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xml" ContentType="application/vnd.openxmlformats-officedocument.drawing+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harts/chart20.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mpyreansolutions-my.sharepoint.com/personal/jeff_truitt_empyreansolutions_com/Documents/Temp/"/>
    </mc:Choice>
  </mc:AlternateContent>
  <xr:revisionPtr revIDLastSave="0" documentId="8_{F8325922-AD60-4707-B410-8CEE1B42E187}" xr6:coauthVersionLast="47" xr6:coauthVersionMax="47" xr10:uidLastSave="{00000000-0000-0000-0000-000000000000}"/>
  <bookViews>
    <workbookView xWindow="300" yWindow="2070" windowWidth="19590" windowHeight="17010" firstSheet="3" activeTab="7" xr2:uid="{00000000-000D-0000-FFFF-FFFF00000000}"/>
  </bookViews>
  <sheets>
    <sheet name="Lookup" sheetId="3" r:id="rId1"/>
    <sheet name="Trips" sheetId="38" r:id="rId2"/>
    <sheet name="Actuals" sheetId="1" r:id="rId3"/>
    <sheet name="Actuals Lookup" sheetId="36" r:id="rId4"/>
    <sheet name="Main 2" sheetId="20" r:id="rId5"/>
    <sheet name="Cash" sheetId="37" r:id="rId6"/>
    <sheet name="Main Detail" sheetId="21" r:id="rId7"/>
    <sheet name="1 MO" sheetId="5" r:id="rId8"/>
    <sheet name="YTD" sheetId="7" r:id="rId9"/>
    <sheet name="2025 Budget" sheetId="6" r:id="rId10"/>
    <sheet name="Year" sheetId="9" r:id="rId11"/>
    <sheet name="Revised" sheetId="22" r:id="rId12"/>
    <sheet name="Detail" sheetId="8" state="hidden" r:id="rId13"/>
    <sheet name="Single Detail" sheetId="35" r:id="rId14"/>
    <sheet name="Avg" sheetId="10" r:id="rId15"/>
    <sheet name="Proj 9.22" sheetId="19" state="hidden" r:id="rId16"/>
    <sheet name="Proj 8.22" sheetId="17" state="hidden" r:id="rId17"/>
    <sheet name="Proj 7.22" sheetId="16" state="hidden" r:id="rId18"/>
    <sheet name="Proj 6.22" sheetId="11" state="hidden" r:id="rId19"/>
    <sheet name="Proj 1.2022" sheetId="12" state="hidden" r:id="rId20"/>
    <sheet name="Year Filter" sheetId="30" r:id="rId21"/>
    <sheet name="Retire" sheetId="31" r:id="rId22"/>
    <sheet name="Retire Articles" sheetId="18" r:id="rId23"/>
    <sheet name="Retire Graph" sheetId="24" r:id="rId24"/>
    <sheet name="Income" sheetId="32" r:id="rId25"/>
    <sheet name="College" sheetId="27" r:id="rId26"/>
    <sheet name="Past Savings" sheetId="23" state="hidden" r:id="rId27"/>
    <sheet name="Tax WH" sheetId="25" state="hidden" r:id="rId28"/>
    <sheet name="Tax" sheetId="15" r:id="rId29"/>
    <sheet name="Bills" sheetId="26" r:id="rId30"/>
    <sheet name="Main" sheetId="13" state="hidden" r:id="rId31"/>
    <sheet name="Main Assumptions" sheetId="14" state="hidden" r:id="rId32"/>
    <sheet name="Grocery" sheetId="28" r:id="rId33"/>
    <sheet name="CFP" sheetId="29" r:id="rId34"/>
  </sheets>
  <definedNames>
    <definedName name="_xlnm._FilterDatabase" localSheetId="2" hidden="1">Actuals!$A$1:$P$15027</definedName>
    <definedName name="_xlnm._FilterDatabase" localSheetId="3" hidden="1">'Actuals Lookup'!$A$1:$F$1</definedName>
    <definedName name="_xlnm._FilterDatabase" localSheetId="0" hidden="1">Lookup!$G$31:$H$31</definedName>
    <definedName name="_xlchart.v1.0" hidden="1">'Main Detail'!$S$5:$S$9</definedName>
    <definedName name="_xlchart.v1.1" hidden="1">'Main Detail'!$U$5:$U$9</definedName>
    <definedName name="_xlchart.v1.2" hidden="1">'Main Detail'!$R$5:$R$9</definedName>
    <definedName name="_xlchart.v1.3" hidden="1">'Main Detail'!$T$5:$T$9</definedName>
    <definedName name="_xlchart.v1.4" hidden="1">'Main Detail'!$R$5:$R$9</definedName>
    <definedName name="_xlchart.v1.5" hidden="1">'Main Detail'!$T$5:$T$9</definedName>
    <definedName name="_xlchart.v1.6" hidden="1">'Main Detail'!$S$5:$S$9</definedName>
    <definedName name="_xlchart.v1.7" hidden="1">'Main Detail'!$U$5:$U$9</definedName>
    <definedName name="_xlnm.Print_Area" localSheetId="7">'1 MO'!$B$9:$N$42</definedName>
    <definedName name="_xlnm.Print_Area" localSheetId="9">'2025 Budget'!$B$3:$O$36</definedName>
    <definedName name="_xlnm.Print_Area" localSheetId="14">Avg!$C$6:$S$40</definedName>
    <definedName name="_xlnm.Print_Area" localSheetId="32">Grocery!$C$6:$S$9</definedName>
    <definedName name="_xlnm.Print_Area" localSheetId="30">Main!$B$3:$L$90</definedName>
    <definedName name="_xlnm.Print_Area" localSheetId="4">'Main 2'!$B$4:$L$110</definedName>
    <definedName name="_xlnm.Print_Area" localSheetId="6">'Main Detail'!$B$21:$P$122</definedName>
    <definedName name="_xlnm.Print_Area" localSheetId="19">'Proj 1.2022'!$B$2:$P$43</definedName>
    <definedName name="_xlnm.Print_Area" localSheetId="18">'Proj 6.22'!$C$6:$P$46</definedName>
    <definedName name="_xlnm.Print_Area" localSheetId="17">'Proj 7.22'!$C$6:$P$46</definedName>
    <definedName name="_xlnm.Print_Area" localSheetId="16">'Proj 8.22'!$C$6:$P$46</definedName>
    <definedName name="_xlnm.Print_Area" localSheetId="15">'Proj 9.22'!$C$6:$P$46</definedName>
    <definedName name="_xlnm.Print_Area" localSheetId="11">Revised!$C$6:$P$39</definedName>
    <definedName name="_xlnm.Print_Area" localSheetId="10">Year!$C$7:$P$40</definedName>
    <definedName name="_xlnm.Print_Area" localSheetId="20">'Year Filter'!$C$7:$P$40</definedName>
    <definedName name="_xlnm.Print_Area" localSheetId="8">YTD!$B$5:$M$38</definedName>
    <definedName name="Slicer_Yrmo">#N/A</definedName>
  </definedNames>
  <calcPr calcId="191028" calcCompleted="0"/>
  <pivotCaches>
    <pivotCache cacheId="0" r:id="rId35"/>
  </pivotCaches>
  <extLst>
    <ext xmlns:x14="http://schemas.microsoft.com/office/spreadsheetml/2009/9/main" uri="{BBE1A952-AA13-448e-AADC-164F8A28A991}">
      <x14:slicerCaches>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21" l="1"/>
  <c r="D28" i="21"/>
  <c r="D80" i="21"/>
  <c r="P77" i="21"/>
  <c r="O77" i="21"/>
  <c r="N77" i="21"/>
  <c r="M77" i="21"/>
  <c r="L77" i="21"/>
  <c r="K77" i="21"/>
  <c r="J77" i="21"/>
  <c r="I77" i="21"/>
  <c r="H77" i="21"/>
  <c r="G77" i="21"/>
  <c r="F77" i="21"/>
  <c r="E77" i="21"/>
  <c r="P73" i="21"/>
  <c r="O73" i="21"/>
  <c r="N73" i="21"/>
  <c r="M73" i="21"/>
  <c r="L73" i="21"/>
  <c r="K73" i="21"/>
  <c r="J73" i="21"/>
  <c r="I73" i="21"/>
  <c r="H73" i="21"/>
  <c r="G73" i="21"/>
  <c r="F73" i="21"/>
  <c r="E73" i="21"/>
  <c r="D11" i="31"/>
  <c r="D37" i="22"/>
  <c r="E37" i="22"/>
  <c r="F37" i="22"/>
  <c r="G37" i="22"/>
  <c r="H37" i="22"/>
  <c r="I37" i="22"/>
  <c r="J37" i="22"/>
  <c r="K37" i="22"/>
  <c r="L37" i="22"/>
  <c r="M37" i="22"/>
  <c r="N37" i="22"/>
  <c r="O37" i="22"/>
  <c r="D38" i="22"/>
  <c r="E38" i="22"/>
  <c r="F38" i="22"/>
  <c r="G38" i="22"/>
  <c r="H38" i="22"/>
  <c r="I38" i="22"/>
  <c r="J38" i="22"/>
  <c r="K38" i="22"/>
  <c r="L38" i="22"/>
  <c r="M38" i="22"/>
  <c r="N38" i="22"/>
  <c r="O38" i="22"/>
  <c r="E36" i="22"/>
  <c r="F36" i="22"/>
  <c r="G36" i="22"/>
  <c r="H36" i="22"/>
  <c r="I36" i="22"/>
  <c r="J36" i="22"/>
  <c r="K36" i="22"/>
  <c r="L36" i="22"/>
  <c r="M36" i="22"/>
  <c r="N36" i="22"/>
  <c r="O36" i="22"/>
  <c r="D36" i="22"/>
  <c r="D26" i="22"/>
  <c r="E26" i="22"/>
  <c r="F26" i="22"/>
  <c r="G26" i="22"/>
  <c r="H26" i="22"/>
  <c r="I26" i="22"/>
  <c r="J26" i="22"/>
  <c r="K26" i="22"/>
  <c r="L26" i="22"/>
  <c r="M26" i="22"/>
  <c r="N26" i="22"/>
  <c r="O26" i="22"/>
  <c r="D27" i="22"/>
  <c r="E27" i="22"/>
  <c r="F27" i="22"/>
  <c r="G27" i="22"/>
  <c r="H27" i="22"/>
  <c r="I27" i="22"/>
  <c r="J27" i="22"/>
  <c r="K27" i="22"/>
  <c r="L27" i="22"/>
  <c r="M27" i="22"/>
  <c r="N27" i="22"/>
  <c r="O27" i="22"/>
  <c r="D28" i="22"/>
  <c r="E28" i="22"/>
  <c r="F28" i="22"/>
  <c r="G28" i="22"/>
  <c r="H28" i="22"/>
  <c r="I28" i="22"/>
  <c r="J28" i="22"/>
  <c r="K28" i="22"/>
  <c r="L28" i="22"/>
  <c r="M28" i="22"/>
  <c r="N28" i="22"/>
  <c r="O28" i="22"/>
  <c r="D29" i="22"/>
  <c r="E29" i="22"/>
  <c r="F29" i="22"/>
  <c r="G29" i="22"/>
  <c r="H29" i="22"/>
  <c r="I29" i="22"/>
  <c r="J29" i="22"/>
  <c r="K29" i="22"/>
  <c r="L29" i="22"/>
  <c r="M29" i="22"/>
  <c r="N29" i="22"/>
  <c r="O29" i="22"/>
  <c r="D30" i="22"/>
  <c r="E30" i="22"/>
  <c r="F30" i="22"/>
  <c r="G30" i="22"/>
  <c r="H30" i="22"/>
  <c r="I30" i="22"/>
  <c r="J30" i="22"/>
  <c r="K30" i="22"/>
  <c r="L30" i="22"/>
  <c r="M30" i="22"/>
  <c r="N30" i="22"/>
  <c r="O30" i="22"/>
  <c r="D31" i="22"/>
  <c r="E31" i="22"/>
  <c r="F31" i="22"/>
  <c r="G31" i="22"/>
  <c r="H31" i="22"/>
  <c r="I31" i="22"/>
  <c r="J31" i="22"/>
  <c r="K31" i="22"/>
  <c r="L31" i="22"/>
  <c r="M31" i="22"/>
  <c r="N31" i="22"/>
  <c r="O31" i="22"/>
  <c r="E25" i="22"/>
  <c r="F25" i="22"/>
  <c r="G25" i="22"/>
  <c r="H25" i="22"/>
  <c r="I25" i="22"/>
  <c r="J25" i="22"/>
  <c r="K25" i="22"/>
  <c r="L25" i="22"/>
  <c r="M25" i="22"/>
  <c r="N25" i="22"/>
  <c r="O25" i="22"/>
  <c r="D25" i="22"/>
  <c r="D20" i="22"/>
  <c r="E20" i="22"/>
  <c r="F20" i="22"/>
  <c r="G20" i="22"/>
  <c r="H20" i="22"/>
  <c r="I20" i="22"/>
  <c r="J20" i="22"/>
  <c r="K20" i="22"/>
  <c r="L20" i="22"/>
  <c r="M20" i="22"/>
  <c r="N20" i="22"/>
  <c r="O20" i="22"/>
  <c r="D21" i="22"/>
  <c r="E21" i="22"/>
  <c r="F21" i="22"/>
  <c r="G21" i="22"/>
  <c r="H21" i="22"/>
  <c r="I21" i="22"/>
  <c r="J21" i="22"/>
  <c r="K21" i="22"/>
  <c r="L21" i="22"/>
  <c r="M21" i="22"/>
  <c r="N21" i="22"/>
  <c r="O21" i="22"/>
  <c r="D22" i="22"/>
  <c r="E22" i="22"/>
  <c r="F22" i="22"/>
  <c r="G22" i="22"/>
  <c r="H22" i="22"/>
  <c r="I22" i="22"/>
  <c r="J22" i="22"/>
  <c r="K22" i="22"/>
  <c r="L22" i="22"/>
  <c r="M22" i="22"/>
  <c r="N22" i="22"/>
  <c r="O22" i="22"/>
  <c r="E19" i="22"/>
  <c r="F19" i="22"/>
  <c r="G19" i="22"/>
  <c r="H19" i="22"/>
  <c r="I19" i="22"/>
  <c r="J19" i="22"/>
  <c r="K19" i="22"/>
  <c r="L19" i="22"/>
  <c r="M19" i="22"/>
  <c r="N19" i="22"/>
  <c r="O19" i="22"/>
  <c r="D19" i="22"/>
  <c r="D11" i="22"/>
  <c r="E11" i="22"/>
  <c r="F11" i="22"/>
  <c r="G11" i="22"/>
  <c r="H11" i="22"/>
  <c r="I11" i="22"/>
  <c r="J11" i="22"/>
  <c r="K11" i="22"/>
  <c r="L11" i="22"/>
  <c r="M11" i="22"/>
  <c r="N11" i="22"/>
  <c r="O11" i="22"/>
  <c r="D12" i="22"/>
  <c r="E12" i="22"/>
  <c r="F12" i="22"/>
  <c r="G12" i="22"/>
  <c r="H12" i="22"/>
  <c r="I12" i="22"/>
  <c r="J12" i="22"/>
  <c r="K12" i="22"/>
  <c r="L12" i="22"/>
  <c r="M12" i="22"/>
  <c r="N12" i="22"/>
  <c r="O12" i="22"/>
  <c r="D13" i="22"/>
  <c r="E13" i="22"/>
  <c r="F13" i="22"/>
  <c r="G13" i="22"/>
  <c r="H13" i="22"/>
  <c r="I13" i="22"/>
  <c r="J13" i="22"/>
  <c r="K13" i="22"/>
  <c r="L13" i="22"/>
  <c r="M13" i="22"/>
  <c r="N13" i="22"/>
  <c r="O13" i="22"/>
  <c r="D14" i="22"/>
  <c r="E14" i="22"/>
  <c r="F14" i="22"/>
  <c r="G14" i="22"/>
  <c r="H14" i="22"/>
  <c r="I14" i="22"/>
  <c r="J14" i="22"/>
  <c r="K14" i="22"/>
  <c r="L14" i="22"/>
  <c r="M14" i="22"/>
  <c r="N14" i="22"/>
  <c r="O14" i="22"/>
  <c r="D15" i="22"/>
  <c r="E15" i="22"/>
  <c r="F15" i="22"/>
  <c r="G15" i="22"/>
  <c r="H15" i="22"/>
  <c r="I15" i="22"/>
  <c r="J15" i="22"/>
  <c r="K15" i="22"/>
  <c r="L15" i="22"/>
  <c r="M15" i="22"/>
  <c r="N15" i="22"/>
  <c r="O15" i="22"/>
  <c r="D16" i="22"/>
  <c r="E16" i="22"/>
  <c r="F16" i="22"/>
  <c r="G16" i="22"/>
  <c r="H16" i="22"/>
  <c r="I16" i="22"/>
  <c r="J16" i="22"/>
  <c r="K16" i="22"/>
  <c r="L16" i="22"/>
  <c r="M16" i="22"/>
  <c r="N16" i="22"/>
  <c r="O16" i="22"/>
  <c r="E10" i="22"/>
  <c r="F10" i="22"/>
  <c r="G10" i="22"/>
  <c r="H10" i="22"/>
  <c r="I10" i="22"/>
  <c r="J10" i="22"/>
  <c r="K10" i="22"/>
  <c r="L10" i="22"/>
  <c r="M10" i="22"/>
  <c r="N10" i="22"/>
  <c r="O10" i="22"/>
  <c r="D10" i="22"/>
  <c r="G15011" i="1"/>
  <c r="G15027" i="1"/>
  <c r="G15026" i="1"/>
  <c r="G15025" i="1"/>
  <c r="G15024" i="1"/>
  <c r="G15023" i="1"/>
  <c r="G15022" i="1"/>
  <c r="G15021" i="1"/>
  <c r="G15020" i="1"/>
  <c r="G15019" i="1"/>
  <c r="G15018" i="1"/>
  <c r="G15017" i="1"/>
  <c r="G15016" i="1"/>
  <c r="G15015" i="1"/>
  <c r="G15014" i="1"/>
  <c r="G15013" i="1"/>
  <c r="G15012" i="1"/>
  <c r="G15010" i="1"/>
  <c r="G15009" i="1"/>
  <c r="G15008" i="1"/>
  <c r="G15007" i="1"/>
  <c r="G15006" i="1"/>
  <c r="G15005" i="1"/>
  <c r="G15004" i="1"/>
  <c r="G15003" i="1"/>
  <c r="G15002" i="1"/>
  <c r="G15001" i="1"/>
  <c r="G15000" i="1"/>
  <c r="G14999" i="1"/>
  <c r="G14998" i="1"/>
  <c r="G14997" i="1"/>
  <c r="G14996" i="1"/>
  <c r="G14995" i="1"/>
  <c r="G14994" i="1"/>
  <c r="G14993" i="1"/>
  <c r="G14992" i="1"/>
  <c r="G14991" i="1"/>
  <c r="G14990" i="1"/>
  <c r="G14989" i="1"/>
  <c r="G14988" i="1"/>
  <c r="G14987" i="1"/>
  <c r="G14986" i="1"/>
  <c r="G14985" i="1"/>
  <c r="G14984" i="1"/>
  <c r="G14983" i="1"/>
  <c r="G14982" i="1"/>
  <c r="G14981" i="1"/>
  <c r="G14980" i="1"/>
  <c r="G14979" i="1"/>
  <c r="G14978" i="1"/>
  <c r="G14977" i="1"/>
  <c r="G14976" i="1"/>
  <c r="G14975" i="1"/>
  <c r="G14974" i="1"/>
  <c r="G14973" i="1"/>
  <c r="G14972" i="1"/>
  <c r="G14971" i="1"/>
  <c r="G14970" i="1"/>
  <c r="G14969" i="1"/>
  <c r="G14968" i="1"/>
  <c r="G14967" i="1"/>
  <c r="G14966" i="1"/>
  <c r="G14965" i="1"/>
  <c r="G14964" i="1"/>
  <c r="G14963" i="1"/>
  <c r="G14962" i="1"/>
  <c r="G14961" i="1"/>
  <c r="G14960" i="1"/>
  <c r="G14959" i="1"/>
  <c r="G14958" i="1"/>
  <c r="G14957" i="1"/>
  <c r="G14956" i="1"/>
  <c r="G14955" i="1"/>
  <c r="G14954" i="1"/>
  <c r="G14953" i="1"/>
  <c r="G14952" i="1"/>
  <c r="G14951" i="1"/>
  <c r="G14950" i="1"/>
  <c r="G14949" i="1"/>
  <c r="G14948" i="1"/>
  <c r="G14947" i="1"/>
  <c r="G14946" i="1"/>
  <c r="G14945" i="1"/>
  <c r="G14944" i="1"/>
  <c r="G14943" i="1"/>
  <c r="G14942" i="1"/>
  <c r="G14941" i="1"/>
  <c r="G14940" i="1"/>
  <c r="G14939" i="1"/>
  <c r="G14938" i="1"/>
  <c r="G14937" i="1"/>
  <c r="G14936" i="1"/>
  <c r="G14935" i="1"/>
  <c r="G14934" i="1"/>
  <c r="G14933" i="1"/>
  <c r="G14932" i="1"/>
  <c r="G14931" i="1"/>
  <c r="G14930" i="1"/>
  <c r="G14929" i="1"/>
  <c r="G14928" i="1"/>
  <c r="G14927" i="1"/>
  <c r="G14926" i="1"/>
  <c r="G14925" i="1"/>
  <c r="G14924" i="1"/>
  <c r="G14923" i="1"/>
  <c r="G14922" i="1"/>
  <c r="G14921" i="1"/>
  <c r="G14920" i="1"/>
  <c r="G14919" i="1"/>
  <c r="G14918" i="1"/>
  <c r="G14917" i="1"/>
  <c r="G14916" i="1"/>
  <c r="G14915" i="1"/>
  <c r="G14914" i="1"/>
  <c r="G14913" i="1"/>
  <c r="G14912" i="1"/>
  <c r="G14911" i="1"/>
  <c r="G14910" i="1"/>
  <c r="G14909" i="1"/>
  <c r="G14908" i="1"/>
  <c r="G14907" i="1"/>
  <c r="G14906" i="1"/>
  <c r="G14905" i="1"/>
  <c r="G14904" i="1"/>
  <c r="G14903" i="1"/>
  <c r="G14902" i="1"/>
  <c r="G14901" i="1"/>
  <c r="G14900" i="1"/>
  <c r="G14899" i="1"/>
  <c r="G14898" i="1"/>
  <c r="G14897" i="1"/>
  <c r="G14896" i="1"/>
  <c r="G14895" i="1"/>
  <c r="G14894" i="1"/>
  <c r="G14893" i="1"/>
  <c r="G14892" i="1"/>
  <c r="G14891" i="1"/>
  <c r="G14890" i="1"/>
  <c r="G14889" i="1"/>
  <c r="G14888" i="1"/>
  <c r="G14887" i="1"/>
  <c r="G14886" i="1"/>
  <c r="G14885" i="1"/>
  <c r="G14884" i="1"/>
  <c r="G14883" i="1"/>
  <c r="G14882" i="1"/>
  <c r="G14881" i="1"/>
  <c r="G14880" i="1"/>
  <c r="G14879" i="1"/>
  <c r="G14878" i="1"/>
  <c r="G14877" i="1"/>
  <c r="G14876" i="1"/>
  <c r="G14875" i="1"/>
  <c r="G14874" i="1"/>
  <c r="G14873" i="1"/>
  <c r="G14872" i="1"/>
  <c r="G14871" i="1"/>
  <c r="G14870" i="1"/>
  <c r="G14869" i="1"/>
  <c r="G14868" i="1"/>
  <c r="G14867" i="1"/>
  <c r="G14866" i="1"/>
  <c r="G14865" i="1"/>
  <c r="G14864" i="1"/>
  <c r="G14863" i="1"/>
  <c r="G14862" i="1"/>
  <c r="G14861" i="1"/>
  <c r="G14860" i="1"/>
  <c r="G14859" i="1"/>
  <c r="G14858" i="1"/>
  <c r="G14857" i="1"/>
  <c r="G14856" i="1"/>
  <c r="G14855" i="1"/>
  <c r="G14854" i="1"/>
  <c r="G14853" i="1"/>
  <c r="G14852" i="1"/>
  <c r="G14851" i="1"/>
  <c r="G14850" i="1"/>
  <c r="G14849" i="1"/>
  <c r="G14848" i="1"/>
  <c r="G14847" i="1"/>
  <c r="G14846" i="1"/>
  <c r="G14845" i="1"/>
  <c r="G14844" i="1"/>
  <c r="G14843" i="1"/>
  <c r="G14842" i="1"/>
  <c r="G14841" i="1"/>
  <c r="G14840" i="1"/>
  <c r="G14839" i="1"/>
  <c r="G14838" i="1"/>
  <c r="G14837" i="1"/>
  <c r="G14836" i="1"/>
  <c r="G14835" i="1"/>
  <c r="G14834" i="1"/>
  <c r="G14833" i="1"/>
  <c r="G14832" i="1"/>
  <c r="G14831" i="1"/>
  <c r="G14830" i="1"/>
  <c r="G14829" i="1"/>
  <c r="G14828" i="1"/>
  <c r="G14827" i="1"/>
  <c r="G14826" i="1"/>
  <c r="G14825" i="1"/>
  <c r="G14824" i="1"/>
  <c r="G14823" i="1"/>
  <c r="G14822" i="1"/>
  <c r="G14821" i="1"/>
  <c r="G14820" i="1"/>
  <c r="G14819" i="1"/>
  <c r="G14818" i="1"/>
  <c r="G14817" i="1"/>
  <c r="G14816" i="1"/>
  <c r="G14815" i="1"/>
  <c r="G14814" i="1"/>
  <c r="G14813" i="1"/>
  <c r="G14812" i="1"/>
  <c r="G14811" i="1"/>
  <c r="G14810" i="1"/>
  <c r="G14809" i="1"/>
  <c r="G14808" i="1"/>
  <c r="G14807" i="1"/>
  <c r="G14806" i="1"/>
  <c r="G14805" i="1"/>
  <c r="G14804" i="1"/>
  <c r="G14803" i="1"/>
  <c r="G14802" i="1"/>
  <c r="G14801" i="1"/>
  <c r="G14800" i="1"/>
  <c r="G14799" i="1"/>
  <c r="G14798" i="1"/>
  <c r="G14797" i="1"/>
  <c r="G14796" i="1"/>
  <c r="G14795" i="1"/>
  <c r="G14794" i="1"/>
  <c r="G14793" i="1"/>
  <c r="G14792" i="1"/>
  <c r="G14791" i="1"/>
  <c r="G14790" i="1"/>
  <c r="G14789" i="1"/>
  <c r="G14788" i="1"/>
  <c r="G14787" i="1"/>
  <c r="G14786" i="1"/>
  <c r="G14785" i="1"/>
  <c r="G14784" i="1"/>
  <c r="G14783" i="1"/>
  <c r="G14782" i="1"/>
  <c r="G14781" i="1"/>
  <c r="G14780" i="1"/>
  <c r="G14779" i="1"/>
  <c r="G14778" i="1"/>
  <c r="G14777" i="1"/>
  <c r="G14776" i="1"/>
  <c r="G14775" i="1"/>
  <c r="G14774" i="1"/>
  <c r="G14773" i="1"/>
  <c r="G14772" i="1"/>
  <c r="G14771" i="1"/>
  <c r="G14770" i="1"/>
  <c r="G14769" i="1"/>
  <c r="G14768" i="1"/>
  <c r="G14767" i="1"/>
  <c r="G14766" i="1"/>
  <c r="G14765" i="1"/>
  <c r="G14764" i="1"/>
  <c r="G14763" i="1"/>
  <c r="G14762" i="1"/>
  <c r="G14761" i="1"/>
  <c r="G14760" i="1"/>
  <c r="G14759" i="1"/>
  <c r="G14758" i="1"/>
  <c r="G14757" i="1"/>
  <c r="G14756" i="1"/>
  <c r="G14755" i="1"/>
  <c r="G14754" i="1"/>
  <c r="G14753" i="1"/>
  <c r="G14752" i="1"/>
  <c r="G14751" i="1"/>
  <c r="G14750" i="1"/>
  <c r="G14749" i="1"/>
  <c r="G14748" i="1"/>
  <c r="G14747" i="1"/>
  <c r="G14746" i="1"/>
  <c r="G14745" i="1"/>
  <c r="G14744" i="1"/>
  <c r="G14743" i="1"/>
  <c r="G14742" i="1"/>
  <c r="G14741" i="1"/>
  <c r="G14740" i="1"/>
  <c r="G14739" i="1"/>
  <c r="G14738" i="1"/>
  <c r="G14737" i="1"/>
  <c r="G14736" i="1"/>
  <c r="G14735" i="1"/>
  <c r="G14734" i="1"/>
  <c r="G14733" i="1"/>
  <c r="G14732" i="1"/>
  <c r="G14731" i="1"/>
  <c r="G14730" i="1"/>
  <c r="G14729" i="1"/>
  <c r="G14728" i="1"/>
  <c r="G14727" i="1"/>
  <c r="G14726" i="1"/>
  <c r="G14725" i="1"/>
  <c r="G14724" i="1"/>
  <c r="G14723" i="1"/>
  <c r="G14722" i="1"/>
  <c r="G14721" i="1"/>
  <c r="G14720" i="1"/>
  <c r="G14719" i="1"/>
  <c r="G14718" i="1"/>
  <c r="G14717" i="1"/>
  <c r="G14716" i="1"/>
  <c r="G14715" i="1"/>
  <c r="G14714" i="1"/>
  <c r="G14713" i="1"/>
  <c r="G14712" i="1"/>
  <c r="G14711" i="1"/>
  <c r="G14710" i="1"/>
  <c r="G14709" i="1"/>
  <c r="G14708" i="1"/>
  <c r="G14707" i="1"/>
  <c r="G14706" i="1"/>
  <c r="G14705" i="1"/>
  <c r="G14704" i="1"/>
  <c r="G14703" i="1"/>
  <c r="G14702" i="1"/>
  <c r="G14701" i="1"/>
  <c r="G14700" i="1"/>
  <c r="G14699" i="1"/>
  <c r="G14698" i="1"/>
  <c r="G14697" i="1"/>
  <c r="G14696" i="1"/>
  <c r="G14695" i="1"/>
  <c r="G14694" i="1"/>
  <c r="G14693"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O14870"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6"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0"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15000" i="1"/>
  <c r="O15001" i="1"/>
  <c r="O15002" i="1"/>
  <c r="O15003" i="1"/>
  <c r="O15004" i="1"/>
  <c r="O15005" i="1"/>
  <c r="O15006" i="1"/>
  <c r="O15007" i="1"/>
  <c r="O15008" i="1"/>
  <c r="O15009" i="1"/>
  <c r="O15010" i="1"/>
  <c r="O15011" i="1"/>
  <c r="O15012" i="1"/>
  <c r="O15013" i="1"/>
  <c r="O15014" i="1"/>
  <c r="O15015" i="1"/>
  <c r="O15016" i="1"/>
  <c r="O15017" i="1"/>
  <c r="O15018" i="1"/>
  <c r="O15019" i="1"/>
  <c r="O15020" i="1"/>
  <c r="O15021" i="1"/>
  <c r="O15022" i="1"/>
  <c r="O15023" i="1"/>
  <c r="O15024" i="1"/>
  <c r="O15025" i="1"/>
  <c r="O15026" i="1"/>
  <c r="O15027" i="1"/>
  <c r="D92" i="20"/>
  <c r="M39" i="22"/>
  <c r="D89" i="20"/>
  <c r="F14662" i="1"/>
  <c r="F14630" i="1"/>
  <c r="F13928" i="1"/>
  <c r="F14268" i="1"/>
  <c r="F14643" i="1"/>
  <c r="F13824" i="1"/>
  <c r="F13831" i="1"/>
  <c r="F13869" i="1"/>
  <c r="F14426" i="1"/>
  <c r="F14618" i="1"/>
  <c r="F14598" i="1"/>
  <c r="F13919" i="1"/>
  <c r="F14682" i="1"/>
  <c r="F13885" i="1"/>
  <c r="F14144" i="1"/>
  <c r="F14165" i="1"/>
  <c r="F14588" i="1"/>
  <c r="F13847" i="1"/>
  <c r="F13851" i="1"/>
  <c r="F14677" i="1"/>
  <c r="F14638" i="1"/>
  <c r="F14213" i="1"/>
  <c r="F13823" i="1"/>
  <c r="F14663" i="1"/>
  <c r="F13838" i="1"/>
  <c r="F14296" i="1"/>
  <c r="F14063" i="1"/>
  <c r="F14276" i="1"/>
  <c r="F14014" i="1"/>
  <c r="F13870" i="1"/>
  <c r="F14008" i="1"/>
  <c r="F14563" i="1"/>
  <c r="F14570" i="1"/>
  <c r="F13910" i="1"/>
  <c r="F14555" i="1"/>
  <c r="F14370" i="1"/>
  <c r="F14666" i="1"/>
  <c r="F13979" i="1"/>
  <c r="F14339" i="1"/>
  <c r="F14664" i="1"/>
  <c r="F13880" i="1"/>
  <c r="F14247" i="1"/>
  <c r="F13819" i="1"/>
  <c r="F14000" i="1"/>
  <c r="F13907" i="1"/>
  <c r="F13942" i="1"/>
  <c r="F14064" i="1"/>
  <c r="F14694" i="1"/>
  <c r="F14649" i="1"/>
  <c r="F14427" i="1"/>
  <c r="F14543" i="1"/>
  <c r="F14603" i="1"/>
  <c r="F13832" i="1"/>
  <c r="F13871" i="1"/>
  <c r="F13893" i="1"/>
  <c r="F14616" i="1"/>
  <c r="F13828" i="1"/>
  <c r="F13916" i="1"/>
  <c r="F14601" i="1"/>
  <c r="F14145" i="1"/>
  <c r="F14589" i="1"/>
  <c r="F14667" i="1"/>
  <c r="F13852" i="1"/>
  <c r="F14678" i="1"/>
  <c r="F13866" i="1"/>
  <c r="F14617" i="1"/>
  <c r="F13965" i="1"/>
  <c r="F14013" i="1"/>
  <c r="F13920" i="1"/>
  <c r="F14564" i="1"/>
  <c r="F13872" i="1"/>
  <c r="F13895" i="1"/>
  <c r="F14371" i="1"/>
  <c r="F14671" i="1"/>
  <c r="F14625" i="1"/>
  <c r="F13863" i="1"/>
  <c r="F13850" i="1"/>
  <c r="F14680" i="1"/>
  <c r="F13834" i="1"/>
  <c r="F14248" i="1"/>
  <c r="F13820" i="1"/>
  <c r="F13849" i="1"/>
  <c r="F13921" i="1"/>
  <c r="F13833" i="1"/>
  <c r="F13873" i="1"/>
  <c r="F13932" i="1"/>
  <c r="F14428" i="1"/>
  <c r="F14691" i="1"/>
  <c r="F14620" i="1"/>
  <c r="F14676" i="1"/>
  <c r="F14121" i="1"/>
  <c r="F14146" i="1"/>
  <c r="F14590" i="1"/>
  <c r="F14648" i="1"/>
  <c r="F14668" i="1"/>
  <c r="F14622" i="1"/>
  <c r="F13853" i="1"/>
  <c r="F14028" i="1"/>
  <c r="F13884" i="1"/>
  <c r="F13957" i="1"/>
  <c r="F13971" i="1"/>
  <c r="F14157" i="1"/>
  <c r="F13975" i="1"/>
  <c r="F14192" i="1"/>
  <c r="F14565" i="1"/>
  <c r="F13825" i="1"/>
  <c r="F13874" i="1"/>
  <c r="F13868" i="1"/>
  <c r="F14372" i="1"/>
  <c r="F14674" i="1"/>
  <c r="F14672" i="1"/>
  <c r="F13981" i="1"/>
  <c r="F14032" i="1"/>
  <c r="F14364" i="1"/>
  <c r="F13948" i="1"/>
  <c r="F14277" i="1"/>
  <c r="F13936" i="1"/>
  <c r="F13835" i="1"/>
  <c r="F13875" i="1"/>
  <c r="F13900" i="1"/>
  <c r="F14619" i="1"/>
  <c r="F14595" i="1"/>
  <c r="F14673" i="1"/>
  <c r="F13967" i="1"/>
  <c r="F13821" i="1"/>
  <c r="F13827" i="1"/>
  <c r="F14669" i="1"/>
  <c r="F13854" i="1"/>
  <c r="F14147" i="1"/>
  <c r="F13990" i="1"/>
  <c r="F14692" i="1"/>
  <c r="F14654" i="1"/>
  <c r="F14627" i="1"/>
  <c r="F14079" i="1"/>
  <c r="F14626" i="1"/>
  <c r="F13876" i="1"/>
  <c r="F14685" i="1"/>
  <c r="F14693" i="1"/>
  <c r="F14655" i="1"/>
  <c r="F13829" i="1"/>
  <c r="F13845" i="1"/>
  <c r="F14305" i="1"/>
  <c r="F14670" i="1"/>
  <c r="F13973" i="1"/>
  <c r="F13826" i="1"/>
  <c r="F13844" i="1"/>
  <c r="F14683" i="1"/>
  <c r="F14061" i="1"/>
  <c r="F13836" i="1"/>
  <c r="F14658" i="1"/>
  <c r="F13841" i="1"/>
  <c r="F13877" i="1"/>
  <c r="F13904" i="1"/>
  <c r="F14612" i="1"/>
  <c r="F14597" i="1"/>
  <c r="F13822" i="1"/>
  <c r="F14025" i="1"/>
  <c r="F14148" i="1"/>
  <c r="F14591" i="1"/>
  <c r="F14661" i="1"/>
  <c r="F14635" i="1"/>
  <c r="F13855" i="1"/>
  <c r="F14124" i="1"/>
  <c r="F13856" i="1"/>
  <c r="F14225" i="1"/>
  <c r="F14684" i="1"/>
  <c r="F13840" i="1"/>
  <c r="F14602" i="1"/>
  <c r="F14689" i="1"/>
  <c r="F14022" i="1"/>
  <c r="F14069" i="1"/>
  <c r="F14109" i="1"/>
  <c r="F14690" i="1"/>
  <c r="F13996" i="1"/>
  <c r="F14566" i="1"/>
  <c r="F14656" i="1"/>
  <c r="F13878" i="1"/>
  <c r="F14134" i="1"/>
  <c r="F14373" i="1"/>
  <c r="F13830" i="1"/>
  <c r="F14001" i="1"/>
  <c r="F14650" i="1"/>
  <c r="F14644" i="1"/>
  <c r="F14660" i="1"/>
  <c r="F13943" i="1"/>
  <c r="F14429" i="1"/>
  <c r="F13939" i="1"/>
  <c r="F13984" i="1"/>
  <c r="F14657" i="1"/>
  <c r="F13837" i="1"/>
  <c r="F13879" i="1"/>
  <c r="F13953" i="1"/>
  <c r="F14068" i="1"/>
  <c r="F14227" i="1"/>
  <c r="F14430" i="1"/>
  <c r="F14197" i="1"/>
  <c r="F14538" i="1"/>
  <c r="F14229" i="1"/>
  <c r="F14353" i="1"/>
  <c r="F14653" i="1"/>
  <c r="F13925" i="1"/>
  <c r="F14422" i="1"/>
  <c r="F14396" i="1"/>
  <c r="F14357" i="1"/>
  <c r="F14220" i="1"/>
  <c r="F14397" i="1"/>
  <c r="F14315" i="1"/>
  <c r="F14574" i="1"/>
  <c r="F14573" i="1"/>
  <c r="F14547" i="1"/>
  <c r="F14451" i="1"/>
  <c r="F14381" i="1"/>
  <c r="F13962" i="1"/>
  <c r="F14608" i="1"/>
  <c r="F14270" i="1"/>
  <c r="F13988" i="1"/>
  <c r="F14568" i="1"/>
  <c r="F14582" i="1"/>
  <c r="F14569" i="1"/>
  <c r="F14163" i="1"/>
  <c r="F14059" i="1"/>
  <c r="F14577" i="1"/>
  <c r="F14399" i="1"/>
  <c r="F14499" i="1"/>
  <c r="F14321" i="1"/>
  <c r="F14413" i="1"/>
  <c r="F14290" i="1"/>
  <c r="F14516" i="1"/>
  <c r="F14106" i="1"/>
  <c r="F13970" i="1"/>
  <c r="F14443" i="1"/>
  <c r="F14222" i="1"/>
  <c r="F13937" i="1"/>
  <c r="F14051" i="1"/>
  <c r="F14006" i="1"/>
  <c r="F14272" i="1"/>
  <c r="F14507" i="1"/>
  <c r="F14096" i="1"/>
  <c r="F14027" i="1"/>
  <c r="F14216" i="1"/>
  <c r="F14482" i="1"/>
  <c r="F14575" i="1"/>
  <c r="F14107" i="1"/>
  <c r="F14302" i="1"/>
  <c r="F14587" i="1"/>
  <c r="F14407" i="1"/>
  <c r="F14477" i="1"/>
  <c r="F14431" i="1"/>
  <c r="F14130" i="1"/>
  <c r="F14513" i="1"/>
  <c r="F14531" i="1"/>
  <c r="F14140" i="1"/>
  <c r="F14420" i="1"/>
  <c r="F14324" i="1"/>
  <c r="F14464" i="1"/>
  <c r="F14528" i="1"/>
  <c r="F14217" i="1"/>
  <c r="F14481" i="1"/>
  <c r="F14592" i="1"/>
  <c r="F14411" i="1"/>
  <c r="F14490" i="1"/>
  <c r="F14282" i="1"/>
  <c r="F14080" i="1"/>
  <c r="F14387" i="1"/>
  <c r="F14191" i="1"/>
  <c r="F14015" i="1"/>
  <c r="F14548" i="1"/>
  <c r="F14452" i="1"/>
  <c r="F14578" i="1"/>
  <c r="F14141" i="1"/>
  <c r="F14645" i="1"/>
  <c r="F14491" i="1"/>
  <c r="F14283" i="1"/>
  <c r="F13913" i="1"/>
  <c r="F14166" i="1"/>
  <c r="F13905" i="1"/>
  <c r="F14549" i="1"/>
  <c r="F14453" i="1"/>
  <c r="F14579" i="1"/>
  <c r="F13915" i="1"/>
  <c r="F14567" i="1"/>
  <c r="F14554" i="1"/>
  <c r="F14642" i="1"/>
  <c r="F14193" i="1"/>
  <c r="F14492" i="1"/>
  <c r="F14158" i="1"/>
  <c r="F14284" i="1"/>
  <c r="F14238" i="1"/>
  <c r="F14501" i="1"/>
  <c r="F14405" i="1"/>
  <c r="F14226" i="1"/>
  <c r="F13994" i="1"/>
  <c r="F14174" i="1"/>
  <c r="F14398" i="1"/>
  <c r="F14404" i="1"/>
  <c r="F14510" i="1"/>
  <c r="F14406" i="1"/>
  <c r="F14062" i="1"/>
  <c r="F14576" i="1"/>
  <c r="F14162" i="1"/>
  <c r="F14550" i="1"/>
  <c r="F14454" i="1"/>
  <c r="F14580" i="1"/>
  <c r="F14209" i="1"/>
  <c r="F14647" i="1"/>
  <c r="F14463" i="1"/>
  <c r="F14115" i="1"/>
  <c r="F14493" i="1"/>
  <c r="F14073" i="1"/>
  <c r="F14194" i="1"/>
  <c r="F14417" i="1"/>
  <c r="F14285" i="1"/>
  <c r="F14236" i="1"/>
  <c r="F14583" i="1"/>
  <c r="F14488" i="1"/>
  <c r="F14551" i="1"/>
  <c r="F14615" i="1"/>
  <c r="F13977" i="1"/>
  <c r="F13918" i="1"/>
  <c r="F14500" i="1"/>
  <c r="F14455" i="1"/>
  <c r="F14581" i="1"/>
  <c r="F14195" i="1"/>
  <c r="F14494" i="1"/>
  <c r="F14286" i="1"/>
  <c r="F14544" i="1"/>
  <c r="F14306" i="1"/>
  <c r="F14307" i="1"/>
  <c r="F14552" i="1"/>
  <c r="F14485" i="1"/>
  <c r="F14223" i="1"/>
  <c r="F14116" i="1"/>
  <c r="F14553" i="1"/>
  <c r="F14294" i="1"/>
  <c r="F14208" i="1"/>
  <c r="F14235" i="1"/>
  <c r="F14210" i="1"/>
  <c r="F14687" i="1"/>
  <c r="F14355" i="1"/>
  <c r="F14558" i="1"/>
  <c r="F14070" i="1"/>
  <c r="F14253" i="1"/>
  <c r="F14517" i="1"/>
  <c r="F14537" i="1"/>
  <c r="F14534" i="1"/>
  <c r="F14322" i="1"/>
  <c r="F14173" i="1"/>
  <c r="F13950" i="1"/>
  <c r="F13865" i="1"/>
  <c r="F14039" i="1"/>
  <c r="F14009" i="1"/>
  <c r="F13989" i="1"/>
  <c r="F14439" i="1"/>
  <c r="F14450" i="1"/>
  <c r="F14273" i="1"/>
  <c r="F13859" i="1"/>
  <c r="F13860" i="1"/>
  <c r="F13861" i="1"/>
  <c r="F13846" i="1"/>
  <c r="F13954" i="1"/>
  <c r="F14401" i="1"/>
  <c r="F14557" i="1"/>
  <c r="F14365" i="1"/>
  <c r="F13922" i="1"/>
  <c r="F14026" i="1"/>
  <c r="F13991" i="1"/>
  <c r="F14167" i="1"/>
  <c r="F14055" i="1"/>
  <c r="F14084" i="1"/>
  <c r="F14351" i="1"/>
  <c r="F14244" i="1"/>
  <c r="F13926" i="1"/>
  <c r="F13858" i="1"/>
  <c r="F13949" i="1"/>
  <c r="F14584" i="1"/>
  <c r="F14514" i="1"/>
  <c r="F14487" i="1"/>
  <c r="F13888" i="1"/>
  <c r="F14688" i="1"/>
  <c r="F14041" i="1"/>
  <c r="F14498" i="1"/>
  <c r="F14511" i="1"/>
  <c r="F14246" i="1"/>
  <c r="F14030" i="1"/>
  <c r="F14556" i="1"/>
  <c r="F13914" i="1"/>
  <c r="F14311" i="1"/>
  <c r="F14251" i="1"/>
  <c r="F14533" i="1"/>
  <c r="F14314" i="1"/>
  <c r="F14196" i="1"/>
  <c r="F13995" i="1"/>
  <c r="F13945" i="1"/>
  <c r="F14436" i="1"/>
  <c r="F14264" i="1"/>
  <c r="F14465" i="1"/>
  <c r="F14409" i="1"/>
  <c r="F14187" i="1"/>
  <c r="F14323" i="1"/>
  <c r="F14586" i="1"/>
  <c r="F14468" i="1"/>
  <c r="F14095" i="1"/>
  <c r="F14374" i="1"/>
  <c r="F14435" i="1"/>
  <c r="F14262" i="1"/>
  <c r="F14020" i="1"/>
  <c r="F14361" i="1"/>
  <c r="F14342" i="1"/>
  <c r="F14386" i="1"/>
  <c r="F14044" i="1"/>
  <c r="F14518" i="1"/>
  <c r="F14269" i="1"/>
  <c r="F14207" i="1"/>
  <c r="F14325" i="1"/>
  <c r="F14021" i="1"/>
  <c r="F14415" i="1"/>
  <c r="F14233" i="1"/>
  <c r="F14291" i="1"/>
  <c r="F14293" i="1"/>
  <c r="F14168" i="1"/>
  <c r="F14260" i="1"/>
  <c r="F13947" i="1"/>
  <c r="F14416" i="1"/>
  <c r="F14541" i="1"/>
  <c r="F14005" i="1"/>
  <c r="F14340" i="1"/>
  <c r="F14155" i="1"/>
  <c r="F14074" i="1"/>
  <c r="F14075" i="1"/>
  <c r="F13857" i="1"/>
  <c r="F14444" i="1"/>
  <c r="F14532" i="1"/>
  <c r="F14303" i="1"/>
  <c r="F14379" i="1"/>
  <c r="F13903" i="1"/>
  <c r="F13842" i="1"/>
  <c r="F14203" i="1"/>
  <c r="F14338" i="1"/>
  <c r="F13862" i="1"/>
  <c r="F14445" i="1"/>
  <c r="F14358" i="1"/>
  <c r="F14179" i="1"/>
  <c r="F14628" i="1"/>
  <c r="F14352" i="1"/>
  <c r="F14256" i="1"/>
  <c r="F14102" i="1"/>
  <c r="F14438" i="1"/>
  <c r="F14471" i="1"/>
  <c r="F14159" i="1"/>
  <c r="F14542" i="1"/>
  <c r="F14129" i="1"/>
  <c r="F14087" i="1"/>
  <c r="F14621" i="1"/>
  <c r="F13974" i="1"/>
  <c r="F14092" i="1"/>
  <c r="F14299" i="1"/>
  <c r="F14424" i="1"/>
  <c r="F14606" i="1"/>
  <c r="F14639" i="1"/>
  <c r="F14281" i="1"/>
  <c r="F14136" i="1"/>
  <c r="F13881" i="1"/>
  <c r="F14199" i="1"/>
  <c r="F14388" i="1"/>
  <c r="F14389" i="1"/>
  <c r="F14519" i="1"/>
  <c r="F13864" i="1"/>
  <c r="F13883" i="1"/>
  <c r="F14679" i="1"/>
  <c r="F14230" i="1"/>
  <c r="F14611" i="1"/>
  <c r="F14190" i="1"/>
  <c r="F14004" i="1"/>
  <c r="F14300" i="1"/>
  <c r="F14090" i="1"/>
  <c r="F14641" i="1"/>
  <c r="F14180" i="1"/>
  <c r="F13867" i="1"/>
  <c r="F14460" i="1"/>
  <c r="F14031" i="1"/>
  <c r="F14288" i="1"/>
  <c r="F14632" i="1"/>
  <c r="F14050" i="1"/>
  <c r="F14343" i="1"/>
  <c r="F14610" i="1"/>
  <c r="F14596" i="1"/>
  <c r="F14267" i="1"/>
  <c r="F14089" i="1"/>
  <c r="F14007" i="1"/>
  <c r="F14012" i="1"/>
  <c r="F14082" i="1"/>
  <c r="F14609" i="1"/>
  <c r="F14280" i="1"/>
  <c r="F14123" i="1"/>
  <c r="F14164" i="1"/>
  <c r="F14019" i="1"/>
  <c r="F14571" i="1"/>
  <c r="F14101" i="1"/>
  <c r="F14066" i="1"/>
  <c r="F14344" i="1"/>
  <c r="F14332" i="1"/>
  <c r="F14287" i="1"/>
  <c r="F14486" i="1"/>
  <c r="F14151" i="1"/>
  <c r="F14078" i="1"/>
  <c r="F14376" i="1"/>
  <c r="F14110" i="1"/>
  <c r="F14363" i="1"/>
  <c r="F14410" i="1"/>
  <c r="F13923" i="1"/>
  <c r="F14393" i="1"/>
  <c r="F13941" i="1"/>
  <c r="F14479" i="1"/>
  <c r="F14200" i="1"/>
  <c r="F13935" i="1"/>
  <c r="F14345" i="1"/>
  <c r="F14432" i="1"/>
  <c r="F14346" i="1"/>
  <c r="F14540" i="1"/>
  <c r="F14520" i="1"/>
  <c r="F13986" i="1"/>
  <c r="F14354" i="1"/>
  <c r="F14442" i="1"/>
  <c r="F14120" i="1"/>
  <c r="F14366" i="1"/>
  <c r="F14337" i="1"/>
  <c r="F14390" i="1"/>
  <c r="F13908" i="1"/>
  <c r="F14391" i="1"/>
  <c r="F13961" i="1"/>
  <c r="F14043" i="1"/>
  <c r="F13909" i="1"/>
  <c r="F14010" i="1"/>
  <c r="F14408" i="1"/>
  <c r="F14054" i="1"/>
  <c r="F14369" i="1"/>
  <c r="F14375" i="1"/>
  <c r="F14546" i="1"/>
  <c r="F14057" i="1"/>
  <c r="F14034" i="1"/>
  <c r="F14202" i="1"/>
  <c r="F14659" i="1"/>
  <c r="F14434" i="1"/>
  <c r="F13951" i="1"/>
  <c r="F13889" i="1"/>
  <c r="F14119" i="1"/>
  <c r="F14646" i="1"/>
  <c r="F14245" i="1"/>
  <c r="F14204" i="1"/>
  <c r="F13958" i="1"/>
  <c r="F14218" i="1"/>
  <c r="F14250" i="1"/>
  <c r="F14383" i="1"/>
  <c r="F14359" i="1"/>
  <c r="F13982" i="1"/>
  <c r="F14023" i="1"/>
  <c r="F14412" i="1"/>
  <c r="F13911" i="1"/>
  <c r="F14572" i="1"/>
  <c r="F14502" i="1"/>
  <c r="F14024" i="1"/>
  <c r="F14466" i="1"/>
  <c r="F14462" i="1"/>
  <c r="F13927" i="1"/>
  <c r="F14470" i="1"/>
  <c r="F14002" i="1"/>
  <c r="F14521" i="1"/>
  <c r="F14298" i="1"/>
  <c r="F14131" i="1"/>
  <c r="F14505" i="1"/>
  <c r="F14559" i="1"/>
  <c r="F14175" i="1"/>
  <c r="F14065" i="1"/>
  <c r="F14418" i="1"/>
  <c r="F14171" i="1"/>
  <c r="F14421" i="1"/>
  <c r="F14112" i="1"/>
  <c r="F14113" i="1"/>
  <c r="F14472" i="1"/>
  <c r="F14473" i="1"/>
  <c r="F14185" i="1"/>
  <c r="F14333" i="1"/>
  <c r="F14255" i="1"/>
  <c r="F14600" i="1"/>
  <c r="F14228" i="1"/>
  <c r="F14392" i="1"/>
  <c r="F14289" i="1"/>
  <c r="F14029" i="1"/>
  <c r="F14091" i="1"/>
  <c r="F13999" i="1"/>
  <c r="F13887" i="1"/>
  <c r="F14189" i="1"/>
  <c r="F14040" i="1"/>
  <c r="F14385" i="1"/>
  <c r="F14356" i="1"/>
  <c r="F14118" i="1"/>
  <c r="F14313" i="1"/>
  <c r="F14637" i="1"/>
  <c r="F14636" i="1"/>
  <c r="F14275" i="1"/>
  <c r="F14239" i="1"/>
  <c r="F14360" i="1"/>
  <c r="F14457" i="1"/>
  <c r="F13972" i="1"/>
  <c r="F13894" i="1"/>
  <c r="F13993" i="1"/>
  <c r="F14308" i="1"/>
  <c r="F14133" i="1"/>
  <c r="F13901" i="1"/>
  <c r="F14254" i="1"/>
  <c r="F14467" i="1"/>
  <c r="F14257" i="1"/>
  <c r="F14258" i="1"/>
  <c r="F13933" i="1"/>
  <c r="F14686" i="1"/>
  <c r="F14331" i="1"/>
  <c r="F14138" i="1"/>
  <c r="F14139" i="1"/>
  <c r="F13930" i="1"/>
  <c r="F13931" i="1"/>
  <c r="F13843" i="1"/>
  <c r="F14042" i="1"/>
  <c r="F14181" i="1"/>
  <c r="F14535" i="1"/>
  <c r="F14127" i="1"/>
  <c r="F14347" i="1"/>
  <c r="F14522" i="1"/>
  <c r="F14623" i="1"/>
  <c r="F14035" i="1"/>
  <c r="F13944" i="1"/>
  <c r="F13960" i="1"/>
  <c r="F14330" i="1"/>
  <c r="F13963" i="1"/>
  <c r="F14186" i="1"/>
  <c r="F13917" i="1"/>
  <c r="F13899" i="1"/>
  <c r="F14149" i="1"/>
  <c r="F14011" i="1"/>
  <c r="F13952" i="1"/>
  <c r="F14249" i="1"/>
  <c r="F13929" i="1"/>
  <c r="F14088" i="1"/>
  <c r="F13969" i="1"/>
  <c r="F14414" i="1"/>
  <c r="F14049" i="1"/>
  <c r="F14362" i="1"/>
  <c r="F14509" i="1"/>
  <c r="F14278" i="1"/>
  <c r="F14317" i="1"/>
  <c r="F14071" i="1"/>
  <c r="F14504" i="1"/>
  <c r="F14469" i="1"/>
  <c r="F14512" i="1"/>
  <c r="F14484" i="1"/>
  <c r="F14560" i="1"/>
  <c r="F14240" i="1"/>
  <c r="F14327" i="1"/>
  <c r="F14184" i="1"/>
  <c r="F13848" i="1"/>
  <c r="F14368" i="1"/>
  <c r="F14067" i="1"/>
  <c r="F14214" i="1"/>
  <c r="F14045" i="1"/>
  <c r="F14259" i="1"/>
  <c r="F14483" i="1"/>
  <c r="F13992" i="1"/>
  <c r="F14423" i="1"/>
  <c r="F13983" i="1"/>
  <c r="F14100" i="1"/>
  <c r="F14474" i="1"/>
  <c r="F14475" i="1"/>
  <c r="F14515" i="1"/>
  <c r="F14104" i="1"/>
  <c r="F14153" i="1"/>
  <c r="F14304" i="1"/>
  <c r="F14523" i="1"/>
  <c r="F14508" i="1"/>
  <c r="F14178" i="1"/>
  <c r="F14252" i="1"/>
  <c r="F14367" i="1"/>
  <c r="F14478" i="1"/>
  <c r="F14143" i="1"/>
  <c r="F14114" i="1"/>
  <c r="F14297" i="1"/>
  <c r="F14320" i="1"/>
  <c r="F14215" i="1"/>
  <c r="F14156" i="1"/>
  <c r="F14681" i="1"/>
  <c r="F14309" i="1"/>
  <c r="F13934" i="1"/>
  <c r="F14378" i="1"/>
  <c r="F13938" i="1"/>
  <c r="F14594" i="1"/>
  <c r="F14279" i="1"/>
  <c r="F14135" i="1"/>
  <c r="F13896" i="1"/>
  <c r="F14037" i="1"/>
  <c r="F14266" i="1"/>
  <c r="F14402" i="1"/>
  <c r="F14128" i="1"/>
  <c r="F14103" i="1"/>
  <c r="F13886" i="1"/>
  <c r="F13956" i="1"/>
  <c r="F14539" i="1"/>
  <c r="F14329" i="1"/>
  <c r="F14506" i="1"/>
  <c r="F14440" i="1"/>
  <c r="F14425" i="1"/>
  <c r="F14198" i="1"/>
  <c r="F13997" i="1"/>
  <c r="F14458" i="1"/>
  <c r="F14382" i="1"/>
  <c r="F14237" i="1"/>
  <c r="F14489" i="1"/>
  <c r="F14312" i="1"/>
  <c r="F13924" i="1"/>
  <c r="F14170" i="1"/>
  <c r="F13892" i="1"/>
  <c r="F13998" i="1"/>
  <c r="F14318" i="1"/>
  <c r="F14183" i="1"/>
  <c r="F14530" i="1"/>
  <c r="F14536" i="1"/>
  <c r="F14126" i="1"/>
  <c r="F14631" i="1"/>
  <c r="F14380" i="1"/>
  <c r="F14524" i="1"/>
  <c r="F13882" i="1"/>
  <c r="F14221" i="1"/>
  <c r="F14003" i="1"/>
  <c r="F14098" i="1"/>
  <c r="F13897" i="1"/>
  <c r="F13898" i="1"/>
  <c r="F14605" i="1"/>
  <c r="F14604" i="1"/>
  <c r="F14441" i="1"/>
  <c r="F14234" i="1"/>
  <c r="F14377" i="1"/>
  <c r="F14675" i="1"/>
  <c r="F14348" i="1"/>
  <c r="F14525" i="1"/>
  <c r="F14108" i="1"/>
  <c r="F14640" i="1"/>
  <c r="F14056" i="1"/>
  <c r="F14033" i="1"/>
  <c r="F14232" i="1"/>
  <c r="F14310" i="1"/>
  <c r="F13839" i="1"/>
  <c r="F14077" i="1"/>
  <c r="F14624" i="1"/>
  <c r="F14177" i="1"/>
  <c r="F14319" i="1"/>
  <c r="F13902" i="1"/>
  <c r="F14111" i="1"/>
  <c r="F14456" i="1"/>
  <c r="F14047" i="1"/>
  <c r="F14093" i="1"/>
  <c r="F14585" i="1"/>
  <c r="F14072" i="1"/>
  <c r="F14334" i="1"/>
  <c r="F14060" i="1"/>
  <c r="F14419" i="1"/>
  <c r="F13985" i="1"/>
  <c r="F14132" i="1"/>
  <c r="F14341" i="1"/>
  <c r="F14394" i="1"/>
  <c r="F14016" i="1"/>
  <c r="F14545" i="1"/>
  <c r="F14211" i="1"/>
  <c r="F14160" i="1"/>
  <c r="F14480" i="1"/>
  <c r="F14526" i="1"/>
  <c r="F14261" i="1"/>
  <c r="F14651" i="1"/>
  <c r="F13966" i="1"/>
  <c r="F14205" i="1"/>
  <c r="F14335" i="1"/>
  <c r="F14433" i="1"/>
  <c r="F13912" i="1"/>
  <c r="F13891" i="1"/>
  <c r="F14188" i="1"/>
  <c r="F14446" i="1"/>
  <c r="F14447" i="1"/>
  <c r="F14448" i="1"/>
  <c r="F14449" i="1"/>
  <c r="F14169" i="1"/>
  <c r="F14328" i="1"/>
  <c r="F14400" i="1"/>
  <c r="F13946" i="1"/>
  <c r="F14224" i="1"/>
  <c r="F14206" i="1"/>
  <c r="F14099" i="1"/>
  <c r="F13976" i="1"/>
  <c r="F14243" i="1"/>
  <c r="F14150" i="1"/>
  <c r="F14607" i="1"/>
  <c r="F14046" i="1"/>
  <c r="F14461" i="1"/>
  <c r="F13980" i="1"/>
  <c r="F14652" i="1"/>
  <c r="F14081" i="1"/>
  <c r="F14437" i="1"/>
  <c r="F14219" i="1"/>
  <c r="F14076" i="1"/>
  <c r="F14201" i="1"/>
  <c r="F13906" i="1"/>
  <c r="F14301" i="1"/>
  <c r="F14459" i="1"/>
  <c r="F14176" i="1"/>
  <c r="F14593" i="1"/>
  <c r="F14263" i="1"/>
  <c r="F14599" i="1"/>
  <c r="F14137" i="1"/>
  <c r="F14018" i="1"/>
  <c r="F14058" i="1"/>
  <c r="F14038" i="1"/>
  <c r="F14086" i="1"/>
  <c r="F14503" i="1"/>
  <c r="F14142" i="1"/>
  <c r="F14212" i="1"/>
  <c r="F14495" i="1"/>
  <c r="F14629" i="1"/>
  <c r="F14265" i="1"/>
  <c r="F14231" i="1"/>
  <c r="F14017" i="1"/>
  <c r="F14105" i="1"/>
  <c r="F14292" i="1"/>
  <c r="F14053" i="1"/>
  <c r="F14182" i="1"/>
  <c r="F13890" i="1"/>
  <c r="F13955" i="1"/>
  <c r="F14634" i="1"/>
  <c r="F14154" i="1"/>
  <c r="F14036" i="1"/>
  <c r="F14052" i="1"/>
  <c r="F14097" i="1"/>
  <c r="F14497" i="1"/>
  <c r="F14336" i="1"/>
  <c r="F14496" i="1"/>
  <c r="F14349" i="1"/>
  <c r="F14048" i="1"/>
  <c r="F14271" i="1"/>
  <c r="F14085" i="1"/>
  <c r="F14122" i="1"/>
  <c r="F14562" i="1"/>
  <c r="F14316" i="1"/>
  <c r="F13978" i="1"/>
  <c r="F14403" i="1"/>
  <c r="F14172" i="1"/>
  <c r="F14350" i="1"/>
  <c r="F14527" i="1"/>
  <c r="F14633" i="1"/>
  <c r="F14613" i="1"/>
  <c r="F14614" i="1"/>
  <c r="F14274" i="1"/>
  <c r="F14295" i="1"/>
  <c r="F14395" i="1"/>
  <c r="F14665" i="1"/>
  <c r="F13987" i="1"/>
  <c r="F14476" i="1"/>
  <c r="F14152" i="1"/>
  <c r="F14561" i="1"/>
  <c r="F13959" i="1"/>
  <c r="F14241" i="1"/>
  <c r="F13940" i="1"/>
  <c r="F14161" i="1"/>
  <c r="F14326" i="1"/>
  <c r="F14529" i="1"/>
  <c r="F14125" i="1"/>
  <c r="F14083" i="1"/>
  <c r="F14384" i="1"/>
  <c r="F14094" i="1"/>
  <c r="F14117" i="1"/>
  <c r="F13964" i="1"/>
  <c r="F14242" i="1"/>
  <c r="F13968" i="1"/>
  <c r="O13968" i="1"/>
  <c r="O14242" i="1"/>
  <c r="O13964" i="1"/>
  <c r="O14117" i="1"/>
  <c r="O14094" i="1"/>
  <c r="O14384" i="1"/>
  <c r="O14083" i="1"/>
  <c r="O14125" i="1"/>
  <c r="O14529" i="1"/>
  <c r="O14326" i="1"/>
  <c r="O14161" i="1"/>
  <c r="O13940" i="1"/>
  <c r="O14241" i="1"/>
  <c r="O13959" i="1"/>
  <c r="O14561" i="1"/>
  <c r="O14152" i="1"/>
  <c r="O14476" i="1"/>
  <c r="O13987" i="1"/>
  <c r="O14665" i="1"/>
  <c r="O14395" i="1"/>
  <c r="O14295" i="1"/>
  <c r="O14274" i="1"/>
  <c r="O14614" i="1"/>
  <c r="O14613" i="1"/>
  <c r="O14633" i="1"/>
  <c r="O14527" i="1"/>
  <c r="O14350" i="1"/>
  <c r="O14172" i="1"/>
  <c r="O14403" i="1"/>
  <c r="O13978" i="1"/>
  <c r="O14316" i="1"/>
  <c r="O14562" i="1"/>
  <c r="O14122" i="1"/>
  <c r="O14085" i="1"/>
  <c r="O14271" i="1"/>
  <c r="O14048" i="1"/>
  <c r="O14349" i="1"/>
  <c r="O14496" i="1"/>
  <c r="O14336" i="1"/>
  <c r="O14497" i="1"/>
  <c r="O14097" i="1"/>
  <c r="O14052" i="1"/>
  <c r="O14036" i="1"/>
  <c r="O14154" i="1"/>
  <c r="O14634" i="1"/>
  <c r="O13955" i="1"/>
  <c r="O13890" i="1"/>
  <c r="O14182" i="1"/>
  <c r="O14053" i="1"/>
  <c r="O14292" i="1"/>
  <c r="O14105" i="1"/>
  <c r="O14017" i="1"/>
  <c r="O14231" i="1"/>
  <c r="O14265" i="1"/>
  <c r="O14629" i="1"/>
  <c r="O14495" i="1"/>
  <c r="O14212" i="1"/>
  <c r="O14142" i="1"/>
  <c r="O14503" i="1"/>
  <c r="O14086" i="1"/>
  <c r="O14038" i="1"/>
  <c r="O14058" i="1"/>
  <c r="O14018" i="1"/>
  <c r="O14137" i="1"/>
  <c r="O14599" i="1"/>
  <c r="O14263" i="1"/>
  <c r="O14593" i="1"/>
  <c r="O14176" i="1"/>
  <c r="O14459" i="1"/>
  <c r="O14301" i="1"/>
  <c r="O13906" i="1"/>
  <c r="O14201" i="1"/>
  <c r="O14076" i="1"/>
  <c r="O14219" i="1"/>
  <c r="O14437" i="1"/>
  <c r="O14081" i="1"/>
  <c r="O14652" i="1"/>
  <c r="O13980" i="1"/>
  <c r="O14461" i="1"/>
  <c r="O14046" i="1"/>
  <c r="O14607" i="1"/>
  <c r="O14150" i="1"/>
  <c r="O14243" i="1"/>
  <c r="O13976" i="1"/>
  <c r="O14099" i="1"/>
  <c r="O14206" i="1"/>
  <c r="O14224" i="1"/>
  <c r="O13946" i="1"/>
  <c r="O14400" i="1"/>
  <c r="O14328" i="1"/>
  <c r="O14169" i="1"/>
  <c r="O14449" i="1"/>
  <c r="O14448" i="1"/>
  <c r="O14447" i="1"/>
  <c r="O14446" i="1"/>
  <c r="O14188" i="1"/>
  <c r="O13891" i="1"/>
  <c r="O13912" i="1"/>
  <c r="O14433" i="1"/>
  <c r="O14335" i="1"/>
  <c r="O14205" i="1"/>
  <c r="O13966" i="1"/>
  <c r="O14651" i="1"/>
  <c r="O14261" i="1"/>
  <c r="O14526" i="1"/>
  <c r="O14480" i="1"/>
  <c r="O14160" i="1"/>
  <c r="O14211" i="1"/>
  <c r="O14545" i="1"/>
  <c r="O14016" i="1"/>
  <c r="O14394" i="1"/>
  <c r="O14341" i="1"/>
  <c r="O14132" i="1"/>
  <c r="O13985" i="1"/>
  <c r="O14419" i="1"/>
  <c r="O14060" i="1"/>
  <c r="O14334" i="1"/>
  <c r="O14072" i="1"/>
  <c r="O14585" i="1"/>
  <c r="O14093" i="1"/>
  <c r="O14047" i="1"/>
  <c r="O14456" i="1"/>
  <c r="O14111" i="1"/>
  <c r="O13902" i="1"/>
  <c r="O14319" i="1"/>
  <c r="O14177" i="1"/>
  <c r="O14624" i="1"/>
  <c r="O14077" i="1"/>
  <c r="O13839" i="1"/>
  <c r="O14310" i="1"/>
  <c r="O14232" i="1"/>
  <c r="O14033" i="1"/>
  <c r="O14056" i="1"/>
  <c r="O14640" i="1"/>
  <c r="O14108" i="1"/>
  <c r="O14525" i="1"/>
  <c r="O14348" i="1"/>
  <c r="O14675" i="1"/>
  <c r="O14377" i="1"/>
  <c r="O14234" i="1"/>
  <c r="O14441" i="1"/>
  <c r="O14604" i="1"/>
  <c r="O14605" i="1"/>
  <c r="O13898" i="1"/>
  <c r="O13897" i="1"/>
  <c r="O14098" i="1"/>
  <c r="O14003" i="1"/>
  <c r="O14221" i="1"/>
  <c r="O13882" i="1"/>
  <c r="O14524" i="1"/>
  <c r="O14380" i="1"/>
  <c r="O14631" i="1"/>
  <c r="O14126" i="1"/>
  <c r="O14536" i="1"/>
  <c r="O14530" i="1"/>
  <c r="O14183" i="1"/>
  <c r="O14318" i="1"/>
  <c r="O13998" i="1"/>
  <c r="O13892" i="1"/>
  <c r="O14170" i="1"/>
  <c r="O13924" i="1"/>
  <c r="O14312" i="1"/>
  <c r="O14489" i="1"/>
  <c r="O14237" i="1"/>
  <c r="O14382" i="1"/>
  <c r="O14458" i="1"/>
  <c r="O13997" i="1"/>
  <c r="O14198" i="1"/>
  <c r="O14425" i="1"/>
  <c r="O14440" i="1"/>
  <c r="O14506" i="1"/>
  <c r="O14329" i="1"/>
  <c r="O14539" i="1"/>
  <c r="O13956" i="1"/>
  <c r="O13886" i="1"/>
  <c r="O14103" i="1"/>
  <c r="O14128" i="1"/>
  <c r="O14402" i="1"/>
  <c r="O14266" i="1"/>
  <c r="O14037" i="1"/>
  <c r="O13896" i="1"/>
  <c r="O14135" i="1"/>
  <c r="O14279" i="1"/>
  <c r="O14594" i="1"/>
  <c r="O13938" i="1"/>
  <c r="O14378" i="1"/>
  <c r="O13934" i="1"/>
  <c r="O14309" i="1"/>
  <c r="O14681" i="1"/>
  <c r="O14156" i="1"/>
  <c r="O14215" i="1"/>
  <c r="O14320" i="1"/>
  <c r="O14297" i="1"/>
  <c r="O14114" i="1"/>
  <c r="O14143" i="1"/>
  <c r="O14478" i="1"/>
  <c r="O14367" i="1"/>
  <c r="O14252" i="1"/>
  <c r="O14178" i="1"/>
  <c r="O14508" i="1"/>
  <c r="O14523" i="1"/>
  <c r="O14304" i="1"/>
  <c r="O14153" i="1"/>
  <c r="O14104" i="1"/>
  <c r="O14515" i="1"/>
  <c r="O14475" i="1"/>
  <c r="O14474" i="1"/>
  <c r="O14100" i="1"/>
  <c r="O13983" i="1"/>
  <c r="O14423" i="1"/>
  <c r="O13992" i="1"/>
  <c r="O14483" i="1"/>
  <c r="O14259" i="1"/>
  <c r="O14045" i="1"/>
  <c r="O14214" i="1"/>
  <c r="O14067" i="1"/>
  <c r="O14368" i="1"/>
  <c r="O13848" i="1"/>
  <c r="O14184" i="1"/>
  <c r="O14327" i="1"/>
  <c r="O14240" i="1"/>
  <c r="O14560" i="1"/>
  <c r="O14484" i="1"/>
  <c r="O14512" i="1"/>
  <c r="O14469" i="1"/>
  <c r="O14504" i="1"/>
  <c r="O14071" i="1"/>
  <c r="O14317" i="1"/>
  <c r="O14278" i="1"/>
  <c r="O14509" i="1"/>
  <c r="O14362" i="1"/>
  <c r="O14049" i="1"/>
  <c r="O14414" i="1"/>
  <c r="O13969" i="1"/>
  <c r="O14088" i="1"/>
  <c r="O13929" i="1"/>
  <c r="O14249" i="1"/>
  <c r="O13952" i="1"/>
  <c r="O14011" i="1"/>
  <c r="O14149" i="1"/>
  <c r="O13899" i="1"/>
  <c r="O13917" i="1"/>
  <c r="O14186" i="1"/>
  <c r="O13963" i="1"/>
  <c r="O14330" i="1"/>
  <c r="O13960" i="1"/>
  <c r="O13944" i="1"/>
  <c r="O14035" i="1"/>
  <c r="O14623" i="1"/>
  <c r="O14522" i="1"/>
  <c r="O14347" i="1"/>
  <c r="O14127" i="1"/>
  <c r="O14535" i="1"/>
  <c r="O14181" i="1"/>
  <c r="O14042" i="1"/>
  <c r="O13843" i="1"/>
  <c r="O13931" i="1"/>
  <c r="O13930" i="1"/>
  <c r="O14139" i="1"/>
  <c r="O14138" i="1"/>
  <c r="O14331" i="1"/>
  <c r="O14686" i="1"/>
  <c r="O13933" i="1"/>
  <c r="O14258" i="1"/>
  <c r="O14257" i="1"/>
  <c r="O14467" i="1"/>
  <c r="O14254" i="1"/>
  <c r="O13901" i="1"/>
  <c r="O14133" i="1"/>
  <c r="O14308" i="1"/>
  <c r="O13993" i="1"/>
  <c r="O13894" i="1"/>
  <c r="O13972" i="1"/>
  <c r="O14457" i="1"/>
  <c r="O14360" i="1"/>
  <c r="O14239" i="1"/>
  <c r="O14275" i="1"/>
  <c r="O14636" i="1"/>
  <c r="O14637" i="1"/>
  <c r="O14313" i="1"/>
  <c r="O14118" i="1"/>
  <c r="O14356" i="1"/>
  <c r="O14385" i="1"/>
  <c r="O14040" i="1"/>
  <c r="O14189" i="1"/>
  <c r="O13887" i="1"/>
  <c r="O13999" i="1"/>
  <c r="O14091" i="1"/>
  <c r="O14029" i="1"/>
  <c r="O14289" i="1"/>
  <c r="O14392" i="1"/>
  <c r="O14228" i="1"/>
  <c r="O14600" i="1"/>
  <c r="O14255" i="1"/>
  <c r="O14333" i="1"/>
  <c r="O14185" i="1"/>
  <c r="O14473" i="1"/>
  <c r="O14472" i="1"/>
  <c r="O14113" i="1"/>
  <c r="O14112" i="1"/>
  <c r="O14421" i="1"/>
  <c r="O14171" i="1"/>
  <c r="O14418" i="1"/>
  <c r="O14065" i="1"/>
  <c r="O14175" i="1"/>
  <c r="O14559" i="1"/>
  <c r="O14505" i="1"/>
  <c r="O14131" i="1"/>
  <c r="O14298" i="1"/>
  <c r="O14521" i="1"/>
  <c r="O14002" i="1"/>
  <c r="O14470" i="1"/>
  <c r="O13927" i="1"/>
  <c r="O14462" i="1"/>
  <c r="O14466" i="1"/>
  <c r="O14024" i="1"/>
  <c r="O14502" i="1"/>
  <c r="O14572" i="1"/>
  <c r="O13911" i="1"/>
  <c r="O14412" i="1"/>
  <c r="O14023" i="1"/>
  <c r="O13982" i="1"/>
  <c r="O14359" i="1"/>
  <c r="O14383" i="1"/>
  <c r="O14250" i="1"/>
  <c r="O14218" i="1"/>
  <c r="O13958" i="1"/>
  <c r="O14204" i="1"/>
  <c r="O14245" i="1"/>
  <c r="O14646" i="1"/>
  <c r="O14119" i="1"/>
  <c r="O13889" i="1"/>
  <c r="O13951" i="1"/>
  <c r="O14434" i="1"/>
  <c r="O14659" i="1"/>
  <c r="O14202" i="1"/>
  <c r="O14034" i="1"/>
  <c r="O14057" i="1"/>
  <c r="O14546" i="1"/>
  <c r="O14375" i="1"/>
  <c r="O14369" i="1"/>
  <c r="O14054" i="1"/>
  <c r="O14408" i="1"/>
  <c r="O14010" i="1"/>
  <c r="O13909" i="1"/>
  <c r="O14043" i="1"/>
  <c r="O13961" i="1"/>
  <c r="O14391" i="1"/>
  <c r="O13908" i="1"/>
  <c r="O14390" i="1"/>
  <c r="O14337" i="1"/>
  <c r="O14366" i="1"/>
  <c r="O14120" i="1"/>
  <c r="O14442" i="1"/>
  <c r="O14354" i="1"/>
  <c r="O13986" i="1"/>
  <c r="O14520" i="1"/>
  <c r="O14540" i="1"/>
  <c r="O14346" i="1"/>
  <c r="O14432" i="1"/>
  <c r="O14345" i="1"/>
  <c r="O13935" i="1"/>
  <c r="O14200" i="1"/>
  <c r="O14479" i="1"/>
  <c r="O13941" i="1"/>
  <c r="O14393" i="1"/>
  <c r="O13923" i="1"/>
  <c r="O14410" i="1"/>
  <c r="O14363" i="1"/>
  <c r="O14110" i="1"/>
  <c r="O14376" i="1"/>
  <c r="O14078" i="1"/>
  <c r="O14151" i="1"/>
  <c r="O14486" i="1"/>
  <c r="O14287" i="1"/>
  <c r="O14332" i="1"/>
  <c r="O14344" i="1"/>
  <c r="O14066" i="1"/>
  <c r="O14101" i="1"/>
  <c r="O14571" i="1"/>
  <c r="O14019" i="1"/>
  <c r="O14164" i="1"/>
  <c r="O14123" i="1"/>
  <c r="O14280" i="1"/>
  <c r="O14609" i="1"/>
  <c r="O14082" i="1"/>
  <c r="O14012" i="1"/>
  <c r="O14007" i="1"/>
  <c r="O14089" i="1"/>
  <c r="O14267" i="1"/>
  <c r="O14596" i="1"/>
  <c r="O14610" i="1"/>
  <c r="O14343" i="1"/>
  <c r="O14050" i="1"/>
  <c r="O14632" i="1"/>
  <c r="O14288" i="1"/>
  <c r="O14031" i="1"/>
  <c r="O14460" i="1"/>
  <c r="O13867" i="1"/>
  <c r="O14180" i="1"/>
  <c r="O14641" i="1"/>
  <c r="O14090" i="1"/>
  <c r="O14300" i="1"/>
  <c r="O14004" i="1"/>
  <c r="O14190" i="1"/>
  <c r="O14611" i="1"/>
  <c r="O14230" i="1"/>
  <c r="O14679" i="1"/>
  <c r="O13883" i="1"/>
  <c r="O13864" i="1"/>
  <c r="O14519" i="1"/>
  <c r="O14389" i="1"/>
  <c r="O14388" i="1"/>
  <c r="O14199" i="1"/>
  <c r="O13881" i="1"/>
  <c r="O14136" i="1"/>
  <c r="O14281" i="1"/>
  <c r="O14639" i="1"/>
  <c r="O14606" i="1"/>
  <c r="O14424" i="1"/>
  <c r="O14299" i="1"/>
  <c r="O14092" i="1"/>
  <c r="O13974" i="1"/>
  <c r="O14621" i="1"/>
  <c r="O14087" i="1"/>
  <c r="O14129" i="1"/>
  <c r="O14542" i="1"/>
  <c r="O14159" i="1"/>
  <c r="O14471" i="1"/>
  <c r="O14438" i="1"/>
  <c r="O14102" i="1"/>
  <c r="O14256" i="1"/>
  <c r="O14352" i="1"/>
  <c r="O14628" i="1"/>
  <c r="O14179" i="1"/>
  <c r="O14358" i="1"/>
  <c r="O14445" i="1"/>
  <c r="O13862" i="1"/>
  <c r="O14338" i="1"/>
  <c r="O14203" i="1"/>
  <c r="O13842" i="1"/>
  <c r="O13903" i="1"/>
  <c r="O14379" i="1"/>
  <c r="O14303" i="1"/>
  <c r="O14532" i="1"/>
  <c r="O14444" i="1"/>
  <c r="O13857" i="1"/>
  <c r="O14075" i="1"/>
  <c r="O14074" i="1"/>
  <c r="O14155" i="1"/>
  <c r="O14340" i="1"/>
  <c r="O14005" i="1"/>
  <c r="O14541" i="1"/>
  <c r="O14416" i="1"/>
  <c r="O13947" i="1"/>
  <c r="O14260" i="1"/>
  <c r="O14168" i="1"/>
  <c r="O14293" i="1"/>
  <c r="O14291" i="1"/>
  <c r="O14233" i="1"/>
  <c r="O14415" i="1"/>
  <c r="O14021" i="1"/>
  <c r="O14325" i="1"/>
  <c r="O14207" i="1"/>
  <c r="O14269" i="1"/>
  <c r="O14518" i="1"/>
  <c r="O14044" i="1"/>
  <c r="O14386" i="1"/>
  <c r="O14342" i="1"/>
  <c r="O14361" i="1"/>
  <c r="O14020" i="1"/>
  <c r="O14262" i="1"/>
  <c r="O14435" i="1"/>
  <c r="O14374" i="1"/>
  <c r="O14095" i="1"/>
  <c r="O14468" i="1"/>
  <c r="O14586" i="1"/>
  <c r="O14323" i="1"/>
  <c r="O14187" i="1"/>
  <c r="O14409" i="1"/>
  <c r="O14465" i="1"/>
  <c r="O14264" i="1"/>
  <c r="O14436" i="1"/>
  <c r="O13945" i="1"/>
  <c r="O13995" i="1"/>
  <c r="O14196" i="1"/>
  <c r="O14314" i="1"/>
  <c r="O14533" i="1"/>
  <c r="O14251" i="1"/>
  <c r="O14311" i="1"/>
  <c r="O13914" i="1"/>
  <c r="O14556" i="1"/>
  <c r="O14030" i="1"/>
  <c r="O14246" i="1"/>
  <c r="O14511" i="1"/>
  <c r="O14498" i="1"/>
  <c r="O14041" i="1"/>
  <c r="O14688" i="1"/>
  <c r="O13888" i="1"/>
  <c r="O14487" i="1"/>
  <c r="O14514" i="1"/>
  <c r="O14584" i="1"/>
  <c r="O13949" i="1"/>
  <c r="O13858" i="1"/>
  <c r="O13926" i="1"/>
  <c r="O14244" i="1"/>
  <c r="O14351" i="1"/>
  <c r="O14084" i="1"/>
  <c r="O14055" i="1"/>
  <c r="O14167" i="1"/>
  <c r="O13991" i="1"/>
  <c r="O14026" i="1"/>
  <c r="O13922" i="1"/>
  <c r="O14365" i="1"/>
  <c r="O14557" i="1"/>
  <c r="O14401" i="1"/>
  <c r="O13954" i="1"/>
  <c r="O13846" i="1"/>
  <c r="O13861" i="1"/>
  <c r="O13860" i="1"/>
  <c r="O13859" i="1"/>
  <c r="O14273" i="1"/>
  <c r="O14450" i="1"/>
  <c r="O14439" i="1"/>
  <c r="O13989" i="1"/>
  <c r="O14009" i="1"/>
  <c r="O14039" i="1"/>
  <c r="O13865" i="1"/>
  <c r="O13950" i="1"/>
  <c r="O14173" i="1"/>
  <c r="O14322" i="1"/>
  <c r="O14534" i="1"/>
  <c r="O14537" i="1"/>
  <c r="O14517" i="1"/>
  <c r="O14253" i="1"/>
  <c r="O14070" i="1"/>
  <c r="O14558" i="1"/>
  <c r="O14355" i="1"/>
  <c r="O14687" i="1"/>
  <c r="O14210" i="1"/>
  <c r="O14235" i="1"/>
  <c r="O14208" i="1"/>
  <c r="O14294" i="1"/>
  <c r="O14553" i="1"/>
  <c r="O14116" i="1"/>
  <c r="O14223" i="1"/>
  <c r="O14485" i="1"/>
  <c r="O14552" i="1"/>
  <c r="O14307" i="1"/>
  <c r="O14306" i="1"/>
  <c r="O14544" i="1"/>
  <c r="O14286" i="1"/>
  <c r="O14494" i="1"/>
  <c r="O14195" i="1"/>
  <c r="O14581" i="1"/>
  <c r="O14455" i="1"/>
  <c r="O14500" i="1"/>
  <c r="O13918" i="1"/>
  <c r="O13977" i="1"/>
  <c r="O14615" i="1"/>
  <c r="O14551" i="1"/>
  <c r="O14488" i="1"/>
  <c r="O14583" i="1"/>
  <c r="O14236" i="1"/>
  <c r="O14285" i="1"/>
  <c r="O14417" i="1"/>
  <c r="O14194" i="1"/>
  <c r="O14073" i="1"/>
  <c r="O14493" i="1"/>
  <c r="O14115" i="1"/>
  <c r="O14463" i="1"/>
  <c r="O14647" i="1"/>
  <c r="O14209" i="1"/>
  <c r="O14580" i="1"/>
  <c r="O14454" i="1"/>
  <c r="O14550" i="1"/>
  <c r="O14162" i="1"/>
  <c r="O14576" i="1"/>
  <c r="O14062" i="1"/>
  <c r="O14406" i="1"/>
  <c r="O14510" i="1"/>
  <c r="O14404" i="1"/>
  <c r="O14398" i="1"/>
  <c r="O14174" i="1"/>
  <c r="O13994" i="1"/>
  <c r="O14226" i="1"/>
  <c r="O14405" i="1"/>
  <c r="O14501" i="1"/>
  <c r="O14238" i="1"/>
  <c r="O14284" i="1"/>
  <c r="O14158" i="1"/>
  <c r="O14492" i="1"/>
  <c r="O14193" i="1"/>
  <c r="O14642" i="1"/>
  <c r="O14554" i="1"/>
  <c r="O14567" i="1"/>
  <c r="O13915" i="1"/>
  <c r="O14579" i="1"/>
  <c r="O14453" i="1"/>
  <c r="O14549" i="1"/>
  <c r="O13905" i="1"/>
  <c r="O14166" i="1"/>
  <c r="O13913" i="1"/>
  <c r="O14283" i="1"/>
  <c r="O14491" i="1"/>
  <c r="O14645" i="1"/>
  <c r="O14141" i="1"/>
  <c r="O14578" i="1"/>
  <c r="O14452" i="1"/>
  <c r="O14548" i="1"/>
  <c r="O14015" i="1"/>
  <c r="O14191" i="1"/>
  <c r="O14387" i="1"/>
  <c r="O14080" i="1"/>
  <c r="O14282" i="1"/>
  <c r="O14490" i="1"/>
  <c r="O14411" i="1"/>
  <c r="O14592" i="1"/>
  <c r="O14481" i="1"/>
  <c r="O14217" i="1"/>
  <c r="O14528" i="1"/>
  <c r="O14464" i="1"/>
  <c r="O14324" i="1"/>
  <c r="O14420" i="1"/>
  <c r="O14140" i="1"/>
  <c r="O14531" i="1"/>
  <c r="O14513" i="1"/>
  <c r="O14130" i="1"/>
  <c r="O14431" i="1"/>
  <c r="O14477" i="1"/>
  <c r="O14407" i="1"/>
  <c r="O14587" i="1"/>
  <c r="O14302" i="1"/>
  <c r="O14107" i="1"/>
  <c r="O14575" i="1"/>
  <c r="O14482" i="1"/>
  <c r="O14216" i="1"/>
  <c r="O14027" i="1"/>
  <c r="O14096" i="1"/>
  <c r="O14507" i="1"/>
  <c r="O14272" i="1"/>
  <c r="O14006" i="1"/>
  <c r="O14051" i="1"/>
  <c r="O13937" i="1"/>
  <c r="O14222" i="1"/>
  <c r="O14443" i="1"/>
  <c r="O13970" i="1"/>
  <c r="O14106" i="1"/>
  <c r="O14516" i="1"/>
  <c r="O14290" i="1"/>
  <c r="O14413" i="1"/>
  <c r="O14321" i="1"/>
  <c r="O14499" i="1"/>
  <c r="O14399" i="1"/>
  <c r="O14577" i="1"/>
  <c r="O14059" i="1"/>
  <c r="O14163" i="1"/>
  <c r="O14569" i="1"/>
  <c r="O14582" i="1"/>
  <c r="O14568" i="1"/>
  <c r="O13988" i="1"/>
  <c r="O14270" i="1"/>
  <c r="O14608" i="1"/>
  <c r="O13962" i="1"/>
  <c r="O14381" i="1"/>
  <c r="O14451" i="1"/>
  <c r="O14547" i="1"/>
  <c r="O14573" i="1"/>
  <c r="O14574" i="1"/>
  <c r="O14315" i="1"/>
  <c r="O14397" i="1"/>
  <c r="O14220" i="1"/>
  <c r="O14357" i="1"/>
  <c r="O14396" i="1"/>
  <c r="O14422" i="1"/>
  <c r="O13925" i="1"/>
  <c r="O14653" i="1"/>
  <c r="O14353" i="1"/>
  <c r="O14229" i="1"/>
  <c r="O14538" i="1"/>
  <c r="O14197" i="1"/>
  <c r="O14430" i="1"/>
  <c r="O14227" i="1"/>
  <c r="O14068" i="1"/>
  <c r="O13953" i="1"/>
  <c r="O13879" i="1"/>
  <c r="O13837" i="1"/>
  <c r="O14657" i="1"/>
  <c r="O13984" i="1"/>
  <c r="O13939" i="1"/>
  <c r="O14429" i="1"/>
  <c r="O13943" i="1"/>
  <c r="O14660" i="1"/>
  <c r="O14644" i="1"/>
  <c r="O14650" i="1"/>
  <c r="O14001" i="1"/>
  <c r="O13830" i="1"/>
  <c r="O14373" i="1"/>
  <c r="O14134" i="1"/>
  <c r="O13878" i="1"/>
  <c r="O14656" i="1"/>
  <c r="O14566" i="1"/>
  <c r="O13996" i="1"/>
  <c r="O14690" i="1"/>
  <c r="O14109" i="1"/>
  <c r="O14069" i="1"/>
  <c r="O14022" i="1"/>
  <c r="O14689" i="1"/>
  <c r="O14602" i="1"/>
  <c r="O13840" i="1"/>
  <c r="O14684" i="1"/>
  <c r="O14225" i="1"/>
  <c r="O13856" i="1"/>
  <c r="O14124" i="1"/>
  <c r="O13855" i="1"/>
  <c r="O14635" i="1"/>
  <c r="O14661" i="1"/>
  <c r="O14591" i="1"/>
  <c r="O14148" i="1"/>
  <c r="O14025" i="1"/>
  <c r="O13822" i="1"/>
  <c r="O14597" i="1"/>
  <c r="O14612" i="1"/>
  <c r="O13904" i="1"/>
  <c r="O13877" i="1"/>
  <c r="O13841" i="1"/>
  <c r="O14658" i="1"/>
  <c r="O13836" i="1"/>
  <c r="O14061" i="1"/>
  <c r="O14683" i="1"/>
  <c r="O13844" i="1"/>
  <c r="O13826" i="1"/>
  <c r="O13973" i="1"/>
  <c r="O14670" i="1"/>
  <c r="O14305" i="1"/>
  <c r="O13845" i="1"/>
  <c r="O13829" i="1"/>
  <c r="O14655" i="1"/>
  <c r="O14693" i="1"/>
  <c r="O14685" i="1"/>
  <c r="O13876" i="1"/>
  <c r="O14626" i="1"/>
  <c r="O14079" i="1"/>
  <c r="O14627" i="1"/>
  <c r="O14654" i="1"/>
  <c r="O14692" i="1"/>
  <c r="O13990" i="1"/>
  <c r="O14147" i="1"/>
  <c r="O13854" i="1"/>
  <c r="O14669" i="1"/>
  <c r="O13827" i="1"/>
  <c r="O13821" i="1"/>
  <c r="O13967" i="1"/>
  <c r="O14673" i="1"/>
  <c r="O14595" i="1"/>
  <c r="O14619" i="1"/>
  <c r="O13900" i="1"/>
  <c r="O13875" i="1"/>
  <c r="O13835" i="1"/>
  <c r="O13936" i="1"/>
  <c r="O14277" i="1"/>
  <c r="O13948" i="1"/>
  <c r="O14364" i="1"/>
  <c r="O14032" i="1"/>
  <c r="O13981" i="1"/>
  <c r="O14672" i="1"/>
  <c r="O14674" i="1"/>
  <c r="O14372" i="1"/>
  <c r="O13868" i="1"/>
  <c r="O13874" i="1"/>
  <c r="O13825" i="1"/>
  <c r="O14565" i="1"/>
  <c r="O14192" i="1"/>
  <c r="O13975" i="1"/>
  <c r="O14157" i="1"/>
  <c r="O13971" i="1"/>
  <c r="O13957" i="1"/>
  <c r="O13884" i="1"/>
  <c r="O14028" i="1"/>
  <c r="O13853" i="1"/>
  <c r="O14622" i="1"/>
  <c r="O14668" i="1"/>
  <c r="O14648" i="1"/>
  <c r="O14590" i="1"/>
  <c r="O14146" i="1"/>
  <c r="O14121" i="1"/>
  <c r="O14676" i="1"/>
  <c r="O14620" i="1"/>
  <c r="O14691" i="1"/>
  <c r="O14428" i="1"/>
  <c r="O13932" i="1"/>
  <c r="O13873" i="1"/>
  <c r="O13833" i="1"/>
  <c r="O13921" i="1"/>
  <c r="O13849" i="1"/>
  <c r="O13820" i="1"/>
  <c r="O14248" i="1"/>
  <c r="O13834" i="1"/>
  <c r="O14680" i="1"/>
  <c r="O13850" i="1"/>
  <c r="O13863" i="1"/>
  <c r="O14625" i="1"/>
  <c r="O14671" i="1"/>
  <c r="O14371" i="1"/>
  <c r="O13895" i="1"/>
  <c r="O13872" i="1"/>
  <c r="O14564" i="1"/>
  <c r="O13920" i="1"/>
  <c r="O14013" i="1"/>
  <c r="O13965" i="1"/>
  <c r="O14617" i="1"/>
  <c r="O13866" i="1"/>
  <c r="O14678" i="1"/>
  <c r="O13852" i="1"/>
  <c r="O14667" i="1"/>
  <c r="O14589" i="1"/>
  <c r="O14145" i="1"/>
  <c r="O14601" i="1"/>
  <c r="O13916" i="1"/>
  <c r="O13828" i="1"/>
  <c r="O14616" i="1"/>
  <c r="O13893" i="1"/>
  <c r="O13871" i="1"/>
  <c r="O13832" i="1"/>
  <c r="O14603" i="1"/>
  <c r="O14543" i="1"/>
  <c r="O14427" i="1"/>
  <c r="O14649" i="1"/>
  <c r="O14694" i="1"/>
  <c r="O14064" i="1"/>
  <c r="O13942" i="1"/>
  <c r="O13907" i="1"/>
  <c r="O14000" i="1"/>
  <c r="O13819" i="1"/>
  <c r="O14247" i="1"/>
  <c r="O13880" i="1"/>
  <c r="O14664" i="1"/>
  <c r="O14339" i="1"/>
  <c r="O13979" i="1"/>
  <c r="O14666" i="1"/>
  <c r="O14370" i="1"/>
  <c r="O14555" i="1"/>
  <c r="O13910" i="1"/>
  <c r="O14570" i="1"/>
  <c r="O14563" i="1"/>
  <c r="O14008" i="1"/>
  <c r="O13870" i="1"/>
  <c r="O14014" i="1"/>
  <c r="O14276" i="1"/>
  <c r="O14063" i="1"/>
  <c r="O14296" i="1"/>
  <c r="O13838" i="1"/>
  <c r="O14663" i="1"/>
  <c r="O13823" i="1"/>
  <c r="O14213" i="1"/>
  <c r="O14638" i="1"/>
  <c r="O14677" i="1"/>
  <c r="O13851" i="1"/>
  <c r="O13847" i="1"/>
  <c r="O14588" i="1"/>
  <c r="O14165" i="1"/>
  <c r="O14144" i="1"/>
  <c r="O13885" i="1"/>
  <c r="O14682" i="1"/>
  <c r="O13919" i="1"/>
  <c r="O14598" i="1"/>
  <c r="O14618" i="1"/>
  <c r="O14426" i="1"/>
  <c r="O13869" i="1"/>
  <c r="O13831" i="1"/>
  <c r="O13824" i="1"/>
  <c r="O14643" i="1"/>
  <c r="O14268" i="1"/>
  <c r="O13928" i="1"/>
  <c r="O14630" i="1"/>
  <c r="O14662" i="1"/>
  <c r="E58" i="21"/>
  <c r="E55" i="21"/>
  <c r="F45" i="37"/>
  <c r="F43" i="37"/>
  <c r="F41" i="37"/>
  <c r="F40" i="37"/>
  <c r="P45" i="21"/>
  <c r="O45" i="21"/>
  <c r="N45" i="21"/>
  <c r="M45" i="21"/>
  <c r="L45" i="21"/>
  <c r="K45" i="21"/>
  <c r="J45" i="21"/>
  <c r="I45" i="21"/>
  <c r="H45" i="21"/>
  <c r="G45" i="21"/>
  <c r="F45" i="21"/>
  <c r="E45" i="21"/>
  <c r="D45" i="21"/>
  <c r="C22" i="37"/>
  <c r="B23" i="37"/>
  <c r="C23" i="37"/>
  <c r="B24" i="37"/>
  <c r="C24" i="37"/>
  <c r="B25" i="37"/>
  <c r="C25" i="37"/>
  <c r="B26" i="37"/>
  <c r="C26" i="37"/>
  <c r="B27" i="37"/>
  <c r="C27" i="37"/>
  <c r="B28" i="37"/>
  <c r="C28" i="37"/>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3004" i="1"/>
  <c r="F12956" i="1"/>
  <c r="F12957" i="1"/>
  <c r="F12958" i="1"/>
  <c r="F12959" i="1"/>
  <c r="F12960" i="1"/>
  <c r="F12961" i="1"/>
  <c r="F12962" i="1"/>
  <c r="F12963" i="1"/>
  <c r="F12976" i="1"/>
  <c r="F12965" i="1"/>
  <c r="F12966" i="1"/>
  <c r="F12967" i="1"/>
  <c r="F12968" i="1"/>
  <c r="F12969" i="1"/>
  <c r="F12955" i="1"/>
  <c r="F12995" i="1"/>
  <c r="F13002" i="1"/>
  <c r="F13008" i="1"/>
  <c r="F13012" i="1"/>
  <c r="F13046" i="1"/>
  <c r="F13175" i="1"/>
  <c r="F13290" i="1"/>
  <c r="F13453" i="1"/>
  <c r="F13779" i="1"/>
  <c r="F12980" i="1"/>
  <c r="F12971" i="1"/>
  <c r="F12982" i="1"/>
  <c r="F12983" i="1"/>
  <c r="F12984" i="1"/>
  <c r="F12985" i="1"/>
  <c r="F12986" i="1"/>
  <c r="F12987" i="1"/>
  <c r="F12988" i="1"/>
  <c r="F12989" i="1"/>
  <c r="F12990" i="1"/>
  <c r="F12991" i="1"/>
  <c r="F12992" i="1"/>
  <c r="F12993" i="1"/>
  <c r="F13125" i="1"/>
  <c r="F12977" i="1"/>
  <c r="F12996" i="1"/>
  <c r="F13176" i="1"/>
  <c r="F12997" i="1"/>
  <c r="F13000" i="1"/>
  <c r="F13003" i="1"/>
  <c r="F13005" i="1"/>
  <c r="F13009" i="1"/>
  <c r="F13011" i="1"/>
  <c r="F13016" i="1"/>
  <c r="F13017" i="1"/>
  <c r="F13090" i="1"/>
  <c r="F13097" i="1"/>
  <c r="F13191" i="1"/>
  <c r="F13234" i="1"/>
  <c r="F13392" i="1"/>
  <c r="F13399" i="1"/>
  <c r="F13705" i="1"/>
  <c r="F13013" i="1"/>
  <c r="F13014" i="1"/>
  <c r="F13015" i="1"/>
  <c r="F12975" i="1"/>
  <c r="F12978" i="1"/>
  <c r="F13018" i="1"/>
  <c r="F13019" i="1"/>
  <c r="F13020" i="1"/>
  <c r="F13021" i="1"/>
  <c r="F13022" i="1"/>
  <c r="F13023" i="1"/>
  <c r="F13024" i="1"/>
  <c r="F13025" i="1"/>
  <c r="F13026" i="1"/>
  <c r="F13027" i="1"/>
  <c r="F13028" i="1"/>
  <c r="F13029" i="1"/>
  <c r="F13030" i="1"/>
  <c r="F13031" i="1"/>
  <c r="F13032" i="1"/>
  <c r="F13033" i="1"/>
  <c r="F13034" i="1"/>
  <c r="F13035" i="1"/>
  <c r="F12972" i="1"/>
  <c r="F13037" i="1"/>
  <c r="F13038" i="1"/>
  <c r="F13039" i="1"/>
  <c r="F13040" i="1"/>
  <c r="F13041" i="1"/>
  <c r="F13042" i="1"/>
  <c r="F13043" i="1"/>
  <c r="F13044" i="1"/>
  <c r="F13045" i="1"/>
  <c r="F1303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2973" i="1"/>
  <c r="F13091" i="1"/>
  <c r="F13092" i="1"/>
  <c r="F13093" i="1"/>
  <c r="F13094" i="1"/>
  <c r="F12964" i="1"/>
  <c r="F13096" i="1"/>
  <c r="F13769"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796"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262" i="1"/>
  <c r="F13171" i="1"/>
  <c r="F13172" i="1"/>
  <c r="F13173" i="1"/>
  <c r="F13174" i="1"/>
  <c r="F12974" i="1"/>
  <c r="F13006" i="1"/>
  <c r="F13177" i="1"/>
  <c r="F13178" i="1"/>
  <c r="F13179" i="1"/>
  <c r="F13180" i="1"/>
  <c r="F13181" i="1"/>
  <c r="F13182" i="1"/>
  <c r="F13183" i="1"/>
  <c r="F13184" i="1"/>
  <c r="F13185" i="1"/>
  <c r="F13186" i="1"/>
  <c r="F13187" i="1"/>
  <c r="F13188" i="1"/>
  <c r="F13189" i="1"/>
  <c r="F13190" i="1"/>
  <c r="F13095"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2998" i="1"/>
  <c r="F13224" i="1"/>
  <c r="F13225" i="1"/>
  <c r="F13226" i="1"/>
  <c r="F13227" i="1"/>
  <c r="F13228" i="1"/>
  <c r="F13229" i="1"/>
  <c r="F13230" i="1"/>
  <c r="F13231" i="1"/>
  <c r="F13232" i="1"/>
  <c r="F13233" i="1"/>
  <c r="F13783"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010"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2979"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770" i="1"/>
  <c r="F13393" i="1"/>
  <c r="F13394" i="1"/>
  <c r="F13395" i="1"/>
  <c r="F13396" i="1"/>
  <c r="F13397" i="1"/>
  <c r="F13398" i="1"/>
  <c r="F12994"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79"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2981"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2999"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001" i="1"/>
  <c r="F13223" i="1"/>
  <c r="F13771" i="1"/>
  <c r="F13772" i="1"/>
  <c r="F13773" i="1"/>
  <c r="F13774" i="1"/>
  <c r="F12970" i="1"/>
  <c r="F13776" i="1"/>
  <c r="F13777" i="1"/>
  <c r="F13778" i="1"/>
  <c r="F13007" i="1"/>
  <c r="F13780" i="1"/>
  <c r="F13781" i="1"/>
  <c r="F13782" i="1"/>
  <c r="F13170" i="1"/>
  <c r="F13784" i="1"/>
  <c r="F13785" i="1"/>
  <c r="F13786" i="1"/>
  <c r="F13787" i="1"/>
  <c r="F13788" i="1"/>
  <c r="F13789" i="1"/>
  <c r="F13790" i="1"/>
  <c r="F13791" i="1"/>
  <c r="F13792" i="1"/>
  <c r="F13793" i="1"/>
  <c r="F13794" i="1"/>
  <c r="F13795" i="1"/>
  <c r="F13775"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2919" i="1"/>
  <c r="F12903" i="1"/>
  <c r="F12904" i="1"/>
  <c r="F12905" i="1"/>
  <c r="F12906" i="1"/>
  <c r="F12907" i="1"/>
  <c r="F12908" i="1"/>
  <c r="F12909" i="1"/>
  <c r="F12910" i="1"/>
  <c r="F12911" i="1"/>
  <c r="F12912" i="1"/>
  <c r="F12913" i="1"/>
  <c r="F12914" i="1"/>
  <c r="F12915" i="1"/>
  <c r="F12916" i="1"/>
  <c r="F12917" i="1"/>
  <c r="F12918" i="1"/>
  <c r="O13607" i="1"/>
  <c r="O13494" i="1"/>
  <c r="O13181" i="1"/>
  <c r="O13762" i="1"/>
  <c r="O13253" i="1"/>
  <c r="O13283" i="1"/>
  <c r="O13196" i="1"/>
  <c r="O13533" i="1"/>
  <c r="O13513" i="1"/>
  <c r="O13334" i="1"/>
  <c r="O13161" i="1"/>
  <c r="O13524" i="1"/>
  <c r="O13424" i="1"/>
  <c r="O13208" i="1"/>
  <c r="O13603" i="1"/>
  <c r="O13763" i="1"/>
  <c r="O13665" i="1"/>
  <c r="O13264" i="1"/>
  <c r="O13638" i="1"/>
  <c r="O13242" i="1"/>
  <c r="O13299" i="1"/>
  <c r="O13128" i="1"/>
  <c r="O13202" i="1"/>
  <c r="O13429" i="1"/>
  <c r="O13756" i="1"/>
  <c r="O13201" i="1"/>
  <c r="O13593" i="1"/>
  <c r="O13499" i="1"/>
  <c r="O13440" i="1"/>
  <c r="O13110" i="1"/>
  <c r="O13654" i="1"/>
  <c r="O13764" i="1"/>
  <c r="O13725" i="1"/>
  <c r="O13194" i="1"/>
  <c r="O13474" i="1"/>
  <c r="O13089" i="1"/>
  <c r="O13318" i="1"/>
  <c r="O13676" i="1"/>
  <c r="O13116" i="1"/>
  <c r="O13186" i="1"/>
  <c r="O13284" i="1"/>
  <c r="O12979" i="1"/>
  <c r="O13200" i="1"/>
  <c r="O13740" i="1"/>
  <c r="O13518" i="1"/>
  <c r="O13217" i="1"/>
  <c r="O13256" i="1"/>
  <c r="O13172" i="1"/>
  <c r="O13359" i="1"/>
  <c r="O13486" i="1"/>
  <c r="O13155" i="1"/>
  <c r="O13562" i="1"/>
  <c r="O13107" i="1"/>
  <c r="O13238" i="1"/>
  <c r="O13232" i="1"/>
  <c r="O12964" i="1"/>
  <c r="O13094" i="1"/>
  <c r="O13370" i="1"/>
  <c r="O13369" i="1"/>
  <c r="O12991" i="1"/>
  <c r="O13145" i="1"/>
  <c r="O13811" i="1"/>
  <c r="O13571" i="1"/>
  <c r="O13741" i="1"/>
  <c r="O12971" i="1"/>
  <c r="O13541" i="1"/>
  <c r="O13452" i="1"/>
  <c r="O13088" i="1"/>
  <c r="O13509" i="1"/>
  <c r="O13434" i="1"/>
  <c r="O13753" i="1"/>
  <c r="O13454" i="1"/>
  <c r="O13655" i="1"/>
  <c r="O13064" i="1"/>
  <c r="O13636" i="1"/>
  <c r="O13501" i="1"/>
  <c r="O13617" i="1"/>
  <c r="O12966" i="1"/>
  <c r="O13465" i="1"/>
  <c r="O13103" i="1"/>
  <c r="O13211" i="1"/>
  <c r="O13075" i="1"/>
  <c r="O13388" i="1"/>
  <c r="O13487" i="1"/>
  <c r="O12977" i="1"/>
  <c r="O12976" i="1"/>
  <c r="O13013" i="1"/>
  <c r="O13710" i="1"/>
  <c r="O13058" i="1"/>
  <c r="O13808" i="1"/>
  <c r="O13288" i="1"/>
  <c r="O13084" i="1"/>
  <c r="O12994" i="1"/>
  <c r="O13276" i="1"/>
  <c r="O13641" i="1"/>
  <c r="O13331" i="1"/>
  <c r="O13519" i="1"/>
  <c r="O13455" i="1"/>
  <c r="O13656" i="1"/>
  <c r="O13226" i="1"/>
  <c r="O13575" i="1"/>
  <c r="O13420" i="1"/>
  <c r="O13087" i="1"/>
  <c r="O13254" i="1"/>
  <c r="O13500" i="1"/>
  <c r="O13502" i="1"/>
  <c r="O13295" i="1"/>
  <c r="O13119" i="1"/>
  <c r="O12999" i="1"/>
  <c r="O13047" i="1"/>
  <c r="O13514" i="1"/>
  <c r="O13037" i="1"/>
  <c r="O13658" i="1"/>
  <c r="O13190" i="1"/>
  <c r="O13657" i="1"/>
  <c r="O13512" i="1"/>
  <c r="O13471" i="1"/>
  <c r="O13349" i="1"/>
  <c r="O13040" i="1"/>
  <c r="O13433" i="1"/>
  <c r="O13356" i="1"/>
  <c r="O13386" i="1"/>
  <c r="O13210" i="1"/>
  <c r="O13154" i="1"/>
  <c r="O13476" i="1"/>
  <c r="O13039" i="1"/>
  <c r="O13510" i="1"/>
  <c r="O13621" i="1"/>
  <c r="O13182" i="1"/>
  <c r="O13108" i="1"/>
  <c r="O13475" i="1"/>
  <c r="O13083" i="1"/>
  <c r="O13644" i="1"/>
  <c r="O13167" i="1"/>
  <c r="O13540" i="1"/>
  <c r="O13572" i="1"/>
  <c r="O13496" i="1"/>
  <c r="O13236" i="1"/>
  <c r="O13297" i="1"/>
  <c r="O13697" i="1"/>
  <c r="O13409" i="1"/>
  <c r="O13413" i="1"/>
  <c r="O13228" i="1"/>
  <c r="O13807" i="1"/>
  <c r="O13117" i="1"/>
  <c r="O13590" i="1"/>
  <c r="O13503" i="1"/>
  <c r="O13615" i="1"/>
  <c r="O13263" i="1"/>
  <c r="O13627" i="1"/>
  <c r="O13159" i="1"/>
  <c r="O13235" i="1"/>
  <c r="O13505" i="1"/>
  <c r="O13269" i="1"/>
  <c r="O13597" i="1"/>
  <c r="O13205" i="1"/>
  <c r="O13586" i="1"/>
  <c r="O13596" i="1"/>
  <c r="O13300" i="1"/>
  <c r="O13096" i="1"/>
  <c r="O13168" i="1"/>
  <c r="O13458" i="1"/>
  <c r="O13445" i="1"/>
  <c r="O13642" i="1"/>
  <c r="O13585" i="1"/>
  <c r="O13389" i="1"/>
  <c r="O13219" i="1"/>
  <c r="O13118" i="1"/>
  <c r="O13578" i="1"/>
  <c r="O13683" i="1"/>
  <c r="O13310" i="1"/>
  <c r="O13374" i="1"/>
  <c r="O13341" i="1"/>
  <c r="O13776" i="1"/>
  <c r="O13272" i="1"/>
  <c r="O13415" i="1"/>
  <c r="O13004" i="1"/>
  <c r="O13260" i="1"/>
  <c r="O13538" i="1"/>
  <c r="O13531" i="1"/>
  <c r="O13218" i="1"/>
  <c r="O12954" i="1"/>
  <c r="O13653" i="1"/>
  <c r="O12953" i="1"/>
  <c r="O13703" i="1"/>
  <c r="O13704" i="1"/>
  <c r="O13713" i="1"/>
  <c r="O13628" i="1"/>
  <c r="O13131" i="1"/>
  <c r="O13105" i="1"/>
  <c r="O13488" i="1"/>
  <c r="O13419" i="1"/>
  <c r="O13221" i="1"/>
  <c r="O13102" i="1"/>
  <c r="O13115" i="1"/>
  <c r="O13647" i="1"/>
  <c r="O13162" i="1"/>
  <c r="O13144" i="1"/>
  <c r="O13054" i="1"/>
  <c r="O13379" i="1"/>
  <c r="O13525" i="1"/>
  <c r="O13573" i="1"/>
  <c r="O13417" i="1"/>
  <c r="O13055" i="1"/>
  <c r="O13648" i="1"/>
  <c r="O13171" i="1"/>
  <c r="O13112" i="1"/>
  <c r="O13730" i="1"/>
  <c r="O13042" i="1"/>
  <c r="O13270" i="1"/>
  <c r="O13137" i="1"/>
  <c r="O13282" i="1"/>
  <c r="O13451" i="1"/>
  <c r="O13099" i="1"/>
  <c r="O13050" i="1"/>
  <c r="O13358" i="1"/>
  <c r="O13259" i="1"/>
  <c r="O13188" i="1"/>
  <c r="O13694" i="1"/>
  <c r="O13257" i="1"/>
  <c r="O12943" i="1"/>
  <c r="O13650" i="1"/>
  <c r="O13332" i="1"/>
  <c r="O13020" i="1"/>
  <c r="O13813" i="1"/>
  <c r="O13557" i="1"/>
  <c r="O12986" i="1"/>
  <c r="O13143" i="1"/>
  <c r="O13629" i="1"/>
  <c r="O13376" i="1"/>
  <c r="O13024" i="1"/>
  <c r="O13019" i="1"/>
  <c r="O13394" i="1"/>
  <c r="O13142" i="1"/>
  <c r="O13249" i="1"/>
  <c r="O13649" i="1"/>
  <c r="O13416" i="1"/>
  <c r="O13459" i="1"/>
  <c r="O13660" i="1"/>
  <c r="O13635" i="1"/>
  <c r="O13443" i="1"/>
  <c r="O13577" i="1"/>
  <c r="O13523" i="1"/>
  <c r="O13071" i="1"/>
  <c r="O13325" i="1"/>
  <c r="O13378" i="1"/>
  <c r="O13553" i="1"/>
  <c r="O13460" i="1"/>
  <c r="O13410" i="1"/>
  <c r="O13587" i="1"/>
  <c r="O13548" i="1"/>
  <c r="O13271" i="1"/>
  <c r="O13192" i="1"/>
  <c r="O13241" i="1"/>
  <c r="O12968" i="1"/>
  <c r="O13333" i="1"/>
  <c r="O13347" i="1"/>
  <c r="O13366" i="1"/>
  <c r="O13489" i="1"/>
  <c r="O13302" i="1"/>
  <c r="O13687" i="1"/>
  <c r="O13806" i="1"/>
  <c r="O13606" i="1"/>
  <c r="O13630" i="1"/>
  <c r="O13490" i="1"/>
  <c r="O13132" i="1"/>
  <c r="O13464" i="1"/>
  <c r="O13403" i="1"/>
  <c r="O13412" i="1"/>
  <c r="O13495" i="1"/>
  <c r="O13663" i="1"/>
  <c r="O13450" i="1"/>
  <c r="O13637" i="1"/>
  <c r="O13338" i="1"/>
  <c r="O13535" i="1"/>
  <c r="O13212" i="1"/>
  <c r="O13153" i="1"/>
  <c r="O12989" i="1"/>
  <c r="O13398" i="1"/>
  <c r="O13584" i="1"/>
  <c r="O13189" i="1"/>
  <c r="O13307" i="1"/>
  <c r="O13298" i="1"/>
  <c r="O13674" i="1"/>
  <c r="O13551" i="1"/>
  <c r="O13432" i="1"/>
  <c r="O13296" i="1"/>
  <c r="O13213" i="1"/>
  <c r="O13664" i="1"/>
  <c r="O13164" i="1"/>
  <c r="O13163" i="1"/>
  <c r="O13702" i="1"/>
  <c r="O13049" i="1"/>
  <c r="O13446" i="1"/>
  <c r="O13726" i="1"/>
  <c r="O13293" i="1"/>
  <c r="O13274" i="1"/>
  <c r="O13081" i="1"/>
  <c r="O13473" i="1"/>
  <c r="O13165" i="1"/>
  <c r="O13281" i="1"/>
  <c r="O13321" i="1"/>
  <c r="O13240" i="1"/>
  <c r="O12940" i="1"/>
  <c r="O12967" i="1"/>
  <c r="O13082" i="1"/>
  <c r="O13589" i="1"/>
  <c r="O13199" i="1"/>
  <c r="O13566" i="1"/>
  <c r="O13048" i="1"/>
  <c r="O13631" i="1"/>
  <c r="O13752" i="1"/>
  <c r="O13444" i="1"/>
  <c r="O13669" i="1"/>
  <c r="O13442" i="1"/>
  <c r="O13393" i="1"/>
  <c r="O13633" i="1"/>
  <c r="O13068" i="1"/>
  <c r="O13066" i="1"/>
  <c r="O13035" i="1"/>
  <c r="O13209" i="1"/>
  <c r="O13773" i="1"/>
  <c r="O13348" i="1"/>
  <c r="O13552" i="1"/>
  <c r="O13109" i="1"/>
  <c r="O13385" i="1"/>
  <c r="O13375" i="1"/>
  <c r="O13197" i="1"/>
  <c r="O13309" i="1"/>
  <c r="O13166" i="1"/>
  <c r="O13021" i="1"/>
  <c r="O13457" i="1"/>
  <c r="O13390" i="1"/>
  <c r="O13030" i="1"/>
  <c r="O13065" i="1"/>
  <c r="O13360" i="1"/>
  <c r="O13634" i="1"/>
  <c r="O13156" i="1"/>
  <c r="O13422" i="1"/>
  <c r="O13322" i="1"/>
  <c r="O13028" i="1"/>
  <c r="O13812" i="1"/>
  <c r="O13579" i="1"/>
  <c r="O13406" i="1"/>
  <c r="O13624" i="1"/>
  <c r="O13492" i="1"/>
  <c r="O13618" i="1"/>
  <c r="O13574" i="1"/>
  <c r="O13448" i="1"/>
  <c r="O13466" i="1"/>
  <c r="O13015" i="1"/>
  <c r="O13558" i="1"/>
  <c r="O13031" i="1"/>
  <c r="O13461" i="1"/>
  <c r="O13604" i="1"/>
  <c r="O13093" i="1"/>
  <c r="O13530" i="1"/>
  <c r="O13750" i="1"/>
  <c r="O13079" i="1"/>
  <c r="O13701" i="1"/>
  <c r="O13554" i="1"/>
  <c r="O13252" i="1"/>
  <c r="O13158" i="1"/>
  <c r="O13367" i="1"/>
  <c r="O13139" i="1"/>
  <c r="O13483" i="1"/>
  <c r="O13749" i="1"/>
  <c r="O13748" i="1"/>
  <c r="O13747" i="1"/>
  <c r="O13746" i="1"/>
  <c r="O13225" i="1"/>
  <c r="O13462" i="1"/>
  <c r="O13022" i="1"/>
  <c r="O13608" i="1"/>
  <c r="O13616" i="1"/>
  <c r="O13547" i="1"/>
  <c r="O13312" i="1"/>
  <c r="O13113" i="1"/>
  <c r="O13782" i="1"/>
  <c r="O13138" i="1"/>
  <c r="O13063" i="1"/>
  <c r="O13294" i="1"/>
  <c r="O13313" i="1"/>
  <c r="O13640" i="1"/>
  <c r="O13361" i="1"/>
  <c r="O13625" i="1"/>
  <c r="O13381" i="1"/>
  <c r="O13561" i="1"/>
  <c r="O13560" i="1"/>
  <c r="O13559" i="1"/>
  <c r="O13542" i="1"/>
  <c r="O13247" i="1"/>
  <c r="O13528" i="1"/>
  <c r="O13479" i="1"/>
  <c r="O13581" i="1"/>
  <c r="O12982" i="1"/>
  <c r="O13611" i="1"/>
  <c r="O13698" i="1"/>
  <c r="O13481" i="1"/>
  <c r="O13550" i="1"/>
  <c r="O13353" i="1"/>
  <c r="O13129" i="1"/>
  <c r="O13757" i="1"/>
  <c r="O13078" i="1"/>
  <c r="O13179" i="1"/>
  <c r="O13018" i="1"/>
  <c r="O13044" i="1"/>
  <c r="O13418" i="1"/>
  <c r="O13401" i="1"/>
  <c r="O13622" i="1"/>
  <c r="O13546" i="1"/>
  <c r="O13244" i="1"/>
  <c r="O13576" i="1"/>
  <c r="O13133" i="1"/>
  <c r="O13243" i="1"/>
  <c r="O13423" i="1"/>
  <c r="O13060" i="1"/>
  <c r="O13289" i="1"/>
  <c r="O13314" i="1"/>
  <c r="O13368" i="1"/>
  <c r="O13659" i="1"/>
  <c r="O13720" i="1"/>
  <c r="O13206" i="1"/>
  <c r="O13157" i="1"/>
  <c r="O13400" i="1"/>
  <c r="O13222" i="1"/>
  <c r="O13267" i="1"/>
  <c r="O13085" i="1"/>
  <c r="O13582" i="1"/>
  <c r="O13478" i="1"/>
  <c r="O13516" i="1"/>
  <c r="O13111" i="1"/>
  <c r="O13306" i="1"/>
  <c r="O13421" i="1"/>
  <c r="O12950" i="1"/>
  <c r="O13407" i="1"/>
  <c r="O13080" i="1"/>
  <c r="O13371" i="1"/>
  <c r="O13614" i="1"/>
  <c r="O13100" i="1"/>
  <c r="O13425" i="1"/>
  <c r="O13626" i="1"/>
  <c r="O13405" i="1"/>
  <c r="O13493" i="1"/>
  <c r="O13337" i="1"/>
  <c r="O13352" i="1"/>
  <c r="O13215" i="1"/>
  <c r="O13354" i="1"/>
  <c r="O13373" i="1"/>
  <c r="O13613" i="1"/>
  <c r="O13029" i="1"/>
  <c r="O13699" i="1"/>
  <c r="O13708" i="1"/>
  <c r="O13511" i="1"/>
  <c r="O13430" i="1"/>
  <c r="O13652" i="1"/>
  <c r="O13141" i="1"/>
  <c r="O13250" i="1"/>
  <c r="O13198" i="1"/>
  <c r="O13467" i="1"/>
  <c r="O13230" i="1"/>
  <c r="O13605" i="1"/>
  <c r="O13365" i="1"/>
  <c r="O13136" i="1"/>
  <c r="O13707" i="1"/>
  <c r="O12931" i="1"/>
  <c r="O13061" i="1"/>
  <c r="O13815" i="1"/>
  <c r="O13632" i="1"/>
  <c r="O12952" i="1"/>
  <c r="O13184" i="1"/>
  <c r="O13736" i="1"/>
  <c r="O13340" i="1"/>
  <c r="O13355" i="1"/>
  <c r="O13522" i="1"/>
  <c r="O13160" i="1"/>
  <c r="O13203" i="1"/>
  <c r="O13025" i="1"/>
  <c r="O13549" i="1"/>
  <c r="O13266" i="1"/>
  <c r="O13357" i="1"/>
  <c r="O13227" i="1"/>
  <c r="O13062" i="1"/>
  <c r="O13402" i="1"/>
  <c r="O13245" i="1"/>
  <c r="O13555" i="1"/>
  <c r="O13195" i="1"/>
  <c r="O13583" i="1"/>
  <c r="O13411" i="1"/>
  <c r="O13449" i="1"/>
  <c r="O13517" i="1"/>
  <c r="O13344" i="1"/>
  <c r="O12985" i="1"/>
  <c r="O13246" i="1"/>
  <c r="O13591" i="1"/>
  <c r="O13384" i="1"/>
  <c r="O13204" i="1"/>
  <c r="O13721" i="1"/>
  <c r="O13784" i="1"/>
  <c r="O13709" i="1"/>
  <c r="O13711" i="1"/>
  <c r="O13152" i="1"/>
  <c r="O13343" i="1"/>
  <c r="O13497" i="1"/>
  <c r="O13477" i="1"/>
  <c r="O13173" i="1"/>
  <c r="O13480" i="1"/>
  <c r="O13426" i="1"/>
  <c r="O13598" i="1"/>
  <c r="O13323" i="1"/>
  <c r="O13342" i="1"/>
  <c r="O13678" i="1"/>
  <c r="O13563" i="1"/>
  <c r="O13308" i="1"/>
  <c r="O13380" i="1"/>
  <c r="O13610" i="1"/>
  <c r="O13609" i="1"/>
  <c r="O13639" i="1"/>
  <c r="O13277" i="1"/>
  <c r="O13363" i="1"/>
  <c r="O13623" i="1"/>
  <c r="O13685" i="1"/>
  <c r="O13346" i="1"/>
  <c r="O13291" i="1"/>
  <c r="O13435" i="1"/>
  <c r="O13765" i="1"/>
  <c r="O13027" i="1"/>
  <c r="O13336" i="1"/>
  <c r="O13427" i="1"/>
  <c r="O13761" i="1"/>
  <c r="O13599" i="1"/>
  <c r="O13324" i="1"/>
  <c r="O13679" i="1"/>
  <c r="O13564" i="1"/>
  <c r="O13273" i="1"/>
  <c r="O13239" i="1"/>
  <c r="O13073" i="1"/>
  <c r="O13468" i="1"/>
  <c r="O13033" i="1"/>
  <c r="O13504" i="1"/>
  <c r="O13351" i="1"/>
  <c r="O13280" i="1"/>
  <c r="O13395" i="1"/>
  <c r="O13485" i="1"/>
  <c r="O12980" i="1"/>
  <c r="O13372" i="1"/>
  <c r="O13600" i="1"/>
  <c r="O13777" i="1"/>
  <c r="O13326" i="1"/>
  <c r="O13135" i="1"/>
  <c r="O13098" i="1"/>
  <c r="O12996" i="1"/>
  <c r="O13382" i="1"/>
  <c r="O13456" i="1"/>
  <c r="O13498" i="1"/>
  <c r="O13319" i="1"/>
  <c r="O13643" i="1"/>
  <c r="O13364" i="1"/>
  <c r="O13569" i="1"/>
  <c r="O13482" i="1"/>
  <c r="O13680" i="1"/>
  <c r="O13565" i="1"/>
  <c r="O13130" i="1"/>
  <c r="O13187" i="1"/>
  <c r="O13619" i="1"/>
  <c r="O13229" i="1"/>
  <c r="O13053" i="1"/>
  <c r="O13216" i="1"/>
  <c r="O13539" i="1"/>
  <c r="O13447" i="1"/>
  <c r="O13677" i="1"/>
  <c r="O13265" i="1"/>
  <c r="O13151" i="1"/>
  <c r="O13778" i="1"/>
  <c r="O13350" i="1"/>
  <c r="O13125" i="1"/>
  <c r="O13556" i="1"/>
  <c r="O13316" i="1"/>
  <c r="O13292" i="1"/>
  <c r="O13592" i="1"/>
  <c r="O13220" i="1"/>
  <c r="O13134" i="1"/>
  <c r="O13675" i="1"/>
  <c r="O13532" i="1"/>
  <c r="O13612" i="1"/>
  <c r="O13404" i="1"/>
  <c r="O13759" i="1"/>
  <c r="O13594" i="1"/>
  <c r="O13620" i="1"/>
  <c r="O13661" i="1"/>
  <c r="O13536" i="1"/>
  <c r="O13315" i="1"/>
  <c r="O13645" i="1"/>
  <c r="O13396" i="1"/>
  <c r="O13183" i="1"/>
  <c r="O13258" i="1"/>
  <c r="O13377" i="1"/>
  <c r="O13327" i="1"/>
  <c r="O13601" i="1"/>
  <c r="O13684" i="1"/>
  <c r="O13193" i="1"/>
  <c r="O13140" i="1"/>
  <c r="O13224" i="1"/>
  <c r="O13515" i="1"/>
  <c r="O13472" i="1"/>
  <c r="O13686" i="1"/>
  <c r="O13408" i="1"/>
  <c r="O13672" i="1"/>
  <c r="O13700" i="1"/>
  <c r="O13387" i="1"/>
  <c r="O13304" i="1"/>
  <c r="O13695" i="1"/>
  <c r="O13774" i="1"/>
  <c r="O13742" i="1"/>
  <c r="O13729" i="1"/>
  <c r="O13320" i="1"/>
  <c r="O13469" i="1"/>
  <c r="O13174" i="1"/>
  <c r="O13696" i="1"/>
  <c r="O13739" i="1"/>
  <c r="O13268" i="1"/>
  <c r="O13305" i="1"/>
  <c r="O13681" i="1"/>
  <c r="O13527" i="1"/>
  <c r="O13335" i="1"/>
  <c r="O13567" i="1"/>
  <c r="O13101" i="1"/>
  <c r="O13534" i="1"/>
  <c r="O13207" i="1"/>
  <c r="O13414" i="1"/>
  <c r="O13428" i="1"/>
  <c r="O13436" i="1"/>
  <c r="O13127" i="1"/>
  <c r="O13728" i="1"/>
  <c r="O13722" i="1"/>
  <c r="O13074" i="1"/>
  <c r="O13275" i="1"/>
  <c r="O13169" i="1"/>
  <c r="O13026" i="1"/>
  <c r="O13767" i="1"/>
  <c r="O13743" i="1"/>
  <c r="O13255" i="1"/>
  <c r="O13383" i="1"/>
  <c r="O13437" i="1"/>
  <c r="O13673" i="1"/>
  <c r="O13595" i="1"/>
  <c r="O13362" i="1"/>
  <c r="O13072" i="1"/>
  <c r="O13441" i="1"/>
  <c r="O13646" i="1"/>
  <c r="O13688" i="1"/>
  <c r="O13521" i="1"/>
  <c r="O13285" i="1"/>
  <c r="O13769" i="1"/>
  <c r="O13397" i="1"/>
  <c r="O13602" i="1"/>
  <c r="O13766" i="1"/>
  <c r="O13328" i="1"/>
  <c r="O13345" i="1"/>
  <c r="O13537" i="1"/>
  <c r="O13231" i="1"/>
  <c r="O13651" i="1"/>
  <c r="O13438" i="1"/>
  <c r="O13330" i="1"/>
  <c r="O13580" i="1"/>
  <c r="O13737" i="1"/>
  <c r="O12993" i="1"/>
  <c r="O13329" i="1"/>
  <c r="O13682" i="1"/>
  <c r="O13568" i="1"/>
  <c r="O13529" i="1"/>
  <c r="O13178" i="1"/>
  <c r="O13520" i="1"/>
  <c r="O13339" i="1"/>
  <c r="O13439" i="1"/>
  <c r="O13214" i="1"/>
  <c r="O13043" i="1"/>
  <c r="O12955" i="1"/>
  <c r="O12932" i="1"/>
  <c r="O13786" i="1"/>
  <c r="O13818" i="1"/>
  <c r="O12970" i="1"/>
  <c r="O13463" i="1"/>
  <c r="O12974" i="1"/>
  <c r="O12973" i="1"/>
  <c r="O12972" i="1"/>
  <c r="O13185" i="1"/>
  <c r="O12975" i="1"/>
  <c r="O12927" i="1"/>
  <c r="O13120" i="1"/>
  <c r="O13077" i="1"/>
  <c r="O13781" i="1"/>
  <c r="O13797" i="1"/>
  <c r="O13146" i="1"/>
  <c r="O12978" i="1"/>
  <c r="O13760" i="1"/>
  <c r="O13785" i="1"/>
  <c r="O13091" i="1"/>
  <c r="O12981" i="1"/>
  <c r="O13666" i="1"/>
  <c r="O12998" i="1"/>
  <c r="O12997" i="1"/>
  <c r="O12995" i="1"/>
  <c r="O12928" i="1"/>
  <c r="O12919" i="1"/>
  <c r="O12939" i="1"/>
  <c r="O13431" i="1"/>
  <c r="O13180" i="1"/>
  <c r="O12959" i="1"/>
  <c r="O12951" i="1"/>
  <c r="O13689" i="1"/>
  <c r="O13286" i="1"/>
  <c r="O13000" i="1"/>
  <c r="O13706" i="1"/>
  <c r="O13733" i="1"/>
  <c r="O13800" i="1"/>
  <c r="O13001" i="1"/>
  <c r="O13788" i="1"/>
  <c r="O13506" i="1"/>
  <c r="O13045" i="1"/>
  <c r="O12965" i="1"/>
  <c r="O13724" i="1"/>
  <c r="O13051" i="1"/>
  <c r="O13002" i="1"/>
  <c r="O12933" i="1"/>
  <c r="O12929" i="1"/>
  <c r="O13751" i="1"/>
  <c r="O13237" i="1"/>
  <c r="O13003" i="1"/>
  <c r="O13732" i="1"/>
  <c r="O13056" i="1"/>
  <c r="O13114" i="1"/>
  <c r="O13744" i="1"/>
  <c r="O12992" i="1"/>
  <c r="O13738" i="1"/>
  <c r="O13816" i="1"/>
  <c r="O13006" i="1"/>
  <c r="O13005" i="1"/>
  <c r="O12969" i="1"/>
  <c r="O12946" i="1"/>
  <c r="O13470" i="1"/>
  <c r="O13798" i="1"/>
  <c r="O13007" i="1"/>
  <c r="O13789" i="1"/>
  <c r="O13662" i="1"/>
  <c r="O13484" i="1"/>
  <c r="O13147" i="1"/>
  <c r="O12987" i="1"/>
  <c r="O13009" i="1"/>
  <c r="O13008" i="1"/>
  <c r="O12924" i="1"/>
  <c r="O13667" i="1"/>
  <c r="O13755" i="1"/>
  <c r="O13010" i="1"/>
  <c r="O13121" i="1"/>
  <c r="O13727" i="1"/>
  <c r="O13126" i="1"/>
  <c r="O13011" i="1"/>
  <c r="O13177" i="1"/>
  <c r="O13731" i="1"/>
  <c r="O12960" i="1"/>
  <c r="O12944" i="1"/>
  <c r="O13799" i="1"/>
  <c r="O13795" i="1"/>
  <c r="O13690" i="1"/>
  <c r="O13287" i="1"/>
  <c r="O13038" i="1"/>
  <c r="O12925" i="1"/>
  <c r="O13718" i="1"/>
  <c r="O13543" i="1"/>
  <c r="O13012" i="1"/>
  <c r="O12934" i="1"/>
  <c r="O13016" i="1"/>
  <c r="O13712" i="1"/>
  <c r="O13588" i="1"/>
  <c r="O13248" i="1"/>
  <c r="O13067" i="1"/>
  <c r="O13809" i="1"/>
  <c r="O13017" i="1"/>
  <c r="O12945" i="1"/>
  <c r="O13817" i="1"/>
  <c r="O13772" i="1"/>
  <c r="O13790" i="1"/>
  <c r="O13148" i="1"/>
  <c r="O12930" i="1"/>
  <c r="O13717" i="1"/>
  <c r="O13570" i="1"/>
  <c r="O13317" i="1"/>
  <c r="O13036" i="1"/>
  <c r="O12921" i="1"/>
  <c r="O13491" i="1"/>
  <c r="O13303" i="1"/>
  <c r="O13090" i="1"/>
  <c r="O13046" i="1"/>
  <c r="O13668" i="1"/>
  <c r="O13526" i="1"/>
  <c r="O13076" i="1"/>
  <c r="O13745" i="1"/>
  <c r="O13095" i="1"/>
  <c r="O13092" i="1"/>
  <c r="O13734" i="1"/>
  <c r="O13041" i="1"/>
  <c r="O13097" i="1"/>
  <c r="O12949" i="1"/>
  <c r="O13715" i="1"/>
  <c r="O12961" i="1"/>
  <c r="O12942" i="1"/>
  <c r="O13719" i="1"/>
  <c r="O13170" i="1"/>
  <c r="O13792" i="1"/>
  <c r="O13691" i="1"/>
  <c r="O13311" i="1"/>
  <c r="O13768" i="1"/>
  <c r="O13803" i="1"/>
  <c r="O13814" i="1"/>
  <c r="O12922" i="1"/>
  <c r="O13723" i="1"/>
  <c r="O13176" i="1"/>
  <c r="O13175" i="1"/>
  <c r="O12935" i="1"/>
  <c r="O13544" i="1"/>
  <c r="O13032" i="1"/>
  <c r="O12948" i="1"/>
  <c r="O13191" i="1"/>
  <c r="O13106" i="1"/>
  <c r="O12983" i="1"/>
  <c r="O13223" i="1"/>
  <c r="O13787" i="1"/>
  <c r="O13771" i="1"/>
  <c r="O13802" i="1"/>
  <c r="O13149" i="1"/>
  <c r="O12926" i="1"/>
  <c r="O12990" i="1"/>
  <c r="O13507" i="1"/>
  <c r="O13234" i="1"/>
  <c r="O12920" i="1"/>
  <c r="O12947" i="1"/>
  <c r="O13059" i="1"/>
  <c r="O13262" i="1"/>
  <c r="O13670" i="1"/>
  <c r="O13301" i="1"/>
  <c r="O13290" i="1"/>
  <c r="O13122" i="1"/>
  <c r="O13392" i="1"/>
  <c r="O12984" i="1"/>
  <c r="O13793" i="1"/>
  <c r="O12988" i="1"/>
  <c r="O12938" i="1"/>
  <c r="O13754" i="1"/>
  <c r="O13692" i="1"/>
  <c r="O13278" i="1"/>
  <c r="O13070" i="1"/>
  <c r="O13014" i="1"/>
  <c r="O12962" i="1"/>
  <c r="O13804" i="1"/>
  <c r="O13399" i="1"/>
  <c r="O12957" i="1"/>
  <c r="O13716" i="1"/>
  <c r="O13034" i="1"/>
  <c r="O13453" i="1"/>
  <c r="O12936" i="1"/>
  <c r="O13545" i="1"/>
  <c r="O13391" i="1"/>
  <c r="O13123" i="1"/>
  <c r="O13705" i="1"/>
  <c r="O13714" i="1"/>
  <c r="O13057" i="1"/>
  <c r="O13086" i="1"/>
  <c r="O13791" i="1"/>
  <c r="O12958" i="1"/>
  <c r="O13810" i="1"/>
  <c r="O13770" i="1"/>
  <c r="O13801" i="1"/>
  <c r="O13150" i="1"/>
  <c r="O13758" i="1"/>
  <c r="O13775" i="1"/>
  <c r="O13508" i="1"/>
  <c r="O13124" i="1"/>
  <c r="O13671" i="1"/>
  <c r="O13069" i="1"/>
  <c r="O13023" i="1"/>
  <c r="O13779" i="1"/>
  <c r="O13261" i="1"/>
  <c r="O13251" i="1"/>
  <c r="O13783" i="1"/>
  <c r="O12941" i="1"/>
  <c r="O12923" i="1"/>
  <c r="O13780" i="1"/>
  <c r="O13794" i="1"/>
  <c r="O13735" i="1"/>
  <c r="O13233" i="1"/>
  <c r="O13104" i="1"/>
  <c r="O12963" i="1"/>
  <c r="O13693" i="1"/>
  <c r="O13279" i="1"/>
  <c r="O13052" i="1"/>
  <c r="O13805" i="1"/>
  <c r="O12956" i="1"/>
  <c r="O13796" i="1"/>
  <c r="O12937" i="1"/>
  <c r="D35" i="37"/>
  <c r="C14" i="37"/>
  <c r="E22" i="37"/>
  <c r="E23" i="37"/>
  <c r="D106" i="20"/>
  <c r="G49" i="21"/>
  <c r="P48" i="21"/>
  <c r="O48" i="21"/>
  <c r="N48" i="21"/>
  <c r="M48" i="21"/>
  <c r="L48" i="21"/>
  <c r="K48" i="21"/>
  <c r="J48" i="21"/>
  <c r="I48" i="21"/>
  <c r="H48" i="21"/>
  <c r="G48" i="21"/>
  <c r="F48" i="21"/>
  <c r="E48" i="21"/>
  <c r="C32" i="6"/>
  <c r="P79" i="21"/>
  <c r="O79" i="21"/>
  <c r="N79" i="21"/>
  <c r="M79" i="21"/>
  <c r="L79" i="21"/>
  <c r="K79" i="21"/>
  <c r="J79" i="21"/>
  <c r="I79" i="21"/>
  <c r="H79" i="21"/>
  <c r="G79" i="21"/>
  <c r="F79" i="21"/>
  <c r="E79" i="21"/>
  <c r="P76" i="21"/>
  <c r="O76" i="21"/>
  <c r="N76" i="21"/>
  <c r="M76" i="21"/>
  <c r="L76" i="21"/>
  <c r="K76" i="21"/>
  <c r="J76" i="21"/>
  <c r="I76" i="21"/>
  <c r="H76" i="21"/>
  <c r="G76" i="21"/>
  <c r="F76" i="21"/>
  <c r="E76" i="21"/>
  <c r="P72" i="21"/>
  <c r="O72" i="21"/>
  <c r="N72" i="21"/>
  <c r="M72" i="21"/>
  <c r="L72" i="21"/>
  <c r="K72" i="21"/>
  <c r="J72" i="21"/>
  <c r="I72" i="21"/>
  <c r="H72" i="21"/>
  <c r="G72" i="21"/>
  <c r="F72" i="21"/>
  <c r="E72" i="21"/>
  <c r="D72" i="21"/>
  <c r="N106" i="6"/>
  <c r="M106" i="6"/>
  <c r="L106" i="6"/>
  <c r="K106" i="6"/>
  <c r="J106" i="6"/>
  <c r="I106" i="6"/>
  <c r="H106" i="6"/>
  <c r="G106" i="6"/>
  <c r="F106" i="6"/>
  <c r="E106" i="6"/>
  <c r="D106" i="6"/>
  <c r="C106" i="6"/>
  <c r="O105" i="6"/>
  <c r="O104" i="6"/>
  <c r="O103" i="6"/>
  <c r="O106" i="6"/>
  <c r="O100" i="6"/>
  <c r="N99" i="6"/>
  <c r="M99" i="6"/>
  <c r="L99" i="6"/>
  <c r="K99" i="6"/>
  <c r="J99" i="6"/>
  <c r="I99" i="6"/>
  <c r="H99" i="6"/>
  <c r="G99" i="6"/>
  <c r="F99" i="6"/>
  <c r="E99" i="6"/>
  <c r="D99" i="6"/>
  <c r="C99" i="6"/>
  <c r="O98" i="6"/>
  <c r="O97" i="6"/>
  <c r="O96" i="6"/>
  <c r="O95" i="6"/>
  <c r="O94" i="6"/>
  <c r="O93" i="6"/>
  <c r="O92" i="6"/>
  <c r="N90" i="6"/>
  <c r="M90" i="6"/>
  <c r="L90" i="6"/>
  <c r="K90" i="6"/>
  <c r="J90" i="6"/>
  <c r="I90" i="6"/>
  <c r="H90" i="6"/>
  <c r="G90" i="6"/>
  <c r="F90" i="6"/>
  <c r="E90" i="6"/>
  <c r="D90" i="6"/>
  <c r="C90" i="6"/>
  <c r="O90" i="6"/>
  <c r="O89" i="6"/>
  <c r="O88" i="6"/>
  <c r="O87" i="6"/>
  <c r="O86" i="6"/>
  <c r="O83" i="6"/>
  <c r="O82" i="6"/>
  <c r="N81" i="6"/>
  <c r="N84" i="6"/>
  <c r="M81" i="6"/>
  <c r="M84" i="6"/>
  <c r="L81" i="6"/>
  <c r="L84" i="6"/>
  <c r="K81" i="6"/>
  <c r="K84" i="6"/>
  <c r="J81" i="6"/>
  <c r="J84" i="6"/>
  <c r="I81" i="6"/>
  <c r="I84" i="6"/>
  <c r="H81" i="6"/>
  <c r="H84" i="6"/>
  <c r="G81" i="6"/>
  <c r="G84" i="6"/>
  <c r="F81" i="6"/>
  <c r="F84" i="6"/>
  <c r="E81" i="6"/>
  <c r="E84" i="6"/>
  <c r="D81" i="6"/>
  <c r="D84" i="6"/>
  <c r="C81" i="6"/>
  <c r="O80" i="6"/>
  <c r="O79" i="6"/>
  <c r="O78" i="6"/>
  <c r="O77" i="6"/>
  <c r="N70" i="6"/>
  <c r="M70" i="6"/>
  <c r="L70" i="6"/>
  <c r="K70" i="6"/>
  <c r="J70" i="6"/>
  <c r="I70" i="6"/>
  <c r="H70" i="6"/>
  <c r="G70" i="6"/>
  <c r="F70" i="6"/>
  <c r="E70" i="6"/>
  <c r="D70" i="6"/>
  <c r="C70" i="6"/>
  <c r="O69" i="6"/>
  <c r="O68" i="6"/>
  <c r="O67" i="6"/>
  <c r="O70" i="6"/>
  <c r="O64" i="6"/>
  <c r="N63" i="6"/>
  <c r="M63" i="6"/>
  <c r="L63" i="6"/>
  <c r="K63" i="6"/>
  <c r="J63" i="6"/>
  <c r="I63" i="6"/>
  <c r="H63" i="6"/>
  <c r="G63" i="6"/>
  <c r="F63" i="6"/>
  <c r="E63" i="6"/>
  <c r="D63" i="6"/>
  <c r="C63" i="6"/>
  <c r="O62" i="6"/>
  <c r="O61" i="6"/>
  <c r="O60" i="6"/>
  <c r="O59" i="6"/>
  <c r="O58" i="6"/>
  <c r="O57" i="6"/>
  <c r="O56" i="6"/>
  <c r="N54" i="6"/>
  <c r="M54" i="6"/>
  <c r="L54" i="6"/>
  <c r="K54" i="6"/>
  <c r="J54" i="6"/>
  <c r="I54" i="6"/>
  <c r="H54" i="6"/>
  <c r="G54" i="6"/>
  <c r="F54" i="6"/>
  <c r="E54" i="6"/>
  <c r="D54" i="6"/>
  <c r="C54" i="6"/>
  <c r="O54" i="6"/>
  <c r="O53" i="6"/>
  <c r="O52" i="6"/>
  <c r="O51" i="6"/>
  <c r="O50" i="6"/>
  <c r="O47" i="6"/>
  <c r="O46" i="6"/>
  <c r="N45" i="6"/>
  <c r="N48" i="6"/>
  <c r="M45" i="6"/>
  <c r="M48" i="6"/>
  <c r="L45" i="6"/>
  <c r="L48" i="6"/>
  <c r="K45" i="6"/>
  <c r="K48" i="6"/>
  <c r="J45" i="6"/>
  <c r="J48" i="6"/>
  <c r="I45" i="6"/>
  <c r="I48" i="6"/>
  <c r="H45" i="6"/>
  <c r="H48" i="6"/>
  <c r="G45" i="6"/>
  <c r="G48" i="6"/>
  <c r="F45" i="6"/>
  <c r="F48" i="6"/>
  <c r="E45" i="6"/>
  <c r="E48" i="6"/>
  <c r="D45" i="6"/>
  <c r="D48" i="6"/>
  <c r="C45" i="6"/>
  <c r="O44" i="6"/>
  <c r="O43" i="6"/>
  <c r="O42" i="6"/>
  <c r="O41" i="6"/>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9" i="9"/>
  <c r="F12283" i="1"/>
  <c r="F12390" i="1"/>
  <c r="F12458" i="1"/>
  <c r="F12543" i="1"/>
  <c r="F12869" i="1"/>
  <c r="F12902" i="1"/>
  <c r="F8392" i="1"/>
  <c r="F12886" i="1"/>
  <c r="F12687" i="1"/>
  <c r="F12681" i="1"/>
  <c r="F12697" i="1"/>
  <c r="F12870" i="1"/>
  <c r="F12871" i="1"/>
  <c r="F12262" i="1"/>
  <c r="F12563" i="1"/>
  <c r="F12302" i="1"/>
  <c r="F12876" i="1"/>
  <c r="F12437" i="1"/>
  <c r="F12688" i="1"/>
  <c r="F12866" i="1"/>
  <c r="F12442" i="1"/>
  <c r="F12859" i="1"/>
  <c r="F12843" i="1"/>
  <c r="F11081" i="1"/>
  <c r="F12834" i="1"/>
  <c r="F12682" i="1"/>
  <c r="F11071" i="1"/>
  <c r="F12827" i="1"/>
  <c r="F11077" i="1"/>
  <c r="F12818" i="1"/>
  <c r="F12260" i="1"/>
  <c r="F12805" i="1"/>
  <c r="F12801" i="1"/>
  <c r="F12800" i="1"/>
  <c r="F12793" i="1"/>
  <c r="F12301" i="1"/>
  <c r="F12787" i="1"/>
  <c r="F12785" i="1"/>
  <c r="F12766" i="1"/>
  <c r="F12762" i="1"/>
  <c r="F12763" i="1"/>
  <c r="F12755" i="1"/>
  <c r="F12757" i="1"/>
  <c r="F12680" i="1"/>
  <c r="F12756" i="1"/>
  <c r="F12746" i="1"/>
  <c r="F12259" i="1"/>
  <c r="F12294" i="1"/>
  <c r="F12744" i="1"/>
  <c r="F12740" i="1"/>
  <c r="F12745" i="1"/>
  <c r="F12743" i="1"/>
  <c r="F12723" i="1"/>
  <c r="F12868" i="1"/>
  <c r="F12558" i="1"/>
  <c r="F12718" i="1"/>
  <c r="F12705" i="1"/>
  <c r="F12708" i="1"/>
  <c r="F12692" i="1"/>
  <c r="F12674" i="1"/>
  <c r="F12679" i="1"/>
  <c r="F12675" i="1"/>
  <c r="F12665" i="1"/>
  <c r="F12663" i="1"/>
  <c r="F12661" i="1"/>
  <c r="F12683" i="1"/>
  <c r="F12631" i="1"/>
  <c r="F12293" i="1"/>
  <c r="F12624" i="1"/>
  <c r="F12626" i="1"/>
  <c r="F12614" i="1"/>
  <c r="F12619" i="1"/>
  <c r="F12256" i="1"/>
  <c r="F12588" i="1"/>
  <c r="F12585" i="1"/>
  <c r="F12578" i="1"/>
  <c r="F12255" i="1"/>
  <c r="F12573" i="1"/>
  <c r="F12571" i="1"/>
  <c r="F12867" i="1"/>
  <c r="F12561" i="1"/>
  <c r="F12678" i="1"/>
  <c r="F11209" i="1"/>
  <c r="F12899" i="1"/>
  <c r="F12900" i="1"/>
  <c r="F12861" i="1"/>
  <c r="F12860" i="1"/>
  <c r="F12864" i="1"/>
  <c r="F12855" i="1"/>
  <c r="F12849" i="1"/>
  <c r="F12844" i="1"/>
  <c r="F12803" i="1"/>
  <c r="F12798" i="1"/>
  <c r="F12794" i="1"/>
  <c r="F12795" i="1"/>
  <c r="F12792" i="1"/>
  <c r="F12791" i="1"/>
  <c r="F12771" i="1"/>
  <c r="F12770" i="1"/>
  <c r="F12769" i="1"/>
  <c r="F12772" i="1"/>
  <c r="F11207" i="1"/>
  <c r="F12709" i="1"/>
  <c r="F12710" i="1"/>
  <c r="F12704" i="1"/>
  <c r="F12703" i="1"/>
  <c r="F12699" i="1"/>
  <c r="F12696" i="1"/>
  <c r="F12407" i="1"/>
  <c r="F12405" i="1"/>
  <c r="F10759" i="1"/>
  <c r="F12379" i="1"/>
  <c r="F12677" i="1"/>
  <c r="F10882" i="1"/>
  <c r="F10858" i="1"/>
  <c r="F12366" i="1"/>
  <c r="F12672" i="1"/>
  <c r="F12639" i="1"/>
  <c r="F12365" i="1"/>
  <c r="F12664" i="1"/>
  <c r="F12404" i="1"/>
  <c r="F12659" i="1"/>
  <c r="F12662" i="1"/>
  <c r="F12650" i="1"/>
  <c r="F12637" i="1"/>
  <c r="F12641" i="1"/>
  <c r="F12618" i="1"/>
  <c r="F12612" i="1"/>
  <c r="F12606" i="1"/>
  <c r="F12603" i="1"/>
  <c r="F12587" i="1"/>
  <c r="F12568" i="1"/>
  <c r="F12569" i="1"/>
  <c r="F11206" i="1"/>
  <c r="F12560" i="1"/>
  <c r="F12562" i="1"/>
  <c r="F12896" i="1"/>
  <c r="F12895" i="1"/>
  <c r="F12897" i="1"/>
  <c r="F12898" i="1"/>
  <c r="F12901" i="1"/>
  <c r="F12396" i="1"/>
  <c r="F12889" i="1"/>
  <c r="F12890" i="1"/>
  <c r="F12891" i="1"/>
  <c r="F12892" i="1"/>
  <c r="F12893" i="1"/>
  <c r="F12894" i="1"/>
  <c r="F12881" i="1"/>
  <c r="F12882" i="1"/>
  <c r="F12883" i="1"/>
  <c r="F12885" i="1"/>
  <c r="F12872" i="1"/>
  <c r="F12873" i="1"/>
  <c r="F12877" i="1"/>
  <c r="F12879" i="1"/>
  <c r="F11513" i="1"/>
  <c r="F12862" i="1"/>
  <c r="F12084" i="1"/>
  <c r="F12335" i="1"/>
  <c r="F12853" i="1"/>
  <c r="F12854" i="1"/>
  <c r="F12856" i="1"/>
  <c r="F12857" i="1"/>
  <c r="F12848" i="1"/>
  <c r="F12850" i="1"/>
  <c r="F12851" i="1"/>
  <c r="F12852" i="1"/>
  <c r="F12837" i="1"/>
  <c r="F12838" i="1"/>
  <c r="F12839" i="1"/>
  <c r="F12840" i="1"/>
  <c r="F12841" i="1"/>
  <c r="F12842" i="1"/>
  <c r="F12845" i="1"/>
  <c r="F12846" i="1"/>
  <c r="F12847" i="1"/>
  <c r="F12832" i="1"/>
  <c r="F12835" i="1"/>
  <c r="F12836" i="1"/>
  <c r="F12828" i="1"/>
  <c r="F12829" i="1"/>
  <c r="F12830" i="1"/>
  <c r="F12821" i="1"/>
  <c r="F12824" i="1"/>
  <c r="F12825" i="1"/>
  <c r="F12826" i="1"/>
  <c r="F12815" i="1"/>
  <c r="F12816" i="1"/>
  <c r="F12817" i="1"/>
  <c r="F12819" i="1"/>
  <c r="F12820" i="1"/>
  <c r="F12812" i="1"/>
  <c r="F12813" i="1"/>
  <c r="F12814" i="1"/>
  <c r="F12806" i="1"/>
  <c r="F12807" i="1"/>
  <c r="F12808" i="1"/>
  <c r="F12809" i="1"/>
  <c r="F12810" i="1"/>
  <c r="F12811" i="1"/>
  <c r="F12804" i="1"/>
  <c r="F12797" i="1"/>
  <c r="F11812" i="1"/>
  <c r="F12796" i="1"/>
  <c r="F12789" i="1"/>
  <c r="F12790" i="1"/>
  <c r="F12784" i="1"/>
  <c r="F12788" i="1"/>
  <c r="F12780" i="1"/>
  <c r="F12781" i="1"/>
  <c r="F12782" i="1"/>
  <c r="F12783" i="1"/>
  <c r="F12775" i="1"/>
  <c r="F12776" i="1"/>
  <c r="F12777" i="1"/>
  <c r="F12778" i="1"/>
  <c r="F12779" i="1"/>
  <c r="F12773" i="1"/>
  <c r="F12774" i="1"/>
  <c r="F12768" i="1"/>
  <c r="F12764" i="1"/>
  <c r="F12765" i="1"/>
  <c r="F12760" i="1"/>
  <c r="F12761" i="1"/>
  <c r="F12753" i="1"/>
  <c r="F12754" i="1"/>
  <c r="F12758" i="1"/>
  <c r="F12748" i="1"/>
  <c r="F12749" i="1"/>
  <c r="F12750" i="1"/>
  <c r="F12751" i="1"/>
  <c r="F12752" i="1"/>
  <c r="F12747" i="1"/>
  <c r="F12728" i="1"/>
  <c r="F12733" i="1"/>
  <c r="F12729" i="1"/>
  <c r="F12730" i="1"/>
  <c r="F12731" i="1"/>
  <c r="F12732" i="1"/>
  <c r="F12734" i="1"/>
  <c r="F12735" i="1"/>
  <c r="F12736" i="1"/>
  <c r="F12737" i="1"/>
  <c r="F12738" i="1"/>
  <c r="F12742" i="1"/>
  <c r="F12725" i="1"/>
  <c r="F12726" i="1"/>
  <c r="F12727" i="1"/>
  <c r="F12083" i="1"/>
  <c r="F12712" i="1"/>
  <c r="F12713" i="1"/>
  <c r="F12714" i="1"/>
  <c r="F11511" i="1"/>
  <c r="F12716" i="1"/>
  <c r="F12719" i="1"/>
  <c r="F12702" i="1"/>
  <c r="F12701" i="1"/>
  <c r="F12706" i="1"/>
  <c r="F12707" i="1"/>
  <c r="F12334" i="1"/>
  <c r="F12698" i="1"/>
  <c r="F12694" i="1"/>
  <c r="F12695" i="1"/>
  <c r="F12684" i="1"/>
  <c r="F12685" i="1"/>
  <c r="F12686" i="1"/>
  <c r="F12389" i="1"/>
  <c r="F12691" i="1"/>
  <c r="F12669" i="1"/>
  <c r="F12670" i="1"/>
  <c r="F12676" i="1"/>
  <c r="F12666" i="1"/>
  <c r="F12653" i="1"/>
  <c r="F12655" i="1"/>
  <c r="F12656" i="1"/>
  <c r="F12657" i="1"/>
  <c r="F12658" i="1"/>
  <c r="F12644" i="1"/>
  <c r="F12645" i="1"/>
  <c r="F12646" i="1"/>
  <c r="F10843" i="1"/>
  <c r="F12648" i="1"/>
  <c r="F12649" i="1"/>
  <c r="F12651" i="1"/>
  <c r="F11797" i="1"/>
  <c r="F11819" i="1"/>
  <c r="F11903" i="1"/>
  <c r="F12642" i="1"/>
  <c r="F12632" i="1"/>
  <c r="F12633" i="1"/>
  <c r="F12634" i="1"/>
  <c r="F12635" i="1"/>
  <c r="F12636" i="1"/>
  <c r="F12629" i="1"/>
  <c r="F12630" i="1"/>
  <c r="F12620" i="1"/>
  <c r="F12621" i="1"/>
  <c r="F12622" i="1"/>
  <c r="F12623" i="1"/>
  <c r="F12627" i="1"/>
  <c r="F12617" i="1"/>
  <c r="F12611" i="1"/>
  <c r="F12605" i="1"/>
  <c r="F12081" i="1"/>
  <c r="F12608" i="1"/>
  <c r="F12609" i="1"/>
  <c r="F12600" i="1"/>
  <c r="F12601" i="1"/>
  <c r="F12602" i="1"/>
  <c r="F12604" i="1"/>
  <c r="F10768" i="1"/>
  <c r="F10775" i="1"/>
  <c r="F12596" i="1"/>
  <c r="F12597" i="1"/>
  <c r="F12598" i="1"/>
  <c r="F12599" i="1"/>
  <c r="F12589" i="1"/>
  <c r="F12590" i="1"/>
  <c r="F12591" i="1"/>
  <c r="F12592" i="1"/>
  <c r="F12593" i="1"/>
  <c r="F12582" i="1"/>
  <c r="F12583" i="1"/>
  <c r="F12584" i="1"/>
  <c r="F12586" i="1"/>
  <c r="F10786" i="1"/>
  <c r="F11500" i="1"/>
  <c r="F12572" i="1"/>
  <c r="F12567" i="1"/>
  <c r="F12566" i="1"/>
  <c r="F12574" i="1"/>
  <c r="F12579" i="1"/>
  <c r="F12580" i="1"/>
  <c r="F12581" i="1"/>
  <c r="F12610" i="1"/>
  <c r="F12615" i="1"/>
  <c r="F11767" i="1"/>
  <c r="F12628" i="1"/>
  <c r="F12643" i="1"/>
  <c r="F12654" i="1"/>
  <c r="F12693" i="1"/>
  <c r="F12700" i="1"/>
  <c r="F12711" i="1"/>
  <c r="F12720" i="1"/>
  <c r="O12566" i="1"/>
  <c r="O12574" i="1"/>
  <c r="O12579" i="1"/>
  <c r="O12580" i="1"/>
  <c r="O12581" i="1"/>
  <c r="O12610" i="1"/>
  <c r="O12615" i="1"/>
  <c r="O11767" i="1"/>
  <c r="O12628" i="1"/>
  <c r="O12643" i="1"/>
  <c r="O12654" i="1"/>
  <c r="O12693" i="1"/>
  <c r="O12700" i="1"/>
  <c r="O12711" i="1"/>
  <c r="O12720" i="1"/>
  <c r="O12910" i="1"/>
  <c r="O12913" i="1"/>
  <c r="O12914" i="1"/>
  <c r="O12915" i="1"/>
  <c r="O12916" i="1"/>
  <c r="O12917" i="1"/>
  <c r="O12904" i="1"/>
  <c r="O12906" i="1"/>
  <c r="O12896" i="1"/>
  <c r="O12895" i="1"/>
  <c r="O12897" i="1"/>
  <c r="O12898" i="1"/>
  <c r="O12901" i="1"/>
  <c r="O12396" i="1"/>
  <c r="O12889" i="1"/>
  <c r="O12890" i="1"/>
  <c r="O12891" i="1"/>
  <c r="O12892" i="1"/>
  <c r="O12893" i="1"/>
  <c r="O12894" i="1"/>
  <c r="O12881" i="1"/>
  <c r="O12882" i="1"/>
  <c r="O12883" i="1"/>
  <c r="O12885" i="1"/>
  <c r="O12872" i="1"/>
  <c r="O12873" i="1"/>
  <c r="O12877" i="1"/>
  <c r="O12879" i="1"/>
  <c r="O11513" i="1"/>
  <c r="O12862" i="1"/>
  <c r="O12084" i="1"/>
  <c r="O12335" i="1"/>
  <c r="O12853" i="1"/>
  <c r="O12854" i="1"/>
  <c r="O12856" i="1"/>
  <c r="O12857" i="1"/>
  <c r="O12848" i="1"/>
  <c r="O12850" i="1"/>
  <c r="O12851" i="1"/>
  <c r="O12852" i="1"/>
  <c r="O12837" i="1"/>
  <c r="O12838" i="1"/>
  <c r="O12839" i="1"/>
  <c r="O12840" i="1"/>
  <c r="O12841" i="1"/>
  <c r="O12842" i="1"/>
  <c r="O12845" i="1"/>
  <c r="O12846" i="1"/>
  <c r="O12847" i="1"/>
  <c r="O12832" i="1"/>
  <c r="O12835" i="1"/>
  <c r="O12836" i="1"/>
  <c r="O12828" i="1"/>
  <c r="O12829" i="1"/>
  <c r="O12830" i="1"/>
  <c r="O12821" i="1"/>
  <c r="O12824" i="1"/>
  <c r="O12825" i="1"/>
  <c r="O12826" i="1"/>
  <c r="O12815" i="1"/>
  <c r="O12816" i="1"/>
  <c r="O12817" i="1"/>
  <c r="O12819" i="1"/>
  <c r="O12820" i="1"/>
  <c r="O12812" i="1"/>
  <c r="O12813" i="1"/>
  <c r="O12814" i="1"/>
  <c r="O12806" i="1"/>
  <c r="O12807" i="1"/>
  <c r="O12808" i="1"/>
  <c r="O12809" i="1"/>
  <c r="O12810" i="1"/>
  <c r="O12811" i="1"/>
  <c r="O12804" i="1"/>
  <c r="O12797" i="1"/>
  <c r="O11812" i="1"/>
  <c r="O12796" i="1"/>
  <c r="O12789" i="1"/>
  <c r="O12790" i="1"/>
  <c r="O12784" i="1"/>
  <c r="O12788" i="1"/>
  <c r="O12780" i="1"/>
  <c r="O12781" i="1"/>
  <c r="O12782" i="1"/>
  <c r="O12783" i="1"/>
  <c r="O12775" i="1"/>
  <c r="O12776" i="1"/>
  <c r="O12777" i="1"/>
  <c r="O12778" i="1"/>
  <c r="O12779" i="1"/>
  <c r="O12773" i="1"/>
  <c r="O12774" i="1"/>
  <c r="O12768" i="1"/>
  <c r="O12764" i="1"/>
  <c r="O12765" i="1"/>
  <c r="O12760" i="1"/>
  <c r="O12761" i="1"/>
  <c r="O12753" i="1"/>
  <c r="O12754" i="1"/>
  <c r="O12758" i="1"/>
  <c r="O12748" i="1"/>
  <c r="O12749" i="1"/>
  <c r="O12750" i="1"/>
  <c r="O12751" i="1"/>
  <c r="O12752" i="1"/>
  <c r="O12747" i="1"/>
  <c r="O12728" i="1"/>
  <c r="O12733" i="1"/>
  <c r="O12729" i="1"/>
  <c r="O12730" i="1"/>
  <c r="O12731" i="1"/>
  <c r="O12732" i="1"/>
  <c r="O12734" i="1"/>
  <c r="O12735" i="1"/>
  <c r="O12736" i="1"/>
  <c r="O12737" i="1"/>
  <c r="O12738" i="1"/>
  <c r="O12742" i="1"/>
  <c r="O12725" i="1"/>
  <c r="O12726" i="1"/>
  <c r="O12727" i="1"/>
  <c r="O12083" i="1"/>
  <c r="O12712" i="1"/>
  <c r="O12713" i="1"/>
  <c r="O12714" i="1"/>
  <c r="O11511" i="1"/>
  <c r="O12716" i="1"/>
  <c r="O12719" i="1"/>
  <c r="O12702" i="1"/>
  <c r="O12701" i="1"/>
  <c r="O12706" i="1"/>
  <c r="O12707" i="1"/>
  <c r="O12334" i="1"/>
  <c r="O12698" i="1"/>
  <c r="O12694" i="1"/>
  <c r="O12695" i="1"/>
  <c r="O12684" i="1"/>
  <c r="O12685" i="1"/>
  <c r="O12686" i="1"/>
  <c r="O12389" i="1"/>
  <c r="O12691" i="1"/>
  <c r="O12669" i="1"/>
  <c r="O12670" i="1"/>
  <c r="O12676" i="1"/>
  <c r="O12666" i="1"/>
  <c r="O12653" i="1"/>
  <c r="O12655" i="1"/>
  <c r="O12656" i="1"/>
  <c r="O12657" i="1"/>
  <c r="O12658" i="1"/>
  <c r="O12644" i="1"/>
  <c r="O12645" i="1"/>
  <c r="O12646" i="1"/>
  <c r="O10843" i="1"/>
  <c r="O12648" i="1"/>
  <c r="O12649" i="1"/>
  <c r="O12651" i="1"/>
  <c r="O11797" i="1"/>
  <c r="O11819" i="1"/>
  <c r="O11903" i="1"/>
  <c r="O12642" i="1"/>
  <c r="O12632" i="1"/>
  <c r="O12633" i="1"/>
  <c r="O12634" i="1"/>
  <c r="O12635" i="1"/>
  <c r="O12636" i="1"/>
  <c r="O12629" i="1"/>
  <c r="O12630" i="1"/>
  <c r="O12620" i="1"/>
  <c r="O12621" i="1"/>
  <c r="O12622" i="1"/>
  <c r="O12623" i="1"/>
  <c r="O12627" i="1"/>
  <c r="O12617" i="1"/>
  <c r="O12611" i="1"/>
  <c r="O12605" i="1"/>
  <c r="O12081" i="1"/>
  <c r="O12608" i="1"/>
  <c r="O12609" i="1"/>
  <c r="O12600" i="1"/>
  <c r="O12601" i="1"/>
  <c r="O12602" i="1"/>
  <c r="O12604" i="1"/>
  <c r="O10768" i="1"/>
  <c r="O10775" i="1"/>
  <c r="O12596" i="1"/>
  <c r="O12597" i="1"/>
  <c r="O12598" i="1"/>
  <c r="O12599" i="1"/>
  <c r="O12589" i="1"/>
  <c r="O12590" i="1"/>
  <c r="O12591" i="1"/>
  <c r="O12592" i="1"/>
  <c r="O12593" i="1"/>
  <c r="O12582" i="1"/>
  <c r="O12583" i="1"/>
  <c r="O12584" i="1"/>
  <c r="O12586" i="1"/>
  <c r="O10786" i="1"/>
  <c r="O11500" i="1"/>
  <c r="O12572" i="1"/>
  <c r="O12567" i="1"/>
  <c r="O11209" i="1"/>
  <c r="O12899" i="1"/>
  <c r="O12900" i="1"/>
  <c r="O12861" i="1"/>
  <c r="O12860" i="1"/>
  <c r="O12864" i="1"/>
  <c r="O12855" i="1"/>
  <c r="O12849" i="1"/>
  <c r="O12844" i="1"/>
  <c r="O12803" i="1"/>
  <c r="O12798" i="1"/>
  <c r="O12794" i="1"/>
  <c r="O12795" i="1"/>
  <c r="O12792" i="1"/>
  <c r="O12791" i="1"/>
  <c r="O12771" i="1"/>
  <c r="O12770" i="1"/>
  <c r="O12769" i="1"/>
  <c r="O12772" i="1"/>
  <c r="O11207" i="1"/>
  <c r="O12709" i="1"/>
  <c r="O12710" i="1"/>
  <c r="O12704" i="1"/>
  <c r="O12703" i="1"/>
  <c r="O12699" i="1"/>
  <c r="O12696" i="1"/>
  <c r="O12407" i="1"/>
  <c r="O12405" i="1"/>
  <c r="O10759" i="1"/>
  <c r="O12379" i="1"/>
  <c r="O12677" i="1"/>
  <c r="O10882" i="1"/>
  <c r="O10858" i="1"/>
  <c r="O12909" i="1"/>
  <c r="O12905" i="1"/>
  <c r="O12903" i="1"/>
  <c r="O12366" i="1"/>
  <c r="O12672" i="1"/>
  <c r="O12639" i="1"/>
  <c r="O12365" i="1"/>
  <c r="O12664" i="1"/>
  <c r="O12404" i="1"/>
  <c r="O12659" i="1"/>
  <c r="O12662" i="1"/>
  <c r="O12650" i="1"/>
  <c r="O12637" i="1"/>
  <c r="O12641" i="1"/>
  <c r="O12618" i="1"/>
  <c r="O12612" i="1"/>
  <c r="O12606" i="1"/>
  <c r="O12603" i="1"/>
  <c r="O12587" i="1"/>
  <c r="O12568" i="1"/>
  <c r="O12569" i="1"/>
  <c r="O11206" i="1"/>
  <c r="O12560" i="1"/>
  <c r="O12562" i="1"/>
  <c r="O12912" i="1"/>
  <c r="O12911" i="1"/>
  <c r="O12918" i="1"/>
  <c r="O12869" i="1"/>
  <c r="O12907" i="1"/>
  <c r="O12908" i="1"/>
  <c r="O12902" i="1"/>
  <c r="O8392" i="1"/>
  <c r="O12886" i="1"/>
  <c r="O12687" i="1"/>
  <c r="O12681" i="1"/>
  <c r="O12697" i="1"/>
  <c r="O12870" i="1"/>
  <c r="O12871" i="1"/>
  <c r="O12262" i="1"/>
  <c r="O12563" i="1"/>
  <c r="O12302" i="1"/>
  <c r="O12876" i="1"/>
  <c r="O12437" i="1"/>
  <c r="O12688" i="1"/>
  <c r="O12866" i="1"/>
  <c r="O12442" i="1"/>
  <c r="O12859" i="1"/>
  <c r="O12843" i="1"/>
  <c r="O11081" i="1"/>
  <c r="O12834" i="1"/>
  <c r="O12682" i="1"/>
  <c r="O11071" i="1"/>
  <c r="O12827" i="1"/>
  <c r="O11077" i="1"/>
  <c r="O12818" i="1"/>
  <c r="O12260" i="1"/>
  <c r="O12805" i="1"/>
  <c r="O12801" i="1"/>
  <c r="O12800" i="1"/>
  <c r="O12793" i="1"/>
  <c r="O12301" i="1"/>
  <c r="O12787" i="1"/>
  <c r="O12785" i="1"/>
  <c r="O12766" i="1"/>
  <c r="O12762" i="1"/>
  <c r="O12763" i="1"/>
  <c r="O12755" i="1"/>
  <c r="O12757" i="1"/>
  <c r="O12680" i="1"/>
  <c r="O12756" i="1"/>
  <c r="O12746" i="1"/>
  <c r="O12259" i="1"/>
  <c r="O12294" i="1"/>
  <c r="O12744" i="1"/>
  <c r="O12740" i="1"/>
  <c r="O12745" i="1"/>
  <c r="O12743" i="1"/>
  <c r="O12723" i="1"/>
  <c r="O12868" i="1"/>
  <c r="O12558" i="1"/>
  <c r="O12718" i="1"/>
  <c r="O12705" i="1"/>
  <c r="O12708" i="1"/>
  <c r="O12692" i="1"/>
  <c r="O12674" i="1"/>
  <c r="O12679" i="1"/>
  <c r="O12675" i="1"/>
  <c r="O12665" i="1"/>
  <c r="O12663" i="1"/>
  <c r="O12661" i="1"/>
  <c r="O12683" i="1"/>
  <c r="O12631" i="1"/>
  <c r="O12293" i="1"/>
  <c r="O12624" i="1"/>
  <c r="O12626" i="1"/>
  <c r="O12614" i="1"/>
  <c r="O12619" i="1"/>
  <c r="O12256" i="1"/>
  <c r="O12588" i="1"/>
  <c r="O12585" i="1"/>
  <c r="O12578" i="1"/>
  <c r="O12255" i="1"/>
  <c r="O12573" i="1"/>
  <c r="O12571" i="1"/>
  <c r="O12867" i="1"/>
  <c r="O12561" i="1"/>
  <c r="O12678" i="1"/>
  <c r="F12070" i="1"/>
  <c r="F12071" i="1"/>
  <c r="F12072" i="1"/>
  <c r="F12073" i="1"/>
  <c r="F12074" i="1"/>
  <c r="F12075" i="1"/>
  <c r="F12076" i="1"/>
  <c r="F12077" i="1"/>
  <c r="F12078" i="1"/>
  <c r="F12079" i="1"/>
  <c r="F12080" i="1"/>
  <c r="F12400" i="1"/>
  <c r="F12082" i="1"/>
  <c r="F10742" i="1"/>
  <c r="F11061" i="1"/>
  <c r="F12085" i="1"/>
  <c r="F12086" i="1"/>
  <c r="F12341" i="1"/>
  <c r="F12088" i="1"/>
  <c r="F12089" i="1"/>
  <c r="F12090" i="1"/>
  <c r="F12091" i="1"/>
  <c r="F11974" i="1"/>
  <c r="F12093" i="1"/>
  <c r="F12094" i="1"/>
  <c r="F12095" i="1"/>
  <c r="F12096" i="1"/>
  <c r="F12097" i="1"/>
  <c r="F12338" i="1"/>
  <c r="F12099" i="1"/>
  <c r="F12100" i="1"/>
  <c r="F12101" i="1"/>
  <c r="F12717" i="1"/>
  <c r="F12103" i="1"/>
  <c r="F12104" i="1"/>
  <c r="F12105" i="1"/>
  <c r="F11381" i="1"/>
  <c r="F11388" i="1"/>
  <c r="F11410" i="1"/>
  <c r="F11417" i="1"/>
  <c r="F11421" i="1"/>
  <c r="F11425" i="1"/>
  <c r="F12112" i="1"/>
  <c r="F12113" i="1"/>
  <c r="F12114" i="1"/>
  <c r="F12115" i="1"/>
  <c r="F12116" i="1"/>
  <c r="F12117" i="1"/>
  <c r="F12118" i="1"/>
  <c r="F12119" i="1"/>
  <c r="F12120" i="1"/>
  <c r="F12121" i="1"/>
  <c r="F12122" i="1"/>
  <c r="F12123" i="1"/>
  <c r="F12125" i="1"/>
  <c r="F12126" i="1"/>
  <c r="F12127" i="1"/>
  <c r="F12128" i="1"/>
  <c r="F12129" i="1"/>
  <c r="F12557" i="1"/>
  <c r="F12131" i="1"/>
  <c r="F12124" i="1"/>
  <c r="F12132" i="1"/>
  <c r="F12133" i="1"/>
  <c r="F12134" i="1"/>
  <c r="F12135" i="1"/>
  <c r="F12136" i="1"/>
  <c r="F12137" i="1"/>
  <c r="F12138" i="1"/>
  <c r="F12139" i="1"/>
  <c r="F12140" i="1"/>
  <c r="F12141" i="1"/>
  <c r="F12142" i="1"/>
  <c r="F12143" i="1"/>
  <c r="F12144" i="1"/>
  <c r="F12145" i="1"/>
  <c r="F12146" i="1"/>
  <c r="F12149" i="1"/>
  <c r="F12147" i="1"/>
  <c r="F12290"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91" i="1"/>
  <c r="F12195" i="1"/>
  <c r="F12197" i="1"/>
  <c r="F12187" i="1"/>
  <c r="F12203" i="1"/>
  <c r="F12204" i="1"/>
  <c r="F12201" i="1"/>
  <c r="F12199" i="1"/>
  <c r="F12200" i="1"/>
  <c r="F12206" i="1"/>
  <c r="F12190" i="1"/>
  <c r="F12188" i="1"/>
  <c r="F12194" i="1"/>
  <c r="F12198" i="1"/>
  <c r="F12193" i="1"/>
  <c r="F12207" i="1"/>
  <c r="F12362" i="1"/>
  <c r="F12208" i="1"/>
  <c r="F12205" i="1"/>
  <c r="F12192" i="1"/>
  <c r="F12189" i="1"/>
  <c r="F12196" i="1"/>
  <c r="F12058" i="1"/>
  <c r="F11182" i="1"/>
  <c r="F12210" i="1"/>
  <c r="F12219" i="1"/>
  <c r="F12209" i="1"/>
  <c r="F12220" i="1"/>
  <c r="F12218" i="1"/>
  <c r="F12223" i="1"/>
  <c r="F12213" i="1"/>
  <c r="F12221" i="1"/>
  <c r="F12212" i="1"/>
  <c r="F12215" i="1"/>
  <c r="F12217" i="1"/>
  <c r="F12222" i="1"/>
  <c r="F12216" i="1"/>
  <c r="F12858" i="1"/>
  <c r="F12225" i="1"/>
  <c r="F12226" i="1"/>
  <c r="F12227" i="1"/>
  <c r="F12231" i="1"/>
  <c r="F12233" i="1"/>
  <c r="F12229" i="1"/>
  <c r="F12228" i="1"/>
  <c r="F12230" i="1"/>
  <c r="F12232" i="1"/>
  <c r="F12235" i="1"/>
  <c r="F12234" i="1"/>
  <c r="F12236" i="1"/>
  <c r="F12238" i="1"/>
  <c r="F12237" i="1"/>
  <c r="F12239" i="1"/>
  <c r="F12244" i="1"/>
  <c r="F12241" i="1"/>
  <c r="F12240" i="1"/>
  <c r="F12245" i="1"/>
  <c r="F12243" i="1"/>
  <c r="F11467" i="1"/>
  <c r="F12246" i="1"/>
  <c r="F12248" i="1"/>
  <c r="F12247" i="1"/>
  <c r="F12251" i="1"/>
  <c r="F12249" i="1"/>
  <c r="F12250" i="1"/>
  <c r="F11813" i="1"/>
  <c r="F12358" i="1"/>
  <c r="F11082" i="1"/>
  <c r="F12577" i="1"/>
  <c r="F12252" i="1"/>
  <c r="F12257" i="1"/>
  <c r="F12625" i="1"/>
  <c r="F11860" i="1"/>
  <c r="F12258" i="1"/>
  <c r="F12261" i="1"/>
  <c r="F12264" i="1"/>
  <c r="F10776" i="1"/>
  <c r="F11089" i="1"/>
  <c r="F12266" i="1"/>
  <c r="F12268" i="1"/>
  <c r="F10893" i="1"/>
  <c r="F12267" i="1"/>
  <c r="F12269" i="1"/>
  <c r="F12270" i="1"/>
  <c r="F12271" i="1"/>
  <c r="F12273" i="1"/>
  <c r="F12272" i="1"/>
  <c r="F12274" i="1"/>
  <c r="F12276" i="1"/>
  <c r="F12275" i="1"/>
  <c r="F12278" i="1"/>
  <c r="F12279" i="1"/>
  <c r="F12277" i="1"/>
  <c r="F12280" i="1"/>
  <c r="F12284" i="1"/>
  <c r="F11724" i="1"/>
  <c r="F12286" i="1"/>
  <c r="F12285" i="1"/>
  <c r="F10859" i="1"/>
  <c r="F12307" i="1"/>
  <c r="F12287" i="1"/>
  <c r="F12360" i="1"/>
  <c r="F12288" i="1"/>
  <c r="F11631" i="1"/>
  <c r="F11951" i="1"/>
  <c r="F11628" i="1"/>
  <c r="F12291" i="1"/>
  <c r="F12296" i="1"/>
  <c r="F12295" i="1"/>
  <c r="F12297" i="1"/>
  <c r="F12298" i="1"/>
  <c r="F11625" i="1"/>
  <c r="F12305" i="1"/>
  <c r="F12355" i="1"/>
  <c r="F12299" i="1"/>
  <c r="F12300" i="1"/>
  <c r="F12671" i="1"/>
  <c r="F11947" i="1"/>
  <c r="F11716" i="1"/>
  <c r="F12309" i="1"/>
  <c r="F11796" i="1"/>
  <c r="F10880" i="1"/>
  <c r="F11943" i="1"/>
  <c r="F11664" i="1"/>
  <c r="F12313" i="1"/>
  <c r="F11887" i="1"/>
  <c r="F12613" i="1"/>
  <c r="F12321" i="1"/>
  <c r="F12317" i="1"/>
  <c r="F12315" i="1"/>
  <c r="F12318" i="1"/>
  <c r="F12323" i="1"/>
  <c r="F12320" i="1"/>
  <c r="F12316" i="1"/>
  <c r="F12319" i="1"/>
  <c r="F11710" i="1"/>
  <c r="F11545" i="1"/>
  <c r="F11546" i="1"/>
  <c r="F12331" i="1"/>
  <c r="F12326" i="1"/>
  <c r="F12327" i="1"/>
  <c r="F12328" i="1"/>
  <c r="F10792" i="1"/>
  <c r="F12330" i="1"/>
  <c r="F12340" i="1"/>
  <c r="F12329" i="1"/>
  <c r="F12325" i="1"/>
  <c r="F12332" i="1"/>
  <c r="F11473" i="1"/>
  <c r="F11547" i="1"/>
  <c r="F11492" i="1"/>
  <c r="F11549" i="1"/>
  <c r="F11551" i="1"/>
  <c r="F10889" i="1"/>
  <c r="F12343" i="1"/>
  <c r="F12342" i="1"/>
  <c r="F11184" i="1"/>
  <c r="F12312" i="1"/>
  <c r="F11666" i="1"/>
  <c r="F12346" i="1"/>
  <c r="F12333" i="1"/>
  <c r="F12354" i="1"/>
  <c r="F12351" i="1"/>
  <c r="F11945" i="1"/>
  <c r="F11722" i="1"/>
  <c r="F12349" i="1"/>
  <c r="F12344" i="1"/>
  <c r="F12863" i="1"/>
  <c r="F12356" i="1"/>
  <c r="F11718" i="1"/>
  <c r="F12304" i="1"/>
  <c r="F11639" i="1"/>
  <c r="F12359" i="1"/>
  <c r="F12361" i="1"/>
  <c r="F12436" i="1"/>
  <c r="F12353" i="1"/>
  <c r="F11942" i="1"/>
  <c r="F12364" i="1"/>
  <c r="F11756" i="1"/>
  <c r="F12367" i="1"/>
  <c r="F12368" i="1"/>
  <c r="F12373" i="1"/>
  <c r="F12369" i="1"/>
  <c r="F12372" i="1"/>
  <c r="F12370" i="1"/>
  <c r="F12371" i="1"/>
  <c r="F12380" i="1"/>
  <c r="F12378" i="1"/>
  <c r="F12376" i="1"/>
  <c r="F12324" i="1"/>
  <c r="F12375" i="1"/>
  <c r="F12374" i="1"/>
  <c r="F12377" i="1"/>
  <c r="F12385" i="1"/>
  <c r="F12387" i="1"/>
  <c r="F12383" i="1"/>
  <c r="F12386" i="1"/>
  <c r="F12381" i="1"/>
  <c r="F12388" i="1"/>
  <c r="F12384" i="1"/>
  <c r="F12382" i="1"/>
  <c r="F11604" i="1"/>
  <c r="F12391" i="1"/>
  <c r="F12392" i="1"/>
  <c r="F12067" i="1"/>
  <c r="F12393" i="1"/>
  <c r="F12394" i="1"/>
  <c r="F12401" i="1"/>
  <c r="F12438" i="1"/>
  <c r="F12399" i="1"/>
  <c r="F12397" i="1"/>
  <c r="F12395" i="1"/>
  <c r="F12402" i="1"/>
  <c r="F12398" i="1"/>
  <c r="F11192" i="1"/>
  <c r="F12406" i="1"/>
  <c r="F12403" i="1"/>
  <c r="F12865" i="1"/>
  <c r="F12242" i="1"/>
  <c r="F12408" i="1"/>
  <c r="F12410" i="1"/>
  <c r="F12409" i="1"/>
  <c r="F12413" i="1"/>
  <c r="F12412" i="1"/>
  <c r="F12411" i="1"/>
  <c r="F12416" i="1"/>
  <c r="F12419" i="1"/>
  <c r="F12415" i="1"/>
  <c r="F12421" i="1"/>
  <c r="F12414" i="1"/>
  <c r="F12420" i="1"/>
  <c r="F12417" i="1"/>
  <c r="F12418" i="1"/>
  <c r="F12425" i="1"/>
  <c r="F12424" i="1"/>
  <c r="F12423" i="1"/>
  <c r="F12422" i="1"/>
  <c r="F12426" i="1"/>
  <c r="F12427" i="1"/>
  <c r="F12429" i="1"/>
  <c r="F12428" i="1"/>
  <c r="F12430" i="1"/>
  <c r="F12431" i="1"/>
  <c r="F12432" i="1"/>
  <c r="F12433" i="1"/>
  <c r="F11561" i="1"/>
  <c r="F10895" i="1"/>
  <c r="F12068" i="1"/>
  <c r="F12435" i="1"/>
  <c r="F12434" i="1"/>
  <c r="F12441" i="1"/>
  <c r="F12440" i="1"/>
  <c r="F12439" i="1"/>
  <c r="F12253" i="1"/>
  <c r="F12444" i="1"/>
  <c r="F12443" i="1"/>
  <c r="F12445" i="1"/>
  <c r="F12449" i="1"/>
  <c r="F12447" i="1"/>
  <c r="F12446" i="1"/>
  <c r="F12448" i="1"/>
  <c r="F12452" i="1"/>
  <c r="F12456" i="1"/>
  <c r="F12453" i="1"/>
  <c r="F12454" i="1"/>
  <c r="F12451" i="1"/>
  <c r="F12450" i="1"/>
  <c r="F12455" i="1"/>
  <c r="F12457" i="1"/>
  <c r="F12459" i="1"/>
  <c r="F12460" i="1"/>
  <c r="F12467" i="1"/>
  <c r="F11065" i="1"/>
  <c r="F12464" i="1"/>
  <c r="F12461" i="1"/>
  <c r="F12462" i="1"/>
  <c r="F12463" i="1"/>
  <c r="F12466" i="1"/>
  <c r="F12469" i="1"/>
  <c r="F12468" i="1"/>
  <c r="F12470" i="1"/>
  <c r="F12472" i="1"/>
  <c r="F12471" i="1"/>
  <c r="F12474" i="1"/>
  <c r="F12473" i="1"/>
  <c r="F12475" i="1"/>
  <c r="F12476" i="1"/>
  <c r="F12477" i="1"/>
  <c r="F12478" i="1"/>
  <c r="F12484" i="1"/>
  <c r="F12480" i="1"/>
  <c r="F12481" i="1"/>
  <c r="F12485" i="1"/>
  <c r="F12479" i="1"/>
  <c r="F12486" i="1"/>
  <c r="F12487" i="1"/>
  <c r="F12482" i="1"/>
  <c r="F12488" i="1"/>
  <c r="F12483" i="1"/>
  <c r="F12489" i="1"/>
  <c r="F12495" i="1"/>
  <c r="F8109" i="1"/>
  <c r="F12491" i="1"/>
  <c r="F8311" i="1"/>
  <c r="F12490" i="1"/>
  <c r="F12497" i="1"/>
  <c r="F12496" i="1"/>
  <c r="F12292" i="1"/>
  <c r="F11070" i="1"/>
  <c r="F12499" i="1"/>
  <c r="F12501" i="1"/>
  <c r="F12507" i="1"/>
  <c r="F12508" i="1"/>
  <c r="F12498" i="1"/>
  <c r="F12503" i="1"/>
  <c r="F12504" i="1"/>
  <c r="F12500" i="1"/>
  <c r="F12506" i="1"/>
  <c r="F12505" i="1"/>
  <c r="F10892" i="1"/>
  <c r="F12511" i="1"/>
  <c r="F12513" i="1"/>
  <c r="F12509" i="1"/>
  <c r="F12514" i="1"/>
  <c r="F12512" i="1"/>
  <c r="F11559" i="1"/>
  <c r="F12518" i="1"/>
  <c r="F12515" i="1"/>
  <c r="F12519" i="1"/>
  <c r="F12521" i="1"/>
  <c r="F12523" i="1"/>
  <c r="F12525" i="1"/>
  <c r="F12517" i="1"/>
  <c r="F12522" i="1"/>
  <c r="F12516" i="1"/>
  <c r="F12524" i="1"/>
  <c r="F12069" i="1"/>
  <c r="F12528" i="1"/>
  <c r="F12526" i="1"/>
  <c r="F12527" i="1"/>
  <c r="F12530" i="1"/>
  <c r="F12531" i="1"/>
  <c r="F12532" i="1"/>
  <c r="F12533" i="1"/>
  <c r="F12535" i="1"/>
  <c r="F12534" i="1"/>
  <c r="F12536" i="1"/>
  <c r="F11494" i="1"/>
  <c r="F12538" i="1"/>
  <c r="F12540" i="1"/>
  <c r="F12539" i="1"/>
  <c r="F12546" i="1"/>
  <c r="F12541" i="1"/>
  <c r="F12547" i="1"/>
  <c r="F12544" i="1"/>
  <c r="F12545" i="1"/>
  <c r="F12254" i="1"/>
  <c r="F12549" i="1"/>
  <c r="F12548" i="1"/>
  <c r="F12550" i="1"/>
  <c r="F12554" i="1"/>
  <c r="F12552" i="1"/>
  <c r="F12551" i="1"/>
  <c r="F12556" i="1"/>
  <c r="F12553" i="1"/>
  <c r="F12555" i="1"/>
  <c r="F11608" i="1"/>
  <c r="F11563" i="1"/>
  <c r="F12559" i="1"/>
  <c r="F12576" i="1"/>
  <c r="F12767" i="1"/>
  <c r="D105" i="20"/>
  <c r="D93" i="20"/>
  <c r="P60" i="27"/>
  <c r="P59" i="27"/>
  <c r="P58" i="27"/>
  <c r="P57" i="27"/>
  <c r="P56" i="27"/>
  <c r="P55" i="27"/>
  <c r="P54" i="27"/>
  <c r="P53" i="27"/>
  <c r="P52" i="27"/>
  <c r="P51" i="27"/>
  <c r="P50" i="27"/>
  <c r="AD38" i="27"/>
  <c r="AE38" i="27"/>
  <c r="AF38" i="27"/>
  <c r="AD39" i="27"/>
  <c r="AE39" i="27"/>
  <c r="AF39" i="27"/>
  <c r="AD40" i="27"/>
  <c r="AE40" i="27"/>
  <c r="AF40" i="27"/>
  <c r="AD41" i="27"/>
  <c r="AE41" i="27"/>
  <c r="AF41" i="27"/>
  <c r="AD42" i="27"/>
  <c r="AE42" i="27"/>
  <c r="AF42" i="27"/>
  <c r="AD43" i="27"/>
  <c r="AE43" i="27"/>
  <c r="AF43" i="27"/>
  <c r="AD44" i="27"/>
  <c r="AE44" i="27"/>
  <c r="AF44" i="27"/>
  <c r="AD45" i="27"/>
  <c r="AE45" i="27"/>
  <c r="AF45" i="27"/>
  <c r="F58" i="27"/>
  <c r="F57" i="27"/>
  <c r="F56" i="27"/>
  <c r="F55" i="27"/>
  <c r="F54" i="27"/>
  <c r="F53" i="27"/>
  <c r="F52" i="27"/>
  <c r="F51" i="27"/>
  <c r="F50" i="27"/>
  <c r="F49" i="27"/>
  <c r="F48" i="27"/>
  <c r="AD30" i="27"/>
  <c r="AE30" i="27"/>
  <c r="AF30" i="27"/>
  <c r="AD31" i="27"/>
  <c r="AE31" i="27"/>
  <c r="AF31" i="27"/>
  <c r="AD32" i="27"/>
  <c r="AE32" i="27"/>
  <c r="AF32" i="27"/>
  <c r="AD33" i="27"/>
  <c r="AE33" i="27"/>
  <c r="AF33" i="27"/>
  <c r="AD34" i="27"/>
  <c r="AE34" i="27"/>
  <c r="AF34" i="27"/>
  <c r="AD35" i="27"/>
  <c r="AE35" i="27"/>
  <c r="AF35" i="27"/>
  <c r="AD36" i="27"/>
  <c r="AE36" i="27"/>
  <c r="AF36" i="27"/>
  <c r="AD37" i="27"/>
  <c r="AE37" i="27"/>
  <c r="AF37" i="27"/>
  <c r="AF25" i="27"/>
  <c r="AF26" i="27"/>
  <c r="AF27" i="27"/>
  <c r="AF28" i="27"/>
  <c r="AF29" i="27"/>
  <c r="AF24" i="27"/>
  <c r="AE25" i="27"/>
  <c r="AE26" i="27"/>
  <c r="AE27" i="27"/>
  <c r="AE28" i="27"/>
  <c r="AE29" i="27"/>
  <c r="AD25" i="27"/>
  <c r="AD26" i="27"/>
  <c r="AD27" i="27"/>
  <c r="AD28" i="27"/>
  <c r="AD29" i="27"/>
  <c r="AD24" i="27"/>
  <c r="AE24" i="27"/>
  <c r="A9581" i="1"/>
  <c r="A9580" i="1"/>
  <c r="A9577" i="1"/>
  <c r="A9576" i="1"/>
  <c r="A9584" i="1"/>
  <c r="A9572" i="1"/>
  <c r="A9568" i="1"/>
  <c r="A9564" i="1"/>
  <c r="A9563" i="1"/>
  <c r="A9562" i="1"/>
  <c r="A7939" i="1"/>
  <c r="A9558" i="1"/>
  <c r="A9553" i="1"/>
  <c r="A9552" i="1"/>
  <c r="A9550" i="1"/>
  <c r="A9547" i="1"/>
  <c r="A9546" i="1"/>
  <c r="A9545" i="1"/>
  <c r="A9544" i="1"/>
  <c r="A9543" i="1"/>
  <c r="A9542" i="1"/>
  <c r="A9541" i="1"/>
  <c r="A9540" i="1"/>
  <c r="A9538" i="1"/>
  <c r="A9539" i="1"/>
  <c r="A9536" i="1"/>
  <c r="A9534" i="1"/>
  <c r="A9532" i="1"/>
  <c r="A9531" i="1"/>
  <c r="A9529" i="1"/>
  <c r="A9528" i="1"/>
  <c r="A9527" i="1"/>
  <c r="A9524" i="1"/>
  <c r="A9523" i="1"/>
  <c r="A9522" i="1"/>
  <c r="A9521" i="1"/>
  <c r="A9520" i="1"/>
  <c r="A9519" i="1"/>
  <c r="A9518" i="1"/>
  <c r="A9517" i="1"/>
  <c r="A9514" i="1"/>
  <c r="A9513" i="1"/>
  <c r="A9512" i="1"/>
  <c r="A9511" i="1"/>
  <c r="A9510" i="1"/>
  <c r="A9509" i="1"/>
  <c r="A9508" i="1"/>
  <c r="A9506" i="1"/>
  <c r="A9505" i="1"/>
  <c r="A9504" i="1"/>
  <c r="A9503" i="1"/>
  <c r="A9501" i="1"/>
  <c r="A9500" i="1"/>
  <c r="A9502" i="1"/>
  <c r="A9499" i="1"/>
  <c r="A9495" i="1"/>
  <c r="A7777" i="1"/>
  <c r="A9490" i="1"/>
  <c r="A9489" i="1"/>
  <c r="A9488" i="1"/>
  <c r="A9487" i="1"/>
  <c r="A9483" i="1"/>
  <c r="A9481" i="1"/>
  <c r="A9480" i="1"/>
  <c r="A9479" i="1"/>
  <c r="A9476" i="1"/>
  <c r="A9475" i="1"/>
  <c r="A9473" i="1"/>
  <c r="A9471" i="1"/>
  <c r="A9468" i="1"/>
  <c r="A9466" i="1"/>
  <c r="A9463" i="1"/>
  <c r="A9461" i="1"/>
  <c r="A9460" i="1"/>
  <c r="A9459" i="1"/>
  <c r="A9458" i="1"/>
  <c r="A9457" i="1"/>
  <c r="A9462" i="1"/>
  <c r="A9456" i="1"/>
  <c r="A9455" i="1"/>
  <c r="A9453" i="1"/>
  <c r="A9452" i="1"/>
  <c r="A9451" i="1"/>
  <c r="A9450" i="1"/>
  <c r="A9449" i="1"/>
  <c r="A9454" i="1"/>
  <c r="A9448" i="1"/>
  <c r="A9447" i="1"/>
  <c r="A9446" i="1"/>
  <c r="A9445" i="1"/>
  <c r="A9444" i="1"/>
  <c r="A9443" i="1"/>
  <c r="A9441" i="1"/>
  <c r="A9440" i="1"/>
  <c r="A9439" i="1"/>
  <c r="A9436" i="1"/>
  <c r="A9432" i="1"/>
  <c r="A9431" i="1"/>
  <c r="A9430" i="1"/>
  <c r="A9427" i="1"/>
  <c r="A9426" i="1"/>
  <c r="A9425" i="1"/>
  <c r="A9420" i="1"/>
  <c r="A9419" i="1"/>
  <c r="A9421" i="1"/>
  <c r="A9418" i="1"/>
  <c r="A9417" i="1"/>
  <c r="A9416" i="1"/>
  <c r="A9415" i="1"/>
  <c r="A9414" i="1"/>
  <c r="A9410" i="1"/>
  <c r="A9407" i="1"/>
  <c r="A9406" i="1"/>
  <c r="A9405" i="1"/>
  <c r="A9404" i="1"/>
  <c r="A9403" i="1"/>
  <c r="A9402" i="1"/>
  <c r="A9397" i="1"/>
  <c r="A9395" i="1"/>
  <c r="A9393" i="1"/>
  <c r="A9392" i="1"/>
  <c r="A9391" i="1"/>
  <c r="A9390" i="1"/>
  <c r="A9389" i="1"/>
  <c r="A9388" i="1"/>
  <c r="A9387" i="1"/>
  <c r="A9394" i="1"/>
  <c r="A9386" i="1"/>
  <c r="A9385" i="1"/>
  <c r="A9384" i="1"/>
  <c r="A9381" i="1"/>
  <c r="A9380" i="1"/>
  <c r="A9383" i="1"/>
  <c r="A9382" i="1"/>
  <c r="A9379" i="1"/>
  <c r="A9378" i="1"/>
  <c r="A9377" i="1"/>
  <c r="A9376" i="1"/>
  <c r="A9375" i="1"/>
  <c r="A9374" i="1"/>
  <c r="A9373" i="1"/>
  <c r="A9372" i="1"/>
  <c r="A9370" i="1"/>
  <c r="A9369" i="1"/>
  <c r="A9368" i="1"/>
  <c r="A9367" i="1"/>
  <c r="A9371" i="1"/>
  <c r="A9366" i="1"/>
  <c r="A9364" i="1"/>
  <c r="A9363" i="1"/>
  <c r="A9365" i="1"/>
  <c r="A9362" i="1"/>
  <c r="A9361" i="1"/>
  <c r="A9360" i="1"/>
  <c r="A9359" i="1"/>
  <c r="A9358" i="1"/>
  <c r="A9357" i="1"/>
  <c r="A9356" i="1"/>
  <c r="A9355" i="1"/>
  <c r="A9354" i="1"/>
  <c r="A9353" i="1"/>
  <c r="A9352" i="1"/>
  <c r="A9351" i="1"/>
  <c r="A9350" i="1"/>
  <c r="A9349" i="1"/>
  <c r="A9348" i="1"/>
  <c r="A9347" i="1"/>
  <c r="A9346" i="1"/>
  <c r="A9345" i="1"/>
  <c r="A9344" i="1"/>
  <c r="A9343" i="1"/>
  <c r="A9342" i="1"/>
  <c r="A9341" i="1"/>
  <c r="A9340" i="1"/>
  <c r="A9339" i="1"/>
  <c r="A9338" i="1"/>
  <c r="A9336" i="1"/>
  <c r="A9337" i="1"/>
  <c r="A9335" i="1"/>
  <c r="A9334" i="1"/>
  <c r="A9333" i="1"/>
  <c r="A9332" i="1"/>
  <c r="A9331" i="1"/>
  <c r="A9330" i="1"/>
  <c r="A9329" i="1"/>
  <c r="A9328" i="1"/>
  <c r="A9327" i="1"/>
  <c r="A9326" i="1"/>
  <c r="A9323" i="1"/>
  <c r="A9322" i="1"/>
  <c r="A9321" i="1"/>
  <c r="A9320" i="1"/>
  <c r="A9325" i="1"/>
  <c r="A9324" i="1"/>
  <c r="A9319" i="1"/>
  <c r="A9318" i="1"/>
  <c r="A9317" i="1"/>
  <c r="A9316" i="1"/>
  <c r="A9315" i="1"/>
  <c r="A9314" i="1"/>
  <c r="A9313" i="1"/>
  <c r="A9312" i="1"/>
  <c r="A9310" i="1"/>
  <c r="A9309" i="1"/>
  <c r="A9308" i="1"/>
  <c r="A9307" i="1"/>
  <c r="A9306" i="1"/>
  <c r="A9311" i="1"/>
  <c r="A9305" i="1"/>
  <c r="A9304" i="1"/>
  <c r="A9303" i="1"/>
  <c r="A9302" i="1"/>
  <c r="A9301" i="1"/>
  <c r="A9300" i="1"/>
  <c r="A9299" i="1"/>
  <c r="A9298" i="1"/>
  <c r="A9297" i="1"/>
  <c r="A9296" i="1"/>
  <c r="A9294" i="1"/>
  <c r="A9293" i="1"/>
  <c r="A9292" i="1"/>
  <c r="A9295" i="1"/>
  <c r="A9291" i="1"/>
  <c r="A9290" i="1"/>
  <c r="A9289" i="1"/>
  <c r="A9288" i="1"/>
  <c r="A9287" i="1"/>
  <c r="A9286" i="1"/>
  <c r="A9283" i="1"/>
  <c r="A9282" i="1"/>
  <c r="A9281" i="1"/>
  <c r="A9280" i="1"/>
  <c r="A9285" i="1"/>
  <c r="A9284" i="1"/>
  <c r="A9278" i="1"/>
  <c r="A9277" i="1"/>
  <c r="A9276" i="1"/>
  <c r="A9279" i="1"/>
  <c r="A9275" i="1"/>
  <c r="A9274" i="1"/>
  <c r="A9273" i="1"/>
  <c r="A9272" i="1"/>
  <c r="A9271" i="1"/>
  <c r="A9270" i="1"/>
  <c r="A9269" i="1"/>
  <c r="A9268" i="1"/>
  <c r="A9267" i="1"/>
  <c r="A9266" i="1"/>
  <c r="A9264" i="1"/>
  <c r="A9263" i="1"/>
  <c r="A9265" i="1"/>
  <c r="A9262" i="1"/>
  <c r="A9261" i="1"/>
  <c r="A9260" i="1"/>
  <c r="A9259" i="1"/>
  <c r="A9258" i="1"/>
  <c r="A9257" i="1"/>
  <c r="A9255" i="1"/>
  <c r="A9254" i="1"/>
  <c r="A9256" i="1"/>
  <c r="A9253" i="1"/>
  <c r="A9252" i="1"/>
  <c r="A9249" i="1"/>
  <c r="A9248" i="1"/>
  <c r="A9247" i="1"/>
  <c r="A9246" i="1"/>
  <c r="A9245" i="1"/>
  <c r="A9244" i="1"/>
  <c r="A9251" i="1"/>
  <c r="A9250" i="1"/>
  <c r="A9243" i="1"/>
  <c r="A9242" i="1"/>
  <c r="A9241" i="1"/>
  <c r="A9240" i="1"/>
  <c r="A9239" i="1"/>
  <c r="A9238" i="1"/>
  <c r="A9237" i="1"/>
  <c r="A9236" i="1"/>
  <c r="A9235" i="1"/>
  <c r="A9231" i="1"/>
  <c r="A9230" i="1"/>
  <c r="A9229" i="1"/>
  <c r="A9228" i="1"/>
  <c r="A9227" i="1"/>
  <c r="A9226" i="1"/>
  <c r="A9225" i="1"/>
  <c r="A9234" i="1"/>
  <c r="A9224" i="1"/>
  <c r="A9233" i="1"/>
  <c r="A9232" i="1"/>
  <c r="A9223" i="1"/>
  <c r="A9222" i="1"/>
  <c r="A9221" i="1"/>
  <c r="A9220" i="1"/>
  <c r="A9219" i="1"/>
  <c r="A9218" i="1"/>
  <c r="A9217" i="1"/>
  <c r="A9216" i="1"/>
  <c r="A9215" i="1"/>
  <c r="A9214" i="1"/>
  <c r="A9213" i="1"/>
  <c r="A9212" i="1"/>
  <c r="A9211" i="1"/>
  <c r="A9210" i="1"/>
  <c r="A9209" i="1"/>
  <c r="A9208" i="1"/>
  <c r="A9207" i="1"/>
  <c r="A9206" i="1"/>
  <c r="A9205" i="1"/>
  <c r="A9204" i="1"/>
  <c r="A9203" i="1"/>
  <c r="A9202" i="1"/>
  <c r="A9201" i="1"/>
  <c r="A9200" i="1"/>
  <c r="A9199" i="1"/>
  <c r="A9198" i="1"/>
  <c r="A9197" i="1"/>
  <c r="A9196" i="1"/>
  <c r="A9195" i="1"/>
  <c r="A9194" i="1"/>
  <c r="A9193" i="1"/>
  <c r="A9192" i="1"/>
  <c r="A9191" i="1"/>
  <c r="A9190" i="1"/>
  <c r="A9189" i="1"/>
  <c r="A9188" i="1"/>
  <c r="A9187" i="1"/>
  <c r="A9186" i="1"/>
  <c r="A9185" i="1"/>
  <c r="A9184" i="1"/>
  <c r="A9183" i="1"/>
  <c r="A9182" i="1"/>
  <c r="A9181" i="1"/>
  <c r="A9180" i="1"/>
  <c r="A9179" i="1"/>
  <c r="A9178" i="1"/>
  <c r="A9177" i="1"/>
  <c r="A9176" i="1"/>
  <c r="A9175" i="1"/>
  <c r="A9174" i="1"/>
  <c r="A9173" i="1"/>
  <c r="A9172" i="1"/>
  <c r="A9171" i="1"/>
  <c r="A9170" i="1"/>
  <c r="A9169" i="1"/>
  <c r="A9168" i="1"/>
  <c r="A9167" i="1"/>
  <c r="A9166" i="1"/>
  <c r="A9165" i="1"/>
  <c r="A9164" i="1"/>
  <c r="A9163" i="1"/>
  <c r="A9162" i="1"/>
  <c r="A9161" i="1"/>
  <c r="A9160" i="1"/>
  <c r="A9159" i="1"/>
  <c r="A9158" i="1"/>
  <c r="A9156" i="1"/>
  <c r="A9157" i="1"/>
  <c r="A9155" i="1"/>
  <c r="A9154" i="1"/>
  <c r="A9153" i="1"/>
  <c r="A9152" i="1"/>
  <c r="A9151" i="1"/>
  <c r="A9147" i="1"/>
  <c r="A9146" i="1"/>
  <c r="A9145" i="1"/>
  <c r="A9150" i="1"/>
  <c r="A9149" i="1"/>
  <c r="A9148" i="1"/>
  <c r="A9144" i="1"/>
  <c r="A9143" i="1"/>
  <c r="A9142" i="1"/>
  <c r="A9141" i="1"/>
  <c r="A9140" i="1"/>
  <c r="A9138" i="1"/>
  <c r="A9137" i="1"/>
  <c r="A9136" i="1"/>
  <c r="A9135" i="1"/>
  <c r="A9139" i="1"/>
  <c r="A9134" i="1"/>
  <c r="A9133" i="1"/>
  <c r="A9132" i="1"/>
  <c r="A9131" i="1"/>
  <c r="A9130" i="1"/>
  <c r="A9129" i="1"/>
  <c r="A9128" i="1"/>
  <c r="A9127" i="1"/>
  <c r="A9126" i="1"/>
  <c r="A9125" i="1"/>
  <c r="A9124" i="1"/>
  <c r="A9123" i="1"/>
  <c r="A9122" i="1"/>
  <c r="A9121" i="1"/>
  <c r="A9120" i="1"/>
  <c r="A9119" i="1"/>
  <c r="A9118" i="1"/>
  <c r="A9117" i="1"/>
  <c r="A9116" i="1"/>
  <c r="A9115" i="1"/>
  <c r="A9111" i="1"/>
  <c r="A9114" i="1"/>
  <c r="A9110" i="1"/>
  <c r="A9109" i="1"/>
  <c r="A9113" i="1"/>
  <c r="A9112" i="1"/>
  <c r="A9108" i="1"/>
  <c r="A9107" i="1"/>
  <c r="A9106" i="1"/>
  <c r="A9105" i="1"/>
  <c r="A9104" i="1"/>
  <c r="A9103" i="1"/>
  <c r="A9102" i="1"/>
  <c r="A9101" i="1"/>
  <c r="A9100" i="1"/>
  <c r="A9099" i="1"/>
  <c r="A9098" i="1"/>
  <c r="A9097" i="1"/>
  <c r="A9096" i="1"/>
  <c r="A9095" i="1"/>
  <c r="A9094" i="1"/>
  <c r="A9093" i="1"/>
  <c r="A9092" i="1"/>
  <c r="A9091" i="1"/>
  <c r="A9090" i="1"/>
  <c r="A9089" i="1"/>
  <c r="A9088" i="1"/>
  <c r="A9087" i="1"/>
  <c r="A9086" i="1"/>
  <c r="A9085" i="1"/>
  <c r="A9084" i="1"/>
  <c r="A9083" i="1"/>
  <c r="A9082" i="1"/>
  <c r="A9081" i="1"/>
  <c r="A9080" i="1"/>
  <c r="A9079" i="1"/>
  <c r="A9077" i="1"/>
  <c r="A12492" i="1"/>
  <c r="A9076" i="1"/>
  <c r="A9075" i="1"/>
  <c r="A9074" i="1"/>
  <c r="A9073" i="1"/>
  <c r="A9072" i="1"/>
  <c r="A9071" i="1"/>
  <c r="A9070" i="1"/>
  <c r="A9069" i="1"/>
  <c r="A9068" i="1"/>
  <c r="A9067" i="1"/>
  <c r="A9066" i="1"/>
  <c r="A9065" i="1"/>
  <c r="A9064" i="1"/>
  <c r="A9063" i="1"/>
  <c r="A9062" i="1"/>
  <c r="A9061" i="1"/>
  <c r="A9060" i="1"/>
  <c r="A9059" i="1"/>
  <c r="A9058" i="1"/>
  <c r="A9056" i="1"/>
  <c r="A9055" i="1"/>
  <c r="A9054" i="1"/>
  <c r="A9053" i="1"/>
  <c r="A9057" i="1"/>
  <c r="A9052" i="1"/>
  <c r="A9051" i="1"/>
  <c r="A9050" i="1"/>
  <c r="A9049" i="1"/>
  <c r="A9048" i="1"/>
  <c r="A9047" i="1"/>
  <c r="A9046" i="1"/>
  <c r="A9045" i="1"/>
  <c r="A9044" i="1"/>
  <c r="A9043" i="1"/>
  <c r="A9042" i="1"/>
  <c r="A9041" i="1"/>
  <c r="A9040" i="1"/>
  <c r="A9039" i="1"/>
  <c r="A9038" i="1"/>
  <c r="A9037" i="1"/>
  <c r="A9036" i="1"/>
  <c r="A9035" i="1"/>
  <c r="A9034" i="1"/>
  <c r="A9033" i="1"/>
  <c r="A9032" i="1"/>
  <c r="A9031" i="1"/>
  <c r="A9030" i="1"/>
  <c r="A9029" i="1"/>
  <c r="A9027" i="1"/>
  <c r="A9028" i="1"/>
  <c r="A9026" i="1"/>
  <c r="A9025" i="1"/>
  <c r="A9024" i="1"/>
  <c r="A9023" i="1"/>
  <c r="A9022" i="1"/>
  <c r="A9021" i="1"/>
  <c r="A9020" i="1"/>
  <c r="A9019" i="1"/>
  <c r="A9018" i="1"/>
  <c r="A9017" i="1"/>
  <c r="A9016" i="1"/>
  <c r="A9015" i="1"/>
  <c r="A9014" i="1"/>
  <c r="A9013" i="1"/>
  <c r="A9012" i="1"/>
  <c r="A9011" i="1"/>
  <c r="A9010" i="1"/>
  <c r="A9009" i="1"/>
  <c r="A9008" i="1"/>
  <c r="A9007" i="1"/>
  <c r="A9006" i="1"/>
  <c r="A9005" i="1"/>
  <c r="A9004" i="1"/>
  <c r="A9003" i="1"/>
  <c r="A9002" i="1"/>
  <c r="A9001" i="1"/>
  <c r="A9000" i="1"/>
  <c r="A8999" i="1"/>
  <c r="A8998" i="1"/>
  <c r="A8997" i="1"/>
  <c r="A8996" i="1"/>
  <c r="A8995" i="1"/>
  <c r="A8994" i="1"/>
  <c r="A8993" i="1"/>
  <c r="A8992" i="1"/>
  <c r="A8991" i="1"/>
  <c r="A8990" i="1"/>
  <c r="A8989" i="1"/>
  <c r="A8988" i="1"/>
  <c r="A8987" i="1"/>
  <c r="A8986" i="1"/>
  <c r="A8985" i="1"/>
  <c r="A8984" i="1"/>
  <c r="A8983" i="1"/>
  <c r="A8982" i="1"/>
  <c r="A8981" i="1"/>
  <c r="A8980" i="1"/>
  <c r="A8979" i="1"/>
  <c r="A8978" i="1"/>
  <c r="A8977" i="1"/>
  <c r="A8976" i="1"/>
  <c r="A8975" i="1"/>
  <c r="A8974" i="1"/>
  <c r="A8973" i="1"/>
  <c r="A8972" i="1"/>
  <c r="A8971" i="1"/>
  <c r="A8970" i="1"/>
  <c r="A8969" i="1"/>
  <c r="A8968" i="1"/>
  <c r="A8967" i="1"/>
  <c r="A8966" i="1"/>
  <c r="A8965" i="1"/>
  <c r="A8964" i="1"/>
  <c r="A8963" i="1"/>
  <c r="A8962" i="1"/>
  <c r="A8961" i="1"/>
  <c r="A8960" i="1"/>
  <c r="A8959" i="1"/>
  <c r="A8958" i="1"/>
  <c r="A8957" i="1"/>
  <c r="A8956" i="1"/>
  <c r="A8955" i="1"/>
  <c r="A8954" i="1"/>
  <c r="A8951" i="1"/>
  <c r="A8950" i="1"/>
  <c r="A8953" i="1"/>
  <c r="A8952" i="1"/>
  <c r="A8949" i="1"/>
  <c r="A8948" i="1"/>
  <c r="A8947" i="1"/>
  <c r="A8946" i="1"/>
  <c r="A8945" i="1"/>
  <c r="A8944" i="1"/>
  <c r="A8943" i="1"/>
  <c r="A8942" i="1"/>
  <c r="A8941" i="1"/>
  <c r="A8940" i="1"/>
  <c r="A8939" i="1"/>
  <c r="A8938" i="1"/>
  <c r="A8937" i="1"/>
  <c r="A8936" i="1"/>
  <c r="A8935" i="1"/>
  <c r="A8934" i="1"/>
  <c r="A8933" i="1"/>
  <c r="A8932" i="1"/>
  <c r="A8931" i="1"/>
  <c r="A8930" i="1"/>
  <c r="A8929" i="1"/>
  <c r="A8928" i="1"/>
  <c r="A8927" i="1"/>
  <c r="A8926" i="1"/>
  <c r="A8925" i="1"/>
  <c r="A8924" i="1"/>
  <c r="A8923" i="1"/>
  <c r="A8922" i="1"/>
  <c r="A8921" i="1"/>
  <c r="A8920" i="1"/>
  <c r="A8919" i="1"/>
  <c r="A8918" i="1"/>
  <c r="A8917" i="1"/>
  <c r="A8916" i="1"/>
  <c r="A8915" i="1"/>
  <c r="A8914" i="1"/>
  <c r="A8913" i="1"/>
  <c r="A8912" i="1"/>
  <c r="A8911" i="1"/>
  <c r="A8910" i="1"/>
  <c r="A8909" i="1"/>
  <c r="A8908" i="1"/>
  <c r="A8907" i="1"/>
  <c r="A8906" i="1"/>
  <c r="A8905" i="1"/>
  <c r="A8904" i="1"/>
  <c r="A8903" i="1"/>
  <c r="A8902" i="1"/>
  <c r="A8901" i="1"/>
  <c r="A8900" i="1"/>
  <c r="A8899" i="1"/>
  <c r="A8898" i="1"/>
  <c r="A8897" i="1"/>
  <c r="A8896" i="1"/>
  <c r="A8895" i="1"/>
  <c r="A8894" i="1"/>
  <c r="A8893" i="1"/>
  <c r="A8892" i="1"/>
  <c r="A8891" i="1"/>
  <c r="A8890" i="1"/>
  <c r="A8889" i="1"/>
  <c r="A8888" i="1"/>
  <c r="A8887" i="1"/>
  <c r="A8886" i="1"/>
  <c r="A8885" i="1"/>
  <c r="A8884" i="1"/>
  <c r="A8883" i="1"/>
  <c r="A8882" i="1"/>
  <c r="A8881" i="1"/>
  <c r="A8880" i="1"/>
  <c r="A8879" i="1"/>
  <c r="A8878" i="1"/>
  <c r="A8877" i="1"/>
  <c r="A8876" i="1"/>
  <c r="A8875" i="1"/>
  <c r="A8874" i="1"/>
  <c r="A8872" i="1"/>
  <c r="A8871" i="1"/>
  <c r="A8870" i="1"/>
  <c r="A8873" i="1"/>
  <c r="A8869" i="1"/>
  <c r="A8868" i="1"/>
  <c r="A8867" i="1"/>
  <c r="A8866" i="1"/>
  <c r="A8865" i="1"/>
  <c r="A8864" i="1"/>
  <c r="A8863" i="1"/>
  <c r="A8862" i="1"/>
  <c r="A8861" i="1"/>
  <c r="A8860" i="1"/>
  <c r="A8859" i="1"/>
  <c r="A8858" i="1"/>
  <c r="A8857" i="1"/>
  <c r="A8856" i="1"/>
  <c r="A8855" i="1"/>
  <c r="A8854" i="1"/>
  <c r="A8853" i="1"/>
  <c r="A8852" i="1"/>
  <c r="A8851" i="1"/>
  <c r="A8850" i="1"/>
  <c r="A8849" i="1"/>
  <c r="A8848" i="1"/>
  <c r="A8847" i="1"/>
  <c r="A8846" i="1"/>
  <c r="A8845" i="1"/>
  <c r="A8844" i="1"/>
  <c r="A8843" i="1"/>
  <c r="A8842" i="1"/>
  <c r="A8841" i="1"/>
  <c r="A8840" i="1"/>
  <c r="A8839" i="1"/>
  <c r="A8838" i="1"/>
  <c r="A8837" i="1"/>
  <c r="A8836" i="1"/>
  <c r="A8834" i="1"/>
  <c r="A8835" i="1"/>
  <c r="A8833" i="1"/>
  <c r="A8832" i="1"/>
  <c r="A8831" i="1"/>
  <c r="A8830" i="1"/>
  <c r="A8829" i="1"/>
  <c r="A8828" i="1"/>
  <c r="A8827" i="1"/>
  <c r="A8826" i="1"/>
  <c r="A8825" i="1"/>
  <c r="A8824" i="1"/>
  <c r="A8823" i="1"/>
  <c r="A8822" i="1"/>
  <c r="A8821" i="1"/>
  <c r="A8820" i="1"/>
  <c r="A8819" i="1"/>
  <c r="A8818" i="1"/>
  <c r="A8817" i="1"/>
  <c r="A8816" i="1"/>
  <c r="A8815" i="1"/>
  <c r="A8814" i="1"/>
  <c r="A8813" i="1"/>
  <c r="A8812" i="1"/>
  <c r="A8811" i="1"/>
  <c r="A8810" i="1"/>
  <c r="A8809" i="1"/>
  <c r="A8808" i="1"/>
  <c r="A8807" i="1"/>
  <c r="A8806" i="1"/>
  <c r="A8805" i="1"/>
  <c r="A8804" i="1"/>
  <c r="A8803" i="1"/>
  <c r="A8802" i="1"/>
  <c r="A8801" i="1"/>
  <c r="A8800" i="1"/>
  <c r="A8799" i="1"/>
  <c r="A8798" i="1"/>
  <c r="A8795" i="1"/>
  <c r="A8797" i="1"/>
  <c r="A8796" i="1"/>
  <c r="A8794" i="1"/>
  <c r="A8793" i="1"/>
  <c r="A8792" i="1"/>
  <c r="A8790" i="1"/>
  <c r="A8789" i="1"/>
  <c r="A8791" i="1"/>
  <c r="A8788" i="1"/>
  <c r="A8787" i="1"/>
  <c r="A8786" i="1"/>
  <c r="A8785" i="1"/>
  <c r="A8784" i="1"/>
  <c r="A8783" i="1"/>
  <c r="A8782" i="1"/>
  <c r="A8781" i="1"/>
  <c r="A8780" i="1"/>
  <c r="A8779" i="1"/>
  <c r="A8778" i="1"/>
  <c r="A8777" i="1"/>
  <c r="A8776" i="1"/>
  <c r="A8772" i="1"/>
  <c r="A8775" i="1"/>
  <c r="A8774" i="1"/>
  <c r="A8771" i="1"/>
  <c r="A8770" i="1"/>
  <c r="A8769" i="1"/>
  <c r="A8773" i="1"/>
  <c r="A8768" i="1"/>
  <c r="A8767" i="1"/>
  <c r="A8766" i="1"/>
  <c r="A8765" i="1"/>
  <c r="A8764" i="1"/>
  <c r="A8763" i="1"/>
  <c r="A8762" i="1"/>
  <c r="A8761" i="1"/>
  <c r="A8760" i="1"/>
  <c r="A8759" i="1"/>
  <c r="A8758" i="1"/>
  <c r="A8757" i="1"/>
  <c r="A8756" i="1"/>
  <c r="A8755" i="1"/>
  <c r="A8754" i="1"/>
  <c r="A8753" i="1"/>
  <c r="A8752" i="1"/>
  <c r="A8751" i="1"/>
  <c r="A8750" i="1"/>
  <c r="A8747" i="1"/>
  <c r="A8746" i="1"/>
  <c r="A8749" i="1"/>
  <c r="A8745" i="1"/>
  <c r="A8744" i="1"/>
  <c r="A8748" i="1"/>
  <c r="A8743" i="1"/>
  <c r="A8742" i="1"/>
  <c r="A8741" i="1"/>
  <c r="A8740" i="1"/>
  <c r="A8739" i="1"/>
  <c r="A8738" i="1"/>
  <c r="A8737" i="1"/>
  <c r="A8736" i="1"/>
  <c r="A8735" i="1"/>
  <c r="A8734" i="1"/>
  <c r="A8733" i="1"/>
  <c r="A8732" i="1"/>
  <c r="A8731" i="1"/>
  <c r="A8730" i="1"/>
  <c r="A8729" i="1"/>
  <c r="A8728" i="1"/>
  <c r="A8727" i="1"/>
  <c r="A8723" i="1"/>
  <c r="A8726" i="1"/>
  <c r="A8725" i="1"/>
  <c r="A8722" i="1"/>
  <c r="A8721" i="1"/>
  <c r="A8724" i="1"/>
  <c r="A8720" i="1"/>
  <c r="A8719" i="1"/>
  <c r="A8718" i="1"/>
  <c r="A8717" i="1"/>
  <c r="A8716" i="1"/>
  <c r="A8714" i="1"/>
  <c r="A8713" i="1"/>
  <c r="A8712" i="1"/>
  <c r="A12884" i="1"/>
  <c r="A8711" i="1"/>
  <c r="A8710" i="1"/>
  <c r="A8709" i="1"/>
  <c r="A8708" i="1"/>
  <c r="A8707" i="1"/>
  <c r="A8706" i="1"/>
  <c r="A8705" i="1"/>
  <c r="A8704" i="1"/>
  <c r="A8703" i="1"/>
  <c r="A8702" i="1"/>
  <c r="A8701" i="1"/>
  <c r="A8700" i="1"/>
  <c r="A8699" i="1"/>
  <c r="A8698" i="1"/>
  <c r="A8697" i="1"/>
  <c r="A8696" i="1"/>
  <c r="A8695" i="1"/>
  <c r="A8694" i="1"/>
  <c r="A8693" i="1"/>
  <c r="A8692" i="1"/>
  <c r="A8691" i="1"/>
  <c r="A8690" i="1"/>
  <c r="A8689" i="1"/>
  <c r="A8688" i="1"/>
  <c r="A8687" i="1"/>
  <c r="A8686" i="1"/>
  <c r="A8685" i="1"/>
  <c r="A8684" i="1"/>
  <c r="A8683" i="1"/>
  <c r="A8682" i="1"/>
  <c r="A8681" i="1"/>
  <c r="A8679" i="1"/>
  <c r="A8678" i="1"/>
  <c r="A8680" i="1"/>
  <c r="A8677" i="1"/>
  <c r="A8676" i="1"/>
  <c r="A8675" i="1"/>
  <c r="A8674" i="1"/>
  <c r="A8673" i="1"/>
  <c r="A8672" i="1"/>
  <c r="A8671" i="1"/>
  <c r="A8670" i="1"/>
  <c r="A8669" i="1"/>
  <c r="A8668" i="1"/>
  <c r="A8666" i="1"/>
  <c r="A8667" i="1"/>
  <c r="A8665" i="1"/>
  <c r="A8664" i="1"/>
  <c r="A8663" i="1"/>
  <c r="A8662" i="1"/>
  <c r="A8661" i="1"/>
  <c r="A8660" i="1"/>
  <c r="A8659" i="1"/>
  <c r="A8658" i="1"/>
  <c r="A8657" i="1"/>
  <c r="A8656" i="1"/>
  <c r="A8655" i="1"/>
  <c r="A8654" i="1"/>
  <c r="A8653" i="1"/>
  <c r="A8652" i="1"/>
  <c r="A8651" i="1"/>
  <c r="A8650" i="1"/>
  <c r="A8649" i="1"/>
  <c r="A8648" i="1"/>
  <c r="A8647" i="1"/>
  <c r="A8646" i="1"/>
  <c r="A8645" i="1"/>
  <c r="A8644" i="1"/>
  <c r="A8643" i="1"/>
  <c r="A8642" i="1"/>
  <c r="A8641" i="1"/>
  <c r="A8640" i="1"/>
  <c r="A8639" i="1"/>
  <c r="A8638" i="1"/>
  <c r="A8637" i="1"/>
  <c r="A8636" i="1"/>
  <c r="A8635" i="1"/>
  <c r="A8634" i="1"/>
  <c r="A8631" i="1"/>
  <c r="A8633" i="1"/>
  <c r="A8630" i="1"/>
  <c r="A8632" i="1"/>
  <c r="A8629" i="1"/>
  <c r="A8628" i="1"/>
  <c r="A8627" i="1"/>
  <c r="A8626" i="1"/>
  <c r="A8625" i="1"/>
  <c r="A8624" i="1"/>
  <c r="A8622" i="1"/>
  <c r="A8621" i="1"/>
  <c r="A8623" i="1"/>
  <c r="A8620" i="1"/>
  <c r="A8619" i="1"/>
  <c r="A8618" i="1"/>
  <c r="A8617" i="1"/>
  <c r="A8616" i="1"/>
  <c r="A8615" i="1"/>
  <c r="A8614" i="1"/>
  <c r="A8613" i="1"/>
  <c r="A8612" i="1"/>
  <c r="A8611" i="1"/>
  <c r="A8610" i="1"/>
  <c r="A8609" i="1"/>
  <c r="A8607" i="1"/>
  <c r="A8606" i="1"/>
  <c r="A8605" i="1"/>
  <c r="A8604" i="1"/>
  <c r="A8608" i="1"/>
  <c r="A8603" i="1"/>
  <c r="A8602" i="1"/>
  <c r="A8601" i="1"/>
  <c r="A8600" i="1"/>
  <c r="A8599" i="1"/>
  <c r="A8598" i="1"/>
  <c r="A8597" i="1"/>
  <c r="A8596" i="1"/>
  <c r="A8595" i="1"/>
  <c r="A8594" i="1"/>
  <c r="A8593" i="1"/>
  <c r="A8592" i="1"/>
  <c r="A8591" i="1"/>
  <c r="A8590" i="1"/>
  <c r="A8589" i="1"/>
  <c r="A8588" i="1"/>
  <c r="A8587" i="1"/>
  <c r="A8586" i="1"/>
  <c r="A8585" i="1"/>
  <c r="A8584" i="1"/>
  <c r="A8583" i="1"/>
  <c r="A8582" i="1"/>
  <c r="A8581" i="1"/>
  <c r="A8580" i="1"/>
  <c r="A8579" i="1"/>
  <c r="A8578" i="1"/>
  <c r="A8577" i="1"/>
  <c r="A8576" i="1"/>
  <c r="A8575" i="1"/>
  <c r="A8574" i="1"/>
  <c r="A8573" i="1"/>
  <c r="A8572" i="1"/>
  <c r="A8571" i="1"/>
  <c r="A8570" i="1"/>
  <c r="A8569" i="1"/>
  <c r="A8568" i="1"/>
  <c r="A8567" i="1"/>
  <c r="A8566" i="1"/>
  <c r="A8565" i="1"/>
  <c r="A8564" i="1"/>
  <c r="A8563" i="1"/>
  <c r="A8562" i="1"/>
  <c r="A8561" i="1"/>
  <c r="A8560" i="1"/>
  <c r="A8559" i="1"/>
  <c r="A8558" i="1"/>
  <c r="A8557" i="1"/>
  <c r="A8556" i="1"/>
  <c r="A8555" i="1"/>
  <c r="A8554" i="1"/>
  <c r="A8553" i="1"/>
  <c r="A8552" i="1"/>
  <c r="A8551" i="1"/>
  <c r="A8550" i="1"/>
  <c r="A8549" i="1"/>
  <c r="A8548" i="1"/>
  <c r="A8547" i="1"/>
  <c r="A8545" i="1"/>
  <c r="A8546" i="1"/>
  <c r="A8544" i="1"/>
  <c r="A8543" i="1"/>
  <c r="A8542" i="1"/>
  <c r="A8541" i="1"/>
  <c r="A8540" i="1"/>
  <c r="A8539" i="1"/>
  <c r="A8538" i="1"/>
  <c r="A8537" i="1"/>
  <c r="A8536" i="1"/>
  <c r="A8535" i="1"/>
  <c r="A8534" i="1"/>
  <c r="A8533" i="1"/>
  <c r="A8532" i="1"/>
  <c r="A8531" i="1"/>
  <c r="A8530" i="1"/>
  <c r="A8529" i="1"/>
  <c r="A8527" i="1"/>
  <c r="A8526" i="1"/>
  <c r="A8528" i="1"/>
  <c r="A8524" i="1"/>
  <c r="A8522" i="1"/>
  <c r="A8521" i="1"/>
  <c r="A12493" i="1"/>
  <c r="A8520" i="1"/>
  <c r="A8519" i="1"/>
  <c r="A8523" i="1"/>
  <c r="A8518" i="1"/>
  <c r="A8517" i="1"/>
  <c r="A8516" i="1"/>
  <c r="A8515" i="1"/>
  <c r="A8514" i="1"/>
  <c r="A8513" i="1"/>
  <c r="A8512" i="1"/>
  <c r="A8511" i="1"/>
  <c r="A8509" i="1"/>
  <c r="A8508" i="1"/>
  <c r="A8507" i="1"/>
  <c r="A8510" i="1"/>
  <c r="A8506" i="1"/>
  <c r="A8505" i="1"/>
  <c r="A8504" i="1"/>
  <c r="A8503" i="1"/>
  <c r="A8502" i="1"/>
  <c r="A8501" i="1"/>
  <c r="A8500" i="1"/>
  <c r="A8499" i="1"/>
  <c r="A8498" i="1"/>
  <c r="A8497" i="1"/>
  <c r="A8496" i="1"/>
  <c r="A8495" i="1"/>
  <c r="A8494" i="1"/>
  <c r="A8493" i="1"/>
  <c r="A8492" i="1"/>
  <c r="A8491" i="1"/>
  <c r="A8490" i="1"/>
  <c r="A8489" i="1"/>
  <c r="A8488" i="1"/>
  <c r="A8487" i="1"/>
  <c r="A8486" i="1"/>
  <c r="A8485" i="1"/>
  <c r="A8484" i="1"/>
  <c r="A8483" i="1"/>
  <c r="A8482" i="1"/>
  <c r="A8481" i="1"/>
  <c r="A8480" i="1"/>
  <c r="A8479" i="1"/>
  <c r="A8478" i="1"/>
  <c r="A8477" i="1"/>
  <c r="A8476" i="1"/>
  <c r="A8475" i="1"/>
  <c r="A8474" i="1"/>
  <c r="A8473" i="1"/>
  <c r="A8472" i="1"/>
  <c r="A8471" i="1"/>
  <c r="A8470" i="1"/>
  <c r="A8469" i="1"/>
  <c r="A8468" i="1"/>
  <c r="A8467" i="1"/>
  <c r="A8466" i="1"/>
  <c r="A8465" i="1"/>
  <c r="A8464" i="1"/>
  <c r="A8463" i="1"/>
  <c r="A8462" i="1"/>
  <c r="A8461" i="1"/>
  <c r="A8460" i="1"/>
  <c r="A8459" i="1"/>
  <c r="A8457" i="1"/>
  <c r="A8456" i="1"/>
  <c r="A8458" i="1"/>
  <c r="A8455" i="1"/>
  <c r="A8454" i="1"/>
  <c r="A8453" i="1"/>
  <c r="A8452" i="1"/>
  <c r="A8451" i="1"/>
  <c r="A8450" i="1"/>
  <c r="A8449" i="1"/>
  <c r="A8448" i="1"/>
  <c r="A8447" i="1"/>
  <c r="A8446" i="1"/>
  <c r="A8445" i="1"/>
  <c r="A8444" i="1"/>
  <c r="A8443" i="1"/>
  <c r="A8442" i="1"/>
  <c r="A8441" i="1"/>
  <c r="A8440" i="1"/>
  <c r="A8439" i="1"/>
  <c r="A8438" i="1"/>
  <c r="A8437" i="1"/>
  <c r="A8436" i="1"/>
  <c r="A8435" i="1"/>
  <c r="A8434" i="1"/>
  <c r="A8433" i="1"/>
  <c r="A8432" i="1"/>
  <c r="A8431" i="1"/>
  <c r="A8430" i="1"/>
  <c r="A8429" i="1"/>
  <c r="A8428" i="1"/>
  <c r="A8427" i="1"/>
  <c r="A8426" i="1"/>
  <c r="A8425" i="1"/>
  <c r="A8424" i="1"/>
  <c r="A8423" i="1"/>
  <c r="A8422" i="1"/>
  <c r="A8421" i="1"/>
  <c r="A8420" i="1"/>
  <c r="A8419" i="1"/>
  <c r="A8418" i="1"/>
  <c r="A8417" i="1"/>
  <c r="A8416" i="1"/>
  <c r="A8415" i="1"/>
  <c r="A8414" i="1"/>
  <c r="A8413" i="1"/>
  <c r="A8412" i="1"/>
  <c r="A8411" i="1"/>
  <c r="A8410" i="1"/>
  <c r="A8409" i="1"/>
  <c r="A8408" i="1"/>
  <c r="A8407" i="1"/>
  <c r="A8406" i="1"/>
  <c r="A8405" i="1"/>
  <c r="A8404" i="1"/>
  <c r="A8403" i="1"/>
  <c r="A8402" i="1"/>
  <c r="A8401" i="1"/>
  <c r="A8400" i="1"/>
  <c r="A8399" i="1"/>
  <c r="A8398" i="1"/>
  <c r="A8397" i="1"/>
  <c r="A8396" i="1"/>
  <c r="A8395" i="1"/>
  <c r="A8394" i="1"/>
  <c r="A8393" i="1"/>
  <c r="A3577" i="1"/>
  <c r="A8391" i="1"/>
  <c r="A8390" i="1"/>
  <c r="A8389" i="1"/>
  <c r="A8388" i="1"/>
  <c r="A8386" i="1"/>
  <c r="A8387" i="1"/>
  <c r="A8385" i="1"/>
  <c r="A8384" i="1"/>
  <c r="A8383" i="1"/>
  <c r="A8382" i="1"/>
  <c r="A8381" i="1"/>
  <c r="A8380" i="1"/>
  <c r="A8379" i="1"/>
  <c r="A8378" i="1"/>
  <c r="A8377" i="1"/>
  <c r="A8376" i="1"/>
  <c r="A8375" i="1"/>
  <c r="A8372" i="1"/>
  <c r="A8374" i="1"/>
  <c r="A8371" i="1"/>
  <c r="A8370" i="1"/>
  <c r="A8369" i="1"/>
  <c r="A8368" i="1"/>
  <c r="A8367" i="1"/>
  <c r="A8373" i="1"/>
  <c r="A8366" i="1"/>
  <c r="A8365" i="1"/>
  <c r="A8364" i="1"/>
  <c r="A8363" i="1"/>
  <c r="A8362" i="1"/>
  <c r="A8361" i="1"/>
  <c r="A8360" i="1"/>
  <c r="A8359" i="1"/>
  <c r="A8358" i="1"/>
  <c r="A8357" i="1"/>
  <c r="A8356" i="1"/>
  <c r="A8355" i="1"/>
  <c r="A8354" i="1"/>
  <c r="A8353" i="1"/>
  <c r="A8352" i="1"/>
  <c r="A8351" i="1"/>
  <c r="A8350" i="1"/>
  <c r="A8349" i="1"/>
  <c r="A8348" i="1"/>
  <c r="A8347" i="1"/>
  <c r="A8346" i="1"/>
  <c r="A8345" i="1"/>
  <c r="A8344" i="1"/>
  <c r="A8343" i="1"/>
  <c r="A8342" i="1"/>
  <c r="A8341" i="1"/>
  <c r="A8340" i="1"/>
  <c r="A8339" i="1"/>
  <c r="A8338" i="1"/>
  <c r="A8337" i="1"/>
  <c r="A8336" i="1"/>
  <c r="A8335" i="1"/>
  <c r="A8334" i="1"/>
  <c r="A8333" i="1"/>
  <c r="A8332" i="1"/>
  <c r="A8331" i="1"/>
  <c r="A8330" i="1"/>
  <c r="A8329" i="1"/>
  <c r="A8328" i="1"/>
  <c r="A8327" i="1"/>
  <c r="A8326" i="1"/>
  <c r="A8325" i="1"/>
  <c r="A8324" i="1"/>
  <c r="A8323" i="1"/>
  <c r="A8322" i="1"/>
  <c r="A8321" i="1"/>
  <c r="A8320" i="1"/>
  <c r="A8319" i="1"/>
  <c r="A8318" i="1"/>
  <c r="A8317" i="1"/>
  <c r="A8316" i="1"/>
  <c r="A8315" i="1"/>
  <c r="A8314" i="1"/>
  <c r="A8313" i="1"/>
  <c r="A8312" i="1"/>
  <c r="A8308" i="1"/>
  <c r="A8307" i="1"/>
  <c r="A11845" i="1"/>
  <c r="A8306" i="1"/>
  <c r="A8305" i="1"/>
  <c r="A8310" i="1"/>
  <c r="A8309" i="1"/>
  <c r="A8304" i="1"/>
  <c r="A8303" i="1"/>
  <c r="A8302" i="1"/>
  <c r="A8301" i="1"/>
  <c r="A8299" i="1"/>
  <c r="A8300" i="1"/>
  <c r="A8298" i="1"/>
  <c r="A8297" i="1"/>
  <c r="A8296" i="1"/>
  <c r="A8295" i="1"/>
  <c r="A8294" i="1"/>
  <c r="A8293" i="1"/>
  <c r="A8292" i="1"/>
  <c r="A8291" i="1"/>
  <c r="A8290" i="1"/>
  <c r="A8289" i="1"/>
  <c r="A8288" i="1"/>
  <c r="A8285" i="1"/>
  <c r="A8284" i="1"/>
  <c r="A8283" i="1"/>
  <c r="A8282" i="1"/>
  <c r="A8281" i="1"/>
  <c r="A8280" i="1"/>
  <c r="A8287" i="1"/>
  <c r="A8279" i="1"/>
  <c r="A8286" i="1"/>
  <c r="A8278" i="1"/>
  <c r="A8277" i="1"/>
  <c r="A8276" i="1"/>
  <c r="A8275" i="1"/>
  <c r="A8274" i="1"/>
  <c r="A8273" i="1"/>
  <c r="A8272" i="1"/>
  <c r="A8271" i="1"/>
  <c r="A8270" i="1"/>
  <c r="A8269" i="1"/>
  <c r="A8268" i="1"/>
  <c r="A8267" i="1"/>
  <c r="A8266" i="1"/>
  <c r="A8265" i="1"/>
  <c r="A8264" i="1"/>
  <c r="A8263" i="1"/>
  <c r="A8262" i="1"/>
  <c r="A8261" i="1"/>
  <c r="A8260" i="1"/>
  <c r="A8259" i="1"/>
  <c r="A8258" i="1"/>
  <c r="A8257" i="1"/>
  <c r="A8256" i="1"/>
  <c r="A8255" i="1"/>
  <c r="A8254" i="1"/>
  <c r="A8253" i="1"/>
  <c r="A8252" i="1"/>
  <c r="A8251" i="1"/>
  <c r="A8250" i="1"/>
  <c r="A8249" i="1"/>
  <c r="A8248" i="1"/>
  <c r="A8247" i="1"/>
  <c r="A8246" i="1"/>
  <c r="A8245" i="1"/>
  <c r="A8244" i="1"/>
  <c r="A8243" i="1"/>
  <c r="A8242" i="1"/>
  <c r="A8241" i="1"/>
  <c r="A8240" i="1"/>
  <c r="A8239" i="1"/>
  <c r="A8238" i="1"/>
  <c r="A8237" i="1"/>
  <c r="A8236" i="1"/>
  <c r="A8235" i="1"/>
  <c r="A8234" i="1"/>
  <c r="A8233" i="1"/>
  <c r="A8232" i="1"/>
  <c r="A8231" i="1"/>
  <c r="A8230" i="1"/>
  <c r="A8229" i="1"/>
  <c r="A8228" i="1"/>
  <c r="A8227" i="1"/>
  <c r="A8226" i="1"/>
  <c r="A8225" i="1"/>
  <c r="A8224" i="1"/>
  <c r="A8223" i="1"/>
  <c r="A8222" i="1"/>
  <c r="A8221" i="1"/>
  <c r="A8220" i="1"/>
  <c r="A8219" i="1"/>
  <c r="A8218" i="1"/>
  <c r="A8217" i="1"/>
  <c r="A8216" i="1"/>
  <c r="A8215" i="1"/>
  <c r="A8214" i="1"/>
  <c r="A8213" i="1"/>
  <c r="A8212" i="1"/>
  <c r="A8211" i="1"/>
  <c r="A8210" i="1"/>
  <c r="A8209" i="1"/>
  <c r="A8208" i="1"/>
  <c r="A8207" i="1"/>
  <c r="A8206" i="1"/>
  <c r="A8205" i="1"/>
  <c r="A8204" i="1"/>
  <c r="A8203" i="1"/>
  <c r="A8202" i="1"/>
  <c r="A8201" i="1"/>
  <c r="A8200" i="1"/>
  <c r="A8199" i="1"/>
  <c r="A8198" i="1"/>
  <c r="A8197" i="1"/>
  <c r="A8196" i="1"/>
  <c r="A8195" i="1"/>
  <c r="A8194" i="1"/>
  <c r="A8193" i="1"/>
  <c r="A8192" i="1"/>
  <c r="A8191" i="1"/>
  <c r="A8190" i="1"/>
  <c r="A8189" i="1"/>
  <c r="A8188" i="1"/>
  <c r="A8187" i="1"/>
  <c r="A8186" i="1"/>
  <c r="A8185" i="1"/>
  <c r="A8184" i="1"/>
  <c r="A8183" i="1"/>
  <c r="A8182" i="1"/>
  <c r="A8181" i="1"/>
  <c r="A8180" i="1"/>
  <c r="A8179" i="1"/>
  <c r="A8177" i="1"/>
  <c r="A8176" i="1"/>
  <c r="A8175" i="1"/>
  <c r="A8178" i="1"/>
  <c r="A8174" i="1"/>
  <c r="A8173" i="1"/>
  <c r="A8172" i="1"/>
  <c r="A8170" i="1"/>
  <c r="A8171" i="1"/>
  <c r="A8169" i="1"/>
  <c r="A8168" i="1"/>
  <c r="A8167" i="1"/>
  <c r="A8166" i="1"/>
  <c r="A8165" i="1"/>
  <c r="A8164" i="1"/>
  <c r="A8163" i="1"/>
  <c r="A8162" i="1"/>
  <c r="A8161" i="1"/>
  <c r="A8160" i="1"/>
  <c r="A8159" i="1"/>
  <c r="A8158" i="1"/>
  <c r="A8157" i="1"/>
  <c r="A8156" i="1"/>
  <c r="A8155" i="1"/>
  <c r="A8154" i="1"/>
  <c r="A8153" i="1"/>
  <c r="A8152" i="1"/>
  <c r="A8151" i="1"/>
  <c r="A8150" i="1"/>
  <c r="A8149" i="1"/>
  <c r="A8148" i="1"/>
  <c r="A8147" i="1"/>
  <c r="A8146" i="1"/>
  <c r="A8145" i="1"/>
  <c r="A8144" i="1"/>
  <c r="A8142" i="1"/>
  <c r="A8141" i="1"/>
  <c r="A8143" i="1"/>
  <c r="A8140" i="1"/>
  <c r="A8139" i="1"/>
  <c r="A8138" i="1"/>
  <c r="A8137" i="1"/>
  <c r="A8136" i="1"/>
  <c r="A8135" i="1"/>
  <c r="A8134" i="1"/>
  <c r="A8132" i="1"/>
  <c r="A8131" i="1"/>
  <c r="A8133" i="1"/>
  <c r="A8130" i="1"/>
  <c r="A8129" i="1"/>
  <c r="A8128" i="1"/>
  <c r="A8127" i="1"/>
  <c r="A8126" i="1"/>
  <c r="A8125" i="1"/>
  <c r="A8124" i="1"/>
  <c r="A8123" i="1"/>
  <c r="A8122" i="1"/>
  <c r="A8121" i="1"/>
  <c r="A8120" i="1"/>
  <c r="A8119" i="1"/>
  <c r="A8118" i="1"/>
  <c r="A8117" i="1"/>
  <c r="A8116" i="1"/>
  <c r="A8115" i="1"/>
  <c r="A8114" i="1"/>
  <c r="A8113" i="1"/>
  <c r="A8112" i="1"/>
  <c r="A8111" i="1"/>
  <c r="A8110" i="1"/>
  <c r="A8106" i="1"/>
  <c r="A8105" i="1"/>
  <c r="A8104" i="1"/>
  <c r="A11622" i="1"/>
  <c r="A8108" i="1"/>
  <c r="A8107" i="1"/>
  <c r="A8103" i="1"/>
  <c r="A8102" i="1"/>
  <c r="A8101" i="1"/>
  <c r="A8100" i="1"/>
  <c r="A8097" i="1"/>
  <c r="A8099" i="1"/>
  <c r="A8096" i="1"/>
  <c r="A8095" i="1"/>
  <c r="A8094" i="1"/>
  <c r="A8093" i="1"/>
  <c r="A8098" i="1"/>
  <c r="A8092" i="1"/>
  <c r="A8091" i="1"/>
  <c r="A8090" i="1"/>
  <c r="A8089" i="1"/>
  <c r="A8088" i="1"/>
  <c r="A8087" i="1"/>
  <c r="A8086" i="1"/>
  <c r="A8085" i="1"/>
  <c r="A8084" i="1"/>
  <c r="A8083" i="1"/>
  <c r="A8082" i="1"/>
  <c r="A8081" i="1"/>
  <c r="A8080" i="1"/>
  <c r="A8079" i="1"/>
  <c r="A8078" i="1"/>
  <c r="A8077" i="1"/>
  <c r="A8076" i="1"/>
  <c r="A8075" i="1"/>
  <c r="A8074" i="1"/>
  <c r="A8031" i="1"/>
  <c r="A8072" i="1"/>
  <c r="A8071" i="1"/>
  <c r="A8070" i="1"/>
  <c r="A8069" i="1"/>
  <c r="A8068" i="1"/>
  <c r="A8067" i="1"/>
  <c r="A8066" i="1"/>
  <c r="A8065" i="1"/>
  <c r="A8064" i="1"/>
  <c r="A8062" i="1"/>
  <c r="A8061" i="1"/>
  <c r="A8060" i="1"/>
  <c r="A8059" i="1"/>
  <c r="A8058" i="1"/>
  <c r="A8063" i="1"/>
  <c r="A8057" i="1"/>
  <c r="A8056" i="1"/>
  <c r="A8055" i="1"/>
  <c r="A8054" i="1"/>
  <c r="A8053" i="1"/>
  <c r="A7955" i="1"/>
  <c r="A8051" i="1"/>
  <c r="A8050" i="1"/>
  <c r="A8049" i="1"/>
  <c r="A8048" i="1"/>
  <c r="A8047" i="1"/>
  <c r="A8046" i="1"/>
  <c r="A8045" i="1"/>
  <c r="A8044" i="1"/>
  <c r="A8043" i="1"/>
  <c r="A8042" i="1"/>
  <c r="A8041" i="1"/>
  <c r="A8040" i="1"/>
  <c r="A8039" i="1"/>
  <c r="A8038" i="1"/>
  <c r="A8037" i="1"/>
  <c r="A8036" i="1"/>
  <c r="A8035" i="1"/>
  <c r="A8034" i="1"/>
  <c r="A8033" i="1"/>
  <c r="A8032" i="1"/>
  <c r="A8052" i="1"/>
  <c r="A8030" i="1"/>
  <c r="A8029" i="1"/>
  <c r="A8028" i="1"/>
  <c r="A8027" i="1"/>
  <c r="A8026" i="1"/>
  <c r="A8025" i="1"/>
  <c r="A8024" i="1"/>
  <c r="A8023" i="1"/>
  <c r="A8022" i="1"/>
  <c r="A8021" i="1"/>
  <c r="A8020" i="1"/>
  <c r="A8017" i="1"/>
  <c r="A8019" i="1"/>
  <c r="A8018" i="1"/>
  <c r="A8016" i="1"/>
  <c r="A8015" i="1"/>
  <c r="A8014" i="1"/>
  <c r="A8013" i="1"/>
  <c r="A8012" i="1"/>
  <c r="A8011" i="1"/>
  <c r="A8010" i="1"/>
  <c r="A8009" i="1"/>
  <c r="A8008" i="1"/>
  <c r="A8007" i="1"/>
  <c r="A8006" i="1"/>
  <c r="A8005" i="1"/>
  <c r="A8004" i="1"/>
  <c r="A8002" i="1"/>
  <c r="A8001" i="1"/>
  <c r="A8003" i="1"/>
  <c r="A8000" i="1"/>
  <c r="A7999" i="1"/>
  <c r="A7997" i="1"/>
  <c r="A7998" i="1"/>
  <c r="A7996" i="1"/>
  <c r="A7995" i="1"/>
  <c r="A7994" i="1"/>
  <c r="A7993" i="1"/>
  <c r="A7992" i="1"/>
  <c r="A7991" i="1"/>
  <c r="A7990" i="1"/>
  <c r="A7989" i="1"/>
  <c r="A7988" i="1"/>
  <c r="A7987" i="1"/>
  <c r="A7986" i="1"/>
  <c r="A7985" i="1"/>
  <c r="A7984" i="1"/>
  <c r="A7983" i="1"/>
  <c r="A7982" i="1"/>
  <c r="A7981" i="1"/>
  <c r="A7979" i="1"/>
  <c r="A7980" i="1"/>
  <c r="A7978" i="1"/>
  <c r="A7977" i="1"/>
  <c r="A7976" i="1"/>
  <c r="A7975" i="1"/>
  <c r="A7974" i="1"/>
  <c r="A7973" i="1"/>
  <c r="A7972" i="1"/>
  <c r="A7971" i="1"/>
  <c r="A7970" i="1"/>
  <c r="A7969" i="1"/>
  <c r="A7968" i="1"/>
  <c r="A7967" i="1"/>
  <c r="A7966" i="1"/>
  <c r="A7965" i="1"/>
  <c r="A7964" i="1"/>
  <c r="A7963" i="1"/>
  <c r="A7962" i="1"/>
  <c r="A7961" i="1"/>
  <c r="A7960" i="1"/>
  <c r="A7959" i="1"/>
  <c r="A7958" i="1"/>
  <c r="A7957" i="1"/>
  <c r="A7956" i="1"/>
  <c r="A4052" i="1"/>
  <c r="A7954" i="1"/>
  <c r="A7953" i="1"/>
  <c r="A7952" i="1"/>
  <c r="A7951" i="1"/>
  <c r="A7950" i="1"/>
  <c r="A7949" i="1"/>
  <c r="A7948" i="1"/>
  <c r="A7947" i="1"/>
  <c r="A7946" i="1"/>
  <c r="A7945" i="1"/>
  <c r="A7944" i="1"/>
  <c r="A7943" i="1"/>
  <c r="A7942" i="1"/>
  <c r="A7941" i="1"/>
  <c r="A7940" i="1"/>
  <c r="A7937" i="1"/>
  <c r="A7936" i="1"/>
  <c r="A11153" i="1"/>
  <c r="A7938" i="1"/>
  <c r="A7935" i="1"/>
  <c r="A7934" i="1"/>
  <c r="A7933" i="1"/>
  <c r="A7932" i="1"/>
  <c r="A7931" i="1"/>
  <c r="A7930" i="1"/>
  <c r="A7929" i="1"/>
  <c r="A7928" i="1"/>
  <c r="A7927" i="1"/>
  <c r="A7926" i="1"/>
  <c r="A7925" i="1"/>
  <c r="A7924" i="1"/>
  <c r="A7922" i="1"/>
  <c r="A7921" i="1"/>
  <c r="A7923" i="1"/>
  <c r="A7920" i="1"/>
  <c r="A7919" i="1"/>
  <c r="A7918" i="1"/>
  <c r="A7917" i="1"/>
  <c r="A7916" i="1"/>
  <c r="A7915" i="1"/>
  <c r="A7914" i="1"/>
  <c r="A7911" i="1"/>
  <c r="A7910" i="1"/>
  <c r="A7909" i="1"/>
  <c r="A7913" i="1"/>
  <c r="A7912" i="1"/>
  <c r="A7908" i="1"/>
  <c r="A7907" i="1"/>
  <c r="A7906" i="1"/>
  <c r="A7905" i="1"/>
  <c r="A7904" i="1"/>
  <c r="A7903" i="1"/>
  <c r="A7902" i="1"/>
  <c r="A7901" i="1"/>
  <c r="A7900" i="1"/>
  <c r="A7899" i="1"/>
  <c r="A7898" i="1"/>
  <c r="A7897" i="1"/>
  <c r="A7896" i="1"/>
  <c r="A7895" i="1"/>
  <c r="A7894" i="1"/>
  <c r="A7893" i="1"/>
  <c r="A7892" i="1"/>
  <c r="A7891" i="1"/>
  <c r="A7890" i="1"/>
  <c r="A7889" i="1"/>
  <c r="A7888" i="1"/>
  <c r="A7887" i="1"/>
  <c r="A7886" i="1"/>
  <c r="A7885" i="1"/>
  <c r="A7884" i="1"/>
  <c r="A7883" i="1"/>
  <c r="A7882" i="1"/>
  <c r="A7881" i="1"/>
  <c r="A7880" i="1"/>
  <c r="A7879" i="1"/>
  <c r="A7878" i="1"/>
  <c r="A7877" i="1"/>
  <c r="A7876" i="1"/>
  <c r="A7875" i="1"/>
  <c r="A7874" i="1"/>
  <c r="A7871" i="1"/>
  <c r="A7870" i="1"/>
  <c r="A7873" i="1"/>
  <c r="A7869" i="1"/>
  <c r="A7872" i="1"/>
  <c r="A7868" i="1"/>
  <c r="A7867" i="1"/>
  <c r="A7866" i="1"/>
  <c r="A7865" i="1"/>
  <c r="A7864" i="1"/>
  <c r="A7862" i="1"/>
  <c r="A7861" i="1"/>
  <c r="A7860" i="1"/>
  <c r="A7859" i="1"/>
  <c r="A7858" i="1"/>
  <c r="A7857" i="1"/>
  <c r="A7863" i="1"/>
  <c r="A7856" i="1"/>
  <c r="A7855" i="1"/>
  <c r="A7854" i="1"/>
  <c r="A7853" i="1"/>
  <c r="A7852" i="1"/>
  <c r="A7851" i="1"/>
  <c r="A7850" i="1"/>
  <c r="A7849" i="1"/>
  <c r="A7848" i="1"/>
  <c r="A7847" i="1"/>
  <c r="A7846" i="1"/>
  <c r="A7845" i="1"/>
  <c r="A7844" i="1"/>
  <c r="A7843" i="1"/>
  <c r="A7842" i="1"/>
  <c r="A7841" i="1"/>
  <c r="A7840" i="1"/>
  <c r="A7839" i="1"/>
  <c r="A7838" i="1"/>
  <c r="A7834" i="1"/>
  <c r="A7837" i="1"/>
  <c r="A7836" i="1"/>
  <c r="A7833" i="1"/>
  <c r="A7832" i="1"/>
  <c r="A7835" i="1"/>
  <c r="A7831" i="1"/>
  <c r="A7830" i="1"/>
  <c r="A7829" i="1"/>
  <c r="A7828" i="1"/>
  <c r="A7827" i="1"/>
  <c r="A7826" i="1"/>
  <c r="A7825" i="1"/>
  <c r="A7824" i="1"/>
  <c r="A7823" i="1"/>
  <c r="A7822" i="1"/>
  <c r="A7821" i="1"/>
  <c r="A7819" i="1"/>
  <c r="A7818" i="1"/>
  <c r="A7817" i="1"/>
  <c r="A7820" i="1"/>
  <c r="A7816" i="1"/>
  <c r="A7815" i="1"/>
  <c r="A7814" i="1"/>
  <c r="A7813" i="1"/>
  <c r="A7812" i="1"/>
  <c r="A7811" i="1"/>
  <c r="A7810" i="1"/>
  <c r="A7809" i="1"/>
  <c r="A7808" i="1"/>
  <c r="A7807" i="1"/>
  <c r="A7806" i="1"/>
  <c r="A7805" i="1"/>
  <c r="A7804" i="1"/>
  <c r="A7803" i="1"/>
  <c r="A7802" i="1"/>
  <c r="A7801" i="1"/>
  <c r="A7800" i="1"/>
  <c r="A7799" i="1"/>
  <c r="A7798" i="1"/>
  <c r="A7797" i="1"/>
  <c r="A7796" i="1"/>
  <c r="A7795" i="1"/>
  <c r="A7794" i="1"/>
  <c r="A7793" i="1"/>
  <c r="A7792" i="1"/>
  <c r="A7791" i="1"/>
  <c r="A7790" i="1"/>
  <c r="A7789" i="1"/>
  <c r="A7788" i="1"/>
  <c r="A7787" i="1"/>
  <c r="A7786" i="1"/>
  <c r="A7785" i="1"/>
  <c r="A7784" i="1"/>
  <c r="A7783" i="1"/>
  <c r="A7782" i="1"/>
  <c r="A7781" i="1"/>
  <c r="A7780" i="1"/>
  <c r="A7779" i="1"/>
  <c r="A7778" i="1"/>
  <c r="A7773" i="1"/>
  <c r="A7776" i="1"/>
  <c r="A7772" i="1"/>
  <c r="A7771" i="1"/>
  <c r="A7770" i="1"/>
  <c r="A11478" i="1"/>
  <c r="A7769" i="1"/>
  <c r="A7775" i="1"/>
  <c r="A7774" i="1"/>
  <c r="A7768" i="1"/>
  <c r="A7767" i="1"/>
  <c r="A7766" i="1"/>
  <c r="A7765" i="1"/>
  <c r="A7764" i="1"/>
  <c r="A7763" i="1"/>
  <c r="A7762" i="1"/>
  <c r="A7761" i="1"/>
  <c r="A7760" i="1"/>
  <c r="A7759" i="1"/>
  <c r="A7758" i="1"/>
  <c r="A7757" i="1"/>
  <c r="A7756" i="1"/>
  <c r="A7755" i="1"/>
  <c r="A7754" i="1"/>
  <c r="A7753" i="1"/>
  <c r="A7752" i="1"/>
  <c r="A7751" i="1"/>
  <c r="A7750" i="1"/>
  <c r="A7748" i="1"/>
  <c r="A7747" i="1"/>
  <c r="A7746" i="1"/>
  <c r="A7749" i="1"/>
  <c r="A7745" i="1"/>
  <c r="A7744" i="1"/>
  <c r="A7743" i="1"/>
  <c r="A7742" i="1"/>
  <c r="A7741" i="1"/>
  <c r="A7740" i="1"/>
  <c r="A7739" i="1"/>
  <c r="A7738" i="1"/>
  <c r="A7737" i="1"/>
  <c r="A7736" i="1"/>
  <c r="A7735" i="1"/>
  <c r="A7734" i="1"/>
  <c r="A7733" i="1"/>
  <c r="A7732" i="1"/>
  <c r="A7731" i="1"/>
  <c r="A7730" i="1"/>
  <c r="A7729" i="1"/>
  <c r="A7728" i="1"/>
  <c r="A7727" i="1"/>
  <c r="A7726" i="1"/>
  <c r="A7724" i="1"/>
  <c r="A7723" i="1"/>
  <c r="A7722" i="1"/>
  <c r="A7725" i="1"/>
  <c r="A7721" i="1"/>
  <c r="A7720" i="1"/>
  <c r="A7719" i="1"/>
  <c r="A7718" i="1"/>
  <c r="A7717" i="1"/>
  <c r="A7716" i="1"/>
  <c r="A7715" i="1"/>
  <c r="A7713" i="1"/>
  <c r="A7714" i="1"/>
  <c r="A7712" i="1"/>
  <c r="A7711" i="1"/>
  <c r="A7710" i="1"/>
  <c r="A7709" i="1"/>
  <c r="A7708" i="1"/>
  <c r="A7707" i="1"/>
  <c r="A7706" i="1"/>
  <c r="A7705" i="1"/>
  <c r="A7704" i="1"/>
  <c r="A7703" i="1"/>
  <c r="A7702" i="1"/>
  <c r="A7701" i="1"/>
  <c r="A7700" i="1"/>
  <c r="A7699" i="1"/>
  <c r="A7698" i="1"/>
  <c r="A7697" i="1"/>
  <c r="A7696" i="1"/>
  <c r="A7695" i="1"/>
  <c r="A7694" i="1"/>
  <c r="A7693" i="1"/>
  <c r="A7690" i="1"/>
  <c r="A7689" i="1"/>
  <c r="A7692" i="1"/>
  <c r="A7691" i="1"/>
  <c r="A7688" i="1"/>
  <c r="A7687" i="1"/>
  <c r="A7686" i="1"/>
  <c r="A7685" i="1"/>
  <c r="A7684" i="1"/>
  <c r="A7683" i="1"/>
  <c r="A7682" i="1"/>
  <c r="A7681" i="1"/>
  <c r="A7680" i="1"/>
  <c r="A7679" i="1"/>
  <c r="A7678" i="1"/>
  <c r="A7677" i="1"/>
  <c r="A7676" i="1"/>
  <c r="A7675" i="1"/>
  <c r="A7674" i="1"/>
  <c r="A7673" i="1"/>
  <c r="A7672" i="1"/>
  <c r="A7671" i="1"/>
  <c r="A7670" i="1"/>
  <c r="A7669" i="1"/>
  <c r="A7668" i="1"/>
  <c r="A7667" i="1"/>
  <c r="A7666" i="1"/>
  <c r="A7664" i="1"/>
  <c r="A7665" i="1"/>
  <c r="A7663" i="1"/>
  <c r="A7662" i="1"/>
  <c r="A7661" i="1"/>
  <c r="A7660" i="1"/>
  <c r="A7659" i="1"/>
  <c r="A7658" i="1"/>
  <c r="A7657" i="1"/>
  <c r="A7656" i="1"/>
  <c r="A7655" i="1"/>
  <c r="A7654" i="1"/>
  <c r="A7653" i="1"/>
  <c r="A7652" i="1"/>
  <c r="A7651" i="1"/>
  <c r="A7650" i="1"/>
  <c r="A7649" i="1"/>
  <c r="A7648" i="1"/>
  <c r="A7647" i="1"/>
  <c r="A7646" i="1"/>
  <c r="A7645" i="1"/>
  <c r="A7644" i="1"/>
  <c r="A7643" i="1"/>
  <c r="A7642" i="1"/>
  <c r="A7641" i="1"/>
  <c r="A7640" i="1"/>
  <c r="A7639" i="1"/>
  <c r="A7638" i="1"/>
  <c r="A7637" i="1"/>
  <c r="A7636" i="1"/>
  <c r="A7635" i="1"/>
  <c r="A7634" i="1"/>
  <c r="A7633" i="1"/>
  <c r="A7632" i="1"/>
  <c r="A7631" i="1"/>
  <c r="A7630" i="1"/>
  <c r="A7629" i="1"/>
  <c r="A7628" i="1"/>
  <c r="A7627" i="1"/>
  <c r="A7626" i="1"/>
  <c r="A7625" i="1"/>
  <c r="A7623" i="1"/>
  <c r="A7622" i="1"/>
  <c r="A7624" i="1"/>
  <c r="A7621" i="1"/>
  <c r="A7620" i="1"/>
  <c r="A7619" i="1"/>
  <c r="A7618" i="1"/>
  <c r="A7617" i="1"/>
  <c r="A7615" i="1"/>
  <c r="A7614" i="1"/>
  <c r="A7616" i="1"/>
  <c r="A7613" i="1"/>
  <c r="A7612" i="1"/>
  <c r="A7611" i="1"/>
  <c r="A7610" i="1"/>
  <c r="A7609" i="1"/>
  <c r="A7608" i="1"/>
  <c r="A7607" i="1"/>
  <c r="A7606" i="1"/>
  <c r="A7605" i="1"/>
  <c r="A7604" i="1"/>
  <c r="A7603" i="1"/>
  <c r="A7602" i="1"/>
  <c r="A7601" i="1"/>
  <c r="A7600" i="1"/>
  <c r="A7599" i="1"/>
  <c r="A7598" i="1"/>
  <c r="A7597" i="1"/>
  <c r="A7595" i="1"/>
  <c r="A7596" i="1"/>
  <c r="A7594" i="1"/>
  <c r="A7593" i="1"/>
  <c r="A7592" i="1"/>
  <c r="A7591" i="1"/>
  <c r="A7590" i="1"/>
  <c r="A7589" i="1"/>
  <c r="A7588" i="1"/>
  <c r="A7587" i="1"/>
  <c r="A7586" i="1"/>
  <c r="A7585" i="1"/>
  <c r="A7584" i="1"/>
  <c r="A7583" i="1"/>
  <c r="A7582" i="1"/>
  <c r="A7581" i="1"/>
  <c r="A7580" i="1"/>
  <c r="A7579" i="1"/>
  <c r="A7578" i="1"/>
  <c r="A7574" i="1"/>
  <c r="A7573" i="1"/>
  <c r="A7572" i="1"/>
  <c r="A7571" i="1"/>
  <c r="A7570" i="1"/>
  <c r="A7569" i="1"/>
  <c r="A11705" i="1"/>
  <c r="A7568" i="1"/>
  <c r="A7567" i="1"/>
  <c r="A7566" i="1"/>
  <c r="A7576" i="1"/>
  <c r="A7575" i="1"/>
  <c r="A7565" i="1"/>
  <c r="A7564" i="1"/>
  <c r="A7563" i="1"/>
  <c r="A7562" i="1"/>
  <c r="A7561" i="1"/>
  <c r="A7560" i="1"/>
  <c r="A7559" i="1"/>
  <c r="A7558" i="1"/>
  <c r="A7557" i="1"/>
  <c r="A7556" i="1"/>
  <c r="A7555" i="1"/>
  <c r="A7554" i="1"/>
  <c r="A7553" i="1"/>
  <c r="A7552" i="1"/>
  <c r="A7551" i="1"/>
  <c r="A7550" i="1"/>
  <c r="A7549" i="1"/>
  <c r="A7547" i="1"/>
  <c r="A7548" i="1"/>
  <c r="A7546" i="1"/>
  <c r="A7545" i="1"/>
  <c r="A7544" i="1"/>
  <c r="A7543" i="1"/>
  <c r="A7542" i="1"/>
  <c r="A7541" i="1"/>
  <c r="A7539" i="1"/>
  <c r="A7538" i="1"/>
  <c r="A7537" i="1"/>
  <c r="A7540" i="1"/>
  <c r="A7536" i="1"/>
  <c r="A7535" i="1"/>
  <c r="A7534" i="1"/>
  <c r="A7533" i="1"/>
  <c r="A7532" i="1"/>
  <c r="A7531" i="1"/>
  <c r="A7530" i="1"/>
  <c r="A7529" i="1"/>
  <c r="A7528" i="1"/>
  <c r="A7527" i="1"/>
  <c r="A7526" i="1"/>
  <c r="A7525" i="1"/>
  <c r="A7524" i="1"/>
  <c r="A7523" i="1"/>
  <c r="A7522" i="1"/>
  <c r="A7521" i="1"/>
  <c r="A7520" i="1"/>
  <c r="A7519" i="1"/>
  <c r="A7518" i="1"/>
  <c r="A7517" i="1"/>
  <c r="A7516" i="1"/>
  <c r="A7515" i="1"/>
  <c r="A7514" i="1"/>
  <c r="A7513" i="1"/>
  <c r="A7512" i="1"/>
  <c r="A7511" i="1"/>
  <c r="A7510" i="1"/>
  <c r="A7509" i="1"/>
  <c r="A7508" i="1"/>
  <c r="A7507" i="1"/>
  <c r="A7506" i="1"/>
  <c r="A7505" i="1"/>
  <c r="A7503" i="1"/>
  <c r="A7502" i="1"/>
  <c r="A7501" i="1"/>
  <c r="A7504" i="1"/>
  <c r="A7500" i="1"/>
  <c r="A7499" i="1"/>
  <c r="A7498" i="1"/>
  <c r="A7497" i="1"/>
  <c r="A7496" i="1"/>
  <c r="A7495" i="1"/>
  <c r="A7494" i="1"/>
  <c r="A7493" i="1"/>
  <c r="A7492" i="1"/>
  <c r="A7491" i="1"/>
  <c r="A7490" i="1"/>
  <c r="A7489" i="1"/>
  <c r="A7488" i="1"/>
  <c r="A7487" i="1"/>
  <c r="A7486" i="1"/>
  <c r="A7485" i="1"/>
  <c r="A7484" i="1"/>
  <c r="A7483" i="1"/>
  <c r="A7482" i="1"/>
  <c r="A7481" i="1"/>
  <c r="A7480" i="1"/>
  <c r="A7479" i="1"/>
  <c r="A7478" i="1"/>
  <c r="A7477" i="1"/>
  <c r="A7476" i="1"/>
  <c r="A7475" i="1"/>
  <c r="A7474" i="1"/>
  <c r="A7473" i="1"/>
  <c r="A7472" i="1"/>
  <c r="A7471" i="1"/>
  <c r="A7470" i="1"/>
  <c r="A7469" i="1"/>
  <c r="A7468" i="1"/>
  <c r="A7467" i="1"/>
  <c r="A7466" i="1"/>
  <c r="A7465" i="1"/>
  <c r="A7464" i="1"/>
  <c r="A7463" i="1"/>
  <c r="A7462" i="1"/>
  <c r="A7461" i="1"/>
  <c r="A7460" i="1"/>
  <c r="A7459" i="1"/>
  <c r="A7458" i="1"/>
  <c r="A7457" i="1"/>
  <c r="A7456" i="1"/>
  <c r="A7455" i="1"/>
  <c r="A7454" i="1"/>
  <c r="A7453" i="1"/>
  <c r="A7452" i="1"/>
  <c r="A7451" i="1"/>
  <c r="A7450" i="1"/>
  <c r="A7449" i="1"/>
  <c r="A7448" i="1"/>
  <c r="A7447" i="1"/>
  <c r="A7446" i="1"/>
  <c r="A7445" i="1"/>
  <c r="A7444" i="1"/>
  <c r="A7443" i="1"/>
  <c r="A7442" i="1"/>
  <c r="A7441" i="1"/>
  <c r="A7440" i="1"/>
  <c r="A7439" i="1"/>
  <c r="A7438" i="1"/>
  <c r="A7437" i="1"/>
  <c r="A7436" i="1"/>
  <c r="A7435" i="1"/>
  <c r="A7434" i="1"/>
  <c r="A7433" i="1"/>
  <c r="A7432" i="1"/>
  <c r="A7431" i="1"/>
  <c r="A7430" i="1"/>
  <c r="A7429" i="1"/>
  <c r="A7428" i="1"/>
  <c r="A7427" i="1"/>
  <c r="A7426" i="1"/>
  <c r="A7425" i="1"/>
  <c r="A7424" i="1"/>
  <c r="A7423" i="1"/>
  <c r="A7422" i="1"/>
  <c r="A7421" i="1"/>
  <c r="A7420" i="1"/>
  <c r="A7419" i="1"/>
  <c r="A7418" i="1"/>
  <c r="A7415" i="1"/>
  <c r="A7414" i="1"/>
  <c r="A7413" i="1"/>
  <c r="A7412" i="1"/>
  <c r="A7417" i="1"/>
  <c r="A7416" i="1"/>
  <c r="A7411" i="1"/>
  <c r="A7410" i="1"/>
  <c r="A7409" i="1"/>
  <c r="A7406" i="1"/>
  <c r="A7405" i="1"/>
  <c r="A7404" i="1"/>
  <c r="A7408" i="1"/>
  <c r="A7407" i="1"/>
  <c r="A7403" i="1"/>
  <c r="A7402" i="1"/>
  <c r="A7401" i="1"/>
  <c r="A7400" i="1"/>
  <c r="A7399" i="1"/>
  <c r="A7398" i="1"/>
  <c r="A7397" i="1"/>
  <c r="A7396" i="1"/>
  <c r="A7395" i="1"/>
  <c r="A7394" i="1"/>
  <c r="A7389" i="1"/>
  <c r="A7388" i="1"/>
  <c r="A7387" i="1"/>
  <c r="A7386" i="1"/>
  <c r="A7385" i="1"/>
  <c r="A7384" i="1"/>
  <c r="A7393" i="1"/>
  <c r="A7392" i="1"/>
  <c r="A7391" i="1"/>
  <c r="A7390" i="1"/>
  <c r="A7383" i="1"/>
  <c r="A7382" i="1"/>
  <c r="A7381" i="1"/>
  <c r="A7380" i="1"/>
  <c r="A7379" i="1"/>
  <c r="A7378" i="1"/>
  <c r="A7377" i="1"/>
  <c r="A7376" i="1"/>
  <c r="A7374" i="1"/>
  <c r="A7373" i="1"/>
  <c r="A7372" i="1"/>
  <c r="A7371" i="1"/>
  <c r="A7370" i="1"/>
  <c r="A7369" i="1"/>
  <c r="A7368" i="1"/>
  <c r="A7367" i="1"/>
  <c r="A7366" i="1"/>
  <c r="A7365" i="1"/>
  <c r="A7364" i="1"/>
  <c r="A7363" i="1"/>
  <c r="A7362" i="1"/>
  <c r="A7361" i="1"/>
  <c r="A7360" i="1"/>
  <c r="A7359" i="1"/>
  <c r="A7358" i="1"/>
  <c r="A7357" i="1"/>
  <c r="A7356" i="1"/>
  <c r="A7355" i="1"/>
  <c r="A7354" i="1"/>
  <c r="A7352" i="1"/>
  <c r="A7351" i="1"/>
  <c r="A7350" i="1"/>
  <c r="A7349" i="1"/>
  <c r="A7353" i="1"/>
  <c r="A7348" i="1"/>
  <c r="A7347" i="1"/>
  <c r="A7346" i="1"/>
  <c r="A7345" i="1"/>
  <c r="A7343" i="1"/>
  <c r="A7342" i="1"/>
  <c r="A7341" i="1"/>
  <c r="A7344" i="1"/>
  <c r="A7340" i="1"/>
  <c r="A7339" i="1"/>
  <c r="A7338" i="1"/>
  <c r="A7337" i="1"/>
  <c r="A7336" i="1"/>
  <c r="A7335" i="1"/>
  <c r="A7334" i="1"/>
  <c r="A7333" i="1"/>
  <c r="A7332" i="1"/>
  <c r="A7331" i="1"/>
  <c r="A7330" i="1"/>
  <c r="A7329" i="1"/>
  <c r="A7328" i="1"/>
  <c r="A7327" i="1"/>
  <c r="A7326" i="1"/>
  <c r="A7324" i="1"/>
  <c r="A7323" i="1"/>
  <c r="A7322" i="1"/>
  <c r="A7321" i="1"/>
  <c r="A7320" i="1"/>
  <c r="A7325" i="1"/>
  <c r="A7319" i="1"/>
  <c r="A7318" i="1"/>
  <c r="A7317" i="1"/>
  <c r="A7316" i="1"/>
  <c r="A7315" i="1"/>
  <c r="A7314" i="1"/>
  <c r="A7312" i="1"/>
  <c r="A7311" i="1"/>
  <c r="A7313" i="1"/>
  <c r="A7310" i="1"/>
  <c r="A7309" i="1"/>
  <c r="A7307" i="1"/>
  <c r="A7308" i="1"/>
  <c r="A7306" i="1"/>
  <c r="A7305" i="1"/>
  <c r="A7304" i="1"/>
  <c r="A7303" i="1"/>
  <c r="A7302" i="1"/>
  <c r="A7301" i="1"/>
  <c r="A7300" i="1"/>
  <c r="A7299" i="1"/>
  <c r="A7298" i="1"/>
  <c r="A7297" i="1"/>
  <c r="A7296" i="1"/>
  <c r="A7295" i="1"/>
  <c r="A7294" i="1"/>
  <c r="A7293" i="1"/>
  <c r="A7292" i="1"/>
  <c r="A7291" i="1"/>
  <c r="A7290" i="1"/>
  <c r="A7289" i="1"/>
  <c r="A7288" i="1"/>
  <c r="A7287" i="1"/>
  <c r="A7286" i="1"/>
  <c r="A7285" i="1"/>
  <c r="A7284" i="1"/>
  <c r="A7283" i="1"/>
  <c r="A7281" i="1"/>
  <c r="A7280" i="1"/>
  <c r="A7282" i="1"/>
  <c r="A7279" i="1"/>
  <c r="A7278" i="1"/>
  <c r="A7277" i="1"/>
  <c r="A7275" i="1"/>
  <c r="A7274" i="1"/>
  <c r="A7273" i="1"/>
  <c r="A7272" i="1"/>
  <c r="A7271" i="1"/>
  <c r="A7276" i="1"/>
  <c r="A7270" i="1"/>
  <c r="A7269" i="1"/>
  <c r="A7268" i="1"/>
  <c r="A7267" i="1"/>
  <c r="A7266" i="1"/>
  <c r="A7265" i="1"/>
  <c r="A7264" i="1"/>
  <c r="A7263" i="1"/>
  <c r="A7262" i="1"/>
  <c r="A7261" i="1"/>
  <c r="A7260" i="1"/>
  <c r="A7259" i="1"/>
  <c r="A7258" i="1"/>
  <c r="A7257" i="1"/>
  <c r="A7256" i="1"/>
  <c r="A7255" i="1"/>
  <c r="A7253" i="1"/>
  <c r="A7254" i="1"/>
  <c r="A7252" i="1"/>
  <c r="A7251" i="1"/>
  <c r="A7250" i="1"/>
  <c r="A7249" i="1"/>
  <c r="A7248" i="1"/>
  <c r="A7247" i="1"/>
  <c r="A7246" i="1"/>
  <c r="A7245" i="1"/>
  <c r="A7244" i="1"/>
  <c r="A7243" i="1"/>
  <c r="A7242" i="1"/>
  <c r="A7241" i="1"/>
  <c r="A7240" i="1"/>
  <c r="A7239" i="1"/>
  <c r="A7238" i="1"/>
  <c r="A7237" i="1"/>
  <c r="A7236" i="1"/>
  <c r="A7235" i="1"/>
  <c r="A7234" i="1"/>
  <c r="A7233" i="1"/>
  <c r="A7232" i="1"/>
  <c r="A7231" i="1"/>
  <c r="A7230" i="1"/>
  <c r="A7229" i="1"/>
  <c r="A7225" i="1"/>
  <c r="A7224" i="1"/>
  <c r="A7223" i="1"/>
  <c r="A7228" i="1"/>
  <c r="A7227" i="1"/>
  <c r="A7226" i="1"/>
  <c r="A7222" i="1"/>
  <c r="A7221" i="1"/>
  <c r="A7220" i="1"/>
  <c r="A7219" i="1"/>
  <c r="A7218" i="1"/>
  <c r="A7217" i="1"/>
  <c r="A7216" i="1"/>
  <c r="A7215" i="1"/>
  <c r="A7214" i="1"/>
  <c r="A7213" i="1"/>
  <c r="A7211" i="1"/>
  <c r="A7210" i="1"/>
  <c r="A7209" i="1"/>
  <c r="A7208" i="1"/>
  <c r="A7207" i="1"/>
  <c r="A7206" i="1"/>
  <c r="A7205" i="1"/>
  <c r="A7204" i="1"/>
  <c r="A7212" i="1"/>
  <c r="A7203" i="1"/>
  <c r="A7202" i="1"/>
  <c r="A7201" i="1"/>
  <c r="A7199" i="1"/>
  <c r="A7198" i="1"/>
  <c r="A7197" i="1"/>
  <c r="A7196" i="1"/>
  <c r="A7195" i="1"/>
  <c r="A7194" i="1"/>
  <c r="A7193" i="1"/>
  <c r="A7192" i="1"/>
  <c r="A7191" i="1"/>
  <c r="A7190" i="1"/>
  <c r="A7189" i="1"/>
  <c r="A7188" i="1"/>
  <c r="A7187" i="1"/>
  <c r="A7186" i="1"/>
  <c r="A7185" i="1"/>
  <c r="A7183" i="1"/>
  <c r="A7184" i="1"/>
  <c r="A7182" i="1"/>
  <c r="A7181" i="1"/>
  <c r="A7180" i="1"/>
  <c r="A7179" i="1"/>
  <c r="A7178" i="1"/>
  <c r="A7177" i="1"/>
  <c r="A7176" i="1"/>
  <c r="A7173" i="1"/>
  <c r="A7172" i="1"/>
  <c r="A7171" i="1"/>
  <c r="A7170" i="1"/>
  <c r="A7169" i="1"/>
  <c r="A7175" i="1"/>
  <c r="A7168" i="1"/>
  <c r="A7167" i="1"/>
  <c r="A7174" i="1"/>
  <c r="A7166" i="1"/>
  <c r="A7165" i="1"/>
  <c r="A7164" i="1"/>
  <c r="A7163" i="1"/>
  <c r="A7162" i="1"/>
  <c r="A7161" i="1"/>
  <c r="A7160" i="1"/>
  <c r="A7159" i="1"/>
  <c r="A7158" i="1"/>
  <c r="A7157" i="1"/>
  <c r="A7156" i="1"/>
  <c r="A7155" i="1"/>
  <c r="A7154" i="1"/>
  <c r="A7153" i="1"/>
  <c r="A7152" i="1"/>
  <c r="A7151" i="1"/>
  <c r="A7150" i="1"/>
  <c r="A7149" i="1"/>
  <c r="A7148" i="1"/>
  <c r="A7147" i="1"/>
  <c r="A7146" i="1"/>
  <c r="A7145" i="1"/>
  <c r="A7144" i="1"/>
  <c r="A7143" i="1"/>
  <c r="A7142" i="1"/>
  <c r="A7141" i="1"/>
  <c r="A7140" i="1"/>
  <c r="A7139" i="1"/>
  <c r="A7138" i="1"/>
  <c r="A7137" i="1"/>
  <c r="A7136" i="1"/>
  <c r="A7135" i="1"/>
  <c r="A7134" i="1"/>
  <c r="A7133" i="1"/>
  <c r="A7132" i="1"/>
  <c r="A7131" i="1"/>
  <c r="A7130" i="1"/>
  <c r="A7129" i="1"/>
  <c r="A7128" i="1"/>
  <c r="A7127" i="1"/>
  <c r="A7126" i="1"/>
  <c r="A7125" i="1"/>
  <c r="A7124" i="1"/>
  <c r="A7123" i="1"/>
  <c r="A7122" i="1"/>
  <c r="A7121" i="1"/>
  <c r="A7120" i="1"/>
  <c r="A7119" i="1"/>
  <c r="A7118" i="1"/>
  <c r="A7117" i="1"/>
  <c r="A7116" i="1"/>
  <c r="A7115" i="1"/>
  <c r="A7114" i="1"/>
  <c r="A7113" i="1"/>
  <c r="A7112" i="1"/>
  <c r="A7111" i="1"/>
  <c r="A7110" i="1"/>
  <c r="A7109" i="1"/>
  <c r="A7107" i="1"/>
  <c r="A7106" i="1"/>
  <c r="A7105" i="1"/>
  <c r="A7108" i="1"/>
  <c r="A7104" i="1"/>
  <c r="A7102" i="1"/>
  <c r="A7101" i="1"/>
  <c r="A7100" i="1"/>
  <c r="A7103" i="1"/>
  <c r="A7099" i="1"/>
  <c r="A7098" i="1"/>
  <c r="A7095" i="1"/>
  <c r="A7094" i="1"/>
  <c r="A7093" i="1"/>
  <c r="A7092" i="1"/>
  <c r="A7091" i="1"/>
  <c r="A7097" i="1"/>
  <c r="A7090" i="1"/>
  <c r="A7089" i="1"/>
  <c r="A7088" i="1"/>
  <c r="A7096" i="1"/>
  <c r="A7087" i="1"/>
  <c r="A7086" i="1"/>
  <c r="A7085" i="1"/>
  <c r="A7084" i="1"/>
  <c r="A7082" i="1"/>
  <c r="A7081" i="1"/>
  <c r="A7083" i="1"/>
  <c r="A7080" i="1"/>
  <c r="A7079" i="1"/>
  <c r="A7078" i="1"/>
  <c r="A7077" i="1"/>
  <c r="A7076" i="1"/>
  <c r="A7075" i="1"/>
  <c r="A7074" i="1"/>
  <c r="A7073" i="1"/>
  <c r="A7072" i="1"/>
  <c r="A7071" i="1"/>
  <c r="A7070" i="1"/>
  <c r="A7069" i="1"/>
  <c r="A7068" i="1"/>
  <c r="A7067" i="1"/>
  <c r="A7064" i="1"/>
  <c r="A7063" i="1"/>
  <c r="A7062" i="1"/>
  <c r="A7061" i="1"/>
  <c r="A7060" i="1"/>
  <c r="A7066" i="1"/>
  <c r="A7059" i="1"/>
  <c r="A7058" i="1"/>
  <c r="A7057" i="1"/>
  <c r="A7065" i="1"/>
  <c r="A7056" i="1"/>
  <c r="A7052" i="1"/>
  <c r="A7051" i="1"/>
  <c r="A7050" i="1"/>
  <c r="A7049" i="1"/>
  <c r="A7048" i="1"/>
  <c r="A7047" i="1"/>
  <c r="A7055" i="1"/>
  <c r="A7054" i="1"/>
  <c r="A7046" i="1"/>
  <c r="A7045" i="1"/>
  <c r="A7053" i="1"/>
  <c r="A7044" i="1"/>
  <c r="A7043" i="1"/>
  <c r="A7042" i="1"/>
  <c r="A7041" i="1"/>
  <c r="A7040" i="1"/>
  <c r="A7039" i="1"/>
  <c r="A7038" i="1"/>
  <c r="A7037" i="1"/>
  <c r="O12213" i="1"/>
  <c r="O12233" i="1"/>
  <c r="O12275" i="1"/>
  <c r="O12277" i="1"/>
  <c r="O12287" i="1"/>
  <c r="O12296" i="1"/>
  <c r="O12444" i="1"/>
  <c r="O12450" i="1"/>
  <c r="O12451" i="1"/>
  <c r="O12452" i="1"/>
  <c r="O12468" i="1"/>
  <c r="O12472" i="1"/>
  <c r="O12490" i="1"/>
  <c r="O12498" i="1"/>
  <c r="O12515" i="1"/>
  <c r="O12553" i="1"/>
  <c r="O12555" i="1"/>
  <c r="O12556" i="1"/>
  <c r="O12548" i="1"/>
  <c r="O11494" i="1"/>
  <c r="O12538" i="1"/>
  <c r="O12539" i="1"/>
  <c r="O12540" i="1"/>
  <c r="O12530" i="1"/>
  <c r="O12531" i="1"/>
  <c r="O12532" i="1"/>
  <c r="O12533" i="1"/>
  <c r="O12534" i="1"/>
  <c r="O12535" i="1"/>
  <c r="O12527" i="1"/>
  <c r="O12528" i="1"/>
  <c r="O12069" i="1"/>
  <c r="O12516" i="1"/>
  <c r="O12517" i="1"/>
  <c r="O12518" i="1"/>
  <c r="O12519" i="1"/>
  <c r="O12521" i="1"/>
  <c r="O12523" i="1"/>
  <c r="O12524" i="1"/>
  <c r="O12509" i="1"/>
  <c r="O12512" i="1"/>
  <c r="O12513" i="1"/>
  <c r="O12514" i="1"/>
  <c r="O12499" i="1"/>
  <c r="O12500" i="1"/>
  <c r="O12501" i="1"/>
  <c r="O12503" i="1"/>
  <c r="O12504" i="1"/>
  <c r="O12506" i="1"/>
  <c r="O12507" i="1"/>
  <c r="O12508" i="1"/>
  <c r="O12491" i="1"/>
  <c r="O12479" i="1"/>
  <c r="O12480" i="1"/>
  <c r="O12481" i="1"/>
  <c r="O12482" i="1"/>
  <c r="O12483" i="1"/>
  <c r="O12486" i="1"/>
  <c r="O12487" i="1"/>
  <c r="O12488" i="1"/>
  <c r="O12489" i="1"/>
  <c r="O12476" i="1"/>
  <c r="O12477" i="1"/>
  <c r="O12471" i="1"/>
  <c r="O12473" i="1"/>
  <c r="O12474" i="1"/>
  <c r="O12469" i="1"/>
  <c r="O12470" i="1"/>
  <c r="O12462" i="1"/>
  <c r="O12463" i="1"/>
  <c r="O12464" i="1"/>
  <c r="O12467" i="1"/>
  <c r="O12457" i="1"/>
  <c r="O12453" i="1"/>
  <c r="O12456" i="1"/>
  <c r="O12443" i="1"/>
  <c r="O12445" i="1"/>
  <c r="O12439" i="1"/>
  <c r="O12440" i="1"/>
  <c r="O12434" i="1"/>
  <c r="O12435" i="1"/>
  <c r="O12068" i="1"/>
  <c r="O12431" i="1"/>
  <c r="O12433" i="1"/>
  <c r="O12427" i="1"/>
  <c r="O12428" i="1"/>
  <c r="O12429" i="1"/>
  <c r="O12422" i="1"/>
  <c r="O12423" i="1"/>
  <c r="O12424" i="1"/>
  <c r="O12425" i="1"/>
  <c r="O12416" i="1"/>
  <c r="O12414" i="1"/>
  <c r="O12415" i="1"/>
  <c r="O12418" i="1"/>
  <c r="O12419" i="1"/>
  <c r="O12420" i="1"/>
  <c r="O12421" i="1"/>
  <c r="O12409" i="1"/>
  <c r="O12410" i="1"/>
  <c r="O12411" i="1"/>
  <c r="O12412" i="1"/>
  <c r="O12413" i="1"/>
  <c r="O12403" i="1"/>
  <c r="O12067" i="1"/>
  <c r="O12399" i="1"/>
  <c r="O12381" i="1"/>
  <c r="O12384" i="1"/>
  <c r="O12386" i="1"/>
  <c r="O12374" i="1"/>
  <c r="O12375" i="1"/>
  <c r="O12376" i="1"/>
  <c r="O12377" i="1"/>
  <c r="O12378" i="1"/>
  <c r="O12324" i="1"/>
  <c r="O12380" i="1"/>
  <c r="O12368" i="1"/>
  <c r="O12369" i="1"/>
  <c r="O12370" i="1"/>
  <c r="O12371" i="1"/>
  <c r="O11756" i="1"/>
  <c r="O11942" i="1"/>
  <c r="O12353" i="1"/>
  <c r="O12436" i="1"/>
  <c r="O12356" i="1"/>
  <c r="O11639" i="1"/>
  <c r="O11718" i="1"/>
  <c r="O12304" i="1"/>
  <c r="O12344" i="1"/>
  <c r="O12346" i="1"/>
  <c r="O11666" i="1"/>
  <c r="O11722" i="1"/>
  <c r="O11945" i="1"/>
  <c r="O12312" i="1"/>
  <c r="O12333" i="1"/>
  <c r="O12354" i="1"/>
  <c r="O10889" i="1"/>
  <c r="O10792" i="1"/>
  <c r="O12325" i="1"/>
  <c r="O12326" i="1"/>
  <c r="O12327" i="1"/>
  <c r="O12328" i="1"/>
  <c r="O12329" i="1"/>
  <c r="O11545" i="1"/>
  <c r="O11546" i="1"/>
  <c r="O12332" i="1"/>
  <c r="O11473" i="1"/>
  <c r="O11547" i="1"/>
  <c r="O11492" i="1"/>
  <c r="O11549" i="1"/>
  <c r="O11551" i="1"/>
  <c r="O12315" i="1"/>
  <c r="O12316" i="1"/>
  <c r="O12317" i="1"/>
  <c r="O12318" i="1"/>
  <c r="O12319" i="1"/>
  <c r="O12320" i="1"/>
  <c r="O12321" i="1"/>
  <c r="O11710" i="1"/>
  <c r="O12323" i="1"/>
  <c r="O10880" i="1"/>
  <c r="O11664" i="1"/>
  <c r="O11887" i="1"/>
  <c r="O11796" i="1"/>
  <c r="O11943" i="1"/>
  <c r="O12613" i="1"/>
  <c r="O11625" i="1"/>
  <c r="O11716" i="1"/>
  <c r="O11947" i="1"/>
  <c r="O12355" i="1"/>
  <c r="O12295" i="1"/>
  <c r="O12297" i="1"/>
  <c r="O12288" i="1"/>
  <c r="O11628" i="1"/>
  <c r="O11631" i="1"/>
  <c r="O11951" i="1"/>
  <c r="O12307" i="1"/>
  <c r="O12360" i="1"/>
  <c r="O10859" i="1"/>
  <c r="O11724" i="1"/>
  <c r="O12278" i="1"/>
  <c r="O12279" i="1"/>
  <c r="O12280" i="1"/>
  <c r="O12276" i="1"/>
  <c r="O12270" i="1"/>
  <c r="O12274" i="1"/>
  <c r="O11813" i="1"/>
  <c r="O12234" i="1"/>
  <c r="O12209" i="1"/>
  <c r="O12210" i="1"/>
  <c r="O12212" i="1"/>
  <c r="O12058" i="1"/>
  <c r="O12217" i="1"/>
  <c r="O12189" i="1"/>
  <c r="O12190" i="1"/>
  <c r="O12552" i="1"/>
  <c r="O12551" i="1"/>
  <c r="O12549" i="1"/>
  <c r="O12541" i="1"/>
  <c r="O12536" i="1"/>
  <c r="O12526" i="1"/>
  <c r="O12511" i="1"/>
  <c r="O12485" i="1"/>
  <c r="O12484" i="1"/>
  <c r="O12461" i="1"/>
  <c r="O12455" i="1"/>
  <c r="O12454" i="1"/>
  <c r="O12446" i="1"/>
  <c r="O12447" i="1"/>
  <c r="O12448" i="1"/>
  <c r="O12441" i="1"/>
  <c r="O12426" i="1"/>
  <c r="O12408" i="1"/>
  <c r="O11192" i="1"/>
  <c r="O12394" i="1"/>
  <c r="O12393" i="1"/>
  <c r="O12392" i="1"/>
  <c r="O12383" i="1"/>
  <c r="O12382" i="1"/>
  <c r="O12388" i="1"/>
  <c r="O12387" i="1"/>
  <c r="O12373" i="1"/>
  <c r="O11184" i="1"/>
  <c r="O12342" i="1"/>
  <c r="O12340" i="1"/>
  <c r="O12330" i="1"/>
  <c r="O12309" i="1"/>
  <c r="O12299" i="1"/>
  <c r="O12300" i="1"/>
  <c r="O12284" i="1"/>
  <c r="O12286" i="1"/>
  <c r="O12285" i="1"/>
  <c r="O12273" i="1"/>
  <c r="O12237" i="1"/>
  <c r="O12235" i="1"/>
  <c r="O12236" i="1"/>
  <c r="O12227" i="1"/>
  <c r="O12226" i="1"/>
  <c r="O12229" i="1"/>
  <c r="O11182" i="1"/>
  <c r="O12223" i="1"/>
  <c r="O12219" i="1"/>
  <c r="O12221" i="1"/>
  <c r="O12220" i="1"/>
  <c r="O12218" i="1"/>
  <c r="O12200" i="1"/>
  <c r="O11608" i="1"/>
  <c r="O11563" i="1"/>
  <c r="O12559" i="1"/>
  <c r="O12554" i="1"/>
  <c r="O12550" i="1"/>
  <c r="O12254" i="1"/>
  <c r="O12545" i="1"/>
  <c r="O12544" i="1"/>
  <c r="O12543" i="1"/>
  <c r="O12547" i="1"/>
  <c r="O12546" i="1"/>
  <c r="O11559" i="1"/>
  <c r="O12522" i="1"/>
  <c r="O12525" i="1"/>
  <c r="O10892" i="1"/>
  <c r="O12505" i="1"/>
  <c r="O11070" i="1"/>
  <c r="O8311" i="1"/>
  <c r="O8109" i="1"/>
  <c r="O12292" i="1"/>
  <c r="O12496" i="1"/>
  <c r="O12497" i="1"/>
  <c r="O12495" i="1"/>
  <c r="O12478" i="1"/>
  <c r="O12475" i="1"/>
  <c r="O12466" i="1"/>
  <c r="O11065" i="1"/>
  <c r="O12458" i="1"/>
  <c r="O12460" i="1"/>
  <c r="O12459" i="1"/>
  <c r="O12449" i="1"/>
  <c r="O12253" i="1"/>
  <c r="O10895" i="1"/>
  <c r="O11561" i="1"/>
  <c r="O12432" i="1"/>
  <c r="O12430" i="1"/>
  <c r="O12865" i="1"/>
  <c r="O12242" i="1"/>
  <c r="O12406" i="1"/>
  <c r="O12438" i="1"/>
  <c r="O12398" i="1"/>
  <c r="O12402" i="1"/>
  <c r="O12395" i="1"/>
  <c r="O12397" i="1"/>
  <c r="O12401" i="1"/>
  <c r="O11604" i="1"/>
  <c r="O12390" i="1"/>
  <c r="O12391" i="1"/>
  <c r="O12385" i="1"/>
  <c r="O12372" i="1"/>
  <c r="O12361" i="1"/>
  <c r="O12367" i="1"/>
  <c r="O12364" i="1"/>
  <c r="O12359" i="1"/>
  <c r="O12863" i="1"/>
  <c r="O12349" i="1"/>
  <c r="O12351" i="1"/>
  <c r="O12343" i="1"/>
  <c r="O12331" i="1"/>
  <c r="O12313" i="1"/>
  <c r="O12671" i="1"/>
  <c r="O12305" i="1"/>
  <c r="O12298" i="1"/>
  <c r="O12291" i="1"/>
  <c r="O12283" i="1"/>
  <c r="O12258" i="1"/>
  <c r="O12858" i="1"/>
  <c r="O12216" i="1"/>
  <c r="O12222" i="1"/>
  <c r="O12215" i="1"/>
  <c r="H1" i="10"/>
  <c r="H7" i="10"/>
  <c r="D6" i="31"/>
  <c r="L36" i="27"/>
  <c r="N36" i="27" s="1"/>
  <c r="R36" i="27" s="1"/>
  <c r="O36" i="27"/>
  <c r="M25" i="27"/>
  <c r="AI24" i="27"/>
  <c r="AI25" i="27" s="1"/>
  <c r="AI26" i="27" s="1"/>
  <c r="E36" i="27"/>
  <c r="D16" i="31"/>
  <c r="F16" i="31" s="1"/>
  <c r="B36" i="27"/>
  <c r="D36" i="27" s="1"/>
  <c r="H36" i="27" s="1"/>
  <c r="F12051" i="1"/>
  <c r="F12052" i="1"/>
  <c r="F12053" i="1"/>
  <c r="F12054" i="1"/>
  <c r="F12065" i="1"/>
  <c r="O12271" i="1"/>
  <c r="O12267" i="1"/>
  <c r="O12261" i="1"/>
  <c r="O12264" i="1"/>
  <c r="O12249" i="1"/>
  <c r="O12225" i="1"/>
  <c r="O12206" i="1"/>
  <c r="O12199" i="1"/>
  <c r="O12195" i="1"/>
  <c r="O12193" i="1"/>
  <c r="O12191" i="1"/>
  <c r="O12205" i="1"/>
  <c r="O12204" i="1"/>
  <c r="O12197" i="1"/>
  <c r="O12192" i="1"/>
  <c r="O12201" i="1"/>
  <c r="O12194" i="1"/>
  <c r="O12203" i="1"/>
  <c r="O12207" i="1"/>
  <c r="O12208" i="1"/>
  <c r="O12362" i="1"/>
  <c r="O12198" i="1"/>
  <c r="O12187" i="1"/>
  <c r="O12188" i="1"/>
  <c r="O12174" i="1"/>
  <c r="O12181" i="1"/>
  <c r="O12182" i="1"/>
  <c r="O12178" i="1"/>
  <c r="O12173" i="1"/>
  <c r="O12186" i="1"/>
  <c r="O12169" i="1"/>
  <c r="O12168" i="1"/>
  <c r="O12177" i="1"/>
  <c r="O12176" i="1"/>
  <c r="O12175" i="1"/>
  <c r="O12172" i="1"/>
  <c r="O12180" i="1"/>
  <c r="O12179" i="1"/>
  <c r="O12185" i="1"/>
  <c r="O12184" i="1"/>
  <c r="O12183" i="1"/>
  <c r="O12164" i="1"/>
  <c r="O12167" i="1"/>
  <c r="O12165" i="1"/>
  <c r="O12163" i="1"/>
  <c r="O12162" i="1"/>
  <c r="O12158" i="1"/>
  <c r="O12160" i="1"/>
  <c r="O12159" i="1"/>
  <c r="O12152" i="1"/>
  <c r="O12151" i="1"/>
  <c r="O12150" i="1"/>
  <c r="O12155" i="1"/>
  <c r="O12154" i="1"/>
  <c r="O12157" i="1"/>
  <c r="O12156" i="1"/>
  <c r="O12140" i="1"/>
  <c r="O12145" i="1"/>
  <c r="O12144" i="1"/>
  <c r="O12143" i="1"/>
  <c r="O12290" i="1"/>
  <c r="O12146" i="1"/>
  <c r="O12141" i="1"/>
  <c r="O12136" i="1"/>
  <c r="O12137" i="1"/>
  <c r="O12134" i="1"/>
  <c r="O12133" i="1"/>
  <c r="O12128" i="1"/>
  <c r="O12127" i="1"/>
  <c r="O12126" i="1"/>
  <c r="O12122" i="1"/>
  <c r="O12131" i="1"/>
  <c r="O12125" i="1"/>
  <c r="O12121" i="1"/>
  <c r="O12129" i="1"/>
  <c r="O12120" i="1"/>
  <c r="O12113" i="1"/>
  <c r="O12114" i="1"/>
  <c r="O12115" i="1"/>
  <c r="O12116" i="1"/>
  <c r="O12105" i="1"/>
  <c r="O12104" i="1"/>
  <c r="O12118" i="1"/>
  <c r="O12119" i="1"/>
  <c r="O12112" i="1"/>
  <c r="O12117" i="1"/>
  <c r="O12093" i="1"/>
  <c r="O11974" i="1"/>
  <c r="O12089" i="1"/>
  <c r="O12341" i="1"/>
  <c r="O10742" i="1"/>
  <c r="O12086" i="1"/>
  <c r="O12400" i="1"/>
  <c r="O12080" i="1"/>
  <c r="O12076" i="1"/>
  <c r="O12071" i="1"/>
  <c r="O12051" i="1"/>
  <c r="O12052" i="1"/>
  <c r="O12053" i="1"/>
  <c r="O12054" i="1"/>
  <c r="O12065" i="1"/>
  <c r="O12196" i="1"/>
  <c r="O12228" i="1"/>
  <c r="O12245" i="1"/>
  <c r="O11467" i="1"/>
  <c r="O12241" i="1"/>
  <c r="O12240" i="1"/>
  <c r="O12239" i="1"/>
  <c r="O12248" i="1"/>
  <c r="O12247" i="1"/>
  <c r="O12246" i="1"/>
  <c r="O12251" i="1"/>
  <c r="O12250" i="1"/>
  <c r="O12577" i="1"/>
  <c r="O12358" i="1"/>
  <c r="O11082" i="1"/>
  <c r="O12625" i="1"/>
  <c r="O11860" i="1"/>
  <c r="O12257" i="1"/>
  <c r="O11089" i="1"/>
  <c r="O10776" i="1"/>
  <c r="O12272" i="1"/>
  <c r="O12767" i="1"/>
  <c r="E12767" i="1"/>
  <c r="O12576" i="1"/>
  <c r="E12576" i="1"/>
  <c r="O12417" i="1"/>
  <c r="E12417" i="1"/>
  <c r="O12252" i="1"/>
  <c r="E12252" i="1"/>
  <c r="O11990" i="1"/>
  <c r="F11990" i="1"/>
  <c r="E11990" i="1"/>
  <c r="O11757" i="1"/>
  <c r="F11757" i="1"/>
  <c r="E11757" i="1"/>
  <c r="O11556" i="1"/>
  <c r="F11556" i="1"/>
  <c r="E11556" i="1"/>
  <c r="F11908" i="1"/>
  <c r="F12214" i="1"/>
  <c r="F11627" i="1"/>
  <c r="F11626" i="1"/>
  <c r="F12059" i="1"/>
  <c r="F12066" i="1"/>
  <c r="F12057" i="1"/>
  <c r="F12061" i="1"/>
  <c r="F12060" i="1"/>
  <c r="F12575" i="1"/>
  <c r="F12063" i="1"/>
  <c r="F11726" i="1"/>
  <c r="F12045" i="1"/>
  <c r="F12043" i="1"/>
  <c r="F12046" i="1"/>
  <c r="F12047" i="1"/>
  <c r="F12044" i="1"/>
  <c r="F12042" i="1"/>
  <c r="F10932" i="1"/>
  <c r="F12027" i="1"/>
  <c r="F11764" i="1"/>
  <c r="F12029" i="1"/>
  <c r="F12668" i="1"/>
  <c r="F12056" i="1"/>
  <c r="F12018" i="1"/>
  <c r="F12021" i="1"/>
  <c r="F11859" i="1"/>
  <c r="F12339" i="1"/>
  <c r="F12019" i="1"/>
  <c r="F12667" i="1"/>
  <c r="F12013" i="1"/>
  <c r="F12015" i="1"/>
  <c r="F11936" i="1"/>
  <c r="F10907" i="1"/>
  <c r="F12008" i="1"/>
  <c r="F12002" i="1"/>
  <c r="F12003" i="1"/>
  <c r="F12007" i="1"/>
  <c r="F12004" i="1"/>
  <c r="F12005" i="1"/>
  <c r="F11998" i="1"/>
  <c r="F11997" i="1"/>
  <c r="F11999" i="1"/>
  <c r="F11991" i="1"/>
  <c r="F11996" i="1"/>
  <c r="F11992" i="1"/>
  <c r="F11989" i="1"/>
  <c r="F11986" i="1"/>
  <c r="F11376" i="1"/>
  <c r="F11985" i="1"/>
  <c r="F11978" i="1"/>
  <c r="F11977" i="1"/>
  <c r="F11976" i="1"/>
  <c r="F11982" i="1"/>
  <c r="F11980" i="1"/>
  <c r="F11984" i="1"/>
  <c r="F11973" i="1"/>
  <c r="F11972" i="1"/>
  <c r="F11965" i="1"/>
  <c r="F11967" i="1"/>
  <c r="F11968" i="1"/>
  <c r="F11971" i="1"/>
  <c r="F11969" i="1"/>
  <c r="F11964" i="1"/>
  <c r="F11970" i="1"/>
  <c r="F11958" i="1"/>
  <c r="F11961" i="1"/>
  <c r="F11960" i="1"/>
  <c r="F11957" i="1"/>
  <c r="F11962" i="1"/>
  <c r="F11950" i="1"/>
  <c r="F11956" i="1"/>
  <c r="F11953" i="1"/>
  <c r="F12647" i="1"/>
  <c r="F12041" i="1"/>
  <c r="F11952" i="1"/>
  <c r="F11941" i="1"/>
  <c r="F12350" i="1"/>
  <c r="F12014" i="1"/>
  <c r="F12607" i="1"/>
  <c r="F11648" i="1"/>
  <c r="F11939" i="1"/>
  <c r="F12595" i="1"/>
  <c r="F11930" i="1"/>
  <c r="F11917" i="1"/>
  <c r="F11918" i="1"/>
  <c r="F11913" i="1"/>
  <c r="F11914" i="1"/>
  <c r="F11915" i="1"/>
  <c r="F11916" i="1"/>
  <c r="F11920" i="1"/>
  <c r="F11919" i="1"/>
  <c r="F11912" i="1"/>
  <c r="F11907" i="1"/>
  <c r="F11905" i="1"/>
  <c r="F11911" i="1"/>
  <c r="F11904" i="1"/>
  <c r="F11902" i="1"/>
  <c r="F11900" i="1"/>
  <c r="F12660" i="1"/>
  <c r="F11901" i="1"/>
  <c r="F11899" i="1"/>
  <c r="F11898" i="1"/>
  <c r="F11896" i="1"/>
  <c r="F11892" i="1"/>
  <c r="F11891" i="1"/>
  <c r="F11895" i="1"/>
  <c r="F11893" i="1"/>
  <c r="F11894" i="1"/>
  <c r="F11890" i="1"/>
  <c r="F11897" i="1"/>
  <c r="F11883" i="1"/>
  <c r="F11884" i="1"/>
  <c r="F11885" i="1"/>
  <c r="F11889" i="1"/>
  <c r="F11886" i="1"/>
  <c r="F11878" i="1"/>
  <c r="F11876" i="1"/>
  <c r="F11879" i="1"/>
  <c r="F11880" i="1"/>
  <c r="F11881" i="1"/>
  <c r="F11877" i="1"/>
  <c r="F11882" i="1"/>
  <c r="F11869" i="1"/>
  <c r="F11870" i="1"/>
  <c r="F11875" i="1"/>
  <c r="F11857" i="1"/>
  <c r="F11861" i="1"/>
  <c r="F11863" i="1"/>
  <c r="F11862" i="1"/>
  <c r="F11855" i="1"/>
  <c r="F10891" i="1"/>
  <c r="F11856" i="1"/>
  <c r="F11854" i="1"/>
  <c r="F12337" i="1"/>
  <c r="F11858" i="1"/>
  <c r="F12565" i="1"/>
  <c r="F11851" i="1"/>
  <c r="F12570" i="1"/>
  <c r="F11849" i="1"/>
  <c r="F11848" i="1"/>
  <c r="F11846" i="1"/>
  <c r="F11843" i="1"/>
  <c r="F11841" i="1"/>
  <c r="F11842" i="1"/>
  <c r="F11840" i="1"/>
  <c r="F11836" i="1"/>
  <c r="F11839" i="1"/>
  <c r="F11835" i="1"/>
  <c r="F11833" i="1"/>
  <c r="F11834" i="1"/>
  <c r="F11828" i="1"/>
  <c r="F11373" i="1"/>
  <c r="F11830" i="1"/>
  <c r="F11831" i="1"/>
  <c r="F11825" i="1"/>
  <c r="F11719" i="1"/>
  <c r="F11814" i="1"/>
  <c r="F12039" i="1"/>
  <c r="F11808" i="1"/>
  <c r="F11809" i="1"/>
  <c r="F11810" i="1"/>
  <c r="F11853" i="1"/>
  <c r="F11963" i="1"/>
  <c r="F11815" i="1"/>
  <c r="F11816" i="1"/>
  <c r="F11803" i="1"/>
  <c r="F11804" i="1"/>
  <c r="F12594" i="1"/>
  <c r="F11798" i="1"/>
  <c r="F11829" i="1"/>
  <c r="F11801" i="1"/>
  <c r="F11795" i="1"/>
  <c r="F11802" i="1"/>
  <c r="F11791" i="1"/>
  <c r="F11792" i="1"/>
  <c r="F11790" i="1"/>
  <c r="F11782" i="1"/>
  <c r="F11789" i="1"/>
  <c r="F11785" i="1"/>
  <c r="F12322" i="1"/>
  <c r="F11959" i="1"/>
  <c r="F11781" i="1"/>
  <c r="F11788" i="1"/>
  <c r="F11780" i="1"/>
  <c r="F11703" i="1"/>
  <c r="F11955" i="1"/>
  <c r="F11772" i="1"/>
  <c r="F12308" i="1"/>
  <c r="F11773" i="1"/>
  <c r="F11640" i="1"/>
  <c r="F11769" i="1"/>
  <c r="F11696" i="1"/>
  <c r="F11820" i="1"/>
  <c r="F11771" i="1"/>
  <c r="F11760" i="1"/>
  <c r="F11636" i="1"/>
  <c r="F11755" i="1"/>
  <c r="F11754" i="1"/>
  <c r="F11752" i="1"/>
  <c r="F11753" i="1"/>
  <c r="F11748" i="1"/>
  <c r="F11745" i="1"/>
  <c r="F11746" i="1"/>
  <c r="F11744" i="1"/>
  <c r="F11741" i="1"/>
  <c r="F11738" i="1"/>
  <c r="F11736" i="1"/>
  <c r="F11731" i="1"/>
  <c r="F11727" i="1"/>
  <c r="F11730" i="1"/>
  <c r="F11723" i="1"/>
  <c r="F11715" i="1"/>
  <c r="F11763" i="1"/>
  <c r="F11811" i="1"/>
  <c r="F11721" i="1"/>
  <c r="F11714" i="1"/>
  <c r="F11711" i="1"/>
  <c r="F11706" i="1"/>
  <c r="F11704" i="1"/>
  <c r="F10890" i="1"/>
  <c r="F11702" i="1"/>
  <c r="F11697" i="1"/>
  <c r="F12336" i="1"/>
  <c r="F11695" i="1"/>
  <c r="F11693" i="1"/>
  <c r="F11689" i="1"/>
  <c r="F11692" i="1"/>
  <c r="F11687" i="1"/>
  <c r="F11694" i="1"/>
  <c r="F11690" i="1"/>
  <c r="F11686" i="1"/>
  <c r="F11683" i="1"/>
  <c r="F11685" i="1"/>
  <c r="F11678" i="1"/>
  <c r="F11679" i="1"/>
  <c r="F11680" i="1"/>
  <c r="F11684" i="1"/>
  <c r="F11681" i="1"/>
  <c r="F11682" i="1"/>
  <c r="F11673" i="1"/>
  <c r="F11675" i="1"/>
  <c r="F11671" i="1"/>
  <c r="F11672" i="1"/>
  <c r="F11670" i="1"/>
  <c r="F11674" i="1"/>
  <c r="F11667" i="1"/>
  <c r="F11668" i="1"/>
  <c r="F11659" i="1"/>
  <c r="F12652" i="1"/>
  <c r="F11653" i="1"/>
  <c r="F11655" i="1"/>
  <c r="F11656" i="1"/>
  <c r="F11654" i="1"/>
  <c r="F11646" i="1"/>
  <c r="F11649" i="1"/>
  <c r="F11987" i="1"/>
  <c r="F11651" i="1"/>
  <c r="F11650" i="1"/>
  <c r="F11647" i="1"/>
  <c r="F11642" i="1"/>
  <c r="F11644" i="1"/>
  <c r="F11635" i="1"/>
  <c r="F11768" i="1"/>
  <c r="F12616" i="1"/>
  <c r="F12564" i="1"/>
  <c r="F11641" i="1"/>
  <c r="F11634" i="1"/>
  <c r="F11629" i="1"/>
  <c r="F11632" i="1"/>
  <c r="F11630" i="1"/>
  <c r="F11368" i="1"/>
  <c r="F11354" i="1"/>
  <c r="F11365" i="1"/>
  <c r="F11366" i="1"/>
  <c r="F12347" i="1"/>
  <c r="F11619" i="1"/>
  <c r="F12345" i="1"/>
  <c r="F11620" i="1"/>
  <c r="F11618" i="1"/>
  <c r="F11616" i="1"/>
  <c r="F11610" i="1"/>
  <c r="F11606" i="1"/>
  <c r="F11603" i="1"/>
  <c r="F11601" i="1"/>
  <c r="F11598" i="1"/>
  <c r="F11590" i="1"/>
  <c r="F11578" i="1"/>
  <c r="F11579" i="1"/>
  <c r="F11585" i="1"/>
  <c r="F11586" i="1"/>
  <c r="F11581" i="1"/>
  <c r="F11582" i="1"/>
  <c r="F11583" i="1"/>
  <c r="F11575" i="1"/>
  <c r="F11576" i="1"/>
  <c r="F11577" i="1"/>
  <c r="F11572" i="1"/>
  <c r="F11573" i="1"/>
  <c r="F11568" i="1"/>
  <c r="F11565" i="1"/>
  <c r="F11564" i="1"/>
  <c r="F12306" i="1"/>
  <c r="F11778" i="1"/>
  <c r="F11784" i="1"/>
  <c r="F11560" i="1"/>
  <c r="F12638" i="1"/>
  <c r="F11558" i="1"/>
  <c r="F11554" i="1"/>
  <c r="F12038" i="1"/>
  <c r="F11557" i="1"/>
  <c r="F11544" i="1"/>
  <c r="F11548" i="1"/>
  <c r="F12348" i="1"/>
  <c r="F11550" i="1"/>
  <c r="F11750" i="1"/>
  <c r="F12314" i="1"/>
  <c r="F10899" i="1"/>
  <c r="F11543" i="1"/>
  <c r="F11540" i="1"/>
  <c r="F11531" i="1"/>
  <c r="F11533" i="1"/>
  <c r="F11536" i="1"/>
  <c r="F11530" i="1"/>
  <c r="F11526" i="1"/>
  <c r="F12064" i="1"/>
  <c r="F12048" i="1"/>
  <c r="F12049" i="1"/>
  <c r="F12050" i="1"/>
  <c r="F12062" i="1"/>
  <c r="F12036" i="1"/>
  <c r="F12037" i="1"/>
  <c r="F11181" i="1"/>
  <c r="F12017" i="1"/>
  <c r="F12012" i="1"/>
  <c r="F12009" i="1"/>
  <c r="F12010" i="1"/>
  <c r="F12011" i="1"/>
  <c r="F12000" i="1"/>
  <c r="F12001" i="1"/>
  <c r="F12006" i="1"/>
  <c r="F11994" i="1"/>
  <c r="F11975" i="1"/>
  <c r="F11966" i="1"/>
  <c r="F11180" i="1"/>
  <c r="F11949" i="1"/>
  <c r="F11954" i="1"/>
  <c r="F11937" i="1"/>
  <c r="F11938" i="1"/>
  <c r="F11948" i="1"/>
  <c r="F11926" i="1"/>
  <c r="F11933" i="1"/>
  <c r="F11934" i="1"/>
  <c r="F11922" i="1"/>
  <c r="F11923" i="1"/>
  <c r="F11924" i="1"/>
  <c r="F11925" i="1"/>
  <c r="F11906" i="1"/>
  <c r="F11865" i="1"/>
  <c r="F11872" i="1"/>
  <c r="F11866" i="1"/>
  <c r="F11867" i="1"/>
  <c r="F11868" i="1"/>
  <c r="F11844" i="1"/>
  <c r="F11838" i="1"/>
  <c r="F11837" i="1"/>
  <c r="F11818" i="1"/>
  <c r="F11817" i="1"/>
  <c r="F11793" i="1"/>
  <c r="F11794" i="1"/>
  <c r="F11799" i="1"/>
  <c r="F12640" i="1"/>
  <c r="F11783" i="1"/>
  <c r="F11777" i="1"/>
  <c r="F11779" i="1"/>
  <c r="F11775" i="1"/>
  <c r="F11761" i="1"/>
  <c r="F11765" i="1"/>
  <c r="F11759" i="1"/>
  <c r="F11743" i="1"/>
  <c r="F11737" i="1"/>
  <c r="F11732" i="1"/>
  <c r="F11733" i="1"/>
  <c r="F11728" i="1"/>
  <c r="F11178" i="1"/>
  <c r="F11691" i="1"/>
  <c r="F11688" i="1"/>
  <c r="F11676" i="1"/>
  <c r="F11669" i="1"/>
  <c r="F11658" i="1"/>
  <c r="F11662" i="1"/>
  <c r="F11663" i="1"/>
  <c r="F11652" i="1"/>
  <c r="F11643" i="1"/>
  <c r="F11633" i="1"/>
  <c r="F11623" i="1"/>
  <c r="F11624" i="1"/>
  <c r="F11617" i="1"/>
  <c r="F11612" i="1"/>
  <c r="F11611" i="1"/>
  <c r="F11609" i="1"/>
  <c r="F11614" i="1"/>
  <c r="F11162" i="1"/>
  <c r="F11605" i="1"/>
  <c r="F11602" i="1"/>
  <c r="F11592" i="1"/>
  <c r="F11599" i="1"/>
  <c r="F11593" i="1"/>
  <c r="F11595" i="1"/>
  <c r="F11594" i="1"/>
  <c r="F11597" i="1"/>
  <c r="F11600" i="1"/>
  <c r="F11596" i="1"/>
  <c r="F11589" i="1"/>
  <c r="F11591" i="1"/>
  <c r="F11587" i="1"/>
  <c r="F11580" i="1"/>
  <c r="F11574" i="1"/>
  <c r="F11588" i="1"/>
  <c r="F11584" i="1"/>
  <c r="F11571" i="1"/>
  <c r="F11570" i="1"/>
  <c r="F11542" i="1"/>
  <c r="F11541" i="1"/>
  <c r="F11535" i="1"/>
  <c r="F11529" i="1"/>
  <c r="F11528" i="1"/>
  <c r="F11527" i="1"/>
  <c r="F12055" i="1"/>
  <c r="F11030" i="1"/>
  <c r="F12224" i="1"/>
  <c r="F12673" i="1"/>
  <c r="F12040" i="1"/>
  <c r="F12028" i="1"/>
  <c r="F12833" i="1"/>
  <c r="F12031" i="1"/>
  <c r="F12026" i="1"/>
  <c r="F12022" i="1"/>
  <c r="F12023" i="1"/>
  <c r="F11993" i="1"/>
  <c r="F11995" i="1"/>
  <c r="F11988" i="1"/>
  <c r="F11979" i="1"/>
  <c r="F11981" i="1"/>
  <c r="F11983" i="1"/>
  <c r="F12831" i="1"/>
  <c r="F11940" i="1"/>
  <c r="F11944" i="1"/>
  <c r="F11946" i="1"/>
  <c r="F11929" i="1"/>
  <c r="F11928" i="1"/>
  <c r="F12689" i="1"/>
  <c r="F11927" i="1"/>
  <c r="F11935" i="1"/>
  <c r="F11931" i="1"/>
  <c r="F11921" i="1"/>
  <c r="F11909" i="1"/>
  <c r="F11910" i="1"/>
  <c r="F12542" i="1"/>
  <c r="F11888" i="1"/>
  <c r="F11871" i="1"/>
  <c r="F11874" i="1"/>
  <c r="F11873" i="1"/>
  <c r="F11864" i="1"/>
  <c r="F11850" i="1"/>
  <c r="F4594" i="1"/>
  <c r="F11847" i="1"/>
  <c r="F11832" i="1"/>
  <c r="F11824" i="1"/>
  <c r="F11827" i="1"/>
  <c r="F11826" i="1"/>
  <c r="F12211" i="1"/>
  <c r="F11823" i="1"/>
  <c r="F11822" i="1"/>
  <c r="F11821" i="1"/>
  <c r="F11805" i="1"/>
  <c r="F11806" i="1"/>
  <c r="F11800" i="1"/>
  <c r="F11028" i="1"/>
  <c r="F11766" i="1"/>
  <c r="F11776" i="1"/>
  <c r="F11770" i="1"/>
  <c r="F11774" i="1"/>
  <c r="F12690" i="1"/>
  <c r="F11749" i="1"/>
  <c r="F11751" i="1"/>
  <c r="F11026" i="1"/>
  <c r="F11747" i="1"/>
  <c r="F11740" i="1"/>
  <c r="F11742" i="1"/>
  <c r="F11739" i="1"/>
  <c r="F11735" i="1"/>
  <c r="F11734" i="1"/>
  <c r="F12202" i="1"/>
  <c r="F12303" i="1"/>
  <c r="F11725" i="1"/>
  <c r="F11729" i="1"/>
  <c r="F12823" i="1"/>
  <c r="F11720" i="1"/>
  <c r="F11717" i="1"/>
  <c r="F11709" i="1"/>
  <c r="F3756" i="1"/>
  <c r="F11708" i="1"/>
  <c r="F12537" i="1"/>
  <c r="F11713" i="1"/>
  <c r="F11707" i="1"/>
  <c r="F11712" i="1"/>
  <c r="F11701" i="1"/>
  <c r="F11698" i="1"/>
  <c r="F11699" i="1"/>
  <c r="F11700" i="1"/>
  <c r="F11677" i="1"/>
  <c r="F11657" i="1"/>
  <c r="F12715" i="1"/>
  <c r="F11660" i="1"/>
  <c r="F11665" i="1"/>
  <c r="F11661" i="1"/>
  <c r="F11645" i="1"/>
  <c r="F11637" i="1"/>
  <c r="F11638" i="1"/>
  <c r="F11621" i="1"/>
  <c r="F11613" i="1"/>
  <c r="F11615" i="1"/>
  <c r="F12822" i="1"/>
  <c r="F11607" i="1"/>
  <c r="F12148" i="1"/>
  <c r="F11567" i="1"/>
  <c r="F11555" i="1"/>
  <c r="F11562" i="1"/>
  <c r="F11553" i="1"/>
  <c r="F11552" i="1"/>
  <c r="F11532" i="1"/>
  <c r="F11539" i="1"/>
  <c r="F11534" i="1"/>
  <c r="F11537" i="1"/>
  <c r="F11538" i="1"/>
  <c r="O10893" i="1"/>
  <c r="O12269" i="1"/>
  <c r="O12266" i="1"/>
  <c r="O12268" i="1"/>
  <c r="O12243" i="1"/>
  <c r="O12244" i="1"/>
  <c r="O12238" i="1"/>
  <c r="O12232" i="1"/>
  <c r="O12230" i="1"/>
  <c r="O12171" i="1"/>
  <c r="O12170" i="1"/>
  <c r="O12153" i="1"/>
  <c r="O12161" i="1"/>
  <c r="O12147" i="1"/>
  <c r="O12149" i="1"/>
  <c r="O12138" i="1"/>
  <c r="O12557" i="1"/>
  <c r="O12124" i="1"/>
  <c r="O12717" i="1"/>
  <c r="O12101" i="1"/>
  <c r="O12094" i="1"/>
  <c r="O11061" i="1"/>
  <c r="O12082" i="1"/>
  <c r="O12075" i="1"/>
  <c r="O12074" i="1"/>
  <c r="O12055" i="1"/>
  <c r="O11030" i="1"/>
  <c r="O12224" i="1"/>
  <c r="O12673" i="1"/>
  <c r="O12040" i="1"/>
  <c r="O12028" i="1"/>
  <c r="O12833" i="1"/>
  <c r="O12031" i="1"/>
  <c r="O12026" i="1"/>
  <c r="O12022" i="1"/>
  <c r="O12023" i="1"/>
  <c r="O11993" i="1"/>
  <c r="O11995" i="1"/>
  <c r="O11988" i="1"/>
  <c r="O11979" i="1"/>
  <c r="O11981" i="1"/>
  <c r="O11983" i="1"/>
  <c r="O12214" i="1"/>
  <c r="O12831" i="1"/>
  <c r="O11940" i="1"/>
  <c r="O11944" i="1"/>
  <c r="O11946" i="1"/>
  <c r="O11929" i="1"/>
  <c r="O11928" i="1"/>
  <c r="O12689" i="1"/>
  <c r="O11927" i="1"/>
  <c r="O11935" i="1"/>
  <c r="O11931" i="1"/>
  <c r="O11921" i="1"/>
  <c r="O11908" i="1"/>
  <c r="O11909" i="1"/>
  <c r="O11910" i="1"/>
  <c r="O12542" i="1"/>
  <c r="O11888" i="1"/>
  <c r="O11871" i="1"/>
  <c r="O11874" i="1"/>
  <c r="O11873" i="1"/>
  <c r="O11864" i="1"/>
  <c r="O11850" i="1"/>
  <c r="O4594" i="1"/>
  <c r="O11847" i="1"/>
  <c r="O11832" i="1"/>
  <c r="O11824" i="1"/>
  <c r="O11827" i="1"/>
  <c r="O11826" i="1"/>
  <c r="O12211" i="1"/>
  <c r="O11823" i="1"/>
  <c r="O11822" i="1"/>
  <c r="O11821" i="1"/>
  <c r="O11805" i="1"/>
  <c r="O11806" i="1"/>
  <c r="O11800" i="1"/>
  <c r="O11028" i="1"/>
  <c r="O11766" i="1"/>
  <c r="O11776" i="1"/>
  <c r="O11770" i="1"/>
  <c r="O11774" i="1"/>
  <c r="O12690" i="1"/>
  <c r="O11749" i="1"/>
  <c r="O11751" i="1"/>
  <c r="O11026" i="1"/>
  <c r="O11747" i="1"/>
  <c r="O11740" i="1"/>
  <c r="O11742" i="1"/>
  <c r="O11739" i="1"/>
  <c r="O11735" i="1"/>
  <c r="O11734" i="1"/>
  <c r="O12202" i="1"/>
  <c r="O12303" i="1"/>
  <c r="O11725" i="1"/>
  <c r="O11729" i="1"/>
  <c r="O12823" i="1"/>
  <c r="O11720" i="1"/>
  <c r="O11717" i="1"/>
  <c r="O11709" i="1"/>
  <c r="O3756" i="1"/>
  <c r="O11708" i="1"/>
  <c r="O12537" i="1"/>
  <c r="O11713" i="1"/>
  <c r="O11707" i="1"/>
  <c r="O11712" i="1"/>
  <c r="O11701" i="1"/>
  <c r="O11698" i="1"/>
  <c r="O11699" i="1"/>
  <c r="O11700" i="1"/>
  <c r="O11677" i="1"/>
  <c r="O11657" i="1"/>
  <c r="O12715" i="1"/>
  <c r="O11660" i="1"/>
  <c r="O11665" i="1"/>
  <c r="O11661" i="1"/>
  <c r="O11645" i="1"/>
  <c r="O11637" i="1"/>
  <c r="O11638" i="1"/>
  <c r="O11621" i="1"/>
  <c r="O11613" i="1"/>
  <c r="O11615" i="1"/>
  <c r="O12822" i="1"/>
  <c r="O11607" i="1"/>
  <c r="O12148" i="1"/>
  <c r="O11567" i="1"/>
  <c r="O11555" i="1"/>
  <c r="O11562" i="1"/>
  <c r="O11553" i="1"/>
  <c r="O11552" i="1"/>
  <c r="O11532" i="1"/>
  <c r="O11539" i="1"/>
  <c r="O11534" i="1"/>
  <c r="O11537" i="1"/>
  <c r="O11538" i="1"/>
  <c r="O12064" i="1"/>
  <c r="O12048" i="1"/>
  <c r="O12049" i="1"/>
  <c r="O12050" i="1"/>
  <c r="O12062" i="1"/>
  <c r="O12036" i="1"/>
  <c r="O12037" i="1"/>
  <c r="O11181" i="1"/>
  <c r="O12017" i="1"/>
  <c r="O12012" i="1"/>
  <c r="O12009" i="1"/>
  <c r="O12010" i="1"/>
  <c r="O12011" i="1"/>
  <c r="O12000" i="1"/>
  <c r="O12001" i="1"/>
  <c r="O12006" i="1"/>
  <c r="O11994" i="1"/>
  <c r="O11975" i="1"/>
  <c r="O11966" i="1"/>
  <c r="O11180" i="1"/>
  <c r="O11949" i="1"/>
  <c r="O11954" i="1"/>
  <c r="O11937" i="1"/>
  <c r="O11938" i="1"/>
  <c r="O11948" i="1"/>
  <c r="O11926" i="1"/>
  <c r="O11933" i="1"/>
  <c r="O11934" i="1"/>
  <c r="O11922" i="1"/>
  <c r="O11923" i="1"/>
  <c r="O11924" i="1"/>
  <c r="O11925" i="1"/>
  <c r="O11906" i="1"/>
  <c r="O11865" i="1"/>
  <c r="O11872" i="1"/>
  <c r="O11866" i="1"/>
  <c r="O11867" i="1"/>
  <c r="O11868" i="1"/>
  <c r="O11844" i="1"/>
  <c r="O11838" i="1"/>
  <c r="O11837" i="1"/>
  <c r="O11818" i="1"/>
  <c r="O11817" i="1"/>
  <c r="O11793" i="1"/>
  <c r="O11794" i="1"/>
  <c r="O11799" i="1"/>
  <c r="O12640" i="1"/>
  <c r="O11783" i="1"/>
  <c r="O11777" i="1"/>
  <c r="O11779" i="1"/>
  <c r="O11775" i="1"/>
  <c r="O11761" i="1"/>
  <c r="O11765" i="1"/>
  <c r="O11759" i="1"/>
  <c r="O11743" i="1"/>
  <c r="O11737" i="1"/>
  <c r="O11732" i="1"/>
  <c r="O11733" i="1"/>
  <c r="O11728" i="1"/>
  <c r="O11178" i="1"/>
  <c r="O11691" i="1"/>
  <c r="O11688" i="1"/>
  <c r="O11676" i="1"/>
  <c r="O11669" i="1"/>
  <c r="O11658" i="1"/>
  <c r="O11662" i="1"/>
  <c r="O11663" i="1"/>
  <c r="O11652" i="1"/>
  <c r="O11643" i="1"/>
  <c r="O11633" i="1"/>
  <c r="O11623" i="1"/>
  <c r="O11624" i="1"/>
  <c r="O11617" i="1"/>
  <c r="O11612" i="1"/>
  <c r="O11611" i="1"/>
  <c r="O11609" i="1"/>
  <c r="O11614" i="1"/>
  <c r="O11162" i="1"/>
  <c r="O11605" i="1"/>
  <c r="O11602" i="1"/>
  <c r="O11592" i="1"/>
  <c r="O11599" i="1"/>
  <c r="O11593" i="1"/>
  <c r="O11595" i="1"/>
  <c r="O11594" i="1"/>
  <c r="O11597" i="1"/>
  <c r="O11600" i="1"/>
  <c r="O11596" i="1"/>
  <c r="O11589" i="1"/>
  <c r="O11591" i="1"/>
  <c r="O11587" i="1"/>
  <c r="O11580" i="1"/>
  <c r="O11574" i="1"/>
  <c r="O11588" i="1"/>
  <c r="O11584" i="1"/>
  <c r="O11571" i="1"/>
  <c r="O11570" i="1"/>
  <c r="O11542" i="1"/>
  <c r="O11541" i="1"/>
  <c r="O11535" i="1"/>
  <c r="O11529" i="1"/>
  <c r="O11528" i="1"/>
  <c r="O11527" i="1"/>
  <c r="O11526" i="1"/>
  <c r="O11530" i="1"/>
  <c r="O11536" i="1"/>
  <c r="O11533" i="1"/>
  <c r="O11531" i="1"/>
  <c r="O11540" i="1"/>
  <c r="O11543" i="1"/>
  <c r="O10899" i="1"/>
  <c r="O12314" i="1"/>
  <c r="O11750" i="1"/>
  <c r="O11550" i="1"/>
  <c r="O12348" i="1"/>
  <c r="O11548" i="1"/>
  <c r="O11544" i="1"/>
  <c r="O11557" i="1"/>
  <c r="O12038" i="1"/>
  <c r="O11554" i="1"/>
  <c r="O11558" i="1"/>
  <c r="O12638" i="1"/>
  <c r="O11560" i="1"/>
  <c r="O11784" i="1"/>
  <c r="O11778" i="1"/>
  <c r="O12306" i="1"/>
  <c r="O11564" i="1"/>
  <c r="O11565" i="1"/>
  <c r="O11568" i="1"/>
  <c r="O11573" i="1"/>
  <c r="O11572" i="1"/>
  <c r="O11577" i="1"/>
  <c r="O11576" i="1"/>
  <c r="O11575" i="1"/>
  <c r="O11583" i="1"/>
  <c r="O11582" i="1"/>
  <c r="O11581" i="1"/>
  <c r="O11586" i="1"/>
  <c r="O11585" i="1"/>
  <c r="O11579" i="1"/>
  <c r="O11578" i="1"/>
  <c r="O11590" i="1"/>
  <c r="O11598" i="1"/>
  <c r="O11601" i="1"/>
  <c r="O11603" i="1"/>
  <c r="O11606" i="1"/>
  <c r="O11610" i="1"/>
  <c r="O11616" i="1"/>
  <c r="O11618" i="1"/>
  <c r="O11620" i="1"/>
  <c r="O12345" i="1"/>
  <c r="O11619" i="1"/>
  <c r="O12347" i="1"/>
  <c r="O11366" i="1"/>
  <c r="O11365" i="1"/>
  <c r="O11354" i="1"/>
  <c r="O11368" i="1"/>
  <c r="O11630" i="1"/>
  <c r="O11632" i="1"/>
  <c r="O11629" i="1"/>
  <c r="O11634" i="1"/>
  <c r="O11641" i="1"/>
  <c r="O12564" i="1"/>
  <c r="O12616" i="1"/>
  <c r="O11768" i="1"/>
  <c r="O11635" i="1"/>
  <c r="O11644" i="1"/>
  <c r="O11642" i="1"/>
  <c r="O11647" i="1"/>
  <c r="O11650" i="1"/>
  <c r="O11651" i="1"/>
  <c r="O11987" i="1"/>
  <c r="O11649" i="1"/>
  <c r="O11646" i="1"/>
  <c r="O11654" i="1"/>
  <c r="O11656" i="1"/>
  <c r="O11655" i="1"/>
  <c r="O11653" i="1"/>
  <c r="O12652" i="1"/>
  <c r="O11659" i="1"/>
  <c r="O11668" i="1"/>
  <c r="O11667" i="1"/>
  <c r="O11674" i="1"/>
  <c r="O11670" i="1"/>
  <c r="O11672" i="1"/>
  <c r="O11671" i="1"/>
  <c r="O11675" i="1"/>
  <c r="O11673" i="1"/>
  <c r="O11682" i="1"/>
  <c r="O11681" i="1"/>
  <c r="O11684" i="1"/>
  <c r="O11680" i="1"/>
  <c r="O11679" i="1"/>
  <c r="O11678" i="1"/>
  <c r="O11685" i="1"/>
  <c r="O11683" i="1"/>
  <c r="O11686" i="1"/>
  <c r="O11690" i="1"/>
  <c r="O11694" i="1"/>
  <c r="O11687" i="1"/>
  <c r="O11692" i="1"/>
  <c r="O11689" i="1"/>
  <c r="O11693" i="1"/>
  <c r="O11695" i="1"/>
  <c r="O12336" i="1"/>
  <c r="O11697" i="1"/>
  <c r="O11702" i="1"/>
  <c r="O10890" i="1"/>
  <c r="O11704" i="1"/>
  <c r="O11706" i="1"/>
  <c r="O11711" i="1"/>
  <c r="O11714" i="1"/>
  <c r="O11721" i="1"/>
  <c r="O11811" i="1"/>
  <c r="O11763" i="1"/>
  <c r="O11715" i="1"/>
  <c r="O11723" i="1"/>
  <c r="O11730" i="1"/>
  <c r="O11727" i="1"/>
  <c r="O11731" i="1"/>
  <c r="O11736" i="1"/>
  <c r="O11738" i="1"/>
  <c r="O11741" i="1"/>
  <c r="O11744" i="1"/>
  <c r="O11746" i="1"/>
  <c r="O11745" i="1"/>
  <c r="O11748" i="1"/>
  <c r="O11753" i="1"/>
  <c r="O11752" i="1"/>
  <c r="O11754" i="1"/>
  <c r="O11755" i="1"/>
  <c r="O11636" i="1"/>
  <c r="O11760" i="1"/>
  <c r="O11771" i="1"/>
  <c r="O11820" i="1"/>
  <c r="O11696" i="1"/>
  <c r="O11769" i="1"/>
  <c r="O11640" i="1"/>
  <c r="O11773" i="1"/>
  <c r="O12308" i="1"/>
  <c r="O11772" i="1"/>
  <c r="O11955" i="1"/>
  <c r="O11703" i="1"/>
  <c r="O11780" i="1"/>
  <c r="O11788" i="1"/>
  <c r="O11781" i="1"/>
  <c r="O11959" i="1"/>
  <c r="O12322" i="1"/>
  <c r="O11785" i="1"/>
  <c r="O11789" i="1"/>
  <c r="O11782" i="1"/>
  <c r="O11790" i="1"/>
  <c r="O11792" i="1"/>
  <c r="O11791" i="1"/>
  <c r="O11802" i="1"/>
  <c r="O11795" i="1"/>
  <c r="O11801" i="1"/>
  <c r="O11829" i="1"/>
  <c r="O11798" i="1"/>
  <c r="O12594" i="1"/>
  <c r="O11804" i="1"/>
  <c r="O11803" i="1"/>
  <c r="O11816" i="1"/>
  <c r="O11815" i="1"/>
  <c r="O11963" i="1"/>
  <c r="O11853" i="1"/>
  <c r="O11810" i="1"/>
  <c r="O11809" i="1"/>
  <c r="O11808" i="1"/>
  <c r="O12039" i="1"/>
  <c r="O11814" i="1"/>
  <c r="O11719" i="1"/>
  <c r="O11825" i="1"/>
  <c r="O11831" i="1"/>
  <c r="O11830" i="1"/>
  <c r="O11373" i="1"/>
  <c r="O11828" i="1"/>
  <c r="O11834" i="1"/>
  <c r="O11833" i="1"/>
  <c r="O11835" i="1"/>
  <c r="O11839" i="1"/>
  <c r="O11836" i="1"/>
  <c r="O11840" i="1"/>
  <c r="O11842" i="1"/>
  <c r="O11841" i="1"/>
  <c r="O11843" i="1"/>
  <c r="O11846" i="1"/>
  <c r="O11848" i="1"/>
  <c r="O11849" i="1"/>
  <c r="O12570" i="1"/>
  <c r="O11851" i="1"/>
  <c r="O12565" i="1"/>
  <c r="O11858" i="1"/>
  <c r="O12337" i="1"/>
  <c r="O11854" i="1"/>
  <c r="O11856" i="1"/>
  <c r="O10891" i="1"/>
  <c r="O11855" i="1"/>
  <c r="O11862" i="1"/>
  <c r="O11863" i="1"/>
  <c r="O11861" i="1"/>
  <c r="O11857" i="1"/>
  <c r="O11875" i="1"/>
  <c r="O11870" i="1"/>
  <c r="O11869" i="1"/>
  <c r="O11882" i="1"/>
  <c r="O11877" i="1"/>
  <c r="O11881" i="1"/>
  <c r="O11880" i="1"/>
  <c r="O11879" i="1"/>
  <c r="O11876" i="1"/>
  <c r="O11878" i="1"/>
  <c r="O11886" i="1"/>
  <c r="O11889" i="1"/>
  <c r="O11885" i="1"/>
  <c r="O11884" i="1"/>
  <c r="O11883" i="1"/>
  <c r="O11897" i="1"/>
  <c r="O11890" i="1"/>
  <c r="O11894" i="1"/>
  <c r="O11893" i="1"/>
  <c r="O11895" i="1"/>
  <c r="O11891" i="1"/>
  <c r="O11892" i="1"/>
  <c r="O11896" i="1"/>
  <c r="O11898" i="1"/>
  <c r="O11899" i="1"/>
  <c r="O11901" i="1"/>
  <c r="O12660" i="1"/>
  <c r="O11900" i="1"/>
  <c r="O11902" i="1"/>
  <c r="O11904" i="1"/>
  <c r="O11911" i="1"/>
  <c r="O11905" i="1"/>
  <c r="O11907" i="1"/>
  <c r="O11912" i="1"/>
  <c r="O11919" i="1"/>
  <c r="O11920" i="1"/>
  <c r="O11916" i="1"/>
  <c r="O11915" i="1"/>
  <c r="O11914" i="1"/>
  <c r="O11913" i="1"/>
  <c r="O11918" i="1"/>
  <c r="O11917" i="1"/>
  <c r="O11930" i="1"/>
  <c r="O12595" i="1"/>
  <c r="O11939" i="1"/>
  <c r="O11648" i="1"/>
  <c r="O12607" i="1"/>
  <c r="O12014" i="1"/>
  <c r="O12350" i="1"/>
  <c r="O11941" i="1"/>
  <c r="O11952" i="1"/>
  <c r="O12041" i="1"/>
  <c r="O12647" i="1"/>
  <c r="O11953" i="1"/>
  <c r="O11956" i="1"/>
  <c r="O11950" i="1"/>
  <c r="O11962" i="1"/>
  <c r="O11957" i="1"/>
  <c r="O11960" i="1"/>
  <c r="O11961" i="1"/>
  <c r="O11958" i="1"/>
  <c r="O11970" i="1"/>
  <c r="O11964" i="1"/>
  <c r="O11969" i="1"/>
  <c r="O11971" i="1"/>
  <c r="O11968" i="1"/>
  <c r="O11967" i="1"/>
  <c r="O11965" i="1"/>
  <c r="O11972" i="1"/>
  <c r="O11973" i="1"/>
  <c r="O11984" i="1"/>
  <c r="O11980" i="1"/>
  <c r="O11982" i="1"/>
  <c r="O11976" i="1"/>
  <c r="O11977" i="1"/>
  <c r="O11978" i="1"/>
  <c r="O11985" i="1"/>
  <c r="O11376" i="1"/>
  <c r="O11986" i="1"/>
  <c r="O11989" i="1"/>
  <c r="O11992" i="1"/>
  <c r="O11996" i="1"/>
  <c r="O11991" i="1"/>
  <c r="O11999" i="1"/>
  <c r="O11997" i="1"/>
  <c r="O11998" i="1"/>
  <c r="O12005" i="1"/>
  <c r="O12004" i="1"/>
  <c r="O12007" i="1"/>
  <c r="O12003" i="1"/>
  <c r="O12002" i="1"/>
  <c r="O12008" i="1"/>
  <c r="O10907" i="1"/>
  <c r="O11936" i="1"/>
  <c r="O12015" i="1"/>
  <c r="O12013" i="1"/>
  <c r="O12667" i="1"/>
  <c r="O12019" i="1"/>
  <c r="O12339" i="1"/>
  <c r="O11859" i="1"/>
  <c r="O12021" i="1"/>
  <c r="O12018" i="1"/>
  <c r="O12056" i="1"/>
  <c r="O12668" i="1"/>
  <c r="O12029" i="1"/>
  <c r="O11764" i="1"/>
  <c r="O12027" i="1"/>
  <c r="O10932" i="1"/>
  <c r="O12042" i="1"/>
  <c r="O12044" i="1"/>
  <c r="O12047" i="1"/>
  <c r="O12046" i="1"/>
  <c r="O12043" i="1"/>
  <c r="O12045" i="1"/>
  <c r="O11726" i="1"/>
  <c r="O12063" i="1"/>
  <c r="O12575" i="1"/>
  <c r="O12060" i="1"/>
  <c r="O12061" i="1"/>
  <c r="O12057" i="1"/>
  <c r="O12066" i="1"/>
  <c r="O12059" i="1"/>
  <c r="O12070" i="1"/>
  <c r="O12073" i="1"/>
  <c r="O12072" i="1"/>
  <c r="O11626" i="1"/>
  <c r="O11627" i="1"/>
  <c r="O12078" i="1"/>
  <c r="O12077" i="1"/>
  <c r="O12079" i="1"/>
  <c r="O12091" i="1"/>
  <c r="O12090" i="1"/>
  <c r="O12085" i="1"/>
  <c r="O12088" i="1"/>
  <c r="O12096" i="1"/>
  <c r="O12095" i="1"/>
  <c r="O12100" i="1"/>
  <c r="O12338" i="1"/>
  <c r="O12099" i="1"/>
  <c r="O12097" i="1"/>
  <c r="O11425" i="1"/>
  <c r="O11421" i="1"/>
  <c r="O11417" i="1"/>
  <c r="O11410" i="1"/>
  <c r="O11388" i="1"/>
  <c r="O11381" i="1"/>
  <c r="O12103" i="1"/>
  <c r="O12123" i="1"/>
  <c r="O12132" i="1"/>
  <c r="O12135" i="1"/>
  <c r="O12139" i="1"/>
  <c r="O12142" i="1"/>
  <c r="O12166" i="1"/>
  <c r="O12231" i="1"/>
  <c r="D47" i="21"/>
  <c r="D13" i="31"/>
  <c r="W16" i="10"/>
  <c r="F10732" i="1"/>
  <c r="F10733" i="1"/>
  <c r="F10734" i="1"/>
  <c r="F10735" i="1"/>
  <c r="F10736" i="1"/>
  <c r="F10738" i="1"/>
  <c r="F10739" i="1"/>
  <c r="F10740" i="1"/>
  <c r="F10741" i="1"/>
  <c r="F7577" i="1"/>
  <c r="F10743" i="1"/>
  <c r="F10744" i="1"/>
  <c r="F10745" i="1"/>
  <c r="F10746" i="1"/>
  <c r="F10747" i="1"/>
  <c r="F10748" i="1"/>
  <c r="F10749" i="1"/>
  <c r="F10750" i="1"/>
  <c r="F10751" i="1"/>
  <c r="F10752" i="1"/>
  <c r="F10753" i="1"/>
  <c r="F10754" i="1"/>
  <c r="F10755" i="1"/>
  <c r="F10756" i="1"/>
  <c r="F10757" i="1"/>
  <c r="F10758" i="1"/>
  <c r="F10853" i="1"/>
  <c r="F10760" i="1"/>
  <c r="F10761" i="1"/>
  <c r="F10762" i="1"/>
  <c r="F10763" i="1"/>
  <c r="F10764" i="1"/>
  <c r="F10765" i="1"/>
  <c r="F10766" i="1"/>
  <c r="F11090" i="1"/>
  <c r="F11101" i="1"/>
  <c r="F10769" i="1"/>
  <c r="F12024" i="1"/>
  <c r="F10771" i="1"/>
  <c r="F12087" i="1"/>
  <c r="F10773" i="1"/>
  <c r="F10774" i="1"/>
  <c r="F12724" i="1"/>
  <c r="F12092" i="1"/>
  <c r="F10777" i="1"/>
  <c r="F10778" i="1"/>
  <c r="F10779" i="1"/>
  <c r="F10780" i="1"/>
  <c r="F10781" i="1"/>
  <c r="F10782" i="1"/>
  <c r="F10783" i="1"/>
  <c r="F10784" i="1"/>
  <c r="F10785" i="1"/>
  <c r="F11852" i="1"/>
  <c r="F10787" i="1"/>
  <c r="F10788" i="1"/>
  <c r="F10789" i="1"/>
  <c r="F10790" i="1"/>
  <c r="F10791" i="1"/>
  <c r="F10767"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1932" i="1"/>
  <c r="F10844" i="1"/>
  <c r="F10845" i="1"/>
  <c r="F10846" i="1"/>
  <c r="F10847" i="1"/>
  <c r="F10848" i="1"/>
  <c r="F10849" i="1"/>
  <c r="F10850" i="1"/>
  <c r="F10851" i="1"/>
  <c r="F10852" i="1"/>
  <c r="F10911" i="1"/>
  <c r="F10854" i="1"/>
  <c r="F10855" i="1"/>
  <c r="F10856" i="1"/>
  <c r="F10857" i="1"/>
  <c r="F12020" i="1"/>
  <c r="F12352" i="1"/>
  <c r="F10860" i="1"/>
  <c r="F10861" i="1"/>
  <c r="F10862" i="1"/>
  <c r="F10863" i="1"/>
  <c r="F10864" i="1"/>
  <c r="F10865" i="1"/>
  <c r="F10866" i="1"/>
  <c r="F10867" i="1"/>
  <c r="F10868" i="1"/>
  <c r="F10869" i="1"/>
  <c r="F10870" i="1"/>
  <c r="F10871" i="1"/>
  <c r="F10872" i="1"/>
  <c r="F10873" i="1"/>
  <c r="F10874" i="1"/>
  <c r="F10875" i="1"/>
  <c r="F10876" i="1"/>
  <c r="F10877" i="1"/>
  <c r="F10878" i="1"/>
  <c r="F10879" i="1"/>
  <c r="F11135" i="1"/>
  <c r="F10881" i="1"/>
  <c r="F12025" i="1"/>
  <c r="F10883" i="1"/>
  <c r="F10884" i="1"/>
  <c r="F10885" i="1"/>
  <c r="F10886" i="1"/>
  <c r="F10887" i="1"/>
  <c r="F10888" i="1"/>
  <c r="F12722" i="1"/>
  <c r="F12739" i="1"/>
  <c r="F12874" i="1"/>
  <c r="F12887" i="1"/>
  <c r="F12888" i="1"/>
  <c r="F10894" i="1"/>
  <c r="F12098" i="1"/>
  <c r="F10896" i="1"/>
  <c r="F10897" i="1"/>
  <c r="F10898" i="1"/>
  <c r="F12875" i="1"/>
  <c r="F10900" i="1"/>
  <c r="F10901" i="1"/>
  <c r="F10902" i="1"/>
  <c r="F10903" i="1"/>
  <c r="F10904" i="1"/>
  <c r="F10905" i="1"/>
  <c r="F10906" i="1"/>
  <c r="F12880" i="1"/>
  <c r="F10908" i="1"/>
  <c r="F10909" i="1"/>
  <c r="F10910" i="1"/>
  <c r="F12878" i="1"/>
  <c r="F10912" i="1"/>
  <c r="F10913" i="1"/>
  <c r="F10914" i="1"/>
  <c r="F10915" i="1"/>
  <c r="F10916" i="1"/>
  <c r="F10917" i="1"/>
  <c r="F10918" i="1"/>
  <c r="F10919" i="1"/>
  <c r="F10920" i="1"/>
  <c r="F10921" i="1"/>
  <c r="F10922" i="1"/>
  <c r="F10923" i="1"/>
  <c r="F10731" i="1"/>
  <c r="F10737" i="1"/>
  <c r="F10924" i="1"/>
  <c r="F10925" i="1"/>
  <c r="F10927" i="1"/>
  <c r="F10928" i="1"/>
  <c r="F10929" i="1"/>
  <c r="F10930" i="1"/>
  <c r="F10931" i="1"/>
  <c r="F12721" i="1"/>
  <c r="F10933" i="1"/>
  <c r="F11566"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1758" i="1"/>
  <c r="F10971" i="1"/>
  <c r="F10972" i="1"/>
  <c r="F10973" i="1"/>
  <c r="F10974" i="1"/>
  <c r="F10975" i="1"/>
  <c r="F10976" i="1"/>
  <c r="F10977" i="1"/>
  <c r="F12263" i="1"/>
  <c r="F10979" i="1"/>
  <c r="F10980" i="1"/>
  <c r="F10981" i="1"/>
  <c r="F10982" i="1"/>
  <c r="F10983" i="1"/>
  <c r="F11216"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136" i="1"/>
  <c r="F11020" i="1"/>
  <c r="F12030" i="1"/>
  <c r="F11022" i="1"/>
  <c r="F11023" i="1"/>
  <c r="F11024" i="1"/>
  <c r="F11025" i="1"/>
  <c r="F12741" i="1"/>
  <c r="F11027" i="1"/>
  <c r="F11217" i="1"/>
  <c r="F11029" i="1"/>
  <c r="F12102"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762" i="1"/>
  <c r="F11062" i="1"/>
  <c r="F11063" i="1"/>
  <c r="F11064" i="1"/>
  <c r="F12265" i="1"/>
  <c r="F11066" i="1"/>
  <c r="F11067" i="1"/>
  <c r="F11068" i="1"/>
  <c r="F11069" i="1"/>
  <c r="F12016" i="1"/>
  <c r="F12032" i="1"/>
  <c r="F11072" i="1"/>
  <c r="F11073" i="1"/>
  <c r="F11074" i="1"/>
  <c r="F11075" i="1"/>
  <c r="F11076" i="1"/>
  <c r="F12106" i="1"/>
  <c r="F11078" i="1"/>
  <c r="F11079" i="1"/>
  <c r="F11080" i="1"/>
  <c r="F11786" i="1"/>
  <c r="F11787" i="1"/>
  <c r="F11083" i="1"/>
  <c r="F11084" i="1"/>
  <c r="F11085" i="1"/>
  <c r="F11086" i="1"/>
  <c r="F11087" i="1"/>
  <c r="F11088" i="1"/>
  <c r="F12310" i="1"/>
  <c r="F12311" i="1"/>
  <c r="F11091" i="1"/>
  <c r="F10926" i="1"/>
  <c r="F11093" i="1"/>
  <c r="F11095" i="1"/>
  <c r="F11250" i="1"/>
  <c r="F11102" i="1"/>
  <c r="F11104" i="1"/>
  <c r="F11106" i="1"/>
  <c r="F11108" i="1"/>
  <c r="F11322" i="1"/>
  <c r="F11371" i="1"/>
  <c r="F11378" i="1"/>
  <c r="F11116" i="1"/>
  <c r="F11223" i="1"/>
  <c r="F11120" i="1"/>
  <c r="F11122" i="1"/>
  <c r="F11124" i="1"/>
  <c r="F11125" i="1"/>
  <c r="F11128" i="1"/>
  <c r="F11131" i="1"/>
  <c r="F11133" i="1"/>
  <c r="F11226" i="1"/>
  <c r="F11259" i="1"/>
  <c r="F11260" i="1"/>
  <c r="F11092" i="1"/>
  <c r="F11144" i="1"/>
  <c r="F11145" i="1"/>
  <c r="F11146" i="1"/>
  <c r="F11340" i="1"/>
  <c r="F11524" i="1"/>
  <c r="F11514" i="1"/>
  <c r="F10770" i="1"/>
  <c r="F11472" i="1"/>
  <c r="F12529" i="1"/>
  <c r="F11497" i="1"/>
  <c r="F11501" i="1"/>
  <c r="F11502" i="1"/>
  <c r="F12802" i="1"/>
  <c r="F11477" i="1"/>
  <c r="F11519" i="1"/>
  <c r="F12130" i="1"/>
  <c r="F11264" i="1"/>
  <c r="F11391" i="1"/>
  <c r="F11454" i="1"/>
  <c r="F11462" i="1"/>
  <c r="F11461" i="1"/>
  <c r="F11228" i="1"/>
  <c r="F11432" i="1"/>
  <c r="F11431" i="1"/>
  <c r="F11265" i="1"/>
  <c r="F12111" i="1"/>
  <c r="F12799" i="1"/>
  <c r="F11403" i="1"/>
  <c r="F11402" i="1"/>
  <c r="F11398" i="1"/>
  <c r="F11211" i="1"/>
  <c r="F11379" i="1"/>
  <c r="F12502" i="1"/>
  <c r="F11382" i="1"/>
  <c r="F11021" i="1"/>
  <c r="F12289" i="1"/>
  <c r="F11375" i="1"/>
  <c r="F12110" i="1"/>
  <c r="F11369" i="1"/>
  <c r="F11370" i="1"/>
  <c r="F11363" i="1"/>
  <c r="F11352" i="1"/>
  <c r="F12520" i="1"/>
  <c r="F11345" i="1"/>
  <c r="F11019" i="1"/>
  <c r="F11323" i="1"/>
  <c r="F11336" i="1"/>
  <c r="F11175" i="1"/>
  <c r="F11325" i="1"/>
  <c r="F12282" i="1"/>
  <c r="F11315" i="1"/>
  <c r="F11183" i="1"/>
  <c r="F11202" i="1"/>
  <c r="F12109" i="1"/>
  <c r="F11291" i="1"/>
  <c r="F11277" i="1"/>
  <c r="F11278" i="1"/>
  <c r="F11270" i="1"/>
  <c r="F11176" i="1"/>
  <c r="F11267" i="1"/>
  <c r="F11155" i="1"/>
  <c r="F11262" i="1"/>
  <c r="F10984" i="1"/>
  <c r="F11433" i="1"/>
  <c r="F11235" i="1"/>
  <c r="F11225" i="1"/>
  <c r="F12494" i="1"/>
  <c r="F11224" i="1"/>
  <c r="F11434" i="1"/>
  <c r="F11383" i="1"/>
  <c r="F11221" i="1"/>
  <c r="F11414" i="1"/>
  <c r="F11219" i="1"/>
  <c r="F12786" i="1"/>
  <c r="F11213" i="1"/>
  <c r="F11215" i="1"/>
  <c r="F11214" i="1"/>
  <c r="F12108" i="1"/>
  <c r="F11435" i="1"/>
  <c r="F11208" i="1"/>
  <c r="F10978" i="1"/>
  <c r="F12510" i="1"/>
  <c r="F11204" i="1"/>
  <c r="F11205" i="1"/>
  <c r="F11197" i="1"/>
  <c r="F11436" i="1"/>
  <c r="F10970" i="1"/>
  <c r="F11344" i="1"/>
  <c r="F11194" i="1"/>
  <c r="F11191" i="1"/>
  <c r="F11317" i="1"/>
  <c r="F11312" i="1"/>
  <c r="F11187" i="1"/>
  <c r="F10934" i="1"/>
  <c r="F12107" i="1"/>
  <c r="F12281" i="1"/>
  <c r="F11177" i="1"/>
  <c r="F12759" i="1"/>
  <c r="F11307" i="1"/>
  <c r="F11174" i="1"/>
  <c r="F11295" i="1"/>
  <c r="F11171" i="1"/>
  <c r="F11569" i="1"/>
  <c r="F11164" i="1"/>
  <c r="F11158" i="1"/>
  <c r="F11285" i="1"/>
  <c r="F11304" i="1"/>
  <c r="F11151" i="1"/>
  <c r="F11257" i="1"/>
  <c r="F11130" i="1"/>
  <c r="F11100" i="1"/>
  <c r="F12465" i="1"/>
  <c r="F11525" i="1"/>
  <c r="F11512" i="1"/>
  <c r="F11515" i="1"/>
  <c r="F11508" i="1"/>
  <c r="F11503" i="1"/>
  <c r="F11504" i="1"/>
  <c r="F11140" i="1"/>
  <c r="F11487" i="1"/>
  <c r="F11488" i="1"/>
  <c r="F11489" i="1"/>
  <c r="F11490" i="1"/>
  <c r="F11296" i="1"/>
  <c r="F11480" i="1"/>
  <c r="F11318" i="1"/>
  <c r="F11242" i="1"/>
  <c r="F11319" i="1"/>
  <c r="F11112" i="1"/>
  <c r="F11458" i="1"/>
  <c r="F11453" i="1"/>
  <c r="F11113" i="1"/>
  <c r="F11274" i="1"/>
  <c r="F11114" i="1"/>
  <c r="F11440" i="1"/>
  <c r="F11115" i="1"/>
  <c r="F11408" i="1"/>
  <c r="F11426" i="1"/>
  <c r="F11157" i="1"/>
  <c r="F11422" i="1"/>
  <c r="F11139" i="1"/>
  <c r="F11418" i="1"/>
  <c r="F11420" i="1"/>
  <c r="F11416" i="1"/>
  <c r="F11411" i="1"/>
  <c r="F11406" i="1"/>
  <c r="F11405" i="1"/>
  <c r="F11396" i="1"/>
  <c r="F11156" i="1"/>
  <c r="F11395" i="1"/>
  <c r="F11481" i="1"/>
  <c r="F11361" i="1"/>
  <c r="F11455" i="1"/>
  <c r="F11353" i="1"/>
  <c r="F11423" i="1"/>
  <c r="F11346" i="1"/>
  <c r="F11339" i="1"/>
  <c r="F11196" i="1"/>
  <c r="F11332" i="1"/>
  <c r="F11324" i="1"/>
  <c r="F11465" i="1"/>
  <c r="F11327" i="1"/>
  <c r="F11389" i="1"/>
  <c r="F11290" i="1"/>
  <c r="F11276" i="1"/>
  <c r="F11273" i="1"/>
  <c r="F11401" i="1"/>
  <c r="F11386" i="1"/>
  <c r="F11261" i="1"/>
  <c r="F11430" i="1"/>
  <c r="F11251" i="1"/>
  <c r="F11218" i="1"/>
  <c r="F11138" i="1"/>
  <c r="F11212" i="1"/>
  <c r="F11308" i="1"/>
  <c r="F11320" i="1"/>
  <c r="F11203" i="1"/>
  <c r="F11201" i="1"/>
  <c r="F11200" i="1"/>
  <c r="F11199" i="1"/>
  <c r="F11287" i="1"/>
  <c r="F11193" i="1"/>
  <c r="F11188" i="1"/>
  <c r="F11179" i="1"/>
  <c r="F11185" i="1"/>
  <c r="F11271" i="1"/>
  <c r="F11137" i="1"/>
  <c r="F11220" i="1"/>
  <c r="F11374" i="1"/>
  <c r="F11173" i="1"/>
  <c r="F11169" i="1"/>
  <c r="F11170" i="1"/>
  <c r="F11166" i="1"/>
  <c r="F11222" i="1"/>
  <c r="F11167" i="1"/>
  <c r="F11165" i="1"/>
  <c r="F11163" i="1"/>
  <c r="F11520" i="1"/>
  <c r="F11160" i="1"/>
  <c r="F11161" i="1"/>
  <c r="F11159" i="1"/>
  <c r="F11154" i="1"/>
  <c r="F4216" i="1"/>
  <c r="F11152" i="1"/>
  <c r="F4409" i="1"/>
  <c r="F11240" i="1"/>
  <c r="F11516" i="1"/>
  <c r="F11517" i="1"/>
  <c r="F11518" i="1"/>
  <c r="F11482" i="1"/>
  <c r="F11521" i="1"/>
  <c r="F11522" i="1"/>
  <c r="F11450" i="1"/>
  <c r="F11351" i="1"/>
  <c r="F11424" i="1"/>
  <c r="F11506" i="1"/>
  <c r="F11509" i="1"/>
  <c r="F11505" i="1"/>
  <c r="F11499" i="1"/>
  <c r="F11496" i="1"/>
  <c r="F11443" i="1"/>
  <c r="F11495" i="1"/>
  <c r="F11444" i="1"/>
  <c r="F11404" i="1"/>
  <c r="F11384" i="1"/>
  <c r="F11347" i="1"/>
  <c r="F11309" i="1"/>
  <c r="F11485" i="1"/>
  <c r="F11483" i="1"/>
  <c r="F11479" i="1"/>
  <c r="F11474" i="1"/>
  <c r="F11475" i="1"/>
  <c r="F11471" i="1"/>
  <c r="F12035" i="1"/>
  <c r="F11466" i="1"/>
  <c r="F11459" i="1"/>
  <c r="F11258" i="1"/>
  <c r="F11457" i="1"/>
  <c r="F11310" i="1"/>
  <c r="F11456" i="1"/>
  <c r="F11449" i="1"/>
  <c r="F11523" i="1"/>
  <c r="F11452" i="1"/>
  <c r="F11243" i="1"/>
  <c r="F11328" i="1"/>
  <c r="F11350" i="1"/>
  <c r="F11445" i="1"/>
  <c r="F11446" i="1"/>
  <c r="F11437" i="1"/>
  <c r="F11438" i="1"/>
  <c r="F11441" i="1"/>
  <c r="F11280" i="1"/>
  <c r="F11356" i="1"/>
  <c r="F11288" i="1"/>
  <c r="F11313" i="1"/>
  <c r="F11409" i="1"/>
  <c r="F11289" i="1"/>
  <c r="F11428" i="1"/>
  <c r="F11419" i="1"/>
  <c r="F11484" i="1"/>
  <c r="F11357" i="1"/>
  <c r="F11415" i="1"/>
  <c r="F11413" i="1"/>
  <c r="F11407" i="1"/>
  <c r="F12034" i="1"/>
  <c r="F11358" i="1"/>
  <c r="F11359" i="1"/>
  <c r="F11360" i="1"/>
  <c r="F11098" i="1"/>
  <c r="F11099" i="1"/>
  <c r="F11493" i="1"/>
  <c r="F11397" i="1"/>
  <c r="F11329" i="1"/>
  <c r="F11393" i="1"/>
  <c r="F11394" i="1"/>
  <c r="F11390" i="1"/>
  <c r="F11468" i="1"/>
  <c r="F11469" i="1"/>
  <c r="F11387" i="1"/>
  <c r="F11141" i="1"/>
  <c r="F11142" i="1"/>
  <c r="F11380" i="1"/>
  <c r="F11377" i="1"/>
  <c r="F11451" i="1"/>
  <c r="F11372" i="1"/>
  <c r="F11341" i="1"/>
  <c r="F11349" i="1"/>
  <c r="F11367" i="1"/>
  <c r="F11364" i="1"/>
  <c r="F11362" i="1"/>
  <c r="F11507" i="1"/>
  <c r="F11498" i="1"/>
  <c r="F11338" i="1"/>
  <c r="F11330" i="1"/>
  <c r="F11255" i="1"/>
  <c r="F11355" i="1"/>
  <c r="F11244" i="1"/>
  <c r="F10772" i="1"/>
  <c r="F12033" i="1"/>
  <c r="F11230" i="1"/>
  <c r="F11231" i="1"/>
  <c r="F11232" i="1"/>
  <c r="F11342" i="1"/>
  <c r="F11460" i="1"/>
  <c r="F11333" i="1"/>
  <c r="F11334" i="1"/>
  <c r="F11335" i="1"/>
  <c r="F11292" i="1"/>
  <c r="F11293" i="1"/>
  <c r="F11326" i="1"/>
  <c r="F11331" i="1"/>
  <c r="F11486" i="1"/>
  <c r="F11427" i="1"/>
  <c r="F11321" i="1"/>
  <c r="F11316" i="1"/>
  <c r="F11150" i="1"/>
  <c r="F11283" i="1"/>
  <c r="F12357" i="1"/>
  <c r="F11439" i="1"/>
  <c r="F12363" i="1"/>
  <c r="F11245" i="1"/>
  <c r="F11186" i="1"/>
  <c r="F11269" i="1"/>
  <c r="F11348" i="1"/>
  <c r="F11246" i="1"/>
  <c r="F11306" i="1"/>
  <c r="F11305" i="1"/>
  <c r="F11233" i="1"/>
  <c r="F11284" i="1"/>
  <c r="F11300" i="1"/>
  <c r="F11297" i="1"/>
  <c r="F11301" i="1"/>
  <c r="F11299" i="1"/>
  <c r="F11302" i="1"/>
  <c r="F11294" i="1"/>
  <c r="F11118" i="1"/>
  <c r="F11119" i="1"/>
  <c r="F11286" i="1"/>
  <c r="F11279" i="1"/>
  <c r="F11249" i="1"/>
  <c r="F11110" i="1"/>
  <c r="F11227" i="1"/>
  <c r="F11236" i="1"/>
  <c r="F11807" i="1"/>
  <c r="F11237" i="1"/>
  <c r="F11281" i="1"/>
  <c r="F11238" i="1"/>
  <c r="F11314" i="1"/>
  <c r="F11168" i="1"/>
  <c r="F11448" i="1"/>
  <c r="F11272" i="1"/>
  <c r="F11266" i="1"/>
  <c r="F11429" i="1"/>
  <c r="F11268" i="1"/>
  <c r="F11256" i="1"/>
  <c r="F11198" i="1"/>
  <c r="F11470" i="1"/>
  <c r="F11252" i="1"/>
  <c r="F11253" i="1"/>
  <c r="F11337" i="1"/>
  <c r="F11254" i="1"/>
  <c r="F11189" i="1"/>
  <c r="F11210" i="1"/>
  <c r="F11247" i="1"/>
  <c r="F11303" i="1"/>
  <c r="F11248" i="1"/>
  <c r="F11343" i="1"/>
  <c r="F11195" i="1"/>
  <c r="F11263" i="1"/>
  <c r="F11143" i="1"/>
  <c r="F11172" i="1"/>
  <c r="F11241" i="1"/>
  <c r="F11463" i="1"/>
  <c r="F11311" i="1"/>
  <c r="F11190" i="1"/>
  <c r="F11385" i="1"/>
  <c r="F11234" i="1"/>
  <c r="F11510" i="1"/>
  <c r="F11447" i="1"/>
  <c r="F11476" i="1"/>
  <c r="F11229" i="1"/>
  <c r="F11442" i="1"/>
  <c r="F11147" i="1"/>
  <c r="F11148" i="1"/>
  <c r="F11149" i="1"/>
  <c r="F11275" i="1"/>
  <c r="F11282" i="1"/>
  <c r="F11298" i="1"/>
  <c r="F11132" i="1"/>
  <c r="F11134" i="1"/>
  <c r="F11464" i="1"/>
  <c r="F11123" i="1"/>
  <c r="F11129" i="1"/>
  <c r="F11126" i="1"/>
  <c r="F11127" i="1"/>
  <c r="F11117" i="1"/>
  <c r="F11121" i="1"/>
  <c r="F11412" i="1"/>
  <c r="F11399" i="1"/>
  <c r="F11400" i="1"/>
  <c r="F11109" i="1"/>
  <c r="F11107" i="1"/>
  <c r="F11491" i="1"/>
  <c r="F11103" i="1"/>
  <c r="F11105" i="1"/>
  <c r="F11096" i="1"/>
  <c r="F11111" i="1"/>
  <c r="F11094" i="1"/>
  <c r="F11097" i="1"/>
  <c r="F11239" i="1"/>
  <c r="F11392" i="1"/>
  <c r="F10730" i="1"/>
  <c r="F10717" i="1"/>
  <c r="D20" i="5"/>
  <c r="E11392" i="1"/>
  <c r="O11392" i="1"/>
  <c r="E11239" i="1"/>
  <c r="O11239" i="1"/>
  <c r="E11097" i="1"/>
  <c r="O11097" i="1"/>
  <c r="F2129" i="1"/>
  <c r="F2130" i="1"/>
  <c r="F2131" i="1"/>
  <c r="F2132" i="1"/>
  <c r="F2133" i="1"/>
  <c r="F2134" i="1"/>
  <c r="F2135" i="1"/>
  <c r="F2136" i="1"/>
  <c r="F2137" i="1"/>
  <c r="F2138" i="1"/>
  <c r="F2139" i="1"/>
  <c r="F2140" i="1"/>
  <c r="F2141" i="1"/>
  <c r="F2142" i="1"/>
  <c r="F2143" i="1"/>
  <c r="F2144" i="1"/>
  <c r="F2145" i="1"/>
  <c r="F2146" i="1"/>
  <c r="F2147" i="1"/>
  <c r="F2148" i="1"/>
  <c r="F2149" i="1"/>
  <c r="F2151" i="1"/>
  <c r="F2152" i="1"/>
  <c r="F1084" i="1"/>
  <c r="F2153" i="1"/>
  <c r="F2154" i="1"/>
  <c r="F2155" i="1"/>
  <c r="F2156" i="1"/>
  <c r="F2157" i="1"/>
  <c r="F2158" i="1"/>
  <c r="F2159" i="1"/>
  <c r="F2160" i="1"/>
  <c r="F2161" i="1"/>
  <c r="F2162" i="1"/>
  <c r="F2163" i="1"/>
  <c r="F2164" i="1"/>
  <c r="F2165" i="1"/>
  <c r="F2166" i="1"/>
  <c r="F2169" i="1"/>
  <c r="F2170" i="1"/>
  <c r="F2171" i="1"/>
  <c r="F2172" i="1"/>
  <c r="F2167" i="1"/>
  <c r="F2173" i="1"/>
  <c r="F2174" i="1"/>
  <c r="F2175" i="1"/>
  <c r="F2176" i="1"/>
  <c r="F2168"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14" i="1"/>
  <c r="F2215" i="1"/>
  <c r="F2216" i="1"/>
  <c r="F2217" i="1"/>
  <c r="F2213" i="1"/>
  <c r="F2218" i="1"/>
  <c r="F2219" i="1"/>
  <c r="F2209" i="1"/>
  <c r="F2210" i="1"/>
  <c r="F2220" i="1"/>
  <c r="F2211" i="1"/>
  <c r="F2221" i="1"/>
  <c r="F2222" i="1"/>
  <c r="F2223" i="1"/>
  <c r="F2224" i="1"/>
  <c r="F2212" i="1"/>
  <c r="F2225" i="1"/>
  <c r="F2226" i="1"/>
  <c r="F2227" i="1"/>
  <c r="F2228" i="1"/>
  <c r="F2229" i="1"/>
  <c r="F2230" i="1"/>
  <c r="F2232" i="1"/>
  <c r="F2233" i="1"/>
  <c r="F2234" i="1"/>
  <c r="F2235" i="1"/>
  <c r="F2236" i="1"/>
  <c r="F2237" i="1"/>
  <c r="F2238" i="1"/>
  <c r="F2231" i="1"/>
  <c r="F2239" i="1"/>
  <c r="F2240" i="1"/>
  <c r="F2241" i="1"/>
  <c r="F2242" i="1"/>
  <c r="F2243" i="1"/>
  <c r="F2244" i="1"/>
  <c r="F2245" i="1"/>
  <c r="F2246" i="1"/>
  <c r="F2247" i="1"/>
  <c r="F2248" i="1"/>
  <c r="F2249" i="1"/>
  <c r="F2250" i="1"/>
  <c r="F2251" i="1"/>
  <c r="F2252" i="1"/>
  <c r="F2253" i="1"/>
  <c r="F2254" i="1"/>
  <c r="F2255" i="1"/>
  <c r="F2256" i="1"/>
  <c r="F2259" i="1"/>
  <c r="F2260" i="1"/>
  <c r="F2261" i="1"/>
  <c r="F2257" i="1"/>
  <c r="F2262" i="1"/>
  <c r="F2258"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4" i="1"/>
  <c r="F2325" i="1"/>
  <c r="F2326" i="1"/>
  <c r="F2327" i="1"/>
  <c r="F2328" i="1"/>
  <c r="F2329" i="1"/>
  <c r="F2322" i="1"/>
  <c r="F2330" i="1"/>
  <c r="F2331" i="1"/>
  <c r="F2332" i="1"/>
  <c r="F2323" i="1"/>
  <c r="F2333" i="1"/>
  <c r="F2334" i="1"/>
  <c r="F2335" i="1"/>
  <c r="F2336" i="1"/>
  <c r="F2337" i="1"/>
  <c r="F2338" i="1"/>
  <c r="F2339" i="1"/>
  <c r="F2340" i="1"/>
  <c r="F2341" i="1"/>
  <c r="F2343" i="1"/>
  <c r="F681" i="1"/>
  <c r="F2344" i="1"/>
  <c r="F2345" i="1"/>
  <c r="F2346" i="1"/>
  <c r="F2347" i="1"/>
  <c r="F2348" i="1"/>
  <c r="F2349" i="1"/>
  <c r="F2350" i="1"/>
  <c r="F2351" i="1"/>
  <c r="F2352" i="1"/>
  <c r="F2353" i="1"/>
  <c r="F2354" i="1"/>
  <c r="F2355" i="1"/>
  <c r="F2356" i="1"/>
  <c r="F2357" i="1"/>
  <c r="F2362" i="1"/>
  <c r="F2363" i="1"/>
  <c r="F2358" i="1"/>
  <c r="F2359" i="1"/>
  <c r="F2360" i="1"/>
  <c r="F2361" i="1"/>
  <c r="F2364" i="1"/>
  <c r="F2365" i="1"/>
  <c r="F2366" i="1"/>
  <c r="F2367" i="1"/>
  <c r="F2368" i="1"/>
  <c r="F2369" i="1"/>
  <c r="F2370" i="1"/>
  <c r="F2371" i="1"/>
  <c r="F2372" i="1"/>
  <c r="F2373" i="1"/>
  <c r="F2374" i="1"/>
  <c r="F2375" i="1"/>
  <c r="F2376" i="1"/>
  <c r="F2377" i="1"/>
  <c r="F2378" i="1"/>
  <c r="F2379" i="1"/>
  <c r="F2380" i="1"/>
  <c r="F2381" i="1"/>
  <c r="F2382" i="1"/>
  <c r="F2383" i="1"/>
  <c r="F2386" i="1"/>
  <c r="F2387" i="1"/>
  <c r="F2388" i="1"/>
  <c r="F2389" i="1"/>
  <c r="F2384" i="1"/>
  <c r="F2390" i="1"/>
  <c r="F2391" i="1"/>
  <c r="F2392" i="1"/>
  <c r="F2393" i="1"/>
  <c r="F2385" i="1"/>
  <c r="F2394" i="1"/>
  <c r="F2395" i="1"/>
  <c r="F2396" i="1"/>
  <c r="F2397" i="1"/>
  <c r="F2398" i="1"/>
  <c r="F2399" i="1"/>
  <c r="F2402" i="1"/>
  <c r="F2403" i="1"/>
  <c r="F2404" i="1"/>
  <c r="F2400" i="1"/>
  <c r="F2401" i="1"/>
  <c r="F2405" i="1"/>
  <c r="F2409" i="1"/>
  <c r="F2406" i="1"/>
  <c r="F2407" i="1"/>
  <c r="F2408"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43" i="1"/>
  <c r="F2439" i="1"/>
  <c r="F2440" i="1"/>
  <c r="F2444" i="1"/>
  <c r="F2445" i="1"/>
  <c r="F2441" i="1"/>
  <c r="F2446" i="1"/>
  <c r="F2447" i="1"/>
  <c r="F2448" i="1"/>
  <c r="F2449" i="1"/>
  <c r="F2450" i="1"/>
  <c r="F2442" i="1"/>
  <c r="F2452" i="1"/>
  <c r="F2453" i="1"/>
  <c r="F2454" i="1"/>
  <c r="F2455" i="1"/>
  <c r="F2456" i="1"/>
  <c r="F2457" i="1"/>
  <c r="F2451" i="1"/>
  <c r="F2458" i="1"/>
  <c r="F2459" i="1"/>
  <c r="F2460" i="1"/>
  <c r="F2461" i="1"/>
  <c r="F2462" i="1"/>
  <c r="F2463" i="1"/>
  <c r="F2464" i="1"/>
  <c r="F2465" i="1"/>
  <c r="F2466" i="1"/>
  <c r="F2467" i="1"/>
  <c r="F2470" i="1"/>
  <c r="F2471" i="1"/>
  <c r="F2342" i="1"/>
  <c r="F2472" i="1"/>
  <c r="F2473" i="1"/>
  <c r="F2474" i="1"/>
  <c r="F2475" i="1"/>
  <c r="F2468"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501" i="1"/>
  <c r="F2502" i="1"/>
  <c r="F2503" i="1"/>
  <c r="F2504" i="1"/>
  <c r="F2505" i="1"/>
  <c r="F2506" i="1"/>
  <c r="F2499" i="1"/>
  <c r="F2507" i="1"/>
  <c r="F2500"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7" i="1"/>
  <c r="F2548" i="1"/>
  <c r="F2549" i="1"/>
  <c r="F2545" i="1"/>
  <c r="F2550" i="1"/>
  <c r="F2551" i="1"/>
  <c r="F2552" i="1"/>
  <c r="F2553" i="1"/>
  <c r="F2546"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10" i="1"/>
  <c r="F2611" i="1"/>
  <c r="F2608" i="1"/>
  <c r="F2609"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61" i="1"/>
  <c r="F707" i="1"/>
  <c r="F2662" i="1"/>
  <c r="F2663" i="1"/>
  <c r="F2664" i="1"/>
  <c r="F2665" i="1"/>
  <c r="F2666" i="1"/>
  <c r="F2667" i="1"/>
  <c r="F2668" i="1"/>
  <c r="F2659" i="1"/>
  <c r="F2669" i="1"/>
  <c r="F2670" i="1"/>
  <c r="F2671" i="1"/>
  <c r="F2672" i="1"/>
  <c r="F2673" i="1"/>
  <c r="F2674" i="1"/>
  <c r="F2675" i="1"/>
  <c r="F2676" i="1"/>
  <c r="F2677" i="1"/>
  <c r="F2678" i="1"/>
  <c r="F2679" i="1"/>
  <c r="F2680" i="1"/>
  <c r="F2681" i="1"/>
  <c r="F2682" i="1"/>
  <c r="F2683" i="1"/>
  <c r="F2684" i="1"/>
  <c r="F2685" i="1"/>
  <c r="F2687" i="1"/>
  <c r="F2688" i="1"/>
  <c r="F2689" i="1"/>
  <c r="F2690" i="1"/>
  <c r="F2686"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7" i="1"/>
  <c r="F2728" i="1"/>
  <c r="F2723" i="1"/>
  <c r="F2724" i="1"/>
  <c r="F2725" i="1"/>
  <c r="F2726" i="1"/>
  <c r="F2729" i="1"/>
  <c r="F2730" i="1"/>
  <c r="F2731" i="1"/>
  <c r="F2732" i="1"/>
  <c r="F2733" i="1"/>
  <c r="F2734" i="1"/>
  <c r="F2735" i="1"/>
  <c r="F2736" i="1"/>
  <c r="F2737" i="1"/>
  <c r="F2738" i="1"/>
  <c r="F2739" i="1"/>
  <c r="F2740" i="1"/>
  <c r="F2741" i="1"/>
  <c r="F2743" i="1"/>
  <c r="F2742"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8" i="1"/>
  <c r="F2829" i="1"/>
  <c r="F2830" i="1"/>
  <c r="F2831" i="1"/>
  <c r="F2832" i="1"/>
  <c r="F2826" i="1"/>
  <c r="F2833" i="1"/>
  <c r="F2834" i="1"/>
  <c r="F2835" i="1"/>
  <c r="F2827" i="1"/>
  <c r="F2836" i="1"/>
  <c r="F2837" i="1"/>
  <c r="F2838" i="1"/>
  <c r="F2839" i="1"/>
  <c r="F2840" i="1"/>
  <c r="F2841" i="1"/>
  <c r="F2842" i="1"/>
  <c r="F2843" i="1"/>
  <c r="F2844" i="1"/>
  <c r="F2845" i="1"/>
  <c r="F2846" i="1"/>
  <c r="F2847" i="1"/>
  <c r="F2848" i="1"/>
  <c r="F2849" i="1"/>
  <c r="F2850" i="1"/>
  <c r="F2851" i="1"/>
  <c r="F2852" i="1"/>
  <c r="F2853" i="1"/>
  <c r="F2854" i="1"/>
  <c r="F2855" i="1"/>
  <c r="F2856" i="1"/>
  <c r="F2857" i="1"/>
  <c r="F2860" i="1"/>
  <c r="F2861" i="1"/>
  <c r="F2862" i="1"/>
  <c r="F2858" i="1"/>
  <c r="F2859" i="1"/>
  <c r="F2863" i="1"/>
  <c r="F2864" i="1"/>
  <c r="F2866" i="1"/>
  <c r="F2867" i="1"/>
  <c r="F2868" i="1"/>
  <c r="F2869" i="1"/>
  <c r="F2865" i="1"/>
  <c r="F2870" i="1"/>
  <c r="F2871" i="1"/>
  <c r="F2872" i="1"/>
  <c r="F2873" i="1"/>
  <c r="F2874" i="1"/>
  <c r="F2875" i="1"/>
  <c r="F2876" i="1"/>
  <c r="F2877" i="1"/>
  <c r="F2878" i="1"/>
  <c r="F2879" i="1"/>
  <c r="F2880" i="1"/>
  <c r="F2881" i="1"/>
  <c r="F2882" i="1"/>
  <c r="F2883" i="1"/>
  <c r="F680" i="1"/>
  <c r="F2884"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8" i="1"/>
  <c r="F2939" i="1"/>
  <c r="F2940" i="1"/>
  <c r="F2941" i="1"/>
  <c r="F2942" i="1"/>
  <c r="F2936" i="1"/>
  <c r="F2943" i="1"/>
  <c r="F2937"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5" i="1"/>
  <c r="F2976" i="1"/>
  <c r="F2971" i="1"/>
  <c r="F2972" i="1"/>
  <c r="F2973" i="1"/>
  <c r="F2974" i="1"/>
  <c r="F2977" i="1"/>
  <c r="F2978" i="1"/>
  <c r="F2979" i="1"/>
  <c r="F2980" i="1"/>
  <c r="F2981" i="1"/>
  <c r="F2982" i="1"/>
  <c r="F2983" i="1"/>
  <c r="F2984" i="1"/>
  <c r="F2985" i="1"/>
  <c r="F2986" i="1"/>
  <c r="F2987" i="1"/>
  <c r="F2989" i="1"/>
  <c r="F2990" i="1"/>
  <c r="F2991" i="1"/>
  <c r="F2992" i="1"/>
  <c r="F2993" i="1"/>
  <c r="F2988" i="1"/>
  <c r="F2994" i="1"/>
  <c r="F2995" i="1"/>
  <c r="F2996" i="1"/>
  <c r="F2997" i="1"/>
  <c r="F2998" i="1"/>
  <c r="F2999" i="1"/>
  <c r="F3002" i="1"/>
  <c r="F3000" i="1"/>
  <c r="F3003" i="1"/>
  <c r="F3004" i="1"/>
  <c r="F3005" i="1"/>
  <c r="F3001"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6" i="1"/>
  <c r="F3047" i="1"/>
  <c r="F3048" i="1"/>
  <c r="F818" i="1"/>
  <c r="F3042" i="1"/>
  <c r="F3043" i="1"/>
  <c r="F3049" i="1"/>
  <c r="F3050" i="1"/>
  <c r="F3044"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10" i="1"/>
  <c r="F3111" i="1"/>
  <c r="F3112" i="1"/>
  <c r="F3113" i="1"/>
  <c r="F3114" i="1"/>
  <c r="F3108" i="1"/>
  <c r="F3115" i="1"/>
  <c r="F3116" i="1"/>
  <c r="F3117" i="1"/>
  <c r="F3118" i="1"/>
  <c r="F3119" i="1"/>
  <c r="F3109" i="1"/>
  <c r="F3122" i="1"/>
  <c r="F3123" i="1"/>
  <c r="F3120" i="1"/>
  <c r="F3124" i="1"/>
  <c r="F3125" i="1"/>
  <c r="F3121"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6" i="1"/>
  <c r="F3197" i="1"/>
  <c r="F3198" i="1"/>
  <c r="F3194" i="1"/>
  <c r="F3199" i="1"/>
  <c r="F3200" i="1"/>
  <c r="F3201" i="1"/>
  <c r="F3202" i="1"/>
  <c r="F3203" i="1"/>
  <c r="F3204" i="1"/>
  <c r="F3205" i="1"/>
  <c r="F3206" i="1"/>
  <c r="F3195" i="1"/>
  <c r="F3207" i="1"/>
  <c r="F3208" i="1"/>
  <c r="F3209" i="1"/>
  <c r="F3210" i="1"/>
  <c r="F3211" i="1"/>
  <c r="F3212" i="1"/>
  <c r="F3213" i="1"/>
  <c r="F3214" i="1"/>
  <c r="F3215" i="1"/>
  <c r="F3216" i="1"/>
  <c r="F3217" i="1"/>
  <c r="F3218" i="1"/>
  <c r="F3219" i="1"/>
  <c r="F3220" i="1"/>
  <c r="F3221" i="1"/>
  <c r="F3222" i="1"/>
  <c r="F3223" i="1"/>
  <c r="F3224" i="1"/>
  <c r="F3225" i="1"/>
  <c r="F3226" i="1"/>
  <c r="F3229" i="1"/>
  <c r="F3227" i="1"/>
  <c r="F3230" i="1"/>
  <c r="F3228" i="1"/>
  <c r="F3231" i="1"/>
  <c r="F1649" i="1"/>
  <c r="F3235" i="1"/>
  <c r="F3236" i="1"/>
  <c r="F3237" i="1"/>
  <c r="F3238" i="1"/>
  <c r="F3239" i="1"/>
  <c r="F3240" i="1"/>
  <c r="F3241" i="1"/>
  <c r="F3232" i="1"/>
  <c r="F3233"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90" i="1"/>
  <c r="F3291" i="1"/>
  <c r="F3288" i="1"/>
  <c r="F3292" i="1"/>
  <c r="F3293" i="1"/>
  <c r="F3289" i="1"/>
  <c r="F3294" i="1"/>
  <c r="F3295" i="1"/>
  <c r="F3296" i="1"/>
  <c r="F3297" i="1"/>
  <c r="F3298" i="1"/>
  <c r="F3299" i="1"/>
  <c r="F3300" i="1"/>
  <c r="F3301" i="1"/>
  <c r="F3306" i="1"/>
  <c r="F3302" i="1"/>
  <c r="F3303" i="1"/>
  <c r="F3307" i="1"/>
  <c r="F3308" i="1"/>
  <c r="F3304" i="1"/>
  <c r="F3305" i="1"/>
  <c r="F3309" i="1"/>
  <c r="F3310" i="1"/>
  <c r="F3311" i="1"/>
  <c r="F3312" i="1"/>
  <c r="F3313" i="1"/>
  <c r="F3315" i="1"/>
  <c r="F3316" i="1"/>
  <c r="F3314" i="1"/>
  <c r="F3317" i="1"/>
  <c r="F3318" i="1"/>
  <c r="F3319" i="1"/>
  <c r="F3320" i="1"/>
  <c r="F3321" i="1"/>
  <c r="F3322" i="1"/>
  <c r="F3325" i="1"/>
  <c r="F3326" i="1"/>
  <c r="F3323" i="1"/>
  <c r="F3327" i="1"/>
  <c r="F3328" i="1"/>
  <c r="F3329" i="1"/>
  <c r="F3330" i="1"/>
  <c r="F3324"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8" i="1"/>
  <c r="F3357" i="1"/>
  <c r="F3359" i="1"/>
  <c r="F3360" i="1"/>
  <c r="F3361" i="1"/>
  <c r="F3362" i="1"/>
  <c r="F3363" i="1"/>
  <c r="F3364" i="1"/>
  <c r="F3365" i="1"/>
  <c r="F3366" i="1"/>
  <c r="F3367" i="1"/>
  <c r="F3368" i="1"/>
  <c r="F3370" i="1"/>
  <c r="F3371" i="1"/>
  <c r="F3372" i="1"/>
  <c r="F3373" i="1"/>
  <c r="F3374" i="1"/>
  <c r="F3369" i="1"/>
  <c r="F3375" i="1"/>
  <c r="F3376" i="1"/>
  <c r="F3381" i="1"/>
  <c r="F3382" i="1"/>
  <c r="F3377" i="1"/>
  <c r="F3378" i="1"/>
  <c r="F3383" i="1"/>
  <c r="F3379" i="1"/>
  <c r="F3380" i="1"/>
  <c r="F3384" i="1"/>
  <c r="F3385" i="1"/>
  <c r="F3387" i="1"/>
  <c r="F3388" i="1"/>
  <c r="F3389" i="1"/>
  <c r="F3390" i="1"/>
  <c r="F3386"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8" i="1"/>
  <c r="F3429" i="1"/>
  <c r="F3430" i="1"/>
  <c r="F3431" i="1"/>
  <c r="F3426" i="1"/>
  <c r="F3427"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62" i="1"/>
  <c r="F3563" i="1"/>
  <c r="F3564" i="1"/>
  <c r="F3565" i="1"/>
  <c r="F3566"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7" i="1"/>
  <c r="F3568" i="1"/>
  <c r="F3569" i="1"/>
  <c r="F3570" i="1"/>
  <c r="F3571" i="1"/>
  <c r="F3572" i="1"/>
  <c r="F3573" i="1"/>
  <c r="F3578" i="1"/>
  <c r="F3579" i="1"/>
  <c r="F3580" i="1"/>
  <c r="F3581" i="1"/>
  <c r="F2885" i="1"/>
  <c r="F3582" i="1"/>
  <c r="F3583" i="1"/>
  <c r="F3584" i="1"/>
  <c r="F3585" i="1"/>
  <c r="F3574" i="1"/>
  <c r="F3575" i="1"/>
  <c r="F3586" i="1"/>
  <c r="F3587" i="1"/>
  <c r="F3588" i="1"/>
  <c r="F3589" i="1"/>
  <c r="F3590" i="1"/>
  <c r="F3576" i="1"/>
  <c r="F3595" i="1"/>
  <c r="F3596" i="1"/>
  <c r="F3597" i="1"/>
  <c r="F3591" i="1"/>
  <c r="F3592" i="1"/>
  <c r="F3593" i="1"/>
  <c r="F3594"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746" i="1"/>
  <c r="F3747" i="1"/>
  <c r="F3748" i="1"/>
  <c r="F3749"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50" i="1"/>
  <c r="F3751" i="1"/>
  <c r="F3752" i="1"/>
  <c r="F3753" i="1"/>
  <c r="F3755" i="1"/>
  <c r="F3234" i="1"/>
  <c r="F3757" i="1"/>
  <c r="F3758" i="1"/>
  <c r="F3759" i="1"/>
  <c r="F3760" i="1"/>
  <c r="F3761" i="1"/>
  <c r="F3762" i="1"/>
  <c r="F3763" i="1"/>
  <c r="F3764" i="1"/>
  <c r="F3754" i="1"/>
  <c r="F3765" i="1"/>
  <c r="F3766" i="1"/>
  <c r="F3767" i="1"/>
  <c r="F3768" i="1"/>
  <c r="F3769" i="1"/>
  <c r="F3770" i="1"/>
  <c r="F3771" i="1"/>
  <c r="F3772" i="1"/>
  <c r="F3773" i="1"/>
  <c r="F3774" i="1"/>
  <c r="F3775" i="1"/>
  <c r="F3776" i="1"/>
  <c r="F3777" i="1"/>
  <c r="F3778" i="1"/>
  <c r="F3779" i="1"/>
  <c r="F3780" i="1"/>
  <c r="F3782" i="1"/>
  <c r="F3783" i="1"/>
  <c r="F3781" i="1"/>
  <c r="F3784" i="1"/>
  <c r="F3785" i="1"/>
  <c r="F3786" i="1"/>
  <c r="F3787" i="1"/>
  <c r="F3788" i="1"/>
  <c r="F3789" i="1"/>
  <c r="F3790" i="1"/>
  <c r="F3791" i="1"/>
  <c r="F3792" i="1"/>
  <c r="F3793" i="1"/>
  <c r="F3794" i="1"/>
  <c r="F3795" i="1"/>
  <c r="F3796" i="1"/>
  <c r="F3797" i="1"/>
  <c r="F3798" i="1"/>
  <c r="F3799" i="1"/>
  <c r="F3800" i="1"/>
  <c r="F3801" i="1"/>
  <c r="F3802" i="1"/>
  <c r="F3805" i="1"/>
  <c r="F3806" i="1"/>
  <c r="F3803" i="1"/>
  <c r="F3807" i="1"/>
  <c r="F3808" i="1"/>
  <c r="F3809" i="1"/>
  <c r="F3810" i="1"/>
  <c r="F3811" i="1"/>
  <c r="F3812" i="1"/>
  <c r="F3813" i="1"/>
  <c r="F3804"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4008" i="1"/>
  <c r="F4009" i="1"/>
  <c r="F3851" i="1"/>
  <c r="F3852" i="1"/>
  <c r="F3853" i="1"/>
  <c r="F3854" i="1"/>
  <c r="F3855" i="1"/>
  <c r="F3856" i="1"/>
  <c r="F3857" i="1"/>
  <c r="F3858" i="1"/>
  <c r="F3859" i="1"/>
  <c r="F3860" i="1"/>
  <c r="F3861" i="1"/>
  <c r="F3862" i="1"/>
  <c r="F3863" i="1"/>
  <c r="F3864" i="1"/>
  <c r="F3865" i="1"/>
  <c r="F3866" i="1"/>
  <c r="F3867" i="1"/>
  <c r="F3868" i="1"/>
  <c r="F3869" i="1"/>
  <c r="F3870" i="1"/>
  <c r="F4010" i="1"/>
  <c r="F4011" i="1"/>
  <c r="F3871" i="1"/>
  <c r="F3872" i="1"/>
  <c r="F3873" i="1"/>
  <c r="F3874" i="1"/>
  <c r="F3875" i="1"/>
  <c r="F3876" i="1"/>
  <c r="F3877" i="1"/>
  <c r="F3878" i="1"/>
  <c r="F3879" i="1"/>
  <c r="F3880" i="1"/>
  <c r="F3881" i="1"/>
  <c r="F3882" i="1"/>
  <c r="F3883" i="1"/>
  <c r="F3884" i="1"/>
  <c r="F3885" i="1"/>
  <c r="F3886" i="1"/>
  <c r="F3887" i="1"/>
  <c r="F4012" i="1"/>
  <c r="F4013" i="1"/>
  <c r="F4014" i="1"/>
  <c r="F4015"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4016" i="1"/>
  <c r="F4017" i="1"/>
  <c r="F4018" i="1"/>
  <c r="F4019" i="1"/>
  <c r="F4020"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21" i="1"/>
  <c r="F4022" i="1"/>
  <c r="F4023" i="1"/>
  <c r="F4024" i="1"/>
  <c r="F4025" i="1"/>
  <c r="F4026" i="1"/>
  <c r="F4027" i="1"/>
  <c r="F4028" i="1"/>
  <c r="F4029" i="1"/>
  <c r="F4030" i="1"/>
  <c r="F4031" i="1"/>
  <c r="F4032" i="1"/>
  <c r="F4033" i="1"/>
  <c r="F4036" i="1"/>
  <c r="F4037" i="1"/>
  <c r="F4038" i="1"/>
  <c r="F4039" i="1"/>
  <c r="F4034" i="1"/>
  <c r="F4035" i="1"/>
  <c r="F4040" i="1"/>
  <c r="F4041" i="1"/>
  <c r="F4042" i="1"/>
  <c r="F4045" i="1"/>
  <c r="F4046" i="1"/>
  <c r="F4047" i="1"/>
  <c r="F679" i="1"/>
  <c r="F4048" i="1"/>
  <c r="F4043" i="1"/>
  <c r="F4044" i="1"/>
  <c r="F4049" i="1"/>
  <c r="F4050" i="1"/>
  <c r="F4051" i="1"/>
  <c r="F4055" i="1"/>
  <c r="F4056" i="1"/>
  <c r="F4057" i="1"/>
  <c r="F4053" i="1"/>
  <c r="F4058" i="1"/>
  <c r="F4059" i="1"/>
  <c r="F4060" i="1"/>
  <c r="F4054"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8" i="1"/>
  <c r="F4089" i="1"/>
  <c r="F4086" i="1"/>
  <c r="F4090" i="1"/>
  <c r="F4091" i="1"/>
  <c r="F4087" i="1"/>
  <c r="F4092" i="1"/>
  <c r="F4093" i="1"/>
  <c r="F4094" i="1"/>
  <c r="F4095" i="1"/>
  <c r="F4096" i="1"/>
  <c r="F4097" i="1"/>
  <c r="F4098" i="1"/>
  <c r="F4099" i="1"/>
  <c r="F4100" i="1"/>
  <c r="F4101" i="1"/>
  <c r="F4102" i="1"/>
  <c r="F4105" i="1"/>
  <c r="F4106" i="1"/>
  <c r="F4107" i="1"/>
  <c r="F4108" i="1"/>
  <c r="F4103" i="1"/>
  <c r="F4109" i="1"/>
  <c r="F4104"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5" i="1"/>
  <c r="F4136" i="1"/>
  <c r="F4137" i="1"/>
  <c r="F4138" i="1"/>
  <c r="F4133" i="1"/>
  <c r="F4139" i="1"/>
  <c r="F4134" i="1"/>
  <c r="F4140" i="1"/>
  <c r="F4141" i="1"/>
  <c r="F4142" i="1"/>
  <c r="F4143" i="1"/>
  <c r="F4144" i="1"/>
  <c r="F4145" i="1"/>
  <c r="F4146" i="1"/>
  <c r="F4147" i="1"/>
  <c r="F4148" i="1"/>
  <c r="F4151" i="1"/>
  <c r="F4149" i="1"/>
  <c r="F4152" i="1"/>
  <c r="F4153" i="1"/>
  <c r="F4154" i="1"/>
  <c r="F4155" i="1"/>
  <c r="F4156" i="1"/>
  <c r="F4157" i="1"/>
  <c r="F4150" i="1"/>
  <c r="F4158" i="1"/>
  <c r="F4159" i="1"/>
  <c r="F4160" i="1"/>
  <c r="F4161" i="1"/>
  <c r="F4162" i="1"/>
  <c r="F4163" i="1"/>
  <c r="F4166" i="1"/>
  <c r="F4164" i="1"/>
  <c r="F4167" i="1"/>
  <c r="F4168" i="1"/>
  <c r="F4165"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202" i="1"/>
  <c r="F4203" i="1"/>
  <c r="F4204" i="1"/>
  <c r="F3045" i="1"/>
  <c r="F4195" i="1"/>
  <c r="F4196" i="1"/>
  <c r="F4205" i="1"/>
  <c r="F4206" i="1"/>
  <c r="F4197" i="1"/>
  <c r="F4198" i="1"/>
  <c r="F4207" i="1"/>
  <c r="F4208" i="1"/>
  <c r="F4199" i="1"/>
  <c r="F4200" i="1"/>
  <c r="F4209" i="1"/>
  <c r="F4210" i="1"/>
  <c r="F4211" i="1"/>
  <c r="F4212" i="1"/>
  <c r="F4213" i="1"/>
  <c r="F4214" i="1"/>
  <c r="F4215" i="1"/>
  <c r="F4201" i="1"/>
  <c r="F4218" i="1"/>
  <c r="F4229" i="1"/>
  <c r="F4219" i="1"/>
  <c r="F4217" i="1"/>
  <c r="F4220" i="1"/>
  <c r="F4221" i="1"/>
  <c r="F4222" i="1"/>
  <c r="F4223" i="1"/>
  <c r="F4224" i="1"/>
  <c r="F4225" i="1"/>
  <c r="F4226" i="1"/>
  <c r="F4227" i="1"/>
  <c r="F4228" i="1"/>
  <c r="F4230" i="1"/>
  <c r="F4231" i="1"/>
  <c r="F4232" i="1"/>
  <c r="F4233" i="1"/>
  <c r="F4234" i="1"/>
  <c r="F4235" i="1"/>
  <c r="F4236" i="1"/>
  <c r="F4237" i="1"/>
  <c r="F4238" i="1"/>
  <c r="F4239" i="1"/>
  <c r="F4240" i="1"/>
  <c r="F4241" i="1"/>
  <c r="F4242" i="1"/>
  <c r="F4243" i="1"/>
  <c r="F4244" i="1"/>
  <c r="F4245" i="1"/>
  <c r="F4246" i="1"/>
  <c r="F4247" i="1"/>
  <c r="F4248" i="1"/>
  <c r="F4249" i="1"/>
  <c r="F4250" i="1"/>
  <c r="F4253" i="1"/>
  <c r="F4254" i="1"/>
  <c r="F4255" i="1"/>
  <c r="F4256" i="1"/>
  <c r="F4251" i="1"/>
  <c r="F4257" i="1"/>
  <c r="F4258" i="1"/>
  <c r="F4252" i="1"/>
  <c r="F4259" i="1"/>
  <c r="F4260" i="1"/>
  <c r="F4261" i="1"/>
  <c r="F4262" i="1"/>
  <c r="F4263" i="1"/>
  <c r="F4264" i="1"/>
  <c r="F4265" i="1"/>
  <c r="F4266" i="1"/>
  <c r="F4267" i="1"/>
  <c r="F4268" i="1"/>
  <c r="F4269" i="1"/>
  <c r="F4270" i="1"/>
  <c r="F4271" i="1"/>
  <c r="F4272" i="1"/>
  <c r="F4273" i="1"/>
  <c r="F4274" i="1"/>
  <c r="F4275" i="1"/>
  <c r="F4276" i="1"/>
  <c r="F4279" i="1"/>
  <c r="F4280" i="1"/>
  <c r="F4281" i="1"/>
  <c r="F4282" i="1"/>
  <c r="F4277" i="1"/>
  <c r="F4283" i="1"/>
  <c r="F4284" i="1"/>
  <c r="F4285" i="1"/>
  <c r="F4278" i="1"/>
  <c r="F4286" i="1"/>
  <c r="F4287" i="1"/>
  <c r="F4288" i="1"/>
  <c r="F4289" i="1"/>
  <c r="F4290" i="1"/>
  <c r="F4291" i="1"/>
  <c r="F4292" i="1"/>
  <c r="F4293" i="1"/>
  <c r="F4294" i="1"/>
  <c r="F4295" i="1"/>
  <c r="F4296" i="1"/>
  <c r="F4297" i="1"/>
  <c r="F4298" i="1"/>
  <c r="F4299" i="1"/>
  <c r="F4300" i="1"/>
  <c r="F4301" i="1"/>
  <c r="F4302" i="1"/>
  <c r="F4303" i="1"/>
  <c r="F4304" i="1"/>
  <c r="F4305" i="1"/>
  <c r="F4306" i="1"/>
  <c r="F4307" i="1"/>
  <c r="F4310" i="1"/>
  <c r="F4308" i="1"/>
  <c r="F4309" i="1"/>
  <c r="F4311" i="1"/>
  <c r="F4312" i="1"/>
  <c r="F4315" i="1"/>
  <c r="F4316" i="1"/>
  <c r="F4317" i="1"/>
  <c r="F4318" i="1"/>
  <c r="F4319" i="1"/>
  <c r="F4313" i="1"/>
  <c r="F4320" i="1"/>
  <c r="F4321" i="1"/>
  <c r="F4322" i="1"/>
  <c r="F4323" i="1"/>
  <c r="F4314" i="1"/>
  <c r="F4325" i="1"/>
  <c r="F4326" i="1"/>
  <c r="F4327" i="1"/>
  <c r="F4324"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6" i="1"/>
  <c r="F4357" i="1"/>
  <c r="F4358" i="1"/>
  <c r="F4359" i="1"/>
  <c r="F4360" i="1"/>
  <c r="F4361" i="1"/>
  <c r="F4354" i="1"/>
  <c r="F4355"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8" i="1"/>
  <c r="F4399" i="1"/>
  <c r="F2660" i="1"/>
  <c r="F4400" i="1"/>
  <c r="F4401" i="1"/>
  <c r="F4402" i="1"/>
  <c r="F4403" i="1"/>
  <c r="F4397" i="1"/>
  <c r="F4404" i="1"/>
  <c r="F4405" i="1"/>
  <c r="F4406" i="1"/>
  <c r="F4407" i="1"/>
  <c r="F4408" i="1"/>
  <c r="F4410" i="1"/>
  <c r="F4411" i="1"/>
  <c r="F4412" i="1"/>
  <c r="F4413" i="1"/>
  <c r="F4414" i="1"/>
  <c r="F4415" i="1"/>
  <c r="F4416" i="1"/>
  <c r="F4417" i="1"/>
  <c r="F4418" i="1"/>
  <c r="F4419" i="1"/>
  <c r="F4420" i="1"/>
  <c r="F4421" i="1"/>
  <c r="F4422" i="1"/>
  <c r="F4423" i="1"/>
  <c r="F4424" i="1"/>
  <c r="F4425" i="1"/>
  <c r="F4426" i="1"/>
  <c r="F4427" i="1"/>
  <c r="F4429" i="1"/>
  <c r="F4428"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5" i="1"/>
  <c r="F4466" i="1"/>
  <c r="F4467" i="1"/>
  <c r="F4468" i="1"/>
  <c r="F4469" i="1"/>
  <c r="F4463" i="1"/>
  <c r="F4464" i="1"/>
  <c r="F4470" i="1"/>
  <c r="F4471" i="1"/>
  <c r="F4472" i="1"/>
  <c r="F4474" i="1"/>
  <c r="F4475" i="1"/>
  <c r="F4476" i="1"/>
  <c r="F4477" i="1"/>
  <c r="F4473" i="1"/>
  <c r="F4478" i="1"/>
  <c r="F4479" i="1"/>
  <c r="F4480" i="1"/>
  <c r="F4481" i="1"/>
  <c r="F4482" i="1"/>
  <c r="F4483" i="1"/>
  <c r="F4486" i="1"/>
  <c r="F4487" i="1"/>
  <c r="F4484" i="1"/>
  <c r="F4488" i="1"/>
  <c r="F4485"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5" i="1"/>
  <c r="F4574" i="1"/>
  <c r="F4576" i="1"/>
  <c r="F4577" i="1"/>
  <c r="F4578" i="1"/>
  <c r="F4579" i="1"/>
  <c r="F4580" i="1"/>
  <c r="F4581" i="1"/>
  <c r="F4582" i="1"/>
  <c r="F4583" i="1"/>
  <c r="F4585" i="1"/>
  <c r="F4586" i="1"/>
  <c r="F2469" i="1"/>
  <c r="F4587" i="1"/>
  <c r="F4588" i="1"/>
  <c r="F4589" i="1"/>
  <c r="F4590" i="1"/>
  <c r="F4591" i="1"/>
  <c r="F4584" i="1"/>
  <c r="F4592" i="1"/>
  <c r="F4593"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30" i="1"/>
  <c r="F4631" i="1"/>
  <c r="F4626" i="1"/>
  <c r="F4627" i="1"/>
  <c r="F4632" i="1"/>
  <c r="F4633" i="1"/>
  <c r="F4628" i="1"/>
  <c r="F4629" i="1"/>
  <c r="F4634" i="1"/>
  <c r="F4635" i="1"/>
  <c r="F4636" i="1"/>
  <c r="F4637" i="1"/>
  <c r="F4638" i="1"/>
  <c r="F4640" i="1"/>
  <c r="F4641" i="1"/>
  <c r="F4639" i="1"/>
  <c r="F4642" i="1"/>
  <c r="F4643" i="1"/>
  <c r="F4644" i="1"/>
  <c r="F4645" i="1"/>
  <c r="F4646" i="1"/>
  <c r="F4647" i="1"/>
  <c r="F4648" i="1"/>
  <c r="F4649" i="1"/>
  <c r="F4650" i="1"/>
  <c r="F4651" i="1"/>
  <c r="F4654" i="1"/>
  <c r="F4655" i="1"/>
  <c r="F4656" i="1"/>
  <c r="F4657" i="1"/>
  <c r="F4652" i="1"/>
  <c r="F4658" i="1"/>
  <c r="F4653"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8" i="1"/>
  <c r="F4689" i="1"/>
  <c r="F4690" i="1"/>
  <c r="F4684" i="1"/>
  <c r="F4685" i="1"/>
  <c r="F4686" i="1"/>
  <c r="F4691" i="1"/>
  <c r="F4692" i="1"/>
  <c r="F4693" i="1"/>
  <c r="F4687" i="1"/>
  <c r="F4695" i="1"/>
  <c r="F4696" i="1"/>
  <c r="F4697" i="1"/>
  <c r="F4698" i="1"/>
  <c r="F4699" i="1"/>
  <c r="F4700" i="1"/>
  <c r="F4694" i="1"/>
  <c r="F4701" i="1"/>
  <c r="F4702" i="1"/>
  <c r="F4703" i="1"/>
  <c r="F4704" i="1"/>
  <c r="F4705" i="1"/>
  <c r="F4706" i="1"/>
  <c r="F4707" i="1"/>
  <c r="F4708" i="1"/>
  <c r="F4709" i="1"/>
  <c r="F4710" i="1"/>
  <c r="F4711" i="1"/>
  <c r="F4712" i="1"/>
  <c r="F4713" i="1"/>
  <c r="F4714" i="1"/>
  <c r="F4715" i="1"/>
  <c r="F4717" i="1"/>
  <c r="F4716" i="1"/>
  <c r="F4718" i="1"/>
  <c r="F4719" i="1"/>
  <c r="F4720" i="1"/>
  <c r="F4721" i="1"/>
  <c r="F4722" i="1"/>
  <c r="F4723" i="1"/>
  <c r="F4724" i="1"/>
  <c r="F4725" i="1"/>
  <c r="F4726" i="1"/>
  <c r="F4727" i="1"/>
  <c r="F4728" i="1"/>
  <c r="F4729" i="1"/>
  <c r="F4732" i="1"/>
  <c r="F4733" i="1"/>
  <c r="F4734" i="1"/>
  <c r="F4735" i="1"/>
  <c r="F4736" i="1"/>
  <c r="F4730" i="1"/>
  <c r="F4737" i="1"/>
  <c r="F4738" i="1"/>
  <c r="F4739" i="1"/>
  <c r="F4731" i="1"/>
  <c r="F4740" i="1"/>
  <c r="F4741" i="1"/>
  <c r="F4742" i="1"/>
  <c r="F4743" i="1"/>
  <c r="F4744" i="1"/>
  <c r="F4746" i="1"/>
  <c r="F4747" i="1"/>
  <c r="F4748" i="1"/>
  <c r="F4749" i="1"/>
  <c r="F4750" i="1"/>
  <c r="F4751" i="1"/>
  <c r="F4752" i="1"/>
  <c r="F4753" i="1"/>
  <c r="F4754" i="1"/>
  <c r="F4755" i="1"/>
  <c r="F4756" i="1"/>
  <c r="F4757" i="1"/>
  <c r="F4758" i="1"/>
  <c r="F4745"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801" i="1"/>
  <c r="F4802" i="1"/>
  <c r="F4796" i="1"/>
  <c r="F4797" i="1"/>
  <c r="F4803" i="1"/>
  <c r="F4804" i="1"/>
  <c r="F4805" i="1"/>
  <c r="F4798" i="1"/>
  <c r="F4799" i="1"/>
  <c r="F4806" i="1"/>
  <c r="F4800" i="1"/>
  <c r="F4808" i="1"/>
  <c r="F4809" i="1"/>
  <c r="F4810" i="1"/>
  <c r="F4807" i="1"/>
  <c r="F4811" i="1"/>
  <c r="F4812" i="1"/>
  <c r="F4815" i="1"/>
  <c r="F4816" i="1"/>
  <c r="F4817" i="1"/>
  <c r="F4818" i="1"/>
  <c r="F4819" i="1"/>
  <c r="F4820" i="1"/>
  <c r="F4813" i="1"/>
  <c r="F4821" i="1"/>
  <c r="F4822" i="1"/>
  <c r="F4823" i="1"/>
  <c r="F4824" i="1"/>
  <c r="F4825" i="1"/>
  <c r="F4826" i="1"/>
  <c r="F4814" i="1"/>
  <c r="F4827" i="1"/>
  <c r="F4828" i="1"/>
  <c r="F4829" i="1"/>
  <c r="F4830" i="1"/>
  <c r="F4831" i="1"/>
  <c r="F4832" i="1"/>
  <c r="F4833" i="1"/>
  <c r="F4834" i="1"/>
  <c r="F4835" i="1"/>
  <c r="F4836" i="1"/>
  <c r="F4837" i="1"/>
  <c r="F4838" i="1"/>
  <c r="F4839" i="1"/>
  <c r="F4840" i="1"/>
  <c r="F4841" i="1"/>
  <c r="F4843" i="1"/>
  <c r="F4844" i="1"/>
  <c r="F4845" i="1"/>
  <c r="F4846" i="1"/>
  <c r="F4842" i="1"/>
  <c r="F4847" i="1"/>
  <c r="F4848" i="1"/>
  <c r="F4851" i="1"/>
  <c r="F4852" i="1"/>
  <c r="F4849" i="1"/>
  <c r="F4853" i="1"/>
  <c r="F4854" i="1"/>
  <c r="F4855" i="1"/>
  <c r="F4850"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9" i="1"/>
  <c r="F4920" i="1"/>
  <c r="F4921" i="1"/>
  <c r="F4922" i="1"/>
  <c r="F4923" i="1"/>
  <c r="F4924" i="1"/>
  <c r="F4925" i="1"/>
  <c r="F4918"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8" i="1"/>
  <c r="F4969" i="1"/>
  <c r="F4966" i="1"/>
  <c r="F4970" i="1"/>
  <c r="F4971" i="1"/>
  <c r="F4967"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7" i="1"/>
  <c r="F5018" i="1"/>
  <c r="F5019" i="1"/>
  <c r="F5016" i="1"/>
  <c r="F5020" i="1"/>
  <c r="F5022" i="1"/>
  <c r="F5023" i="1"/>
  <c r="F5024" i="1"/>
  <c r="F5021"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2" i="1"/>
  <c r="F5073" i="1"/>
  <c r="F5074" i="1"/>
  <c r="F5071"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9" i="1"/>
  <c r="F5110" i="1"/>
  <c r="F5111" i="1"/>
  <c r="F5112" i="1"/>
  <c r="F5113" i="1"/>
  <c r="F5114" i="1"/>
  <c r="F5115" i="1"/>
  <c r="F5108" i="1"/>
  <c r="F5116" i="1"/>
  <c r="F5117" i="1"/>
  <c r="F5118" i="1"/>
  <c r="F5119" i="1"/>
  <c r="F5120" i="1"/>
  <c r="F5121" i="1"/>
  <c r="F5122" i="1"/>
  <c r="F5123" i="1"/>
  <c r="F5124" i="1"/>
  <c r="F5126" i="1"/>
  <c r="F5127" i="1"/>
  <c r="F5128" i="1"/>
  <c r="F5129" i="1"/>
  <c r="F5130" i="1"/>
  <c r="F5131" i="1"/>
  <c r="F5132" i="1"/>
  <c r="F5133" i="1"/>
  <c r="F5125" i="1"/>
  <c r="F5134" i="1"/>
  <c r="F5135" i="1"/>
  <c r="F5136" i="1"/>
  <c r="F5137" i="1"/>
  <c r="F5138" i="1"/>
  <c r="F5139" i="1"/>
  <c r="F5140" i="1"/>
  <c r="F5141" i="1"/>
  <c r="F5142" i="1"/>
  <c r="F5143" i="1"/>
  <c r="F5144" i="1"/>
  <c r="F5145" i="1"/>
  <c r="F5146" i="1"/>
  <c r="F5147" i="1"/>
  <c r="F5148" i="1"/>
  <c r="F5149" i="1"/>
  <c r="F5150" i="1"/>
  <c r="F5151" i="1"/>
  <c r="F5152" i="1"/>
  <c r="F5155" i="1"/>
  <c r="F5156" i="1"/>
  <c r="F5157" i="1"/>
  <c r="F5158" i="1"/>
  <c r="F5153" i="1"/>
  <c r="F5154" i="1"/>
  <c r="F5160" i="1"/>
  <c r="F5161" i="1"/>
  <c r="F5162" i="1"/>
  <c r="F5163" i="1"/>
  <c r="F5164" i="1"/>
  <c r="F5165" i="1"/>
  <c r="F5166" i="1"/>
  <c r="F5159"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5" i="1"/>
  <c r="F5191" i="1"/>
  <c r="F5192" i="1"/>
  <c r="F5196" i="1"/>
  <c r="F5197" i="1"/>
  <c r="F5193" i="1"/>
  <c r="F5194" i="1"/>
  <c r="F5198" i="1"/>
  <c r="F5199" i="1"/>
  <c r="F5200" i="1"/>
  <c r="F5201" i="1"/>
  <c r="F5202" i="1"/>
  <c r="F5205" i="1"/>
  <c r="F5206" i="1"/>
  <c r="F5207" i="1"/>
  <c r="F5203" i="1"/>
  <c r="F5208" i="1"/>
  <c r="F5209" i="1"/>
  <c r="F5210" i="1"/>
  <c r="F5211" i="1"/>
  <c r="F5204"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3" i="1"/>
  <c r="F5244" i="1"/>
  <c r="F5245" i="1"/>
  <c r="F5246" i="1"/>
  <c r="F5247" i="1"/>
  <c r="F5248" i="1"/>
  <c r="F5249" i="1"/>
  <c r="F5250" i="1"/>
  <c r="F5251" i="1"/>
  <c r="F5252" i="1"/>
  <c r="F5253" i="1"/>
  <c r="F5242" i="1"/>
  <c r="F5254" i="1"/>
  <c r="F5255" i="1"/>
  <c r="F5256" i="1"/>
  <c r="F5257" i="1"/>
  <c r="F5258" i="1"/>
  <c r="F5259" i="1"/>
  <c r="F5260" i="1"/>
  <c r="F5261" i="1"/>
  <c r="F5262" i="1"/>
  <c r="F5263" i="1"/>
  <c r="F5264" i="1"/>
  <c r="F5265" i="1"/>
  <c r="F5266" i="1"/>
  <c r="F5267" i="1"/>
  <c r="F5268" i="1"/>
  <c r="F5269" i="1"/>
  <c r="F5270" i="1"/>
  <c r="F5271" i="1"/>
  <c r="F5273" i="1"/>
  <c r="F5274" i="1"/>
  <c r="F5275" i="1"/>
  <c r="F5276" i="1"/>
  <c r="F5277" i="1"/>
  <c r="F5278" i="1"/>
  <c r="F5279" i="1"/>
  <c r="F5280" i="1"/>
  <c r="F5281" i="1"/>
  <c r="F5272" i="1"/>
  <c r="F5284" i="1"/>
  <c r="F5285" i="1"/>
  <c r="F5286" i="1"/>
  <c r="F5287" i="1"/>
  <c r="F5282" i="1"/>
  <c r="F5288" i="1"/>
  <c r="F5289" i="1"/>
  <c r="F5290" i="1"/>
  <c r="F5291" i="1"/>
  <c r="F5292" i="1"/>
  <c r="F5293" i="1"/>
  <c r="F528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7" i="1"/>
  <c r="F5328" i="1"/>
  <c r="F5329" i="1"/>
  <c r="F5330" i="1"/>
  <c r="F5331" i="1"/>
  <c r="F5332" i="1"/>
  <c r="F5333" i="1"/>
  <c r="F5334" i="1"/>
  <c r="F5335" i="1"/>
  <c r="F5336" i="1"/>
  <c r="F5337" i="1"/>
  <c r="F5338" i="1"/>
  <c r="F5326"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3" i="1"/>
  <c r="F5390" i="1"/>
  <c r="F5391" i="1"/>
  <c r="F5394" i="1"/>
  <c r="F5395" i="1"/>
  <c r="F5392"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20" i="1"/>
  <c r="F5421" i="1"/>
  <c r="F5422" i="1"/>
  <c r="F5423" i="1"/>
  <c r="F5424" i="1"/>
  <c r="F5425" i="1"/>
  <c r="F5426" i="1"/>
  <c r="F5419" i="1"/>
  <c r="F5427" i="1"/>
  <c r="F5428" i="1"/>
  <c r="F5429" i="1"/>
  <c r="F5430" i="1"/>
  <c r="F5431" i="1"/>
  <c r="F5432" i="1"/>
  <c r="F5433" i="1"/>
  <c r="F5434" i="1"/>
  <c r="F5436" i="1"/>
  <c r="F5437" i="1"/>
  <c r="F5438" i="1"/>
  <c r="F5439" i="1"/>
  <c r="F5440" i="1"/>
  <c r="F5441" i="1"/>
  <c r="F5442" i="1"/>
  <c r="F5443" i="1"/>
  <c r="F5444" i="1"/>
  <c r="F5445" i="1"/>
  <c r="F5446" i="1"/>
  <c r="F5447" i="1"/>
  <c r="F5435" i="1"/>
  <c r="F5449" i="1"/>
  <c r="F5450" i="1"/>
  <c r="F5451" i="1"/>
  <c r="F5452" i="1"/>
  <c r="F5453" i="1"/>
  <c r="F5448" i="1"/>
  <c r="F5455" i="1"/>
  <c r="F5456" i="1"/>
  <c r="F5457" i="1"/>
  <c r="F5458" i="1"/>
  <c r="F5459" i="1"/>
  <c r="F5454" i="1"/>
  <c r="F5460" i="1"/>
  <c r="F5461" i="1"/>
  <c r="F5462" i="1"/>
  <c r="F5463" i="1"/>
  <c r="F5464" i="1"/>
  <c r="F5465" i="1"/>
  <c r="F5466" i="1"/>
  <c r="F5467" i="1"/>
  <c r="F5468" i="1"/>
  <c r="F5469" i="1"/>
  <c r="F5470" i="1"/>
  <c r="F5471" i="1"/>
  <c r="F5472" i="1"/>
  <c r="F5473" i="1"/>
  <c r="F5474" i="1"/>
  <c r="F5475" i="1"/>
  <c r="F5476" i="1"/>
  <c r="F5480" i="1"/>
  <c r="F5481" i="1"/>
  <c r="F5482" i="1"/>
  <c r="F5477" i="1"/>
  <c r="F5483" i="1"/>
  <c r="F5484" i="1"/>
  <c r="F5485" i="1"/>
  <c r="F5486" i="1"/>
  <c r="F5487" i="1"/>
  <c r="F5488" i="1"/>
  <c r="F5489" i="1"/>
  <c r="F5490" i="1"/>
  <c r="F5478" i="1"/>
  <c r="F5479" i="1"/>
  <c r="F5491" i="1"/>
  <c r="F5492" i="1"/>
  <c r="F5494" i="1"/>
  <c r="F5495" i="1"/>
  <c r="F5496" i="1"/>
  <c r="F5497" i="1"/>
  <c r="F5498" i="1"/>
  <c r="F5493" i="1"/>
  <c r="F5499" i="1"/>
  <c r="F5500" i="1"/>
  <c r="F5501" i="1"/>
  <c r="F5502" i="1"/>
  <c r="F5503" i="1"/>
  <c r="F5504" i="1"/>
  <c r="F5505" i="1"/>
  <c r="F5506" i="1"/>
  <c r="F5507" i="1"/>
  <c r="F5508" i="1"/>
  <c r="F5509" i="1"/>
  <c r="F5510" i="1"/>
  <c r="F5511" i="1"/>
  <c r="F5512" i="1"/>
  <c r="F5513" i="1"/>
  <c r="F5514" i="1"/>
  <c r="F5515" i="1"/>
  <c r="F5516" i="1"/>
  <c r="F5517" i="1"/>
  <c r="F5518" i="1"/>
  <c r="F5519" i="1"/>
  <c r="F5520" i="1"/>
  <c r="F5523" i="1"/>
  <c r="F5524" i="1"/>
  <c r="F5521" i="1"/>
  <c r="F5525" i="1"/>
  <c r="F5526" i="1"/>
  <c r="F5527" i="1"/>
  <c r="F5528" i="1"/>
  <c r="F5529" i="1"/>
  <c r="F5530" i="1"/>
  <c r="F5531" i="1"/>
  <c r="F5522" i="1"/>
  <c r="F5532" i="1"/>
  <c r="F5533" i="1"/>
  <c r="F5534" i="1"/>
  <c r="F5535" i="1"/>
  <c r="F5536" i="1"/>
  <c r="F5537" i="1"/>
  <c r="F5538" i="1"/>
  <c r="F5539" i="1"/>
  <c r="F5541" i="1"/>
  <c r="F5542" i="1"/>
  <c r="F5543" i="1"/>
  <c r="F5544" i="1"/>
  <c r="F5545" i="1"/>
  <c r="F5546" i="1"/>
  <c r="F5547" i="1"/>
  <c r="F5548" i="1"/>
  <c r="F5549" i="1"/>
  <c r="F5550" i="1"/>
  <c r="F5540" i="1"/>
  <c r="F5551" i="1"/>
  <c r="F5552" i="1"/>
  <c r="F5553" i="1"/>
  <c r="F5554" i="1"/>
  <c r="F5557" i="1"/>
  <c r="F5558" i="1"/>
  <c r="F5559" i="1"/>
  <c r="F5560" i="1"/>
  <c r="F5555" i="1"/>
  <c r="F5561" i="1"/>
  <c r="F5562" i="1"/>
  <c r="F5563" i="1"/>
  <c r="F5556" i="1"/>
  <c r="F5564" i="1"/>
  <c r="F5565" i="1"/>
  <c r="F5566" i="1"/>
  <c r="F5567" i="1"/>
  <c r="F5568" i="1"/>
  <c r="F5569" i="1"/>
  <c r="F5570" i="1"/>
  <c r="F5571" i="1"/>
  <c r="F5572" i="1"/>
  <c r="F5573" i="1"/>
  <c r="F5574" i="1"/>
  <c r="F5575" i="1"/>
  <c r="F5576" i="1"/>
  <c r="F5579" i="1"/>
  <c r="F5580" i="1"/>
  <c r="F5581" i="1"/>
  <c r="F5582" i="1"/>
  <c r="F5577" i="1"/>
  <c r="F5583" i="1"/>
  <c r="F5578"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4" i="1"/>
  <c r="F5625" i="1"/>
  <c r="F5626" i="1"/>
  <c r="F5627" i="1"/>
  <c r="F5628" i="1"/>
  <c r="F5622" i="1"/>
  <c r="F5623" i="1"/>
  <c r="F5629" i="1"/>
  <c r="F5632" i="1"/>
  <c r="F5630" i="1"/>
  <c r="F5633" i="1"/>
  <c r="F5634" i="1"/>
  <c r="F5635" i="1"/>
  <c r="F5636" i="1"/>
  <c r="F5637" i="1"/>
  <c r="F5638" i="1"/>
  <c r="F5631"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80" i="1"/>
  <c r="F5681" i="1"/>
  <c r="F5682" i="1"/>
  <c r="F5676" i="1"/>
  <c r="F5677" i="1"/>
  <c r="F5678" i="1"/>
  <c r="F5683" i="1"/>
  <c r="F5684" i="1"/>
  <c r="F5679" i="1"/>
  <c r="F5686" i="1"/>
  <c r="F5687" i="1"/>
  <c r="F5685"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3" i="1"/>
  <c r="F5764" i="1"/>
  <c r="F5765" i="1"/>
  <c r="F5766" i="1"/>
  <c r="F5767" i="1"/>
  <c r="F5768" i="1"/>
  <c r="F5769" i="1"/>
  <c r="F5770" i="1"/>
  <c r="F5762"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10" i="1"/>
  <c r="F5811" i="1"/>
  <c r="F5808" i="1"/>
  <c r="F5812" i="1"/>
  <c r="F5813" i="1"/>
  <c r="F5814" i="1"/>
  <c r="F5815" i="1"/>
  <c r="F5816" i="1"/>
  <c r="F5809" i="1"/>
  <c r="F5817" i="1"/>
  <c r="F5819" i="1"/>
  <c r="F5820" i="1"/>
  <c r="F5818" i="1"/>
  <c r="F5821" i="1"/>
  <c r="F5822" i="1"/>
  <c r="F5823" i="1"/>
  <c r="F5824" i="1"/>
  <c r="F5825" i="1"/>
  <c r="F5827" i="1"/>
  <c r="F5828" i="1"/>
  <c r="F5829" i="1"/>
  <c r="F5826"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959" i="1"/>
  <c r="F5870" i="1"/>
  <c r="F5871" i="1"/>
  <c r="F5872" i="1"/>
  <c r="F5873" i="1"/>
  <c r="F5874" i="1"/>
  <c r="F5875" i="1"/>
  <c r="F5876" i="1"/>
  <c r="F5877" i="1"/>
  <c r="F5878" i="1"/>
  <c r="F5879" i="1"/>
  <c r="F5880" i="1"/>
  <c r="F5881" i="1"/>
  <c r="F5882" i="1"/>
  <c r="F5883" i="1"/>
  <c r="F5884" i="1"/>
  <c r="F5960" i="1"/>
  <c r="F5885" i="1"/>
  <c r="F5886" i="1"/>
  <c r="F5887" i="1"/>
  <c r="F5888" i="1"/>
  <c r="F5889" i="1"/>
  <c r="F5890" i="1"/>
  <c r="F5891" i="1"/>
  <c r="F5892" i="1"/>
  <c r="F5893" i="1"/>
  <c r="F5894" i="1"/>
  <c r="F5895" i="1"/>
  <c r="F5896" i="1"/>
  <c r="F5897" i="1"/>
  <c r="F5898" i="1"/>
  <c r="F5961" i="1"/>
  <c r="F5899" i="1"/>
  <c r="F5900" i="1"/>
  <c r="F5901" i="1"/>
  <c r="F5902" i="1"/>
  <c r="F5903" i="1"/>
  <c r="F5904" i="1"/>
  <c r="F5905" i="1"/>
  <c r="F5906" i="1"/>
  <c r="F5907" i="1"/>
  <c r="F5908" i="1"/>
  <c r="F5909" i="1"/>
  <c r="F5910" i="1"/>
  <c r="F5911" i="1"/>
  <c r="F5912" i="1"/>
  <c r="F5913" i="1"/>
  <c r="F5914" i="1"/>
  <c r="F5915" i="1"/>
  <c r="F5916" i="1"/>
  <c r="F5917" i="1"/>
  <c r="F5918" i="1"/>
  <c r="F5962" i="1"/>
  <c r="F5919" i="1"/>
  <c r="F5920" i="1"/>
  <c r="F5921" i="1"/>
  <c r="F5922" i="1"/>
  <c r="F5923" i="1"/>
  <c r="F5924" i="1"/>
  <c r="F5925" i="1"/>
  <c r="F5926" i="1"/>
  <c r="F5927" i="1"/>
  <c r="F5928" i="1"/>
  <c r="F5929" i="1"/>
  <c r="F5930" i="1"/>
  <c r="F5931" i="1"/>
  <c r="F5932" i="1"/>
  <c r="F5933" i="1"/>
  <c r="F5934" i="1"/>
  <c r="F5935" i="1"/>
  <c r="F5936" i="1"/>
  <c r="F5937" i="1"/>
  <c r="F5938" i="1"/>
  <c r="F5939" i="1"/>
  <c r="F5940" i="1"/>
  <c r="F5963" i="1"/>
  <c r="F5941" i="1"/>
  <c r="F5942" i="1"/>
  <c r="F5943" i="1"/>
  <c r="F5944" i="1"/>
  <c r="F5945" i="1"/>
  <c r="F5946" i="1"/>
  <c r="F5947" i="1"/>
  <c r="F5948" i="1"/>
  <c r="F5949" i="1"/>
  <c r="F5950" i="1"/>
  <c r="F5951" i="1"/>
  <c r="F5964" i="1"/>
  <c r="F5965" i="1"/>
  <c r="F5952" i="1"/>
  <c r="F5953" i="1"/>
  <c r="F5954" i="1"/>
  <c r="F5955" i="1"/>
  <c r="F5956" i="1"/>
  <c r="F5957" i="1"/>
  <c r="F5958" i="1"/>
  <c r="F5966" i="1"/>
  <c r="F5967" i="1"/>
  <c r="F5970" i="1"/>
  <c r="F5971" i="1"/>
  <c r="F5972" i="1"/>
  <c r="F5973" i="1"/>
  <c r="F5968" i="1"/>
  <c r="F5974" i="1"/>
  <c r="F5975" i="1"/>
  <c r="F5969" i="1"/>
  <c r="F5976" i="1"/>
  <c r="F5977" i="1"/>
  <c r="F5978" i="1"/>
  <c r="F5979" i="1"/>
  <c r="F5980" i="1"/>
  <c r="F5981" i="1"/>
  <c r="F5982" i="1"/>
  <c r="F5983" i="1"/>
  <c r="F5984" i="1"/>
  <c r="F5985" i="1"/>
  <c r="F5986" i="1"/>
  <c r="F5987" i="1"/>
  <c r="F5988" i="1"/>
  <c r="F5989" i="1"/>
  <c r="F5990" i="1"/>
  <c r="F5991" i="1"/>
  <c r="F5992" i="1"/>
  <c r="F5993" i="1"/>
  <c r="F5997" i="1"/>
  <c r="F5998" i="1"/>
  <c r="F5994" i="1"/>
  <c r="F5999" i="1"/>
  <c r="F6000" i="1"/>
  <c r="F6001" i="1"/>
  <c r="F5995" i="1"/>
  <c r="F5996"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147"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148"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9" i="1"/>
  <c r="F6150" i="1"/>
  <c r="F6146" i="1"/>
  <c r="F6152" i="1"/>
  <c r="F6153" i="1"/>
  <c r="F6154" i="1"/>
  <c r="F6155" i="1"/>
  <c r="F6156" i="1"/>
  <c r="F6157" i="1"/>
  <c r="F6158" i="1"/>
  <c r="F6159" i="1"/>
  <c r="F6151" i="1"/>
  <c r="F6160" i="1"/>
  <c r="F6161" i="1"/>
  <c r="F6162" i="1"/>
  <c r="F6163" i="1"/>
  <c r="F6164" i="1"/>
  <c r="F6165" i="1"/>
  <c r="F6168" i="1"/>
  <c r="F6169" i="1"/>
  <c r="F6170" i="1"/>
  <c r="F6166" i="1"/>
  <c r="F6167"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9" i="1"/>
  <c r="F6200" i="1"/>
  <c r="F6201" i="1"/>
  <c r="F6195" i="1"/>
  <c r="F6202" i="1"/>
  <c r="F6203" i="1"/>
  <c r="F6204" i="1"/>
  <c r="F6196" i="1"/>
  <c r="F6197" i="1"/>
  <c r="F6198"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449" i="1"/>
  <c r="F6238" i="1"/>
  <c r="F6239" i="1"/>
  <c r="F6240" i="1"/>
  <c r="F6241" i="1"/>
  <c r="F6242" i="1"/>
  <c r="F6243" i="1"/>
  <c r="F6244" i="1"/>
  <c r="F6450" i="1"/>
  <c r="F6451" i="1"/>
  <c r="F6452" i="1"/>
  <c r="F6245" i="1"/>
  <c r="F6246" i="1"/>
  <c r="F6247" i="1"/>
  <c r="F6248" i="1"/>
  <c r="F6249" i="1"/>
  <c r="F6250" i="1"/>
  <c r="F6251" i="1"/>
  <c r="F6252" i="1"/>
  <c r="F6453" i="1"/>
  <c r="F6253" i="1"/>
  <c r="F6254" i="1"/>
  <c r="F6255" i="1"/>
  <c r="F6256" i="1"/>
  <c r="F6257" i="1"/>
  <c r="F6258" i="1"/>
  <c r="F6259" i="1"/>
  <c r="F6260" i="1"/>
  <c r="F6261" i="1"/>
  <c r="F6262" i="1"/>
  <c r="F6263" i="1"/>
  <c r="F6264" i="1"/>
  <c r="F6265" i="1"/>
  <c r="F6266" i="1"/>
  <c r="F6267" i="1"/>
  <c r="F6268" i="1"/>
  <c r="F6269" i="1"/>
  <c r="F6454"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55" i="1"/>
  <c r="F6456" i="1"/>
  <c r="F6457" i="1"/>
  <c r="F6458" i="1"/>
  <c r="F6459" i="1"/>
  <c r="F6442" i="1"/>
  <c r="F6443" i="1"/>
  <c r="F6444" i="1"/>
  <c r="F6445" i="1"/>
  <c r="F6446" i="1"/>
  <c r="F6447" i="1"/>
  <c r="F6448" i="1"/>
  <c r="F6460" i="1"/>
  <c r="F6461" i="1"/>
  <c r="F6462" i="1"/>
  <c r="F6463" i="1"/>
  <c r="F6464" i="1"/>
  <c r="F6465" i="1"/>
  <c r="F6466" i="1"/>
  <c r="F6467" i="1"/>
  <c r="F6468" i="1"/>
  <c r="F6469" i="1"/>
  <c r="F6470" i="1"/>
  <c r="F6471" i="1"/>
  <c r="F6472" i="1"/>
  <c r="F6476" i="1"/>
  <c r="F6477" i="1"/>
  <c r="F6478" i="1"/>
  <c r="F6473" i="1"/>
  <c r="F6479" i="1"/>
  <c r="F6480" i="1"/>
  <c r="F6481" i="1"/>
  <c r="F6482" i="1"/>
  <c r="F6483" i="1"/>
  <c r="F6484" i="1"/>
  <c r="F6485" i="1"/>
  <c r="F6474" i="1"/>
  <c r="F6486" i="1"/>
  <c r="F6475" i="1"/>
  <c r="F6487" i="1"/>
  <c r="F6488" i="1"/>
  <c r="F6489" i="1"/>
  <c r="F6490" i="1"/>
  <c r="F6492" i="1"/>
  <c r="F6493" i="1"/>
  <c r="F6494" i="1"/>
  <c r="F6495" i="1"/>
  <c r="F6496" i="1"/>
  <c r="F6497" i="1"/>
  <c r="F6498" i="1"/>
  <c r="F6499" i="1"/>
  <c r="F6500" i="1"/>
  <c r="F6491" i="1"/>
  <c r="F6505" i="1"/>
  <c r="F6506" i="1"/>
  <c r="F6501" i="1"/>
  <c r="F6502" i="1"/>
  <c r="F6503" i="1"/>
  <c r="F6504" i="1"/>
  <c r="F6507" i="1"/>
  <c r="F6508" i="1"/>
  <c r="F6509" i="1"/>
  <c r="F6510" i="1"/>
  <c r="F6511" i="1"/>
  <c r="F6512" i="1"/>
  <c r="F6513" i="1"/>
  <c r="F6514" i="1"/>
  <c r="F6515" i="1"/>
  <c r="F6516" i="1"/>
  <c r="F6517" i="1"/>
  <c r="F6518" i="1"/>
  <c r="F6519" i="1"/>
  <c r="F6520" i="1"/>
  <c r="F6523" i="1"/>
  <c r="F6524" i="1"/>
  <c r="F6521" i="1"/>
  <c r="F6525" i="1"/>
  <c r="F6526" i="1"/>
  <c r="F6527" i="1"/>
  <c r="F6522"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3" i="1"/>
  <c r="F6552" i="1"/>
  <c r="F6554" i="1"/>
  <c r="F6555" i="1"/>
  <c r="F6556" i="1"/>
  <c r="F6557" i="1"/>
  <c r="F6558" i="1"/>
  <c r="F6559" i="1"/>
  <c r="F6560" i="1"/>
  <c r="F6561" i="1"/>
  <c r="F6562" i="1"/>
  <c r="F6563" i="1"/>
  <c r="F6564" i="1"/>
  <c r="F6565" i="1"/>
  <c r="F6566" i="1"/>
  <c r="F6569" i="1"/>
  <c r="F6567" i="1"/>
  <c r="F6570" i="1"/>
  <c r="F6571" i="1"/>
  <c r="F6572" i="1"/>
  <c r="F6568" i="1"/>
  <c r="F6574" i="1"/>
  <c r="F6573"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8" i="1"/>
  <c r="F6609" i="1"/>
  <c r="F6610" i="1"/>
  <c r="F6611" i="1"/>
  <c r="F6605" i="1"/>
  <c r="F6612" i="1"/>
  <c r="F6613" i="1"/>
  <c r="F6606" i="1"/>
  <c r="F6614" i="1"/>
  <c r="F6615" i="1"/>
  <c r="F6616" i="1"/>
  <c r="F6617" i="1"/>
  <c r="F6607" i="1"/>
  <c r="F6618" i="1"/>
  <c r="F6619" i="1"/>
  <c r="F6620" i="1"/>
  <c r="F6621" i="1"/>
  <c r="F6622" i="1"/>
  <c r="F6623" i="1"/>
  <c r="F6624" i="1"/>
  <c r="F6625" i="1"/>
  <c r="F6626" i="1"/>
  <c r="F6627" i="1"/>
  <c r="F6628" i="1"/>
  <c r="F6629" i="1"/>
  <c r="F6630" i="1"/>
  <c r="F6631" i="1"/>
  <c r="F6632" i="1"/>
  <c r="F6633" i="1"/>
  <c r="F6634" i="1"/>
  <c r="F6636" i="1"/>
  <c r="F6637" i="1"/>
  <c r="F6638" i="1"/>
  <c r="F6639" i="1"/>
  <c r="F6635"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8" i="1"/>
  <c r="F6689" i="1"/>
  <c r="F6687" i="1"/>
  <c r="F6690" i="1"/>
  <c r="F6691" i="1"/>
  <c r="F6692" i="1"/>
  <c r="F6693" i="1"/>
  <c r="F6694" i="1"/>
  <c r="F6695" i="1"/>
  <c r="F6696" i="1"/>
  <c r="F6697" i="1"/>
  <c r="F6698" i="1"/>
  <c r="F6699" i="1"/>
  <c r="F6700" i="1"/>
  <c r="F6701" i="1"/>
  <c r="F6702" i="1"/>
  <c r="F6705" i="1"/>
  <c r="F6706" i="1"/>
  <c r="F6707" i="1"/>
  <c r="F6703" i="1"/>
  <c r="F6708" i="1"/>
  <c r="F6704" i="1"/>
  <c r="F6709" i="1"/>
  <c r="F6710" i="1"/>
  <c r="F6711" i="1"/>
  <c r="F6712" i="1"/>
  <c r="F6713" i="1"/>
  <c r="F6714" i="1"/>
  <c r="F6715" i="1"/>
  <c r="F6716" i="1"/>
  <c r="F6717" i="1"/>
  <c r="F6718" i="1"/>
  <c r="F6719" i="1"/>
  <c r="F6720" i="1"/>
  <c r="F6721" i="1"/>
  <c r="F6722" i="1"/>
  <c r="F6723" i="1"/>
  <c r="F6724" i="1"/>
  <c r="F6725" i="1"/>
  <c r="F6726" i="1"/>
  <c r="F6727" i="1"/>
  <c r="F6730" i="1"/>
  <c r="F6731" i="1"/>
  <c r="F6732" i="1"/>
  <c r="F6733" i="1"/>
  <c r="F6734" i="1"/>
  <c r="F6735" i="1"/>
  <c r="F6728" i="1"/>
  <c r="F6736" i="1"/>
  <c r="F6737" i="1"/>
  <c r="F6738" i="1"/>
  <c r="F6739" i="1"/>
  <c r="F6740" i="1"/>
  <c r="F6741" i="1"/>
  <c r="F6729" i="1"/>
  <c r="F6754" i="1"/>
  <c r="F6744" i="1"/>
  <c r="F6745" i="1"/>
  <c r="F6746" i="1"/>
  <c r="F6747" i="1"/>
  <c r="F6742" i="1"/>
  <c r="F6743" i="1"/>
  <c r="F6748" i="1"/>
  <c r="F6749" i="1"/>
  <c r="F6750" i="1"/>
  <c r="F6751" i="1"/>
  <c r="F6752" i="1"/>
  <c r="F6753"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2" i="1"/>
  <c r="F6793" i="1"/>
  <c r="F6794" i="1"/>
  <c r="F6795" i="1"/>
  <c r="F6796" i="1"/>
  <c r="F6791" i="1"/>
  <c r="F6797" i="1"/>
  <c r="F6799" i="1"/>
  <c r="F6800" i="1"/>
  <c r="F6801" i="1"/>
  <c r="F6802" i="1"/>
  <c r="F6798" i="1"/>
  <c r="F6803" i="1"/>
  <c r="F6804" i="1"/>
  <c r="F6805" i="1"/>
  <c r="F6806" i="1"/>
  <c r="F6807" i="1"/>
  <c r="F6808" i="1"/>
  <c r="F6809" i="1"/>
  <c r="F6810" i="1"/>
  <c r="F6811" i="1"/>
  <c r="F6812" i="1"/>
  <c r="F6813" i="1"/>
  <c r="F6814" i="1"/>
  <c r="F6817" i="1"/>
  <c r="F6815" i="1"/>
  <c r="F6816" i="1"/>
  <c r="F6818" i="1"/>
  <c r="F6819" i="1"/>
  <c r="F6820" i="1"/>
  <c r="F6821" i="1"/>
  <c r="F6822" i="1"/>
  <c r="F6823" i="1"/>
  <c r="F6824" i="1"/>
  <c r="F6825" i="1"/>
  <c r="F6826" i="1"/>
  <c r="F6829" i="1"/>
  <c r="F6830" i="1"/>
  <c r="F6827" i="1"/>
  <c r="F6831" i="1"/>
  <c r="F6828" i="1"/>
  <c r="F6832" i="1"/>
  <c r="F6833" i="1"/>
  <c r="F6834" i="1"/>
  <c r="F6836" i="1"/>
  <c r="F6837" i="1"/>
  <c r="F6835" i="1"/>
  <c r="F6838" i="1"/>
  <c r="F6839" i="1"/>
  <c r="F6841" i="1"/>
  <c r="F6842" i="1"/>
  <c r="F6843" i="1"/>
  <c r="F6840"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80" i="1"/>
  <c r="F6881" i="1"/>
  <c r="F6878" i="1"/>
  <c r="F6879" i="1"/>
  <c r="F6882" i="1"/>
  <c r="F6883" i="1"/>
  <c r="F6884" i="1"/>
  <c r="F6885" i="1"/>
  <c r="F6886" i="1"/>
  <c r="F6887" i="1"/>
  <c r="F6888" i="1"/>
  <c r="F6889" i="1"/>
  <c r="F6890" i="1"/>
  <c r="F6891" i="1"/>
  <c r="F6892" i="1"/>
  <c r="F6894" i="1"/>
  <c r="F6893" i="1"/>
  <c r="F6895" i="1"/>
  <c r="F6898" i="1"/>
  <c r="F6899" i="1"/>
  <c r="F6900" i="1"/>
  <c r="F6901" i="1"/>
  <c r="F6902" i="1"/>
  <c r="F6897" i="1"/>
  <c r="F6896" i="1"/>
  <c r="F6903" i="1"/>
  <c r="F6904" i="1"/>
  <c r="F6905" i="1"/>
  <c r="F6906" i="1"/>
  <c r="F6907" i="1"/>
  <c r="F6908" i="1"/>
  <c r="F6911" i="1"/>
  <c r="F6912" i="1"/>
  <c r="F6909" i="1"/>
  <c r="F6910" i="1"/>
  <c r="F6913" i="1"/>
  <c r="F6914" i="1"/>
  <c r="F6915" i="1"/>
  <c r="F6916" i="1"/>
  <c r="F6917" i="1"/>
  <c r="F6918" i="1"/>
  <c r="F6919" i="1"/>
  <c r="F6920" i="1"/>
  <c r="F6921" i="1"/>
  <c r="F6922" i="1"/>
  <c r="F6923" i="1"/>
  <c r="F6924" i="1"/>
  <c r="F6925" i="1"/>
  <c r="F6926" i="1"/>
  <c r="F6927" i="1"/>
  <c r="F6928" i="1"/>
  <c r="F6929" i="1"/>
  <c r="F6930" i="1"/>
  <c r="F6931" i="1"/>
  <c r="F6932" i="1"/>
  <c r="F6933" i="1"/>
  <c r="F6937" i="1"/>
  <c r="F6934" i="1"/>
  <c r="F6935" i="1"/>
  <c r="F6936" i="1"/>
  <c r="F6940" i="1"/>
  <c r="F6938" i="1"/>
  <c r="F6939" i="1"/>
  <c r="F6941" i="1"/>
  <c r="F6942" i="1"/>
  <c r="F6943" i="1"/>
  <c r="F6944" i="1"/>
  <c r="F6945" i="1"/>
  <c r="F6946" i="1"/>
  <c r="F6947" i="1"/>
  <c r="F6948" i="1"/>
  <c r="F6949" i="1"/>
  <c r="F6950" i="1"/>
  <c r="F6951" i="1"/>
  <c r="F6952" i="1"/>
  <c r="F6953" i="1"/>
  <c r="F6954" i="1"/>
  <c r="F6955" i="1"/>
  <c r="F6956" i="1"/>
  <c r="F6957" i="1"/>
  <c r="F6958" i="1"/>
  <c r="F6959" i="1"/>
  <c r="F6960" i="1"/>
  <c r="F6966" i="1"/>
  <c r="F6961" i="1"/>
  <c r="F6962" i="1"/>
  <c r="F6963" i="1"/>
  <c r="F6964" i="1"/>
  <c r="F6965" i="1"/>
  <c r="F6967" i="1"/>
  <c r="F6968" i="1"/>
  <c r="F6969" i="1"/>
  <c r="F6970" i="1"/>
  <c r="F6972" i="1"/>
  <c r="F6971"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30" i="1"/>
  <c r="F7026" i="1"/>
  <c r="F7027" i="1"/>
  <c r="F7031" i="1"/>
  <c r="F7028" i="1"/>
  <c r="F7029" i="1"/>
  <c r="F7032" i="1"/>
  <c r="F7033" i="1"/>
  <c r="F7034" i="1"/>
  <c r="F7035" i="1"/>
  <c r="F7036" i="1"/>
  <c r="F7037" i="1"/>
  <c r="F7038" i="1"/>
  <c r="F7039" i="1"/>
  <c r="F7040" i="1"/>
  <c r="F7041" i="1"/>
  <c r="F7042" i="1"/>
  <c r="F7043" i="1"/>
  <c r="F7044" i="1"/>
  <c r="F7053" i="1"/>
  <c r="F7045" i="1"/>
  <c r="F7046" i="1"/>
  <c r="F7054" i="1"/>
  <c r="F7055" i="1"/>
  <c r="F7047" i="1"/>
  <c r="F7048" i="1"/>
  <c r="F7049" i="1"/>
  <c r="F7050" i="1"/>
  <c r="F7051" i="1"/>
  <c r="F7052" i="1"/>
  <c r="F7056" i="1"/>
  <c r="F7065" i="1"/>
  <c r="F7057" i="1"/>
  <c r="F7058" i="1"/>
  <c r="F7059" i="1"/>
  <c r="F7066" i="1"/>
  <c r="F7060" i="1"/>
  <c r="F7061" i="1"/>
  <c r="F7062" i="1"/>
  <c r="F7063" i="1"/>
  <c r="F7064" i="1"/>
  <c r="F7067" i="1"/>
  <c r="F7068" i="1"/>
  <c r="F7069" i="1"/>
  <c r="F7070" i="1"/>
  <c r="F7071" i="1"/>
  <c r="F7072" i="1"/>
  <c r="F7073" i="1"/>
  <c r="F7074" i="1"/>
  <c r="F7075" i="1"/>
  <c r="F7076" i="1"/>
  <c r="F7077" i="1"/>
  <c r="F7078" i="1"/>
  <c r="F7079" i="1"/>
  <c r="F7080" i="1"/>
  <c r="F7083" i="1"/>
  <c r="F7081" i="1"/>
  <c r="F7082" i="1"/>
  <c r="F7084" i="1"/>
  <c r="F7085" i="1"/>
  <c r="F7086" i="1"/>
  <c r="F7087" i="1"/>
  <c r="F7096" i="1"/>
  <c r="F7088" i="1"/>
  <c r="F7089" i="1"/>
  <c r="F7090" i="1"/>
  <c r="F7097" i="1"/>
  <c r="F7091" i="1"/>
  <c r="F7092" i="1"/>
  <c r="F7093" i="1"/>
  <c r="F7094" i="1"/>
  <c r="F7095" i="1"/>
  <c r="F7098" i="1"/>
  <c r="F7099" i="1"/>
  <c r="F7103" i="1"/>
  <c r="F7100" i="1"/>
  <c r="F7101" i="1"/>
  <c r="F7102" i="1"/>
  <c r="F7104" i="1"/>
  <c r="F7108" i="1"/>
  <c r="F7105" i="1"/>
  <c r="F7106" i="1"/>
  <c r="F7107"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74" i="1"/>
  <c r="F7167" i="1"/>
  <c r="F7168" i="1"/>
  <c r="F7175" i="1"/>
  <c r="F7169" i="1"/>
  <c r="F7170" i="1"/>
  <c r="F7171" i="1"/>
  <c r="F7172" i="1"/>
  <c r="F7173" i="1"/>
  <c r="F7176" i="1"/>
  <c r="F7177" i="1"/>
  <c r="F7178" i="1"/>
  <c r="F7179" i="1"/>
  <c r="F7180" i="1"/>
  <c r="F7181" i="1"/>
  <c r="F7182" i="1"/>
  <c r="F7184" i="1"/>
  <c r="F7183" i="1"/>
  <c r="F7185" i="1"/>
  <c r="F7186" i="1"/>
  <c r="F7187" i="1"/>
  <c r="F7188" i="1"/>
  <c r="F7189" i="1"/>
  <c r="F7190" i="1"/>
  <c r="F7191" i="1"/>
  <c r="F7192" i="1"/>
  <c r="F7193" i="1"/>
  <c r="F7194" i="1"/>
  <c r="F7195" i="1"/>
  <c r="F7196" i="1"/>
  <c r="F7197" i="1"/>
  <c r="F7198" i="1"/>
  <c r="F7199" i="1"/>
  <c r="F7201" i="1"/>
  <c r="F7202" i="1"/>
  <c r="F7203" i="1"/>
  <c r="F7212" i="1"/>
  <c r="F7204" i="1"/>
  <c r="F7205" i="1"/>
  <c r="F7206" i="1"/>
  <c r="F7207" i="1"/>
  <c r="F7208" i="1"/>
  <c r="F7209" i="1"/>
  <c r="F7210" i="1"/>
  <c r="F7211" i="1"/>
  <c r="F7200" i="1"/>
  <c r="F7213" i="1"/>
  <c r="F7214" i="1"/>
  <c r="F7215" i="1"/>
  <c r="F7216" i="1"/>
  <c r="F7217" i="1"/>
  <c r="F7218" i="1"/>
  <c r="F7219" i="1"/>
  <c r="F7220" i="1"/>
  <c r="F7221" i="1"/>
  <c r="F7222" i="1"/>
  <c r="F7226" i="1"/>
  <c r="F7227" i="1"/>
  <c r="F7228" i="1"/>
  <c r="F7223" i="1"/>
  <c r="F7224" i="1"/>
  <c r="F7225"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4" i="1"/>
  <c r="F7253" i="1"/>
  <c r="F7255" i="1"/>
  <c r="F7256" i="1"/>
  <c r="F7257" i="1"/>
  <c r="F7258" i="1"/>
  <c r="F7259" i="1"/>
  <c r="F7260" i="1"/>
  <c r="F7261" i="1"/>
  <c r="F7262" i="1"/>
  <c r="F7263" i="1"/>
  <c r="F7264" i="1"/>
  <c r="F7265" i="1"/>
  <c r="F7266" i="1"/>
  <c r="F7267" i="1"/>
  <c r="F7268" i="1"/>
  <c r="F7269" i="1"/>
  <c r="F7270" i="1"/>
  <c r="F7276" i="1"/>
  <c r="F7271" i="1"/>
  <c r="F7272" i="1"/>
  <c r="F7273" i="1"/>
  <c r="F7274" i="1"/>
  <c r="F7275" i="1"/>
  <c r="F7277" i="1"/>
  <c r="F7278" i="1"/>
  <c r="F7279" i="1"/>
  <c r="F7282" i="1"/>
  <c r="F7280" i="1"/>
  <c r="F7281"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8" i="1"/>
  <c r="F7307" i="1"/>
  <c r="F7309" i="1"/>
  <c r="F7310" i="1"/>
  <c r="F7313" i="1"/>
  <c r="F7311" i="1"/>
  <c r="F7312" i="1"/>
  <c r="F7314" i="1"/>
  <c r="F7315" i="1"/>
  <c r="F7316" i="1"/>
  <c r="F7317" i="1"/>
  <c r="F7318" i="1"/>
  <c r="F7319" i="1"/>
  <c r="F7325" i="1"/>
  <c r="F7320" i="1"/>
  <c r="F7321" i="1"/>
  <c r="F7322" i="1"/>
  <c r="F7323" i="1"/>
  <c r="F7324" i="1"/>
  <c r="F7326" i="1"/>
  <c r="F7327" i="1"/>
  <c r="F7328" i="1"/>
  <c r="F7329" i="1"/>
  <c r="F7330" i="1"/>
  <c r="F7331" i="1"/>
  <c r="F7332" i="1"/>
  <c r="F7333" i="1"/>
  <c r="F7334" i="1"/>
  <c r="F7335" i="1"/>
  <c r="F7336" i="1"/>
  <c r="F7337" i="1"/>
  <c r="F7338" i="1"/>
  <c r="F7339" i="1"/>
  <c r="F7340" i="1"/>
  <c r="F7344" i="1"/>
  <c r="F7341" i="1"/>
  <c r="F7342" i="1"/>
  <c r="F7343" i="1"/>
  <c r="F7345" i="1"/>
  <c r="F7346" i="1"/>
  <c r="F7347" i="1"/>
  <c r="F7348" i="1"/>
  <c r="F7353" i="1"/>
  <c r="F7349" i="1"/>
  <c r="F7350" i="1"/>
  <c r="F7351" i="1"/>
  <c r="F7352"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90" i="1"/>
  <c r="F7391" i="1"/>
  <c r="F7392" i="1"/>
  <c r="F7393" i="1"/>
  <c r="F7384" i="1"/>
  <c r="F7385" i="1"/>
  <c r="F7386" i="1"/>
  <c r="F7387" i="1"/>
  <c r="F7388" i="1"/>
  <c r="F7389" i="1"/>
  <c r="F7394" i="1"/>
  <c r="F7395" i="1"/>
  <c r="F7396" i="1"/>
  <c r="F7397" i="1"/>
  <c r="F7398" i="1"/>
  <c r="F7399" i="1"/>
  <c r="F7400" i="1"/>
  <c r="F7401" i="1"/>
  <c r="F7402" i="1"/>
  <c r="F7403" i="1"/>
  <c r="F7407" i="1"/>
  <c r="F7408" i="1"/>
  <c r="F7404" i="1"/>
  <c r="F7405" i="1"/>
  <c r="F7406" i="1"/>
  <c r="F7409" i="1"/>
  <c r="F7410" i="1"/>
  <c r="F7411" i="1"/>
  <c r="F7416" i="1"/>
  <c r="F7417" i="1"/>
  <c r="F7412" i="1"/>
  <c r="F7413" i="1"/>
  <c r="F7414" i="1"/>
  <c r="F7415"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4" i="1"/>
  <c r="F7501" i="1"/>
  <c r="F7502" i="1"/>
  <c r="F7503"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40" i="1"/>
  <c r="F7537" i="1"/>
  <c r="F7538" i="1"/>
  <c r="F7539" i="1"/>
  <c r="F7541" i="1"/>
  <c r="F7542" i="1"/>
  <c r="F7543" i="1"/>
  <c r="F7544" i="1"/>
  <c r="F7545" i="1"/>
  <c r="F7546" i="1"/>
  <c r="F7548" i="1"/>
  <c r="F7547" i="1"/>
  <c r="F7549" i="1"/>
  <c r="F7550" i="1"/>
  <c r="F7551" i="1"/>
  <c r="F7552" i="1"/>
  <c r="F7553" i="1"/>
  <c r="F7554" i="1"/>
  <c r="F7555" i="1"/>
  <c r="F7556" i="1"/>
  <c r="F7557" i="1"/>
  <c r="F7558" i="1"/>
  <c r="F7559" i="1"/>
  <c r="F7560" i="1"/>
  <c r="F7561" i="1"/>
  <c r="F7562" i="1"/>
  <c r="F7563" i="1"/>
  <c r="F7564" i="1"/>
  <c r="F7565" i="1"/>
  <c r="F7575" i="1"/>
  <c r="F7576" i="1"/>
  <c r="F7566" i="1"/>
  <c r="F7567" i="1"/>
  <c r="F7568" i="1"/>
  <c r="F11705" i="1"/>
  <c r="F7569" i="1"/>
  <c r="F7570" i="1"/>
  <c r="F7571" i="1"/>
  <c r="F7572" i="1"/>
  <c r="F7573" i="1"/>
  <c r="F7574" i="1"/>
  <c r="F7578" i="1"/>
  <c r="F7579" i="1"/>
  <c r="F7580" i="1"/>
  <c r="F7581" i="1"/>
  <c r="F7582" i="1"/>
  <c r="F7583" i="1"/>
  <c r="F7584" i="1"/>
  <c r="F7585" i="1"/>
  <c r="F7586" i="1"/>
  <c r="F7587" i="1"/>
  <c r="F7588" i="1"/>
  <c r="F7589" i="1"/>
  <c r="F7590" i="1"/>
  <c r="F7591" i="1"/>
  <c r="F7592" i="1"/>
  <c r="F7593" i="1"/>
  <c r="F7594" i="1"/>
  <c r="F7596" i="1"/>
  <c r="F7595" i="1"/>
  <c r="F7597" i="1"/>
  <c r="F7598" i="1"/>
  <c r="F7599" i="1"/>
  <c r="F7600" i="1"/>
  <c r="F7601" i="1"/>
  <c r="F7602" i="1"/>
  <c r="F7603" i="1"/>
  <c r="F7604" i="1"/>
  <c r="F7605" i="1"/>
  <c r="F7606" i="1"/>
  <c r="F7607" i="1"/>
  <c r="F7608" i="1"/>
  <c r="F7609" i="1"/>
  <c r="F7610" i="1"/>
  <c r="F7611" i="1"/>
  <c r="F7612" i="1"/>
  <c r="F7613" i="1"/>
  <c r="F7616" i="1"/>
  <c r="F7614" i="1"/>
  <c r="F7615" i="1"/>
  <c r="F7617" i="1"/>
  <c r="F7618" i="1"/>
  <c r="F7619" i="1"/>
  <c r="F7620" i="1"/>
  <c r="F7621" i="1"/>
  <c r="F7624" i="1"/>
  <c r="F7622" i="1"/>
  <c r="F7623"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5" i="1"/>
  <c r="F7664"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91" i="1"/>
  <c r="F7692" i="1"/>
  <c r="F7689" i="1"/>
  <c r="F7690" i="1"/>
  <c r="F7693" i="1"/>
  <c r="F7694" i="1"/>
  <c r="F7695" i="1"/>
  <c r="F7696" i="1"/>
  <c r="F7697" i="1"/>
  <c r="F7698" i="1"/>
  <c r="F7699" i="1"/>
  <c r="F7700" i="1"/>
  <c r="F7701" i="1"/>
  <c r="F7702" i="1"/>
  <c r="F7703" i="1"/>
  <c r="F7704" i="1"/>
  <c r="F7705" i="1"/>
  <c r="F7706" i="1"/>
  <c r="F7707" i="1"/>
  <c r="F7708" i="1"/>
  <c r="F7709" i="1"/>
  <c r="F7710" i="1"/>
  <c r="F7711" i="1"/>
  <c r="F7712" i="1"/>
  <c r="F7714" i="1"/>
  <c r="F7713" i="1"/>
  <c r="F7715" i="1"/>
  <c r="F7716" i="1"/>
  <c r="F7717" i="1"/>
  <c r="F7718" i="1"/>
  <c r="F7719" i="1"/>
  <c r="F7720" i="1"/>
  <c r="F7721" i="1"/>
  <c r="F7725" i="1"/>
  <c r="F7722" i="1"/>
  <c r="F7723" i="1"/>
  <c r="F7724" i="1"/>
  <c r="F7726" i="1"/>
  <c r="F7727" i="1"/>
  <c r="F7728" i="1"/>
  <c r="F7729" i="1"/>
  <c r="F7730" i="1"/>
  <c r="F7731" i="1"/>
  <c r="F7732" i="1"/>
  <c r="F7733" i="1"/>
  <c r="F7734" i="1"/>
  <c r="F7735" i="1"/>
  <c r="F7736" i="1"/>
  <c r="F7737" i="1"/>
  <c r="F7738" i="1"/>
  <c r="F7739" i="1"/>
  <c r="F7740" i="1"/>
  <c r="F7741" i="1"/>
  <c r="F7742" i="1"/>
  <c r="F7743" i="1"/>
  <c r="F7744" i="1"/>
  <c r="F7745" i="1"/>
  <c r="F7749" i="1"/>
  <c r="F7746" i="1"/>
  <c r="F7747" i="1"/>
  <c r="F7748" i="1"/>
  <c r="F7750" i="1"/>
  <c r="F7751" i="1"/>
  <c r="F7752" i="1"/>
  <c r="F7753" i="1"/>
  <c r="F7754" i="1"/>
  <c r="F7755" i="1"/>
  <c r="F7756" i="1"/>
  <c r="F7757" i="1"/>
  <c r="F7758" i="1"/>
  <c r="F7759" i="1"/>
  <c r="F7760" i="1"/>
  <c r="F7761" i="1"/>
  <c r="F7762" i="1"/>
  <c r="F7763" i="1"/>
  <c r="F7764" i="1"/>
  <c r="F7765" i="1"/>
  <c r="F7766" i="1"/>
  <c r="F7767" i="1"/>
  <c r="F7768" i="1"/>
  <c r="F7774" i="1"/>
  <c r="F7775" i="1"/>
  <c r="F7769" i="1"/>
  <c r="F11478" i="1"/>
  <c r="F7770" i="1"/>
  <c r="F7771" i="1"/>
  <c r="F7772" i="1"/>
  <c r="F7776" i="1"/>
  <c r="F7773"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20" i="1"/>
  <c r="F7817" i="1"/>
  <c r="F7818" i="1"/>
  <c r="F7819" i="1"/>
  <c r="F7821" i="1"/>
  <c r="F7822" i="1"/>
  <c r="F7823" i="1"/>
  <c r="F7824" i="1"/>
  <c r="F7825" i="1"/>
  <c r="F7826" i="1"/>
  <c r="F7827" i="1"/>
  <c r="F7828" i="1"/>
  <c r="F7829" i="1"/>
  <c r="F7830" i="1"/>
  <c r="F7831" i="1"/>
  <c r="F7835" i="1"/>
  <c r="F7832" i="1"/>
  <c r="F7833" i="1"/>
  <c r="F7836" i="1"/>
  <c r="F7837" i="1"/>
  <c r="F7834" i="1"/>
  <c r="F7838" i="1"/>
  <c r="F7839" i="1"/>
  <c r="F7840" i="1"/>
  <c r="F7841" i="1"/>
  <c r="F7842" i="1"/>
  <c r="F7843" i="1"/>
  <c r="F7844" i="1"/>
  <c r="F7845" i="1"/>
  <c r="F7846" i="1"/>
  <c r="F7847" i="1"/>
  <c r="F7848" i="1"/>
  <c r="F7849" i="1"/>
  <c r="F7850" i="1"/>
  <c r="F7851" i="1"/>
  <c r="F7852" i="1"/>
  <c r="F7853" i="1"/>
  <c r="F7854" i="1"/>
  <c r="F7855" i="1"/>
  <c r="F7856" i="1"/>
  <c r="F7863" i="1"/>
  <c r="F7857" i="1"/>
  <c r="F7858" i="1"/>
  <c r="F7859" i="1"/>
  <c r="F7860" i="1"/>
  <c r="F7861" i="1"/>
  <c r="F7862" i="1"/>
  <c r="F7864" i="1"/>
  <c r="F7865" i="1"/>
  <c r="F7866" i="1"/>
  <c r="F7867" i="1"/>
  <c r="F7868" i="1"/>
  <c r="F7872" i="1"/>
  <c r="F7869" i="1"/>
  <c r="F7873" i="1"/>
  <c r="F7870" i="1"/>
  <c r="F7871"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12" i="1"/>
  <c r="F7913" i="1"/>
  <c r="F7909" i="1"/>
  <c r="F7910" i="1"/>
  <c r="F7911" i="1"/>
  <c r="F7914" i="1"/>
  <c r="F7915" i="1"/>
  <c r="F7916" i="1"/>
  <c r="F7917" i="1"/>
  <c r="F7918" i="1"/>
  <c r="F7919" i="1"/>
  <c r="F7920" i="1"/>
  <c r="F7923" i="1"/>
  <c r="F7921" i="1"/>
  <c r="F7922" i="1"/>
  <c r="F7924" i="1"/>
  <c r="F7925" i="1"/>
  <c r="F7926" i="1"/>
  <c r="F7927" i="1"/>
  <c r="F7928" i="1"/>
  <c r="F7929" i="1"/>
  <c r="F7930" i="1"/>
  <c r="F7931" i="1"/>
  <c r="F7932" i="1"/>
  <c r="F7933" i="1"/>
  <c r="F7934" i="1"/>
  <c r="F7935" i="1"/>
  <c r="F7938" i="1"/>
  <c r="F11153" i="1"/>
  <c r="F7936" i="1"/>
  <c r="F7937" i="1"/>
  <c r="F7940" i="1"/>
  <c r="F7941" i="1"/>
  <c r="F7942" i="1"/>
  <c r="F7943" i="1"/>
  <c r="F7944" i="1"/>
  <c r="F7945" i="1"/>
  <c r="F7946" i="1"/>
  <c r="F7947" i="1"/>
  <c r="F7948" i="1"/>
  <c r="F7949" i="1"/>
  <c r="F7950" i="1"/>
  <c r="F7951" i="1"/>
  <c r="F7952" i="1"/>
  <c r="F7953" i="1"/>
  <c r="F7954" i="1"/>
  <c r="F4052"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80" i="1"/>
  <c r="F7979" i="1"/>
  <c r="F7981" i="1"/>
  <c r="F7982" i="1"/>
  <c r="F7983" i="1"/>
  <c r="F7984" i="1"/>
  <c r="F7985" i="1"/>
  <c r="F7986" i="1"/>
  <c r="F7987" i="1"/>
  <c r="F7988" i="1"/>
  <c r="F7989" i="1"/>
  <c r="F7990" i="1"/>
  <c r="F7991" i="1"/>
  <c r="F7992" i="1"/>
  <c r="F7993" i="1"/>
  <c r="F7994" i="1"/>
  <c r="F7995" i="1"/>
  <c r="F7996" i="1"/>
  <c r="F7998" i="1"/>
  <c r="F7997" i="1"/>
  <c r="F7999" i="1"/>
  <c r="F8000" i="1"/>
  <c r="F8003" i="1"/>
  <c r="F8001" i="1"/>
  <c r="F8002" i="1"/>
  <c r="F8004" i="1"/>
  <c r="F8005" i="1"/>
  <c r="F8006" i="1"/>
  <c r="F8007" i="1"/>
  <c r="F8008" i="1"/>
  <c r="F8009" i="1"/>
  <c r="F8010" i="1"/>
  <c r="F8011" i="1"/>
  <c r="F8012" i="1"/>
  <c r="F8013" i="1"/>
  <c r="F8014" i="1"/>
  <c r="F8015" i="1"/>
  <c r="F8016" i="1"/>
  <c r="F8018" i="1"/>
  <c r="F8019" i="1"/>
  <c r="F8017" i="1"/>
  <c r="F8020" i="1"/>
  <c r="F8021" i="1"/>
  <c r="F8022" i="1"/>
  <c r="F8023" i="1"/>
  <c r="F8024" i="1"/>
  <c r="F8025" i="1"/>
  <c r="F8026" i="1"/>
  <c r="F8027" i="1"/>
  <c r="F8028" i="1"/>
  <c r="F8029" i="1"/>
  <c r="F8030" i="1"/>
  <c r="F8052" i="1"/>
  <c r="F8032" i="1"/>
  <c r="F8033" i="1"/>
  <c r="F8034" i="1"/>
  <c r="F8035" i="1"/>
  <c r="F8036" i="1"/>
  <c r="F8037" i="1"/>
  <c r="F8038" i="1"/>
  <c r="F8039" i="1"/>
  <c r="F8040" i="1"/>
  <c r="F8041" i="1"/>
  <c r="F8042" i="1"/>
  <c r="F8043" i="1"/>
  <c r="F8044" i="1"/>
  <c r="F8045" i="1"/>
  <c r="F8046" i="1"/>
  <c r="F8047" i="1"/>
  <c r="F8048" i="1"/>
  <c r="F8049" i="1"/>
  <c r="F8050" i="1"/>
  <c r="F8051" i="1"/>
  <c r="F7955" i="1"/>
  <c r="F8053" i="1"/>
  <c r="F8054" i="1"/>
  <c r="F8055" i="1"/>
  <c r="F8056" i="1"/>
  <c r="F8057" i="1"/>
  <c r="F8063" i="1"/>
  <c r="F8058" i="1"/>
  <c r="F8059" i="1"/>
  <c r="F8060" i="1"/>
  <c r="F8061" i="1"/>
  <c r="F8062" i="1"/>
  <c r="F8064" i="1"/>
  <c r="F8065" i="1"/>
  <c r="F8066" i="1"/>
  <c r="F8067" i="1"/>
  <c r="F8068" i="1"/>
  <c r="F8069" i="1"/>
  <c r="F8070" i="1"/>
  <c r="F8071" i="1"/>
  <c r="F8072" i="1"/>
  <c r="F8031" i="1"/>
  <c r="F8074" i="1"/>
  <c r="F8075" i="1"/>
  <c r="F8076" i="1"/>
  <c r="F8077" i="1"/>
  <c r="F8078" i="1"/>
  <c r="F8079" i="1"/>
  <c r="F8080" i="1"/>
  <c r="F8081" i="1"/>
  <c r="F8082" i="1"/>
  <c r="F8083" i="1"/>
  <c r="F8084" i="1"/>
  <c r="F8085" i="1"/>
  <c r="F8086" i="1"/>
  <c r="F8087" i="1"/>
  <c r="F8088" i="1"/>
  <c r="F8089" i="1"/>
  <c r="F8090" i="1"/>
  <c r="F8091" i="1"/>
  <c r="F8092" i="1"/>
  <c r="F8098" i="1"/>
  <c r="F8093" i="1"/>
  <c r="F8094" i="1"/>
  <c r="F8095" i="1"/>
  <c r="F8096" i="1"/>
  <c r="F8099" i="1"/>
  <c r="F8097" i="1"/>
  <c r="F8100" i="1"/>
  <c r="F8101" i="1"/>
  <c r="F8102" i="1"/>
  <c r="F8103" i="1"/>
  <c r="F8107" i="1"/>
  <c r="F8108" i="1"/>
  <c r="F11622" i="1"/>
  <c r="F8104" i="1"/>
  <c r="F8105" i="1"/>
  <c r="F8106" i="1"/>
  <c r="F8110" i="1"/>
  <c r="F8111" i="1"/>
  <c r="F8112" i="1"/>
  <c r="F8113" i="1"/>
  <c r="F8114" i="1"/>
  <c r="F8115" i="1"/>
  <c r="F8116" i="1"/>
  <c r="F8117" i="1"/>
  <c r="F8118" i="1"/>
  <c r="F8119" i="1"/>
  <c r="F8120" i="1"/>
  <c r="F8121" i="1"/>
  <c r="F8122" i="1"/>
  <c r="F8123" i="1"/>
  <c r="F8124" i="1"/>
  <c r="F8125" i="1"/>
  <c r="F8126" i="1"/>
  <c r="F8127" i="1"/>
  <c r="F8128" i="1"/>
  <c r="F8129" i="1"/>
  <c r="F8130" i="1"/>
  <c r="F8133" i="1"/>
  <c r="F8131" i="1"/>
  <c r="F8132" i="1"/>
  <c r="F8134" i="1"/>
  <c r="F8135" i="1"/>
  <c r="F8136" i="1"/>
  <c r="F8137" i="1"/>
  <c r="F8138" i="1"/>
  <c r="F8139" i="1"/>
  <c r="F8140" i="1"/>
  <c r="F8143" i="1"/>
  <c r="F8141" i="1"/>
  <c r="F8142"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1" i="1"/>
  <c r="F8170" i="1"/>
  <c r="F8172" i="1"/>
  <c r="F8173" i="1"/>
  <c r="F8174" i="1"/>
  <c r="F8178" i="1"/>
  <c r="F8175" i="1"/>
  <c r="F8176" i="1"/>
  <c r="F8177"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86" i="1"/>
  <c r="F8279" i="1"/>
  <c r="F8287" i="1"/>
  <c r="F8280" i="1"/>
  <c r="F8281" i="1"/>
  <c r="F8282" i="1"/>
  <c r="F8283" i="1"/>
  <c r="F8284" i="1"/>
  <c r="F8285" i="1"/>
  <c r="F8288" i="1"/>
  <c r="F8289" i="1"/>
  <c r="F8290" i="1"/>
  <c r="F8291" i="1"/>
  <c r="F8292" i="1"/>
  <c r="F8293" i="1"/>
  <c r="F8294" i="1"/>
  <c r="F8295" i="1"/>
  <c r="F8296" i="1"/>
  <c r="F8297" i="1"/>
  <c r="F8298" i="1"/>
  <c r="F8300" i="1"/>
  <c r="F8299" i="1"/>
  <c r="F8301" i="1"/>
  <c r="F8302" i="1"/>
  <c r="F8303" i="1"/>
  <c r="F8304" i="1"/>
  <c r="F8309" i="1"/>
  <c r="F8310" i="1"/>
  <c r="F8305" i="1"/>
  <c r="F8306" i="1"/>
  <c r="F11845" i="1"/>
  <c r="F8307" i="1"/>
  <c r="F8308"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73" i="1"/>
  <c r="F8367" i="1"/>
  <c r="F8368" i="1"/>
  <c r="F8369" i="1"/>
  <c r="F8370" i="1"/>
  <c r="F8371" i="1"/>
  <c r="F8374" i="1"/>
  <c r="F8372" i="1"/>
  <c r="F8375" i="1"/>
  <c r="F8376" i="1"/>
  <c r="F8377" i="1"/>
  <c r="F8378" i="1"/>
  <c r="F8379" i="1"/>
  <c r="F8380" i="1"/>
  <c r="F8381" i="1"/>
  <c r="F8382" i="1"/>
  <c r="F8383" i="1"/>
  <c r="F8384" i="1"/>
  <c r="F8385" i="1"/>
  <c r="F8387" i="1"/>
  <c r="F8386" i="1"/>
  <c r="F8388" i="1"/>
  <c r="F8389" i="1"/>
  <c r="F8390" i="1"/>
  <c r="F8391" i="1"/>
  <c r="F3577"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8" i="1"/>
  <c r="F8456" i="1"/>
  <c r="F8457"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10" i="1"/>
  <c r="F8507" i="1"/>
  <c r="F8508" i="1"/>
  <c r="F8509" i="1"/>
  <c r="F8511" i="1"/>
  <c r="F8512" i="1"/>
  <c r="F8513" i="1"/>
  <c r="F8514" i="1"/>
  <c r="F8515" i="1"/>
  <c r="F8516" i="1"/>
  <c r="F8517" i="1"/>
  <c r="F8518" i="1"/>
  <c r="F8523" i="1"/>
  <c r="F8519" i="1"/>
  <c r="F8520" i="1"/>
  <c r="F12493" i="1"/>
  <c r="F8521" i="1"/>
  <c r="F8522" i="1"/>
  <c r="F8524" i="1"/>
  <c r="F8528" i="1"/>
  <c r="F8526" i="1"/>
  <c r="F8527" i="1"/>
  <c r="F8529" i="1"/>
  <c r="F8530" i="1"/>
  <c r="F8531" i="1"/>
  <c r="F8532" i="1"/>
  <c r="F8533" i="1"/>
  <c r="F8534" i="1"/>
  <c r="F8535" i="1"/>
  <c r="F8536" i="1"/>
  <c r="F8537" i="1"/>
  <c r="F8538" i="1"/>
  <c r="F8539" i="1"/>
  <c r="F8540" i="1"/>
  <c r="F8541" i="1"/>
  <c r="F8542" i="1"/>
  <c r="F8543" i="1"/>
  <c r="F8544" i="1"/>
  <c r="F8546" i="1"/>
  <c r="F8545"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8" i="1"/>
  <c r="F8604" i="1"/>
  <c r="F8605" i="1"/>
  <c r="F8606" i="1"/>
  <c r="F8607" i="1"/>
  <c r="F8609" i="1"/>
  <c r="F8610" i="1"/>
  <c r="F8611" i="1"/>
  <c r="F8612" i="1"/>
  <c r="F8613" i="1"/>
  <c r="F8614" i="1"/>
  <c r="F8615" i="1"/>
  <c r="F8616" i="1"/>
  <c r="F8617" i="1"/>
  <c r="F8618" i="1"/>
  <c r="F8619" i="1"/>
  <c r="F8620" i="1"/>
  <c r="F8623" i="1"/>
  <c r="F8621" i="1"/>
  <c r="F8622" i="1"/>
  <c r="F8624" i="1"/>
  <c r="F8625" i="1"/>
  <c r="F8626" i="1"/>
  <c r="F8627" i="1"/>
  <c r="F8628" i="1"/>
  <c r="F8629" i="1"/>
  <c r="F8632" i="1"/>
  <c r="F8630" i="1"/>
  <c r="F8633" i="1"/>
  <c r="F8631"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7" i="1"/>
  <c r="F8666" i="1"/>
  <c r="F8668" i="1"/>
  <c r="F8669" i="1"/>
  <c r="F8670" i="1"/>
  <c r="F8671" i="1"/>
  <c r="F8672" i="1"/>
  <c r="F8673" i="1"/>
  <c r="F8674" i="1"/>
  <c r="F8675" i="1"/>
  <c r="F8676" i="1"/>
  <c r="F8677" i="1"/>
  <c r="F8680" i="1"/>
  <c r="F8678" i="1"/>
  <c r="F8679"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12884" i="1"/>
  <c r="F8712" i="1"/>
  <c r="F8713" i="1"/>
  <c r="F8714" i="1"/>
  <c r="F8716" i="1"/>
  <c r="F8717" i="1"/>
  <c r="F8718" i="1"/>
  <c r="F8719" i="1"/>
  <c r="F8720" i="1"/>
  <c r="F8724" i="1"/>
  <c r="F8721" i="1"/>
  <c r="F8722" i="1"/>
  <c r="F8725" i="1"/>
  <c r="F8726" i="1"/>
  <c r="F8723" i="1"/>
  <c r="F8727" i="1"/>
  <c r="F8728" i="1"/>
  <c r="F8729" i="1"/>
  <c r="F8730" i="1"/>
  <c r="F8731" i="1"/>
  <c r="F8732" i="1"/>
  <c r="F8733" i="1"/>
  <c r="F8734" i="1"/>
  <c r="F8735" i="1"/>
  <c r="F8736" i="1"/>
  <c r="F8737" i="1"/>
  <c r="F8738" i="1"/>
  <c r="F8739" i="1"/>
  <c r="F8740" i="1"/>
  <c r="F8741" i="1"/>
  <c r="F8742" i="1"/>
  <c r="F8743" i="1"/>
  <c r="F8748" i="1"/>
  <c r="F8744" i="1"/>
  <c r="F8745" i="1"/>
  <c r="F8749" i="1"/>
  <c r="F8746" i="1"/>
  <c r="F8747" i="1"/>
  <c r="F8750" i="1"/>
  <c r="F8751" i="1"/>
  <c r="F8752" i="1"/>
  <c r="F8753" i="1"/>
  <c r="F8754" i="1"/>
  <c r="F8755" i="1"/>
  <c r="F8756" i="1"/>
  <c r="F8757" i="1"/>
  <c r="F8758" i="1"/>
  <c r="F8759" i="1"/>
  <c r="F8760" i="1"/>
  <c r="F8761" i="1"/>
  <c r="F8762" i="1"/>
  <c r="F8763" i="1"/>
  <c r="F8764" i="1"/>
  <c r="F8765" i="1"/>
  <c r="F8766" i="1"/>
  <c r="F8767" i="1"/>
  <c r="F8768" i="1"/>
  <c r="F8773" i="1"/>
  <c r="F8769" i="1"/>
  <c r="F8770" i="1"/>
  <c r="F8771" i="1"/>
  <c r="F8774" i="1"/>
  <c r="F8775" i="1"/>
  <c r="F8772" i="1"/>
  <c r="F8776" i="1"/>
  <c r="F8777" i="1"/>
  <c r="F8778" i="1"/>
  <c r="F8779" i="1"/>
  <c r="F8780" i="1"/>
  <c r="F8781" i="1"/>
  <c r="F8782" i="1"/>
  <c r="F8783" i="1"/>
  <c r="F8784" i="1"/>
  <c r="F8785" i="1"/>
  <c r="F8786" i="1"/>
  <c r="F8787" i="1"/>
  <c r="F8788" i="1"/>
  <c r="F8791" i="1"/>
  <c r="F8789" i="1"/>
  <c r="F8790" i="1"/>
  <c r="F8792" i="1"/>
  <c r="F8793" i="1"/>
  <c r="F8794" i="1"/>
  <c r="F8796" i="1"/>
  <c r="F8797" i="1"/>
  <c r="F8795"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5" i="1"/>
  <c r="F8834"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3" i="1"/>
  <c r="F8870" i="1"/>
  <c r="F8871" i="1"/>
  <c r="F8872"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2" i="1"/>
  <c r="F8953" i="1"/>
  <c r="F8950" i="1"/>
  <c r="F8951"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8" i="1"/>
  <c r="F9027"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7" i="1"/>
  <c r="F9053" i="1"/>
  <c r="F9054" i="1"/>
  <c r="F9055" i="1"/>
  <c r="F9056" i="1"/>
  <c r="F9058" i="1"/>
  <c r="F9059" i="1"/>
  <c r="F9060" i="1"/>
  <c r="F9061" i="1"/>
  <c r="F9062" i="1"/>
  <c r="F9063" i="1"/>
  <c r="F9064" i="1"/>
  <c r="F9065" i="1"/>
  <c r="F9066" i="1"/>
  <c r="F9067" i="1"/>
  <c r="F9068" i="1"/>
  <c r="F9069" i="1"/>
  <c r="F9070" i="1"/>
  <c r="F9071" i="1"/>
  <c r="F9072" i="1"/>
  <c r="F9073" i="1"/>
  <c r="F9074" i="1"/>
  <c r="F9075" i="1"/>
  <c r="F9076" i="1"/>
  <c r="F12492" i="1"/>
  <c r="F9077"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12" i="1"/>
  <c r="F9113" i="1"/>
  <c r="F9109" i="1"/>
  <c r="F9110" i="1"/>
  <c r="F9114" i="1"/>
  <c r="F9111" i="1"/>
  <c r="F9115" i="1"/>
  <c r="F9116" i="1"/>
  <c r="F9117" i="1"/>
  <c r="F9118" i="1"/>
  <c r="F9119" i="1"/>
  <c r="F9120" i="1"/>
  <c r="F9121" i="1"/>
  <c r="F9122" i="1"/>
  <c r="F9123" i="1"/>
  <c r="F9124" i="1"/>
  <c r="F9125" i="1"/>
  <c r="F9126" i="1"/>
  <c r="F9127" i="1"/>
  <c r="F9128" i="1"/>
  <c r="F9129" i="1"/>
  <c r="F9130" i="1"/>
  <c r="F9131" i="1"/>
  <c r="F9132" i="1"/>
  <c r="F9133" i="1"/>
  <c r="F9134" i="1"/>
  <c r="F9139" i="1"/>
  <c r="F9135" i="1"/>
  <c r="F9136" i="1"/>
  <c r="F9137" i="1"/>
  <c r="F9138" i="1"/>
  <c r="F9140" i="1"/>
  <c r="F9141" i="1"/>
  <c r="F9142" i="1"/>
  <c r="F9143" i="1"/>
  <c r="F9144" i="1"/>
  <c r="F9148" i="1"/>
  <c r="F9149" i="1"/>
  <c r="F9150" i="1"/>
  <c r="F9145" i="1"/>
  <c r="F9146" i="1"/>
  <c r="F9147" i="1"/>
  <c r="F9151" i="1"/>
  <c r="F9152" i="1"/>
  <c r="F9153" i="1"/>
  <c r="F9154" i="1"/>
  <c r="F9155" i="1"/>
  <c r="F9157" i="1"/>
  <c r="F9156"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32" i="1"/>
  <c r="F9233" i="1"/>
  <c r="F9224" i="1"/>
  <c r="F9234" i="1"/>
  <c r="F9225" i="1"/>
  <c r="F9226" i="1"/>
  <c r="F9227" i="1"/>
  <c r="F9228" i="1"/>
  <c r="F9229" i="1"/>
  <c r="F9230" i="1"/>
  <c r="F9231" i="1"/>
  <c r="F9235" i="1"/>
  <c r="F9236" i="1"/>
  <c r="F9237" i="1"/>
  <c r="F9238" i="1"/>
  <c r="F9239" i="1"/>
  <c r="F9240" i="1"/>
  <c r="F9241" i="1"/>
  <c r="F9242" i="1"/>
  <c r="F9243" i="1"/>
  <c r="F9250" i="1"/>
  <c r="F9251" i="1"/>
  <c r="F9244" i="1"/>
  <c r="F9245" i="1"/>
  <c r="F9246" i="1"/>
  <c r="F9247" i="1"/>
  <c r="F9248" i="1"/>
  <c r="F9249" i="1"/>
  <c r="F9252" i="1"/>
  <c r="F9253" i="1"/>
  <c r="F9256" i="1"/>
  <c r="F9254" i="1"/>
  <c r="F9255" i="1"/>
  <c r="F9257" i="1"/>
  <c r="F9258" i="1"/>
  <c r="F9259" i="1"/>
  <c r="F9260" i="1"/>
  <c r="F9261" i="1"/>
  <c r="F9262" i="1"/>
  <c r="F9265" i="1"/>
  <c r="F9263" i="1"/>
  <c r="F9264" i="1"/>
  <c r="F9266" i="1"/>
  <c r="F9267" i="1"/>
  <c r="F9268" i="1"/>
  <c r="F9269" i="1"/>
  <c r="F9270" i="1"/>
  <c r="F9271" i="1"/>
  <c r="F9272" i="1"/>
  <c r="F9273" i="1"/>
  <c r="F9274" i="1"/>
  <c r="F9275" i="1"/>
  <c r="F9279" i="1"/>
  <c r="F9276" i="1"/>
  <c r="F9277" i="1"/>
  <c r="F9278" i="1"/>
  <c r="F9284" i="1"/>
  <c r="F9285" i="1"/>
  <c r="F9280" i="1"/>
  <c r="F9281" i="1"/>
  <c r="F9282" i="1"/>
  <c r="F9283" i="1"/>
  <c r="F9286" i="1"/>
  <c r="F9287" i="1"/>
  <c r="F9288" i="1"/>
  <c r="F9289" i="1"/>
  <c r="F9290" i="1"/>
  <c r="F9291" i="1"/>
  <c r="F9295" i="1"/>
  <c r="F9292" i="1"/>
  <c r="F9293" i="1"/>
  <c r="F9294" i="1"/>
  <c r="F9296" i="1"/>
  <c r="F9297" i="1"/>
  <c r="F9298" i="1"/>
  <c r="F9299" i="1"/>
  <c r="F9300" i="1"/>
  <c r="F9301" i="1"/>
  <c r="F9302" i="1"/>
  <c r="F9303" i="1"/>
  <c r="F9304" i="1"/>
  <c r="F9305" i="1"/>
  <c r="F9311" i="1"/>
  <c r="F9306" i="1"/>
  <c r="F9307" i="1"/>
  <c r="F9308" i="1"/>
  <c r="F9309" i="1"/>
  <c r="F9310" i="1"/>
  <c r="F9312" i="1"/>
  <c r="F9313" i="1"/>
  <c r="F9314" i="1"/>
  <c r="F9315" i="1"/>
  <c r="F9316" i="1"/>
  <c r="F9317" i="1"/>
  <c r="F9318" i="1"/>
  <c r="F9319" i="1"/>
  <c r="F9324" i="1"/>
  <c r="F9325" i="1"/>
  <c r="F9320" i="1"/>
  <c r="F9321" i="1"/>
  <c r="F9322" i="1"/>
  <c r="F9323" i="1"/>
  <c r="F9326" i="1"/>
  <c r="F9327" i="1"/>
  <c r="F9328" i="1"/>
  <c r="F9329" i="1"/>
  <c r="F9330" i="1"/>
  <c r="F9331" i="1"/>
  <c r="F9332" i="1"/>
  <c r="F9333" i="1"/>
  <c r="F9334" i="1"/>
  <c r="F9335" i="1"/>
  <c r="F9337" i="1"/>
  <c r="F9336"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5" i="1"/>
  <c r="F9363" i="1"/>
  <c r="F9364" i="1"/>
  <c r="F9366" i="1"/>
  <c r="F9371" i="1"/>
  <c r="F9367" i="1"/>
  <c r="F9368" i="1"/>
  <c r="F9369" i="1"/>
  <c r="F9370" i="1"/>
  <c r="F9372" i="1"/>
  <c r="F9373" i="1"/>
  <c r="F9374" i="1"/>
  <c r="F9375" i="1"/>
  <c r="F9376" i="1"/>
  <c r="F9377" i="1"/>
  <c r="F9378" i="1"/>
  <c r="F9379" i="1"/>
  <c r="F9382" i="1"/>
  <c r="F9383" i="1"/>
  <c r="F9380" i="1"/>
  <c r="F9381" i="1"/>
  <c r="F9384" i="1"/>
  <c r="F9385" i="1"/>
  <c r="F9386" i="1"/>
  <c r="F9394" i="1"/>
  <c r="F9387" i="1"/>
  <c r="F9388" i="1"/>
  <c r="F9389" i="1"/>
  <c r="F9390" i="1"/>
  <c r="F9391" i="1"/>
  <c r="F9392" i="1"/>
  <c r="F9393"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21" i="1"/>
  <c r="F9419" i="1"/>
  <c r="F9420"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54" i="1"/>
  <c r="F9449" i="1"/>
  <c r="F9450" i="1"/>
  <c r="F9451" i="1"/>
  <c r="F9452" i="1"/>
  <c r="F9453" i="1"/>
  <c r="F9455" i="1"/>
  <c r="F9456" i="1"/>
  <c r="F9462" i="1"/>
  <c r="F9457" i="1"/>
  <c r="F9458" i="1"/>
  <c r="F9459" i="1"/>
  <c r="F9460" i="1"/>
  <c r="F9461" i="1"/>
  <c r="F9463" i="1"/>
  <c r="F9464" i="1"/>
  <c r="F9465" i="1"/>
  <c r="F9466" i="1"/>
  <c r="F9467" i="1"/>
  <c r="F9468" i="1"/>
  <c r="F9469" i="1"/>
  <c r="F9470" i="1"/>
  <c r="F9471" i="1"/>
  <c r="F9472" i="1"/>
  <c r="F9473" i="1"/>
  <c r="F9474" i="1"/>
  <c r="F9475" i="1"/>
  <c r="F9476" i="1"/>
  <c r="F9477" i="1"/>
  <c r="F9482" i="1"/>
  <c r="F9478" i="1"/>
  <c r="F9479" i="1"/>
  <c r="F9480" i="1"/>
  <c r="F9481" i="1"/>
  <c r="F9483" i="1"/>
  <c r="F9484" i="1"/>
  <c r="F9485" i="1"/>
  <c r="F9486" i="1"/>
  <c r="F9487" i="1"/>
  <c r="F9488" i="1"/>
  <c r="F9489" i="1"/>
  <c r="F9490" i="1"/>
  <c r="F9491" i="1"/>
  <c r="F9492" i="1"/>
  <c r="F9493" i="1"/>
  <c r="F7777" i="1"/>
  <c r="F9495" i="1"/>
  <c r="F9496" i="1"/>
  <c r="F9497" i="1"/>
  <c r="F9498" i="1"/>
  <c r="F9499" i="1"/>
  <c r="F9502" i="1"/>
  <c r="F9500" i="1"/>
  <c r="F9501"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9" i="1"/>
  <c r="F9537" i="1"/>
  <c r="F9538" i="1"/>
  <c r="F9540" i="1"/>
  <c r="F9541" i="1"/>
  <c r="F9542" i="1"/>
  <c r="F9543" i="1"/>
  <c r="F9544" i="1"/>
  <c r="F9545" i="1"/>
  <c r="F9546" i="1"/>
  <c r="F9547" i="1"/>
  <c r="F9548" i="1"/>
  <c r="F9549" i="1"/>
  <c r="F9550" i="1"/>
  <c r="F9551" i="1"/>
  <c r="F9552" i="1"/>
  <c r="F9553" i="1"/>
  <c r="F9554" i="1"/>
  <c r="F9555" i="1"/>
  <c r="F9556" i="1"/>
  <c r="F9557" i="1"/>
  <c r="F9558" i="1"/>
  <c r="F7939" i="1"/>
  <c r="F9560" i="1"/>
  <c r="F9561" i="1"/>
  <c r="F9562" i="1"/>
  <c r="F9563" i="1"/>
  <c r="F9564" i="1"/>
  <c r="F9565" i="1"/>
  <c r="F9566" i="1"/>
  <c r="F9567" i="1"/>
  <c r="F9568" i="1"/>
  <c r="F9569" i="1"/>
  <c r="F9570" i="1"/>
  <c r="F9571" i="1"/>
  <c r="F9572" i="1"/>
  <c r="F9573" i="1"/>
  <c r="F9574" i="1"/>
  <c r="F9582" i="1"/>
  <c r="F9575" i="1"/>
  <c r="F9583" i="1"/>
  <c r="F9584" i="1"/>
  <c r="F9576" i="1"/>
  <c r="F9577" i="1"/>
  <c r="F9578" i="1"/>
  <c r="F9579" i="1"/>
  <c r="F9580" i="1"/>
  <c r="F9581" i="1"/>
  <c r="F9585" i="1"/>
  <c r="F9586" i="1"/>
  <c r="F9587" i="1"/>
  <c r="F9588" i="1"/>
  <c r="F9589" i="1"/>
  <c r="F9590" i="1"/>
  <c r="F9591" i="1"/>
  <c r="F9592" i="1"/>
  <c r="F9593" i="1"/>
  <c r="F9596" i="1"/>
  <c r="F9597" i="1"/>
  <c r="F9598" i="1"/>
  <c r="F9594" i="1"/>
  <c r="F9595"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4" i="1"/>
  <c r="F9630" i="1"/>
  <c r="F9631" i="1"/>
  <c r="F9632" i="1"/>
  <c r="F9635" i="1"/>
  <c r="F9633"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4" i="1"/>
  <c r="F9661" i="1"/>
  <c r="F9662" i="1"/>
  <c r="F9663" i="1"/>
  <c r="F9665" i="1"/>
  <c r="F9666" i="1"/>
  <c r="F9667" i="1"/>
  <c r="F9668" i="1"/>
  <c r="F9669" i="1"/>
  <c r="F9670" i="1"/>
  <c r="F9671" i="1"/>
  <c r="F9672" i="1"/>
  <c r="F9673" i="1"/>
  <c r="F9674" i="1"/>
  <c r="F9675" i="1"/>
  <c r="F9676" i="1"/>
  <c r="F9677" i="1"/>
  <c r="F9678" i="1"/>
  <c r="F9679" i="1"/>
  <c r="F9680" i="1"/>
  <c r="F9681" i="1"/>
  <c r="F9682" i="1"/>
  <c r="F9683" i="1"/>
  <c r="F9687" i="1"/>
  <c r="F9684" i="1"/>
  <c r="F9685" i="1"/>
  <c r="F9686" i="1"/>
  <c r="F9688" i="1"/>
  <c r="F9689" i="1"/>
  <c r="F9692" i="1"/>
  <c r="F9693" i="1"/>
  <c r="F9690" i="1"/>
  <c r="F9691" i="1"/>
  <c r="F9694" i="1"/>
  <c r="F9696" i="1"/>
  <c r="F9695" i="1"/>
  <c r="F9697" i="1"/>
  <c r="F9698" i="1"/>
  <c r="F9699" i="1"/>
  <c r="F9700" i="1"/>
  <c r="F9701" i="1"/>
  <c r="F9702" i="1"/>
  <c r="F9703" i="1"/>
  <c r="F9704" i="1"/>
  <c r="F9705" i="1"/>
  <c r="F9706" i="1"/>
  <c r="F9710" i="1"/>
  <c r="F9707" i="1"/>
  <c r="F9708" i="1"/>
  <c r="F9709" i="1"/>
  <c r="F9711" i="1"/>
  <c r="F9712" i="1"/>
  <c r="F9719" i="1"/>
  <c r="F9713" i="1"/>
  <c r="F9714" i="1"/>
  <c r="F9715" i="1"/>
  <c r="F9716" i="1"/>
  <c r="F9717" i="1"/>
  <c r="F9718"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7" i="1"/>
  <c r="F9745" i="1"/>
  <c r="F9746" i="1"/>
  <c r="F9748" i="1"/>
  <c r="F9749" i="1"/>
  <c r="F9750" i="1"/>
  <c r="F9751" i="1"/>
  <c r="F9752" i="1"/>
  <c r="F9753" i="1"/>
  <c r="F9754" i="1"/>
  <c r="F9755" i="1"/>
  <c r="F9756" i="1"/>
  <c r="F9757" i="1"/>
  <c r="F9758" i="1"/>
  <c r="F9759" i="1"/>
  <c r="F9760" i="1"/>
  <c r="F9761" i="1"/>
  <c r="F9762" i="1"/>
  <c r="F9763" i="1"/>
  <c r="F9768" i="1"/>
  <c r="F9764" i="1"/>
  <c r="F9765" i="1"/>
  <c r="F9766" i="1"/>
  <c r="F9767"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4" i="1"/>
  <c r="F9811" i="1"/>
  <c r="F9812" i="1"/>
  <c r="F9813" i="1"/>
  <c r="F9815" i="1"/>
  <c r="F9816" i="1"/>
  <c r="F9820" i="1"/>
  <c r="F9821" i="1"/>
  <c r="F9817" i="1"/>
  <c r="F9818" i="1"/>
  <c r="F9819"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51" i="1"/>
  <c r="F9852" i="1"/>
  <c r="F9853" i="1"/>
  <c r="F9849" i="1"/>
  <c r="F9850" i="1"/>
  <c r="F9854" i="1"/>
  <c r="F9856" i="1"/>
  <c r="F9855" i="1"/>
  <c r="F9857" i="1"/>
  <c r="F9858" i="1"/>
  <c r="F9859" i="1"/>
  <c r="F9860" i="1"/>
  <c r="F9861" i="1"/>
  <c r="F9862" i="1"/>
  <c r="F9863" i="1"/>
  <c r="F9864" i="1"/>
  <c r="F9865" i="1"/>
  <c r="F9866" i="1"/>
  <c r="F9867" i="1"/>
  <c r="F9868" i="1"/>
  <c r="F9869" i="1"/>
  <c r="F9870" i="1"/>
  <c r="F9871" i="1"/>
  <c r="F9872" i="1"/>
  <c r="F9873" i="1"/>
  <c r="F9874" i="1"/>
  <c r="F9877" i="1"/>
  <c r="F9875" i="1"/>
  <c r="F9876" i="1"/>
  <c r="F9878" i="1"/>
  <c r="F9879" i="1"/>
  <c r="F9880" i="1"/>
  <c r="F9881" i="1"/>
  <c r="F9882" i="1"/>
  <c r="F9883" i="1"/>
  <c r="F9884" i="1"/>
  <c r="F9885" i="1"/>
  <c r="F9886" i="1"/>
  <c r="F9890" i="1"/>
  <c r="F9891" i="1"/>
  <c r="F9887" i="1"/>
  <c r="F9888" i="1"/>
  <c r="F9889"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4" i="1"/>
  <c r="F9942" i="1"/>
  <c r="F9943"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71" i="1"/>
  <c r="F9969" i="1"/>
  <c r="F9970"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5" i="1"/>
  <c r="F10014" i="1"/>
  <c r="F10016" i="1"/>
  <c r="F10025" i="1"/>
  <c r="F10017" i="1"/>
  <c r="F10018" i="1"/>
  <c r="F10019" i="1"/>
  <c r="F10020" i="1"/>
  <c r="F10021" i="1"/>
  <c r="F10026" i="1"/>
  <c r="F10022" i="1"/>
  <c r="F10023" i="1"/>
  <c r="F10024"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61" i="1"/>
  <c r="F10058" i="1"/>
  <c r="F10059" i="1"/>
  <c r="F10060" i="1"/>
  <c r="F10062" i="1"/>
  <c r="F10063" i="1"/>
  <c r="F10064" i="1"/>
  <c r="F10065" i="1"/>
  <c r="F10066" i="1"/>
  <c r="F8073" i="1"/>
  <c r="F10068" i="1"/>
  <c r="F10072" i="1"/>
  <c r="F10069" i="1"/>
  <c r="F10070" i="1"/>
  <c r="F10071" i="1"/>
  <c r="F10073" i="1"/>
  <c r="F10074" i="1"/>
  <c r="F10075" i="1"/>
  <c r="F10076" i="1"/>
  <c r="F10077" i="1"/>
  <c r="F10081" i="1"/>
  <c r="F10078" i="1"/>
  <c r="F10079" i="1"/>
  <c r="F10080"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9" i="1"/>
  <c r="F10120" i="1"/>
  <c r="F10116" i="1"/>
  <c r="F10117" i="1"/>
  <c r="F10118"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7" i="1"/>
  <c r="F10152" i="1"/>
  <c r="F10153" i="1"/>
  <c r="F10154" i="1"/>
  <c r="F10155" i="1"/>
  <c r="F10156" i="1"/>
  <c r="F10158" i="1"/>
  <c r="F10161" i="1"/>
  <c r="F10159" i="1"/>
  <c r="F10160" i="1"/>
  <c r="F10162" i="1"/>
  <c r="F10163" i="1"/>
  <c r="F10166" i="1"/>
  <c r="F10164" i="1"/>
  <c r="F10165"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99" i="1"/>
  <c r="F10188" i="1"/>
  <c r="F10189" i="1"/>
  <c r="F10190" i="1"/>
  <c r="F10191" i="1"/>
  <c r="F10192" i="1"/>
  <c r="F10193" i="1"/>
  <c r="F10194" i="1"/>
  <c r="F10195" i="1"/>
  <c r="F10196" i="1"/>
  <c r="F10197" i="1"/>
  <c r="F10198" i="1"/>
  <c r="F10200" i="1"/>
  <c r="F10201" i="1"/>
  <c r="F10204" i="1"/>
  <c r="F10205" i="1"/>
  <c r="F10202" i="1"/>
  <c r="F10203" i="1"/>
  <c r="F10206" i="1"/>
  <c r="F10207" i="1"/>
  <c r="F10217" i="1"/>
  <c r="F10208" i="1"/>
  <c r="F10209" i="1"/>
  <c r="F10210" i="1"/>
  <c r="F10218" i="1"/>
  <c r="F10211" i="1"/>
  <c r="F10212" i="1"/>
  <c r="F10213" i="1"/>
  <c r="F10214" i="1"/>
  <c r="F10215" i="1"/>
  <c r="F10216" i="1"/>
  <c r="F10219" i="1"/>
  <c r="F10220" i="1"/>
  <c r="F10221" i="1"/>
  <c r="F10222" i="1"/>
  <c r="F10225" i="1"/>
  <c r="F10226" i="1"/>
  <c r="F10223" i="1"/>
  <c r="F10224" i="1"/>
  <c r="F10227" i="1"/>
  <c r="F10228" i="1"/>
  <c r="F10229" i="1"/>
  <c r="F10230" i="1"/>
  <c r="F10231" i="1"/>
  <c r="F10232" i="1"/>
  <c r="F10233" i="1"/>
  <c r="F10234" i="1"/>
  <c r="F10235" i="1"/>
  <c r="F10236" i="1"/>
  <c r="F10238" i="1"/>
  <c r="F10237" i="1"/>
  <c r="F10239" i="1"/>
  <c r="F10240" i="1"/>
  <c r="F10241" i="1"/>
  <c r="F10242" i="1"/>
  <c r="F10243" i="1"/>
  <c r="F10244" i="1"/>
  <c r="F10245" i="1"/>
  <c r="F10246" i="1"/>
  <c r="F10247" i="1"/>
  <c r="F10248" i="1"/>
  <c r="F10249" i="1"/>
  <c r="F10250" i="1"/>
  <c r="F10251" i="1"/>
  <c r="F10252" i="1"/>
  <c r="F10254" i="1"/>
  <c r="F10253" i="1"/>
  <c r="F10255" i="1"/>
  <c r="F10256" i="1"/>
  <c r="F10257" i="1"/>
  <c r="F10258" i="1"/>
  <c r="F10259" i="1"/>
  <c r="F10260" i="1"/>
  <c r="F10261" i="1"/>
  <c r="F10262" i="1"/>
  <c r="F10265" i="1"/>
  <c r="F10263" i="1"/>
  <c r="F10264"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4" i="1"/>
  <c r="F10300" i="1"/>
  <c r="F10301" i="1"/>
  <c r="F10302" i="1"/>
  <c r="F10303" i="1"/>
  <c r="F10305" i="1"/>
  <c r="F10306" i="1"/>
  <c r="F10307" i="1"/>
  <c r="F10308" i="1"/>
  <c r="F10309" i="1"/>
  <c r="F10310" i="1"/>
  <c r="F10311" i="1"/>
  <c r="F10312" i="1"/>
  <c r="F10318" i="1"/>
  <c r="F10313" i="1"/>
  <c r="F10314" i="1"/>
  <c r="F10315" i="1"/>
  <c r="F10316" i="1"/>
  <c r="F10317" i="1"/>
  <c r="F10319" i="1"/>
  <c r="F10320" i="1"/>
  <c r="F10321" i="1"/>
  <c r="F10324" i="1"/>
  <c r="F10322" i="1"/>
  <c r="F10323" i="1"/>
  <c r="F10325" i="1"/>
  <c r="F10326" i="1"/>
  <c r="F10327" i="1"/>
  <c r="F10328" i="1"/>
  <c r="F10329" i="1"/>
  <c r="F10330" i="1"/>
  <c r="F10331" i="1"/>
  <c r="F10332" i="1"/>
  <c r="F10333" i="1"/>
  <c r="F10334" i="1"/>
  <c r="F10335" i="1"/>
  <c r="F10336" i="1"/>
  <c r="F10337" i="1"/>
  <c r="F10338" i="1"/>
  <c r="F10339" i="1"/>
  <c r="F10342" i="1"/>
  <c r="F10340" i="1"/>
  <c r="F10341" i="1"/>
  <c r="F10343" i="1"/>
  <c r="F10344" i="1"/>
  <c r="F10345" i="1"/>
  <c r="F10347" i="1"/>
  <c r="F10346" i="1"/>
  <c r="F10348" i="1"/>
  <c r="F10349" i="1"/>
  <c r="F10351" i="1"/>
  <c r="F10352" i="1"/>
  <c r="F10350" i="1"/>
  <c r="F10353" i="1"/>
  <c r="F10355" i="1"/>
  <c r="F10354" i="1"/>
  <c r="F10356" i="1"/>
  <c r="F10357" i="1"/>
  <c r="F10358" i="1"/>
  <c r="F10359" i="1"/>
  <c r="F10360" i="1"/>
  <c r="F10361" i="1"/>
  <c r="F10362" i="1"/>
  <c r="F10363" i="1"/>
  <c r="F10364" i="1"/>
  <c r="F10365" i="1"/>
  <c r="F10366" i="1"/>
  <c r="F10367" i="1"/>
  <c r="F10368" i="1"/>
  <c r="F10372" i="1"/>
  <c r="F10369" i="1"/>
  <c r="F10370" i="1"/>
  <c r="F10371" i="1"/>
  <c r="F10373" i="1"/>
  <c r="F10374" i="1"/>
  <c r="F10375" i="1"/>
  <c r="F10376" i="1"/>
  <c r="F10377" i="1"/>
  <c r="F10378" i="1"/>
  <c r="F10379" i="1"/>
  <c r="F10380" i="1"/>
  <c r="F10381" i="1"/>
  <c r="F10386" i="1"/>
  <c r="F10382" i="1"/>
  <c r="F10383" i="1"/>
  <c r="F10384" i="1"/>
  <c r="F10385" i="1"/>
  <c r="F10387" i="1"/>
  <c r="F10388" i="1"/>
  <c r="F10389" i="1"/>
  <c r="F10390" i="1"/>
  <c r="F10391" i="1"/>
  <c r="F10392" i="1"/>
  <c r="F10393" i="1"/>
  <c r="F10394" i="1"/>
  <c r="F10395" i="1"/>
  <c r="F10396" i="1"/>
  <c r="F10397" i="1"/>
  <c r="F10400" i="1"/>
  <c r="F10398" i="1"/>
  <c r="F10399" i="1"/>
  <c r="F10401" i="1"/>
  <c r="F10402" i="1"/>
  <c r="F10403" i="1"/>
  <c r="F10408" i="1"/>
  <c r="F10404" i="1"/>
  <c r="F10405" i="1"/>
  <c r="F10406" i="1"/>
  <c r="F10407"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80" i="1"/>
  <c r="F10481" i="1"/>
  <c r="F10482" i="1"/>
  <c r="F10478" i="1"/>
  <c r="F10479" i="1"/>
  <c r="F10483" i="1"/>
  <c r="F10484" i="1"/>
  <c r="F10485" i="1"/>
  <c r="F10486" i="1"/>
  <c r="F10487" i="1"/>
  <c r="F10488" i="1"/>
  <c r="F10489" i="1"/>
  <c r="F10490" i="1"/>
  <c r="F10491" i="1"/>
  <c r="F10492" i="1"/>
  <c r="F10493" i="1"/>
  <c r="F10494" i="1"/>
  <c r="F10495" i="1"/>
  <c r="F10496" i="1"/>
  <c r="F10497" i="1"/>
  <c r="F10498" i="1"/>
  <c r="F10499" i="1"/>
  <c r="F10500" i="1"/>
  <c r="F10508" i="1"/>
  <c r="F10509" i="1"/>
  <c r="F10510" i="1"/>
  <c r="F10501" i="1"/>
  <c r="F10502" i="1"/>
  <c r="F10503" i="1"/>
  <c r="F10504" i="1"/>
  <c r="F10505" i="1"/>
  <c r="F10506" i="1"/>
  <c r="F10507" i="1"/>
  <c r="F10511" i="1"/>
  <c r="F10512" i="1"/>
  <c r="F10513" i="1"/>
  <c r="F10514" i="1"/>
  <c r="F10515" i="1"/>
  <c r="F10516" i="1"/>
  <c r="F10517" i="1"/>
  <c r="F10518" i="1"/>
  <c r="F10519" i="1"/>
  <c r="F10520" i="1"/>
  <c r="F10521" i="1"/>
  <c r="F10522" i="1"/>
  <c r="F10529" i="1"/>
  <c r="F10523" i="1"/>
  <c r="F10524" i="1"/>
  <c r="F10530" i="1"/>
  <c r="F10525" i="1"/>
  <c r="F10531" i="1"/>
  <c r="F10526" i="1"/>
  <c r="F10527" i="1"/>
  <c r="F10528" i="1"/>
  <c r="F10532" i="1"/>
  <c r="F10533" i="1"/>
  <c r="F10534" i="1"/>
  <c r="F10536" i="1"/>
  <c r="F10537" i="1"/>
  <c r="F10538" i="1"/>
  <c r="F10535" i="1"/>
  <c r="F10539" i="1"/>
  <c r="F10543" i="1"/>
  <c r="F10540" i="1"/>
  <c r="F10541" i="1"/>
  <c r="F10542" i="1"/>
  <c r="F10544" i="1"/>
  <c r="F10545" i="1"/>
  <c r="F10546" i="1"/>
  <c r="F10547" i="1"/>
  <c r="F10548" i="1"/>
  <c r="F10549" i="1"/>
  <c r="F10550" i="1"/>
  <c r="F10551" i="1"/>
  <c r="F10552" i="1"/>
  <c r="F10553" i="1"/>
  <c r="F10554" i="1"/>
  <c r="F10555" i="1"/>
  <c r="F10556" i="1"/>
  <c r="F10557" i="1"/>
  <c r="F10558" i="1"/>
  <c r="F10559" i="1"/>
  <c r="F10560" i="1"/>
  <c r="F10561" i="1"/>
  <c r="F10563" i="1"/>
  <c r="F10562" i="1"/>
  <c r="F10564" i="1"/>
  <c r="F10565" i="1"/>
  <c r="F10566" i="1"/>
  <c r="F10567" i="1"/>
  <c r="F10575" i="1"/>
  <c r="F10568" i="1"/>
  <c r="F10569" i="1"/>
  <c r="F10570" i="1"/>
  <c r="F10571" i="1"/>
  <c r="F10572" i="1"/>
  <c r="F10573" i="1"/>
  <c r="F10574" i="1"/>
  <c r="F10576" i="1"/>
  <c r="F10577" i="1"/>
  <c r="F10578" i="1"/>
  <c r="F10579" i="1"/>
  <c r="F10583" i="1"/>
  <c r="F10580" i="1"/>
  <c r="F10584" i="1"/>
  <c r="F10581" i="1"/>
  <c r="F10582" i="1"/>
  <c r="F10585" i="1"/>
  <c r="F10586" i="1"/>
  <c r="F10597" i="1"/>
  <c r="F10598" i="1"/>
  <c r="F10587" i="1"/>
  <c r="F10588" i="1"/>
  <c r="F10589" i="1"/>
  <c r="F10590" i="1"/>
  <c r="F10591" i="1"/>
  <c r="F10592" i="1"/>
  <c r="F10593" i="1"/>
  <c r="F10594" i="1"/>
  <c r="F10595" i="1"/>
  <c r="F10596" i="1"/>
  <c r="F10599" i="1"/>
  <c r="F10600" i="1"/>
  <c r="F10601" i="1"/>
  <c r="F10602" i="1"/>
  <c r="F10608" i="1"/>
  <c r="F10603" i="1"/>
  <c r="F10604" i="1"/>
  <c r="F10605" i="1"/>
  <c r="F10606" i="1"/>
  <c r="F10607" i="1"/>
  <c r="F10609" i="1"/>
  <c r="F10610" i="1"/>
  <c r="F10616" i="1"/>
  <c r="F10611" i="1"/>
  <c r="F10612" i="1"/>
  <c r="F10613" i="1"/>
  <c r="F10614" i="1"/>
  <c r="F10615" i="1"/>
  <c r="F10617" i="1"/>
  <c r="F10618" i="1"/>
  <c r="F10619" i="1"/>
  <c r="F10620" i="1"/>
  <c r="F10621" i="1"/>
  <c r="F10622" i="1"/>
  <c r="F10623" i="1"/>
  <c r="F10624" i="1"/>
  <c r="F10625" i="1"/>
  <c r="F10626" i="1"/>
  <c r="F10627" i="1"/>
  <c r="F10628" i="1"/>
  <c r="F10629" i="1"/>
  <c r="F10630" i="1"/>
  <c r="F10631" i="1"/>
  <c r="F10632" i="1"/>
  <c r="F10633" i="1"/>
  <c r="F10638" i="1"/>
  <c r="F10634" i="1"/>
  <c r="F10635" i="1"/>
  <c r="F10636" i="1"/>
  <c r="F10637" i="1"/>
  <c r="F10639" i="1"/>
  <c r="F10640" i="1"/>
  <c r="F10641" i="1"/>
  <c r="F10642" i="1"/>
  <c r="F10650" i="1"/>
  <c r="F10643" i="1"/>
  <c r="F10644" i="1"/>
  <c r="F10645" i="1"/>
  <c r="F10651" i="1"/>
  <c r="F10652" i="1"/>
  <c r="F10653" i="1"/>
  <c r="F10646" i="1"/>
  <c r="F10647" i="1"/>
  <c r="F10648" i="1"/>
  <c r="F10649" i="1"/>
  <c r="F10654" i="1"/>
  <c r="F10655" i="1"/>
  <c r="F10656" i="1"/>
  <c r="F10657" i="1"/>
  <c r="F10658" i="1"/>
  <c r="F10659" i="1"/>
  <c r="F10660" i="1"/>
  <c r="F10661" i="1"/>
  <c r="F10663" i="1"/>
  <c r="F10662"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8" i="1"/>
  <c r="F10719" i="1"/>
  <c r="F10720" i="1"/>
  <c r="F10721" i="1"/>
  <c r="F10722" i="1"/>
  <c r="F10723" i="1"/>
  <c r="F10724" i="1"/>
  <c r="F10725" i="1"/>
  <c r="F10726" i="1"/>
  <c r="F10727" i="1"/>
  <c r="F10728" i="1"/>
  <c r="F10729" i="1"/>
  <c r="F2128" i="1"/>
  <c r="O11516" i="1"/>
  <c r="O11517" i="1"/>
  <c r="O11518" i="1"/>
  <c r="O11523" i="1"/>
  <c r="O11521" i="1"/>
  <c r="O11522" i="1"/>
  <c r="O11512" i="1"/>
  <c r="O11351" i="1"/>
  <c r="O10770" i="1"/>
  <c r="O11506" i="1"/>
  <c r="O11509" i="1"/>
  <c r="O11505" i="1"/>
  <c r="O11499" i="1"/>
  <c r="O11496" i="1"/>
  <c r="O11498" i="1"/>
  <c r="O11495" i="1"/>
  <c r="O11493" i="1"/>
  <c r="O11486" i="1"/>
  <c r="O11482" i="1"/>
  <c r="O11481" i="1"/>
  <c r="O11484" i="1"/>
  <c r="O11485" i="1"/>
  <c r="O11483" i="1"/>
  <c r="O11479" i="1"/>
  <c r="O11474" i="1"/>
  <c r="O11475" i="1"/>
  <c r="O11471" i="1"/>
  <c r="O12035" i="1"/>
  <c r="O11466" i="1"/>
  <c r="O11459" i="1"/>
  <c r="O11460" i="1"/>
  <c r="O11457" i="1"/>
  <c r="O11464" i="1"/>
  <c r="O11456" i="1"/>
  <c r="O11449" i="1"/>
  <c r="O11451" i="1"/>
  <c r="O11452" i="1"/>
  <c r="O11450" i="1"/>
  <c r="O11448" i="1"/>
  <c r="O11444" i="1"/>
  <c r="O11445" i="1"/>
  <c r="O11443" i="1"/>
  <c r="O11437" i="1"/>
  <c r="O11438" i="1"/>
  <c r="O11441" i="1"/>
  <c r="O11439" i="1"/>
  <c r="O11435" i="1"/>
  <c r="O11436" i="1"/>
  <c r="O11442" i="1"/>
  <c r="O11430" i="1"/>
  <c r="O11424" i="1"/>
  <c r="O11428" i="1"/>
  <c r="O11427" i="1"/>
  <c r="O11419" i="1"/>
  <c r="O11414" i="1"/>
  <c r="O11415" i="1"/>
  <c r="O11413" i="1"/>
  <c r="O11407" i="1"/>
  <c r="O12034" i="1"/>
  <c r="O11412" i="1"/>
  <c r="O11409" i="1"/>
  <c r="O11408" i="1"/>
  <c r="O11404" i="1"/>
  <c r="O11401" i="1"/>
  <c r="O11399" i="1"/>
  <c r="O11397" i="1"/>
  <c r="O11400" i="1"/>
  <c r="O11393" i="1"/>
  <c r="O11394" i="1"/>
  <c r="O11390" i="1"/>
  <c r="O11389" i="1"/>
  <c r="O11386" i="1"/>
  <c r="O11387" i="1"/>
  <c r="O12363" i="1"/>
  <c r="O11384" i="1"/>
  <c r="O11380" i="1"/>
  <c r="O11377" i="1"/>
  <c r="O11371" i="1"/>
  <c r="O11372" i="1"/>
  <c r="O11341" i="1"/>
  <c r="O11349" i="1"/>
  <c r="O11367" i="1"/>
  <c r="O11364" i="1"/>
  <c r="O11362" i="1"/>
  <c r="O11361" i="1"/>
  <c r="O11356" i="1"/>
  <c r="O11357" i="1"/>
  <c r="O11358" i="1"/>
  <c r="O11359" i="1"/>
  <c r="O11355" i="1"/>
  <c r="O11360" i="1"/>
  <c r="O10772" i="1"/>
  <c r="O12033" i="1"/>
  <c r="O11344" i="1"/>
  <c r="O11347" i="1"/>
  <c r="O11348" i="1"/>
  <c r="O11342" i="1"/>
  <c r="O11338" i="1"/>
  <c r="O11333" i="1"/>
  <c r="O11334" i="1"/>
  <c r="O11335" i="1"/>
  <c r="O11331" i="1"/>
  <c r="O11330" i="1"/>
  <c r="O11326" i="1"/>
  <c r="O11328" i="1"/>
  <c r="O11322" i="1"/>
  <c r="O11329" i="1"/>
  <c r="O11321" i="1"/>
  <c r="O11316" i="1"/>
  <c r="O11319" i="1"/>
  <c r="O11320" i="1"/>
  <c r="O11317" i="1"/>
  <c r="O11318" i="1"/>
  <c r="O11313" i="1"/>
  <c r="O11312" i="1"/>
  <c r="O11309" i="1"/>
  <c r="O11310" i="1"/>
  <c r="O11307" i="1"/>
  <c r="O11308" i="1"/>
  <c r="O11306" i="1"/>
  <c r="O11305" i="1"/>
  <c r="O11304" i="1"/>
  <c r="O11302" i="1"/>
  <c r="O11300" i="1"/>
  <c r="O11297" i="1"/>
  <c r="O11296" i="1"/>
  <c r="O11299" i="1"/>
  <c r="O11295" i="1"/>
  <c r="O11289" i="1"/>
  <c r="O11292" i="1"/>
  <c r="O11294" i="1"/>
  <c r="O11286" i="1"/>
  <c r="O11293" i="1"/>
  <c r="O11287" i="1"/>
  <c r="O11285" i="1"/>
  <c r="O11288" i="1"/>
  <c r="O11280" i="1"/>
  <c r="O11807" i="1"/>
  <c r="O11284" i="1"/>
  <c r="O11281" i="1"/>
  <c r="O11283" i="1"/>
  <c r="O11314" i="1"/>
  <c r="O11274" i="1"/>
  <c r="O11279" i="1"/>
  <c r="O11272" i="1"/>
  <c r="O11266" i="1"/>
  <c r="O11269" i="1"/>
  <c r="O11268" i="1"/>
  <c r="O11256" i="1"/>
  <c r="O11257" i="1"/>
  <c r="O11258" i="1"/>
  <c r="O11252" i="1"/>
  <c r="O11253" i="1"/>
  <c r="O11255" i="1"/>
  <c r="O11254" i="1"/>
  <c r="O11250" i="1"/>
  <c r="O11251" i="1"/>
  <c r="O11247" i="1"/>
  <c r="O11249" i="1"/>
  <c r="O11248" i="1"/>
  <c r="O11244" i="1"/>
  <c r="O11246" i="1"/>
  <c r="O11242" i="1"/>
  <c r="O11245" i="1"/>
  <c r="O11243" i="1"/>
  <c r="O11241" i="1"/>
  <c r="O11240" i="1"/>
  <c r="O11237" i="1"/>
  <c r="O11236" i="1"/>
  <c r="O11238" i="1"/>
  <c r="O11234" i="1"/>
  <c r="O11232" i="1"/>
  <c r="O11230" i="1"/>
  <c r="O11233" i="1"/>
  <c r="O11229" i="1"/>
  <c r="O11231" i="1"/>
  <c r="O11147" i="1"/>
  <c r="O11148" i="1"/>
  <c r="O11149" i="1"/>
  <c r="O11275" i="1"/>
  <c r="O11282" i="1"/>
  <c r="O11298" i="1"/>
  <c r="O11132" i="1"/>
  <c r="O11134" i="1"/>
  <c r="O11142" i="1"/>
  <c r="O11123" i="1"/>
  <c r="O11129" i="1"/>
  <c r="O11126" i="1"/>
  <c r="O11127" i="1"/>
  <c r="O11117" i="1"/>
  <c r="O11121" i="1"/>
  <c r="O11114" i="1"/>
  <c r="O11115" i="1"/>
  <c r="O11119" i="1"/>
  <c r="O11109" i="1"/>
  <c r="O11107" i="1"/>
  <c r="O11110" i="1"/>
  <c r="O11103" i="1"/>
  <c r="O11105" i="1"/>
  <c r="O11096" i="1"/>
  <c r="O11099" i="1"/>
  <c r="O11094" i="1"/>
  <c r="O11525" i="1"/>
  <c r="O11519" i="1"/>
  <c r="O11515" i="1"/>
  <c r="O11508" i="1"/>
  <c r="O11503" i="1"/>
  <c r="O11504" i="1"/>
  <c r="O11140" i="1"/>
  <c r="O11487" i="1"/>
  <c r="O11488" i="1"/>
  <c r="O11489" i="1"/>
  <c r="O11490" i="1"/>
  <c r="O11491" i="1"/>
  <c r="O11480" i="1"/>
  <c r="O11472" i="1"/>
  <c r="O11469" i="1"/>
  <c r="O11468" i="1"/>
  <c r="O11465" i="1"/>
  <c r="O11458" i="1"/>
  <c r="O11453" i="1"/>
  <c r="O11455" i="1"/>
  <c r="O11454" i="1"/>
  <c r="O11446" i="1"/>
  <c r="O11440" i="1"/>
  <c r="O11433" i="1"/>
  <c r="O11434" i="1"/>
  <c r="O11426" i="1"/>
  <c r="O11423" i="1"/>
  <c r="O11422" i="1"/>
  <c r="O11139" i="1"/>
  <c r="O11418" i="1"/>
  <c r="O11420" i="1"/>
  <c r="O11416" i="1"/>
  <c r="O11411" i="1"/>
  <c r="O11406" i="1"/>
  <c r="O11405" i="1"/>
  <c r="O11396" i="1"/>
  <c r="O11391" i="1"/>
  <c r="O11395" i="1"/>
  <c r="O11382" i="1"/>
  <c r="O11383" i="1"/>
  <c r="O11378" i="1"/>
  <c r="O11353" i="1"/>
  <c r="O11350" i="1"/>
  <c r="O11346" i="1"/>
  <c r="O11339" i="1"/>
  <c r="O11340" i="1"/>
  <c r="O11332" i="1"/>
  <c r="O11324" i="1"/>
  <c r="O11323" i="1"/>
  <c r="O11327" i="1"/>
  <c r="O11301" i="1"/>
  <c r="O11290" i="1"/>
  <c r="O11276" i="1"/>
  <c r="O11273" i="1"/>
  <c r="O11264" i="1"/>
  <c r="O11265" i="1"/>
  <c r="O11261" i="1"/>
  <c r="O11228" i="1"/>
  <c r="O11223" i="1"/>
  <c r="O11218" i="1"/>
  <c r="O11138" i="1"/>
  <c r="O11212" i="1"/>
  <c r="O11211" i="1"/>
  <c r="O11202" i="1"/>
  <c r="O11203" i="1"/>
  <c r="O11201" i="1"/>
  <c r="O11200" i="1"/>
  <c r="O11199" i="1"/>
  <c r="O11196" i="1"/>
  <c r="O11193" i="1"/>
  <c r="O11188" i="1"/>
  <c r="O11186" i="1"/>
  <c r="O11185" i="1"/>
  <c r="O11183" i="1"/>
  <c r="O11137" i="1"/>
  <c r="O11176" i="1"/>
  <c r="O11175" i="1"/>
  <c r="O11173" i="1"/>
  <c r="O11169" i="1"/>
  <c r="O11170" i="1"/>
  <c r="O11166" i="1"/>
  <c r="O11168" i="1"/>
  <c r="O11167" i="1"/>
  <c r="O11165" i="1"/>
  <c r="O11163" i="1"/>
  <c r="O11157" i="1"/>
  <c r="O11160" i="1"/>
  <c r="O11161" i="1"/>
  <c r="O11159" i="1"/>
  <c r="O11154" i="1"/>
  <c r="O11155" i="1"/>
  <c r="O11152" i="1"/>
  <c r="O11150" i="1"/>
  <c r="O11092" i="1"/>
  <c r="O11520" i="1"/>
  <c r="O11524" i="1"/>
  <c r="O11514" i="1"/>
  <c r="O11510" i="1"/>
  <c r="O11507" i="1"/>
  <c r="O12529" i="1"/>
  <c r="O11497" i="1"/>
  <c r="O11501" i="1"/>
  <c r="O11502" i="1"/>
  <c r="O12802" i="1"/>
  <c r="O11477" i="1"/>
  <c r="O4216" i="1"/>
  <c r="O12130" i="1"/>
  <c r="O11476" i="1"/>
  <c r="O11470" i="1"/>
  <c r="O11463" i="1"/>
  <c r="O11462" i="1"/>
  <c r="O11461" i="1"/>
  <c r="O11447" i="1"/>
  <c r="O11432" i="1"/>
  <c r="O11431" i="1"/>
  <c r="O11429" i="1"/>
  <c r="O12111" i="1"/>
  <c r="O12799" i="1"/>
  <c r="O11403" i="1"/>
  <c r="O11402" i="1"/>
  <c r="O11398" i="1"/>
  <c r="O11385" i="1"/>
  <c r="O11379" i="1"/>
  <c r="O12502" i="1"/>
  <c r="O11374" i="1"/>
  <c r="O11021" i="1"/>
  <c r="O12289" i="1"/>
  <c r="O11375" i="1"/>
  <c r="O12110" i="1"/>
  <c r="O11369" i="1"/>
  <c r="O11370" i="1"/>
  <c r="O11363" i="1"/>
  <c r="O11352" i="1"/>
  <c r="O12520" i="1"/>
  <c r="O11345" i="1"/>
  <c r="O11019" i="1"/>
  <c r="O11343" i="1"/>
  <c r="O11336" i="1"/>
  <c r="O11337" i="1"/>
  <c r="O11325" i="1"/>
  <c r="O12282" i="1"/>
  <c r="O11315" i="1"/>
  <c r="O11311" i="1"/>
  <c r="O11303" i="1"/>
  <c r="O12109" i="1"/>
  <c r="O11291" i="1"/>
  <c r="O11277" i="1"/>
  <c r="O11278" i="1"/>
  <c r="O11270" i="1"/>
  <c r="O11271" i="1"/>
  <c r="O11267" i="1"/>
  <c r="O11263" i="1"/>
  <c r="O11262" i="1"/>
  <c r="O10984" i="1"/>
  <c r="O12357" i="1"/>
  <c r="O11235" i="1"/>
  <c r="O11225" i="1"/>
  <c r="O12494" i="1"/>
  <c r="O11224" i="1"/>
  <c r="O11227" i="1"/>
  <c r="O11222" i="1"/>
  <c r="O11221" i="1"/>
  <c r="O11220" i="1"/>
  <c r="O11219" i="1"/>
  <c r="O12786" i="1"/>
  <c r="O11213" i="1"/>
  <c r="O11215" i="1"/>
  <c r="O11214" i="1"/>
  <c r="O12108" i="1"/>
  <c r="O11210" i="1"/>
  <c r="O11208" i="1"/>
  <c r="O10978" i="1"/>
  <c r="O12510" i="1"/>
  <c r="O11204" i="1"/>
  <c r="O11205" i="1"/>
  <c r="O11197" i="1"/>
  <c r="O11198" i="1"/>
  <c r="O10970" i="1"/>
  <c r="O11195" i="1"/>
  <c r="O11194" i="1"/>
  <c r="O11191" i="1"/>
  <c r="O11190" i="1"/>
  <c r="O11189" i="1"/>
  <c r="O11187" i="1"/>
  <c r="O10934" i="1"/>
  <c r="O12107" i="1"/>
  <c r="O12281" i="1"/>
  <c r="O11177" i="1"/>
  <c r="O12759" i="1"/>
  <c r="O11179" i="1"/>
  <c r="O11174" i="1"/>
  <c r="O11172" i="1"/>
  <c r="O11171" i="1"/>
  <c r="O11569" i="1"/>
  <c r="O11164" i="1"/>
  <c r="O11158" i="1"/>
  <c r="O11156" i="1"/>
  <c r="O4409" i="1"/>
  <c r="O11151" i="1"/>
  <c r="O11143" i="1"/>
  <c r="O11130" i="1"/>
  <c r="O11100" i="1"/>
  <c r="O12465" i="1"/>
  <c r="F105" i="20"/>
  <c r="Y16" i="31"/>
  <c r="M16" i="31"/>
  <c r="E10926" i="1"/>
  <c r="O10926" i="1"/>
  <c r="E10731" i="1"/>
  <c r="O10731" i="1"/>
  <c r="O11144" i="1"/>
  <c r="O11145" i="1"/>
  <c r="O11146" i="1"/>
  <c r="O11226" i="1"/>
  <c r="O11259" i="1"/>
  <c r="O11260" i="1"/>
  <c r="O11131" i="1"/>
  <c r="O11133" i="1"/>
  <c r="O11141" i="1"/>
  <c r="O11122" i="1"/>
  <c r="O11128" i="1"/>
  <c r="O11124" i="1"/>
  <c r="O11125" i="1"/>
  <c r="O11116" i="1"/>
  <c r="O11120" i="1"/>
  <c r="O11112" i="1"/>
  <c r="O11113" i="1"/>
  <c r="O11118" i="1"/>
  <c r="O11108" i="1"/>
  <c r="O11106" i="1"/>
  <c r="O11111" i="1"/>
  <c r="O11102" i="1"/>
  <c r="O11104" i="1"/>
  <c r="O11095" i="1"/>
  <c r="O11098" i="1"/>
  <c r="O11093" i="1"/>
  <c r="O11091" i="1"/>
  <c r="O11079" i="1"/>
  <c r="O11786" i="1"/>
  <c r="O11787" i="1"/>
  <c r="O11080" i="1"/>
  <c r="O11069" i="1"/>
  <c r="O12032" i="1"/>
  <c r="O11068" i="1"/>
  <c r="O11067" i="1"/>
  <c r="O11066" i="1"/>
  <c r="O11059" i="1"/>
  <c r="O11063" i="1"/>
  <c r="O11064" i="1"/>
  <c r="O11762" i="1"/>
  <c r="O11050" i="1"/>
  <c r="O11048" i="1"/>
  <c r="O11045" i="1"/>
  <c r="O11043" i="1"/>
  <c r="O11042" i="1"/>
  <c r="O11039" i="1"/>
  <c r="O11038" i="1"/>
  <c r="O11040" i="1"/>
  <c r="O11041" i="1"/>
  <c r="O11035" i="1"/>
  <c r="O11033" i="1"/>
  <c r="O11034" i="1"/>
  <c r="O11037" i="1"/>
  <c r="O11036" i="1"/>
  <c r="O11029" i="1"/>
  <c r="O11217" i="1"/>
  <c r="O12030" i="1"/>
  <c r="O11015" i="1"/>
  <c r="O11025" i="1"/>
  <c r="O11017" i="1"/>
  <c r="O11013" i="1"/>
  <c r="O11009" i="1"/>
  <c r="O11003" i="1"/>
  <c r="O11001" i="1"/>
  <c r="O10999" i="1"/>
  <c r="O11000" i="1"/>
  <c r="O10996" i="1"/>
  <c r="O10997" i="1"/>
  <c r="O10993" i="1"/>
  <c r="O10989" i="1"/>
  <c r="O10992" i="1"/>
  <c r="O11216" i="1"/>
  <c r="O10985" i="1"/>
  <c r="O10986" i="1"/>
  <c r="O10973" i="1"/>
  <c r="O10982" i="1"/>
  <c r="O10969" i="1"/>
  <c r="O11758" i="1"/>
  <c r="O10966" i="1"/>
  <c r="O10962" i="1"/>
  <c r="O10959" i="1"/>
  <c r="O10965" i="1"/>
  <c r="O10955" i="1"/>
  <c r="O10960" i="1"/>
  <c r="O10963" i="1"/>
  <c r="O10951" i="1"/>
  <c r="O10950" i="1"/>
  <c r="O10946" i="1"/>
  <c r="O10947" i="1"/>
  <c r="O10944" i="1"/>
  <c r="O10942" i="1"/>
  <c r="O10943" i="1"/>
  <c r="O10941" i="1"/>
  <c r="O10936" i="1"/>
  <c r="O10937" i="1"/>
  <c r="O10938" i="1"/>
  <c r="O10939" i="1"/>
  <c r="O10931" i="1"/>
  <c r="O10927" i="1"/>
  <c r="O10929" i="1"/>
  <c r="O10919" i="1"/>
  <c r="O10908" i="1"/>
  <c r="O10900" i="1"/>
  <c r="O10894" i="1"/>
  <c r="O12025" i="1"/>
  <c r="O10872" i="1"/>
  <c r="O10873" i="1"/>
  <c r="O10866" i="1"/>
  <c r="O10864" i="1"/>
  <c r="O12020" i="1"/>
  <c r="O10857" i="1"/>
  <c r="O10911" i="1"/>
  <c r="O10854" i="1"/>
  <c r="O12352" i="1"/>
  <c r="O10855" i="1"/>
  <c r="O10848" i="1"/>
  <c r="O10844" i="1"/>
  <c r="O11932" i="1"/>
  <c r="O10846" i="1"/>
  <c r="O10849" i="1"/>
  <c r="O10839" i="1"/>
  <c r="O10840" i="1"/>
  <c r="O10837" i="1"/>
  <c r="O10835" i="1"/>
  <c r="O10838" i="1"/>
  <c r="O10833" i="1"/>
  <c r="O10836" i="1"/>
  <c r="O10834" i="1"/>
  <c r="O10831" i="1"/>
  <c r="O10830" i="1"/>
  <c r="O10822" i="1"/>
  <c r="O10824" i="1"/>
  <c r="O10821" i="1"/>
  <c r="O10817" i="1"/>
  <c r="O10815" i="1"/>
  <c r="O10811" i="1"/>
  <c r="O10807" i="1"/>
  <c r="O10801" i="1"/>
  <c r="O10802" i="1"/>
  <c r="O10798" i="1"/>
  <c r="O10799" i="1"/>
  <c r="O10800" i="1"/>
  <c r="O10767" i="1"/>
  <c r="O10784" i="1"/>
  <c r="O10790" i="1"/>
  <c r="O11852" i="1"/>
  <c r="O10782" i="1"/>
  <c r="O10788" i="1"/>
  <c r="O10783" i="1"/>
  <c r="O10785" i="1"/>
  <c r="O10779" i="1"/>
  <c r="O12024" i="1"/>
  <c r="O10766" i="1"/>
  <c r="O11090" i="1"/>
  <c r="O10769" i="1"/>
  <c r="O10764" i="1"/>
  <c r="O10758" i="1"/>
  <c r="O10760" i="1"/>
  <c r="O10853" i="1"/>
  <c r="O10752" i="1"/>
  <c r="O10756" i="1"/>
  <c r="O10757" i="1"/>
  <c r="O10746" i="1"/>
  <c r="O10747" i="1"/>
  <c r="O10748" i="1"/>
  <c r="O10744" i="1"/>
  <c r="O10736" i="1"/>
  <c r="O10734" i="1"/>
  <c r="O10733" i="1"/>
  <c r="O10732" i="1"/>
  <c r="O10735" i="1"/>
  <c r="O10729" i="1"/>
  <c r="O10727" i="1"/>
  <c r="O10726" i="1"/>
  <c r="O10728" i="1"/>
  <c r="O10724" i="1"/>
  <c r="O10725" i="1"/>
  <c r="O10718" i="1"/>
  <c r="O10722" i="1"/>
  <c r="O10719" i="1"/>
  <c r="O10723" i="1"/>
  <c r="O10720" i="1"/>
  <c r="O10721" i="1"/>
  <c r="O10713" i="1"/>
  <c r="O10716" i="1"/>
  <c r="O10717" i="1"/>
  <c r="O10714" i="1"/>
  <c r="O10715" i="1"/>
  <c r="O10711" i="1"/>
  <c r="O10712" i="1"/>
  <c r="O10709" i="1"/>
  <c r="O10710" i="1"/>
  <c r="O10708" i="1"/>
  <c r="O10707" i="1"/>
  <c r="O10706" i="1"/>
  <c r="O10705" i="1"/>
  <c r="O10699" i="1"/>
  <c r="O10700" i="1"/>
  <c r="O10703" i="1"/>
  <c r="O10702" i="1"/>
  <c r="O10701" i="1"/>
  <c r="O10695" i="1"/>
  <c r="O10693" i="1"/>
  <c r="O10689" i="1"/>
  <c r="O10681" i="1"/>
  <c r="O10686" i="1"/>
  <c r="O10677" i="1"/>
  <c r="O10672" i="1"/>
  <c r="O10667" i="1"/>
  <c r="O10669" i="1"/>
  <c r="O10665" i="1"/>
  <c r="O10661" i="1"/>
  <c r="O10659" i="1"/>
  <c r="O10648" i="1"/>
  <c r="O10645" i="1"/>
  <c r="O10640" i="1"/>
  <c r="O10652" i="1"/>
  <c r="O10636" i="1"/>
  <c r="O10633" i="1"/>
  <c r="O10621" i="1"/>
  <c r="O10626" i="1"/>
  <c r="O10623" i="1"/>
  <c r="O10612" i="1"/>
  <c r="O10610" i="1"/>
  <c r="O10607" i="1"/>
  <c r="O10600" i="1"/>
  <c r="O10602" i="1"/>
  <c r="O11076" i="1"/>
  <c r="O12016" i="1"/>
  <c r="O11060" i="1"/>
  <c r="O11062" i="1"/>
  <c r="O11055" i="1"/>
  <c r="O11056" i="1"/>
  <c r="O11046" i="1"/>
  <c r="O11047" i="1"/>
  <c r="O11051" i="1"/>
  <c r="O11049" i="1"/>
  <c r="O11027" i="1"/>
  <c r="O11031" i="1"/>
  <c r="O11136" i="1"/>
  <c r="O11014" i="1"/>
  <c r="O11008" i="1"/>
  <c r="O11004" i="1"/>
  <c r="O10995" i="1"/>
  <c r="O10990" i="1"/>
  <c r="O10987" i="1"/>
  <c r="O10988" i="1"/>
  <c r="O10991" i="1"/>
  <c r="O10975" i="1"/>
  <c r="O10974" i="1"/>
  <c r="O10976" i="1"/>
  <c r="O10977" i="1"/>
  <c r="O10979" i="1"/>
  <c r="O10968" i="1"/>
  <c r="O10967" i="1"/>
  <c r="O10956" i="1"/>
  <c r="O10957" i="1"/>
  <c r="O10958" i="1"/>
  <c r="O10961" i="1"/>
  <c r="O10954" i="1"/>
  <c r="O10949" i="1"/>
  <c r="O10935" i="1"/>
  <c r="O10924" i="1"/>
  <c r="O10914" i="1"/>
  <c r="O10912" i="1"/>
  <c r="O10901" i="1"/>
  <c r="O10903" i="1"/>
  <c r="O10902" i="1"/>
  <c r="O10897" i="1"/>
  <c r="O11135" i="1"/>
  <c r="O10879" i="1"/>
  <c r="O10881" i="1"/>
  <c r="O10871" i="1"/>
  <c r="O10874" i="1"/>
  <c r="O10875" i="1"/>
  <c r="O10867" i="1"/>
  <c r="O10865" i="1"/>
  <c r="O10852" i="1"/>
  <c r="O10856" i="1"/>
  <c r="O10841" i="1"/>
  <c r="O10842" i="1"/>
  <c r="O10845" i="1"/>
  <c r="O10816" i="1"/>
  <c r="O10813" i="1"/>
  <c r="O10814" i="1"/>
  <c r="O10803" i="1"/>
  <c r="O10806" i="1"/>
  <c r="O10808" i="1"/>
  <c r="O10809" i="1"/>
  <c r="O10804" i="1"/>
  <c r="O10810" i="1"/>
  <c r="O10812" i="1"/>
  <c r="O10805" i="1"/>
  <c r="O10794" i="1"/>
  <c r="O10796" i="1"/>
  <c r="O10795" i="1"/>
  <c r="O10797" i="1"/>
  <c r="O10793" i="1"/>
  <c r="O10787" i="1"/>
  <c r="O10791" i="1"/>
  <c r="O10781" i="1"/>
  <c r="O10780" i="1"/>
  <c r="O10777" i="1"/>
  <c r="O11101" i="1"/>
  <c r="O10771" i="1"/>
  <c r="O10765" i="1"/>
  <c r="O10761" i="1"/>
  <c r="O10762" i="1"/>
  <c r="O10755" i="1"/>
  <c r="O10754" i="1"/>
  <c r="O10753" i="1"/>
  <c r="O10750" i="1"/>
  <c r="O10751" i="1"/>
  <c r="O10743" i="1"/>
  <c r="O10730" i="1"/>
  <c r="O11087" i="1"/>
  <c r="O12310" i="1"/>
  <c r="O11086" i="1"/>
  <c r="O12311" i="1"/>
  <c r="O11088" i="1"/>
  <c r="O11084" i="1"/>
  <c r="O11085" i="1"/>
  <c r="O11083" i="1"/>
  <c r="O12106" i="1"/>
  <c r="O11078" i="1"/>
  <c r="O11072" i="1"/>
  <c r="O11073" i="1"/>
  <c r="O11074" i="1"/>
  <c r="O11075" i="1"/>
  <c r="O12265" i="1"/>
  <c r="O11058" i="1"/>
  <c r="O11057" i="1"/>
  <c r="O11054" i="1"/>
  <c r="O11053" i="1"/>
  <c r="O11052" i="1"/>
  <c r="O11044" i="1"/>
  <c r="O12102" i="1"/>
  <c r="O11032" i="1"/>
  <c r="O11016" i="1"/>
  <c r="O11018" i="1"/>
  <c r="O12741" i="1"/>
  <c r="O11024" i="1"/>
  <c r="O11022" i="1"/>
  <c r="O11023" i="1"/>
  <c r="O11020" i="1"/>
  <c r="O11010" i="1"/>
  <c r="O11012" i="1"/>
  <c r="O11011" i="1"/>
  <c r="O11002" i="1"/>
  <c r="O11007" i="1"/>
  <c r="O11006" i="1"/>
  <c r="O11005" i="1"/>
  <c r="O10994" i="1"/>
  <c r="O10998" i="1"/>
  <c r="O12263" i="1"/>
  <c r="O10983" i="1"/>
  <c r="O10981" i="1"/>
  <c r="O10980" i="1"/>
  <c r="O10971" i="1"/>
  <c r="O10972" i="1"/>
  <c r="O10964" i="1"/>
  <c r="O10953" i="1"/>
  <c r="O10952" i="1"/>
  <c r="O10948" i="1"/>
  <c r="O10945" i="1"/>
  <c r="O10940" i="1"/>
  <c r="O11566" i="1"/>
  <c r="O10925" i="1"/>
  <c r="O10933" i="1"/>
  <c r="O12721" i="1"/>
  <c r="O10928" i="1"/>
  <c r="O10930" i="1"/>
  <c r="O10737" i="1"/>
  <c r="O10920" i="1"/>
  <c r="O10918" i="1"/>
  <c r="O10923" i="1"/>
  <c r="O10921" i="1"/>
  <c r="O10922" i="1"/>
  <c r="O10913" i="1"/>
  <c r="O10916" i="1"/>
  <c r="O10917" i="1"/>
  <c r="O10915" i="1"/>
  <c r="O10910" i="1"/>
  <c r="O12878" i="1"/>
  <c r="O10909" i="1"/>
  <c r="O10905" i="1"/>
  <c r="O12880" i="1"/>
  <c r="O10906" i="1"/>
  <c r="O10904" i="1"/>
  <c r="O10898" i="1"/>
  <c r="O12875" i="1"/>
  <c r="O12098" i="1"/>
  <c r="O10896" i="1"/>
  <c r="O10885" i="1"/>
  <c r="O12874" i="1"/>
  <c r="O10886" i="1"/>
  <c r="O12722" i="1"/>
  <c r="O10887" i="1"/>
  <c r="O12888" i="1"/>
  <c r="O10888" i="1"/>
  <c r="O12887" i="1"/>
  <c r="O12739" i="1"/>
  <c r="O10883" i="1"/>
  <c r="O10884" i="1"/>
  <c r="O10876" i="1"/>
  <c r="O10878" i="1"/>
  <c r="O10877" i="1"/>
  <c r="O10868" i="1"/>
  <c r="O10870" i="1"/>
  <c r="O10869" i="1"/>
  <c r="O10863" i="1"/>
  <c r="O10860" i="1"/>
  <c r="O10861" i="1"/>
  <c r="O10862" i="1"/>
  <c r="O10847" i="1"/>
  <c r="O10850" i="1"/>
  <c r="O10851" i="1"/>
  <c r="O10832" i="1"/>
  <c r="O10827" i="1"/>
  <c r="O10829" i="1"/>
  <c r="O10828" i="1"/>
  <c r="O10825" i="1"/>
  <c r="O10823" i="1"/>
  <c r="O10826" i="1"/>
  <c r="O10818" i="1"/>
  <c r="O10819" i="1"/>
  <c r="O10820" i="1"/>
  <c r="O10789" i="1"/>
  <c r="O12092" i="1"/>
  <c r="O10778" i="1"/>
  <c r="O12724" i="1"/>
  <c r="O12087" i="1"/>
  <c r="O10773" i="1"/>
  <c r="O10774" i="1"/>
  <c r="O10763" i="1"/>
  <c r="O10749" i="1"/>
  <c r="O7577" i="1"/>
  <c r="O10745" i="1"/>
  <c r="O10739" i="1"/>
  <c r="O10740" i="1"/>
  <c r="O10738" i="1"/>
  <c r="O10741" i="1"/>
  <c r="D42" i="21"/>
  <c r="R338" i="6"/>
  <c r="R337" i="6"/>
  <c r="R336" i="6"/>
  <c r="R335" i="6"/>
  <c r="R334" i="6"/>
  <c r="R333" i="6"/>
  <c r="R332" i="6"/>
  <c r="R331" i="6"/>
  <c r="R330" i="6"/>
  <c r="R329" i="6"/>
  <c r="R328" i="6"/>
  <c r="R327" i="6"/>
  <c r="R326" i="6"/>
  <c r="R325" i="6"/>
  <c r="R324" i="6"/>
  <c r="R323" i="6"/>
  <c r="R322" i="6"/>
  <c r="R321" i="6"/>
  <c r="R320" i="6"/>
  <c r="R319" i="6"/>
  <c r="R318" i="6"/>
  <c r="R317" i="6"/>
  <c r="R316" i="6"/>
  <c r="R315" i="6"/>
  <c r="R314" i="6"/>
  <c r="R313" i="6"/>
  <c r="R312" i="6"/>
  <c r="R311" i="6"/>
  <c r="R310" i="6"/>
  <c r="R309" i="6"/>
  <c r="R308" i="6"/>
  <c r="R307" i="6"/>
  <c r="R306" i="6"/>
  <c r="R305" i="6"/>
  <c r="R304" i="6"/>
  <c r="R303" i="6"/>
  <c r="R302" i="6"/>
  <c r="R301" i="6"/>
  <c r="R300" i="6"/>
  <c r="R299" i="6"/>
  <c r="R298" i="6"/>
  <c r="R297" i="6"/>
  <c r="R296" i="6"/>
  <c r="R295" i="6"/>
  <c r="R294" i="6"/>
  <c r="R293" i="6"/>
  <c r="R292" i="6"/>
  <c r="R291" i="6"/>
  <c r="R290" i="6"/>
  <c r="R289" i="6"/>
  <c r="R288" i="6"/>
  <c r="R287" i="6"/>
  <c r="R286" i="6"/>
  <c r="R285" i="6"/>
  <c r="R284" i="6"/>
  <c r="R283" i="6"/>
  <c r="R282" i="6"/>
  <c r="R281" i="6"/>
  <c r="R280" i="6"/>
  <c r="R279" i="6"/>
  <c r="R278" i="6"/>
  <c r="R277" i="6"/>
  <c r="R276" i="6"/>
  <c r="R275" i="6"/>
  <c r="R274" i="6"/>
  <c r="R273" i="6"/>
  <c r="R272" i="6"/>
  <c r="R271" i="6"/>
  <c r="R270" i="6"/>
  <c r="R269" i="6"/>
  <c r="R268" i="6"/>
  <c r="R267" i="6"/>
  <c r="R266" i="6"/>
  <c r="R265" i="6"/>
  <c r="R264" i="6"/>
  <c r="R263" i="6"/>
  <c r="R262" i="6"/>
  <c r="R261" i="6"/>
  <c r="R260" i="6"/>
  <c r="R259" i="6"/>
  <c r="R258" i="6"/>
  <c r="R257" i="6"/>
  <c r="R256" i="6"/>
  <c r="R255" i="6"/>
  <c r="R254" i="6"/>
  <c r="R253" i="6"/>
  <c r="R252" i="6"/>
  <c r="R251" i="6"/>
  <c r="R250" i="6"/>
  <c r="R249" i="6"/>
  <c r="R248" i="6"/>
  <c r="R247" i="6"/>
  <c r="R246" i="6"/>
  <c r="R245" i="6"/>
  <c r="R244" i="6"/>
  <c r="R243" i="6"/>
  <c r="R242" i="6"/>
  <c r="R241" i="6"/>
  <c r="R240" i="6"/>
  <c r="R239" i="6"/>
  <c r="R238" i="6"/>
  <c r="R237" i="6"/>
  <c r="R236" i="6"/>
  <c r="R235" i="6"/>
  <c r="R234" i="6"/>
  <c r="R233" i="6"/>
  <c r="R232" i="6"/>
  <c r="R231" i="6"/>
  <c r="R230" i="6"/>
  <c r="R229" i="6"/>
  <c r="R228" i="6"/>
  <c r="R227" i="6"/>
  <c r="R226" i="6"/>
  <c r="R225" i="6"/>
  <c r="R224" i="6"/>
  <c r="R223" i="6"/>
  <c r="R222" i="6"/>
  <c r="R221" i="6"/>
  <c r="R220" i="6"/>
  <c r="R219" i="6"/>
  <c r="R218" i="6"/>
  <c r="R217" i="6"/>
  <c r="R216" i="6"/>
  <c r="R215" i="6"/>
  <c r="R214" i="6"/>
  <c r="R213" i="6"/>
  <c r="R212" i="6"/>
  <c r="R211" i="6"/>
  <c r="R210" i="6"/>
  <c r="R209" i="6"/>
  <c r="R208" i="6"/>
  <c r="R207" i="6"/>
  <c r="R206" i="6"/>
  <c r="R205" i="6"/>
  <c r="R204" i="6"/>
  <c r="R203" i="6"/>
  <c r="R202" i="6"/>
  <c r="R201" i="6"/>
  <c r="R200" i="6"/>
  <c r="R199" i="6"/>
  <c r="R198" i="6"/>
  <c r="R197" i="6"/>
  <c r="R196" i="6"/>
  <c r="R195" i="6"/>
  <c r="R194" i="6"/>
  <c r="R193" i="6"/>
  <c r="R192" i="6"/>
  <c r="R191" i="6"/>
  <c r="R190" i="6"/>
  <c r="R189" i="6"/>
  <c r="R188" i="6"/>
  <c r="R187" i="6"/>
  <c r="R186" i="6"/>
  <c r="R185" i="6"/>
  <c r="R184" i="6"/>
  <c r="R183" i="6"/>
  <c r="R182" i="6"/>
  <c r="R181" i="6"/>
  <c r="R180" i="6"/>
  <c r="R179" i="6"/>
  <c r="R178" i="6"/>
  <c r="R177" i="6"/>
  <c r="R176" i="6"/>
  <c r="R175" i="6"/>
  <c r="R174" i="6"/>
  <c r="R173" i="6"/>
  <c r="R172" i="6"/>
  <c r="R171" i="6"/>
  <c r="R170" i="6"/>
  <c r="R169" i="6"/>
  <c r="R168" i="6"/>
  <c r="R167" i="6"/>
  <c r="R166" i="6"/>
  <c r="R165" i="6"/>
  <c r="R164" i="6"/>
  <c r="R163" i="6"/>
  <c r="R162" i="6"/>
  <c r="R161" i="6"/>
  <c r="R160" i="6"/>
  <c r="R159" i="6"/>
  <c r="R158" i="6"/>
  <c r="R157" i="6"/>
  <c r="R156" i="6"/>
  <c r="R155" i="6"/>
  <c r="R154" i="6"/>
  <c r="R153" i="6"/>
  <c r="R152" i="6"/>
  <c r="R151" i="6"/>
  <c r="R150" i="6"/>
  <c r="R149" i="6"/>
  <c r="R148" i="6"/>
  <c r="R147" i="6"/>
  <c r="R146" i="6"/>
  <c r="R145" i="6"/>
  <c r="R144" i="6"/>
  <c r="R143" i="6"/>
  <c r="R142" i="6"/>
  <c r="R141" i="6"/>
  <c r="R140" i="6"/>
  <c r="R139" i="6"/>
  <c r="R138" i="6"/>
  <c r="R137" i="6"/>
  <c r="R136" i="6"/>
  <c r="R135" i="6"/>
  <c r="R134" i="6"/>
  <c r="R133" i="6"/>
  <c r="R132" i="6"/>
  <c r="R131" i="6"/>
  <c r="R130" i="6"/>
  <c r="R129" i="6"/>
  <c r="R128" i="6"/>
  <c r="R127" i="6"/>
  <c r="R126" i="6"/>
  <c r="R125" i="6"/>
  <c r="R124" i="6"/>
  <c r="R123" i="6"/>
  <c r="R121" i="6"/>
  <c r="R120" i="6"/>
  <c r="R119" i="6"/>
  <c r="R118" i="6"/>
  <c r="R117" i="6"/>
  <c r="R116" i="6"/>
  <c r="R115" i="6"/>
  <c r="R114" i="6"/>
  <c r="R113" i="6"/>
  <c r="R112" i="6"/>
  <c r="R111" i="6"/>
  <c r="R110" i="6"/>
  <c r="R109" i="6"/>
  <c r="R108" i="6"/>
  <c r="R107" i="6"/>
  <c r="R106" i="6"/>
  <c r="R105" i="6"/>
  <c r="R104" i="6"/>
  <c r="R103" i="6"/>
  <c r="R102" i="6"/>
  <c r="R101" i="6"/>
  <c r="R100" i="6"/>
  <c r="R99" i="6"/>
  <c r="R98" i="6"/>
  <c r="R97" i="6"/>
  <c r="R96" i="6"/>
  <c r="R122" i="6"/>
  <c r="R95" i="6"/>
  <c r="R94" i="6"/>
  <c r="R93" i="6"/>
  <c r="R92" i="6"/>
  <c r="R91" i="6"/>
  <c r="R90" i="6"/>
  <c r="R89" i="6"/>
  <c r="R88" i="6"/>
  <c r="R87" i="6"/>
  <c r="R86" i="6"/>
  <c r="R85" i="6"/>
  <c r="R84" i="6"/>
  <c r="R83" i="6"/>
  <c r="R82" i="6"/>
  <c r="R81" i="6"/>
  <c r="R80" i="6"/>
  <c r="R79" i="6"/>
  <c r="R78" i="6"/>
  <c r="R77" i="6"/>
  <c r="R76" i="6"/>
  <c r="R75" i="6"/>
  <c r="R74" i="6"/>
  <c r="R73" i="6"/>
  <c r="R72" i="6"/>
  <c r="R71" i="6"/>
  <c r="R70" i="6"/>
  <c r="R69" i="6"/>
  <c r="R68" i="6"/>
  <c r="R67" i="6"/>
  <c r="R66" i="6"/>
  <c r="R65" i="6"/>
  <c r="R64" i="6"/>
  <c r="R63" i="6"/>
  <c r="R62" i="6"/>
  <c r="R61" i="6"/>
  <c r="R60" i="6"/>
  <c r="R59" i="6"/>
  <c r="R58" i="6"/>
  <c r="R36" i="6"/>
  <c r="R35" i="6"/>
  <c r="R34" i="6"/>
  <c r="R33" i="6"/>
  <c r="R32" i="6"/>
  <c r="R31" i="6"/>
  <c r="R30" i="6"/>
  <c r="R29" i="6"/>
  <c r="R57" i="6"/>
  <c r="R56" i="6"/>
  <c r="R55" i="6"/>
  <c r="R54" i="6"/>
  <c r="R53" i="6"/>
  <c r="R52" i="6"/>
  <c r="R51" i="6"/>
  <c r="R50" i="6"/>
  <c r="R49" i="6"/>
  <c r="R48" i="6"/>
  <c r="R47" i="6"/>
  <c r="R46" i="6"/>
  <c r="R45" i="6"/>
  <c r="R44" i="6"/>
  <c r="R43" i="6"/>
  <c r="R42" i="6"/>
  <c r="R41" i="6"/>
  <c r="R40" i="6"/>
  <c r="R39" i="6"/>
  <c r="R38" i="6"/>
  <c r="R37" i="6"/>
  <c r="R28" i="6"/>
  <c r="R27" i="6"/>
  <c r="R26" i="6"/>
  <c r="R25" i="6"/>
  <c r="R24" i="6"/>
  <c r="R23" i="6"/>
  <c r="R22" i="6"/>
  <c r="R21" i="6"/>
  <c r="R20" i="6"/>
  <c r="R19" i="6"/>
  <c r="R18" i="6"/>
  <c r="R17" i="6"/>
  <c r="R16" i="6"/>
  <c r="R15" i="6"/>
  <c r="R14" i="6"/>
  <c r="R13" i="6"/>
  <c r="R12" i="6"/>
  <c r="R11" i="6"/>
  <c r="R10" i="6"/>
  <c r="R9" i="6"/>
  <c r="R8" i="6"/>
  <c r="R7" i="6"/>
  <c r="R6" i="6"/>
  <c r="R5" i="6"/>
  <c r="D11" i="5"/>
  <c r="J9" i="6"/>
  <c r="D103" i="20"/>
  <c r="O32" i="6"/>
  <c r="O33" i="6"/>
  <c r="O31" i="6"/>
  <c r="O34" i="6"/>
  <c r="D63" i="21"/>
  <c r="D62" i="21"/>
  <c r="O10682" i="1"/>
  <c r="O10685" i="1"/>
  <c r="O10676" i="1"/>
  <c r="O10671" i="1"/>
  <c r="O10666" i="1"/>
  <c r="O10668" i="1"/>
  <c r="O10664" i="1"/>
  <c r="O10660" i="1"/>
  <c r="O10658" i="1"/>
  <c r="O10647" i="1"/>
  <c r="O10644" i="1"/>
  <c r="O10639" i="1"/>
  <c r="O10651" i="1"/>
  <c r="O10635" i="1"/>
  <c r="O10632" i="1"/>
  <c r="O10620" i="1"/>
  <c r="O10625" i="1"/>
  <c r="O10622" i="1"/>
  <c r="O10611" i="1"/>
  <c r="O10609" i="1"/>
  <c r="O10606" i="1"/>
  <c r="O10599" i="1"/>
  <c r="O10601" i="1"/>
  <c r="O10587" i="1"/>
  <c r="O10590" i="1"/>
  <c r="O10592" i="1"/>
  <c r="O10589" i="1"/>
  <c r="O10583" i="1"/>
  <c r="O10567" i="1"/>
  <c r="O10570" i="1"/>
  <c r="O10571" i="1"/>
  <c r="O10566" i="1"/>
  <c r="O10574" i="1"/>
  <c r="O10564" i="1"/>
  <c r="O10563" i="1"/>
  <c r="O10561" i="1"/>
  <c r="O10554" i="1"/>
  <c r="O10550" i="1"/>
  <c r="O10544" i="1"/>
  <c r="O10546" i="1"/>
  <c r="O10547" i="1"/>
  <c r="O10545" i="1"/>
  <c r="O10540" i="1"/>
  <c r="O10535" i="1"/>
  <c r="O10530" i="1"/>
  <c r="O10521" i="1"/>
  <c r="O10522" i="1"/>
  <c r="O10531" i="1"/>
  <c r="O10524" i="1"/>
  <c r="O10525" i="1"/>
  <c r="O10527" i="1"/>
  <c r="O10523" i="1"/>
  <c r="O10520" i="1"/>
  <c r="O10511" i="1"/>
  <c r="O10513" i="1"/>
  <c r="O10512" i="1"/>
  <c r="O10514" i="1"/>
  <c r="O10515" i="1"/>
  <c r="O10516" i="1"/>
  <c r="O10499" i="1"/>
  <c r="O10500" i="1"/>
  <c r="O10502" i="1"/>
  <c r="O10497" i="1"/>
  <c r="O10501" i="1"/>
  <c r="O10498" i="1"/>
  <c r="O10484" i="1"/>
  <c r="O10488" i="1"/>
  <c r="O10495" i="1"/>
  <c r="O10493" i="1"/>
  <c r="O10496" i="1"/>
  <c r="O10491" i="1"/>
  <c r="O10489" i="1"/>
  <c r="O10474" i="1"/>
  <c r="O10475" i="1"/>
  <c r="O10481" i="1"/>
  <c r="O10473" i="1"/>
  <c r="O10482" i="1"/>
  <c r="O10478" i="1"/>
  <c r="O10477" i="1"/>
  <c r="O10476" i="1"/>
  <c r="O10469" i="1"/>
  <c r="O10466" i="1"/>
  <c r="O10467" i="1"/>
  <c r="O10468" i="1"/>
  <c r="O10472" i="1"/>
  <c r="O10464" i="1"/>
  <c r="O10463" i="1"/>
  <c r="O10457" i="1"/>
  <c r="O10455" i="1"/>
  <c r="O10453" i="1"/>
  <c r="O10459" i="1"/>
  <c r="O10458" i="1"/>
  <c r="O10444" i="1"/>
  <c r="O10445" i="1"/>
  <c r="O10450" i="1"/>
  <c r="O10452" i="1"/>
  <c r="O10451" i="1"/>
  <c r="O10438" i="1"/>
  <c r="O10439" i="1"/>
  <c r="O10441" i="1"/>
  <c r="O10429" i="1"/>
  <c r="O10433" i="1"/>
  <c r="O10431" i="1"/>
  <c r="O10426" i="1"/>
  <c r="O10425" i="1"/>
  <c r="O10424" i="1"/>
  <c r="O10419" i="1"/>
  <c r="O10422" i="1"/>
  <c r="O10421" i="1"/>
  <c r="O10418" i="1"/>
  <c r="O10415" i="1"/>
  <c r="O10414" i="1"/>
  <c r="O10417" i="1"/>
  <c r="O10416" i="1"/>
  <c r="O10409" i="1"/>
  <c r="O10402" i="1"/>
  <c r="O10403" i="1"/>
  <c r="O10401" i="1"/>
  <c r="O10398" i="1"/>
  <c r="O10396" i="1"/>
  <c r="O10397" i="1"/>
  <c r="O10399" i="1"/>
  <c r="O10395" i="1"/>
  <c r="O10394" i="1"/>
  <c r="O10390" i="1"/>
  <c r="O10389" i="1"/>
  <c r="O10387" i="1"/>
  <c r="O10379" i="1"/>
  <c r="O10382" i="1"/>
  <c r="O10383" i="1"/>
  <c r="O10380" i="1"/>
  <c r="O10376" i="1"/>
  <c r="O10373" i="1"/>
  <c r="O10374" i="1"/>
  <c r="O10366" i="1"/>
  <c r="O10367" i="1"/>
  <c r="O10368" i="1"/>
  <c r="O10359" i="1"/>
  <c r="O10362" i="1"/>
  <c r="O10363" i="1"/>
  <c r="O10361" i="1"/>
  <c r="O10356" i="1"/>
  <c r="O10357" i="1"/>
  <c r="O10358" i="1"/>
  <c r="O10353" i="1"/>
  <c r="O10354" i="1"/>
  <c r="O10355" i="1"/>
  <c r="O10348" i="1"/>
  <c r="O10349" i="1"/>
  <c r="O10347" i="1"/>
  <c r="O10330" i="1"/>
  <c r="O10331" i="1"/>
  <c r="O10332" i="1"/>
  <c r="O10704" i="1"/>
  <c r="O10690" i="1"/>
  <c r="O10696" i="1"/>
  <c r="O10697" i="1"/>
  <c r="O10698" i="1"/>
  <c r="O10692" i="1"/>
  <c r="O10687" i="1"/>
  <c r="O10680" i="1"/>
  <c r="O10679" i="1"/>
  <c r="O10678" i="1"/>
  <c r="O10675" i="1"/>
  <c r="O10674" i="1"/>
  <c r="O10662" i="1"/>
  <c r="O10663" i="1"/>
  <c r="O10642" i="1"/>
  <c r="O10641" i="1"/>
  <c r="O10649" i="1"/>
  <c r="O10653" i="1"/>
  <c r="O10643" i="1"/>
  <c r="O10646" i="1"/>
  <c r="O10637" i="1"/>
  <c r="O10630" i="1"/>
  <c r="O10627" i="1"/>
  <c r="O10617" i="1"/>
  <c r="O10629" i="1"/>
  <c r="O10628" i="1"/>
  <c r="O10613" i="1"/>
  <c r="O10614" i="1"/>
  <c r="O10616" i="1"/>
  <c r="O10608" i="1"/>
  <c r="O10596" i="1"/>
  <c r="O10598" i="1"/>
  <c r="O10591" i="1"/>
  <c r="O10595" i="1"/>
  <c r="O10576" i="1"/>
  <c r="O10580" i="1"/>
  <c r="O10581" i="1"/>
  <c r="O10584" i="1"/>
  <c r="O10582" i="1"/>
  <c r="O10577" i="1"/>
  <c r="O10575" i="1"/>
  <c r="O10572" i="1"/>
  <c r="O10573" i="1"/>
  <c r="O10565" i="1"/>
  <c r="O10560" i="1"/>
  <c r="O10562" i="1"/>
  <c r="O10556" i="1"/>
  <c r="O10557" i="1"/>
  <c r="O10543" i="1"/>
  <c r="O10541" i="1"/>
  <c r="O10542" i="1"/>
  <c r="O10532" i="1"/>
  <c r="O10536" i="1"/>
  <c r="O10538" i="1"/>
  <c r="O10537" i="1"/>
  <c r="O10534" i="1"/>
  <c r="O10533" i="1"/>
  <c r="O10528" i="1"/>
  <c r="O10526" i="1"/>
  <c r="O10518" i="1"/>
  <c r="O10519" i="1"/>
  <c r="O10517" i="1"/>
  <c r="O10508" i="1"/>
  <c r="O10503" i="1"/>
  <c r="O10509" i="1"/>
  <c r="O10504" i="1"/>
  <c r="O10505" i="1"/>
  <c r="O10510" i="1"/>
  <c r="O10506" i="1"/>
  <c r="O10507" i="1"/>
  <c r="O10479" i="1"/>
  <c r="O10470" i="1"/>
  <c r="O10471" i="1"/>
  <c r="O10462" i="1"/>
  <c r="O10443" i="1"/>
  <c r="O10442" i="1"/>
  <c r="O10430" i="1"/>
  <c r="O10437" i="1"/>
  <c r="O10436" i="1"/>
  <c r="O10434" i="1"/>
  <c r="O10435" i="1"/>
  <c r="O10411" i="1"/>
  <c r="O10413" i="1"/>
  <c r="O10406" i="1"/>
  <c r="O10407" i="1"/>
  <c r="O10408" i="1"/>
  <c r="O10405" i="1"/>
  <c r="O10404" i="1"/>
  <c r="O10385" i="1"/>
  <c r="O10375" i="1"/>
  <c r="O10371" i="1"/>
  <c r="O10372" i="1"/>
  <c r="O10370" i="1"/>
  <c r="O10364" i="1"/>
  <c r="O10365" i="1"/>
  <c r="O10351" i="1"/>
  <c r="O10352" i="1"/>
  <c r="O10343" i="1"/>
  <c r="O10344" i="1"/>
  <c r="O10341" i="1"/>
  <c r="O10342" i="1"/>
  <c r="O10340" i="1"/>
  <c r="O10694" i="1"/>
  <c r="O10691" i="1"/>
  <c r="O10688" i="1"/>
  <c r="O10683" i="1"/>
  <c r="O10684" i="1"/>
  <c r="O10673" i="1"/>
  <c r="O10670" i="1"/>
  <c r="O10655" i="1"/>
  <c r="O10654" i="1"/>
  <c r="O10656" i="1"/>
  <c r="O10657" i="1"/>
  <c r="O10650" i="1"/>
  <c r="O10631" i="1"/>
  <c r="O10634" i="1"/>
  <c r="O10638" i="1"/>
  <c r="O10618" i="1"/>
  <c r="O10619" i="1"/>
  <c r="O10624" i="1"/>
  <c r="O10615" i="1"/>
  <c r="O10603" i="1"/>
  <c r="O10605" i="1"/>
  <c r="O10604" i="1"/>
  <c r="O10597" i="1"/>
  <c r="O10588" i="1"/>
  <c r="O10586" i="1"/>
  <c r="O10585" i="1"/>
  <c r="O10594" i="1"/>
  <c r="O10593" i="1"/>
  <c r="O10578" i="1"/>
  <c r="O10579" i="1"/>
  <c r="O10568" i="1"/>
  <c r="O10569" i="1"/>
  <c r="O10558" i="1"/>
  <c r="O10559" i="1"/>
  <c r="O10551" i="1"/>
  <c r="O10555" i="1"/>
  <c r="O10552" i="1"/>
  <c r="O10553" i="1"/>
  <c r="O10549" i="1"/>
  <c r="O10548" i="1"/>
  <c r="O10539" i="1"/>
  <c r="O10529" i="1"/>
  <c r="O10494" i="1"/>
  <c r="O10483" i="1"/>
  <c r="O10492" i="1"/>
  <c r="O10490" i="1"/>
  <c r="O10485" i="1"/>
  <c r="O10486" i="1"/>
  <c r="O10487" i="1"/>
  <c r="O10480" i="1"/>
  <c r="O10461" i="1"/>
  <c r="O10465" i="1"/>
  <c r="O10460" i="1"/>
  <c r="O10454" i="1"/>
  <c r="O10446" i="1"/>
  <c r="O10447" i="1"/>
  <c r="O10449" i="1"/>
  <c r="O10448" i="1"/>
  <c r="O10456" i="1"/>
  <c r="O10440" i="1"/>
  <c r="O10432" i="1"/>
  <c r="O10428" i="1"/>
  <c r="O10427" i="1"/>
  <c r="O10423" i="1"/>
  <c r="O10420" i="1"/>
  <c r="O10412" i="1"/>
  <c r="O10410" i="1"/>
  <c r="O10400" i="1"/>
  <c r="O10393" i="1"/>
  <c r="O10391" i="1"/>
  <c r="O10392" i="1"/>
  <c r="O10388" i="1"/>
  <c r="O10381" i="1"/>
  <c r="O10386" i="1"/>
  <c r="O10384" i="1"/>
  <c r="O10378" i="1"/>
  <c r="O10377" i="1"/>
  <c r="O10369" i="1"/>
  <c r="O10360" i="1"/>
  <c r="O10350" i="1"/>
  <c r="O10346" i="1"/>
  <c r="O10345" i="1"/>
  <c r="O10333" i="1"/>
  <c r="O10334" i="1"/>
  <c r="O10335" i="1"/>
  <c r="O10336" i="1"/>
  <c r="O10337" i="1"/>
  <c r="O10338" i="1"/>
  <c r="O10339" i="1"/>
  <c r="D8" i="31"/>
  <c r="O10328" i="1"/>
  <c r="O10325" i="1"/>
  <c r="O10322" i="1"/>
  <c r="O10321" i="1"/>
  <c r="O10320" i="1"/>
  <c r="O10313" i="1"/>
  <c r="O10316" i="1"/>
  <c r="O10311" i="1"/>
  <c r="O10312" i="1"/>
  <c r="O10310" i="1"/>
  <c r="O10309" i="1"/>
  <c r="O10308" i="1"/>
  <c r="O10296" i="1"/>
  <c r="O10297" i="1"/>
  <c r="O10298" i="1"/>
  <c r="O10293" i="1"/>
  <c r="O10294" i="1"/>
  <c r="O10288" i="1"/>
  <c r="O10292" i="1"/>
  <c r="O10289" i="1"/>
  <c r="O10291" i="1"/>
  <c r="O10286" i="1"/>
  <c r="O10281" i="1"/>
  <c r="O10282" i="1"/>
  <c r="O10280" i="1"/>
  <c r="O10272" i="1"/>
  <c r="O10276" i="1"/>
  <c r="O10270" i="1"/>
  <c r="O10278" i="1"/>
  <c r="O10275" i="1"/>
  <c r="O10274" i="1"/>
  <c r="O10269" i="1"/>
  <c r="O10267" i="1"/>
  <c r="O10268" i="1"/>
  <c r="O10266" i="1"/>
  <c r="O10264" i="1"/>
  <c r="O10261" i="1"/>
  <c r="O10260" i="1"/>
  <c r="O10263" i="1"/>
  <c r="O10257" i="1"/>
  <c r="O10258" i="1"/>
  <c r="O10252" i="1"/>
  <c r="O10251" i="1"/>
  <c r="O10250" i="1"/>
  <c r="O10254" i="1"/>
  <c r="O10247" i="1"/>
  <c r="O10245" i="1"/>
  <c r="O10246" i="1"/>
  <c r="O10241" i="1"/>
  <c r="O10242" i="1"/>
  <c r="O10239" i="1"/>
  <c r="O10235" i="1"/>
  <c r="O10233" i="1"/>
  <c r="O10230" i="1"/>
  <c r="O10232" i="1"/>
  <c r="O10231" i="1"/>
  <c r="O10227" i="1"/>
  <c r="O10228" i="1"/>
  <c r="O10229" i="1"/>
  <c r="O10223" i="1"/>
  <c r="O10224" i="1"/>
  <c r="O10220" i="1"/>
  <c r="O10215" i="1"/>
  <c r="O10208" i="1"/>
  <c r="O10211" i="1"/>
  <c r="O10206" i="1"/>
  <c r="O10210" i="1"/>
  <c r="O10202" i="1"/>
  <c r="O10204" i="1"/>
  <c r="O10188" i="1"/>
  <c r="O10198" i="1"/>
  <c r="O10191" i="1"/>
  <c r="O10192" i="1"/>
  <c r="O10190" i="1"/>
  <c r="O10199" i="1"/>
  <c r="O10186" i="1"/>
  <c r="O10177" i="1"/>
  <c r="O10172" i="1"/>
  <c r="O10173" i="1"/>
  <c r="O10170" i="1"/>
  <c r="O10171" i="1"/>
  <c r="O10162" i="1"/>
  <c r="O10161" i="1"/>
  <c r="O10158" i="1"/>
  <c r="O10147" i="1"/>
  <c r="O10145" i="1"/>
  <c r="O10146" i="1"/>
  <c r="O10319" i="1"/>
  <c r="O10318" i="1"/>
  <c r="O10314" i="1"/>
  <c r="O10301" i="1"/>
  <c r="O10302" i="1"/>
  <c r="O10295" i="1"/>
  <c r="O10290" i="1"/>
  <c r="O10287" i="1"/>
  <c r="O10273" i="1"/>
  <c r="O10271" i="1"/>
  <c r="O10277" i="1"/>
  <c r="O10262" i="1"/>
  <c r="O10255" i="1"/>
  <c r="O10256" i="1"/>
  <c r="O10249" i="1"/>
  <c r="O10240" i="1"/>
  <c r="O10237" i="1"/>
  <c r="O10234" i="1"/>
  <c r="O10221" i="1"/>
  <c r="O10226" i="1"/>
  <c r="O10217" i="1"/>
  <c r="O10209" i="1"/>
  <c r="O10200" i="1"/>
  <c r="O10201" i="1"/>
  <c r="O10189" i="1"/>
  <c r="O10180" i="1"/>
  <c r="O10184" i="1"/>
  <c r="O10181" i="1"/>
  <c r="O10183" i="1"/>
  <c r="O10187" i="1"/>
  <c r="O10182" i="1"/>
  <c r="O10185" i="1"/>
  <c r="O10174" i="1"/>
  <c r="O10175" i="1"/>
  <c r="O10176" i="1"/>
  <c r="O10179" i="1"/>
  <c r="O10178" i="1"/>
  <c r="O10163" i="1"/>
  <c r="O10165" i="1"/>
  <c r="O10159" i="1"/>
  <c r="O10155" i="1"/>
  <c r="O10149" i="1"/>
  <c r="O10151" i="1"/>
  <c r="O10150" i="1"/>
  <c r="O10148" i="1"/>
  <c r="O10156" i="1"/>
  <c r="O10157" i="1"/>
  <c r="O10154" i="1"/>
  <c r="O10153" i="1"/>
  <c r="O10152" i="1"/>
  <c r="O10160" i="1"/>
  <c r="O10166" i="1"/>
  <c r="O10164" i="1"/>
  <c r="O10167" i="1"/>
  <c r="O10169" i="1"/>
  <c r="O10168" i="1"/>
  <c r="O10194" i="1"/>
  <c r="O10197" i="1"/>
  <c r="O10196" i="1"/>
  <c r="O10195" i="1"/>
  <c r="O10193" i="1"/>
  <c r="O10203" i="1"/>
  <c r="O10205" i="1"/>
  <c r="O10212" i="1"/>
  <c r="O10214" i="1"/>
  <c r="O10213" i="1"/>
  <c r="O10218" i="1"/>
  <c r="O10216" i="1"/>
  <c r="O10207" i="1"/>
  <c r="O10219" i="1"/>
  <c r="O10225" i="1"/>
  <c r="O10222" i="1"/>
  <c r="O10238" i="1"/>
  <c r="O10236" i="1"/>
  <c r="O10243" i="1"/>
  <c r="O10244" i="1"/>
  <c r="O10248" i="1"/>
  <c r="O10253" i="1"/>
  <c r="O10259" i="1"/>
  <c r="O10265" i="1"/>
  <c r="O10279" i="1"/>
  <c r="O10284" i="1"/>
  <c r="O10283" i="1"/>
  <c r="O10285" i="1"/>
  <c r="O10300" i="1"/>
  <c r="O10303" i="1"/>
  <c r="O10299" i="1"/>
  <c r="O10304" i="1"/>
  <c r="O10306" i="1"/>
  <c r="O10307" i="1"/>
  <c r="O10305" i="1"/>
  <c r="O10315" i="1"/>
  <c r="O10317" i="1"/>
  <c r="O10323" i="1"/>
  <c r="O10324" i="1"/>
  <c r="O10329" i="1"/>
  <c r="O10326" i="1"/>
  <c r="O10327" i="1"/>
  <c r="D3" i="31"/>
  <c r="D4" i="31"/>
  <c r="X88" i="31"/>
  <c r="W88" i="31"/>
  <c r="X87" i="31"/>
  <c r="W87" i="31"/>
  <c r="X86" i="31"/>
  <c r="W86" i="31"/>
  <c r="X85" i="31"/>
  <c r="W85" i="31"/>
  <c r="X84" i="31"/>
  <c r="W84" i="31"/>
  <c r="X83" i="31"/>
  <c r="W83" i="31"/>
  <c r="X82" i="31"/>
  <c r="W82" i="31"/>
  <c r="X81" i="31"/>
  <c r="W81" i="31"/>
  <c r="X80" i="31"/>
  <c r="W80" i="31"/>
  <c r="X79" i="31"/>
  <c r="W79" i="31"/>
  <c r="X78" i="31"/>
  <c r="W78" i="31"/>
  <c r="X77" i="31"/>
  <c r="W77" i="31"/>
  <c r="X76" i="31"/>
  <c r="W76" i="31"/>
  <c r="X75" i="31"/>
  <c r="W75" i="31"/>
  <c r="X74" i="31"/>
  <c r="W74" i="31"/>
  <c r="X73" i="31"/>
  <c r="W73" i="31"/>
  <c r="X72" i="31"/>
  <c r="W72" i="31"/>
  <c r="X71" i="31"/>
  <c r="W71" i="31"/>
  <c r="X70" i="31"/>
  <c r="W70" i="31"/>
  <c r="X69" i="31"/>
  <c r="W69" i="31"/>
  <c r="X68" i="31"/>
  <c r="W68" i="31"/>
  <c r="X67" i="31"/>
  <c r="W67" i="31"/>
  <c r="X66" i="31"/>
  <c r="W66" i="31"/>
  <c r="X65" i="31"/>
  <c r="W65" i="31"/>
  <c r="X64" i="31"/>
  <c r="W64" i="31"/>
  <c r="X63" i="31"/>
  <c r="W63" i="31"/>
  <c r="X62" i="31"/>
  <c r="W62" i="31"/>
  <c r="X61" i="31"/>
  <c r="W61" i="31"/>
  <c r="X60" i="31"/>
  <c r="W60" i="31"/>
  <c r="X59" i="31"/>
  <c r="W59" i="31"/>
  <c r="X58" i="31"/>
  <c r="W58" i="31"/>
  <c r="X57" i="31"/>
  <c r="W57" i="31"/>
  <c r="X56" i="31"/>
  <c r="W56" i="31"/>
  <c r="X55" i="31"/>
  <c r="W55" i="31"/>
  <c r="X54" i="31"/>
  <c r="W54" i="31"/>
  <c r="X53" i="31"/>
  <c r="W53" i="31"/>
  <c r="X52" i="31"/>
  <c r="W52" i="31"/>
  <c r="X51" i="31"/>
  <c r="W51" i="31"/>
  <c r="X50" i="31"/>
  <c r="W50" i="31"/>
  <c r="X49" i="31"/>
  <c r="W49" i="31"/>
  <c r="X48" i="31"/>
  <c r="W48" i="31"/>
  <c r="X47" i="31"/>
  <c r="W47" i="31"/>
  <c r="X46" i="31"/>
  <c r="W46" i="31"/>
  <c r="W45" i="31"/>
  <c r="Y44" i="31"/>
  <c r="Y43" i="31"/>
  <c r="Y42" i="31"/>
  <c r="Y41" i="31"/>
  <c r="Y40" i="31"/>
  <c r="Y39" i="31"/>
  <c r="Y38" i="31"/>
  <c r="Y37" i="31"/>
  <c r="Y36" i="31"/>
  <c r="Y35" i="31"/>
  <c r="Y34" i="31"/>
  <c r="Y33" i="31"/>
  <c r="Y32" i="31"/>
  <c r="Y31" i="31"/>
  <c r="Y30" i="31"/>
  <c r="Y29" i="31"/>
  <c r="Y28" i="31"/>
  <c r="Y27" i="31"/>
  <c r="Y26" i="31"/>
  <c r="Y25" i="31"/>
  <c r="Y24" i="31"/>
  <c r="Y23" i="31"/>
  <c r="Y22" i="31"/>
  <c r="Y21" i="31"/>
  <c r="Y20" i="31"/>
  <c r="Y19" i="31"/>
  <c r="Y18" i="31"/>
  <c r="Y17" i="31"/>
  <c r="U6" i="31"/>
  <c r="Z16" i="31"/>
  <c r="J6" i="31"/>
  <c r="U4" i="31"/>
  <c r="X16" i="31"/>
  <c r="U3" i="31"/>
  <c r="W16" i="31"/>
  <c r="K88" i="18"/>
  <c r="P134" i="18"/>
  <c r="K89" i="18"/>
  <c r="R86" i="18"/>
  <c r="P98" i="18"/>
  <c r="Q98" i="18"/>
  <c r="P99" i="18"/>
  <c r="Q99" i="18"/>
  <c r="P100" i="18"/>
  <c r="Q100" i="18"/>
  <c r="P101" i="18"/>
  <c r="Q101" i="18"/>
  <c r="P102" i="18"/>
  <c r="Q102" i="18"/>
  <c r="P103" i="18"/>
  <c r="Q103" i="18"/>
  <c r="P104" i="18"/>
  <c r="Q104" i="18"/>
  <c r="P105" i="18"/>
  <c r="Q105" i="18"/>
  <c r="P106" i="18"/>
  <c r="Q106" i="18"/>
  <c r="P107" i="18"/>
  <c r="Q107" i="18"/>
  <c r="P108" i="18"/>
  <c r="Q108" i="18"/>
  <c r="P109" i="18"/>
  <c r="Q109" i="18"/>
  <c r="P110" i="18"/>
  <c r="Q110" i="18"/>
  <c r="P111" i="18"/>
  <c r="Q111" i="18"/>
  <c r="P112" i="18"/>
  <c r="Q112" i="18"/>
  <c r="P113" i="18"/>
  <c r="Q113" i="18"/>
  <c r="P114" i="18"/>
  <c r="Q114" i="18"/>
  <c r="P115" i="18"/>
  <c r="Q115" i="18"/>
  <c r="P116" i="18"/>
  <c r="Q116" i="18"/>
  <c r="P117" i="18"/>
  <c r="Q117" i="18"/>
  <c r="P118" i="18"/>
  <c r="Q118" i="18"/>
  <c r="P119" i="18"/>
  <c r="Q119" i="18"/>
  <c r="P120" i="18"/>
  <c r="Q120" i="18"/>
  <c r="P121" i="18"/>
  <c r="Q121" i="18"/>
  <c r="P122" i="18"/>
  <c r="Q122" i="18"/>
  <c r="P123" i="18"/>
  <c r="Q123" i="18"/>
  <c r="P124" i="18"/>
  <c r="Q124" i="18"/>
  <c r="P125" i="18"/>
  <c r="Q125" i="18"/>
  <c r="P126" i="18"/>
  <c r="Q126" i="18"/>
  <c r="P127" i="18"/>
  <c r="Q127" i="18"/>
  <c r="P128" i="18"/>
  <c r="Q128" i="18"/>
  <c r="P129" i="18"/>
  <c r="Q129" i="18"/>
  <c r="P130" i="18"/>
  <c r="Q130" i="18"/>
  <c r="P131" i="18"/>
  <c r="Q131" i="18"/>
  <c r="P132" i="18"/>
  <c r="Q132" i="18"/>
  <c r="P133" i="18"/>
  <c r="Q133" i="18"/>
  <c r="Q134" i="18"/>
  <c r="P135" i="18"/>
  <c r="P136" i="18"/>
  <c r="P137" i="18"/>
  <c r="P138" i="18"/>
  <c r="P139" i="18"/>
  <c r="P140" i="18"/>
  <c r="P141" i="18"/>
  <c r="P142" i="18"/>
  <c r="P143" i="18"/>
  <c r="P144" i="18"/>
  <c r="P145" i="18"/>
  <c r="P146" i="18"/>
  <c r="P147" i="18"/>
  <c r="P148" i="18"/>
  <c r="P149" i="18"/>
  <c r="P150" i="18"/>
  <c r="P151" i="18"/>
  <c r="Q151" i="18"/>
  <c r="P152" i="18"/>
  <c r="Q152" i="18"/>
  <c r="P153" i="18"/>
  <c r="Q153" i="18"/>
  <c r="P154" i="18"/>
  <c r="Q154" i="18"/>
  <c r="P155" i="18"/>
  <c r="Q155" i="18"/>
  <c r="P156" i="18"/>
  <c r="Q156" i="18"/>
  <c r="P157" i="18"/>
  <c r="Q157" i="18"/>
  <c r="P158" i="18"/>
  <c r="Q158" i="18"/>
  <c r="P159" i="18"/>
  <c r="Q159" i="18"/>
  <c r="P160" i="18"/>
  <c r="Q160" i="18"/>
  <c r="P161" i="18"/>
  <c r="Q161" i="18"/>
  <c r="P162" i="18"/>
  <c r="Q162" i="18"/>
  <c r="P163" i="18"/>
  <c r="Q163" i="18"/>
  <c r="P164" i="18"/>
  <c r="Q164" i="18"/>
  <c r="P165" i="18"/>
  <c r="Q165" i="18"/>
  <c r="P166" i="18"/>
  <c r="Q166" i="18"/>
  <c r="P167" i="18"/>
  <c r="Q167" i="18"/>
  <c r="P168" i="18"/>
  <c r="Q168" i="18"/>
  <c r="P169" i="18"/>
  <c r="Q169" i="18"/>
  <c r="P170" i="18"/>
  <c r="Q170" i="18"/>
  <c r="P171" i="18"/>
  <c r="Q171" i="18"/>
  <c r="P172" i="18"/>
  <c r="Q172" i="18"/>
  <c r="P173" i="18"/>
  <c r="Q173" i="18"/>
  <c r="P174" i="18"/>
  <c r="Q174" i="18"/>
  <c r="P175" i="18"/>
  <c r="Q175" i="18"/>
  <c r="P176" i="18"/>
  <c r="Q176" i="18"/>
  <c r="P177" i="18"/>
  <c r="Q177" i="18"/>
  <c r="P178" i="18"/>
  <c r="Q178" i="18"/>
  <c r="P179" i="18"/>
  <c r="Q179" i="18"/>
  <c r="P180" i="18"/>
  <c r="Q180" i="18"/>
  <c r="P181" i="18"/>
  <c r="Q181" i="18"/>
  <c r="P182" i="18"/>
  <c r="Q182" i="18"/>
  <c r="Q97" i="18"/>
  <c r="P97" i="18"/>
  <c r="K85" i="18"/>
  <c r="K94" i="18"/>
  <c r="W15" i="10"/>
  <c r="AB92" i="18"/>
  <c r="O10143" i="1"/>
  <c r="O10139" i="1"/>
  <c r="O10137" i="1"/>
  <c r="O10135" i="1"/>
  <c r="O10138" i="1"/>
  <c r="O10134" i="1"/>
  <c r="O10132" i="1"/>
  <c r="O10127" i="1"/>
  <c r="O10130" i="1"/>
  <c r="O10124" i="1"/>
  <c r="O10125" i="1"/>
  <c r="O10122" i="1"/>
  <c r="O10121" i="1"/>
  <c r="O10106" i="1"/>
  <c r="O10107" i="1"/>
  <c r="O10100" i="1"/>
  <c r="O10102" i="1"/>
  <c r="O10101" i="1"/>
  <c r="O10103" i="1"/>
  <c r="O10104" i="1"/>
  <c r="O10099" i="1"/>
  <c r="O10098" i="1"/>
  <c r="O10092" i="1"/>
  <c r="O10097" i="1"/>
  <c r="O10090" i="1"/>
  <c r="O10084" i="1"/>
  <c r="O10066" i="1"/>
  <c r="O10065" i="1"/>
  <c r="O10063" i="1"/>
  <c r="O10064" i="1"/>
  <c r="O10053" i="1"/>
  <c r="O10061" i="1"/>
  <c r="O10043" i="1"/>
  <c r="O10052" i="1"/>
  <c r="O10057" i="1"/>
  <c r="O10056" i="1"/>
  <c r="O10037" i="1"/>
  <c r="O10038" i="1"/>
  <c r="O10042" i="1"/>
  <c r="O10035" i="1"/>
  <c r="O10034" i="1"/>
  <c r="O10033" i="1"/>
  <c r="O10029" i="1"/>
  <c r="O10030" i="1"/>
  <c r="O10031" i="1"/>
  <c r="O10028" i="1"/>
  <c r="O10021" i="1"/>
  <c r="O10020" i="1"/>
  <c r="O10023" i="1"/>
  <c r="O10018" i="1"/>
  <c r="O10019" i="1"/>
  <c r="O10013" i="1"/>
  <c r="O10012" i="1"/>
  <c r="O10009" i="1"/>
  <c r="O10007" i="1"/>
  <c r="O10004" i="1"/>
  <c r="O10006" i="1"/>
  <c r="O9995" i="1"/>
  <c r="O9994" i="1"/>
  <c r="O9997" i="1"/>
  <c r="O9996" i="1"/>
  <c r="O9992" i="1"/>
  <c r="O9990" i="1"/>
  <c r="O9993" i="1"/>
  <c r="O9988" i="1"/>
  <c r="O9987" i="1"/>
  <c r="O9989" i="1"/>
  <c r="O9985" i="1"/>
  <c r="O9986" i="1"/>
  <c r="O9981" i="1"/>
  <c r="O9973" i="1"/>
  <c r="O9975" i="1"/>
  <c r="O9976" i="1"/>
  <c r="O9978" i="1"/>
  <c r="O9979" i="1"/>
  <c r="O9977" i="1"/>
  <c r="O9974" i="1"/>
  <c r="O9982" i="1"/>
  <c r="O9980" i="1"/>
  <c r="O9963" i="1"/>
  <c r="O9964" i="1"/>
  <c r="O9965" i="1"/>
  <c r="O9966" i="1"/>
  <c r="O9957" i="1"/>
  <c r="O9959" i="1"/>
  <c r="O9956" i="1"/>
  <c r="O9958" i="1"/>
  <c r="O9953" i="1"/>
  <c r="O9954" i="1"/>
  <c r="O9955" i="1"/>
  <c r="O9950" i="1"/>
  <c r="O9951" i="1"/>
  <c r="O9952" i="1"/>
  <c r="O9949" i="1"/>
  <c r="O9947" i="1"/>
  <c r="O9946" i="1"/>
  <c r="O9945" i="1"/>
  <c r="O9948" i="1"/>
  <c r="O9940" i="1"/>
  <c r="O10142" i="1"/>
  <c r="O10144" i="1"/>
  <c r="O10136" i="1"/>
  <c r="O10129" i="1"/>
  <c r="O10119" i="1"/>
  <c r="O10108" i="1"/>
  <c r="O10115" i="1"/>
  <c r="O10114" i="1"/>
  <c r="O10113" i="1"/>
  <c r="O10112" i="1"/>
  <c r="O10111" i="1"/>
  <c r="O10110" i="1"/>
  <c r="O10109" i="1"/>
  <c r="O10105" i="1"/>
  <c r="O10095" i="1"/>
  <c r="O10094" i="1"/>
  <c r="O10093" i="1"/>
  <c r="O10091" i="1"/>
  <c r="O10085" i="1"/>
  <c r="O10086" i="1"/>
  <c r="O10083" i="1"/>
  <c r="O10088" i="1"/>
  <c r="O10087" i="1"/>
  <c r="O10082" i="1"/>
  <c r="O10074" i="1"/>
  <c r="O10079" i="1"/>
  <c r="O10073" i="1"/>
  <c r="O10076" i="1"/>
  <c r="O10078" i="1"/>
  <c r="O10075" i="1"/>
  <c r="O10077" i="1"/>
  <c r="O10068" i="1"/>
  <c r="O10069" i="1"/>
  <c r="O10062" i="1"/>
  <c r="O10044" i="1"/>
  <c r="O10045" i="1"/>
  <c r="O10046" i="1"/>
  <c r="O10047" i="1"/>
  <c r="O10048" i="1"/>
  <c r="O10049" i="1"/>
  <c r="O10050" i="1"/>
  <c r="O10055" i="1"/>
  <c r="O10054" i="1"/>
  <c r="O10039" i="1"/>
  <c r="O10041" i="1"/>
  <c r="O10040" i="1"/>
  <c r="O10036" i="1"/>
  <c r="O10027" i="1"/>
  <c r="O10032" i="1"/>
  <c r="O10025" i="1"/>
  <c r="O10015" i="1"/>
  <c r="O10010" i="1"/>
  <c r="O10008" i="1"/>
  <c r="O10003" i="1"/>
  <c r="O10005" i="1"/>
  <c r="O10001" i="1"/>
  <c r="O9998" i="1"/>
  <c r="O9999" i="1"/>
  <c r="O10002" i="1"/>
  <c r="O9991" i="1"/>
  <c r="O10000" i="1"/>
  <c r="O9972" i="1"/>
  <c r="O9968" i="1"/>
  <c r="O9967" i="1"/>
  <c r="O9962" i="1"/>
  <c r="O9941" i="1"/>
  <c r="O10141" i="1"/>
  <c r="O10140" i="1"/>
  <c r="O10128" i="1"/>
  <c r="O10133" i="1"/>
  <c r="O10131" i="1"/>
  <c r="O10126" i="1"/>
  <c r="O10123" i="1"/>
  <c r="O10118" i="1"/>
  <c r="O10120" i="1"/>
  <c r="O10116" i="1"/>
  <c r="O10117" i="1"/>
  <c r="O10096" i="1"/>
  <c r="O10089" i="1"/>
  <c r="O10081" i="1"/>
  <c r="O10080" i="1"/>
  <c r="O10070" i="1"/>
  <c r="O8073" i="1"/>
  <c r="O10072" i="1"/>
  <c r="O10071" i="1"/>
  <c r="O10051" i="1"/>
  <c r="O10060" i="1"/>
  <c r="O10058" i="1"/>
  <c r="O10059" i="1"/>
  <c r="O10024" i="1"/>
  <c r="O10016" i="1"/>
  <c r="O10026" i="1"/>
  <c r="O10017" i="1"/>
  <c r="O10022" i="1"/>
  <c r="O10014" i="1"/>
  <c r="O10011" i="1"/>
  <c r="O9984" i="1"/>
  <c r="O9983" i="1"/>
  <c r="O9970" i="1"/>
  <c r="O9971" i="1"/>
  <c r="O9969" i="1"/>
  <c r="O9961" i="1"/>
  <c r="O9960" i="1"/>
  <c r="O9943" i="1"/>
  <c r="O9944" i="1"/>
  <c r="O9942" i="1"/>
  <c r="O9935" i="1"/>
  <c r="O9939" i="1"/>
  <c r="O9936" i="1"/>
  <c r="O9929" i="1"/>
  <c r="O9924" i="1"/>
  <c r="O9925" i="1"/>
  <c r="O9926" i="1"/>
  <c r="O9923" i="1"/>
  <c r="O9916" i="1"/>
  <c r="O9912" i="1"/>
  <c r="O9917" i="1"/>
  <c r="O9907" i="1"/>
  <c r="O9894" i="1"/>
  <c r="O9893" i="1"/>
  <c r="O9892" i="1"/>
  <c r="O9889" i="1"/>
  <c r="O9881" i="1"/>
  <c r="O9878" i="1"/>
  <c r="O9874" i="1"/>
  <c r="O9870" i="1"/>
  <c r="O9872" i="1"/>
  <c r="O9873" i="1"/>
  <c r="O9868" i="1"/>
  <c r="O9865" i="1"/>
  <c r="O9863" i="1"/>
  <c r="O9864" i="1"/>
  <c r="O9862" i="1"/>
  <c r="O9857" i="1"/>
  <c r="O9854" i="1"/>
  <c r="O9851" i="1"/>
  <c r="O9841" i="1"/>
  <c r="O9840" i="1"/>
  <c r="O9844" i="1"/>
  <c r="O9839" i="1"/>
  <c r="O9831" i="1"/>
  <c r="O9830" i="1"/>
  <c r="O9835" i="1"/>
  <c r="O9836" i="1"/>
  <c r="O9829" i="1"/>
  <c r="O9838" i="1"/>
  <c r="O9826" i="1"/>
  <c r="O9832" i="1"/>
  <c r="O9825" i="1"/>
  <c r="O9818" i="1"/>
  <c r="O9816" i="1"/>
  <c r="O9808" i="1"/>
  <c r="O9811" i="1"/>
  <c r="O9810" i="1"/>
  <c r="O9803" i="1"/>
  <c r="O9802" i="1"/>
  <c r="O9801" i="1"/>
  <c r="O9800" i="1"/>
  <c r="O9790" i="1"/>
  <c r="O9792" i="1"/>
  <c r="O9797" i="1"/>
  <c r="O9787" i="1"/>
  <c r="O9788" i="1"/>
  <c r="O9789" i="1"/>
  <c r="O9786" i="1"/>
  <c r="O9784" i="1"/>
  <c r="O9782" i="1"/>
  <c r="O9785" i="1"/>
  <c r="O9783" i="1"/>
  <c r="O9779" i="1"/>
  <c r="O9781" i="1"/>
  <c r="O9776" i="1"/>
  <c r="O9778" i="1"/>
  <c r="O9773" i="1"/>
  <c r="O9771" i="1"/>
  <c r="O9764" i="1"/>
  <c r="O9761" i="1"/>
  <c r="O9933" i="1"/>
  <c r="O9931" i="1"/>
  <c r="O9930" i="1"/>
  <c r="O9921" i="1"/>
  <c r="O9920" i="1"/>
  <c r="O9913" i="1"/>
  <c r="O9914" i="1"/>
  <c r="O9918" i="1"/>
  <c r="O9919" i="1"/>
  <c r="O9901" i="1"/>
  <c r="O9900" i="1"/>
  <c r="O9899" i="1"/>
  <c r="O9898" i="1"/>
  <c r="O9897" i="1"/>
  <c r="O9896" i="1"/>
  <c r="O9895" i="1"/>
  <c r="O9909" i="1"/>
  <c r="O9903" i="1"/>
  <c r="O9910" i="1"/>
  <c r="O9902" i="1"/>
  <c r="O9906" i="1"/>
  <c r="O9911" i="1"/>
  <c r="O9908" i="1"/>
  <c r="O9905" i="1"/>
  <c r="O9885" i="1"/>
  <c r="O9884" i="1"/>
  <c r="O9883" i="1"/>
  <c r="O9882" i="1"/>
  <c r="O9879" i="1"/>
  <c r="O9869" i="1"/>
  <c r="O9867" i="1"/>
  <c r="O9858" i="1"/>
  <c r="O9852" i="1"/>
  <c r="O9848" i="1"/>
  <c r="O9849" i="1"/>
  <c r="O9843" i="1"/>
  <c r="O9842" i="1"/>
  <c r="O9846" i="1"/>
  <c r="O9834" i="1"/>
  <c r="O9828" i="1"/>
  <c r="O9827" i="1"/>
  <c r="O9833" i="1"/>
  <c r="O9822" i="1"/>
  <c r="O9823" i="1"/>
  <c r="O9824" i="1"/>
  <c r="O9819" i="1"/>
  <c r="O9815" i="1"/>
  <c r="O9817" i="1"/>
  <c r="O9813" i="1"/>
  <c r="O9806" i="1"/>
  <c r="O9804" i="1"/>
  <c r="O9807" i="1"/>
  <c r="O9805" i="1"/>
  <c r="O9809" i="1"/>
  <c r="O9795" i="1"/>
  <c r="O9798" i="1"/>
  <c r="O9796" i="1"/>
  <c r="O9794" i="1"/>
  <c r="O9799" i="1"/>
  <c r="O9791" i="1"/>
  <c r="O9793" i="1"/>
  <c r="O9775" i="1"/>
  <c r="O9774" i="1"/>
  <c r="O9780" i="1"/>
  <c r="O9769" i="1"/>
  <c r="O9770" i="1"/>
  <c r="O9763" i="1"/>
  <c r="O9762" i="1"/>
  <c r="O9934" i="1"/>
  <c r="O9932" i="1"/>
  <c r="O9937" i="1"/>
  <c r="O9938" i="1"/>
  <c r="O9928" i="1"/>
  <c r="O9927" i="1"/>
  <c r="O9915" i="1"/>
  <c r="O9922" i="1"/>
  <c r="O9904" i="1"/>
  <c r="O9887" i="1"/>
  <c r="O9891" i="1"/>
  <c r="O9886" i="1"/>
  <c r="O9888" i="1"/>
  <c r="O9890" i="1"/>
  <c r="O9880" i="1"/>
  <c r="O9871" i="1"/>
  <c r="O9876" i="1"/>
  <c r="O9877" i="1"/>
  <c r="O9875" i="1"/>
  <c r="O9866" i="1"/>
  <c r="O9860" i="1"/>
  <c r="O9861" i="1"/>
  <c r="O9859" i="1"/>
  <c r="O9856" i="1"/>
  <c r="O9855" i="1"/>
  <c r="O9847" i="1"/>
  <c r="O9850" i="1"/>
  <c r="O9853" i="1"/>
  <c r="O9845" i="1"/>
  <c r="O9837" i="1"/>
  <c r="O9821" i="1"/>
  <c r="O9820" i="1"/>
  <c r="O9812" i="1"/>
  <c r="O9814" i="1"/>
  <c r="O9777" i="1"/>
  <c r="O9772" i="1"/>
  <c r="O9768" i="1"/>
  <c r="O9765" i="1"/>
  <c r="O9766" i="1"/>
  <c r="O9767" i="1"/>
  <c r="C3" i="24"/>
  <c r="B12" i="24"/>
  <c r="K87" i="18"/>
  <c r="E9758" i="1"/>
  <c r="O9758" i="1"/>
  <c r="O9757" i="1"/>
  <c r="O9750" i="1"/>
  <c r="O9752" i="1"/>
  <c r="O9748" i="1"/>
  <c r="O9749" i="1"/>
  <c r="O9744" i="1"/>
  <c r="O9743" i="1"/>
  <c r="O9742" i="1"/>
  <c r="O9733" i="1"/>
  <c r="O9720" i="1"/>
  <c r="O9711" i="1"/>
  <c r="O9716" i="1"/>
  <c r="O9714" i="1"/>
  <c r="O9707" i="1"/>
  <c r="O9706" i="1"/>
  <c r="O9696" i="1"/>
  <c r="O9694" i="1"/>
  <c r="O9695" i="1"/>
  <c r="O9683" i="1"/>
  <c r="O9687" i="1"/>
  <c r="O9685" i="1"/>
  <c r="O9679" i="1"/>
  <c r="O9680" i="1"/>
  <c r="O9672" i="1"/>
  <c r="O9676" i="1"/>
  <c r="O9674" i="1"/>
  <c r="O9673" i="1"/>
  <c r="O9669" i="1"/>
  <c r="O9659" i="1"/>
  <c r="O9652" i="1"/>
  <c r="O9647" i="1"/>
  <c r="O9645" i="1"/>
  <c r="O9633" i="1"/>
  <c r="O9629" i="1"/>
  <c r="O9625" i="1"/>
  <c r="O9618" i="1"/>
  <c r="O9616" i="1"/>
  <c r="O9615" i="1"/>
  <c r="O9612" i="1"/>
  <c r="O9600" i="1"/>
  <c r="O9599" i="1"/>
  <c r="O9593" i="1"/>
  <c r="O9585" i="1"/>
  <c r="O9586" i="1"/>
  <c r="O9753" i="1"/>
  <c r="O9751" i="1"/>
  <c r="O9756" i="1"/>
  <c r="O9754" i="1"/>
  <c r="O9747" i="1"/>
  <c r="O9737" i="1"/>
  <c r="O9736" i="1"/>
  <c r="O9735" i="1"/>
  <c r="O9738" i="1"/>
  <c r="O9734" i="1"/>
  <c r="O9739" i="1"/>
  <c r="O9740" i="1"/>
  <c r="O9741" i="1"/>
  <c r="O9728" i="1"/>
  <c r="O9727" i="1"/>
  <c r="O9730" i="1"/>
  <c r="O9731" i="1"/>
  <c r="O9723" i="1"/>
  <c r="O9722" i="1"/>
  <c r="O9724" i="1"/>
  <c r="O9721" i="1"/>
  <c r="O9713" i="1"/>
  <c r="O9717" i="1"/>
  <c r="O9712" i="1"/>
  <c r="O9704" i="1"/>
  <c r="O9702" i="1"/>
  <c r="O9703" i="1"/>
  <c r="O9701" i="1"/>
  <c r="O9705" i="1"/>
  <c r="O9699" i="1"/>
  <c r="O9698" i="1"/>
  <c r="O9697" i="1"/>
  <c r="O9700" i="1"/>
  <c r="O9692" i="1"/>
  <c r="O9689" i="1"/>
  <c r="O9688" i="1"/>
  <c r="O9684" i="1"/>
  <c r="O9682" i="1"/>
  <c r="O9671" i="1"/>
  <c r="O9675" i="1"/>
  <c r="O9668" i="1"/>
  <c r="O9665" i="1"/>
  <c r="O9666" i="1"/>
  <c r="O9667" i="1"/>
  <c r="O9651" i="1"/>
  <c r="O9660" i="1"/>
  <c r="O9655" i="1"/>
  <c r="O9656" i="1"/>
  <c r="O9661" i="1"/>
  <c r="O9658" i="1"/>
  <c r="O9657" i="1"/>
  <c r="O9654" i="1"/>
  <c r="O9653" i="1"/>
  <c r="O9642" i="1"/>
  <c r="O9641" i="1"/>
  <c r="O9640" i="1"/>
  <c r="O9639" i="1"/>
  <c r="O9638" i="1"/>
  <c r="O9637" i="1"/>
  <c r="O9636" i="1"/>
  <c r="O9643" i="1"/>
  <c r="O9631" i="1"/>
  <c r="O9632" i="1"/>
  <c r="O9634" i="1"/>
  <c r="O9630" i="1"/>
  <c r="O9627" i="1"/>
  <c r="O9624" i="1"/>
  <c r="O9622" i="1"/>
  <c r="O9621" i="1"/>
  <c r="O9623" i="1"/>
  <c r="O9619" i="1"/>
  <c r="O9617" i="1"/>
  <c r="O9620" i="1"/>
  <c r="O9614" i="1"/>
  <c r="O9605" i="1"/>
  <c r="O9608" i="1"/>
  <c r="O9607" i="1"/>
  <c r="O9606" i="1"/>
  <c r="O9601" i="1"/>
  <c r="O9603" i="1"/>
  <c r="O9604" i="1"/>
  <c r="O9602" i="1"/>
  <c r="O9594" i="1"/>
  <c r="O9590" i="1"/>
  <c r="O9589" i="1"/>
  <c r="O9588" i="1"/>
  <c r="O9592" i="1"/>
  <c r="O9591" i="1"/>
  <c r="O9760" i="1"/>
  <c r="O9759" i="1"/>
  <c r="O9755" i="1"/>
  <c r="O9746" i="1"/>
  <c r="O9745" i="1"/>
  <c r="O9729" i="1"/>
  <c r="O9732" i="1"/>
  <c r="O9725" i="1"/>
  <c r="O9726" i="1"/>
  <c r="O9719" i="1"/>
  <c r="O9718" i="1"/>
  <c r="O9715" i="1"/>
  <c r="O9710" i="1"/>
  <c r="O9708" i="1"/>
  <c r="O9709" i="1"/>
  <c r="O9691" i="1"/>
  <c r="O9693" i="1"/>
  <c r="O9690" i="1"/>
  <c r="O9681" i="1"/>
  <c r="O9686" i="1"/>
  <c r="O9678" i="1"/>
  <c r="O9677" i="1"/>
  <c r="O9670" i="1"/>
  <c r="O9663" i="1"/>
  <c r="O9664" i="1"/>
  <c r="O9662" i="1"/>
  <c r="O9644" i="1"/>
  <c r="O9650" i="1"/>
  <c r="O9649" i="1"/>
  <c r="O9648" i="1"/>
  <c r="O9646" i="1"/>
  <c r="O9628" i="1"/>
  <c r="O9635" i="1"/>
  <c r="O9626" i="1"/>
  <c r="O9611" i="1"/>
  <c r="O9613" i="1"/>
  <c r="O9609" i="1"/>
  <c r="O9610" i="1"/>
  <c r="O9597" i="1"/>
  <c r="O9596" i="1"/>
  <c r="O9595" i="1"/>
  <c r="O9598" i="1"/>
  <c r="O9587" i="1"/>
  <c r="D75" i="21"/>
  <c r="O9575" i="1"/>
  <c r="O9583" i="1"/>
  <c r="O9578" i="1"/>
  <c r="O9573" i="1"/>
  <c r="O9574" i="1"/>
  <c r="O9579" i="1"/>
  <c r="O9570" i="1"/>
  <c r="O9571" i="1"/>
  <c r="O9569" i="1"/>
  <c r="O9582" i="1"/>
  <c r="O9567" i="1"/>
  <c r="O9566" i="1"/>
  <c r="O9565" i="1"/>
  <c r="O9560" i="1"/>
  <c r="O9561" i="1"/>
  <c r="O9555" i="1"/>
  <c r="O9556" i="1"/>
  <c r="O9557" i="1"/>
  <c r="O9548" i="1"/>
  <c r="O9554" i="1"/>
  <c r="O9551" i="1"/>
  <c r="O9549" i="1"/>
  <c r="O9533" i="1"/>
  <c r="O9537" i="1"/>
  <c r="O9535" i="1"/>
  <c r="O9530" i="1"/>
  <c r="O9526" i="1"/>
  <c r="O9525" i="1"/>
  <c r="O9515" i="1"/>
  <c r="O9516" i="1"/>
  <c r="O9507" i="1"/>
  <c r="O9498" i="1"/>
  <c r="O9493" i="1"/>
  <c r="O9496" i="1"/>
  <c r="O9491" i="1"/>
  <c r="O9492" i="1"/>
  <c r="O9497" i="1"/>
  <c r="O9486" i="1"/>
  <c r="O9484" i="1"/>
  <c r="O9485" i="1"/>
  <c r="O9477" i="1"/>
  <c r="O9482" i="1"/>
  <c r="O9478" i="1"/>
  <c r="O9469" i="1"/>
  <c r="O9467" i="1"/>
  <c r="O9472" i="1"/>
  <c r="O9470" i="1"/>
  <c r="O9474" i="1"/>
  <c r="O9464" i="1"/>
  <c r="O9465" i="1"/>
  <c r="O9442" i="1"/>
  <c r="O9438" i="1"/>
  <c r="O9437" i="1"/>
  <c r="O9435" i="1"/>
  <c r="O9433" i="1"/>
  <c r="O9434" i="1"/>
  <c r="O9428" i="1"/>
  <c r="O9429" i="1"/>
  <c r="O9422" i="1"/>
  <c r="O9423" i="1"/>
  <c r="O9424" i="1"/>
  <c r="O9411" i="1"/>
  <c r="O9412" i="1"/>
  <c r="O9413" i="1"/>
  <c r="O9408" i="1"/>
  <c r="O9400" i="1"/>
  <c r="O9409" i="1"/>
  <c r="O9401" i="1"/>
  <c r="O9399" i="1"/>
  <c r="O9398" i="1"/>
  <c r="O9396" i="1"/>
  <c r="O9584" i="1"/>
  <c r="O9576" i="1"/>
  <c r="O9564" i="1"/>
  <c r="O9562" i="1"/>
  <c r="O9553" i="1"/>
  <c r="O9547" i="1"/>
  <c r="O9550" i="1"/>
  <c r="O9545" i="1"/>
  <c r="O9542" i="1"/>
  <c r="O9540" i="1"/>
  <c r="O9541" i="1"/>
  <c r="O9543" i="1"/>
  <c r="O9546" i="1"/>
  <c r="O9534" i="1"/>
  <c r="O9531" i="1"/>
  <c r="O9527" i="1"/>
  <c r="O9532" i="1"/>
  <c r="O9528" i="1"/>
  <c r="O9529" i="1"/>
  <c r="O9523" i="1"/>
  <c r="O9522" i="1"/>
  <c r="O9521" i="1"/>
  <c r="O9519" i="1"/>
  <c r="O9518" i="1"/>
  <c r="O9520" i="1"/>
  <c r="O9514" i="1"/>
  <c r="O9517" i="1"/>
  <c r="O9503" i="1"/>
  <c r="O9508" i="1"/>
  <c r="O9509" i="1"/>
  <c r="O9504" i="1"/>
  <c r="O9506" i="1"/>
  <c r="O9505" i="1"/>
  <c r="O9495" i="1"/>
  <c r="O9488" i="1"/>
  <c r="O9499" i="1"/>
  <c r="O9490" i="1"/>
  <c r="O9489" i="1"/>
  <c r="O9483" i="1"/>
  <c r="O9487" i="1"/>
  <c r="O9473" i="1"/>
  <c r="O9480" i="1"/>
  <c r="O9479" i="1"/>
  <c r="O9468" i="1"/>
  <c r="O9481" i="1"/>
  <c r="O9476" i="1"/>
  <c r="O9475" i="1"/>
  <c r="O9471" i="1"/>
  <c r="O9466" i="1"/>
  <c r="O9463" i="1"/>
  <c r="O9455" i="1"/>
  <c r="O9458" i="1"/>
  <c r="O9454" i="1"/>
  <c r="O9447" i="1"/>
  <c r="O9446" i="1"/>
  <c r="O9448" i="1"/>
  <c r="O9453" i="1"/>
  <c r="O9444" i="1"/>
  <c r="O9443" i="1"/>
  <c r="O9439" i="1"/>
  <c r="O9440" i="1"/>
  <c r="O9441" i="1"/>
  <c r="O9436" i="1"/>
  <c r="O9430" i="1"/>
  <c r="O9431" i="1"/>
  <c r="O9418" i="1"/>
  <c r="O9419" i="1"/>
  <c r="O9420" i="1"/>
  <c r="O9415" i="1"/>
  <c r="O9414" i="1"/>
  <c r="O9410" i="1"/>
  <c r="O9403" i="1"/>
  <c r="O9404" i="1"/>
  <c r="O9402" i="1"/>
  <c r="O9406" i="1"/>
  <c r="O9405" i="1"/>
  <c r="O9407" i="1"/>
  <c r="O9397" i="1"/>
  <c r="O9391" i="1"/>
  <c r="O9386" i="1"/>
  <c r="O9389" i="1"/>
  <c r="O9388" i="1"/>
  <c r="O9387" i="1"/>
  <c r="O9572" i="1"/>
  <c r="O9580" i="1"/>
  <c r="O9577" i="1"/>
  <c r="O9581" i="1"/>
  <c r="O7939" i="1"/>
  <c r="O9558" i="1"/>
  <c r="O9568" i="1"/>
  <c r="O9563" i="1"/>
  <c r="O9552" i="1"/>
  <c r="O9544" i="1"/>
  <c r="O9539" i="1"/>
  <c r="O9538" i="1"/>
  <c r="O9536" i="1"/>
  <c r="O9524" i="1"/>
  <c r="O9513" i="1"/>
  <c r="O9512" i="1"/>
  <c r="O9510" i="1"/>
  <c r="O9511" i="1"/>
  <c r="O7777" i="1"/>
  <c r="O9502" i="1"/>
  <c r="O9501" i="1"/>
  <c r="O9500" i="1"/>
  <c r="O9456" i="1"/>
  <c r="O9462" i="1"/>
  <c r="O9459" i="1"/>
  <c r="O9460" i="1"/>
  <c r="O9461" i="1"/>
  <c r="O9457" i="1"/>
  <c r="O9445" i="1"/>
  <c r="O9452" i="1"/>
  <c r="O9451" i="1"/>
  <c r="O9450" i="1"/>
  <c r="O9449" i="1"/>
  <c r="O9432" i="1"/>
  <c r="O9425" i="1"/>
  <c r="O9426" i="1"/>
  <c r="O9427" i="1"/>
  <c r="O9421" i="1"/>
  <c r="O9417" i="1"/>
  <c r="O9416" i="1"/>
  <c r="O9395" i="1"/>
  <c r="O9393" i="1"/>
  <c r="O9394" i="1"/>
  <c r="O9392" i="1"/>
  <c r="O9390" i="1"/>
  <c r="D104" i="20"/>
  <c r="D23" i="5"/>
  <c r="O9241" i="1"/>
  <c r="E9241" i="1"/>
  <c r="O9218" i="1"/>
  <c r="O9216" i="1"/>
  <c r="O9233" i="1"/>
  <c r="O9214" i="1"/>
  <c r="O9212" i="1"/>
  <c r="O9208" i="1"/>
  <c r="O9201" i="1"/>
  <c r="O9205" i="1"/>
  <c r="O9184" i="1"/>
  <c r="O9174" i="1"/>
  <c r="O9180" i="1"/>
  <c r="O9171" i="1"/>
  <c r="O9165" i="1"/>
  <c r="O9153" i="1"/>
  <c r="O9141" i="1"/>
  <c r="O9149" i="1"/>
  <c r="O9134" i="1"/>
  <c r="O9126" i="1"/>
  <c r="O9128" i="1"/>
  <c r="O9116" i="1"/>
  <c r="O9118" i="1"/>
  <c r="O9122" i="1"/>
  <c r="O9120" i="1"/>
  <c r="O9110" i="1"/>
  <c r="O9113" i="1"/>
  <c r="O9108" i="1"/>
  <c r="O9098" i="1"/>
  <c r="O9093" i="1"/>
  <c r="O9095" i="1"/>
  <c r="O9084" i="1"/>
  <c r="O9076" i="1"/>
  <c r="O9073" i="1"/>
  <c r="O9066" i="1"/>
  <c r="O9064" i="1"/>
  <c r="O9068" i="1"/>
  <c r="O9376" i="1"/>
  <c r="O9374" i="1"/>
  <c r="O9372" i="1"/>
  <c r="O9373" i="1"/>
  <c r="O9378" i="1"/>
  <c r="O9377" i="1"/>
  <c r="O9375" i="1"/>
  <c r="O9371" i="1"/>
  <c r="O9367" i="1"/>
  <c r="O9368" i="1"/>
  <c r="O9366" i="1"/>
  <c r="O9369" i="1"/>
  <c r="O9360" i="1"/>
  <c r="O9362" i="1"/>
  <c r="O9361" i="1"/>
  <c r="O9355" i="1"/>
  <c r="O9352" i="1"/>
  <c r="O9351" i="1"/>
  <c r="O9350" i="1"/>
  <c r="O9349" i="1"/>
  <c r="O9346" i="1"/>
  <c r="O9341" i="1"/>
  <c r="O9340" i="1"/>
  <c r="O9347" i="1"/>
  <c r="O9339" i="1"/>
  <c r="O9342" i="1"/>
  <c r="O9348" i="1"/>
  <c r="O9345" i="1"/>
  <c r="O9338" i="1"/>
  <c r="O9343" i="1"/>
  <c r="O9344" i="1"/>
  <c r="O9337" i="1"/>
  <c r="O9332" i="1"/>
  <c r="O9333" i="1"/>
  <c r="O9331" i="1"/>
  <c r="O9327" i="1"/>
  <c r="O9328" i="1"/>
  <c r="O9329" i="1"/>
  <c r="O9319" i="1"/>
  <c r="O9321" i="1"/>
  <c r="O9320" i="1"/>
  <c r="O9317" i="1"/>
  <c r="O9312" i="1"/>
  <c r="O9314" i="1"/>
  <c r="O9316" i="1"/>
  <c r="O9313" i="1"/>
  <c r="O9309" i="1"/>
  <c r="O9310" i="1"/>
  <c r="O9303" i="1"/>
  <c r="O9305" i="1"/>
  <c r="O9304" i="1"/>
  <c r="O9296" i="1"/>
  <c r="O9297" i="1"/>
  <c r="O9302" i="1"/>
  <c r="O9301" i="1"/>
  <c r="O9298" i="1"/>
  <c r="O9300" i="1"/>
  <c r="O9295" i="1"/>
  <c r="O9291" i="1"/>
  <c r="O9292" i="1"/>
  <c r="O9288" i="1"/>
  <c r="O9286" i="1"/>
  <c r="O9282" i="1"/>
  <c r="O9281" i="1"/>
  <c r="O9280" i="1"/>
  <c r="O9276" i="1"/>
  <c r="O9278" i="1"/>
  <c r="O9277" i="1"/>
  <c r="O9275" i="1"/>
  <c r="O9269" i="1"/>
  <c r="O9268" i="1"/>
  <c r="O9267" i="1"/>
  <c r="O9266" i="1"/>
  <c r="O9270" i="1"/>
  <c r="O9274" i="1"/>
  <c r="O9271" i="1"/>
  <c r="O9273" i="1"/>
  <c r="O9272" i="1"/>
  <c r="O9265" i="1"/>
  <c r="O9262" i="1"/>
  <c r="O9263" i="1"/>
  <c r="O9257" i="1"/>
  <c r="O9260" i="1"/>
  <c r="O9258" i="1"/>
  <c r="O9252" i="1"/>
  <c r="O9254" i="1"/>
  <c r="O9253" i="1"/>
  <c r="O9239" i="1"/>
  <c r="O9238" i="1"/>
  <c r="O9237" i="1"/>
  <c r="O9236" i="1"/>
  <c r="O9244" i="1"/>
  <c r="O9240" i="1"/>
  <c r="O9235" i="1"/>
  <c r="O9247" i="1"/>
  <c r="O9242" i="1"/>
  <c r="O9243" i="1"/>
  <c r="O9245" i="1"/>
  <c r="O9246" i="1"/>
  <c r="O9248" i="1"/>
  <c r="O9251" i="1"/>
  <c r="O9250" i="1"/>
  <c r="O9249" i="1"/>
  <c r="O9255" i="1"/>
  <c r="O9256" i="1"/>
  <c r="O9261" i="1"/>
  <c r="O9259" i="1"/>
  <c r="O9264" i="1"/>
  <c r="O9279" i="1"/>
  <c r="O9284" i="1"/>
  <c r="O9285" i="1"/>
  <c r="O9283" i="1"/>
  <c r="O9289" i="1"/>
  <c r="O9290" i="1"/>
  <c r="O9287" i="1"/>
  <c r="O9293" i="1"/>
  <c r="O9294" i="1"/>
  <c r="O9299" i="1"/>
  <c r="O9307" i="1"/>
  <c r="O9306" i="1"/>
  <c r="O9311" i="1"/>
  <c r="O9308" i="1"/>
  <c r="O9315" i="1"/>
  <c r="O9318" i="1"/>
  <c r="O9322" i="1"/>
  <c r="O9323" i="1"/>
  <c r="O9325" i="1"/>
  <c r="O9324" i="1"/>
  <c r="O9330" i="1"/>
  <c r="O9326" i="1"/>
  <c r="O9334" i="1"/>
  <c r="O9336" i="1"/>
  <c r="O9335" i="1"/>
  <c r="O9354" i="1"/>
  <c r="O9353" i="1"/>
  <c r="O9356" i="1"/>
  <c r="O9357" i="1"/>
  <c r="O9358" i="1"/>
  <c r="O9364" i="1"/>
  <c r="O9365" i="1"/>
  <c r="O9363" i="1"/>
  <c r="O9359" i="1"/>
  <c r="O9370" i="1"/>
  <c r="O9379" i="1"/>
  <c r="O9380" i="1"/>
  <c r="O9381" i="1"/>
  <c r="O9383" i="1"/>
  <c r="O9382" i="1"/>
  <c r="O9385" i="1"/>
  <c r="O9384" i="1"/>
  <c r="C159" i="15"/>
  <c r="P32" i="30"/>
  <c r="E9062" i="1"/>
  <c r="O9062" i="1"/>
  <c r="O9217" i="1"/>
  <c r="O9215" i="1"/>
  <c r="O9232" i="1"/>
  <c r="O9213" i="1"/>
  <c r="O9211" i="1"/>
  <c r="O9207" i="1"/>
  <c r="O9200" i="1"/>
  <c r="O9204" i="1"/>
  <c r="O9183" i="1"/>
  <c r="O9173" i="1"/>
  <c r="O9179" i="1"/>
  <c r="O9170" i="1"/>
  <c r="O9164" i="1"/>
  <c r="O9152" i="1"/>
  <c r="O9140" i="1"/>
  <c r="O9148" i="1"/>
  <c r="O9133" i="1"/>
  <c r="O9125" i="1"/>
  <c r="O9127" i="1"/>
  <c r="O9115" i="1"/>
  <c r="O9117" i="1"/>
  <c r="O9121" i="1"/>
  <c r="O9119" i="1"/>
  <c r="O9109" i="1"/>
  <c r="O9112" i="1"/>
  <c r="O9107" i="1"/>
  <c r="O9097" i="1"/>
  <c r="O9092" i="1"/>
  <c r="O9094" i="1"/>
  <c r="O9083" i="1"/>
  <c r="O9075" i="1"/>
  <c r="O9072" i="1"/>
  <c r="O9065" i="1"/>
  <c r="O9063" i="1"/>
  <c r="O9067" i="1"/>
  <c r="O9234" i="1"/>
  <c r="O9229" i="1"/>
  <c r="O9228" i="1"/>
  <c r="O9227" i="1"/>
  <c r="O9220" i="1"/>
  <c r="O9219" i="1"/>
  <c r="O9226" i="1"/>
  <c r="O9223" i="1"/>
  <c r="O9225" i="1"/>
  <c r="O9230" i="1"/>
  <c r="O9222" i="1"/>
  <c r="O9224" i="1"/>
  <c r="O9206" i="1"/>
  <c r="O9197" i="1"/>
  <c r="O9194" i="1"/>
  <c r="O9196" i="1"/>
  <c r="O9195" i="1"/>
  <c r="O9192" i="1"/>
  <c r="O9193" i="1"/>
  <c r="O9188" i="1"/>
  <c r="O9187" i="1"/>
  <c r="O9189" i="1"/>
  <c r="O9186" i="1"/>
  <c r="O9185" i="1"/>
  <c r="O9181" i="1"/>
  <c r="O9178" i="1"/>
  <c r="O9176" i="1"/>
  <c r="O9175" i="1"/>
  <c r="O9172" i="1"/>
  <c r="O9182" i="1"/>
  <c r="O9166" i="1"/>
  <c r="O9167" i="1"/>
  <c r="O9161" i="1"/>
  <c r="O9162" i="1"/>
  <c r="O9168" i="1"/>
  <c r="O9163" i="1"/>
  <c r="O9158" i="1"/>
  <c r="O9159" i="1"/>
  <c r="O9154" i="1"/>
  <c r="O9155" i="1"/>
  <c r="O9151" i="1"/>
  <c r="O9150" i="1"/>
  <c r="O9147" i="1"/>
  <c r="O9142" i="1"/>
  <c r="O9131" i="1"/>
  <c r="O9132" i="1"/>
  <c r="O9123" i="1"/>
  <c r="O9130" i="1"/>
  <c r="O9124" i="1"/>
  <c r="O9129" i="1"/>
  <c r="O9105" i="1"/>
  <c r="O9104" i="1"/>
  <c r="O9101" i="1"/>
  <c r="O9099" i="1"/>
  <c r="O9090" i="1"/>
  <c r="O9086" i="1"/>
  <c r="O9085" i="1"/>
  <c r="O9087" i="1"/>
  <c r="O9089" i="1"/>
  <c r="O9088" i="1"/>
  <c r="O9081" i="1"/>
  <c r="O9080" i="1"/>
  <c r="O9079" i="1"/>
  <c r="O9071" i="1"/>
  <c r="O9070" i="1"/>
  <c r="O9074" i="1"/>
  <c r="O9069" i="1"/>
  <c r="O9077" i="1"/>
  <c r="O12492" i="1"/>
  <c r="O9082" i="1"/>
  <c r="O9096" i="1"/>
  <c r="O9091" i="1"/>
  <c r="O9100" i="1"/>
  <c r="O9103" i="1"/>
  <c r="O9106" i="1"/>
  <c r="O9102" i="1"/>
  <c r="O9114" i="1"/>
  <c r="O9111" i="1"/>
  <c r="O9137" i="1"/>
  <c r="O9138" i="1"/>
  <c r="O9136" i="1"/>
  <c r="O9135" i="1"/>
  <c r="O9139" i="1"/>
  <c r="O9145" i="1"/>
  <c r="O9146" i="1"/>
  <c r="O9143" i="1"/>
  <c r="O9144" i="1"/>
  <c r="O9156" i="1"/>
  <c r="O9157" i="1"/>
  <c r="O9160" i="1"/>
  <c r="O9169" i="1"/>
  <c r="O9177" i="1"/>
  <c r="O9190" i="1"/>
  <c r="O9191" i="1"/>
  <c r="O9199" i="1"/>
  <c r="O9198" i="1"/>
  <c r="O9203" i="1"/>
  <c r="O9202" i="1"/>
  <c r="O9209" i="1"/>
  <c r="O9210" i="1"/>
  <c r="O9231" i="1"/>
  <c r="O9221" i="1"/>
  <c r="E33" i="29"/>
  <c r="E28" i="29"/>
  <c r="F53" i="29"/>
  <c r="F54" i="29" s="1"/>
  <c r="F47" i="29"/>
  <c r="F48" i="29" s="1"/>
  <c r="D86" i="29"/>
  <c r="E82" i="29"/>
  <c r="D84" i="29"/>
  <c r="D82" i="29"/>
  <c r="F82" i="29"/>
  <c r="F57" i="29"/>
  <c r="C4" i="24"/>
  <c r="C6" i="24"/>
  <c r="E8869" i="1"/>
  <c r="O8869" i="1"/>
  <c r="G8836" i="1"/>
  <c r="O8871" i="1"/>
  <c r="O8872" i="1"/>
  <c r="O8870" i="1"/>
  <c r="O8868" i="1"/>
  <c r="O8873" i="1"/>
  <c r="O8867" i="1"/>
  <c r="O8877" i="1"/>
  <c r="O8876" i="1"/>
  <c r="O8879" i="1"/>
  <c r="O8874" i="1"/>
  <c r="O8878" i="1"/>
  <c r="O8875" i="1"/>
  <c r="O8881" i="1"/>
  <c r="O8880" i="1"/>
  <c r="O8890" i="1"/>
  <c r="O8888" i="1"/>
  <c r="O8883" i="1"/>
  <c r="O8891" i="1"/>
  <c r="O8889" i="1"/>
  <c r="O8882" i="1"/>
  <c r="O8886" i="1"/>
  <c r="O8887" i="1"/>
  <c r="O8884" i="1"/>
  <c r="O8885" i="1"/>
  <c r="O8900" i="1"/>
  <c r="O8894" i="1"/>
  <c r="O8892" i="1"/>
  <c r="O8901" i="1"/>
  <c r="O8896" i="1"/>
  <c r="O8895" i="1"/>
  <c r="O8898" i="1"/>
  <c r="O8897" i="1"/>
  <c r="O8899" i="1"/>
  <c r="O8893" i="1"/>
  <c r="O8908" i="1"/>
  <c r="O8909" i="1"/>
  <c r="O8907" i="1"/>
  <c r="O8906" i="1"/>
  <c r="O8905" i="1"/>
  <c r="O8904" i="1"/>
  <c r="O8902" i="1"/>
  <c r="O8903" i="1"/>
  <c r="O8911" i="1"/>
  <c r="O8910" i="1"/>
  <c r="O8913" i="1"/>
  <c r="O8912" i="1"/>
  <c r="O8915" i="1"/>
  <c r="O8914" i="1"/>
  <c r="O8917" i="1"/>
  <c r="O8918" i="1"/>
  <c r="O8920" i="1"/>
  <c r="O8919" i="1"/>
  <c r="O8916" i="1"/>
  <c r="O8922" i="1"/>
  <c r="O8923" i="1"/>
  <c r="O8921" i="1"/>
  <c r="O8924" i="1"/>
  <c r="O8927" i="1"/>
  <c r="O8931" i="1"/>
  <c r="O8926" i="1"/>
  <c r="O8925" i="1"/>
  <c r="O8930" i="1"/>
  <c r="O8928" i="1"/>
  <c r="O8929" i="1"/>
  <c r="O8941" i="1"/>
  <c r="O8933" i="1"/>
  <c r="O8940" i="1"/>
  <c r="O8939" i="1"/>
  <c r="O8937" i="1"/>
  <c r="O8932" i="1"/>
  <c r="O8934" i="1"/>
  <c r="O8936" i="1"/>
  <c r="O8938" i="1"/>
  <c r="O8935" i="1"/>
  <c r="O8952" i="1"/>
  <c r="O8951" i="1"/>
  <c r="O8950" i="1"/>
  <c r="O8948" i="1"/>
  <c r="O8947" i="1"/>
  <c r="O8946" i="1"/>
  <c r="O8945" i="1"/>
  <c r="O8944" i="1"/>
  <c r="O8949" i="1"/>
  <c r="O8943" i="1"/>
  <c r="O8942" i="1"/>
  <c r="O8953" i="1"/>
  <c r="O8965" i="1"/>
  <c r="O8959" i="1"/>
  <c r="O8957" i="1"/>
  <c r="O8964" i="1"/>
  <c r="O8963" i="1"/>
  <c r="O8962" i="1"/>
  <c r="O8956" i="1"/>
  <c r="O8961" i="1"/>
  <c r="O8960" i="1"/>
  <c r="O8955" i="1"/>
  <c r="O8954" i="1"/>
  <c r="O8958" i="1"/>
  <c r="O8972" i="1"/>
  <c r="O8968" i="1"/>
  <c r="O8969" i="1"/>
  <c r="O8970" i="1"/>
  <c r="O8971" i="1"/>
  <c r="O8973" i="1"/>
  <c r="O8967" i="1"/>
  <c r="O8966" i="1"/>
  <c r="O8977" i="1"/>
  <c r="O8976" i="1"/>
  <c r="O8975" i="1"/>
  <c r="O8974" i="1"/>
  <c r="O8983" i="1"/>
  <c r="O8980" i="1"/>
  <c r="O8979" i="1"/>
  <c r="O8982" i="1"/>
  <c r="O8981" i="1"/>
  <c r="O8985" i="1"/>
  <c r="O8987" i="1"/>
  <c r="O8986" i="1"/>
  <c r="O8984" i="1"/>
  <c r="O8978" i="1"/>
  <c r="O8992" i="1"/>
  <c r="O8991" i="1"/>
  <c r="O8989" i="1"/>
  <c r="O8990" i="1"/>
  <c r="O8988" i="1"/>
  <c r="O8996" i="1"/>
  <c r="O8995" i="1"/>
  <c r="O8993" i="1"/>
  <c r="O8994" i="1"/>
  <c r="O9002" i="1"/>
  <c r="O9001" i="1"/>
  <c r="O9000" i="1"/>
  <c r="O8999" i="1"/>
  <c r="O8997" i="1"/>
  <c r="O8998" i="1"/>
  <c r="O9003" i="1"/>
  <c r="O9006" i="1"/>
  <c r="O9005" i="1"/>
  <c r="O9004" i="1"/>
  <c r="O9017" i="1"/>
  <c r="O9023" i="1"/>
  <c r="O9015" i="1"/>
  <c r="O9014" i="1"/>
  <c r="O9013" i="1"/>
  <c r="O9012" i="1"/>
  <c r="O9011" i="1"/>
  <c r="O9010" i="1"/>
  <c r="O9018" i="1"/>
  <c r="O9020" i="1"/>
  <c r="O9019" i="1"/>
  <c r="O9009" i="1"/>
  <c r="O9008" i="1"/>
  <c r="O9022" i="1"/>
  <c r="O9007" i="1"/>
  <c r="O9021" i="1"/>
  <c r="O9016" i="1"/>
  <c r="O9028" i="1"/>
  <c r="O9026" i="1"/>
  <c r="O9025" i="1"/>
  <c r="O9024" i="1"/>
  <c r="O9027" i="1"/>
  <c r="O9030" i="1"/>
  <c r="O9033" i="1"/>
  <c r="O9035" i="1"/>
  <c r="O9036" i="1"/>
  <c r="O9037" i="1"/>
  <c r="O9031" i="1"/>
  <c r="O9032" i="1"/>
  <c r="O9034" i="1"/>
  <c r="O9029" i="1"/>
  <c r="O9043" i="1"/>
  <c r="O9042" i="1"/>
  <c r="O9041" i="1"/>
  <c r="O9040" i="1"/>
  <c r="O9039" i="1"/>
  <c r="O9038" i="1"/>
  <c r="O9045" i="1"/>
  <c r="O9048" i="1"/>
  <c r="O9049" i="1"/>
  <c r="O9044" i="1"/>
  <c r="O9046" i="1"/>
  <c r="O9047" i="1"/>
  <c r="O9051" i="1"/>
  <c r="O9057" i="1"/>
  <c r="O9055" i="1"/>
  <c r="O9050" i="1"/>
  <c r="O9056" i="1"/>
  <c r="O9053" i="1"/>
  <c r="O9052" i="1"/>
  <c r="O9054" i="1"/>
  <c r="O9059" i="1"/>
  <c r="O9060" i="1"/>
  <c r="O9061" i="1"/>
  <c r="O9058" i="1"/>
  <c r="D88" i="21"/>
  <c r="H1" i="28"/>
  <c r="G8696" i="1"/>
  <c r="G8701" i="1"/>
  <c r="G8699" i="1"/>
  <c r="G8698" i="1"/>
  <c r="G8697" i="1"/>
  <c r="G8700" i="1"/>
  <c r="G8730" i="1"/>
  <c r="G8732" i="1"/>
  <c r="G8734" i="1"/>
  <c r="G8735" i="1"/>
  <c r="G8736" i="1"/>
  <c r="G8737" i="1"/>
  <c r="G8739" i="1"/>
  <c r="G8741" i="1"/>
  <c r="G8750" i="1"/>
  <c r="G8751" i="1"/>
  <c r="G8752" i="1"/>
  <c r="G8753" i="1"/>
  <c r="G8754" i="1"/>
  <c r="G8755" i="1"/>
  <c r="G8756" i="1"/>
  <c r="G8765" i="1"/>
  <c r="G8766" i="1"/>
  <c r="G8767" i="1"/>
  <c r="G8769" i="1"/>
  <c r="G8764" i="1"/>
  <c r="G8762" i="1"/>
  <c r="G8763" i="1"/>
  <c r="G8759" i="1"/>
  <c r="G8760" i="1"/>
  <c r="G8761" i="1"/>
  <c r="G8776" i="1"/>
  <c r="G8777" i="1"/>
  <c r="G8778" i="1"/>
  <c r="G8787" i="1"/>
  <c r="G8788" i="1"/>
  <c r="G8791" i="1"/>
  <c r="G8793" i="1"/>
  <c r="G8798" i="1"/>
  <c r="G8802" i="1"/>
  <c r="O8836" i="1"/>
  <c r="O8802" i="1"/>
  <c r="O8798" i="1"/>
  <c r="O8793" i="1"/>
  <c r="O8791" i="1"/>
  <c r="O8788" i="1"/>
  <c r="O8787" i="1"/>
  <c r="O8778" i="1"/>
  <c r="O8777" i="1"/>
  <c r="O8776" i="1"/>
  <c r="O8761" i="1"/>
  <c r="O8760" i="1"/>
  <c r="O8759" i="1"/>
  <c r="O8763" i="1"/>
  <c r="O8762" i="1"/>
  <c r="O8764" i="1"/>
  <c r="O8769" i="1"/>
  <c r="O8767" i="1"/>
  <c r="O8766" i="1"/>
  <c r="O8765" i="1"/>
  <c r="O8756" i="1"/>
  <c r="O8755" i="1"/>
  <c r="O8754" i="1"/>
  <c r="O8753" i="1"/>
  <c r="O8752" i="1"/>
  <c r="O8751" i="1"/>
  <c r="O8750" i="1"/>
  <c r="O8741" i="1"/>
  <c r="O8739" i="1"/>
  <c r="O8737" i="1"/>
  <c r="O8736" i="1"/>
  <c r="O8735" i="1"/>
  <c r="O8734" i="1"/>
  <c r="O8732" i="1"/>
  <c r="O8730" i="1"/>
  <c r="O8700" i="1"/>
  <c r="O8697" i="1"/>
  <c r="O8698" i="1"/>
  <c r="O8699" i="1"/>
  <c r="O8701" i="1"/>
  <c r="O8696" i="1"/>
  <c r="G8860" i="1"/>
  <c r="G8859" i="1"/>
  <c r="G8864" i="1"/>
  <c r="G8866" i="1"/>
  <c r="G8865" i="1"/>
  <c r="G8858" i="1"/>
  <c r="G8847" i="1"/>
  <c r="G8838" i="1"/>
  <c r="G8839" i="1"/>
  <c r="G8832" i="1"/>
  <c r="G8833" i="1"/>
  <c r="G8835" i="1"/>
  <c r="G8831" i="1"/>
  <c r="G8830" i="1"/>
  <c r="G8834" i="1"/>
  <c r="G8825" i="1"/>
  <c r="G8804" i="1"/>
  <c r="G8803" i="1"/>
  <c r="G8805" i="1"/>
  <c r="G8800" i="1"/>
  <c r="G8797" i="1"/>
  <c r="G8795" i="1"/>
  <c r="G8796" i="1"/>
  <c r="G8792" i="1"/>
  <c r="G8768" i="1"/>
  <c r="G8772" i="1"/>
  <c r="G8770" i="1"/>
  <c r="G8775" i="1"/>
  <c r="G8774" i="1"/>
  <c r="G8771" i="1"/>
  <c r="G8757" i="1"/>
  <c r="G8758" i="1"/>
  <c r="G8747" i="1"/>
  <c r="G8749" i="1"/>
  <c r="G8742" i="1"/>
  <c r="G8746" i="1"/>
  <c r="G8733" i="1"/>
  <c r="G8717" i="1"/>
  <c r="G8716" i="1"/>
  <c r="G8723" i="1"/>
  <c r="G8725" i="1"/>
  <c r="G8726" i="1"/>
  <c r="G8714" i="1"/>
  <c r="G12884" i="1"/>
  <c r="G8713" i="1"/>
  <c r="G8712" i="1"/>
  <c r="G8862" i="1"/>
  <c r="G8861" i="1"/>
  <c r="G8863" i="1"/>
  <c r="G8854" i="1"/>
  <c r="G8857" i="1"/>
  <c r="G8856" i="1"/>
  <c r="G8853" i="1"/>
  <c r="G8852" i="1"/>
  <c r="G8855" i="1"/>
  <c r="G8848" i="1"/>
  <c r="G8851" i="1"/>
  <c r="G8850" i="1"/>
  <c r="G8846" i="1"/>
  <c r="G8849" i="1"/>
  <c r="G8843" i="1"/>
  <c r="G8844" i="1"/>
  <c r="G8845" i="1"/>
  <c r="G8841" i="1"/>
  <c r="G8840" i="1"/>
  <c r="G8842" i="1"/>
  <c r="G8837" i="1"/>
  <c r="G8827" i="1"/>
  <c r="G8826" i="1"/>
  <c r="G8828" i="1"/>
  <c r="G8829" i="1"/>
  <c r="G8824" i="1"/>
  <c r="G8821" i="1"/>
  <c r="G8823" i="1"/>
  <c r="G8822" i="1"/>
  <c r="G8820" i="1"/>
  <c r="G8816" i="1"/>
  <c r="G8818" i="1"/>
  <c r="G8817" i="1"/>
  <c r="G8815" i="1"/>
  <c r="G8819" i="1"/>
  <c r="G8813" i="1"/>
  <c r="G8814" i="1"/>
  <c r="G8812" i="1"/>
  <c r="G8811" i="1"/>
  <c r="G8810" i="1"/>
  <c r="G8806" i="1"/>
  <c r="G8807" i="1"/>
  <c r="G8809" i="1"/>
  <c r="G8808" i="1"/>
  <c r="G8799" i="1"/>
  <c r="G8801" i="1"/>
  <c r="G8794" i="1"/>
  <c r="G8790" i="1"/>
  <c r="G8789" i="1"/>
  <c r="G8781" i="1"/>
  <c r="G8786" i="1"/>
  <c r="G8784" i="1"/>
  <c r="G8783" i="1"/>
  <c r="G8785" i="1"/>
  <c r="G8782" i="1"/>
  <c r="G8780" i="1"/>
  <c r="G8779" i="1"/>
  <c r="G8773" i="1"/>
  <c r="G8748" i="1"/>
  <c r="G8745" i="1"/>
  <c r="G8744" i="1"/>
  <c r="G8743" i="1"/>
  <c r="G8740" i="1"/>
  <c r="G8738" i="1"/>
  <c r="G8728" i="1"/>
  <c r="G8731" i="1"/>
  <c r="G8729" i="1"/>
  <c r="G8727" i="1"/>
  <c r="G8724" i="1"/>
  <c r="G8718" i="1"/>
  <c r="G8722" i="1"/>
  <c r="G8721" i="1"/>
  <c r="G8720" i="1"/>
  <c r="G8719" i="1"/>
  <c r="G8711" i="1"/>
  <c r="G8710" i="1"/>
  <c r="G8706" i="1"/>
  <c r="G8705" i="1"/>
  <c r="G8704" i="1"/>
  <c r="G8708" i="1"/>
  <c r="G8709" i="1"/>
  <c r="G8707" i="1"/>
  <c r="G8703" i="1"/>
  <c r="G8702" i="1"/>
  <c r="E8702" i="1"/>
  <c r="O8702" i="1"/>
  <c r="O8703" i="1"/>
  <c r="O8707" i="1"/>
  <c r="O8709" i="1"/>
  <c r="O8708" i="1"/>
  <c r="O8704" i="1"/>
  <c r="O8705" i="1"/>
  <c r="O8706" i="1"/>
  <c r="O8710" i="1"/>
  <c r="O8711" i="1"/>
  <c r="O8719" i="1"/>
  <c r="O8720" i="1"/>
  <c r="O8721" i="1"/>
  <c r="O8722" i="1"/>
  <c r="O8718" i="1"/>
  <c r="O8724" i="1"/>
  <c r="O8727" i="1"/>
  <c r="O8729" i="1"/>
  <c r="O8731" i="1"/>
  <c r="O8728" i="1"/>
  <c r="O8738" i="1"/>
  <c r="O8740" i="1"/>
  <c r="O8743" i="1"/>
  <c r="O8744" i="1"/>
  <c r="O8745" i="1"/>
  <c r="O8748" i="1"/>
  <c r="O8773" i="1"/>
  <c r="O8779" i="1"/>
  <c r="O8780" i="1"/>
  <c r="O8782" i="1"/>
  <c r="O8785" i="1"/>
  <c r="O8783" i="1"/>
  <c r="O8784" i="1"/>
  <c r="O8786" i="1"/>
  <c r="O8781" i="1"/>
  <c r="O8789" i="1"/>
  <c r="O8790" i="1"/>
  <c r="O8794" i="1"/>
  <c r="O8801" i="1"/>
  <c r="O8799" i="1"/>
  <c r="O8808" i="1"/>
  <c r="O8809" i="1"/>
  <c r="O8807" i="1"/>
  <c r="O8806" i="1"/>
  <c r="O8810" i="1"/>
  <c r="O8811" i="1"/>
  <c r="O8812" i="1"/>
  <c r="O8814" i="1"/>
  <c r="O8813" i="1"/>
  <c r="O8819" i="1"/>
  <c r="O8815" i="1"/>
  <c r="O8817" i="1"/>
  <c r="O8818" i="1"/>
  <c r="O8816" i="1"/>
  <c r="O8820" i="1"/>
  <c r="O8822" i="1"/>
  <c r="O8823" i="1"/>
  <c r="O8821" i="1"/>
  <c r="O8824" i="1"/>
  <c r="O8829" i="1"/>
  <c r="O8828" i="1"/>
  <c r="O8826" i="1"/>
  <c r="O8827" i="1"/>
  <c r="O8837" i="1"/>
  <c r="O8842" i="1"/>
  <c r="O8840" i="1"/>
  <c r="O8841" i="1"/>
  <c r="O8845" i="1"/>
  <c r="O8844" i="1"/>
  <c r="O8843" i="1"/>
  <c r="O8849" i="1"/>
  <c r="O8846" i="1"/>
  <c r="O8850" i="1"/>
  <c r="O8851" i="1"/>
  <c r="O8848" i="1"/>
  <c r="O8855" i="1"/>
  <c r="O8852" i="1"/>
  <c r="O8853" i="1"/>
  <c r="O8856" i="1"/>
  <c r="O8857" i="1"/>
  <c r="O8854" i="1"/>
  <c r="O8863" i="1"/>
  <c r="O8861" i="1"/>
  <c r="O8862" i="1"/>
  <c r="O8712" i="1"/>
  <c r="O8713" i="1"/>
  <c r="O12884" i="1"/>
  <c r="O8714" i="1"/>
  <c r="O8726" i="1"/>
  <c r="O8725" i="1"/>
  <c r="O8723" i="1"/>
  <c r="O8716" i="1"/>
  <c r="O8717" i="1"/>
  <c r="O8733" i="1"/>
  <c r="O8746" i="1"/>
  <c r="O8742" i="1"/>
  <c r="O8749" i="1"/>
  <c r="O8747" i="1"/>
  <c r="O8758" i="1"/>
  <c r="O8757" i="1"/>
  <c r="O8771" i="1"/>
  <c r="O8774" i="1"/>
  <c r="O8775" i="1"/>
  <c r="O8770" i="1"/>
  <c r="O8772" i="1"/>
  <c r="O8768" i="1"/>
  <c r="O8792" i="1"/>
  <c r="O8796" i="1"/>
  <c r="O8795" i="1"/>
  <c r="O8797" i="1"/>
  <c r="O8800" i="1"/>
  <c r="O8805" i="1"/>
  <c r="O8803" i="1"/>
  <c r="O8804" i="1"/>
  <c r="O8825" i="1"/>
  <c r="O8834" i="1"/>
  <c r="O8830" i="1"/>
  <c r="O8831" i="1"/>
  <c r="O8835" i="1"/>
  <c r="O8833" i="1"/>
  <c r="O8832" i="1"/>
  <c r="O8839" i="1"/>
  <c r="O8838" i="1"/>
  <c r="O8847" i="1"/>
  <c r="O8858" i="1"/>
  <c r="O8865" i="1"/>
  <c r="O8866" i="1"/>
  <c r="O8864" i="1"/>
  <c r="O8859" i="1"/>
  <c r="O8860" i="1"/>
  <c r="R176" i="18"/>
  <c r="S176" i="18"/>
  <c r="N179" i="18"/>
  <c r="O179" i="18"/>
  <c r="R179" i="18"/>
  <c r="S179" i="18"/>
  <c r="N180" i="18"/>
  <c r="O180" i="18"/>
  <c r="R180" i="18"/>
  <c r="S180" i="18"/>
  <c r="N181" i="18"/>
  <c r="O181" i="18"/>
  <c r="R181" i="18"/>
  <c r="S181" i="18"/>
  <c r="N182" i="18"/>
  <c r="O182" i="18"/>
  <c r="R182" i="18"/>
  <c r="S182" i="18"/>
  <c r="N174" i="18"/>
  <c r="O174" i="18"/>
  <c r="R174" i="18"/>
  <c r="S174" i="18"/>
  <c r="N175" i="18"/>
  <c r="O175" i="18"/>
  <c r="R175" i="18"/>
  <c r="S175" i="18"/>
  <c r="N176" i="18"/>
  <c r="O176" i="18"/>
  <c r="N177" i="18"/>
  <c r="O177" i="18"/>
  <c r="R177" i="18"/>
  <c r="S177" i="18"/>
  <c r="N178" i="18"/>
  <c r="O178" i="18"/>
  <c r="R178" i="18"/>
  <c r="S178" i="18"/>
  <c r="N170" i="18"/>
  <c r="O170" i="18"/>
  <c r="R170" i="18"/>
  <c r="S170" i="18"/>
  <c r="N171" i="18"/>
  <c r="O171" i="18"/>
  <c r="R171" i="18"/>
  <c r="S171" i="18"/>
  <c r="N172" i="18"/>
  <c r="O172" i="18"/>
  <c r="R172" i="18"/>
  <c r="S172" i="18"/>
  <c r="N173" i="18"/>
  <c r="O173" i="18"/>
  <c r="R173" i="18"/>
  <c r="S173" i="18"/>
  <c r="G8508" i="1"/>
  <c r="E8508" i="1"/>
  <c r="O8508" i="1"/>
  <c r="G8688" i="1"/>
  <c r="G8690" i="1"/>
  <c r="G8689" i="1"/>
  <c r="G8681" i="1"/>
  <c r="G8683" i="1"/>
  <c r="G8684" i="1"/>
  <c r="G8687" i="1"/>
  <c r="G8686" i="1"/>
  <c r="G8682" i="1"/>
  <c r="G8685" i="1"/>
  <c r="G8680" i="1"/>
  <c r="G8678" i="1"/>
  <c r="G8679" i="1"/>
  <c r="G8672" i="1"/>
  <c r="G8673" i="1"/>
  <c r="G8671" i="1"/>
  <c r="G8668" i="1"/>
  <c r="G8665" i="1"/>
  <c r="G8666" i="1"/>
  <c r="G8664" i="1"/>
  <c r="G8667" i="1"/>
  <c r="G8661" i="1"/>
  <c r="G8660" i="1"/>
  <c r="G8656" i="1"/>
  <c r="G8658" i="1"/>
  <c r="G8653" i="1"/>
  <c r="G8652" i="1"/>
  <c r="G8651" i="1"/>
  <c r="G8648" i="1"/>
  <c r="G8650" i="1"/>
  <c r="G8649" i="1"/>
  <c r="G8647" i="1"/>
  <c r="G8646" i="1"/>
  <c r="G8641" i="1"/>
  <c r="G8642" i="1"/>
  <c r="G8633" i="1"/>
  <c r="G8631" i="1"/>
  <c r="G8626" i="1"/>
  <c r="G8625" i="1"/>
  <c r="G8623" i="1"/>
  <c r="G8622" i="1"/>
  <c r="G8621" i="1"/>
  <c r="G8618" i="1"/>
  <c r="G8615" i="1"/>
  <c r="G8616" i="1"/>
  <c r="G8611" i="1"/>
  <c r="G8609" i="1"/>
  <c r="G8612" i="1"/>
  <c r="G8610" i="1"/>
  <c r="G8613" i="1"/>
  <c r="G8614" i="1"/>
  <c r="G8607" i="1"/>
  <c r="G8601" i="1"/>
  <c r="G8596" i="1"/>
  <c r="G8595" i="1"/>
  <c r="G8587" i="1"/>
  <c r="G8588" i="1"/>
  <c r="G8586" i="1"/>
  <c r="G8583" i="1"/>
  <c r="G8574" i="1"/>
  <c r="G8580" i="1"/>
  <c r="G8579" i="1"/>
  <c r="G8581" i="1"/>
  <c r="G8578" i="1"/>
  <c r="G8576" i="1"/>
  <c r="G8573" i="1"/>
  <c r="G8571" i="1"/>
  <c r="G8566" i="1"/>
  <c r="G8567" i="1"/>
  <c r="G8564" i="1"/>
  <c r="G8565" i="1"/>
  <c r="G8559" i="1"/>
  <c r="G8562" i="1"/>
  <c r="G8561" i="1"/>
  <c r="G8558" i="1"/>
  <c r="G8557" i="1"/>
  <c r="G8554" i="1"/>
  <c r="G8550" i="1"/>
  <c r="G8549" i="1"/>
  <c r="G8541" i="1"/>
  <c r="G8546" i="1"/>
  <c r="G8545" i="1"/>
  <c r="G8533" i="1"/>
  <c r="G8534" i="1"/>
  <c r="G8532" i="1"/>
  <c r="G8529" i="1"/>
  <c r="G8527" i="1"/>
  <c r="G8526" i="1"/>
  <c r="G8522" i="1"/>
  <c r="G8517" i="1"/>
  <c r="G8524" i="1"/>
  <c r="G12493" i="1"/>
  <c r="G8521" i="1"/>
  <c r="G8514" i="1"/>
  <c r="G8518" i="1"/>
  <c r="G8523" i="1"/>
  <c r="G8506" i="1"/>
  <c r="G8503" i="1"/>
  <c r="G8509" i="1"/>
  <c r="G8504" i="1"/>
  <c r="G8505" i="1"/>
  <c r="G8510" i="1"/>
  <c r="G8472" i="1"/>
  <c r="G8474" i="1"/>
  <c r="G8501" i="1"/>
  <c r="G8497" i="1"/>
  <c r="G8499" i="1"/>
  <c r="G8507" i="1"/>
  <c r="G8513" i="1"/>
  <c r="G8511" i="1"/>
  <c r="G8512" i="1"/>
  <c r="G8519" i="1"/>
  <c r="G8515" i="1"/>
  <c r="G8516" i="1"/>
  <c r="G8520" i="1"/>
  <c r="G8528" i="1"/>
  <c r="G8530" i="1"/>
  <c r="G8531" i="1"/>
  <c r="G8537" i="1"/>
  <c r="G8535" i="1"/>
  <c r="G8536" i="1"/>
  <c r="G8540" i="1"/>
  <c r="G8544" i="1"/>
  <c r="G8543" i="1"/>
  <c r="G8538" i="1"/>
  <c r="G8539" i="1"/>
  <c r="G8542" i="1"/>
  <c r="G8552" i="1"/>
  <c r="G8553" i="1"/>
  <c r="G8548" i="1"/>
  <c r="G8555" i="1"/>
  <c r="G8556" i="1"/>
  <c r="G8551" i="1"/>
  <c r="G8547" i="1"/>
  <c r="G8560" i="1"/>
  <c r="G8563" i="1"/>
  <c r="G8569" i="1"/>
  <c r="G8568" i="1"/>
  <c r="G8570" i="1"/>
  <c r="G8572" i="1"/>
  <c r="G8577" i="1"/>
  <c r="G8575" i="1"/>
  <c r="G8582" i="1"/>
  <c r="G8584" i="1"/>
  <c r="G8585" i="1"/>
  <c r="G8593" i="1"/>
  <c r="G8591" i="1"/>
  <c r="G8592" i="1"/>
  <c r="G8589" i="1"/>
  <c r="G8597" i="1"/>
  <c r="G8594" i="1"/>
  <c r="G8598" i="1"/>
  <c r="G8599" i="1"/>
  <c r="G8600" i="1"/>
  <c r="G8608" i="1"/>
  <c r="G8605" i="1"/>
  <c r="G8603" i="1"/>
  <c r="G8604" i="1"/>
  <c r="G8590" i="1"/>
  <c r="G8602" i="1"/>
  <c r="G8606" i="1"/>
  <c r="G8619" i="1"/>
  <c r="G8620" i="1"/>
  <c r="G8617" i="1"/>
  <c r="G8624" i="1"/>
  <c r="G8691" i="1"/>
  <c r="G8695" i="1"/>
  <c r="G8694" i="1"/>
  <c r="G8693" i="1"/>
  <c r="G8692" i="1"/>
  <c r="G8675" i="1"/>
  <c r="G8674" i="1"/>
  <c r="G8676" i="1"/>
  <c r="G8677" i="1"/>
  <c r="G8670" i="1"/>
  <c r="G8669" i="1"/>
  <c r="G8663" i="1"/>
  <c r="G8662" i="1"/>
  <c r="G8655" i="1"/>
  <c r="G8654" i="1"/>
  <c r="G8659" i="1"/>
  <c r="G8657" i="1"/>
  <c r="G8644" i="1"/>
  <c r="G8645" i="1"/>
  <c r="G8643" i="1"/>
  <c r="G8640" i="1"/>
  <c r="G8639" i="1"/>
  <c r="G8638" i="1"/>
  <c r="G8637" i="1"/>
  <c r="G8635" i="1"/>
  <c r="G8634" i="1"/>
  <c r="G8636" i="1"/>
  <c r="G8627" i="1"/>
  <c r="G8632" i="1"/>
  <c r="G8630" i="1"/>
  <c r="G8628" i="1"/>
  <c r="G8629" i="1"/>
  <c r="E8688" i="1"/>
  <c r="E8690" i="1"/>
  <c r="E8689" i="1"/>
  <c r="E8681" i="1"/>
  <c r="E8683" i="1"/>
  <c r="E8684" i="1"/>
  <c r="E8687" i="1"/>
  <c r="E8686" i="1"/>
  <c r="E8682" i="1"/>
  <c r="E8685" i="1"/>
  <c r="E8680" i="1"/>
  <c r="E8678" i="1"/>
  <c r="E8679" i="1"/>
  <c r="E8672" i="1"/>
  <c r="E8673" i="1"/>
  <c r="E8671" i="1"/>
  <c r="E8668" i="1"/>
  <c r="E8665" i="1"/>
  <c r="E8666" i="1"/>
  <c r="E8664" i="1"/>
  <c r="E8667" i="1"/>
  <c r="E8661" i="1"/>
  <c r="E8660" i="1"/>
  <c r="E8656" i="1"/>
  <c r="E8658" i="1"/>
  <c r="E8653" i="1"/>
  <c r="E8652" i="1"/>
  <c r="E8651" i="1"/>
  <c r="E8648" i="1"/>
  <c r="E8650" i="1"/>
  <c r="E8649" i="1"/>
  <c r="E8647" i="1"/>
  <c r="E8646" i="1"/>
  <c r="E8641" i="1"/>
  <c r="E8642" i="1"/>
  <c r="E8633" i="1"/>
  <c r="E8631" i="1"/>
  <c r="E8626" i="1"/>
  <c r="E8625" i="1"/>
  <c r="E8623" i="1"/>
  <c r="E8622" i="1"/>
  <c r="E8621" i="1"/>
  <c r="E8618" i="1"/>
  <c r="E8615" i="1"/>
  <c r="E8616" i="1"/>
  <c r="E8611" i="1"/>
  <c r="E8609" i="1"/>
  <c r="E8612" i="1"/>
  <c r="E8610" i="1"/>
  <c r="E8613" i="1"/>
  <c r="E8614" i="1"/>
  <c r="E8607" i="1"/>
  <c r="E8601" i="1"/>
  <c r="E8596" i="1"/>
  <c r="E8595" i="1"/>
  <c r="E8587" i="1"/>
  <c r="E8588" i="1"/>
  <c r="E8586" i="1"/>
  <c r="E8583" i="1"/>
  <c r="E8574" i="1"/>
  <c r="E8580" i="1"/>
  <c r="E8579" i="1"/>
  <c r="E8581" i="1"/>
  <c r="E8578" i="1"/>
  <c r="E8576" i="1"/>
  <c r="E8573" i="1"/>
  <c r="E8571" i="1"/>
  <c r="E8566" i="1"/>
  <c r="E8567" i="1"/>
  <c r="E8564" i="1"/>
  <c r="E8565" i="1"/>
  <c r="E8559" i="1"/>
  <c r="E8562" i="1"/>
  <c r="E8561" i="1"/>
  <c r="E8558" i="1"/>
  <c r="E8557" i="1"/>
  <c r="E8554" i="1"/>
  <c r="E8550" i="1"/>
  <c r="E8549" i="1"/>
  <c r="E8541" i="1"/>
  <c r="E8546" i="1"/>
  <c r="E8545" i="1"/>
  <c r="E8533" i="1"/>
  <c r="E8534" i="1"/>
  <c r="E8532" i="1"/>
  <c r="E8529" i="1"/>
  <c r="E8527" i="1"/>
  <c r="E8526" i="1"/>
  <c r="E8522" i="1"/>
  <c r="E8517" i="1"/>
  <c r="E8524" i="1"/>
  <c r="E12493" i="1"/>
  <c r="E8521" i="1"/>
  <c r="E8514" i="1"/>
  <c r="E8518" i="1"/>
  <c r="E8523" i="1"/>
  <c r="E8506" i="1"/>
  <c r="E8503" i="1"/>
  <c r="E8509" i="1"/>
  <c r="E8504" i="1"/>
  <c r="E8505" i="1"/>
  <c r="E8510" i="1"/>
  <c r="E8472" i="1"/>
  <c r="E8474" i="1"/>
  <c r="E8501" i="1"/>
  <c r="E8497" i="1"/>
  <c r="E8499" i="1"/>
  <c r="E8507" i="1"/>
  <c r="E8513" i="1"/>
  <c r="E8511" i="1"/>
  <c r="E8512" i="1"/>
  <c r="E8519" i="1"/>
  <c r="E8515" i="1"/>
  <c r="E8516" i="1"/>
  <c r="E8520" i="1"/>
  <c r="E8528" i="1"/>
  <c r="E8530" i="1"/>
  <c r="E8531" i="1"/>
  <c r="E8537" i="1"/>
  <c r="E8535" i="1"/>
  <c r="E8536" i="1"/>
  <c r="E8540" i="1"/>
  <c r="E8544" i="1"/>
  <c r="E8543" i="1"/>
  <c r="E8538" i="1"/>
  <c r="E8539" i="1"/>
  <c r="E8542" i="1"/>
  <c r="E8552" i="1"/>
  <c r="E8553" i="1"/>
  <c r="E8548" i="1"/>
  <c r="E8555" i="1"/>
  <c r="E8556" i="1"/>
  <c r="E8551" i="1"/>
  <c r="E8547" i="1"/>
  <c r="E8560" i="1"/>
  <c r="E8563" i="1"/>
  <c r="E8569" i="1"/>
  <c r="E8568" i="1"/>
  <c r="E8570" i="1"/>
  <c r="E8572" i="1"/>
  <c r="E8577" i="1"/>
  <c r="E8575" i="1"/>
  <c r="E8582" i="1"/>
  <c r="E8584" i="1"/>
  <c r="E8585" i="1"/>
  <c r="E8593" i="1"/>
  <c r="E8591" i="1"/>
  <c r="E8592" i="1"/>
  <c r="E8589" i="1"/>
  <c r="E8597" i="1"/>
  <c r="E8594" i="1"/>
  <c r="E8598" i="1"/>
  <c r="E8599" i="1"/>
  <c r="E8600" i="1"/>
  <c r="E8608" i="1"/>
  <c r="E8605" i="1"/>
  <c r="E8603" i="1"/>
  <c r="E8604" i="1"/>
  <c r="E8590" i="1"/>
  <c r="E8602" i="1"/>
  <c r="E8606" i="1"/>
  <c r="E8619" i="1"/>
  <c r="E8620" i="1"/>
  <c r="E8617" i="1"/>
  <c r="E8624" i="1"/>
  <c r="E8691" i="1"/>
  <c r="E8695" i="1"/>
  <c r="E8694" i="1"/>
  <c r="E8693" i="1"/>
  <c r="E8692" i="1"/>
  <c r="E8675" i="1"/>
  <c r="E8674" i="1"/>
  <c r="E8676" i="1"/>
  <c r="E8677" i="1"/>
  <c r="E8670" i="1"/>
  <c r="E8669" i="1"/>
  <c r="E8663" i="1"/>
  <c r="E8662" i="1"/>
  <c r="E8655" i="1"/>
  <c r="E8654" i="1"/>
  <c r="E8659" i="1"/>
  <c r="E8657" i="1"/>
  <c r="E8644" i="1"/>
  <c r="E8645" i="1"/>
  <c r="E8643" i="1"/>
  <c r="E8640" i="1"/>
  <c r="E8639" i="1"/>
  <c r="E8638" i="1"/>
  <c r="E8637" i="1"/>
  <c r="E8635" i="1"/>
  <c r="E8634" i="1"/>
  <c r="E8636" i="1"/>
  <c r="E8627" i="1"/>
  <c r="E8632" i="1"/>
  <c r="E8630" i="1"/>
  <c r="E8628" i="1"/>
  <c r="E8629" i="1"/>
  <c r="O8688" i="1"/>
  <c r="O8690" i="1"/>
  <c r="O8689" i="1"/>
  <c r="O8681" i="1"/>
  <c r="O8683" i="1"/>
  <c r="O8684" i="1"/>
  <c r="O8687" i="1"/>
  <c r="O8686" i="1"/>
  <c r="O8682" i="1"/>
  <c r="O8685" i="1"/>
  <c r="O8680" i="1"/>
  <c r="O8678" i="1"/>
  <c r="O8679" i="1"/>
  <c r="O8672" i="1"/>
  <c r="O8673" i="1"/>
  <c r="O8671" i="1"/>
  <c r="O8668" i="1"/>
  <c r="O8665" i="1"/>
  <c r="O8666" i="1"/>
  <c r="O8664" i="1"/>
  <c r="O8667" i="1"/>
  <c r="O8661" i="1"/>
  <c r="O8660" i="1"/>
  <c r="O8656" i="1"/>
  <c r="O8658" i="1"/>
  <c r="O8653" i="1"/>
  <c r="O8652" i="1"/>
  <c r="O8651" i="1"/>
  <c r="O8648" i="1"/>
  <c r="O8650" i="1"/>
  <c r="O8649" i="1"/>
  <c r="O8647" i="1"/>
  <c r="O8646" i="1"/>
  <c r="O8641" i="1"/>
  <c r="O8642" i="1"/>
  <c r="O8633" i="1"/>
  <c r="O8631" i="1"/>
  <c r="O8626" i="1"/>
  <c r="O8625" i="1"/>
  <c r="O8623" i="1"/>
  <c r="O8622" i="1"/>
  <c r="O8621" i="1"/>
  <c r="O8618" i="1"/>
  <c r="O8615" i="1"/>
  <c r="O8616" i="1"/>
  <c r="O8611" i="1"/>
  <c r="O8609" i="1"/>
  <c r="O8612" i="1"/>
  <c r="O8610" i="1"/>
  <c r="O8613" i="1"/>
  <c r="O8614" i="1"/>
  <c r="O8607" i="1"/>
  <c r="O8601" i="1"/>
  <c r="O8596" i="1"/>
  <c r="O8595" i="1"/>
  <c r="O8587" i="1"/>
  <c r="O8588" i="1"/>
  <c r="O8586" i="1"/>
  <c r="O8583" i="1"/>
  <c r="O8574" i="1"/>
  <c r="O8580" i="1"/>
  <c r="O8579" i="1"/>
  <c r="O8581" i="1"/>
  <c r="O8578" i="1"/>
  <c r="O8576" i="1"/>
  <c r="O8573" i="1"/>
  <c r="O8571" i="1"/>
  <c r="O8566" i="1"/>
  <c r="O8567" i="1"/>
  <c r="O8564" i="1"/>
  <c r="O8565" i="1"/>
  <c r="O8559" i="1"/>
  <c r="O8562" i="1"/>
  <c r="O8561" i="1"/>
  <c r="O8558" i="1"/>
  <c r="O8557" i="1"/>
  <c r="O8554" i="1"/>
  <c r="O8550" i="1"/>
  <c r="O8549" i="1"/>
  <c r="O8541" i="1"/>
  <c r="O8546" i="1"/>
  <c r="O8545" i="1"/>
  <c r="O8533" i="1"/>
  <c r="O8534" i="1"/>
  <c r="O8532" i="1"/>
  <c r="O8529" i="1"/>
  <c r="O8527" i="1"/>
  <c r="O8526" i="1"/>
  <c r="O8522" i="1"/>
  <c r="O8517" i="1"/>
  <c r="O8524" i="1"/>
  <c r="O12493" i="1"/>
  <c r="O8521" i="1"/>
  <c r="O8514" i="1"/>
  <c r="O8518" i="1"/>
  <c r="O8523" i="1"/>
  <c r="O8506" i="1"/>
  <c r="O8503" i="1"/>
  <c r="O8509" i="1"/>
  <c r="O8504" i="1"/>
  <c r="O8505" i="1"/>
  <c r="O8510" i="1"/>
  <c r="O8472" i="1"/>
  <c r="O8474" i="1"/>
  <c r="O8501" i="1"/>
  <c r="O8497" i="1"/>
  <c r="O8499" i="1"/>
  <c r="O8507" i="1"/>
  <c r="O8513" i="1"/>
  <c r="O8511" i="1"/>
  <c r="O8512" i="1"/>
  <c r="O8519" i="1"/>
  <c r="O8515" i="1"/>
  <c r="O8516" i="1"/>
  <c r="O8520" i="1"/>
  <c r="O8528" i="1"/>
  <c r="O8530" i="1"/>
  <c r="O8531" i="1"/>
  <c r="O8537" i="1"/>
  <c r="O8535" i="1"/>
  <c r="O8536" i="1"/>
  <c r="O8540" i="1"/>
  <c r="O8544" i="1"/>
  <c r="O8543" i="1"/>
  <c r="O8538" i="1"/>
  <c r="O8539" i="1"/>
  <c r="O8542" i="1"/>
  <c r="O8552" i="1"/>
  <c r="O8553" i="1"/>
  <c r="O8548" i="1"/>
  <c r="O8555" i="1"/>
  <c r="O8556" i="1"/>
  <c r="O8551" i="1"/>
  <c r="O8547" i="1"/>
  <c r="O8560" i="1"/>
  <c r="O8563" i="1"/>
  <c r="O8569" i="1"/>
  <c r="O8568" i="1"/>
  <c r="O8570" i="1"/>
  <c r="O8572" i="1"/>
  <c r="O8577" i="1"/>
  <c r="O8575" i="1"/>
  <c r="O8582" i="1"/>
  <c r="O8584" i="1"/>
  <c r="O8585" i="1"/>
  <c r="O8593" i="1"/>
  <c r="O8591" i="1"/>
  <c r="O8592" i="1"/>
  <c r="O8589" i="1"/>
  <c r="O8597" i="1"/>
  <c r="O8594" i="1"/>
  <c r="O8598" i="1"/>
  <c r="O8599" i="1"/>
  <c r="O8600" i="1"/>
  <c r="O8608" i="1"/>
  <c r="O8605" i="1"/>
  <c r="O8603" i="1"/>
  <c r="O8604" i="1"/>
  <c r="O8590" i="1"/>
  <c r="O8602" i="1"/>
  <c r="O8606" i="1"/>
  <c r="O8619" i="1"/>
  <c r="O8620" i="1"/>
  <c r="O8617" i="1"/>
  <c r="O8624" i="1"/>
  <c r="O8691" i="1"/>
  <c r="O8695" i="1"/>
  <c r="O8694" i="1"/>
  <c r="O8693" i="1"/>
  <c r="O8692" i="1"/>
  <c r="O8675" i="1"/>
  <c r="O8674" i="1"/>
  <c r="O8676" i="1"/>
  <c r="O8677" i="1"/>
  <c r="O8670" i="1"/>
  <c r="O8669" i="1"/>
  <c r="O8663" i="1"/>
  <c r="O8662" i="1"/>
  <c r="O8655" i="1"/>
  <c r="O8654" i="1"/>
  <c r="O8659" i="1"/>
  <c r="O8657" i="1"/>
  <c r="O8644" i="1"/>
  <c r="O8645" i="1"/>
  <c r="O8643" i="1"/>
  <c r="O8640" i="1"/>
  <c r="O8639" i="1"/>
  <c r="O8638" i="1"/>
  <c r="O8637" i="1"/>
  <c r="O8635" i="1"/>
  <c r="O8634" i="1"/>
  <c r="O8636" i="1"/>
  <c r="O8627" i="1"/>
  <c r="O8632" i="1"/>
  <c r="O8630" i="1"/>
  <c r="O8628" i="1"/>
  <c r="O8629" i="1"/>
  <c r="H5" i="25"/>
  <c r="H6" i="25"/>
  <c r="H7" i="25"/>
  <c r="H4" i="25"/>
  <c r="H3" i="25"/>
  <c r="E3" i="25"/>
  <c r="H2" i="25"/>
  <c r="D147" i="20"/>
  <c r="D34" i="6"/>
  <c r="E34" i="6"/>
  <c r="F34" i="6"/>
  <c r="G34" i="6"/>
  <c r="H34" i="6"/>
  <c r="I34" i="6"/>
  <c r="J34" i="6"/>
  <c r="K34" i="6"/>
  <c r="L34" i="6"/>
  <c r="M34" i="6"/>
  <c r="N34" i="6"/>
  <c r="C34" i="6"/>
  <c r="P42" i="22"/>
  <c r="P43" i="22"/>
  <c r="P44" i="22"/>
  <c r="P41" i="22"/>
  <c r="S5" i="6"/>
  <c r="F98" i="20"/>
  <c r="F86" i="20"/>
  <c r="F88" i="20"/>
  <c r="F89" i="20"/>
  <c r="F90" i="20"/>
  <c r="F93" i="20"/>
  <c r="F94" i="20"/>
  <c r="F85" i="20"/>
  <c r="G89" i="20"/>
  <c r="D46" i="21"/>
  <c r="D48" i="21"/>
  <c r="D49" i="21"/>
  <c r="D50" i="21"/>
  <c r="D30" i="21"/>
  <c r="D93" i="21"/>
  <c r="D69" i="21"/>
  <c r="N9" i="6"/>
  <c r="M9" i="6"/>
  <c r="L9" i="6"/>
  <c r="K9" i="6"/>
  <c r="I9" i="6"/>
  <c r="H9" i="6"/>
  <c r="G9" i="6"/>
  <c r="F9" i="6"/>
  <c r="E9" i="6"/>
  <c r="D9" i="6"/>
  <c r="C9" i="6"/>
  <c r="F92" i="20"/>
  <c r="G8488" i="1"/>
  <c r="G8502" i="1"/>
  <c r="G8486" i="1"/>
  <c r="G8491" i="1"/>
  <c r="G8500" i="1"/>
  <c r="G8487" i="1"/>
  <c r="G8494" i="1"/>
  <c r="G8481" i="1"/>
  <c r="G8484" i="1"/>
  <c r="G8493" i="1"/>
  <c r="G8482" i="1"/>
  <c r="G8483" i="1"/>
  <c r="G8496" i="1"/>
  <c r="G8498" i="1"/>
  <c r="G8495" i="1"/>
  <c r="G8490" i="1"/>
  <c r="G8489" i="1"/>
  <c r="G8480" i="1"/>
  <c r="G8492" i="1"/>
  <c r="G8485" i="1"/>
  <c r="G8479" i="1"/>
  <c r="G8478" i="1"/>
  <c r="G8473" i="1"/>
  <c r="G8471" i="1"/>
  <c r="G8477" i="1"/>
  <c r="G8476" i="1"/>
  <c r="G8475" i="1"/>
  <c r="G8467" i="1"/>
  <c r="G8469" i="1"/>
  <c r="G8470" i="1"/>
  <c r="G8466" i="1"/>
  <c r="G8464" i="1"/>
  <c r="G8465" i="1"/>
  <c r="G8468" i="1"/>
  <c r="E8488" i="1"/>
  <c r="E8502" i="1"/>
  <c r="E8486" i="1"/>
  <c r="E8491" i="1"/>
  <c r="E8500" i="1"/>
  <c r="E8487" i="1"/>
  <c r="E8494" i="1"/>
  <c r="E8481" i="1"/>
  <c r="E8484" i="1"/>
  <c r="E8493" i="1"/>
  <c r="E8482" i="1"/>
  <c r="E8483" i="1"/>
  <c r="E8496" i="1"/>
  <c r="E8498" i="1"/>
  <c r="E8495" i="1"/>
  <c r="E8490" i="1"/>
  <c r="E8489" i="1"/>
  <c r="E8480" i="1"/>
  <c r="E8492" i="1"/>
  <c r="E8485" i="1"/>
  <c r="E8479" i="1"/>
  <c r="E8478" i="1"/>
  <c r="E8473" i="1"/>
  <c r="E8471" i="1"/>
  <c r="E8477" i="1"/>
  <c r="E8476" i="1"/>
  <c r="E8475" i="1"/>
  <c r="E8467" i="1"/>
  <c r="E8469" i="1"/>
  <c r="E8470" i="1"/>
  <c r="E8466" i="1"/>
  <c r="E8464" i="1"/>
  <c r="E8465" i="1"/>
  <c r="E8468" i="1"/>
  <c r="O8488" i="1"/>
  <c r="O8502" i="1"/>
  <c r="O8486" i="1"/>
  <c r="O8491" i="1"/>
  <c r="O8500" i="1"/>
  <c r="O8487" i="1"/>
  <c r="O8494" i="1"/>
  <c r="O8481" i="1"/>
  <c r="O8484" i="1"/>
  <c r="O8493" i="1"/>
  <c r="O8482" i="1"/>
  <c r="O8483" i="1"/>
  <c r="O8496" i="1"/>
  <c r="O8498" i="1"/>
  <c r="O8495" i="1"/>
  <c r="O8490" i="1"/>
  <c r="O8489" i="1"/>
  <c r="O8480" i="1"/>
  <c r="O8492" i="1"/>
  <c r="O8485" i="1"/>
  <c r="O8479" i="1"/>
  <c r="O8478" i="1"/>
  <c r="O8473" i="1"/>
  <c r="O8471" i="1"/>
  <c r="O8477" i="1"/>
  <c r="O8476" i="1"/>
  <c r="O8475" i="1"/>
  <c r="O8467" i="1"/>
  <c r="O8469" i="1"/>
  <c r="O8470" i="1"/>
  <c r="O8466" i="1"/>
  <c r="O8464" i="1"/>
  <c r="O8465" i="1"/>
  <c r="O8468" i="1"/>
  <c r="G8463" i="1"/>
  <c r="G8461" i="1"/>
  <c r="G8462" i="1"/>
  <c r="G8459" i="1"/>
  <c r="G8460" i="1"/>
  <c r="G8456" i="1"/>
  <c r="G8457" i="1"/>
  <c r="G8455" i="1"/>
  <c r="G8458" i="1"/>
  <c r="G8453" i="1"/>
  <c r="G8454" i="1"/>
  <c r="G8451" i="1"/>
  <c r="G8452" i="1"/>
  <c r="G8450" i="1"/>
  <c r="G8444" i="1"/>
  <c r="G8447" i="1"/>
  <c r="G8436" i="1"/>
  <c r="G8449" i="1"/>
  <c r="G8445" i="1"/>
  <c r="G8441" i="1"/>
  <c r="G8442" i="1"/>
  <c r="G8440" i="1"/>
  <c r="G8439" i="1"/>
  <c r="G8437" i="1"/>
  <c r="G8438" i="1"/>
  <c r="G8446" i="1"/>
  <c r="G8443" i="1"/>
  <c r="G8448" i="1"/>
  <c r="G8434" i="1"/>
  <c r="G8435" i="1"/>
  <c r="G8432" i="1"/>
  <c r="G8433" i="1"/>
  <c r="G8431" i="1"/>
  <c r="G8430" i="1"/>
  <c r="G8426" i="1"/>
  <c r="G8429" i="1"/>
  <c r="G8428" i="1"/>
  <c r="G8425" i="1"/>
  <c r="G8424" i="1"/>
  <c r="G8427" i="1"/>
  <c r="G8423" i="1"/>
  <c r="G8422" i="1"/>
  <c r="G8421" i="1"/>
  <c r="G8419" i="1"/>
  <c r="G8418" i="1"/>
  <c r="G8415" i="1"/>
  <c r="G8420" i="1"/>
  <c r="G8416" i="1"/>
  <c r="G8417" i="1"/>
  <c r="G8414" i="1"/>
  <c r="G8408" i="1"/>
  <c r="G8410" i="1"/>
  <c r="G8413" i="1"/>
  <c r="G8411" i="1"/>
  <c r="G8412" i="1"/>
  <c r="G8406" i="1"/>
  <c r="G8407" i="1"/>
  <c r="G8409" i="1"/>
  <c r="G8405" i="1"/>
  <c r="G8403" i="1"/>
  <c r="G8402" i="1"/>
  <c r="G8404" i="1"/>
  <c r="G8399" i="1"/>
  <c r="G8396" i="1"/>
  <c r="G8401" i="1"/>
  <c r="G8400" i="1"/>
  <c r="G8397" i="1"/>
  <c r="G8398" i="1"/>
  <c r="G8395" i="1"/>
  <c r="G3577" i="1"/>
  <c r="G8393" i="1"/>
  <c r="G8394" i="1"/>
  <c r="G8388" i="1"/>
  <c r="G8390" i="1"/>
  <c r="G8391" i="1"/>
  <c r="G8389" i="1"/>
  <c r="G8383" i="1"/>
  <c r="G8386" i="1"/>
  <c r="G8387" i="1"/>
  <c r="G8385" i="1"/>
  <c r="G8382" i="1"/>
  <c r="G8384" i="1"/>
  <c r="G8381" i="1"/>
  <c r="G8379" i="1"/>
  <c r="G8380" i="1"/>
  <c r="G8377" i="1"/>
  <c r="G8375" i="1"/>
  <c r="G8378" i="1"/>
  <c r="G8376" i="1"/>
  <c r="G8374" i="1"/>
  <c r="G8372" i="1"/>
  <c r="G8373" i="1"/>
  <c r="G8365" i="1"/>
  <c r="G8369" i="1"/>
  <c r="G8370" i="1"/>
  <c r="G8368" i="1"/>
  <c r="G8371" i="1"/>
  <c r="G8366" i="1"/>
  <c r="G8367" i="1"/>
  <c r="G8361" i="1"/>
  <c r="G8360" i="1"/>
  <c r="G8363" i="1"/>
  <c r="G8359" i="1"/>
  <c r="G8362" i="1"/>
  <c r="G8364" i="1"/>
  <c r="G8358" i="1"/>
  <c r="G8357" i="1"/>
  <c r="G8356" i="1"/>
  <c r="G8355" i="1"/>
  <c r="G8354" i="1"/>
  <c r="G8351" i="1"/>
  <c r="G8352" i="1"/>
  <c r="G8348" i="1"/>
  <c r="G8353" i="1"/>
  <c r="G8350" i="1"/>
  <c r="G8349" i="1"/>
  <c r="G8343" i="1"/>
  <c r="G8345" i="1"/>
  <c r="G8346" i="1"/>
  <c r="G8344" i="1"/>
  <c r="G8341" i="1"/>
  <c r="G8339" i="1"/>
  <c r="G8342" i="1"/>
  <c r="G8340" i="1"/>
  <c r="G8347" i="1"/>
  <c r="G8337" i="1"/>
  <c r="G8338" i="1"/>
  <c r="G8336" i="1"/>
  <c r="G8334" i="1"/>
  <c r="G8335" i="1"/>
  <c r="G8333" i="1"/>
  <c r="G8332" i="1"/>
  <c r="G8331" i="1"/>
  <c r="G8330" i="1"/>
  <c r="G8323" i="1"/>
  <c r="G8327" i="1"/>
  <c r="G8320" i="1"/>
  <c r="G8326" i="1"/>
  <c r="G8324" i="1"/>
  <c r="G8322" i="1"/>
  <c r="G8325" i="1"/>
  <c r="G8329" i="1"/>
  <c r="G8321" i="1"/>
  <c r="G8318" i="1"/>
  <c r="G8328" i="1"/>
  <c r="G8319" i="1"/>
  <c r="G8314" i="1"/>
  <c r="G8317" i="1"/>
  <c r="G8316" i="1"/>
  <c r="G8313" i="1"/>
  <c r="G8315" i="1"/>
  <c r="G8312" i="1"/>
  <c r="G11845" i="1"/>
  <c r="G8307" i="1"/>
  <c r="G8303" i="1"/>
  <c r="G8308" i="1"/>
  <c r="G8304" i="1"/>
  <c r="G8306" i="1"/>
  <c r="G8305" i="1"/>
  <c r="G8302" i="1"/>
  <c r="G8301" i="1"/>
  <c r="G8310" i="1"/>
  <c r="G8309" i="1"/>
  <c r="E8463" i="1"/>
  <c r="E8461" i="1"/>
  <c r="E8462" i="1"/>
  <c r="E8459" i="1"/>
  <c r="E8460" i="1"/>
  <c r="E8456" i="1"/>
  <c r="E8457" i="1"/>
  <c r="E8455" i="1"/>
  <c r="E8458" i="1"/>
  <c r="E8453" i="1"/>
  <c r="E8454" i="1"/>
  <c r="E8451" i="1"/>
  <c r="E8452" i="1"/>
  <c r="E8450" i="1"/>
  <c r="E8444" i="1"/>
  <c r="E8447" i="1"/>
  <c r="E8436" i="1"/>
  <c r="E8449" i="1"/>
  <c r="E8445" i="1"/>
  <c r="E8441" i="1"/>
  <c r="E8442" i="1"/>
  <c r="E8440" i="1"/>
  <c r="E8439" i="1"/>
  <c r="E8437" i="1"/>
  <c r="E8438" i="1"/>
  <c r="E8446" i="1"/>
  <c r="E8443" i="1"/>
  <c r="E8448" i="1"/>
  <c r="E8434" i="1"/>
  <c r="E8435" i="1"/>
  <c r="E8432" i="1"/>
  <c r="E8433" i="1"/>
  <c r="E8431" i="1"/>
  <c r="E8430" i="1"/>
  <c r="E8426" i="1"/>
  <c r="E8429" i="1"/>
  <c r="E8428" i="1"/>
  <c r="E8425" i="1"/>
  <c r="E8424" i="1"/>
  <c r="E8427" i="1"/>
  <c r="E8423" i="1"/>
  <c r="E8422" i="1"/>
  <c r="E8421" i="1"/>
  <c r="E8419" i="1"/>
  <c r="E8418" i="1"/>
  <c r="E8415" i="1"/>
  <c r="E8420" i="1"/>
  <c r="E8416" i="1"/>
  <c r="E8417" i="1"/>
  <c r="E8414" i="1"/>
  <c r="E8408" i="1"/>
  <c r="E8410" i="1"/>
  <c r="E8413" i="1"/>
  <c r="E8411" i="1"/>
  <c r="E8412" i="1"/>
  <c r="E8406" i="1"/>
  <c r="E8407" i="1"/>
  <c r="E8409" i="1"/>
  <c r="E8405" i="1"/>
  <c r="E8403" i="1"/>
  <c r="E8402" i="1"/>
  <c r="E8404" i="1"/>
  <c r="E8399" i="1"/>
  <c r="E8396" i="1"/>
  <c r="E8401" i="1"/>
  <c r="E8400" i="1"/>
  <c r="E8397" i="1"/>
  <c r="E8398" i="1"/>
  <c r="E8395" i="1"/>
  <c r="E3577" i="1"/>
  <c r="E8393" i="1"/>
  <c r="E8394" i="1"/>
  <c r="E8388" i="1"/>
  <c r="E8390" i="1"/>
  <c r="E8391" i="1"/>
  <c r="E8389" i="1"/>
  <c r="E8383" i="1"/>
  <c r="E8386" i="1"/>
  <c r="E8387" i="1"/>
  <c r="E8385" i="1"/>
  <c r="E8382" i="1"/>
  <c r="E8384" i="1"/>
  <c r="E8381" i="1"/>
  <c r="E8379" i="1"/>
  <c r="E8380" i="1"/>
  <c r="E8377" i="1"/>
  <c r="E8375" i="1"/>
  <c r="E8378" i="1"/>
  <c r="E8376" i="1"/>
  <c r="E8374" i="1"/>
  <c r="E8372" i="1"/>
  <c r="E8373" i="1"/>
  <c r="E8365" i="1"/>
  <c r="E8369" i="1"/>
  <c r="E8370" i="1"/>
  <c r="E8368" i="1"/>
  <c r="E8371" i="1"/>
  <c r="E8366" i="1"/>
  <c r="E8367" i="1"/>
  <c r="E8361" i="1"/>
  <c r="E8360" i="1"/>
  <c r="E8363" i="1"/>
  <c r="E8359" i="1"/>
  <c r="E8362" i="1"/>
  <c r="E8364" i="1"/>
  <c r="E8358" i="1"/>
  <c r="E8357" i="1"/>
  <c r="E8356" i="1"/>
  <c r="E8355" i="1"/>
  <c r="E8354" i="1"/>
  <c r="E8351" i="1"/>
  <c r="E8352" i="1"/>
  <c r="E8348" i="1"/>
  <c r="E8353" i="1"/>
  <c r="E8350" i="1"/>
  <c r="E8349" i="1"/>
  <c r="E8343" i="1"/>
  <c r="E8345" i="1"/>
  <c r="E8346" i="1"/>
  <c r="E8344" i="1"/>
  <c r="E8341" i="1"/>
  <c r="E8339" i="1"/>
  <c r="E8342" i="1"/>
  <c r="E8340" i="1"/>
  <c r="E8347" i="1"/>
  <c r="E8337" i="1"/>
  <c r="E8338" i="1"/>
  <c r="E8336" i="1"/>
  <c r="E8334" i="1"/>
  <c r="E8335" i="1"/>
  <c r="E8333" i="1"/>
  <c r="E8332" i="1"/>
  <c r="E8331" i="1"/>
  <c r="E8330" i="1"/>
  <c r="E8323" i="1"/>
  <c r="E8327" i="1"/>
  <c r="E8320" i="1"/>
  <c r="E8326" i="1"/>
  <c r="E8324" i="1"/>
  <c r="E8322" i="1"/>
  <c r="E8325" i="1"/>
  <c r="E8329" i="1"/>
  <c r="E8321" i="1"/>
  <c r="E8318" i="1"/>
  <c r="E8328" i="1"/>
  <c r="E8319" i="1"/>
  <c r="E8314" i="1"/>
  <c r="E8317" i="1"/>
  <c r="E8316" i="1"/>
  <c r="E8313" i="1"/>
  <c r="E8315" i="1"/>
  <c r="E8312" i="1"/>
  <c r="E11845" i="1"/>
  <c r="E8307" i="1"/>
  <c r="E8303" i="1"/>
  <c r="E8308" i="1"/>
  <c r="E8304" i="1"/>
  <c r="E8306" i="1"/>
  <c r="E8305" i="1"/>
  <c r="E8302" i="1"/>
  <c r="E8301" i="1"/>
  <c r="E8310" i="1"/>
  <c r="E8309" i="1"/>
  <c r="O8463" i="1"/>
  <c r="O8461" i="1"/>
  <c r="O8462" i="1"/>
  <c r="O8459" i="1"/>
  <c r="O8460" i="1"/>
  <c r="O8456" i="1"/>
  <c r="O8457" i="1"/>
  <c r="O8455" i="1"/>
  <c r="O8458" i="1"/>
  <c r="O8453" i="1"/>
  <c r="O8454" i="1"/>
  <c r="O8451" i="1"/>
  <c r="O8452" i="1"/>
  <c r="O8450" i="1"/>
  <c r="O8444" i="1"/>
  <c r="O8447" i="1"/>
  <c r="O8436" i="1"/>
  <c r="O8449" i="1"/>
  <c r="O8445" i="1"/>
  <c r="O8441" i="1"/>
  <c r="O8442" i="1"/>
  <c r="O8440" i="1"/>
  <c r="O8439" i="1"/>
  <c r="O8437" i="1"/>
  <c r="O8438" i="1"/>
  <c r="O8446" i="1"/>
  <c r="O8443" i="1"/>
  <c r="O8448" i="1"/>
  <c r="O8434" i="1"/>
  <c r="O8435" i="1"/>
  <c r="O8432" i="1"/>
  <c r="O8433" i="1"/>
  <c r="O8431" i="1"/>
  <c r="O8430" i="1"/>
  <c r="O8426" i="1"/>
  <c r="O8429" i="1"/>
  <c r="O8428" i="1"/>
  <c r="O8425" i="1"/>
  <c r="O8424" i="1"/>
  <c r="O8427" i="1"/>
  <c r="O8423" i="1"/>
  <c r="O8422" i="1"/>
  <c r="O8421" i="1"/>
  <c r="O8419" i="1"/>
  <c r="O8418" i="1"/>
  <c r="O8415" i="1"/>
  <c r="O8420" i="1"/>
  <c r="O8416" i="1"/>
  <c r="O8417" i="1"/>
  <c r="O8414" i="1"/>
  <c r="O8408" i="1"/>
  <c r="O8410" i="1"/>
  <c r="O8413" i="1"/>
  <c r="O8411" i="1"/>
  <c r="O8412" i="1"/>
  <c r="O8406" i="1"/>
  <c r="O8407" i="1"/>
  <c r="O8409" i="1"/>
  <c r="O8405" i="1"/>
  <c r="O8403" i="1"/>
  <c r="O8402" i="1"/>
  <c r="O8404" i="1"/>
  <c r="O8399" i="1"/>
  <c r="O8396" i="1"/>
  <c r="O8401" i="1"/>
  <c r="O8400" i="1"/>
  <c r="O8397" i="1"/>
  <c r="O8398" i="1"/>
  <c r="O8395" i="1"/>
  <c r="O3577" i="1"/>
  <c r="O8393" i="1"/>
  <c r="O8394" i="1"/>
  <c r="O8388" i="1"/>
  <c r="O8390" i="1"/>
  <c r="O8391" i="1"/>
  <c r="O8389" i="1"/>
  <c r="O8383" i="1"/>
  <c r="O8386" i="1"/>
  <c r="O8387" i="1"/>
  <c r="O8385" i="1"/>
  <c r="O8382" i="1"/>
  <c r="O8384" i="1"/>
  <c r="O8381" i="1"/>
  <c r="O8379" i="1"/>
  <c r="O8380" i="1"/>
  <c r="O8377" i="1"/>
  <c r="O8375" i="1"/>
  <c r="O8378" i="1"/>
  <c r="O8376" i="1"/>
  <c r="O8374" i="1"/>
  <c r="O8372" i="1"/>
  <c r="O8373" i="1"/>
  <c r="O8365" i="1"/>
  <c r="O8369" i="1"/>
  <c r="O8370" i="1"/>
  <c r="O8368" i="1"/>
  <c r="O8371" i="1"/>
  <c r="O8366" i="1"/>
  <c r="O8367" i="1"/>
  <c r="O8361" i="1"/>
  <c r="O8360" i="1"/>
  <c r="O8363" i="1"/>
  <c r="O8359" i="1"/>
  <c r="O8362" i="1"/>
  <c r="O8364" i="1"/>
  <c r="O8358" i="1"/>
  <c r="O8357" i="1"/>
  <c r="O8356" i="1"/>
  <c r="O8355" i="1"/>
  <c r="O8354" i="1"/>
  <c r="O8351" i="1"/>
  <c r="O8352" i="1"/>
  <c r="O8348" i="1"/>
  <c r="O8353" i="1"/>
  <c r="O8350" i="1"/>
  <c r="O8349" i="1"/>
  <c r="O8343" i="1"/>
  <c r="O8345" i="1"/>
  <c r="O8346" i="1"/>
  <c r="O8344" i="1"/>
  <c r="O8341" i="1"/>
  <c r="O8339" i="1"/>
  <c r="O8342" i="1"/>
  <c r="O8340" i="1"/>
  <c r="O8347" i="1"/>
  <c r="O8337" i="1"/>
  <c r="O8338" i="1"/>
  <c r="O8336" i="1"/>
  <c r="O8334" i="1"/>
  <c r="O8335" i="1"/>
  <c r="O8333" i="1"/>
  <c r="O8332" i="1"/>
  <c r="O8331" i="1"/>
  <c r="O8330" i="1"/>
  <c r="O8323" i="1"/>
  <c r="O8327" i="1"/>
  <c r="O8320" i="1"/>
  <c r="O8326" i="1"/>
  <c r="O8324" i="1"/>
  <c r="O8322" i="1"/>
  <c r="O8325" i="1"/>
  <c r="O8329" i="1"/>
  <c r="O8321" i="1"/>
  <c r="O8318" i="1"/>
  <c r="O8328" i="1"/>
  <c r="O8319" i="1"/>
  <c r="O8314" i="1"/>
  <c r="O8317" i="1"/>
  <c r="O8316" i="1"/>
  <c r="O8313" i="1"/>
  <c r="O8315" i="1"/>
  <c r="O8312" i="1"/>
  <c r="O11845" i="1"/>
  <c r="O8307" i="1"/>
  <c r="O8303" i="1"/>
  <c r="O8308" i="1"/>
  <c r="O8304" i="1"/>
  <c r="O8306" i="1"/>
  <c r="O8305" i="1"/>
  <c r="O8302" i="1"/>
  <c r="O8301" i="1"/>
  <c r="O8310" i="1"/>
  <c r="O8309" i="1"/>
  <c r="G8299" i="1"/>
  <c r="G8295" i="1"/>
  <c r="G8293" i="1"/>
  <c r="G8294" i="1"/>
  <c r="G8300" i="1"/>
  <c r="G8291" i="1"/>
  <c r="G8292" i="1"/>
  <c r="G8290" i="1"/>
  <c r="G8298" i="1"/>
  <c r="G8289" i="1"/>
  <c r="G8288" i="1"/>
  <c r="G8296" i="1"/>
  <c r="G8297" i="1"/>
  <c r="G8283" i="1"/>
  <c r="G8282" i="1"/>
  <c r="G8284" i="1"/>
  <c r="G8276" i="1"/>
  <c r="G8277" i="1"/>
  <c r="G8285" i="1"/>
  <c r="G8271" i="1"/>
  <c r="G8279" i="1"/>
  <c r="G8287" i="1"/>
  <c r="G8281" i="1"/>
  <c r="G8278" i="1"/>
  <c r="G8275" i="1"/>
  <c r="G8273" i="1"/>
  <c r="G8280" i="1"/>
  <c r="G8274" i="1"/>
  <c r="G8272" i="1"/>
  <c r="G8286" i="1"/>
  <c r="G8270" i="1"/>
  <c r="G8268" i="1"/>
  <c r="G8269" i="1"/>
  <c r="G8264" i="1"/>
  <c r="G8267" i="1"/>
  <c r="G8266" i="1"/>
  <c r="G8265" i="1"/>
  <c r="G8255" i="1"/>
  <c r="G8262" i="1"/>
  <c r="G8254" i="1"/>
  <c r="G8261" i="1"/>
  <c r="G8257" i="1"/>
  <c r="G8258" i="1"/>
  <c r="G8256" i="1"/>
  <c r="G8259" i="1"/>
  <c r="G8263" i="1"/>
  <c r="G8253" i="1"/>
  <c r="G8260" i="1"/>
  <c r="G8252" i="1"/>
  <c r="G8251" i="1"/>
  <c r="G8248" i="1"/>
  <c r="G8246" i="1"/>
  <c r="G8249" i="1"/>
  <c r="G8247" i="1"/>
  <c r="G8250" i="1"/>
  <c r="G8244" i="1"/>
  <c r="G8242" i="1"/>
  <c r="G8241" i="1"/>
  <c r="G8243" i="1"/>
  <c r="G8245" i="1"/>
  <c r="G8240" i="1"/>
  <c r="G8234" i="1"/>
  <c r="G8235" i="1"/>
  <c r="G8233" i="1"/>
  <c r="G8230" i="1"/>
  <c r="G8238" i="1"/>
  <c r="G8239" i="1"/>
  <c r="G8232" i="1"/>
  <c r="G8231" i="1"/>
  <c r="G8236" i="1"/>
  <c r="G8237" i="1"/>
  <c r="G8229" i="1"/>
  <c r="G8227" i="1"/>
  <c r="G8228" i="1"/>
  <c r="G8221" i="1"/>
  <c r="G8218" i="1"/>
  <c r="G8226" i="1"/>
  <c r="G8219" i="1"/>
  <c r="G8223" i="1"/>
  <c r="G8224" i="1"/>
  <c r="G8225" i="1"/>
  <c r="G8220" i="1"/>
  <c r="G8217" i="1"/>
  <c r="G8222" i="1"/>
  <c r="G8216" i="1"/>
  <c r="G8209" i="1"/>
  <c r="G8213" i="1"/>
  <c r="G8212" i="1"/>
  <c r="G8215" i="1"/>
  <c r="G8211" i="1"/>
  <c r="G8210" i="1"/>
  <c r="G8214" i="1"/>
  <c r="G8208" i="1"/>
  <c r="G8205" i="1"/>
  <c r="G8200" i="1"/>
  <c r="G8207" i="1"/>
  <c r="G8204" i="1"/>
  <c r="G8201" i="1"/>
  <c r="G8202" i="1"/>
  <c r="G8206" i="1"/>
  <c r="G8203" i="1"/>
  <c r="G8196" i="1"/>
  <c r="G8198" i="1"/>
  <c r="G8197" i="1"/>
  <c r="G8199" i="1"/>
  <c r="G8195" i="1"/>
  <c r="G8194" i="1"/>
  <c r="G8185" i="1"/>
  <c r="G8193" i="1"/>
  <c r="G8192" i="1"/>
  <c r="G8191" i="1"/>
  <c r="G8189" i="1"/>
  <c r="G8190" i="1"/>
  <c r="G8187" i="1"/>
  <c r="G8186" i="1"/>
  <c r="G8188" i="1"/>
  <c r="G8184" i="1"/>
  <c r="G8183" i="1"/>
  <c r="G8182" i="1"/>
  <c r="G8180" i="1"/>
  <c r="G8179" i="1"/>
  <c r="G8181" i="1"/>
  <c r="G8177" i="1"/>
  <c r="G8176" i="1"/>
  <c r="G8175" i="1"/>
  <c r="G8173" i="1"/>
  <c r="G8178" i="1"/>
  <c r="G8174" i="1"/>
  <c r="G8172" i="1"/>
  <c r="G8167" i="1"/>
  <c r="G8171" i="1"/>
  <c r="G8170" i="1"/>
  <c r="G8169" i="1"/>
  <c r="G8166" i="1"/>
  <c r="G8165" i="1"/>
  <c r="G8168" i="1"/>
  <c r="G8164" i="1"/>
  <c r="G8158" i="1"/>
  <c r="G8159" i="1"/>
  <c r="G8163" i="1"/>
  <c r="G8161" i="1"/>
  <c r="G8160" i="1"/>
  <c r="G8162" i="1"/>
  <c r="G8157" i="1"/>
  <c r="G8156" i="1"/>
  <c r="G8155" i="1"/>
  <c r="G8152" i="1"/>
  <c r="G8154" i="1"/>
  <c r="G8153" i="1"/>
  <c r="G8150" i="1"/>
  <c r="G8151" i="1"/>
  <c r="G8149" i="1"/>
  <c r="G8144" i="1"/>
  <c r="G8146" i="1"/>
  <c r="G8147" i="1"/>
  <c r="G8148" i="1"/>
  <c r="G8145" i="1"/>
  <c r="G8141" i="1"/>
  <c r="G8143" i="1"/>
  <c r="G8140" i="1"/>
  <c r="G8142" i="1"/>
  <c r="G8136" i="1"/>
  <c r="G8135" i="1"/>
  <c r="G8139" i="1"/>
  <c r="G8137" i="1"/>
  <c r="G8138" i="1"/>
  <c r="G8134" i="1"/>
  <c r="G8130" i="1"/>
  <c r="G8129" i="1"/>
  <c r="G8131" i="1"/>
  <c r="G8132" i="1"/>
  <c r="G8133" i="1"/>
  <c r="G8126" i="1"/>
  <c r="G8127" i="1"/>
  <c r="G8128" i="1"/>
  <c r="G8125" i="1"/>
  <c r="G8124" i="1"/>
  <c r="G8123" i="1"/>
  <c r="G8122" i="1"/>
  <c r="G8121" i="1"/>
  <c r="G8117" i="1"/>
  <c r="G8118" i="1"/>
  <c r="G8116" i="1"/>
  <c r="G8115" i="1"/>
  <c r="G8114" i="1"/>
  <c r="G8120" i="1"/>
  <c r="G8119" i="1"/>
  <c r="G8111" i="1"/>
  <c r="G8110" i="1"/>
  <c r="G8113" i="1"/>
  <c r="G8112" i="1"/>
  <c r="G8103" i="1"/>
  <c r="G8102" i="1"/>
  <c r="G8104" i="1"/>
  <c r="G11622" i="1"/>
  <c r="G8106" i="1"/>
  <c r="G8105" i="1"/>
  <c r="G8101" i="1"/>
  <c r="G8100" i="1"/>
  <c r="G8107" i="1"/>
  <c r="G8108" i="1"/>
  <c r="E8299" i="1"/>
  <c r="E8295" i="1"/>
  <c r="E8293" i="1"/>
  <c r="E8294" i="1"/>
  <c r="E8300" i="1"/>
  <c r="E8291" i="1"/>
  <c r="E8292" i="1"/>
  <c r="E8290" i="1"/>
  <c r="E8298" i="1"/>
  <c r="E8289" i="1"/>
  <c r="E8288" i="1"/>
  <c r="E8296" i="1"/>
  <c r="E8297" i="1"/>
  <c r="E8283" i="1"/>
  <c r="E8282" i="1"/>
  <c r="E8284" i="1"/>
  <c r="E8276" i="1"/>
  <c r="E8277" i="1"/>
  <c r="E8285" i="1"/>
  <c r="E8271" i="1"/>
  <c r="E8279" i="1"/>
  <c r="E8287" i="1"/>
  <c r="E8281" i="1"/>
  <c r="E8278" i="1"/>
  <c r="E8275" i="1"/>
  <c r="E8273" i="1"/>
  <c r="E8280" i="1"/>
  <c r="E8274" i="1"/>
  <c r="E8272" i="1"/>
  <c r="E8286" i="1"/>
  <c r="E8270" i="1"/>
  <c r="E8268" i="1"/>
  <c r="E8269" i="1"/>
  <c r="E8264" i="1"/>
  <c r="E8267" i="1"/>
  <c r="E8266" i="1"/>
  <c r="E8265" i="1"/>
  <c r="E8255" i="1"/>
  <c r="E8262" i="1"/>
  <c r="E8254" i="1"/>
  <c r="E8261" i="1"/>
  <c r="E8257" i="1"/>
  <c r="E8258" i="1"/>
  <c r="E8256" i="1"/>
  <c r="E8259" i="1"/>
  <c r="E8263" i="1"/>
  <c r="E8253" i="1"/>
  <c r="E8260" i="1"/>
  <c r="E8252" i="1"/>
  <c r="E8251" i="1"/>
  <c r="E8248" i="1"/>
  <c r="E8246" i="1"/>
  <c r="E8249" i="1"/>
  <c r="E8247" i="1"/>
  <c r="E8250" i="1"/>
  <c r="E8244" i="1"/>
  <c r="E8242" i="1"/>
  <c r="E8241" i="1"/>
  <c r="E8243" i="1"/>
  <c r="E8245" i="1"/>
  <c r="E8240" i="1"/>
  <c r="E8234" i="1"/>
  <c r="E8235" i="1"/>
  <c r="E8233" i="1"/>
  <c r="E8230" i="1"/>
  <c r="E8238" i="1"/>
  <c r="E8239" i="1"/>
  <c r="E8232" i="1"/>
  <c r="E8231" i="1"/>
  <c r="E8236" i="1"/>
  <c r="E8237" i="1"/>
  <c r="E8229" i="1"/>
  <c r="E8227" i="1"/>
  <c r="E8228" i="1"/>
  <c r="E8221" i="1"/>
  <c r="E8218" i="1"/>
  <c r="E8226" i="1"/>
  <c r="E8219" i="1"/>
  <c r="E8223" i="1"/>
  <c r="E8224" i="1"/>
  <c r="E8225" i="1"/>
  <c r="E8220" i="1"/>
  <c r="E8217" i="1"/>
  <c r="E8222" i="1"/>
  <c r="E8216" i="1"/>
  <c r="E8209" i="1"/>
  <c r="E8213" i="1"/>
  <c r="E8212" i="1"/>
  <c r="E8215" i="1"/>
  <c r="E8211" i="1"/>
  <c r="E8210" i="1"/>
  <c r="E8214" i="1"/>
  <c r="E8208" i="1"/>
  <c r="E8205" i="1"/>
  <c r="E8200" i="1"/>
  <c r="E8207" i="1"/>
  <c r="E8204" i="1"/>
  <c r="E8201" i="1"/>
  <c r="E8202" i="1"/>
  <c r="E8206" i="1"/>
  <c r="E8203" i="1"/>
  <c r="E8196" i="1"/>
  <c r="E8198" i="1"/>
  <c r="E8197" i="1"/>
  <c r="E8199" i="1"/>
  <c r="E8195" i="1"/>
  <c r="E8194" i="1"/>
  <c r="E8185" i="1"/>
  <c r="E8193" i="1"/>
  <c r="E8192" i="1"/>
  <c r="E8191" i="1"/>
  <c r="E8189" i="1"/>
  <c r="E8190" i="1"/>
  <c r="E8187" i="1"/>
  <c r="E8186" i="1"/>
  <c r="E8188" i="1"/>
  <c r="E8184" i="1"/>
  <c r="E8183" i="1"/>
  <c r="E8182" i="1"/>
  <c r="E8180" i="1"/>
  <c r="E8179" i="1"/>
  <c r="E8181" i="1"/>
  <c r="E8177" i="1"/>
  <c r="E8176" i="1"/>
  <c r="E8175" i="1"/>
  <c r="E8173" i="1"/>
  <c r="E8178" i="1"/>
  <c r="E8174" i="1"/>
  <c r="E8172" i="1"/>
  <c r="E8167" i="1"/>
  <c r="E8171" i="1"/>
  <c r="E8170" i="1"/>
  <c r="E8169" i="1"/>
  <c r="E8166" i="1"/>
  <c r="E8165" i="1"/>
  <c r="E8168" i="1"/>
  <c r="E8164" i="1"/>
  <c r="E8158" i="1"/>
  <c r="E8159" i="1"/>
  <c r="E8163" i="1"/>
  <c r="E8161" i="1"/>
  <c r="E8160" i="1"/>
  <c r="E8162" i="1"/>
  <c r="E8157" i="1"/>
  <c r="E8156" i="1"/>
  <c r="E8155" i="1"/>
  <c r="E8152" i="1"/>
  <c r="E8154" i="1"/>
  <c r="E8153" i="1"/>
  <c r="E8150" i="1"/>
  <c r="E8151" i="1"/>
  <c r="E8149" i="1"/>
  <c r="E8144" i="1"/>
  <c r="E8146" i="1"/>
  <c r="E8147" i="1"/>
  <c r="E8148" i="1"/>
  <c r="E8145" i="1"/>
  <c r="E8141" i="1"/>
  <c r="E8143" i="1"/>
  <c r="E8140" i="1"/>
  <c r="E8142" i="1"/>
  <c r="E8136" i="1"/>
  <c r="E8135" i="1"/>
  <c r="E8139" i="1"/>
  <c r="E8137" i="1"/>
  <c r="E8138" i="1"/>
  <c r="E8134" i="1"/>
  <c r="E8130" i="1"/>
  <c r="E8129" i="1"/>
  <c r="E8131" i="1"/>
  <c r="E8132" i="1"/>
  <c r="E8133" i="1"/>
  <c r="E8126" i="1"/>
  <c r="E8127" i="1"/>
  <c r="E8128" i="1"/>
  <c r="E8125" i="1"/>
  <c r="E8124" i="1"/>
  <c r="E8123" i="1"/>
  <c r="E8122" i="1"/>
  <c r="E8121" i="1"/>
  <c r="E8117" i="1"/>
  <c r="E8118" i="1"/>
  <c r="E8116" i="1"/>
  <c r="E8115" i="1"/>
  <c r="E8114" i="1"/>
  <c r="E8120" i="1"/>
  <c r="E8119" i="1"/>
  <c r="E8111" i="1"/>
  <c r="E8110" i="1"/>
  <c r="E8113" i="1"/>
  <c r="E8112" i="1"/>
  <c r="E8103" i="1"/>
  <c r="E8102" i="1"/>
  <c r="E8104" i="1"/>
  <c r="E11622" i="1"/>
  <c r="E8106" i="1"/>
  <c r="E8105" i="1"/>
  <c r="E8101" i="1"/>
  <c r="E8100" i="1"/>
  <c r="E8107" i="1"/>
  <c r="E8108" i="1"/>
  <c r="O8299" i="1"/>
  <c r="O8295" i="1"/>
  <c r="O8293" i="1"/>
  <c r="O8294" i="1"/>
  <c r="O8300" i="1"/>
  <c r="O8291" i="1"/>
  <c r="O8292" i="1"/>
  <c r="O8290" i="1"/>
  <c r="O8298" i="1"/>
  <c r="O8289" i="1"/>
  <c r="O8288" i="1"/>
  <c r="O8296" i="1"/>
  <c r="O8297" i="1"/>
  <c r="O8283" i="1"/>
  <c r="O8282" i="1"/>
  <c r="O8284" i="1"/>
  <c r="O8276" i="1"/>
  <c r="O8277" i="1"/>
  <c r="O8285" i="1"/>
  <c r="O8271" i="1"/>
  <c r="O8279" i="1"/>
  <c r="O8287" i="1"/>
  <c r="O8281" i="1"/>
  <c r="O8278" i="1"/>
  <c r="O8275" i="1"/>
  <c r="O8273" i="1"/>
  <c r="O8280" i="1"/>
  <c r="O8274" i="1"/>
  <c r="O8272" i="1"/>
  <c r="O8286" i="1"/>
  <c r="O8270" i="1"/>
  <c r="O8268" i="1"/>
  <c r="O8269" i="1"/>
  <c r="O8264" i="1"/>
  <c r="O8267" i="1"/>
  <c r="O8266" i="1"/>
  <c r="O8265" i="1"/>
  <c r="O8255" i="1"/>
  <c r="O8262" i="1"/>
  <c r="O8254" i="1"/>
  <c r="O8261" i="1"/>
  <c r="O8257" i="1"/>
  <c r="O8258" i="1"/>
  <c r="O8256" i="1"/>
  <c r="O8259" i="1"/>
  <c r="O8263" i="1"/>
  <c r="O8253" i="1"/>
  <c r="O8260" i="1"/>
  <c r="O8252" i="1"/>
  <c r="O8251" i="1"/>
  <c r="O8248" i="1"/>
  <c r="O8246" i="1"/>
  <c r="O8249" i="1"/>
  <c r="O8247" i="1"/>
  <c r="O8250" i="1"/>
  <c r="O8244" i="1"/>
  <c r="O8242" i="1"/>
  <c r="O8241" i="1"/>
  <c r="O8243" i="1"/>
  <c r="O8245" i="1"/>
  <c r="O8240" i="1"/>
  <c r="O8234" i="1"/>
  <c r="O8235" i="1"/>
  <c r="O8233" i="1"/>
  <c r="O8230" i="1"/>
  <c r="O8238" i="1"/>
  <c r="O8239" i="1"/>
  <c r="O8232" i="1"/>
  <c r="O8231" i="1"/>
  <c r="O8236" i="1"/>
  <c r="O8237" i="1"/>
  <c r="O8229" i="1"/>
  <c r="O8227" i="1"/>
  <c r="O8228" i="1"/>
  <c r="O8221" i="1"/>
  <c r="O8218" i="1"/>
  <c r="O8226" i="1"/>
  <c r="O8219" i="1"/>
  <c r="O8223" i="1"/>
  <c r="O8224" i="1"/>
  <c r="O8225" i="1"/>
  <c r="O8220" i="1"/>
  <c r="O8217" i="1"/>
  <c r="O8222" i="1"/>
  <c r="O8216" i="1"/>
  <c r="O8209" i="1"/>
  <c r="O8213" i="1"/>
  <c r="O8212" i="1"/>
  <c r="O8215" i="1"/>
  <c r="O8211" i="1"/>
  <c r="O8210" i="1"/>
  <c r="O8214" i="1"/>
  <c r="O8208" i="1"/>
  <c r="O8205" i="1"/>
  <c r="O8200" i="1"/>
  <c r="O8207" i="1"/>
  <c r="O8204" i="1"/>
  <c r="O8201" i="1"/>
  <c r="O8202" i="1"/>
  <c r="O8206" i="1"/>
  <c r="O8203" i="1"/>
  <c r="O8196" i="1"/>
  <c r="O8198" i="1"/>
  <c r="O8197" i="1"/>
  <c r="O8199" i="1"/>
  <c r="O8195" i="1"/>
  <c r="O8194" i="1"/>
  <c r="O8185" i="1"/>
  <c r="O8193" i="1"/>
  <c r="O8192" i="1"/>
  <c r="O8191" i="1"/>
  <c r="O8189" i="1"/>
  <c r="O8190" i="1"/>
  <c r="O8187" i="1"/>
  <c r="O8186" i="1"/>
  <c r="O8188" i="1"/>
  <c r="O8184" i="1"/>
  <c r="O8183" i="1"/>
  <c r="O8182" i="1"/>
  <c r="O8180" i="1"/>
  <c r="O8179" i="1"/>
  <c r="O8181" i="1"/>
  <c r="O8177" i="1"/>
  <c r="O8176" i="1"/>
  <c r="O8175" i="1"/>
  <c r="O8173" i="1"/>
  <c r="O8178" i="1"/>
  <c r="O8174" i="1"/>
  <c r="O8172" i="1"/>
  <c r="O8167" i="1"/>
  <c r="O8171" i="1"/>
  <c r="O8170" i="1"/>
  <c r="O8169" i="1"/>
  <c r="O8166" i="1"/>
  <c r="O8165" i="1"/>
  <c r="O8168" i="1"/>
  <c r="O8164" i="1"/>
  <c r="O8158" i="1"/>
  <c r="O8159" i="1"/>
  <c r="O8163" i="1"/>
  <c r="O8161" i="1"/>
  <c r="O8160" i="1"/>
  <c r="O8162" i="1"/>
  <c r="O8157" i="1"/>
  <c r="O8156" i="1"/>
  <c r="O8155" i="1"/>
  <c r="O8152" i="1"/>
  <c r="O8154" i="1"/>
  <c r="O8153" i="1"/>
  <c r="O8150" i="1"/>
  <c r="O8151" i="1"/>
  <c r="O8149" i="1"/>
  <c r="O8144" i="1"/>
  <c r="O8146" i="1"/>
  <c r="O8147" i="1"/>
  <c r="O8148" i="1"/>
  <c r="O8145" i="1"/>
  <c r="O8141" i="1"/>
  <c r="O8143" i="1"/>
  <c r="O8140" i="1"/>
  <c r="O8142" i="1"/>
  <c r="O8136" i="1"/>
  <c r="O8135" i="1"/>
  <c r="O8139" i="1"/>
  <c r="O8137" i="1"/>
  <c r="O8138" i="1"/>
  <c r="O8134" i="1"/>
  <c r="O8130" i="1"/>
  <c r="O8129" i="1"/>
  <c r="O8131" i="1"/>
  <c r="O8132" i="1"/>
  <c r="O8133" i="1"/>
  <c r="O8126" i="1"/>
  <c r="O8127" i="1"/>
  <c r="O8128" i="1"/>
  <c r="O8125" i="1"/>
  <c r="O8124" i="1"/>
  <c r="O8123" i="1"/>
  <c r="O8122" i="1"/>
  <c r="O8121" i="1"/>
  <c r="O8117" i="1"/>
  <c r="O8118" i="1"/>
  <c r="O8116" i="1"/>
  <c r="O8115" i="1"/>
  <c r="O8114" i="1"/>
  <c r="O8120" i="1"/>
  <c r="O8119" i="1"/>
  <c r="O8111" i="1"/>
  <c r="O8110" i="1"/>
  <c r="O8113" i="1"/>
  <c r="O8112" i="1"/>
  <c r="O8103" i="1"/>
  <c r="O8102" i="1"/>
  <c r="O8104" i="1"/>
  <c r="O11622" i="1"/>
  <c r="O8106" i="1"/>
  <c r="O8105" i="1"/>
  <c r="O8101" i="1"/>
  <c r="O8100" i="1"/>
  <c r="O8107" i="1"/>
  <c r="O8108" i="1"/>
  <c r="G98" i="20"/>
  <c r="G86" i="20"/>
  <c r="G87" i="20"/>
  <c r="G88" i="20"/>
  <c r="G90" i="20"/>
  <c r="G92" i="20"/>
  <c r="G93" i="20"/>
  <c r="G94" i="20"/>
  <c r="G85" i="20"/>
  <c r="D79" i="21"/>
  <c r="D107" i="20"/>
  <c r="F107" i="20"/>
  <c r="F106" i="20"/>
  <c r="G7945" i="1"/>
  <c r="G7954" i="1"/>
  <c r="G7966" i="1"/>
  <c r="G7964" i="1"/>
  <c r="G7965" i="1"/>
  <c r="G7967" i="1"/>
  <c r="G7968" i="1"/>
  <c r="G7969" i="1"/>
  <c r="G7977" i="1"/>
  <c r="G7978" i="1"/>
  <c r="G7986" i="1"/>
  <c r="G7987" i="1"/>
  <c r="G7994" i="1"/>
  <c r="G7995" i="1"/>
  <c r="G7996" i="1"/>
  <c r="G7990" i="1"/>
  <c r="G7998" i="1"/>
  <c r="G8013" i="1"/>
  <c r="G8009" i="1"/>
  <c r="G8012" i="1"/>
  <c r="G8010" i="1"/>
  <c r="G8015" i="1"/>
  <c r="G8016" i="1"/>
  <c r="G8023" i="1"/>
  <c r="G8021" i="1"/>
  <c r="G8024" i="1"/>
  <c r="G8022" i="1"/>
  <c r="G8025" i="1"/>
  <c r="G8033" i="1"/>
  <c r="G8032" i="1"/>
  <c r="G8034" i="1"/>
  <c r="G8035" i="1"/>
  <c r="G8036" i="1"/>
  <c r="G8047" i="1"/>
  <c r="G8043" i="1"/>
  <c r="G8044" i="1"/>
  <c r="G8045" i="1"/>
  <c r="G8048" i="1"/>
  <c r="G8049" i="1"/>
  <c r="G8051" i="1"/>
  <c r="G8054" i="1"/>
  <c r="G8056" i="1"/>
  <c r="G8067" i="1"/>
  <c r="G8074" i="1"/>
  <c r="G8077" i="1"/>
  <c r="G8078" i="1"/>
  <c r="G8085" i="1"/>
  <c r="G8083" i="1"/>
  <c r="G8086" i="1"/>
  <c r="G8092" i="1"/>
  <c r="G8094" i="1"/>
  <c r="G8095" i="1"/>
  <c r="G8098" i="1"/>
  <c r="G7931" i="1"/>
  <c r="E7945" i="1"/>
  <c r="E7954" i="1"/>
  <c r="E7966" i="1"/>
  <c r="E7964" i="1"/>
  <c r="E7965" i="1"/>
  <c r="E7967" i="1"/>
  <c r="E7968" i="1"/>
  <c r="E7969" i="1"/>
  <c r="E7977" i="1"/>
  <c r="E7978" i="1"/>
  <c r="E7986" i="1"/>
  <c r="E7987" i="1"/>
  <c r="E7994" i="1"/>
  <c r="E7995" i="1"/>
  <c r="E7996" i="1"/>
  <c r="E7990" i="1"/>
  <c r="E7998" i="1"/>
  <c r="E8013" i="1"/>
  <c r="E8009" i="1"/>
  <c r="E8012" i="1"/>
  <c r="E8010" i="1"/>
  <c r="E8015" i="1"/>
  <c r="E8016" i="1"/>
  <c r="E8023" i="1"/>
  <c r="E8021" i="1"/>
  <c r="E8024" i="1"/>
  <c r="E8022" i="1"/>
  <c r="E8025" i="1"/>
  <c r="E8033" i="1"/>
  <c r="E8032" i="1"/>
  <c r="E8034" i="1"/>
  <c r="E8035" i="1"/>
  <c r="E8036" i="1"/>
  <c r="E8047" i="1"/>
  <c r="E8043" i="1"/>
  <c r="E8044" i="1"/>
  <c r="E8045" i="1"/>
  <c r="E8048" i="1"/>
  <c r="E8049" i="1"/>
  <c r="E8051" i="1"/>
  <c r="E8054" i="1"/>
  <c r="E8056" i="1"/>
  <c r="E8067" i="1"/>
  <c r="E8074" i="1"/>
  <c r="E8077" i="1"/>
  <c r="E8078" i="1"/>
  <c r="E8085" i="1"/>
  <c r="E8083" i="1"/>
  <c r="E8086" i="1"/>
  <c r="E8092" i="1"/>
  <c r="E8094" i="1"/>
  <c r="E8095" i="1"/>
  <c r="E8098" i="1"/>
  <c r="O7945" i="1"/>
  <c r="O7954" i="1"/>
  <c r="O7966" i="1"/>
  <c r="O7964" i="1"/>
  <c r="O7965" i="1"/>
  <c r="O7967" i="1"/>
  <c r="O7968" i="1"/>
  <c r="O7969" i="1"/>
  <c r="O7977" i="1"/>
  <c r="O7978" i="1"/>
  <c r="O7986" i="1"/>
  <c r="O7987" i="1"/>
  <c r="O7994" i="1"/>
  <c r="O7995" i="1"/>
  <c r="O7996" i="1"/>
  <c r="O7990" i="1"/>
  <c r="O7998" i="1"/>
  <c r="O8013" i="1"/>
  <c r="O8009" i="1"/>
  <c r="O8012" i="1"/>
  <c r="O8010" i="1"/>
  <c r="O8015" i="1"/>
  <c r="O8016" i="1"/>
  <c r="O8023" i="1"/>
  <c r="O8021" i="1"/>
  <c r="O8024" i="1"/>
  <c r="O8022" i="1"/>
  <c r="O8025" i="1"/>
  <c r="O8033" i="1"/>
  <c r="O8032" i="1"/>
  <c r="O8034" i="1"/>
  <c r="O8035" i="1"/>
  <c r="O8036" i="1"/>
  <c r="O8047" i="1"/>
  <c r="O8043" i="1"/>
  <c r="O8044" i="1"/>
  <c r="O8045" i="1"/>
  <c r="O8048" i="1"/>
  <c r="O8049" i="1"/>
  <c r="O8051" i="1"/>
  <c r="O8054" i="1"/>
  <c r="O8056" i="1"/>
  <c r="O8067" i="1"/>
  <c r="O8074" i="1"/>
  <c r="O8077" i="1"/>
  <c r="O8078" i="1"/>
  <c r="O8085" i="1"/>
  <c r="O8083" i="1"/>
  <c r="O8086" i="1"/>
  <c r="O8092" i="1"/>
  <c r="O8094" i="1"/>
  <c r="O8095" i="1"/>
  <c r="O8098" i="1"/>
  <c r="G8091" i="1"/>
  <c r="G8097" i="1"/>
  <c r="G8099" i="1"/>
  <c r="G8096" i="1"/>
  <c r="G8084" i="1"/>
  <c r="G8079" i="1"/>
  <c r="G8071" i="1"/>
  <c r="G8031" i="1"/>
  <c r="G8072" i="1"/>
  <c r="G8076" i="1"/>
  <c r="G8068" i="1"/>
  <c r="G8062" i="1"/>
  <c r="G8060" i="1"/>
  <c r="G8061" i="1"/>
  <c r="G7955" i="1"/>
  <c r="G8055" i="1"/>
  <c r="G8046" i="1"/>
  <c r="G8050" i="1"/>
  <c r="G8039" i="1"/>
  <c r="G8037" i="1"/>
  <c r="G8038" i="1"/>
  <c r="G8052" i="1"/>
  <c r="G8026" i="1"/>
  <c r="G8027" i="1"/>
  <c r="G8028" i="1"/>
  <c r="G8014" i="1"/>
  <c r="G8020" i="1"/>
  <c r="G8018" i="1"/>
  <c r="G8019" i="1"/>
  <c r="G8017" i="1"/>
  <c r="G8011" i="1"/>
  <c r="G8001" i="1"/>
  <c r="G8003" i="1"/>
  <c r="G8002" i="1"/>
  <c r="G7991" i="1"/>
  <c r="G7992" i="1"/>
  <c r="G7997" i="1"/>
  <c r="G7993" i="1"/>
  <c r="G7985" i="1"/>
  <c r="G7988" i="1"/>
  <c r="G7989" i="1"/>
  <c r="G7980" i="1"/>
  <c r="G7979" i="1"/>
  <c r="G4052" i="1"/>
  <c r="G7957" i="1"/>
  <c r="G7956" i="1"/>
  <c r="G7958" i="1"/>
  <c r="G7951" i="1"/>
  <c r="G7953" i="1"/>
  <c r="G7950" i="1"/>
  <c r="G7946" i="1"/>
  <c r="G7949" i="1"/>
  <c r="G7948" i="1"/>
  <c r="G7941" i="1"/>
  <c r="G7940" i="1"/>
  <c r="E8091" i="1"/>
  <c r="E8097" i="1"/>
  <c r="E8099" i="1"/>
  <c r="E8096" i="1"/>
  <c r="E8084" i="1"/>
  <c r="E8079" i="1"/>
  <c r="E8071" i="1"/>
  <c r="E8031" i="1"/>
  <c r="E8072" i="1"/>
  <c r="E8076" i="1"/>
  <c r="E8068" i="1"/>
  <c r="E8062" i="1"/>
  <c r="E8060" i="1"/>
  <c r="E8061" i="1"/>
  <c r="E7955" i="1"/>
  <c r="E8055" i="1"/>
  <c r="E8046" i="1"/>
  <c r="E8050" i="1"/>
  <c r="E8039" i="1"/>
  <c r="E8037" i="1"/>
  <c r="E8038" i="1"/>
  <c r="E8052" i="1"/>
  <c r="E8026" i="1"/>
  <c r="E8027" i="1"/>
  <c r="E8028" i="1"/>
  <c r="E8014" i="1"/>
  <c r="E8020" i="1"/>
  <c r="E8018" i="1"/>
  <c r="E8019" i="1"/>
  <c r="E8017" i="1"/>
  <c r="E8011" i="1"/>
  <c r="E8001" i="1"/>
  <c r="E8003" i="1"/>
  <c r="E8002" i="1"/>
  <c r="E7991" i="1"/>
  <c r="E7992" i="1"/>
  <c r="E7997" i="1"/>
  <c r="E7993" i="1"/>
  <c r="E7985" i="1"/>
  <c r="E7988" i="1"/>
  <c r="E7989" i="1"/>
  <c r="E7980" i="1"/>
  <c r="E7979" i="1"/>
  <c r="E4052" i="1"/>
  <c r="E7957" i="1"/>
  <c r="E7956" i="1"/>
  <c r="E7958" i="1"/>
  <c r="E7951" i="1"/>
  <c r="E7953" i="1"/>
  <c r="E7950" i="1"/>
  <c r="E7946" i="1"/>
  <c r="E7949" i="1"/>
  <c r="E7948" i="1"/>
  <c r="E7941" i="1"/>
  <c r="E7940" i="1"/>
  <c r="O7940" i="1"/>
  <c r="O7941" i="1"/>
  <c r="O7948" i="1"/>
  <c r="O7949" i="1"/>
  <c r="O7946" i="1"/>
  <c r="O7950" i="1"/>
  <c r="O7953" i="1"/>
  <c r="O7951" i="1"/>
  <c r="O7958" i="1"/>
  <c r="O7956" i="1"/>
  <c r="O7957" i="1"/>
  <c r="O4052" i="1"/>
  <c r="O7979" i="1"/>
  <c r="O7980" i="1"/>
  <c r="O7989" i="1"/>
  <c r="O7988" i="1"/>
  <c r="O7985" i="1"/>
  <c r="O7993" i="1"/>
  <c r="O7997" i="1"/>
  <c r="O7992" i="1"/>
  <c r="O7991" i="1"/>
  <c r="O8002" i="1"/>
  <c r="O8003" i="1"/>
  <c r="O8001" i="1"/>
  <c r="O8011" i="1"/>
  <c r="O8017" i="1"/>
  <c r="O8019" i="1"/>
  <c r="O8018" i="1"/>
  <c r="O8020" i="1"/>
  <c r="O8014" i="1"/>
  <c r="O8028" i="1"/>
  <c r="O8027" i="1"/>
  <c r="O8026" i="1"/>
  <c r="O8052" i="1"/>
  <c r="O8038" i="1"/>
  <c r="O8037" i="1"/>
  <c r="O8039" i="1"/>
  <c r="O8050" i="1"/>
  <c r="O8046" i="1"/>
  <c r="O8055" i="1"/>
  <c r="O7955" i="1"/>
  <c r="O8061" i="1"/>
  <c r="O8060" i="1"/>
  <c r="O8062" i="1"/>
  <c r="O8068" i="1"/>
  <c r="O8076" i="1"/>
  <c r="O8072" i="1"/>
  <c r="O8031" i="1"/>
  <c r="O8071" i="1"/>
  <c r="O8079" i="1"/>
  <c r="O8084" i="1"/>
  <c r="O8096" i="1"/>
  <c r="O8099" i="1"/>
  <c r="O8097" i="1"/>
  <c r="O8091" i="1"/>
  <c r="G8093" i="1"/>
  <c r="G8089" i="1"/>
  <c r="E8093" i="1"/>
  <c r="E8089" i="1"/>
  <c r="O8089" i="1"/>
  <c r="O8093" i="1"/>
  <c r="G8090" i="1"/>
  <c r="E8090" i="1"/>
  <c r="O8090" i="1"/>
  <c r="E8088" i="1"/>
  <c r="E8087" i="1"/>
  <c r="E8080" i="1"/>
  <c r="E8081" i="1"/>
  <c r="E8082" i="1"/>
  <c r="E8069" i="1"/>
  <c r="E8070" i="1"/>
  <c r="E8075" i="1"/>
  <c r="E8065" i="1"/>
  <c r="E8066" i="1"/>
  <c r="E8064" i="1"/>
  <c r="E8058" i="1"/>
  <c r="E8059" i="1"/>
  <c r="E8063" i="1"/>
  <c r="E8057" i="1"/>
  <c r="E8053" i="1"/>
  <c r="E8042" i="1"/>
  <c r="E8041" i="1"/>
  <c r="E8040" i="1"/>
  <c r="E8030" i="1"/>
  <c r="E8029" i="1"/>
  <c r="E8007" i="1"/>
  <c r="E8006" i="1"/>
  <c r="E8008" i="1"/>
  <c r="E8005" i="1"/>
  <c r="E8004" i="1"/>
  <c r="E8000" i="1"/>
  <c r="E7999" i="1"/>
  <c r="E7984" i="1"/>
  <c r="E7982" i="1"/>
  <c r="E7983" i="1"/>
  <c r="E7981" i="1"/>
  <c r="E7975" i="1"/>
  <c r="E7974" i="1"/>
  <c r="E7976" i="1"/>
  <c r="E7972" i="1"/>
  <c r="E7973" i="1"/>
  <c r="E7971" i="1"/>
  <c r="E7970" i="1"/>
  <c r="E7962" i="1"/>
  <c r="E7961" i="1"/>
  <c r="E7963" i="1"/>
  <c r="E7960" i="1"/>
  <c r="E7959" i="1"/>
  <c r="E7952" i="1"/>
  <c r="E7944" i="1"/>
  <c r="E7943" i="1"/>
  <c r="E7947" i="1"/>
  <c r="E7942" i="1"/>
  <c r="E7932" i="1"/>
  <c r="E7933" i="1"/>
  <c r="E7935" i="1"/>
  <c r="E7934" i="1"/>
  <c r="E7937" i="1"/>
  <c r="E7936" i="1"/>
  <c r="E11153" i="1"/>
  <c r="E7938" i="1"/>
  <c r="E7925" i="1"/>
  <c r="E7926" i="1"/>
  <c r="E7929" i="1"/>
  <c r="E7927" i="1"/>
  <c r="E7928" i="1"/>
  <c r="E7924" i="1"/>
  <c r="E7930" i="1"/>
  <c r="E7931" i="1"/>
  <c r="E7921" i="1"/>
  <c r="E7919" i="1"/>
  <c r="E7920" i="1"/>
  <c r="E7922" i="1"/>
  <c r="E7923" i="1"/>
  <c r="G8088" i="1"/>
  <c r="G8087" i="1"/>
  <c r="G8080" i="1"/>
  <c r="G8081" i="1"/>
  <c r="G8082" i="1"/>
  <c r="G8069" i="1"/>
  <c r="G8070" i="1"/>
  <c r="G8075" i="1"/>
  <c r="G8065" i="1"/>
  <c r="G8066" i="1"/>
  <c r="G8064" i="1"/>
  <c r="G8058" i="1"/>
  <c r="G8059" i="1"/>
  <c r="G8063" i="1"/>
  <c r="G8057" i="1"/>
  <c r="G8053" i="1"/>
  <c r="G8042" i="1"/>
  <c r="G8041" i="1"/>
  <c r="G8040" i="1"/>
  <c r="G8030" i="1"/>
  <c r="G8029" i="1"/>
  <c r="G8007" i="1"/>
  <c r="G8006" i="1"/>
  <c r="G8008" i="1"/>
  <c r="G8005" i="1"/>
  <c r="G8004" i="1"/>
  <c r="G8000" i="1"/>
  <c r="G7999" i="1"/>
  <c r="G7984" i="1"/>
  <c r="G7982" i="1"/>
  <c r="G7983" i="1"/>
  <c r="G7981" i="1"/>
  <c r="G7975" i="1"/>
  <c r="G7974" i="1"/>
  <c r="G7976" i="1"/>
  <c r="G7972" i="1"/>
  <c r="G7973" i="1"/>
  <c r="G7971" i="1"/>
  <c r="G7970" i="1"/>
  <c r="G7962" i="1"/>
  <c r="G7961" i="1"/>
  <c r="G7963" i="1"/>
  <c r="G7960" i="1"/>
  <c r="G7959" i="1"/>
  <c r="G7952" i="1"/>
  <c r="G7944" i="1"/>
  <c r="G7943" i="1"/>
  <c r="G7947" i="1"/>
  <c r="G7942" i="1"/>
  <c r="G7932" i="1"/>
  <c r="G7933" i="1"/>
  <c r="G7935" i="1"/>
  <c r="G7934" i="1"/>
  <c r="G7937" i="1"/>
  <c r="G7936" i="1"/>
  <c r="G11153" i="1"/>
  <c r="G7938" i="1"/>
  <c r="G7925" i="1"/>
  <c r="G7926" i="1"/>
  <c r="G7929" i="1"/>
  <c r="G7927" i="1"/>
  <c r="G7928" i="1"/>
  <c r="G7924" i="1"/>
  <c r="G7930" i="1"/>
  <c r="G7921" i="1"/>
  <c r="G7919" i="1"/>
  <c r="G7920" i="1"/>
  <c r="G7922" i="1"/>
  <c r="G7923" i="1"/>
  <c r="O8088" i="1"/>
  <c r="O8087" i="1"/>
  <c r="O8080" i="1"/>
  <c r="O8081" i="1"/>
  <c r="O8082" i="1"/>
  <c r="O8069" i="1"/>
  <c r="O8070" i="1"/>
  <c r="O8075" i="1"/>
  <c r="O8065" i="1"/>
  <c r="O8066" i="1"/>
  <c r="O8064" i="1"/>
  <c r="O8058" i="1"/>
  <c r="O8059" i="1"/>
  <c r="O8063" i="1"/>
  <c r="O8057" i="1"/>
  <c r="O8053" i="1"/>
  <c r="O8042" i="1"/>
  <c r="O8041" i="1"/>
  <c r="O8040" i="1"/>
  <c r="O8030" i="1"/>
  <c r="O8029" i="1"/>
  <c r="O8007" i="1"/>
  <c r="O8006" i="1"/>
  <c r="O8008" i="1"/>
  <c r="O8005" i="1"/>
  <c r="O8004" i="1"/>
  <c r="O8000" i="1"/>
  <c r="O7999" i="1"/>
  <c r="O7984" i="1"/>
  <c r="O7982" i="1"/>
  <c r="O7983" i="1"/>
  <c r="O7981" i="1"/>
  <c r="O7975" i="1"/>
  <c r="O7974" i="1"/>
  <c r="O7976" i="1"/>
  <c r="O7972" i="1"/>
  <c r="O7973" i="1"/>
  <c r="O7971" i="1"/>
  <c r="O7970" i="1"/>
  <c r="O7962" i="1"/>
  <c r="O7961" i="1"/>
  <c r="O7963" i="1"/>
  <c r="O7960" i="1"/>
  <c r="O7959" i="1"/>
  <c r="O7952" i="1"/>
  <c r="O7944" i="1"/>
  <c r="O7943" i="1"/>
  <c r="O7947" i="1"/>
  <c r="O7942" i="1"/>
  <c r="O7932" i="1"/>
  <c r="O7933" i="1"/>
  <c r="O7935" i="1"/>
  <c r="O7934" i="1"/>
  <c r="O7937" i="1"/>
  <c r="O7936" i="1"/>
  <c r="O11153" i="1"/>
  <c r="O7938" i="1"/>
  <c r="O7925" i="1"/>
  <c r="O7926" i="1"/>
  <c r="O7929" i="1"/>
  <c r="O7927" i="1"/>
  <c r="O7928" i="1"/>
  <c r="O7924" i="1"/>
  <c r="O7930" i="1"/>
  <c r="O7931" i="1"/>
  <c r="O7921" i="1"/>
  <c r="O7919" i="1"/>
  <c r="O7920" i="1"/>
  <c r="O7922" i="1"/>
  <c r="O7923" i="1"/>
  <c r="AF116" i="18"/>
  <c r="AF97" i="18"/>
  <c r="AF126" i="18"/>
  <c r="AF98" i="18"/>
  <c r="AF99" i="18"/>
  <c r="AF100" i="18"/>
  <c r="AF101" i="18"/>
  <c r="AF102" i="18"/>
  <c r="AF103" i="18"/>
  <c r="AF104" i="18"/>
  <c r="AF105" i="18"/>
  <c r="AF106" i="18"/>
  <c r="AF107" i="18"/>
  <c r="AF108" i="18"/>
  <c r="AF109" i="18"/>
  <c r="AF110" i="18"/>
  <c r="AF111" i="18"/>
  <c r="AF112" i="18"/>
  <c r="AF113" i="18"/>
  <c r="AF114" i="18"/>
  <c r="AF115" i="18"/>
  <c r="AF117" i="18"/>
  <c r="AF118" i="18"/>
  <c r="AF119" i="18"/>
  <c r="AF120" i="18"/>
  <c r="AF121" i="18"/>
  <c r="AF122" i="18"/>
  <c r="AF123" i="18"/>
  <c r="AF124" i="18"/>
  <c r="AF125" i="18"/>
  <c r="AF127" i="18"/>
  <c r="AF128" i="18"/>
  <c r="AF129" i="18"/>
  <c r="AF130" i="18"/>
  <c r="AF131" i="18"/>
  <c r="AF132" i="18"/>
  <c r="AF133" i="18"/>
  <c r="AF134" i="18"/>
  <c r="AF135" i="18"/>
  <c r="AF136" i="18"/>
  <c r="AF137" i="18"/>
  <c r="AF138" i="18"/>
  <c r="AF139" i="18"/>
  <c r="AF140" i="18"/>
  <c r="AF141" i="18"/>
  <c r="AF142" i="18"/>
  <c r="AF143" i="18"/>
  <c r="AF144" i="18"/>
  <c r="AF145" i="18"/>
  <c r="AF146" i="18"/>
  <c r="AF147" i="18"/>
  <c r="AF148" i="18"/>
  <c r="AF149" i="18"/>
  <c r="AF150" i="18"/>
  <c r="AF151" i="18"/>
  <c r="AF152" i="18"/>
  <c r="AF153" i="18"/>
  <c r="AF154" i="18"/>
  <c r="AF155" i="18"/>
  <c r="AF156" i="18"/>
  <c r="AF157" i="18"/>
  <c r="AF158" i="18"/>
  <c r="AF159" i="18"/>
  <c r="AF160" i="18"/>
  <c r="AF161" i="18"/>
  <c r="AF162" i="18"/>
  <c r="AF163" i="18"/>
  <c r="AF164" i="18"/>
  <c r="AF165" i="18"/>
  <c r="AF166" i="18"/>
  <c r="AF167" i="18"/>
  <c r="AF168" i="18"/>
  <c r="AF169" i="18"/>
  <c r="AB85" i="18"/>
  <c r="AE98" i="18"/>
  <c r="AE99" i="18"/>
  <c r="AE100" i="18"/>
  <c r="AE101" i="18"/>
  <c r="AE102" i="18"/>
  <c r="AE103" i="18"/>
  <c r="AE104" i="18"/>
  <c r="AE105" i="18"/>
  <c r="AE106" i="18"/>
  <c r="AE107" i="18"/>
  <c r="AE108" i="18"/>
  <c r="AE109" i="18"/>
  <c r="AE110" i="18"/>
  <c r="AE111" i="18"/>
  <c r="AE112" i="18"/>
  <c r="AE113" i="18"/>
  <c r="AE114" i="18"/>
  <c r="AE115" i="18"/>
  <c r="AE116" i="18"/>
  <c r="AE117" i="18"/>
  <c r="AE118" i="18"/>
  <c r="AE119" i="18"/>
  <c r="AE120" i="18"/>
  <c r="AE121" i="18"/>
  <c r="AE122" i="18"/>
  <c r="AE123" i="18"/>
  <c r="AE124" i="18"/>
  <c r="AE125" i="18"/>
  <c r="AE126" i="18"/>
  <c r="AE127" i="18"/>
  <c r="AE128" i="18"/>
  <c r="AE129" i="18"/>
  <c r="AE130" i="18"/>
  <c r="AE131" i="18"/>
  <c r="AE132" i="18"/>
  <c r="AE133" i="18"/>
  <c r="AE134" i="18"/>
  <c r="AE135" i="18"/>
  <c r="AE136" i="18"/>
  <c r="AE137" i="18"/>
  <c r="AE138" i="18"/>
  <c r="AE139" i="18"/>
  <c r="AE140" i="18"/>
  <c r="AE141" i="18"/>
  <c r="AE142" i="18"/>
  <c r="AE143" i="18"/>
  <c r="AE144" i="18"/>
  <c r="AE145" i="18"/>
  <c r="AE146" i="18"/>
  <c r="AE147" i="18"/>
  <c r="AE148" i="18"/>
  <c r="AE149" i="18"/>
  <c r="AE150" i="18"/>
  <c r="AE151" i="18"/>
  <c r="AE152" i="18"/>
  <c r="AE153" i="18"/>
  <c r="AE154" i="18"/>
  <c r="AE155" i="18"/>
  <c r="AE156" i="18"/>
  <c r="AE157" i="18"/>
  <c r="AE158" i="18"/>
  <c r="AE159" i="18"/>
  <c r="AE160" i="18"/>
  <c r="AE161" i="18"/>
  <c r="AE162" i="18"/>
  <c r="AE163" i="18"/>
  <c r="AE164" i="18"/>
  <c r="AE165" i="18"/>
  <c r="AE166" i="18"/>
  <c r="AE167" i="18"/>
  <c r="AE168" i="18"/>
  <c r="AE169" i="18"/>
  <c r="AE97" i="18"/>
  <c r="AD126" i="18"/>
  <c r="AD127" i="18"/>
  <c r="AD128" i="18"/>
  <c r="AD129" i="18"/>
  <c r="AD130" i="18"/>
  <c r="AD131" i="18"/>
  <c r="AD132" i="18"/>
  <c r="AD133" i="18"/>
  <c r="AD134" i="18"/>
  <c r="AD135" i="18"/>
  <c r="AD136" i="18"/>
  <c r="AD137" i="18"/>
  <c r="AD138" i="18"/>
  <c r="AD139" i="18"/>
  <c r="AD140" i="18"/>
  <c r="AD141" i="18"/>
  <c r="AD142" i="18"/>
  <c r="AD143" i="18"/>
  <c r="AD144" i="18"/>
  <c r="AD145" i="18"/>
  <c r="AD146" i="18"/>
  <c r="AD147" i="18"/>
  <c r="AD148" i="18"/>
  <c r="AD149" i="18"/>
  <c r="AD150" i="18"/>
  <c r="AD151" i="18"/>
  <c r="AD152" i="18"/>
  <c r="AD153" i="18"/>
  <c r="AD154" i="18"/>
  <c r="AD155" i="18"/>
  <c r="AD156" i="18"/>
  <c r="AD157" i="18"/>
  <c r="AD158" i="18"/>
  <c r="AD159" i="18"/>
  <c r="AD160" i="18"/>
  <c r="AD161" i="18"/>
  <c r="AD162" i="18"/>
  <c r="AD163" i="18"/>
  <c r="AD164" i="18"/>
  <c r="AD165" i="18"/>
  <c r="AD166" i="18"/>
  <c r="AD167" i="18"/>
  <c r="AD168" i="18"/>
  <c r="AD169" i="18"/>
  <c r="K6" i="23"/>
  <c r="L6" i="23"/>
  <c r="L7" i="23"/>
  <c r="L8" i="23"/>
  <c r="L5" i="23"/>
  <c r="J7" i="23"/>
  <c r="G6" i="23"/>
  <c r="G8" i="23"/>
  <c r="G9" i="23"/>
  <c r="G10" i="23"/>
  <c r="G5" i="23"/>
  <c r="C7" i="23"/>
  <c r="G7" i="23"/>
  <c r="R98" i="18"/>
  <c r="S98" i="18"/>
  <c r="R99" i="18"/>
  <c r="S99" i="18"/>
  <c r="R100" i="18"/>
  <c r="S100" i="18"/>
  <c r="R101" i="18"/>
  <c r="S101" i="18"/>
  <c r="R102" i="18"/>
  <c r="S102" i="18"/>
  <c r="R103" i="18"/>
  <c r="S103" i="18"/>
  <c r="R104" i="18"/>
  <c r="S104" i="18"/>
  <c r="R105" i="18"/>
  <c r="S105" i="18"/>
  <c r="R106" i="18"/>
  <c r="S106" i="18"/>
  <c r="R107" i="18"/>
  <c r="S107" i="18"/>
  <c r="R108" i="18"/>
  <c r="S108" i="18"/>
  <c r="R109" i="18"/>
  <c r="S109" i="18"/>
  <c r="R110" i="18"/>
  <c r="S110" i="18"/>
  <c r="R111" i="18"/>
  <c r="S111" i="18"/>
  <c r="R112" i="18"/>
  <c r="S112" i="18"/>
  <c r="R113" i="18"/>
  <c r="S113" i="18"/>
  <c r="R114" i="18"/>
  <c r="S114" i="18"/>
  <c r="R115" i="18"/>
  <c r="S115" i="18"/>
  <c r="R116" i="18"/>
  <c r="S116" i="18"/>
  <c r="R117" i="18"/>
  <c r="S117" i="18"/>
  <c r="R118" i="18"/>
  <c r="S118" i="18"/>
  <c r="R119" i="18"/>
  <c r="S119" i="18"/>
  <c r="R120" i="18"/>
  <c r="S120" i="18"/>
  <c r="R121" i="18"/>
  <c r="S121" i="18"/>
  <c r="R122" i="18"/>
  <c r="S122" i="18"/>
  <c r="R123" i="18"/>
  <c r="S123" i="18"/>
  <c r="R124" i="18"/>
  <c r="S124" i="18"/>
  <c r="R125" i="18"/>
  <c r="S125" i="18"/>
  <c r="R126" i="18"/>
  <c r="S126" i="18"/>
  <c r="F60" i="29"/>
  <c r="R127" i="18"/>
  <c r="S127" i="18"/>
  <c r="R128" i="18"/>
  <c r="S128" i="18"/>
  <c r="R129" i="18"/>
  <c r="S129" i="18"/>
  <c r="R130" i="18"/>
  <c r="S130" i="18"/>
  <c r="R131" i="18"/>
  <c r="S131" i="18"/>
  <c r="R132" i="18"/>
  <c r="S132" i="18"/>
  <c r="R133" i="18"/>
  <c r="S133" i="18"/>
  <c r="R134" i="18"/>
  <c r="S134" i="18"/>
  <c r="R135" i="18"/>
  <c r="S135" i="18"/>
  <c r="R136" i="18"/>
  <c r="S136" i="18"/>
  <c r="R137" i="18"/>
  <c r="S137" i="18"/>
  <c r="R138" i="18"/>
  <c r="S138" i="18"/>
  <c r="R139" i="18"/>
  <c r="S139" i="18"/>
  <c r="R140" i="18"/>
  <c r="S140" i="18"/>
  <c r="R141" i="18"/>
  <c r="S141" i="18"/>
  <c r="R142" i="18"/>
  <c r="S142" i="18"/>
  <c r="R143" i="18"/>
  <c r="S143" i="18"/>
  <c r="R144" i="18"/>
  <c r="S144" i="18"/>
  <c r="R145" i="18"/>
  <c r="S145" i="18"/>
  <c r="R146" i="18"/>
  <c r="S146" i="18"/>
  <c r="R147" i="18"/>
  <c r="S147" i="18"/>
  <c r="R148" i="18"/>
  <c r="S148" i="18"/>
  <c r="R149" i="18"/>
  <c r="S149" i="18"/>
  <c r="R150" i="18"/>
  <c r="S150" i="18"/>
  <c r="R151" i="18"/>
  <c r="S151" i="18"/>
  <c r="R152" i="18"/>
  <c r="S152" i="18"/>
  <c r="R153" i="18"/>
  <c r="S153" i="18"/>
  <c r="R154" i="18"/>
  <c r="S154" i="18"/>
  <c r="R155" i="18"/>
  <c r="S155" i="18"/>
  <c r="R156" i="18"/>
  <c r="S156" i="18"/>
  <c r="R157" i="18"/>
  <c r="S157" i="18"/>
  <c r="R158" i="18"/>
  <c r="S158" i="18"/>
  <c r="R159" i="18"/>
  <c r="S159" i="18"/>
  <c r="R160" i="18"/>
  <c r="S160" i="18"/>
  <c r="R161" i="18"/>
  <c r="S161" i="18"/>
  <c r="R162" i="18"/>
  <c r="S162" i="18"/>
  <c r="R163" i="18"/>
  <c r="S163" i="18"/>
  <c r="R164" i="18"/>
  <c r="S164" i="18"/>
  <c r="R165" i="18"/>
  <c r="S165" i="18"/>
  <c r="R166" i="18"/>
  <c r="S166" i="18"/>
  <c r="R167" i="18"/>
  <c r="S167" i="18"/>
  <c r="R168" i="18"/>
  <c r="S168" i="18"/>
  <c r="R169" i="18"/>
  <c r="S169" i="18"/>
  <c r="R97" i="18"/>
  <c r="S97" i="18"/>
  <c r="N132" i="18"/>
  <c r="O132" i="18"/>
  <c r="N133" i="18"/>
  <c r="O133" i="18"/>
  <c r="N134" i="18"/>
  <c r="O134" i="18"/>
  <c r="N135" i="18"/>
  <c r="O135" i="18"/>
  <c r="N136" i="18"/>
  <c r="O136" i="18"/>
  <c r="N137" i="18"/>
  <c r="O137" i="18"/>
  <c r="N138" i="18"/>
  <c r="O138" i="18"/>
  <c r="N139" i="18"/>
  <c r="O139" i="18"/>
  <c r="N140" i="18"/>
  <c r="O140" i="18"/>
  <c r="N141" i="18"/>
  <c r="O141" i="18"/>
  <c r="N142" i="18"/>
  <c r="O142" i="18"/>
  <c r="N143" i="18"/>
  <c r="O143" i="18"/>
  <c r="N144" i="18"/>
  <c r="O144" i="18"/>
  <c r="N145" i="18"/>
  <c r="O145" i="18"/>
  <c r="N146" i="18"/>
  <c r="O146" i="18"/>
  <c r="N147" i="18"/>
  <c r="O147" i="18"/>
  <c r="N148" i="18"/>
  <c r="O148" i="18"/>
  <c r="N149" i="18"/>
  <c r="O149" i="18"/>
  <c r="N150" i="18"/>
  <c r="O150" i="18"/>
  <c r="N151" i="18"/>
  <c r="O151" i="18"/>
  <c r="N152" i="18"/>
  <c r="O152" i="18"/>
  <c r="N153" i="18"/>
  <c r="O153" i="18"/>
  <c r="N154" i="18"/>
  <c r="O154" i="18"/>
  <c r="N155" i="18"/>
  <c r="O155" i="18"/>
  <c r="N156" i="18"/>
  <c r="O156" i="18"/>
  <c r="N157" i="18"/>
  <c r="O157" i="18"/>
  <c r="N158" i="18"/>
  <c r="O158" i="18"/>
  <c r="N159" i="18"/>
  <c r="O159" i="18"/>
  <c r="N160" i="18"/>
  <c r="O160" i="18"/>
  <c r="N161" i="18"/>
  <c r="O161" i="18"/>
  <c r="N162" i="18"/>
  <c r="O162" i="18"/>
  <c r="N163" i="18"/>
  <c r="O163" i="18"/>
  <c r="N164" i="18"/>
  <c r="O164" i="18"/>
  <c r="N165" i="18"/>
  <c r="O165" i="18"/>
  <c r="N166" i="18"/>
  <c r="O166" i="18"/>
  <c r="N167" i="18"/>
  <c r="O167" i="18"/>
  <c r="N168" i="18"/>
  <c r="O168" i="18"/>
  <c r="N169" i="18"/>
  <c r="O169" i="18"/>
  <c r="O122" i="18"/>
  <c r="O123" i="18"/>
  <c r="O124" i="18"/>
  <c r="O125" i="18"/>
  <c r="N126" i="18"/>
  <c r="O126" i="18"/>
  <c r="N127" i="18"/>
  <c r="O127" i="18"/>
  <c r="N128" i="18"/>
  <c r="O128" i="18"/>
  <c r="N129" i="18"/>
  <c r="O129" i="18"/>
  <c r="N130" i="18"/>
  <c r="O130" i="18"/>
  <c r="N131" i="18"/>
  <c r="O131" i="18"/>
  <c r="K84" i="18"/>
  <c r="L155" i="15"/>
  <c r="L153" i="15"/>
  <c r="D109" i="21"/>
  <c r="D102" i="21"/>
  <c r="C160" i="15"/>
  <c r="I157" i="15"/>
  <c r="I154" i="15"/>
  <c r="I158" i="15"/>
  <c r="E154" i="15"/>
  <c r="E155" i="15"/>
  <c r="E156" i="15"/>
  <c r="E157" i="15"/>
  <c r="E153" i="15"/>
  <c r="O45" i="22"/>
  <c r="N45" i="22"/>
  <c r="M45" i="22"/>
  <c r="L45" i="22"/>
  <c r="K45" i="22"/>
  <c r="J45" i="22"/>
  <c r="I45" i="22"/>
  <c r="H45" i="22"/>
  <c r="G45" i="22"/>
  <c r="F45" i="22"/>
  <c r="E45" i="22"/>
  <c r="D45" i="22"/>
  <c r="P45" i="22"/>
  <c r="P33" i="22"/>
  <c r="F103" i="20"/>
  <c r="D99" i="20"/>
  <c r="F99" i="20"/>
  <c r="D102" i="20"/>
  <c r="F102" i="20"/>
  <c r="F91" i="20"/>
  <c r="Q10" i="20"/>
  <c r="Q11" i="20"/>
  <c r="Q9" i="20"/>
  <c r="E118" i="21"/>
  <c r="E117" i="21"/>
  <c r="F118" i="21"/>
  <c r="F117" i="21"/>
  <c r="F116" i="21"/>
  <c r="D113" i="21"/>
  <c r="D95" i="21"/>
  <c r="D106" i="21"/>
  <c r="D94" i="21"/>
  <c r="D105" i="21"/>
  <c r="D112" i="21"/>
  <c r="D84" i="15"/>
  <c r="D60" i="15"/>
  <c r="D22" i="14"/>
  <c r="E36" i="14"/>
  <c r="D36" i="14"/>
  <c r="AB84" i="18"/>
  <c r="D59" i="14"/>
  <c r="D73" i="21"/>
  <c r="D74" i="21"/>
  <c r="D76" i="21"/>
  <c r="D77" i="21"/>
  <c r="D78" i="21"/>
  <c r="D85" i="21"/>
  <c r="D81" i="21"/>
  <c r="F51" i="29"/>
  <c r="D82" i="21"/>
  <c r="F45" i="29"/>
  <c r="D83" i="21"/>
  <c r="D84" i="21"/>
  <c r="D86" i="21"/>
  <c r="D87" i="21"/>
  <c r="C7" i="24"/>
  <c r="I41" i="24"/>
  <c r="D89" i="21"/>
  <c r="G12" i="13"/>
  <c r="G10" i="13"/>
  <c r="O44" i="19"/>
  <c r="N44" i="19"/>
  <c r="M44" i="19"/>
  <c r="L44" i="19"/>
  <c r="K44" i="19"/>
  <c r="J44" i="19"/>
  <c r="I44" i="19"/>
  <c r="H44" i="19"/>
  <c r="G44" i="19"/>
  <c r="F44" i="19"/>
  <c r="E44" i="19"/>
  <c r="D44" i="19"/>
  <c r="P44" i="19"/>
  <c r="P32" i="19"/>
  <c r="O31" i="19"/>
  <c r="N31" i="19"/>
  <c r="M31" i="19"/>
  <c r="O22" i="19"/>
  <c r="N22" i="19"/>
  <c r="M22" i="19"/>
  <c r="O16" i="19"/>
  <c r="N16" i="19"/>
  <c r="M16" i="19"/>
  <c r="P9" i="19"/>
  <c r="D87" i="13"/>
  <c r="D72" i="13"/>
  <c r="G7916" i="1"/>
  <c r="G7917" i="1"/>
  <c r="G7918" i="1"/>
  <c r="G7914" i="1"/>
  <c r="G7915" i="1"/>
  <c r="G7906" i="1"/>
  <c r="G7912" i="1"/>
  <c r="G7913" i="1"/>
  <c r="G7907" i="1"/>
  <c r="G7909" i="1"/>
  <c r="G7910" i="1"/>
  <c r="G7911" i="1"/>
  <c r="G7908" i="1"/>
  <c r="G7903" i="1"/>
  <c r="G7902" i="1"/>
  <c r="G7905" i="1"/>
  <c r="G7904" i="1"/>
  <c r="G7899" i="1"/>
  <c r="G7898" i="1"/>
  <c r="G7900" i="1"/>
  <c r="G7901" i="1"/>
  <c r="G7892" i="1"/>
  <c r="G7895" i="1"/>
  <c r="G7893" i="1"/>
  <c r="G7894" i="1"/>
  <c r="G7896" i="1"/>
  <c r="G7897" i="1"/>
  <c r="G7891" i="1"/>
  <c r="G7889" i="1"/>
  <c r="G7890" i="1"/>
  <c r="G7886" i="1"/>
  <c r="G7887" i="1"/>
  <c r="G7888" i="1"/>
  <c r="G7885" i="1"/>
  <c r="G7884" i="1"/>
  <c r="G7879" i="1"/>
  <c r="G7878" i="1"/>
  <c r="G7881" i="1"/>
  <c r="G7880" i="1"/>
  <c r="G7883" i="1"/>
  <c r="G7877" i="1"/>
  <c r="G7882" i="1"/>
  <c r="G7874" i="1"/>
  <c r="G7875" i="1"/>
  <c r="G7876" i="1"/>
  <c r="G7865" i="1"/>
  <c r="G7869" i="1"/>
  <c r="G7872" i="1"/>
  <c r="G7866" i="1"/>
  <c r="G7867" i="1"/>
  <c r="G7873" i="1"/>
  <c r="G7871" i="1"/>
  <c r="G7868" i="1"/>
  <c r="G7870" i="1"/>
  <c r="G7863" i="1"/>
  <c r="G7852" i="1"/>
  <c r="G7853" i="1"/>
  <c r="G7857" i="1"/>
  <c r="G7851" i="1"/>
  <c r="G7850" i="1"/>
  <c r="G7858" i="1"/>
  <c r="G7855" i="1"/>
  <c r="G7854" i="1"/>
  <c r="G7859" i="1"/>
  <c r="G7856" i="1"/>
  <c r="G7860" i="1"/>
  <c r="G7864" i="1"/>
  <c r="G7861" i="1"/>
  <c r="G7862" i="1"/>
  <c r="G7846" i="1"/>
  <c r="G7847" i="1"/>
  <c r="G7849" i="1"/>
  <c r="G7848" i="1"/>
  <c r="G7845" i="1"/>
  <c r="G7844" i="1"/>
  <c r="G7843" i="1"/>
  <c r="G7840" i="1"/>
  <c r="G7839" i="1"/>
  <c r="G7842" i="1"/>
  <c r="G7838" i="1"/>
  <c r="G7841" i="1"/>
  <c r="G7832" i="1"/>
  <c r="G7835" i="1"/>
  <c r="G7831" i="1"/>
  <c r="G7833" i="1"/>
  <c r="G7837" i="1"/>
  <c r="G7836" i="1"/>
  <c r="G7834" i="1"/>
  <c r="G7829" i="1"/>
  <c r="G7830" i="1"/>
  <c r="G7828" i="1"/>
  <c r="G7823" i="1"/>
  <c r="G7825" i="1"/>
  <c r="G7826" i="1"/>
  <c r="G7827" i="1"/>
  <c r="G7822" i="1"/>
  <c r="G7824" i="1"/>
  <c r="G7817" i="1"/>
  <c r="G7816" i="1"/>
  <c r="G7821" i="1"/>
  <c r="G7819" i="1"/>
  <c r="G7818" i="1"/>
  <c r="G7815" i="1"/>
  <c r="G7820" i="1"/>
  <c r="G7813" i="1"/>
  <c r="G7814" i="1"/>
  <c r="G7812" i="1"/>
  <c r="G7811" i="1"/>
  <c r="G7809" i="1"/>
  <c r="G7810" i="1"/>
  <c r="G7807" i="1"/>
  <c r="G7808" i="1"/>
  <c r="G7804" i="1"/>
  <c r="G7806" i="1"/>
  <c r="G7805" i="1"/>
  <c r="G7803" i="1"/>
  <c r="G7802" i="1"/>
  <c r="G7800" i="1"/>
  <c r="G7798" i="1"/>
  <c r="G7799" i="1"/>
  <c r="G7801" i="1"/>
  <c r="G7797" i="1"/>
  <c r="G7796" i="1"/>
  <c r="G7795" i="1"/>
  <c r="G7794" i="1"/>
  <c r="G7788" i="1"/>
  <c r="G7790" i="1"/>
  <c r="G7792" i="1"/>
  <c r="G7793" i="1"/>
  <c r="G7791" i="1"/>
  <c r="G7789" i="1"/>
  <c r="G7787" i="1"/>
  <c r="G7784" i="1"/>
  <c r="G7785" i="1"/>
  <c r="G7786" i="1"/>
  <c r="G7779" i="1"/>
  <c r="G7778" i="1"/>
  <c r="G7782" i="1"/>
  <c r="G7780" i="1"/>
  <c r="G7781" i="1"/>
  <c r="G7783" i="1"/>
  <c r="G7769" i="1"/>
  <c r="G7773" i="1"/>
  <c r="G7767" i="1"/>
  <c r="G11478" i="1"/>
  <c r="G7772" i="1"/>
  <c r="G7771" i="1"/>
  <c r="G7765" i="1"/>
  <c r="G7770" i="1"/>
  <c r="G7776" i="1"/>
  <c r="G7766" i="1"/>
  <c r="G7768" i="1"/>
  <c r="G7764" i="1"/>
  <c r="G7774" i="1"/>
  <c r="G7775" i="1"/>
  <c r="E7916" i="1"/>
  <c r="E7917" i="1"/>
  <c r="E7918" i="1"/>
  <c r="E7914" i="1"/>
  <c r="E7915" i="1"/>
  <c r="E7906" i="1"/>
  <c r="E7912" i="1"/>
  <c r="E7913" i="1"/>
  <c r="E7907" i="1"/>
  <c r="E7909" i="1"/>
  <c r="E7910" i="1"/>
  <c r="E7911" i="1"/>
  <c r="E7908" i="1"/>
  <c r="E7903" i="1"/>
  <c r="E7902" i="1"/>
  <c r="E7905" i="1"/>
  <c r="E7904" i="1"/>
  <c r="E7899" i="1"/>
  <c r="E7898" i="1"/>
  <c r="E7900" i="1"/>
  <c r="E7901" i="1"/>
  <c r="E7892" i="1"/>
  <c r="E7895" i="1"/>
  <c r="E7893" i="1"/>
  <c r="E7894" i="1"/>
  <c r="E7896" i="1"/>
  <c r="E7897" i="1"/>
  <c r="E7891" i="1"/>
  <c r="E7889" i="1"/>
  <c r="E7890" i="1"/>
  <c r="E7886" i="1"/>
  <c r="E7887" i="1"/>
  <c r="E7888" i="1"/>
  <c r="E7885" i="1"/>
  <c r="E7884" i="1"/>
  <c r="E7879" i="1"/>
  <c r="E7878" i="1"/>
  <c r="E7881" i="1"/>
  <c r="E7880" i="1"/>
  <c r="E7883" i="1"/>
  <c r="E7877" i="1"/>
  <c r="E7882" i="1"/>
  <c r="E7874" i="1"/>
  <c r="E7875" i="1"/>
  <c r="E7876" i="1"/>
  <c r="E7865" i="1"/>
  <c r="E7869" i="1"/>
  <c r="E7872" i="1"/>
  <c r="E7866" i="1"/>
  <c r="E7867" i="1"/>
  <c r="E7873" i="1"/>
  <c r="E7871" i="1"/>
  <c r="E7868" i="1"/>
  <c r="E7870" i="1"/>
  <c r="E7863" i="1"/>
  <c r="E7852" i="1"/>
  <c r="E7853" i="1"/>
  <c r="E7857" i="1"/>
  <c r="E7851" i="1"/>
  <c r="E7850" i="1"/>
  <c r="E7858" i="1"/>
  <c r="E7855" i="1"/>
  <c r="E7854" i="1"/>
  <c r="E7859" i="1"/>
  <c r="E7856" i="1"/>
  <c r="E7860" i="1"/>
  <c r="E7864" i="1"/>
  <c r="E7861" i="1"/>
  <c r="E7862" i="1"/>
  <c r="E7846" i="1"/>
  <c r="E7847" i="1"/>
  <c r="E7849" i="1"/>
  <c r="E7848" i="1"/>
  <c r="E7845" i="1"/>
  <c r="E7844" i="1"/>
  <c r="E7843" i="1"/>
  <c r="E7840" i="1"/>
  <c r="E7839" i="1"/>
  <c r="E7842" i="1"/>
  <c r="E7838" i="1"/>
  <c r="E7841" i="1"/>
  <c r="E7832" i="1"/>
  <c r="E7835" i="1"/>
  <c r="E7831" i="1"/>
  <c r="E7833" i="1"/>
  <c r="E7837" i="1"/>
  <c r="E7836" i="1"/>
  <c r="E7834" i="1"/>
  <c r="E7829" i="1"/>
  <c r="E7830" i="1"/>
  <c r="E7828" i="1"/>
  <c r="E7823" i="1"/>
  <c r="E7825" i="1"/>
  <c r="E7826" i="1"/>
  <c r="E7827" i="1"/>
  <c r="E7822" i="1"/>
  <c r="E7824" i="1"/>
  <c r="E7817" i="1"/>
  <c r="E7816" i="1"/>
  <c r="E7821" i="1"/>
  <c r="E7819" i="1"/>
  <c r="E7818" i="1"/>
  <c r="E7815" i="1"/>
  <c r="E7820" i="1"/>
  <c r="E7813" i="1"/>
  <c r="E7814" i="1"/>
  <c r="E7812" i="1"/>
  <c r="E7811" i="1"/>
  <c r="E7809" i="1"/>
  <c r="E7810" i="1"/>
  <c r="E7807" i="1"/>
  <c r="E7808" i="1"/>
  <c r="E7804" i="1"/>
  <c r="E7806" i="1"/>
  <c r="E7805" i="1"/>
  <c r="E7803" i="1"/>
  <c r="E7802" i="1"/>
  <c r="E7800" i="1"/>
  <c r="E7798" i="1"/>
  <c r="E7799" i="1"/>
  <c r="E7801" i="1"/>
  <c r="E7797" i="1"/>
  <c r="E7796" i="1"/>
  <c r="E7795" i="1"/>
  <c r="E7794" i="1"/>
  <c r="E7788" i="1"/>
  <c r="E7790" i="1"/>
  <c r="E7792" i="1"/>
  <c r="E7793" i="1"/>
  <c r="E7791" i="1"/>
  <c r="E7789" i="1"/>
  <c r="E7787" i="1"/>
  <c r="E7784" i="1"/>
  <c r="E7785" i="1"/>
  <c r="E7786" i="1"/>
  <c r="E7779" i="1"/>
  <c r="E7778" i="1"/>
  <c r="E7782" i="1"/>
  <c r="E7780" i="1"/>
  <c r="E7781" i="1"/>
  <c r="E7783" i="1"/>
  <c r="E7769" i="1"/>
  <c r="E7773" i="1"/>
  <c r="E7767" i="1"/>
  <c r="E11478" i="1"/>
  <c r="E7772" i="1"/>
  <c r="E7771" i="1"/>
  <c r="E7765" i="1"/>
  <c r="E7770" i="1"/>
  <c r="E7776" i="1"/>
  <c r="E7766" i="1"/>
  <c r="E7768" i="1"/>
  <c r="E7764" i="1"/>
  <c r="E7774" i="1"/>
  <c r="E7775" i="1"/>
  <c r="O7916" i="1"/>
  <c r="O7917" i="1"/>
  <c r="O7918" i="1"/>
  <c r="O7914" i="1"/>
  <c r="O7915" i="1"/>
  <c r="O7906" i="1"/>
  <c r="O7912" i="1"/>
  <c r="O7913" i="1"/>
  <c r="O7907" i="1"/>
  <c r="O7909" i="1"/>
  <c r="O7910" i="1"/>
  <c r="O7911" i="1"/>
  <c r="O7908" i="1"/>
  <c r="O7903" i="1"/>
  <c r="O7902" i="1"/>
  <c r="O7905" i="1"/>
  <c r="O7904" i="1"/>
  <c r="O7899" i="1"/>
  <c r="O7898" i="1"/>
  <c r="O7900" i="1"/>
  <c r="O7901" i="1"/>
  <c r="O7892" i="1"/>
  <c r="O7895" i="1"/>
  <c r="O7893" i="1"/>
  <c r="O7894" i="1"/>
  <c r="O7896" i="1"/>
  <c r="O7897" i="1"/>
  <c r="O7891" i="1"/>
  <c r="O7889" i="1"/>
  <c r="O7890" i="1"/>
  <c r="O7886" i="1"/>
  <c r="O7887" i="1"/>
  <c r="O7888" i="1"/>
  <c r="O7885" i="1"/>
  <c r="O7884" i="1"/>
  <c r="O7879" i="1"/>
  <c r="O7878" i="1"/>
  <c r="O7881" i="1"/>
  <c r="O7880" i="1"/>
  <c r="O7883" i="1"/>
  <c r="O7877" i="1"/>
  <c r="O7882" i="1"/>
  <c r="O7874" i="1"/>
  <c r="O7875" i="1"/>
  <c r="O7876" i="1"/>
  <c r="O7865" i="1"/>
  <c r="O7869" i="1"/>
  <c r="O7872" i="1"/>
  <c r="O7866" i="1"/>
  <c r="O7867" i="1"/>
  <c r="O7873" i="1"/>
  <c r="O7871" i="1"/>
  <c r="O7868" i="1"/>
  <c r="O7870" i="1"/>
  <c r="O7863" i="1"/>
  <c r="O7852" i="1"/>
  <c r="O7853" i="1"/>
  <c r="O7857" i="1"/>
  <c r="O7851" i="1"/>
  <c r="O7850" i="1"/>
  <c r="O7858" i="1"/>
  <c r="O7855" i="1"/>
  <c r="O7854" i="1"/>
  <c r="O7859" i="1"/>
  <c r="O7856" i="1"/>
  <c r="O7860" i="1"/>
  <c r="O7864" i="1"/>
  <c r="O7861" i="1"/>
  <c r="O7862" i="1"/>
  <c r="O7846" i="1"/>
  <c r="O7847" i="1"/>
  <c r="O7849" i="1"/>
  <c r="O7848" i="1"/>
  <c r="O7845" i="1"/>
  <c r="O7844" i="1"/>
  <c r="O7843" i="1"/>
  <c r="O7840" i="1"/>
  <c r="O7839" i="1"/>
  <c r="O7842" i="1"/>
  <c r="O7838" i="1"/>
  <c r="O7841" i="1"/>
  <c r="O7832" i="1"/>
  <c r="O7835" i="1"/>
  <c r="O7831" i="1"/>
  <c r="O7833" i="1"/>
  <c r="O7837" i="1"/>
  <c r="O7836" i="1"/>
  <c r="O7834" i="1"/>
  <c r="O7829" i="1"/>
  <c r="O7830" i="1"/>
  <c r="O7828" i="1"/>
  <c r="O7823" i="1"/>
  <c r="O7825" i="1"/>
  <c r="O7826" i="1"/>
  <c r="O7827" i="1"/>
  <c r="O7822" i="1"/>
  <c r="O7824" i="1"/>
  <c r="O7817" i="1"/>
  <c r="O7816" i="1"/>
  <c r="O7821" i="1"/>
  <c r="O7819" i="1"/>
  <c r="O7818" i="1"/>
  <c r="O7815" i="1"/>
  <c r="O7820" i="1"/>
  <c r="O7813" i="1"/>
  <c r="O7814" i="1"/>
  <c r="O7812" i="1"/>
  <c r="O7811" i="1"/>
  <c r="O7809" i="1"/>
  <c r="O7810" i="1"/>
  <c r="O7807" i="1"/>
  <c r="O7808" i="1"/>
  <c r="O7804" i="1"/>
  <c r="O7806" i="1"/>
  <c r="O7805" i="1"/>
  <c r="O7803" i="1"/>
  <c r="O7802" i="1"/>
  <c r="O7800" i="1"/>
  <c r="O7798" i="1"/>
  <c r="O7799" i="1"/>
  <c r="O7801" i="1"/>
  <c r="O7797" i="1"/>
  <c r="O7796" i="1"/>
  <c r="O7795" i="1"/>
  <c r="O7794" i="1"/>
  <c r="O7788" i="1"/>
  <c r="O7790" i="1"/>
  <c r="O7792" i="1"/>
  <c r="O7793" i="1"/>
  <c r="O7791" i="1"/>
  <c r="O7789" i="1"/>
  <c r="O7787" i="1"/>
  <c r="O7784" i="1"/>
  <c r="O7785" i="1"/>
  <c r="O7786" i="1"/>
  <c r="O7779" i="1"/>
  <c r="O7778" i="1"/>
  <c r="O7782" i="1"/>
  <c r="O7780" i="1"/>
  <c r="O7781" i="1"/>
  <c r="O7783" i="1"/>
  <c r="O7769" i="1"/>
  <c r="O7773" i="1"/>
  <c r="O7767" i="1"/>
  <c r="O11478" i="1"/>
  <c r="O7772" i="1"/>
  <c r="O7771" i="1"/>
  <c r="O7765" i="1"/>
  <c r="O7770" i="1"/>
  <c r="O7776" i="1"/>
  <c r="O7766" i="1"/>
  <c r="O7768" i="1"/>
  <c r="O7764" i="1"/>
  <c r="O7774" i="1"/>
  <c r="O7775" i="1"/>
  <c r="E7575" i="1"/>
  <c r="D95" i="13"/>
  <c r="D94" i="13"/>
  <c r="B19" i="18"/>
  <c r="B18" i="18"/>
  <c r="D71" i="13"/>
  <c r="D86" i="13"/>
  <c r="E17" i="14"/>
  <c r="D79" i="14"/>
  <c r="D117" i="15"/>
  <c r="C119" i="15"/>
  <c r="C120" i="15"/>
  <c r="C111" i="15"/>
  <c r="C112" i="15"/>
  <c r="C113" i="15"/>
  <c r="C122" i="15"/>
  <c r="C89" i="15"/>
  <c r="O44" i="17"/>
  <c r="N44" i="17"/>
  <c r="M44" i="17"/>
  <c r="L44" i="17"/>
  <c r="K44" i="17"/>
  <c r="J44" i="17"/>
  <c r="I44" i="17"/>
  <c r="H44" i="17"/>
  <c r="G44" i="17"/>
  <c r="F44" i="17"/>
  <c r="E44" i="17"/>
  <c r="D44" i="17"/>
  <c r="P44" i="17"/>
  <c r="P32" i="17"/>
  <c r="O31" i="17"/>
  <c r="N31" i="17"/>
  <c r="M31" i="17"/>
  <c r="L31" i="17"/>
  <c r="O22" i="17"/>
  <c r="N22" i="17"/>
  <c r="M22" i="17"/>
  <c r="L22" i="17"/>
  <c r="O16" i="17"/>
  <c r="N16" i="17"/>
  <c r="M16" i="17"/>
  <c r="L16" i="17"/>
  <c r="P9" i="17"/>
  <c r="E7758" i="1"/>
  <c r="E7756" i="1"/>
  <c r="E7757" i="1"/>
  <c r="E7753" i="1"/>
  <c r="E7752" i="1"/>
  <c r="E7751" i="1"/>
  <c r="E7759" i="1"/>
  <c r="E7761" i="1"/>
  <c r="E7762" i="1"/>
  <c r="E7755" i="1"/>
  <c r="E7760" i="1"/>
  <c r="E7763" i="1"/>
  <c r="E7754" i="1"/>
  <c r="E7749" i="1"/>
  <c r="E7742" i="1"/>
  <c r="E7747" i="1"/>
  <c r="E7748" i="1"/>
  <c r="E7746" i="1"/>
  <c r="E7744" i="1"/>
  <c r="E7743" i="1"/>
  <c r="E7745" i="1"/>
  <c r="E7741" i="1"/>
  <c r="E7739" i="1"/>
  <c r="E7733" i="1"/>
  <c r="E7737" i="1"/>
  <c r="E7736" i="1"/>
  <c r="E7740" i="1"/>
  <c r="E7738" i="1"/>
  <c r="E7734" i="1"/>
  <c r="E7735" i="1"/>
  <c r="E7732" i="1"/>
  <c r="E7729" i="1"/>
  <c r="E7730" i="1"/>
  <c r="E7731" i="1"/>
  <c r="E7728" i="1"/>
  <c r="E7727" i="1"/>
  <c r="E7726" i="1"/>
  <c r="E7723" i="1"/>
  <c r="E7724" i="1"/>
  <c r="E7722" i="1"/>
  <c r="E7725" i="1"/>
  <c r="E7720" i="1"/>
  <c r="E7721" i="1"/>
  <c r="E7717" i="1"/>
  <c r="E7719" i="1"/>
  <c r="E7718" i="1"/>
  <c r="E7716" i="1"/>
  <c r="E7715" i="1"/>
  <c r="E7710" i="1"/>
  <c r="E7712" i="1"/>
  <c r="E7711" i="1"/>
  <c r="E7713" i="1"/>
  <c r="E7714" i="1"/>
  <c r="E7707" i="1"/>
  <c r="E7709" i="1"/>
  <c r="E7708" i="1"/>
  <c r="E7706" i="1"/>
  <c r="E7705" i="1"/>
  <c r="E7701" i="1"/>
  <c r="E7703" i="1"/>
  <c r="E7704" i="1"/>
  <c r="E7702" i="1"/>
  <c r="E7695" i="1"/>
  <c r="E7698" i="1"/>
  <c r="E7696" i="1"/>
  <c r="E7697" i="1"/>
  <c r="E7694" i="1"/>
  <c r="E7700" i="1"/>
  <c r="E7699" i="1"/>
  <c r="E7693" i="1"/>
  <c r="E7690" i="1"/>
  <c r="E7692" i="1"/>
  <c r="E7688" i="1"/>
  <c r="E7689" i="1"/>
  <c r="E7687" i="1"/>
  <c r="E7691" i="1"/>
  <c r="E7686" i="1"/>
  <c r="E7685" i="1"/>
  <c r="E7683" i="1"/>
  <c r="E7682" i="1"/>
  <c r="E7684" i="1"/>
  <c r="E7681" i="1"/>
  <c r="E7680" i="1"/>
  <c r="E7679" i="1"/>
  <c r="E7678" i="1"/>
  <c r="E7677" i="1"/>
  <c r="E7674" i="1"/>
  <c r="E7676" i="1"/>
  <c r="E7675" i="1"/>
  <c r="E7672" i="1"/>
  <c r="E7673" i="1"/>
  <c r="E7671" i="1"/>
  <c r="E7668" i="1"/>
  <c r="E7666" i="1"/>
  <c r="E7669" i="1"/>
  <c r="E7670" i="1"/>
  <c r="E7667" i="1"/>
  <c r="E7665" i="1"/>
  <c r="E7664" i="1"/>
  <c r="E7659" i="1"/>
  <c r="E7663" i="1"/>
  <c r="E7662" i="1"/>
  <c r="E7660" i="1"/>
  <c r="E7661" i="1"/>
  <c r="E7642" i="1"/>
  <c r="E7641" i="1"/>
  <c r="E7640" i="1"/>
  <c r="E7645" i="1"/>
  <c r="E7643" i="1"/>
  <c r="E7648" i="1"/>
  <c r="E7657" i="1"/>
  <c r="E7644" i="1"/>
  <c r="E7655" i="1"/>
  <c r="E7651" i="1"/>
  <c r="E7638" i="1"/>
  <c r="E7639" i="1"/>
  <c r="E7646" i="1"/>
  <c r="E7652" i="1"/>
  <c r="E7653" i="1"/>
  <c r="E7650" i="1"/>
  <c r="E7658" i="1"/>
  <c r="E7647" i="1"/>
  <c r="E7654" i="1"/>
  <c r="E7649" i="1"/>
  <c r="E7656" i="1"/>
  <c r="E7637" i="1"/>
  <c r="E7634" i="1"/>
  <c r="E7636" i="1"/>
  <c r="E7633" i="1"/>
  <c r="E7635" i="1"/>
  <c r="E7631" i="1"/>
  <c r="E7632" i="1"/>
  <c r="E7630" i="1"/>
  <c r="E7627" i="1"/>
  <c r="E7629" i="1"/>
  <c r="E7628" i="1"/>
  <c r="E7625" i="1"/>
  <c r="E7626" i="1"/>
  <c r="E7623" i="1"/>
  <c r="E7622" i="1"/>
  <c r="E7624" i="1"/>
  <c r="E7620" i="1"/>
  <c r="E7619" i="1"/>
  <c r="E7617" i="1"/>
  <c r="E7618" i="1"/>
  <c r="E7621" i="1"/>
  <c r="E7615" i="1"/>
  <c r="E7616" i="1"/>
  <c r="E7611" i="1"/>
  <c r="E7613" i="1"/>
  <c r="E7610" i="1"/>
  <c r="E7612" i="1"/>
  <c r="E7614" i="1"/>
  <c r="E7608" i="1"/>
  <c r="E7605" i="1"/>
  <c r="E7607" i="1"/>
  <c r="E7606" i="1"/>
  <c r="E7604" i="1"/>
  <c r="E7609" i="1"/>
  <c r="E7603" i="1"/>
  <c r="E7599" i="1"/>
  <c r="E7601" i="1"/>
  <c r="E7602" i="1"/>
  <c r="E7598" i="1"/>
  <c r="E7597" i="1"/>
  <c r="E7600" i="1"/>
  <c r="E7591" i="1"/>
  <c r="E7596" i="1"/>
  <c r="E7587" i="1"/>
  <c r="E7592" i="1"/>
  <c r="E7593" i="1"/>
  <c r="E7594" i="1"/>
  <c r="E7588" i="1"/>
  <c r="E7589" i="1"/>
  <c r="E7595" i="1"/>
  <c r="E7586" i="1"/>
  <c r="E7590" i="1"/>
  <c r="E7585" i="1"/>
  <c r="E7583" i="1"/>
  <c r="E7584" i="1"/>
  <c r="E7582" i="1"/>
  <c r="E7581" i="1"/>
  <c r="E7580" i="1"/>
  <c r="E7578" i="1"/>
  <c r="E7579" i="1"/>
  <c r="E11705" i="1"/>
  <c r="E7569" i="1"/>
  <c r="E7571" i="1"/>
  <c r="E7572" i="1"/>
  <c r="E7570" i="1"/>
  <c r="E7573" i="1"/>
  <c r="E7574" i="1"/>
  <c r="E7565" i="1"/>
  <c r="E7567" i="1"/>
  <c r="E7568" i="1"/>
  <c r="E7566" i="1"/>
  <c r="E7563" i="1"/>
  <c r="E7576" i="1"/>
  <c r="E7750" i="1"/>
  <c r="G7750" i="1"/>
  <c r="G7758" i="1"/>
  <c r="G7756" i="1"/>
  <c r="G7757" i="1"/>
  <c r="G7753" i="1"/>
  <c r="G7752" i="1"/>
  <c r="G7751" i="1"/>
  <c r="G7759" i="1"/>
  <c r="G7761" i="1"/>
  <c r="G7762" i="1"/>
  <c r="G7755" i="1"/>
  <c r="G7760" i="1"/>
  <c r="G7763" i="1"/>
  <c r="G7754" i="1"/>
  <c r="G7749" i="1"/>
  <c r="G7742" i="1"/>
  <c r="G7747" i="1"/>
  <c r="G7748" i="1"/>
  <c r="G7746" i="1"/>
  <c r="G7744" i="1"/>
  <c r="G7743" i="1"/>
  <c r="G7745" i="1"/>
  <c r="G7741" i="1"/>
  <c r="G7739" i="1"/>
  <c r="G7733" i="1"/>
  <c r="G7737" i="1"/>
  <c r="G7736" i="1"/>
  <c r="G7740" i="1"/>
  <c r="G7738" i="1"/>
  <c r="G7734" i="1"/>
  <c r="G7735" i="1"/>
  <c r="G7732" i="1"/>
  <c r="G7729" i="1"/>
  <c r="G7730" i="1"/>
  <c r="G7731" i="1"/>
  <c r="G7728" i="1"/>
  <c r="G7727" i="1"/>
  <c r="G7726" i="1"/>
  <c r="G7723" i="1"/>
  <c r="G7724" i="1"/>
  <c r="G7722" i="1"/>
  <c r="G7725" i="1"/>
  <c r="G7720" i="1"/>
  <c r="G7721" i="1"/>
  <c r="G7717" i="1"/>
  <c r="G7719" i="1"/>
  <c r="G7718" i="1"/>
  <c r="G7716" i="1"/>
  <c r="G7715" i="1"/>
  <c r="G7710" i="1"/>
  <c r="G7712" i="1"/>
  <c r="G7711" i="1"/>
  <c r="G7713" i="1"/>
  <c r="G7714" i="1"/>
  <c r="G7707" i="1"/>
  <c r="G7709" i="1"/>
  <c r="G7708" i="1"/>
  <c r="G7706" i="1"/>
  <c r="G7705" i="1"/>
  <c r="G7701" i="1"/>
  <c r="G7703" i="1"/>
  <c r="G7704" i="1"/>
  <c r="G7702" i="1"/>
  <c r="G7695" i="1"/>
  <c r="G7698" i="1"/>
  <c r="G7696" i="1"/>
  <c r="G7697" i="1"/>
  <c r="G7694" i="1"/>
  <c r="G7700" i="1"/>
  <c r="G7699" i="1"/>
  <c r="G7693" i="1"/>
  <c r="G7690" i="1"/>
  <c r="G7692" i="1"/>
  <c r="G7688" i="1"/>
  <c r="G7689" i="1"/>
  <c r="G7687" i="1"/>
  <c r="G7691" i="1"/>
  <c r="G7686" i="1"/>
  <c r="G7685" i="1"/>
  <c r="G7683" i="1"/>
  <c r="G7682" i="1"/>
  <c r="G7684" i="1"/>
  <c r="G7681" i="1"/>
  <c r="G7680" i="1"/>
  <c r="G7679" i="1"/>
  <c r="G7678" i="1"/>
  <c r="G7677" i="1"/>
  <c r="G7674" i="1"/>
  <c r="G7676" i="1"/>
  <c r="G7675" i="1"/>
  <c r="G7672" i="1"/>
  <c r="G7673" i="1"/>
  <c r="G7671" i="1"/>
  <c r="G7668" i="1"/>
  <c r="G7666" i="1"/>
  <c r="G7669" i="1"/>
  <c r="G7670" i="1"/>
  <c r="G7667" i="1"/>
  <c r="G7665" i="1"/>
  <c r="G7664" i="1"/>
  <c r="G7659" i="1"/>
  <c r="G7663" i="1"/>
  <c r="G7662" i="1"/>
  <c r="G7660" i="1"/>
  <c r="G7661" i="1"/>
  <c r="G7642" i="1"/>
  <c r="G7641" i="1"/>
  <c r="G7640" i="1"/>
  <c r="G7645" i="1"/>
  <c r="G7643" i="1"/>
  <c r="G7648" i="1"/>
  <c r="G7657" i="1"/>
  <c r="G7644" i="1"/>
  <c r="G7655" i="1"/>
  <c r="G7651" i="1"/>
  <c r="G7638" i="1"/>
  <c r="G7639" i="1"/>
  <c r="G7646" i="1"/>
  <c r="G7652" i="1"/>
  <c r="G7653" i="1"/>
  <c r="G7650" i="1"/>
  <c r="G7658" i="1"/>
  <c r="G7647" i="1"/>
  <c r="G7654" i="1"/>
  <c r="G7649" i="1"/>
  <c r="G7656" i="1"/>
  <c r="G7637" i="1"/>
  <c r="G7634" i="1"/>
  <c r="G7636" i="1"/>
  <c r="G7633" i="1"/>
  <c r="G7635" i="1"/>
  <c r="G7631" i="1"/>
  <c r="G7632" i="1"/>
  <c r="G7630" i="1"/>
  <c r="G7627" i="1"/>
  <c r="G7629" i="1"/>
  <c r="G7628" i="1"/>
  <c r="G7625" i="1"/>
  <c r="G7626" i="1"/>
  <c r="G7623" i="1"/>
  <c r="G7622" i="1"/>
  <c r="G7624" i="1"/>
  <c r="G7620" i="1"/>
  <c r="G7619" i="1"/>
  <c r="G7617" i="1"/>
  <c r="G7618" i="1"/>
  <c r="G7621" i="1"/>
  <c r="G7615" i="1"/>
  <c r="G7616" i="1"/>
  <c r="G7611" i="1"/>
  <c r="G7613" i="1"/>
  <c r="G7610" i="1"/>
  <c r="G7612" i="1"/>
  <c r="G7614" i="1"/>
  <c r="G7608" i="1"/>
  <c r="G7605" i="1"/>
  <c r="G7607" i="1"/>
  <c r="G7606" i="1"/>
  <c r="G7604" i="1"/>
  <c r="G7609" i="1"/>
  <c r="G7603" i="1"/>
  <c r="G7599" i="1"/>
  <c r="G7601" i="1"/>
  <c r="G7602" i="1"/>
  <c r="G7598" i="1"/>
  <c r="G7597" i="1"/>
  <c r="G7600" i="1"/>
  <c r="G7591" i="1"/>
  <c r="G7596" i="1"/>
  <c r="G7587" i="1"/>
  <c r="G7592" i="1"/>
  <c r="G7593" i="1"/>
  <c r="G7594" i="1"/>
  <c r="G7588" i="1"/>
  <c r="G7589" i="1"/>
  <c r="G7595" i="1"/>
  <c r="G7586" i="1"/>
  <c r="G7590" i="1"/>
  <c r="G7585" i="1"/>
  <c r="G7583" i="1"/>
  <c r="G7584" i="1"/>
  <c r="G7582" i="1"/>
  <c r="G7581" i="1"/>
  <c r="G7580" i="1"/>
  <c r="G7578" i="1"/>
  <c r="G7579" i="1"/>
  <c r="G11705" i="1"/>
  <c r="G7569" i="1"/>
  <c r="G7571" i="1"/>
  <c r="G7572" i="1"/>
  <c r="G7570" i="1"/>
  <c r="G7573" i="1"/>
  <c r="G7574" i="1"/>
  <c r="G7565" i="1"/>
  <c r="G7567" i="1"/>
  <c r="G7568" i="1"/>
  <c r="G7566" i="1"/>
  <c r="G7563" i="1"/>
  <c r="G7576" i="1"/>
  <c r="G7575" i="1"/>
  <c r="O7750" i="1"/>
  <c r="O7758" i="1"/>
  <c r="O7756" i="1"/>
  <c r="O7757" i="1"/>
  <c r="O7753" i="1"/>
  <c r="O7752" i="1"/>
  <c r="O7751" i="1"/>
  <c r="O7759" i="1"/>
  <c r="O7761" i="1"/>
  <c r="O7762" i="1"/>
  <c r="O7755" i="1"/>
  <c r="O7760" i="1"/>
  <c r="O7763" i="1"/>
  <c r="O7754" i="1"/>
  <c r="O7749" i="1"/>
  <c r="O7742" i="1"/>
  <c r="O7747" i="1"/>
  <c r="O7748" i="1"/>
  <c r="O7746" i="1"/>
  <c r="O7744" i="1"/>
  <c r="O7743" i="1"/>
  <c r="O7745" i="1"/>
  <c r="O7741" i="1"/>
  <c r="O7739" i="1"/>
  <c r="O7733" i="1"/>
  <c r="O7737" i="1"/>
  <c r="O7736" i="1"/>
  <c r="O7740" i="1"/>
  <c r="O7738" i="1"/>
  <c r="O7734" i="1"/>
  <c r="O7735" i="1"/>
  <c r="O7732" i="1"/>
  <c r="O7729" i="1"/>
  <c r="O7730" i="1"/>
  <c r="O7731" i="1"/>
  <c r="O7728" i="1"/>
  <c r="O7727" i="1"/>
  <c r="O7726" i="1"/>
  <c r="O7723" i="1"/>
  <c r="O7724" i="1"/>
  <c r="O7722" i="1"/>
  <c r="O7725" i="1"/>
  <c r="O7720" i="1"/>
  <c r="O7721" i="1"/>
  <c r="O7717" i="1"/>
  <c r="O7719" i="1"/>
  <c r="O7718" i="1"/>
  <c r="O7716" i="1"/>
  <c r="O7715" i="1"/>
  <c r="O7710" i="1"/>
  <c r="O7712" i="1"/>
  <c r="O7711" i="1"/>
  <c r="O7713" i="1"/>
  <c r="O7714" i="1"/>
  <c r="O7707" i="1"/>
  <c r="O7709" i="1"/>
  <c r="O7708" i="1"/>
  <c r="O7706" i="1"/>
  <c r="O7705" i="1"/>
  <c r="O7701" i="1"/>
  <c r="O7703" i="1"/>
  <c r="O7704" i="1"/>
  <c r="O7702" i="1"/>
  <c r="O7695" i="1"/>
  <c r="O7698" i="1"/>
  <c r="O7696" i="1"/>
  <c r="O7697" i="1"/>
  <c r="O7694" i="1"/>
  <c r="O7700" i="1"/>
  <c r="O7699" i="1"/>
  <c r="O7693" i="1"/>
  <c r="O7690" i="1"/>
  <c r="O7692" i="1"/>
  <c r="O7688" i="1"/>
  <c r="O7689" i="1"/>
  <c r="O7687" i="1"/>
  <c r="O7691" i="1"/>
  <c r="O7686" i="1"/>
  <c r="O7685" i="1"/>
  <c r="O7683" i="1"/>
  <c r="O7682" i="1"/>
  <c r="O7684" i="1"/>
  <c r="O7681" i="1"/>
  <c r="O7680" i="1"/>
  <c r="O7679" i="1"/>
  <c r="O7678" i="1"/>
  <c r="O7677" i="1"/>
  <c r="O7674" i="1"/>
  <c r="O7676" i="1"/>
  <c r="O7675" i="1"/>
  <c r="O7672" i="1"/>
  <c r="O7673" i="1"/>
  <c r="O7671" i="1"/>
  <c r="O7668" i="1"/>
  <c r="O7666" i="1"/>
  <c r="O7669" i="1"/>
  <c r="O7670" i="1"/>
  <c r="O7667" i="1"/>
  <c r="O7665" i="1"/>
  <c r="O7664" i="1"/>
  <c r="O7659" i="1"/>
  <c r="O7663" i="1"/>
  <c r="O7662" i="1"/>
  <c r="O7660" i="1"/>
  <c r="O7661" i="1"/>
  <c r="O7642" i="1"/>
  <c r="O7641" i="1"/>
  <c r="O7640" i="1"/>
  <c r="O7645" i="1"/>
  <c r="O7643" i="1"/>
  <c r="O7648" i="1"/>
  <c r="O7657" i="1"/>
  <c r="O7644" i="1"/>
  <c r="O7655" i="1"/>
  <c r="O7651" i="1"/>
  <c r="O7638" i="1"/>
  <c r="O7639" i="1"/>
  <c r="O7646" i="1"/>
  <c r="O7652" i="1"/>
  <c r="O7653" i="1"/>
  <c r="O7650" i="1"/>
  <c r="O7658" i="1"/>
  <c r="O7647" i="1"/>
  <c r="O7654" i="1"/>
  <c r="O7649" i="1"/>
  <c r="O7656" i="1"/>
  <c r="O7637" i="1"/>
  <c r="O7634" i="1"/>
  <c r="O7636" i="1"/>
  <c r="O7633" i="1"/>
  <c r="O7635" i="1"/>
  <c r="O7631" i="1"/>
  <c r="O7632" i="1"/>
  <c r="O7630" i="1"/>
  <c r="O7627" i="1"/>
  <c r="O7629" i="1"/>
  <c r="O7628" i="1"/>
  <c r="O7625" i="1"/>
  <c r="O7626" i="1"/>
  <c r="O7623" i="1"/>
  <c r="O7622" i="1"/>
  <c r="O7624" i="1"/>
  <c r="O7620" i="1"/>
  <c r="O7619" i="1"/>
  <c r="O7617" i="1"/>
  <c r="O7618" i="1"/>
  <c r="O7621" i="1"/>
  <c r="O7615" i="1"/>
  <c r="O7616" i="1"/>
  <c r="O7611" i="1"/>
  <c r="O7613" i="1"/>
  <c r="O7610" i="1"/>
  <c r="O7612" i="1"/>
  <c r="O7614" i="1"/>
  <c r="O7608" i="1"/>
  <c r="O7605" i="1"/>
  <c r="O7607" i="1"/>
  <c r="O7606" i="1"/>
  <c r="O7604" i="1"/>
  <c r="O7609" i="1"/>
  <c r="O7603" i="1"/>
  <c r="O7599" i="1"/>
  <c r="O7601" i="1"/>
  <c r="O7602" i="1"/>
  <c r="O7598" i="1"/>
  <c r="O7597" i="1"/>
  <c r="O7600" i="1"/>
  <c r="O7591" i="1"/>
  <c r="O7596" i="1"/>
  <c r="O7587" i="1"/>
  <c r="O7592" i="1"/>
  <c r="O7593" i="1"/>
  <c r="O7594" i="1"/>
  <c r="O7588" i="1"/>
  <c r="O7589" i="1"/>
  <c r="O7595" i="1"/>
  <c r="O7586" i="1"/>
  <c r="O7590" i="1"/>
  <c r="O7585" i="1"/>
  <c r="O7583" i="1"/>
  <c r="O7584" i="1"/>
  <c r="O7582" i="1"/>
  <c r="O7581" i="1"/>
  <c r="O7580" i="1"/>
  <c r="O7578" i="1"/>
  <c r="O7579" i="1"/>
  <c r="O11705" i="1"/>
  <c r="O7569" i="1"/>
  <c r="O7571" i="1"/>
  <c r="O7572" i="1"/>
  <c r="O7570" i="1"/>
  <c r="O7573" i="1"/>
  <c r="O7574" i="1"/>
  <c r="O7565" i="1"/>
  <c r="O7567" i="1"/>
  <c r="O7568" i="1"/>
  <c r="O7566" i="1"/>
  <c r="O7563" i="1"/>
  <c r="O7576" i="1"/>
  <c r="O7575" i="1"/>
  <c r="G7564" i="1"/>
  <c r="E7564" i="1"/>
  <c r="O7564" i="1"/>
  <c r="W17" i="10"/>
  <c r="W46" i="10"/>
  <c r="E37" i="14"/>
  <c r="P9" i="12"/>
  <c r="P17" i="12"/>
  <c r="P34" i="12"/>
  <c r="O3" i="1"/>
  <c r="O4" i="1"/>
  <c r="O5" i="1"/>
  <c r="O6" i="1"/>
  <c r="O8" i="1"/>
  <c r="O10" i="1"/>
  <c r="O12" i="1"/>
  <c r="O13" i="1"/>
  <c r="O14" i="1"/>
  <c r="O16" i="1"/>
  <c r="O19" i="1"/>
  <c r="O20" i="1"/>
  <c r="O22" i="1"/>
  <c r="O23" i="1"/>
  <c r="O24" i="1"/>
  <c r="O25" i="1"/>
  <c r="O26" i="1"/>
  <c r="O18" i="1"/>
  <c r="O28" i="1"/>
  <c r="O30" i="1"/>
  <c r="O32" i="1"/>
  <c r="O33" i="1"/>
  <c r="O27" i="1"/>
  <c r="O35" i="1"/>
  <c r="O37" i="1"/>
  <c r="O38" i="1"/>
  <c r="O39" i="1"/>
  <c r="O41" i="1"/>
  <c r="O43" i="1"/>
  <c r="O45" i="1"/>
  <c r="O46" i="1"/>
  <c r="O48" i="1"/>
  <c r="O49" i="1"/>
  <c r="O50" i="1"/>
  <c r="O51" i="1"/>
  <c r="O52" i="1"/>
  <c r="O54" i="1"/>
  <c r="O56" i="1"/>
  <c r="O58" i="1"/>
  <c r="O60" i="1"/>
  <c r="O62" i="1"/>
  <c r="O63" i="1"/>
  <c r="O64" i="1"/>
  <c r="O65" i="1"/>
  <c r="O67" i="1"/>
  <c r="O68" i="1"/>
  <c r="O69" i="1"/>
  <c r="O71" i="1"/>
  <c r="O73" i="1"/>
  <c r="O75" i="1"/>
  <c r="O76" i="1"/>
  <c r="O78" i="1"/>
  <c r="O80" i="1"/>
  <c r="O81" i="1"/>
  <c r="O82" i="1"/>
  <c r="O83" i="1"/>
  <c r="O84" i="1"/>
  <c r="O85" i="1"/>
  <c r="O87" i="1"/>
  <c r="O89" i="1"/>
  <c r="O90" i="1"/>
  <c r="O91" i="1"/>
  <c r="O92" i="1"/>
  <c r="O94" i="1"/>
  <c r="O95" i="1"/>
  <c r="O96" i="1"/>
  <c r="O98" i="1"/>
  <c r="O99" i="1"/>
  <c r="O100" i="1"/>
  <c r="O104" i="1"/>
  <c r="O106" i="1"/>
  <c r="O107" i="1"/>
  <c r="O108" i="1"/>
  <c r="O109" i="1"/>
  <c r="O102" i="1"/>
  <c r="O110" i="1"/>
  <c r="O114" i="1"/>
  <c r="O115" i="1"/>
  <c r="O116" i="1"/>
  <c r="O117" i="1"/>
  <c r="O119" i="1"/>
  <c r="O120" i="1"/>
  <c r="O121" i="1"/>
  <c r="O122" i="1"/>
  <c r="O112" i="1"/>
  <c r="O123" i="1"/>
  <c r="O124" i="1"/>
  <c r="O125" i="1"/>
  <c r="O126" i="1"/>
  <c r="O127" i="1"/>
  <c r="O129" i="1"/>
  <c r="O130" i="1"/>
  <c r="O131" i="1"/>
  <c r="O128" i="1"/>
  <c r="O132" i="1"/>
  <c r="O134" i="1"/>
  <c r="O135" i="1"/>
  <c r="O137" i="1"/>
  <c r="O139" i="1"/>
  <c r="O140" i="1"/>
  <c r="O141" i="1"/>
  <c r="O142" i="1"/>
  <c r="O143" i="1"/>
  <c r="O145" i="1"/>
  <c r="O146" i="1"/>
  <c r="O147" i="1"/>
  <c r="O148" i="1"/>
  <c r="O150" i="1"/>
  <c r="O152" i="1"/>
  <c r="O154" i="1"/>
  <c r="O155" i="1"/>
  <c r="O157" i="1"/>
  <c r="O159" i="1"/>
  <c r="O160" i="1"/>
  <c r="O162" i="1"/>
  <c r="O164" i="1"/>
  <c r="O165" i="1"/>
  <c r="O167" i="1"/>
  <c r="O169" i="1"/>
  <c r="O171" i="1"/>
  <c r="O173" i="1"/>
  <c r="O175" i="1"/>
  <c r="O182" i="1"/>
  <c r="O183" i="1"/>
  <c r="O184" i="1"/>
  <c r="O177" i="1"/>
  <c r="O179" i="1"/>
  <c r="O185" i="1"/>
  <c r="O186" i="1"/>
  <c r="O187" i="1"/>
  <c r="O190" i="1"/>
  <c r="O191" i="1"/>
  <c r="O189" i="1"/>
  <c r="O193" i="1"/>
  <c r="O194" i="1"/>
  <c r="O195" i="1"/>
  <c r="O197" i="1"/>
  <c r="O198" i="1"/>
  <c r="O200" i="1"/>
  <c r="O201" i="1"/>
  <c r="O202" i="1"/>
  <c r="O199" i="1"/>
  <c r="O203" i="1"/>
  <c r="O204" i="1"/>
  <c r="O205" i="1"/>
  <c r="O206" i="1"/>
  <c r="O208" i="1"/>
  <c r="O209" i="1"/>
  <c r="O211" i="1"/>
  <c r="O212" i="1"/>
  <c r="O213" i="1"/>
  <c r="O215" i="1"/>
  <c r="O216" i="1"/>
  <c r="O217" i="1"/>
  <c r="O219" i="1"/>
  <c r="O220" i="1"/>
  <c r="O222" i="1"/>
  <c r="O223" i="1"/>
  <c r="O224" i="1"/>
  <c r="O225" i="1"/>
  <c r="O227" i="1"/>
  <c r="O229" i="1"/>
  <c r="O230" i="1"/>
  <c r="O231" i="1"/>
  <c r="O232" i="1"/>
  <c r="O235" i="1"/>
  <c r="O236" i="1"/>
  <c r="O237" i="1"/>
  <c r="O238" i="1"/>
  <c r="O240" i="1"/>
  <c r="O241" i="1"/>
  <c r="O243" i="1"/>
  <c r="O245" i="1"/>
  <c r="O247" i="1"/>
  <c r="O248" i="1"/>
  <c r="O249" i="1"/>
  <c r="O250" i="1"/>
  <c r="O251" i="1"/>
  <c r="O252" i="1"/>
  <c r="O253" i="1"/>
  <c r="O254" i="1"/>
  <c r="O255" i="1"/>
  <c r="O256" i="1"/>
  <c r="O257" i="1"/>
  <c r="O260" i="1"/>
  <c r="O261" i="1"/>
  <c r="O262" i="1"/>
  <c r="O263" i="1"/>
  <c r="O264" i="1"/>
  <c r="O259" i="1"/>
  <c r="O266" i="1"/>
  <c r="O267" i="1"/>
  <c r="O268" i="1"/>
  <c r="O265" i="1"/>
  <c r="O269" i="1"/>
  <c r="O271" i="1"/>
  <c r="O273" i="1"/>
  <c r="O274" i="1"/>
  <c r="O275" i="1"/>
  <c r="O276" i="1"/>
  <c r="O277" i="1"/>
  <c r="O278" i="1"/>
  <c r="O282" i="1"/>
  <c r="O283" i="1"/>
  <c r="O284" i="1"/>
  <c r="O285" i="1"/>
  <c r="O280" i="1"/>
  <c r="O286" i="1"/>
  <c r="O287" i="1"/>
  <c r="O289" i="1"/>
  <c r="O291" i="1"/>
  <c r="O294" i="1"/>
  <c r="O295" i="1"/>
  <c r="O297" i="1"/>
  <c r="O299" i="1"/>
  <c r="O301" i="1"/>
  <c r="O293" i="1"/>
  <c r="O302" i="1"/>
  <c r="O303" i="1"/>
  <c r="O304" i="1"/>
  <c r="O305" i="1"/>
  <c r="O307" i="1"/>
  <c r="O309" i="1"/>
  <c r="O310" i="1"/>
  <c r="O311" i="1"/>
  <c r="O312" i="1"/>
  <c r="O313" i="1"/>
  <c r="O314" i="1"/>
  <c r="O315" i="1"/>
  <c r="O316" i="1"/>
  <c r="O318" i="1"/>
  <c r="O319" i="1"/>
  <c r="O317" i="1"/>
  <c r="O321" i="1"/>
  <c r="O323" i="1"/>
  <c r="O325" i="1"/>
  <c r="O327" i="1"/>
  <c r="O328" i="1"/>
  <c r="O330" i="1"/>
  <c r="O332" i="1"/>
  <c r="O334" i="1"/>
  <c r="O336" i="1"/>
  <c r="O338" i="1"/>
  <c r="O339" i="1"/>
  <c r="O340" i="1"/>
  <c r="O341" i="1"/>
  <c r="O342" i="1"/>
  <c r="O344" i="1"/>
  <c r="O346" i="1"/>
  <c r="O348" i="1"/>
  <c r="O350" i="1"/>
  <c r="O351" i="1"/>
  <c r="O349" i="1"/>
  <c r="O353" i="1"/>
  <c r="O354" i="1"/>
  <c r="O355" i="1"/>
  <c r="O357" i="1"/>
  <c r="O358" i="1"/>
  <c r="O359" i="1"/>
  <c r="O361" i="1"/>
  <c r="O362" i="1"/>
  <c r="O363" i="1"/>
  <c r="O364" i="1"/>
  <c r="O366" i="1"/>
  <c r="O367" i="1"/>
  <c r="O368" i="1"/>
  <c r="O369" i="1"/>
  <c r="O370" i="1"/>
  <c r="O371" i="1"/>
  <c r="O372" i="1"/>
  <c r="O374" i="1"/>
  <c r="O375" i="1"/>
  <c r="O376" i="1"/>
  <c r="O377" i="1"/>
  <c r="O378" i="1"/>
  <c r="O380" i="1"/>
  <c r="O382" i="1"/>
  <c r="O383" i="1"/>
  <c r="O385" i="1"/>
  <c r="O386" i="1"/>
  <c r="O388" i="1"/>
  <c r="O389" i="1"/>
  <c r="O393" i="1"/>
  <c r="O395" i="1"/>
  <c r="O397" i="1"/>
  <c r="O399" i="1"/>
  <c r="O391" i="1"/>
  <c r="O400" i="1"/>
  <c r="O404" i="1"/>
  <c r="O402" i="1"/>
  <c r="O405" i="1"/>
  <c r="O407" i="1"/>
  <c r="O410" i="1"/>
  <c r="O411" i="1"/>
  <c r="O413" i="1"/>
  <c r="O409" i="1"/>
  <c r="O414" i="1"/>
  <c r="O415" i="1"/>
  <c r="O416" i="1"/>
  <c r="O417" i="1"/>
  <c r="O419" i="1"/>
  <c r="O420" i="1"/>
  <c r="O421" i="1"/>
  <c r="O422" i="1"/>
  <c r="O423" i="1"/>
  <c r="O424" i="1"/>
  <c r="O425" i="1"/>
  <c r="O426" i="1"/>
  <c r="O427" i="1"/>
  <c r="O428" i="1"/>
  <c r="O430" i="1"/>
  <c r="O431" i="1"/>
  <c r="O433" i="1"/>
  <c r="O435" i="1"/>
  <c r="O436" i="1"/>
  <c r="O437" i="1"/>
  <c r="O438" i="1"/>
  <c r="O439" i="1"/>
  <c r="O440" i="1"/>
  <c r="O444" i="1"/>
  <c r="O446" i="1"/>
  <c r="O441" i="1"/>
  <c r="O447" i="1"/>
  <c r="O448" i="1"/>
  <c r="O450" i="1"/>
  <c r="O493" i="1"/>
  <c r="O452" i="1"/>
  <c r="O454" i="1"/>
  <c r="O456" i="1"/>
  <c r="O457" i="1"/>
  <c r="O459" i="1"/>
  <c r="O461" i="1"/>
  <c r="O463" i="1"/>
  <c r="O465" i="1"/>
  <c r="O467" i="1"/>
  <c r="O468" i="1"/>
  <c r="O469" i="1"/>
  <c r="O470" i="1"/>
  <c r="O472" i="1"/>
  <c r="O473" i="1"/>
  <c r="O474" i="1"/>
  <c r="O475" i="1"/>
  <c r="O477" i="1"/>
  <c r="O478" i="1"/>
  <c r="O479" i="1"/>
  <c r="O481" i="1"/>
  <c r="O482" i="1"/>
  <c r="O483" i="1"/>
  <c r="O485" i="1"/>
  <c r="O486" i="1"/>
  <c r="O488" i="1"/>
  <c r="O491" i="1"/>
  <c r="O492" i="1"/>
  <c r="O495" i="1"/>
  <c r="O497" i="1"/>
  <c r="O499" i="1"/>
  <c r="O500" i="1"/>
  <c r="O501" i="1"/>
  <c r="O502" i="1"/>
  <c r="O503" i="1"/>
  <c r="O504" i="1"/>
  <c r="O506" i="1"/>
  <c r="O508" i="1"/>
  <c r="O509" i="1"/>
  <c r="O510" i="1"/>
  <c r="O511" i="1"/>
  <c r="O513" i="1"/>
  <c r="O515" i="1"/>
  <c r="O516" i="1"/>
  <c r="O517" i="1"/>
  <c r="O518" i="1"/>
  <c r="O519" i="1"/>
  <c r="O520" i="1"/>
  <c r="O522" i="1"/>
  <c r="O523" i="1"/>
  <c r="O524" i="1"/>
  <c r="O525" i="1"/>
  <c r="O526" i="1"/>
  <c r="O529" i="1"/>
  <c r="O530" i="1"/>
  <c r="O531" i="1"/>
  <c r="O532" i="1"/>
  <c r="O534" i="1"/>
  <c r="O535" i="1"/>
  <c r="O536" i="1"/>
  <c r="O538" i="1"/>
  <c r="O540" i="1"/>
  <c r="O541" i="1"/>
  <c r="O542" i="1"/>
  <c r="O543" i="1"/>
  <c r="O544" i="1"/>
  <c r="O545" i="1"/>
  <c r="O546" i="1"/>
  <c r="O548" i="1"/>
  <c r="O549" i="1"/>
  <c r="O550" i="1"/>
  <c r="O551" i="1"/>
  <c r="O552" i="1"/>
  <c r="O553" i="1"/>
  <c r="O554" i="1"/>
  <c r="O556" i="1"/>
  <c r="O558" i="1"/>
  <c r="O560" i="1"/>
  <c r="O561" i="1"/>
  <c r="O562" i="1"/>
  <c r="O564" i="1"/>
  <c r="O565" i="1"/>
  <c r="O566" i="1"/>
  <c r="O567" i="1"/>
  <c r="O568" i="1"/>
  <c r="O569" i="1"/>
  <c r="O571" i="1"/>
  <c r="O572" i="1"/>
  <c r="O574" i="1"/>
  <c r="O575" i="1"/>
  <c r="O576" i="1"/>
  <c r="O577" i="1"/>
  <c r="O578" i="1"/>
  <c r="O579" i="1"/>
  <c r="O580" i="1"/>
  <c r="O582" i="1"/>
  <c r="O584" i="1"/>
  <c r="O586" i="1"/>
  <c r="O588" i="1"/>
  <c r="O589" i="1"/>
  <c r="O590" i="1"/>
  <c r="O591" i="1"/>
  <c r="O592" i="1"/>
  <c r="O593" i="1"/>
  <c r="O595" i="1"/>
  <c r="O596" i="1"/>
  <c r="O597" i="1"/>
  <c r="O599" i="1"/>
  <c r="O601" i="1"/>
  <c r="O602" i="1"/>
  <c r="O604" i="1"/>
  <c r="O605" i="1"/>
  <c r="O606" i="1"/>
  <c r="O607" i="1"/>
  <c r="O609" i="1"/>
  <c r="O611" i="1"/>
  <c r="O612" i="1"/>
  <c r="O613" i="1"/>
  <c r="O614" i="1"/>
  <c r="O615" i="1"/>
  <c r="O617" i="1"/>
  <c r="O620" i="1"/>
  <c r="O621" i="1"/>
  <c r="O622" i="1"/>
  <c r="O624" i="1"/>
  <c r="O619" i="1"/>
  <c r="O628" i="1"/>
  <c r="O629" i="1"/>
  <c r="O626" i="1"/>
  <c r="O631" i="1"/>
  <c r="O632" i="1"/>
  <c r="O633" i="1"/>
  <c r="O634" i="1"/>
  <c r="O635" i="1"/>
  <c r="O637" i="1"/>
  <c r="O639" i="1"/>
  <c r="O640" i="1"/>
  <c r="O642" i="1"/>
  <c r="O643" i="1"/>
  <c r="O645" i="1"/>
  <c r="O647" i="1"/>
  <c r="O648" i="1"/>
  <c r="O649" i="1"/>
  <c r="O650" i="1"/>
  <c r="O651" i="1"/>
  <c r="O652" i="1"/>
  <c r="O653" i="1"/>
  <c r="O655" i="1"/>
  <c r="O656" i="1"/>
  <c r="O658" i="1"/>
  <c r="O659" i="1"/>
  <c r="O660" i="1"/>
  <c r="O661" i="1"/>
  <c r="O662" i="1"/>
  <c r="O664" i="1"/>
  <c r="O665" i="1"/>
  <c r="O667" i="1"/>
  <c r="O668" i="1"/>
  <c r="O670" i="1"/>
  <c r="O672" i="1"/>
  <c r="O674" i="1"/>
  <c r="O675" i="1"/>
  <c r="O676" i="1"/>
  <c r="O677" i="1"/>
  <c r="O678" i="1"/>
  <c r="O8525" i="1"/>
  <c r="O8715" i="1"/>
  <c r="O9559" i="1"/>
  <c r="O683" i="1"/>
  <c r="O684" i="1"/>
  <c r="O685" i="1"/>
  <c r="O686" i="1"/>
  <c r="O697" i="1"/>
  <c r="O687" i="1"/>
  <c r="O688" i="1"/>
  <c r="O690" i="1"/>
  <c r="O691" i="1"/>
  <c r="O692" i="1"/>
  <c r="O693" i="1"/>
  <c r="O695" i="1"/>
  <c r="O696" i="1"/>
  <c r="O699" i="1"/>
  <c r="O700" i="1"/>
  <c r="O10067" i="1"/>
  <c r="O702" i="1"/>
  <c r="O703" i="1"/>
  <c r="O705" i="1"/>
  <c r="O706" i="1"/>
  <c r="O9078" i="1"/>
  <c r="O9494" i="1"/>
  <c r="O711" i="1"/>
  <c r="O712" i="1"/>
  <c r="O713" i="1"/>
  <c r="O714" i="1"/>
  <c r="O716" i="1"/>
  <c r="O718" i="1"/>
  <c r="O719" i="1"/>
  <c r="O720" i="1"/>
  <c r="O723" i="1"/>
  <c r="O724" i="1"/>
  <c r="O727" i="1"/>
  <c r="O728" i="1"/>
  <c r="O730" i="1"/>
  <c r="O731" i="1"/>
  <c r="O732" i="1"/>
  <c r="O733" i="1"/>
  <c r="O734" i="1"/>
  <c r="O735" i="1"/>
  <c r="O736" i="1"/>
  <c r="O737" i="1"/>
  <c r="O738" i="1"/>
  <c r="O739" i="1"/>
  <c r="O741" i="1"/>
  <c r="O742" i="1"/>
  <c r="O744" i="1"/>
  <c r="O746" i="1"/>
  <c r="O747" i="1"/>
  <c r="O748" i="1"/>
  <c r="O749" i="1"/>
  <c r="O750" i="1"/>
  <c r="O752" i="1"/>
  <c r="O753" i="1"/>
  <c r="O754" i="1"/>
  <c r="O756" i="1"/>
  <c r="O757" i="1"/>
  <c r="O758" i="1"/>
  <c r="O760" i="1"/>
  <c r="O761" i="1"/>
  <c r="O765" i="1"/>
  <c r="O766" i="1"/>
  <c r="O767" i="1"/>
  <c r="O768" i="1"/>
  <c r="O769" i="1"/>
  <c r="O770" i="1"/>
  <c r="O762" i="1"/>
  <c r="O771" i="1"/>
  <c r="O772" i="1"/>
  <c r="O775" i="1"/>
  <c r="O776" i="1"/>
  <c r="O778" i="1"/>
  <c r="O779" i="1"/>
  <c r="O764" i="1"/>
  <c r="O782" i="1"/>
  <c r="O783" i="1"/>
  <c r="O780" i="1"/>
  <c r="O785" i="1"/>
  <c r="O786" i="1"/>
  <c r="O788" i="1"/>
  <c r="O790" i="1"/>
  <c r="O792" i="1"/>
  <c r="O794" i="1"/>
  <c r="O796" i="1"/>
  <c r="O797" i="1"/>
  <c r="O799" i="1"/>
  <c r="O801" i="1"/>
  <c r="O803" i="1"/>
  <c r="O804" i="1"/>
  <c r="O805" i="1"/>
  <c r="O807" i="1"/>
  <c r="O809" i="1"/>
  <c r="O810" i="1"/>
  <c r="O811" i="1"/>
  <c r="O812" i="1"/>
  <c r="O813" i="1"/>
  <c r="O1648" i="1"/>
  <c r="O820" i="1"/>
  <c r="O821" i="1"/>
  <c r="O822" i="1"/>
  <c r="O814" i="1"/>
  <c r="O815" i="1"/>
  <c r="O823" i="1"/>
  <c r="O825" i="1"/>
  <c r="O827" i="1"/>
  <c r="O829" i="1"/>
  <c r="O831" i="1"/>
  <c r="O816" i="1"/>
  <c r="O835" i="1"/>
  <c r="O836" i="1"/>
  <c r="O837" i="1"/>
  <c r="O839" i="1"/>
  <c r="O850" i="1"/>
  <c r="O833" i="1"/>
  <c r="O840" i="1"/>
  <c r="O841" i="1"/>
  <c r="O843" i="1"/>
  <c r="O846" i="1"/>
  <c r="O847" i="1"/>
  <c r="O848" i="1"/>
  <c r="O852" i="1"/>
  <c r="O854" i="1"/>
  <c r="O855" i="1"/>
  <c r="O856" i="1"/>
  <c r="O858" i="1"/>
  <c r="O859" i="1"/>
  <c r="O860" i="1"/>
  <c r="O861" i="1"/>
  <c r="O862" i="1"/>
  <c r="O864" i="1"/>
  <c r="O865" i="1"/>
  <c r="O867" i="1"/>
  <c r="O868" i="1"/>
  <c r="O869" i="1"/>
  <c r="O871" i="1"/>
  <c r="O873" i="1"/>
  <c r="O890" i="1"/>
  <c r="O931" i="1"/>
  <c r="O938" i="1"/>
  <c r="O958" i="1"/>
  <c r="O966" i="1"/>
  <c r="O975" i="1"/>
  <c r="O1025" i="1"/>
  <c r="O1042" i="1"/>
  <c r="O1043" i="1"/>
  <c r="O1017" i="1"/>
  <c r="O1046" i="1"/>
  <c r="O891" i="1"/>
  <c r="O892" i="1"/>
  <c r="O899" i="1"/>
  <c r="O944" i="1"/>
  <c r="O946" i="1"/>
  <c r="O951" i="1"/>
  <c r="O965" i="1"/>
  <c r="O977" i="1"/>
  <c r="O978" i="1"/>
  <c r="O960" i="1"/>
  <c r="O1011" i="1"/>
  <c r="O1039" i="1"/>
  <c r="O901" i="1"/>
  <c r="O929" i="1"/>
  <c r="O956" i="1"/>
  <c r="O976" i="1"/>
  <c r="O1010" i="1"/>
  <c r="O1032" i="1"/>
  <c r="O1035" i="1"/>
  <c r="O893" i="1"/>
  <c r="O894" i="1"/>
  <c r="O909" i="1"/>
  <c r="O916" i="1"/>
  <c r="O924" i="1"/>
  <c r="O939" i="1"/>
  <c r="O947" i="1"/>
  <c r="O895" i="1"/>
  <c r="O940" i="1"/>
  <c r="O914" i="1"/>
  <c r="O945" i="1"/>
  <c r="O1004" i="1"/>
  <c r="O1006" i="1"/>
  <c r="O896" i="1"/>
  <c r="O1018" i="1"/>
  <c r="O969" i="1"/>
  <c r="O897" i="1"/>
  <c r="O933" i="1"/>
  <c r="O948" i="1"/>
  <c r="O979" i="1"/>
  <c r="O981" i="1"/>
  <c r="O983" i="1"/>
  <c r="O989" i="1"/>
  <c r="O1019" i="1"/>
  <c r="O1021" i="1"/>
  <c r="O1023" i="1"/>
  <c r="O898" i="1"/>
  <c r="O988" i="1"/>
  <c r="O1036" i="1"/>
  <c r="O1040" i="1"/>
  <c r="O920" i="1"/>
  <c r="O926" i="1"/>
  <c r="O1030" i="1"/>
  <c r="O910" i="1"/>
  <c r="O942" i="1"/>
  <c r="O1015" i="1"/>
  <c r="O1027" i="1"/>
  <c r="O911" i="1"/>
  <c r="O922" i="1"/>
  <c r="O970" i="1"/>
  <c r="O995" i="1"/>
  <c r="O1037" i="1"/>
  <c r="O968" i="1"/>
  <c r="O936" i="1"/>
  <c r="O937" i="1"/>
  <c r="O963" i="1"/>
  <c r="O987" i="1"/>
  <c r="O994" i="1"/>
  <c r="O996" i="1"/>
  <c r="O1041" i="1"/>
  <c r="O875" i="1"/>
  <c r="O887" i="1"/>
  <c r="O888" i="1"/>
  <c r="O974" i="1"/>
  <c r="O1000" i="1"/>
  <c r="O1028" i="1"/>
  <c r="O943" i="1"/>
  <c r="O889" i="1"/>
  <c r="O918" i="1"/>
  <c r="O928" i="1"/>
  <c r="O950" i="1"/>
  <c r="O962" i="1"/>
  <c r="O985" i="1"/>
  <c r="O902" i="1"/>
  <c r="O903" i="1"/>
  <c r="O905" i="1"/>
  <c r="O912" i="1"/>
  <c r="O921" i="1"/>
  <c r="O952" i="1"/>
  <c r="O955" i="1"/>
  <c r="O1044" i="1"/>
  <c r="O992" i="1"/>
  <c r="O993" i="1"/>
  <c r="O998" i="1"/>
  <c r="O1009" i="1"/>
  <c r="O1016" i="1"/>
  <c r="O1031" i="1"/>
  <c r="O1048" i="1"/>
  <c r="O1050" i="1"/>
  <c r="O1052" i="1"/>
  <c r="O1053" i="1"/>
  <c r="O1055" i="1"/>
  <c r="O1056" i="1"/>
  <c r="O1057" i="1"/>
  <c r="O1058" i="1"/>
  <c r="O1059" i="1"/>
  <c r="O1060" i="1"/>
  <c r="O1062" i="1"/>
  <c r="O1065" i="1"/>
  <c r="O1066" i="1"/>
  <c r="O1068" i="1"/>
  <c r="O1070" i="1"/>
  <c r="O1072" i="1"/>
  <c r="O1073" i="1"/>
  <c r="O1074" i="1"/>
  <c r="O1076" i="1"/>
  <c r="O1079" i="1"/>
  <c r="O1080" i="1"/>
  <c r="O1081" i="1"/>
  <c r="O1087" i="1"/>
  <c r="O1089" i="1"/>
  <c r="O2150" i="1"/>
  <c r="O1091" i="1"/>
  <c r="O1092" i="1"/>
  <c r="O1094" i="1"/>
  <c r="O1096" i="1"/>
  <c r="O1098" i="1"/>
  <c r="O1101" i="1"/>
  <c r="O1102" i="1"/>
  <c r="O1103" i="1"/>
  <c r="O1105" i="1"/>
  <c r="O1107" i="1"/>
  <c r="O1111" i="1"/>
  <c r="O1112" i="1"/>
  <c r="O1109" i="1"/>
  <c r="O1114" i="1"/>
  <c r="O1115" i="1"/>
  <c r="O1117" i="1"/>
  <c r="O1119" i="1"/>
  <c r="O1121" i="1"/>
  <c r="O1123" i="1"/>
  <c r="O1125" i="1"/>
  <c r="O1127" i="1"/>
  <c r="O1129" i="1"/>
  <c r="O1131" i="1"/>
  <c r="O1133" i="1"/>
  <c r="O1135" i="1"/>
  <c r="O1136" i="1"/>
  <c r="O1139" i="1"/>
  <c r="O1140" i="1"/>
  <c r="O1153" i="1"/>
  <c r="O1174" i="1"/>
  <c r="O1210" i="1"/>
  <c r="O1263" i="1"/>
  <c r="O1278" i="1"/>
  <c r="O1167" i="1"/>
  <c r="O1184" i="1"/>
  <c r="O1186" i="1"/>
  <c r="O1189" i="1"/>
  <c r="O1220" i="1"/>
  <c r="O1141" i="1"/>
  <c r="O1159" i="1"/>
  <c r="O1165" i="1"/>
  <c r="O1171" i="1"/>
  <c r="O1187" i="1"/>
  <c r="O1206" i="1"/>
  <c r="O1261" i="1"/>
  <c r="O1149" i="1"/>
  <c r="O1175" i="1"/>
  <c r="O1205" i="1"/>
  <c r="O1222" i="1"/>
  <c r="O1180" i="1"/>
  <c r="O1282" i="1"/>
  <c r="O1233" i="1"/>
  <c r="O1285" i="1"/>
  <c r="O1216" i="1"/>
  <c r="O1182" i="1"/>
  <c r="O1177" i="1"/>
  <c r="O1188" i="1"/>
  <c r="O1218" i="1"/>
  <c r="O1191" i="1"/>
  <c r="O1265" i="1"/>
  <c r="O1268" i="1"/>
  <c r="O1173" i="1"/>
  <c r="O1281" i="1"/>
  <c r="O1275" i="1"/>
  <c r="O1145" i="1"/>
  <c r="O1179" i="1"/>
  <c r="O1192" i="1"/>
  <c r="O1154" i="1"/>
  <c r="O1176" i="1"/>
  <c r="O1262" i="1"/>
  <c r="O1279" i="1"/>
  <c r="O1181" i="1"/>
  <c r="O1193" i="1"/>
  <c r="O1245" i="1"/>
  <c r="O1169" i="1"/>
  <c r="O1207" i="1"/>
  <c r="O1212" i="1"/>
  <c r="O1276" i="1"/>
  <c r="O1163" i="1"/>
  <c r="O1203" i="1"/>
  <c r="O1243" i="1"/>
  <c r="O1277" i="1"/>
  <c r="O1185" i="1"/>
  <c r="O1221" i="1"/>
  <c r="O1266" i="1"/>
  <c r="O1270" i="1"/>
  <c r="O1146" i="1"/>
  <c r="O1194" i="1"/>
  <c r="O1214" i="1"/>
  <c r="O1147" i="1"/>
  <c r="O1152" i="1"/>
  <c r="O1223" i="1"/>
  <c r="O1224" i="1"/>
  <c r="O1234" i="1"/>
  <c r="O1235" i="1"/>
  <c r="O1238" i="1"/>
  <c r="O1239" i="1"/>
  <c r="O1240" i="1"/>
  <c r="O906" i="1"/>
  <c r="O934" i="1"/>
  <c r="O1001" i="1"/>
  <c r="O1002" i="1"/>
  <c r="O1003" i="1"/>
  <c r="O1063" i="1"/>
  <c r="O1077" i="1"/>
  <c r="O1082" i="1"/>
  <c r="O1246" i="1"/>
  <c r="O1247" i="1"/>
  <c r="O1248" i="1"/>
  <c r="O1217" i="1"/>
  <c r="O1249" i="1"/>
  <c r="O1250" i="1"/>
  <c r="O1251" i="1"/>
  <c r="O1252" i="1"/>
  <c r="O1190" i="1"/>
  <c r="O1155" i="1"/>
  <c r="O1253" i="1"/>
  <c r="O1254" i="1"/>
  <c r="O1255" i="1"/>
  <c r="O1256" i="1"/>
  <c r="O1257" i="1"/>
  <c r="O1258" i="1"/>
  <c r="O1289" i="1"/>
  <c r="O1290" i="1"/>
  <c r="O1287" i="1"/>
  <c r="O1292" i="1"/>
  <c r="O1298" i="1"/>
  <c r="O1299" i="1"/>
  <c r="O1300" i="1"/>
  <c r="O1302" i="1"/>
  <c r="O1303" i="1"/>
  <c r="O1305" i="1"/>
  <c r="O1306" i="1"/>
  <c r="O1293" i="1"/>
  <c r="O1307" i="1"/>
  <c r="O1309" i="1"/>
  <c r="O1295" i="1"/>
  <c r="O1315" i="1"/>
  <c r="O1311" i="1"/>
  <c r="O1313" i="1"/>
  <c r="O1317" i="1"/>
  <c r="O1322" i="1"/>
  <c r="O1325" i="1"/>
  <c r="O1327" i="1"/>
  <c r="O1320" i="1"/>
  <c r="O1328" i="1"/>
  <c r="O1330" i="1"/>
  <c r="O1336" i="1"/>
  <c r="O1338" i="1"/>
  <c r="O1340" i="1"/>
  <c r="O1341" i="1"/>
  <c r="O1332" i="1"/>
  <c r="O1343" i="1"/>
  <c r="O1344" i="1"/>
  <c r="O1351" i="1"/>
  <c r="O1352" i="1"/>
  <c r="O1334" i="1"/>
  <c r="O1354" i="1"/>
  <c r="O1356" i="1"/>
  <c r="O1358" i="1"/>
  <c r="O1360" i="1"/>
  <c r="O1361" i="1"/>
  <c r="O1363" i="1"/>
  <c r="O1364" i="1"/>
  <c r="O1365" i="1"/>
  <c r="O1368" i="1"/>
  <c r="O1371" i="1"/>
  <c r="O1372" i="1"/>
  <c r="O1393" i="1"/>
  <c r="O1394" i="1"/>
  <c r="O1467" i="1"/>
  <c r="O1487" i="1"/>
  <c r="O1565" i="1"/>
  <c r="O1566" i="1"/>
  <c r="O1591" i="1"/>
  <c r="O1375" i="1"/>
  <c r="O1376" i="1"/>
  <c r="O1377" i="1"/>
  <c r="O1378" i="1"/>
  <c r="O1416" i="1"/>
  <c r="O1432" i="1"/>
  <c r="O1439" i="1"/>
  <c r="O1461" i="1"/>
  <c r="O1495" i="1"/>
  <c r="O1579" i="1"/>
  <c r="O1583" i="1"/>
  <c r="O1395" i="1"/>
  <c r="O1473" i="1"/>
  <c r="O1476" i="1"/>
  <c r="O1607" i="1"/>
  <c r="O1489" i="1"/>
  <c r="O1493" i="1"/>
  <c r="O1575" i="1"/>
  <c r="O1443" i="1"/>
  <c r="O1602" i="1"/>
  <c r="O1519" i="1"/>
  <c r="O1574" i="1"/>
  <c r="O1455" i="1"/>
  <c r="O1477" i="1"/>
  <c r="O1492" i="1"/>
  <c r="O1563" i="1"/>
  <c r="O1396" i="1"/>
  <c r="O1397" i="1"/>
  <c r="O1411" i="1"/>
  <c r="O1500" i="1"/>
  <c r="O1398" i="1"/>
  <c r="O1399" i="1"/>
  <c r="O1400" i="1"/>
  <c r="O1459" i="1"/>
  <c r="O1608" i="1"/>
  <c r="O1609" i="1"/>
  <c r="O1509" i="1"/>
  <c r="O1596" i="1"/>
  <c r="O1612" i="1"/>
  <c r="O1401" i="1"/>
  <c r="O1437" i="1"/>
  <c r="O1604" i="1"/>
  <c r="O1592" i="1"/>
  <c r="O1598" i="1"/>
  <c r="O1374" i="1"/>
  <c r="O1415" i="1"/>
  <c r="O1448" i="1"/>
  <c r="O1510" i="1"/>
  <c r="O1600" i="1"/>
  <c r="O1444" i="1"/>
  <c r="O1456" i="1"/>
  <c r="O1470" i="1"/>
  <c r="O1511" i="1"/>
  <c r="O1464" i="1"/>
  <c r="O1457" i="1"/>
  <c r="O1474" i="1"/>
  <c r="O1516" i="1"/>
  <c r="O1402" i="1"/>
  <c r="O1403" i="1"/>
  <c r="O1450" i="1"/>
  <c r="O1512" i="1"/>
  <c r="O1513" i="1"/>
  <c r="O1424" i="1"/>
  <c r="O1435" i="1"/>
  <c r="O1496" i="1"/>
  <c r="O1564" i="1"/>
  <c r="O1580" i="1"/>
  <c r="O1584" i="1"/>
  <c r="O1425" i="1"/>
  <c r="O1426" i="1"/>
  <c r="O1430" i="1"/>
  <c r="O1433" i="1"/>
  <c r="O1501" i="1"/>
  <c r="O1576" i="1"/>
  <c r="O1498" i="1"/>
  <c r="O1610" i="1"/>
  <c r="O1572" i="1"/>
  <c r="O1614" i="1"/>
  <c r="O1404" i="1"/>
  <c r="O1514" i="1"/>
  <c r="O1593" i="1"/>
  <c r="O1458" i="1"/>
  <c r="O1517" i="1"/>
  <c r="O1405" i="1"/>
  <c r="O1409" i="1"/>
  <c r="O1422" i="1"/>
  <c r="O1423" i="1"/>
  <c r="O1453" i="1"/>
  <c r="O1462" i="1"/>
  <c r="O1491" i="1"/>
  <c r="O1515" i="1"/>
  <c r="O1406" i="1"/>
  <c r="O1407" i="1"/>
  <c r="O1412" i="1"/>
  <c r="O1414" i="1"/>
  <c r="O1418" i="1"/>
  <c r="O1441" i="1"/>
  <c r="O1452" i="1"/>
  <c r="O1478" i="1"/>
  <c r="O1569" i="1"/>
  <c r="O1570" i="1"/>
  <c r="O1594" i="1"/>
  <c r="O1615" i="1"/>
  <c r="O1616" i="1"/>
  <c r="O1620" i="1"/>
  <c r="O1621" i="1"/>
  <c r="O1624" i="1"/>
  <c r="O1625" i="1"/>
  <c r="O1627" i="1"/>
  <c r="O1628" i="1"/>
  <c r="O1629" i="1"/>
  <c r="O1631" i="1"/>
  <c r="O1617" i="1"/>
  <c r="O1622" i="1"/>
  <c r="O1633" i="1"/>
  <c r="O1635" i="1"/>
  <c r="O1636" i="1"/>
  <c r="O1637" i="1"/>
  <c r="O1638" i="1"/>
  <c r="O1639" i="1"/>
  <c r="O817" i="1"/>
  <c r="O1641" i="1"/>
  <c r="O1652" i="1"/>
  <c r="O1643" i="1"/>
  <c r="O1645" i="1"/>
  <c r="O1660" i="1"/>
  <c r="O1662" i="1"/>
  <c r="O1664" i="1"/>
  <c r="O1647" i="1"/>
  <c r="O1669" i="1"/>
  <c r="O1670" i="1"/>
  <c r="O1666" i="1"/>
  <c r="O1671" i="1"/>
  <c r="O1673" i="1"/>
  <c r="O1675" i="1"/>
  <c r="O1677" i="1"/>
  <c r="O1679" i="1"/>
  <c r="O1681" i="1"/>
  <c r="O1682" i="1"/>
  <c r="O1683" i="1"/>
  <c r="O1684" i="1"/>
  <c r="O1686" i="1"/>
  <c r="O1687" i="1"/>
  <c r="O1688" i="1"/>
  <c r="O1690" i="1"/>
  <c r="O1691" i="1"/>
  <c r="O1692" i="1"/>
  <c r="O1694" i="1"/>
  <c r="O1696" i="1"/>
  <c r="O1697" i="1"/>
  <c r="O1699" i="1"/>
  <c r="O1701" i="1"/>
  <c r="O1702" i="1"/>
  <c r="O1704" i="1"/>
  <c r="O1705" i="1"/>
  <c r="O1706" i="1"/>
  <c r="O1707" i="1"/>
  <c r="O1708" i="1"/>
  <c r="O1709" i="1"/>
  <c r="O1710" i="1"/>
  <c r="O1711" i="1"/>
  <c r="O1712" i="1"/>
  <c r="O1713" i="1"/>
  <c r="O1714" i="1"/>
  <c r="O1715" i="1"/>
  <c r="O1720" i="1"/>
  <c r="O1722" i="1"/>
  <c r="O1723" i="1"/>
  <c r="O1724" i="1"/>
  <c r="O1716" i="1"/>
  <c r="O1725" i="1"/>
  <c r="O1718" i="1"/>
  <c r="O1726" i="1"/>
  <c r="O1728" i="1"/>
  <c r="O1730" i="1"/>
  <c r="O1733" i="1"/>
  <c r="O1736" i="1"/>
  <c r="O1743" i="1"/>
  <c r="O1744" i="1"/>
  <c r="O1745" i="1"/>
  <c r="O1747" i="1"/>
  <c r="O1748" i="1"/>
  <c r="O1749" i="1"/>
  <c r="O1750" i="1"/>
  <c r="O1751" i="1"/>
  <c r="O1752" i="1"/>
  <c r="O1753" i="1"/>
  <c r="O1755" i="1"/>
  <c r="O1756" i="1"/>
  <c r="O1758" i="1"/>
  <c r="O1759" i="1"/>
  <c r="O1760" i="1"/>
  <c r="O1762" i="1"/>
  <c r="O1764" i="1"/>
  <c r="O1765" i="1"/>
  <c r="O1771" i="1"/>
  <c r="O1772" i="1"/>
  <c r="O1777" i="1"/>
  <c r="O1780" i="1"/>
  <c r="O1781" i="1"/>
  <c r="O1783" i="1"/>
  <c r="O1784" i="1"/>
  <c r="O1788" i="1"/>
  <c r="O1790" i="1"/>
  <c r="O1792" i="1"/>
  <c r="O1794" i="1"/>
  <c r="O1796" i="1"/>
  <c r="O1798" i="1"/>
  <c r="O1800" i="1"/>
  <c r="O1804" i="1"/>
  <c r="O1805" i="1"/>
  <c r="O1806" i="1"/>
  <c r="O1802" i="1"/>
  <c r="O1808" i="1"/>
  <c r="O1810" i="1"/>
  <c r="O1812" i="1"/>
  <c r="O1814" i="1"/>
  <c r="O1816" i="1"/>
  <c r="O1822" i="1"/>
  <c r="O1823" i="1"/>
  <c r="O1818" i="1"/>
  <c r="O1825" i="1"/>
  <c r="O1819" i="1"/>
  <c r="O1827" i="1"/>
  <c r="O1829" i="1"/>
  <c r="O1821" i="1"/>
  <c r="O1831" i="1"/>
  <c r="O1833" i="1"/>
  <c r="O1834" i="1"/>
  <c r="O1836" i="1"/>
  <c r="O1838" i="1"/>
  <c r="O1840" i="1"/>
  <c r="O1841" i="1"/>
  <c r="O1845" i="1"/>
  <c r="O1847" i="1"/>
  <c r="O1849" i="1"/>
  <c r="O1850" i="1"/>
  <c r="O1851" i="1"/>
  <c r="O1853" i="1"/>
  <c r="O1854" i="1"/>
  <c r="O1855" i="1"/>
  <c r="O1860" i="1"/>
  <c r="O1861" i="1"/>
  <c r="O1856" i="1"/>
  <c r="O1863" i="1"/>
  <c r="O1858" i="1"/>
  <c r="O1865" i="1"/>
  <c r="O1867" i="1"/>
  <c r="O1868" i="1"/>
  <c r="O1870" i="1"/>
  <c r="O1874" i="1"/>
  <c r="O1877" i="1"/>
  <c r="O1880" i="1"/>
  <c r="O1881" i="1"/>
  <c r="O1882" i="1"/>
  <c r="O1885" i="1"/>
  <c r="O1886" i="1"/>
  <c r="O1888" i="1"/>
  <c r="O1889" i="1"/>
  <c r="O1890" i="1"/>
  <c r="O1891" i="1"/>
  <c r="O1893" i="1"/>
  <c r="O1894" i="1"/>
  <c r="O1895" i="1"/>
  <c r="O1896" i="1"/>
  <c r="O1897" i="1"/>
  <c r="O1905" i="1"/>
  <c r="O1907" i="1"/>
  <c r="O1908" i="1"/>
  <c r="O1899" i="1"/>
  <c r="O1909" i="1"/>
  <c r="O1910" i="1"/>
  <c r="O1911" i="1"/>
  <c r="O1912" i="1"/>
  <c r="O1913" i="1"/>
  <c r="O1901" i="1"/>
  <c r="O1914" i="1"/>
  <c r="O1902" i="1"/>
  <c r="O1915" i="1"/>
  <c r="O1916" i="1"/>
  <c r="O1918" i="1"/>
  <c r="O1919" i="1"/>
  <c r="O1920" i="1"/>
  <c r="O1921" i="1"/>
  <c r="O1922" i="1"/>
  <c r="O1903" i="1"/>
  <c r="O1927" i="1"/>
  <c r="O1928" i="1"/>
  <c r="O701" i="1"/>
  <c r="O1929" i="1"/>
  <c r="O1923" i="1"/>
  <c r="O1924" i="1"/>
  <c r="O1931" i="1"/>
  <c r="O1932" i="1"/>
  <c r="O1933" i="1"/>
  <c r="O1934" i="1"/>
  <c r="O1935" i="1"/>
  <c r="O1937" i="1"/>
  <c r="O1939" i="1"/>
  <c r="O1940" i="1"/>
  <c r="O1942" i="1"/>
  <c r="O1944" i="1"/>
  <c r="O1945" i="1"/>
  <c r="O1947" i="1"/>
  <c r="O1948" i="1"/>
  <c r="O1949" i="1"/>
  <c r="O1950" i="1"/>
  <c r="O1952" i="1"/>
  <c r="O1953" i="1"/>
  <c r="O1954" i="1"/>
  <c r="O1955" i="1"/>
  <c r="O1956" i="1"/>
  <c r="O1957" i="1"/>
  <c r="O1958" i="1"/>
  <c r="O1959" i="1"/>
  <c r="O1960" i="1"/>
  <c r="O1961" i="1"/>
  <c r="O1964" i="1"/>
  <c r="O1965" i="1"/>
  <c r="O1962" i="1"/>
  <c r="O1966" i="1"/>
  <c r="O1967" i="1"/>
  <c r="O1968" i="1"/>
  <c r="O1963" i="1"/>
  <c r="O1969" i="1"/>
  <c r="O1970" i="1"/>
  <c r="O1972" i="1"/>
  <c r="O1973" i="1"/>
  <c r="O1974" i="1"/>
  <c r="O1975" i="1"/>
  <c r="O1976" i="1"/>
  <c r="O1977" i="1"/>
  <c r="O1978" i="1"/>
  <c r="O1980" i="1"/>
  <c r="O1981" i="1"/>
  <c r="O1982" i="1"/>
  <c r="O1983" i="1"/>
  <c r="O1984" i="1"/>
  <c r="O1985" i="1"/>
  <c r="O1986" i="1"/>
  <c r="O1989" i="1"/>
  <c r="O1991" i="1"/>
  <c r="O1992" i="1"/>
  <c r="O1988" i="1"/>
  <c r="O1994" i="1"/>
  <c r="O1995" i="1"/>
  <c r="O1996" i="1"/>
  <c r="O1997" i="1"/>
  <c r="O2000" i="1"/>
  <c r="O2002" i="1"/>
  <c r="O2001" i="1"/>
  <c r="O2003" i="1"/>
  <c r="O1998" i="1"/>
  <c r="O2004" i="1"/>
  <c r="O2005" i="1"/>
  <c r="O1999" i="1"/>
  <c r="O2007" i="1"/>
  <c r="O2008" i="1"/>
  <c r="O2011" i="1"/>
  <c r="O2012" i="1"/>
  <c r="O2013" i="1"/>
  <c r="O2014" i="1"/>
  <c r="O2015" i="1"/>
  <c r="O2016" i="1"/>
  <c r="O2017" i="1"/>
  <c r="O2018" i="1"/>
  <c r="O2009" i="1"/>
  <c r="O2019" i="1"/>
  <c r="O2020" i="1"/>
  <c r="O2021" i="1"/>
  <c r="O2023" i="1"/>
  <c r="O2026" i="1"/>
  <c r="O2027" i="1"/>
  <c r="O2028" i="1"/>
  <c r="O2029" i="1"/>
  <c r="O2030" i="1"/>
  <c r="O2031" i="1"/>
  <c r="O2024" i="1"/>
  <c r="O2033" i="1"/>
  <c r="O2034" i="1"/>
  <c r="O2036" i="1"/>
  <c r="O2037" i="1"/>
  <c r="O2025" i="1"/>
  <c r="O2038" i="1"/>
  <c r="O2040" i="1"/>
  <c r="O2041" i="1"/>
  <c r="O2042" i="1"/>
  <c r="O2044" i="1"/>
  <c r="O2046" i="1"/>
  <c r="O2047" i="1"/>
  <c r="O2048" i="1"/>
  <c r="O2052" i="1"/>
  <c r="O2049" i="1"/>
  <c r="O2050" i="1"/>
  <c r="O2053" i="1"/>
  <c r="O2054" i="1"/>
  <c r="O2055" i="1"/>
  <c r="O2056" i="1"/>
  <c r="O2057" i="1"/>
  <c r="O2058" i="1"/>
  <c r="O2059" i="1"/>
  <c r="O2060" i="1"/>
  <c r="O2061" i="1"/>
  <c r="O2062" i="1"/>
  <c r="O2063" i="1"/>
  <c r="O2064" i="1"/>
  <c r="O2065" i="1"/>
  <c r="O2066" i="1"/>
  <c r="O2067" i="1"/>
  <c r="O2069" i="1"/>
  <c r="O2070" i="1"/>
  <c r="O2072" i="1"/>
  <c r="O2079" i="1"/>
  <c r="O2080" i="1"/>
  <c r="O2081" i="1"/>
  <c r="O2083" i="1"/>
  <c r="O2074" i="1"/>
  <c r="O2076" i="1"/>
  <c r="O2085" i="1"/>
  <c r="O2077" i="1"/>
  <c r="O2086" i="1"/>
  <c r="O2078" i="1"/>
  <c r="O2087" i="1"/>
  <c r="O2088" i="1"/>
  <c r="O2089" i="1"/>
  <c r="O2091" i="1"/>
  <c r="O2092" i="1"/>
  <c r="O2094" i="1"/>
  <c r="O2096" i="1"/>
  <c r="O2097" i="1"/>
  <c r="O2098" i="1"/>
  <c r="O2099" i="1"/>
  <c r="O2101" i="1"/>
  <c r="O2102" i="1"/>
  <c r="O2103" i="1"/>
  <c r="O2104" i="1"/>
  <c r="O2106" i="1"/>
  <c r="O2107" i="1"/>
  <c r="O2108" i="1"/>
  <c r="O2109" i="1"/>
  <c r="O2110" i="1"/>
  <c r="O2112" i="1"/>
  <c r="O2114" i="1"/>
  <c r="O2116" i="1"/>
  <c r="O2117" i="1"/>
  <c r="O2118" i="1"/>
  <c r="O2120" i="1"/>
  <c r="O2121" i="1"/>
  <c r="O2122" i="1"/>
  <c r="O2123" i="1"/>
  <c r="O2125" i="1"/>
  <c r="O2126" i="1"/>
  <c r="O2127" i="1"/>
  <c r="O2129" i="1"/>
  <c r="O2130" i="1"/>
  <c r="O2131" i="1"/>
  <c r="O2132" i="1"/>
  <c r="O2133" i="1"/>
  <c r="O2135" i="1"/>
  <c r="O2136" i="1"/>
  <c r="O2137" i="1"/>
  <c r="O2138" i="1"/>
  <c r="O2139" i="1"/>
  <c r="O2140" i="1"/>
  <c r="O2141" i="1"/>
  <c r="O2142" i="1"/>
  <c r="O2144" i="1"/>
  <c r="O2146" i="1"/>
  <c r="O2147" i="1"/>
  <c r="O2148" i="1"/>
  <c r="O2152" i="1"/>
  <c r="O1084" i="1"/>
  <c r="O2153" i="1"/>
  <c r="O2154" i="1"/>
  <c r="O2156" i="1"/>
  <c r="O2161" i="1"/>
  <c r="O2162" i="1"/>
  <c r="O2163" i="1"/>
  <c r="O2164" i="1"/>
  <c r="O2172" i="1"/>
  <c r="O2167" i="1"/>
  <c r="O2174" i="1"/>
  <c r="O2168" i="1"/>
  <c r="O2178" i="1"/>
  <c r="O2180" i="1"/>
  <c r="O2181" i="1"/>
  <c r="O2182" i="1"/>
  <c r="O2183" i="1"/>
  <c r="O2184" i="1"/>
  <c r="O2185" i="1"/>
  <c r="O2187" i="1"/>
  <c r="O2189" i="1"/>
  <c r="O2190" i="1"/>
  <c r="O2193" i="1"/>
  <c r="O2196" i="1"/>
  <c r="O2197" i="1"/>
  <c r="O2200" i="1"/>
  <c r="O2204" i="1"/>
  <c r="O2205" i="1"/>
  <c r="O2206" i="1"/>
  <c r="O2208" i="1"/>
  <c r="O2215" i="1"/>
  <c r="O2216" i="1"/>
  <c r="O2217" i="1"/>
  <c r="O2213" i="1"/>
  <c r="O2219" i="1"/>
  <c r="O2210" i="1"/>
  <c r="O2211" i="1"/>
  <c r="O2223" i="1"/>
  <c r="O2212" i="1"/>
  <c r="O2225" i="1"/>
  <c r="O2227" i="1"/>
  <c r="O2228" i="1"/>
  <c r="O2229" i="1"/>
  <c r="O2230" i="1"/>
  <c r="O2232" i="1"/>
  <c r="O2231" i="1"/>
  <c r="O2239" i="1"/>
  <c r="O2240" i="1"/>
  <c r="O2241" i="1"/>
  <c r="O2242" i="1"/>
  <c r="O2243" i="1"/>
  <c r="O2245" i="1"/>
  <c r="O2246" i="1"/>
  <c r="O2247" i="1"/>
  <c r="O2248" i="1"/>
  <c r="O2249" i="1"/>
  <c r="O2251" i="1"/>
  <c r="O2253" i="1"/>
  <c r="O2254" i="1"/>
  <c r="O2255" i="1"/>
  <c r="O2259" i="1"/>
  <c r="O2260" i="1"/>
  <c r="O2261" i="1"/>
  <c r="O2257" i="1"/>
  <c r="O2262" i="1"/>
  <c r="O2258" i="1"/>
  <c r="O2265" i="1"/>
  <c r="O2269" i="1"/>
  <c r="O2271" i="1"/>
  <c r="O2272" i="1"/>
  <c r="O2273" i="1"/>
  <c r="O2274" i="1"/>
  <c r="O2275" i="1"/>
  <c r="O2276" i="1"/>
  <c r="O2277" i="1"/>
  <c r="O2278" i="1"/>
  <c r="O2279" i="1"/>
  <c r="O2280" i="1"/>
  <c r="O2281" i="1"/>
  <c r="O2283" i="1"/>
  <c r="O2284" i="1"/>
  <c r="O2285" i="1"/>
  <c r="O2286" i="1"/>
  <c r="O2289" i="1"/>
  <c r="O2290" i="1"/>
  <c r="O2291" i="1"/>
  <c r="O2292" i="1"/>
  <c r="O2294" i="1"/>
  <c r="O2295" i="1"/>
  <c r="O2296" i="1"/>
  <c r="O2298" i="1"/>
  <c r="O2300" i="1"/>
  <c r="O2301" i="1"/>
  <c r="O2302" i="1"/>
  <c r="O2303" i="1"/>
  <c r="O2305" i="1"/>
  <c r="O2306" i="1"/>
  <c r="O2308" i="1"/>
  <c r="O2309" i="1"/>
  <c r="O2312" i="1"/>
  <c r="O2313" i="1"/>
  <c r="O2315" i="1"/>
  <c r="O2316" i="1"/>
  <c r="O2319" i="1"/>
  <c r="O2320" i="1"/>
  <c r="O2324" i="1"/>
  <c r="O2325" i="1"/>
  <c r="O2326" i="1"/>
  <c r="O2327" i="1"/>
  <c r="O2329" i="1"/>
  <c r="O2322" i="1"/>
  <c r="O2330" i="1"/>
  <c r="O2331" i="1"/>
  <c r="O2332" i="1"/>
  <c r="O2323" i="1"/>
  <c r="O2334" i="1"/>
  <c r="O2335" i="1"/>
  <c r="O2340" i="1"/>
  <c r="O2341" i="1"/>
  <c r="O2343" i="1"/>
  <c r="O681" i="1"/>
  <c r="O2347" i="1"/>
  <c r="O2328" i="1"/>
  <c r="O2337" i="1"/>
  <c r="O2338" i="1"/>
  <c r="O2339" i="1"/>
  <c r="O2344" i="1"/>
  <c r="O2346" i="1"/>
  <c r="O2349" i="1"/>
  <c r="O2351" i="1"/>
  <c r="O2353" i="1"/>
  <c r="O2354" i="1"/>
  <c r="O2355" i="1"/>
  <c r="O2357" i="1"/>
  <c r="O2362" i="1"/>
  <c r="O2363" i="1"/>
  <c r="O2359" i="1"/>
  <c r="O2361" i="1"/>
  <c r="O2364" i="1"/>
  <c r="O2366" i="1"/>
  <c r="O2367" i="1"/>
  <c r="O2368" i="1"/>
  <c r="O2369" i="1"/>
  <c r="O2370" i="1"/>
  <c r="O2371" i="1"/>
  <c r="O2372" i="1"/>
  <c r="O2373" i="1"/>
  <c r="O2374" i="1"/>
  <c r="O2376" i="1"/>
  <c r="O2377" i="1"/>
  <c r="O2378" i="1"/>
  <c r="O2379" i="1"/>
  <c r="O2380" i="1"/>
  <c r="O2381" i="1"/>
  <c r="O2382" i="1"/>
  <c r="O2383" i="1"/>
  <c r="O2387" i="1"/>
  <c r="O2389" i="1"/>
  <c r="O2384" i="1"/>
  <c r="O2390" i="1"/>
  <c r="O2391" i="1"/>
  <c r="O2392" i="1"/>
  <c r="O2393" i="1"/>
  <c r="O2385" i="1"/>
  <c r="O2395" i="1"/>
  <c r="O2397" i="1"/>
  <c r="O2398" i="1"/>
  <c r="O2399" i="1"/>
  <c r="O2402" i="1"/>
  <c r="O2403" i="1"/>
  <c r="O2404" i="1"/>
  <c r="O2401" i="1"/>
  <c r="O2405" i="1"/>
  <c r="O2409" i="1"/>
  <c r="O2406" i="1"/>
  <c r="O2407" i="1"/>
  <c r="O2408" i="1"/>
  <c r="O2411" i="1"/>
  <c r="O2412" i="1"/>
  <c r="O2413" i="1"/>
  <c r="O2414" i="1"/>
  <c r="O2415" i="1"/>
  <c r="O2416" i="1"/>
  <c r="O2418" i="1"/>
  <c r="O2419" i="1"/>
  <c r="O2420" i="1"/>
  <c r="O2421" i="1"/>
  <c r="O2422" i="1"/>
  <c r="O2423" i="1"/>
  <c r="O2424" i="1"/>
  <c r="O2425" i="1"/>
  <c r="O2426" i="1"/>
  <c r="O2427" i="1"/>
  <c r="O2428" i="1"/>
  <c r="O2429" i="1"/>
  <c r="O2430" i="1"/>
  <c r="O2431" i="1"/>
  <c r="O2432" i="1"/>
  <c r="O2433" i="1"/>
  <c r="O2435" i="1"/>
  <c r="O2436" i="1"/>
  <c r="O2438" i="1"/>
  <c r="O2443" i="1"/>
  <c r="O2440" i="1"/>
  <c r="O2445" i="1"/>
  <c r="O2441" i="1"/>
  <c r="O2446" i="1"/>
  <c r="O2447" i="1"/>
  <c r="O2449" i="1"/>
  <c r="O2450" i="1"/>
  <c r="O2442" i="1"/>
  <c r="O2453" i="1"/>
  <c r="O2454" i="1"/>
  <c r="O2456" i="1"/>
  <c r="O2457" i="1"/>
  <c r="O2451" i="1"/>
  <c r="O2458" i="1"/>
  <c r="O2460" i="1"/>
  <c r="O2461" i="1"/>
  <c r="O2462" i="1"/>
  <c r="O2463" i="1"/>
  <c r="O2464" i="1"/>
  <c r="O2465" i="1"/>
  <c r="O2466" i="1"/>
  <c r="O2467" i="1"/>
  <c r="O2471" i="1"/>
  <c r="O2342" i="1"/>
  <c r="O2472" i="1"/>
  <c r="O2473" i="1"/>
  <c r="O2476" i="1"/>
  <c r="O2477" i="1"/>
  <c r="O2475" i="1"/>
  <c r="O2468" i="1"/>
  <c r="O2479" i="1"/>
  <c r="O2480" i="1"/>
  <c r="O2482" i="1"/>
  <c r="O2484" i="1"/>
  <c r="O2485" i="1"/>
  <c r="O2486" i="1"/>
  <c r="O2487" i="1"/>
  <c r="O2489" i="1"/>
  <c r="O2491" i="1"/>
  <c r="O2492" i="1"/>
  <c r="O2493" i="1"/>
  <c r="O2494" i="1"/>
  <c r="O2495" i="1"/>
  <c r="O2496" i="1"/>
  <c r="O2497" i="1"/>
  <c r="O2498" i="1"/>
  <c r="O2502" i="1"/>
  <c r="O2503" i="1"/>
  <c r="O2505" i="1"/>
  <c r="O2506" i="1"/>
  <c r="O2499" i="1"/>
  <c r="O2507" i="1"/>
  <c r="O2500" i="1"/>
  <c r="O2508" i="1"/>
  <c r="O2509" i="1"/>
  <c r="O2510" i="1"/>
  <c r="O2511" i="1"/>
  <c r="O2512" i="1"/>
  <c r="O2514" i="1"/>
  <c r="O2515" i="1"/>
  <c r="O2516" i="1"/>
  <c r="O2517" i="1"/>
  <c r="O2518" i="1"/>
  <c r="O2519" i="1"/>
  <c r="O2520" i="1"/>
  <c r="O2522" i="1"/>
  <c r="O2523" i="1"/>
  <c r="O2525" i="1"/>
  <c r="O2526" i="1"/>
  <c r="O2527" i="1"/>
  <c r="O2528" i="1"/>
  <c r="O2530" i="1"/>
  <c r="O2532" i="1"/>
  <c r="O2533" i="1"/>
  <c r="O2534" i="1"/>
  <c r="O2535" i="1"/>
  <c r="O2537" i="1"/>
  <c r="O2539" i="1"/>
  <c r="O2541" i="1"/>
  <c r="O2542" i="1"/>
  <c r="O2543" i="1"/>
  <c r="O2544" i="1"/>
  <c r="O2547" i="1"/>
  <c r="O2548" i="1"/>
  <c r="O2549" i="1"/>
  <c r="O2545" i="1"/>
  <c r="O2550" i="1"/>
  <c r="O2552" i="1"/>
  <c r="O2553" i="1"/>
  <c r="O2546" i="1"/>
  <c r="O2554" i="1"/>
  <c r="O2555" i="1"/>
  <c r="O2556" i="1"/>
  <c r="O2557" i="1"/>
  <c r="O2558" i="1"/>
  <c r="O2559" i="1"/>
  <c r="O2561" i="1"/>
  <c r="O2562" i="1"/>
  <c r="O2563" i="1"/>
  <c r="O2564" i="1"/>
  <c r="O2565" i="1"/>
  <c r="O2567" i="1"/>
  <c r="O2568" i="1"/>
  <c r="O2569" i="1"/>
  <c r="O2570" i="1"/>
  <c r="O2571" i="1"/>
  <c r="O2572" i="1"/>
  <c r="O2573" i="1"/>
  <c r="O2575" i="1"/>
  <c r="O2576" i="1"/>
  <c r="O2577" i="1"/>
  <c r="O2578" i="1"/>
  <c r="O2579" i="1"/>
  <c r="O2580" i="1"/>
  <c r="O2581" i="1"/>
  <c r="O2582" i="1"/>
  <c r="O2583" i="1"/>
  <c r="O2584" i="1"/>
  <c r="O2585" i="1"/>
  <c r="O2587" i="1"/>
  <c r="O2590" i="1"/>
  <c r="O2591" i="1"/>
  <c r="O2592" i="1"/>
  <c r="O2593" i="1"/>
  <c r="O2596" i="1"/>
  <c r="O2597" i="1"/>
  <c r="O2598" i="1"/>
  <c r="O2599" i="1"/>
  <c r="O2600" i="1"/>
  <c r="O2601" i="1"/>
  <c r="O2603" i="1"/>
  <c r="O2605" i="1"/>
  <c r="O2606" i="1"/>
  <c r="O2607" i="1"/>
  <c r="O2610" i="1"/>
  <c r="O2611" i="1"/>
  <c r="O2608" i="1"/>
  <c r="O2609" i="1"/>
  <c r="O2612" i="1"/>
  <c r="O2613" i="1"/>
  <c r="O2614" i="1"/>
  <c r="O2615" i="1"/>
  <c r="O2617" i="1"/>
  <c r="O2618" i="1"/>
  <c r="O2620" i="1"/>
  <c r="O2621" i="1"/>
  <c r="O2623" i="1"/>
  <c r="O2624" i="1"/>
  <c r="O2625" i="1"/>
  <c r="O2626" i="1"/>
  <c r="O2627" i="1"/>
  <c r="O2628" i="1"/>
  <c r="O2629" i="1"/>
  <c r="O2630" i="1"/>
  <c r="O2631" i="1"/>
  <c r="O2632" i="1"/>
  <c r="O2633" i="1"/>
  <c r="O2634" i="1"/>
  <c r="O2635" i="1"/>
  <c r="O2636" i="1"/>
  <c r="O2638" i="1"/>
  <c r="O2639" i="1"/>
  <c r="O2640" i="1"/>
  <c r="O2641" i="1"/>
  <c r="O2642" i="1"/>
  <c r="O2643" i="1"/>
  <c r="O2644" i="1"/>
  <c r="O2646" i="1"/>
  <c r="O2647" i="1"/>
  <c r="O2648" i="1"/>
  <c r="O2649" i="1"/>
  <c r="O2651" i="1"/>
  <c r="O2652" i="1"/>
  <c r="O2653" i="1"/>
  <c r="O2654" i="1"/>
  <c r="O2656" i="1"/>
  <c r="O2658" i="1"/>
  <c r="O2661" i="1"/>
  <c r="O707" i="1"/>
  <c r="O2662" i="1"/>
  <c r="O2663" i="1"/>
  <c r="O2664" i="1"/>
  <c r="O2665" i="1"/>
  <c r="O2666" i="1"/>
  <c r="O2667" i="1"/>
  <c r="O2668" i="1"/>
  <c r="O2659" i="1"/>
  <c r="O2669" i="1"/>
  <c r="O2671" i="1"/>
  <c r="O2672" i="1"/>
  <c r="O2674" i="1"/>
  <c r="O2675" i="1"/>
  <c r="O2676" i="1"/>
  <c r="O2677" i="1"/>
  <c r="O2678" i="1"/>
  <c r="O2679" i="1"/>
  <c r="O2680" i="1"/>
  <c r="O2682" i="1"/>
  <c r="O2683" i="1"/>
  <c r="O2684" i="1"/>
  <c r="O2685" i="1"/>
  <c r="O2687" i="1"/>
  <c r="O2689" i="1"/>
  <c r="O2690" i="1"/>
  <c r="O2686" i="1"/>
  <c r="O2691" i="1"/>
  <c r="O2693" i="1"/>
  <c r="O2694" i="1"/>
  <c r="O2695" i="1"/>
  <c r="O2697" i="1"/>
  <c r="O2699" i="1"/>
  <c r="O2700" i="1"/>
  <c r="O2702" i="1"/>
  <c r="O2703" i="1"/>
  <c r="O2704" i="1"/>
  <c r="O2705" i="1"/>
  <c r="O2706" i="1"/>
  <c r="O2707" i="1"/>
  <c r="O2708" i="1"/>
  <c r="O2709" i="1"/>
  <c r="O2710" i="1"/>
  <c r="O2713" i="1"/>
  <c r="O2714" i="1"/>
  <c r="O2716" i="1"/>
  <c r="O2717" i="1"/>
  <c r="O2718" i="1"/>
  <c r="O2719" i="1"/>
  <c r="O2720" i="1"/>
  <c r="O2721" i="1"/>
  <c r="O2722" i="1"/>
  <c r="O2728" i="1"/>
  <c r="O2724" i="1"/>
  <c r="O2726" i="1"/>
  <c r="O2730" i="1"/>
  <c r="O2731" i="1"/>
  <c r="O2732" i="1"/>
  <c r="O2733" i="1"/>
  <c r="O2734" i="1"/>
  <c r="O2735" i="1"/>
  <c r="O2736" i="1"/>
  <c r="O2737" i="1"/>
  <c r="O2738" i="1"/>
  <c r="O2739" i="1"/>
  <c r="O2741" i="1"/>
  <c r="O2743" i="1"/>
  <c r="O2742" i="1"/>
  <c r="O2745" i="1"/>
  <c r="O2746" i="1"/>
  <c r="O2747" i="1"/>
  <c r="O2748" i="1"/>
  <c r="O2749" i="1"/>
  <c r="O2750" i="1"/>
  <c r="O2751" i="1"/>
  <c r="O2752" i="1"/>
  <c r="O2753" i="1"/>
  <c r="O2754" i="1"/>
  <c r="O2755" i="1"/>
  <c r="O2756" i="1"/>
  <c r="O2757" i="1"/>
  <c r="O2758" i="1"/>
  <c r="O2760" i="1"/>
  <c r="O2761" i="1"/>
  <c r="O2762" i="1"/>
  <c r="O2763" i="1"/>
  <c r="O2765" i="1"/>
  <c r="O2767" i="1"/>
  <c r="O2768" i="1"/>
  <c r="O2769" i="1"/>
  <c r="O2771" i="1"/>
  <c r="O2772" i="1"/>
  <c r="O2774" i="1"/>
  <c r="O2775" i="1"/>
  <c r="O2777" i="1"/>
  <c r="O2779" i="1"/>
  <c r="O2781" i="1"/>
  <c r="O2782" i="1"/>
  <c r="O2783" i="1"/>
  <c r="O2784" i="1"/>
  <c r="O2785" i="1"/>
  <c r="O2786" i="1"/>
  <c r="O2787" i="1"/>
  <c r="O2788" i="1"/>
  <c r="O2789" i="1"/>
  <c r="O2790" i="1"/>
  <c r="O2791" i="1"/>
  <c r="O2792" i="1"/>
  <c r="O2793" i="1"/>
  <c r="O2794" i="1"/>
  <c r="O2795" i="1"/>
  <c r="O2796" i="1"/>
  <c r="O2797" i="1"/>
  <c r="O2798" i="1"/>
  <c r="O2799" i="1"/>
  <c r="O2800" i="1"/>
  <c r="O2801" i="1"/>
  <c r="O2803" i="1"/>
  <c r="O2804" i="1"/>
  <c r="O2805" i="1"/>
  <c r="O2806" i="1"/>
  <c r="O2808" i="1"/>
  <c r="O2810" i="1"/>
  <c r="O2812" i="1"/>
  <c r="O2813" i="1"/>
  <c r="O2815" i="1"/>
  <c r="O2816" i="1"/>
  <c r="O2817" i="1"/>
  <c r="O2819" i="1"/>
  <c r="O2820" i="1"/>
  <c r="O2821" i="1"/>
  <c r="O2822" i="1"/>
  <c r="O2823" i="1"/>
  <c r="O2825" i="1"/>
  <c r="O2829" i="1"/>
  <c r="O2830" i="1"/>
  <c r="O2831" i="1"/>
  <c r="O2832" i="1"/>
  <c r="O2826" i="1"/>
  <c r="O2833" i="1"/>
  <c r="O2834" i="1"/>
  <c r="O2835" i="1"/>
  <c r="O2827" i="1"/>
  <c r="O2836" i="1"/>
  <c r="O2837" i="1"/>
  <c r="O2838" i="1"/>
  <c r="O2840" i="1"/>
  <c r="O2841" i="1"/>
  <c r="O2842" i="1"/>
  <c r="O2843" i="1"/>
  <c r="O2844" i="1"/>
  <c r="O2846" i="1"/>
  <c r="O2847" i="1"/>
  <c r="O2849" i="1"/>
  <c r="O2850" i="1"/>
  <c r="O2851" i="1"/>
  <c r="O2852" i="1"/>
  <c r="O2853" i="1"/>
  <c r="O2854" i="1"/>
  <c r="O2855" i="1"/>
  <c r="O2857" i="1"/>
  <c r="O2860" i="1"/>
  <c r="O2861" i="1"/>
  <c r="O2859" i="1"/>
  <c r="O2863" i="1"/>
  <c r="O2864" i="1"/>
  <c r="O2866" i="1"/>
  <c r="O2867" i="1"/>
  <c r="O2868" i="1"/>
  <c r="O2869" i="1"/>
  <c r="O2865" i="1"/>
  <c r="O2870" i="1"/>
  <c r="O2871" i="1"/>
  <c r="O2872" i="1"/>
  <c r="O2873" i="1"/>
  <c r="O2874" i="1"/>
  <c r="O2875" i="1"/>
  <c r="O2876" i="1"/>
  <c r="O2877" i="1"/>
  <c r="O2878" i="1"/>
  <c r="O2879" i="1"/>
  <c r="O2880" i="1"/>
  <c r="O2881" i="1"/>
  <c r="O2882" i="1"/>
  <c r="O2883" i="1"/>
  <c r="O680" i="1"/>
  <c r="O2886" i="1"/>
  <c r="O2887" i="1"/>
  <c r="O2888" i="1"/>
  <c r="O2890" i="1"/>
  <c r="O2891" i="1"/>
  <c r="O2892" i="1"/>
  <c r="O2893" i="1"/>
  <c r="O2894" i="1"/>
  <c r="O2895" i="1"/>
  <c r="O2896" i="1"/>
  <c r="O2897" i="1"/>
  <c r="O2899" i="1"/>
  <c r="O2900" i="1"/>
  <c r="O2901" i="1"/>
  <c r="O2902" i="1"/>
  <c r="O2903" i="1"/>
  <c r="O2904" i="1"/>
  <c r="O2906" i="1"/>
  <c r="O2909" i="1"/>
  <c r="O2910" i="1"/>
  <c r="O2911" i="1"/>
  <c r="O2914" i="1"/>
  <c r="O2915" i="1"/>
  <c r="O2918" i="1"/>
  <c r="O2919" i="1"/>
  <c r="O2920" i="1"/>
  <c r="O2921" i="1"/>
  <c r="O2922" i="1"/>
  <c r="O2923" i="1"/>
  <c r="O2924" i="1"/>
  <c r="O2925" i="1"/>
  <c r="O2926" i="1"/>
  <c r="O2927" i="1"/>
  <c r="O2928" i="1"/>
  <c r="O2929" i="1"/>
  <c r="O2930" i="1"/>
  <c r="O2931" i="1"/>
  <c r="O2932" i="1"/>
  <c r="O2933" i="1"/>
  <c r="O2934" i="1"/>
  <c r="O2935" i="1"/>
  <c r="O2938" i="1"/>
  <c r="O2939" i="1"/>
  <c r="O2940" i="1"/>
  <c r="O2941" i="1"/>
  <c r="O2936" i="1"/>
  <c r="O2937"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5" i="1"/>
  <c r="O2972" i="1"/>
  <c r="O2974" i="1"/>
  <c r="O2977" i="1"/>
  <c r="O2979" i="1"/>
  <c r="O2980" i="1"/>
  <c r="O2982" i="1"/>
  <c r="O2983" i="1"/>
  <c r="O2984" i="1"/>
  <c r="O2986" i="1"/>
  <c r="O2987" i="1"/>
  <c r="O2990" i="1"/>
  <c r="O2991" i="1"/>
  <c r="O2992" i="1"/>
  <c r="O2993" i="1"/>
  <c r="O2988" i="1"/>
  <c r="O2994" i="1"/>
  <c r="O2995" i="1"/>
  <c r="O2996" i="1"/>
  <c r="O2997" i="1"/>
  <c r="O2998" i="1"/>
  <c r="O2999" i="1"/>
  <c r="O3002" i="1"/>
  <c r="O3000" i="1"/>
  <c r="O3003" i="1"/>
  <c r="O3004" i="1"/>
  <c r="O3005" i="1"/>
  <c r="O3001" i="1"/>
  <c r="O3006" i="1"/>
  <c r="O3007" i="1"/>
  <c r="O3008" i="1"/>
  <c r="O3009" i="1"/>
  <c r="O3011" i="1"/>
  <c r="O3012" i="1"/>
  <c r="O3013" i="1"/>
  <c r="O3015" i="1"/>
  <c r="O3016" i="1"/>
  <c r="O3020" i="1"/>
  <c r="O3021" i="1"/>
  <c r="O3023" i="1"/>
  <c r="O3024" i="1"/>
  <c r="O3025" i="1"/>
  <c r="O3026" i="1"/>
  <c r="O3028" i="1"/>
  <c r="O3029" i="1"/>
  <c r="O3030" i="1"/>
  <c r="O3031" i="1"/>
  <c r="O3034" i="1"/>
  <c r="O3036" i="1"/>
  <c r="O3037" i="1"/>
  <c r="O3038" i="1"/>
  <c r="O3039" i="1"/>
  <c r="O3041" i="1"/>
  <c r="O3048" i="1"/>
  <c r="O818" i="1"/>
  <c r="O3043" i="1"/>
  <c r="O3049" i="1"/>
  <c r="O3050" i="1"/>
  <c r="O3044" i="1"/>
  <c r="O3051" i="1"/>
  <c r="O3052" i="1"/>
  <c r="O3053" i="1"/>
  <c r="O3055" i="1"/>
  <c r="O3056" i="1"/>
  <c r="O3059" i="1"/>
  <c r="O3060" i="1"/>
  <c r="O3067" i="1"/>
  <c r="O3069" i="1"/>
  <c r="O3071" i="1"/>
  <c r="O3072" i="1"/>
  <c r="O3074" i="1"/>
  <c r="O3076" i="1"/>
  <c r="O3078" i="1"/>
  <c r="O3079" i="1"/>
  <c r="O3080" i="1"/>
  <c r="O3081" i="1"/>
  <c r="O3083" i="1"/>
  <c r="O3084" i="1"/>
  <c r="O3085" i="1"/>
  <c r="O3087" i="1"/>
  <c r="O3090" i="1"/>
  <c r="O3091" i="1"/>
  <c r="O3092" i="1"/>
  <c r="O3093" i="1"/>
  <c r="O3094" i="1"/>
  <c r="O3096" i="1"/>
  <c r="O3097" i="1"/>
  <c r="O3098" i="1"/>
  <c r="O3103" i="1"/>
  <c r="O3104" i="1"/>
  <c r="O3105" i="1"/>
  <c r="O3106" i="1"/>
  <c r="O3107" i="1"/>
  <c r="O3110" i="1"/>
  <c r="O3111" i="1"/>
  <c r="O3108" i="1"/>
  <c r="O3115" i="1"/>
  <c r="O3116" i="1"/>
  <c r="O3118" i="1"/>
  <c r="O3109" i="1"/>
  <c r="O3123" i="1"/>
  <c r="O3120" i="1"/>
  <c r="O3124" i="1"/>
  <c r="O3125" i="1"/>
  <c r="O3121" i="1"/>
  <c r="O3126" i="1"/>
  <c r="O3127" i="1"/>
  <c r="O3128" i="1"/>
  <c r="O3129" i="1"/>
  <c r="O3130" i="1"/>
  <c r="O3133" i="1"/>
  <c r="O3134" i="1"/>
  <c r="O3135" i="1"/>
  <c r="O3136" i="1"/>
  <c r="O3138" i="1"/>
  <c r="O3139" i="1"/>
  <c r="O3140" i="1"/>
  <c r="O3141" i="1"/>
  <c r="O3143" i="1"/>
  <c r="O3144" i="1"/>
  <c r="O3145" i="1"/>
  <c r="O3147" i="1"/>
  <c r="O3149" i="1"/>
  <c r="O3151" i="1"/>
  <c r="O3155" i="1"/>
  <c r="O3156" i="1"/>
  <c r="O3158" i="1"/>
  <c r="O3162" i="1"/>
  <c r="O3163" i="1"/>
  <c r="O3164" i="1"/>
  <c r="O3165" i="1"/>
  <c r="O3166" i="1"/>
  <c r="O3167" i="1"/>
  <c r="O3168" i="1"/>
  <c r="O3169" i="1"/>
  <c r="O3170" i="1"/>
  <c r="O3171" i="1"/>
  <c r="O3173" i="1"/>
  <c r="O3174" i="1"/>
  <c r="O3175" i="1"/>
  <c r="O3176" i="1"/>
  <c r="O3177" i="1"/>
  <c r="O3178" i="1"/>
  <c r="O3180" i="1"/>
  <c r="O3181" i="1"/>
  <c r="O3182" i="1"/>
  <c r="O3184" i="1"/>
  <c r="O3185" i="1"/>
  <c r="O3186" i="1"/>
  <c r="O3187" i="1"/>
  <c r="O3188" i="1"/>
  <c r="O3189" i="1"/>
  <c r="O3190" i="1"/>
  <c r="O3191" i="1"/>
  <c r="O3192" i="1"/>
  <c r="O3193" i="1"/>
  <c r="O3197" i="1"/>
  <c r="O3198" i="1"/>
  <c r="O3194" i="1"/>
  <c r="O3199" i="1"/>
  <c r="O3200" i="1"/>
  <c r="O3201" i="1"/>
  <c r="O3202" i="1"/>
  <c r="O3203" i="1"/>
  <c r="O3204" i="1"/>
  <c r="O3205" i="1"/>
  <c r="O3195" i="1"/>
  <c r="O3207" i="1"/>
  <c r="O3208" i="1"/>
  <c r="O3209" i="1"/>
  <c r="O3210" i="1"/>
  <c r="O3211" i="1"/>
  <c r="O3214" i="1"/>
  <c r="O3215" i="1"/>
  <c r="O3216" i="1"/>
  <c r="O3218" i="1"/>
  <c r="O3219" i="1"/>
  <c r="O3220" i="1"/>
  <c r="O3222" i="1"/>
  <c r="O3224" i="1"/>
  <c r="O3225" i="1"/>
  <c r="O3229" i="1"/>
  <c r="O3227" i="1"/>
  <c r="O3228" i="1"/>
  <c r="O3231" i="1"/>
  <c r="O1649" i="1"/>
  <c r="O3240" i="1"/>
  <c r="O3241" i="1"/>
  <c r="O3232" i="1"/>
  <c r="O3242" i="1"/>
  <c r="O3244" i="1"/>
  <c r="O3245" i="1"/>
  <c r="O3246" i="1"/>
  <c r="O3247" i="1"/>
  <c r="O3248" i="1"/>
  <c r="O3249" i="1"/>
  <c r="O3250" i="1"/>
  <c r="O3251" i="1"/>
  <c r="O3252" i="1"/>
  <c r="O3253" i="1"/>
  <c r="O3254" i="1"/>
  <c r="O3255" i="1"/>
  <c r="O3256" i="1"/>
  <c r="O3257" i="1"/>
  <c r="O3258" i="1"/>
  <c r="O3259" i="1"/>
  <c r="O3260" i="1"/>
  <c r="O3261" i="1"/>
  <c r="O3263" i="1"/>
  <c r="O3264" i="1"/>
  <c r="O3265" i="1"/>
  <c r="O3266" i="1"/>
  <c r="O3267" i="1"/>
  <c r="O3268" i="1"/>
  <c r="O3269" i="1"/>
  <c r="O3270" i="1"/>
  <c r="O3271" i="1"/>
  <c r="O3272" i="1"/>
  <c r="O3273" i="1"/>
  <c r="O3275" i="1"/>
  <c r="O3277" i="1"/>
  <c r="O3278" i="1"/>
  <c r="O3279" i="1"/>
  <c r="O3280" i="1"/>
  <c r="O3281" i="1"/>
  <c r="O3284" i="1"/>
  <c r="O3285" i="1"/>
  <c r="O3286" i="1"/>
  <c r="O3287" i="1"/>
  <c r="O3291" i="1"/>
  <c r="O3288" i="1"/>
  <c r="O3292" i="1"/>
  <c r="O3289" i="1"/>
  <c r="O3294" i="1"/>
  <c r="O3295" i="1"/>
  <c r="O3296" i="1"/>
  <c r="O3297" i="1"/>
  <c r="O3298" i="1"/>
  <c r="O3299" i="1"/>
  <c r="O3300" i="1"/>
  <c r="O3301" i="1"/>
  <c r="O3306" i="1"/>
  <c r="O3303" i="1"/>
  <c r="O3307" i="1"/>
  <c r="O3308" i="1"/>
  <c r="O3305" i="1"/>
  <c r="O3309" i="1"/>
  <c r="O3310" i="1"/>
  <c r="O3311" i="1"/>
  <c r="O3312" i="1"/>
  <c r="O3313" i="1"/>
  <c r="O3316" i="1"/>
  <c r="O3314" i="1"/>
  <c r="O3318" i="1"/>
  <c r="O3321" i="1"/>
  <c r="O3322" i="1"/>
  <c r="O3325" i="1"/>
  <c r="O3326" i="1"/>
  <c r="O3323" i="1"/>
  <c r="O3327" i="1"/>
  <c r="O3329" i="1"/>
  <c r="O3330" i="1"/>
  <c r="O3324" i="1"/>
  <c r="O3332" i="1"/>
  <c r="O3333" i="1"/>
  <c r="O3334" i="1"/>
  <c r="O3336" i="1"/>
  <c r="O3337" i="1"/>
  <c r="O3338" i="1"/>
  <c r="O3339" i="1"/>
  <c r="O3342" i="1"/>
  <c r="O3343" i="1"/>
  <c r="O3344" i="1"/>
  <c r="O3345" i="1"/>
  <c r="O3346" i="1"/>
  <c r="O3348" i="1"/>
  <c r="O3349" i="1"/>
  <c r="O3350" i="1"/>
  <c r="O3351" i="1"/>
  <c r="O3353" i="1"/>
  <c r="O3354" i="1"/>
  <c r="O3355" i="1"/>
  <c r="O3356" i="1"/>
  <c r="O3358" i="1"/>
  <c r="O3357" i="1"/>
  <c r="O3360" i="1"/>
  <c r="O3362" i="1"/>
  <c r="O3363" i="1"/>
  <c r="O3364" i="1"/>
  <c r="O3365" i="1"/>
  <c r="O3367" i="1"/>
  <c r="O3368" i="1"/>
  <c r="O3371" i="1"/>
  <c r="O3372" i="1"/>
  <c r="O3373" i="1"/>
  <c r="O3374" i="1"/>
  <c r="O3376" i="1"/>
  <c r="O3381" i="1"/>
  <c r="O3382" i="1"/>
  <c r="O3378" i="1"/>
  <c r="O3383" i="1"/>
  <c r="O3380" i="1"/>
  <c r="O3384" i="1"/>
  <c r="O3387" i="1"/>
  <c r="O3388" i="1"/>
  <c r="O3389" i="1"/>
  <c r="O3386" i="1"/>
  <c r="O3391" i="1"/>
  <c r="O3392" i="1"/>
  <c r="O3393" i="1"/>
  <c r="O3395" i="1"/>
  <c r="O3396" i="1"/>
  <c r="O3397" i="1"/>
  <c r="O3399" i="1"/>
  <c r="O3400" i="1"/>
  <c r="O3401" i="1"/>
  <c r="O3402" i="1"/>
  <c r="O3403" i="1"/>
  <c r="O3404" i="1"/>
  <c r="O3405" i="1"/>
  <c r="O3407" i="1"/>
  <c r="O3408" i="1"/>
  <c r="O3411" i="1"/>
  <c r="O3412" i="1"/>
  <c r="O3413" i="1"/>
  <c r="O3414" i="1"/>
  <c r="O3415" i="1"/>
  <c r="O3416" i="1"/>
  <c r="O3417" i="1"/>
  <c r="O3419" i="1"/>
  <c r="O3420" i="1"/>
  <c r="O3421" i="1"/>
  <c r="O3422" i="1"/>
  <c r="O3423" i="1"/>
  <c r="O3424" i="1"/>
  <c r="O3425" i="1"/>
  <c r="O3428" i="1"/>
  <c r="O3429" i="1"/>
  <c r="O3431" i="1"/>
  <c r="O3426" i="1"/>
  <c r="O3427" i="1"/>
  <c r="O3432" i="1"/>
  <c r="O3434" i="1"/>
  <c r="O3436" i="1"/>
  <c r="O3437" i="1"/>
  <c r="O3476" i="1"/>
  <c r="O3472" i="1"/>
  <c r="O3506" i="1"/>
  <c r="O3519" i="1"/>
  <c r="O3520" i="1"/>
  <c r="O3460" i="1"/>
  <c r="O3489" i="1"/>
  <c r="O3507" i="1"/>
  <c r="O3539" i="1"/>
  <c r="O3550" i="1"/>
  <c r="O3446" i="1"/>
  <c r="O3485" i="1"/>
  <c r="O3487" i="1"/>
  <c r="O3501" i="1"/>
  <c r="O3502" i="1"/>
  <c r="O3555" i="1"/>
  <c r="O3558" i="1"/>
  <c r="O3447" i="1"/>
  <c r="O3459" i="1"/>
  <c r="O3469" i="1"/>
  <c r="O3513" i="1"/>
  <c r="O3563" i="1"/>
  <c r="O3532" i="1"/>
  <c r="O3553" i="1"/>
  <c r="O3568" i="1"/>
  <c r="O3448" i="1"/>
  <c r="O3466" i="1"/>
  <c r="O3486" i="1"/>
  <c r="O3559" i="1"/>
  <c r="O3449" i="1"/>
  <c r="O3490" i="1"/>
  <c r="O3481" i="1"/>
  <c r="O3552" i="1"/>
  <c r="O3557" i="1"/>
  <c r="O3474" i="1"/>
  <c r="O3495" i="1"/>
  <c r="O3515" i="1"/>
  <c r="O3524" i="1"/>
  <c r="O3560" i="1"/>
  <c r="O3503" i="1"/>
  <c r="O3512" i="1"/>
  <c r="O3450" i="1"/>
  <c r="O3451" i="1"/>
  <c r="O3452" i="1"/>
  <c r="O3453" i="1"/>
  <c r="O3480" i="1"/>
  <c r="O3523" i="1"/>
  <c r="O3531" i="1"/>
  <c r="O3551" i="1"/>
  <c r="O3554" i="1"/>
  <c r="O3454" i="1"/>
  <c r="O3464" i="1"/>
  <c r="O3473" i="1"/>
  <c r="O3508" i="1"/>
  <c r="O3493" i="1"/>
  <c r="O3494" i="1"/>
  <c r="O3496" i="1"/>
  <c r="O3564" i="1"/>
  <c r="O3533" i="1"/>
  <c r="O3569" i="1"/>
  <c r="O3529" i="1"/>
  <c r="O3549" i="1"/>
  <c r="O3438" i="1"/>
  <c r="O3530" i="1"/>
  <c r="O3541" i="1"/>
  <c r="O3548" i="1"/>
  <c r="O3455" i="1"/>
  <c r="O3456" i="1"/>
  <c r="O3478" i="1"/>
  <c r="O3491" i="1"/>
  <c r="O3511" i="1"/>
  <c r="O3514" i="1"/>
  <c r="O3518" i="1"/>
  <c r="O3565" i="1"/>
  <c r="O3521" i="1"/>
  <c r="O3538" i="1"/>
  <c r="O3543" i="1"/>
  <c r="O3556" i="1"/>
  <c r="O3570" i="1"/>
  <c r="O3457" i="1"/>
  <c r="O3465" i="1"/>
  <c r="O3492" i="1"/>
  <c r="O3516" i="1"/>
  <c r="O3470" i="1"/>
  <c r="O3566" i="1"/>
  <c r="O3571" i="1"/>
  <c r="O3477" i="1"/>
  <c r="O3484" i="1"/>
  <c r="O3522" i="1"/>
  <c r="O3534" i="1"/>
  <c r="O3535" i="1"/>
  <c r="O3561" i="1"/>
  <c r="O3479" i="1"/>
  <c r="O3498" i="1"/>
  <c r="O3505" i="1"/>
  <c r="O3562" i="1"/>
  <c r="O3540" i="1"/>
  <c r="O3567" i="1"/>
  <c r="O3463" i="1"/>
  <c r="O3499" i="1"/>
  <c r="O3500" i="1"/>
  <c r="O3509" i="1"/>
  <c r="O3510" i="1"/>
  <c r="O3536" i="1"/>
  <c r="O3537" i="1"/>
  <c r="O3573" i="1"/>
  <c r="O3579" i="1"/>
  <c r="O3580" i="1"/>
  <c r="O3581" i="1"/>
  <c r="O2885" i="1"/>
  <c r="O3582" i="1"/>
  <c r="O3583" i="1"/>
  <c r="O3584" i="1"/>
  <c r="O3585" i="1"/>
  <c r="O3575" i="1"/>
  <c r="O3588" i="1"/>
  <c r="O3589" i="1"/>
  <c r="O3590" i="1"/>
  <c r="O3576" i="1"/>
  <c r="O3597" i="1"/>
  <c r="O3592" i="1"/>
  <c r="O3594" i="1"/>
  <c r="O3598" i="1"/>
  <c r="O3599" i="1"/>
  <c r="O3600" i="1"/>
  <c r="O3601" i="1"/>
  <c r="O3602" i="1"/>
  <c r="O3604" i="1"/>
  <c r="O3605" i="1"/>
  <c r="O3608" i="1"/>
  <c r="O3609" i="1"/>
  <c r="O3610" i="1"/>
  <c r="O3611" i="1"/>
  <c r="O3612" i="1"/>
  <c r="O3613" i="1"/>
  <c r="O3614" i="1"/>
  <c r="O3615" i="1"/>
  <c r="O3616" i="1"/>
  <c r="O3617" i="1"/>
  <c r="O3618" i="1"/>
  <c r="O3619" i="1"/>
  <c r="O3620" i="1"/>
  <c r="O3621" i="1"/>
  <c r="O3648" i="1"/>
  <c r="O3662" i="1"/>
  <c r="O3711" i="1"/>
  <c r="O3731" i="1"/>
  <c r="O3657" i="1"/>
  <c r="O3674" i="1"/>
  <c r="O3663" i="1"/>
  <c r="O3668" i="1"/>
  <c r="O3671" i="1"/>
  <c r="O3740" i="1"/>
  <c r="O3744" i="1"/>
  <c r="O3629" i="1"/>
  <c r="O3630" i="1"/>
  <c r="O3687" i="1"/>
  <c r="O3682" i="1"/>
  <c r="O3631" i="1"/>
  <c r="O3680" i="1"/>
  <c r="O3694" i="1"/>
  <c r="O3702" i="1"/>
  <c r="O3716" i="1"/>
  <c r="O3733" i="1"/>
  <c r="O3632" i="1"/>
  <c r="O3633" i="1"/>
  <c r="O3642" i="1"/>
  <c r="O3676" i="1"/>
  <c r="O3684" i="1"/>
  <c r="O3746" i="1"/>
  <c r="O3695" i="1"/>
  <c r="O3734" i="1"/>
  <c r="O3741" i="1"/>
  <c r="O3750" i="1"/>
  <c r="O3634" i="1"/>
  <c r="O3686" i="1"/>
  <c r="O3717" i="1"/>
  <c r="O3635" i="1"/>
  <c r="O3653" i="1"/>
  <c r="O3690" i="1"/>
  <c r="O3714" i="1"/>
  <c r="O3647" i="1"/>
  <c r="O3659" i="1"/>
  <c r="O3677" i="1"/>
  <c r="O3693" i="1"/>
  <c r="O3747" i="1"/>
  <c r="O3715" i="1"/>
  <c r="O3751" i="1"/>
  <c r="O3623" i="1"/>
  <c r="O3636" i="1"/>
  <c r="O3637" i="1"/>
  <c r="O3652" i="1"/>
  <c r="O3688" i="1"/>
  <c r="O3700" i="1"/>
  <c r="O3729" i="1"/>
  <c r="O3664" i="1"/>
  <c r="O3669" i="1"/>
  <c r="O3696" i="1"/>
  <c r="O3713" i="1"/>
  <c r="O3735" i="1"/>
  <c r="O3738" i="1"/>
  <c r="O3742" i="1"/>
  <c r="O3743" i="1"/>
  <c r="O3638" i="1"/>
  <c r="O3639" i="1"/>
  <c r="O3660" i="1"/>
  <c r="O3685" i="1"/>
  <c r="O3748" i="1"/>
  <c r="O3712" i="1"/>
  <c r="O3732" i="1"/>
  <c r="O3752" i="1"/>
  <c r="O3658" i="1"/>
  <c r="O3723" i="1"/>
  <c r="O3654" i="1"/>
  <c r="O3670" i="1"/>
  <c r="O3672" i="1"/>
  <c r="O3679" i="1"/>
  <c r="O3683" i="1"/>
  <c r="O3692" i="1"/>
  <c r="O3718" i="1"/>
  <c r="O3737" i="1"/>
  <c r="O3703" i="1"/>
  <c r="O3640" i="1"/>
  <c r="O3667" i="1"/>
  <c r="O3701" i="1"/>
  <c r="O3706" i="1"/>
  <c r="O3707" i="1"/>
  <c r="O3724" i="1"/>
  <c r="O3745" i="1"/>
  <c r="O3641" i="1"/>
  <c r="O3673" i="1"/>
  <c r="O3675" i="1"/>
  <c r="O3678" i="1"/>
  <c r="O3689" i="1"/>
  <c r="O3749" i="1"/>
  <c r="O3697" i="1"/>
  <c r="O3698" i="1"/>
  <c r="O3699" i="1"/>
  <c r="O3719" i="1"/>
  <c r="O3720" i="1"/>
  <c r="O3730" i="1"/>
  <c r="O3736" i="1"/>
  <c r="O3753" i="1"/>
  <c r="O2" i="1"/>
  <c r="O7" i="1"/>
  <c r="O9" i="1"/>
  <c r="O11" i="1"/>
  <c r="O15" i="1"/>
  <c r="O21" i="1"/>
  <c r="O17" i="1"/>
  <c r="O29" i="1"/>
  <c r="O31" i="1"/>
  <c r="O40" i="1"/>
  <c r="O42" i="1"/>
  <c r="O44" i="1"/>
  <c r="O47" i="1"/>
  <c r="O53" i="1"/>
  <c r="O55" i="1"/>
  <c r="O57" i="1"/>
  <c r="O59" i="1"/>
  <c r="O61" i="1"/>
  <c r="O66" i="1"/>
  <c r="O70" i="1"/>
  <c r="O72" i="1"/>
  <c r="O74" i="1"/>
  <c r="O77" i="1"/>
  <c r="O79" i="1"/>
  <c r="O86" i="1"/>
  <c r="O88" i="1"/>
  <c r="O97" i="1"/>
  <c r="O103" i="1"/>
  <c r="O101" i="1"/>
  <c r="O113" i="1"/>
  <c r="O118" i="1"/>
  <c r="O111" i="1"/>
  <c r="O133" i="1"/>
  <c r="O136" i="1"/>
  <c r="O138" i="1"/>
  <c r="O144" i="1"/>
  <c r="O149" i="1"/>
  <c r="O151" i="1"/>
  <c r="O153" i="1"/>
  <c r="O156" i="1"/>
  <c r="O158" i="1"/>
  <c r="O161" i="1"/>
  <c r="O163" i="1"/>
  <c r="O166" i="1"/>
  <c r="O168" i="1"/>
  <c r="O170" i="1"/>
  <c r="O172" i="1"/>
  <c r="O174" i="1"/>
  <c r="O180" i="1"/>
  <c r="O181" i="1"/>
  <c r="O176" i="1"/>
  <c r="O178" i="1"/>
  <c r="O188" i="1"/>
  <c r="O192" i="1"/>
  <c r="O196" i="1"/>
  <c r="O207" i="1"/>
  <c r="O210" i="1"/>
  <c r="O214" i="1"/>
  <c r="O218" i="1"/>
  <c r="O221" i="1"/>
  <c r="O226" i="1"/>
  <c r="O228" i="1"/>
  <c r="O233" i="1"/>
  <c r="O234" i="1"/>
  <c r="O242" i="1"/>
  <c r="O246" i="1"/>
  <c r="O258" i="1"/>
  <c r="O281" i="1"/>
  <c r="O279" i="1"/>
  <c r="O288" i="1"/>
  <c r="O290" i="1"/>
  <c r="O296" i="1"/>
  <c r="O298" i="1"/>
  <c r="O300" i="1"/>
  <c r="O292" i="1"/>
  <c r="O306" i="1"/>
  <c r="O308" i="1"/>
  <c r="O320" i="1"/>
  <c r="O322" i="1"/>
  <c r="O324" i="1"/>
  <c r="O326" i="1"/>
  <c r="O329" i="1"/>
  <c r="O331" i="1"/>
  <c r="O333" i="1"/>
  <c r="O335" i="1"/>
  <c r="O337" i="1"/>
  <c r="O343" i="1"/>
  <c r="O345" i="1"/>
  <c r="O347" i="1"/>
  <c r="O352" i="1"/>
  <c r="O356" i="1"/>
  <c r="O373" i="1"/>
  <c r="O379" i="1"/>
  <c r="O381" i="1"/>
  <c r="O384" i="1"/>
  <c r="O387" i="1"/>
  <c r="O392" i="1"/>
  <c r="O394" i="1"/>
  <c r="O396" i="1"/>
  <c r="O398" i="1"/>
  <c r="O390" i="1"/>
  <c r="O403" i="1"/>
  <c r="O401" i="1"/>
  <c r="O406" i="1"/>
  <c r="O412" i="1"/>
  <c r="O408" i="1"/>
  <c r="O418" i="1"/>
  <c r="O429" i="1"/>
  <c r="O432" i="1"/>
  <c r="O434" i="1"/>
  <c r="O443" i="1"/>
  <c r="O445" i="1"/>
  <c r="O449" i="1"/>
  <c r="O442" i="1"/>
  <c r="O451" i="1"/>
  <c r="O453" i="1"/>
  <c r="O455" i="1"/>
  <c r="O458" i="1"/>
  <c r="O460" i="1"/>
  <c r="O462" i="1"/>
  <c r="O464" i="1"/>
  <c r="O466" i="1"/>
  <c r="O471" i="1"/>
  <c r="O476" i="1"/>
  <c r="O484" i="1"/>
  <c r="O487" i="1"/>
  <c r="O489" i="1"/>
  <c r="O490" i="1"/>
  <c r="O496" i="1"/>
  <c r="O498" i="1"/>
  <c r="O505" i="1"/>
  <c r="O507" i="1"/>
  <c r="O512" i="1"/>
  <c r="O514" i="1"/>
  <c r="O521" i="1"/>
  <c r="O527" i="1"/>
  <c r="O528" i="1"/>
  <c r="O533" i="1"/>
  <c r="O537" i="1"/>
  <c r="O539" i="1"/>
  <c r="O547" i="1"/>
  <c r="O555" i="1"/>
  <c r="O563" i="1"/>
  <c r="O570" i="1"/>
  <c r="O573" i="1"/>
  <c r="O581" i="1"/>
  <c r="O583" i="1"/>
  <c r="O585" i="1"/>
  <c r="O587" i="1"/>
  <c r="O594" i="1"/>
  <c r="O598" i="1"/>
  <c r="O600" i="1"/>
  <c r="O603" i="1"/>
  <c r="O608" i="1"/>
  <c r="O610" i="1"/>
  <c r="O616" i="1"/>
  <c r="O623" i="1"/>
  <c r="O618" i="1"/>
  <c r="O627" i="1"/>
  <c r="O625" i="1"/>
  <c r="O630" i="1"/>
  <c r="O636" i="1"/>
  <c r="O641" i="1"/>
  <c r="O644" i="1"/>
  <c r="O646" i="1"/>
  <c r="O654" i="1"/>
  <c r="O663" i="1"/>
  <c r="O666" i="1"/>
  <c r="O669" i="1"/>
  <c r="O671" i="1"/>
  <c r="O673" i="1"/>
  <c r="O682" i="1"/>
  <c r="O689" i="1"/>
  <c r="O698" i="1"/>
  <c r="O704" i="1"/>
  <c r="O709" i="1"/>
  <c r="O710" i="1"/>
  <c r="O715" i="1"/>
  <c r="O717" i="1"/>
  <c r="O721" i="1"/>
  <c r="O722" i="1"/>
  <c r="O725" i="1"/>
  <c r="O726" i="1"/>
  <c r="O729" i="1"/>
  <c r="O740" i="1"/>
  <c r="O743" i="1"/>
  <c r="O745" i="1"/>
  <c r="O751" i="1"/>
  <c r="O755" i="1"/>
  <c r="O759" i="1"/>
  <c r="O773" i="1"/>
  <c r="O774" i="1"/>
  <c r="O763" i="1"/>
  <c r="O781" i="1"/>
  <c r="O789" i="1"/>
  <c r="O791" i="1"/>
  <c r="O793" i="1"/>
  <c r="O795" i="1"/>
  <c r="O798" i="1"/>
  <c r="O800" i="1"/>
  <c r="O802" i="1"/>
  <c r="O806" i="1"/>
  <c r="O808" i="1"/>
  <c r="O1323" i="1"/>
  <c r="O826" i="1"/>
  <c r="O828" i="1"/>
  <c r="O834" i="1"/>
  <c r="O832" i="1"/>
  <c r="O838" i="1"/>
  <c r="O849" i="1"/>
  <c r="O853" i="1"/>
  <c r="O857" i="1"/>
  <c r="O863" i="1"/>
  <c r="O866" i="1"/>
  <c r="O870" i="1"/>
  <c r="O872" i="1"/>
  <c r="O876" i="1"/>
  <c r="O930" i="1"/>
  <c r="O957" i="1"/>
  <c r="O971" i="1"/>
  <c r="O1024" i="1"/>
  <c r="O1045" i="1"/>
  <c r="O877" i="1"/>
  <c r="O878" i="1"/>
  <c r="O964" i="1"/>
  <c r="O959" i="1"/>
  <c r="O1038" i="1"/>
  <c r="O900" i="1"/>
  <c r="O972" i="1"/>
  <c r="O1033" i="1"/>
  <c r="O879" i="1"/>
  <c r="O915" i="1"/>
  <c r="O923" i="1"/>
  <c r="O935" i="1"/>
  <c r="O880" i="1"/>
  <c r="O881" i="1"/>
  <c r="O1012" i="1"/>
  <c r="O882" i="1"/>
  <c r="O932" i="1"/>
  <c r="O1020" i="1"/>
  <c r="O1022" i="1"/>
  <c r="O883" i="1"/>
  <c r="O1034" i="1"/>
  <c r="O919" i="1"/>
  <c r="O925" i="1"/>
  <c r="O1029" i="1"/>
  <c r="O941" i="1"/>
  <c r="O1013" i="1"/>
  <c r="O1026" i="1"/>
  <c r="O967" i="1"/>
  <c r="O986" i="1"/>
  <c r="O874" i="1"/>
  <c r="O884" i="1"/>
  <c r="O885" i="1"/>
  <c r="O973" i="1"/>
  <c r="O999" i="1"/>
  <c r="O886" i="1"/>
  <c r="O917" i="1"/>
  <c r="O927" i="1"/>
  <c r="O949" i="1"/>
  <c r="O961" i="1"/>
  <c r="O904" i="1"/>
  <c r="O990" i="1"/>
  <c r="O991" i="1"/>
  <c r="O1014" i="1"/>
  <c r="O1047" i="1"/>
  <c r="O1054" i="1"/>
  <c r="O1069" i="1"/>
  <c r="O1071" i="1"/>
  <c r="O1075" i="1"/>
  <c r="O1078" i="1"/>
  <c r="O1088" i="1"/>
  <c r="O1925" i="1"/>
  <c r="O1090" i="1"/>
  <c r="O1093" i="1"/>
  <c r="O1095" i="1"/>
  <c r="O1104" i="1"/>
  <c r="O1106" i="1"/>
  <c r="O1110" i="1"/>
  <c r="O1108" i="1"/>
  <c r="O1116" i="1"/>
  <c r="O1118" i="1"/>
  <c r="O1122" i="1"/>
  <c r="O1124" i="1"/>
  <c r="O1126" i="1"/>
  <c r="O1134" i="1"/>
  <c r="O1138" i="1"/>
  <c r="O1209" i="1"/>
  <c r="O1166" i="1"/>
  <c r="O1183" i="1"/>
  <c r="O1219" i="1"/>
  <c r="O1164" i="1"/>
  <c r="O1170" i="1"/>
  <c r="O1148" i="1"/>
  <c r="O1204" i="1"/>
  <c r="O1232" i="1"/>
  <c r="O1284" i="1"/>
  <c r="O1215" i="1"/>
  <c r="O1283" i="1"/>
  <c r="O1267" i="1"/>
  <c r="O1172" i="1"/>
  <c r="O1280" i="1"/>
  <c r="O1272" i="1"/>
  <c r="O1142" i="1"/>
  <c r="O1178" i="1"/>
  <c r="O1244" i="1"/>
  <c r="O1168" i="1"/>
  <c r="O1208" i="1"/>
  <c r="O1211" i="1"/>
  <c r="O1273" i="1"/>
  <c r="O1162" i="1"/>
  <c r="O1202" i="1"/>
  <c r="O1274" i="1"/>
  <c r="O1264" i="1"/>
  <c r="O1269" i="1"/>
  <c r="O1143" i="1"/>
  <c r="O1213" i="1"/>
  <c r="O1144" i="1"/>
  <c r="O1236" i="1"/>
  <c r="O1237" i="1"/>
  <c r="O1241" i="1"/>
  <c r="O1286" i="1"/>
  <c r="O1291" i="1"/>
  <c r="O1296" i="1"/>
  <c r="O1297" i="1"/>
  <c r="O1301" i="1"/>
  <c r="O1294" i="1"/>
  <c r="O1310" i="1"/>
  <c r="O1312" i="1"/>
  <c r="O1085" i="1"/>
  <c r="O1324" i="1"/>
  <c r="O1326" i="1"/>
  <c r="O1319" i="1"/>
  <c r="O1329" i="1"/>
  <c r="O1335" i="1"/>
  <c r="O1337" i="1"/>
  <c r="O1339" i="1"/>
  <c r="O1342" i="1"/>
  <c r="O1333" i="1"/>
  <c r="O1353" i="1"/>
  <c r="O1355" i="1"/>
  <c r="O1359" i="1"/>
  <c r="O1367" i="1"/>
  <c r="O1369" i="1"/>
  <c r="O1370" i="1"/>
  <c r="O1379" i="1"/>
  <c r="O1380" i="1"/>
  <c r="O1486" i="1"/>
  <c r="O1587" i="1"/>
  <c r="O1431" i="1"/>
  <c r="O1438" i="1"/>
  <c r="O1460" i="1"/>
  <c r="O1494" i="1"/>
  <c r="O1577" i="1"/>
  <c r="O1581" i="1"/>
  <c r="O1381" i="1"/>
  <c r="O1605" i="1"/>
  <c r="O1488" i="1"/>
  <c r="O1442" i="1"/>
  <c r="O1601" i="1"/>
  <c r="O1518" i="1"/>
  <c r="O1573" i="1"/>
  <c r="O1454" i="1"/>
  <c r="O1475" i="1"/>
  <c r="O1562" i="1"/>
  <c r="O1382" i="1"/>
  <c r="O1383" i="1"/>
  <c r="O1410" i="1"/>
  <c r="O1499" i="1"/>
  <c r="O1384" i="1"/>
  <c r="O1385" i="1"/>
  <c r="O1386" i="1"/>
  <c r="O1606" i="1"/>
  <c r="O1502" i="1"/>
  <c r="O1595" i="1"/>
  <c r="O1611" i="1"/>
  <c r="O1387" i="1"/>
  <c r="O1436" i="1"/>
  <c r="O1603" i="1"/>
  <c r="O1588" i="1"/>
  <c r="O1597" i="1"/>
  <c r="O1373" i="1"/>
  <c r="O1447" i="1"/>
  <c r="O1503" i="1"/>
  <c r="O1599" i="1"/>
  <c r="O1469" i="1"/>
  <c r="O1504" i="1"/>
  <c r="O1463" i="1"/>
  <c r="O1388" i="1"/>
  <c r="O1389" i="1"/>
  <c r="O1449" i="1"/>
  <c r="O1505" i="1"/>
  <c r="O1506" i="1"/>
  <c r="O1434" i="1"/>
  <c r="O1578" i="1"/>
  <c r="O1582" i="1"/>
  <c r="O1429" i="1"/>
  <c r="O1497" i="1"/>
  <c r="O1571" i="1"/>
  <c r="O1613" i="1"/>
  <c r="O1390" i="1"/>
  <c r="O1507" i="1"/>
  <c r="O1589" i="1"/>
  <c r="O1391" i="1"/>
  <c r="O1408" i="1"/>
  <c r="O1490" i="1"/>
  <c r="O1508" i="1"/>
  <c r="O1392" i="1"/>
  <c r="O1413" i="1"/>
  <c r="O1417" i="1"/>
  <c r="O1440" i="1"/>
  <c r="O1451" i="1"/>
  <c r="O1567" i="1"/>
  <c r="O1568" i="1"/>
  <c r="O1590" i="1"/>
  <c r="O1619" i="1"/>
  <c r="O1623" i="1"/>
  <c r="O1626" i="1"/>
  <c r="O1634" i="1"/>
  <c r="O708" i="1"/>
  <c r="O1651" i="1"/>
  <c r="O1659" i="1"/>
  <c r="O1663" i="1"/>
  <c r="O1646" i="1"/>
  <c r="O1665" i="1"/>
  <c r="O1672" i="1"/>
  <c r="O1674" i="1"/>
  <c r="O1678" i="1"/>
  <c r="O1680" i="1"/>
  <c r="O1689" i="1"/>
  <c r="O1695" i="1"/>
  <c r="O1721" i="1"/>
  <c r="O1717" i="1"/>
  <c r="O1727" i="1"/>
  <c r="O1729" i="1"/>
  <c r="O1732" i="1"/>
  <c r="O1735" i="1"/>
  <c r="O1742" i="1"/>
  <c r="O1746" i="1"/>
  <c r="O1763" i="1"/>
  <c r="O1769" i="1"/>
  <c r="O1770" i="1"/>
  <c r="O1778" i="1"/>
  <c r="O1779" i="1"/>
  <c r="O1782" i="1"/>
  <c r="O1785" i="1"/>
  <c r="O1787" i="1"/>
  <c r="O1789" i="1"/>
  <c r="O1809" i="1"/>
  <c r="O1811" i="1"/>
  <c r="O1813" i="1"/>
  <c r="O1815" i="1"/>
  <c r="O1817" i="1"/>
  <c r="O1826" i="1"/>
  <c r="O1828" i="1"/>
  <c r="O1820" i="1"/>
  <c r="O1848" i="1"/>
  <c r="O1859" i="1"/>
  <c r="O1862" i="1"/>
  <c r="O1857" i="1"/>
  <c r="O1866" i="1"/>
  <c r="O1869" i="1"/>
  <c r="O1878" i="1"/>
  <c r="O1879" i="1"/>
  <c r="O2560" i="1"/>
  <c r="O2828" i="1"/>
  <c r="O3755" i="1"/>
  <c r="O3234" i="1"/>
  <c r="O3758" i="1"/>
  <c r="O3760" i="1"/>
  <c r="O3761" i="1"/>
  <c r="O3763" i="1"/>
  <c r="O3764" i="1"/>
  <c r="O3765" i="1"/>
  <c r="O3767" i="1"/>
  <c r="O3768" i="1"/>
  <c r="O3770" i="1"/>
  <c r="O3771" i="1"/>
  <c r="O3773" i="1"/>
  <c r="O3774" i="1"/>
  <c r="O3775" i="1"/>
  <c r="O3776" i="1"/>
  <c r="O3777" i="1"/>
  <c r="O3778" i="1"/>
  <c r="O3780" i="1"/>
  <c r="O3782" i="1"/>
  <c r="O3783" i="1"/>
  <c r="O3781" i="1"/>
  <c r="O3784" i="1"/>
  <c r="O3785" i="1"/>
  <c r="O3786" i="1"/>
  <c r="O3787" i="1"/>
  <c r="O3788" i="1"/>
  <c r="O3796" i="1"/>
  <c r="O3797" i="1"/>
  <c r="O3799" i="1"/>
  <c r="O3801" i="1"/>
  <c r="O3802" i="1"/>
  <c r="O3805" i="1"/>
  <c r="O3806" i="1"/>
  <c r="O3803" i="1"/>
  <c r="O3807" i="1"/>
  <c r="O3809" i="1"/>
  <c r="O3810" i="1"/>
  <c r="O3811" i="1"/>
  <c r="O3812" i="1"/>
  <c r="O3813" i="1"/>
  <c r="O3804" i="1"/>
  <c r="O3814" i="1"/>
  <c r="O3815" i="1"/>
  <c r="O3816" i="1"/>
  <c r="O3818" i="1"/>
  <c r="O3819" i="1"/>
  <c r="O3851" i="1"/>
  <c r="O3898" i="1"/>
  <c r="O4016" i="1"/>
  <c r="O4021" i="1"/>
  <c r="O3913" i="1"/>
  <c r="O4008" i="1"/>
  <c r="O4012" i="1"/>
  <c r="O3868" i="1"/>
  <c r="O3840" i="1"/>
  <c r="O3845" i="1"/>
  <c r="O3847" i="1"/>
  <c r="O3863" i="1"/>
  <c r="O3865" i="1"/>
  <c r="O4010" i="1"/>
  <c r="O3880" i="1"/>
  <c r="O3901" i="1"/>
  <c r="O3902" i="1"/>
  <c r="O3904" i="1"/>
  <c r="O3918" i="1"/>
  <c r="O3919" i="1"/>
  <c r="O3853" i="1"/>
  <c r="O3883" i="1"/>
  <c r="O4013" i="1"/>
  <c r="O3900" i="1"/>
  <c r="O3971" i="1"/>
  <c r="O3984" i="1"/>
  <c r="O3990" i="1"/>
  <c r="O3991" i="1"/>
  <c r="O4002" i="1"/>
  <c r="O3820" i="1"/>
  <c r="O3841" i="1"/>
  <c r="O4011" i="1"/>
  <c r="O3874" i="1"/>
  <c r="O3867" i="1"/>
  <c r="O3871" i="1"/>
  <c r="O4003" i="1"/>
  <c r="O4007" i="1"/>
  <c r="O3821" i="1"/>
  <c r="O3872" i="1"/>
  <c r="O3873" i="1"/>
  <c r="O3884" i="1"/>
  <c r="O3899" i="1"/>
  <c r="O3909" i="1"/>
  <c r="O4017" i="1"/>
  <c r="O3999" i="1"/>
  <c r="O4004" i="1"/>
  <c r="O4022" i="1"/>
  <c r="O3822" i="1"/>
  <c r="O3823" i="1"/>
  <c r="O3824" i="1"/>
  <c r="O3825" i="1"/>
  <c r="O3869" i="1"/>
  <c r="O3925" i="1"/>
  <c r="O3993" i="1"/>
  <c r="O3826" i="1"/>
  <c r="O3846" i="1"/>
  <c r="O3857" i="1"/>
  <c r="O3866" i="1"/>
  <c r="O3977" i="1"/>
  <c r="O3903" i="1"/>
  <c r="O3915" i="1"/>
  <c r="O4018" i="1"/>
  <c r="O3920" i="1"/>
  <c r="O3973" i="1"/>
  <c r="O3974" i="1"/>
  <c r="O4023" i="1"/>
  <c r="O3850" i="1"/>
  <c r="O3881" i="1"/>
  <c r="O3906" i="1"/>
  <c r="O4005" i="1"/>
  <c r="O4000" i="1"/>
  <c r="O3842" i="1"/>
  <c r="O3870" i="1"/>
  <c r="O3876" i="1"/>
  <c r="O3877" i="1"/>
  <c r="O3897" i="1"/>
  <c r="O3972" i="1"/>
  <c r="O3992" i="1"/>
  <c r="O3882" i="1"/>
  <c r="O3885" i="1"/>
  <c r="O3886" i="1"/>
  <c r="O3976" i="1"/>
  <c r="O3978" i="1"/>
  <c r="O3910" i="1"/>
  <c r="O4019" i="1"/>
  <c r="O3979" i="1"/>
  <c r="O3997" i="1"/>
  <c r="O4024" i="1"/>
  <c r="O3827" i="1"/>
  <c r="O3859" i="1"/>
  <c r="O3907" i="1"/>
  <c r="O3912" i="1"/>
  <c r="O3975" i="1"/>
  <c r="O3985" i="1"/>
  <c r="O3994" i="1"/>
  <c r="O3838" i="1"/>
  <c r="O3858" i="1"/>
  <c r="O3860" i="1"/>
  <c r="O3908" i="1"/>
  <c r="O4020" i="1"/>
  <c r="O3921" i="1"/>
  <c r="O4006" i="1"/>
  <c r="O4025" i="1"/>
  <c r="O3839" i="1"/>
  <c r="O3864" i="1"/>
  <c r="O3922" i="1"/>
  <c r="O3887" i="1"/>
  <c r="O3905" i="1"/>
  <c r="O3917" i="1"/>
  <c r="O3982" i="1"/>
  <c r="O3983" i="1"/>
  <c r="O4027" i="1"/>
  <c r="O4028" i="1"/>
  <c r="O4030" i="1"/>
  <c r="O4031" i="1"/>
  <c r="O4033" i="1"/>
  <c r="O4036" i="1"/>
  <c r="O4037" i="1"/>
  <c r="O4039" i="1"/>
  <c r="O4035" i="1"/>
  <c r="O4040" i="1"/>
  <c r="O4041" i="1"/>
  <c r="O4042" i="1"/>
  <c r="O4046" i="1"/>
  <c r="O4047" i="1"/>
  <c r="O679" i="1"/>
  <c r="O4048" i="1"/>
  <c r="O4043" i="1"/>
  <c r="O4051" i="1"/>
  <c r="O4055" i="1"/>
  <c r="O4056" i="1"/>
  <c r="O4057" i="1"/>
  <c r="O4053" i="1"/>
  <c r="O4059" i="1"/>
  <c r="O4060" i="1"/>
  <c r="O4054" i="1"/>
  <c r="O4062" i="1"/>
  <c r="O4063" i="1"/>
  <c r="O4064" i="1"/>
  <c r="O4065" i="1"/>
  <c r="O4066" i="1"/>
  <c r="O4067" i="1"/>
  <c r="O4068" i="1"/>
  <c r="O4073" i="1"/>
  <c r="O4074" i="1"/>
  <c r="O4076" i="1"/>
  <c r="O4078" i="1"/>
  <c r="O4079" i="1"/>
  <c r="O4080" i="1"/>
  <c r="O4081" i="1"/>
  <c r="O4082" i="1"/>
  <c r="O4083" i="1"/>
  <c r="O4090" i="1"/>
  <c r="O4091" i="1"/>
  <c r="O4087" i="1"/>
  <c r="O4088" i="1"/>
  <c r="O4089" i="1"/>
  <c r="O4086" i="1"/>
  <c r="O4093" i="1"/>
  <c r="O4094" i="1"/>
  <c r="O4095" i="1"/>
  <c r="O4096" i="1"/>
  <c r="O4097" i="1"/>
  <c r="O4098" i="1"/>
  <c r="O4099" i="1"/>
  <c r="O4100" i="1"/>
  <c r="O4101" i="1"/>
  <c r="O4102" i="1"/>
  <c r="O4105" i="1"/>
  <c r="O4106" i="1"/>
  <c r="O4107" i="1"/>
  <c r="O4103" i="1"/>
  <c r="O4104" i="1"/>
  <c r="O4110" i="1"/>
  <c r="O4111" i="1"/>
  <c r="O4112" i="1"/>
  <c r="O4113" i="1"/>
  <c r="O4114" i="1"/>
  <c r="O4115" i="1"/>
  <c r="O4116" i="1"/>
  <c r="O4117" i="1"/>
  <c r="O4120" i="1"/>
  <c r="O4121" i="1"/>
  <c r="O4122" i="1"/>
  <c r="O4123" i="1"/>
  <c r="O4124" i="1"/>
  <c r="O4125" i="1"/>
  <c r="O4126" i="1"/>
  <c r="O4127" i="1"/>
  <c r="O4128" i="1"/>
  <c r="O4129" i="1"/>
  <c r="O4132" i="1"/>
  <c r="O4135" i="1"/>
  <c r="O4136" i="1"/>
  <c r="O4137" i="1"/>
  <c r="O4138" i="1"/>
  <c r="O4133" i="1"/>
  <c r="O4139" i="1"/>
  <c r="O4134" i="1"/>
  <c r="O4140" i="1"/>
  <c r="O4142" i="1"/>
  <c r="O4144" i="1"/>
  <c r="O4145" i="1"/>
  <c r="O4146" i="1"/>
  <c r="O4147" i="1"/>
  <c r="O4148" i="1"/>
  <c r="O4151" i="1"/>
  <c r="O4149" i="1"/>
  <c r="O4152" i="1"/>
  <c r="O4153" i="1"/>
  <c r="O4154" i="1"/>
  <c r="O4155" i="1"/>
  <c r="O4156" i="1"/>
  <c r="O4157" i="1"/>
  <c r="O4150" i="1"/>
  <c r="O4159" i="1"/>
  <c r="O4160" i="1"/>
  <c r="O4162" i="1"/>
  <c r="O4163" i="1"/>
  <c r="O4164" i="1"/>
  <c r="O4168" i="1"/>
  <c r="O4165" i="1"/>
  <c r="O4169" i="1"/>
  <c r="O4170" i="1"/>
  <c r="O4172" i="1"/>
  <c r="O4173" i="1"/>
  <c r="O4174" i="1"/>
  <c r="O4175" i="1"/>
  <c r="O4179" i="1"/>
  <c r="O4180" i="1"/>
  <c r="O4181" i="1"/>
  <c r="O4184" i="1"/>
  <c r="O4185" i="1"/>
  <c r="O4186" i="1"/>
  <c r="O4187" i="1"/>
  <c r="O4189" i="1"/>
  <c r="O4190" i="1"/>
  <c r="O4191" i="1"/>
  <c r="O4192" i="1"/>
  <c r="O4193" i="1"/>
  <c r="O4194" i="1"/>
  <c r="O4203" i="1"/>
  <c r="O3045" i="1"/>
  <c r="O4195" i="1"/>
  <c r="O4205" i="1"/>
  <c r="O4197" i="1"/>
  <c r="O4207" i="1"/>
  <c r="O4208" i="1"/>
  <c r="O4200" i="1"/>
  <c r="O4209" i="1"/>
  <c r="O4212" i="1"/>
  <c r="O4213" i="1"/>
  <c r="O4214" i="1"/>
  <c r="O4215" i="1"/>
  <c r="O4201" i="1"/>
  <c r="O4229" i="1"/>
  <c r="O4219" i="1"/>
  <c r="O4217" i="1"/>
  <c r="O4220" i="1"/>
  <c r="O4221" i="1"/>
  <c r="O4222" i="1"/>
  <c r="O4224" i="1"/>
  <c r="O4225" i="1"/>
  <c r="O4228" i="1"/>
  <c r="O4230" i="1"/>
  <c r="O4232" i="1"/>
  <c r="O4233" i="1"/>
  <c r="O4234" i="1"/>
  <c r="O4235" i="1"/>
  <c r="O4236" i="1"/>
  <c r="O4237" i="1"/>
  <c r="O4239" i="1"/>
  <c r="O4240" i="1"/>
  <c r="O4241" i="1"/>
  <c r="O4243" i="1"/>
  <c r="O4244" i="1"/>
  <c r="O4246" i="1"/>
  <c r="O4247" i="1"/>
  <c r="O4248" i="1"/>
  <c r="O4255" i="1"/>
  <c r="O4256" i="1"/>
  <c r="O4251" i="1"/>
  <c r="O4257" i="1"/>
  <c r="O4258" i="1"/>
  <c r="O4252" i="1"/>
  <c r="O4260" i="1"/>
  <c r="O4261" i="1"/>
  <c r="O4263" i="1"/>
  <c r="O4264" i="1"/>
  <c r="O4265" i="1"/>
  <c r="O4266" i="1"/>
  <c r="O4267" i="1"/>
  <c r="O4268" i="1"/>
  <c r="O4269" i="1"/>
  <c r="O4270" i="1"/>
  <c r="O4271" i="1"/>
  <c r="O4273" i="1"/>
  <c r="O4274" i="1"/>
  <c r="O4275" i="1"/>
  <c r="O4276" i="1"/>
  <c r="O4280" i="1"/>
  <c r="O4281" i="1"/>
  <c r="O4282" i="1"/>
  <c r="O4277" i="1"/>
  <c r="O4283" i="1"/>
  <c r="O4284" i="1"/>
  <c r="O4285" i="1"/>
  <c r="O4278" i="1"/>
  <c r="O4288" i="1"/>
  <c r="O4289" i="1"/>
  <c r="O4291" i="1"/>
  <c r="O4292" i="1"/>
  <c r="O4293" i="1"/>
  <c r="O4294" i="1"/>
  <c r="O4297" i="1"/>
  <c r="O4298" i="1"/>
  <c r="O4299" i="1"/>
  <c r="O4301" i="1"/>
  <c r="O4303" i="1"/>
  <c r="O4304" i="1"/>
  <c r="O4305" i="1"/>
  <c r="O4306" i="1"/>
  <c r="O4307" i="1"/>
  <c r="O4310" i="1"/>
  <c r="O4308" i="1"/>
  <c r="O4311" i="1"/>
  <c r="O4312" i="1"/>
  <c r="O4315" i="1"/>
  <c r="O4317" i="1"/>
  <c r="O4313" i="1"/>
  <c r="O4321" i="1"/>
  <c r="O4322" i="1"/>
  <c r="O4323" i="1"/>
  <c r="O4314" i="1"/>
  <c r="O4325" i="1"/>
  <c r="O4327" i="1"/>
  <c r="O4324" i="1"/>
  <c r="O4328" i="1"/>
  <c r="O4330" i="1"/>
  <c r="O4331" i="1"/>
  <c r="O4334" i="1"/>
  <c r="O4335" i="1"/>
  <c r="O4336" i="1"/>
  <c r="O4339" i="1"/>
  <c r="O4340" i="1"/>
  <c r="O4341" i="1"/>
  <c r="O4342" i="1"/>
  <c r="O4345" i="1"/>
  <c r="O4346" i="1"/>
  <c r="O4347" i="1"/>
  <c r="O4348" i="1"/>
  <c r="O4349" i="1"/>
  <c r="O4350" i="1"/>
  <c r="O4351" i="1"/>
  <c r="O4356" i="1"/>
  <c r="O4357" i="1"/>
  <c r="O4359" i="1"/>
  <c r="O4360" i="1"/>
  <c r="O4361" i="1"/>
  <c r="O4354" i="1"/>
  <c r="O4355" i="1"/>
  <c r="O4362" i="1"/>
  <c r="O4363" i="1"/>
  <c r="O4364" i="1"/>
  <c r="O4365" i="1"/>
  <c r="O4366" i="1"/>
  <c r="O4367" i="1"/>
  <c r="O4368" i="1"/>
  <c r="O4369" i="1"/>
  <c r="O4370" i="1"/>
  <c r="O4371" i="1"/>
  <c r="O4373" i="1"/>
  <c r="O4375" i="1"/>
  <c r="O4376" i="1"/>
  <c r="O4377" i="1"/>
  <c r="O4379" i="1"/>
  <c r="O4380" i="1"/>
  <c r="O4381" i="1"/>
  <c r="O4382" i="1"/>
  <c r="O4383" i="1"/>
  <c r="O4385" i="1"/>
  <c r="O4386" i="1"/>
  <c r="O4389" i="1"/>
  <c r="O4391" i="1"/>
  <c r="O4392" i="1"/>
  <c r="O4393" i="1"/>
  <c r="O4394" i="1"/>
  <c r="O4395" i="1"/>
  <c r="O4396" i="1"/>
  <c r="O4398" i="1"/>
  <c r="O2660" i="1"/>
  <c r="O4400" i="1"/>
  <c r="O4401" i="1"/>
  <c r="O4404" i="1"/>
  <c r="O4406" i="1"/>
  <c r="O4407" i="1"/>
  <c r="O4410" i="1"/>
  <c r="O4411" i="1"/>
  <c r="O4414" i="1"/>
  <c r="O4416" i="1"/>
  <c r="O4417" i="1"/>
  <c r="O4419" i="1"/>
  <c r="O4420" i="1"/>
  <c r="O4421" i="1"/>
  <c r="O4422" i="1"/>
  <c r="O4423" i="1"/>
  <c r="O4424" i="1"/>
  <c r="O4425" i="1"/>
  <c r="O4426" i="1"/>
  <c r="O4427" i="1"/>
  <c r="O4429" i="1"/>
  <c r="O4428" i="1"/>
  <c r="O4431" i="1"/>
  <c r="O4435" i="1"/>
  <c r="O4436" i="1"/>
  <c r="O4438" i="1"/>
  <c r="O4439" i="1"/>
  <c r="O4441" i="1"/>
  <c r="O4442" i="1"/>
  <c r="O4444" i="1"/>
  <c r="O4445" i="1"/>
  <c r="O4446" i="1"/>
  <c r="O4447" i="1"/>
  <c r="O4449" i="1"/>
  <c r="O4451" i="1"/>
  <c r="O4453" i="1"/>
  <c r="O4454" i="1"/>
  <c r="O4455" i="1"/>
  <c r="O4456" i="1"/>
  <c r="O4458" i="1"/>
  <c r="O4459" i="1"/>
  <c r="O4460" i="1"/>
  <c r="O4461" i="1"/>
  <c r="O4465" i="1"/>
  <c r="O4468" i="1"/>
  <c r="O4463" i="1"/>
  <c r="O4470" i="1"/>
  <c r="O4471" i="1"/>
  <c r="O4472" i="1"/>
  <c r="O4474" i="1"/>
  <c r="O4476" i="1"/>
  <c r="O4473" i="1"/>
  <c r="O4478" i="1"/>
  <c r="O4479" i="1"/>
  <c r="O4480" i="1"/>
  <c r="O4481" i="1"/>
  <c r="O4482" i="1"/>
  <c r="O4483" i="1"/>
  <c r="O4486" i="1"/>
  <c r="O4487" i="1"/>
  <c r="O4484" i="1"/>
  <c r="O4488" i="1"/>
  <c r="O4485" i="1"/>
  <c r="O4489" i="1"/>
  <c r="O4494" i="1"/>
  <c r="O4495" i="1"/>
  <c r="O4496" i="1"/>
  <c r="O4497" i="1"/>
  <c r="O4501" i="1"/>
  <c r="O4502" i="1"/>
  <c r="O4503" i="1"/>
  <c r="O4504" i="1"/>
  <c r="O4505" i="1"/>
  <c r="O4506" i="1"/>
  <c r="O4507" i="1"/>
  <c r="O4508" i="1"/>
  <c r="O4510" i="1"/>
  <c r="O4511" i="1"/>
  <c r="O4512" i="1"/>
  <c r="O4513" i="1"/>
  <c r="O4515" i="1"/>
  <c r="O4517" i="1"/>
  <c r="O4518" i="1"/>
  <c r="O4520" i="1"/>
  <c r="O4521" i="1"/>
  <c r="O4522" i="1"/>
  <c r="O4523" i="1"/>
  <c r="O4524" i="1"/>
  <c r="O4525" i="1"/>
  <c r="O4526" i="1"/>
  <c r="O4527" i="1"/>
  <c r="O4530" i="1"/>
  <c r="O4531" i="1"/>
  <c r="O4532" i="1"/>
  <c r="O4533" i="1"/>
  <c r="O4534" i="1"/>
  <c r="O4537" i="1"/>
  <c r="O4538" i="1"/>
  <c r="O4540" i="1"/>
  <c r="O4542" i="1"/>
  <c r="O4543" i="1"/>
  <c r="O4545" i="1"/>
  <c r="O4548" i="1"/>
  <c r="O4549" i="1"/>
  <c r="O4550" i="1"/>
  <c r="O4552" i="1"/>
  <c r="O4553" i="1"/>
  <c r="O4555" i="1"/>
  <c r="O4556" i="1"/>
  <c r="O4557" i="1"/>
  <c r="O4558" i="1"/>
  <c r="O4559" i="1"/>
  <c r="O4560" i="1"/>
  <c r="O4561" i="1"/>
  <c r="O4562" i="1"/>
  <c r="O4563" i="1"/>
  <c r="O4564" i="1"/>
  <c r="O4565" i="1"/>
  <c r="O4566" i="1"/>
  <c r="O4567" i="1"/>
  <c r="O4568" i="1"/>
  <c r="O4569" i="1"/>
  <c r="O4571" i="1"/>
  <c r="O4572" i="1"/>
  <c r="O4573" i="1"/>
  <c r="O4574" i="1"/>
  <c r="O4576" i="1"/>
  <c r="O4577" i="1"/>
  <c r="O4579" i="1"/>
  <c r="O4580" i="1"/>
  <c r="O4581" i="1"/>
  <c r="O4582" i="1"/>
  <c r="O4585" i="1"/>
  <c r="O2469" i="1"/>
  <c r="O4587" i="1"/>
  <c r="O4588" i="1"/>
  <c r="O4589" i="1"/>
  <c r="O4590" i="1"/>
  <c r="O4593" i="1"/>
  <c r="O4595" i="1"/>
  <c r="O4597" i="1"/>
  <c r="O4599" i="1"/>
  <c r="O4600" i="1"/>
  <c r="O4602" i="1"/>
  <c r="O4603" i="1"/>
  <c r="O4606" i="1"/>
  <c r="O4607" i="1"/>
  <c r="O4608" i="1"/>
  <c r="O4611" i="1"/>
  <c r="O4612" i="1"/>
  <c r="O4613" i="1"/>
  <c r="O4614" i="1"/>
  <c r="O4615" i="1"/>
  <c r="O4616" i="1"/>
  <c r="O4617" i="1"/>
  <c r="O4620" i="1"/>
  <c r="O4621" i="1"/>
  <c r="O4622" i="1"/>
  <c r="O4623" i="1"/>
  <c r="O4624" i="1"/>
  <c r="O4630" i="1"/>
  <c r="O4626" i="1"/>
  <c r="O4632" i="1"/>
  <c r="O4628" i="1"/>
  <c r="O4634" i="1"/>
  <c r="O4636" i="1"/>
  <c r="O4637" i="1"/>
  <c r="O4638" i="1"/>
  <c r="O4640" i="1"/>
  <c r="O4641" i="1"/>
  <c r="O4639" i="1"/>
  <c r="O4642" i="1"/>
  <c r="O4643" i="1"/>
  <c r="O4644" i="1"/>
  <c r="O4645" i="1"/>
  <c r="O4646" i="1"/>
  <c r="O4647" i="1"/>
  <c r="O4649" i="1"/>
  <c r="O4650" i="1"/>
  <c r="O4651" i="1"/>
  <c r="O4654" i="1"/>
  <c r="O4655" i="1"/>
  <c r="O4656" i="1"/>
  <c r="O4657" i="1"/>
  <c r="O4652" i="1"/>
  <c r="O4658" i="1"/>
  <c r="O4653" i="1"/>
  <c r="O4659" i="1"/>
  <c r="O4662" i="1"/>
  <c r="O4666" i="1"/>
  <c r="O4668" i="1"/>
  <c r="O4670" i="1"/>
  <c r="O4672" i="1"/>
  <c r="O4674" i="1"/>
  <c r="O4675" i="1"/>
  <c r="O4676" i="1"/>
  <c r="O4677" i="1"/>
  <c r="O4678" i="1"/>
  <c r="O4679" i="1"/>
  <c r="O4680" i="1"/>
  <c r="O4682" i="1"/>
  <c r="O4689" i="1"/>
  <c r="O4690" i="1"/>
  <c r="O4684" i="1"/>
  <c r="O4686" i="1"/>
  <c r="O4691" i="1"/>
  <c r="O4687" i="1"/>
  <c r="O4697" i="1"/>
  <c r="O4698" i="1"/>
  <c r="O4699" i="1"/>
  <c r="O4700" i="1"/>
  <c r="O4694" i="1"/>
  <c r="O4701" i="1"/>
  <c r="O4703" i="1"/>
  <c r="O4704" i="1"/>
  <c r="O4705" i="1"/>
  <c r="O4706" i="1"/>
  <c r="O4708" i="1"/>
  <c r="O4709" i="1"/>
  <c r="O4710" i="1"/>
  <c r="O4712" i="1"/>
  <c r="O4713" i="1"/>
  <c r="O4714" i="1"/>
  <c r="O4715" i="1"/>
  <c r="O4717" i="1"/>
  <c r="O4716" i="1"/>
  <c r="O4719" i="1"/>
  <c r="O4720" i="1"/>
  <c r="O4721" i="1"/>
  <c r="O4722" i="1"/>
  <c r="O4723" i="1"/>
  <c r="O4724" i="1"/>
  <c r="O4725" i="1"/>
  <c r="O4726" i="1"/>
  <c r="O4728" i="1"/>
  <c r="O4729" i="1"/>
  <c r="O4734" i="1"/>
  <c r="O4735" i="1"/>
  <c r="O4736" i="1"/>
  <c r="O4730" i="1"/>
  <c r="O4731" i="1"/>
  <c r="O4740" i="1"/>
  <c r="O4743" i="1"/>
  <c r="O4744" i="1"/>
  <c r="O4747" i="1"/>
  <c r="O4749" i="1"/>
  <c r="O4750" i="1"/>
  <c r="O4751" i="1"/>
  <c r="O4752" i="1"/>
  <c r="O4753" i="1"/>
  <c r="O4754" i="1"/>
  <c r="O4755" i="1"/>
  <c r="O4756" i="1"/>
  <c r="O4757" i="1"/>
  <c r="O4762" i="1"/>
  <c r="O4763" i="1"/>
  <c r="O4764" i="1"/>
  <c r="O4767" i="1"/>
  <c r="O4768" i="1"/>
  <c r="O4769" i="1"/>
  <c r="O4770" i="1"/>
  <c r="O4772" i="1"/>
  <c r="O4774" i="1"/>
  <c r="O4775" i="1"/>
  <c r="O4776" i="1"/>
  <c r="O4777" i="1"/>
  <c r="O4779" i="1"/>
  <c r="O4781" i="1"/>
  <c r="O4783" i="1"/>
  <c r="O4784" i="1"/>
  <c r="O4785" i="1"/>
  <c r="O4787" i="1"/>
  <c r="O4788" i="1"/>
  <c r="O4789" i="1"/>
  <c r="O4790" i="1"/>
  <c r="O4791" i="1"/>
  <c r="O4792" i="1"/>
  <c r="O4793" i="1"/>
  <c r="O4801" i="1"/>
  <c r="O4796" i="1"/>
  <c r="O4803" i="1"/>
  <c r="O4804" i="1"/>
  <c r="O4805" i="1"/>
  <c r="O4798" i="1"/>
  <c r="O4806" i="1"/>
  <c r="O4800" i="1"/>
  <c r="O4810" i="1"/>
  <c r="O4807" i="1"/>
  <c r="O4811" i="1"/>
  <c r="O4812" i="1"/>
  <c r="O4815" i="1"/>
  <c r="O4819" i="1"/>
  <c r="O4813" i="1"/>
  <c r="O4821" i="1"/>
  <c r="O4822" i="1"/>
  <c r="O4826" i="1"/>
  <c r="O4814" i="1"/>
  <c r="O4827" i="1"/>
  <c r="O4829" i="1"/>
  <c r="O4830" i="1"/>
  <c r="O4831" i="1"/>
  <c r="O4834" i="1"/>
  <c r="O4835" i="1"/>
  <c r="O4837" i="1"/>
  <c r="O4838" i="1"/>
  <c r="O4839" i="1"/>
  <c r="O4840" i="1"/>
  <c r="O4843" i="1"/>
  <c r="O4844" i="1"/>
  <c r="O4845" i="1"/>
  <c r="O4846" i="1"/>
  <c r="O4842" i="1"/>
  <c r="O4847" i="1"/>
  <c r="O4848" i="1"/>
  <c r="O4851" i="1"/>
  <c r="O4852" i="1"/>
  <c r="O4849" i="1"/>
  <c r="O4853" i="1"/>
  <c r="O4850" i="1"/>
  <c r="O4856" i="1"/>
  <c r="O4857" i="1"/>
  <c r="O4860" i="1"/>
  <c r="O4861" i="1"/>
  <c r="O4862" i="1"/>
  <c r="O4863" i="1"/>
  <c r="O4864" i="1"/>
  <c r="O4866" i="1"/>
  <c r="O4867" i="1"/>
  <c r="O4868" i="1"/>
  <c r="O4869" i="1"/>
  <c r="O4870" i="1"/>
  <c r="O4872" i="1"/>
  <c r="O4873" i="1"/>
  <c r="O4874" i="1"/>
  <c r="O4875" i="1"/>
  <c r="O4878" i="1"/>
  <c r="O4879" i="1"/>
  <c r="O4880" i="1"/>
  <c r="O4881" i="1"/>
  <c r="O4882" i="1"/>
  <c r="O4883" i="1"/>
  <c r="O4884" i="1"/>
  <c r="O4887" i="1"/>
  <c r="O4888" i="1"/>
  <c r="O4889" i="1"/>
  <c r="O4890" i="1"/>
  <c r="O4893" i="1"/>
  <c r="O4894" i="1"/>
  <c r="O4895" i="1"/>
  <c r="O4898" i="1"/>
  <c r="O4903" i="1"/>
  <c r="O4904" i="1"/>
  <c r="O4905" i="1"/>
  <c r="O4907" i="1"/>
  <c r="O4908" i="1"/>
  <c r="O4909" i="1"/>
  <c r="O4910" i="1"/>
  <c r="O4911" i="1"/>
  <c r="O4912" i="1"/>
  <c r="O4913" i="1"/>
  <c r="O4914" i="1"/>
  <c r="O4915" i="1"/>
  <c r="O4916" i="1"/>
  <c r="O4917" i="1"/>
  <c r="O4919" i="1"/>
  <c r="O4921" i="1"/>
  <c r="O4922" i="1"/>
  <c r="O4923" i="1"/>
  <c r="O4926" i="1"/>
  <c r="O4927" i="1"/>
  <c r="O4928" i="1"/>
  <c r="O4931" i="1"/>
  <c r="O4932" i="1"/>
  <c r="O4934" i="1"/>
  <c r="O4935" i="1"/>
  <c r="O4937" i="1"/>
  <c r="O4938" i="1"/>
  <c r="O4940" i="1"/>
  <c r="O4941" i="1"/>
  <c r="O4942" i="1"/>
  <c r="O4943" i="1"/>
  <c r="O4944" i="1"/>
  <c r="O4945" i="1"/>
  <c r="O4946" i="1"/>
  <c r="O4948" i="1"/>
  <c r="O4949" i="1"/>
  <c r="O4950" i="1"/>
  <c r="O4951" i="1"/>
  <c r="O4952" i="1"/>
  <c r="O4953" i="1"/>
  <c r="O4954" i="1"/>
  <c r="O4955" i="1"/>
  <c r="O4956" i="1"/>
  <c r="O4957" i="1"/>
  <c r="O4958" i="1"/>
  <c r="O4959" i="1"/>
  <c r="O4960" i="1"/>
  <c r="O4961" i="1"/>
  <c r="O4962" i="1"/>
  <c r="O4964" i="1"/>
  <c r="O4968" i="1"/>
  <c r="O4966" i="1"/>
  <c r="O4970" i="1"/>
  <c r="O4971" i="1"/>
  <c r="O4967" i="1"/>
  <c r="O4972" i="1"/>
  <c r="O4973" i="1"/>
  <c r="O4976" i="1"/>
  <c r="O4977" i="1"/>
  <c r="O4978" i="1"/>
  <c r="O4979" i="1"/>
  <c r="O4982" i="1"/>
  <c r="O4986" i="1"/>
  <c r="O4987" i="1"/>
  <c r="O4988" i="1"/>
  <c r="O4990" i="1"/>
  <c r="O4991" i="1"/>
  <c r="O4992" i="1"/>
  <c r="O4993" i="1"/>
  <c r="O4994" i="1"/>
  <c r="O4995" i="1"/>
  <c r="O4996" i="1"/>
  <c r="O4997" i="1"/>
  <c r="O4998" i="1"/>
  <c r="O4999" i="1"/>
  <c r="O5000" i="1"/>
  <c r="O5001" i="1"/>
  <c r="O5002" i="1"/>
  <c r="O5003" i="1"/>
  <c r="O5004" i="1"/>
  <c r="O5005" i="1"/>
  <c r="O5006" i="1"/>
  <c r="O5007" i="1"/>
  <c r="O5008" i="1"/>
  <c r="O5009" i="1"/>
  <c r="O5011" i="1"/>
  <c r="O5013" i="1"/>
  <c r="O5019" i="1"/>
  <c r="O5016" i="1"/>
  <c r="O5020" i="1"/>
  <c r="O5022" i="1"/>
  <c r="O5024" i="1"/>
  <c r="O5021" i="1"/>
  <c r="O5025" i="1"/>
  <c r="O5027" i="1"/>
  <c r="O5028" i="1"/>
  <c r="O5029" i="1"/>
  <c r="O5030" i="1"/>
  <c r="O5032" i="1"/>
  <c r="O5033" i="1"/>
  <c r="O5034" i="1"/>
  <c r="O5035" i="1"/>
  <c r="O5036" i="1"/>
  <c r="O5037" i="1"/>
  <c r="O5038" i="1"/>
  <c r="O5039" i="1"/>
  <c r="O5040" i="1"/>
  <c r="O5041" i="1"/>
  <c r="O5042" i="1"/>
  <c r="O5043" i="1"/>
  <c r="O5044" i="1"/>
  <c r="O5048" i="1"/>
  <c r="O5049" i="1"/>
  <c r="O5050" i="1"/>
  <c r="O5051" i="1"/>
  <c r="O5052" i="1"/>
  <c r="O5053" i="1"/>
  <c r="O5054" i="1"/>
  <c r="O5055" i="1"/>
  <c r="O5056" i="1"/>
  <c r="O5057" i="1"/>
  <c r="O5058" i="1"/>
  <c r="O5060" i="1"/>
  <c r="O5061" i="1"/>
  <c r="O5065" i="1"/>
  <c r="O5067" i="1"/>
  <c r="O5068" i="1"/>
  <c r="O5069" i="1"/>
  <c r="O5072" i="1"/>
  <c r="O5071" i="1"/>
  <c r="O5075" i="1"/>
  <c r="O5076" i="1"/>
  <c r="O5078" i="1"/>
  <c r="O5080" i="1"/>
  <c r="O5082" i="1"/>
  <c r="O5084" i="1"/>
  <c r="O5086" i="1"/>
  <c r="O5087" i="1"/>
  <c r="O5088" i="1"/>
  <c r="O5089" i="1"/>
  <c r="O5090" i="1"/>
  <c r="O5091" i="1"/>
  <c r="O5092" i="1"/>
  <c r="O5093" i="1"/>
  <c r="O5094" i="1"/>
  <c r="O5095" i="1"/>
  <c r="O5096" i="1"/>
  <c r="O5097" i="1"/>
  <c r="O5098" i="1"/>
  <c r="O5099" i="1"/>
  <c r="O5101" i="1"/>
  <c r="O5103" i="1"/>
  <c r="O5104" i="1"/>
  <c r="O5105" i="1"/>
  <c r="O5106" i="1"/>
  <c r="O5109" i="1"/>
  <c r="O5111" i="1"/>
  <c r="O5112" i="1"/>
  <c r="O5113" i="1"/>
  <c r="O5114" i="1"/>
  <c r="O5108" i="1"/>
  <c r="O5116" i="1"/>
  <c r="O5118" i="1"/>
  <c r="O5119" i="1"/>
  <c r="O5121" i="1"/>
  <c r="O5122" i="1"/>
  <c r="O5123" i="1"/>
  <c r="O5126" i="1"/>
  <c r="O5128" i="1"/>
  <c r="O5129" i="1"/>
  <c r="O5130" i="1"/>
  <c r="O5131" i="1"/>
  <c r="O5132" i="1"/>
  <c r="O5133" i="1"/>
  <c r="O5125" i="1"/>
  <c r="O5134" i="1"/>
  <c r="O5135" i="1"/>
  <c r="O5136" i="1"/>
  <c r="O5137" i="1"/>
  <c r="O5138" i="1"/>
  <c r="O5139" i="1"/>
  <c r="O5140" i="1"/>
  <c r="O5141" i="1"/>
  <c r="O5142" i="1"/>
  <c r="O5143" i="1"/>
  <c r="O5144" i="1"/>
  <c r="O5145" i="1"/>
  <c r="O5146" i="1"/>
  <c r="O5147" i="1"/>
  <c r="O5148" i="1"/>
  <c r="O5149" i="1"/>
  <c r="O5150" i="1"/>
  <c r="O5151" i="1"/>
  <c r="O5152" i="1"/>
  <c r="O5155" i="1"/>
  <c r="O5156" i="1"/>
  <c r="O5157" i="1"/>
  <c r="O5158" i="1"/>
  <c r="O5153" i="1"/>
  <c r="O5154" i="1"/>
  <c r="O5160" i="1"/>
  <c r="O5162" i="1"/>
  <c r="O5163" i="1"/>
  <c r="O5164" i="1"/>
  <c r="O5165" i="1"/>
  <c r="O5166" i="1"/>
  <c r="O5159" i="1"/>
  <c r="O5167" i="1"/>
  <c r="O5169" i="1"/>
  <c r="O5170" i="1"/>
  <c r="O5172" i="1"/>
  <c r="O5173" i="1"/>
  <c r="O5174" i="1"/>
  <c r="O5175" i="1"/>
  <c r="O5176" i="1"/>
  <c r="O5177" i="1"/>
  <c r="O5178" i="1"/>
  <c r="O5179" i="1"/>
  <c r="O5181" i="1"/>
  <c r="O5182" i="1"/>
  <c r="O5183" i="1"/>
  <c r="O5185" i="1"/>
  <c r="O5186" i="1"/>
  <c r="O5187" i="1"/>
  <c r="O5188" i="1"/>
  <c r="O5189" i="1"/>
  <c r="O5190" i="1"/>
  <c r="O5195" i="1"/>
  <c r="O5191" i="1"/>
  <c r="O5196" i="1"/>
  <c r="O5197" i="1"/>
  <c r="O5193" i="1"/>
  <c r="O5198" i="1"/>
  <c r="O5199" i="1"/>
  <c r="O5200" i="1"/>
  <c r="O5201" i="1"/>
  <c r="O5202" i="1"/>
  <c r="O5205" i="1"/>
  <c r="O5206" i="1"/>
  <c r="O5207" i="1"/>
  <c r="O5203" i="1"/>
  <c r="O5208" i="1"/>
  <c r="O5209" i="1"/>
  <c r="O5210" i="1"/>
  <c r="O5204" i="1"/>
  <c r="O5212" i="1"/>
  <c r="O5213" i="1"/>
  <c r="O5214" i="1"/>
  <c r="O5215" i="1"/>
  <c r="O5216" i="1"/>
  <c r="O5217" i="1"/>
  <c r="O5218" i="1"/>
  <c r="O5219" i="1"/>
  <c r="O5220" i="1"/>
  <c r="O5222" i="1"/>
  <c r="O5223" i="1"/>
  <c r="O5224" i="1"/>
  <c r="O5225" i="1"/>
  <c r="O5226" i="1"/>
  <c r="O5227" i="1"/>
  <c r="O5228" i="1"/>
  <c r="O5229" i="1"/>
  <c r="O5230" i="1"/>
  <c r="O5231" i="1"/>
  <c r="O5232" i="1"/>
  <c r="O5233" i="1"/>
  <c r="O5234" i="1"/>
  <c r="O5235" i="1"/>
  <c r="O5236" i="1"/>
  <c r="O5237" i="1"/>
  <c r="O5238" i="1"/>
  <c r="O5239" i="1"/>
  <c r="O5240" i="1"/>
  <c r="O5241" i="1"/>
  <c r="O5243" i="1"/>
  <c r="O5244" i="1"/>
  <c r="O5245" i="1"/>
  <c r="O5246" i="1"/>
  <c r="O5247" i="1"/>
  <c r="O5248" i="1"/>
  <c r="O5249" i="1"/>
  <c r="O5251" i="1"/>
  <c r="O5253" i="1"/>
  <c r="O5242" i="1"/>
  <c r="O5254" i="1"/>
  <c r="O5255" i="1"/>
  <c r="O5256" i="1"/>
  <c r="O5257" i="1"/>
  <c r="O5258" i="1"/>
  <c r="O5259" i="1"/>
  <c r="O5260" i="1"/>
  <c r="O5262" i="1"/>
  <c r="O5263" i="1"/>
  <c r="O5264" i="1"/>
  <c r="O5265" i="1"/>
  <c r="O5266" i="1"/>
  <c r="O5267" i="1"/>
  <c r="O5268" i="1"/>
  <c r="O5269" i="1"/>
  <c r="O5270" i="1"/>
  <c r="O5271" i="1"/>
  <c r="O5273" i="1"/>
  <c r="O5274" i="1"/>
  <c r="O5275" i="1"/>
  <c r="O5277" i="1"/>
  <c r="O5278" i="1"/>
  <c r="O5279" i="1"/>
  <c r="O5280" i="1"/>
  <c r="O5281" i="1"/>
  <c r="O5272" i="1"/>
  <c r="O5284" i="1"/>
  <c r="O5285" i="1"/>
  <c r="O5286" i="1"/>
  <c r="O5287" i="1"/>
  <c r="O5282" i="1"/>
  <c r="O5288" i="1"/>
  <c r="O5289" i="1"/>
  <c r="O5290" i="1"/>
  <c r="O5291" i="1"/>
  <c r="O5292" i="1"/>
  <c r="O5293" i="1"/>
  <c r="O5283" i="1"/>
  <c r="O5294" i="1"/>
  <c r="O5295" i="1"/>
  <c r="O5296" i="1"/>
  <c r="O5297" i="1"/>
  <c r="O5298" i="1"/>
  <c r="O5299" i="1"/>
  <c r="O5300" i="1"/>
  <c r="O5301" i="1"/>
  <c r="O5302" i="1"/>
  <c r="O5303" i="1"/>
  <c r="O5304" i="1"/>
  <c r="O5305" i="1"/>
  <c r="O5307" i="1"/>
  <c r="O5309" i="1"/>
  <c r="O5310" i="1"/>
  <c r="O5312" i="1"/>
  <c r="O5313" i="1"/>
  <c r="O5314" i="1"/>
  <c r="O5315" i="1"/>
  <c r="O5316" i="1"/>
  <c r="O5317" i="1"/>
  <c r="O5318" i="1"/>
  <c r="O5319" i="1"/>
  <c r="O5320" i="1"/>
  <c r="O5321" i="1"/>
  <c r="O5322" i="1"/>
  <c r="O5324" i="1"/>
  <c r="O5325" i="1"/>
  <c r="O5327" i="1"/>
  <c r="O5329" i="1"/>
  <c r="O5330" i="1"/>
  <c r="O5331" i="1"/>
  <c r="O5332" i="1"/>
  <c r="O5333" i="1"/>
  <c r="O5334" i="1"/>
  <c r="O5335" i="1"/>
  <c r="O5336" i="1"/>
  <c r="O5337" i="1"/>
  <c r="O5338" i="1"/>
  <c r="O5326" i="1"/>
  <c r="O5339" i="1"/>
  <c r="O5340" i="1"/>
  <c r="O5342" i="1"/>
  <c r="O5343" i="1"/>
  <c r="O5345" i="1"/>
  <c r="O5346" i="1"/>
  <c r="O5347" i="1"/>
  <c r="O5348" i="1"/>
  <c r="O5349" i="1"/>
  <c r="O5350" i="1"/>
  <c r="O5351" i="1"/>
  <c r="O5352" i="1"/>
  <c r="O5353" i="1"/>
  <c r="O5354" i="1"/>
  <c r="O5355" i="1"/>
  <c r="O5356" i="1"/>
  <c r="O5357" i="1"/>
  <c r="O5358" i="1"/>
  <c r="O5359" i="1"/>
  <c r="O5361" i="1"/>
  <c r="O5362" i="1"/>
  <c r="O5363" i="1"/>
  <c r="O5364" i="1"/>
  <c r="O5365" i="1"/>
  <c r="O5367" i="1"/>
  <c r="O5368" i="1"/>
  <c r="O5369" i="1"/>
  <c r="O5370" i="1"/>
  <c r="O5371" i="1"/>
  <c r="O5373" i="1"/>
  <c r="O5374" i="1"/>
  <c r="O5376" i="1"/>
  <c r="O5378" i="1"/>
  <c r="O5379" i="1"/>
  <c r="O5380" i="1"/>
  <c r="O5381" i="1"/>
  <c r="O5382" i="1"/>
  <c r="O5383" i="1"/>
  <c r="O5384" i="1"/>
  <c r="O5385" i="1"/>
  <c r="O5386" i="1"/>
  <c r="O5388" i="1"/>
  <c r="O5393" i="1"/>
  <c r="O5390" i="1"/>
  <c r="O5391" i="1"/>
  <c r="O5394" i="1"/>
  <c r="O5395" i="1"/>
  <c r="O5392" i="1"/>
  <c r="O5396" i="1"/>
  <c r="O5397" i="1"/>
  <c r="O5398" i="1"/>
  <c r="O5399" i="1"/>
  <c r="O5400" i="1"/>
  <c r="O5401" i="1"/>
  <c r="O5403" i="1"/>
  <c r="O5404" i="1"/>
  <c r="O5405" i="1"/>
  <c r="O5407" i="1"/>
  <c r="O5408" i="1"/>
  <c r="O5409" i="1"/>
  <c r="O5410" i="1"/>
  <c r="O5411" i="1"/>
  <c r="O5412" i="1"/>
  <c r="O5414" i="1"/>
  <c r="O5415" i="1"/>
  <c r="O5416" i="1"/>
  <c r="O5417" i="1"/>
  <c r="O5418" i="1"/>
  <c r="O5420" i="1"/>
  <c r="O5421" i="1"/>
  <c r="O5423" i="1"/>
  <c r="O5424" i="1"/>
  <c r="O5426" i="1"/>
  <c r="O5419" i="1"/>
  <c r="O5427" i="1"/>
  <c r="O5429" i="1"/>
  <c r="O5431" i="1"/>
  <c r="O5432" i="1"/>
  <c r="O5433" i="1"/>
  <c r="O5434" i="1"/>
  <c r="O5436" i="1"/>
  <c r="O5437" i="1"/>
  <c r="O5438" i="1"/>
  <c r="O5439" i="1"/>
  <c r="O5440" i="1"/>
  <c r="O5441" i="1"/>
  <c r="O5442" i="1"/>
  <c r="O5443" i="1"/>
  <c r="O5444" i="1"/>
  <c r="O5445" i="1"/>
  <c r="O5447" i="1"/>
  <c r="O5435" i="1"/>
  <c r="O5449" i="1"/>
  <c r="O5450" i="1"/>
  <c r="O5451" i="1"/>
  <c r="O5452" i="1"/>
  <c r="O5448" i="1"/>
  <c r="O5455" i="1"/>
  <c r="O5456" i="1"/>
  <c r="O5457" i="1"/>
  <c r="O5458" i="1"/>
  <c r="O5459" i="1"/>
  <c r="O5454" i="1"/>
  <c r="O5460" i="1"/>
  <c r="O5461" i="1"/>
  <c r="O5462" i="1"/>
  <c r="O5463" i="1"/>
  <c r="O5464" i="1"/>
  <c r="O5465" i="1"/>
  <c r="O5467" i="1"/>
  <c r="O5468" i="1"/>
  <c r="O5469" i="1"/>
  <c r="O5470" i="1"/>
  <c r="O5471" i="1"/>
  <c r="O5472" i="1"/>
  <c r="O5473" i="1"/>
  <c r="O5474" i="1"/>
  <c r="O5475" i="1"/>
  <c r="O5476" i="1"/>
  <c r="O5480" i="1"/>
  <c r="O5481" i="1"/>
  <c r="O5482" i="1"/>
  <c r="O5477" i="1"/>
  <c r="O5483" i="1"/>
  <c r="O5484" i="1"/>
  <c r="O5486" i="1"/>
  <c r="O5488" i="1"/>
  <c r="O5489" i="1"/>
  <c r="O5490" i="1"/>
  <c r="O5478" i="1"/>
  <c r="O5479" i="1"/>
  <c r="O5491" i="1"/>
  <c r="O5492" i="1"/>
  <c r="O5494" i="1"/>
  <c r="O5495" i="1"/>
  <c r="O5496" i="1"/>
  <c r="O5497" i="1"/>
  <c r="O5498" i="1"/>
  <c r="O5493" i="1"/>
  <c r="O5499" i="1"/>
  <c r="O5501" i="1"/>
  <c r="O5502" i="1"/>
  <c r="O5504" i="1"/>
  <c r="O5505" i="1"/>
  <c r="O5506" i="1"/>
  <c r="O5507" i="1"/>
  <c r="O5509" i="1"/>
  <c r="O5510" i="1"/>
  <c r="O5511" i="1"/>
  <c r="O5513" i="1"/>
  <c r="O5514" i="1"/>
  <c r="O5515" i="1"/>
  <c r="O5516" i="1"/>
  <c r="O5518" i="1"/>
  <c r="O5519" i="1"/>
  <c r="O5520" i="1"/>
  <c r="O5523" i="1"/>
  <c r="O5524" i="1"/>
  <c r="O5521" i="1"/>
  <c r="O5525" i="1"/>
  <c r="O5526" i="1"/>
  <c r="O5527" i="1"/>
  <c r="O5528" i="1"/>
  <c r="O5529" i="1"/>
  <c r="O5531" i="1"/>
  <c r="O5522" i="1"/>
  <c r="O5532" i="1"/>
  <c r="O5534" i="1"/>
  <c r="O5535" i="1"/>
  <c r="O5536" i="1"/>
  <c r="O5537" i="1"/>
  <c r="O5538" i="1"/>
  <c r="O5539" i="1"/>
  <c r="O5541" i="1"/>
  <c r="O5543" i="1"/>
  <c r="O5545" i="1"/>
  <c r="O5546" i="1"/>
  <c r="O5549" i="1"/>
  <c r="O5550" i="1"/>
  <c r="O5552" i="1"/>
  <c r="O5553" i="1"/>
  <c r="O5557" i="1"/>
  <c r="O5558" i="1"/>
  <c r="O5560" i="1"/>
  <c r="O5555" i="1"/>
  <c r="O5561" i="1"/>
  <c r="O5562" i="1"/>
  <c r="O5556" i="1"/>
  <c r="O5565" i="1"/>
  <c r="O5566" i="1"/>
  <c r="O5567" i="1"/>
  <c r="O5568" i="1"/>
  <c r="O5569" i="1"/>
  <c r="O5571" i="1"/>
  <c r="O5572" i="1"/>
  <c r="O5573" i="1"/>
  <c r="O5574" i="1"/>
  <c r="O5575" i="1"/>
  <c r="O5576" i="1"/>
  <c r="O5582" i="1"/>
  <c r="O5577" i="1"/>
  <c r="O5583" i="1"/>
  <c r="O5578" i="1"/>
  <c r="O5584" i="1"/>
  <c r="O5587" i="1"/>
  <c r="O5588" i="1"/>
  <c r="O5590" i="1"/>
  <c r="O5591" i="1"/>
  <c r="O5592" i="1"/>
  <c r="O5595" i="1"/>
  <c r="O5598" i="1"/>
  <c r="O5599" i="1"/>
  <c r="O5600" i="1"/>
  <c r="O5602" i="1"/>
  <c r="O5603" i="1"/>
  <c r="O5604" i="1"/>
  <c r="O5605" i="1"/>
  <c r="O5606" i="1"/>
  <c r="O5607" i="1"/>
  <c r="O5609" i="1"/>
  <c r="O5611" i="1"/>
  <c r="O5612" i="1"/>
  <c r="O5613" i="1"/>
  <c r="O5615" i="1"/>
  <c r="O5616" i="1"/>
  <c r="O5617" i="1"/>
  <c r="O5618" i="1"/>
  <c r="O5619" i="1"/>
  <c r="O5621" i="1"/>
  <c r="O5624" i="1"/>
  <c r="O5625" i="1"/>
  <c r="O5626" i="1"/>
  <c r="O5627" i="1"/>
  <c r="O5628" i="1"/>
  <c r="O5622" i="1"/>
  <c r="O5629" i="1"/>
  <c r="O5630" i="1"/>
  <c r="O5633" i="1"/>
  <c r="O5634" i="1"/>
  <c r="O5635" i="1"/>
  <c r="O5636" i="1"/>
  <c r="O5631" i="1"/>
  <c r="O5639" i="1"/>
  <c r="O5644" i="1"/>
  <c r="O5645" i="1"/>
  <c r="O5647" i="1"/>
  <c r="O5648" i="1"/>
  <c r="O5649" i="1"/>
  <c r="O5651" i="1"/>
  <c r="O5652" i="1"/>
  <c r="O5654" i="1"/>
  <c r="O5656" i="1"/>
  <c r="O5658" i="1"/>
  <c r="O5659" i="1"/>
  <c r="O5660" i="1"/>
  <c r="O5661" i="1"/>
  <c r="O5663" i="1"/>
  <c r="O5665" i="1"/>
  <c r="O5666" i="1"/>
  <c r="O5667" i="1"/>
  <c r="O5668" i="1"/>
  <c r="O5669" i="1"/>
  <c r="O5670" i="1"/>
  <c r="O5671" i="1"/>
  <c r="O5672" i="1"/>
  <c r="O5673" i="1"/>
  <c r="O5674" i="1"/>
  <c r="O5680" i="1"/>
  <c r="O5681" i="1"/>
  <c r="O5682" i="1"/>
  <c r="O5676" i="1"/>
  <c r="O5678" i="1"/>
  <c r="O5679" i="1"/>
  <c r="O5686" i="1"/>
  <c r="O5685" i="1"/>
  <c r="O5689" i="1"/>
  <c r="O5691" i="1"/>
  <c r="O5692" i="1"/>
  <c r="O5694" i="1"/>
  <c r="O5697" i="1"/>
  <c r="O5698" i="1"/>
  <c r="O5699" i="1"/>
  <c r="O5700" i="1"/>
  <c r="O5701" i="1"/>
  <c r="O5702" i="1"/>
  <c r="O5703" i="1"/>
  <c r="O5705" i="1"/>
  <c r="O5706" i="1"/>
  <c r="O5707" i="1"/>
  <c r="O5708" i="1"/>
  <c r="O5709" i="1"/>
  <c r="O5710" i="1"/>
  <c r="O5712" i="1"/>
  <c r="O5713" i="1"/>
  <c r="O5714" i="1"/>
  <c r="O5716" i="1"/>
  <c r="O5717" i="1"/>
  <c r="O5718" i="1"/>
  <c r="O5719" i="1"/>
  <c r="O5720" i="1"/>
  <c r="O5722" i="1"/>
  <c r="O5723" i="1"/>
  <c r="O5725" i="1"/>
  <c r="O5726" i="1"/>
  <c r="O5727" i="1"/>
  <c r="O5728" i="1"/>
  <c r="O5729" i="1"/>
  <c r="O5730" i="1"/>
  <c r="O5731" i="1"/>
  <c r="O5732" i="1"/>
  <c r="O5733" i="1"/>
  <c r="O5734" i="1"/>
  <c r="O5735" i="1"/>
  <c r="O5739" i="1"/>
  <c r="O5740" i="1"/>
  <c r="O5741" i="1"/>
  <c r="O5742" i="1"/>
  <c r="O5744" i="1"/>
  <c r="O5745" i="1"/>
  <c r="O5746" i="1"/>
  <c r="O5747" i="1"/>
  <c r="O5748" i="1"/>
  <c r="O5751" i="1"/>
  <c r="O5752" i="1"/>
  <c r="O5753" i="1"/>
  <c r="O5755" i="1"/>
  <c r="O5756" i="1"/>
  <c r="O5757" i="1"/>
  <c r="O5759" i="1"/>
  <c r="O5760" i="1"/>
  <c r="O5763" i="1"/>
  <c r="O5764" i="1"/>
  <c r="O5766" i="1"/>
  <c r="O5768" i="1"/>
  <c r="O5769" i="1"/>
  <c r="O5773" i="1"/>
  <c r="O5774" i="1"/>
  <c r="O5775" i="1"/>
  <c r="O5776" i="1"/>
  <c r="O5777" i="1"/>
  <c r="O5778" i="1"/>
  <c r="O5779" i="1"/>
  <c r="O5780" i="1"/>
  <c r="O5788" i="1"/>
  <c r="O5790" i="1"/>
  <c r="O5791" i="1"/>
  <c r="O5792" i="1"/>
  <c r="O5793" i="1"/>
  <c r="O5794" i="1"/>
  <c r="O5795" i="1"/>
  <c r="O5796" i="1"/>
  <c r="O5797" i="1"/>
  <c r="O5798" i="1"/>
  <c r="O5799" i="1"/>
  <c r="O5801" i="1"/>
  <c r="O5802" i="1"/>
  <c r="O5803" i="1"/>
  <c r="O5804" i="1"/>
  <c r="O5805" i="1"/>
  <c r="O5806" i="1"/>
  <c r="O5807" i="1"/>
  <c r="O5810" i="1"/>
  <c r="O5811" i="1"/>
  <c r="O5812" i="1"/>
  <c r="O5813" i="1"/>
  <c r="O5814" i="1"/>
  <c r="O5815" i="1"/>
  <c r="O5816" i="1"/>
  <c r="O5809" i="1"/>
  <c r="O5817" i="1"/>
  <c r="O5970" i="1"/>
  <c r="O5971" i="1"/>
  <c r="O5972" i="1"/>
  <c r="O5973" i="1"/>
  <c r="O5968" i="1"/>
  <c r="O5974" i="1"/>
  <c r="O5975" i="1"/>
  <c r="O5969" i="1"/>
  <c r="O5976" i="1"/>
  <c r="O5977" i="1"/>
  <c r="O5978" i="1"/>
  <c r="O5979" i="1"/>
  <c r="O5980" i="1"/>
  <c r="O5981" i="1"/>
  <c r="O5982" i="1"/>
  <c r="O5983" i="1"/>
  <c r="O5984" i="1"/>
  <c r="O5985" i="1"/>
  <c r="O5986" i="1"/>
  <c r="O5987" i="1"/>
  <c r="O5988" i="1"/>
  <c r="O5989" i="1"/>
  <c r="O5990" i="1"/>
  <c r="O5991" i="1"/>
  <c r="O5992" i="1"/>
  <c r="O5993" i="1"/>
  <c r="O5997" i="1"/>
  <c r="O5998" i="1"/>
  <c r="O5994" i="1"/>
  <c r="O5999" i="1"/>
  <c r="O6000" i="1"/>
  <c r="O6001" i="1"/>
  <c r="O5995" i="1"/>
  <c r="O5996" i="1"/>
  <c r="O6002" i="1"/>
  <c r="O6003" i="1"/>
  <c r="O6004" i="1"/>
  <c r="O6005" i="1"/>
  <c r="O6006" i="1"/>
  <c r="O6007" i="1"/>
  <c r="O6008" i="1"/>
  <c r="O6009" i="1"/>
  <c r="O6010" i="1"/>
  <c r="O6011" i="1"/>
  <c r="O6012" i="1"/>
  <c r="O6013" i="1"/>
  <c r="O6014" i="1"/>
  <c r="O6015" i="1"/>
  <c r="O6016" i="1"/>
  <c r="O6017" i="1"/>
  <c r="O6048" i="1"/>
  <c r="O6025" i="1"/>
  <c r="O6026" i="1"/>
  <c r="O6035" i="1"/>
  <c r="O6036" i="1"/>
  <c r="O6063" i="1"/>
  <c r="O6066" i="1"/>
  <c r="O6078" i="1"/>
  <c r="O6132" i="1"/>
  <c r="O6144" i="1"/>
  <c r="O6145" i="1"/>
  <c r="O6027" i="1"/>
  <c r="O6028" i="1"/>
  <c r="O6038" i="1"/>
  <c r="O6064" i="1"/>
  <c r="O6067" i="1"/>
  <c r="O6103" i="1"/>
  <c r="O6124" i="1"/>
  <c r="O6138" i="1"/>
  <c r="O6041" i="1"/>
  <c r="O6062" i="1"/>
  <c r="O6068" i="1"/>
  <c r="O6099" i="1"/>
  <c r="O6115" i="1"/>
  <c r="O6116" i="1"/>
  <c r="O6122" i="1"/>
  <c r="O6135" i="1"/>
  <c r="O6024" i="1"/>
  <c r="O6047" i="1"/>
  <c r="O6147" i="1"/>
  <c r="O6071" i="1"/>
  <c r="O6073" i="1"/>
  <c r="O6084" i="1"/>
  <c r="O6093" i="1"/>
  <c r="O6107" i="1"/>
  <c r="O6119" i="1"/>
  <c r="O6126" i="1"/>
  <c r="O6149" i="1"/>
  <c r="O6030" i="1"/>
  <c r="O6031" i="1"/>
  <c r="O6032" i="1"/>
  <c r="O6033" i="1"/>
  <c r="O6076" i="1"/>
  <c r="O6085" i="1"/>
  <c r="O6094" i="1"/>
  <c r="O6018" i="1"/>
  <c r="O6069" i="1"/>
  <c r="O6130" i="1"/>
  <c r="O6139" i="1"/>
  <c r="O6040" i="1"/>
  <c r="O6051" i="1"/>
  <c r="O6054" i="1"/>
  <c r="O6077" i="1"/>
  <c r="O6106" i="1"/>
  <c r="O6086" i="1"/>
  <c r="O6104" i="1"/>
  <c r="O6113" i="1"/>
  <c r="O6019" i="1"/>
  <c r="O6044" i="1"/>
  <c r="O6050" i="1"/>
  <c r="O6053" i="1"/>
  <c r="O6081" i="1"/>
  <c r="O6109" i="1"/>
  <c r="O6020" i="1"/>
  <c r="O6034" i="1"/>
  <c r="O6043" i="1"/>
  <c r="O6065" i="1"/>
  <c r="O6134" i="1"/>
  <c r="O6042" i="1"/>
  <c r="O6055" i="1"/>
  <c r="O6056" i="1"/>
  <c r="O6080" i="1"/>
  <c r="O6101" i="1"/>
  <c r="O6102" i="1"/>
  <c r="O6105" i="1"/>
  <c r="O6129" i="1"/>
  <c r="O6021" i="1"/>
  <c r="O6072" i="1"/>
  <c r="O6074" i="1"/>
  <c r="O6087" i="1"/>
  <c r="O6133" i="1"/>
  <c r="O6146" i="1"/>
  <c r="O6022" i="1"/>
  <c r="O6037" i="1"/>
  <c r="O6049" i="1"/>
  <c r="O6082" i="1"/>
  <c r="O6114" i="1"/>
  <c r="O6131" i="1"/>
  <c r="O6142" i="1"/>
  <c r="O6039" i="1"/>
  <c r="O6079" i="1"/>
  <c r="O6100" i="1"/>
  <c r="O6117" i="1"/>
  <c r="O6123" i="1"/>
  <c r="O6125" i="1"/>
  <c r="O6023" i="1"/>
  <c r="O6029" i="1"/>
  <c r="O6045" i="1"/>
  <c r="O6046" i="1"/>
  <c r="O6052" i="1"/>
  <c r="O6059" i="1"/>
  <c r="O6060" i="1"/>
  <c r="O6095" i="1"/>
  <c r="O6098" i="1"/>
  <c r="O6108" i="1"/>
  <c r="O6110" i="1"/>
  <c r="O6121" i="1"/>
  <c r="O6136" i="1"/>
  <c r="O6137" i="1"/>
  <c r="O6141" i="1"/>
  <c r="O6143" i="1"/>
  <c r="O6058" i="1"/>
  <c r="O6070" i="1"/>
  <c r="O6083" i="1"/>
  <c r="O6088" i="1"/>
  <c r="O6089" i="1"/>
  <c r="O6090" i="1"/>
  <c r="O6091" i="1"/>
  <c r="O6092" i="1"/>
  <c r="O6118" i="1"/>
  <c r="O6128" i="1"/>
  <c r="O6140" i="1"/>
  <c r="O6057" i="1"/>
  <c r="O6061" i="1"/>
  <c r="O6075" i="1"/>
  <c r="O6148" i="1"/>
  <c r="O6096" i="1"/>
  <c r="O6097" i="1"/>
  <c r="O6111" i="1"/>
  <c r="O6112" i="1"/>
  <c r="O6120" i="1"/>
  <c r="O6127" i="1"/>
  <c r="O6150" i="1"/>
  <c r="O6152" i="1"/>
  <c r="O6153" i="1"/>
  <c r="O6154" i="1"/>
  <c r="O6155" i="1"/>
  <c r="O6156" i="1"/>
  <c r="O6157" i="1"/>
  <c r="O6158" i="1"/>
  <c r="O6159" i="1"/>
  <c r="O6151" i="1"/>
  <c r="O6160" i="1"/>
  <c r="O6161" i="1"/>
  <c r="O6162" i="1"/>
  <c r="O6163" i="1"/>
  <c r="O6164" i="1"/>
  <c r="O6165" i="1"/>
  <c r="O6168" i="1"/>
  <c r="O6169" i="1"/>
  <c r="O6170" i="1"/>
  <c r="O6166" i="1"/>
  <c r="O6167"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9" i="1"/>
  <c r="O6200" i="1"/>
  <c r="O6201" i="1"/>
  <c r="O6195" i="1"/>
  <c r="O6202" i="1"/>
  <c r="O6203" i="1"/>
  <c r="O6204" i="1"/>
  <c r="O6196" i="1"/>
  <c r="O6197" i="1"/>
  <c r="O6198" i="1"/>
  <c r="O6236" i="1"/>
  <c r="O6240" i="1"/>
  <c r="O6293"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32" i="1"/>
  <c r="O6443" i="1"/>
  <c r="O6444" i="1"/>
  <c r="O6207" i="1"/>
  <c r="O6208" i="1"/>
  <c r="O6234" i="1"/>
  <c r="O6273" i="1"/>
  <c r="O6287" i="1"/>
  <c r="O6297" i="1"/>
  <c r="O6424" i="1"/>
  <c r="O6425" i="1"/>
  <c r="O6209" i="1"/>
  <c r="O6237" i="1"/>
  <c r="O6239" i="1"/>
  <c r="O6259" i="1"/>
  <c r="O6260" i="1"/>
  <c r="O6276" i="1"/>
  <c r="O6282" i="1"/>
  <c r="O6290" i="1"/>
  <c r="O6298" i="1"/>
  <c r="O6423" i="1"/>
  <c r="O6426" i="1"/>
  <c r="O6429" i="1"/>
  <c r="O6435" i="1"/>
  <c r="O6446" i="1"/>
  <c r="O6210" i="1"/>
  <c r="O6211" i="1"/>
  <c r="O6224" i="1"/>
  <c r="O6269" i="1"/>
  <c r="O6286" i="1"/>
  <c r="O6212" i="1"/>
  <c r="O6213" i="1"/>
  <c r="O6214" i="1"/>
  <c r="O6450" i="1"/>
  <c r="O6279" i="1"/>
  <c r="O6434" i="1"/>
  <c r="O6460" i="1"/>
  <c r="O6206" i="1"/>
  <c r="O6228" i="1"/>
  <c r="O6243" i="1"/>
  <c r="O6245" i="1"/>
  <c r="O6288" i="1"/>
  <c r="O6299" i="1"/>
  <c r="O6438" i="1"/>
  <c r="O6441" i="1"/>
  <c r="O6456" i="1"/>
  <c r="O6457" i="1"/>
  <c r="O6442" i="1"/>
  <c r="O6215" i="1"/>
  <c r="O6216" i="1"/>
  <c r="O6231" i="1"/>
  <c r="O6241" i="1"/>
  <c r="O6261" i="1"/>
  <c r="O6262" i="1"/>
  <c r="O6289" i="1"/>
  <c r="O6302" i="1"/>
  <c r="O6418" i="1"/>
  <c r="O6455" i="1"/>
  <c r="O6217" i="1"/>
  <c r="O6303" i="1"/>
  <c r="O6246" i="1"/>
  <c r="O6253" i="1"/>
  <c r="O6254" i="1"/>
  <c r="O6263" i="1"/>
  <c r="O6264" i="1"/>
  <c r="O6265" i="1"/>
  <c r="O6266" i="1"/>
  <c r="O6294" i="1"/>
  <c r="O6296" i="1"/>
  <c r="O6416" i="1"/>
  <c r="O6448" i="1"/>
  <c r="O6218" i="1"/>
  <c r="O6219" i="1"/>
  <c r="O6451" i="1"/>
  <c r="O6255" i="1"/>
  <c r="O6285" i="1"/>
  <c r="O6458" i="1"/>
  <c r="O6461" i="1"/>
  <c r="O6230" i="1"/>
  <c r="O6242" i="1"/>
  <c r="O6291" i="1"/>
  <c r="O6439" i="1"/>
  <c r="O6205" i="1"/>
  <c r="O6220" i="1"/>
  <c r="O6227" i="1"/>
  <c r="O6238" i="1"/>
  <c r="O6270" i="1"/>
  <c r="O6271" i="1"/>
  <c r="O6280" i="1"/>
  <c r="O6284" i="1"/>
  <c r="O6413" i="1"/>
  <c r="O6437" i="1"/>
  <c r="O6221" i="1"/>
  <c r="O6229" i="1"/>
  <c r="O6235" i="1"/>
  <c r="O6449" i="1"/>
  <c r="O6252" i="1"/>
  <c r="O6256" i="1"/>
  <c r="O6258" i="1"/>
  <c r="O6454" i="1"/>
  <c r="O6275" i="1"/>
  <c r="O6414" i="1"/>
  <c r="O6419" i="1"/>
  <c r="O6427" i="1"/>
  <c r="O6436" i="1"/>
  <c r="O6459" i="1"/>
  <c r="O6222" i="1"/>
  <c r="O6244" i="1"/>
  <c r="O6247" i="1"/>
  <c r="O6453" i="1"/>
  <c r="O6447" i="1"/>
  <c r="O6249" i="1"/>
  <c r="O6277" i="1"/>
  <c r="O6292" i="1"/>
  <c r="O6415" i="1"/>
  <c r="O6420" i="1"/>
  <c r="O6267" i="1"/>
  <c r="O6430" i="1"/>
  <c r="O6433" i="1"/>
  <c r="O6223" i="1"/>
  <c r="O6452" i="1"/>
  <c r="O6248" i="1"/>
  <c r="O6272" i="1"/>
  <c r="O6283" i="1"/>
  <c r="O6300" i="1"/>
  <c r="O6417" i="1"/>
  <c r="O6440" i="1"/>
  <c r="O6462" i="1"/>
  <c r="O6233" i="1"/>
  <c r="O6250" i="1"/>
  <c r="O6251" i="1"/>
  <c r="O6281" i="1"/>
  <c r="O6301" i="1"/>
  <c r="O6445" i="1"/>
  <c r="O6232" i="1"/>
  <c r="O6257" i="1"/>
  <c r="O6278" i="1"/>
  <c r="O6295" i="1"/>
  <c r="O6428" i="1"/>
  <c r="O6431" i="1"/>
  <c r="O6225" i="1"/>
  <c r="O6226" i="1"/>
  <c r="O6268" i="1"/>
  <c r="O6274" i="1"/>
  <c r="O6304" i="1"/>
  <c r="O6421" i="1"/>
  <c r="O6422" i="1"/>
  <c r="O6463" i="1"/>
  <c r="O6464" i="1"/>
  <c r="O6465" i="1"/>
  <c r="O6466" i="1"/>
  <c r="O6467" i="1"/>
  <c r="O6468" i="1"/>
  <c r="O6469" i="1"/>
  <c r="O6470" i="1"/>
  <c r="O6471" i="1"/>
  <c r="O6472" i="1"/>
  <c r="O6476" i="1"/>
  <c r="O6477" i="1"/>
  <c r="O6478" i="1"/>
  <c r="O6473" i="1"/>
  <c r="O6479" i="1"/>
  <c r="O6480" i="1"/>
  <c r="O6481" i="1"/>
  <c r="O6482" i="1"/>
  <c r="O6483" i="1"/>
  <c r="O6484" i="1"/>
  <c r="O6485" i="1"/>
  <c r="O6474" i="1"/>
  <c r="O6486" i="1"/>
  <c r="O6475" i="1"/>
  <c r="O6487" i="1"/>
  <c r="O6488" i="1"/>
  <c r="O6489" i="1"/>
  <c r="O6490" i="1"/>
  <c r="O6492" i="1"/>
  <c r="O6493" i="1"/>
  <c r="O6494" i="1"/>
  <c r="O6495" i="1"/>
  <c r="O6496" i="1"/>
  <c r="O6497" i="1"/>
  <c r="O6498" i="1"/>
  <c r="O6499" i="1"/>
  <c r="O6500" i="1"/>
  <c r="O6491" i="1"/>
  <c r="O6505" i="1"/>
  <c r="O6506" i="1"/>
  <c r="O6501" i="1"/>
  <c r="O6502" i="1"/>
  <c r="O6503" i="1"/>
  <c r="O6504" i="1"/>
  <c r="O6507" i="1"/>
  <c r="O6508" i="1"/>
  <c r="O6509" i="1"/>
  <c r="O6510" i="1"/>
  <c r="O6511" i="1"/>
  <c r="O6512" i="1"/>
  <c r="O6513" i="1"/>
  <c r="O6514" i="1"/>
  <c r="O6515" i="1"/>
  <c r="O6516" i="1"/>
  <c r="O6517" i="1"/>
  <c r="O6518" i="1"/>
  <c r="O6519" i="1"/>
  <c r="O6520" i="1"/>
  <c r="O6523" i="1"/>
  <c r="O6524" i="1"/>
  <c r="O6521" i="1"/>
  <c r="O6525" i="1"/>
  <c r="O6526" i="1"/>
  <c r="O6527" i="1"/>
  <c r="O6522"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3" i="1"/>
  <c r="O6552" i="1"/>
  <c r="O6554" i="1"/>
  <c r="O6555" i="1"/>
  <c r="O6556" i="1"/>
  <c r="O6557" i="1"/>
  <c r="O6558" i="1"/>
  <c r="O6559" i="1"/>
  <c r="O6560" i="1"/>
  <c r="O6561" i="1"/>
  <c r="O6562" i="1"/>
  <c r="O6563" i="1"/>
  <c r="O6564" i="1"/>
  <c r="O6565" i="1"/>
  <c r="O6566" i="1"/>
  <c r="O6569" i="1"/>
  <c r="O6567" i="1"/>
  <c r="O6570" i="1"/>
  <c r="O6571" i="1"/>
  <c r="O6572" i="1"/>
  <c r="O6568" i="1"/>
  <c r="O6574" i="1"/>
  <c r="O6573"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8" i="1"/>
  <c r="O6609" i="1"/>
  <c r="O6610" i="1"/>
  <c r="O6611" i="1"/>
  <c r="O6605" i="1"/>
  <c r="O6612" i="1"/>
  <c r="O6613" i="1"/>
  <c r="O6606" i="1"/>
  <c r="O6614" i="1"/>
  <c r="O6615" i="1"/>
  <c r="O6616" i="1"/>
  <c r="O6617" i="1"/>
  <c r="O6607" i="1"/>
  <c r="O6618" i="1"/>
  <c r="O6619" i="1"/>
  <c r="O6620" i="1"/>
  <c r="O6621" i="1"/>
  <c r="O6622" i="1"/>
  <c r="O6623" i="1"/>
  <c r="O6624" i="1"/>
  <c r="O6625" i="1"/>
  <c r="O6627" i="1"/>
  <c r="O6628" i="1"/>
  <c r="O6629" i="1"/>
  <c r="O6630" i="1"/>
  <c r="O6631" i="1"/>
  <c r="O6632" i="1"/>
  <c r="O6633" i="1"/>
  <c r="O5765" i="1"/>
  <c r="O5767" i="1"/>
  <c r="O5770" i="1"/>
  <c r="O5762" i="1"/>
  <c r="O5771" i="1"/>
  <c r="O5772" i="1"/>
  <c r="O5781" i="1"/>
  <c r="O5782" i="1"/>
  <c r="O5783" i="1"/>
  <c r="O5784" i="1"/>
  <c r="O5785" i="1"/>
  <c r="O5786" i="1"/>
  <c r="O5787" i="1"/>
  <c r="O5789" i="1"/>
  <c r="O5800" i="1"/>
  <c r="O5808" i="1"/>
  <c r="O5819" i="1"/>
  <c r="O5820" i="1"/>
  <c r="O5818" i="1"/>
  <c r="O5821" i="1"/>
  <c r="O5822" i="1"/>
  <c r="O5823" i="1"/>
  <c r="O5824" i="1"/>
  <c r="O5825" i="1"/>
  <c r="O5827" i="1"/>
  <c r="O5828" i="1"/>
  <c r="O5829" i="1"/>
  <c r="O5826" i="1"/>
  <c r="O5830" i="1"/>
  <c r="O5831" i="1"/>
  <c r="O5832" i="1"/>
  <c r="O5833" i="1"/>
  <c r="O5834" i="1"/>
  <c r="O5835" i="1"/>
  <c r="O5836" i="1"/>
  <c r="O5837" i="1"/>
  <c r="O5838" i="1"/>
  <c r="O5839" i="1"/>
  <c r="O5840" i="1"/>
  <c r="O5852" i="1"/>
  <c r="O5885" i="1"/>
  <c r="O5917" i="1"/>
  <c r="O5924" i="1"/>
  <c r="O5927" i="1"/>
  <c r="O5928" i="1"/>
  <c r="O5932" i="1"/>
  <c r="O5935" i="1"/>
  <c r="O5953" i="1"/>
  <c r="O5956" i="1"/>
  <c r="O5880" i="1"/>
  <c r="O5892" i="1"/>
  <c r="O5902" i="1"/>
  <c r="O5936" i="1"/>
  <c r="O5841" i="1"/>
  <c r="O5842" i="1"/>
  <c r="O5861" i="1"/>
  <c r="O5868" i="1"/>
  <c r="O5869" i="1"/>
  <c r="O5870" i="1"/>
  <c r="O5901" i="1"/>
  <c r="O5934" i="1"/>
  <c r="O5964" i="1"/>
  <c r="O5965" i="1"/>
  <c r="O5872" i="1"/>
  <c r="O5873" i="1"/>
  <c r="O5883" i="1"/>
  <c r="O5891" i="1"/>
  <c r="O5899" i="1"/>
  <c r="O5911" i="1"/>
  <c r="O5949" i="1"/>
  <c r="O5843" i="1"/>
  <c r="O5844" i="1"/>
  <c r="O5851" i="1"/>
  <c r="O5863" i="1"/>
  <c r="O5867" i="1"/>
  <c r="O5898" i="1"/>
  <c r="O5962" i="1"/>
  <c r="O5966" i="1"/>
  <c r="O5865" i="1"/>
  <c r="O5882" i="1"/>
  <c r="O5919" i="1"/>
  <c r="O5944" i="1"/>
  <c r="O5946" i="1"/>
  <c r="O5860" i="1"/>
  <c r="O5871" i="1"/>
  <c r="O5888" i="1"/>
  <c r="O5963" i="1"/>
  <c r="O5951" i="1"/>
  <c r="O5954" i="1"/>
  <c r="O5855" i="1"/>
  <c r="O5856" i="1"/>
  <c r="O5857" i="1"/>
  <c r="O5881" i="1"/>
  <c r="O5906" i="1"/>
  <c r="O5907" i="1"/>
  <c r="O5908" i="1"/>
  <c r="O5914" i="1"/>
  <c r="O5933" i="1"/>
  <c r="O5874" i="1"/>
  <c r="O5909" i="1"/>
  <c r="O5920" i="1"/>
  <c r="O5859" i="1"/>
  <c r="O5862" i="1"/>
  <c r="O5876" i="1"/>
  <c r="O5904" i="1"/>
  <c r="O5910" i="1"/>
  <c r="O5912" i="1"/>
  <c r="O5921" i="1"/>
  <c r="O5929" i="1"/>
  <c r="O5930" i="1"/>
  <c r="O5889" i="1"/>
  <c r="O5918" i="1"/>
  <c r="O5931" i="1"/>
  <c r="O5948" i="1"/>
  <c r="O5845" i="1"/>
  <c r="O5846" i="1"/>
  <c r="O5886" i="1"/>
  <c r="O5893" i="1"/>
  <c r="O5894" i="1"/>
  <c r="O5900" i="1"/>
  <c r="O5915" i="1"/>
  <c r="O5937" i="1"/>
  <c r="O5950" i="1"/>
  <c r="O5958" i="1"/>
  <c r="O5884" i="1"/>
  <c r="O5903" i="1"/>
  <c r="O5941" i="1"/>
  <c r="O5952" i="1"/>
  <c r="O5913" i="1"/>
  <c r="O5916" i="1"/>
  <c r="O5955" i="1"/>
  <c r="O5847" i="1"/>
  <c r="O5848" i="1"/>
  <c r="O5858" i="1"/>
  <c r="O5925" i="1"/>
  <c r="O5926" i="1"/>
  <c r="O5940" i="1"/>
  <c r="O5849" i="1"/>
  <c r="O5854" i="1"/>
  <c r="O5905" i="1"/>
  <c r="O5922" i="1"/>
  <c r="O5864" i="1"/>
  <c r="O5866" i="1"/>
  <c r="O5897" i="1"/>
  <c r="O5923" i="1"/>
  <c r="O5938" i="1"/>
  <c r="O5939" i="1"/>
  <c r="O5942" i="1"/>
  <c r="O5943" i="1"/>
  <c r="O5945" i="1"/>
  <c r="O5947" i="1"/>
  <c r="O5957" i="1"/>
  <c r="O5959" i="1"/>
  <c r="O5960" i="1"/>
  <c r="O5961" i="1"/>
  <c r="O5967" i="1"/>
  <c r="O5850" i="1"/>
  <c r="O5853" i="1"/>
  <c r="O5875" i="1"/>
  <c r="O5877" i="1"/>
  <c r="O5878" i="1"/>
  <c r="O5879" i="1"/>
  <c r="O5887" i="1"/>
  <c r="O5890" i="1"/>
  <c r="O5895" i="1"/>
  <c r="O5896" i="1"/>
  <c r="O34" i="1"/>
  <c r="O36" i="1"/>
  <c r="O93" i="1"/>
  <c r="O105" i="1"/>
  <c r="O239" i="1"/>
  <c r="O244" i="1"/>
  <c r="O270" i="1"/>
  <c r="O272" i="1"/>
  <c r="O360" i="1"/>
  <c r="O365" i="1"/>
  <c r="O480" i="1"/>
  <c r="O494" i="1"/>
  <c r="O557" i="1"/>
  <c r="O559" i="1"/>
  <c r="O638" i="1"/>
  <c r="O657" i="1"/>
  <c r="O694" i="1"/>
  <c r="O777" i="1"/>
  <c r="O784" i="1"/>
  <c r="O787" i="1"/>
  <c r="O819" i="1"/>
  <c r="O824" i="1"/>
  <c r="O830" i="1"/>
  <c r="O842" i="1"/>
  <c r="O844" i="1"/>
  <c r="O845" i="1"/>
  <c r="O851" i="1"/>
  <c r="O953" i="1"/>
  <c r="O1007" i="1"/>
  <c r="O907" i="1"/>
  <c r="O908" i="1"/>
  <c r="O913" i="1"/>
  <c r="O1005" i="1"/>
  <c r="O980" i="1"/>
  <c r="O982" i="1"/>
  <c r="O984" i="1"/>
  <c r="O954" i="1"/>
  <c r="O997" i="1"/>
  <c r="O1008" i="1"/>
  <c r="O1049" i="1"/>
  <c r="O1051" i="1"/>
  <c r="O1061" i="1"/>
  <c r="O1064" i="1"/>
  <c r="O1067" i="1"/>
  <c r="O1086" i="1"/>
  <c r="O1083" i="1"/>
  <c r="O1097" i="1"/>
  <c r="O1099" i="1"/>
  <c r="O1100" i="1"/>
  <c r="O1113" i="1"/>
  <c r="O1120" i="1"/>
  <c r="O1128" i="1"/>
  <c r="O1130" i="1"/>
  <c r="O1132" i="1"/>
  <c r="O1137" i="1"/>
  <c r="O1150" i="1"/>
  <c r="O1151" i="1"/>
  <c r="O1160" i="1"/>
  <c r="O1200" i="1"/>
  <c r="O1225" i="1"/>
  <c r="O1259" i="1"/>
  <c r="O1260" i="1"/>
  <c r="O1156" i="1"/>
  <c r="O1157" i="1"/>
  <c r="O1158" i="1"/>
  <c r="O1226" i="1"/>
  <c r="O1227" i="1"/>
  <c r="O1228" i="1"/>
  <c r="O1229" i="1"/>
  <c r="O1230" i="1"/>
  <c r="O1196" i="1"/>
  <c r="O1197" i="1"/>
  <c r="O1271" i="1"/>
  <c r="O1195" i="1"/>
  <c r="O1198" i="1"/>
  <c r="O1199" i="1"/>
  <c r="O1231" i="1"/>
  <c r="O1161" i="1"/>
  <c r="O1201" i="1"/>
  <c r="O1242" i="1"/>
  <c r="O1288" i="1"/>
  <c r="O1304" i="1"/>
  <c r="O1308" i="1"/>
  <c r="O1314" i="1"/>
  <c r="O1316" i="1"/>
  <c r="O1318" i="1"/>
  <c r="O1321" i="1"/>
  <c r="O1331" i="1"/>
  <c r="O1345" i="1"/>
  <c r="O1346" i="1"/>
  <c r="O1347" i="1"/>
  <c r="O1348" i="1"/>
  <c r="O1349" i="1"/>
  <c r="O1350" i="1"/>
  <c r="O1357" i="1"/>
  <c r="O1362" i="1"/>
  <c r="O1366" i="1"/>
  <c r="O1445" i="1"/>
  <c r="O1446" i="1"/>
  <c r="O1427" i="1"/>
  <c r="O1465" i="1"/>
  <c r="O1466" i="1"/>
  <c r="O1484" i="1"/>
  <c r="O1419" i="1"/>
  <c r="O1420" i="1"/>
  <c r="O1421" i="1"/>
  <c r="O1560"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481" i="1"/>
  <c r="O1468" i="1"/>
  <c r="O1471" i="1"/>
  <c r="O1479" i="1"/>
  <c r="O1480" i="1"/>
  <c r="O1482" i="1"/>
  <c r="O1483" i="1"/>
  <c r="O1428" i="1"/>
  <c r="O1472" i="1"/>
  <c r="O1586" i="1"/>
  <c r="O1561" i="1"/>
  <c r="O1585" i="1"/>
  <c r="O1485" i="1"/>
  <c r="O1618" i="1"/>
  <c r="O1630" i="1"/>
  <c r="O1632" i="1"/>
  <c r="O1650" i="1"/>
  <c r="O1640" i="1"/>
  <c r="O1653" i="1"/>
  <c r="O1642" i="1"/>
  <c r="O1644" i="1"/>
  <c r="O1654" i="1"/>
  <c r="O1655" i="1"/>
  <c r="O1656" i="1"/>
  <c r="O1657" i="1"/>
  <c r="O1658" i="1"/>
  <c r="O1661" i="1"/>
  <c r="O1667" i="1"/>
  <c r="O1668" i="1"/>
  <c r="O1676" i="1"/>
  <c r="O1685" i="1"/>
  <c r="O1693" i="1"/>
  <c r="O1698" i="1"/>
  <c r="O1700" i="1"/>
  <c r="O1703" i="1"/>
  <c r="O1719" i="1"/>
  <c r="O1731" i="1"/>
  <c r="O1734" i="1"/>
  <c r="O1737" i="1"/>
  <c r="O1738" i="1"/>
  <c r="O1739" i="1"/>
  <c r="O1740" i="1"/>
  <c r="O1741" i="1"/>
  <c r="O1754" i="1"/>
  <c r="O1757" i="1"/>
  <c r="O1761" i="1"/>
  <c r="O1766" i="1"/>
  <c r="O1767" i="1"/>
  <c r="O1768" i="1"/>
  <c r="O1773" i="1"/>
  <c r="O1774" i="1"/>
  <c r="O1775" i="1"/>
  <c r="O1776" i="1"/>
  <c r="O1786" i="1"/>
  <c r="O1791" i="1"/>
  <c r="O1793" i="1"/>
  <c r="O1795" i="1"/>
  <c r="O1797" i="1"/>
  <c r="O1799" i="1"/>
  <c r="O1803" i="1"/>
  <c r="O1801" i="1"/>
  <c r="O1807" i="1"/>
  <c r="O1824" i="1"/>
  <c r="O1830" i="1"/>
  <c r="O1832" i="1"/>
  <c r="O1835" i="1"/>
  <c r="O1837" i="1"/>
  <c r="O1839" i="1"/>
  <c r="O1842" i="1"/>
  <c r="O1843" i="1"/>
  <c r="O1844" i="1"/>
  <c r="O1846" i="1"/>
  <c r="O1852" i="1"/>
  <c r="O1864" i="1"/>
  <c r="O1871" i="1"/>
  <c r="O1872" i="1"/>
  <c r="O1873" i="1"/>
  <c r="O1875" i="1"/>
  <c r="O1876" i="1"/>
  <c r="O1883" i="1"/>
  <c r="O1884" i="1"/>
  <c r="O1887" i="1"/>
  <c r="O1892" i="1"/>
  <c r="O1904" i="1"/>
  <c r="O1906" i="1"/>
  <c r="O1898" i="1"/>
  <c r="O1900" i="1"/>
  <c r="O1917" i="1"/>
  <c r="O1926" i="1"/>
  <c r="O1930" i="1"/>
  <c r="O1936" i="1"/>
  <c r="O1938" i="1"/>
  <c r="O1941" i="1"/>
  <c r="O1943" i="1"/>
  <c r="O1946" i="1"/>
  <c r="O1951" i="1"/>
  <c r="O1971" i="1"/>
  <c r="O1979" i="1"/>
  <c r="O1990" i="1"/>
  <c r="O1987" i="1"/>
  <c r="O1993" i="1"/>
  <c r="O2006" i="1"/>
  <c r="O2010" i="1"/>
  <c r="O2022" i="1"/>
  <c r="O2032" i="1"/>
  <c r="O2035" i="1"/>
  <c r="O2039" i="1"/>
  <c r="O2043" i="1"/>
  <c r="O2045" i="1"/>
  <c r="O2051" i="1"/>
  <c r="O2068" i="1"/>
  <c r="O2071" i="1"/>
  <c r="O2082" i="1"/>
  <c r="O2073" i="1"/>
  <c r="O2075" i="1"/>
  <c r="O2084" i="1"/>
  <c r="O2090" i="1"/>
  <c r="O2093" i="1"/>
  <c r="O2095" i="1"/>
  <c r="O2100" i="1"/>
  <c r="O2105" i="1"/>
  <c r="O2111" i="1"/>
  <c r="O2113" i="1"/>
  <c r="O2115" i="1"/>
  <c r="O2119" i="1"/>
  <c r="O2124" i="1"/>
  <c r="O2128" i="1"/>
  <c r="O2134" i="1"/>
  <c r="O2143" i="1"/>
  <c r="O2145" i="1"/>
  <c r="O2149" i="1"/>
  <c r="O2151" i="1"/>
  <c r="O2155" i="1"/>
  <c r="O2157" i="1"/>
  <c r="O2158" i="1"/>
  <c r="O2159" i="1"/>
  <c r="O2160" i="1"/>
  <c r="O2165" i="1"/>
  <c r="O2166" i="1"/>
  <c r="O2169" i="1"/>
  <c r="O2170" i="1"/>
  <c r="O2171" i="1"/>
  <c r="O2173" i="1"/>
  <c r="O2175" i="1"/>
  <c r="O2176" i="1"/>
  <c r="O2177" i="1"/>
  <c r="O2179" i="1"/>
  <c r="O2186" i="1"/>
  <c r="O2188" i="1"/>
  <c r="O2191" i="1"/>
  <c r="O2192" i="1"/>
  <c r="O2194" i="1"/>
  <c r="O2195" i="1"/>
  <c r="O2198" i="1"/>
  <c r="O2199" i="1"/>
  <c r="O2201" i="1"/>
  <c r="O2202" i="1"/>
  <c r="O2203" i="1"/>
  <c r="O2207" i="1"/>
  <c r="O2214" i="1"/>
  <c r="O2218" i="1"/>
  <c r="O2209" i="1"/>
  <c r="O2220" i="1"/>
  <c r="O2221" i="1"/>
  <c r="O2222" i="1"/>
  <c r="O2224" i="1"/>
  <c r="O2226" i="1"/>
  <c r="O2233" i="1"/>
  <c r="O2234" i="1"/>
  <c r="O2235" i="1"/>
  <c r="O2236" i="1"/>
  <c r="O2237" i="1"/>
  <c r="O2238" i="1"/>
  <c r="O2244" i="1"/>
  <c r="O2250" i="1"/>
  <c r="O2252" i="1"/>
  <c r="O2256" i="1"/>
  <c r="O2263" i="1"/>
  <c r="O2264" i="1"/>
  <c r="O2266" i="1"/>
  <c r="O2267" i="1"/>
  <c r="O2268" i="1"/>
  <c r="O2270" i="1"/>
  <c r="O2282" i="1"/>
  <c r="O2287" i="1"/>
  <c r="O2288" i="1"/>
  <c r="O2293" i="1"/>
  <c r="O2297" i="1"/>
  <c r="O2299" i="1"/>
  <c r="O2304" i="1"/>
  <c r="O2307" i="1"/>
  <c r="O2310" i="1"/>
  <c r="O2311" i="1"/>
  <c r="O2314" i="1"/>
  <c r="O2317" i="1"/>
  <c r="O2318" i="1"/>
  <c r="O2321" i="1"/>
  <c r="O2333" i="1"/>
  <c r="O2336" i="1"/>
  <c r="O2345" i="1"/>
  <c r="O2348" i="1"/>
  <c r="O2350" i="1"/>
  <c r="O2352" i="1"/>
  <c r="O2356" i="1"/>
  <c r="O2358" i="1"/>
  <c r="O2360" i="1"/>
  <c r="O2365" i="1"/>
  <c r="O2375" i="1"/>
  <c r="O2386" i="1"/>
  <c r="O2388" i="1"/>
  <c r="O2394" i="1"/>
  <c r="O2396" i="1"/>
  <c r="O2400" i="1"/>
  <c r="O2410" i="1"/>
  <c r="O2417" i="1"/>
  <c r="O2434" i="1"/>
  <c r="O2437" i="1"/>
  <c r="O2439" i="1"/>
  <c r="O2444" i="1"/>
  <c r="O2448" i="1"/>
  <c r="O2452" i="1"/>
  <c r="O2455" i="1"/>
  <c r="O2459" i="1"/>
  <c r="O2470" i="1"/>
  <c r="O2474" i="1"/>
  <c r="O2478" i="1"/>
  <c r="O2481" i="1"/>
  <c r="O2483" i="1"/>
  <c r="O2488" i="1"/>
  <c r="O2490" i="1"/>
  <c r="O2501" i="1"/>
  <c r="O2504" i="1"/>
  <c r="O2513" i="1"/>
  <c r="O2521" i="1"/>
  <c r="O2524" i="1"/>
  <c r="O2529" i="1"/>
  <c r="O2531" i="1"/>
  <c r="O2536" i="1"/>
  <c r="O2538" i="1"/>
  <c r="O2540" i="1"/>
  <c r="O2551" i="1"/>
  <c r="O2566" i="1"/>
  <c r="O2574" i="1"/>
  <c r="O2586" i="1"/>
  <c r="O2588" i="1"/>
  <c r="O2589" i="1"/>
  <c r="O2594" i="1"/>
  <c r="O2595" i="1"/>
  <c r="O2602" i="1"/>
  <c r="O2604" i="1"/>
  <c r="O2616" i="1"/>
  <c r="O2619" i="1"/>
  <c r="O2622" i="1"/>
  <c r="O2637" i="1"/>
  <c r="O2645" i="1"/>
  <c r="O2650" i="1"/>
  <c r="O2655" i="1"/>
  <c r="O2657" i="1"/>
  <c r="O2670" i="1"/>
  <c r="O2673" i="1"/>
  <c r="O2681" i="1"/>
  <c r="O2688" i="1"/>
  <c r="O2692" i="1"/>
  <c r="O2696" i="1"/>
  <c r="O2698" i="1"/>
  <c r="O2701" i="1"/>
  <c r="O2711" i="1"/>
  <c r="O2712" i="1"/>
  <c r="O2715" i="1"/>
  <c r="O2727" i="1"/>
  <c r="O2723" i="1"/>
  <c r="O2725" i="1"/>
  <c r="O2729" i="1"/>
  <c r="O2740" i="1"/>
  <c r="O2744" i="1"/>
  <c r="O2759" i="1"/>
  <c r="O2764" i="1"/>
  <c r="O2766" i="1"/>
  <c r="O2770" i="1"/>
  <c r="O2773" i="1"/>
  <c r="O2776" i="1"/>
  <c r="O2778" i="1"/>
  <c r="O2780" i="1"/>
  <c r="O2802" i="1"/>
  <c r="O2807" i="1"/>
  <c r="O2809" i="1"/>
  <c r="O2811" i="1"/>
  <c r="O2814" i="1"/>
  <c r="O2818" i="1"/>
  <c r="O2824" i="1"/>
  <c r="O2839" i="1"/>
  <c r="O2845" i="1"/>
  <c r="O2848" i="1"/>
  <c r="O2856" i="1"/>
  <c r="O2862" i="1"/>
  <c r="O2858" i="1"/>
  <c r="O2884" i="1"/>
  <c r="O2889" i="1"/>
  <c r="O2898" i="1"/>
  <c r="O2905" i="1"/>
  <c r="O2907" i="1"/>
  <c r="O2908" i="1"/>
  <c r="O2912" i="1"/>
  <c r="O2913" i="1"/>
  <c r="O2916" i="1"/>
  <c r="O2917" i="1"/>
  <c r="O2942" i="1"/>
  <c r="O2943" i="1"/>
  <c r="O2944" i="1"/>
  <c r="O2945" i="1"/>
  <c r="O2946" i="1"/>
  <c r="O2976" i="1"/>
  <c r="O2971" i="1"/>
  <c r="O2973" i="1"/>
  <c r="O2978" i="1"/>
  <c r="O2981" i="1"/>
  <c r="O2985" i="1"/>
  <c r="O2989" i="1"/>
  <c r="O3010" i="1"/>
  <c r="O3014" i="1"/>
  <c r="O3017" i="1"/>
  <c r="O3018" i="1"/>
  <c r="O3019" i="1"/>
  <c r="O3022" i="1"/>
  <c r="O3027" i="1"/>
  <c r="O3032" i="1"/>
  <c r="O3033" i="1"/>
  <c r="O3035" i="1"/>
  <c r="O3040" i="1"/>
  <c r="O3046" i="1"/>
  <c r="O3047" i="1"/>
  <c r="O3042" i="1"/>
  <c r="O3054" i="1"/>
  <c r="O3057" i="1"/>
  <c r="O3058" i="1"/>
  <c r="O3061" i="1"/>
  <c r="O3062" i="1"/>
  <c r="O3063" i="1"/>
  <c r="O3064" i="1"/>
  <c r="O3065" i="1"/>
  <c r="O3066" i="1"/>
  <c r="O3068" i="1"/>
  <c r="O3070" i="1"/>
  <c r="O3073" i="1"/>
  <c r="O3075" i="1"/>
  <c r="O3077" i="1"/>
  <c r="O3082" i="1"/>
  <c r="O3086" i="1"/>
  <c r="O3088" i="1"/>
  <c r="O3089" i="1"/>
  <c r="O3095" i="1"/>
  <c r="O3099" i="1"/>
  <c r="O3100" i="1"/>
  <c r="O3101" i="1"/>
  <c r="O3102" i="1"/>
  <c r="O3112" i="1"/>
  <c r="O3113" i="1"/>
  <c r="O3114" i="1"/>
  <c r="O3117" i="1"/>
  <c r="O3119" i="1"/>
  <c r="O3122" i="1"/>
  <c r="O3131" i="1"/>
  <c r="O3132" i="1"/>
  <c r="O3137" i="1"/>
  <c r="O3142" i="1"/>
  <c r="O3146" i="1"/>
  <c r="O3148" i="1"/>
  <c r="O3150" i="1"/>
  <c r="O3152" i="1"/>
  <c r="O3153" i="1"/>
  <c r="O3154" i="1"/>
  <c r="O3157" i="1"/>
  <c r="O3159" i="1"/>
  <c r="O3160" i="1"/>
  <c r="O3161" i="1"/>
  <c r="O3172" i="1"/>
  <c r="O3179" i="1"/>
  <c r="O3183" i="1"/>
  <c r="O3196" i="1"/>
  <c r="O3206" i="1"/>
  <c r="O3212" i="1"/>
  <c r="O3213" i="1"/>
  <c r="O3217" i="1"/>
  <c r="O3221" i="1"/>
  <c r="O3223" i="1"/>
  <c r="O3226" i="1"/>
  <c r="O3230" i="1"/>
  <c r="O3235" i="1"/>
  <c r="O3236" i="1"/>
  <c r="O3237" i="1"/>
  <c r="O3238" i="1"/>
  <c r="O3239" i="1"/>
  <c r="O3233" i="1"/>
  <c r="O3243" i="1"/>
  <c r="O3262" i="1"/>
  <c r="O3274" i="1"/>
  <c r="O3276" i="1"/>
  <c r="O3282" i="1"/>
  <c r="O3283" i="1"/>
  <c r="O3290" i="1"/>
  <c r="O3293" i="1"/>
  <c r="O3302" i="1"/>
  <c r="O3304" i="1"/>
  <c r="O3315" i="1"/>
  <c r="O3317" i="1"/>
  <c r="O3319" i="1"/>
  <c r="O3320" i="1"/>
  <c r="O3328" i="1"/>
  <c r="O3331" i="1"/>
  <c r="O3335" i="1"/>
  <c r="O3340" i="1"/>
  <c r="O3341" i="1"/>
  <c r="O3347" i="1"/>
  <c r="O3352" i="1"/>
  <c r="O3359" i="1"/>
  <c r="O3361" i="1"/>
  <c r="O3366" i="1"/>
  <c r="O3370" i="1"/>
  <c r="O3369" i="1"/>
  <c r="O3375" i="1"/>
  <c r="O3377" i="1"/>
  <c r="O3379" i="1"/>
  <c r="O3385" i="1"/>
  <c r="O3390" i="1"/>
  <c r="O3394" i="1"/>
  <c r="O3398" i="1"/>
  <c r="O3406" i="1"/>
  <c r="O3409" i="1"/>
  <c r="O3410" i="1"/>
  <c r="O3418" i="1"/>
  <c r="O3430" i="1"/>
  <c r="O3433" i="1"/>
  <c r="O3435" i="1"/>
  <c r="O3475" i="1"/>
  <c r="O3439" i="1"/>
  <c r="O3440" i="1"/>
  <c r="O3482" i="1"/>
  <c r="O3546" i="1"/>
  <c r="O3441" i="1"/>
  <c r="O3461" i="1"/>
  <c r="O3462" i="1"/>
  <c r="O3467" i="1"/>
  <c r="O3471" i="1"/>
  <c r="O3544" i="1"/>
  <c r="O3488" i="1"/>
  <c r="O3497" i="1"/>
  <c r="O3525" i="1"/>
  <c r="O3458" i="1"/>
  <c r="O3526" i="1"/>
  <c r="O3527" i="1"/>
  <c r="O3442" i="1"/>
  <c r="O3443" i="1"/>
  <c r="O3444" i="1"/>
  <c r="O3504" i="1"/>
  <c r="O3517" i="1"/>
  <c r="O3445" i="1"/>
  <c r="O3528" i="1"/>
  <c r="O3468" i="1"/>
  <c r="O3483" i="1"/>
  <c r="O3542" i="1"/>
  <c r="O3545" i="1"/>
  <c r="O3547" i="1"/>
  <c r="O3572" i="1"/>
  <c r="O3578" i="1"/>
  <c r="O3574" i="1"/>
  <c r="O3586" i="1"/>
  <c r="O3587" i="1"/>
  <c r="O3595" i="1"/>
  <c r="O3596" i="1"/>
  <c r="O3591" i="1"/>
  <c r="O3593" i="1"/>
  <c r="O3603" i="1"/>
  <c r="O3606" i="1"/>
  <c r="O3607" i="1"/>
  <c r="O3622" i="1"/>
  <c r="O3651" i="1"/>
  <c r="O3661" i="1"/>
  <c r="O3643" i="1"/>
  <c r="O3644" i="1"/>
  <c r="O3624" i="1"/>
  <c r="O3645" i="1"/>
  <c r="O3646" i="1"/>
  <c r="O3655" i="1"/>
  <c r="O3665" i="1"/>
  <c r="O3725" i="1"/>
  <c r="O3727" i="1"/>
  <c r="O3739" i="1"/>
  <c r="O3681" i="1"/>
  <c r="O3649" i="1"/>
  <c r="O3650" i="1"/>
  <c r="O3704" i="1"/>
  <c r="O3625" i="1"/>
  <c r="O3705" i="1"/>
  <c r="O3708" i="1"/>
  <c r="O3709" i="1"/>
  <c r="O3626" i="1"/>
  <c r="O3627" i="1"/>
  <c r="O3710" i="1"/>
  <c r="O3691" i="1"/>
  <c r="O3656" i="1"/>
  <c r="O3721" i="1"/>
  <c r="O3726" i="1"/>
  <c r="O3628" i="1"/>
  <c r="O3666" i="1"/>
  <c r="O3722" i="1"/>
  <c r="O3728" i="1"/>
  <c r="O3757" i="1"/>
  <c r="O3759" i="1"/>
  <c r="O3762" i="1"/>
  <c r="O3754" i="1"/>
  <c r="O3766" i="1"/>
  <c r="O3769" i="1"/>
  <c r="O3772" i="1"/>
  <c r="O3779" i="1"/>
  <c r="O3789" i="1"/>
  <c r="O3790" i="1"/>
  <c r="O3791" i="1"/>
  <c r="O3792" i="1"/>
  <c r="O3793" i="1"/>
  <c r="O3794" i="1"/>
  <c r="O3795" i="1"/>
  <c r="O3798" i="1"/>
  <c r="O3800" i="1"/>
  <c r="O3808" i="1"/>
  <c r="O3817" i="1"/>
  <c r="O3852" i="1"/>
  <c r="O3854" i="1"/>
  <c r="O3848" i="1"/>
  <c r="O3855" i="1"/>
  <c r="O3914" i="1"/>
  <c r="O3986" i="1"/>
  <c r="O4009" i="1"/>
  <c r="O4014" i="1"/>
  <c r="O3856" i="1"/>
  <c r="O3861" i="1"/>
  <c r="O4015" i="1"/>
  <c r="O3969" i="1"/>
  <c r="O3988" i="1"/>
  <c r="O3828" i="1"/>
  <c r="O3843" i="1"/>
  <c r="O3844" i="1"/>
  <c r="O3970" i="1"/>
  <c r="O3923" i="1"/>
  <c r="O3829" i="1"/>
  <c r="O3924" i="1"/>
  <c r="O3926" i="1"/>
  <c r="O3927" i="1"/>
  <c r="O3928" i="1"/>
  <c r="O3929" i="1"/>
  <c r="O3930" i="1"/>
  <c r="O3931" i="1"/>
  <c r="O3932" i="1"/>
  <c r="O3933" i="1"/>
  <c r="O3934" i="1"/>
  <c r="O3935" i="1"/>
  <c r="O3936" i="1"/>
  <c r="O3937" i="1"/>
  <c r="O3938" i="1"/>
  <c r="O3939" i="1"/>
  <c r="O3940" i="1"/>
  <c r="O3941" i="1"/>
  <c r="O3943" i="1"/>
  <c r="O3944" i="1"/>
  <c r="O3945" i="1"/>
  <c r="O3946" i="1"/>
  <c r="O3947" i="1"/>
  <c r="O3948" i="1"/>
  <c r="O3949" i="1"/>
  <c r="O3950" i="1"/>
  <c r="O3951" i="1"/>
  <c r="O3952" i="1"/>
  <c r="O3953" i="1"/>
  <c r="O3954" i="1"/>
  <c r="O3955" i="1"/>
  <c r="O3956" i="1"/>
  <c r="O3960" i="1"/>
  <c r="O3961" i="1"/>
  <c r="O3962" i="1"/>
  <c r="O3963" i="1"/>
  <c r="O3964" i="1"/>
  <c r="O3965" i="1"/>
  <c r="O3966" i="1"/>
  <c r="O3967" i="1"/>
  <c r="O3968" i="1"/>
  <c r="O3830" i="1"/>
  <c r="O3831" i="1"/>
  <c r="O3832" i="1"/>
  <c r="O3833" i="1"/>
  <c r="O3834" i="1"/>
  <c r="O3889" i="1"/>
  <c r="O3890" i="1"/>
  <c r="O3893" i="1"/>
  <c r="O3895" i="1"/>
  <c r="O3942" i="1"/>
  <c r="O3957" i="1"/>
  <c r="O3980" i="1"/>
  <c r="O3916" i="1"/>
  <c r="O3878" i="1"/>
  <c r="O3888" i="1"/>
  <c r="O3891" i="1"/>
  <c r="O3892" i="1"/>
  <c r="O3894" i="1"/>
  <c r="O3896" i="1"/>
  <c r="O3849" i="1"/>
  <c r="O3879" i="1"/>
  <c r="O3987" i="1"/>
  <c r="O3995" i="1"/>
  <c r="O3996" i="1"/>
  <c r="O4001" i="1"/>
  <c r="O3981" i="1"/>
  <c r="O3911" i="1"/>
  <c r="O3998" i="1"/>
  <c r="O3835" i="1"/>
  <c r="O3875" i="1"/>
  <c r="O3958" i="1"/>
  <c r="O3959" i="1"/>
  <c r="O3836" i="1"/>
  <c r="O3837" i="1"/>
  <c r="O3862" i="1"/>
  <c r="O3989" i="1"/>
  <c r="O4026" i="1"/>
  <c r="O4029" i="1"/>
  <c r="O4032" i="1"/>
  <c r="O4038" i="1"/>
  <c r="O4034" i="1"/>
  <c r="O4045" i="1"/>
  <c r="O4044" i="1"/>
  <c r="O4049" i="1"/>
  <c r="O4050" i="1"/>
  <c r="O4058" i="1"/>
  <c r="O4061" i="1"/>
  <c r="O4069" i="1"/>
  <c r="O4070" i="1"/>
  <c r="O4071" i="1"/>
  <c r="O4072" i="1"/>
  <c r="O4075" i="1"/>
  <c r="O4077" i="1"/>
  <c r="O4084" i="1"/>
  <c r="O4085" i="1"/>
  <c r="O4092" i="1"/>
  <c r="O4108" i="1"/>
  <c r="O4109" i="1"/>
  <c r="O4118" i="1"/>
  <c r="O4119" i="1"/>
  <c r="O4130" i="1"/>
  <c r="O4131" i="1"/>
  <c r="O4141" i="1"/>
  <c r="O4143" i="1"/>
  <c r="O4158" i="1"/>
  <c r="O4161" i="1"/>
  <c r="O4166" i="1"/>
  <c r="O4167" i="1"/>
  <c r="O4171" i="1"/>
  <c r="O4176" i="1"/>
  <c r="O4177" i="1"/>
  <c r="O4178" i="1"/>
  <c r="O4182" i="1"/>
  <c r="O4183" i="1"/>
  <c r="O4188" i="1"/>
  <c r="O4202" i="1"/>
  <c r="O4204" i="1"/>
  <c r="O4196" i="1"/>
  <c r="O4206" i="1"/>
  <c r="O4198" i="1"/>
  <c r="O4199" i="1"/>
  <c r="O4210" i="1"/>
  <c r="O4211" i="1"/>
  <c r="O4218" i="1"/>
  <c r="O4223" i="1"/>
  <c r="O4226" i="1"/>
  <c r="O4227" i="1"/>
  <c r="O4231" i="1"/>
  <c r="O4238" i="1"/>
  <c r="O4242" i="1"/>
  <c r="O4245" i="1"/>
  <c r="O4249" i="1"/>
  <c r="O4250" i="1"/>
  <c r="O4253" i="1"/>
  <c r="O4254" i="1"/>
  <c r="O4259" i="1"/>
  <c r="O4262" i="1"/>
  <c r="O4272" i="1"/>
  <c r="O4279" i="1"/>
  <c r="O4286" i="1"/>
  <c r="O4287" i="1"/>
  <c r="O4290" i="1"/>
  <c r="O4295" i="1"/>
  <c r="O4296" i="1"/>
  <c r="O4300" i="1"/>
  <c r="O4302" i="1"/>
  <c r="O4309" i="1"/>
  <c r="O4316" i="1"/>
  <c r="O4318" i="1"/>
  <c r="O4319" i="1"/>
  <c r="O4320" i="1"/>
  <c r="O4326" i="1"/>
  <c r="O4329" i="1"/>
  <c r="O4332" i="1"/>
  <c r="O4333" i="1"/>
  <c r="O4337" i="1"/>
  <c r="O4338" i="1"/>
  <c r="O4343" i="1"/>
  <c r="O4344" i="1"/>
  <c r="O4352" i="1"/>
  <c r="O4353" i="1"/>
  <c r="O4358" i="1"/>
  <c r="O4372" i="1"/>
  <c r="O4374" i="1"/>
  <c r="O4378" i="1"/>
  <c r="O4384" i="1"/>
  <c r="O4387" i="1"/>
  <c r="O4388" i="1"/>
  <c r="O4390" i="1"/>
  <c r="O4399" i="1"/>
  <c r="O4402" i="1"/>
  <c r="O4403" i="1"/>
  <c r="O4397" i="1"/>
  <c r="O4405" i="1"/>
  <c r="O4408" i="1"/>
  <c r="O4412" i="1"/>
  <c r="O4413" i="1"/>
  <c r="O4415" i="1"/>
  <c r="O4418" i="1"/>
  <c r="O4430" i="1"/>
  <c r="O4432" i="1"/>
  <c r="O4433" i="1"/>
  <c r="O4434" i="1"/>
  <c r="O4437" i="1"/>
  <c r="O4440" i="1"/>
  <c r="O4443" i="1"/>
  <c r="O4448" i="1"/>
  <c r="O4450" i="1"/>
  <c r="O4452" i="1"/>
  <c r="O4457" i="1"/>
  <c r="O4462" i="1"/>
  <c r="O4466" i="1"/>
  <c r="O4467" i="1"/>
  <c r="O4469" i="1"/>
  <c r="O4464" i="1"/>
  <c r="O4475" i="1"/>
  <c r="O4477" i="1"/>
  <c r="O4490" i="1"/>
  <c r="O4491" i="1"/>
  <c r="O4492" i="1"/>
  <c r="O4493" i="1"/>
  <c r="O4498" i="1"/>
  <c r="O4499" i="1"/>
  <c r="O4500" i="1"/>
  <c r="O4509" i="1"/>
  <c r="O4514" i="1"/>
  <c r="O4516" i="1"/>
  <c r="O4519" i="1"/>
  <c r="O4528" i="1"/>
  <c r="O4529" i="1"/>
  <c r="O4535" i="1"/>
  <c r="O4536" i="1"/>
  <c r="O4539" i="1"/>
  <c r="O4541" i="1"/>
  <c r="O4544" i="1"/>
  <c r="O4546" i="1"/>
  <c r="O4547" i="1"/>
  <c r="O4551" i="1"/>
  <c r="O4554" i="1"/>
  <c r="O4570" i="1"/>
  <c r="O4575" i="1"/>
  <c r="O4578" i="1"/>
  <c r="O4583" i="1"/>
  <c r="O4586" i="1"/>
  <c r="O4591" i="1"/>
  <c r="O4584" i="1"/>
  <c r="O4592" i="1"/>
  <c r="O4596" i="1"/>
  <c r="O4598" i="1"/>
  <c r="O4601" i="1"/>
  <c r="O4604" i="1"/>
  <c r="O4605" i="1"/>
  <c r="O4609" i="1"/>
  <c r="O4610" i="1"/>
  <c r="O4618" i="1"/>
  <c r="O4619" i="1"/>
  <c r="O4625" i="1"/>
  <c r="O4631" i="1"/>
  <c r="O4627" i="1"/>
  <c r="O4633" i="1"/>
  <c r="O4629" i="1"/>
  <c r="O4635" i="1"/>
  <c r="O4648" i="1"/>
  <c r="O4660" i="1"/>
  <c r="O4661" i="1"/>
  <c r="O4663" i="1"/>
  <c r="O4664" i="1"/>
  <c r="O4665" i="1"/>
  <c r="O4667" i="1"/>
  <c r="O4669" i="1"/>
  <c r="O4671" i="1"/>
  <c r="O4673" i="1"/>
  <c r="O4681" i="1"/>
  <c r="O4683" i="1"/>
  <c r="O4688" i="1"/>
  <c r="O4685" i="1"/>
  <c r="O4692" i="1"/>
  <c r="O4693" i="1"/>
  <c r="O4695" i="1"/>
  <c r="O4696" i="1"/>
  <c r="O4702" i="1"/>
  <c r="O4707" i="1"/>
  <c r="O4711" i="1"/>
  <c r="O4718" i="1"/>
  <c r="O4727" i="1"/>
  <c r="O4732" i="1"/>
  <c r="O4733" i="1"/>
  <c r="O4737" i="1"/>
  <c r="O4738" i="1"/>
  <c r="O4739" i="1"/>
  <c r="O4741" i="1"/>
  <c r="O4742" i="1"/>
  <c r="O4746" i="1"/>
  <c r="O4748" i="1"/>
  <c r="O4758" i="1"/>
  <c r="O4745" i="1"/>
  <c r="O4759" i="1"/>
  <c r="O4760" i="1"/>
  <c r="O4761" i="1"/>
  <c r="O4765" i="1"/>
  <c r="O4766" i="1"/>
  <c r="O4771" i="1"/>
  <c r="O4773" i="1"/>
  <c r="O4778" i="1"/>
  <c r="O4780" i="1"/>
  <c r="O4782" i="1"/>
  <c r="O4786" i="1"/>
  <c r="O4794" i="1"/>
  <c r="O4795" i="1"/>
  <c r="O4802" i="1"/>
  <c r="O4797" i="1"/>
  <c r="O4799" i="1"/>
  <c r="O4808" i="1"/>
  <c r="O4809" i="1"/>
  <c r="O4816" i="1"/>
  <c r="O4817" i="1"/>
  <c r="O4818" i="1"/>
  <c r="O4820" i="1"/>
  <c r="O4823" i="1"/>
  <c r="O4824" i="1"/>
  <c r="O4825" i="1"/>
  <c r="O4828" i="1"/>
  <c r="O4832" i="1"/>
  <c r="O4833" i="1"/>
  <c r="O4836" i="1"/>
  <c r="O4841" i="1"/>
  <c r="O4854" i="1"/>
  <c r="O4855" i="1"/>
  <c r="O4858" i="1"/>
  <c r="O4859" i="1"/>
  <c r="O4865" i="1"/>
  <c r="O4871" i="1"/>
  <c r="O4876" i="1"/>
  <c r="O4877" i="1"/>
  <c r="O4885" i="1"/>
  <c r="O4886" i="1"/>
  <c r="O4891" i="1"/>
  <c r="O4892" i="1"/>
  <c r="O4896" i="1"/>
  <c r="O4897" i="1"/>
  <c r="O4899" i="1"/>
  <c r="O4900" i="1"/>
  <c r="O4901" i="1"/>
  <c r="O4902" i="1"/>
  <c r="O4906" i="1"/>
  <c r="O4920" i="1"/>
  <c r="O4924" i="1"/>
  <c r="O4925" i="1"/>
  <c r="O4918" i="1"/>
  <c r="O4929" i="1"/>
  <c r="O4930" i="1"/>
  <c r="O4933" i="1"/>
  <c r="O4936" i="1"/>
  <c r="O4939" i="1"/>
  <c r="O4947" i="1"/>
  <c r="O4963" i="1"/>
  <c r="O4965" i="1"/>
  <c r="O4969" i="1"/>
  <c r="O4974" i="1"/>
  <c r="O4975" i="1"/>
  <c r="O4980" i="1"/>
  <c r="O4981" i="1"/>
  <c r="O4983" i="1"/>
  <c r="O4984" i="1"/>
  <c r="O4985" i="1"/>
  <c r="O4989" i="1"/>
  <c r="O5010" i="1"/>
  <c r="O5012" i="1"/>
  <c r="O5014" i="1"/>
  <c r="O5015" i="1"/>
  <c r="O5017" i="1"/>
  <c r="O5018" i="1"/>
  <c r="O5023" i="1"/>
  <c r="O5026" i="1"/>
  <c r="O5031" i="1"/>
  <c r="O5045" i="1"/>
  <c r="O5046" i="1"/>
  <c r="O5047" i="1"/>
  <c r="O5059" i="1"/>
  <c r="O5062" i="1"/>
  <c r="O5063" i="1"/>
  <c r="O5064" i="1"/>
  <c r="O5066" i="1"/>
  <c r="O5070" i="1"/>
  <c r="O5073" i="1"/>
  <c r="O5074" i="1"/>
  <c r="O5077" i="1"/>
  <c r="O5079" i="1"/>
  <c r="O5081" i="1"/>
  <c r="O5083" i="1"/>
  <c r="O5085" i="1"/>
  <c r="O5100" i="1"/>
  <c r="O5102" i="1"/>
  <c r="O5107" i="1"/>
  <c r="O5110" i="1"/>
  <c r="O5115" i="1"/>
  <c r="O5117" i="1"/>
  <c r="O5120" i="1"/>
  <c r="O5124" i="1"/>
  <c r="O5127" i="1"/>
  <c r="O5161" i="1"/>
  <c r="O5168" i="1"/>
  <c r="O5171" i="1"/>
  <c r="O5180" i="1"/>
  <c r="O5184" i="1"/>
  <c r="O5192" i="1"/>
  <c r="O5194" i="1"/>
  <c r="O5211" i="1"/>
  <c r="O5221" i="1"/>
  <c r="O5250" i="1"/>
  <c r="O5252" i="1"/>
  <c r="O5261" i="1"/>
  <c r="O5276" i="1"/>
  <c r="O5306" i="1"/>
  <c r="O5308" i="1"/>
  <c r="O5311" i="1"/>
  <c r="O5323" i="1"/>
  <c r="O5328" i="1"/>
  <c r="O5341" i="1"/>
  <c r="O5344" i="1"/>
  <c r="O5360" i="1"/>
  <c r="O5366" i="1"/>
  <c r="O5372" i="1"/>
  <c r="O5375" i="1"/>
  <c r="O5377" i="1"/>
  <c r="O5387" i="1"/>
  <c r="O5389" i="1"/>
  <c r="O5402" i="1"/>
  <c r="O5406" i="1"/>
  <c r="O5413" i="1"/>
  <c r="O5422" i="1"/>
  <c r="O5425" i="1"/>
  <c r="O5428" i="1"/>
  <c r="O5430" i="1"/>
  <c r="O5446" i="1"/>
  <c r="O5453" i="1"/>
  <c r="O5466" i="1"/>
  <c r="O5485" i="1"/>
  <c r="O5487" i="1"/>
  <c r="O5500" i="1"/>
  <c r="O5503" i="1"/>
  <c r="O5508" i="1"/>
  <c r="O5512" i="1"/>
  <c r="O5517" i="1"/>
  <c r="O5530" i="1"/>
  <c r="O5533" i="1"/>
  <c r="O5542" i="1"/>
  <c r="O5544" i="1"/>
  <c r="O5547" i="1"/>
  <c r="O5548" i="1"/>
  <c r="O5540" i="1"/>
  <c r="O5551" i="1"/>
  <c r="O5554" i="1"/>
  <c r="O5559" i="1"/>
  <c r="O5563" i="1"/>
  <c r="O5564" i="1"/>
  <c r="O5570" i="1"/>
  <c r="O5579" i="1"/>
  <c r="O5580" i="1"/>
  <c r="O5581" i="1"/>
  <c r="O5585" i="1"/>
  <c r="O5586" i="1"/>
  <c r="O5589" i="1"/>
  <c r="O5593" i="1"/>
  <c r="O5594" i="1"/>
  <c r="O5596" i="1"/>
  <c r="O5597" i="1"/>
  <c r="O5601" i="1"/>
  <c r="O5608" i="1"/>
  <c r="O5610" i="1"/>
  <c r="O5614" i="1"/>
  <c r="O5620" i="1"/>
  <c r="O5623" i="1"/>
  <c r="O5632" i="1"/>
  <c r="O5637" i="1"/>
  <c r="O5638" i="1"/>
  <c r="O5640" i="1"/>
  <c r="O5641" i="1"/>
  <c r="O5642" i="1"/>
  <c r="O5643" i="1"/>
  <c r="O5646" i="1"/>
  <c r="O5650" i="1"/>
  <c r="O5653" i="1"/>
  <c r="O5655" i="1"/>
  <c r="O5657" i="1"/>
  <c r="O5662" i="1"/>
  <c r="O5664" i="1"/>
  <c r="O5675" i="1"/>
  <c r="O5677" i="1"/>
  <c r="O5683" i="1"/>
  <c r="O5684" i="1"/>
  <c r="O5687" i="1"/>
  <c r="O5688" i="1"/>
  <c r="O5690" i="1"/>
  <c r="O5693" i="1"/>
  <c r="O5695" i="1"/>
  <c r="O5696" i="1"/>
  <c r="O5704" i="1"/>
  <c r="O5711" i="1"/>
  <c r="O5715" i="1"/>
  <c r="O5721" i="1"/>
  <c r="O5724" i="1"/>
  <c r="O5736" i="1"/>
  <c r="O5737" i="1"/>
  <c r="O5738" i="1"/>
  <c r="O5743" i="1"/>
  <c r="O5749" i="1"/>
  <c r="O5750" i="1"/>
  <c r="O5754" i="1"/>
  <c r="O5758" i="1"/>
  <c r="O5761" i="1"/>
  <c r="O6626" i="1"/>
  <c r="O6634" i="1"/>
  <c r="O6636" i="1"/>
  <c r="O6637" i="1"/>
  <c r="O6638" i="1"/>
  <c r="O6639" i="1"/>
  <c r="O6635"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8" i="1"/>
  <c r="O6689" i="1"/>
  <c r="O6687" i="1"/>
  <c r="O6690" i="1"/>
  <c r="O6691" i="1"/>
  <c r="O6692" i="1"/>
  <c r="O6693" i="1"/>
  <c r="O6694" i="1"/>
  <c r="O6695" i="1"/>
  <c r="O6696" i="1"/>
  <c r="O6697" i="1"/>
  <c r="O6698" i="1"/>
  <c r="O6699" i="1"/>
  <c r="O6700" i="1"/>
  <c r="O6701" i="1"/>
  <c r="O6702" i="1"/>
  <c r="O6705" i="1"/>
  <c r="O6706" i="1"/>
  <c r="O6707" i="1"/>
  <c r="O6703" i="1"/>
  <c r="O6708" i="1"/>
  <c r="O6704" i="1"/>
  <c r="O6709" i="1"/>
  <c r="O6710" i="1"/>
  <c r="O6711" i="1"/>
  <c r="O6712" i="1"/>
  <c r="O6713" i="1"/>
  <c r="O6714" i="1"/>
  <c r="O6715" i="1"/>
  <c r="O6716" i="1"/>
  <c r="O6717" i="1"/>
  <c r="O6718" i="1"/>
  <c r="O6719" i="1"/>
  <c r="O6720" i="1"/>
  <c r="O6721" i="1"/>
  <c r="O6722" i="1"/>
  <c r="O6723" i="1"/>
  <c r="O6724" i="1"/>
  <c r="O6725" i="1"/>
  <c r="O6726" i="1"/>
  <c r="O6727" i="1"/>
  <c r="O6730" i="1"/>
  <c r="O6731" i="1"/>
  <c r="O6732" i="1"/>
  <c r="O6733" i="1"/>
  <c r="O6734" i="1"/>
  <c r="O6735" i="1"/>
  <c r="O6728" i="1"/>
  <c r="O6736" i="1"/>
  <c r="O6737" i="1"/>
  <c r="O6738" i="1"/>
  <c r="O6739" i="1"/>
  <c r="O6740" i="1"/>
  <c r="O6741" i="1"/>
  <c r="O6729" i="1"/>
  <c r="O6744" i="1"/>
  <c r="O6745" i="1"/>
  <c r="O6746" i="1"/>
  <c r="O6747" i="1"/>
  <c r="O6742" i="1"/>
  <c r="O6743" i="1"/>
  <c r="O6748" i="1"/>
  <c r="O6749" i="1"/>
  <c r="O6750" i="1"/>
  <c r="O6751" i="1"/>
  <c r="O6752" i="1"/>
  <c r="O6753"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2" i="1"/>
  <c r="O6793" i="1"/>
  <c r="O6794" i="1"/>
  <c r="O6795" i="1"/>
  <c r="O6796" i="1"/>
  <c r="O6791" i="1"/>
  <c r="O6797" i="1"/>
  <c r="O6799" i="1"/>
  <c r="O6800" i="1"/>
  <c r="O6801" i="1"/>
  <c r="O6802" i="1"/>
  <c r="O6798" i="1"/>
  <c r="O6803" i="1"/>
  <c r="O6804" i="1"/>
  <c r="O6805" i="1"/>
  <c r="O6806" i="1"/>
  <c r="O6807" i="1"/>
  <c r="O6808" i="1"/>
  <c r="O6809" i="1"/>
  <c r="O6810" i="1"/>
  <c r="O6811" i="1"/>
  <c r="O6812" i="1"/>
  <c r="O6813" i="1"/>
  <c r="O6814" i="1"/>
  <c r="O6817" i="1"/>
  <c r="O6815" i="1"/>
  <c r="O6816" i="1"/>
  <c r="O6818" i="1"/>
  <c r="O6819" i="1"/>
  <c r="O6820" i="1"/>
  <c r="O6821" i="1"/>
  <c r="O6822" i="1"/>
  <c r="O6823" i="1"/>
  <c r="O6824" i="1"/>
  <c r="O6825" i="1"/>
  <c r="O6826" i="1"/>
  <c r="O6829" i="1"/>
  <c r="O6830" i="1"/>
  <c r="O6827" i="1"/>
  <c r="O6831" i="1"/>
  <c r="O6828" i="1"/>
  <c r="O6832" i="1"/>
  <c r="O6833" i="1"/>
  <c r="O6834" i="1"/>
  <c r="O6836" i="1"/>
  <c r="O6837" i="1"/>
  <c r="O6835" i="1"/>
  <c r="O6838" i="1"/>
  <c r="O6839" i="1"/>
  <c r="O6841" i="1"/>
  <c r="O6842" i="1"/>
  <c r="O6843" i="1"/>
  <c r="O6840"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80" i="1"/>
  <c r="O6881" i="1"/>
  <c r="O6878" i="1"/>
  <c r="O6879" i="1"/>
  <c r="O6882" i="1"/>
  <c r="O6883" i="1"/>
  <c r="O6884" i="1"/>
  <c r="O6885" i="1"/>
  <c r="O6886" i="1"/>
  <c r="O6887" i="1"/>
  <c r="O6888" i="1"/>
  <c r="O6889" i="1"/>
  <c r="O6890" i="1"/>
  <c r="O6891" i="1"/>
  <c r="O6892" i="1"/>
  <c r="O6894" i="1"/>
  <c r="O6893" i="1"/>
  <c r="O6895" i="1"/>
  <c r="O6898" i="1"/>
  <c r="O6899" i="1"/>
  <c r="O6900" i="1"/>
  <c r="O6901" i="1"/>
  <c r="O6902" i="1"/>
  <c r="O6897" i="1"/>
  <c r="O6903" i="1"/>
  <c r="O6904" i="1"/>
  <c r="O6905" i="1"/>
  <c r="O6906" i="1"/>
  <c r="O6907" i="1"/>
  <c r="O6908" i="1"/>
  <c r="O6911" i="1"/>
  <c r="O6912" i="1"/>
  <c r="O6909" i="1"/>
  <c r="O6910" i="1"/>
  <c r="O6913" i="1"/>
  <c r="O6914" i="1"/>
  <c r="O6915" i="1"/>
  <c r="O6916" i="1"/>
  <c r="O6917" i="1"/>
  <c r="O6918" i="1"/>
  <c r="O6919" i="1"/>
  <c r="O6920" i="1"/>
  <c r="O6921" i="1"/>
  <c r="O6922" i="1"/>
  <c r="O6923" i="1"/>
  <c r="O6924" i="1"/>
  <c r="O6925" i="1"/>
  <c r="O6926" i="1"/>
  <c r="O6927" i="1"/>
  <c r="O6928" i="1"/>
  <c r="O6929" i="1"/>
  <c r="O6930" i="1"/>
  <c r="O6931" i="1"/>
  <c r="O6932" i="1"/>
  <c r="O6933" i="1"/>
  <c r="O6937" i="1"/>
  <c r="O6934" i="1"/>
  <c r="O6935" i="1"/>
  <c r="O6936" i="1"/>
  <c r="O6940" i="1"/>
  <c r="O6938" i="1"/>
  <c r="O6939" i="1"/>
  <c r="O6941" i="1"/>
  <c r="O6942" i="1"/>
  <c r="O6943" i="1"/>
  <c r="O6944" i="1"/>
  <c r="O6945" i="1"/>
  <c r="O6946" i="1"/>
  <c r="O6947" i="1"/>
  <c r="O6948" i="1"/>
  <c r="O6949" i="1"/>
  <c r="O6950" i="1"/>
  <c r="O6951" i="1"/>
  <c r="O6952" i="1"/>
  <c r="O6953" i="1"/>
  <c r="O6954" i="1"/>
  <c r="O6955" i="1"/>
  <c r="O6956" i="1"/>
  <c r="O6957" i="1"/>
  <c r="O6958" i="1"/>
  <c r="O6959" i="1"/>
  <c r="O6960" i="1"/>
  <c r="O6966" i="1"/>
  <c r="O6961" i="1"/>
  <c r="O6962" i="1"/>
  <c r="O6963" i="1"/>
  <c r="O6964" i="1"/>
  <c r="O6965" i="1"/>
  <c r="O6967" i="1"/>
  <c r="O6968" i="1"/>
  <c r="O6969" i="1"/>
  <c r="O6970" i="1"/>
  <c r="O6972" i="1"/>
  <c r="O6971"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30" i="1"/>
  <c r="O7026" i="1"/>
  <c r="O7027" i="1"/>
  <c r="O7031" i="1"/>
  <c r="O7028" i="1"/>
  <c r="O7029" i="1"/>
  <c r="O7032" i="1"/>
  <c r="O7033" i="1"/>
  <c r="O7034" i="1"/>
  <c r="O7035" i="1"/>
  <c r="O7037" i="1"/>
  <c r="O7039" i="1"/>
  <c r="O7038" i="1"/>
  <c r="O7053" i="1"/>
  <c r="O7046" i="1"/>
  <c r="O7052" i="1"/>
  <c r="O7050" i="1"/>
  <c r="O7045" i="1"/>
  <c r="O7044" i="1"/>
  <c r="O7047" i="1"/>
  <c r="O7041" i="1"/>
  <c r="O7049" i="1"/>
  <c r="O7051" i="1"/>
  <c r="O7043" i="1"/>
  <c r="O7040" i="1"/>
  <c r="O7055" i="1"/>
  <c r="O7042" i="1"/>
  <c r="O7048" i="1"/>
  <c r="O7054" i="1"/>
  <c r="O7065" i="1"/>
  <c r="O7056" i="1"/>
  <c r="O7060" i="1"/>
  <c r="O7061" i="1"/>
  <c r="O7057" i="1"/>
  <c r="O7063" i="1"/>
  <c r="O7058" i="1"/>
  <c r="O7062" i="1"/>
  <c r="O7059" i="1"/>
  <c r="O7064" i="1"/>
  <c r="O7066" i="1"/>
  <c r="O7067" i="1"/>
  <c r="O7069" i="1"/>
  <c r="O7068" i="1"/>
  <c r="O7070" i="1"/>
  <c r="O7071" i="1"/>
  <c r="O7072" i="1"/>
  <c r="O7074" i="1"/>
  <c r="O7073" i="1"/>
  <c r="O7075" i="1"/>
  <c r="O7077" i="1"/>
  <c r="O7078" i="1"/>
  <c r="O7076" i="1"/>
  <c r="O7079" i="1"/>
  <c r="O7083" i="1"/>
  <c r="O7082" i="1"/>
  <c r="O7081" i="1"/>
  <c r="O7080" i="1"/>
  <c r="O7096" i="1"/>
  <c r="O7084" i="1"/>
  <c r="O7095" i="1"/>
  <c r="O7089" i="1"/>
  <c r="O7097" i="1"/>
  <c r="O7085" i="1"/>
  <c r="O7092" i="1"/>
  <c r="O7090" i="1"/>
  <c r="O7086" i="1"/>
  <c r="O7093" i="1"/>
  <c r="O7088" i="1"/>
  <c r="O7094" i="1"/>
  <c r="O7091" i="1"/>
  <c r="O7087" i="1"/>
  <c r="O7098" i="1"/>
  <c r="O7100" i="1"/>
  <c r="O7099" i="1"/>
  <c r="O7101" i="1"/>
  <c r="O7102" i="1"/>
  <c r="O7103" i="1"/>
  <c r="O7108" i="1"/>
  <c r="O7107" i="1"/>
  <c r="O7104" i="1"/>
  <c r="O7106" i="1"/>
  <c r="O7105" i="1"/>
  <c r="O7109" i="1"/>
  <c r="O7111" i="1"/>
  <c r="O7110" i="1"/>
  <c r="O7112" i="1"/>
  <c r="O7113" i="1"/>
  <c r="O7120" i="1"/>
  <c r="O7115" i="1"/>
  <c r="O7116" i="1"/>
  <c r="O7119" i="1"/>
  <c r="O7117" i="1"/>
  <c r="O7118" i="1"/>
  <c r="O7114" i="1"/>
  <c r="O7124" i="1"/>
  <c r="O7125" i="1"/>
  <c r="O7126" i="1"/>
  <c r="O7127" i="1"/>
  <c r="O7123" i="1"/>
  <c r="O7122" i="1"/>
  <c r="O7128" i="1"/>
  <c r="O7121" i="1"/>
  <c r="O7131" i="1"/>
  <c r="O7129" i="1"/>
  <c r="O7130" i="1"/>
  <c r="O7132" i="1"/>
  <c r="O7138" i="1"/>
  <c r="O7139" i="1"/>
  <c r="O7134" i="1"/>
  <c r="O7135" i="1"/>
  <c r="O7136" i="1"/>
  <c r="O7133" i="1"/>
  <c r="O7137" i="1"/>
  <c r="O7141" i="1"/>
  <c r="O7140" i="1"/>
  <c r="O7142" i="1"/>
  <c r="O7143" i="1"/>
  <c r="O7144" i="1"/>
  <c r="O7157" i="1"/>
  <c r="O7149" i="1"/>
  <c r="O7156" i="1"/>
  <c r="O7153" i="1"/>
  <c r="O7158" i="1"/>
  <c r="O7154" i="1"/>
  <c r="O7147" i="1"/>
  <c r="O7148" i="1"/>
  <c r="O7146" i="1"/>
  <c r="O7152" i="1"/>
  <c r="O7145" i="1"/>
  <c r="O7155" i="1"/>
  <c r="O7150" i="1"/>
  <c r="O7151" i="1"/>
  <c r="O7161" i="1"/>
  <c r="O7163" i="1"/>
  <c r="O7159" i="1"/>
  <c r="O7165" i="1"/>
  <c r="O7164" i="1"/>
  <c r="O7162" i="1"/>
  <c r="O7160" i="1"/>
  <c r="O7166" i="1"/>
  <c r="O7174" i="1"/>
  <c r="O7169" i="1"/>
  <c r="O7171" i="1"/>
  <c r="O7167" i="1"/>
  <c r="O7168" i="1"/>
  <c r="O7172" i="1"/>
  <c r="O7170" i="1"/>
  <c r="O7175" i="1"/>
  <c r="O7173" i="1"/>
  <c r="O7176" i="1"/>
  <c r="O7177" i="1"/>
  <c r="O7178" i="1"/>
  <c r="O7180" i="1"/>
  <c r="O7179" i="1"/>
  <c r="O7182" i="1"/>
  <c r="O7183" i="1"/>
  <c r="O7181" i="1"/>
  <c r="O7184" i="1"/>
  <c r="O7188" i="1"/>
  <c r="O7185" i="1"/>
  <c r="O7186" i="1"/>
  <c r="O7187" i="1"/>
  <c r="O7189" i="1"/>
  <c r="O7193" i="1"/>
  <c r="O7192" i="1"/>
  <c r="O7190" i="1"/>
  <c r="O7197" i="1"/>
  <c r="O7196" i="1"/>
  <c r="O7194" i="1"/>
  <c r="O7191" i="1"/>
  <c r="O7195" i="1"/>
  <c r="O7198" i="1"/>
  <c r="O7199" i="1"/>
  <c r="O7204" i="1"/>
  <c r="O7201" i="1"/>
  <c r="O7205" i="1"/>
  <c r="O7206" i="1"/>
  <c r="O7207" i="1"/>
  <c r="O7208" i="1"/>
  <c r="O7211" i="1"/>
  <c r="O7202" i="1"/>
  <c r="O7212" i="1"/>
  <c r="O7203" i="1"/>
  <c r="O7209" i="1"/>
  <c r="O7210" i="1"/>
  <c r="O7213" i="1"/>
  <c r="O7220" i="1"/>
  <c r="O7219" i="1"/>
  <c r="O7217" i="1"/>
  <c r="O7228" i="1"/>
  <c r="O7227" i="1"/>
  <c r="O7223" i="1"/>
  <c r="O7221" i="1"/>
  <c r="O7224" i="1"/>
  <c r="O7216" i="1"/>
  <c r="O7214" i="1"/>
  <c r="O7215" i="1"/>
  <c r="O7222" i="1"/>
  <c r="O7225" i="1"/>
  <c r="O7226" i="1"/>
  <c r="O7218" i="1"/>
  <c r="O7231" i="1"/>
  <c r="O7230" i="1"/>
  <c r="O7229" i="1"/>
  <c r="O7232" i="1"/>
  <c r="O7233" i="1"/>
  <c r="O7238" i="1"/>
  <c r="O7237" i="1"/>
  <c r="O7234" i="1"/>
  <c r="O7235" i="1"/>
  <c r="O7236" i="1"/>
  <c r="O7239" i="1"/>
  <c r="O7240" i="1"/>
  <c r="O7241" i="1"/>
  <c r="O7245" i="1"/>
  <c r="O7244" i="1"/>
  <c r="O7247" i="1"/>
  <c r="O7242" i="1"/>
  <c r="O7243" i="1"/>
  <c r="O7246" i="1"/>
  <c r="O7251" i="1"/>
  <c r="O7248" i="1"/>
  <c r="O7250" i="1"/>
  <c r="O7249" i="1"/>
  <c r="O7252" i="1"/>
  <c r="O7253" i="1"/>
  <c r="O7254" i="1"/>
  <c r="O7258" i="1"/>
  <c r="O7259" i="1"/>
  <c r="O7255" i="1"/>
  <c r="O7260" i="1"/>
  <c r="O7256" i="1"/>
  <c r="O7257" i="1"/>
  <c r="O7263" i="1"/>
  <c r="O7262" i="1"/>
  <c r="O7261" i="1"/>
  <c r="O7265" i="1"/>
  <c r="O7266" i="1"/>
  <c r="O7264" i="1"/>
  <c r="O7269" i="1"/>
  <c r="O7267" i="1"/>
  <c r="O7268" i="1"/>
  <c r="O7270" i="1"/>
  <c r="O7276" i="1"/>
  <c r="O7274" i="1"/>
  <c r="O7275" i="1"/>
  <c r="O7272" i="1"/>
  <c r="O7273" i="1"/>
  <c r="O7271" i="1"/>
  <c r="O7282" i="1"/>
  <c r="O7278" i="1"/>
  <c r="O7277" i="1"/>
  <c r="O7281" i="1"/>
  <c r="O7280" i="1"/>
  <c r="O7279" i="1"/>
  <c r="O7283" i="1"/>
  <c r="O7284" i="1"/>
  <c r="O7285" i="1"/>
  <c r="O7289" i="1"/>
  <c r="O7286" i="1"/>
  <c r="O7288" i="1"/>
  <c r="O7287" i="1"/>
  <c r="O7290" i="1"/>
  <c r="O7291" i="1"/>
  <c r="O7292" i="1"/>
  <c r="O7293" i="1"/>
  <c r="O7294" i="1"/>
  <c r="O7295" i="1"/>
  <c r="O7296" i="1"/>
  <c r="O7297" i="1"/>
  <c r="O7298" i="1"/>
  <c r="O7304" i="1"/>
  <c r="O7302" i="1"/>
  <c r="O7300" i="1"/>
  <c r="O7305" i="1"/>
  <c r="O7306" i="1"/>
  <c r="O7299" i="1"/>
  <c r="O7307" i="1"/>
  <c r="O7303" i="1"/>
  <c r="O7301" i="1"/>
  <c r="O7308" i="1"/>
  <c r="O7313" i="1"/>
  <c r="O7312" i="1"/>
  <c r="O7311" i="1"/>
  <c r="O7310" i="1"/>
  <c r="O7309" i="1"/>
  <c r="O7324" i="1"/>
  <c r="O7318" i="1"/>
  <c r="O7314" i="1"/>
  <c r="O7323" i="1"/>
  <c r="O7320" i="1"/>
  <c r="O7321" i="1"/>
  <c r="O7316" i="1"/>
  <c r="O7319" i="1"/>
  <c r="O7325" i="1"/>
  <c r="O7322" i="1"/>
  <c r="O7315" i="1"/>
  <c r="O7317" i="1"/>
  <c r="O7326" i="1"/>
  <c r="O7327" i="1"/>
  <c r="O7328" i="1"/>
  <c r="O7329" i="1"/>
  <c r="O7330" i="1"/>
  <c r="O7343" i="1"/>
  <c r="O7332" i="1"/>
  <c r="O7333" i="1"/>
  <c r="O7344" i="1"/>
  <c r="O7337" i="1"/>
  <c r="O7336" i="1"/>
  <c r="O7338" i="1"/>
  <c r="O7331" i="1"/>
  <c r="O7340" i="1"/>
  <c r="O7342" i="1"/>
  <c r="O7341" i="1"/>
  <c r="O7339" i="1"/>
  <c r="O7335" i="1"/>
  <c r="O7334" i="1"/>
  <c r="O7345" i="1"/>
  <c r="O7348" i="1"/>
  <c r="O7347" i="1"/>
  <c r="O7350" i="1"/>
  <c r="O7351" i="1"/>
  <c r="O7352" i="1"/>
  <c r="O7346" i="1"/>
  <c r="O7353" i="1"/>
  <c r="O7349" i="1"/>
  <c r="O7354" i="1"/>
  <c r="O7362" i="1"/>
  <c r="O7358" i="1"/>
  <c r="O7357" i="1"/>
  <c r="O7355" i="1"/>
  <c r="O7359" i="1"/>
  <c r="O7356" i="1"/>
  <c r="O7360" i="1"/>
  <c r="O7361" i="1"/>
  <c r="O7364" i="1"/>
  <c r="O7367" i="1"/>
  <c r="O7363" i="1"/>
  <c r="O7368" i="1"/>
  <c r="O7365" i="1"/>
  <c r="O7366" i="1"/>
  <c r="O7371" i="1"/>
  <c r="O7372" i="1"/>
  <c r="O7370" i="1"/>
  <c r="O7373" i="1"/>
  <c r="O7369" i="1"/>
  <c r="O7374" i="1"/>
  <c r="O7390" i="1"/>
  <c r="O7391" i="1"/>
  <c r="O7381" i="1"/>
  <c r="O7382" i="1"/>
  <c r="O7383" i="1"/>
  <c r="O7376" i="1"/>
  <c r="O7385" i="1"/>
  <c r="O7377" i="1"/>
  <c r="O7379" i="1"/>
  <c r="O7378" i="1"/>
  <c r="O7389" i="1"/>
  <c r="O7388" i="1"/>
  <c r="O7384" i="1"/>
  <c r="O7386" i="1"/>
  <c r="O7380" i="1"/>
  <c r="O7387" i="1"/>
  <c r="O7393" i="1"/>
  <c r="O7392" i="1"/>
  <c r="O7399" i="1"/>
  <c r="O7400" i="1"/>
  <c r="O7394" i="1"/>
  <c r="O7396" i="1"/>
  <c r="O7398" i="1"/>
  <c r="O7395" i="1"/>
  <c r="O7397" i="1"/>
  <c r="O7407" i="1"/>
  <c r="O7408" i="1"/>
  <c r="O7404" i="1"/>
  <c r="O7401" i="1"/>
  <c r="O7405" i="1"/>
  <c r="O7402" i="1"/>
  <c r="O7403" i="1"/>
  <c r="O7406" i="1"/>
  <c r="O7416" i="1"/>
  <c r="O7417" i="1"/>
  <c r="O7409" i="1"/>
  <c r="O7414" i="1"/>
  <c r="O7410" i="1"/>
  <c r="O7411" i="1"/>
  <c r="O7415" i="1"/>
  <c r="O7413" i="1"/>
  <c r="O7412" i="1"/>
  <c r="O7422" i="1"/>
  <c r="O7423" i="1"/>
  <c r="O7420" i="1"/>
  <c r="O7421" i="1"/>
  <c r="O7419" i="1"/>
  <c r="O7424" i="1"/>
  <c r="O7418" i="1"/>
  <c r="O7426" i="1"/>
  <c r="O7425" i="1"/>
  <c r="O7427" i="1"/>
  <c r="O7430" i="1"/>
  <c r="O7429" i="1"/>
  <c r="O7431" i="1"/>
  <c r="O7428" i="1"/>
  <c r="O7432" i="1"/>
  <c r="O7436" i="1"/>
  <c r="O7438" i="1"/>
  <c r="O7443" i="1"/>
  <c r="O7441" i="1"/>
  <c r="O7442" i="1"/>
  <c r="O7439" i="1"/>
  <c r="O7434" i="1"/>
  <c r="O7440" i="1"/>
  <c r="O7435" i="1"/>
  <c r="O7433" i="1"/>
  <c r="O7437" i="1"/>
  <c r="O7444" i="1"/>
  <c r="O7448" i="1"/>
  <c r="O7447" i="1"/>
  <c r="O7445" i="1"/>
  <c r="O7449" i="1"/>
  <c r="O7446" i="1"/>
  <c r="O7450" i="1"/>
  <c r="O7451" i="1"/>
  <c r="O7458" i="1"/>
  <c r="O7456" i="1"/>
  <c r="O7460" i="1"/>
  <c r="O7454" i="1"/>
  <c r="O7452" i="1"/>
  <c r="O7459" i="1"/>
  <c r="O7461" i="1"/>
  <c r="O7453" i="1"/>
  <c r="O7455" i="1"/>
  <c r="O7457" i="1"/>
  <c r="O7463" i="1"/>
  <c r="O7464" i="1"/>
  <c r="O7467" i="1"/>
  <c r="O7465" i="1"/>
  <c r="O7466" i="1"/>
  <c r="O7471" i="1"/>
  <c r="O7469" i="1"/>
  <c r="O7474" i="1"/>
  <c r="O7470" i="1"/>
  <c r="O7472" i="1"/>
  <c r="O7468" i="1"/>
  <c r="O7473" i="1"/>
  <c r="O7462" i="1"/>
  <c r="O7475" i="1"/>
  <c r="O7478" i="1"/>
  <c r="O7476" i="1"/>
  <c r="O6754" i="1"/>
  <c r="O6896" i="1"/>
  <c r="O7036" i="1"/>
  <c r="O7200" i="1"/>
  <c r="O7375" i="1"/>
  <c r="O7477" i="1"/>
  <c r="O7483" i="1"/>
  <c r="O7482" i="1"/>
  <c r="O7480" i="1"/>
  <c r="O7481" i="1"/>
  <c r="O7479" i="1"/>
  <c r="O7485" i="1"/>
  <c r="O7486" i="1"/>
  <c r="O7484" i="1"/>
  <c r="O7487" i="1"/>
  <c r="O7488" i="1"/>
  <c r="O7489" i="1"/>
  <c r="O7490" i="1"/>
  <c r="O7491" i="1"/>
  <c r="O7504" i="1"/>
  <c r="O7496" i="1"/>
  <c r="O7494" i="1"/>
  <c r="O7492" i="1"/>
  <c r="O7500" i="1"/>
  <c r="O7493" i="1"/>
  <c r="O7502" i="1"/>
  <c r="O7499" i="1"/>
  <c r="O7498" i="1"/>
  <c r="O7501" i="1"/>
  <c r="O7497" i="1"/>
  <c r="O7495" i="1"/>
  <c r="O7503" i="1"/>
  <c r="O7505" i="1"/>
  <c r="O7508" i="1"/>
  <c r="O7506" i="1"/>
  <c r="O7507" i="1"/>
  <c r="O7510" i="1"/>
  <c r="O7509" i="1"/>
  <c r="O7511" i="1"/>
  <c r="O7514" i="1"/>
  <c r="O7516" i="1"/>
  <c r="O7513" i="1"/>
  <c r="O7515" i="1"/>
  <c r="O7512" i="1"/>
  <c r="O7519" i="1"/>
  <c r="O7521" i="1"/>
  <c r="O7520" i="1"/>
  <c r="O7518" i="1"/>
  <c r="O7517" i="1"/>
  <c r="O7522" i="1"/>
  <c r="O7524" i="1"/>
  <c r="O7525" i="1"/>
  <c r="O7523" i="1"/>
  <c r="O7526" i="1"/>
  <c r="O7527" i="1"/>
  <c r="O7530" i="1"/>
  <c r="O7529" i="1"/>
  <c r="O7532" i="1"/>
  <c r="O7528" i="1"/>
  <c r="O7531" i="1"/>
  <c r="O7535" i="1"/>
  <c r="O7540" i="1"/>
  <c r="O7534" i="1"/>
  <c r="O7538" i="1"/>
  <c r="O7539" i="1"/>
  <c r="O7533" i="1"/>
  <c r="O7541" i="1"/>
  <c r="O7537" i="1"/>
  <c r="O7536" i="1"/>
  <c r="O7543" i="1"/>
  <c r="O7547" i="1"/>
  <c r="O7542" i="1"/>
  <c r="O7546" i="1"/>
  <c r="O7545" i="1"/>
  <c r="O7544" i="1"/>
  <c r="O7548" i="1"/>
  <c r="O7550" i="1"/>
  <c r="O7549" i="1"/>
  <c r="O7555" i="1"/>
  <c r="O7554" i="1"/>
  <c r="O7558" i="1"/>
  <c r="O7557" i="1"/>
  <c r="O7561" i="1"/>
  <c r="O7551" i="1"/>
  <c r="O7556" i="1"/>
  <c r="O7562" i="1"/>
  <c r="O7559" i="1"/>
  <c r="O7560" i="1"/>
  <c r="O7553" i="1"/>
  <c r="O7552" i="1"/>
  <c r="G7554" i="1"/>
  <c r="G7553" i="1"/>
  <c r="G7560" i="1"/>
  <c r="G7558" i="1"/>
  <c r="G7559" i="1"/>
  <c r="G7551" i="1"/>
  <c r="G7555" i="1"/>
  <c r="G7561" i="1"/>
  <c r="G7556" i="1"/>
  <c r="G7557" i="1"/>
  <c r="G7562" i="1"/>
  <c r="G7549" i="1"/>
  <c r="G7550" i="1"/>
  <c r="G7547" i="1"/>
  <c r="G7548" i="1"/>
  <c r="G7543" i="1"/>
  <c r="G7542" i="1"/>
  <c r="G7545" i="1"/>
  <c r="G7546" i="1"/>
  <c r="G7544" i="1"/>
  <c r="G7535" i="1"/>
  <c r="G7534" i="1"/>
  <c r="G7541" i="1"/>
  <c r="G7539" i="1"/>
  <c r="G7533" i="1"/>
  <c r="G7536" i="1"/>
  <c r="G7537" i="1"/>
  <c r="G7540" i="1"/>
  <c r="G7538" i="1"/>
  <c r="G7532" i="1"/>
  <c r="G7531" i="1"/>
  <c r="G7528" i="1"/>
  <c r="G7530" i="1"/>
  <c r="G7529" i="1"/>
  <c r="G7527" i="1"/>
  <c r="G7525" i="1"/>
  <c r="G7523" i="1"/>
  <c r="G7524" i="1"/>
  <c r="G7526" i="1"/>
  <c r="G7522" i="1"/>
  <c r="G7517" i="1"/>
  <c r="G7520" i="1"/>
  <c r="G7518" i="1"/>
  <c r="G7521" i="1"/>
  <c r="G7519" i="1"/>
  <c r="G7513" i="1"/>
  <c r="G7515" i="1"/>
  <c r="G7516" i="1"/>
  <c r="G7514" i="1"/>
  <c r="G7512" i="1"/>
  <c r="G7511" i="1"/>
  <c r="G7510" i="1"/>
  <c r="G7509" i="1"/>
  <c r="G7507" i="1"/>
  <c r="G7506" i="1"/>
  <c r="G7505" i="1"/>
  <c r="G7508" i="1"/>
  <c r="G7496" i="1"/>
  <c r="G7503" i="1"/>
  <c r="G7502" i="1"/>
  <c r="G7495" i="1"/>
  <c r="G7497" i="1"/>
  <c r="G7501" i="1"/>
  <c r="G7498" i="1"/>
  <c r="G7500" i="1"/>
  <c r="G7494" i="1"/>
  <c r="G7504" i="1"/>
  <c r="G7499" i="1"/>
  <c r="G7492" i="1"/>
  <c r="G7493" i="1"/>
  <c r="G7491" i="1"/>
  <c r="G7487" i="1"/>
  <c r="G7484" i="1"/>
  <c r="G7486" i="1"/>
  <c r="G7481" i="1"/>
  <c r="G7464" i="1"/>
  <c r="G7423" i="1"/>
  <c r="G7421" i="1"/>
  <c r="G7417" i="1"/>
  <c r="G7408" i="1"/>
  <c r="G7400" i="1"/>
  <c r="G7392" i="1"/>
  <c r="G7391" i="1"/>
  <c r="G7382" i="1"/>
  <c r="E7554" i="1"/>
  <c r="E7553" i="1"/>
  <c r="E7560" i="1"/>
  <c r="E7558" i="1"/>
  <c r="E7559" i="1"/>
  <c r="E7551" i="1"/>
  <c r="E7555" i="1"/>
  <c r="E7561" i="1"/>
  <c r="E7556" i="1"/>
  <c r="E7557" i="1"/>
  <c r="E7562" i="1"/>
  <c r="E7549" i="1"/>
  <c r="E7550" i="1"/>
  <c r="E7547" i="1"/>
  <c r="E7548" i="1"/>
  <c r="E7543" i="1"/>
  <c r="E7542" i="1"/>
  <c r="E7545" i="1"/>
  <c r="E7546" i="1"/>
  <c r="E7544" i="1"/>
  <c r="E7535" i="1"/>
  <c r="E7534" i="1"/>
  <c r="E7541" i="1"/>
  <c r="E7539" i="1"/>
  <c r="E7533" i="1"/>
  <c r="E7536" i="1"/>
  <c r="E7537" i="1"/>
  <c r="E7540" i="1"/>
  <c r="E7538" i="1"/>
  <c r="E7532" i="1"/>
  <c r="E7531" i="1"/>
  <c r="E7528" i="1"/>
  <c r="E7530" i="1"/>
  <c r="E7529" i="1"/>
  <c r="E7527" i="1"/>
  <c r="E7525" i="1"/>
  <c r="E7523" i="1"/>
  <c r="E7524" i="1"/>
  <c r="E7526" i="1"/>
  <c r="E7522" i="1"/>
  <c r="E7517" i="1"/>
  <c r="E7520" i="1"/>
  <c r="E7518" i="1"/>
  <c r="E7521" i="1"/>
  <c r="E7519" i="1"/>
  <c r="E7513" i="1"/>
  <c r="E7515" i="1"/>
  <c r="E7516" i="1"/>
  <c r="E7514" i="1"/>
  <c r="E7512" i="1"/>
  <c r="E7511" i="1"/>
  <c r="E7510" i="1"/>
  <c r="E7509" i="1"/>
  <c r="E7507" i="1"/>
  <c r="E7506" i="1"/>
  <c r="E7505" i="1"/>
  <c r="E7508" i="1"/>
  <c r="E7496" i="1"/>
  <c r="E7503" i="1"/>
  <c r="E7502" i="1"/>
  <c r="E7495" i="1"/>
  <c r="E7497" i="1"/>
  <c r="E7501" i="1"/>
  <c r="E7498" i="1"/>
  <c r="E7500" i="1"/>
  <c r="E7494" i="1"/>
  <c r="E7504" i="1"/>
  <c r="E7499" i="1"/>
  <c r="E7492" i="1"/>
  <c r="E7493" i="1"/>
  <c r="E7491" i="1"/>
  <c r="E7487" i="1"/>
  <c r="E7484" i="1"/>
  <c r="E7486" i="1"/>
  <c r="E7481" i="1"/>
  <c r="E7464" i="1"/>
  <c r="E7423" i="1"/>
  <c r="E7421" i="1"/>
  <c r="E7417" i="1"/>
  <c r="E7408" i="1"/>
  <c r="E7400" i="1"/>
  <c r="E7392" i="1"/>
  <c r="E7391" i="1"/>
  <c r="E7382" i="1"/>
  <c r="E7552" i="1"/>
  <c r="E25" i="14"/>
  <c r="G6754" i="1"/>
  <c r="G6896" i="1"/>
  <c r="G7036" i="1"/>
  <c r="G7200" i="1"/>
  <c r="G7375" i="1"/>
  <c r="G7552" i="1"/>
  <c r="O44" i="16"/>
  <c r="N44" i="16"/>
  <c r="M44" i="16"/>
  <c r="L44" i="16"/>
  <c r="K44" i="16"/>
  <c r="J44" i="16"/>
  <c r="I44" i="16"/>
  <c r="H44" i="16"/>
  <c r="G44" i="16"/>
  <c r="F44" i="16"/>
  <c r="E44" i="16"/>
  <c r="D44" i="16"/>
  <c r="P44" i="16"/>
  <c r="P32" i="16"/>
  <c r="O31" i="16"/>
  <c r="N31" i="16"/>
  <c r="M31" i="16"/>
  <c r="L31" i="16"/>
  <c r="K31" i="16"/>
  <c r="O22" i="16"/>
  <c r="N22" i="16"/>
  <c r="M22" i="16"/>
  <c r="L22" i="16"/>
  <c r="K22" i="16"/>
  <c r="O16" i="16"/>
  <c r="N16" i="16"/>
  <c r="M16" i="16"/>
  <c r="L16" i="16"/>
  <c r="K16" i="16"/>
  <c r="P9" i="16"/>
  <c r="O16" i="11"/>
  <c r="G17" i="13"/>
  <c r="C33" i="15"/>
  <c r="G20" i="13"/>
  <c r="G21" i="13"/>
  <c r="G18" i="13"/>
  <c r="G19" i="13"/>
  <c r="G11" i="13"/>
  <c r="C2" i="5"/>
  <c r="C2" i="20"/>
  <c r="D2" i="30"/>
  <c r="D84" i="20"/>
  <c r="C4" i="20"/>
  <c r="B9" i="5"/>
  <c r="B3" i="8"/>
  <c r="Q73" i="15"/>
  <c r="Q66" i="15"/>
  <c r="C58" i="15"/>
  <c r="D59" i="15"/>
  <c r="Q42" i="15"/>
  <c r="Q35" i="15"/>
  <c r="C6" i="15"/>
  <c r="P5" i="15"/>
  <c r="Q5" i="15"/>
  <c r="E38" i="14"/>
  <c r="D8" i="13"/>
  <c r="G9" i="13"/>
  <c r="D88" i="13"/>
  <c r="D85" i="13"/>
  <c r="D84" i="13"/>
  <c r="D80" i="13"/>
  <c r="G41" i="13"/>
  <c r="D36" i="13"/>
  <c r="D34" i="13"/>
  <c r="D122" i="14"/>
  <c r="F122" i="14"/>
  <c r="D121" i="14"/>
  <c r="F121" i="14"/>
  <c r="D120" i="14"/>
  <c r="F120" i="14"/>
  <c r="F123" i="14"/>
  <c r="D115" i="14"/>
  <c r="F115" i="14"/>
  <c r="D114" i="14"/>
  <c r="F114" i="14"/>
  <c r="D113" i="14"/>
  <c r="F113" i="14"/>
  <c r="D112" i="14"/>
  <c r="F112" i="14"/>
  <c r="D111" i="14"/>
  <c r="F111" i="14"/>
  <c r="D110" i="14"/>
  <c r="F110" i="14"/>
  <c r="D109" i="14"/>
  <c r="F109" i="14"/>
  <c r="F116" i="14"/>
  <c r="D107" i="14"/>
  <c r="D106" i="14"/>
  <c r="F106" i="14"/>
  <c r="D105" i="14"/>
  <c r="F105" i="14"/>
  <c r="D104" i="14"/>
  <c r="F104" i="14"/>
  <c r="D103" i="14"/>
  <c r="F103" i="14"/>
  <c r="F107" i="14"/>
  <c r="D100" i="14"/>
  <c r="F100" i="14"/>
  <c r="D99" i="14"/>
  <c r="F99" i="14"/>
  <c r="D98" i="14"/>
  <c r="F98" i="14"/>
  <c r="D96" i="14"/>
  <c r="F96" i="14"/>
  <c r="D95" i="14"/>
  <c r="F95" i="14"/>
  <c r="D94" i="14"/>
  <c r="F94" i="14"/>
  <c r="C82" i="14"/>
  <c r="C70" i="14"/>
  <c r="C68" i="14"/>
  <c r="E59" i="14"/>
  <c r="D80" i="14"/>
  <c r="G39" i="13"/>
  <c r="D57" i="14"/>
  <c r="D56" i="14"/>
  <c r="E56" i="14"/>
  <c r="E55" i="14"/>
  <c r="D52" i="14"/>
  <c r="D51" i="14"/>
  <c r="C50" i="14"/>
  <c r="C45" i="14"/>
  <c r="C44" i="14"/>
  <c r="D42" i="14"/>
  <c r="E42" i="14"/>
  <c r="D41" i="14"/>
  <c r="E41" i="14"/>
  <c r="D40" i="14"/>
  <c r="E40" i="14"/>
  <c r="D39" i="14"/>
  <c r="E39" i="14"/>
  <c r="C32" i="14"/>
  <c r="C31" i="14"/>
  <c r="D29" i="14"/>
  <c r="E29" i="14"/>
  <c r="J37" i="13"/>
  <c r="D28" i="14"/>
  <c r="E28" i="14"/>
  <c r="J36" i="13"/>
  <c r="D27" i="14"/>
  <c r="E27" i="14"/>
  <c r="J35" i="13"/>
  <c r="D26" i="14"/>
  <c r="E26" i="14"/>
  <c r="J34" i="13"/>
  <c r="C25" i="14"/>
  <c r="E18" i="14"/>
  <c r="D77" i="14"/>
  <c r="G36" i="13"/>
  <c r="C77" i="14"/>
  <c r="E16" i="14"/>
  <c r="D15" i="14"/>
  <c r="E14" i="14"/>
  <c r="E57" i="14"/>
  <c r="D81" i="14"/>
  <c r="G40" i="13"/>
  <c r="D13" i="14"/>
  <c r="D12" i="14"/>
  <c r="C11" i="14"/>
  <c r="D10" i="14"/>
  <c r="D9" i="14"/>
  <c r="C8" i="14"/>
  <c r="C3" i="14"/>
  <c r="C2" i="14"/>
  <c r="P39" i="12"/>
  <c r="P38" i="12"/>
  <c r="O37" i="12"/>
  <c r="O40" i="12"/>
  <c r="N37" i="12"/>
  <c r="N40" i="12"/>
  <c r="M37" i="12"/>
  <c r="M40" i="12"/>
  <c r="L37" i="12"/>
  <c r="L40" i="12"/>
  <c r="K37" i="12"/>
  <c r="K40" i="12"/>
  <c r="J37" i="12"/>
  <c r="J40" i="12"/>
  <c r="I37" i="12"/>
  <c r="I40" i="12"/>
  <c r="H37" i="12"/>
  <c r="H40" i="12"/>
  <c r="G37" i="12"/>
  <c r="G40" i="12"/>
  <c r="F37" i="12"/>
  <c r="F40" i="12"/>
  <c r="E37" i="12"/>
  <c r="E40" i="12"/>
  <c r="D37" i="12"/>
  <c r="P32" i="12"/>
  <c r="P31" i="12"/>
  <c r="P30" i="12"/>
  <c r="P29" i="12"/>
  <c r="P28" i="12"/>
  <c r="P27" i="12"/>
  <c r="P26" i="12"/>
  <c r="P25" i="12"/>
  <c r="P23" i="12"/>
  <c r="P22" i="12"/>
  <c r="P21" i="12"/>
  <c r="P20" i="12"/>
  <c r="P19" i="12"/>
  <c r="P16" i="12"/>
  <c r="O15" i="12"/>
  <c r="N15" i="12"/>
  <c r="M15" i="12"/>
  <c r="L15" i="12"/>
  <c r="P15" i="12"/>
  <c r="P14" i="12"/>
  <c r="O13" i="12"/>
  <c r="N13" i="12"/>
  <c r="M13" i="12"/>
  <c r="L13" i="12"/>
  <c r="K13" i="12"/>
  <c r="J13" i="12"/>
  <c r="I13" i="12"/>
  <c r="H13" i="12"/>
  <c r="G13" i="12"/>
  <c r="F13" i="12"/>
  <c r="E13" i="12"/>
  <c r="D13" i="12"/>
  <c r="P13" i="12"/>
  <c r="P12" i="12"/>
  <c r="P11" i="12"/>
  <c r="P10" i="12"/>
  <c r="O9" i="12"/>
  <c r="O17" i="12"/>
  <c r="O34" i="12"/>
  <c r="N9" i="12"/>
  <c r="N17" i="12"/>
  <c r="N34" i="12"/>
  <c r="M9" i="12"/>
  <c r="M17" i="12"/>
  <c r="M34" i="12"/>
  <c r="L9" i="12"/>
  <c r="L17" i="12"/>
  <c r="L34" i="12"/>
  <c r="K9" i="12"/>
  <c r="K17" i="12"/>
  <c r="K34" i="12"/>
  <c r="J9" i="12"/>
  <c r="J17" i="12"/>
  <c r="J34" i="12"/>
  <c r="I9" i="12"/>
  <c r="I17" i="12"/>
  <c r="I34" i="12"/>
  <c r="H9" i="12"/>
  <c r="H17" i="12"/>
  <c r="H34" i="12"/>
  <c r="G9" i="12"/>
  <c r="G17" i="12"/>
  <c r="G34" i="12"/>
  <c r="F9" i="12"/>
  <c r="F17" i="12"/>
  <c r="F34" i="12"/>
  <c r="E9" i="12"/>
  <c r="E17" i="12"/>
  <c r="E34" i="12"/>
  <c r="D9" i="12"/>
  <c r="P8" i="12"/>
  <c r="P7" i="12"/>
  <c r="P6" i="12"/>
  <c r="E44" i="11"/>
  <c r="F44" i="11"/>
  <c r="G44" i="11"/>
  <c r="H44" i="11"/>
  <c r="I44" i="11"/>
  <c r="J44" i="11"/>
  <c r="K44" i="11"/>
  <c r="L44" i="11"/>
  <c r="M44" i="11"/>
  <c r="N44" i="11"/>
  <c r="O44" i="11"/>
  <c r="P44" i="11"/>
  <c r="D44" i="11"/>
  <c r="P32" i="11"/>
  <c r="G38" i="10"/>
  <c r="I1" i="10"/>
  <c r="J1" i="10"/>
  <c r="K1" i="10"/>
  <c r="L1" i="10"/>
  <c r="M1" i="10"/>
  <c r="N1" i="10"/>
  <c r="O1" i="10"/>
  <c r="P1" i="10"/>
  <c r="Q1" i="10"/>
  <c r="R1" i="10"/>
  <c r="C3" i="5"/>
  <c r="P32" i="9"/>
  <c r="E7375" i="1"/>
  <c r="E7200" i="1"/>
  <c r="E7036" i="1"/>
  <c r="E6896" i="1"/>
  <c r="E6754" i="1"/>
  <c r="C1" i="7"/>
  <c r="G1" i="7" s="1"/>
  <c r="C2" i="7"/>
  <c r="B5" i="7"/>
  <c r="C3" i="7"/>
  <c r="G3" i="7" s="1"/>
  <c r="S337" i="6"/>
  <c r="S336" i="6"/>
  <c r="S335" i="6"/>
  <c r="S334" i="6"/>
  <c r="S331" i="6"/>
  <c r="S330" i="6"/>
  <c r="S329" i="6"/>
  <c r="S328" i="6"/>
  <c r="S327" i="6"/>
  <c r="S326" i="6"/>
  <c r="S325" i="6"/>
  <c r="S323" i="6"/>
  <c r="S322" i="6"/>
  <c r="S321" i="6"/>
  <c r="S320" i="6"/>
  <c r="S318" i="6"/>
  <c r="S317" i="6"/>
  <c r="S316" i="6"/>
  <c r="S315" i="6"/>
  <c r="S314" i="6"/>
  <c r="S313" i="6"/>
  <c r="S312" i="6"/>
  <c r="S310" i="6"/>
  <c r="S309" i="6"/>
  <c r="S308" i="6"/>
  <c r="S307" i="6"/>
  <c r="S304" i="6"/>
  <c r="S303" i="6"/>
  <c r="S302" i="6"/>
  <c r="S301" i="6"/>
  <c r="S300" i="6"/>
  <c r="S299" i="6"/>
  <c r="S298" i="6"/>
  <c r="S296" i="6"/>
  <c r="S295" i="6"/>
  <c r="S294" i="6"/>
  <c r="S293" i="6"/>
  <c r="S291" i="6"/>
  <c r="S290" i="6"/>
  <c r="S289" i="6"/>
  <c r="S288" i="6"/>
  <c r="S287" i="6"/>
  <c r="S286" i="6"/>
  <c r="S285" i="6"/>
  <c r="S283" i="6"/>
  <c r="S282" i="6"/>
  <c r="S281" i="6"/>
  <c r="S280" i="6"/>
  <c r="S277" i="6"/>
  <c r="S276" i="6"/>
  <c r="S275" i="6"/>
  <c r="S274" i="6"/>
  <c r="S273" i="6"/>
  <c r="S272" i="6"/>
  <c r="S271" i="6"/>
  <c r="S269" i="6"/>
  <c r="S268" i="6"/>
  <c r="S267" i="6"/>
  <c r="S266" i="6"/>
  <c r="S264" i="6"/>
  <c r="S263" i="6"/>
  <c r="S262" i="6"/>
  <c r="S261" i="6"/>
  <c r="S260" i="6"/>
  <c r="S259" i="6"/>
  <c r="S258" i="6"/>
  <c r="S256" i="6"/>
  <c r="S255" i="6"/>
  <c r="S254" i="6"/>
  <c r="S253" i="6"/>
  <c r="S250" i="6"/>
  <c r="S249" i="6"/>
  <c r="S248" i="6"/>
  <c r="S247" i="6"/>
  <c r="S246" i="6"/>
  <c r="S245" i="6"/>
  <c r="S244" i="6"/>
  <c r="S242" i="6"/>
  <c r="S241" i="6"/>
  <c r="S240" i="6"/>
  <c r="S239" i="6"/>
  <c r="S237" i="6"/>
  <c r="S236" i="6"/>
  <c r="S235" i="6"/>
  <c r="S234" i="6"/>
  <c r="S233" i="6"/>
  <c r="S232" i="6"/>
  <c r="S231" i="6"/>
  <c r="S229" i="6"/>
  <c r="S228" i="6"/>
  <c r="S227" i="6"/>
  <c r="S226" i="6"/>
  <c r="S223" i="6"/>
  <c r="S222" i="6"/>
  <c r="S221" i="6"/>
  <c r="S220" i="6"/>
  <c r="S219" i="6"/>
  <c r="S218" i="6"/>
  <c r="S217" i="6"/>
  <c r="S215" i="6"/>
  <c r="S214" i="6"/>
  <c r="S213" i="6"/>
  <c r="S212" i="6"/>
  <c r="S210" i="6"/>
  <c r="S209" i="6"/>
  <c r="S208" i="6"/>
  <c r="S207" i="6"/>
  <c r="S206" i="6"/>
  <c r="S205" i="6"/>
  <c r="S204" i="6"/>
  <c r="S202" i="6"/>
  <c r="S201" i="6"/>
  <c r="S200" i="6"/>
  <c r="S199" i="6"/>
  <c r="S196" i="6"/>
  <c r="S195" i="6"/>
  <c r="S194" i="6"/>
  <c r="S193" i="6"/>
  <c r="S192" i="6"/>
  <c r="S191" i="6"/>
  <c r="S190" i="6"/>
  <c r="S188" i="6"/>
  <c r="S187" i="6"/>
  <c r="S186" i="6"/>
  <c r="S185" i="6"/>
  <c r="S183" i="6"/>
  <c r="S182" i="6"/>
  <c r="S181" i="6"/>
  <c r="S180" i="6"/>
  <c r="S179" i="6"/>
  <c r="S178" i="6"/>
  <c r="S177" i="6"/>
  <c r="S175" i="6"/>
  <c r="S174" i="6"/>
  <c r="S173" i="6"/>
  <c r="S172" i="6"/>
  <c r="S169" i="6"/>
  <c r="S168" i="6"/>
  <c r="S167" i="6"/>
  <c r="S166" i="6"/>
  <c r="S165" i="6"/>
  <c r="S164" i="6"/>
  <c r="S163" i="6"/>
  <c r="S161" i="6"/>
  <c r="S160" i="6"/>
  <c r="S159" i="6"/>
  <c r="S158" i="6"/>
  <c r="S156" i="6"/>
  <c r="S155" i="6"/>
  <c r="S154" i="6"/>
  <c r="S153" i="6"/>
  <c r="S152" i="6"/>
  <c r="S151" i="6"/>
  <c r="S150" i="6"/>
  <c r="S148" i="6"/>
  <c r="S147" i="6"/>
  <c r="S146" i="6"/>
  <c r="S145" i="6"/>
  <c r="S142" i="6"/>
  <c r="S141" i="6"/>
  <c r="S140" i="6"/>
  <c r="S139" i="6"/>
  <c r="S138" i="6"/>
  <c r="S137" i="6"/>
  <c r="S136" i="6"/>
  <c r="S134" i="6"/>
  <c r="S133" i="6"/>
  <c r="S132" i="6"/>
  <c r="S131" i="6"/>
  <c r="S129" i="6"/>
  <c r="S128" i="6"/>
  <c r="S127" i="6"/>
  <c r="S126" i="6"/>
  <c r="S125" i="6"/>
  <c r="S124" i="6"/>
  <c r="S123" i="6"/>
  <c r="S121" i="6"/>
  <c r="S120" i="6"/>
  <c r="S119" i="6"/>
  <c r="S118" i="6"/>
  <c r="S115" i="6"/>
  <c r="S114" i="6"/>
  <c r="S113" i="6"/>
  <c r="S112" i="6"/>
  <c r="S111" i="6"/>
  <c r="S110" i="6"/>
  <c r="S109" i="6"/>
  <c r="S107" i="6"/>
  <c r="S106" i="6"/>
  <c r="S105" i="6"/>
  <c r="S104" i="6"/>
  <c r="S102" i="6"/>
  <c r="S101" i="6"/>
  <c r="S100" i="6"/>
  <c r="S99" i="6"/>
  <c r="S98" i="6"/>
  <c r="S97" i="6"/>
  <c r="S96" i="6"/>
  <c r="S73" i="6"/>
  <c r="S94" i="6"/>
  <c r="S93" i="6"/>
  <c r="S92" i="6"/>
  <c r="S91" i="6"/>
  <c r="S88" i="6"/>
  <c r="S87" i="6"/>
  <c r="S86" i="6"/>
  <c r="S85" i="6"/>
  <c r="S84" i="6"/>
  <c r="S83" i="6"/>
  <c r="S82" i="6"/>
  <c r="S80" i="6"/>
  <c r="S79" i="6"/>
  <c r="S78" i="6"/>
  <c r="S77" i="6"/>
  <c r="S75" i="6"/>
  <c r="S74" i="6"/>
  <c r="S72" i="6"/>
  <c r="S71" i="6"/>
  <c r="S70" i="6"/>
  <c r="S69" i="6"/>
  <c r="S37" i="6"/>
  <c r="S38" i="6"/>
  <c r="S39" i="6"/>
  <c r="S40" i="6"/>
  <c r="S41" i="6"/>
  <c r="S42" i="6"/>
  <c r="S43" i="6"/>
  <c r="S45" i="6"/>
  <c r="S46" i="6"/>
  <c r="S47" i="6"/>
  <c r="S48" i="6"/>
  <c r="S49" i="6"/>
  <c r="S51" i="6"/>
  <c r="S52" i="6"/>
  <c r="S53" i="6"/>
  <c r="S54" i="6"/>
  <c r="S55" i="6"/>
  <c r="S56" i="6"/>
  <c r="S57" i="6"/>
  <c r="S58" i="6"/>
  <c r="S60" i="6"/>
  <c r="S62" i="6"/>
  <c r="S63" i="6"/>
  <c r="S64" i="6"/>
  <c r="S65" i="6"/>
  <c r="S66" i="6"/>
  <c r="S67" i="6"/>
  <c r="S6" i="6"/>
  <c r="S7" i="6"/>
  <c r="S8" i="6"/>
  <c r="S9" i="6"/>
  <c r="S10" i="6"/>
  <c r="S11" i="6"/>
  <c r="S13" i="6"/>
  <c r="S14" i="6"/>
  <c r="S15" i="6"/>
  <c r="S16" i="6"/>
  <c r="S17" i="6"/>
  <c r="S19" i="6"/>
  <c r="S20" i="6"/>
  <c r="S21" i="6"/>
  <c r="S22" i="6"/>
  <c r="S23" i="6"/>
  <c r="S24" i="6"/>
  <c r="S25" i="6"/>
  <c r="S26" i="6"/>
  <c r="S28" i="6"/>
  <c r="S30" i="6"/>
  <c r="S31" i="6"/>
  <c r="S32" i="6"/>
  <c r="S33" i="6"/>
  <c r="S34" i="6"/>
  <c r="S35" i="6"/>
  <c r="E7393" i="1"/>
  <c r="D32" i="5"/>
  <c r="D31" i="5"/>
  <c r="D30" i="5"/>
  <c r="D29" i="5"/>
  <c r="D28" i="5"/>
  <c r="D27" i="5"/>
  <c r="D26" i="5"/>
  <c r="D22" i="5"/>
  <c r="D21" i="5"/>
  <c r="D24" i="5"/>
  <c r="D12" i="5"/>
  <c r="D13" i="5"/>
  <c r="D14" i="5"/>
  <c r="D15" i="5"/>
  <c r="D16" i="5"/>
  <c r="D17" i="5"/>
  <c r="D23" i="20"/>
  <c r="O28" i="6"/>
  <c r="N27" i="6"/>
  <c r="S332" i="6"/>
  <c r="M27" i="6"/>
  <c r="S305" i="6"/>
  <c r="L27" i="6"/>
  <c r="S278" i="6"/>
  <c r="K27" i="6"/>
  <c r="S251" i="6"/>
  <c r="J27" i="6"/>
  <c r="S224" i="6"/>
  <c r="I27" i="6"/>
  <c r="S197" i="6"/>
  <c r="H27" i="6"/>
  <c r="S170" i="6"/>
  <c r="G27" i="6"/>
  <c r="S143" i="6"/>
  <c r="F27" i="6"/>
  <c r="S116" i="6"/>
  <c r="E27" i="6"/>
  <c r="S89" i="6"/>
  <c r="D27" i="6"/>
  <c r="S59" i="6"/>
  <c r="C27" i="6"/>
  <c r="S27" i="6"/>
  <c r="O26" i="6"/>
  <c r="O25" i="6"/>
  <c r="O24" i="6"/>
  <c r="O23" i="6"/>
  <c r="O22" i="6"/>
  <c r="O21" i="6"/>
  <c r="O20" i="6"/>
  <c r="N18" i="6"/>
  <c r="S324" i="6"/>
  <c r="M18" i="6"/>
  <c r="S297" i="6"/>
  <c r="L18" i="6"/>
  <c r="S270" i="6"/>
  <c r="K18" i="6"/>
  <c r="S243" i="6"/>
  <c r="J18" i="6"/>
  <c r="S216" i="6"/>
  <c r="I18" i="6"/>
  <c r="S189" i="6"/>
  <c r="H18" i="6"/>
  <c r="S162" i="6"/>
  <c r="G18" i="6"/>
  <c r="S135" i="6"/>
  <c r="F18" i="6"/>
  <c r="S108" i="6"/>
  <c r="E18" i="6"/>
  <c r="S81" i="6"/>
  <c r="D18" i="6"/>
  <c r="S50" i="6"/>
  <c r="C18" i="6"/>
  <c r="O17" i="6"/>
  <c r="O16" i="6"/>
  <c r="O15" i="6"/>
  <c r="O14" i="6"/>
  <c r="N12" i="6"/>
  <c r="S319" i="6"/>
  <c r="M12" i="6"/>
  <c r="S292" i="6"/>
  <c r="L12" i="6"/>
  <c r="S265" i="6"/>
  <c r="K12" i="6"/>
  <c r="S238" i="6"/>
  <c r="J12" i="6"/>
  <c r="S211" i="6"/>
  <c r="I12" i="6"/>
  <c r="S184" i="6"/>
  <c r="H12" i="6"/>
  <c r="S157" i="6"/>
  <c r="G12" i="6"/>
  <c r="S130" i="6"/>
  <c r="F12" i="6"/>
  <c r="S103" i="6"/>
  <c r="E12" i="6"/>
  <c r="S76" i="6"/>
  <c r="D12" i="6"/>
  <c r="S44" i="6"/>
  <c r="C12" i="6"/>
  <c r="O11" i="6"/>
  <c r="O10" i="6"/>
  <c r="O9" i="6"/>
  <c r="O8" i="6"/>
  <c r="O7" i="6"/>
  <c r="O6" i="6"/>
  <c r="O5" i="6"/>
  <c r="D33" i="5"/>
  <c r="D18" i="5"/>
  <c r="G7039" i="1"/>
  <c r="G7038" i="1"/>
  <c r="G7053" i="1"/>
  <c r="G7046" i="1"/>
  <c r="G7052" i="1"/>
  <c r="G7050" i="1"/>
  <c r="G7045" i="1"/>
  <c r="G7044" i="1"/>
  <c r="G7047" i="1"/>
  <c r="G7041" i="1"/>
  <c r="G7049" i="1"/>
  <c r="G7051" i="1"/>
  <c r="G7043" i="1"/>
  <c r="G7040" i="1"/>
  <c r="G7055" i="1"/>
  <c r="G7042" i="1"/>
  <c r="G7048" i="1"/>
  <c r="G7054" i="1"/>
  <c r="G7065" i="1"/>
  <c r="G7056" i="1"/>
  <c r="G7060" i="1"/>
  <c r="G7061" i="1"/>
  <c r="G7057" i="1"/>
  <c r="G7063" i="1"/>
  <c r="G7058" i="1"/>
  <c r="G7062" i="1"/>
  <c r="G7059" i="1"/>
  <c r="G7064" i="1"/>
  <c r="G7066" i="1"/>
  <c r="G7067" i="1"/>
  <c r="G7069" i="1"/>
  <c r="G7068" i="1"/>
  <c r="G7070" i="1"/>
  <c r="G7071" i="1"/>
  <c r="G7072" i="1"/>
  <c r="G7074" i="1"/>
  <c r="G7073" i="1"/>
  <c r="G7075" i="1"/>
  <c r="G7077" i="1"/>
  <c r="G7078" i="1"/>
  <c r="G7076" i="1"/>
  <c r="G7079" i="1"/>
  <c r="G7083" i="1"/>
  <c r="G7082" i="1"/>
  <c r="G7081" i="1"/>
  <c r="G7080" i="1"/>
  <c r="G7096" i="1"/>
  <c r="G7084" i="1"/>
  <c r="G7095" i="1"/>
  <c r="G7089" i="1"/>
  <c r="G7097" i="1"/>
  <c r="G7085" i="1"/>
  <c r="G7092" i="1"/>
  <c r="G7090" i="1"/>
  <c r="G7086" i="1"/>
  <c r="G7093" i="1"/>
  <c r="G7088" i="1"/>
  <c r="G7094" i="1"/>
  <c r="G7091" i="1"/>
  <c r="G7087" i="1"/>
  <c r="G7098" i="1"/>
  <c r="G7100" i="1"/>
  <c r="G7099" i="1"/>
  <c r="G7101" i="1"/>
  <c r="G7102" i="1"/>
  <c r="G7103" i="1"/>
  <c r="G7108" i="1"/>
  <c r="G7107" i="1"/>
  <c r="G7104" i="1"/>
  <c r="G7106" i="1"/>
  <c r="G7105" i="1"/>
  <c r="G7109" i="1"/>
  <c r="G7111" i="1"/>
  <c r="G7110" i="1"/>
  <c r="G7112" i="1"/>
  <c r="G7113" i="1"/>
  <c r="G7120" i="1"/>
  <c r="G7115" i="1"/>
  <c r="G7116" i="1"/>
  <c r="G7119" i="1"/>
  <c r="G7117" i="1"/>
  <c r="G7118" i="1"/>
  <c r="G7114" i="1"/>
  <c r="G7124" i="1"/>
  <c r="G7125" i="1"/>
  <c r="G7126" i="1"/>
  <c r="G7127" i="1"/>
  <c r="G7123" i="1"/>
  <c r="G7122" i="1"/>
  <c r="G7128" i="1"/>
  <c r="G7121" i="1"/>
  <c r="G7131" i="1"/>
  <c r="G7129" i="1"/>
  <c r="G7130" i="1"/>
  <c r="G7132" i="1"/>
  <c r="G7138" i="1"/>
  <c r="G7139" i="1"/>
  <c r="G7134" i="1"/>
  <c r="G7135" i="1"/>
  <c r="G7136" i="1"/>
  <c r="G7133" i="1"/>
  <c r="G7137" i="1"/>
  <c r="G7141" i="1"/>
  <c r="G7140" i="1"/>
  <c r="G7142" i="1"/>
  <c r="G7143" i="1"/>
  <c r="G7144" i="1"/>
  <c r="G7157" i="1"/>
  <c r="G7149" i="1"/>
  <c r="G7156" i="1"/>
  <c r="G7153" i="1"/>
  <c r="G7158" i="1"/>
  <c r="G7154" i="1"/>
  <c r="G7147" i="1"/>
  <c r="G7148" i="1"/>
  <c r="G7146" i="1"/>
  <c r="G7152" i="1"/>
  <c r="G7145" i="1"/>
  <c r="G7155" i="1"/>
  <c r="G7150" i="1"/>
  <c r="G7151" i="1"/>
  <c r="G7161" i="1"/>
  <c r="G7163" i="1"/>
  <c r="G7159" i="1"/>
  <c r="G7165" i="1"/>
  <c r="G7164" i="1"/>
  <c r="G7162" i="1"/>
  <c r="G7160" i="1"/>
  <c r="G7166" i="1"/>
  <c r="G7174" i="1"/>
  <c r="G7169" i="1"/>
  <c r="G7171" i="1"/>
  <c r="G7167" i="1"/>
  <c r="G7168" i="1"/>
  <c r="G7172" i="1"/>
  <c r="G7170" i="1"/>
  <c r="G7175" i="1"/>
  <c r="G7173" i="1"/>
  <c r="G7176" i="1"/>
  <c r="G7177" i="1"/>
  <c r="G7178" i="1"/>
  <c r="G7180" i="1"/>
  <c r="G7179" i="1"/>
  <c r="G7182" i="1"/>
  <c r="G7183" i="1"/>
  <c r="G7181" i="1"/>
  <c r="G7184" i="1"/>
  <c r="G7188" i="1"/>
  <c r="G7185" i="1"/>
  <c r="G7186" i="1"/>
  <c r="G7187" i="1"/>
  <c r="G7189" i="1"/>
  <c r="G7193" i="1"/>
  <c r="G7192" i="1"/>
  <c r="G7190" i="1"/>
  <c r="G7197" i="1"/>
  <c r="G7196" i="1"/>
  <c r="G7194" i="1"/>
  <c r="G7191" i="1"/>
  <c r="G7195" i="1"/>
  <c r="G7198" i="1"/>
  <c r="G7199" i="1"/>
  <c r="G7204" i="1"/>
  <c r="G7201" i="1"/>
  <c r="G7205" i="1"/>
  <c r="G7206" i="1"/>
  <c r="G7207" i="1"/>
  <c r="G7208" i="1"/>
  <c r="G7211" i="1"/>
  <c r="G7202" i="1"/>
  <c r="G7212" i="1"/>
  <c r="G7203" i="1"/>
  <c r="G7209" i="1"/>
  <c r="G7210" i="1"/>
  <c r="G7213" i="1"/>
  <c r="G7220" i="1"/>
  <c r="G7219" i="1"/>
  <c r="G7217" i="1"/>
  <c r="G7228" i="1"/>
  <c r="G7227" i="1"/>
  <c r="G7223" i="1"/>
  <c r="G7221" i="1"/>
  <c r="G7224" i="1"/>
  <c r="G7216" i="1"/>
  <c r="G7214" i="1"/>
  <c r="G7215" i="1"/>
  <c r="G7222" i="1"/>
  <c r="G7225" i="1"/>
  <c r="G7226" i="1"/>
  <c r="G7218" i="1"/>
  <c r="G7231" i="1"/>
  <c r="G7230" i="1"/>
  <c r="G7229" i="1"/>
  <c r="G7232" i="1"/>
  <c r="G7233" i="1"/>
  <c r="G7238" i="1"/>
  <c r="G7237" i="1"/>
  <c r="G7234" i="1"/>
  <c r="G7235" i="1"/>
  <c r="G7236" i="1"/>
  <c r="G7239" i="1"/>
  <c r="G7240" i="1"/>
  <c r="G7241" i="1"/>
  <c r="G7245" i="1"/>
  <c r="G7244" i="1"/>
  <c r="G7247" i="1"/>
  <c r="G7242" i="1"/>
  <c r="G7243" i="1"/>
  <c r="G7246" i="1"/>
  <c r="G7251" i="1"/>
  <c r="G7248" i="1"/>
  <c r="G7250" i="1"/>
  <c r="G7249" i="1"/>
  <c r="G7252" i="1"/>
  <c r="G7253" i="1"/>
  <c r="G7254" i="1"/>
  <c r="G7258" i="1"/>
  <c r="G7259" i="1"/>
  <c r="G7255" i="1"/>
  <c r="G7260" i="1"/>
  <c r="G7256" i="1"/>
  <c r="G7257" i="1"/>
  <c r="G7263" i="1"/>
  <c r="G7262" i="1"/>
  <c r="G7261" i="1"/>
  <c r="G7265" i="1"/>
  <c r="G7266" i="1"/>
  <c r="G7264" i="1"/>
  <c r="G7269" i="1"/>
  <c r="G7267" i="1"/>
  <c r="G7268" i="1"/>
  <c r="G7270" i="1"/>
  <c r="G7276" i="1"/>
  <c r="G7274" i="1"/>
  <c r="G7275" i="1"/>
  <c r="G7272" i="1"/>
  <c r="G7273" i="1"/>
  <c r="G7271" i="1"/>
  <c r="G7282" i="1"/>
  <c r="G7278" i="1"/>
  <c r="G7277" i="1"/>
  <c r="G7281" i="1"/>
  <c r="G7280" i="1"/>
  <c r="G7279" i="1"/>
  <c r="G7283" i="1"/>
  <c r="G7284" i="1"/>
  <c r="G7285" i="1"/>
  <c r="G7289" i="1"/>
  <c r="G7286" i="1"/>
  <c r="G7288" i="1"/>
  <c r="G7287" i="1"/>
  <c r="G7290" i="1"/>
  <c r="G7291" i="1"/>
  <c r="G7292" i="1"/>
  <c r="G7293" i="1"/>
  <c r="G7294" i="1"/>
  <c r="G7295" i="1"/>
  <c r="G7296" i="1"/>
  <c r="G7297" i="1"/>
  <c r="G7298" i="1"/>
  <c r="G7304" i="1"/>
  <c r="G7302" i="1"/>
  <c r="G7300" i="1"/>
  <c r="G7305" i="1"/>
  <c r="G7306" i="1"/>
  <c r="G7299" i="1"/>
  <c r="G7307" i="1"/>
  <c r="G7303" i="1"/>
  <c r="G7301" i="1"/>
  <c r="G7308" i="1"/>
  <c r="G7313" i="1"/>
  <c r="G7312" i="1"/>
  <c r="G7311" i="1"/>
  <c r="G7310" i="1"/>
  <c r="G7309" i="1"/>
  <c r="G7324" i="1"/>
  <c r="G7318" i="1"/>
  <c r="G7314" i="1"/>
  <c r="G7323" i="1"/>
  <c r="G7320" i="1"/>
  <c r="G7321" i="1"/>
  <c r="G7316" i="1"/>
  <c r="G7319" i="1"/>
  <c r="G7325" i="1"/>
  <c r="G7322" i="1"/>
  <c r="G7315" i="1"/>
  <c r="G7317" i="1"/>
  <c r="G7326" i="1"/>
  <c r="G7327" i="1"/>
  <c r="G7328" i="1"/>
  <c r="G7329" i="1"/>
  <c r="G7330" i="1"/>
  <c r="G7343" i="1"/>
  <c r="G7332" i="1"/>
  <c r="G7333" i="1"/>
  <c r="G7344" i="1"/>
  <c r="G7337" i="1"/>
  <c r="G7336" i="1"/>
  <c r="G7338" i="1"/>
  <c r="G7331" i="1"/>
  <c r="G7340" i="1"/>
  <c r="G7342" i="1"/>
  <c r="G7341" i="1"/>
  <c r="G7339" i="1"/>
  <c r="G7335" i="1"/>
  <c r="G7334" i="1"/>
  <c r="G7345" i="1"/>
  <c r="G7348" i="1"/>
  <c r="G7347" i="1"/>
  <c r="G7350" i="1"/>
  <c r="G7351" i="1"/>
  <c r="G7352" i="1"/>
  <c r="G7346" i="1"/>
  <c r="G7353" i="1"/>
  <c r="G7349" i="1"/>
  <c r="G7354" i="1"/>
  <c r="G7362" i="1"/>
  <c r="G7358" i="1"/>
  <c r="G7357" i="1"/>
  <c r="G7355" i="1"/>
  <c r="G7359" i="1"/>
  <c r="G7356" i="1"/>
  <c r="G7360" i="1"/>
  <c r="G7361" i="1"/>
  <c r="G7364" i="1"/>
  <c r="G7367" i="1"/>
  <c r="G7363" i="1"/>
  <c r="G7368" i="1"/>
  <c r="G7365" i="1"/>
  <c r="G7366" i="1"/>
  <c r="G7371" i="1"/>
  <c r="G7372" i="1"/>
  <c r="G7370" i="1"/>
  <c r="G7373" i="1"/>
  <c r="G7369" i="1"/>
  <c r="G7374" i="1"/>
  <c r="G7376" i="1"/>
  <c r="G7380" i="1"/>
  <c r="G7387" i="1"/>
  <c r="G7393" i="1"/>
  <c r="G7383" i="1"/>
  <c r="G7378" i="1"/>
  <c r="G7384" i="1"/>
  <c r="G7385" i="1"/>
  <c r="G7377" i="1"/>
  <c r="G7386" i="1"/>
  <c r="G7388" i="1"/>
  <c r="G7379" i="1"/>
  <c r="G7389" i="1"/>
  <c r="G7390" i="1"/>
  <c r="G7381" i="1"/>
  <c r="G7398" i="1"/>
  <c r="G7396" i="1"/>
  <c r="G7395" i="1"/>
  <c r="G7394" i="1"/>
  <c r="G7399" i="1"/>
  <c r="G7397" i="1"/>
  <c r="G7401" i="1"/>
  <c r="G7407" i="1"/>
  <c r="G7404" i="1"/>
  <c r="G7402" i="1"/>
  <c r="G7406" i="1"/>
  <c r="G7405" i="1"/>
  <c r="G7403" i="1"/>
  <c r="G7416" i="1"/>
  <c r="G7409" i="1"/>
  <c r="G7411" i="1"/>
  <c r="G7414" i="1"/>
  <c r="G7415" i="1"/>
  <c r="G7413" i="1"/>
  <c r="G7410" i="1"/>
  <c r="G7412" i="1"/>
  <c r="G7424" i="1"/>
  <c r="G7418" i="1"/>
  <c r="G7419" i="1"/>
  <c r="G7426" i="1"/>
  <c r="G7425" i="1"/>
  <c r="G7422" i="1"/>
  <c r="G7420" i="1"/>
  <c r="G7431" i="1"/>
  <c r="G7428" i="1"/>
  <c r="G7430" i="1"/>
  <c r="G7429" i="1"/>
  <c r="G7427" i="1"/>
  <c r="G7432" i="1"/>
  <c r="G7433" i="1"/>
  <c r="G7436" i="1"/>
  <c r="G7434" i="1"/>
  <c r="G7438" i="1"/>
  <c r="G7435" i="1"/>
  <c r="G7440" i="1"/>
  <c r="G7441" i="1"/>
  <c r="G7439" i="1"/>
  <c r="G7437" i="1"/>
  <c r="G7442" i="1"/>
  <c r="G7443" i="1"/>
  <c r="G7444" i="1"/>
  <c r="G7445" i="1"/>
  <c r="G7449" i="1"/>
  <c r="G7446" i="1"/>
  <c r="G7447" i="1"/>
  <c r="G7448" i="1"/>
  <c r="G7450" i="1"/>
  <c r="G7451" i="1"/>
  <c r="G7457" i="1"/>
  <c r="G7455" i="1"/>
  <c r="G7456" i="1"/>
  <c r="G7452" i="1"/>
  <c r="G7453" i="1"/>
  <c r="G7460" i="1"/>
  <c r="G7461" i="1"/>
  <c r="G7459" i="1"/>
  <c r="G7454" i="1"/>
  <c r="G7458" i="1"/>
  <c r="G7462" i="1"/>
  <c r="G7466" i="1"/>
  <c r="G7465" i="1"/>
  <c r="G7469" i="1"/>
  <c r="G7474" i="1"/>
  <c r="G7472" i="1"/>
  <c r="G7467" i="1"/>
  <c r="G7471" i="1"/>
  <c r="G7470" i="1"/>
  <c r="G7473" i="1"/>
  <c r="G7468" i="1"/>
  <c r="G7463" i="1"/>
  <c r="G7477" i="1"/>
  <c r="G7475" i="1"/>
  <c r="G7478" i="1"/>
  <c r="G7476" i="1"/>
  <c r="G7480" i="1"/>
  <c r="G7482" i="1"/>
  <c r="G7483" i="1"/>
  <c r="G7479" i="1"/>
  <c r="G7485" i="1"/>
  <c r="G7490" i="1"/>
  <c r="G7488" i="1"/>
  <c r="G7489" i="1"/>
  <c r="G7037" i="1"/>
  <c r="E7039" i="1"/>
  <c r="E7038" i="1"/>
  <c r="E7053" i="1"/>
  <c r="E7046" i="1"/>
  <c r="E7052" i="1"/>
  <c r="E7050" i="1"/>
  <c r="E7045" i="1"/>
  <c r="E7044" i="1"/>
  <c r="E7047" i="1"/>
  <c r="E7041" i="1"/>
  <c r="E7049" i="1"/>
  <c r="E7051" i="1"/>
  <c r="E7043" i="1"/>
  <c r="E7040" i="1"/>
  <c r="E7055" i="1"/>
  <c r="E7042" i="1"/>
  <c r="E7048" i="1"/>
  <c r="E7054" i="1"/>
  <c r="E7065" i="1"/>
  <c r="E7056" i="1"/>
  <c r="E7060" i="1"/>
  <c r="E7061" i="1"/>
  <c r="E7057" i="1"/>
  <c r="E7063" i="1"/>
  <c r="E7058" i="1"/>
  <c r="E7062" i="1"/>
  <c r="E7059" i="1"/>
  <c r="E7064" i="1"/>
  <c r="E7066" i="1"/>
  <c r="E7067" i="1"/>
  <c r="E7069" i="1"/>
  <c r="E7068" i="1"/>
  <c r="E7070" i="1"/>
  <c r="E7071" i="1"/>
  <c r="E7072" i="1"/>
  <c r="E7074" i="1"/>
  <c r="E7073" i="1"/>
  <c r="E7075" i="1"/>
  <c r="E7077" i="1"/>
  <c r="E7078" i="1"/>
  <c r="E7076" i="1"/>
  <c r="E7079" i="1"/>
  <c r="E7083" i="1"/>
  <c r="E7082" i="1"/>
  <c r="E7081" i="1"/>
  <c r="E7080" i="1"/>
  <c r="E7096" i="1"/>
  <c r="E7084" i="1"/>
  <c r="E7095" i="1"/>
  <c r="E7089" i="1"/>
  <c r="E7097" i="1"/>
  <c r="E7085" i="1"/>
  <c r="E7092" i="1"/>
  <c r="E7090" i="1"/>
  <c r="E7086" i="1"/>
  <c r="E7093" i="1"/>
  <c r="E7088" i="1"/>
  <c r="E7094" i="1"/>
  <c r="E7091" i="1"/>
  <c r="E7087" i="1"/>
  <c r="E7098" i="1"/>
  <c r="E7100" i="1"/>
  <c r="E7099" i="1"/>
  <c r="E7101" i="1"/>
  <c r="E7102" i="1"/>
  <c r="E7103" i="1"/>
  <c r="E7108" i="1"/>
  <c r="E7107" i="1"/>
  <c r="E7104" i="1"/>
  <c r="E7106" i="1"/>
  <c r="E7105" i="1"/>
  <c r="E7109" i="1"/>
  <c r="E7111" i="1"/>
  <c r="E7110" i="1"/>
  <c r="E7112" i="1"/>
  <c r="E7113" i="1"/>
  <c r="E7120" i="1"/>
  <c r="E7115" i="1"/>
  <c r="E7116" i="1"/>
  <c r="E7119" i="1"/>
  <c r="E7117" i="1"/>
  <c r="E7118" i="1"/>
  <c r="E7114" i="1"/>
  <c r="E7124" i="1"/>
  <c r="E7125" i="1"/>
  <c r="E7126" i="1"/>
  <c r="E7127" i="1"/>
  <c r="E7123" i="1"/>
  <c r="E7122" i="1"/>
  <c r="E7128" i="1"/>
  <c r="E7121" i="1"/>
  <c r="E7131" i="1"/>
  <c r="E7129" i="1"/>
  <c r="E7130" i="1"/>
  <c r="E7132" i="1"/>
  <c r="E7138" i="1"/>
  <c r="E7139" i="1"/>
  <c r="E7134" i="1"/>
  <c r="E7135" i="1"/>
  <c r="E7136" i="1"/>
  <c r="E7133" i="1"/>
  <c r="E7137" i="1"/>
  <c r="E7141" i="1"/>
  <c r="E7140" i="1"/>
  <c r="E7142" i="1"/>
  <c r="E7143" i="1"/>
  <c r="E7144" i="1"/>
  <c r="E7157" i="1"/>
  <c r="E7149" i="1"/>
  <c r="E7156" i="1"/>
  <c r="E7153" i="1"/>
  <c r="E7158" i="1"/>
  <c r="E7154" i="1"/>
  <c r="E7147" i="1"/>
  <c r="E7148" i="1"/>
  <c r="E7146" i="1"/>
  <c r="E7152" i="1"/>
  <c r="E7145" i="1"/>
  <c r="E7155" i="1"/>
  <c r="E7150" i="1"/>
  <c r="E7151" i="1"/>
  <c r="E7161" i="1"/>
  <c r="E7163" i="1"/>
  <c r="E7159" i="1"/>
  <c r="E7165" i="1"/>
  <c r="E7164" i="1"/>
  <c r="E7162" i="1"/>
  <c r="E7160" i="1"/>
  <c r="E7166" i="1"/>
  <c r="E7174" i="1"/>
  <c r="E7169" i="1"/>
  <c r="E7171" i="1"/>
  <c r="E7167" i="1"/>
  <c r="E7168" i="1"/>
  <c r="E7172" i="1"/>
  <c r="E7170" i="1"/>
  <c r="E7175" i="1"/>
  <c r="E7173" i="1"/>
  <c r="E7176" i="1"/>
  <c r="E7177" i="1"/>
  <c r="E7178" i="1"/>
  <c r="E7180" i="1"/>
  <c r="E7179" i="1"/>
  <c r="E7182" i="1"/>
  <c r="E7183" i="1"/>
  <c r="E7181" i="1"/>
  <c r="E7184" i="1"/>
  <c r="E7188" i="1"/>
  <c r="E7185" i="1"/>
  <c r="E7186" i="1"/>
  <c r="E7187" i="1"/>
  <c r="E7189" i="1"/>
  <c r="E7193" i="1"/>
  <c r="E7192" i="1"/>
  <c r="E7190" i="1"/>
  <c r="E7197" i="1"/>
  <c r="E7196" i="1"/>
  <c r="E7194" i="1"/>
  <c r="E7191" i="1"/>
  <c r="E7195" i="1"/>
  <c r="E7198" i="1"/>
  <c r="E7199" i="1"/>
  <c r="E7204" i="1"/>
  <c r="E7201" i="1"/>
  <c r="E7205" i="1"/>
  <c r="E7206" i="1"/>
  <c r="E7207" i="1"/>
  <c r="E7208" i="1"/>
  <c r="E7211" i="1"/>
  <c r="E7202" i="1"/>
  <c r="E7212" i="1"/>
  <c r="E7203" i="1"/>
  <c r="E7209" i="1"/>
  <c r="E7210" i="1"/>
  <c r="E7213" i="1"/>
  <c r="E7220" i="1"/>
  <c r="E7219" i="1"/>
  <c r="E7217" i="1"/>
  <c r="E7228" i="1"/>
  <c r="E7223" i="1"/>
  <c r="E7221" i="1"/>
  <c r="E7224" i="1"/>
  <c r="E7216" i="1"/>
  <c r="E7214" i="1"/>
  <c r="E7215" i="1"/>
  <c r="E7222" i="1"/>
  <c r="E7225" i="1"/>
  <c r="E7226" i="1"/>
  <c r="E7218" i="1"/>
  <c r="E7231" i="1"/>
  <c r="E7230" i="1"/>
  <c r="E7229" i="1"/>
  <c r="E7232" i="1"/>
  <c r="E7233" i="1"/>
  <c r="E7238" i="1"/>
  <c r="E7237" i="1"/>
  <c r="E7234" i="1"/>
  <c r="E7235" i="1"/>
  <c r="E7236" i="1"/>
  <c r="E7239" i="1"/>
  <c r="E7240" i="1"/>
  <c r="E7241" i="1"/>
  <c r="E7245" i="1"/>
  <c r="E7244" i="1"/>
  <c r="E7247" i="1"/>
  <c r="E7242" i="1"/>
  <c r="E7243" i="1"/>
  <c r="E7246" i="1"/>
  <c r="E7251" i="1"/>
  <c r="E7248" i="1"/>
  <c r="E7250" i="1"/>
  <c r="E7249" i="1"/>
  <c r="E7252" i="1"/>
  <c r="E7253" i="1"/>
  <c r="E7254" i="1"/>
  <c r="E7258" i="1"/>
  <c r="E7259" i="1"/>
  <c r="E7255" i="1"/>
  <c r="E7260" i="1"/>
  <c r="E7256" i="1"/>
  <c r="E7257" i="1"/>
  <c r="E7263" i="1"/>
  <c r="E7262" i="1"/>
  <c r="E7261" i="1"/>
  <c r="E7265" i="1"/>
  <c r="E7266" i="1"/>
  <c r="E7264" i="1"/>
  <c r="E7269" i="1"/>
  <c r="E7267" i="1"/>
  <c r="E7268" i="1"/>
  <c r="E7270" i="1"/>
  <c r="E7276" i="1"/>
  <c r="E7274" i="1"/>
  <c r="E7275" i="1"/>
  <c r="E7272" i="1"/>
  <c r="E7273" i="1"/>
  <c r="E7271" i="1"/>
  <c r="E7282" i="1"/>
  <c r="E7278" i="1"/>
  <c r="E7277" i="1"/>
  <c r="E7281" i="1"/>
  <c r="E7280" i="1"/>
  <c r="E7279" i="1"/>
  <c r="E7283" i="1"/>
  <c r="E7284" i="1"/>
  <c r="E7285" i="1"/>
  <c r="E7289" i="1"/>
  <c r="E7286" i="1"/>
  <c r="E7288" i="1"/>
  <c r="E7287" i="1"/>
  <c r="E7290" i="1"/>
  <c r="E7291" i="1"/>
  <c r="E7292" i="1"/>
  <c r="E7293" i="1"/>
  <c r="E7294" i="1"/>
  <c r="E7295" i="1"/>
  <c r="E7296" i="1"/>
  <c r="E7297" i="1"/>
  <c r="E7298" i="1"/>
  <c r="E7304" i="1"/>
  <c r="E7302" i="1"/>
  <c r="E7300" i="1"/>
  <c r="E7305" i="1"/>
  <c r="E7306" i="1"/>
  <c r="E7299" i="1"/>
  <c r="E7307" i="1"/>
  <c r="E7303" i="1"/>
  <c r="E7301" i="1"/>
  <c r="E7308" i="1"/>
  <c r="E7313" i="1"/>
  <c r="E7312" i="1"/>
  <c r="E7311" i="1"/>
  <c r="E7310" i="1"/>
  <c r="E7309" i="1"/>
  <c r="E7324" i="1"/>
  <c r="E7318" i="1"/>
  <c r="E7314" i="1"/>
  <c r="E7323" i="1"/>
  <c r="E7320" i="1"/>
  <c r="E7321" i="1"/>
  <c r="E7316" i="1"/>
  <c r="E7319" i="1"/>
  <c r="E7325" i="1"/>
  <c r="E7322" i="1"/>
  <c r="E7315" i="1"/>
  <c r="E7317" i="1"/>
  <c r="E7326" i="1"/>
  <c r="E7327" i="1"/>
  <c r="E7328" i="1"/>
  <c r="E7329" i="1"/>
  <c r="E7330" i="1"/>
  <c r="E7343" i="1"/>
  <c r="E7332" i="1"/>
  <c r="E7333" i="1"/>
  <c r="E7344" i="1"/>
  <c r="E7337" i="1"/>
  <c r="E7336" i="1"/>
  <c r="E7338" i="1"/>
  <c r="E7331" i="1"/>
  <c r="E7340" i="1"/>
  <c r="E7342" i="1"/>
  <c r="E7341" i="1"/>
  <c r="E7339" i="1"/>
  <c r="E7335" i="1"/>
  <c r="E7334" i="1"/>
  <c r="E7345" i="1"/>
  <c r="E7348" i="1"/>
  <c r="E7347" i="1"/>
  <c r="E7350" i="1"/>
  <c r="E7351" i="1"/>
  <c r="E7352" i="1"/>
  <c r="E7346" i="1"/>
  <c r="E7353" i="1"/>
  <c r="E7349" i="1"/>
  <c r="E7354" i="1"/>
  <c r="E7362" i="1"/>
  <c r="E7358" i="1"/>
  <c r="E7357" i="1"/>
  <c r="E7355" i="1"/>
  <c r="E7359" i="1"/>
  <c r="E7356" i="1"/>
  <c r="E7360" i="1"/>
  <c r="E7361" i="1"/>
  <c r="E7364" i="1"/>
  <c r="E7367" i="1"/>
  <c r="E7363" i="1"/>
  <c r="E7368" i="1"/>
  <c r="E7365" i="1"/>
  <c r="E7366" i="1"/>
  <c r="E7371" i="1"/>
  <c r="E7372" i="1"/>
  <c r="E7370" i="1"/>
  <c r="E7373" i="1"/>
  <c r="E7369" i="1"/>
  <c r="E7374" i="1"/>
  <c r="E7376" i="1"/>
  <c r="E7380" i="1"/>
  <c r="E7387" i="1"/>
  <c r="E7383" i="1"/>
  <c r="E7378" i="1"/>
  <c r="E7384" i="1"/>
  <c r="E7385" i="1"/>
  <c r="E7377" i="1"/>
  <c r="E7386" i="1"/>
  <c r="E7388" i="1"/>
  <c r="E7379" i="1"/>
  <c r="E7389" i="1"/>
  <c r="E7390" i="1"/>
  <c r="E7381" i="1"/>
  <c r="E7398" i="1"/>
  <c r="E7396" i="1"/>
  <c r="E7395" i="1"/>
  <c r="E7394" i="1"/>
  <c r="E7399" i="1"/>
  <c r="E7397" i="1"/>
  <c r="E7401" i="1"/>
  <c r="E7407" i="1"/>
  <c r="E7404" i="1"/>
  <c r="E7402" i="1"/>
  <c r="E7406" i="1"/>
  <c r="E7405" i="1"/>
  <c r="E7403" i="1"/>
  <c r="E7416" i="1"/>
  <c r="E7409" i="1"/>
  <c r="E7411" i="1"/>
  <c r="E7414" i="1"/>
  <c r="E7415" i="1"/>
  <c r="E7413" i="1"/>
  <c r="E7410" i="1"/>
  <c r="E7412" i="1"/>
  <c r="E7424" i="1"/>
  <c r="E7418" i="1"/>
  <c r="E7419" i="1"/>
  <c r="E7426" i="1"/>
  <c r="E7425" i="1"/>
  <c r="E7422" i="1"/>
  <c r="E7420" i="1"/>
  <c r="E7431" i="1"/>
  <c r="E7428" i="1"/>
  <c r="E7430" i="1"/>
  <c r="E7429" i="1"/>
  <c r="E7427" i="1"/>
  <c r="E7432" i="1"/>
  <c r="E7433" i="1"/>
  <c r="E7436" i="1"/>
  <c r="E7434" i="1"/>
  <c r="E7438" i="1"/>
  <c r="E7435" i="1"/>
  <c r="E7440" i="1"/>
  <c r="E7441" i="1"/>
  <c r="E7439" i="1"/>
  <c r="E7437" i="1"/>
  <c r="E7442" i="1"/>
  <c r="E7443" i="1"/>
  <c r="E7444" i="1"/>
  <c r="E7445" i="1"/>
  <c r="E7449" i="1"/>
  <c r="E7446" i="1"/>
  <c r="E7447" i="1"/>
  <c r="E7448" i="1"/>
  <c r="E7450" i="1"/>
  <c r="E7451" i="1"/>
  <c r="E7457" i="1"/>
  <c r="E7455" i="1"/>
  <c r="E7456" i="1"/>
  <c r="E7452" i="1"/>
  <c r="E7453" i="1"/>
  <c r="E7460" i="1"/>
  <c r="E7461" i="1"/>
  <c r="E7459" i="1"/>
  <c r="E7454" i="1"/>
  <c r="E7458" i="1"/>
  <c r="E7462" i="1"/>
  <c r="E7466" i="1"/>
  <c r="E7465" i="1"/>
  <c r="E7469" i="1"/>
  <c r="E7474" i="1"/>
  <c r="E7472" i="1"/>
  <c r="E7467" i="1"/>
  <c r="E7471" i="1"/>
  <c r="E7470" i="1"/>
  <c r="E7473" i="1"/>
  <c r="E7468" i="1"/>
  <c r="E7463" i="1"/>
  <c r="E7477" i="1"/>
  <c r="E7475" i="1"/>
  <c r="E7478" i="1"/>
  <c r="E7476" i="1"/>
  <c r="E7480" i="1"/>
  <c r="E7482" i="1"/>
  <c r="E7483" i="1"/>
  <c r="E7479" i="1"/>
  <c r="E7485" i="1"/>
  <c r="E7490" i="1"/>
  <c r="E7488" i="1"/>
  <c r="E7489" i="1"/>
  <c r="E7037" i="1"/>
  <c r="O1" i="11"/>
  <c r="N1" i="11"/>
  <c r="M1" i="11"/>
  <c r="L1" i="11"/>
  <c r="K1" i="11"/>
  <c r="J1" i="11"/>
  <c r="I1" i="11"/>
  <c r="H1" i="11"/>
  <c r="G1" i="11"/>
  <c r="F1" i="11"/>
  <c r="E1" i="11"/>
  <c r="D1" i="11"/>
  <c r="O1" i="9"/>
  <c r="N1" i="9"/>
  <c r="M1" i="9"/>
  <c r="L1" i="9"/>
  <c r="K1" i="9"/>
  <c r="J1" i="9"/>
  <c r="I1" i="9"/>
  <c r="H1" i="9"/>
  <c r="G1" i="9"/>
  <c r="F1" i="9"/>
  <c r="E1" i="9"/>
  <c r="D1" i="9"/>
  <c r="C7" i="15"/>
  <c r="Q6" i="15"/>
  <c r="Q7" i="15"/>
  <c r="Q27" i="15"/>
  <c r="Q46" i="15"/>
  <c r="R35" i="15"/>
  <c r="R42" i="15"/>
  <c r="Q77" i="15"/>
  <c r="R66" i="15"/>
  <c r="R73" i="15"/>
  <c r="D83" i="13"/>
  <c r="C30" i="14"/>
  <c r="D8" i="14"/>
  <c r="D31" i="14"/>
  <c r="E9" i="14"/>
  <c r="D32" i="14"/>
  <c r="E10" i="14"/>
  <c r="C43" i="14"/>
  <c r="D11" i="14"/>
  <c r="D44" i="14"/>
  <c r="E12" i="14"/>
  <c r="D45" i="14"/>
  <c r="E13" i="14"/>
  <c r="C81" i="14"/>
  <c r="D50" i="14"/>
  <c r="E15" i="14"/>
  <c r="E50" i="14"/>
  <c r="D78" i="14"/>
  <c r="G37" i="13"/>
  <c r="E51" i="14"/>
  <c r="G38" i="13"/>
  <c r="E52" i="14"/>
  <c r="D25" i="14"/>
  <c r="D90" i="14"/>
  <c r="D86" i="14"/>
  <c r="D87" i="14"/>
  <c r="D88" i="14"/>
  <c r="F28" i="14"/>
  <c r="D89" i="14"/>
  <c r="F29" i="14"/>
  <c r="D132" i="14"/>
  <c r="F39" i="14"/>
  <c r="F40" i="14"/>
  <c r="F41" i="14"/>
  <c r="F42" i="14"/>
  <c r="C80" i="14"/>
  <c r="C101" i="14"/>
  <c r="D101" i="14"/>
  <c r="D97" i="14"/>
  <c r="F97" i="14"/>
  <c r="F101" i="14"/>
  <c r="F118" i="14"/>
  <c r="C118" i="14"/>
  <c r="D118" i="14"/>
  <c r="D116" i="14"/>
  <c r="F125" i="14"/>
  <c r="C125" i="14"/>
  <c r="D125" i="14"/>
  <c r="D123" i="14"/>
  <c r="D17" i="12"/>
  <c r="D34" i="12"/>
  <c r="D40" i="12"/>
  <c r="P40" i="12"/>
  <c r="P43" i="12"/>
  <c r="P37" i="12"/>
  <c r="D7" i="11"/>
  <c r="E7" i="11"/>
  <c r="F7" i="11"/>
  <c r="G7" i="11"/>
  <c r="H7" i="11"/>
  <c r="I7" i="11"/>
  <c r="J31" i="11"/>
  <c r="J22" i="11"/>
  <c r="J16" i="11"/>
  <c r="J7" i="11"/>
  <c r="K31" i="11"/>
  <c r="K22" i="11"/>
  <c r="K16" i="11"/>
  <c r="K7" i="11"/>
  <c r="L31" i="11"/>
  <c r="L22" i="11"/>
  <c r="L16" i="11"/>
  <c r="L7" i="11"/>
  <c r="M31" i="11"/>
  <c r="M22" i="11"/>
  <c r="M16" i="11"/>
  <c r="M7" i="11"/>
  <c r="N31" i="11"/>
  <c r="N22" i="11"/>
  <c r="N16" i="11"/>
  <c r="N7" i="11"/>
  <c r="O31" i="11"/>
  <c r="O22" i="11"/>
  <c r="O7" i="11"/>
  <c r="R7" i="10"/>
  <c r="S1" i="10"/>
  <c r="I12" i="10"/>
  <c r="I7" i="10"/>
  <c r="J7" i="10"/>
  <c r="K7" i="10"/>
  <c r="L7" i="10"/>
  <c r="M7" i="10"/>
  <c r="N7" i="10"/>
  <c r="O9" i="10"/>
  <c r="O7" i="10"/>
  <c r="P13" i="10"/>
  <c r="P7" i="10"/>
  <c r="Q10" i="10"/>
  <c r="Q7" i="10"/>
  <c r="D28" i="7"/>
  <c r="D27" i="7"/>
  <c r="D26" i="7"/>
  <c r="D25" i="7"/>
  <c r="D24" i="7"/>
  <c r="D23" i="7"/>
  <c r="D22" i="7"/>
  <c r="D29" i="7"/>
  <c r="D19" i="7"/>
  <c r="D18" i="7"/>
  <c r="D17" i="7"/>
  <c r="D16" i="7"/>
  <c r="D20" i="7"/>
  <c r="D13" i="7"/>
  <c r="D12" i="7"/>
  <c r="D11" i="7"/>
  <c r="D10" i="7"/>
  <c r="D9" i="7"/>
  <c r="D8" i="7"/>
  <c r="D7" i="7"/>
  <c r="D14" i="7"/>
  <c r="D31" i="7"/>
  <c r="I9" i="20"/>
  <c r="O12" i="6"/>
  <c r="S12" i="6"/>
  <c r="O18" i="6"/>
  <c r="S18" i="6"/>
  <c r="O27" i="6"/>
  <c r="D29" i="6"/>
  <c r="E29" i="6"/>
  <c r="F29" i="6"/>
  <c r="S117" i="6"/>
  <c r="F36" i="6"/>
  <c r="S122" i="6"/>
  <c r="G29" i="6"/>
  <c r="S144" i="6"/>
  <c r="G36" i="6"/>
  <c r="S149" i="6"/>
  <c r="H29" i="6"/>
  <c r="H36" i="6"/>
  <c r="S176" i="6"/>
  <c r="I29" i="6"/>
  <c r="S198" i="6"/>
  <c r="I36" i="6"/>
  <c r="S203" i="6"/>
  <c r="J29" i="6"/>
  <c r="S225" i="6"/>
  <c r="J36" i="6"/>
  <c r="S230" i="6"/>
  <c r="K29" i="6"/>
  <c r="S252" i="6"/>
  <c r="K36" i="6"/>
  <c r="S257" i="6"/>
  <c r="L29" i="6"/>
  <c r="S279" i="6"/>
  <c r="L36" i="6"/>
  <c r="S284" i="6"/>
  <c r="M29" i="6"/>
  <c r="S306" i="6"/>
  <c r="M36" i="6"/>
  <c r="S311" i="6"/>
  <c r="N29" i="6"/>
  <c r="N36" i="6"/>
  <c r="S333" i="6"/>
  <c r="S338" i="6"/>
  <c r="D35" i="5"/>
  <c r="D9" i="20"/>
  <c r="D7" i="9"/>
  <c r="E7" i="9"/>
  <c r="F7" i="9"/>
  <c r="G7" i="9"/>
  <c r="H7" i="9"/>
  <c r="I7" i="9"/>
  <c r="J7" i="9"/>
  <c r="K7" i="9"/>
  <c r="K14" i="9"/>
  <c r="L7" i="9"/>
  <c r="M7" i="9"/>
  <c r="M13" i="9"/>
  <c r="N7" i="9"/>
  <c r="O7" i="9"/>
  <c r="Q58" i="15"/>
  <c r="Q59" i="15"/>
  <c r="Q60" i="15"/>
  <c r="R60" i="15"/>
  <c r="Q78" i="15"/>
  <c r="Q28" i="15"/>
  <c r="Q29" i="15"/>
  <c r="E89" i="14"/>
  <c r="C89" i="14"/>
  <c r="E88" i="14"/>
  <c r="C88" i="14"/>
  <c r="E87" i="14"/>
  <c r="C87" i="14"/>
  <c r="E86" i="14"/>
  <c r="C86" i="14"/>
  <c r="E90" i="14"/>
  <c r="C90" i="14"/>
  <c r="C79" i="14"/>
  <c r="C78" i="14"/>
  <c r="D76" i="14"/>
  <c r="G35" i="13"/>
  <c r="E45" i="14"/>
  <c r="F45" i="14"/>
  <c r="F13" i="14"/>
  <c r="D71" i="14"/>
  <c r="D37" i="13"/>
  <c r="E44" i="14"/>
  <c r="F44" i="14"/>
  <c r="F12" i="14"/>
  <c r="D43" i="14"/>
  <c r="E11" i="14"/>
  <c r="D83" i="14"/>
  <c r="D75" i="14"/>
  <c r="G34" i="13"/>
  <c r="E32" i="14"/>
  <c r="F32" i="14"/>
  <c r="D69" i="14"/>
  <c r="D35" i="13"/>
  <c r="C31" i="13"/>
  <c r="E31" i="14"/>
  <c r="F31" i="14"/>
  <c r="D30" i="14"/>
  <c r="E8" i="14"/>
  <c r="O33" i="11"/>
  <c r="N33" i="11"/>
  <c r="M33" i="11"/>
  <c r="L33" i="11"/>
  <c r="K33" i="11"/>
  <c r="J33" i="11"/>
  <c r="P9" i="11"/>
  <c r="S7" i="10"/>
  <c r="S20" i="10"/>
  <c r="E36" i="6"/>
  <c r="S95" i="6"/>
  <c r="S90" i="6"/>
  <c r="D36" i="6"/>
  <c r="S68" i="6"/>
  <c r="S61" i="6"/>
  <c r="Q47" i="15"/>
  <c r="Q30" i="15"/>
  <c r="Q74" i="15"/>
  <c r="Q75" i="15"/>
  <c r="Q67" i="15"/>
  <c r="Q68" i="15"/>
  <c r="D72" i="14"/>
  <c r="E30" i="14"/>
  <c r="F30" i="14"/>
  <c r="E69" i="14"/>
  <c r="C69" i="14"/>
  <c r="E75" i="14"/>
  <c r="C75" i="14"/>
  <c r="C83" i="14"/>
  <c r="E81" i="14"/>
  <c r="E80" i="14"/>
  <c r="E79" i="14"/>
  <c r="E78" i="14"/>
  <c r="E43" i="14"/>
  <c r="F43" i="14"/>
  <c r="F11" i="14"/>
  <c r="E71" i="14"/>
  <c r="C71" i="14"/>
  <c r="E76" i="14"/>
  <c r="C76" i="14"/>
  <c r="Q43" i="15"/>
  <c r="Q44" i="15"/>
  <c r="Q36" i="15"/>
  <c r="Q37" i="15"/>
  <c r="C72" i="14"/>
  <c r="E70" i="14"/>
  <c r="E68" i="14"/>
  <c r="D131" i="14"/>
  <c r="D133" i="14"/>
  <c r="E133" i="14"/>
  <c r="O1" i="16"/>
  <c r="N1" i="16"/>
  <c r="M1" i="16"/>
  <c r="L1" i="16"/>
  <c r="K1" i="16"/>
  <c r="J1" i="16"/>
  <c r="I1" i="16"/>
  <c r="H1" i="16"/>
  <c r="G1" i="16"/>
  <c r="F1" i="16"/>
  <c r="E1" i="16"/>
  <c r="D1" i="16"/>
  <c r="D7" i="16"/>
  <c r="E7" i="16"/>
  <c r="F7" i="16"/>
  <c r="G7" i="16"/>
  <c r="H7" i="16"/>
  <c r="I7" i="16"/>
  <c r="J7" i="16"/>
  <c r="K7" i="16"/>
  <c r="L7" i="16"/>
  <c r="M7" i="16"/>
  <c r="N7" i="16"/>
  <c r="O7" i="16"/>
  <c r="K33" i="16"/>
  <c r="L33" i="16"/>
  <c r="M33" i="16"/>
  <c r="N33" i="16"/>
  <c r="O33" i="16"/>
  <c r="F26" i="14"/>
  <c r="F27" i="14"/>
  <c r="F31" i="13"/>
  <c r="G24" i="13"/>
  <c r="L33" i="17"/>
  <c r="M33" i="17"/>
  <c r="N33" i="17"/>
  <c r="O33" i="17"/>
  <c r="B21" i="18"/>
  <c r="B22" i="18"/>
  <c r="B23" i="18"/>
  <c r="D38" i="20"/>
  <c r="U8" i="21"/>
  <c r="U14" i="21"/>
  <c r="I39" i="20"/>
  <c r="T8" i="21"/>
  <c r="T14" i="21"/>
  <c r="I38" i="20"/>
  <c r="D119" i="21"/>
  <c r="D96" i="21"/>
  <c r="G117" i="21"/>
  <c r="D120" i="21"/>
  <c r="D97" i="21"/>
  <c r="G118" i="21"/>
  <c r="T5" i="21"/>
  <c r="C29" i="6"/>
  <c r="M33" i="19"/>
  <c r="N33" i="19"/>
  <c r="O33" i="19"/>
  <c r="D90" i="13"/>
  <c r="D99" i="13"/>
  <c r="D75" i="13"/>
  <c r="D24" i="13"/>
  <c r="I31" i="13"/>
  <c r="D19" i="13"/>
  <c r="G48" i="13"/>
  <c r="D97" i="13"/>
  <c r="D23" i="13"/>
  <c r="D25" i="13"/>
  <c r="C26" i="13"/>
  <c r="O29" i="6"/>
  <c r="O36" i="6"/>
  <c r="S171" i="6"/>
  <c r="O1" i="17"/>
  <c r="N1" i="17"/>
  <c r="M1" i="17"/>
  <c r="L1" i="17"/>
  <c r="K1" i="17"/>
  <c r="J1" i="17"/>
  <c r="I1" i="17"/>
  <c r="H1" i="17"/>
  <c r="G1" i="17"/>
  <c r="F1" i="17"/>
  <c r="E1" i="17"/>
  <c r="D1" i="17"/>
  <c r="X14" i="21"/>
  <c r="D98" i="21"/>
  <c r="S29" i="6"/>
  <c r="C36" i="6"/>
  <c r="S36" i="6"/>
  <c r="G51" i="13"/>
  <c r="G50" i="13"/>
  <c r="G49" i="13"/>
  <c r="D10" i="13"/>
  <c r="G56" i="13"/>
  <c r="G57" i="13"/>
  <c r="D7" i="17"/>
  <c r="E7" i="17"/>
  <c r="F29" i="17"/>
  <c r="F7" i="17"/>
  <c r="G7" i="17"/>
  <c r="H7" i="17"/>
  <c r="I7" i="17"/>
  <c r="J7" i="17"/>
  <c r="K7" i="17"/>
  <c r="L7" i="17"/>
  <c r="M7" i="17"/>
  <c r="N7" i="17"/>
  <c r="O7" i="17"/>
  <c r="T6" i="21"/>
  <c r="D13" i="13"/>
  <c r="D18" i="13"/>
  <c r="D20" i="13"/>
  <c r="C21" i="13"/>
  <c r="T12" i="21"/>
  <c r="X12" i="21"/>
  <c r="AD98" i="18"/>
  <c r="AD99" i="18"/>
  <c r="AD100" i="18"/>
  <c r="AD101" i="18"/>
  <c r="AD102" i="18"/>
  <c r="AD103" i="18"/>
  <c r="AD104" i="18"/>
  <c r="AD105" i="18"/>
  <c r="AD106" i="18"/>
  <c r="AD107" i="18"/>
  <c r="AD108" i="18"/>
  <c r="AD109" i="18"/>
  <c r="AD110" i="18"/>
  <c r="AD111" i="18"/>
  <c r="AD112" i="18"/>
  <c r="AD113" i="18"/>
  <c r="AD114" i="18"/>
  <c r="AD115" i="18"/>
  <c r="AD97" i="18"/>
  <c r="N98" i="18"/>
  <c r="N99" i="18"/>
  <c r="N100" i="18"/>
  <c r="N101" i="18"/>
  <c r="N102" i="18"/>
  <c r="N103" i="18"/>
  <c r="N104" i="18"/>
  <c r="N105" i="18"/>
  <c r="N106" i="18"/>
  <c r="N107" i="18"/>
  <c r="N108" i="18"/>
  <c r="N109" i="18"/>
  <c r="N110" i="18"/>
  <c r="N111" i="18"/>
  <c r="N112" i="18"/>
  <c r="N113" i="18"/>
  <c r="N114" i="18"/>
  <c r="N115" i="18"/>
  <c r="N116" i="18"/>
  <c r="N117" i="18"/>
  <c r="N118" i="18"/>
  <c r="N119" i="18"/>
  <c r="N120" i="18"/>
  <c r="N121" i="18"/>
  <c r="N122" i="18"/>
  <c r="N123" i="18"/>
  <c r="N124" i="18"/>
  <c r="N125"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 i="22"/>
  <c r="N1" i="22"/>
  <c r="M1" i="22"/>
  <c r="L1" i="22"/>
  <c r="K1" i="22"/>
  <c r="J1" i="22"/>
  <c r="I1" i="22"/>
  <c r="H1" i="22"/>
  <c r="G1" i="22"/>
  <c r="F1" i="22"/>
  <c r="E1" i="22"/>
  <c r="D1" i="22"/>
  <c r="D8" i="22"/>
  <c r="O1" i="19"/>
  <c r="N1" i="19"/>
  <c r="M1" i="19"/>
  <c r="L1" i="19"/>
  <c r="K1" i="19"/>
  <c r="J1" i="19"/>
  <c r="I1" i="19"/>
  <c r="H1" i="19"/>
  <c r="G1" i="19"/>
  <c r="F1" i="19"/>
  <c r="E1" i="19"/>
  <c r="D1" i="19"/>
  <c r="D7" i="19"/>
  <c r="E7" i="19"/>
  <c r="F7" i="19"/>
  <c r="G24" i="19"/>
  <c r="G7" i="19"/>
  <c r="H7" i="19"/>
  <c r="I7" i="19"/>
  <c r="J20" i="19"/>
  <c r="J7" i="19"/>
  <c r="K7" i="19"/>
  <c r="L7" i="19"/>
  <c r="M35" i="19"/>
  <c r="M7" i="19"/>
  <c r="N7" i="19"/>
  <c r="O7" i="19"/>
  <c r="E8" i="22"/>
  <c r="F8" i="22"/>
  <c r="G8" i="22"/>
  <c r="H8" i="22"/>
  <c r="I8" i="22"/>
  <c r="J8" i="22"/>
  <c r="K8" i="22"/>
  <c r="L8" i="22"/>
  <c r="M8" i="22"/>
  <c r="N8" i="22"/>
  <c r="O8" i="22"/>
  <c r="I23" i="20"/>
  <c r="T7" i="21"/>
  <c r="G103" i="20"/>
  <c r="G99" i="20"/>
  <c r="G102" i="20"/>
  <c r="G106" i="20"/>
  <c r="G107" i="20"/>
  <c r="G104" i="20"/>
  <c r="T13" i="21"/>
  <c r="X13" i="21"/>
  <c r="T9" i="21"/>
  <c r="T15" i="21"/>
  <c r="X15" i="21"/>
  <c r="F104" i="20"/>
  <c r="D144" i="20"/>
  <c r="D192" i="20"/>
  <c r="F87" i="20"/>
  <c r="D95" i="20"/>
  <c r="D51" i="21"/>
  <c r="E28" i="21"/>
  <c r="U5" i="21"/>
  <c r="U6" i="21"/>
  <c r="U12" i="21"/>
  <c r="Y12" i="21"/>
  <c r="G91" i="20"/>
  <c r="F95" i="20"/>
  <c r="G95" i="20"/>
  <c r="D39" i="20"/>
  <c r="G105" i="20"/>
  <c r="Y14" i="21"/>
  <c r="E32" i="21"/>
  <c r="E30" i="21"/>
  <c r="E33" i="21"/>
  <c r="D145" i="20"/>
  <c r="AD116" i="18"/>
  <c r="AD117" i="18"/>
  <c r="AD118" i="18"/>
  <c r="AD119" i="18"/>
  <c r="AD120" i="18"/>
  <c r="AD121" i="18"/>
  <c r="AD122" i="18"/>
  <c r="AD123" i="18"/>
  <c r="AD124" i="18"/>
  <c r="AD125" i="18"/>
  <c r="H7" i="28"/>
  <c r="I1" i="28"/>
  <c r="D146" i="20"/>
  <c r="H8" i="25"/>
  <c r="I12" i="24"/>
  <c r="AB87" i="18"/>
  <c r="AG97" i="18"/>
  <c r="T97" i="18"/>
  <c r="AH97" i="18"/>
  <c r="AI97" i="18" s="1"/>
  <c r="AG98" i="18" s="1"/>
  <c r="D109" i="20"/>
  <c r="E35" i="29"/>
  <c r="E29" i="29"/>
  <c r="E30" i="29"/>
  <c r="D67" i="29"/>
  <c r="E86" i="29"/>
  <c r="E84" i="29"/>
  <c r="F84" i="29"/>
  <c r="F86" i="29"/>
  <c r="J1" i="28"/>
  <c r="I7" i="28"/>
  <c r="D1" i="30"/>
  <c r="E2" i="30"/>
  <c r="D13" i="30"/>
  <c r="F23" i="29"/>
  <c r="G109" i="20"/>
  <c r="F109" i="20"/>
  <c r="J7" i="28"/>
  <c r="K1" i="28"/>
  <c r="L1" i="28"/>
  <c r="E1" i="30"/>
  <c r="F2" i="30"/>
  <c r="F1" i="30"/>
  <c r="K7" i="28"/>
  <c r="E7" i="30"/>
  <c r="G2" i="30"/>
  <c r="G1" i="30"/>
  <c r="C39" i="5"/>
  <c r="H26" i="10"/>
  <c r="B13" i="24"/>
  <c r="B14" i="24"/>
  <c r="A12" i="24"/>
  <c r="E89" i="21"/>
  <c r="P89" i="21"/>
  <c r="O89" i="21"/>
  <c r="N89" i="21"/>
  <c r="M89" i="21"/>
  <c r="L89" i="21"/>
  <c r="K89" i="21"/>
  <c r="J89" i="21"/>
  <c r="I89" i="21"/>
  <c r="H89" i="21"/>
  <c r="G89" i="21"/>
  <c r="F89" i="21"/>
  <c r="I13" i="24"/>
  <c r="A13" i="24"/>
  <c r="H2" i="30"/>
  <c r="W44" i="31"/>
  <c r="W43" i="31"/>
  <c r="W42" i="31"/>
  <c r="W41" i="31"/>
  <c r="W40" i="31"/>
  <c r="W39" i="31"/>
  <c r="W38" i="31"/>
  <c r="W37" i="31"/>
  <c r="W36" i="31"/>
  <c r="W35" i="31"/>
  <c r="W34" i="31"/>
  <c r="W33" i="31"/>
  <c r="W32" i="31"/>
  <c r="W31" i="31"/>
  <c r="W30" i="31"/>
  <c r="W29" i="31"/>
  <c r="W28" i="31"/>
  <c r="W27" i="31"/>
  <c r="W26" i="31"/>
  <c r="W25" i="31"/>
  <c r="W24" i="31"/>
  <c r="W23" i="31"/>
  <c r="W22" i="31"/>
  <c r="W21" i="31"/>
  <c r="W20" i="31"/>
  <c r="W19" i="31"/>
  <c r="W18" i="31"/>
  <c r="W17" i="31"/>
  <c r="X45" i="31"/>
  <c r="X44" i="31"/>
  <c r="X43" i="31"/>
  <c r="X42" i="31"/>
  <c r="X41" i="31"/>
  <c r="X40" i="31"/>
  <c r="X39" i="31"/>
  <c r="X38" i="31"/>
  <c r="X37" i="31"/>
  <c r="X36" i="31"/>
  <c r="X35" i="31"/>
  <c r="X34" i="31"/>
  <c r="X33" i="31"/>
  <c r="X32" i="31"/>
  <c r="X31" i="31"/>
  <c r="X30" i="31"/>
  <c r="X29" i="31"/>
  <c r="X28" i="31"/>
  <c r="X27" i="31"/>
  <c r="X26" i="31"/>
  <c r="X25" i="31"/>
  <c r="X24" i="31"/>
  <c r="X23" i="31"/>
  <c r="X22" i="31"/>
  <c r="X21" i="31"/>
  <c r="X20" i="31"/>
  <c r="X19" i="31"/>
  <c r="X18" i="31"/>
  <c r="X17" i="31"/>
  <c r="Q135" i="18"/>
  <c r="Q136" i="18"/>
  <c r="Q137" i="18"/>
  <c r="Q138" i="18"/>
  <c r="Q139" i="18"/>
  <c r="Q140" i="18"/>
  <c r="Q141" i="18"/>
  <c r="Q142" i="18"/>
  <c r="Q143" i="18"/>
  <c r="Q144" i="18"/>
  <c r="Q145" i="18"/>
  <c r="Q146" i="18"/>
  <c r="Q147" i="18"/>
  <c r="Q148" i="18"/>
  <c r="Q149" i="18"/>
  <c r="Q150" i="18"/>
  <c r="A14" i="24"/>
  <c r="I14" i="24"/>
  <c r="L7" i="28"/>
  <c r="M1" i="28"/>
  <c r="G7" i="30"/>
  <c r="F7" i="30"/>
  <c r="F36" i="30"/>
  <c r="B15" i="24"/>
  <c r="D7" i="30"/>
  <c r="O17" i="22"/>
  <c r="O23" i="22"/>
  <c r="O32" i="22"/>
  <c r="O34" i="22"/>
  <c r="O39" i="22"/>
  <c r="O47" i="22"/>
  <c r="N17" i="22"/>
  <c r="N23" i="22"/>
  <c r="N32" i="22"/>
  <c r="N34" i="22"/>
  <c r="N39" i="22"/>
  <c r="N47" i="22"/>
  <c r="H1" i="30"/>
  <c r="I2" i="30"/>
  <c r="B16" i="24"/>
  <c r="A15" i="24"/>
  <c r="I15" i="24"/>
  <c r="M7" i="28"/>
  <c r="N1" i="28"/>
  <c r="N7" i="28"/>
  <c r="I1" i="30"/>
  <c r="J2" i="30"/>
  <c r="K2" i="30"/>
  <c r="K1" i="30"/>
  <c r="H7" i="30"/>
  <c r="I16" i="24"/>
  <c r="B17" i="24"/>
  <c r="A17" i="24"/>
  <c r="A16" i="24"/>
  <c r="O1" i="28"/>
  <c r="J1" i="30"/>
  <c r="I7" i="30"/>
  <c r="B18" i="24"/>
  <c r="A18" i="24"/>
  <c r="I17" i="24"/>
  <c r="O7" i="28"/>
  <c r="P1" i="28"/>
  <c r="P7" i="28"/>
  <c r="L2" i="30"/>
  <c r="L1" i="30"/>
  <c r="B19" i="24"/>
  <c r="A19" i="24"/>
  <c r="I18" i="24"/>
  <c r="K7" i="30"/>
  <c r="M2" i="30"/>
  <c r="M1" i="30"/>
  <c r="B20" i="24"/>
  <c r="I19" i="24"/>
  <c r="A20" i="24"/>
  <c r="I20" i="24"/>
  <c r="AA16" i="31"/>
  <c r="B21" i="24"/>
  <c r="B22" i="24"/>
  <c r="L11" i="30"/>
  <c r="L7" i="30"/>
  <c r="N2" i="30"/>
  <c r="O2" i="30"/>
  <c r="O1" i="30"/>
  <c r="Q1" i="28"/>
  <c r="J11" i="30"/>
  <c r="J7" i="30"/>
  <c r="H24" i="30"/>
  <c r="N1" i="30"/>
  <c r="A21" i="24"/>
  <c r="I21" i="24"/>
  <c r="N7" i="30"/>
  <c r="D17" i="31"/>
  <c r="E17" i="31" s="1"/>
  <c r="D33" i="21"/>
  <c r="C84" i="6"/>
  <c r="O84" i="6"/>
  <c r="O81" i="6"/>
  <c r="C101" i="6"/>
  <c r="O99" i="6"/>
  <c r="D101" i="6"/>
  <c r="E101" i="6"/>
  <c r="F101" i="6"/>
  <c r="G101" i="6"/>
  <c r="H101" i="6"/>
  <c r="I101" i="6"/>
  <c r="J101" i="6"/>
  <c r="K101" i="6"/>
  <c r="L101" i="6"/>
  <c r="M101" i="6"/>
  <c r="N101" i="6"/>
  <c r="C108" i="6"/>
  <c r="D108" i="6"/>
  <c r="E108" i="6"/>
  <c r="F108" i="6"/>
  <c r="G108" i="6"/>
  <c r="H108" i="6"/>
  <c r="I108" i="6"/>
  <c r="J108" i="6"/>
  <c r="K108" i="6"/>
  <c r="L108" i="6"/>
  <c r="M108" i="6"/>
  <c r="N108" i="6"/>
  <c r="C48" i="6"/>
  <c r="O48" i="6"/>
  <c r="O45" i="6"/>
  <c r="C65" i="6"/>
  <c r="O63" i="6"/>
  <c r="D65" i="6"/>
  <c r="E65" i="6"/>
  <c r="F65" i="6"/>
  <c r="G65" i="6"/>
  <c r="H65" i="6"/>
  <c r="I65" i="6"/>
  <c r="J65" i="6"/>
  <c r="K65" i="6"/>
  <c r="L65" i="6"/>
  <c r="M65" i="6"/>
  <c r="N65" i="6"/>
  <c r="C72" i="6"/>
  <c r="D72" i="6"/>
  <c r="E72" i="6"/>
  <c r="F72" i="6"/>
  <c r="G72" i="6"/>
  <c r="H72" i="6"/>
  <c r="I72" i="6"/>
  <c r="J72" i="6"/>
  <c r="K72" i="6"/>
  <c r="L72" i="6"/>
  <c r="M72" i="6"/>
  <c r="N72" i="6"/>
  <c r="F37" i="27"/>
  <c r="F38" i="27"/>
  <c r="F39" i="27"/>
  <c r="F40" i="27"/>
  <c r="F41" i="27"/>
  <c r="F42" i="27"/>
  <c r="F43" i="27"/>
  <c r="F44" i="27"/>
  <c r="F45" i="27"/>
  <c r="F46" i="27"/>
  <c r="F47" i="27"/>
  <c r="P38" i="27"/>
  <c r="P39" i="27"/>
  <c r="P40" i="27"/>
  <c r="P41" i="27"/>
  <c r="P42" i="27"/>
  <c r="P43" i="27"/>
  <c r="P44" i="27"/>
  <c r="P45" i="27"/>
  <c r="P46" i="27"/>
  <c r="P47" i="27"/>
  <c r="P48" i="27"/>
  <c r="P49" i="27"/>
  <c r="P37" i="27"/>
  <c r="N28" i="30"/>
  <c r="R1" i="28"/>
  <c r="Q7" i="28"/>
  <c r="O13" i="30"/>
  <c r="M7" i="30"/>
  <c r="M21" i="30"/>
  <c r="O101" i="6"/>
  <c r="O108" i="6"/>
  <c r="O65" i="6"/>
  <c r="O72" i="6"/>
  <c r="P22" i="22"/>
  <c r="P21" i="22"/>
  <c r="P20" i="22"/>
  <c r="S1" i="28"/>
  <c r="S7" i="28"/>
  <c r="R7" i="28"/>
  <c r="T1" i="28"/>
  <c r="M18" i="30"/>
  <c r="A22" i="24"/>
  <c r="B23" i="24"/>
  <c r="I22" i="24"/>
  <c r="O20" i="30"/>
  <c r="O14" i="30"/>
  <c r="O7" i="30"/>
  <c r="B24" i="24"/>
  <c r="I23" i="24"/>
  <c r="A23" i="24"/>
  <c r="T7" i="28"/>
  <c r="U1" i="28"/>
  <c r="V1" i="28" s="1"/>
  <c r="B25" i="24"/>
  <c r="U7" i="28"/>
  <c r="B29" i="37"/>
  <c r="C29" i="37"/>
  <c r="B30" i="37"/>
  <c r="B31" i="37"/>
  <c r="B32" i="37"/>
  <c r="B33" i="37"/>
  <c r="B34" i="37"/>
  <c r="B35" i="37"/>
  <c r="B36" i="37"/>
  <c r="B37" i="37"/>
  <c r="B38" i="37"/>
  <c r="B39" i="37"/>
  <c r="B40" i="37"/>
  <c r="B41" i="37"/>
  <c r="B42" i="37"/>
  <c r="B43" i="37"/>
  <c r="B44" i="37"/>
  <c r="B45" i="37"/>
  <c r="B46" i="37"/>
  <c r="D18" i="11"/>
  <c r="A25" i="24"/>
  <c r="I25" i="24"/>
  <c r="B26" i="24"/>
  <c r="A24" i="24"/>
  <c r="I24" i="24"/>
  <c r="S9" i="28"/>
  <c r="A26" i="24"/>
  <c r="K25" i="10" l="1"/>
  <c r="J30" i="10"/>
  <c r="C14" i="5"/>
  <c r="E14" i="5" s="1"/>
  <c r="J16" i="31"/>
  <c r="H16" i="31"/>
  <c r="C12" i="5"/>
  <c r="E13" i="11"/>
  <c r="O9" i="30"/>
  <c r="O27" i="30"/>
  <c r="L37" i="27"/>
  <c r="L38" i="27" s="1"/>
  <c r="N38" i="27" s="1"/>
  <c r="R38" i="27" s="1"/>
  <c r="K20" i="30"/>
  <c r="AB16" i="31"/>
  <c r="Z17" i="31" s="1"/>
  <c r="AA17" i="31" s="1"/>
  <c r="K14" i="30"/>
  <c r="I11" i="30"/>
  <c r="H12" i="30"/>
  <c r="C24" i="7"/>
  <c r="E19" i="30"/>
  <c r="K25" i="19"/>
  <c r="H20" i="19"/>
  <c r="G26" i="17"/>
  <c r="D35" i="17"/>
  <c r="J15" i="16"/>
  <c r="I13" i="16"/>
  <c r="R14" i="10"/>
  <c r="Q21" i="10"/>
  <c r="P26" i="10"/>
  <c r="O20" i="10"/>
  <c r="N14" i="10"/>
  <c r="M20" i="10"/>
  <c r="O35" i="30"/>
  <c r="O37" i="30"/>
  <c r="O25" i="30"/>
  <c r="O36" i="30"/>
  <c r="E16" i="31"/>
  <c r="G16" i="31" s="1"/>
  <c r="N10" i="30"/>
  <c r="K13" i="30"/>
  <c r="M9" i="28"/>
  <c r="F12" i="30"/>
  <c r="G15" i="30"/>
  <c r="I37" i="11"/>
  <c r="L12" i="19"/>
  <c r="I29" i="19"/>
  <c r="F27" i="19"/>
  <c r="H25" i="17"/>
  <c r="E28" i="17"/>
  <c r="F36" i="16"/>
  <c r="D13" i="16"/>
  <c r="S28" i="10"/>
  <c r="O35" i="10"/>
  <c r="N27" i="10"/>
  <c r="M37" i="10"/>
  <c r="B37" i="27"/>
  <c r="D96" i="13"/>
  <c r="D98" i="13" s="1"/>
  <c r="H25" i="10"/>
  <c r="E30" i="11"/>
  <c r="M35" i="30"/>
  <c r="F12" i="9"/>
  <c r="F13" i="17"/>
  <c r="E14" i="19"/>
  <c r="G10" i="16"/>
  <c r="F26" i="16"/>
  <c r="G35" i="11"/>
  <c r="M13" i="30"/>
  <c r="H37" i="19"/>
  <c r="J13" i="17"/>
  <c r="L36" i="19"/>
  <c r="E12" i="5"/>
  <c r="M35" i="11"/>
  <c r="I11" i="16"/>
  <c r="J15" i="17"/>
  <c r="K24" i="17"/>
  <c r="E29" i="30"/>
  <c r="D12" i="30"/>
  <c r="N18" i="9"/>
  <c r="O18" i="9"/>
  <c r="O36" i="19"/>
  <c r="O35" i="19"/>
  <c r="N35" i="17"/>
  <c r="O26" i="9"/>
  <c r="M23" i="22"/>
  <c r="D28" i="11"/>
  <c r="M11" i="30"/>
  <c r="M26" i="30"/>
  <c r="K36" i="30"/>
  <c r="J12" i="30"/>
  <c r="K24" i="30"/>
  <c r="J21" i="30"/>
  <c r="O9" i="28"/>
  <c r="H10" i="30"/>
  <c r="G24" i="30"/>
  <c r="C16" i="7"/>
  <c r="E16" i="7" s="1"/>
  <c r="E27" i="30"/>
  <c r="D35" i="30"/>
  <c r="K35" i="19"/>
  <c r="J27" i="19"/>
  <c r="G25" i="19"/>
  <c r="D11" i="19"/>
  <c r="H29" i="17"/>
  <c r="G28" i="17"/>
  <c r="J12" i="16"/>
  <c r="K36" i="16"/>
  <c r="D21" i="16"/>
  <c r="K28" i="9"/>
  <c r="I28" i="9"/>
  <c r="H25" i="11"/>
  <c r="D24" i="11"/>
  <c r="N24" i="30"/>
  <c r="L28" i="30"/>
  <c r="L18" i="30"/>
  <c r="I36" i="30"/>
  <c r="I35" i="30"/>
  <c r="D11" i="30"/>
  <c r="F28" i="30"/>
  <c r="G27" i="30"/>
  <c r="H18" i="10"/>
  <c r="I21" i="17"/>
  <c r="O36" i="16"/>
  <c r="C13" i="7"/>
  <c r="H25" i="9"/>
  <c r="H30" i="16"/>
  <c r="H14" i="16"/>
  <c r="H21" i="17"/>
  <c r="H29" i="16"/>
  <c r="H13" i="16"/>
  <c r="H35" i="17"/>
  <c r="H15" i="17"/>
  <c r="H27" i="19"/>
  <c r="H11" i="19"/>
  <c r="I30" i="30"/>
  <c r="I29" i="30"/>
  <c r="I12" i="30"/>
  <c r="I18" i="30"/>
  <c r="E36" i="11"/>
  <c r="N27" i="30"/>
  <c r="H30" i="30"/>
  <c r="L9" i="30"/>
  <c r="L29" i="30"/>
  <c r="I20" i="30"/>
  <c r="I24" i="30"/>
  <c r="F25" i="30"/>
  <c r="G20" i="30"/>
  <c r="C21" i="5"/>
  <c r="E21" i="5" s="1"/>
  <c r="I27" i="17"/>
  <c r="I18" i="11"/>
  <c r="I30" i="19"/>
  <c r="H28" i="19"/>
  <c r="I12" i="17"/>
  <c r="F35" i="17"/>
  <c r="E36" i="17"/>
  <c r="I36" i="16"/>
  <c r="E19" i="9"/>
  <c r="E11" i="16"/>
  <c r="E26" i="17"/>
  <c r="E10" i="17"/>
  <c r="E24" i="19"/>
  <c r="E20" i="17"/>
  <c r="E35" i="19"/>
  <c r="E15" i="19"/>
  <c r="D26" i="9"/>
  <c r="D29" i="17"/>
  <c r="D13" i="17"/>
  <c r="D20" i="19"/>
  <c r="D25" i="17"/>
  <c r="D37" i="19"/>
  <c r="D19" i="19"/>
  <c r="L35" i="16"/>
  <c r="L10" i="19"/>
  <c r="L26" i="19"/>
  <c r="E21" i="30"/>
  <c r="E9" i="30"/>
  <c r="E29" i="11"/>
  <c r="M28" i="30"/>
  <c r="N36" i="30"/>
  <c r="H19" i="30"/>
  <c r="J35" i="30"/>
  <c r="K26" i="30"/>
  <c r="J25" i="30"/>
  <c r="H28" i="30"/>
  <c r="H14" i="30"/>
  <c r="F14" i="30"/>
  <c r="G35" i="30"/>
  <c r="I26" i="9"/>
  <c r="I18" i="16"/>
  <c r="D19" i="30"/>
  <c r="L19" i="19"/>
  <c r="J37" i="19"/>
  <c r="D12" i="19"/>
  <c r="N36" i="16"/>
  <c r="G30" i="16"/>
  <c r="E19" i="16"/>
  <c r="N10" i="9"/>
  <c r="L9" i="9"/>
  <c r="F25" i="9"/>
  <c r="J10" i="9"/>
  <c r="J13" i="16"/>
  <c r="J35" i="16"/>
  <c r="J25" i="17"/>
  <c r="J18" i="16"/>
  <c r="J21" i="17"/>
  <c r="J28" i="19"/>
  <c r="J12" i="19"/>
  <c r="G11" i="30"/>
  <c r="G10" i="30"/>
  <c r="K37" i="17"/>
  <c r="K27" i="17"/>
  <c r="K14" i="17"/>
  <c r="K30" i="19"/>
  <c r="K14" i="19"/>
  <c r="F37" i="30"/>
  <c r="F13" i="30"/>
  <c r="F9" i="30"/>
  <c r="E35" i="11"/>
  <c r="M9" i="30"/>
  <c r="N18" i="30"/>
  <c r="N35" i="30"/>
  <c r="K28" i="30"/>
  <c r="J18" i="30"/>
  <c r="L20" i="30"/>
  <c r="L21" i="30"/>
  <c r="J14" i="30"/>
  <c r="I14" i="30"/>
  <c r="H26" i="30"/>
  <c r="H37" i="30"/>
  <c r="F18" i="30"/>
  <c r="F19" i="30"/>
  <c r="G21" i="30"/>
  <c r="I18" i="17"/>
  <c r="I37" i="9"/>
  <c r="C25" i="7"/>
  <c r="E25" i="7" s="1"/>
  <c r="C17" i="7"/>
  <c r="E12" i="30"/>
  <c r="E37" i="30"/>
  <c r="L11" i="19"/>
  <c r="K15" i="19"/>
  <c r="J11" i="19"/>
  <c r="H12" i="19"/>
  <c r="F11" i="19"/>
  <c r="E25" i="19"/>
  <c r="D27" i="19"/>
  <c r="L36" i="17"/>
  <c r="J29" i="17"/>
  <c r="G10" i="17"/>
  <c r="E12" i="17"/>
  <c r="D15" i="17"/>
  <c r="K12" i="17"/>
  <c r="H21" i="16"/>
  <c r="E27" i="16"/>
  <c r="L20" i="9"/>
  <c r="J21" i="9"/>
  <c r="G24" i="16"/>
  <c r="G20" i="17"/>
  <c r="G35" i="19"/>
  <c r="G14" i="16"/>
  <c r="G36" i="17"/>
  <c r="G18" i="17"/>
  <c r="G30" i="19"/>
  <c r="G14" i="19"/>
  <c r="J28" i="30"/>
  <c r="J26" i="30"/>
  <c r="D21" i="11"/>
  <c r="E27" i="11"/>
  <c r="M15" i="30"/>
  <c r="M30" i="30"/>
  <c r="N19" i="30"/>
  <c r="N30" i="30"/>
  <c r="C27" i="5"/>
  <c r="E27" i="5" s="1"/>
  <c r="N21" i="30"/>
  <c r="C20" i="5"/>
  <c r="E20" i="5" s="1"/>
  <c r="K37" i="30"/>
  <c r="J15" i="30"/>
  <c r="L26" i="30"/>
  <c r="L30" i="30"/>
  <c r="K9" i="30"/>
  <c r="K15" i="30"/>
  <c r="J37" i="30"/>
  <c r="I13" i="30"/>
  <c r="I19" i="30"/>
  <c r="H21" i="30"/>
  <c r="F29" i="30"/>
  <c r="F30" i="30"/>
  <c r="G26" i="30"/>
  <c r="I18" i="19"/>
  <c r="I19" i="19"/>
  <c r="C18" i="7"/>
  <c r="I27" i="16"/>
  <c r="I19" i="9"/>
  <c r="E13" i="30"/>
  <c r="L37" i="19"/>
  <c r="K24" i="19"/>
  <c r="J19" i="19"/>
  <c r="I14" i="19"/>
  <c r="H19" i="19"/>
  <c r="G15" i="19"/>
  <c r="F20" i="19"/>
  <c r="E30" i="19"/>
  <c r="D28" i="19"/>
  <c r="J35" i="17"/>
  <c r="H13" i="17"/>
  <c r="G12" i="17"/>
  <c r="F15" i="17"/>
  <c r="E18" i="17"/>
  <c r="D21" i="17"/>
  <c r="K25" i="17"/>
  <c r="J21" i="16"/>
  <c r="H24" i="16"/>
  <c r="J36" i="9"/>
  <c r="G19" i="9"/>
  <c r="E30" i="9"/>
  <c r="O97" i="18"/>
  <c r="N97" i="18"/>
  <c r="U97" i="18" s="1"/>
  <c r="V97" i="18" s="1"/>
  <c r="T98" i="18" s="1"/>
  <c r="U98" i="18" s="1"/>
  <c r="V98" i="18" s="1"/>
  <c r="T99" i="18" s="1"/>
  <c r="E24" i="37"/>
  <c r="E25" i="37" s="1"/>
  <c r="E26" i="37" s="1"/>
  <c r="E27" i="37" s="1"/>
  <c r="E28" i="37" s="1"/>
  <c r="E29" i="37" s="1"/>
  <c r="E30" i="37" s="1"/>
  <c r="E31" i="37" s="1"/>
  <c r="E32" i="37" s="1"/>
  <c r="E33" i="37" s="1"/>
  <c r="E34" i="37" s="1"/>
  <c r="E35" i="37" s="1"/>
  <c r="E36" i="37" s="1"/>
  <c r="E37" i="37" s="1"/>
  <c r="E38" i="37" s="1"/>
  <c r="E39" i="37" s="1"/>
  <c r="E40" i="37" s="1"/>
  <c r="E41" i="37" s="1"/>
  <c r="E42" i="37" s="1"/>
  <c r="E43" i="37" s="1"/>
  <c r="E44" i="37" s="1"/>
  <c r="E45" i="37" s="1"/>
  <c r="E46" i="37" s="1"/>
  <c r="F18" i="16"/>
  <c r="F25" i="17"/>
  <c r="F37" i="19"/>
  <c r="F19" i="19"/>
  <c r="F10" i="16"/>
  <c r="F21" i="17"/>
  <c r="F28" i="19"/>
  <c r="F12" i="19"/>
  <c r="K30" i="30"/>
  <c r="D30" i="30"/>
  <c r="D18" i="30"/>
  <c r="C22" i="5"/>
  <c r="E22" i="5" s="1"/>
  <c r="C29" i="5"/>
  <c r="E29" i="5" s="1"/>
  <c r="D20" i="30"/>
  <c r="C28" i="5"/>
  <c r="E28" i="5" s="1"/>
  <c r="D29" i="30"/>
  <c r="N36" i="9"/>
  <c r="I10" i="9"/>
  <c r="I28" i="16"/>
  <c r="I35" i="17"/>
  <c r="I10" i="17"/>
  <c r="I24" i="16"/>
  <c r="I25" i="17"/>
  <c r="I15" i="19"/>
  <c r="I20" i="16"/>
  <c r="I26" i="17"/>
  <c r="L9" i="28"/>
  <c r="H27" i="30"/>
  <c r="O10" i="9"/>
  <c r="O35" i="17"/>
  <c r="O37" i="16"/>
  <c r="E11" i="11"/>
  <c r="F27" i="11"/>
  <c r="G19" i="11"/>
  <c r="H28" i="11"/>
  <c r="H11" i="11"/>
  <c r="I14" i="11"/>
  <c r="L35" i="11"/>
  <c r="H35" i="10"/>
  <c r="H9" i="10"/>
  <c r="I18" i="10"/>
  <c r="J37" i="10"/>
  <c r="J18" i="10"/>
  <c r="K28" i="10"/>
  <c r="K11" i="10"/>
  <c r="L21" i="10"/>
  <c r="M25" i="10"/>
  <c r="M12" i="10"/>
  <c r="N30" i="10"/>
  <c r="N19" i="10"/>
  <c r="O25" i="10"/>
  <c r="O12" i="10"/>
  <c r="P29" i="10"/>
  <c r="P18" i="10"/>
  <c r="Q26" i="10"/>
  <c r="Q13" i="10"/>
  <c r="R30" i="10"/>
  <c r="R19" i="10"/>
  <c r="D29" i="9"/>
  <c r="D18" i="9"/>
  <c r="E37" i="9"/>
  <c r="E24" i="9"/>
  <c r="E11" i="9"/>
  <c r="F28" i="9"/>
  <c r="F15" i="9"/>
  <c r="G37" i="9"/>
  <c r="G24" i="9"/>
  <c r="G11" i="9"/>
  <c r="H28" i="9"/>
  <c r="H15" i="9"/>
  <c r="I35" i="9"/>
  <c r="I13" i="9"/>
  <c r="J37" i="9"/>
  <c r="J24" i="9"/>
  <c r="J11" i="9"/>
  <c r="K35" i="9"/>
  <c r="K20" i="9"/>
  <c r="L25" i="9"/>
  <c r="L12" i="9"/>
  <c r="M29" i="9"/>
  <c r="M18" i="9"/>
  <c r="N28" i="9"/>
  <c r="N20" i="9"/>
  <c r="N12" i="9"/>
  <c r="O37" i="9"/>
  <c r="O27" i="9"/>
  <c r="O19" i="9"/>
  <c r="O11" i="9"/>
  <c r="S11" i="10"/>
  <c r="S19" i="10"/>
  <c r="S27" i="10"/>
  <c r="S37" i="10"/>
  <c r="D30" i="16"/>
  <c r="D24" i="16"/>
  <c r="D14" i="16"/>
  <c r="E29" i="16"/>
  <c r="E21" i="16"/>
  <c r="E13" i="16"/>
  <c r="F37" i="16"/>
  <c r="F27" i="16"/>
  <c r="F19" i="16"/>
  <c r="F11" i="16"/>
  <c r="G36" i="16"/>
  <c r="G26" i="16"/>
  <c r="G18" i="16"/>
  <c r="C32" i="5"/>
  <c r="E32" i="5" s="1"/>
  <c r="C23" i="5"/>
  <c r="E23" i="5" s="1"/>
  <c r="C34" i="7"/>
  <c r="R10" i="20" s="1"/>
  <c r="C27" i="7"/>
  <c r="E27" i="7" s="1"/>
  <c r="C22" i="7"/>
  <c r="E22" i="7" s="1"/>
  <c r="C12" i="7"/>
  <c r="E12" i="7" s="1"/>
  <c r="C8" i="7"/>
  <c r="E8" i="7" s="1"/>
  <c r="C30" i="5"/>
  <c r="E30" i="5" s="1"/>
  <c r="C17" i="5"/>
  <c r="E17" i="5" s="1"/>
  <c r="C33" i="7"/>
  <c r="R9" i="20" s="1"/>
  <c r="C23" i="7"/>
  <c r="C10" i="7"/>
  <c r="E10" i="7" s="1"/>
  <c r="C13" i="5"/>
  <c r="E13" i="5" s="1"/>
  <c r="C28" i="7"/>
  <c r="C9" i="7"/>
  <c r="C35" i="7"/>
  <c r="C15" i="5"/>
  <c r="C37" i="5"/>
  <c r="C26" i="7"/>
  <c r="E26" i="7" s="1"/>
  <c r="C31" i="5"/>
  <c r="E31" i="5" s="1"/>
  <c r="C11" i="7"/>
  <c r="E11" i="7" s="1"/>
  <c r="C19" i="7"/>
  <c r="E19" i="7" s="1"/>
  <c r="E37" i="16"/>
  <c r="D29" i="16"/>
  <c r="S12" i="10"/>
  <c r="O36" i="9"/>
  <c r="N26" i="9"/>
  <c r="M26" i="9"/>
  <c r="L35" i="9"/>
  <c r="H12" i="9"/>
  <c r="G30" i="9"/>
  <c r="D13" i="9"/>
  <c r="R27" i="10"/>
  <c r="Q36" i="10"/>
  <c r="M9" i="10"/>
  <c r="L18" i="10"/>
  <c r="J13" i="10"/>
  <c r="I29" i="10"/>
  <c r="F24" i="11"/>
  <c r="D30" i="11"/>
  <c r="I12" i="11"/>
  <c r="G14" i="11"/>
  <c r="D27" i="11"/>
  <c r="D19" i="11"/>
  <c r="E28" i="11"/>
  <c r="E20" i="11"/>
  <c r="E14" i="11"/>
  <c r="E10" i="11"/>
  <c r="F36" i="11"/>
  <c r="F29" i="11"/>
  <c r="F26" i="11"/>
  <c r="F21" i="11"/>
  <c r="F18" i="11"/>
  <c r="F13" i="11"/>
  <c r="F10" i="11"/>
  <c r="G36" i="11"/>
  <c r="G29" i="11"/>
  <c r="G26" i="11"/>
  <c r="G21" i="11"/>
  <c r="G18" i="11"/>
  <c r="G13" i="11"/>
  <c r="G10" i="11"/>
  <c r="H36" i="11"/>
  <c r="H29" i="11"/>
  <c r="H26" i="11"/>
  <c r="H21" i="11"/>
  <c r="H18" i="11"/>
  <c r="H13" i="11"/>
  <c r="H10" i="11"/>
  <c r="I35" i="11"/>
  <c r="I28" i="11"/>
  <c r="I21" i="11"/>
  <c r="I13" i="11"/>
  <c r="I10" i="11"/>
  <c r="J35" i="11"/>
  <c r="K35" i="11"/>
  <c r="L36" i="11"/>
  <c r="M37" i="11"/>
  <c r="O35" i="11"/>
  <c r="H36" i="10"/>
  <c r="H29" i="10"/>
  <c r="H24" i="10"/>
  <c r="H14" i="10"/>
  <c r="H11" i="10"/>
  <c r="I37" i="10"/>
  <c r="I30" i="10"/>
  <c r="I27" i="10"/>
  <c r="I24" i="10"/>
  <c r="I19" i="10"/>
  <c r="I14" i="10"/>
  <c r="I11" i="10"/>
  <c r="J35" i="10"/>
  <c r="J28" i="10"/>
  <c r="J25" i="10"/>
  <c r="J20" i="10"/>
  <c r="J15" i="10"/>
  <c r="J12" i="10"/>
  <c r="J9" i="10"/>
  <c r="K36" i="10"/>
  <c r="K29" i="10"/>
  <c r="K26" i="10"/>
  <c r="K21" i="10"/>
  <c r="K18" i="10"/>
  <c r="K13" i="10"/>
  <c r="K10" i="10"/>
  <c r="L37" i="10"/>
  <c r="L30" i="10"/>
  <c r="L27" i="10"/>
  <c r="L24" i="10"/>
  <c r="L19" i="10"/>
  <c r="L14" i="10"/>
  <c r="L11" i="10"/>
  <c r="M35" i="10"/>
  <c r="M28" i="10"/>
  <c r="D35" i="11"/>
  <c r="D20" i="11"/>
  <c r="E25" i="11"/>
  <c r="E15" i="11"/>
  <c r="F30" i="11"/>
  <c r="F25" i="11"/>
  <c r="F19" i="11"/>
  <c r="F12" i="11"/>
  <c r="G37" i="11"/>
  <c r="G28" i="11"/>
  <c r="G24" i="11"/>
  <c r="G15" i="11"/>
  <c r="G11" i="11"/>
  <c r="H35" i="11"/>
  <c r="H27" i="11"/>
  <c r="H20" i="11"/>
  <c r="H14" i="11"/>
  <c r="I29" i="11"/>
  <c r="I15" i="11"/>
  <c r="I11" i="11"/>
  <c r="L37" i="11"/>
  <c r="M36" i="11"/>
  <c r="N36" i="11"/>
  <c r="O37" i="11"/>
  <c r="H28" i="10"/>
  <c r="H15" i="10"/>
  <c r="H10" i="10"/>
  <c r="I35" i="10"/>
  <c r="I26" i="10"/>
  <c r="I20" i="10"/>
  <c r="I13" i="10"/>
  <c r="I9" i="10"/>
  <c r="J36" i="10"/>
  <c r="J27" i="10"/>
  <c r="J21" i="10"/>
  <c r="J14" i="10"/>
  <c r="J10" i="10"/>
  <c r="K35" i="10"/>
  <c r="K27" i="10"/>
  <c r="K20" i="10"/>
  <c r="K14" i="10"/>
  <c r="K9" i="10"/>
  <c r="L35" i="10"/>
  <c r="L26" i="10"/>
  <c r="L20" i="10"/>
  <c r="L13" i="10"/>
  <c r="L9" i="10"/>
  <c r="M36" i="10"/>
  <c r="M27" i="10"/>
  <c r="M24" i="10"/>
  <c r="M19" i="10"/>
  <c r="M14" i="10"/>
  <c r="M11" i="10"/>
  <c r="N35" i="10"/>
  <c r="N28" i="10"/>
  <c r="N25" i="10"/>
  <c r="N20" i="10"/>
  <c r="N15" i="10"/>
  <c r="N12" i="10"/>
  <c r="N9" i="10"/>
  <c r="O36" i="10"/>
  <c r="O29" i="10"/>
  <c r="O26" i="10"/>
  <c r="O21" i="10"/>
  <c r="O18" i="10"/>
  <c r="O13" i="10"/>
  <c r="O10" i="10"/>
  <c r="P37" i="10"/>
  <c r="P30" i="10"/>
  <c r="P27" i="10"/>
  <c r="P24" i="10"/>
  <c r="P19" i="10"/>
  <c r="P14" i="10"/>
  <c r="P11" i="10"/>
  <c r="Q35" i="10"/>
  <c r="Q28" i="10"/>
  <c r="Q25" i="10"/>
  <c r="Q20" i="10"/>
  <c r="Q15" i="10"/>
  <c r="Q12" i="10"/>
  <c r="Q9" i="10"/>
  <c r="R36" i="10"/>
  <c r="R29" i="10"/>
  <c r="R26" i="10"/>
  <c r="R21" i="10"/>
  <c r="R18" i="10"/>
  <c r="R13" i="10"/>
  <c r="R10" i="10"/>
  <c r="D35" i="9"/>
  <c r="D28" i="9"/>
  <c r="D25" i="9"/>
  <c r="D20" i="9"/>
  <c r="D15" i="9"/>
  <c r="D12" i="9"/>
  <c r="D9" i="9"/>
  <c r="E36" i="9"/>
  <c r="E29" i="9"/>
  <c r="E26" i="9"/>
  <c r="E21" i="9"/>
  <c r="E18" i="9"/>
  <c r="E13" i="9"/>
  <c r="E10" i="9"/>
  <c r="F37" i="9"/>
  <c r="F30" i="9"/>
  <c r="F27" i="9"/>
  <c r="F24" i="9"/>
  <c r="F19" i="9"/>
  <c r="F14" i="9"/>
  <c r="F11" i="9"/>
  <c r="G35" i="9"/>
  <c r="G28" i="9"/>
  <c r="G25" i="9"/>
  <c r="G20" i="9"/>
  <c r="G15" i="9"/>
  <c r="G12" i="9"/>
  <c r="G9" i="9"/>
  <c r="H36" i="9"/>
  <c r="H29" i="9"/>
  <c r="H26" i="9"/>
  <c r="H21" i="9"/>
  <c r="H18" i="9"/>
  <c r="H13" i="9"/>
  <c r="H10" i="9"/>
  <c r="I36" i="9"/>
  <c r="I29" i="9"/>
  <c r="I24" i="9"/>
  <c r="I14" i="9"/>
  <c r="I11" i="9"/>
  <c r="J35" i="9"/>
  <c r="J28" i="9"/>
  <c r="J25" i="9"/>
  <c r="J20" i="9"/>
  <c r="J15" i="9"/>
  <c r="J12" i="9"/>
  <c r="J9" i="9"/>
  <c r="K36" i="9"/>
  <c r="K29" i="9"/>
  <c r="K26" i="9"/>
  <c r="K21" i="9"/>
  <c r="K15" i="9"/>
  <c r="K12" i="9"/>
  <c r="K9" i="9"/>
  <c r="L36" i="9"/>
  <c r="L29" i="9"/>
  <c r="L26" i="9"/>
  <c r="L21" i="9"/>
  <c r="L18" i="9"/>
  <c r="L13" i="9"/>
  <c r="L10" i="9"/>
  <c r="M37" i="9"/>
  <c r="M30" i="9"/>
  <c r="M27" i="9"/>
  <c r="M24" i="9"/>
  <c r="M19" i="9"/>
  <c r="M14" i="9"/>
  <c r="M11" i="9"/>
  <c r="D14" i="11"/>
  <c r="E37" i="11"/>
  <c r="E19" i="11"/>
  <c r="F28" i="11"/>
  <c r="F20" i="11"/>
  <c r="F11" i="11"/>
  <c r="G30" i="11"/>
  <c r="G20" i="11"/>
  <c r="G12" i="11"/>
  <c r="H30" i="11"/>
  <c r="H24" i="11"/>
  <c r="H12" i="11"/>
  <c r="I36" i="11"/>
  <c r="I24" i="11"/>
  <c r="K36" i="11"/>
  <c r="N35" i="11"/>
  <c r="N38" i="11" s="1"/>
  <c r="N46" i="11" s="1"/>
  <c r="H30" i="10"/>
  <c r="H13" i="10"/>
  <c r="I36" i="10"/>
  <c r="I25" i="10"/>
  <c r="I15" i="10"/>
  <c r="J29" i="10"/>
  <c r="J19" i="10"/>
  <c r="J11" i="10"/>
  <c r="J16" i="10" s="1"/>
  <c r="K30" i="10"/>
  <c r="K24" i="10"/>
  <c r="K12" i="10"/>
  <c r="L36" i="10"/>
  <c r="L25" i="10"/>
  <c r="L15" i="10"/>
  <c r="M29" i="10"/>
  <c r="M21" i="10"/>
  <c r="M15" i="10"/>
  <c r="M10" i="10"/>
  <c r="N37" i="10"/>
  <c r="N29" i="10"/>
  <c r="N24" i="10"/>
  <c r="N18" i="10"/>
  <c r="N11" i="10"/>
  <c r="O37" i="10"/>
  <c r="O38" i="10" s="1"/>
  <c r="O28" i="10"/>
  <c r="O24" i="10"/>
  <c r="O15" i="10"/>
  <c r="O11" i="10"/>
  <c r="P36" i="10"/>
  <c r="P28" i="10"/>
  <c r="P21" i="10"/>
  <c r="P15" i="10"/>
  <c r="P10" i="10"/>
  <c r="Q37" i="10"/>
  <c r="Q29" i="10"/>
  <c r="Q24" i="10"/>
  <c r="Q18" i="10"/>
  <c r="Q11" i="10"/>
  <c r="R37" i="10"/>
  <c r="R28" i="10"/>
  <c r="R24" i="10"/>
  <c r="R15" i="10"/>
  <c r="R11" i="10"/>
  <c r="D36" i="9"/>
  <c r="D27" i="9"/>
  <c r="D21" i="9"/>
  <c r="D14" i="9"/>
  <c r="D10" i="9"/>
  <c r="E35" i="9"/>
  <c r="E27" i="9"/>
  <c r="E20" i="9"/>
  <c r="E14" i="9"/>
  <c r="E9" i="9"/>
  <c r="F35" i="9"/>
  <c r="F26" i="9"/>
  <c r="F20" i="9"/>
  <c r="F13" i="9"/>
  <c r="F9" i="9"/>
  <c r="G36" i="9"/>
  <c r="G27" i="9"/>
  <c r="G21" i="9"/>
  <c r="G14" i="9"/>
  <c r="G10" i="9"/>
  <c r="H35" i="9"/>
  <c r="H27" i="9"/>
  <c r="H20" i="9"/>
  <c r="H14" i="9"/>
  <c r="H9" i="9"/>
  <c r="I30" i="9"/>
  <c r="I21" i="9"/>
  <c r="I12" i="9"/>
  <c r="J30" i="9"/>
  <c r="J26" i="9"/>
  <c r="J19" i="9"/>
  <c r="J13" i="9"/>
  <c r="K30" i="9"/>
  <c r="K25" i="9"/>
  <c r="K18" i="9"/>
  <c r="J23" i="22" s="1"/>
  <c r="K11" i="9"/>
  <c r="L37" i="9"/>
  <c r="L28" i="9"/>
  <c r="L24" i="9"/>
  <c r="L15" i="9"/>
  <c r="L11" i="9"/>
  <c r="M36" i="9"/>
  <c r="M28" i="9"/>
  <c r="M21" i="9"/>
  <c r="M15" i="9"/>
  <c r="M10" i="9"/>
  <c r="N37" i="9"/>
  <c r="N30" i="9"/>
  <c r="N27" i="9"/>
  <c r="N24" i="9"/>
  <c r="N19" i="9"/>
  <c r="N14" i="9"/>
  <c r="N11" i="9"/>
  <c r="O35" i="9"/>
  <c r="O38" i="9" s="1"/>
  <c r="O28" i="9"/>
  <c r="O25" i="9"/>
  <c r="O20" i="9"/>
  <c r="O15" i="9"/>
  <c r="O12" i="9"/>
  <c r="O9" i="9"/>
  <c r="S10" i="10"/>
  <c r="S13" i="10"/>
  <c r="S18" i="10"/>
  <c r="S21" i="10"/>
  <c r="S26" i="10"/>
  <c r="S29" i="10"/>
  <c r="S36" i="10"/>
  <c r="D35" i="16"/>
  <c r="D28" i="16"/>
  <c r="D25" i="16"/>
  <c r="D20" i="16"/>
  <c r="D15" i="16"/>
  <c r="D12" i="16"/>
  <c r="E35" i="16"/>
  <c r="E28" i="16"/>
  <c r="E25" i="16"/>
  <c r="E20" i="16"/>
  <c r="E15" i="16"/>
  <c r="E12" i="16"/>
  <c r="F35" i="16"/>
  <c r="F38" i="16" s="1"/>
  <c r="F28" i="16"/>
  <c r="F25" i="16"/>
  <c r="F20" i="16"/>
  <c r="F15" i="16"/>
  <c r="F12" i="16"/>
  <c r="G35" i="16"/>
  <c r="G28" i="16"/>
  <c r="G25" i="16"/>
  <c r="G20" i="16"/>
  <c r="G15" i="16"/>
  <c r="G12" i="16"/>
  <c r="H35" i="16"/>
  <c r="H28" i="16"/>
  <c r="H25" i="16"/>
  <c r="H20" i="16"/>
  <c r="H15" i="16"/>
  <c r="H12" i="16"/>
  <c r="I30" i="16"/>
  <c r="I25" i="16"/>
  <c r="I15" i="16"/>
  <c r="I12" i="16"/>
  <c r="K35" i="16"/>
  <c r="K38" i="16" s="1"/>
  <c r="K46" i="16" s="1"/>
  <c r="L36" i="16"/>
  <c r="M37" i="16"/>
  <c r="O35" i="16"/>
  <c r="O38" i="16" s="1"/>
  <c r="O46" i="16" s="1"/>
  <c r="J36" i="16"/>
  <c r="J29" i="16"/>
  <c r="J14" i="16"/>
  <c r="J20" i="16"/>
  <c r="J11" i="16"/>
  <c r="J30" i="16"/>
  <c r="J10" i="16"/>
  <c r="K20" i="17"/>
  <c r="K11" i="17"/>
  <c r="K30" i="17"/>
  <c r="K10" i="17"/>
  <c r="K28" i="17"/>
  <c r="K13" i="17"/>
  <c r="D37" i="17"/>
  <c r="D30" i="17"/>
  <c r="D27" i="17"/>
  <c r="D24" i="17"/>
  <c r="D19" i="17"/>
  <c r="D14" i="17"/>
  <c r="D11" i="17"/>
  <c r="E37" i="17"/>
  <c r="E30" i="17"/>
  <c r="E27" i="17"/>
  <c r="E24" i="17"/>
  <c r="E19" i="17"/>
  <c r="E14" i="17"/>
  <c r="E11" i="17"/>
  <c r="F37" i="17"/>
  <c r="F30" i="17"/>
  <c r="F27" i="17"/>
  <c r="F24" i="17"/>
  <c r="F19" i="17"/>
  <c r="F14" i="17"/>
  <c r="F11" i="17"/>
  <c r="G37" i="17"/>
  <c r="G30" i="17"/>
  <c r="G27" i="17"/>
  <c r="G24" i="17"/>
  <c r="G19" i="17"/>
  <c r="G14" i="17"/>
  <c r="G11" i="17"/>
  <c r="H37" i="17"/>
  <c r="H30" i="17"/>
  <c r="H27" i="17"/>
  <c r="H24" i="17"/>
  <c r="H19" i="17"/>
  <c r="H14" i="17"/>
  <c r="H11" i="17"/>
  <c r="I36" i="17"/>
  <c r="I29" i="17"/>
  <c r="I24" i="17"/>
  <c r="I14" i="17"/>
  <c r="I11" i="17"/>
  <c r="J37" i="17"/>
  <c r="J30" i="17"/>
  <c r="J27" i="17"/>
  <c r="J24" i="17"/>
  <c r="J19" i="17"/>
  <c r="J14" i="17"/>
  <c r="J11" i="17"/>
  <c r="K36" i="17"/>
  <c r="K19" i="17"/>
  <c r="L35" i="17"/>
  <c r="M36" i="17"/>
  <c r="N36" i="17"/>
  <c r="O37" i="17"/>
  <c r="D36" i="19"/>
  <c r="D29" i="19"/>
  <c r="D26" i="19"/>
  <c r="D21" i="19"/>
  <c r="D18" i="19"/>
  <c r="D13" i="19"/>
  <c r="D10" i="19"/>
  <c r="E36" i="19"/>
  <c r="E29" i="19"/>
  <c r="E26" i="19"/>
  <c r="E21" i="19"/>
  <c r="E18" i="19"/>
  <c r="E13" i="19"/>
  <c r="E10" i="19"/>
  <c r="F36" i="19"/>
  <c r="F29" i="19"/>
  <c r="F26" i="19"/>
  <c r="F21" i="19"/>
  <c r="F18" i="19"/>
  <c r="F13" i="19"/>
  <c r="F10" i="19"/>
  <c r="G36" i="19"/>
  <c r="G29" i="19"/>
  <c r="G26" i="19"/>
  <c r="G21" i="19"/>
  <c r="G18" i="19"/>
  <c r="G13" i="19"/>
  <c r="G10" i="19"/>
  <c r="H36" i="19"/>
  <c r="H29" i="19"/>
  <c r="H26" i="19"/>
  <c r="H21" i="19"/>
  <c r="H18" i="19"/>
  <c r="H13" i="19"/>
  <c r="H10" i="19"/>
  <c r="I35" i="19"/>
  <c r="I28" i="19"/>
  <c r="I21" i="19"/>
  <c r="I13" i="19"/>
  <c r="I10" i="19"/>
  <c r="J36" i="19"/>
  <c r="J29" i="19"/>
  <c r="J26" i="19"/>
  <c r="J21" i="19"/>
  <c r="J18" i="19"/>
  <c r="J13" i="19"/>
  <c r="J10" i="19"/>
  <c r="K36" i="19"/>
  <c r="K29" i="19"/>
  <c r="K26" i="19"/>
  <c r="K21" i="19"/>
  <c r="K18" i="19"/>
  <c r="K13" i="19"/>
  <c r="K10" i="19"/>
  <c r="L14" i="19"/>
  <c r="L24" i="19"/>
  <c r="L35" i="19"/>
  <c r="L27" i="19"/>
  <c r="L15" i="19"/>
  <c r="L25" i="19"/>
  <c r="L13" i="19"/>
  <c r="M36" i="19"/>
  <c r="N36" i="19"/>
  <c r="O37" i="19"/>
  <c r="D28" i="30"/>
  <c r="D15" i="30"/>
  <c r="D10" i="30"/>
  <c r="J9" i="28"/>
  <c r="E35" i="30"/>
  <c r="E28" i="30"/>
  <c r="E25" i="30"/>
  <c r="E20" i="30"/>
  <c r="E15" i="30"/>
  <c r="M29" i="27"/>
  <c r="P36" i="27" s="1"/>
  <c r="Q36" i="27" s="1"/>
  <c r="S36" i="27" s="1"/>
  <c r="O37" i="27" s="1"/>
  <c r="C29" i="27"/>
  <c r="F36" i="27" s="1"/>
  <c r="G36" i="27" s="1"/>
  <c r="I36" i="27" s="1"/>
  <c r="E37" i="27" s="1"/>
  <c r="D29" i="11"/>
  <c r="D13" i="11"/>
  <c r="E26" i="11"/>
  <c r="B38" i="27"/>
  <c r="C38" i="27" s="1"/>
  <c r="D15" i="11"/>
  <c r="E21" i="11"/>
  <c r="O29" i="30"/>
  <c r="O10" i="30"/>
  <c r="O30" i="30"/>
  <c r="O19" i="30"/>
  <c r="O18" i="30"/>
  <c r="M36" i="30"/>
  <c r="M20" i="30"/>
  <c r="M25" i="30"/>
  <c r="M29" i="30"/>
  <c r="M37" i="30"/>
  <c r="M14" i="30"/>
  <c r="O21" i="30"/>
  <c r="Q9" i="28"/>
  <c r="N11" i="30"/>
  <c r="N12" i="30"/>
  <c r="N9" i="30"/>
  <c r="N37" i="30"/>
  <c r="M36" i="27"/>
  <c r="C36" i="27"/>
  <c r="K19" i="9"/>
  <c r="K22" i="9" s="1"/>
  <c r="N15" i="30"/>
  <c r="N13" i="30"/>
  <c r="H25" i="30"/>
  <c r="H9" i="30"/>
  <c r="K35" i="30"/>
  <c r="J29" i="30"/>
  <c r="J27" i="30"/>
  <c r="J36" i="30"/>
  <c r="P9" i="28"/>
  <c r="L24" i="30"/>
  <c r="L37" i="30"/>
  <c r="L27" i="30"/>
  <c r="L14" i="30"/>
  <c r="L15" i="30"/>
  <c r="L12" i="30"/>
  <c r="K10" i="30"/>
  <c r="K29" i="30"/>
  <c r="K18" i="30"/>
  <c r="K27" i="30"/>
  <c r="J19" i="30"/>
  <c r="J9" i="30"/>
  <c r="I25" i="30"/>
  <c r="I27" i="30"/>
  <c r="I10" i="30"/>
  <c r="I37" i="30"/>
  <c r="I21" i="30"/>
  <c r="J24" i="30"/>
  <c r="N9" i="28"/>
  <c r="H29" i="30"/>
  <c r="H13" i="30"/>
  <c r="H36" i="30"/>
  <c r="D24" i="30"/>
  <c r="K9" i="28"/>
  <c r="F15" i="30"/>
  <c r="F35" i="30"/>
  <c r="F21" i="30"/>
  <c r="F24" i="30"/>
  <c r="G9" i="30"/>
  <c r="G25" i="30"/>
  <c r="G13" i="30"/>
  <c r="G29" i="30"/>
  <c r="G14" i="30"/>
  <c r="G30" i="30"/>
  <c r="I20" i="17"/>
  <c r="H20" i="10"/>
  <c r="D37" i="30"/>
  <c r="I19" i="11"/>
  <c r="I37" i="17"/>
  <c r="I27" i="19"/>
  <c r="I19" i="16"/>
  <c r="I27" i="9"/>
  <c r="I37" i="16"/>
  <c r="I37" i="19"/>
  <c r="I26" i="19"/>
  <c r="H9" i="28"/>
  <c r="I19" i="17"/>
  <c r="E10" i="30"/>
  <c r="E14" i="30"/>
  <c r="E24" i="30"/>
  <c r="E30" i="30"/>
  <c r="D21" i="30"/>
  <c r="D22" i="30" s="1"/>
  <c r="I9" i="28"/>
  <c r="M37" i="19"/>
  <c r="L20" i="19"/>
  <c r="L30" i="19"/>
  <c r="L28" i="19"/>
  <c r="K11" i="19"/>
  <c r="K19" i="19"/>
  <c r="K27" i="19"/>
  <c r="K37" i="19"/>
  <c r="J14" i="19"/>
  <c r="J24" i="19"/>
  <c r="J30" i="19"/>
  <c r="I11" i="19"/>
  <c r="I24" i="19"/>
  <c r="I36" i="19"/>
  <c r="H14" i="19"/>
  <c r="H24" i="19"/>
  <c r="H30" i="19"/>
  <c r="G11" i="19"/>
  <c r="G19" i="19"/>
  <c r="G27" i="19"/>
  <c r="G37" i="19"/>
  <c r="F14" i="19"/>
  <c r="F24" i="19"/>
  <c r="F30" i="19"/>
  <c r="E11" i="19"/>
  <c r="E19" i="19"/>
  <c r="E27" i="19"/>
  <c r="E37" i="19"/>
  <c r="D14" i="19"/>
  <c r="D24" i="19"/>
  <c r="D30" i="19"/>
  <c r="O36" i="17"/>
  <c r="M35" i="17"/>
  <c r="L37" i="17"/>
  <c r="J10" i="17"/>
  <c r="J18" i="17"/>
  <c r="J26" i="17"/>
  <c r="J36" i="17"/>
  <c r="J38" i="17" s="1"/>
  <c r="I13" i="17"/>
  <c r="I28" i="17"/>
  <c r="H10" i="17"/>
  <c r="H18" i="17"/>
  <c r="H26" i="17"/>
  <c r="H36" i="17"/>
  <c r="G13" i="17"/>
  <c r="G21" i="17"/>
  <c r="G29" i="17"/>
  <c r="F10" i="17"/>
  <c r="F18" i="17"/>
  <c r="F26" i="17"/>
  <c r="F36" i="17"/>
  <c r="E13" i="17"/>
  <c r="E21" i="17"/>
  <c r="E29" i="17"/>
  <c r="D10" i="17"/>
  <c r="D18" i="17"/>
  <c r="D26" i="17"/>
  <c r="D36" i="17"/>
  <c r="D38" i="17" s="1"/>
  <c r="K26" i="17"/>
  <c r="K35" i="17"/>
  <c r="K38" i="17" s="1"/>
  <c r="K15" i="17"/>
  <c r="J27" i="16"/>
  <c r="J25" i="16"/>
  <c r="J28" i="16"/>
  <c r="M35" i="16"/>
  <c r="L37" i="16"/>
  <c r="I14" i="16"/>
  <c r="I29" i="16"/>
  <c r="H10" i="16"/>
  <c r="H18" i="16"/>
  <c r="H26" i="16"/>
  <c r="H36" i="16"/>
  <c r="G11" i="16"/>
  <c r="G19" i="16"/>
  <c r="G27" i="16"/>
  <c r="G37" i="16"/>
  <c r="F13" i="16"/>
  <c r="F21" i="16"/>
  <c r="F29" i="16"/>
  <c r="E14" i="16"/>
  <c r="E24" i="16"/>
  <c r="E30" i="16"/>
  <c r="D10" i="16"/>
  <c r="D18" i="16"/>
  <c r="D26" i="16"/>
  <c r="D36" i="16"/>
  <c r="S35" i="10"/>
  <c r="S38" i="10" s="1"/>
  <c r="S25" i="10"/>
  <c r="S15" i="10"/>
  <c r="S9" i="10"/>
  <c r="O13" i="9"/>
  <c r="O21" i="9"/>
  <c r="O29" i="9"/>
  <c r="N13" i="9"/>
  <c r="N21" i="9"/>
  <c r="N29" i="9"/>
  <c r="M9" i="9"/>
  <c r="M20" i="9"/>
  <c r="M35" i="9"/>
  <c r="L14" i="9"/>
  <c r="L27" i="9"/>
  <c r="K10" i="9"/>
  <c r="K24" i="9"/>
  <c r="K37" i="9"/>
  <c r="J14" i="9"/>
  <c r="J27" i="9"/>
  <c r="I15" i="9"/>
  <c r="H19" i="9"/>
  <c r="H30" i="9"/>
  <c r="G13" i="9"/>
  <c r="G26" i="9"/>
  <c r="F18" i="9"/>
  <c r="F29" i="9"/>
  <c r="E12" i="9"/>
  <c r="E25" i="9"/>
  <c r="D19" i="9"/>
  <c r="D30" i="9"/>
  <c r="R9" i="10"/>
  <c r="R20" i="10"/>
  <c r="R35" i="10"/>
  <c r="R38" i="10" s="1"/>
  <c r="Q14" i="10"/>
  <c r="Q27" i="10"/>
  <c r="P9" i="10"/>
  <c r="P20" i="10"/>
  <c r="P35" i="10"/>
  <c r="P38" i="10" s="1"/>
  <c r="O14" i="10"/>
  <c r="O27" i="10"/>
  <c r="N10" i="10"/>
  <c r="N21" i="10"/>
  <c r="N36" i="10"/>
  <c r="M13" i="10"/>
  <c r="M26" i="10"/>
  <c r="L10" i="10"/>
  <c r="L28" i="10"/>
  <c r="K15" i="10"/>
  <c r="K37" i="10"/>
  <c r="J24" i="10"/>
  <c r="I21" i="10"/>
  <c r="H12" i="10"/>
  <c r="J36" i="11"/>
  <c r="I25" i="11"/>
  <c r="H15" i="11"/>
  <c r="H37" i="11"/>
  <c r="G25" i="11"/>
  <c r="F14" i="11"/>
  <c r="F35" i="11"/>
  <c r="E12" i="11"/>
  <c r="E16" i="11" s="1"/>
  <c r="D12" i="11"/>
  <c r="D26" i="11"/>
  <c r="D10" i="11"/>
  <c r="P10" i="11" s="1"/>
  <c r="D37" i="11"/>
  <c r="D11" i="11"/>
  <c r="E18" i="11"/>
  <c r="E22" i="11" s="1"/>
  <c r="U9" i="28"/>
  <c r="T9" i="28"/>
  <c r="O11" i="30"/>
  <c r="O26" i="30"/>
  <c r="O15" i="30"/>
  <c r="O28" i="30"/>
  <c r="M27" i="30"/>
  <c r="M10" i="30"/>
  <c r="M19" i="30"/>
  <c r="M22" i="30" s="1"/>
  <c r="M24" i="30"/>
  <c r="R9" i="28"/>
  <c r="M12" i="30"/>
  <c r="O12" i="30"/>
  <c r="O24" i="30"/>
  <c r="N14" i="30"/>
  <c r="N25" i="30"/>
  <c r="N26" i="30"/>
  <c r="N29" i="30"/>
  <c r="N20" i="30"/>
  <c r="H15" i="30"/>
  <c r="K12" i="30"/>
  <c r="K19" i="30"/>
  <c r="J13" i="30"/>
  <c r="J30" i="30"/>
  <c r="P30" i="30" s="1"/>
  <c r="L13" i="30"/>
  <c r="L19" i="30"/>
  <c r="L22" i="30" s="1"/>
  <c r="L36" i="30"/>
  <c r="L35" i="30"/>
  <c r="L10" i="30"/>
  <c r="L25" i="30"/>
  <c r="K11" i="30"/>
  <c r="K21" i="30"/>
  <c r="K25" i="30"/>
  <c r="K31" i="30" s="1"/>
  <c r="J20" i="30"/>
  <c r="J10" i="30"/>
  <c r="I15" i="30"/>
  <c r="I9" i="30"/>
  <c r="I28" i="30"/>
  <c r="I26" i="30"/>
  <c r="H18" i="30"/>
  <c r="H20" i="30"/>
  <c r="H11" i="30"/>
  <c r="H35" i="30"/>
  <c r="D14" i="30"/>
  <c r="F20" i="30"/>
  <c r="F22" i="30" s="1"/>
  <c r="F10" i="30"/>
  <c r="F26" i="30"/>
  <c r="F11" i="30"/>
  <c r="F27" i="30"/>
  <c r="G12" i="30"/>
  <c r="G28" i="30"/>
  <c r="G31" i="30" s="1"/>
  <c r="G18" i="30"/>
  <c r="G36" i="30"/>
  <c r="G19" i="30"/>
  <c r="G37" i="30"/>
  <c r="H19" i="10"/>
  <c r="D19" i="10" s="1"/>
  <c r="H27" i="10"/>
  <c r="H37" i="10"/>
  <c r="T37" i="10" s="1"/>
  <c r="D27" i="30"/>
  <c r="I27" i="11"/>
  <c r="D26" i="30"/>
  <c r="I26" i="11"/>
  <c r="I20" i="11"/>
  <c r="P20" i="11" s="1"/>
  <c r="I26" i="16"/>
  <c r="I18" i="9"/>
  <c r="I20" i="9"/>
  <c r="I20" i="19"/>
  <c r="E11" i="30"/>
  <c r="E16" i="30" s="1"/>
  <c r="E18" i="30"/>
  <c r="E22" i="30" s="1"/>
  <c r="E26" i="30"/>
  <c r="E36" i="30"/>
  <c r="D9" i="30"/>
  <c r="D25" i="30"/>
  <c r="D36" i="30"/>
  <c r="N35" i="19"/>
  <c r="N38" i="19" s="1"/>
  <c r="N46" i="19" s="1"/>
  <c r="L18" i="19"/>
  <c r="L21" i="19"/>
  <c r="L29" i="19"/>
  <c r="L31" i="19" s="1"/>
  <c r="K12" i="19"/>
  <c r="K20" i="19"/>
  <c r="K28" i="19"/>
  <c r="J15" i="19"/>
  <c r="J25" i="19"/>
  <c r="J31" i="19" s="1"/>
  <c r="J35" i="19"/>
  <c r="J38" i="19" s="1"/>
  <c r="I12" i="19"/>
  <c r="I25" i="19"/>
  <c r="I31" i="19" s="1"/>
  <c r="H15" i="19"/>
  <c r="H16" i="19" s="1"/>
  <c r="H25" i="19"/>
  <c r="H35" i="19"/>
  <c r="H38" i="19" s="1"/>
  <c r="G12" i="19"/>
  <c r="G20" i="19"/>
  <c r="G28" i="19"/>
  <c r="G31" i="19" s="1"/>
  <c r="F15" i="19"/>
  <c r="F16" i="19" s="1"/>
  <c r="F25" i="19"/>
  <c r="F35" i="19"/>
  <c r="F38" i="19" s="1"/>
  <c r="E12" i="19"/>
  <c r="E16" i="19" s="1"/>
  <c r="E20" i="19"/>
  <c r="E28" i="19"/>
  <c r="D15" i="19"/>
  <c r="D25" i="19"/>
  <c r="D35" i="19"/>
  <c r="M37" i="17"/>
  <c r="J12" i="17"/>
  <c r="J20" i="17"/>
  <c r="J28" i="17"/>
  <c r="I15" i="17"/>
  <c r="I30" i="17"/>
  <c r="I31" i="17" s="1"/>
  <c r="H12" i="17"/>
  <c r="H20" i="17"/>
  <c r="H28" i="17"/>
  <c r="G15" i="17"/>
  <c r="G25" i="17"/>
  <c r="G35" i="17"/>
  <c r="G38" i="17" s="1"/>
  <c r="F12" i="17"/>
  <c r="F20" i="17"/>
  <c r="F28" i="17"/>
  <c r="E15" i="17"/>
  <c r="E25" i="17"/>
  <c r="E35" i="17"/>
  <c r="E38" i="17" s="1"/>
  <c r="D12" i="17"/>
  <c r="D20" i="17"/>
  <c r="D28" i="17"/>
  <c r="K29" i="17"/>
  <c r="K21" i="17"/>
  <c r="K18" i="17"/>
  <c r="J26" i="16"/>
  <c r="J37" i="16"/>
  <c r="J19" i="16"/>
  <c r="J24" i="16"/>
  <c r="N35" i="16"/>
  <c r="N38" i="16" s="1"/>
  <c r="N46" i="16" s="1"/>
  <c r="M36" i="16"/>
  <c r="I10" i="16"/>
  <c r="I21" i="16"/>
  <c r="I35" i="16"/>
  <c r="I38" i="16" s="1"/>
  <c r="H11" i="16"/>
  <c r="H19" i="16"/>
  <c r="H27" i="16"/>
  <c r="H37" i="16"/>
  <c r="G13" i="16"/>
  <c r="G21" i="16"/>
  <c r="G29" i="16"/>
  <c r="F14" i="16"/>
  <c r="F24" i="16"/>
  <c r="F30" i="16"/>
  <c r="E10" i="16"/>
  <c r="E18" i="16"/>
  <c r="E22" i="16" s="1"/>
  <c r="E26" i="16"/>
  <c r="E36" i="16"/>
  <c r="D11" i="16"/>
  <c r="D19" i="16"/>
  <c r="D27" i="16"/>
  <c r="D37" i="16"/>
  <c r="S30" i="10"/>
  <c r="S24" i="10"/>
  <c r="S14" i="10"/>
  <c r="O14" i="9"/>
  <c r="O24" i="9"/>
  <c r="O30" i="9"/>
  <c r="N9" i="9"/>
  <c r="N15" i="9"/>
  <c r="N25" i="9"/>
  <c r="N35" i="9"/>
  <c r="N38" i="9" s="1"/>
  <c r="M12" i="9"/>
  <c r="M25" i="9"/>
  <c r="L19" i="9"/>
  <c r="P19" i="9" s="1"/>
  <c r="L30" i="9"/>
  <c r="K13" i="9"/>
  <c r="K27" i="9"/>
  <c r="J18" i="9"/>
  <c r="J29" i="9"/>
  <c r="I9" i="9"/>
  <c r="I25" i="9"/>
  <c r="H11" i="9"/>
  <c r="H24" i="9"/>
  <c r="H37" i="9"/>
  <c r="G18" i="9"/>
  <c r="G29" i="9"/>
  <c r="F10" i="9"/>
  <c r="F21" i="9"/>
  <c r="F36" i="9"/>
  <c r="E15" i="9"/>
  <c r="E28" i="9"/>
  <c r="P29" i="22" s="1"/>
  <c r="D11" i="9"/>
  <c r="D24" i="9"/>
  <c r="D37" i="9"/>
  <c r="R12" i="10"/>
  <c r="R25" i="10"/>
  <c r="Q19" i="10"/>
  <c r="Q30" i="10"/>
  <c r="P12" i="10"/>
  <c r="P25" i="10"/>
  <c r="O19" i="10"/>
  <c r="O30" i="10"/>
  <c r="N13" i="10"/>
  <c r="N26" i="10"/>
  <c r="M18" i="10"/>
  <c r="M22" i="10" s="1"/>
  <c r="M30" i="10"/>
  <c r="L12" i="10"/>
  <c r="L29" i="10"/>
  <c r="K19" i="10"/>
  <c r="J26" i="10"/>
  <c r="I10" i="10"/>
  <c r="I28" i="10"/>
  <c r="H21" i="10"/>
  <c r="O36" i="11"/>
  <c r="I30" i="11"/>
  <c r="H19" i="11"/>
  <c r="G27" i="11"/>
  <c r="F15" i="11"/>
  <c r="F37" i="11"/>
  <c r="E24" i="11"/>
  <c r="E31" i="11" s="1"/>
  <c r="D25" i="11"/>
  <c r="D36" i="11"/>
  <c r="C38" i="5"/>
  <c r="C40" i="5" s="1"/>
  <c r="C26" i="5"/>
  <c r="E26" i="5" s="1"/>
  <c r="C16" i="5"/>
  <c r="E16" i="5" s="1"/>
  <c r="C11" i="5"/>
  <c r="E11" i="5" s="1"/>
  <c r="N38" i="17"/>
  <c r="N46" i="17" s="1"/>
  <c r="I16" i="17"/>
  <c r="P18" i="16"/>
  <c r="L38" i="17"/>
  <c r="L46" i="17" s="1"/>
  <c r="P14" i="17"/>
  <c r="P13" i="17"/>
  <c r="E31" i="19"/>
  <c r="P20" i="16"/>
  <c r="E38" i="19"/>
  <c r="H31" i="19"/>
  <c r="F37" i="10"/>
  <c r="D37" i="10"/>
  <c r="P27" i="17"/>
  <c r="W1" i="28"/>
  <c r="W7" i="28" s="1"/>
  <c r="V7" i="28"/>
  <c r="V9" i="28"/>
  <c r="I26" i="24"/>
  <c r="B27" i="24"/>
  <c r="E20" i="10"/>
  <c r="I16" i="31"/>
  <c r="M38" i="19"/>
  <c r="M46" i="19" s="1"/>
  <c r="J22" i="19"/>
  <c r="P37" i="19"/>
  <c r="I16" i="19"/>
  <c r="G22" i="19"/>
  <c r="G38" i="19"/>
  <c r="D18" i="31"/>
  <c r="F18" i="31" s="1"/>
  <c r="J18" i="31" s="1"/>
  <c r="C24" i="5"/>
  <c r="I31" i="16"/>
  <c r="I22" i="17"/>
  <c r="P14" i="19"/>
  <c r="H22" i="19"/>
  <c r="F22" i="19"/>
  <c r="D22" i="19"/>
  <c r="E15" i="5"/>
  <c r="M38" i="27"/>
  <c r="D20" i="10"/>
  <c r="C20" i="7"/>
  <c r="C29" i="7"/>
  <c r="E29" i="7" s="1"/>
  <c r="H38" i="10"/>
  <c r="H22" i="30"/>
  <c r="I22" i="9"/>
  <c r="N22" i="30"/>
  <c r="F17" i="31"/>
  <c r="J17" i="31" s="1"/>
  <c r="P21" i="11"/>
  <c r="E24" i="5"/>
  <c r="P13" i="11"/>
  <c r="J16" i="30"/>
  <c r="I16" i="30"/>
  <c r="O38" i="19"/>
  <c r="O46" i="19" s="1"/>
  <c r="L38" i="19"/>
  <c r="P26" i="9"/>
  <c r="K16" i="31"/>
  <c r="L16" i="31" s="1"/>
  <c r="I38" i="9"/>
  <c r="E37" i="10"/>
  <c r="L31" i="30"/>
  <c r="D9" i="28"/>
  <c r="O22" i="30"/>
  <c r="E38" i="11"/>
  <c r="K17" i="31"/>
  <c r="L17" i="31" s="1"/>
  <c r="G17" i="31"/>
  <c r="I17" i="31"/>
  <c r="AH98" i="18"/>
  <c r="AI98" i="18" s="1"/>
  <c r="AG99" i="18" s="1"/>
  <c r="AH99" i="18" s="1"/>
  <c r="AI99" i="18" s="1"/>
  <c r="AG100" i="18" s="1"/>
  <c r="P29" i="11"/>
  <c r="D22" i="11"/>
  <c r="P11" i="11"/>
  <c r="D16" i="11"/>
  <c r="D38" i="27"/>
  <c r="H38" i="27" s="1"/>
  <c r="R11" i="20"/>
  <c r="E24" i="7"/>
  <c r="E18" i="7"/>
  <c r="E17" i="7"/>
  <c r="E9" i="7"/>
  <c r="E13" i="7"/>
  <c r="E23" i="7"/>
  <c r="E28" i="7"/>
  <c r="G8" i="7"/>
  <c r="H8" i="7" s="1"/>
  <c r="G9" i="7"/>
  <c r="H9" i="7" s="1"/>
  <c r="G10" i="7"/>
  <c r="H10" i="7" s="1"/>
  <c r="G11" i="7"/>
  <c r="H11" i="7" s="1"/>
  <c r="G12" i="7"/>
  <c r="H12" i="7" s="1"/>
  <c r="G13" i="7"/>
  <c r="H13" i="7" s="1"/>
  <c r="G16" i="7"/>
  <c r="G17" i="7"/>
  <c r="H17" i="7" s="1"/>
  <c r="G18" i="7"/>
  <c r="H18" i="7" s="1"/>
  <c r="G19" i="7"/>
  <c r="H19" i="7" s="1"/>
  <c r="G22" i="7"/>
  <c r="H22" i="7" s="1"/>
  <c r="G23" i="7"/>
  <c r="H23" i="7" s="1"/>
  <c r="G24" i="7"/>
  <c r="H24" i="7" s="1"/>
  <c r="G25" i="7"/>
  <c r="H25" i="7" s="1"/>
  <c r="G26" i="7"/>
  <c r="H26" i="7" s="1"/>
  <c r="G27" i="7"/>
  <c r="H27" i="7" s="1"/>
  <c r="G28" i="7"/>
  <c r="H28" i="7" s="1"/>
  <c r="G33" i="7"/>
  <c r="G34" i="7"/>
  <c r="H34" i="7" s="1"/>
  <c r="G35" i="7"/>
  <c r="H35" i="7" s="1"/>
  <c r="G37" i="7"/>
  <c r="H37" i="7" s="1"/>
  <c r="G7" i="7"/>
  <c r="C7" i="7"/>
  <c r="N16" i="31" l="1"/>
  <c r="N37" i="27"/>
  <c r="R37" i="27" s="1"/>
  <c r="AB17" i="31"/>
  <c r="Z18" i="31" s="1"/>
  <c r="AA18" i="31" s="1"/>
  <c r="AB18" i="31" s="1"/>
  <c r="Z19" i="31" s="1"/>
  <c r="M37" i="27"/>
  <c r="L39" i="27"/>
  <c r="L40" i="27" s="1"/>
  <c r="P27" i="11"/>
  <c r="J31" i="16"/>
  <c r="P26" i="16"/>
  <c r="G22" i="30"/>
  <c r="F16" i="30"/>
  <c r="P24" i="19"/>
  <c r="H31" i="30"/>
  <c r="T20" i="10"/>
  <c r="P37" i="30"/>
  <c r="F31" i="30"/>
  <c r="N31" i="30"/>
  <c r="J16" i="19"/>
  <c r="E31" i="30"/>
  <c r="P35" i="30"/>
  <c r="P29" i="30"/>
  <c r="P12" i="19"/>
  <c r="P18" i="11"/>
  <c r="E16" i="16"/>
  <c r="C36" i="7"/>
  <c r="D24" i="20" s="1"/>
  <c r="P18" i="9"/>
  <c r="P12" i="11"/>
  <c r="M38" i="11"/>
  <c r="M46" i="11" s="1"/>
  <c r="F18" i="10"/>
  <c r="F19" i="10"/>
  <c r="P36" i="30"/>
  <c r="P14" i="30"/>
  <c r="P38" i="22"/>
  <c r="I31" i="9"/>
  <c r="P37" i="9"/>
  <c r="P37" i="16"/>
  <c r="K22" i="17"/>
  <c r="L22" i="19"/>
  <c r="P12" i="30"/>
  <c r="K22" i="30"/>
  <c r="O31" i="30"/>
  <c r="K31" i="10"/>
  <c r="T18" i="10"/>
  <c r="P25" i="19"/>
  <c r="E18" i="10"/>
  <c r="P15" i="19"/>
  <c r="T27" i="10"/>
  <c r="L16" i="19"/>
  <c r="J16" i="16"/>
  <c r="C37" i="27"/>
  <c r="D37" i="27"/>
  <c r="H37" i="27" s="1"/>
  <c r="G37" i="27" s="1"/>
  <c r="I37" i="27" s="1"/>
  <c r="E38" i="27" s="1"/>
  <c r="G38" i="27" s="1"/>
  <c r="I38" i="27" s="1"/>
  <c r="E39" i="27" s="1"/>
  <c r="W9" i="28"/>
  <c r="X1" i="28"/>
  <c r="H39" i="22"/>
  <c r="D19" i="31"/>
  <c r="D20" i="31" s="1"/>
  <c r="D21" i="31" s="1"/>
  <c r="E21" i="31" s="1"/>
  <c r="K21" i="31" s="1"/>
  <c r="L21" i="31" s="1"/>
  <c r="P11" i="9"/>
  <c r="I38" i="11"/>
  <c r="G38" i="11"/>
  <c r="T26" i="10"/>
  <c r="F26" i="10"/>
  <c r="F31" i="16"/>
  <c r="P28" i="17"/>
  <c r="P28" i="19"/>
  <c r="P20" i="19"/>
  <c r="I31" i="11"/>
  <c r="P26" i="30"/>
  <c r="K16" i="30"/>
  <c r="K33" i="30" s="1"/>
  <c r="K40" i="30" s="1"/>
  <c r="H16" i="30"/>
  <c r="M16" i="30"/>
  <c r="O16" i="30"/>
  <c r="O33" i="30" s="1"/>
  <c r="O40" i="30" s="1"/>
  <c r="P26" i="11"/>
  <c r="P37" i="11"/>
  <c r="S16" i="10"/>
  <c r="D22" i="16"/>
  <c r="P13" i="16"/>
  <c r="G16" i="16"/>
  <c r="M38" i="16"/>
  <c r="M46" i="16" s="1"/>
  <c r="P26" i="17"/>
  <c r="K31" i="17"/>
  <c r="P29" i="17"/>
  <c r="F16" i="17"/>
  <c r="H22" i="17"/>
  <c r="H16" i="17"/>
  <c r="J22" i="17"/>
  <c r="J16" i="17"/>
  <c r="D31" i="19"/>
  <c r="P30" i="19"/>
  <c r="F31" i="19"/>
  <c r="F33" i="19" s="1"/>
  <c r="F46" i="19" s="1"/>
  <c r="P11" i="19"/>
  <c r="K22" i="19"/>
  <c r="P19" i="16"/>
  <c r="P27" i="19"/>
  <c r="P20" i="17"/>
  <c r="P9" i="30"/>
  <c r="D31" i="30"/>
  <c r="P21" i="30"/>
  <c r="J22" i="30"/>
  <c r="L16" i="30"/>
  <c r="J31" i="30"/>
  <c r="P13" i="30"/>
  <c r="N16" i="30"/>
  <c r="M31" i="30"/>
  <c r="P20" i="30"/>
  <c r="D16" i="30"/>
  <c r="D33" i="30" s="1"/>
  <c r="D40" i="30" s="1"/>
  <c r="P15" i="30"/>
  <c r="K16" i="19"/>
  <c r="K38" i="19"/>
  <c r="I38" i="19"/>
  <c r="P29" i="19"/>
  <c r="P26" i="19"/>
  <c r="P21" i="19"/>
  <c r="P18" i="19"/>
  <c r="P10" i="19"/>
  <c r="P13" i="19"/>
  <c r="P36" i="19"/>
  <c r="O38" i="17"/>
  <c r="O46" i="17" s="1"/>
  <c r="P36" i="17"/>
  <c r="P37" i="17"/>
  <c r="P19" i="17"/>
  <c r="K16" i="17"/>
  <c r="O22" i="9"/>
  <c r="N22" i="9"/>
  <c r="H17" i="22"/>
  <c r="I16" i="9"/>
  <c r="I33" i="9" s="1"/>
  <c r="I40" i="9" s="1"/>
  <c r="E34" i="29"/>
  <c r="E36" i="29" s="1"/>
  <c r="P13" i="22"/>
  <c r="P25" i="11"/>
  <c r="D38" i="19"/>
  <c r="P27" i="9"/>
  <c r="B39" i="27"/>
  <c r="D39" i="27" s="1"/>
  <c r="H39" i="27" s="1"/>
  <c r="D31" i="11"/>
  <c r="P19" i="30"/>
  <c r="P27" i="30"/>
  <c r="P11" i="30"/>
  <c r="P35" i="19"/>
  <c r="I31" i="30"/>
  <c r="I33" i="30" s="1"/>
  <c r="I40" i="30" s="1"/>
  <c r="I38" i="17"/>
  <c r="H22" i="10"/>
  <c r="E26" i="10"/>
  <c r="E22" i="19"/>
  <c r="E33" i="19" s="1"/>
  <c r="E46" i="19" s="1"/>
  <c r="D31" i="9"/>
  <c r="P24" i="9"/>
  <c r="S31" i="10"/>
  <c r="D38" i="11"/>
  <c r="D12" i="10"/>
  <c r="F12" i="10"/>
  <c r="T12" i="10"/>
  <c r="E12" i="10"/>
  <c r="P26" i="22"/>
  <c r="J32" i="22"/>
  <c r="K31" i="9"/>
  <c r="L17" i="22"/>
  <c r="M16" i="9"/>
  <c r="P10" i="17"/>
  <c r="D16" i="17"/>
  <c r="F22" i="17"/>
  <c r="F20" i="10"/>
  <c r="P15" i="11"/>
  <c r="G31" i="17"/>
  <c r="P11" i="17"/>
  <c r="E39" i="22"/>
  <c r="F38" i="9"/>
  <c r="P10" i="9"/>
  <c r="Q31" i="10"/>
  <c r="J17" i="22"/>
  <c r="K16" i="9"/>
  <c r="E32" i="22"/>
  <c r="F31" i="9"/>
  <c r="D23" i="22"/>
  <c r="E22" i="9"/>
  <c r="P12" i="9"/>
  <c r="I38" i="10"/>
  <c r="I31" i="10"/>
  <c r="E24" i="10"/>
  <c r="D24" i="10"/>
  <c r="F24" i="10"/>
  <c r="T24" i="10"/>
  <c r="K38" i="11"/>
  <c r="K46" i="11" s="1"/>
  <c r="M16" i="10"/>
  <c r="K39" i="22"/>
  <c r="L38" i="9"/>
  <c r="C18" i="5"/>
  <c r="E18" i="5" s="1"/>
  <c r="I32" i="22"/>
  <c r="J31" i="9"/>
  <c r="E31" i="9"/>
  <c r="L38" i="11"/>
  <c r="L46" i="11" s="1"/>
  <c r="P31" i="22"/>
  <c r="P21" i="17"/>
  <c r="G22" i="17"/>
  <c r="F31" i="17"/>
  <c r="P25" i="16"/>
  <c r="E16" i="9"/>
  <c r="P14" i="9"/>
  <c r="R31" i="10"/>
  <c r="L32" i="22"/>
  <c r="M31" i="9"/>
  <c r="K23" i="22"/>
  <c r="L22" i="9"/>
  <c r="I17" i="22"/>
  <c r="J16" i="9"/>
  <c r="I39" i="22"/>
  <c r="J38" i="9"/>
  <c r="P15" i="9"/>
  <c r="Q16" i="10"/>
  <c r="Q38" i="10"/>
  <c r="E10" i="10"/>
  <c r="T10" i="10"/>
  <c r="F10" i="10"/>
  <c r="D10" i="10"/>
  <c r="T29" i="10"/>
  <c r="D29" i="10"/>
  <c r="F29" i="10"/>
  <c r="E29" i="10"/>
  <c r="J38" i="11"/>
  <c r="J46" i="11" s="1"/>
  <c r="H16" i="11"/>
  <c r="P30" i="11"/>
  <c r="F32" i="22"/>
  <c r="G31" i="9"/>
  <c r="J22" i="10"/>
  <c r="F22" i="16"/>
  <c r="E22" i="17"/>
  <c r="G16" i="17"/>
  <c r="J38" i="16"/>
  <c r="L38" i="16"/>
  <c r="L46" i="16" s="1"/>
  <c r="E16" i="17"/>
  <c r="F38" i="17"/>
  <c r="H38" i="17"/>
  <c r="D18" i="10"/>
  <c r="P25" i="30"/>
  <c r="K31" i="19"/>
  <c r="I22" i="30"/>
  <c r="F27" i="10"/>
  <c r="G16" i="19"/>
  <c r="G33" i="19" s="1"/>
  <c r="G46" i="19" s="1"/>
  <c r="P19" i="19"/>
  <c r="D27" i="10"/>
  <c r="J31" i="10"/>
  <c r="D16" i="16"/>
  <c r="P10" i="16"/>
  <c r="E31" i="17"/>
  <c r="E33" i="17" s="1"/>
  <c r="E46" i="17" s="1"/>
  <c r="P28" i="16"/>
  <c r="S22" i="10"/>
  <c r="K32" i="22"/>
  <c r="L31" i="9"/>
  <c r="G39" i="22"/>
  <c r="H38" i="9"/>
  <c r="E17" i="22"/>
  <c r="F16" i="9"/>
  <c r="P15" i="22"/>
  <c r="P21" i="9"/>
  <c r="N22" i="10"/>
  <c r="F25" i="10"/>
  <c r="F17" i="22"/>
  <c r="G16" i="9"/>
  <c r="F39" i="22"/>
  <c r="G38" i="9"/>
  <c r="P27" i="22"/>
  <c r="R22" i="10"/>
  <c r="M31" i="10"/>
  <c r="M33" i="10" s="1"/>
  <c r="K38" i="10"/>
  <c r="I16" i="10"/>
  <c r="D15" i="10"/>
  <c r="E15" i="10"/>
  <c r="T15" i="10"/>
  <c r="F15" i="10"/>
  <c r="H38" i="11"/>
  <c r="J38" i="10"/>
  <c r="E36" i="10"/>
  <c r="D36" i="10"/>
  <c r="F36" i="10"/>
  <c r="I16" i="11"/>
  <c r="G16" i="11"/>
  <c r="F31" i="11"/>
  <c r="D22" i="9"/>
  <c r="P22" i="10"/>
  <c r="I22" i="19"/>
  <c r="I33" i="19" s="1"/>
  <c r="D25" i="10"/>
  <c r="P21" i="16"/>
  <c r="P10" i="30"/>
  <c r="P18" i="30"/>
  <c r="Q37" i="27"/>
  <c r="S37" i="27" s="1"/>
  <c r="O38" i="27" s="1"/>
  <c r="Q38" i="27" s="1"/>
  <c r="S38" i="27" s="1"/>
  <c r="O39" i="27" s="1"/>
  <c r="C33" i="5"/>
  <c r="E33" i="5" s="1"/>
  <c r="G16" i="30"/>
  <c r="G33" i="30" s="1"/>
  <c r="G40" i="30" s="1"/>
  <c r="E19" i="10"/>
  <c r="H31" i="10"/>
  <c r="D26" i="10"/>
  <c r="P16" i="22"/>
  <c r="I23" i="22"/>
  <c r="J22" i="9"/>
  <c r="O31" i="9"/>
  <c r="R16" i="10"/>
  <c r="E23" i="22"/>
  <c r="F22" i="9"/>
  <c r="H22" i="16"/>
  <c r="D31" i="17"/>
  <c r="P24" i="17"/>
  <c r="H38" i="16"/>
  <c r="G38" i="16"/>
  <c r="E38" i="16"/>
  <c r="P35" i="16"/>
  <c r="D38" i="16"/>
  <c r="M32" i="22"/>
  <c r="N31" i="9"/>
  <c r="N31" i="10"/>
  <c r="P14" i="11"/>
  <c r="G23" i="22"/>
  <c r="H22" i="9"/>
  <c r="P30" i="22"/>
  <c r="P25" i="9"/>
  <c r="O16" i="10"/>
  <c r="L38" i="10"/>
  <c r="E28" i="10"/>
  <c r="T28" i="10"/>
  <c r="D28" i="10"/>
  <c r="F28" i="10"/>
  <c r="L31" i="10"/>
  <c r="K22" i="10"/>
  <c r="O38" i="11"/>
  <c r="O46" i="11" s="1"/>
  <c r="H22" i="11"/>
  <c r="F16" i="11"/>
  <c r="P13" i="9"/>
  <c r="P14" i="16"/>
  <c r="P29" i="9"/>
  <c r="I22" i="10"/>
  <c r="F16" i="16"/>
  <c r="H31" i="16"/>
  <c r="P35" i="11"/>
  <c r="P28" i="30"/>
  <c r="P24" i="30"/>
  <c r="D16" i="19"/>
  <c r="D33" i="19" s="1"/>
  <c r="D46" i="19" s="1"/>
  <c r="E27" i="10"/>
  <c r="T19" i="10"/>
  <c r="P18" i="17"/>
  <c r="P35" i="17"/>
  <c r="T21" i="10"/>
  <c r="F21" i="10"/>
  <c r="F22" i="10" s="1"/>
  <c r="E21" i="10"/>
  <c r="D21" i="10"/>
  <c r="G32" i="22"/>
  <c r="H31" i="9"/>
  <c r="I16" i="16"/>
  <c r="P12" i="17"/>
  <c r="P20" i="9"/>
  <c r="P16" i="10"/>
  <c r="P30" i="9"/>
  <c r="L39" i="22"/>
  <c r="M38" i="9"/>
  <c r="E31" i="16"/>
  <c r="E33" i="16" s="1"/>
  <c r="H16" i="16"/>
  <c r="M38" i="17"/>
  <c r="M46" i="17" s="1"/>
  <c r="P19" i="11"/>
  <c r="P12" i="16"/>
  <c r="T36" i="10"/>
  <c r="G17" i="22"/>
  <c r="H16" i="9"/>
  <c r="P36" i="9"/>
  <c r="O31" i="10"/>
  <c r="D13" i="10"/>
  <c r="T13" i="10"/>
  <c r="F13" i="10"/>
  <c r="E13" i="10"/>
  <c r="P11" i="22"/>
  <c r="P37" i="22"/>
  <c r="P28" i="9"/>
  <c r="N16" i="10"/>
  <c r="N38" i="10"/>
  <c r="K16" i="10"/>
  <c r="E11" i="10"/>
  <c r="F11" i="10"/>
  <c r="T11" i="10"/>
  <c r="D11" i="10"/>
  <c r="G22" i="11"/>
  <c r="P24" i="16"/>
  <c r="D31" i="16"/>
  <c r="J39" i="22"/>
  <c r="K38" i="9"/>
  <c r="F9" i="10"/>
  <c r="T9" i="10"/>
  <c r="D9" i="10"/>
  <c r="E9" i="10"/>
  <c r="H16" i="10"/>
  <c r="P25" i="17"/>
  <c r="P36" i="11"/>
  <c r="P24" i="11"/>
  <c r="M17" i="22"/>
  <c r="N16" i="9"/>
  <c r="F23" i="22"/>
  <c r="G22" i="9"/>
  <c r="I22" i="11"/>
  <c r="I22" i="16"/>
  <c r="P11" i="16"/>
  <c r="F38" i="11"/>
  <c r="P36" i="16"/>
  <c r="D22" i="17"/>
  <c r="J31" i="17"/>
  <c r="H31" i="17"/>
  <c r="P30" i="17"/>
  <c r="P15" i="16"/>
  <c r="O16" i="9"/>
  <c r="E38" i="9"/>
  <c r="Q22" i="10"/>
  <c r="T30" i="10"/>
  <c r="F30" i="10"/>
  <c r="E30" i="10"/>
  <c r="D30" i="10"/>
  <c r="H31" i="11"/>
  <c r="P14" i="22"/>
  <c r="P9" i="9"/>
  <c r="D16" i="9"/>
  <c r="D38" i="9"/>
  <c r="P35" i="9"/>
  <c r="P31" i="10"/>
  <c r="O22" i="10"/>
  <c r="L16" i="10"/>
  <c r="G31" i="11"/>
  <c r="M38" i="10"/>
  <c r="T14" i="10"/>
  <c r="E14" i="10"/>
  <c r="D14" i="10"/>
  <c r="F14" i="10"/>
  <c r="F22" i="11"/>
  <c r="L22" i="10"/>
  <c r="P29" i="16"/>
  <c r="G22" i="16"/>
  <c r="P30" i="16"/>
  <c r="L23" i="22"/>
  <c r="M22" i="9"/>
  <c r="P12" i="22"/>
  <c r="F35" i="10"/>
  <c r="E35" i="10"/>
  <c r="T35" i="10"/>
  <c r="D35" i="10"/>
  <c r="P27" i="16"/>
  <c r="G31" i="16"/>
  <c r="P15" i="17"/>
  <c r="J22" i="16"/>
  <c r="J33" i="16" s="1"/>
  <c r="J46" i="16" s="1"/>
  <c r="K17" i="22"/>
  <c r="L16" i="9"/>
  <c r="E25" i="10"/>
  <c r="P28" i="11"/>
  <c r="T25" i="10"/>
  <c r="H32" i="22"/>
  <c r="P28" i="22"/>
  <c r="H23" i="22"/>
  <c r="J97" i="18"/>
  <c r="E33" i="30"/>
  <c r="E40" i="30" s="1"/>
  <c r="I27" i="24"/>
  <c r="B28" i="24"/>
  <c r="A27" i="24"/>
  <c r="X7" i="28"/>
  <c r="X9" i="28"/>
  <c r="Y1" i="28"/>
  <c r="L33" i="19"/>
  <c r="L46" i="19" s="1"/>
  <c r="G14" i="7"/>
  <c r="E18" i="31"/>
  <c r="K18" i="31" s="1"/>
  <c r="L18" i="31" s="1"/>
  <c r="J33" i="19"/>
  <c r="J46" i="19" s="1"/>
  <c r="J98" i="18"/>
  <c r="H18" i="31"/>
  <c r="H17" i="31"/>
  <c r="O16" i="31"/>
  <c r="C16" i="31" s="1"/>
  <c r="N39" i="27"/>
  <c r="R39" i="27" s="1"/>
  <c r="H33" i="19"/>
  <c r="H46" i="19" s="1"/>
  <c r="I33" i="17"/>
  <c r="I46" i="17" s="1"/>
  <c r="F33" i="30"/>
  <c r="F40" i="30" s="1"/>
  <c r="N33" i="30"/>
  <c r="N40" i="30" s="1"/>
  <c r="H33" i="30"/>
  <c r="H40" i="30" s="1"/>
  <c r="M33" i="30"/>
  <c r="M40" i="30" s="1"/>
  <c r="L33" i="30"/>
  <c r="L40" i="30" s="1"/>
  <c r="P38" i="30"/>
  <c r="E33" i="11"/>
  <c r="E46" i="11" s="1"/>
  <c r="E20" i="7"/>
  <c r="G20" i="7"/>
  <c r="H20" i="7" s="1"/>
  <c r="H16" i="7"/>
  <c r="AA19" i="31"/>
  <c r="AB19" i="31" s="1"/>
  <c r="Z20" i="31" s="1"/>
  <c r="U99" i="18"/>
  <c r="V99" i="18" s="1"/>
  <c r="D33" i="11"/>
  <c r="AH100" i="18"/>
  <c r="AI100" i="18" s="1"/>
  <c r="AG101" i="18" s="1"/>
  <c r="G36" i="7"/>
  <c r="L41" i="27"/>
  <c r="N40" i="27"/>
  <c r="R40" i="27" s="1"/>
  <c r="M40" i="27"/>
  <c r="H7" i="7"/>
  <c r="E7" i="7"/>
  <c r="C14" i="7"/>
  <c r="G29" i="7"/>
  <c r="H33" i="7"/>
  <c r="M39" i="27" l="1"/>
  <c r="C39" i="27"/>
  <c r="E38" i="10"/>
  <c r="D33" i="16"/>
  <c r="D46" i="16" s="1"/>
  <c r="D22" i="10"/>
  <c r="G21" i="31"/>
  <c r="B40" i="27"/>
  <c r="C35" i="5"/>
  <c r="F38" i="10"/>
  <c r="X9" i="10"/>
  <c r="D22" i="31"/>
  <c r="E22" i="31" s="1"/>
  <c r="I22" i="31" s="1"/>
  <c r="P16" i="19"/>
  <c r="H33" i="11"/>
  <c r="H46" i="11" s="1"/>
  <c r="J33" i="17"/>
  <c r="J46" i="17" s="1"/>
  <c r="E22" i="10"/>
  <c r="P38" i="19"/>
  <c r="P31" i="11"/>
  <c r="P31" i="19"/>
  <c r="P16" i="11"/>
  <c r="J33" i="30"/>
  <c r="J40" i="30" s="1"/>
  <c r="P23" i="22"/>
  <c r="P22" i="11"/>
  <c r="D31" i="10"/>
  <c r="K33" i="17"/>
  <c r="K46" i="17" s="1"/>
  <c r="P22" i="19"/>
  <c r="P31" i="30"/>
  <c r="I46" i="19"/>
  <c r="P19" i="22"/>
  <c r="P33" i="10"/>
  <c r="P40" i="10" s="1"/>
  <c r="I33" i="11"/>
  <c r="I46" i="11" s="1"/>
  <c r="I33" i="16"/>
  <c r="I46" i="16" s="1"/>
  <c r="Q39" i="27"/>
  <c r="S39" i="27" s="1"/>
  <c r="O40" i="27" s="1"/>
  <c r="Q40" i="27" s="1"/>
  <c r="S40" i="27" s="1"/>
  <c r="O41" i="27" s="1"/>
  <c r="J33" i="10"/>
  <c r="W9" i="10"/>
  <c r="D80" i="29" s="1"/>
  <c r="K33" i="19"/>
  <c r="K46" i="19" s="1"/>
  <c r="E20" i="31"/>
  <c r="G20" i="31" s="1"/>
  <c r="F21" i="31"/>
  <c r="H21" i="31" s="1"/>
  <c r="P22" i="30"/>
  <c r="P31" i="16"/>
  <c r="X10" i="10"/>
  <c r="V37" i="10" s="1"/>
  <c r="H33" i="10"/>
  <c r="H40" i="10" s="1"/>
  <c r="D38" i="10"/>
  <c r="P22" i="17"/>
  <c r="P38" i="17"/>
  <c r="I21" i="31"/>
  <c r="P16" i="30"/>
  <c r="E19" i="31"/>
  <c r="G19" i="31" s="1"/>
  <c r="F20" i="31"/>
  <c r="H20" i="31" s="1"/>
  <c r="F19" i="31"/>
  <c r="H33" i="17"/>
  <c r="H46" i="17" s="1"/>
  <c r="T38" i="10"/>
  <c r="P31" i="9"/>
  <c r="M17" i="31"/>
  <c r="G18" i="31"/>
  <c r="I18" i="31"/>
  <c r="P22" i="9"/>
  <c r="E31" i="10"/>
  <c r="N33" i="10"/>
  <c r="N40" i="10" s="1"/>
  <c r="E46" i="16"/>
  <c r="P38" i="11"/>
  <c r="K33" i="9"/>
  <c r="K40" i="9" s="1"/>
  <c r="P22" i="16"/>
  <c r="E16" i="10"/>
  <c r="N33" i="9"/>
  <c r="N40" i="9" s="1"/>
  <c r="T31" i="10"/>
  <c r="M40" i="10"/>
  <c r="Q33" i="10"/>
  <c r="Q40" i="10" s="1"/>
  <c r="P38" i="9"/>
  <c r="P36" i="22"/>
  <c r="P39" i="22" s="1"/>
  <c r="D39" i="22"/>
  <c r="D16" i="10"/>
  <c r="H33" i="16"/>
  <c r="H46" i="16" s="1"/>
  <c r="M34" i="22"/>
  <c r="M47" i="22" s="1"/>
  <c r="O33" i="9"/>
  <c r="O40" i="9" s="1"/>
  <c r="D17" i="22"/>
  <c r="P17" i="22" s="1"/>
  <c r="P10" i="22"/>
  <c r="G33" i="16"/>
  <c r="G46" i="16" s="1"/>
  <c r="D33" i="17"/>
  <c r="D46" i="17" s="1"/>
  <c r="F31" i="10"/>
  <c r="F33" i="16"/>
  <c r="F46" i="16" s="1"/>
  <c r="M33" i="9"/>
  <c r="M40" i="9" s="1"/>
  <c r="E33" i="9"/>
  <c r="E40" i="9" s="1"/>
  <c r="F33" i="9"/>
  <c r="F40" i="9" s="1"/>
  <c r="J34" i="22"/>
  <c r="J47" i="22" s="1"/>
  <c r="G33" i="11"/>
  <c r="G46" i="11" s="1"/>
  <c r="P16" i="9"/>
  <c r="F16" i="10"/>
  <c r="P38" i="16"/>
  <c r="L33" i="9"/>
  <c r="L40" i="9" s="1"/>
  <c r="P16" i="16"/>
  <c r="L34" i="22"/>
  <c r="L47" i="22" s="1"/>
  <c r="F33" i="17"/>
  <c r="F46" i="17" s="1"/>
  <c r="D32" i="22"/>
  <c r="P25" i="22"/>
  <c r="I33" i="10"/>
  <c r="E34" i="22"/>
  <c r="E47" i="22" s="1"/>
  <c r="P16" i="17"/>
  <c r="S33" i="10"/>
  <c r="S40" i="10" s="1"/>
  <c r="T22" i="10"/>
  <c r="H33" i="9"/>
  <c r="H40" i="9" s="1"/>
  <c r="K33" i="10"/>
  <c r="K40" i="10" s="1"/>
  <c r="F33" i="11"/>
  <c r="F46" i="11" s="1"/>
  <c r="K34" i="22"/>
  <c r="K47" i="22" s="1"/>
  <c r="J40" i="10"/>
  <c r="G33" i="9"/>
  <c r="G40" i="9" s="1"/>
  <c r="R33" i="10"/>
  <c r="R40" i="10" s="1"/>
  <c r="J33" i="9"/>
  <c r="J40" i="9" s="1"/>
  <c r="P31" i="17"/>
  <c r="T16" i="10"/>
  <c r="W10" i="10"/>
  <c r="W47" i="10" s="1"/>
  <c r="O33" i="10"/>
  <c r="O40" i="10" s="1"/>
  <c r="G34" i="22"/>
  <c r="G47" i="22" s="1"/>
  <c r="L33" i="10"/>
  <c r="L40" i="10" s="1"/>
  <c r="F34" i="22"/>
  <c r="F47" i="22" s="1"/>
  <c r="I34" i="22"/>
  <c r="I47" i="22" s="1"/>
  <c r="G33" i="17"/>
  <c r="G46" i="17" s="1"/>
  <c r="D33" i="9"/>
  <c r="D40" i="9" s="1"/>
  <c r="H34" i="22"/>
  <c r="W48" i="10"/>
  <c r="Y9" i="28"/>
  <c r="Z1" i="28"/>
  <c r="Y7" i="28"/>
  <c r="I28" i="24"/>
  <c r="A28" i="24"/>
  <c r="B29" i="24"/>
  <c r="E33" i="10"/>
  <c r="E40" i="10" s="1"/>
  <c r="N17" i="31"/>
  <c r="J21" i="31"/>
  <c r="I20" i="31"/>
  <c r="P33" i="19"/>
  <c r="P46" i="19" s="1"/>
  <c r="D14" i="13" s="1"/>
  <c r="G53" i="13" s="1"/>
  <c r="G54" i="13" s="1"/>
  <c r="P33" i="16"/>
  <c r="P33" i="30"/>
  <c r="P40" i="30" s="1"/>
  <c r="K20" i="31"/>
  <c r="L20" i="31" s="1"/>
  <c r="AA20" i="31"/>
  <c r="AB20" i="31" s="1"/>
  <c r="Z21" i="31" s="1"/>
  <c r="G39" i="27"/>
  <c r="I39" i="27" s="1"/>
  <c r="E40" i="27" s="1"/>
  <c r="T100" i="18"/>
  <c r="J99" i="18"/>
  <c r="B41" i="27"/>
  <c r="D40" i="27"/>
  <c r="H40" i="27" s="1"/>
  <c r="C40" i="27"/>
  <c r="G31" i="7"/>
  <c r="G38" i="7" s="1"/>
  <c r="H29" i="7"/>
  <c r="M41" i="27"/>
  <c r="L42" i="27"/>
  <c r="N41" i="27"/>
  <c r="R41" i="27" s="1"/>
  <c r="H36" i="7"/>
  <c r="D46" i="11"/>
  <c r="AH101" i="18"/>
  <c r="AI101" i="18" s="1"/>
  <c r="AG102" i="18" s="1"/>
  <c r="H14" i="7"/>
  <c r="E14" i="7"/>
  <c r="C31" i="7"/>
  <c r="G22" i="31" l="1"/>
  <c r="K22" i="31"/>
  <c r="L22" i="31" s="1"/>
  <c r="I19" i="31"/>
  <c r="D23" i="31"/>
  <c r="J20" i="31"/>
  <c r="K19" i="31"/>
  <c r="L19" i="31" s="1"/>
  <c r="O17" i="31"/>
  <c r="N18" i="31" s="1"/>
  <c r="D33" i="10"/>
  <c r="P46" i="16"/>
  <c r="F22" i="31"/>
  <c r="D40" i="10"/>
  <c r="C42" i="5"/>
  <c r="E35" i="5"/>
  <c r="D10" i="20"/>
  <c r="F24" i="29"/>
  <c r="F25" i="29" s="1"/>
  <c r="D34" i="22"/>
  <c r="D47" i="22" s="1"/>
  <c r="P33" i="17"/>
  <c r="P46" i="17" s="1"/>
  <c r="P33" i="11"/>
  <c r="P46" i="11" s="1"/>
  <c r="D48" i="13" s="1"/>
  <c r="D51" i="13" s="1"/>
  <c r="D52" i="13" s="1"/>
  <c r="P33" i="9"/>
  <c r="P40" i="9" s="1"/>
  <c r="J19" i="31"/>
  <c r="H19" i="31"/>
  <c r="P32" i="22"/>
  <c r="F33" i="10"/>
  <c r="F40" i="10" s="1"/>
  <c r="I40" i="10"/>
  <c r="T40" i="10" s="1"/>
  <c r="T33" i="10"/>
  <c r="H47" i="22"/>
  <c r="P34" i="22"/>
  <c r="D15" i="13"/>
  <c r="C16" i="13" s="1"/>
  <c r="B30" i="24"/>
  <c r="I29" i="24"/>
  <c r="A29" i="24"/>
  <c r="Z9" i="28"/>
  <c r="Z7" i="28"/>
  <c r="AA1" i="28"/>
  <c r="D41" i="27"/>
  <c r="H41" i="27" s="1"/>
  <c r="C41" i="27"/>
  <c r="B42" i="27"/>
  <c r="Q41" i="27"/>
  <c r="S41" i="27" s="1"/>
  <c r="O42" i="27" s="1"/>
  <c r="G40" i="27"/>
  <c r="I40" i="27" s="1"/>
  <c r="E41" i="27" s="1"/>
  <c r="M18" i="31"/>
  <c r="N42" i="27"/>
  <c r="R42" i="27" s="1"/>
  <c r="L43" i="27"/>
  <c r="M42" i="27"/>
  <c r="AA21" i="31"/>
  <c r="AB21" i="31" s="1"/>
  <c r="Z22" i="31" s="1"/>
  <c r="H31" i="7"/>
  <c r="C38" i="7"/>
  <c r="H38" i="7" s="1"/>
  <c r="I10" i="20"/>
  <c r="E31" i="7"/>
  <c r="AH102" i="18"/>
  <c r="AI102" i="18" s="1"/>
  <c r="AG103" i="18" s="1"/>
  <c r="U100" i="18"/>
  <c r="V100" i="18" s="1"/>
  <c r="C17" i="31" l="1"/>
  <c r="D24" i="31"/>
  <c r="E23" i="31"/>
  <c r="F23" i="31"/>
  <c r="H22" i="31"/>
  <c r="J22" i="31"/>
  <c r="P47" i="22"/>
  <c r="D190" i="20"/>
  <c r="AB1" i="28"/>
  <c r="AA9" i="28"/>
  <c r="AA7" i="28"/>
  <c r="I30" i="24"/>
  <c r="A30" i="24"/>
  <c r="B31" i="24"/>
  <c r="AA22" i="31"/>
  <c r="AB22" i="31" s="1"/>
  <c r="Z23" i="31" s="1"/>
  <c r="M43" i="27"/>
  <c r="N43" i="27"/>
  <c r="R43" i="27" s="1"/>
  <c r="L44" i="27"/>
  <c r="G41" i="27"/>
  <c r="I41" i="27" s="1"/>
  <c r="E42" i="27" s="1"/>
  <c r="Q42" i="27"/>
  <c r="S42" i="27" s="1"/>
  <c r="O43" i="27" s="1"/>
  <c r="C42" i="27"/>
  <c r="B43" i="27"/>
  <c r="D42" i="27"/>
  <c r="H42" i="27" s="1"/>
  <c r="T101" i="18"/>
  <c r="J100" i="18"/>
  <c r="O18" i="31"/>
  <c r="AH103" i="18"/>
  <c r="AI103" i="18" s="1"/>
  <c r="AG104" i="18" s="1"/>
  <c r="I23" i="31" l="1"/>
  <c r="G23" i="31"/>
  <c r="K23" i="31"/>
  <c r="L23" i="31" s="1"/>
  <c r="J23" i="31"/>
  <c r="H23" i="31"/>
  <c r="E24" i="31"/>
  <c r="D25" i="31"/>
  <c r="F24" i="31"/>
  <c r="D191" i="20"/>
  <c r="D193" i="20"/>
  <c r="U11" i="31"/>
  <c r="I24" i="20"/>
  <c r="F58" i="29"/>
  <c r="F59" i="29" s="1"/>
  <c r="U7" i="21"/>
  <c r="A31" i="24"/>
  <c r="I31" i="24"/>
  <c r="B32" i="24"/>
  <c r="AB9" i="28"/>
  <c r="AB7" i="28"/>
  <c r="AC1" i="28"/>
  <c r="AA23" i="31"/>
  <c r="AB23" i="31" s="1"/>
  <c r="Z24" i="31" s="1"/>
  <c r="N19" i="31"/>
  <c r="M19" i="31"/>
  <c r="C18" i="31"/>
  <c r="Q43" i="27"/>
  <c r="S43" i="27" s="1"/>
  <c r="O44" i="27" s="1"/>
  <c r="G42" i="27"/>
  <c r="I42" i="27" s="1"/>
  <c r="E43" i="27" s="1"/>
  <c r="D43" i="27"/>
  <c r="H43" i="27" s="1"/>
  <c r="B44" i="27"/>
  <c r="C43" i="27"/>
  <c r="M44" i="27"/>
  <c r="L45" i="27"/>
  <c r="N44" i="27"/>
  <c r="R44" i="27" s="1"/>
  <c r="AH104" i="18"/>
  <c r="AI104" i="18" s="1"/>
  <c r="AG105" i="18" s="1"/>
  <c r="U101" i="18"/>
  <c r="V101" i="18" s="1"/>
  <c r="F25" i="31" l="1"/>
  <c r="E25" i="31"/>
  <c r="D26" i="31"/>
  <c r="J24" i="31"/>
  <c r="H24" i="31"/>
  <c r="I24" i="31"/>
  <c r="G24" i="31"/>
  <c r="K24" i="31"/>
  <c r="L24" i="31" s="1"/>
  <c r="U9" i="21"/>
  <c r="U15" i="21" s="1"/>
  <c r="Y15" i="21" s="1"/>
  <c r="U13" i="21"/>
  <c r="Y13" i="21" s="1"/>
  <c r="Y56" i="31"/>
  <c r="Y46" i="31"/>
  <c r="Y87" i="31"/>
  <c r="Y54" i="31"/>
  <c r="Y57" i="31"/>
  <c r="Y77" i="31"/>
  <c r="Y52" i="31"/>
  <c r="Y63" i="31"/>
  <c r="Y68" i="31"/>
  <c r="Y66" i="31"/>
  <c r="Y47" i="31"/>
  <c r="Y72" i="31"/>
  <c r="Y64" i="31"/>
  <c r="Y61" i="31"/>
  <c r="Y71" i="31"/>
  <c r="Y58" i="31"/>
  <c r="Y70" i="31"/>
  <c r="Y59" i="31"/>
  <c r="Y86" i="31"/>
  <c r="Y84" i="31"/>
  <c r="Y49" i="31"/>
  <c r="Y55" i="31"/>
  <c r="Y69" i="31"/>
  <c r="Y45" i="31"/>
  <c r="Y48" i="31"/>
  <c r="Y62" i="31"/>
  <c r="Y79" i="31"/>
  <c r="Y67" i="31"/>
  <c r="Y50" i="31"/>
  <c r="Y80" i="31"/>
  <c r="Y85" i="31"/>
  <c r="Y76" i="31"/>
  <c r="Y75" i="31"/>
  <c r="Y78" i="31"/>
  <c r="Y88" i="31"/>
  <c r="Y73" i="31"/>
  <c r="Y60" i="31"/>
  <c r="Y74" i="31"/>
  <c r="Y65" i="31"/>
  <c r="Y81" i="31"/>
  <c r="Y83" i="31"/>
  <c r="Y53" i="31"/>
  <c r="Y82" i="31"/>
  <c r="Y51" i="31"/>
  <c r="AC9" i="28"/>
  <c r="AD1" i="28"/>
  <c r="AC7" i="28"/>
  <c r="I32" i="24"/>
  <c r="B33" i="24"/>
  <c r="A32" i="24"/>
  <c r="O19" i="31"/>
  <c r="C19" i="31" s="1"/>
  <c r="T102" i="18"/>
  <c r="J101" i="18"/>
  <c r="Q44" i="27"/>
  <c r="S44" i="27" s="1"/>
  <c r="O45" i="27" s="1"/>
  <c r="AH105" i="18"/>
  <c r="AI105" i="18" s="1"/>
  <c r="AG106" i="18" s="1"/>
  <c r="AA24" i="31"/>
  <c r="AB24" i="31" s="1"/>
  <c r="Z25" i="31" s="1"/>
  <c r="G43" i="27"/>
  <c r="I43" i="27" s="1"/>
  <c r="E44" i="27" s="1"/>
  <c r="N45" i="27"/>
  <c r="R45" i="27" s="1"/>
  <c r="M45" i="27"/>
  <c r="L46" i="27"/>
  <c r="C44" i="27"/>
  <c r="B45" i="27"/>
  <c r="D44" i="27"/>
  <c r="H44" i="27" s="1"/>
  <c r="D27" i="31" l="1"/>
  <c r="E26" i="31"/>
  <c r="F26" i="31"/>
  <c r="I25" i="31"/>
  <c r="K25" i="31"/>
  <c r="L25" i="31" s="1"/>
  <c r="G25" i="31"/>
  <c r="J25" i="31"/>
  <c r="H25" i="31"/>
  <c r="B34" i="24"/>
  <c r="I33" i="24"/>
  <c r="A33" i="24"/>
  <c r="AD7" i="28"/>
  <c r="AE1" i="28"/>
  <c r="AD9" i="28"/>
  <c r="N20" i="31"/>
  <c r="M20" i="31"/>
  <c r="AA25" i="31"/>
  <c r="AB25" i="31" s="1"/>
  <c r="Z26" i="31" s="1"/>
  <c r="AH106" i="18"/>
  <c r="AI106" i="18" s="1"/>
  <c r="AG107" i="18" s="1"/>
  <c r="G44" i="27"/>
  <c r="I44" i="27" s="1"/>
  <c r="E45" i="27" s="1"/>
  <c r="B46" i="27"/>
  <c r="D45" i="27"/>
  <c r="H45" i="27" s="1"/>
  <c r="C45" i="27"/>
  <c r="Q45" i="27"/>
  <c r="S45" i="27" s="1"/>
  <c r="O46" i="27" s="1"/>
  <c r="N46" i="27"/>
  <c r="R46" i="27" s="1"/>
  <c r="M46" i="27"/>
  <c r="L47" i="27"/>
  <c r="U102" i="18"/>
  <c r="V102" i="18" s="1"/>
  <c r="H26" i="31" l="1"/>
  <c r="J26" i="31"/>
  <c r="K26" i="31"/>
  <c r="L26" i="31" s="1"/>
  <c r="G26" i="31"/>
  <c r="I26" i="31"/>
  <c r="E27" i="31"/>
  <c r="F27" i="31"/>
  <c r="D28" i="31"/>
  <c r="AE9" i="28"/>
  <c r="E9" i="28" s="1"/>
  <c r="D10" i="28" s="1"/>
  <c r="AE7" i="28"/>
  <c r="AF1" i="28"/>
  <c r="I34" i="24"/>
  <c r="B35" i="24"/>
  <c r="A34" i="24"/>
  <c r="O20" i="31"/>
  <c r="M21" i="31" s="1"/>
  <c r="T103" i="18"/>
  <c r="J102" i="18"/>
  <c r="AA26" i="31"/>
  <c r="AB26" i="31" s="1"/>
  <c r="Z27" i="31" s="1"/>
  <c r="AH107" i="18"/>
  <c r="AI107" i="18" s="1"/>
  <c r="AG108" i="18" s="1"/>
  <c r="L48" i="27"/>
  <c r="M47" i="27"/>
  <c r="N47" i="27"/>
  <c r="R47" i="27" s="1"/>
  <c r="G45" i="27"/>
  <c r="I45" i="27" s="1"/>
  <c r="E46" i="27" s="1"/>
  <c r="Q46" i="27"/>
  <c r="S46" i="27" s="1"/>
  <c r="O47" i="27" s="1"/>
  <c r="D46" i="27"/>
  <c r="C46" i="27"/>
  <c r="B47" i="27"/>
  <c r="G27" i="31" l="1"/>
  <c r="K27" i="31"/>
  <c r="L27" i="31" s="1"/>
  <c r="I27" i="31"/>
  <c r="D29" i="31"/>
  <c r="F28" i="31"/>
  <c r="E28" i="31"/>
  <c r="J27" i="31"/>
  <c r="H27" i="31"/>
  <c r="H46" i="27"/>
  <c r="G46" i="27" s="1"/>
  <c r="I46" i="27" s="1"/>
  <c r="E47" i="27" s="1"/>
  <c r="AG1" i="28"/>
  <c r="AF9" i="28"/>
  <c r="AF7" i="28"/>
  <c r="I35" i="24"/>
  <c r="A35" i="24"/>
  <c r="B36" i="24"/>
  <c r="C20" i="31"/>
  <c r="N21" i="31"/>
  <c r="O21" i="31" s="1"/>
  <c r="AA27" i="31"/>
  <c r="AB27" i="31" s="1"/>
  <c r="Z28" i="31" s="1"/>
  <c r="Q47" i="27"/>
  <c r="S47" i="27" s="1"/>
  <c r="O48" i="27" s="1"/>
  <c r="M48" i="27"/>
  <c r="N48" i="27"/>
  <c r="L49" i="27"/>
  <c r="AH108" i="18"/>
  <c r="AI108" i="18" s="1"/>
  <c r="AG109" i="18" s="1"/>
  <c r="C47" i="27"/>
  <c r="D47" i="27"/>
  <c r="B48" i="27"/>
  <c r="U103" i="18"/>
  <c r="V103" i="18" s="1"/>
  <c r="J28" i="31" l="1"/>
  <c r="H28" i="31"/>
  <c r="I28" i="31"/>
  <c r="K28" i="31"/>
  <c r="L28" i="31" s="1"/>
  <c r="G28" i="31"/>
  <c r="D30" i="31"/>
  <c r="F29" i="31"/>
  <c r="E29" i="31"/>
  <c r="R48" i="27"/>
  <c r="Q48" i="27" s="1"/>
  <c r="S48" i="27" s="1"/>
  <c r="O49" i="27" s="1"/>
  <c r="I36" i="24"/>
  <c r="B37" i="24"/>
  <c r="A36" i="24"/>
  <c r="AG9" i="28"/>
  <c r="AH1" i="28"/>
  <c r="AG7" i="28"/>
  <c r="M22" i="31"/>
  <c r="N22" i="31"/>
  <c r="C21" i="31"/>
  <c r="H47" i="27"/>
  <c r="G47" i="27" s="1"/>
  <c r="I47" i="27" s="1"/>
  <c r="E48" i="27" s="1"/>
  <c r="AA28" i="31"/>
  <c r="AB28" i="31" s="1"/>
  <c r="Z29" i="31" s="1"/>
  <c r="T104" i="18"/>
  <c r="J103" i="18"/>
  <c r="AH109" i="18"/>
  <c r="AI109" i="18" s="1"/>
  <c r="AG110" i="18" s="1"/>
  <c r="M49" i="27"/>
  <c r="N49" i="27"/>
  <c r="R49" i="27" s="1"/>
  <c r="L50" i="27"/>
  <c r="B49" i="27"/>
  <c r="D48" i="27"/>
  <c r="C48" i="27"/>
  <c r="G29" i="31" l="1"/>
  <c r="K29" i="31"/>
  <c r="L29" i="31" s="1"/>
  <c r="I29" i="31"/>
  <c r="J29" i="31"/>
  <c r="H29" i="31"/>
  <c r="F30" i="31"/>
  <c r="E30" i="31"/>
  <c r="D31" i="31"/>
  <c r="A37" i="24"/>
  <c r="I37" i="24"/>
  <c r="B38" i="24"/>
  <c r="O22" i="31"/>
  <c r="M23" i="31" s="1"/>
  <c r="AI1" i="28"/>
  <c r="AH9" i="28"/>
  <c r="AH7" i="28"/>
  <c r="H48" i="27"/>
  <c r="G48" i="27" s="1"/>
  <c r="I48" i="27" s="1"/>
  <c r="E49" i="27" s="1"/>
  <c r="AH110" i="18"/>
  <c r="AI110" i="18" s="1"/>
  <c r="AG111" i="18" s="1"/>
  <c r="C49" i="27"/>
  <c r="B50" i="27"/>
  <c r="D49" i="27"/>
  <c r="AA29" i="31"/>
  <c r="AB29" i="31" s="1"/>
  <c r="Z30" i="31" s="1"/>
  <c r="N50" i="27"/>
  <c r="M50" i="27"/>
  <c r="L51" i="27"/>
  <c r="U104" i="18"/>
  <c r="V104" i="18" s="1"/>
  <c r="Q49" i="27"/>
  <c r="S49" i="27" s="1"/>
  <c r="O50" i="27" s="1"/>
  <c r="D32" i="31" l="1"/>
  <c r="F31" i="31"/>
  <c r="E31" i="31"/>
  <c r="J30" i="31"/>
  <c r="H30" i="31"/>
  <c r="G30" i="31"/>
  <c r="K30" i="31"/>
  <c r="L30" i="31" s="1"/>
  <c r="I30" i="31"/>
  <c r="C22" i="31"/>
  <c r="N23" i="31"/>
  <c r="O23" i="31" s="1"/>
  <c r="C23" i="31" s="1"/>
  <c r="B39" i="24"/>
  <c r="A38" i="24"/>
  <c r="I38" i="24"/>
  <c r="AJ1" i="28"/>
  <c r="AI7" i="28"/>
  <c r="AI9" i="28"/>
  <c r="H49" i="27"/>
  <c r="G49" i="27" s="1"/>
  <c r="I49" i="27" s="1"/>
  <c r="E50" i="27" s="1"/>
  <c r="AH111" i="18"/>
  <c r="AI111" i="18" s="1"/>
  <c r="AG112" i="18" s="1"/>
  <c r="C50" i="27"/>
  <c r="B51" i="27"/>
  <c r="D50" i="27"/>
  <c r="T105" i="18"/>
  <c r="J104" i="18"/>
  <c r="AA30" i="31"/>
  <c r="AB30" i="31" s="1"/>
  <c r="Z31" i="31" s="1"/>
  <c r="R50" i="27"/>
  <c r="Q50" i="27" s="1"/>
  <c r="S50" i="27" s="1"/>
  <c r="O51" i="27" s="1"/>
  <c r="M51" i="27"/>
  <c r="L52" i="27"/>
  <c r="N51" i="27"/>
  <c r="I31" i="31" l="1"/>
  <c r="K31" i="31"/>
  <c r="L31" i="31" s="1"/>
  <c r="G31" i="31"/>
  <c r="H31" i="31"/>
  <c r="J31" i="31"/>
  <c r="D33" i="31"/>
  <c r="F32" i="31"/>
  <c r="E32" i="31"/>
  <c r="N24" i="31"/>
  <c r="M24" i="31"/>
  <c r="A39" i="24"/>
  <c r="G39" i="24"/>
  <c r="D39" i="24"/>
  <c r="E39" i="24"/>
  <c r="I39" i="24"/>
  <c r="C39" i="24"/>
  <c r="H39" i="24"/>
  <c r="B40" i="24"/>
  <c r="F39" i="24"/>
  <c r="AJ9" i="28"/>
  <c r="AJ7" i="28"/>
  <c r="AK1" i="28"/>
  <c r="R51" i="27"/>
  <c r="Q51" i="27" s="1"/>
  <c r="S51" i="27" s="1"/>
  <c r="O52" i="27" s="1"/>
  <c r="H50" i="27"/>
  <c r="G50" i="27" s="1"/>
  <c r="I50" i="27" s="1"/>
  <c r="E51" i="27" s="1"/>
  <c r="AA31" i="31"/>
  <c r="AB31" i="31" s="1"/>
  <c r="Z32" i="31" s="1"/>
  <c r="AH112" i="18"/>
  <c r="AI112" i="18" s="1"/>
  <c r="AG113" i="18" s="1"/>
  <c r="N52" i="27"/>
  <c r="L53" i="27"/>
  <c r="M52" i="27"/>
  <c r="U105" i="18"/>
  <c r="V105" i="18" s="1"/>
  <c r="D51" i="27"/>
  <c r="H51" i="27" s="1"/>
  <c r="B52" i="27"/>
  <c r="C51" i="27"/>
  <c r="G32" i="31" l="1"/>
  <c r="K32" i="31"/>
  <c r="L32" i="31" s="1"/>
  <c r="I32" i="31"/>
  <c r="H32" i="31"/>
  <c r="J32" i="31"/>
  <c r="E33" i="31"/>
  <c r="D34" i="31"/>
  <c r="F33" i="31"/>
  <c r="O39" i="24"/>
  <c r="H38" i="24" s="1"/>
  <c r="O38" i="24" s="1"/>
  <c r="H37" i="24" s="1"/>
  <c r="O37" i="24" s="1"/>
  <c r="H36" i="24" s="1"/>
  <c r="O36" i="24" s="1"/>
  <c r="H35" i="24" s="1"/>
  <c r="O35" i="24" s="1"/>
  <c r="H34" i="24" s="1"/>
  <c r="O34" i="24" s="1"/>
  <c r="H33" i="24" s="1"/>
  <c r="O33" i="24" s="1"/>
  <c r="H32" i="24" s="1"/>
  <c r="O32" i="24" s="1"/>
  <c r="H31" i="24" s="1"/>
  <c r="O31" i="24" s="1"/>
  <c r="H30" i="24" s="1"/>
  <c r="O30" i="24" s="1"/>
  <c r="H29" i="24" s="1"/>
  <c r="O29" i="24" s="1"/>
  <c r="H28" i="24" s="1"/>
  <c r="O28" i="24" s="1"/>
  <c r="H27" i="24" s="1"/>
  <c r="O27" i="24" s="1"/>
  <c r="H26" i="24" s="1"/>
  <c r="O26" i="24" s="1"/>
  <c r="H25" i="24" s="1"/>
  <c r="O25" i="24" s="1"/>
  <c r="H24" i="24" s="1"/>
  <c r="O24" i="24" s="1"/>
  <c r="H23" i="24" s="1"/>
  <c r="O23" i="24" s="1"/>
  <c r="H22" i="24" s="1"/>
  <c r="R16" i="24" s="1"/>
  <c r="O24" i="31"/>
  <c r="C24" i="31" s="1"/>
  <c r="N39" i="24"/>
  <c r="G38" i="24" s="1"/>
  <c r="N38" i="24" s="1"/>
  <c r="G37" i="24" s="1"/>
  <c r="N37" i="24" s="1"/>
  <c r="G36" i="24" s="1"/>
  <c r="N36" i="24" s="1"/>
  <c r="G35" i="24" s="1"/>
  <c r="N35" i="24" s="1"/>
  <c r="G34" i="24" s="1"/>
  <c r="N34" i="24" s="1"/>
  <c r="G33" i="24" s="1"/>
  <c r="N33" i="24" s="1"/>
  <c r="G32" i="24" s="1"/>
  <c r="N32" i="24" s="1"/>
  <c r="G31" i="24" s="1"/>
  <c r="N31" i="24" s="1"/>
  <c r="G30" i="24" s="1"/>
  <c r="N30" i="24" s="1"/>
  <c r="G29" i="24" s="1"/>
  <c r="N29" i="24" s="1"/>
  <c r="G28" i="24" s="1"/>
  <c r="N28" i="24" s="1"/>
  <c r="G27" i="24" s="1"/>
  <c r="N27" i="24" s="1"/>
  <c r="G26" i="24" s="1"/>
  <c r="N26" i="24" s="1"/>
  <c r="G25" i="24" s="1"/>
  <c r="N25" i="24" s="1"/>
  <c r="G24" i="24" s="1"/>
  <c r="N24" i="24" s="1"/>
  <c r="G23" i="24" s="1"/>
  <c r="N23" i="24" s="1"/>
  <c r="G22" i="24" s="1"/>
  <c r="L39" i="24"/>
  <c r="E38" i="24" s="1"/>
  <c r="L38" i="24" s="1"/>
  <c r="E37" i="24" s="1"/>
  <c r="L37" i="24" s="1"/>
  <c r="E36" i="24" s="1"/>
  <c r="L36" i="24" s="1"/>
  <c r="E35" i="24" s="1"/>
  <c r="L35" i="24" s="1"/>
  <c r="E34" i="24" s="1"/>
  <c r="L34" i="24" s="1"/>
  <c r="E33" i="24" s="1"/>
  <c r="L33" i="24" s="1"/>
  <c r="E32" i="24" s="1"/>
  <c r="L32" i="24" s="1"/>
  <c r="E31" i="24" s="1"/>
  <c r="L31" i="24" s="1"/>
  <c r="E30" i="24" s="1"/>
  <c r="L30" i="24" s="1"/>
  <c r="E29" i="24" s="1"/>
  <c r="L29" i="24" s="1"/>
  <c r="E28" i="24" s="1"/>
  <c r="L28" i="24" s="1"/>
  <c r="E27" i="24" s="1"/>
  <c r="L27" i="24" s="1"/>
  <c r="E26" i="24" s="1"/>
  <c r="L26" i="24" s="1"/>
  <c r="E25" i="24" s="1"/>
  <c r="L25" i="24" s="1"/>
  <c r="E24" i="24" s="1"/>
  <c r="L24" i="24" s="1"/>
  <c r="E23" i="24" s="1"/>
  <c r="L23" i="24" s="1"/>
  <c r="E22" i="24" s="1"/>
  <c r="B41" i="24"/>
  <c r="I40" i="24"/>
  <c r="A40" i="24"/>
  <c r="AK9" i="28"/>
  <c r="AK7" i="28"/>
  <c r="AL1" i="28"/>
  <c r="M39" i="24"/>
  <c r="F38" i="24" s="1"/>
  <c r="M38" i="24" s="1"/>
  <c r="F37" i="24" s="1"/>
  <c r="M37" i="24" s="1"/>
  <c r="F36" i="24" s="1"/>
  <c r="M36" i="24" s="1"/>
  <c r="F35" i="24" s="1"/>
  <c r="M35" i="24" s="1"/>
  <c r="F34" i="24" s="1"/>
  <c r="M34" i="24" s="1"/>
  <c r="F33" i="24" s="1"/>
  <c r="M33" i="24" s="1"/>
  <c r="F32" i="24" s="1"/>
  <c r="M32" i="24" s="1"/>
  <c r="F31" i="24" s="1"/>
  <c r="M31" i="24" s="1"/>
  <c r="F30" i="24" s="1"/>
  <c r="M30" i="24" s="1"/>
  <c r="F29" i="24" s="1"/>
  <c r="M29" i="24" s="1"/>
  <c r="F28" i="24" s="1"/>
  <c r="M28" i="24" s="1"/>
  <c r="F27" i="24" s="1"/>
  <c r="M27" i="24" s="1"/>
  <c r="F26" i="24" s="1"/>
  <c r="M26" i="24" s="1"/>
  <c r="F25" i="24" s="1"/>
  <c r="M25" i="24" s="1"/>
  <c r="F24" i="24" s="1"/>
  <c r="M24" i="24" s="1"/>
  <c r="F23" i="24" s="1"/>
  <c r="M23" i="24" s="1"/>
  <c r="F22" i="24" s="1"/>
  <c r="J39" i="24"/>
  <c r="C38" i="24" s="1"/>
  <c r="J38" i="24" s="1"/>
  <c r="C37" i="24" s="1"/>
  <c r="J37" i="24" s="1"/>
  <c r="C36" i="24" s="1"/>
  <c r="J36" i="24" s="1"/>
  <c r="C35" i="24" s="1"/>
  <c r="J35" i="24" s="1"/>
  <c r="C34" i="24" s="1"/>
  <c r="J34" i="24" s="1"/>
  <c r="C33" i="24" s="1"/>
  <c r="J33" i="24" s="1"/>
  <c r="C32" i="24" s="1"/>
  <c r="J32" i="24" s="1"/>
  <c r="C31" i="24" s="1"/>
  <c r="J31" i="24" s="1"/>
  <c r="C30" i="24" s="1"/>
  <c r="J30" i="24" s="1"/>
  <c r="C29" i="24" s="1"/>
  <c r="J29" i="24" s="1"/>
  <c r="C28" i="24" s="1"/>
  <c r="J28" i="24" s="1"/>
  <c r="C27" i="24" s="1"/>
  <c r="J27" i="24" s="1"/>
  <c r="C26" i="24" s="1"/>
  <c r="J26" i="24" s="1"/>
  <c r="C25" i="24" s="1"/>
  <c r="J25" i="24" s="1"/>
  <c r="C24" i="24" s="1"/>
  <c r="J24" i="24" s="1"/>
  <c r="C23" i="24" s="1"/>
  <c r="J23" i="24" s="1"/>
  <c r="C22" i="24" s="1"/>
  <c r="K39" i="24"/>
  <c r="D38" i="24" s="1"/>
  <c r="K38" i="24" s="1"/>
  <c r="D37" i="24" s="1"/>
  <c r="K37" i="24" s="1"/>
  <c r="D36" i="24" s="1"/>
  <c r="K36" i="24" s="1"/>
  <c r="D35" i="24" s="1"/>
  <c r="K35" i="24" s="1"/>
  <c r="D34" i="24" s="1"/>
  <c r="K34" i="24" s="1"/>
  <c r="D33" i="24" s="1"/>
  <c r="K33" i="24" s="1"/>
  <c r="D32" i="24" s="1"/>
  <c r="K32" i="24" s="1"/>
  <c r="D31" i="24" s="1"/>
  <c r="K31" i="24" s="1"/>
  <c r="D30" i="24" s="1"/>
  <c r="K30" i="24" s="1"/>
  <c r="D29" i="24" s="1"/>
  <c r="K29" i="24" s="1"/>
  <c r="D28" i="24" s="1"/>
  <c r="K28" i="24" s="1"/>
  <c r="D27" i="24" s="1"/>
  <c r="K27" i="24" s="1"/>
  <c r="D26" i="24" s="1"/>
  <c r="K26" i="24" s="1"/>
  <c r="D25" i="24" s="1"/>
  <c r="K25" i="24" s="1"/>
  <c r="D24" i="24" s="1"/>
  <c r="K24" i="24" s="1"/>
  <c r="D23" i="24" s="1"/>
  <c r="K23" i="24" s="1"/>
  <c r="D22" i="24" s="1"/>
  <c r="R52" i="27"/>
  <c r="Q52" i="27" s="1"/>
  <c r="S52" i="27" s="1"/>
  <c r="O53" i="27" s="1"/>
  <c r="T106" i="18"/>
  <c r="J105" i="18"/>
  <c r="AA32" i="31"/>
  <c r="AB32" i="31" s="1"/>
  <c r="Z33" i="31" s="1"/>
  <c r="AH113" i="18"/>
  <c r="AI113" i="18" s="1"/>
  <c r="AG114" i="18" s="1"/>
  <c r="B53" i="27"/>
  <c r="D52" i="27"/>
  <c r="H52" i="27" s="1"/>
  <c r="C52" i="27"/>
  <c r="G51" i="27"/>
  <c r="I51" i="27" s="1"/>
  <c r="E52" i="27" s="1"/>
  <c r="N53" i="27"/>
  <c r="R53" i="27" s="1"/>
  <c r="M53" i="27"/>
  <c r="L54" i="27"/>
  <c r="J33" i="31" l="1"/>
  <c r="H33" i="31"/>
  <c r="I33" i="31"/>
  <c r="K33" i="31"/>
  <c r="L33" i="31" s="1"/>
  <c r="G33" i="31"/>
  <c r="D35" i="31"/>
  <c r="F34" i="31"/>
  <c r="E34" i="31"/>
  <c r="M25" i="31"/>
  <c r="O22" i="24"/>
  <c r="H21" i="24" s="1"/>
  <c r="O21" i="24" s="1"/>
  <c r="H20" i="24" s="1"/>
  <c r="O20" i="24" s="1"/>
  <c r="H19" i="24" s="1"/>
  <c r="O19" i="24" s="1"/>
  <c r="H18" i="24" s="1"/>
  <c r="O18" i="24" s="1"/>
  <c r="H17" i="24" s="1"/>
  <c r="N25" i="31"/>
  <c r="R15" i="24"/>
  <c r="N22" i="24"/>
  <c r="G21" i="24" s="1"/>
  <c r="N21" i="24" s="1"/>
  <c r="G20" i="24" s="1"/>
  <c r="N20" i="24" s="1"/>
  <c r="G19" i="24" s="1"/>
  <c r="N19" i="24" s="1"/>
  <c r="G18" i="24" s="1"/>
  <c r="N18" i="24" s="1"/>
  <c r="G17" i="24" s="1"/>
  <c r="M22" i="24"/>
  <c r="F21" i="24" s="1"/>
  <c r="M21" i="24" s="1"/>
  <c r="F20" i="24" s="1"/>
  <c r="M20" i="24" s="1"/>
  <c r="F19" i="24" s="1"/>
  <c r="M19" i="24" s="1"/>
  <c r="F18" i="24" s="1"/>
  <c r="M18" i="24" s="1"/>
  <c r="F17" i="24" s="1"/>
  <c r="R14" i="24"/>
  <c r="K22" i="24"/>
  <c r="D21" i="24" s="1"/>
  <c r="K21" i="24" s="1"/>
  <c r="D20" i="24" s="1"/>
  <c r="K20" i="24" s="1"/>
  <c r="D19" i="24" s="1"/>
  <c r="K19" i="24" s="1"/>
  <c r="D18" i="24" s="1"/>
  <c r="K18" i="24" s="1"/>
  <c r="D17" i="24" s="1"/>
  <c r="R12" i="24"/>
  <c r="AL9" i="28"/>
  <c r="AL7" i="28"/>
  <c r="AM1" i="28"/>
  <c r="G41" i="24"/>
  <c r="N41" i="24" s="1"/>
  <c r="G40" i="24" s="1"/>
  <c r="N40" i="24" s="1"/>
  <c r="F41" i="24"/>
  <c r="M41" i="24" s="1"/>
  <c r="F40" i="24" s="1"/>
  <c r="M40" i="24" s="1"/>
  <c r="A41" i="24"/>
  <c r="E41" i="24"/>
  <c r="L41" i="24" s="1"/>
  <c r="E40" i="24" s="1"/>
  <c r="L40" i="24" s="1"/>
  <c r="C41" i="24"/>
  <c r="J41" i="24" s="1"/>
  <c r="C40" i="24" s="1"/>
  <c r="J40" i="24" s="1"/>
  <c r="D41" i="24"/>
  <c r="K41" i="24" s="1"/>
  <c r="D40" i="24" s="1"/>
  <c r="K40" i="24" s="1"/>
  <c r="H41" i="24"/>
  <c r="O41" i="24" s="1"/>
  <c r="H40" i="24" s="1"/>
  <c r="O40" i="24" s="1"/>
  <c r="S16" i="24"/>
  <c r="O17" i="24"/>
  <c r="H16" i="24" s="1"/>
  <c r="O16" i="24" s="1"/>
  <c r="H15" i="24" s="1"/>
  <c r="O15" i="24" s="1"/>
  <c r="H14" i="24" s="1"/>
  <c r="O14" i="24" s="1"/>
  <c r="H13" i="24" s="1"/>
  <c r="O13" i="24" s="1"/>
  <c r="H12" i="24" s="1"/>
  <c r="O12" i="24" s="1"/>
  <c r="T16" i="24" s="1"/>
  <c r="J22" i="24"/>
  <c r="C21" i="24" s="1"/>
  <c r="J21" i="24" s="1"/>
  <c r="C20" i="24" s="1"/>
  <c r="J20" i="24" s="1"/>
  <c r="C19" i="24" s="1"/>
  <c r="J19" i="24" s="1"/>
  <c r="C18" i="24" s="1"/>
  <c r="J18" i="24" s="1"/>
  <c r="C17" i="24" s="1"/>
  <c r="R11" i="24"/>
  <c r="L22" i="24"/>
  <c r="E21" i="24" s="1"/>
  <c r="L21" i="24" s="1"/>
  <c r="E20" i="24" s="1"/>
  <c r="L20" i="24" s="1"/>
  <c r="E19" i="24" s="1"/>
  <c r="L19" i="24" s="1"/>
  <c r="E18" i="24" s="1"/>
  <c r="L18" i="24" s="1"/>
  <c r="E17" i="24" s="1"/>
  <c r="R13" i="24"/>
  <c r="G52" i="27"/>
  <c r="I52" i="27" s="1"/>
  <c r="AH114" i="18"/>
  <c r="AI114" i="18" s="1"/>
  <c r="AG115" i="18" s="1"/>
  <c r="B54" i="27"/>
  <c r="C53" i="27"/>
  <c r="D53" i="27"/>
  <c r="H53" i="27" s="1"/>
  <c r="AA33" i="31"/>
  <c r="AB33" i="31" s="1"/>
  <c r="Z34" i="31" s="1"/>
  <c r="U106" i="18"/>
  <c r="V106" i="18" s="1"/>
  <c r="N54" i="27"/>
  <c r="R54" i="27" s="1"/>
  <c r="L55" i="27"/>
  <c r="M54" i="27"/>
  <c r="Q53" i="27"/>
  <c r="S53" i="27" s="1"/>
  <c r="O54" i="27" s="1"/>
  <c r="J34" i="31" l="1"/>
  <c r="H34" i="31"/>
  <c r="O25" i="31"/>
  <c r="K34" i="31"/>
  <c r="L34" i="31" s="1"/>
  <c r="I34" i="31"/>
  <c r="G34" i="31"/>
  <c r="E35" i="31"/>
  <c r="D36" i="31"/>
  <c r="F35" i="31"/>
  <c r="C25" i="31"/>
  <c r="M26" i="31"/>
  <c r="N26" i="31"/>
  <c r="S11" i="24"/>
  <c r="J17" i="24"/>
  <c r="C16" i="24" s="1"/>
  <c r="J16" i="24" s="1"/>
  <c r="C15" i="24" s="1"/>
  <c r="J15" i="24" s="1"/>
  <c r="C14" i="24" s="1"/>
  <c r="J14" i="24" s="1"/>
  <c r="C13" i="24" s="1"/>
  <c r="J13" i="24" s="1"/>
  <c r="C12" i="24" s="1"/>
  <c r="J12" i="24" s="1"/>
  <c r="T11" i="24" s="1"/>
  <c r="L17" i="24"/>
  <c r="E16" i="24" s="1"/>
  <c r="L16" i="24" s="1"/>
  <c r="E15" i="24" s="1"/>
  <c r="L15" i="24" s="1"/>
  <c r="E14" i="24" s="1"/>
  <c r="L14" i="24" s="1"/>
  <c r="E13" i="24" s="1"/>
  <c r="L13" i="24" s="1"/>
  <c r="E12" i="24" s="1"/>
  <c r="L12" i="24" s="1"/>
  <c r="T13" i="24" s="1"/>
  <c r="S13" i="24"/>
  <c r="AN1" i="28"/>
  <c r="AM9" i="28"/>
  <c r="AM7" i="28"/>
  <c r="S14" i="24"/>
  <c r="M17" i="24"/>
  <c r="F16" i="24" s="1"/>
  <c r="M16" i="24" s="1"/>
  <c r="F15" i="24" s="1"/>
  <c r="M15" i="24" s="1"/>
  <c r="F14" i="24" s="1"/>
  <c r="M14" i="24" s="1"/>
  <c r="F13" i="24" s="1"/>
  <c r="M13" i="24" s="1"/>
  <c r="F12" i="24" s="1"/>
  <c r="M12" i="24" s="1"/>
  <c r="T14" i="24" s="1"/>
  <c r="F61" i="29" s="1"/>
  <c r="F62" i="29" s="1"/>
  <c r="K17" i="24"/>
  <c r="D16" i="24" s="1"/>
  <c r="K16" i="24" s="1"/>
  <c r="D15" i="24" s="1"/>
  <c r="K15" i="24" s="1"/>
  <c r="D14" i="24" s="1"/>
  <c r="K14" i="24" s="1"/>
  <c r="D13" i="24" s="1"/>
  <c r="K13" i="24" s="1"/>
  <c r="D12" i="24" s="1"/>
  <c r="K12" i="24" s="1"/>
  <c r="T12" i="24" s="1"/>
  <c r="S12" i="24"/>
  <c r="S15" i="24"/>
  <c r="N17" i="24"/>
  <c r="G16" i="24" s="1"/>
  <c r="N16" i="24" s="1"/>
  <c r="G15" i="24" s="1"/>
  <c r="N15" i="24" s="1"/>
  <c r="G14" i="24" s="1"/>
  <c r="N14" i="24" s="1"/>
  <c r="G13" i="24" s="1"/>
  <c r="N13" i="24" s="1"/>
  <c r="G12" i="24" s="1"/>
  <c r="N12" i="24" s="1"/>
  <c r="T15" i="24" s="1"/>
  <c r="F63" i="29" s="1"/>
  <c r="F64" i="29" s="1"/>
  <c r="AA34" i="31"/>
  <c r="AB34" i="31" s="1"/>
  <c r="Z35" i="31" s="1"/>
  <c r="T107" i="18"/>
  <c r="J106" i="18"/>
  <c r="E53" i="27"/>
  <c r="C28" i="27"/>
  <c r="C54" i="27"/>
  <c r="D54" i="27"/>
  <c r="H54" i="27" s="1"/>
  <c r="B55" i="27"/>
  <c r="AH115" i="18"/>
  <c r="AI115" i="18" s="1"/>
  <c r="AG116" i="18" s="1"/>
  <c r="Q54" i="27"/>
  <c r="S54" i="27" s="1"/>
  <c r="O55" i="27" s="1"/>
  <c r="L56" i="27"/>
  <c r="M55" i="27"/>
  <c r="N55" i="27"/>
  <c r="R55" i="27" s="1"/>
  <c r="M28" i="27"/>
  <c r="H35" i="31" l="1"/>
  <c r="J35" i="31"/>
  <c r="K35" i="31"/>
  <c r="L35" i="31" s="1"/>
  <c r="G35" i="31"/>
  <c r="I35" i="31"/>
  <c r="D37" i="31"/>
  <c r="F36" i="31"/>
  <c r="E36" i="31"/>
  <c r="O26" i="31"/>
  <c r="M27" i="31" s="1"/>
  <c r="AN9" i="28"/>
  <c r="AO1" i="28"/>
  <c r="AN7" i="28"/>
  <c r="Q55" i="27"/>
  <c r="S55" i="27" s="1"/>
  <c r="O56" i="27" s="1"/>
  <c r="AH116" i="18"/>
  <c r="AI116" i="18" s="1"/>
  <c r="AG117" i="18" s="1"/>
  <c r="L57" i="27"/>
  <c r="N56" i="27"/>
  <c r="R56" i="27" s="1"/>
  <c r="M56" i="27"/>
  <c r="G53" i="27"/>
  <c r="I53" i="27" s="1"/>
  <c r="E54" i="27" s="1"/>
  <c r="AA35" i="31"/>
  <c r="AB35" i="31" s="1"/>
  <c r="Z36" i="31" s="1"/>
  <c r="D55" i="27"/>
  <c r="C55" i="27"/>
  <c r="B56" i="27"/>
  <c r="U107" i="18"/>
  <c r="V107" i="18" s="1"/>
  <c r="C26" i="31" l="1"/>
  <c r="N27" i="31"/>
  <c r="O27" i="31" s="1"/>
  <c r="F37" i="31"/>
  <c r="E37" i="31"/>
  <c r="D38" i="31"/>
  <c r="I36" i="31"/>
  <c r="G36" i="31"/>
  <c r="K36" i="31"/>
  <c r="L36" i="31" s="1"/>
  <c r="J36" i="31"/>
  <c r="H36" i="31"/>
  <c r="H55" i="27"/>
  <c r="AP1" i="28"/>
  <c r="AO7" i="28"/>
  <c r="AO9" i="28"/>
  <c r="T108" i="18"/>
  <c r="J107" i="18"/>
  <c r="AH117" i="18"/>
  <c r="AI117" i="18" s="1"/>
  <c r="AG118" i="18" s="1"/>
  <c r="AA36" i="31"/>
  <c r="AB36" i="31" s="1"/>
  <c r="Z37" i="31" s="1"/>
  <c r="G54" i="27"/>
  <c r="I54" i="27" s="1"/>
  <c r="E55" i="27" s="1"/>
  <c r="L58" i="27"/>
  <c r="M57" i="27"/>
  <c r="N57" i="27"/>
  <c r="Q56" i="27"/>
  <c r="S56" i="27" s="1"/>
  <c r="O57" i="27" s="1"/>
  <c r="C56" i="27"/>
  <c r="D56" i="27"/>
  <c r="B57" i="27"/>
  <c r="K37" i="31" l="1"/>
  <c r="L37" i="31" s="1"/>
  <c r="I37" i="31"/>
  <c r="G37" i="31"/>
  <c r="H37" i="31"/>
  <c r="J37" i="31"/>
  <c r="D39" i="31"/>
  <c r="F38" i="31"/>
  <c r="E38" i="31"/>
  <c r="R57" i="27"/>
  <c r="Q57" i="27" s="1"/>
  <c r="S57" i="27" s="1"/>
  <c r="O58" i="27" s="1"/>
  <c r="AP7" i="28"/>
  <c r="AP9" i="28"/>
  <c r="AQ1" i="28"/>
  <c r="AA37" i="31"/>
  <c r="AB37" i="31" s="1"/>
  <c r="Z38" i="31" s="1"/>
  <c r="G55" i="27"/>
  <c r="I55" i="27" s="1"/>
  <c r="E56" i="27" s="1"/>
  <c r="C57" i="27"/>
  <c r="B58" i="27"/>
  <c r="D57" i="27"/>
  <c r="AH118" i="18"/>
  <c r="AI118" i="18" s="1"/>
  <c r="AG119" i="18" s="1"/>
  <c r="H56" i="27"/>
  <c r="M58" i="27"/>
  <c r="N58" i="27"/>
  <c r="L59" i="27"/>
  <c r="N28" i="31"/>
  <c r="M28" i="31"/>
  <c r="C27" i="31"/>
  <c r="U108" i="18"/>
  <c r="V108" i="18" s="1"/>
  <c r="K38" i="31" l="1"/>
  <c r="L38" i="31" s="1"/>
  <c r="G38" i="31"/>
  <c r="I38" i="31"/>
  <c r="H38" i="31"/>
  <c r="J38" i="31"/>
  <c r="E39" i="31"/>
  <c r="D40" i="31"/>
  <c r="F39" i="31"/>
  <c r="AQ9" i="28"/>
  <c r="AR1" i="28"/>
  <c r="AQ7" i="28"/>
  <c r="AH119" i="18"/>
  <c r="AI119" i="18" s="1"/>
  <c r="AG120" i="18" s="1"/>
  <c r="AA38" i="31"/>
  <c r="AB38" i="31" s="1"/>
  <c r="Z39" i="31" s="1"/>
  <c r="G56" i="27"/>
  <c r="I56" i="27" s="1"/>
  <c r="E57" i="27" s="1"/>
  <c r="H57" i="27"/>
  <c r="T109" i="18"/>
  <c r="J108" i="18"/>
  <c r="L60" i="27"/>
  <c r="M59" i="27"/>
  <c r="N59" i="27"/>
  <c r="O28" i="31"/>
  <c r="R58" i="27"/>
  <c r="Q58" i="27" s="1"/>
  <c r="S58" i="27" s="1"/>
  <c r="O59" i="27" s="1"/>
  <c r="D58" i="27"/>
  <c r="H58" i="27" s="1"/>
  <c r="C58" i="27"/>
  <c r="F40" i="31" l="1"/>
  <c r="E40" i="31"/>
  <c r="D41" i="31"/>
  <c r="I39" i="31"/>
  <c r="G39" i="31"/>
  <c r="K39" i="31"/>
  <c r="L39" i="31" s="1"/>
  <c r="H39" i="31"/>
  <c r="J39" i="31"/>
  <c r="AS1" i="28"/>
  <c r="AR9" i="28"/>
  <c r="AR7" i="28"/>
  <c r="R59" i="27"/>
  <c r="Q59" i="27" s="1"/>
  <c r="S59" i="27" s="1"/>
  <c r="O60" i="27" s="1"/>
  <c r="AA39" i="31"/>
  <c r="AB39" i="31" s="1"/>
  <c r="Z40" i="31" s="1"/>
  <c r="G57" i="27"/>
  <c r="I57" i="27" s="1"/>
  <c r="E58" i="27" s="1"/>
  <c r="AH120" i="18"/>
  <c r="AI120" i="18" s="1"/>
  <c r="AG121" i="18" s="1"/>
  <c r="N29" i="31"/>
  <c r="M29" i="31"/>
  <c r="C28" i="31"/>
  <c r="M60" i="27"/>
  <c r="N60" i="27"/>
  <c r="R60" i="27" s="1"/>
  <c r="U109" i="18"/>
  <c r="V109" i="18" s="1"/>
  <c r="E41" i="31" l="1"/>
  <c r="D42" i="31"/>
  <c r="F41" i="31"/>
  <c r="K40" i="31"/>
  <c r="L40" i="31" s="1"/>
  <c r="I40" i="31"/>
  <c r="G40" i="31"/>
  <c r="H40" i="31"/>
  <c r="J40" i="31"/>
  <c r="AS7" i="28"/>
  <c r="AS9" i="28"/>
  <c r="AT1" i="28"/>
  <c r="O29" i="31"/>
  <c r="C29" i="31" s="1"/>
  <c r="AA40" i="31"/>
  <c r="AB40" i="31" s="1"/>
  <c r="Z41" i="31" s="1"/>
  <c r="AH121" i="18"/>
  <c r="AI121" i="18" s="1"/>
  <c r="AG122" i="18" s="1"/>
  <c r="T110" i="18"/>
  <c r="J109" i="18"/>
  <c r="G58" i="27"/>
  <c r="I58" i="27" s="1"/>
  <c r="Q60" i="27"/>
  <c r="S60" i="27" s="1"/>
  <c r="F42" i="31" l="1"/>
  <c r="E42" i="31"/>
  <c r="D43" i="31"/>
  <c r="H41" i="31"/>
  <c r="J41" i="31"/>
  <c r="G41" i="31"/>
  <c r="I41" i="31"/>
  <c r="K41" i="31"/>
  <c r="L41" i="31" s="1"/>
  <c r="N30" i="31"/>
  <c r="M30" i="31"/>
  <c r="AU1" i="28"/>
  <c r="AT7" i="28"/>
  <c r="AT9" i="28"/>
  <c r="AH122" i="18"/>
  <c r="AI122" i="18" s="1"/>
  <c r="AG123" i="18" s="1"/>
  <c r="AA41" i="31"/>
  <c r="AB41" i="31" s="1"/>
  <c r="Z42" i="31" s="1"/>
  <c r="U110" i="18"/>
  <c r="V110" i="18" s="1"/>
  <c r="O30" i="31" l="1"/>
  <c r="E43" i="31"/>
  <c r="D44" i="31"/>
  <c r="F43" i="31"/>
  <c r="K42" i="31"/>
  <c r="L42" i="31" s="1"/>
  <c r="G42" i="31"/>
  <c r="I42" i="31"/>
  <c r="H42" i="31"/>
  <c r="J42" i="31"/>
  <c r="AU7" i="28"/>
  <c r="AV1" i="28"/>
  <c r="AU9" i="28"/>
  <c r="AH123" i="18"/>
  <c r="AI123" i="18" s="1"/>
  <c r="AG124" i="18" s="1"/>
  <c r="AA42" i="31"/>
  <c r="AB42" i="31" s="1"/>
  <c r="Z43" i="31" s="1"/>
  <c r="T111" i="18"/>
  <c r="J110" i="18"/>
  <c r="N31" i="31"/>
  <c r="M31" i="31"/>
  <c r="C30" i="31"/>
  <c r="H43" i="31" l="1"/>
  <c r="J43" i="31"/>
  <c r="D45" i="31"/>
  <c r="E44" i="31"/>
  <c r="F44" i="31"/>
  <c r="G43" i="31"/>
  <c r="I43" i="31"/>
  <c r="K43" i="31"/>
  <c r="L43" i="31" s="1"/>
  <c r="AW1" i="28"/>
  <c r="AV7" i="28"/>
  <c r="AV9" i="28"/>
  <c r="AA43" i="31"/>
  <c r="AB43" i="31" s="1"/>
  <c r="Z44" i="31" s="1"/>
  <c r="AH124" i="18"/>
  <c r="AI124" i="18" s="1"/>
  <c r="AG125" i="18" s="1"/>
  <c r="U111" i="18"/>
  <c r="V111" i="18" s="1"/>
  <c r="O31" i="31"/>
  <c r="J44" i="31" l="1"/>
  <c r="H44" i="31"/>
  <c r="K44" i="31"/>
  <c r="L44" i="31" s="1"/>
  <c r="I44" i="31"/>
  <c r="G44" i="31"/>
  <c r="F45" i="31"/>
  <c r="D46" i="31"/>
  <c r="E45" i="31"/>
  <c r="AW9" i="28"/>
  <c r="AX1" i="28"/>
  <c r="AW7" i="28"/>
  <c r="AH125" i="18"/>
  <c r="AI125" i="18" s="1"/>
  <c r="AG126" i="18" s="1"/>
  <c r="AA44" i="31"/>
  <c r="AB44" i="31" s="1"/>
  <c r="Z45" i="31" s="1"/>
  <c r="N32" i="31"/>
  <c r="M32" i="31"/>
  <c r="C31" i="31"/>
  <c r="T112" i="18"/>
  <c r="J111" i="18"/>
  <c r="K45" i="31" l="1"/>
  <c r="L45" i="31" s="1"/>
  <c r="G45" i="31"/>
  <c r="I45" i="31"/>
  <c r="E46" i="31"/>
  <c r="D47" i="31"/>
  <c r="F46" i="31"/>
  <c r="J45" i="31"/>
  <c r="H45" i="31"/>
  <c r="AX7" i="28"/>
  <c r="AY1" i="28"/>
  <c r="AX9" i="28"/>
  <c r="AH126" i="18"/>
  <c r="AI126" i="18" s="1"/>
  <c r="AG127" i="18" s="1"/>
  <c r="U112" i="18"/>
  <c r="V112" i="18" s="1"/>
  <c r="AA45" i="31"/>
  <c r="AB45" i="31" s="1"/>
  <c r="Z46" i="31" s="1"/>
  <c r="O32" i="31"/>
  <c r="E47" i="31" l="1"/>
  <c r="D48" i="31"/>
  <c r="F47" i="31"/>
  <c r="I46" i="31"/>
  <c r="K46" i="31"/>
  <c r="L46" i="31" s="1"/>
  <c r="G46" i="31"/>
  <c r="J46" i="31"/>
  <c r="H46" i="31"/>
  <c r="AY7" i="28"/>
  <c r="AY9" i="28"/>
  <c r="F9" i="28" s="1"/>
  <c r="AA46" i="31"/>
  <c r="AB46" i="31" s="1"/>
  <c r="Z47" i="31" s="1"/>
  <c r="AH127" i="18"/>
  <c r="AI127" i="18" s="1"/>
  <c r="AG128" i="18" s="1"/>
  <c r="M33" i="31"/>
  <c r="N33" i="31"/>
  <c r="C32" i="31"/>
  <c r="T113" i="18"/>
  <c r="J112" i="18"/>
  <c r="F48" i="31" l="1"/>
  <c r="E48" i="31"/>
  <c r="D49" i="31"/>
  <c r="J47" i="31"/>
  <c r="H47" i="31"/>
  <c r="G47" i="31"/>
  <c r="I47" i="31"/>
  <c r="K47" i="31"/>
  <c r="L47" i="31" s="1"/>
  <c r="O33" i="31"/>
  <c r="C33" i="31" s="1"/>
  <c r="AH128" i="18"/>
  <c r="AI128" i="18" s="1"/>
  <c r="AG129" i="18" s="1"/>
  <c r="AA47" i="31"/>
  <c r="AB47" i="31" s="1"/>
  <c r="Z48" i="31" s="1"/>
  <c r="U113" i="18"/>
  <c r="V113" i="18" s="1"/>
  <c r="M34" i="31" l="1"/>
  <c r="N34" i="31"/>
  <c r="D50" i="31"/>
  <c r="F49" i="31"/>
  <c r="E49" i="31"/>
  <c r="G48" i="31"/>
  <c r="I48" i="31"/>
  <c r="K48" i="31"/>
  <c r="L48" i="31" s="1"/>
  <c r="J48" i="31"/>
  <c r="H48" i="31"/>
  <c r="AH129" i="18"/>
  <c r="AI129" i="18" s="1"/>
  <c r="AG130" i="18" s="1"/>
  <c r="AA48" i="31"/>
  <c r="AB48" i="31" s="1"/>
  <c r="Z49" i="31" s="1"/>
  <c r="T114" i="18"/>
  <c r="J113" i="18"/>
  <c r="O34" i="31"/>
  <c r="K49" i="31" l="1"/>
  <c r="L49" i="31" s="1"/>
  <c r="G49" i="31"/>
  <c r="I49" i="31"/>
  <c r="J49" i="31"/>
  <c r="H49" i="31"/>
  <c r="E50" i="31"/>
  <c r="F50" i="31"/>
  <c r="D51" i="31"/>
  <c r="AH130" i="18"/>
  <c r="AI130" i="18" s="1"/>
  <c r="AG131" i="18" s="1"/>
  <c r="AA49" i="31"/>
  <c r="AB49" i="31" s="1"/>
  <c r="Z50" i="31" s="1"/>
  <c r="M35" i="31"/>
  <c r="N35" i="31"/>
  <c r="C34" i="31"/>
  <c r="U114" i="18"/>
  <c r="V114" i="18" s="1"/>
  <c r="E51" i="31" l="1"/>
  <c r="F51" i="31"/>
  <c r="D52" i="31"/>
  <c r="K50" i="31"/>
  <c r="L50" i="31" s="1"/>
  <c r="G50" i="31"/>
  <c r="I50" i="31"/>
  <c r="H50" i="31"/>
  <c r="J50" i="31"/>
  <c r="O35" i="31"/>
  <c r="C35" i="31" s="1"/>
  <c r="T115" i="18"/>
  <c r="J114" i="18"/>
  <c r="N36" i="31"/>
  <c r="AA50" i="31"/>
  <c r="AB50" i="31" s="1"/>
  <c r="Z51" i="31" s="1"/>
  <c r="AH131" i="18"/>
  <c r="AI131" i="18" s="1"/>
  <c r="AG132" i="18" s="1"/>
  <c r="D53" i="31" l="1"/>
  <c r="F52" i="31"/>
  <c r="E52" i="31"/>
  <c r="J51" i="31"/>
  <c r="H51" i="31"/>
  <c r="G51" i="31"/>
  <c r="K51" i="31"/>
  <c r="L51" i="31" s="1"/>
  <c r="I51" i="31"/>
  <c r="M36" i="31"/>
  <c r="O36" i="31" s="1"/>
  <c r="AA51" i="31"/>
  <c r="AB51" i="31" s="1"/>
  <c r="Z52" i="31" s="1"/>
  <c r="AH132" i="18"/>
  <c r="AI132" i="18" s="1"/>
  <c r="AG133" i="18" s="1"/>
  <c r="U115" i="18"/>
  <c r="V115" i="18" s="1"/>
  <c r="K52" i="31" l="1"/>
  <c r="L52" i="31" s="1"/>
  <c r="I52" i="31"/>
  <c r="G52" i="31"/>
  <c r="J52" i="31"/>
  <c r="H52" i="31"/>
  <c r="D54" i="31"/>
  <c r="E53" i="31"/>
  <c r="F53" i="31"/>
  <c r="T116" i="18"/>
  <c r="O85" i="18"/>
  <c r="J115" i="18"/>
  <c r="AH133" i="18"/>
  <c r="AI133" i="18" s="1"/>
  <c r="AG134" i="18" s="1"/>
  <c r="AA52" i="31"/>
  <c r="AB52" i="31" s="1"/>
  <c r="Z53" i="31" s="1"/>
  <c r="N37" i="31"/>
  <c r="M37" i="31"/>
  <c r="C36" i="31"/>
  <c r="H53" i="31" l="1"/>
  <c r="J53" i="31"/>
  <c r="I53" i="31"/>
  <c r="G53" i="31"/>
  <c r="K53" i="31"/>
  <c r="L53" i="31" s="1"/>
  <c r="F54" i="31"/>
  <c r="D55" i="31"/>
  <c r="E54" i="31"/>
  <c r="O37" i="31"/>
  <c r="C37" i="31" s="1"/>
  <c r="AA53" i="31"/>
  <c r="AB53" i="31" s="1"/>
  <c r="Z54" i="31" s="1"/>
  <c r="AH134" i="18"/>
  <c r="AI134" i="18" s="1"/>
  <c r="AG135" i="18" s="1"/>
  <c r="U116" i="18"/>
  <c r="V116" i="18" s="1"/>
  <c r="H54" i="31" l="1"/>
  <c r="J54" i="31"/>
  <c r="I54" i="31"/>
  <c r="G54" i="31"/>
  <c r="K54" i="31"/>
  <c r="L54" i="31" s="1"/>
  <c r="F55" i="31"/>
  <c r="D56" i="31"/>
  <c r="E55" i="31"/>
  <c r="M38" i="31"/>
  <c r="N38" i="31"/>
  <c r="T117" i="18"/>
  <c r="J116" i="18"/>
  <c r="AA54" i="31"/>
  <c r="AB54" i="31" s="1"/>
  <c r="Z55" i="31" s="1"/>
  <c r="AH135" i="18"/>
  <c r="AI135" i="18" s="1"/>
  <c r="AG136" i="18" s="1"/>
  <c r="O38" i="31" l="1"/>
  <c r="M39" i="31" s="1"/>
  <c r="G55" i="31"/>
  <c r="K55" i="31"/>
  <c r="L55" i="31" s="1"/>
  <c r="I55" i="31"/>
  <c r="D57" i="31"/>
  <c r="E56" i="31"/>
  <c r="F56" i="31"/>
  <c r="H55" i="31"/>
  <c r="J55" i="31"/>
  <c r="AH136" i="18"/>
  <c r="AI136" i="18" s="1"/>
  <c r="AG137" i="18" s="1"/>
  <c r="AA55" i="31"/>
  <c r="AB55" i="31" s="1"/>
  <c r="Z56" i="31" s="1"/>
  <c r="U117" i="18"/>
  <c r="V117" i="18" s="1"/>
  <c r="N39" i="31" l="1"/>
  <c r="O39" i="31" s="1"/>
  <c r="C38" i="31"/>
  <c r="J56" i="31"/>
  <c r="H56" i="31"/>
  <c r="G56" i="31"/>
  <c r="I56" i="31"/>
  <c r="K56" i="31"/>
  <c r="L56" i="31" s="1"/>
  <c r="D58" i="31"/>
  <c r="E57" i="31"/>
  <c r="F57" i="31"/>
  <c r="T118" i="18"/>
  <c r="J117" i="18"/>
  <c r="AA56" i="31"/>
  <c r="AB56" i="31" s="1"/>
  <c r="Z57" i="31" s="1"/>
  <c r="AH137" i="18"/>
  <c r="AI137" i="18" s="1"/>
  <c r="AG138" i="18" s="1"/>
  <c r="H57" i="31" l="1"/>
  <c r="J57" i="31"/>
  <c r="I57" i="31"/>
  <c r="G57" i="31"/>
  <c r="K57" i="31"/>
  <c r="L57" i="31" s="1"/>
  <c r="F58" i="31"/>
  <c r="D59" i="31"/>
  <c r="E58" i="31"/>
  <c r="AA57" i="31"/>
  <c r="AB57" i="31" s="1"/>
  <c r="Z58" i="31" s="1"/>
  <c r="AH138" i="18"/>
  <c r="AI138" i="18" s="1"/>
  <c r="AG139" i="18" s="1"/>
  <c r="U118" i="18"/>
  <c r="V118" i="18" s="1"/>
  <c r="N40" i="31"/>
  <c r="M40" i="31"/>
  <c r="C39" i="31"/>
  <c r="G58" i="31" l="1"/>
  <c r="I58" i="31"/>
  <c r="K58" i="31"/>
  <c r="L58" i="31" s="1"/>
  <c r="D60" i="31"/>
  <c r="E59" i="31"/>
  <c r="F59" i="31"/>
  <c r="J58" i="31"/>
  <c r="H58" i="31"/>
  <c r="O40" i="31"/>
  <c r="C40" i="31" s="1"/>
  <c r="AH139" i="18"/>
  <c r="AI139" i="18" s="1"/>
  <c r="AG140" i="18" s="1"/>
  <c r="T119" i="18"/>
  <c r="J118" i="18"/>
  <c r="AA58" i="31"/>
  <c r="AB58" i="31" s="1"/>
  <c r="Z59" i="31" s="1"/>
  <c r="I59" i="31" l="1"/>
  <c r="G59" i="31"/>
  <c r="K59" i="31"/>
  <c r="L59" i="31" s="1"/>
  <c r="D61" i="31"/>
  <c r="F60" i="31"/>
  <c r="E60" i="31"/>
  <c r="J59" i="31"/>
  <c r="H59" i="31"/>
  <c r="M41" i="31"/>
  <c r="N41" i="31"/>
  <c r="AA59" i="31"/>
  <c r="AB59" i="31" s="1"/>
  <c r="Z60" i="31" s="1"/>
  <c r="U119" i="18"/>
  <c r="V119" i="18" s="1"/>
  <c r="AH140" i="18"/>
  <c r="AI140" i="18" s="1"/>
  <c r="AG141" i="18" s="1"/>
  <c r="K60" i="31" l="1"/>
  <c r="L60" i="31" s="1"/>
  <c r="G60" i="31"/>
  <c r="I60" i="31"/>
  <c r="H60" i="31"/>
  <c r="J60" i="31"/>
  <c r="E61" i="31"/>
  <c r="F61" i="31"/>
  <c r="D62" i="31"/>
  <c r="O41" i="31"/>
  <c r="AH141" i="18"/>
  <c r="AI141" i="18" s="1"/>
  <c r="AG142" i="18" s="1"/>
  <c r="AA60" i="31"/>
  <c r="AB60" i="31" s="1"/>
  <c r="Z61" i="31" s="1"/>
  <c r="M42" i="31"/>
  <c r="N42" i="31"/>
  <c r="C41" i="31"/>
  <c r="T120" i="18"/>
  <c r="J119" i="18"/>
  <c r="D63" i="31" l="1"/>
  <c r="E62" i="31"/>
  <c r="F62" i="31"/>
  <c r="J61" i="31"/>
  <c r="H61" i="31"/>
  <c r="G61" i="31"/>
  <c r="K61" i="31"/>
  <c r="L61" i="31" s="1"/>
  <c r="I61" i="31"/>
  <c r="O42" i="31"/>
  <c r="M43" i="31" s="1"/>
  <c r="U120" i="18"/>
  <c r="V120" i="18" s="1"/>
  <c r="AH142" i="18"/>
  <c r="AI142" i="18" s="1"/>
  <c r="AG143" i="18" s="1"/>
  <c r="AA61" i="31"/>
  <c r="AB61" i="31" s="1"/>
  <c r="Z62" i="31" s="1"/>
  <c r="J62" i="31" l="1"/>
  <c r="H62" i="31"/>
  <c r="I62" i="31"/>
  <c r="G62" i="31"/>
  <c r="K62" i="31"/>
  <c r="L62" i="31" s="1"/>
  <c r="D64" i="31"/>
  <c r="E63" i="31"/>
  <c r="F63" i="31"/>
  <c r="C42" i="31"/>
  <c r="N43" i="31"/>
  <c r="O43" i="31" s="1"/>
  <c r="AA62" i="31"/>
  <c r="AB62" i="31" s="1"/>
  <c r="Z63" i="31" s="1"/>
  <c r="T121" i="18"/>
  <c r="J120" i="18"/>
  <c r="AH143" i="18"/>
  <c r="AI143" i="18" s="1"/>
  <c r="AG144" i="18" s="1"/>
  <c r="J63" i="31" l="1"/>
  <c r="H63" i="31"/>
  <c r="I63" i="31"/>
  <c r="G63" i="31"/>
  <c r="K63" i="31"/>
  <c r="L63" i="31" s="1"/>
  <c r="F64" i="31"/>
  <c r="E64" i="31"/>
  <c r="D65" i="31"/>
  <c r="M44" i="31"/>
  <c r="N44" i="31"/>
  <c r="C43" i="31"/>
  <c r="U121" i="18"/>
  <c r="V121" i="18" s="1"/>
  <c r="AA63" i="31"/>
  <c r="AB63" i="31" s="1"/>
  <c r="Z64" i="31" s="1"/>
  <c r="AH144" i="18"/>
  <c r="AI144" i="18" s="1"/>
  <c r="AG145" i="18" s="1"/>
  <c r="D66" i="31" l="1"/>
  <c r="E65" i="31"/>
  <c r="F65" i="31"/>
  <c r="K64" i="31"/>
  <c r="L64" i="31" s="1"/>
  <c r="I64" i="31"/>
  <c r="G64" i="31"/>
  <c r="J64" i="31"/>
  <c r="H64" i="31"/>
  <c r="O44" i="31"/>
  <c r="N45" i="31" s="1"/>
  <c r="T122" i="18"/>
  <c r="J121" i="18"/>
  <c r="AA64" i="31"/>
  <c r="AB64" i="31" s="1"/>
  <c r="Z65" i="31" s="1"/>
  <c r="AH145" i="18"/>
  <c r="AI145" i="18" s="1"/>
  <c r="AG146" i="18" s="1"/>
  <c r="H65" i="31" l="1"/>
  <c r="J65" i="31"/>
  <c r="I65" i="31"/>
  <c r="G65" i="31"/>
  <c r="K65" i="31"/>
  <c r="L65" i="31" s="1"/>
  <c r="E66" i="31"/>
  <c r="D67" i="31"/>
  <c r="F66" i="31"/>
  <c r="M45" i="31"/>
  <c r="O45" i="31" s="1"/>
  <c r="M46" i="31" s="1"/>
  <c r="C44" i="31"/>
  <c r="AA65" i="31"/>
  <c r="AB65" i="31" s="1"/>
  <c r="Z66" i="31" s="1"/>
  <c r="AH146" i="18"/>
  <c r="AI146" i="18" s="1"/>
  <c r="AG147" i="18" s="1"/>
  <c r="U122" i="18"/>
  <c r="V122" i="18" s="1"/>
  <c r="F67" i="31" l="1"/>
  <c r="E67" i="31"/>
  <c r="D68" i="31"/>
  <c r="H66" i="31"/>
  <c r="J66" i="31"/>
  <c r="K66" i="31"/>
  <c r="L66" i="31" s="1"/>
  <c r="G66" i="31"/>
  <c r="I66" i="31"/>
  <c r="N46" i="31"/>
  <c r="O46" i="31" s="1"/>
  <c r="C45" i="31"/>
  <c r="AH147" i="18"/>
  <c r="AI147" i="18" s="1"/>
  <c r="AG148" i="18" s="1"/>
  <c r="AA66" i="31"/>
  <c r="AB66" i="31" s="1"/>
  <c r="Z67" i="31" s="1"/>
  <c r="T123" i="18"/>
  <c r="J122" i="18"/>
  <c r="D69" i="31" l="1"/>
  <c r="F68" i="31"/>
  <c r="E68" i="31"/>
  <c r="G67" i="31"/>
  <c r="I67" i="31"/>
  <c r="K67" i="31"/>
  <c r="L67" i="31" s="1"/>
  <c r="J67" i="31"/>
  <c r="H67" i="31"/>
  <c r="AH148" i="18"/>
  <c r="AI148" i="18" s="1"/>
  <c r="AG149" i="18" s="1"/>
  <c r="AA67" i="31"/>
  <c r="AB67" i="31" s="1"/>
  <c r="Z68" i="31" s="1"/>
  <c r="U123" i="18"/>
  <c r="V123" i="18" s="1"/>
  <c r="N47" i="31"/>
  <c r="M47" i="31"/>
  <c r="C46" i="31"/>
  <c r="K68" i="31" l="1"/>
  <c r="L68" i="31" s="1"/>
  <c r="I68" i="31"/>
  <c r="G68" i="31"/>
  <c r="H68" i="31"/>
  <c r="J68" i="31"/>
  <c r="E69" i="31"/>
  <c r="F69" i="31"/>
  <c r="D70" i="31"/>
  <c r="T124" i="18"/>
  <c r="J123" i="18"/>
  <c r="AA68" i="31"/>
  <c r="AB68" i="31" s="1"/>
  <c r="Z69" i="31" s="1"/>
  <c r="AH149" i="18"/>
  <c r="AI149" i="18" s="1"/>
  <c r="AG150" i="18" s="1"/>
  <c r="O47" i="31"/>
  <c r="J69" i="31" l="1"/>
  <c r="H69" i="31"/>
  <c r="F70" i="31"/>
  <c r="D71" i="31"/>
  <c r="E70" i="31"/>
  <c r="G69" i="31"/>
  <c r="I69" i="31"/>
  <c r="K69" i="31"/>
  <c r="L69" i="31" s="1"/>
  <c r="AH150" i="18"/>
  <c r="AI150" i="18" s="1"/>
  <c r="AG151" i="18" s="1"/>
  <c r="M48" i="31"/>
  <c r="N48" i="31"/>
  <c r="C47" i="31"/>
  <c r="AA69" i="31"/>
  <c r="AB69" i="31" s="1"/>
  <c r="Z70" i="31" s="1"/>
  <c r="U124" i="18"/>
  <c r="V124" i="18" s="1"/>
  <c r="I70" i="31" l="1"/>
  <c r="G70" i="31"/>
  <c r="K70" i="31"/>
  <c r="L70" i="31" s="1"/>
  <c r="F71" i="31"/>
  <c r="D72" i="31"/>
  <c r="E71" i="31"/>
  <c r="H70" i="31"/>
  <c r="J70" i="31"/>
  <c r="O48" i="31"/>
  <c r="C48" i="31" s="1"/>
  <c r="AA70" i="31"/>
  <c r="AB70" i="31" s="1"/>
  <c r="Z71" i="31" s="1"/>
  <c r="T125" i="18"/>
  <c r="J124" i="18"/>
  <c r="AH151" i="18"/>
  <c r="AI151" i="18" s="1"/>
  <c r="AG152" i="18" s="1"/>
  <c r="M49" i="31" l="1"/>
  <c r="G71" i="31"/>
  <c r="I71" i="31"/>
  <c r="K71" i="31"/>
  <c r="L71" i="31" s="1"/>
  <c r="F72" i="31"/>
  <c r="D73" i="31"/>
  <c r="E72" i="31"/>
  <c r="H71" i="31"/>
  <c r="J71" i="31"/>
  <c r="N49" i="31"/>
  <c r="O49" i="31" s="1"/>
  <c r="AH152" i="18"/>
  <c r="AI152" i="18" s="1"/>
  <c r="AG153" i="18" s="1"/>
  <c r="AA71" i="31"/>
  <c r="AB71" i="31" s="1"/>
  <c r="Z72" i="31" s="1"/>
  <c r="U125" i="18"/>
  <c r="V125" i="18" s="1"/>
  <c r="G72" i="31" l="1"/>
  <c r="K72" i="31"/>
  <c r="L72" i="31" s="1"/>
  <c r="I72" i="31"/>
  <c r="D74" i="31"/>
  <c r="E73" i="31"/>
  <c r="F73" i="31"/>
  <c r="H72" i="31"/>
  <c r="J72" i="31"/>
  <c r="M50" i="31"/>
  <c r="N50" i="31"/>
  <c r="O50" i="31" s="1"/>
  <c r="C49" i="31"/>
  <c r="T126" i="18"/>
  <c r="J125" i="18"/>
  <c r="AA72" i="31"/>
  <c r="AB72" i="31" s="1"/>
  <c r="Z73" i="31" s="1"/>
  <c r="AH153" i="18"/>
  <c r="AI153" i="18" s="1"/>
  <c r="AG154" i="18" s="1"/>
  <c r="J73" i="31" l="1"/>
  <c r="H73" i="31"/>
  <c r="G73" i="31"/>
  <c r="K73" i="31"/>
  <c r="L73" i="31" s="1"/>
  <c r="I73" i="31"/>
  <c r="E74" i="31"/>
  <c r="D75" i="31"/>
  <c r="F74" i="31"/>
  <c r="M51" i="31"/>
  <c r="C50" i="31"/>
  <c r="N51" i="31"/>
  <c r="O51" i="31" s="1"/>
  <c r="C51" i="31" s="1"/>
  <c r="AH154" i="18"/>
  <c r="AI154" i="18" s="1"/>
  <c r="AG155" i="18" s="1"/>
  <c r="AA73" i="31"/>
  <c r="AB73" i="31" s="1"/>
  <c r="Z74" i="31" s="1"/>
  <c r="U126" i="18"/>
  <c r="V126" i="18" s="1"/>
  <c r="J74" i="31" l="1"/>
  <c r="H74" i="31"/>
  <c r="F75" i="31"/>
  <c r="E75" i="31"/>
  <c r="D76" i="31"/>
  <c r="K74" i="31"/>
  <c r="L74" i="31" s="1"/>
  <c r="G74" i="31"/>
  <c r="I74" i="31"/>
  <c r="M52" i="31"/>
  <c r="N52" i="31"/>
  <c r="O52" i="31" s="1"/>
  <c r="AH155" i="18"/>
  <c r="AI155" i="18" s="1"/>
  <c r="AG156" i="18" s="1"/>
  <c r="AA74" i="31"/>
  <c r="AB74" i="31" s="1"/>
  <c r="Z75" i="31" s="1"/>
  <c r="T127" i="18"/>
  <c r="J126" i="18"/>
  <c r="F76" i="31" l="1"/>
  <c r="D77" i="31"/>
  <c r="E76" i="31"/>
  <c r="I75" i="31"/>
  <c r="K75" i="31"/>
  <c r="L75" i="31" s="1"/>
  <c r="G75" i="31"/>
  <c r="H75" i="31"/>
  <c r="J75" i="31"/>
  <c r="N53" i="31"/>
  <c r="C52" i="31"/>
  <c r="M53" i="31"/>
  <c r="O53" i="31" s="1"/>
  <c r="C53" i="31" s="1"/>
  <c r="AA75" i="31"/>
  <c r="AB75" i="31" s="1"/>
  <c r="Z76" i="31" s="1"/>
  <c r="AH156" i="18"/>
  <c r="AI156" i="18" s="1"/>
  <c r="AG157" i="18" s="1"/>
  <c r="U127" i="18"/>
  <c r="V127" i="18" s="1"/>
  <c r="I76" i="31" l="1"/>
  <c r="K76" i="31"/>
  <c r="L76" i="31" s="1"/>
  <c r="G76" i="31"/>
  <c r="D78" i="31"/>
  <c r="E77" i="31"/>
  <c r="F77" i="31"/>
  <c r="H76" i="31"/>
  <c r="J76" i="31"/>
  <c r="T128" i="18"/>
  <c r="J127" i="18"/>
  <c r="AA76" i="31"/>
  <c r="AB76" i="31" s="1"/>
  <c r="Z77" i="31" s="1"/>
  <c r="M54" i="31"/>
  <c r="N54" i="31"/>
  <c r="AH157" i="18"/>
  <c r="AI157" i="18" s="1"/>
  <c r="AG158" i="18" s="1"/>
  <c r="G77" i="31" l="1"/>
  <c r="K77" i="31"/>
  <c r="L77" i="31" s="1"/>
  <c r="I77" i="31"/>
  <c r="H77" i="31"/>
  <c r="J77" i="31"/>
  <c r="F78" i="31"/>
  <c r="D79" i="31"/>
  <c r="E78" i="31"/>
  <c r="AA77" i="31"/>
  <c r="AB77" i="31" s="1"/>
  <c r="Z78" i="31" s="1"/>
  <c r="AH158" i="18"/>
  <c r="AI158" i="18" s="1"/>
  <c r="AG159" i="18" s="1"/>
  <c r="O54" i="31"/>
  <c r="C54" i="31" s="1"/>
  <c r="U128" i="18"/>
  <c r="V128" i="18" s="1"/>
  <c r="K78" i="31" l="1"/>
  <c r="L78" i="31" s="1"/>
  <c r="I78" i="31"/>
  <c r="G78" i="31"/>
  <c r="F79" i="31"/>
  <c r="E79" i="31"/>
  <c r="D80" i="31"/>
  <c r="H78" i="31"/>
  <c r="J78" i="31"/>
  <c r="T129" i="18"/>
  <c r="J128" i="18"/>
  <c r="AH159" i="18"/>
  <c r="AI159" i="18" s="1"/>
  <c r="AG160" i="18" s="1"/>
  <c r="AA78" i="31"/>
  <c r="AB78" i="31" s="1"/>
  <c r="Z79" i="31" s="1"/>
  <c r="N55" i="31"/>
  <c r="M55" i="31"/>
  <c r="D81" i="31" l="1"/>
  <c r="F80" i="31"/>
  <c r="E80" i="31"/>
  <c r="K79" i="31"/>
  <c r="L79" i="31" s="1"/>
  <c r="G79" i="31"/>
  <c r="I79" i="31"/>
  <c r="J79" i="31"/>
  <c r="H79" i="31"/>
  <c r="O55" i="31"/>
  <c r="AH160" i="18"/>
  <c r="AI160" i="18" s="1"/>
  <c r="AG161" i="18" s="1"/>
  <c r="AA79" i="31"/>
  <c r="AB79" i="31" s="1"/>
  <c r="Z80" i="31" s="1"/>
  <c r="U129" i="18"/>
  <c r="V129" i="18" s="1"/>
  <c r="I80" i="31" l="1"/>
  <c r="G80" i="31"/>
  <c r="K80" i="31"/>
  <c r="L80" i="31" s="1"/>
  <c r="J80" i="31"/>
  <c r="H80" i="31"/>
  <c r="E81" i="31"/>
  <c r="F81" i="31"/>
  <c r="D82" i="31"/>
  <c r="M56" i="31"/>
  <c r="C55" i="31"/>
  <c r="N56" i="31"/>
  <c r="O56" i="31" s="1"/>
  <c r="C56" i="31" s="1"/>
  <c r="AA80" i="31"/>
  <c r="AB80" i="31" s="1"/>
  <c r="Z81" i="31" s="1"/>
  <c r="T130" i="18"/>
  <c r="J129" i="18"/>
  <c r="AH161" i="18"/>
  <c r="AI161" i="18" s="1"/>
  <c r="AG162" i="18" s="1"/>
  <c r="I81" i="31" l="1"/>
  <c r="G81" i="31"/>
  <c r="K81" i="31"/>
  <c r="L81" i="31" s="1"/>
  <c r="F82" i="31"/>
  <c r="E82" i="31"/>
  <c r="D83" i="31"/>
  <c r="J81" i="31"/>
  <c r="H81" i="31"/>
  <c r="AH162" i="18"/>
  <c r="AI162" i="18" s="1"/>
  <c r="AG163" i="18" s="1"/>
  <c r="U130" i="18"/>
  <c r="V130" i="18" s="1"/>
  <c r="AA81" i="31"/>
  <c r="AB81" i="31" s="1"/>
  <c r="Z82" i="31" s="1"/>
  <c r="M57" i="31"/>
  <c r="N57" i="31"/>
  <c r="F83" i="31" l="1"/>
  <c r="D84" i="31"/>
  <c r="E83" i="31"/>
  <c r="G82" i="31"/>
  <c r="I82" i="31"/>
  <c r="K82" i="31"/>
  <c r="L82" i="31" s="1"/>
  <c r="J82" i="31"/>
  <c r="H82" i="31"/>
  <c r="O57" i="31"/>
  <c r="AA82" i="31"/>
  <c r="AB82" i="31" s="1"/>
  <c r="Z83" i="31" s="1"/>
  <c r="T131" i="18"/>
  <c r="J130" i="18"/>
  <c r="AH163" i="18"/>
  <c r="AI163" i="18" s="1"/>
  <c r="AG164" i="18" s="1"/>
  <c r="G83" i="31" l="1"/>
  <c r="K83" i="31"/>
  <c r="L83" i="31" s="1"/>
  <c r="I83" i="31"/>
  <c r="F84" i="31"/>
  <c r="D85" i="31"/>
  <c r="E84" i="31"/>
  <c r="J83" i="31"/>
  <c r="H83" i="31"/>
  <c r="M58" i="31"/>
  <c r="C57" i="31"/>
  <c r="N58" i="31"/>
  <c r="AH164" i="18"/>
  <c r="AI164" i="18" s="1"/>
  <c r="AG165" i="18" s="1"/>
  <c r="U131" i="18"/>
  <c r="V131" i="18" s="1"/>
  <c r="AA83" i="31"/>
  <c r="AB83" i="31" s="1"/>
  <c r="Z84" i="31" s="1"/>
  <c r="I84" i="31" l="1"/>
  <c r="G84" i="31"/>
  <c r="K84" i="31"/>
  <c r="L84" i="31" s="1"/>
  <c r="F85" i="31"/>
  <c r="E85" i="31"/>
  <c r="D86" i="31"/>
  <c r="H84" i="31"/>
  <c r="J84" i="31"/>
  <c r="O58" i="31"/>
  <c r="C58" i="31" s="1"/>
  <c r="T132" i="18"/>
  <c r="J131" i="18"/>
  <c r="AA84" i="31"/>
  <c r="AB84" i="31" s="1"/>
  <c r="Z85" i="31" s="1"/>
  <c r="AH165" i="18"/>
  <c r="AI165" i="18" s="1"/>
  <c r="AG166" i="18" s="1"/>
  <c r="D87" i="31" l="1"/>
  <c r="F86" i="31"/>
  <c r="E86" i="31"/>
  <c r="K85" i="31"/>
  <c r="L85" i="31" s="1"/>
  <c r="I85" i="31"/>
  <c r="G85" i="31"/>
  <c r="J85" i="31"/>
  <c r="H85" i="31"/>
  <c r="N59" i="31"/>
  <c r="M59" i="31"/>
  <c r="AH166" i="18"/>
  <c r="AI166" i="18" s="1"/>
  <c r="AG167" i="18" s="1"/>
  <c r="U132" i="18"/>
  <c r="V132" i="18" s="1"/>
  <c r="AA85" i="31"/>
  <c r="AB85" i="31" s="1"/>
  <c r="Z86" i="31" s="1"/>
  <c r="K86" i="31" l="1"/>
  <c r="L86" i="31" s="1"/>
  <c r="I86" i="31"/>
  <c r="G86" i="31"/>
  <c r="H86" i="31"/>
  <c r="J86" i="31"/>
  <c r="F87" i="31"/>
  <c r="E87" i="31"/>
  <c r="D88" i="31"/>
  <c r="O59" i="31"/>
  <c r="T133" i="18"/>
  <c r="J132" i="18"/>
  <c r="AH167" i="18"/>
  <c r="AI167" i="18" s="1"/>
  <c r="AG168" i="18" s="1"/>
  <c r="AA86" i="31"/>
  <c r="AB86" i="31" s="1"/>
  <c r="Z87" i="31" s="1"/>
  <c r="G87" i="31" l="1"/>
  <c r="I87" i="31"/>
  <c r="K87" i="31"/>
  <c r="L87" i="31" s="1"/>
  <c r="D89" i="31"/>
  <c r="F88" i="31"/>
  <c r="E88" i="31"/>
  <c r="J87" i="31"/>
  <c r="H87" i="31"/>
  <c r="C59" i="31"/>
  <c r="N60" i="31"/>
  <c r="M60" i="31"/>
  <c r="AH168" i="18"/>
  <c r="AI168" i="18" s="1"/>
  <c r="AG169" i="18" s="1"/>
  <c r="U133" i="18"/>
  <c r="V133" i="18" s="1"/>
  <c r="AA87" i="31"/>
  <c r="AB87" i="31" s="1"/>
  <c r="Z88" i="31" s="1"/>
  <c r="F89" i="31" l="1"/>
  <c r="D90" i="31"/>
  <c r="E89" i="31"/>
  <c r="G88" i="31"/>
  <c r="K88" i="31"/>
  <c r="L88" i="31" s="1"/>
  <c r="I88" i="31"/>
  <c r="H88" i="31"/>
  <c r="J88" i="31"/>
  <c r="O60" i="31"/>
  <c r="C60" i="31" s="1"/>
  <c r="AA88" i="31"/>
  <c r="AB88" i="31" s="1"/>
  <c r="T134" i="18"/>
  <c r="J133" i="18"/>
  <c r="AH169" i="18"/>
  <c r="AI169" i="18" s="1"/>
  <c r="K89" i="31" l="1"/>
  <c r="L89" i="31" s="1"/>
  <c r="G89" i="31"/>
  <c r="I89" i="31"/>
  <c r="F90" i="31"/>
  <c r="E90" i="31"/>
  <c r="D91" i="31"/>
  <c r="H89" i="31"/>
  <c r="J89" i="31"/>
  <c r="N61" i="31"/>
  <c r="M61" i="31"/>
  <c r="U134" i="18"/>
  <c r="V134" i="18" s="1"/>
  <c r="O61" i="31" l="1"/>
  <c r="C61" i="31" s="1"/>
  <c r="I90" i="31"/>
  <c r="K90" i="31"/>
  <c r="L90" i="31" s="1"/>
  <c r="G90" i="31"/>
  <c r="F91" i="31"/>
  <c r="D92" i="31"/>
  <c r="E91" i="31"/>
  <c r="H90" i="31"/>
  <c r="J90" i="31"/>
  <c r="N62" i="31"/>
  <c r="M62" i="31"/>
  <c r="T135" i="18"/>
  <c r="J134" i="18"/>
  <c r="O62" i="31" l="1"/>
  <c r="C62" i="31" s="1"/>
  <c r="H91" i="31"/>
  <c r="J91" i="31"/>
  <c r="K91" i="31"/>
  <c r="L91" i="31" s="1"/>
  <c r="I91" i="31"/>
  <c r="G91" i="31"/>
  <c r="E92" i="31"/>
  <c r="F92" i="31"/>
  <c r="D93" i="31"/>
  <c r="N63" i="31"/>
  <c r="M63" i="31"/>
  <c r="U135" i="18"/>
  <c r="V135" i="18" s="1"/>
  <c r="E93" i="31" l="1"/>
  <c r="F93" i="31"/>
  <c r="D94" i="31"/>
  <c r="I92" i="31"/>
  <c r="G92" i="31"/>
  <c r="K92" i="31"/>
  <c r="L92" i="31" s="1"/>
  <c r="H92" i="31"/>
  <c r="J92" i="31"/>
  <c r="O63" i="31"/>
  <c r="T136" i="18"/>
  <c r="J135" i="18"/>
  <c r="D95" i="31" l="1"/>
  <c r="F94" i="31"/>
  <c r="E94" i="31"/>
  <c r="H93" i="31"/>
  <c r="J93" i="31"/>
  <c r="G93" i="31"/>
  <c r="K93" i="31"/>
  <c r="L93" i="31" s="1"/>
  <c r="I93" i="31"/>
  <c r="C63" i="31"/>
  <c r="M64" i="31"/>
  <c r="N64" i="31"/>
  <c r="O64" i="31" s="1"/>
  <c r="C64" i="31" s="1"/>
  <c r="U136" i="18"/>
  <c r="V136" i="18" s="1"/>
  <c r="J94" i="31" l="1"/>
  <c r="H94" i="31"/>
  <c r="G94" i="31"/>
  <c r="K94" i="31"/>
  <c r="L94" i="31" s="1"/>
  <c r="I94" i="31"/>
  <c r="D96" i="31"/>
  <c r="F95" i="31"/>
  <c r="E95" i="31"/>
  <c r="M65" i="31"/>
  <c r="N65" i="31"/>
  <c r="O65" i="31" s="1"/>
  <c r="C65" i="31" s="1"/>
  <c r="T137" i="18"/>
  <c r="J136" i="18"/>
  <c r="M66" i="31" l="1"/>
  <c r="G95" i="31"/>
  <c r="K95" i="31"/>
  <c r="L95" i="31" s="1"/>
  <c r="I95" i="31"/>
  <c r="H95" i="31"/>
  <c r="J95" i="31"/>
  <c r="F96" i="31"/>
  <c r="E96" i="31"/>
  <c r="D97" i="31"/>
  <c r="N66" i="31"/>
  <c r="O66" i="31" s="1"/>
  <c r="C66" i="31" s="1"/>
  <c r="U137" i="18"/>
  <c r="V137" i="18" s="1"/>
  <c r="D98" i="31" l="1"/>
  <c r="E97" i="31"/>
  <c r="F97" i="31"/>
  <c r="K96" i="31"/>
  <c r="L96" i="31" s="1"/>
  <c r="G96" i="31"/>
  <c r="I96" i="31"/>
  <c r="H96" i="31"/>
  <c r="J96" i="31"/>
  <c r="M67" i="31"/>
  <c r="N67" i="31"/>
  <c r="O67" i="31" s="1"/>
  <c r="C67" i="31" s="1"/>
  <c r="T138" i="18"/>
  <c r="J137" i="18"/>
  <c r="H97" i="31" l="1"/>
  <c r="J97" i="31"/>
  <c r="G97" i="31"/>
  <c r="K97" i="31"/>
  <c r="L97" i="31" s="1"/>
  <c r="I97" i="31"/>
  <c r="E98" i="31"/>
  <c r="D99" i="31"/>
  <c r="F98" i="31"/>
  <c r="M68" i="31"/>
  <c r="N68" i="31"/>
  <c r="U138" i="18"/>
  <c r="V138" i="18" s="1"/>
  <c r="H98" i="31" l="1"/>
  <c r="J98" i="31"/>
  <c r="D100" i="31"/>
  <c r="E99" i="31"/>
  <c r="F99" i="31"/>
  <c r="I98" i="31"/>
  <c r="K98" i="31"/>
  <c r="L98" i="31" s="1"/>
  <c r="G98" i="31"/>
  <c r="O68" i="31"/>
  <c r="T139" i="18"/>
  <c r="J138" i="18"/>
  <c r="M69" i="31"/>
  <c r="K99" i="31" l="1"/>
  <c r="L99" i="31" s="1"/>
  <c r="I99" i="31"/>
  <c r="G99" i="31"/>
  <c r="F100" i="31"/>
  <c r="E100" i="31"/>
  <c r="D101" i="31"/>
  <c r="J99" i="31"/>
  <c r="H99" i="31"/>
  <c r="C68" i="31"/>
  <c r="N69" i="31"/>
  <c r="O69" i="31" s="1"/>
  <c r="U139" i="18"/>
  <c r="V139" i="18" s="1"/>
  <c r="E101" i="31" l="1"/>
  <c r="F101" i="31"/>
  <c r="K100" i="31"/>
  <c r="L100" i="31" s="1"/>
  <c r="G100" i="31"/>
  <c r="I100" i="31"/>
  <c r="J100" i="31"/>
  <c r="H100" i="31"/>
  <c r="N70" i="31"/>
  <c r="C69" i="31"/>
  <c r="M70" i="31"/>
  <c r="T140" i="18"/>
  <c r="J139" i="18"/>
  <c r="K101" i="31" l="1"/>
  <c r="L101" i="31" s="1"/>
  <c r="I101" i="31"/>
  <c r="G101" i="31"/>
  <c r="J101" i="31"/>
  <c r="H101" i="31"/>
  <c r="O70" i="31"/>
  <c r="U140" i="18"/>
  <c r="V140" i="18" s="1"/>
  <c r="M71" i="31" l="1"/>
  <c r="C70" i="31"/>
  <c r="N71" i="31"/>
  <c r="O71" i="31" s="1"/>
  <c r="T141" i="18"/>
  <c r="J140" i="18"/>
  <c r="C71" i="31" l="1"/>
  <c r="N72" i="31"/>
  <c r="M72" i="31"/>
  <c r="U141" i="18"/>
  <c r="V141" i="18" s="1"/>
  <c r="O72" i="31" l="1"/>
  <c r="T142" i="18"/>
  <c r="J141" i="18"/>
  <c r="M73" i="31" l="1"/>
  <c r="C72" i="31"/>
  <c r="N73" i="31"/>
  <c r="U142" i="18"/>
  <c r="V142" i="18" s="1"/>
  <c r="O73" i="31" l="1"/>
  <c r="C73" i="31"/>
  <c r="M74" i="31"/>
  <c r="N74" i="31"/>
  <c r="T143" i="18"/>
  <c r="J142" i="18"/>
  <c r="O74" i="31" l="1"/>
  <c r="U143" i="18"/>
  <c r="V143" i="18" s="1"/>
  <c r="N75" i="31" l="1"/>
  <c r="C74" i="31"/>
  <c r="M75" i="31"/>
  <c r="T144" i="18"/>
  <c r="J143" i="18"/>
  <c r="O75" i="31" l="1"/>
  <c r="N76" i="31"/>
  <c r="U144" i="18"/>
  <c r="V144" i="18" s="1"/>
  <c r="M76" i="31" l="1"/>
  <c r="O76" i="31" s="1"/>
  <c r="C75" i="31"/>
  <c r="T145" i="18"/>
  <c r="J144" i="18"/>
  <c r="M77" i="31" l="1"/>
  <c r="C76" i="31"/>
  <c r="N77" i="31"/>
  <c r="O77" i="31" s="1"/>
  <c r="N78" i="31" s="1"/>
  <c r="C77" i="31"/>
  <c r="M78" i="31"/>
  <c r="O78" i="31" s="1"/>
  <c r="U145" i="18"/>
  <c r="V145" i="18" s="1"/>
  <c r="M79" i="31" l="1"/>
  <c r="C78" i="31"/>
  <c r="N79" i="31"/>
  <c r="O79" i="31" s="1"/>
  <c r="T146" i="18"/>
  <c r="J145" i="18"/>
  <c r="C79" i="31" l="1"/>
  <c r="N80" i="31"/>
  <c r="M80" i="31"/>
  <c r="U146" i="18"/>
  <c r="V146" i="18" s="1"/>
  <c r="O80" i="31" l="1"/>
  <c r="T147" i="18"/>
  <c r="J146" i="18"/>
  <c r="C80" i="31" l="1"/>
  <c r="M81" i="31"/>
  <c r="N81" i="31"/>
  <c r="U147" i="18"/>
  <c r="V147" i="18" s="1"/>
  <c r="O81" i="31" l="1"/>
  <c r="T148" i="18"/>
  <c r="J147" i="18"/>
  <c r="M82" i="31" l="1"/>
  <c r="C81" i="31"/>
  <c r="N82" i="31"/>
  <c r="U148" i="18"/>
  <c r="V148" i="18" s="1"/>
  <c r="O82" i="31" l="1"/>
  <c r="M83" i="31" s="1"/>
  <c r="T149" i="18"/>
  <c r="J148" i="18"/>
  <c r="N83" i="31" l="1"/>
  <c r="O83" i="31" s="1"/>
  <c r="C83" i="31" s="1"/>
  <c r="C82" i="31"/>
  <c r="U149" i="18"/>
  <c r="V149" i="18" s="1"/>
  <c r="M84" i="31" l="1"/>
  <c r="N84" i="31"/>
  <c r="T150" i="18"/>
  <c r="J149" i="18"/>
  <c r="O84" i="31" l="1"/>
  <c r="C84" i="31" s="1"/>
  <c r="U150" i="18"/>
  <c r="V150" i="18" s="1"/>
  <c r="M85" i="31" l="1"/>
  <c r="N85" i="31"/>
  <c r="O85" i="31"/>
  <c r="C85" i="31" s="1"/>
  <c r="T151" i="18"/>
  <c r="J150" i="18"/>
  <c r="M86" i="31" l="1"/>
  <c r="N86" i="31"/>
  <c r="U151" i="18"/>
  <c r="V151" i="18" s="1"/>
  <c r="O86" i="31" l="1"/>
  <c r="T152" i="18"/>
  <c r="J151" i="18"/>
  <c r="M87" i="31" l="1"/>
  <c r="C86" i="31"/>
  <c r="N87" i="31"/>
  <c r="U152" i="18"/>
  <c r="V152" i="18" s="1"/>
  <c r="O87" i="31" l="1"/>
  <c r="C87" i="31" s="1"/>
  <c r="N88" i="31"/>
  <c r="T153" i="18"/>
  <c r="J152" i="18"/>
  <c r="M88" i="31" l="1"/>
  <c r="O88" i="31" s="1"/>
  <c r="C88" i="31" s="1"/>
  <c r="U153" i="18"/>
  <c r="V153" i="18" s="1"/>
  <c r="M89" i="31" l="1"/>
  <c r="N89" i="31"/>
  <c r="T154" i="18"/>
  <c r="J153" i="18"/>
  <c r="O89" i="31" l="1"/>
  <c r="C89" i="31" s="1"/>
  <c r="U154" i="18"/>
  <c r="V154" i="18" s="1"/>
  <c r="N90" i="31" l="1"/>
  <c r="M90" i="31"/>
  <c r="O90" i="31"/>
  <c r="C90" i="31" s="1"/>
  <c r="T155" i="18"/>
  <c r="J154" i="18"/>
  <c r="M91" i="31" l="1"/>
  <c r="N91" i="31"/>
  <c r="U155" i="18"/>
  <c r="V155" i="18" s="1"/>
  <c r="O91" i="31" l="1"/>
  <c r="C91" i="31" s="1"/>
  <c r="T156" i="18"/>
  <c r="J155" i="18"/>
  <c r="N92" i="31" l="1"/>
  <c r="M92" i="31"/>
  <c r="U156" i="18"/>
  <c r="V156" i="18" s="1"/>
  <c r="O92" i="31" l="1"/>
  <c r="M93" i="31" s="1"/>
  <c r="C92" i="31"/>
  <c r="N93" i="31"/>
  <c r="T157" i="18"/>
  <c r="J156" i="18"/>
  <c r="O93" i="31" l="1"/>
  <c r="C93" i="31" s="1"/>
  <c r="N94" i="31"/>
  <c r="M94" i="31"/>
  <c r="U157" i="18"/>
  <c r="V157" i="18" s="1"/>
  <c r="O94" i="31" l="1"/>
  <c r="C94" i="31" s="1"/>
  <c r="T158" i="18"/>
  <c r="J157" i="18"/>
  <c r="M95" i="31" l="1"/>
  <c r="N95" i="31"/>
  <c r="U158" i="18"/>
  <c r="V158" i="18" s="1"/>
  <c r="O95" i="31" l="1"/>
  <c r="T159" i="18"/>
  <c r="J158" i="18"/>
  <c r="M96" i="31" l="1"/>
  <c r="C95" i="31"/>
  <c r="N96" i="31"/>
  <c r="U159" i="18"/>
  <c r="V159" i="18" s="1"/>
  <c r="O96" i="31" l="1"/>
  <c r="C96" i="31" s="1"/>
  <c r="T160" i="18"/>
  <c r="J159" i="18"/>
  <c r="N97" i="31" l="1"/>
  <c r="M97" i="31"/>
  <c r="O97" i="31" s="1"/>
  <c r="U160" i="18"/>
  <c r="V160" i="18" s="1"/>
  <c r="M98" i="31" l="1"/>
  <c r="C97" i="31"/>
  <c r="N98" i="31"/>
  <c r="O98" i="31" s="1"/>
  <c r="N11" i="31"/>
  <c r="H4" i="31"/>
  <c r="N7" i="31"/>
  <c r="N9" i="31"/>
  <c r="N4" i="31"/>
  <c r="N12" i="31"/>
  <c r="N10" i="31"/>
  <c r="N6" i="31"/>
  <c r="N8" i="31"/>
  <c r="N3" i="31"/>
  <c r="T161" i="18"/>
  <c r="J160" i="18"/>
  <c r="C98" i="31" l="1"/>
  <c r="N99" i="31"/>
  <c r="M99" i="31"/>
  <c r="U161" i="18"/>
  <c r="V161" i="18" s="1"/>
  <c r="O5" i="31"/>
  <c r="O12" i="31"/>
  <c r="N5" i="31"/>
  <c r="O99" i="31" l="1"/>
  <c r="T162" i="18"/>
  <c r="J161" i="18"/>
  <c r="N100" i="31" l="1"/>
  <c r="C99" i="31"/>
  <c r="M100" i="31"/>
  <c r="U162" i="18"/>
  <c r="V162" i="18" s="1"/>
  <c r="O100" i="31" l="1"/>
  <c r="M101" i="31" s="1"/>
  <c r="C100" i="31"/>
  <c r="T163" i="18"/>
  <c r="J162" i="18"/>
  <c r="N101" i="31" l="1"/>
  <c r="O101" i="31" s="1"/>
  <c r="C101" i="31" s="1"/>
  <c r="H7" i="31"/>
  <c r="H6" i="31"/>
  <c r="H3" i="31" s="1"/>
  <c r="U163" i="18"/>
  <c r="V163" i="18" s="1"/>
  <c r="T164" i="18" l="1"/>
  <c r="J163" i="18"/>
  <c r="U164" i="18" l="1"/>
  <c r="V164" i="18" s="1"/>
  <c r="T165" i="18" l="1"/>
  <c r="J164" i="18"/>
  <c r="U165" i="18" l="1"/>
  <c r="V165" i="18" s="1"/>
  <c r="T166" i="18" l="1"/>
  <c r="J165" i="18"/>
  <c r="U166" i="18" l="1"/>
  <c r="V166" i="18" s="1"/>
  <c r="T167" i="18" l="1"/>
  <c r="J166" i="18"/>
  <c r="U167" i="18" l="1"/>
  <c r="V167" i="18" s="1"/>
  <c r="T168" i="18" l="1"/>
  <c r="J167" i="18"/>
  <c r="U168" i="18" l="1"/>
  <c r="V168" i="18" s="1"/>
  <c r="T169" i="18" l="1"/>
  <c r="J168" i="18"/>
  <c r="U169" i="18" l="1"/>
  <c r="V169" i="18" s="1"/>
  <c r="T170" i="18" l="1"/>
  <c r="J169" i="18"/>
  <c r="U170" i="18" l="1"/>
  <c r="V170" i="18" s="1"/>
  <c r="T171" i="18" l="1"/>
  <c r="J170" i="18"/>
  <c r="U171" i="18" l="1"/>
  <c r="V171" i="18" s="1"/>
  <c r="T172" i="18" l="1"/>
  <c r="J171" i="18"/>
  <c r="U172" i="18" l="1"/>
  <c r="V172" i="18" s="1"/>
  <c r="T173" i="18" l="1"/>
  <c r="J172" i="18"/>
  <c r="U173" i="18" l="1"/>
  <c r="V173" i="18" s="1"/>
  <c r="T174" i="18" l="1"/>
  <c r="J173" i="18"/>
  <c r="U174" i="18" l="1"/>
  <c r="V174" i="18" s="1"/>
  <c r="T175" i="18" l="1"/>
  <c r="J174" i="18"/>
  <c r="U175" i="18" l="1"/>
  <c r="V175" i="18" s="1"/>
  <c r="T176" i="18" l="1"/>
  <c r="J175" i="18"/>
  <c r="U176" i="18" l="1"/>
  <c r="V176" i="18" s="1"/>
  <c r="T177" i="18" l="1"/>
  <c r="J176" i="18"/>
  <c r="U177" i="18" l="1"/>
  <c r="V177" i="18" s="1"/>
  <c r="T178" i="18" l="1"/>
  <c r="J177" i="18"/>
  <c r="U178" i="18" l="1"/>
  <c r="V178" i="18" s="1"/>
  <c r="T179" i="18" l="1"/>
  <c r="J178" i="18"/>
  <c r="U179" i="18" l="1"/>
  <c r="V179" i="18" s="1"/>
  <c r="T180" i="18" l="1"/>
  <c r="J179" i="18"/>
  <c r="U180" i="18" l="1"/>
  <c r="V180" i="18" s="1"/>
  <c r="T181" i="18" l="1"/>
  <c r="J180" i="18"/>
  <c r="U181" i="18" l="1"/>
  <c r="V181" i="18" s="1"/>
  <c r="T182" i="18" l="1"/>
  <c r="J181" i="18"/>
  <c r="U182" i="18" l="1"/>
  <c r="V182" i="18" s="1"/>
  <c r="J182" i="18" s="1"/>
  <c r="O87" i="18" l="1"/>
  <c r="O84" i="18" s="1"/>
  <c r="O88" i="1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<sst xmlns="http://schemas.openxmlformats.org/spreadsheetml/2006/main" count="70363" uniqueCount="7714">
  <si>
    <t>For drop down:</t>
  </si>
  <si>
    <t>Exp - House Maint</t>
  </si>
  <si>
    <t>House Maintenance</t>
  </si>
  <si>
    <t>For Personal Capital / Empower</t>
  </si>
  <si>
    <t>Exp - Rent</t>
  </si>
  <si>
    <t>Rent</t>
  </si>
  <si>
    <t>Exp - Utilities</t>
  </si>
  <si>
    <t>Utilities</t>
  </si>
  <si>
    <t>Credit Card Payments</t>
  </si>
  <si>
    <t>Delete</t>
  </si>
  <si>
    <t>Exp - Car Loan</t>
  </si>
  <si>
    <t>Car Loan</t>
  </si>
  <si>
    <t>Deposits</t>
  </si>
  <si>
    <t>Exp - Cleaning</t>
  </si>
  <si>
    <t>Cleaning</t>
  </si>
  <si>
    <t>Investment Income</t>
  </si>
  <si>
    <t>Inc - Other</t>
  </si>
  <si>
    <t>Exp - Insurance</t>
  </si>
  <si>
    <t>Insurance</t>
  </si>
  <si>
    <t>Exp - Day Care</t>
  </si>
  <si>
    <t>Day Care</t>
  </si>
  <si>
    <t>Shopping</t>
  </si>
  <si>
    <t>Exp - Transportation</t>
  </si>
  <si>
    <t>Transportation</t>
  </si>
  <si>
    <t>Paychecks/Salary</t>
  </si>
  <si>
    <t>Exp - Restaurants</t>
  </si>
  <si>
    <t>Restaurants</t>
  </si>
  <si>
    <t>Exp - Groceries</t>
  </si>
  <si>
    <t>Groceries</t>
  </si>
  <si>
    <t>Misc</t>
  </si>
  <si>
    <t>Exp - Target</t>
  </si>
  <si>
    <t>Target</t>
  </si>
  <si>
    <t>Transfers</t>
  </si>
  <si>
    <t>Exp - Gym</t>
  </si>
  <si>
    <t>Gym</t>
  </si>
  <si>
    <t>Delete - Other Expenses</t>
  </si>
  <si>
    <t>Exp - Shopping</t>
  </si>
  <si>
    <t>Exp - Amazon</t>
  </si>
  <si>
    <t>Amazon</t>
  </si>
  <si>
    <t>Exp - Entertainment</t>
  </si>
  <si>
    <t>Entertainment</t>
  </si>
  <si>
    <t>Dry Cleaning</t>
  </si>
  <si>
    <t>Exp - Dry Cleaning</t>
  </si>
  <si>
    <t>Travel</t>
  </si>
  <si>
    <t>Exp - Gifts</t>
  </si>
  <si>
    <t>Gifts</t>
  </si>
  <si>
    <t>Exp - Misc</t>
  </si>
  <si>
    <t>Exp - Healthcare</t>
  </si>
  <si>
    <t>Healthcare</t>
  </si>
  <si>
    <t>Exp - House</t>
  </si>
  <si>
    <t>House</t>
  </si>
  <si>
    <t>Delete - Telephone</t>
  </si>
  <si>
    <t>Exp - Travel</t>
  </si>
  <si>
    <t>Sav - 401K</t>
  </si>
  <si>
    <t>401K</t>
  </si>
  <si>
    <t>Rewards</t>
  </si>
  <si>
    <t>Sav - Roth</t>
  </si>
  <si>
    <t>Roth</t>
  </si>
  <si>
    <t>Sav - Savings</t>
  </si>
  <si>
    <t>Savings</t>
  </si>
  <si>
    <t>Sav - College Savings</t>
  </si>
  <si>
    <t>College Savings</t>
  </si>
  <si>
    <t>Delete - Online Services</t>
  </si>
  <si>
    <t>Inc - Jeff</t>
  </si>
  <si>
    <t>Jeff</t>
  </si>
  <si>
    <t>Inc - Britney</t>
  </si>
  <si>
    <t>Britney</t>
  </si>
  <si>
    <t>Empyrean Travel</t>
  </si>
  <si>
    <t>Inc - Dividend</t>
  </si>
  <si>
    <t>Dividend</t>
  </si>
  <si>
    <t>For suggested category:</t>
  </si>
  <si>
    <t>Description</t>
  </si>
  <si>
    <t>Category</t>
  </si>
  <si>
    <t xml:space="preserve"> TYPE TRANSFER ID PAYPALSD11 CO PAYPAL ACH ECC PPD ACH Trace 22822 282464808</t>
  </si>
  <si>
    <t xml:space="preserve"> TYPE TRANSFER ID PAYPALSD11 CO PAYPAL ACH ECC PPD ACH Trace 23715 321924713</t>
  </si>
  <si>
    <t xml:space="preserve"> TYPE TRANSFER ID PAYPALSD11 CO PAYPAL ACH ECC PPD ACH Trace 96587 311867131</t>
  </si>
  <si>
    <t>06 455 Pond Promenade Chanhassen MN</t>
  </si>
  <si>
    <t>11003 NORTH LOOP MINNEAPOLIS MN</t>
  </si>
  <si>
    <t>11003 NORTH LOOP MINNEAPOLIS MN 248335279</t>
  </si>
  <si>
    <t>11003 NORTH LOOP MINNEAPOLIS MN 290461321</t>
  </si>
  <si>
    <t>2020 OUTRUN ALD VIRTUA HTTPSRACEROSTMA 313537608</t>
  </si>
  <si>
    <t>3 DAY BLINDS LLC 8008003329 CA 283004524</t>
  </si>
  <si>
    <t>3 DAY BLINDS LLC 8008003329 CA 285992548</t>
  </si>
  <si>
    <t>47 Cardtronics C2 1301 MAIN ST ALAMOSA CO 326479211</t>
  </si>
  <si>
    <t>49 WINCO FOODS 160 2913 Max Aven</t>
  </si>
  <si>
    <t>6SMITH WAYZATA MN</t>
  </si>
  <si>
    <t>70 RIVER VALLEYK270632 103 E CED</t>
  </si>
  <si>
    <t>delete</t>
  </si>
  <si>
    <t>7-Eleven</t>
  </si>
  <si>
    <t>7TH STREET LIQUOR STEAMBOAT SPRCO</t>
  </si>
  <si>
    <t>84 VICS BLUE DOK 7900 QUAMOCLIT ST VICTORIA MN</t>
  </si>
  <si>
    <t>85 VICS BLUE DOK 7900 QUAMOCLIT ST VICTORIA MN</t>
  </si>
  <si>
    <t>86 VICS BLUE DOK 7900 QUAMOCLIT ST VICTORIA MN</t>
  </si>
  <si>
    <t>A T &amp; T INC</t>
  </si>
  <si>
    <t>A TO Z RENTAL 9529448040 MN</t>
  </si>
  <si>
    <t>AC DBC FS PIZZA KANSAS CITY MO AC DBC FS PIZZA KANSAS CITY MO</t>
  </si>
  <si>
    <t>Ace Hardware</t>
  </si>
  <si>
    <t>Acme</t>
  </si>
  <si>
    <t>ACTChaskaComCtr 9524483176 MN</t>
  </si>
  <si>
    <t>ACTChaskaComCtr XX3176 MN ACTChaskaComCtr 9524483176 MN</t>
  </si>
  <si>
    <t>Actcity Chanhassen Mn</t>
  </si>
  <si>
    <t>ADELES EXCELSIOR MN ADELES EXCELSIOR MN</t>
  </si>
  <si>
    <t>Adjustmentpurchases</t>
  </si>
  <si>
    <t>Advocare</t>
  </si>
  <si>
    <t>AIR LOUNGE 2 ABIDJAN CI 253898718</t>
  </si>
  <si>
    <t>Airbnb</t>
  </si>
  <si>
    <t>ALBERT HEIJN 1653 LUCHTHAVEN SC, #000</t>
  </si>
  <si>
    <t>All Seasons Garment Care Excelsi</t>
  </si>
  <si>
    <t>ALLBIRDS 402-935-7733 CA</t>
  </si>
  <si>
    <t>Allied Parking Inc</t>
  </si>
  <si>
    <t>ALLIED PARKING WTC DAI MINNEAPOLIS MN</t>
  </si>
  <si>
    <t>ALPHABET INC. CLASS C</t>
  </si>
  <si>
    <t>Alzheimers Association</t>
  </si>
  <si>
    <t>Amazon Marketplace</t>
  </si>
  <si>
    <t>Amazon Music</t>
  </si>
  <si>
    <t>AMAZON MUSIC*168MY6VK2 888-802-3080 WA
51YQP6E8HHP</t>
  </si>
  <si>
    <t>AMAZON MUSIC*1Q24K80L2 888-802-3080 WA
4NSAVB50RI5</t>
  </si>
  <si>
    <t>AMAZON MUSIC*1W0VS5C80 888-802-3080 WA
33KGFZKXKQE</t>
  </si>
  <si>
    <t>AMAZON MUSIC*5I5K121W3 888-802-3080 WA
4WTNABW2X6S</t>
  </si>
  <si>
    <t>AMAZON MUSIC*SJ5FX6WK3 888-802-3080 WA
115JK319OHI</t>
  </si>
  <si>
    <t>AMAZON.COM AMZN.COM/BILLWA
4KT01BMIH49</t>
  </si>
  <si>
    <t>AMAZON.COM INC</t>
  </si>
  <si>
    <t>AMAZON.COM*1I5WL1Y02 AMZN.COM/BILLWA
47HZKXB4BLQ</t>
  </si>
  <si>
    <t>AMAZON.COM*1U2QK71Z3 AMZN.COM/BILLWA
HFUU4C7BO4J</t>
  </si>
  <si>
    <t>AMAZON.COM*A11073S53 AMZN.COM/BILLWA
6OJHY48NGS2</t>
  </si>
  <si>
    <t>AMAZON.COM*JC6F49YZ3 AMZN.COM/BILLWA
440AX8WVGUX</t>
  </si>
  <si>
    <t>AMAZON.COM*SP3JO0OO3 AMZN.COM/BILLWA
3KVG0MU99Y7</t>
  </si>
  <si>
    <t>AmazoncomLV9LA9ZZ3     Amzncombi</t>
  </si>
  <si>
    <t>American Airlines</t>
  </si>
  <si>
    <t>AMERICAN AIRLS GROUP</t>
  </si>
  <si>
    <t>American Express</t>
  </si>
  <si>
    <t>American Family Insurance</t>
  </si>
  <si>
    <t>Utility</t>
  </si>
  <si>
    <t>AMZN Mktp US</t>
  </si>
  <si>
    <t>AMZN MKTP US*1I2WT2XL1 AMZN.COM/BILLWA
763RBXH4RB0</t>
  </si>
  <si>
    <t>AMZN MKTP US*1I3061YQ1 AMZN.COM/BILLWA
6YBXNTHYVL7</t>
  </si>
  <si>
    <t>AMZN MKTP US*1I31L4W90 AMZN.COM/BILLWA
14ZUJ5HRDRV</t>
  </si>
  <si>
    <t>AMZN MKTP US*4B5MA8073 AMZN.COM/BILLWA
MV8BRWDVYA7</t>
  </si>
  <si>
    <t>AMZN MKTP US*7N3NX6ZF3 AMZN.COM/BILLWA
278ND7YX5KW</t>
  </si>
  <si>
    <t>AMZN MKTP US*AD4D556E3 AMZN.COM/BILLWA
5LIJLXAPJZP</t>
  </si>
  <si>
    <t>AMZN MKTP US*CZ6LL9YJ3 AMZN.COM/BILLWA
1F9OBDANONO</t>
  </si>
  <si>
    <t>AMZN MKTP US*RK29967P3 AMZN.COM/BILLWA
4YIG0DYF1TN</t>
  </si>
  <si>
    <t>AMZN MKTP US*RZ30I11B3 AMZN.COM/BILLWA
SXP0H81EJON</t>
  </si>
  <si>
    <t>AMZN MKTP US*TE0LF5RL3 AMZN.COM/BILLWA
2W0TPYA4XLK</t>
  </si>
  <si>
    <t>AMZN MKTP US*XP9DU6L93 AMZN.COM/BILLWA
2PP2PZINRW5</t>
  </si>
  <si>
    <t>AMZN MKTP US*YP2RO5H53 AMZN.COM/BILLWA
3WQQKAO1T6X</t>
  </si>
  <si>
    <t>AMZN Mktp US1L5BO0W00 Amzncombil</t>
  </si>
  <si>
    <t>AMZN Mktp US1L64I5LY3   Amzncomb</t>
  </si>
  <si>
    <t>AMZN Mktp US1L7SK9NS2 Amzncombil</t>
  </si>
  <si>
    <t>AMZN Mktp US1L7WN0DG2 Amzncombil</t>
  </si>
  <si>
    <t>AMZN Mktp US1N7NV6TB1 Amzncombil</t>
  </si>
  <si>
    <t>AMZN Mktp US1Q9AW1NN2 Amzncombil</t>
  </si>
  <si>
    <t>AMZN Mktp US1X5YT5LZ0 Amzncombil</t>
  </si>
  <si>
    <t>AMZN Mktp US1Z0AP7IQ0 Amzncombil</t>
  </si>
  <si>
    <t>AMZN Mktp US3F6BA43Z3 Amzncombil</t>
  </si>
  <si>
    <t>AMZN Mktp USA258Y41C3 Amzncombil</t>
  </si>
  <si>
    <t>AMZN Mktp USJU9CC9PT3 Amzncombil</t>
  </si>
  <si>
    <t>AMZN Mktp USQA3QH1PV3   Amzncomb</t>
  </si>
  <si>
    <t>AMZN Mktp USWU8CB0WC3   Amzncomb</t>
  </si>
  <si>
    <t>AMZN Mktp USYM3KB9353   Amzncomb</t>
  </si>
  <si>
    <t>ANGRY TROUT CAFE 2183871265 MN</t>
  </si>
  <si>
    <t>Anthropologie</t>
  </si>
  <si>
    <t>ANTHROPOLOGIECOM        PHILADEL</t>
  </si>
  <si>
    <t>Apple</t>
  </si>
  <si>
    <t>APPLE INC</t>
  </si>
  <si>
    <t>APPLECOMUS 8006762775 CA</t>
  </si>
  <si>
    <t>Applecomus Ca</t>
  </si>
  <si>
    <t>Apy Earned</t>
  </si>
  <si>
    <t>Aramark</t>
  </si>
  <si>
    <t>ARBORETUM APPLEHOUSE CHASKA MN</t>
  </si>
  <si>
    <t>ARBORETUM APPLEHOUSE CHASKA MN 251334778</t>
  </si>
  <si>
    <t>Arby's</t>
  </si>
  <si>
    <t>Artistic Floral</t>
  </si>
  <si>
    <t>ASHA GOLDCOAST DELAWAR CHICAGO IL</t>
  </si>
  <si>
    <t>Asos.com</t>
  </si>
  <si>
    <t>ATL CNBC ATLANTA GA</t>
  </si>
  <si>
    <t>ATM Fee Rebate</t>
  </si>
  <si>
    <t>ATM FEE REFUND</t>
  </si>
  <si>
    <t>ATM FEE REFUND 239968470</t>
  </si>
  <si>
    <t>ATM FEE REFUND 247464311</t>
  </si>
  <si>
    <t>ATM FEE REFUND 262109505</t>
  </si>
  <si>
    <t>ATM FEE REFUND 277224499</t>
  </si>
  <si>
    <t>ATM FEE REFUND 322510735</t>
  </si>
  <si>
    <t>ATM T2F S3A/S DPT G47 Paris</t>
  </si>
  <si>
    <t>ATT W318 58845          CHANHASS</t>
  </si>
  <si>
    <t>Auto</t>
  </si>
  <si>
    <t>AVOADVOCARE INTL        80054248</t>
  </si>
  <si>
    <t>AVOADVOCARE INTL 8005424800 TX</t>
  </si>
  <si>
    <t>AVOADVOCARE INTL 8005424800 TX 249999730</t>
  </si>
  <si>
    <t>AVOADVOCARE INTL 8005424800 TX 274437736</t>
  </si>
  <si>
    <t>AVOADVOCARE INTL 8005424800 TX 307039276</t>
  </si>
  <si>
    <t>AVOADVOCARE INTL 8005424800 TX 329163763</t>
  </si>
  <si>
    <t>AVOADVOCARE INTL 8005424800 TX 329455457</t>
  </si>
  <si>
    <t>Avon</t>
  </si>
  <si>
    <t>B MOCCASIN BAR X5820 US HAYWARD</t>
  </si>
  <si>
    <t>B R COHN WINERY GLEN ELLEN CA</t>
  </si>
  <si>
    <t>Bachman's</t>
  </si>
  <si>
    <t>Back Channel Brewing Collectiv</t>
  </si>
  <si>
    <t>BALANCE TRANSFER FOR ACCT ENDING IN 0588 272881008</t>
  </si>
  <si>
    <t>Banana Republic</t>
  </si>
  <si>
    <t>BANANA REPUBLIC ONLINE  88827789</t>
  </si>
  <si>
    <t>Banana Visa TYPE BR EPAY ID CO Banana Visa ACH ECC WEB ACH Trace 03624 324320772</t>
  </si>
  <si>
    <t>Banana Visa TYPE BR EPAY ID CO Banana Visa ACH ECC WEB ACH Trace 15489</t>
  </si>
  <si>
    <t>Banana Visa TYPE BR EPAY ID CO Banana Visa ACH ECC WEB ACH Trace 27370</t>
  </si>
  <si>
    <t>Banana Visa TYPE BR EPAY ID CO Banana Visa ACH ECC WEB ACH Trace 31456 277010532</t>
  </si>
  <si>
    <t>Banana Visa TYPE BR EPAY ID CO Banana Visa ACH ECC WEB ACH Trace 34491 239490582</t>
  </si>
  <si>
    <t>Banana Visa TYPE BR EPAY ID CO Banana Visa ACH ECC WEB ACH Trace 38742</t>
  </si>
  <si>
    <t>Banana Visa TYPE BR EPAY ID CO Banana Visa ACH ECC WEB ACH Trace 54188</t>
  </si>
  <si>
    <t>Banana Visa TYPE BR EPAY ID CO Banana Visa ACH ECC WEB ACH Trace 59069 263002817</t>
  </si>
  <si>
    <t>Banana Visa TYPE BR EPAY ID CO Banana Visa ACH ECC WEB ACH Trace 61552 306804587</t>
  </si>
  <si>
    <t>Banana Visa TYPE BR EPAY ID CO Banana Visa ACH ECC WEB ACH Trace 69351 288830710</t>
  </si>
  <si>
    <t>Banana Visa TYPE BR EPAY ID CO Banana Visa ACH ECC WEB ACH Trace 78260 313598094</t>
  </si>
  <si>
    <t>Banana Visa TYPE BR EPAY ID CO Banana Visa ACH ECC WEB ACH Trace 84633 237626001</t>
  </si>
  <si>
    <t>Banana Visa TYPE BR EPAY ID CO Banana Visa ACH ECC WEB ACH Trace 87275 255371472</t>
  </si>
  <si>
    <t>Banana Visa TYPE BR EPAY ID CO Banana Visa ACH ECC WEB ACH Trace 89122</t>
  </si>
  <si>
    <t>Banana Visa TYPE BR EPAY ID CO Banana Visa ACH ECC WEB ACH Trace 91862 247058816</t>
  </si>
  <si>
    <t>Banana Visa TYPE BR EPAY ID CO Banana Visa ACH ECC WEB ACH Trace 95050</t>
  </si>
  <si>
    <t>BANK INT 011620-021520 SCHWAB BANK</t>
  </si>
  <si>
    <t>BANK INT 011620-021520 SCHWAB PREMIER BANK</t>
  </si>
  <si>
    <t>BANK INT 011621-021521 SCHWAB PREMIER BANK</t>
  </si>
  <si>
    <t>BANK INT 021620-031520 SCHWAB BANK</t>
  </si>
  <si>
    <t>BANK INT 021620-031520 SCHWAB PREMIER BANK</t>
  </si>
  <si>
    <t>BANK INT 031620-041520 SCHWAB PREMIER BANK</t>
  </si>
  <si>
    <t>BANK INT 031621-041521 SCHWAB PREMIER BANK</t>
  </si>
  <si>
    <t>BANK INT 041620-051520 SCHWAB PREMIER BANK</t>
  </si>
  <si>
    <t>BANK INT 041621-051521 SCHWAB PREMIER BANK</t>
  </si>
  <si>
    <t>BANK INT 051620-061520 SCHWAB PREMIER BANK</t>
  </si>
  <si>
    <t>BANK INT 051621-061521 SCHWAB PREMIER BANK</t>
  </si>
  <si>
    <t>BANK INT 061619-071519 SCHWAB BANK</t>
  </si>
  <si>
    <t>BANK INT 061620-071520 SCHWAB PREMIER BANK</t>
  </si>
  <si>
    <t>BANK INT 061621-071521 SCHWAB PREMIER BANK</t>
  </si>
  <si>
    <t>BANK INT 071619-081519 SCHWAB BANK</t>
  </si>
  <si>
    <t>BANK INT 071620-081520 SCHWAB PREMIER BANK</t>
  </si>
  <si>
    <t>BANK INT 071621-081521 SCHWAB PREMIER BANK</t>
  </si>
  <si>
    <t>BANK INT 081619-091519 SCHWAB BANK</t>
  </si>
  <si>
    <t>BANK INT 081620-091520 SCHWAB PREMIER BANK</t>
  </si>
  <si>
    <t>BANK INT 081621-091521 SCHWAB PREMIER BANK</t>
  </si>
  <si>
    <t>BANK INT 091619-101519 SCHWAB BANK</t>
  </si>
  <si>
    <t>BANK INT 091620-101520 SCHWAB PREMIER BANK</t>
  </si>
  <si>
    <t>BANK INT 091621-101521 SCHWAB PREMIER BANK</t>
  </si>
  <si>
    <t>BANK INT 101619-111519 SCHWAB BANK</t>
  </si>
  <si>
    <t>BANK INT 101620-111520 SCHWAB PREMIER BANK</t>
  </si>
  <si>
    <t>BANK INT 101621-111521 SCHWAB PREMIER BANK</t>
  </si>
  <si>
    <t>BANK INT 111619-121519 SCHWAB BANK</t>
  </si>
  <si>
    <t>BANK INT 111620-121520 SCHWAB PREMIER BANK</t>
  </si>
  <si>
    <t>BANK INT 111621-121521 SCHWAB PREMIER BANK</t>
  </si>
  <si>
    <t>BANK INT 121619-011520 SCHWAB BANK</t>
  </si>
  <si>
    <t>BANK INT 121620-011521 SCHWAB PREMIER BANK</t>
  </si>
  <si>
    <t>BANK INT 122719-011520 SCHWAB PREMIER BANK</t>
  </si>
  <si>
    <t>BANK INT -XX1521 SCHWAB PREMIER BANK</t>
  </si>
  <si>
    <t>BAR HARBOR LAKE SHORE MN</t>
  </si>
  <si>
    <t>BAR LA GRASSA MINNEAPOLIS MN</t>
  </si>
  <si>
    <t>BAR LA GRASSA MINNEAPOLIS MN 294678999</t>
  </si>
  <si>
    <t>Barrio Edina Edina MN 242552805</t>
  </si>
  <si>
    <t>Baxter Credit Union</t>
  </si>
  <si>
    <t>BCSMINNETONKA COMMUNITY 95240168</t>
  </si>
  <si>
    <t>BCSMINNETONKA COMMUNITY XX6800 M</t>
  </si>
  <si>
    <t>BCU MORTGAGE TYPE LOAN PAYMT ID 9DRAFTING CO BCU MORTGAGE ACH ECC WEB ACH Trace 00138</t>
  </si>
  <si>
    <t>BCU MORTGAGE TYPE LOAN PAYMT ID 9DRAFTING CO BCU MORTGAGE ACH ECC WEB ACH Trace 10527 324040595</t>
  </si>
  <si>
    <t>BCU MORTGAGE TYPE LOAN PAYMT ID 9DRAFTING CO BCU MORTGAGE ACH ECC WEB ACH Trace 10534 301670931</t>
  </si>
  <si>
    <t>BCU MORTGAGE TYPE LOAN PAYMT ID 9DRAFTING CO BCU MORTGAGE ACH ECC WEB ACH Trace 11097 285512729</t>
  </si>
  <si>
    <t>BCU MORTGAGE TYPE LOAN PAYMT ID 9DRAFTING CO BCU MORTGAGE ACH ECC WEB ACH Trace 11316 315499233</t>
  </si>
  <si>
    <t>BCU MORTGAGE TYPE LOAN PAYMT ID 9DRAFTING CO BCU MORTGAGE ACH ECC WEB ACH Trace 12452 278602561</t>
  </si>
  <si>
    <t>BCU MORTGAGE TYPE LOAN PAYMT ID 9DRAFTING CO BCU MORTGAGE ACH ECC WEB ACH Trace 13205</t>
  </si>
  <si>
    <t>BCU MORTGAGE TYPE LOAN PAYMT ID 9DRAFTING CO BCU MORTGAGE ACH ECC WEB ACH Trace 13754 293383522</t>
  </si>
  <si>
    <t>BCU MORTGAGE TYPE LOAN PAYMT ID 9DRAFTING CO BCU MORTGAGE ACH ECC WEB ACH Trace 14650 270408832</t>
  </si>
  <si>
    <t>BCU MORTGAGE TYPE LOAN PAYMT ID 9DRAFTING CO BCU MORTGAGE ACH ECC WEB ACH Trace 25581 255659826</t>
  </si>
  <si>
    <t>BCU MORTGAGE TYPE LOAN PAYMT ID 9DRAFTING CO BCU MORTGAGE ACH ECC WEB ACH Trace 28517</t>
  </si>
  <si>
    <t>BCU MORTGAGE TYPE LOAN PAYMT ID 9DRAFTING CO BCU MORTGAGE ACH ECC WEB ACH Trace 49814 263002818</t>
  </si>
  <si>
    <t>BCU MORTGAGE TYPE LOAN PAYMT ID 9DRAFTING CO BCU MORTGAGE ACH ECC WEB ACH Trace 53888 308255591</t>
  </si>
  <si>
    <t>BCU MORTGAGE TYPE LOAN PAYMT ID 9DRAFTING CO BCU MORTGAGE ACH ECC WEB ACH Trace 71012</t>
  </si>
  <si>
    <t>BCU MORTGAGE TYPE LOAN PAYMT ID 9DRAFTING CO BCU MORTGAGE ACH ECC WEB ACH Trace 81641</t>
  </si>
  <si>
    <t>BCU MORTGAGE TYPE LOAN PAYMT ID 9DRAFTING CO BCU MORTGAGE ACH ECC WEB ACH Trace 82053</t>
  </si>
  <si>
    <t>BCU MORTGAGE TYPE LOAN PAYMT ID 9DRAFTING CO BCU MORTGAGE ACH ECC WEB ACH Trace 85298</t>
  </si>
  <si>
    <t>BCU MORTGAGE TYPE LOAN PAYMT ID 9DRAFTING CO BCU MORTGAGE ACH ECC WEB ACH Trace 88856</t>
  </si>
  <si>
    <t>Bcu Online</t>
  </si>
  <si>
    <t>BDC CHEESE STORE GRANTSBURG WI</t>
  </si>
  <si>
    <t>BENEVITY DONATIONS 8552377875 FL</t>
  </si>
  <si>
    <t>Benevity Inc BENEVITY DONATIONS 8552377875 FL</t>
  </si>
  <si>
    <t>BERKSHIRE HATHAWAY CLASS B</t>
  </si>
  <si>
    <t>Best Buy</t>
  </si>
  <si>
    <t>Best Cleaners</t>
  </si>
  <si>
    <t>BEST CLEANERS EX 5 EXCELSIOR MN 237583197</t>
  </si>
  <si>
    <t>BEST CLEANERS EX 5 EXCELSIOR MN 251076860</t>
  </si>
  <si>
    <t>BEST CLEANERS EX 5 EXCELSIOR MN 265419530</t>
  </si>
  <si>
    <t>BEST CLEANERS EX 5 EXCELSIOR MN 279877914</t>
  </si>
  <si>
    <t>BEST CLEANERS EX 5 EXCELSIOR MN 289386767</t>
  </si>
  <si>
    <t>Best Cleaners, Inc</t>
  </si>
  <si>
    <t>Best Western</t>
  </si>
  <si>
    <t>BESTCLEANERSEXCELSIOR EXCELSIOR BESTCLEANERSEXCELSIOR EXCELSIOR MN</t>
  </si>
  <si>
    <t>Big Dogs</t>
  </si>
  <si>
    <t>Birchs</t>
  </si>
  <si>
    <t>BIRCHS ON THE LAKE LONG LAKE MN</t>
  </si>
  <si>
    <t>BITE SQUAD 6122947125 MN 302995083</t>
  </si>
  <si>
    <t>BITE SQUAD 6122947125 MN 302995084</t>
  </si>
  <si>
    <t>BLACK BEAR CASINO RESO CARLTON M BLACK BEAR CASINO RESO CARLTON MN</t>
  </si>
  <si>
    <t>BLACK BEAR HOTEL CARLTON MN</t>
  </si>
  <si>
    <t>BLACK SHEEP PIZZA - N WA MINNEAPOLIS MN</t>
  </si>
  <si>
    <t>BLACK SHEEP PIZZA N 6123422625 MN</t>
  </si>
  <si>
    <t>Blue</t>
  </si>
  <si>
    <t>Bluefin Grille</t>
  </si>
  <si>
    <t>BMW</t>
  </si>
  <si>
    <t>BOAT HOUSE GRILL AND BAR WASECA MN 321934380</t>
  </si>
  <si>
    <t>BOBBERS BAR DEER RIVER MN</t>
  </si>
  <si>
    <t>BOBSTORESCOM 8663332627 PA</t>
  </si>
  <si>
    <t>BOEING CO</t>
  </si>
  <si>
    <t>BONFES 6513326633 MN</t>
  </si>
  <si>
    <t>Bonfes Plumbing Heating &amp; Air Services</t>
  </si>
  <si>
    <t>BONFES PLUMBING HEATING A6513326</t>
  </si>
  <si>
    <t>BONFES PLUMBING HEATING ASOUTH S</t>
  </si>
  <si>
    <t>BONFES PLUMBING HEATING ASOUTH SAINT PMN</t>
  </si>
  <si>
    <t>Bonfes South Saint</t>
  </si>
  <si>
    <t>BONFES SOUTH SAINT PMN</t>
  </si>
  <si>
    <t>Borough</t>
  </si>
  <si>
    <t>BOTTLE ROCKET TERM 1 C ST PAUL M</t>
  </si>
  <si>
    <t>Boutique Ca</t>
  </si>
  <si>
    <t>BP</t>
  </si>
  <si>
    <t>BP#9267972HWY 13 BP SAVAGE MN</t>
  </si>
  <si>
    <t>Brewery</t>
  </si>
  <si>
    <t>Bridgewater Bank</t>
  </si>
  <si>
    <t>BROWNS CAR WASH          CHANHAS</t>
  </si>
  <si>
    <t>Brueggers</t>
  </si>
  <si>
    <t>Bruegger's</t>
  </si>
  <si>
    <t>Bub City</t>
  </si>
  <si>
    <t>BUCA EDEN PRAIRIE MN</t>
  </si>
  <si>
    <t>BUCK HILL SKI AREA BURNSVILLE MN</t>
  </si>
  <si>
    <t>BUCK HILL WEBSITE 9524357174 MN</t>
  </si>
  <si>
    <t>Bucktown Food &amp; Liquors Inc.</t>
  </si>
  <si>
    <t>Buffalo Niagara Taxi</t>
  </si>
  <si>
    <t>Buffalo Wild Wings</t>
  </si>
  <si>
    <t>BUFFALO WILD WINGS 0088 CHANHASSEN MN</t>
  </si>
  <si>
    <t>BULL &amp; WREN EXCELSIOR MN</t>
  </si>
  <si>
    <t>BULL WREN EXCELSIOR MN BULL WREN EXCELSIOR MN</t>
  </si>
  <si>
    <t>Burger King</t>
  </si>
  <si>
    <t>Burton Online Burlington</t>
  </si>
  <si>
    <t>BURTON ONLINE WWWBURTONCOVT 272880985</t>
  </si>
  <si>
    <t>BURTON ONLINE WWWBURTONCOVT 272880992</t>
  </si>
  <si>
    <t>BuyBuyBaby</t>
  </si>
  <si>
    <t>Byerly's</t>
  </si>
  <si>
    <t>C3 YOUTH LACROSSE WWWCHASKALACMN C3 YOUTH LACROSSE WWWCHASKALACMN</t>
  </si>
  <si>
    <t>Cabin Fever Sporting Goods Inc.</t>
  </si>
  <si>
    <t>Cabin Fever Sporting Goods, Inc.</t>
  </si>
  <si>
    <t>Cabin Fever Sporting GoodVictori</t>
  </si>
  <si>
    <t>CABO WABO CABO SAN LUCAMX</t>
  </si>
  <si>
    <t>Cafe Zupas</t>
  </si>
  <si>
    <t>CAMPSAVER 8778836276 IL</t>
  </si>
  <si>
    <t>Canteen Vending</t>
  </si>
  <si>
    <t>CARGILL C S20073235579 WAYZATA MNAPPLE PAY ENDING</t>
  </si>
  <si>
    <t>CARGILL CAF20014981579 WAYZATA MN</t>
  </si>
  <si>
    <t>CARGILL CAF20014981579 WAYZATA MNAPPLE PAY ENDING</t>
  </si>
  <si>
    <t>CARGILL CAFE 20014981 WAYZATA MN 239250212</t>
  </si>
  <si>
    <t>CARGILL CAFE 20014981 WAYZATA MN 260718486</t>
  </si>
  <si>
    <t>CARGILL CAFE 20014981 WAYZATA MN 262120557</t>
  </si>
  <si>
    <t>CARGILL CAFE 20014981 WAYZATA MN 272881000</t>
  </si>
  <si>
    <t>CARGILL COCOA &amp;</t>
  </si>
  <si>
    <t>CARGILL COCOA TYPE DIR DEP ID CO CARGILL COCOA ACH ECC PPD ACH Trace 02608 279275125</t>
  </si>
  <si>
    <t>CARGILL COCOA TYPE DIR DEP ID CO CARGILL COCOA ACH ECC PPD ACH Trace 04604 282464809</t>
  </si>
  <si>
    <t>CARGILL COCOA TYPE DIR DEP ID CO CARGILL COCOA ACH ECC PPD ACH Trace 05327 235786427</t>
  </si>
  <si>
    <t>CARGILL COCOA TYPE DIR DEP ID CO CARGILL COCOA ACH ECC PPD ACH Trace 08052 285980155</t>
  </si>
  <si>
    <t>CARGILL COCOA TYPE DIR DEP ID CO CARGILL COCOA ACH ECC PPD ACH Trace 12047 321001274</t>
  </si>
  <si>
    <t>CARGILL COCOA TYPE DIR DEP ID CO CARGILL COCOA ACH ECC PPD ACH Trace 19700 317021487</t>
  </si>
  <si>
    <t>CARGILL COCOA TYPE DIR DEP ID CO CARGILL COCOA ACH ECC PPD ACH Trace 20887</t>
  </si>
  <si>
    <t>CARGILL COCOA TYPE DIR DEP ID CO CARGILL COCOA ACH ECC PPD ACH Trace 21192 307018563</t>
  </si>
  <si>
    <t>CARGILL COCOA TYPE DIR DEP ID CO CARGILL COCOA ACH ECC PPD ACH Trace 21729</t>
  </si>
  <si>
    <t>CARGILL COCOA TYPE DIR DEP ID CO CARGILL COCOA ACH ECC PPD ACH Trace 22473</t>
  </si>
  <si>
    <t>CARGILL COCOA TYPE DIR DEP ID CO CARGILL COCOA ACH ECC PPD ACH Trace 25397</t>
  </si>
  <si>
    <t>CARGILL COCOA TYPE DIR DEP ID CO CARGILL COCOA ACH ECC PPD ACH Trace 27359 329960761</t>
  </si>
  <si>
    <t>CARGILL COCOA TYPE DIR DEP ID CO CARGILL COCOA ACH ECC PPD ACH Trace 29338 238297124</t>
  </si>
  <si>
    <t>CARGILL COCOA TYPE DIR DEP ID CO CARGILL COCOA ACH ECC PPD ACH Trace 29864</t>
  </si>
  <si>
    <t>CARGILL COCOA TYPE DIR DEP ID CO CARGILL COCOA ACH ECC PPD ACH Trace 30192</t>
  </si>
  <si>
    <t>CARGILL COCOA TYPE DIR DEP ID CO CARGILL COCOA ACH ECC PPD ACH Trace 30932</t>
  </si>
  <si>
    <t>CARGILL COCOA TYPE DIR DEP ID CO CARGILL COCOA ACH ECC PPD ACH Trace 31448</t>
  </si>
  <si>
    <t>CARGILL COCOA TYPE DIR DEP ID CO CARGILL COCOA ACH ECC PPD ACH Trace 32063</t>
  </si>
  <si>
    <t>CARGILL COCOA TYPE DIR DEP ID CO CARGILL COCOA ACH ECC PPD ACH Trace 32186 310458821</t>
  </si>
  <si>
    <t>CARGILL COCOA TYPE DIR DEP ID CO CARGILL COCOA ACH ECC PPD ACH Trace 33959</t>
  </si>
  <si>
    <t>CARGILL COCOA TYPE DIR DEP ID CO CARGILL COCOA ACH ECC PPD ACH Trace 41454 255290343</t>
  </si>
  <si>
    <t>CARGILL COCOA TYPE DIR DEP ID CO CARGILL COCOA ACH ECC PPD ACH Trace 45392 293524918</t>
  </si>
  <si>
    <t>CARGILL COCOA TYPE DIR DEP ID CO CARGILL COCOA ACH ECC PPD ACH Trace 46228 303877477</t>
  </si>
  <si>
    <t>CARGILL COCOA TYPE DIR DEP ID CO CARGILL COCOA ACH ECC PPD ACH Trace 46957 251804506</t>
  </si>
  <si>
    <t>CARGILL COCOA TYPE DIR DEP ID CO CARGILL COCOA ACH ECC PPD ACH Trace 47202 268665477</t>
  </si>
  <si>
    <t>CARGILL COCOA TYPE DIR DEP ID CO CARGILL COCOA ACH ECC PPD ACH Trace 47714 238297123</t>
  </si>
  <si>
    <t>CARGILL COCOA TYPE DIR DEP ID CO CARGILL COCOA ACH ECC PPD ACH Trace 52042 313526393</t>
  </si>
  <si>
    <t>CARGILL COCOA TYPE DIR DEP ID CO CARGILL COCOA ACH ECC PPD ACH Trace 54295</t>
  </si>
  <si>
    <t>CARGILL COCOA TYPE DIR DEP ID CO CARGILL COCOA ACH ECC PPD ACH Trace 56599</t>
  </si>
  <si>
    <t>CARGILL COCOA TYPE DIR DEP ID CO CARGILL COCOA ACH ECC PPD ACH Trace 59938 258549261</t>
  </si>
  <si>
    <t>CARGILL COCOA TYPE DIR DEP ID CO CARGILL COCOA ACH ECC PPD ACH Trace 60227 275774071</t>
  </si>
  <si>
    <t>CARGILL COCOA TYPE DIR DEP ID CO CARGILL COCOA ACH ECC PPD ACH Trace 63125</t>
  </si>
  <si>
    <t>CARGILL COCOA TYPE DIR DEP ID CO CARGILL COCOA ACH ECC PPD ACH Trace 63156 272341002</t>
  </si>
  <si>
    <t>CARGILL COCOA TYPE DIR DEP ID CO CARGILL COCOA ACH ECC PPD ACH Trace 64192 328255059</t>
  </si>
  <si>
    <t>CARGILL COCOA TYPE DIR DEP ID CO CARGILL COCOA ACH ECC PPD ACH Trace 66903</t>
  </si>
  <si>
    <t>CARGILL COCOA TYPE DIR DEP ID CO CARGILL COCOA ACH ECC PPD ACH Trace 72872 261788892</t>
  </si>
  <si>
    <t>CARGILL COCOA TYPE DIR DEP ID CO CARGILL COCOA ACH ECC PPD ACH Trace 81531 265328265</t>
  </si>
  <si>
    <t>CARGILL COCOA TYPE DIR DEP ID CO CARGILL COCOA ACH ECC PPD ACH Trace 82270 245099997</t>
  </si>
  <si>
    <t>CARGILL COCOA TYPE DIR DEP ID CO CARGILL COCOA ACH ECC PPD ACH Trace 88076 297342601</t>
  </si>
  <si>
    <t>CARGILL COCOA TYPE DIR DEP ID CO CARGILL COCOA ACH ECC PPD ACH Trace 90715</t>
  </si>
  <si>
    <t>CARGILL COCOA TYPE DIR DEP ID CO CARGILL COCOA ACH ECC PPD ACH Trace 90979 248538358</t>
  </si>
  <si>
    <t>CARGILL COCOA TYPE DIR DEP ID CO CARGILL COCOA ACH ECC PPD ACH Trace 92044 289363940</t>
  </si>
  <si>
    <t>CARGILL COCOA TYPE DIR DEP ID CO CARGILL COCOA ACH ECC PPD ACH Trace 94501</t>
  </si>
  <si>
    <t>CARGILL COCOA TYPE DIR DEP ID CO CARGILL COCOA ACH ECC PPD ACH Trace 95144 241817275</t>
  </si>
  <si>
    <t>CARGILL COCOA TYPE DIR DEP ID CO CARGILL COCOA ACH ECC PPD ACH Trace 96903 300599932</t>
  </si>
  <si>
    <t>CARGILL COCOA TYPE DIR DEP ID CO CARGILL COCOA ACH ECC PPD ACH Trace 97142 324790259</t>
  </si>
  <si>
    <t>CARGILL COCOA TYPE DIR DEP ID CO CARGILL COCOA ACH ECC PPD ACH Trace X5513</t>
  </si>
  <si>
    <t>Cargill ESOP Stock Fund - Dividends Transferred In</t>
  </si>
  <si>
    <t>Cargill ESOP Stock Fund - Plan Contribution</t>
  </si>
  <si>
    <t>Cargill Inc Deposit</t>
  </si>
  <si>
    <t>Cargill Inc Deposit CARGILL INCORPOR TYPE DIRECT DEP ID CO CARGILL INCORPOR ACH ECC PPD ACH Trace 01</t>
  </si>
  <si>
    <t>Cargill Inc Deposit CARGILL INCORPOR TYPE DIRECT DEP ID CO CARGILL INCORPOR ACH ECC PPD ACH Trace 05</t>
  </si>
  <si>
    <t>Cargill Inc Deposit CARGILL INCORPOR TYPE DIRECT DEP ID CO CARGILL INCORPOR ACH ECC PPD ACH Trace 07</t>
  </si>
  <si>
    <t>Cargill Inc Deposit CARGILL INCORPOR TYPE DIRECT DEP ID CO CARGILL INCORPOR ACH ECC PPD ACH Trace 09</t>
  </si>
  <si>
    <t>Cargill Inc Deposit CARGILL INCORPOR TYPE DIRECT DEP ID CO CARGILL INCORPOR ACH ECC PPD ACH Trace 23</t>
  </si>
  <si>
    <t>Cargill Inc Deposit CARGILL INCORPOR TYPE DIRECT DEP ID CO CARGILL INCORPOR ACH ECC PPD ACH Trace 27</t>
  </si>
  <si>
    <t>Cargill Inc Deposit CARGILL INCORPOR TYPE DIRECT DEP ID CO CARGILL INCORPOR ACH ECC PPD ACH Trace 35</t>
  </si>
  <si>
    <t>Cargill Inc Deposit CARGILL INCORPOR TYPE DIRECT DEP ID CO CARGILL INCORPOR ACH ECC PPD ACH Trace 36</t>
  </si>
  <si>
    <t>Cargill Inc Deposit CARGILL INCORPOR TYPE DIRECT DEP ID CO CARGILL INCORPOR ACH ECC PPD ACH Trace 38</t>
  </si>
  <si>
    <t>Cargill Inc Deposit CARGILL INCORPOR TYPE DIRECT DEP ID CO CARGILL INCORPOR ACH ECC PPD ACH Trace 42</t>
  </si>
  <si>
    <t>Cargill Inc Deposit CARGILL INCORPOR TYPE DIRECT DEP ID CO CARGILL INCORPOR ACH ECC PPD ACH Trace 50</t>
  </si>
  <si>
    <t>Cargill Inc Deposit CARGILL INCORPOR TYPE DIRECT DEP ID CO CARGILL INCORPOR ACH ECC PPD ACH Trace 51</t>
  </si>
  <si>
    <t>Cargill Inc Deposit CARGILL INCORPOR TYPE DIRECT DEP ID CO CARGILL INCORPOR ACH ECC PPD ACH Trace 53</t>
  </si>
  <si>
    <t>Cargill Inc Deposit CARGILL INCORPOR TYPE DIRECT DEP ID CO CARGILL INCORPOR ACH ECC PPD ACH Trace 56</t>
  </si>
  <si>
    <t>Cargill Inc Deposit CARGILL INCORPOR TYPE DIRECT DEP ID CO CARGILL INCORPOR ACH ECC PPD ACH Trace 60</t>
  </si>
  <si>
    <t>Cargill Inc Deposit CARGILL INCORPOR TYPE DIRECT DEP ID CO CARGILL INCORPOR ACH ECC PPD ACH Trace 61</t>
  </si>
  <si>
    <t>Cargill Inc Deposit CARGILL INCORPOR TYPE DIRECT DEP ID CO CARGILL INCORPOR ACH ECC PPD ACH Trace 71</t>
  </si>
  <si>
    <t>Cargill Inc Deposit CARGILL INCORPOR TYPE DIRECT DEP ID CO CARGILL INCORPOR ACH ECC PPD ACH Trace 81</t>
  </si>
  <si>
    <t>Cargill Inc Deposit CARGILL INCORPOR TYPE DIRECT DEP ID CO CARGILL INCORPOR ACH ECC PPD ACH Trace 90</t>
  </si>
  <si>
    <t>CARGILL INCORPOR</t>
  </si>
  <si>
    <t>Cargill Incorpor Type</t>
  </si>
  <si>
    <t>CARGILL INCORPOR TYPE   ID  CO C</t>
  </si>
  <si>
    <t>CARGILL INCORPOR TYPE DIRECT DEP</t>
  </si>
  <si>
    <t>CARGILL INCORPOR TYPE DIRECT DEP ID CO CARGILL INCORPOR ACH ECC PPD ACH Trace 52147</t>
  </si>
  <si>
    <t>CARGILL INCORPOR TYPE DIRECT DEP ID CO CARGILL INCORPOR ACH ECC PPD ACH Trace 59640</t>
  </si>
  <si>
    <t>CARGILL INCORPOR TYPE DIRECT DEP ID CO CARGILL INCORPOR ACH ECC PPD ACH Trace 82638</t>
  </si>
  <si>
    <t>CARGILL INCORPOR TYPE DIRECT DEP ID CO CARGILL INCORPOR ACH ECC PPD ACH Trace 89436</t>
  </si>
  <si>
    <t>CARGILL INCORPOR TYPE DIRECT DEP ID CO CARGILL INCORPOR ACH ECC PPD ACH Trace 91893</t>
  </si>
  <si>
    <t>CARGILL INCORPOR TYPE DIRECT DEP ID CO CARGILL INCORPOR ACH ECC PPD ACH Trace 95438</t>
  </si>
  <si>
    <t>CARGILL JAZ20029518579 WAYZATA MN</t>
  </si>
  <si>
    <t>CARGILL JAZZMA20029518 WAYZATA MN 255608804</t>
  </si>
  <si>
    <t>CARGILL JAZZMA20029518 WAYZATA MN 262120556</t>
  </si>
  <si>
    <t>CARGILL JAZZMA20029518 WAYZATA MN 262531390</t>
  </si>
  <si>
    <t>CARGILL JAZZMANS WAYZATA MN 238865517</t>
  </si>
  <si>
    <t>Cargill Passthru Div - Dividends on Equity Investments</t>
  </si>
  <si>
    <t>Cargill Passthru Div - Dividends Transferred Out</t>
  </si>
  <si>
    <t>CARGILL PRO20081436579 WAYZATA MN</t>
  </si>
  <si>
    <t>CARGILL PRO20081436579 WAYZATA MNAPPLE PAY ENDING</t>
  </si>
  <si>
    <t>CARGILL PRODUC20081436 WAYZATA MN 235985503</t>
  </si>
  <si>
    <t>CARGILL PRODUC20081436 WAYZATA MN 235985504</t>
  </si>
  <si>
    <t>CARGILL PRODUC20081436 WAYZATA MN 244451314</t>
  </si>
  <si>
    <t>CARGILL PRODUC20081436 WAYZATA MN 246007947</t>
  </si>
  <si>
    <t>CARGILL PRODUC20081436 WAYZATA MN 250485888</t>
  </si>
  <si>
    <t>CARGILL PRODUC20081436 WAYZATA MN 255608803</t>
  </si>
  <si>
    <t>CARGILL PRODUC20081436 WAYZATA MN 260718485</t>
  </si>
  <si>
    <t>CARGILL PRODUC20081436 WAYZATA MN 279877915</t>
  </si>
  <si>
    <t>CARGILL PRODUC20081436 WAYZATA MN 282750502</t>
  </si>
  <si>
    <t>Carhartt</t>
  </si>
  <si>
    <t>Caribou Coffee</t>
  </si>
  <si>
    <t>CARIBOU COFFEE 1435     SAINT CL</t>
  </si>
  <si>
    <t>Carter's</t>
  </si>
  <si>
    <t>Casey's</t>
  </si>
  <si>
    <t>Caseys General Stores</t>
  </si>
  <si>
    <t>CASHBACK BONUS REDEMPTION payment/STMT CRDT</t>
  </si>
  <si>
    <t>CASHBACK BONUS REDEMPTION PYMT/STMT CRDT</t>
  </si>
  <si>
    <t>Cast &amp; Cru</t>
  </si>
  <si>
    <t>CASTLE DANGER BREWING CO TWO HARBORS MN</t>
  </si>
  <si>
    <t>CCLC TYPE INTERNET ID CO CCLC ACH ECC WEB ACH Trace 11086 239730228</t>
  </si>
  <si>
    <t>CCLC TYPE INTERNET ID CO CCLC ACH ECC WEB ACH Trace 11943 283876069</t>
  </si>
  <si>
    <t>CCLC TYPE INTERNET ID CO CCLC ACH ECC WEB ACH Trace 13050 258364244</t>
  </si>
  <si>
    <t>CCLC TYPE INTERNET ID CO CCLC ACH ECC WEB ACH Trace 15136 282236838</t>
  </si>
  <si>
    <t>CCLC TYPE INTERNET ID CO CCLC ACH ECC WEB ACH Trace 15823 275432438</t>
  </si>
  <si>
    <t>CCLC TYPE INTERNET ID CO CCLC ACH ECC WEB ACH Trace 26790 246798009</t>
  </si>
  <si>
    <t>CCLC TYPE INTERNET ID CO CCLC ACH ECC WEB ACH Trace 27865 248324063</t>
  </si>
  <si>
    <t>CCLC TYPE INTERNET ID CO CCLC ACH ECC WEB ACH Trace 31276 256802703</t>
  </si>
  <si>
    <t>CCLC TYPE INTERNET ID CO CCLC ACH ECC WEB ACH Trace 38360 280703585</t>
  </si>
  <si>
    <t>CCLC TYPE INTERNET ID CO CCLC ACH ECC WEB ACH Trace 39889 253216635</t>
  </si>
  <si>
    <t>CCLC TYPE INTERNET ID CO CCLC ACH ECC WEB ACH Trace 41683 244913434</t>
  </si>
  <si>
    <t>CCLC TYPE INTERNET ID CO CCLC ACH ECC WEB ACH Trace 43624 241622914</t>
  </si>
  <si>
    <t>CCLC TYPE INTERNET ID CO CCLC ACH ECC WEB ACH Trace 44570 263519530</t>
  </si>
  <si>
    <t>CCLC TYPE INTERNET ID CO CCLC ACH ECC WEB ACH Trace 46533 273949347</t>
  </si>
  <si>
    <t>CCLC TYPE INTERNET ID CO CCLC ACH ECC WEB ACH Trace 46678 234870503</t>
  </si>
  <si>
    <t>CCLC TYPE INTERNET ID CO CCLC ACH ECC WEB ACH Trace 49616 233344358</t>
  </si>
  <si>
    <t>CCLC TYPE INTERNET ID CO CCLC ACH ECC WEB ACH Trace 52324 238084734</t>
  </si>
  <si>
    <t>CCLC TYPE INTERNET ID CO CCLC ACH ECC WEB ACH Trace 54205 243304826</t>
  </si>
  <si>
    <t>CCLC TYPE INTERNET ID CO CCLC ACH ECC WEB ACH Trace 54838 270408830</t>
  </si>
  <si>
    <t>CCLC TYPE INTERNET ID CO CCLC ACH ECC WEB ACH Trace 58251 251588077</t>
  </si>
  <si>
    <t>CCLC TYPE INTERNET ID CO CCLC ACH ECC WEB ACH Trace 60671 260057590</t>
  </si>
  <si>
    <t>CCLC TYPE INTERNET ID CO CCLC ACH ECC WEB ACH Trace 64860 268184995</t>
  </si>
  <si>
    <t>CCLC TYPE INTERNET ID CO CCLC ACH ECC WEB ACH Trace 67054 279111682</t>
  </si>
  <si>
    <t>CCLC TYPE INTERNET ID CO CCLC ACH ECC WEB ACH Trace 73930 255027849</t>
  </si>
  <si>
    <t>CCLC TYPE INTERNET ID CO CCLC ACH ECC WEB ACH Trace 75272 265104588</t>
  </si>
  <si>
    <t>CCLC TYPE INTERNET ID CO CCLC ACH ECC WEB ACH Trace 78829 272112306</t>
  </si>
  <si>
    <t>CCLC TYPE INTERNET ID CO CCLC ACH ECC WEB ACH Trace 86314 266827683</t>
  </si>
  <si>
    <t>CCLC TYPE INTERNET ID CO CCLC ACH ECC WEB ACH Trace 88211 236554535</t>
  </si>
  <si>
    <t>CCLC TYPE INTERNET ID CO CCLC ACH ECC WEB ACH Trace 89061 261565289</t>
  </si>
  <si>
    <t>CCLC TYPE INTERNET ID CO CCLC ACH ECC WEB ACH Trace 94221 277010534</t>
  </si>
  <si>
    <t>CEFCO 60 FRANKLIN TX 264645343</t>
  </si>
  <si>
    <t>Cenex</t>
  </si>
  <si>
    <t>CenterPoint Energy</t>
  </si>
  <si>
    <t>CENTRAL CHECKOUT 79999999187086207507850</t>
  </si>
  <si>
    <t>CENTRAL CHECKOUT 79999999194135608672416</t>
  </si>
  <si>
    <t>CENTRAL CHECKOUT 79999999198135208645693</t>
  </si>
  <si>
    <t>CENTRAL CHECKOUT 79999999198135212384891</t>
  </si>
  <si>
    <t>CENTRAL CHECKOUT 79999999207135208125224</t>
  </si>
  <si>
    <t>CENTRAL CHECKOUT 79999999225086207542752</t>
  </si>
  <si>
    <t>CENTRAL CHECKOUT 79999999225086212599979</t>
  </si>
  <si>
    <t>CENTRAL CHECKOUT 79999999257086207947911</t>
  </si>
  <si>
    <t>CENTRAL CHECKOUT 79999999263244907546614</t>
  </si>
  <si>
    <t>CENTRAL CHECKOUT 79999999307135212640720</t>
  </si>
  <si>
    <t>Century Theaters</t>
  </si>
  <si>
    <t>CenturyLink</t>
  </si>
  <si>
    <t>CENTURYLINK SIMPLE       8002014</t>
  </si>
  <si>
    <t>CENTURYLINK SIMPLE MONROE LA</t>
  </si>
  <si>
    <t>Certified Auto Repair</t>
  </si>
  <si>
    <t>Certified Auto Repair Inc</t>
  </si>
  <si>
    <t>Charter Bank 455 Pond P Chanhassen</t>
  </si>
  <si>
    <t>Chateau St. Jean</t>
  </si>
  <si>
    <t>CHECK  2152</t>
  </si>
  <si>
    <t>CHECK  2342</t>
  </si>
  <si>
    <t>CHECK  2343</t>
  </si>
  <si>
    <t>CHECK  Processed Check  PASSPORT</t>
  </si>
  <si>
    <t>CHECK 2089 2089</t>
  </si>
  <si>
    <t>CHECK 2097 2097</t>
  </si>
  <si>
    <t>CHECK 2098 2098</t>
  </si>
  <si>
    <t>CHECK 2100 2100</t>
  </si>
  <si>
    <t>CHECK 2103 2103</t>
  </si>
  <si>
    <t>CHECK 2105 2105</t>
  </si>
  <si>
    <t>CHECK 2106 2106</t>
  </si>
  <si>
    <t>CHECK 2107 2107</t>
  </si>
  <si>
    <t>CHECK 2108 2108</t>
  </si>
  <si>
    <t>CHECK 2179 2179</t>
  </si>
  <si>
    <t>CHECK 2180 2180</t>
  </si>
  <si>
    <t>CHECK 2182 2182</t>
  </si>
  <si>
    <t>CHECK 2183 2183</t>
  </si>
  <si>
    <t>CHECK 2184 2184</t>
  </si>
  <si>
    <t>CHECK 2186 2186</t>
  </si>
  <si>
    <t>CHECK 2201 2201</t>
  </si>
  <si>
    <t>CHECK 2341 2341</t>
  </si>
  <si>
    <t>Check Paid #1139</t>
  </si>
  <si>
    <t>Check Paid #1181</t>
  </si>
  <si>
    <t>Chevron</t>
  </si>
  <si>
    <t>CHEVRON CORP</t>
  </si>
  <si>
    <t>Chick-Fil-A</t>
  </si>
  <si>
    <t>Children's</t>
  </si>
  <si>
    <t>Childrens Museum</t>
  </si>
  <si>
    <t>CHIMAYO MEXICAN GRILL DILLON CO 280703580</t>
  </si>
  <si>
    <t>CHINA PAGODA 2 CHASKA MN</t>
  </si>
  <si>
    <t>Chipotle</t>
  </si>
  <si>
    <t>CHIPOTLE 0431 CHANHASSEN MN</t>
  </si>
  <si>
    <t>Chipotle Mexican Grill</t>
  </si>
  <si>
    <t>CHIPOTLE MEXICAN GRL</t>
  </si>
  <si>
    <t>CHIPOTLE ONLINE          CHIPOTL</t>
  </si>
  <si>
    <t>CHL 02 ABIDJAN CI 253249246</t>
  </si>
  <si>
    <t>CHL 02 ABIDJAN CI 253420903</t>
  </si>
  <si>
    <t>Churchills Quality Cigars &amp; Gifts</t>
  </si>
  <si>
    <t>CHURCHILLS QUALITY CIGARSVICTORI</t>
  </si>
  <si>
    <t>CIBO EXPRESS P5 MINNEAPOLIS MN</t>
  </si>
  <si>
    <t>Circle K</t>
  </si>
  <si>
    <t>City Chanhassen TYPE Payment ID T410885331 CO City Chanhassen ACH ECC PPD ACH Trace 98071 266827681</t>
  </si>
  <si>
    <t>City Market</t>
  </si>
  <si>
    <t>CITY OF CHANHASS TYPE UTIL BILL</t>
  </si>
  <si>
    <t>City of Chanhassen</t>
  </si>
  <si>
    <t>City Of Edina</t>
  </si>
  <si>
    <t>City of Minnetonka</t>
  </si>
  <si>
    <t>City of Waconia</t>
  </si>
  <si>
    <t>CITY TAVERN PHILADELPHIA PA</t>
  </si>
  <si>
    <t>City Winery Chicago LLC</t>
  </si>
  <si>
    <t>CK HOLIDAY  06340       CHASKA</t>
  </si>
  <si>
    <t>Clark Oil</t>
  </si>
  <si>
    <t>CLIP MXFARMACIA CIUDAD DE MEXMX</t>
  </si>
  <si>
    <t>Clutch Brewing Co LLC</t>
  </si>
  <si>
    <t>Coalition</t>
  </si>
  <si>
    <t>Coalition Restaurant</t>
  </si>
  <si>
    <t>COCINA DEL BARRIO MINNEAPOLIS MN</t>
  </si>
  <si>
    <t>COHO CAFE TOFTE MN</t>
  </si>
  <si>
    <t>Coinbase.com Npcjumy</t>
  </si>
  <si>
    <t>COLEHAANCOM 8004882000 NH 297353880</t>
  </si>
  <si>
    <t>College Savings ACH 201224</t>
  </si>
  <si>
    <t>College Savings ACH 201228</t>
  </si>
  <si>
    <t>College Savings TYPE ACH ID 550895818 CO College Savings ACH ECC PPD ACH Trace 05133 322673689</t>
  </si>
  <si>
    <t>College Savings TYPE ACH ID 550895818 CO College Savings ACH ECC PPD ACH Trace 05603 300319716</t>
  </si>
  <si>
    <t>College Savings TYPE ACH ID 550895818 CO College Savings ACH ECC PPD ACH Trace 06585 314589474</t>
  </si>
  <si>
    <t>College Savings TYPE ACH ID 550895818 CO College Savings ACH ECC PPD ACH Trace 06972 262246145</t>
  </si>
  <si>
    <t>College Savings TYPE ACH ID 550895818 CO College Savings ACH ECC PPD ACH Trace 14824 269773836</t>
  </si>
  <si>
    <t>College Savings TYPE ACH ID 550895818 CO College Savings ACH ECC PPD ACH Trace 24598</t>
  </si>
  <si>
    <t>College Savings TYPE ACH ID 550895818 CO College Savings ACH ECC PPD ACH Trace 26955</t>
  </si>
  <si>
    <t>College Savings TYPE ACH ID 550895818 CO College Savings ACH ECC PPD ACH Trace 29893 248013599</t>
  </si>
  <si>
    <t>College Savings TYPE ACH ID 550895818 CO College Savings ACH ECC PPD ACH Trace 31021 254671635</t>
  </si>
  <si>
    <t>College Savings TYPE ACH ID 550895818 CO College Savings ACH ECC PPD ACH Trace 32941</t>
  </si>
  <si>
    <t>College Savings TYPE ACH ID 550895818 CO College Savings ACH ECC PPD ACH Trace 48247 233797400</t>
  </si>
  <si>
    <t>College Savings TYPE ACH ID 550895818 CO College Savings ACH ECC PPD ACH Trace 51883 285214068</t>
  </si>
  <si>
    <t>College Savings TYPE ACH ID 550895818 CO College Savings ACH ECC PPD ACH Trace 57639 277653602</t>
  </si>
  <si>
    <t>College Savings TYPE ACH ID 550895818 CO College Savings ACH ECC PPD ACH Trace 66891</t>
  </si>
  <si>
    <t>College Savings TYPE ACH ID 550895818 CO College Savings ACH ECC PPD ACH Trace 81051 292751231</t>
  </si>
  <si>
    <t>College Savings TYPE ACH ID 550895818 CO College Savings ACH ECC PPD ACH Trace 84657 307537522</t>
  </si>
  <si>
    <t>College Savings TYPE ACH ID 550895818 CO College Savings ACH ECC PPD ACH Trace 85767</t>
  </si>
  <si>
    <t>College Savings TYPE ACH ID 550895818 CO College Savings ACH ECC PPD ACH Trace 87923</t>
  </si>
  <si>
    <t>College Savings TYPE ACH ID 550895818 CO College Savings ACH ECC PPD ACH Trace 90074 240148343</t>
  </si>
  <si>
    <t>College Savings TYPE ACH ID 550895818 CO College Savings ACH ECC PPD ACH Trace 92474</t>
  </si>
  <si>
    <t>College Savings TYPE ACH ID 550895818 CO College Savings ACH ECC PPD ACH Trace 94544</t>
  </si>
  <si>
    <t>College Savings TYPE ACH ID 550895818 CO College Savings ACH ECC PPD ACH Trace 96055</t>
  </si>
  <si>
    <t>College Savings TYPE ACH ID XX58</t>
  </si>
  <si>
    <t>College Savings TYPE ACH ID XX58 College Savings TYPE ACH ID 550895818 CO College Savings ACH ECC PP</t>
  </si>
  <si>
    <t>College Savings TYPE ACH ID XX58 College Savings TYPE ACH ID 550895818 CO College Savings NAME BRITN</t>
  </si>
  <si>
    <t>COLLEGE TRANSCRIPT 8477163000 IL 325735429</t>
  </si>
  <si>
    <t>Colorado Parks And Wildlife RAOCOPARKSWILDLIFE CO DENVER CO TX</t>
  </si>
  <si>
    <t>Company Store</t>
  </si>
  <si>
    <t>Compass Books Cafe</t>
  </si>
  <si>
    <t>Connect Your Care Deposit connectyourcare TYPE SVBCLAIMS ID E942875288 CO connectyourcare ACH ECC PP</t>
  </si>
  <si>
    <t>CONNECTED ANALYT</t>
  </si>
  <si>
    <t>CONNECTED ANALYT TYPE DIRECT DEP ID CO CONNECTED ANALYT ACH ECC PPD ACH Trace 01223</t>
  </si>
  <si>
    <t>CONNECTED ANALYT TYPE DIRECT DEP ID CO CONNECTED ANALYT ACH ECC PPD ACH Trace 04251</t>
  </si>
  <si>
    <t>CONNECTED ANALYT TYPE DIRECT DEP ID CO CONNECTED ANALYT ACH ECC PPD ACH Trace 06101</t>
  </si>
  <si>
    <t>CONNECTED ANALYT TYPE DIRECT DEP ID CO CONNECTED ANALYT ACH ECC PPD ACH Trace 13533</t>
  </si>
  <si>
    <t>CONNECTED ANALYT TYPE DIRECT DEP ID CO CONNECTED ANALYT ACH ECC PPD ACH Trace 18540</t>
  </si>
  <si>
    <t>CONNECTED ANALYT TYPE DIRECT DEP ID CO CONNECTED ANALYT ACH ECC PPD ACH Trace 18723</t>
  </si>
  <si>
    <t>CONNECTED ANALYT TYPE DIRECT DEP ID CO CONNECTED ANALYT ACH ECC PPD ACH Trace 23754</t>
  </si>
  <si>
    <t>CONNECTED ANALYT TYPE DIRECT DEP ID CO CONNECTED ANALYT ACH ECC PPD ACH Trace 26453</t>
  </si>
  <si>
    <t>CONNECTED ANALYT TYPE DIRECT DEP ID CO CONNECTED ANALYT ACH ECC PPD ACH Trace 28396</t>
  </si>
  <si>
    <t>CONNECTED ANALYT TYPE DIRECT DEP ID CO CONNECTED ANALYT ACH ECC PPD ACH Trace 36021</t>
  </si>
  <si>
    <t>CONNECTED ANALYT TYPE DIRECT DEP ID CO CONNECTED ANALYT ACH ECC PPD ACH Trace 36704</t>
  </si>
  <si>
    <t>CONNECTED ANALYT TYPE DIRECT DEP ID CO CONNECTED ANALYT ACH ECC PPD ACH Trace 36705</t>
  </si>
  <si>
    <t>CONNECTED ANALYT TYPE DIRECT DEP ID CO CONNECTED ANALYT ACH ECC PPD ACH Trace 38660</t>
  </si>
  <si>
    <t>CONNECTED ANALYT TYPE DIRECT DEP ID CO CONNECTED ANALYT ACH ECC PPD ACH Trace 40743</t>
  </si>
  <si>
    <t>CONNECTED ANALYT TYPE DIRECT DEP ID CO CONNECTED ANALYT ACH ECC PPD ACH Trace 40983</t>
  </si>
  <si>
    <t>CONNECTED ANALYT TYPE DIRECT DEP ID CO CONNECTED ANALYT ACH ECC PPD ACH Trace 42483</t>
  </si>
  <si>
    <t>CONNECTED ANALYT TYPE DIRECT DEP ID CO CONNECTED ANALYT ACH ECC PPD ACH Trace 46623</t>
  </si>
  <si>
    <t>CONNECTED ANALYT TYPE DIRECT DEP ID CO CONNECTED ANALYT ACH ECC PPD ACH Trace 46624</t>
  </si>
  <si>
    <t>CONNECTED ANALYT TYPE DIRECT DEP ID CO CONNECTED ANALYT ACH ECC PPD ACH Trace 50360</t>
  </si>
  <si>
    <t>CONNECTED ANALYT TYPE DIRECT DEP ID CO CONNECTED ANALYT ACH ECC PPD ACH Trace 55688</t>
  </si>
  <si>
    <t>CONNECTED ANALYT TYPE DIRECT DEP ID CO CONNECTED ANALYT ACH ECC PPD ACH Trace 57769</t>
  </si>
  <si>
    <t>CONNECTED ANALYT TYPE DIRECT DEP ID CO CONNECTED ANALYT ACH ECC PPD ACH Trace 59449</t>
  </si>
  <si>
    <t>CONNECTED ANALYT TYPE DIRECT DEP ID CO CONNECTED ANALYT ACH ECC PPD ACH Trace 65555</t>
  </si>
  <si>
    <t>CONNECTED ANALYT TYPE DIRECT DEP ID CO CONNECTED ANALYT ACH ECC PPD ACH Trace 72349</t>
  </si>
  <si>
    <t>CONNECTED ANALYT TYPE DIRECT DEP ID CO CONNECTED ANALYT ACH ECC PPD ACH Trace 75316</t>
  </si>
  <si>
    <t>CONNECTED ANALYT TYPE DIRECT DEP ID CO CONNECTED ANALYT ACH ECC PPD ACH Trace 86346</t>
  </si>
  <si>
    <t>CONNECTED ANALYT TYPE DIRECT DEP ID CO CONNECTED ANALYT ACH ECC PPD ACH Trace 90799</t>
  </si>
  <si>
    <t>CONNECTED ANALYT TYPE DIRECT DEP ID CO CONNECTED ANALYT ACH ECC PPD ACH Trace 93020</t>
  </si>
  <si>
    <t>CONNECTED ANALYT TYPE DIRECT DEP ID CO CONNECTED ANALYT ACH ECC PPD ACH Trace 94092</t>
  </si>
  <si>
    <t>CONNECTED ANALYT TYPE DIRECT DEP ID CO CONNECTED ANALYT ACH ECC PPD ACH Trace 97781</t>
  </si>
  <si>
    <t>CONNECTED ANALYT TYPE DIRECT DEP ID CO CONNECTED ANALYT ACH ECC PPD ACH Trace 99171</t>
  </si>
  <si>
    <t>Connectyourcare Type Svbclaims</t>
  </si>
  <si>
    <t>connectyourcare TYPE SVBCLAIMS</t>
  </si>
  <si>
    <t>Conoco</t>
  </si>
  <si>
    <t>CONOCO  ALTA CONVENIENCESAGUACHE</t>
  </si>
  <si>
    <t>CONOCO  GUNSMOKE TRAVEL BUENA VI</t>
  </si>
  <si>
    <t>Consulting Radiologists, Ltd.</t>
  </si>
  <si>
    <t>COOKS O CROCUS HILL NORTMINNEAPOLIS MN</t>
  </si>
  <si>
    <t>Coop North</t>
  </si>
  <si>
    <t>COOPER S FOODS CHASKA MN</t>
  </si>
  <si>
    <t>Corelle Brands LLC</t>
  </si>
  <si>
    <t>CORVINO SUPPER CLUB XX3301 MO CORVINO SUPPER CLUB 9137083301 MO</t>
  </si>
  <si>
    <t>Costco</t>
  </si>
  <si>
    <t>Country Club Lanes</t>
  </si>
  <si>
    <t>Cov Wayzata</t>
  </si>
  <si>
    <t>COWBOY JACKS DOWNTOWN MINNEAPOLIS MN</t>
  </si>
  <si>
    <t>CPENERGY MNGCO TYPE MGC ACH EB ID 176051140S CO CPENERGY MNGCO ACH ECC WEB ACH Trace 01809</t>
  </si>
  <si>
    <t>CPENERGY MNGCO TYPE MGC ACH EB ID 176051140S CO CPENERGY MNGCO ACH ECC WEB ACH Trace 21554 277010533</t>
  </si>
  <si>
    <t>CPENERGY MNGCO TYPE MGC ACH EB ID 176051140S CO CPENERGY MNGCO ACH ECC WEB ACH Trace 34719 309804560</t>
  </si>
  <si>
    <t>CPENERGY MNGCO TYPE MGC ACH EB ID 176051140S CO CPENERGY MNGCO ACH ECC WEB ACH Trace 35333 296879272</t>
  </si>
  <si>
    <t>CPENERGY MNGCO TYPE MGC ACH EB ID 176051140S CO CPENERGY MNGCO ACH ECC WEB ACH Trace 41444</t>
  </si>
  <si>
    <t>CPENERGY MNGCO TYPE MGC ACH EB ID 176051140S CO CPENERGY MNGCO ACH ECC WEB ACH Trace 48839</t>
  </si>
  <si>
    <t>CPENERGY MNGCO TYPE MGC ACH EB ID 176051140S CO CPENERGY MNGCO ACH ECC WEB ACH Trace 49868 241622913</t>
  </si>
  <si>
    <t>CPENERGY MNGCO TYPE MGC ACH EB ID 176051140S CO CPENERGY MNGCO ACH ECC WEB ACH Trace 52369 267098185</t>
  </si>
  <si>
    <t>CPENERGY MNGCO TYPE MGC ACH EB ID 176051140S CO CPENERGY MNGCO ACH ECC WEB ACH Trace 59798 292947029</t>
  </si>
  <si>
    <t>CPENERGY MNGCO TYPE MGC ACH EB ID 176051140S CO CPENERGY MNGCO ACH ECC WEB ACH Trace 64687 285771764</t>
  </si>
  <si>
    <t>CPENERGY MNGCO TYPE MGC ACH EB ID 176051140S CO CPENERGY MNGCO ACH ECC WEB ACH Trace 65657</t>
  </si>
  <si>
    <t>CPENERGY MNGCO TYPE MGC ACH EB ID 176051140S CO CPENERGY MNGCO ACH ECC WEB ACH Trace 72485 317102589</t>
  </si>
  <si>
    <t>CPENERGY MNGCO TYPE MGC ACH EB ID 176051140S CO CPENERGY MNGCO ACH ECC WEB ACH Trace 72827</t>
  </si>
  <si>
    <t>CPENERGY MNGCO TYPE MGC ACH EB ID 176051140S CO CPENERGY MNGCO ACH ECC WEB ACH Trace 95950</t>
  </si>
  <si>
    <t>CPENERGY MNGCO TYPE MGC ACH EB ID 176051140S CO CPENERGY MNGCO ACH ECC WEB ACH Trace 97619 263002816</t>
  </si>
  <si>
    <t>Crate &amp; Barrel</t>
  </si>
  <si>
    <t>CRAVE EDEN PRAIRIE EDEN PRAIRIE MN</t>
  </si>
  <si>
    <t>CRAZY WOMAN LIQUOR       BUFFALO</t>
  </si>
  <si>
    <t>Cred Rebate</t>
  </si>
  <si>
    <t>CREDIT 293901530</t>
  </si>
  <si>
    <t>CREDIT 301988969</t>
  </si>
  <si>
    <t>Credit Card Payment Received</t>
  </si>
  <si>
    <t>Credit Card Payment Received PAYMENT THANK YOU</t>
  </si>
  <si>
    <t>CREEDE SNOWSHOE LODGE CREEDE CO</t>
  </si>
  <si>
    <t>CREEDE SNOWSHOE LODGE CREEDE CO 239762227</t>
  </si>
  <si>
    <t>travel</t>
  </si>
  <si>
    <t>CREEDE SNOWSHOE LODGE CREEDE CO 317034629</t>
  </si>
  <si>
    <t>CREEDE SNOWSHOE LODGE CREEDE CO 327216195</t>
  </si>
  <si>
    <t>Crisp  Green</t>
  </si>
  <si>
    <t>Crisp &amp; Green</t>
  </si>
  <si>
    <t>CRISP GREEN WAYZATA WAYZATA MN 237233383</t>
  </si>
  <si>
    <t>CROOKED PINT CHASKA CHASKA MN</t>
  </si>
  <si>
    <t>Cub Foods</t>
  </si>
  <si>
    <t>CUB FOODS 01644          9529341</t>
  </si>
  <si>
    <t>CUB FOODS 1636          SHOREWOO</t>
  </si>
  <si>
    <t>CUB VIA INSTACART HTTPSINSTACARCA 249806671</t>
  </si>
  <si>
    <t>Cultivated</t>
  </si>
  <si>
    <t>Culvers</t>
  </si>
  <si>
    <t>Culver's</t>
  </si>
  <si>
    <t>CVS</t>
  </si>
  <si>
    <t>Dairy Queen</t>
  </si>
  <si>
    <t>D'Amico Sons</t>
  </si>
  <si>
    <t>Damico Sonsgolden Vallgolden</t>
  </si>
  <si>
    <t>Dangerous Man Brewing Co.</t>
  </si>
  <si>
    <t>Davannis</t>
  </si>
  <si>
    <t>Davanni's Inc</t>
  </si>
  <si>
    <t>Dean Vending Inc</t>
  </si>
  <si>
    <t>entertainment</t>
  </si>
  <si>
    <t>Deer Run Golf Club, LLC</t>
  </si>
  <si>
    <t>Delaware North</t>
  </si>
  <si>
    <t>Delta</t>
  </si>
  <si>
    <t>Delta Air Lines</t>
  </si>
  <si>
    <t>DELTA AIR LINES INC DEL</t>
  </si>
  <si>
    <t>DEN SNARFS SANDWICHES DENVER CO 327216198</t>
  </si>
  <si>
    <t>DENVER CHOP HOUSE DEN DENVER CO 239762229</t>
  </si>
  <si>
    <t>DENVER CHOP HOUSE DEN DENVER CO 242552801</t>
  </si>
  <si>
    <t>Deposit by Check</t>
  </si>
  <si>
    <t>Deposit by Check Deposit Anywher</t>
  </si>
  <si>
    <t>Deposit by Check Deposit Anywhere check deposit</t>
  </si>
  <si>
    <t>Deposit by Check Deposit Anywhere check deposit 233928086</t>
  </si>
  <si>
    <t>Deposit by Check Deposit Anywhere check deposit 234411967</t>
  </si>
  <si>
    <t>Deposit by Check Deposit Anywhere check deposit 234411968</t>
  </si>
  <si>
    <t>Deposit by Check Deposit Anywhere check deposit 260291527</t>
  </si>
  <si>
    <t>Deposit by Check Deposit Anywhere check deposit 293744432</t>
  </si>
  <si>
    <t>Deposit by Check Deposit Anywhere check deposit 326292919</t>
  </si>
  <si>
    <t>Deposit Home Ban Member Welcome Gift</t>
  </si>
  <si>
    <t>Deposit Mobile Banking</t>
  </si>
  <si>
    <t>Deposit Transfer From TRUITTBRIT</t>
  </si>
  <si>
    <t>Deposit Transfer From TRUITTCOOPER L Share 12</t>
  </si>
  <si>
    <t>Deposit Transfer From TRUITTJEFF B Share 70 282557298</t>
  </si>
  <si>
    <t>Destination Massage</t>
  </si>
  <si>
    <t>Details</t>
  </si>
  <si>
    <t>DETAILS RESIDENTIAL SRVC 6122161751 MN 266345819</t>
  </si>
  <si>
    <t>DETAILS RESIDENTIAL SRVC 6122161751 MN 273904138</t>
  </si>
  <si>
    <t>DETAILS RESIDENTIAL SRVC 6122161751 MN 280222012</t>
  </si>
  <si>
    <t>DETAILS RESIDENTIAL SRVC 6122161751 MN 286924997</t>
  </si>
  <si>
    <t>DETAILS RESIDENTIAL SRVC 6122161751 MN 294678998</t>
  </si>
  <si>
    <t>Detello's Pizza &amp; Pasta</t>
  </si>
  <si>
    <t>DGC PICTURE CABO CABO SAN LUCAMX</t>
  </si>
  <si>
    <t>DICKS CLOTHINGSPORTING RICHFIELD MN</t>
  </si>
  <si>
    <t>Dick's Sporting</t>
  </si>
  <si>
    <t>DICKS SPORTING GOODS    CASPER</t>
  </si>
  <si>
    <t>Dillon's</t>
  </si>
  <si>
    <t>DIRECT PAY HSA TYPE ETRANSFER ID CO DIRECT PAY HSA ACH ECC PPD ACH Trace 22517 272341001</t>
  </si>
  <si>
    <t>DIRECT PAY HSA TYPE ETRANSFER ID CO DIRECT PAY HSA ACH ECC PPD ACH Trace 76607 250032022</t>
  </si>
  <si>
    <t>DIRECTPAY FULL BALANCE</t>
  </si>
  <si>
    <t>Discover Bank DISCOVER TYPE EPAYMENT ID CO DISCOVER ACH ECC WEB ACH Trace 16372</t>
  </si>
  <si>
    <t>Discover Bank DISCOVER TYPE EPAYMENT ID CO DISCOVER ACH ECC WEB ACH Trace 26115</t>
  </si>
  <si>
    <t>Discover Bank DISCOVER TYPE EPAYMENT ID CO DISCOVER ACH ECC WEB ACH Trace 28825</t>
  </si>
  <si>
    <t>Discover Bank DISCOVER TYPE EPAYMENT ID CO DISCOVER ACH ECC WEB ACH Trace 33665</t>
  </si>
  <si>
    <t>Discover Bank DISCOVER TYPE EPAYMENT ID CO DISCOVER ACH ECC WEB ACH Trace 37776</t>
  </si>
  <si>
    <t>Discover Bank DISCOVER TYPE EPAYMENT ID CO DISCOVER ACH ECC WEB ACH Trace 69851</t>
  </si>
  <si>
    <t>Discover Bank DISCOVER TYPE EPAYMENT ID CO DISCOVER ACH ECC WEB ACH Trace 72809</t>
  </si>
  <si>
    <t>Discover Bank DISCOVER TYPE EPAYMENT ID CO DISCOVER ACH ECC WEB ACH Trace 81636</t>
  </si>
  <si>
    <t>Discover Bank DISCOVER TYPE EPAYMENT ID CO DISCOVER NAME TRUITT JEFF ACH ECC WEB ACH Trace 47552</t>
  </si>
  <si>
    <t>DISCOVER TYPE EPAYMENT ID CO DISCOVER ACH ECC WEB ACH Trace 04894</t>
  </si>
  <si>
    <t>DISCOVER TYPE EPAYMENT ID CO DISCOVER ACH ECC WEB ACH Trace 09136 288830712</t>
  </si>
  <si>
    <t>DISCOVER TYPE EPAYMENT ID CO DISCOVER ACH ECC WEB ACH Trace 11808</t>
  </si>
  <si>
    <t>DISCOVER TYPE EPAYMENT ID CO DISCOVER ACH ECC WEB ACH Trace 12666 236554536</t>
  </si>
  <si>
    <t>DISCOVER TYPE EPAYMENT ID CO DISCOVER ACH ECC WEB ACH Trace 16447 291055607</t>
  </si>
  <si>
    <t>DISCOVER TYPE EPAYMENT ID CO DISCOVER ACH ECC WEB ACH Trace 17003 305306644</t>
  </si>
  <si>
    <t>DISCOVER TYPE EPAYMENT ID CO DISCOVER ACH ECC WEB ACH Trace 17218 245464338</t>
  </si>
  <si>
    <t>DISCOVER TYPE EPAYMENT ID CO DISCOVER ACH ECC WEB ACH Trace 17758 272709581</t>
  </si>
  <si>
    <t>DISCOVER TYPE EPAYMENT ID CO DISCOVER ACH ECC WEB ACH Trace 24810</t>
  </si>
  <si>
    <t>DISCOVER TYPE EPAYMENT ID CO DISCOVER ACH ECC WEB ACH Trace 30184 318454192</t>
  </si>
  <si>
    <t>DISCOVER TYPE EPAYMENT ID CO DISCOVER ACH ECC WEB ACH Trace 30484 238620406</t>
  </si>
  <si>
    <t>DISCOVER TYPE EPAYMENT ID CO DISCOVER ACH ECC WEB ACH Trace 31598</t>
  </si>
  <si>
    <t>DISCOVER TYPE EPAYMENT ID CO DISCOVER ACH ECC WEB ACH Trace 32375</t>
  </si>
  <si>
    <t>DISCOVER TYPE EPAYMENT ID CO DISCOVER ACH ECC WEB ACH Trace 39035 278871863</t>
  </si>
  <si>
    <t>DISCOVER TYPE EPAYMENT ID CO DISCOVER ACH ECC WEB ACH Trace 40664 303072059</t>
  </si>
  <si>
    <t>DISCOVER TYPE EPAYMENT ID CO DISCOVER ACH ECC WEB ACH Trace 49696</t>
  </si>
  <si>
    <t>DISCOVER TYPE EPAYMENT ID CO DISCOVER ACH ECC WEB ACH Trace 51260 329242914</t>
  </si>
  <si>
    <t>DISCOVER TYPE EPAYMENT ID CO DISCOVER ACH ECC WEB ACH Trace 56486</t>
  </si>
  <si>
    <t>DISCOVER TYPE EPAYMENT ID CO DISCOVER ACH ECC WEB ACH Trace 57497 273949348</t>
  </si>
  <si>
    <t>DISCOVER TYPE EPAYMENT ID CO DISCOVER ACH ECC WEB ACH Trace 58049</t>
  </si>
  <si>
    <t>DISCOVER TYPE EPAYMENT ID CO DISCOVER ACH ECC WEB ACH Trace 59454</t>
  </si>
  <si>
    <t>DISCOVER TYPE EPAYMENT ID CO DISCOVER ACH ECC WEB ACH Trace 61084 250274979</t>
  </si>
  <si>
    <t>DISCOVER TYPE EPAYMENT ID CO DISCOVER ACH ECC WEB ACH Trace 63021 282803685</t>
  </si>
  <si>
    <t>DISCOVER TYPE EPAYMENT ID CO DISCOVER ACH ECC WEB ACH Trace 66555 323108195</t>
  </si>
  <si>
    <t>DISCOVER TYPE EPAYMENT ID CO DISCOVER ACH ECC WEB ACH Trace 67980 263786523</t>
  </si>
  <si>
    <t>DISCOVER TYPE EPAYMENT ID CO DISCOVER ACH ECC WEB ACH Trace 68708 270408831</t>
  </si>
  <si>
    <t>DISCOVER TYPE EPAYMENT ID CO DISCOVER ACH ECC WEB ACH Trace 71849 285512728</t>
  </si>
  <si>
    <t>DISCOVER TYPE EPAYMENT ID CO DISCOVER ACH ECC WEB ACH Trace 72685 307537521</t>
  </si>
  <si>
    <t>DISCOVER TYPE EPAYMENT ID CO DISCOVER ACH ECC WEB ACH Trace 73026</t>
  </si>
  <si>
    <t>DISCOVER TYPE EPAYMENT ID CO DISCOVER ACH ECC WEB ACH Trace 78971 241622915</t>
  </si>
  <si>
    <t>DISCOVER TYPE EPAYMENT ID CO DISCOVER ACH ECC WEB ACH Trace 98890 296626646</t>
  </si>
  <si>
    <t>Disney</t>
  </si>
  <si>
    <t>DNCSS MN TWINS CONCESS MINNEAPOLIS MN
02326B</t>
  </si>
  <si>
    <t>DNCSS MN TWINS CONCESS MINNEAPOLIS MN02209B</t>
  </si>
  <si>
    <t>DNCSS MN TWINS CONCESS MINNEAPOLIS MN02281B</t>
  </si>
  <si>
    <t>Dollar Tree</t>
  </si>
  <si>
    <t>DOMINOS 1931            EXCELSIO</t>
  </si>
  <si>
    <t>Dominos Pizza</t>
  </si>
  <si>
    <t>Domino's Pizza</t>
  </si>
  <si>
    <t>DON RAMON STREET TACOS SHAKOPEE</t>
  </si>
  <si>
    <t>DOORDASH*KAIS SUSHI &amp; 6506819470 CAAPPLE PAY ENDIN</t>
  </si>
  <si>
    <t>DoorDash.com</t>
  </si>
  <si>
    <t>DOORDASHKAIS SUSHI 6506819470 CA 257881483</t>
  </si>
  <si>
    <t>DOORDASHSMASHBURGER STRIPECOM CA 246007951</t>
  </si>
  <si>
    <t>DOROTHY LANE MARKET ECO9375355707 OH</t>
  </si>
  <si>
    <t>DSW</t>
  </si>
  <si>
    <t>DSW Designer Shoe Warehouse</t>
  </si>
  <si>
    <t>DUGINS WEST PARK CITY UT</t>
  </si>
  <si>
    <t>Duluth Trading Co</t>
  </si>
  <si>
    <t>DVS MNLARS SERVICE FEE 6512966297 MN 330505980</t>
  </si>
  <si>
    <t>DVS ONLINE TAB RENEWAL 6512966297 MN 330505981</t>
  </si>
  <si>
    <t>E&amp;G - 1012 DULUTH DULUTH MN</t>
  </si>
  <si>
    <t>eBay</t>
  </si>
  <si>
    <t>eBay IncHGHXGMRL TYPE PAYMENTS I</t>
  </si>
  <si>
    <t>eBay IncZWX0ZELX TYPE PAYMENTS</t>
  </si>
  <si>
    <t>eBay TYPE PAYOUT  ID   CO eBay A</t>
  </si>
  <si>
    <t>Eden Prairie Scheels</t>
  </si>
  <si>
    <t>Edgetek Hockey</t>
  </si>
  <si>
    <t>El Loro</t>
  </si>
  <si>
    <t>ELECTRIC MUD COFFEE BAR CHICAGO IL</t>
  </si>
  <si>
    <t>Electronic Withdrawal</t>
  </si>
  <si>
    <t>Elite Nails</t>
  </si>
  <si>
    <t>ELITE NAILS LLC</t>
  </si>
  <si>
    <t>ELITE NAILS LLC CHANHASSEN MN</t>
  </si>
  <si>
    <t>Employee Benefit Type</t>
  </si>
  <si>
    <t>EMPLOYEE BENEFIT TYPE EBC ID CO</t>
  </si>
  <si>
    <t>Enki Brewing</t>
  </si>
  <si>
    <t>ENMOTIVE EVENT REGISTRATIBUFFALO GROVEIL</t>
  </si>
  <si>
    <t>Envy Brewing</t>
  </si>
  <si>
    <t>E-PAYMENT, TARGET.COM 75117869274001927737046</t>
  </si>
  <si>
    <t>E-PAYMENT, TARGET.COM 79999999200001920393945</t>
  </si>
  <si>
    <t>E-PAYMENT, TARGET.COM 79999999210001921190249</t>
  </si>
  <si>
    <t>E-PAYMENT, TARGET.COM 79999999216001921770887</t>
  </si>
  <si>
    <t>E-PAYMENT, TARGET.COM 79999999224001922632243</t>
  </si>
  <si>
    <t>Erik's Bike Shop, Inc.</t>
  </si>
  <si>
    <t>ETFMG ALTERNATIVE HARVEST ETF</t>
  </si>
  <si>
    <t>Etsy.com</t>
  </si>
  <si>
    <t>Etsycom  TwoBeesBabyBou718855795</t>
  </si>
  <si>
    <t>Evereve</t>
  </si>
  <si>
    <t>EVEREVE  60             HOPKINS</t>
  </si>
  <si>
    <t>EVEREVE - 60 HOPKINS MN</t>
  </si>
  <si>
    <t>EVEREVE  8              WAYZATA</t>
  </si>
  <si>
    <t>EVEREVE 1 MINNEAPOLIS MN</t>
  </si>
  <si>
    <t>Excelsior</t>
  </si>
  <si>
    <t>Excelsior Brewing</t>
  </si>
  <si>
    <t>Excelsior Family Dental L L C</t>
  </si>
  <si>
    <t>EXPRESS MARKET CON C DENVER CO 327216199</t>
  </si>
  <si>
    <t>Exxon</t>
  </si>
  <si>
    <t>Facebook</t>
  </si>
  <si>
    <t>FAUCETCOM 8004445783 CA</t>
  </si>
  <si>
    <t>FBPAY AlzheimersAsso donatefbcomCA</t>
  </si>
  <si>
    <t>Federal Express</t>
  </si>
  <si>
    <t>FID 500 INDEX</t>
  </si>
  <si>
    <t>Fid Bkg Svc</t>
  </si>
  <si>
    <t>FID EXTD MKT IDX</t>
  </si>
  <si>
    <t>Fields</t>
  </si>
  <si>
    <t>FIRE AND NICE ALEHOUSE MINNEAPOL</t>
  </si>
  <si>
    <t>Firewood</t>
  </si>
  <si>
    <t>FLEET FARM 3200 CARVER MN</t>
  </si>
  <si>
    <t>FLOYDS BAR AND GRILL VICTORIA MN</t>
  </si>
  <si>
    <t>FOOD HALL P1 8665083558 MN 264236914</t>
  </si>
  <si>
    <t>Foodhall FOOD HALL P1 8665083558 MN</t>
  </si>
  <si>
    <t>FORD MOTOR CO</t>
  </si>
  <si>
    <t>FORT COLLINSLAKESIDE    FORT COL</t>
  </si>
  <si>
    <t>Foss Swim School</t>
  </si>
  <si>
    <t>FOX CO LLC TYPE SALE ID CO FOX C FOX CO LLC TYPE SALE ID CO FOX CO LLC ACH ECC WEB ACH Trace 88475</t>
  </si>
  <si>
    <t>FOX CO LLC TYPE SALE ID CO FOX CO LLC ACH ECC WEB ACH Trace 15235</t>
  </si>
  <si>
    <t>Free Fly Apparel</t>
  </si>
  <si>
    <t>Free People</t>
  </si>
  <si>
    <t>FREEGEEK TWINCITIES FREEGEEKTWINCMN</t>
  </si>
  <si>
    <t>FREEWHEEL EDEN PRAIRIE XX2223 MN FREEWHEEL EDEN PRAIRIE 6123392223 MN</t>
  </si>
  <si>
    <t>Freight House, Inc</t>
  </si>
  <si>
    <t>From Share 70</t>
  </si>
  <si>
    <t>From Share 70 240148342</t>
  </si>
  <si>
    <t>From Share 70 247530039</t>
  </si>
  <si>
    <t>From Share 70 254684532</t>
  </si>
  <si>
    <t>From Share 70 262432476</t>
  </si>
  <si>
    <t>From Share 70 269586251</t>
  </si>
  <si>
    <t>From Share 70 277444321</t>
  </si>
  <si>
    <t>From Share 70 284848095</t>
  </si>
  <si>
    <t>From Share 70 292430008</t>
  </si>
  <si>
    <t>From Share 70 300366731</t>
  </si>
  <si>
    <t>From Share 70 307691904</t>
  </si>
  <si>
    <t>From Share 70 314664372</t>
  </si>
  <si>
    <t>From Share 70 322673692</t>
  </si>
  <si>
    <t>From Share 70 330752260</t>
  </si>
  <si>
    <t>Fry's Food</t>
  </si>
  <si>
    <t>FSPSAVAGE JUMP XX8517 MN FSPSAVAGE JUMP 6126058517 MN</t>
  </si>
  <si>
    <t>FTDCOM 8007363383 IL 308375848</t>
  </si>
  <si>
    <t>FULTON LLC MINNEAPOLIS MN FULTON LLC MINNEAPOLIS MN</t>
  </si>
  <si>
    <t>FULTON, LLC MINNEAPOLIS MN</t>
  </si>
  <si>
    <t>FUNDS RECEIVED</t>
  </si>
  <si>
    <t>Funds Transfer from Brokerage -5308</t>
  </si>
  <si>
    <t>Funds Transfer to Brokerage -5308</t>
  </si>
  <si>
    <t>Funds Transfer to Brokerage -7698</t>
  </si>
  <si>
    <t>Funds Transfer to Brokerage -8130</t>
  </si>
  <si>
    <t>Funds Transfer to Brokerage -9131</t>
  </si>
  <si>
    <t>GameStop</t>
  </si>
  <si>
    <t>GANDER 682 EDEN PRAIRE MN 263247602</t>
  </si>
  <si>
    <t>Gap</t>
  </si>
  <si>
    <t>Garrison Family Foods</t>
  </si>
  <si>
    <t>General Minnetonka Generalstoreofminnetonka</t>
  </si>
  <si>
    <t>General Store Cafe Inc</t>
  </si>
  <si>
    <t>General Store Of Minnetonka GENERALSTOREOFMINNETONKA MINNETONKA MN</t>
  </si>
  <si>
    <t>GERTEN GRNHS FUNDRAISING XX1501</t>
  </si>
  <si>
    <t>GIBSONS BAR STEAKHOUSE CHICAGO IL</t>
  </si>
  <si>
    <t>Gina Marias Pizza</t>
  </si>
  <si>
    <t>Girl Scouts</t>
  </si>
  <si>
    <t>GLEN ELLEN VILLAGE GLEN ELLEN CA GLEN ELLEN VILLAGE GLEN ELLEN CA</t>
  </si>
  <si>
    <t>GoFndMe Free Family s JoRedwood City CA</t>
  </si>
  <si>
    <t>GoFundMe Donate to help sRedwood</t>
  </si>
  <si>
    <t>GoFundMe Vince Glasgow MeRedwood City CA</t>
  </si>
  <si>
    <t>GoGoAir</t>
  </si>
  <si>
    <t>GOLDEN EAGLE GOLF CLUB FIFTY LAKES MN 314866779</t>
  </si>
  <si>
    <t>Gomer's Stateline</t>
  </si>
  <si>
    <t>GOOD DAY CAFE GOLDEN VALLEYMN</t>
  </si>
  <si>
    <t>Grabbagreen</t>
  </si>
  <si>
    <t>GRAND MARIAS LIQUOR STORE2183871630 MN</t>
  </si>
  <si>
    <t>GRANDE PREMIUM MEATS DEL NORTE C GRANDE PREMIUM MEATS DEL NORTE CO</t>
  </si>
  <si>
    <t>GRANDMAS SALOON GRILL DULUTH MN</t>
  </si>
  <si>
    <t>Gray Home &amp; Lifestyle Llc</t>
  </si>
  <si>
    <t>Great Mandarin Restaurant</t>
  </si>
  <si>
    <t>Greenwood Market</t>
  </si>
  <si>
    <t>Gulf</t>
  </si>
  <si>
    <t>GULL LAKE MARINA LAKESHORE MN
N742128299324959NV</t>
  </si>
  <si>
    <t>GULL LAKE MARINA LAKESHORE MN
N752128328305679NV</t>
  </si>
  <si>
    <t>HALLIBURTON CO HLDG</t>
  </si>
  <si>
    <t>Hammer Made</t>
  </si>
  <si>
    <t>HAMMER MADE RIDGEDALE MINNEAPOLIS MN</t>
  </si>
  <si>
    <t>Hampton Inn</t>
  </si>
  <si>
    <t>Handsome Hog</t>
  </si>
  <si>
    <t>Happy Garden</t>
  </si>
  <si>
    <t>Harvard Business</t>
  </si>
  <si>
    <t>Haskells</t>
  </si>
  <si>
    <t>HAZELWOOD FOOD &amp; DRINK - EXCELSIOR MN</t>
  </si>
  <si>
    <t>Hazelwood Food &amp; Drink LLC</t>
  </si>
  <si>
    <t>HAZELWOOD FOOD DRINKSTSAINT LOUIS PMN</t>
  </si>
  <si>
    <t>HBRSUBSCRIPTION 8009880886 MA</t>
  </si>
  <si>
    <t>HBRSUBSCRIPTION XX0886 MA</t>
  </si>
  <si>
    <t>misc</t>
  </si>
  <si>
    <t>HBRSUBSCRIPTION XX0886 MA HBRSUBSCRIPTION 8009880886 MA</t>
  </si>
  <si>
    <t>Hero</t>
  </si>
  <si>
    <t>Hey Day Lower Bricktown Oklahoma CityOK</t>
  </si>
  <si>
    <t>HI 5 LIQUOR VICTORIA MN 296626641</t>
  </si>
  <si>
    <t>HIGH WEST WHISKEY XX8300 UT HIGH WEST WHISKEY 14356498300 UT</t>
  </si>
  <si>
    <t>Hilton</t>
  </si>
  <si>
    <t>HIRSHFIELDS 34 CHASKACHASKA MN 281976326</t>
  </si>
  <si>
    <t>HIRSHFIELDS 34 CHASKACHASKA MN 293936096</t>
  </si>
  <si>
    <t>HM</t>
  </si>
  <si>
    <t>HMCOM 8554667467 NY</t>
  </si>
  <si>
    <t>Hmcom Ny</t>
  </si>
  <si>
    <t>Hobby Lobby</t>
  </si>
  <si>
    <t>HOLIDAY CAR WASH 340 CHASKA MN 259787378</t>
  </si>
  <si>
    <t>HOLIDAY STATIONS 0217 EDINA MN
APPLE PAY ENDING IN 8856</t>
  </si>
  <si>
    <t>transportation</t>
  </si>
  <si>
    <t>HOLIDAY STATIONS 0340 CHASKA MN
APPLE PAY ENDING IN 8856</t>
  </si>
  <si>
    <t>HOLIDAY STATIONS 0360    VICTORI</t>
  </si>
  <si>
    <t>Holiday Stationstore</t>
  </si>
  <si>
    <t>Holiday Stationstores</t>
  </si>
  <si>
    <t>HOME 2 SUITES LOUISVIL LOUISVILLE KY 251815501</t>
  </si>
  <si>
    <t>Home Depot</t>
  </si>
  <si>
    <t>Home Goods</t>
  </si>
  <si>
    <t>HONK MSP 6123751301 MN</t>
  </si>
  <si>
    <t>HORRAYHEREOS COM SALEM MA 312830396</t>
  </si>
  <si>
    <t>HOSP BLUE NET LOS CABOS BCSMX</t>
  </si>
  <si>
    <t>Hotel Chicago</t>
  </si>
  <si>
    <t>Hudson News</t>
  </si>
  <si>
    <t>HUDSON ST1854 PHILADELPHIA PA</t>
  </si>
  <si>
    <t>Hugo's</t>
  </si>
  <si>
    <t>Hy-Vee</t>
  </si>
  <si>
    <t>I WOK PHO SAVAGE MN</t>
  </si>
  <si>
    <t>IDEMIA TSA PRECHECK BILLERICA MA</t>
  </si>
  <si>
    <t>Ie Italian Eatery</t>
  </si>
  <si>
    <t>IHG POINTS AND CASH 8882119874 GA</t>
  </si>
  <si>
    <t>IMMERSIVE VAN GOGH VANGOGHMSPCOIL</t>
  </si>
  <si>
    <t>In Detail</t>
  </si>
  <si>
    <t>IN MORLEYS MAPLE SYRUP XX2301 WI</t>
  </si>
  <si>
    <t>IN NORTHERN FIRE GRILLINMINNETONKA MN</t>
  </si>
  <si>
    <t>INBOUND BREWCO MINNEAPOLIS MN</t>
  </si>
  <si>
    <t>INEFFABLE BREWING COMPAN BURNSVILLE MN</t>
  </si>
  <si>
    <t>INEFFABLE BREWING COMPANYBURNSVILLE MN</t>
  </si>
  <si>
    <t>Initial InterestEscrow Deposit</t>
  </si>
  <si>
    <t>Inneractive Playground</t>
  </si>
  <si>
    <t>Inside Edge Golf</t>
  </si>
  <si>
    <t>INST XFER 190704</t>
  </si>
  <si>
    <t>INST XFER 190708</t>
  </si>
  <si>
    <t>INST XFER 190730</t>
  </si>
  <si>
    <t>INST XFER 190805</t>
  </si>
  <si>
    <t>INST XFER 190808</t>
  </si>
  <si>
    <t>INST XFER 190815</t>
  </si>
  <si>
    <t>Instacart</t>
  </si>
  <si>
    <t>INTEL CORP</t>
  </si>
  <si>
    <t>Interactive</t>
  </si>
  <si>
    <t>INTEREST CHARGE ON PURCHASES</t>
  </si>
  <si>
    <t>Interest Income</t>
  </si>
  <si>
    <t>Interest Income 0010 APY Earned 001 040121 to 043021</t>
  </si>
  <si>
    <t>Interest Income Split Rate APY Earned 048 080121 to 083121</t>
  </si>
  <si>
    <t>Interest Income Split Rate APY Earned 057 070121 to 073121</t>
  </si>
  <si>
    <t>Interest Income Split Rate APY Earned 059 060121 to 063021</t>
  </si>
  <si>
    <t>Interest Income Split Rate APY Earned 074 090121 to 093021</t>
  </si>
  <si>
    <t>Interest Income Split Rate APY Earned 100 060121 to 063021</t>
  </si>
  <si>
    <t>Interest Income Split Rate APY Earned 100 070121 to 073121</t>
  </si>
  <si>
    <t>Interest Income Split Rate APY Earned 100 080121 to 083121</t>
  </si>
  <si>
    <t>Interest Income Split Rate APY Earned 100 100121 to 103121</t>
  </si>
  <si>
    <t>Interest Income Split Rate APY Earned 106 100121 to 103121</t>
  </si>
  <si>
    <t>Interest Income Split Rate APY Earned 128 050121 to 053121</t>
  </si>
  <si>
    <t>Interest Income Split Rate APY Earned 154 040121 to 043021</t>
  </si>
  <si>
    <t>Interest Paid</t>
  </si>
  <si>
    <t>Internal Revenue Service</t>
  </si>
  <si>
    <t>Internal Revenue Service Deposit</t>
  </si>
  <si>
    <t>INTERNET PAYMENT - THANK YOU</t>
  </si>
  <si>
    <t>Intuit TurboTax</t>
  </si>
  <si>
    <t>IRA LAST YEAR CONTRIB</t>
  </si>
  <si>
    <t>IRA REGULAR CONTRIB</t>
  </si>
  <si>
    <t>Iron Ranger</t>
  </si>
  <si>
    <t>IRONWOODBYHUDSONST1965 PHOENIX AZ</t>
  </si>
  <si>
    <t>IVS VENDING MASSAGE HOPKINS MN</t>
  </si>
  <si>
    <t>J8EXCESS FR55051352</t>
  </si>
  <si>
    <t>J8EXCESS TO89315308</t>
  </si>
  <si>
    <t>Jac &amp; Violet</t>
  </si>
  <si>
    <t>JACK AND GINGERS CHICAGO IL 248041945</t>
  </si>
  <si>
    <t>JACK PINE BREWERY BAXTER MN</t>
  </si>
  <si>
    <t>JAYHAWK FUEL PAOLA KS</t>
  </si>
  <si>
    <t>Jeffrey Bryan T</t>
  </si>
  <si>
    <t>JEFFREY BRYAN T TYPE P2P  ID   C</t>
  </si>
  <si>
    <t>JERRYS FOODS EP EDEN PRAIRIE MN 254261429</t>
  </si>
  <si>
    <t>Jimmy Johns</t>
  </si>
  <si>
    <t>Jimmy John's</t>
  </si>
  <si>
    <t>JIMMY JOHNS 923  ECO   CHANHASSE</t>
  </si>
  <si>
    <t>Joe S Kansas City Ba</t>
  </si>
  <si>
    <t>Joe's Liquors</t>
  </si>
  <si>
    <t>JOEY NOVAS EXCELSIOR MN JOEY NOVAS EXCELSIOR MN</t>
  </si>
  <si>
    <t>Joey Novas Pizzeria Deli</t>
  </si>
  <si>
    <t>JOURNAL FRM 50117431</t>
  </si>
  <si>
    <t>JOURNAL FRM 89315308</t>
  </si>
  <si>
    <t>JOURNAL FRM 89316103</t>
  </si>
  <si>
    <t>JOURNAL TO 13697698</t>
  </si>
  <si>
    <t>JOURNAL TO 26778130</t>
  </si>
  <si>
    <t>JOURNAL TO 86850937</t>
  </si>
  <si>
    <t>JOURNAL TO 94319131</t>
  </si>
  <si>
    <t>Jungle Kitchen</t>
  </si>
  <si>
    <t>JURASSIC QUEST SHOW XX0030 TX JURASSIC QUEST SHOW 3 9363200030 TX</t>
  </si>
  <si>
    <t>K TAYLOR CHASKA MN K TAYLOR CHASKA MN</t>
  </si>
  <si>
    <t>KADO NO MISEKAISEKI FURUMinneapo</t>
  </si>
  <si>
    <t>KADO NO MISEKAISEKI FURUMinneapolis MN</t>
  </si>
  <si>
    <t>KAIS SUSHI AND GRILL MINNETONKA KAIS SUSHI AND GRILL MINNETONKA MN</t>
  </si>
  <si>
    <t>KAI'S SUSHI AND GRILL MINNETONKA MN</t>
  </si>
  <si>
    <t>KAIS SUSHI GRILL 9529232456 MN</t>
  </si>
  <si>
    <t>KAIS SUSHI GRILL CHANHASSEN MN</t>
  </si>
  <si>
    <t>KAIS SUSHI GRILL CHANHASSEN MN KAIS SUSHI GRILL CHANHASSEN MN</t>
  </si>
  <si>
    <t>KAUFMAN HALL</t>
  </si>
  <si>
    <t>Kaufman Hall Type</t>
  </si>
  <si>
    <t>KAUFMAN HALL TYPE DIRECT DEP ID CO KAUFMAN HALL ACH ECC PPD ACH Trace 04238 313814117</t>
  </si>
  <si>
    <t>KAUFMAN HALL TYPE DIRECT DEP ID CO KAUFMAN HALL ACH ECC PPD ACH Trace 23271 280703582</t>
  </si>
  <si>
    <t>KAUFMAN HALL TYPE DIRECT DEP ID CO KAUFMAN HALL ACH ECC PPD ACH Trace 23813 326292920</t>
  </si>
  <si>
    <t>KAUFMAN HALL TYPE DIRECT DEP ID CO KAUFMAN HALL ACH ECC PPD ACH Trace 27130 307018562</t>
  </si>
  <si>
    <t>KAUFMAN HALL TYPE DIRECT DEP ID CO KAUFMAN HALL ACH ECC PPD ACH Trace 28234 239663913</t>
  </si>
  <si>
    <t>KAUFMAN HALL TYPE DIRECT DEP ID CO KAUFMAN HALL ACH ECC PPD ACH Trace 30482 303565265</t>
  </si>
  <si>
    <t>KAUFMAN HALL TYPE DIRECT DEP ID CO KAUFMAN HALL ACH ECC PPD ACH Trace 30833 258024835</t>
  </si>
  <si>
    <t>KAUFMAN HALL TYPE DIRECT DEP ID CO KAUFMAN HALL ACH ECC PPD ACH Trace 32137 246981486</t>
  </si>
  <si>
    <t>KAUFMAN HALL TYPE DIRECT DEP ID CO KAUFMAN HALL ACH ECC PPD ACH Trace 33315 330220170</t>
  </si>
  <si>
    <t>KAUFMAN HALL TYPE DIRECT DEP ID CO KAUFMAN HALL ACH ECC PPD ACH Trace 45671 235786428</t>
  </si>
  <si>
    <t>KAUFMAN HALL TYPE DIRECT DEP ID CO KAUFMAN HALL ACH ECC PPD ACH Trace 48884 284325465</t>
  </si>
  <si>
    <t>KAUFMAN HALL TYPE DIRECT DEP ID CO KAUFMAN HALL ACH ECC PPD ACH Trace 51695 268665478</t>
  </si>
  <si>
    <t>KAUFMAN HALL TYPE DIRECT DEP ID CO KAUFMAN HALL ACH ECC PPD ACH Trace 53450 265619897</t>
  </si>
  <si>
    <t>KAUFMAN HALL TYPE DIRECT DEP ID CO KAUFMAN HALL ACH ECC PPD ACH Trace 55623 243580727</t>
  </si>
  <si>
    <t>KAUFMAN HALL TYPE DIRECT DEP ID CO KAUFMAN HALL ACH ECC PPD ACH Trace 56404 295857735</t>
  </si>
  <si>
    <t>KAUFMAN HALL TYPE DIRECT DEP ID CO KAUFMAN HALL ACH ECC PPD ACH Trace 56405 295857734</t>
  </si>
  <si>
    <t>KAUFMAN HALL TYPE DIRECT DEP ID CO KAUFMAN HALL ACH ECC PPD ACH Trace 57012 310713908</t>
  </si>
  <si>
    <t>KAUFMAN HALL TYPE DIRECT DEP ID CO KAUFMAN HALL ACH ECC PPD ACH Trace 57761 299910540</t>
  </si>
  <si>
    <t>KAUFMAN HALL TYPE DIRECT DEP ID CO KAUFMAN HALL ACH ECC PPD ACH Trace 58075 272648292</t>
  </si>
  <si>
    <t>KAUFMAN HALL TYPE DIRECT DEP ID CO KAUFMAN HALL ACH ECC PPD ACH Trace 58727 291657926</t>
  </si>
  <si>
    <t>KAUFMAN HALL TYPE DIRECT DEP ID CO KAUFMAN HALL ACH ECC PPD ACH Trace 63599 322220066</t>
  </si>
  <si>
    <t>KAUFMAN HALL TYPE DIRECT DEP ID CO KAUFMAN HALL ACH ECC PPD ACH Trace 82004 276967602</t>
  </si>
  <si>
    <t>KAUFMAN HALL TYPE DIRECT DEP ID CO KAUFMAN HALL ACH ECC PPD ACH Trace 85835 250477000</t>
  </si>
  <si>
    <t>KAUFMAN HALL TYPE DIRECT DEP ID CO KAUFMAN HALL ACH ECC PPD ACH Trace 88462 287919112</t>
  </si>
  <si>
    <t>KAUFMAN HALL TYPE DIRECT DEP ID CO KAUFMAN HALL ACH ECC PPD ACH Trace 93065 318349382</t>
  </si>
  <si>
    <t>KAUFMAN HALL TYPE DIRECT DEP ID CO KAUFMAN HALL ACH ECC PPD ACH Trace 97525 261788891</t>
  </si>
  <si>
    <t>KAUFMAN HALL TYPE DIRECT DEP ID CO KAUFMAN HALL ACH ECC PPD ACH Trace 99822 254252705</t>
  </si>
  <si>
    <t>Kay Jewelers</t>
  </si>
  <si>
    <t>KFC/PHX I675001</t>
  </si>
  <si>
    <t>Kids Hair</t>
  </si>
  <si>
    <t>KIDS HAIR CH             CHANHAS</t>
  </si>
  <si>
    <t>KIDS HAIR CH CHANHASSEN MN</t>
  </si>
  <si>
    <t>KIDS HAIR CH CHANHASSEN MN KIDS HAIR CH CHANHASSEN MN</t>
  </si>
  <si>
    <t>King Tobaccobaxter</t>
  </si>
  <si>
    <t>shopping</t>
  </si>
  <si>
    <t>KIPS GRILL 7196580220 CO</t>
  </si>
  <si>
    <t>KNOLLWOOD LIQUOR MINNEAPOLIS MN</t>
  </si>
  <si>
    <t>Kohl's</t>
  </si>
  <si>
    <t>KONA GRILL MINNETONKA MINNETONKA MN</t>
  </si>
  <si>
    <t>KONA GRILL MINNETONKA MINNETONKA MN 238658240</t>
  </si>
  <si>
    <t>Kowalski's</t>
  </si>
  <si>
    <t>KOWALSKIS MARKET        EDEN PRA</t>
  </si>
  <si>
    <t>Kum &amp; Go</t>
  </si>
  <si>
    <t>KUMGO 0913 LONGMONT     LONGMONT</t>
  </si>
  <si>
    <t>Kwik Trip</t>
  </si>
  <si>
    <t>KWIK TRIP  88600008862   CHASKA</t>
  </si>
  <si>
    <t>KWIK TRIP 00001495691 SAINT CLOUD MN</t>
  </si>
  <si>
    <t>L.L. Bean</t>
  </si>
  <si>
    <t>L2GCARVER CO RECORDS 952CHASKA MN 293936097</t>
  </si>
  <si>
    <t>LA COMER LA CASCADA LOS CABOS MX</t>
  </si>
  <si>
    <t>LA TAQUIZA CABO SAN LUCAMX</t>
  </si>
  <si>
    <t>LADUREE B84 LE MESNIL AMEFR 253898719</t>
  </si>
  <si>
    <t>LAEDERACH CHOCOLATGENEVE, #0000001900</t>
  </si>
  <si>
    <t>Lago Tacos</t>
  </si>
  <si>
    <t>LAKE SUPERIOR TRADING GRAND MARA</t>
  </si>
  <si>
    <t>LAKEWINDS  CHANHASSEN   CHANHASS</t>
  </si>
  <si>
    <t>LAKEWINDS CHANHASSEN CHANHASSEN MN</t>
  </si>
  <si>
    <t>LAKEWINDS CHANHASSEN CHANHASSEN MN 252093555</t>
  </si>
  <si>
    <t>Lakewinds Food Coop LAKEWINDS CHANHASSEN CHANHASSEN MN</t>
  </si>
  <si>
    <t>Lancer</t>
  </si>
  <si>
    <t>LAT14 MINNEAPOLIS MN</t>
  </si>
  <si>
    <t>LATE FEE</t>
  </si>
  <si>
    <t>LAUNDRY STEAMBOAT CO</t>
  </si>
  <si>
    <t>Leeann Chin</t>
  </si>
  <si>
    <t>LEVELUP*ROTIMODERNMEDI 855-466-5585 MA90MB929M</t>
  </si>
  <si>
    <t>LEVELUP*ROTIMODERNMEDI 855-466-5585 MAQVWH4CKC</t>
  </si>
  <si>
    <t>LEVELUPROTI393257141 855-538-3542 MA</t>
  </si>
  <si>
    <t>Licks Unlimited</t>
  </si>
  <si>
    <t>LIFE TIME CAFE #172 MINNEAPOLIS MN02145B</t>
  </si>
  <si>
    <t>LIFE TIME CAFE 151Q48 CHANHASSEN MN 261154408</t>
  </si>
  <si>
    <t>LIFE TIME CAFE 151Q48 CHANHASSEN MN 263027716</t>
  </si>
  <si>
    <t>LIFE TIME CAFE 151Q48 CHANHASSEN MN 265419533</t>
  </si>
  <si>
    <t>LIFE TIME CAFE 151Q48 CHANHASSEN MN 268385464</t>
  </si>
  <si>
    <t>LIFE TIME CAFE 151Q48 CHANHASSEN MN 272880974</t>
  </si>
  <si>
    <t>LIFE TIME CAFE 151Q48 CHANHASSEN MN 272881011</t>
  </si>
  <si>
    <t>LIFE TIME CAFE 151Q48 CHANHASSEN MN 279364373</t>
  </si>
  <si>
    <t>LIFE TIME CAFE 151Q48 CHANHASSEN MN 283353092</t>
  </si>
  <si>
    <t>LIFE TIME CAFE 151Q48 CHANHASSEN MN 284076139</t>
  </si>
  <si>
    <t>LIFE TIME CAFE 151Q48 CHANHASSEN MN 287193126</t>
  </si>
  <si>
    <t>LIFE TIME CAFE 151Q48 CHANHASSEN MN 288763275</t>
  </si>
  <si>
    <t>LIFE TIME CAFE 151Q48 CHANHASSEN MN 293936098</t>
  </si>
  <si>
    <t>LIFE TIME CAFE 151Q48 CHANHASSEN MN01156B</t>
  </si>
  <si>
    <t>LIFE TIME CAFE 151Q48 CHANHASSEN MN01353B</t>
  </si>
  <si>
    <t>Life Time Fitness Inc.</t>
  </si>
  <si>
    <t>Lifetouch</t>
  </si>
  <si>
    <t>LIONS TAP EDEN PRAIRIE MN</t>
  </si>
  <si>
    <t>LIONS TAP EDEN PRAIRIE MN 322220065</t>
  </si>
  <si>
    <t>LIONS TAP EDEN PRAIRIE MN LIONS TAP EDEN PRAIRIE MN</t>
  </si>
  <si>
    <t>LIQUID AMBITIONS LIQUOR CREEDE CO</t>
  </si>
  <si>
    <t>LIQUID AMBITIONS LIQUOR CREEDE CO 327023375</t>
  </si>
  <si>
    <t>LIQUOR BOY MINNEAPOLIS MN</t>
  </si>
  <si>
    <t>LIVING SPACES MOBILE httpsipchaCA</t>
  </si>
  <si>
    <t>LOAF N JUG 0110         CASPER</t>
  </si>
  <si>
    <t>London</t>
  </si>
  <si>
    <t>Lonesome Pine LLC</t>
  </si>
  <si>
    <t>LONESOME PINE RESTAURANT DEERWOOD MN</t>
  </si>
  <si>
    <t>LONESOME PINE RESTAURANT DEERWOOD MN 249806670</t>
  </si>
  <si>
    <t>LORD FLETCHERS SPRING PARK MN</t>
  </si>
  <si>
    <t>Lowe's</t>
  </si>
  <si>
    <t>LOWES 00907 8664837521 NC</t>
  </si>
  <si>
    <t>LOWES COMPANIES INC</t>
  </si>
  <si>
    <t>LOWES COS INC</t>
  </si>
  <si>
    <t>LS SAN JUAN SPORTS       1866932</t>
  </si>
  <si>
    <t>LS SAN JUAN SPORTS 18669321801 CO</t>
  </si>
  <si>
    <t>LS SAN JUAN SPORTS CREEDE CO 327985893</t>
  </si>
  <si>
    <t>LS SAN JUAN SPORTS XX1801 CO LS SAN JUAN SPORTS 18669321801 CO</t>
  </si>
  <si>
    <t>LS SOUTH LAKE CYCLE      9524743</t>
  </si>
  <si>
    <t>LS TSHIRT SHOP          18669321</t>
  </si>
  <si>
    <t>LS TSHIRT SHOP CREEDE CO</t>
  </si>
  <si>
    <t>LTFLIFE TIME MO DUES 8884306432 MN 263027715</t>
  </si>
  <si>
    <t>LTFLIFE TIME MO DUES 8884306432 MN 272880989</t>
  </si>
  <si>
    <t>LTFLIFE TIME MO DUES 8884306432 MN 278573817</t>
  </si>
  <si>
    <t>LTFLIFE TIME MO DUES 8884306432 MN 285143880</t>
  </si>
  <si>
    <t>LTFLIFE TIME MO DUES 8884306432 MN 292947024</t>
  </si>
  <si>
    <t>LTFLIFE TIME MO DUES 8884306432 MN 317374249</t>
  </si>
  <si>
    <t>LTFLIFE TIME MO DUES 8884306432 MN 323336208</t>
  </si>
  <si>
    <t>LTI ARAPAHOE BASIN SK HTTPSWWWLIFTCA 279877916</t>
  </si>
  <si>
    <t>Lucky</t>
  </si>
  <si>
    <t>LUCKY SEVEN GENERAL STOREBALSAM</t>
  </si>
  <si>
    <t>Lululemon</t>
  </si>
  <si>
    <t>Lululemon Athletica</t>
  </si>
  <si>
    <t>LULULEMONCOM            87726393</t>
  </si>
  <si>
    <t>LULUSCOM HTTPSWWWLULUCA</t>
  </si>
  <si>
    <t>Lund's</t>
  </si>
  <si>
    <t>Lunds  Byerlys</t>
  </si>
  <si>
    <t>LUNDSBYERLYS CHANH      CHANHASS</t>
  </si>
  <si>
    <t>Lutsen Mountains</t>
  </si>
  <si>
    <t>LUTSEN MOUNTAINS 9999999999 MN</t>
  </si>
  <si>
    <t>LUTSEN MOUNTAINS FB WWWLUTSENCOMN</t>
  </si>
  <si>
    <t>Lyft</t>
  </si>
  <si>
    <t>LYFT   1 RIDE 0708     LYFTCOM</t>
  </si>
  <si>
    <t>MACKENTHUNS CARIBOU WACONIA MN 288192193</t>
  </si>
  <si>
    <t>MACKENTHUNSMEATSANDDELI ST BONIF MACKENTHUNSMEATSANDDELI ST BONIFACIUSMN</t>
  </si>
  <si>
    <t>MACKENTHUNSMEATSANDDELI ST BONIFACIUSMN</t>
  </si>
  <si>
    <t>Mac's</t>
  </si>
  <si>
    <t>Macy's</t>
  </si>
  <si>
    <t>MACYS TYPE PAYMENT ID CITIGPUFDR CO MACYS ACH ECC PPD ACH Trace 07912 305306645</t>
  </si>
  <si>
    <t>MADEWELLCOM 8665441937 NY 323603621</t>
  </si>
  <si>
    <t>MAGERS AND QUINN BOOKSELLMINNEAPOLIS MN</t>
  </si>
  <si>
    <t>Mall of America</t>
  </si>
  <si>
    <t>Marathon</t>
  </si>
  <si>
    <t>Marketplace Iga</t>
  </si>
  <si>
    <t>Marriott</t>
  </si>
  <si>
    <t>MAVERIK 502 ALLIANCE NE</t>
  </si>
  <si>
    <t>MAVERIK CNTRY STRE 199 SALT LAKE CTYUT</t>
  </si>
  <si>
    <t>Maynard's</t>
  </si>
  <si>
    <t>MAYNARDS EXCELSIOR THE EXCELSIOR</t>
  </si>
  <si>
    <t>Maynards Restaurant</t>
  </si>
  <si>
    <t>Maynards Restaurant MAYNARDS EXCELSIOR EXCELSIOR MN</t>
  </si>
  <si>
    <t>McDonald's</t>
  </si>
  <si>
    <t>McLains Bakery</t>
  </si>
  <si>
    <t>MEDTRONIC TWIN CITIES HTTPSRACER MEDTRONIC TWIN CITIES HTTPSRACEROSTMA</t>
  </si>
  <si>
    <t>Menard</t>
  </si>
  <si>
    <t>MERCATOCO MERCATOCO HTTPSWWWMERCNY</t>
  </si>
  <si>
    <t>METCALF LIQUORS OVERLAND PARKKS 312830393</t>
  </si>
  <si>
    <t>MGM Liquor Warehouse</t>
  </si>
  <si>
    <t>MHCHILDCARELLC TYPE DUES ID CO M</t>
  </si>
  <si>
    <t>MHCHILDCARELLC TYPE DUES ID CO M MHCHILDCARELLC TYPE DUES ID CO MHCHILDCARELLC ACH ECC PPD ACH Trace</t>
  </si>
  <si>
    <t>MHCHILDCARELLC TYPE DUES ID CO MHCHILDCARELLC ACH ECC PPD ACH Trace 00898</t>
  </si>
  <si>
    <t>MHCHILDCARELLC TYPE DUES ID CO MHCHILDCARELLC ACH ECC PPD ACH Trace 01230</t>
  </si>
  <si>
    <t>MHCHILDCARELLC TYPE DUES ID CO MHCHILDCARELLC ACH ECC PPD ACH Trace 01956</t>
  </si>
  <si>
    <t>MHCHILDCARELLC TYPE DUES ID CO MHCHILDCARELLC ACH ECC PPD ACH Trace 02204</t>
  </si>
  <si>
    <t>MHCHILDCARELLC TYPE DUES ID CO MHCHILDCARELLC ACH ECC PPD ACH Trace 05955</t>
  </si>
  <si>
    <t>MHCHILDCARELLC TYPE DUES ID CO MHCHILDCARELLC ACH ECC PPD ACH Trace 07207</t>
  </si>
  <si>
    <t>MHCHILDCARELLC TYPE DUES ID CO MHCHILDCARELLC ACH ECC PPD ACH Trace 08784</t>
  </si>
  <si>
    <t>MHCHILDCARELLC TYPE DUES ID CO MHCHILDCARELLC ACH ECC PPD ACH Trace 10621</t>
  </si>
  <si>
    <t>MHCHILDCARELLC TYPE DUES ID CO MHCHILDCARELLC ACH ECC PPD ACH Trace 11534</t>
  </si>
  <si>
    <t>MHCHILDCARELLC TYPE DUES ID CO MHCHILDCARELLC ACH ECC PPD ACH Trace 11581</t>
  </si>
  <si>
    <t>MHCHILDCARELLC TYPE DUES ID CO MHCHILDCARELLC ACH ECC PPD ACH Trace 11813</t>
  </si>
  <si>
    <t>MHCHILDCARELLC TYPE DUES ID CO MHCHILDCARELLC ACH ECC PPD ACH Trace 11884 324320775</t>
  </si>
  <si>
    <t>MHCHILDCARELLC TYPE DUES ID CO MHCHILDCARELLC ACH ECC PPD ACH Trace 12751 286952561</t>
  </si>
  <si>
    <t>MHCHILDCARELLC TYPE DUES ID CO MHCHILDCARELLC ACH ECC PPD ACH Trace 16096</t>
  </si>
  <si>
    <t>MHCHILDCARELLC TYPE DUES ID CO MHCHILDCARELLC ACH ECC PPD ACH Trace 18699 328055134</t>
  </si>
  <si>
    <t>MHCHILDCARELLC TYPE DUES ID CO MHCHILDCARELLC ACH ECC PPD ACH Trace 19209</t>
  </si>
  <si>
    <t>MHCHILDCARELLC TYPE DUES ID CO MHCHILDCARELLC ACH ECC PPD ACH Trace 23510 288830711</t>
  </si>
  <si>
    <t>MHCHILDCARELLC TYPE DUES ID CO MHCHILDCARELLC ACH ECC PPD ACH Trace 27593 295253491</t>
  </si>
  <si>
    <t>MHCHILDCARELLC TYPE DUES ID CO MHCHILDCARELLC ACH ECC PPD ACH Trace 28065 326110214</t>
  </si>
  <si>
    <t>MHCHILDCARELLC TYPE DUES ID CO MHCHILDCARELLC ACH ECC PPD ACH Trace 35958</t>
  </si>
  <si>
    <t>MHCHILDCARELLC TYPE DUES ID CO MHCHILDCARELLC ACH ECC PPD ACH Trace 36126</t>
  </si>
  <si>
    <t>MHCHILDCARELLC TYPE DUES ID CO MHCHILDCARELLC ACH ECC PPD ACH Trace 37638</t>
  </si>
  <si>
    <t>MHCHILDCARELLC TYPE DUES ID CO MHCHILDCARELLC ACH ECC PPD ACH Trace 41649 285214069</t>
  </si>
  <si>
    <t>MHCHILDCARELLC TYPE DUES ID CO MHCHILDCARELLC ACH ECC PPD ACH Trace 42103</t>
  </si>
  <si>
    <t>MHCHILDCARELLC TYPE DUES ID CO MHCHILDCARELLC ACH ECC PPD ACH Trace 44258</t>
  </si>
  <si>
    <t>MHCHILDCARELLC TYPE DUES ID CO MHCHILDCARELLC ACH ECC PPD ACH Trace 45745</t>
  </si>
  <si>
    <t>MHCHILDCARELLC TYPE DUES ID CO MHCHILDCARELLC ACH ECC PPD ACH Trace 49909</t>
  </si>
  <si>
    <t>MHCHILDCARELLC TYPE DUES ID CO MHCHILDCARELLC ACH ECC PPD ACH Trace 50354</t>
  </si>
  <si>
    <t>MHCHILDCARELLC TYPE DUES ID CO MHCHILDCARELLC ACH ECC PPD ACH Trace 50408 322288612</t>
  </si>
  <si>
    <t>MHCHILDCARELLC TYPE DUES ID CO MHCHILDCARELLC ACH ECC PPD ACH Trace 57643</t>
  </si>
  <si>
    <t>MHCHILDCARELLC TYPE DUES ID CO MHCHILDCARELLC ACH ECC PPD ACH Trace 61699</t>
  </si>
  <si>
    <t>MHCHILDCARELLC TYPE DUES ID CO MHCHILDCARELLC ACH ECC PPD ACH Trace 61880 329517828</t>
  </si>
  <si>
    <t>MHCHILDCARELLC TYPE DUES ID CO MHCHILDCARELLC ACH ECC PPD ACH Trace 68390</t>
  </si>
  <si>
    <t>MHCHILDCARELLC TYPE DUES ID CO MHCHILDCARELLC ACH ECC PPD ACH Trace 69445</t>
  </si>
  <si>
    <t>MHCHILDCARELLC TYPE DUES ID CO MHCHILDCARELLC ACH ECC PPD ACH Trace 69504</t>
  </si>
  <si>
    <t>MHCHILDCARELLC TYPE DUES ID CO MHCHILDCARELLC ACH ECC PPD ACH Trace 70218</t>
  </si>
  <si>
    <t>MHCHILDCARELLC TYPE DUES ID CO MHCHILDCARELLC ACH ECC PPD ACH Trace 70564</t>
  </si>
  <si>
    <t>MHCHILDCARELLC TYPE DUES ID CO MHCHILDCARELLC ACH ECC PPD ACH Trace 76926 321376193</t>
  </si>
  <si>
    <t>MHCHILDCARELLC TYPE DUES ID CO MHCHILDCARELLC ACH ECC PPD ACH Trace 77275 290529206</t>
  </si>
  <si>
    <t>MHCHILDCARELLC TYPE DUES ID CO MHCHILDCARELLC ACH ECC PPD ACH Trace 78019 292751229</t>
  </si>
  <si>
    <t>MHCHILDCARELLC TYPE DUES ID CO MHCHILDCARELLC ACH ECC PPD ACH Trace 78848</t>
  </si>
  <si>
    <t>MHCHILDCARELLC TYPE DUES ID CO MHCHILDCARELLC ACH ECC PPD ACH Trace 80504</t>
  </si>
  <si>
    <t>MHCHILDCARELLC TYPE DUES ID CO MHCHILDCARELLC ACH ECC PPD ACH Trace 80800</t>
  </si>
  <si>
    <t>MHCHILDCARELLC TYPE DUES ID CO MHCHILDCARELLC ACH ECC PPD ACH Trace 82900</t>
  </si>
  <si>
    <t>MHCHILDCARELLC TYPE DUES ID CO MHCHILDCARELLC ACH ECC PPD ACH Trace 85450</t>
  </si>
  <si>
    <t>MHCHILDCARELLC TYPE DUES ID CO MHCHILDCARELLC ACH ECC PPD ACH Trace 85615</t>
  </si>
  <si>
    <t>MHCHILDCARELLC TYPE DUES ID CO MHCHILDCARELLC ACH ECC PPD ACH Trace 94142</t>
  </si>
  <si>
    <t>MHCHILDCARELLC TYPE DUES ID CO MHCHILDCARELLC ACH ECC PPD ACH Trace 97179 300319715</t>
  </si>
  <si>
    <t>MHCHILDCARELLC TYPE DUES ID CO MHCHILDCARELLC ACH ECC PPD ACH Trace 98967</t>
  </si>
  <si>
    <t>MHCHILDCARELLC TYPE DUES ID CO MHCHILDCARELLC ACH ECC PPD ACH Trace X7985</t>
  </si>
  <si>
    <t>MICHAEL MURPHYS OKLAHOMA CITYOK</t>
  </si>
  <si>
    <t>Michaels</t>
  </si>
  <si>
    <t>Microsoft</t>
  </si>
  <si>
    <t>Midwest Aqua Care</t>
  </si>
  <si>
    <t>Midwest Aqua Care Inc</t>
  </si>
  <si>
    <t>Milano</t>
  </si>
  <si>
    <t>Milios</t>
  </si>
  <si>
    <t>Milios Sandwiches</t>
  </si>
  <si>
    <t>Milio's Sandwiches</t>
  </si>
  <si>
    <t>MILK MOMS INC 7634130129 MN 279617416</t>
  </si>
  <si>
    <t>Mille Lac's Liquor &amp; Gas</t>
  </si>
  <si>
    <t>Mindys Hot Chocolate Chicago IL 248335272</t>
  </si>
  <si>
    <t>MINNEAPOLIS AIRPORT SAINT PAUL MN</t>
  </si>
  <si>
    <t>MINNEAPOLIS AIRPORT SAINT PAUL MN 239762228</t>
  </si>
  <si>
    <t>MINNEAPOLIS AIRPORT SAINT PAUL MN 249163412</t>
  </si>
  <si>
    <t>MINNEAPOLIS AIRPORT SAINT PAUL MN 251562056</t>
  </si>
  <si>
    <t>Minneapolis, MN</t>
  </si>
  <si>
    <t>Minneapolissaint Paul Internatio MINNEAPOLIS AIRPORT SAINT PAUL MN</t>
  </si>
  <si>
    <t>Minnesota</t>
  </si>
  <si>
    <t>Minnesota Makers</t>
  </si>
  <si>
    <t>Minnesota State Parks</t>
  </si>
  <si>
    <t>Minnetonka Community Church</t>
  </si>
  <si>
    <t>MinnetonkaCommEd TYPE PURCHASE ID CO MinnetonkaCommEd ACH ECC WEB ACH Trace 82251 316828020</t>
  </si>
  <si>
    <t>Minnetonkacommed Type Reversal</t>
  </si>
  <si>
    <t>utilities</t>
  </si>
  <si>
    <t>Minnwest Bank</t>
  </si>
  <si>
    <t>MINTED LLC MINTEDCOM CA</t>
  </si>
  <si>
    <t>MINTED LLC MINTEDCOM CA 263741857</t>
  </si>
  <si>
    <t>Mister Car Wash</t>
  </si>
  <si>
    <t>MISTER CAR WASH 611 EDEN PRAIRIE MN</t>
  </si>
  <si>
    <t>Miyabi</t>
  </si>
  <si>
    <t>MIYABI EXCELSIOR MN</t>
  </si>
  <si>
    <t>MN COURT CARVER SERVICE FXX4757 MN COURT CARVER SERVICE F8668014757 IN</t>
  </si>
  <si>
    <t>MN COURT CARVER XX3219 MN MN COURT CARVER 6512813219 MN</t>
  </si>
  <si>
    <t>MN COURT HENNEPIN 6512813219 MN</t>
  </si>
  <si>
    <t>MN COURT HENNEPIN WEB SER8668014757 IN</t>
  </si>
  <si>
    <t>MN DIR ACH CONTRIB 021921</t>
  </si>
  <si>
    <t>MN DIR ACH CONTRIB 122820</t>
  </si>
  <si>
    <t>MN DIR ACH CONTRIB 122920</t>
  </si>
  <si>
    <t>MN DIR ACH TYPE CONTRIB ID CO MN</t>
  </si>
  <si>
    <t>MN DIR ACH TYPE CONTRIB ID CO MN DIR ACH ACH ECC WEB ACH Trace 01531</t>
  </si>
  <si>
    <t>MN DIR ACH TYPE CONTRIB ID CO MN DIR ACH ACH ECC WEB ACH Trace 04165 292947030</t>
  </si>
  <si>
    <t>MN DIR ACH TYPE CONTRIB ID CO MN DIR ACH ACH ECC WEB ACH Trace 04651 327536354</t>
  </si>
  <si>
    <t>MN DIR ACH TYPE CONTRIB ID CO MN DIR ACH ACH ECC WEB ACH Trace 11205</t>
  </si>
  <si>
    <t>MN DIR ACH TYPE CONTRIB ID CO MN DIR ACH ACH ECC WEB ACH Trace 17343</t>
  </si>
  <si>
    <t>MN DIR ACH TYPE CONTRIB ID CO MN DIR ACH ACH ECC WEB ACH Trace 46107 311381116</t>
  </si>
  <si>
    <t>MN DIR ACH TYPE CONTRIB ID CO MN DIR ACH ACH ECC WEB ACH Trace 47209</t>
  </si>
  <si>
    <t>MN DIR ACH TYPE CONTRIB ID CO MN DIR ACH ACH ECC WEB ACH Trace 51871</t>
  </si>
  <si>
    <t>MN DIR ACH TYPE CONTRIB ID CO MN DIR ACH ACH ECC WEB ACH Trace 55661 319352964</t>
  </si>
  <si>
    <t>MN DIR ACH TYPE CONTRIB ID CO MN DIR ACH ACH ECC WEB ACH Trace 68811 304831531</t>
  </si>
  <si>
    <t>MN DIR ACH TYPE CONTRIB ID CO MN DIR ACH ACH ECC WEB ACH Trace 71599</t>
  </si>
  <si>
    <t>MN DIR ACH TYPE CONTRIB ID CO MN DIR ACH ACH ECC WEB ACH Trace 73791</t>
  </si>
  <si>
    <t>MN DIR ACH TYPE CONTRIB ID CO MN DIR ACH ACH ECC WEB ACH Trace 97941 297122971</t>
  </si>
  <si>
    <t>MN DIR ACH TYPE CONTRIB ID CO MN DIR ACH ACH ECC WEB ACH Trace X7949</t>
  </si>
  <si>
    <t>MN DIR ACH TYPE CONTRIB ID CO MN MN DIR ACH TYPE CONTRIB ID CO MN DIR ACH ACH ECC WEB ACH Trace 1898</t>
  </si>
  <si>
    <t>MN DIR ACH TYPE CONTRIB ID CO MN MN DIR ACH TYPE CONTRIB ID CO MN DIR ACH ACH ECC WEB ACH Trace 2691</t>
  </si>
  <si>
    <t>MN DIR ACH TYPE CONTRIB ID CO MN MN DIR ACH TYPE CONTRIB ID CO MN DIR ACH ACH ECC WEB ACH Trace 5112</t>
  </si>
  <si>
    <t>MN DIR ACH TYPE CONTRIB ID CO MN MN DIR ACH TYPE CONTRIB ID CO MN DIR ACH ACH ECC WEB ACH Trace 6316</t>
  </si>
  <si>
    <t>MN DIR ACH TYPE CONTRIB ID CO MN MN DIR ACH TYPE CONTRIB ID CO MN DIR ACH ACH ECC WEB ACH Trace 7396</t>
  </si>
  <si>
    <t>MN DIR ACH TYPE CONTRIB ID CO MN MN DIR ACH TYPE CONTRIB ID CO MN DIR ACH ACH ECC WEB ACH Trace 8001</t>
  </si>
  <si>
    <t>MN DIR ACH TYPE CONTRIB ID CO MN MN DIR ACH TYPE CONTRIB ID CO MN DIR ACH ACH ECC WEB ACH Trace 8200</t>
  </si>
  <si>
    <t>MN DIR ACH TYPE CONTRIB ID CO MN MN DIR ACH TYPE CONTRIB ID CO MN DIR ACH ACH ECC WEB ACH Trace 8784</t>
  </si>
  <si>
    <t>MN DIR ACH TYPE CONTRIB ID CO MN MN DIR ACH TYPE CONTRIB ID CO MN DIR ACH NAME 219 1 ACH ECC WEB ACH</t>
  </si>
  <si>
    <t>MN DIR ACH TYPE CONTRIB ID CO MN MN DIR ACH TYPE CONTRIB ID CO MN DIR ACH NAME 577 1 ACH ECC WEB ACH</t>
  </si>
  <si>
    <t>MN DIR ACH TYPE CONTRIB ID CO MN MN DIR ACH TYPE CONTRIB ID CO MN DIR ACH NAME 734 1 ACH ECC WEB ACH</t>
  </si>
  <si>
    <t>MN DRIVER AND VEHICLE XXXXX3298</t>
  </si>
  <si>
    <t>MN DRIVER AND VEHICLE XXXXXX2973</t>
  </si>
  <si>
    <t>MN DVS MLR TYPE conv fee ID E987654321 CO MN DVS MLR ACH ECC WEB ACH Trace 21096 244913432</t>
  </si>
  <si>
    <t>MN DVS MLR TYPE conv fee ID E987654321 CO MN DVS MLR ACH ECC WEB ACH Trace 68965</t>
  </si>
  <si>
    <t>MN DVS MLR TYPE epayment ID 416007162P CO MN DVS MLR ACH ECC WEB ACH Trace 30426</t>
  </si>
  <si>
    <t>MN DVS MLR TYPE epayment ID 416007162P CO MN DVS MLR ACH ECC WEB ACH Trace 83493 244913435</t>
  </si>
  <si>
    <t>MN LAND ARBORETUM WWWARBORETUMMN</t>
  </si>
  <si>
    <t>MN State Tax</t>
  </si>
  <si>
    <t>MODSYCOM WWWMODSYCOMCA</t>
  </si>
  <si>
    <t>Modsycom Wwwmodsycomca</t>
  </si>
  <si>
    <t>Modsycom Wwwmodsycomca Modsycom</t>
  </si>
  <si>
    <t>MODSYCOM WWWMODSYCOMCA MODSYCOM WWWMODSYCOMCA</t>
  </si>
  <si>
    <t>MOGULS GRILLE AND TAP XX8060 MN</t>
  </si>
  <si>
    <t>Momo Sushi LLC</t>
  </si>
  <si>
    <t>MONTE CARLO              MINNEAP</t>
  </si>
  <si>
    <t>MONTE CARLO MINNEAPOLIS MN</t>
  </si>
  <si>
    <t>MOREY'S SEAFOOD MARKETS BAXTER MN</t>
  </si>
  <si>
    <t>MOUNTAIN RESORTS LLC 9708751933 CO</t>
  </si>
  <si>
    <t>MOUNTAIN SHOPS, INC LUTSEN MN</t>
  </si>
  <si>
    <t>MOUNTAIN TAP BREWERY STEAMBOAT SPRCO</t>
  </si>
  <si>
    <t>MOUNTAIN VIEW CAR WASH STEAMBOAT SPRCO</t>
  </si>
  <si>
    <t>MOUSSE SPARKLING WINE CO JORDAN</t>
  </si>
  <si>
    <t>MPLSMETERSAPP 8090 6123437275 MN</t>
  </si>
  <si>
    <t>MPLSMETERSAPP 8090 6123437275 MN 294679000</t>
  </si>
  <si>
    <t>MSP AIRPORT PARKING SAINT PAUL MN</t>
  </si>
  <si>
    <t>MSP CAMDEN FOOD 6751162 SAINT PAUL MN</t>
  </si>
  <si>
    <t>MSP CAMDEN FOOD XX1162 SAINT PAU</t>
  </si>
  <si>
    <t>MSP HUDSON ST2295        SAINT P</t>
  </si>
  <si>
    <t>MSP HUDSON ST2295 SAINT PAUL MN</t>
  </si>
  <si>
    <t>MSP REPUBLIC BARD 6751200SAINT P</t>
  </si>
  <si>
    <t>Nas Thai Cafe Inc</t>
  </si>
  <si>
    <t>NASHVILLE COOP SAINT PAUL MN</t>
  </si>
  <si>
    <t>National Car</t>
  </si>
  <si>
    <t>Naviya's</t>
  </si>
  <si>
    <t>NEMADJI GOLF COURSE SUPERIOR WI</t>
  </si>
  <si>
    <t>Nespresso</t>
  </si>
  <si>
    <t>NESPRESSO USA 8886377737 NY</t>
  </si>
  <si>
    <t>Neste</t>
  </si>
  <si>
    <t>Netflix</t>
  </si>
  <si>
    <t>NETFLIX.COM NETFLIX.COM CA
NETFLIX.COM</t>
  </si>
  <si>
    <t>Noodles  Company</t>
  </si>
  <si>
    <t>Noodles &amp; Company</t>
  </si>
  <si>
    <t>Noom</t>
  </si>
  <si>
    <t>Nordstrom</t>
  </si>
  <si>
    <t>North Coop</t>
  </si>
  <si>
    <t>NORTH COOP CHAHASSEN MN</t>
  </si>
  <si>
    <t>NORTH COOP CHAHASSEN MN 235985506</t>
  </si>
  <si>
    <t>NORTH COOP CHAHASSEN MN 235985507</t>
  </si>
  <si>
    <t>NORTH COOP CHAHASSEN MN 272880990</t>
  </si>
  <si>
    <t>NORTH COOP CHAHASSEN MN 279092508</t>
  </si>
  <si>
    <t>NORTH COOP CHAHASSEN MN 296809538</t>
  </si>
  <si>
    <t>NORTH COOP CHAHASSEN MN 324502088</t>
  </si>
  <si>
    <t>NORTH COOP NORTH COOP sburks827livMN</t>
  </si>
  <si>
    <t>NORTH COOP NORTH COOP STRIPECOM MN</t>
  </si>
  <si>
    <t>NORTH COOP NORTH COOP STRIPECOM MN 299362794</t>
  </si>
  <si>
    <t>NORTH COOP NORTH COOP STRIPECOM MN 306249213</t>
  </si>
  <si>
    <t>NORTH COOP NORTH COOP STRIPECOM MN 310745293</t>
  </si>
  <si>
    <t>North Face</t>
  </si>
  <si>
    <t>NORTH LOOP WINE AND SPIR MINNEAPOLIS MN</t>
  </si>
  <si>
    <t>Northbound Smokehouse Brewpub</t>
  </si>
  <si>
    <t>Northside Bar and Grill Chicago IL 248335273</t>
  </si>
  <si>
    <t>Northstar Regional</t>
  </si>
  <si>
    <t>NORTHSTAR REGIONAL 9529743999 MN</t>
  </si>
  <si>
    <t>Nothing Bundt Cakes</t>
  </si>
  <si>
    <t>OATLY GROUP AB FUNSPONSORED ADR 1 ADR REPS ORD SHS</t>
  </si>
  <si>
    <t>of Minnesota</t>
  </si>
  <si>
    <t>Old Town Pour House</t>
  </si>
  <si>
    <t>OLIVE TWEED 18014715658 UT</t>
  </si>
  <si>
    <t>Olives</t>
  </si>
  <si>
    <t>Olives Fresh Pizza Bar</t>
  </si>
  <si>
    <t>Online Retail Promo</t>
  </si>
  <si>
    <t>OP FARMSTEAD OVERLAND PARKKS OP FARMSTEAD OVERLAND PARKKS</t>
  </si>
  <si>
    <t>Oraldna</t>
  </si>
  <si>
    <t>O'Reilly Auto Parts</t>
  </si>
  <si>
    <t>OVERDRAFT TO INVESTOR CHECKING -5184</t>
  </si>
  <si>
    <t>Overdraft Transfer from Brokerage -5308</t>
  </si>
  <si>
    <t>OXXO LUNAMAR LAP LOS CABOS BCSMX</t>
  </si>
  <si>
    <t>Pai Iso Century</t>
  </si>
  <si>
    <t>PAJARITO EDINA EDINA MN</t>
  </si>
  <si>
    <t>PAJARITO SAINT PAUL MN 278573818</t>
  </si>
  <si>
    <t>Pamper Nails and Spa</t>
  </si>
  <si>
    <t>Panera Bread</t>
  </si>
  <si>
    <t>PAPA CHARLIES RSTRNT LUTSEN MN</t>
  </si>
  <si>
    <t>Papa John's</t>
  </si>
  <si>
    <t>Papa Murphy's</t>
  </si>
  <si>
    <t>Paragon Bakery LLC</t>
  </si>
  <si>
    <t>Park Avenue Liquor</t>
  </si>
  <si>
    <t>PARK CITY FB PARK CITY UT PARK CITY FB PARK CITY UT</t>
  </si>
  <si>
    <t>Park City Parks</t>
  </si>
  <si>
    <t>PARK CITY SOUVENIR CO SALT LAKE PARK CITY SOUVENIR CO SALT LAKE CITUT</t>
  </si>
  <si>
    <t>Parking Management Corp</t>
  </si>
  <si>
    <t>Parley Lake Winery, LLP</t>
  </si>
  <si>
    <t>Parlor Pizza Bar</t>
  </si>
  <si>
    <t>PARLOR PIZZA W KINZIE   CHICAGO</t>
  </si>
  <si>
    <t>Parlour St Paul</t>
  </si>
  <si>
    <t>Party City</t>
  </si>
  <si>
    <t>Patagonia</t>
  </si>
  <si>
    <t>Patagonia Direct Inc    80063864</t>
  </si>
  <si>
    <t>PAYMENT</t>
  </si>
  <si>
    <t>PAYMENT  THANK YOU</t>
  </si>
  <si>
    <t>PAYMENT 234306694</t>
  </si>
  <si>
    <t>PAYMENT 241553299</t>
  </si>
  <si>
    <t>PAYMENT 246472536</t>
  </si>
  <si>
    <t>PAYMENT 256214615</t>
  </si>
  <si>
    <t>PAYMENT 264572815</t>
  </si>
  <si>
    <t>PAYMENT 270891510</t>
  </si>
  <si>
    <t>PAYMENT 279045167</t>
  </si>
  <si>
    <t>PAYMENT 285946976</t>
  </si>
  <si>
    <t>PAYMENT 308697727</t>
  </si>
  <si>
    <t>PAYMENT 316248098</t>
  </si>
  <si>
    <t>PAYMENT 324488559</t>
  </si>
  <si>
    <t>PAYMENT THANK YOU</t>
  </si>
  <si>
    <t>PAYMENT THANK YOU 254969613</t>
  </si>
  <si>
    <t>PAYMENT THANK YOU 256317570</t>
  </si>
  <si>
    <t>PAYMENT THANK YOU 257881480</t>
  </si>
  <si>
    <t>PAYMENT THANK YOU 262531389</t>
  </si>
  <si>
    <t>PAYMENT THANK YOU 266345818</t>
  </si>
  <si>
    <t>PAYMENT THANK YOU 272880966</t>
  </si>
  <si>
    <t>PAYMENT THANK YOU 272880991</t>
  </si>
  <si>
    <t>PAYMENT THANK YOU 272880999</t>
  </si>
  <si>
    <t>PAYMENT THANK YOU 274168400</t>
  </si>
  <si>
    <t>PAYMENT THANK YOU 276330193</t>
  </si>
  <si>
    <t>PAYMENT THANK YOU 279092507</t>
  </si>
  <si>
    <t>PAYMENT THANK YOU 280968601</t>
  </si>
  <si>
    <t>PAYMENT THANK YOU 283353090</t>
  </si>
  <si>
    <t>PAYMENT THANK YOU 284334887</t>
  </si>
  <si>
    <t>PAYMENT THANK YOU 285712368</t>
  </si>
  <si>
    <t>PAYMENT THANK YOU 287429453</t>
  </si>
  <si>
    <t>PAYMENT THANK YOU 288763274</t>
  </si>
  <si>
    <t>PAYMENT THANK YOU 289731430</t>
  </si>
  <si>
    <t>PAYMENT THANK YOU 290461314</t>
  </si>
  <si>
    <t>PAYMENT THANK YOU 291327784</t>
  </si>
  <si>
    <t>PAYMENT THANK YOU 294678995</t>
  </si>
  <si>
    <t>PAYMENT THANK YOU 296626640</t>
  </si>
  <si>
    <t>PAYMENT THANK YOU 297916996</t>
  </si>
  <si>
    <t>PAYMENT THANK YOU 301157421</t>
  </si>
  <si>
    <t>PAYMENT THANK YOU 304766117</t>
  </si>
  <si>
    <t>PAYMENT THANK YOU 305725375</t>
  </si>
  <si>
    <t>PAYMENT THANK YOU 307788792</t>
  </si>
  <si>
    <t>PAYMENT THANK YOU 310208856</t>
  </si>
  <si>
    <t>PAYMENT THANK YOU 311807115</t>
  </si>
  <si>
    <t>PAYMENT THANK YOU 313824775</t>
  </si>
  <si>
    <t>PAYMENT THANK YOU 317034628</t>
  </si>
  <si>
    <t>PAYMENT THANK YOU 322220064</t>
  </si>
  <si>
    <t>PAYMENT THANK YOU 327023370</t>
  </si>
  <si>
    <t>PAYMENT THANK YOU 330418320</t>
  </si>
  <si>
    <t>Payment to American Express</t>
  </si>
  <si>
    <t>Payment to Banana Republic</t>
  </si>
  <si>
    <t>Payment to Baxter Credit Union</t>
  </si>
  <si>
    <t>Payment to CenterPoint Energy</t>
  </si>
  <si>
    <t>Payment to CenturyLink</t>
  </si>
  <si>
    <t>Payment to City Of Saint Paul</t>
  </si>
  <si>
    <t>Payment to Discover Bank</t>
  </si>
  <si>
    <t>Payment to Nordstrom</t>
  </si>
  <si>
    <t>Payment to Target</t>
  </si>
  <si>
    <t>target</t>
  </si>
  <si>
    <t>Payment to Treasurydirectgov</t>
  </si>
  <si>
    <t>Payment to Waste management</t>
  </si>
  <si>
    <t>Payment to Xcel Energy</t>
  </si>
  <si>
    <t>PayPal</t>
  </si>
  <si>
    <t>PAYPAL TYPE INST XFER  ID PAYPAL</t>
  </si>
  <si>
    <t>PAYPAL TYPE TRANSFER  ID PAYPALS</t>
  </si>
  <si>
    <t>Pedal Pushers Cafe</t>
  </si>
  <si>
    <t>Pediatric Services PA</t>
  </si>
  <si>
    <t>PEKARNA MEAT MARKET JORDAN MN</t>
  </si>
  <si>
    <t>Peloton Cycles</t>
  </si>
  <si>
    <t>gym</t>
  </si>
  <si>
    <t>Peloton Cycles PELOTON MEMBERSHIP HTTPSWWWONEPNY</t>
  </si>
  <si>
    <t>PELOTON MEMBERSHIP      HTTPSWWW</t>
  </si>
  <si>
    <t>PELOTON MEMBERSHIP HTTPSWWWONEPNY</t>
  </si>
  <si>
    <t>PENN MINNOCO MINNEAPOLIS MN 239762231</t>
  </si>
  <si>
    <t>PENN MINNOCO MINNEAPOLIS MN 283821489</t>
  </si>
  <si>
    <t>PEOPLES ORGANIC MINNETONKA MN</t>
  </si>
  <si>
    <t>Personalization Mall</t>
  </si>
  <si>
    <t>Phillips</t>
  </si>
  <si>
    <t>Phillips 66</t>
  </si>
  <si>
    <t>PHOTODAY ORDER HTTPSWWWPHOTFL</t>
  </si>
  <si>
    <t>Pilot Travel Center</t>
  </si>
  <si>
    <t>PINE RIVER FAMILY M PINE RIVER MN 313824777</t>
  </si>
  <si>
    <t>Pinkblush Ca</t>
  </si>
  <si>
    <t>PINKBLUSH SHOPPINKBLUSHCA 265626912</t>
  </si>
  <si>
    <t>Pizza Luce</t>
  </si>
  <si>
    <t>Pizza Pub</t>
  </si>
  <si>
    <t>Play It Again Sports</t>
  </si>
  <si>
    <t>Playstation Network</t>
  </si>
  <si>
    <t>PLAZA RAMP 8069 MINNEAPOLIS MN PLAZA RAMP 8069 MINNEAPOLIS MN</t>
  </si>
  <si>
    <t>PLUCKD M PLUCKD M WWWFIRSTDRAFMN</t>
  </si>
  <si>
    <t>PLUNKETTS PEST CONTROL MINNEAPOL PLUNKETTS PEST CONTROL MINNEAPOLIS MN</t>
  </si>
  <si>
    <t>PLUNKETTS PEST CONTROL MINNEAPOLIS MN 321554457</t>
  </si>
  <si>
    <t>Plunkett's Pest Control, Inc.</t>
  </si>
  <si>
    <t>Polar Mitts</t>
  </si>
  <si>
    <t>POLORL EAGAN 238 EAGAN MN 327446106</t>
  </si>
  <si>
    <t>Polywood</t>
  </si>
  <si>
    <t>POLYWOODCOM HTTPSWWWPOLYIN</t>
  </si>
  <si>
    <t>PORTSIDE STILLWATER MN</t>
  </si>
  <si>
    <t>Potbelly Sandwich Works</t>
  </si>
  <si>
    <t>Pottery Barn</t>
  </si>
  <si>
    <t>PRAIRIE RIDGE GOLF COURSEJANESVILLE MN 321934379</t>
  </si>
  <si>
    <t>PRESCHOOL SMILES 1XX8276MN</t>
  </si>
  <si>
    <t>PRESCHOOL SMILES XX1827 MN</t>
  </si>
  <si>
    <t>Price Chopper</t>
  </si>
  <si>
    <t>PRIME VIDEO*0G98P3B93 888-802-3080 WA2FIWZX4L0V0</t>
  </si>
  <si>
    <t>PRIME VIDEO*1W6XW7FQ2 888-802-3080 WA
5Q5HZ1UXAXQ</t>
  </si>
  <si>
    <t>Prime Video209G32JL0 8888023080 WA</t>
  </si>
  <si>
    <t>Prime Video2C7EB1OP1 8888023080 WA</t>
  </si>
  <si>
    <t>Prime Video2E9KS5740 8888023080 WA</t>
  </si>
  <si>
    <t>Prime VideoJV4RX4WX3 8888023080 WA</t>
  </si>
  <si>
    <t>Prime VideoMH7ML21U2 8888023080 WA 234610356</t>
  </si>
  <si>
    <t>Prime VideoN970P6J63 8888023080 WA 297651134</t>
  </si>
  <si>
    <t>Prime VideoXK3796ZZ3 8888023080 WA 296809537</t>
  </si>
  <si>
    <t>Primp</t>
  </si>
  <si>
    <t>PRIMP EXCELSIOR XX1049 MN</t>
  </si>
  <si>
    <t>Principal Curtailment</t>
  </si>
  <si>
    <t>PROCTER &amp; GAMBLE</t>
  </si>
  <si>
    <t>Prosource</t>
  </si>
  <si>
    <t>Pryes Brewing Company, LLC</t>
  </si>
  <si>
    <t>PSA Portal Payments XX9470 MN PSA Portal Payments 9528359470 MN</t>
  </si>
  <si>
    <t>PT PARK NICOLLET WEB 9529937672 MN</t>
  </si>
  <si>
    <t>PTARMIGAN SPORTS EDWARDS CO</t>
  </si>
  <si>
    <t>PUB 819 HOPKINS MN 257881486</t>
  </si>
  <si>
    <t>PUB 819 HOPKINS MN 257881487</t>
  </si>
  <si>
    <t>PUB 819 HOPKINS MN 259787379</t>
  </si>
  <si>
    <t>PUNCH BOWL SOCIAL MINNEA SAINT LOUIS PMN</t>
  </si>
  <si>
    <t>Punchbowl Social</t>
  </si>
  <si>
    <t>PURCHASE INTO CORE ACCOUNT FIDELITY GOVERNMENT CASH RESERVES (FDRXX) (Cash)</t>
  </si>
  <si>
    <t>Q39 South</t>
  </si>
  <si>
    <t>Race Roster Canada RACE ROSTER HTTPSRACEROSTMA</t>
  </si>
  <si>
    <t>RAILROADING HERITAGE OF XX9812 M RAILROADING HERITAGE OF 6517659812 MN</t>
  </si>
  <si>
    <t>RAKU RESTAURANT EDINA MN</t>
  </si>
  <si>
    <t>Rally House 8006455409 KS</t>
  </si>
  <si>
    <t>Rally House 8006455409 KS 254261431</t>
  </si>
  <si>
    <t>Rally House 8006455409 KS 292947026</t>
  </si>
  <si>
    <t>Rally House Ks</t>
  </si>
  <si>
    <t>RAMBLE HOUSE LLC         CREEDE</t>
  </si>
  <si>
    <t>RAMBLE HOUSE LLC CREEDE CO RAMBLE HOUSE LLC CREEDE CO</t>
  </si>
  <si>
    <t>Ramp B B RAMP 8066 MINNEAPOLIS MN</t>
  </si>
  <si>
    <t>RANDYS ELECTRIC MINNEAPOLIS MN</t>
  </si>
  <si>
    <t>RAOCOPARKSWILDLIFE CO   88857272</t>
  </si>
  <si>
    <t>RAOCOPARKSWILDLIFE CO DENVER CO TX</t>
  </si>
  <si>
    <t>RAOCOPARKSWILDLIFE CO DENVER CO TX 239518482</t>
  </si>
  <si>
    <t>RAYTHEON CO</t>
  </si>
  <si>
    <t>RAYTHEON TECHNOLOGIES CO</t>
  </si>
  <si>
    <t>Recreation.gov</t>
  </si>
  <si>
    <t>Red Bench Bakery LLC</t>
  </si>
  <si>
    <t>Red Dress Boutique</t>
  </si>
  <si>
    <t>RED DRESS BOUTIQUE 7064258707 GA</t>
  </si>
  <si>
    <t>RED SAUCE REBELLION - 888-707-2469 CA</t>
  </si>
  <si>
    <t>RED SAUCE REBELLION EXCELSIOR MN</t>
  </si>
  <si>
    <t>Red Sauce Rebellion, LLC</t>
  </si>
  <si>
    <t>RED SAUCE RED SAUCE STRIPECOM MN</t>
  </si>
  <si>
    <t>Red Wagon Pizza Co</t>
  </si>
  <si>
    <t>RED WAGON RED WAGON STRIPECOM MN</t>
  </si>
  <si>
    <t>REDCOWMNCOM REDCOWMNCOM MN</t>
  </si>
  <si>
    <t>REDCOWMNCOM REDCOWMNCOM MN 272880993</t>
  </si>
  <si>
    <t>REDCOWMNCOM REDCOWMNCOM MN REDCOWMNCOM REDCOWMNCOM MN</t>
  </si>
  <si>
    <t>REDDINGS SPORTS &amp; SPIRIT EMILY MN</t>
  </si>
  <si>
    <t>REDSTONE AMERICAN GRILL EDEN PRAIRIE MN</t>
  </si>
  <si>
    <t>Reed's</t>
  </si>
  <si>
    <t>Reeds Sunnyside Marine</t>
  </si>
  <si>
    <t>REG CABOS SALIDAT876 I LOS CABOS BCSMX</t>
  </si>
  <si>
    <t>REI</t>
  </si>
  <si>
    <t>REICOM 8004264840 WA</t>
  </si>
  <si>
    <t>Reservationscom</t>
  </si>
  <si>
    <t>REST BAR MISIONES CABO SAN LUCAMX</t>
  </si>
  <si>
    <t>RESTAURANT DON MANUEL LOS CABOS BCSMX</t>
  </si>
  <si>
    <t>RESTAURANT EL FARALLON LOS CABOS BCSMX</t>
  </si>
  <si>
    <t>Restaurant.com</t>
  </si>
  <si>
    <t>Restoration Hardware</t>
  </si>
  <si>
    <t>Revival</t>
  </si>
  <si>
    <t>Rey Azteca Mexican Restaurant</t>
  </si>
  <si>
    <t>RIDGES AT SAND CREEK PRO9524922644 MN</t>
  </si>
  <si>
    <t>Ridgeview Anesthesia</t>
  </si>
  <si>
    <t>RIDGEVIEW HOME MEDICAL EQ9524422283 MN 272880997</t>
  </si>
  <si>
    <t>Ridgeview Medical Center</t>
  </si>
  <si>
    <t>Ridgeview Medical Cnthoswaconia</t>
  </si>
  <si>
    <t>RIDGEVIEW MEDICAL CNTHOSWACONIA MN</t>
  </si>
  <si>
    <t>RIDGEVIEW MEDICAL CNTHOSWACONIA MN 299152943</t>
  </si>
  <si>
    <t>RIDGEVIEW MEDICAL CNTHOSWACONIA MN 304549459</t>
  </si>
  <si>
    <t>RIDGEVIEW MEDICAL CNTHOSWACONIA MN 321302814</t>
  </si>
  <si>
    <t>RIDGEVIEW MEDICAL CNTRCL9524422191 MN</t>
  </si>
  <si>
    <t>Ridgeview Medical Cntrclwaconia</t>
  </si>
  <si>
    <t>RIDGEVIEW MEDICAL CNTRCLWACONIA MN</t>
  </si>
  <si>
    <t>RIDGEVIEW MEDICAL CNTRCLWACONIA MN 299152942</t>
  </si>
  <si>
    <t>RIDGEVIEW MEDICAL CNTRCLWACONIA MN 315678412</t>
  </si>
  <si>
    <t>RIMANN LIQUORS OF PV LLC PRAIRIE VILLAKS</t>
  </si>
  <si>
    <t>RISE BAGEL CO MINNEAPOLIS MN</t>
  </si>
  <si>
    <t>River Services, Inc</t>
  </si>
  <si>
    <t>Robinhood</t>
  </si>
  <si>
    <t>Roka Akor</t>
  </si>
  <si>
    <t>Root River Rod Co</t>
  </si>
  <si>
    <t>Rosebud</t>
  </si>
  <si>
    <t>Roulette's Pizza</t>
  </si>
  <si>
    <t>RSW BEACHES TRAVELMART FORT MYER RSW BEACHES TRAVELMART FORT MYERS FL</t>
  </si>
  <si>
    <t>RUBY'S ROOST BAKER VICTORIA MN0001152921508944</t>
  </si>
  <si>
    <t>RUSSELL HE 1 OF 2 PA STRIPECOM MN 329455456</t>
  </si>
  <si>
    <t>RUSSELL HE 2 OF 2 PA STRIPECOM MN</t>
  </si>
  <si>
    <t>Ruttgers Bay Lake</t>
  </si>
  <si>
    <t>RUTTGERS BAY LAKE LODGE 2186782885 MN</t>
  </si>
  <si>
    <t>RUTTGERS BAY LAKE RESO XX2885 MN RUTTGERS BAY LAKE RESO 2186782885 MN</t>
  </si>
  <si>
    <t>RUTTGERS DINING DEERWOOD MN</t>
  </si>
  <si>
    <t>RUTTGERS RETAIL AND GOLF DEERWOOD MN</t>
  </si>
  <si>
    <t>RVTEDINA PUBLIC SCHOOLS XX3900 M</t>
  </si>
  <si>
    <t>Safeway</t>
  </si>
  <si>
    <t>SalaryRegular Income from IRS St IRS TREAS 310 TYPE CHILDCTC ID CO IRS TREAS 310 ACH ECC PPD ACH Tra</t>
  </si>
  <si>
    <t>SALT LIM SALT LIM WWWSUCKALIMECO</t>
  </si>
  <si>
    <t>Samsonite</t>
  </si>
  <si>
    <t>San Francisco Ca.</t>
  </si>
  <si>
    <t>SAN JUAN SPORTS CREEDE CO 242552794</t>
  </si>
  <si>
    <t>SAN JUAN SPORTS CREEDE CO 242552795</t>
  </si>
  <si>
    <t>Scheels All Sports</t>
  </si>
  <si>
    <t>Scheels Eden Prairie</t>
  </si>
  <si>
    <t>SCHEELS EDEN PRAIRIE     EDEN PR</t>
  </si>
  <si>
    <t>SCHEELS EDEN PRAIRIE EDEN PRAIRIE MN</t>
  </si>
  <si>
    <t>Scholastic</t>
  </si>
  <si>
    <t>Scholastic Corporation</t>
  </si>
  <si>
    <t>School of the WiseVictoria, MN #00000019</t>
  </si>
  <si>
    <t>Schoolkidzcom</t>
  </si>
  <si>
    <t>SCHWAB INTERMEDIATE TERMUS TRS ETF</t>
  </si>
  <si>
    <t>SCHWAB INTERNATIONAL INDEX</t>
  </si>
  <si>
    <t>SCHWAB INTL INDEX FUND</t>
  </si>
  <si>
    <t>SCHWAB S&amp;P 500 INDEX</t>
  </si>
  <si>
    <t>SCHWAB S&amp;P 500 INDEX FD</t>
  </si>
  <si>
    <t>SCHWAB TOTAL STOCK MARKET INDEX</t>
  </si>
  <si>
    <t>SCHWAB TOTAL STOCK MKT INDEX</t>
  </si>
  <si>
    <t>SCHWAB US LARGE CAP GROWTH INDEX FD</t>
  </si>
  <si>
    <t>SCHWAB US LARGE-CAP GROWTH IDX</t>
  </si>
  <si>
    <t>SCHWAB US SMALL CAP ETF</t>
  </si>
  <si>
    <t>SCHWAB1 INT 01/30-02/26</t>
  </si>
  <si>
    <t>SCHWAB1 INT 02/27-03/29</t>
  </si>
  <si>
    <t>SCHWAB1 INT 07/30-08/28</t>
  </si>
  <si>
    <t>SCHWAB1 INT 08/29-09/26</t>
  </si>
  <si>
    <t>SCHWAB1 INT 09/27-10/29</t>
  </si>
  <si>
    <t>SCHWAB1 INT 10/30-11/26</t>
  </si>
  <si>
    <t>SCHWAB1 INT 11/27-12/29</t>
  </si>
  <si>
    <t>SCHWAB1 INT 12/30-01/29</t>
  </si>
  <si>
    <t>SEAT ENGINE LLC 8887328364 PA 235209088</t>
  </si>
  <si>
    <t>Share</t>
  </si>
  <si>
    <t>SHEDD AQUARIUM CHICAGO IL1111000103061911081103</t>
  </si>
  <si>
    <t>Shell</t>
  </si>
  <si>
    <t>Shellis News</t>
  </si>
  <si>
    <t>Sheraton</t>
  </si>
  <si>
    <t>Sherwin Williams</t>
  </si>
  <si>
    <t>SHOREWOOD CIGARS TOBAC EXCELSIOR MN 324502085</t>
  </si>
  <si>
    <t>SHOREWOOD LIQUOR EXCELSIOR MN 233755679</t>
  </si>
  <si>
    <t>SHOREWOOD LIQUOR EXCELSIOR MN 233755680</t>
  </si>
  <si>
    <t>SHOREWOOD LIQUOR EXCELSIOR MN 236288792</t>
  </si>
  <si>
    <t>Shorewood Liquor Inc</t>
  </si>
  <si>
    <t>Shorewood Liquor, LLC</t>
  </si>
  <si>
    <t>SHOREWOOD TRUE VALUE EXCELSIOR MN 233755684</t>
  </si>
  <si>
    <t>SHOREWOODLIQUOR SHOREWOOD MN</t>
  </si>
  <si>
    <t>SHOYU 8665083558 MN 264236915</t>
  </si>
  <si>
    <t>SHOYU XX3558 MN SHOYU 8665083558 MN</t>
  </si>
  <si>
    <t>Shutterfly</t>
  </si>
  <si>
    <t>SignUp OutrunALD2021 XX1360 NJ</t>
  </si>
  <si>
    <t>SignUp OutrunALD2021 XX1360 NJ SignUp OutrunALD2021 8883851360 NJ</t>
  </si>
  <si>
    <t>Sir Smoke A Lot Bbq</t>
  </si>
  <si>
    <t>Siteone Landscape Supply SITEONE LLC1038 6129193130 MN</t>
  </si>
  <si>
    <t>SKYE LIQUOR DENVER CO 281766496</t>
  </si>
  <si>
    <t>SMALL CHEVAL CHICAGO IL</t>
  </si>
  <si>
    <t>SMM AUTO PARKING RAMP XX9444 MN SMM AUTO PARKING RAMP 6512219444 MN</t>
  </si>
  <si>
    <t>SMM WEB TNEW XX9803 MN SMM WEB TNEW 6512659803 MN</t>
  </si>
  <si>
    <t>SNOWCOMVAIL RESORTS SKI8888380495 CO</t>
  </si>
  <si>
    <t>SNOWCOMVAIL RESORTS SKI8888380495 CO 280222015</t>
  </si>
  <si>
    <t>Something Safari LLC</t>
  </si>
  <si>
    <t>Sonic</t>
  </si>
  <si>
    <t>SONNENALP BULLY RANCH VAIL CO</t>
  </si>
  <si>
    <t>SOTA CLOTHING EDEN PRAIRI MN 331050065</t>
  </si>
  <si>
    <t>SOTA CLOTHING SAINT LOUIS MN 292947023</t>
  </si>
  <si>
    <t>SOTA CLOTHING SPENCEDESIGNSMN 233755683</t>
  </si>
  <si>
    <t>SOTA CLOTHING ST LOUIS P MN 246489179</t>
  </si>
  <si>
    <t>South Lake Pediatrics</t>
  </si>
  <si>
    <t>SOUTH LYNDALE LIQUORS RETMINNEAPOLIS MN 275614106</t>
  </si>
  <si>
    <t>Southwest Airlines</t>
  </si>
  <si>
    <t>SP CREEDE OLIVE OIL      1719658</t>
  </si>
  <si>
    <t>SP CREEDE OLIVE OIL CREEDE CO</t>
  </si>
  <si>
    <t>Sp Free Fly</t>
  </si>
  <si>
    <t>SP FREE FLY APPAREL HTTPSFREEFL SP FREE FLY APPAREL HTTPSFREEFLYASC</t>
  </si>
  <si>
    <t>SP FREE FLY APPAREL HTTPSFREEFLYASC</t>
  </si>
  <si>
    <t>SP HUMA GEL HTTPSHUMAGELTN SP HUMA GEL HTTPSHUMAGELTN</t>
  </si>
  <si>
    <t>Sp Ingrid Isabel</t>
  </si>
  <si>
    <t>SP INGRID ISABEL HTTPSINGRIDANCA 272880986</t>
  </si>
  <si>
    <t>SP LAKE AND CO GRAND RAPID MN SP LAKE AND CO GRAND RAPID MN</t>
  </si>
  <si>
    <t>SP LIQUID IV 8553864021 CA 324250739</t>
  </si>
  <si>
    <t>Sp Roolee Httpsrooleemut</t>
  </si>
  <si>
    <t>SP ROOLEE HTTPSROOLEEMUT SP ROOLEE HTTPSROOLEEMUT</t>
  </si>
  <si>
    <t>Sp Sendjoeskcbbq Ks</t>
  </si>
  <si>
    <t>SP SENDJOESKCBBQ SENDJOESBARBQKS</t>
  </si>
  <si>
    <t>SP SENDJOESKCBBQ SENDJOESBARBQKS 316529567</t>
  </si>
  <si>
    <t>SP SENDJOESKCBBQ SENDJOESBARBQKS SP SENDJOESKCBBQ SENDJOESBARBQKS</t>
  </si>
  <si>
    <t>SP SHARP KITCHEN HTTPSSHARPKITCA</t>
  </si>
  <si>
    <t>SP SOTA CLOTHING SPENCEDESIGNSM SP SOTA CLOTHING SPENCEDESIGNSMN</t>
  </si>
  <si>
    <t>SP SOTASTICK CO SOTASTICKCOMMN</t>
  </si>
  <si>
    <t>SP TOP FORM DESIGN WWWTOPFORMDEW</t>
  </si>
  <si>
    <t>SP TRUE PLAY STRSLDE HTTPSSTAIRSLIUT</t>
  </si>
  <si>
    <t>SP UNRLCO UNRLMYSHOPIFMN</t>
  </si>
  <si>
    <t>Speedway</t>
  </si>
  <si>
    <t>SPEEDWAY 04159           EDEN PR</t>
  </si>
  <si>
    <t>Split Rate Apy</t>
  </si>
  <si>
    <t>Split Rate APY Earned  100 05012</t>
  </si>
  <si>
    <t>Spoon and Stable</t>
  </si>
  <si>
    <t>Spring Hill Suites</t>
  </si>
  <si>
    <t>SPRING USAGE PROMO BONUS 322515219</t>
  </si>
  <si>
    <t>SQ *ENKI BREWING COMPA VICTORIA MN
0002305843015181345790</t>
  </si>
  <si>
    <t>SQ BABY BLUE Excelsior MN</t>
  </si>
  <si>
    <t>SQ BADGER HILL BREWING Shakopee</t>
  </si>
  <si>
    <t>SQ BOOM ISLAND BREWING CMinneton</t>
  </si>
  <si>
    <t>SQ BUDDY BOY FINE BARBEQMinnetrista MN</t>
  </si>
  <si>
    <t>SQ CHANHASSEN BREWING COChanhassen MN</t>
  </si>
  <si>
    <t>SQ CLUTCH BREWING SAINT PAUL MN 278573816</t>
  </si>
  <si>
    <t>SQ DINE11 Waconia MN</t>
  </si>
  <si>
    <t>Sq Eden Prarie</t>
  </si>
  <si>
    <t>SQ EDEN PRARIE CENTER FUEden Pra</t>
  </si>
  <si>
    <t>SQ ENKI BREWING CO VICTORIA MN SQ ENKI BREWING CO VICTORIA MN</t>
  </si>
  <si>
    <t>SQ ENKI BREWING COMPANY Victoria MN 286924998</t>
  </si>
  <si>
    <t>SQ ENKI BREWING COMPANY Victoria MN 290461320</t>
  </si>
  <si>
    <t>SQ ENKI EVENTS Victoria MN</t>
  </si>
  <si>
    <t>SQ EXCELSIOR BREWING COMExcelsio</t>
  </si>
  <si>
    <t>SQ EXECLSIOR MASONIC LODExcelsior MN</t>
  </si>
  <si>
    <t>SQ FIREHOUSE FOODS FOOD Excelsior MN</t>
  </si>
  <si>
    <t>SQ GOGLOW EDINA MN</t>
  </si>
  <si>
    <t>SQ GOGLOW Edina MN</t>
  </si>
  <si>
    <t>SQ HELD COMPANIES CORCORAN MN 269390557</t>
  </si>
  <si>
    <t>SQ HELD COMPANIES CORCORAN MN 272880983</t>
  </si>
  <si>
    <t>SQ HIGHSIDE BREWING Frisco CO 280222016</t>
  </si>
  <si>
    <t>SQ HONEY RYE BAKEHOUSESt Louis ParkMN</t>
  </si>
  <si>
    <t>SQ ICHIGO CREPES CRYSTAL MN 261154406</t>
  </si>
  <si>
    <t>SQ IPSENTO COFFEE CHICAGO IL 248041948</t>
  </si>
  <si>
    <t>SQ J  S BREAKAWAY CORP gosqcom C</t>
  </si>
  <si>
    <t>SQ KIWI INTERNATIONAL DEAvon CO</t>
  </si>
  <si>
    <t>SQ LAKE MINNETONKA EXCELExcelsio</t>
  </si>
  <si>
    <t>SQ LUCE LINE ORCHARD ANDWatertown MN</t>
  </si>
  <si>
    <t>SQ MN FAVES DBA YUMMY TUExcelsio</t>
  </si>
  <si>
    <t>SQ MN STREETCAR MUSEUM Excelsior MN</t>
  </si>
  <si>
    <t>SQ NORTH STAR DONUTS Victoria MN</t>
  </si>
  <si>
    <t>SQ NOTHING BUT HEMP     Chaska</t>
  </si>
  <si>
    <t>SQ PIZZERIA 8852 Creede CO SQ PIZZERIA 8852 Creede CO</t>
  </si>
  <si>
    <t>SQ RED BENCH BAKER CHASKA MN 260718487</t>
  </si>
  <si>
    <t>SQ RED BENCH BAKERY Excelsior MN</t>
  </si>
  <si>
    <t>SQ RED BENCH BAKERY Excelsior MN 287193125</t>
  </si>
  <si>
    <t>SQ ROLLER GARDEN MINNEAPOLIS MN</t>
  </si>
  <si>
    <t>SQ RUBYS ROOST VICTORIAVictoria MN</t>
  </si>
  <si>
    <t>SQ SEEK EYE CARE P VICTORIA MN 253249245</t>
  </si>
  <si>
    <t>SQ SEEK EYE CARE PA Victoria MN 244077401</t>
  </si>
  <si>
    <t>SQ SMOOTH MOVE Chaska MN</t>
  </si>
  <si>
    <t>SQ SNOWSHOE LODGE AND CAgosqcom</t>
  </si>
  <si>
    <t>SQ SOTALICIOUS Excelsior MN SQ SOTALICIOUS Excelsior MN</t>
  </si>
  <si>
    <t>SQ STEAMBOAT WHISKEY COMSteamboat SprCO</t>
  </si>
  <si>
    <t>SQ STEAMOLOGY MOBILE DETWayzata</t>
  </si>
  <si>
    <t>SQ STEP CHILD LLC Minneapolis MN SQ STEP CHILD LLC Minneapolis MN</t>
  </si>
  <si>
    <t>SQ SUNNY DAYS COMFORT FOArlington MN</t>
  </si>
  <si>
    <t>SQ THE DAMPFWERK D MINNEAPOLIS MN</t>
  </si>
  <si>
    <t>SQ THE SOCIAL ICE CREAM Victoria MN</t>
  </si>
  <si>
    <t>SQ THE WILSON WEIGH Excelsior MN</t>
  </si>
  <si>
    <t>SQ THE WILSON WEIGH Saint Paul MN</t>
  </si>
  <si>
    <t>SQ WEE CLADDAGH SAINT PAUL MN 261154407</t>
  </si>
  <si>
    <t>SQ ZOES GONE BANANAS Excelsior MN</t>
  </si>
  <si>
    <t>SQUARE INC CLASS A</t>
  </si>
  <si>
    <t>ST BONI LIQUOR STORE 9524461818 MN</t>
  </si>
  <si>
    <t>ST BONI LIQUOR STORE XX1818 MN</t>
  </si>
  <si>
    <t>ST CROIX FALLS CINEMA    ST CROI</t>
  </si>
  <si>
    <t>Staples</t>
  </si>
  <si>
    <t>Starbucks</t>
  </si>
  <si>
    <t>STARBUCKS CORP</t>
  </si>
  <si>
    <t>State Liquor Store</t>
  </si>
  <si>
    <t>State Parks</t>
  </si>
  <si>
    <t>Station</t>
  </si>
  <si>
    <t>Station Pizzeria</t>
  </si>
  <si>
    <t>STEAMBOAT DISCOUNT LIQUORSTEAMBOAT SPRCO</t>
  </si>
  <si>
    <t>STEAMBOAT PARKING STRUCTU9708976111 CO</t>
  </si>
  <si>
    <t>Stillwater Olive Oil Company LLC</t>
  </si>
  <si>
    <t>Stitch Fix</t>
  </si>
  <si>
    <t>Stitch House Brewery</t>
  </si>
  <si>
    <t>STONEBROOKE GOLF CLUB SHAKOPEE MN</t>
  </si>
  <si>
    <t>STPAULMAGST2607 SAINT PAUL MN 327023374</t>
  </si>
  <si>
    <t>STRYKER CORP</t>
  </si>
  <si>
    <t>STUBHUB INC 8667882482 CA</t>
  </si>
  <si>
    <t>Suburban</t>
  </si>
  <si>
    <t>Suja Juice</t>
  </si>
  <si>
    <t>SUMMIT CHALET LUTSEN MN</t>
  </si>
  <si>
    <t>Super</t>
  </si>
  <si>
    <t>SUPERMERC STA CARMELA CABO SAN LUCAMX</t>
  </si>
  <si>
    <t>Sur La Table</t>
  </si>
  <si>
    <t>Surly Brewing Company TST SURLY BREWING COMPANMINNEAPOLIS MN</t>
  </si>
  <si>
    <t>SWEETCAST ANGLER FLYSHOP BIG TIM</t>
  </si>
  <si>
    <t>SYLVAN BREWING LLC LANESBORO MN</t>
  </si>
  <si>
    <t>SYNTELLIS PERFOR</t>
  </si>
  <si>
    <t>SYNTELLIS PERFOR TYPE DIRECT DEP</t>
  </si>
  <si>
    <t>SYNTELLIS PERFOR TYPE DIRECT DEP ID CO SYNTELLIS PERFOR ACH ECC PPD ACH Trace 02397</t>
  </si>
  <si>
    <t>SYNTELLIS PERFOR TYPE DIRECT DEP ID CO SYNTELLIS PERFOR ACH ECC PPD ACH Trace 24582</t>
  </si>
  <si>
    <t>SYNTELLIS PERFOR TYPE DIRECT DEP ID CO SYNTELLIS PERFOR ACH ECC PPD ACH Trace 29969</t>
  </si>
  <si>
    <t>SYNTELLIS PERFOR TYPE DIRECT DEP ID CO SYNTELLIS PERFOR ACH ECC PPD ACH Trace 39234</t>
  </si>
  <si>
    <t>SYNTELLIS PERFOR TYPE DIRECT DEP ID CO SYNTELLIS PERFOR ACH ECC PPD ACH Trace 40276</t>
  </si>
  <si>
    <t>SYNTELLIS PERFOR TYPE DIRECT DEP ID CO SYNTELLIS PERFOR ACH ECC PPD ACH Trace 65372</t>
  </si>
  <si>
    <t>SYNTELLIS PERFOR TYPE DIRECT DEP ID CO SYNTELLIS PERFOR ACH ECC PPD ACH Trace 80021</t>
  </si>
  <si>
    <t>SYNTELLIS PERFOR TYPE DIRECT DEP ID CO SYNTELLIS PERFOR ACH ECC PPD ACH Trace 84623</t>
  </si>
  <si>
    <t>SYNTELLIS PERFOR TYPE DIRECT DEP ID CO SYNTELLIS PERFOR ACH ECC PPD ACH Trace 91979</t>
  </si>
  <si>
    <t>SYNTELLIS TYPE ID CO SYNTELLIS A SYNTELLIS TYPE PAYMENT ID CO SYNTELLIS ACH ECC PPD ACH Trace 59954</t>
  </si>
  <si>
    <t>SYNTELLIS TYPE ID CO SYNTELLIS A SYNTELLIS TYPE PAYMENT ID CO SYNTELLIS ACH ECC PPD ACH Trace 77812</t>
  </si>
  <si>
    <t>SYNTELLIS TYPE PAYMENT  ID  CO S</t>
  </si>
  <si>
    <t>TAIWAN SEMICONDUCTR FSPONSORED ADR 1 ADR REPS 5 ORD SHS</t>
  </si>
  <si>
    <t>TAKE TWO INTERACTV</t>
  </si>
  <si>
    <t>TALL PINES LIQUOR INC CARLTON MN TALL PINES LIQUOR INC CARLTON MN</t>
  </si>
  <si>
    <t>Taquera</t>
  </si>
  <si>
    <t>TARGET        00002204   EDEN PR</t>
  </si>
  <si>
    <t>TARGET        00015008   GOLDEN</t>
  </si>
  <si>
    <t>TARGET CARD SRVC BILL PAY 190719</t>
  </si>
  <si>
    <t>TARGET CARD SRVC BILL PAY 190804</t>
  </si>
  <si>
    <t>Target Retire 2055 Tr P - Fee</t>
  </si>
  <si>
    <t>Target Retire 2055 Tr P - Plan Contribution</t>
  </si>
  <si>
    <t>Tavern 23</t>
  </si>
  <si>
    <t>TAVERN 4 &amp; 5 EDEN PRAIRIE MN</t>
  </si>
  <si>
    <t>Tavern 4&amp;5</t>
  </si>
  <si>
    <t>Tax Payment to Minnesota Departm</t>
  </si>
  <si>
    <t>Tax Payment to Turbotax</t>
  </si>
  <si>
    <t>TAZA CHANHASSEN MN TAZA CHANHASSEN MN</t>
  </si>
  <si>
    <t>TCH of The Day Liquor Inc</t>
  </si>
  <si>
    <t>TEQUILA BUTCHER AT THE C EXCELSIOR MN</t>
  </si>
  <si>
    <t>TEQUILA BUTCHER CHANHASSEN MN</t>
  </si>
  <si>
    <t>TEQUILA BUTCHER CHANHASSEN MN 278225083</t>
  </si>
  <si>
    <t>TEQUILA BUTCHER CHANHASSEN MN 283600461</t>
  </si>
  <si>
    <t>TEQUILA BUTCHER CHANHASSEN MN 331050062</t>
  </si>
  <si>
    <t>Terminal Bar</t>
  </si>
  <si>
    <t>Tfr JPMORGAN CHASE BAN, CARGILL COCOA &amp;</t>
  </si>
  <si>
    <t>Tfr JPMORGAN CHASE BAN, CARGILL INCORPOR</t>
  </si>
  <si>
    <t>Tfr JPMORGAN CHASE BAN, CONNECTED ANALYT</t>
  </si>
  <si>
    <t>Tfr JPMORGAN CHASE BAN, KAUFMAN HALL</t>
  </si>
  <si>
    <t>Tfr JPMORGAN CHASE BAN, SYNTELLIS PERFOR</t>
  </si>
  <si>
    <t>The Als Association</t>
  </si>
  <si>
    <t>gifts</t>
  </si>
  <si>
    <t>The Block</t>
  </si>
  <si>
    <t>The Chiroport</t>
  </si>
  <si>
    <t>The Company Store</t>
  </si>
  <si>
    <t>The Daily Grind</t>
  </si>
  <si>
    <t>The Fletcher School LORD FLETCHERS SPRING PARK MN</t>
  </si>
  <si>
    <t>THE FORT                 BIG TIM</t>
  </si>
  <si>
    <t>The Garden Patch</t>
  </si>
  <si>
    <t>The Glow Lounge</t>
  </si>
  <si>
    <t>The Home Depot</t>
  </si>
  <si>
    <t>THE HOME DEPOT #2825 CHASKA MN</t>
  </si>
  <si>
    <t>THE HOME DEPOT 2825     CHASKA</t>
  </si>
  <si>
    <t>The Kettle Black Kitchen Phoenix AZ</t>
  </si>
  <si>
    <t>THE MARKER HOTEL XX5193 FL</t>
  </si>
  <si>
    <t>The Mustard Seed</t>
  </si>
  <si>
    <t>THE NOBLE LION VICTORIA MN</t>
  </si>
  <si>
    <t>THE NOBLE LION VICTORIA MN 287193124</t>
  </si>
  <si>
    <t>THE SHIRT FACTORY STILLWATER MN</t>
  </si>
  <si>
    <t>The Suburban</t>
  </si>
  <si>
    <t>The UPS Store</t>
  </si>
  <si>
    <t>THE WHARF EXCELSIOR MN</t>
  </si>
  <si>
    <t>THIRSTY OTTER TAVERN     7154853</t>
  </si>
  <si>
    <t>Thompson</t>
  </si>
  <si>
    <t>THR3 JACK MINNEAPOLIS MN 265419534</t>
  </si>
  <si>
    <t>THUNDERHEAD STEAMBOAT STEAMBOAT SPRCO</t>
  </si>
  <si>
    <t>THYMES 6126384467 MN 272880987</t>
  </si>
  <si>
    <t>THYMES WWWTHYMESCOMN</t>
  </si>
  <si>
    <t>Ticketmaster</t>
  </si>
  <si>
    <t>TIFFS TREATS OKC 2146414377 OK</t>
  </si>
  <si>
    <t>TIMBER AND TORCH STEAMBOAT SPRCO</t>
  </si>
  <si>
    <t>Timberland</t>
  </si>
  <si>
    <t>Timberwall Landscape M</t>
  </si>
  <si>
    <t>TIMBERWALL LANDSCAPE M VICTORIA MN</t>
  </si>
  <si>
    <t>TINO S PIZZERIA SHOREWOOD MN</t>
  </si>
  <si>
    <t>TINSLEY FAMILY CON 8632997177 KY 251815500</t>
  </si>
  <si>
    <t>Tires Plus</t>
  </si>
  <si>
    <t>TJ Maxx</t>
  </si>
  <si>
    <t>To Loan 02</t>
  </si>
  <si>
    <t>To Loan 02 240071892</t>
  </si>
  <si>
    <t>To Loan 02 247528486</t>
  </si>
  <si>
    <t>To Loan 02 254671636</t>
  </si>
  <si>
    <t>To Loan 02 262246147</t>
  </si>
  <si>
    <t>To Loan 02 269446959</t>
  </si>
  <si>
    <t>To Loan 02 277305767</t>
  </si>
  <si>
    <t>To Loan 02 284698387</t>
  </si>
  <si>
    <t>To Loan 02 292299026</t>
  </si>
  <si>
    <t>To Loan 02 300319717</t>
  </si>
  <si>
    <t>To Loan 02 307537523</t>
  </si>
  <si>
    <t>To Loan 02 314589475</t>
  </si>
  <si>
    <t>To Loan 02 322673691</t>
  </si>
  <si>
    <t>To Loan 02 330627218</t>
  </si>
  <si>
    <t>To Share 01</t>
  </si>
  <si>
    <t>To Share 12</t>
  </si>
  <si>
    <t>To Share 12 282557066</t>
  </si>
  <si>
    <t>To Share 12 282803686</t>
  </si>
  <si>
    <t>To Share 12 288491109</t>
  </si>
  <si>
    <t>To Share 12 290529207</t>
  </si>
  <si>
    <t>To Share 12 298537861</t>
  </si>
  <si>
    <t>To Share 12 305789623</t>
  </si>
  <si>
    <t>To Share 12 311598843</t>
  </si>
  <si>
    <t>To Share 12 312709890</t>
  </si>
  <si>
    <t>To Share 12 316885392</t>
  </si>
  <si>
    <t>To Share 12 320792909</t>
  </si>
  <si>
    <t>To Share 12 328622183</t>
  </si>
  <si>
    <t>To Share 12 330084317</t>
  </si>
  <si>
    <t>To Share 70</t>
  </si>
  <si>
    <t>To Share 70 278609540</t>
  </si>
  <si>
    <t>To Share 70 311600167</t>
  </si>
  <si>
    <t>TOBIES CARIBOU 3203847968 MN</t>
  </si>
  <si>
    <t>TOBIES CARIBOU XX7968 MN</t>
  </si>
  <si>
    <t>TOBIES STATION INC HINCKLEY MN</t>
  </si>
  <si>
    <t>Tobies Station, Inc.</t>
  </si>
  <si>
    <t>TOCK ATKADO MISE kadonomisec IL</t>
  </si>
  <si>
    <t>TOCK ATTRAVAIL KITCHE TRAVAILKIT TOCK ATTRAVAIL KITCHE TRAVAILKITCH IL</t>
  </si>
  <si>
    <t>Tommy Bahama</t>
  </si>
  <si>
    <t>TOMMY BAHAMA 613 CHICAGO IL</t>
  </si>
  <si>
    <t>TOMMYKNOCKER TAVERN CREEDE CO</t>
  </si>
  <si>
    <t>TOMMYKNOCKER TAVERN CREEDE CO 327985894</t>
  </si>
  <si>
    <t>TONKADALE GREENHOUSE MINNETONKA</t>
  </si>
  <si>
    <t>TONKADALE GREENHOUSE XX6480 MN</t>
  </si>
  <si>
    <t>Top Ten Liquors</t>
  </si>
  <si>
    <t>TOP TEN LIQUORS          CHANHAS</t>
  </si>
  <si>
    <t>Topgolf</t>
  </si>
  <si>
    <t>Total Wine</t>
  </si>
  <si>
    <t>Total Wine  More</t>
  </si>
  <si>
    <t>Total Wine &amp; More</t>
  </si>
  <si>
    <t>Total Wine and More</t>
  </si>
  <si>
    <t>TOTAL WINE AND MORE      CHANHAS</t>
  </si>
  <si>
    <t>Total Wine More</t>
  </si>
  <si>
    <t>Toyota</t>
  </si>
  <si>
    <t>Trader Joes</t>
  </si>
  <si>
    <t>Trader Joe's</t>
  </si>
  <si>
    <t>Trails Ta Travel</t>
  </si>
  <si>
    <t>Transfer from Cash Rewards Visa Signature</t>
  </si>
  <si>
    <t>Transfer from PayPal</t>
  </si>
  <si>
    <t>Transfer from PayPal PAYPAL TYPE TRANSFER ID PAYPALSD11 CO PAYPAL ACH ECC PPD ACH Trace 08985</t>
  </si>
  <si>
    <t>Transfer from PayPal PAYPAL TYPE TRANSFER ID PAYPALSD11 CO PAYPAL ACH ECC PPD ACH Trace 11369</t>
  </si>
  <si>
    <t>Transfer from PayPal PAYPAL TYPE TRANSFER ID PAYPALSD11 CO PAYPAL ACH ECC PPD ACH Trace 23948</t>
  </si>
  <si>
    <t>Transfer from PayPal PAYPAL TYPE TRANSFER ID PAYPALSD11 CO PAYPAL ACH ECC PPD ACH Trace 29462</t>
  </si>
  <si>
    <t>Transfer from PayPal PAYPAL TYPE TRANSFER ID PAYPALSD11 CO PAYPAL ACH ECC PPD ACH Trace 30934</t>
  </si>
  <si>
    <t>Transfer from PayPal PAYPAL TYPE TRANSFER ID PAYPALSD11 CO PAYPAL ACH ECC PPD ACH Trace 33761</t>
  </si>
  <si>
    <t>Transfer from PayPal PAYPAL TYPE TRANSFER ID PAYPALSD11 CO PAYPAL ACH ECC PPD ACH Trace 43136</t>
  </si>
  <si>
    <t>Transfer from PayPal PAYPAL TYPE TRANSFER ID PAYPALSD11 CO PAYPAL ACH ECC PPD ACH Trace 47313</t>
  </si>
  <si>
    <t>Transfer from PayPal PAYPAL TYPE TRANSFER ID PAYPALSD11 CO PAYPAL ACH ECC PPD ACH Trace 53434</t>
  </si>
  <si>
    <t>Transfer from PayPal PAYPAL TYPE TRANSFER ID PAYPALSD11 CO PAYPAL ACH ECC PPD ACH Trace 80695</t>
  </si>
  <si>
    <t>Transfer from PayPal PAYPAL TYPE TRANSFER ID PAYPALSD11 CO PAYPAL ACH ECC PPD ACH Trace 89522</t>
  </si>
  <si>
    <t>Transfer from PayPal PAYPAL TYPE TRANSFER ID PAYPALSD11 CO PAYPAL ACH ECC PPD ACH Trace 90782</t>
  </si>
  <si>
    <t>Transfer from POWERPLUS CHECKING</t>
  </si>
  <si>
    <t>Transfer from SHARE SAVINGS</t>
  </si>
  <si>
    <t>TRANSFER FUNDS FROM SCHWAB BANK - 440020765184</t>
  </si>
  <si>
    <t>TRANSFER FUNDS TO SCHWAB BANK - 440020765184</t>
  </si>
  <si>
    <t>Transfer to Cash Rewards Visa Signature</t>
  </si>
  <si>
    <t>Transfer to Discover More Card</t>
  </si>
  <si>
    <t>Transfer to Facebook Pay</t>
  </si>
  <si>
    <t>Transfer to Investor Checking</t>
  </si>
  <si>
    <t>Transfer to PayPal</t>
  </si>
  <si>
    <t>Transfer to POWERPLUS CHECKING</t>
  </si>
  <si>
    <t>Transfer to RAINY DAY SAVINGS</t>
  </si>
  <si>
    <t>Transfer to Venmo</t>
  </si>
  <si>
    <t>Transfer to Venmo VENMO TYPE PAYMENT ID CO VENMO ACH ECC WEB ACH Trace 08199</t>
  </si>
  <si>
    <t>Transfer to Venmo VENMO TYPE PAYMENT ID CO VENMO ACH ECC WEB ACH Trace 11191</t>
  </si>
  <si>
    <t>Transfer to Venmo VENMO TYPE PAYMENT ID CO VENMO ACH ECC WEB ACH Trace 23621</t>
  </si>
  <si>
    <t>Transfer to Venmo VENMO TYPE PAYMENT ID CO VENMO ACH ECC WEB ACH Trace 31878</t>
  </si>
  <si>
    <t>Transfer to Venmo VENMO TYPE PAYMENT ID CO VENMO ACH ECC WEB ACH Trace 32822</t>
  </si>
  <si>
    <t>Transfer to Venmo VENMO TYPE PAYMENT ID CO VENMO ACH ECC WEB ACH Trace 32892</t>
  </si>
  <si>
    <t>Transfer to Venmo VENMO TYPE PAYMENT ID CO VENMO ACH ECC WEB ACH Trace 33056</t>
  </si>
  <si>
    <t>Transfer to Venmo VENMO TYPE PAYMENT ID CO VENMO ACH ECC WEB ACH Trace 40720</t>
  </si>
  <si>
    <t>Transfer to Venmo VENMO TYPE PAYMENT ID CO VENMO ACH ECC WEB ACH Trace 40985</t>
  </si>
  <si>
    <t>Transfer to Venmo VENMO TYPE PAYMENT ID CO VENMO ACH ECC WEB ACH Trace 42408</t>
  </si>
  <si>
    <t>Transfer to Venmo VENMO TYPE PAYMENT ID CO VENMO ACH ECC WEB ACH Trace 42724</t>
  </si>
  <si>
    <t>Transfer to Venmo VENMO TYPE PAYMENT ID CO VENMO ACH ECC WEB ACH Trace 54921</t>
  </si>
  <si>
    <t>Transfer to Venmo VENMO TYPE PAYMENT ID CO VENMO ACH ECC WEB ACH Trace 57728</t>
  </si>
  <si>
    <t>Transfer to Venmo VENMO TYPE PAYMENT ID CO VENMO ACH ECC WEB ACH Trace 60501</t>
  </si>
  <si>
    <t>Transfer to Venmo VENMO TYPE PAYMENT ID CO VENMO ACH ECC WEB ACH Trace 63713</t>
  </si>
  <si>
    <t>Transfer to Venmo VENMO TYPE PAYMENT ID CO VENMO ACH ECC WEB ACH Trace 72010</t>
  </si>
  <si>
    <t>Transfer to Venmo VENMO TYPE PAYMENT ID CO VENMO ACH ECC WEB ACH Trace 74986</t>
  </si>
  <si>
    <t>Transfer to Venmo VENMO TYPE PAYMENT ID CO VENMO ACH ECC WEB ACH Trace 79449</t>
  </si>
  <si>
    <t>Transfer to Venmo VENMO TYPE PAYMENT ID CO VENMO ACH ECC WEB ACH Trace 82107</t>
  </si>
  <si>
    <t>Transfer to Venmo VENMO TYPE PAYMENT ID CO VENMO ACH ECC WEB ACH Trace 92303</t>
  </si>
  <si>
    <t>Transfer to Venmo VENMO TYPE PAYMENT ID CO VENMO ACH ECC WEB ACH Trace 95244</t>
  </si>
  <si>
    <t>Transfer to Venmo VENMO TYPE PAYMENT ID CO VENMO NAME BRITNEY TRUITT ACH ECC WEB ACH Trace 23741</t>
  </si>
  <si>
    <t>Transfer to Venmo VENMO TYPE PAYMENT ID CO VENMO NAME BRITNEY TRUITT ACH ECC WEB ACH Trace 30085</t>
  </si>
  <si>
    <t>Transfer to Venmo VENMO TYPE PAYMENT ID CO VENMO NAME BRITNEY TRUITT ACH ECC WEB ACH Trace 63230</t>
  </si>
  <si>
    <t>Transfer to Venmo VENMO TYPE PAYMENT ID CO VENMO NAME BRITNEY TRUITT ACH ECC WEB ACH Trace 88616</t>
  </si>
  <si>
    <t>Transfer to Venmo VENMO TYPE PAYMENT ID CO VENMO NAME BRITNEY TRUITT ACH ECC WEB ACH Trace 91582</t>
  </si>
  <si>
    <t>Transfer to Venmo VENMO TYPE PAYMENT ID CO VENMO NAME BRITNEY TRUITT ACH ECC WEB ACH Trace 94227</t>
  </si>
  <si>
    <t>Transfer to Venmo VENMO TYPE PAYMENT ID CO VENMO NAME BRITNEY TRUITT ACH ECC WEB ACH Trace 94439</t>
  </si>
  <si>
    <t>Transfer to Venmo VENMO TYPE PAYMENT ID CO VENMO NAME BRITNEY TRUITT ACH ECC WEB ACH Trace 94658</t>
  </si>
  <si>
    <t>Transfer to Venmo VENMO TYPE PAYMENT ID CO VENMO NAME JEFF TRUITT ACH ECC WEB ACH Trace 08231</t>
  </si>
  <si>
    <t>Transfer to Venmo VENMO TYPE PAYMENT ID CO VENMO NAME JEFF TRUITT ACH ECC WEB ACH Trace 08495</t>
  </si>
  <si>
    <t>Transfer to Venmo VENMO TYPE PAYMENT ID CO VENMO NAME JEFF TRUITT ACH ECC WEB ACH Trace 31598</t>
  </si>
  <si>
    <t>TRANSFERRED FROM KAUFMAN HSA TFR (Cash)</t>
  </si>
  <si>
    <t>TRAVAIL KITCHEN ROBBINSDALE MN TRAVAIL KITCHEN ROBBINSDALE MN</t>
  </si>
  <si>
    <t>TRAVEL GUARD GROUP INC 8779348308 WI</t>
  </si>
  <si>
    <t>TRAVEL INSURANCE POLICY 8007296021 VA 240721354</t>
  </si>
  <si>
    <t>Treasurydirect TREASURY DIRECT TYPE TREAS DRCT ID CO TREASURY DIRECT ACH ECC PPD ACH Trace 00726</t>
  </si>
  <si>
    <t>Treasurydirect TREASURY DIRECT TYPE TREAS DRCT ID CO TREASURY DIRECT ACH ECC PPD ACH Trace 00990</t>
  </si>
  <si>
    <t>Treasurydirect TREASURY DIRECT TYPE TREAS DRCT ID CO TREASURY DIRECT ACH ECC PPD ACH Trace 01003</t>
  </si>
  <si>
    <t>Treasurydirectgov TREASURY DIRECT TYPE TREAS DRCT ID CO TREASURY DIRECT ACH ECC PPD ACH Trace 03993</t>
  </si>
  <si>
    <t>TREX MART 3 LATHROP MO</t>
  </si>
  <si>
    <t>TRUCE MINNEAPOLIS MN 261293606</t>
  </si>
  <si>
    <t>True Play Strslde</t>
  </si>
  <si>
    <t>True Value</t>
  </si>
  <si>
    <t>TRUITTJEFF B TYPE Online ID CO TRUITTJEFF B ACH ECC WEB</t>
  </si>
  <si>
    <t>TST 515 BAR GRILL WDM IA</t>
  </si>
  <si>
    <t>TST BLUE MOOSE BEAVER BEAVER CREEK CO</t>
  </si>
  <si>
    <t>TST BOMBAY PIZZA KITCHENEDEN PRAIRIE MN</t>
  </si>
  <si>
    <t>TST CASTLE DANGER BREWERTWO HARB</t>
  </si>
  <si>
    <t>TST COPPER COW MINNETONKA MN</t>
  </si>
  <si>
    <t>TST COPPER COW MINNETONKA MN 320484804</t>
  </si>
  <si>
    <t>TST COPPER COW MINNETONKA MN TST COPPER COW MINNETONKA MN</t>
  </si>
  <si>
    <t>TST COPPER COW XX5151 MN TST COPPER COW 6083815151 MN</t>
  </si>
  <si>
    <t>TST CRUISERS SUB SHOP STEAMBOAT SPRCO</t>
  </si>
  <si>
    <t>TST DUKES ON 7 MINNETONKA MN</t>
  </si>
  <si>
    <t>TST DUKES ON 7 MINNETONKA MN TST DUKES ON 7 MINNETONKA MN</t>
  </si>
  <si>
    <t>TST FAT PANTS BREWING COEDEN PRAIRIE MN</t>
  </si>
  <si>
    <t>TST FITGERS BREWHOUSE DULUTH MN</t>
  </si>
  <si>
    <t>TST GREEN RUSSELL DENVER CO 281766498</t>
  </si>
  <si>
    <t>TST KASKAID CRAVE FOODMINNETONKA MN</t>
  </si>
  <si>
    <t>TST LAGOS TACOS EXCELSIO9523008495 MN</t>
  </si>
  <si>
    <t>TST LAGOS TACOS EXCELSIOEXCELSIOR MN</t>
  </si>
  <si>
    <t>TST LAGOS TACOS EXCELSIOXX8495 M TST LAGOS TACOS EXCELSIO9523008495 MN</t>
  </si>
  <si>
    <t>TST LOLA S LAKEHOUSE WACONIA MN 326309885</t>
  </si>
  <si>
    <t>TST Lolas Lakehouse Waconia MN</t>
  </si>
  <si>
    <t>TST LYN 65 6123535501 MN</t>
  </si>
  <si>
    <t>TST LYN 65 RICHFIELD MN</t>
  </si>
  <si>
    <t>TST MISSION TACO JOINT KANSAS CITY MO</t>
  </si>
  <si>
    <t>TST OLIVE S FRESH EXCELS6122324677 MN</t>
  </si>
  <si>
    <t>TST OLIVE S FRESH EXCELS6122324677 MN 308465740</t>
  </si>
  <si>
    <t>TST OLIVE S FRESH EXCELS6122324677 MN 309740559</t>
  </si>
  <si>
    <t>TST OLIVE S FRESH EXCELSEXCELSIOR MN 291657928</t>
  </si>
  <si>
    <t>TST RED COW 1ST AVE 6122380050 MN</t>
  </si>
  <si>
    <t>TST RED COW 1ST AVE 6122380050 MN 321934378</t>
  </si>
  <si>
    <t>TST RED COW 1ST AVE MINNEAPOLIS MN</t>
  </si>
  <si>
    <t>TST RED COW 50TH ST 6127674411 MN</t>
  </si>
  <si>
    <t>TST RED COW 50TH ST MINNEAPOLIS MN</t>
  </si>
  <si>
    <t>TST Red Cow 50th St Minneapolis MN</t>
  </si>
  <si>
    <t>TST RED COW 50TH ST MINNEAPOLIS MN 297230716</t>
  </si>
  <si>
    <t>TST RED RABBIT MINNEAP6513362179 MN</t>
  </si>
  <si>
    <t>TST RED RABBIT MINNEAPMINNEAPOLIS MN 239518478</t>
  </si>
  <si>
    <t>TST RED RABBIT MINNEAPMINNEAPOLIS MN 249546158</t>
  </si>
  <si>
    <t>TST Red Wagon Pizza Co Minneapol</t>
  </si>
  <si>
    <t>TST RED WAGON PIZZA CO XX7147 MN</t>
  </si>
  <si>
    <t>TST SMOKE ON THE WATER OKAUCHEE WI</t>
  </si>
  <si>
    <t>TST SUNSETS AT PARADISE BALSAM LAKE WI</t>
  </si>
  <si>
    <t>TST THE FREEHOUSE MINNEAPOLIS MN</t>
  </si>
  <si>
    <t>TST UNMAPPED BREWING COMINNETONK</t>
  </si>
  <si>
    <t>TST YUM KITCHEN AND BAKMINNEAPOLIS MN</t>
  </si>
  <si>
    <t>TST* BLVD MINNETONKA MN</t>
  </si>
  <si>
    <t>TST* BOROUGH AND PARLOUR MINNEAPOLIS MN</t>
  </si>
  <si>
    <t>TST* BOTTEGA NAPA VALLEY YOUNTVILLE CA</t>
  </si>
  <si>
    <t>TST* CRAVE FOOD &amp; DRINK MINNEAPOLIS MN</t>
  </si>
  <si>
    <t>TST* ETTA CHICAGO IL</t>
  </si>
  <si>
    <t>TST* GARDEN COURT CAFE GLEN ELLEN CAAPPLE PAY ENDI</t>
  </si>
  <si>
    <t>TST* KHALUNA MINNEAPOLIS MN
00055789007350753578AA</t>
  </si>
  <si>
    <t>TST* OLIVE S FRESH EXCEL EXCELSIOR MN</t>
  </si>
  <si>
    <t>TST* RED COW - 50TH ST MINNEAPOLIS MN</t>
  </si>
  <si>
    <t>TST* RED RABBIT - MINNEA MINNEAPOLIS MNAPPLE PAY E</t>
  </si>
  <si>
    <t>TST* THE LOOP SLP SAINT LOUIS PMN</t>
  </si>
  <si>
    <t>Tullibee</t>
  </si>
  <si>
    <t>Tumbleweed Liqu 57 Edwa Edwards</t>
  </si>
  <si>
    <t>Turbo Nail Spa</t>
  </si>
  <si>
    <t>TUTTS BAIT GARRISON MN 249546159</t>
  </si>
  <si>
    <t>Twin Cities In Motion</t>
  </si>
  <si>
    <t>Twin Orchards Nurser Y</t>
  </si>
  <si>
    <t>Type Online Id</t>
  </si>
  <si>
    <t>TYPE TRANSFER ID PAYPALSD11 CO PAYPAL ACH ECC PPD ACH Trace 00007</t>
  </si>
  <si>
    <t>TYPE TRANSFER ID PAYPALSD11 CO PAYPAL ACH ECC PPD ACH Trace 03346</t>
  </si>
  <si>
    <t>TYPE TRANSFER ID PAYPALSD11 CO PAYPAL ACH ECC PPD ACH Trace 20152</t>
  </si>
  <si>
    <t>TYPE TRANSFER ID PAYPALSD11 CO PAYPAL ACH ECC PPD ACH Trace 22822 282464808</t>
  </si>
  <si>
    <t>TYPE TRANSFER ID PAYPALSD11 CO PAYPAL ACH ECC PPD ACH Trace 23715 321924713</t>
  </si>
  <si>
    <t>TYPE TRANSFER ID PAYPALSD11 CO PAYPAL ACH ECC PPD ACH Trace 33098</t>
  </si>
  <si>
    <t>TYPE TRANSFER ID PAYPALSD11 CO PAYPAL ACH ECC PPD ACH Trace 34075 253658499</t>
  </si>
  <si>
    <t>TYPE TRANSFER ID PAYPALSD11 CO PAYPAL ACH ECC PPD ACH Trace 56638</t>
  </si>
  <si>
    <t>TYPE TRANSFER ID PAYPALSD11 CO PAYPAL ACH ECC PPD ACH Trace 96587 311867131</t>
  </si>
  <si>
    <t>Type Verifybank Id</t>
  </si>
  <si>
    <t>U.S. Bank</t>
  </si>
  <si>
    <t>U.S. Bank Stadium</t>
  </si>
  <si>
    <t>Uber</t>
  </si>
  <si>
    <t>Uber Eats</t>
  </si>
  <si>
    <t>Uber.com</t>
  </si>
  <si>
    <t>Under Armour Retail</t>
  </si>
  <si>
    <t>Under Pressure Inc</t>
  </si>
  <si>
    <t>UNITED 0161523949801HOUSTON TX 239762230</t>
  </si>
  <si>
    <t>UNITED 01623443222688009322732 TX</t>
  </si>
  <si>
    <t>UNITED 01623443222698009322732 TX</t>
  </si>
  <si>
    <t>UNITED 01699305234568009322732 TX</t>
  </si>
  <si>
    <t>United Airlines</t>
  </si>
  <si>
    <t>Unmapped Brewing Co.</t>
  </si>
  <si>
    <t>UNRLCO UNRLMYSHOPIFMN UNRLCO UNRLMYSHOPIFMN</t>
  </si>
  <si>
    <t>UNTIEDTS MINNETONKA MINNETONKA MN</t>
  </si>
  <si>
    <t>UPS</t>
  </si>
  <si>
    <t>Uptown Association</t>
  </si>
  <si>
    <t>US Bank</t>
  </si>
  <si>
    <t>Us Lacrosse</t>
  </si>
  <si>
    <t>US Lacrosse Inc</t>
  </si>
  <si>
    <t>US TREASURY BILL19U S T BILL DUE 11/21/19</t>
  </si>
  <si>
    <t>US TREASURY BILXXX**MATURED**</t>
  </si>
  <si>
    <t>Usave Foods U SAVE FOODS 440 DEER RIVER MN</t>
  </si>
  <si>
    <t>USAVEND AT AIR SERV CHANHASSEN MN</t>
  </si>
  <si>
    <t>USD PARTNERS LP LP</t>
  </si>
  <si>
    <t>USPS</t>
  </si>
  <si>
    <t>Utah Brewers Cooperative, L.C.</t>
  </si>
  <si>
    <t>VAG ITM-TERM TREASURY ETF</t>
  </si>
  <si>
    <t>VAIL VALLEY ANGLERS EDWARDS CO</t>
  </si>
  <si>
    <t>Valvoline Instant Oil Change</t>
  </si>
  <si>
    <t>VANG TARGET RET 2050</t>
  </si>
  <si>
    <t>VANGUARD INTRMDIAT TRM TRSRY ETF</t>
  </si>
  <si>
    <t>VANGUARD INTRMDIAT TRM TRSRY ETF IV</t>
  </si>
  <si>
    <t>Venmo</t>
  </si>
  <si>
    <t>Venmo Cashout</t>
  </si>
  <si>
    <t>Venmo Cashout Tran</t>
  </si>
  <si>
    <t>Venmo Type Cashout</t>
  </si>
  <si>
    <t>VENMO TYPE PAYMENT  ID   CO VENM</t>
  </si>
  <si>
    <t>Venmo Type Verifyban</t>
  </si>
  <si>
    <t>VENMO TYPE VERIFYBAN ID CO VENMO ACH ECC WEB ACH Trace 96623 292751227</t>
  </si>
  <si>
    <t>VENMO TYPE VERIFYBAN ID CO VENMO ACH ECC WEB ACH Trace 96624 292751226</t>
  </si>
  <si>
    <t>VENTRA VENDING 03401 CHICAGO IL</t>
  </si>
  <si>
    <t>VENTRA VENDING 06401 CHICAGO IL</t>
  </si>
  <si>
    <t>VENTRA VENDING 06401 CHICAGO IL 248041947</t>
  </si>
  <si>
    <t>VENTRA VENDING 12104 CHICAGO IL</t>
  </si>
  <si>
    <t>VICTORIA BURROW 9522065050 MN</t>
  </si>
  <si>
    <t>VICTORIA BURROW VICTORIA MN 286925000</t>
  </si>
  <si>
    <t>Victoria's Secret</t>
  </si>
  <si>
    <t>VIET HOA CHINESE CUISINE MINNETONKA MN 303891670</t>
  </si>
  <si>
    <t>Vineyard Vines</t>
  </si>
  <si>
    <t>VINEYARD VINES LLC XX4982 CT</t>
  </si>
  <si>
    <t>Vineyards</t>
  </si>
  <si>
    <t>VIOC 010018 SHOREWOOD MN</t>
  </si>
  <si>
    <t>VIOC 010042 CHANHASSEN MN</t>
  </si>
  <si>
    <t>VISA INC CLASS A</t>
  </si>
  <si>
    <t>VOYAGERSBREWINGCOMPANY GRANDMARAIS MN</t>
  </si>
  <si>
    <t>Vrbo Fee 5127590902 TX</t>
  </si>
  <si>
    <t>WAKABA SAN FRANCISCOCA0002305843014555255164</t>
  </si>
  <si>
    <t>Wakame Sushi &amp; Asian Bistro</t>
  </si>
  <si>
    <t>Walgreens</t>
  </si>
  <si>
    <t>WALGREENS 12044         EDEN PRA</t>
  </si>
  <si>
    <t>WALGREENS 6280          EDEN PRA</t>
  </si>
  <si>
    <t>Wal-Mart</t>
  </si>
  <si>
    <t>Washington Gas</t>
  </si>
  <si>
    <t>Waste Management</t>
  </si>
  <si>
    <t>Water Street Inn WATERSTREET INN STILLWATER MN</t>
  </si>
  <si>
    <t>Wayfair</t>
  </si>
  <si>
    <t>WAYNES FOODS PLUS DANBURY WI WAYNES FOODS PLUS DANBURY WI</t>
  </si>
  <si>
    <t>WAYZATA CAFE WAYZATA MN</t>
  </si>
  <si>
    <t>WAYZATA COFFEE WAYZATA MN</t>
  </si>
  <si>
    <t>WEBONLINE 8009880886 MA</t>
  </si>
  <si>
    <t>Wells Fargo Bank</t>
  </si>
  <si>
    <t>Wendys</t>
  </si>
  <si>
    <t>Wendy's</t>
  </si>
  <si>
    <t>WEST BAY CLUB BAY HOUSE ESTERO F WEST BAY CLUB BAY HOUSE ESTERO FL</t>
  </si>
  <si>
    <t>Western Ob Gyne Ltd</t>
  </si>
  <si>
    <t>Westin</t>
  </si>
  <si>
    <t>WESTSIDE LIQUOR OF BAXTERBAXTER</t>
  </si>
  <si>
    <t>Whole Foods</t>
  </si>
  <si>
    <t>WILD RUFFLE 6128055138 MN</t>
  </si>
  <si>
    <t>Willy McCoys</t>
  </si>
  <si>
    <t>WINCHESTER AND RYE VICTORIA MN</t>
  </si>
  <si>
    <t>WINCHESTER AND RYE VICTORIA MN WINCHESTER AND RYE VICTORIA MN</t>
  </si>
  <si>
    <t>Wine.com</t>
  </si>
  <si>
    <t>Wings Financial</t>
  </si>
  <si>
    <t>Wire</t>
  </si>
  <si>
    <t>Wisconsin Department Of Natural</t>
  </si>
  <si>
    <t>Wisconsin Dnr Service ChargesFee</t>
  </si>
  <si>
    <t>Withdrawal ACH TYPE Online ID ACH ECC WEB 243509658</t>
  </si>
  <si>
    <t>Withdrawal ACH TYPE Online ID ACH ECC WEB 282236837</t>
  </si>
  <si>
    <t>Withdrawal ACH TYPE Online ID ACH ECC WEB 291657927</t>
  </si>
  <si>
    <t>Withdrawal ACH TYPE Online ID ACH ECC WEB 295857736</t>
  </si>
  <si>
    <t>Withdrawal Debit REEDS SUNNYSIDE MARINA WWWSUNNYSIDE WI Date 080321 030 7929</t>
  </si>
  <si>
    <t>Withdrawal Home payment to card 950588 254422203</t>
  </si>
  <si>
    <t>Withdrawal Home payment to card 950588 255775611</t>
  </si>
  <si>
    <t>Withdrawal Home payment to card 950588 257307739</t>
  </si>
  <si>
    <t>Withdrawal Home payment to card 950588 261831395</t>
  </si>
  <si>
    <t>Withdrawal Home payment to card 950588 265669594</t>
  </si>
  <si>
    <t>Withdrawal Home payment to card 950588 269820192</t>
  </si>
  <si>
    <t>Withdrawal Home payment to card 950588 270869881</t>
  </si>
  <si>
    <t>Withdrawal Home payment to card 979181</t>
  </si>
  <si>
    <t>Withdrawal Home payment to card 979181 273702931</t>
  </si>
  <si>
    <t>Withdrawal Home payment to card 979181 275812401</t>
  </si>
  <si>
    <t>Withdrawal Home payment to card 979181 278608583</t>
  </si>
  <si>
    <t>Withdrawal Home payment to card 979181 280489279</t>
  </si>
  <si>
    <t>Withdrawal Home payment to card 979181 282818180</t>
  </si>
  <si>
    <t>Withdrawal Home payment to card 979181 283894239</t>
  </si>
  <si>
    <t>Withdrawal Home payment to card 979181 285286050</t>
  </si>
  <si>
    <t>Withdrawal Home payment to card 979181 286962138</t>
  </si>
  <si>
    <t>Withdrawal Home payment to card 979181 288490360</t>
  </si>
  <si>
    <t>Withdrawal Home payment to card 979181 289145309</t>
  </si>
  <si>
    <t>Withdrawal Home payment to card 979181 290185819</t>
  </si>
  <si>
    <t>Withdrawal Home payment to card 979181 290815402</t>
  </si>
  <si>
    <t>Withdrawal Home payment to card 979181 294028059</t>
  </si>
  <si>
    <t>Withdrawal Home payment to card 979181 295897206</t>
  </si>
  <si>
    <t>Withdrawal Home payment to card 979181 297517781</t>
  </si>
  <si>
    <t>Withdrawal Home payment to card 979181 300367184</t>
  </si>
  <si>
    <t>Withdrawal Home payment to card 979181 304320586</t>
  </si>
  <si>
    <t>Withdrawal Home payment to card 979181 305394381</t>
  </si>
  <si>
    <t>Withdrawal Home payment to card 979181 307076214</t>
  </si>
  <si>
    <t>Withdrawal Home payment to card 979181 309863835</t>
  </si>
  <si>
    <t>Withdrawal Home payment to card 979181 311438930</t>
  </si>
  <si>
    <t>Withdrawal Home payment to card 979181 313309910</t>
  </si>
  <si>
    <t>Withdrawal Home payment to card 979181 316598055</t>
  </si>
  <si>
    <t>Withdrawal Home payment to card 979181 321867876</t>
  </si>
  <si>
    <t>Withdrawal Home payment to card 979181 326342535</t>
  </si>
  <si>
    <t>Withdrawal Home payment to card 979181 329824392</t>
  </si>
  <si>
    <t>Withdrawal Home payment to card XX91 Withdrawal Home payment to card 979181</t>
  </si>
  <si>
    <t>Withdrawal Home Pmt to card XX91</t>
  </si>
  <si>
    <t>Withdrawal Home To Loan Mortgage Payment Thank You 233602111</t>
  </si>
  <si>
    <t>Withdrawal Home To Loan Mortgage Payment Thank You 240871919</t>
  </si>
  <si>
    <t>Withdrawal Home To Loan Mortgage Payment Thank You 246127048</t>
  </si>
  <si>
    <t>Withdrawal THANK YOU FOR YOUR MORTGAGE APPLICATION 329364143</t>
  </si>
  <si>
    <t>Withdrawal Trans To TRUITTCOOPER L Share 12 282557299</t>
  </si>
  <si>
    <t>Withdrawal Trans To TRUITTJEFF B</t>
  </si>
  <si>
    <t>Withdrawal Trans To TRUITTJEFF B Share 70</t>
  </si>
  <si>
    <t>Withdrawal WIRE TRANSFER FEE</t>
  </si>
  <si>
    <t>WOODENHILL1 EDINA MN</t>
  </si>
  <si>
    <t>WOODENHILL1 EDINA MN 323603620</t>
  </si>
  <si>
    <t>Work Class DENVER CO 281766497</t>
  </si>
  <si>
    <t>WORLD BEAN MINNEAPOLIS MN</t>
  </si>
  <si>
    <t>WPYRise Bagel Co 8554693729 MN</t>
  </si>
  <si>
    <t>WPYSupport for the Ransb8668191294 CA 289731431</t>
  </si>
  <si>
    <t>WT GAS GO LAGRANGE WY</t>
  </si>
  <si>
    <t>x1003 NORTH LOOP MINNEAPOLIS MN 11003 NORTH LOOP MINNEAPOLIS MN</t>
  </si>
  <si>
    <t>Xcel Energy</t>
  </si>
  <si>
    <t>YETI 18332259384      5123949384</t>
  </si>
  <si>
    <t>YETI 18332259384 5123949384 DE</t>
  </si>
  <si>
    <t>YETI COOLERS 5123949384 TX</t>
  </si>
  <si>
    <t>YETI COOLERS 5123949384 TX 240479865</t>
  </si>
  <si>
    <t>YETI COOLERS 5123949384 TX 329455459</t>
  </si>
  <si>
    <t>YETI HOLDINGS INCORPORAT</t>
  </si>
  <si>
    <t>Yum Kitchen and Bakery</t>
  </si>
  <si>
    <t>Yumi's Sushi Bar</t>
  </si>
  <si>
    <t>Yzata Brew Works LLC</t>
  </si>
  <si>
    <t>Zappos</t>
  </si>
  <si>
    <t>ZEN BOX IZAKAYA MINNEAPOLIS MN 283353091</t>
  </si>
  <si>
    <t>ZEROREZ 9522248084 MN</t>
  </si>
  <si>
    <t>ZORBAZ OF CROSSLAKE CROSSLAKE MN 314452666</t>
  </si>
  <si>
    <t>ZORBAZ ON GULL LAKE NISSWA MN</t>
  </si>
  <si>
    <t>Trip</t>
  </si>
  <si>
    <t>Start</t>
  </si>
  <si>
    <t>End</t>
  </si>
  <si>
    <t>Boston</t>
  </si>
  <si>
    <t>Ireland</t>
  </si>
  <si>
    <t>Irealnd</t>
  </si>
  <si>
    <t>Miami</t>
  </si>
  <si>
    <t>Yrmo</t>
  </si>
  <si>
    <t>Date</t>
  </si>
  <si>
    <t>Source</t>
  </si>
  <si>
    <t>Amount</t>
  </si>
  <si>
    <t>Suggested Cat Value</t>
  </si>
  <si>
    <t>Manual Cat Value</t>
  </si>
  <si>
    <t>Notes</t>
  </si>
  <si>
    <t>Amount2</t>
  </si>
  <si>
    <t>ActiveRule</t>
  </si>
  <si>
    <t>Desc</t>
  </si>
  <si>
    <t>LongDesc</t>
  </si>
  <si>
    <t>InflowOutflow</t>
  </si>
  <si>
    <t>Short Desc</t>
  </si>
  <si>
    <t>RuleUsed</t>
  </si>
  <si>
    <t>Tag</t>
  </si>
  <si>
    <t>Discover</t>
  </si>
  <si>
    <t>-</t>
  </si>
  <si>
    <t>Create Rule; and Description='Amazon';Amazon</t>
  </si>
  <si>
    <t>Discover More Card</t>
  </si>
  <si>
    <t>Cash Rewards Visa Signature</t>
  </si>
  <si>
    <t>Create Rule; and Description='Borough';Restaurants</t>
  </si>
  <si>
    <t>.+</t>
  </si>
  <si>
    <t>POWERPLUS</t>
  </si>
  <si>
    <t>Delete; and Description Like '%Transfer to Cash Rewards Visa Signature%';0</t>
  </si>
  <si>
    <t>POWERPLUS CHECKING</t>
  </si>
  <si>
    <t>Create Rule; and Description Like '%CCLC TYPE INTERNET ID%';Day Care</t>
  </si>
  <si>
    <t>Create Rule; and Description Like '%Withdrawal Home To Loan Mortgage Payment%';Rent</t>
  </si>
  <si>
    <t>30 YR FIXED</t>
  </si>
  <si>
    <t>Target Credit Card</t>
  </si>
  <si>
    <t>Create Rule; and Description Like '%College Savings%';College Savings</t>
  </si>
  <si>
    <t>+</t>
  </si>
  <si>
    <t>Investor Checking</t>
  </si>
  <si>
    <t>Jeff Roth</t>
  </si>
  <si>
    <t>Delete; and Description='SCHWAB S&amp;P 500 INDEX FD' and inflowoutflow='-';0</t>
  </si>
  <si>
    <t>Roth Contributory IRA</t>
  </si>
  <si>
    <t>Delete; and Description='SCHWAB TOTAL STOCK MKT INDEX' and inflowoutflow='-';0</t>
  </si>
  <si>
    <t>Delete; and Description='Venmo Type Cashout';0</t>
  </si>
  <si>
    <t>Create Rule; and Description='Xcel Energy';Utilities</t>
  </si>
  <si>
    <t>Manual</t>
  </si>
  <si>
    <t>Create Rule; and Description='Cargill Incorpor Type';Inc - Other</t>
  </si>
  <si>
    <t>Create Rule; and Description='Hudson News';Transportation</t>
  </si>
  <si>
    <t>Create Rule; and Description Like '%CARGILL COCOA TYPE DIR DEP ID%';Inc - Britney</t>
  </si>
  <si>
    <t>Create Rule; and Description Like '%KAUFMAN HALL TYPE DIRECT DEP ID%';Inc - Jeff</t>
  </si>
  <si>
    <t>Create Rule; and Description='American Family Insurance';Insurance</t>
  </si>
  <si>
    <t>Create Rule; and Description='Lululemon';Shopping</t>
  </si>
  <si>
    <t>Create Rule; and Description='Tfr JPMORGAN CHASE BAN, KAUFMAN HALL';Roth</t>
  </si>
  <si>
    <t>Create Rule; and Description='Total Wine and More';Groceries</t>
  </si>
  <si>
    <t>KAUFMAN</t>
  </si>
  <si>
    <t>Delete; and Description='INTERNET PAYMENT - THANK YOU';0</t>
  </si>
  <si>
    <t>Create Rule; and Description='Advocare';Groceries</t>
  </si>
  <si>
    <t>Delete; and Description Like '%DISCOVER TYPE EPAYMENT%';0</t>
  </si>
  <si>
    <t>Create Rule; and Description Like '%RED SAUCE REBELLION%';Restaurants</t>
  </si>
  <si>
    <t>Create Rule; and Description='Anthropologie';Shopping</t>
  </si>
  <si>
    <t>Create Rule; and Description='Wal-Mart';Shopping</t>
  </si>
  <si>
    <t>Create Rule; and Description Like '%Banana Visa%';Shopping</t>
  </si>
  <si>
    <t>Create Rule; and Description='City of Chanhassen';Utilities</t>
  </si>
  <si>
    <t>Create Rule; and Description Like '%CRAVE EDEN PRAIRIE%';Shopping</t>
  </si>
  <si>
    <t>RAINY DAY</t>
  </si>
  <si>
    <t>Delete; and Description='Transfer from POWERPLUS CHECKING';0</t>
  </si>
  <si>
    <t>RAINY DAY SAVINGS</t>
  </si>
  <si>
    <t>Create Rule; and Description='Transfer to RAINY DAY SAVINGS';Savings</t>
  </si>
  <si>
    <t>Delete; and Description='CASHBACK BONUS REDEMPTION payment/STMT CRDT';0</t>
  </si>
  <si>
    <t>SHARE SAVINGS</t>
  </si>
  <si>
    <t>Create Rule; and Description='Netflix';Utilities</t>
  </si>
  <si>
    <t>Create Rule; and Description='WINCHESTER AND RYE VICTORIA MN';Restaurants</t>
  </si>
  <si>
    <t>Create Rule; and Description Like '%PENN MINNOCO%';Transportation</t>
  </si>
  <si>
    <t>Create Rule; and Description='Target';Target</t>
  </si>
  <si>
    <t>Coopers Rainy Day</t>
  </si>
  <si>
    <t>Create Rule; and Description='Apy Earned';0</t>
  </si>
  <si>
    <t>Create Rule; and Description='Interest Paid';0</t>
  </si>
  <si>
    <t>Create Rule; and Description='Split Rate Apy';Inc - Other</t>
  </si>
  <si>
    <t>HIGHLANDER</t>
  </si>
  <si>
    <t>2017 TOYOTA HIGHLANDER</t>
  </si>
  <si>
    <t>Create Rule; and Description Like '%To Loan 02%';Car Loan</t>
  </si>
  <si>
    <t>Joint Tenant</t>
  </si>
  <si>
    <t>Create Rule; and Description='Waste Management';Utilities</t>
  </si>
  <si>
    <t>Create Rule; and Description='CPENERGY MNGCO TYPE MGC ACH EB ID 176051140S CO CPENERGY MNGCO ACH ECC WEB ACH Trace 49868 241622913';Utilities</t>
  </si>
  <si>
    <t>Create Rule; and Description Like '%LEVELUP*ROTIMODERNMEDI%';Restaurants</t>
  </si>
  <si>
    <t>Delete; and Description='Type Verifybank Id';0</t>
  </si>
  <si>
    <t>Create Rule; and Description Like '%PayPal%';Shopping</t>
  </si>
  <si>
    <t>Create Rule; and Description Like '%CARGILL CAF%';Restaurants</t>
  </si>
  <si>
    <t>Create Rule; and Description Like '%CARGILL PRO%';Restaurants</t>
  </si>
  <si>
    <t>Create Rule; and Description='Cast &amp; Cru';Restaurants</t>
  </si>
  <si>
    <t>Create Rule; and Description='NORTH COOP CHAHASSEN MN';Restaurants</t>
  </si>
  <si>
    <t>Create Rule; and Description Like '%MN DVS MLR TYPE%';Transportation</t>
  </si>
  <si>
    <t>Create Rule; and Description='Olives Fresh Pizza Bar';Restaurants</t>
  </si>
  <si>
    <t>Create Rule; and Description Like '%Caribou Coffee%';Restaurants</t>
  </si>
  <si>
    <t>Create Rule; and Description='Nas Thai Cafe Inc';Restaurants</t>
  </si>
  <si>
    <t>Create Rule; and Description='RISE BAGEL CO MINNEAPOLIS MN';Restaurants</t>
  </si>
  <si>
    <t>Delete; and Description='ATM FEE REFUND 247464311';0</t>
  </si>
  <si>
    <t>Create Rule; and Description='SMALL CHEVAL CHICAGO IL';Restaurants</t>
  </si>
  <si>
    <t>Create Rule; and Description='To Loan 02 247528486';Car Loan</t>
  </si>
  <si>
    <t>Create Rule; and Description Like '%BLACK SHEEP PIZZA%';Restaurants</t>
  </si>
  <si>
    <t>Create Rule; and Description Like '%VENTRA VENDING%';Transportation</t>
  </si>
  <si>
    <t>Create Rule; and Description='Noodles &amp; Company';Restaurants</t>
  </si>
  <si>
    <t>CARGILL PARTNERSHIP PLAN</t>
  </si>
  <si>
    <t>Create Rule; and Description Like '%LONESOME PINE RESTAURANT%';Restaurants</t>
  </si>
  <si>
    <t>Create Rule; and Description like '%McDonald%';Restaurants</t>
  </si>
  <si>
    <t>Create Rule; and Description='Chipotle';Restaurants</t>
  </si>
  <si>
    <t>Create Rule; and Description Like '%PRIME VIDEO%';Entertainment</t>
  </si>
  <si>
    <t>Delete; and Description Like '%DIRECT PAY HSA TYPE ETRANSFER%';0</t>
  </si>
  <si>
    <t>Create Rule; and Description Like '%LIONS TAP%';Restaurants</t>
  </si>
  <si>
    <t>Create Rule; and Description Like '%BCU MORTGAGE TYPE LOAN PAYMT ID 9DRAFTING CO BCU MORTGAGE%';Rent</t>
  </si>
  <si>
    <t>Create Rule; and Description='Lago Tacos';Restaurants</t>
  </si>
  <si>
    <t>Delete; and Description='SCHWAB US LARGE CAP GROWTH INDEX FD' and inflowoutflow='-';0</t>
  </si>
  <si>
    <t>Create Rule; and Description='El Loro';Restaurants</t>
  </si>
  <si>
    <t>Delete; and Description Like '%Withdrawal Home payment to card%';0</t>
  </si>
  <si>
    <t>Create Rule; and Description='ATM Fee Rebate';0</t>
  </si>
  <si>
    <t>Create Rule; and Description='SCHWAB US SMALL CAP ETF';Dividend</t>
  </si>
  <si>
    <t>Create Rule; and Description='Nordstrom';Shopping</t>
  </si>
  <si>
    <t>Create Rule; and Description='Sherwin Williams';House Maintenance</t>
  </si>
  <si>
    <t>Create Rule; and Description='CARGILL COCOA &amp;';Roth</t>
  </si>
  <si>
    <t>Britney Roth</t>
  </si>
  <si>
    <t>Create Rule; and Description='Tfr JPMORGAN CHASE BAN, CARGILL COCOA &amp;';Roth</t>
  </si>
  <si>
    <t>Create Rule; and Description='VANGUARD INTRMDIAT TRM TRSRY ETF';Dividend</t>
  </si>
  <si>
    <t>Create Rule; and Description='Asos.com';</t>
  </si>
  <si>
    <t>CARGILL EMPLOYEE RETIREMENT ACCOUNT</t>
  </si>
  <si>
    <t>Delete; and Description='Transfer to Discover More Card';0</t>
  </si>
  <si>
    <t>Create Rule; and Description='Suburban';</t>
  </si>
  <si>
    <t>Create Rule; and Description Like '%RED COW%';Restaurants</t>
  </si>
  <si>
    <t>Create Rule; and Description='Asos.com';Shopping</t>
  </si>
  <si>
    <t>Create Rule; and Description like '%Byerly%';Groceries</t>
  </si>
  <si>
    <t>Create Rule; and Description='CARGILL JAZ20029518579 WAYZATA MN';Groceries</t>
  </si>
  <si>
    <t>Create Rule; and Description Like '%CARGILL JAZZMA20029518 WAYZATA MN%';Restaurants</t>
  </si>
  <si>
    <t>Create Rule; and Description Like '%CARGILL PRODUC%';Groceries</t>
  </si>
  <si>
    <t>Create Rule; and Description Like '%CHINA PAGODA%';Restaurants</t>
  </si>
  <si>
    <t>Create Rule; and Description Like '%Coalition Restaurant%';Restaurants</t>
  </si>
  <si>
    <t>Create Rule; and Description Like '%Cub Foods%';Groceries</t>
  </si>
  <si>
    <t>Create Rule; and Description='Details';House Maintenance</t>
  </si>
  <si>
    <t>Create Rule; and Description='Greenwood Market';Groceries</t>
  </si>
  <si>
    <t>Create Rule; and Description Like '%HOLIDAY CAR WASH%';Transportation</t>
  </si>
  <si>
    <t>Create Rule; and Description='Holiday Stationstore';Transportation</t>
  </si>
  <si>
    <t>Create Rule; and Description='KAUFMAN HALL';Savings</t>
  </si>
  <si>
    <t>Create Rule; and Description Like '%LIFE TIME CAFE%';Restaurants</t>
  </si>
  <si>
    <t>Create Rule; and Description Like '%Papa John%';Restaurants</t>
  </si>
  <si>
    <t>Create Rule; and Description='Party City';Shopping</t>
  </si>
  <si>
    <t>Create Rule; and Description Like '%PUB 819%';Restaurants</t>
  </si>
  <si>
    <t>Create Rule; and Description Like '%SCHWAB1 INT%';Inc - Other</t>
  </si>
  <si>
    <t>Create Rule; and Description='Speedway';Transportation</t>
  </si>
  <si>
    <t>Create Rule; and Description='SQ ICHIGO CREPES CRYSTAL MN 261154406';Restaurants</t>
  </si>
  <si>
    <t>Create Rule; and Description='SQ RED BENCH BAKER CHASKA MN 260718487';Restaurants</t>
  </si>
  <si>
    <t>Create Rule; and Description='SQ WEE CLADDAGH SAINT PAUL MN 261154407';Restaurants</t>
  </si>
  <si>
    <t>Delete; and Source='Joint Tenant';0</t>
  </si>
  <si>
    <t>Create Rule; and Description='Target Retire 2055 Tr P - Plan Contribution';401K</t>
  </si>
  <si>
    <t>Create Rule; and Description='TRUCE MINNEAPOLIS MN 261293606';Restaurants</t>
  </si>
  <si>
    <t>Create Rule; and Description='VANG TARGET RET 2050';401K</t>
  </si>
  <si>
    <t>Create Rule; and Description='Walgreens';Shopping</t>
  </si>
  <si>
    <t>Create Rule; and Description='Whole Foods';Groceries</t>
  </si>
  <si>
    <t>Delete; and Description Like '%PAYMENT THANK YOU%';0</t>
  </si>
  <si>
    <t>Create Rule; and Description='A T &amp; T INC';Dividend</t>
  </si>
  <si>
    <t>Create Rule; and Description='FID 500 INDEX';401K</t>
  </si>
  <si>
    <t>Delete; and Description='FID EXTD MKT IDX';0</t>
  </si>
  <si>
    <t>Create Rule; and Description Like '%CENTRAL CHECKOUT%';Shopping</t>
  </si>
  <si>
    <t>Create Rule; and Description='Home Depot';House Maintenance</t>
  </si>
  <si>
    <t>Create Rule; and Description Like '%LTFLIFE TIME MO DUES%';Gym</t>
  </si>
  <si>
    <t>Delete; and Description='A T &amp; T INC' and inflowoutflow='-';0</t>
  </si>
  <si>
    <t>Create Rule; and Description Like '%CPENERGY MNGCO%';Utilities</t>
  </si>
  <si>
    <t>Create Rule; and Description Like '%GANDER%';Shopping</t>
  </si>
  <si>
    <t>Create Rule; and Description Like '%Etsy.com%';Shopping</t>
  </si>
  <si>
    <t>Create Rule; and Description='LOWES COMPANIES INC';House Maintenance</t>
  </si>
  <si>
    <t>Create Rule; and Description='RAYTHEON CO';Dividend</t>
  </si>
  <si>
    <t>Create Rule; and Description='Allied Parking Inc';Transportation</t>
  </si>
  <si>
    <t>Create Rule; and Description='APPLE INC';Dividend</t>
  </si>
  <si>
    <t>Create Rule; and Description Like '%BEST CLEANERS%';Dry Cleaning</t>
  </si>
  <si>
    <t>Create Rule; and Description Like '%CEFCO 60%';Transportation</t>
  </si>
  <si>
    <t>Create Rule; and Description='CenturyLink';Utilities</t>
  </si>
  <si>
    <t>Create Rule; and Description='Costco';Groceries</t>
  </si>
  <si>
    <t>Create Rule; and Description='Excelsior Brewing';Restaurants</t>
  </si>
  <si>
    <t>Create Rule; and Description='GoGoAir';Transportation</t>
  </si>
  <si>
    <t>Create Rule; and Description='Harvard Business';Entertainment</t>
  </si>
  <si>
    <t>Create Rule; and Description Like '%Hobby Lobby%';Shopping</t>
  </si>
  <si>
    <t>Create Rule; and Description='Lyft';Transportation</t>
  </si>
  <si>
    <t>Create Rule; and Description='PROCTER &amp; GAMBLE';Dividend</t>
  </si>
  <si>
    <t>Create Rule; and Description='STARBUCKS CORP';Restaurants</t>
  </si>
  <si>
    <t>Create Rule; and Description='Sur La Table';Shopping</t>
  </si>
  <si>
    <t>Create Rule; and Description='THR3 JACK MINNEAPOLIS MN 265419534';Restaurants</t>
  </si>
  <si>
    <t>Create Rule; and Description like '%Trader Joe%';Groceries</t>
  </si>
  <si>
    <t>Create Rule; and Description Like '%City Chanhassen TYPE Payment%';Utilities</t>
  </si>
  <si>
    <t>Create Rule; and Description='Crate &amp; Barrel';Shopping</t>
  </si>
  <si>
    <t>Create Rule; and Description='INTEL CORP';Dividend</t>
  </si>
  <si>
    <t>Create Rule; and Description='VISA INC CLASS A';Dividend</t>
  </si>
  <si>
    <t>Create Rule; and Description='Western Ob Gyne Ltd';Healthcare</t>
  </si>
  <si>
    <t>Create Rule; and Description='BOEING CO';Dividend</t>
  </si>
  <si>
    <t>Create Rule; and Description Like '%KNOLLWOOD LIQUOR MINNEAPOLIS MN%';Groceries</t>
  </si>
  <si>
    <t>Create Rule; and Description='Wayfair';Shopping</t>
  </si>
  <si>
    <t>Create Rule; and Description Like '%AVOADVOCARE INTL%';Groceries</t>
  </si>
  <si>
    <t>Create Rule; and Description='Chevron';Transportation</t>
  </si>
  <si>
    <t>Create Rule; and Description='CHEVRON CORP';Dividend</t>
  </si>
  <si>
    <t>Create Rule; and Description Like '%Domino%';Restaurants</t>
  </si>
  <si>
    <t>Create Rule; and Description='Exxon';Transportation</t>
  </si>
  <si>
    <t>Create Rule; and Description='HALLIBURTON CO HLDG';Dividend</t>
  </si>
  <si>
    <t>Contributory</t>
  </si>
  <si>
    <t>Jeff IRA</t>
  </si>
  <si>
    <t>Create Rule; and Description='Patagonia';Shopping</t>
  </si>
  <si>
    <t>Create Rule; and Description='Play It Again Sports';Shopping</t>
  </si>
  <si>
    <t>Create Rule; and Description='Pottery Barn';Shopping</t>
  </si>
  <si>
    <t>Create Rule; and Description Like '%SOUTH LYNDALE LIQUORS RETMINNEAPOLIS MN%';Groceries</t>
  </si>
  <si>
    <t>Create Rule; and Description='The Suburban';Restaurants</t>
  </si>
  <si>
    <t>Create Rule; and Description='Top Ten Liquors';Groceries</t>
  </si>
  <si>
    <t>Create Rule; and Description='WORLD BEAN MINNEAPOLIS MN';Restaurants</t>
  </si>
  <si>
    <t>Create Rule; and Description='Cred Rebate';Inc - Other</t>
  </si>
  <si>
    <t>Create Rule; and Description Like '%Under Armour Retail%';Shopping</t>
  </si>
  <si>
    <t>Create Rule; and Description='ETFMG ALTERNATIVE HARVEST ETF';Dividend</t>
  </si>
  <si>
    <t>Create Rule; and Description Like '%TEQUILA BUTCHER CHANHASSEN MN%';Restaurants</t>
  </si>
  <si>
    <t>DISCOVER MORE CARD</t>
  </si>
  <si>
    <t>Create Rule; and Description='Share';Delete</t>
  </si>
  <si>
    <t>Create Rule; and Description Like '%DETAILS RESIDENTIAL SRVC 6122161751 MN%';House Maintenance</t>
  </si>
  <si>
    <t>Create Rule; and Description='BuyBuyBaby';Shopping</t>
  </si>
  <si>
    <t>Create Rule; and Description='Cargill ESOP Stock Fund - Plan Contribution';Delete</t>
  </si>
  <si>
    <t>Create Rule; and Description Like '%Panera Bread%';Restaurants</t>
  </si>
  <si>
    <t>Create Rule; and Description Like '%Jimmy John%';Restaurants</t>
  </si>
  <si>
    <t>Create Rule; and Description='Starbucks';Restaurants</t>
  </si>
  <si>
    <t>Create Rule; and Description Like '%TINO S PIZZERIA%';Restaurants</t>
  </si>
  <si>
    <t>Create Rule; and Description Like '%ZEN BOX IZAKAYA%';Restaurants</t>
  </si>
  <si>
    <t>Create Rule; and Description Like '%Crisp &amp; Green%';Restaurants</t>
  </si>
  <si>
    <t>Create Rule; and Description='Coalition';Restaurants</t>
  </si>
  <si>
    <t>Create Rule; and Description='Home Goods';Shopping</t>
  </si>
  <si>
    <t>Brokerage</t>
  </si>
  <si>
    <t>HEALTH SAVINGS ACCOUNT</t>
  </si>
  <si>
    <t>Create Rule; and Description='MHCHILDCARELLC TYPE DUES ID CO MHCHILDCARELLC ACH ECC PPD ACH Trace 23510 288830711';Day Care</t>
  </si>
  <si>
    <t>Create Rule; and Description='STARBUCKS CORP';Dividend</t>
  </si>
  <si>
    <t>Create Rule; and Description='Foss Swim School';Day Care</t>
  </si>
  <si>
    <t>Create Rule; and Description Like '%Kowalski%';Groceries</t>
  </si>
  <si>
    <t>Create Rule; and Description='Amazon Music';Entertainment</t>
  </si>
  <si>
    <t>Create Rule; and Description Like '%Rally House%';Shopping</t>
  </si>
  <si>
    <t>Create Rule; and Description Like '%SOTA CLOTHING%';Shopping</t>
  </si>
  <si>
    <t>Create Rule; and Description Like '%MN DIR ACH%';College Savings</t>
  </si>
  <si>
    <t>Create Rule; and Description='Chick-Fil-A';Restaurants</t>
  </si>
  <si>
    <t>Create Rule; and Description='SHOREWOODLIQUOR SHOREWOOD MN';Groceries</t>
  </si>
  <si>
    <t>Create Rule; and Description='MGM Liquor Warehouse';Groceries</t>
  </si>
  <si>
    <t>Create Rule; and Description Like '%Papa Murphy%';Restaurants</t>
  </si>
  <si>
    <t>Create Rule; and Description='NORTH COOP NORTH COOP STRIPECOM MN 299362794';Restaurants</t>
  </si>
  <si>
    <t>Create Rule; and Description='MHCHILDCARELLC TYPE DUES ID CO MHCHILDCARELLC ACH ECC PPD ACH Trace 97179 300319715';Day Care</t>
  </si>
  <si>
    <t>Create Rule; and Description='Milios Sandwiches';Restaurants</t>
  </si>
  <si>
    <t>Create Rule; and Description='Shorewood Liquor, LLC';Groceries</t>
  </si>
  <si>
    <t>Create Rule; and Description Like '%BITE SQUAD%';Restaurants</t>
  </si>
  <si>
    <t>Create Rule; and Description='Target Retire 2055 Tr P - Fee';Delete</t>
  </si>
  <si>
    <t>Create Rule; and Description Like '%NORTH COOP NORTH COOP%';Restaurants</t>
  </si>
  <si>
    <t>Create Rule; and Description='Twin Orchards Nurser Y';House Maintenance</t>
  </si>
  <si>
    <t>Create Rule; and Description='Wine.com';Groceries</t>
  </si>
  <si>
    <t>Create Rule; and Description Like '%TST OLIVE S FRESH%';Restaurants</t>
  </si>
  <si>
    <t>Create Rule; and Description='BP';Transportation</t>
  </si>
  <si>
    <t>Create Rule; and Description Like '%Certified Auto Repair%';Transportation</t>
  </si>
  <si>
    <t>Create Rule; and Description='Cabin Fever Sporting Goods, Inc.';Entertainment</t>
  </si>
  <si>
    <t>Create Rule; and Description='Elite Nails';Entertainment</t>
  </si>
  <si>
    <t>Cooper</t>
  </si>
  <si>
    <t>Create Rule; and Description='Best Western';Travel</t>
  </si>
  <si>
    <t>Create Rule; and Description='True Value';House Maintenance</t>
  </si>
  <si>
    <t>Create Rule; and Description='MHCHILDCARELLC TYPE DUES ID CO MHCHILDCARELLC ACH ECC PPD ACH Trace 61880 329517828';Day Care</t>
  </si>
  <si>
    <t>Create Rule; and Description='PAYMENT';Delete</t>
  </si>
  <si>
    <t>Create Rule; and Description Like '%CONNECTED ANALYT%';Inc - Jeff</t>
  </si>
  <si>
    <t>Create Rule; and Description='To Share 12';Delete</t>
  </si>
  <si>
    <t>Create Rule; and Description='Red Wagon Pizza Co';Restaurants</t>
  </si>
  <si>
    <t>Create Rule; and Description='From Share 70';Delete</t>
  </si>
  <si>
    <t>Create Rule; and Description Like '%MHCHILDCARELLC%';Day Care</t>
  </si>
  <si>
    <t>Create Rule; and Description='Funds Transfer from Brokerage -5308';Delete</t>
  </si>
  <si>
    <t>Create Rule; and Description='Kum &amp; Go';Transportation</t>
  </si>
  <si>
    <t>Create Rule; and Description='MAVERIK 502 ALLIANCE NE';Transportation</t>
  </si>
  <si>
    <t>Create Rule; and Description Like '%TST BLUE MOOSE BEAVER%';Restaurants</t>
  </si>
  <si>
    <t>Create Rule; and Description='Cenex';Transportation</t>
  </si>
  <si>
    <t>Create Rule; and Description Like '%RAKU RESTAURANT%';Restaurants</t>
  </si>
  <si>
    <t>Create Rule; and Description Like '%Maynard%';Restaurants</t>
  </si>
  <si>
    <t>Create Rule; and Description Like '%DOORDASH%';Shopping</t>
  </si>
  <si>
    <t>Create Rule; and Description Like '%Clutch Brewing Co LLC%';Restaurants</t>
  </si>
  <si>
    <t>Create Rule; and Description like '%Wendy%';Restaurants</t>
  </si>
  <si>
    <t>#######</t>
  </si>
  <si>
    <t>Create Rule; and Description='Kwik Trip';Transportation</t>
  </si>
  <si>
    <t>Create Rule; and Description='Delta';Travel</t>
  </si>
  <si>
    <t>Create Rule; and Description='Spoon and Stable';Restaurants</t>
  </si>
  <si>
    <t>Draft 2126 Tracer 990002258</t>
  </si>
  <si>
    <t>debit</t>
  </si>
  <si>
    <t>Create Rule; and Description='Principal Curtailment';Delete</t>
  </si>
  <si>
    <t>Create Rule; and Description Like '%LOWES%';House Maintenance</t>
  </si>
  <si>
    <t>Create Rule; and Description Like '%MACKENTHUNSMEATS%';Groceries</t>
  </si>
  <si>
    <t>Delete; and Description Like '%LAKEWINDS CHANHASSEN%';Restaurants</t>
  </si>
  <si>
    <t>Create Rule; and Description='TJ Maxx';Shopping</t>
  </si>
  <si>
    <t>Powerplus - Ending in 8s30</t>
  </si>
  <si>
    <t>Draft 2130 Tracer XX3255</t>
  </si>
  <si>
    <t>front door</t>
  </si>
  <si>
    <t>Create Rule; and Description Like '%Kohl%';Shopping</t>
  </si>
  <si>
    <t>Create Rule; and Description Like '%REDCOWMNCOM%';Restaurants</t>
  </si>
  <si>
    <t>Create Rule; and Description='North Face';Shopping</t>
  </si>
  <si>
    <t>Create Rule; and Description='Burger King';Restaurants</t>
  </si>
  <si>
    <t>Create Rule; and Description='Deposit Mobile Banking';Delete</t>
  </si>
  <si>
    <t>Create Rule; and Description='Haskells';Groceries</t>
  </si>
  <si>
    <t>Tucker</t>
  </si>
  <si>
    <t>Create Rule; and Description='Leeann Chin';Restaurants</t>
  </si>
  <si>
    <t>Create Rule; and Description='NORTH LOOP WINE AND SPIR MINNEAPOLIS MN';Groceries</t>
  </si>
  <si>
    <t>Create Rule; and Description='Total Wine';Groceries</t>
  </si>
  <si>
    <t>Create Rule; and Description='RED WAGON RED WAGON STRIPECOM MN';Restaurants</t>
  </si>
  <si>
    <t>Draft 2203 Tracer 990003866</t>
  </si>
  <si>
    <t>Check</t>
  </si>
  <si>
    <t>Debit</t>
  </si>
  <si>
    <t>Create Rule; and Description Like '%CONNECTED ANALYT%';Jeff</t>
  </si>
  <si>
    <t>Create Rule; and Description Like '%BONFES%';House Maintenance</t>
  </si>
  <si>
    <t>SAVINGS</t>
  </si>
  <si>
    <t>Draft 2205 Tracer XX2294</t>
  </si>
  <si>
    <t>Draft 2206 Tracer XX2472</t>
  </si>
  <si>
    <t>Draft 2281 Tracer XX0788</t>
  </si>
  <si>
    <t>Create Rule; and Description='Marathon';Transportation</t>
  </si>
  <si>
    <t>Create Rule; and Description='Birchs';Restaurants</t>
  </si>
  <si>
    <t>Create Rule; and Description Like '%TST COPPER COW%';Restaurants</t>
  </si>
  <si>
    <t>Create Rule; and Description Like '%Cargill Inc Deposit CARGILL INCORPOR TYPE DIRECT DEP ID CO CARGILL INCORPOR ACH%';Inc - Britney</t>
  </si>
  <si>
    <t>Create Rule; and Description='CenterPoint Energy';Utilities</t>
  </si>
  <si>
    <t>Tfr JPMorgan Chase Ban, CARGILL INCORPOR</t>
  </si>
  <si>
    <t>Tfr JPMorgan Chase Ban, CONNECTED ANALYT</t>
  </si>
  <si>
    <t>Create Rule; and Description Like '%TST RED RABBIT%';Restaurants</t>
  </si>
  <si>
    <t>Create Rule; and Description='American Airlines';Travel</t>
  </si>
  <si>
    <t>Create Rule; and Description='HAZELWOOD FOOD DRINKSTSAINT LOUIS PMN';Restaurants</t>
  </si>
  <si>
    <t>Create Rule; and Description='SQ CHANHASSEN BREWING COChanhassen MN';Restaurants</t>
  </si>
  <si>
    <t>Create Rule; and Description='Freight House, Inc';Restaurants</t>
  </si>
  <si>
    <t>Create Rule; and Description='Station Pizzeria';Restaurants</t>
  </si>
  <si>
    <t>Create Rule; and Description='Surly Brewing Company TST SURLY BREWING COMPANMINNEAPOLIS MN';Restaurants</t>
  </si>
  <si>
    <t>Create Rule; and Description='Total Wine More';Groceries</t>
  </si>
  <si>
    <t>Create Rule; and Description like '%Lowe%';House Maintenance</t>
  </si>
  <si>
    <t>Create Rule; and Description='Baxter Credit Union';Rent</t>
  </si>
  <si>
    <t>Create Rule; and Description='Withdrawal Home payment to card XX91 Withdrawal Home payment to card 979181';Delete</t>
  </si>
  <si>
    <t>Create Rule; and Description='Credit Card Payment Received PAYMENT THANK YOU';Delete</t>
  </si>
  <si>
    <t>Create Rule; and Description='COOKS O CROCUS HILL NORTMINNEAPOLIS MN';Restaurants</t>
  </si>
  <si>
    <t>Create Rule; and Description='FULTON LLC MINNEAPOLIS MN FULTON LLC MINNEAPOLIS MN';Restaurants</t>
  </si>
  <si>
    <t>Create Rule; and Description='INBOUND BREWCO MINNEAPOLIS MN';Restaurants</t>
  </si>
  <si>
    <t>Create Rule; and Description Like '%HBRSUBSCRIPTION%';Entertainment</t>
  </si>
  <si>
    <t>Create Rule; and Description='Chateau St. Jean';Travel</t>
  </si>
  <si>
    <t>Create Rule; and Description='San Francisco Ca.';Travel</t>
  </si>
  <si>
    <t>Create Rule; and Description='TST* RED RABBIT - MINNEA MINNEAPOLIS MNAPPLE PAY E';Restaurants</t>
  </si>
  <si>
    <t>Create Rule; and Description='MSP AIRPORT PARKING SAINT PAUL MN';Transportation</t>
  </si>
  <si>
    <t>Create Rule; and Description='Hilton';Travel</t>
  </si>
  <si>
    <t>Create Rule; and Description='TST* OLIVE S FRESH EXCEL EXCELSIOR MN';Restaurants</t>
  </si>
  <si>
    <t>Luluscom Httpswwwluluca</t>
  </si>
  <si>
    <t>Create Rule; and Description='Luluscom Httpswwwluluca';Shopping</t>
  </si>
  <si>
    <t>Create Rule; and Description='Mall of America';Shopping</t>
  </si>
  <si>
    <t>Create Rule; and Description='Dairy Queen';Restaurants</t>
  </si>
  <si>
    <t>Create Rule; and Description='Free People';Shopping</t>
  </si>
  <si>
    <t>Create Rule; and Description='Jac &amp; Violet';Shopping</t>
  </si>
  <si>
    <t>Create Rule; and Description='LAT14 MINNEAPOLIS MN';Restaurants</t>
  </si>
  <si>
    <t>Create Rule; and Description='Ace Hardware';House Maintenance</t>
  </si>
  <si>
    <t>Create Rule; and Description='REDSTONE AMERICAN GRILL EDEN PRAIRIE MN';Restaurants</t>
  </si>
  <si>
    <t>Create Rule; and Description='U.S. Bank Stadium';Entertainment</t>
  </si>
  <si>
    <t>Create Rule; and Description='WPYRise Bagel Co 8554693729 MN';Restaurants</t>
  </si>
  <si>
    <t>Create Rule; and Description='Uber Eats';Restaurants</t>
  </si>
  <si>
    <t>Create Rule; and Description='Lakewinds Food Coop LAKEWINDS CHANHASSEN CHANHASSEN MN';Groceries</t>
  </si>
  <si>
    <t>Create Rule; and Description='Peloton Cycles PELOTON MEMBERSHIP HTTPSWWWONEPNY';Entertainment</t>
  </si>
  <si>
    <t>Create Rule; and Description='JOEY NOVAS EXCELSIOR MN JOEY NOVAS EXCELSIOR MN';Restaurants</t>
  </si>
  <si>
    <t>Sp Unrlco Unrlmyshopifmn</t>
  </si>
  <si>
    <t>Create Rule; and Description='KAIS SUSHI AND GRILL MINNETONKA KAIS SUSHI AND GRILL MINNETONKA MN';Restaurants</t>
  </si>
  <si>
    <t>Create Rule; and Description='Tavern 4&amp;5';Restaurants</t>
  </si>
  <si>
    <t>Create Rule; and Description='MONTE CARLO MINNEAPOLIS MN';Restaurants</t>
  </si>
  <si>
    <t>Create Rule; and Description='SQ RUBYS ROOST VICTORIAVictoria MN';Restaurants</t>
  </si>
  <si>
    <t>Create Rule; and Description Like '%MN DIR ACH%';Delete</t>
  </si>
  <si>
    <t>Create Rule; and Description Like '%College Savings%';Delete</t>
  </si>
  <si>
    <t>Create Rule; and Description='Withdrawal Home Pmt to card XX91';Delete</t>
  </si>
  <si>
    <t>AdvoCare</t>
  </si>
  <si>
    <t>Create Rule; and Description='Total Wine  More';Groceries</t>
  </si>
  <si>
    <t>Create Rule; and Description='Payment to Xcel Energy';Utilities</t>
  </si>
  <si>
    <t>Create Rule; and Description='Credit Card Payment Received';Delete</t>
  </si>
  <si>
    <t>Delete; and Description Like '%CASHBACK BONUS REDEMPTION%';0</t>
  </si>
  <si>
    <t>Create Rule; and Description Like '%Netflix%';Utilities</t>
  </si>
  <si>
    <t>Create Rule; and Description='TST RED WAGON PIZZA CO XX7147 MN';Restaurants</t>
  </si>
  <si>
    <t>Create Rule; and Description='Payment to Target';Target</t>
  </si>
  <si>
    <t>Create Rule; and Description='DSW';Shopping</t>
  </si>
  <si>
    <t>Create Rule; and Description='Michaels';Shopping</t>
  </si>
  <si>
    <t>Create Rule; and Description='Tax Payment to Minnesota Departm';Delete</t>
  </si>
  <si>
    <t>Create Rule; and Description='Holiday Stationstores';Transportation</t>
  </si>
  <si>
    <t>Create Rule; and Description='Noodles  Company';Restaurants</t>
  </si>
  <si>
    <t>Create Rule; and Description Like '%EVEREVE%';Shopping</t>
  </si>
  <si>
    <t>Create Rule; and Description='North Coop';Restaurants</t>
  </si>
  <si>
    <t>Create Rule; and Description='Olives';Restaurants</t>
  </si>
  <si>
    <t>Create Rule; and Description='Reservationscom';Restaurants</t>
  </si>
  <si>
    <t>Create Rule; and Description='Vineyards';Shopping</t>
  </si>
  <si>
    <t>Create Rule; and Description='Chipotle Mexican Grill';Restaurants</t>
  </si>
  <si>
    <t>Create Rule; and Description='TAZA CHANHASSEN MN TAZA CHANHASSEN MN';Restaurants</t>
  </si>
  <si>
    <t>Create Rule; and Description='Banana Republic';Shopping</t>
  </si>
  <si>
    <t>Create Rule; and Description='Country Club Lanes';Entertainment</t>
  </si>
  <si>
    <t>Create Rule; and Description='Rey Azteca Mexican Restaurant';Restaurants</t>
  </si>
  <si>
    <t>Create Rule; and Description='South Lake Pediatrics';Healthcare</t>
  </si>
  <si>
    <t>Create Rule; and Description Like '%Payment to Nordstrom%';Shopping</t>
  </si>
  <si>
    <t>Create Rule; and Description Like '%AMZN Mktp%';Amazon</t>
  </si>
  <si>
    <t>Create Rule; and Description='Evereve';Shopping</t>
  </si>
  <si>
    <t>credit</t>
  </si>
  <si>
    <t>1660 ti (investment)</t>
  </si>
  <si>
    <t>PARK AVENUE LIQUOR MONTE VISTA CO</t>
  </si>
  <si>
    <t>CONOCO - ALTA CONVENIENCEMONTE VISTA CO REF #2403454JP01W37BJK</t>
  </si>
  <si>
    <t>KFC/PHX I675001 DENVER CO
APPLE PAY ENDING IN 8856</t>
  </si>
  <si>
    <t>Withdrawal ACH MHCHILDCARELLC TYPE: DUES ID: 1824708198 CO: MHCHILDCARELLC Entry Class Code: PPD ACH Trace Number: 096010416198573</t>
  </si>
  <si>
    <t>AMZN MKTP US*5Z0PV0H83 AMZN.COM/BILLWA
4VCQ4BUTFM2</t>
  </si>
  <si>
    <t>AMZN MKTP US*ZW5RN4NR3 AMZN.COM/BILLWA
2J1RRE48SAS</t>
  </si>
  <si>
    <t>BONFES PLUMBING HEATING ASOUTH SAINT PMN REF #2427539JTS66KL994</t>
  </si>
  <si>
    <t>DELTA AIR 0062328911019DELTA.COM CA REF #2471705JTTQ3YPARL</t>
  </si>
  <si>
    <t>empyrean flight to boston</t>
  </si>
  <si>
    <t>Deposit ACH CARGILL INCORPOR TYPE: DIRECT DEP ID: 9111111101 CO: CARGILL INCORPOR Entry Class Code: PPD ACH Trace Number: 091000017577972</t>
  </si>
  <si>
    <t>FH* FURY ADVENTURES 185-54955551 FL REF #2449216JT000WKYQH</t>
  </si>
  <si>
    <t>will be reimbursed, cam batch party</t>
  </si>
  <si>
    <t>FH* KEY WEST PROMOTION 185-54955551 FL REF #2449216JT000XB05F</t>
  </si>
  <si>
    <t>MACKENTHUN'S MEATS &amp; DELIST BONIFACIUSMN REF #2445388JS000A3GET</t>
  </si>
  <si>
    <t>Netflix.com 866-5797172 CA REF #2490641JT4DP0ALM6</t>
  </si>
  <si>
    <t>TST* Red Cow - 50th St Minneapolis MN REF #2469216JT2XM83KFK</t>
  </si>
  <si>
    <t>Withdrawal ACH CITY OF CHANHASS TYPE: UTIL BILL ID: 1410885331 CO: CITY OF CHANHASS Entry Class Code: PPD ACH Trace Number: 091901960151902</t>
  </si>
  <si>
    <t>Withdrawal Home Banking Pmt to card XXXXXXXXXXXX-9181</t>
  </si>
  <si>
    <t>PAYMENT - THANK YOU REF #7473457JV00XTMJG9</t>
  </si>
  <si>
    <t>JIMMY JOHNS - 724 - E- CHANHASSEN MN REF #2426979JSEJ4DJ9N8</t>
  </si>
  <si>
    <t>KWIK TRIP 47700004770 ST BONIFACIUSMN REF #2416407JSL3HMGG2S</t>
  </si>
  <si>
    <t>LUNDS&amp;BYERLYS CHANH CHANHASSEN MN REF #2442733JSM83LLLGN</t>
  </si>
  <si>
    <t>STAGES THEATRE COMPANY 952-979-1108 MN REF #2463269JSEJ44VNV3</t>
  </si>
  <si>
    <t>SQ *ENKI BREWING COMPA VICTORIA MN
0002305843016010699376</t>
  </si>
  <si>
    <t>VICTORIA BURROW VICTORIA MN</t>
  </si>
  <si>
    <t>Withdrawal Home Banking Transfer To Share 12 REF # 67611</t>
  </si>
  <si>
    <t>MAYNARD'S EXCELSIOR THE EXCELSIOR MN REF #2480197JW5SB32AT3</t>
  </si>
  <si>
    <t>SCHEELS EDEN PRAIRIE EDEN PRAIRIE MN REF #2413829JWP73MVK5L</t>
  </si>
  <si>
    <t>STARBUCKS STORE 02220 BLOOMINGTON MN REF #2469216JW2XBSY8W8</t>
  </si>
  <si>
    <t>TOMMY BAHAMA ECOMM 866-986-8282 WA REF #2469216JV2XW0K1GM</t>
  </si>
  <si>
    <t>USPS PO 2616500318 CHASKA MN REF #2413746JX018D221T</t>
  </si>
  <si>
    <t>Evereve 877-2906262 MN REF #2490641JX4DZX5S8Z</t>
  </si>
  <si>
    <t>HOLIDAY STATIONS 0012 SHOREWOOD MN REF #2494166JXRQEBQFYD</t>
  </si>
  <si>
    <t>HOLIDAY STATIONS 0012 SHOREWOOD MN REF #2494166JXRQEBQG07</t>
  </si>
  <si>
    <t>HOLIDAY STATIONS 0419 SAINT CROIX FWI REF #2494166JXRQEBBL1A</t>
  </si>
  <si>
    <t>VICTORIA BURROW ARCADE 800-9355961 MN REF #2418310JXS66LGXZR</t>
  </si>
  <si>
    <t>Withdrawal ACH TARGET CARD SRVC TYPE: AUTO PYMT ID: 1411721813 CO: TARGET CARD SRVC NAME: TRUITT JEFFREY B Entry Class Code: WEB ACH Trace Number: 091000013224116</t>
  </si>
  <si>
    <t>BANANA REPUBLIC ON-LINE 888-2778959 OH REF #7478930JYFYHM61S3</t>
  </si>
  <si>
    <t>BANANA REPUBLIC ON-LINE 888-2778959 OH REF #7478930JYG1P05TQY</t>
  </si>
  <si>
    <t>MINNESOTA STATE PARKS 866-8572757 MN REF #7471705JYJMXT6DPG</t>
  </si>
  <si>
    <t>WINDSOR UNIVERSITY 2028099980 DC</t>
  </si>
  <si>
    <t>Withdrawal ACH PAYPAL TYPE: INST XFER ID: PAYPALSI77 CO: PAYPAL NAME: JEFF TRUITT Entry Class Code: WEB ACH Trace Number: 021000029744119</t>
  </si>
  <si>
    <t>1660 ti</t>
  </si>
  <si>
    <t>CUB FOODS CHANHASSEN MN REF #2442733JZM83FQ5VF</t>
  </si>
  <si>
    <t>Fully Ref Jz</t>
  </si>
  <si>
    <t>what is this transaction?</t>
  </si>
  <si>
    <t>SQ *SEEK EYE CARE PA Victoria MN REF #2469216JZ2Y0YF0YS</t>
  </si>
  <si>
    <t>Withdrawal ACH MHCHILDCARELLC TYPE: DUES ID: 1824708198 CO: MHCHILDCARELLC Entry Class Code: PPD ACH Trace Number: 096010411530791</t>
  </si>
  <si>
    <t>Withdrawal ACH PAYPAL TYPE: INST XFER ID: PAYPALSI77 CO: PAYPAL NAME: JEFF TRUITT Entry Class Code: WEB ACH Trace Number: 091000014196267</t>
  </si>
  <si>
    <t>fair harbor swimsuit</t>
  </si>
  <si>
    <t>AMZN Mktp US*GZ4P39GQ3 Amzn.com/billWA REF #2469216K02XTXG9NM</t>
  </si>
  <si>
    <t>Deposit ACH CARGILL INCORPOR TYPE: 004XXXXXXX ID: 2410177680 CO: CARGILL INCORPOR Entry Class Code: CTX ACH Trace Number: 111000026301982</t>
  </si>
  <si>
    <t>Deposit ACH CARGILL INCORPOR TYPE: DIRECT DEP ID: 9111111101 CO: CARGILL INCORPOR Entry Class Code: PPD ACH Trace Number: 091000014844682</t>
  </si>
  <si>
    <t>FOSS SWIM SCHOOL HTTPSWWW.FOSSMN REF #2401134K10002LQMZ</t>
  </si>
  <si>
    <t>RIDGEVIEW MEDICAL CENTER WACONIA MN REF #2480197K010DV2Q5D</t>
  </si>
  <si>
    <t>Withdrawal ACH PAYPAL TYPE: INST XFER ID: PAYPALSI77 CO: PAYPAL NAME: JEFF TRUITT Entry Class Code: WEB ACH Trace Number: 091000012363725</t>
  </si>
  <si>
    <t>Withdrawal ACH VENMO TYPE: PAYMENT ID: 326XXXXXXX CO: VENMO NAME: BRITNEY TRUITT Entry Class Code: WEB ACH Trace Number: 091000017185836</t>
  </si>
  <si>
    <t>AMZN Mktp US*FR8XF00I3 Amzn.com/billWA REF #2469216K12XR5PYRX</t>
  </si>
  <si>
    <t>Deposit ACH connectyourcare TYPE: SVB-CLAIMS ID: E942875288 CO: connectyourcare Entry Class Code: PPD ACH Trace Number: 121140393069017</t>
  </si>
  <si>
    <t>dox*Ridgeview Medical Ce 866-2174483 WA REF #2490641K14E84H49D</t>
  </si>
  <si>
    <t>KWIK TRIP 40200004028 CHANHASSEN MN REF #2416407K1L3HDJYS6</t>
  </si>
  <si>
    <t>THE HOME DEPOT #2825 CHASKA MN REF #2494301K109FVSVNT</t>
  </si>
  <si>
    <t>Withdrawal ACH PAYPAL TYPE: INST XFER ID: PAYPALSI77 CO: PAYPAL NAME: JEFF TRUITT Entry Class Code: WEB ACH Trace Number: 021000024722925</t>
  </si>
  <si>
    <t>Withdrawal ACH DISCOVER TYPE: E-PAYMENT ID: 2510020270 CO: DISCOVER NAME: TRUITT JEFF Entry Class Code: WEB ACH Trace Number: 091000014117130</t>
  </si>
  <si>
    <t>BLACK SHEEP PIZZA - NICO MINNEAPOLIS MN</t>
  </si>
  <si>
    <t>AT&amp;T W318 58845 CHANHASSEN MN REF #2405523K4PM46RVLL</t>
  </si>
  <si>
    <t>COSTCO WHSE #0783 EDEN PRAIRIE MN REF #2494300K4S4AFKN9B</t>
  </si>
  <si>
    <t>Deposit Dividend Split Rate Annual Percentage Yield Earned 1.50% from 07/01/22 through 07/31/22</t>
  </si>
  <si>
    <t>FH* FURY ADVENTURES 185-54955551 FL REF #2449216K40005E17R</t>
  </si>
  <si>
    <t>LYFT SCOOTER RIDE 855-865-9553 CA REF #2449215K4LRNV0H2M</t>
  </si>
  <si>
    <t>LYFT SCOOTER RIDE 855-865-9553 CA REF #2449215K4MNGMNRZ2</t>
  </si>
  <si>
    <t>LYFT SCOOTER RIDE 855-865-9553 CA REF #2449215K4MNGSF3NT</t>
  </si>
  <si>
    <t>MIYABI EXCEISIOR MN REF #2455193K20EXNG2TZ</t>
  </si>
  <si>
    <t>NORTH COOP CHAHASSEN MN REF #2474455K3D3322Z3K</t>
  </si>
  <si>
    <t>TARGET 00008623 CHANHASSEN MN REF #2416407K22LRFRNW7</t>
  </si>
  <si>
    <t>TST* DANGEROUS MAN BREWI MINNEAPOLIS MN</t>
  </si>
  <si>
    <t>AMAZON MUSIC*EK90L6S23 888-802-3080 WA
14LNNKNLWUS</t>
  </si>
  <si>
    <t>LYFT RIDE SAT 11PM 855-865-9553 CA REF #2449215K4MNHQNXFE</t>
  </si>
  <si>
    <t>PRYES BREWING COMPANY MINNEAPOLIS MN REF #2434285K40FWY9BPW</t>
  </si>
  <si>
    <t>PRYES BREWING COMPANY MINNEAPOLIS MN REF #2434285K40FWY9GLW</t>
  </si>
  <si>
    <t>UBER TRIP HELP.UBER.COMCA REF #2449215K4LWG8HSET</t>
  </si>
  <si>
    <t>Withdrawal ACH College Savings TYPE: ACH ID: 550895818 CO: College Savings Entry Class Code: PPD ACH Trace Number: 104910794889540</t>
  </si>
  <si>
    <t>Withdrawal ACH CPENERGY MNGCO TYPE: MGC ACH EB ID: 176051140S CO: CPENERGY MNGCO NAME: CENTERPOINT ENERGY OTP Entry Class Code: WEB ACH Trace Number: 021000024535398</t>
  </si>
  <si>
    <t>Withdrawal ACH ESSENTIA HEALTH TYPE: ESSENTIA H ID: C200360007 CO: ESSENTIA HEALTH NAME: JEFF TRUITT Entry Class Code: WEB ACH Trace Number: 091000014489463</t>
  </si>
  <si>
    <t>Withdrawal ACH PAYPAL TYPE: INST XFER ID: PAYPALSI77 CO: PAYPAL NAME: JEFF TRUITT Entry Class Code: WEB ACH Trace Number: 021000023201431</t>
  </si>
  <si>
    <t>Withdrawal ACH PAYPAL TYPE: INST XFER ID: PAYPALSI77 CO: PAYPAL NAME: JEFF TRUITT Entry Class Code: WEB ACH Trace Number: 091000016897969</t>
  </si>
  <si>
    <t>Withdrawal Home Banking Transfer To Loan 02 REF # 178189</t>
  </si>
  <si>
    <t>4017 Hallgren</t>
  </si>
  <si>
    <t>Payments Home Banking Transfer From Share 70 REF # 178189</t>
  </si>
  <si>
    <t>Powerplus - Ending in 8s50</t>
  </si>
  <si>
    <t>Draft 2301 Tracer XX4997</t>
  </si>
  <si>
    <t>AMAZON.COM*NC7LF7RY3 AMZN.COM/BILLWA
16KGWMHF37G</t>
  </si>
  <si>
    <t>AMZN MKTP US*AA0DE43Z3 AMZN.COM/BILLWA
13TJ2X8559M</t>
  </si>
  <si>
    <t>BCS*MINNETONKA COMMUNITY 952-401-6800 MN REF #2413746K60102RM7T</t>
  </si>
  <si>
    <t>EVEREVE - 60 HOPKINS MN REF #7426979K42XVG54Z9</t>
  </si>
  <si>
    <t>Withdrawal ACH MHCHILDCARELLC TYPE: DUES ID: 1824708198 CO: MHCHILDCARELLC Entry Class Code: PPD ACH Trace Number: 096010415018525</t>
  </si>
  <si>
    <t>HBRSUBSCRIPTION 800-988-0886 MA REF #2449215K6LVTJJ8TJ</t>
  </si>
  <si>
    <t>Withdrawal ACH PAYPAL TYPE: INST XFER ID: PAYPALSI77 CO: PAYPAL NAME: JEFF TRUITT Entry Class Code: WEB ACH Trace Number: 091000013358868</t>
  </si>
  <si>
    <t>vineyard vines</t>
  </si>
  <si>
    <t>AMZN MKTP US*NV8UT21B3 AMZN.COM/BILLWA
36JRYOHCG1R</t>
  </si>
  <si>
    <t>BP#1370200CHANHASSEN BP CHANHASSEN MN REF #2412254K8MLX15YXT</t>
  </si>
  <si>
    <t>BP#1944651325 WASHINGTON WOBURN MA REF #2412254K8MLX3BZXK</t>
  </si>
  <si>
    <t>CARIBOU COFFEE CO #122 MINNEAPOLIS MN REF #2444500K7EJ34E0HD</t>
  </si>
  <si>
    <t>DAIRY QUEEN #11437 VICTORIA MN</t>
  </si>
  <si>
    <t>Deposit ACH CARGILL INCORPOR TYPE: DIRECT DEP ID: 9111111101 CO: CARGILL INCORPOR Entry Class Code: PPD ACH Trace Number: 091000018030112</t>
  </si>
  <si>
    <t>KOWALSKI'S MARKET EDEN PRAIRIE MN REF #2442733K7LM8JAM9J</t>
  </si>
  <si>
    <t>LYFT *1 RIDE 08-02 LYFT.COM CA REF #2401134K7000XW3KZ</t>
  </si>
  <si>
    <t>WALGREENS #2063 SALEM MA REF #2444500K800V956GL</t>
  </si>
  <si>
    <t>WOVEN MEAT CO 3203491002 MN</t>
  </si>
  <si>
    <t>Withdrawal ACH VENMO TYPE: PAYMENT ID: 326XXXXXXX CO: VENMO NAME: BRITNEY TRUITT Entry Class Code: WEB ACH Trace Number: 091000017287001</t>
  </si>
  <si>
    <t>FOSS SWIM SCHOOL HTTPSWWW.FOSSMN REF #2401134K8000LDFT8</t>
  </si>
  <si>
    <t>GULF OIL 92042570 WOBURN MA REF #2423168K9RBGHYV38</t>
  </si>
  <si>
    <t>LYFT *1 RIDE 08-03 LYFT.COM CA REF #2401134K9000E03S7</t>
  </si>
  <si>
    <t>Patagonia Direct Inc. 800-6386464 CA REF #7420429K807S4HRZD</t>
  </si>
  <si>
    <t>PP*WISCONSINCHEESE VICTORIA MN REF #2449215K8S18QYEEQ</t>
  </si>
  <si>
    <t>SALADWORKS - WOBURN WOBURN MA REF #2426979K8EJ99VEQP</t>
  </si>
  <si>
    <t>Withdrawal ACH XCEL ENERGY-MN TYPE: XCELENERGY ID: 7411967505 CO: XCEL ENERGY-MN NAME: BCU POWERPLUS444505846 Entry Class Code: WEB ACH Trace Number: 091000015654636</t>
  </si>
  <si>
    <t>AVIS RENT-A-CAR EAST BOSTON MA REF #2494135KAR0M5AZ8J</t>
  </si>
  <si>
    <t>DELAWARE NORTH LOGAN F&amp;B EAST BOSTON MA REF #2443106KAW62F4558</t>
  </si>
  <si>
    <t>HILTON BOSTON WOBURN WOBURN MA REF #2405523KA11H47Z5G</t>
  </si>
  <si>
    <t>LIFE TIME CAFE 151Q48 952-380-0303 MN REF #2469216KB2XKX29S9</t>
  </si>
  <si>
    <t>NORTH COOP* NORTH COOP sburks827@livMN REF #2449216K9001F3VAS</t>
  </si>
  <si>
    <t>SQ *GLOBAL TRAVEL SERVICEExcelsior MN REF #2469216K92XEGBJBL</t>
  </si>
  <si>
    <t>AMZN Mktp US*RR7UN1YN3 Amzn.com/billWA REF #2469216KB2X4BYL6G</t>
  </si>
  <si>
    <t>AVO*ADVOCARE INTL 800-542-4800 TX REF #2469216KB2XVVQ5EM</t>
  </si>
  <si>
    <t>Cabin Fever Sporting GoodVictoria MN REF #2445388KQ02HDELRM</t>
  </si>
  <si>
    <t>D J*WALL-ST-JOURNAL 800-568-7625 MA REF #2469216KB2Y1WN9HW</t>
  </si>
  <si>
    <t>THE HOME DEPOT #2812 EDEN PRAIRIE MN</t>
  </si>
  <si>
    <t>PAYMENT - THANK YOU REF #7473457KD00XTMJG7</t>
  </si>
  <si>
    <t>5TH AVENUE MARKET MINNEAPOLIS MN REF #2409990KQ0VYW5E97</t>
  </si>
  <si>
    <t>DNCSS MN TWINS CONCESS MINNEAPOLIS MN REF #2469216KQ2XPHXRS2</t>
  </si>
  <si>
    <t>DNCSS MN TWINS CONCESS MINNEAPOLIS MN REF #2469216KQ2XPHYT3M</t>
  </si>
  <si>
    <t>DNCSS MN TWINS CONCESS MINNEAPOLIS MN REF #2469216KQ2XPHYXEW</t>
  </si>
  <si>
    <t>PELOTON* MEMBERSHIP HTTPSWWW.ONEPNY REF #2401134KQ000V0GJ9</t>
  </si>
  <si>
    <t>Withdrawal ACH MHCHILDCARELLC TYPE: DUES ID: 1824708198 CO: MHCHILDCARELLC Entry Class Code: PPD ACH Trace Number: 096010412572301</t>
  </si>
  <si>
    <t>Withdrawal ACH WASTE MANAGEMENT TYPE: INTERNET ID: 9049038216 CO: WASTE MANAGEMENT Entry Class Code: PPD ACH Trace Number: 043305130743849</t>
  </si>
  <si>
    <t>TWINS MOBILE PAYMENT 800-352-0212 CA REF #2473309KQHHBHZZZT</t>
  </si>
  <si>
    <t>AMZN MKTP US*0D0VD0CH3 AMZN.COM/BILLWA
1XUZNGUW3UD</t>
  </si>
  <si>
    <t>AMZN MKTP US*1Y8HU1TO0 AMZN.COM/BILLWA
2QGKWCARN00</t>
  </si>
  <si>
    <t>ATM Fee</t>
  </si>
  <si>
    <t>COOLER CLEANSE 212-531-3111 NY REF #2480197KD8B2Y219B</t>
  </si>
  <si>
    <t>Withdrawal at ATM #000000430002 435 WATER ST EXCELSIOR MN</t>
  </si>
  <si>
    <t>FOSS SWIM SCHOOL HTTPSWWW.FOSSMN REF #2401134KE000TRKF2</t>
  </si>
  <si>
    <t>Withdrawal ACH PAYPAL TYPE: INST XFER ID: PAYPALSI77 CO: PAYPAL NAME: JEFF TRUITT Entry Class Code: WEB ACH Trace Number: 021000026821581</t>
  </si>
  <si>
    <t>Withdrawal ACH Ridgeview Medica TYPE: ONLINE PAY ID: RF00059954 CO: Ridgeview Medica NAME: Jeff Truitt Entry Class Code: WEB ACH Trace Number: 063112143543477</t>
  </si>
  <si>
    <t>ATLANTA AIRPORT ATLANTA GA REF #2443106KGW5SMEZHT</t>
  </si>
  <si>
    <t>CARIBOU COFFEE CO #123 MINNEAPOLIS MN REF #2444500KG00V7KR3Y</t>
  </si>
  <si>
    <t>FH* KEY WEST PROMOTION HTTPSWWW.KEYWFL REF #2449216KF000LQHJ0</t>
  </si>
  <si>
    <t>SHELLIS NEWS ST2240 ATLANTA GA REF #2443106KGRQEB935B</t>
  </si>
  <si>
    <t>ROSE NAILS PRAIRIE VILLAKS</t>
  </si>
  <si>
    <t>CENTURYLINK SIMPLE 800-201-4099 LA REF #2444500KG5SQMNS4X</t>
  </si>
  <si>
    <t>CERO BODEGA KEY WEST FL REF #2494168KH61DKQ4ED</t>
  </si>
  <si>
    <t>CUBAN COFFEE QUEEN WATERFKEY WEST FL REF #2401339KH01Q5MB9G</t>
  </si>
  <si>
    <t>Deposit ACH EMPYREAN SOLUTIO TYPE: 193XXXXXXX ID: 5330903620 CO: EMPYREAN SOLUTIO Entry Class Code: PPD ACH Trace Number: 091000016634706</t>
  </si>
  <si>
    <t>Deposit ACH TRINET TYPE: PAYROLL ID: 194XXXXXXX CO: TRINET Entry Class Code: PPD ACH Trace Number: 041001036838977</t>
  </si>
  <si>
    <t>HOLIDAY STATIONS 0083 SHAKOPEE MN REF #2494166KGRQEB91AS</t>
  </si>
  <si>
    <t>HOLIDAY STATIONS 0083 SHAKOPEE MN REF #2494166KGRQEB91Q4</t>
  </si>
  <si>
    <t>HY-VEE PR VILLAGE 1532 PRAIRIE VLG KS REF #2413746KJ00XA111M</t>
  </si>
  <si>
    <t>IRISH KEVINS 305-2921262 FL REF #2454045KH0WRWTL9V</t>
  </si>
  <si>
    <t>LYFT *1 RIDE 08-11 LYFT.COM CA REF #2401134KG0010WJNP</t>
  </si>
  <si>
    <t>MINNEAPOLIS AIRPORT SAINT PAUL MN REF #2443106KGRL619422</t>
  </si>
  <si>
    <t>PLUNKETTS PEST CONTROL MINNEAPOLIS MN REF #2401339KG016XZAYB</t>
  </si>
  <si>
    <t>RICKS &amp; DURTY HARRYS KEY WEST FL REF #2432300KGBM3SNXH4</t>
  </si>
  <si>
    <t>RICKS &amp; DURTY HARRYS KEY WEST FL REF #2432300KGBM3STYV8</t>
  </si>
  <si>
    <t>SQ *FURY WATER ADVE KEY WEST FL REF #2449215KGMJTY0BGQ</t>
  </si>
  <si>
    <t>SQ *HAPPY ROOSTER Key West FL REF #2469216KG2XDA9ASE</t>
  </si>
  <si>
    <t>THE MARKER KEY WEST KEY WEST FL CREDIT REF #7405522KH11GW8XYX</t>
  </si>
  <si>
    <t>THE MARKER KEY WEST KEY WEST FL CREDIT REF #7405522KH11GW8Y2S</t>
  </si>
  <si>
    <t>TST* The Breakfast Club, Key West FL REF #2469216KH2X9263LE</t>
  </si>
  <si>
    <t>TST* THE SEASIDE CAFE KEY WEST FL REF #2413746KHEJMMRKVX</t>
  </si>
  <si>
    <t>UBER TRIP HELP.UBER.COMCA REF #2449215KJMNQE6QV8</t>
  </si>
  <si>
    <t>DANTE'SPRIME KW KEY WEST FL REF #2437735KK0000LR9N</t>
  </si>
  <si>
    <t>LS TROPICALLY HIP 305-2952522 FL REF #2449216KJ000KM15G</t>
  </si>
  <si>
    <t>SQ *FIGJAM COFFEE KEY WEST FL REF #2449215KJMJW520D8</t>
  </si>
  <si>
    <t>SQ *SMOOTHIE BAY Key West FL REF #2469216KJ2XZ0HAPD</t>
  </si>
  <si>
    <t>UBER EATS HELP.UBER.COMCA REF #2449215KKMNGT50MD</t>
  </si>
  <si>
    <t>Withdrawal ACH PAYPAL TYPE: INST XFER ID: PAYPALSI77 CO: PAYPAL NAME: JEFF TRUITT Entry Class Code: WEB ACH Trace Number: 091000013160453</t>
  </si>
  <si>
    <t>tucker jc penny suit</t>
  </si>
  <si>
    <t>Withdrawal ACH AMERICAN FAMILY TYPE: WEBPAYMENT ID: PEBP075965 CO: AMERICAN FAMILY NAME: Authorized by Customer Entry Class Code: WEB ACH Trace Number: 021000020645791</t>
  </si>
  <si>
    <t>All Seasons Garment Care Excelsior MN REF #2419304KL02J9GQN9</t>
  </si>
  <si>
    <t>ARCO GREENWOOD MARKET GREENWOOD MN</t>
  </si>
  <si>
    <t>CUB FOODS #1636 SHOREWOOD MN REF #2442733KKM83GYBSP</t>
  </si>
  <si>
    <t>MSP AIRPORT PARKING SAINT PAUL MN REF #2403454KK01J535ZL</t>
  </si>
  <si>
    <t>THE MARKER KEY WEST KEY WEST FL REF #2405522KK11GWHL2T</t>
  </si>
  <si>
    <t>Withdrawal ACH MHCHILDCARELLC TYPE: DUES ID: 1824708198 CO: MHCHILDCARELLC Entry Class Code: PPD ACH Trace Number: 096010416299853</t>
  </si>
  <si>
    <t>AMZN MKTP US*8J38C1QO3 AMZN.COM/BILLWA
2XZOE7MJ2AJ</t>
  </si>
  <si>
    <t>AMZN MKTP US*H934W8NO3 AMZN.COM/BILLWA
1HZ6ODHYE5V</t>
  </si>
  <si>
    <t>DELTA AIR 0062332949012DELTA.COM CA REF #2471705KLTQQ00SAZ</t>
  </si>
  <si>
    <t>LYFT RIDE MON 7AM 855-865-9553 CA REF #2449215KLMNMZH7LF</t>
  </si>
  <si>
    <t>Prime Video*5X1UI7SU3 888-802-3080 WA REF #2469216KM2Y0E4Y5Y</t>
  </si>
  <si>
    <t>Withdrawal ACH VENMO TYPE: PAYMENT ID: 326XXXXXXX CO: VENMO NAME: BRITNEY TRUITT Entry Class Code: WEB ACH Trace Number: 091000012325667</t>
  </si>
  <si>
    <t>BRIGHTSTAR 502-890-2575 KY REF #2449215KMRTPT3JQ7</t>
  </si>
  <si>
    <t>Deposit ACH CARGILL INCORPOR TYPE: DIRECT DEP ID: 9111111101 CO: CARGILL INCORPOR Entry Class Code: PPD ACH Trace Number: 091000017388993</t>
  </si>
  <si>
    <t>Deposit ACH VENMO TYPE: CASHOUT ID: 526XXXXXXX CO: VENMO Entry Class Code: PPD ACH Trace Number: 091000010776878</t>
  </si>
  <si>
    <t>Withdrawal ACH MN DIR ACH TYPE: CONTRIB ID: 2416007162 CO: MN DIR ACH NAME: 872 89742742601 Entry Class Code: WEB ACH Trace Number: 011001232478215</t>
  </si>
  <si>
    <t>AMZN MKTP US AMZN.COM/BILLWA
175ATQO7H2A</t>
  </si>
  <si>
    <t>AMZN MKTP US AMZN.COM/BILLWA
4XTJDH3N4EE</t>
  </si>
  <si>
    <t>AMZN MKTP US AMZN.COM/BILLWA
4ZK4FGP1KQW</t>
  </si>
  <si>
    <t>PP*ELITESPORTS SAN JOSE CA</t>
  </si>
  <si>
    <t>Withdrawal ACH PAYPAL TYPE: INST XFER ID: PAYPALSI77 CO: PAYPAL NAME: JEFF TRUITT Entry Class Code: WEB ACH Trace Number: 091000014805514</t>
  </si>
  <si>
    <t>AMZN MKTP US AMZN.COM/BILLWA
69KGD26486A</t>
  </si>
  <si>
    <t>TST* DUKES ON 7 MINNETONKA MN
00017403008254706899AA</t>
  </si>
  <si>
    <t>PAYMENT - THANK YOU REF #7473457KT00XTMJG3</t>
  </si>
  <si>
    <t>AMZN MKTP US*VV4F03ZT3 AMZN.COM/BILLWA
7B49S6IBXZA</t>
  </si>
  <si>
    <t>AXS.COMTARGET CENTER 888-929-7849 CA REF #2449215KRLREYE9SA</t>
  </si>
  <si>
    <t>KIDS HAIR CH CHANHASSEN MN REF #2426979KPEJ517G1B</t>
  </si>
  <si>
    <t>KONA GRILL - MINNETONKA MINNETONKA MN REF #2478930KPKAYNXP5F</t>
  </si>
  <si>
    <t>LEEANN CHIN 0163 EDEN PRA310-9959954 MN REF #2454045KR01MMKG8F</t>
  </si>
  <si>
    <t>MENS WEARHOUSE #4113 EDEN PRAIRIE MN REF #2432688KR2LZ2Q912</t>
  </si>
  <si>
    <t>Netflix.com 866-5797172 CA REF #2490641KR4FTBSD43</t>
  </si>
  <si>
    <t>SQ *EDEN PRARIE CENTER FUEden Prairie MN REF #2469216KP2XGE401W</t>
  </si>
  <si>
    <t>BONFES PLUMBING HEATING ASOUTH SAINT PMN REF #2427539KTS66M9PPH</t>
  </si>
  <si>
    <t>CUB FOODS CHANHASSEN MN REF #2442733KTM83ANE1X</t>
  </si>
  <si>
    <t>SPEEDWAY 04366 EXCELSIOR MN REF #2413746KS0180MN2T</t>
  </si>
  <si>
    <t>SPEEDWAY 04366 EXCELSIOR MN REF #2413746KS0180MN5Q</t>
  </si>
  <si>
    <t>Withdrawal ACH CITY OF CHANHASS TYPE: UTIL BILL ID: 1410885331 CO: CITY OF CHANHASS Entry Class Code: PPD ACH Trace Number: 091901960155905</t>
  </si>
  <si>
    <t>Withdrawal ACH DISCOVER TYPE: E-PAYMENT ID: 2510020270 CO: DISCOVER NAME: TRUITT JEFF Entry Class Code: WEB ACH Trace Number: 091000012726244</t>
  </si>
  <si>
    <t>Amazon.com*ZW8US0B03 Amzn.com/billWA REF #2469216KS2XGDKXFW</t>
  </si>
  <si>
    <t>AMZN MKTP US*8D6ML97U3 AMZN.COM/BILLWA
550WZHJZJRZ</t>
  </si>
  <si>
    <t>CUB FOODS 01644 952-934-1010 MN REF #2423168KS2DQZ3PRP</t>
  </si>
  <si>
    <t>Deposit Home Banking Transfer From Share 70 REF # 498400</t>
  </si>
  <si>
    <t>Withdrawal ACH MHCHILDCARELLC TYPE: DUES ID: 1824708198 CO: MHCHILDCARELLC Entry Class Code: PPD ACH Trace Number: 096010418692827</t>
  </si>
  <si>
    <t>Withdrawal ACH PAYPAL TYPE: INST XFER ID: PAYPALSI77 CO: PAYPAL NAME: JEFF TRUITT Entry Class Code: WEB ACH Trace Number: 091000016644916</t>
  </si>
  <si>
    <t>sunglasses from dicks</t>
  </si>
  <si>
    <t>Withdrawal Home Banking Transfer To Share 12 REF # 498400</t>
  </si>
  <si>
    <t>Withdrawal ACH VENMO TYPE: PAYMENT ID: 326XXXXXXX CO: VENMO NAME: BRITNEY TRUITT Entry Class Code: WEB ACH Trace Number: 091000018916197</t>
  </si>
  <si>
    <t>RESERVATION HILTONBOS 8449963737 CA REF #2449215KVLWJHQFMP</t>
  </si>
  <si>
    <t>empyrean expense</t>
  </si>
  <si>
    <t>Withdrawal ACH PAYPAL TYPE: INST XFER ID: PAYPALSI77 CO: PAYPAL NAME: JEFF TRUITT Entry Class Code: WEB ACH Trace Number: 091000012058859</t>
  </si>
  <si>
    <t>tucker converse</t>
  </si>
  <si>
    <t>AMZN Mktp US*MR64V78J3 Amzn.com/billWA REF #2469216KW2XA95P65</t>
  </si>
  <si>
    <t>AMZN Mktp US*P39AX7DQ3 Amzn.com/billWA REF #2469216KW2XAP2AAX</t>
  </si>
  <si>
    <t>DELTA AIR 0062334685936DELTA.COM CA REF #2471705KWTQEQ9QLQ</t>
  </si>
  <si>
    <t>Deposit ACH CARGILL INCORPOR TYPE: 004XXXXXXX ID: 2410177680 CO: CARGILL INCORPOR Entry Class Code: CTX ACH Trace Number: 111000020474781</t>
  </si>
  <si>
    <t>LICKS UNLIMITED EXCELSIOR MN REF #2401339KW02HT04P6</t>
  </si>
  <si>
    <t>Withdrawal ACH PAYPAL TYPE: INST XFER ID: PAYPALSI77 CO: PAYPAL NAME: JEFF TRUITT Entry Class Code: WEB ACH Trace Number: 091000010506756</t>
  </si>
  <si>
    <t>Withdrawal ACH TARGET CARD SRVC TYPE: AUTO PYMT ID: 1411721813 CO: TARGET CARD SRVC NAME: TRUITT JEFFREY B Entry Class Code: WEB ACH Trace Number: 091000011810504</t>
  </si>
  <si>
    <t>Withdrawal POS #0000BCTKD3GI AMAZON.COM*IO4HQ8HS3 SEATTLE WA</t>
  </si>
  <si>
    <t>Withdrawal ACH NORDSTROM TYPE: PAYMENT ID: 9044022131 CO: NORDSTROM NAME: Jeff Truitt Jeff Truit Entry Class Code: WEB ACH Trace Number: 043305139404618</t>
  </si>
  <si>
    <t>CUB FOODS CHANHASSEN MN REF #2442733KXM83KXM18</t>
  </si>
  <si>
    <t>Withdrawal ACH VENMO TYPE: PAYMENT ID: 326XXXXXXX CO: VENMO NAME: BRITNEY TRUITT Entry Class Code: WEB ACH Trace Number: 091000015276974</t>
  </si>
  <si>
    <t>DICK'S FRESH MARKET AMERY WI
APPLE PAY ENDING IN 3050</t>
  </si>
  <si>
    <t>LOVE'S #832 COLUMBUS MN REF #2469216KZ2YVVL3K0</t>
  </si>
  <si>
    <t>RIDGEVIEW MEDICAL CENTER WACONIA MN REF #2480197KY0ZPPN264</t>
  </si>
  <si>
    <t>SQ *HOPSACK LLC BALSAM LAKE WI
APPLE PAY ENDING IN 3050
0002305843016202587677</t>
  </si>
  <si>
    <t>AMZN MKTP US AMZN.COM/BILLWA
59IT6TCZ9CG</t>
  </si>
  <si>
    <t>Deposit ACH SYNTELLIS TYPE: CREDITS ID: 1851377808 CO: SYNTELLIS Entry Class Code: PPD ACH Trace Number: 041000122881562</t>
  </si>
  <si>
    <t>syntellis investment cash out</t>
  </si>
  <si>
    <t>Etsy.com - BakersCustomAp718-8557955 NY REF #2420429L100TJB07A</t>
  </si>
  <si>
    <t>THIRSTY OTTER TAVERN 715-4853400 WI REF #2400097L0LQRKNEL5</t>
  </si>
  <si>
    <t>Withdrawal ACH PAYPAL TYPE: INST XFER ID: PAYPALSI77 CO: PAYPAL NAME: JEFF TRUITT Entry Class Code: WEB ACH Trace Number: 091000010156430</t>
  </si>
  <si>
    <t>book</t>
  </si>
  <si>
    <t>Withdrawal ACH PAYPAL TYPE: INST XFER ID: PAYPALSI77 CO: PAYPAL NAME: JEFF TRUITT Entry Class Code: WEB ACH Trace Number: 091000013895794</t>
  </si>
  <si>
    <t>Withdrawal ACH PAYPAL TYPE: INST XFER ID: PAYPALSI77 CO: PAYPAL NAME: JEFF TRUITT Entry Class Code: WEB ACH Trace Number: 091000018536648</t>
  </si>
  <si>
    <t>Withdrawal ACH VENMO TYPE: PAYMENT ID: 326XXXXXXX CO: VENMO NAME: JEFF TRUITT Entry Class Code: WEB ACH Trace Number: 091000010841356</t>
  </si>
  <si>
    <t>pull tabs</t>
  </si>
  <si>
    <t>Withdrawal ACH VENMO TYPE: PAYMENT ID: 326XXXXXXX CO: VENMO NAME: JEFF TRUITT Entry Class Code: WEB ACH Trace Number: 091000018843941</t>
  </si>
  <si>
    <t>FF</t>
  </si>
  <si>
    <t>AMZN Mktp US*JD2B47T63 Amzn.com/billWA REF #2469216L130RKT5KB</t>
  </si>
  <si>
    <t>CHASKA 952-448-5112 MN REF #2423168L12DGHJNAW</t>
  </si>
  <si>
    <t>Deposit ACH TRINET TYPE: PAYROLL ID: 194XXXXXXX CO: TRINET Entry Class Code: PPD ACH Trace Number: 041001035755806</t>
  </si>
  <si>
    <t>LUNDS&amp;BYERLYS CHANH CHANHASSEN MN REF #2442733L1M83E9GAT</t>
  </si>
  <si>
    <t>Withdrawal ACH TRUITT,JEFF B TYPE: Online ID: 1271992400 NAME: TRUITT,JEFF B Entry Class Code: WEB</t>
  </si>
  <si>
    <t>syntellis investment move to schwab</t>
  </si>
  <si>
    <t>Withdrawal at ATM #000022424511 U.S. BANK US BANK CHANHASSEN CHANHASSEN MN</t>
  </si>
  <si>
    <t>PAYMENT - THANK YOU REF #7473457L300XTMJG1</t>
  </si>
  <si>
    <t>ATM Fee Reimbursement</t>
  </si>
  <si>
    <t>BP#1370200CHANHASSEN BP CHANHASSEN MN REF #2412254L3MLX1G58W</t>
  </si>
  <si>
    <t>BP#1370200CHANHASSEN BP CHANHASSEN MN REF #2412254L3MLX1G5AD</t>
  </si>
  <si>
    <t>CUB FOODS 01644 952-934-1010 MN REF #2423168L22DD0Y64N</t>
  </si>
  <si>
    <t>Deposit ACH DISCOVER BANK TYPE: ACCTVERIFY ID: 1770527921 CO: DISCOVER BANK Entry Class Code: PPD ACH Trace Number: 063106143440368</t>
  </si>
  <si>
    <t>Deposit ACH DISCOVER BANK TYPE: ACCTVERIFY ID: 1770527921 CO: DISCOVER BANK Entry Class Code: PPD ACH Trace Number: 063106143440369</t>
  </si>
  <si>
    <t>Deposit ACH PAYPAL TYPE: TRANSFER ID: PAYPALSD11 CO: PAYPAL Entry Class Code: PPD ACH Trace Number: 091000016559163</t>
  </si>
  <si>
    <t>Deposit ATM FEE REFUND</t>
  </si>
  <si>
    <t>Deposit Dividend Split Rate Annual Percentage Yield Earned 0.66% from 08/01/22 through 08/31/22</t>
  </si>
  <si>
    <t>Deposit Dividend Split Rate Annual Percentage Yield Earned 1.00% from 08/01/22 through 08/31/22</t>
  </si>
  <si>
    <t>Withdrawal ACH DISCOVER BANK TYPE: ACCTVERIFY ID: 3770527921 CO: DISCOVER BANK NAME: JEFF TRUITT Entry Class Code: WEB ACH Trace Number: 063106143440389</t>
  </si>
  <si>
    <t>Withdrawal ACH MHCHILDCARELLC TYPE: DUES ID: 1824708198 CO: MHCHILDCARELLC Entry Class Code: PPD ACH Trace Number: 096010414507746</t>
  </si>
  <si>
    <t>Withdrawal ACH VENMO TYPE: PAYMENT ID: 326XXXXXXX CO: VENMO NAME: JEFF TRUITT Entry Class Code: WEB ACH Trace Number: 091000012189107</t>
  </si>
  <si>
    <t>Withdrawal ACH VENMO TYPE: PAYMENT ID: 326XXXXXXX CO: VENMO NAME: JEFF TRUITT Entry Class Code: WEB ACH Trace Number: 091000012195586</t>
  </si>
  <si>
    <t>trip to ohio</t>
  </si>
  <si>
    <t>AMAZON MUSIC*1V7PW6861 888-802-3080 WA
5ITB2Z4KM40</t>
  </si>
  <si>
    <t>Deposit ACH BAXTER CREDIT UN TYPE: REWARDS DE ID: 9044036378 CO: BAXTER CREDIT UN Entry Class Code: PPD ACH Trace Number: 043305136021936</t>
  </si>
  <si>
    <t>Deposit ACH CARGILL INCORPOR TYPE: DIRECT DEP ID: 9111111101 CO: CARGILL INCORPOR Entry Class Code: PPD ACH Trace Number: 091000018244305</t>
  </si>
  <si>
    <t>Deposit ACH EMPYREAN SOLUTIO TYPE: 193XXXXXXX ID: 5330903620 CO: EMPYREAN SOLUTIO Entry Class Code: PPD ACH Trace Number: 091000011115755</t>
  </si>
  <si>
    <t>MAYNARDS R* MAYNARDS E MAYNARDSEXCELMN REF #2449216L40005A8WW</t>
  </si>
  <si>
    <t>TST* FREIGHT HOUSE STILLWATER MN
00085400008400517371AA</t>
  </si>
  <si>
    <t>Withdrawal ACH College Savings TYPE: ACH ID: 550895818 CO: College Savings Entry Class Code: PPD ACH Trace Number: 104910796401265</t>
  </si>
  <si>
    <t>Withdrawal ACH DISCOVER BANK TYPE: ACCT FUND ID: 3770527921 CO: DISCOVER BANK NAME: JEFF TRUITT Entry Class Code: WEB ACH Trace Number: 063106144268510</t>
  </si>
  <si>
    <t>Withdrawal ACH PAYPAL TYPE: INST XFER ID: PAYPALSI77 CO: PAYPAL NAME: JEFF TRUITT Entry Class Code: WEB ACH Trace Number: 091000015626993</t>
  </si>
  <si>
    <t>Withdrawal Home Banking Transfer To Loan 02 REF # 623147</t>
  </si>
  <si>
    <t>Payments Home Banking Transfer From Share 70 REF # 623147</t>
  </si>
  <si>
    <t>Withdrawal ACH VENMO TYPE: PAYMENT ID: 326XXXXXXX CO: VENMO NAME: BRITNEY TRUITT Entry Class Code: WEB ACH Trace Number: 091000014321315</t>
  </si>
  <si>
    <t>PowerPlus</t>
  </si>
  <si>
    <t>Draft 2321 Tracer XX3064</t>
  </si>
  <si>
    <t>Deposit Home Banking Transfer From Share 12 REF # 658560</t>
  </si>
  <si>
    <t>JEFFS BLACKSMITHS SHOP B BALSAM LAKE WI
APPLE PAY ENDING IN 8856</t>
  </si>
  <si>
    <t>SP LAKE AND COMPANY 172-08499131 MN REF #2401134L50002RTWT</t>
  </si>
  <si>
    <t>SP SOTA CLOTHING 195-23814230 MN REF #2449216L500021BDW</t>
  </si>
  <si>
    <t>SQ *SEEK EYE CARE PA gosq.com MN REF #2469216L532W12WLN</t>
  </si>
  <si>
    <t>Withdrawal Home Banking Transfer To Share 70 REF # 658560</t>
  </si>
  <si>
    <t>D J*WALL-ST-JOURNAL 800-568-7625 MA REF #2469216L63443V4W1</t>
  </si>
  <si>
    <t>HBRSUBSCRIPTION 800-988-0886 MA REF #2449215L5LS2GWKH1</t>
  </si>
  <si>
    <t>SQ *BALSAM LAKE BREWERY ABalsam Lake WI REF #2469216L634792ZHB</t>
  </si>
  <si>
    <t>BARRED OWL, LLC BALSAM LAKE WI REF #2434285L70FX5MHRV</t>
  </si>
  <si>
    <t>HOLIDAY STATIONS 0419 SAINT CROIX FWI REF #2494166L8RQEBLJJP</t>
  </si>
  <si>
    <t>MAYNARD'S EXCELSIOR THE EXCELSIOR MN</t>
  </si>
  <si>
    <t>RVT*MTKA PUB SCHLS-WEB 952-4015000 MN REF #2490641L74GV7N7G8</t>
  </si>
  <si>
    <t>Withdrawal ACH DISCOVER BANK TYPE: ETRANSFER ID: 3770527921 CO: DISCOVER BANK NAME: JEFF TRUITT Entry Class Code: WEB ACH Trace Number: 063106147030518</t>
  </si>
  <si>
    <t>Withdrawal ACH PAYPAL TYPE: INST XFER ID: PAYPALSI77 CO: PAYPAL NAME: JEFF TRUITT Entry Class Code: WEB ACH Trace Number: 091000013929653</t>
  </si>
  <si>
    <t>Withdrawal ACH XCEL ENERGY-MN TYPE: XCELENERGY ID: 7411967505 CO: XCEL ENERGY-MN NAME: BCU POWERPLUS448297991 Entry Class Code: WEB ACH Trace Number: 091000013799184</t>
  </si>
  <si>
    <t>AMZN MKTP US*1V4K446T2 AMZN.COM/BILLWA
7FKPL6D47VQ</t>
  </si>
  <si>
    <t>CUB FOODS 1636 952-380-9900 MN REF #2423168L92DF3NG1W</t>
  </si>
  <si>
    <t>MN LAND ARBORETUM WWW.ARBORETUMMN REF #2449216L9000KHWS9</t>
  </si>
  <si>
    <t>CARIBOU COFFEE CO #1164 EXCELSIOR MN
APPLE PAY ENDING IN 8856</t>
  </si>
  <si>
    <t>FSI*CENTERPOINT ENERGY 877-477-1664 TX REF #2469216LA2XJ1W874</t>
  </si>
  <si>
    <t>LOGGERS BAR &amp; GRILL 651-2698120 WI REF #2400097LAMNJJM4AQ</t>
  </si>
  <si>
    <t>PARK NICOLLET 11510 866-3821799 MN REF #2471705LB3J394WPH</t>
  </si>
  <si>
    <t>Withdrawal ACH MHCHILDCARELLC TYPE: DUES ID: 1824708198 CO: MHCHILDCARELLC Entry Class Code: PPD ACH Trace Number: 096010417883209</t>
  </si>
  <si>
    <t>PAPA MURPHY'S MN035 OLO 952-294-4646 MN</t>
  </si>
  <si>
    <t>PELOTON* MEMBERSHIP HTTPSWWW.ONEPNY REF #2401134LB000ZDNFW</t>
  </si>
  <si>
    <t>ARBORETUM APPLEHOUSE CHASKA MN
APPLE PAY ENDING IN 8856</t>
  </si>
  <si>
    <t>SQ *NORTH STAR DONUTS VICTORIA MN
APPLE PAY ENDING IN 8856
0001152921511885548944</t>
  </si>
  <si>
    <t>SQ *PEPPERS AGOGO WAYZATA MN
0002305843016273645864</t>
  </si>
  <si>
    <t>Evereve 877-2906262 MN REF #2490641LQ4H53772R</t>
  </si>
  <si>
    <t>JIMMY JOHNS # 916 EDEN PRAIRIE MN
APPLE PAY ENDING IN 8856</t>
  </si>
  <si>
    <t>NORTH COOP* NORTH COOP sburks827@livMN REF #2449216LE0004AY5Z</t>
  </si>
  <si>
    <t>SPEEDWAY 04366 EXCELSIOR MN REF #2413746LE00ZF3402</t>
  </si>
  <si>
    <t>WALGREENS #3114 EDINA MN REF #2444500LE00SG0HLL</t>
  </si>
  <si>
    <t>AMAZON.COM*1F9V691W2 AMZN.COM/BILLWA
76WTQNCPIPE</t>
  </si>
  <si>
    <t>COSTCO WHSE #0783 EDEN PRAIRIE MN REF #2494300LFS4AFKH96</t>
  </si>
  <si>
    <t>Withdrawal ACH VENMO TYPE: PAYMENT ID: 326XXXXXXX CO: VENMO NAME: JEFF TRUITT Entry Class Code: WEB ACH Trace Number: 091000017470872</t>
  </si>
  <si>
    <t>Cedar point pass</t>
  </si>
  <si>
    <t>CENTURYLINK SIMPLE 800-201-4099 LA REF #2444500LF2XAK6AVH</t>
  </si>
  <si>
    <t>RESERVATION HILTONBOS 844-996- CREDIT REF #7449215LFLRM33GK0</t>
  </si>
  <si>
    <t>SATAY 2 GO APPLE VALLEY MN</t>
  </si>
  <si>
    <t>Withdrawal ACH MHCHILDCARELLC TYPE: DUES ID: 1824708198 CO: MHCHILDCARELLC Entry Class Code: PPD ACH Trace Number: 096010419298154</t>
  </si>
  <si>
    <t>Withdrawal ACH VENMO TYPE: PAYMENT ID: 326XXXXXXX CO: VENMO NAME: BRITNEY TRUITT Entry Class Code: WEB ACH Trace Number: 091000015377283</t>
  </si>
  <si>
    <t>Deposit ACH TRINET TYPE: PAYROLL ID: 194XXXXXXX CO: TRINET Entry Class Code: PPD ACH Trace Number: 041001035501860</t>
  </si>
  <si>
    <t>PAYPAL *FREE FLY 402-935-7733 CA</t>
  </si>
  <si>
    <t>SPASSO MINNETONKA MN</t>
  </si>
  <si>
    <t>SPEEDWAY 04159 EDEN PRAIRIE MN REF #2413746LH0106066K</t>
  </si>
  <si>
    <t>Withdrawal ACH AMERICAN FAMILY TYPE: WEBPAYMENT ID: PEBP075965 CO: AMERICAN FAMILY NAME: Authorized by Customer Entry Class Code: WEB ACH Trace Number: 021000021152316</t>
  </si>
  <si>
    <t>Withdrawal ACH DISCOVER TYPE: E-PAYMENT ID: 2510020270 CO: DISCOVER NAME: TRUITT JEFF Entry Class Code: WEB ACH Trace Number: 091000019476077</t>
  </si>
  <si>
    <t>AMZN MKTP US*1M1WJ9NK0 AMZN.COM/BILLWA
63B3BPEDHYN</t>
  </si>
  <si>
    <t>Deposit ACH CARGILL INCORPOR TYPE: DIRECT DEP ID: 9111111101 CO: CARGILL INCORPOR Entry Class Code: PPD ACH Trace Number: 091000017126779</t>
  </si>
  <si>
    <t>Deposit ACH VENMO TYPE: REFUND ID: 426XXXXXXX CO: VENMO Entry Class Code: PPD ACH Trace Number: 091000010580665</t>
  </si>
  <si>
    <t>LAKEWINDS - MINNETONKA MINNETONKA MN REF #2405523LJRBGRKQ2W</t>
  </si>
  <si>
    <t>PAYPAL *PONCHO 402-935-7733 CA</t>
  </si>
  <si>
    <t>SHINE OF MINNETONKA HTTPSWWW.SHINMN REF #2449216LH0015AXAJ</t>
  </si>
  <si>
    <t>Window cleaning</t>
  </si>
  <si>
    <t>PAYMENT - THANK YOU REF #7473457LK00XTMJG2</t>
  </si>
  <si>
    <t>Withdrawal ACH VENMO TYPE: PAYMENT ID: 326XXXXXXX CO: VENMO NAME: BRITNEY TRUITT Entry Class Code: WEB ACH Trace Number: 091000013300009</t>
  </si>
  <si>
    <t>Withdrawal ACH VENMO TYPE: PAYMENT ID: 326XXXXXXX CO: VENMO NAME: BRITNEY TRUITT Entry Class Code: WEB ACH Trace Number: 091000016358357</t>
  </si>
  <si>
    <t>ALLIANZ TRAVEL INS ALLIANZINS.USVA REF #2449215LKLS08MX1R</t>
  </si>
  <si>
    <t>AMERICAN AIR0012337602985FORT WORTH TX REF #2494300LKJEENK6H7</t>
  </si>
  <si>
    <t>FL friends trip</t>
  </si>
  <si>
    <t>AMERICAN AIR0012337602986FORT WORTH TX REF #2494300LKJEENK6GE</t>
  </si>
  <si>
    <t>AMERICAN AIR0012337602987FORT WORTH TX REF #2494300LKJEENK6K9</t>
  </si>
  <si>
    <t>AMERICAN AIR0012337602988FORT WORTH TX REF #2494300LKJEENK6LA</t>
  </si>
  <si>
    <t>TST* THE GROCERS TABLE WAYZATA MN
00017999008590138591AA</t>
  </si>
  <si>
    <t>PAYPAL *REI 402-935-7733 CA</t>
  </si>
  <si>
    <t>CARIBOU COFFEE CO #116 CHANHASSEN MN
APPLE PAY ENDING IN 8856</t>
  </si>
  <si>
    <t>Prime Video*1M1017BN1 888-802-3080 WA REF #2469216LL33TAX97R</t>
  </si>
  <si>
    <t>Sailers Greenhouse SHAKOPEE MN REF #2445388LM02MZ66XA</t>
  </si>
  <si>
    <t>VICTORIA HEALTHY HUB 6127506106 MN REF #2405523LL2MK46KGB</t>
  </si>
  <si>
    <t>BACHMAN'S ONLINE MINNEAPOLIS MN REF #2480197LN61MAVEV8</t>
  </si>
  <si>
    <t>COPA AIR 2302179642206COPAAIR.COM FL REF #2400704LNSFG6GV8L</t>
  </si>
  <si>
    <t>Panama Trip</t>
  </si>
  <si>
    <t>DELTA AIR 0062338225240DELTA.COM CA REF #2471705LMTQMSLZYY</t>
  </si>
  <si>
    <t>Gina paid for</t>
  </si>
  <si>
    <t>DELTA AIR 0062338225241DELTA.COM CA REF #2471705LMTQMSLZYE</t>
  </si>
  <si>
    <t>DELTA AIR 0062338225242DELTA.COM CA REF #2471705LMTQMSLZYN</t>
  </si>
  <si>
    <t>DELTA AIR 0062338225243DELTA.COM CA REF #2471705LMTQMSLZY6</t>
  </si>
  <si>
    <t>EVEREVE - 8 WAYZATA MN REF #7426979LLEJN8PGAB</t>
  </si>
  <si>
    <t>LUNDS&amp;BYERLYS CHANH CHANHASSEN MN REF #2442733LMM83QPH15</t>
  </si>
  <si>
    <t>THE HOME DEPOT #2825 CHASKA MN REF #2494301LM09FV1MT4</t>
  </si>
  <si>
    <t>TOCK ATDEMI 312-561-4554 IL REF #2449215LNLRHBRAX6</t>
  </si>
  <si>
    <t>Withdrawal ACH MN DIR ACH TYPE: CONTRIB ID: 2416007162 CO: MN DIR ACH NAME: 545 89742742601 Entry Class Code: WEB ACH Trace Number: 011001233465135</t>
  </si>
  <si>
    <t>Withdrawal ACH PAYPAL TYPE: INST XFER ID: PAYPALSI77 CO: PAYPAL NAME: JEFF TRUITT Entry Class Code: WEB ACH Trace Number: 021000022366828</t>
  </si>
  <si>
    <t>Withdrawal ACH PAYPAL TYPE: INST XFER ID: PAYPALSI77 CO: PAYPAL NAME: JEFF TRUITT Entry Class Code: WEB ACH Trace Number: 091000010392797</t>
  </si>
  <si>
    <t>Withdrawal ACH VENMO TYPE: PAYMENT ID: 326XXXXXXX CO: VENMO NAME: BRITNEY TRUITT Entry Class Code: WEB ACH Trace Number: 091000018850185</t>
  </si>
  <si>
    <t>AMZN MKTP US*1U7BJ24M1 AMZN.COM/BILLWA
66FNOBSIRLU</t>
  </si>
  <si>
    <t>CUB FOODS 01644 952-934-1010 MN REF #2423168LN2DDVR2KM</t>
  </si>
  <si>
    <t>CUB FOODS 01644 CUB.COM MN REF #7423168LN2D9R4E63</t>
  </si>
  <si>
    <t>Deposit ACH VENMO TYPE: CASHOUT ID: 526XXXXXXX CO: VENMO Entry Class Code: PPD ACH Trace Number: 091000015952896</t>
  </si>
  <si>
    <t>SP PONCHO HTTPSPONCHOOUNY REF #2449216LN000WWNRK</t>
  </si>
  <si>
    <t>Withdrawal ACH MHCHILDCARELLC TYPE: DUES ID: 1824708198 CO: MHCHILDCARELLC Entry Class Code: PPD ACH Trace Number: 096010410330268</t>
  </si>
  <si>
    <t>PAYMENT - THANK YOU REF #7473457LR00XTMJG5</t>
  </si>
  <si>
    <t>Withdrawal ACH DISCOVER TYPE: E-PAYMENT ID: 2510020270 CO: DISCOVER NAME: TRUITT JEFF Entry Class Code: WEB ACH Trace Number: 091000019122560</t>
  </si>
  <si>
    <t>BONFES PLUMBING HEATING A651-3326633 MN REF #2427539LPS66D4TQ8</t>
  </si>
  <si>
    <t>Netflix.com 866-5797172 CA REF #2490641LP4HSLV3DN</t>
  </si>
  <si>
    <t>Withdrawal ACH CITY OF CHANHASS TYPE: UTIL BILL ID: 1410885331 CO: CITY OF CHANHASS Entry Class Code: PPD ACH Trace Number: 091901960160825</t>
  </si>
  <si>
    <t>BCS*MINNETONKA COMMUNITY 952-401-6800 MN REF #2413746LT01DBYVLJ</t>
  </si>
  <si>
    <t>BCS*MINNETONKA COMMUNITY 952-401-6800 MN REF #2413746LT01DBYVP5</t>
  </si>
  <si>
    <t>NOODLES &amp; CO 347 CHANHASSEN MN
APPLE PAY ENDING IN 8856</t>
  </si>
  <si>
    <t>PLUNKETTS PEST CONTROL MINNEAPOLIS MN REF #2401339LR025ZNXYY</t>
  </si>
  <si>
    <t>RUDY LUTHER TOYOTA GOLDEN VALLEYMN REF #2449398LR60R8EG1A</t>
  </si>
  <si>
    <t>RVT*MTKA PUB SCHLS-WEB 952-4015000 MN REF #2490641LP4HWDAXEF</t>
  </si>
  <si>
    <t>SQ *EQ YEE GOLDEN VALLEYMN REF #2449215LRMJLPMF31</t>
  </si>
  <si>
    <t>County Tax Disbursed</t>
  </si>
  <si>
    <t>Deposit Home Banking Transfer From Share 70 REF # 941703</t>
  </si>
  <si>
    <t>KWIK TRIP 40200004028 CHANHASSEN MN REF #2416407LTL3HJY1YF</t>
  </si>
  <si>
    <t>Withdrawal ACH PAYPAL TYPE: INST XFER ID: PAYPALSI77 CO: PAYPAL NAME: JEFF TRUITT Entry Class Code: WEB ACH Trace Number: 091000016413916</t>
  </si>
  <si>
    <t>Withdrawal Home Banking Transfer To Share 12 REF # 941703</t>
  </si>
  <si>
    <t>AMZN MKTP US*1U7ZE5XO0 AMZN.COM/BILLWA
2AGEBI02GIM</t>
  </si>
  <si>
    <t>UMINNMLAEVENTS CHASKA MN</t>
  </si>
  <si>
    <t>Deposit ACH CARGILL INCORPOR TYPE: 004XXXXXXX ID: 2410177680 CO: CARGILL INCORPOR Entry Class Code: CTX ACH Trace Number: 111000020768101</t>
  </si>
  <si>
    <t>LANCER @ MINNESOTA ZOO APPLE VALLEY MN</t>
  </si>
  <si>
    <t>MENARDS.COM 715-876-6378 WI REF #2413746LW8R16X1T7</t>
  </si>
  <si>
    <t>PAYPAL *HOME DEPOT 402-935-7733 CA</t>
  </si>
  <si>
    <t>Withdrawal ACH TARGET CARD SRVC TYPE: AUTO PYMT ID: 1411721813 CO: TARGET CARD SRVC NAME: TRUITT JEFFREY B Entry Class Code: WEB ACH Trace Number: 091000015425355</t>
  </si>
  <si>
    <t>Withdrawal ACH VENMO TYPE: PAYMENT ID: 326XXXXXXX CO: VENMO NAME: BRITNEY TRUITT Entry Class Code: WEB ACH Trace Number: 091000014171869</t>
  </si>
  <si>
    <t>MN ZOO ONLINE 952-4319240 MN REF #2471705LX7LM15PNX</t>
  </si>
  <si>
    <t>TST* 401 - YUMI EXCELSIO EXCELSIOR MN</t>
  </si>
  <si>
    <t>Withdrawal ACH MHCHILDCARELLC TYPE: DUES ID: 1824708198 CO: MHCHILDCARELLC Entry Class Code: PPD ACH Trace Number: 096010410277289</t>
  </si>
  <si>
    <t>Withdrawal ACH PAYPAL TYPE: INST XFER ID: PAYPALSI77 CO: PAYPAL NAME: JEFF TRUITT Entry Class Code: WEB ACH Trace Number: 021000026096434</t>
  </si>
  <si>
    <t>KWIK TRIP 40200004028 CHANHASSEN MN REF #2416407LYL3HKBRWB</t>
  </si>
  <si>
    <t>PAYPAL *ETSY INC 402-935-7733 CA</t>
  </si>
  <si>
    <t>Withdrawal ACH PAYPAL TYPE: INST XFER ID: PAYPALSI77 CO: PAYPAL NAME: JEFF TRUITT Entry Class Code: WEB ACH Trace Number: 091000010983424</t>
  </si>
  <si>
    <t>Withdrawal ACH VENMO TYPE: PAYMENT ID: 326XXXXXXX CO: VENMO NAME: BRITNEY TRUITT Entry Class Code: WEB ACH Trace Number: 091000010377002</t>
  </si>
  <si>
    <t>Deposit ACH CARGILL INCORPOR TYPE: DIRECT DEP ID: 9111111101 CO: CARGILL INCORPOR Entry Class Code: PPD ACH Trace Number: 091000013937250</t>
  </si>
  <si>
    <t>Deposit ACH TRINET TYPE: PAYROLL ID: 194XXXXXXX CO: TRINET Entry Class Code: PPD ACH Trace Number: 041001033981257</t>
  </si>
  <si>
    <t>Withdrawal ACH PAYPAL TYPE: INST XFER ID: PAYPALSI77 CO: PAYPAL NAME: JEFF TRUITT Entry Class Code: WEB ACH Trace Number: 091000010433276</t>
  </si>
  <si>
    <t>Withdrawal ACH PAYPAL TYPE: INST XFER ID: PAYPALSI77 CO: PAYPAL NAME: JEFF TRUITT Entry Class Code: WEB ACH Trace Number: 091000013364611</t>
  </si>
  <si>
    <t>PAYMENT - THANK YOU REF #7473457M100XTMJG4</t>
  </si>
  <si>
    <t>Deposit Dividend Split Rate Annual Percentage Yield Earned 0.57% from 09/01/22 through 09/30/22</t>
  </si>
  <si>
    <t>Deposit Dividend Split Rate Annual Percentage Yield Earned 1.50% from 09/01/22 through 09/30/22</t>
  </si>
  <si>
    <t>LAKEWINDS - CHANHASSEN CHANHASSEN MN REF #2405523M1RBGPA3NT</t>
  </si>
  <si>
    <t>TOTAL WINE AND MORE CHANHASSEN MN REF #2411641M1RBGHN1P6</t>
  </si>
  <si>
    <t>Withdrawal ACH DISCOVER TYPE: E-PAYMENT ID: 2510020270 CO: DISCOVER NAME: TRUITT JEFF Entry Class Code: WEB ACH Trace Number: 091000013850616</t>
  </si>
  <si>
    <t>AMAZON MUSIC*143Y01AS1 888-802-3080 WA
QRX3X76TFTH</t>
  </si>
  <si>
    <t>WATERWERKS CAR WASH GOLDEN VALLEYMN</t>
  </si>
  <si>
    <t>Withdrawal Home Banking Transfer To Loan 02 REF # 1059557</t>
  </si>
  <si>
    <t>Payments Home Banking Transfer From Share 70 REF # 1059557</t>
  </si>
  <si>
    <t>All Seasons Garment Care Excelsior MN REF #2419304M202PEJEMV</t>
  </si>
  <si>
    <t>AMAZON.COM*142711AM2 AMZN.COM/BILLWA
74DN9X3VVV5</t>
  </si>
  <si>
    <t>AMAZON.COM*145PY9V80 AMZN.COM/BILLWA
3D6AHFQZWP1</t>
  </si>
  <si>
    <t>CUB FOODS #1636 SHOREWOOD MN REF #2442733M1M83VFFMZ</t>
  </si>
  <si>
    <t>D J*WALL-ST-JOURNAL 800-568-7625 MA REF #2469216M2347DXM5B</t>
  </si>
  <si>
    <t>DETELLOS PIZZA AND PASTA CHASKA MN REF #2419304M20009NKX7</t>
  </si>
  <si>
    <t>LYFT RIDE THU 2PM 855-865-9553 CA REF #2449215M1LVYNBTP0</t>
  </si>
  <si>
    <t>TRADER JOE'S #714 QPS MINNETONKA MN REF #2449398M35HW8HRHG</t>
  </si>
  <si>
    <t>AMZN MKTP US*141HK46X0 AMZN.COM/BILLWA
B70Q4O63PLQ</t>
  </si>
  <si>
    <t>AMZN MKTP US*142BF9SU0 AMZN.COM/BILLWA
2Q3KAXHWMT0</t>
  </si>
  <si>
    <t>HBRSUBSCRIPTION 800-988-0886 MA REF #2449215M3MLD7KK0Y</t>
  </si>
  <si>
    <t>MEDEXPRESS URGENT CARE MI888-2496365 WV REF #2475542M37Y0S230R</t>
  </si>
  <si>
    <t>Withdrawal ACH College Savings TYPE: ACH ID: 550895818 CO: College Savings Entry Class Code: PPD ACH Trace Number: 104910797900450</t>
  </si>
  <si>
    <t>Withdrawal ACH PAYPAL TYPE: INST XFER ID: PAYPALSI77 CO: PAYPAL NAME: JEFF TRUITT Entry Class Code: WEB ACH Trace Number: 091000018673868</t>
  </si>
  <si>
    <t>Draft 2322 Tracer XX0591</t>
  </si>
  <si>
    <t>Deposit ACH PAYPAL TYPE: TRANSFER ID: PAYPALSD11 CO: PAYPAL Entry Class Code: PPD ACH Trace Number: 091000013679728</t>
  </si>
  <si>
    <t>Credit</t>
  </si>
  <si>
    <t>Deposit ACH PAYPAL TYPE: TRANSFER ID: PAYPALSD11 CO: PAYPAL Entry Class Code: PPD ACH Trace Number: 091000014056102</t>
  </si>
  <si>
    <t>Withdrawal ACH MHCHILDCARELLC TYPE: DUES ID: 1824708198 CO: MHCHILDCARELLC Entry Class Code: PPD ACH Trace Number: 096010415005344</t>
  </si>
  <si>
    <t>AMZN MKTP US*149ED1UW1 AMZN.COM/BILLWA
6KBQB2VOYKN</t>
  </si>
  <si>
    <t>AMZN MKTP US*149H97I21 AMZN.COM/BILLWA
6HWXT52I7KX</t>
  </si>
  <si>
    <t>CUB FOODS #1636          SHOREWOOD    MN REF #2442733M5M83KVZTL</t>
  </si>
  <si>
    <t>Deposit ACH eBay TYPE: PAYOUT ID: 426XXXXXXX CO: eBay Entry Class Code: CCD ACH Trace Number: 091000014840845</t>
  </si>
  <si>
    <t>Withdrawal ACH PAYPAL TYPE: INST XFER ID: PAYPALSI77 CO: PAYPAL NAME: JEFF TRUITT Entry Class Code: WEB ACH Trace Number: 091000013118638</t>
  </si>
  <si>
    <t>Withdrawal ACH XCEL ENERGY-MN TYPE: XCELENERGY ID: 7411967505 CO: XCEL ENERGY-MN NAME: BCU POWERPLUS452322519 Entry Class Code: WEB ACH Trace Number: 091000011121840</t>
  </si>
  <si>
    <t>Deposit ACH EMPYREAN SOLUTIO TYPE: 193XXXXXXX ID: 5330903620 CO: EMPYREAN SOLUTIO Entry Class Code: PPD ACH Trace Number: 091000017177782</t>
  </si>
  <si>
    <t>Deposit ACH PAYPAL TYPE: TRANSFER ID: PAYPALSD11 CO: PAYPAL Entry Class Code: PPD ACH Trace Number: 091000011795553</t>
  </si>
  <si>
    <t>PAYPAL *NIKE.COM 402-935-7733 CA</t>
  </si>
  <si>
    <t>Withdrawal ACH PAYPAL TYPE: INST XFER ID: PAYPALSI77 CO: PAYPAL NAME: JEFF TRUITT Entry Class Code: WEB ACH Trace Number: 091000013962700</t>
  </si>
  <si>
    <t>AVO*ADVOCARE INTL        800-542-4800 TX REF #2469216M72Y9WT6JX</t>
  </si>
  <si>
    <t>Draft 2344 Tracer 990004968</t>
  </si>
  <si>
    <t>Withdrawal ACH PAYPAL TYPE: INST XFER ID: PAYPALSI77 CO: PAYPAL NAME: JEFF TRUITT Entry Class Code: WEB ACH Trace Number: 021000027635440</t>
  </si>
  <si>
    <t>Withdrawal ACH PAYPAL TYPE: INST XFER ID: PAYPALSI77 CO: PAYPAL NAME: JEFF TRUITT Entry Class Code: WEB ACH Trace Number: 091000015965848</t>
  </si>
  <si>
    <t>Withdrawal ACH PAYPAL TYPE: INST XFER ID: PAYPALSI77 CO: PAYPAL NAME: JEFF TRUITT Entry Class Code: WEB ACH Trace Number: 091000016081707</t>
  </si>
  <si>
    <t>AMZN MKTP US*1K78E8VI0 AMZN.COM/BILLWA
39XP2K6YQ0V</t>
  </si>
  <si>
    <t>AMZN MKTP US*1K0W255Y1 AMZN.COM/BILLWA
65YQ59OTXL7</t>
  </si>
  <si>
    <t>ARAMARK US BNK STD CONC MINNEAPOLIS MN</t>
  </si>
  <si>
    <t>LAKESHORE MARKET &amp; MORE  EXCELSIOR    MN REF #2405522M9RDQ88X67</t>
  </si>
  <si>
    <t>LAKEWINDS - CHANHASSEN   CHANHASSEN   MN REF #2405523M9RBGRPXF3</t>
  </si>
  <si>
    <t>PELOTON* MEMBERSHIP      HTTPSWWW.ONEPNY REF #2401134M90011K37Y</t>
  </si>
  <si>
    <t>PP*Red Sauce Rebellion   952-2344646  MN REF #2431033M804Z462L3</t>
  </si>
  <si>
    <t>SQ *BRAVIS MODERN STREET gosq.com     MN REF #2469216M92X5AKX9M</t>
  </si>
  <si>
    <t>ARAMARK US BNK STD CONC  MINNEAPOLIS  MN REF #2475542MBMAG6DLRW</t>
  </si>
  <si>
    <t>L2G*CARVERCO LIBRARIES CHANHASSEN MN
3837560670</t>
  </si>
  <si>
    <t>PAYPAL *PONCHO 4029357733 CA</t>
  </si>
  <si>
    <t>AMAZON.COM AMZN.COM/BILLWA
9B2QHIFDM2X</t>
  </si>
  <si>
    <t>AMZN MKTP US AMZN.COM/BILLWA
5YD7SCXPEYZ</t>
  </si>
  <si>
    <t>AMZN MKTP US AMZN.COM/BILLWA
62V8WH1IYQS</t>
  </si>
  <si>
    <t>AMZN MKTP US AMZN.COM/BILLWA
Y1RDJVROBG8</t>
  </si>
  <si>
    <t>AMZN MKTP US*1K7TM5102 AMZN.COM/BILLWA
P190ATLR9FN</t>
  </si>
  <si>
    <t>SP PONCHO HTTPSPONCHOOU NY        CREDIT REF #2449216MQ000Q21BQ</t>
  </si>
  <si>
    <t>TST* Dukes on 7          612-205-3286 MN REF #2469216MB2Y8NM1HM</t>
  </si>
  <si>
    <t>Withdrawal ACH PAYPAL TYPE: INST XFER ID: PAYPALSI77 CO: PAYPAL NAME: JEFF TRUITT Entry Class Code: WEB ACH Trace Number: 091000017085212</t>
  </si>
  <si>
    <t>Withdrawal ACH DISCOVER TYPE: E-PAYMENT ID: 2510020270 CO: DISCOVER NAME: TRUITT JEFF Entry Class Code: WEB ACH Trace Number: 091000011152533</t>
  </si>
  <si>
    <t>AMZN MKTP US*1K4L14YU1 AMZN.COM/BILLWA
79EUV7ZE2I1</t>
  </si>
  <si>
    <t>AMZN MKTP US*HT8OU0F41 AMZN.COM/BILLWA
3Y6OTJVE5NQ</t>
  </si>
  <si>
    <t>AMZN MKTP US*HT9E07FI1 AMZN.COM/BILLWA
17N95WRPDW2</t>
  </si>
  <si>
    <t>AMZN MKTP US*HT9PI73M0 AMZN.COM/BILLWA
4XSEW7GYT0E</t>
  </si>
  <si>
    <t>Deposit ACH eBay TYPE: PAYOUT ID: 426XXXXXXX CO: eBay Entry Class Code: CCD ACH Trace Number: 091000014583095</t>
  </si>
  <si>
    <t>STARBUCKS 800-782-7282   800-782-7282 WA REF #2444500MQ2X8DK4GR</t>
  </si>
  <si>
    <t>THE HOME DEPOT #2825     CHASKA       MN REF #2494301MQ09FPZY7Y</t>
  </si>
  <si>
    <t>Withdrawal ACH MHCHILDCARELLC TYPE: DUES ID: 1824708198 CO: MHCHILDCARELLC Entry Class Code: PPD ACH Trace Number: 096010410144412</t>
  </si>
  <si>
    <t>Withdrawal ACH PAYPAL TYPE: INST XFER ID: PAYPALSI77 CO: PAYPAL NAME: JEFF TRUITT Entry Class Code: WEB ACH Trace Number: 091000017805317</t>
  </si>
  <si>
    <t>CENTURYLINK SIMPLE       800-201-4099 LA REF #2444500MD2XD8JVV3</t>
  </si>
  <si>
    <t>Deposit ACH CARGILL INCORPOR TYPE: DIRECT DEP ID: 9111111101 CO: CARGILL INCORPOR Entry Class Code: PPD ACH Trace Number: 091000011861555</t>
  </si>
  <si>
    <t>Deposit ACH eBay TYPE: PAYOUT ID: 426XXXXXXX CO: eBay Entry Class Code: CCD ACH Trace Number: 091000010510658</t>
  </si>
  <si>
    <t>Deposit ACH TRINET TYPE: PAYROLL ID: 194XXXXXXX CO: TRINET Entry Class Code: PPD ACH Trace Number: 041001037836288</t>
  </si>
  <si>
    <t>HAZELWOOD FOOD &amp; DRINK -TEXCELSIOR    MN REF #2401339MD019VAVEH</t>
  </si>
  <si>
    <t>LAKEWINDS - CHANHASSEN   CHANHASSEN   MN REF #2405523MERBGRTQX7</t>
  </si>
  <si>
    <t>MOTORWERKS BMW           BLOOMINGTON  MN REF #2443106MEJGA8WF9F</t>
  </si>
  <si>
    <t>PAYMENT - THANK YOU REF #7473457MF00XTMJG8</t>
  </si>
  <si>
    <t>AMZN MKTP US*HT2W10G51 AMZN.COM/BILLWA
64TWC6O7SWJ</t>
  </si>
  <si>
    <t>AMZN MKTP US*HT4GM25B0 AMZN.COM/BILLWA
7KRLS2JM0ZA</t>
  </si>
  <si>
    <t>Withdrawal ACH BARCLAYCARD US TYPE: CREDITCARD ID: 2510407970 CO: BARCLAYCARD US NAME: BRITNEY TRUITT Entry Class Code: WEB ACH Trace Number: 026002574435990</t>
  </si>
  <si>
    <t>Withdrawal ACH PAYPAL TYPE: INST XFER ID: PAYPALSI77 CO: PAYPAL NAME: JEFF TRUITT Entry Class Code: WEB ACH Trace Number: 091000011148720</t>
  </si>
  <si>
    <t>Withdrawal ACH AMERICAN FAMILY TYPE: WEBPAYMENT ID: PEBP075965 CO: AMERICAN FAMILY NAME: Authorized by Customer Entry Class Code: WEB ACH Trace Number: 021000029422241</t>
  </si>
  <si>
    <t>AMZN MKTP US*HT0EY1M41 AMZN.COM/BILLWA
PBSYCHDFMZ4</t>
  </si>
  <si>
    <t>PAT'S TAP MINNEAPOLIS MN</t>
  </si>
  <si>
    <t>AMZN MKTP US AMZN.COM/BILLWA
3DRHYRX6PIZ</t>
  </si>
  <si>
    <t>AMZN MKTP US AMZN.COM/BILLWA
5TMT9AMHWVU</t>
  </si>
  <si>
    <t>AMZN MKTP US AMZN.COM/BILLWA
734IPTRTNA1</t>
  </si>
  <si>
    <t>COUNTRY CLUB LANES       EXCELSIOR    MN REF #2413829MG60T2JMVN</t>
  </si>
  <si>
    <t>DELTA AIR   0062343192678DELTA.COM    CA REF #2471705MGTQXWA56M</t>
  </si>
  <si>
    <t>Deposit ACH eBay TYPE: PAYOUT ID: 426XXXXXXX CO: eBay Entry Class Code: CCD ACH Trace Number: 091000013705985</t>
  </si>
  <si>
    <t>RESERVATION HILTONBOS    8449963737   CA REF #2449215MFLS4BV437</t>
  </si>
  <si>
    <t>SPEEDWAY 04232           MINNEAPOLIS  MN REF #2413746MH019J0R46</t>
  </si>
  <si>
    <t>Deposit ACH eBay TYPE: PAYOUT ID: 426XXXXXXX CO: eBay Entry Class Code: CCD ACH Trace Number: 091000012492957</t>
  </si>
  <si>
    <t>LUNDS&amp;BYERLYS HYW7M      MINNETONKA   MN REF #2442733MHM83Q2SZA</t>
  </si>
  <si>
    <t>Prime Video*HT4ZJ5U30    888-802-3080 WA REF #2469216MJ334TVTE7</t>
  </si>
  <si>
    <t>Withdrawal ACH PAYPAL TYPE: INST XFER ID: PAYPALSI77 CO: PAYPAL NAME: JEFF TRUITT Entry Class Code: WEB ACH Trace Number: 091000010794544</t>
  </si>
  <si>
    <t>Withdrawal ACH AMEX EPAYMENT TYPE: ACH PMT ID: 0005000008 CO: AMEX EPAYMENT NAME: Britney Truitt Entry Class Code: WEB ACH Trace Number: 091000017301358</t>
  </si>
  <si>
    <t>Withdrawal ACH NORDSTROM TYPE: PAYMENT ID: 9044022131 CO: NORDSTROM NAME: Jeff Truitt Jeff Truit Entry Class Code: WEB ACH Trace Number: 043305133030460</t>
  </si>
  <si>
    <t>Withdrawal ACH VENMO TYPE: PAYMENT ID: 326XXXXXXX CO: VENMO NAME: BRITNEY TRUITT Entry Class Code: WEB ACH Trace Number: 091000016342324</t>
  </si>
  <si>
    <t>CUB FOODS  1636          952-380-9900 MN REF #2423168MJ2DES5KL1</t>
  </si>
  <si>
    <t>DOMINO'S 1931            EXCELSIOR    MN REF #2444500MJEHXHVYX4</t>
  </si>
  <si>
    <t>SP DR. DENNIS GROSS      DRDENNISGROSSNY REF #2401134MJ0012S6DK</t>
  </si>
  <si>
    <t>STARBUCKS 800-782-7282   800-782-7282 WA REF #2444500MJ2X8PHAGE</t>
  </si>
  <si>
    <t>TST* Red Cow - 50th St   612-767-4411 MN REF #2469216MJ339S9B5H</t>
  </si>
  <si>
    <t>Withdrawal ACH MHCHILDCARELLC TYPE: DUES ID: 1824708198 CO: MHCHILDCARELLC Entry Class Code: PPD ACH Trace Number: 096010411266341</t>
  </si>
  <si>
    <t>Withdrawal ACH MN DIR ACH TYPE: CONTRIB ID: 2416007162 CO: MN DIR ACH NAME: 836 89742742601 Entry Class Code: WEB ACH Trace Number: 011001234740135</t>
  </si>
  <si>
    <t>Withdrawal ACH Ridgeview Medica TYPE: ONLINE PAY ID: RF00059954 CO: Ridgeview Medica NAME: JEFF TRUITT Entry Class Code: WEB ACH Trace Number: 063112145568432</t>
  </si>
  <si>
    <t>AMZN MKTP US*H86NM8TE0 AMZN.COM/BILLWA
3N5VC289HWY</t>
  </si>
  <si>
    <t>AMZN MKTP US*H80YD0GF0 AMZN.COM/BILLWA
7AMVK2D2VM8</t>
  </si>
  <si>
    <t>Draft 2347 Tracer 990000442</t>
  </si>
  <si>
    <t>KWIK TRIP  40200004028   CHANHASSEN   MN REF #2416407MLL3HMFNP7</t>
  </si>
  <si>
    <t>SPEEDWAY 04366           EXCELSIOR    MN REF #2413746MM01D58P4W</t>
  </si>
  <si>
    <t>WALGREENS #12434         EXCELSIOR    MN REF #2444500MM00W294JT</t>
  </si>
  <si>
    <t>BONFES PLUMBING HEATING A651-3326633  MN REF #2427539MMS66E823V</t>
  </si>
  <si>
    <t>Netflix.com              866-5797172  CA REF #2490641MM4KVP914L</t>
  </si>
  <si>
    <t>Withdrawal ACH CITY OF CHANHASS TYPE: UTIL BILL ID: 1410885331 CO: CITY OF CHANHASS Entry Class Code: PPD ACH Trace Number: 091901960164998</t>
  </si>
  <si>
    <t>Withdrawal ACH PAYPAL TYPE: INST XFER ID: PAYPALSI77 CO: PAYPAL NAME: JEFF TRUITT Entry Class Code: WEB ACH Trace Number: 091000011928434</t>
  </si>
  <si>
    <t>Withdrawal ACH VENMO TYPE: PAYMENT ID: 326XXXXXXX CO: VENMO NAME: BRITNEY TRUITT Entry Class Code: WEB ACH Trace Number: 091000014748126</t>
  </si>
  <si>
    <t>AMZN MKTP US*HT39A9R62 AMZN.COM/BILLWA
2OZS5E3AFEP</t>
  </si>
  <si>
    <t>AMZN MKTP US*H80NG8QI1 AMZN.COM/BILLWA
3QGKXROMAWI</t>
  </si>
  <si>
    <t>AMZN MKTP US*H84PA2780 AMZN.COM/BILLWA
69V9URG5OJL</t>
  </si>
  <si>
    <t>ARBORETUM APPLEHOUSE     CHASKA       MN REF #2413829MP2M7WMM1H</t>
  </si>
  <si>
    <t>ARBORETUM APPLEHOUSE     CHASKA       MN REF #2413829MP2M7WMM1T</t>
  </si>
  <si>
    <t>CUB FOODS #5704          MINNETONKA   MN REF #2442733MPM83LJADA</t>
  </si>
  <si>
    <t>Deposit ACH CARGILL INCORPOR TYPE: 004XXXXXXX ID: 2410177680 CO: CARGILL INCORPOR Entry Class Code: CTX ACH Trace Number: 111000022138100</t>
  </si>
  <si>
    <t>LAKESHORE MARKET &amp; MORE  EXCELSIOR    MN REF #2405522MRRDQ8F0GE</t>
  </si>
  <si>
    <t>LS SOUTH LAKE CYCLE      952-4743179  MN REF #2449216MP001A7HND</t>
  </si>
  <si>
    <t>SQ *JES NATURALS         Excelsior    MN REF #2469216MP2XVQPJPP</t>
  </si>
  <si>
    <t>Withdrawal Home Banking Transfer To Share 12 REF # 1372170</t>
  </si>
  <si>
    <t>BUDDY BOY FINE BARBEQUE  MINNETRISTA  MN REF #2403724MRS66MFQX1</t>
  </si>
  <si>
    <t>Draft 2348 Tracer 990001750</t>
  </si>
  <si>
    <t>check for lily college</t>
  </si>
  <si>
    <t>PAYPAL *PELOTONINTE 402-935-7733 CA</t>
  </si>
  <si>
    <t>TST* Olives Fresh Excels 612-232-4677 MN REF #2469216MR2Y6EFNZ4</t>
  </si>
  <si>
    <t>Withdrawal ACH PAYPAL TYPE: INST XFER ID: PAYPALSI77 CO: PAYPAL NAME: JEFF TRUITT Entry Class Code: WEB ACH Trace Number: 091000018365904</t>
  </si>
  <si>
    <t>2023 GRANDMAS MARATHON   HTTPSRACEROSTMA REF #2449216MS0006A6KP</t>
  </si>
  <si>
    <t>TST* MACANDA WAYZATA MN</t>
  </si>
  <si>
    <t>Withdrawal ACH MHCHILDCARELLC TYPE: DUES ID: 1824708198 CO: MHCHILDCARELLC Entry Class Code: PPD ACH Trace Number: 096010419532301</t>
  </si>
  <si>
    <t>Withdrawal ACH Ridgeview Medica TYPE: ONLINE PAY ID: RF00059954 CO: Ridgeview Medica NAME: JEFF TRUITT Entry Class Code: WEB ACH Trace Number: 063112145781214</t>
  </si>
  <si>
    <t>Withdrawal ACH TARGET CARD SRVC TYPE: AUTO PYMT ID: 1411721813 CO: TARGET CARD SRVC NAME: TRUITT JEFFREY B Entry Class Code: WEB ACH Trace Number: 091000012746854</t>
  </si>
  <si>
    <t>AMAZON.COM*H07VD9120 AMZN.COM/BILLWA
2L2QC9RADTX</t>
  </si>
  <si>
    <t>MPLSMETERSAPP 8090 612-3437275 MN</t>
  </si>
  <si>
    <t>STARBUCKS 800-782-7282   800-782-7282 WA REF #2444500MS2X8WSM3F</t>
  </si>
  <si>
    <t>Withdrawal ACH DISCOVER TYPE: E-PAYMENT ID: 2510020270 CO: DISCOVER NAME: TRUITT JEFF Entry Class Code: WEB ACH Trace Number: 091000016240370</t>
  </si>
  <si>
    <t>AMZN MKTP US*H017V0J81 AMZN.COM/BILLWA
73L2ADNLMCN</t>
  </si>
  <si>
    <t>AMZN MKTP US*H80ZH1612 AMZN.COM/BILLWA
DJKC5O0T4SQ</t>
  </si>
  <si>
    <t>Deposit ACH CARGILL INCORPOR TYPE: DIRECT DEP ID: 9111111101 CO: CARGILL INCORPOR Entry Class Code: PPD ACH Trace Number: 091000016886658</t>
  </si>
  <si>
    <t>Powerplus - Ending in 8s46</t>
  </si>
  <si>
    <t>Draft 2350 Tracer XX1247</t>
  </si>
  <si>
    <t>KWIK TRIP  40200004028   CHANHASSEN   MN REF #2416407MVL3HN4GKV</t>
  </si>
  <si>
    <t>PAYPAL *LLBEANINC</t>
  </si>
  <si>
    <t>Withdrawal ACH PAYPAL TYPE: INST XFER ID: PAYPALSI77 CO: PAYPAL NAME: JEFF TRUITT Entry Class Code: WEB ACH Trace Number: 091000011436195</t>
  </si>
  <si>
    <t>LAKEWINDS - CHANHASSEN   CHANHASSEN   MN REF #2405523MXRBGMQ4S2</t>
  </si>
  <si>
    <t>TST* Demi                Minneapolis  MN REF #2469216MW30XDFR0D</t>
  </si>
  <si>
    <t>Withdrawal ACH PAYPAL TYPE: INST XFER ID: PAYPALSI77 CO: PAYPAL NAME: JEFF TRUITT Entry Class Code: WEB ACH Trace Number: 021000024502023</t>
  </si>
  <si>
    <t>D J*WALL-ST-JOURNAL      800-568-7625 MA REF #2469216MY32JBYSSE</t>
  </si>
  <si>
    <t>Deposit ACH TRINET TYPE: PAYROLL ID: 194XXXXXXX CO: TRINET Entry Class Code: PPD ACH Trace Number: 041001034794180</t>
  </si>
  <si>
    <t>SPEEDWAY 04551           SAVAGE       MN REF #2413746MZ01A1HT27</t>
  </si>
  <si>
    <t>TST* Nautical Bowls SavagSavage       MN REF #2469216MY32T2QV3X</t>
  </si>
  <si>
    <t>AMZN MKTP US*H26AW6C00 AMZN.COM/BILLWA
Z2LB59HU27V</t>
  </si>
  <si>
    <t>Deposit Dividend Split Rate Annual Percentage Yield Earned 0.59% from 10/01/22 through 10/31/22</t>
  </si>
  <si>
    <t>LUNDS&amp;BYERLYS CHANH      CHANHASSEN   MN REF #2442733MZM83BTB26</t>
  </si>
  <si>
    <t>PAYPAL *LLBEANINC 402-935-7733 CA</t>
  </si>
  <si>
    <t>PRESCHOOL SMILES         187-738-1827 MN REF #2449215MZLY607TY2</t>
  </si>
  <si>
    <t>SHOREWOOD TRUE VALUE     EXCELSIOR    MN REF #2480197N0BMD9L0DB</t>
  </si>
  <si>
    <t>Withdrawal ACH PAYPAL TYPE: INST XFER ID: PAYPALSI77 CO: PAYPAL NAME: JEFF TRUITT Entry Class Code: WEB ACH Trace Number: 091000016276647</t>
  </si>
  <si>
    <t>PAYMENT - THANK YOU REF #7473457N100XTMJG6</t>
  </si>
  <si>
    <t>Withdrawal ACH VENMO TYPE: PAYMENT ID: 326XXXXXXX CO: VENMO NAME: BRITNEY TRUITT Entry Class Code: WEB ACH Trace Number: 091000014898671</t>
  </si>
  <si>
    <t>AMAZON MUSIC*H084I3K71 888-802-3080 WA
37D15L8093J</t>
  </si>
  <si>
    <t>AMZN MKTP US*H27HT74E0 AMZN.COM/BILLWA
77T8Q73PXZG</t>
  </si>
  <si>
    <t>KWIK TRIP 47700004770 ST BONIFACIUSMN REF #2416407N0L3HMR65W</t>
  </si>
  <si>
    <t>MACKENTHUN`S MEATS &amp; DELISAINT BONIFACMN REF #2455194N00VYXL04J</t>
  </si>
  <si>
    <t>Withdrawal ACH College Savings TYPE: ACH ID: 550895818 CO: College Savings Entry Class Code: PPD ACH Trace Number: 104910799340183</t>
  </si>
  <si>
    <t>Withdrawal ACH MHCHILDCARELLC TYPE: DUES ID: 1824708198 CO: MHCHILDCARELLC Entry Class Code: PPD ACH Trace Number: 096010413704291</t>
  </si>
  <si>
    <t>Withdrawal Home Banking Transfer To Loan 02 REF # 1497826</t>
  </si>
  <si>
    <t>Payments Home Banking Transfer From Share 70 REF # 1497826</t>
  </si>
  <si>
    <t>Draft 2351 Tracer XX3044</t>
  </si>
  <si>
    <t>AMAZON.COM*H20SD2N80 AMZN.COM/BILLWA
1K4Z7U6G5EF</t>
  </si>
  <si>
    <t>AMZN MKTP US*H080520F2 AMZN.COM/BILLWA
1NY2CKBUDQ1</t>
  </si>
  <si>
    <t>CARIBOU COFFEE CO #1164 EXCELSIOR MN REF #2444500N1EJ1P5RQW</t>
  </si>
  <si>
    <t>L2G*CARVERCO LIBRARIES 95CHANHASSEN MN REF #2469216N134DB50DB</t>
  </si>
  <si>
    <t>AMZN MKTP US AMZN.COM/BILLWA
27AXUA0PXO9</t>
  </si>
  <si>
    <t>AMZN MKTP US AMZN.COM/BILLWA
2DCOLZX1WPR</t>
  </si>
  <si>
    <t>AMZN MKTP US AMZN.COM/BILLWA
68R7W8IUX7W</t>
  </si>
  <si>
    <t>Deposit ACH CARGILL INCORPOR TYPE: 004XXXXXXX ID: 2410177680 CO: CARGILL INCORPOR Entry Class Code: CTX ACH Trace Number: 111000026133521</t>
  </si>
  <si>
    <t>HBRSUBSCRIPTION 800-988-0886 MA REF #2449215N2LTX78S7E</t>
  </si>
  <si>
    <t>Withdrawal ACH VENMO TYPE: PAYMENT ID: 326XXXXXXX CO: VENMO NAME: BRITNEY TRUITT Entry Class Code: WEB ACH Trace Number: 091000012718247</t>
  </si>
  <si>
    <t>Withdrawal ACH XCEL ENERGY-MN TYPE: XCELENERGY ID: 7411967505 CO: XCEL ENERGY-MN NAME: BCU POWERPLUS456049222 Entry Class Code: WEB ACH Trace Number: 091000016204601</t>
  </si>
  <si>
    <t>HM.COM 855-4667467 NY REF #2420429N401BVGD14</t>
  </si>
  <si>
    <t>JIMMY JOHNS - 724 - E- 952-401-4321 MN REF #2426979N3EJ3E7WX5</t>
  </si>
  <si>
    <t>AMZN MKTP US*H20SA06F0 AMZN.COM/BILLWA
3ZN1OCZ7WZ7</t>
  </si>
  <si>
    <t>AMZN MKTP US*H241M0XB1 AMZN.COM/BILLWA
40RJBCW7VG2</t>
  </si>
  <si>
    <t>AMAZON.COM*H24MR0U50 AMZN.COM/BILLWA
1OJ04719APA</t>
  </si>
  <si>
    <t>CUB FOODS #1636 SHOREWOOD MN REF #2442733N4M83VK58E</t>
  </si>
  <si>
    <t>CUB FOODS #1636 SHOREWOOD MN REF #2442733N5M83P03MR</t>
  </si>
  <si>
    <t>SPEEDWAY 04366 EXCELSIOR MN REF #2413746N601AAZ1F9</t>
  </si>
  <si>
    <t>BARNES&amp;NOBLE PAPERSOURCE 800-843-2665 NY REF #2413746N70197Q8HX</t>
  </si>
  <si>
    <t>CHASKA 952-448-5112 MN REF #2423168N62DD8M50T</t>
  </si>
  <si>
    <t>STAGES THEATRE COMPANY 952-979-1108 MN REF #2463269N6EJ46MK7T</t>
  </si>
  <si>
    <t>WENDY S 419 CHANHASSEN MN REF #2444500N62XK3JHBS</t>
  </si>
  <si>
    <t>Withdrawal ACH VENMO TYPE: PAYMENT ID: 326XXXXXXX CO: VENMO NAME: BRITNEY TRUITT Entry Class Code: WEB ACH Trace Number: 091000014700996</t>
  </si>
  <si>
    <t>CSC SERVICEWORK CHANHASSEN MN REF #2405523N8BM9S54G8</t>
  </si>
  <si>
    <t>CUB FOODS SSS CHANHASSEN CREDIT REF #7442733N6M83BVWKY</t>
  </si>
  <si>
    <t>DUNKIN #342230 Q35 BOSTON MA</t>
  </si>
  <si>
    <t>DUNKIN #342231 Q35 BOSTON MA</t>
  </si>
  <si>
    <t>SPEEDWAY 04366 EXCELSIOR MN REF #2413746N801DE6EQR</t>
  </si>
  <si>
    <t>Withdrawal ACH MHCHILDCARELLC TYPE: DUES ID: 1824708198 CO: MHCHILDCARELLC Entry Class Code: PPD ACH Trace Number: 096010417768467</t>
  </si>
  <si>
    <t>WPY*FIREBOX REDWOOD CITY MN REF #2469216N72Z8GY7QN</t>
  </si>
  <si>
    <t>Withdrawal ACH DISCOVER TYPE: E-PAYMENT ID: 2510020270 CO: DISCOVER NAME: TRUITT JEFF Entry Class Code: WEB ACH Trace Number: 091000017669318</t>
  </si>
  <si>
    <t>Deposit ACH CARGILL INCORPOR TYPE: DIRECT DEP ID: 9111111101 CO: CARGILL INCORPOR Entry Class Code: PPD ACH Trace Number: 091000017986445</t>
  </si>
  <si>
    <t>PAYPAL *JCPENNEY.CO 402-935-7733 CA</t>
  </si>
  <si>
    <t>PELOTON* MEMBERSHIP HTTPSWWW.ONEPNY REF #2401134N8000X6NH4</t>
  </si>
  <si>
    <t>RVT*MTKA PUB SCHLS-WEB 952-4015000 MN REF #2490641N84M58868N</t>
  </si>
  <si>
    <t>WHOLEFDS WOB 10233 WOBURN MA</t>
  </si>
  <si>
    <t>BCS*MINNETONKA COMMUNITY 952-401-6800 MN REF #2413746NA01QVQQNA</t>
  </si>
  <si>
    <t>CUB FOODS #1636 SHOREWOOD MN REF #2442733N9M83K58MP</t>
  </si>
  <si>
    <t>CUB FOODS #1636 SHOREWOOD MN REF #2442733N9M83K5EW7</t>
  </si>
  <si>
    <t>ANNTAYLOR LOFT.COM #61 800-342-5266 CT REF #2443106NA2DALLSBP</t>
  </si>
  <si>
    <t>DELAWARE NORTH LOGAN F&amp;B EAST BOSTON MA</t>
  </si>
  <si>
    <t>TST* DUKES ON 7 612-205-3286 MN
APPLE PAY ENDING IN 3050
00017403009290082903AA</t>
  </si>
  <si>
    <t>AMAZON.COM*HB0RS5DY1 AMZN.COM/BILLWA
5XMPKKXAYG3</t>
  </si>
  <si>
    <t>CENTURYLINK SIMPLE 800-201-4099 LA REF #2444500NQ2XFB6RPT</t>
  </si>
  <si>
    <t>Deposit ACH TRINET TYPE: PAYROLL ID: 194XXXXXXX CO: TRINET Entry Class Code: PPD ACH Trace Number: 041001032900335</t>
  </si>
  <si>
    <t>HM.COM 855-4667 CREDIT REF #7420429ND01GD3GSL</t>
  </si>
  <si>
    <t>IVS VENDING MASSAGE HOPKINS MN REF #2405523NDBLVALY3E</t>
  </si>
  <si>
    <t>IVS VENDING MASSAGE HOPKINS MN REF #2405523NDBLVALYAM</t>
  </si>
  <si>
    <t>LULULEMON SHOPS@WEST ST LOUIS PARKMN REF #2469216ND335X5GJK</t>
  </si>
  <si>
    <t>Prime Video*HB8FP45O1 888-802-3080 WA REF #2469216NQ32VL2797</t>
  </si>
  <si>
    <t>AMZN MKTP US AMZN.COM/BILLWA
4C6HJGFDNAO</t>
  </si>
  <si>
    <t>BALSAM HILL US 888-552-2572 CA REF #2449215NDMLLMJWDK</t>
  </si>
  <si>
    <t>BIG BOWL RIDGEDALE MINNETONKA MN REF #2443106NE2M8ZYM7R</t>
  </si>
  <si>
    <t>Deposit ACH connectyourcare TYPE: SVB-CLAIMS ID: E942875288 CO: connectyourcare Entry Class Code: PPD ACH Trace Number: 121140393237448</t>
  </si>
  <si>
    <t>HILTON GARDEN INN BOSTON EAST BOSTON MA REF #2427539NDS66LR9LJ</t>
  </si>
  <si>
    <t>WENDY S 402 MINNETONKA MN REF #2444500ND2XKBNMVV</t>
  </si>
  <si>
    <t>Withdrawal ACH PAYPAL TYPE: INST XFER ID: PAYPALSI77 CO: PAYPAL NAME: JEFF TRUITT Entry Class Code: WEB ACH Trace Number: 091000017805072</t>
  </si>
  <si>
    <t>Withdrawal ACH AMERICAN FAMILY TYPE: WEBPAYMENT ID: PEBP075965 CO: AMERICAN FAMILY NAME: Authorized by Customer Entry Class Code: WEB ACH Trace Number: 021000021488418</t>
  </si>
  <si>
    <t>CHIPOTLE ONLINE CHIPOTLE.COM CA REF #2443106NF2DKJ4VR9</t>
  </si>
  <si>
    <t>CHIPOTLE ONLINE CHIPOTLE.COM CA REF #2443106NF2DYKM1PX</t>
  </si>
  <si>
    <t>LULULEMONCOM* 877-263-9300 CA REF #2469216NE340BLETM</t>
  </si>
  <si>
    <t>Withdrawal ACH MHCHILDCARELLC TYPE: DUES ID: 1824708198 CO: MHCHILDCARELLC Entry Class Code: PPD ACH Trace Number: 096010419404087</t>
  </si>
  <si>
    <t>Withdrawal ACH PAYPAL TYPE: INST XFER ID: PAYPALSI77 CO: PAYPAL NAME: JEFF TRUITT Entry Class Code: WEB ACH Trace Number: 021000026457709</t>
  </si>
  <si>
    <t>PAYMENT - THANK YOU REF #7473457NG00XTMJG7</t>
  </si>
  <si>
    <t>AMAZON.COM*HI9F62JP0 AMZNAMZN.COM/BILLWA REF #2443106NF2DYS0Z1D</t>
  </si>
  <si>
    <t>FOSS SWIM SCHOOL HTTPSWWW.FOSSMN REF #2401134NF0015R0NY</t>
  </si>
  <si>
    <t>MCDONALD'S F6591 CHANHASSEN MN
APPLE PAY ENDING IN 3050</t>
  </si>
  <si>
    <t>AMAZON.COM*HB2XT6252 AMZNAMZN.COM/BILLWA REF #2443106NG2DKAYHVY</t>
  </si>
  <si>
    <t>Prime Video*HB4JG6D42 888-802-3080 WA REF #2469216NH35Y654ZJ</t>
  </si>
  <si>
    <t>Withdrawal ACH PAYPAL TYPE: INST XFER ID: PAYPALSI77 CO: PAYPAL NAME: JEFF TRUITT Entry Class Code: WEB ACH Trace Number: 091000018141757</t>
  </si>
  <si>
    <t>KWIK TRIP 40200004028 CHANHASSEN MN REF #2416407NHL3HES8GQ</t>
  </si>
  <si>
    <t>Prime Video 888-802- CREDIT REF #7469216NH36DEKA0T</t>
  </si>
  <si>
    <t>Prime Video 888-802- CREDIT REF #7469216NH36DVPJP5</t>
  </si>
  <si>
    <t>Withdrawal ACH CPENERGY MNGCO TYPE: MGC ACH EB ID: 176051140S CO: CPENERGY MNGCO NAME: CENTERPOINT ENERGY OTP Entry Class Code: WEB ACH Trace Number: 021000029674509</t>
  </si>
  <si>
    <t>Withdrawal ACH MN DIR ACH TYPE: CONTRIB ID: 2416007162 CO: MN DIR ACH NAME: 872 89742742601 Entry Class Code: WEB ACH Trace Number: 011001232667657</t>
  </si>
  <si>
    <t>Withdrawal ACH PAYPAL TYPE: INST XFER ID: PAYPALSI77 CO: PAYPAL NAME: JEFF TRUITT Entry Class Code: WEB ACH Trace Number: 091000013537225</t>
  </si>
  <si>
    <t>Withdrawal ACH PAYPAL TYPE: INST XFER ID: PAYPALSI77 CO: PAYPAL NAME: JEFF TRUITT Entry Class Code: WEB ACH Trace Number: 091000016018093</t>
  </si>
  <si>
    <t>Withdrawal at ATM #000000359799 455 POND PROMENADE CHANHASSEN MN</t>
  </si>
  <si>
    <t>AMZN MKTP US*HI28K1K90 AMZN.COM/BILLWA
58EEP5EMIXR</t>
  </si>
  <si>
    <t>DELTA AIR 0062349191324DELTA.COM CA REF #2471705NKTD89P26Y</t>
  </si>
  <si>
    <t>Deposit ACH eBay TYPE: PAYOUT ID: 426XXXXXXX CO: eBay Entry Class Code: CCD ACH Trace Number: 091000012604238</t>
  </si>
  <si>
    <t>KOWALSKI'S EXCELSIO EAGAN MN REF #2442733NKLM8PBDJR</t>
  </si>
  <si>
    <t>LYFT RIDE THU 2PM 855-865-9553 CA REF #2449215NJMN9T7V6W</t>
  </si>
  <si>
    <t>TST* Olives Fresh Excels 612-232-4677 MN REF #2469216NK2Y4D00JV</t>
  </si>
  <si>
    <t>1TARGET CENTER MINNEAPOLIS MN REF #2494300NLW5W9GER3</t>
  </si>
  <si>
    <t>BONFES PLUMBING HEATING A651-3326633 MN REF #2427539NLS66G0VL5</t>
  </si>
  <si>
    <t>COUNTRY CLUB LANES EXCELSIOR MN REF #2413829NL60T2JMV2</t>
  </si>
  <si>
    <t>MISTER CAR WASH #606 - ST LOUIS PARKMN</t>
  </si>
  <si>
    <t>NETFLIX.COM NETFLIX.COM CA REF #2469216NL2Z3DXQB9</t>
  </si>
  <si>
    <t>SPEEDWAY 04095 CHASKA MN REF #2413746NM0186SK0J</t>
  </si>
  <si>
    <t>TST* PUB 819 HOPKINS MN
00003508009419325091AA</t>
  </si>
  <si>
    <t>TST* Red Rabbit - MinneapMinneapolis MN REF #2469216NL2Z1RJ9FG</t>
  </si>
  <si>
    <t>Withdrawal ACH CITY OF CHANHASS TYPE: UTIL BILL ID: 1410885331 CO: CITY OF CHANHASS Entry Class Code: PPD ACH Trace Number: 091901960169241</t>
  </si>
  <si>
    <t>AMAZON.COM AMZN.COM/BILL AMZN.COM/BILLWA REF #7443106NM2D9SQVH8</t>
  </si>
  <si>
    <t>AMZN MKTP US*HW2656331 AMZN.COM/BILLWA
E1QFNSTXDOJ</t>
  </si>
  <si>
    <t>AMZN MKTP US*HW9HO4O61 AMZN.COM/BILLWA
6P2YJNWE12A</t>
  </si>
  <si>
    <t>AVO*ADVOCARE INTL 800-542-4800 TX REF #2469216NM2ZNAX05M</t>
  </si>
  <si>
    <t>B RAMP 8066 MINNEAPOLIS MN REF #2478930NM1W88WYDS</t>
  </si>
  <si>
    <t>PRIMP EXCELSIOR EXCELSIOR MN REF #2449398NNBLT5WKSR</t>
  </si>
  <si>
    <t>THE HOME DEPOT #2825 CHASKA MN REF #2494301NM09FT2JMB</t>
  </si>
  <si>
    <t>AMZN Mktp US*HW6R211O0 Amzn.com/billWA REF #2469216NN30X2XBZG</t>
  </si>
  <si>
    <t>BCS*MINNETONKA COMMUNITY 952-401-6800 MN REF #2413746NP01KZHP18</t>
  </si>
  <si>
    <t>BCS*MINNETONKA COMMUNITY 952-401-6800 MN REF #2413746NP01KZHP3V</t>
  </si>
  <si>
    <t>BCS*MINNETONKA COMMUNITY 952-401-6800 MN REF #2413746NP01KZHP97</t>
  </si>
  <si>
    <t>Deposit ACH PAYPAL TYPE: TRANSFER ID: PAYPALSD11 CO: PAYPAL Entry Class Code: PPD ACH Trace Number: 091000010140406</t>
  </si>
  <si>
    <t>Deposit Home Banking Transfer From Share 70 REF # 1821628</t>
  </si>
  <si>
    <t>KOWALSKI'S EXCELSIO EAGAN MN REF #2442733NNLM8KZFMK</t>
  </si>
  <si>
    <t>LAKEWINDS - CHANHASSEN CHANHASSEN MN REF #2405523NPRBGNX0DK</t>
  </si>
  <si>
    <t>TARGET 00008623 CHANHASSEN MN REF #2416407NN2LRFZQ1F</t>
  </si>
  <si>
    <t>WALGREENS #9728 CHANHASSEN MN REF #2444500NP00ZMYEHG</t>
  </si>
  <si>
    <t>Withdrawal ACH MHCHILDCARELLC TYPE: DUES ID: 1824708198 CO: MHCHILDCARELLC Entry Class Code: PPD ACH Trace Number: 096010416456818</t>
  </si>
  <si>
    <t>Withdrawal ACH PAYPAL TYPE: INST XFER ID: PAYPALSI77 CO: PAYPAL NAME: JEFF TRUITT Entry Class Code: WEB ACH Trace Number: 091000015326865</t>
  </si>
  <si>
    <t>Withdrawal Home Banking Transfer To Share 12 REF # 1821628</t>
  </si>
  <si>
    <t>All Seasons Garment Care Excelsior MN REF #2419304NR02XPW5Q5</t>
  </si>
  <si>
    <t>ANNTAYLOR LOFT.COM #61 800-342-5266 CT REF #2443106NP2D9ZET74</t>
  </si>
  <si>
    <t>BCS*MINNETONKA COMMUNITY 952-401-6800 MN REF #2413746NR01SKZEAR</t>
  </si>
  <si>
    <t>BCS*MINNETONKA COMMUNITY EXCELSIOR MN REF #7413746NP01RMXD0Y</t>
  </si>
  <si>
    <t>Deposit ACH CARGILL INCORPOR TYPE: DIRECT DEP ID: 9111111101 CO: CARGILL INCORPOR Entry Class Code: PPD ACH Trace Number: 091000014980982</t>
  </si>
  <si>
    <t>Deposit ACH EMPYREAN SOLUTIO TYPE: 193XXXXXXX ID: 5330903620 CO: EMPYREAN SOLUTIO Entry Class Code: PPD ACH Trace Number: 091000017234607</t>
  </si>
  <si>
    <t>Kids Hair - CH Chanhassen MN REF #2479338NP00XHRVA6</t>
  </si>
  <si>
    <t>SP UNRL.CO UNRL.MYSHOPIFMN REF #2449216NP001Q1S4E</t>
  </si>
  <si>
    <t>SPEEDWAY 04186 RICHFIELD MN REF #2413746NR0189GSFT</t>
  </si>
  <si>
    <t>VINEYARD VINES LLC 800-892-4982 CT REF #2449215NRLW1L5D89</t>
  </si>
  <si>
    <t>CHICKEN N PICKLE OVERLAND PARKKS</t>
  </si>
  <si>
    <t>JJ`S POKE EDINA MN REF #2445351NR0VYFTG78</t>
  </si>
  <si>
    <t>MAGGIANOS KANSAS CITY OVERLAND PARKKS REF #2423168NT8AE3HAP3</t>
  </si>
  <si>
    <t>TRAIL'S TA TRAVEL CENT ALBERT LEA MN REF #2442733NRLYPPD6B9</t>
  </si>
  <si>
    <t>TRAIL'S TA TRAVEL CENT ALBERT LEA MN REF #2442733NRLYPPD6QK</t>
  </si>
  <si>
    <t>TRAIL'S TRAVEL CENT ALBERT LEA MN REF #2442733NRLYPPDD55</t>
  </si>
  <si>
    <t>Withdrawal ACH PAYPAL TYPE: INST XFER ID: PAYPALSI77 CO: PAYPAL NAME: JEFF TRUITT Entry Class Code: WEB ACH Trace Number: 091000011361558</t>
  </si>
  <si>
    <t>Withdrawal ACH PAYPAL TYPE: INST XFER ID: PAYPALSI77 CO: PAYPAL NAME: JEFF TRUITT Entry Class Code: WEB ACH Trace Number: 091000015929588</t>
  </si>
  <si>
    <t>Withdrawal ACH TARGET CARD SRVC TYPE: AUTO PYMT ID: 1411721813 CO: TARGET CARD SRVC NAME: TRUITT JEFFREY B Entry Class Code: WEB ACH Trace Number: 091000014386965</t>
  </si>
  <si>
    <t>Withdrawal ACH VENMO TYPE: PAYMENT ID: 326XXXXXXX CO: VENMO NAME: BRITNEY TRUITT Entry Class Code: WEB ACH Trace Number: 091000012550561</t>
  </si>
  <si>
    <t>Withdrawal ACH VENMO TYPE: PAYMENT ID: 326XXXXXXX CO: VENMO NAME: BRITNEY TRUITT Entry Class Code: WEB ACH Trace Number: 091000012978619</t>
  </si>
  <si>
    <t>AMZN MKTP US*HW0WU0261 AMZN.COM/BILLWA
1RGHE2D0OFA</t>
  </si>
  <si>
    <t>AMZN MKTP US*HW4LP5S11 AMZN.COM/BILLWA
2SQ5SU5PA2L</t>
  </si>
  <si>
    <t>AMZN Mktp US*HW11121A2 Amzn.com/billWA REF #2469216NS33EGY3P5</t>
  </si>
  <si>
    <t>D J*WALL-ST-JOURNAL 800-568-7625 MA REF #2469216NS33QG6LXH</t>
  </si>
  <si>
    <t>HY-VEE OVERLAND PARK 1509OVERLAND PARKKS REF #2413746NS0141Q7RJ</t>
  </si>
  <si>
    <t>JCPENNEY 2990 OVERLAND PARKKS REF #2443106NTR7MDW0ZH</t>
  </si>
  <si>
    <t>JOES KANSAS CITY BBQ-LEA olo.com KS REF #2405522NSBLPJQMSQ</t>
  </si>
  <si>
    <t>KUM&amp;GO 1113 AMES AMES IA REF #2469216NT32FXWQGV</t>
  </si>
  <si>
    <t>QT 204 KANSAS CITY MO REF #2469216NT32JFSNHB</t>
  </si>
  <si>
    <t>QT 204 KANSAS CITY MO REF #2469216NT32JGDPLE</t>
  </si>
  <si>
    <t>SP MAVI USA HTTPSMAVIGIYINY REF #2449216NS001PRQQ2</t>
  </si>
  <si>
    <t>SP SENDJOESKCBBQ SENDJOESBARBQKS REF #2449216NT000SGK7W</t>
  </si>
  <si>
    <t>SP SOTA CLOTHING SPENCEDESIGNSMN REF #2449216NS0017Q96A</t>
  </si>
  <si>
    <t>AMZN Mktp US*HW68316W2 Amzn.com/billWA REF #2469216NW34J15NX9</t>
  </si>
  <si>
    <t>AMZN MKTP US*HW68K9KO2 AMZN.COM/BILLWA
HYP525HEEVI</t>
  </si>
  <si>
    <t>PAYPAL *DOMINO'S 1931 402-935-2244 CA</t>
  </si>
  <si>
    <t>Sorel Footwear US 888-6976735 OR REF #2420429NW00N78A4T</t>
  </si>
  <si>
    <t>Withdrawal ACH PAYPAL TYPE: INST XFER ID: PAYPALSI77 CO: PAYPAL NAME: JEFF TRUITT Entry Class Code: WEB ACH Trace Number: 091000010040802</t>
  </si>
  <si>
    <t>Withdrawal ACH PAYPAL TYPE: INST XFER ID: PAYPALSI77 CO: PAYPAL NAME: JEFF TRUITT Entry Class Code: WEB ACH Trace Number: 091000011081953</t>
  </si>
  <si>
    <t>Withdrawal ACH PAYPAL TYPE: INST XFER ID: PAYPALSI77 CO: PAYPAL NAME: JEFF TRUITT Entry Class Code: WEB ACH Trace Number: 091000016909884</t>
  </si>
  <si>
    <t>AMAZON.COM AMZN.COM/BILL AMZN.COM/BILLWA REF #7443106NW2D9P975P</t>
  </si>
  <si>
    <t>AMZN MKTP US AMZN.COM/BILLWA
1RP2F7L7TT2</t>
  </si>
  <si>
    <t>AMZN MKTP US AMZN.COM/BILLWA
4KDH6DF3KI8</t>
  </si>
  <si>
    <t>AMZN MKTP US AMZN.COM/BILLWA
A2522MV4EOE</t>
  </si>
  <si>
    <t>CASEYS #2550 OSCEOLA IA REF #2444500NW8PY02J8H</t>
  </si>
  <si>
    <t>Deposit ACH PAYPAL TYPE: TRANSFER ID: PAYPALSD11 CO: PAYPAL Entry Class Code: PPD ACH Trace Number: 091000016011060</t>
  </si>
  <si>
    <t>Deposit ACH TRINET TYPE: PAYROLL ID: 194XXXXXXX CO: TRINET Entry Class Code: PPD ACH Trace Number: 041001030026891</t>
  </si>
  <si>
    <t>HAMPTON INN OVERLAND OVERLAND PARKKS REF #2490604NW16PRY0JL</t>
  </si>
  <si>
    <t>KUM&amp;GO 0302 CLEAR LA CLEAR LAKE IA REF #2469216NW34NW7JNT</t>
  </si>
  <si>
    <t>TST* Zombie Burger EV Des Moines IA REF #2469216NW34NEL0A7</t>
  </si>
  <si>
    <t>Withdrawal ACH MHCHILDCARELLC TYPE: DUES ID: 1824708198 CO: MHCHILDCARELLC Entry Class Code: PPD ACH Trace Number: 096010415742056</t>
  </si>
  <si>
    <t>Withdrawal ACH PAYPAL TYPE: INST XFER ID: PAYPALSI77 CO: PAYPAL NAME: JEFF TRUITT Entry Class Code: WEB ACH Trace Number: 091000011973024</t>
  </si>
  <si>
    <t>Withdrawal ACH PAYPAL TYPE: INST XFER ID: PAYPALSI77 CO: PAYPAL NAME: JEFF TRUITT Entry Class Code: WEB ACH Trace Number: 091000012061551</t>
  </si>
  <si>
    <t>PAYMENT - THANK YOU REF #7473457NY00XTMJG1</t>
  </si>
  <si>
    <t>AMZN Mktp US Amzn.com/billWA REF #7469216NX35JLD8GE</t>
  </si>
  <si>
    <t>AMZN Mktp US Amzn.com/billWA REF #7469216NX35LNYMM8</t>
  </si>
  <si>
    <t>ANNTAYLOR LOFT.COM #61 800-342-5266 CT REF #2443106NX2DDL0W30</t>
  </si>
  <si>
    <t>BLUEFIN BAY FAMILY OF TOFTE MN REF #2400097NX31KB4JPF</t>
  </si>
  <si>
    <t>Deposit ACH EMPYREAN SOLUTIO TYPE: 193XXXXXXX ID: 5330903620 CO: EMPYREAN SOLUTIO Entry Class Code: PPD ACH Trace Number: 091000011686043</t>
  </si>
  <si>
    <t>Deposit Dividend Split Rate Annual Percentage Yield Earned 0.58% from 11/01/22 through 11/30/22</t>
  </si>
  <si>
    <t>Deposit Dividend Split Rate Annual Percentage Yield Earned 1.50% from 11/01/22 through 11/30/22</t>
  </si>
  <si>
    <t>PAYPAL *EDDIE BAUER 402-935-7733 CA</t>
  </si>
  <si>
    <t>TARGET 00008623 CHANHASSEN MN REF #2416407NX2LR7YN7V</t>
  </si>
  <si>
    <t>Withdrawal ACH WASTE MANAGEMENT TYPE: INTERNET ID: 9049038216 CO: WASTE MANAGEMENT Entry Class Code: PPD ACH Trace Number: 043305131798822</t>
  </si>
  <si>
    <t>Withdrawal ACH DISCOVER TYPE: E-PAYMENT ID: 2510020270 CO: DISCOVER NAME: TRUITT JEFF Entry Class Code: WEB ACH Trace Number: 091000010371432</t>
  </si>
  <si>
    <t>AMAZON MUSIC*4O2665TA3 888-802-3080 WA
2PN2CPFJMG5</t>
  </si>
  <si>
    <t>AMZN MKTP US*JT2JV42Z3 AMZN.COM/BILLWA
6XWJA8JZ3U6</t>
  </si>
  <si>
    <t>Deposit ACH CARGILL INCORPOR TYPE: 005XXXXXXX ID: 2410177680 CO: CARGILL INCORPOR Entry Class Code: CTX ACH Trace Number: 111000028490340</t>
  </si>
  <si>
    <t>ORDWAY CENTER FOR THE PERSAINT PAUL MN REF #2471705NZ4ES7H0YL</t>
  </si>
  <si>
    <t>SPEEDWAY 04366 EXCELSIOR MN REF #2413746NZ010KX8ST</t>
  </si>
  <si>
    <t>Withdrawal ACH College Savings TYPE: ACH ID: 550895818 CO: College Savings Entry Class Code: PPD ACH Trace Number: 104910790826846</t>
  </si>
  <si>
    <t>Withdrawal Home Banking Transfer To Loan 02 REF # 1940599</t>
  </si>
  <si>
    <t>Payments Home Banking Transfer From Share 70 REF # 1940599</t>
  </si>
  <si>
    <t>Draft 2352 Tracer XX3043</t>
  </si>
  <si>
    <t>AMAZON.COM*T96FH3OH3 AMZN.COM/BILLWA
59HSQXQ7KP9</t>
  </si>
  <si>
    <t>CUB FOODS CHANHASSEN MN REF #2442733NZM83KBXG4</t>
  </si>
  <si>
    <t>LUNDS&amp;BYERLYS CHANH CHANHASSEN MN REF #2442733NZM83KWYMA</t>
  </si>
  <si>
    <t>TM *PAW PATROL LIVE HE 800-653-8000 CA REF #2469216NZ2XSZVA36</t>
  </si>
  <si>
    <t>USPS PO 2616400317 CHANHASSEN MN REF #2413746P0012D56EF</t>
  </si>
  <si>
    <t>AMAZON.COM*4O8Y52KK3 AMZNAMZN.COM/BILLWA REF #2443106P02DK8JFRK</t>
  </si>
  <si>
    <t>AMZN MKTP US*0F0807XI3 AMZN.COM/BILLWA
921W57VCN7A</t>
  </si>
  <si>
    <t>CARIBOU COFFEE CO #116 CHANHASSEN MN REF #2444500P0EHZ6715F</t>
  </si>
  <si>
    <t>COUNTRY CLUB LANES EXCELSIOR MN REF #2413829P160T2JMPB</t>
  </si>
  <si>
    <t>CUB FOODS #1636 SHOREWOOD MN REF #2442733P0M83SLKJH</t>
  </si>
  <si>
    <t>Deposit ACH PAYPAL TYPE: TRANSFER ID: PAYPALSD11 CO: PAYPAL Entry Class Code: PPD ACH Trace Number: 091000017097313</t>
  </si>
  <si>
    <t>EVEREVE - 60 HOPKINS MN REF #2426979P1EJ9HSVYN</t>
  </si>
  <si>
    <t>HBRSUBSCRIPTION 800-988-0886 MA REF #2449215P0LW6RZN9L</t>
  </si>
  <si>
    <t>LOFT 1598 RIDGEDALE CENT MINNETONKA MN REF #7443106P1LHGE6LVA</t>
  </si>
  <si>
    <t>MAYNARDS R* MAYNARDS E MAYNARDSEXCELMN REF #2449216P2000543KR</t>
  </si>
  <si>
    <t>SHUTTERFLY, INC. 650-610-5200 CA REF #2449215P0LW5M7KAX</t>
  </si>
  <si>
    <t>AMZN MKTP US*S71FT9V33 AMZN.COM/BILLWA
ALAYA7Q4FN2</t>
  </si>
  <si>
    <t>TARGET 00008623 CHANHASSEN MN REF #2416407P22LRFX6Z4</t>
  </si>
  <si>
    <t>SHUTTERFLY, INC. 650-610-5200 CA REF #2449215P4LR3FGF3J</t>
  </si>
  <si>
    <t>TST* Pub 819 Hopkins MN REF #2469216P32Y9EWASH</t>
  </si>
  <si>
    <t>Withdrawal ACH Coinbase.com TYPE: RUJZ4A7V ID: 1455293997 CO: Coinbase.com NAME: JEFF TRUITT Entry Class Code: WEB ACH Trace Number: 021214892822441</t>
  </si>
  <si>
    <t>Withdrawal ACH MHCHILDCARELLC TYPE: DUES ID: 1824708198 CO: MHCHILDCARELLC Entry Class Code: PPD ACH Trace Number: 096010414036413</t>
  </si>
  <si>
    <t>Withdrawal ACH XCEL ENERGY-MN TYPE: XCELENERGY ID: 7411967505 CO: XCEL ENERGY-MN NAME: BCU POWERPLUS460099821 Entry Class Code: WEB ACH Trace Number: 091000016119405</t>
  </si>
  <si>
    <t>AMZN MKTP US*UT19U6AO3 AMZN.COM/BILLWA
33YRBS4JKJJ</t>
  </si>
  <si>
    <t>THE NORMAL BRAND THENORMALBRANMO REF #2449216P40015ZQTM</t>
  </si>
  <si>
    <t>AMZN MKTP US*1U9W93F23 AMZN.COM/BILLWA
5BOGRJJPR0D</t>
  </si>
  <si>
    <t>AMZN MKTP US*J54GF2LV3 AMZN.COM/BILLWA
6OT1T4QO7YE</t>
  </si>
  <si>
    <t>AMZN MKTP US*SO6C98SQ3 AMZN.COM/BILLWA
5GAGSZONNUS</t>
  </si>
  <si>
    <t>AMZN MKTP US*W64EH7LE3 AMZN.COM/BILLWA
JTVCHD5ET6F</t>
  </si>
  <si>
    <t>Deposit ACH CARGILL INCORPOR TYPE: DIRECT DEP ID: 9111111101 CO: CARGILL INCORPOR Entry Class Code: PPD ACH Trace Number: 091000018307917</t>
  </si>
  <si>
    <t>KWIK TRIP 40200004028 CHANHASSEN MN REF #2416407P5L3HGPBVB</t>
  </si>
  <si>
    <t>KWIK TRIP 40200004028 CHANHASSEN MN REF #2416407P5L3L9LD65</t>
  </si>
  <si>
    <t>SCHOOL PICTURES WWW.STRAWBRIDNC REF #2449216P60001AYLA</t>
  </si>
  <si>
    <t>Withdrawal ACH PAYPAL TYPE: INST XFER ID: PAYPALSI77 CO: PAYPAL NAME: JEFF TRUITT Entry Class Code: WEB ACH Trace Number: 091000011227572</t>
  </si>
  <si>
    <t>All Seasons Garment Care Excelsior MN REF #2419304P702ZAF769</t>
  </si>
  <si>
    <t>AMZN MKTP US*887HN7G53 AMZN.COM/BILLWA
PD64VRQK10G</t>
  </si>
  <si>
    <t>LYFT RIDE WED 7PM 855-865-9553 CA REF #2449215P6LRQPDSMP</t>
  </si>
  <si>
    <t>PELOTON* MEMBERSHIP HTTPSWWW.ONEPNY REF #2401134P600133VG2</t>
  </si>
  <si>
    <t>RIDGEVIEW MEDICAL CENTER WACONIA MN REF #2480197P610J8RKYH</t>
  </si>
  <si>
    <t>U OF M-EVENTS ARB CHASKA MN REF #2413829P72MQEJMQQ</t>
  </si>
  <si>
    <t>Withdrawal ACH CPENERGY MNGCO TYPE: MGC ACH EB ID: 176051140S CO: CPENERGY MNGCO NAME: CENTERPOINT ENERGY OTP Entry Class Code: WEB ACH Trace Number: 021000029171930</t>
  </si>
  <si>
    <t>Withdrawal ACH NORDSTROM TYPE: PAYMENT ID: 9044022131 CO: NORDSTROM NAME: Jeff Truitt Jeff Truit Entry Class Code: WEB ACH Trace Number: 043305133683806</t>
  </si>
  <si>
    <t>AMZN MKTP US*RD6OK2PY3 AMZN.COM/BILLWA
1V07F8CECZ8</t>
  </si>
  <si>
    <t>HY-VEE EAGAN 1165 EAGAN MN REF #2413746P90109SMDP</t>
  </si>
  <si>
    <t>Kids Hair - CH Chanhassen MN REF #2479338P70277MT96</t>
  </si>
  <si>
    <t>SP SOTA CLOTHING 195-23814230 MN REF #2449216P8001FNY5H</t>
  </si>
  <si>
    <t>SQ *FORGE AND FOUNDRY DISStillwater MN REF #2469216P832PX615Y</t>
  </si>
  <si>
    <t>SQ *WHATNOT ON MAIN Stillwater MN REF #2469216P832L75LYF</t>
  </si>
  <si>
    <t>SQ *WHATNOT ON MAIN Stillwater MN REF #2469216P832L7FY70</t>
  </si>
  <si>
    <t>TOTAL WINE AND MORE CHANHASSEN MN REF #2411641P8RBGJ6QS4</t>
  </si>
  <si>
    <t>CHASKA CUB FOODS CHASKA MN REF #2442733P9LYPVBENP</t>
  </si>
  <si>
    <t>LORA F&amp;B STILLWATER MN REF #2434285P90FWW3YFY</t>
  </si>
  <si>
    <t>RIVER SIREN BREWING CO STILLWATER MN REF #2427539P9S66GZ10Q</t>
  </si>
  <si>
    <t>SPEEDWAY 04095 CHASKA MN REF #2413746PA019SD6GJ</t>
  </si>
  <si>
    <t>THE VELVETEEN 651-2807715 MN REF #2410085P9S66FVQM6</t>
  </si>
  <si>
    <t>TO GO AMOCO STILLWATER MN REF #2419304PA000G6TM6</t>
  </si>
  <si>
    <t>UBER EATS HELP.UBER.COMCA REF #2449215PAML05PHL9</t>
  </si>
  <si>
    <t>PAYMENT - THANK YOU REF #7473457PB00XTMJG6</t>
  </si>
  <si>
    <t>Withdrawal ACH DISCOVER TYPE: E-PAYMENT ID: 2510020270 CO: DISCOVER NAME: TRUITT JEFF Entry Class Code: WEB ACH Trace Number: 091000011147242</t>
  </si>
  <si>
    <t>BRICK &amp; BOURBON- STILLWATSTILLWATER MN REF #2455193PA0GRWQ7D0</t>
  </si>
  <si>
    <t>CENTURYLINK LUMEN 800-244-1111 LA REF #2469216PA344RXB26</t>
  </si>
  <si>
    <t>Hotel Crosby 651-9677100 MN REF #2401339PA01AHWX2D</t>
  </si>
  <si>
    <t>TARGET 00008623 CHANHASSEN MN REF #2416407PA2LRFPD4X</t>
  </si>
  <si>
    <t>Withdrawal ACH BARCLAYCARD US TYPE: CREDITCARD ID: 2510407970 CO: BARCLAYCARD US NAME: BRITNEY TRUITT Entry Class Code: WEB ACH Trace Number: 026002576478387</t>
  </si>
  <si>
    <t>Withdrawal ACH MHCHILDCARELLC TYPE: DUES ID: 1824708198 CO: MHCHILDCARELLC Entry Class Code: PPD ACH Trace Number: 096010417870348</t>
  </si>
  <si>
    <t>AMZN MKTP US*P651B6RW3 AMZN.COM/BILLWA
5T8X7MSDAMN</t>
  </si>
  <si>
    <t>CUB FOODS 1636 952-380-9900 MN REF #2423168PB2DG0A6L0</t>
  </si>
  <si>
    <t>Deposit ACH TRINET TYPE: PAYROLL ID: 194XXXXXXX CO: TRINET Entry Class Code: PPD ACH Trace Number: 041001033042690</t>
  </si>
  <si>
    <t>HOBBY-LOBBY #686 BLOOMINGTON MN</t>
  </si>
  <si>
    <t>SQ *GOGLOW Edina MN REF #2469216PB34TNZX2L</t>
  </si>
  <si>
    <t>Withdrawal ACH Ridgeview Medica TYPE: ONLINE PAY ID: RF00059954 CO: Ridgeview Medica NAME: JEFF TRUITT Entry Class Code: WEB ACH Trace Number: 063112147330193</t>
  </si>
  <si>
    <t>Withdrawal ACH AMERICAN FAMILY TYPE: WEBPAYMENT ID: PEBP075965 CO: AMERICAN FAMILY NAME: Authorized by Customer Entry Class Code: WEB ACH Trace Number: 021000021900238</t>
  </si>
  <si>
    <t>Deposit ACH CARGILL INCORPOR TYPE: 005XXXXXXX ID: 2410177680 CO: CARGILL INCORPOR Entry Class Code: CTX ACH Trace Number: 111000027797069</t>
  </si>
  <si>
    <t>JJ`S POKE EDINA MN REF #2445351PQ0VYERFFZ</t>
  </si>
  <si>
    <t>JORDAN SUPPER CLUB JORDAN MN REF #2480197PQ8AL28SLT</t>
  </si>
  <si>
    <t>SP MAVI USA HTTPSMAVIGIYI NY CREDIT REF #2449216PQ000HTR55</t>
  </si>
  <si>
    <t>Draft 2355 Tracer XX1844</t>
  </si>
  <si>
    <t>changed to reflect actual spend on wreaths</t>
  </si>
  <si>
    <t>AMZN MKTP US*PD80C60B3 AMZN.COM/BILLWA
YCXVYJZZ95D</t>
  </si>
  <si>
    <t>All Seasons Garment Care Excelsior MN REF #2419304PG030D79NB</t>
  </si>
  <si>
    <t>KAISUSHI MINNETONKA KAISUSHIGRILLMN REF #2449216PG0002M2WW</t>
  </si>
  <si>
    <t>MARATHON PETRO14456 MINNETONKA MN
APPLE PAY ENDING IN 3050</t>
  </si>
  <si>
    <t>SHOREWOOD TRUE VALUE EXCELSIOR MN REF #2480197PGBMDQFJ4S</t>
  </si>
  <si>
    <t>SQ *ENKI BREWING COMPANY Victoria MN REF #2469216PF2Y78FWYB</t>
  </si>
  <si>
    <t>Vics Bar and Grill Victoria MN REF #2419304PF030BXZ1T</t>
  </si>
  <si>
    <t>AMZN MKTP US*9C0Q50EZ3 AMZN.COM/BILLWA
4F9QPMUHZAA</t>
  </si>
  <si>
    <t>PRIME VIDEO *3L6ZF81F3 888-802-3080 WA
273DHTO646R</t>
  </si>
  <si>
    <t>Withdrawal ACH MN DIR ACH TYPE: CONTRIB ID: 2416007162 CO: MN DIR ACH NAME: 549 89742742601 Entry Class Code: WEB ACH Trace Number: 011001233966853</t>
  </si>
  <si>
    <t>Alden and Harlow Cambridge MA REF #2434285PH0GRV01AD</t>
  </si>
  <si>
    <t>AVO*ADVOCARE INTL 800-542-4800 TX REF #2469216PH2ZZWT226</t>
  </si>
  <si>
    <t>BOS TAXI 1278 BOSTON MA REF #2416407PH2LQY3LBJ</t>
  </si>
  <si>
    <t>MACKENTHUN S MEATS &amp; DEL SAINT BONIFACMN</t>
  </si>
  <si>
    <t>SHUTTERFLY, INC. 650-610-5200 CA REF #7449215PJMN17EN5B</t>
  </si>
  <si>
    <t>SQ *LORD HOBO BREWING WOBWoburn MA REF #2469216PJ30ME5XNR</t>
  </si>
  <si>
    <t>UBER TRIP HELP.UBER.COMCA REF #2449215PHML3T2QZX</t>
  </si>
  <si>
    <t>WHOLESOME FRESH MA CAMBRIDGE MA REF #2425138PH0VZBLK2H</t>
  </si>
  <si>
    <t>Withdrawal ACH MHCHILDCARELLC TYPE: DUES ID: 1824708198 CO: MHCHILDCARELLC Entry Class Code: PPD ACH Trace Number: 096010411083781</t>
  </si>
  <si>
    <t>AMZN Mktp US*FQ8TX70W3 Amzn.com/billWA REF #2469216PJ317PD1KT</t>
  </si>
  <si>
    <t>AMZN Mktp US*HA8JE17N0 Amzn.com/billWA REF #2469216PJ317G9EFK</t>
  </si>
  <si>
    <t>AMZN MKTP US*JE53Z3I53 AMZN.COM/BILLWA
XDKZWBWA423</t>
  </si>
  <si>
    <t>BONFES PLUMBING HEATING A651-3326633 MN REF #2427539PJS66GY727</t>
  </si>
  <si>
    <t>CUB FOODS CHANHASSEN MN REF #2442733PJM83JY80B</t>
  </si>
  <si>
    <t>Netflix.com 866-5797172 CA REF #2490641PJ4R1ND4PN</t>
  </si>
  <si>
    <t>SP KEVINS OUTDOORS HTTPSKEVINSCAGA REF #2449216PJ001A2Z5H</t>
  </si>
  <si>
    <t>Withdrawal ACH CITY OF CHANHASS TYPE: UTIL BILL ID: 1410885331 CO: CITY OF CHANHASS Entry Class Code: PPD ACH Trace Number: 091901960173352</t>
  </si>
  <si>
    <t>AMZN MKTP US AMZN.COM/BILLWA
28OY7N5GSAK</t>
  </si>
  <si>
    <t>BCS*MINNETONKA COMMUNITY 952-401-6800 MN REF #2413746PL01VBM74V</t>
  </si>
  <si>
    <t>CUB FOODS 01644 952-934-1010 MN REF #2423168PK2DDXHWQ2</t>
  </si>
  <si>
    <t>Deposit ACH CARGILL INCORPOR TYPE: DIRECT DEP ID: 9111111101 CO: CARGILL INCORPOR Entry Class Code: PPD ACH Trace Number: 091000017600244</t>
  </si>
  <si>
    <t>DUNKIN #308352 Q35 BOSTON MA REF #2494300PLRQEBK8VK</t>
  </si>
  <si>
    <t>LULULEMONCOM* 877-263-9300 CA REF #2469216PK31JZQLA6</t>
  </si>
  <si>
    <t>UBER TRIP HELP.UBER.COMCA REF #2449215PKLS95JPME</t>
  </si>
  <si>
    <t>Deposit Home Banking Transfer From Share 70 REF # 2283752</t>
  </si>
  <si>
    <t>HILTON BOSTON WOBURN WOBURN MA REF #2405523PL11H4DMQR</t>
  </si>
  <si>
    <t>MSP AIRPORT PARKING SAINT PAUL MN REF #2403454PL02G8D8RG</t>
  </si>
  <si>
    <t>NESPRESSO USA 888-637-7737 NY REF #2469216PL32VB572R</t>
  </si>
  <si>
    <t>Withdrawal at ATM #000000002027 Wells Fargo Bank XXXXXXX Hwy 7 Chanhassen MN</t>
  </si>
  <si>
    <t>Withdrawal Home Banking Transfer To Share 12 REF # 2283752</t>
  </si>
  <si>
    <t>All Seasons Garment Care Excelsior MN REF #2419304PN031412GS</t>
  </si>
  <si>
    <t>ALLEGNT AIR,FHZ 702-5058888 NV REF #2400097PM64DBGAQS</t>
  </si>
  <si>
    <t>AMERICAN AI 0012337602985800-433-7300 TX REF #7471705PNTDJRNP7T</t>
  </si>
  <si>
    <t>AMERICAN AI 0012337602986800-433-7300 TX REF #7471705PNTDJRNP81</t>
  </si>
  <si>
    <t>AMERICAN AI 0012337602987800-433-7300 TX REF #7471705PNTDJRNP89</t>
  </si>
  <si>
    <t>AMERICAN AI 0012337602988800-433-7300 TX REF #7471705PNTDJRNP8H</t>
  </si>
  <si>
    <t>CUB FOODS 01644 952-934-1010 MN REF #2423168PN2DERB3MT</t>
  </si>
  <si>
    <t>CUB FOODS 01644 CUB.COM MN REF #2423168PN2D9PH1AA</t>
  </si>
  <si>
    <t>D J*WALL-ST-JOURNAL 800-568-7625 MA REF #2469216PN342FNSVX</t>
  </si>
  <si>
    <t>DELTA AIR 0062167901070CINCINNATI OH REF #2471705PNTDJR07BT</t>
  </si>
  <si>
    <t>DELTA AIR 0062167901071CINCINNATI OH REF #2471705PNTDJR07Q1</t>
  </si>
  <si>
    <t>LIONS TAP EDEN PRAIRIE MN REF #2426979PM8PYP3DKV</t>
  </si>
  <si>
    <t>PRIME VIDEO *HO8FV1QR0 888-802-3080 WA
696YKU1S2YK</t>
  </si>
  <si>
    <t>TW&amp;M 1606 DIGITAL https://www.fMN REF #2411641PNBMDFB37Q</t>
  </si>
  <si>
    <t>Total wine</t>
  </si>
  <si>
    <t>Evereve 877-2906262 MN REF #2490641PP4RQHH1SZ</t>
  </si>
  <si>
    <t>KWIK TRIP 88600008862 CHASKA MN REF #2416407PPL3HJES90</t>
  </si>
  <si>
    <t>SAKS 212-320-4700 NY REF #2469216PP34ED0M1T</t>
  </si>
  <si>
    <t>AMAZON.COM*J58V94W23 AMZN.COM/BILLWA
7442TB4P6SE</t>
  </si>
  <si>
    <t>AMZN MKTP US*F39X675O3 AMZN.COM/BILLWA
7IHOGZ8NNJ7</t>
  </si>
  <si>
    <t>AMZN Mktp US*LK3UX1DU3 Amzn.com/billWA REF #2469216PR34XN619V</t>
  </si>
  <si>
    <t>Withdrawal ACH TARGET CARD SRVC TYPE: AUTO PYMT ID: 1411721813 CO: TARGET CARD SRVC NAME: TRUITT JEFFREY B Entry Class Code: WEB ACH Trace Number: 091000018697734</t>
  </si>
  <si>
    <t>PAYMENT - THANK YOU REF #7473457PS00XTMJG6</t>
  </si>
  <si>
    <t>JERSEY MIKES ONLINE ORDE 732-223-4044 NJ REF #2473309PT2E026H4Z</t>
  </si>
  <si>
    <t>Withdrawal ACH MHCHILDCARELLC TYPE: DUES ID: 1824708198 CO: MHCHILDCARELLC Entry Class Code: PPD ACH Trace Number: 096010419892191</t>
  </si>
  <si>
    <t>Withdrawal ACH PAYPAL TYPE: INST XFER ID: PAYPALSI77 CO: PAYPAL NAME: JEFF TRUITT Entry Class Code: WEB ACH Trace Number: 091000010497111</t>
  </si>
  <si>
    <t>Withdrawal ACH VENMO TYPE: PAYMENT ID: 326XXXXXXX CO: VENMO NAME: BRITNEY TRUITT Entry Class Code: WEB ACH Trace Number: 091000016134069</t>
  </si>
  <si>
    <t>AMZN Mktp US*N980R3OU3 Amzn.com/billWA REF #2469216PS2X5QM659</t>
  </si>
  <si>
    <t>AMZN Mktp US*XO0CO0XD3 Amzn.com/billWA REF #2469216PS2X55AK03</t>
  </si>
  <si>
    <t>CUB FOODS CHANHASSEN MN REF #2442733PSM83Q35BM</t>
  </si>
  <si>
    <t>Deposit ACH TRINET TYPE: PAYROLL ID: 194XXXXXXX CO: TRINET Entry Class Code: PPD ACH Trace Number: 041001039059893</t>
  </si>
  <si>
    <t>RUDY LUTHER TOYOTA GOLDEN VALLEYMN</t>
  </si>
  <si>
    <t>Withdrawal ACH PAYPAL TYPE: INST XFER ID: PAYPALSI77 CO: PAYPAL NAME: JEFF TRUITT Entry Class Code: WEB ACH Trace Number: 091000014268043</t>
  </si>
  <si>
    <t>Withdrawal ACH VENMO TYPE: PAYMENT ID: 326XXXXXXX CO: VENMO NAME: BRITNEY TRUITT Entry Class Code: WEB ACH Trace Number: 091000013897367</t>
  </si>
  <si>
    <t>ANNTAYLOR.COM #611 800-342-5266 CT REF #2443106PV2DAJSEZQ</t>
  </si>
  <si>
    <t xml:space="preserve">BUCK HILL WEBSITE 952-4357174 MN </t>
  </si>
  <si>
    <t>BUCK HILL WEBSITE REF #030081</t>
  </si>
  <si>
    <t xml:space="preserve">DELTA AIR 0062355800572 DELTA.COM CA </t>
  </si>
  <si>
    <t>INEFFABLE BREWING COMP</t>
  </si>
  <si>
    <t>PAYPAL *FREE FLY</t>
  </si>
  <si>
    <t>RIDGEVIEW MEDICAL CENT REF #030115</t>
  </si>
  <si>
    <t>Withdrawal ACH PAYPAL TYPE: INST XFER ID: PAYPALSI77 CO: PAYPAL NAME: JEFF TRUITT Entry Class Code: WEB ACH Trace Number: 021000024000208</t>
  </si>
  <si>
    <t>AMZN Mktp US Amzn.com/billWA REF #7469216PW2YW12XL9</t>
  </si>
  <si>
    <t>AMZN Mktp US Amzn.com/billWA REF #7469216PX2YYAVHVP</t>
  </si>
  <si>
    <t>AMZN Mktp US Amzn.com/billWA REF #7469216PX2YYSPZBW</t>
  </si>
  <si>
    <t>AMZN Mktp US*FE0Q01QM3 Amzn.com/billWA REF #2469216PX2YWATYQ3</t>
  </si>
  <si>
    <t>CARIBOU COFFEE CO #130</t>
  </si>
  <si>
    <t>COOLER CLEANSE 212-531-3111 NY REF #2480197PW8B2XJT0V</t>
  </si>
  <si>
    <t>CUB FOODS 01644 952-934-1010 MN REF #2423168PW2DF1WQM1</t>
  </si>
  <si>
    <t>Deposit Dividend Split Rate Annual Percentage Yield Earned 0.71% from 12/01/22 through 12/31/22</t>
  </si>
  <si>
    <t>Deposit Dividend Split Rate Annual Percentage Yield Earned 2.00% from 12/01/22 through 12/31/22</t>
  </si>
  <si>
    <t>DOORDASH*REVIVAL WWW.DOORDASH.CA REF #2401134PW000FJFHL</t>
  </si>
  <si>
    <t>EB 2023 KLONDIKE SLED 8014137200 CA REF #2449215PWMLGV1TDX</t>
  </si>
  <si>
    <t>HOLIDAY STATIONS 0360</t>
  </si>
  <si>
    <t>HOME2 SUITES EDEN PRAIRIE REF #031953</t>
  </si>
  <si>
    <t>IMPARK00200118U ST. PAUL MN REF #2469216PW2YDAWS65</t>
  </si>
  <si>
    <t>LULULEMONCOM* 877-263-9300 CA REF #2469216PW2YB6KMM1</t>
  </si>
  <si>
    <t>PIZZA LUCE VI INC REF #031800</t>
  </si>
  <si>
    <t xml:space="preserve">RIDGEVIEW MEDICAL CENTER WACONIA MN </t>
  </si>
  <si>
    <t>TAP PLASTICS, INC. 888-8277330 CA REF #2427539PWS66FPZS0</t>
  </si>
  <si>
    <t xml:space="preserve">THE HOME DEPOT #2812 EDEN PRAIRIE MN </t>
  </si>
  <si>
    <t>THE HOME DEPOT #2812 REF #031514</t>
  </si>
  <si>
    <t xml:space="preserve">WILLIAMS SONOMA 6137 MINNETONKA MN </t>
  </si>
  <si>
    <t>WILLIAMS SONOMA 6137 REF #031783</t>
  </si>
  <si>
    <t>AMAZON MUSIC*H06YQ2L23 888-802-3080 WA
2SZOGVT1ISL</t>
  </si>
  <si>
    <t>CARIBOU COFFEE CO #116 REF #001280</t>
  </si>
  <si>
    <t>LUNDS&amp;BYERLYS CHANHAS CHANHASSEN MN</t>
  </si>
  <si>
    <t xml:space="preserve">PIZZA LUCE VI INC 952-767-0854 MN </t>
  </si>
  <si>
    <t>Withdrawal Home Banking Transfer To Loan 02 REF # 2402682</t>
  </si>
  <si>
    <t>Payments Home Banking Transfer From Share 70 REF # 2402682</t>
  </si>
  <si>
    <t xml:space="preserve">CUB FOODS #1636 SHOREWOOD MN </t>
  </si>
  <si>
    <t xml:space="preserve">HBRSUBSCRIPTION 800-988-0886 MA </t>
  </si>
  <si>
    <t xml:space="preserve">SP MINNESOTA ICE MAZE MINNESOTAICEM MN </t>
  </si>
  <si>
    <t>AMZN MKTP US*7B5D40OE3 AMZN.COM/BILLWA
73FWI3OC7KE</t>
  </si>
  <si>
    <t>Deposit Adjustment Dividend Dec Div Correct</t>
  </si>
  <si>
    <t>Hazard Insurance Disbursement (Primary Policy)</t>
  </si>
  <si>
    <t xml:space="preserve">SP DR. DENNIS GROSS DRDENNISGROSS NY </t>
  </si>
  <si>
    <t xml:space="preserve">WALGREENS #11690 WACONIA MN </t>
  </si>
  <si>
    <t>Withdrawal ACH College Savings TYPE: ACH ID: 550895818 CO: College Savings Entry Class Code: PPD ACH Trace Number: 104910792411850</t>
  </si>
  <si>
    <t>Withdrawal ACH PAYPAL TYPE: INST XFER ID: PAYPALSI77 CO: PAYPAL NAME: JEFF TRUITT Entry Class Code: WEB ACH Trace Number: 091000011434784</t>
  </si>
  <si>
    <t>Withdrawal ACH VENMO TYPE: PAYMENT ID: 326XXXXXXX CO: VENMO NAME: BRITNEY TRUITT Entry Class Code: WEB ACH Trace Number: 091000011844026</t>
  </si>
  <si>
    <t>Withdrawal ACH MHCHILDCARELLC TYPE: DUES ID: 1824708198 CO: MHCHILDCARELLC Entry Class Code: PPD ACH Trace Number: 096010412752864</t>
  </si>
  <si>
    <t xml:space="preserve">PAYMENT - THANK YOU </t>
  </si>
  <si>
    <t>AMZN MKTP US*3B1CX1AO3 AMZN.COM/BILLWA
RBSNL6JW8EI</t>
  </si>
  <si>
    <t>Deposit ACH CARGILL INCORPOR TYPE: DIRECT DEP ID: 9111111101 CO: CARGILL INCORPOR Entry Class Code: PPD ACH Trace Number: 091000017742228</t>
  </si>
  <si>
    <t>Deposit ACH connectyourcare TYPE: SVB-CLAIMS ID: E942875288 CO: connectyourcare Entry Class Code: PPD ACH Trace Number: 121140391359244</t>
  </si>
  <si>
    <t>Deposit ACH PAYPAL TYPE: TRANSFER ID: PAYPALSD11 CO: PAYPAL Entry Class Code: PPD ACH Trace Number: 091000015731655</t>
  </si>
  <si>
    <t xml:space="preserve">KWIK TRIP 40200004028 CHANHASSEN MN </t>
  </si>
  <si>
    <t xml:space="preserve">VINEYARD VINES LLC 800-892- CREDIT </t>
  </si>
  <si>
    <t xml:space="preserve">AMZN Mktp US Amzn.com/bill WA CREDIT </t>
  </si>
  <si>
    <t xml:space="preserve">AMZN Mktp US*9494O9PR3 Amzn.com/bill WA </t>
  </si>
  <si>
    <t>Deposit Home Banking Transfer From Share 12 REF # 2507049</t>
  </si>
  <si>
    <t xml:space="preserve">ELITE NAILS LLC CHANHASSEN MN </t>
  </si>
  <si>
    <t xml:space="preserve">TST* Nautical Bowls - Ede Eden Prairie MN </t>
  </si>
  <si>
    <t xml:space="preserve">WILLIAMS-SONOMA.COM 800-541-1262 CA </t>
  </si>
  <si>
    <t>Withdrawal Home Banking Transfer To Share 70 REF # 2507049</t>
  </si>
  <si>
    <t>Withdrawal ACH XCEL ENERGY-MN TYPE: XCELENERGY ID: 7411967505 CO: XCEL ENERGY-MN NAME: BCU POWERPLUS463939445 Entry Class Code: WEB ACH Trace Number: 091000018390633</t>
  </si>
  <si>
    <t xml:space="preserve">1 FEDEX 393182848998 MEMPHIS TN </t>
  </si>
  <si>
    <t xml:space="preserve">Amazon Prime*AY4DK0A13 Amzn.com/bill WA </t>
  </si>
  <si>
    <t>AMAZON.COM*5W3784XS3 AMZN.COM/BILLWA
QTZ0HRQE5SF</t>
  </si>
  <si>
    <t>AMZN MKTP US*AI38Z2223 AMZN.COM/BILLWA
6A8KHTZRMB2</t>
  </si>
  <si>
    <t xml:space="preserve">EVEREVE - 15 EDEN PRAIRIE MN CREDIT </t>
  </si>
  <si>
    <t xml:space="preserve">MCDONALD'S F29004 EAGAN MN </t>
  </si>
  <si>
    <t>Deposit ACH PAYPAL TYPE: TRANSFER ID: PAYPALSD11 CO: PAYPAL Entry Class Code: PPD ACH Trace Number: 091000015307165</t>
  </si>
  <si>
    <t xml:space="preserve">PELOTON* MEMBERSHIP HTTPSWWW.ONEP NY </t>
  </si>
  <si>
    <t xml:space="preserve">SOUTH LAKE PEDIATRICS 952-401-8300 MN </t>
  </si>
  <si>
    <t>AMZN MKTP US*3S2M22PK3 AMZN.COM/BILLWA
3SCEF0PBKAY</t>
  </si>
  <si>
    <t>AMZN MKTP US*TS7KY0QQ3 AMZN.COM/BILLWA
1LQ9UQ0COWA</t>
  </si>
  <si>
    <t>Deposit ACH connectyourcare TYPE: SVB-CLAIMS ID: E942875288 CO: connectyourcare Entry Class Code: PPD ACH Trace Number: 121140395063034</t>
  </si>
  <si>
    <t xml:space="preserve">FEDEX 393182952055 MEMPHIS TN </t>
  </si>
  <si>
    <t>LAKEWINDS - CHANHASSEN CHANHASSEN MN
APPLE PAY ENDING IN 8856</t>
  </si>
  <si>
    <t>Withdrawal ACH PAYPAL TYPE: INST XFER ID: PAYPALSI77 CO: PAYPAL NAME: JEFF TRUITT Entry Class Code: WEB ACH Trace Number: 091000016965740</t>
  </si>
  <si>
    <t xml:space="preserve">ANNTAYLOR.COM #611 800-342- CREDIT </t>
  </si>
  <si>
    <t>CUB FOODS #1636 SHOREWOOD MN
APPLE PAY ENDING IN 8856</t>
  </si>
  <si>
    <t>CUB FOODS 01644 952-934-1010 MN
APPLE PAY ENDING IN 8856</t>
  </si>
  <si>
    <t>Deposit ACH connectyourcare TYPE: SVB-CLAIMS ID: E942875288 CO: connectyourcare Entry Class Code: PPD ACH Trace Number: 121140396938367</t>
  </si>
  <si>
    <t xml:space="preserve">FOUR SEASONS CAFE MAPLE GROVE MN </t>
  </si>
  <si>
    <t xml:space="preserve">JIMMY JOHNS - 1184 - ECOM763-416-0301 MN </t>
  </si>
  <si>
    <t xml:space="preserve">PARTY CITY 1152 MAPLE GROVE MN </t>
  </si>
  <si>
    <t>Withdrawal ACH DISCOVER BANK TYPE: ETRANSFER ID: 3770527921 CO: DISCOVER BANK NAME: JEFF TRUITT Entry Class Code: WEB ACH Trace Number: 063106142947013</t>
  </si>
  <si>
    <t xml:space="preserve">ACT*Camp Fire MN 800-6634991 TX </t>
  </si>
  <si>
    <t>AMZN MKTP US*4G9GJ1P33 AMZN.COM/BILLWA
2SH9LSN5F32</t>
  </si>
  <si>
    <t>Deposit Home Banking Transfer From Share 01 REF # 2558556</t>
  </si>
  <si>
    <t xml:space="preserve">RVT*MTKA PUB SCHLS-WEB 952-4015000 MN </t>
  </si>
  <si>
    <t>SPEEDWAY 04095 CHASKA MN</t>
  </si>
  <si>
    <t xml:space="preserve">SPEEDWAY 04366 EXCELSIOR MN </t>
  </si>
  <si>
    <t>Withdrawal ACH MHCHILDCARELLC TYPE: DUES ID: 1824708198 CO: MHCHILDCARELLC Entry Class Code: PPD ACH Trace Number: 096010412278525</t>
  </si>
  <si>
    <t>Withdrawal at ATM #000000005157 Wells Fargo Bank XXXXXXX 82nd St Chaska MN</t>
  </si>
  <si>
    <t>Withdrawal Home Banking Transfer To Share 70 REF # 2558556</t>
  </si>
  <si>
    <t xml:space="preserve">CENTURYLINK LUMEN 800-244-1111 LA </t>
  </si>
  <si>
    <t>Deposit ACH TRINET TYPE: PAYROLL ID: 194XXXXXXX CO: TRINET Entry Class Code: PPD ACH Trace Number: 041001034230903</t>
  </si>
  <si>
    <t xml:space="preserve">VINEYARD VINES LLC 800-892-4982 CT </t>
  </si>
  <si>
    <t>Withdrawal ACH Coinbase.com TYPE: PRBYKY68 ID: 1455293997 CO: Coinbase.com NAME: JEFF TRUITT Entry Class Code: WEB ACH Trace Number: 021214897632379</t>
  </si>
  <si>
    <t>AMZN MKTP US AMZN.COM/BILLWA
1G8RTLYNFRP</t>
  </si>
  <si>
    <t>AMZN MKTP US AMZN.COM/BILLWA
73YZXHKSHUV</t>
  </si>
  <si>
    <t xml:space="preserve">BACHMAN'S INC.- EDEN PRA EDEN PRAIRIE MN </t>
  </si>
  <si>
    <t xml:space="preserve">JEWELRY WORKS 763-5935758 MN </t>
  </si>
  <si>
    <t xml:space="preserve">MISTER CAR WASH #606 - ST LOUIS PARK MN </t>
  </si>
  <si>
    <t xml:space="preserve">Prime Video*0034Y1XV3 888-802-3080 WA </t>
  </si>
  <si>
    <t xml:space="preserve">STORE*BIG BOWL WWW.DOORDASH. CA </t>
  </si>
  <si>
    <t xml:space="preserve">THE HOME DEPOT #2825 CHASKA MN </t>
  </si>
  <si>
    <t>TRADER JOE'S #710 QPS ST LOUIS PARKMN
APPLE PAY ENDING IN 8856</t>
  </si>
  <si>
    <t>AMZN MKTP US*XS34L57H3 AMZN.COM/BILLWA
5ZSJT07FCKO</t>
  </si>
  <si>
    <t xml:space="preserve">APPLE.COM/US 800-676-2775 CA </t>
  </si>
  <si>
    <t xml:space="preserve">Kids Hair - CH Chanhassen MN </t>
  </si>
  <si>
    <t xml:space="preserve">SHOREWOOD TRUE VALUE EXCELSIOR MN </t>
  </si>
  <si>
    <t>AMZN MKTP US*BS1O01G93 AMZN.COM/BILLWA
19LS1L9AV4M</t>
  </si>
  <si>
    <t xml:space="preserve">CITY OF EDINA MN EDINB EDINA MN </t>
  </si>
  <si>
    <t xml:space="preserve">TAVERN 23 EDINA MN </t>
  </si>
  <si>
    <t xml:space="preserve">THE LAKES RUNNING CO. EXCELSIOR MN </t>
  </si>
  <si>
    <t xml:space="preserve">WENDY S 419 CHANHASSEN MN </t>
  </si>
  <si>
    <t>AMAZON.COM*M19494OQ3 AMZN.COM/BILLWA
4RWSKFQM5SK</t>
  </si>
  <si>
    <t>AMZN MKTP US*1B6S92DO3 AMZN.COM/BILLWA
338G6EUOOZ3</t>
  </si>
  <si>
    <t>AMZN MKTP US*BU9U19CO3 AMZN.COM/BILLWA
1A35MT8BTW8</t>
  </si>
  <si>
    <t>AMZN MKTP US*CH0L15WA3 AMZN.COM/BILLWA
7B13T54FYKR</t>
  </si>
  <si>
    <t>Withdrawal ACH AMERICAN FAMILY TYPE: WEBPAYMENT ID: PEBP075965 CO: AMERICAN FAMILY NAME: Authorized by Customer Entry Class Code: WEB ACH Trace Number: 021000022906598</t>
  </si>
  <si>
    <t>Withdrawal ACH AMERICAN FAMILY TYPE: WEBPAYMENT ID: PEBP075965 CO: AMERICAN FAMILY NAME: Authorized by Customer Entry Class Code: WEB ACH Trace Number: 021000022912007</t>
  </si>
  <si>
    <t xml:space="preserve">AMZN Mktp US*3N66V9GD3 Amzn.com/bill WA </t>
  </si>
  <si>
    <t>AMZN MKTP US*LT38G3HV3 AMZN.COM/BILLWA
204QOU9K41I</t>
  </si>
  <si>
    <t xml:space="preserve">DicksSportingGoods.com Coraopolis PA </t>
  </si>
  <si>
    <t>Withdrawal ACH MHCHILDCARELLC TYPE: DUES ID: 1824708198 CO: MHCHILDCARELLC Entry Class Code: PPD ACH Trace Number: 096010419987745</t>
  </si>
  <si>
    <t>Withdrawal ACH MN DIR ACH TYPE: CONTRIB ID: 2416007162 CO: MN DIR ACH NAME: 922 89742742601 Entry Class Code: WEB ACH Trace Number: 011001233125407</t>
  </si>
  <si>
    <t>Withdrawal ACH DISCOVER TYPE: E-PAYMENT ID: 2510020270 CO: DISCOVER NAME: TRUITT JEFF Entry Class Code: WEB ACH Trace Number: 091000010207073</t>
  </si>
  <si>
    <t xml:space="preserve">AMZN Mktp US*GZ7RZ8QX3 Amzn.com/bill WA </t>
  </si>
  <si>
    <t>Deposit ACH CARGILL INCORPOR TYPE: DIRECT DEP ID: 9111111101 CO: CARGILL INCORPOR Entry Class Code: PPD ACH Trace Number: 091000017622320</t>
  </si>
  <si>
    <t>DICK'S CLOTHING&amp;SPORTING RICHFIELD    MN REF #74941350LN4RRBAXF</t>
  </si>
  <si>
    <t>ELITE NAILS LLC          CHANHASSEN   MN REF #24717050L3FYEZFXQ</t>
  </si>
  <si>
    <t>KAI'S SUSHI &amp; GRILL      CHANHASSEN   MN REF #24239000KS66QTNQ2</t>
  </si>
  <si>
    <t>SAKS                     212-320-4700 NY REF #74692160K32KP1MJH</t>
  </si>
  <si>
    <t>PAYMENT - THANK YOU REF #74734570N00XTMJG6</t>
  </si>
  <si>
    <t>Withdrawal ACH VENMO TYPE: PAYMENT ID: 326XXXXXXX CO: VENMO NAME: BRITNEY TRUITT Entry Class Code: WEB ACH Trace Number: 091000014975287</t>
  </si>
  <si>
    <t>BONFES PLUMBING HEATING A651-3326633  MN REF #24275390LS66HMKE6</t>
  </si>
  <si>
    <t>D J*WALL-ST-JOURNAL      800-568-7625 MA REF #24692160M34407S6E</t>
  </si>
  <si>
    <t>KWIK TRIP  40200004028   CHANHASSEN   MN REF #24164070LL3HLYJ59</t>
  </si>
  <si>
    <t>MAYNARD'S EXCELSIOR      EXCELSIOR    MN REF #24801970L61NH9AF9</t>
  </si>
  <si>
    <t>Netflix.com              866-5797172  CA REF #24906410L4S41Z8YS</t>
  </si>
  <si>
    <t>SOUTH LAKE PEDIATRICS    MINNETONKA   MN REF #74137460L01DK3LW6</t>
  </si>
  <si>
    <t>LULUS PIZZERIA II        EXCELSIOR    MN REF #24013390N029X8JDR</t>
  </si>
  <si>
    <t>Withdrawal ACH CITY OF CHANHASS TYPE: UTIL BILL ID: 1410885331 CO: CITY OF CHANHASS Entry Class Code: PPD ACH Trace Number: 091901960176874</t>
  </si>
  <si>
    <t>Withdrawal ACH VENMO TYPE: PAYMENT ID: 326XXXXXXX CO: VENMO NAME: BRITNEY TRUITT Entry Class Code: WEB ACH Trace Number: 091000014984023</t>
  </si>
  <si>
    <t>BUCK HILL WEBSITE        952-4357174  MN REF #24013390P02QF5MHY</t>
  </si>
  <si>
    <t>SAWYER* BOOKING FEE      HTTPSWWW.HISANY REF #24492160P0016BX7P</t>
  </si>
  <si>
    <t>SAWYER* LASENDASPANIS    LASENDASPANISNY REF #24492160P00165BM7</t>
  </si>
  <si>
    <t>Withdrawal ACH MHCHILDCARELLC TYPE: DUES ID: 1824708198 CO: MHCHILDCARELLC Entry Class Code: PPD ACH Trace Number: 096010416578024</t>
  </si>
  <si>
    <t>AMZN MKTP US AMZN.COM/BILLWA
4JN4NP89E56</t>
  </si>
  <si>
    <t>AMZN MKTP US*687QO5SQ3 AMZN.COM/BILLWA
58XV0OAILTL</t>
  </si>
  <si>
    <t>AMZN MKTP US*GM0LL4MZ3 AMZN.COM/BILLWA
TJV29QR2ONT</t>
  </si>
  <si>
    <t>AMZN MKTP US*ZU4LP6Z13 AMZN.COM/BILLWA
6SY3IF4FMJI</t>
  </si>
  <si>
    <t>COV WAYZATA WAYZATA MN</t>
  </si>
  <si>
    <t>Withdrawal ACH PAYPAL TYPE: INST XFER ID: PAYPALSI77 CO: PAYPAL NAME: JEFF TRUITT Entry Class Code: WEB ACH Trace Number: 091000010508259</t>
  </si>
  <si>
    <t>Withdrawal ACH TARGET CARD SRVC TYPE: AUTO PYMT ID: 1411721813 CO: TARGET CARD SRVC NAME: TRUITT JEFFREY B Entry Class Code: WEB ACH Trace Number: 091000010149550</t>
  </si>
  <si>
    <t>AMZN Mktp US             Amzn.com/billWA REF #74692160T2XHPPVXT</t>
  </si>
  <si>
    <t>AMZN Mktp US             Amzn.com/billWA REF #74692160T2XHTS6E1</t>
  </si>
  <si>
    <t>AMZN MKTP US*HA1374FV3 AMZN.COM/BILLWA
5PMTQQQJJUL</t>
  </si>
  <si>
    <t>LIONS TAP                952-9345299  MN REF #24000970TA6DSYQTM</t>
  </si>
  <si>
    <t>WAYZATA CAFE WAYZATA MN
APPLE PAY ENDING IN 8856</t>
  </si>
  <si>
    <t>WAYZATA COFFEE           WAYZATA      MN REF #24943000SW6BHR854</t>
  </si>
  <si>
    <t>Withdrawal ACH DISCOVER BANK TYPE: NET/MOBILE ID: 4510020271 CO: DISCOVER BANK NAME: JEFF TRUITT Entry Class Code: WEB ACH Trace Number: 091000013155257</t>
  </si>
  <si>
    <t>AMZN MKTP US*NB6RW3VZ3 AMZN.COM/BILLWA
4XP3GBJ71Y1</t>
  </si>
  <si>
    <t>KWIK TRIP  40200004028   CHANHASSEN   MN REF #24164070SL3HMFM5R</t>
  </si>
  <si>
    <t>WAYZATA COFFEE           WAYZATA      MN REF #24943000VW5H57LZK</t>
  </si>
  <si>
    <t>AMZN MKTP US*2O1RF8973 AMZN.COM/BILLWA
1AIKYAAJ5TG</t>
  </si>
  <si>
    <t>KOWALSKI'S EXCELSIOR MAR EXCELSIOR MN
APPLE PAY ENDING IN 8856</t>
  </si>
  <si>
    <t>Deposit ACH TRINET TYPE: PAYROLL ID: 194XXXXXXX CO: TRINET Entry Class Code: PPD ACH Trace Number: 041001034351950</t>
  </si>
  <si>
    <t>DOMINO'S 1931            EXCELSIOR    MN REF #24445000WEJ0BS8AE</t>
  </si>
  <si>
    <t>TST* Revival - St. Louis St Louis ParkMN REF #24692160X2X4T5S2P</t>
  </si>
  <si>
    <t>AMZN MKTP US*N33V53WK3 AMZN.COM/BILLWA
1JR3HY5EU7E</t>
  </si>
  <si>
    <t>AMZN MKTP US*PR6Z75NG3 AMZN.COM/BILLWA
6JIC3YDA5KA</t>
  </si>
  <si>
    <t>AMZN MKTP US*VQ1WG8LI3 AMZN.COM/BILLWA
78YUGC9GJQS</t>
  </si>
  <si>
    <t>PRIMP EXCELSIOR          EXCELSIOR    MN REF #24493980YBLRZ6ZXA</t>
  </si>
  <si>
    <t>PRIMP EXCELSIOR          EXCELSIOR    MN REF #24493980YBLRZ6ZXV</t>
  </si>
  <si>
    <t>TONKA TD CLUB            MINNETONKAFOOMN REF #24492160X000PZ352</t>
  </si>
  <si>
    <t>TST* FAT PANTS BREWING COEDEN PRAIRIE MN REF #24137460XEJGB522X</t>
  </si>
  <si>
    <t>Withdrawal ACH PAYPAL TYPE: INST XFER ID: PAYPALSI77 CO: PAYPAL NAME: JEFF TRUITT Entry Class Code: WEB ACH Trace Number: 091000010495486</t>
  </si>
  <si>
    <t>Withdrawal ACH PAYPAL TYPE: INST XFER ID: PAYPALSI77 CO: PAYPAL NAME: JEFF TRUITT Entry Class Code: WEB ACH Trace Number: 091000012041048</t>
  </si>
  <si>
    <t>Withdrawal ACH DISCOVER TYPE: E-PAYMENT ID: 2510020270 CO: DISCOVER NAME: TRUITT JEFF Entry Class Code: WEB ACH Trace Number: 091000017968959</t>
  </si>
  <si>
    <t>AMZN MKTP US AMZN.COM/BILLWA
1EE9XHQPN0R</t>
  </si>
  <si>
    <t>AMZN MKTP US AMZN.COM/BILLWA
72C7ESB3TOD</t>
  </si>
  <si>
    <t>AMZN MKTP US AMZN.COM/BILLWA
WAN2UAWAF28</t>
  </si>
  <si>
    <t>AMZN MKTP US*IM1FC5R13 AMZN.COM/BILLWA
4MCNHJTXMDN</t>
  </si>
  <si>
    <t>AMZN MKTP US*W60YM1F03 AMZN.COM/BILLWA
16PD1IU91L8</t>
  </si>
  <si>
    <t>AMZN MKTP US*WE9AR4IV3 AMZN.COM/BILLWA
2QPTTBS91GI</t>
  </si>
  <si>
    <t>AMZN MKTP US*YX1EK7943 AMZN.COM/BILLWA
3BV8ATO209J</t>
  </si>
  <si>
    <t>Deposit ACH connectyourcare TYPE: SVB-CLAIMS ID: E942875288 CO: connectyourcare Entry Class Code: PPD ACH Trace Number: 121140393427846</t>
  </si>
  <si>
    <t>Deposit Dividend 0.010% Annual Percentage Yield Earned 0.01% from 01/01/23 through 01/31/23</t>
  </si>
  <si>
    <t>Deposit Dividend Split Rate Annual Percentage Yield Earned 1.63% from 01/01/23 through 01/31/23</t>
  </si>
  <si>
    <t>DUNKIN #355310 Q35       MINNETRISTA  MN REF #24943000ZRQEB9K31</t>
  </si>
  <si>
    <t>HAZELWOOD FOOD &amp; DRINK -TEXCELSIOR    MN REF #24013390Y033T1KMY</t>
  </si>
  <si>
    <t>JOE  THE JUICE NEW YORK  784-1913065  NY REF #24204290Y01FN8SAA</t>
  </si>
  <si>
    <t>Patagonia                Cambridge    MA REF #24204290Y020SY0QP</t>
  </si>
  <si>
    <t>UBER   TRIP              HELP.UBER.COMCA REF #24492150ZLXSK873A</t>
  </si>
  <si>
    <t>AMAZON MUSIC*UH8WH6AE3 888-802-3080 WA3VNK4N4QF3J</t>
  </si>
  <si>
    <t>AMZN MKTP US AMZN.COM/BILLWA2JTWSFJ3B8Z</t>
  </si>
  <si>
    <t>AMZN MKTP US AMZN.COM/BILLWA3BCK8M1HCA2</t>
  </si>
  <si>
    <t>AMZN MKTP US AMZN.COM/BILLWA58MQ6RH0RKI</t>
  </si>
  <si>
    <t>AMZN MKTP US AMZN.COM/BILLWAW2ZPVKZH8SL</t>
  </si>
  <si>
    <t>AMZN MKTP US*P519D96P3 AMZN.COM/BILLWA1Z9KGQJ7VS7</t>
  </si>
  <si>
    <t>CREATIVE MOBIL10510014   BOSTON       MA REF #24164070Z2L8MQJ0X</t>
  </si>
  <si>
    <t>RIDGEVIEW MEDICAL CENTER WACONIA      MN REF #24801970Z1010P73W</t>
  </si>
  <si>
    <t>RIDGEVIEW MEDICAL CENTER WACONIA      MN REF #24801970Z1010R41M</t>
  </si>
  <si>
    <t>RIDGEVIEW MEDICAL CENTER WACONIA      MN REF #24801970Z1010RNN6</t>
  </si>
  <si>
    <t>UBER   TRIP              HELP.UBER.COMCA REF #24492150ZLR9F4145</t>
  </si>
  <si>
    <t>UBER* TRIP               WWW.UBER.COM CA REF #24492160Z00177BQ0</t>
  </si>
  <si>
    <t>US LACROSSE INC         410-235-6882 MD REF #24492150ZMN4PAGKG</t>
  </si>
  <si>
    <t>VINEYARD VINES LLC       800-892- CREDIT REF #74492150ZMN45VW77</t>
  </si>
  <si>
    <t>VINEYARD VINES LLC       800-892- CREDIT REF #74492150ZMN45VYNE</t>
  </si>
  <si>
    <t>Withdrawal ACH College Savings TYPE: ACH ID: 550895818 CO: College Savings Entry Class Code: PPD ACH Trace Number: 104910793925901</t>
  </si>
  <si>
    <t>Withdrawal ACH MHCHILDCARELLC TYPE: DUES ID: 1824708198 CO: MHCHILDCARELLC Entry Class Code: PPD ACH Trace Number: 096010415408263</t>
  </si>
  <si>
    <t>Withdrawal Home Banking Transfer To Loan 02 REF # 2863242</t>
  </si>
  <si>
    <t>Deposit ACH CARGILL INCORPOR TYPE: 005XXXXXXX ID: 2410177680 CO: CARGILL INCORPOR Entry Class Code: CTX ACH Trace Number: 111000021535851</t>
  </si>
  <si>
    <t>Deposit ACH CARGILL INCORPOR TYPE: DIRECT DEP ID: 9111111101 CO: CARGILL INCORPOR Entry Class Code: PPD ACH Trace Number: 091000017598815</t>
  </si>
  <si>
    <t>EB GRAZE 4 GOOD 2023     8014137200   CA REF #244921511MLEZK61E</t>
  </si>
  <si>
    <t>HILTON BOSTON WOBURN     WOBURN       MA REF #24055231011H4FGV3</t>
  </si>
  <si>
    <t>LSF HARBORSIDE           BOSTON       MA REF #24055231060MPVRDA</t>
  </si>
  <si>
    <t>UBER   TRIP              HELP.UBER.COMCA REF #244921510MLBDK9VS</t>
  </si>
  <si>
    <t>UBER   TRIP              HELP.UBER.COMCA REF #244921510MN7R941N</t>
  </si>
  <si>
    <t>PAYMENT - THANK YOU REF #74734571200XTMJG2</t>
  </si>
  <si>
    <t>Withdrawal ACH VENMO TYPE: PAYMENT ID: 326XXXXXXX CO: VENMO NAME: BRITNEY TRUITT Entry Class Code: WEB ACH Trace Number: 091000010459336</t>
  </si>
  <si>
    <t>Withdrawal ACH VENMO TYPE: PAYMENT ID: 326XXXXXXX CO: VENMO NAME: BRITNEY TRUITT Entry Class Code: WEB ACH Trace Number: 091000010696625</t>
  </si>
  <si>
    <t>HBRSUBSCRIPTION          800-988-0886 MA REF #244921511LRJ0EJG1</t>
  </si>
  <si>
    <t>Just Eat                 London       GB REF #7498750120116BBN7</t>
  </si>
  <si>
    <t>LIFE TIME CAFE 151Q48    868-284-0048 MN REF #2469216112ZY1JS3Z</t>
  </si>
  <si>
    <t>MAYNARD'S EXCELSIOR EXCELSIOR MN</t>
  </si>
  <si>
    <t>PALENQUE HOTEL           ACCOUNTING@ISPB REF #7461219110YSVZN5K</t>
  </si>
  <si>
    <t>PRAIRIE LAWN AND GARDEN, EDEN PRAIRIE MN</t>
  </si>
  <si>
    <t>Withdrawal ACH VENMO TYPE: PAYMENT ID: 326XXXXXXX CO: VENMO NAME: BRITNEY TRUITT Entry Class Code: WEB ACH Trace Number: 091000015792968</t>
  </si>
  <si>
    <t>KOWALSKI'S EXCELSIOR MAR EXCELSIOR MNAPPLE PAY ENDING IN 8856</t>
  </si>
  <si>
    <t>PRIME VIDEO *DR48P45L3 888-802-3080 WA25P789SXL2R</t>
  </si>
  <si>
    <t>TOTAL WINE AND MORE MINNETONKA MN</t>
  </si>
  <si>
    <t>TST* DUKES ON 7 612-205-3286 MNAPPLE PAY ENDING IN 885600017403010268983968AA</t>
  </si>
  <si>
    <t>BALANCE TRANSFER FOR ACCT ENDING IN 9181 REF #00000000000ATNEWA</t>
  </si>
  <si>
    <t>SQ *WINGMAN MATT LLC GOSQ.COM MN0002305843017010247113</t>
  </si>
  <si>
    <t>Amazon Prime*F84NX9293   Amzn.com/billWA REF #&amp;F56620015000IXFRL</t>
  </si>
  <si>
    <t>AMZN MKTP US*DB57A2BP3 AMZN.COM/BILLWA1SWTN6Z4X0J</t>
  </si>
  <si>
    <t>Deposit ACH VENMO TYPE: CASHOUT ID: 526XXXXXXX CO: VENMO Entry Class Code: PPD ACH Trace Number: 091000017867461</t>
  </si>
  <si>
    <t>MSP AIRPORT PARKING      SAINT PAUL   MN REF #&amp;F56620015000IXFRL</t>
  </si>
  <si>
    <t>RENAISSANCE HTLS WATER   BOSTON       MA REF #&amp;F56620015000IXFRL</t>
  </si>
  <si>
    <t>THE ORVIS COMPANY INC    800-635-7635 VT REF #&amp;F56620015000IXFRL</t>
  </si>
  <si>
    <t>Withdrawal Debit Card EDEN PRARIE FOOD AND GAS EDEN PRARIE MN Date 02/05/23 XXXXXXXXXXXX-6009XXXXXXX 5542</t>
  </si>
  <si>
    <t>Withdrawal Home Banking Pmt to card XXXXXXXXXXXX-5913</t>
  </si>
  <si>
    <t>PAYMENT - THANK YOU REF #74734571600XTMJG8</t>
  </si>
  <si>
    <t>Withdrawal ACH VENMO TYPE: PAYMENT ID: 326XXXXXXX CO: VENMO NAME: BRITNEY TRUITT Entry Class Code: WEB ACH Trace Number: 091000010931123</t>
  </si>
  <si>
    <t>AMAZON.COM*H91BY6UQ0 AMZN.COM/BILLWA5U0WPJ38M9G</t>
  </si>
  <si>
    <t>AMZN MKTP US*D39K169E3 AMZN.COM/BILLWA78T7FO417U3</t>
  </si>
  <si>
    <t>AMZN MKTP US*WG8SZ68D3 AMZN.COM/BILLWA5KUY9GPF9G0</t>
  </si>
  <si>
    <t>AMZN MKTP US*Y69LQ24V3 AMZN.COM/BILLWA3X6HUKFB7VN</t>
  </si>
  <si>
    <t>RIDGEVIEW MEDICAL CENTER 7635593779 MN</t>
  </si>
  <si>
    <t>SP GRAYHOMELIFESTYLE 9524749150 MN</t>
  </si>
  <si>
    <t>SP OOH LA LA LLC 9524741743 MN</t>
  </si>
  <si>
    <t>Withdrawal ACH MHCHILDCARELLC TYPE: DUES ID: 1824708198 CO: MHCHILDCARELLC Entry Class Code: PPD ACH Trace Number: 096010416458183</t>
  </si>
  <si>
    <t>Withdrawal ACH WASTE MANAGEMENT TYPE: INTERNET ID: 9049038216 CO: WASTE MANAGEMENT Entry Class Code: PPD ACH Trace Number: 043305132766495</t>
  </si>
  <si>
    <t>AMZN MKTP US AMZN.COM/BILLWA4LJ8060YIPU</t>
  </si>
  <si>
    <t>AMZN MKTP US AMZN.COM/BILLWA5IKI7V2WJT6</t>
  </si>
  <si>
    <t>AMZN MKTP US AMZN.COM/BILLWA6AZBHD6C6M4</t>
  </si>
  <si>
    <t>AMZN MKTP US AMZN.COM/BILLWA6ET8X85GH7T</t>
  </si>
  <si>
    <t>AMZN MKTP US AMZN.COM/BILLWA6LAEYA10HQX</t>
  </si>
  <si>
    <t>AMZN MKTP US AMZN.COM/BILLWAZ6F8GH8H22I</t>
  </si>
  <si>
    <t>AMZN MKTP US*1R9TR70S3 AMZN.COM/BILLWA37C4E9C06B5</t>
  </si>
  <si>
    <t>AMZN MKTP US*H93C09Y40 AMZN.COM/BILLWA6Z40N5XM5MR</t>
  </si>
  <si>
    <t>AMZN MKTP US*I28F73K13 AMZN.COM/BILLWA4VRUZWH4U70</t>
  </si>
  <si>
    <t>Deposit ACH connectyourcare TYPE: SVB-CLAIMS ID: E942875288 CO: connectyourcare Entry Class Code: PPD ACH Trace Number: 121140394891805</t>
  </si>
  <si>
    <t>SQ *WINGMAN MATT LLC GOSQ.COM MN0002305843017023918588</t>
  </si>
  <si>
    <t>Withdrawal ACH CPENERGY MNGCO TYPE: MGC ACH EB ID: 176051140S CO: CPENERGY MNGCO NAME: CENTERPOINT ENERGY OTP Entry Class Code: WEB ACH Trace Number: 021000028790328</t>
  </si>
  <si>
    <t>Withdrawal ACH PAYPAL TYPE: INST XFER ID: PAYPALSI77 CO: PAYPAL NAME: JEFF TRUITT Entry Class Code: WEB ACH Trace Number: 091000018185657</t>
  </si>
  <si>
    <t>PAYMENT - THANK YOU REF #74734571800XTMJG4</t>
  </si>
  <si>
    <t>Withdrawal ACH VENMO TYPE: PAYMENT ID: 326XXXXXXX CO: VENMO NAME: BRITNEY TRUITT Entry Class Code: WEB ACH Trace Number: 091000011115321</t>
  </si>
  <si>
    <t>Withdrawal ACH XCEL ENERGY-MN TYPE: XCELENERGY ID: 7411967505 CO: XCEL ENERGY-MN NAME: BCU POWERPLUS468037106 Entry Class Code: WEB ACH Trace Number: 091000011738138</t>
  </si>
  <si>
    <t>LANDRY MGT LOYALTY 800-394-3839 TX</t>
  </si>
  <si>
    <t>AVO*ADVOCARE INTL 800-542-4800 TXAPPLE PAY ENDING IN 885691048590TDWTIBGQ</t>
  </si>
  <si>
    <t>CUB FOODS 01644 952-934-1010 MNAPPLE PAY ENDING IN 8856</t>
  </si>
  <si>
    <t>PELOTON* MEMBERSHIP      HTTPSWWW.ONEPNY REF #2401134190002AK24</t>
  </si>
  <si>
    <t>BUDDY BOY FINE BARBEQUE  877-8144102  MN REF #240372419S66EW80F</t>
  </si>
  <si>
    <t>ELITE NAILS LLC          CHANHASSEN   MN REF #2471705198550H9T0</t>
  </si>
  <si>
    <t>LAKEWINDS - CHANHASSEN   CHANHASSEN   MN REF #24055231ARBGRK1KP</t>
  </si>
  <si>
    <t>MTKA YOUTH LAX           WWW.MTKALAX.OMN REF #2449216190013WT0Z</t>
  </si>
  <si>
    <t>PARTY CITY BOPIS         800-727-8924 NJ REF #24692161A35WJ6EX8</t>
  </si>
  <si>
    <t>SPEEDWAY 04159           EDEN PRAIRIE MN REF #24137461B01B9V29J</t>
  </si>
  <si>
    <t>SQ *MAYNARDS             Shorewood    MN REF #24692161A368X4KS7</t>
  </si>
  <si>
    <t>AMZN MKTP US*H91XZ1RI2 AMZN.COM/BILLWA3B2X6EIBGCY</t>
  </si>
  <si>
    <t>CASHSTAR STARBUCKS GFT 877-850-1977 MEAPPLE PAY ENDING IN 8856744563969DVTNJFS</t>
  </si>
  <si>
    <t>MALL OF AMERICA          BLOOMINGTON  MN REF #24692161B2XE17ASD</t>
  </si>
  <si>
    <t>SECURITY ADJUSTMENT (SD) REF #F5662001C000SD4F9</t>
  </si>
  <si>
    <t>Deposit ACH TRINET TYPE: PAYROLL ID: 194XXXXXXX CO: TRINET Entry Class Code: PPD ACH Trace Number: 041001039019293</t>
  </si>
  <si>
    <t>JIMMY JOHNS -923 - ECO CHANHASSEN MNAPPLE PAY ENDING IN 8856</t>
  </si>
  <si>
    <t>METROPOLITAN ANESTHESIA  763-559-3779 MN REF #24801971QTQEBPQGM</t>
  </si>
  <si>
    <t>Withdrawal ACH MHCHILDCARELLC TYPE: DUES ID: 1824708198 CO: MHCHILDCARELLC Entry Class Code: PPD ACH Trace Number: 096010411580494</t>
  </si>
  <si>
    <t>Withdrawal ACH AMERICAN FAMILY TYPE: WEBPAYMENT ID: PEBP075965 CO: AMERICAN FAMILY NAME: Authorized by Customer Entry Class Code: WEB ACH Trace Number: 021000020119422</t>
  </si>
  <si>
    <t>Withdrawal ACH DISCOVER TYPE: E-PAYMENT ID: 2510020270 CO: DISCOVER NAME: TRUITT JEFF Entry Class Code: WEB ACH Trace Number: 091000014497255</t>
  </si>
  <si>
    <t>AMZN MKTP US AMZN.COM/BILLWA6NRM1LXT3NE</t>
  </si>
  <si>
    <t>CENTURYLINK LUMEN        800-244-1111 LA REF #24692161D2Z4F5VY8</t>
  </si>
  <si>
    <t>Deposit ACH PAYPAL TYPE: TRANSFER ID: PAYPALSD11 CO: PAYPAL Entry Class Code: PPD ACH Trace Number: 091000017461826</t>
  </si>
  <si>
    <t>Rey Azteca Mexican RestauChanhassen   MN REF #24193041E036NZ04Z</t>
  </si>
  <si>
    <t>BLUEFIN GRILLE TOFTE MN</t>
  </si>
  <si>
    <t>Deposit ACH CARGILL INCORPOR TYPE: 005XXXXXXX ID: 2410177680 CO: CARGILL INCORPOR Entry Class Code: CTX ACH Trace Number: 111000020459222</t>
  </si>
  <si>
    <t>Deposit ACH CARGILL INCORPOR TYPE: DIRECT DEP ID: 9111111101 CO: CARGILL INCORPOR Entry Class Code: PPD ACH Trace Number: 091000017719863</t>
  </si>
  <si>
    <t>Deposit ACH EMPYREAN SOLUTIO TYPE: 193XXXXXXX ID: 5330903620 CO: EMPYREAN SOLUTIO Entry Class Code: PPD ACH Trace Number: 091000016660692</t>
  </si>
  <si>
    <t>HASKELLS EXCELSIOR       952-4740935  MN REF #24540451F01MLVLXK</t>
  </si>
  <si>
    <t>LUNDS&amp;BYERLYS CHANH      CHANHASSEN   MN REF #24427331EM83FXF7N</t>
  </si>
  <si>
    <t>SPEEDWAY 04095           CHASKA       MN REF #24137461F01BH7GVN</t>
  </si>
  <si>
    <t>SPEEDWAY 04095           CHASKA       MN REF #24137461F01BH7H1Q</t>
  </si>
  <si>
    <t>WAYZATA CAFE             WAYZATA      MN REF #24943001FW5ZKA94V</t>
  </si>
  <si>
    <t>FOSS SWIM SCHOOL         HTTPSWWW.FOSSMN REF #24011341F001B9K5J</t>
  </si>
  <si>
    <t>LUTSEN MOUNTAINS         999-9999999  MN REF #24325451FS66FL7QS</t>
  </si>
  <si>
    <t>SUPER ONE FOODS          DULUTH       MN REF #24427331FLYRNX1FW</t>
  </si>
  <si>
    <t>SUPER ONE LIQUOR   SSS   DULUTH       MN REF #24427331FLYRNRX7A</t>
  </si>
  <si>
    <t>BCS*MINNETONKA COMMUNITY 952-401-6800 MN REF #24137461H01FP3JVZ</t>
  </si>
  <si>
    <t>ELMCC* EXCELSIOR CHAMB   HTTPSWWW.EXCEMN REF #24492161H0016W18Q</t>
  </si>
  <si>
    <t>MOUNTAIN SHOPS INC      LUTSEN       MN REF #24275391GS66HF7E9</t>
  </si>
  <si>
    <t>MOUNTAIN SHOPS INC      LUTSEN       MN REF #24275391GS66HF7ES</t>
  </si>
  <si>
    <t>TST* CASTLE DANGER BREWERTWO HARBORS  MN REF #24137461GEJ934E3T</t>
  </si>
  <si>
    <t>BLUEFIN BAY FAMILY OF    TOFTE        MN REF #24000971JD9KPXWM6</t>
  </si>
  <si>
    <t>PAPA CHARLIES RSTRNT     LUTSEN       MN REF #24325451JS66KPBB0</t>
  </si>
  <si>
    <t>ROSIES CAFE LUTSEN       LUTSEN       MN REF #24325451JS66G010S</t>
  </si>
  <si>
    <t>ROSIES CAFE LUTSEN       LUTSEN       MN REF #24325451JS66G0GQF</t>
  </si>
  <si>
    <t>SUMMIT CHALET            LUTSEN       MN REF #24325451JS66KYG2A</t>
  </si>
  <si>
    <t>Withdrawal at ATM #000000002589 BMO HARRIS BANK NA 761 WEST 78TH STREET CHANHASSEN MN</t>
  </si>
  <si>
    <t>KWIK TRIP  44100004416   SHAKOPEE     MN REF #24164071KL3HEG6WS</t>
  </si>
  <si>
    <t>SP FAHERTY               FAHERTY.MYSHONY REF #24492161K000SZBLK</t>
  </si>
  <si>
    <t>TST* CANAL PARK BREWING CDULUTH       MN REF #24137461KEJD0SASH</t>
  </si>
  <si>
    <t>TWEET PEDIATRIC DENTIS   CHANHASSEN   MN REF #24071051KVAMDT6YQ</t>
  </si>
  <si>
    <t>Withdrawal ACH BARCLAYCARD US TYPE: CREDITCARD ID: 2510407970 CO: BARCLAYCARD US NAME: BRITNEY TRUITT Entry Class Code: WEB ACH Trace Number: 026002571678481</t>
  </si>
  <si>
    <t>Withdrawal ACH CITY OF CHANHASS TYPE: UTIL BILL ID: 1410885331 CO: CITY OF CHANHASS Entry Class Code: PPD ACH Trace Number: 091901960180656</t>
  </si>
  <si>
    <t>Withdrawal ACH Coinbase.com TYPE: UMPR9WKS ID: 1455293997 CO: Coinbase.com NAME: JEFF TRUITT Entry Class Code: WEB ACH Trace Number: 021214891857319</t>
  </si>
  <si>
    <t>Withdrawal ACH MN DIR ACH TYPE: CONTRIB ID: 2416007162 CO: MN DIR ACH NAME: 230 89742742601 Entry Class Code: WEB ACH Trace Number: 011001231596447</t>
  </si>
  <si>
    <t>Withdrawal ACH PAYPAL TYPE: INST XFER ID: PAYPALSI77 CO: PAYPAL NAME: JEFF TRUITT Entry Class Code: WEB ACH Trace Number: 091000017996792</t>
  </si>
  <si>
    <t>Withdrawal ACH NORDSTROM TYPE: PAYMENT ID: 9044022131 CO: NORDSTROM NAME: Jeff Truitt Jeff Truit Entry Class Code: WEB ACH Trace Number: 043305137764420</t>
  </si>
  <si>
    <t>AMAZON.COM*HP2C95WZ0 AMZN.COM/BILLWA2KIE06S2P10</t>
  </si>
  <si>
    <t>D J*WALL-ST-JOURNAL      800-568-7625 MA REF #24692161M340MYX14</t>
  </si>
  <si>
    <t>Deposit ACH connectyourcare TYPE: SVB-CLAIMS ID: E942875288 CO: connectyourcare Entry Class Code: PPD ACH Trace Number: 121140392780933</t>
  </si>
  <si>
    <t>Withdrawal ACH MHCHILDCARELLC TYPE: DUES ID: 1824708198 CO: MHCHILDCARELLC Entry Class Code: PPD ACH Trace Number: 096010418789172</t>
  </si>
  <si>
    <t>AMZN Mktp US*HP3N741B2   Amzn.com/billWA REF #24692161M34ABJEW5</t>
  </si>
  <si>
    <t>Netflix.com              866-5797172  CA REF #24906411M4WBE992V</t>
  </si>
  <si>
    <t>SP MAVI USA              HTTPSMAVIGIYINY REF #24492161M000ZK3E1</t>
  </si>
  <si>
    <t>LULULEMONCOM*            877-263-9300 CA REF #24692161N34PDXQJ9</t>
  </si>
  <si>
    <t>PARK N FLY RESERVATIONS  goo.gl/gVdePhGA REF #24210731P2MA55Q8R</t>
  </si>
  <si>
    <t>USPS PO 2616400317       CHANHASSEN   MN REF #24137461P00YGHV0S</t>
  </si>
  <si>
    <t>AMZN MKTP US*HP8YI8R11 AMAMZN.COM/BILLWA REF #24431061R2E03N4GG</t>
  </si>
  <si>
    <t>Deposit ACH TRINET TYPE: PAYROLL ID: 194XXXXXXX CO: TRINET Entry Class Code: PPD ACH Trace Number: 041001038659586</t>
  </si>
  <si>
    <t>Kids Hair - CH           Chanhassen   MN REF #24793381P023W1W6J</t>
  </si>
  <si>
    <t>LUNDS&amp;BYERLYS CHANH      CHANHASSEN   MN REF #24427331PM83TW4JP</t>
  </si>
  <si>
    <t>MAYNARDS R* MAYNARDS E   MAYNARDSEXCELMN REF #24492161T00013D5R</t>
  </si>
  <si>
    <t>VAIL PASS SALES 0374     888-838-0495 CO REF #24610431P03R3QRQX</t>
  </si>
  <si>
    <t>AFTON ALPS F&amp;B           HASTINGS     MN REF #24431061TW69PGR37</t>
  </si>
  <si>
    <t>AFTON ALPS F&amp;B           HASTINGS     MN REF #24431061TW6A9MD3M</t>
  </si>
  <si>
    <t>AMZN Mktp US*HD93F2C41   Amzn.com/billWA REF #24692161T2XTBKHY9</t>
  </si>
  <si>
    <t>CUB FOODS                CHANHASSEN   MN REF #24427331TM83B998B</t>
  </si>
  <si>
    <t>SP FAHERTY               FAHERTY.MYSHONY REF #24492161S0000VJ6V</t>
  </si>
  <si>
    <t>VAIL PASS SALES 0374     888-838-0495 CO REF #24610431T03R69175</t>
  </si>
  <si>
    <t>Withdrawal ACH TARGET CARD SRVC TYPE: AUTO PYMT ID: 1411721813 CO: TARGET CARD SRVC NAME: TRUITT JEFFREY B Entry Class Code: WEB ACH Trace Number: 091000011662096</t>
  </si>
  <si>
    <t>Deposit Dividend Split Rate Annual Percentage Yield Earned 2.22% from 02/01/23 through 02/28/23</t>
  </si>
  <si>
    <t>KWIK TRIP  40200004028   CHANHASSEN   MN REF #24164071SL3HF3EKF</t>
  </si>
  <si>
    <t>SP FAHERTY               FAHERTY.MYSHONY REF #24492161S000FDPAF</t>
  </si>
  <si>
    <t>TRADING POST             760-6996800  CA REF #24000971SEBDPWD18</t>
  </si>
  <si>
    <t>Withdrawal ACH MHCHILDCARELLC TYPE: DUES ID: 1824708198 CO: MHCHILDCARELLC Entry Class Code: PPD ACH Trace Number: 096010419670856</t>
  </si>
  <si>
    <t>Withdrawal ACH PAYPAL TYPE: INST XFER ID: PAYPALSI77 CO: PAYPAL NAME: JEFF TRUITT Entry Class Code: WEB ACH Trace Number: 021000020174046</t>
  </si>
  <si>
    <t>Withdrawal ACH PAYPAL TYPE: INST XFER ID: PAYPALSI77 CO: PAYPAL NAME: JEFF TRUITT Entry Class Code: WEB ACH Trace Number: 091000017859932</t>
  </si>
  <si>
    <t>Discover More Card - Ending in 7779</t>
  </si>
  <si>
    <t>Powerplus - Ending in 8s01</t>
  </si>
  <si>
    <t>Cash for cleaning</t>
  </si>
  <si>
    <t>Withdrawal Ach College Savings Type: Ach Id: Xxxxx5818 Co: College Savings Entry Class Code: Ppd Ach Trace Number: Xxxxxxxxxxx0089</t>
  </si>
  <si>
    <t>Withdrawal Home Banking Pmt To Card Xxxxxxxxxxxx-5913</t>
  </si>
  <si>
    <t>Withdrawal Home Banking Transfer To Loan 02 Ref # Xxx3857</t>
  </si>
  <si>
    <t>Cash Rewards Visa Signature - Ending in 5913</t>
  </si>
  <si>
    <t>Payment - Thank You Ref #xxxx4571x00xtmjg8</t>
  </si>
  <si>
    <t>Act*city Of Chanhassen Xxx-xxx1400 Mn Ref #xxxx3391w002mffs3</t>
  </si>
  <si>
    <t>Act*city Of Chanhassen Xxx-xxx1400 Mn Ref #xxxx3391w002mfhmq</t>
  </si>
  <si>
    <t>Cargill Inc</t>
  </si>
  <si>
    <t>Fedex</t>
  </si>
  <si>
    <t>Minneapolis-saint Paul International Airport</t>
  </si>
  <si>
    <t>Raw And Juicy</t>
  </si>
  <si>
    <t>Atl Sweetwater Bar &amp; G Xxx-xxx8810 Ga Ref #xxxx0971yevl4ps1t</t>
  </si>
  <si>
    <t>Faherty Brand</t>
  </si>
  <si>
    <t>Georges At Alys Beach Rosemary Beacfl Ref #xxxx3391z00qf3nhd</t>
  </si>
  <si>
    <t>Georges At Alys Beach Rosemary Beacfl Ref #xxxx3391z00qf3p2f</t>
  </si>
  <si>
    <t>Orvis</t>
  </si>
  <si>
    <t>Playa Bowls</t>
  </si>
  <si>
    <t>Sp Mavi Usa Httpsmavigiyiny Ref #xxxx2161y000grtm6</t>
  </si>
  <si>
    <t>Sq *charlies Cafe At Rosesanta Rosa Befl Ref #xxxx2161y31he3t89</t>
  </si>
  <si>
    <t>Beach &amp; Brew On 30a Seacrest Fl Ref #xxxxxx3200fv7k9lq</t>
  </si>
  <si>
    <t>Pescado Seafood Grill Rosemary Beacfl Ref #xxxxx1020s66hqllv</t>
  </si>
  <si>
    <t>Restaurant Paradis</t>
  </si>
  <si>
    <t>Seacrest Sundries</t>
  </si>
  <si>
    <t>Smallcakes 30a Inlet Beach Fl Ref #xxxxx9821bmbk8fm3</t>
  </si>
  <si>
    <t>Surf Style</t>
  </si>
  <si>
    <t>Tst* Third Cup Rosemary Beacfl Ref #xxxxx4620ejqqajde</t>
  </si>
  <si>
    <t>Yd</t>
  </si>
  <si>
    <t>Crabby Steves Inlet Beach Fl Ref #xxxxx9721f7xl9jtm</t>
  </si>
  <si>
    <t>Crabby Steves Inlet Beach Fl Ref #xxxxx9721f7xl9k15</t>
  </si>
  <si>
    <t>Sq *gifts Accessories &amp; Inlet Beach Fl Ref #xxxxxxx2133p9bm66</t>
  </si>
  <si>
    <t>Withdrawal Ach Mhchildcarellc Type: Dues Id: Xxxxxx8198 Co: Mhchildcarellc Entry Class Code: Ppd Ach Trace Number: Xxxxxxxxxxx4114</t>
  </si>
  <si>
    <t>Cefco</t>
  </si>
  <si>
    <t>Chick-fil-a</t>
  </si>
  <si>
    <t>La Cocina</t>
  </si>
  <si>
    <t>The Hertz Corporation</t>
  </si>
  <si>
    <t>Tst* Third Cup Rosemary Beacfl Ref #xxxxx4622ejbmm8rz</t>
  </si>
  <si>
    <t>Tst* Third Cup Rosemary Beacfl Ref #xxxxx4622ejbmm8vh</t>
  </si>
  <si>
    <t>Centerpoint Energy</t>
  </si>
  <si>
    <t>Minnetonka Public Schools</t>
  </si>
  <si>
    <t>Allegiant Air</t>
  </si>
  <si>
    <t>All Seasons Garment Care Excelsior Mn Ref #xxxxxxxx6039g9fjt</t>
  </si>
  <si>
    <t>Allied Parking-nordic Minneapolis Mn Ref #xxxxxxx2536qbprgg</t>
  </si>
  <si>
    <t>Iron Tap</t>
  </si>
  <si>
    <t>Park 'n Fly</t>
  </si>
  <si>
    <t>Thr3 Jack Minneapolis Mn Ref #xxxxxxxx5600w6d7b</t>
  </si>
  <si>
    <t>Act Cityof Waconia Waconia Mn Ref #xxxxxx6272yf017vf</t>
  </si>
  <si>
    <t>Blvd *face Foundrie Waywayzata Mn Ref #xxxxx0027ej34e5bm</t>
  </si>
  <si>
    <t>Blvd *face Foundrie Waywayzata Mn Ref #xxxxx0027ej34e5dy</t>
  </si>
  <si>
    <t>Brookies Fish Market Saint Louis Pmn Ref #xxxxxx9272xkjpqs0</t>
  </si>
  <si>
    <t>Centurylink</t>
  </si>
  <si>
    <t>Sp Faherty Faherty.myshony Ref #xxxxxxxxx0008hq0x</t>
  </si>
  <si>
    <t>Tst* The Grocers Table Wayzata Mn Ref #xxxxxx6272yed9m3d</t>
  </si>
  <si>
    <t>Trinet</t>
  </si>
  <si>
    <t>Internet Payment - Thank You</t>
  </si>
  <si>
    <t>Payment - Thank You Ref #xxxx4572a00xtmjg3</t>
  </si>
  <si>
    <t>Barclaycard Us</t>
  </si>
  <si>
    <t>Discover Bank</t>
  </si>
  <si>
    <t>Paypal</t>
  </si>
  <si>
    <t>Withdrawal Ach Mhchildcarellc Type: Dues Id: Xxxxxx8198 Co: Mhchildcarellc Entry Class Code: Ppd Ach Trace Number: Xxxxxxxxxxx8651</t>
  </si>
  <si>
    <t>Amazon Digital Services</t>
  </si>
  <si>
    <t>Coinbase</t>
  </si>
  <si>
    <t>Cargill</t>
  </si>
  <si>
    <t>Jaxen Grey - Ridgedale Minnetonka Mn Ref #xxxx9792dejf4xxda</t>
  </si>
  <si>
    <t>Mgm Liquor Warehouse</t>
  </si>
  <si>
    <t>Sp Faherty Faherty.myshony Ref #xxxx2162q000hn5e1</t>
  </si>
  <si>
    <t>Buddy Boy Bbq Minnetrista Mn Ref #xxxx9992es66df1zp</t>
  </si>
  <si>
    <t>Withdrawal Ach Mn Dir Ach Type: Contrib Id: Xxxxxx7162 Co: Mn Dir Ach Name: Xxx Xxxxxxx2601 Entry Class Code: Web Ach Trace Number: Xxxxxxxxxxx4673</t>
  </si>
  <si>
    <t>Wall Street Journal</t>
  </si>
  <si>
    <t>Withdrawal Ach City Of Chanhass Type: Util Bill Id: Xxxxxx5331 Co: City Of Chanhass Entry Class Code: Ppd Ach Trace Number: Xxxxxxxxxxx4639</t>
  </si>
  <si>
    <t>Withdrawal Ach Mhchildcarellc Type: Dues Id: Xxxxxx8198 Co: Mhchildcarellc Entry Class Code: Ppd Ach Trace Number: Xxxxxxxxxxx4171</t>
  </si>
  <si>
    <t>Bonfes Plumbing Heating Axxx-xxx6633 Mn Ref #xxxx5392gs66j2x1v</t>
  </si>
  <si>
    <t>Delta Skymiles Platinum - Ending in 1007</t>
  </si>
  <si>
    <t>Sp Normal Brand Llc Thenormalbranmo Ref #xxxx2162g000r27gj</t>
  </si>
  <si>
    <t>Asian Mart</t>
  </si>
  <si>
    <t>Pei Wei Asian Diner</t>
  </si>
  <si>
    <t>At&amp;t</t>
  </si>
  <si>
    <t>Tst* Red Wagon Pizzaminneapolis Xxxxxxx3086 Restaurant</t>
  </si>
  <si>
    <t>Online Payment - Thank You</t>
  </si>
  <si>
    <t>Tst* Blvd Minnetonka Mn Ref #xxxx7462m2xx6wdqt</t>
  </si>
  <si>
    <t>Hyatt</t>
  </si>
  <si>
    <t>Withdrawal Ach Mhchildcarellc Type: Dues Id: Xxxxxx8198 Co: Mhchildcarellc Entry Class Code: Ppd Ach Trace Number: Xxxxxxxxxxx4363</t>
  </si>
  <si>
    <t>Jj S Poke Edina Mn Xxxxxxxxxxxxxx-xxx-3780</t>
  </si>
  <si>
    <t>Lunds &amp; Byerlys</t>
  </si>
  <si>
    <t>Tst* Nautical Bowls Victoria Mn Xxxxxxxxxxx Xxxxxx1039</t>
  </si>
  <si>
    <t>Maynards R* Maynardsexcelsior Mn Nt_ncd07phz +xxxxxxx2469</t>
  </si>
  <si>
    <t>Withdrawal At Atm #xxxxxxxxxxxx 435 Water St Excelsior Mn</t>
  </si>
  <si>
    <t>Deposit Atm Fee Refund</t>
  </si>
  <si>
    <t>Deposit Dividend Split Rate Annual Percentage Yield Earned 2.46% From 03/01/23 Through 03/31/23</t>
  </si>
  <si>
    <t>Food Truck Alley Saint Paul Mn 03xkdpv5d3e Xxxxxx0055</t>
  </si>
  <si>
    <t>Publix</t>
  </si>
  <si>
    <t>Smokin R's Bbq Naples Fl Rqdp9hw5zii Squareup.com/receipts</t>
  </si>
  <si>
    <t>Powerplus - Ending in 8s36</t>
  </si>
  <si>
    <t>Withdrawal Home Banking Transfer To Loan 02 REF # 3832345</t>
  </si>
  <si>
    <t>Cash Rewards Visa Signature - Ending in 5977</t>
  </si>
  <si>
    <t>Amazon Music*HY9257YF0   888-802-3080 WA REF #24692162V302TS4ZQ</t>
  </si>
  <si>
    <t>Cash Rewards Visa Signature - Ending in 5976</t>
  </si>
  <si>
    <t>AMZN Mktp US*HS8HE9CE0   Amzn.com/billWA REF #24692162V305QQLWQ</t>
  </si>
  <si>
    <t>Mcdonald's</t>
  </si>
  <si>
    <t>Cash Rewards Visa Signature - Ending in 5978</t>
  </si>
  <si>
    <t>SP NORMAL BRAND LLC THENORMALBRAN CREDIT REF #24492162S000H2HSP</t>
  </si>
  <si>
    <t>Ruby Tuesday</t>
  </si>
  <si>
    <t>Powerplus - Ending in 8s35</t>
  </si>
  <si>
    <t>Withdrawal ACH College Savings TYPE: ACH ID: 550895818 CO: College Savings Entry Class Code: PPD ACH Trace Number: 104910797000009</t>
  </si>
  <si>
    <t>Cash Rewards Visa Signature - Ending in 5975</t>
  </si>
  <si>
    <t>SEAGULLCOVE LODGE        CHIRIQUI     PB REF #74505922X5KXEP17F</t>
  </si>
  <si>
    <t>Cash Rewards Visa Signature - Ending in 5974</t>
  </si>
  <si>
    <t>MINI SUPER DIYEAN        DAVID        PB REF #74345522X0SSKGHT7</t>
  </si>
  <si>
    <t>Cash Rewards Visa Signature - Ending in 5973</t>
  </si>
  <si>
    <t>SEAGULLCOVE LODGE        CHIRIQUI     PB REF #74505922Y5353H7JE</t>
  </si>
  <si>
    <t>Powerplus - Ending in 8s33</t>
  </si>
  <si>
    <t>Deposit ACH EMPYREAN SOLUTIO TYPE: 193XXXXXXX ID: 5330903620 CO: EMPYREAN SOLUTIO Entry Class Code: PPD ACH Trace Number: 091000018383293</t>
  </si>
  <si>
    <t>Palenque Hotel Chiriqu Ch Lodging</t>
  </si>
  <si>
    <t>Cash Rewards Visa Signature - Ending in 5969</t>
  </si>
  <si>
    <t>DFA TOCUMEN C2 39        TOCUMEN      PB REF #7421956320628NPZ1</t>
  </si>
  <si>
    <t>Cash Rewards Visa Signature - Ending in 5968</t>
  </si>
  <si>
    <t>KOTOWA COFFEE HOUSE-DA   CHIRIQUI     PB REF #7450592327TNFL481</t>
  </si>
  <si>
    <t>Cash Rewards Visa Signature - Ending in 5970</t>
  </si>
  <si>
    <t>PELOTON* MEMBERSHIP      HTTPSWWW.ONEPNY REF #240113432000YL3FG</t>
  </si>
  <si>
    <t>Cash Rewards Visa Signature - Ending in 5972</t>
  </si>
  <si>
    <t>SUNSHINE #43             MIAMI        FL REF #240032232MWBEWPA0</t>
  </si>
  <si>
    <t>Cash Rewards Visa Signature - Ending in 5971</t>
  </si>
  <si>
    <t>SUNSHINE #43             MIAMI        FL REF #240032232MWBEWPAG</t>
  </si>
  <si>
    <t>Cash Rewards Visa Signature - Ending in 5967</t>
  </si>
  <si>
    <t>7-ELEVEN 33973           FT MYERS     FL REF #24034543400YQVFJR</t>
  </si>
  <si>
    <t>Powerplus - Ending in 8s31</t>
  </si>
  <si>
    <t>Deposit ACH DISCOVER BANK TYPE: PREARRANGE ID: 7510020271 CO: DISCOVER BANK Entry Class Code: PPD ACH Trace Number: 091000019697847</t>
  </si>
  <si>
    <t>Grubhub.com</t>
  </si>
  <si>
    <t>Powerplus - Ending in 8s32</t>
  </si>
  <si>
    <t>Withdrawal ACH XCEL ENERGY-MN TYPE: XCELENERGY ID: 7411967505 CO: XCEL ENERGY-MN NAME: BCU POWERPLUS476155178 Entry Class Code: WEB ACH Trace Number: 091000013234375</t>
  </si>
  <si>
    <t>Cash Rewards Visa Signature - Ending in 5966</t>
  </si>
  <si>
    <t>INTUIT *TURBOTAX         CL.INTUIT.COMCA REF #2469216352Y3MR9KX</t>
  </si>
  <si>
    <t>Withdrawal ACH MHCHILDCARELLC TYPE: DUES ID: 1824708198 CO: MHCHILDCARELLC Entry Class Code: PPD ACH Trace Number: 096010415883282</t>
  </si>
  <si>
    <t>Cash Rewards Visa Signature - Ending in 5965</t>
  </si>
  <si>
    <t>CENTURYLINK LUMEN        800-244-1111 LA REF #2469216362Z6G4MQ4</t>
  </si>
  <si>
    <t>Powerplus - Ending in 8s27</t>
  </si>
  <si>
    <t>Deposit ACH CARGILL INCORPOR TYPE: DIRECT DEP ID: 9111111101 CO: CARGILL INCORPOR Entry Class Code: PPD ACH Trace Number: 091000011130089</t>
  </si>
  <si>
    <t>Powerplus - Ending in 8s29</t>
  </si>
  <si>
    <t>Deposit ACH TRINET TYPE: PAYROLL ID: 194XXXXXXX CO: TRINET Entry Class Code: PPD ACH Trace Number: 041001037838704</t>
  </si>
  <si>
    <t>Cash Rewards Visa Signature - Ending in 5964</t>
  </si>
  <si>
    <t>HOMEDEPOT.COM            800-430-3376 GA REF #24943013609FJFEHB</t>
  </si>
  <si>
    <t>Cash Rewards Visa Signature - Ending in 5963</t>
  </si>
  <si>
    <t>HOMEDEPOT.COM            800-430-3376 GA REF #24943013609FL44N2</t>
  </si>
  <si>
    <t>Powerplus - Ending in 8s28</t>
  </si>
  <si>
    <t>Withdrawal ACH MN DEPT OF REVEN TYPE: MN Rev pay ID: X416007162 CO: MN DEPT OF REVEN NAME: JEFFREY TRUITT Entry Class Code: WEB ACH Trace Number: 042000017910946</t>
  </si>
  <si>
    <t>Cashback Bonus Redemption Pymt/stmt Crdt</t>
  </si>
  <si>
    <t>Lakewinds Food Co-op</t>
  </si>
  <si>
    <t>Powerplus - Ending in 8s25</t>
  </si>
  <si>
    <t>Withdrawal ACH CPENERGY MNGCO TYPE: MGC ACH EB ID: 176051140S CO: CPENERGY MNGCO NAME: CENTERPOINT ENERGY OTP Entry Class Code: WEB ACH Trace Number: 021000020827118</t>
  </si>
  <si>
    <t>Powerplus - Ending in 8s26</t>
  </si>
  <si>
    <t>Withdrawal ACH AMERICAN FAMILY TYPE: WEBPAYMENT ID: PEBP075965 CO: AMERICAN FAMILY NAME: Authorized by Customer Entry Class Code: WEB ACH Trace Number: 021000025406189</t>
  </si>
  <si>
    <t>Creede Snowshoe Lodgcreede Co Xxxxxxxxxxxxxx-xxx-2315</t>
  </si>
  <si>
    <t>Red Rabbit</t>
  </si>
  <si>
    <t>The Monte Carlo 5455minneapolis Xxxxxxx3106 Dleegervais@gmail.com</t>
  </si>
  <si>
    <t>Willy Mccoys Chaska Chaska Mn Xxxxxxx3106 Bar/nightclub</t>
  </si>
  <si>
    <t>Cash Rewards Visa Signature - Ending in 5959</t>
  </si>
  <si>
    <t>AMZN Mktp US*HJ5KY2862   Amzn.com/billWA REF #24692163930VZRM1K</t>
  </si>
  <si>
    <t>Cash Rewards Visa Signature - Ending in 5961</t>
  </si>
  <si>
    <t>CUB FOODS 01644          952-934-1010 MN REF #2423168382DDXJ2VM</t>
  </si>
  <si>
    <t>Kowalski's Market</t>
  </si>
  <si>
    <t>Cash Rewards Visa Signature - Ending in 5962</t>
  </si>
  <si>
    <t>Scholastic Inc.         800-724-6527 NY REF #240095839HEXNL08H</t>
  </si>
  <si>
    <t>Cash Rewards Visa Signature - Ending in 5960</t>
  </si>
  <si>
    <t>SP FREEFLYAPPAREL HTTPSFREEFLYA S CREDIT REF #2449216390003V9SR</t>
  </si>
  <si>
    <t>Cash Rewards Visa Signature - Ending in 5957</t>
  </si>
  <si>
    <t>ANTHROPOLOGIE # 534 SAINT LOUIS P CREDIT REF #7444500392XN1VNBM</t>
  </si>
  <si>
    <t>Cash Rewards Visa Signature - Ending in 5958</t>
  </si>
  <si>
    <t>EB EXCELSIOR BLOODY M    8014137200   CA REF #24492153ALVXRRDDL</t>
  </si>
  <si>
    <t>Powerplus - Ending in 8s21</t>
  </si>
  <si>
    <t>Withdrawal ACH PAYPAL TYPE: INST XFER ID: PAYPALSI77 CO: PAYPAL NAME: JEFF TRUITT Entry Class Code: WEB ACH Trace Number: 091000015074127</t>
  </si>
  <si>
    <t>Powerplus - Ending in 8s22</t>
  </si>
  <si>
    <t>Withdrawal ACH PAYPAL TYPE: INST XFER ID: PAYPALSI77 CO: PAYPAL NAME: JEFF TRUITT Entry Class Code: WEB ACH Trace Number: 091000015482907</t>
  </si>
  <si>
    <t>Powerplus - Ending in 8s24</t>
  </si>
  <si>
    <t>Withdrawal ACH PAYPAL TYPE: INST XFER ID: PAYPALSI77 CO: PAYPAL NAME: JEFF TRUITT Entry Class Code: WEB ACH Trace Number: 091000018881816</t>
  </si>
  <si>
    <t>Powerplus - Ending in 8s23</t>
  </si>
  <si>
    <t>Withdrawal ACH PAYPAL TYPE: INST XFER ID: PAYPALSI77 CO: PAYPAL NAME: JEFF TRUITT Entry Class Code: WEB ACH Trace Number: 091000018920363</t>
  </si>
  <si>
    <t>Powerplus - Ending in 8s20</t>
  </si>
  <si>
    <t>Withdrawal ACH DISCOVER TYPE: E-PAYMENT ID: 2510020270 CO: DISCOVER NAME: TRUITT JEFF Entry Class Code: WEB ACH Trace Number: 091000016668969</t>
  </si>
  <si>
    <t>Cash Rewards Visa Signature - Ending in 5956</t>
  </si>
  <si>
    <t>Amazon.com*HV9SI41Y0     Amzn.com/billWA REF #24692163B32FYGY23</t>
  </si>
  <si>
    <t>Powerplus - Ending in 8s17</t>
  </si>
  <si>
    <t>Deposit ACH CONNECTYOURCARE TYPE: OPTUMCLAIM ID: 7261274092 CO: CONNECTYOURCARE Entry Class Code: PPD ACH Trace Number: 124384876398136</t>
  </si>
  <si>
    <t>Powerplus - Ending in 8s16</t>
  </si>
  <si>
    <t>Deposit ACH MBI TYPE: SETL ID: 138XXXXXXX CO: MBI Entry Class Code: PPD ACH Trace Number: 071000280242973</t>
  </si>
  <si>
    <t>Powerplus - Ending in 8s19</t>
  </si>
  <si>
    <t>Withdrawal ACH MN DIR ACH TYPE: CONTRIB ID: 2416007162 CO: MN DIR ACH NAME: 907 89742742601 Entry Class Code: WEB ACH Trace Number: 011001232526145</t>
  </si>
  <si>
    <t>Powerplus - Ending in 8s18</t>
  </si>
  <si>
    <t>Cash Rewards Visa Signature - Ending in 5955</t>
  </si>
  <si>
    <t>WSJ/BARRONS SUBSCRIPTI   800-568-7625 NJ REF #24692163Q338HVEBA</t>
  </si>
  <si>
    <t>Cash Rewards Visa Signature - Ending in 5954</t>
  </si>
  <si>
    <t>PAYMENT - THANK YOU REF #74734573D00XTMJG2</t>
  </si>
  <si>
    <t>Cash Rewards Visa Signature - Ending in 5953</t>
  </si>
  <si>
    <t>All Seasons Garment Care Excelsior    MN REF #24193043D03EABZD4</t>
  </si>
  <si>
    <t>Cash Rewards Visa Signature - Ending in 5951</t>
  </si>
  <si>
    <t>AMZN Mktp US*HV4NL2GY1   Amzn.com/billWA REF #24692163D33ZWMV18</t>
  </si>
  <si>
    <t>Cash Rewards Visa Signature - Ending in 5952</t>
  </si>
  <si>
    <t>SP FAHERTY               FAHERTY.MYSHONY REF #24492163D0002YGNM</t>
  </si>
  <si>
    <t>Powerplus - Ending in 8s15</t>
  </si>
  <si>
    <t>Withdrawal ACH MHCHILDCARELLC TYPE: DUES ID: 1824708198 CO: MHCHILDCARELLC Entry Class Code: PPD ACH Trace Number: 096010419885357</t>
  </si>
  <si>
    <t>Powerplus - Ending in 8s14</t>
  </si>
  <si>
    <t>Withdrawal ACH AMEX EPAYMENT TYPE: ACH PMT ID: 0005000008 CO: AMEX EPAYMENT NAME: Britney Truitt Entry Class Code: WEB ACH Trace Number: 091000015279683</t>
  </si>
  <si>
    <t>Cash Rewards Visa Signature - Ending in 5949</t>
  </si>
  <si>
    <t>AMZN Mktp US*HV3DP5MF1   Amzn.com/billWA REF #24692163D34Q0H8VS</t>
  </si>
  <si>
    <t>Cash Rewards Visa Signature - Ending in 5950</t>
  </si>
  <si>
    <t>AMZN MKTP US*HV42G46I0 AMAMZN.COM/BILLWA REF #24431063D2DYH8B0W</t>
  </si>
  <si>
    <t>Powerplus - Ending in 8s13</t>
  </si>
  <si>
    <t>Withdrawal ACH PAYPAL TYPE: INST XFER ID: PAYPALSI77 CO: PAYPAL NAME: JEFF TRUITT Entry Class Code: WEB ACH Trace Number: 091000014185376</t>
  </si>
  <si>
    <t>Cash Rewards Visa Signature - Ending in 5945</t>
  </si>
  <si>
    <t>AMAZON.COM*HF41A9C50 AMZNAMZN.COM/BILLWA REF #24431063F2DK9F0G7</t>
  </si>
  <si>
    <t>Cash Rewards Visa Signature - Ending in 5946</t>
  </si>
  <si>
    <t>BONFES PLUMBING HEATING A651-3326633  MN REF #24275393ES66HFEZZ</t>
  </si>
  <si>
    <t>Cash Rewards Visa Signature - Ending in 5948</t>
  </si>
  <si>
    <t>BP#1370200CHANHASSEN BP  CHANHASSEN   MN REF #24122543FMLWZ2SPE</t>
  </si>
  <si>
    <t>Membership Fee</t>
  </si>
  <si>
    <t>Cash Rewards Visa Signature - Ending in 5943</t>
  </si>
  <si>
    <t>NETFLIX.COM              NETFLIX.COM  CA REF #24692163E34WTS5SH</t>
  </si>
  <si>
    <t>Cash Rewards Visa Signature - Ending in 5944</t>
  </si>
  <si>
    <t>SP UNRL.CO               UNRL.MYSHOPIFMN REF #24492163E000W4FFS</t>
  </si>
  <si>
    <t>Cash Rewards Visa Signature - Ending in 5947</t>
  </si>
  <si>
    <t>TARGET        00008623   CHANHASSEN   MN REF #24164073E2LR7RLVG</t>
  </si>
  <si>
    <t>Powerplus - Ending in 8s12</t>
  </si>
  <si>
    <t>Withdrawal ACH CITY OF CHANHASS TYPE: UTIL BILL ID: 1410885331 CO: CITY OF CHANHASS Entry Class Code: PPD ACH Trace Number: 091901960189027</t>
  </si>
  <si>
    <t>Cash Rewards Visa Signature - Ending in 5941</t>
  </si>
  <si>
    <t>All Seasons Garment Care Excelsior    MN REF #24193043G03ETDWFG</t>
  </si>
  <si>
    <t>Cash Rewards Visa Signature - Ending in 5940</t>
  </si>
  <si>
    <t>AMC 0650 EDEN PRAIRIE    EDEN PRAIRIE MN REF #24431063H0HA9DBS1</t>
  </si>
  <si>
    <t>Cash Rewards Visa Signature - Ending in 5939</t>
  </si>
  <si>
    <t>AMC 0650 EDEN PRAIRIE    EDEN PRAIRIE MN REF #24431063H0HAEET4A</t>
  </si>
  <si>
    <t>Powerplus - Ending in 8s11</t>
  </si>
  <si>
    <t>Deposit ACH IRS  TREAS 310 TYPE: TAX REF ID: 9111736946 CO: IRS TREAS 310 Entry Class Code: PPD ACH Trace Number: 111736949007769</t>
  </si>
  <si>
    <t>Cash Rewards Visa Signature - Ending in 5938</t>
  </si>
  <si>
    <t>LEEANN CHIN 0163 EDEN PRA952-7462200  MN REF #24540453G01MM2MJ6</t>
  </si>
  <si>
    <t>Pau Hana</t>
  </si>
  <si>
    <t>Cash Rewards Visa Signature - Ending in 5937</t>
  </si>
  <si>
    <t>RVT*MTKA PUB SCHLS-WEB   952-4015000  MN REF #24906413F50QFVT07</t>
  </si>
  <si>
    <t>Cash Rewards Visa Signature - Ending in 5942</t>
  </si>
  <si>
    <t>TOTALWINE 1606 DIGITAL   https://www.fMN REF #24116413HBMD9KZLY</t>
  </si>
  <si>
    <t>Xxxxx00 - Republic Bst. Paul Mn Restaurant</t>
  </si>
  <si>
    <t>Cash Rewards Visa Signature - Ending in 5936</t>
  </si>
  <si>
    <t>ADIDAS US ONLINE STORE   800-9829337  OR REF #24443463J50JJ7X4N</t>
  </si>
  <si>
    <t>Cash Rewards Visa Signature - Ending in 5935</t>
  </si>
  <si>
    <t>ADIDAS US ONLINE STORE   800-9829337  OR REF #24443463J50JYY22J</t>
  </si>
  <si>
    <t>Cash Rewards Visa Signature - Ending in 5933</t>
  </si>
  <si>
    <t>AMZN Mktp US*HF1HG0JP1   Amzn.com/billWA REF #24692163J2YL7VW6Y</t>
  </si>
  <si>
    <t>Cash Rewards Visa Signature - Ending in 5932</t>
  </si>
  <si>
    <t>AMZN Mktp US*HF9K58XS0   Amzn.com/billWA REF #24692163J2YQXS3BQ</t>
  </si>
  <si>
    <t>Cash Rewards Visa Signature - Ending in 5934</t>
  </si>
  <si>
    <t>BELK.COM                 866-235-5443 NC REF #24445003KHEWXX9ZN</t>
  </si>
  <si>
    <t>Powerplus - Ending in 8s10</t>
  </si>
  <si>
    <t>Withdrawal ACH DISCOVER BANK TYPE: NET/MOBILE ID: 4510020271 CO: DISCOVER BANK NAME: JEFF TRUITT Entry Class Code: WEB ACH Trace Number: 091000012075203</t>
  </si>
  <si>
    <t>Powerplus - Ending in 8s09</t>
  </si>
  <si>
    <t>Withdrawal ACH TARGET CARD SRVC TYPE: AUTO PYMT ID: 1411721813 CO: TARGET CARD SRVC NAME: TRUITT JEFFREY B Entry Class Code: WEB ACH Trace Number: 091000014755937</t>
  </si>
  <si>
    <t>Cash Rewards Visa Signature - Ending in 5930</t>
  </si>
  <si>
    <t>AMZN Mktp US*HF0AW8T42   Amzn.com/billWA REF #24692163K2Z6969ZA</t>
  </si>
  <si>
    <t>Cash Rewards Visa Signature - Ending in 5931</t>
  </si>
  <si>
    <t>AMZN MKTP US*HF3ZD92M0 AMAMZN.COM/BILLWA REF #24431063K2DKYN7E3</t>
  </si>
  <si>
    <t>Cash Rewards Visa Signature - Ending in 5927</t>
  </si>
  <si>
    <t>AMZN Mktp US*HF5E18V61   Amzn.com/billWA REF #24692163K2ZHEL74L</t>
  </si>
  <si>
    <t>Cash Rewards Visa Signature - Ending in 5929</t>
  </si>
  <si>
    <t>AMZN Mktp US*HF9DP3T22   Amzn.com/billWA REF #24692163K2Z7B6Q20</t>
  </si>
  <si>
    <t>Cash Rewards Visa Signature - Ending in 5928</t>
  </si>
  <si>
    <t>AMZN Mktp US*HF9ZW0PT1   Amzn.com/billWA REF #24692163K2Z7Q10HY</t>
  </si>
  <si>
    <t>Cash Rewards Visa Signature - Ending in 5926</t>
  </si>
  <si>
    <t>SQ *LORD HOBO BREWING WOBWoburn       MA REF #24692163L2ZRBP60R</t>
  </si>
  <si>
    <t>Powerplus - Ending in 8s07</t>
  </si>
  <si>
    <t>Withdrawal ACH MHCHILDCARELLC TYPE: DUES ID: 1824708198 CO: MHCHILDCARELLC Entry Class Code: PPD ACH Trace Number: 096010410060494</t>
  </si>
  <si>
    <t>Powerplus - Ending in 8s08</t>
  </si>
  <si>
    <t>Withdrawal ACH VENMO TYPE: PAYMENT ID: 326XXXXXXX CO: VENMO NAME: BRITNEY TRUITT Entry Class Code: WEB ACH Trace Number: 091000018732659</t>
  </si>
  <si>
    <t>Powerplus - Ending in 8s05</t>
  </si>
  <si>
    <t>Deposit ACH CARGILL INCORPOR TYPE: DIRECT DEP ID: 9111111101 CO: CARGILL INCORPOR Entry Class Code: PPD ACH Trace Number: 091000013224548</t>
  </si>
  <si>
    <t>Powerplus - Ending in 8s06</t>
  </si>
  <si>
    <t>Deposit ACH TRINET TYPE: PAYROLL ID: 194XXXXXXX CO: TRINET Entry Class Code: PPD ACH Trace Number: 041001035450828</t>
  </si>
  <si>
    <t>Ramp B</t>
  </si>
  <si>
    <t>Cash Rewards Visa Signature - Ending in 5925</t>
  </si>
  <si>
    <t>NATIONAL CAR RENTAL      BOSTON       MA REF #24164073M1PYKBYJ0</t>
  </si>
  <si>
    <t>Tst* Martina 0xx3538minneapolis Xxxxxxx3119 Restaurant</t>
  </si>
  <si>
    <t>Powerplus - Ending in 8s04</t>
  </si>
  <si>
    <t>Withdrawal ACH PAYPAL TYPE: INST XFER ID: PAYPALSI77 CO: PAYPAL NAME: JEFF TRUITT Entry Class Code: WEB ACH Trace Number: 091000011557919</t>
  </si>
  <si>
    <t>Powerplus - Ending in 8s03</t>
  </si>
  <si>
    <t>Withdrawal ACH VENMO TYPE: PAYMENT ID: 326XXXXXXX CO: VENMO NAME: BRITNEY TRUITT Entry Class Code: WEB ACH Trace Number: 091000010113019</t>
  </si>
  <si>
    <t>Snuffy's Malt Shop</t>
  </si>
  <si>
    <t>Delaware North Companies Sports Services</t>
  </si>
  <si>
    <t>Cash Rewards Visa Signature - Ending in 5918</t>
  </si>
  <si>
    <t>DELAWARE NORTH LOGAN F&amp;B EAST BOSTON  MA REF #24431063PW5T2H3R0</t>
  </si>
  <si>
    <t>Cash Rewards Visa Signature - Ending in 5917</t>
  </si>
  <si>
    <t>DELAWARE NORTH LOGAN F&amp;B EAST BOSTON  MA REF #24431063PW5T8K4F5</t>
  </si>
  <si>
    <t>Deposit Dividend Split Rate Annual Percentage Yield Earned 1.68% from 04/01/23 through 04/30/23</t>
  </si>
  <si>
    <t>Cash Rewards Visa Signature - Ending in 5923</t>
  </si>
  <si>
    <t>HILTON BOSTON WOBURN     WOBURN       MA REF #24055233N11H4HA65</t>
  </si>
  <si>
    <t>Cash Rewards Visa Signature - Ending in 5920</t>
  </si>
  <si>
    <t>KWIK TRIP  40200004028   CHANHASSEN   MN REF #24164073PL3HDZZS0</t>
  </si>
  <si>
    <t>Cash Rewards Visa Signature - Ending in 5924</t>
  </si>
  <si>
    <t>MSP AIRPORT PARKING      SAINT PAUL   MN REF #24034543P02Z0B6VY</t>
  </si>
  <si>
    <t>Cash Rewards Visa Signature - Ending in 5921</t>
  </si>
  <si>
    <t>SCHEELS EDEN PRAIRIE     EDEN PRAIRIE MN REF #24138293PP6Q3TLRN</t>
  </si>
  <si>
    <t>Cash Rewards Visa Signature - Ending in 5919</t>
  </si>
  <si>
    <t>SHELL OIL 12630255003    BOSTON       MA REF #24316053NFYHHVR6E</t>
  </si>
  <si>
    <t>Cash Rewards Visa Signature - Ending in 5916</t>
  </si>
  <si>
    <t>SP ALLBIRDS              HTTPSWWW.ALLBCA REF #24492163N000SE5ER</t>
  </si>
  <si>
    <t>Cash Rewards Visa Signature - Ending in 5915</t>
  </si>
  <si>
    <t>SP FREEFLYAPPAREL        HTTPSFREEFLYASC REF #24492163N000SYM41</t>
  </si>
  <si>
    <t>Cash Rewards Visa Signature - Ending in 5914</t>
  </si>
  <si>
    <t>SP NATHAN                HTTPSUSBNS.MYCA REF #24492163P001BH1NE</t>
  </si>
  <si>
    <t>Cash Rewards Visa Signature - Ending in 5922</t>
  </si>
  <si>
    <t>TST* BERKSHIRE FARM MARKEBOSTON       MA REF #24137463N8R4GRSMH</t>
  </si>
  <si>
    <t>Powerplus - Ending in 8s02</t>
  </si>
  <si>
    <t>Mobile Payment - Thank You</t>
  </si>
  <si>
    <t>PAYMENT - THANK YOU REF #74734573T00XTMJG6</t>
  </si>
  <si>
    <t>Cash Rewards Visa Signature - Ending in 6006</t>
  </si>
  <si>
    <t>Amazon Music*HM8LW6HK0   888-802-3080 WA REF #24692163T33F2Y01J</t>
  </si>
  <si>
    <t>Cash Rewards Visa Signature - Ending in 6003</t>
  </si>
  <si>
    <t>AMZN MKTP US AMZN.COM/BIL AMZN.CO CREDIT REF #74431063T2D9NZ4L0</t>
  </si>
  <si>
    <t>Cash Rewards Visa Signature - Ending in 6002</t>
  </si>
  <si>
    <t>AMZN Mktp US Amzn.com/bill WA     CREDIT REF #74692163R338VNR39</t>
  </si>
  <si>
    <t>Cash Rewards Visa Signature - Ending in 6001</t>
  </si>
  <si>
    <t>AMZN Mktp US Amzn.com/bill WA     CREDIT REF #74692163R33BLXJ28</t>
  </si>
  <si>
    <t>Cash Rewards Visa Signature - Ending in 6000</t>
  </si>
  <si>
    <t>AMZN Mktp US Amzn.com/bill WA     CREDIT REF #74692163R33BP5HXH</t>
  </si>
  <si>
    <t>Cash Rewards Visa Signature - Ending in 6005</t>
  </si>
  <si>
    <t>AMZN Mktp US*HM40K3AB2   Amzn.com/billWA REF #24692163T33HK4QV6</t>
  </si>
  <si>
    <t>Cash Rewards Visa Signature - Ending in 6008</t>
  </si>
  <si>
    <t>HILTON GARDEN INN BOSTON EAST BOSTON  MA REF #24275393RS66HS55Z</t>
  </si>
  <si>
    <t>Cash Rewards Visa Signature - Ending in 6009</t>
  </si>
  <si>
    <t>JAXON GREY               MINNEAPOLIS  MN REF #24269793R2XTA5RDS</t>
  </si>
  <si>
    <t>Cash Rewards Visa Signature - Ending in 6004</t>
  </si>
  <si>
    <t>SCHEELS EDEN PRAIRIE EDEN PRAIRIE CREDIT REF #74138293TP6Q5W11J</t>
  </si>
  <si>
    <t>Powerplus - Ending in 8s82</t>
  </si>
  <si>
    <t>Powerplus - Ending in 8s81</t>
  </si>
  <si>
    <t>Cash Rewards Visa Signature - Ending in 6007</t>
  </si>
  <si>
    <t>TST* Red Cow - 1st Ave   612-238-0050 MN REF #24692163R32YMJV0G</t>
  </si>
  <si>
    <t>Powerplus - Ending in 8s80</t>
  </si>
  <si>
    <t>Withdrawal ACH College Savings TYPE: ACH ID: XX5818 CO: College Savings Entry Class Code: ACH Trace Number: XX3102</t>
  </si>
  <si>
    <t>Powerplus - Ending in 8s77</t>
  </si>
  <si>
    <t>Withdrawal Home Banking Transfer To Loan 02 REF # XX4306</t>
  </si>
  <si>
    <t>Powerplus - Ending in 8s78</t>
  </si>
  <si>
    <t>Powerplus - Ending in 8s79</t>
  </si>
  <si>
    <t>Cash Rewards Visa Signature - Ending in 5997</t>
  </si>
  <si>
    <t>AMZN Mktp US*HM5QO4GT2   Amzn.com/billWA REF #24692163S346Y5WE6</t>
  </si>
  <si>
    <t>Cash Rewards Visa Signature - Ending in 5999</t>
  </si>
  <si>
    <t>JAXON GREY-EDINA         EDINA        MN REF #24269793TEJ80KFGX</t>
  </si>
  <si>
    <t>Cash Rewards Visa Signature - Ending in 5998</t>
  </si>
  <si>
    <t>SP VUORI CLOTHING        HTTPSVUORICLOCA REF #24492163T001SHTZW</t>
  </si>
  <si>
    <t>Powerplus - Ending in 8s76</t>
  </si>
  <si>
    <t>Powerplus - Ending in 8s75</t>
  </si>
  <si>
    <t>Cash Rewards Visa Signature - Ending in 5994</t>
  </si>
  <si>
    <t>ADIDAS US ONLINE STORE   800-9829 CREDIT REF #74443463S5174WWKH</t>
  </si>
  <si>
    <t>Cash Rewards Visa Signature - Ending in 5996</t>
  </si>
  <si>
    <t>AMZN Mktp US*HM8FA15M1   Amzn.com/billWA REF #24692163S34KEE08P</t>
  </si>
  <si>
    <t>Powerplus - Ending in 8s73</t>
  </si>
  <si>
    <t>Cargill Deposit</t>
  </si>
  <si>
    <t>Cash Rewards Visa Signature - Ending in 5995</t>
  </si>
  <si>
    <t>WAYZATA CAFE             WAYZATA      MN REF #24943003VW6AZPZN2</t>
  </si>
  <si>
    <t>Powerplus - Ending in 8s74</t>
  </si>
  <si>
    <t>Withdrawal ACH MHCHILDCARELLC TYPE: DUES ID: XX8198 CO: MHCHILDCARELLC Entry Class Code: ACH Trace Number: XX5251</t>
  </si>
  <si>
    <t>Cash Rewards Visa Signature - Ending in 5992</t>
  </si>
  <si>
    <t>CUB FOODS 01644          952-934-1010 MN REF #24231683W2DG09YMP</t>
  </si>
  <si>
    <t>Cash Rewards Visa Signature - Ending in 5993</t>
  </si>
  <si>
    <t>TOTALWINE 1606 DIGITAL   https://www.fMN REF #24116413XBMDDE1S5</t>
  </si>
  <si>
    <t>Powerplus - Ending in 8s72</t>
  </si>
  <si>
    <t>Withdrawal Home Banking Pmt to card XX5913</t>
  </si>
  <si>
    <t>Cash Rewards Visa Signature - Ending in 5991</t>
  </si>
  <si>
    <t>PAYMENT - THANK YOU REF #74734573Z00XTMJG0</t>
  </si>
  <si>
    <t>Cash Rewards Visa Signature - Ending in 5985</t>
  </si>
  <si>
    <t>AMZN Mktp US Amzn.com/bill WA     CREDIT REF #74692163X2XMJSV21</t>
  </si>
  <si>
    <t>Cash Rewards Visa Signature - Ending in 5984</t>
  </si>
  <si>
    <t>AMZN Mktp US Amzn.com/bill WA     CREDIT REF #74692163X2XN91H5R</t>
  </si>
  <si>
    <t>Cash Rewards Visa Signature - Ending in 5983</t>
  </si>
  <si>
    <t>AMZN Mktp US Amzn.com/bill WA     CREDIT REF #74692163X2XN924R0</t>
  </si>
  <si>
    <t>Cash Rewards Visa Signature - Ending in 5982</t>
  </si>
  <si>
    <t>AMZN Mktp US Amzn.com/bill WA     CREDIT REF #74692163X2XNF05GE</t>
  </si>
  <si>
    <t>Cash Rewards Visa Signature - Ending in 5986</t>
  </si>
  <si>
    <t>ANTHROPOLOGIE #427       MINNEAPOLIS  MN REF #24445003Y2XAN7662</t>
  </si>
  <si>
    <t>Cash Rewards Visa Signature - Ending in 5988</t>
  </si>
  <si>
    <t>EVEREVE - 8              WAYZATA      MN REF #24269793XEJ5MZTPG</t>
  </si>
  <si>
    <t>Cash Rewards Visa Signature - Ending in 5990</t>
  </si>
  <si>
    <t>KWIK TRIP  40200004028   CHANHASSEN   MN REF #24164073YL3HELAS1</t>
  </si>
  <si>
    <t>Cash Rewards Visa Signature - Ending in 5989</t>
  </si>
  <si>
    <t>KWIK TRIP  40200004028   CHANHASSEN   MN REF #24164073YL3HELAWD</t>
  </si>
  <si>
    <t>Cash Rewards Visa Signature - Ending in 5987</t>
  </si>
  <si>
    <t>RENTAL TOLL236588087     877-860-1283 MA REF #24430993X2E047398</t>
  </si>
  <si>
    <t>Cash Rewards Visa Signature - Ending in 5981</t>
  </si>
  <si>
    <t>CSC SERVICEWORK          CHASKA       MN REF #240552340BLMNA231</t>
  </si>
  <si>
    <t>SHOREWOOD TRUE VALUE     EXCELSIOR    MN REF #248019740BMDDE20K</t>
  </si>
  <si>
    <t>Cash Rewards Visa Signature - Ending in 5980</t>
  </si>
  <si>
    <t>SPEEDWAY 04095           CHASKA       MN REF #241374640019YN5TV</t>
  </si>
  <si>
    <t>Cash Rewards Visa Signature - Ending in 5979</t>
  </si>
  <si>
    <t>SPEEDWAY 04095           CHASKA       MN REF #241374640019YN5WE</t>
  </si>
  <si>
    <t>Powerplus - Ending in 8s71</t>
  </si>
  <si>
    <t>PELOTON* MEMBERSHIP      HTTPSWWW.ONEPNY REF #240113440000YV7YM</t>
  </si>
  <si>
    <t>TARGET        00008623   CHANHASSEN   MN REF #2416407402LRFMJKZ</t>
  </si>
  <si>
    <t>THE SUBURBAN EXCELSIOR   ST LOUIS PARKMN REF #2434285400FVHE2YN</t>
  </si>
  <si>
    <t>Powerplus - Ending in 8s68</t>
  </si>
  <si>
    <t>Withdrawal ACH MHCHILDCARELLC TYPE: DUES ID: XX8198 CO: MHCHILDCARELLC Entry Class Code: ACH Trace Number: XX4086</t>
  </si>
  <si>
    <t>Powerplus - Ending in 8s70</t>
  </si>
  <si>
    <t>Powerplus - Ending in 8s69</t>
  </si>
  <si>
    <t>AMAZON.COM*LG2UQ40Q3 AMZNAMZN.COM/BILLWA REF #2443106422DKZAJEQ</t>
  </si>
  <si>
    <t>Powerplus - Ending in 8s65</t>
  </si>
  <si>
    <t>MIDWEST AQUA CARE        952-403-6879 MN REF #248019742M4FLPRP5</t>
  </si>
  <si>
    <t>Powerplus - Ending in 8s67</t>
  </si>
  <si>
    <t>Powerplus - Ending in 8s66</t>
  </si>
  <si>
    <t>Hallmark Movies Now      844-4465669  CA REF #24906414351SMKPKP</t>
  </si>
  <si>
    <t>TOMMY BAHAMA ECOMM       866-986-8282 WA REF #2469216433280076Q</t>
  </si>
  <si>
    <t>Powerplus - Ending in 8s64</t>
  </si>
  <si>
    <t>Powerplus - Ending in 8s63</t>
  </si>
  <si>
    <t>PAYMENT - THANK YOU REF #74734574600XTMJG1</t>
  </si>
  <si>
    <t>AMZN Mktp US Amzn.com/bill WA     CREDIT REF #74692164633VFL0E3</t>
  </si>
  <si>
    <t>CENTURYLINK LUMEN        800-244-1111 LA REF #24692164432WE8MQ2</t>
  </si>
  <si>
    <t>OFFICEMAX/DEPOT 6641     CHANHASSEN   MN REF #2413746455SGL01PY</t>
  </si>
  <si>
    <t>Powerplus - Ending in 8s62</t>
  </si>
  <si>
    <t>Salary/Regular Income from TriNet</t>
  </si>
  <si>
    <t>SUNCTRYAIR  N3SCFF       MINNEAPOLIS  MN REF #240552345LQFGXKYV</t>
  </si>
  <si>
    <t>TST* HACKAMORE BREWING COCHANHASSEN   MN REF #241374645EJTHB6JA</t>
  </si>
  <si>
    <t>TST* HACKAMORE BREWING COCHANHASSEN   MN REF #241374645EJTHB6LY</t>
  </si>
  <si>
    <t>BLVD   *FACE FOUNDRIE WAYWAYZATA      MN REF #244450046EHY328VX</t>
  </si>
  <si>
    <t>EVEREVE - 8              WAYZATA      MN REF #2426979462XN2A8MT</t>
  </si>
  <si>
    <t>EVEREVE - 8              WAYZATA      MN REF #2426979462XN2A8R3</t>
  </si>
  <si>
    <t>Powerplus - Ending in 8s60</t>
  </si>
  <si>
    <t>Powerplus - Ending in 8s61</t>
  </si>
  <si>
    <t>Powerplus - Ending in 8s58</t>
  </si>
  <si>
    <t>TST* The Grocers Table  Wayzata      MN REF #246921646343QBB9J</t>
  </si>
  <si>
    <t>UBER   TRIP              HELP.UBER.COMCA REF #244921547LRNM4B2M</t>
  </si>
  <si>
    <t>Powerplus - Ending in 8s59</t>
  </si>
  <si>
    <t>Payment to American Family Insurance</t>
  </si>
  <si>
    <t>HMS Host International   Amsterdam    NL REF #7498750476H9MQT3S</t>
  </si>
  <si>
    <t>RAO MNHUNTFISH VEHICLE   SAINT PAUL   MN REF #24692164734RFXJSP</t>
  </si>
  <si>
    <t>Shop 138 /NL+ /FineFood LSchiphol AirpNL REF #7459579471SHKDH3Z</t>
  </si>
  <si>
    <t>Powerplus - Ending in 8s57</t>
  </si>
  <si>
    <t>WSJ/BARRONS SUBSCRIPTI   800-568-7625 NJ REF #24692164835A1E9QS</t>
  </si>
  <si>
    <t>AMZN Mktp US*2H2KH4JY3   Amzn.com/billWA REF #24692164835RP0855</t>
  </si>
  <si>
    <t>Powerplus - Ending in 8s56</t>
  </si>
  <si>
    <t>Deposit ACH EMPYREAN SOLUTIO TYPE: XX9000 ID: XX3620 CO: EMPYREAN SOLUTIO Entry Class Code: ACH Trace Number: XX7818</t>
  </si>
  <si>
    <t>EVEREVE - 8 WAYZATA  MN           CREDIT REF #742697947EJFBZ5NB</t>
  </si>
  <si>
    <t>RVT*MTKA PUB SCHLS-WEB   952-4015000  MN REF #2490641485244S1A0</t>
  </si>
  <si>
    <t>THE HOME DEPOT #2825     CHASKA       MN REF #24943014809FY88RX</t>
  </si>
  <si>
    <t>Powerplus - Ending in 8s55</t>
  </si>
  <si>
    <t>Powerplus - Ending in 8s54</t>
  </si>
  <si>
    <t>Powerplus - Ending in 8s52</t>
  </si>
  <si>
    <t>Powerplus - Ending in 8s53</t>
  </si>
  <si>
    <t>ECOS MARINA MARKET       CORK         IE REF #74007464A62B2NRB5</t>
  </si>
  <si>
    <t>EDIBLE ARRANGEMENTS      ATLANTA      GA REF #24943004A2DZD3KRX</t>
  </si>
  <si>
    <t>Fly Coffee               Cork         IE REF #243474349001Y4DDL</t>
  </si>
  <si>
    <t>Powerplus - Ending in 8s51</t>
  </si>
  <si>
    <t>Withdrawal ACH MN DIR ACH TYPE: CONTRIB ID: XX7162 CO: MN DIR ACH NAME: XX2601 Entry Class Code: WEB ACH Trace Number: XX3329</t>
  </si>
  <si>
    <t>Fly Coffee               Cork         IE REF #24347434A001W8XPH</t>
  </si>
  <si>
    <t>PERSONALIZATION MALL     630-910-6000 IL REF #24692164B2Y5EPARN</t>
  </si>
  <si>
    <t>SHUTTERFLY INC.         650-610-5200 CA REF #24492154AMN3T4R8F</t>
  </si>
  <si>
    <t>Powerplus - Ending in 8s49</t>
  </si>
  <si>
    <t>Powerplus - Ending in 8s47</t>
  </si>
  <si>
    <t>Powerplus - Ending in 8s48</t>
  </si>
  <si>
    <t>Withdrawal ACH MHCHILDCARELLC TYPE: DUES ID: XX8198 CO: MHCHILDCARELLC Entry Class Code: ACH Trace Number: XX3252</t>
  </si>
  <si>
    <t>TWINS MOBILE PAYMENT     800-352-0212 CA REF #24733094AHGTW1L4P</t>
  </si>
  <si>
    <t>AMAZON.COM*WR7842693 AMZNAMZN.COM/BILLWA REF #24431064Q2DYMWMKX</t>
  </si>
  <si>
    <t>COSTCO WHSE #0783        EDEN PRAIRIE MN REF #24943004DS4AHG2MT</t>
  </si>
  <si>
    <t>EVEREVE - 60             HOPKINS      MN REF #74269794B2XKVSHNB</t>
  </si>
  <si>
    <t>EVEREVE - 60             HOPKINS      MN REF #74269794B2XKVT3KN</t>
  </si>
  <si>
    <t>Kids Hair - MT           Minnetonka   MN REF #24793384Q01Q0GG5D</t>
  </si>
  <si>
    <t>KWIK TRIP  40200004028   CHANHASSEN   MN REF #24164074BL3HFSD27</t>
  </si>
  <si>
    <t>Netflix                  1 8445052993 CA REF #24002844Q00F97ZZ2</t>
  </si>
  <si>
    <t>SQ *SAMUEL RASTA TAXI SERExcelsior    MN REF #24692164B2YNANY5X</t>
  </si>
  <si>
    <t>SUMUP  *IMRAN TAXI       CORK         IE REF #74878364B999BZP68</t>
  </si>
  <si>
    <t>THE LOOP CORK            CORK         IE REF #74143614Q02HDYYGV</t>
  </si>
  <si>
    <t>TST* Dukes on 7          612-205-3286 MN REF #24692164Q2YZ785H4</t>
  </si>
  <si>
    <t>BONFES PLUMBING HEATING A651-3326633  MN REF #24275394DS66HPJS9</t>
  </si>
  <si>
    <t>SCHEELS ALL SPORTS       701-356-8264 ND REF #24493984EBM9M9FZ8</t>
  </si>
  <si>
    <t>SHOREWOOD TRUE VALUE     EXCELSIOR    MN REF #24801974EBMDAJG6V</t>
  </si>
  <si>
    <t>SHOREWOOD TRUE VALUE     EXCELSIOR    MN REF #24801974EBMDAJHTM</t>
  </si>
  <si>
    <t>Powerplus - Ending in 8s45</t>
  </si>
  <si>
    <t>Withdrawal ACH CITY OF CHANHASS TYPE: UTIL BILL ID: XX5331 CO: CITY OF CHANHASS Entry Class Code: ACH Trace Number: XX3045</t>
  </si>
  <si>
    <t>SP VUORI CLOTHING        HTTPSVUORICLOCA REF #24492164E0015A2BA</t>
  </si>
  <si>
    <t>Powerplus - Ending in 8s44</t>
  </si>
  <si>
    <t>Transfer to Discover Bank</t>
  </si>
  <si>
    <t>Powerplus - Ending in 8s43</t>
  </si>
  <si>
    <t>Powerplus - Ending in 8s42</t>
  </si>
  <si>
    <t>Withdrawal ACH MHCHILDCARELLC TYPE: DUES ID: XX8198 CO: MHCHILDCARELLC Entry Class Code: ACH Trace Number: XX7918</t>
  </si>
  <si>
    <t>Powerplus - Ending in 8s38</t>
  </si>
  <si>
    <t>FREEZIAC                 EDEN PRAIRIE MN REF #24493984H2M6Y4Y19</t>
  </si>
  <si>
    <t>LUNDS&amp;BYERLYS CHANH      CHANHASSEN   MN REF #24427334GMHE1SBWZ</t>
  </si>
  <si>
    <t>MOTORWERKS BMW           888-866-0115 MN REF #24431064HJGA8WQ88</t>
  </si>
  <si>
    <t>Powerplus - Ending in 8s39</t>
  </si>
  <si>
    <t>Powerplus - Ending in 8s41</t>
  </si>
  <si>
    <t>Powerplus - Ending in 8s40</t>
  </si>
  <si>
    <t>Payment to Jeffrey B</t>
  </si>
  <si>
    <t>CARIBOU COFFEE CO #116   CHANHASSEN   MN REF #24445004HEJ40YEW1</t>
  </si>
  <si>
    <t>Penzeys Spices           800-7417787  WI REF #24793384H0026RNRY</t>
  </si>
  <si>
    <t>SP VUORI CLOTHING        HTTPSVUORICLOCA REF #24492164H001BWVAV</t>
  </si>
  <si>
    <t>TOTALWINE 1606 DIGITAL   https://www.fMN REF #24116414JBMDFB3ZZ</t>
  </si>
  <si>
    <t>Powerplus - Ending in 8s37</t>
  </si>
  <si>
    <t>PAYMENT - THANK YOU REF #74734574L00XTMJG5</t>
  </si>
  <si>
    <t>DNR E PAY WIN ACS        608-2662621  WI REF #24717054K4NQBZQBH</t>
  </si>
  <si>
    <t>DNR EPAY WIN ACS SERV FEE608-2662621  WI REF #24717054K4NQBWPRR</t>
  </si>
  <si>
    <t>ELITE NAILS LLC          CHANHASSEN   MN REF #24717054KM97GJVRV</t>
  </si>
  <si>
    <t>PLUNKETTS PEST CONTROL   MINNEAPOLIS  MN REF #24013394J02WB3Z32</t>
  </si>
  <si>
    <t>SHOREWOOD TRUE VALUE     EXCELSIOR    MN REF #24801974KBMDFB446</t>
  </si>
  <si>
    <t>SP FAIR HARBOR           HTTPSFAIRHARBNY REF #24492164L00034XFJ</t>
  </si>
  <si>
    <t>SQ *BALSAM LAKE BREWERY ABalsam Lake  WI REF #24692164K31YE9NW5</t>
  </si>
  <si>
    <t>Powerplus - Ending in 8s34</t>
  </si>
  <si>
    <t>Deposit Dividend Split Rate Annual Percentage Yield Earned 1.86% from 05/01/23 through 05/31/23</t>
  </si>
  <si>
    <t>Withdrawal ACH MHCHILDCARELLC TYPE: DUES ID: XX8198 CO: MHCHILDCARELLC Entry Class Code: ACH Trace Number: XX1053</t>
  </si>
  <si>
    <t>Amazon Music*WB3KC8313   888-802-3080 WA REF #24692164R34VYRZHX</t>
  </si>
  <si>
    <t>THE BBQ DEPOT            187-798-3045 FL REF #24492154PMN3L527W</t>
  </si>
  <si>
    <t>TOMMY BAHAMA ECOMM       866-986-8282 WA REF #24692164P34RVGGDB</t>
  </si>
  <si>
    <t>TOMMY BAHAMA ECOMM       866-986-8282 WA REF #24692164P34RVGV7V</t>
  </si>
  <si>
    <t>WAYZATA CAFE             WAYZATA      MN REF #24943004RW6QYNP8B</t>
  </si>
  <si>
    <t>Withdrawal ACH College Savings TYPE: ACH ID: XX5818 CO: College Savings Entry Class Code: ACH Trace Number: XX9290</t>
  </si>
  <si>
    <t>Withdrawal Home Banking Transfer To Loan 02 REF # XX7410</t>
  </si>
  <si>
    <t>Deposit ACH EMPYREAN SOLUTIO TYPE: XX9000 ID: XX3620 CO: EMPYREAN SOLUTIO Entry Class Code: ACH Trace Number: XX4500</t>
  </si>
  <si>
    <t>Mackenthun's Fine Fowaconia Mn Xxxxxxxxx Xxxxxx2512</t>
  </si>
  <si>
    <t>SAM EDELMAN              888-889-9609 MO REF #24492154RMN85SP6F</t>
  </si>
  <si>
    <t>Osaka Eden Prairie 0eden Prairi Xxxxxxxx Xxx-xxx-6949</t>
  </si>
  <si>
    <t>Youngstedts Excelsior Excelsior Mn</t>
  </si>
  <si>
    <t>DNCSS MN TWINS RETAIL    MINNEAPOLIS  MN REF #24692164S2XEG34KD</t>
  </si>
  <si>
    <t>HOLIDAY STATIONS 0217    EDINA        MN REF #24941664TRQEBJ488</t>
  </si>
  <si>
    <t>INTERSTATE PARKING COMPA MILWAUKEE    WI REF #24801974S8AN3A57A</t>
  </si>
  <si>
    <t>OFFICE DEPOT #1090       800-463-3768 MN REF #24137464S2XLNWMS8</t>
  </si>
  <si>
    <t>PARTY CITY 1150          CHANHASSEN   MN REF #24692164S2XDR2TSQ</t>
  </si>
  <si>
    <t>PREMIUM PARKING          HTTPSWWW.PREMLA REF #24011344S001EYRTB</t>
  </si>
  <si>
    <t>TOMMY BAHAMA ECOMM       866-986- CREDIT REF #74692164S2X917A7D</t>
  </si>
  <si>
    <t>535 - MADE IN KC @ MCI   LAS VEGAS    NV REF #24692164X2ZDGPGSX</t>
  </si>
  <si>
    <t>B RAMP 8066              MINNEAPOLIS  MN REF #24789304WSPGF3HP7</t>
  </si>
  <si>
    <t>Withdrawal ACH College Savings TYPE: ACH ID: XX5818 CO: College Savings NAME: BRITNEY TRUITT Entry Class Code: WEB ACH Trace Number: XX2470</t>
  </si>
  <si>
    <t>Withdrawal ACH MHCHILDCARELLC TYPE: DUES ID: XX8198 CO: MHCHILDCARELLC Entry Class Code: ACH Trace Number: XX0091</t>
  </si>
  <si>
    <t>COSTCO WHSE #0783        EDEN PRAIRIE MN REF #24943004YS4AHF1PT</t>
  </si>
  <si>
    <t>SP HELINOX               HTTPSHELINOXFCA REF #24492164X000RVNW7</t>
  </si>
  <si>
    <t>US BOAT AND RECREATION   SPRING PARK  MN REF #24416064XS66E1BTJ</t>
  </si>
  <si>
    <t>Birchs On The Lake 0long Lake Mn Xxxxxxx3160 Restaurant</t>
  </si>
  <si>
    <t>EVEREVE - 15 EDEN PRAIRIE  MN     CREDIT REF #74269794YEJERSSX4</t>
  </si>
  <si>
    <t>PELOTON* MEMBERSHIP      HTTPSWWW.ONEPNY REF #24011344Z0012XQVX</t>
  </si>
  <si>
    <t>Lulus Fashion Lounge</t>
  </si>
  <si>
    <t>Brick &amp; Bourbon Edeneden Prairi Xxxxxxxxxxx Xxxxxx4279</t>
  </si>
  <si>
    <t>LULULEMONCOM*            877-263-9300 CA REF #24692165031NH8023</t>
  </si>
  <si>
    <t>Aplpay Wayzata Coffewayzata Mn E0f3e261a93e0f3e261axxxxxxxxx5391</t>
  </si>
  <si>
    <t>COSTCO WHSE #0783        EDEN PRAIRIE MN REF #249430053S4AHER42</t>
  </si>
  <si>
    <t>Hallmark Movies Now      844-4465669  CA REF #24906415253WB2PYL</t>
  </si>
  <si>
    <t>THREE RIVERS WEB         763-559-6772 MN REF #248019752TQ5TWZ06</t>
  </si>
  <si>
    <t>BLUEFIN BAY FAMILY OF    TOFTE        MN REF #240009753VMN4NPWZ</t>
  </si>
  <si>
    <t>CENTURYLINK LUMEN        800-244-1111 LA REF #24692165334DEY802</t>
  </si>
  <si>
    <t>Connectyourcare Deposit</t>
  </si>
  <si>
    <t>COSTCO WHSE #0377        SAINT LOUIS PMN REF #249430054S4AFK8T4</t>
  </si>
  <si>
    <t>COSTCO WHSE #0377        SAINT LOUIS PMN REF #249430054S4AGG71K</t>
  </si>
  <si>
    <t>MEDEXPRESS URGENT CARE MI877-2160458  WV REF #2475542537WZEPPPW</t>
  </si>
  <si>
    <t>Withdrawal ACH MHCHILDCARELLC TYPE: DUES ID: XX8198 CO: MHCHILDCARELLC Entry Class Code: ACH Trace Number: XX1247</t>
  </si>
  <si>
    <t>WSJ/BARRONS SUBSCRIPTI   800-568-7625 NJ REF #24692165434L7GKL7</t>
  </si>
  <si>
    <t>PAYMENT - THANK YOU REF #74734575500XTMJG3</t>
  </si>
  <si>
    <t>AMZN Mktp US*UE33Y2R23   Amzn.com/billWA REF #24692165434YAL9WM</t>
  </si>
  <si>
    <t>SP *KUIU                 WWW.KUIU.COM CA REF #240113455000378JW</t>
  </si>
  <si>
    <t>LUNDS&amp;BYERLYS CHANH      CHANHASSEN   MN REF #244273355MHE0QZMT</t>
  </si>
  <si>
    <t>Bird* Preload Xxxxxx2442 Ca Apple Pay Ending In 3050</t>
  </si>
  <si>
    <t>SP VUORI CLOTHING HTTPSVUORICLO C CREDIT REF #244921656000H3JVH</t>
  </si>
  <si>
    <t>Aplpay Tofte Generaltofte Mn Xxxxxxxxx Xxxxxx7288</t>
  </si>
  <si>
    <t>BIRD* RIDE               HTTPSBIRD.CO CA REF #244921658001FA8DB</t>
  </si>
  <si>
    <t>FEDEX399634221815        MEMPHIS      TN REF #241640757MJDP11X6</t>
  </si>
  <si>
    <t>Fitgers Inn 0xxx7002duluth Mn Xxxxxx8489 John@fitgers.com</t>
  </si>
  <si>
    <t>IN *TRAILFITTERS         DULUTH       MN REF #2469216582YYQXS4Z</t>
  </si>
  <si>
    <t>Jv Investments Llc 0two Harbors Xxxxxxx3170 Bar/nightclub</t>
  </si>
  <si>
    <t>KWIK TRIP  57100005710   CARLTON      MN REF #241640758L3HFTA71</t>
  </si>
  <si>
    <t>KWIK TRIP  57100005710   CARLTON      MN REF #241640758L3HFTAM9</t>
  </si>
  <si>
    <t>Lou?s Fish House Two Harbors Mn 3p3khmbbt9o Squareup.com/receipts</t>
  </si>
  <si>
    <t>Northshore Pizza &amp; Ctwo Harbors 54ck3tc8lbk Squareup.com/receipts</t>
  </si>
  <si>
    <t>SQ *GRANDMA'S MARATHON   Duluth       MN REF #2469216572Y6R3S11</t>
  </si>
  <si>
    <t>UPS*1Z8717Y40324239195   800-811-1648 GA REF #2469216582YFQ3M0H</t>
  </si>
  <si>
    <t>WALGREENS #13877         DULUTH       MN REF #24445005800XZVQ42</t>
  </si>
  <si>
    <t>EH 3RD ST PHARMACY       DULUTH       MN REF #244921559PXN2H1HH</t>
  </si>
  <si>
    <t>Lock Port Marketplaclutsen Mn Xxxxxxx3170 Lockport@boreal.org</t>
  </si>
  <si>
    <t>The Creamery</t>
  </si>
  <si>
    <t>TOFTE GENERAL STORE      TOFTE        MN REF #244273359MHDWWJT0</t>
  </si>
  <si>
    <t>AMZN Mktp US*RG02E1213   Amzn.com/billWA REF #24692165A30Q84GEG</t>
  </si>
  <si>
    <t>BLUEFIN BAY FAMILY OF    TOFTE        MN REF #24000975AWGAMQLRN</t>
  </si>
  <si>
    <t>COHO CAFE                218-6636275  MN REF #24000975AWK6T3Y69</t>
  </si>
  <si>
    <t>HOLIDAY STATIONS 3516    GRAND MARAIS MN REF #24941665ARQEB5QTK</t>
  </si>
  <si>
    <t>Lou?s Fish House Two Harbors Mn Xszoxvlqxtr Squareup.com/receipts</t>
  </si>
  <si>
    <t>MOUNTAIN SHOPS INC      LUTSEN       MN REF #24275395AS66HMAV9</t>
  </si>
  <si>
    <t>Withdrawal ACH MN DIR ACH TYPE: CONTRIB ID: XX7162 CO: MN DIR ACH NAME: XX2601 Entry Class Code: WEB ACH Trace Number: XX6427</t>
  </si>
  <si>
    <t>AMZ*Momok                AMZN.COM/BILLWA REF #74692165B30RAKRM9</t>
  </si>
  <si>
    <t>BONFES PLUMBING HEATING A651-3326633  MN REF #24275395BS66K1R3P</t>
  </si>
  <si>
    <t>COHO CAFE                218-6636275  MN REF #24000975BWPQWNNK7</t>
  </si>
  <si>
    <t>COHO CAFE                218-6636275  MN REF #24000975BWPQWNNLR</t>
  </si>
  <si>
    <t>Netflix.com              866-5797172  CA REF #24906415B54E10R10</t>
  </si>
  <si>
    <t>SUMMIT CHALET            LUTSEN       MN REF #24325455BS66GYVRJ</t>
  </si>
  <si>
    <t>Withdrawal ACH CITY OF CHANHASS TYPE: UTIL BILL ID: XX5331 CO: CITY OF CHANHASS Entry Class Code: ACH Trace Number: XX7264</t>
  </si>
  <si>
    <t>Withdrawal ACH MHCHILDCARELLC TYPE: DUES ID: XX8198 CO: MHCHILDCARELLC Entry Class Code: ACH Trace Number: XX6047</t>
  </si>
  <si>
    <t>CUB FOODS #1636          SHOREWOOD    MN REF #24427335QM83LG41N</t>
  </si>
  <si>
    <t>Kai's Sushi &amp; Grill Chanhassen Xxxxxxx3173 Kaisushimn@gmail.com</t>
  </si>
  <si>
    <t>MCW 1602-MINNETONKA      MINNETONKA   MN REF #24071055QVAM27WHR</t>
  </si>
  <si>
    <t>MINNESOTA STATE PARKS    SAINT PAUL   MN REF #24717055Q4ZXSX3NA</t>
  </si>
  <si>
    <t>SAM EDELMAN              8888899609   MO REF #74492155QLRF7XMEP</t>
  </si>
  <si>
    <t>TOP GOLF BAY RESERVATION 800-453-0660 TX REF #24431065QLQQ2AE5E</t>
  </si>
  <si>
    <t>BLUEFIN BAY FAMILY OF    TOFTE        MN REF #24000975DWXSJDT7E</t>
  </si>
  <si>
    <t>LULUS.COM                HTTPSWWW.LULUCA REF #24011345D000NG75X</t>
  </si>
  <si>
    <t>NORTHFACE VF OUTDOOR     888-863-1968 WI REF #24692165D3240YM6P</t>
  </si>
  <si>
    <t>Payment to Barclaycard US</t>
  </si>
  <si>
    <t>Balsam Lake Brewery Balsam Lake Lbjtvgfxumv Squareup.com/receipts</t>
  </si>
  <si>
    <t>Kj's New North 40390balsam Lake Xxxxxxx3176 Kjsnewnorth@gmail.com</t>
  </si>
  <si>
    <t>ANTHROPOLOGIE.COM        800-309-2500 PA REF #24445005E2X9KSMD6</t>
  </si>
  <si>
    <t>BCS*MINNETONKA COMMUNITY 952-401-6800 MN REF #24137465F01GKY342</t>
  </si>
  <si>
    <t>BLUEFIN BAY FAMILY OF    TOFTE        MN REF #24000975EX0L4HRQ6</t>
  </si>
  <si>
    <t>Marketplace Foods</t>
  </si>
  <si>
    <t>SP HELINOX               HTTPSHELINOXFCA REF #24492165F000AXYX5</t>
  </si>
  <si>
    <t>TST* BACK CHANNEL BREWINGSPRING PARK  MN REF #24137465FEJFXXHF2</t>
  </si>
  <si>
    <t>COSTCO WHSE #0377        SAINT LOUIS PMN REF #24943005HS4AFJNDP</t>
  </si>
  <si>
    <t>AMZN Mktp US*0T99M02D3   Amzn.com/billWA REF #24692165H358WA546</t>
  </si>
  <si>
    <t>AMZN Mktp US*8069415T3   Amzn.com/billWA REF #24692165H355432MT</t>
  </si>
  <si>
    <t>AMZN Mktp US*X61QH5I83   Amzn.com/billWA REF #24692165H35H0HHX4</t>
  </si>
  <si>
    <t>AVO*ADVOCARE INTL        800-542-4800 TX REF #24692165H354J8YT5</t>
  </si>
  <si>
    <t>Kids Hair - CH           Chanhassen   MN REF #24793385H7VBVXA2R</t>
  </si>
  <si>
    <t>MOTORWERKS BMW           BLOOMINGTON  MN REF #24431065JJGA8W9DH</t>
  </si>
  <si>
    <t>AMZN Mktp US*PS81G1WP3   Amzn.com/billWA REF #24692165J3622FMPZ</t>
  </si>
  <si>
    <t>Five Star Food Mart</t>
  </si>
  <si>
    <t>Jj-pcg Msp Venture Lsaint Paul ######josd8 Restaurant</t>
  </si>
  <si>
    <t>REI #15 BLOOMINGTON      BLOOMINGTON  MN REF #24692165J35YB6X0B</t>
  </si>
  <si>
    <t>Sumup</t>
  </si>
  <si>
    <t>WAYZATA CAFE             WAYZATA      MN REF #24943005KW6QN1RNE</t>
  </si>
  <si>
    <t>X0099 Cava 5th And Bnashville Tn 2238 Restaurant</t>
  </si>
  <si>
    <t>Dividend Solar</t>
  </si>
  <si>
    <t>Hilton Hotels &amp; Resorts</t>
  </si>
  <si>
    <t>Patagonia-Nashville      Nashville    TN REF #24204295K061LZB39</t>
  </si>
  <si>
    <t>SP NORMAL BRAND LLC      186-69276999 MO REF #24492165K001BRFY6</t>
  </si>
  <si>
    <t>Tst* Maynards - Outsexcelsior Mn Xxxxxxx3012 Restaurant</t>
  </si>
  <si>
    <t>Tst* Rosalia 0xx3741minneapolis Xxxxxxx3181 Restaurant</t>
  </si>
  <si>
    <t>Tst* The Hampton Socnashville Tn Xxxxxxx6012 Restaurant</t>
  </si>
  <si>
    <t>Withdrawal ACH MHCHILDCARELLC TYPE: DUES ID: XX8198 CO: MHCHILDCARELLC Entry Class Code: ACH Trace Number: XX2371</t>
  </si>
  <si>
    <t>Deposit Dividend Split Rate Annual Percentage Yield Earned 1.98% from 06/01/23 through 06/30/23</t>
  </si>
  <si>
    <t>Docs Pub And Eatery Balsam Lake Xxxxxxx3182 Kevinjamesx2667@gmail</t>
  </si>
  <si>
    <t>Kijiji Coffee - B04 Nashville Tn Xxxxxxx3183 Usfc1 X7214</t>
  </si>
  <si>
    <t>SHOREWOOD TRUE VALUE     EXCELSIOR    MN REF #24801975MBMDBH28K</t>
  </si>
  <si>
    <t>Tst* City Tap - Nashnashville Tn Hfnsyoboj00 Xxxxxx4015</t>
  </si>
  <si>
    <t>Viv's Kitchen &amp; Catebalsam Lake Xxxxxxxx Xxx-xxx-3848</t>
  </si>
  <si>
    <t>Withdrawal at ATM #XX1726 DOCS PUB AND-XX9502 305 MAIN ST. BALSAM LAKE WI</t>
  </si>
  <si>
    <t>PAYMENT - THANK YOU REF #74734575P00XTMJG1</t>
  </si>
  <si>
    <t>Thirsty Otter Tavernbalsam Lake Xxxxxxxxxxxxxxxxxxxxx X4810</t>
  </si>
  <si>
    <t>Withdrawal Home Banking Transfer To Loan 02 REF # XX7561</t>
  </si>
  <si>
    <t>Powerplus - Ending in 8s115</t>
  </si>
  <si>
    <t>Amazon Music*8M39L5R93   888-802-3080 WA REF #24692165N2ZF1EQD3</t>
  </si>
  <si>
    <t>Powerplus - Ending in 8s114</t>
  </si>
  <si>
    <t>ANTHROPOLOGIE.COM PHILADELPHIA  P CREDIT REF #74445005M2XJJNG0T</t>
  </si>
  <si>
    <t>Powerplus - Ending in 8s113</t>
  </si>
  <si>
    <t>LULULEMONCOM*            877-263- CREDIT REF #74692165M2YS81G1V</t>
  </si>
  <si>
    <t>Powerplus - Ending in 8s117</t>
  </si>
  <si>
    <t>PAPERSOURCE -4605        EDINA        MN REF #24137465M2XHVJ2D3</t>
  </si>
  <si>
    <t>Powerplus - Ending in 8s116</t>
  </si>
  <si>
    <t>UBER   TRIP              HELP.UBER.COMCA REF #24492155MLYBLVKF4</t>
  </si>
  <si>
    <t>Aplpay Hopsack Llc Balsam Lake Looxr4awd2w Squareup.com/receipts</t>
  </si>
  <si>
    <t>Powerplus - Ending in 8s112</t>
  </si>
  <si>
    <t>THE HIGHWAY 46 STORE     BALSAM LAKE  WI REF #24034545P005XS33B</t>
  </si>
  <si>
    <t>Withdrawal ACH College Savings TYPE: ACH ID: XX5818 CO: College Savings Entry Class Code: ACH Trace Number: XX7798</t>
  </si>
  <si>
    <t>Powerplus - Ending in 8s108</t>
  </si>
  <si>
    <t>AMZN Mktp US*GO5J70LS3   Amzn.com/billWA REF #24692165T31ZFYQY9</t>
  </si>
  <si>
    <t>Powerplus - Ending in 8s111</t>
  </si>
  <si>
    <t>SP *KUIU WWW.KUIU.COM  CA         CREDIT REF #24011345S0002SGN5</t>
  </si>
  <si>
    <t>Powerplus - Ending in 8s109</t>
  </si>
  <si>
    <t>SP VUORI CLOTHING        HTTPSVUORICLOCA REF #24492165S000655EJ</t>
  </si>
  <si>
    <t>Powerplus - Ending in 8s110</t>
  </si>
  <si>
    <t>WAYNE'S FOODS PLUS       LUCK         WI REF #24427335TLYRB36LY</t>
  </si>
  <si>
    <t>Powerplus - Ending in 8s104</t>
  </si>
  <si>
    <t>BCY*BACKCOUNTRY.COM      800-409-4502 UT REF #24692165S32ZYH7WF</t>
  </si>
  <si>
    <t>Powerplus - Ending in 8s107</t>
  </si>
  <si>
    <t>CENEX CONSUMER09917204   LUCK         WI REF #24164075SKXYMMH1K</t>
  </si>
  <si>
    <t>Powerplus - Ending in 8s106</t>
  </si>
  <si>
    <t>CENEX CONSUMER09917204   LUCK         WI REF #24164075SKXYMMH2L</t>
  </si>
  <si>
    <t>Powerplus - Ending in 8s105</t>
  </si>
  <si>
    <t>THE PAMPERED CHEF LTD    888-687-2433 IL REF #24492155SLY4343DE</t>
  </si>
  <si>
    <t>Withdrawal ACH MHCHILDCARELLC TYPE: DUES ID: XX8198 CO: MHCHILDCARELLC Entry Class Code: ACH Trace Number: XX5471</t>
  </si>
  <si>
    <t>Deposit ACH EMPYREAN SOLUTIO TYPE: XX9000 ID: XX3620 CO: EMPYREAN SOLUTIO Entry Class Code: ACH Trace Number: XX5707</t>
  </si>
  <si>
    <t>Powerplus - Ending in 8s103</t>
  </si>
  <si>
    <t>LULUS.COM HTTPSWWW.LULU CA        CREDIT REF #24011345W000AF5KA</t>
  </si>
  <si>
    <t>Tst* Z&amp;h 301 Water Lexcelsior Mn Xxxxxxxxxxx Xxxxxx8003</t>
  </si>
  <si>
    <t>Powerplus - Ending in 8s101</t>
  </si>
  <si>
    <t>AMZN MKTP US*JO1LF7BY3 AMAMZN.COM/BILLWA REF #24431065W2DZMAVVG</t>
  </si>
  <si>
    <t>Powerplus - Ending in 8s100</t>
  </si>
  <si>
    <t>HOLIDAY STATIONS 0246    SHAKOPEE     MN REF #24941665WRQEB2NVH</t>
  </si>
  <si>
    <t>Powerplus - Ending in 8s102</t>
  </si>
  <si>
    <t>PELOTON* MEMBERSHIP      HTTPSWWW.ONEPNY REF #24011345X0010L7W7</t>
  </si>
  <si>
    <t>Powerplus - Ending in 8s98</t>
  </si>
  <si>
    <t>LUNDS&amp;BYERLYS CHANH      CHANHASSEN   MN REF #24427335YMHDPWR8M</t>
  </si>
  <si>
    <t>Powerplus - Ending in 8s97</t>
  </si>
  <si>
    <t>LUNDS&amp;BYERLYS CHANH      CHANHASSEN   MN REF #24427335YMHDPWTGA</t>
  </si>
  <si>
    <t>Powerplus - Ending in 8s99</t>
  </si>
  <si>
    <t>TARGET        00008623   CHANHASSEN   MN REF #24164075Y2LRFWP4Z</t>
  </si>
  <si>
    <t>Powerplus - Ending in 8s96</t>
  </si>
  <si>
    <t>AMZN MKTP US*BF86C1403 AMAMZN.COM/BILLWA REF #24431065Z2DKX55FE</t>
  </si>
  <si>
    <t>Jaxon Grey 0xxxx0001minneapolis Xxxxxxxxxxx Xxxxxx9388</t>
  </si>
  <si>
    <t>Withdrawal ACH MHCHILDCARELLC TYPE: DUES ID: XX8198 CO: MHCHILDCARELLC Entry Class Code: ACH Trace Number: XX3562</t>
  </si>
  <si>
    <t>Powerplus - Ending in 8s95</t>
  </si>
  <si>
    <t>WSJ/BARRONS SUBSCRIPTI   800-568-7625 NJ REF #2469216602XLVN2LR</t>
  </si>
  <si>
    <t>Boston trip for work</t>
  </si>
  <si>
    <t>Powerplus - Ending in 8s94</t>
  </si>
  <si>
    <t>EVEREVE - 60             HOPKINS      MN REF #242697960EJ3HNWTF</t>
  </si>
  <si>
    <t>Powerplus - Ending in 8s91</t>
  </si>
  <si>
    <t>Hallmark Movies Now      844-4465669  CA REF #24906416055X4VLBM</t>
  </si>
  <si>
    <t>Powerplus - Ending in 8s92</t>
  </si>
  <si>
    <t>PARTY CITY 1150          CHANHASSEN   MN REF #2469216602XSP9W21</t>
  </si>
  <si>
    <t>Powerplus - Ending in 8s93</t>
  </si>
  <si>
    <t>EH MYHEALTH PAYMENTS     800-985-4675 MN REF #244921560PXN3JG8T</t>
  </si>
  <si>
    <t>Powerplus - Ending in 8s89</t>
  </si>
  <si>
    <t>AMZN Mktp US Amzn.com/bill WA     CREDIT REF #7469216622Z9AK9V4</t>
  </si>
  <si>
    <t>Powerplus - Ending in 8s88</t>
  </si>
  <si>
    <t>AMZN Mktp US Amzn.com/bill WA     CREDIT REF #7469216622ZA7XJ97</t>
  </si>
  <si>
    <t>Powerplus - Ending in 8s87</t>
  </si>
  <si>
    <t>AMZN Mktp US Amzn.com/bill WA     CREDIT REF #7469216622ZA8ALBD</t>
  </si>
  <si>
    <t>Powerplus - Ending in 8s86</t>
  </si>
  <si>
    <t>AMZN Mktp US Amzn.com/bill WA     CREDIT REF #7469216622ZAJVHHV</t>
  </si>
  <si>
    <t>Powerplus - Ending in 8s85</t>
  </si>
  <si>
    <t>AMZN Mktp US Amzn.com/bill WA     CREDIT REF #7469216622ZAKFZ0H</t>
  </si>
  <si>
    <t>Powerplus - Ending in 8s84</t>
  </si>
  <si>
    <t>AMZN Mktp US Amzn.com/bill WA     CREDIT REF #7469216622ZAKG70R</t>
  </si>
  <si>
    <t>Powerplus - Ending in 8s83</t>
  </si>
  <si>
    <t>AMZN Mktp US Amzn.com/bill WA     CREDIT REF #7469216622ZBRTV47</t>
  </si>
  <si>
    <t>Powerplus - Ending in 8s90</t>
  </si>
  <si>
    <t>CENTURYLINK LUMEN        800-244-1111 LA REF #2469216612Z1WSG37</t>
  </si>
  <si>
    <t>Colorado Department of Motor Vehicles</t>
  </si>
  <si>
    <t>The Social</t>
  </si>
  <si>
    <t>AMZN Mktp US Amzn.com/bill WA     CREDIT REF #7469216622ZQEMM4T</t>
  </si>
  <si>
    <t>Aplpay Opie's Llc Creede Co Zukivd88glw Squareup.com/receipts</t>
  </si>
  <si>
    <t>CONOCO - ALTA CONVENIENCESAGUACHE     CO REF #24034546201AL3X9E</t>
  </si>
  <si>
    <t>CONOCO - ALTA CONVENIENCESAGUACHE     CO REF #24034546201AL3X9Y</t>
  </si>
  <si>
    <t>COSTCO GAS #1087         BURNSVILLE   MN REF #249430063S4FVNQHR</t>
  </si>
  <si>
    <t>COSTCO WHSE #1087        BURNSVILLE   MN REF #249430063S4AFJJT4</t>
  </si>
  <si>
    <t>FIVE STAR HOSPITALITY    SPRING PARK  MN REF #241164163BMDZHWEQ</t>
  </si>
  <si>
    <t>LS RAMBLE HOUSE LLC      171-96582482 CO REF #24492166200154HBB</t>
  </si>
  <si>
    <t>NORTHFACE VF OUTDOOR     888-863- CREDIT REF #7469216622ZEFATPN</t>
  </si>
  <si>
    <t>SQ *SOUP POT             gosq.com     CO REF #2469216622ZTRSP33</t>
  </si>
  <si>
    <t>MSP AIRP PEOPLES ORGANIC SAINT PAUL   MN REF #247554263504MHKWZ</t>
  </si>
  <si>
    <t>RAOCOPARKS&amp;WILDLIFE CO   888-572-7237 TX REF #2469216632XJ5DGZQ</t>
  </si>
  <si>
    <t>SAFEWAY #2792            CONIFER      CO REF #242316863RBGJBFJK</t>
  </si>
  <si>
    <t>AMAZON.COM*3N14098Z3 AMZNAMZN.COM/BILLWA REF #2443106662DKQHRN8</t>
  </si>
  <si>
    <t>Eduardo's Mexican Grmonte Vista Xxxxxxxxxxx Xxxxxx6999</t>
  </si>
  <si>
    <t>Withdrawal ACH MN DIR ACH TYPE: CONTRIB ID: XX7162 CO: MN DIR ACH NAME: XX2601 Entry Class Code: WEB ACH Trace Number: XX5793</t>
  </si>
  <si>
    <t>BCS*MINNETONKA COMMUNITY 952-401-6800 MN REF #24137466801E8S29W</t>
  </si>
  <si>
    <t>Denver International Airport</t>
  </si>
  <si>
    <t>LULUS.COM HTTPSWWW.LULU CA        CREDIT REF #2401134680002BHB5</t>
  </si>
  <si>
    <t>Red Cow</t>
  </si>
  <si>
    <t>Donate *OutrunALD2021    888-3851360  NJ REF #24204296802DMR29B</t>
  </si>
  <si>
    <t>Kona Grill</t>
  </si>
  <si>
    <t>ONSTREET 8090            612-3437275  MN REF #2478930683TE7XVPG</t>
  </si>
  <si>
    <t>Precheck</t>
  </si>
  <si>
    <t>BONFES PLUMBING HEATING A651-3326633  MN REF #242753969S66KTQHV</t>
  </si>
  <si>
    <t>Netflix.com              866-5797172  CA REF #24906416956ES5JY9</t>
  </si>
  <si>
    <t>Withdrawal ACH CITY OF CHANHASS TYPE: UTIL BILL ID: XX5331 CO: CITY OF CHANHASS Entry Class Code: ACH Trace Number: XX1664</t>
  </si>
  <si>
    <t>PAYMENT - THANK YOU REF #74734576Q00XTMJG6</t>
  </si>
  <si>
    <t>Wayne's Food Plus</t>
  </si>
  <si>
    <t>BCS*MINNETONKA COMMUNITY 952-401-6800 MN REF #24137466B01HBE5V5</t>
  </si>
  <si>
    <t>KWIK TRIP  49200004929   CHANHASSEN   MN REF #24164076BL3HN06B3</t>
  </si>
  <si>
    <t>KWIK TRIP  49200004929   CHANHASSEN   MN REF #24164076BL3HN06E6</t>
  </si>
  <si>
    <t>MCW 1602-MINNETONKA      952-3778113  MN REF #24071056AVAMFWTK7</t>
  </si>
  <si>
    <t>AMZN Mktp US*H81KG1C33   Amzn.com/billWA REF #24692166Q34NNGXS9</t>
  </si>
  <si>
    <t>AMZN Mktp US*HS2GJ1HU3   Amzn.com/billWA REF #24692166Q352X7DSP</t>
  </si>
  <si>
    <t>AMZN Mktp US*K70S63PB3   Amzn.com/billWA REF #24692166Q34VAP9Y7</t>
  </si>
  <si>
    <t>AMZN Mktp US*TQ5730KU3   Amzn.com/billWA REF #24692166Q352ZQBQP</t>
  </si>
  <si>
    <t>AMZN Mktp US*YT52T8BN3   Amzn.com/billWA REF #24692166Q34NFRTHX</t>
  </si>
  <si>
    <t>KOWALSKI'S MARKET        EDEN PRAIRIE MN REF #24427336DLM7RFYJ6</t>
  </si>
  <si>
    <t>SHOREWOOD TRUE VALUE     EXCELSIOR    MN REF #24801976EBMD9KZHJ</t>
  </si>
  <si>
    <t>Tsa Global Entry Fee Credit</t>
  </si>
  <si>
    <t>UBER   TRIP              HELP.UBER.COMCA REF #24492156DLY1N0EGB</t>
  </si>
  <si>
    <t>Withdrawal ACH MHCHILDCARELLC TYPE: DUES ID: XX8198 CO: MHCHILDCARELLC Entry Class Code: ACH Trace Number: XX1974</t>
  </si>
  <si>
    <t>AMZN Mktp US*8948X1PZ3   Amzn.com/billWA REF #24692166E36QAX18T</t>
  </si>
  <si>
    <t>COSTCO WHSE #0377        SAINT LOUIS PMN REF #24943006FS4AFK60M</t>
  </si>
  <si>
    <t>COSTCO WHSE #0377        SAINT LOUIS PMN REF #24943006FS4AGGT18</t>
  </si>
  <si>
    <t>HOLIDAY STATIONS 0012    SHOREWOOD    MN REF #24941666ERQEBQ5QV</t>
  </si>
  <si>
    <t>AMZN Mktp US*T62F67D40   Amzn.com/billWA REF #24692166F2XJ40JGE</t>
  </si>
  <si>
    <t>AMZN Mktp US*T664Q42R0   Amzn.com/billWA REF #24692166F2XY7F7T0</t>
  </si>
  <si>
    <t>LUNDS&amp;BYERLYS CHANH      CHANHASSEN   MN REF #24427336FMHE012M1</t>
  </si>
  <si>
    <t>MCW 1602-MINNETONKA      952-3778113  MN REF #24071056FVAMQPWL8</t>
  </si>
  <si>
    <t>Us Customs And Border Protection</t>
  </si>
  <si>
    <t>AMAZON.COM AMZN.COM/BILL AMZN.COM/BILLWA REF #74431066G2D9K50WA</t>
  </si>
  <si>
    <t>AMZN Mktp US             Amzn.com/billWA REF #74692166G2YN5RWWD</t>
  </si>
  <si>
    <t>AMZN Mktp US             Amzn.com/billWA REF #74692166G2YNWX1JX</t>
  </si>
  <si>
    <t>AMZN Mktp US             Amzn.com/billWA REF #74692166G2YRWFBNS</t>
  </si>
  <si>
    <t>AMZN MKTP US AMZN.COM/BILAMZN.COM/BILLWA REF #74431066G2D9NMK8A</t>
  </si>
  <si>
    <t>AMZN Mktp US*T60H26R20   Amzn.com/billWA REF #24692166H2YV1VEJ0</t>
  </si>
  <si>
    <t>AMZN Mktp US*T66DN7DX1   Amzn.com/billWA REF #24692166G2YB5QR2Z</t>
  </si>
  <si>
    <t>KOWALSKI'S EXCELSIO      EAGAN        MN REF #24427336GLM8M52X5</t>
  </si>
  <si>
    <t>PAYMENT - THANK YOU REF #74734576K00XTMJG7</t>
  </si>
  <si>
    <t>Casey's General Stores</t>
  </si>
  <si>
    <t>Ireland trip for work</t>
  </si>
  <si>
    <t>AMZN Mktp US*TH0QH0480   Amzn.com/billWA REF #24692166H2ZK9VJ5M</t>
  </si>
  <si>
    <t>HOLIDAY STATIONS 0419    SAINT CROIX FWI REF #24941666JRQEB4V8M</t>
  </si>
  <si>
    <t>nuuly.com                844-446-8859 PA REF #24445006JHEWPXVW2</t>
  </si>
  <si>
    <t>SP JACKBOX GAMES         HTTPSSHOP.JACIL REF #24492166J000AKDQF</t>
  </si>
  <si>
    <t>Aplpay Hopsack Llc Balsam Lake Bsryivqtff1 Squareup.com/receipts</t>
  </si>
  <si>
    <t>Cash</t>
  </si>
  <si>
    <t>Deposit Dividend Split Rate Annual Percentage Yield Earned 2.05% from 07/01/23 through 07/31/23</t>
  </si>
  <si>
    <t>Amazon Music*TH8P79M70   888-802-3080 WA REF #24692166M31V96E4D</t>
  </si>
  <si>
    <t>ELITE NAILS LLC          CHANHASSEN   MN REF #24717056M3V1YD83P</t>
  </si>
  <si>
    <t>Transfer to College Station</t>
  </si>
  <si>
    <t>Withdrawal ACH MHCHILDCARELLC TYPE: DUES ID: XX8198 CO: MHCHILDCARELLC Entry Class Code: ACH Trace Number: XX4406</t>
  </si>
  <si>
    <t>Withdrawal Home Banking Transfer To Loan 02 REF # XX2243</t>
  </si>
  <si>
    <t>BCY*BACKCOUNTRY.COM      800-409- CREDIT REF #74692166M32G39RAV</t>
  </si>
  <si>
    <t>COMPANY STORE            WAYZATA      MN REF #24943006NW5TTMGPD</t>
  </si>
  <si>
    <t>Jaxen Grey - Ridgedaminnetonka Xxxxxxxxxxx Xxxxxx8672</t>
  </si>
  <si>
    <t>Refunds &amp; Reimbursements</t>
  </si>
  <si>
    <t>Tst* Lost Bay Llc 00excelsior Mn Xxxxxxx3215 Restaurant</t>
  </si>
  <si>
    <t>AMZN Mktp US*TH0ZS5IQ2   Amzn.com/billWA REF #24692166N331JD3FY</t>
  </si>
  <si>
    <t>AMZN Mktp US*TH8A86BG1   Amzn.com/billWA REF #24692166N336BYVTA</t>
  </si>
  <si>
    <t>Bmw</t>
  </si>
  <si>
    <t>Centro</t>
  </si>
  <si>
    <t>FOSS SWIM SCHOOL         HTTPSWWW.FOSSMN REF #24011346N001ENNZ9</t>
  </si>
  <si>
    <t>Aplpay Pay*www.pryesminneapolis Xxxxxxx3216 Accounting@pryesbrewi</t>
  </si>
  <si>
    <t>Vivir Minneapolis Mn Xaup6m8njol Squareup.com/receipts</t>
  </si>
  <si>
    <t>Arco</t>
  </si>
  <si>
    <t>AMC 0705 SOUTHDALE 16    EDINA        MN REF #24431066S0HD0QJRL</t>
  </si>
  <si>
    <t>LYFT   *RIDE FRI 9PM     LYFT.COM     CA REF #24011346T0010PZXA</t>
  </si>
  <si>
    <t>SHUTTERFLY INC.         650-610-5200 CA REF #24492156RLXWM2PFN</t>
  </si>
  <si>
    <t>SQ *RUBY'S ROOST VICTORIAVictoria     MN REF #24692166T35GNG1GV</t>
  </si>
  <si>
    <t>THEGROOMSMANSUIT         HTTPSSTORE.SUNY REF #24492166R001AJPAJ</t>
  </si>
  <si>
    <t>TST* Indeed Brewing CompaMinneapolis  MN REF #24692166R34EJW07T</t>
  </si>
  <si>
    <t>UBER   TRIP              HELP.UBER.COMCA REF #24492156RLR70SYE1</t>
  </si>
  <si>
    <t>Catering By Kowalskisaint Paul Xxxxxxxxxxx Xxxxxx6870</t>
  </si>
  <si>
    <t>AMZN Mktp US*TA2BB6B72   Amzn.com/billWA REF #24692166V2XQLTJW9</t>
  </si>
  <si>
    <t>AMZN MKTP US*TA2OU81W1 AMAMZN.COM/BILLWA REF #24431066V2DKX5SK4</t>
  </si>
  <si>
    <t>AMZN Mktp US*TA35S4BL2   Amzn.com/billWA REF #24692166V2XQXB275</t>
  </si>
  <si>
    <t>AMZN Mktp US*TA3PM4AA1   Amzn.com/billWA REF #24692166V2XHJPD09</t>
  </si>
  <si>
    <t>Kids' Hair Llc Edina Mn ######kdzyt Medical Service</t>
  </si>
  <si>
    <t>Delete - Personal Care</t>
  </si>
  <si>
    <t>KWIK TRIP  40200004028   CHANHASSEN   MN REF #24164076VL3HE26E6</t>
  </si>
  <si>
    <t>Tst* Revival Food Trminneapolis Xxxxxxx3221 Restaurant</t>
  </si>
  <si>
    <t>Withdrawal ACH MHCHILDCARELLC TYPE: DUES ID: XX8198 CO: MHCHILDCARELLC Entry Class Code: ACH Trace Number: XX1035</t>
  </si>
  <si>
    <t>WSJ/BARRONS SUBSCRIPTI   800-568-7625 NJ REF #24692166W2XZW9X1G</t>
  </si>
  <si>
    <t>CHASKA TOWN COURSE       CHASKA       MN REF #24750766WS66L7JEN</t>
  </si>
  <si>
    <t>PELOTON* MEMBERSHIP      HTTPSWWW.ONEPNY REF #24011346W000Z2PRX</t>
  </si>
  <si>
    <t>THE HOME DEPOT #2806     ST LOUIS PARKMN REF #24943016W09FPG3A6</t>
  </si>
  <si>
    <t>COSTCO GAS #0377         SAINT LOUIS PMN REF #24943006YS4QJT877</t>
  </si>
  <si>
    <t>HALSEY44* #33614         HALSEY44.COM CA REF #24492166X0014NSSK</t>
  </si>
  <si>
    <t>NA'S THAI CAFE           CHANHASSEN   MN REF #24055226X60ZHX75X</t>
  </si>
  <si>
    <t>Aroma</t>
  </si>
  <si>
    <t>CARGILL STORE            WAYZATA      MN REF #24943006YRLQ5EJZ7</t>
  </si>
  <si>
    <t>COSTCO WHSE #0783        EDEN PRAIRIE MN REF #24943006ZS4AFHLTQ</t>
  </si>
  <si>
    <t>N 4543 State Hwy 22 Shawano Wi Xxxxxxxxxxx Xxxxxx4454</t>
  </si>
  <si>
    <t>Netflix                  1 8445052993 CA REF #24002846Y00FSZAWK</t>
  </si>
  <si>
    <t>SHUTTERFLY INC.         650-610- CREDIT REF #74492156YLXRP9S68</t>
  </si>
  <si>
    <t>Thornberry Creek</t>
  </si>
  <si>
    <t>Tst* Stubborn Brotheshawano Wi Xxxxxxx3224 Restaurant</t>
  </si>
  <si>
    <t>Bp#xxx1176r-store 44hatley Wi Xxxxxxxx Xxx-xxx-3860</t>
  </si>
  <si>
    <t>Bp#xxx1176r-store 44hatley Wi Xxxxxxxx Xxxxxxxx X4440</t>
  </si>
  <si>
    <t>CENTURYLINK LUMEN        800-244-1111 LA REF #24692167031BLQV6D</t>
  </si>
  <si>
    <t>Hallmark Movies Now      844-4465669  CA REF #24906416Z57YJRNZG</t>
  </si>
  <si>
    <t>Hazelwood Food And Dexcelsior Mn Xxxxxxx3226 Office@hazellewoodgri</t>
  </si>
  <si>
    <t>Delete - Office Maintenance</t>
  </si>
  <si>
    <t>SOUTH LAKE PEDIATRICS    952-401-8300 MN REF #24137467001FLGBGH</t>
  </si>
  <si>
    <t>MEDEXPRESS URGENT CARE MI877-2160458  WV REF #24755427186VTHWXV</t>
  </si>
  <si>
    <t>UBER   TRIP              HELP.UBER.COMCA REF #244921571LWQLRYAB</t>
  </si>
  <si>
    <t>PAYMENT - THANK YOU REF #74734577300XTMJG9</t>
  </si>
  <si>
    <t>Withdrawal ACH MHCHILDCARELLC TYPE: DUES ID: XX8198 CO: MHCHILDCARELLC Entry Class Code: ACH Trace Number: XX5620</t>
  </si>
  <si>
    <t>WAYZATA CAFE             WAYZATA      MN REF #249430074W5XJE6EK</t>
  </si>
  <si>
    <t>Withdrawal ACH NORTHERN STAR EV TYPE: SES:XX0330 ID: XX3620 CO: NORTHERN STAR EV NAME: NORTHERN STAR SCOUTI Entry Class Code: WEB ACH Trace Number: XX4504</t>
  </si>
  <si>
    <t>Deposit ACH EMPYREAN SOLUTIO TYPE: XX9000 ID: XX3620 CO: EMPYREAN SOLUTIO Entry Class Code: ACH Trace Number: XX0574</t>
  </si>
  <si>
    <t>Sumo &amp; Smoh Chaska Mn V2oux13jscj Squareup.com/receipts</t>
  </si>
  <si>
    <t>Directpay Full Balance</t>
  </si>
  <si>
    <t>Go Concessions 0000 Oakdale Mn Xxxxxxxx Xxx-xxx-9138</t>
  </si>
  <si>
    <t>Withdrawal ACH MN DIR ACH TYPE: CONTRIB ID: XX7162 CO: MN DIR ACH NAME: XX2601 Entry Class Code: WEB ACH Trace Number: XX8183</t>
  </si>
  <si>
    <t>BCS*MINNETONKA COMMUNITY 952-401-6800 MN REF #24137467701FF7NF1</t>
  </si>
  <si>
    <t>Tst* Maynards - Outsexcelsior Mn Xxxxxxx3013 Restaurant</t>
  </si>
  <si>
    <t>BONFES PLUMBING HEATING A651-3326633  MN REF #242753978S66L4SKD</t>
  </si>
  <si>
    <t>Deposit Home Banking Transfer From Share 01 REF # XX2129</t>
  </si>
  <si>
    <t>Ku Ticket Office 023lawrence Ks Xxxxxxxx Xxxxxxxxxx X5331</t>
  </si>
  <si>
    <t>Withdrawal ACH CITY OF CHANHASS TYPE: UTIL BILL ID: XX5331 CO: CITY OF CHANHASS Entry Class Code: ACH Trace Number: XX6394</t>
  </si>
  <si>
    <t>Aplpay Bt*i See Me! Plymouth Mn Eh941vj2 Xxxxxxxxxx X6208</t>
  </si>
  <si>
    <t>MCW 1602-MINNETONKA      952-3778113  MN REF #240710579VAL42YYF</t>
  </si>
  <si>
    <t>Withdrawal ACH MHCHILDCARELLC TYPE: DUES ID: XX8198 CO: MHCHILDCARELLC Entry Class Code: ACH Trace Number: XX8863</t>
  </si>
  <si>
    <t>Rally Stores Inc</t>
  </si>
  <si>
    <t>SP FREEFLYAPPAREL        HTTPSFREEFLYASC REF #24492167A00141WDJ</t>
  </si>
  <si>
    <t>SP VUORI CLOTHING        HTTPSVUORICLOCA REF #24492167A0017VFNE</t>
  </si>
  <si>
    <t>AMZN MKTP US*T31IY9C62 AMAMZN.COM/BILLWA REF #24431067B2DK81XQT</t>
  </si>
  <si>
    <t>AMZN MKTP US*T33WS33B2 AMAMZN.COM/BILLWA REF #24431067D2DK348L3</t>
  </si>
  <si>
    <t>Tst* Parlour Food Trminneapolis Xxxxxxx4013 Restaurant</t>
  </si>
  <si>
    <t>Aplpay Slice*luluspinew York Ci Nt_owykz5jl +xxxxxxx9928</t>
  </si>
  <si>
    <t>Minnesota State Fair</t>
  </si>
  <si>
    <t>AMZN Mktp US             Amzn.com/billWA REF #74692167D3212YHBA</t>
  </si>
  <si>
    <t>AMZN Mktp US             Amzn.com/billWA REF #74692167D3216ZPRF</t>
  </si>
  <si>
    <t>AMZN Mktp US             Amzn.com/billWA REF #74692167D321B08GH</t>
  </si>
  <si>
    <t>AMZN Mktp US             Amzn.com/billWA REF #74692167D321B89T0</t>
  </si>
  <si>
    <t>AMZN Mktp US             Amzn.com/billWA REF #74692167D321DT2YA</t>
  </si>
  <si>
    <t>AMZN Mktp US             Amzn.com/billWA REF #74692167D321DYWHW</t>
  </si>
  <si>
    <t>AMZN Mktp US             Amzn.com/billWA REF #74692167D321F0JA5</t>
  </si>
  <si>
    <t>AMZN Mktp US*T31TY2P12   Amzn.com/billWA REF #24692167E32N7NSRK</t>
  </si>
  <si>
    <t>AMZN Mktp US*T35H04F91   Amzn.com/billWA REF #24692167E32PFVJ78</t>
  </si>
  <si>
    <t>MARATHON PETRO14456      MINNETONKA   MN REF #24034547E02NV9W1F</t>
  </si>
  <si>
    <t>MCW 1602-MINNETONKA      952-3778113  MN REF #24071057EVALAPLZ5</t>
  </si>
  <si>
    <t>Mills Fleet Farm</t>
  </si>
  <si>
    <t>NA'S THAI CAFE           CHANHASSEN   MN REF #24055227E60ZJ9E05</t>
  </si>
  <si>
    <t>SQ *BRIM                 Saint Paul   MN REF #24692167E32RP4SD8</t>
  </si>
  <si>
    <t>SQ *UNION HMONG KITCHEN ASaint Paul   MN REF #24692167E32NM5A6V</t>
  </si>
  <si>
    <t>SWEET MARTHA'S COOKIE TH ST PAUL      MN REF #24055227FBMA8BDFL</t>
  </si>
  <si>
    <t>AMAZON.COM*T30IJ4471 AMZNAMZN.COM/BILLWA REF #24431067F2DK8R3ZH</t>
  </si>
  <si>
    <t>ARBORETUM APPLEHOUSE     CHASKA       MN REF #24138297G2M81E2AW</t>
  </si>
  <si>
    <t>Ls Bluff Creek Golf Chaska Mn Nt_ox8lg0sk Xxxxxx5685</t>
  </si>
  <si>
    <t>LYFT   *INCREASE TIP     LYFT.COM     CA REF #24011347G0004YPS1</t>
  </si>
  <si>
    <t>LYFT   *RIDE SAT 11AM    LYFT.COM     CA REF #24011347F0010P90D</t>
  </si>
  <si>
    <t>RALLY HOUSE              800-381-9177 KS REF #24492157FMLTFASQG</t>
  </si>
  <si>
    <t>SQ *RUBY'S ROOST VICTORIAVictoria     MN REF #24692167F339PT1N7</t>
  </si>
  <si>
    <t>Creative Mobilxx0014boston Ma Xxxxxxxxx Xxx-xxx0000</t>
  </si>
  <si>
    <t>Withdrawal ACH MHCHILDCARELLC TYPE: DUES ID: XX8198 CO: MHCHILDCARELLC Entry Class Code: ACH Trace Number: XX0201</t>
  </si>
  <si>
    <t>Temazcal</t>
  </si>
  <si>
    <t>AMZN Mktp US*T32K49M11   Amzn.com/billWA REF #24692167J358ZH5YL</t>
  </si>
  <si>
    <t>AMZN Mktp US*T39N71W62   Amzn.com/billWA REF #24692167J35HZN2LF</t>
  </si>
  <si>
    <t>COSTCO GAS #0783         EDEN PRAIRIE MN REF #24943007KS4BZPJ8V</t>
  </si>
  <si>
    <t>Deposit Dividend Split Rate Annual Percentage Yield Earned 1.51% from 08/01/23 through 08/31/23</t>
  </si>
  <si>
    <t>Msp Airport Parking</t>
  </si>
  <si>
    <t>Tst* Harpoon Tap Rooboston Ma Xxxxxxx3244 Bar/nightclub</t>
  </si>
  <si>
    <t>Aloft Hotels</t>
  </si>
  <si>
    <t>Withdrawal Home Banking Transfer To Loan 02 REF # XX4955</t>
  </si>
  <si>
    <t>Aplpay Balsam Lake Bbalsam Lake De4odi9gipv Squareup.com/receipts</t>
  </si>
  <si>
    <t>Aplpay Hopsack Llc Balsam Lake 3tlpuvlf2vf Squareup.com/receipts</t>
  </si>
  <si>
    <t>Aplpay Hopsack Llc Balsam Lake L0byc4nwh7d Squareup.com/receipts</t>
  </si>
  <si>
    <t>Kj's New North 40390balsam Lake Xxxxxxx3246 Kjsnewnorth@gmail.com</t>
  </si>
  <si>
    <t>Balsam Lake</t>
  </si>
  <si>
    <t>Wayne's Foods Plus 0luck Wi</t>
  </si>
  <si>
    <t>Menards</t>
  </si>
  <si>
    <t>Delete - Home Improvement</t>
  </si>
  <si>
    <t>Arboretum</t>
  </si>
  <si>
    <t>AirBnb</t>
  </si>
  <si>
    <t>Withdrawal ACH MHCHILDCARELLC TYPE: DUES ID: XX8198 CO: MHCHILDCARELLC Entry Class Code: ACH Trace Number: XX4716</t>
  </si>
  <si>
    <t>Jo-Ann Stores</t>
  </si>
  <si>
    <t>Aplpay Bt*rally Houslenexa Ks</t>
  </si>
  <si>
    <t>Aplpay Kansas Univerlawrence Ks</t>
  </si>
  <si>
    <t>Fevogm - New York 52new York Ny</t>
  </si>
  <si>
    <t>Jayhawk Food Mart</t>
  </si>
  <si>
    <t>Jeffersons</t>
  </si>
  <si>
    <t>Kansas Univ Flex 000lawrence Ks</t>
  </si>
  <si>
    <t>The Burger</t>
  </si>
  <si>
    <t>The Oread Hotel</t>
  </si>
  <si>
    <t>Airbnb?</t>
  </si>
  <si>
    <t>Withdrawal at ATM #XX8640 THE OREAD HO-XX1195 1200 OREAD AVENUE LAWRENCE KS</t>
  </si>
  <si>
    <t>Aplpay Tst* Papa Kenlawrence Ks</t>
  </si>
  <si>
    <t>The Burger Stand</t>
  </si>
  <si>
    <t>The Hawk 6xxxxxx0448lawrence Ks</t>
  </si>
  <si>
    <t>The Sandbar &amp; Kitchen</t>
  </si>
  <si>
    <t>Tst* Black Stag Brewlawrence Ks</t>
  </si>
  <si>
    <t>Aplpay X35 - Made Inlas Vegas Nv</t>
  </si>
  <si>
    <t>BLVD *GOGLOW EDINA EDINA MN REF #XX5007VEHY45EE8</t>
  </si>
  <si>
    <t>Cinnabon</t>
  </si>
  <si>
    <t>Merchants Pub And Pllawrence Ks</t>
  </si>
  <si>
    <t>National Car Rental</t>
  </si>
  <si>
    <t>ParkMobile</t>
  </si>
  <si>
    <t>Rally House</t>
  </si>
  <si>
    <t>Aaa Taxi</t>
  </si>
  <si>
    <t>Hallmark Movies Now</t>
  </si>
  <si>
    <t>Aplpay Runsignup*sigmoorestown Nj</t>
  </si>
  <si>
    <t>Aplpay Wayzata Cafe Wayzata Mn</t>
  </si>
  <si>
    <t>Withdrawal ACH MHCHILDCARELLC TYPE: DUES ID: XX8198 CO: MHCHILDCARELLC Entry Class Code: ACH Trace Number: XX6926</t>
  </si>
  <si>
    <t>Deposit ACH EMPYREAN SOLUTIO TYPE: XX9000 ID: XX3620 CO: EMPYREAN SOLUTIO Entry Class Code: ACH Trace Number: XX2698</t>
  </si>
  <si>
    <t>Fairmont Hotel</t>
  </si>
  <si>
    <t>Msp Pod1 Shoyu Markephiladelphia Pa</t>
  </si>
  <si>
    <t>Aplpay Bt*i See Me! Plymouth Mn</t>
  </si>
  <si>
    <t>Aplpay Lunds&amp;byerlyschanhassen Mn</t>
  </si>
  <si>
    <t>U Of M Ticket/eventsminneapolis Mn</t>
  </si>
  <si>
    <t>Aplpay Shorewood Truexcelsior Mn</t>
  </si>
  <si>
    <t>Late Fee</t>
  </si>
  <si>
    <t>Deer Run Golf Club</t>
  </si>
  <si>
    <t>Green Gourmet</t>
  </si>
  <si>
    <t>SQ *ARCADE HIGHWAY LLC Excelsior MN REF #XX8336Dx5570</t>
  </si>
  <si>
    <t>SQ *NORTH STAR DONUTS Wayzata MN REF #XX8336DN5F8X</t>
  </si>
  <si>
    <t>The Fletcher School</t>
  </si>
  <si>
    <t>Clayton Hotel Cork Ecork City</t>
  </si>
  <si>
    <t>Clayton Hotel Cork Fcork</t>
  </si>
  <si>
    <t>Costco Gas Stations</t>
  </si>
  <si>
    <t>Hmshost</t>
  </si>
  <si>
    <t>Withdrawal ACH MN DIR ACH TYPE: CONTRIB ID: XX7162 CO: MN DIR ACH NAME: XX2601 Entry Class Code: WEB ACH Trace Number: XX7503</t>
  </si>
  <si>
    <t>Aplpay Fh* Jack Hartlihue Hi</t>
  </si>
  <si>
    <t>Helicopter ride</t>
  </si>
  <si>
    <t>Aplpay Order.noodlesbroomfield Co</t>
  </si>
  <si>
    <t>Carrolls Irish Giftscork</t>
  </si>
  <si>
    <t>HMSHost</t>
  </si>
  <si>
    <t>PV CAB 01 MIDLETON IE REF #XX6866HMS4ATR</t>
  </si>
  <si>
    <t>Transfer from Venmo</t>
  </si>
  <si>
    <t>5 POINTS DELI AND CAFE CORK CITY IE REF #XX8700T1T2E2</t>
  </si>
  <si>
    <t>Burnt Pizza</t>
  </si>
  <si>
    <t>Google Cloud Storage</t>
  </si>
  <si>
    <t>MCW 1602-MINNETONKA XX8113 MN REF #XX0586VALFABJS</t>
  </si>
  <si>
    <t>WAYZATA CAFE WAYZATA MN REF #XX0087W65VEY2N</t>
  </si>
  <si>
    <t>Whsmith</t>
  </si>
  <si>
    <t>Withdrawal ACH MHCHILDCARELLC TYPE: DUES ID: XX8198 CO: MHCHILDCARELLC Entry Class Code: ACH Trace Number: XX7432</t>
  </si>
  <si>
    <t>BONFES PLUMBING HEATING AXX6633 MN REF #XX3987S66LD87X</t>
  </si>
  <si>
    <t>Gallagher's Steakhouse Inc</t>
  </si>
  <si>
    <t>Interest Charge On Purchases</t>
  </si>
  <si>
    <t>NUA ASADOR CORK IE REF #XX6988SRS5G50J</t>
  </si>
  <si>
    <t>SON OF A BUN CORK IE REF #XX6687HH7YWT9M</t>
  </si>
  <si>
    <t>UNITY SHOP CORK IE REF #XX8802EZ7KE7</t>
  </si>
  <si>
    <t>UNITY SHOP CORK IE REF #XX8802EZ7KEF</t>
  </si>
  <si>
    <t>Withdrawal ACH CITY OF CHANHASS TYPE: UTIL BILL ID: XX5331 CO: CITY OF CHANHASS Entry Class Code: ACH Trace Number: XX1793</t>
  </si>
  <si>
    <t>MCW 1602-MINNETONKA XX8113 MN REF #XX0588VAMR9214</t>
  </si>
  <si>
    <t>THOMPSONS CORK IE REF #XX6989SRS50TLT</t>
  </si>
  <si>
    <t>THOMPSONS CORK IE REF #XX6989SRS51NG6</t>
  </si>
  <si>
    <t>Aplpay Tst* Boludo 0minneapolis Mn</t>
  </si>
  <si>
    <t>Excelsior Brewing Coexcelsior Mn</t>
  </si>
  <si>
    <t>Hazelwood Food And Dexcelsior Mn</t>
  </si>
  <si>
    <t>Sp Normal Brand Cor Saint Louis Mo</t>
  </si>
  <si>
    <t>Tst* Boludo 0xxx6904minneapolis Mn</t>
  </si>
  <si>
    <t>Vuori Clothing</t>
  </si>
  <si>
    <t>HM.COM XX7467 NY REF #XX8906JRB2NH</t>
  </si>
  <si>
    <t>SumUp</t>
  </si>
  <si>
    <t>The Shelbourne Bar Cork IE REF #XX7468A6J1DDM9W</t>
  </si>
  <si>
    <t>The Shelbourne Bar Cork IE REF #XX7468A6J1JTXL6</t>
  </si>
  <si>
    <t>The Shelbourne Bar Cork IE REF #XX7468A6J1M3VGK</t>
  </si>
  <si>
    <t>The Shelbourne Bar Cork IE REF #XX7468A6J269BNF</t>
  </si>
  <si>
    <t>The Shelbourne Bar Cork IE REF #XX7468A6J2771W2</t>
  </si>
  <si>
    <t>The Shelbourne Bar Cork IE REF #XX7468A6J281BL0</t>
  </si>
  <si>
    <t>WH Smith Cork Airport Cork IE REF #XX9808A6VK43V2N</t>
  </si>
  <si>
    <t>Jaxen Grey - Ridgedaminnetonka Mn</t>
  </si>
  <si>
    <t>Mackenthun S Meats &amp;saint Bonifac Mn</t>
  </si>
  <si>
    <t>Withdrawal ACH MHCHILDCARELLC TYPE: DUES ID: XX8198 CO: MHCHILDCARELLC Entry Class Code: ACH Trace Number: XX0961</t>
  </si>
  <si>
    <t>Aplpay Garrison Famigarrison Mn</t>
  </si>
  <si>
    <t>Lonesome Pine Restaudeerwood Mn</t>
  </si>
  <si>
    <t>Burritos California</t>
  </si>
  <si>
    <t>The Deerstand</t>
  </si>
  <si>
    <t>Aplpay Slice*luluspinew York City Ny</t>
  </si>
  <si>
    <t>Deposit Dividend Split Rate Annual Percentage Yield Earned 1.54% from 09/01/23 through 09/30/23</t>
  </si>
  <si>
    <t>SQ *CUYUNA OUTFITTERS LLCrosby MN REF #XX2168G2X914VF1</t>
  </si>
  <si>
    <t>Withdrawal Home Banking Transfer To Loan 02 REF # XX0907</t>
  </si>
  <si>
    <t>ARBORETUM APPLEHOUSE CHASKA MN REF #XX8298K2M7ZH34R</t>
  </si>
  <si>
    <t>Salary/Regular Income from U.S. Department Of The Treasury</t>
  </si>
  <si>
    <t>SQ *NORTH STAR DONUTS Victoria MN REF #XX2168J2YVKJY75</t>
  </si>
  <si>
    <t>Hunt trip</t>
  </si>
  <si>
    <t>Penzeys Spices</t>
  </si>
  <si>
    <t>Withdrawal ACH MHCHILDCARELLC TYPE: DUES ID: XX8198 CO: MHCHILDCARELLC Entry Class Code: ACH Trace Number: XX6066</t>
  </si>
  <si>
    <t>2024 Grandmas Marathboston Ma</t>
  </si>
  <si>
    <t>All Seasons Garment Chanhassen Mn</t>
  </si>
  <si>
    <t>Bp Global</t>
  </si>
  <si>
    <t>Pga Tour Superstore</t>
  </si>
  <si>
    <t>H&amp;M</t>
  </si>
  <si>
    <t>PLUNKETTS PEST CONTROL MINNEAPOLIS MN REF #XX3398P00KHR4MQ</t>
  </si>
  <si>
    <t>Vudu</t>
  </si>
  <si>
    <t>BLVD *FACE FOUNDRIE WAYXX-7151 MN REF #XX5008TEJ2M5YAM</t>
  </si>
  <si>
    <t>MACKENTHUN`S MEATS &amp; DELISAINT BONIFACMN REF #XX1948T0W02EV2T</t>
  </si>
  <si>
    <t>Mall Of America</t>
  </si>
  <si>
    <t>Uniqlo</t>
  </si>
  <si>
    <t>Jewelry Works</t>
  </si>
  <si>
    <t>Sierra Trading Post</t>
  </si>
  <si>
    <t>Tst* Bussin Birria 3bloomington Mn</t>
  </si>
  <si>
    <t>Withdrawal ACH MHCHILDCARELLC TYPE: DUES ID: XX8198 CO: MHCHILDCARELLC Entry Class Code: ACH Trace Number: XX4206</t>
  </si>
  <si>
    <t>Hawaii Poke</t>
  </si>
  <si>
    <t>Tst* Honey Paw 00057portland Me</t>
  </si>
  <si>
    <t>Deposit ACH EMPYREAN SOLUTIO TYPE: XX9000 ID: XX3620 CO: EMPYREAN SOLUTIO Entry Class Code: ACH Trace Number: XX6209</t>
  </si>
  <si>
    <t>Tst* Maynards Insideexcelsior Mn</t>
  </si>
  <si>
    <t>Aplpay Truckin Good Edgecomb Me</t>
  </si>
  <si>
    <t>Unified Parking Partners</t>
  </si>
  <si>
    <t>SP PUR BRANDS LLC HTTPSPURBRANDTX REF #XX0015XP79</t>
  </si>
  <si>
    <t>SP PUR BRANDS LLC HTTPSPURBRANDTX REF #XX0009RKTT</t>
  </si>
  <si>
    <t>Withdrawal ACH MHCHILDCARELLC TYPE: DUES ID: XX8198 CO: MHCHILDCARELLC Entry Class Code: ACH Trace Number: XX5507</t>
  </si>
  <si>
    <t>Withdrawal ACH MN DIR ACH TYPE: CONTRIB ID: XX7162 CO: MN DIR ACH NAME: XX2601 Entry Class Code: WEB ACH Trace Number: XX1421</t>
  </si>
  <si>
    <t>Kids' Hair</t>
  </si>
  <si>
    <t>Aplpay Tst* Delsur Eminnetonka Mn</t>
  </si>
  <si>
    <t>Deposit ACH MBI TYPE: SETL ID: XX1866 CO: MBI Entry Class Code: ACH Trace Number: XX6609</t>
  </si>
  <si>
    <t>Google *wsj.com G.co/helppay# Ca</t>
  </si>
  <si>
    <t>Zenotic Inc*europeanbellevue Wa</t>
  </si>
  <si>
    <t>Firehouse Subs</t>
  </si>
  <si>
    <t>Manchu Wok</t>
  </si>
  <si>
    <t>Tst* Unmapped Brewinminnetonka Mn</t>
  </si>
  <si>
    <t>Aer Lingus</t>
  </si>
  <si>
    <t>BONFES PLUMBING HEATING AXX6633 MN REF #XX3995S66KE103</t>
  </si>
  <si>
    <t>Deja Vu Surf Hi-poipkoloa Hi</t>
  </si>
  <si>
    <t>IN *DETAILS RESIDENTIAL SXX1751 MN REF #XX5349Q8SBY</t>
  </si>
  <si>
    <t>Little Fish Coffee</t>
  </si>
  <si>
    <t>Longs Drugs</t>
  </si>
  <si>
    <t>MCW 1602-MINNETONKA XX8113 MN REF #XX0596VAKKSJJY</t>
  </si>
  <si>
    <t>Savage</t>
  </si>
  <si>
    <t>Withdrawal at ATM #XX8533 POIPU SHOPPI-XX3379 2360 KIAHUNA PLANTATION POIPU KAUAI HI</t>
  </si>
  <si>
    <t>Fh* Blue Hawaiian Hedenver Co</t>
  </si>
  <si>
    <t>Withdrawal ACH CITY OF CHANHASS TYPE: UTIL BILL ID: XX5331 CO: CITY OF CHANHASS Entry Class Code: ACH Trace Number: XX7424</t>
  </si>
  <si>
    <t>Aplpay Tst* Kauai Belihue Hi</t>
  </si>
  <si>
    <t>Cruiser Boutique</t>
  </si>
  <si>
    <t>Eating House Koloa Hi</t>
  </si>
  <si>
    <t>KAUAI CLOTHING CO (KCC-03KOLOA HI REF #XX8980FVLL5E7</t>
  </si>
  <si>
    <t>Kauai Sushi Station Lihue Hi</t>
  </si>
  <si>
    <t>Glf*poipubaygolfcourkoloa Hi</t>
  </si>
  <si>
    <t>Hilton Garden Inn</t>
  </si>
  <si>
    <t>Keoki's Paradise Kaukoloa Hi</t>
  </si>
  <si>
    <t>Withdrawal ACH MHCHILDCARELLC TYPE: DUES ID: XX8198 CO: MHCHILDCARELLC Entry Class Code: ACH Trace Number: XX1512</t>
  </si>
  <si>
    <t>Deposit ACH EMPYREAN SOLUTIO TYPE: XX9000 ID: XX3620 CO: EMPYREAN SOLUTIO Entry Class Code: ACH Trace Number: XX4274</t>
  </si>
  <si>
    <t>Riptides Shave Ice Apoipu Hi</t>
  </si>
  <si>
    <t>Aplpay Ai Ono Caf Llihue Hi</t>
  </si>
  <si>
    <t>Big Monster Sushi Anlihue Hi</t>
  </si>
  <si>
    <t>Boss Frog's Dive Shop</t>
  </si>
  <si>
    <t>Smartwool</t>
  </si>
  <si>
    <t>Deposit Dividend Split Rate Annual Percentage Yield Earned 1.89% from 10/01/23 through 10/31/23</t>
  </si>
  <si>
    <t>Withdrawal ACH MHCHILDCARELLC TYPE: DUES ID: XX8198 CO: MHCHILDCARELLC Entry Class Code: ACH Trace Number: XX2975</t>
  </si>
  <si>
    <t>Amazon Music*DC0QM7CV3   888-802-3080 WA REF #24692169G30EYSDN3</t>
  </si>
  <si>
    <t>Withdrawal Transfer To Loan 02</t>
  </si>
  <si>
    <t>Deposit Home Banking Transfer From Share 01 REF # XX0463</t>
  </si>
  <si>
    <t>Deposit Home Banking Transfer REF # XX0448 From TRUITTBRITNEY K XX6126 Share 70</t>
  </si>
  <si>
    <t>SP NORMAL BRAND COR THENORMALBRANMO REF #XX2169Hx0202S7N</t>
  </si>
  <si>
    <t>Delta Skymiles Platinum Card - Ending in 1007</t>
  </si>
  <si>
    <t>WAYZATA CAFE WAYZATA MN REF #XX3009KW5YAYHNL</t>
  </si>
  <si>
    <t>Trufit Cafe &amp; Smoothspring Park Mn</t>
  </si>
  <si>
    <t>Buddy Boy Fine Barbeminnetrista Mn</t>
  </si>
  <si>
    <t>Withdrawal ACH MHCHILDCARELLC TYPE: DUES ID: XX8198 CO: MHCHILDCARELLC Entry Class Code: ACH Trace Number: XX4911</t>
  </si>
  <si>
    <t>Mudd Creek Country Sfranklin Tx</t>
  </si>
  <si>
    <t>SP NORMAL BRAND COR THENORMALBRANMO REF #XX2169T000GRQKD</t>
  </si>
  <si>
    <t>Amc Theatres</t>
  </si>
  <si>
    <t>Dave &amp; Buster's</t>
  </si>
  <si>
    <t>Delta Cb_platinum</t>
  </si>
  <si>
    <t>ARBORETUM APPLEHOUSE CHASKA MN REF #XX8299W2M7WMFP6</t>
  </si>
  <si>
    <t>Aus 3196u Market 512austin Tx</t>
  </si>
  <si>
    <t>Austin-bergstrom International Airport</t>
  </si>
  <si>
    <t>Creative Mobilxx0014boston Ma</t>
  </si>
  <si>
    <t>Dunkin' Donuts</t>
  </si>
  <si>
    <t>Jj-pcg Msp Venture Lsaint Paul Mn</t>
  </si>
  <si>
    <t>Msp Hudson St2295 22saint Paul Mn</t>
  </si>
  <si>
    <t>Primaclassicalcoachimaple Grove Mn</t>
  </si>
  <si>
    <t>Tst* Row 34 - Cambricambridge Ma</t>
  </si>
  <si>
    <t>Ac Hotels</t>
  </si>
  <si>
    <t>Transfer to Coinbase</t>
  </si>
  <si>
    <t>Withdrawal ACH MHCHILDCARELLC TYPE: DUES ID: XX8198 CO: MHCHILDCARELLC Entry Class Code: ACH Trace Number: XX0689</t>
  </si>
  <si>
    <t>Crossroads</t>
  </si>
  <si>
    <t>Google *svcsgns.3349g.co/helppay# Ca</t>
  </si>
  <si>
    <t>Tst* Harpoon Tap Rooboston Ma</t>
  </si>
  <si>
    <t>Lake Tahoe Resort</t>
  </si>
  <si>
    <t>The Lobby</t>
  </si>
  <si>
    <t>811 Washington Ramp North Oaks Mn</t>
  </si>
  <si>
    <t>Old Navy</t>
  </si>
  <si>
    <t>Withdrawal ACH MN DIR ACH TYPE: CONTRIB ID: XX7162 CO: MN DIR ACH NAME: XX2601 Entry Class Code: WEB ACH Trace Number: XX0279</t>
  </si>
  <si>
    <t>BONFES PLUMBING HEATING AXX6633 MN REF #XX7539A4S66K79B0</t>
  </si>
  <si>
    <t>Withdrawal ACH CITY OF CHANHASS TYPE: UTIL BILL ID: XX5331 CO: CITY OF CHANHASS Entry Class Code: ACH Trace Number: XX2400</t>
  </si>
  <si>
    <t>Withdrawal ACH MHCHILDCARELLC TYPE: DUES ID: XX8198 CO: MHCHILDCARELLC Entry Class Code: ACH Trace Number: XX2783</t>
  </si>
  <si>
    <t>AMZN Mktp US*0F6B73VE3 Amzn.com/billWA REF #XX9216A52XJx7511</t>
  </si>
  <si>
    <t>ARBORETUM APPLEHOUSE CHASKA MN REF #XX3829A62M7WMGVG</t>
  </si>
  <si>
    <t>BCS*MINNETONKA COMMUNITY XX-6800 MN REF #XX3746A601JNM6G7</t>
  </si>
  <si>
    <t>BCS*MINNETONKA COMMUNITY XX-6800 MN REF #XX3746A601JNM6JV</t>
  </si>
  <si>
    <t>Coursra35bcaxv388l92mountain Vi Ca</t>
  </si>
  <si>
    <t>MCW 1602-MINNETONKA XX8113 MN REF #XX7105A5VALG8WLJ</t>
  </si>
  <si>
    <t>Ramp C Ecomm Xxxxxxxxxx-xxx7275 Mn</t>
  </si>
  <si>
    <t>Test Kitchen</t>
  </si>
  <si>
    <t>Tst* Two Mixed Up Llminneapolis Mn</t>
  </si>
  <si>
    <t>WAYZATA CAFE WAYZATA MN REF #XX4300A6W5V6ZH4K</t>
  </si>
  <si>
    <t>Sp Indyeva Canada Dev Xxxxxx4802 Can Apple Pay Ending In 7968</t>
  </si>
  <si>
    <t>Williams-sonoma</t>
  </si>
  <si>
    <t>Amk</t>
  </si>
  <si>
    <t>Aplpay The Burton Coburlington Vt</t>
  </si>
  <si>
    <t>Black Sheep</t>
  </si>
  <si>
    <t>The Burton Corporatiburlington Vt</t>
  </si>
  <si>
    <t>Aplpay Onstreet 8090minneapolis Mn</t>
  </si>
  <si>
    <t>Aplpay Premium Parkinew Orleans La</t>
  </si>
  <si>
    <t>Delete Brit</t>
  </si>
  <si>
    <t>BLVDKITCHE* BLVD KITCH BLVDKITCHEN.CMA REF #XX9216AA0003N96Q</t>
  </si>
  <si>
    <t>Ruhland's Strudel Hasaint Paul Mn</t>
  </si>
  <si>
    <t>Tst* Coalition Excelexcelsior Mn</t>
  </si>
  <si>
    <t>War Forged Printing Chanhassen Mn</t>
  </si>
  <si>
    <t>Delete - Printing</t>
  </si>
  <si>
    <t>Bonfe's Plumbing Heasouth Saint P Mn</t>
  </si>
  <si>
    <t>Jhmr Online Store Teton Village Wy</t>
  </si>
  <si>
    <t>Sp Sendjoeskcbbq Olathe Ks</t>
  </si>
  <si>
    <t>J.crew</t>
  </si>
  <si>
    <t>Parnassus St2342 234nashville Tn</t>
  </si>
  <si>
    <t>Shorewood Liquor</t>
  </si>
  <si>
    <t>Withdrawal ACH MHCHILDCARELLC TYPE: DUES ID: XX8198 CO: MHCHILDCARELLC Entry Class Code: ACH Trace Number: XX3976</t>
  </si>
  <si>
    <t>In *garage Floor Coaminneapolis Mn</t>
  </si>
  <si>
    <t>Sherwin-williams</t>
  </si>
  <si>
    <t>Deposit Dividend Split Rate Annual Percentage Yield Earned 2.55% from 11/01/23 through 11/30/23</t>
  </si>
  <si>
    <t>Discover Bank Deposit</t>
  </si>
  <si>
    <t>Rdstr Inc.*montec Chicago Il</t>
  </si>
  <si>
    <t>Amazon Music*AA5HH5UD3 XX-3080 WA REF #XX9216AF353W95RS</t>
  </si>
  <si>
    <t>AMZN Mktp US*565AB5T43 Amzn.com/billWA REF #XX9216AG2X704FAJ</t>
  </si>
  <si>
    <t>Liquor Boy</t>
  </si>
  <si>
    <t>Teladoc</t>
  </si>
  <si>
    <t>AMZN Mktp US*6W7HB0RM3 Amzn.com/billWA REF #XX9216AJ2YRR4MXE</t>
  </si>
  <si>
    <t>ARBORETUM APPLEHOUSE CHASKA MN REF #XX3829AK2M7VNZFL</t>
  </si>
  <si>
    <t>Withdrawal ACH MHCHILDCARELLC TYPE: DUES ID: XX8198 CO: MHCHILDCARELLC Entry Class Code: ACH Trace Number: XX6057</t>
  </si>
  <si>
    <t>Evernote</t>
  </si>
  <si>
    <t>Tide Dry Cleaners</t>
  </si>
  <si>
    <t>Deposit ACH EMPYREAN SOLUTIO TYPE: XX9000 ID: XX3620 CO: EMPYREAN SOLUTIO Entry Class Code: ACH Trace Number: XX7134</t>
  </si>
  <si>
    <t>Na's Thai Cafe</t>
  </si>
  <si>
    <t>AMZN MKTP US*3D72F7CA3 SEATTLE WA REF #XX3106AM2DYG8PKH</t>
  </si>
  <si>
    <t>AMZN MKTP US*8Q00K16P3 SEATTLE WA REF #XX3106AM2DYW010H</t>
  </si>
  <si>
    <t>Runyon's 5xxxxxx0172minneapolis Mn</t>
  </si>
  <si>
    <t>Sweetgreen</t>
  </si>
  <si>
    <t>Tst* Public Domain 0minneapolis Mn</t>
  </si>
  <si>
    <t>U OF M-ARBORETUM STORE CHASKA MN REF #XX3829AN2MDD38JV</t>
  </si>
  <si>
    <t>U OF M-EVENTS ARB CHASKA MN REF #XX3829AN2MQGFNMF</t>
  </si>
  <si>
    <t>Withdrawal ACH NORTHERN STAR EV TYPE: SES:XX0350 ID: XX3620 CO: NORTHERN STAR EV NAME: NORTHERN STAR SCOUTI Entry Class Code: WEB ACH Trace Number: XX7059</t>
  </si>
  <si>
    <t>Deposit ACH eBay ComWLKXTISM TYPE: PAYMENTS ID: XX6000 CO: eBay ComWLKXTISM Entry Class Code: ACH Trace Number: XX3867</t>
  </si>
  <si>
    <t>Deposit ACH eBay ComDVGUHE3P TYPE: PAYMENTS ID: XX6000 CO: eBay ComDVGUHE3P Entry Class Code: ACH Trace Number: XX6339</t>
  </si>
  <si>
    <t>Minnesota Urology 00minneapolis Mn</t>
  </si>
  <si>
    <t>The Winery</t>
  </si>
  <si>
    <t>Withdrawal ACH MHCHILDCARELLC TYPE: DUES ID: XX8198 CO: MHCHILDCARELLC Entry Class Code: ACH Trace Number: XX2157</t>
  </si>
  <si>
    <t>Etsy</t>
  </si>
  <si>
    <t>Lifetime</t>
  </si>
  <si>
    <t>Cable/Satellite</t>
  </si>
  <si>
    <t>ATM Withdrawal at US Bank Chanhassen MN</t>
  </si>
  <si>
    <t>Tst* Snack Bar 00009minneapolis Mn</t>
  </si>
  <si>
    <t>AMZN Mktp US*594BE0GK3 Amzn.com/billWA REF #XX9216AW2Y1QVMBH</t>
  </si>
  <si>
    <t>AMZN Mktp US*HS0TP1TC3 Amzn.com/billWA REF #XX9216AW2XTV2XRY</t>
  </si>
  <si>
    <t>INTERSTATE PARKING WWW.INTERSTATWI REF #XX9216AX000BM2AN</t>
  </si>
  <si>
    <t>Withdrawal ACH TRUITTJEFF B TYPE: Online ID: XX2400 NAME: TRUITTJEFF B Entry Class Code: WEB</t>
  </si>
  <si>
    <t>Dd *victoriaburrow San Francisco Ca</t>
  </si>
  <si>
    <t>ONSTREET XX7275 MN REF #XX8930AXR3G8QA2P</t>
  </si>
  <si>
    <t>Withdrawal ACH MN DIR ACH TYPE: CONTRIB ID: XX7162 CO: MN DIR ACH NAME: XX2601 Entry Class Code: WEB ACH Trace Number: XX2505</t>
  </si>
  <si>
    <t>Withdrawal ACH MHCHILDCARELLC TYPE: DUES ID: XX8198 CO: MHCHILDCARELLC Entry Class Code: ACH Trace Number: XX3645</t>
  </si>
  <si>
    <t>Amzn Mktp Us Amzn.com/billwa 2ufavqp60jh</t>
  </si>
  <si>
    <t>Children's Museum</t>
  </si>
  <si>
    <t>Withdrawal at ATM #XX 455 POND PROMENADE CHANHASSEN MN</t>
  </si>
  <si>
    <t>BONFES PLUMBING HEATING AXX6633 MN REF #XX7539B2S66H9JBN</t>
  </si>
  <si>
    <t>Buck Hill Website 65burnsville Mn</t>
  </si>
  <si>
    <t>Deposit ACH EMPYREAN SOLUTIO TYPE: XX9000 ID: XX3620 CO: EMPYREAN SOLUTIO Entry Class Code: ACH Trace Number: XX3409</t>
  </si>
  <si>
    <t>Lions Tap 0xxxxx0218eden Prairie Mn</t>
  </si>
  <si>
    <t>SP INDYEVA CANADA DEV CARIGNAN CD REF #XX8342Bx0003N906</t>
  </si>
  <si>
    <t>Withdrawal ACH CITY OF CHANHASS TYPE: UTIL BILL ID: XX5331 CO: CITY OF CHANHASS Entry Class Code: ACH Trace Number: XX7436</t>
  </si>
  <si>
    <t>Tst* Dukes On 7 0001minnetonka Mn</t>
  </si>
  <si>
    <t>Base Camp Pizza Co.</t>
  </si>
  <si>
    <t>Beach Retreat And Losouth Lake Ta Ca</t>
  </si>
  <si>
    <t>Dart Beverage Centerstateline Nv</t>
  </si>
  <si>
    <t>Great Basin Brewing Reno Nv</t>
  </si>
  <si>
    <t>East Peak Lodge F&amp;b Stateline Nv</t>
  </si>
  <si>
    <t>South Lake Brewing Cs Lake Tahoe Ca</t>
  </si>
  <si>
    <t>Vail Resorts</t>
  </si>
  <si>
    <t>Bluebird Palisades 1olympic Valley Ca</t>
  </si>
  <si>
    <t>Edgewood Food And Bestateline Nv</t>
  </si>
  <si>
    <t>Honk Palisades 00-08breckenridge Co</t>
  </si>
  <si>
    <t>Kt Base Bar Palisadeolympic Valley Ca</t>
  </si>
  <si>
    <t>Palisades Hotel</t>
  </si>
  <si>
    <t>Twenty Two Bistro 54olympic Valle Ca</t>
  </si>
  <si>
    <t>Amazon Music*TK5YC1O30 XX-3080 WA REF #XX9216BD2ZP4BW8R</t>
  </si>
  <si>
    <t>manual</t>
  </si>
  <si>
    <t>Lake Tahoe Oil Compazephyr Cove Nv</t>
  </si>
  <si>
    <t>Tahoe</t>
  </si>
  <si>
    <t>Margaritaville</t>
  </si>
  <si>
    <t>Withdrawal ACH CPENERGY MNGCO TYPE: MGC ACH EB ID: 1XX1140S CO: CPENERGY MNGCO NAME: CENTERPOINT ENERGY OTP Entry Class Code: WEB ACH Trace Number: XX0232</t>
  </si>
  <si>
    <t>Payment to AT&amp;T</t>
  </si>
  <si>
    <t>5 Points Cork IE REF #XX0916KS10BZ7DAW</t>
  </si>
  <si>
    <t>Withdrawal ACH MHCHILDCARELLC TYPE: DUES ID: XX8198 CO: MHCHILDCARELLC Entry Class Code: ACH Trace Number: XX7821</t>
  </si>
  <si>
    <t>Best Brands Inc</t>
  </si>
  <si>
    <t>BP Global</t>
  </si>
  <si>
    <t>Floyd's</t>
  </si>
  <si>
    <t>SP MARINE LAYER HTTPSWWW.MARICA REF #XX9216QM0008KDE3</t>
  </si>
  <si>
    <t>Aplpay Tst* North Coexcelsior Mn</t>
  </si>
  <si>
    <t>5 Points Cork IE REF #XX0916NN11ZLHGQB</t>
  </si>
  <si>
    <t>AMZN Mktp US*TK2PY32Z0 Amzn.com/billWA REF #XX9216QM32X7R3YY</t>
  </si>
  <si>
    <t>ALOFT KANSAS CITY COKANSAS CITY         MO</t>
  </si>
  <si>
    <t>Minuteclinic</t>
  </si>
  <si>
    <t>Delta Skymiles Platinum Card ( X ) - Ending in 1007</t>
  </si>
  <si>
    <t>Payment to Amazon Prime</t>
  </si>
  <si>
    <t>AplPay ARAMARK ARROWKANSAS CITY         MO</t>
  </si>
  <si>
    <t>Delta Skymiles Platinum Card ( X ) - Ending in 1008</t>
  </si>
  <si>
    <t>AplPay BE RELAX DETRDETROIT             MI</t>
  </si>
  <si>
    <t>Withdrawal ACH MHCHILDCARELLC TYPE: DUES ID: XX8198 CO: MHCHILDCARELLC Entry Class Code: ACH Trace Number: XX7819</t>
  </si>
  <si>
    <t>Seaport Wine And Spiboston Ma</t>
  </si>
  <si>
    <t>TONKA TD CLUB MINNETONKAFOOMN REF #XX9216QT000XPG7X</t>
  </si>
  <si>
    <t>ACT*Camp Fire MN XX4991 TX REF #XX1339QS00YY7281</t>
  </si>
  <si>
    <t>AplPay CHIPOTLE ONLINEWPORT BEACH       CA</t>
  </si>
  <si>
    <t>Scout Shop</t>
  </si>
  <si>
    <t>Stages Theatre Company</t>
  </si>
  <si>
    <t>AplPay GREAT AMER BAFORT MYERS          FL</t>
  </si>
  <si>
    <t>BLVD *FACE FOUNDRIE WAYXX-7151 MN REF #XX4500QVEJ2GXFJ3</t>
  </si>
  <si>
    <t>SP PUR BRANDS LLC HTTPSPURBRANDTX REF #XX9216QV000T3EJF</t>
  </si>
  <si>
    <t>Nicollet Island Inn Minneapolis Mn</t>
  </si>
  <si>
    <t>Office Depot</t>
  </si>
  <si>
    <t>Delete - Office Supplies</t>
  </si>
  <si>
    <t>AMZN Mktp US*R838A0ZV0 Amzn.com/billWA REF #XX9216QX2ZWR8ZNY</t>
  </si>
  <si>
    <t>AMZN MKTP US*RT7ZG8PW2 SEATTLE WA REF #XX3106QW2DKSBT29</t>
  </si>
  <si>
    <t>Chaska Pandr 6xx0000chaska Mn</t>
  </si>
  <si>
    <t>AMZN Mktp US*R83RX5TS0 Amzn.com/billWA REF #XX9216QY30DZWFHX</t>
  </si>
  <si>
    <t>AMZN Mktp US*RT0UG7XU1 Amzn.com/billWA REF #XX9216QY30DYJ1WE</t>
  </si>
  <si>
    <t>Sherwin-Williams</t>
  </si>
  <si>
    <t>Minnesota Market</t>
  </si>
  <si>
    <t>Withdrawal ACH MHCHILDCARELLC TYPE: DUES ID: XX8198 CO: MHCHILDCARELLC Entry Class Code: ACH Trace Number: XX3315</t>
  </si>
  <si>
    <t>Withdrawal ACH NORTHERN STAR EV TYPE: SES:XX0350 ID: XX3620 CO: NORTHERN STAR EV NAME: NORTHERN STAR SCOUTI Entry Class Code: WEB ACH Trace Number: XX6033</t>
  </si>
  <si>
    <t>Withdrawal ACH MN DIR ACH TYPE: CONTRIB ID: XX7162 CO: MN DIR ACH NAME: XX2601 Entry Class Code: WEB ACH Trace Number: XX6539</t>
  </si>
  <si>
    <t>Lakewinds Natural Foods</t>
  </si>
  <si>
    <t>Aplpay Mall Of Ameribloomington Mn</t>
  </si>
  <si>
    <t>Dsw</t>
  </si>
  <si>
    <t>Marine Layer</t>
  </si>
  <si>
    <t>AplPay HMSHOST SCHIPSCHIPHOL            NL</t>
  </si>
  <si>
    <t>Sealife</t>
  </si>
  <si>
    <t>SUNU CHIROPRACTIC INC SUNUWELLNESS.MN REF #XX9216D3001FRJT3</t>
  </si>
  <si>
    <t>Wdw Tickets Lake Buena Vi Fl</t>
  </si>
  <si>
    <t>Withdrawal Fee VISA INTERNATIONAL SERVICE ASSESSMENT Date</t>
  </si>
  <si>
    <t>Withdrawal WWW.JAMESONWHISKEY.COM DUBLIN IE Date XX 5813</t>
  </si>
  <si>
    <t>BONFES PLUMBING HEATING AXX6633 MN REF #XX7539D5S66GTPKK</t>
  </si>
  <si>
    <t>Autopay Payment - Thank You</t>
  </si>
  <si>
    <t>MCW 1602-MINNETONKA XX8113 MN REF #XX7105D5VAL7836T</t>
  </si>
  <si>
    <t>Bayou Cork IE REF #XX0916NM11ZFD3Z9</t>
  </si>
  <si>
    <t>BONEFISH GRILL #7112ATLANTA             GA</t>
  </si>
  <si>
    <t>Withdrawal ACH CITY OF CHANHASS TYPE: UTIL BILL ID: XX5331 CO: CITY OF CHANHASS Entry Class Code: ACH Trace Number: XX2341</t>
  </si>
  <si>
    <t>5 Points Deli And Cafe Cork City Irl 11.21 @ 0xxx0001.xxx4790 Eur</t>
  </si>
  <si>
    <t>Withdrawal ACH MHCHILDCARELLC TYPE: DUES ID: XX8198 CO: MHCHILDCARELLC Entry Class Code: ACH Trace Number: XX7429</t>
  </si>
  <si>
    <t>AMZN Mktp US*R01YL15Y0 Amzn.com/billWA REF #XX9216D72X9AG7KK</t>
  </si>
  <si>
    <t>AMZN Mktp US*R84DP5SW1 Amzn.com/billWA REF #XX9216D72X98V95J</t>
  </si>
  <si>
    <t>Deposit ACH EMPYREAN SOLUTIO TYPE: XX9000 ID: XX3620 CO: EMPYREAN SOLUTIO Entry Class Code: ACH Trace Number: XX8490</t>
  </si>
  <si>
    <t>AMZN Mktp US*R88GY1WX1 Amzn.com/billWA REF #XX9216D82YB1ET3A</t>
  </si>
  <si>
    <t>BP#8797169AIRPORT BPST. LOUIS           MO</t>
  </si>
  <si>
    <t>BRADLEYS CORK IE REF #XX6366NMHV4QEZDV</t>
  </si>
  <si>
    <t>BURNTWOOD TAVERN - BFORT MYERS          FL</t>
  </si>
  <si>
    <t>Aplpay Ramen Kawae Lminneapolis Mn</t>
  </si>
  <si>
    <t>WAYZATA COFFEE WAYZATA MN REF #XX4300DAW5SA44K7</t>
  </si>
  <si>
    <t>North Loop Galley</t>
  </si>
  <si>
    <t>Withdrawal DUNNES MERCHANTS QUAY CORK IE Date XX 5411</t>
  </si>
  <si>
    <t>ONSTREET XX7275 MN REF #XX8930DD0DA5TAR1</t>
  </si>
  <si>
    <t>Withdrawal SUBRALOTT MUENCHEN FLUG DF Date XX 5812</t>
  </si>
  <si>
    <t>Deposit Dividend Split Rate Annual Percentage Yield Earned 2.71% from 01/01/24 through 01/31/24</t>
  </si>
  <si>
    <t>Withdrawal ACH MHCHILDCARELLC TYPE: DUES ID: XX8198 CO: MHCHILDCARELLC Entry Class Code: ACH Trace Number: XX7415</t>
  </si>
  <si>
    <t>Amazon Music*R03ZL0R51 XX-3080 WA REF #XX9216DF33Q6P583</t>
  </si>
  <si>
    <t>El Sazon Cocina &amp; Trminneapolis Mn</t>
  </si>
  <si>
    <t>Aplpay Spirit Gear Mexcelsior Mn</t>
  </si>
  <si>
    <t>Slatwallacc Xxxxxx6132 Fl</t>
  </si>
  <si>
    <t>Body Works</t>
  </si>
  <si>
    <t>AMZN Mktp US*RB5Y29EF0 Amzn.com/billWA REF #XX9216DL2XLL8Z0R</t>
  </si>
  <si>
    <t>Aplpay Ls Primp Exceexcelsior Mn</t>
  </si>
  <si>
    <t>La Senda Spanish Minnetonka Mn</t>
  </si>
  <si>
    <t>Withdrawal ACH MHCHILDCARELLC TYPE: DUES ID: XX8198 CO: MHCHILDCARELLC Entry Class Code: ACH Trace Number: XX6328</t>
  </si>
  <si>
    <t>AMZN Mktp US*RB2PP35N0 Amzn.com/billWA REF #XX9216DM2YLx2820</t>
  </si>
  <si>
    <t>AMZN Mktp US*RB5DL9G60 Amzn.com/billWA REF #XX9216DM2Y3V933L</t>
  </si>
  <si>
    <t>AMZN Mktp US*RXX9706U1 Amzn.com/billWA REF #XX9216DM2Y3L2N6E</t>
  </si>
  <si>
    <t>Kids' Hair Llc Edina Mn</t>
  </si>
  <si>
    <t>Mtka Youth Lax Xxxxxx1035 Mn</t>
  </si>
  <si>
    <t>Allianz Global Assistance</t>
  </si>
  <si>
    <t>AMZN Mktp US*R25GK3YV1 Amzn.com/billWA REF #XX9216DP2ZPJVXPQ</t>
  </si>
  <si>
    <t>AMZN Mktp US*RB0WZ1MP2 Amzn.com/billWA REF #XX9216DR2XBJH34W</t>
  </si>
  <si>
    <t>AMZN Mktp US*RB1C82KS0 Amzn.com/billWA REF #XX9216DP2ZPGGMT4</t>
  </si>
  <si>
    <t>AMZN Mktp US*RB1ZI3V02 Amzn.com/billWA REF #XX9216DP2X5X03LQ</t>
  </si>
  <si>
    <t>Withdrawal ACH CPENERGY MNGCO TYPE: MGC ACH EB ID: 1XX1140S CO: CPENERGY MNGCO NAME: CENTERPOINT ENERGY OTP Entry Class Code: WEB ACH Trace Number: XX1444</t>
  </si>
  <si>
    <t>AMZN Mktp US*RB44Q9A81 Amzn.com/billWA REF #XX9216DT2YVD8WZF</t>
  </si>
  <si>
    <t>AMZN Mktp US*RB46K2DZ2 Amzn.com/billWA REF #XX9216DT2YGA3SBB</t>
  </si>
  <si>
    <t>LAKES DERMATOLOGY - BUSI BURNSVILLE MN REF #XX0197DRM4TYNFBH</t>
  </si>
  <si>
    <t>Tequila Butcher</t>
  </si>
  <si>
    <t>Bcs*prior Lake-savagprior Lake Mn</t>
  </si>
  <si>
    <t>Bcs*minnetonka Commuexcelsior Mn</t>
  </si>
  <si>
    <t>Withdrawal ACH MHCHILDCARELLC TYPE: DUES ID: XX8198 CO: MHCHILDCARELLC Entry Class Code: ACH Trace Number: XX8616</t>
  </si>
  <si>
    <t>Tweet Pediatric Dentchanhassen Mn</t>
  </si>
  <si>
    <t>Anna Nails</t>
  </si>
  <si>
    <t>Aplpay Jj S Poke Edina Mn</t>
  </si>
  <si>
    <t>Deposit ACH EMPYREAN SOLUTIO TYPE: XX9000 ID: XX3620 CO: EMPYREAN SOLUTIO Entry Class Code: ACH Trace Number: XX3301</t>
  </si>
  <si>
    <t>Tst* Bar Cart Restausaint Paul Mn</t>
  </si>
  <si>
    <t>101 Washington Ave Nminneapolis Mn</t>
  </si>
  <si>
    <t>Aplpay Tst* Stepchldminneapolis Mn</t>
  </si>
  <si>
    <t>Bonobos</t>
  </si>
  <si>
    <t>Buck Bar</t>
  </si>
  <si>
    <t>Aplpay Edible.com Atlanta Ga</t>
  </si>
  <si>
    <t>Tst* Borough And Parminneapolis Mn</t>
  </si>
  <si>
    <t>ONSTREET XX7275 MN REF #XX8930E23S03FMG7</t>
  </si>
  <si>
    <t>Withdrawal ACH MN DIR ACH TYPE: CONTRIB ID: XX7162 CO: MN DIR ACH NAME: XX2601 Entry Class Code: WEB ACH Trace Number: XX0231</t>
  </si>
  <si>
    <t>AMZN Mktp US*RW9SL8QK0 Amzn.com/billWA REF #XX9216E335W5ZVXW</t>
  </si>
  <si>
    <t>BONFES PLUMBING HEATING AXX6633 MN REF #XX7539E3S66G0P8H</t>
  </si>
  <si>
    <t>Withdrawal ACH CITY OF CHANHASS TYPE: UTIL BILL ID: XX5331 CO: CITY OF CHANHASS Entry Class Code: ACH Trace Number: XX7394</t>
  </si>
  <si>
    <t>Withdrawal ACH MHCHILDCARELLC TYPE: DUES ID: XX8198 CO: MHCHILDCARELLC Entry Class Code: ACH Trace Number: XX3249</t>
  </si>
  <si>
    <t>Smith</t>
  </si>
  <si>
    <t>Delete - Charitable Giving</t>
  </si>
  <si>
    <t>Marathon Petroleum</t>
  </si>
  <si>
    <t>Withdrawal ACH MHCHILDCARELLC TYPE: DUES ID: XX8198 CO: MHCHILDCARELLC Entry Class Code: ACH Trace Number: XX6329</t>
  </si>
  <si>
    <t>Delta Skymiles Platinum Card ( X ) - Ending in 1013</t>
  </si>
  <si>
    <t>Courtyard By MarriotNashville           TN</t>
  </si>
  <si>
    <t>Deposit Dividend Split Rate Annual Percentage Yield Earned 3.69% from 02/01/24 through 02/29/24</t>
  </si>
  <si>
    <t>Delta Skymiles Platinum Card ( X ) - Ending in 1009</t>
  </si>
  <si>
    <t>Amazon Music*RW6O34WO1 XX-3080 WA REF #XX9216ED33RJ6W28</t>
  </si>
  <si>
    <t>Minnesota Zoo Membership</t>
  </si>
  <si>
    <t>Tst* Porzana 0xx4034minneapolis Mn</t>
  </si>
  <si>
    <t>Aplpay Tst* Maynardsexcelsior Mn</t>
  </si>
  <si>
    <t>Tst* Crave Food &amp; Drst. Louis Par Mn</t>
  </si>
  <si>
    <t>Park Tavern</t>
  </si>
  <si>
    <t>Withdrawal ACH MHCHILDCARELLC TYPE: DUES ID: XX8198 CO: MHCHILDCARELLC Entry Class Code: ACH Trace Number: XX7040</t>
  </si>
  <si>
    <t>Sun Country Airlines</t>
  </si>
  <si>
    <t>Withdrawal ACH BCU MORTGAGE TYPE: LOAN PAYMT ID: 9DRAFTING CO: BCU MORTGAGE NAME: JEFF TRUITT Entry Class Code: WEB ACH Trace Number: 231271360155151</t>
  </si>
  <si>
    <t>AMZN Mktp US*RN6XH0VS2 Amzn.com/billWA REF #XX9216EL2ZWX3VDS</t>
  </si>
  <si>
    <t>ATM Withdrawal at Bank Of Jackson Hole Jackson WY</t>
  </si>
  <si>
    <t>Aspens Market</t>
  </si>
  <si>
    <t>Westside Wine &amp; Spirits</t>
  </si>
  <si>
    <t>Withdrawal ACH MHCHILDCARELLC TYPE: DUES ID: XX8198 CO: MHCHILDCARELLC Entry Class Code: ACH Trace Number: XX9130</t>
  </si>
  <si>
    <t>AMZN Mktp US*R60FD6102 Amzn.com/billWA REF #XX9216ET340JPYMR</t>
  </si>
  <si>
    <t>AMZN Mktp US*RH05V0C80 Amzn.com/billWA REF #XX9216ET34B8728H</t>
  </si>
  <si>
    <t>Deposit ACH EMPYREAN SOLUTIO TYPE: XX9000 ID: XX3620 CO: EMPYREAN SOLUTIO Entry Class Code: ACH Trace Number: XX4568</t>
  </si>
  <si>
    <t>AMZN MKTP US*R62MA57U2 SEATTLE WA REF #XX3106EW2DJVJ5Y6</t>
  </si>
  <si>
    <t>Three Rivers</t>
  </si>
  <si>
    <t>Withdrawal ACH CPENERGY MNGCO TYPE: MGC ACH EB ID: 1XX1140S CO: CPENERGY MNGCO NAME: CENTERPOINT ENERGY OTP Entry Class Code: WEB ACH Trace Number: XX0546</t>
  </si>
  <si>
    <t>Withdrawal ACH MN DIR ACH TYPE: CONTRIB ID: XX7162 CO: MN DIR ACH NAME: XX2601 Entry Class Code: WEB ACH Trace Number: XX8121</t>
  </si>
  <si>
    <t>Withdrawal ACH MHCHILDCARELLC TYPE: DUES ID: XX8198 CO: MHCHILDCARELLC Entry Class Code: ACH Trace Number: XX4962</t>
  </si>
  <si>
    <t>BONFES PLUMBING HEATING AXX6633 MN REF #XX7539F0S66F1FEQ</t>
  </si>
  <si>
    <t>Withdrawal ACH CITY OF CHANHASS TYPE: UTIL BILL ID: XX5331 CO: CITY OF CHANHASS Entry Class Code: ACH Trace Number: XX2413</t>
  </si>
  <si>
    <t>AMZN Mktp US*RA3Y205I0 Amzn.com/billWA REF #XX9216F433A662EE</t>
  </si>
  <si>
    <t>Withdrawal ACH MHCHILDCARELLC TYPE: DUES ID: XX8198 CO: MHCHILDCARELLC Entry Class Code: ACH Trace Number: XX1079</t>
  </si>
  <si>
    <t>AMZN Mktp US*K48WK22Y3 Amzn.com/billWA REF #XX9216F735HBBE4W</t>
  </si>
  <si>
    <t>Deposit ACH IRS TREAS 310 TYPE: TAX REF ID: XX6170 CO: IRS TREAS 310 Entry Class Code: ACH Trace Number: XX3232</t>
  </si>
  <si>
    <t>Deposit Dividend Split Rate Annual Percentage Yield Earned 2.54% from 03/01/24 through 03/31/24</t>
  </si>
  <si>
    <t>Amazon Music*RA1Mx5551 XX-3080 WA REF #XX9216FB2ZDGZXMH</t>
  </si>
  <si>
    <t>U.s. Passports</t>
  </si>
  <si>
    <t>AMZN MKTP US*CS7LO2IE3 SEATTLE WA REF #XX3106FQ2DYWQNEX</t>
  </si>
  <si>
    <t>Sheraton Hotels &amp; Resorts</t>
  </si>
  <si>
    <t>Sonic Drive-in</t>
  </si>
  <si>
    <t>Travel Traders</t>
  </si>
  <si>
    <t>Wdw Cosmic Ray's Lake Buena Vi Fl</t>
  </si>
  <si>
    <t>Wdw Emporium Lake Buena Vi Fl</t>
  </si>
  <si>
    <t>Wdw Popcorn Carts Lake Buena Vi Fl</t>
  </si>
  <si>
    <t>For Heaven Shakes Icbonita Spring Fl</t>
  </si>
  <si>
    <t>Aplpay Seed To Tablenaples Fl</t>
  </si>
  <si>
    <t>Karen Martsolf Lmt Sbonita Springs Fl</t>
  </si>
  <si>
    <t>Seed To Table</t>
  </si>
  <si>
    <t>The Spa At Valencia Bonita Springs Fl</t>
  </si>
  <si>
    <t>Trackside</t>
  </si>
  <si>
    <t>Tst* Nervous Nelliesfort Myers Beac Fl</t>
  </si>
  <si>
    <t>#503 Naples Del Mar Naples Fl</t>
  </si>
  <si>
    <t>Collierucfounderssqunaples Fl</t>
  </si>
  <si>
    <t>Sea Salt Eatery</t>
  </si>
  <si>
    <t>Aplpay Great Amer Bafort Myers Fl</t>
  </si>
  <si>
    <t>Hungryroot</t>
  </si>
  <si>
    <t>Withdrawal ACH MHCHILDCARELLC TYPE: DUES ID: XX8198 CO: MHCHILDCARELLC Entry Class Code: ACH Trace Number: XX5943</t>
  </si>
  <si>
    <t>AMZN Mktp US*3490T2J83 Amzn.com/billWA REF #XX9216FL33K2FG8R</t>
  </si>
  <si>
    <t>AMZN Mktp US*F62OD3XJ3 Amzn.com/billWA REF #XX9216FL3347XPNA</t>
  </si>
  <si>
    <t>Deposit ACH EMPYREAN SOLUTIO TYPE: XX9000 ID: XX3620 CO: EMPYREAN SOLUTIO Entry Class Code: ACH Trace Number: XX4994</t>
  </si>
  <si>
    <t>Tst* Maynards - Outsexcelsior Mn</t>
  </si>
  <si>
    <t>Ls Bluff Creek Golf Chaska Mn</t>
  </si>
  <si>
    <t>Tavern 4 &amp; 5</t>
  </si>
  <si>
    <t>Treering</t>
  </si>
  <si>
    <t>Aplpay Crate &amp; Barrenorthbrook Il</t>
  </si>
  <si>
    <t>Dd *lagotacos San Francisco Ca</t>
  </si>
  <si>
    <t>Ls South Lake Cycle Excelsior Mn</t>
  </si>
  <si>
    <t>Mackenthun's Fine Fominnetrista Mn</t>
  </si>
  <si>
    <t>Sp Dr. Dennis Gross New York Ny</t>
  </si>
  <si>
    <t>Aplpay Merlins Ace Hchanhassen Mn</t>
  </si>
  <si>
    <t>Withdrawal ACH MHCHILDCARELLC TYPE: DUES ID: XX8198 CO: MHCHILDCARELLC Entry Class Code: ACH Trace Number: XX2142</t>
  </si>
  <si>
    <t>Aplpay Crisp &amp; Greenwayzata Mn</t>
  </si>
  <si>
    <t>Creede Snowshoe Lodgcreede Co</t>
  </si>
  <si>
    <t>Jaxen Grey - Edina 0edina Mn</t>
  </si>
  <si>
    <t>Withdrawal ACH MN DIR ACH TYPE: CONTRIB ID: XX7162 CO: MN DIR ACH NAME: XX2601 Entry Class Code: WEB ACH Trace Number: XX1825</t>
  </si>
  <si>
    <t>Ls The Lakes Runningexcelsior Mn</t>
  </si>
  <si>
    <t>Aplpay Northwood Musminneapolis Mn</t>
  </si>
  <si>
    <t>Aplpay Tonzkitchen Minneapolis Mn</t>
  </si>
  <si>
    <t>Damico &amp; Sons-mill Cminneapolis Mn</t>
  </si>
  <si>
    <t>AMZN Mktp US*NQ2W35GC3 Amzn.com/billWA REF #XX9216FZ3250ASW7</t>
  </si>
  <si>
    <t>Lake &amp; Irving</t>
  </si>
  <si>
    <t>Onstreet 8090 0x4870minneapolis Mn</t>
  </si>
  <si>
    <t>Renewal Membership Fee</t>
  </si>
  <si>
    <t>Sp Huma Gel Nashville Tn</t>
  </si>
  <si>
    <t>BONFES PLUMBING HEATING AXX6633 MN REF #XX7539G0S66D3P7A</t>
  </si>
  <si>
    <t>Withdrawal ACH CITY OF CHANHASS TYPE: UTIL BILL ID: XX5331 CO: CITY OF CHANHASS Entry Class Code: ACH Trace Number: XX7633</t>
  </si>
  <si>
    <t>Rei</t>
  </si>
  <si>
    <t>AMAZON RET* XX3785 WWW.AMAZON.COWA REF #XX1134G2001H4J18</t>
  </si>
  <si>
    <t>Withdrawal ACH MHCHILDCARELLC TYPE: DUES ID: XX8198 CO: MHCHILDCARELLC Entry Class Code: ACH Trace Number: XX2884</t>
  </si>
  <si>
    <t>LISA`S TAILOR SHOP EDEN PRAIRIE MN REF #XX0780G40T570AHV</t>
  </si>
  <si>
    <t>Ls Island View Golf Waconia Mn</t>
  </si>
  <si>
    <t>Mendota Valley Amusesouth Saint P Mn</t>
  </si>
  <si>
    <t>Ballybunion Golf Cluballybunion</t>
  </si>
  <si>
    <t>Deposit Dividend Split Rate Annual Percentage Yield Earned 2.35% from 04/01/24 through 04/30/24</t>
  </si>
  <si>
    <t>Amazon Music*2P9GC6K03 XX-3080 WA REF #XX9216GAXX6548WF</t>
  </si>
  <si>
    <t>AMZN Mktp US*NG3D34MR3 Amzn.com/billWA REF #XX9216GB320E3SK8</t>
  </si>
  <si>
    <t>AMZN Mktp US*WZ7GQ0L63 Amzn.com/billWA REF #XX9216GA31W0M151</t>
  </si>
  <si>
    <t>Withdrawal ACH NORTHERN STAR EV TYPE: SES:XX0378 ID: XX3620 CO: NORTHERN STAR EV NAME: NORTHERN STAR SCOUTI Entry Class Code: WEB ACH Trace Number: XX2200</t>
  </si>
  <si>
    <t>Buca Di Beppo</t>
  </si>
  <si>
    <t>Bt*i See Me! Plymouth Mn</t>
  </si>
  <si>
    <t>AMZN Mktp US*5O3W09TP3 Amzn.com/billWA REF #XX9216GQ3383NPH7</t>
  </si>
  <si>
    <t>Yeti</t>
  </si>
  <si>
    <t>Bt*preschool Smiles Eden Prairie Mn</t>
  </si>
  <si>
    <t>Aplpay U Of M-arb Apchaska Mn</t>
  </si>
  <si>
    <t>Aplpay Blvd *face Wayzata Mn</t>
  </si>
  <si>
    <t>Matchstick</t>
  </si>
  <si>
    <t>BENEDICTS RESTAURANT WAYZWAYZATA MN REF #XX3186GM0W0KDF5Z</t>
  </si>
  <si>
    <t>Fsp*chaska Town Courchaska Mn</t>
  </si>
  <si>
    <t>Sp Unrl.co Saint Paul Mn</t>
  </si>
  <si>
    <t>Withdrawal ACH CHEN ZHENQIANG CO: CHEN ZHENQIANG TYPE: IAT PAYPAL ID: 7XX0487C Entry Class Code: IAT ACH Trace Number: XX9031</t>
  </si>
  <si>
    <t>Clothing</t>
  </si>
  <si>
    <t>AMZN Mktp US*V78N23G93 Amzn.com/billWA REF #XX9216GP32TTSL5K</t>
  </si>
  <si>
    <t>AMZN Mktp US*WI17Y9N03 Amzn.com/billWA REF #XX9216GP32S0MBJ6</t>
  </si>
  <si>
    <t>Taza 00e9 Chanhassen Mn</t>
  </si>
  <si>
    <t>Www.rei.com Kent Wa</t>
  </si>
  <si>
    <t>Hermitage Golf Coursold Hickory Tn</t>
  </si>
  <si>
    <t>LISA`S TAILOR SHOP EDEN PRAIRIE MN REF #XX0780GR0VZFQX4Q</t>
  </si>
  <si>
    <t>Withdrawal ACH RILEY CROSSING C TYPE: XX8412 ID: XX9040 CO: RILEY CROSSING C Entry Class Code: ACH Trace Number: XX7200</t>
  </si>
  <si>
    <t>Winchester And Rye 0victoria Mn</t>
  </si>
  <si>
    <t>Fp-minnesota H&amp;f 162dallas Tx</t>
  </si>
  <si>
    <t>AMZN Mktp US*8W8478OU3 Amzn.com/billWA REF #XX9216GV35VD48XH</t>
  </si>
  <si>
    <t>BCS*MINNETONKA COMMUNITY EXCELSIOR MN REF #XX3746GS01LAFX1K</t>
  </si>
  <si>
    <t>Withdrawal ACH MN DIR ACH TYPE: CONTRIB ID: XX7162 CO: MN DIR ACH NAME: XX2601 Entry Class Code: WEB ACH Trace Number: XX0173</t>
  </si>
  <si>
    <t>BONFES PLUMBING HEATING AXX6633 MN REF #XX7539GXS66M9HE2</t>
  </si>
  <si>
    <t>Delta Skymiles Platinum Card ( X ) - Ending in 1025</t>
  </si>
  <si>
    <t>DELTA AIR LINES</t>
  </si>
  <si>
    <t>ONSTREET XX7275 MN REF #XX8930GXJXHGMFQ6</t>
  </si>
  <si>
    <t>ONSTREET XX7275 MN REF #XX8930GXJXHGNFE9</t>
  </si>
  <si>
    <t>Withdrawal ACH CITY OF CHANHASS TYPE: UTIL BILL ID: XX5331 CO: CITY OF CHANHASS Entry Class Code: ACH Trace Number: XX2790</t>
  </si>
  <si>
    <t>AMZN Mktp US*1K0TE8C03 Amzn.com/billWA REF #XX9216GY2YPQB7RZ</t>
  </si>
  <si>
    <t>Withdrawal ACH RILEY CROSSING C TYPE: XX8412 ID: XX9040 CO: RILEY CROSSING C Entry Class Code: ACH Trace Number: XX9909</t>
  </si>
  <si>
    <t>Withdrawal ACH BCU MORTGAGE TYPE: LOAN PAYMT ID: 9DRAFTING CO: BCU MORTGAGE NAME: JEFF TRUITT Entry Class Code: WEB ACH Trace Number: 231271360155224</t>
  </si>
  <si>
    <t>Bachmans</t>
  </si>
  <si>
    <t>Mel's Sport Shop 039spicer Mn</t>
  </si>
  <si>
    <t>Zorbaz on the Lake</t>
  </si>
  <si>
    <t>Nike</t>
  </si>
  <si>
    <t>H&amp;m</t>
  </si>
  <si>
    <t>Payment to Discovery Trading Post</t>
  </si>
  <si>
    <t>WHAT IS THIS</t>
  </si>
  <si>
    <t>Withdrawal ACH RILEY CROSSING C TYPE: XX8412 ID: XX9040 CO: RILEY CROSSING C Entry Class Code: ACH Trace Number: XX3704</t>
  </si>
  <si>
    <t>Aplpay Ls Halla Greechanhassen Mn</t>
  </si>
  <si>
    <t>AMZN Mktp US*286W87TE3 Amzn.com/billWA REF #XX9216Hx3320EW68</t>
  </si>
  <si>
    <t>Deposit Dividend Split Rate Annual Percentage Yield Earned 3.00% from 05/01/24 through 05/31/24</t>
  </si>
  <si>
    <t>Kaisushi Minnetonka Minnetonka, Mn</t>
  </si>
  <si>
    <t>Amazon Music*O03Hx7463 XX-3080 WA REF #XX9216H9340KFND8</t>
  </si>
  <si>
    <t>AMZN Mktp US*Y490F32K3 Amzn.com/billWA REF #XX9216H934TRG7MA</t>
  </si>
  <si>
    <t>Axs.com*first Avenuelos Angeles Ca</t>
  </si>
  <si>
    <t>Pine Restaurant</t>
  </si>
  <si>
    <t>Plunketts Pest Contrminneapolis Mn</t>
  </si>
  <si>
    <t>Withdrawal ACH ANA NOVIC CO: ANA NOVIC TYPE: IAT PAYPAL ID: 7XX0487C Entry Class Code: IAT ACH Trace Number: XX0203</t>
  </si>
  <si>
    <t>Backcountry.com</t>
  </si>
  <si>
    <t>DELTA AIR LINES     ATLANTA</t>
  </si>
  <si>
    <t>Mst My Choice Transpedina Mn</t>
  </si>
  <si>
    <t>Southern Tide</t>
  </si>
  <si>
    <t>Withdrawal ACH CPENERGY MNGCO TYPE: MGC ACH EB ID: 1XX1140S CO: CPENERGY MNGCO NAME: CENTERPOINT ENERGY OTP Entry Class Code: WEB ACH Trace Number: XX1393</t>
  </si>
  <si>
    <t>Withdrawal ACH RILEY CROSSING C TYPE: XX8412 ID: XX9040 CO: RILEY CROSSING C Entry Class Code: ACH Trace Number: XX0796</t>
  </si>
  <si>
    <t>Aplpay Kids' Hair Lledina Mn</t>
  </si>
  <si>
    <t>Fh* Fatbike Adventurwicklow Co</t>
  </si>
  <si>
    <t>Deposit ACH CARGILL INCORPOR TYPE: DIRECT DEP ID: 9111111101 CO: CARGILL INCORPOR Entry Class Code: PPD ACH Trace Number: 091000017768873</t>
  </si>
  <si>
    <t>Tokyo Steak &amp; Seafooorangeburg Sc</t>
  </si>
  <si>
    <t>Deposit ACH EMPYREAN SOLUTIO TYPE: XX9000 ID: XX3620 CO: EMPYREAN SOLUTIO Entry Class Code: ACH Trace Number: XX9342</t>
  </si>
  <si>
    <t>Deposit ACH MBI TYPE: SETL ID: XX1866 CO: MBI Entry Class Code: ACH Trace Number: XX8568</t>
  </si>
  <si>
    <t>Marketplace &amp; Main</t>
  </si>
  <si>
    <t>Pp*mohammad Reza Haboverlandpark Ks</t>
  </si>
  <si>
    <t>Aldi</t>
  </si>
  <si>
    <t>AMZN Mktp US*Q97LK1703 Amzn.com/billWA REF #XX9216HG30YDBX89</t>
  </si>
  <si>
    <t>Aplpay Trail's Ta Tralbert Lea Mn</t>
  </si>
  <si>
    <t>Aplpay Tst* Zombie Bdes Moines Ia</t>
  </si>
  <si>
    <t>Legalzoom</t>
  </si>
  <si>
    <t>Pizza Shuttle</t>
  </si>
  <si>
    <t>CROSSROADS FOOD AND BEV KANSAS CITY MO REF #XX5542HH4NGGP62A</t>
  </si>
  <si>
    <t>Mcw 1602-minnetonka Minnetonka Mn</t>
  </si>
  <si>
    <t>AMZN Mktp US*0L38L9BK3 Amzn.com/billWA REF #XX9216HJ3289BME9</t>
  </si>
  <si>
    <t>AMZN Mktp US*3W4Z09R13 Amzn.com/billWA REF #XX9216HJ32EB8S33</t>
  </si>
  <si>
    <t>AMZN Mktp US*LL5OZ4603 Amzn.com/billWA REF #XX9216HJ325MR0G7</t>
  </si>
  <si>
    <t>AMZN Mktp US*LP0DW6QZ3 Amzn.com/billWA REF #XX9216HJ327MPBB6</t>
  </si>
  <si>
    <t>Mis Amigos</t>
  </si>
  <si>
    <t>Aplpay Tide Dry Cleaexcelsior Mn</t>
  </si>
  <si>
    <t>Deposit Dividend Split Rate Annual Percentage Yield Earned 1.86% from 09/01/24 through 09/30/24</t>
  </si>
  <si>
    <t>Withdrawal ACH RILEY CROSSING C TYPE: XX8412 ID: XX9040 CO: RILEY CROSSING C Entry Class Code: ACH Trace Number: XX7131</t>
  </si>
  <si>
    <t>Deposit Dividend Split Rate Annual Percentage Yield Earned 2.31% from 10/01/24 through 10/31/24</t>
  </si>
  <si>
    <t>Deposit ACH EMPYREAN SOLUTIO TYPE: XX9000 ID: XX3620 CO: EMPYREAN SOLUTIO Entry Class Code: ACH Trace Number: XX2470</t>
  </si>
  <si>
    <t>Subway</t>
  </si>
  <si>
    <t>Dick's Sporting Goods</t>
  </si>
  <si>
    <t>Openai *chatgpt Subssan Francisco Ca</t>
  </si>
  <si>
    <t>Withdrawal ACH BCU MORTGAGE TYPE: LOAN PAYMT ID: 9DRAFTING CO: BCU MORTGAGE NAME: JEFF TRUITT Entry Class Code: WEB ACH Trace Number: 231271360155616</t>
  </si>
  <si>
    <t>DUNKIN #364260 3642 WEST COLUMBIA       SC</t>
  </si>
  <si>
    <t>Dwyers Of Cork 10 Iecork Ir</t>
  </si>
  <si>
    <t>Dwyers Of Cork 11 Iecork Ir</t>
  </si>
  <si>
    <t>EMBASSY SUITES ATLANATLANTA             GA</t>
  </si>
  <si>
    <t>ETERIE 6285440078026ATLANTA             GA</t>
  </si>
  <si>
    <t>Ck *luck Municipal Gluck Wi</t>
  </si>
  <si>
    <t>Exxonmobil</t>
  </si>
  <si>
    <t>FARM AND TABLE INC FALBUQUERQUE         NM</t>
  </si>
  <si>
    <t>Farm And Table Inc Falbuquerque Nm</t>
  </si>
  <si>
    <t>Von Hanson's Meats</t>
  </si>
  <si>
    <t>Pete's</t>
  </si>
  <si>
    <t>Withdrawal ACH MN DIR ACH TYPE: CONTRIB ID: XX7162 CO: MN DIR ACH NAME: XX2601 Entry Class Code: WEB ACH Trace Number: XX0423</t>
  </si>
  <si>
    <t>Lou?s Fish House Two Harbors Mn</t>
  </si>
  <si>
    <t>Streetcar</t>
  </si>
  <si>
    <t>Tst* Coho Cafe &amp; Baktofte Mn</t>
  </si>
  <si>
    <t>Aplpay Sawtooth Outftofte Mn</t>
  </si>
  <si>
    <t>Aplpay Schroeder Bakschroeder Mn</t>
  </si>
  <si>
    <t>Black Beach Mini Golsilver Bay Mn</t>
  </si>
  <si>
    <t>Bt*school Specialty Greenville Wi</t>
  </si>
  <si>
    <t>GABBY GOAT AMERICAN EFFINGHAM           IL</t>
  </si>
  <si>
    <t>Withdrawal ACH RILEY CROSSING C TYPE: XX8412 ID: XX9040 CO: RILEY CROSSING C Entry Class Code: ACH Trace Number: XX0781</t>
  </si>
  <si>
    <t>GREAT AMER BAGEL TERFORT MYERS          FL</t>
  </si>
  <si>
    <t>Aplpay Minnesota Stasaint Paul Mn</t>
  </si>
  <si>
    <t>Bellisio's</t>
  </si>
  <si>
    <t>BONFES PLUMBING HEATING AXX6633 MN REF #XX7539HWS66QTHN3</t>
  </si>
  <si>
    <t>Decc Ticket Office 0duluth Mn</t>
  </si>
  <si>
    <t>Leaf Rides Duluth Mn</t>
  </si>
  <si>
    <t>Lighthouse Bed &amp; Bretwo Harbors Mn</t>
  </si>
  <si>
    <t>Mcquades</t>
  </si>
  <si>
    <t>Trailfitters</t>
  </si>
  <si>
    <t>Watersedge Trading Co.</t>
  </si>
  <si>
    <t>Withdrawal ACH CITY OF CHANHASS TYPE: UTIL BILL ID: XX5331 CO: CITY OF CHANHASS Entry Class Code: ACH Trace Number: XX7886</t>
  </si>
  <si>
    <t>Americinn Lodge &amp; Suites</t>
  </si>
  <si>
    <t>Aplpay Ybc Fitgers Duluth Mn</t>
  </si>
  <si>
    <t>Canal Park Ice Rink</t>
  </si>
  <si>
    <t>Ls Duluth Kitchen Coduluth Mn</t>
  </si>
  <si>
    <t>Seatgeek</t>
  </si>
  <si>
    <t>Aplpay Tst* Fitger'sduluth Mn</t>
  </si>
  <si>
    <t>Bird</t>
  </si>
  <si>
    <t>MARCUS DULUTH CINE BOX DULUTH MN REF #XX4300HZ05EGBK7X</t>
  </si>
  <si>
    <t>Spirit Mountain</t>
  </si>
  <si>
    <t>Spirit Mountain F &amp; Duluth Mn</t>
  </si>
  <si>
    <t>Val*fitger's Inn Duluth Mn</t>
  </si>
  <si>
    <t>Sunu Chiropractic</t>
  </si>
  <si>
    <t>Withdrawal ACH BCU MORTGAGE TYPE: LOAN PAYMT ID: 9DRAFTING CO: BCU MORTGAGE NAME: JEFF TRUITT Entry Class Code: WEB ACH Trace Number: 231271360156678</t>
  </si>
  <si>
    <t>HAMPTON INN AND SUITEFFINGHAM           IL</t>
  </si>
  <si>
    <t>Usps</t>
  </si>
  <si>
    <t>Delete - Postage &amp; Shipping</t>
  </si>
  <si>
    <t>Withdrawal ACH CPENERGY MNGCO TYPE: MGC ACH EB ID: 1XX1140S CO: CPENERGY MNGCO NAME: CENTERPOINT ENERGY OTP Entry Class Code: WEB ACH Trace Number: XX2177</t>
  </si>
  <si>
    <t>Withdrawal ACH RILEY CROSSING C TYPE: XX8412 ID: XX9040 CO: RILEY CROSSING C Entry Class Code: ACH Trace Number: XX9438</t>
  </si>
  <si>
    <t>Aplpay Tst* Oak 19 Fchaska Mn</t>
  </si>
  <si>
    <t>HAMPTON INN AND SUITLEXINGTON           SC</t>
  </si>
  <si>
    <t>Deposit ACH EMPYREAN SOLUTIO TYPE: XX9000 ID: XX3620 CO: EMPYREAN SOLUTIO Entry Class Code: ACH Trace Number: XX9932</t>
  </si>
  <si>
    <t>HELLODELI           ALBUQUERQUE         NM</t>
  </si>
  <si>
    <t>Tst* Oak 19 Fare &amp; Rchaska Mn</t>
  </si>
  <si>
    <t>HILTON GARDEN INN FTFORT MYERS          FL</t>
  </si>
  <si>
    <t>Hissho Term 1 Mall MST. PAUL            MN</t>
  </si>
  <si>
    <t>TONKA TD CLUB MINNETONKAFOOMN REF #XX9216J3000FMWX5</t>
  </si>
  <si>
    <t>Woody's</t>
  </si>
  <si>
    <t>Google*svcsgns.x349- G.co Helppay#</t>
  </si>
  <si>
    <t>Deposit Dividend Split Rate Annual Percentage Yield Earned 2.73% from 06/01/24 through 06/30/24</t>
  </si>
  <si>
    <t>Amazon Music*R71CA03K0 XX-3080 WA REF #XX9216J72ZVAWLMK</t>
  </si>
  <si>
    <t>Pryes Brewing Companminneapolis Mn</t>
  </si>
  <si>
    <t>Withdrawal ACH RILEY CROSSING C TYPE: XX8412 ID: XX9040 CO: RILEY CROSSING C Entry Class Code: ACH Trace Number: XX4896</t>
  </si>
  <si>
    <t>Aplpay Tst* Balsam Lbalsam Lake Wi</t>
  </si>
  <si>
    <t>Home2 Suites</t>
  </si>
  <si>
    <t>Deposit ACH EMPYREAN SOLUTIO TYPE: XX9000 ID: XX3620 CO: EMPYREAN SOLUTIO Entry Class Code: ACH Trace Number: XX8001</t>
  </si>
  <si>
    <t>Aplpay Wayne's Foodsluck Wi</t>
  </si>
  <si>
    <t>Hopsack Llc Balsam Lake Mn</t>
  </si>
  <si>
    <t>HOMEWOOD SUITES ABQ ALBUQUERQUE         NM</t>
  </si>
  <si>
    <t>The North Face</t>
  </si>
  <si>
    <t>Withdrawal ACH RILEY CROSSING C TYPE: XX8412 ID: XX9040 CO: RILEY CROSSING C Entry Class Code: ACH Trace Number: XX9515</t>
  </si>
  <si>
    <t>Blue Note</t>
  </si>
  <si>
    <t>Booking.com</t>
  </si>
  <si>
    <t>Hudson Totg St1687 1hazelwood Mo</t>
  </si>
  <si>
    <t>Marriott International</t>
  </si>
  <si>
    <t>Mcalister's Deli</t>
  </si>
  <si>
    <t>Tj Maxx</t>
  </si>
  <si>
    <t>Mike Shannons STL 15St. Louis           MO</t>
  </si>
  <si>
    <t>MINNEAPOLIS AIRPORT SAINT PAUL          MN</t>
  </si>
  <si>
    <t>Ka'chava</t>
  </si>
  <si>
    <t>MOBILE PAYMENT - THANK YOU</t>
  </si>
  <si>
    <t>Moe's Southwest GrilST. PAUL            MN</t>
  </si>
  <si>
    <t>The Great American Bagel</t>
  </si>
  <si>
    <t>MSP AIRP PEOPLES ORGSAINT PAUL          MN</t>
  </si>
  <si>
    <t>Msp Airp The Cook Ansaint Paul Mn</t>
  </si>
  <si>
    <t>Withdrawal ACH RILEY CROSSING C TYPE: XX8412 ID: XX9040 CO: RILEY CROSSING C Entry Class Code: ACH Trace Number: XX7196</t>
  </si>
  <si>
    <t>Withdrawal ACH MN DIR ACH TYPE: CONTRIB ID: XX7162 CO: MN DIR ACH NAME: XX2601 Entry Class Code: WEB ACH Trace Number: XX2203</t>
  </si>
  <si>
    <t>Dnr E Pay Win Acs 00madison Wi</t>
  </si>
  <si>
    <t>Dnr Epay Win Acs Sermadison Wi</t>
  </si>
  <si>
    <t>Py *kj's New North 0balsam Lake Wi</t>
  </si>
  <si>
    <t>Balsam Lake Trading Balsam Lake Wi</t>
  </si>
  <si>
    <t>Cc* Crumbl Stlouispalindon Ut</t>
  </si>
  <si>
    <t>GOOGLE *Google One g.co/helppay#CA REF #XX9216JT32AYK3EH</t>
  </si>
  <si>
    <t>Thirsty Otter</t>
  </si>
  <si>
    <t>Aplpay Lunds&amp;byerlysminnetonka Mn</t>
  </si>
  <si>
    <t>BONFES PLUMBING HEATING AXX6633 MN REF #XX7539JVS66EA188</t>
  </si>
  <si>
    <t>Withdrawal ACH BCU MORTGAGE TYPE: LOAN PAYMT ID: 9DRAFTING CO: BCU MORTGAGE NAME: JEFF TRUITT Entry Class Code: WEB ACH Trace Number: 231271360156730</t>
  </si>
  <si>
    <t>Sp Rch - Spyra Us San Francisco Ca</t>
  </si>
  <si>
    <t>Withdrawal ACH CITY OF CHANHASS TYPE: UTIL BILL ID: XX5331 CO: CITY OF CHANHASS Entry Class Code: ACH Trace Number: XX3234</t>
  </si>
  <si>
    <t>7diamonds Apparel Tustin Ca</t>
  </si>
  <si>
    <t>Boston Duck Tours</t>
  </si>
  <si>
    <t>Delta Skymiles Platinum Card ( X ) - Ending in 1011</t>
  </si>
  <si>
    <t>MSP AIRPORT PARKING SAINT PAUL          MN</t>
  </si>
  <si>
    <t>Withdrawal ACH RILEY CROSSING C TYPE: XX8412 ID: XX9040 CO: RILEY CROSSING C Entry Class Code: ACH Trace Number: XX3116</t>
  </si>
  <si>
    <t>Benny's Bigfoot Bbq Excelsior Mn</t>
  </si>
  <si>
    <t>Boston Tea Party Boston Ma</t>
  </si>
  <si>
    <t>Deposit ACH EMPYREAN SOLUTIO TYPE: XX9000 ID: XX3620 CO: EMPYREAN SOLUTIO Entry Class Code: ACH Trace Number: XX9712</t>
  </si>
  <si>
    <t>Qdoba Mexican Grill</t>
  </si>
  <si>
    <t>Aplpay Tst* Yankee Lboston Ma</t>
  </si>
  <si>
    <t>Ben &amp; Jerry's</t>
  </si>
  <si>
    <t>Bottle Rocket Term 1st. Paul Mn</t>
  </si>
  <si>
    <t>Cisco Brewers</t>
  </si>
  <si>
    <t>Cisco Seaport</t>
  </si>
  <si>
    <t>Rowes Wharf</t>
  </si>
  <si>
    <t>Tst* The Barking Craboston Ma</t>
  </si>
  <si>
    <t>Back Bay Social Clubboston Ma</t>
  </si>
  <si>
    <t>Boston Childrens</t>
  </si>
  <si>
    <t>Fenway Park Concessions</t>
  </si>
  <si>
    <t>Pink Taco</t>
  </si>
  <si>
    <t>Tst* Harpoon Breweryboston Ma</t>
  </si>
  <si>
    <t>Aplpay East Broadwaysouth Boston Ma</t>
  </si>
  <si>
    <t>Reelhouse</t>
  </si>
  <si>
    <t>Tst* Night Shift -eseverett Ma</t>
  </si>
  <si>
    <t>MSP HUDSON ST2295 22SAINT PAUL          MN</t>
  </si>
  <si>
    <t>Fenway Park</t>
  </si>
  <si>
    <t>Ls Bluff Creek Golf Co Xxxxxx5685 Mn</t>
  </si>
  <si>
    <t>Westin Hotels &amp; Resorts</t>
  </si>
  <si>
    <t>Whole Foods Market</t>
  </si>
  <si>
    <t>Capital Burger 02134boston Ma</t>
  </si>
  <si>
    <t>Davio's</t>
  </si>
  <si>
    <t>Kaisushigrill.com Chanhassen Mn</t>
  </si>
  <si>
    <t>Deposit Dividend Split Rate Annual Percentage Yield Earned 2.67% from 07/01/24 through 07/31/24</t>
  </si>
  <si>
    <t>Mbta Boylston 0000 Boston Ma</t>
  </si>
  <si>
    <t>Msp Pod1 Shoyu 00-08philadelphia Pa</t>
  </si>
  <si>
    <t>Withdrawal ACH RILEY CROSSING C TYPE: XX8412 ID: XX9040 CO: RILEY CROSSING C Entry Class Code: ACH Trace Number: XX5456</t>
  </si>
  <si>
    <t>Amazon Music*RV63X5RV0 XX-3080 WA REF #XX9216K5335E1WAW</t>
  </si>
  <si>
    <t>Msp Sunshine Taxi # Excelsior Mn</t>
  </si>
  <si>
    <t>NATIONAL CAR R011706ALBUQUERQUE         NM</t>
  </si>
  <si>
    <t>NATIONAL CAR R015111SAINT LOUIS         MO</t>
  </si>
  <si>
    <t>NATIONAL CAR R017208FORT MYERS          FL</t>
  </si>
  <si>
    <t>NATIONAL CAR R018420WEST COLUMBIA       SC</t>
  </si>
  <si>
    <t>NATIONAL CAR R018701COLLEGE PARK        GA</t>
  </si>
  <si>
    <t>Tst* X01 - Z&amp;h 739 Lwayzata Mn</t>
  </si>
  <si>
    <t>X0002n Ummc Parking Minneapolis Mn</t>
  </si>
  <si>
    <t>Birchs On The Lake 1long Lake Mn</t>
  </si>
  <si>
    <t>Care.com</t>
  </si>
  <si>
    <t>National Car Rxx5111saint Louis Mo</t>
  </si>
  <si>
    <t>Roti Cuisine Of India</t>
  </si>
  <si>
    <t>National Car Rxx7208fort Myers Fl</t>
  </si>
  <si>
    <t>Aplpay Minnesota Spominneapolis Mn</t>
  </si>
  <si>
    <t>Brick Oven Bus Llc Spring Park Mn</t>
  </si>
  <si>
    <t>Tst* Back Channel Brewin Spring Park Mn</t>
  </si>
  <si>
    <t>Naturally Nourished Cork IE REF #XX0916KV10QW8TZS</t>
  </si>
  <si>
    <t>Bachman's Eden Praireden Prairie Mn</t>
  </si>
  <si>
    <t>Cc Filson Minneapolis Mn</t>
  </si>
  <si>
    <t>X0020n Southdale Paredina Mn</t>
  </si>
  <si>
    <t>Aplpay Tst* Hawaii Peden Prairie Mn</t>
  </si>
  <si>
    <t>Newslink</t>
  </si>
  <si>
    <t>Withdrawal ACH RILEY CROSSING C TYPE: XX8412 ID: XX9040 CO: RILEY CROSSING C Entry Class Code: ACH Trace Number: XX3552</t>
  </si>
  <si>
    <t>Aplpay Fsp*oak Glen Stillwater Mn</t>
  </si>
  <si>
    <t>Fsp*oak Glen Golf Costillwater Mn</t>
  </si>
  <si>
    <t>The Good Egg</t>
  </si>
  <si>
    <t>Aplpay B &amp; K Struck Frederic Wi</t>
  </si>
  <si>
    <t>Aplpay Balsam Lake Tbalsam Lake Wi</t>
  </si>
  <si>
    <t>Gertens</t>
  </si>
  <si>
    <t>NORTHERN STAR EVENTS XX-2300 MN REF #XX2258E80FW4P1G7</t>
  </si>
  <si>
    <t>Nosta Cork Irl 87.80 @ 0xxx0001.xxx1891 Eur</t>
  </si>
  <si>
    <t>Withdrawal ACH RILEY CROSSING C TYPE: XX8412 ID: XX9040 CO: RILEY CROSSING C Entry Class Code: ACH Trace Number: XX6522</t>
  </si>
  <si>
    <t>Deposit ACH EMPYREAN SOLUTIO TYPE: XX9000 ID: XX3620 CO: EMPYREAN SOLUTIO Entry Class Code: ACH Trace Number: XX8956</t>
  </si>
  <si>
    <t>Es Lacrosse Chanhasschanhassen Mn</t>
  </si>
  <si>
    <t>Deer Run Llc</t>
  </si>
  <si>
    <t>ONLINE PAYMENT - THANK YOU</t>
  </si>
  <si>
    <t>MTKA YOUTH LAX WWW.MTKALAX.OMN REF #XX9216KN0005LK3K</t>
  </si>
  <si>
    <t>Ritual</t>
  </si>
  <si>
    <t>Withdrawal ACH MN DIR ACH TYPE: CONTRIB ID: XX7162 CO: MN DIR ACH NAME: XX2601 Entry Class Code: WEB ACH Trace Number: XX9411</t>
  </si>
  <si>
    <t>GOOGLE *Google One g.co/helppay#CA REF #XX9216KR2ZBNGXMX</t>
  </si>
  <si>
    <t>Ridgeview Medical Cewaconia Mn</t>
  </si>
  <si>
    <t>Tequila Jacks</t>
  </si>
  <si>
    <t>Aplpay Msp Airp The Saint Paul Mn</t>
  </si>
  <si>
    <t>BONFES PLUMBING HEATING AXX6633 MN REF #XX7539KTS66GJZT5</t>
  </si>
  <si>
    <t>Withdrawal ACH CITY OF CHANHASS TYPE: UTIL BILL ID: XX5331 CO: CITY OF CHANHASS Entry Class Code: ACH Trace Number: XX8476</t>
  </si>
  <si>
    <t>Tst* Blvd Minnetonka Mn</t>
  </si>
  <si>
    <t>SOMA2 CORK IE REF #XX4361KW00LDVRL6</t>
  </si>
  <si>
    <t>Doolin Ferry Companykilfenora Co</t>
  </si>
  <si>
    <t>Fh* Aran Bike Hire Aran Islands Co</t>
  </si>
  <si>
    <t>Withdrawal at ATM #XX0648 Dingle Bay ATM Dingle IE Card 5404</t>
  </si>
  <si>
    <t>Bakers</t>
  </si>
  <si>
    <t>BEEHIVE HUTS VENTRY IE REF #XX6366KXFT49LN6W</t>
  </si>
  <si>
    <t>DINGLE GOLD &amp; SILVERSMI KERRY IE REF #XX0746KY7WZ6BHLT</t>
  </si>
  <si>
    <t>DUN BEAG VISITORS CENTRE TRALEE IE REF #XX9769KYSRS97X6L</t>
  </si>
  <si>
    <t>EALU FOOD BALLYFERRITERIE REF #XX9769KYSRS97WD4</t>
  </si>
  <si>
    <t>KRUGERS BAR TRALEE IE REF #XX9769KYSRS6H1AH</t>
  </si>
  <si>
    <t>LAPPS QUAY CAR PARK CORK IE REF #XX6366KXGYQ0F8AP</t>
  </si>
  <si>
    <t>MURPHYS PUB DINGLE IE REF #XX0746KY7WWBRK7X</t>
  </si>
  <si>
    <t>Supervalu</t>
  </si>
  <si>
    <t>THE FISH BOX 02 DINGLE IE REF #XX0746KY7X18X48S</t>
  </si>
  <si>
    <t>Castlewood House Kerry IE REF #XX2753KHP9E45R5B</t>
  </si>
  <si>
    <t>DIRECT ROUTE (LIMERICK) COONAGH IE REF #XX0746KZ7X2TGF9J</t>
  </si>
  <si>
    <t>HALPINS SERVICE STATIO NEWMARKET ON IE REF #XX4361KZx3654E1N</t>
  </si>
  <si>
    <t>Leonardo Htl Galway Galway</t>
  </si>
  <si>
    <t>SPAR DINGLE DINGLE IE REF #XX4361KZ01KDVK7D</t>
  </si>
  <si>
    <t>TI JOE WATTYS CO GALWAY IE REF #XX4361KZXX6676Z5</t>
  </si>
  <si>
    <t>TI JOE WATTYS CO GALWAY IE REF #XX4361KZXX6677BH</t>
  </si>
  <si>
    <t>TI JOE WATTYS CO GALWAY IE REF #XX4361KZXX6677QA</t>
  </si>
  <si>
    <t>TIG BHRIC BALLYFERRITERIE REF #XX0746KZ7X0E1VH1</t>
  </si>
  <si>
    <t>UTS TECHNOLOGIES LTD C LAHINCH IE REF #XX4361KZ02FWYV0X</t>
  </si>
  <si>
    <t>Aplpay Limerick Stralimerick City</t>
  </si>
  <si>
    <t>ARAN ISLANDS HOTEL GALWAY IE REF #XX0746L07X48F0NY</t>
  </si>
  <si>
    <t>ARAN ISLANDS HOTEL GALWAY IE REF #XX0746L07X499FBX</t>
  </si>
  <si>
    <t>Discover Limerick Dalimerick Ie</t>
  </si>
  <si>
    <t>THE BAR INISMORE IE REF #XX0746L07X7PFLA4</t>
  </si>
  <si>
    <t>Aplpay Bunratty Admibunratty Co C</t>
  </si>
  <si>
    <t>CLIFFS OF MOHER VISITO LISCANNOR IE REF #XX4361L100LYA7BT</t>
  </si>
  <si>
    <t>Cois Tra, Rugged Retclifden Ir</t>
  </si>
  <si>
    <t>Curragower Limerick IE REF #XX4893L13XEXHHH1</t>
  </si>
  <si>
    <t>Curragower Limerick IE REF #XX4893L13XEXHHLY</t>
  </si>
  <si>
    <t>DUNNES HARVEYS QUAY HENRY ST IE REF #XX9769L1SRVD0HQ7</t>
  </si>
  <si>
    <t>KATIE DALYS BAR LIMERICK IE REF #XX6366L0FT54VJFA</t>
  </si>
  <si>
    <t>BALLYBUNION GOLF CLUB BALLYBUNNION IE REF #XX4361LXX0713L2</t>
  </si>
  <si>
    <t>BALLYBUNION GOLF CLUB BALLYBUNNION IE REF #XX4361LXX0713MW</t>
  </si>
  <si>
    <t>BALLYBUNION GOLF CLUB BALLYBUNNION IE REF #XX4361LXX0713P5</t>
  </si>
  <si>
    <t>DG MCCARTHY CATERING L V31RX37 IE REF #XX4361L200LTXH37</t>
  </si>
  <si>
    <t>DG MCCARTHY CATERING L V31RX37 IE REF #XX4361L200LTXHB6</t>
  </si>
  <si>
    <t>DIRECT ROUTE (LIMERICK) COONAGH IE REF #XX0746L27XETFN0B</t>
  </si>
  <si>
    <t>DIRECT ROUTE (LIMERICK) COONAGH IE REF #XX0746L27XJ7ATVA</t>
  </si>
  <si>
    <t>LIMERICK STRAND HOTEL RECLIMERICK CITYIE REF #XX6366L1G2FDYW3P</t>
  </si>
  <si>
    <t>NYA*Strand Leisure Inv XX0040 IE REF #XX2465L1677P3RLJ</t>
  </si>
  <si>
    <t>NYA*Strand Leisure Inv XX0040 IE REF #XX2465L1677TDETT</t>
  </si>
  <si>
    <t>TRIPADMIT DUBLIN IE REF #XX0905L2EHM6NQJ3</t>
  </si>
  <si>
    <t>WWW.KYLEMOREABBEY.COM CONNEMARA IE REF #XX0905L2EHM6PJB9</t>
  </si>
  <si>
    <t>CONNEMARA SANDS HOTEL H71X309 IE REF #XX4361LXX2095RTX</t>
  </si>
  <si>
    <t>DIRECT ROUTE (LIMERICK) COONAGH IE REF #XX0746L37XFQ28X2</t>
  </si>
  <si>
    <t>Home Chef</t>
  </si>
  <si>
    <t>Veldons Seafarer Bar &amp; Letterfrack IE REF #XX0746L37XM3H9M7</t>
  </si>
  <si>
    <t>BRASS FOX WICKLOW WICKLOW TOWN IE REF #XX4361L4026ZVXMJ</t>
  </si>
  <si>
    <t>BRASS FOX WICKLOW WICKLOW TOWN IE REF #XX4361L4026ZVXQ9</t>
  </si>
  <si>
    <t>Deposit Dividend Split Rate Annual Percentage Yield Earned 1.63% from 08/01/24 through 08/31/24</t>
  </si>
  <si>
    <t>Duffy's Tavern And Motor Inn</t>
  </si>
  <si>
    <t>G.B.C. RESTAURANT LTD CO GALWAY . IE REF #XX6366L3J3MVZZMD</t>
  </si>
  <si>
    <t>Mountain Warehouse GWY Galway IE REF #XX8750L3022DKRWF</t>
  </si>
  <si>
    <t>O SHEAS CORNER WICKLOW TOWN IE REF #XX4361L4026Z8413</t>
  </si>
  <si>
    <t>O SHEAS CORNER WICKLOW TOWN IE REF #XX4361L4026Z84F3</t>
  </si>
  <si>
    <t>O SHEAS CORNER WICKLOW TOWN IE REF #XX4361L4026Z84YR</t>
  </si>
  <si>
    <t>River Deep Mountain High GALWAY IE REF #XX4893L43XFV9TT2</t>
  </si>
  <si>
    <t>SPANISH ARCH CARPARK H91V6RR IE REF #XX4361L400A91TDR</t>
  </si>
  <si>
    <t>SPAR MAINGUARD STREET GALWAY IE REF #XX4361LXX2499S9B</t>
  </si>
  <si>
    <t>The Bridge Tavern</t>
  </si>
  <si>
    <t>THE FRONT DOOR GALWAY IE REF #XX4361L4005JGKJY</t>
  </si>
  <si>
    <t>THE FRONT DOOR GALWAY IE REF #XX4361L4005JKASR</t>
  </si>
  <si>
    <t>WICKLOW TALLAGHT IE REF #XX6366L3HH23ERMV</t>
  </si>
  <si>
    <t>Apache Wicklow Town Wicklow IE REF #XX4743L3006RYS3G</t>
  </si>
  <si>
    <t>AplPay DUBLIN AIRPORDUBLIN              IR</t>
  </si>
  <si>
    <t>AplPay SERVY TECHNOLDUBLIN 1            IR</t>
  </si>
  <si>
    <t>BELMONT DEMESNE DELGANY IE REF #XX6366L5EX8TA37N</t>
  </si>
  <si>
    <t>BLUE SEAFOOD RESTAURAN WICKLOW TOWN IE REF #XX4361L601TFWLR2</t>
  </si>
  <si>
    <t>COILLTECUIDEACHTAGUIOM RATHDRUM IE REF #XX4361L601LJBF32</t>
  </si>
  <si>
    <t>EAK Ireland Treetop WalksLouth IE REF #XX4893L53XG5HMBL</t>
  </si>
  <si>
    <t>Delta Skymiles Platinum Card ( X ) - Ending in 1036</t>
  </si>
  <si>
    <t>HERTZ RAC.          WEXFORD             IR</t>
  </si>
  <si>
    <t>NYA*Coillte CGA XX8873 IE REF #XX2465Lx3939QV6J</t>
  </si>
  <si>
    <t>Roots Restaurant</t>
  </si>
  <si>
    <t>TA SES PUB WICKLOW TOWN IE REF #XX4361L601PNB740</t>
  </si>
  <si>
    <t>THE MILL STORE RATHDRU A67AX94 IE REF #XX4361L601K278TF</t>
  </si>
  <si>
    <t>THE TEMPLE BAR TRADING CODUBLIN IE REF #XX6366L5EX8PSRZB</t>
  </si>
  <si>
    <t>THE TEMPLE BAR TRADING CODUBLIN IE REF #XX6366L5EX8PST4P</t>
  </si>
  <si>
    <t>TST-JW Sweetman New Dublin IE REF #XX8750L502GEMRNM</t>
  </si>
  <si>
    <t>VINTAGE COCKTAIL CLUB DUBLIN 2 IE REF #XX0746L67Y3WLAP5</t>
  </si>
  <si>
    <t>AMAZON MARKETPLACE NAMZN.COM/BILL       WA</t>
  </si>
  <si>
    <t>AplPay ANTHROPOLOGIEMAPLE GROVE         MN</t>
  </si>
  <si>
    <t>CUB FOODS 1636 0163 CUB.COM             MN</t>
  </si>
  <si>
    <t>MISTER CAR WASH #0606 ST LOUIS PARKMN</t>
  </si>
  <si>
    <t>SCOUTING* RENEWAL FEIRVING              TX</t>
  </si>
  <si>
    <t>TEMPLE BAR PUB DUBLIN 2 IE REF #XX0746L77Y3MSVG4</t>
  </si>
  <si>
    <t>THE CLARENCE HOTEL DUBLIN 2 IE REF #XX0746L77Y87N183</t>
  </si>
  <si>
    <t>THE NORSEMAN DUBLIN IE REF #XX0746L77Y40DDY9</t>
  </si>
  <si>
    <t>THE SHACK RESTAURANT DUBLIN IE REF #XX0746L77Y4431EP</t>
  </si>
  <si>
    <t>Delta Skymiles Platinum Card ( X ) - Ending in 1028</t>
  </si>
  <si>
    <t>CITY OF WACONIA 6500WACONIA             MN</t>
  </si>
  <si>
    <t>TST*OLIVES FRESH EXCEL EXCELSIOR MN00040709019916116414AA</t>
  </si>
  <si>
    <t>ALL SEASONS GARMENT CHANHASSEN          MN</t>
  </si>
  <si>
    <t>Bliss Nails</t>
  </si>
  <si>
    <t>BLVD *FACE FOUNDRIE WAYXX-7151 MN REF #XX4500L8EJ609F5S</t>
  </si>
  <si>
    <t>Delta Skymiles Platinum Card ( X ) - Ending in 1022</t>
  </si>
  <si>
    <t>AplPay LS BLUFF CREECHASKA              MN</t>
  </si>
  <si>
    <t>Delta Skymiles Platinum Card ( X ) - Ending in 1023</t>
  </si>
  <si>
    <t>CITY OF CHANHASSEN 6CHANHASSEN          MN</t>
  </si>
  <si>
    <t>Delta Skymiles Platinum Card ( X ) - Ending in 1024</t>
  </si>
  <si>
    <t>Delta Skymiles Platinum Card ( X ) - Ending in 1026</t>
  </si>
  <si>
    <t>TST* MAYNARDS INSIDEEXCELSIOR           MN</t>
  </si>
  <si>
    <t>Delta Skymiles Platinum Card ( X ) - Ending in 1019</t>
  </si>
  <si>
    <t>AplPay GLEN LAKE GOLMINNETONKA          MN</t>
  </si>
  <si>
    <t>Delta Skymiles Platinum Card ( X ) - Ending in 1020</t>
  </si>
  <si>
    <t>GLEN LAKE GOLF      MINNETONKA          MN</t>
  </si>
  <si>
    <t>Delta Skymiles Platinum Card ( X ) - Ending in 1021</t>
  </si>
  <si>
    <t>LUNDS&amp;BYERLYS GLENLAMINNETONKA          MN</t>
  </si>
  <si>
    <t>Delta Skymiles Platinum Card ( X ) - Ending in 1017</t>
  </si>
  <si>
    <t>SHOREWOOD TRUE VALUEEXCELSIOR           MN</t>
  </si>
  <si>
    <t>Delta Skymiles Platinum Card ( X ) - Ending in 1018</t>
  </si>
  <si>
    <t>WESTWOOD COMMUNITY CExcelsior           MN</t>
  </si>
  <si>
    <t>Delta Skymiles Platinum Card ( X ) - Ending in 1010</t>
  </si>
  <si>
    <t>AplPay MINNEAPOLIS ASAINT PAUL          MN</t>
  </si>
  <si>
    <t>Deposit ACH EMPYREAN SOLUTIO TYPE: XX9000 ID: XX3620 CO: EMPYREAN SOLUTIO Entry Class Code: ACH Trace Number: XX8240</t>
  </si>
  <si>
    <t>Hallmark</t>
  </si>
  <si>
    <t>AplPay TST* NORTH COEXCELSIOR           MN</t>
  </si>
  <si>
    <t>CENTURYLINK LUMEN        800-244-1111 LA REF #2469216LG363E6GVF</t>
  </si>
  <si>
    <t>HOME CHEF           CHICAGO             IL</t>
  </si>
  <si>
    <t>TST* NORTH COOP 0013EXCELSIOR           MN</t>
  </si>
  <si>
    <t>AMAZON MKTPL*BW43E9B33 AMZN.COM/BILLWA7CV6Z3F4DU6</t>
  </si>
  <si>
    <t>OPENAI *CHATGPT SUBSSAN FRANCISCO       CA</t>
  </si>
  <si>
    <t>AMAZON MKTPL*L75XS4YP3 AMZN.COM/BILLWA5B4HSND3X3H</t>
  </si>
  <si>
    <t>NORTH STAR DONUTS   Victoria            MN</t>
  </si>
  <si>
    <t>PRIME VIDEO CHANNELSAMZN.COM/BILL       WA</t>
  </si>
  <si>
    <t>SLATWALLACC         3346556132          FL</t>
  </si>
  <si>
    <t>SQ *NORTH STAR DONUTS Victoria MN REF #XX9216LK2ZEFHYNL</t>
  </si>
  <si>
    <t>TST* LAGOS TACOS EXCELSIOXX-8495 MN REF #XX3746LK2XPR1HHK</t>
  </si>
  <si>
    <t>U OF M-ARB APPLEHOUSE CHASKA MN REF #XX3829LL0X2Y07VH</t>
  </si>
  <si>
    <t>AMAZON.COM*4D8IW4CD3 AMZN.COM/BILLWA53KIQ0LNGLB</t>
  </si>
  <si>
    <t>AplPay JIMMY JOHNS -CHANHASSEN          MN</t>
  </si>
  <si>
    <t>AplPay TST* MAYNARDSEXCELSIOR           MN</t>
  </si>
  <si>
    <t>DIRECTPAY FULL BALANCESEE DETAILS OF YOUR NEXT DIRECTPAY BELOW</t>
  </si>
  <si>
    <t>TST* PRIVATE PROPERTLEXINGTON           SC</t>
  </si>
  <si>
    <t>Withdrawal ACH MN DIR ACH TYPE: CONTRIB ID: XX7162 CO: MN DIR ACH NAME: XX2601 Entry Class Code: WEB ACH Trace Number: XX9201</t>
  </si>
  <si>
    <t>CC payment</t>
  </si>
  <si>
    <t>PIZZA 9 THE LANDING ALBUQUERQUE         NM</t>
  </si>
  <si>
    <t>Queen City Gifts Andcharlotte Nc</t>
  </si>
  <si>
    <t>RACETRAC2324  023242COLLEGE PARK        GA</t>
  </si>
  <si>
    <t>Sadies Of * Sadies Oalbuquerque Nm</t>
  </si>
  <si>
    <t>GOOGLE *Google One XX-3987 CA REF #XX9216LP328RA052</t>
  </si>
  <si>
    <t>SBARROS CONC C RSW  FORT MYERS          FL</t>
  </si>
  <si>
    <t>Scott's Fish Market</t>
  </si>
  <si>
    <t>AplPay ARCADE HIGHWAExcelsior           MN</t>
  </si>
  <si>
    <t>AplPay SHELL SERVICEVICTORIA            MN</t>
  </si>
  <si>
    <t>AplPay TST* ADELE'S EXCELSIOR           MN</t>
  </si>
  <si>
    <t>BABY BLUE           Excelsior           MN</t>
  </si>
  <si>
    <t>CUB FOODS #1636 0000SHOREWOOD           MN</t>
  </si>
  <si>
    <t>EXCELSIOR-LAKE MINNEExcelsior           MN</t>
  </si>
  <si>
    <t>GOOGLE*SVCSGNS.3349- G.CO HELPPAY#</t>
  </si>
  <si>
    <t>Sei Xxxxx Xxxx8495 Florissant Mo</t>
  </si>
  <si>
    <t>RRPC 2              Excelsior           MN</t>
  </si>
  <si>
    <t>AplPay MARATHON PETRExcelsior           MN</t>
  </si>
  <si>
    <t>BONFES PLUMBING HEATING AXX6633 MN REF #XX7539LRS66JVSSK</t>
  </si>
  <si>
    <t>SLACK T074985K686   SAN FRANCISCO       CA</t>
  </si>
  <si>
    <t>Slack Txx4985k686 San Francisco Ca</t>
  </si>
  <si>
    <t>Smashburger</t>
  </si>
  <si>
    <t>SON OF A BUN VICTORIAN QUAIE REF #XX4361KV00N6NXJY</t>
  </si>
  <si>
    <t>Withdrawal ACH CITY OF CHANHASS TYPE: UTIL BILL ID: XX5331 CO: CITY OF CHANHASS Entry Class Code: ACH Trace Number: XX4175</t>
  </si>
  <si>
    <t>CHASKA PANDR 6500000CHASKA              MN</t>
  </si>
  <si>
    <t>EXXONMOBIL 9870     FORT MYERS          FL</t>
  </si>
  <si>
    <t>Sp Harlestons Mount Pleasant Sc</t>
  </si>
  <si>
    <t>SUNSHINE TAXI ?     Saint Paul          MN</t>
  </si>
  <si>
    <t>TOTAL WINE AND MORE MINNETONKA          MN</t>
  </si>
  <si>
    <t>TA #035 EFFINGHAM 00EFFINGHAM           IL</t>
  </si>
  <si>
    <t>AplPay LAKEWINDS NATMINNETONKA          MN</t>
  </si>
  <si>
    <t>Tax Payment to Minnesota Department Of Revenue</t>
  </si>
  <si>
    <t>Delta Skymiles Platinum Card ( X ) - Ending in 1015</t>
  </si>
  <si>
    <t>TENNCAB             Nashville           TN</t>
  </si>
  <si>
    <t>TGI FRIDAY'S        ATLANTA             GA</t>
  </si>
  <si>
    <t>THE CLARENCE HOTEL DUBLIN 2 IE REF #XX0746L67Y35FPG4</t>
  </si>
  <si>
    <t>The Clarence Hotel Idublin 2 Ir</t>
  </si>
  <si>
    <t>The Dean Hotel</t>
  </si>
  <si>
    <t>AplPay EXCELSIOR BREExcelsior           MN</t>
  </si>
  <si>
    <t>EXCELSIOR BREWING COExcelsior           MN</t>
  </si>
  <si>
    <t>HAZELWOOD FOOD AND D877-8144102         MN</t>
  </si>
  <si>
    <t>ADVOCARE</t>
  </si>
  <si>
    <t>AplPay CUB FOODS #16SHOREWOOD           MN</t>
  </si>
  <si>
    <t>AplPay CVS PHARMACY CHANHASSEN          MN</t>
  </si>
  <si>
    <t>INN ON LAKE SUPERIORDULUTH              MN</t>
  </si>
  <si>
    <t>O'SHAUGHNESSY DISTIL877-8144102         MN</t>
  </si>
  <si>
    <t>THE DEAN HOTEL CORK IE REF #XX0746NP88X6HEN8</t>
  </si>
  <si>
    <t>TST* SURLY BREWING CMINNEAPOLIS         MN</t>
  </si>
  <si>
    <t>BOXCAR BAR          MINNEAPOLIS         MN</t>
  </si>
  <si>
    <t>DEER RUN GC         VICTORIA            MN</t>
  </si>
  <si>
    <t>TST* FAT PANTS BREWIEDEN PRAIRIE        MN</t>
  </si>
  <si>
    <t>THE DEAN HOTEL IE000CORK                IR</t>
  </si>
  <si>
    <t>Amazon Music*OG4MN41R3 XX-3080 WA REF #XX9216M332ER4FRE</t>
  </si>
  <si>
    <t>SP KINGFIFTH        WORTHINGTON         OH</t>
  </si>
  <si>
    <t>THOMPSONS CORK IE REF #XX9769KSSRS4P28G</t>
  </si>
  <si>
    <t>Withdrawal ACH ILD529 DIR ACH TYPE: CONTRIB ID: XX2584 CO: ILD529 DIR ACH Entry Class Code: ACH Trace Number: XX5779</t>
  </si>
  <si>
    <t>2025 GRANDMAS MARATHBOSTON              MA</t>
  </si>
  <si>
    <t>THOMPSONS CORK IE REF #XX9769NLSRSDHKEZ</t>
  </si>
  <si>
    <t>THOMPSONS CORK IE REF #XX9769NPSRS4ZPXY</t>
  </si>
  <si>
    <t>Withdrawal ACH CPENERGY MNGCO TYPE: MGC ACH EB ID: 1XX1140S CO: CPENERGY MNGCO NAME: CENTERPOINT ENERGY OTP Entry Class Code: WEB ACH Trace Number: XX0646</t>
  </si>
  <si>
    <t>THOMPSONS CORK IE REF #XX9769NPSRS50W16</t>
  </si>
  <si>
    <t>355 GREAT CLIPS AT SEXCELSIOR           MN</t>
  </si>
  <si>
    <t>AplPay TST* TONKA PIMINNETONKA          MN</t>
  </si>
  <si>
    <t>TST* UNMAPPED BREWINMINNETONKA          MN</t>
  </si>
  <si>
    <t>AplPay DICK'S SPORTICORAOPOLIS          PA</t>
  </si>
  <si>
    <t>AplPay GRUBHUB*DELSUNEW YORK            NY</t>
  </si>
  <si>
    <t>AR* DICKS HOUSE OF SSAN FRANCISCO       CA</t>
  </si>
  <si>
    <t>J CREW FACTORY #1006SAINT LOUIS P       MN</t>
  </si>
  <si>
    <t>TST* THE BLOCK 00016SAINT LOUIS PAR     MN</t>
  </si>
  <si>
    <t>AplPay HAZELWOOD FOO877-8144102         MN</t>
  </si>
  <si>
    <t>PROJECTOR 515899    HOUSTON             TX</t>
  </si>
  <si>
    <t>ANTHROPOLOGIE.COM   PHILADELPHIA        PA</t>
  </si>
  <si>
    <t>AplPay ANNA NAILS 08WAYZATA             MN</t>
  </si>
  <si>
    <t>AplPay KOWALSKI'S EXEXCELSIOR           MN</t>
  </si>
  <si>
    <t>SP MAYABRENNER      LOS ANGELES         CA</t>
  </si>
  <si>
    <t>AplPay SCHOLASTIC BOLAKE MARY           FL</t>
  </si>
  <si>
    <t>TRACTOR BREWING COMPALBUQUERQUE         NM</t>
  </si>
  <si>
    <t>AplPay U OF M-ARB APCHASKA              MN</t>
  </si>
  <si>
    <t>AplPay JIMMY JOHNS -SHAKOPEE            MN</t>
  </si>
  <si>
    <t>THE POINTE GRILL ANDPRIOR LAKE          MN</t>
  </si>
  <si>
    <t>AMAZON MKTPL*J639S8ZX3 AMZN.COM/BILLWA3NBXDWNFXVY</t>
  </si>
  <si>
    <t>AMAZON MKTPL*WC3012W23 AMZN.COM/BILLWA5Q0ALIXSJSA</t>
  </si>
  <si>
    <t>AMAZON.COM*PH38099M3 AMZN.COM/BILLWA6RGR21JKPP3</t>
  </si>
  <si>
    <t>AplPay FLOYD'S 99 CHCHANHASSEN          MN</t>
  </si>
  <si>
    <t>AMAZON MKTPL*WI6BF4WW3 AMZN.COM/BILLWA2SK2IYCX9C9</t>
  </si>
  <si>
    <t>HI 5 LIQUOR 13525905VICTORIA            MN</t>
  </si>
  <si>
    <t>WINCHESTER AND RYE 0VICTORIA            MN</t>
  </si>
  <si>
    <t>AplPay HOLIDAY STATISHOREWOOD           MN</t>
  </si>
  <si>
    <t>VIOC 010018 0100    SHOREWOOD           MN</t>
  </si>
  <si>
    <t>WALMART.COM 80092562BENTONVILLE         AR</t>
  </si>
  <si>
    <t>Withdrawal ACH MN DIR ACH TYPE: CONTRIB ID: XX7162 CO: MN DIR ACH NAME: XX2601 Entry Class Code: WEB ACH Trace Number: XX3855</t>
  </si>
  <si>
    <t>LONESOME PINE RESTAUDEERWOOD            MN</t>
  </si>
  <si>
    <t>Withdrawal at ATM #XX1733 EFT x5039 Tamefish Lake Roa Deerwood MN Card 5404</t>
  </si>
  <si>
    <t>AplPay RED RAVEN    Crosby              MN</t>
  </si>
  <si>
    <t>AplPay SUBWAY       CROSBY              MN</t>
  </si>
  <si>
    <t>BRICK &amp; BOURBON- MAPMAPLE GROVE         MN</t>
  </si>
  <si>
    <t>CUYUNA OUTFITTERS, LCrosby              MN</t>
  </si>
  <si>
    <t>GOOGLE *Google One XX-3987 CA REF #XX9216MM2ZB0MLFD</t>
  </si>
  <si>
    <t>RED RAVEN           Crosby              MN</t>
  </si>
  <si>
    <t>STONES THROW GOLF COMILACA              MN</t>
  </si>
  <si>
    <t>TM *TICKETMASTER    LOS ANGELES         CA</t>
  </si>
  <si>
    <t>AMAZON MKTPL*BI3VO73G3 AMZN.COM/BILLWA49PNG3M45ZM</t>
  </si>
  <si>
    <t>CHANHASSEN BREWING CCHANHASSEN          MN</t>
  </si>
  <si>
    <t>Withdrawal ACH BCU MORTGAGE TYPE: LOAN PAYMT ID: 9DRAFTING CO: BCU MORTGAGE NAME: JEFF TRUITT Entry Class Code: WEB ACH Trace Number: 231271360157483</t>
  </si>
  <si>
    <t>Withdrawal ACH BCU MORTGAGE TYPE: LOAN PAYMT ID: 9DRAFTING CO: BCU MORTGAGE NAME: JEFF TRUITT Entry Class Code: WEB ACH Trace Number: 231271360157611</t>
  </si>
  <si>
    <t>Withdrawal ACH CITY OF CHANHASS TYPE: UTIL BILL ID: XX5331 CO: CITY OF CHANHASS Entry Class Code: ACH Trace Number: XX9141</t>
  </si>
  <si>
    <t>AMZN MKTP US*Y12FG8NZ3 AMZN.COM/BILLWA1CNAF40WFPA</t>
  </si>
  <si>
    <t>AplPay MCW 1602-MinnMINNETONKA          MN</t>
  </si>
  <si>
    <t>AplPay TRADER JOE S MINNETONKA          MN</t>
  </si>
  <si>
    <t>AplPay WWW.K-PHOTOGRWAYZATA             MN</t>
  </si>
  <si>
    <t>LUNDS&amp;BYERLYS CHANHACHANHASSEN          MN</t>
  </si>
  <si>
    <t>SPEEDWAY            1-800-643-1949      OH</t>
  </si>
  <si>
    <t>TREERING            SAN MATEO           CA</t>
  </si>
  <si>
    <t>ZENFOLIO ONLINE PHOTREDWOOD CITY        CA</t>
  </si>
  <si>
    <t>BCS*MINNETONKA COMMUEXCELSIOR           MN</t>
  </si>
  <si>
    <t>CHANHASSEN BREWING CO CHANHASSEN MN REF #XX7539MRS66H5RS2</t>
  </si>
  <si>
    <t>FOSS SWIM SCHOOL    EDEN PRAIRIE        MN</t>
  </si>
  <si>
    <t>MCDONALD'S F23042 00WACONIA             MN</t>
  </si>
  <si>
    <t>PLUNKETTS PEST CONTRMINNEAPOLIS         MN</t>
  </si>
  <si>
    <t>AMAZON MKTPL*PY77X54U3 AMZN.COM/BILLWA1VNLUXC01JB</t>
  </si>
  <si>
    <t>AplPay AIRBNB * HMTPSAN FRANCISCO       CA</t>
  </si>
  <si>
    <t>AplPay SUBWAY 71167 ST. BONIFACIUS      MN</t>
  </si>
  <si>
    <t>LAKESHORE MARKET &amp; MEXCELSIOR           MN</t>
  </si>
  <si>
    <t>TST* DARIO RESTAURANMINNEAPOLIS         MN</t>
  </si>
  <si>
    <t>SP FREEFLYAPPAREL   CHARLESTON          SC</t>
  </si>
  <si>
    <t>SP THURSDAY BOOT COMNEW YORK            NY</t>
  </si>
  <si>
    <t>WWW.STONEBROOKE.COM SHAKOPEE            MN</t>
  </si>
  <si>
    <t>AMAZON MARK* G53WA7YH3 HTTPSAMAZON.CWA REF #XX1134MY001QK6G0</t>
  </si>
  <si>
    <t>AplPay PARTY CITY BO800-727-8924        NJ</t>
  </si>
  <si>
    <t>HUNTERCOURSE.COM XX-2628 CD REF #XX0340MZ34E5WN9M</t>
  </si>
  <si>
    <t>AMAZON MARK* PA9Y29VO3 HTTPSAMAZON.CWA REF #XX1134MZx0343DFV</t>
  </si>
  <si>
    <t>AMAZON RETA* KD20Z1BM3 WWW.AMAZON.COWA REF #XX1134MZ0039E606</t>
  </si>
  <si>
    <t>AplPay TRADER JOE S BLOOMINGTON         MN</t>
  </si>
  <si>
    <t>TOTAL WINE AND MORE BLOOMINGTON         MN</t>
  </si>
  <si>
    <t>Amazon Music*MU7NH23I3 XX-3080 WA REF #XX9216N22XF9X72Q</t>
  </si>
  <si>
    <t>RAO MNHUNTFISH VEHICLE DNR.STATE.MN.MN REF #XX9216N136A5R64K</t>
  </si>
  <si>
    <t>Transportation Plus</t>
  </si>
  <si>
    <t>AMAZON.COM*ZJ85D67B3 AMZN.COM/BILLWA6FE7LPYY4MK</t>
  </si>
  <si>
    <t>AplPay CITY OF EDINAEDINA               MN</t>
  </si>
  <si>
    <t>AMAZON MARK* 8L1KF2GX3 HTTPSAMAZON.CWA REF #XX1134N5001EE79D</t>
  </si>
  <si>
    <t>AMAZON MARK* UP7TF5HU3 HTTPSAMAZON.CWA REF #XX1134N4002Z8LAN</t>
  </si>
  <si>
    <t>SCHEELS ALL SPORTS  FARGO               ND</t>
  </si>
  <si>
    <t>AMAZON.COM*4264P8A43 AMZN.COM/BILLWA7CWK26998EJ</t>
  </si>
  <si>
    <t>Delta Skymiles Platinum Card ( X ) - Ending in 1016</t>
  </si>
  <si>
    <t>TRANSPORTATION PLUS NEW HOPE            MN</t>
  </si>
  <si>
    <t>AMAZON MKTPL*6Q1X73Q43 AMZN.COM/BILLWA1V91KDHTP9K</t>
  </si>
  <si>
    <t>AMAZON.COM*N35Y88E23 AMZN.COM/BILLWA72Z9BXMQUGP</t>
  </si>
  <si>
    <t>AMZN MKTP US*JH60H9LP3 AMZN.COM/BILLWA4S4VHXQWOJT</t>
  </si>
  <si>
    <t>AplPay SP FMSCMARKETCOON RAPIDS         MN</t>
  </si>
  <si>
    <t>AplPay WAYZATA CAFE WAYZATA             MN</t>
  </si>
  <si>
    <t>DAIRY QUEEN #46123 0WACONIA             MN</t>
  </si>
  <si>
    <t>AMAZON MARK* LQ2MN89J3 HTTPSAMAZON.CWA REF #XX1134NXX0157HMD</t>
  </si>
  <si>
    <t>JEFFERSONS RESTAURANLAWRENCE            KS</t>
  </si>
  <si>
    <t>LYFT                855-280-0278        CA</t>
  </si>
  <si>
    <t>MOULTRIE MOBILE     833-909-1768        AL</t>
  </si>
  <si>
    <t>Tst* 3 Pepper Burritfort Myers Fl</t>
  </si>
  <si>
    <t>Tst* El Jefes - Bostboston Ma</t>
  </si>
  <si>
    <t>AplPay JOCK S NITCH LAWRENCE            KS</t>
  </si>
  <si>
    <t>AplPay SAMPLER STORELENEXA              KS</t>
  </si>
  <si>
    <t>KC CHIEFS - TICKETINKansas City         MO</t>
  </si>
  <si>
    <t>THE ROOST           LAWRENCE            KS</t>
  </si>
  <si>
    <t>AplPay 535 - MADE INLAS VEGAS           NV</t>
  </si>
  <si>
    <t>MARATHON PETRO68692 Excelsior           MN</t>
  </si>
  <si>
    <t>NATIONAL CAR R015103KANSAS CITY         MO</t>
  </si>
  <si>
    <t>RAO MNHUNTFISH VEHICLE DNR.STATE.MN.MN REF #XX9216N933HQ4TSW</t>
  </si>
  <si>
    <t>TST* CARIBOU COFFEE EXCELSIOR           MN</t>
  </si>
  <si>
    <t>SP NORMAL BRAND COR SAINT LOUIS         MO</t>
  </si>
  <si>
    <t>TST* DUKE'S ON 7 300MINNETONKA          MN</t>
  </si>
  <si>
    <t>AMAZON MKTPL*I18PB2LR3 AMZN.COM/BILLWA3HIDAKQJW5D</t>
  </si>
  <si>
    <t>TST* FIREFLY GRILL2 EFFINGHAM           IL</t>
  </si>
  <si>
    <t>Tst* Fox And The Kniboston Ma</t>
  </si>
  <si>
    <t>MACKENTHUN'S FINE FOWACONIA             MN</t>
  </si>
  <si>
    <t>Withdrawal ACH Mis Amigos Presc TYPE: ID: XX7393 NAME: BCU CO: Mis Amigos Presc Entry Class Code: WEB ACH Trace Number: XX1352</t>
  </si>
  <si>
    <t>AplPay CHILDREN'S THMINNEAPOLIS         MN</t>
  </si>
  <si>
    <t>HEWING HOTEL HEWING MINNEAPOLIS         MN</t>
  </si>
  <si>
    <t>MT. BACHELOR ECOMMERBend                OR</t>
  </si>
  <si>
    <t>Delta Skymiles Platinum Card ( X ) - Ending in 1012</t>
  </si>
  <si>
    <t>TST* NEWSLINK OF NASNASHVILLE           TN</t>
  </si>
  <si>
    <t>SP 7DIAMONDS APPARELTUSTIN              CA</t>
  </si>
  <si>
    <t>AMAZON MKTPL*W42IF5SK3 AMZN.COM/BILLWA2DF0PYUBZV3</t>
  </si>
  <si>
    <t>KKINACONIKKEIANDPISCHOPKINS             MN</t>
  </si>
  <si>
    <t>AplPay KIDSHAIR_303 MINNETONKA          MN</t>
  </si>
  <si>
    <t>CHASKA CLUB FOODS   CHASKA              MN</t>
  </si>
  <si>
    <t>DETELLO'S PIZZA &amp; PACHASKA              MN</t>
  </si>
  <si>
    <t>USPS PO 2645930345 0MINNETONKA          MN</t>
  </si>
  <si>
    <t>Tst* The Smokehouse Hilton Head Isl Sc</t>
  </si>
  <si>
    <t>TST-Happy Days Deli Cork IE REF #XX8750NL01XAA73L</t>
  </si>
  <si>
    <t>AMAZON MKTPL*FR11E3XL3 AMZN.COM/BILLWA5U6ZS90YB6V</t>
  </si>
  <si>
    <t>W Boston Hotel</t>
  </si>
  <si>
    <t>AplPay SUMUP*JOHN O'CORK</t>
  </si>
  <si>
    <t>BLVD   *FACE FOUNDRIWAYZATA             MN</t>
  </si>
  <si>
    <t>ON S KITCHEN        SAINT PAUL          MN</t>
  </si>
  <si>
    <t>Emp conf</t>
  </si>
  <si>
    <t>AMAZON.COM*BA7CR3TX3 AMZN.COM/BILLWA23BKRQFQYEK</t>
  </si>
  <si>
    <t>AplPay THE WINERY ATWaconia             MN</t>
  </si>
  <si>
    <t>ask brit</t>
  </si>
  <si>
    <t>BT*SHUTTERFLY, INC. REDWOOD CITY        CA</t>
  </si>
  <si>
    <t>NO 21 OFF LICENCE CORK CITY IE REF #XX5733NL01ZFTNKT</t>
  </si>
  <si>
    <t>Withdrawal ACH Mis Amigos Presc TYPE: ID: XX7393 NAME: BCU CO: Mis Amigos Presc Entry Class Code: WEB ACH Trace Number: XX8902</t>
  </si>
  <si>
    <t>GOOGLE *Google One XX-3987 CA REF #XX9216NL3326SJK6</t>
  </si>
  <si>
    <t>AplPay GOGLOW_476   SOUTH EDINA         MN</t>
  </si>
  <si>
    <t>AplPay JJ S POKE    EDINA               MN</t>
  </si>
  <si>
    <t>Withdrawal ACH DISCOVER TYPE: ID: XX0270 CO: DISCOVER NAME: TRUITT JEFF Entry Class Code: WEB ACH Trace Number: XX8469</t>
  </si>
  <si>
    <t>BONFES PLUMBING HEATING AXX6633 MN REF #XX7539NMS66DGER4</t>
  </si>
  <si>
    <t>Withdrawal ACH DISCOVER TYPE: ID: XX0270 CO: DISCOVER NAME: TRUITT JEFF Entry Class Code: WEB ACH Trace Number: XX8671</t>
  </si>
  <si>
    <t>Deposit ACH EMPYREAN SOLUTIO TYPE: XX9000 ID: XX3620 CO: EMPYREAN SOLUTIO Entry Class Code: ACH Trace Number: XX5639</t>
  </si>
  <si>
    <t>RVT*MTKA PUB SCHLS-WMINNETONKA          MN</t>
  </si>
  <si>
    <t>Tesco</t>
  </si>
  <si>
    <t>Withdrawal ACH ILD529 DIR ACH TYPE: CONTRIB ID: XX2584 CO: ILD529 DIR ACH Entry Class Code: ACH Trace Number: XX4983</t>
  </si>
  <si>
    <t>Withdrawal ACH CITY OF CHANHASS TYPE: UTIL BILL ID: XX5331 CO: CITY OF CHANHASS Entry Class Code: ACH Trace Number: XX4521</t>
  </si>
  <si>
    <t>Withdrawal ACH ILD529 DIR ACH TYPE: CONTRIB ID: XX2584 CO: ILD529 DIR ACH Entry Class Code: ACH Trace Number: XX9579</t>
  </si>
  <si>
    <t>Withdrawal ACH ILD529 DIR ACH TYPE: CONTRIB ID: XX2584 CO: ILD529 DIR ACH NAME: 227 AXX3101 Entry Class Code: WEB ACH Trace Number: XX1369</t>
  </si>
  <si>
    <t>Withdrawal ACH MN DIR ACH TYPE: CONTRIB ID: XX7162 CO: MN DIR ACH NAME: XX2601 Entry Class Code: WEB ACH Trace Number: XX2287</t>
  </si>
  <si>
    <t>Withdrawal ACH MN DIR ACH TYPE: CONTRIB ID: XX7162 CO: MN DIR ACH NAME: XX2601 Entry Class Code: WEB ACH Trace Number: XX7631</t>
  </si>
  <si>
    <t>AplPay TST* OLIVES FEXCELSIOR           MN</t>
  </si>
  <si>
    <t>GLOBAL TRAVEL SERVICMinneapolis         MN</t>
  </si>
  <si>
    <t>Withdrawal ACH MN DIR ACH TYPE: CONTRIB ID: XX7162 CO: MN DIR ACH NAME: XX2601 Entry Class Code: WEB ACH Trace Number: XX8241</t>
  </si>
  <si>
    <t>Transfer from venmo to schwab</t>
  </si>
  <si>
    <t>Withdrawal at ATM #XX5400 La Grange Street ATM III 12 La Grange Street EMV Boston MA Card 5404</t>
  </si>
  <si>
    <t>Withdrawal at ATM #XX6428 PAI ISO 101 COUNTY RD I BALSAM LAKE WI Card 5404</t>
  </si>
  <si>
    <t>TIDE DRY CLEANERS EXEXCELSIOR           MN</t>
  </si>
  <si>
    <t>AMAZON MKTPL*YL02E9T93 AMZN.COM/BILLWA2Z7V5VLTC65</t>
  </si>
  <si>
    <t>TOTAL WINE AND MORE CHANHASSEN          MN</t>
  </si>
  <si>
    <t>TST* CARIBOU COFFEE SAINT PAUL          MN</t>
  </si>
  <si>
    <t>Shop 4721/ Centraal L2 Schiphol AirpNL REF #XX3601NP3790KR73</t>
  </si>
  <si>
    <t>Withdrawal at ATM #XX6770 HUNTINGTON BAN 900 W 78TH ST CHANHASSEN MN Card 5404</t>
  </si>
  <si>
    <t>SP UNRL.CO          SAINT PAUL          MN</t>
  </si>
  <si>
    <t>AMAZON.COM*NF7YJ0JH3 AMZN.COM/BILLWA61EQ7ONV359</t>
  </si>
  <si>
    <t>ANN TAYLOR LOFTCOM</t>
  </si>
  <si>
    <t>SAMPLER STORES, INC LENEXA              KS</t>
  </si>
  <si>
    <t>AMAZON MARK* AL0C96MK3 HTTPSAMAZON.CWA REF #XX1134NV0004H85D</t>
  </si>
  <si>
    <t>AMAZON MARK* B70D46AY3 HTTPSAMAZON.CWA REF #XX1134NS001RXFFJ</t>
  </si>
  <si>
    <t>AMAZON MKTPL*Z31XP7AI0 AMZN.COM/BILLWA38EU6246P7U</t>
  </si>
  <si>
    <t>AplPay LUNDS&amp;BYERLYSCHANHASSEN          MN</t>
  </si>
  <si>
    <t>Withdrawal at ATM #XX7803 TOFTE HOLIDA-XX6569 7235 W. HWY 61 TOFTE MN Card 5404</t>
  </si>
  <si>
    <t>Withdrawal ATM Intl Fee VISA INTERNATIONAL SERVICE ASSESSMENT Card 5404</t>
  </si>
  <si>
    <t>Withdrawal ACH Mis Amigos Presc TYPE: ID: XX7393 NAME: BCU CO: Mis Amigos Presc Entry Class Code: WEB ACH Trace Number: XX5872</t>
  </si>
  <si>
    <t>YETI COOLERS, LLC   WILMINGTON          DE</t>
  </si>
  <si>
    <t>Withdrawal CLAYTON HOTEL CORK FRO CORK CITY IE Date 01/31/24 XX 7011</t>
  </si>
  <si>
    <t>Withdrawal GINOS GELATO DUBLIN 2 IE Date 01/24/24 XX 5814</t>
  </si>
  <si>
    <t>AplPay EXCELSIOR CHREXCELSIOR           MN</t>
  </si>
  <si>
    <t>BT*SOLO BRANDS LLC  SOUTHLAKE           TX</t>
  </si>
  <si>
    <t>NIKE INC E-COMMERCE</t>
  </si>
  <si>
    <t>2LEVY@TARGET CENTER MINNEAPOLIS         MI</t>
  </si>
  <si>
    <t>AplPay MADEMOISELLE Saint Paul          MN</t>
  </si>
  <si>
    <t>AplPay NORTH EAST PRCIRCLE PINES        MN</t>
  </si>
  <si>
    <t>AplPay SCHEELS ALL SFARGO               ND</t>
  </si>
  <si>
    <t>AplPay WAR FORGED PRChanhassen          MN</t>
  </si>
  <si>
    <t>AXS.COM*TICKET RESALLOS ANGELES         CA</t>
  </si>
  <si>
    <t>B RAMP 8066 08487002MINNEAPOLIS         MN</t>
  </si>
  <si>
    <t>LEVY@ 2TARGET CENTERMINNEAPOLIS         MN</t>
  </si>
  <si>
    <t>LUTHER FOODS        EXCELSIOR           MN</t>
  </si>
  <si>
    <t>SP DR. DENNIS GROSS NEW YORK            NY</t>
  </si>
  <si>
    <t>Deposit Dividend Split Rate Annual Percentage Yield Earned 2.37% from 11/01/24 through 11/30/24</t>
  </si>
  <si>
    <t>THE BURTON CORPORATIBURLINGTON          VT</t>
  </si>
  <si>
    <t>AplPay AMC SOUTHDALEEDINA               MN</t>
  </si>
  <si>
    <t>TARGET              MINNETONKA          MN</t>
  </si>
  <si>
    <t>underarmour.com     888-727-6687        MD</t>
  </si>
  <si>
    <t>SP HELINOX          OAKLAND             CA</t>
  </si>
  <si>
    <t>KOWALSKI'S EXCELSIOREXCELSIOR           MN</t>
  </si>
  <si>
    <t>KWIK TRIP           CHANHASSEN          MN</t>
  </si>
  <si>
    <t>Withdrawal ACH Mis Amigos Presc TYPE: ID: XX7393 NAME: BCU CO: Mis Amigos Presc Entry Class Code: WEB ACH Trace Number: XX8184</t>
  </si>
  <si>
    <t>LUNA NAILS          Deephaven           MN</t>
  </si>
  <si>
    <t>AMAZON MARK* B70D46AY3 HTTPSAMAZON.CWA REF #XX1134Px0005J0JZ</t>
  </si>
  <si>
    <t>AMAZON MARK* B70D46AY3 HTTPSAMAZON.CWA REF #XX1134Px0005RR2R</t>
  </si>
  <si>
    <t>AMAZON MARK* B70D46AY3 HTTPSAMAZON.CWA REF #XX1134Px0006M17Z</t>
  </si>
  <si>
    <t>AMAZON MARK* B70D46AY3 HTTPSAMAZON.CWA REF #XX1134PXX0057D8T</t>
  </si>
  <si>
    <t>EVERNOTE            REDWOOD CITY        CA</t>
  </si>
  <si>
    <t>TST* PORZANA 0014034MINNEAPOLIS         MN</t>
  </si>
  <si>
    <t>TST* SPOON AND STABLMINNEAPOLIS         MN</t>
  </si>
  <si>
    <t>AplPay FAIRGROUNDS NMinneapolis         MN</t>
  </si>
  <si>
    <t>AplPay JAXEN GREY NOMINNEAPOLIS         MN</t>
  </si>
  <si>
    <t>THE STRAY DOG 739296612-3782855         MN</t>
  </si>
  <si>
    <t>TST* COPPER HEN CAKEMINNEAPOLIS         MN</t>
  </si>
  <si>
    <t>INOV-8 INC.         STE 6-303           MA</t>
  </si>
  <si>
    <t>ONSTREET XX7275 MN REF #XX8930P8PVJXLMVP</t>
  </si>
  <si>
    <t>ONSTREET XX7275 MN REF #XX8930P8PVJXLWYH</t>
  </si>
  <si>
    <t>Withdrawal ACH Mis Amigos Presc TYPE: ID: XX7393 NAME: BCU CO: Mis Amigos Presc Entry Class Code: WEB ACH Trace Number: XX2010</t>
  </si>
  <si>
    <t>TST* NEW JESTER RESTAURANEXCELSIOR MN REF #XX3746P9EJHSARA1</t>
  </si>
  <si>
    <t>Deposit ACH EMPYREAN SOLUTIO TYPE: XX9000 ID: XX3620 CO: EMPYREAN SOLUTIO Entry Class Code: ACH Trace Number: XX1720</t>
  </si>
  <si>
    <t>Withdrawal ACH CPENERGY MNGCO TYPE: MGC ACH EB ID: 1XX1140S CO: CPENERGY MNGCO NAME: CENTERPOINT ENERGY OTP Entry Class Code: WEB ACH Trace Number: XX8433</t>
  </si>
  <si>
    <t>SHOREWOOD LIQUOR 931EXCELSIOR           MN</t>
  </si>
  <si>
    <t>THE WINERY AT SOVEREWaconia             MN</t>
  </si>
  <si>
    <t>AplPay KWIK TRIP    CHANHASSEN          MN</t>
  </si>
  <si>
    <t>AplPay U OF M ARB F CHASKA              MN</t>
  </si>
  <si>
    <t>AplPay LS PRIMP EXCEEXCELSIOR           MN</t>
  </si>
  <si>
    <t>AplPay SP FLEURISH LEXCELSIOR           MN</t>
  </si>
  <si>
    <t>DICK'S SPORTING GOODCORAOPOLIS          PA</t>
  </si>
  <si>
    <t>LOFT 1598 RIDGEDALE MINNETONKA          MN</t>
  </si>
  <si>
    <t>Withdrawal ACH Mis Amigos Presc TYPE: ID: XX7393 NAME: BCU CO: Mis Amigos Presc Entry Class Code: WEB ACH Trace Number: XX0281</t>
  </si>
  <si>
    <t>AplPay STARBUCKS    800-782-7282        WA</t>
  </si>
  <si>
    <t>AplPay HYLAND HILLS PYMOUTH             MN</t>
  </si>
  <si>
    <t>AplPay THE ABUNDANT EXCELSIOR           MN</t>
  </si>
  <si>
    <t>AplPay THE LOBBY COFExcelsior           MN</t>
  </si>
  <si>
    <t>GOOGLE *Google One XX-3987 CA REF #XX9216PJ2Z82EMG6</t>
  </si>
  <si>
    <t>HYLAND HILLS SKI AREPYMOUTH             MN</t>
  </si>
  <si>
    <t>THREE RIVERS PARK DIPLYMOUTH            MN</t>
  </si>
  <si>
    <t>AplPay CHASKA PANDR CHASKA              MN</t>
  </si>
  <si>
    <t>BONFES PLUMBING HEATING AXX6633 MN REF #XX7539PKS66FDQP2</t>
  </si>
  <si>
    <t>CROOKED PINT - CHASK952-3616794         MN</t>
  </si>
  <si>
    <t>AplPay PLAY IT AGAINCHASKA              MN</t>
  </si>
  <si>
    <t>HEARTBREAKERS BAR ANCHASKA              MN</t>
  </si>
  <si>
    <t>LIONS TAP 0688800218EDEN PRAIRIE        MN</t>
  </si>
  <si>
    <t>Withdrawal ACH CITY OF CHANHASS TYPE: UTIL BILL ID: XX5331 CO: CITY OF CHANHASS Entry Class Code: ACH Trace Number: XX9499</t>
  </si>
  <si>
    <t>COV EDINA           EDINA               MN</t>
  </si>
  <si>
    <t>ONSTREET XX7275 MN REF #XX8930PNS1B5AHJ7</t>
  </si>
  <si>
    <t>Withdrawal ACH Mis Amigos Presc TYPE: ID: XX7393 NAME: BCU CO: Mis Amigos Presc Entry Class Code: WEB ACH Trace Number: XX3691</t>
  </si>
  <si>
    <t>K TAILOR 92460099912CHASKA              MN</t>
  </si>
  <si>
    <t>Withdrawal KINGS GALA CORK IE Date XX 5411</t>
  </si>
  <si>
    <t>Withdrawal Lab82 Coffee Cork IE Date XX 5499</t>
  </si>
  <si>
    <t>Withdrawal Retail in Motion LTD Dublin City IE Date XX 5309</t>
  </si>
  <si>
    <t>USPS PO 2616400317 0CHANHASSEN          MN</t>
  </si>
  <si>
    <t>Withdrawal SANO PIZZA CENTRE IE Date XX 5812</t>
  </si>
  <si>
    <t>AMC 9640 ONLINE*9640LEAWOOD             KS</t>
  </si>
  <si>
    <t>AMC EDEN PRAIRIE 18 EDEN PRAIRIE        MN</t>
  </si>
  <si>
    <t>Withdrawal ACH BCU MORTGAGE TYPE: LOAN PAYMT ID: 9DRAFTING CO: BCU MORTGAGE NAME: JEFF TRUITT Entry Class Code: WEB ACH Trace Number: 231271360159282</t>
  </si>
  <si>
    <t>SCHEELS             EDEN PRAIRIE        MN</t>
  </si>
  <si>
    <t>Withdrawal The Shelbourne Bar Cork IE Date XX 5813</t>
  </si>
  <si>
    <t>Withdrawal UNITY SHOP CORK IE Date XX 5499</t>
  </si>
  <si>
    <t>THREE RIVERS WEB    PLYMOUTH            MN</t>
  </si>
  <si>
    <t>TST* OLD CHICAGO - 5EDEN PRAIRIE        MN</t>
  </si>
  <si>
    <t>ANGLERS BAR AND GRILHAYWARD             WI</t>
  </si>
  <si>
    <t>AplPay HOLIDAY STATILINDSTROM           MN</t>
  </si>
  <si>
    <t>AplPay KWIK TRIP #11SPOONER             WI</t>
  </si>
  <si>
    <t>KWIK TRIP #1164 0001SPOONER             WI</t>
  </si>
  <si>
    <t>WOODFORD BAR CORK CORK IE REF #XX0746NN88W8Q1R5</t>
  </si>
  <si>
    <t>WOODFORD BAR CORK CORK IE REF #XX0746NN88WAWE5E</t>
  </si>
  <si>
    <t>DEEP WATER GRILLE 54877-8144102         WI</t>
  </si>
  <si>
    <t>WOODFORD BAR CORK CORK IE REF #XX0746NN88WD5W8J</t>
  </si>
  <si>
    <t>AplPay CONTRAST COFFIronwood            MI</t>
  </si>
  <si>
    <t>Deposit Dividend Split Rate Annual Percentage Yield Earned 2.42% from 12/01/24 through 12/31/24</t>
  </si>
  <si>
    <t>SNOWRIVER BRB F&amp;B 00BESSEMER            MI</t>
  </si>
  <si>
    <t>SNOWRIVER JCS RETAILWAKEFIELD           MI</t>
  </si>
  <si>
    <t>SNOWRIVER MOUNTAIN-IWAKEFIELD           MI</t>
  </si>
  <si>
    <t>SNOWRIVER-JCS F&amp;B 00WAKEFIELD           MI</t>
  </si>
  <si>
    <t>Withdrawal ACH Mis Amigos Presc TYPE: ID: XX7393 NAME: BCU CO: Mis Amigos Presc Entry Class Code: WEB ACH Trace Number: XX2411</t>
  </si>
  <si>
    <t>Draft 2304 Tracer XX0454</t>
  </si>
  <si>
    <t>Bedroom</t>
  </si>
  <si>
    <t>Draft 2311 Tracer XX0410</t>
  </si>
  <si>
    <t>Draft 2308 Tracer XX6479</t>
  </si>
  <si>
    <t>Draft 2306 Tracer XX3475</t>
  </si>
  <si>
    <t>Draft 2307 Tracer XX0903</t>
  </si>
  <si>
    <t>IN *SUPERIOR LAWN ANSAINT BONIFACIUS    MN</t>
  </si>
  <si>
    <t>Lawn</t>
  </si>
  <si>
    <t>Withdrawal ACH AMEX EPAYMENT TYPE: ACH PMT ID: 0005000008 CO: AMEX EPAYMENT NAME: Britney Truitt Entry Class Code: WEB ACH Trace Number: 091000017774940</t>
  </si>
  <si>
    <t>Draft 2305 Tracer XX2855</t>
  </si>
  <si>
    <t>Turks &amp; Caicos</t>
  </si>
  <si>
    <t>Draft 2357 Tracer XX0903</t>
  </si>
  <si>
    <t>Landscape</t>
  </si>
  <si>
    <t>MOTORWERKS BMW 116  BLOOMINGTON         MN</t>
  </si>
  <si>
    <t>GUNDERSON'S JEWELERSWAYZATA             MN</t>
  </si>
  <si>
    <t>RUDY LUTHER TOYOTA 0GOLDEN VALLEY       MN</t>
  </si>
  <si>
    <t>Withdrawal ACH ILD529 DIR ACH TYPE: CONTRIB ID: XX2584 CO: ILD529 DIR ACH Entry Class Code: ACH Trace Number: XX0729</t>
  </si>
  <si>
    <t>YMCA ONLINE         MINNESOTA           MN</t>
  </si>
  <si>
    <t>RENAISSANCE BOSTON WBOSTON              MA</t>
  </si>
  <si>
    <t>Deposit ACH EMPYREAN SOLUTIO TYPE: ACH ID: XX3620 CO: EMPYREAN SOLUTIO Entry Class Code: ACH Trace Number: XX7269</t>
  </si>
  <si>
    <t>ACTIVEWORKS  CAMPS  DALLAS              TX</t>
  </si>
  <si>
    <t>Withdrawal ACH mtkalax.org TYPE: mtkalax.or ID: XX8598 CO: mtkalax.org NAME: JEFF TRUITT Entry Class Code: WEB ACH Trace Number: XX3727</t>
  </si>
  <si>
    <t>Withdrawal ACH mtkalax.org TYPE: mtkalax.or ID: XX5600 CO: mtkalax.org NAME: JEFF TRUITT Entry Class Code: WEB ACH Trace Number: XX9088</t>
  </si>
  <si>
    <t>Withdrawal ACH mtkalax.org TYPE: mtkalax.or ID: XX5600 CO: mtkalax.org NAME: JEFF TRUITT Entry Class Code: WEB ACH Trace Number: XX9089</t>
  </si>
  <si>
    <t>Withdrawal ACH Mis Amigos Presc TYPE: ID: XX7393 NAME: BCU CO: Mis Amigos Presc Entry Class Code: WEB ACH Trace Number: XX7274</t>
  </si>
  <si>
    <t>LA SENDA SPANISH    MINNETONKA          MN</t>
  </si>
  <si>
    <t>Withdrawal ACH Mis Amigos Presc TYPE: ID: XX7393 NAME: BCU CO: Mis Amigos Presc Entry Class Code: WEB ACH Trace Number: XX4038</t>
  </si>
  <si>
    <t>TONKA TD CLUB 8883791035 MN</t>
  </si>
  <si>
    <t>MYSTIQUE CAR RENTAL AND TPROVIDENCIALETC REF #XX0226SK4</t>
  </si>
  <si>
    <t>Withdrawal ACH HICKEYBANDO CO: HICKEYBANDO TYPE: IAT PAYPAL ID: 7XX0487C Entry Class Code: IAT ACH Trace Number: XX9978</t>
  </si>
  <si>
    <t>WALSER TOYOTA       BLOOMINGTON         MN</t>
  </si>
  <si>
    <t>GRACEWAY SMART      PROVIDENCIALES</t>
  </si>
  <si>
    <t>Withdrawal ACH CPENERGY MNGCO TYPE: MGC ACH EB ID: 1XX1140S CO: CPENERGY MNGCO NAME: CENTERPOINT ENERGY OTP Entry Class Code: WEB ACH Trace Number: XX5949</t>
  </si>
  <si>
    <t>ORDWAY CENTER FOR THSAINT PAUL          MN</t>
  </si>
  <si>
    <t>Draft 2310 Tracer XX1368</t>
  </si>
  <si>
    <t>SP WESTONBACKCOUNTRYMINTURN             CO</t>
  </si>
  <si>
    <t>MCW 1602-Minnetonka MINNETONKA          MN</t>
  </si>
  <si>
    <t>Withdrawal ACH MN DIR ACH TYPE: CONTRIB ID: XX7162 CO: MN DIR ACH NAME: XX2601 Entry Class Code: WEB ACH Trace Number: XX0819</t>
  </si>
  <si>
    <t>Withdrawal ACH Mis Amigos Presc TYPE: ID: XX7393 NAME: BCU CO: Mis Amigos Presc Entry Class Code: WEB ACH Trace Number: XX2023</t>
  </si>
  <si>
    <t>Withdrawal ACH CITY OF CHANHASS TYPE: UTIL BILL ID: XX5331 CO: CITY OF CHANHASS Entry Class Code: ACH Trace Number: XX4531</t>
  </si>
  <si>
    <t>Withdrawal ACH Mis Amigos Presc TYPE: ID: XX7393 NAME: BCU CO: Mis Amigos Presc Entry Class Code: WEB ACH Trace Number: XX7829</t>
  </si>
  <si>
    <t>Deposit ACH EMPYREAN SOLUTIO TYPE: ACH ID: XX3620 CO: EMPYREAN SOLUTIO Entry Class Code: ACH Trace Number: XX6550</t>
  </si>
  <si>
    <t>Withdrawal ACH ILD529 DIR ACH TYPE: CONTRIB ID: XX2584 CO: ILD529 DIR ACH Entry Class Code: ACH Trace Number: XX4951</t>
  </si>
  <si>
    <t>Withdrawal ACH Mis Amigos Presc TYPE: ID: XX7393 NAME: BCU CO: Mis Amigos Presc Entry Class Code: WEB ACH Trace Number: XX8097</t>
  </si>
  <si>
    <t>Withdrawal ACH Mis Amigos Presc TYPE: ID: XX7393 NAME: BCU CO: Mis Amigos Presc Entry Class Code: WEB ACH Trace Number: XX4259</t>
  </si>
  <si>
    <t>Withdrawal ACH MN DIR ACH TYPE: CONTRIB ID: XX7162 CO: MN DIR ACH NAME: XX2601 Entry Class Code: WEB ACH Trace Number: XX0901</t>
  </si>
  <si>
    <t>Deposit ACH EMPYREAN SOLUTIO TYPE: ACH ID: XX3620 CO: EMPYREAN SOLUTIO Entry Class Code: ACH Trace Number: XX4602</t>
  </si>
  <si>
    <t>Withdrawal ACH MN DIR ACH TYPE: CONTRIB ID: XX7162 CO: MN DIR ACH NAME: XX2601 Entry Class Code: WEB ACH Trace Number: XX0367</t>
  </si>
  <si>
    <t>Withdrawal ACH Mis Amigos Presc TYPE: ID: XX7393 NAME: BCU CO: Mis Amigos Presc Entry Class Code: WEB ACH Trace Number: XX6734</t>
  </si>
  <si>
    <t>Withdrawal ACH CITY OF CHANHASS TYPE: UTIL BILL ID: XX5331 CO: CITY OF CHANHASS Entry Class Code: ACH Trace Number: XX9812</t>
  </si>
  <si>
    <t>Withdrawal ACH Mis Amigos Presc TYPE: ID: XX7393 NAME: BCU CO: Mis Amigos Presc Entry Class Code: WEB ACH Trace Number: XX1137</t>
  </si>
  <si>
    <t>Withdrawal ACH ILD529 DIR ACH TYPE: CONTRIB ID: XX2584 CO: ILD529 DIR ACH Entry Class Code: ACH Trace Number: XX8391</t>
  </si>
  <si>
    <t>SOUTH LAKE PEDIATRICMINNETONKA          MN</t>
  </si>
  <si>
    <t>Denver</t>
  </si>
  <si>
    <t>Withdrawal ACH Mis Amigos Presc TYPE: ID: XX7393 NAME: BCU CO: Mis Amigos Presc Entry Class Code: WEB ACH Trace Number: XX2560</t>
  </si>
  <si>
    <t>Withdrawal ACH Mis Amigos Presc TYPE: ID: XX7393 NAME: BCU CO: Mis Amigos Presc Entry Class Code: WEB ACH Trace Number: XX6580</t>
  </si>
  <si>
    <t>KC</t>
  </si>
  <si>
    <t>LA QUINTA SPA       LA QUINTA           CA</t>
  </si>
  <si>
    <t>FONTAINEBLEAU RESORTMIAMI BEACH         FL</t>
  </si>
  <si>
    <t>RENEWAL MEMBERSHIP FEE</t>
  </si>
  <si>
    <t>RCO LTD             PROVIDENCIALES      TC</t>
  </si>
  <si>
    <t>Holiday Inn Express HAYWARD             WI</t>
  </si>
  <si>
    <t>775 BRISTOL KANSAS CITY KANSAS CITY MO REF #XX5003P00XVRJ1W</t>
  </si>
  <si>
    <t>JOHNSTONMURPHY.COM 0NASHVILLE           TN</t>
  </si>
  <si>
    <t>REI #15 BLOOMINGTON BLOOMINGTON         MN</t>
  </si>
  <si>
    <t>SP VUORI CLOTHING   ENCINITAS           CA</t>
  </si>
  <si>
    <t>NINE HOLDINGS LTD PROVIDENCIALETC REF #XX9451Zx0220DGX</t>
  </si>
  <si>
    <t>COCONUT JACKS WATERFBONITA SPRING       FL</t>
  </si>
  <si>
    <t>Withdrawal ACH CPENERGY MNGCO TYPE: MGC ACH EB ID: 1XX1140S CO: CPENERGY MNGCO NAME: CENTERPOINT ENERGY OTP Entry Class Code: WEB ACH Trace Number: XX1844</t>
  </si>
  <si>
    <t>ISAACS RESTAURANT   CORK</t>
  </si>
  <si>
    <t>DOUBLETREE BY HILTONAMSTERDAM           NL</t>
  </si>
  <si>
    <t>AMAZON MARKEPLACE NA PA</t>
  </si>
  <si>
    <t>AplPay THE HOME DEPOCHASKA              MN</t>
  </si>
  <si>
    <t>Withdrawal ACH MN DIR ACH TYPE: CONTRIB ID: XX7162 CO: MN DIR ACH NAME: XX2601 Entry Class Code: WEB ACH Trace Number: XX6137</t>
  </si>
  <si>
    <t>AplPay PTI*SAUNA CAMEXCELSIOR           MN</t>
  </si>
  <si>
    <t>THAI UDON CAFE - LOGNAPLES              FL</t>
  </si>
  <si>
    <t>INTUIT *TURBOTAX    800-446-8848        CA</t>
  </si>
  <si>
    <t>AplPay FAHERTY BRANDWILMINGTON          DE</t>
  </si>
  <si>
    <t>TM - TICKETMASTER L</t>
  </si>
  <si>
    <t>TST* NEW JESTER RESTEXCELSIOR           MN</t>
  </si>
  <si>
    <t>POTOMAC RIVER RUNNINASHBURN             VA</t>
  </si>
  <si>
    <t>BLVD   *FACEFOUNDRIEEDINA               MN</t>
  </si>
  <si>
    <t>SP PATARASHOES.COM  LA JOLLA            CA</t>
  </si>
  <si>
    <t>AplPay SP SOTA CLOTHEDEN PRAIRIE        MN</t>
  </si>
  <si>
    <t>AplPay TST* NEW JESTEXCELSIOR           MN</t>
  </si>
  <si>
    <t>AplPay DERVISH BANGSORLANDO             FL</t>
  </si>
  <si>
    <t>MYSTIQUE CAR RENTAL AND TPROVIDENCIALETC REF #XX9451W0021S2GL</t>
  </si>
  <si>
    <t>LAWRENCE ACUPUNCTURE XX1141 KS REF #XX1343M2X7BPNWP</t>
  </si>
  <si>
    <t>BUCK HILL WEBSITE 65BURNSVILLE          MN</t>
  </si>
  <si>
    <t>SP MACADE GOLF      CHICAGO             IL</t>
  </si>
  <si>
    <t>TARGET        020636NAPLES              FL</t>
  </si>
  <si>
    <t>EXCELSIOR FAMILY DENEXCELSIOR           MN</t>
  </si>
  <si>
    <t>TST* RED COW - WAYZAWAYZATA             MN</t>
  </si>
  <si>
    <t>SP BAD BIRDIE LLC   GLENDALE            CA</t>
  </si>
  <si>
    <t>AMAZON.COM          AMZN.COM/BILL       WA</t>
  </si>
  <si>
    <t>Amazon Prime        Amazon.com          WA</t>
  </si>
  <si>
    <t>AMAZON PRIME*Z74TB7J30 AMZN.COM/BILLWA5RKHP6M5WQ0</t>
  </si>
  <si>
    <t>Withdrawal ACH Mis Amigos Presc TYPE: ID: XX7393 NAME: BCU CO: Mis Amigos Presc Entry Class Code: WEB ACH Trace Number: XX3407</t>
  </si>
  <si>
    <t>Withdrawal ACH mtkalax.org TYPE: mtkalax.or ID: XX8598 CO: mtkalax.org NAME: JEFF TRUITT Entry Class Code: WEB ACH Trace Number: XX6198</t>
  </si>
  <si>
    <t>CHARLES TYRWHITT, INNEW YORK            NY</t>
  </si>
  <si>
    <t>Withdrawal ACH CITY OF CHANHASS TYPE: UTIL BILL ID: XX5331 CO: CITY OF CHANHASS Entry Class Code: ACH Trace Number: XX4450</t>
  </si>
  <si>
    <t>Withdrawal ACH Mis Amigos Presc TYPE: ID: XX7393 NAME: BCU CO: Mis Amigos Presc Entry Class Code: WEB ACH Trace Number: XX4902</t>
  </si>
  <si>
    <t>TST* PORZANA MINNEAPOLIS MN REF #XX7462B2XPTGGX6</t>
  </si>
  <si>
    <t>AplPay LS SUNNY DAYSPALM SPRINGS        CA</t>
  </si>
  <si>
    <t>MARKETLANERESTAURANTCORK                IR</t>
  </si>
  <si>
    <t>INEFFABLE BREWING COBURNSVILLE          MN</t>
  </si>
  <si>
    <t>RED LOBSTER 0249 249BLOOMINGTON         MN</t>
  </si>
  <si>
    <t>THE HOME DEPOT      CHASKA              MN</t>
  </si>
  <si>
    <t>AplPay CHAMBERLAIN CUNITED STATES</t>
  </si>
  <si>
    <t>AMAZON MKTPL*9D5O69WM3 AMZN.COM/BILLWA7CWDI5KK8EP</t>
  </si>
  <si>
    <t>AMAZON MKTPL*ZC8F72TS1 AMZN.COM/BILLWA736QHSEA9GW</t>
  </si>
  <si>
    <t>AplPay THE SHERWIN-WCLEVELAND           OH</t>
  </si>
  <si>
    <t>BCS*MINNETONKA COMMUNITY XX-6800 MN REF #XX7462N01GAZX2B</t>
  </si>
  <si>
    <t>AMAZON MKTPL*G51P28IZ3 AMZN.COM/BILLWA6QEFBB8HKWR</t>
  </si>
  <si>
    <t>Luna Nails</t>
  </si>
  <si>
    <t>FSP*CHASKA TOWN COURCHASKA              MN</t>
  </si>
  <si>
    <t>BONOBOS, NEW YORK   NEW YORK</t>
  </si>
  <si>
    <t>TST* THE FREEHOUSE 0MINNEAPOLIS         MN</t>
  </si>
  <si>
    <t>BUDDY BOY FINE BARBE612-4660340         MN</t>
  </si>
  <si>
    <t>ONE FLEW SOUTH 0018 ATLANTA             GA</t>
  </si>
  <si>
    <t>AplPay TDI BROADWAY.212-541-8457        NY</t>
  </si>
  <si>
    <t>TST*ORIGINAL PANCAKE HOU Eden Prairie MN REF #XX2162K347H61TW</t>
  </si>
  <si>
    <t>THOMPSONS THOMPSONS CORK                IR</t>
  </si>
  <si>
    <t>AplPay HOMEGOODS    EDEN PRAIRIE        MN</t>
  </si>
  <si>
    <t>SOCO LLC 0000       HAYWARD             WI</t>
  </si>
  <si>
    <t>AMAZON MKTPL*DM9V371V3 AMZN.COM/BILLWA7EJCDSXK9LT</t>
  </si>
  <si>
    <t>AplPay TST* LAT 14 0GOLDEN VALLEY       MN</t>
  </si>
  <si>
    <t>MODMEDUS_MP*PINNACLEEXCELSIOR           MN</t>
  </si>
  <si>
    <t>TOWN OF LA POINTE XX-6913 WI REF #XX1663M0T51V6TD</t>
  </si>
  <si>
    <t>Deposit ACH EMPYREAN SOLUTIO TYPE: ACH ID: XX3620 CO: EMPYREAN SOLUTIO Entry Class Code: ACH Trace Number: XX3284</t>
  </si>
  <si>
    <t>AplPay LUNA NAILS   Deephaven           MN</t>
  </si>
  <si>
    <t>MAD CAPPER LLC 0000 STILLWATER          MN</t>
  </si>
  <si>
    <t>Withdrawal ACH ILD529 DIR ACH TYPE: CONTRIB ID: XX2584 CO: ILD529 DIR ACH Entry Class Code: ACH Trace Number: XX4051</t>
  </si>
  <si>
    <t>Withdrawal ACH Mis Amigos Presc TYPE: ID: XX7393 NAME: BCU CO: Mis Amigos Presc Entry Class Code: WEB ACH Trace Number: XX3162</t>
  </si>
  <si>
    <t>MADELINE ISLAND FERRY LINLA POINTE WI REF #XX7604HEJK10WGS</t>
  </si>
  <si>
    <t>AMAZON MKTPL*N20VM52W1 AMZN.COM/BILLWA5JRU14DLJP2</t>
  </si>
  <si>
    <t>TST* THE SAINT PAUL HOTELSAINT PAUL MN REF #XX6362XJ3QB18</t>
  </si>
  <si>
    <t>AMAZON MKTPL*ZC7TC8BO0 AMZN.COM/BILLWA3TMWZFLLGWB</t>
  </si>
  <si>
    <t>5 Points Cork IE REF #XX9162F12AVSPR7</t>
  </si>
  <si>
    <t>AplPay TST* 401 - YUEXCELSIOR           MN</t>
  </si>
  <si>
    <t>ZETTLE *SCHIPHOL TAXHOOFDDORP           NL</t>
  </si>
  <si>
    <t>Withdrawal ACH Mis Amigos Presc TYPE: ID: XX7393 NAME: BCU CO: Mis Amigos Presc Entry Class Code: WEB ACH Trace Number: XX8667</t>
  </si>
  <si>
    <t>MSP ALLIED TAXI 0000SAINT PAUL          MN</t>
  </si>
  <si>
    <t>AMAZON MKTPL*E76F22SS3 AMZN.COM/BILLWA3S1VO582KYG</t>
  </si>
  <si>
    <t>TST* FREIGHT HOUSE 3STILLWATER          MN</t>
  </si>
  <si>
    <t>AMAZON MKTPL*EW9R87AM3 AMZN.COM/BILLWA7CQCN0T46ND</t>
  </si>
  <si>
    <t>ABDIKARIM ALI       Excelsior           MN</t>
  </si>
  <si>
    <t>TST* VOLCANO MOUNTAINAPLES              FL</t>
  </si>
  <si>
    <t>AMAZON MKTPL*Z53MV7LF0 AMZN.COM/BILLWA7HATPS2V3SR</t>
  </si>
  <si>
    <t>AMAZON.COM*VQ9RB5C23 AMZN.COM/BILLWA1X0DW5ISTRW</t>
  </si>
  <si>
    <t>AMAZON MKTPL*2R2L90A83 AMZN.COM/BILLWA28H3CC8WN98</t>
  </si>
  <si>
    <t>AplPay KOHL'S       EDEN PRAIRIE        MN</t>
  </si>
  <si>
    <t>AMAZON MKTPL*I64661C63 AMZN.COM/BILLWA2LX8X3K780Z</t>
  </si>
  <si>
    <t>AplPay PO8          FORT MYERS BE       FL</t>
  </si>
  <si>
    <t>MSP AIRPORT TAXI    Excelsior           MN</t>
  </si>
  <si>
    <t>ICE CASTLES LLC 0913OREM                UT</t>
  </si>
  <si>
    <t>TST-HAPPY DAYS DELI CORK                IR</t>
  </si>
  <si>
    <t>AHMED TEXI          Excelsior           MN</t>
  </si>
  <si>
    <t>Withdrawal MT. ASHWABAY SKI AREA BAYFIELD WI Date XX 7999 Card 5404</t>
  </si>
  <si>
    <t>HOLIDAY STATIONS 002HAYWARD             WI</t>
  </si>
  <si>
    <t>AplPay HAZELWOOD FOOEXCELSIOR           MN</t>
  </si>
  <si>
    <t>TST* DUKE'S ON XX-3286 MN REF #XX7462R2XDKSWS7</t>
  </si>
  <si>
    <t>LEVI.COM            SAN FRANCISCO       CA</t>
  </si>
  <si>
    <t>Deposit ACH EMPYREAN SOLUTIO TYPE: ACH ID: XX3620 CO: EMPYREAN SOLUTIO Entry Class Code: ACH Trace Number: XX6429</t>
  </si>
  <si>
    <t>PETITE LEON         MINNEAPOLIS         MN</t>
  </si>
  <si>
    <t>Mardyke Entertainment Comcork IE REF #XX8932G3ZL3S5MD</t>
  </si>
  <si>
    <t>SP HUMA GEL         NASHVILLE           TN</t>
  </si>
  <si>
    <t>Naturally Nourished Cork IE REF #XX4612F2H7RL</t>
  </si>
  <si>
    <t>PLAY IT AGAIN SPORTSCHASKA              MN</t>
  </si>
  <si>
    <t>Withdrawal ACH Mis Amigos Presc TYPE: ID: XX7393 NAME: BCU CO: Mis Amigos Presc Entry Class Code: WEB ACH Trace Number: XX8601</t>
  </si>
  <si>
    <t>IPHO BY SAIGON 0000 ST. PAUL            MN</t>
  </si>
  <si>
    <t>AplPay THE BURROW - 715-7483289         MN</t>
  </si>
  <si>
    <t>TLF*ENCINITAS FLOWER SHOPXX2554 CA REF #XX7051W4YW98RK6</t>
  </si>
  <si>
    <t>AplPay LAKEWINDS NATCHANHASSEN          MN</t>
  </si>
  <si>
    <t>AMAZON MKTPL*CF9RI6FN3 AMZN.COM/BILLWA2AZYV2SPTWC</t>
  </si>
  <si>
    <t>VTS MIAMI TAXI      MIAMI               FL</t>
  </si>
  <si>
    <t>LA COTE 0405        MIAMI BEACH         FL</t>
  </si>
  <si>
    <t>SURFSIDE BAR &amp; GRILLMOUND               MN</t>
  </si>
  <si>
    <t>GILLEY'S CAFE LTD.  PROVIDENCIALES</t>
  </si>
  <si>
    <t>AMAZON MKTPL*5B7QA1HH3 AMZN.COM/BILLWA1BLRC0VK2Z7</t>
  </si>
  <si>
    <t>TST* TERRY BLACK'S BARBECAUSTIN TX REF #XX7463S2XFFJW0W</t>
  </si>
  <si>
    <t>MINUTECLINIC DIAGNOSWOONSOCKET          RI</t>
  </si>
  <si>
    <t>425 PARK AVE 7120 DEMINNEAPOLIS         MN</t>
  </si>
  <si>
    <t>Withdrawal ACH CPENERGY MNGCO TYPE: MGC ACH EB ID: 1XX1140S CO: CPENERGY MNGCO NAME: CENTERPOINT ENERGY OTP Entry Class Code: WEB ACH Trace Number: XX0603</t>
  </si>
  <si>
    <t>TST*OASIS AT VALENCIA BONITA SPRINGFLAPPLE PAY ENDING IN 762900195484024067353398AA</t>
  </si>
  <si>
    <t>Puttshack Usa Inc</t>
  </si>
  <si>
    <t>STONE ARCH 00J9     SAINT PAUL          MN</t>
  </si>
  <si>
    <t>SP SOTA CLOTHING    EDEN PRAIRIE        MN</t>
  </si>
  <si>
    <t>AplPay SOUTH LAKE PEMINNETONKA          MN</t>
  </si>
  <si>
    <t>Prickly Pear</t>
  </si>
  <si>
    <t>TST* BACK CHANNEL BREWINGSPRING PARK MN REF #XX7463MEKAZ8G3R</t>
  </si>
  <si>
    <t>Capi Plaza AV Schiphol ANL REF #XX5790P3QTQN5M1</t>
  </si>
  <si>
    <t>TAINO PROVIDENCIALETC REF #XX0224VSA</t>
  </si>
  <si>
    <t>ZENOTIUSA_POS*KIDS HCHANHASSEN          MN</t>
  </si>
  <si>
    <t>AMAZON MKTPL*B25LH2033 AMZN.COM/BILLWA3J3N29JF836</t>
  </si>
  <si>
    <t>AMAZON MKTPL*ZG3J89TB1 AMZN.COM/BILLWA1Q9P25DZMSA</t>
  </si>
  <si>
    <t>THE GARDEN PATCH EXCELSIOR MN REF #XX4001HJZX81</t>
  </si>
  <si>
    <t>AplPay DOMINO'S 1931EXCELSIOR           MN</t>
  </si>
  <si>
    <t>AplPay TST* OAK 19 FCHASKA              MN</t>
  </si>
  <si>
    <t>Withdrawal ACH MN DIR ACH TYPE: CONTRIB ID: XX7162 CO: MN DIR ACH NAME: XX2601 Entry Class Code: WEB ACH Trace Number: XX0413</t>
  </si>
  <si>
    <t>Schram Haus Brewery</t>
  </si>
  <si>
    <t>CREEDE SNOWSHOE LODGCREEDE              CO</t>
  </si>
  <si>
    <t>AplPay COMPANY STOREWAYZATA             MN</t>
  </si>
  <si>
    <t>AMAZON MKTPL*JG7KE1NA3 AMZN.COM/BILLWA4VZHIQNBU48</t>
  </si>
  <si>
    <t>Withdrawal ACH CITY OF CHANHASS TYPE: UTIL BILL ID: XX5331 CO: CITY OF CHANHASS Entry Class Code: ACH Trace Number: XX9617</t>
  </si>
  <si>
    <t>AplPay TST* ESS-A-BANEW YORK            NY</t>
  </si>
  <si>
    <t>AplPay SPEEDWAY     1-800-643-1949      OH</t>
  </si>
  <si>
    <t>SHAKOPEE BOWL SHAKOPEE MN REF #XX3100MS66LGF2P</t>
  </si>
  <si>
    <t>AplPay HOLIDAY STATIPLYMOUTH            MN</t>
  </si>
  <si>
    <t>TST* LAGOS TACOS EXCEXCELSIOR           MN</t>
  </si>
  <si>
    <t>FIVE GUYS MN 1937 QSEDEN PRAIRIE        MN</t>
  </si>
  <si>
    <t>AplPay THE HOME DEPOEDEN PRAIRIE        MN</t>
  </si>
  <si>
    <t>HH MARKETPLACE MSP ST. PAUL MN REF #XX6312X8QFSM6</t>
  </si>
  <si>
    <t>AMAZON MKTPL*Z74E95712 AMZN.COM/BILLWA1KGJ4S01QC9</t>
  </si>
  <si>
    <t>NO 21 OFF LICENCE CORK CITY IE REF #XX7332D021QTY1W</t>
  </si>
  <si>
    <t>AplPay LEEANN CHIN 0CHANHASSEN          MN</t>
  </si>
  <si>
    <t>PY *SLC-A PF CHANG'SSALT LAKE CIT       UT</t>
  </si>
  <si>
    <t>AMAZON MKTPL*MN4203DC3 AMZN.COM/BILLWA2YHRVQAJAET</t>
  </si>
  <si>
    <t>AplPay TST* MY BURGEMINNETONKA          MN</t>
  </si>
  <si>
    <t>AplPay AMC 9640 ONLILEAWOOD             KS</t>
  </si>
  <si>
    <t>5 Points Cork IE REF #XX4512F03ZFH</t>
  </si>
  <si>
    <t>NATIONAL CAR R213023REDMOND             OR</t>
  </si>
  <si>
    <t>VERIZON VICTRA MN STST LOUIS PARK       MN</t>
  </si>
  <si>
    <t>CANNIBALE LANGE NIEZAMSTERDAM           NL</t>
  </si>
  <si>
    <t>DA CONCH SHACK PROVIDENCIALETC REF #XX0222PJ5</t>
  </si>
  <si>
    <t>SP VIVELAFETE       MIAMI               FL</t>
  </si>
  <si>
    <t>AplPay CUB FOODS 163CUB.COM             MN</t>
  </si>
  <si>
    <t>AplPay GRAMPA TONYS LA POINTE           WI</t>
  </si>
  <si>
    <t>GOLF ZONE 5455000013877-8144102         MN</t>
  </si>
  <si>
    <t>5 Points Cork IE REF #XX9162D12AR9ADF</t>
  </si>
  <si>
    <t>DNCSS ALLIANZ FIELD ST. PAUL            MN</t>
  </si>
  <si>
    <t>MACKENTHUN S MEATS &amp;SAINT BONIFAC       MN</t>
  </si>
  <si>
    <t>US LACROSSE, INC    BALTIMORE           MA</t>
  </si>
  <si>
    <t>HMSHOST SCHIPHOL AIRSCHIPHOL            NL</t>
  </si>
  <si>
    <t>SQ *THEATRE REFRESHMENT CNew York NY REF #XX2535BR640B</t>
  </si>
  <si>
    <t>GOLDSMITH TCI       PROVIDEN</t>
  </si>
  <si>
    <t>SQ *ORDWAY CENTER FOR THESaint Paul MN REF #XX1539DN5</t>
  </si>
  <si>
    <t>TST* MIYAGI RAMEN 00BEND                OR</t>
  </si>
  <si>
    <t>AplPay HOMEDEPOT.COM800-430-3376        GA</t>
  </si>
  <si>
    <t>AMAZON MARK* ZG3V552U0 HTTPSAMAZON.CWA REF #XX1340R0000EFHA</t>
  </si>
  <si>
    <t>SUBWAY 71167        ST. BONIFACIUS      MN</t>
  </si>
  <si>
    <t>TST* GIBSON STREET BAR AUSTIN TX REF #XX7463S5SJ31V11</t>
  </si>
  <si>
    <t>AplPay JIMMY JOHNS -MINNETONKA          MN</t>
  </si>
  <si>
    <t>General Store</t>
  </si>
  <si>
    <t>AplPay TST* BUCK '54BURNSVILLE          MN</t>
  </si>
  <si>
    <t>SP NORTHSTAR-APPARELHOPKINS             MN</t>
  </si>
  <si>
    <t>Withdrawal ACH Mis Amigos Presc TYPE: ID: XX7393 NAME: BCU CO: Mis Amigos Presc Entry Class Code: WEB ACH Trace Number: XX2369</t>
  </si>
  <si>
    <t>AplPay WEASLEYS QUALORLANDO             FL</t>
  </si>
  <si>
    <t>READY TO GO         PROVIDENCIALES      TC</t>
  </si>
  <si>
    <t>Withdrawal ACH Mis Amigos Presc TYPE: ID: XX7393 NAME: BCU CO: Mis Amigos Presc Entry Class Code: WEB ACH Trace Number: XX1200</t>
  </si>
  <si>
    <t>AplPay ZENOTIUSA_POSCHANHASSEN          MN</t>
  </si>
  <si>
    <t>AplPay HOLIDAY STATIHAYWARD             WI</t>
  </si>
  <si>
    <t>AplPay FIVE GUYS MN EDEN PRAIRIE        MN</t>
  </si>
  <si>
    <t>SQ *BEER BOAT NAPLES FL REF #XX2162V31SS2K4J</t>
  </si>
  <si>
    <t>TEQUILA JACKS       CORK CITY</t>
  </si>
  <si>
    <t>AplPay JIMMY JOHNS -EDINA               MN</t>
  </si>
  <si>
    <t>SUMUP*PV CAB        MIDLETON</t>
  </si>
  <si>
    <t>EL SANCHO           Bend                OR</t>
  </si>
  <si>
    <t>AplPay AMC EDEN PRAIEDEN PRAIRIE        MN</t>
  </si>
  <si>
    <t>VTS YELLOW CAB UTAH SALT LAKE CITY      UT</t>
  </si>
  <si>
    <t>MALL OF AMERICA     BLOOMINGTON         MN</t>
  </si>
  <si>
    <t>JJ-PCG MSP VENTURE LSAINT PAUL          MN</t>
  </si>
  <si>
    <t>BRITO'S BURRITO     EXCELSIOR           MN</t>
  </si>
  <si>
    <t>AMAZON MKTPL*3C69L91D3 AMZN.COM/BILLWA2YV7KGWKK3J</t>
  </si>
  <si>
    <t>AMAZON MKTPL*0T10U1NA3 AMZN.COM/BILLWAR88XEXNS2HB</t>
  </si>
  <si>
    <t>SATELLITE CABS      CORK</t>
  </si>
  <si>
    <t>SUMUP*TOMMY         CORK</t>
  </si>
  <si>
    <t>VAN GOGH MUSEUM     AMSTERDAM           NL</t>
  </si>
  <si>
    <t>TST* TONY C'S SPORTSBOSTON              MA</t>
  </si>
  <si>
    <t>STARBUCKS 800-782-7282   800-782-7282 WA REF #24692164L30A9AKAF</t>
  </si>
  <si>
    <t>AMAZON MKTPL*2386K55T3 AMZN.COM/BILLWA1RWH8S2T3QW</t>
  </si>
  <si>
    <t>MARVEL CHAR DINING 0ORLANDO             FL</t>
  </si>
  <si>
    <t>PALLINO PASTARIA    SEATTLE             WA</t>
  </si>
  <si>
    <t>7-ELEVEN 21045 00072SARASOTA            FL</t>
  </si>
  <si>
    <t>CHICK-FIL-A #03840 0CHANHASSEN          MN</t>
  </si>
  <si>
    <t>TARGET              CHANHASSEN          MN</t>
  </si>
  <si>
    <t>Roulettes Pizza</t>
  </si>
  <si>
    <t>AplPay TIDE DRY CLEAEXCELSIOR           MN</t>
  </si>
  <si>
    <t>BEACHES BAR  AND GRIMIAMI BEACH         FL</t>
  </si>
  <si>
    <t>SUMUP*FREE NOW      CORK</t>
  </si>
  <si>
    <t>BT*GIRL SCOUTS OF THNEW YORK            NY</t>
  </si>
  <si>
    <t>BOSTON TAXI VTS BOSTLONG ISLAND CITY    NY</t>
  </si>
  <si>
    <t>Withdrawal ACH ILD529 DIR ACH TYPE: CONTRIB ID: XX2584 CO: ILD529 DIR ACH Entry Class Code: ACH Trace Number: XX9651</t>
  </si>
  <si>
    <t>REVERIE CAFE + BAR  Minneapolis         MN</t>
  </si>
  <si>
    <t>TST* FULL TILT TAVERBLOOMINGTON         MN</t>
  </si>
  <si>
    <t>SON OF A BUN VICTORIAN QUAIE REF #XX3612D00PH3PE8</t>
  </si>
  <si>
    <t>TAZA 0000           CHANHASSEN          MN</t>
  </si>
  <si>
    <t>CRISP &amp; GREEN - CHANCHANHASSEN          MN</t>
  </si>
  <si>
    <t>UNION 76 09535295   BEND                OR</t>
  </si>
  <si>
    <t>MT BACHELOR         Bend                OR</t>
  </si>
  <si>
    <t>SP CASCADIA COFFEE  PORTLAND            OR</t>
  </si>
  <si>
    <t>MSP POD1 CUSTOM BURGSAINT PAUL          MN</t>
  </si>
  <si>
    <t>AplPay SHOREWOOD TRUEXCELSIOR           MN</t>
  </si>
  <si>
    <t>TST* OG ZAZA - ST. PST. PAUL            MN</t>
  </si>
  <si>
    <t>BEACH HUT SOUVENIRS BLUE HILLS TC REF #XX9451Z0021ZFXZ</t>
  </si>
  <si>
    <t>SUMUP*VALERI GOLUBCHCORK</t>
  </si>
  <si>
    <t>AMAZON.COM*Z70X48XI0 AMZN.COM/BILLWA7FAOHFXN4J1</t>
  </si>
  <si>
    <t>IPX*NEB DOCTORS OF MEAGAN               MN</t>
  </si>
  <si>
    <t>KAI'S SUSHI AND GRILL MINNETONKA MN REF #XX3692E0GRPRLT4</t>
  </si>
  <si>
    <t>VICTORIA BURROW ARCAVICTORIA            MN</t>
  </si>
  <si>
    <t>AplPay CS *STARBUCKS877-850-1977        ME</t>
  </si>
  <si>
    <t>TST* BACK CHANNEL BREWIN SPRING PARK MN</t>
  </si>
  <si>
    <t>TST-NUA ASADOR - MARCORK                IR</t>
  </si>
  <si>
    <t>AplPay NOODLES &amp; CO CHANHASSEN          MN</t>
  </si>
  <si>
    <t>SPAR MCCURTAIN STREET CORK IE REF #XX3612D0218KT9J</t>
  </si>
  <si>
    <t>AMAZON MKTPL*TQ5NC1UH3 AMZN.COM/BILLWA4BUER73YOXN</t>
  </si>
  <si>
    <t>SUMUP*ABIODUN NURENICORK</t>
  </si>
  <si>
    <t>CURRITO BURRITO 6500BOSTON              MA</t>
  </si>
  <si>
    <t>MERVCO LTD PROVIDENCIALETC REF #XX6423ESB1LTJ3</t>
  </si>
  <si>
    <t>TST* ORIGINAL HOCKEYFRIDLEY             MN</t>
  </si>
  <si>
    <t>MCDONALD'S F5629 000EXCELSIOR           MN</t>
  </si>
  <si>
    <t>TST-BURRITOS AND BLUCORK                IR</t>
  </si>
  <si>
    <t>CUB FOODS #1636 SHOREWOOD MNAPPLE PAY ENDING IN 7968</t>
  </si>
  <si>
    <t>TST-SULTAN FALAFEL -CORK                IR</t>
  </si>
  <si>
    <t>AplPay CITY OF PLYMOPLYMOUTH            MN</t>
  </si>
  <si>
    <t>BUREAU OF PARKS MADISON WI REF #XX7054J3SDW9E3H</t>
  </si>
  <si>
    <t>19 EAST EMP STORE HERSHEY PA REF #XX2163Z3113S25T</t>
  </si>
  <si>
    <t>AplPay BP#2034841CAPTURTLE LAKE         WI</t>
  </si>
  <si>
    <t>HUDSONNEWS ST1110 11SEATAC              WA</t>
  </si>
  <si>
    <t>AMAZON MKTPL*CC50P6NU3 AMZN.COM/BILLWA765EMM2S5O4</t>
  </si>
  <si>
    <t>THE LOBBY COFFEE &amp; LExcelsior           MN</t>
  </si>
  <si>
    <t>Angry Minnow</t>
  </si>
  <si>
    <t>AplPay MCDONALD'S F5EXCELSIOR           MN</t>
  </si>
  <si>
    <t>HH MARKETPLACE MSP ST. PAUL MN REF #XX2162T2ZZ0JP5D</t>
  </si>
  <si>
    <t>AMAZON MKTPL*8X7781BR3 AMZN.COM/BILLWA2NEQWBEFVZW</t>
  </si>
  <si>
    <t>814100 CDG2 E K JETEROISSY CDG CEDEX    FR</t>
  </si>
  <si>
    <t>UNITY SHOP CORK IE REF #XX4602AZST9N</t>
  </si>
  <si>
    <t>ARAMARK</t>
  </si>
  <si>
    <t>AplPay JJ-PCG MSP VESAINT PAUL          MN</t>
  </si>
  <si>
    <t>THE SPARROW BAKERY NBend                OR</t>
  </si>
  <si>
    <t>AplPay ANGRY MINNOW Hayward             WI</t>
  </si>
  <si>
    <t>WH SMITH CORK AIRPORKINSALE ROAD, CORK  IR</t>
  </si>
  <si>
    <t>Mister Car Wash #606ST LOUIS PARK       MN</t>
  </si>
  <si>
    <t>MT. BACHELOR        Bend                OR</t>
  </si>
  <si>
    <t>AplPay DEER RUN GC  VICTORIA            MN</t>
  </si>
  <si>
    <t>RENTALTOLL239573584 877-860-1283        MO</t>
  </si>
  <si>
    <t>THE BURROW - VICTORI715-7483289         MN</t>
  </si>
  <si>
    <t>BONFES PLUMBING HEATING AXX6633 MN REF #XX5390LS66HWKMG</t>
  </si>
  <si>
    <t>BONFES PLUMBING HEATING AXX6633 MN REF #XX5391KS66L5S2P</t>
  </si>
  <si>
    <t>BONFES PLUMBING HEATING AXX6633 MN REF #XX5392FS66MA57B</t>
  </si>
  <si>
    <t>BONFES PLUMBING HEATING AXX6633 MN REF #XX5393ES66E21Q9</t>
  </si>
  <si>
    <t>BONFES PLUMBING HEATING AXX6633 MN REF #XX5394QS66G52WD</t>
  </si>
  <si>
    <t>JD CORK CORK IE REF #XX3662QG0YA34P0</t>
  </si>
  <si>
    <t>AplPay Mister Car WaST LOUIS PARK       MN</t>
  </si>
  <si>
    <t>MODMEDUS_MP*PINNACLEPHOENIX             AZ</t>
  </si>
  <si>
    <t>MCDONALD'S F35706 00CHASKA              MN</t>
  </si>
  <si>
    <t>MSP POD1 FOODHALL 00PHILADELPHIA        PA</t>
  </si>
  <si>
    <t>MSP POD4 CIBO EXPRESPHILADELPHIA        PA</t>
  </si>
  <si>
    <t>AplPay DELTA AIRLINEATLANTA             GA</t>
  </si>
  <si>
    <t>CAXAMBAS MARINA     Marco Island        FL</t>
  </si>
  <si>
    <t>DAIRY QUEEN #45864 0MINNETONKA          MN</t>
  </si>
  <si>
    <t>WAYZATA CAFE WAYZATA MN REF #XX3002P53SWDNK4</t>
  </si>
  <si>
    <t>AMAZON MKTPL*GS2KJ0GK3 AMZN.COM/BILLWA57ZXM02SXMT</t>
  </si>
  <si>
    <t>BUTTER BER CARXX1801 ORLANDO FL REF #XX1062Y583AJ2A4</t>
  </si>
  <si>
    <t>City of Austin Parking</t>
  </si>
  <si>
    <t>AplPay MC           Saint Paul          MN</t>
  </si>
  <si>
    <t>MC CONCESSIONS      Princeton           MN</t>
  </si>
  <si>
    <t>AMAZON MKTPL*HK3VN5BB3 AMZN.COM/BILLWAIUCK8BMH5JC</t>
  </si>
  <si>
    <t>AMAZON MKTPL*NI2ZB0KN2 AMZN.COM/BILLWA2BJNHRZVA6N</t>
  </si>
  <si>
    <t>GOFANTIX* MINNETONKAALPHARETTA          GA</t>
  </si>
  <si>
    <t>Munchies</t>
  </si>
  <si>
    <t>AplPay TST* CARIBOU ST. LOUIS PAR       MN</t>
  </si>
  <si>
    <t>AplPay REVERIE CAFE Minneapolis         MN</t>
  </si>
  <si>
    <t>AplPay GENERAL STOREMINNETONKA          MN</t>
  </si>
  <si>
    <t>SON OF A BUN VICTORIAN QUAIE REF #XX3612G00SBWD1M</t>
  </si>
  <si>
    <t>MAXIMUM VELOCITY    SAINT GEORGE        UT</t>
  </si>
  <si>
    <t>AplPay MCDONALD'S F6CHANHASSEN          MN</t>
  </si>
  <si>
    <t>Retail in Motion LTD Dublin City IE REF #XX5260SBBX41SY4</t>
  </si>
  <si>
    <t>AMAZON KIDS+*9E3JD3D888-802-3080        WA</t>
  </si>
  <si>
    <t>AMAZON MUSIC*NB7C187888-802-3080        WA</t>
  </si>
  <si>
    <t>AMAZON KIDS+*NI8P52R888-802-3080        WA</t>
  </si>
  <si>
    <t>AMAZON MUSIC*ZC87G4R888-802-3080        WA</t>
  </si>
  <si>
    <t>AMAZON KIDS+*IW4X71B888-802-3080        WA</t>
  </si>
  <si>
    <t>AMAZON MUSIC*QL1O736888-802-3080        WA</t>
  </si>
  <si>
    <t>AMAZON KIDS+*2L6015E888-802-3080        WA</t>
  </si>
  <si>
    <t>AMAZON MUSIC*8O0RE0N888-802-3080        WA</t>
  </si>
  <si>
    <t>AplPay WAYZATA COFFEWAYZATA             MN</t>
  </si>
  <si>
    <t>AplPay MINIONS POPA ORLANDO             FL</t>
  </si>
  <si>
    <t>PARADIES-ATLANTA, LLATLANTA             GA</t>
  </si>
  <si>
    <t>DUNKIN #342231 Q35 3BOSTON              MA</t>
  </si>
  <si>
    <t>GASTRONOMIE /CONFIS.TREMBLAY  EN  FRANCEFR</t>
  </si>
  <si>
    <t>RACETRAC23700023796974 LAKELAND FLAPPLE PAY ENDING IN 7629</t>
  </si>
  <si>
    <t>WH Smith Cork Airport Cork IE REF #XX9800R7HK3GDVK</t>
  </si>
  <si>
    <t>Naturally Nourished Cork IE REF #XX9162D12APVXMF</t>
  </si>
  <si>
    <t>AplPay WALGREENS    EXCELSIOR           MN</t>
  </si>
  <si>
    <t>D J*WSJ XX-7625 NJ REF #XX6322XVTQMTT</t>
  </si>
  <si>
    <t>D J*WSJ XX-7625 NJ REF #XX2163Y2ZZTSD15</t>
  </si>
  <si>
    <t>PRIME VIDEO *D92NM8R888-802-3080        WA</t>
  </si>
  <si>
    <t>PRIME VIDEO *5P9YG1H888-802-3080        WA</t>
  </si>
  <si>
    <t>ATLMARKET ST2681 268ATLANTA             GA</t>
  </si>
  <si>
    <t>E&amp;a Mart</t>
  </si>
  <si>
    <t>PRIME VIDEO *NW4S811888-802-3080        WA</t>
  </si>
  <si>
    <t>PRIME VIDEO *U36C430888-802-3080        WA</t>
  </si>
  <si>
    <t>PRIME VIDEO *4C23X9VF3 888-802-3080 WACB1WU50UA74</t>
  </si>
  <si>
    <t>TST-CANDY ROCK - MARCORK                IR</t>
  </si>
  <si>
    <t>AplPay USPS PO 26306EXCELSIOR           MN</t>
  </si>
  <si>
    <t>PROTEIN BAR &amp; KITCHESALT LAKE CIT       UT</t>
  </si>
  <si>
    <t>Salty Sams Marina</t>
  </si>
  <si>
    <t>TST-ALCHEMY - MARINACORK                IR</t>
  </si>
  <si>
    <t>AUDIBLE*OJ2SY5J03 AMZN.COM/BILLNJZ3QK4TO0AJ5</t>
  </si>
  <si>
    <t>RACETRAC2379  023796LAKELAND            FL</t>
  </si>
  <si>
    <t>ONSTREET XX7275 MN REF #XX3038FKPXPSLP</t>
  </si>
  <si>
    <t>AplPay CARGILL STOREWAYZATA             MN</t>
  </si>
  <si>
    <t>AMZN MKTP US*ZC1NR6S70 AMZN.COM/BILLWAVJHDOOJIDOP</t>
  </si>
  <si>
    <t>GOOGLE *Google One XX-3987 CA REF #XX2160Kx5403PK0</t>
  </si>
  <si>
    <t>GOOGLE *Google One XX-3987 CA REF #XX2161J2YBE3WPY</t>
  </si>
  <si>
    <t>GOOGLE *Google One g.co/helppay#CA REF #XX2162E305DM57X</t>
  </si>
  <si>
    <t>ONSTREET XX7275 MN REF #XX9303XKx5254RE</t>
  </si>
  <si>
    <t>ONSTREET 8090 084870MINNEAPOLIS         MN</t>
  </si>
  <si>
    <t>AplPay KOHL'S #0228 ST. LOUIS PAR       MN</t>
  </si>
  <si>
    <t>Withdrawal ACH Mis Amigos Presc TYPE: ID: XX7393 NAME: BCU CO: Mis Amigos Presc Entry Class Code: WEB ACH Trace Number: XX6932</t>
  </si>
  <si>
    <t>Deposit Dividend Split Rate Annual Percentage Yield Earned 2.46% from 04/01/25 through 04/30/25</t>
  </si>
  <si>
    <t>Deposit Dividend Split Rate Annual Percentage Yield Earned 2.11% from 02/01/25 through 02/28/25</t>
  </si>
  <si>
    <t>Deposit Dividend Split Rate Annual Percentage Yield Earned 1.85% from 03/01/25 through 03/31/25</t>
  </si>
  <si>
    <t>Deposit Dividend Split Rate Annual Percentage Yield Earned 1.46% from 01/01/25 through 01/31/25</t>
  </si>
  <si>
    <t>TOWN OF LA POINTE LA POINTE WI REF #XX1663N0T52R4KN</t>
  </si>
  <si>
    <t>Minnesota Department Of Revenue Deposit</t>
  </si>
  <si>
    <t>SCHOOL SPECIALTY LLC XX-5823 WI REF #XX4141LTFLA7BQ</t>
  </si>
  <si>
    <t>Withdrawal ACH Mis Amigos Presc TYPE: ID: XX7393 NAME: BCU CO: Mis Amigos Presc Entry Class Code: WEB ACH Trace Number: XX4858</t>
  </si>
  <si>
    <t>Rewards from Baxter Credit Union</t>
  </si>
  <si>
    <t>AUTOPAY PAYMENT - THANK YOU</t>
  </si>
  <si>
    <t>Deposit ACH EMPYREAN SOLUTIO TYPE: ACH ID: XX3620 CO: EMPYREAN SOLUTIO Entry Class Code: ACH Trace Number: XX7945</t>
  </si>
  <si>
    <t>Withdrawal ACH MN DIR ACH TYPE: CONTRIB ID: XX7162 CO: MN DIR ACH NAME: XX2601 Entry Class Code: WEB ACH Trace Number: XX3579</t>
  </si>
  <si>
    <t>Withdrawal ACH CITY OF CHANHASS TYPE: UTIL BILL ID: XX5331 CO: CITY OF CHANHASS Entry Class Code: ACH Trace Number: XX4821</t>
  </si>
  <si>
    <t>Withdrawal ACH VENMO TYPE: PAYMENT ID: 326XXXXXXX CO: VENMO NAME: BRITNEY TRUITT Entry Class Code: WEB ACH Trace Number: 091000011416422</t>
  </si>
  <si>
    <t>Charles Schwab</t>
  </si>
  <si>
    <t>Salary/Regular Income from IRS</t>
  </si>
  <si>
    <t>Withdrawal by Wire 1dddxx73-4e7e-4cd8-aXX8887d0</t>
  </si>
  <si>
    <t>Withdrawal by Wire f4cdaa03-6ax3-42ac-94b4-ffx0999b8343</t>
  </si>
  <si>
    <t>Draft 2284 Tracer XXXXX0855</t>
  </si>
  <si>
    <t>Draft 2312 Tracer XXXXX1412</t>
  </si>
  <si>
    <t>Draft 2282 Tracer XXXXX0878</t>
  </si>
  <si>
    <t>HOTEL ON BOOKING.COMAMSTERDAM           NL</t>
  </si>
  <si>
    <t>HERTZ ITALY         ROMA                IT</t>
  </si>
  <si>
    <t>RAILWAY STREET IE000CORK                IR</t>
  </si>
  <si>
    <t>Superior Garage Door</t>
  </si>
  <si>
    <t>MED*RIDGEVIEW WACONIWACONIA             MN</t>
  </si>
  <si>
    <t>ANTHROPOLOGIE  00427MINNEAPOLIS         MN</t>
  </si>
  <si>
    <t>Withdrawal ACH ILD529 DIR ACH TYPE: CONTRIB ID: XX2584 CO: ILD529 DIR ACH Entry Class Code: ACH Trace Number: XX6357</t>
  </si>
  <si>
    <t>Withdrawal ACH MN DIR ACH TYPE: CONTRIB ID: XX7162 CO: MN DIR ACH NAME: XX2601 Entry Class Code: WEB ACH Trace Number: XX7415</t>
  </si>
  <si>
    <t>Withdrawal ACH ILD529 DIR ACH TYPE: CONTRIB ID: XX2584 CO: ILD529 DIR ACH Entry Class Code: ACH Trace Number: XX3781</t>
  </si>
  <si>
    <t>Withdrawal ACH MN DIR ACH TYPE: CONTRIB ID: XX7162 CO: MN DIR ACH NAME: XX2601 Entry Class Code: WEB ACH Trace Number: XX1451</t>
  </si>
  <si>
    <t>Withdrawal ACH ILD529 DIR ACH TYPE: CONTRIB ID: XX2584 CO: ILD529 DIR ACH Entry Class Code: ACH Trace Number: XX2927</t>
  </si>
  <si>
    <t>Withdrawal ACH MN DIR ACH TYPE: CONTRIB ID: XX7162 CO: MN DIR ACH NAME: XX2601 Entry Class Code: WEB ACH Trace Number: XX3073</t>
  </si>
  <si>
    <t>Withdrawal ACH ILD529 DIR ACH TYPE: CONTRIB ID: XX2584 CO: ILD529 DIR ACH Entry Class Code: ACH Trace Number: XX8221</t>
  </si>
  <si>
    <t>Withdrawal ACH MN DIR ACH TYPE: CONTRIB ID: XX7162 CO: MN DIR ACH NAME: XX2601 Entry Class Code: WEB ACH Trace Number: XX7529</t>
  </si>
  <si>
    <t>Withdrawal ACH ILD529 DIR ACH TYPE: CONTRIB ID: XX2584 CO: ILD529 DIR ACH Entry Class Code: ACH Trace Number: XX0315</t>
  </si>
  <si>
    <t>Withdrawal ACH MN DIR ACH TYPE: CONTRIB ID: XX7162 CO: MN DIR ACH NAME: XX2601 Entry Class Code: WEB ACH Trace Number: XX8277</t>
  </si>
  <si>
    <t>Withdrawal ACH ILD529 DIR ACH TYPE: CONTRIB ID: XX2584 CO: ILD529 DIR ACH Entry Class Code: ACH Trace Number: XX8859</t>
  </si>
  <si>
    <t>Draft 2131 Tracer XXXXX0176</t>
  </si>
  <si>
    <t>RUDY LUTHER TOYOTA MGOLDEN VALLEY       MN</t>
  </si>
  <si>
    <t>AplPay AIRBNB * HM4BSAN FRANCISCO       CA</t>
  </si>
  <si>
    <t>NATIONAL CAR R189900DENVER              CO</t>
  </si>
  <si>
    <t>SPOT 4 GUNS 0847    FEASTERVILLE-       PA</t>
  </si>
  <si>
    <t>COQBULL CORK        CORK                IR</t>
  </si>
  <si>
    <t>SMOOKITALIA BV      ROTTERDAM           NL</t>
  </si>
  <si>
    <t>MIDWEST AQUA CARE   JORDAN              MN</t>
  </si>
  <si>
    <t>TST* PORZANA 3006404MINNEAPOLIS         MN</t>
  </si>
  <si>
    <t>HOMEDEPOT.COM       800-430-3376        GA</t>
  </si>
  <si>
    <t>BRITISH AIRWAYS IT DITALY               IT</t>
  </si>
  <si>
    <t>INDIANHEAD SUPPER CLBALSAM LAKE         WI</t>
  </si>
  <si>
    <t>AXETHROWINGCORK.COM CORK</t>
  </si>
  <si>
    <t>SP PUR COLD PRESSED PURCOLDPRESSETX REF #XX1347J2X65P1PJ</t>
  </si>
  <si>
    <t>LS BIG WOOD COLLECTIEXCELSIOR           MN</t>
  </si>
  <si>
    <t>Withdrawal at ATM #XX3402 Via dei mille 8 Roma IT Card 5404</t>
  </si>
  <si>
    <t>APPLE.COM/US        CUPERTINO           CA</t>
  </si>
  <si>
    <t>CASA MONTI RISTORANTROMA</t>
  </si>
  <si>
    <t>CLEANING PLUS LLC (DSaint Paul          MN</t>
  </si>
  <si>
    <t>GETYOURGUIDE OPERATIDOVER               DE</t>
  </si>
  <si>
    <t>AplPay KING SOOPERS DENVER              CO</t>
  </si>
  <si>
    <t>AXE THROWING CORK CORK IE REF #XX9800NS55J2</t>
  </si>
  <si>
    <t>MALAHIDE DUBLIN OPERDUBLIN 1            IR</t>
  </si>
  <si>
    <t>GARMISCH 2 0000     CABLE               WI</t>
  </si>
  <si>
    <t>SP LUMEN.ME         CLAYMONT            DE</t>
  </si>
  <si>
    <t>EXPEDIA 732433671000EXPEDIA.COM         WA</t>
  </si>
  <si>
    <t>PODERE CASANOVA MONTEPULCIANOIT REF #XX7792D257XDVF</t>
  </si>
  <si>
    <t>TST* LORD FLETCHER'SSPRING PARK         MN</t>
  </si>
  <si>
    <t>ATM Withdrawal at US Bank Lawrence KS</t>
  </si>
  <si>
    <t>TOUR SPAIN* COLOSSE SEVILLA             SE</t>
  </si>
  <si>
    <t>THE VISTA ROOFTOP CLROMA</t>
  </si>
  <si>
    <t>OSTERIA DELL'OLIO   FIRENZE</t>
  </si>
  <si>
    <t>COV ENTERTAINMENT   WAYZATA             MN</t>
  </si>
  <si>
    <t>MILLENNIUMSIPOS*T501MINNEAPOLIS         MN</t>
  </si>
  <si>
    <t>PICKWICK RESTAURANT DULUTH              MN</t>
  </si>
  <si>
    <t>CKO*HEADOUT UFFIZI GFLORENCE            GB</t>
  </si>
  <si>
    <t>AT&amp;T W318 58845 NA  CHANHASSEN          MN</t>
  </si>
  <si>
    <t>SCHEGGE ROMA IT REF #XX6394GRR3KR1Y</t>
  </si>
  <si>
    <t>Withdrawal ACH CPENERGY MNGCO TYPE: MGC ACH EB ID: 1XX1140S CO: CPENERGY MNGCO NAME: CENTERPOINT ENERGY OTP Entry Class Code: WEB ACH Trace Number: XX9689</t>
  </si>
  <si>
    <t>TST* SMACK SHACK BLOMINNEAPOLIS         MN</t>
  </si>
  <si>
    <t>MACKENTHUN'S FINE FOMINNETRISTA         MN</t>
  </si>
  <si>
    <t>SP 6666 STEAK       WICHITA             KS</t>
  </si>
  <si>
    <t>CANTINA PULCINO MONTEPULCIANOIT REF #XX6391FF7BPFNZ</t>
  </si>
  <si>
    <t>Withdrawal ACH CITY OF CHANHASS TYPE: UTIL BILL ID: XX5331 CO: CITY OF CHANHASS Entry Class Code: ACH Trace Number: XX0143</t>
  </si>
  <si>
    <t>TST* MIRABELLE &amp; PAREXCELSIOR           MN</t>
  </si>
  <si>
    <t>Withdrawal ACH Driver Services TYPE: eServices ID: AXX7162 CO: Driver Services Entry Class Code: ACH Trace Number: XX7105</t>
  </si>
  <si>
    <t>AplPay BALSAM LAKE TBALSAM LAKE         WI</t>
  </si>
  <si>
    <t>BACKCOUNTRYCOM</t>
  </si>
  <si>
    <t>SP MIZZENMAIN       DALLAS              TX</t>
  </si>
  <si>
    <t>BIRCHS ON THE LAKE 1LONG LAKE           MN</t>
  </si>
  <si>
    <t>WAYNE'S FOODS PLUS 0LUCK                WI</t>
  </si>
  <si>
    <t>LUCI IN CUCINA ROMA IT REF #XX8951Q7AE451</t>
  </si>
  <si>
    <t>SP PUREFILTERS      TORONTO</t>
  </si>
  <si>
    <t>TRADER JOE S #714 00MINNETONKA          MN</t>
  </si>
  <si>
    <t>Oakfire Pizza</t>
  </si>
  <si>
    <t>DENVER RIO 1745 WAZEDENVER              CO</t>
  </si>
  <si>
    <t>ENOTECA INTERNAZIONAMONTEROSSO AL MARE</t>
  </si>
  <si>
    <t>AGRIO' SNC CASTIGLIONE DIT REF #XX1513TTWS4</t>
  </si>
  <si>
    <t>PES SPORTS L.L.C. 00201-3653896         NJ</t>
  </si>
  <si>
    <t>Withdrawal ACH CITY OF CHANHASS TYPE: UTIL BILL ID: XX5331 CO: CITY OF CHANHASS Entry Class Code: ACH Trace Number: XX5512</t>
  </si>
  <si>
    <t>Transfer to Viator</t>
  </si>
  <si>
    <t>TST* DULUTH GRILL 00DULUTH              MN</t>
  </si>
  <si>
    <t>TST* CANAL PARK BREWDULUTH              MN</t>
  </si>
  <si>
    <t>SP SPORTIQE APPAREL TEMPE               AZ</t>
  </si>
  <si>
    <t>ENOTECA BOCCADAMA   FIRENZE</t>
  </si>
  <si>
    <t>IL NUTINO           FIRENZE</t>
  </si>
  <si>
    <t>LS CABIN FEVER SPORTVICTORIA            MN</t>
  </si>
  <si>
    <t>AplPay DD *DOORDASH SAN FRANCISCO       CA</t>
  </si>
  <si>
    <t>GALA SUPERMERCATO CORTONA IT REF #XX0901SRP01SY</t>
  </si>
  <si>
    <t>FSP*STONEBROOKE GOLFSHAKOPEE            MN</t>
  </si>
  <si>
    <t>ORATORIO SRL        ROMA</t>
  </si>
  <si>
    <t>COV EDINA 3155 GALLEEDINA               MN</t>
  </si>
  <si>
    <t>SP ALO-YOGA         COMMERCE            CA</t>
  </si>
  <si>
    <t>AplPay ANTHROPOLOGIEPHILADELPHIA        PA</t>
  </si>
  <si>
    <t>ROULETTES PIZZA 0688VICTORIA            MN</t>
  </si>
  <si>
    <t>TST* OMC SMOKEHOUSE DULUTH              MN</t>
  </si>
  <si>
    <t>PBL - FIERAMENTE SRLMONTEVARCHI</t>
  </si>
  <si>
    <t>AplPay TST* SHIKI 00EXCELSIOR           MN</t>
  </si>
  <si>
    <t>MIYAZAKI RESTAURANT CORK</t>
  </si>
  <si>
    <t>AplPay LOUIES LODGE CUMBERLAND          WI</t>
  </si>
  <si>
    <t>SP MARINE LAYER     SAN FRANCISCO       CA</t>
  </si>
  <si>
    <t>STAZ.SERVIZIO SHELL CORTONA</t>
  </si>
  <si>
    <t>MSP AIRP THE COOK ANSAINT PAUL          MN</t>
  </si>
  <si>
    <t>CK *LUCK MUNICIPAL GLUCK                WI</t>
  </si>
  <si>
    <t>UNITED AIRPORT TAXI Minneapolis         MN</t>
  </si>
  <si>
    <t>PODERE CASANOVA MONTEPULCIANOIT REF #XX7792D257XDV7</t>
  </si>
  <si>
    <t>AplPay SP VUORI CLOTENCINITAS           CA</t>
  </si>
  <si>
    <t>AplPay RENT THE RUNW(800)509-0842       NY</t>
  </si>
  <si>
    <t>TST* MAYNARDS - OUTSEXCELSIOR           MN</t>
  </si>
  <si>
    <t>AplPay MAHARI TAXI  Edina               MN</t>
  </si>
  <si>
    <t>CEP*OLYMPIC HILLS GCEDEN PRAIRIE        MN</t>
  </si>
  <si>
    <t>TST* OLD CHICAGO - 4DULUTH              MN</t>
  </si>
  <si>
    <t>RISTORANTE VITTY AL PANTHRoma IT REF #XX5002R0ZV9</t>
  </si>
  <si>
    <t>THIRSTY OTTER TAVERNBALSAM LAKE         WI</t>
  </si>
  <si>
    <t>Withdrawal at ATM #XX8196 PAI ATM 101 COUNTY RD I BALSAM LAKE WI Card 5404</t>
  </si>
  <si>
    <t>5 Points Cork IE REF #XX9166T12NJ1B0W</t>
  </si>
  <si>
    <t>Withdrawal ACH CITY OF CHANHASS TYPE: UTIL BILL ID: XX5331 CO: CITY OF CHANHASS Entry Class Code: ACH Trace Number: XX0498</t>
  </si>
  <si>
    <t>ITALY TICKETS       FIRENZE             IT</t>
  </si>
  <si>
    <t>Airport Taxi, Inc. 7612-888888          MN</t>
  </si>
  <si>
    <t>Withdrawal ACH CPENERGY MNGCO TYPE: MGC ACH EB ID: 1XX1140S CO: CPENERGY MNGCO NAME: CENTERPOINT ENERGY OTP Entry Class Code: WEB ACH Trace Number: XX6247</t>
  </si>
  <si>
    <t>Withdrawal ACH CITY OF CHANHASS TYPE: UTIL BILL ID: XX5331 CO: CITY OF CHANHASS Entry Class Code: ACH Trace Number: XX9907</t>
  </si>
  <si>
    <t>TST* BLACK SHEEP PIZMINNEAPOLIS         MN</t>
  </si>
  <si>
    <t>TST* BALSAM LAKE LODBALSAM LAKE         WI</t>
  </si>
  <si>
    <t>Vagaro</t>
  </si>
  <si>
    <t>RISTORANTE BAR AL CAVERNAZZA</t>
  </si>
  <si>
    <t>ALBERGO MARINA      MONTEROSSO AL MARE</t>
  </si>
  <si>
    <t>AplPay ON POINT MN 0DULUTH              MN</t>
  </si>
  <si>
    <t>LS BLUFF CREEK GOLF CHASKA              MN</t>
  </si>
  <si>
    <t>Withdrawal ACH CITY OF CHANHASS TYPE: UTIL BILL ID: XX5331 CO: CITY OF CHANHASS Entry Class Code: ACH Trace Number: XX5022</t>
  </si>
  <si>
    <t>ELITE NAILS LLC CHANHASSEN MN REF #XX7058MMAEB0FZN</t>
  </si>
  <si>
    <t>SNUFFYS MALT SHOP  MMINNETONKA          MN</t>
  </si>
  <si>
    <t>DUBLIN AIRPORT RETAIDUBLIN              IR</t>
  </si>
  <si>
    <t>AplPay GREAT LAKES ADULUTH              MN</t>
  </si>
  <si>
    <t>MARKETPLACE FOODS #2ST CROIX FLS        WI</t>
  </si>
  <si>
    <t>LS ACE SPIRITS      HOPKINS             MN</t>
  </si>
  <si>
    <t>TST* VAGABONDO 30072EXCELSIOR           MN</t>
  </si>
  <si>
    <t>DNR E PAY WIN ACS 00MADISON             WI</t>
  </si>
  <si>
    <t>EPHS 2005 REUNION   CHASKA              MN</t>
  </si>
  <si>
    <t>FATTORIA LE CAPEZZINMONTEPULCIANO</t>
  </si>
  <si>
    <t>MUOVIAMO PARKING SRL FIRENZE IT REF #XX4958Z96L0Z4B4</t>
  </si>
  <si>
    <t>TST* YUM KITCHEN ANDMINNETONKA          MN</t>
  </si>
  <si>
    <t>FSP*MEADOWBROOK GOLFSAINT PAUL          MN</t>
  </si>
  <si>
    <t>CITY OF ORONO, MN   Wayzata             MN</t>
  </si>
  <si>
    <t>AplPay CUB FOODS SOUEDINA               MN</t>
  </si>
  <si>
    <t>AplPay FSP*LAKE SUPEDULUTH              MN</t>
  </si>
  <si>
    <t>RE AL QUADRATO MONTEPULCIANOIT REF #XX6391FQQ21B6W</t>
  </si>
  <si>
    <t>GISHOTELS DI GISELDA BENIFIRENZE IT REF #XX5778Z4K4RM88J</t>
  </si>
  <si>
    <t>DD *WILDFIRE        SAN FRANCISCO       CA</t>
  </si>
  <si>
    <t>AplPay HOPSACK LLC  Balsam Lake         MN</t>
  </si>
  <si>
    <t>WILLY MCCOYS OF CHASKA LLCHASKA MN REF #XX6162S66FY4YN</t>
  </si>
  <si>
    <t>CAVU* APR           CHICAGO             IL</t>
  </si>
  <si>
    <t>LILLE -ESQUERMOISE LLILLE               FR</t>
  </si>
  <si>
    <t>TST* CHARLIES ON PRIPRIOR LAKE          MN</t>
  </si>
  <si>
    <t>TST* RED COW - 50TH MINNEAPOLIS         MN</t>
  </si>
  <si>
    <t>SPEEDWAY 46505 00004EXCELSIOR           MN</t>
  </si>
  <si>
    <t>SIR SMOKE A LOT BBQ ST CROIX FLS        WI</t>
  </si>
  <si>
    <t>Withdrawal ACH Driver Services TYPE: eServices ID: AXX7162 CO: Driver Services Entry Class Code: ACH Trace Number: XX1346</t>
  </si>
  <si>
    <t>UBER</t>
  </si>
  <si>
    <t>LEEANN CHIN 0044 CHACHANHASSEN          MN</t>
  </si>
  <si>
    <t>COMUNE DI MONTEROSSO PAR MONTEROSSO ALIT REF #XX1638XDVZNNTQJ</t>
  </si>
  <si>
    <t>BALSAM LAKE TRADING BALSAM LAKE         WI</t>
  </si>
  <si>
    <t>TST* JAKE'S ON THE LCENTER CITY         MN</t>
  </si>
  <si>
    <t>BUFFALO TRACK 0000  FINLAYSON           MN</t>
  </si>
  <si>
    <t>SHOREWOOD ACE 0000  EXCELSIOR           MN</t>
  </si>
  <si>
    <t>FSP*RUTTGERS BAY LAKDEERWOOD            MN</t>
  </si>
  <si>
    <t>IL PICCOLO SCOGLIO SVERNAZZA</t>
  </si>
  <si>
    <t>AplPay ETSY, INC.   BROOKLYN            NY</t>
  </si>
  <si>
    <t>Draft 2324 Tracer XXXXX2475</t>
  </si>
  <si>
    <t>DS NAILS CHANHASSEN MN REF #XX2370QTMAT110</t>
  </si>
  <si>
    <t>BP#7593908BOB &amp; STEVNEW RICHMOND        WI</t>
  </si>
  <si>
    <t>HARRODS INTERNATIONALondon              GB</t>
  </si>
  <si>
    <t>A.R. SOCIETA A RESPONSA ROMA IT REF #XX9754Z899</t>
  </si>
  <si>
    <t>AplPay CUB FOODS 000MINNETONKA          MN</t>
  </si>
  <si>
    <t>TST* JESTER GIFT CARDS XX-1613 MN REF #XX7467TEJZ5KR5Q</t>
  </si>
  <si>
    <t>TST* NORTHERN TAPHOUPLYMOUTH            MN</t>
  </si>
  <si>
    <t>CAFFE' MONICA DA GIOLUCCA</t>
  </si>
  <si>
    <t>MIYABI              EXCELSIOR           MN</t>
  </si>
  <si>
    <t>AplPay LS RAMBLE HOUCREEDE              CO</t>
  </si>
  <si>
    <t>CROOKED PINT - MINNE612-8776900         MN</t>
  </si>
  <si>
    <t>BALSAM LAKE BREWERY Balsam Lake         WI</t>
  </si>
  <si>
    <t>BRADLEYS CORK IE REF #XX3666VJ3EXKBV8</t>
  </si>
  <si>
    <t>HOLIDAY STATIONS 041SAINT CROIX F       WI</t>
  </si>
  <si>
    <t>BENT PADDLE BREWING Duluth              MN</t>
  </si>
  <si>
    <t>CENEX CONSUMERS COOPLUCK                WI</t>
  </si>
  <si>
    <t>AplPay TST* BONSAI KCHANHASSEN          MN</t>
  </si>
  <si>
    <t>SPEEDWAY 46586 00004STILLWATER          MN</t>
  </si>
  <si>
    <t>HOLIDAY STATIONS 030CIRCLE PINES        MN</t>
  </si>
  <si>
    <t>LS RAMBLE HOUSE LLC CREEDE              CO</t>
  </si>
  <si>
    <t>TST* RED COW - 1ST AMINNEAPOLIS         MN</t>
  </si>
  <si>
    <t>WILLY MCCOYS  CHASKA612-7705444         MN</t>
  </si>
  <si>
    <t>CIVICO 34           MONTEPULCIANO</t>
  </si>
  <si>
    <t>ARCO GREENWOOD MARKEGREENWOOD           MN</t>
  </si>
  <si>
    <t>AplPay KFC          SHAKOPEE            MN</t>
  </si>
  <si>
    <t>AplPay HOLIDAY STATICHANHASSEN          MN</t>
  </si>
  <si>
    <t>AplPay INTERRAIL, LLNEWTON              MA</t>
  </si>
  <si>
    <t>BIG DOUG'S BBQ      CREEDE              CO</t>
  </si>
  <si>
    <t>MGM LIQUOR WAREHOUSESPRING PARK         MN</t>
  </si>
  <si>
    <t>WALGREENS           EXCELSIOR           MN</t>
  </si>
  <si>
    <t>HOLIDAY STATIONS 040N BRANCH            MN</t>
  </si>
  <si>
    <t>CREW CARWASH 73     EDEN PRAIRIE        MN</t>
  </si>
  <si>
    <t>EMAGINE WILLOW CREEKPLYMOUTH            MN</t>
  </si>
  <si>
    <t>ENOTECA LOMBARDI    FIRENZE</t>
  </si>
  <si>
    <t>FH* NORTH SHORE SCENDULUTH              MN</t>
  </si>
  <si>
    <t>Transfer to Uber</t>
  </si>
  <si>
    <t>AL AMIN FIRENZE IT REF #XX1638YE3BL37KF</t>
  </si>
  <si>
    <t>CONSORZIO MARITTIMO TURISMONTEROSSO ALIT REF #XX5778X4GBBMHV5</t>
  </si>
  <si>
    <t>AplPay DULUTH PACK 5DULUTH              MN</t>
  </si>
  <si>
    <t>TRG HOLDINGS LIMITED LONDON GB REF #XX9600EDMJKW</t>
  </si>
  <si>
    <t>ENOLITECA DEL CONSORZIO DMONTEPULCIANOIT REF #XX7792D7R1ZVE2</t>
  </si>
  <si>
    <t>EAST COAST FOOD MANAEdina               MN</t>
  </si>
  <si>
    <t>Cork</t>
  </si>
  <si>
    <t>AplPay NOODLES AND CBROOMFIELD          CO</t>
  </si>
  <si>
    <t>IRISH RAIL 7XX642-VW INTERNET IE REF #XX6999SRSAXB5X</t>
  </si>
  <si>
    <t>SWEET ENDURANCE SPORDuluth              MN</t>
  </si>
  <si>
    <t>TAVERN 4 &amp; 5 5455000877-8144102         MN</t>
  </si>
  <si>
    <t>MERCATO CENTRALE FIRFIRENZE</t>
  </si>
  <si>
    <t>AplPay SHOREWOOD LIQEXCELSIOR           MN</t>
  </si>
  <si>
    <t>FP-Minnesota H&amp;F    Dallas              TX</t>
  </si>
  <si>
    <t>SQ *COLETTE WALDOWSKI Balsam Lake WI REF #XX2165Y3549T5Y9</t>
  </si>
  <si>
    <t>DOWNSTREAM GAS &amp; MERCREEDE              CO</t>
  </si>
  <si>
    <t>AplPay LUNDS&amp;BYERLYSWAYZATA             MN</t>
  </si>
  <si>
    <t>SUMUP*PHILLIP CORKERCORK</t>
  </si>
  <si>
    <t>THE BURGER STAND AT Lawrence            KS</t>
  </si>
  <si>
    <t>NEXO SERVICE S.R.L. ROMA</t>
  </si>
  <si>
    <t>Withdrawal Fee 1dddxx73-4e7e-4cd8-aXX8887d0</t>
  </si>
  <si>
    <t>Withdrawal Fee f4cdaa03-6ax3-42ac-94b4-ffx0999b8343</t>
  </si>
  <si>
    <t>LEONARDO INTERACTIVEFIRENZE             IT</t>
  </si>
  <si>
    <t>UBER TRIP           HTTPS://HELP.UBER.COCA</t>
  </si>
  <si>
    <t>NOODLES AND COMPANY BROOMFIELD          CO</t>
  </si>
  <si>
    <t>BUNNYS BAR &amp; GRILL 6MINNEAPOLIS         MN</t>
  </si>
  <si>
    <t>UNCOMMON LOON BREWINChisago City        MN</t>
  </si>
  <si>
    <t>META LUXURY COMPANY LUCCA</t>
  </si>
  <si>
    <t>AplPay CRISP &amp; GREENEDEN PRAIRIE        MN</t>
  </si>
  <si>
    <t>B&amp;N Paper Source    WESTBURY            NY</t>
  </si>
  <si>
    <t>I LOVE DULUTH       Duluth              MN</t>
  </si>
  <si>
    <t>AplPay MUSEO DELLE TMONTEPULCIANO</t>
  </si>
  <si>
    <t>STEWARTS BIKE AND SPDULUTH              MN</t>
  </si>
  <si>
    <t>AplPay ROCKET 6546 0DENVER              CO</t>
  </si>
  <si>
    <t>AplPay TJMAXX #0239 ST. LOUIS PAR       MN</t>
  </si>
  <si>
    <t>AplPay 423 LEGO FIREFIRENZE</t>
  </si>
  <si>
    <t>SumUp *SUCCESS SRL Roma IT REF #XX6995SRSGADT0</t>
  </si>
  <si>
    <t>AplPay CK *LUCK MUNILUCK                WI</t>
  </si>
  <si>
    <t>SumUp *FORLITI SERGIO VALLERANO IT REF #XX6991SRSG7BQ2</t>
  </si>
  <si>
    <t>ARBYS 7473 0365     BROOKLYN CENT       MN</t>
  </si>
  <si>
    <t>AplPay CRISP &amp; GREENWAYZATA             MN</t>
  </si>
  <si>
    <t>Withdrawal</t>
  </si>
  <si>
    <t>LAKE MINNETONKA EXCEEXCELSIOR           MN</t>
  </si>
  <si>
    <t>AplPay PURALIMA - WAWAYZATA             MN</t>
  </si>
  <si>
    <t>GREEK GOURMET 0000  BLAINE              MN</t>
  </si>
  <si>
    <t>NAZRUL ISLAM        FIRENZE</t>
  </si>
  <si>
    <t>AplPay LS DULUTH KITDULUTH              MN</t>
  </si>
  <si>
    <t>AplPay VIVA*AD GROUPEMPOLI              IT</t>
  </si>
  <si>
    <t>AplPay CHIPOTLE MEX NEWPORT BEACH       CA</t>
  </si>
  <si>
    <t>GOLFNOW             BELFAST             GB</t>
  </si>
  <si>
    <t>KFC C750152 0000    NORTH BRANCH        MN</t>
  </si>
  <si>
    <t>WMA ITALY SRL FIRENZE IT REF #XX8988Z1Q2DV61Z</t>
  </si>
  <si>
    <t>MSP AIRP LEEANN CHINSAINT PAUL          MN</t>
  </si>
  <si>
    <t>THE DEERSTAND 068880DEERWOOD            MN</t>
  </si>
  <si>
    <t>Fusion Fitness</t>
  </si>
  <si>
    <t>A RAMP 8067 08487002MINNEAPOLIS         MN</t>
  </si>
  <si>
    <t>AplPay A'BULAE      Saint Paul          MN</t>
  </si>
  <si>
    <t>TST* DOG HAUS BIERGADENVER              CO</t>
  </si>
  <si>
    <t>AplPay ENI07431     ORVIETO</t>
  </si>
  <si>
    <t>Fabbrica di San Pietro Citta del VatVS REF #XX9546E9GH6A</t>
  </si>
  <si>
    <t>THAI BOAT 89        Minneapolis         MN</t>
  </si>
  <si>
    <t>LIQUIDAMBITIONSLIQUOCREEDE              CO</t>
  </si>
  <si>
    <t>WWW.BASILICASANCLEMENT ROMA IT REF #XX5932X4NPFSW</t>
  </si>
  <si>
    <t>AplPay LA BOTTEGHINACASTIGLIONE DEL LAGO</t>
  </si>
  <si>
    <t>BAR LO SPUNTINO MONTEROSSO ALIT REF #XX1638WDFEETWV4</t>
  </si>
  <si>
    <t>GELATERIA VEGANA    FIRENZE</t>
  </si>
  <si>
    <t>LHR T3 GLORIOUS BRITTERMINAL 3 LANDSID  GB</t>
  </si>
  <si>
    <t>SUMUP*VALERY VENBERGCORK</t>
  </si>
  <si>
    <t>PROPAY*Porzana-Uptow7632279002          MN</t>
  </si>
  <si>
    <t>TST* OAK 19 FARE &amp; RCHASKA              MN</t>
  </si>
  <si>
    <t>TOBIES STATION INC  HINCKLEY            MN</t>
  </si>
  <si>
    <t>BIG BLUE            Excelsior           MN</t>
  </si>
  <si>
    <t>AplPay CAFE WREN    Luck                WI</t>
  </si>
  <si>
    <t>MCDONALD'S F35248 00CHANHASSEN          MN</t>
  </si>
  <si>
    <t>CAFE ENA 0000       MINNEAPOLIS         MN</t>
  </si>
  <si>
    <t>CAROSSO ENOTECA     ALBA</t>
  </si>
  <si>
    <t>ERMIRIO MARGHERITA  VERNAZZA</t>
  </si>
  <si>
    <t>AplPay MYBOOSTER* MINORCROSS            GA</t>
  </si>
  <si>
    <t>AplPay BT*GILLETTE CSAINT PAUL          MN</t>
  </si>
  <si>
    <t>AplPay WESTWOODCC.OREXCELSIOR           MN</t>
  </si>
  <si>
    <t>THE UPS STORE 7416  CHASKA              MN</t>
  </si>
  <si>
    <t>Naturally Nourished Cork IE REF #XX8003R4B8F</t>
  </si>
  <si>
    <t>FSP*OMNI BREWERY &amp; TVICTORIA            MN</t>
  </si>
  <si>
    <t>SPO*MONTEGOBLU-TROPIEXCELSIOR           MN</t>
  </si>
  <si>
    <t>GALLERIA ACCADEMIA  FIRENZE</t>
  </si>
  <si>
    <t>HOBNOB 7183000012175DES MOINES          IA</t>
  </si>
  <si>
    <t>AplPay TARGET       MINNETONKA          MN</t>
  </si>
  <si>
    <t>AplPay GOFANTIX* MINALPHARETTA          GA</t>
  </si>
  <si>
    <t>THE COUNTRY STOP-PROSPICER              MN</t>
  </si>
  <si>
    <t>AGRITURISMO VIA DELLCORTONA</t>
  </si>
  <si>
    <t>LORA F&amp;B            STILLWATER          MN</t>
  </si>
  <si>
    <t>THE SOCIAL ICE CREAMVictoria            MN</t>
  </si>
  <si>
    <t>TST* OLD SOUTHERN BBEXCELSIOR           MN</t>
  </si>
  <si>
    <t>AplPay MCDONALD'S F5WAYZATA             MN</t>
  </si>
  <si>
    <t>BLACK ORANGE ROMA IT REF #XX6394GRW21XK6</t>
  </si>
  <si>
    <t>PRIME VIDEO *ME9EA6U888-802-3080        WA</t>
  </si>
  <si>
    <t>ZETTLE *ONDGO - BLACLONDON              GB</t>
  </si>
  <si>
    <t>STARBUCKS FIRENZE   FIRENZE</t>
  </si>
  <si>
    <t>Willow River State Park</t>
  </si>
  <si>
    <t>RVT*MINNEWASHTA ELEMEXCELSIOR           MN</t>
  </si>
  <si>
    <t>GARRISON REED LLC   Wayzata             MN</t>
  </si>
  <si>
    <t>MINNETONKA YOUTH HOCMinnetonka          MN</t>
  </si>
  <si>
    <t>AplPay ORION DONUTS CHANHASSEN          MN</t>
  </si>
  <si>
    <t>THE UPS STORE 0473  MINNETONKA          MN</t>
  </si>
  <si>
    <t>WAL-MART SUPERCENTERSAINT CROIX FALLS   WI</t>
  </si>
  <si>
    <t>Mutton Lane Inn Cork IE REF #XX6005W44D1</t>
  </si>
  <si>
    <t>xx45 - LONDRA 02 ROMA IT REF #XX5978XT6D7</t>
  </si>
  <si>
    <t>Naturally Nourished Cork IE REF #XX9166V12NMHE56</t>
  </si>
  <si>
    <t>CREMERIA DON PEPE' ROMA IT REF #XX6393GEFPB499</t>
  </si>
  <si>
    <t>TST* THE CABANA CLUBMINNEAPOLIS         MN</t>
  </si>
  <si>
    <t>DAIRY QUEEN         CHASKA              MN</t>
  </si>
  <si>
    <t>LENNOXS CORK IE REF #XX9056S2X50SR1V</t>
  </si>
  <si>
    <t>SQ *DER'S FARM Minnetonka MN REF #XX2166S2YMAXV66</t>
  </si>
  <si>
    <t>SIREN COFFEE SRL FIRENZE IT REF #XX5908Z1TR3JG15</t>
  </si>
  <si>
    <t>AplPay PULCINELLA BIMONTEPULCIANO</t>
  </si>
  <si>
    <t>CHIPOTLE 2051 2051  MINNETONKA          MN</t>
  </si>
  <si>
    <t>MONTEROSSO GOURMET SRL MONTEROSSO ALIT REF #XX8988W1Q083K30</t>
  </si>
  <si>
    <t>MINERVA ROMA IT REF #XX9296YYM5B5</t>
  </si>
  <si>
    <t>LA DIVINA - PIZZERIAFIRENZE</t>
  </si>
  <si>
    <t>AplPay VERNAZZA SS DVERNAZZA</t>
  </si>
  <si>
    <t>The Bulldog</t>
  </si>
  <si>
    <t>PY *KJ'S NEW NORTH 0BALSAM LAKE         WI</t>
  </si>
  <si>
    <t>Piaggios Stach Schipho SCHIPHOL NL REF #XX5008V2LN499E8</t>
  </si>
  <si>
    <t>DAMICO &amp; SONS-MILL CMINNEAPOLIS         MN</t>
  </si>
  <si>
    <t>Naturally Nourished Cork IE REF #XX0428X7Y</t>
  </si>
  <si>
    <t>AplPay CULVER'S OF RROGERS              MN</t>
  </si>
  <si>
    <t>AplPay SAN JUAN SPORCreede              CO</t>
  </si>
  <si>
    <t>EIS CAFE' ROYAL LUCCA IT REF #XX1638XDW338GJB</t>
  </si>
  <si>
    <t>AplPay JONES COFFEE Minneapolis         MN</t>
  </si>
  <si>
    <t>AplPay GELATERIA DEIFIRENZE</t>
  </si>
  <si>
    <t>AplPay FARMACIA FRANMONTEPULCIANO</t>
  </si>
  <si>
    <t>AplPay CKE*THE SOCIADULUTH              MN</t>
  </si>
  <si>
    <t>AplPay DAIRY QUEEN #MINNETONKA          MN</t>
  </si>
  <si>
    <t>TIDE DRY CLEANERS CHCHANHASSEN          MN</t>
  </si>
  <si>
    <t>PRO LOCO DI MONTEPULCIANOMONTEPULCIANOIT REF #XX7792D7R20XJ5</t>
  </si>
  <si>
    <t>FUTURA DI LO RUSSO AALBA</t>
  </si>
  <si>
    <t>INAUDI              ALBA</t>
  </si>
  <si>
    <t>DAIRY QUEEN #45864 4MINNETONKA          MN</t>
  </si>
  <si>
    <t>BONFES PLUMBING HEATING AXX6633 MN REF #XX3995S66HN1FY</t>
  </si>
  <si>
    <t>BONFES PLUMBING HEATING AXX6633 MN REF #XX3988S66FJR3L</t>
  </si>
  <si>
    <t>BONFES PLUMBING HEATING AXX6633 MN REF #XX3978S66D3JMN</t>
  </si>
  <si>
    <t>BONFES PLUMBING HEATING AXX6633 MN REF #XX3969S66LBBGH</t>
  </si>
  <si>
    <t>BONFES PLUMBING HEATING AXX6633 MN REF #XX5395BS66JEAFJ</t>
  </si>
  <si>
    <t>CEP*OLYMPIC HILLS GC EDEN PRAIRIE MN REF #XX0628R1HEKDQ</t>
  </si>
  <si>
    <t>ELY CAFF MONTEROSSO ALIT REF #XX1638WDFBJJDJL</t>
  </si>
  <si>
    <t>AplPay VIVA*BAR LA CCASTIGLIONE DEL LAGOIT</t>
  </si>
  <si>
    <t>TST-BORU COFFEE     CORK                IR</t>
  </si>
  <si>
    <t>SILVERBROOK COFFEE  Saint Croix Falls   WI</t>
  </si>
  <si>
    <t>AplPay STARBUCKS EASMINNEAPOLIS         MN</t>
  </si>
  <si>
    <t>PSPT LAWRNC ENF 0000Charlotte           NC</t>
  </si>
  <si>
    <t>G.F. MARKET MONTEROSSO ALIT REF #XX1638XDWQVZE81</t>
  </si>
  <si>
    <t>12CDT - CDT TRATTA A1 TORTONA IT REF #XX9498W1134TJV4</t>
  </si>
  <si>
    <t>CONAD FIRENZE IT REF #XX1638YE36DA2HJ</t>
  </si>
  <si>
    <t>ROCKY MOUNTAIN CHOCOSaint Paul          MN</t>
  </si>
  <si>
    <t>GLF MAHONGC         CORK</t>
  </si>
  <si>
    <t>FTSCHNEIDER GMBH SOEST DF REF #XX2234S01F2QLVG</t>
  </si>
  <si>
    <t>NORTH STAR DONUTS   Excelsior           MN</t>
  </si>
  <si>
    <t>THE HIGHWAY 46 STORE BALSAM LAKE WI REF #XX4545W015VT4N4</t>
  </si>
  <si>
    <t>OPIE'S LLC          Creede              CO</t>
  </si>
  <si>
    <t>RACESSENTIALS       Duluth              MN</t>
  </si>
  <si>
    <t>OSHO                BALLINTEMPLE</t>
  </si>
  <si>
    <t>BAR BRASILE ROMA IT REF #XX6393GA7FNWKW</t>
  </si>
  <si>
    <t>THE LOOP CORK CORK IE REF #XX3616X006FYQFB</t>
  </si>
  <si>
    <t>PP*BEAR MADE CRAFTS/MILLTOWN            WI</t>
  </si>
  <si>
    <t>ASPIT FIRENZE SUD - VALDICHIANA IT REF #XX9010B9KMRA</t>
  </si>
  <si>
    <t>WAYZATA CAFE WAYZATA MN REF #XX3006V7KQGGSKK</t>
  </si>
  <si>
    <t>AplPay SUMUP*ANWOARAROMA                IT</t>
  </si>
  <si>
    <t>ASPIT ALBIANO M. - PISA NORD IT REF #XX9498Y158YYPVW</t>
  </si>
  <si>
    <t>AplPay SUPER ONE FOOCROSBY              MN</t>
  </si>
  <si>
    <t>Interest Charge on Purchases</t>
  </si>
  <si>
    <t>AMAZON PRIME*N405R19888-802-3080        WA</t>
  </si>
  <si>
    <t>AMAZON KIDS+*NM6AX0X888-802-3080        WA</t>
  </si>
  <si>
    <t>AMAZON PRIME*NV7VO40888-802-3080        WA</t>
  </si>
  <si>
    <t>AMAZON KIDS+*DQ9SP0W888-802-3080        WA</t>
  </si>
  <si>
    <t>AMAZON PRIME*J267R7A888-802-3080        WA</t>
  </si>
  <si>
    <t>AMAZON KIDS+*ND8YJ1O888-802-3080        WA</t>
  </si>
  <si>
    <t>AMAZON PRIME*NN21081888-802-3080        WA</t>
  </si>
  <si>
    <t>AMAZON KIDS+*RE5790K888-802-3080        WA</t>
  </si>
  <si>
    <t>AMAZON PRIME*NQ2HH3Y888-802-3080        WA</t>
  </si>
  <si>
    <t>AMAZON KIDS+*NA9FI17888-802-3080        WA</t>
  </si>
  <si>
    <t>RISTORO DA MARIA MONTEROSSO ALIT REF #XX1638WD9PPXXL7</t>
  </si>
  <si>
    <t>ASPIT LUCCA EST - FI SCANDICCI IT REF #XX9498Y158YYPVA</t>
  </si>
  <si>
    <t>MCDONALD'S          ST PAUL             MN</t>
  </si>
  <si>
    <t>AplPay EMV CARTE STRROMA</t>
  </si>
  <si>
    <t>PONCHA MARKET       PONCHA SPRING       CO</t>
  </si>
  <si>
    <t>CARRIAGE FOOD SERVICES LTENNIS IE REF #XX6999SRVJFG6Z</t>
  </si>
  <si>
    <t>BAR GELATERIA ENRICARIOMAGGIORE</t>
  </si>
  <si>
    <t>DAIRY QUEEN #42628 0NEW BRIGHTON        MN</t>
  </si>
  <si>
    <t>KS DEPT WILDLIFE &amp; PAR PRATT KS REF #XX7504KW0F7Z6</t>
  </si>
  <si>
    <t>CUB FOODS #1644 0000CHANHASSEN          MN</t>
  </si>
  <si>
    <t>19 EAST EMP STORE   HERSHEY             PA</t>
  </si>
  <si>
    <t>D J*WSJ XX-7625 NJ REF #XX2166J33BRVKS7</t>
  </si>
  <si>
    <t>D J*WSJ XX-7625 NJ REF #XX2165N2XZQ26GV</t>
  </si>
  <si>
    <t>D J*WSJ XX-7625 NJ REF #XX2164S34ZYT4B2</t>
  </si>
  <si>
    <t>AplPay SHOREWOOD ACEEXCELSIOR           MN</t>
  </si>
  <si>
    <t>Withdrawal ACH BIRD RIDES ITALY CO: BIRD RIDES ITALY S.R.L. TYPE: IAT PAYPAL ID: 7XX0487C Entry Class Code: IAT ACH Trace Number: XX3008</t>
  </si>
  <si>
    <t>AplPay SUMUP*TABACCHGROTTAFERRATA</t>
  </si>
  <si>
    <t>AplPay CARIBOU COFFEMINNEAPOLIS         MN</t>
  </si>
  <si>
    <t>TRADER JOE S #725 00MINNEAPOLIS         MN</t>
  </si>
  <si>
    <t>THE BOOKERY         Balsam Lake         WI</t>
  </si>
  <si>
    <t>GOLDEN VALLEY COUNTRMINNEAPOLIS         MN</t>
  </si>
  <si>
    <t>KU CAMPUS BOOKSTORESLAWRENCE            KS</t>
  </si>
  <si>
    <t>AplPay BALSAM LAKE BBalsam Lake         WI</t>
  </si>
  <si>
    <t>Royal Coffee</t>
  </si>
  <si>
    <t>ACQU.DISTRIB.AUTOMATI SERIATE IT REF #XX1747F7EM</t>
  </si>
  <si>
    <t>ACQU.DISTRIB.AUTOMATI SERIATE IT REF #XX1747F7EX</t>
  </si>
  <si>
    <t>CONAD FIRENZE IT REF #XX1638YE36D9ZKN</t>
  </si>
  <si>
    <t>NYA*Cork Vending Solut XX9621 IE REF #XX4656R38TW4J4Z</t>
  </si>
  <si>
    <t>GOOGLE *Google One g.co/helppay#CA REF #XX7305WAJ8Y</t>
  </si>
  <si>
    <t>GOOGLE *Google One g.co/helppay#CA REF #XX6834NA7WLZ</t>
  </si>
  <si>
    <t>GOOGLE *Google One g.co/helppay#CA REF #XX2165A2XAH1HNR</t>
  </si>
  <si>
    <t>Family Dollar</t>
  </si>
  <si>
    <t>DNR EPAY WIN ACS SERMADISON             WI</t>
  </si>
  <si>
    <t>AplPay SUMUP*PASTICCCASTIGLIONE DEL LAGO</t>
  </si>
  <si>
    <t>MERCATO CENTRALE FIRENZE FIRENZE IT REF #XX4958Y96H3T030</t>
  </si>
  <si>
    <t>ASPIT GENOVA AEROP. - GENOVA PEGLI IT REF #XX9498W1134TJSW</t>
  </si>
  <si>
    <t>Credit for AMEX Error</t>
  </si>
  <si>
    <t>Deposit Dividend Split Rate Annual Percentage Yield Earned 2.07% from 06/01/25 through 06/30/25</t>
  </si>
  <si>
    <t>Deposit Dividend Split Rate Annual Percentage Yield Earned 1.52% from 09/01/25 through 09/30/25</t>
  </si>
  <si>
    <t>Deposit Dividend Split Rate Annual Percentage Yield Earned 1.75% from 10/01/25 through 10/31/25</t>
  </si>
  <si>
    <t>Deposit Dividend Split Rate Annual Percentage Yield Earned 1.39% from 07/01/25 through 07/31/25</t>
  </si>
  <si>
    <t>Deposit Dividend Split Rate Annual Percentage Yield Earned 1.34% from 08/01/25 through 08/31/25</t>
  </si>
  <si>
    <t>Deposit ACH EMPYREAN SOLUTIO TYPE: ACH ID: XX3620 CO: EMPYREAN SOLUTIO Entry Class Code: ACH Trace Number: XX3664</t>
  </si>
  <si>
    <t>Deposit ACH Delta TYPE: Customer C ID: XX2001 CO: Delta Entry Class Code: ACH Trace Number: XX4509</t>
  </si>
  <si>
    <t>K99U:0002 300.00 credit</t>
  </si>
  <si>
    <t>Deposit ACH EMPYREAN SOLUTIO TYPE: ACH ID: XX3620 CO: EMPYREAN SOLUTIO Entry Class Code: ACH Trace Number: XX2599</t>
  </si>
  <si>
    <t>Deposit ACH EMPYREAN SOLUTIO TYPE: ACH ID: XX3620 CO: EMPYREAN SOLUTIO Entry Class Code: ACH Trace Number: XX5397</t>
  </si>
  <si>
    <t>Deposit ACH EMPYREAN SOLUTIO TYPE: ACH ID: XX3620 CO: EMPYREAN SOLUTIO Entry Class Code: ACH Trace Number: XX8141</t>
  </si>
  <si>
    <t>Deposit ACH EMPYREAN SOLUTIO TYPE: ACH ID: XX3620 CO: EMPYREAN SOLUTIO Entry Class Code: ACH Trace Number: XX2600</t>
  </si>
  <si>
    <t>Deposit ACH EMPYREAN SOLUTIO TYPE: ACH ID: XX3620 CO: EMPYREAN SOLUTIO Entry Class Code: ACH Trace Number: XX3663</t>
  </si>
  <si>
    <t>Salary/Regular Income from Cargill Inc</t>
  </si>
  <si>
    <t>Deposit ACH TRUITTJEFF TYPE: SETL ID: XX1866 CO: MBI NAME: TRUITTJEFF Entry Class Code: WEB ACH Trace Number: XX2967</t>
  </si>
  <si>
    <t>1510 COMMERCIAL AVE VICTORIA            MN</t>
  </si>
  <si>
    <t>ALIENPOWER          855-870-3708        CT</t>
  </si>
  <si>
    <t>AMAZON KIDS+*B807Y9M888-802-3080        WA</t>
  </si>
  <si>
    <t>AMAZON KIDS+*C15UG1H888-802-3080        WA</t>
  </si>
  <si>
    <t>AMAZON MKTPL*2868A33G3 AMZN.COM/BILLWATK2YPJ5X28C</t>
  </si>
  <si>
    <t>AMAZON MKTPL*3U8BN9EC3 AMZN.COM/BILLWA4EK6MDO3PBX</t>
  </si>
  <si>
    <t>AMAZON MKTPL*6E4HD3J63 AMZN.COM/BILLWA1QSMJTHX2NU</t>
  </si>
  <si>
    <t>AMAZON MKTPL*7J5ET4613 AMZN.COM/BILLWAQQW8XNV00L4</t>
  </si>
  <si>
    <t>AMAZON MKTPL*9B0S44CL3 AMZN.COM/BILLWA12NZ294IZKT</t>
  </si>
  <si>
    <t>AMAZON MKTPL*B26CQ9YH0 AMZN.COM/BILLWA60N4NSOWX90</t>
  </si>
  <si>
    <t>AMAZON MKTPL*B83I044T0 AMZN.COM/BILLWA6M2OIZ0D2CZ</t>
  </si>
  <si>
    <t>AMAZON MKTPL*B887E4Z00 AMZN.COM/BILLWA16QRJ1JYO9Z</t>
  </si>
  <si>
    <t>AMAZON MKTPL*BB2U532R1 AMZN.COM/BILLWA10FL04K1SSE</t>
  </si>
  <si>
    <t>AMAZON MKTPL*BB4N991R0 AMZN.COM/BILLWA488VB9BI07U</t>
  </si>
  <si>
    <t>AMAZON MKTPL*BB5702WH0 AMZN.COM/BILLWA6LLKCC7J3U7</t>
  </si>
  <si>
    <t>AMAZON MKTPL*BG4FT3DS3 AMZN.COM/BILLWA6TGWK06JAOY</t>
  </si>
  <si>
    <t>AMAZON MKTPL*BI2CH1QU1 AMZN.COM/BILLWA261B4KOLDQ4</t>
  </si>
  <si>
    <t>AMAZON MKTPL*BI6WT9922 AMZN.COM/BILLWA3T1BUDIVQ56</t>
  </si>
  <si>
    <t>AMAZON MKTPL*BI7431ZH2 AMZN.COM/BILLWA4G7SACIMYQW</t>
  </si>
  <si>
    <t>AMAZON MKTPL*BI8RM2P11 AMZN.COM/BILLWA763PEYU2EHQ</t>
  </si>
  <si>
    <t>AMAZON MKTPL*BI9FR75X2 AMZN.COM/BILLWA26VDXDM8U26</t>
  </si>
  <si>
    <t>AMAZON MKTPL*BZ03E2OQ3 AMZN.COM/BILLWABWIA00FO8VK</t>
  </si>
  <si>
    <t>AMAZON MKTPL*D11ED9FM3 AMZN.COM/BILLWA62GKUOBG8WZ</t>
  </si>
  <si>
    <t>AMAZON MKTPL*D743H5AO3 AMZN.COM/BILLWA67R56DRV2AO</t>
  </si>
  <si>
    <t>AMAZON MKTPL*DW5VI7PU3 AMZN.COM/BILLWA3CO5FYXT6ZW</t>
  </si>
  <si>
    <t>AMAZON MKTPL*EI75V9MK3 AMZN.COM/BILLWA5HS55EVAGNR</t>
  </si>
  <si>
    <t>AMAZON MKTPL*GR5R40P23 AMZN.COM/BILLWA2ENSBJO0C3I</t>
  </si>
  <si>
    <t>AMAZON MKTPL*H28FV40D3 AMZN.COM/BILLWA5TW0BFCYIYF</t>
  </si>
  <si>
    <t>AMAZON MKTPLACE PMTS AMZN.COM/BILLWA1KSHTONCMPP</t>
  </si>
  <si>
    <t>AMAZON MKTPLACE PMTS AMZN.COM/BILLWA36P6CEHJR31</t>
  </si>
  <si>
    <t>AMAZON MKTPLACE PMTS AMZN.COM/BILLWA3WCDDFTZW8R</t>
  </si>
  <si>
    <t>AMAZON MKTPLACE PMTS AMZN.COM/BILLWA3XZSM3DYI40</t>
  </si>
  <si>
    <t>AMAZON MKTPLACE PMTS AMZN.COM/BILLWA6ABUX7B0ZH6</t>
  </si>
  <si>
    <t>AMAZON PRIME*BB7MJ1S888-802-3080        WA</t>
  </si>
  <si>
    <t>AMAZON PRIME*NM0IA3Z888-802-3080        WA</t>
  </si>
  <si>
    <t>AMAZON.COM AMZN.COM/BILLWA18Y11AXSBOY</t>
  </si>
  <si>
    <t>AMAZON.COM*569H524L3 AMZN.COM/BILLWA7ILY4V2A4UH</t>
  </si>
  <si>
    <t>AMAZON.COM*B27QT1SW1 AMZN.COM/BILLWA56Z59SG3ATI</t>
  </si>
  <si>
    <t>AMAZON.COM*B82FU7M11 AMZN.COM/BILLWA4831OD21CLU</t>
  </si>
  <si>
    <t>AMAZON.COM*BB2EM9YE2 AMZN.COM/BILLWA1V99X8NU6NS</t>
  </si>
  <si>
    <t>AMAZON.COM*BI79G7IY0 AMZN.COM/BILLWA2E399CJZSRD</t>
  </si>
  <si>
    <t>AMAZON.COM*DY9DX8W83 AMZN.COM/BILLWAVB9TGNSG9XC</t>
  </si>
  <si>
    <t>AMAZON.COM*I63KP2OD3 AMZN.COM/BILLWACHNJVCN8G9O</t>
  </si>
  <si>
    <t>AMAZON.COM*KK8KG64J3 AMZN.COM/BILLWA2Q9C69X1L9V</t>
  </si>
  <si>
    <t>AMAZON.COM*O53OS86H3 AMZN.COM/BILLWA3HORW548B44</t>
  </si>
  <si>
    <t>AMAZON.COM*Q44QK3UG3 AMZN.COM/BILLWA90F440ILAB6</t>
  </si>
  <si>
    <t>AplPay BLVD   *FACEFEDINA               MN</t>
  </si>
  <si>
    <t>AplPay BOMBAS LLC   NEW YORK            NY</t>
  </si>
  <si>
    <t>AplPay BP#1370200CHACHANHASSEN          MN</t>
  </si>
  <si>
    <t>AplPay CIRCO TIMES SMANHATTAN           NY</t>
  </si>
  <si>
    <t>AplPay CULVERS OF CHCHASKA              MN</t>
  </si>
  <si>
    <t>AplPay ELITE NAILS LCHANHASSEN          MN</t>
  </si>
  <si>
    <t>AplPay GALATEA      SAN FRANCISCO       CA</t>
  </si>
  <si>
    <t>AplPay HOLIDAY STATIFOREST LAKE         MN</t>
  </si>
  <si>
    <t>AplPay KOHL'S       CHASKA              MN</t>
  </si>
  <si>
    <t>AplPay LLBEAN-DIRECT207-8654761         ME</t>
  </si>
  <si>
    <t>AplPay LUNDS&amp;BYERLYSMINNETONKA          MN</t>
  </si>
  <si>
    <t>AplPay MINNETONKA SKMinnetonka          MN</t>
  </si>
  <si>
    <t>AplPay NYCT PAYGO   NEW YORK            NY</t>
  </si>
  <si>
    <t>AplPay OGX MEDIA EXPNEW YORK            NY</t>
  </si>
  <si>
    <t>AplPay PARKING* EXCEMILWAUKEE           WI</t>
  </si>
  <si>
    <t>AplPay SP EVEREVE   EDINA               MN</t>
  </si>
  <si>
    <t>AplPay SP LITTLE SLESHERMAN OAKS        CA</t>
  </si>
  <si>
    <t>AplPay SP TECOVAS   AUSTIN              TX</t>
  </si>
  <si>
    <t>AplPay SWEETGREEN GAEDINA               MN</t>
  </si>
  <si>
    <t>AplPay TOP OF THE RONEW YORK            NY</t>
  </si>
  <si>
    <t>AplPay TRADER JOE S MINNEAPOLIS         MN</t>
  </si>
  <si>
    <t>AplPay TST* CATHY MASAINT BONIFAC       MN</t>
  </si>
  <si>
    <t>AplPay TST* CHRISTIEBRUCE               WI</t>
  </si>
  <si>
    <t>AplPay TST* MIRABELLEXCELSIOR           MN</t>
  </si>
  <si>
    <t>AplPay WATERWERKS CAMINNEAPOLIS         MN</t>
  </si>
  <si>
    <t>AplPay WWW.OGXPRO* TNEW YORK            NY</t>
  </si>
  <si>
    <t>AplPay YETI COOLERS,WILMINGTON          DE</t>
  </si>
  <si>
    <t>AT&amp;T 157138 O1L8    CHASKA              MN</t>
  </si>
  <si>
    <t>BACIO               MINNETONKA          MN</t>
  </si>
  <si>
    <t>BACKCOUNTRY.COM     COTTONWOOD HE       UT</t>
  </si>
  <si>
    <t>BONFES PLUMBING HEATING AXX6633 MN REF #XX7539A4S66D9NT5</t>
  </si>
  <si>
    <t>BONFES PLUMBING HEATING AXX6633 MN REF #XX7539B3S66LY49Z</t>
  </si>
  <si>
    <t>BP#9274721VERNON BP EDINA               MN</t>
  </si>
  <si>
    <t>BROOKLYN BAGELS - CHNEW YORK            NY</t>
  </si>
  <si>
    <t>BUCA-EDEN PRAIRIE   EDEN PRAIRIE        MN</t>
  </si>
  <si>
    <t>BUCK HILL-* BUCK HILBURNSVILLE          MN</t>
  </si>
  <si>
    <t>Deposit ACH EMPYREAN SOLUTIO TYPE: ACH ID: XX3620 CO: EMPYREAN SOLUTIO Entry Class Code: ACH Trace Number: XX3345</t>
  </si>
  <si>
    <t>Deposit ACH EMPYREAN SOLUTIO TYPE: ACH ID: XX3620 CO: EMPYREAN SOLUTIO Entry Class Code: ACH Trace Number: XX3346</t>
  </si>
  <si>
    <t>Deposit ACH EMPYREAN SOLUTIO TYPE: ACH ID: XX3620 CO: EMPYREAN SOLUTIO Entry Class Code: ACH Trace Number: XX8455</t>
  </si>
  <si>
    <t>Deposit Dividend Split Rate Annual Percentage Yield Earned 1.78% from 11/01/25 through 11/30/25</t>
  </si>
  <si>
    <t>Deposit Dividend Split Rate Annual Percentage Yield Earned 3.61% from 12/01/25 through 12/31/25</t>
  </si>
  <si>
    <t>Deposit Home Banking Transfer From Share 01 REF # XX8695</t>
  </si>
  <si>
    <t>DR. DENNIS GROSS    NEW YORK            NY</t>
  </si>
  <si>
    <t>Draft 2327 Tracer XXXXX0765</t>
  </si>
  <si>
    <t>Draft 2328 Tracer XXXXX2077</t>
  </si>
  <si>
    <t>ELITE NAILS LLC CHANHASSEN MN REF #XX1705AX3WAB4B4P</t>
  </si>
  <si>
    <t>FRG*NFLSHOP.COM     JACKSONVILLE        FL</t>
  </si>
  <si>
    <t>FROSTYSCHRISTMASBARNSAN DIEGO           CA</t>
  </si>
  <si>
    <t>GALATEA             SAN FRANCISCO       CA</t>
  </si>
  <si>
    <t>GOOGLE*GOOGLE ONE G.CO/HELPPAY#CA REF #XX0394B2SFG9J8HE</t>
  </si>
  <si>
    <t>GOOGLE*GOOGLE STORE  G.CO HELPPAY#</t>
  </si>
  <si>
    <t>GUNDRY MD, LLC      Encino              CA</t>
  </si>
  <si>
    <t>HAMPTON INN CHELSEA NEW YORK            NY</t>
  </si>
  <si>
    <t>HEARTFELT LLC       MINNEAPOLIS         MN</t>
  </si>
  <si>
    <t>JAXEN GREY RIDGEDALE HOPKINS MN REF #XX1339B905ASFN9K</t>
  </si>
  <si>
    <t>LADIBUGS INC 0000000HOPKINS             MN</t>
  </si>
  <si>
    <t>MAC'S LIQUOR        HOPKINS             MN</t>
  </si>
  <si>
    <t>MIKE'S BAIT ON 8 FOREST LAKE MN REF #XX0197B9HB7JN520</t>
  </si>
  <si>
    <t>MINNESOTA HORSE AND PRIOR LAKE          MN</t>
  </si>
  <si>
    <t>MINTED LLC          SAN FRANCISCO       CA</t>
  </si>
  <si>
    <t>MOULTRIE            BIRMINGHAM          AL</t>
  </si>
  <si>
    <t>MTA*NYCT PAYGO NEW YORK NYAPPLE PAY ENDING IN 9748008751531493</t>
  </si>
  <si>
    <t>NESPRESSO           (888)637-7737       NY</t>
  </si>
  <si>
    <t>NOBLE LION VICTORIA MN REF #XX4285B40FVE7Z2G</t>
  </si>
  <si>
    <t>Payment to xfinity</t>
  </si>
  <si>
    <t>Pinstripes</t>
  </si>
  <si>
    <t>ROLFS RESTAURANT 941212-4774750         NY</t>
  </si>
  <si>
    <t>SANDBOX VR DOMAIN   Austin              TX</t>
  </si>
  <si>
    <t>SP HOMAGE           COLUMBUS            OH</t>
  </si>
  <si>
    <t>SPO*LEBURGER4304 000MINNEAPOLIS         MN</t>
  </si>
  <si>
    <t>Sushi A Go Go AUS   Austin              TX</t>
  </si>
  <si>
    <t>THE HIGHWAY 46 STORE BALSAM LAKE WI REF #XX3454BB05J8D6V4</t>
  </si>
  <si>
    <t>TOTALWINE 1606 DIGITCHANHASSEN          MN</t>
  </si>
  <si>
    <t>Transfer to Shenzhen Shi</t>
  </si>
  <si>
    <t>TROLLHAUGEN - ECOM 0DRESSER             WI</t>
  </si>
  <si>
    <t>TST* BUCK '54 BAR &amp; BURNSVILLE          MN</t>
  </si>
  <si>
    <t>TST* CHRISTIE MOUNTABRUCE               WI</t>
  </si>
  <si>
    <t>TST* HEATHERS 2 0019MINNETONKA          MN</t>
  </si>
  <si>
    <t>TST* JACK &amp; GINGERS AUSTIN              TX</t>
  </si>
  <si>
    <t>TST* MCCORMICKS PUB WAYZATA             MN</t>
  </si>
  <si>
    <t>TST* VAGABONDO 00245EXCELSIOR           MN</t>
  </si>
  <si>
    <t>USPS PO 2630600331 0EXCELSIOR           MN</t>
  </si>
  <si>
    <t>WATERWERKS CAR WASH MINNEAPOLIS         MN</t>
  </si>
  <si>
    <t>WENDY S 419 00000041CHANHASSEN          MN</t>
  </si>
  <si>
    <t>WESTELM.COM         866-937-8356        CA</t>
  </si>
  <si>
    <t>WESTWOODCC.ORG 9522247300 MNAPPLE PAY ENDING IN 4748</t>
  </si>
  <si>
    <t>WILD RUMPUS 25233553MINNEAPOLIS         MN</t>
  </si>
  <si>
    <t>WINCHESTER AND RYE VICTORIA MN REF #XX2300B479SKV74G</t>
  </si>
  <si>
    <t>Withdrawal ACH CITY OF CHANHASS TYPE: UTIL BILL ID: XX5331 CO: CITY OF CHANHASS Entry Class Code: ACH Trace Number: XX0692</t>
  </si>
  <si>
    <t>Withdrawal ACH CITY OF CHANHASS TYPE: UTIL BILL ID: XX5331 CO: CITY OF CHANHASS Entry Class Code: ACH Trace Number: XX5666</t>
  </si>
  <si>
    <t>Withdrawal ACH Discover (CONA) TYPE: NET/MOBILE ID: XX0271 CO: Discover (CONA) NAME: JEFF TRUITT Entry Class Code: WEB ACH Trace Number: XX5449</t>
  </si>
  <si>
    <t>Withdrawal ACH ILD529 DIR ACH TYPE: CONTRIB ID: XX2584 CO: ILD529 DIR ACH Entry Class Code: ACH Trace Number: XX3091</t>
  </si>
  <si>
    <t>Withdrawal ACH ILD529 DIR ACH TYPE: CONTRIB ID: XX2584 CO: ILD529 DIR ACH NAME: 113 AXX3101 Entry Class Code: WEB ACH Trace Number: XX5833</t>
  </si>
  <si>
    <t>Withdrawal ACH MN DIR ACH TYPE: CONTRIB ID: XX7162 CO: MN DIR ACH NAME: XX2601 Entry Class Code: WEB ACH Trace Number: XX6899</t>
  </si>
  <si>
    <t>Withdrawal ACH MN DIR ACH TYPE: CONTRIB ID: XX7162 CO: MN DIR ACH NAME: XX2601 Entry Class Code: WEB ACH Trace Number: XX7663</t>
  </si>
  <si>
    <t>Withdrawal ACH MN DIR ACH TYPE: CONTRIB ID: XX7162 CO: MN DIR ACH NAME: XX2601 Entry Class Code: WEB ACH Trace Number: XX8095</t>
  </si>
  <si>
    <t>Withdrawal ACH mtkalax.org TYPE: mtkalax.or ID: XX5600 CO: mtkalax.org NAME: JEFF TRUITT Entry Class Code: WEB ACH Trace Number: XX3026</t>
  </si>
  <si>
    <t>Withdrawal ACH mtkalax.org TYPE: mtkalax.or ID: XX8598 CO: mtkalax.org NAME: JEFF TRUITT Entry Class Code: WEB ACH Trace Number: XX9477</t>
  </si>
  <si>
    <t>Withdrawal ACH mtkalax.org TYPE: mtkalax.or ID: XX8598 CO: mtkalax.org NAME: JEFF TRUITT Entry Class Code: WEB ACH Trace Number: XX9478</t>
  </si>
  <si>
    <t>Withdrawal at ATM #XX3276 Edina Gas 5209 VERNON AVE EDINA MN Card 5404</t>
  </si>
  <si>
    <t>Budget</t>
  </si>
  <si>
    <t>Actual</t>
  </si>
  <si>
    <t>Spending</t>
  </si>
  <si>
    <t>Monthly Budget:</t>
  </si>
  <si>
    <t>YTD Budget:</t>
  </si>
  <si>
    <t>Spend</t>
  </si>
  <si>
    <t>YTD Spend:</t>
  </si>
  <si>
    <t>Financial Goals:</t>
  </si>
  <si>
    <t xml:space="preserve">Pay for Cooper &amp; Tuckers college </t>
  </si>
  <si>
    <t xml:space="preserve">Retire comfortably </t>
  </si>
  <si>
    <t>Update house</t>
  </si>
  <si>
    <t>Stay in budget &amp; reduce stress around finances</t>
  </si>
  <si>
    <t>Yearly Spend Budget:</t>
  </si>
  <si>
    <t>Total Year Budget:</t>
  </si>
  <si>
    <t>Yearly Spend:</t>
  </si>
  <si>
    <t>Reforecast Budget:</t>
  </si>
  <si>
    <t>Income</t>
  </si>
  <si>
    <t>Projected</t>
  </si>
  <si>
    <t>Outlook</t>
  </si>
  <si>
    <t>Balance Sheet</t>
  </si>
  <si>
    <t>Assets</t>
  </si>
  <si>
    <t>$Δ</t>
  </si>
  <si>
    <t>%Δ</t>
  </si>
  <si>
    <t>Schwab</t>
  </si>
  <si>
    <t>Voya (Fidelity) 401K</t>
  </si>
  <si>
    <t>Vanguard 401K</t>
  </si>
  <si>
    <t>*estimated, not available</t>
  </si>
  <si>
    <t>BCU</t>
  </si>
  <si>
    <t>HSA</t>
  </si>
  <si>
    <t>Highlander</t>
  </si>
  <si>
    <t>Total</t>
  </si>
  <si>
    <t>Liabilities</t>
  </si>
  <si>
    <t>Kelly Blue Book</t>
  </si>
  <si>
    <t>Equity</t>
  </si>
  <si>
    <t>Highlander (5TDDZRFH8HS392730): Good</t>
  </si>
  <si>
    <t>BMW (WBAEK73454B322356): Good</t>
  </si>
  <si>
    <t>Car</t>
  </si>
  <si>
    <t>Retirement</t>
  </si>
  <si>
    <t>Investments</t>
  </si>
  <si>
    <t>Credit Union</t>
  </si>
  <si>
    <t>Net Worth</t>
  </si>
  <si>
    <t>Retirement Balance:</t>
  </si>
  <si>
    <t>Yearly Contribution:</t>
  </si>
  <si>
    <t>Total Contributions:</t>
  </si>
  <si>
    <t>Reitrement Year:</t>
  </si>
  <si>
    <t>*Assumes continued contributions and no withdrawls until retirement year</t>
  </si>
  <si>
    <t>Need 25x Annual Spend</t>
  </si>
  <si>
    <t>Annual Spend:</t>
  </si>
  <si>
    <t>25X Spend:</t>
  </si>
  <si>
    <t>Currently Have:</t>
  </si>
  <si>
    <t>Current Multiplier</t>
  </si>
  <si>
    <t>Steps:</t>
  </si>
  <si>
    <t>(1) Update cash postions / bonus</t>
  </si>
  <si>
    <t>(2) Sell stock / remove Sell Stock amount / Update cash positions</t>
  </si>
  <si>
    <t>(3) Change future Sell Stock values to cover all cost</t>
  </si>
  <si>
    <t>Kitchen Cost</t>
  </si>
  <si>
    <t>cash here but need for buffer/operating</t>
  </si>
  <si>
    <t>25% on signing, 25% the third week in July, 25% the second week in August and 25% at the end of August. </t>
  </si>
  <si>
    <t>Payment Schedule</t>
  </si>
  <si>
    <t>Sell stock</t>
  </si>
  <si>
    <t>Sell Stock</t>
  </si>
  <si>
    <t>Brit Bonus</t>
  </si>
  <si>
    <t>Pmt</t>
  </si>
  <si>
    <t>sign</t>
  </si>
  <si>
    <t>paid</t>
  </si>
  <si>
    <t>Furniture</t>
  </si>
  <si>
    <t>Italy</t>
  </si>
  <si>
    <t>Projection Waterfall</t>
  </si>
  <si>
    <t>Actual Waterfall</t>
  </si>
  <si>
    <t>Tax</t>
  </si>
  <si>
    <t>Expenses</t>
  </si>
  <si>
    <t>Left Over</t>
  </si>
  <si>
    <t>Projection</t>
  </si>
  <si>
    <t>Assumptions</t>
  </si>
  <si>
    <t>Simple Percentages</t>
  </si>
  <si>
    <t>Tax %</t>
  </si>
  <si>
    <t>Tax $</t>
  </si>
  <si>
    <t>Savings %</t>
  </si>
  <si>
    <t>Savings $</t>
  </si>
  <si>
    <t>Leftover for Spending</t>
  </si>
  <si>
    <t>Income Projection</t>
  </si>
  <si>
    <t>Brit Salary</t>
  </si>
  <si>
    <t>Jeff Salary</t>
  </si>
  <si>
    <t>Jeff Bonus</t>
  </si>
  <si>
    <t>Income Actual</t>
  </si>
  <si>
    <t>Jan</t>
  </si>
  <si>
    <t>Feb</t>
  </si>
  <si>
    <t>Mar</t>
  </si>
  <si>
    <t>Apr</t>
  </si>
  <si>
    <t>May</t>
  </si>
  <si>
    <t>Jun</t>
  </si>
  <si>
    <t>Jul</t>
  </si>
  <si>
    <t>Aug</t>
  </si>
  <si>
    <t>Sep</t>
  </si>
  <si>
    <t>Oct</t>
  </si>
  <si>
    <t>Nov</t>
  </si>
  <si>
    <t>Dec</t>
  </si>
  <si>
    <t>Brit Stock</t>
  </si>
  <si>
    <t>Inheritance</t>
  </si>
  <si>
    <t>Savings Projection</t>
  </si>
  <si>
    <t>Brit - 401K</t>
  </si>
  <si>
    <t>Brit - Traditional IRA</t>
  </si>
  <si>
    <t>Brit -Brokerage</t>
  </si>
  <si>
    <t>Jeff - 401K</t>
  </si>
  <si>
    <t>Jeff - Traditional IRA</t>
  </si>
  <si>
    <t>Jeff - Brokerage</t>
  </si>
  <si>
    <t>Tucker College</t>
  </si>
  <si>
    <t>Cooper College</t>
  </si>
  <si>
    <t>Rainy Day</t>
  </si>
  <si>
    <t>Mortgage Principal</t>
  </si>
  <si>
    <t>Mortgage Prepay / Invest</t>
  </si>
  <si>
    <t>I Bonds</t>
  </si>
  <si>
    <t>Savings Actual</t>
  </si>
  <si>
    <t>Brit - Cargill Stock</t>
  </si>
  <si>
    <t>Dep Care</t>
  </si>
  <si>
    <t>Car Saving</t>
  </si>
  <si>
    <t>Total Tax Rate</t>
  </si>
  <si>
    <t>Fed on Gross %</t>
  </si>
  <si>
    <t>State on Gross %</t>
  </si>
  <si>
    <t>SS on Gross %</t>
  </si>
  <si>
    <t>Medicare on Gross %</t>
  </si>
  <si>
    <t>Prev Year Fed Tax</t>
  </si>
  <si>
    <t>Total Income</t>
  </si>
  <si>
    <t xml:space="preserve">Taxable Income </t>
  </si>
  <si>
    <t>Tax Paid</t>
  </si>
  <si>
    <t>Tax % on Taxable</t>
  </si>
  <si>
    <t>Tax % on Gross</t>
  </si>
  <si>
    <t>Prev Year State Tax</t>
  </si>
  <si>
    <t>Other Tax</t>
  </si>
  <si>
    <t>YTD Pay</t>
  </si>
  <si>
    <t>Social Security</t>
  </si>
  <si>
    <t>Medicare</t>
  </si>
  <si>
    <t>Total SS %</t>
  </si>
  <si>
    <t>Total Medicare %</t>
  </si>
  <si>
    <t>Year</t>
  </si>
  <si>
    <t>Over/(Under)</t>
  </si>
  <si>
    <t>Total Rent &amp; Utilitites</t>
  </si>
  <si>
    <t>Total Food &amp; Car</t>
  </si>
  <si>
    <t>Total Other</t>
  </si>
  <si>
    <t>Total Spend</t>
  </si>
  <si>
    <t>Prev Year</t>
  </si>
  <si>
    <t>Values here pull into the monthy reporting for actual vs budget reporting</t>
  </si>
  <si>
    <t>Total Yearly</t>
  </si>
  <si>
    <t>Total All Spend</t>
  </si>
  <si>
    <t>Actuals</t>
  </si>
  <si>
    <t>Dif</t>
  </si>
  <si>
    <t>Revised Budget</t>
  </si>
  <si>
    <r>
      <rPr>
        <sz val="11"/>
        <color rgb="FF000000"/>
        <rFont val="Consolas"/>
      </rPr>
      <t>SUMIFS(Actuals!$E:$E,Actuals!$F:$F,</t>
    </r>
    <r>
      <rPr>
        <sz val="11"/>
        <color rgb="FF5F8CED"/>
        <rFont val="Consolas"/>
      </rPr>
      <t>Revised!$C11</t>
    </r>
    <r>
      <rPr>
        <sz val="11"/>
        <color rgb="FF000000"/>
        <rFont val="Consolas"/>
      </rPr>
      <t>,Actuals!$A:$A,</t>
    </r>
    <r>
      <rPr>
        <sz val="11"/>
        <color rgb="FFEB5E60"/>
        <rFont val="Consolas"/>
      </rPr>
      <t>Revised!D$1</t>
    </r>
    <r>
      <rPr>
        <sz val="11"/>
        <color rgb="FF000000"/>
        <rFont val="Consolas"/>
      </rPr>
      <t>)</t>
    </r>
  </si>
  <si>
    <t>Additional</t>
  </si>
  <si>
    <t>Rent is monthy interest payment (principle payment included in savings)</t>
  </si>
  <si>
    <t>Actuals formula:</t>
  </si>
  <si>
    <t>SUMIFS(Actuals!$E:$E,Actuals!$F:$F,Revised!$C11,Actuals!$A:$A,Revised!D$1)</t>
  </si>
  <si>
    <t>Sum of Amount</t>
  </si>
  <si>
    <t>Withdrawal ACH MN DIR ACH TYPE: CONTRIB ID: XX7162 CO: MN DIR ACH NAME: XX2</t>
  </si>
  <si>
    <t>Withdrawal ACH ILD529 DIR ACH TYPE: CONTRIB ID: XX2584 CO: ILD529 DIR ACH E</t>
  </si>
  <si>
    <t>Withdrawal ACH VENMO TYPE: PAYMENT ID: 326XXXXXXX CO: VENMO NAME: BRITNEY T</t>
  </si>
  <si>
    <t>Withdrawal ACH CITY OF CHANHASS TYPE: UTIL BILL ID: XX5331 CO: CITY OF CHAN</t>
  </si>
  <si>
    <t>Withdrawal ACH CPENERGY MNGCO TYPE: MGC ACH EB ID: 1XX1140S CO: CPENERGY MN</t>
  </si>
  <si>
    <t>Withdrawal ACH Mis Amigos Presc TYPE: ID: XX7393 NAME: BCU CO: Mis Amigos P</t>
  </si>
  <si>
    <t>Withdrawal ACH mtkalax.org TYPE: mtkalax.or ID: XX8598 CO: mtkalax.org NAME</t>
  </si>
  <si>
    <t>Withdrawal ACH HICKEYBANDO CO: HICKEYBANDO TYPE: IAT PAYPAL ID: 7XX0487C En</t>
  </si>
  <si>
    <t>Withdrawal ACH mtkalax.org TYPE: mtkalax.or ID: XX5600 CO: mtkalax.org NAME</t>
  </si>
  <si>
    <t>Withdrawal ACH AMEX EPAYMENT TYPE: ACH PMT ID: 0005000008 CO: AMEX EPAYMENT</t>
  </si>
  <si>
    <t>TST*OASIS AT VALENCIA BONITA SPRINGFLAPPLE PAY ENDING IN 762900195484024067</t>
  </si>
  <si>
    <t>Grand Total</t>
  </si>
  <si>
    <t>Actuals Averages</t>
  </si>
  <si>
    <t>Emergency Fund</t>
  </si>
  <si>
    <t>Prev 3 Mo</t>
  </si>
  <si>
    <t>Prev 6 Mo</t>
  </si>
  <si>
    <t>Prev 12 Mo</t>
  </si>
  <si>
    <t>Total 12 mo</t>
  </si>
  <si>
    <t>3 mo</t>
  </si>
  <si>
    <t>6 mo</t>
  </si>
  <si>
    <t>Essiential</t>
  </si>
  <si>
    <t>All Spend</t>
  </si>
  <si>
    <t>BCU Rainy Day</t>
  </si>
  <si>
    <t>Discover Savings</t>
  </si>
  <si>
    <t>*does not include yearly items in 3 &amp; 6mo avg</t>
  </si>
  <si>
    <t>To get to 6mo fund (months):</t>
  </si>
  <si>
    <t>Graph</t>
  </si>
  <si>
    <t>Revised Budget 9/2022</t>
  </si>
  <si>
    <t>Rent is monthy pmt - principle payment (principle paymet included in savings)</t>
  </si>
  <si>
    <t>Revised Budget 8/2022</t>
  </si>
  <si>
    <t>Revised Budget 6/2022</t>
  </si>
  <si>
    <t>Truitt 2022 Budget (Jan 2022)</t>
  </si>
  <si>
    <t>Jan 2022</t>
  </si>
  <si>
    <t>Feb 2022</t>
  </si>
  <si>
    <t>Mar 2022</t>
  </si>
  <si>
    <t>Apr 2022</t>
  </si>
  <si>
    <t>May 2022</t>
  </si>
  <si>
    <t>Jun 2022</t>
  </si>
  <si>
    <t>Jul 2022</t>
  </si>
  <si>
    <t>Aug 2022</t>
  </si>
  <si>
    <t>Sep 2022</t>
  </si>
  <si>
    <t>Oct 2022</t>
  </si>
  <si>
    <t>Nov 2022</t>
  </si>
  <si>
    <t>Dec 2022</t>
  </si>
  <si>
    <t>Reduce prin</t>
  </si>
  <si>
    <t>Reduce pre-pay</t>
  </si>
  <si>
    <t xml:space="preserve">Total </t>
  </si>
  <si>
    <t>Yearly</t>
  </si>
  <si>
    <t>Health Care</t>
  </si>
  <si>
    <t>Retirement Only</t>
  </si>
  <si>
    <t>Inputs</t>
  </si>
  <si>
    <t>Outputs</t>
  </si>
  <si>
    <t>Year:</t>
  </si>
  <si>
    <t>All Savings (includes brokerage)</t>
  </si>
  <si>
    <t>Jeff Yearly Contrib</t>
  </si>
  <si>
    <t>Money Lasts:</t>
  </si>
  <si>
    <t>Social security estimate</t>
  </si>
  <si>
    <t>Start:</t>
  </si>
  <si>
    <t>Brit Yearly Contrib</t>
  </si>
  <si>
    <t>*includes employer match</t>
  </si>
  <si>
    <t>Money at Retire age:</t>
  </si>
  <si>
    <t>https://www.ssa.gov/cgi-bin/benefit6.cgi</t>
  </si>
  <si>
    <t>End:</t>
  </si>
  <si>
    <t>Return rate</t>
  </si>
  <si>
    <t>Age when money runs out:</t>
  </si>
  <si>
    <t>www.ssa.gov/planners/lifeexpectancy.html.</t>
  </si>
  <si>
    <t>Change:</t>
  </si>
  <si>
    <t>Starting Balance</t>
  </si>
  <si>
    <t>Jeff Contrib:</t>
  </si>
  <si>
    <t>Jeff Social Security Benefit</t>
  </si>
  <si>
    <t>(4k - 17Kmo)</t>
  </si>
  <si>
    <t>https://www.ssa.gov/myaccount/</t>
  </si>
  <si>
    <t>Brit</t>
  </si>
  <si>
    <t>Brit Contrib:</t>
  </si>
  <si>
    <t>Brit Social Security Benefit</t>
  </si>
  <si>
    <t>Jeff SS:</t>
  </si>
  <si>
    <t>Jeff Retire Age (start spend)</t>
  </si>
  <si>
    <t>Brit SS:</t>
  </si>
  <si>
    <t>Brit Retire Age</t>
  </si>
  <si>
    <t>Spend:</t>
  </si>
  <si>
    <t xml:space="preserve">Retire Spend </t>
  </si>
  <si>
    <t>Taxes:</t>
  </si>
  <si>
    <t>Retire Spend (inflation adj)</t>
  </si>
  <si>
    <t>Tax Rate Retirement</t>
  </si>
  <si>
    <t>Gains:</t>
  </si>
  <si>
    <t>Months left</t>
  </si>
  <si>
    <t>#</t>
  </si>
  <si>
    <t>Is first Negative</t>
  </si>
  <si>
    <t>Jeff Age</t>
  </si>
  <si>
    <t>Brit Age</t>
  </si>
  <si>
    <t>Jeff Contrib</t>
  </si>
  <si>
    <t>Brit Contrib</t>
  </si>
  <si>
    <t>Jeff SS</t>
  </si>
  <si>
    <t>Brit SS</t>
  </si>
  <si>
    <t>Retire Spend</t>
  </si>
  <si>
    <t>Taxes</t>
  </si>
  <si>
    <t>Beg</t>
  </si>
  <si>
    <t>Interest / gains</t>
  </si>
  <si>
    <t>Interest</t>
  </si>
  <si>
    <t>https://www.schwab.com/retirement-planning-tools/retirement-calculator</t>
  </si>
  <si>
    <t>Notes from FIdelity meeting 2/10</t>
  </si>
  <si>
    <t>35 yrs old</t>
  </si>
  <si>
    <t xml:space="preserve">They have a MM account at 3.9-4.2% </t>
  </si>
  <si>
    <t>saving 53k yr</t>
  </si>
  <si>
    <t>Cost of college is a big unknown</t>
  </si>
  <si>
    <t>680,000 in retirement savings now</t>
  </si>
  <si>
    <t>Always pay off CC balances</t>
  </si>
  <si>
    <t>retire at 62</t>
  </si>
  <si>
    <t>On track to have ~6M in retirement</t>
  </si>
  <si>
    <t>can spend $150,000 in retirement</t>
  </si>
  <si>
    <t>Could use schwab account for home repairs</t>
  </si>
  <si>
    <t>Would be good to have separate accounts for car/home stuff</t>
  </si>
  <si>
    <t>https://www.wsj.com/articles/how-much-can-you-spend-in-retirement-questions-to-answer-11662487918?mod=Searchresults_pos4&amp;page=1</t>
  </si>
  <si>
    <t>dont count on SS</t>
  </si>
  <si>
    <t>WSJ retire example</t>
  </si>
  <si>
    <t>do not get forced to sell equities to cover expenses</t>
  </si>
  <si>
    <t>Example:</t>
  </si>
  <si>
    <t>NEED MORE CASH!!</t>
  </si>
  <si>
    <t>60 yr old</t>
  </si>
  <si>
    <t>If maket goes up then use schwab (sell stock) to do home updates</t>
  </si>
  <si>
    <t>income</t>
  </si>
  <si>
    <t>401K balance</t>
  </si>
  <si>
    <t>can spend monthly in retirement (retire at 65)</t>
  </si>
  <si>
    <t>Have now saved:</t>
  </si>
  <si>
    <t>Per year:</t>
  </si>
  <si>
    <t>Have at 60:</t>
  </si>
  <si>
    <t>can spend monthly in retirement (retire at 65):</t>
  </si>
  <si>
    <t>can spend yearly in retirement (retire at 65):</t>
  </si>
  <si>
    <t>SS at 65</t>
  </si>
  <si>
    <t>moderate drawdown</t>
  </si>
  <si>
    <t>401(k): Strategy-1</t>
  </si>
  <si>
    <t>For half of the funds in their 401(k), you could decide on the following combination of funds (mutual funds or ETFs). Once this has been set up, the rest would really be on auto-pilot. Every paycheck, contributions will be invested in the proportions as selected. Since this portfolio is very balanced, we hope to get a minimum growth of about 8%-9% annualized for the next 12 years.</t>
  </si>
  <si>
    <r>
      <t>·</t>
    </r>
    <r>
      <rPr>
        <sz val="7"/>
        <color rgb="FF222222"/>
        <rFont val="Times New Roman"/>
        <charset val="1"/>
      </rPr>
      <t xml:space="preserve">  </t>
    </r>
    <r>
      <rPr>
        <sz val="13.5"/>
        <color rgb="FF222222"/>
        <rFont val="Arial"/>
        <family val="2"/>
        <charset val="1"/>
      </rPr>
      <t>25% in the S&amp;P 500 fund</t>
    </r>
  </si>
  <si>
    <r>
      <t>·</t>
    </r>
    <r>
      <rPr>
        <sz val="7"/>
        <color rgb="FF222222"/>
        <rFont val="Times New Roman"/>
        <charset val="1"/>
      </rPr>
      <t xml:space="preserve">  </t>
    </r>
    <r>
      <rPr>
        <sz val="13.5"/>
        <color rgb="FF222222"/>
        <rFont val="Arial"/>
        <family val="2"/>
        <charset val="1"/>
      </rPr>
      <t>25% in the Total Stock Market fund or the Equal-weighted S&amp;P 500 fund</t>
    </r>
  </si>
  <si>
    <r>
      <t>·</t>
    </r>
    <r>
      <rPr>
        <sz val="7"/>
        <color rgb="FF222222"/>
        <rFont val="Times New Roman"/>
        <charset val="1"/>
      </rPr>
      <t xml:space="preserve">  </t>
    </r>
    <r>
      <rPr>
        <sz val="13.5"/>
        <color rgb="FF222222"/>
        <rFont val="Arial"/>
        <family val="2"/>
        <charset val="1"/>
      </rPr>
      <t>15% in high-growth Technology funds</t>
    </r>
  </si>
  <si>
    <r>
      <t>·</t>
    </r>
    <r>
      <rPr>
        <sz val="7"/>
        <color rgb="FF222222"/>
        <rFont val="Times New Roman"/>
        <charset val="1"/>
      </rPr>
      <t xml:space="preserve">  </t>
    </r>
    <r>
      <rPr>
        <sz val="13.5"/>
        <color rgb="FF222222"/>
        <rFont val="Arial"/>
        <family val="2"/>
        <charset val="1"/>
      </rPr>
      <t>15% in the Developed International fund</t>
    </r>
  </si>
  <si>
    <r>
      <t>·</t>
    </r>
    <r>
      <rPr>
        <sz val="7"/>
        <color rgb="FF222222"/>
        <rFont val="Times New Roman"/>
        <charset val="1"/>
      </rPr>
      <t xml:space="preserve">  </t>
    </r>
    <r>
      <rPr>
        <sz val="13.5"/>
        <color rgb="FF222222"/>
        <rFont val="Arial"/>
        <family val="2"/>
        <charset val="1"/>
      </rPr>
      <t>10% in Emerging Markets fund</t>
    </r>
  </si>
  <si>
    <r>
      <t>·</t>
    </r>
    <r>
      <rPr>
        <sz val="7"/>
        <color rgb="FF222222"/>
        <rFont val="Times New Roman"/>
        <charset val="1"/>
      </rPr>
      <t xml:space="preserve">  </t>
    </r>
    <r>
      <rPr>
        <sz val="13.5"/>
        <color rgb="FF222222"/>
        <rFont val="Arial"/>
        <family val="2"/>
        <charset val="1"/>
      </rPr>
      <t>10% in Bonds and Treasury funds.</t>
    </r>
  </si>
  <si>
    <t>401(k): Strategy-2</t>
  </si>
  <si>
    <t>We recommend deploying the second half of 401(k) money in a risk-adjusted strategy to ensure that we get most of the gains of the market, but at the same time, it will hedge the risks in case of a bear market. This strategy is discussed in the next section. We can hope to get at least a 10% return from this strategy. Besides a decent return, this strategy will reduce the overall volatility to a great extent.</t>
  </si>
  <si>
    <t>Strategy-2: Risk-hedged rotation strategy for low drawdowns (for 401(k) accounts)</t>
  </si>
  <si>
    <t>Since this strategy is being implemented inside 401(k) accounts, it needs to be simple and easy to implement. Most 401(k) accounts offer a limited number of funds that one has to choose from. This strategy rotates on a monthly basis.</t>
  </si>
  <si>
    <t>The strategy will be invested in one of the following four securities (or equivalent funds), which are:</t>
  </si>
  <si>
    <t>·  Vanguard 500 Index Fund Investor (VFINX)</t>
  </si>
  <si>
    <t>·  Vanguard Total International Stock Index Fund Inv (VGTSX)</t>
  </si>
  <si>
    <t>·  Vanguard Long-Term Treasury Fund (VUSTX)</t>
  </si>
  <si>
    <r>
      <t>·</t>
    </r>
    <r>
      <rPr>
        <sz val="7"/>
        <color rgb="FF222222"/>
        <rFont val="Times New Roman"/>
        <charset val="1"/>
      </rPr>
      <t xml:space="preserve">  </t>
    </r>
    <r>
      <rPr>
        <sz val="13.5"/>
        <color rgb="FF222222"/>
        <rFont val="Arial"/>
        <family val="2"/>
        <charset val="1"/>
      </rPr>
      <t>Vanguard Short-Term Treasury ETF (</t>
    </r>
    <r>
      <rPr>
        <sz val="13.5"/>
        <color rgb="FF0000FF"/>
        <rFont val="Times New Roman"/>
        <charset val="1"/>
      </rPr>
      <t>VGSH</t>
    </r>
    <r>
      <rPr>
        <sz val="13.5"/>
        <color rgb="FF222222"/>
        <rFont val="Arial"/>
        <family val="2"/>
        <charset val="1"/>
      </rPr>
      <t>) or iShares 1-3 Year (Short-term) Treasury Bond ETF (</t>
    </r>
    <r>
      <rPr>
        <sz val="13.5"/>
        <color rgb="FF0000FF"/>
        <rFont val="Times New Roman"/>
        <charset val="1"/>
      </rPr>
      <t>SHY</t>
    </r>
    <r>
      <rPr>
        <sz val="13.5"/>
        <color rgb="FF222222"/>
        <rFont val="Arial"/>
        <family val="2"/>
        <charset val="1"/>
      </rPr>
      <t>)</t>
    </r>
  </si>
  <si>
    <t>VUSTX and VGSH are two of the hedging assets and will be used only when the other main securities are not performing well. By deploying this strategy, since Jan. 1997, it has returned an annualized return of 13.03% compared to 8.57% from the S&amp;P 500. In the year 2008, it was up slightly compared to -37% for the S&amp;P 500. During the tech-bubble crash from 2000-2002, the RA (risk-adjusted) model was down only by 3.2% cumulatively, while the S&amp;P 500 lost more than 43% during those three years. We would like to caution that backtesting results are no guarantee of similar results in the future because no two periods are going to be the same. However, the main advantage of using such a strategy would be to limit the downside and drawdowns during recessions and corrections.</t>
  </si>
  <si>
    <t>Strategy-2B: Risk-hedged rotation strategy (for IRA, 401(k) accounts)</t>
  </si>
  <si>
    <t>Note: This strategy is for accounts where it is possible to trade individual stocks or funds. These days, many brokerages that manage 401(k) accounts also allow participants to invest in individual securities.</t>
  </si>
  <si>
    <t>This Rotational model could be used either as an alternative to the first one or as an addition. Having two models provide some diversification as well. This model also can generate some income (of 5% or so) on a consistent basis with limited drawdowns and much lower risk than S&amp;P 500. Though we recognize that young folks do not need income so that income can grow within the portfolio. The model uses five CEFs (closed-end funds) from various asset classes and uses a short-term Treasury fund as the hedging security. We compare the performance of each of the six securities (including distributions) during the previous three and seven months (average the two) and select the top 3 performing funds for investment. Any security that had a negative performance return is not selected and replaced with the hedging asset, i.e., SHY. This process is repeated on a monthly basis at the end of each month.</t>
  </si>
  <si>
    <t>There will be times when the portfolio is partially or even fully invested in SHY (SHY generating little income), but most times (at least 2/3rd of the time), it will be invested in CEFs, generating nearly 8% income. If we average it out, it should be able to provide roughly 6% of income.</t>
  </si>
  <si>
    <t>The five CEF securities are:</t>
  </si>
  <si>
    <t>EV Tax-Advantaged Dividend Income (EVT)</t>
  </si>
  <si>
    <t>Flaherty &amp; Crumrine Preferred and Income Securities (FFC)</t>
  </si>
  <si>
    <t>Kayne Anderson Energy Infrastructure (KYN)</t>
  </si>
  <si>
    <t>Nuveen Muni High Inc Opp (NMZ)</t>
  </si>
  <si>
    <t>Cohen &amp; Steers Qty Inc Realty (RQI)</t>
  </si>
  <si>
    <t>BlackRock Science &amp; Technology (BST)</t>
  </si>
  <si>
    <t>iShares 1-3 Year (Short-term) Treasury Bond ETF (SHY)</t>
  </si>
  <si>
    <t>IRAs: Strategy-3</t>
  </si>
  <si>
    <t>Since you will be saving at least $5,000 in your IRAs every year, this will also provide you with tax deductions at the assumed income level.</t>
  </si>
  <si>
    <t>We recommend putting these funds into DGI (Dividend Growth Investing) stocks and implementing a DGI Portfolio, described in the next section. Please note that the DGI portfolio stocks/securities must be evaluated every three years to see if any changes need to be made. A company that appears to be excellent today in terms of its wider moat and long-term perspective may start underperforming in the future due to unforeseen reasons.</t>
  </si>
  <si>
    <t>Retire Year:</t>
  </si>
  <si>
    <t>Current Retirement Balance:</t>
  </si>
  <si>
    <t>Additional Retirement Balance:</t>
  </si>
  <si>
    <t>Total Retirement Balance:</t>
  </si>
  <si>
    <t>Retire Contrib:</t>
  </si>
  <si>
    <t>Months left in year:</t>
  </si>
  <si>
    <t>Start Bal</t>
  </si>
  <si>
    <t>End Bal</t>
  </si>
  <si>
    <t>Age</t>
  </si>
  <si>
    <t>Contrib</t>
  </si>
  <si>
    <t>AGI</t>
  </si>
  <si>
    <t>Schwab calculator</t>
  </si>
  <si>
    <t>https://www.schwab.com/saving-for-college/college-savings-calculator</t>
  </si>
  <si>
    <t>College cost assumptions</t>
  </si>
  <si>
    <t>Undergrad cost</t>
  </si>
  <si>
    <t>https://www.mefa.org/pay/college-cost-projector#future-college-costs</t>
  </si>
  <si>
    <t>MBA</t>
  </si>
  <si>
    <t>https://www.mbaandbeyond.com/blog/mba-fees-in-the-usa#:~:text=Average%20MBA%20Tuition%20Costs%20Across%20the%20Country&amp;text=On%20average%2C%20aspiring%20MBA%20candidates,to%20%24100%2C000%20per%20academic%20year.</t>
  </si>
  <si>
    <t>2024 Per Year</t>
  </si>
  <si>
    <t>60-100K</t>
  </si>
  <si>
    <t>Can be upwards of 250K</t>
  </si>
  <si>
    <t>Inputs:</t>
  </si>
  <si>
    <t>Lookup</t>
  </si>
  <si>
    <t>DC</t>
  </si>
  <si>
    <t>Grade</t>
  </si>
  <si>
    <t>National Public 4-Year Out-of-State</t>
  </si>
  <si>
    <t>Years Away</t>
  </si>
  <si>
    <t>MBA Cost</t>
  </si>
  <si>
    <t>Find Next July</t>
  </si>
  <si>
    <t>IR</t>
  </si>
  <si>
    <t>K</t>
  </si>
  <si>
    <t>2036-2037</t>
  </si>
  <si>
    <t>Today month</t>
  </si>
  <si>
    <t>Monthy Contrib</t>
  </si>
  <si>
    <t>2037-2038</t>
  </si>
  <si>
    <t>year of next july</t>
  </si>
  <si>
    <t>2038-2039</t>
  </si>
  <si>
    <t>next july</t>
  </si>
  <si>
    <t> tuition, fees, food, and housing</t>
  </si>
  <si>
    <t>2039-2040</t>
  </si>
  <si>
    <t>Total Value</t>
  </si>
  <si>
    <t>2040-2041</t>
  </si>
  <si>
    <t>Months left in school year</t>
  </si>
  <si>
    <t>2041-2042</t>
  </si>
  <si>
    <t>2039-2041</t>
  </si>
  <si>
    <t>Notes:</t>
  </si>
  <si>
    <t>2040-2042</t>
  </si>
  <si>
    <t>Cooper will graduate mid 2036, start college Aug 2036</t>
  </si>
  <si>
    <t>School year Aug - July</t>
  </si>
  <si>
    <t>2041-2043</t>
  </si>
  <si>
    <t>School Year</t>
  </si>
  <si>
    <t>Grade (spring)</t>
  </si>
  <si>
    <t>Cost</t>
  </si>
  <si>
    <t>Ending</t>
  </si>
  <si>
    <t>2039-2042</t>
  </si>
  <si>
    <t>College</t>
  </si>
  <si>
    <t>2040-2043</t>
  </si>
  <si>
    <t>2041-2044</t>
  </si>
  <si>
    <t>2039-2043</t>
  </si>
  <si>
    <t>2040-2044</t>
  </si>
  <si>
    <t>Work 1</t>
  </si>
  <si>
    <t>2041-2045</t>
  </si>
  <si>
    <t>Work 2</t>
  </si>
  <si>
    <t>2039-2044</t>
  </si>
  <si>
    <t>Work 3</t>
  </si>
  <si>
    <t>2040-2045</t>
  </si>
  <si>
    <t>Work 4</t>
  </si>
  <si>
    <t>2041-2046</t>
  </si>
  <si>
    <t>Work 5</t>
  </si>
  <si>
    <t>2039-2045</t>
  </si>
  <si>
    <t>Jeff 401K</t>
  </si>
  <si>
    <t>Britney 401K</t>
  </si>
  <si>
    <t>Britney IRA</t>
  </si>
  <si>
    <t>Jeff Income</t>
  </si>
  <si>
    <t>Britney Income</t>
  </si>
  <si>
    <t>2022 Estimate</t>
  </si>
  <si>
    <t>2023 Estimate</t>
  </si>
  <si>
    <t>Adj Income</t>
  </si>
  <si>
    <t>Adj Inc</t>
  </si>
  <si>
    <t>Federal</t>
  </si>
  <si>
    <t>State</t>
  </si>
  <si>
    <t>SS</t>
  </si>
  <si>
    <t>Med</t>
  </si>
  <si>
    <t>From W2</t>
  </si>
  <si>
    <t>Net</t>
  </si>
  <si>
    <t>Gross 186,652 - 401k 19,500 = 167,173</t>
  </si>
  <si>
    <t>Brit Income</t>
  </si>
  <si>
    <t>Gross (SS wage) #1 $32,027 + Gross (SS wage) #2 139,464 - 401K 19,500</t>
  </si>
  <si>
    <t xml:space="preserve">Adjusted Gross Income </t>
  </si>
  <si>
    <t>Total from W2 and investment income</t>
  </si>
  <si>
    <t xml:space="preserve"> Taxable Income</t>
  </si>
  <si>
    <t xml:space="preserve"> Total Tax </t>
  </si>
  <si>
    <t>projected 2022 total tax</t>
  </si>
  <si>
    <t xml:space="preserve"> Total Payments/Credits </t>
  </si>
  <si>
    <t xml:space="preserve"> Amount to be Refunded </t>
  </si>
  <si>
    <t xml:space="preserve"> Effective Tax Rate </t>
  </si>
  <si>
    <t>Jeff paid YTD</t>
  </si>
  <si>
    <t>Tax on Taxable</t>
  </si>
  <si>
    <t>Jeff per paychex</t>
  </si>
  <si>
    <t>Paychecks left</t>
  </si>
  <si>
    <t>Total 2022 proj</t>
  </si>
  <si>
    <t>Need additional</t>
  </si>
  <si>
    <t>more per paycheck</t>
  </si>
  <si>
    <t>brit paid YTD</t>
  </si>
  <si>
    <t>brit per paychex</t>
  </si>
  <si>
    <t>need to WH more</t>
  </si>
  <si>
    <t>Gross Income</t>
  </si>
  <si>
    <t xml:space="preserve"> Total Tax</t>
  </si>
  <si>
    <t>Total Tax</t>
  </si>
  <si>
    <t xml:space="preserve"> Payment Due </t>
  </si>
  <si>
    <t>Need to ensure we are witholding more tax this year than last (bc of gain on syntellis investment)</t>
  </si>
  <si>
    <t>WH in 2021</t>
  </si>
  <si>
    <t>Emp Aug 31st</t>
  </si>
  <si>
    <t>Syntellis</t>
  </si>
  <si>
    <t>Per paycheck</t>
  </si>
  <si>
    <t>YTD (8/28)</t>
  </si>
  <si>
    <t>Remaining</t>
  </si>
  <si>
    <t>TOTAL TAXES PAID 2021</t>
  </si>
  <si>
    <t>Britney year end paycheck</t>
  </si>
  <si>
    <t>FEDERAL</t>
  </si>
  <si>
    <t>STATE</t>
  </si>
  <si>
    <t>Total pay</t>
  </si>
  <si>
    <t>Total WH</t>
  </si>
  <si>
    <t>WH</t>
  </si>
  <si>
    <t>Dependant Care</t>
  </si>
  <si>
    <t>Return</t>
  </si>
  <si>
    <t>Child tax credit</t>
  </si>
  <si>
    <t>MN WH</t>
  </si>
  <si>
    <t>Total Credit</t>
  </si>
  <si>
    <t>Tax paid</t>
  </si>
  <si>
    <t>% of Gross income</t>
  </si>
  <si>
    <t>https://myaccount.centerpointenergy.com/App/Billing/Public/ACHBillPaymentConfirmation.aspx</t>
  </si>
  <si>
    <t>https://chanhassen.merchanttransact.com/secure/home</t>
  </si>
  <si>
    <t>https://dh.centurylink.com/home</t>
  </si>
  <si>
    <t>https://www.wm.com/us/en/mywm/user/dashboard</t>
  </si>
  <si>
    <t>https://my.xcelenergy.com/MyAccount/s/</t>
  </si>
  <si>
    <t>https://global.americanexpress.com/dashboard</t>
  </si>
  <si>
    <t>Truitt 2022 Budget</t>
  </si>
  <si>
    <t>Est. Income</t>
  </si>
  <si>
    <t>Income Assumptions</t>
  </si>
  <si>
    <t>Savings Rate</t>
  </si>
  <si>
    <t>Syntellis Investment</t>
  </si>
  <si>
    <t>Tax Rate</t>
  </si>
  <si>
    <t>Brit Income (Salary)</t>
  </si>
  <si>
    <t>Brit Income (Bonus)</t>
  </si>
  <si>
    <t>Left over for spending</t>
  </si>
  <si>
    <t>Sending detail</t>
  </si>
  <si>
    <t>Tax Assumptions</t>
  </si>
  <si>
    <t>Variance</t>
  </si>
  <si>
    <t>2021 Jeff Income</t>
  </si>
  <si>
    <t>2021 Brit Income</t>
  </si>
  <si>
    <t>2021 Gross Income</t>
  </si>
  <si>
    <t>Savings esitmate</t>
  </si>
  <si>
    <t>2021 Fed Tax</t>
  </si>
  <si>
    <t>Savings detail</t>
  </si>
  <si>
    <t>2021 Fed Effective Tax Rate</t>
  </si>
  <si>
    <t>2021 MN Tax</t>
  </si>
  <si>
    <t>2021 MN Effective Tax Rate</t>
  </si>
  <si>
    <t>Social Security %</t>
  </si>
  <si>
    <t>Tax estimte</t>
  </si>
  <si>
    <t>Medicare %</t>
  </si>
  <si>
    <t>Tax detail</t>
  </si>
  <si>
    <t>Total Tax %</t>
  </si>
  <si>
    <t>RETIREMENT</t>
  </si>
  <si>
    <t>TAX</t>
  </si>
  <si>
    <t>Detail</t>
  </si>
  <si>
    <t>Fed</t>
  </si>
  <si>
    <t>MN Tax</t>
  </si>
  <si>
    <t>Syntellis Investment Tax</t>
  </si>
  <si>
    <t>50 / 30 / 20</t>
  </si>
  <si>
    <t>Monthly spend</t>
  </si>
  <si>
    <t>Post Tax Income</t>
  </si>
  <si>
    <t>Principle &amp; prepay</t>
  </si>
  <si>
    <t>Essiential spending (50%)</t>
  </si>
  <si>
    <t>Monthly spend (less prin/prepay)</t>
  </si>
  <si>
    <t>Non-essiential spending (30%)</t>
  </si>
  <si>
    <t>Yearly spend</t>
  </si>
  <si>
    <t>Savings (20%)</t>
  </si>
  <si>
    <t>Spending detail</t>
  </si>
  <si>
    <t>Fidelity 401K</t>
  </si>
  <si>
    <t>Treasury Direct</t>
  </si>
  <si>
    <t>NW should be Age * Annual Income /10</t>
  </si>
  <si>
    <t>Average Age</t>
  </si>
  <si>
    <t>Annual Income</t>
  </si>
  <si>
    <t>NW should be:</t>
  </si>
  <si>
    <t>Actual NW:</t>
  </si>
  <si>
    <t>Yearly Principle</t>
  </si>
  <si>
    <t>Yearly Prepay</t>
  </si>
  <si>
    <t>Pay Chx</t>
  </si>
  <si>
    <t>Monthly</t>
  </si>
  <si>
    <t>Yr</t>
  </si>
  <si>
    <t>Jeff - Mortgage Prepay</t>
  </si>
  <si>
    <t>Salary</t>
  </si>
  <si>
    <t>Bonus</t>
  </si>
  <si>
    <t>Gross</t>
  </si>
  <si>
    <t>Traditional IRA</t>
  </si>
  <si>
    <t xml:space="preserve">Jeff </t>
  </si>
  <si>
    <t>Syntellis Invest</t>
  </si>
  <si>
    <t>Map</t>
  </si>
  <si>
    <t>total - rent - college sav</t>
  </si>
  <si>
    <t>Mortgage</t>
  </si>
  <si>
    <t>Mortgage Interest</t>
  </si>
  <si>
    <t>Mortgage Prepay</t>
  </si>
  <si>
    <t>Principal</t>
  </si>
  <si>
    <t>M</t>
  </si>
  <si>
    <t>Y</t>
  </si>
  <si>
    <t>%</t>
  </si>
  <si>
    <t>Retirement Savings</t>
  </si>
  <si>
    <t>Calc</t>
  </si>
  <si>
    <t>New</t>
  </si>
  <si>
    <t>Final</t>
  </si>
  <si>
    <t>Interest (not calc)</t>
  </si>
  <si>
    <t>Phone Bill</t>
  </si>
  <si>
    <t>Error Check</t>
  </si>
  <si>
    <t>No Category</t>
  </si>
  <si>
    <t>Grocery</t>
  </si>
  <si>
    <t>Cur 12 Mo</t>
  </si>
  <si>
    <t>Prior to 24 Mo</t>
  </si>
  <si>
    <t>Change</t>
  </si>
  <si>
    <t xml:space="preserve">3 panel approach (CFA) </t>
  </si>
  <si>
    <t>https://www.pasbf.org/wp-content/uploads/2016/12/Three-Pannel-Approach.pdf</t>
  </si>
  <si>
    <t>household should spend a maximum of 28% of its gross monthly income on total housing expenses and no more than 36% on total debt service (loans &amp; CC)</t>
  </si>
  <si>
    <t>Risks</t>
  </si>
  <si>
    <t>Life Insurance - Typical benchmark is 10-16x gross income, if the client has a life insurance need</t>
  </si>
  <si>
    <t>Empyrean:  1X Earnings Supplemental Life (170K)</t>
  </si>
  <si>
    <t>Health Insurance - at least $1M lifetime cap</t>
  </si>
  <si>
    <t>Disability - if paying with after tax dollars then a policy of 60-70% of gross income is necessary</t>
  </si>
  <si>
    <t>Jeff: ES pays 50,000, 30% of gross income</t>
  </si>
  <si>
    <t xml:space="preserve">Property - (home and auto) a policy that covers both home and auto for fair market value </t>
  </si>
  <si>
    <t>Yes, AMFM</t>
  </si>
  <si>
    <t>Long term care - a policy that provides a daily benefit for nursing home care, home health care, or help wihth activiites of daily living (ADLs) with inflation protection is necessary</t>
  </si>
  <si>
    <t>Not needed till 50's or 60's</t>
  </si>
  <si>
    <t>Personal liability / umbrella policy - PLUP with $1-3M in liability protection</t>
  </si>
  <si>
    <t>Short-Term Savings and Investments</t>
  </si>
  <si>
    <t>Emergency Fund - Need 3-6 months of non-discretionary expenses in an emergency fund</t>
  </si>
  <si>
    <t>1 month spend</t>
  </si>
  <si>
    <t># of months</t>
  </si>
  <si>
    <t>Housing Ratio - primary mortgage (principle, interest, taxes, insurance should not exceed 28% of gross income</t>
  </si>
  <si>
    <t>Housing Ratio Plus All Other Debt Ratio - mortgage plus all other recurring debt payments should not be more than 36% of gross income</t>
  </si>
  <si>
    <t>Good Debt vs Bad Debt</t>
  </si>
  <si>
    <t>Good debt: when useful life of asset far exceeds the term of the debt (15yr mortgage, 3yr car loan)</t>
  </si>
  <si>
    <t>Reasonable debt: 30 yr mortgage, 5-year car loan</t>
  </si>
  <si>
    <t>Bad debt: carrying credit card debt each month</t>
  </si>
  <si>
    <t>Long-Term Savings and Investments</t>
  </si>
  <si>
    <t>Education Funding - should save 3K per year (public state university), 6K per year (semi-private university), 9K per year (compeitive private university) for 18 years</t>
  </si>
  <si>
    <t>Saving per year Cooper:</t>
  </si>
  <si>
    <t>Cooper balance:</t>
  </si>
  <si>
    <t>Cooper age:</t>
  </si>
  <si>
    <t>Balance / age:</t>
  </si>
  <si>
    <t>*should be higher than suggested yearly contribution</t>
  </si>
  <si>
    <t>Saving per year Tucker:</t>
  </si>
  <si>
    <t>Tucker Balance:</t>
  </si>
  <si>
    <t>Tucker age:</t>
  </si>
  <si>
    <t xml:space="preserve">Retirement Amount - At age 62 need to have 16x amount of income needed annually.  </t>
  </si>
  <si>
    <t>Have now:</t>
  </si>
  <si>
    <t>Now Spend:</t>
  </si>
  <si>
    <t>Current X:</t>
  </si>
  <si>
    <t>Retire Spend:</t>
  </si>
  <si>
    <t>Will have (8%):</t>
  </si>
  <si>
    <t>Will have (8%) X:</t>
  </si>
  <si>
    <t>Will have (10%):</t>
  </si>
  <si>
    <t>Will have (10%) X:</t>
  </si>
  <si>
    <t>Savings Rate - need to save 10-12% towards a retirement goal (assume starting at early age) does not include education savings</t>
  </si>
  <si>
    <t>Return on Investments - should expect around 10-12% return on investments with a long term investing horizon</t>
  </si>
  <si>
    <t>Risk - Standard deviation should be resonably be around 8-14% for a diversified portfolio</t>
  </si>
  <si>
    <t>Legacy</t>
  </si>
  <si>
    <t>Should have:</t>
  </si>
  <si>
    <t>Will</t>
  </si>
  <si>
    <t>Durable power of attorney for healthcare</t>
  </si>
  <si>
    <t>Advanced medical directive</t>
  </si>
  <si>
    <t>Ratios</t>
  </si>
  <si>
    <t>Emergency fund: current assets/ monthly non discretionary expenses.  Need 3-6months</t>
  </si>
  <si>
    <t>Current rate: current assets/current liabilities</t>
  </si>
  <si>
    <t>Housing ratio: monthly housing cost(p I t I) less than 28% of net income</t>
  </si>
  <si>
    <t>All debt (cc auto) less than 36% of gross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</si>
</sst>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8" formatCode="&quot;$&quot;#,##0.00_);[Red]\(&quot;$&quot;#,##0.00\)"/>
    <numFmt numFmtId="43" formatCode="_(* #,##0.00_);_(* \(#,##0.00\);_(* &quot;-&quot;??_);_(@_)"/>
    <numFmt numFmtId="164" formatCode="_(* #,##0_);_(* \(#,##0\);_(* &quot;-&quot;??_);_(@_)"/>
    <numFmt numFmtId="165" formatCode="&quot;$&quot;#,##0"/>
    <numFmt numFmtId="166" formatCode="mmm\ yyyy"/>
    <numFmt numFmtId="167" formatCode="0.0%"/>
    <numFmt numFmtId="168" formatCode="0.0"/>
    <numFmt numFmtId="169" formatCode="_(* #,##0.0_);_(* \(#,##0.0\);_(* &quot;-&quot;??_);_(@_)"/>
    <numFmt numFmtId="170" formatCode="&quot;$&quot;#,##0.0_);[Red]\(&quot;$&quot;#,##0.0\)"/>
    <numFmt numFmtId="171" formatCode="0.0000"/>
    <numFmt numFmtId="172" formatCode="_(* #,##0.0_);_(* \(#,##0.0\);_(* &quot;-&quot;?_);_(@_)"/>
    <numFmt numFmtId="173" formatCode="_(* #,##0_);_(* \(#,##0\);_(* &quot;-&quot;?_);_(@_)"/>
    <numFmt numFmtId="174" formatCode="_([$$-409]* #,##0_);_([$$-409]* \(#,##0\);_([$$-409]* &quot;-&quot;??_);_(@_)"/>
  </numFmts>
  <fonts count="45">
    <font>
      <sz val="11"/>
      <color theme="1"/>
      <name val="Calibri"/>
      <family val="2"/>
      <scheme val="minor"/>
    </font>
    <font>
      <b/>
      <sz val="11"/>
      <color rgb="FF000000"/>
      <name val="Segoe UI"/>
      <family val="2"/>
    </font>
    <font>
      <sz val="10"/>
      <color rgb="FF000000"/>
      <name val="Segoe UI"/>
      <family val="2"/>
    </font>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sz val="12"/>
      <color theme="1"/>
      <name val="Calibri"/>
      <family val="2"/>
      <scheme val="minor"/>
    </font>
    <font>
      <sz val="10"/>
      <color theme="2" tint="-0.249977111117893"/>
      <name val="Calibri"/>
      <family val="2"/>
      <scheme val="minor"/>
    </font>
    <font>
      <b/>
      <sz val="16"/>
      <color rgb="FF595959"/>
      <name val="Calibri"/>
      <family val="2"/>
      <scheme val="minor"/>
    </font>
    <font>
      <sz val="14"/>
      <color rgb="FF5B9BD5"/>
      <name val="Calibri"/>
      <family val="2"/>
      <scheme val="minor"/>
    </font>
    <font>
      <b/>
      <sz val="14"/>
      <color rgb="FF595959"/>
      <name val="Calibri"/>
      <family val="2"/>
      <scheme val="minor"/>
    </font>
    <font>
      <b/>
      <sz val="16"/>
      <color theme="1"/>
      <name val="Calibri"/>
      <family val="2"/>
      <scheme val="minor"/>
    </font>
    <font>
      <b/>
      <sz val="11"/>
      <color rgb="FF000000"/>
      <name val="Segoe UI"/>
    </font>
    <font>
      <sz val="11"/>
      <color rgb="FF000000"/>
      <name val="Calibri"/>
      <family val="2"/>
      <scheme val="minor"/>
    </font>
    <font>
      <u/>
      <sz val="11"/>
      <color theme="10"/>
      <name val="Calibri"/>
      <family val="2"/>
      <scheme val="minor"/>
    </font>
    <font>
      <sz val="10"/>
      <color theme="1"/>
      <name val="Calibri"/>
      <family val="2"/>
      <scheme val="minor"/>
    </font>
    <font>
      <b/>
      <sz val="14"/>
      <color theme="1"/>
      <name val="Calibri"/>
      <family val="2"/>
      <scheme val="minor"/>
    </font>
    <font>
      <sz val="11"/>
      <color rgb="FF000000"/>
      <name val="Calibri"/>
      <family val="2"/>
    </font>
    <font>
      <b/>
      <sz val="11"/>
      <color rgb="FF000000"/>
      <name val="Calibri"/>
      <family val="2"/>
    </font>
    <font>
      <b/>
      <sz val="12"/>
      <color rgb="FF222222"/>
      <name val="Arial"/>
      <family val="2"/>
      <charset val="1"/>
    </font>
    <font>
      <sz val="12"/>
      <color rgb="FF222222"/>
      <name val="Arial"/>
      <family val="2"/>
      <charset val="1"/>
    </font>
    <font>
      <sz val="7"/>
      <color rgb="FF222222"/>
      <name val="Times New Roman"/>
      <charset val="1"/>
    </font>
    <font>
      <sz val="13.5"/>
      <color rgb="FF222222"/>
      <name val="Arial"/>
      <family val="2"/>
      <charset val="1"/>
    </font>
    <font>
      <sz val="10"/>
      <color rgb="FF222222"/>
      <name val="Symbol"/>
      <charset val="1"/>
    </font>
    <font>
      <sz val="13.5"/>
      <color rgb="FF0000FF"/>
      <name val="Times New Roman"/>
      <charset val="1"/>
    </font>
    <font>
      <b/>
      <sz val="12"/>
      <color rgb="FF000000"/>
      <name val="-Apple-System"/>
      <charset val="1"/>
    </font>
    <font>
      <i/>
      <sz val="11"/>
      <color rgb="FF000000"/>
      <name val="-Apple-System"/>
      <charset val="1"/>
    </font>
    <font>
      <sz val="11"/>
      <color rgb="FF000000"/>
      <name val="-Apple-System"/>
      <charset val="1"/>
    </font>
    <font>
      <sz val="11"/>
      <color rgb="FF757171"/>
      <name val="Calibri"/>
      <family val="2"/>
      <scheme val="minor"/>
    </font>
    <font>
      <b/>
      <sz val="11"/>
      <color rgb="FF757171"/>
      <name val="Calibri"/>
      <family val="2"/>
      <scheme val="minor"/>
    </font>
    <font>
      <sz val="11"/>
      <color rgb="FFFF0000"/>
      <name val="Calibri"/>
      <family val="2"/>
    </font>
    <font>
      <sz val="9"/>
      <color theme="1"/>
      <name val="Calibri"/>
      <family val="2"/>
      <scheme val="minor"/>
    </font>
    <font>
      <sz val="8"/>
      <color theme="1"/>
      <name val="Calibri"/>
      <family val="2"/>
      <scheme val="minor"/>
    </font>
    <font>
      <sz val="11"/>
      <color theme="5"/>
      <name val="Calibri"/>
      <family val="2"/>
      <scheme val="minor"/>
    </font>
    <font>
      <sz val="11"/>
      <color theme="9"/>
      <name val="Calibri"/>
      <family val="2"/>
      <scheme val="minor"/>
    </font>
    <font>
      <sz val="11"/>
      <color rgb="FFC00000"/>
      <name val="Calibri"/>
      <family val="2"/>
      <scheme val="minor"/>
    </font>
    <font>
      <b/>
      <u/>
      <sz val="11"/>
      <color theme="0"/>
      <name val="Calibri"/>
      <family val="2"/>
      <scheme val="minor"/>
    </font>
    <font>
      <sz val="8"/>
      <color rgb="FF000000"/>
      <name val="Calibri"/>
      <family val="2"/>
    </font>
    <font>
      <sz val="11"/>
      <color rgb="FF000000"/>
      <name val="Consolas"/>
    </font>
    <font>
      <sz val="11"/>
      <color rgb="FF5F8CED"/>
      <name val="Consolas"/>
    </font>
    <font>
      <sz val="11"/>
      <color rgb="FFEB5E60"/>
      <name val="Consolas"/>
    </font>
    <font>
      <sz val="11"/>
      <color rgb="FF242424"/>
      <name val="Aptos Narrow"/>
      <charset val="1"/>
    </font>
    <font>
      <b/>
      <sz val="11"/>
      <color rgb="FF000000"/>
      <name val="Aptos Narrow"/>
      <family val="2"/>
    </font>
    <font>
      <u/>
      <sz val="11"/>
      <color rgb="FF757171"/>
      <name val="Calibri"/>
      <family val="2"/>
      <scheme val="minor"/>
    </font>
  </fonts>
  <fills count="16">
    <fill>
      <patternFill patternType="none"/>
    </fill>
    <fill>
      <patternFill patternType="gray125"/>
    </fill>
    <fill>
      <patternFill patternType="solid">
        <fgColor rgb="FFF2F2F2"/>
        <bgColor rgb="FF000000"/>
      </patternFill>
    </fill>
    <fill>
      <patternFill patternType="solid">
        <fgColor rgb="FFD6DCE4"/>
        <bgColor indexed="64"/>
      </patternFill>
    </fill>
    <fill>
      <patternFill patternType="solid">
        <fgColor rgb="FF264478"/>
        <bgColor indexed="64"/>
      </patternFill>
    </fill>
    <fill>
      <patternFill patternType="solid">
        <fgColor rgb="FF5B9BD5"/>
        <bgColor indexed="64"/>
      </patternFill>
    </fill>
    <fill>
      <patternFill patternType="solid">
        <fgColor rgb="FFF4B084"/>
        <bgColor indexed="64"/>
      </patternFill>
    </fill>
    <fill>
      <patternFill patternType="solid">
        <fgColor rgb="FFD9E1F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DDEBF7"/>
        <bgColor rgb="FFDDEBF7"/>
      </patternFill>
    </fill>
    <fill>
      <patternFill patternType="solid">
        <fgColor rgb="FFFFFFFF"/>
        <bgColor indexed="64"/>
      </patternFill>
    </fill>
    <fill>
      <patternFill patternType="solid">
        <fgColor rgb="FFBDD7EE"/>
        <bgColor rgb="FFBDD7EE"/>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3">
    <border>
      <left/>
      <right/>
      <top/>
      <bottom/>
      <diagonal/>
    </border>
    <border>
      <left/>
      <right/>
      <top/>
      <bottom style="medium">
        <color rgb="FF1F497D"/>
      </bottom>
      <diagonal/>
    </border>
    <border>
      <left/>
      <right/>
      <top/>
      <bottom style="thin">
        <color indexed="64"/>
      </bottom>
      <diagonal/>
    </border>
    <border>
      <left/>
      <right/>
      <top/>
      <bottom style="double">
        <color indexed="64"/>
      </bottom>
      <diagonal/>
    </border>
    <border>
      <left/>
      <right/>
      <top/>
      <bottom style="thin">
        <color rgb="FF000000"/>
      </bottom>
      <diagonal/>
    </border>
    <border>
      <left/>
      <right/>
      <top style="thin">
        <color indexed="64"/>
      </top>
      <bottom/>
      <diagonal/>
    </border>
    <border>
      <left style="thin">
        <color rgb="FF264478"/>
      </left>
      <right style="thin">
        <color rgb="FF264478"/>
      </right>
      <top style="thin">
        <color rgb="FF264478"/>
      </top>
      <bottom style="thin">
        <color rgb="FF264478"/>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A6A6A6"/>
      </left>
      <right style="thin">
        <color rgb="FFA6A6A6"/>
      </right>
      <top style="thin">
        <color rgb="FFA6A6A6"/>
      </top>
      <bottom style="thin">
        <color rgb="FFA6A6A6"/>
      </bottom>
      <diagonal/>
    </border>
    <border>
      <left style="thin">
        <color rgb="FF000000"/>
      </left>
      <right style="thin">
        <color rgb="FF000000"/>
      </right>
      <top style="thin">
        <color rgb="FF000000"/>
      </top>
      <bottom style="thin">
        <color rgb="FF000000"/>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theme="8" tint="0.39997558519241921"/>
      </left>
      <right style="thin">
        <color theme="8" tint="0.39997558519241921"/>
      </right>
      <top style="thin">
        <color theme="8" tint="0.39997558519241921"/>
      </top>
      <bottom/>
      <diagonal/>
    </border>
  </borders>
  <cellStyleXfs count="4">
    <xf numFmtId="0" fontId="0" fillId="0" borderId="0"/>
    <xf numFmtId="43" fontId="3" fillId="0" borderId="0" applyFont="0" applyFill="0" applyBorder="0" applyAlignment="0" applyProtection="0"/>
    <xf numFmtId="9" fontId="3" fillId="0" borderId="0" applyFont="0" applyFill="0" applyBorder="0" applyAlignment="0" applyProtection="0"/>
    <xf numFmtId="0" fontId="15" fillId="0" borderId="0" applyNumberFormat="0" applyFill="0" applyBorder="0" applyAlignment="0" applyProtection="0"/>
  </cellStyleXfs>
  <cellXfs count="179">
    <xf numFmtId="0" fontId="0" fillId="0" borderId="0" xfId="0"/>
    <xf numFmtId="0" fontId="1" fillId="2" borderId="1" xfId="0" applyFont="1" applyFill="1" applyBorder="1"/>
    <xf numFmtId="0" fontId="2" fillId="0" borderId="0" xfId="0" applyFont="1"/>
    <xf numFmtId="14" fontId="2" fillId="0" borderId="0" xfId="0" applyNumberFormat="1" applyFont="1"/>
    <xf numFmtId="0" fontId="2" fillId="0" borderId="0" xfId="0" quotePrefix="1" applyFont="1"/>
    <xf numFmtId="0" fontId="2" fillId="0" borderId="0" xfId="0" applyFont="1" applyAlignment="1">
      <alignment wrapText="1"/>
    </xf>
    <xf numFmtId="14" fontId="0" fillId="0" borderId="0" xfId="0" applyNumberFormat="1"/>
    <xf numFmtId="0" fontId="0" fillId="0" borderId="0" xfId="0" applyAlignment="1">
      <alignment wrapText="1"/>
    </xf>
    <xf numFmtId="0" fontId="0" fillId="3" borderId="0" xfId="0" applyFill="1"/>
    <xf numFmtId="0" fontId="4" fillId="4" borderId="0" xfId="0" applyFont="1" applyFill="1"/>
    <xf numFmtId="0" fontId="4" fillId="4" borderId="0" xfId="0" applyFont="1" applyFill="1" applyAlignment="1">
      <alignment horizontal="center"/>
    </xf>
    <xf numFmtId="0" fontId="5" fillId="5" borderId="0" xfId="0" applyFont="1" applyFill="1"/>
    <xf numFmtId="0" fontId="5" fillId="5" borderId="0" xfId="0" applyFont="1" applyFill="1" applyAlignment="1">
      <alignment horizontal="center"/>
    </xf>
    <xf numFmtId="164" fontId="0" fillId="0" borderId="0" xfId="1" applyNumberFormat="1" applyFont="1" applyProtection="1"/>
    <xf numFmtId="0" fontId="0" fillId="0" borderId="2" xfId="0" applyBorder="1"/>
    <xf numFmtId="164" fontId="0" fillId="0" borderId="2" xfId="1" applyNumberFormat="1" applyFont="1" applyBorder="1" applyProtection="1"/>
    <xf numFmtId="0" fontId="5" fillId="0" borderId="0" xfId="0" applyFont="1"/>
    <xf numFmtId="164" fontId="5" fillId="0" borderId="0" xfId="1" applyNumberFormat="1" applyFont="1" applyProtection="1"/>
    <xf numFmtId="164" fontId="5" fillId="0" borderId="0" xfId="1" applyNumberFormat="1" applyFont="1" applyBorder="1" applyProtection="1"/>
    <xf numFmtId="0" fontId="0" fillId="0" borderId="3" xfId="0" applyBorder="1"/>
    <xf numFmtId="164" fontId="0" fillId="0" borderId="3" xfId="1" applyNumberFormat="1" applyFont="1" applyBorder="1" applyProtection="1"/>
    <xf numFmtId="164" fontId="0" fillId="0" borderId="4" xfId="1" applyNumberFormat="1" applyFont="1" applyBorder="1" applyProtection="1"/>
    <xf numFmtId="0" fontId="0" fillId="5" borderId="0" xfId="0" applyFill="1"/>
    <xf numFmtId="0" fontId="0" fillId="5" borderId="0" xfId="0" applyFill="1" applyAlignment="1">
      <alignment horizontal="center"/>
    </xf>
    <xf numFmtId="0" fontId="0" fillId="0" borderId="0" xfId="0" pivotButton="1"/>
    <xf numFmtId="1" fontId="0" fillId="0" borderId="0" xfId="0" applyNumberFormat="1"/>
    <xf numFmtId="165" fontId="0" fillId="0" borderId="0" xfId="0" applyNumberFormat="1"/>
    <xf numFmtId="0" fontId="4" fillId="6" borderId="0" xfId="0" applyFont="1" applyFill="1" applyAlignment="1">
      <alignment horizontal="center"/>
    </xf>
    <xf numFmtId="0" fontId="5" fillId="0" borderId="4" xfId="0" applyFont="1" applyBorder="1"/>
    <xf numFmtId="0" fontId="6" fillId="0" borderId="0" xfId="0" applyFont="1"/>
    <xf numFmtId="166" fontId="0" fillId="0" borderId="0" xfId="0" applyNumberFormat="1"/>
    <xf numFmtId="0" fontId="0" fillId="4" borderId="0" xfId="0" applyFill="1"/>
    <xf numFmtId="0" fontId="5" fillId="0" borderId="0" xfId="0" applyFont="1" applyAlignment="1">
      <alignment horizontal="center"/>
    </xf>
    <xf numFmtId="164" fontId="0" fillId="0" borderId="0" xfId="1" applyNumberFormat="1" applyFont="1"/>
    <xf numFmtId="0" fontId="0" fillId="0" borderId="0" xfId="0" applyAlignment="1">
      <alignment horizontal="left" indent="1"/>
    </xf>
    <xf numFmtId="0" fontId="5" fillId="0" borderId="5" xfId="0" applyFont="1" applyBorder="1"/>
    <xf numFmtId="164" fontId="5" fillId="0" borderId="5" xfId="1" applyNumberFormat="1" applyFont="1" applyBorder="1"/>
    <xf numFmtId="164" fontId="0" fillId="0" borderId="3" xfId="1" applyNumberFormat="1" applyFont="1" applyBorder="1"/>
    <xf numFmtId="164" fontId="5" fillId="0" borderId="0" xfId="1" applyNumberFormat="1" applyFont="1"/>
    <xf numFmtId="164" fontId="5" fillId="0" borderId="0" xfId="0" applyNumberFormat="1" applyFont="1"/>
    <xf numFmtId="164" fontId="0" fillId="7" borderId="0" xfId="1" applyNumberFormat="1" applyFont="1" applyFill="1" applyProtection="1"/>
    <xf numFmtId="164" fontId="0" fillId="7" borderId="2" xfId="1" applyNumberFormat="1" applyFont="1" applyFill="1" applyBorder="1" applyProtection="1"/>
    <xf numFmtId="0" fontId="7" fillId="0" borderId="0" xfId="0" applyFont="1"/>
    <xf numFmtId="6" fontId="7" fillId="0" borderId="0" xfId="0" applyNumberFormat="1" applyFont="1"/>
    <xf numFmtId="9" fontId="0" fillId="8" borderId="6" xfId="0" applyNumberFormat="1" applyFill="1" applyBorder="1"/>
    <xf numFmtId="6" fontId="0" fillId="0" borderId="0" xfId="0" applyNumberFormat="1"/>
    <xf numFmtId="164" fontId="0" fillId="0" borderId="0" xfId="0" applyNumberFormat="1"/>
    <xf numFmtId="0" fontId="0" fillId="0" borderId="5" xfId="0" applyBorder="1"/>
    <xf numFmtId="6" fontId="0" fillId="0" borderId="5" xfId="0" applyNumberFormat="1" applyBorder="1"/>
    <xf numFmtId="0" fontId="8" fillId="0" borderId="0" xfId="0" applyFont="1"/>
    <xf numFmtId="6" fontId="0" fillId="0" borderId="2" xfId="0" applyNumberFormat="1" applyBorder="1"/>
    <xf numFmtId="9" fontId="7" fillId="0" borderId="0" xfId="2" applyFont="1"/>
    <xf numFmtId="0" fontId="5" fillId="0" borderId="2" xfId="0" applyFont="1" applyBorder="1"/>
    <xf numFmtId="8" fontId="0" fillId="0" borderId="0" xfId="0" applyNumberFormat="1"/>
    <xf numFmtId="0" fontId="5" fillId="0" borderId="0" xfId="0" applyFont="1" applyAlignment="1">
      <alignment horizontal="left" indent="1"/>
    </xf>
    <xf numFmtId="6" fontId="5" fillId="0" borderId="0" xfId="0" applyNumberFormat="1" applyFont="1"/>
    <xf numFmtId="164" fontId="0" fillId="8" borderId="7" xfId="1" applyNumberFormat="1" applyFont="1" applyFill="1" applyBorder="1"/>
    <xf numFmtId="9" fontId="0" fillId="0" borderId="0" xfId="2" applyFont="1"/>
    <xf numFmtId="43" fontId="0" fillId="0" borderId="0" xfId="0" applyNumberFormat="1"/>
    <xf numFmtId="3" fontId="0" fillId="0" borderId="0" xfId="0" applyNumberFormat="1"/>
    <xf numFmtId="0" fontId="0" fillId="8" borderId="0" xfId="0" applyFill="1"/>
    <xf numFmtId="0" fontId="0" fillId="9" borderId="0" xfId="0" applyFill="1"/>
    <xf numFmtId="164" fontId="0" fillId="9" borderId="0" xfId="0" applyNumberFormat="1" applyFill="1"/>
    <xf numFmtId="167" fontId="0" fillId="9" borderId="0" xfId="2" applyNumberFormat="1" applyFont="1" applyFill="1"/>
    <xf numFmtId="0" fontId="12" fillId="0" borderId="0" xfId="0" applyFont="1"/>
    <xf numFmtId="8" fontId="0" fillId="10" borderId="0" xfId="0" applyNumberFormat="1" applyFill="1"/>
    <xf numFmtId="10" fontId="0" fillId="0" borderId="0" xfId="0" applyNumberFormat="1"/>
    <xf numFmtId="43" fontId="0" fillId="0" borderId="0" xfId="1" applyFont="1"/>
    <xf numFmtId="164" fontId="0" fillId="10" borderId="0" xfId="1" applyNumberFormat="1" applyFont="1" applyFill="1"/>
    <xf numFmtId="4" fontId="0" fillId="0" borderId="0" xfId="0" applyNumberFormat="1"/>
    <xf numFmtId="0" fontId="0" fillId="10" borderId="0" xfId="0" applyFill="1"/>
    <xf numFmtId="0" fontId="0" fillId="7" borderId="0" xfId="0" applyFill="1"/>
    <xf numFmtId="167" fontId="0" fillId="0" borderId="0" xfId="0" applyNumberFormat="1"/>
    <xf numFmtId="167" fontId="0" fillId="0" borderId="0" xfId="2" applyNumberFormat="1" applyFont="1"/>
    <xf numFmtId="0" fontId="1" fillId="0" borderId="1" xfId="0" applyFont="1" applyBorder="1"/>
    <xf numFmtId="0" fontId="13" fillId="0" borderId="1" xfId="0" applyFont="1" applyBorder="1"/>
    <xf numFmtId="0" fontId="14" fillId="0" borderId="0" xfId="0" applyFont="1"/>
    <xf numFmtId="164" fontId="0" fillId="8" borderId="0" xfId="1" applyNumberFormat="1" applyFont="1" applyFill="1" applyBorder="1"/>
    <xf numFmtId="0" fontId="0" fillId="3" borderId="0" xfId="0" applyFill="1" applyAlignment="1">
      <alignment wrapText="1"/>
    </xf>
    <xf numFmtId="0" fontId="15" fillId="0" borderId="0" xfId="3"/>
    <xf numFmtId="9" fontId="0" fillId="0" borderId="0" xfId="0" applyNumberFormat="1"/>
    <xf numFmtId="0" fontId="0" fillId="0" borderId="8" xfId="0" applyBorder="1"/>
    <xf numFmtId="164" fontId="0" fillId="0" borderId="8" xfId="0" applyNumberFormat="1" applyBorder="1"/>
    <xf numFmtId="0" fontId="16" fillId="0" borderId="0" xfId="0" applyFont="1" applyAlignment="1">
      <alignment horizontal="left" indent="1"/>
    </xf>
    <xf numFmtId="164" fontId="0" fillId="7" borderId="9" xfId="0" applyNumberFormat="1" applyFill="1" applyBorder="1"/>
    <xf numFmtId="9" fontId="0" fillId="7" borderId="9" xfId="0" applyNumberFormat="1" applyFill="1" applyBorder="1"/>
    <xf numFmtId="0" fontId="17" fillId="0" borderId="0" xfId="0" applyFont="1"/>
    <xf numFmtId="0" fontId="18" fillId="0" borderId="0" xfId="0" applyFont="1"/>
    <xf numFmtId="3" fontId="18" fillId="0" borderId="0" xfId="0" applyNumberFormat="1" applyFont="1"/>
    <xf numFmtId="9" fontId="18" fillId="0" borderId="0" xfId="0" applyNumberFormat="1" applyFont="1"/>
    <xf numFmtId="0" fontId="19" fillId="0" borderId="0" xfId="0" applyFont="1"/>
    <xf numFmtId="0" fontId="18" fillId="0" borderId="0" xfId="0" applyFont="1" applyAlignment="1">
      <alignment horizontal="center"/>
    </xf>
    <xf numFmtId="164" fontId="0" fillId="0" borderId="0" xfId="0" applyNumberFormat="1" applyAlignment="1">
      <alignment horizontal="center" vertical="center"/>
    </xf>
    <xf numFmtId="14" fontId="18" fillId="0" borderId="0" xfId="0" applyNumberFormat="1" applyFont="1"/>
    <xf numFmtId="0" fontId="18" fillId="0" borderId="0" xfId="0" applyFont="1" applyAlignment="1">
      <alignment wrapText="1"/>
    </xf>
    <xf numFmtId="0" fontId="18" fillId="3" borderId="0" xfId="0" applyFont="1" applyFill="1"/>
    <xf numFmtId="0" fontId="18" fillId="3" borderId="0" xfId="0" applyFont="1" applyFill="1" applyAlignment="1">
      <alignment wrapText="1"/>
    </xf>
    <xf numFmtId="0" fontId="18" fillId="11" borderId="0" xfId="0" applyFont="1" applyFill="1"/>
    <xf numFmtId="8" fontId="18" fillId="0" borderId="0" xfId="0" applyNumberFormat="1" applyFont="1"/>
    <xf numFmtId="164" fontId="0" fillId="0" borderId="0" xfId="0" applyNumberFormat="1" applyAlignment="1">
      <alignment horizontal="center"/>
    </xf>
    <xf numFmtId="0" fontId="20" fillId="0" borderId="0" xfId="0" applyFont="1"/>
    <xf numFmtId="0" fontId="24" fillId="0" borderId="0" xfId="0" applyFont="1"/>
    <xf numFmtId="0" fontId="21" fillId="0" borderId="0" xfId="0" applyFont="1" applyAlignment="1">
      <alignment wrapText="1"/>
    </xf>
    <xf numFmtId="0" fontId="24" fillId="0" borderId="0" xfId="0" applyFont="1" applyAlignment="1">
      <alignment wrapText="1"/>
    </xf>
    <xf numFmtId="0" fontId="26" fillId="12" borderId="0" xfId="0" applyFont="1" applyFill="1" applyAlignment="1">
      <alignment wrapText="1"/>
    </xf>
    <xf numFmtId="0" fontId="27" fillId="12" borderId="0" xfId="0" applyFont="1" applyFill="1" applyAlignment="1">
      <alignment wrapText="1"/>
    </xf>
    <xf numFmtId="0" fontId="28" fillId="12" borderId="0" xfId="0" applyFont="1" applyFill="1" applyAlignment="1">
      <alignment wrapText="1"/>
    </xf>
    <xf numFmtId="0" fontId="15" fillId="12" borderId="0" xfId="3" applyFill="1" applyAlignment="1">
      <alignment wrapText="1"/>
    </xf>
    <xf numFmtId="165" fontId="29" fillId="0" borderId="0" xfId="0" applyNumberFormat="1" applyFont="1"/>
    <xf numFmtId="165" fontId="30" fillId="0" borderId="0" xfId="0" applyNumberFormat="1" applyFont="1"/>
    <xf numFmtId="14" fontId="5" fillId="0" borderId="0" xfId="0" applyNumberFormat="1" applyFont="1"/>
    <xf numFmtId="14" fontId="30" fillId="0" borderId="0" xfId="0" applyNumberFormat="1" applyFont="1"/>
    <xf numFmtId="0" fontId="30" fillId="0" borderId="0" xfId="0" applyFont="1" applyAlignment="1">
      <alignment horizontal="center"/>
    </xf>
    <xf numFmtId="167" fontId="29" fillId="0" borderId="0" xfId="0" applyNumberFormat="1" applyFont="1"/>
    <xf numFmtId="167" fontId="30" fillId="0" borderId="0" xfId="0" applyNumberFormat="1" applyFont="1"/>
    <xf numFmtId="0" fontId="29" fillId="0" borderId="0" xfId="0" applyFont="1"/>
    <xf numFmtId="164" fontId="0" fillId="7" borderId="4" xfId="1" applyNumberFormat="1" applyFont="1" applyFill="1" applyBorder="1" applyProtection="1"/>
    <xf numFmtId="6" fontId="0" fillId="7" borderId="0" xfId="0" applyNumberFormat="1" applyFill="1"/>
    <xf numFmtId="8" fontId="31" fillId="0" borderId="0" xfId="0" applyNumberFormat="1" applyFont="1"/>
    <xf numFmtId="0" fontId="18" fillId="13" borderId="0" xfId="0" applyFont="1" applyFill="1"/>
    <xf numFmtId="43" fontId="18" fillId="0" borderId="0" xfId="0" applyNumberFormat="1" applyFont="1"/>
    <xf numFmtId="0" fontId="32" fillId="0" borderId="0" xfId="0" applyFont="1"/>
    <xf numFmtId="0" fontId="33" fillId="0" borderId="0" xfId="0" applyFont="1"/>
    <xf numFmtId="168" fontId="0" fillId="0" borderId="0" xfId="0" applyNumberFormat="1"/>
    <xf numFmtId="0" fontId="34" fillId="0" borderId="0" xfId="0" applyFont="1"/>
    <xf numFmtId="43" fontId="34" fillId="0" borderId="0" xfId="0" applyNumberFormat="1" applyFont="1"/>
    <xf numFmtId="0" fontId="35" fillId="0" borderId="0" xfId="0" applyFont="1"/>
    <xf numFmtId="167" fontId="35" fillId="0" borderId="0" xfId="0" applyNumberFormat="1" applyFont="1"/>
    <xf numFmtId="9" fontId="35" fillId="0" borderId="0" xfId="0" applyNumberFormat="1" applyFont="1"/>
    <xf numFmtId="0" fontId="36" fillId="0" borderId="0" xfId="0" applyFont="1"/>
    <xf numFmtId="164" fontId="36" fillId="0" borderId="0" xfId="0" applyNumberFormat="1" applyFont="1"/>
    <xf numFmtId="164" fontId="34" fillId="0" borderId="0" xfId="0" applyNumberFormat="1" applyFont="1"/>
    <xf numFmtId="1" fontId="35" fillId="0" borderId="0" xfId="0" applyNumberFormat="1" applyFont="1"/>
    <xf numFmtId="43" fontId="2" fillId="0" borderId="0" xfId="0" applyNumberFormat="1" applyFont="1"/>
    <xf numFmtId="169" fontId="0" fillId="0" borderId="0" xfId="0" applyNumberFormat="1"/>
    <xf numFmtId="170" fontId="0" fillId="0" borderId="0" xfId="0" applyNumberFormat="1"/>
    <xf numFmtId="171" fontId="0" fillId="0" borderId="0" xfId="0" applyNumberFormat="1"/>
    <xf numFmtId="2" fontId="18" fillId="0" borderId="0" xfId="0" applyNumberFormat="1" applyFont="1"/>
    <xf numFmtId="0" fontId="19" fillId="0" borderId="4" xfId="0" applyFont="1" applyBorder="1"/>
    <xf numFmtId="167" fontId="18" fillId="0" borderId="0" xfId="0" applyNumberFormat="1" applyFont="1"/>
    <xf numFmtId="3" fontId="38" fillId="0" borderId="0" xfId="0" applyNumberFormat="1" applyFont="1"/>
    <xf numFmtId="164" fontId="18" fillId="0" borderId="0" xfId="0" applyNumberFormat="1" applyFont="1"/>
    <xf numFmtId="0" fontId="18" fillId="0" borderId="0" xfId="0" applyFont="1" applyAlignment="1">
      <alignment horizontal="left"/>
    </xf>
    <xf numFmtId="172" fontId="18" fillId="0" borderId="0" xfId="0" applyNumberFormat="1" applyFont="1"/>
    <xf numFmtId="173" fontId="18" fillId="0" borderId="0" xfId="0" applyNumberFormat="1" applyFont="1"/>
    <xf numFmtId="0" fontId="39" fillId="0" borderId="0" xfId="0" applyFont="1"/>
    <xf numFmtId="0" fontId="42" fillId="0" borderId="0" xfId="0" applyFont="1"/>
    <xf numFmtId="0" fontId="1" fillId="0" borderId="0" xfId="0" applyFont="1"/>
    <xf numFmtId="0" fontId="43" fillId="0" borderId="0" xfId="0" applyFont="1"/>
    <xf numFmtId="0" fontId="43" fillId="0" borderId="2" xfId="0" applyFont="1" applyBorder="1" applyAlignment="1">
      <alignment horizontal="center"/>
    </xf>
    <xf numFmtId="1" fontId="32" fillId="0" borderId="0" xfId="0" applyNumberFormat="1" applyFont="1"/>
    <xf numFmtId="0" fontId="43" fillId="0" borderId="2" xfId="0" applyFont="1" applyBorder="1" applyAlignment="1">
      <alignment horizontal="left"/>
    </xf>
    <xf numFmtId="1" fontId="0" fillId="0" borderId="0" xfId="0" applyNumberFormat="1" applyAlignment="1">
      <alignment horizontal="center"/>
    </xf>
    <xf numFmtId="1" fontId="0" fillId="0" borderId="0" xfId="0" applyNumberFormat="1" applyAlignment="1">
      <alignment horizontal="right"/>
    </xf>
    <xf numFmtId="164" fontId="0" fillId="0" borderId="2" xfId="1" applyNumberFormat="1" applyFont="1" applyFill="1" applyBorder="1" applyProtection="1"/>
    <xf numFmtId="174" fontId="0" fillId="8" borderId="10" xfId="0" applyNumberFormat="1" applyFill="1" applyBorder="1"/>
    <xf numFmtId="174" fontId="0" fillId="0" borderId="0" xfId="0" applyNumberFormat="1"/>
    <xf numFmtId="165" fontId="44" fillId="0" borderId="0" xfId="0" applyNumberFormat="1" applyFont="1"/>
    <xf numFmtId="0" fontId="0" fillId="0" borderId="4" xfId="0" applyBorder="1"/>
    <xf numFmtId="3" fontId="0" fillId="8" borderId="4" xfId="0" applyNumberFormat="1" applyFill="1" applyBorder="1"/>
    <xf numFmtId="164" fontId="0" fillId="8" borderId="0" xfId="0" applyNumberFormat="1" applyFill="1"/>
    <xf numFmtId="164" fontId="0" fillId="8" borderId="10" xfId="0" applyNumberFormat="1" applyFill="1" applyBorder="1"/>
    <xf numFmtId="0" fontId="0" fillId="14" borderId="11" xfId="0" applyFill="1" applyBorder="1"/>
    <xf numFmtId="14" fontId="0" fillId="14" borderId="11" xfId="0" applyNumberFormat="1" applyFill="1" applyBorder="1"/>
    <xf numFmtId="0" fontId="0" fillId="3" borderId="11" xfId="0" applyFill="1" applyBorder="1"/>
    <xf numFmtId="0" fontId="0" fillId="15" borderId="11" xfId="0" applyFill="1" applyBorder="1"/>
    <xf numFmtId="14" fontId="0" fillId="15" borderId="11" xfId="0" applyNumberFormat="1" applyFill="1" applyBorder="1"/>
    <xf numFmtId="0" fontId="0" fillId="14" borderId="12" xfId="0" applyFill="1" applyBorder="1"/>
    <xf numFmtId="14" fontId="0" fillId="14" borderId="12" xfId="0" applyNumberFormat="1" applyFill="1" applyBorder="1"/>
    <xf numFmtId="0" fontId="0" fillId="3" borderId="12" xfId="0" applyFill="1" applyBorder="1"/>
    <xf numFmtId="0" fontId="0" fillId="0" borderId="0" xfId="0" applyAlignment="1">
      <alignment horizontal="center"/>
    </xf>
    <xf numFmtId="0" fontId="9" fillId="0" borderId="0" xfId="0" applyFont="1" applyAlignment="1">
      <alignment horizontal="center" vertical="center" readingOrder="1"/>
    </xf>
    <xf numFmtId="6" fontId="10" fillId="0" borderId="0" xfId="0" applyNumberFormat="1" applyFont="1" applyAlignment="1">
      <alignment horizontal="center" vertical="center" readingOrder="1"/>
    </xf>
    <xf numFmtId="0" fontId="9" fillId="0" borderId="0" xfId="0" applyFont="1" applyAlignment="1">
      <alignment horizontal="left" vertical="center" readingOrder="1"/>
    </xf>
    <xf numFmtId="6" fontId="11" fillId="0" borderId="0" xfId="0" applyNumberFormat="1" applyFont="1" applyAlignment="1">
      <alignment horizontal="center" vertical="center" readingOrder="1"/>
    </xf>
    <xf numFmtId="0" fontId="37" fillId="4" borderId="0" xfId="0" applyFont="1" applyFill="1" applyAlignment="1">
      <alignment horizontal="center"/>
    </xf>
    <xf numFmtId="0" fontId="0" fillId="0" borderId="0" xfId="0" applyAlignment="1">
      <alignment horizontal="center"/>
    </xf>
    <xf numFmtId="0" fontId="9" fillId="0" borderId="0" xfId="0" applyFont="1" applyAlignment="1">
      <alignment horizontal="center" vertical="center" readingOrder="1"/>
    </xf>
    <xf numFmtId="6" fontId="10" fillId="0" borderId="0" xfId="0" applyNumberFormat="1" applyFont="1" applyAlignment="1">
      <alignment horizontal="center" vertical="center" readingOrder="1"/>
    </xf>
  </cellXfs>
  <cellStyles count="4">
    <cellStyle name="Comma" xfId="1" builtinId="3"/>
    <cellStyle name="Hyperlink" xfId="3" builtinId="8"/>
    <cellStyle name="Normal" xfId="0" builtinId="0"/>
    <cellStyle name="Percent" xfId="2" builtinId="5"/>
  </cellStyles>
  <dxfs count="7">
    <dxf>
      <numFmt numFmtId="165" formatCode="&quot;$&quot;#,##0"/>
    </dxf>
    <dxf>
      <numFmt numFmtId="165" formatCode="&quot;$&quot;#,##0"/>
    </dxf>
    <dxf>
      <numFmt numFmtId="0" formatCode="General"/>
    </dxf>
    <dxf>
      <fill>
        <patternFill patternType="solid">
          <fgColor indexed="64"/>
          <bgColor rgb="FFD6DCE4"/>
        </patternFill>
      </fill>
    </dxf>
    <dxf>
      <fill>
        <patternFill patternType="solid">
          <fgColor indexed="64"/>
          <bgColor rgb="FFD6DCE4"/>
        </patternFill>
      </fill>
    </dxf>
    <dxf>
      <numFmt numFmtId="19" formatCode="m/d/yyyy"/>
    </dxf>
    <dxf>
      <font>
        <b/>
        <i val="0"/>
        <strike val="0"/>
        <condense val="0"/>
        <extend val="0"/>
        <outline val="0"/>
        <shadow val="0"/>
        <u val="none"/>
        <vertAlign val="baseline"/>
        <sz val="11"/>
        <color rgb="FF000000"/>
        <name val="Segoe UI"/>
        <family val="2"/>
        <scheme val="none"/>
      </font>
      <fill>
        <patternFill patternType="none">
          <fgColor rgb="FF000000"/>
          <bgColor rgb="FFF2F2F2"/>
        </patternFill>
      </fill>
    </dxf>
  </dxfs>
  <tableStyles count="0" defaultTableStyle="TableStyleMedium2" defaultPivotStyle="PivotStyleMedium9"/>
  <colors>
    <mruColors>
      <color rgb="FF264478"/>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Monthly Budget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Actual</c:v>
          </c:tx>
          <c:spPr>
            <a:solidFill>
              <a:srgbClr val="264478"/>
            </a:solidFill>
            <a:ln>
              <a:noFill/>
            </a:ln>
            <a:effectLst/>
          </c:spPr>
          <c:invertIfNegative val="0"/>
          <c:cat>
            <c:strRef>
              <c:f>('1 MO'!$B$18,'1 MO'!$B$24,'1 MO'!$B$33)</c:f>
              <c:strCache>
                <c:ptCount val="3"/>
                <c:pt idx="0">
                  <c:v>Total Rent &amp; Utilitites</c:v>
                </c:pt>
                <c:pt idx="1">
                  <c:v>Total Food &amp; Car</c:v>
                </c:pt>
                <c:pt idx="2">
                  <c:v>Total Other</c:v>
                </c:pt>
              </c:strCache>
            </c:strRef>
          </c:cat>
          <c:val>
            <c:numRef>
              <c:f>('1 MO'!$C$18,'1 MO'!$C$24,'1 MO'!$C$33)</c:f>
              <c:numCache>
                <c:formatCode>_(* #,##0_);_(* \(#,##0\);_(* "-"??_);_(@_)</c:formatCode>
                <c:ptCount val="3"/>
                <c:pt idx="0">
                  <c:v>5097.0200000000004</c:v>
                </c:pt>
                <c:pt idx="1">
                  <c:v>3747.28</c:v>
                </c:pt>
                <c:pt idx="2">
                  <c:v>3685.0300000000007</c:v>
                </c:pt>
              </c:numCache>
            </c:numRef>
          </c:val>
          <c:extLst>
            <c:ext xmlns:c16="http://schemas.microsoft.com/office/drawing/2014/chart" uri="{C3380CC4-5D6E-409C-BE32-E72D297353CC}">
              <c16:uniqueId val="{00000000-F1ED-435D-BCEE-369663FF713B}"/>
            </c:ext>
          </c:extLst>
        </c:ser>
        <c:ser>
          <c:idx val="1"/>
          <c:order val="1"/>
          <c:tx>
            <c:v>Budget</c:v>
          </c:tx>
          <c:spPr>
            <a:solidFill>
              <a:srgbClr val="5B9BD5"/>
            </a:solidFill>
            <a:ln>
              <a:noFill/>
            </a:ln>
            <a:effectLst/>
          </c:spPr>
          <c:invertIfNegative val="0"/>
          <c:cat>
            <c:strRef>
              <c:f>('1 MO'!$B$18,'1 MO'!$B$24,'1 MO'!$B$33)</c:f>
              <c:strCache>
                <c:ptCount val="3"/>
                <c:pt idx="0">
                  <c:v>Total Rent &amp; Utilitites</c:v>
                </c:pt>
                <c:pt idx="1">
                  <c:v>Total Food &amp; Car</c:v>
                </c:pt>
                <c:pt idx="2">
                  <c:v>Total Other</c:v>
                </c:pt>
              </c:strCache>
            </c:strRef>
          </c:cat>
          <c:val>
            <c:numRef>
              <c:f>('1 MO'!$D$18,'1 MO'!$D$24,'1 MO'!$D$33)</c:f>
              <c:numCache>
                <c:formatCode>_(* #,##0_);_(* \(#,##0\);_(* "-"??_);_(@_)</c:formatCode>
                <c:ptCount val="3"/>
                <c:pt idx="0">
                  <c:v>6455</c:v>
                </c:pt>
                <c:pt idx="1">
                  <c:v>3375</c:v>
                </c:pt>
                <c:pt idx="2">
                  <c:v>3320</c:v>
                </c:pt>
              </c:numCache>
            </c:numRef>
          </c:val>
          <c:extLst>
            <c:ext xmlns:c16="http://schemas.microsoft.com/office/drawing/2014/chart" uri="{C3380CC4-5D6E-409C-BE32-E72D297353CC}">
              <c16:uniqueId val="{00000001-F1ED-435D-BCEE-369663FF713B}"/>
            </c:ext>
          </c:extLst>
        </c:ser>
        <c:dLbls>
          <c:showLegendKey val="0"/>
          <c:showVal val="0"/>
          <c:showCatName val="0"/>
          <c:showSerName val="0"/>
          <c:showPercent val="0"/>
          <c:showBubbleSize val="0"/>
        </c:dLbls>
        <c:gapWidth val="219"/>
        <c:overlap val="-27"/>
        <c:axId val="225652311"/>
        <c:axId val="1224760423"/>
      </c:barChart>
      <c:catAx>
        <c:axId val="225652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760423"/>
        <c:crosses val="autoZero"/>
        <c:auto val="1"/>
        <c:lblAlgn val="ctr"/>
        <c:lblOffset val="100"/>
        <c:noMultiLvlLbl val="0"/>
      </c:catAx>
      <c:valAx>
        <c:axId val="12247604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52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a:t>Year to Date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Actual</c:v>
          </c:tx>
          <c:spPr>
            <a:solidFill>
              <a:srgbClr val="264478"/>
            </a:solidFill>
            <a:ln>
              <a:noFill/>
            </a:ln>
            <a:effectLst/>
          </c:spPr>
          <c:invertIfNegative val="0"/>
          <c:cat>
            <c:strRef>
              <c:f>(YTD!$B$14,YTD!$B$20,YTD!$B$29)</c:f>
              <c:strCache>
                <c:ptCount val="3"/>
                <c:pt idx="0">
                  <c:v>Total Rent &amp; Utilitites</c:v>
                </c:pt>
                <c:pt idx="1">
                  <c:v>Total Food &amp; Car</c:v>
                </c:pt>
                <c:pt idx="2">
                  <c:v>Total Other</c:v>
                </c:pt>
              </c:strCache>
            </c:strRef>
          </c:cat>
          <c:val>
            <c:numRef>
              <c:f>(YTD!$C$14,YTD!$C$20,YTD!$C$29)</c:f>
              <c:numCache>
                <c:formatCode>_(* #,##0_);_(* \(#,##0\);_(* "-"??_);_(@_)</c:formatCode>
                <c:ptCount val="3"/>
                <c:pt idx="0">
                  <c:v>84532.41</c:v>
                </c:pt>
                <c:pt idx="1">
                  <c:v>47640.739999999983</c:v>
                </c:pt>
                <c:pt idx="2">
                  <c:v>32386.350000000042</c:v>
                </c:pt>
              </c:numCache>
            </c:numRef>
          </c:val>
          <c:extLst>
            <c:ext xmlns:c16="http://schemas.microsoft.com/office/drawing/2014/chart" uri="{C3380CC4-5D6E-409C-BE32-E72D297353CC}">
              <c16:uniqueId val="{00000000-875F-4729-ACBC-CEC9FFEBFB2D}"/>
            </c:ext>
          </c:extLst>
        </c:ser>
        <c:ser>
          <c:idx val="1"/>
          <c:order val="1"/>
          <c:tx>
            <c:v>Budget</c:v>
          </c:tx>
          <c:spPr>
            <a:solidFill>
              <a:srgbClr val="5B9BD5"/>
            </a:solidFill>
            <a:ln>
              <a:noFill/>
            </a:ln>
            <a:effectLst/>
          </c:spPr>
          <c:invertIfNegative val="0"/>
          <c:cat>
            <c:strRef>
              <c:f>(YTD!$B$14,YTD!$B$20,YTD!$B$29)</c:f>
              <c:strCache>
                <c:ptCount val="3"/>
                <c:pt idx="0">
                  <c:v>Total Rent &amp; Utilitites</c:v>
                </c:pt>
                <c:pt idx="1">
                  <c:v>Total Food &amp; Car</c:v>
                </c:pt>
                <c:pt idx="2">
                  <c:v>Total Other</c:v>
                </c:pt>
              </c:strCache>
            </c:strRef>
          </c:cat>
          <c:val>
            <c:numRef>
              <c:f>(YTD!$D$14,YTD!$D$20,YTD!$D$29)</c:f>
              <c:numCache>
                <c:formatCode>_(* #,##0_);_(* \(#,##0\);_(* "-"??_);_(@_)</c:formatCode>
                <c:ptCount val="3"/>
                <c:pt idx="0">
                  <c:v>77460</c:v>
                </c:pt>
                <c:pt idx="1">
                  <c:v>40500</c:v>
                </c:pt>
                <c:pt idx="2">
                  <c:v>39840</c:v>
                </c:pt>
              </c:numCache>
            </c:numRef>
          </c:val>
          <c:extLst>
            <c:ext xmlns:c16="http://schemas.microsoft.com/office/drawing/2014/chart" uri="{C3380CC4-5D6E-409C-BE32-E72D297353CC}">
              <c16:uniqueId val="{00000001-875F-4729-ACBC-CEC9FFEBFB2D}"/>
            </c:ext>
          </c:extLst>
        </c:ser>
        <c:dLbls>
          <c:showLegendKey val="0"/>
          <c:showVal val="0"/>
          <c:showCatName val="0"/>
          <c:showSerName val="0"/>
          <c:showPercent val="0"/>
          <c:showBubbleSize val="0"/>
        </c:dLbls>
        <c:gapWidth val="219"/>
        <c:overlap val="-27"/>
        <c:axId val="225652311"/>
        <c:axId val="1224760423"/>
      </c:barChart>
      <c:catAx>
        <c:axId val="225652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760423"/>
        <c:crosses val="autoZero"/>
        <c:auto val="1"/>
        <c:lblAlgn val="ctr"/>
        <c:lblOffset val="100"/>
        <c:noMultiLvlLbl val="0"/>
      </c:catAx>
      <c:valAx>
        <c:axId val="12247604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652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Expense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 2'!$Q$7</c:f>
              <c:strCache>
                <c:ptCount val="1"/>
                <c:pt idx="0">
                  <c:v>Budget</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2'!$P$9:$P$11</c:f>
              <c:strCache>
                <c:ptCount val="3"/>
                <c:pt idx="0">
                  <c:v>Healthcare</c:v>
                </c:pt>
                <c:pt idx="1">
                  <c:v>House</c:v>
                </c:pt>
                <c:pt idx="2">
                  <c:v>Travel</c:v>
                </c:pt>
              </c:strCache>
            </c:strRef>
          </c:cat>
          <c:val>
            <c:numRef>
              <c:f>'Main 2'!$Q$9:$Q$11</c:f>
              <c:numCache>
                <c:formatCode>_(* #,##0_);_(* \(#,##0\);_(* "-"??_);_(@_)</c:formatCode>
                <c:ptCount val="3"/>
                <c:pt idx="0">
                  <c:v>2400</c:v>
                </c:pt>
                <c:pt idx="1">
                  <c:v>81132</c:v>
                </c:pt>
                <c:pt idx="2">
                  <c:v>13500</c:v>
                </c:pt>
              </c:numCache>
            </c:numRef>
          </c:val>
          <c:extLst>
            <c:ext xmlns:c16="http://schemas.microsoft.com/office/drawing/2014/chart" uri="{C3380CC4-5D6E-409C-BE32-E72D297353CC}">
              <c16:uniqueId val="{00000001-C065-41F4-950F-405399960F60}"/>
            </c:ext>
          </c:extLst>
        </c:ser>
        <c:ser>
          <c:idx val="1"/>
          <c:order val="1"/>
          <c:tx>
            <c:strRef>
              <c:f>'Main 2'!$R$7</c:f>
              <c:strCache>
                <c:ptCount val="1"/>
                <c:pt idx="0">
                  <c:v>Actual</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2'!$P$9:$P$11</c:f>
              <c:strCache>
                <c:ptCount val="3"/>
                <c:pt idx="0">
                  <c:v>Healthcare</c:v>
                </c:pt>
                <c:pt idx="1">
                  <c:v>House</c:v>
                </c:pt>
                <c:pt idx="2">
                  <c:v>Travel</c:v>
                </c:pt>
              </c:strCache>
            </c:strRef>
          </c:cat>
          <c:val>
            <c:numRef>
              <c:f>'Main 2'!$R$9:$R$11</c:f>
              <c:numCache>
                <c:formatCode>_(* #,##0_);_(* \(#,##0\);_(* "-"??_);_(@_)</c:formatCode>
                <c:ptCount val="3"/>
                <c:pt idx="0">
                  <c:v>3948.01</c:v>
                </c:pt>
                <c:pt idx="1">
                  <c:v>265799.33</c:v>
                </c:pt>
                <c:pt idx="2">
                  <c:v>16470.36</c:v>
                </c:pt>
              </c:numCache>
            </c:numRef>
          </c:val>
          <c:extLst>
            <c:ext xmlns:c16="http://schemas.microsoft.com/office/drawing/2014/chart" uri="{C3380CC4-5D6E-409C-BE32-E72D297353CC}">
              <c16:uniqueId val="{00000003-C065-41F4-950F-405399960F60}"/>
            </c:ext>
          </c:extLst>
        </c:ser>
        <c:dLbls>
          <c:showLegendKey val="0"/>
          <c:showVal val="0"/>
          <c:showCatName val="0"/>
          <c:showSerName val="0"/>
          <c:showPercent val="0"/>
          <c:showBubbleSize val="0"/>
        </c:dLbls>
        <c:gapWidth val="219"/>
        <c:overlap val="-27"/>
        <c:axId val="1222917912"/>
        <c:axId val="964998472"/>
      </c:barChart>
      <c:catAx>
        <c:axId val="12229179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98472"/>
        <c:crosses val="autoZero"/>
        <c:auto val="1"/>
        <c:lblAlgn val="ctr"/>
        <c:lblOffset val="100"/>
        <c:noMultiLvlLbl val="0"/>
      </c:catAx>
      <c:valAx>
        <c:axId val="964998472"/>
        <c:scaling>
          <c:orientation val="minMax"/>
        </c:scaling>
        <c:delete val="0"/>
        <c:axPos val="r"/>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17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2'!$H$23:$H$24</c:f>
              <c:strCache>
                <c:ptCount val="2"/>
                <c:pt idx="0">
                  <c:v>Total Year Budget:</c:v>
                </c:pt>
                <c:pt idx="1">
                  <c:v>Reforecast Budget:</c:v>
                </c:pt>
              </c:strCache>
            </c:strRef>
          </c:cat>
          <c:val>
            <c:numRef>
              <c:f>'Main 2'!$I$23:$I$24</c:f>
              <c:numCache>
                <c:formatCode>_(* #,##0_);_(* \(#,##0\);_(* "-"??_);_(@_)</c:formatCode>
                <c:ptCount val="2"/>
                <c:pt idx="0">
                  <c:v>254832</c:v>
                </c:pt>
                <c:pt idx="1">
                  <c:v>450777.2</c:v>
                </c:pt>
              </c:numCache>
            </c:numRef>
          </c:val>
          <c:extLst>
            <c:ext xmlns:c16="http://schemas.microsoft.com/office/drawing/2014/chart" uri="{C3380CC4-5D6E-409C-BE32-E72D297353CC}">
              <c16:uniqueId val="{00000001-AD32-4E9D-A9AE-7C057E626225}"/>
            </c:ext>
          </c:extLst>
        </c:ser>
        <c:dLbls>
          <c:showLegendKey val="0"/>
          <c:showVal val="0"/>
          <c:showCatName val="0"/>
          <c:showSerName val="0"/>
          <c:showPercent val="0"/>
          <c:showBubbleSize val="0"/>
        </c:dLbls>
        <c:gapWidth val="114"/>
        <c:overlap val="-27"/>
        <c:axId val="165929863"/>
        <c:axId val="681437927"/>
      </c:barChart>
      <c:catAx>
        <c:axId val="165929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37927"/>
        <c:crosses val="autoZero"/>
        <c:auto val="1"/>
        <c:lblAlgn val="ctr"/>
        <c:lblOffset val="100"/>
        <c:noMultiLvlLbl val="0"/>
      </c:catAx>
      <c:valAx>
        <c:axId val="681437927"/>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9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9B-4578-A494-BE1CB417C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9B-4578-A494-BE1CB417C7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9B-4578-A494-BE1CB417C7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9B-4578-A494-BE1CB417C7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9B-4578-A494-BE1CB417C7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9B-4578-A494-BE1CB417C7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 2'!$C$102:$C$107</c:f>
              <c:strCache>
                <c:ptCount val="6"/>
                <c:pt idx="0">
                  <c:v>House</c:v>
                </c:pt>
                <c:pt idx="1">
                  <c:v>Car</c:v>
                </c:pt>
                <c:pt idx="2">
                  <c:v>Retirement</c:v>
                </c:pt>
                <c:pt idx="3">
                  <c:v>Investments</c:v>
                </c:pt>
                <c:pt idx="4">
                  <c:v>Savings</c:v>
                </c:pt>
                <c:pt idx="5">
                  <c:v>Credit Union</c:v>
                </c:pt>
              </c:strCache>
            </c:strRef>
          </c:cat>
          <c:val>
            <c:numRef>
              <c:f>'Main 2'!$D$102:$D$107</c:f>
              <c:numCache>
                <c:formatCode>"$"#,##0_);[Red]\("$"#,##0\)</c:formatCode>
                <c:ptCount val="6"/>
                <c:pt idx="0">
                  <c:v>304211.14</c:v>
                </c:pt>
                <c:pt idx="1">
                  <c:v>24903.4</c:v>
                </c:pt>
                <c:pt idx="2">
                  <c:v>1066474.93</c:v>
                </c:pt>
                <c:pt idx="3">
                  <c:v>565675.57999999996</c:v>
                </c:pt>
                <c:pt idx="4">
                  <c:v>26295.41</c:v>
                </c:pt>
                <c:pt idx="5">
                  <c:v>19355.62</c:v>
                </c:pt>
              </c:numCache>
            </c:numRef>
          </c:val>
          <c:extLst>
            <c:ext xmlns:c16="http://schemas.microsoft.com/office/drawing/2014/chart" uri="{C3380CC4-5D6E-409C-BE32-E72D297353CC}">
              <c16:uniqueId val="{0000000D-B87E-4798-A843-7CD3FE7DABB6}"/>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Savings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2'!$H$38:$H$39</c:f>
              <c:strCache>
                <c:ptCount val="2"/>
                <c:pt idx="0">
                  <c:v>Projected</c:v>
                </c:pt>
                <c:pt idx="1">
                  <c:v>Actual</c:v>
                </c:pt>
              </c:strCache>
            </c:strRef>
          </c:cat>
          <c:val>
            <c:numRef>
              <c:f>'Main 2'!$I$38:$I$39</c:f>
              <c:numCache>
                <c:formatCode>_(* #,##0_);_(* \(#,##0\);_(* "-"??_);_(@_)</c:formatCode>
                <c:ptCount val="2"/>
                <c:pt idx="0">
                  <c:v>112569</c:v>
                </c:pt>
                <c:pt idx="1">
                  <c:v>117472</c:v>
                </c:pt>
              </c:numCache>
            </c:numRef>
          </c:val>
          <c:extLst>
            <c:ext xmlns:c16="http://schemas.microsoft.com/office/drawing/2014/chart" uri="{C3380CC4-5D6E-409C-BE32-E72D297353CC}">
              <c16:uniqueId val="{00000001-53F1-487A-A6B4-6836345C6C76}"/>
            </c:ext>
          </c:extLst>
        </c:ser>
        <c:dLbls>
          <c:showLegendKey val="0"/>
          <c:showVal val="0"/>
          <c:showCatName val="0"/>
          <c:showSerName val="0"/>
          <c:showPercent val="0"/>
          <c:showBubbleSize val="0"/>
        </c:dLbls>
        <c:gapWidth val="182"/>
        <c:axId val="503753016"/>
        <c:axId val="617553816"/>
      </c:barChart>
      <c:catAx>
        <c:axId val="5037530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53816"/>
        <c:crosses val="autoZero"/>
        <c:auto val="1"/>
        <c:lblAlgn val="ctr"/>
        <c:lblOffset val="100"/>
        <c:noMultiLvlLbl val="0"/>
      </c:catAx>
      <c:valAx>
        <c:axId val="617553816"/>
        <c:scaling>
          <c:orientation val="minMax"/>
          <c:min val="0"/>
        </c:scaling>
        <c:delete val="1"/>
        <c:axPos val="t"/>
        <c:numFmt formatCode="_(* #,##0_);_(* \(#,##0\);_(* &quot;-&quot;??_);_(@_)" sourceLinked="1"/>
        <c:majorTickMark val="none"/>
        <c:minorTickMark val="none"/>
        <c:tickLblPos val="nextTo"/>
        <c:crossAx val="503753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2'!$C$38:$C$39</c:f>
              <c:strCache>
                <c:ptCount val="2"/>
                <c:pt idx="0">
                  <c:v>Projected</c:v>
                </c:pt>
                <c:pt idx="1">
                  <c:v>Actual</c:v>
                </c:pt>
              </c:strCache>
            </c:strRef>
          </c:cat>
          <c:val>
            <c:numRef>
              <c:f>'Main 2'!$D$38:$D$39</c:f>
              <c:numCache>
                <c:formatCode>_(* #,##0_);_(* \(#,##0\);_(* "-"??_);_(@_)</c:formatCode>
                <c:ptCount val="2"/>
                <c:pt idx="0">
                  <c:v>391496.07</c:v>
                </c:pt>
                <c:pt idx="1">
                  <c:v>496800.83</c:v>
                </c:pt>
              </c:numCache>
            </c:numRef>
          </c:val>
          <c:extLst>
            <c:ext xmlns:c16="http://schemas.microsoft.com/office/drawing/2014/chart" uri="{C3380CC4-5D6E-409C-BE32-E72D297353CC}">
              <c16:uniqueId val="{00000001-66A7-478F-BB0F-284F0AA04F91}"/>
            </c:ext>
          </c:extLst>
        </c:ser>
        <c:dLbls>
          <c:showLegendKey val="0"/>
          <c:showVal val="0"/>
          <c:showCatName val="0"/>
          <c:showSerName val="0"/>
          <c:showPercent val="0"/>
          <c:showBubbleSize val="0"/>
        </c:dLbls>
        <c:gapWidth val="182"/>
        <c:axId val="1222905848"/>
        <c:axId val="965113816"/>
      </c:barChart>
      <c:catAx>
        <c:axId val="1222905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113816"/>
        <c:crosses val="autoZero"/>
        <c:auto val="1"/>
        <c:lblAlgn val="ctr"/>
        <c:lblOffset val="100"/>
        <c:noMultiLvlLbl val="0"/>
      </c:catAx>
      <c:valAx>
        <c:axId val="965113816"/>
        <c:scaling>
          <c:orientation val="minMax"/>
          <c:min val="0"/>
        </c:scaling>
        <c:delete val="1"/>
        <c:axPos val="t"/>
        <c:numFmt formatCode="_(* #,##0_);_(* \(#,##0\);_(* &quot;-&quot;??_);_(@_)" sourceLinked="1"/>
        <c:majorTickMark val="none"/>
        <c:minorTickMark val="none"/>
        <c:tickLblPos val="nextTo"/>
        <c:crossAx val="1222905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'Main Detail'!$W$12</c:f>
              <c:strCache>
                <c:ptCount val="1"/>
                <c:pt idx="0">
                  <c:v>Tax</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Detail'!$X$12:$Y$12</c:f>
              <c:numCache>
                <c:formatCode>0%</c:formatCode>
                <c:ptCount val="2"/>
                <c:pt idx="0">
                  <c:v>0.28000000000000003</c:v>
                </c:pt>
                <c:pt idx="1">
                  <c:v>0.28999999999999998</c:v>
                </c:pt>
              </c:numCache>
            </c:numRef>
          </c:val>
          <c:extLst>
            <c:ext xmlns:c16="http://schemas.microsoft.com/office/drawing/2014/chart" uri="{C3380CC4-5D6E-409C-BE32-E72D297353CC}">
              <c16:uniqueId val="{00000000-9490-4A48-A64A-5A5F1E60A322}"/>
            </c:ext>
          </c:extLst>
        </c:ser>
        <c:ser>
          <c:idx val="1"/>
          <c:order val="1"/>
          <c:tx>
            <c:strRef>
              <c:f>'Main Detail'!$W$13</c:f>
              <c:strCache>
                <c:ptCount val="1"/>
                <c:pt idx="0">
                  <c:v>Expenses</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Detail'!$X$13:$Y$13</c:f>
              <c:numCache>
                <c:formatCode>0%</c:formatCode>
                <c:ptCount val="2"/>
                <c:pt idx="0">
                  <c:v>0.65091841151815388</c:v>
                </c:pt>
                <c:pt idx="1">
                  <c:v>0.90735999776811971</c:v>
                </c:pt>
              </c:numCache>
            </c:numRef>
          </c:val>
          <c:extLst>
            <c:ext xmlns:c16="http://schemas.microsoft.com/office/drawing/2014/chart" uri="{C3380CC4-5D6E-409C-BE32-E72D297353CC}">
              <c16:uniqueId val="{00000001-9490-4A48-A64A-5A5F1E60A322}"/>
            </c:ext>
          </c:extLst>
        </c:ser>
        <c:ser>
          <c:idx val="2"/>
          <c:order val="2"/>
          <c:tx>
            <c:strRef>
              <c:f>'Main Detail'!$W$14</c:f>
              <c:strCache>
                <c:ptCount val="1"/>
                <c:pt idx="0">
                  <c:v>Savings</c:v>
                </c:pt>
              </c:strCache>
            </c:strRef>
          </c:tx>
          <c:spPr>
            <a:solidFill>
              <a:srgbClr val="B4C6E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Detail'!$X$14:$Y$14</c:f>
              <c:numCache>
                <c:formatCode>0%</c:formatCode>
                <c:ptCount val="2"/>
                <c:pt idx="0">
                  <c:v>0.28753545342102665</c:v>
                </c:pt>
                <c:pt idx="1">
                  <c:v>0.23645693184530306</c:v>
                </c:pt>
              </c:numCache>
            </c:numRef>
          </c:val>
          <c:extLst>
            <c:ext xmlns:c16="http://schemas.microsoft.com/office/drawing/2014/chart" uri="{C3380CC4-5D6E-409C-BE32-E72D297353CC}">
              <c16:uniqueId val="{00000002-9490-4A48-A64A-5A5F1E60A322}"/>
            </c:ext>
          </c:extLst>
        </c:ser>
        <c:ser>
          <c:idx val="3"/>
          <c:order val="3"/>
          <c:tx>
            <c:strRef>
              <c:f>'Main Detail'!$W$15</c:f>
              <c:strCache>
                <c:ptCount val="1"/>
                <c:pt idx="0">
                  <c:v>Left Over</c:v>
                </c:pt>
              </c:strCache>
            </c:strRef>
          </c:tx>
          <c:spPr>
            <a:solidFill>
              <a:srgbClr val="C6E0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Detail'!$X$15:$Y$15</c:f>
              <c:numCache>
                <c:formatCode>0%</c:formatCode>
                <c:ptCount val="2"/>
                <c:pt idx="0">
                  <c:v>-0.21845386493918059</c:v>
                </c:pt>
                <c:pt idx="1">
                  <c:v>-0.43381692961342277</c:v>
                </c:pt>
              </c:numCache>
            </c:numRef>
          </c:val>
          <c:extLst>
            <c:ext xmlns:c16="http://schemas.microsoft.com/office/drawing/2014/chart" uri="{C3380CC4-5D6E-409C-BE32-E72D297353CC}">
              <c16:uniqueId val="{00000003-9490-4A48-A64A-5A5F1E60A322}"/>
            </c:ext>
          </c:extLst>
        </c:ser>
        <c:dLbls>
          <c:showLegendKey val="0"/>
          <c:showVal val="0"/>
          <c:showCatName val="0"/>
          <c:showSerName val="0"/>
          <c:showPercent val="0"/>
          <c:showBubbleSize val="0"/>
        </c:dLbls>
        <c:gapWidth val="150"/>
        <c:overlap val="100"/>
        <c:axId val="739146679"/>
        <c:axId val="1130371575"/>
      </c:barChart>
      <c:catAx>
        <c:axId val="739146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71575"/>
        <c:crosses val="autoZero"/>
        <c:auto val="1"/>
        <c:lblAlgn val="ctr"/>
        <c:lblOffset val="100"/>
        <c:noMultiLvlLbl val="0"/>
      </c:catAx>
      <c:valAx>
        <c:axId val="1130371575"/>
        <c:scaling>
          <c:orientation val="minMax"/>
        </c:scaling>
        <c:delete val="1"/>
        <c:axPos val="l"/>
        <c:numFmt formatCode="0%" sourceLinked="1"/>
        <c:majorTickMark val="none"/>
        <c:minorTickMark val="none"/>
        <c:tickLblPos val="nextTo"/>
        <c:crossAx val="739146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 Retirement Balances by Return Rate (Age 65)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'Retire Graph'!$Q$11:$Q$16</c:f>
              <c:numCache>
                <c:formatCode>0%</c:formatCode>
                <c:ptCount val="6"/>
                <c:pt idx="0">
                  <c:v>0.02</c:v>
                </c:pt>
                <c:pt idx="1">
                  <c:v>0.04</c:v>
                </c:pt>
                <c:pt idx="2">
                  <c:v>0.06</c:v>
                </c:pt>
                <c:pt idx="3">
                  <c:v>0.08</c:v>
                </c:pt>
                <c:pt idx="4">
                  <c:v>0.1</c:v>
                </c:pt>
                <c:pt idx="5">
                  <c:v>0.12</c:v>
                </c:pt>
              </c:numCache>
            </c:numRef>
          </c:cat>
          <c:val>
            <c:numRef>
              <c:f>'Retire Graph'!$T$11:$T$16</c:f>
              <c:numCache>
                <c:formatCode>"$"#,##0</c:formatCode>
                <c:ptCount val="6"/>
                <c:pt idx="0">
                  <c:v>4333597.6364938663</c:v>
                </c:pt>
                <c:pt idx="1">
                  <c:v>6627875.1587692453</c:v>
                </c:pt>
                <c:pt idx="2">
                  <c:v>10287742.723259604</c:v>
                </c:pt>
                <c:pt idx="3">
                  <c:v>16124480.001713332</c:v>
                </c:pt>
                <c:pt idx="4">
                  <c:v>25414584.416939963</c:v>
                </c:pt>
                <c:pt idx="5">
                  <c:v>40153823.702544503</c:v>
                </c:pt>
              </c:numCache>
            </c:numRef>
          </c:val>
          <c:extLst>
            <c:ext xmlns:c16="http://schemas.microsoft.com/office/drawing/2014/chart" uri="{C3380CC4-5D6E-409C-BE32-E72D297353CC}">
              <c16:uniqueId val="{00000000-D459-4641-861B-60E0B40CC5EC}"/>
            </c:ext>
          </c:extLst>
        </c:ser>
        <c:dLbls>
          <c:showLegendKey val="0"/>
          <c:showVal val="0"/>
          <c:showCatName val="0"/>
          <c:showSerName val="0"/>
          <c:showPercent val="0"/>
          <c:showBubbleSize val="0"/>
        </c:dLbls>
        <c:gapWidth val="20"/>
        <c:axId val="845953608"/>
        <c:axId val="115595879"/>
      </c:barChart>
      <c:catAx>
        <c:axId val="845953608"/>
        <c:scaling>
          <c:orientation val="maxMin"/>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95879"/>
        <c:crosses val="autoZero"/>
        <c:auto val="1"/>
        <c:lblAlgn val="ctr"/>
        <c:lblOffset val="100"/>
        <c:noMultiLvlLbl val="0"/>
      </c:catAx>
      <c:valAx>
        <c:axId val="115595879"/>
        <c:scaling>
          <c:orientation val="minMax"/>
        </c:scaling>
        <c:delete val="1"/>
        <c:axPos val="t"/>
        <c:numFmt formatCode="&quot;$&quot;#,##0" sourceLinked="1"/>
        <c:majorTickMark val="none"/>
        <c:minorTickMark val="none"/>
        <c:tickLblPos val="nextTo"/>
        <c:crossAx val="845953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 at 55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'Retire Graph'!$Q$11:$Q$16</c:f>
              <c:numCache>
                <c:formatCode>0%</c:formatCode>
                <c:ptCount val="6"/>
                <c:pt idx="0">
                  <c:v>0.02</c:v>
                </c:pt>
                <c:pt idx="1">
                  <c:v>0.04</c:v>
                </c:pt>
                <c:pt idx="2">
                  <c:v>0.06</c:v>
                </c:pt>
                <c:pt idx="3">
                  <c:v>0.08</c:v>
                </c:pt>
                <c:pt idx="4">
                  <c:v>0.1</c:v>
                </c:pt>
                <c:pt idx="5">
                  <c:v>0.12</c:v>
                </c:pt>
              </c:numCache>
            </c:numRef>
          </c:cat>
          <c:val>
            <c:numRef>
              <c:f>'Retire Graph'!$R$11:$R$16</c:f>
              <c:numCache>
                <c:formatCode>"$"#,##0</c:formatCode>
                <c:ptCount val="6"/>
                <c:pt idx="0">
                  <c:v>2872499.9807351413</c:v>
                </c:pt>
                <c:pt idx="1">
                  <c:v>3751328.772719895</c:v>
                </c:pt>
                <c:pt idx="2">
                  <c:v>4915798.7205767259</c:v>
                </c:pt>
                <c:pt idx="3">
                  <c:v>6455192.6730940612</c:v>
                </c:pt>
                <c:pt idx="4">
                  <c:v>8484828.3245546985</c:v>
                </c:pt>
                <c:pt idx="5">
                  <c:v>11153039.215690441</c:v>
                </c:pt>
              </c:numCache>
            </c:numRef>
          </c:val>
          <c:extLst>
            <c:ext xmlns:c16="http://schemas.microsoft.com/office/drawing/2014/chart" uri="{C3380CC4-5D6E-409C-BE32-E72D297353CC}">
              <c16:uniqueId val="{00000000-AD91-4FFF-ACA6-9188212F821D}"/>
            </c:ext>
          </c:extLst>
        </c:ser>
        <c:dLbls>
          <c:showLegendKey val="0"/>
          <c:showVal val="0"/>
          <c:showCatName val="0"/>
          <c:showSerName val="0"/>
          <c:showPercent val="0"/>
          <c:showBubbleSize val="0"/>
        </c:dLbls>
        <c:gapWidth val="60"/>
        <c:axId val="833248648"/>
        <c:axId val="833264520"/>
      </c:barChart>
      <c:catAx>
        <c:axId val="833248648"/>
        <c:scaling>
          <c:orientation val="maxMin"/>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64520"/>
        <c:crosses val="autoZero"/>
        <c:auto val="1"/>
        <c:lblAlgn val="ctr"/>
        <c:lblOffset val="100"/>
        <c:noMultiLvlLbl val="0"/>
      </c:catAx>
      <c:valAx>
        <c:axId val="833264520"/>
        <c:scaling>
          <c:orientation val="minMax"/>
        </c:scaling>
        <c:delete val="1"/>
        <c:axPos val="t"/>
        <c:numFmt formatCode="&quot;$&quot;#,##0" sourceLinked="1"/>
        <c:majorTickMark val="none"/>
        <c:minorTickMark val="none"/>
        <c:tickLblPos val="nextTo"/>
        <c:crossAx val="833248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 at 60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spPr>
            <a:solidFill>
              <a:srgbClr val="5B9BD5"/>
            </a:solidFill>
            <a:ln>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'Retire Graph'!$Q$11:$Q$16</c:f>
              <c:numCache>
                <c:formatCode>0%</c:formatCode>
                <c:ptCount val="6"/>
                <c:pt idx="0">
                  <c:v>0.02</c:v>
                </c:pt>
                <c:pt idx="1">
                  <c:v>0.04</c:v>
                </c:pt>
                <c:pt idx="2">
                  <c:v>0.06</c:v>
                </c:pt>
                <c:pt idx="3">
                  <c:v>0.08</c:v>
                </c:pt>
                <c:pt idx="4">
                  <c:v>0.1</c:v>
                </c:pt>
                <c:pt idx="5">
                  <c:v>0.12</c:v>
                </c:pt>
              </c:numCache>
            </c:numRef>
          </c:cat>
          <c:val>
            <c:numRef>
              <c:f>'Retire Graph'!$S$11:$S$16</c:f>
              <c:numCache>
                <c:formatCode>"$"#,##0</c:formatCode>
                <c:ptCount val="6"/>
                <c:pt idx="0">
                  <c:v>3497349.0807412402</c:v>
                </c:pt>
                <c:pt idx="1">
                  <c:v>4906593.2778806919</c:v>
                </c:pt>
                <c:pt idx="2">
                  <c:v>6938432.3386347312</c:v>
                </c:pt>
                <c:pt idx="3">
                  <c:v>9863074.2656315528</c:v>
                </c:pt>
                <c:pt idx="4">
                  <c:v>14062342.874978594</c:v>
                </c:pt>
                <c:pt idx="5">
                  <c:v>20072975.032674707</c:v>
                </c:pt>
              </c:numCache>
            </c:numRef>
          </c:val>
          <c:extLst>
            <c:ext xmlns:c16="http://schemas.microsoft.com/office/drawing/2014/chart" uri="{C3380CC4-5D6E-409C-BE32-E72D297353CC}">
              <c16:uniqueId val="{00000000-3B6A-4644-A06B-95812E4741A3}"/>
            </c:ext>
          </c:extLst>
        </c:ser>
        <c:dLbls>
          <c:showLegendKey val="0"/>
          <c:showVal val="0"/>
          <c:showCatName val="0"/>
          <c:showSerName val="0"/>
          <c:showPercent val="0"/>
          <c:showBubbleSize val="0"/>
        </c:dLbls>
        <c:gapWidth val="60"/>
        <c:axId val="1277794503"/>
        <c:axId val="1277784087"/>
      </c:barChart>
      <c:catAx>
        <c:axId val="1277794503"/>
        <c:scaling>
          <c:orientation val="maxMin"/>
        </c:scaling>
        <c:delete val="0"/>
        <c:axPos val="l"/>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84087"/>
        <c:crosses val="autoZero"/>
        <c:auto val="1"/>
        <c:lblAlgn val="ctr"/>
        <c:lblOffset val="100"/>
        <c:noMultiLvlLbl val="0"/>
      </c:catAx>
      <c:valAx>
        <c:axId val="1277784087"/>
        <c:scaling>
          <c:orientation val="minMax"/>
        </c:scaling>
        <c:delete val="1"/>
        <c:axPos val="t"/>
        <c:numFmt formatCode="&quot;$&quot;#,##0" sourceLinked="1"/>
        <c:majorTickMark val="none"/>
        <c:minorTickMark val="none"/>
        <c:tickLblPos val="nextTo"/>
        <c:crossAx val="1277794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Emergency Fund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D9E1F2"/>
              </a:solidFill>
              <a:ln>
                <a:noFill/>
              </a:ln>
              <a:effectLst/>
            </c:spPr>
            <c:extLst>
              <c:ext xmlns:c16="http://schemas.microsoft.com/office/drawing/2014/chart" uri="{C3380CC4-5D6E-409C-BE32-E72D297353CC}">
                <c16:uniqueId val="{00000001-2DA0-46BD-9966-11E68A421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Avg!$V$46:$V$48</c:f>
              <c:strCache>
                <c:ptCount val="3"/>
                <c:pt idx="0">
                  <c:v> Actual </c:v>
                </c:pt>
                <c:pt idx="1">
                  <c:v> 3 mo </c:v>
                </c:pt>
                <c:pt idx="2">
                  <c:v> 6 mo </c:v>
                </c:pt>
              </c:strCache>
            </c:strRef>
          </c:cat>
          <c:val>
            <c:numRef>
              <c:f>Avg!$W$46:$W$48</c:f>
              <c:numCache>
                <c:formatCode>_(* #,##0_);_(* \(#,##0\);_(* "-"??_);_(@_)</c:formatCode>
                <c:ptCount val="3"/>
                <c:pt idx="0">
                  <c:v>-14317.5</c:v>
                </c:pt>
                <c:pt idx="1">
                  <c:v>41300.57</c:v>
                </c:pt>
                <c:pt idx="2">
                  <c:v>78378.179999999993</c:v>
                </c:pt>
              </c:numCache>
            </c:numRef>
          </c:val>
          <c:extLst>
            <c:ext xmlns:c16="http://schemas.microsoft.com/office/drawing/2014/chart" uri="{C3380CC4-5D6E-409C-BE32-E72D297353CC}">
              <c16:uniqueId val="{00000002-2DA0-46BD-9966-11E68A4214D3}"/>
            </c:ext>
          </c:extLst>
        </c:ser>
        <c:dLbls>
          <c:showLegendKey val="0"/>
          <c:showVal val="0"/>
          <c:showCatName val="0"/>
          <c:showSerName val="0"/>
          <c:showPercent val="0"/>
          <c:showBubbleSize val="0"/>
        </c:dLbls>
        <c:gapWidth val="219"/>
        <c:overlap val="-27"/>
        <c:axId val="66643144"/>
        <c:axId val="766942152"/>
      </c:barChart>
      <c:catAx>
        <c:axId val="6664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42152"/>
        <c:crosses val="autoZero"/>
        <c:auto val="1"/>
        <c:lblAlgn val="ctr"/>
        <c:lblOffset val="100"/>
        <c:noMultiLvlLbl val="0"/>
      </c:catAx>
      <c:valAx>
        <c:axId val="766942152"/>
        <c:scaling>
          <c:orientation val="minMax"/>
        </c:scaling>
        <c:delete val="1"/>
        <c:axPos val="l"/>
        <c:numFmt formatCode="_(* #,##0_);_(* \(#,##0\);_(* &quot;-&quot;??_);_(@_)" sourceLinked="1"/>
        <c:majorTickMark val="none"/>
        <c:minorTickMark val="none"/>
        <c:tickLblPos val="nextTo"/>
        <c:crossAx val="66643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$Δ </a:t>
            </a:r>
            <a:r>
              <a:rPr lang="en-US"/>
              <a:t>in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'Main 2'!$C$102:$C$107</c:f>
              <c:strCache>
                <c:ptCount val="6"/>
                <c:pt idx="0">
                  <c:v>House</c:v>
                </c:pt>
                <c:pt idx="1">
                  <c:v>Car</c:v>
                </c:pt>
                <c:pt idx="2">
                  <c:v>Retirement</c:v>
                </c:pt>
                <c:pt idx="3">
                  <c:v>Investments</c:v>
                </c:pt>
                <c:pt idx="4">
                  <c:v>Savings</c:v>
                </c:pt>
                <c:pt idx="5">
                  <c:v>Credit Union</c:v>
                </c:pt>
              </c:strCache>
            </c:strRef>
          </c:cat>
          <c:val>
            <c:numRef>
              <c:f>'Main 2'!$F$102:$F$107</c:f>
              <c:numCache>
                <c:formatCode>"$"#,##0</c:formatCode>
                <c:ptCount val="6"/>
                <c:pt idx="0">
                  <c:v>14063.350000000035</c:v>
                </c:pt>
                <c:pt idx="1">
                  <c:v>0</c:v>
                </c:pt>
                <c:pt idx="2">
                  <c:v>220081.17999999993</c:v>
                </c:pt>
                <c:pt idx="3">
                  <c:v>-21092.230000000098</c:v>
                </c:pt>
                <c:pt idx="4">
                  <c:v>-66183.73</c:v>
                </c:pt>
                <c:pt idx="5">
                  <c:v>-3641.380000000001</c:v>
                </c:pt>
              </c:numCache>
            </c:numRef>
          </c:val>
          <c:extLst>
            <c:ext xmlns:c16="http://schemas.microsoft.com/office/drawing/2014/chart" uri="{C3380CC4-5D6E-409C-BE32-E72D297353CC}">
              <c16:uniqueId val="{00000001-E09E-48C6-92CE-EA71BD98E370}"/>
            </c:ext>
          </c:extLst>
        </c:ser>
        <c:dLbls>
          <c:showLegendKey val="0"/>
          <c:showVal val="0"/>
          <c:showCatName val="0"/>
          <c:showSerName val="0"/>
          <c:showPercent val="0"/>
          <c:showBubbleSize val="0"/>
        </c:dLbls>
        <c:gapWidth val="61"/>
        <c:overlap val="-27"/>
        <c:axId val="1462676280"/>
        <c:axId val="1462674792"/>
      </c:barChart>
      <c:catAx>
        <c:axId val="14626762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74792"/>
        <c:crosses val="autoZero"/>
        <c:auto val="1"/>
        <c:lblAlgn val="ctr"/>
        <c:lblOffset val="100"/>
        <c:noMultiLvlLbl val="0"/>
      </c:catAx>
      <c:valAx>
        <c:axId val="14626747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76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$Δ </a:t>
            </a:r>
            <a:r>
              <a:rPr lang="en-US"/>
              <a:t>in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'Main 2'!$C$85:$C$94</c:f>
              <c:strCache>
                <c:ptCount val="10"/>
                <c:pt idx="0">
                  <c:v>Schwab</c:v>
                </c:pt>
                <c:pt idx="1">
                  <c:v>Voya (Fidelity) 401K</c:v>
                </c:pt>
                <c:pt idx="2">
                  <c:v>Vanguard 401K</c:v>
                </c:pt>
                <c:pt idx="3">
                  <c:v>BCU</c:v>
                </c:pt>
                <c:pt idx="4">
                  <c:v>HSA</c:v>
                </c:pt>
                <c:pt idx="5">
                  <c:v>Discover</c:v>
                </c:pt>
                <c:pt idx="6">
                  <c:v>Cargill</c:v>
                </c:pt>
                <c:pt idx="7">
                  <c:v>House</c:v>
                </c:pt>
                <c:pt idx="8">
                  <c:v>Highlander</c:v>
                </c:pt>
                <c:pt idx="9">
                  <c:v>BMW</c:v>
                </c:pt>
              </c:strCache>
            </c:strRef>
          </c:cat>
          <c:val>
            <c:numRef>
              <c:f>'Main 2'!$F$85:$F$94</c:f>
              <c:numCache>
                <c:formatCode>"$"#,##0</c:formatCode>
                <c:ptCount val="10"/>
                <c:pt idx="0">
                  <c:v>-30325.060000000056</c:v>
                </c:pt>
                <c:pt idx="1">
                  <c:v>106741.83999999997</c:v>
                </c:pt>
                <c:pt idx="2">
                  <c:v>113339.34000000003</c:v>
                </c:pt>
                <c:pt idx="3">
                  <c:v>-3641.380000000001</c:v>
                </c:pt>
                <c:pt idx="4">
                  <c:v>5445.49</c:v>
                </c:pt>
                <c:pt idx="5">
                  <c:v>-71629.22</c:v>
                </c:pt>
                <c:pt idx="6">
                  <c:v>9232.8300000000017</c:v>
                </c:pt>
                <c:pt idx="7">
                  <c:v>3948</c:v>
                </c:pt>
                <c:pt idx="8">
                  <c:v>0</c:v>
                </c:pt>
                <c:pt idx="9">
                  <c:v>0</c:v>
                </c:pt>
              </c:numCache>
            </c:numRef>
          </c:val>
          <c:extLst>
            <c:ext xmlns:c16="http://schemas.microsoft.com/office/drawing/2014/chart" uri="{C3380CC4-5D6E-409C-BE32-E72D297353CC}">
              <c16:uniqueId val="{00000001-20BC-4FDC-9F74-AAF0F2C73DF8}"/>
            </c:ext>
          </c:extLst>
        </c:ser>
        <c:dLbls>
          <c:showLegendKey val="0"/>
          <c:showVal val="0"/>
          <c:showCatName val="0"/>
          <c:showSerName val="0"/>
          <c:showPercent val="0"/>
          <c:showBubbleSize val="0"/>
        </c:dLbls>
        <c:gapWidth val="73"/>
        <c:overlap val="-27"/>
        <c:axId val="1385946008"/>
        <c:axId val="1385926168"/>
      </c:barChart>
      <c:catAx>
        <c:axId val="138594600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26168"/>
        <c:crosses val="autoZero"/>
        <c:auto val="1"/>
        <c:lblAlgn val="ctr"/>
        <c:lblOffset val="100"/>
        <c:noMultiLvlLbl val="0"/>
      </c:catAx>
      <c:valAx>
        <c:axId val="13859261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46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spPr>
            <a:solidFill>
              <a:schemeClr val="accent2"/>
            </a:solidFill>
            <a:ln>
              <a:noFill/>
            </a:ln>
            <a:effectLst/>
          </c:spPr>
          <c:invertIfNegative val="0"/>
          <c:dPt>
            <c:idx val="0"/>
            <c:invertIfNegative val="0"/>
            <c:bubble3D val="0"/>
            <c:spPr>
              <a:solidFill>
                <a:srgbClr val="5B9BD5"/>
              </a:solidFill>
              <a:ln>
                <a:noFill/>
              </a:ln>
              <a:effectLst/>
            </c:spPr>
            <c:extLst>
              <c:ext xmlns:c16="http://schemas.microsoft.com/office/drawing/2014/chart" uri="{C3380CC4-5D6E-409C-BE32-E72D297353CC}">
                <c16:uniqueId val="{00000001-7F8E-4830-9A55-1DC832AAD214}"/>
              </c:ext>
            </c:extLst>
          </c:dPt>
          <c:dPt>
            <c:idx val="1"/>
            <c:invertIfNegative val="0"/>
            <c:bubble3D val="0"/>
            <c:spPr>
              <a:solidFill>
                <a:srgbClr val="264478"/>
              </a:solidFill>
              <a:ln>
                <a:noFill/>
              </a:ln>
              <a:effectLst/>
            </c:spPr>
            <c:extLst>
              <c:ext xmlns:c16="http://schemas.microsoft.com/office/drawing/2014/chart" uri="{C3380CC4-5D6E-409C-BE32-E72D297353CC}">
                <c16:uniqueId val="{00000003-7F8E-4830-9A55-1DC832AAD214}"/>
              </c:ext>
            </c:extLst>
          </c:dPt>
          <c:dPt>
            <c:idx val="2"/>
            <c:invertIfNegative val="0"/>
            <c:bubble3D val="0"/>
            <c:spPr>
              <a:solidFill>
                <a:srgbClr val="264478"/>
              </a:solidFill>
              <a:ln>
                <a:noFill/>
              </a:ln>
              <a:effectLst/>
            </c:spPr>
            <c:extLst>
              <c:ext xmlns:c16="http://schemas.microsoft.com/office/drawing/2014/chart" uri="{C3380CC4-5D6E-409C-BE32-E72D297353CC}">
                <c16:uniqueId val="{00000005-7F8E-4830-9A55-1DC832AAD214}"/>
              </c:ext>
            </c:extLst>
          </c:dPt>
          <c:dPt>
            <c:idx val="3"/>
            <c:invertIfNegative val="0"/>
            <c:bubble3D val="0"/>
            <c:spPr>
              <a:solidFill>
                <a:srgbClr val="264478"/>
              </a:solidFill>
              <a:ln>
                <a:noFill/>
              </a:ln>
              <a:effectLst/>
            </c:spPr>
            <c:extLst>
              <c:ext xmlns:c16="http://schemas.microsoft.com/office/drawing/2014/chart" uri="{C3380CC4-5D6E-409C-BE32-E72D297353CC}">
                <c16:uniqueId val="{00000007-7F8E-4830-9A55-1DC832AAD214}"/>
              </c:ext>
            </c:extLst>
          </c:dPt>
          <c:dPt>
            <c:idx val="4"/>
            <c:invertIfNegative val="0"/>
            <c:bubble3D val="0"/>
            <c:spPr>
              <a:solidFill>
                <a:srgbClr val="264478"/>
              </a:solidFill>
              <a:ln>
                <a:noFill/>
              </a:ln>
              <a:effectLst/>
            </c:spPr>
            <c:extLst>
              <c:ext xmlns:c16="http://schemas.microsoft.com/office/drawing/2014/chart" uri="{C3380CC4-5D6E-409C-BE32-E72D297353CC}">
                <c16:uniqueId val="{00000009-7F8E-4830-9A55-1DC832AAD214}"/>
              </c:ext>
            </c:extLst>
          </c:dPt>
          <c:dPt>
            <c:idx val="5"/>
            <c:invertIfNegative val="0"/>
            <c:bubble3D val="0"/>
            <c:spPr>
              <a:solidFill>
                <a:srgbClr val="264478"/>
              </a:solidFill>
              <a:ln>
                <a:noFill/>
              </a:ln>
              <a:effectLst/>
            </c:spPr>
            <c:extLst>
              <c:ext xmlns:c16="http://schemas.microsoft.com/office/drawing/2014/chart" uri="{C3380CC4-5D6E-409C-BE32-E72D297353CC}">
                <c16:uniqueId val="{0000000B-7F8E-4830-9A55-1DC832AAD214}"/>
              </c:ext>
            </c:extLst>
          </c:dPt>
          <c:dPt>
            <c:idx val="6"/>
            <c:invertIfNegative val="0"/>
            <c:bubble3D val="0"/>
            <c:spPr>
              <a:solidFill>
                <a:srgbClr val="264478"/>
              </a:solidFill>
              <a:ln>
                <a:noFill/>
              </a:ln>
              <a:effectLst/>
            </c:spPr>
            <c:extLst>
              <c:ext xmlns:c16="http://schemas.microsoft.com/office/drawing/2014/chart" uri="{C3380CC4-5D6E-409C-BE32-E72D297353CC}">
                <c16:uniqueId val="{0000000D-7F8E-4830-9A55-1DC832AAD214}"/>
              </c:ext>
            </c:extLst>
          </c:dPt>
          <c:cat>
            <c:numRef>
              <c:f>Income!$A$4:$A$10</c:f>
              <c:numCache>
                <c:formatCode>General</c:formatCode>
                <c:ptCount val="7"/>
                <c:pt idx="0">
                  <c:v>2023</c:v>
                </c:pt>
                <c:pt idx="1">
                  <c:v>2022</c:v>
                </c:pt>
                <c:pt idx="2">
                  <c:v>2021</c:v>
                </c:pt>
                <c:pt idx="3">
                  <c:v>2020</c:v>
                </c:pt>
                <c:pt idx="4">
                  <c:v>2019</c:v>
                </c:pt>
                <c:pt idx="5">
                  <c:v>2018</c:v>
                </c:pt>
                <c:pt idx="6">
                  <c:v>2017</c:v>
                </c:pt>
              </c:numCache>
            </c:numRef>
          </c:cat>
          <c:val>
            <c:numRef>
              <c:f>Income!$B$4:$B$10</c:f>
              <c:numCache>
                <c:formatCode>_(* #,##0_);_(* \(#,##0\);_(* "-"??_);_(@_)</c:formatCode>
                <c:ptCount val="7"/>
                <c:pt idx="0">
                  <c:v>377540</c:v>
                </c:pt>
                <c:pt idx="1">
                  <c:v>371119</c:v>
                </c:pt>
                <c:pt idx="2" formatCode="#,##0">
                  <c:v>327571</c:v>
                </c:pt>
                <c:pt idx="3" formatCode="#,##0">
                  <c:v>253416</c:v>
                </c:pt>
                <c:pt idx="4" formatCode="#,##0">
                  <c:v>229415</c:v>
                </c:pt>
                <c:pt idx="5" formatCode="#,##0">
                  <c:v>188488</c:v>
                </c:pt>
                <c:pt idx="6">
                  <c:v>149370</c:v>
                </c:pt>
              </c:numCache>
            </c:numRef>
          </c:val>
          <c:extLst>
            <c:ext xmlns:c16="http://schemas.microsoft.com/office/drawing/2014/chart" uri="{C3380CC4-5D6E-409C-BE32-E72D297353CC}">
              <c16:uniqueId val="{0000000E-7F8E-4830-9A55-1DC832AAD214}"/>
            </c:ext>
          </c:extLst>
        </c:ser>
        <c:dLbls>
          <c:showLegendKey val="0"/>
          <c:showVal val="0"/>
          <c:showCatName val="0"/>
          <c:showSerName val="0"/>
          <c:showPercent val="0"/>
          <c:showBubbleSize val="0"/>
        </c:dLbls>
        <c:gapWidth val="219"/>
        <c:overlap val="-27"/>
        <c:axId val="453978119"/>
        <c:axId val="453984263"/>
      </c:barChart>
      <c:catAx>
        <c:axId val="453978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84263"/>
        <c:crosses val="autoZero"/>
        <c:auto val="1"/>
        <c:lblAlgn val="ctr"/>
        <c:lblOffset val="100"/>
        <c:noMultiLvlLbl val="0"/>
      </c:catAx>
      <c:valAx>
        <c:axId val="45398426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78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'Main Detail'!$W$12</c:f>
              <c:strCache>
                <c:ptCount val="1"/>
                <c:pt idx="0">
                  <c:v>Tax</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Detail'!$X$12:$Y$12</c:f>
              <c:numCache>
                <c:formatCode>0%</c:formatCode>
                <c:ptCount val="2"/>
                <c:pt idx="0">
                  <c:v>0.28000000000000003</c:v>
                </c:pt>
                <c:pt idx="1">
                  <c:v>0.28999999999999998</c:v>
                </c:pt>
              </c:numCache>
            </c:numRef>
          </c:val>
          <c:extLst>
            <c:ext xmlns:c16="http://schemas.microsoft.com/office/drawing/2014/chart" uri="{C3380CC4-5D6E-409C-BE32-E72D297353CC}">
              <c16:uniqueId val="{00000006-7C9B-42E5-A338-ECDE95EC287C}"/>
            </c:ext>
          </c:extLst>
        </c:ser>
        <c:ser>
          <c:idx val="1"/>
          <c:order val="1"/>
          <c:tx>
            <c:strRef>
              <c:f>'Main Detail'!$W$13</c:f>
              <c:strCache>
                <c:ptCount val="1"/>
                <c:pt idx="0">
                  <c:v>Expenses</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Detail'!$X$13:$Y$13</c:f>
              <c:numCache>
                <c:formatCode>0%</c:formatCode>
                <c:ptCount val="2"/>
                <c:pt idx="0">
                  <c:v>0.65091841151815388</c:v>
                </c:pt>
                <c:pt idx="1">
                  <c:v>0.90735999776811971</c:v>
                </c:pt>
              </c:numCache>
            </c:numRef>
          </c:val>
          <c:extLst>
            <c:ext xmlns:c16="http://schemas.microsoft.com/office/drawing/2014/chart" uri="{C3380CC4-5D6E-409C-BE32-E72D297353CC}">
              <c16:uniqueId val="{00000008-7C9B-42E5-A338-ECDE95EC287C}"/>
            </c:ext>
          </c:extLst>
        </c:ser>
        <c:ser>
          <c:idx val="2"/>
          <c:order val="2"/>
          <c:tx>
            <c:strRef>
              <c:f>'Main Detail'!$W$14</c:f>
              <c:strCache>
                <c:ptCount val="1"/>
                <c:pt idx="0">
                  <c:v>Savings</c:v>
                </c:pt>
              </c:strCache>
            </c:strRef>
          </c:tx>
          <c:spPr>
            <a:solidFill>
              <a:srgbClr val="B4C6E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Detail'!$X$14:$Y$14</c:f>
              <c:numCache>
                <c:formatCode>0%</c:formatCode>
                <c:ptCount val="2"/>
                <c:pt idx="0">
                  <c:v>0.28753545342102665</c:v>
                </c:pt>
                <c:pt idx="1">
                  <c:v>0.23645693184530306</c:v>
                </c:pt>
              </c:numCache>
            </c:numRef>
          </c:val>
          <c:extLst>
            <c:ext xmlns:c16="http://schemas.microsoft.com/office/drawing/2014/chart" uri="{C3380CC4-5D6E-409C-BE32-E72D297353CC}">
              <c16:uniqueId val="{0000000A-7C9B-42E5-A338-ECDE95EC287C}"/>
            </c:ext>
          </c:extLst>
        </c:ser>
        <c:ser>
          <c:idx val="3"/>
          <c:order val="3"/>
          <c:tx>
            <c:strRef>
              <c:f>'Main Detail'!$W$15</c:f>
              <c:strCache>
                <c:ptCount val="1"/>
                <c:pt idx="0">
                  <c:v>Left Over</c:v>
                </c:pt>
              </c:strCache>
            </c:strRef>
          </c:tx>
          <c:spPr>
            <a:solidFill>
              <a:srgbClr val="C6E0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Detail'!$X$11:$Y$11</c:f>
              <c:strCache>
                <c:ptCount val="2"/>
                <c:pt idx="0">
                  <c:v>Projection</c:v>
                </c:pt>
                <c:pt idx="1">
                  <c:v>Actual</c:v>
                </c:pt>
              </c:strCache>
            </c:strRef>
          </c:cat>
          <c:val>
            <c:numRef>
              <c:f>'Main Detail'!$X$15:$Y$15</c:f>
              <c:numCache>
                <c:formatCode>0%</c:formatCode>
                <c:ptCount val="2"/>
                <c:pt idx="0">
                  <c:v>-0.21845386493918059</c:v>
                </c:pt>
                <c:pt idx="1">
                  <c:v>-0.43381692961342277</c:v>
                </c:pt>
              </c:numCache>
            </c:numRef>
          </c:val>
          <c:extLst>
            <c:ext xmlns:c16="http://schemas.microsoft.com/office/drawing/2014/chart" uri="{C3380CC4-5D6E-409C-BE32-E72D297353CC}">
              <c16:uniqueId val="{0000000C-7C9B-42E5-A338-ECDE95EC287C}"/>
            </c:ext>
          </c:extLst>
        </c:ser>
        <c:dLbls>
          <c:showLegendKey val="0"/>
          <c:showVal val="0"/>
          <c:showCatName val="0"/>
          <c:showSerName val="0"/>
          <c:showPercent val="0"/>
          <c:showBubbleSize val="0"/>
        </c:dLbls>
        <c:gapWidth val="150"/>
        <c:overlap val="100"/>
        <c:axId val="739146679"/>
        <c:axId val="1130371575"/>
      </c:barChart>
      <c:catAx>
        <c:axId val="739146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71575"/>
        <c:crosses val="autoZero"/>
        <c:auto val="1"/>
        <c:lblAlgn val="ctr"/>
        <c:lblOffset val="100"/>
        <c:noMultiLvlLbl val="0"/>
      </c:catAx>
      <c:valAx>
        <c:axId val="1130371575"/>
        <c:scaling>
          <c:orientation val="minMax"/>
        </c:scaling>
        <c:delete val="1"/>
        <c:axPos val="l"/>
        <c:numFmt formatCode="0%" sourceLinked="1"/>
        <c:majorTickMark val="none"/>
        <c:minorTickMark val="none"/>
        <c:tickLblPos val="nextTo"/>
        <c:crossAx val="739146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MO'!$B$18,'1 MO'!$B$24,'1 MO'!$B$33)</c:f>
              <c:strCache>
                <c:ptCount val="3"/>
                <c:pt idx="0">
                  <c:v>Total Rent &amp; Utilitites</c:v>
                </c:pt>
                <c:pt idx="1">
                  <c:v>Total Food &amp; Car</c:v>
                </c:pt>
                <c:pt idx="2">
                  <c:v>Total Other</c:v>
                </c:pt>
              </c:strCache>
            </c:strRef>
          </c:cat>
          <c:val>
            <c:numRef>
              <c:f>('1 MO'!$E$18,'1 MO'!$E$24,'1 MO'!$E$33)</c:f>
              <c:numCache>
                <c:formatCode>_(* #,##0_);_(* \(#,##0\);_(* "-"??_);_(@_)</c:formatCode>
                <c:ptCount val="3"/>
                <c:pt idx="0">
                  <c:v>-1357.9799999999996</c:v>
                </c:pt>
                <c:pt idx="1">
                  <c:v>372.28000000000031</c:v>
                </c:pt>
                <c:pt idx="2">
                  <c:v>365.03000000000065</c:v>
                </c:pt>
              </c:numCache>
            </c:numRef>
          </c:val>
          <c:extLst>
            <c:ext xmlns:c16="http://schemas.microsoft.com/office/drawing/2014/chart" uri="{C3380CC4-5D6E-409C-BE32-E72D297353CC}">
              <c16:uniqueId val="{00000001-C61E-453F-A41E-2A72436C9654}"/>
            </c:ext>
          </c:extLst>
        </c:ser>
        <c:dLbls>
          <c:showLegendKey val="0"/>
          <c:showVal val="0"/>
          <c:showCatName val="0"/>
          <c:showSerName val="0"/>
          <c:showPercent val="0"/>
          <c:showBubbleSize val="0"/>
        </c:dLbls>
        <c:gapWidth val="66"/>
        <c:overlap val="-27"/>
        <c:axId val="1101651591"/>
        <c:axId val="1101641175"/>
      </c:barChart>
      <c:catAx>
        <c:axId val="11016515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641175"/>
        <c:crosses val="autoZero"/>
        <c:auto val="1"/>
        <c:lblAlgn val="ctr"/>
        <c:lblOffset val="100"/>
        <c:noMultiLvlLbl val="0"/>
      </c:catAx>
      <c:valAx>
        <c:axId val="1101641175"/>
        <c:scaling>
          <c:orientation val="minMax"/>
        </c:scaling>
        <c:delete val="1"/>
        <c:axPos val="l"/>
        <c:numFmt formatCode="_(* #,##0_);_(* \(#,##0\);_(* &quot;-&quot;??_);_(@_)" sourceLinked="1"/>
        <c:majorTickMark val="none"/>
        <c:minorTickMark val="none"/>
        <c:tickLblPos val="nextTo"/>
        <c:crossAx val="11016515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Budget YTD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(YTD!$B$14,YTD!$B$20,YTD!$B$29)</c:f>
              <c:strCache>
                <c:ptCount val="3"/>
                <c:pt idx="0">
                  <c:v>Total Rent &amp; Utilitites</c:v>
                </c:pt>
                <c:pt idx="1">
                  <c:v>Total Food &amp; Car</c:v>
                </c:pt>
                <c:pt idx="2">
                  <c:v>Total Other</c:v>
                </c:pt>
              </c:strCache>
            </c:strRef>
          </c:cat>
          <c:val>
            <c:numRef>
              <c:f>(YTD!$E$14,YTD!$E$20,YTD!$E$29)</c:f>
              <c:numCache>
                <c:formatCode>_(* #,##0_);_(* \(#,##0\);_(* "-"??_);_(@_)</c:formatCode>
                <c:ptCount val="3"/>
                <c:pt idx="0">
                  <c:v>7072.4100000000035</c:v>
                </c:pt>
                <c:pt idx="1">
                  <c:v>7140.7399999999861</c:v>
                </c:pt>
                <c:pt idx="2">
                  <c:v>-7453.6499999999578</c:v>
                </c:pt>
              </c:numCache>
            </c:numRef>
          </c:val>
          <c:extLst>
            <c:ext xmlns:c16="http://schemas.microsoft.com/office/drawing/2014/chart" uri="{C3380CC4-5D6E-409C-BE32-E72D297353CC}">
              <c16:uniqueId val="{00000001-809E-4F94-A738-DF67D0AA447D}"/>
            </c:ext>
          </c:extLst>
        </c:ser>
        <c:dLbls>
          <c:showLegendKey val="0"/>
          <c:showVal val="0"/>
          <c:showCatName val="0"/>
          <c:showSerName val="0"/>
          <c:showPercent val="0"/>
          <c:showBubbleSize val="0"/>
        </c:dLbls>
        <c:gapWidth val="66"/>
        <c:overlap val="-27"/>
        <c:axId val="385175960"/>
        <c:axId val="385176952"/>
      </c:barChart>
      <c:catAx>
        <c:axId val="3851759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76952"/>
        <c:crosses val="autoZero"/>
        <c:auto val="1"/>
        <c:lblAlgn val="ctr"/>
        <c:lblOffset val="100"/>
        <c:noMultiLvlLbl val="0"/>
      </c:catAx>
      <c:valAx>
        <c:axId val="385176952"/>
        <c:scaling>
          <c:orientation val="minMax"/>
        </c:scaling>
        <c:delete val="1"/>
        <c:axPos val="l"/>
        <c:numFmt formatCode="_(* #,##0_);_(* \(#,##0\);_(* &quot;-&quot;??_);_(@_)" sourceLinked="1"/>
        <c:majorTickMark val="none"/>
        <c:minorTickMark val="none"/>
        <c:tickLblPos val="low"/>
        <c:crossAx val="385175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Emergency Fund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D9E1F2"/>
              </a:solidFill>
              <a:ln>
                <a:noFill/>
              </a:ln>
              <a:effectLst/>
            </c:spPr>
            <c:extLst>
              <c:ext xmlns:c16="http://schemas.microsoft.com/office/drawing/2014/chart" uri="{C3380CC4-5D6E-409C-BE32-E72D297353CC}">
                <c16:uniqueId val="{00000001-2166-4DAC-B413-0495D90C0E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Avg!$V$46:$V$48</c:f>
              <c:strCache>
                <c:ptCount val="3"/>
                <c:pt idx="0">
                  <c:v> Actual </c:v>
                </c:pt>
                <c:pt idx="1">
                  <c:v> 3 mo </c:v>
                </c:pt>
                <c:pt idx="2">
                  <c:v> 6 mo </c:v>
                </c:pt>
              </c:strCache>
            </c:strRef>
          </c:cat>
          <c:val>
            <c:numRef>
              <c:f>Avg!$W$46:$W$48</c:f>
              <c:numCache>
                <c:formatCode>_(* #,##0_);_(* \(#,##0\);_(* "-"??_);_(@_)</c:formatCode>
                <c:ptCount val="3"/>
                <c:pt idx="0">
                  <c:v>-14317.5</c:v>
                </c:pt>
                <c:pt idx="1">
                  <c:v>41300.57</c:v>
                </c:pt>
                <c:pt idx="2">
                  <c:v>78378.179999999993</c:v>
                </c:pt>
              </c:numCache>
            </c:numRef>
          </c:val>
          <c:extLst>
            <c:ext xmlns:c16="http://schemas.microsoft.com/office/drawing/2014/chart" uri="{C3380CC4-5D6E-409C-BE32-E72D297353CC}">
              <c16:uniqueId val="{00000001-A5D8-4C4A-897B-19E95EE976E2}"/>
            </c:ext>
          </c:extLst>
        </c:ser>
        <c:dLbls>
          <c:showLegendKey val="0"/>
          <c:showVal val="0"/>
          <c:showCatName val="0"/>
          <c:showSerName val="0"/>
          <c:showPercent val="0"/>
          <c:showBubbleSize val="0"/>
        </c:dLbls>
        <c:gapWidth val="219"/>
        <c:overlap val="-27"/>
        <c:axId val="66643144"/>
        <c:axId val="766942152"/>
      </c:barChart>
      <c:catAx>
        <c:axId val="6664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942152"/>
        <c:crosses val="autoZero"/>
        <c:auto val="1"/>
        <c:lblAlgn val="ctr"/>
        <c:lblOffset val="100"/>
        <c:noMultiLvlLbl val="0"/>
      </c:catAx>
      <c:valAx>
        <c:axId val="766942152"/>
        <c:scaling>
          <c:orientation val="minMax"/>
        </c:scaling>
        <c:delete val="1"/>
        <c:axPos val="l"/>
        <c:numFmt formatCode="_(* #,##0_);_(* \(#,##0\);_(* &quot;-&quot;??_);_(@_)" sourceLinked="1"/>
        <c:majorTickMark val="none"/>
        <c:minorTickMark val="none"/>
        <c:tickLblPos val="nextTo"/>
        <c:crossAx val="66643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spPr>
            <a:solidFill>
              <a:schemeClr val="accent2"/>
            </a:solidFill>
            <a:ln>
              <a:noFill/>
            </a:ln>
            <a:effectLst/>
          </c:spPr>
          <c:invertIfNegative val="0"/>
          <c:dPt>
            <c:idx val="0"/>
            <c:invertIfNegative val="0"/>
            <c:bubble3D val="0"/>
            <c:spPr>
              <a:solidFill>
                <a:srgbClr val="5B9BD5"/>
              </a:solidFill>
              <a:ln>
                <a:noFill/>
              </a:ln>
              <a:effectLst/>
            </c:spPr>
            <c:extLst>
              <c:ext xmlns:c16="http://schemas.microsoft.com/office/drawing/2014/chart" uri="{C3380CC4-5D6E-409C-BE32-E72D297353CC}">
                <c16:uniqueId val="{00000005-2D34-4760-BC87-C4C62714EFEF}"/>
              </c:ext>
            </c:extLst>
          </c:dPt>
          <c:dPt>
            <c:idx val="1"/>
            <c:invertIfNegative val="0"/>
            <c:bubble3D val="0"/>
            <c:spPr>
              <a:solidFill>
                <a:srgbClr val="264478"/>
              </a:solidFill>
              <a:ln>
                <a:noFill/>
              </a:ln>
              <a:effectLst/>
            </c:spPr>
            <c:extLst>
              <c:ext xmlns:c16="http://schemas.microsoft.com/office/drawing/2014/chart" uri="{C3380CC4-5D6E-409C-BE32-E72D297353CC}">
                <c16:uniqueId val="{00000006-2D34-4760-BC87-C4C62714EFEF}"/>
              </c:ext>
            </c:extLst>
          </c:dPt>
          <c:dPt>
            <c:idx val="2"/>
            <c:invertIfNegative val="0"/>
            <c:bubble3D val="0"/>
            <c:spPr>
              <a:solidFill>
                <a:srgbClr val="264478"/>
              </a:solidFill>
              <a:ln>
                <a:noFill/>
              </a:ln>
              <a:effectLst/>
            </c:spPr>
            <c:extLst>
              <c:ext xmlns:c16="http://schemas.microsoft.com/office/drawing/2014/chart" uri="{C3380CC4-5D6E-409C-BE32-E72D297353CC}">
                <c16:uniqueId val="{00000007-2D34-4760-BC87-C4C62714EFEF}"/>
              </c:ext>
            </c:extLst>
          </c:dPt>
          <c:dPt>
            <c:idx val="3"/>
            <c:invertIfNegative val="0"/>
            <c:bubble3D val="0"/>
            <c:spPr>
              <a:solidFill>
                <a:srgbClr val="264478"/>
              </a:solidFill>
              <a:ln>
                <a:noFill/>
              </a:ln>
              <a:effectLst/>
            </c:spPr>
            <c:extLst>
              <c:ext xmlns:c16="http://schemas.microsoft.com/office/drawing/2014/chart" uri="{C3380CC4-5D6E-409C-BE32-E72D297353CC}">
                <c16:uniqueId val="{00000008-2D34-4760-BC87-C4C62714EFEF}"/>
              </c:ext>
            </c:extLst>
          </c:dPt>
          <c:dPt>
            <c:idx val="4"/>
            <c:invertIfNegative val="0"/>
            <c:bubble3D val="0"/>
            <c:spPr>
              <a:solidFill>
                <a:srgbClr val="264478"/>
              </a:solidFill>
              <a:ln>
                <a:noFill/>
              </a:ln>
              <a:effectLst/>
            </c:spPr>
            <c:extLst>
              <c:ext xmlns:c16="http://schemas.microsoft.com/office/drawing/2014/chart" uri="{C3380CC4-5D6E-409C-BE32-E72D297353CC}">
                <c16:uniqueId val="{00000009-2D34-4760-BC87-C4C62714EFEF}"/>
              </c:ext>
            </c:extLst>
          </c:dPt>
          <c:dPt>
            <c:idx val="5"/>
            <c:invertIfNegative val="0"/>
            <c:bubble3D val="0"/>
            <c:spPr>
              <a:solidFill>
                <a:srgbClr val="264478"/>
              </a:solidFill>
              <a:ln>
                <a:noFill/>
              </a:ln>
              <a:effectLst/>
            </c:spPr>
            <c:extLst>
              <c:ext xmlns:c16="http://schemas.microsoft.com/office/drawing/2014/chart" uri="{C3380CC4-5D6E-409C-BE32-E72D297353CC}">
                <c16:uniqueId val="{0000000A-2D34-4760-BC87-C4C62714EFEF}"/>
              </c:ext>
            </c:extLst>
          </c:dPt>
          <c:dPt>
            <c:idx val="6"/>
            <c:invertIfNegative val="0"/>
            <c:bubble3D val="0"/>
            <c:spPr>
              <a:solidFill>
                <a:srgbClr val="264478"/>
              </a:solidFill>
              <a:ln>
                <a:noFill/>
              </a:ln>
              <a:effectLst/>
            </c:spPr>
            <c:extLst>
              <c:ext xmlns:c16="http://schemas.microsoft.com/office/drawing/2014/chart" uri="{C3380CC4-5D6E-409C-BE32-E72D297353CC}">
                <c16:uniqueId val="{0000000B-2D34-4760-BC87-C4C62714EFEF}"/>
              </c:ext>
            </c:extLst>
          </c:dPt>
          <c:cat>
            <c:numRef>
              <c:f>Income!$A$4:$A$10</c:f>
              <c:numCache>
                <c:formatCode>General</c:formatCode>
                <c:ptCount val="7"/>
                <c:pt idx="0">
                  <c:v>2023</c:v>
                </c:pt>
                <c:pt idx="1">
                  <c:v>2022</c:v>
                </c:pt>
                <c:pt idx="2">
                  <c:v>2021</c:v>
                </c:pt>
                <c:pt idx="3">
                  <c:v>2020</c:v>
                </c:pt>
                <c:pt idx="4">
                  <c:v>2019</c:v>
                </c:pt>
                <c:pt idx="5">
                  <c:v>2018</c:v>
                </c:pt>
                <c:pt idx="6">
                  <c:v>2017</c:v>
                </c:pt>
              </c:numCache>
            </c:numRef>
          </c:cat>
          <c:val>
            <c:numRef>
              <c:f>Income!$B$4:$B$10</c:f>
              <c:numCache>
                <c:formatCode>_(* #,##0_);_(* \(#,##0\);_(* "-"??_);_(@_)</c:formatCode>
                <c:ptCount val="7"/>
                <c:pt idx="0">
                  <c:v>377540</c:v>
                </c:pt>
                <c:pt idx="1">
                  <c:v>371119</c:v>
                </c:pt>
                <c:pt idx="2" formatCode="#,##0">
                  <c:v>327571</c:v>
                </c:pt>
                <c:pt idx="3" formatCode="#,##0">
                  <c:v>253416</c:v>
                </c:pt>
                <c:pt idx="4" formatCode="#,##0">
                  <c:v>229415</c:v>
                </c:pt>
                <c:pt idx="5" formatCode="#,##0">
                  <c:v>188488</c:v>
                </c:pt>
                <c:pt idx="6">
                  <c:v>149370</c:v>
                </c:pt>
              </c:numCache>
            </c:numRef>
          </c:val>
          <c:extLst>
            <c:ext xmlns:c16="http://schemas.microsoft.com/office/drawing/2014/chart" uri="{C3380CC4-5D6E-409C-BE32-E72D297353CC}">
              <c16:uniqueId val="{00000003-2D34-4760-BC87-C4C62714EFEF}"/>
            </c:ext>
          </c:extLst>
        </c:ser>
        <c:dLbls>
          <c:showLegendKey val="0"/>
          <c:showVal val="0"/>
          <c:showCatName val="0"/>
          <c:showSerName val="0"/>
          <c:showPercent val="0"/>
          <c:showBubbleSize val="0"/>
        </c:dLbls>
        <c:gapWidth val="219"/>
        <c:overlap val="-27"/>
        <c:axId val="453978119"/>
        <c:axId val="453984263"/>
      </c:barChart>
      <c:catAx>
        <c:axId val="453978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84263"/>
        <c:crosses val="autoZero"/>
        <c:auto val="1"/>
        <c:lblAlgn val="ctr"/>
        <c:lblOffset val="100"/>
        <c:noMultiLvlLbl val="0"/>
      </c:catAx>
      <c:valAx>
        <c:axId val="45398426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78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25400">
              <a:noFill/>
            </a:ln>
          </c:spPr>
          <c:dPt>
            <c:idx val="0"/>
            <c:bubble3D val="0"/>
            <c:spPr>
              <a:solidFill>
                <a:schemeClr val="accent1"/>
              </a:solidFill>
              <a:ln w="25400">
                <a:noFill/>
              </a:ln>
              <a:effectLst/>
            </c:spPr>
            <c:extLst>
              <c:ext xmlns:c16="http://schemas.microsoft.com/office/drawing/2014/chart" uri="{C3380CC4-5D6E-409C-BE32-E72D297353CC}">
                <c16:uniqueId val="{00000001-BEE3-4989-B6D7-40FA3DC7502C}"/>
              </c:ext>
            </c:extLst>
          </c:dPt>
          <c:dPt>
            <c:idx val="1"/>
            <c:bubble3D val="0"/>
            <c:spPr>
              <a:solidFill>
                <a:schemeClr val="accent2"/>
              </a:solidFill>
              <a:ln w="25400">
                <a:noFill/>
              </a:ln>
              <a:effectLst/>
            </c:spPr>
            <c:extLst>
              <c:ext xmlns:c16="http://schemas.microsoft.com/office/drawing/2014/chart" uri="{C3380CC4-5D6E-409C-BE32-E72D297353CC}">
                <c16:uniqueId val="{00000003-BEE3-4989-B6D7-40FA3DC7502C}"/>
              </c:ext>
            </c:extLst>
          </c:dPt>
          <c:dPt>
            <c:idx val="2"/>
            <c:bubble3D val="0"/>
            <c:spPr>
              <a:solidFill>
                <a:schemeClr val="accent3"/>
              </a:solidFill>
              <a:ln w="25400">
                <a:noFill/>
              </a:ln>
              <a:effectLst/>
            </c:spPr>
            <c:extLst>
              <c:ext xmlns:c16="http://schemas.microsoft.com/office/drawing/2014/chart" uri="{C3380CC4-5D6E-409C-BE32-E72D297353CC}">
                <c16:uniqueId val="{00000005-BEE3-4989-B6D7-40FA3DC7502C}"/>
              </c:ext>
            </c:extLst>
          </c:dPt>
          <c:dPt>
            <c:idx val="3"/>
            <c:bubble3D val="0"/>
            <c:spPr>
              <a:solidFill>
                <a:schemeClr val="accent4"/>
              </a:solidFill>
              <a:ln w="25400">
                <a:noFill/>
              </a:ln>
              <a:effectLst/>
            </c:spPr>
            <c:extLst>
              <c:ext xmlns:c16="http://schemas.microsoft.com/office/drawing/2014/chart" uri="{C3380CC4-5D6E-409C-BE32-E72D297353CC}">
                <c16:uniqueId val="{00000007-BEE3-4989-B6D7-40FA3DC7502C}"/>
              </c:ext>
            </c:extLst>
          </c:dPt>
          <c:dPt>
            <c:idx val="4"/>
            <c:bubble3D val="0"/>
            <c:spPr>
              <a:solidFill>
                <a:schemeClr val="accent5"/>
              </a:solidFill>
              <a:ln w="25400">
                <a:noFill/>
              </a:ln>
              <a:effectLst/>
            </c:spPr>
            <c:extLst>
              <c:ext xmlns:c16="http://schemas.microsoft.com/office/drawing/2014/chart" uri="{C3380CC4-5D6E-409C-BE32-E72D297353CC}">
                <c16:uniqueId val="{00000009-BEE3-4989-B6D7-40FA3DC7502C}"/>
              </c:ext>
            </c:extLst>
          </c:dPt>
          <c:dPt>
            <c:idx val="5"/>
            <c:bubble3D val="0"/>
            <c:spPr>
              <a:solidFill>
                <a:schemeClr val="accent6"/>
              </a:solidFill>
              <a:ln w="25400">
                <a:noFill/>
              </a:ln>
              <a:effectLst/>
            </c:spPr>
            <c:extLst>
              <c:ext xmlns:c16="http://schemas.microsoft.com/office/drawing/2014/chart" uri="{C3380CC4-5D6E-409C-BE32-E72D297353CC}">
                <c16:uniqueId val="{0000000B-7038-45AD-A13F-3C3D2515A8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Main!$C$83:$C$88</c:f>
              <c:strCache>
                <c:ptCount val="6"/>
                <c:pt idx="0">
                  <c:v>House</c:v>
                </c:pt>
                <c:pt idx="1">
                  <c:v>Car</c:v>
                </c:pt>
                <c:pt idx="2">
                  <c:v>Retirement</c:v>
                </c:pt>
                <c:pt idx="3">
                  <c:v>Investments</c:v>
                </c:pt>
                <c:pt idx="4">
                  <c:v>Savings</c:v>
                </c:pt>
                <c:pt idx="5">
                  <c:v>Credit Union</c:v>
                </c:pt>
              </c:strCache>
            </c:strRef>
          </c:cat>
          <c:val>
            <c:numRef>
              <c:f>Main!$D$83:$D$88</c:f>
              <c:numCache>
                <c:formatCode>"$"#,##0_);[Red]\("$"#,##0\)</c:formatCode>
                <c:ptCount val="6"/>
                <c:pt idx="0">
                  <c:v>247153.71000000002</c:v>
                </c:pt>
                <c:pt idx="1">
                  <c:v>18858.150000000001</c:v>
                </c:pt>
                <c:pt idx="2">
                  <c:v>462960.53</c:v>
                </c:pt>
                <c:pt idx="3">
                  <c:v>336201.52</c:v>
                </c:pt>
                <c:pt idx="4">
                  <c:v>43824.67</c:v>
                </c:pt>
                <c:pt idx="5">
                  <c:v>54774.16</c:v>
                </c:pt>
              </c:numCache>
            </c:numRef>
          </c:val>
          <c:extLst>
            <c:ext xmlns:c16="http://schemas.microsoft.com/office/drawing/2014/chart" uri="{C3380CC4-5D6E-409C-BE32-E72D297353CC}">
              <c16:uniqueId val="{00000001-9A0F-4FFD-B12D-88C1D30B35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Main!$C$98:$C$99</c:f>
              <c:strCache>
                <c:ptCount val="2"/>
                <c:pt idx="0">
                  <c:v>NW should be:</c:v>
                </c:pt>
                <c:pt idx="1">
                  <c:v>Actual NW:</c:v>
                </c:pt>
              </c:strCache>
            </c:strRef>
          </c:cat>
          <c:val>
            <c:numRef>
              <c:f>Main!$D$98:$D$99</c:f>
              <c:numCache>
                <c:formatCode>"$"#,##0_);[Red]\("$"#,##0\)</c:formatCode>
                <c:ptCount val="2"/>
                <c:pt idx="0">
                  <c:v>1523845.4000000001</c:v>
                </c:pt>
                <c:pt idx="1">
                  <c:v>1163772.74</c:v>
                </c:pt>
              </c:numCache>
            </c:numRef>
          </c:val>
          <c:extLst>
            <c:ext xmlns:c16="http://schemas.microsoft.com/office/drawing/2014/chart" uri="{C3380CC4-5D6E-409C-BE32-E72D297353CC}">
              <c16:uniqueId val="{00000001-53FD-4699-8E00-E10E98D6BC1E}"/>
            </c:ext>
          </c:extLst>
        </c:ser>
        <c:dLbls>
          <c:showLegendKey val="0"/>
          <c:showVal val="0"/>
          <c:showCatName val="0"/>
          <c:showSerName val="0"/>
          <c:showPercent val="0"/>
          <c:showBubbleSize val="0"/>
        </c:dLbls>
        <c:gapWidth val="219"/>
        <c:overlap val="-27"/>
        <c:axId val="67827991"/>
        <c:axId val="842864791"/>
      </c:barChart>
      <c:catAx>
        <c:axId val="67827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64791"/>
        <c:crosses val="autoZero"/>
        <c:auto val="1"/>
        <c:lblAlgn val="ctr"/>
        <c:lblOffset val="100"/>
        <c:noMultiLvlLbl val="0"/>
      </c:catAx>
      <c:valAx>
        <c:axId val="842864791"/>
        <c:scaling>
          <c:orientation val="minMax"/>
          <c:min val="0"/>
        </c:scaling>
        <c:delete val="1"/>
        <c:axPos val="l"/>
        <c:numFmt formatCode="&quot;$&quot;#,##0_);[Red]\(&quot;$&quot;#,##0\)" sourceLinked="1"/>
        <c:majorTickMark val="none"/>
        <c:minorTickMark val="none"/>
        <c:tickLblPos val="nextTo"/>
        <c:crossAx val="67827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Projections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Projections</a:t>
          </a:r>
        </a:p>
      </cx:txPr>
    </cx:title>
    <cx:plotArea>
      <cx:plotAreaRegion>
        <cx:series layoutId="waterfall" uniqueId="{70A77DDC-4DD2-4631-9E96-1399977DD655}">
          <cx:spPr>
            <a:solidFill>
              <a:srgbClr val="264478"/>
            </a:solidFill>
          </cx:spPr>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Actuals</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Actuals</a:t>
          </a:r>
        </a:p>
      </cx:txPr>
    </cx:title>
    <cx:plotArea>
      <cx:plotAreaRegion>
        <cx:series layoutId="waterfall" uniqueId="{F06F5687-298F-46DC-87EB-F4E1C8A5D9FB}">
          <cx:spPr>
            <a:solidFill>
              <a:srgbClr val="5B9BD5"/>
            </a:solidFill>
          </cx:spPr>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Projections</cx:v>
        </cx:txData>
      </cx:tx>
      <cx:txPr>
        <a:bodyPr vertOverflow="overflow" horzOverflow="overflow" wrap="square" lIns="0" tIns="0" rIns="0" bIns="0"/>
        <a:lstStyle/>
        <a:p>
          <a:pPr algn="ctr" rtl="0">
            <a:defRPr sz="1400" b="0" i="0">
              <a:solidFill>
                <a:srgbClr val="000000"/>
              </a:solidFill>
              <a:latin typeface="Calibri" panose="020F0502020204030204" pitchFamily="34" charset="0"/>
              <a:ea typeface="Calibri" panose="020F0502020204030204" pitchFamily="34" charset="0"/>
              <a:cs typeface="Calibri" panose="020F0502020204030204" pitchFamily="34" charset="0"/>
            </a:defRPr>
          </a:pPr>
          <a:r>
            <a:rPr>
              <a:solidFill>
                <a:srgbClr val="000000"/>
              </a:solidFill>
            </a:rPr>
            <a:t>Projections</a:t>
          </a:r>
        </a:p>
      </cx:txPr>
    </cx:title>
    <cx:plotArea>
      <cx:plotAreaRegion>
        <cx:series layoutId="waterfall" uniqueId="{70A77DDC-4DD2-4631-9E96-1399977DD655}">
          <cx:spPr>
            <a:solidFill>
              <a:srgbClr val="8EA9DB"/>
            </a:solidFill>
          </cx:spPr>
          <cx:dataLabels pos="outEnd">
            <cx:txPr>
              <a:bodyPr vertOverflow="overflow" horzOverflow="overflow" wrap="square" lIns="0" tIns="0" rIns="0" bIns="0"/>
              <a:lstStyle/>
              <a:p>
                <a:pPr algn="ctr" rtl="0">
                  <a:defRPr sz="9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9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Actuals</cx:v>
        </cx:txData>
      </cx:tx>
      <cx:txPr>
        <a:bodyPr vertOverflow="overflow" horzOverflow="overflow" wrap="square" lIns="0" tIns="0" rIns="0" bIns="0"/>
        <a:lstStyle/>
        <a:p>
          <a:pPr algn="ctr" rtl="0">
            <a:defRPr sz="1400" b="0" i="0">
              <a:solidFill>
                <a:srgbClr val="000000"/>
              </a:solidFill>
              <a:latin typeface="Calibri" panose="020F0502020204030204" pitchFamily="34" charset="0"/>
              <a:ea typeface="Calibri" panose="020F0502020204030204" pitchFamily="34" charset="0"/>
              <a:cs typeface="Calibri" panose="020F0502020204030204" pitchFamily="34" charset="0"/>
            </a:defRPr>
          </a:pPr>
          <a:r>
            <a:rPr>
              <a:solidFill>
                <a:srgbClr val="000000"/>
              </a:solidFill>
            </a:rPr>
            <a:t>Actuals</a:t>
          </a:r>
        </a:p>
      </cx:txPr>
    </cx:title>
    <cx:plotArea>
      <cx:plotAreaRegion>
        <cx:series layoutId="waterfall" uniqueId="{F06F5687-298F-46DC-87EB-F4E1C8A5D9FB}">
          <cx:spPr>
            <a:solidFill>
              <a:srgbClr val="8EA9DB"/>
            </a:solidFill>
          </cx:spPr>
          <cx:dataLabels pos="outEnd">
            <cx:txPr>
              <a:bodyPr vertOverflow="overflow" horzOverflow="overflow" wrap="square" lIns="0" tIns="0" rIns="0" bIns="0"/>
              <a:lstStyle/>
              <a:p>
                <a:pPr algn="ctr" rtl="0">
                  <a:defRPr sz="9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axis>
      <cx:axis id="1">
        <cx:valScaling/>
        <cx:tickLabels/>
        <cx:txPr>
          <a:bodyPr vertOverflow="overflow" horzOverflow="overflow" wrap="square" lIns="0" tIns="0" rIns="0" bIns="0"/>
          <a:lstStyle/>
          <a:p>
            <a:pPr algn="ctr" rtl="0">
              <a:defRPr sz="9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chart" Target="../charts/chart2.xml"/><Relationship Id="rId16" Type="http://schemas.openxmlformats.org/officeDocument/2006/relationships/chart" Target="../charts/chart14.xml"/><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chart" Target="../charts/chart9.xml"/><Relationship Id="rId5" Type="http://schemas.microsoft.com/office/2014/relationships/chartEx" Target="../charts/chartEx1.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microsoft.com/office/2014/relationships/chartEx" Target="../charts/chartEx4.xml"/><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19050</xdr:colOff>
      <xdr:row>11</xdr:row>
      <xdr:rowOff>28575</xdr:rowOff>
    </xdr:from>
    <xdr:to>
      <xdr:col>6</xdr:col>
      <xdr:colOff>209550</xdr:colOff>
      <xdr:row>21</xdr:row>
      <xdr:rowOff>28575</xdr:rowOff>
    </xdr:to>
    <xdr:graphicFrame macro="">
      <xdr:nvGraphicFramePr>
        <xdr:cNvPr id="2" name="Chart 1">
          <a:extLst>
            <a:ext uri="{FF2B5EF4-FFF2-40B4-BE49-F238E27FC236}">
              <a16:creationId xmlns:a16="http://schemas.microsoft.com/office/drawing/2014/main" id="{8C7D73A5-FF8C-44BD-A986-007C6DFB1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314325</xdr:colOff>
      <xdr:row>11</xdr:row>
      <xdr:rowOff>19050</xdr:rowOff>
    </xdr:from>
    <xdr:to>
      <xdr:col>10</xdr:col>
      <xdr:colOff>828675</xdr:colOff>
      <xdr:row>21</xdr:row>
      <xdr:rowOff>19050</xdr:rowOff>
    </xdr:to>
    <xdr:graphicFrame macro="">
      <xdr:nvGraphicFramePr>
        <xdr:cNvPr id="3" name="Chart 2">
          <a:extLst>
            <a:ext uri="{FF2B5EF4-FFF2-40B4-BE49-F238E27FC236}">
              <a16:creationId xmlns:a16="http://schemas.microsoft.com/office/drawing/2014/main" id="{290BA972-3E62-4CFB-9346-56747E8F90DB}"/>
            </a:ext>
            <a:ext uri="{147F2762-F138-4A5C-976F-8EAC2B608ADB}">
              <a16:predDERef xmlns:a16="http://schemas.microsoft.com/office/drawing/2014/main" pred="{8C7D73A5-FF8C-44BD-A986-007C6DFB1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24</xdr:row>
      <xdr:rowOff>171450</xdr:rowOff>
    </xdr:from>
    <xdr:to>
      <xdr:col>6</xdr:col>
      <xdr:colOff>247650</xdr:colOff>
      <xdr:row>34</xdr:row>
      <xdr:rowOff>142875</xdr:rowOff>
    </xdr:to>
    <xdr:graphicFrame macro="">
      <xdr:nvGraphicFramePr>
        <xdr:cNvPr id="4" name="Chart 3">
          <a:extLst>
            <a:ext uri="{FF2B5EF4-FFF2-40B4-BE49-F238E27FC236}">
              <a16:creationId xmlns:a16="http://schemas.microsoft.com/office/drawing/2014/main" id="{85C25071-F4AC-556F-B9C6-C75703C47AB3}"/>
            </a:ext>
            <a:ext uri="{147F2762-F138-4A5C-976F-8EAC2B608ADB}">
              <a16:predDERef xmlns:a16="http://schemas.microsoft.com/office/drawing/2014/main" pred="{290BA972-3E62-4CFB-9346-56747E8F9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361950</xdr:colOff>
      <xdr:row>24</xdr:row>
      <xdr:rowOff>171450</xdr:rowOff>
    </xdr:from>
    <xdr:to>
      <xdr:col>10</xdr:col>
      <xdr:colOff>876300</xdr:colOff>
      <xdr:row>34</xdr:row>
      <xdr:rowOff>133350</xdr:rowOff>
    </xdr:to>
    <xdr:graphicFrame macro="">
      <xdr:nvGraphicFramePr>
        <xdr:cNvPr id="5" name="Chart 4">
          <a:extLst>
            <a:ext uri="{FF2B5EF4-FFF2-40B4-BE49-F238E27FC236}">
              <a16:creationId xmlns:a16="http://schemas.microsoft.com/office/drawing/2014/main" id="{B9805322-C294-B833-CCAC-4A7E10451935}"/>
            </a:ext>
            <a:ext uri="{147F2762-F138-4A5C-976F-8EAC2B608ADB}">
              <a16:predDERef xmlns:a16="http://schemas.microsoft.com/office/drawing/2014/main" pred="{85C25071-F4AC-556F-B9C6-C75703C47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52</xdr:row>
      <xdr:rowOff>85725</xdr:rowOff>
    </xdr:from>
    <xdr:to>
      <xdr:col>6</xdr:col>
      <xdr:colOff>276225</xdr:colOff>
      <xdr:row>64</xdr:row>
      <xdr:rowOff>0</xdr:rowOff>
    </xdr:to>
    <mc:AlternateContent xmlns:mc="http://schemas.openxmlformats.org/markup-compatibility/2006">
      <mc:Choice xmlns:cx1="http://schemas.microsoft.com/office/drawing/2015/9/8/chartex" Requires="cx1">
        <xdr:graphicFrame macro="">
          <xdr:nvGraphicFramePr>
            <xdr:cNvPr id="6" name="Chart 1">
              <a:extLst>
                <a:ext uri="{FF2B5EF4-FFF2-40B4-BE49-F238E27FC236}">
                  <a16:creationId xmlns:a16="http://schemas.microsoft.com/office/drawing/2014/main" id="{4B50AE32-E612-468E-BAE3-4879BE201FA3}"/>
                </a:ext>
                <a:ext uri="{147F2762-F138-4A5C-976F-8EAC2B608ADB}">
                  <a16:predDERef xmlns:a16="http://schemas.microsoft.com/office/drawing/2014/main" pred="{B9805322-C294-B833-CCAC-4A7E104519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3425" y="10086975"/>
              <a:ext cx="4105275" cy="2200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304800</xdr:colOff>
      <xdr:row>52</xdr:row>
      <xdr:rowOff>85725</xdr:rowOff>
    </xdr:from>
    <xdr:to>
      <xdr:col>10</xdr:col>
      <xdr:colOff>866775</xdr:colOff>
      <xdr:row>63</xdr:row>
      <xdr:rowOff>180975</xdr:rowOff>
    </xdr:to>
    <mc:AlternateContent xmlns:mc="http://schemas.openxmlformats.org/markup-compatibility/2006">
      <mc:Choice xmlns:cx1="http://schemas.microsoft.com/office/drawing/2015/9/8/chartex" Requires="cx1">
        <xdr:graphicFrame macro="">
          <xdr:nvGraphicFramePr>
            <xdr:cNvPr id="7" name="Chart 2">
              <a:extLst>
                <a:ext uri="{FF2B5EF4-FFF2-40B4-BE49-F238E27FC236}">
                  <a16:creationId xmlns:a16="http://schemas.microsoft.com/office/drawing/2014/main" id="{066CCD84-60B2-4783-83FB-913517D151F1}"/>
                </a:ext>
                <a:ext uri="{147F2762-F138-4A5C-976F-8EAC2B608ADB}">
                  <a16:predDERef xmlns:a16="http://schemas.microsoft.com/office/drawing/2014/main" pred="{4B50AE32-E612-468E-BAE3-4879BE201F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67275" y="10086975"/>
              <a:ext cx="4124325"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209550</xdr:colOff>
      <xdr:row>110</xdr:row>
      <xdr:rowOff>38100</xdr:rowOff>
    </xdr:from>
    <xdr:to>
      <xdr:col>7</xdr:col>
      <xdr:colOff>285750</xdr:colOff>
      <xdr:row>137</xdr:row>
      <xdr:rowOff>19050</xdr:rowOff>
    </xdr:to>
    <xdr:graphicFrame macro="">
      <xdr:nvGraphicFramePr>
        <xdr:cNvPr id="8" name="Chart 3">
          <a:extLst>
            <a:ext uri="{FF2B5EF4-FFF2-40B4-BE49-F238E27FC236}">
              <a16:creationId xmlns:a16="http://schemas.microsoft.com/office/drawing/2014/main" id="{34B29BC4-06CF-41C7-871B-25B988189C41}"/>
            </a:ext>
            <a:ext uri="{147F2762-F138-4A5C-976F-8EAC2B608ADB}">
              <a16:predDERef xmlns:a16="http://schemas.microsoft.com/office/drawing/2014/main" pred="{066CCD84-60B2-4783-83FB-913517D15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95250</xdr:colOff>
      <xdr:row>39</xdr:row>
      <xdr:rowOff>142875</xdr:rowOff>
    </xdr:from>
    <xdr:to>
      <xdr:col>6</xdr:col>
      <xdr:colOff>247650</xdr:colOff>
      <xdr:row>49</xdr:row>
      <xdr:rowOff>114300</xdr:rowOff>
    </xdr:to>
    <xdr:graphicFrame macro="">
      <xdr:nvGraphicFramePr>
        <xdr:cNvPr id="9" name="Chart 8">
          <a:extLst>
            <a:ext uri="{FF2B5EF4-FFF2-40B4-BE49-F238E27FC236}">
              <a16:creationId xmlns:a16="http://schemas.microsoft.com/office/drawing/2014/main" id="{74856D92-E729-C3A5-A591-F3380E5006A8}"/>
            </a:ext>
            <a:ext uri="{147F2762-F138-4A5C-976F-8EAC2B608ADB}">
              <a16:predDERef xmlns:a16="http://schemas.microsoft.com/office/drawing/2014/main" pred="{34B29BC4-06CF-41C7-871B-25B98818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342900</xdr:colOff>
      <xdr:row>39</xdr:row>
      <xdr:rowOff>142875</xdr:rowOff>
    </xdr:from>
    <xdr:to>
      <xdr:col>10</xdr:col>
      <xdr:colOff>876300</xdr:colOff>
      <xdr:row>49</xdr:row>
      <xdr:rowOff>142875</xdr:rowOff>
    </xdr:to>
    <xdr:graphicFrame macro="">
      <xdr:nvGraphicFramePr>
        <xdr:cNvPr id="10" name="Chart 9">
          <a:extLst>
            <a:ext uri="{FF2B5EF4-FFF2-40B4-BE49-F238E27FC236}">
              <a16:creationId xmlns:a16="http://schemas.microsoft.com/office/drawing/2014/main" id="{D91351E2-97E5-DE1E-FDAA-F3ED77807756}"/>
            </a:ext>
            <a:ext uri="{147F2762-F138-4A5C-976F-8EAC2B608ADB}">
              <a16:predDERef xmlns:a16="http://schemas.microsoft.com/office/drawing/2014/main" pred="{74856D92-E729-C3A5-A591-F3380E500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9525</xdr:colOff>
      <xdr:row>65</xdr:row>
      <xdr:rowOff>38100</xdr:rowOff>
    </xdr:from>
    <xdr:to>
      <xdr:col>6</xdr:col>
      <xdr:colOff>276225</xdr:colOff>
      <xdr:row>77</xdr:row>
      <xdr:rowOff>123825</xdr:rowOff>
    </xdr:to>
    <xdr:graphicFrame macro="">
      <xdr:nvGraphicFramePr>
        <xdr:cNvPr id="11" name="Chart 10">
          <a:extLst>
            <a:ext uri="{FF2B5EF4-FFF2-40B4-BE49-F238E27FC236}">
              <a16:creationId xmlns:a16="http://schemas.microsoft.com/office/drawing/2014/main" id="{47325415-6918-481C-B846-ABB94058834D}"/>
            </a:ext>
            <a:ext uri="{147F2762-F138-4A5C-976F-8EAC2B608ADB}">
              <a16:predDERef xmlns:a16="http://schemas.microsoft.com/office/drawing/2014/main" pred="{D91351E2-97E5-DE1E-FDAA-F3ED77807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285750</xdr:colOff>
      <xdr:row>147</xdr:row>
      <xdr:rowOff>57150</xdr:rowOff>
    </xdr:from>
    <xdr:to>
      <xdr:col>10</xdr:col>
      <xdr:colOff>333375</xdr:colOff>
      <xdr:row>170</xdr:row>
      <xdr:rowOff>123825</xdr:rowOff>
    </xdr:to>
    <xdr:graphicFrame macro="">
      <xdr:nvGraphicFramePr>
        <xdr:cNvPr id="13" name="Chart 12">
          <a:extLst>
            <a:ext uri="{FF2B5EF4-FFF2-40B4-BE49-F238E27FC236}">
              <a16:creationId xmlns:a16="http://schemas.microsoft.com/office/drawing/2014/main" id="{D0B1BD56-1E74-40F9-BEA9-230A1A56CDA7}"/>
            </a:ext>
            <a:ext uri="{147F2762-F138-4A5C-976F-8EAC2B608ADB}">
              <a16:predDERef xmlns:a16="http://schemas.microsoft.com/office/drawing/2014/main" pred="{47325415-6918-481C-B846-ABB940588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276225</xdr:colOff>
      <xdr:row>170</xdr:row>
      <xdr:rowOff>180975</xdr:rowOff>
    </xdr:from>
    <xdr:to>
      <xdr:col>6</xdr:col>
      <xdr:colOff>0</xdr:colOff>
      <xdr:row>185</xdr:row>
      <xdr:rowOff>66675</xdr:rowOff>
    </xdr:to>
    <xdr:graphicFrame macro="">
      <xdr:nvGraphicFramePr>
        <xdr:cNvPr id="14" name="Chart 13">
          <a:extLst>
            <a:ext uri="{FF2B5EF4-FFF2-40B4-BE49-F238E27FC236}">
              <a16:creationId xmlns:a16="http://schemas.microsoft.com/office/drawing/2014/main" id="{521F5A98-6E08-480E-97AA-6C00D383E09E}"/>
            </a:ext>
            <a:ext uri="{147F2762-F138-4A5C-976F-8EAC2B608ADB}">
              <a16:predDERef xmlns:a16="http://schemas.microsoft.com/office/drawing/2014/main" pred="{D0B1BD56-1E74-40F9-BEA9-230A1A56C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304800</xdr:colOff>
      <xdr:row>170</xdr:row>
      <xdr:rowOff>180975</xdr:rowOff>
    </xdr:from>
    <xdr:to>
      <xdr:col>10</xdr:col>
      <xdr:colOff>304800</xdr:colOff>
      <xdr:row>185</xdr:row>
      <xdr:rowOff>66675</xdr:rowOff>
    </xdr:to>
    <xdr:graphicFrame macro="">
      <xdr:nvGraphicFramePr>
        <xdr:cNvPr id="15" name="Chart 14">
          <a:extLst>
            <a:ext uri="{FF2B5EF4-FFF2-40B4-BE49-F238E27FC236}">
              <a16:creationId xmlns:a16="http://schemas.microsoft.com/office/drawing/2014/main" id="{59CAF6E6-61AE-470A-A328-FA2D0E3B9C0A}"/>
            </a:ext>
            <a:ext uri="{147F2762-F138-4A5C-976F-8EAC2B608ADB}">
              <a16:predDERef xmlns:a16="http://schemas.microsoft.com/office/drawing/2014/main" pred="{521F5A98-6E08-480E-97AA-6C00D383E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647700</xdr:colOff>
      <xdr:row>65</xdr:row>
      <xdr:rowOff>47625</xdr:rowOff>
    </xdr:from>
    <xdr:to>
      <xdr:col>9</xdr:col>
      <xdr:colOff>590550</xdr:colOff>
      <xdr:row>77</xdr:row>
      <xdr:rowOff>104775</xdr:rowOff>
    </xdr:to>
    <xdr:graphicFrame macro="">
      <xdr:nvGraphicFramePr>
        <xdr:cNvPr id="12" name="Chart 11">
          <a:extLst>
            <a:ext uri="{FF2B5EF4-FFF2-40B4-BE49-F238E27FC236}">
              <a16:creationId xmlns:a16="http://schemas.microsoft.com/office/drawing/2014/main" id="{F099094E-B679-411A-ADA2-F758B2F97669}"/>
            </a:ext>
            <a:ext uri="{147F2762-F138-4A5C-976F-8EAC2B608ADB}">
              <a16:predDERef xmlns:a16="http://schemas.microsoft.com/office/drawing/2014/main" pred="{59CAF6E6-61AE-470A-A328-FA2D0E3B9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200025</xdr:colOff>
      <xdr:row>97</xdr:row>
      <xdr:rowOff>57150</xdr:rowOff>
    </xdr:from>
    <xdr:to>
      <xdr:col>10</xdr:col>
      <xdr:colOff>733425</xdr:colOff>
      <xdr:row>107</xdr:row>
      <xdr:rowOff>152400</xdr:rowOff>
    </xdr:to>
    <xdr:graphicFrame macro="">
      <xdr:nvGraphicFramePr>
        <xdr:cNvPr id="18" name="Chart 17">
          <a:extLst>
            <a:ext uri="{FF2B5EF4-FFF2-40B4-BE49-F238E27FC236}">
              <a16:creationId xmlns:a16="http://schemas.microsoft.com/office/drawing/2014/main" id="{2D58EF54-4AEE-D094-AA3B-7CD85F528E28}"/>
            </a:ext>
            <a:ext uri="{147F2762-F138-4A5C-976F-8EAC2B608ADB}">
              <a16:predDERef xmlns:a16="http://schemas.microsoft.com/office/drawing/2014/main" pred="{F099094E-B679-411A-ADA2-F758B2F97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247650</xdr:colOff>
      <xdr:row>83</xdr:row>
      <xdr:rowOff>142875</xdr:rowOff>
    </xdr:from>
    <xdr:to>
      <xdr:col>10</xdr:col>
      <xdr:colOff>733425</xdr:colOff>
      <xdr:row>94</xdr:row>
      <xdr:rowOff>0</xdr:rowOff>
    </xdr:to>
    <xdr:graphicFrame macro="">
      <xdr:nvGraphicFramePr>
        <xdr:cNvPr id="20" name="Chart 19">
          <a:extLst>
            <a:ext uri="{FF2B5EF4-FFF2-40B4-BE49-F238E27FC236}">
              <a16:creationId xmlns:a16="http://schemas.microsoft.com/office/drawing/2014/main" id="{9B69BE6D-B39B-611D-BA43-98B8E37A77CE}"/>
            </a:ext>
            <a:ext uri="{147F2762-F138-4A5C-976F-8EAC2B608ADB}">
              <a16:predDERef xmlns:a16="http://schemas.microsoft.com/office/drawing/2014/main" pred="{2D58EF54-4AEE-D094-AA3B-7CD85F528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466725</xdr:colOff>
      <xdr:row>110</xdr:row>
      <xdr:rowOff>57150</xdr:rowOff>
    </xdr:from>
    <xdr:to>
      <xdr:col>10</xdr:col>
      <xdr:colOff>723900</xdr:colOff>
      <xdr:row>120</xdr:row>
      <xdr:rowOff>28575</xdr:rowOff>
    </xdr:to>
    <xdr:graphicFrame macro="">
      <xdr:nvGraphicFramePr>
        <xdr:cNvPr id="16" name="Chart 15">
          <a:extLst>
            <a:ext uri="{FF2B5EF4-FFF2-40B4-BE49-F238E27FC236}">
              <a16:creationId xmlns:a16="http://schemas.microsoft.com/office/drawing/2014/main" id="{17987F3D-CD08-4828-89A2-E30AE12E1881}"/>
            </a:ext>
            <a:ext uri="{147F2762-F138-4A5C-976F-8EAC2B608ADB}">
              <a16:predDERef xmlns:a16="http://schemas.microsoft.com/office/drawing/2014/main" pred="{9B69BE6D-B39B-611D-BA43-98B8E37A7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xdr:colOff>
      <xdr:row>3</xdr:row>
      <xdr:rowOff>47625</xdr:rowOff>
    </xdr:from>
    <xdr:to>
      <xdr:col>7</xdr:col>
      <xdr:colOff>533400</xdr:colOff>
      <xdr:row>17</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13CD2F5-8850-61AE-B62B-70CC04A313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14425" y="6191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9525</xdr:colOff>
      <xdr:row>3</xdr:row>
      <xdr:rowOff>57150</xdr:rowOff>
    </xdr:from>
    <xdr:to>
      <xdr:col>15</xdr:col>
      <xdr:colOff>314325</xdr:colOff>
      <xdr:row>17</xdr:row>
      <xdr:rowOff>133350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3A73677-D3E6-A581-3744-48CB9E6B48B4}"/>
                </a:ext>
                <a:ext uri="{147F2762-F138-4A5C-976F-8EAC2B608ADB}">
                  <a16:predDERef xmlns:a16="http://schemas.microsoft.com/office/drawing/2014/main" pred="{913CD2F5-8850-61AE-B62B-70CC04A313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72150" y="628650"/>
              <a:ext cx="46196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9525</xdr:colOff>
      <xdr:row>17</xdr:row>
      <xdr:rowOff>57150</xdr:rowOff>
    </xdr:from>
    <xdr:to>
      <xdr:col>24</xdr:col>
      <xdr:colOff>314325</xdr:colOff>
      <xdr:row>31</xdr:row>
      <xdr:rowOff>180975</xdr:rowOff>
    </xdr:to>
    <xdr:graphicFrame macro="">
      <xdr:nvGraphicFramePr>
        <xdr:cNvPr id="4" name="Chart 3">
          <a:extLst>
            <a:ext uri="{FF2B5EF4-FFF2-40B4-BE49-F238E27FC236}">
              <a16:creationId xmlns:a16="http://schemas.microsoft.com/office/drawing/2014/main" id="{2CF09823-11E1-285E-EBFD-425FE319E6E8}"/>
            </a:ext>
            <a:ext uri="{147F2762-F138-4A5C-976F-8EAC2B608ADB}">
              <a16:predDERef xmlns:a16="http://schemas.microsoft.com/office/drawing/2014/main" pred="{13A73677-D3E6-A581-3744-48CB9E6B4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390525</xdr:colOff>
      <xdr:row>8</xdr:row>
      <xdr:rowOff>57150</xdr:rowOff>
    </xdr:from>
    <xdr:to>
      <xdr:col>11</xdr:col>
      <xdr:colOff>333375</xdr:colOff>
      <xdr:row>19</xdr:row>
      <xdr:rowOff>95250</xdr:rowOff>
    </xdr:to>
    <xdr:graphicFrame macro="">
      <xdr:nvGraphicFramePr>
        <xdr:cNvPr id="3" name="Chart 2">
          <a:extLst>
            <a:ext uri="{FF2B5EF4-FFF2-40B4-BE49-F238E27FC236}">
              <a16:creationId xmlns:a16="http://schemas.microsoft.com/office/drawing/2014/main" id="{B20ED077-04DD-6F6F-37D7-F870D973BF8F}"/>
            </a:ext>
            <a:ext uri="{147F2762-F138-4A5C-976F-8EAC2B608ADB}">
              <a16:predDERef xmlns:a16="http://schemas.microsoft.com/office/drawing/2014/main" pred="{CBECC682-F84A-1D3E-E49B-64E0ED83B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276225</xdr:colOff>
      <xdr:row>3</xdr:row>
      <xdr:rowOff>114300</xdr:rowOff>
    </xdr:from>
    <xdr:to>
      <xdr:col>20</xdr:col>
      <xdr:colOff>28575</xdr:colOff>
      <xdr:row>13</xdr:row>
      <xdr:rowOff>57150</xdr:rowOff>
    </xdr:to>
    <xdr:graphicFrame macro="">
      <xdr:nvGraphicFramePr>
        <xdr:cNvPr id="3" name="Chart 2">
          <a:extLst>
            <a:ext uri="{FF2B5EF4-FFF2-40B4-BE49-F238E27FC236}">
              <a16:creationId xmlns:a16="http://schemas.microsoft.com/office/drawing/2014/main" id="{A9D9BFF6-82C1-898E-562C-943A82B6B5F4}"/>
            </a:ext>
            <a:ext uri="{147F2762-F138-4A5C-976F-8EAC2B608ADB}">
              <a16:predDERef xmlns:a16="http://schemas.microsoft.com/office/drawing/2014/main" pred="{CC37F1EF-84BF-4283-9882-DD2E519F6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177651</xdr:colOff>
      <xdr:row>5</xdr:row>
      <xdr:rowOff>154053</xdr:rowOff>
    </xdr:from>
    <xdr:to>
      <xdr:col>11</xdr:col>
      <xdr:colOff>176701</xdr:colOff>
      <xdr:row>24</xdr:row>
      <xdr:rowOff>139915</xdr:rowOff>
    </xdr:to>
    <mc:AlternateContent xmlns:mc="http://schemas.openxmlformats.org/markup-compatibility/2006" xmlns:a14="http://schemas.microsoft.com/office/drawing/2010/main">
      <mc:Choice Requires="a14">
        <xdr:graphicFrame macro="">
          <xdr:nvGraphicFramePr>
            <xdr:cNvPr id="3" name="Yrmo">
              <a:extLst>
                <a:ext uri="{FF2B5EF4-FFF2-40B4-BE49-F238E27FC236}">
                  <a16:creationId xmlns:a16="http://schemas.microsoft.com/office/drawing/2014/main" id="{08AF5E36-6043-F9CB-FDA3-176AD201A630}"/>
                </a:ext>
              </a:extLst>
            </xdr:cNvPr>
            <xdr:cNvGraphicFramePr/>
          </xdr:nvGraphicFramePr>
          <xdr:xfrm>
            <a:off x="0" y="0"/>
            <a:ext cx="0" cy="0"/>
          </xdr:xfrm>
          <a:graphic>
            <a:graphicData uri="http://schemas.microsoft.com/office/drawing/2010/slicer">
              <sle:slicer xmlns:sle="http://schemas.microsoft.com/office/drawing/2010/slicer" name="Yrmo"/>
            </a:graphicData>
          </a:graphic>
        </xdr:graphicFrame>
      </mc:Choice>
      <mc:Fallback xmlns="">
        <xdr:sp macro="" textlink="">
          <xdr:nvSpPr>
            <xdr:cNvPr id="0" name=""/>
            <xdr:cNvSpPr>
              <a:spLocks noTextEdit="1"/>
            </xdr:cNvSpPr>
          </xdr:nvSpPr>
          <xdr:spPr>
            <a:xfrm>
              <a:off x="18383250" y="3238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fPrintsWithSheet="0"/>
  </xdr:twoCellAnchor>
</xdr:wsDr>
</file>

<file path=xl/drawings/drawing6.xml><?xml version="1.0" encoding="utf-8"?>
<xdr:wsDr xmlns:xdr="http://schemas.openxmlformats.org/drawingml/2006/spreadsheetDrawing" xmlns:a="http://schemas.openxmlformats.org/drawingml/2006/main">
  <xdr:twoCellAnchor>
    <xdr:from>
      <xdr:col>21</xdr:col>
      <xdr:colOff>276225</xdr:colOff>
      <xdr:row>17</xdr:row>
      <xdr:rowOff>171450</xdr:rowOff>
    </xdr:from>
    <xdr:to>
      <xdr:col>22</xdr:col>
      <xdr:colOff>323850</xdr:colOff>
      <xdr:row>32</xdr:row>
      <xdr:rowOff>57150</xdr:rowOff>
    </xdr:to>
    <xdr:graphicFrame macro="">
      <xdr:nvGraphicFramePr>
        <xdr:cNvPr id="10" name="Chart 9">
          <a:extLst>
            <a:ext uri="{FF2B5EF4-FFF2-40B4-BE49-F238E27FC236}">
              <a16:creationId xmlns:a16="http://schemas.microsoft.com/office/drawing/2014/main" id="{BA354CA1-C1FE-0024-9C66-018EB127D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361950</xdr:colOff>
      <xdr:row>67</xdr:row>
      <xdr:rowOff>171450</xdr:rowOff>
    </xdr:from>
    <xdr:to>
      <xdr:col>2</xdr:col>
      <xdr:colOff>457200</xdr:colOff>
      <xdr:row>82</xdr:row>
      <xdr:rowOff>152400</xdr:rowOff>
    </xdr:to>
    <xdr:pic>
      <xdr:nvPicPr>
        <xdr:cNvPr id="3" name="Picture 2">
          <a:extLst>
            <a:ext uri="{FF2B5EF4-FFF2-40B4-BE49-F238E27FC236}">
              <a16:creationId xmlns:a16="http://schemas.microsoft.com/office/drawing/2014/main" id="{44B4FE8A-74B0-912C-AEA9-388D318C66E6}"/>
            </a:ext>
          </a:extLst>
        </xdr:cNvPr>
        <xdr:cNvPicPr>
          <a:picLocks noChangeAspect="1"/>
        </xdr:cNvPicPr>
      </xdr:nvPicPr>
      <xdr:blipFill>
        <a:blip xmlns:r="http://schemas.openxmlformats.org/officeDocument/2006/relationships" r:embed="rId1"/>
        <a:stretch>
          <a:fillRect/>
        </a:stretch>
      </xdr:blipFill>
      <xdr:spPr>
        <a:xfrm>
          <a:off x="361950" y="15916275"/>
          <a:ext cx="6781800" cy="28384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19050</xdr:colOff>
      <xdr:row>6</xdr:row>
      <xdr:rowOff>104775</xdr:rowOff>
    </xdr:from>
    <xdr:to>
      <xdr:col>11</xdr:col>
      <xdr:colOff>323850</xdr:colOff>
      <xdr:row>20</xdr:row>
      <xdr:rowOff>180975</xdr:rowOff>
    </xdr:to>
    <xdr:graphicFrame macro="">
      <xdr:nvGraphicFramePr>
        <xdr:cNvPr id="2" name="Chart 1">
          <a:extLst>
            <a:ext uri="{FF2B5EF4-FFF2-40B4-BE49-F238E27FC236}">
              <a16:creationId xmlns:a16="http://schemas.microsoft.com/office/drawing/2014/main" id="{5466188A-D1B4-696B-DA5C-69AB64F95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152400</xdr:colOff>
      <xdr:row>6</xdr:row>
      <xdr:rowOff>0</xdr:rowOff>
    </xdr:from>
    <xdr:to>
      <xdr:col>7</xdr:col>
      <xdr:colOff>914400</xdr:colOff>
      <xdr:row>14</xdr:row>
      <xdr:rowOff>57150</xdr:rowOff>
    </xdr:to>
    <xdr:pic>
      <xdr:nvPicPr>
        <xdr:cNvPr id="2" name="Picture 1">
          <a:extLst>
            <a:ext uri="{FF2B5EF4-FFF2-40B4-BE49-F238E27FC236}">
              <a16:creationId xmlns:a16="http://schemas.microsoft.com/office/drawing/2014/main" id="{4E238238-34B6-15BE-AEF3-ABDDE4E2CE87}"/>
            </a:ext>
          </a:extLst>
        </xdr:cNvPr>
        <xdr:cNvPicPr>
          <a:picLocks noChangeAspect="1"/>
        </xdr:cNvPicPr>
      </xdr:nvPicPr>
      <xdr:blipFill>
        <a:blip xmlns:r="http://schemas.openxmlformats.org/officeDocument/2006/relationships" r:embed="rId1"/>
        <a:stretch>
          <a:fillRect/>
        </a:stretch>
      </xdr:blipFill>
      <xdr:spPr>
        <a:xfrm>
          <a:off x="762000" y="952500"/>
          <a:ext cx="6162675" cy="1581150"/>
        </a:xfrm>
        <a:prstGeom prst="rect">
          <a:avLst/>
        </a:prstGeom>
      </xdr:spPr>
    </xdr:pic>
    <xdr:clientData/>
  </xdr:twoCellAnchor>
  <xdr:twoCellAnchor editAs="oneCell">
    <xdr:from>
      <xdr:col>9</xdr:col>
      <xdr:colOff>581025</xdr:colOff>
      <xdr:row>4</xdr:row>
      <xdr:rowOff>152400</xdr:rowOff>
    </xdr:from>
    <xdr:to>
      <xdr:col>17</xdr:col>
      <xdr:colOff>609600</xdr:colOff>
      <xdr:row>13</xdr:row>
      <xdr:rowOff>38100</xdr:rowOff>
    </xdr:to>
    <xdr:pic>
      <xdr:nvPicPr>
        <xdr:cNvPr id="3" name="Picture 2">
          <a:extLst>
            <a:ext uri="{FF2B5EF4-FFF2-40B4-BE49-F238E27FC236}">
              <a16:creationId xmlns:a16="http://schemas.microsoft.com/office/drawing/2014/main" id="{93F43D9D-AF38-9665-1821-C3D89F4191A2}"/>
            </a:ext>
            <a:ext uri="{147F2762-F138-4A5C-976F-8EAC2B608ADB}">
              <a16:predDERef xmlns:a16="http://schemas.microsoft.com/office/drawing/2014/main" pred="{4E238238-34B6-15BE-AEF3-ABDDE4E2CE87}"/>
            </a:ext>
          </a:extLst>
        </xdr:cNvPr>
        <xdr:cNvPicPr>
          <a:picLocks noChangeAspect="1"/>
        </xdr:cNvPicPr>
      </xdr:nvPicPr>
      <xdr:blipFill>
        <a:blip xmlns:r="http://schemas.openxmlformats.org/officeDocument/2006/relationships" r:embed="rId2"/>
        <a:stretch>
          <a:fillRect/>
        </a:stretch>
      </xdr:blipFill>
      <xdr:spPr>
        <a:xfrm>
          <a:off x="8343900" y="914400"/>
          <a:ext cx="6238875" cy="16002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352425</xdr:colOff>
      <xdr:row>7</xdr:row>
      <xdr:rowOff>38100</xdr:rowOff>
    </xdr:from>
    <xdr:to>
      <xdr:col>11</xdr:col>
      <xdr:colOff>258184</xdr:colOff>
      <xdr:row>22</xdr:row>
      <xdr:rowOff>133762</xdr:rowOff>
    </xdr:to>
    <xdr:pic>
      <xdr:nvPicPr>
        <xdr:cNvPr id="2" name="Picture 1">
          <a:extLst>
            <a:ext uri="{FF2B5EF4-FFF2-40B4-BE49-F238E27FC236}">
              <a16:creationId xmlns:a16="http://schemas.microsoft.com/office/drawing/2014/main" id="{8DEB5806-DD3D-46E5-85BA-FF1B0B085071}"/>
            </a:ext>
          </a:extLst>
        </xdr:cNvPr>
        <xdr:cNvPicPr>
          <a:picLocks noChangeAspect="1"/>
        </xdr:cNvPicPr>
      </xdr:nvPicPr>
      <xdr:blipFill>
        <a:blip xmlns:r="http://schemas.openxmlformats.org/officeDocument/2006/relationships" r:embed="rId1"/>
        <a:stretch>
          <a:fillRect/>
        </a:stretch>
      </xdr:blipFill>
      <xdr:spPr>
        <a:xfrm>
          <a:off x="962025" y="1447800"/>
          <a:ext cx="7230484" cy="2953162"/>
        </a:xfrm>
        <a:prstGeom prst="rect">
          <a:avLst/>
        </a:prstGeom>
      </xdr:spPr>
    </xdr:pic>
    <xdr:clientData/>
  </xdr:twoCellAnchor>
  <xdr:twoCellAnchor editAs="oneCell">
    <xdr:from>
      <xdr:col>1</xdr:col>
      <xdr:colOff>723900</xdr:colOff>
      <xdr:row>62</xdr:row>
      <xdr:rowOff>47625</xdr:rowOff>
    </xdr:from>
    <xdr:to>
      <xdr:col>12</xdr:col>
      <xdr:colOff>39112</xdr:colOff>
      <xdr:row>81</xdr:row>
      <xdr:rowOff>76709</xdr:rowOff>
    </xdr:to>
    <xdr:pic>
      <xdr:nvPicPr>
        <xdr:cNvPr id="3" name="Picture 2">
          <a:extLst>
            <a:ext uri="{FF2B5EF4-FFF2-40B4-BE49-F238E27FC236}">
              <a16:creationId xmlns:a16="http://schemas.microsoft.com/office/drawing/2014/main" id="{1FAFE7F2-0702-4C48-9B7B-C16A19D813A5}"/>
            </a:ext>
            <a:ext uri="{147F2762-F138-4A5C-976F-8EAC2B608ADB}">
              <a16:predDERef xmlns:a16="http://schemas.microsoft.com/office/drawing/2014/main" pred="{8DEB5806-DD3D-46E5-85BA-FF1B0B085071}"/>
            </a:ext>
          </a:extLst>
        </xdr:cNvPr>
        <xdr:cNvPicPr>
          <a:picLocks noChangeAspect="1"/>
        </xdr:cNvPicPr>
      </xdr:nvPicPr>
      <xdr:blipFill>
        <a:blip xmlns:r="http://schemas.openxmlformats.org/officeDocument/2006/relationships" r:embed="rId2"/>
        <a:stretch>
          <a:fillRect/>
        </a:stretch>
      </xdr:blipFill>
      <xdr:spPr>
        <a:xfrm>
          <a:off x="1333500" y="12011025"/>
          <a:ext cx="7249537" cy="3648584"/>
        </a:xfrm>
        <a:prstGeom prst="rect">
          <a:avLst/>
        </a:prstGeom>
      </xdr:spPr>
    </xdr:pic>
    <xdr:clientData/>
  </xdr:twoCellAnchor>
  <xdr:twoCellAnchor editAs="oneCell">
    <xdr:from>
      <xdr:col>1</xdr:col>
      <xdr:colOff>190500</xdr:colOff>
      <xdr:row>89</xdr:row>
      <xdr:rowOff>95250</xdr:rowOff>
    </xdr:from>
    <xdr:to>
      <xdr:col>6</xdr:col>
      <xdr:colOff>600075</xdr:colOff>
      <xdr:row>104</xdr:row>
      <xdr:rowOff>0</xdr:rowOff>
    </xdr:to>
    <xdr:pic>
      <xdr:nvPicPr>
        <xdr:cNvPr id="4" name="Picture 3">
          <a:extLst>
            <a:ext uri="{FF2B5EF4-FFF2-40B4-BE49-F238E27FC236}">
              <a16:creationId xmlns:a16="http://schemas.microsoft.com/office/drawing/2014/main" id="{30FCB465-03F9-9742-568A-7C06A6CA4667}"/>
            </a:ext>
            <a:ext uri="{147F2762-F138-4A5C-976F-8EAC2B608ADB}">
              <a16:predDERef xmlns:a16="http://schemas.microsoft.com/office/drawing/2014/main" pred="{1FAFE7F2-0702-4C48-9B7B-C16A19D813A5}"/>
            </a:ext>
          </a:extLst>
        </xdr:cNvPr>
        <xdr:cNvPicPr>
          <a:picLocks noChangeAspect="1"/>
        </xdr:cNvPicPr>
      </xdr:nvPicPr>
      <xdr:blipFill>
        <a:blip xmlns:r="http://schemas.openxmlformats.org/officeDocument/2006/relationships" r:embed="rId3"/>
        <a:stretch>
          <a:fillRect/>
        </a:stretch>
      </xdr:blipFill>
      <xdr:spPr>
        <a:xfrm>
          <a:off x="800100" y="17202150"/>
          <a:ext cx="4572000" cy="2762250"/>
        </a:xfrm>
        <a:prstGeom prst="rect">
          <a:avLst/>
        </a:prstGeom>
      </xdr:spPr>
    </xdr:pic>
    <xdr:clientData/>
  </xdr:twoCellAnchor>
  <xdr:twoCellAnchor editAs="oneCell">
    <xdr:from>
      <xdr:col>1</xdr:col>
      <xdr:colOff>0</xdr:colOff>
      <xdr:row>130</xdr:row>
      <xdr:rowOff>0</xdr:rowOff>
    </xdr:from>
    <xdr:to>
      <xdr:col>6</xdr:col>
      <xdr:colOff>400050</xdr:colOff>
      <xdr:row>150</xdr:row>
      <xdr:rowOff>66675</xdr:rowOff>
    </xdr:to>
    <xdr:pic>
      <xdr:nvPicPr>
        <xdr:cNvPr id="5" name="Picture 4">
          <a:extLst>
            <a:ext uri="{FF2B5EF4-FFF2-40B4-BE49-F238E27FC236}">
              <a16:creationId xmlns:a16="http://schemas.microsoft.com/office/drawing/2014/main" id="{E2CCE655-12A9-0FC1-A4D6-17BCC68B01EC}"/>
            </a:ext>
            <a:ext uri="{147F2762-F138-4A5C-976F-8EAC2B608ADB}">
              <a16:predDERef xmlns:a16="http://schemas.microsoft.com/office/drawing/2014/main" pred="{30FCB465-03F9-9742-568A-7C06A6CA4667}"/>
            </a:ext>
          </a:extLst>
        </xdr:cNvPr>
        <xdr:cNvPicPr>
          <a:picLocks noChangeAspect="1"/>
        </xdr:cNvPicPr>
      </xdr:nvPicPr>
      <xdr:blipFill>
        <a:blip xmlns:r="http://schemas.openxmlformats.org/officeDocument/2006/relationships" r:embed="rId4"/>
        <a:stretch>
          <a:fillRect/>
        </a:stretch>
      </xdr:blipFill>
      <xdr:spPr>
        <a:xfrm>
          <a:off x="609600" y="24917400"/>
          <a:ext cx="4562475" cy="3876675"/>
        </a:xfrm>
        <a:prstGeom prst="rect">
          <a:avLst/>
        </a:prstGeom>
      </xdr:spPr>
    </xdr:pic>
    <xdr:clientData/>
  </xdr:twoCellAnchor>
  <xdr:twoCellAnchor editAs="oneCell">
    <xdr:from>
      <xdr:col>0</xdr:col>
      <xdr:colOff>571500</xdr:colOff>
      <xdr:row>161</xdr:row>
      <xdr:rowOff>133350</xdr:rowOff>
    </xdr:from>
    <xdr:to>
      <xdr:col>6</xdr:col>
      <xdr:colOff>371475</xdr:colOff>
      <xdr:row>179</xdr:row>
      <xdr:rowOff>19050</xdr:rowOff>
    </xdr:to>
    <xdr:pic>
      <xdr:nvPicPr>
        <xdr:cNvPr id="6" name="Picture 5">
          <a:extLst>
            <a:ext uri="{FF2B5EF4-FFF2-40B4-BE49-F238E27FC236}">
              <a16:creationId xmlns:a16="http://schemas.microsoft.com/office/drawing/2014/main" id="{AF178F75-4328-537E-3523-EFECDB662BA9}"/>
            </a:ext>
            <a:ext uri="{147F2762-F138-4A5C-976F-8EAC2B608ADB}">
              <a16:predDERef xmlns:a16="http://schemas.microsoft.com/office/drawing/2014/main" pred="{E2CCE655-12A9-0FC1-A4D6-17BCC68B01EC}"/>
            </a:ext>
          </a:extLst>
        </xdr:cNvPr>
        <xdr:cNvPicPr>
          <a:picLocks noChangeAspect="1"/>
        </xdr:cNvPicPr>
      </xdr:nvPicPr>
      <xdr:blipFill>
        <a:blip xmlns:r="http://schemas.openxmlformats.org/officeDocument/2006/relationships" r:embed="rId5"/>
        <a:stretch>
          <a:fillRect/>
        </a:stretch>
      </xdr:blipFill>
      <xdr:spPr>
        <a:xfrm>
          <a:off x="571500" y="30956250"/>
          <a:ext cx="4572000" cy="3314700"/>
        </a:xfrm>
        <a:prstGeom prst="rect">
          <a:avLst/>
        </a:prstGeom>
      </xdr:spPr>
    </xdr:pic>
    <xdr:clientData/>
  </xdr:twoCellAnchor>
  <xdr:twoCellAnchor editAs="oneCell">
    <xdr:from>
      <xdr:col>9</xdr:col>
      <xdr:colOff>257175</xdr:colOff>
      <xdr:row>136</xdr:row>
      <xdr:rowOff>28575</xdr:rowOff>
    </xdr:from>
    <xdr:to>
      <xdr:col>15</xdr:col>
      <xdr:colOff>1171575</xdr:colOff>
      <xdr:row>148</xdr:row>
      <xdr:rowOff>171450</xdr:rowOff>
    </xdr:to>
    <xdr:pic>
      <xdr:nvPicPr>
        <xdr:cNvPr id="7" name="Picture 6">
          <a:extLst>
            <a:ext uri="{FF2B5EF4-FFF2-40B4-BE49-F238E27FC236}">
              <a16:creationId xmlns:a16="http://schemas.microsoft.com/office/drawing/2014/main" id="{46434EEF-D77D-87A4-8AB0-9B6A06E3CEA4}"/>
            </a:ext>
            <a:ext uri="{147F2762-F138-4A5C-976F-8EAC2B608ADB}">
              <a16:predDERef xmlns:a16="http://schemas.microsoft.com/office/drawing/2014/main" pred="{AF178F75-4328-537E-3523-EFECDB662BA9}"/>
            </a:ext>
          </a:extLst>
        </xdr:cNvPr>
        <xdr:cNvPicPr>
          <a:picLocks noChangeAspect="1"/>
        </xdr:cNvPicPr>
      </xdr:nvPicPr>
      <xdr:blipFill>
        <a:blip xmlns:r="http://schemas.openxmlformats.org/officeDocument/2006/relationships" r:embed="rId6"/>
        <a:stretch>
          <a:fillRect/>
        </a:stretch>
      </xdr:blipFill>
      <xdr:spPr>
        <a:xfrm>
          <a:off x="6858000" y="26088975"/>
          <a:ext cx="4572000" cy="24288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333375</xdr:colOff>
      <xdr:row>64</xdr:row>
      <xdr:rowOff>66675</xdr:rowOff>
    </xdr:from>
    <xdr:to>
      <xdr:col>8</xdr:col>
      <xdr:colOff>2019300</xdr:colOff>
      <xdr:row>86</xdr:row>
      <xdr:rowOff>104775</xdr:rowOff>
    </xdr:to>
    <xdr:graphicFrame macro="">
      <xdr:nvGraphicFramePr>
        <xdr:cNvPr id="4" name="Chart 3">
          <a:extLst>
            <a:ext uri="{FF2B5EF4-FFF2-40B4-BE49-F238E27FC236}">
              <a16:creationId xmlns:a16="http://schemas.microsoft.com/office/drawing/2014/main" id="{2839A0F8-940B-5786-A673-14833978B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390525</xdr:colOff>
      <xdr:row>90</xdr:row>
      <xdr:rowOff>47625</xdr:rowOff>
    </xdr:from>
    <xdr:to>
      <xdr:col>6</xdr:col>
      <xdr:colOff>619125</xdr:colOff>
      <xdr:row>98</xdr:row>
      <xdr:rowOff>95250</xdr:rowOff>
    </xdr:to>
    <xdr:graphicFrame macro="">
      <xdr:nvGraphicFramePr>
        <xdr:cNvPr id="3" name="Chart 2">
          <a:extLst>
            <a:ext uri="{FF2B5EF4-FFF2-40B4-BE49-F238E27FC236}">
              <a16:creationId xmlns:a16="http://schemas.microsoft.com/office/drawing/2014/main" id="{3C3074FA-8F74-E3F0-5BBC-AB135C9A03CD}"/>
            </a:ext>
            <a:ext uri="{147F2762-F138-4A5C-976F-8EAC2B608ADB}">
              <a16:predDERef xmlns:a16="http://schemas.microsoft.com/office/drawing/2014/main" pred="{2839A0F8-940B-5786-A673-14833978B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433258912039" createdVersion="8" refreshedVersion="8" minRefreshableVersion="3" recordCount="14693" xr:uid="{7527EADE-485B-4B2A-B857-972FB166E2FA}">
  <cacheSource type="worksheet">
    <worksheetSource name="Table2"/>
  </cacheSource>
  <cacheFields count="17">
    <cacheField name="Yrmo" numFmtId="0">
      <sharedItems containsSemiMixedTypes="0" containsString="0" containsNumber="1" containsInteger="1" minValue="201907" maxValue="202511" count="77">
        <n v="201907"/>
        <n v="201908"/>
        <n v="201909"/>
        <n v="202101"/>
        <n v="202007"/>
        <n v="202004"/>
        <n v="202002"/>
        <n v="202006"/>
        <n v="202001"/>
        <n v="201910"/>
        <n v="202008"/>
        <n v="201911"/>
        <n v="202003"/>
        <n v="201912"/>
        <n v="202009"/>
        <n v="202005"/>
        <n v="202104"/>
        <n v="202103"/>
        <n v="202011"/>
        <n v="202102"/>
        <n v="202012"/>
        <n v="202010"/>
        <n v="202212"/>
        <n v="202406"/>
        <n v="202210"/>
        <n v="202405"/>
        <n v="202403"/>
        <n v="202407"/>
        <n v="202105"/>
        <n v="202106"/>
        <n v="202107"/>
        <n v="202108"/>
        <n v="202109"/>
        <n v="202110"/>
        <n v="202111"/>
        <n v="202112"/>
        <n v="202201"/>
        <n v="202202"/>
        <n v="202203"/>
        <n v="202204"/>
        <n v="202205"/>
        <n v="202206"/>
        <n v="202207"/>
        <n v="202208"/>
        <n v="202401"/>
        <n v="202209"/>
        <n v="202306"/>
        <n v="202309"/>
        <n v="202211"/>
        <n v="202410"/>
        <n v="202412"/>
        <n v="202301"/>
        <n v="202302"/>
        <n v="202303"/>
        <n v="202304"/>
        <n v="202305"/>
        <n v="202307"/>
        <n v="202308"/>
        <n v="202310"/>
        <n v="202311"/>
        <n v="202312"/>
        <n v="202402"/>
        <n v="202408"/>
        <n v="202411"/>
        <n v="202404"/>
        <n v="202409"/>
        <n v="202501"/>
        <n v="202504"/>
        <n v="202503"/>
        <n v="202505"/>
        <n v="202502"/>
        <n v="202510"/>
        <n v="202509"/>
        <n v="202507"/>
        <n v="202506"/>
        <n v="202511"/>
        <n v="202508"/>
      </sharedItems>
    </cacheField>
    <cacheField name="Date" numFmtId="14">
      <sharedItems containsSemiMixedTypes="0" containsNonDate="0" containsDate="1" containsString="0" minDate="2019-07-02T00:00:00" maxDate="2025-11-07T00:00:00"/>
    </cacheField>
    <cacheField name="Source" numFmtId="0">
      <sharedItems containsBlank="1"/>
    </cacheField>
    <cacheField name="Description" numFmtId="0">
      <sharedItems containsBlank="1" count="6183">
        <s v="Amazon"/>
        <s v="Borough"/>
        <s v="Speedway"/>
        <s v="Transfer from POWERPLUS CHECKING"/>
        <s v="Transfer to Cash Rewards Visa Signature"/>
        <s v="CCLC TYPE INTERNET ID CO CCLC ACH ECC WEB ACH Trace 49616 233344358"/>
        <s v="Cub Foods"/>
        <s v="Withdrawal Home To Loan Mortgage Payment Thank You 233602111"/>
        <s v="Dollar Tree"/>
        <s v="MIYABI EXCELSIOR MN"/>
        <s v="SHOREWOOD LIQUOR EXCELSIOR MN 233755679"/>
        <s v="SHOREWOOD LIQUOR EXCELSIOR MN 233755680"/>
        <s v="SHOREWOOD TRUE VALUE EXCELSIOR MN 233755684"/>
        <s v="SOTA CLOTHING SPENCEDESIGNSMN 233755683"/>
        <s v="PAYMENT 234306694"/>
        <s v="CENTRAL CHECKOUT 79999999187086207507850"/>
        <s v="College Savings TYPE ACH ID 550895818 CO College Savings ACH ECC PPD ACH Trace 48247 233797400"/>
        <s v="Deposit by Check Deposit Anywhere check deposit 233928086"/>
        <s v="INST XFER 190704"/>
        <s v="SCHWAB S&amp;P 500 INDEX FD"/>
        <s v="SCHWAB TOTAL STOCK MKT INDEX"/>
        <s v="Cabin Fever Sporting Goods Inc."/>
        <s v="ALLBIRDS 402-935-7733 CA"/>
        <s v="Deposit by Check Deposit Anywhere check deposit 234411967"/>
        <s v="Deposit by Check Deposit Anywhere check deposit 234411968"/>
        <s v="Prime VideoMH7ML21U2 8888023080 WA 234610356"/>
        <s v="Venmo Type Cashout"/>
        <s v="INST XFER 190708"/>
        <s v="Kaufman Hall Type"/>
        <s v="Venmo"/>
        <s v="Xcel Energy"/>
        <s v="CCLC TYPE INTERNET ID CO CCLC ACH ECC WEB ACH Trace 46678 234870503"/>
        <s v="Milio's Sandwiches"/>
        <s v="SEAT ENGINE LLC 8887328364 PA 235209088"/>
        <s v="Target"/>
        <s v="Cargill Incorpor Type"/>
        <s v="Hudson News"/>
        <s v="Buffalo Niagara Taxi"/>
        <s v="Acme"/>
        <s v="BAR LA GRASSA MINNEAPOLIS MN"/>
        <s v="CARGILL COCOA TYPE DIR DEP ID CO CARGILL COCOA ACH ECC PPD ACH Trace 05327 235786427"/>
        <s v="CENTRAL CHECKOUT 79999999194135608672416"/>
        <s v="KAUFMAN HALL TYPE DIRECT DEP ID CO KAUFMAN HALL ACH ECC PPD ACH Trace 45671 235786428"/>
        <s v="Washington Gas"/>
        <s v="CARGILL PRODUC20081436 WAYZATA MN 235985503"/>
        <s v="CARGILL PRODUC20081436 WAYZATA MN 235985504"/>
        <s v="NORTH COOP CHAHASSEN MN 235985506"/>
        <s v="NORTH COOP CHAHASSEN MN 235985507"/>
        <s v="American Family Insurance"/>
        <s v="Lululemon"/>
        <s v="SHOREWOOD LIQUOR EXCELSIOR MN 236288792"/>
        <s v="Tfr JPMORGAN CHASE BAN, CARGILL COCOA &amp;"/>
        <s v="Tfr JPMORGAN CHASE BAN, KAUFMAN HALL"/>
        <s v="Total Wine and More"/>
        <s v="VANG TARGET RET 2050"/>
        <s v="Walgreens"/>
        <s v="INTERNET PAYMENT - THANK YOU"/>
        <s v="Advocare"/>
        <s v="BANK INT 061619-071519 SCHWAB BANK"/>
        <s v="Caribou Coffee"/>
        <s v="Home Depot"/>
        <s v="Home Goods"/>
        <s v="REI"/>
        <s v="DISCOVER TYPE EPAYMENT ID CO DISCOVER ACH ECC WEB ACH Trace 12666 236554536"/>
        <s v="CCLC TYPE INTERNET ID CO CCLC ACH ECC WEB ACH Trace 88211 236554535"/>
        <s v="CENTRAL CHECKOUT 79999999198135208645693"/>
        <s v="CENTRAL CHECKOUT 79999999198135212384891"/>
        <s v="CenturyLink"/>
        <s v="Harvard Business"/>
        <s v="E-PAYMENT, TARGET.COM 79999999200001920393945"/>
        <s v="Byerly's"/>
        <s v="Churchills Quality Cigars &amp; Gifts"/>
        <s v="CRISP GREEN WAYZATA WAYZATA MN 237233383"/>
        <s v="THE WHARF EXCELSIOR MN"/>
        <s v="Willy McCoys"/>
        <s v="Davanni's Inc"/>
        <s v="RED SAUCE REBELLION - 888-707-2469 CA"/>
        <s v="Anthropologie"/>
        <s v="BEST CLEANERS EX 5 EXCELSIOR MN 237583197"/>
        <s v="Elite Nails"/>
        <s v="Enki Brewing"/>
        <s v="Holiday Stationstore"/>
        <s v="Wal-Mart"/>
        <s v="Banana Visa TYPE BR EPAY ID CO Banana Visa ACH ECC WEB ACH Trace 84633 237626001"/>
        <s v="City of Chanhassen"/>
        <s v="DNCSS MN TWINS CONCESS MINNEAPOLIS MN02209B"/>
        <s v="DNCSS MN TWINS CONCESS MINNEAPOLIS MN02281B"/>
        <s v="TARGET CARD SRVC BILL PAY 190719"/>
        <s v="CRAVE EDEN PRAIRIE EDEN PRAIRIE MN"/>
        <s v="CARGILL COCOA TYPE DIR DEP ID CO CARGILL COCOA ACH ECC PPD ACH Trace 29338 238297124"/>
        <s v="CARGILL COCOA TYPE DIR DEP ID CO CARGILL COCOA ACH ECC PPD ACH Trace 47714 238297123"/>
        <s v="CCLC TYPE INTERNET ID CO CCLC ACH ECC WEB ACH Trace 52324 238084734"/>
        <s v="Transfer to RAINY DAY SAVINGS"/>
        <s v="CASHBACK BONUS REDEMPTION payment/STMT CRDT"/>
        <s v="KONA GRILL MINNETONKA MINNETONKA MN 238658240"/>
        <s v="Transfer from SHARE SAVINGS"/>
        <s v="DISCOVER TYPE EPAYMENT ID CO DISCOVER ACH ECC WEB ACH Trace 30484 238620406"/>
        <s v="CARGILL JAZZMANS WAYZATA MN 238865517"/>
        <s v="CENTRAL CHECKOUT 79999999207135208125224"/>
        <s v="Netflix"/>
        <s v="Trader Joe's"/>
        <s v="WINCHESTER AND RYE VICTORIA MN"/>
        <s v="CARGILL CAFE 20014981 WAYZATA MN 239250212"/>
        <s v="E-PAYMENT, TARGET.COM 79999999210001921190249"/>
        <s v="City Market"/>
        <s v="RAOCOPARKSWILDLIFE CO DENVER CO TX 239518482"/>
        <s v="TST RED RABBIT MINNEAPMINNEAPOLIS MN 239518478"/>
        <s v="Banana Visa TYPE BR EPAY ID CO Banana Visa ACH ECC WEB ACH Trace 34491 239490582"/>
        <s v="CREEDE SNOWSHOE LODGE CREEDE CO 239762227"/>
        <s v="DENVER CHOP HOUSE DEN DENVER CO 239762229"/>
        <s v="KAUFMAN HALL TYPE DIRECT DEP ID CO KAUFMAN HALL ACH ECC PPD ACH Trace 28234 239663913"/>
        <s v="MINNEAPOLIS AIRPORT SAINT PAUL MN 239762228"/>
        <s v="PENN MINNOCO MINNEAPOLIS MN 239762231"/>
        <s v="UNITED 0161523949801HOUSTON TX 239762230"/>
        <s v="Apy Earned"/>
        <s v="ATM FEE REFUND 239968470"/>
        <s v="CCLC TYPE INTERNET ID CO CCLC ACH ECC WEB ACH Trace 11086 239730228"/>
        <s v="INST XFER 190730"/>
        <s v="Interest Paid"/>
        <s v="Split Rate Apy"/>
        <s v="Sur La Table"/>
        <s v="College Savings TYPE ACH ID 550895818 CO College Savings ACH ECC PPD ACH Trace 90074 240148343"/>
        <s v="From Share 70 240148342"/>
        <s v="To Loan 02 240071892"/>
        <s v="YETI COOLERS 5123949384 TX 240479865"/>
        <s v="A T &amp; T INC"/>
        <s v="RAYTHEON CO"/>
        <s v="TRAVEL INSURANCE POLICY 8007296021 VA 240721354"/>
        <s v="E-PAYMENT, TARGET.COM 79999999216001921770887"/>
        <s v="Withdrawal Home To Loan Mortgage Payment Thank You 240871919"/>
        <s v="Leeann Chin"/>
        <s v="SAN JUAN SPORTS CREEDE CO 242552794"/>
        <s v="SAN JUAN SPORTS CREEDE CO 242552795"/>
        <s v="Uptown Association"/>
        <s v="PAYMENT 241553299"/>
        <s v="DENVER CHOP HOUSE DEN DENVER CO 242552801"/>
        <s v="Red Wagon Pizza Co"/>
        <s v="TARGET CARD SRVC BILL PAY 190804"/>
        <s v="VISA INC CLASS A"/>
        <s v="Best Western"/>
        <s v="INST XFER 190805"/>
        <s v="VANGUARD INTRMDIAT TRM TRSRY ETF"/>
        <s v="Waste Management"/>
        <s v="DISCOVER TYPE EPAYMENT ID CO DISCOVER ACH ECC WEB ACH Trace 78971 241622915"/>
        <s v="Barrio Edina Edina MN 242552805"/>
        <s v="CARGILL COCOA TYPE DIR DEP ID CO CARGILL COCOA ACH ECC PPD ACH Trace 95144 241817275"/>
        <s v="CCLC TYPE INTERNET ID CO CCLC ACH ECC WEB ACH Trace 43624 241622914"/>
        <s v="CPENERGY MNGCO TYPE MGC ACH EB ID 176051140S CO CPENERGY MNGCO ACH ECC WEB ACH Trace 49868 241622913"/>
        <s v="LOWES COMPANIES INC"/>
        <s v="LEVELUP*ROTIMODERNMEDI 855-466-5585 MA90MB929M"/>
        <s v="Party City"/>
        <s v="INST XFER 190808"/>
        <s v="Excelsior Brewing"/>
        <s v="E-PAYMENT, TARGET.COM 79999999224001922632243"/>
        <s v="CENTRAL CHECKOUT 79999999225086207542752"/>
        <s v="CENTRAL CHECKOUT 79999999225086212599979"/>
        <s v="Type Verifybank Id"/>
        <s v="PayPal"/>
        <s v="Transfer from Cash Rewards Visa Signature"/>
        <s v="Transfer to POWERPLUS CHECKING"/>
        <s v="US Bank"/>
        <s v="CARGILL CAF20014981579 WAYZATA MN"/>
        <s v="CCLC TYPE INTERNET ID CO CCLC ACH ECC WEB ACH Trace 54205 243304826"/>
        <s v="Withdrawal ACH TYPE Online ID ACH ECC WEB 243509658"/>
        <s v="Bcu Online"/>
        <s v="APPLE INC"/>
        <s v="CARGILL PRO20081436579 WAYZATA MN"/>
        <s v="KAUFMAN HALL"/>
        <s v="KAUFMAN HALL TYPE DIRECT DEP ID CO KAUFMAN HALL ACH ECC PPD ACH Trace 55623 243580727"/>
        <s v="PROCTER &amp; GAMBLE"/>
        <s v="BANK INT 071619-081519 SCHWAB BANK"/>
        <s v="INST XFER 190815"/>
        <s v="SQ SEEK EYE CARE PA Victoria MN 244077401"/>
        <s v="Cast &amp; Cru"/>
        <s v="BP"/>
        <s v="CARGILL PRODUC20081436 WAYZATA MN 244451314"/>
        <s v="Delta"/>
        <s v="NORTH COOP CHAHASSEN MN"/>
        <s v="LEVELUP*ROTIMODERNMEDI 855-466-5585 MAQVWH4CKC"/>
        <s v="MN DVS MLR TYPE epayment ID 416007162P CO MN DVS MLR ACH ECC WEB ACH Trace 83493 244913435"/>
        <s v="CARGILL COCOA TYPE DIR DEP ID CO CARGILL COCOA ACH ECC PPD ACH Trace 82270 245099997"/>
        <s v="CCLC TYPE INTERNET ID CO CCLC ACH ECC WEB ACH Trace 41683 244913434"/>
        <s v="MN DVS MLR TYPE conv fee ID E987654321 CO MN DVS MLR ACH ECC WEB ACH Trace 21096 244913432"/>
        <s v="North Face"/>
        <s v="DISCOVER TYPE EPAYMENT ID CO DISCOVER ACH ECC WEB ACH Trace 17218 245464338"/>
        <s v="CARGILL COCOA &amp;"/>
        <s v="Funds Transfer to Brokerage -5308"/>
        <s v="INTEL CORP"/>
        <s v="Noodles &amp; Company"/>
        <s v="Olives Fresh Pizza Bar"/>
        <s v="STARBUCKS CORP"/>
        <s v="TRANSFER FUNDS FROM SCHWAB BANK - 440020765184"/>
        <s v="US TREASURY BILL19U S T BILL DUE 11/21/19"/>
        <s v="Auto"/>
        <s v="CARGILL PRODUC20081436 WAYZATA MN 246007947"/>
        <s v="Details"/>
        <s v="DOORDASHSMASHBURGER STRIPECOM CA 246007951"/>
        <s v="Wendy's"/>
        <s v="PAYMENT 246472536"/>
        <s v="Withdrawal Home To Loan Mortgage Payment Thank You 246127048"/>
        <s v="Nas Thai Cafe Inc"/>
        <s v="SOTA CLOTHING ST LOUIS P MN 246489179"/>
        <s v="CCLC TYPE INTERNET ID CO CCLC ACH ECC WEB ACH Trace 26790 246798009"/>
        <s v="KAUFMAN HALL TYPE DIRECT DEP ID CO KAUFMAN HALL ACH ECC PPD ACH Trace 32137 246981486"/>
        <s v="SCHWAB1 INT 07/30-08/28"/>
        <s v="Banana Visa TYPE BR EPAY ID CO Banana Visa ACH ECC WEB ACH Trace 91862 247058816"/>
        <s v="RISE BAGEL CO MINNEAPOLIS MN"/>
        <s v="ATM FEE REFUND 247464311"/>
        <s v="SMALL CHEVAL CHICAGO IL"/>
        <s v="From Share 70 247530039"/>
        <s v="To Loan 02 247528486"/>
        <s v="BLACK SHEEP PIZZA - N WA MINNEAPOLIS MN"/>
        <s v="Bub City"/>
        <s v="JACK AND GINGERS CHICAGO IL 248041945"/>
        <s v="Lyft"/>
        <s v="SQ IPSENTO COFFEE CHICAGO IL 248041948"/>
        <s v="VENTRA VENDING 06401 CHICAGO IL"/>
        <s v="VENTRA VENDING 06401 CHICAGO IL 248041947"/>
        <s v="11003 NORTH LOOP MINNEAPOLIS MN 248335279"/>
        <s v="City Winery Chicago LLC"/>
        <s v="College Savings TYPE ACH ID 550895818 CO College Savings ACH ECC PPD ACH Trace 29893 248013599"/>
        <s v="ELECTRIC MUD COFFEE BAR CHICAGO IL"/>
        <s v="Mindys Hot Chocolate Chicago IL 248335272"/>
        <s v="Northside Bar and Grill Chicago IL 248335273"/>
        <s v="Bucktown Food &amp; Liquors Inc."/>
        <s v="CARGILL COCOA TYPE DIR DEP ID CO CARGILL COCOA ACH ECC PPD ACH Trace 90979 248538358"/>
        <s v="CCLC TYPE INTERNET ID CO CCLC ACH ECC WEB ACH Trace 27865 248324063"/>
        <s v="FID 500 INDEX"/>
        <s v="FID EXTD MKT IDX"/>
        <s v="Best Buy"/>
        <s v="Dick's Sporting"/>
        <s v="Western Ob Gyne Ltd"/>
        <s v="BOEING CO"/>
        <s v="Mille Lac's Liquor &amp; Gas"/>
        <s v="MINNEAPOLIS AIRPORT SAINT PAUL MN 249163412"/>
        <s v="Target Retire 2055 Tr P - Plan Contribution"/>
        <s v="LONESOME PINE RESTAURANT DEERWOOD MN"/>
        <s v="McDonald's"/>
        <s v="TST RED RABBIT MINNEAPMINNEAPOLIS MN 249546158"/>
        <s v="TUTTS BAIT GARRISON MN 249546159"/>
        <s v="Chipotle"/>
        <s v="CUB VIA INSTACART HTTPSINSTACARCA 249806671"/>
        <s v="LONESOME PINE RESTAURANT DEERWOOD MN 249806670"/>
        <s v="PRIME VIDEO*0G98P3B93 888-802-3080 WA2FIWZX4L0V0"/>
        <s v="AVOADVOCARE INTL 8005424800 TX 249999730"/>
        <s v="CHEVRON CORP"/>
        <s v="Certified Auto Repair"/>
        <s v="DIRECT PAY HSA TYPE ETRANSFER ID CO DIRECT PAY HSA ACH ECC PPD ACH Trace 76607 250032022"/>
        <s v="DISCOVER TYPE EPAYMENT ID CO DISCOVER ACH ECC WEB ACH Trace 61084 250274979"/>
        <s v="CARGILL PRODUC20081436 WAYZATA MN 250485888"/>
        <s v="KAUFMAN HALL TYPE DIRECT DEP ID CO KAUFMAN HALL ACH ECC PPD ACH Trace 85835 250477000"/>
        <s v="CENTRAL CHECKOUT 79999999257086207947911"/>
        <s v="LIONS TAP EDEN PRAIRIE MN"/>
        <s v="RED SAUCE REBELLION EXCELSIOR MN"/>
        <s v="BEST CLEANERS EX 5 EXCELSIOR MN 251076860"/>
        <s v="Costco"/>
        <s v="ARBORETUM APPLEHOUSE CHASKA MN 251334778"/>
        <s v="BANK INT 081619-091519 SCHWAB BANK"/>
        <s v="Hobby Lobby"/>
        <s v="Etsy.com"/>
        <s v="MINNEAPOLIS AIRPORT SAINT PAUL MN 251562056"/>
        <s v="CARGILL COCOA TYPE DIR DEP ID CO CARGILL COCOA ACH ECC PPD ACH Trace 46957 251804506"/>
        <s v="CCLC TYPE INTERNET ID CO CCLC ACH ECC WEB ACH Trace 58251 251588077"/>
        <s v="HOME 2 SUITES LOUISVIL LOUISVILLE KY 251815501"/>
        <s v="TINSLEY FAMILY CON 8632997177 KY 251815500"/>
        <s v="CENTRAL CHECKOUT 79999999263244907546614"/>
        <s v="LAKEWINDS CHANHASSEN CHANHASSEN MN 252093555"/>
        <s v="BCU MORTGAGE TYPE LOAN PAYMT ID 9DRAFTING CO BCU MORTGAGE ACH ECC WEB ACH Trace 00138"/>
        <s v="BCU MORTGAGE TYPE LOAN PAYMT ID 9DRAFTING CO BCU MORTGAGE ACH ECC WEB ACH Trace 10527 324040595"/>
        <s v="BCU MORTGAGE TYPE LOAN PAYMT ID 9DRAFTING CO BCU MORTGAGE ACH ECC WEB ACH Trace 10534 301670931"/>
        <s v="Lago Tacos"/>
        <s v="SCHWAB US LARGE CAP GROWTH INDEX FD"/>
        <m/>
        <s v="ATM T2F S3A/S DPT G47 Paris"/>
        <s v="BCU MORTGAGE TYPE LOAN PAYMT ID 9DRAFTING CO BCU MORTGAGE ACH ECC WEB ACH Trace 11097 285512729"/>
        <s v="Marriott"/>
        <s v="Funds Transfer from Brokerage -5308"/>
        <s v="BCU MORTGAGE TYPE LOAN PAYMT ID 9DRAFTING CO BCU MORTGAGE ACH ECC WEB ACH Trace 11316 315499233"/>
        <s v="BCU MORTGAGE TYPE LOAN PAYMT ID 9DRAFTING CO BCU MORTGAGE ACH ECC WEB ACH Trace 12452 278602561"/>
        <s v="TRANSFER FUNDS TO SCHWAB BANK - 440020765184"/>
        <s v="CHECK 2103 2103"/>
        <s v="CHL 02 ABIDJAN CI 253249246"/>
        <s v="SQ SEEK EYE CARE P VICTORIA MN 253249245"/>
        <s v="CCLC TYPE INTERNET ID CO CCLC ACH ECC WEB ACH Trace 39889 253216635"/>
        <s v="CHL 02 ABIDJAN CI 253420903"/>
        <s v="ETFMG ALTERNATIVE HARVEST ETF"/>
        <s v="HALLIBURTON CO HLDG"/>
        <s v="TYPE TRANSFER ID PAYPALSD11 CO PAYPAL ACH ECC PPD ACH Trace 34075 253658499"/>
        <s v="AIR LOUNGE 2 ABIDJAN CI 253898718"/>
        <s v="Joey Novas Pizzeria Deli"/>
        <s v="LADUREE B84 LE MESNIL AMEFR 253898719"/>
        <s v="SCHWAB1 INT 08/29-09/26"/>
        <s v="El Loro"/>
        <s v="JERRYS FOODS EP EDEN PRAIRIE MN 254261429"/>
        <s v="KAUFMAN HALL TYPE DIRECT DEP ID CO KAUFMAN HALL ACH ECC PPD ACH Trace 99822 254252705"/>
        <s v="Rally House 8006455409 KS 254261431"/>
        <s v="PAYMENT THANK YOU 254969613"/>
        <s v="Withdrawal Home payment to card 950588 254422203"/>
        <s v="ATM Fee Rebate"/>
        <s v="Lifetouch"/>
        <s v="SCHWAB US SMALL CAP ETF"/>
        <s v="E-PAYMENT, TARGET.COM 75117869274001927737046"/>
        <s v="College Savings TYPE ACH ID 550895818 CO College Savings ACH ECC PPD ACH Trace 31021 254671635"/>
        <s v="Cred Rebate"/>
        <s v="From Share 70 254684532"/>
        <s v="To Loan 02 254671636"/>
        <s v="CARGILL COCOA TYPE DIR DEP ID CO CARGILL COCOA ACH ECC PPD ACH Trace 41454 255290343"/>
        <s v="CCLC TYPE INTERNET ID CO CCLC ACH ECC WEB ACH Trace 73930 255027849"/>
        <s v="Nordstrom"/>
        <s v="Sherwin Williams"/>
        <s v="Banana Visa TYPE BR EPAY ID CO Banana Visa ACH ECC WEB ACH Trace 87275 255371472"/>
        <s v="CARGILL JAZZMA20029518 WAYZATA MN 255608804"/>
        <s v="CARGILL PRODUC20081436 WAYZATA MN 255608803"/>
        <s v="PAYMENT 256214615"/>
        <s v="PAYMENT THANK YOU 256317570"/>
        <s v="Withdrawal Home payment to card 950588 255775611"/>
        <s v="BCU MORTGAGE TYPE LOAN PAYMT ID 9DRAFTING CO BCU MORTGAGE ACH ECC WEB ACH Trace 13205"/>
        <s v="Asos.com"/>
        <s v="Target Retire 2055 Tr P - Fee"/>
        <s v="Transfer to Discover More Card"/>
        <s v="CHECK 2098 2098"/>
        <s v="GameStop"/>
        <s v="Playstation Network"/>
        <s v="Suburban"/>
        <s v="TST* RED COW - 50TH ST MINNEAPOLIS MN"/>
        <s v="CCLC TYPE INTERNET ID CO CCLC ACH ECC WEB ACH Trace 31276 256802703"/>
        <s v="American Airlines"/>
        <s v="ATM FEE REFUND 262109505"/>
        <s v="BANK INT 091619-101519 SCHWAB BANK"/>
        <s v="CARGILL CAFE 20014981 WAYZATA MN 260718486"/>
        <s v="CARGILL CAFE 20014981 WAYZATA MN 262120557"/>
        <s v="CARGILL COCOA TYPE DIR DEP ID CO CARGILL COCOA ACH ECC PPD ACH Trace 59938 258549261"/>
        <s v="CARGILL COCOA TYPE DIR DEP ID CO CARGILL COCOA ACH ECC PPD ACH Trace 72872 261788892"/>
        <s v="CARGILL JAZ20029518579 WAYZATA MN"/>
        <s v="CARGILL JAZZMA20029518 WAYZATA MN 262120556"/>
        <s v="CARGILL PRODUC20081436 WAYZATA MN 260718485"/>
        <s v="CCLC TYPE INTERNET ID CO CCLC ACH ECC WEB ACH Trace 13050 258364244"/>
        <s v="CCLC TYPE INTERNET ID CO CCLC ACH ECC WEB ACH Trace 60671 260057590"/>
        <s v="CCLC TYPE INTERNET ID CO CCLC ACH ECC WEB ACH Trace 89061 261565289"/>
        <s v="CHINA PAGODA 2 CHASKA MN"/>
        <s v="Coalition Restaurant"/>
        <s v="Deposit by Check Deposit Anywhere check deposit 260291527"/>
        <s v="DOORDASHKAIS SUSHI 6506819470 CA 257881483"/>
        <s v="Greenwood Market"/>
        <s v="HOLIDAY CAR WASH 340 CHASKA MN 259787378"/>
        <s v="KAUFMAN HALL TYPE DIRECT DEP ID CO KAUFMAN HALL ACH ECC PPD ACH Trace 30833 258024835"/>
        <s v="KAUFMAN HALL TYPE DIRECT DEP ID CO KAUFMAN HALL ACH ECC PPD ACH Trace 97525 261788891"/>
        <s v="LIFE TIME CAFE 151Q48 CHANHASSEN MN 261154408"/>
        <s v="LIFE TIME CAFE 151Q48 CHANHASSEN MN01353B"/>
        <s v="Life Time Fitness Inc."/>
        <s v="Papa John's"/>
        <s v="PUB 819 HOPKINS MN 257881486"/>
        <s v="PUB 819 HOPKINS MN 257881487"/>
        <s v="PUB 819 HOPKINS MN 259787379"/>
        <s v="SCHWAB1 INT 09/27-10/29"/>
        <s v="SQ ICHIGO CREPES CRYSTAL MN 261154406"/>
        <s v="SQ RED BENCH BAKER CHASKA MN 260718487"/>
        <s v="SQ WEE CLADDAGH SAINT PAUL MN 261154407"/>
        <s v="STRYKER CORP"/>
        <s v="Transfer to Investor Checking"/>
        <s v="TRUCE MINNEAPOLIS MN 261293606"/>
        <s v="Venmo Cashout"/>
        <s v="Whole Foods"/>
        <s v="PAYMENT THANK YOU 257881480"/>
        <s v="PAYMENT THANK YOU 262531389"/>
        <s v="Withdrawal Home payment to card 950588 257307739"/>
        <s v="Withdrawal Home payment to card 950588 261831395"/>
        <s v="CARGILL JAZZMA20029518 WAYZATA MN 262531390"/>
        <s v="College Savings TYPE ACH ID 550895818 CO College Savings ACH ECC PPD ACH Trace 06972 262246145"/>
        <s v="From Share 70 262432476"/>
        <s v="Naviya's"/>
        <s v="To Loan 02 262246147"/>
        <s v="CENTRAL CHECKOUT 79999999307135212640720"/>
        <s v="LIFE TIME CAFE 151Q48 CHANHASSEN MN 263027716"/>
        <s v="LTFLIFE TIME MO DUES 8884306432 MN 263027715"/>
        <s v="PAYMENT 264572815"/>
        <s v="BCU MORTGAGE TYPE LOAN PAYMT ID 9DRAFTING CO BCU MORTGAGE ACH ECC WEB ACH Trace 13754 293383522"/>
        <s v="BCU MORTGAGE TYPE LOAN PAYMT ID 9DRAFTING CO BCU MORTGAGE ACH ECC WEB ACH Trace 14650 270408832"/>
        <s v="Banana Visa TYPE BR EPAY ID CO Banana Visa ACH ECC WEB ACH Trace 59069 263002817"/>
        <s v="CPENERGY MNGCO TYPE MGC ACH EB ID 176051140S CO CPENERGY MNGCO ACH ECC WEB ACH Trace 97619 263002816"/>
        <s v="GANDER 682 EDEN PRAIRE MN 263247602"/>
        <s v="KIDS HAIR CH CHANHASSEN MN"/>
        <s v="USPS"/>
        <s v="CCLC TYPE INTERNET ID CO CCLC ACH ECC WEB ACH Trace 44570 263519530"/>
        <s v="MINTED LLC MINTEDCOM CA 263741857"/>
        <s v="DISCOVER TYPE EPAYMENT ID CO DISCOVER ACH ECC WEB ACH Trace 67980 263786523"/>
        <s v="FOOD HALL P1 8665083558 MN 264236914"/>
        <s v="SHEDD AQUARIUM CHICAGO IL1111000103061911081103"/>
        <s v="SHOYU 8665083558 MN 264236915"/>
        <s v="Allied Parking Inc"/>
        <s v="BANK INT 101619-111519 SCHWAB BANK"/>
        <s v="BEST CLEANERS EX 5 EXCELSIOR MN 265419530"/>
        <s v="CARGILL COCOA TYPE DIR DEP ID CO CARGILL COCOA ACH ECC PPD ACH Trace 47202 268665477"/>
        <s v="CARGILL COCOA TYPE DIR DEP ID CO CARGILL COCOA ACH ECC PPD ACH Trace 81531 265328265"/>
        <s v="CCLC TYPE INTERNET ID CO CCLC ACH ECC WEB ACH Trace 64860 268184995"/>
        <s v="CCLC TYPE INTERNET ID CO CCLC ACH ECC WEB ACH Trace 75272 265104588"/>
        <s v="CCLC TYPE INTERNET ID CO CCLC ACH ECC WEB ACH Trace 86314 266827683"/>
        <s v="CEFCO 60 FRANKLIN TX 264645343"/>
        <s v="Children's"/>
        <s v="CPENERGY MNGCO TYPE MGC ACH EB ID 176051140S CO CPENERGY MNGCO ACH ECC WEB ACH Trace 52369 267098185"/>
        <s v="DETAILS RESIDENTIAL SRVC 6122161751 MN 266345819"/>
        <s v="Excelsior"/>
        <s v="GoGoAir"/>
        <s v="J8EXCESS FR55051352"/>
        <s v="J8EXCESS TO89315308"/>
        <s v="KAUFMAN HALL TYPE DIRECT DEP ID CO KAUFMAN HALL ACH ECC PPD ACH Trace 51695 268665478"/>
        <s v="KAUFMAN HALL TYPE DIRECT DEP ID CO KAUFMAN HALL ACH ECC PPD ACH Trace 53450 265619897"/>
        <s v="LIFE TIME CAFE 151Q48 CHANHASSEN MN 265419533"/>
        <s v="LIFE TIME CAFE 151Q48 CHANHASSEN MN 268385464"/>
        <s v="LIFE TIME CAFE 151Q48 CHANHASSEN MN 272880974"/>
        <s v="Pamper Nails and Spa"/>
        <s v="Pinkblush Ca"/>
        <s v="PINKBLUSH SHOPPINKBLUSHCA 265626912"/>
        <s v="Polar Mitts"/>
        <s v="Pottery Barn"/>
        <s v="SCHWAB1 INT 10/30-11/26"/>
        <s v="SQ HELD COMPANIES CORCORAN MN 269390557"/>
        <s v="SQ HELD COMPANIES CORCORAN MN 272880983"/>
        <s v="THR3 JACK MINNEAPOLIS MN 265419534"/>
        <s v="Top Ten Liquors"/>
        <s v="US TREASURY BILXXX**MATURED**"/>
        <s v="City Chanhassen TYPE Payment ID T410885331 CO City Chanhassen ACH ECC PPD ACH Trace 98071 266827681"/>
        <s v="PAYMENT THANK YOU 266345818"/>
        <s v="PAYMENT THANK YOU 272880966"/>
        <s v="Withdrawal Home payment to card 950588 265669594"/>
        <s v="From Share 70 269586251"/>
        <s v="To Loan 02 269446959"/>
        <s v="PAYMENT THANK YOU 272880991"/>
        <s v="Withdrawal Home payment to card 950588 269820192"/>
        <s v="BURTON ONLINE WWWBURTONCOVT 272880985"/>
        <s v="College Savings TYPE ACH ID 550895818 CO College Savings ACH ECC PPD ACH Trace 14824 269773836"/>
        <s v="Crate &amp; Barrel"/>
        <s v="LTFLIFE TIME MO DUES 8884306432 MN 272880989"/>
        <s v="NORTH COOP CHAHASSEN MN 272880990"/>
        <s v="SP INGRID ISABEL HTTPSINGRIDANCA 272880986"/>
        <s v="THYMES 6126384467 MN 272880987"/>
        <s v="AMAZON.COM INC"/>
        <s v="BURTON ONLINE WWWBURTONCOVT 272880992"/>
        <s v="REDCOWMNCOM REDCOWMNCOM MN 272880993"/>
        <s v="DISCOVER TYPE EPAYMENT ID CO DISCOVER ACH ECC WEB ACH Trace 68708 270408831"/>
        <s v="PAYMENT 270891510"/>
        <s v="BCU MORTGAGE TYPE LOAN PAYMT ID 9DRAFTING CO BCU MORTGAGE ACH ECC WEB ACH Trace 25581 255659826"/>
        <s v="CCLC TYPE INTERNET ID CO CCLC ACH ECC WEB ACH Trace 54838 270408830"/>
        <s v="Pediatric Services PA"/>
        <s v="PAYMENT THANK YOU 272880999"/>
        <s v="Withdrawal Home payment to card 950588 270869881"/>
        <s v="Connectyourcare Type Svbclaims"/>
        <s v="RIDGEVIEW HOME MEDICAL EQ9524422283 MN 272880997"/>
        <s v="Wayfair"/>
        <s v="CARGILL CAFE 20014981 WAYZATA MN 272881000"/>
        <s v="KNOLLWOOD LIQUOR MINNEAPOLIS MN"/>
        <s v="Papa Murphy's"/>
        <s v="7-Eleven"/>
        <s v="Adjustmentpurchases"/>
        <s v="ALBERT HEIJN 1653 LUCHTHAVEN SC, #000"/>
        <s v="American Express"/>
        <s v="ATM FEE REFUND 277224499"/>
        <s v="AVOADVOCARE INTL 8005424800 TX 274437736"/>
        <s v="BALANCE TRANSFER FOR ACCT ENDING IN 0588 272881008"/>
        <s v="Banana Visa TYPE BR EPAY ID CO Banana Visa ACH ECC WEB ACH Trace 31456 277010532"/>
        <s v="BANK INT 111619-121519 SCHWAB BANK"/>
        <s v="Burton Online Burlington"/>
        <s v="CARGILL COCOA TYPE DIR DEP ID CO CARGILL COCOA ACH ECC PPD ACH Trace 60227 275774071"/>
        <s v="CARGILL COCOA TYPE DIR DEP ID CO CARGILL COCOA ACH ECC PPD ACH Trace 63156 272341002"/>
        <s v="CCLC TYPE INTERNET ID CO CCLC ACH ECC WEB ACH Trace 15823 275432438"/>
        <s v="CCLC TYPE INTERNET ID CO CCLC ACH ECC WEB ACH Trace 46533 273949347"/>
        <s v="CCLC TYPE INTERNET ID CO CCLC ACH ECC WEB ACH Trace 78829 272112306"/>
        <s v="CCLC TYPE INTERNET ID CO CCLC ACH ECC WEB ACH Trace 94221 277010534"/>
        <s v="Chevron"/>
        <s v="CIBO EXPRESS P5 MINNEAPOLIS MN"/>
        <s v="CPENERGY MNGCO TYPE MGC ACH EB ID 176051140S CO CPENERGY MNGCO ACH ECC WEB ACH Trace 21554 277010533"/>
        <s v="DETAILS RESIDENTIAL SRVC 6122161751 MN 273904138"/>
        <s v="DIRECT PAY HSA TYPE ETRANSFER ID CO DIRECT PAY HSA ACH ECC PPD ACH Trace 22517 272341001"/>
        <s v="Domino's Pizza"/>
        <s v="Exxon"/>
        <s v="Foss Swim School"/>
        <s v="FUNDS RECEIVED"/>
        <s v="IRA REGULAR CONTRIB"/>
        <s v="JOURNAL FRM 50117431"/>
        <s v="JOURNAL TO 13697698"/>
        <s v="JOURNAL TO 86850937"/>
        <s v="KAUFMAN HALL TYPE DIRECT DEP ID CO KAUFMAN HALL ACH ECC PPD ACH Trace 58075 272648292"/>
        <s v="KAUFMAN HALL TYPE DIRECT DEP ID CO KAUFMAN HALL ACH ECC PPD ACH Trace 82004 276967602"/>
        <s v="LAEDERACH CHOCOLATGENEVE, #0000001900"/>
        <s v="LIFE TIME CAFE 151Q48 CHANHASSEN MN 272881011"/>
        <s v="LIFE TIME CAFE 151Q48 CHANHASSEN MN01156B"/>
        <s v="Microsoft"/>
        <s v="Patagonia"/>
        <s v="Play It Again Sports"/>
        <s v="RUBY'S ROOST BAKER VICTORIA MN0001152921508944"/>
        <s v="SCHWAB1 INT 11/27-12/29"/>
        <s v="SOUTH LYNDALE LIQUORS RETMINNEAPOLIS MN 275614106"/>
        <s v="The Suburban"/>
        <s v="Timberland"/>
        <s v="VAG ITM-TERM TREASURY ETF"/>
        <s v="VANGUARD INTRMDIAT TRM TRSRY ETF IV"/>
        <s v="WORLD BEAN MINNEAPOLIS MN"/>
        <s v="DISCOVER TYPE EPAYMENT ID CO DISCOVER ACH ECC WEB ACH Trace 17758 272709581"/>
        <s v="DISCOVER TYPE EPAYMENT ID CO DISCOVER ACH ECC WEB ACH Trace 57497 273949348"/>
        <s v="PAYMENT THANK YOU 274168400"/>
        <s v="PAYMENT THANK YOU 276330193"/>
        <s v="Withdrawal Home payment to card 979181 273702931"/>
        <s v="Withdrawal Home payment to card 979181 275812401"/>
        <s v="From Share 70 277444321"/>
        <s v="To Loan 02 277305767"/>
        <s v="College Savings TYPE ACH ID 550895818 CO College Savings ACH ECC PPD ACH Trace 57639 277653602"/>
        <s v="Under Armour Retail"/>
        <s v="TEQUILA BUTCHER CHANHASSEN MN 278225083"/>
        <s v="LTFLIFE TIME MO DUES 8884306432 MN 278573817"/>
        <s v="PAJARITO SAINT PAUL MN 278573818"/>
        <s v="SQ CLUTCH BREWING SAINT PAUL MN 278573816"/>
        <s v="PAYMENT 279045167"/>
        <s v="PAYMENT THANK YOU 279092507"/>
        <s v="Withdrawal Home payment to card 979181 278608583"/>
        <s v="BCU MORTGAGE TYPE LOAN PAYMT ID 9DRAFTING CO BCU MORTGAGE ACH ECC WEB ACH Trace 28517"/>
        <s v="Share"/>
        <s v="TAKE TWO INTERACTV"/>
        <s v="To Share 70 278609540"/>
        <s v="DISCOVER TYPE EPAYMENT ID CO DISCOVER ACH ECC WEB ACH Trace 39035 278871863"/>
        <s v="NORTH COOP CHAHASSEN MN 279092508"/>
        <s v="CARGILL CAF20014981579 WAYZATA MNAPPLE PAY ENDING"/>
        <s v="CARGILL COCOA TYPE DIR DEP ID CO CARGILL COCOA ACH ECC PPD ACH Trace 02608 279275125"/>
        <s v="CCLC TYPE INTERNET ID CO CCLC ACH ECC WEB ACH Trace 67054 279111682"/>
        <s v="Chick-Fil-A"/>
        <s v="LIFE TIME CAFE 151Q48 CHANHASSEN MN 279364373"/>
        <s v="Erik's Bike Shop, Inc."/>
        <s v="MILK MOMS INC 7634130129 MN 279617416"/>
        <s v="BEST CLEANERS EX 5 EXCELSIOR MN 279877914"/>
        <s v="CARGILL PRODUC20081436 WAYZATA MN 279877915"/>
        <s v="LTI ARAPAHOE BASIN SK HTTPSWWWLIFTCA 279877916"/>
        <s v="Apple"/>
        <s v="Coalition"/>
        <s v="Cultivated"/>
        <s v="Destination Massage"/>
        <s v="DETAILS RESIDENTIAL SRVC 6122161751 MN 280222012"/>
        <s v="SNOWCOMVAIL RESORTS SKI8888380495 CO 280222015"/>
        <s v="Sp Ingrid Isabel"/>
        <s v="SQ HIGHSIDE BREWING Frisco CO 280222016"/>
        <s v="Dillon's"/>
        <s v="PAYMENT THANK YOU 280968601"/>
        <s v="Withdrawal Home payment to card 979181 280489279"/>
        <s v="CHIMAYO MEXICAN GRILL DILLON CO 280703580"/>
        <s v="Conoco"/>
        <s v="Roulette's Pizza"/>
        <s v="CCLC TYPE INTERNET ID CO CCLC ACH ECC WEB ACH Trace 38360 280703585"/>
        <s v="KAUFMAN HALL TYPE DIRECT DEP ID CO KAUFMAN HALL ACH ECC PPD ACH Trace 23271 280703582"/>
        <s v="BANK INT 121619-011520 SCHWAB BANK"/>
        <s v="BANK INT 122719-011520 SCHWAB PREMIER BANK"/>
        <s v="BuyBuyBaby"/>
        <s v="SKYE LIQUOR DENVER CO 281766496"/>
        <s v="Terminal Bar"/>
        <s v="TST GREEN RUSSELL DENVER CO 281766498"/>
        <s v="Work Class DENVER CO 281766497"/>
        <s v="HIRSHFIELDS 34 CHASKACHASKA MN 281976326"/>
        <s v="MSP CAMDEN FOOD 6751162 SAINT PAUL MN"/>
        <s v="CARGILL C S20073235579 WAYZATA MNAPPLE PAY ENDING"/>
        <s v="IRA LAST YEAR CONTRIB"/>
        <s v="UPS"/>
        <s v="Withdrawal ACH TYPE Online ID ACH ECC WEB 282236837"/>
        <s v=" TYPE TRANSFER ID PAYPALSD11 CO PAYPAL ACH ECC PPD ACH Trace 22822 282464808"/>
        <s v="CARGILL COCOA TYPE DIR DEP ID CO CARGILL COCOA ACH ECC PPD ACH Trace 04604 282464809"/>
        <s v="CCLC TYPE INTERNET ID CO CCLC ACH ECC WEB ACH Trace 15136 282236838"/>
        <s v="CITY TAVERN PHILADELPHIA PA"/>
        <s v="HUDSON ST1854 PHILADELPHIA PA"/>
        <s v="Stitch House Brewery"/>
        <s v="TYPE TRANSFER ID PAYPALSD11 CO PAYPAL ACH ECC PPD ACH Trace 22822 282464808"/>
        <s v="Cargill ESOP Stock Fund - Plan Contribution"/>
        <s v="CARGILL PRODUC20081436 WAYZATA MN 282750502"/>
        <s v="Deposit Transfer From TRUITTJEFF B Share 70 282557298"/>
        <s v="Funds Transfer to Brokerage -7698"/>
        <s v="Panera Bread"/>
        <s v="To Share 12 282557066"/>
        <s v="Withdrawal Trans To TRUITTCOOPER L Share 12 282557299"/>
        <s v="DISCOVER TYPE EPAYMENT ID CO DISCOVER ACH ECC WEB ACH Trace 63021 282803685"/>
        <s v="PAYMENT THANK YOU 283353090"/>
        <s v="Withdrawal Home payment to card 979181 282818180"/>
        <s v="3 DAY BLINDS LLC 8008003329 CA 283004524"/>
        <s v="Jimmy John's"/>
        <s v="To Share 12 282803686"/>
        <s v="Starbucks"/>
        <s v="LIFE TIME CAFE 151Q48 CHANHASSEN MN 283353092"/>
        <s v="TINO S PIZZERIA SHOREWOOD MN"/>
        <s v="ZEN BOX IZAKAYA MINNEAPOLIS MN 283353091"/>
        <s v="ALPHABET INC. CLASS C"/>
        <s v="CARGILL PRO20081436579 WAYZATA MNAPPLE PAY ENDING"/>
        <s v="Crisp &amp; Green"/>
        <s v="TEQUILA BUTCHER CHANHASSEN MN 283600461"/>
        <s v="Turbo Nail Spa"/>
        <s v="PENN MINNOCO MINNEAPOLIS MN 283821489"/>
        <s v="PAYMENT THANK YOU 284334887"/>
        <s v="Withdrawal Home payment to card 979181 283894239"/>
        <s v="CCLC TYPE INTERNET ID CO CCLC ACH ECC WEB ACH Trace 11943 283876069"/>
        <s v="LIFE TIME CAFE 151Q48 CHANHASSEN MN 284076139"/>
        <s v="KAUFMAN HALL TYPE DIRECT DEP ID CO KAUFMAN HALL ACH ECC PPD ACH Trace 48884 284325465"/>
        <s v="Kids Hair"/>
        <s v="SCHWAB1 INT 12/30-01/29"/>
        <s v="From Share 70 284848095"/>
        <s v="To Loan 02 284698387"/>
        <s v="Amazon Music"/>
        <s v="LTFLIFE TIME MO DUES 8884306432 MN 285143880"/>
        <s v="Red Sauce Rebellion, LLC"/>
        <s v="PAYMENT THANK YOU 285712368"/>
        <s v="Withdrawal Home payment to card 979181 285286050"/>
        <s v="College Savings TYPE ACH ID 550895818 CO College Savings ACH ECC PPD ACH Trace 51883 285214068"/>
        <s v="MHCHILDCARELLC TYPE DUES ID CO MHCHILDCARELLC ACH ECC PPD ACH Trace 41649 285214069"/>
        <s v="PURCHASE INTO CORE ACCOUNT FIDELITY GOVERNMENT CASH RESERVES (FDRXX) (Cash)"/>
        <s v="Shorewood Liquor, LLC"/>
        <s v="TRANSFERRED FROM KAUFMAN HSA TFR (Cash)"/>
        <s v="DISCOVER TYPE EPAYMENT ID CO DISCOVER ACH ECC WEB ACH Trace 71849 285512728"/>
        <s v="PAYMENT 285946976"/>
        <s v="BCU MORTGAGE TYPE LOAN PAYMT ID 9DRAFTING CO BCU MORTGAGE ACH ECC WEB ACH Trace 49814 263002818"/>
        <s v="USD PARTNERS LP LP"/>
        <s v="3 DAY BLINDS LLC 8008003329 CA 285992548"/>
        <s v="CARGILL COCOA TYPE DIR DEP ID CO CARGILL COCOA ACH ECC PPD ACH Trace 08052 285980155"/>
        <s v="CPENERGY MNGCO TYPE MGC ACH EB ID 176051140S CO CPENERGY MNGCO ACH ECC WEB ACH Trace 64687 285771764"/>
        <s v="Cabin Fever Sporting Goods, Inc."/>
        <s v="DETAILS RESIDENTIAL SRVC 6122161751 MN 286924997"/>
        <s v="Minnesota"/>
        <s v="Parlour St Paul"/>
        <s v="SQ ENKI BREWING COMPANY Victoria MN 286924998"/>
        <s v="VICTORIA BURROW VICTORIA MN 286925000"/>
        <s v="PAYMENT THANK YOU 287429453"/>
        <s v="Withdrawal Home payment to card 979181 286962138"/>
        <s v="LIFE TIME CAFE 151Q48 CHANHASSEN MN 287193126"/>
        <s v="MHCHILDCARELLC TYPE DUES ID CO MHCHILDCARELLC ACH ECC PPD ACH Trace 12751 286952561"/>
        <s v="SQ RED BENCH BAKERY Excelsior MN 287193125"/>
        <s v="THE NOBLE LION VICTORIA MN 287193124"/>
        <s v="Toyota"/>
        <s v="Corelle Brands LLC"/>
        <s v="Excelsior Family Dental L L C"/>
        <s v="KAUFMAN HALL TYPE DIRECT DEP ID CO KAUFMAN HALL ACH ECC PPD ACH Trace 88462 287919112"/>
        <s v="Ridgeview Medical Center"/>
        <s v="MACKENTHUNS CARIBOU WACONIA MN 288192193"/>
        <s v="PAYMENT THANK YOU 288763274"/>
        <s v="Withdrawal Home payment to card 979181 288490360"/>
        <s v="To Share 12 288491109"/>
        <s v="LIFE TIME CAFE 151Q48 CHANHASSEN MN 288763275"/>
        <s v="DISCOVER TYPE EPAYMENT ID CO DISCOVER ACH ECC WEB ACH Trace 09136 288830712"/>
        <s v="Banana Visa TYPE BR EPAY ID CO Banana Visa ACH ECC WEB ACH Trace 69351 288830710"/>
        <s v="BANK INT 011620-021520 SCHWAB BANK"/>
        <s v="BANK INT 011620-021520 SCHWAB PREMIER BANK"/>
        <s v="MHCHILDCARELLC TYPE DUES ID CO MHCHILDCARELLC ACH ECC PPD ACH Trace 23510 288830711"/>
        <s v="PAYMENT THANK YOU 289731430"/>
        <s v="Withdrawal Home payment to card 979181 289145309"/>
        <s v="BEST CLEANERS EX 5 EXCELSIOR MN 289386767"/>
        <s v="CARGILL COCOA TYPE DIR DEP ID CO CARGILL COCOA ACH ECC PPD ACH Trace 92044 289363940"/>
        <s v="Intuit TurboTax"/>
        <s v="MN State Tax"/>
        <s v="WPYSupport for the Ransb8668191294 CA 289731431"/>
        <s v="LIFE TIME CAFE #172 MINNEAPOLIS MN02145B"/>
        <s v="PAYMENT THANK YOU 290461314"/>
        <s v="Withdrawal Home payment to card 979181 290185819"/>
        <s v="11003 NORTH LOOP MINNEAPOLIS MN 290461321"/>
        <s v="Nothing Bundt Cakes"/>
        <s v="Pizza Luce"/>
        <s v="SQ ENKI BREWING COMPANY Victoria MN 290461320"/>
        <s v="Internal Revenue Service"/>
        <s v="MHCHILDCARELLC TYPE DUES ID CO MHCHILDCARELLC ACH ECC PPD ACH Trace 77275 290529206"/>
        <s v="To Share 12 290529207"/>
        <s v="PAYMENT THANK YOU 291327784"/>
        <s v="Withdrawal Home payment to card 979181 290815402"/>
        <s v="Kowalski's"/>
        <s v="DISCOVER TYPE EPAYMENT ID CO DISCOVER ACH ECC WEB ACH Trace 16447 291055607"/>
        <s v="KAUFMAN HALL TYPE DIRECT DEP ID CO KAUFMAN HALL ACH ECC PPD ACH Trace 58727 291657926"/>
        <s v="SCHWAB1 INT 01/30-02/26"/>
        <s v="TST OLIVE S FRESH EXCELSEXCELSIOR MN 291657928"/>
        <s v="Withdrawal ACH TYPE Online ID ACH ECC WEB 291657927"/>
        <s v="Bridgewater Bank"/>
        <s v="TJ Maxx"/>
        <s v="From Share 70 292430008"/>
        <s v="To Loan 02 292299026"/>
        <s v="Venmo Type Verifyban"/>
        <s v="College Savings TYPE ACH ID 550895818 CO College Savings ACH ECC PPD ACH Trace 81051 292751231"/>
        <s v="LTFLIFE TIME MO DUES 8884306432 MN 292947024"/>
        <s v="MHCHILDCARELLC TYPE DUES ID CO MHCHILDCARELLC ACH ECC PPD ACH Trace 78019 292751229"/>
        <s v="Rally House 8006455409 KS 292947026"/>
        <s v="SOTA CLOTHING SAINT LOUIS MN 292947023"/>
        <s v="VENMO TYPE VERIFYBAN ID CO VENMO ACH ECC WEB ACH Trace 96623 292751227"/>
        <s v="VENMO TYPE VERIFYBAN ID CO VENMO ACH ECC WEB ACH Trace 96624 292751226"/>
        <s v="BERKSHIRE HATHAWAY CLASS B"/>
        <s v="CPENERGY MNGCO TYPE MGC ACH EB ID 176051140S CO CPENERGY MNGCO ACH ECC WEB ACH Trace 59798 292947029"/>
        <s v="MN DIR ACH TYPE CONTRIB ID CO MN DIR ACH ACH ECC WEB ACH Trace 04165 292947030"/>
        <s v="CARGILL COCOA TYPE DIR DEP ID CO CARGILL COCOA ACH ECC PPD ACH Trace 45392 293524918"/>
        <s v="CREDIT 293901530"/>
        <s v="Cargill ESOP Stock Fund - Dividends Transferred In"/>
        <s v="Cargill Passthru Div - Dividends on Equity Investments"/>
        <s v="Cargill Passthru Div - Dividends Transferred Out"/>
        <s v="Deposit by Check Deposit Anywhere check deposit 293744432"/>
        <s v="HIRSHFIELDS 34 CHASKACHASKA MN 293936096"/>
        <s v="L2GCARVER CO RECORDS 952CHASKA MN 293936097"/>
        <s v="LIFE TIME CAFE 151Q48 CHANHASSEN MN 293936098"/>
        <s v="PAYMENT THANK YOU 294678995"/>
        <s v="Withdrawal Home payment to card 979181 294028059"/>
        <s v="SHOREWOODLIQUOR SHOREWOOD MN"/>
        <s v="BAR LA GRASSA MINNEAPOLIS MN 294678999"/>
        <s v="DETAILS RESIDENTIAL SRVC 6122161751 MN 294678998"/>
        <s v="Gulf"/>
        <s v="MPLSMETERSAPP 8090 6123437275 MN 294679000"/>
        <s v="CHECK 2097 2097"/>
        <s v="MHCHILDCARELLC TYPE DUES ID CO MHCHILDCARELLC ACH ECC PPD ACH Trace 27593 295253491"/>
        <s v="KAUFMAN HALL TYPE DIRECT DEP ID CO KAUFMAN HALL ACH ECC PPD ACH Trace 56404 295857735"/>
        <s v="KAUFMAN HALL TYPE DIRECT DEP ID CO KAUFMAN HALL ACH ECC PPD ACH Trace 56405 295857734"/>
        <s v="Withdrawal ACH TYPE Online ID ACH ECC WEB 295857736"/>
        <s v="PAYMENT THANK YOU 296626640"/>
        <s v="Withdrawal Home payment to card 979181 295897206"/>
        <s v="THE NOBLE LION VICTORIA MN"/>
        <s v="Yzata Brew Works LLC"/>
        <s v="HI 5 LIQUOR VICTORIA MN 296626641"/>
        <s v="DISCOVER TYPE EPAYMENT ID CO DISCOVER ACH ECC WEB ACH Trace 98890 296626646"/>
        <s v="BANK INT 021620-031520 SCHWAB BANK"/>
        <s v="BANK INT 021620-031520 SCHWAB PREMIER BANK"/>
        <s v="DSW Designer Shoe Warehouse"/>
        <s v="NORTH COOP CHAHASSEN MN 296809538"/>
        <s v="Prime VideoXK3796ZZ3 8888023080 WA 296809537"/>
        <s v="CPENERGY MNGCO TYPE MGC ACH EB ID 176051140S CO CPENERGY MNGCO ACH ECC WEB ACH Trace 35333 296879272"/>
        <s v="TST RED COW 50TH ST MINNEAPOLIS MN 297230716"/>
        <s v="CARGILL COCOA TYPE DIR DEP ID CO CARGILL COCOA ACH ECC PPD ACH Trace 88076 297342601"/>
        <s v="COLEHAANCOM 8004882000 NH 297353880"/>
        <s v="MN DIR ACH TYPE CONTRIB ID CO MN DIR ACH ACH ECC WEB ACH Trace 97941 297122971"/>
        <s v="PAYMENT THANK YOU 297916996"/>
        <s v="Withdrawal Home payment to card 979181 297517781"/>
        <s v="Prime VideoN970P6J63 8888023080 WA 297651134"/>
        <s v="MGM Liquor Warehouse"/>
        <s v="Fid Bkg Svc"/>
        <s v="To Share 12 298537861"/>
        <s v="Ridgeview Anesthesia"/>
        <s v="RIDGEVIEW MEDICAL CNTHOSWACONIA MN 299152943"/>
        <s v="RIDGEVIEW MEDICAL CNTRCLWACONIA MN 299152942"/>
        <s v="NORTH COOP NORTH COOP STRIPECOM MN 299362794"/>
        <s v="KAUFMAN HALL TYPE DIRECT DEP ID CO KAUFMAN HALL ACH ECC PPD ACH Trace 57761 299910540"/>
        <s v="SCHWAB1 INT 02/27-03/29"/>
        <s v="PAYMENT THANK YOU 301157421"/>
        <s v="Withdrawal Home payment to card 979181 300367184"/>
        <s v="CARGILL COCOA TYPE DIR DEP ID CO CARGILL COCOA ACH ECC PPD ACH Trace 96903 300599932"/>
        <s v="College Savings TYPE ACH ID 550895818 CO College Savings ACH ECC PPD ACH Trace 05603 300319716"/>
        <s v="From Share 70 300366731"/>
        <s v="MHCHILDCARELLC TYPE DUES ID CO MHCHILDCARELLC ACH ECC PPD ACH Trace 97179 300319715"/>
        <s v="To Loan 02 300319717"/>
        <s v="Milios Sandwiches"/>
        <s v="BCU MORTGAGE TYPE LOAN PAYMT ID 9DRAFTING CO BCU MORTGAGE ACH ECC WEB ACH Trace 53888 308255591"/>
        <s v="CREDIT 301988969"/>
        <s v="RAYTHEON TECHNOLOGIES CO"/>
        <s v="BITE SQUAD 6122947125 MN 302995083"/>
        <s v="BITE SQUAD 6122947125 MN 302995084"/>
        <s v="DISCOVER TYPE EPAYMENT ID CO DISCOVER ACH ECC WEB ACH Trace 40664 303072059"/>
        <s v="KAUFMAN HALL TYPE DIRECT DEP ID CO KAUFMAN HALL ACH ECC PPD ACH Trace 30482 303565265"/>
        <s v="Pryes Brewing Company, LLC"/>
        <s v="CARGILL COCOA TYPE DIR DEP ID CO CARGILL COCOA ACH ECC PPD ACH Trace 46228 303877477"/>
        <s v="VIET HOA CHINESE CUISINE MINNETONKA MN 303891670"/>
        <s v="BANK INT 031620-041520 SCHWAB PREMIER BANK"/>
        <s v="South Lake Pediatrics"/>
        <s v="PAYMENT THANK YOU 304766117"/>
        <s v="Withdrawal Home payment to card 979181 304320586"/>
        <s v="RIDGEVIEW MEDICAL CNTHOSWACONIA MN 304549459"/>
        <s v="MN DIR ACH TYPE CONTRIB ID CO MN DIR ACH ACH ECC WEB ACH Trace 68811 304831531"/>
        <s v="DISCOVER TYPE EPAYMENT ID CO DISCOVER ACH ECC WEB ACH Trace 17003 305306644"/>
        <s v="MACYS TYPE PAYMENT ID CITIGPUFDR CO MACYS ACH ECC PPD ACH Trace 07912 305306645"/>
        <s v="PAYMENT THANK YOU 305725375"/>
        <s v="Withdrawal Home payment to card 979181 305394381"/>
        <s v="To Share 12 305789623"/>
        <s v="NORTH COOP NORTH COOP STRIPECOM MN 306249213"/>
        <s v="Twin Orchards Nurser Y"/>
        <s v="CHECK 2179 2179"/>
        <s v="Wine.com"/>
        <s v="AVOADVOCARE INTL 8005424800 TX 307039276"/>
        <s v="Banana Visa TYPE BR EPAY ID CO Banana Visa ACH ECC WEB ACH Trace 61552 306804587"/>
        <s v="CARGILL COCOA TYPE DIR DEP ID CO CARGILL COCOA ACH ECC PPD ACH Trace 21192 307018563"/>
        <s v="KAUFMAN HALL TYPE DIRECT DEP ID CO KAUFMAN HALL ACH ECC PPD ACH Trace 27130 307018562"/>
        <s v="PAYMENT THANK YOU 307788792"/>
        <s v="Withdrawal Home payment to card 979181 307076214"/>
        <s v="DISCOVER TYPE EPAYMENT ID CO DISCOVER ACH ECC WEB ACH Trace 72685 307537521"/>
        <s v="College Savings TYPE ACH ID 550895818 CO College Savings ACH ECC PPD ACH Trace 84657 307537522"/>
        <s v="From Share 70 307691904"/>
        <s v="To Loan 02 307537523"/>
        <s v="FTDCOM 8007363383 IL 308375848"/>
        <s v="True Value"/>
        <s v="PAYMENT 308697727"/>
        <s v="BCU MORTGAGE TYPE LOAN PAYMT ID 9DRAFTING CO BCU MORTGAGE ACH ECC WEB ACH Trace 71012"/>
        <s v="TST OLIVE S FRESH EXCELS6122324677 MN 308465740"/>
        <s v="TST OLIVE S FRESH EXCELS6122324677 MN 309740559"/>
        <s v="PAYMENT THANK YOU 310208856"/>
        <s v="Withdrawal Home payment to card 979181 309863835"/>
        <s v="CPENERGY MNGCO TYPE MGC ACH EB ID 176051140S CO CPENERGY MNGCO ACH ECC WEB ACH Trace 34719 309804560"/>
        <s v="Yumi's Sushi Bar"/>
        <s v="CARGILL COCOA TYPE DIR DEP ID CO CARGILL COCOA ACH ECC PPD ACH Trace 32186 310458821"/>
        <s v="KAUFMAN HALL TYPE DIRECT DEP ID CO KAUFMAN HALL ACH ECC PPD ACH Trace 57012 310713908"/>
        <s v="NORTH COOP NORTH COOP STRIPECOM MN 310745293"/>
        <s v="PAYMENT THANK YOU 311807115"/>
        <s v="Withdrawal Home payment to card 979181 311438930"/>
        <s v="BANK INT 041620-051520 SCHWAB PREMIER BANK"/>
        <s v="MN DIR ACH TYPE CONTRIB ID CO MN DIR ACH ACH ECC WEB ACH Trace 46107 311381116"/>
        <s v="Certified Auto Repair Inc"/>
        <s v="To Share 12 311598843"/>
        <s v="To Share 70 311600167"/>
        <s v=" TYPE TRANSFER ID PAYPALSD11 CO PAYPAL ACH ECC PPD ACH Trace 96587 311867131"/>
        <s v="TYPE TRANSFER ID PAYPALSD11 CO PAYPAL ACH ECC PPD ACH Trace 96587 311867131"/>
        <s v="Kum &amp; Go"/>
        <s v="Sonic"/>
        <s v="HORRAYHEREOS COM SALEM MA 312830396"/>
        <s v="Joe S Kansas City Ba"/>
        <s v="McLains Bakery"/>
        <s v="METCALF LIQUORS OVERLAND PARKKS 312830393"/>
        <s v="Price Chopper"/>
        <s v="To Share 12 312709890"/>
        <s v="Hy-Vee"/>
        <s v="Casey's"/>
        <s v="Garrison Family Foods"/>
        <s v="PAYMENT THANK YOU 313824775"/>
        <s v="Withdrawal Home payment to card 979181 313309910"/>
        <s v="2020 OUTRUN ALD VIRTUA HTTPSRACEROSTMA 313537608"/>
        <s v="CARGILL COCOA TYPE DIR DEP ID CO CARGILL COCOA ACH ECC PPD ACH Trace 52042 313526393"/>
        <s v="Banana Visa TYPE BR EPAY ID CO Banana Visa ACH ECC WEB ACH Trace 78260 313598094"/>
        <s v="KAUFMAN HALL TYPE DIRECT DEP ID CO KAUFMAN HALL ACH ECC PPD ACH Trace 04238 313814117"/>
        <s v="PINE RIVER FAMILY M PINE RIVER MN 313824777"/>
        <s v="Station"/>
        <s v="REDDINGS SPORTS &amp; SPIRIT EMILY MN"/>
        <s v="Super"/>
        <s v="ZORBAZ OF CROSSLAKE CROSSLAKE MN 314452666"/>
        <s v="College Savings TYPE ACH ID 550895818 CO College Savings ACH ECC PPD ACH Trace 06585 314589474"/>
        <s v="From Share 70 314664372"/>
        <s v="GOLDEN EAGLE GOLF CLUB FIFTY LAKES MN 314866779"/>
        <s v="Iron Ranger"/>
        <s v="To Loan 02 314589475"/>
        <s v="Kwik Trip"/>
        <s v="PAYMENT 316248098"/>
        <s v="BCU MORTGAGE TYPE LOAN PAYMT ID 9DRAFTING CO BCU MORTGAGE ACH ECC WEB ACH Trace 81641"/>
        <s v="Check Paid #1139"/>
        <s v="RIDGEVIEW MEDICAL CNTRCLWACONIA MN 315678412"/>
        <s v="SP SENDJOESKCBBQ SENDJOESBARBQKS 316529567"/>
        <s v="PAYMENT THANK YOU 317034628"/>
        <s v="Withdrawal Home payment to card 979181 316598055"/>
        <s v="AMERICAN AIRLS GROUP"/>
        <s v="Boutique Ca"/>
        <s v="CARGILL COCOA TYPE DIR DEP ID CO CARGILL COCOA ACH ECC PPD ACH Trace 19700 317021487"/>
        <s v="CREEDE SNOWSHOE LODGE CREEDE CO 317034629"/>
        <s v="DELTA AIR LINES INC DEL"/>
        <s v="Hero"/>
        <s v="MinnetonkaCommEd TYPE PURCHASE ID CO MinnetonkaCommEd ACH ECC WEB ACH Trace 82251 316828020"/>
        <s v="Shutterfly"/>
        <s v="Southwest Airlines"/>
        <s v="To Share 12 316885392"/>
        <s v="CPENERGY MNGCO TYPE MGC ACH EB ID 176051140S CO CPENERGY MNGCO ACH ECC WEB ACH Trace 72485 317102589"/>
        <s v="D'Amico Sons"/>
        <s v="LTFLIFE TIME MO DUES 8884306432 MN 317374249"/>
        <s v="Sp Sendjoeskcbbq Ks"/>
        <s v="Wells Fargo Bank"/>
        <s v="KAUFMAN HALL TYPE DIRECT DEP ID CO KAUFMAN HALL ACH ECC PPD ACH Trace 93065 318349382"/>
        <s v="DISCOVER TYPE EPAYMENT ID CO DISCOVER ACH ECC WEB ACH Trace 30184 318454192"/>
        <s v="BANK INT 051620-061520 SCHWAB PREMIER BANK"/>
        <s v="MN DIR ACH TYPE CONTRIB ID CO MN DIR ACH ACH ECC WEB ACH Trace 55661 319352964"/>
        <s v="Damico Sonsgolden Vallgolden"/>
        <s v="Parley Lake Winery, LLP"/>
        <s v="TST COPPER COW MINNETONKA MN 320484804"/>
        <s v="Deer Run Golf Club, LLC"/>
        <s v="CARGILL COCOA TYPE DIR DEP ID CO CARGILL COCOA ACH ECC PPD ACH Trace 12047 321001274"/>
        <s v="To Share 12 320792909"/>
        <s v="RIDGEVIEW MEDICAL CNTHOSWACONIA MN 321302814"/>
        <s v="MHCHILDCARELLC TYPE DUES ID CO MHCHILDCARELLC ACH ECC PPD ACH Trace 76926 321376193"/>
        <s v="PLUNKETTS PEST CONTROL MINNEAPOLIS MN 321554457"/>
        <s v="PAYMENT THANK YOU 322220064"/>
        <s v="Withdrawal Home payment to card 979181 321867876"/>
        <s v=" TYPE TRANSFER ID PAYPALSD11 CO PAYPAL ACH ECC PPD ACH Trace 23715 321924713"/>
        <s v="BOAT HOUSE GRILL AND BAR WASECA MN 321934380"/>
        <s v="PRAIRIE RIDGE GOLF COURSEJANESVILLE MN 321934379"/>
        <s v="TST RED COW 1ST AVE 6122380050 MN 321934378"/>
        <s v="TYPE TRANSFER ID PAYPALSD11 CO PAYPAL ACH ECC PPD ACH Trace 23715 321924713"/>
        <s v="KAUFMAN HALL TYPE DIRECT DEP ID CO KAUFMAN HALL ACH ECC PPD ACH Trace 63599 322220066"/>
        <s v="LIONS TAP EDEN PRAIRIE MN 322220065"/>
        <s v="ATM FEE REFUND 322510735"/>
        <s v="MHCHILDCARELLC TYPE DUES ID CO MHCHILDCARELLC ACH ECC PPD ACH Trace 50408 322288612"/>
        <s v="SPRING USAGE PROMO BONUS 322515219"/>
        <s v="College Savings TYPE ACH ID 550895818 CO College Savings ACH ECC PPD ACH Trace 05133 322673689"/>
        <s v="From Share 70 322673692"/>
        <s v="To Loan 02 322673691"/>
        <s v="DISCOVER TYPE EPAYMENT ID CO DISCOVER ACH ECC WEB ACH Trace 66555 323108195"/>
        <s v="LTFLIFE TIME MO DUES 8884306432 MN 323336208"/>
        <s v="MADEWELLCOM 8665441937 NY 323603621"/>
        <s v="Minnetonkacommed Type Reversal"/>
        <s v="WOODENHILL1 EDINA MN 323603620"/>
        <s v="Restoration Hardware"/>
        <s v="PAYMENT 324488559"/>
        <s v="BCU MORTGAGE TYPE LOAN PAYMT ID 9DRAFTING CO BCU MORTGAGE ACH ECC WEB ACH Trace 82053"/>
        <s v="SP LIQUID IV 8553864021 CA 324250739"/>
        <s v="Banana Visa TYPE BR EPAY ID CO Banana Visa ACH ECC WEB ACH Trace 03624 324320772"/>
        <s v="MHCHILDCARELLC TYPE DUES ID CO MHCHILDCARELLC ACH ECC PPD ACH Trace 11884 324320775"/>
        <s v="NORTH COOP CHAHASSEN MN 324502088"/>
        <s v="SHOREWOOD CIGARS TOBAC EXCELSIOR MN 324502085"/>
        <s v="CARGILL COCOA TYPE DIR DEP ID CO CARGILL COCOA ACH ECC PPD ACH Trace 97142 324790259"/>
        <s v="COLLEGE TRANSCRIPT 8477163000 IL 325735429"/>
        <s v="Disney"/>
        <s v="Dairy Queen"/>
        <s v="Deposit by Check Deposit Anywhere check deposit 326292919"/>
        <s v="KAUFMAN HALL TYPE DIRECT DEP ID CO KAUFMAN HALL ACH ECC PPD ACH Trace 23813 326292920"/>
        <s v="MHCHILDCARELLC TYPE DUES ID CO MHCHILDCARELLC ACH ECC PPD ACH Trace 28065 326110214"/>
        <s v="Robinhood"/>
        <s v="TST LOLA S LAKEHOUSE WACONIA MN 326309885"/>
        <s v="PAYMENT THANK YOU 327023370"/>
        <s v="Withdrawal Home payment to card 979181 326342535"/>
        <s v="47 Cardtronics C2 1301 MAIN ST ALAMOSA CO 326479211"/>
        <s v="BANK INT 061620-071520 SCHWAB PREMIER BANK"/>
        <s v="LIQUID AMBITIONS LIQUOR CREEDE CO 327023375"/>
        <s v="STPAULMAGST2607 SAINT PAUL MN 327023374"/>
        <s v="CREEDE SNOWSHOE LODGE CREEDE CO 327216195"/>
        <s v="DEN SNARFS SANDWICHES DENVER CO 327216198"/>
        <s v="EXPRESS MARKET CON C DENVER CO 327216199"/>
        <s v="Safeway"/>
        <s v="POLORL EAGAN 238 EAGAN MN 327446106"/>
        <s v="Carter's"/>
        <s v="MN DIR ACH TYPE CONTRIB ID CO MN DIR ACH ACH ECC WEB ACH Trace 04651 327536354"/>
        <s v="LS SAN JUAN SPORTS CREEDE CO 327985893"/>
        <s v="TOMMYKNOCKER TAVERN CREEDE CO 327985894"/>
        <s v="CARGILL COCOA TYPE DIR DEP ID CO CARGILL COCOA ACH ECC PPD ACH Trace 64192 328255059"/>
        <s v="MHCHILDCARELLC TYPE DUES ID CO MHCHILDCARELLC ACH ECC PPD ACH Trace 18699 328055134"/>
        <s v="To Share 12 328622183"/>
        <s v="AVOADVOCARE INTL 8005424800 TX 329163763"/>
        <s v="DISCOVER TYPE EPAYMENT ID CO DISCOVER ACH ECC WEB ACH Trace 51260 329242914"/>
        <s v="AVOADVOCARE INTL 8005424800 TX 329455457"/>
        <s v="RUSSELL HE 1 OF 2 PA STRIPECOM MN 329455456"/>
        <s v="Withdrawal THANK YOU FOR YOUR MORTGAGE APPLICATION 329364143"/>
        <s v="YETI COOLERS 5123949384 TX 329455459"/>
        <s v="MHCHILDCARELLC TYPE DUES ID CO MHCHILDCARELLC ACH ECC PPD ACH Trace 61880 329517828"/>
        <s v="PAYMENT THANK YOU 330418320"/>
        <s v="Withdrawal Home payment to card 979181 329824392"/>
        <s v="CARGILL COCOA TYPE DIR DEP ID CO CARGILL COCOA ACH ECC PPD ACH Trace 27359 329960761"/>
        <s v="KAUFMAN HALL TYPE DIRECT DEP ID CO KAUFMAN HALL ACH ECC PPD ACH Trace 33315 330220170"/>
        <s v="To Share 12 330084317"/>
        <s v="DVS MNLARS SERVICE FEE 6512966297 MN 330505980"/>
        <s v="DVS ONLINE TAB RENEWAL 6512966297 MN 330505981"/>
        <s v="From Share 70 330752260"/>
        <s v="To Loan 02 330627218"/>
        <s v="Eden Prairie Scheels"/>
        <s v="SOTA CLOTHING EDEN PRAIRI MN 331050065"/>
        <s v="TEQUILA BUTCHER CHANHASSEN MN 331050062"/>
        <s v="College Savings TYPE ACH ID 550895818 CO College Savings ACH ECC PPD ACH Trace 26955"/>
        <s v="MHCHILDCARELLC TYPE DUES ID CO MHCHILDCARELLC ACH ECC PPD ACH Trace 85450"/>
        <s v="PAYMENT"/>
        <s v="PAYMENT THANK YOU"/>
        <s v="Withdrawal Home payment to card 979181"/>
        <s v="BCU MORTGAGE TYPE LOAN PAYMT ID 9DRAFTING CO BCU MORTGAGE ACH ECC WEB ACH Trace 85298"/>
        <s v="State Parks"/>
        <s v="CARGILL COCOA TYPE DIR DEP ID CO CARGILL COCOA ACH ECC PPD ACH Trace 29864"/>
        <s v="Consulting Radiologists, Ltd."/>
        <s v="CHIPOTLE MEXICAN GRL"/>
        <s v="NORTH COOP NORTH COOP STRIPECOM MN"/>
        <s v="TCH of The Day Liquor Inc"/>
        <s v="YETI HOLDINGS INCORPORAT"/>
        <s v="MHCHILDCARELLC TYPE DUES ID CO MHCHILDCARELLC ACH ECC PPD ACH Trace 05955"/>
        <s v="CONNECTED ANALYT TYPE DIRECT DEP ID CO CONNECTED ANALYT ACH ECC PPD ACH Trace 36021"/>
        <s v="RIDGEVIEW MEDICAL CNTRCLWACONIA MN"/>
        <s v="RUTTGERS BAY LAKE LODGE 2186782885 MN"/>
        <s v="CONNECTED ANALYT"/>
        <s v="Tfr JPMORGAN CHASE BAN, CONNECTED ANALYT"/>
        <s v="To Share 12"/>
        <s v="To Share 70"/>
        <s v="BANK INT 071620-081520 SCHWAB PREMIER BANK"/>
        <s v="Birchs"/>
        <s v="CPENERGY MNGCO TYPE MGC ACH EB ID 176051140S CO CPENERGY MNGCO ACH ECC WEB ACH Trace 01809"/>
        <s v="MN DIR ACH TYPE CONTRIB ID CO MN DIR ACH ACH ECC WEB ACH Trace 51871"/>
        <s v="CARGILL COCOA TYPE DIR DEP ID CO CARGILL COCOA ACH ECC PPD ACH Trace 90715"/>
        <s v="JOURNAL FRM 89316103"/>
        <s v="MHCHILDCARELLC TYPE DUES ID CO MHCHILDCARELLC ACH ECC PPD ACH Trace 70218"/>
        <s v="Banana Visa TYPE BR EPAY ID CO Banana Visa ACH ECC WEB ACH Trace 27370"/>
        <s v="Lonesome Pine LLC"/>
        <s v="RUTTGERS DINING DEERWOOD MN"/>
        <s v="RUTTGERS RETAIL AND GOLF DEERWOOD MN"/>
        <s v="TST RED COW 50TH ST MINNEAPOLIS MN"/>
        <s v="MHCHILDCARELLC TYPE DUES ID CO MHCHILDCARELLC ACH ECC PPD ACH Trace 07207"/>
        <s v="KAIS SUSHI GRILL 9529232456 MN"/>
        <s v="RUSSELL HE 2 OF 2 PA STRIPECOM MN"/>
        <s v="SQ THE SOCIAL ICE CREAM Victoria MN"/>
        <s v="CONNECTED ANALYT TYPE DIRECT DEP ID CO CONNECTED ANALYT ACH ECC PPD ACH Trace 94092"/>
        <s v="SQ BUDDY BOY FINE BARBEQMinnetrista MN"/>
        <s v="Vrbo Fee 5127590902 TX"/>
        <s v="MHCHILDCARELLC TYPE DUES ID CO MHCHILDCARELLC ACH ECC PPD ACH Trace 42103"/>
        <s v="School of the WiseVictoria, MN #00000019"/>
        <s v="College Savings TYPE ACH ID 550895818 CO College Savings ACH ECC PPD ACH Trace 92474"/>
        <s v="From Share 70"/>
        <s v="Miyabi"/>
        <s v="MOUNTAIN RESORTS LLC 9708751933 CO"/>
        <s v="To Loan 02"/>
        <s v="AVOADVOCARE INTL 8005424800 TX"/>
        <s v="CARGILL COCOA TYPE DIR DEP ID CO CARGILL COCOA ACH ECC PPD ACH Trace 94501"/>
        <s v="RIDGEVIEW MEDICAL CNTHOSWACONIA MN"/>
        <s v="TIMBERWALL LANDSCAPE M VICTORIA MN"/>
        <s v="MN DVS MLR TYPE epayment ID 416007162P CO MN DVS MLR ACH ECC WEB ACH Trace 30426"/>
        <s v="BCU MORTGAGE TYPE LOAN PAYMT ID 9DRAFTING CO BCU MORTGAGE ACH ECC WEB ACH Trace 88856"/>
        <s v="MN DVS MLR TYPE conv fee ID E987654321 CO MN DVS MLR ACH ECC WEB ACH Trace 68965"/>
        <s v="Clark Oil"/>
        <s v="FBPAY AlzheimersAsso donatefbcomCA"/>
        <s v="MOUNTAIN TAP BREWERY STEAMBOAT SPRCO"/>
        <s v="MOUNTAIN VIEW CAR WASH STEAMBOAT SPRCO"/>
        <s v="Phillips"/>
        <s v="SALT LIM SALT LIM WWWSUCKALIMECO"/>
        <s v="SQ STEAMBOAT WHISKEY COMSteamboat SprCO"/>
        <s v="TST CRUISERS SUB SHOP STEAMBOAT SPRCO"/>
        <s v="WT GAS GO LAGRANGE WY"/>
        <s v="7TH STREET LIQUOR STEAMBOAT SPRCO"/>
        <s v="LAUNDRY STEAMBOAT CO"/>
        <s v="STEAMBOAT DISCOUNT LIQUORSTEAMBOAT SPRCO"/>
        <s v="STEAMBOAT PARKING STRUCTU9708976111 CO"/>
        <s v="MHCHILDCARELLC TYPE DUES ID CO MHCHILDCARELLC ACH ECC PPD ACH Trace 01956"/>
        <s v="Sheraton"/>
        <s v="THUNDERHEAD STEAMBOAT STEAMBOAT SPRCO"/>
        <s v="TIMBER AND TORCH STEAMBOAT SPRCO"/>
        <s v="Venmo Cashout Tran"/>
        <s v="SQ KIWI INTERNATIONAL DEAvon CO"/>
        <s v="Tumbleweed Liqu 57 Edwa Edwards"/>
        <s v="Avon"/>
        <s v="Electronic Withdrawal"/>
        <s v="Jeffrey Bryan T"/>
        <s v="PTARMIGAN SPORTS EDWARDS CO"/>
        <s v="VAIL VALLEY ANGLERS EDWARDS CO"/>
        <s v="Wire"/>
        <s v="Withdrawal WIRE TRANSFER FEE"/>
        <s v="RAOCOPARKSWILDLIFE CO DENVER CO TX"/>
        <s v="CONNECTED ANALYT TYPE DIRECT DEP ID CO CONNECTED ANALYT ACH ECC PPD ACH Trace 65555"/>
        <s v="Envy Brewing"/>
        <s v="Joe's Liquors"/>
        <s v="MAVERIK 502 ALLIANCE NE"/>
        <s v="SONNENALP BULLY RANCH VAIL CO"/>
        <s v="TST BLUE MOOSE BEAVER BEAVER CREEK CO"/>
        <s v="Cenex"/>
        <s v="MHCHILDCARELLC TYPE DUES ID CO MHCHILDCARELLC ACH ECC PPD ACH Trace 45745"/>
        <s v="DISCOVER TYPE EPAYMENT ID CO DISCOVER ACH ECC WEB ACH Trace 56486"/>
        <s v="TST OLIVE S FRESH EXCELS6122324677 MN"/>
        <s v="BANK INT 081620-091520 SCHWAB PREMIER BANK"/>
        <s v="CARGILL COCOA TYPE DIR DEP ID CO CARGILL COCOA ACH ECC PPD ACH Trace 22473"/>
        <s v="CPENERGY MNGCO TYPE MGC ACH EB ID 176051140S CO CPENERGY MNGCO ACH ECC WEB ACH Trace 65657"/>
        <s v="MN DIR ACH TYPE CONTRIB ID CO MN DIR ACH ACH ECC WEB ACH Trace 11205"/>
        <s v="RAKU RESTAURANT EDINA MN"/>
        <s v="Maynard's"/>
        <s v="A TO Z RENTAL 9529448040 MN"/>
        <s v="Menard"/>
        <s v="MHCHILDCARELLC TYPE DUES ID CO MHCHILDCARELLC ACH ECC PPD ACH Trace 35958"/>
        <s v="Ridgeview Medical Cnthoswaconia"/>
        <s v="DOORDASH*KAIS SUSHI &amp; 6506819470 CAAPPLE PAY ENDIN"/>
        <s v="Clutch Brewing Co LLC"/>
        <s v="CONNECTED ANALYT TYPE DIRECT DEP ID CO CONNECTED ANALYT ACH ECC PPD ACH Trace 90799"/>
        <s v="MHCHILDCARELLC TYPE DUES ID CO MHCHILDCARELLC ACH ECC PPD ACH Trace 11534"/>
        <s v="DISCOVER TYPE EPAYMENT ID CO DISCOVER ACH ECC WEB ACH Trace 31598"/>
        <s v="ATM FEE REFUND"/>
        <s v="CARGILL COCOA TYPE DIR DEP ID CO CARGILL COCOA ACH ECC PPD ACH Trace 30192"/>
        <s v="Timberwall Landscape M"/>
        <s v="College Savings TYPE ACH ID 550895818 CO College Savings ACH ECC PPD ACH Trace 96055"/>
        <s v="Plunkett's Pest Control, Inc."/>
        <s v="SQ THE WILSON WEIGH Excelsior MN"/>
        <s v="Minnesota Makers"/>
        <s v="IN NORTHERN FIRE GRILLINMINNETONKA MN"/>
        <s v="Restaurant.com"/>
        <s v="MHCHILDCARELLC TYPE DUES ID CO MHCHILDCARELLC ACH ECC PPD ACH Trace 85615"/>
        <s v="Initial InterestEscrow Deposit"/>
        <s v="11003 NORTH LOOP MINNEAPOLIS MN"/>
        <s v="ARBORETUM APPLEHOUSE CHASKA MN"/>
        <s v="BANK INT 091620-101520 SCHWAB PREMIER BANK"/>
        <s v="BOBSTORESCOM 8663332627 PA"/>
        <s v="BONFES SOUTH SAINT PMN"/>
        <s v="CAMPSAVER 8778836276 IL"/>
        <s v="CARGILL COCOA TYPE DIR DEP ID CO CARGILL COCOA ACH ECC PPD ACH Trace 21729"/>
        <s v="CARGILL COCOA TYPE DIR DEP ID CO CARGILL COCOA ACH ECC PPD ACH Trace 63125"/>
        <s v="CHECK 2180 2180"/>
        <s v="CHECK 2182 2182"/>
        <s v="CONNECTED ANALYT TYPE DIRECT DEP ID CO CONNECTED ANALYT ACH ECC PPD ACH Trace 26453"/>
        <s v="CONNECTED ANALYT TYPE DIRECT DEP ID CO CONNECTED ANALYT ACH ECC PPD ACH Trace 59449"/>
        <s v="CPENERGY MNGCO TYPE MGC ACH EB ID 176051140S CO CPENERGY MNGCO ACH ECC WEB ACH Trace 95950"/>
        <s v="Dean Vending Inc"/>
        <s v="Deposit by Check Deposit Anywhere check deposit"/>
        <s v="FREEGEEK TWINCITIES FREEGEEKTWINCMN"/>
        <s v="MACKENTHUNSMEATSANDDELI ST BONIFACIUSMN"/>
        <s v="MHCHILDCARELLC TYPE DUES ID CO MHCHILDCARELLC ACH ECC PPD ACH Trace 02204"/>
        <s v="MHCHILDCARELLC TYPE DUES ID CO MHCHILDCARELLC ACH ECC PPD ACH Trace 16096"/>
        <s v="MHCHILDCARELLC TYPE DUES ID CO MHCHILDCARELLC ACH ECC PPD ACH Trace 80504"/>
        <s v="MN DIR ACH TYPE CONTRIB ID CO MN DIR ACH ACH ECC WEB ACH Trace 71599"/>
        <s v="MPLSMETERSAPP 8090 6123437275 MN"/>
        <s v="Scheels Eden Prairie"/>
        <s v="SCHEELS EDEN PRAIRIE EDEN PRAIRIE MN"/>
        <s v="Spoon and Stable"/>
        <s v="SQ NORTH STAR DONUTS Victoria MN"/>
        <s v="SQ THE WILSON WEIGH Saint Paul MN"/>
        <s v="To Share 01"/>
        <s v="USAVEND AT AIR SERV CHANHASSEN MN"/>
        <s v="VICTORIA BURROW 9522065050 MN"/>
        <s v="VIOC 010018 SHOREWOOD MN"/>
        <s v="Draft 2126 Tracer 990002258"/>
        <s v="Back Channel Brewing Collectiv"/>
        <s v="College Savings TYPE ACH ID 550895818 CO College Savings ACH ECC PPD ACH Trace 24598"/>
        <s v="Principal Curtailment"/>
        <s v="TST LYN 65 RICHFIELD MN"/>
        <s v="MHCHILDCARELLC TYPE DUES ID CO MHCHILDCARELLC ACH ECC PPD ACH Trace 37638"/>
        <s v="DISCOVER TYPE EPAYMENT ID CO DISCOVER ACH ECC WEB ACH Trace 04894"/>
        <s v="LOWES COS INC"/>
        <s v="SQ LUCE LINE ORCHARD ANDWatertown MN"/>
        <s v="TST RED COW 1ST AVE 6122380050 MN"/>
        <s v="WEBONLINE 8009880886 MA"/>
        <s v="Actcity Chanhassen Mn"/>
        <s v="Banana Visa TYPE BR EPAY ID CO Banana Visa ACH ECC WEB ACH Trace 38742"/>
        <s v="BANK INT 101620-111520 SCHWAB PREMIER BANK"/>
        <s v="BONFES 6513326633 MN"/>
        <s v="CARGILL COCOA TYPE DIR DEP ID CO CARGILL COCOA ACH ECC PPD ACH Trace 33959"/>
        <s v="CARGILL COCOA TYPE DIR DEP ID CO CARGILL COCOA ACH ECC PPD ACH Trace 54295"/>
        <s v="CHECK 2183 2183"/>
        <s v="CONNECTED ANALYT TYPE DIRECT DEP ID CO CONNECTED ANALYT ACH ECC PPD ACH Trace 50360"/>
        <s v="CONNECTED ANALYT TYPE DIRECT DEP ID CO CONNECTED ANALYT ACH ECC PPD ACH Trace 99171"/>
        <s v="Fields"/>
        <s v="LAKEWINDS CHANHASSEN CHANHASSEN MN"/>
        <s v="MAGERS AND QUINN BOOKSELLMINNEAPOLIS MN"/>
        <s v="MHCHILDCARELLC TYPE DUES ID CO MHCHILDCARELLC ACH ECC PPD ACH Trace 00898"/>
        <s v="MHCHILDCARELLC TYPE DUES ID CO MHCHILDCARELLC ACH ECC PPD ACH Trace 11581"/>
        <s v="MHCHILDCARELLC TYPE DUES ID CO MHCHILDCARELLC ACH ECC PPD ACH Trace 82900"/>
        <s v="Mister Car Wash"/>
        <s v="MN DIR ACH TYPE CONTRIB ID CO MN DIR ACH ACH ECC WEB ACH Trace 01531"/>
        <s v="Online Retail Promo"/>
        <s v="PAJARITO EDINA EDINA MN"/>
        <s v="PLUCKD M PLUCKD M WWWFIRSTDRAFMN"/>
        <s v="Prime Video209G32JL0 8888023080 WA"/>
        <s v="Prime VideoJV4RX4WX3 8888023080 WA"/>
        <s v="Rally House 8006455409 KS"/>
        <s v="RED DRESS BOUTIQUE 7064258707 GA"/>
        <s v="The Garden Patch"/>
        <s v="Draft 2130 Tracer XX3255"/>
        <s v="College Savings TYPE ACH ID 550895818 CO College Savings ACH ECC PPD ACH Trace 94544"/>
        <s v="Gap"/>
        <s v="Kohl's"/>
        <s v="MHCHILDCARELLC TYPE DUES ID CO MHCHILDCARELLC ACH ECC PPD ACH Trace 69445"/>
        <s v="REDCOWMNCOM REDCOWMNCOM MN"/>
        <s v="SP SOTASTICK CO SOTASTICKCOMMN"/>
        <s v="REICOM 8004264840 WA"/>
        <s v="YETI COOLERS 5123949384 TX"/>
        <s v="THYMES WWWTHYMESCOMN"/>
        <s v="MHCHILDCARELLC TYPE DUES ID CO MHCHILDCARELLC ACH ECC PPD ACH Trace 19209"/>
        <s v="SP SHARP KITCHEN HTTPSSHARPKITCA"/>
        <s v="CARGILL COCOA TYPE DIR DEP ID CO CARGILL COCOA ACH ECC PPD ACH Trace 66903"/>
        <s v="Banana Visa TYPE BR EPAY ID CO Banana Visa ACH ECC WEB ACH Trace 15489"/>
        <s v="Banana Visa TYPE BR EPAY ID CO Banana Visa ACH ECC WEB ACH Trace 89122"/>
        <s v="BANK INT 111620-121520 SCHWAB PREMIER BANK"/>
        <s v="BLACK SHEEP PIZZA N 6123422625 MN"/>
        <s v="Burger King"/>
        <s v="CARGILL COCOA TYPE DIR DEP ID CO CARGILL COCOA ACH ECC PPD ACH Trace 56599"/>
        <s v="CHECK 2184 2184"/>
        <s v="City of Minnetonka"/>
        <s v="College Savings ACH 201224"/>
        <s v="College Savings ACH 201228"/>
        <s v="CONNECTED ANALYT TYPE DIRECT DEP ID CO CONNECTED ANALYT ACH ECC PPD ACH Trace 23754"/>
        <s v="CONNECTED ANALYT TYPE DIRECT DEP ID CO CONNECTED ANALYT ACH ECC PPD ACH Trace 42483"/>
        <s v="CPENERGY MNGCO TYPE MGC ACH EB ID 176051140S CO CPENERGY MNGCO ACH ECC WEB ACH Trace 48839"/>
        <s v="Deposit Mobile Banking"/>
        <s v="DOROTHY LANE MARKET ECO9375355707 OH"/>
        <s v="HAMMER MADE RIDGEDALE MINNEAPOLIS MN"/>
        <s v="Haskells"/>
        <s v="JOURNAL FRM 89315308"/>
        <s v="JOURNAL TO 26778130"/>
        <s v="JOURNAL TO 94319131"/>
        <s v="Jungle Kitchen"/>
        <s v="MHCHILDCARELLC TYPE DUES ID CO MHCHILDCARELLC ACH ECC PPD ACH Trace 01230"/>
        <s v="MHCHILDCARELLC TYPE DUES ID CO MHCHILDCARELLC ACH ECC PPD ACH Trace 50354"/>
        <s v="MHCHILDCARELLC TYPE DUES ID CO MHCHILDCARELLC ACH ECC PPD ACH Trace 69504"/>
        <s v="MN DIR ACH CONTRIB 122820"/>
        <s v="MN DIR ACH CONTRIB 122920"/>
        <s v="MN DIR ACH TYPE CONTRIB ID CO MN DIR ACH ACH ECC WEB ACH Trace 17343"/>
        <s v="NORTH LOOP WINE AND SPIR MINNEAPOLIS MN"/>
        <s v="SCHWAB INTL INDEX FUND"/>
        <s v="Total Wine"/>
        <s v="TST LYN 65 6123535501 MN"/>
        <s v="TYPE TRANSFER ID PAYPALSD11 CO PAYPAL ACH ECC PPD ACH Trace 20152"/>
        <s v="DISCOVER TYPE EPAYMENT ID CO DISCOVER ACH ECC WEB ACH Trace 24810"/>
        <s v="DISCOVER TYPE EPAYMENT ID CO DISCOVER ACH ECC WEB ACH Trace 58049"/>
        <s v="RED WAGON RED WAGON STRIPECOM MN"/>
        <s v="MERCATOCO MERCATOCO HTTPSWWWMERCNY"/>
        <s v="DISCOVER TYPE EPAYMENT ID CO DISCOVER ACH ECC WEB ACH Trace 59454"/>
        <s v="Bachman's"/>
        <s v="College Savings TYPE ACH ID 550895818 CO College Savings ACH ECC PPD ACH Trace 85767"/>
        <s v="SQUARE INC CLASS A"/>
        <s v="Draft 2203 Tracer 990003866"/>
        <s v="Best Cleaners, Inc"/>
        <s v="MHCHILDCARELLC TYPE DUES ID CO MHCHILDCARELLC ACH ECC PPD ACH Trace 36126"/>
        <s v="CARGILL COCOA TYPE DIR DEP ID CO CARGILL COCOA ACH ECC PPD ACH Trace 31448"/>
        <s v="Airbnb"/>
        <s v="MN COURT HENNEPIN 6512813219 MN"/>
        <s v="MN COURT HENNEPIN WEB SER8668014757 IN"/>
        <s v="MHCHILDCARELLC TYPE DUES ID CO MHCHILDCARELLC ACH ECC PPD ACH Trace 11813"/>
        <s v="Minnetonka Community Church"/>
        <s v="CONNECTED ANALYT TYPE DIRECT DEP ID CO CONNECTED ANALYT ACH ECC PPD ACH Trace 18540"/>
        <s v="PT PARK NICOLLET WEB 9529937672 MN"/>
        <s v="Buffalo Wild Wings"/>
        <s v="LUTSEN MOUNTAINS 9999999999 MN"/>
        <s v="Total Wine More"/>
        <s v="TST COPPER COW MINNETONKA MN"/>
        <s v="TEQUILA BUTCHER CHANHASSEN MN"/>
        <s v="BANK INT 121620-011521 SCHWAB PREMIER BANK"/>
        <s v="DGC PICTURE CABO CABO SAN LUCAMX"/>
        <s v="LA COMER LA CASCADA LOS CABOS MX"/>
        <s v="MN DIR ACH TYPE CONTRIB ID CO MN DIR ACH ACH ECC WEB ACH Trace 47209"/>
        <s v="TYPE TRANSFER ID PAYPALSD11 CO PAYPAL ACH ECC PPD ACH Trace 56638"/>
        <s v="CARGILL COCOA TYPE DIR DEP ID CO CARGILL COCOA ACH ECC PPD ACH Trace 30932"/>
        <s v="MHCHILDCARELLC TYPE DUES ID CO MHCHILDCARELLC ACH ECC PPD ACH Trace 78848"/>
        <s v="SUPERMERC STA CARMELA CABO SAN LUCAMX"/>
        <s v="LA TAQUIZA CABO SAN LUCAMX"/>
        <s v="CABO WABO CABO SAN LUCAMX"/>
        <s v="CLIP MXFARMACIA CIUDAD DE MEXMX"/>
        <s v="Blue"/>
        <s v="HOSP BLUE NET LOS CABOS BCSMX"/>
        <s v="REST BAR MISIONES CABO SAN LUCAMX"/>
        <s v="RESTAURANT DON MANUEL LOS CABOS BCSMX"/>
        <s v="RESTAURANT EL FARALLON LOS CABOS BCSMX"/>
        <s v="MHCHILDCARELLC TYPE DUES ID CO MHCHILDCARELLC ACH ECC PPD ACH Trace 08784"/>
        <s v="OXXO LUNAMAR LAP LOS CABOS BCSMX"/>
        <s v="REG CABOS SALIDAT876 I LOS CABOS BCSMX"/>
        <s v="CONNECTED ANALYT TYPE DIRECT DEP ID CO CONNECTED ANALYT ACH ECC PPD ACH Trace 01223"/>
        <s v="Deposit Home Ban Member Welcome Gift"/>
        <s v="Employee Benefit Type"/>
        <s v="Deposit Transfer From TRUITTCOOPER L Share 12"/>
        <s v="Withdrawal Trans To TRUITTJEFF B Share 70"/>
        <s v="Edgetek Hockey"/>
        <s v="O'Reilly Auto Parts"/>
        <s v="College Savings TYPE ACH ID 550895818 CO College Savings ACH ECC PPD ACH Trace 32941"/>
        <s v="TRUITTJEFF B TYPE Online ID CO TRUITTJEFF B ACH ECC WEB"/>
        <s v="Draft 2205 Tracer XX2294"/>
        <s v="DISCOVER TYPE EPAYMENT ID CO DISCOVER ACH ECC WEB ACH Trace 11808"/>
        <s v="Funds Transfer to Brokerage -9131"/>
        <s v="MHCHILDCARELLC TYPE DUES ID CO MHCHILDCARELLC ACH ECC PPD ACH Trace 70564"/>
        <s v="CARGILL COCOA TYPE DIR DEP ID CO CARGILL COCOA ACH ECC PPD ACH Trace 20887"/>
        <s v="CPENERGY MNGCO TYPE MGC ACH EB ID 176051140S CO CPENERGY MNGCO ACH ECC WEB ACH Trace 41444"/>
        <s v="GoFndMe Free Family s JoRedwood City CA"/>
        <s v="HBRSUBSCRIPTION 8009880886 MA"/>
        <s v="Paragon Bakery LLC"/>
        <s v="Tires Plus"/>
        <s v="ENMOTIVE EVENT REGISTRATIBUFFALO GROVEIL"/>
        <s v="Unmapped Brewing Co."/>
        <s v="Uber Eats"/>
        <s v="MHCHILDCARELLC TYPE DUES ID CO MHCHILDCARELLC ACH ECC PPD ACH Trace 10621"/>
        <s v="Carhartt"/>
        <s v="CONNECTED ANALYT TYPE DIRECT DEP ID CO CONNECTED ANALYT ACH ECC PPD ACH Trace 06101"/>
        <s v="Banana Visa TYPE BR EPAY ID CO Banana Visa ACH ECC WEB ACH Trace 95050"/>
        <s v="Cov Wayzata"/>
        <s v="BANK INT 011621-021521 SCHWAB PREMIER BANK"/>
        <s v="DISCOVER TYPE EPAYMENT ID CO DISCOVER ACH ECC WEB ACH Trace 32375"/>
        <s v="CARGILL COCOA TYPE DIR DEP ID CO CARGILL COCOA ACH ECC PPD ACH Trace 25397"/>
        <s v="MHCHILDCARELLC TYPE DUES ID CO MHCHILDCARELLC ACH ECC PPD ACH Trace 57643"/>
        <s v="Funds Transfer to Brokerage -8130"/>
        <s v="MN DIR ACH TYPE CONTRIB ID CO MN DIR ACH ACH ECC WEB ACH Trace 73791"/>
        <s v="KONA GRILL MINNETONKA MINNETONKA MN"/>
        <s v="MN DIR ACH CONTRIB 021921"/>
        <s v="Instacart"/>
        <s v="Davannis"/>
        <s v="MHCHILDCARELLC TYPE DUES ID CO MHCHILDCARELLC ACH ECC PPD ACH Trace 61699"/>
        <s v="Trails Ta Travel"/>
        <s v="Bonfes South Saint"/>
        <s v="CONNECTED ANALYT TYPE DIRECT DEP ID CO CONNECTED ANALYT ACH ECC PPD ACH Trace 75316"/>
        <s v="CPENERGY MNGCO TYPE MGC ACH EB ID 176051140S CO CPENERGY MNGCO ACH ECC WEB ACH Trace 72827"/>
        <s v="Phillips 66"/>
        <s v="TST 515 BAR GRILL WDM IA"/>
        <s v="DICKS CLOTHINGSPORTING RICHFIELD MN"/>
        <s v="RIMANN LIQUORS OF PV LLC PRAIRIE VILLAKS"/>
        <s v="TREX MART 3 LATHROP MO"/>
        <s v="College Savings TYPE ACH ID 550895818 CO College Savings ACH ECC PPD ACH Trace 66891"/>
        <s v="TST MISSION TACO JOINT KANSAS CITY MO"/>
        <s v="Draft 2206 Tracer XX2472"/>
        <s v="IHG POINTS AND CASH 8882119874 GA"/>
        <s v="MHCHILDCARELLC TYPE DUES ID CO MHCHILDCARELLC ACH ECC PPD ACH Trace 94142"/>
        <s v="Alzheimers Association"/>
        <s v="CARGILL COCOA TYPE DIR DEP ID CO CARGILL COCOA ACH ECC PPD ACH Trace 32063"/>
        <s v="GRANDMAS SALOON GRILL DULUTH MN"/>
        <s v="Tobies Station, Inc."/>
        <s v="VOYAGERSBREWINGCOMPANY GRANDMARAIS MN"/>
        <s v="CASTLE DANGER BREWING CO TWO HARBORS MN"/>
        <s v="COHO CAFE TOFTE MN"/>
        <s v="LUTSEN MOUNTAINS FB WWWLUTSENCOMN"/>
        <s v="MOUNTAIN SHOPS, INC LUTSEN MN"/>
        <s v="PAPA CHARLIES RSTRNT LUTSEN MN"/>
        <s v="SUMMIT CHALET LUTSEN MN"/>
        <s v="E&amp;G - 1012 DULUTH DULUTH MN"/>
        <s v="GRAND MARIAS LIQUOR STORE2183871630 MN"/>
        <s v="TOBIES CARIBOU 3203847968 MN"/>
        <s v="MHCHILDCARELLC TYPE DUES ID CO MHCHILDCARELLC ACH ECC PPD ACH Trace 80800"/>
        <s v="DISCOVER TYPE EPAYMENT ID CO DISCOVER ACH ECC WEB ACH Trace 73026"/>
        <s v="Wakame Sushi &amp; Asian Bistro"/>
        <s v="CONNECTED ANALYT TYPE DIRECT DEP ID CO CONNECTED ANALYT ACH ECC PPD ACH Trace 55688"/>
        <s v="BANK INT -XX1521 SCHWAB PREMIER BANK"/>
        <s v="MHCHILDCARELLC TYPE DUES ID CO MHCHILDCARELLC ACH ECC PPD ACH Trace X7985"/>
        <s v="CARGILL COCOA TYPE DIR DEP ID CO CARGILL COCOA ACH ECC PPD ACH Trace X5513"/>
        <s v="MN DIR ACH TYPE CONTRIB ID CO MN DIR ACH ACH ECC WEB ACH Trace X7949"/>
        <s v="B MOCCASIN BAR X5820 US HAYWARD"/>
        <s v="Marketplace Iga"/>
        <s v="BONFES PLUMBING HEATING ASOUTH SAINT PMN"/>
        <s v="Shell"/>
        <s v="MHCHILDCARELLC TYPE DUES ID CO MHCHILDCARELLC ACH ECC PPD ACH Trace 44258"/>
        <s v="POLYWOODCOM HTTPSWWWPOLYIN"/>
        <s v="IMMERSIVE VAN GOGH VANGOGHMSPCOIL"/>
        <s v="Inneractive Playground"/>
        <s v="SQ ROLLER GARDEN MINNEAPOLIS MN"/>
        <s v="SQ THE DAMPFWERK D MINNEAPOLIS MN"/>
        <s v="The Glow Lounge"/>
        <s v="VIOC 010042 CHANHASSEN MN"/>
        <s v="CONNECTED ANALYT TYPE DIRECT DEP ID CO CONNECTED ANALYT ACH ECC PPD ACH Trace 40983"/>
        <s v="Zappos"/>
        <s v="MHCHILDCARELLC TYPE DUES ID CO MHCHILDCARELLC ACH ECC PPD ACH Trace 49909"/>
        <s v="CARGILL INCORPOR TYPE DIRECT DEP ID CO CARGILL INCORPOR ACH ECC PPD ACH Trace 89436"/>
        <s v="College Savings TYPE ACH ID 550895818 CO College Savings ACH ECC PPD ACH Trace 87923"/>
        <s v="COOPER S FOODS CHASKA MN"/>
        <s v="Draft 2281 Tracer XX0788"/>
        <s v="CARGILL INCORPOR"/>
        <s v="Tfr JPMORGAN CHASE BAN, CARGILL INCORPOR"/>
        <s v="MHCHILDCARELLC TYPE DUES ID CO MHCHILDCARELLC ACH ECC PPD ACH Trace 68390"/>
        <s v="SP SENDJOESKCBBQ SENDJOESBARBQKS"/>
        <s v="Marathon"/>
        <s v="DISCOVER TYPE EPAYMENT ID CO DISCOVER ACH ECC WEB ACH Trace 49696"/>
        <s v="Station Pizzeria"/>
        <s v="MHCHILDCARELLC TYPE DUES ID CO MHCHILDCARELLC ACH ECC PPD ACH Trace 98967"/>
        <s v="CONNECTED ANALYT TYPE DIRECT DEP ID CO CONNECTED ANALYT ACH ECC PPD ACH Trace 46623"/>
        <s v="CONNECTED ANALYT TYPE DIRECT DEP ID CO CONNECTED ANALYT ACH ECC PPD ACH Trace 46624"/>
        <s v="RED SAUCE RED SAUCE STRIPECOM MN"/>
        <s v="CARGILL INCORPOR TYPE DIRECT DEP ID CO CARGILL INCORPOR ACH ECC PPD ACH Trace 82638"/>
        <s v="Banana Visa TYPE BR EPAY ID CO Banana Visa ACH ECC WEB ACH Trace 54188"/>
        <s v="BANK INT 031621-041521 SCHWAB PREMIER BANK"/>
        <s v="TRAVEL GUARD GROUP INC 8779348308 WI"/>
        <s v="SQ CHANHASSEN BREWING COChanhassen MN"/>
        <s v="UNITED 01623443222688009322732 TX"/>
        <s v="UNITED 01623443222698009322732 TX"/>
        <s v="MN DIR ACH TYPE CONTRIB ID CO MN MN DIR ACH TYPE CONTRIB ID CO MN DIR ACH ACH ECC WEB ACH Trace 5112"/>
        <s v="Credit Card Payment Received PAYMENT THANK YOU"/>
        <s v="Withdrawal Home payment to card XX91 Withdrawal Home payment to card 979181"/>
        <s v="Connect Your Care Deposit connectyourcare TYPE SVBCLAIMS ID E942875288 CO connectyourcare ACH ECC PP"/>
        <s v="MHCHILDCARELLC TYPE DUES ID CO M MHCHILDCARELLC TYPE DUES ID CO MHCHILDCARELLC ACH ECC PPD ACH Trace"/>
        <s v="Discover Bank DISCOVER TYPE EPAYMENT ID CO DISCOVER ACH ECC WEB ACH Trace 81636"/>
        <s v="FREEWHEEL EDEN PRAIRIE XX2223 MN FREEWHEEL EDEN PRAIRIE 6123392223 MN"/>
        <s v="MEDTRONIC TWIN CITIES HTTPSRACER MEDTRONIC TWIN CITIES HTTPSRACEROSTMA"/>
        <s v="CREEDE SNOWSHOE LODGE CREEDE CO"/>
        <s v="TST COPPER COW XX5151 MN TST COPPER COW 6083815151 MN"/>
        <s v="CONNECTED ANALYT TYPE DIRECT DEP ID CO CONNECTED ANALYT ACH ECC PPD ACH Trace 28396"/>
        <s v="Banana Republic"/>
        <s v="Cargill Inc Deposit CARGILL INCORPOR TYPE DIRECT DEP ID CO CARGILL INCORPOR ACH ECC PPD ACH Trace 07"/>
        <s v="Recreation.gov"/>
        <s v="STUBHUB INC 8667882482 CA"/>
        <s v="Interest Income 0010 APY Earned 001 040121 to 043021"/>
        <s v="Interest Income Split Rate APY Earned 154 040121 to 043021"/>
        <s v="Baxter Credit Union"/>
        <s v="College Savings TYPE ACH ID XX58 College Savings TYPE ACH ID 550895818 CO College Savings ACH ECC PP"/>
        <s v="Delaware North"/>
        <s v="HBRSUBSCRIPTION XX0886 MA HBRSUBSCRIPTION 8009880886 MA"/>
        <s v="Total Wine &amp; More"/>
        <s v="SignUp OutrunALD2021 XX1360 NJ SignUp OutrunALD2021 8883851360 NJ"/>
        <s v="GOOD DAY CAFE GOLDEN VALLEYMN"/>
        <s v="INEFFABLE BREWING COMPAN BURNSVILLE MN"/>
        <s v="Lund's"/>
        <s v="WOODENHILL1 EDINA MN"/>
        <s v="Transfer to Venmo VENMO TYPE PAYMENT ID CO VENMO ACH ECC WEB ACH Trace 32822"/>
        <s v="CONNECTED ANALYT TYPE DIRECT DEP ID CO CONNECTED ANALYT ACH ECC PPD ACH Trace 13533"/>
        <s v="Discover Bank DISCOVER TYPE EPAYMENT ID CO DISCOVER ACH ECC WEB ACH Trace 72809"/>
        <s v="Cargill Inc Deposit CARGILL INCORPOR TYPE DIRECT DEP ID CO CARGILL INCORPOR ACH ECC PPD ACH Trace 61"/>
        <s v="CenterPoint Energy"/>
        <s v="FSPSAVAGE JUMP XX8517 MN FSPSAVAGE JUMP 6126058517 MN"/>
        <s v="Water Street Inn WATERSTREET INN STILLWATER MN"/>
        <s v="TST LAGOS TACOS EXCELSIOXX8495 M TST LAGOS TACOS EXCELSIO9523008495 MN"/>
        <s v="BANK INT 041621-051521 SCHWAB PREMIER BANK"/>
        <s v="TST RED RABBIT MINNEAP6513362179 MN"/>
        <s v="Tullibee"/>
        <s v="MN DIR ACH TYPE CONTRIB ID CO MN MN DIR ACH TYPE CONTRIB ID CO MN DIR ACH ACH ECC WEB ACH Trace 7396"/>
        <s v="PSA Portal Payments XX9470 MN PSA Portal Payments 9528359470 MN"/>
        <s v="Midwest Aqua Care Inc"/>
        <s v="Federal Express"/>
        <s v="PLUNKETTS PEST CONTROL MINNEAPOL PLUNKETTS PEST CONTROL MINNEAPOLIS MN"/>
        <s v="OATLY GROUP AB FUNSPONSORED ADR 1 ADR REPS ORD SHS"/>
        <s v="CARGILL INCORPOR TYPE DIRECT DEP ID CO CARGILL INCORPOR ACH ECC PPD ACH Trace 59640"/>
        <s v="CONNECTED ANALYT TYPE DIRECT DEP ID CO CONNECTED ANALYT ACH ECC PPD ACH Trace 36704"/>
        <s v="CONNECTED ANALYT TYPE DIRECT DEP ID CO CONNECTED ANALYT ACH ECC PPD ACH Trace 36705"/>
        <s v="LOWES 00907 8664837521 NC"/>
        <s v="UNTIEDTS MINNETONKA MINNETONKA MN"/>
        <s v="LEVELUPROTI393257141 855-538-3542 MA"/>
        <s v="BOBBERS BAR DEER RIVER MN"/>
        <s v="Neste"/>
        <s v="TST YUM KITCHEN AND BAKMINNEAPOLIS MN"/>
        <s v="Usave Foods U SAVE FOODS 440 DEER RIVER MN"/>
        <s v="Interest Income Split Rate APY Earned 128 050121 to 053121"/>
        <s v="Transfer from PayPal PAYPAL TYPE TRANSFER ID PAYPALSD11 CO PAYPAL ACH ECC PPD ACH Trace 47313"/>
        <s v="TST LAGOS TACOS EXCELSIO9523008495 MN"/>
        <s v="HONK MSP 6123751301 MN"/>
        <s v="SQ GOGLOW EDINA MN"/>
        <s v="The UPS Store"/>
        <s v="Shorewood Liquor Inc"/>
        <s v="SP FREE FLY APPAREL HTTPSFREEFL SP FREE FLY APPAREL HTTPSFREEFLYASC"/>
        <s v="River Services, Inc"/>
        <s v="Deposit by Check"/>
        <s v="The Fletcher School LORD FLETCHERS SPRING PARK MN"/>
        <s v="Cargill Inc Deposit CARGILL INCORPOR TYPE DIRECT DEP ID CO CARGILL INCORPOR ACH ECC PPD ACH Trace 71"/>
        <s v="FORD MOTOR CO"/>
        <s v="Licks Unlimited"/>
        <s v="Sp Free Fly"/>
        <s v="CONNECTED ANALYT TYPE DIRECT DEP ID CO CONNECTED ANALYT ACH ECC PPD ACH Trace 18723"/>
        <s v="General Store Cafe Inc"/>
        <s v="General Store Of Minnetonka GENERALSTOREOFMINNETONKA MINNETONKA MN"/>
        <s v="HAZELWOOD FOOD DRINKSTSAINT LOUIS PMN"/>
        <s v="K TAYLOR CHASKA MN K TAYLOR CHASKA MN"/>
        <s v="Valvoline Instant Oil Change"/>
        <s v="Lakewinds Food Coop LAKEWINDS CHANHASSEN CHANHASSEN MN"/>
        <s v="SQ ENKI BREWING CO VICTORIA MN SQ ENKI BREWING CO VICTORIA MN"/>
        <s v="WINCHESTER AND RYE VICTORIA MN WINCHESTER AND RYE VICTORIA MN"/>
        <s v="CHECK 2186 2186"/>
        <s v="SCHWAB INTERMEDIATE TERMUS TRS ETF"/>
        <s v="Transfer to Venmo VENMO TYPE PAYMENT ID CO VENMO ACH ECC WEB ACH Trace 54921"/>
        <s v="BANK INT 051621-061521 SCHWAB PREMIER BANK"/>
        <s v="CVS"/>
        <s v="LATE FEE"/>
        <s v="MN DIR ACH TYPE CONTRIB ID CO MN MN DIR ACH TYPE CONTRIB ID CO MN DIR ACH ACH ECC WEB ACH Trace 2691"/>
        <s v="Cafe Zupas"/>
        <s v="LIQUOR BOY MINNEAPOLIS MN"/>
        <s v="Milios"/>
        <s v="SQ DINE11 Waconia MN"/>
        <s v="Staples"/>
        <s v="Century Theaters"/>
        <s v="Pai Iso Century"/>
        <s v="TST KASKAID CRAVE FOODMINNETONKA MN"/>
        <s v="TST THE FREEHOUSE MINNEAPOLIS MN"/>
        <s v="Westin"/>
        <s v="INTEREST CHARGE ON PURCHASES"/>
        <s v="Cargill Inc Deposit CARGILL INCORPOR TYPE DIRECT DEP ID CO CARGILL INCORPOR ACH ECC PPD ACH Trace 27"/>
        <s v="Red Dress Boutique"/>
        <s v="SP LAKE AND CO GRAND RAPID MN SP LAKE AND CO GRAND RAPID MN"/>
        <s v="SP SOTA CLOTHING SPENCEDESIGNSM SP SOTA CLOTHING SPENCEDESIGNSMN"/>
        <s v="Stillwater Olive Oil Company LLC"/>
        <s v="The Daily Grind"/>
        <s v="THE SHIRT FACTORY STILLWATER MN"/>
        <s v="CONNECTED ANALYT TYPE DIRECT DEP ID CO CONNECTED ANALYT ACH ECC PPD ACH Trace 72349"/>
        <s v="Freight House, Inc"/>
        <s v="Red Bench Bakery LLC"/>
        <s v="Surly Brewing Company TST SURLY BREWING COMPANMINNEAPOLIS MN"/>
        <s v="Transfer to Venmo VENMO TYPE PAYMENT ID CO VENMO ACH ECC WEB ACH Trace 31878"/>
        <s v="Lowe's"/>
        <s v="Interest Income Split Rate APY Earned 059 060121 to 063021"/>
        <s v="Interest Income Split Rate APY Earned 100 060121 to 063021"/>
        <s v="FAUCETCOM 8004445783 CA"/>
        <s v="CHECK 2105 2105"/>
        <s v="Potbelly Sandwich Works"/>
        <s v="TEQUILA BUTCHER AT THE C EXCELSIOR MN"/>
        <s v="Gomer's Stateline"/>
        <s v="JAYHAWK FUEL PAOLA KS"/>
        <s v="Transfer from PayPal PAYPAL TYPE TRANSFER ID PAYPALSD11 CO PAYPAL ACH ECC PPD ACH Trace 30934"/>
        <s v="AC DBC FS PIZZA KANSAS CITY MO AC DBC FS PIZZA KANSAS CITY MO"/>
        <s v="OP FARMSTEAD OVERLAND PARKKS OP FARMSTEAD OVERLAND PARKKS"/>
        <s v="Transfer to Venmo VENMO TYPE PAYMENT ID CO VENMO ACH ECC WEB ACH Trace 60501"/>
        <s v="Pilot Travel Center"/>
        <s v="Q39 South"/>
        <s v="Cargill Inc Deposit CARGILL INCORPOR TYPE DIRECT DEP ID CO CARGILL INCORPOR ACH ECC PPD ACH Trace 51"/>
        <s v="SQ SMOOTH MOVE Chaska MN"/>
        <s v="KADO NO MISEKAISEKI FURUMinneapolis MN"/>
        <s v="KAIS SUSHI GRILL CHANHASSEN MN KAIS SUSHI GRILL CHANHASSEN MN"/>
        <s v="Minneapolis, MN"/>
        <s v="SQ HONEY RYE BAKEHOUSESt Louis ParkMN"/>
        <s v="Discover Bank DISCOVER TYPE EPAYMENT ID CO DISCOVER ACH ECC WEB ACH Trace 16372"/>
        <s v="Transfer to Venmo VENMO TYPE PAYMENT ID CO VENMO ACH ECC WEB ACH Trace 40985"/>
        <s v="CONNECTED ANALYT TYPE DIRECT DEP ID CO CONNECTED ANALYT ACH ECC PPD ACH Trace 38660"/>
        <s v="CROOKED PINT CHASKA CHASKA MN"/>
        <s v="LORD FLETCHERS SPRING PARK MN"/>
        <s v="SalaryRegular Income from IRS St IRS TREAS 310 TYPE CHILDCTC ID CO IRS TREAS 310 ACH ECC PPD ACH Tra"/>
        <s v="FOX CO LLC TYPE SALE ID CO FOX C FOX CO LLC TYPE SALE ID CO FOX CO LLC ACH ECC WEB ACH Trace 88475"/>
        <s v="LS SAN JUAN SPORTS 18669321801 CO"/>
        <s v="LS TSHIRT SHOP CREEDE CO"/>
        <s v="SP CREEDE OLIVE OIL CREEDE CO"/>
        <s v="UNITED 01699305234568009322732 TX"/>
        <s v="BANK INT 061621-071521 SCHWAB PREMIER BANK"/>
        <s v="Colorado Parks And Wildlife RAOCOPARKSWILDLIFE CO DENVER CO TX"/>
        <s v="KIPS GRILL 7196580220 CO"/>
        <s v="Minneapolissaint Paul Internatio MINNEAPOLIS AIRPORT SAINT PAUL MN"/>
        <s v="RAMBLE HOUSE LLC CREEDE CO RAMBLE HOUSE LLC CREEDE CO"/>
        <s v="MN DIR ACH TYPE CONTRIB ID CO MN MN DIR ACH TYPE CONTRIB ID CO MN DIR ACH ACH ECC WEB ACH Trace 8200"/>
        <s v="LIQUID AMBITIONS LIQUOR CREEDE CO"/>
        <s v="LS SAN JUAN SPORTS XX1801 CO LS SAN JUAN SPORTS 18669321801 CO"/>
        <s v="Transfer to Venmo VENMO TYPE PAYMENT ID CO VENMO ACH ECC WEB ACH Trace 79449"/>
        <s v="Big Dogs"/>
        <s v="DoorDash.com"/>
        <s v="GRANDE PREMIUM MEATS DEL NORTE C GRANDE PREMIUM MEATS DEL NORTE CO"/>
        <s v="SQ PIZZERIA 8852 Creede CO SQ PIZZERIA 8852 Creede CO"/>
        <s v="United Airlines"/>
        <s v="Cargill Inc Deposit CARGILL INCORPOR TYPE DIRECT DEP ID CO CARGILL INCORPOR ACH ECC PPD ACH Trace 01"/>
        <s v="TST RED COW 50TH ST 6127674411 MN"/>
        <s v="SP FREE FLY APPAREL HTTPSFREEFLYASC"/>
        <s v="SQ MN STREETCAR MUSEUM Excelsior MN"/>
        <s v="SQ RED BENCH BAKERY Excelsior MN"/>
        <s v="Transfer to Venmo VENMO TYPE PAYMENT ID CO VENMO ACH ECC WEB ACH Trace 63713"/>
        <s v="Fry's Food"/>
        <s v="MINNEAPOLIS AIRPORT SAINT PAUL MN"/>
        <s v="Prime Video2E9KS5740 8888023080 WA"/>
        <s v="The Kettle Black Kitchen Phoenix AZ"/>
        <s v="84 VICS BLUE DOK 7900 QUAMOCLIT ST VICTORIA MN"/>
        <s v="85 VICS BLUE DOK 7900 QUAMOCLIT ST VICTORIA MN"/>
        <s v="86 VICS BLUE DOK 7900 QUAMOCLIT ST VICTORIA MN"/>
        <s v="CONNECTED ANALYT TYPE DIRECT DEP ID CO CONNECTED ANALYT ACH ECC PPD ACH Trace 04251"/>
        <s v="RUTTGERS BAY LAKE RESO XX2885 MN RUTTGERS BAY LAKE RESO 2186782885 MN"/>
        <s v="CARGILL INCORPOR TYPE DIRECT DEP ID CO CARGILL INCORPOR ACH ECC PPD ACH Trace 95438"/>
        <s v="Hampton Inn"/>
        <s v="IRONWOODBYHUDSONST1965 PHOENIX AZ"/>
        <s v="Interest Income Split Rate APY Earned 057 070121 to 073121"/>
        <s v="Interest Income Split Rate APY Earned 100 070121 to 073121"/>
        <s v="REDSTONE AMERICAN GRILL EDEN PRAIRIE MN"/>
        <s v="The Block"/>
        <s v="Grabbagreen"/>
        <s v="TST DUKES ON 7 MINNETONKA MN TST DUKES ON 7 MINNETONKA MN"/>
        <s v="MN COURT CARVER XX3219 MN MN COURT CARVER 6512813219 MN"/>
        <s v="Withdrawal Debit REEDS SUNNYSIDE MARINA WWWSUNNYSIDE WI Date 080321 030 7929"/>
        <s v="MN COURT CARVER SERVICE FXX4757 MN COURT CARVER SERVICE F8668014757 IN"/>
        <s v="Cargill Inc Deposit CARGILL INCORPOR TYPE DIRECT DEP ID CO CARGILL INCORPOR ACH ECC PPD ACH Trace 23"/>
        <s v="Ruttgers Bay Lake"/>
        <s v="RIDGEVIEW MEDICAL CNTRCL9524422191 MN"/>
        <s v="Transfer to Venmo VENMO TYPE PAYMENT ID CO VENMO ACH ECC WEB ACH Trace 11191"/>
        <s v="Discover Bank DISCOVER TYPE EPAYMENT ID CO DISCOVER ACH ECC WEB ACH Trace 37776"/>
        <s v="CONNECTED ANALYT TYPE DIRECT DEP ID CO CONNECTED ANALYT ACH ECC PPD ACH Trace 93020"/>
        <s v="CHECK 2106 2106"/>
        <s v="Ridgeview Medical Cntrclwaconia"/>
        <s v="TYPE TRANSFER ID PAYPALSD11 CO PAYPAL ACH ECC PPD ACH Trace 33098"/>
        <s v="Transfer to Venmo VENMO TYPE PAYMENT ID CO VENMO ACH ECC WEB ACH Trace 33056"/>
        <s v="APPLECOMUS 8006762775 CA"/>
        <s v="TST COPPER COW MINNETONKA MN TST COPPER COW MINNETONKA MN"/>
        <s v="SYNTELLIS TYPE ID CO SYNTELLIS A SYNTELLIS TYPE PAYMENT ID CO SYNTELLIS ACH ECC PPD ACH Trace 59954"/>
        <s v="BANK INT 071621-081521 SCHWAB PREMIER BANK"/>
        <s v="Brueggers"/>
        <s v="Dangerous Man Brewing Co."/>
        <s v="Something Safari LLC"/>
        <s v="Transfer to Venmo VENMO TYPE PAYMENT ID CO VENMO ACH ECC WEB ACH Trace 32892"/>
        <s v="Transfer to Venmo VENMO TYPE PAYMENT ID CO VENMO ACH ECC WEB ACH Trace 95244"/>
        <s v="Applecomus Ca"/>
        <s v="MN DIR ACH TYPE CONTRIB ID CO MN MN DIR ACH TYPE CONTRIB ID CO MN DIR ACH ACH ECC WEB ACH Trace 1898"/>
        <s v="Cargill Inc Deposit CARGILL INCORPOR TYPE DIRECT DEP ID CO CARGILL INCORPOR ACH ECC PPD ACH Trace 09"/>
        <s v="Prosource"/>
        <s v="TST FAT PANTS BREWING COEDEN PRAIRIE MN"/>
        <s v="Transfer to Venmo VENMO TYPE PAYMENT ID CO VENMO ACH ECC WEB ACH Trace 40720"/>
        <s v="COOKS O CROCUS HILL NORTMINNEAPOLIS MN"/>
        <s v="FULTON LLC MINNEAPOLIS MN FULTON LLC MINNEAPOLIS MN"/>
        <s v="x1003 NORTH LOOP MINNEAPOLIS MN 11003 NORTH LOOP MINNEAPOLIS MN"/>
        <s v="INBOUND BREWCO MINNEAPOLIS MN"/>
        <s v="SP HUMA GEL HTTPSHUMAGELTN SP HUMA GEL HTTPSHUMAGELTN"/>
        <s v="Momo Sushi LLC"/>
        <s v="LULUSCOM HTTPSWWWLULUCA"/>
        <s v="BMW"/>
        <s v="CHECK 2089 2089"/>
        <s v="Tavern 23"/>
        <s v="BLACK BEAR HOTEL CARLTON MN"/>
        <s v="BULL &amp; WREN EXCELSIOR MN"/>
        <s v="CONNECTED ANALYT TYPE DIRECT DEP ID CO CONNECTED ANALYT ACH ECC PPD ACH Trace 97781"/>
        <s v="MACKENTHUNSMEATSANDDELI ST BONIF MACKENTHUNSMEATSANDDELI ST BONIFACIUSMN"/>
        <s v="TALL PINES LIQUOR INC CARLTON MN TALL PINES LIQUOR INC CARLTON MN"/>
        <s v="BLACK BEAR CASINO RESO CARLTON M BLACK BEAR CASINO RESO CARLTON MN"/>
        <s v="NEMADJI GOLF COURSE SUPERIOR WI"/>
        <s v="Primp"/>
        <s v="Interest Income Split Rate APY Earned 048 080121 to 083121"/>
        <s v="Interest Income Split Rate APY Earned 100 080121 to 083121"/>
        <s v="LIONS TAP EDEN PRAIRIE MN LIONS TAP EDEN PRAIRIE MN"/>
        <s v="CARGILL INCORPOR TYPE DIRECT DEP ID CO CARGILL INCORPOR ACH ECC PPD ACH Trace 91893"/>
        <s v="Free People"/>
        <s v="Lucky"/>
        <s v="Reed's"/>
        <s v="Reeds Sunnyside Marine"/>
        <s v="TST SUNSETS AT PARADISE BALSAM LAKE WI"/>
        <s v="CHECK 2100 2100"/>
        <s v="Transfer from PayPal PAYPAL TYPE TRANSFER ID PAYPALSD11 CO PAYPAL ACH ECC PPD ACH Trace 80695"/>
        <s v="B R COHN WINERY GLEN ELLEN CA"/>
        <s v="London"/>
        <s v="The Chiroport"/>
        <s v="TST* GARDEN COURT CAFE GLEN ELLEN CAAPPLE PAY ENDI"/>
        <s v="Arby's"/>
        <s v="Chateau St. Jean"/>
        <s v="GLEN ELLEN VILLAGE GLEN ELLEN CA GLEN ELLEN VILLAGE GLEN ELLEN CA"/>
        <s v="SHOYU XX3558 MN SHOYU 8665083558 MN"/>
        <s v="TST* BOTTEGA NAPA VALLEY YOUNTVILLE CA"/>
        <s v="WAKABA SAN FRANCISCOCA0002305843014555255164"/>
        <s v="CONNECTED ANALYT TYPE DIRECT DEP ID CO CONNECTED ANALYT ACH ECC PPD ACH Trace 40743"/>
        <s v="San Francisco Ca."/>
        <s v="TST* RED RABBIT - MINNEA MINNEAPOLIS MNAPPLE PAY E"/>
        <s v="Compass Books Cafe"/>
        <s v="MSP AIRPORT PARKING SAINT PAUL MN"/>
        <s v="Discover Bank DISCOVER TYPE EPAYMENT ID CO DISCOVER ACH ECC WEB ACH Trace 26115"/>
        <s v="Transfer to Venmo VENMO TYPE PAYMENT ID CO VENMO ACH ECC WEB ACH Trace 72010"/>
        <s v="Hilton"/>
        <s v="TST* OLIVE S FRESH EXCEL EXCELSIOR MN"/>
        <s v="BANK INT 081621-091521 SCHWAB PREMIER BANK"/>
        <s v="Cargill Inc Deposit CARGILL INCORPOR TYPE DIRECT DEP ID CO CARGILL INCORPOR ACH ECC PPD ACH Trace 35"/>
        <s v="Mall of America"/>
        <s v="BESTCLEANERSEXCELSIOR EXCELSIOR BESTCLEANERSEXCELSIOR EXCELSIOR MN"/>
        <s v="Check Paid #1181"/>
        <s v="Jac &amp; Violet"/>
        <s v="MN DIR ACH TYPE CONTRIB ID CO MN MN DIR ACH TYPE CONTRIB ID CO MN DIR ACH ACH ECC WEB ACH Trace 6316"/>
        <s v="SQ BABY BLUE Excelsior MN"/>
        <s v="SQ FIREHOUSE FOODS FOOD Excelsior MN"/>
        <s v="SQ SUNNY DAYS COMFORT FOArlington MN"/>
        <s v="Yum Kitchen and Bakery"/>
        <s v="Discover Bank DISCOVER TYPE EPAYMENT ID CO DISCOVER ACH ECC WEB ACH Trace 33665"/>
        <s v="Culver's"/>
        <s v="Prime Video2C7EB1OP1 8888023080 WA"/>
        <s v="TAIWAN SEMICONDUCTR FSPONSORED ADR 1 ADR REPS 5 ORD SHS"/>
        <s v="Ticketmaster"/>
        <s v="HMCOM 8554667467 NY"/>
        <s v="LAT14 MINNEAPOLIS MN"/>
        <s v="Ace Hardware"/>
        <s v="Aramark"/>
        <s v="SP ROOLEE HTTPSROOLEEMUT SP ROOLEE HTTPSROOLEEMUT"/>
        <s v="Under Pressure Inc"/>
        <s v="U.S. Bank Stadium"/>
        <s v="WPYRise Bagel Co 8554693729 MN"/>
        <s v="CHECK 2107 2107"/>
        <s v="CONNECTED ANALYT TYPE DIRECT DEP ID CO CONNECTED ANALYT ACH ECC PPD ACH Trace 57769"/>
        <s v="Facebook"/>
        <s v="Transfer from PayPal PAYPAL TYPE TRANSFER ID PAYPALSD11 CO PAYPAL ACH ECC PPD ACH Trace 29462"/>
        <s v="Cargill Inc Deposit CARGILL INCORPOR TYPE DIRECT DEP ID CO CARGILL INCORPOR ACH ECC PPD ACH Trace 81"/>
        <s v="CHECK 2108 2108"/>
        <s v="Interest Income Split Rate APY Earned 074 090121 to 093021"/>
        <s v="KIDS HAIR CH CHANHASSEN MN KIDS HAIR CH CHANHASSEN MN"/>
        <s v="SQ EXECLSIOR MASONIC LODExcelsior MN"/>
        <s v="FOX CO LLC TYPE SALE ID CO FOX CO LLC ACH ECC WEB ACH Trace 15235"/>
        <s v="RIDGES AT SAND CREEK PRO9524922644 MN"/>
        <s v="TYPE TRANSFER ID PAYPALSD11 CO PAYPAL ACH ECC PPD ACH Trace 00007"/>
        <s v="TST RED COW 1ST AVE MINNEAPOLIS MN"/>
        <s v="MODSYCOM WWWMODSYCOMCA MODSYCOM WWWMODSYCOMCA"/>
        <s v="Transfer from PayPal PAYPAL TYPE TRANSFER ID PAYPALSD11 CO PAYPAL ACH ECC PPD ACH Trace 11369"/>
        <s v="Discover Bank DISCOVER TYPE EPAYMENT ID CO DISCOVER ACH ECC WEB ACH Trace 69851"/>
        <s v="Artistic Floral"/>
        <s v="In Detail"/>
        <s v="Samsonite"/>
        <s v="BANK INT 091621-101521 SCHWAB PREMIER BANK"/>
        <s v="Benevity Inc BENEVITY DONATIONS 8552377875 FL"/>
        <s v="Cargill Inc Deposit CARGILL INCORPOR TYPE DIRECT DEP ID CO CARGILL INCORPOR ACH ECC PPD ACH Trace 53"/>
        <s v="Cargill Inc Deposit CARGILL INCORPOR TYPE DIRECT DEP ID CO CARGILL INCORPOR ACH ECC PPD ACH Trace 56"/>
        <s v="CHECK 2201 2201"/>
        <s v="CHECK 2341 2341"/>
        <s v="CONNECTED ANALYT TYPE DIRECT DEP ID CO CONNECTED ANALYT ACH ECC PPD ACH Trace 86346"/>
        <s v="GoFundMe Vince Glasgow MeRedwood City CA"/>
        <s v="Hmcom Ny"/>
        <s v="Interest Income Split Rate APY Earned 100 100121 to 103121"/>
        <s v="Interest Income Split Rate APY Earned 106 100121 to 103121"/>
        <s v="KAIS SUSHI GRILL CHANHASSEN MN"/>
        <s v="MN DIR ACH TYPE CONTRIB ID CO MN MN DIR ACH TYPE CONTRIB ID CO MN DIR ACH ACH ECC WEB ACH Trace 8784"/>
        <s v="NESPRESSO USA 8886377737 NY"/>
        <s v="Peloton Cycles PELOTON MEMBERSHIP HTTPSWWWONEPNY"/>
        <s v="Punchbowl Social"/>
        <s v="RAILROADING HERITAGE OF XX9812 M RAILROADING HERITAGE OF 6517659812 MN"/>
        <s v="Scholastic"/>
        <s v="Sir Smoke A Lot Bbq"/>
        <s v="Sp Roolee Httpsrooleemut"/>
        <s v="SQ SOTALICIOUS Excelsior MN SQ SOTALICIOUS Excelsior MN"/>
        <s v="SYNTELLIS PERFOR"/>
        <s v="SYNTELLIS PERFOR TYPE DIRECT DEP ID CO SYNTELLIS PERFOR ACH ECC PPD ACH Trace 24582"/>
        <s v="Tfr JPMORGAN CHASE BAN, SYNTELLIS PERFOR"/>
        <s v="TOCK ATTRAVAIL KITCHE TRAVAILKIT TOCK ATTRAVAIL KITCHE TRAVAILKITCH IL"/>
        <s v="Transfer from PayPal PAYPAL TYPE TRANSFER ID PAYPALSD11 CO PAYPAL ACH ECC PPD ACH Trace 08985"/>
        <s v="TRAVAIL KITCHEN ROBBINSDALE MN TRAVAIL KITCHEN ROBBINSDALE MN"/>
        <s v="TST LAGOS TACOS EXCELSIOEXCELSIOR MN"/>
        <s v="Twin Cities In Motion"/>
        <s v="SYNTELLIS TYPE ID CO SYNTELLIS A SYNTELLIS TYPE PAYMENT ID CO SYNTELLIS ACH ECC PPD ACH Trace 77812"/>
        <s v="Transfer to Venmo VENMO TYPE PAYMENT ID CO VENMO ACH ECC WEB ACH Trace 42408"/>
        <s v="Transfer to Venmo VENMO TYPE PAYMENT ID CO VENMO ACH ECC WEB ACH Trace 82107"/>
        <s v="Discover Bank DISCOVER TYPE EPAYMENT ID CO DISCOVER ACH ECC WEB ACH Trace 28825"/>
        <s v="Handsome Hog"/>
        <s v="Treasurydirect TREASURY DIRECT TYPE TREAS DRCT ID CO TREASURY DIRECT ACH ECC PPD ACH Trace 00726"/>
        <s v="BENEVITY DONATIONS 8552377875 FL"/>
        <s v="NORTHSTAR REGIONAL 9529743999 MN"/>
        <s v="LIVING SPACES MOBILE httpsipchaCA"/>
        <s v="Transfer from PayPal PAYPAL TYPE TRANSFER ID PAYPALSD11 CO PAYPAL ACH ECC PPD ACH Trace 90782"/>
        <s v="Transfer to Venmo VENMO TYPE PAYMENT ID CO VENMO ACH ECC WEB ACH Trace 08199"/>
        <s v="Detello's Pizza &amp; Pasta"/>
        <s v="SNOWCOMVAIL RESORTS SKI8888380495 CO"/>
        <s v="Transfer from PayPal PAYPAL TYPE TRANSFER ID PAYPALSD11 CO PAYPAL ACH ECC PPD ACH Trace 89522"/>
        <s v="ASHA GOLDCOAST DELAWAR CHICAGO IL"/>
        <s v="BANK INT 101621-111521 SCHWAB PREMIER BANK"/>
        <s v="Cargill Inc Deposit CARGILL INCORPOR TYPE DIRECT DEP ID CO CARGILL INCORPOR ACH ECC PPD ACH Trace 36"/>
        <s v="Cargill Inc Deposit CARGILL INCORPOR TYPE DIRECT DEP ID CO CARGILL INCORPOR ACH ECC PPD ACH Trace 50"/>
        <s v="COCINA DEL BARRIO MINNEAPOLIS MN"/>
        <s v="Foodhall FOOD HALL P1 8665083558 MN"/>
        <s v="GIBSONS BAR STEAKHOUSE CHICAGO IL"/>
        <s v="Gray Home &amp; Lifestyle Llc"/>
        <s v="Happy Garden"/>
        <s v="Hotel Chicago"/>
        <s v="Hugo's"/>
        <s v="IDEMIA TSA PRECHECK BILLERICA MA"/>
        <s v="Interactive"/>
        <s v="Macy's"/>
        <s v="MINTED LLC MINTEDCOM CA"/>
        <s v="MN DIR ACH TYPE CONTRIB ID CO MN MN DIR ACH TYPE CONTRIB ID CO MN DIR ACH ACH ECC WEB ACH Trace 8001"/>
        <s v="MODSYCOM WWWMODSYCOMCA"/>
        <s v="Olives"/>
        <s v="Parlor Pizza Bar"/>
        <s v="REDCOWMNCOM REDCOWMNCOM MN REDCOWMNCOM REDCOWMNCOM MN"/>
        <s v="Rey Azteca Mexican Restaurant"/>
        <s v="Rosebud"/>
        <s v="SCHWAB INTERNATIONAL INDEX"/>
        <s v="SCHWAB S&amp;P 500 INDEX"/>
        <s v="SCHWAB TOTAL STOCK MARKET INDEX"/>
        <s v="Shellis News"/>
        <s v="SP TRUE PLAY STRSLDE HTTPSSTAIRSLIUT"/>
        <s v="SP UNRLCO UNRLMYSHOPIFMN"/>
        <s v="Spring Hill Suites"/>
        <s v="SQ ZOES GONE BANANAS Excelsior MN"/>
        <s v="SYNTELLIS PERFOR TYPE DIRECT DEP ID CO SYNTELLIS PERFOR ACH ECC PPD ACH Trace 02397"/>
        <s v="SYNTELLIS PERFOR TYPE DIRECT DEP ID CO SYNTELLIS PERFOR ACH ECC PPD ACH Trace 84623"/>
        <s v="Thompson"/>
        <s v="Topgolf"/>
        <s v="Treasurydirect TREASURY DIRECT TYPE TREAS DRCT ID CO TREASURY DIRECT ACH ECC PPD ACH Trace 01003"/>
        <s v="TST DUKES ON 7 MINNETONKA MN"/>
        <s v="Uber.com"/>
        <s v="VENTRA VENDING 03401 CHICAGO IL"/>
        <s v="VENTRA VENDING 12104 CHICAGO IL"/>
        <s v="WAYZATA CAFE WAYZATA MN"/>
        <s v="WAYZATA COFFEE WAYZATA MN"/>
        <s v="ZEROREZ 9522248084 MN"/>
        <s v="YETI 18332259384 5123949384 DE"/>
        <s v="JURASSIC QUEST SHOW XX0030 TX JURASSIC QUEST SHOW 3 9363200030 TX"/>
        <s v="Transfer to Venmo VENMO TYPE PAYMENT ID CO VENMO ACH ECC WEB ACH Trace 42724"/>
        <s v="Transfer to Venmo VENMO TYPE PAYMENT ID CO VENMO ACH ECC WEB ACH Trace 92303"/>
        <s v="Cargill Inc Deposit CARGILL INCORPOR TYPE DIRECT DEP ID CO CARGILL INCORPOR ACH ECC PPD ACH Trace 05"/>
        <s v="PELOTON MEMBERSHIP HTTPSWWWONEPNY"/>
        <s v="Transfer from PayPal PAYPAL TYPE TRANSFER ID PAYPALSD11 CO PAYPAL ACH ECC PPD ACH Trace 53434"/>
        <s v="06 455 Pond Promenade Chanhassen MN"/>
        <s v="ACTChaskaComCtr XX3176 MN ACTChaskaComCtr 9524483176 MN"/>
        <s v="BANK INT 111621-121521 SCHWAB PREMIER BANK"/>
        <s v="Best Cleaners"/>
        <s v="Bonfes Plumbing Heating &amp; Air Services"/>
        <s v="BUCA EDEN PRAIRIE MN"/>
        <s v="BUCK HILL SKI AREA BURNSVILLE MN"/>
        <s v="Canteen Vending"/>
        <s v="Coop North"/>
        <s v="FLEET FARM 3200 CARVER MN"/>
        <s v="Hey Day Lower Bricktown Oklahoma CityOK"/>
        <s v="JOEY NOVAS EXCELSIOR MN JOEY NOVAS EXCELSIOR MN"/>
        <s v="MICHAEL MURPHYS OKLAHOMA CITYOK"/>
        <s v="Michaels"/>
        <s v="Milano"/>
        <s v="MN DIR ACH TYPE CONTRIB ID CO MN MN DIR ACH TYPE CONTRIB ID CO MN DIR ACH NAME 577 1 ACH ECC WEB ACH"/>
        <s v="MN LAND ARBORETUM WWWARBORETUMMN"/>
        <s v="Modsycom Wwwmodsycomca Modsycom"/>
        <s v="National Car"/>
        <s v="NORTH COOP NORTH COOP sburks827livMN"/>
        <s v="of Minnesota"/>
        <s v="Parking Management Corp"/>
        <s v="PHOTODAY ORDER HTTPSWWWPHOTFL"/>
        <s v="PORTSIDE STILLWATER MN"/>
        <s v="Revival"/>
        <s v="SCHWAB US LARGE-CAP GROWTH IDX"/>
        <s v="SMM WEB TNEW XX9803 MN SMM WEB TNEW 6512659803 MN"/>
        <s v="ST BONI LIQUOR STORE 9524461818 MN"/>
        <s v="SYNTELLIS PERFOR TYPE DIRECT DEP ID CO SYNTELLIS PERFOR ACH ECC PPD ACH Trace 29969"/>
        <s v="SYNTELLIS PERFOR TYPE DIRECT DEP ID CO SYNTELLIS PERFOR ACH ECC PPD ACH Trace 39234"/>
        <s v="TIFFS TREATS OKC 2146414377 OK"/>
        <s v="Transfer from PayPal PAYPAL TYPE TRANSFER ID PAYPALSD11 CO PAYPAL ACH ECC PPD ACH Trace 23948"/>
        <s v="Transfer from PayPal PAYPAL TYPE TRANSFER ID PAYPALSD11 CO PAYPAL ACH ECC PPD ACH Trace 33761"/>
        <s v="Transfer from PayPal PAYPAL TYPE TRANSFER ID PAYPALSD11 CO PAYPAL ACH ECC PPD ACH Trace 43136"/>
        <s v="Treasurydirect TREASURY DIRECT TYPE TREAS DRCT ID CO TREASURY DIRECT ACH ECC PPD ACH Trace 00990"/>
        <s v="TST BOMBAY PIZZA KITCHENEDEN PRAIRIE MN"/>
        <s v="U.S. Bank"/>
        <s v="Wings Financial"/>
        <s v="Discover Bank DISCOVER TYPE EPAYMENT ID CO DISCOVER NAME TRUITT JEFF ACH ECC WEB ACH Trace 47552"/>
        <s v="Transfer to Venmo VENMO TYPE PAYMENT ID CO VENMO ACH ECC WEB ACH Trace 23621"/>
        <s v="Transfer to Venmo VENMO TYPE PAYMENT ID CO VENMO ACH ECC WEB ACH Trace 57728"/>
        <s v="Transfer to Venmo VENMO TYPE PAYMENT ID CO VENMO ACH ECC WEB ACH Trace 74986"/>
        <s v="Transfer to Venmo VENMO TYPE PAYMENT ID CO VENMO NAME BRITNEY TRUITT ACH ECC WEB ACH Trace 23741"/>
        <s v="Transfer to Venmo VENMO TYPE PAYMENT ID CO VENMO NAME BRITNEY TRUITT ACH ECC WEB ACH Trace 30085"/>
        <s v="L.L. Bean"/>
        <s v="MAVERIK CNTRY STRE 199 SALT LAKE CTYUT"/>
        <s v="Park City Parks"/>
        <s v="SMM AUTO PARKING RAMP XX9444 MN SMM AUTO PARKING RAMP 6512219444 MN"/>
        <s v="State Liquor Store"/>
        <s v="Utah Brewers Cooperative, L.C."/>
        <s v="College Savings TYPE ACH ID XX58 College Savings TYPE ACH ID 550895818 CO College Savings NAME BRITN"/>
        <s v="DUGINS WEST PARK CITY UT"/>
        <s v="Firewood"/>
        <s v="HIGH WEST WHISKEY XX8300 UT HIGH WEST WHISKEY 14356498300 UT"/>
        <s v="MN DIR ACH TYPE CONTRIB ID CO MN MN DIR ACH TYPE CONTRIB ID CO MN DIR ACH NAME 219 1 ACH ECC WEB ACH"/>
        <s v="OLIVE TWEED 18014715658 UT"/>
        <s v="PARK CITY FB PARK CITY UT PARK CITY FB PARK CITY UT"/>
        <s v="PARK CITY SOUVENIR CO SALT LAKE PARK CITY SOUVENIR CO SALT LAKE CITUT"/>
        <s v="Transfer to Venmo VENMO TYPE PAYMENT ID CO VENMO NAME JEFF TRUITT ACH ECC WEB ACH Trace 31598"/>
        <s v="Transfer to Venmo VENMO TYPE PAYMENT ID CO VENMO NAME BRITNEY TRUITT ACH ECC WEB ACH Trace 91582"/>
        <s v="Transfer to Venmo VENMO TYPE PAYMENT ID CO VENMO NAME BRITNEY TRUITT ACH ECC WEB ACH Trace 94227"/>
        <s v="Transfer to Venmo VENMO TYPE PAYMENT ID CO VENMO NAME JEFF TRUITT ACH ECC WEB ACH Trace 08231"/>
        <s v="Transfer to Venmo VENMO TYPE PAYMENT ID CO VENMO NAME JEFF TRUITT ACH ECC WEB ACH Trace 08495"/>
        <s v="Cargill Inc Deposit CARGILL INCORPOR TYPE DIRECT DEP ID CO CARGILL INCORPOR ACH ECC PPD ACH Trace 38"/>
        <s v="TAZA CHANHASSEN MN TAZA CHANHASSEN MN"/>
        <s v="Charter Bank 455 Pond P Chanhassen"/>
        <s v="Coinbase.com Npcjumy"/>
        <s v="General Minnetonka Generalstoreofminnetonka"/>
        <s v="Minnwest Bank"/>
        <s v="True Play Strslde"/>
        <s v="TST SMOKE ON THE WATER OKAUCHEE WI"/>
        <s v="SYNTELLIS PERFOR TYPE DIRECT DEP ID CO SYNTELLIS PERFOR ACH ECC PPD ACH Trace 91979"/>
        <s v="MN DIR ACH TYPE CONTRIB ID CO MN MN DIR ACH TYPE CONTRIB ID CO MN DIR ACH NAME 734 1 ACH ECC WEB ACH"/>
        <s v="WEST BAY CLUB BAY HOUSE ESTERO F WEST BAY CLUB BAY HOUSE ESTERO FL"/>
        <s v="RSW BEACHES TRAVELMART FORT MYER RSW BEACHES TRAVELMART FORT MYERS FL"/>
        <s v="UNRLCO UNRLMYSHOPIFMN UNRLCO UNRLMYSHOPIFMN"/>
        <s v="Transfer to Venmo VENMO TYPE PAYMENT ID CO VENMO NAME BRITNEY TRUITT ACH ECC WEB ACH Trace 94439"/>
        <s v="Cargill Inc Deposit CARGILL INCORPOR TYPE DIRECT DEP ID CO CARGILL INCORPOR ACH ECC PPD ACH Trace 42"/>
        <s v="Maynards Restaurant MAYNARDS EXCELSIOR EXCELSIOR MN"/>
        <s v="Transfer to Venmo VENMO TYPE PAYMENT ID CO VENMO NAME BRITNEY TRUITT ACH ECC WEB ACH Trace 88616"/>
        <s v="BULL WREN EXCELSIOR MN BULL WREN EXCELSIOR MN"/>
        <s v="Inside Edge Golf"/>
        <s v="KAIS SUSHI AND GRILL MINNETONKA KAIS SUSHI AND GRILL MINNETONKA MN"/>
        <s v="SQ STEP CHILD LLC Minneapolis MN SQ STEP CHILD LLC Minneapolis MN"/>
        <s v="SYNTELLIS PERFOR TYPE DIRECT DEP ID CO SYNTELLIS PERFOR ACH ECC PPD ACH Trace 65372"/>
        <s v="Tavern 4&amp;5"/>
        <s v="COWBOY JACKS DOWNTOWN MINNEAPOLIS MN"/>
        <s v="Mac's"/>
        <s v="Circle K"/>
        <s v="Rally House Ks"/>
        <s v="Ramp B B RAMP 8066 MINNEAPOLIS MN"/>
        <s v="MONTE CARLO MINNEAPOLIS MN"/>
        <s v="SQ RUBYS ROOST VICTORIAVictoria MN"/>
        <s v="C3 YOUTH LACROSSE WWWCHASKALACMN C3 YOUTH LACROSSE WWWCHASKALACMN"/>
        <s v="PLAZA RAMP 8069 MINNEAPOLIS MN PLAZA RAMP 8069 MINNEAPOLIS MN"/>
        <s v="US Lacrosse Inc"/>
        <s v="AMZN MKTP US*7N3NX6ZF3 AMZN.COM/BILLWA_x000a_278ND7YX5KW"/>
        <s v="SQ *ENKI BREWING COMPA VICTORIA MN_x000a_0002305843015181345790"/>
        <s v="AMZN MKTP US*4B5MA8073 AMZN.COM/BILLWA_x000a_MV8BRWDVYA7"/>
        <s v="Bruegger's"/>
        <s v="CORVINO SUPPER CLUB XX3301 MO CORVINO SUPPER CLUB 9137083301 MO"/>
        <s v="Gina Marias Pizza"/>
        <s v="SYNTELLIS PERFOR TYPE DIRECT DEP ID CO SYNTELLIS PERFOR ACH ECC PPD ACH Trace 40276"/>
        <s v="AMZN MKTP US*TE0LF5RL3 AMZN.COM/BILLWA_x000a_2W0TPYA4XLK"/>
        <s v="Girl Scouts"/>
        <s v="AMAZON.COM*1U2QK71Z3 AMZN.COM/BILLWA_x000a_HFUU4C7BO4J"/>
        <s v="ACTChaskaComCtr 9524483176 MN"/>
        <s v="CARGILL INCORPOR TYPE DIRECT DEP ID CO CARGILL INCORPOR ACH ECC PPD ACH Trace 52147"/>
        <s v="Payment to Nordstrom"/>
        <s v="EMPLOYEE BENEFIT TYPE EBC ID CO"/>
        <s v="MN DIR ACH TYPE CONTRIB ID CO MN"/>
        <s v="Withdrawal Home Pmt to card XX91"/>
        <s v="WAYNES FOODS PLUS DANBURY WI WAYNES FOODS PLUS DANBURY WI"/>
        <s v="BDC CHEESE STORE GRANTSBURG WI"/>
        <s v="Pizza Pub"/>
        <s v="TYPE TRANSFER ID PAYPALSD11 CO PAYPAL ACH ECC PPD ACH Trace 03346"/>
        <s v="Payment to Banana Republic"/>
        <s v="SYNTELLIS TYPE PAYMENT  ID  CO S"/>
        <s v="AMZN MKTP US*1I2WT2XL1 AMZN.COM/BILLWA_x000a_763RBXH4RB0"/>
        <s v="Childrens Museum"/>
        <s v="CITY OF CHANHASS TYPE UTIL BILL"/>
        <s v="Transfer to Venmo"/>
        <s v="Lancer"/>
        <s v="MHCHILDCARELLC TYPE DUES ID CO M"/>
        <s v="CHECK  2342"/>
        <s v="TAVERN 4 &amp; 5 EDEN PRAIRIE MN"/>
        <s v="THE MARKER HOTEL XX5193 FL"/>
        <s v="NETFLIX.COM NETFLIX.COM CA_x000a_NETFLIX.COM"/>
        <s v="AMZN MKTP US*1I3061YQ1 AMZN.COM/BILLWA_x000a_6YBXNTHYVL7"/>
        <s v="Personalization Mall"/>
        <s v="SYNTELLIS PERFOR TYPE DIRECT DEP"/>
        <s v="The Home Depot"/>
        <s v="PAYMENT  THANK YOU"/>
        <s v="AMZN MKTP US*1I31L4W90 AMZN.COM/BILLWA_x000a_14ZUJ5HRDRV"/>
        <s v="BUCK HILL WEBSITE 9524357174 MN"/>
        <s v="Hazelwood Food &amp; Drink LLC"/>
        <s v="INEFFABLE BREWING COMPANYBURNSVILLE MN"/>
        <s v="Victoria's Secret"/>
        <s v="Payment to Baxter Credit Union"/>
        <s v="AMAZON MUSIC*1W0VS5C80 888-802-3080 WA_x000a_33KGFZKXKQE"/>
        <s v="ANTHROPOLOGIECOM        PHILADEL"/>
        <s v="CHECK  2343"/>
        <s v="College Savings TYPE ACH ID XX58"/>
        <s v="Transfer to PayPal"/>
        <s v="Cleaning"/>
        <s v="Cargill Inc Deposit CARGILL INCORPOR TYPE DIRECT DEP ID CO CARGILL INCORPOR ACH ECC PPD ACH Trace 60"/>
        <s v="AMAZON.COM AMZN.COM/BILLWA_x000a_4KT01BMIH49"/>
        <s v="AMAZON.COM*1I5WL1Y02 AMZN.COM/BILLWA_x000a_47HZKXB4BLQ"/>
        <s v="EVEREVE - 60 HOPKINS MN"/>
        <s v="PUNCH BOWL SOCIAL MINNEA SAINT LOUIS PMN"/>
        <s v="6SMITH WAYZATA MN"/>
        <s v="IVS VENDING MASSAGE HOPKINS MN"/>
        <s v="PRIME VIDEO*1W6XW7FQ2 888-802-3080 WA_x000a_5Q5HZ1UXAXQ"/>
        <s v="Total Wine  More"/>
        <s v="TST* THE LOOP SLP SAINT LOUIS PMN"/>
        <s v="Delta Air Lines"/>
        <s v="Hammer Made"/>
        <s v="Kay Jewelers"/>
        <s v="Trader Joes"/>
        <s v="CHECK  Processed Check  PASSPORT"/>
        <s v="Lutsen Mountains"/>
        <s v="Peloton Cycles"/>
        <s v="SQ STEAMOLOGY MOBILE DETWayzata"/>
        <s v="Payment to Xcel Energy"/>
        <s v="MSP CAMDEN FOOD XX1162 SAINT PAU"/>
        <s v="Transfer to Venmo VENMO TYPE PAYMENT ID CO VENMO NAME BRITNEY TRUITT ACH ECC WEB ACH Trace 63230"/>
        <s v="Duluth Trading Co"/>
        <s v="ATL CNBC ATLANTA GA"/>
        <s v="Bluefin Grille"/>
        <s v="CENTURYLINK SIMPLE MONROE LA"/>
        <s v="TOBIES STATION INC HINCKLEY MN"/>
        <s v="TST CASTLE DANGER BREWERTWO HARB"/>
        <s v="TST FITGERS BREWHOUSE DULUTH MN"/>
        <s v="Credit Card Payment Received"/>
        <s v="eBay IncZWX0ZELX TYPE PAYMENTS"/>
        <s v="Holiday Stationstores"/>
        <s v="LAKE SUPERIOR TRADING GRAND MARA"/>
        <s v="TOBIES CARIBOU XX7968 MN"/>
        <s v="ANGRY TROUT CAFE 2183871265 MN"/>
        <s v="CASHBACK BONUS REDEMPTION PYMT/STMT CRDT"/>
        <s v="Crisp  Green"/>
        <s v="MOGULS GRILLE AND TAP XX8060 MN"/>
        <s v="Payment to Discover Bank"/>
        <s v="KAI'S SUSHI AND GRILL MINNETONKA MN"/>
        <s v="Payment to CenterPoint Energy"/>
        <s v="AMZN Mktp US1N7NV6TB1 Amzncombil"/>
        <s v="AMZN Mktp US1Z0AP7IQ0 Amzncombil"/>
        <s v="Cargill Inc Deposit"/>
        <s v="eBay IncHGHXGMRL TYPE PAYMENTS I"/>
        <s v="Amazon Marketplace"/>
        <s v="BONFES PLUMBING HEATING ASOUTH S"/>
        <s v="Maynards Restaurant"/>
        <s v="North Coop"/>
        <s v="Race Roster Canada RACE ROSTER HTTPSRACEROSTMA"/>
        <s v="BUFFALO WILD WINGS 0088 CHANHASSEN MN"/>
        <s v="CARGILL INCORPOR TYPE   ID  CO C"/>
        <s v="GERTEN GRNHS FUNDRAISING XX1501"/>
        <s v="Great Mandarin Restaurant"/>
        <s v="Sq Eden Prarie"/>
        <s v="SQ EDEN PRARIE CENTER FUEden Pra"/>
        <s v="Transfer to Facebook Pay"/>
        <s v="TST RED WAGON PIZZA CO XX7147 MN"/>
        <s v="Payment to Target"/>
        <s v="Tax Payment to Turbotax"/>
        <s v="DSW"/>
        <s v="eBay"/>
        <s v="Tax Payment to Minnesota Departm"/>
        <s v="CARGILL INCORPOR TYPE DIRECT DEP"/>
        <s v="eBay TYPE PAYOUT  ID   CO eBay A"/>
        <s v="Evereve"/>
        <s v="Interest Income"/>
        <s v="AMAZON MUSIC*168MY6VK2 888-802-3080 WA_x000a_51YQP6E8HHP"/>
        <s v="PEKARNA MEAT MARKET JORDAN MN"/>
        <s v="WILD RUFFLE 6128055138 MN"/>
        <s v="HBRSUBSCRIPTION XX0886 MA"/>
        <s v="IN MORLEYS MAPLE SYRUP XX2301 WI"/>
        <s v="Minnesota State Parks"/>
        <s v="Internal Revenue Service Deposit"/>
        <s v="Lunds  Byerlys"/>
        <s v="MOUSSE SPARKLING WINE CO JORDAN"/>
        <s v="HM"/>
        <s v="MSP HUDSON ST2295 SAINT PAUL MN"/>
        <s v="Noodles  Company"/>
        <s v="PRIMP EXCELSIOR XX1049 MN"/>
        <s v="Roka Akor"/>
        <s v="BOTTLE ROCKET TERM 1 C ST PAUL M"/>
        <s v="Jimmy Johns"/>
        <s v="Nespresso"/>
        <s v="Scholastic Corporation"/>
        <s v="TOMMY BAHAMA 613 CHICAGO IL"/>
        <s v="PARLOR PIZZA W KINZIE   CHICAGO"/>
        <s v="DON RAMON STREET TACOS SHAKOPEE"/>
        <s v="Old Town Pour House"/>
        <s v="SQ BADGER HILL BREWING Shakopee"/>
        <s v="TST UNMAPPED BREWING COMINNETONK"/>
        <s v="Uber"/>
        <s v="Polywood"/>
        <s v="ST BONI LIQUOR STORE XX1818 MN"/>
        <s v="MISTER CAR WASH 611 EDEN PRAIRIE MN"/>
        <s v="Northstar Regional"/>
        <s v="Transfer to Venmo VENMO TYPE PAYMENT ID CO VENMO NAME BRITNEY TRUITT ACH ECC WEB ACH Trace 94658"/>
        <s v="Dominos Pizza"/>
        <s v="EVEREVE 1 MINNEAPOLIS MN"/>
        <s v="Payment to Treasurydirectgov"/>
        <s v="ALLIED PARKING WTC DAI MINNEAPOLIS MN"/>
        <s v="Reservationscom"/>
        <s v="SQ J  S BREAKAWAY CORP gosqcom C"/>
        <s v="Suja Juice"/>
        <s v="Vineyards"/>
        <s v="Chipotle Mexican Grill"/>
        <s v="DNCSS MN TWINS CONCESS MINNEAPOLIS MN_x000a_02326B"/>
        <s v="TST* BLVD MINNETONKA MN"/>
        <s v="Country Club Lanes"/>
        <s v="Type Online Id"/>
        <s v="City of Waconia"/>
        <s v="SYNTELLIS PERFOR TYPE DIRECT DEP ID CO SYNTELLIS PERFOR ACH ECC PPD ACH Trace 80021"/>
        <s v="Cargill Inc Deposit CARGILL INCORPOR TYPE DIRECT DEP ID CO CARGILL INCORPOR ACH ECC PPD ACH Trace 90"/>
        <s v="Company Store"/>
        <s v="Treasurydirectgov TREASURY DIRECT TYPE TREAS DRCT ID CO TREASURY DIRECT ACH ECC PPD ACH Trace 03993"/>
        <s v="EVEREVE  60             HOPKINS"/>
        <s v="LUNDSBYERLYS CHANH      CHANHASS"/>
        <s v="AMZN Mktp US1Q9AW1NN2 Amzncombil"/>
        <s v="AMAZON MUSIC*1Q24K80L2 888-802-3080 WA_x000a_4NSAVB50RI5"/>
        <s v="City Of Edina"/>
        <s v="Ie Italian Eatery"/>
        <s v="Lululemon Athletica"/>
        <s v="SQ BOOM ISLAND BREWING CMinneton"/>
        <s v="Vineyard Vines"/>
        <s v="All Seasons Garment Care Excelsi"/>
        <s v="SignUp OutrunALD2021 XX1360 NJ"/>
        <s v="VINEYARD VINES LLC XX4982 CT"/>
        <s v="ADELES EXCELSIOR MN ADELES EXCELSIOR MN"/>
        <s v="THE HOME DEPOT #2825 CHASKA MN"/>
        <s v="FULTON, LLC MINNEAPOLIS MN"/>
        <s v="SP TOP FORM DESIGN WWWTOPFORMDEW"/>
        <s v="FLOYDS BAR AND GRILL VICTORIA MN"/>
        <s v="BP#9267972HWY 13 BP SAVAGE MN"/>
        <s v="MAYNARDS EXCELSIOR THE EXCELSIOR"/>
        <s v="I WOK PHO SAVAGE MN"/>
        <s v="TST Red Wagon Pizza Co Minneapol"/>
        <s v="Deposit by Check Deposit Anywher"/>
        <s v="Payment to Waste management"/>
        <s v="RANDYS ELECTRIC MINNEAPOLIS MN"/>
        <s v="RVTEDINA PUBLIC SCHOOLS XX3900 M"/>
        <s v="The Als Association"/>
        <s v="ELITE NAILS LLC CHANHASSEN MN"/>
        <s v="FIRE AND NICE ALEHOUSE MINNEAPOL"/>
        <s v="Payment to CenturyLink"/>
        <s v="PEOPLES ORGANIC MINNETONKA MN"/>
        <s v="AMZN Mktp US1L7SK9NS2 Amzncombil"/>
        <s v="SQ EXCELSIOR BREWING COMExcelsio"/>
        <s v="TONKADALE GREENHOUSE XX6480 MN"/>
        <s v="Us Lacrosse"/>
        <s v="SP SENDJOESKCBBQ SENDJOESBARBQKS SP SENDJOESKCBBQ SENDJOESBARBQKS"/>
        <s v="Culvers"/>
        <s v="TONKADALE GREENHOUSE MINNETONKA"/>
        <s v="CHIPOTLE 0431 CHANHASSEN MN"/>
        <s v="PRESCHOOL SMILES XX1827 MN"/>
        <s v="Stitch Fix"/>
        <s v="AMZN Mktp US1L7WN0DG2 Amzncombil"/>
        <s v="SQ ENKI EVENTS Victoria MN"/>
        <s v="70 RIVER VALLEYK270632 103 E CED"/>
        <s v="AMZN Mktp US1L5BO0W00 Amzncombil"/>
        <s v="Caseys General Stores"/>
        <s v="PRESCHOOL SMILES 1XX8276MN"/>
        <s v="Root River Rod Co"/>
        <s v="Scheels All Sports"/>
        <s v="Schoolkidzcom"/>
        <s v="Taquera"/>
        <s v="TST* CRAVE FOOD &amp; DRINK MINNEAPOLIS MN"/>
        <s v="Pedal Pushers Cafe"/>
        <s v="SYLVAN BREWING LLC LANESBORO MN"/>
        <s v="Deposit Transfer From TRUITTBRIT"/>
        <s v="Withdrawal Trans To TRUITTJEFF B"/>
        <s v="Payment to American Express"/>
        <s v="JACK PINE BREWERY BAXTER MN"/>
        <s v="King Tobaccobaxter"/>
        <s v="ZORBAZ ON GULL LAKE NISSWA MN"/>
        <s v="MOREY'S SEAFOOD MARKETS BAXTER MN"/>
        <s v="BAR HARBOR LAKE SHORE MN"/>
        <s v="BCSMINNETONKA COMMUNITY XX6800 M"/>
        <s v="GULL LAKE MARINA LAKESHORE MN_x000a_N742128299324959NV"/>
        <s v="GULL LAKE MARINA LAKESHORE MN_x000a_N752128328305679NV"/>
        <s v="WESTSIDE LIQUOR OF BAXTERBAXTER"/>
        <s v="KWIK TRIP 00001495691 SAINT CLOUD MN"/>
        <s v="AMZN Mktp US1X5YT5LZ0 Amzncombil"/>
        <s v="Split Rate APY Earned  100 05012"/>
        <s v="AMAZON MUSIC*5I5K121W3 888-802-3080 WA_x000a_4WTNABW2X6S"/>
        <s v="BANANA REPUBLIC ONLINE  88827789"/>
        <s v="CARIBOU COFFEE 1435     SAINT CL"/>
        <s v="JEFFREY BRYAN T TYPE P2P  ID   C"/>
        <s v="Patagonia Direct Inc    80063864"/>
        <s v="YETI 18332259384      5123949384"/>
        <s v="CUB FOODS 1636          SHOREWOO"/>
        <s v="KIDS HAIR CH             CHANHAS"/>
        <s v="PAYPAL TYPE INST XFER  ID PAYPAL"/>
        <s v="VENMO TYPE PAYMENT  ID   CO VENM"/>
        <s v="TST Lolas Lakehouse Waconia MN"/>
        <s v="Free Fly Apparel"/>
        <s v="TST* KHALUNA MINNEAPOLIS MN_x000a_00055789007350753578AA"/>
        <s v="Wendys"/>
        <s v="Transfer from PayPal"/>
        <s v="Brewery"/>
        <s v="HOLIDAY STATIONS 0340 CHASKA MN_x000a_APPLE PAY ENDING IN 8856"/>
        <s v="Wisconsin Department Of Natural"/>
        <s v="Wisconsin Dnr Service ChargesFee"/>
        <s v="BIRCHS ON THE LAKE LONG LAKE MN"/>
        <s v="Noom"/>
        <s v="Oraldna"/>
        <s v="SQ LAKE MINNETONKA EXCELExcelsio"/>
        <s v="SQ MN FAVES DBA YUMMY TUExcelsio"/>
        <s v="DIRECTPAY FULL BALANCE"/>
        <s v="TOCK ATKADO MISE kadonomisec IL"/>
        <s v="HOLIDAY STATIONS 0217 EDINA MN_x000a_APPLE PAY ENDING IN 8856"/>
        <s v="AMAZON.COM*JC6F49YZ3 AMZN.COM/BILLWA_x000a_440AX8WVGUX"/>
        <s v="AmazoncomLV9LA9ZZ3     Amzncombi"/>
        <s v="LULULEMONCOM            87726393"/>
        <s v="AMZN Mktp USQA3QH1PV3   Amzncomb"/>
        <s v="AMZN Mktp USYM3KB9353   Amzncomb"/>
        <s v="AMZN Mktp USA258Y41C3 Amzncombil"/>
        <s v="STONEBROOKE GOLF CLUB SHAKOPEE MN"/>
        <s v="The Company Store"/>
        <s v="The Mustard Seed"/>
        <s v="AMZN MKTP US*RZ30I11B3 AMZN.COM/BILLWA_x000a_SXP0H81EJON"/>
        <s v="GoFundMe Donate to help sRedwood"/>
        <s v="Tommy Bahama"/>
        <s v="AMZN MKTP US*CZ6LL9YJ3 AMZN.COM/BILLWA_x000a_1F9OBDANONO"/>
        <s v="AMZN Mktp US3F6BA43Z3 Amzncombil"/>
        <s v="Midwest Aqua Care"/>
        <s v="MN DRIVER AND VEHICLE XXXXX3298"/>
        <s v="NASHVILLE COOP SAINT PAUL MN"/>
        <s v="TST* BOROUGH AND PARLOUR MINNEAPOLIS MN"/>
        <s v="Payment to City Of Saint Paul"/>
        <s v="CK HOLIDAY  06340       CHASKA"/>
        <s v="KADO NO MISEKAISEKI FURUMinneapo"/>
        <s v="KWIK TRIP  88600008862   CHASKA"/>
        <s v="MONTE CARLO              MINNEAP"/>
        <s v="PAYPAL TYPE TRANSFER  ID PAYPALS"/>
        <s v="SPEEDWAY 04159           EDEN PR"/>
        <s v="THE HOME DEPOT 2825     CHASKA"/>
        <s v="TOTAL WINE AND MORE      CHANHAS"/>
        <s v="AMZN MKTP US*XP9DU6L93 AMZN.COM/BILLWA_x000a_2PP2PZINRW5"/>
        <s v="Northbound Smokehouse Brewpub"/>
        <s v="Siteone Landscape Supply SITEONE LLC1038 6129193130 MN"/>
        <s v="TST* ETTA CHICAGO IL"/>
        <s v="AMZN Mktp USJU9CC9PT3 Amzncombil"/>
        <s v="AMZN Mktp USWU8CB0WC3   Amzncomb"/>
        <s v="Cabin Fever Sporting GoodVictori"/>
        <s v="JIMMY JOHNS 923  ECO   CHANHASSE"/>
        <s v="AMAZON MUSIC*SJ5FX6WK3 888-802-3080 WA_x000a_115JK319OHI"/>
        <s v="AMZN Mktp US1L64I5LY3   Amzncomb"/>
        <s v="BCSMINNETONKA COMMUNITY 95240168"/>
        <s v="CHIPOTLE ONLINE          CHIPOTL"/>
        <s v="LAKEWINDS  CHANHASSEN   CHANHASS"/>
        <s v="SCHEELS EDEN PRAIRIE     EDEN PR"/>
        <s v="TARGET        00002204   EDEN PR"/>
        <s v="TOP TEN LIQUORS          CHANHAS"/>
        <s v="WALGREENS 12044         EDEN PRA"/>
        <s v="LUCKY SEVEN GENERAL STOREBALSAM"/>
        <s v="AMZN MKTP US*RK29967P3 AMZN.COM/BILLWA_x000a_4YIG0DYF1TN"/>
        <s v="AVOADVOCARE INTL        80054248"/>
        <s v="CHECK  2152"/>
        <s v="THIRSTY OTTER TAVERN     7154853"/>
        <s v="AMAZON.COM*SP3JO0OO3 AMZN.COM/BILLWA_x000a_3KVG0MU99Y7"/>
        <s v="ST CROIX FALLS CINEMA    ST CROI"/>
        <s v="ATT W318 58845          CHANHASS"/>
        <s v="BROWNS CAR WASH          CHANHAS"/>
        <s v="Etsycom  TwoBeesBabyBou718855795"/>
        <s v="49 WINCO FOODS 160 2913 Max Aven"/>
        <s v="BONFES PLUMBING HEATING A6513326"/>
        <s v="HOLIDAY STATIONS 0360    VICTORI"/>
        <s v="SQ NOTHING BUT HEMP     Chaska"/>
        <s v="HAZELWOOD FOOD &amp; DRINK - EXCELSIOR MN"/>
        <s v="CHURCHILLS QUALITY CIGARSVICTORI"/>
        <s v="KOWALSKIS MARKET        EDEN PRA"/>
        <s v="LYFT   1 RIDE 0708     LYFTCOM"/>
        <s v="MN DRIVER AND VEHICLE XXXXXX2973"/>
        <s v="MSP HUDSON ST2295        SAINT P"/>
        <s v="MSP REPUBLIC BARD 6751200SAINT P"/>
        <s v="PELOTON MEMBERSHIP      HTTPSWWW"/>
        <s v="SWEETCAST ANGLER FLYSHOP BIG TIM"/>
        <s v="AMAZON.COM*A11073S53 AMZN.COM/BILLWA_x000a_6OJHY48NGS2"/>
        <s v="AMZN MKTP US*YP2RO5H53 AMZN.COM/BILLWA_x000a_3WQQKAO1T6X"/>
        <s v="DOMINOS 1931            EXCELSIO"/>
        <s v="LS SOUTH LAKE CYCLE      9524743"/>
        <s v="AMZN MKTP US*AD4D556E3 AMZN.COM/BILLWA_x000a_5LIJLXAPJZP"/>
        <s v="CUB FOODS 01644          9529341"/>
        <s v="CENTURYLINK SIMPLE       8002014"/>
        <s v="CRAZY WOMAN LIQUOR       BUFFALO"/>
        <s v="DICKS SPORTING GOODS    CASPER"/>
        <s v="EVEREVE  8              WAYZATA"/>
        <s v="LOAF N JUG 0110         CASPER"/>
        <s v="THE FORT                 BIG TIM"/>
        <s v="WALGREENS 6280          EDEN PRA"/>
        <s v="CONOCO  ALTA CONVENIENCESAGUACHE"/>
        <s v="CONOCO  GUNSMOKE TRAVEL BUENA VI"/>
        <s v="FORT COLLINSLAKESIDE    FORT COL"/>
        <s v="LS SAN JUAN SPORTS       1866932"/>
        <s v="LS TSHIRT SHOP          18669321"/>
        <s v="RAOCOPARKSWILDLIFE CO   88857272"/>
        <s v="SP CREEDE OLIVE OIL      1719658"/>
        <s v="SQ SNOWSHOE LODGE AND CAgosqcom"/>
        <s v="TARGET        00015008   GOLDEN"/>
        <s v="KUMGO 0913 LONGMONT     LONGMONT"/>
        <s v="RAMBLE HOUSE LLC         CREEDE"/>
        <s v="Park Avenue Liquor"/>
        <s v="PARK AVENUE LIQUOR MONTE VISTA CO"/>
        <s v="TOMMYKNOCKER TAVERN CREEDE CO"/>
        <s v="CONOCO - ALTA CONVENIENCEMONTE VISTA CO REF #2403454JP01W37BJK"/>
        <s v="KFC/PHX I675001"/>
        <s v="KFC/PHX I675001 DENVER CO_x000a_APPLE PAY ENDING IN 8856"/>
        <s v="Withdrawal ACH MHCHILDCARELLC TYPE: DUES ID: 1824708198 CO: MHCHILDCARELLC Entry Class Code: PPD ACH Trace Number: 096010416198573"/>
        <s v="AMZN Mktp US"/>
        <s v="ELITE NAILS LLC"/>
        <s v="AMZN MKTP US*5Z0PV0H83 AMZN.COM/BILLWA_x000a_4VCQ4BUTFM2"/>
        <s v="AMZN MKTP US*ZW5RN4NR3 AMZN.COM/BILLWA_x000a_2J1RRE48SAS"/>
        <s v="BONFES PLUMBING HEATING ASOUTH SAINT PMN REF #2427539JTS66KL994"/>
        <s v="DELTA AIR 0062328911019DELTA.COM CA REF #2471705JTTQ3YPARL"/>
        <s v="Deposit ACH CARGILL INCORPOR TYPE: DIRECT DEP ID: 9111111101 CO: CARGILL INCORPOR Entry Class Code: PPD ACH Trace Number: 091000017577972"/>
        <s v="FH* FURY ADVENTURES 185-54955551 FL REF #2449216JT000WKYQH"/>
        <s v="FH* KEY WEST PROMOTION 185-54955551 FL REF #2449216JT000XB05F"/>
        <s v="MACKENTHUN'S MEATS &amp; DELIST BONIFACIUSMN REF #2445388JS000A3GET"/>
        <s v="Netflix.com 866-5797172 CA REF #2490641JT4DP0ALM6"/>
        <s v="TST* Red Cow - 50th St Minneapolis MN REF #2469216JT2XM83KFK"/>
        <s v="Withdrawal ACH CITY OF CHANHASS TYPE: UTIL BILL ID: 1410885331 CO: CITY OF CHANHASS Entry Class Code: PPD ACH Trace Number: 091901960151902"/>
        <s v="Withdrawal Home Banking Pmt to card XXXXXXXXXXXX-9181"/>
        <s v="PAYMENT - THANK YOU REF #7473457JV00XTMJG9"/>
        <s v="JIMMY JOHNS - 724 - E- CHANHASSEN MN REF #2426979JSEJ4DJ9N8"/>
        <s v="KWIK TRIP 47700004770 ST BONIFACIUSMN REF #2416407JSL3HMGG2S"/>
        <s v="LUNDS&amp;BYERLYS CHANH CHANHASSEN MN REF #2442733JSM83LLLGN"/>
        <s v="STAGES THEATRE COMPANY 952-979-1108 MN REF #2463269JSEJ44VNV3"/>
        <s v="SQ *ENKI BREWING COMPA VICTORIA MN_x000a_0002305843016010699376"/>
        <s v="VICTORIA BURROW VICTORIA MN"/>
        <s v="Withdrawal Home Banking Transfer To Share 12 REF # 67611"/>
        <s v="MAYNARD'S EXCELSIOR THE EXCELSIOR MN REF #2480197JW5SB32AT3"/>
        <s v="SCHEELS EDEN PRAIRIE EDEN PRAIRIE MN REF #2413829JWP73MVK5L"/>
        <s v="STARBUCKS STORE 02220 BLOOMINGTON MN REF #2469216JW2XBSY8W8"/>
        <s v="TOMMY BAHAMA ECOMM 866-986-8282 WA REF #2469216JV2XW0K1GM"/>
        <s v="USPS PO 2616500318 CHASKA MN REF #2413746JX018D221T"/>
        <s v="Evereve 877-2906262 MN REF #2490641JX4DZX5S8Z"/>
        <s v="HOLIDAY STATIONS 0012 SHOREWOOD MN REF #2494166JXRQEBQFYD"/>
        <s v="HOLIDAY STATIONS 0012 SHOREWOOD MN REF #2494166JXRQEBQG07"/>
        <s v="HOLIDAY STATIONS 0419 SAINT CROIX FWI REF #2494166JXRQEBBL1A"/>
        <s v="VICTORIA BURROW ARCADE 800-9355961 MN REF #2418310JXS66LGXZR"/>
        <s v="Withdrawal ACH TARGET CARD SRVC TYPE: AUTO PYMT ID: 1411721813 CO: TARGET CARD SRVC NAME: TRUITT JEFFREY B Entry Class Code: WEB ACH Trace Number: 091000013224116"/>
        <s v="BANANA REPUBLIC ON-LINE 888-2778959 OH REF #7478930JYFYHM61S3"/>
        <s v="BANANA REPUBLIC ON-LINE 888-2778959 OH REF #7478930JYG1P05TQY"/>
        <s v="MINNESOTA STATE PARKS 866-8572757 MN REF #7471705JYJMXT6DPG"/>
        <s v="WINDSOR UNIVERSITY 2028099980 DC"/>
        <s v="Withdrawal ACH PAYPAL TYPE: INST XFER ID: PAYPALSI77 CO: PAYPAL NAME: JEFF TRUITT Entry Class Code: WEB ACH Trace Number: 021000029744119"/>
        <s v="CUB FOODS CHANHASSEN MN REF #2442733JZM83FQ5VF"/>
        <s v="Fully Ref Jz"/>
        <s v="SQ *SEEK EYE CARE PA Victoria MN REF #2469216JZ2Y0YF0YS"/>
        <s v="Withdrawal ACH MHCHILDCARELLC TYPE: DUES ID: 1824708198 CO: MHCHILDCARELLC Entry Class Code: PPD ACH Trace Number: 096010411530791"/>
        <s v="Withdrawal ACH PAYPAL TYPE: INST XFER ID: PAYPALSI77 CO: PAYPAL NAME: JEFF TRUITT Entry Class Code: WEB ACH Trace Number: 091000014196267"/>
        <s v="AMZN Mktp US*GZ4P39GQ3 Amzn.com/billWA REF #2469216K02XTXG9NM"/>
        <s v="Deposit ACH CARGILL INCORPOR TYPE: 004XXXXXXX ID: 2410177680 CO: CARGILL INCORPOR Entry Class Code: CTX ACH Trace Number: 111000026301982"/>
        <s v="Deposit ACH CARGILL INCORPOR TYPE: DIRECT DEP ID: 9111111101 CO: CARGILL INCORPOR Entry Class Code: PPD ACH Trace Number: 091000014844682"/>
        <s v="FOSS SWIM SCHOOL HTTPSWWW.FOSSMN REF #2401134K10002LQMZ"/>
        <s v="RIDGEVIEW MEDICAL CENTER WACONIA MN REF #2480197K010DV2Q5D"/>
        <s v="Withdrawal ACH PAYPAL TYPE: INST XFER ID: PAYPALSI77 CO: PAYPAL NAME: JEFF TRUITT Entry Class Code: WEB ACH Trace Number: 091000012363725"/>
        <s v="Withdrawal ACH VENMO TYPE: PAYMENT ID: 326XXXXXXX CO: VENMO NAME: BRITNEY TRUITT Entry Class Code: WEB ACH Trace Number: 091000017185836"/>
        <s v="AMZN Mktp US*FR8XF00I3 Amzn.com/billWA REF #2469216K12XR5PYRX"/>
        <s v="Deposit ACH connectyourcare TYPE: SVB-CLAIMS ID: E942875288 CO: connectyourcare Entry Class Code: PPD ACH Trace Number: 121140393069017"/>
        <s v="dox*Ridgeview Medical Ce 866-2174483 WA REF #2490641K14E84H49D"/>
        <s v="KWIK TRIP 40200004028 CHANHASSEN MN REF #2416407K1L3HDJYS6"/>
        <s v="THE HOME DEPOT #2825 CHASKA MN REF #2494301K109FVSVNT"/>
        <s v="Withdrawal ACH PAYPAL TYPE: INST XFER ID: PAYPALSI77 CO: PAYPAL NAME: JEFF TRUITT Entry Class Code: WEB ACH Trace Number: 021000024722925"/>
        <s v="Withdrawal ACH DISCOVER TYPE: E-PAYMENT ID: 2510020270 CO: DISCOVER NAME: TRUITT JEFF Entry Class Code: WEB ACH Trace Number: 091000014117130"/>
        <s v="BLACK SHEEP PIZZA - NICO MINNEAPOLIS MN"/>
        <s v="AT&amp;T W318 58845 CHANHASSEN MN REF #2405523K4PM46RVLL"/>
        <s v="COSTCO WHSE #0783 EDEN PRAIRIE MN REF #2494300K4S4AFKN9B"/>
        <s v="Deposit Dividend Split Rate Annual Percentage Yield Earned 1.50% from 07/01/22 through 07/31/22"/>
        <s v="FH* FURY ADVENTURES 185-54955551 FL REF #2449216K40005E17R"/>
        <s v="LYFT SCOOTER RIDE 855-865-9553 CA REF #2449215K4LRNV0H2M"/>
        <s v="LYFT SCOOTER RIDE 855-865-9553 CA REF #2449215K4MNGMNRZ2"/>
        <s v="LYFT SCOOTER RIDE 855-865-9553 CA REF #2449215K4MNGSF3NT"/>
        <s v="MIYABI EXCEISIOR MN REF #2455193K20EXNG2TZ"/>
        <s v="NORTH COOP CHAHASSEN MN REF #2474455K3D3322Z3K"/>
        <s v="TARGET 00008623 CHANHASSEN MN REF #2416407K22LRFRNW7"/>
        <s v="TST* DANGEROUS MAN BREWI MINNEAPOLIS MN"/>
        <s v="AMAZON MUSIC*EK90L6S23 888-802-3080 WA_x000a_14LNNKNLWUS"/>
        <s v="LYFT RIDE SAT 11PM 855-865-9553 CA REF #2449215K4MNHQNXFE"/>
        <s v="PRYES BREWING COMPANY MINNEAPOLIS MN REF #2434285K40FWY9BPW"/>
        <s v="PRYES BREWING COMPANY MINNEAPOLIS MN REF #2434285K40FWY9GLW"/>
        <s v="UBER TRIP HELP.UBER.COMCA REF #2449215K4LWG8HSET"/>
        <s v="Withdrawal ACH College Savings TYPE: ACH ID: 550895818 CO: College Savings Entry Class Code: PPD ACH Trace Number: 104910794889540"/>
        <s v="Withdrawal ACH CPENERGY MNGCO TYPE: MGC ACH EB ID: 176051140S CO: CPENERGY MNGCO NAME: CENTERPOINT ENERGY OTP Entry Class Code: WEB ACH Trace Number: 021000024535398"/>
        <s v="Withdrawal ACH ESSENTIA HEALTH TYPE: ESSENTIA H ID: C200360007 CO: ESSENTIA HEALTH NAME: JEFF TRUITT Entry Class Code: WEB ACH Trace Number: 091000014489463"/>
        <s v="Withdrawal ACH PAYPAL TYPE: INST XFER ID: PAYPALSI77 CO: PAYPAL NAME: JEFF TRUITT Entry Class Code: WEB ACH Trace Number: 021000023201431"/>
        <s v="Withdrawal ACH PAYPAL TYPE: INST XFER ID: PAYPALSI77 CO: PAYPAL NAME: JEFF TRUITT Entry Class Code: WEB ACH Trace Number: 091000016897969"/>
        <s v="Withdrawal Home Banking Transfer To Loan 02 REF # 178189"/>
        <s v="Payments Home Banking Transfer From Share 70 REF # 178189"/>
        <s v="Draft 2301 Tracer XX4997"/>
        <s v="AMAZON.COM*NC7LF7RY3 AMZN.COM/BILLWA_x000a_16KGWMHF37G"/>
        <s v="AMZN MKTP US*AA0DE43Z3 AMZN.COM/BILLWA_x000a_13TJ2X8559M"/>
        <s v="BCS*MINNETONKA COMMUNITY 952-401-6800 MN REF #2413746K60102RM7T"/>
        <s v="EVEREVE - 60 HOPKINS MN REF #7426979K42XVG54Z9"/>
        <s v="Withdrawal ACH MHCHILDCARELLC TYPE: DUES ID: 1824708198 CO: MHCHILDCARELLC Entry Class Code: PPD ACH Trace Number: 096010415018525"/>
        <s v="HBRSUBSCRIPTION 800-988-0886 MA REF #2449215K6LVTJJ8TJ"/>
        <s v="Withdrawal ACH PAYPAL TYPE: INST XFER ID: PAYPALSI77 CO: PAYPAL NAME: JEFF TRUITT Entry Class Code: WEB ACH Trace Number: 091000013358868"/>
        <s v="AMZN MKTP US*NV8UT21B3 AMZN.COM/BILLWA_x000a_36JRYOHCG1R"/>
        <s v="BP#1370200CHANHASSEN BP CHANHASSEN MN REF #2412254K8MLX15YXT"/>
        <s v="BP#1944651325 WASHINGTON WOBURN MA REF #2412254K8MLX3BZXK"/>
        <s v="CARIBOU COFFEE CO #122 MINNEAPOLIS MN REF #2444500K7EJ34E0HD"/>
        <s v="DAIRY QUEEN #11437 VICTORIA MN"/>
        <s v="Deposit ACH CARGILL INCORPOR TYPE: DIRECT DEP ID: 9111111101 CO: CARGILL INCORPOR Entry Class Code: PPD ACH Trace Number: 091000018030112"/>
        <s v="KOWALSKI'S MARKET EDEN PRAIRIE MN REF #2442733K7LM8JAM9J"/>
        <s v="LYFT *1 RIDE 08-02 LYFT.COM CA REF #2401134K7000XW3KZ"/>
        <s v="WALGREENS #2063 SALEM MA REF #2444500K800V956GL"/>
        <s v="WOVEN MEAT CO 3203491002 MN"/>
        <s v="Withdrawal ACH VENMO TYPE: PAYMENT ID: 326XXXXXXX CO: VENMO NAME: BRITNEY TRUITT Entry Class Code: WEB ACH Trace Number: 091000017287001"/>
        <s v="FOSS SWIM SCHOOL HTTPSWWW.FOSSMN REF #2401134K8000LDFT8"/>
        <s v="GULF OIL 92042570 WOBURN MA REF #2423168K9RBGHYV38"/>
        <s v="LYFT *1 RIDE 08-03 LYFT.COM CA REF #2401134K9000E03S7"/>
        <s v="Patagonia Direct Inc. 800-6386464 CA REF #7420429K807S4HRZD"/>
        <s v="PP*WISCONSINCHEESE VICTORIA MN REF #2449215K8S18QYEEQ"/>
        <s v="SALADWORKS - WOBURN WOBURN MA REF #2426979K8EJ99VEQP"/>
        <s v="Withdrawal ACH XCEL ENERGY-MN TYPE: XCELENERGY ID: 7411967505 CO: XCEL ENERGY-MN NAME: BCU POWERPLUS444505846 Entry Class Code: WEB ACH Trace Number: 091000015654636"/>
        <s v="AVIS RENT-A-CAR EAST BOSTON MA REF #2494135KAR0M5AZ8J"/>
        <s v="DELAWARE NORTH LOGAN F&amp;B EAST BOSTON MA REF #2443106KAW62F4558"/>
        <s v="HILTON BOSTON WOBURN WOBURN MA REF #2405523KA11H47Z5G"/>
        <s v="LIFE TIME CAFE 151Q48 952-380-0303 MN REF #2469216KB2XKX29S9"/>
        <s v="NORTH COOP* NORTH COOP sburks827@livMN REF #2449216K9001F3VAS"/>
        <s v="SQ *GLOBAL TRAVEL SERVICEExcelsior MN REF #2469216K92XEGBJBL"/>
        <s v="AMZN Mktp US*RR7UN1YN3 Amzn.com/billWA REF #2469216KB2X4BYL6G"/>
        <s v="AVO*ADVOCARE INTL 800-542-4800 TX REF #2469216KB2XVVQ5EM"/>
        <s v="Cabin Fever Sporting GoodVictoria MN REF #2445388KQ02HDELRM"/>
        <s v="D J*WALL-ST-JOURNAL 800-568-7625 MA REF #2469216KB2Y1WN9HW"/>
        <s v="THE HOME DEPOT #2812 EDEN PRAIRIE MN"/>
        <s v="PAYMENT - THANK YOU REF #7473457KD00XTMJG7"/>
        <s v="5TH AVENUE MARKET MINNEAPOLIS MN REF #2409990KQ0VYW5E97"/>
        <s v="DNCSS MN TWINS CONCESS MINNEAPOLIS MN REF #2469216KQ2XPHXRS2"/>
        <s v="DNCSS MN TWINS CONCESS MINNEAPOLIS MN REF #2469216KQ2XPHYT3M"/>
        <s v="DNCSS MN TWINS CONCESS MINNEAPOLIS MN REF #2469216KQ2XPHYXEW"/>
        <s v="PELOTON* MEMBERSHIP HTTPSWWW.ONEPNY REF #2401134KQ000V0GJ9"/>
        <s v="Withdrawal ACH MHCHILDCARELLC TYPE: DUES ID: 1824708198 CO: MHCHILDCARELLC Entry Class Code: PPD ACH Trace Number: 096010412572301"/>
        <s v="Withdrawal ACH WASTE MANAGEMENT TYPE: INTERNET ID: 9049038216 CO: WASTE MANAGEMENT Entry Class Code: PPD ACH Trace Number: 043305130743849"/>
        <s v="TWINS MOBILE PAYMENT 800-352-0212 CA REF #2473309KQHHBHZZZT"/>
        <s v="AMZN MKTP US*0D0VD0CH3 AMZN.COM/BILLWA_x000a_1XUZNGUW3UD"/>
        <s v="AMZN MKTP US*1Y8HU1TO0 AMZN.COM/BILLWA_x000a_2QGKWCARN00"/>
        <s v="ATM Fee"/>
        <s v="COOLER CLEANSE 212-531-3111 NY REF #2480197KD8B2Y219B"/>
        <s v="Withdrawal at ATM #000000430002 435 WATER ST EXCELSIOR MN"/>
        <s v="FOSS SWIM SCHOOL HTTPSWWW.FOSSMN REF #2401134KE000TRKF2"/>
        <s v="Withdrawal ACH PAYPAL TYPE: INST XFER ID: PAYPALSI77 CO: PAYPAL NAME: JEFF TRUITT Entry Class Code: WEB ACH Trace Number: 021000026821581"/>
        <s v="Withdrawal ACH Ridgeview Medica TYPE: ONLINE PAY ID: RF00059954 CO: Ridgeview Medica NAME: Jeff Truitt Entry Class Code: WEB ACH Trace Number: 063112143543477"/>
        <s v="ATLANTA AIRPORT ATLANTA GA REF #2443106KGW5SMEZHT"/>
        <s v="CARIBOU COFFEE CO #123 MINNEAPOLIS MN REF #2444500KG00V7KR3Y"/>
        <s v="FH* KEY WEST PROMOTION HTTPSWWW.KEYWFL REF #2449216KF000LQHJ0"/>
        <s v="SHELLIS NEWS ST2240 ATLANTA GA REF #2443106KGRQEB935B"/>
        <s v="ROSE NAILS PRAIRIE VILLAKS"/>
        <s v="CENTURYLINK SIMPLE 800-201-4099 LA REF #2444500KG5SQMNS4X"/>
        <s v="CERO BODEGA KEY WEST FL REF #2494168KH61DKQ4ED"/>
        <s v="CUBAN COFFEE QUEEN WATERFKEY WEST FL REF #2401339KH01Q5MB9G"/>
        <s v="Deposit ACH EMPYREAN SOLUTIO TYPE: 193XXXXXXX ID: 5330903620 CO: EMPYREAN SOLUTIO Entry Class Code: PPD ACH Trace Number: 091000016634706"/>
        <s v="Deposit ACH TRINET TYPE: PAYROLL ID: 194XXXXXXX CO: TRINET Entry Class Code: PPD ACH Trace Number: 041001036838977"/>
        <s v="HOLIDAY STATIONS 0083 SHAKOPEE MN REF #2494166KGRQEB91AS"/>
        <s v="HOLIDAY STATIONS 0083 SHAKOPEE MN REF #2494166KGRQEB91Q4"/>
        <s v="HY-VEE PR VILLAGE 1532 PRAIRIE VLG KS REF #2413746KJ00XA111M"/>
        <s v="IRISH KEVINS 305-2921262 FL REF #2454045KH0WRWTL9V"/>
        <s v="LYFT *1 RIDE 08-11 LYFT.COM CA REF #2401134KG0010WJNP"/>
        <s v="MINNEAPOLIS AIRPORT SAINT PAUL MN REF #2443106KGRL619422"/>
        <s v="PLUNKETTS PEST CONTROL MINNEAPOLIS MN REF #2401339KG016XZAYB"/>
        <s v="RICKS &amp; DURTY HARRYS KEY WEST FL REF #2432300KGBM3SNXH4"/>
        <s v="RICKS &amp; DURTY HARRYS KEY WEST FL REF #2432300KGBM3STYV8"/>
        <s v="SQ *FURY WATER ADVE KEY WEST FL REF #2449215KGMJTY0BGQ"/>
        <s v="SQ *HAPPY ROOSTER Key West FL REF #2469216KG2XDA9ASE"/>
        <s v="THE MARKER KEY WEST KEY WEST FL CREDIT REF #7405522KH11GW8XYX"/>
        <s v="THE MARKER KEY WEST KEY WEST FL CREDIT REF #7405522KH11GW8Y2S"/>
        <s v="TST* The Breakfast Club, Key West FL REF #2469216KH2X9263LE"/>
        <s v="TST* THE SEASIDE CAFE KEY WEST FL REF #2413746KHEJMMRKVX"/>
        <s v="UBER TRIP HELP.UBER.COMCA REF #2449215KJMNQE6QV8"/>
        <s v="DANTE'SPRIME KW KEY WEST FL REF #2437735KK0000LR9N"/>
        <s v="LS TROPICALLY HIP 305-2952522 FL REF #2449216KJ000KM15G"/>
        <s v="SQ *FIGJAM COFFEE KEY WEST FL REF #2449215KJMJW520D8"/>
        <s v="SQ *SMOOTHIE BAY Key West FL REF #2469216KJ2XZ0HAPD"/>
        <s v="UBER EATS HELP.UBER.COMCA REF #2449215KKMNGT50MD"/>
        <s v="Withdrawal ACH PAYPAL TYPE: INST XFER ID: PAYPALSI77 CO: PAYPAL NAME: JEFF TRUITT Entry Class Code: WEB ACH Trace Number: 091000013160453"/>
        <s v="Withdrawal ACH AMERICAN FAMILY TYPE: WEBPAYMENT ID: PEBP075965 CO: AMERICAN FAMILY NAME: Authorized by Customer Entry Class Code: WEB ACH Trace Number: 021000020645791"/>
        <s v="All Seasons Garment Care Excelsior MN REF #2419304KL02J9GQN9"/>
        <s v="ARCO GREENWOOD MARKET GREENWOOD MN"/>
        <s v="CUB FOODS #1636 SHOREWOOD MN REF #2442733KKM83GYBSP"/>
        <s v="MSP AIRPORT PARKING SAINT PAUL MN REF #2403454KK01J535ZL"/>
        <s v="THE MARKER KEY WEST KEY WEST FL REF #2405522KK11GWHL2T"/>
        <s v="Withdrawal ACH MHCHILDCARELLC TYPE: DUES ID: 1824708198 CO: MHCHILDCARELLC Entry Class Code: PPD ACH Trace Number: 096010416299853"/>
        <s v="AMZN MKTP US*8J38C1QO3 AMZN.COM/BILLWA_x000a_2XZOE7MJ2AJ"/>
        <s v="AMZN MKTP US*H934W8NO3 AMZN.COM/BILLWA_x000a_1HZ6ODHYE5V"/>
        <s v="DELTA AIR 0062332949012DELTA.COM CA REF #2471705KLTQQ00SAZ"/>
        <s v="LYFT RIDE MON 7AM 855-865-9553 CA REF #2449215KLMNMZH7LF"/>
        <s v="Prime Video*5X1UI7SU3 888-802-3080 WA REF #2469216KM2Y0E4Y5Y"/>
        <s v="Withdrawal ACH VENMO TYPE: PAYMENT ID: 326XXXXXXX CO: VENMO NAME: BRITNEY TRUITT Entry Class Code: WEB ACH Trace Number: 091000012325667"/>
        <s v="BRIGHTSTAR 502-890-2575 KY REF #2449215KMRTPT3JQ7"/>
        <s v="Deposit ACH CARGILL INCORPOR TYPE: DIRECT DEP ID: 9111111101 CO: CARGILL INCORPOR Entry Class Code: PPD ACH Trace Number: 091000017388993"/>
        <s v="Deposit ACH VENMO TYPE: CASHOUT ID: 526XXXXXXX CO: VENMO Entry Class Code: PPD ACH Trace Number: 091000010776878"/>
        <s v="Withdrawal ACH MN DIR ACH TYPE: CONTRIB ID: 2416007162 CO: MN DIR ACH NAME: 872 89742742601 Entry Class Code: WEB ACH Trace Number: 011001232478215"/>
        <s v="AMZN MKTP US AMZN.COM/BILLWA_x000a_175ATQO7H2A"/>
        <s v="AMZN MKTP US AMZN.COM/BILLWA_x000a_4XTJDH3N4EE"/>
        <s v="AMZN MKTP US AMZN.COM/BILLWA_x000a_4ZK4FGP1KQW"/>
        <s v="PP*ELITESPORTS SAN JOSE CA"/>
        <s v="Withdrawal ACH PAYPAL TYPE: INST XFER ID: PAYPALSI77 CO: PAYPAL NAME: JEFF TRUITT Entry Class Code: WEB ACH Trace Number: 091000014805514"/>
        <s v="AMZN MKTP US AMZN.COM/BILLWA_x000a_69KGD26486A"/>
        <s v="TST* DUKES ON 7 MINNETONKA MN_x000a_00017403008254706899AA"/>
        <s v="PAYMENT - THANK YOU REF #7473457KT00XTMJG3"/>
        <s v="AMZN MKTP US*VV4F03ZT3 AMZN.COM/BILLWA_x000a_7B49S6IBXZA"/>
        <s v="AXS.COMTARGET CENTER 888-929-7849 CA REF #2449215KRLREYE9SA"/>
        <s v="KIDS HAIR CH CHANHASSEN MN REF #2426979KPEJ517G1B"/>
        <s v="KONA GRILL - MINNETONKA MINNETONKA MN REF #2478930KPKAYNXP5F"/>
        <s v="LEEANN CHIN 0163 EDEN PRA310-9959954 MN REF #2454045KR01MMKG8F"/>
        <s v="MENS WEARHOUSE #4113 EDEN PRAIRIE MN REF #2432688KR2LZ2Q912"/>
        <s v="Netflix.com 866-5797172 CA REF #2490641KR4FTBSD43"/>
        <s v="SQ *EDEN PRARIE CENTER FUEden Prairie MN REF #2469216KP2XGE401W"/>
        <s v="BONFES PLUMBING HEATING ASOUTH SAINT PMN REF #2427539KTS66M9PPH"/>
        <s v="CUB FOODS CHANHASSEN MN REF #2442733KTM83ANE1X"/>
        <s v="SPEEDWAY 04366 EXCELSIOR MN REF #2413746KS0180MN2T"/>
        <s v="SPEEDWAY 04366 EXCELSIOR MN REF #2413746KS0180MN5Q"/>
        <s v="Withdrawal ACH CITY OF CHANHASS TYPE: UTIL BILL ID: 1410885331 CO: CITY OF CHANHASS Entry Class Code: PPD ACH Trace Number: 091901960155905"/>
        <s v="Withdrawal ACH DISCOVER TYPE: E-PAYMENT ID: 2510020270 CO: DISCOVER NAME: TRUITT JEFF Entry Class Code: WEB ACH Trace Number: 091000012726244"/>
        <s v="Amazon.com*ZW8US0B03 Amzn.com/billWA REF #2469216KS2XGDKXFW"/>
        <s v="AMZN MKTP US*8D6ML97U3 AMZN.COM/BILLWA_x000a_550WZHJZJRZ"/>
        <s v="CUB FOODS 01644 952-934-1010 MN REF #2423168KS2DQZ3PRP"/>
        <s v="Deposit Home Banking Transfer From Share 70 REF # 498400"/>
        <s v="Withdrawal ACH MHCHILDCARELLC TYPE: DUES ID: 1824708198 CO: MHCHILDCARELLC Entry Class Code: PPD ACH Trace Number: 096010418692827"/>
        <s v="Withdrawal ACH PAYPAL TYPE: INST XFER ID: PAYPALSI77 CO: PAYPAL NAME: JEFF TRUITT Entry Class Code: WEB ACH Trace Number: 091000016644916"/>
        <s v="Withdrawal Home Banking Transfer To Share 12 REF # 498400"/>
        <s v="Withdrawal ACH VENMO TYPE: PAYMENT ID: 326XXXXXXX CO: VENMO NAME: BRITNEY TRUITT Entry Class Code: WEB ACH Trace Number: 091000018916197"/>
        <s v="RESERVATION HILTONBOS 8449963737 CA REF #2449215KVLWJHQFMP"/>
        <s v="Withdrawal ACH PAYPAL TYPE: INST XFER ID: PAYPALSI77 CO: PAYPAL NAME: JEFF TRUITT Entry Class Code: WEB ACH Trace Number: 091000012058859"/>
        <s v="AMZN Mktp US*MR64V78J3 Amzn.com/billWA REF #2469216KW2XA95P65"/>
        <s v="AMZN Mktp US*P39AX7DQ3 Amzn.com/billWA REF #2469216KW2XAP2AAX"/>
        <s v="DELTA AIR 0062334685936DELTA.COM CA REF #2471705KWTQEQ9QLQ"/>
        <s v="Deposit ACH CARGILL INCORPOR TYPE: 004XXXXXXX ID: 2410177680 CO: CARGILL INCORPOR Entry Class Code: CTX ACH Trace Number: 111000020474781"/>
        <s v="LICKS UNLIMITED EXCELSIOR MN REF #2401339KW02HT04P6"/>
        <s v="Withdrawal ACH PAYPAL TYPE: INST XFER ID: PAYPALSI77 CO: PAYPAL NAME: JEFF TRUITT Entry Class Code: WEB ACH Trace Number: 091000010506756"/>
        <s v="Withdrawal ACH TARGET CARD SRVC TYPE: AUTO PYMT ID: 1411721813 CO: TARGET CARD SRVC NAME: TRUITT JEFFREY B Entry Class Code: WEB ACH Trace Number: 091000011810504"/>
        <s v="Withdrawal POS #0000BCTKD3GI AMAZON.COM*IO4HQ8HS3 SEATTLE WA"/>
        <s v="Withdrawal ACH NORDSTROM TYPE: PAYMENT ID: 9044022131 CO: NORDSTROM NAME: Jeff Truitt Jeff Truit Entry Class Code: WEB ACH Trace Number: 043305139404618"/>
        <s v="CUB FOODS CHANHASSEN MN REF #2442733KXM83KXM18"/>
        <s v="Withdrawal ACH VENMO TYPE: PAYMENT ID: 326XXXXXXX CO: VENMO NAME: BRITNEY TRUITT Entry Class Code: WEB ACH Trace Number: 091000015276974"/>
        <s v="DICK'S FRESH MARKET AMERY WI_x000a_APPLE PAY ENDING IN 3050"/>
        <s v="LOVE'S #832 COLUMBUS MN REF #2469216KZ2YVVL3K0"/>
        <s v="RIDGEVIEW MEDICAL CENTER WACONIA MN REF #2480197KY0ZPPN264"/>
        <s v="SQ *HOPSACK LLC BALSAM LAKE WI_x000a_APPLE PAY ENDING IN 3050_x000a_0002305843016202587677"/>
        <s v="AMZN MKTP US AMZN.COM/BILLWA_x000a_59IT6TCZ9CG"/>
        <s v="Deposit ACH SYNTELLIS TYPE: CREDITS ID: 1851377808 CO: SYNTELLIS Entry Class Code: PPD ACH Trace Number: 041000122881562"/>
        <s v="Etsy.com - BakersCustomAp718-8557955 NY REF #2420429L100TJB07A"/>
        <s v="THIRSTY OTTER TAVERN 715-4853400 WI REF #2400097L0LQRKNEL5"/>
        <s v="Withdrawal ACH PAYPAL TYPE: INST XFER ID: PAYPALSI77 CO: PAYPAL NAME: JEFF TRUITT Entry Class Code: WEB ACH Trace Number: 091000010156430"/>
        <s v="Withdrawal ACH PAYPAL TYPE: INST XFER ID: PAYPALSI77 CO: PAYPAL NAME: JEFF TRUITT Entry Class Code: WEB ACH Trace Number: 091000013895794"/>
        <s v="Withdrawal ACH PAYPAL TYPE: INST XFER ID: PAYPALSI77 CO: PAYPAL NAME: JEFF TRUITT Entry Class Code: WEB ACH Trace Number: 091000018536648"/>
        <s v="Withdrawal ACH VENMO TYPE: PAYMENT ID: 326XXXXXXX CO: VENMO NAME: JEFF TRUITT Entry Class Code: WEB ACH Trace Number: 091000010841356"/>
        <s v="Withdrawal ACH VENMO TYPE: PAYMENT ID: 326XXXXXXX CO: VENMO NAME: JEFF TRUITT Entry Class Code: WEB ACH Trace Number: 091000018843941"/>
        <s v="AMZN Mktp US*JD2B47T63 Amzn.com/billWA REF #2469216L130RKT5KB"/>
        <s v="CHASKA 952-448-5112 MN REF #2423168L12DGHJNAW"/>
        <s v="Deposit ACH TRINET TYPE: PAYROLL ID: 194XXXXXXX CO: TRINET Entry Class Code: PPD ACH Trace Number: 041001035755806"/>
        <s v="LUNDS&amp;BYERLYS CHANH CHANHASSEN MN REF #2442733L1M83E9GAT"/>
        <s v="Withdrawal ACH TRUITT,JEFF B TYPE: Online ID: 1271992400 NAME: TRUITT,JEFF B Entry Class Code: WEB"/>
        <s v="Withdrawal at ATM #000022424511 U.S. BANK US BANK CHANHASSEN CHANHASSEN MN"/>
        <s v="PAYMENT - THANK YOU REF #7473457L300XTMJG1"/>
        <s v="ATM Fee Reimbursement"/>
        <s v="BP#1370200CHANHASSEN BP CHANHASSEN MN REF #2412254L3MLX1G58W"/>
        <s v="BP#1370200CHANHASSEN BP CHANHASSEN MN REF #2412254L3MLX1G5AD"/>
        <s v="CUB FOODS 01644 952-934-1010 MN REF #2423168L22DD0Y64N"/>
        <s v="Deposit ACH DISCOVER BANK TYPE: ACCTVERIFY ID: 1770527921 CO: DISCOVER BANK Entry Class Code: PPD ACH Trace Number: 063106143440368"/>
        <s v="Deposit ACH DISCOVER BANK TYPE: ACCTVERIFY ID: 1770527921 CO: DISCOVER BANK Entry Class Code: PPD ACH Trace Number: 063106143440369"/>
        <s v="Deposit ACH PAYPAL TYPE: TRANSFER ID: PAYPALSD11 CO: PAYPAL Entry Class Code: PPD ACH Trace Number: 091000016559163"/>
        <s v="Deposit ATM FEE REFUND"/>
        <s v="Deposit Dividend Split Rate Annual Percentage Yield Earned 0.66% from 08/01/22 through 08/31/22"/>
        <s v="Deposit Dividend Split Rate Annual Percentage Yield Earned 1.00% from 08/01/22 through 08/31/22"/>
        <s v="Withdrawal ACH DISCOVER BANK TYPE: ACCTVERIFY ID: 3770527921 CO: DISCOVER BANK NAME: JEFF TRUITT Entry Class Code: WEB ACH Trace Number: 063106143440389"/>
        <s v="Withdrawal ACH MHCHILDCARELLC TYPE: DUES ID: 1824708198 CO: MHCHILDCARELLC Entry Class Code: PPD ACH Trace Number: 096010414507746"/>
        <s v="Withdrawal ACH VENMO TYPE: PAYMENT ID: 326XXXXXXX CO: VENMO NAME: JEFF TRUITT Entry Class Code: WEB ACH Trace Number: 091000012189107"/>
        <s v="Withdrawal ACH VENMO TYPE: PAYMENT ID: 326XXXXXXX CO: VENMO NAME: JEFF TRUITT Entry Class Code: WEB ACH Trace Number: 091000012195586"/>
        <s v="AMAZON MUSIC*1V7PW6861 888-802-3080 WA_x000a_5ITB2Z4KM40"/>
        <s v="Deposit ACH BAXTER CREDIT UN TYPE: REWARDS DE ID: 9044036378 CO: BAXTER CREDIT UN Entry Class Code: PPD ACH Trace Number: 043305136021936"/>
        <s v="Deposit ACH CARGILL INCORPOR TYPE: DIRECT DEP ID: 9111111101 CO: CARGILL INCORPOR Entry Class Code: PPD ACH Trace Number: 091000018244305"/>
        <s v="Deposit ACH EMPYREAN SOLUTIO TYPE: 193XXXXXXX ID: 5330903620 CO: EMPYREAN SOLUTIO Entry Class Code: PPD ACH Trace Number: 091000011115755"/>
        <s v="MAYNARDS R* MAYNARDS E MAYNARDSEXCELMN REF #2449216L40005A8WW"/>
        <s v="TST* FREIGHT HOUSE STILLWATER MN_x000a_00085400008400517371AA"/>
        <s v="Withdrawal ACH College Savings TYPE: ACH ID: 550895818 CO: College Savings Entry Class Code: PPD ACH Trace Number: 104910796401265"/>
        <s v="Withdrawal ACH DISCOVER BANK TYPE: ACCT FUND ID: 3770527921 CO: DISCOVER BANK NAME: JEFF TRUITT Entry Class Code: WEB ACH Trace Number: 063106144268510"/>
        <s v="Withdrawal ACH PAYPAL TYPE: INST XFER ID: PAYPALSI77 CO: PAYPAL NAME: JEFF TRUITT Entry Class Code: WEB ACH Trace Number: 091000015626993"/>
        <s v="Withdrawal Home Banking Transfer To Loan 02 REF # 623147"/>
        <s v="Payments Home Banking Transfer From Share 70 REF # 623147"/>
        <s v="Withdrawal ACH VENMO TYPE: PAYMENT ID: 326XXXXXXX CO: VENMO NAME: BRITNEY TRUITT Entry Class Code: WEB ACH Trace Number: 091000014321315"/>
        <s v="Draft 2321 Tracer XX3064"/>
        <s v="Deposit Home Banking Transfer From Share 12 REF # 658560"/>
        <s v="JEFFS BLACKSMITHS SHOP B BALSAM LAKE WI_x000a_APPLE PAY ENDING IN 8856"/>
        <s v="SP LAKE AND COMPANY 172-08499131 MN REF #2401134L50002RTWT"/>
        <s v="SP SOTA CLOTHING 195-23814230 MN REF #2449216L500021BDW"/>
        <s v="SQ *SEEK EYE CARE PA gosq.com MN REF #2469216L532W12WLN"/>
        <s v="Withdrawal Home Banking Transfer To Share 70 REF # 658560"/>
        <s v="D J*WALL-ST-JOURNAL 800-568-7625 MA REF #2469216L63443V4W1"/>
        <s v="HBRSUBSCRIPTION 800-988-0886 MA REF #2449215L5LS2GWKH1"/>
        <s v="SQ *BALSAM LAKE BREWERY ABalsam Lake WI REF #2469216L634792ZHB"/>
        <s v="BARRED OWL, LLC BALSAM LAKE WI REF #2434285L70FX5MHRV"/>
        <s v="HOLIDAY STATIONS 0419 SAINT CROIX FWI REF #2494166L8RQEBLJJP"/>
        <s v="MAYNARD'S EXCELSIOR THE EXCELSIOR MN"/>
        <s v="RVT*MTKA PUB SCHLS-WEB 952-4015000 MN REF #2490641L74GV7N7G8"/>
        <s v="Withdrawal ACH DISCOVER BANK TYPE: ETRANSFER ID: 3770527921 CO: DISCOVER BANK NAME: JEFF TRUITT Entry Class Code: WEB ACH Trace Number: 063106147030518"/>
        <s v="Withdrawal ACH PAYPAL TYPE: INST XFER ID: PAYPALSI77 CO: PAYPAL NAME: JEFF TRUITT Entry Class Code: WEB ACH Trace Number: 091000013929653"/>
        <s v="Withdrawal ACH XCEL ENERGY-MN TYPE: XCELENERGY ID: 7411967505 CO: XCEL ENERGY-MN NAME: BCU POWERPLUS448297991 Entry Class Code: WEB ACH Trace Number: 091000013799184"/>
        <s v="AMZN MKTP US*1V4K446T2 AMZN.COM/BILLWA_x000a_7FKPL6D47VQ"/>
        <s v="CUB FOODS 1636 952-380-9900 MN REF #2423168L92DF3NG1W"/>
        <s v="MN LAND ARBORETUM WWW.ARBORETUMMN REF #2449216L9000KHWS9"/>
        <s v="CARIBOU COFFEE CO #1164 EXCELSIOR MN_x000a_APPLE PAY ENDING IN 8856"/>
        <s v="FSI*CENTERPOINT ENERGY 877-477-1664 TX REF #2469216LA2XJ1W874"/>
        <s v="LOGGERS BAR &amp; GRILL 651-2698120 WI REF #2400097LAMNJJM4AQ"/>
        <s v="PARK NICOLLET 11510 866-3821799 MN REF #2471705LB3J394WPH"/>
        <s v="Withdrawal ACH MHCHILDCARELLC TYPE: DUES ID: 1824708198 CO: MHCHILDCARELLC Entry Class Code: PPD ACH Trace Number: 096010417883209"/>
        <s v="PAPA MURPHY'S MN035 OLO 952-294-4646 MN"/>
        <s v="PELOTON* MEMBERSHIP HTTPSWWW.ONEPNY REF #2401134LB000ZDNFW"/>
        <s v="ARBORETUM APPLEHOUSE CHASKA MN_x000a_APPLE PAY ENDING IN 8856"/>
        <s v="SQ *NORTH STAR DONUTS VICTORIA MN_x000a_APPLE PAY ENDING IN 8856_x000a_0001152921511885548944"/>
        <s v="SQ *PEPPERS AGOGO WAYZATA MN_x000a_0002305843016273645864"/>
        <s v="Evereve 877-2906262 MN REF #2490641LQ4H53772R"/>
        <s v="JIMMY JOHNS # 916 EDEN PRAIRIE MN_x000a_APPLE PAY ENDING IN 8856"/>
        <s v="NORTH COOP* NORTH COOP sburks827@livMN REF #2449216LE0004AY5Z"/>
        <s v="SPEEDWAY 04366 EXCELSIOR MN REF #2413746LE00ZF3402"/>
        <s v="WALGREENS #3114 EDINA MN REF #2444500LE00SG0HLL"/>
        <s v="AMAZON.COM*1F9V691W2 AMZN.COM/BILLWA_x000a_76WTQNCPIPE"/>
        <s v="COSTCO WHSE #0783 EDEN PRAIRIE MN REF #2494300LFS4AFKH96"/>
        <s v="Withdrawal ACH VENMO TYPE: PAYMENT ID: 326XXXXXXX CO: VENMO NAME: JEFF TRUITT Entry Class Code: WEB ACH Trace Number: 091000017470872"/>
        <s v="CENTURYLINK SIMPLE 800-201-4099 LA REF #2444500LF2XAK6AVH"/>
        <s v="RESERVATION HILTONBOS 844-996- CREDIT REF #7449215LFLRM33GK0"/>
        <s v="SATAY 2 GO APPLE VALLEY MN"/>
        <s v="Withdrawal ACH MHCHILDCARELLC TYPE: DUES ID: 1824708198 CO: MHCHILDCARELLC Entry Class Code: PPD ACH Trace Number: 096010419298154"/>
        <s v="Withdrawal ACH VENMO TYPE: PAYMENT ID: 326XXXXXXX CO: VENMO NAME: BRITNEY TRUITT Entry Class Code: WEB ACH Trace Number: 091000015377283"/>
        <s v="Deposit ACH TRINET TYPE: PAYROLL ID: 194XXXXXXX CO: TRINET Entry Class Code: PPD ACH Trace Number: 041001035501860"/>
        <s v="PAYPAL *FREE FLY 402-935-7733 CA"/>
        <s v="SPASSO MINNETONKA MN"/>
        <s v="SPEEDWAY 04159 EDEN PRAIRIE MN REF #2413746LH0106066K"/>
        <s v="Withdrawal ACH AMERICAN FAMILY TYPE: WEBPAYMENT ID: PEBP075965 CO: AMERICAN FAMILY NAME: Authorized by Customer Entry Class Code: WEB ACH Trace Number: 021000021152316"/>
        <s v="Withdrawal ACH DISCOVER TYPE: E-PAYMENT ID: 2510020270 CO: DISCOVER NAME: TRUITT JEFF Entry Class Code: WEB ACH Trace Number: 091000019476077"/>
        <s v="AMZN MKTP US*1M1WJ9NK0 AMZN.COM/BILLWA_x000a_63B3BPEDHYN"/>
        <s v="Deposit ACH CARGILL INCORPOR TYPE: DIRECT DEP ID: 9111111101 CO: CARGILL INCORPOR Entry Class Code: PPD ACH Trace Number: 091000017126779"/>
        <s v="Deposit ACH VENMO TYPE: REFUND ID: 426XXXXXXX CO: VENMO Entry Class Code: PPD ACH Trace Number: 091000010580665"/>
        <s v="LAKEWINDS - MINNETONKA MINNETONKA MN REF #2405523LJRBGRKQ2W"/>
        <s v="PAYPAL *PONCHO 402-935-7733 CA"/>
        <s v="SHINE OF MINNETONKA HTTPSWWW.SHINMN REF #2449216LH0015AXAJ"/>
        <s v="PAYMENT - THANK YOU REF #7473457LK00XTMJG2"/>
        <s v="Withdrawal ACH VENMO TYPE: PAYMENT ID: 326XXXXXXX CO: VENMO NAME: BRITNEY TRUITT Entry Class Code: WEB ACH Trace Number: 091000013300009"/>
        <s v="Withdrawal ACH VENMO TYPE: PAYMENT ID: 326XXXXXXX CO: VENMO NAME: BRITNEY TRUITT Entry Class Code: WEB ACH Trace Number: 091000016358357"/>
        <s v="ALLIANZ TRAVEL INS ALLIANZINS.USVA REF #2449215LKLS08MX1R"/>
        <s v="AMERICAN AIR0012337602985FORT WORTH TX REF #2494300LKJEENK6H7"/>
        <s v="AMERICAN AIR0012337602986FORT WORTH TX REF #2494300LKJEENK6GE"/>
        <s v="AMERICAN AIR0012337602987FORT WORTH TX REF #2494300LKJEENK6K9"/>
        <s v="AMERICAN AIR0012337602988FORT WORTH TX REF #2494300LKJEENK6LA"/>
        <s v="TST* THE GROCERS TABLE WAYZATA MN_x000a_00017999008590138591AA"/>
        <s v="PAYPAL *REI 402-935-7733 CA"/>
        <s v="CARIBOU COFFEE CO #116 CHANHASSEN MN_x000a_APPLE PAY ENDING IN 8856"/>
        <s v="Prime Video*1M1017BN1 888-802-3080 WA REF #2469216LL33TAX97R"/>
        <s v="Sailers Greenhouse SHAKOPEE MN REF #2445388LM02MZ66XA"/>
        <s v="VICTORIA HEALTHY HUB 6127506106 MN REF #2405523LL2MK46KGB"/>
        <s v="BACHMAN'S ONLINE MINNEAPOLIS MN REF #2480197LN61MAVEV8"/>
        <s v="COPA AIR 2302179642206COPAAIR.COM FL REF #2400704LNSFG6GV8L"/>
        <s v="DELTA AIR 0062338225240DELTA.COM CA REF #2471705LMTQMSLZYY"/>
        <s v="DELTA AIR 0062338225241DELTA.COM CA REF #2471705LMTQMSLZYE"/>
        <s v="DELTA AIR 0062338225242DELTA.COM CA REF #2471705LMTQMSLZYN"/>
        <s v="DELTA AIR 0062338225243DELTA.COM CA REF #2471705LMTQMSLZY6"/>
        <s v="EVEREVE - 8 WAYZATA MN REF #7426979LLEJN8PGAB"/>
        <s v="LUNDS&amp;BYERLYS CHANH CHANHASSEN MN REF #2442733LMM83QPH15"/>
        <s v="THE HOME DEPOT #2825 CHASKA MN REF #2494301LM09FV1MT4"/>
        <s v="TOCK ATDEMI 312-561-4554 IL REF #2449215LNLRHBRAX6"/>
        <s v="Withdrawal ACH MN DIR ACH TYPE: CONTRIB ID: 2416007162 CO: MN DIR ACH NAME: 545 89742742601 Entry Class Code: WEB ACH Trace Number: 011001233465135"/>
        <s v="Withdrawal ACH PAYPAL TYPE: INST XFER ID: PAYPALSI77 CO: PAYPAL NAME: JEFF TRUITT Entry Class Code: WEB ACH Trace Number: 021000022366828"/>
        <s v="Withdrawal ACH PAYPAL TYPE: INST XFER ID: PAYPALSI77 CO: PAYPAL NAME: JEFF TRUITT Entry Class Code: WEB ACH Trace Number: 091000010392797"/>
        <s v="Withdrawal ACH VENMO TYPE: PAYMENT ID: 326XXXXXXX CO: VENMO NAME: BRITNEY TRUITT Entry Class Code: WEB ACH Trace Number: 091000018850185"/>
        <s v="AMZN MKTP US*1U7BJ24M1 AMZN.COM/BILLWA_x000a_66FNOBSIRLU"/>
        <s v="CUB FOODS 01644 952-934-1010 MN REF #2423168LN2DDVR2KM"/>
        <s v="CUB FOODS 01644 CUB.COM MN REF #7423168LN2D9R4E63"/>
        <s v="Deposit ACH VENMO TYPE: CASHOUT ID: 526XXXXXXX CO: VENMO Entry Class Code: PPD ACH Trace Number: 091000015952896"/>
        <s v="SP PONCHO HTTPSPONCHOOUNY REF #2449216LN000WWNRK"/>
        <s v="Withdrawal ACH MHCHILDCARELLC TYPE: DUES ID: 1824708198 CO: MHCHILDCARELLC Entry Class Code: PPD ACH Trace Number: 096010410330268"/>
        <s v="PAYMENT - THANK YOU REF #7473457LR00XTMJG5"/>
        <s v="Withdrawal ACH DISCOVER TYPE: E-PAYMENT ID: 2510020270 CO: DISCOVER NAME: TRUITT JEFF Entry Class Code: WEB ACH Trace Number: 091000019122560"/>
        <s v="BONFES PLUMBING HEATING A651-3326633 MN REF #2427539LPS66D4TQ8"/>
        <s v="Netflix.com 866-5797172 CA REF #2490641LP4HSLV3DN"/>
        <s v="Withdrawal ACH CITY OF CHANHASS TYPE: UTIL BILL ID: 1410885331 CO: CITY OF CHANHASS Entry Class Code: PPD ACH Trace Number: 091901960160825"/>
        <s v="BCS*MINNETONKA COMMUNITY 952-401-6800 MN REF #2413746LT01DBYVLJ"/>
        <s v="BCS*MINNETONKA COMMUNITY 952-401-6800 MN REF #2413746LT01DBYVP5"/>
        <s v="NOODLES &amp; CO 347 CHANHASSEN MN_x000a_APPLE PAY ENDING IN 8856"/>
        <s v="PLUNKETTS PEST CONTROL MINNEAPOLIS MN REF #2401339LR025ZNXYY"/>
        <s v="RUDY LUTHER TOYOTA GOLDEN VALLEYMN REF #2449398LR60R8EG1A"/>
        <s v="RVT*MTKA PUB SCHLS-WEB 952-4015000 MN REF #2490641LP4HWDAXEF"/>
        <s v="SQ *EQ YEE GOLDEN VALLEYMN REF #2449215LRMJLPMF31"/>
        <s v="County Tax Disbursed"/>
        <s v="Deposit Home Banking Transfer From Share 70 REF # 941703"/>
        <s v="KWIK TRIP 40200004028 CHANHASSEN MN REF #2416407LTL3HJY1YF"/>
        <s v="Withdrawal ACH PAYPAL TYPE: INST XFER ID: PAYPALSI77 CO: PAYPAL NAME: JEFF TRUITT Entry Class Code: WEB ACH Trace Number: 091000016413916"/>
        <s v="Withdrawal Home Banking Transfer To Share 12 REF # 941703"/>
        <s v="AMZN MKTP US*1U7ZE5XO0 AMZN.COM/BILLWA_x000a_2AGEBI02GIM"/>
        <s v="UMINNMLAEVENTS CHASKA MN"/>
        <s v="Deposit ACH CARGILL INCORPOR TYPE: 004XXXXXXX ID: 2410177680 CO: CARGILL INCORPOR Entry Class Code: CTX ACH Trace Number: 111000020768101"/>
        <s v="LANCER @ MINNESOTA ZOO APPLE VALLEY MN"/>
        <s v="MENARDS.COM 715-876-6378 WI REF #2413746LW8R16X1T7"/>
        <s v="PAYPAL *HOME DEPOT 402-935-7733 CA"/>
        <s v="Withdrawal ACH TARGET CARD SRVC TYPE: AUTO PYMT ID: 1411721813 CO: TARGET CARD SRVC NAME: TRUITT JEFFREY B Entry Class Code: WEB ACH Trace Number: 091000015425355"/>
        <s v="Withdrawal ACH VENMO TYPE: PAYMENT ID: 326XXXXXXX CO: VENMO NAME: BRITNEY TRUITT Entry Class Code: WEB ACH Trace Number: 091000014171869"/>
        <s v="MN ZOO ONLINE 952-4319240 MN REF #2471705LX7LM15PNX"/>
        <s v="TST* 401 - YUMI EXCELSIO EXCELSIOR MN"/>
        <s v="Withdrawal ACH MHCHILDCARELLC TYPE: DUES ID: 1824708198 CO: MHCHILDCARELLC Entry Class Code: PPD ACH Trace Number: 096010410277289"/>
        <s v="Withdrawal ACH PAYPAL TYPE: INST XFER ID: PAYPALSI77 CO: PAYPAL NAME: JEFF TRUITT Entry Class Code: WEB ACH Trace Number: 021000026096434"/>
        <s v="KWIK TRIP 40200004028 CHANHASSEN MN REF #2416407LYL3HKBRWB"/>
        <s v="PAYPAL *ETSY INC 402-935-7733 CA"/>
        <s v="Withdrawal ACH PAYPAL TYPE: INST XFER ID: PAYPALSI77 CO: PAYPAL NAME: JEFF TRUITT Entry Class Code: WEB ACH Trace Number: 091000010983424"/>
        <s v="Withdrawal ACH VENMO TYPE: PAYMENT ID: 326XXXXXXX CO: VENMO NAME: BRITNEY TRUITT Entry Class Code: WEB ACH Trace Number: 091000010377002"/>
        <s v="Deposit ACH CARGILL INCORPOR TYPE: DIRECT DEP ID: 9111111101 CO: CARGILL INCORPOR Entry Class Code: PPD ACH Trace Number: 091000013937250"/>
        <s v="Deposit ACH TRINET TYPE: PAYROLL ID: 194XXXXXXX CO: TRINET Entry Class Code: PPD ACH Trace Number: 041001033981257"/>
        <s v="Withdrawal ACH PAYPAL TYPE: INST XFER ID: PAYPALSI77 CO: PAYPAL NAME: JEFF TRUITT Entry Class Code: WEB ACH Trace Number: 091000010433276"/>
        <s v="Withdrawal ACH PAYPAL TYPE: INST XFER ID: PAYPALSI77 CO: PAYPAL NAME: JEFF TRUITT Entry Class Code: WEB ACH Trace Number: 091000013364611"/>
        <s v="PAYMENT - THANK YOU REF #7473457M100XTMJG4"/>
        <s v="Deposit Dividend Split Rate Annual Percentage Yield Earned 0.57% from 09/01/22 through 09/30/22"/>
        <s v="Deposit Dividend Split Rate Annual Percentage Yield Earned 1.50% from 09/01/22 through 09/30/22"/>
        <s v="LAKEWINDS - CHANHASSEN CHANHASSEN MN REF #2405523M1RBGPA3NT"/>
        <s v="TOTAL WINE AND MORE CHANHASSEN MN REF #2411641M1RBGHN1P6"/>
        <s v="Withdrawal ACH DISCOVER TYPE: E-PAYMENT ID: 2510020270 CO: DISCOVER NAME: TRUITT JEFF Entry Class Code: WEB ACH Trace Number: 091000013850616"/>
        <s v="AMAZON MUSIC*143Y01AS1 888-802-3080 WA_x000a_QRX3X76TFTH"/>
        <s v="WATERWERKS CAR WASH GOLDEN VALLEYMN"/>
        <s v="Withdrawal Home Banking Transfer To Loan 02 REF # 1059557"/>
        <s v="Payments Home Banking Transfer From Share 70 REF # 1059557"/>
        <s v="All Seasons Garment Care Excelsior MN REF #2419304M202PEJEMV"/>
        <s v="AMAZON.COM*142711AM2 AMZN.COM/BILLWA_x000a_74DN9X3VVV5"/>
        <s v="AMAZON.COM*145PY9V80 AMZN.COM/BILLWA_x000a_3D6AHFQZWP1"/>
        <s v="CUB FOODS #1636 SHOREWOOD MN REF #2442733M1M83VFFMZ"/>
        <s v="D J*WALL-ST-JOURNAL 800-568-7625 MA REF #2469216M2347DXM5B"/>
        <s v="DETELLOS PIZZA AND PASTA CHASKA MN REF #2419304M20009NKX7"/>
        <s v="LYFT RIDE THU 2PM 855-865-9553 CA REF #2449215M1LVYNBTP0"/>
        <s v="TRADER JOE'S #714 QPS MINNETONKA MN REF #2449398M35HW8HRHG"/>
        <s v="AMZN MKTP US*141HK46X0 AMZN.COM/BILLWA_x000a_B70Q4O63PLQ"/>
        <s v="AMZN MKTP US*142BF9SU0 AMZN.COM/BILLWA_x000a_2Q3KAXHWMT0"/>
        <s v="HBRSUBSCRIPTION 800-988-0886 MA REF #2449215M3MLD7KK0Y"/>
        <s v="MEDEXPRESS URGENT CARE MI888-2496365 WV REF #2475542M37Y0S230R"/>
        <s v="Withdrawal ACH College Savings TYPE: ACH ID: 550895818 CO: College Savings Entry Class Code: PPD ACH Trace Number: 104910797900450"/>
        <s v="Withdrawal ACH PAYPAL TYPE: INST XFER ID: PAYPALSI77 CO: PAYPAL NAME: JEFF TRUITT Entry Class Code: WEB ACH Trace Number: 091000018673868"/>
        <s v="Draft 2322 Tracer XX0591"/>
        <s v="Deposit ACH PAYPAL TYPE: TRANSFER ID: PAYPALSD11 CO: PAYPAL Entry Class Code: PPD ACH Trace Number: 091000013679728"/>
        <s v="Deposit ACH PAYPAL TYPE: TRANSFER ID: PAYPALSD11 CO: PAYPAL Entry Class Code: PPD ACH Trace Number: 091000014056102"/>
        <s v="Withdrawal ACH MHCHILDCARELLC TYPE: DUES ID: 1824708198 CO: MHCHILDCARELLC Entry Class Code: PPD ACH Trace Number: 096010415005344"/>
        <s v="AMZN MKTP US*149ED1UW1 AMZN.COM/BILLWA_x000a_6KBQB2VOYKN"/>
        <s v="AMZN MKTP US*149H97I21 AMZN.COM/BILLWA_x000a_6HWXT52I7KX"/>
        <s v="CUB FOODS #1636          SHOREWOOD    MN REF #2442733M5M83KVZTL"/>
        <s v="Deposit ACH eBay TYPE: PAYOUT ID: 426XXXXXXX CO: eBay Entry Class Code: CCD ACH Trace Number: 091000014840845"/>
        <s v="Withdrawal ACH PAYPAL TYPE: INST XFER ID: PAYPALSI77 CO: PAYPAL NAME: JEFF TRUITT Entry Class Code: WEB ACH Trace Number: 091000013118638"/>
        <s v="Withdrawal ACH XCEL ENERGY-MN TYPE: XCELENERGY ID: 7411967505 CO: XCEL ENERGY-MN NAME: BCU POWERPLUS452322519 Entry Class Code: WEB ACH Trace Number: 091000011121840"/>
        <s v="Deposit ACH EMPYREAN SOLUTIO TYPE: 193XXXXXXX ID: 5330903620 CO: EMPYREAN SOLUTIO Entry Class Code: PPD ACH Trace Number: 091000017177782"/>
        <s v="Deposit ACH PAYPAL TYPE: TRANSFER ID: PAYPALSD11 CO: PAYPAL Entry Class Code: PPD ACH Trace Number: 091000011795553"/>
        <s v="PAYPAL *NIKE.COM 402-935-7733 CA"/>
        <s v="Withdrawal ACH PAYPAL TYPE: INST XFER ID: PAYPALSI77 CO: PAYPAL NAME: JEFF TRUITT Entry Class Code: WEB ACH Trace Number: 091000013962700"/>
        <s v="AVO*ADVOCARE INTL        800-542-4800 TX REF #2469216M72Y9WT6JX"/>
        <s v="Draft 2344 Tracer 990004968"/>
        <s v="Withdrawal ACH PAYPAL TYPE: INST XFER ID: PAYPALSI77 CO: PAYPAL NAME: JEFF TRUITT Entry Class Code: WEB ACH Trace Number: 021000027635440"/>
        <s v="Withdrawal ACH PAYPAL TYPE: INST XFER ID: PAYPALSI77 CO: PAYPAL NAME: JEFF TRUITT Entry Class Code: WEB ACH Trace Number: 091000015965848"/>
        <s v="Withdrawal ACH PAYPAL TYPE: INST XFER ID: PAYPALSI77 CO: PAYPAL NAME: JEFF TRUITT Entry Class Code: WEB ACH Trace Number: 091000016081707"/>
        <s v="AMZN MKTP US*1K78E8VI0 AMZN.COM/BILLWA_x000a_39XP2K6YQ0V"/>
        <s v="AMZN MKTP US*1K0W255Y1 AMZN.COM/BILLWA_x000a_65YQ59OTXL7"/>
        <s v="ARAMARK US BNK STD CONC MINNEAPOLIS MN"/>
        <s v="LAKESHORE MARKET &amp; MORE  EXCELSIOR    MN REF #2405522M9RDQ88X67"/>
        <s v="LAKEWINDS - CHANHASSEN   CHANHASSEN   MN REF #2405523M9RBGRPXF3"/>
        <s v="PELOTON* MEMBERSHIP      HTTPSWWW.ONEPNY REF #2401134M90011K37Y"/>
        <s v="PP*Red Sauce Rebellion   952-2344646  MN REF #2431033M804Z462L3"/>
        <s v="SQ *BRAVIS MODERN STREET gosq.com     MN REF #2469216M92X5AKX9M"/>
        <s v="ARAMARK US BNK STD CONC  MINNEAPOLIS  MN REF #2475542MBMAG6DLRW"/>
        <s v="L2G*CARVERCO LIBRARIES CHANHASSEN MN_x000a_3837560670"/>
        <s v="PAYPAL *PONCHO 4029357733 CA"/>
        <s v="AMAZON.COM AMZN.COM/BILLWA_x000a_9B2QHIFDM2X"/>
        <s v="AMZN MKTP US AMZN.COM/BILLWA_x000a_5YD7SCXPEYZ"/>
        <s v="AMZN MKTP US AMZN.COM/BILLWA_x000a_62V8WH1IYQS"/>
        <s v="AMZN MKTP US AMZN.COM/BILLWA_x000a_Y1RDJVROBG8"/>
        <s v="AMZN MKTP US*1K7TM5102 AMZN.COM/BILLWA_x000a_P190ATLR9FN"/>
        <s v="SP PONCHO HTTPSPONCHOOU NY        CREDIT REF #2449216MQ000Q21BQ"/>
        <s v="TST* Dukes on 7          612-205-3286 MN REF #2469216MB2Y8NM1HM"/>
        <s v="Withdrawal ACH PAYPAL TYPE: INST XFER ID: PAYPALSI77 CO: PAYPAL NAME: JEFF TRUITT Entry Class Code: WEB ACH Trace Number: 091000017085212"/>
        <s v="Withdrawal ACH DISCOVER TYPE: E-PAYMENT ID: 2510020270 CO: DISCOVER NAME: TRUITT JEFF Entry Class Code: WEB ACH Trace Number: 091000011152533"/>
        <s v="AMZN MKTP US*1K4L14YU1 AMZN.COM/BILLWA_x000a_79EUV7ZE2I1"/>
        <s v="AMZN MKTP US*HT8OU0F41 AMZN.COM/BILLWA_x000a_3Y6OTJVE5NQ"/>
        <s v="AMZN MKTP US*HT9E07FI1 AMZN.COM/BILLWA_x000a_17N95WRPDW2"/>
        <s v="AMZN MKTP US*HT9PI73M0 AMZN.COM/BILLWA_x000a_4XSEW7GYT0E"/>
        <s v="Deposit ACH eBay TYPE: PAYOUT ID: 426XXXXXXX CO: eBay Entry Class Code: CCD ACH Trace Number: 091000014583095"/>
        <s v="STARBUCKS 800-782-7282   800-782-7282 WA REF #2444500MQ2X8DK4GR"/>
        <s v="THE HOME DEPOT #2825     CHASKA       MN REF #2494301MQ09FPZY7Y"/>
        <s v="Withdrawal ACH MHCHILDCARELLC TYPE: DUES ID: 1824708198 CO: MHCHILDCARELLC Entry Class Code: PPD ACH Trace Number: 096010410144412"/>
        <s v="Withdrawal ACH PAYPAL TYPE: INST XFER ID: PAYPALSI77 CO: PAYPAL NAME: JEFF TRUITT Entry Class Code: WEB ACH Trace Number: 091000017805317"/>
        <s v="CENTURYLINK SIMPLE       800-201-4099 LA REF #2444500MD2XD8JVV3"/>
        <s v="Deposit ACH CARGILL INCORPOR TYPE: DIRECT DEP ID: 9111111101 CO: CARGILL INCORPOR Entry Class Code: PPD ACH Trace Number: 091000011861555"/>
        <s v="Deposit ACH eBay TYPE: PAYOUT ID: 426XXXXXXX CO: eBay Entry Class Code: CCD ACH Trace Number: 091000010510658"/>
        <s v="Deposit ACH TRINET TYPE: PAYROLL ID: 194XXXXXXX CO: TRINET Entry Class Code: PPD ACH Trace Number: 041001037836288"/>
        <s v="HAZELWOOD FOOD &amp; DRINK -TEXCELSIOR    MN REF #2401339MD019VAVEH"/>
        <s v="LAKEWINDS - CHANHASSEN   CHANHASSEN   MN REF #2405523MERBGRTQX7"/>
        <s v="MOTORWERKS BMW           BLOOMINGTON  MN REF #2443106MEJGA8WF9F"/>
        <s v="PAYMENT - THANK YOU REF #7473457MF00XTMJG8"/>
        <s v="AMZN MKTP US*HT2W10G51 AMZN.COM/BILLWA_x000a_64TWC6O7SWJ"/>
        <s v="AMZN MKTP US*HT4GM25B0 AMZN.COM/BILLWA_x000a_7KRLS2JM0ZA"/>
        <s v="Withdrawal ACH BARCLAYCARD US TYPE: CREDITCARD ID: 2510407970 CO: BARCLAYCARD US NAME: BRITNEY TRUITT Entry Class Code: WEB ACH Trace Number: 026002574435990"/>
        <s v="Withdrawal ACH PAYPAL TYPE: INST XFER ID: PAYPALSI77 CO: PAYPAL NAME: JEFF TRUITT Entry Class Code: WEB ACH Trace Number: 091000011148720"/>
        <s v="Withdrawal ACH AMERICAN FAMILY TYPE: WEBPAYMENT ID: PEBP075965 CO: AMERICAN FAMILY NAME: Authorized by Customer Entry Class Code: WEB ACH Trace Number: 021000029422241"/>
        <s v="AMZN MKTP US*HT0EY1M41 AMZN.COM/BILLWA_x000a_PBSYCHDFMZ4"/>
        <s v="PAT'S TAP MINNEAPOLIS MN"/>
        <s v="AMZN MKTP US AMZN.COM/BILLWA_x000a_3DRHYRX6PIZ"/>
        <s v="AMZN MKTP US AMZN.COM/BILLWA_x000a_5TMT9AMHWVU"/>
        <s v="AMZN MKTP US AMZN.COM/BILLWA_x000a_734IPTRTNA1"/>
        <s v="COUNTRY CLUB LANES       EXCELSIOR    MN REF #2413829MG60T2JMVN"/>
        <s v="DELTA AIR   0062343192678DELTA.COM    CA REF #2471705MGTQXWA56M"/>
        <s v="Deposit ACH eBay TYPE: PAYOUT ID: 426XXXXXXX CO: eBay Entry Class Code: CCD ACH Trace Number: 091000013705985"/>
        <s v="RESERVATION HILTONBOS    8449963737   CA REF #2449215MFLS4BV437"/>
        <s v="SPEEDWAY 04232           MINNEAPOLIS  MN REF #2413746MH019J0R46"/>
        <s v="Deposit ACH eBay TYPE: PAYOUT ID: 426XXXXXXX CO: eBay Entry Class Code: CCD ACH Trace Number: 091000012492957"/>
        <s v="LUNDS&amp;BYERLYS HYW7M      MINNETONKA   MN REF #2442733MHM83Q2SZA"/>
        <s v="Prime Video*HT4ZJ5U30    888-802-3080 WA REF #2469216MJ334TVTE7"/>
        <s v="Withdrawal ACH PAYPAL TYPE: INST XFER ID: PAYPALSI77 CO: PAYPAL NAME: JEFF TRUITT Entry Class Code: WEB ACH Trace Number: 091000010794544"/>
        <s v="Withdrawal ACH AMEX EPAYMENT TYPE: ACH PMT ID: 0005000008 CO: AMEX EPAYMENT NAME: Britney Truitt Entry Class Code: WEB ACH Trace Number: 091000017301358"/>
        <s v="Withdrawal ACH NORDSTROM TYPE: PAYMENT ID: 9044022131 CO: NORDSTROM NAME: Jeff Truitt Jeff Truit Entry Class Code: WEB ACH Trace Number: 043305133030460"/>
        <s v="Withdrawal ACH VENMO TYPE: PAYMENT ID: 326XXXXXXX CO: VENMO NAME: BRITNEY TRUITT Entry Class Code: WEB ACH Trace Number: 091000016342324"/>
        <s v="CUB FOODS  1636          952-380-9900 MN REF #2423168MJ2DES5KL1"/>
        <s v="DOMINO'S 1931            EXCELSIOR    MN REF #2444500MJEHXHVYX4"/>
        <s v="SP DR. DENNIS GROSS      DRDENNISGROSSNY REF #2401134MJ0012S6DK"/>
        <s v="STARBUCKS 800-782-7282   800-782-7282 WA REF #2444500MJ2X8PHAGE"/>
        <s v="TST* Red Cow - 50th St   612-767-4411 MN REF #2469216MJ339S9B5H"/>
        <s v="Withdrawal ACH MHCHILDCARELLC TYPE: DUES ID: 1824708198 CO: MHCHILDCARELLC Entry Class Code: PPD ACH Trace Number: 096010411266341"/>
        <s v="Withdrawal ACH MN DIR ACH TYPE: CONTRIB ID: 2416007162 CO: MN DIR ACH NAME: 836 89742742601 Entry Class Code: WEB ACH Trace Number: 011001234740135"/>
        <s v="Withdrawal ACH Ridgeview Medica TYPE: ONLINE PAY ID: RF00059954 CO: Ridgeview Medica NAME: JEFF TRUITT Entry Class Code: WEB ACH Trace Number: 063112145568432"/>
        <s v="AMZN MKTP US*H86NM8TE0 AMZN.COM/BILLWA_x000a_3N5VC289HWY"/>
        <s v="AMZN MKTP US*H80YD0GF0 AMZN.COM/BILLWA_x000a_7AMVK2D2VM8"/>
        <s v="Draft 2347 Tracer 990000442"/>
        <s v="KWIK TRIP  40200004028   CHANHASSEN   MN REF #2416407MLL3HMFNP7"/>
        <s v="SPEEDWAY 04366           EXCELSIOR    MN REF #2413746MM01D58P4W"/>
        <s v="WALGREENS #12434         EXCELSIOR    MN REF #2444500MM00W294JT"/>
        <s v="BONFES PLUMBING HEATING A651-3326633  MN REF #2427539MMS66E823V"/>
        <s v="Netflix.com              866-5797172  CA REF #2490641MM4KVP914L"/>
        <s v="Withdrawal ACH CITY OF CHANHASS TYPE: UTIL BILL ID: 1410885331 CO: CITY OF CHANHASS Entry Class Code: PPD ACH Trace Number: 091901960164998"/>
        <s v="Withdrawal ACH PAYPAL TYPE: INST XFER ID: PAYPALSI77 CO: PAYPAL NAME: JEFF TRUITT Entry Class Code: WEB ACH Trace Number: 091000011928434"/>
        <s v="Withdrawal ACH VENMO TYPE: PAYMENT ID: 326XXXXXXX CO: VENMO NAME: BRITNEY TRUITT Entry Class Code: WEB ACH Trace Number: 091000014748126"/>
        <s v="AMZN MKTP US*HT39A9R62 AMZN.COM/BILLWA_x000a_2OZS5E3AFEP"/>
        <s v="AMZN MKTP US*H80NG8QI1 AMZN.COM/BILLWA_x000a_3QGKXROMAWI"/>
        <s v="AMZN MKTP US*H84PA2780 AMZN.COM/BILLWA_x000a_69V9URG5OJL"/>
        <s v="ARBORETUM APPLEHOUSE     CHASKA       MN REF #2413829MP2M7WMM1H"/>
        <s v="ARBORETUM APPLEHOUSE     CHASKA       MN REF #2413829MP2M7WMM1T"/>
        <s v="CUB FOODS #5704          MINNETONKA   MN REF #2442733MPM83LJADA"/>
        <s v="Deposit ACH CARGILL INCORPOR TYPE: 004XXXXXXX ID: 2410177680 CO: CARGILL INCORPOR Entry Class Code: CTX ACH Trace Number: 111000022138100"/>
        <s v="LAKESHORE MARKET &amp; MORE  EXCELSIOR    MN REF #2405522MRRDQ8F0GE"/>
        <s v="LS SOUTH LAKE CYCLE      952-4743179  MN REF #2449216MP001A7HND"/>
        <s v="SQ *JES NATURALS         Excelsior    MN REF #2469216MP2XVQPJPP"/>
        <s v="Withdrawal Home Banking Transfer To Share 12 REF # 1372170"/>
        <s v="BUDDY BOY FINE BARBEQUE  MINNETRISTA  MN REF #2403724MRS66MFQX1"/>
        <s v="Draft 2348 Tracer 990001750"/>
        <s v="PAYPAL *PELOTONINTE 402-935-7733 CA"/>
        <s v="TST* Olives Fresh Excels 612-232-4677 MN REF #2469216MR2Y6EFNZ4"/>
        <s v="Withdrawal ACH PAYPAL TYPE: INST XFER ID: PAYPALSI77 CO: PAYPAL NAME: JEFF TRUITT Entry Class Code: WEB ACH Trace Number: 091000018365904"/>
        <s v="2023 GRANDMAS MARATHON   HTTPSRACEROSTMA REF #2449216MS0006A6KP"/>
        <s v="TST* MACANDA WAYZATA MN"/>
        <s v="Withdrawal ACH MHCHILDCARELLC TYPE: DUES ID: 1824708198 CO: MHCHILDCARELLC Entry Class Code: PPD ACH Trace Number: 096010419532301"/>
        <s v="Withdrawal ACH Ridgeview Medica TYPE: ONLINE PAY ID: RF00059954 CO: Ridgeview Medica NAME: JEFF TRUITT Entry Class Code: WEB ACH Trace Number: 063112145781214"/>
        <s v="Withdrawal ACH TARGET CARD SRVC TYPE: AUTO PYMT ID: 1411721813 CO: TARGET CARD SRVC NAME: TRUITT JEFFREY B Entry Class Code: WEB ACH Trace Number: 091000012746854"/>
        <s v="AMAZON.COM*H07VD9120 AMZN.COM/BILLWA_x000a_2L2QC9RADTX"/>
        <s v="MPLSMETERSAPP 8090 612-3437275 MN"/>
        <s v="STARBUCKS 800-782-7282   800-782-7282 WA REF #2444500MS2X8WSM3F"/>
        <s v="Withdrawal ACH DISCOVER TYPE: E-PAYMENT ID: 2510020270 CO: DISCOVER NAME: TRUITT JEFF Entry Class Code: WEB ACH Trace Number: 091000016240370"/>
        <s v="AMZN MKTP US*H017V0J81 AMZN.COM/BILLWA_x000a_73L2ADNLMCN"/>
        <s v="AMZN MKTP US*H80ZH1612 AMZN.COM/BILLWA_x000a_DJKC5O0T4SQ"/>
        <s v="Deposit ACH CARGILL INCORPOR TYPE: DIRECT DEP ID: 9111111101 CO: CARGILL INCORPOR Entry Class Code: PPD ACH Trace Number: 091000016886658"/>
        <s v="Draft 2350 Tracer XX1247"/>
        <s v="KWIK TRIP  40200004028   CHANHASSEN   MN REF #2416407MVL3HN4GKV"/>
        <s v="PAYPAL *LLBEANINC"/>
        <s v="Withdrawal ACH PAYPAL TYPE: INST XFER ID: PAYPALSI77 CO: PAYPAL NAME: JEFF TRUITT Entry Class Code: WEB ACH Trace Number: 091000011436195"/>
        <s v="LAKEWINDS - CHANHASSEN   CHANHASSEN   MN REF #2405523MXRBGMQ4S2"/>
        <s v="TST* Demi                Minneapolis  MN REF #2469216MW30XDFR0D"/>
        <s v="Withdrawal ACH PAYPAL TYPE: INST XFER ID: PAYPALSI77 CO: PAYPAL NAME: JEFF TRUITT Entry Class Code: WEB ACH Trace Number: 021000024502023"/>
        <s v="D J*WALL-ST-JOURNAL      800-568-7625 MA REF #2469216MY32JBYSSE"/>
        <s v="Deposit ACH TRINET TYPE: PAYROLL ID: 194XXXXXXX CO: TRINET Entry Class Code: PPD ACH Trace Number: 041001034794180"/>
        <s v="SPEEDWAY 04551           SAVAGE       MN REF #2413746MZ01A1HT27"/>
        <s v="TST* Nautical Bowls SavagSavage       MN REF #2469216MY32T2QV3X"/>
        <s v="AMZN MKTP US*H26AW6C00 AMZN.COM/BILLWA_x000a_Z2LB59HU27V"/>
        <s v="Deposit Dividend Split Rate Annual Percentage Yield Earned 0.59% from 10/01/22 through 10/31/22"/>
        <s v="LUNDS&amp;BYERLYS CHANH      CHANHASSEN   MN REF #2442733MZM83BTB26"/>
        <s v="PAYPAL *LLBEANINC 402-935-7733 CA"/>
        <s v="PRESCHOOL SMILES         187-738-1827 MN REF #2449215MZLY607TY2"/>
        <s v="SHOREWOOD TRUE VALUE     EXCELSIOR    MN REF #2480197N0BMD9L0DB"/>
        <s v="Withdrawal ACH PAYPAL TYPE: INST XFER ID: PAYPALSI77 CO: PAYPAL NAME: JEFF TRUITT Entry Class Code: WEB ACH Trace Number: 091000016276647"/>
        <s v="PAYMENT - THANK YOU REF #7473457N100XTMJG6"/>
        <s v="Withdrawal ACH VENMO TYPE: PAYMENT ID: 326XXXXXXX CO: VENMO NAME: BRITNEY TRUITT Entry Class Code: WEB ACH Trace Number: 091000014898671"/>
        <s v="AMAZON MUSIC*H084I3K71 888-802-3080 WA_x000a_37D15L8093J"/>
        <s v="AMZN MKTP US*H27HT74E0 AMZN.COM/BILLWA_x000a_77T8Q73PXZG"/>
        <s v="KWIK TRIP 47700004770 ST BONIFACIUSMN REF #2416407N0L3HMR65W"/>
        <s v="MACKENTHUN`S MEATS &amp; DELISAINT BONIFACMN REF #2455194N00VYXL04J"/>
        <s v="Withdrawal ACH College Savings TYPE: ACH ID: 550895818 CO: College Savings Entry Class Code: PPD ACH Trace Number: 104910799340183"/>
        <s v="Withdrawal ACH MHCHILDCARELLC TYPE: DUES ID: 1824708198 CO: MHCHILDCARELLC Entry Class Code: PPD ACH Trace Number: 096010413704291"/>
        <s v="Withdrawal Home Banking Transfer To Loan 02 REF # 1497826"/>
        <s v="Payments Home Banking Transfer From Share 70 REF # 1497826"/>
        <s v="Draft 2351 Tracer XX3044"/>
        <s v="AMAZON.COM*H20SD2N80 AMZN.COM/BILLWA_x000a_1K4Z7U6G5EF"/>
        <s v="AMZN MKTP US*H080520F2 AMZN.COM/BILLWA_x000a_1NY2CKBUDQ1"/>
        <s v="CARIBOU COFFEE CO #1164 EXCELSIOR MN REF #2444500N1EJ1P5RQW"/>
        <s v="L2G*CARVERCO LIBRARIES 95CHANHASSEN MN REF #2469216N134DB50DB"/>
        <s v="AMZN MKTP US AMZN.COM/BILLWA_x000a_27AXUA0PXO9"/>
        <s v="AMZN MKTP US AMZN.COM/BILLWA_x000a_2DCOLZX1WPR"/>
        <s v="AMZN MKTP US AMZN.COM/BILLWA_x000a_68R7W8IUX7W"/>
        <s v="Deposit ACH CARGILL INCORPOR TYPE: 004XXXXXXX ID: 2410177680 CO: CARGILL INCORPOR Entry Class Code: CTX ACH Trace Number: 111000026133521"/>
        <s v="HBRSUBSCRIPTION 800-988-0886 MA REF #2449215N2LTX78S7E"/>
        <s v="Withdrawal ACH VENMO TYPE: PAYMENT ID: 326XXXXXXX CO: VENMO NAME: BRITNEY TRUITT Entry Class Code: WEB ACH Trace Number: 091000012718247"/>
        <s v="Withdrawal ACH XCEL ENERGY-MN TYPE: XCELENERGY ID: 7411967505 CO: XCEL ENERGY-MN NAME: BCU POWERPLUS456049222 Entry Class Code: WEB ACH Trace Number: 091000016204601"/>
        <s v="HM.COM 855-4667467 NY REF #2420429N401BVGD14"/>
        <s v="JIMMY JOHNS - 724 - E- 952-401-4321 MN REF #2426979N3EJ3E7WX5"/>
        <s v="AMZN MKTP US*H20SA06F0 AMZN.COM/BILLWA_x000a_3ZN1OCZ7WZ7"/>
        <s v="AMZN MKTP US*H241M0XB1 AMZN.COM/BILLWA_x000a_40RJBCW7VG2"/>
        <s v="AMAZON.COM*H24MR0U50 AMZN.COM/BILLWA_x000a_1OJ04719APA"/>
        <s v="CUB FOODS #1636 SHOREWOOD MN REF #2442733N4M83VK58E"/>
        <s v="CUB FOODS #1636 SHOREWOOD MN REF #2442733N5M83P03MR"/>
        <s v="SPEEDWAY 04366 EXCELSIOR MN REF #2413746N601AAZ1F9"/>
        <s v="BARNES&amp;NOBLE PAPERSOURCE 800-843-2665 NY REF #2413746N70197Q8HX"/>
        <s v="CHASKA 952-448-5112 MN REF #2423168N62DD8M50T"/>
        <s v="STAGES THEATRE COMPANY 952-979-1108 MN REF #2463269N6EJ46MK7T"/>
        <s v="WENDY S 419 CHANHASSEN MN REF #2444500N62XK3JHBS"/>
        <s v="Withdrawal ACH VENMO TYPE: PAYMENT ID: 326XXXXXXX CO: VENMO NAME: BRITNEY TRUITT Entry Class Code: WEB ACH Trace Number: 091000014700996"/>
        <s v="CSC SERVICEWORK CHANHASSEN MN REF #2405523N8BM9S54G8"/>
        <s v="CUB FOODS SSS CHANHASSEN CREDIT REF #7442733N6M83BVWKY"/>
        <s v="DUNKIN #342230 Q35 BOSTON MA"/>
        <s v="DUNKIN #342231 Q35 BOSTON MA"/>
        <s v="SPEEDWAY 04366 EXCELSIOR MN REF #2413746N801DE6EQR"/>
        <s v="Withdrawal ACH MHCHILDCARELLC TYPE: DUES ID: 1824708198 CO: MHCHILDCARELLC Entry Class Code: PPD ACH Trace Number: 096010417768467"/>
        <s v="WPY*FIREBOX REDWOOD CITY MN REF #2469216N72Z8GY7QN"/>
        <s v="Withdrawal ACH DISCOVER TYPE: E-PAYMENT ID: 2510020270 CO: DISCOVER NAME: TRUITT JEFF Entry Class Code: WEB ACH Trace Number: 091000017669318"/>
        <s v="Deposit ACH CARGILL INCORPOR TYPE: DIRECT DEP ID: 9111111101 CO: CARGILL INCORPOR Entry Class Code: PPD ACH Trace Number: 091000017986445"/>
        <s v="PAYPAL *JCPENNEY.CO 402-935-7733 CA"/>
        <s v="PELOTON* MEMBERSHIP HTTPSWWW.ONEPNY REF #2401134N8000X6NH4"/>
        <s v="RVT*MTKA PUB SCHLS-WEB 952-4015000 MN REF #2490641N84M58868N"/>
        <s v="WHOLEFDS WOB 10233 WOBURN MA"/>
        <s v="BCS*MINNETONKA COMMUNITY 952-401-6800 MN REF #2413746NA01QVQQNA"/>
        <s v="CUB FOODS #1636 SHOREWOOD MN REF #2442733N9M83K58MP"/>
        <s v="CUB FOODS #1636 SHOREWOOD MN REF #2442733N9M83K5EW7"/>
        <s v="ANNTAYLOR LOFT.COM #61 800-342-5266 CT REF #2443106NA2DALLSBP"/>
        <s v="DELAWARE NORTH LOGAN F&amp;B EAST BOSTON MA"/>
        <s v="TST* DUKES ON 7 612-205-3286 MN_x000a_APPLE PAY ENDING IN 3050_x000a_00017403009290082903AA"/>
        <s v="AMAZON.COM*HB0RS5DY1 AMZN.COM/BILLWA_x000a_5XMPKKXAYG3"/>
        <s v="CENTURYLINK SIMPLE 800-201-4099 LA REF #2444500NQ2XFB6RPT"/>
        <s v="Deposit ACH TRINET TYPE: PAYROLL ID: 194XXXXXXX CO: TRINET Entry Class Code: PPD ACH Trace Number: 041001032900335"/>
        <s v="HM.COM 855-4667 CREDIT REF #7420429ND01GD3GSL"/>
        <s v="IVS VENDING MASSAGE HOPKINS MN REF #2405523NDBLVALY3E"/>
        <s v="IVS VENDING MASSAGE HOPKINS MN REF #2405523NDBLVALYAM"/>
        <s v="LULULEMON SHOPS@WEST ST LOUIS PARKMN REF #2469216ND335X5GJK"/>
        <s v="Prime Video*HB8FP45O1 888-802-3080 WA REF #2469216NQ32VL2797"/>
        <s v="AMZN MKTP US AMZN.COM/BILLWA_x000a_4C6HJGFDNAO"/>
        <s v="BALSAM HILL US 888-552-2572 CA REF #2449215NDMLLMJWDK"/>
        <s v="BIG BOWL RIDGEDALE MINNETONKA MN REF #2443106NE2M8ZYM7R"/>
        <s v="Deposit ACH connectyourcare TYPE: SVB-CLAIMS ID: E942875288 CO: connectyourcare Entry Class Code: PPD ACH Trace Number: 121140393237448"/>
        <s v="HILTON GARDEN INN BOSTON EAST BOSTON MA REF #2427539NDS66LR9LJ"/>
        <s v="WENDY S 402 MINNETONKA MN REF #2444500ND2XKBNMVV"/>
        <s v="Withdrawal ACH PAYPAL TYPE: INST XFER ID: PAYPALSI77 CO: PAYPAL NAME: JEFF TRUITT Entry Class Code: WEB ACH Trace Number: 091000017805072"/>
        <s v="Withdrawal ACH AMERICAN FAMILY TYPE: WEBPAYMENT ID: PEBP075965 CO: AMERICAN FAMILY NAME: Authorized by Customer Entry Class Code: WEB ACH Trace Number: 021000021488418"/>
        <s v="CHIPOTLE ONLINE CHIPOTLE.COM CA REF #2443106NF2DKJ4VR9"/>
        <s v="CHIPOTLE ONLINE CHIPOTLE.COM CA REF #2443106NF2DYKM1PX"/>
        <s v="LULULEMONCOM* 877-263-9300 CA REF #2469216NE340BLETM"/>
        <s v="Withdrawal ACH MHCHILDCARELLC TYPE: DUES ID: 1824708198 CO: MHCHILDCARELLC Entry Class Code: PPD ACH Trace Number: 096010419404087"/>
        <s v="Withdrawal ACH PAYPAL TYPE: INST XFER ID: PAYPALSI77 CO: PAYPAL NAME: JEFF TRUITT Entry Class Code: WEB ACH Trace Number: 021000026457709"/>
        <s v="PAYMENT - THANK YOU REF #7473457NG00XTMJG7"/>
        <s v="AMAZON.COM*HI9F62JP0 AMZNAMZN.COM/BILLWA REF #2443106NF2DYS0Z1D"/>
        <s v="FOSS SWIM SCHOOL HTTPSWWW.FOSSMN REF #2401134NF0015R0NY"/>
        <s v="MCDONALD'S F6591 CHANHASSEN MN_x000a_APPLE PAY ENDING IN 3050"/>
        <s v="AMAZON.COM*HB2XT6252 AMZNAMZN.COM/BILLWA REF #2443106NG2DKAYHVY"/>
        <s v="Prime Video*HB4JG6D42 888-802-3080 WA REF #2469216NH35Y654ZJ"/>
        <s v="Withdrawal ACH PAYPAL TYPE: INST XFER ID: PAYPALSI77 CO: PAYPAL NAME: JEFF TRUITT Entry Class Code: WEB ACH Trace Number: 091000018141757"/>
        <s v="KWIK TRIP 40200004028 CHANHASSEN MN REF #2416407NHL3HES8GQ"/>
        <s v="Prime Video 888-802- CREDIT REF #7469216NH36DEKA0T"/>
        <s v="Prime Video 888-802- CREDIT REF #7469216NH36DVPJP5"/>
        <s v="Withdrawal ACH CPENERGY MNGCO TYPE: MGC ACH EB ID: 176051140S CO: CPENERGY MNGCO NAME: CENTERPOINT ENERGY OTP Entry Class Code: WEB ACH Trace Number: 021000029674509"/>
        <s v="Withdrawal ACH MN DIR ACH TYPE: CONTRIB ID: 2416007162 CO: MN DIR ACH NAME: 872 89742742601 Entry Class Code: WEB ACH Trace Number: 011001232667657"/>
        <s v="Withdrawal ACH PAYPAL TYPE: INST XFER ID: PAYPALSI77 CO: PAYPAL NAME: JEFF TRUITT Entry Class Code: WEB ACH Trace Number: 091000013537225"/>
        <s v="Withdrawal ACH PAYPAL TYPE: INST XFER ID: PAYPALSI77 CO: PAYPAL NAME: JEFF TRUITT Entry Class Code: WEB ACH Trace Number: 091000016018093"/>
        <s v="Withdrawal at ATM #000000359799 455 POND PROMENADE CHANHASSEN MN"/>
        <s v="AMZN MKTP US*HI28K1K90 AMZN.COM/BILLWA_x000a_58EEP5EMIXR"/>
        <s v="DELTA AIR 0062349191324DELTA.COM CA REF #2471705NKTD89P26Y"/>
        <s v="Deposit ACH eBay TYPE: PAYOUT ID: 426XXXXXXX CO: eBay Entry Class Code: CCD ACH Trace Number: 091000012604238"/>
        <s v="KOWALSKI'S EXCELSIO EAGAN MN REF #2442733NKLM8PBDJR"/>
        <s v="LYFT RIDE THU 2PM 855-865-9553 CA REF #2449215NJMN9T7V6W"/>
        <s v="TST* Olives Fresh Excels 612-232-4677 MN REF #2469216NK2Y4D00JV"/>
        <s v="1TARGET CENTER MINNEAPOLIS MN REF #2494300NLW5W9GER3"/>
        <s v="BONFES PLUMBING HEATING A651-3326633 MN REF #2427539NLS66G0VL5"/>
        <s v="COUNTRY CLUB LANES EXCELSIOR MN REF #2413829NL60T2JMV2"/>
        <s v="MISTER CAR WASH #606 - ST LOUIS PARKMN"/>
        <s v="NETFLIX.COM NETFLIX.COM CA REF #2469216NL2Z3DXQB9"/>
        <s v="SPEEDWAY 04095 CHASKA MN REF #2413746NM0186SK0J"/>
        <s v="TST* PUB 819 HOPKINS MN_x000a_00003508009419325091AA"/>
        <s v="TST* Red Rabbit - MinneapMinneapolis MN REF #2469216NL2Z1RJ9FG"/>
        <s v="Withdrawal ACH CITY OF CHANHASS TYPE: UTIL BILL ID: 1410885331 CO: CITY OF CHANHASS Entry Class Code: PPD ACH Trace Number: 091901960169241"/>
        <s v="AMAZON.COM AMZN.COM/BILL AMZN.COM/BILLWA REF #7443106NM2D9SQVH8"/>
        <s v="AMZN MKTP US*HW2656331 AMZN.COM/BILLWA_x000a_E1QFNSTXDOJ"/>
        <s v="AMZN MKTP US*HW9HO4O61 AMZN.COM/BILLWA_x000a_6P2YJNWE12A"/>
        <s v="AVO*ADVOCARE INTL 800-542-4800 TX REF #2469216NM2ZNAX05M"/>
        <s v="B RAMP 8066 MINNEAPOLIS MN REF #2478930NM1W88WYDS"/>
        <s v="PRIMP EXCELSIOR EXCELSIOR MN REF #2449398NNBLT5WKSR"/>
        <s v="THE HOME DEPOT #2825 CHASKA MN REF #2494301NM09FT2JMB"/>
        <s v="AMZN Mktp US*HW6R211O0 Amzn.com/billWA REF #2469216NN30X2XBZG"/>
        <s v="BCS*MINNETONKA COMMUNITY 952-401-6800 MN REF #2413746NP01KZHP18"/>
        <s v="BCS*MINNETONKA COMMUNITY 952-401-6800 MN REF #2413746NP01KZHP3V"/>
        <s v="BCS*MINNETONKA COMMUNITY 952-401-6800 MN REF #2413746NP01KZHP97"/>
        <s v="Deposit ACH PAYPAL TYPE: TRANSFER ID: PAYPALSD11 CO: PAYPAL Entry Class Code: PPD ACH Trace Number: 091000010140406"/>
        <s v="Deposit Home Banking Transfer From Share 70 REF # 1821628"/>
        <s v="KOWALSKI'S EXCELSIO EAGAN MN REF #2442733NNLM8KZFMK"/>
        <s v="LAKEWINDS - CHANHASSEN CHANHASSEN MN REF #2405523NPRBGNX0DK"/>
        <s v="TARGET 00008623 CHANHASSEN MN REF #2416407NN2LRFZQ1F"/>
        <s v="WALGREENS #9728 CHANHASSEN MN REF #2444500NP00ZMYEHG"/>
        <s v="Withdrawal ACH MHCHILDCARELLC TYPE: DUES ID: 1824708198 CO: MHCHILDCARELLC Entry Class Code: PPD ACH Trace Number: 096010416456818"/>
        <s v="Withdrawal ACH PAYPAL TYPE: INST XFER ID: PAYPALSI77 CO: PAYPAL NAME: JEFF TRUITT Entry Class Code: WEB ACH Trace Number: 091000015326865"/>
        <s v="Withdrawal Home Banking Transfer To Share 12 REF # 1821628"/>
        <s v="All Seasons Garment Care Excelsior MN REF #2419304NR02XPW5Q5"/>
        <s v="ANNTAYLOR LOFT.COM #61 800-342-5266 CT REF #2443106NP2D9ZET74"/>
        <s v="BCS*MINNETONKA COMMUNITY 952-401-6800 MN REF #2413746NR01SKZEAR"/>
        <s v="BCS*MINNETONKA COMMUNITY EXCELSIOR MN REF #7413746NP01RMXD0Y"/>
        <s v="Deposit ACH CARGILL INCORPOR TYPE: DIRECT DEP ID: 9111111101 CO: CARGILL INCORPOR Entry Class Code: PPD ACH Trace Number: 091000014980982"/>
        <s v="Deposit ACH EMPYREAN SOLUTIO TYPE: 193XXXXXXX ID: 5330903620 CO: EMPYREAN SOLUTIO Entry Class Code: PPD ACH Trace Number: 091000017234607"/>
        <s v="Kids Hair - CH Chanhassen MN REF #2479338NP00XHRVA6"/>
        <s v="SP UNRL.CO UNRL.MYSHOPIFMN REF #2449216NP001Q1S4E"/>
        <s v="SPEEDWAY 04186 RICHFIELD MN REF #2413746NR0189GSFT"/>
        <s v="VINEYARD VINES LLC 800-892-4982 CT REF #2449215NRLW1L5D89"/>
        <s v="CHICKEN N PICKLE OVERLAND PARKKS"/>
        <s v="JJ`S POKE EDINA MN REF #2445351NR0VYFTG78"/>
        <s v="MAGGIANOS KANSAS CITY OVERLAND PARKKS REF #2423168NT8AE3HAP3"/>
        <s v="TRAIL'S TA TRAVEL CENT ALBERT LEA MN REF #2442733NRLYPPD6B9"/>
        <s v="TRAIL'S TA TRAVEL CENT ALBERT LEA MN REF #2442733NRLYPPD6QK"/>
        <s v="TRAIL'S TRAVEL CENT ALBERT LEA MN REF #2442733NRLYPPDD55"/>
        <s v="Withdrawal ACH PAYPAL TYPE: INST XFER ID: PAYPALSI77 CO: PAYPAL NAME: JEFF TRUITT Entry Class Code: WEB ACH Trace Number: 091000011361558"/>
        <s v="Withdrawal ACH PAYPAL TYPE: INST XFER ID: PAYPALSI77 CO: PAYPAL NAME: JEFF TRUITT Entry Class Code: WEB ACH Trace Number: 091000015929588"/>
        <s v="Withdrawal ACH TARGET CARD SRVC TYPE: AUTO PYMT ID: 1411721813 CO: TARGET CARD SRVC NAME: TRUITT JEFFREY B Entry Class Code: WEB ACH Trace Number: 091000014386965"/>
        <s v="Withdrawal ACH VENMO TYPE: PAYMENT ID: 326XXXXXXX CO: VENMO NAME: BRITNEY TRUITT Entry Class Code: WEB ACH Trace Number: 091000012550561"/>
        <s v="Withdrawal ACH VENMO TYPE: PAYMENT ID: 326XXXXXXX CO: VENMO NAME: BRITNEY TRUITT Entry Class Code: WEB ACH Trace Number: 091000012978619"/>
        <s v="AMZN MKTP US*HW0WU0261 AMZN.COM/BILLWA_x000a_1RGHE2D0OFA"/>
        <s v="AMZN MKTP US*HW4LP5S11 AMZN.COM/BILLWA_x000a_2SQ5SU5PA2L"/>
        <s v="AMZN Mktp US*HW11121A2 Amzn.com/billWA REF #2469216NS33EGY3P5"/>
        <s v="D J*WALL-ST-JOURNAL 800-568-7625 MA REF #2469216NS33QG6LXH"/>
        <s v="HY-VEE OVERLAND PARK 1509OVERLAND PARKKS REF #2413746NS0141Q7RJ"/>
        <s v="JCPENNEY 2990 OVERLAND PARKKS REF #2443106NTR7MDW0ZH"/>
        <s v="JOES KANSAS CITY BBQ-LEA olo.com KS REF #2405522NSBLPJQMSQ"/>
        <s v="KUM&amp;GO 1113 AMES AMES IA REF #2469216NT32FXWQGV"/>
        <s v="QT 204 KANSAS CITY MO REF #2469216NT32JFSNHB"/>
        <s v="QT 204 KANSAS CITY MO REF #2469216NT32JGDPLE"/>
        <s v="SP MAVI USA HTTPSMAVIGIYINY REF #2449216NS001PRQQ2"/>
        <s v="SP SENDJOESKCBBQ SENDJOESBARBQKS REF #2449216NT000SGK7W"/>
        <s v="SP SOTA CLOTHING SPENCEDESIGNSMN REF #2449216NS0017Q96A"/>
        <s v="AMZN Mktp US*HW68316W2 Amzn.com/billWA REF #2469216NW34J15NX9"/>
        <s v="AMZN MKTP US*HW68K9KO2 AMZN.COM/BILLWA_x000a_HYP525HEEVI"/>
        <s v="PAYPAL *DOMINO'S 1931 402-935-2244 CA"/>
        <s v="Sorel Footwear US 888-6976735 OR REF #2420429NW00N78A4T"/>
        <s v="Withdrawal ACH PAYPAL TYPE: INST XFER ID: PAYPALSI77 CO: PAYPAL NAME: JEFF TRUITT Entry Class Code: WEB ACH Trace Number: 091000010040802"/>
        <s v="Withdrawal ACH PAYPAL TYPE: INST XFER ID: PAYPALSI77 CO: PAYPAL NAME: JEFF TRUITT Entry Class Code: WEB ACH Trace Number: 091000011081953"/>
        <s v="Withdrawal ACH PAYPAL TYPE: INST XFER ID: PAYPALSI77 CO: PAYPAL NAME: JEFF TRUITT Entry Class Code: WEB ACH Trace Number: 091000016909884"/>
        <s v="AMAZON.COM AMZN.COM/BILL AMZN.COM/BILLWA REF #7443106NW2D9P975P"/>
        <s v="AMZN MKTP US AMZN.COM/BILLWA_x000a_1RP2F7L7TT2"/>
        <s v="AMZN MKTP US AMZN.COM/BILLWA_x000a_4KDH6DF3KI8"/>
        <s v="AMZN MKTP US AMZN.COM/BILLWA_x000a_A2522MV4EOE"/>
        <s v="CASEYS #2550 OSCEOLA IA REF #2444500NW8PY02J8H"/>
        <s v="Deposit ACH PAYPAL TYPE: TRANSFER ID: PAYPALSD11 CO: PAYPAL Entry Class Code: PPD ACH Trace Number: 091000016011060"/>
        <s v="Deposit ACH TRINET TYPE: PAYROLL ID: 194XXXXXXX CO: TRINET Entry Class Code: PPD ACH Trace Number: 041001030026891"/>
        <s v="HAMPTON INN OVERLAND OVERLAND PARKKS REF #2490604NW16PRY0JL"/>
        <s v="KUM&amp;GO 0302 CLEAR LA CLEAR LAKE IA REF #2469216NW34NW7JNT"/>
        <s v="TST* Zombie Burger EV Des Moines IA REF #2469216NW34NEL0A7"/>
        <s v="Withdrawal ACH MHCHILDCARELLC TYPE: DUES ID: 1824708198 CO: MHCHILDCARELLC Entry Class Code: PPD ACH Trace Number: 096010415742056"/>
        <s v="Withdrawal ACH PAYPAL TYPE: INST XFER ID: PAYPALSI77 CO: PAYPAL NAME: JEFF TRUITT Entry Class Code: WEB ACH Trace Number: 091000011973024"/>
        <s v="Withdrawal ACH PAYPAL TYPE: INST XFER ID: PAYPALSI77 CO: PAYPAL NAME: JEFF TRUITT Entry Class Code: WEB ACH Trace Number: 091000012061551"/>
        <s v="PAYMENT - THANK YOU REF #7473457NY00XTMJG1"/>
        <s v="AMZN Mktp US Amzn.com/billWA REF #7469216NX35JLD8GE"/>
        <s v="AMZN Mktp US Amzn.com/billWA REF #7469216NX35LNYMM8"/>
        <s v="ANNTAYLOR LOFT.COM #61 800-342-5266 CT REF #2443106NX2DDL0W30"/>
        <s v="BLUEFIN BAY FAMILY OF TOFTE MN REF #2400097NX31KB4JPF"/>
        <s v="Deposit ACH EMPYREAN SOLUTIO TYPE: 193XXXXXXX ID: 5330903620 CO: EMPYREAN SOLUTIO Entry Class Code: PPD ACH Trace Number: 091000011686043"/>
        <s v="Deposit Dividend Split Rate Annual Percentage Yield Earned 0.58% from 11/01/22 through 11/30/22"/>
        <s v="Deposit Dividend Split Rate Annual Percentage Yield Earned 1.50% from 11/01/22 through 11/30/22"/>
        <s v="PAYPAL *EDDIE BAUER 402-935-7733 CA"/>
        <s v="TARGET 00008623 CHANHASSEN MN REF #2416407NX2LR7YN7V"/>
        <s v="Withdrawal ACH WASTE MANAGEMENT TYPE: INTERNET ID: 9049038216 CO: WASTE MANAGEMENT Entry Class Code: PPD ACH Trace Number: 043305131798822"/>
        <s v="Withdrawal ACH DISCOVER TYPE: E-PAYMENT ID: 2510020270 CO: DISCOVER NAME: TRUITT JEFF Entry Class Code: WEB ACH Trace Number: 091000010371432"/>
        <s v="AMAZON MUSIC*4O2665TA3 888-802-3080 WA_x000a_2PN2CPFJMG5"/>
        <s v="AMZN MKTP US*JT2JV42Z3 AMZN.COM/BILLWA_x000a_6XWJA8JZ3U6"/>
        <s v="Deposit ACH CARGILL INCORPOR TYPE: 005XXXXXXX ID: 2410177680 CO: CARGILL INCORPOR Entry Class Code: CTX ACH Trace Number: 111000028490340"/>
        <s v="ORDWAY CENTER FOR THE PERSAINT PAUL MN REF #2471705NZ4ES7H0YL"/>
        <s v="SPEEDWAY 04366 EXCELSIOR MN REF #2413746NZ010KX8ST"/>
        <s v="Withdrawal ACH College Savings TYPE: ACH ID: 550895818 CO: College Savings Entry Class Code: PPD ACH Trace Number: 104910790826846"/>
        <s v="Withdrawal Home Banking Transfer To Loan 02 REF # 1940599"/>
        <s v="Payments Home Banking Transfer From Share 70 REF # 1940599"/>
        <s v="Draft 2352 Tracer XX3043"/>
        <s v="AMAZON.COM*T96FH3OH3 AMZN.COM/BILLWA_x000a_59HSQXQ7KP9"/>
        <s v="CUB FOODS CHANHASSEN MN REF #2442733NZM83KBXG4"/>
        <s v="LUNDS&amp;BYERLYS CHANH CHANHASSEN MN REF #2442733NZM83KWYMA"/>
        <s v="TM *PAW PATROL LIVE HE 800-653-8000 CA REF #2469216NZ2XSZVA36"/>
        <s v="USPS PO 2616400317 CHANHASSEN MN REF #2413746P0012D56EF"/>
        <s v="AMAZON.COM*4O8Y52KK3 AMZNAMZN.COM/BILLWA REF #2443106P02DK8JFRK"/>
        <s v="AMZN MKTP US*0F0807XI3 AMZN.COM/BILLWA_x000a_921W57VCN7A"/>
        <s v="CARIBOU COFFEE CO #116 CHANHASSEN MN REF #2444500P0EHZ6715F"/>
        <s v="COUNTRY CLUB LANES EXCELSIOR MN REF #2413829P160T2JMPB"/>
        <s v="CUB FOODS #1636 SHOREWOOD MN REF #2442733P0M83SLKJH"/>
        <s v="Deposit ACH PAYPAL TYPE: TRANSFER ID: PAYPALSD11 CO: PAYPAL Entry Class Code: PPD ACH Trace Number: 091000017097313"/>
        <s v="EVEREVE - 60 HOPKINS MN REF #2426979P1EJ9HSVYN"/>
        <s v="HBRSUBSCRIPTION 800-988-0886 MA REF #2449215P0LW6RZN9L"/>
        <s v="LOFT 1598 RIDGEDALE CENT MINNETONKA MN REF #7443106P1LHGE6LVA"/>
        <s v="MAYNARDS R* MAYNARDS E MAYNARDSEXCELMN REF #2449216P2000543KR"/>
        <s v="SHUTTERFLY, INC. 650-610-5200 CA REF #2449215P0LW5M7KAX"/>
        <s v="AMZN MKTP US*S71FT9V33 AMZN.COM/BILLWA_x000a_ALAYA7Q4FN2"/>
        <s v="TARGET 00008623 CHANHASSEN MN REF #2416407P22LRFX6Z4"/>
        <s v="SHUTTERFLY, INC. 650-610-5200 CA REF #2449215P4LR3FGF3J"/>
        <s v="TST* Pub 819 Hopkins MN REF #2469216P32Y9EWASH"/>
        <s v="Withdrawal ACH Coinbase.com TYPE: RUJZ4A7V ID: 1455293997 CO: Coinbase.com NAME: JEFF TRUITT Entry Class Code: WEB ACH Trace Number: 021214892822441"/>
        <s v="Withdrawal ACH MHCHILDCARELLC TYPE: DUES ID: 1824708198 CO: MHCHILDCARELLC Entry Class Code: PPD ACH Trace Number: 096010414036413"/>
        <s v="Withdrawal ACH XCEL ENERGY-MN TYPE: XCELENERGY ID: 7411967505 CO: XCEL ENERGY-MN NAME: BCU POWERPLUS460099821 Entry Class Code: WEB ACH Trace Number: 091000016119405"/>
        <s v="AMZN MKTP US*UT19U6AO3 AMZN.COM/BILLWA_x000a_33YRBS4JKJJ"/>
        <s v="THE NORMAL BRAND THENORMALBRANMO REF #2449216P40015ZQTM"/>
        <s v="AMZN MKTP US*1U9W93F23 AMZN.COM/BILLWA_x000a_5BOGRJJPR0D"/>
        <s v="AMZN MKTP US*J54GF2LV3 AMZN.COM/BILLWA_x000a_6OT1T4QO7YE"/>
        <s v="AMZN MKTP US*SO6C98SQ3 AMZN.COM/BILLWA_x000a_5GAGSZONNUS"/>
        <s v="AMZN MKTP US*W64EH7LE3 AMZN.COM/BILLWA_x000a_JTVCHD5ET6F"/>
        <s v="Deposit ACH CARGILL INCORPOR TYPE: DIRECT DEP ID: 9111111101 CO: CARGILL INCORPOR Entry Class Code: PPD ACH Trace Number: 091000018307917"/>
        <s v="KWIK TRIP 40200004028 CHANHASSEN MN REF #2416407P5L3HGPBVB"/>
        <s v="KWIK TRIP 40200004028 CHANHASSEN MN REF #2416407P5L3L9LD65"/>
        <s v="SCHOOL PICTURES WWW.STRAWBRIDNC REF #2449216P60001AYLA"/>
        <s v="Withdrawal ACH PAYPAL TYPE: INST XFER ID: PAYPALSI77 CO: PAYPAL NAME: JEFF TRUITT Entry Class Code: WEB ACH Trace Number: 091000011227572"/>
        <s v="All Seasons Garment Care Excelsior MN REF #2419304P702ZAF769"/>
        <s v="AMZN MKTP US*887HN7G53 AMZN.COM/BILLWA_x000a_PD64VRQK10G"/>
        <s v="LYFT RIDE WED 7PM 855-865-9553 CA REF #2449215P6LRQPDSMP"/>
        <s v="PELOTON* MEMBERSHIP HTTPSWWW.ONEPNY REF #2401134P600133VG2"/>
        <s v="RIDGEVIEW MEDICAL CENTER WACONIA MN REF #2480197P610J8RKYH"/>
        <s v="U OF M-EVENTS ARB CHASKA MN REF #2413829P72MQEJMQQ"/>
        <s v="Withdrawal ACH CPENERGY MNGCO TYPE: MGC ACH EB ID: 176051140S CO: CPENERGY MNGCO NAME: CENTERPOINT ENERGY OTP Entry Class Code: WEB ACH Trace Number: 021000029171930"/>
        <s v="Withdrawal ACH NORDSTROM TYPE: PAYMENT ID: 9044022131 CO: NORDSTROM NAME: Jeff Truitt Jeff Truit Entry Class Code: WEB ACH Trace Number: 043305133683806"/>
        <s v="AMZN MKTP US*RD6OK2PY3 AMZN.COM/BILLWA_x000a_1V07F8CECZ8"/>
        <s v="HY-VEE EAGAN 1165 EAGAN MN REF #2413746P90109SMDP"/>
        <s v="Kids Hair - CH Chanhassen MN REF #2479338P70277MT96"/>
        <s v="SP SOTA CLOTHING 195-23814230 MN REF #2449216P8001FNY5H"/>
        <s v="SQ *FORGE AND FOUNDRY DISStillwater MN REF #2469216P832PX615Y"/>
        <s v="SQ *WHATNOT ON MAIN Stillwater MN REF #2469216P832L75LYF"/>
        <s v="SQ *WHATNOT ON MAIN Stillwater MN REF #2469216P832L7FY70"/>
        <s v="TOTAL WINE AND MORE CHANHASSEN MN REF #2411641P8RBGJ6QS4"/>
        <s v="CHASKA CUB FOODS CHASKA MN REF #2442733P9LYPVBENP"/>
        <s v="LORA F&amp;B STILLWATER MN REF #2434285P90FWW3YFY"/>
        <s v="RIVER SIREN BREWING CO STILLWATER MN REF #2427539P9S66GZ10Q"/>
        <s v="SPEEDWAY 04095 CHASKA MN REF #2413746PA019SD6GJ"/>
        <s v="THE VELVETEEN 651-2807715 MN REF #2410085P9S66FVQM6"/>
        <s v="TO GO AMOCO STILLWATER MN REF #2419304PA000G6TM6"/>
        <s v="UBER EATS HELP.UBER.COMCA REF #2449215PAML05PHL9"/>
        <s v="PAYMENT - THANK YOU REF #7473457PB00XTMJG6"/>
        <s v="Withdrawal ACH DISCOVER TYPE: E-PAYMENT ID: 2510020270 CO: DISCOVER NAME: TRUITT JEFF Entry Class Code: WEB ACH Trace Number: 091000011147242"/>
        <s v="BRICK &amp; BOURBON- STILLWATSTILLWATER MN REF #2455193PA0GRWQ7D0"/>
        <s v="CENTURYLINK LUMEN 800-244-1111 LA REF #2469216PA344RXB26"/>
        <s v="Hotel Crosby 651-9677100 MN REF #2401339PA01AHWX2D"/>
        <s v="TARGET 00008623 CHANHASSEN MN REF #2416407PA2LRFPD4X"/>
        <s v="Withdrawal ACH BARCLAYCARD US TYPE: CREDITCARD ID: 2510407970 CO: BARCLAYCARD US NAME: BRITNEY TRUITT Entry Class Code: WEB ACH Trace Number: 026002576478387"/>
        <s v="Withdrawal ACH MHCHILDCARELLC TYPE: DUES ID: 1824708198 CO: MHCHILDCARELLC Entry Class Code: PPD ACH Trace Number: 096010417870348"/>
        <s v="AMZN MKTP US*P651B6RW3 AMZN.COM/BILLWA_x000a_5T8X7MSDAMN"/>
        <s v="CUB FOODS 1636 952-380-9900 MN REF #2423168PB2DG0A6L0"/>
        <s v="Deposit ACH TRINET TYPE: PAYROLL ID: 194XXXXXXX CO: TRINET Entry Class Code: PPD ACH Trace Number: 041001033042690"/>
        <s v="HOBBY-LOBBY #686 BLOOMINGTON MN"/>
        <s v="SQ *GOGLOW Edina MN REF #2469216PB34TNZX2L"/>
        <s v="Withdrawal ACH Ridgeview Medica TYPE: ONLINE PAY ID: RF00059954 CO: Ridgeview Medica NAME: JEFF TRUITT Entry Class Code: WEB ACH Trace Number: 063112147330193"/>
        <s v="Withdrawal ACH AMERICAN FAMILY TYPE: WEBPAYMENT ID: PEBP075965 CO: AMERICAN FAMILY NAME: Authorized by Customer Entry Class Code: WEB ACH Trace Number: 021000021900238"/>
        <s v="Deposit ACH CARGILL INCORPOR TYPE: 005XXXXXXX ID: 2410177680 CO: CARGILL INCORPOR Entry Class Code: CTX ACH Trace Number: 111000027797069"/>
        <s v="JJ`S POKE EDINA MN REF #2445351PQ0VYERFFZ"/>
        <s v="JORDAN SUPPER CLUB JORDAN MN REF #2480197PQ8AL28SLT"/>
        <s v="SP MAVI USA HTTPSMAVIGIYI NY CREDIT REF #2449216PQ000HTR55"/>
        <s v="Draft 2355 Tracer XX1844"/>
        <s v="AMZN MKTP US*PD80C60B3 AMZN.COM/BILLWA_x000a_YCXVYJZZ95D"/>
        <s v="All Seasons Garment Care Excelsior MN REF #2419304PG030D79NB"/>
        <s v="KAISUSHI MINNETONKA KAISUSHIGRILLMN REF #2449216PG0002M2WW"/>
        <s v="MARATHON PETRO14456 MINNETONKA MN_x000a_APPLE PAY ENDING IN 3050"/>
        <s v="SHOREWOOD TRUE VALUE EXCELSIOR MN REF #2480197PGBMDQFJ4S"/>
        <s v="SQ *ENKI BREWING COMPANY Victoria MN REF #2469216PF2Y78FWYB"/>
        <s v="Vics Bar and Grill Victoria MN REF #2419304PF030BXZ1T"/>
        <s v="AMZN MKTP US*9C0Q50EZ3 AMZN.COM/BILLWA_x000a_4F9QPMUHZAA"/>
        <s v="PRIME VIDEO *3L6ZF81F3 888-802-3080 WA_x000a_273DHTO646R"/>
        <s v="Withdrawal ACH MN DIR ACH TYPE: CONTRIB ID: 2416007162 CO: MN DIR ACH NAME: 549 89742742601 Entry Class Code: WEB ACH Trace Number: 011001233966853"/>
        <s v="Alden and Harlow Cambridge MA REF #2434285PH0GRV01AD"/>
        <s v="AVO*ADVOCARE INTL 800-542-4800 TX REF #2469216PH2ZZWT226"/>
        <s v="BOS TAXI 1278 BOSTON MA REF #2416407PH2LQY3LBJ"/>
        <s v="MACKENTHUN S MEATS &amp; DEL SAINT BONIFACMN"/>
        <s v="SHUTTERFLY, INC. 650-610-5200 CA REF #7449215PJMN17EN5B"/>
        <s v="SQ *LORD HOBO BREWING WOBWoburn MA REF #2469216PJ30ME5XNR"/>
        <s v="UBER TRIP HELP.UBER.COMCA REF #2449215PHML3T2QZX"/>
        <s v="WHOLESOME FRESH MA CAMBRIDGE MA REF #2425138PH0VZBLK2H"/>
        <s v="Withdrawal ACH MHCHILDCARELLC TYPE: DUES ID: 1824708198 CO: MHCHILDCARELLC Entry Class Code: PPD ACH Trace Number: 096010411083781"/>
        <s v="AMZN Mktp US*FQ8TX70W3 Amzn.com/billWA REF #2469216PJ317PD1KT"/>
        <s v="AMZN Mktp US*HA8JE17N0 Amzn.com/billWA REF #2469216PJ317G9EFK"/>
        <s v="AMZN MKTP US*JE53Z3I53 AMZN.COM/BILLWA_x000a_XDKZWBWA423"/>
        <s v="BONFES PLUMBING HEATING A651-3326633 MN REF #2427539PJS66GY727"/>
        <s v="CUB FOODS CHANHASSEN MN REF #2442733PJM83JY80B"/>
        <s v="Netflix.com 866-5797172 CA REF #2490641PJ4R1ND4PN"/>
        <s v="SP KEVINS OUTDOORS HTTPSKEVINSCAGA REF #2449216PJ001A2Z5H"/>
        <s v="Withdrawal ACH CITY OF CHANHASS TYPE: UTIL BILL ID: 1410885331 CO: CITY OF CHANHASS Entry Class Code: PPD ACH Trace Number: 091901960173352"/>
        <s v="AMZN MKTP US AMZN.COM/BILLWA_x000a_28OY7N5GSAK"/>
        <s v="BCS*MINNETONKA COMMUNITY 952-401-6800 MN REF #2413746PL01VBM74V"/>
        <s v="CUB FOODS 01644 952-934-1010 MN REF #2423168PK2DDXHWQ2"/>
        <s v="Deposit ACH CARGILL INCORPOR TYPE: DIRECT DEP ID: 9111111101 CO: CARGILL INCORPOR Entry Class Code: PPD ACH Trace Number: 091000017600244"/>
        <s v="DUNKIN #308352 Q35 BOSTON MA REF #2494300PLRQEBK8VK"/>
        <s v="LULULEMONCOM* 877-263-9300 CA REF #2469216PK31JZQLA6"/>
        <s v="UBER TRIP HELP.UBER.COMCA REF #2449215PKLS95JPME"/>
        <s v="Deposit Home Banking Transfer From Share 70 REF # 2283752"/>
        <s v="HILTON BOSTON WOBURN WOBURN MA REF #2405523PL11H4DMQR"/>
        <s v="MSP AIRPORT PARKING SAINT PAUL MN REF #2403454PL02G8D8RG"/>
        <s v="NESPRESSO USA 888-637-7737 NY REF #2469216PL32VB572R"/>
        <s v="Withdrawal at ATM #000000002027 Wells Fargo Bank XXXXXXX Hwy 7 Chanhassen MN"/>
        <s v="Withdrawal Home Banking Transfer To Share 12 REF # 2283752"/>
        <s v="All Seasons Garment Care Excelsior MN REF #2419304PN031412GS"/>
        <s v="ALLEGNT AIR,FHZ 702-5058888 NV REF #2400097PM64DBGAQS"/>
        <s v="AMERICAN AI 0012337602985800-433-7300 TX REF #7471705PNTDJRNP7T"/>
        <s v="AMERICAN AI 0012337602986800-433-7300 TX REF #7471705PNTDJRNP81"/>
        <s v="AMERICAN AI 0012337602987800-433-7300 TX REF #7471705PNTDJRNP89"/>
        <s v="AMERICAN AI 0012337602988800-433-7300 TX REF #7471705PNTDJRNP8H"/>
        <s v="CUB FOODS 01644 952-934-1010 MN REF #2423168PN2DERB3MT"/>
        <s v="CUB FOODS 01644 CUB.COM MN REF #2423168PN2D9PH1AA"/>
        <s v="D J*WALL-ST-JOURNAL 800-568-7625 MA REF #2469216PN342FNSVX"/>
        <s v="DELTA AIR 0062167901070CINCINNATI OH REF #2471705PNTDJR07BT"/>
        <s v="DELTA AIR 0062167901071CINCINNATI OH REF #2471705PNTDJR07Q1"/>
        <s v="LIONS TAP EDEN PRAIRIE MN REF #2426979PM8PYP3DKV"/>
        <s v="PRIME VIDEO *HO8FV1QR0 888-802-3080 WA_x000a_696YKU1S2YK"/>
        <s v="TW&amp;M 1606 DIGITAL https://www.fMN REF #2411641PNBMDFB37Q"/>
        <s v="Evereve 877-2906262 MN REF #2490641PP4RQHH1SZ"/>
        <s v="KWIK TRIP 88600008862 CHASKA MN REF #2416407PPL3HJES90"/>
        <s v="SAKS 212-320-4700 NY REF #2469216PP34ED0M1T"/>
        <s v="AMAZON.COM*J58V94W23 AMZN.COM/BILLWA_x000a_7442TB4P6SE"/>
        <s v="AMZN MKTP US*F39X675O3 AMZN.COM/BILLWA_x000a_7IHOGZ8NNJ7"/>
        <s v="AMZN Mktp US*LK3UX1DU3 Amzn.com/billWA REF #2469216PR34XN619V"/>
        <s v="Withdrawal ACH TARGET CARD SRVC TYPE: AUTO PYMT ID: 1411721813 CO: TARGET CARD SRVC NAME: TRUITT JEFFREY B Entry Class Code: WEB ACH Trace Number: 091000018697734"/>
        <s v="PAYMENT - THANK YOU REF #7473457PS00XTMJG6"/>
        <s v="JERSEY MIKES ONLINE ORDE 732-223-4044 NJ REF #2473309PT2E026H4Z"/>
        <s v="Withdrawal ACH MHCHILDCARELLC TYPE: DUES ID: 1824708198 CO: MHCHILDCARELLC Entry Class Code: PPD ACH Trace Number: 096010419892191"/>
        <s v="Withdrawal ACH PAYPAL TYPE: INST XFER ID: PAYPALSI77 CO: PAYPAL NAME: JEFF TRUITT Entry Class Code: WEB ACH Trace Number: 091000010497111"/>
        <s v="Withdrawal ACH VENMO TYPE: PAYMENT ID: 326XXXXXXX CO: VENMO NAME: BRITNEY TRUITT Entry Class Code: WEB ACH Trace Number: 091000016134069"/>
        <s v="AMZN Mktp US*N980R3OU3 Amzn.com/billWA REF #2469216PS2X5QM659"/>
        <s v="AMZN Mktp US*XO0CO0XD3 Amzn.com/billWA REF #2469216PS2X55AK03"/>
        <s v="CUB FOODS CHANHASSEN MN REF #2442733PSM83Q35BM"/>
        <s v="Deposit ACH TRINET TYPE: PAYROLL ID: 194XXXXXXX CO: TRINET Entry Class Code: PPD ACH Trace Number: 041001039059893"/>
        <s v="RUDY LUTHER TOYOTA GOLDEN VALLEYMN"/>
        <s v="Withdrawal ACH PAYPAL TYPE: INST XFER ID: PAYPALSI77 CO: PAYPAL NAME: JEFF TRUITT Entry Class Code: WEB ACH Trace Number: 091000014268043"/>
        <s v="Withdrawal ACH VENMO TYPE: PAYMENT ID: 326XXXXXXX CO: VENMO NAME: BRITNEY TRUITT Entry Class Code: WEB ACH Trace Number: 091000013897367"/>
        <s v="ANNTAYLOR.COM #611 800-342-5266 CT REF #2443106PV2DAJSEZQ"/>
        <s v="BUCK HILL WEBSITE 952-4357174 MN "/>
        <s v="BUCK HILL WEBSITE REF #030081"/>
        <s v="DELTA AIR 0062355800572 DELTA.COM CA "/>
        <s v="INEFFABLE BREWING COMP"/>
        <s v="PAYPAL *FREE FLY"/>
        <s v="RIDGEVIEW MEDICAL CENT REF #030115"/>
        <s v="Withdrawal ACH PAYPAL TYPE: INST XFER ID: PAYPALSI77 CO: PAYPAL NAME: JEFF TRUITT Entry Class Code: WEB ACH Trace Number: 021000024000208"/>
        <s v="AMZN Mktp US Amzn.com/billWA REF #7469216PW2YW12XL9"/>
        <s v="AMZN Mktp US Amzn.com/billWA REF #7469216PX2YYAVHVP"/>
        <s v="AMZN Mktp US Amzn.com/billWA REF #7469216PX2YYSPZBW"/>
        <s v="AMZN Mktp US*FE0Q01QM3 Amzn.com/billWA REF #2469216PX2YWATYQ3"/>
        <s v="CARIBOU COFFEE CO #130"/>
        <s v="COOLER CLEANSE 212-531-3111 NY REF #2480197PW8B2XJT0V"/>
        <s v="CUB FOODS 01644 952-934-1010 MN REF #2423168PW2DF1WQM1"/>
        <s v="Deposit Dividend Split Rate Annual Percentage Yield Earned 0.71% from 12/01/22 through 12/31/22"/>
        <s v="Deposit Dividend Split Rate Annual Percentage Yield Earned 2.00% from 12/01/22 through 12/31/22"/>
        <s v="DOORDASH*REVIVAL WWW.DOORDASH.CA REF #2401134PW000FJFHL"/>
        <s v="EB 2023 KLONDIKE SLED 8014137200 CA REF #2449215PWMLGV1TDX"/>
        <s v="HOLIDAY STATIONS 0360"/>
        <s v="HOME2 SUITES EDEN PRAIRIE REF #031953"/>
        <s v="IMPARK00200118U ST. PAUL MN REF #2469216PW2YDAWS65"/>
        <s v="LULULEMONCOM* 877-263-9300 CA REF #2469216PW2YB6KMM1"/>
        <s v="PIZZA LUCE VI INC REF #031800"/>
        <s v="RIDGEVIEW MEDICAL CENTER WACONIA MN "/>
        <s v="TAP PLASTICS, INC. 888-8277330 CA REF #2427539PWS66FPZS0"/>
        <s v="THE HOME DEPOT #2812 EDEN PRAIRIE MN "/>
        <s v="THE HOME DEPOT #2812 REF #031514"/>
        <s v="WILLIAMS SONOMA 6137 MINNETONKA MN "/>
        <s v="WILLIAMS SONOMA 6137 REF #031783"/>
        <s v="AMAZON MUSIC*H06YQ2L23 888-802-3080 WA_x000a_2SZOGVT1ISL"/>
        <s v="CARIBOU COFFEE CO #116 REF #001280"/>
        <s v="LUNDS&amp;BYERLYS CHANHAS CHANHASSEN MN"/>
        <s v="PIZZA LUCE VI INC 952-767-0854 MN "/>
        <s v="Withdrawal Home Banking Transfer To Loan 02 REF # 2402682"/>
        <s v="Payments Home Banking Transfer From Share 70 REF # 2402682"/>
        <s v="CUB FOODS #1636 SHOREWOOD MN "/>
        <s v="HBRSUBSCRIPTION 800-988-0886 MA "/>
        <s v="SP MINNESOTA ICE MAZE MINNESOTAICEM MN "/>
        <s v="AMZN MKTP US*7B5D40OE3 AMZN.COM/BILLWA_x000a_73FWI3OC7KE"/>
        <s v="Deposit Adjustment Dividend Dec Div Correct"/>
        <s v="Hazard Insurance Disbursement (Primary Policy)"/>
        <s v="SP DR. DENNIS GROSS DRDENNISGROSS NY "/>
        <s v="WALGREENS #11690 WACONIA MN "/>
        <s v="Withdrawal ACH College Savings TYPE: ACH ID: 550895818 CO: College Savings Entry Class Code: PPD ACH Trace Number: 104910792411850"/>
        <s v="Withdrawal ACH PAYPAL TYPE: INST XFER ID: PAYPALSI77 CO: PAYPAL NAME: JEFF TRUITT Entry Class Code: WEB ACH Trace Number: 091000011434784"/>
        <s v="Withdrawal ACH VENMO TYPE: PAYMENT ID: 326XXXXXXX CO: VENMO NAME: BRITNEY TRUITT Entry Class Code: WEB ACH Trace Number: 091000011844026"/>
        <s v="OVERDRAFT TO INVESTOR CHECKING -5184"/>
        <s v="Withdrawal ACH MHCHILDCARELLC TYPE: DUES ID: 1824708198 CO: MHCHILDCARELLC Entry Class Code: PPD ACH Trace Number: 096010412752864"/>
        <s v="PAYMENT - THANK YOU "/>
        <s v="AMZN MKTP US*3B1CX1AO3 AMZN.COM/BILLWA_x000a_RBSNL6JW8EI"/>
        <s v="Deposit ACH CARGILL INCORPOR TYPE: DIRECT DEP ID: 9111111101 CO: CARGILL INCORPOR Entry Class Code: PPD ACH Trace Number: 091000017742228"/>
        <s v="Deposit ACH connectyourcare TYPE: SVB-CLAIMS ID: E942875288 CO: connectyourcare Entry Class Code: PPD ACH Trace Number: 121140391359244"/>
        <s v="Deposit ACH PAYPAL TYPE: TRANSFER ID: PAYPALSD11 CO: PAYPAL Entry Class Code: PPD ACH Trace Number: 091000015731655"/>
        <s v="KWIK TRIP 40200004028 CHANHASSEN MN "/>
        <s v="VINEYARD VINES LLC 800-892- CREDIT "/>
        <s v="AMZN Mktp US Amzn.com/bill WA CREDIT "/>
        <s v="AMZN Mktp US*9494O9PR3 Amzn.com/bill WA "/>
        <s v="Deposit Home Banking Transfer From Share 12 REF # 2507049"/>
        <s v="ELITE NAILS LLC CHANHASSEN MN "/>
        <s v="TST* Nautical Bowls - Ede Eden Prairie MN "/>
        <s v="WILLIAMS-SONOMA.COM 800-541-1262 CA "/>
        <s v="Withdrawal Home Banking Transfer To Share 70 REF # 2507049"/>
        <s v="Withdrawal ACH XCEL ENERGY-MN TYPE: XCELENERGY ID: 7411967505 CO: XCEL ENERGY-MN NAME: BCU POWERPLUS463939445 Entry Class Code: WEB ACH Trace Number: 091000018390633"/>
        <s v="1 FEDEX 393182848998 MEMPHIS TN "/>
        <s v="Amazon Prime*AY4DK0A13 Amzn.com/bill WA "/>
        <s v="AMAZON.COM*5W3784XS3 AMZN.COM/BILLWA_x000a_QTZ0HRQE5SF"/>
        <s v="AMZN MKTP US*AI38Z2223 AMZN.COM/BILLWA_x000a_6A8KHTZRMB2"/>
        <s v="EVEREVE - 15 EDEN PRAIRIE MN CREDIT "/>
        <s v="MCDONALD'S F29004 EAGAN MN "/>
        <s v="Deposit ACH PAYPAL TYPE: TRANSFER ID: PAYPALSD11 CO: PAYPAL Entry Class Code: PPD ACH Trace Number: 091000015307165"/>
        <s v="PELOTON* MEMBERSHIP HTTPSWWW.ONEP NY "/>
        <s v="SOUTH LAKE PEDIATRICS 952-401-8300 MN "/>
        <s v="AMZN MKTP US*3S2M22PK3 AMZN.COM/BILLWA_x000a_3SCEF0PBKAY"/>
        <s v="AMZN MKTP US*TS7KY0QQ3 AMZN.COM/BILLWA_x000a_1LQ9UQ0COWA"/>
        <s v="Deposit ACH connectyourcare TYPE: SVB-CLAIMS ID: E942875288 CO: connectyourcare Entry Class Code: PPD ACH Trace Number: 121140395063034"/>
        <s v="FEDEX 393182952055 MEMPHIS TN "/>
        <s v="LAKEWINDS - CHANHASSEN CHANHASSEN MN_x000a_APPLE PAY ENDING IN 8856"/>
        <s v="Withdrawal ACH PAYPAL TYPE: INST XFER ID: PAYPALSI77 CO: PAYPAL NAME: JEFF TRUITT Entry Class Code: WEB ACH Trace Number: 091000016965740"/>
        <s v="ANNTAYLOR.COM #611 800-342- CREDIT "/>
        <s v="CUB FOODS #1636 SHOREWOOD MN_x000a_APPLE PAY ENDING IN 8856"/>
        <s v="CUB FOODS 01644 952-934-1010 MN_x000a_APPLE PAY ENDING IN 8856"/>
        <s v="Deposit ACH connectyourcare TYPE: SVB-CLAIMS ID: E942875288 CO: connectyourcare Entry Class Code: PPD ACH Trace Number: 121140396938367"/>
        <s v="FOUR SEASONS CAFE MAPLE GROVE MN "/>
        <s v="JIMMY JOHNS - 1184 - ECOM763-416-0301 MN "/>
        <s v="PARTY CITY 1152 MAPLE GROVE MN "/>
        <s v="Withdrawal ACH DISCOVER BANK TYPE: ETRANSFER ID: 3770527921 CO: DISCOVER BANK NAME: JEFF TRUITT Entry Class Code: WEB ACH Trace Number: 063106142947013"/>
        <s v="ACT*Camp Fire MN 800-6634991 TX "/>
        <s v="AMZN MKTP US*4G9GJ1P33 AMZN.COM/BILLWA_x000a_2SH9LSN5F32"/>
        <s v="Deposit Home Banking Transfer From Share 01 REF # 2558556"/>
        <s v="RVT*MTKA PUB SCHLS-WEB 952-4015000 MN "/>
        <s v="SPEEDWAY 04095 CHASKA MN"/>
        <s v="SPEEDWAY 04366 EXCELSIOR MN "/>
        <s v="Withdrawal ACH MHCHILDCARELLC TYPE: DUES ID: 1824708198 CO: MHCHILDCARELLC Entry Class Code: PPD ACH Trace Number: 096010412278525"/>
        <s v="Withdrawal at ATM #000000005157 Wells Fargo Bank XXXXXXX 82nd St Chaska MN"/>
        <s v="Withdrawal Home Banking Transfer To Share 70 REF # 2558556"/>
        <s v="CENTURYLINK LUMEN 800-244-1111 LA "/>
        <s v="Deposit ACH TRINET TYPE: PAYROLL ID: 194XXXXXXX CO: TRINET Entry Class Code: PPD ACH Trace Number: 041001034230903"/>
        <s v="VINEYARD VINES LLC 800-892-4982 CT "/>
        <s v="Withdrawal ACH Coinbase.com TYPE: PRBYKY68 ID: 1455293997 CO: Coinbase.com NAME: JEFF TRUITT Entry Class Code: WEB ACH Trace Number: 021214897632379"/>
        <s v="AMZN MKTP US AMZN.COM/BILLWA_x000a_1G8RTLYNFRP"/>
        <s v="AMZN MKTP US AMZN.COM/BILLWA_x000a_73YZXHKSHUV"/>
        <s v="BACHMAN'S INC.- EDEN PRA EDEN PRAIRIE MN "/>
        <s v="JEWELRY WORKS 763-5935758 MN "/>
        <s v="MISTER CAR WASH #606 - ST LOUIS PARK MN "/>
        <s v="Prime Video*0034Y1XV3 888-802-3080 WA "/>
        <s v="STORE*BIG BOWL WWW.DOORDASH. CA "/>
        <s v="THE HOME DEPOT #2825 CHASKA MN "/>
        <s v="TRADER JOE'S #710 QPS ST LOUIS PARKMN_x000a_APPLE PAY ENDING IN 8856"/>
        <s v="AMZN MKTP US*XS34L57H3 AMZN.COM/BILLWA_x000a_5ZSJT07FCKO"/>
        <s v="APPLE.COM/US 800-676-2775 CA "/>
        <s v="Kids Hair - CH Chanhassen MN "/>
        <s v="SHOREWOOD TRUE VALUE EXCELSIOR MN "/>
        <s v="AMZN MKTP US*BS1O01G93 AMZN.COM/BILLWA_x000a_19LS1L9AV4M"/>
        <s v="CITY OF EDINA MN EDINB EDINA MN "/>
        <s v="TAVERN 23 EDINA MN "/>
        <s v="THE LAKES RUNNING CO. EXCELSIOR MN "/>
        <s v="WENDY S 419 CHANHASSEN MN "/>
        <s v="AMAZON.COM*M19494OQ3 AMZN.COM/BILLWA_x000a_4RWSKFQM5SK"/>
        <s v="AMZN MKTP US*1B6S92DO3 AMZN.COM/BILLWA_x000a_338G6EUOOZ3"/>
        <s v="AMZN MKTP US*BU9U19CO3 AMZN.COM/BILLWA_x000a_1A35MT8BTW8"/>
        <s v="AMZN MKTP US*CH0L15WA3 AMZN.COM/BILLWA_x000a_7B13T54FYKR"/>
        <s v="Withdrawal ACH AMERICAN FAMILY TYPE: WEBPAYMENT ID: PEBP075965 CO: AMERICAN FAMILY NAME: Authorized by Customer Entry Class Code: WEB ACH Trace Number: 021000022906598"/>
        <s v="Withdrawal ACH AMERICAN FAMILY TYPE: WEBPAYMENT ID: PEBP075965 CO: AMERICAN FAMILY NAME: Authorized by Customer Entry Class Code: WEB ACH Trace Number: 021000022912007"/>
        <s v="AMZN Mktp US*3N66V9GD3 Amzn.com/bill WA "/>
        <s v="AMZN MKTP US*LT38G3HV3 AMZN.COM/BILLWA_x000a_204QOU9K41I"/>
        <s v="DicksSportingGoods.com Coraopolis PA "/>
        <s v="Withdrawal ACH MHCHILDCARELLC TYPE: DUES ID: 1824708198 CO: MHCHILDCARELLC Entry Class Code: PPD ACH Trace Number: 096010419987745"/>
        <s v="Withdrawal ACH MN DIR ACH TYPE: CONTRIB ID: 2416007162 CO: MN DIR ACH NAME: 922 89742742601 Entry Class Code: WEB ACH Trace Number: 011001233125407"/>
        <s v="Withdrawal ACH DISCOVER TYPE: E-PAYMENT ID: 2510020270 CO: DISCOVER NAME: TRUITT JEFF Entry Class Code: WEB ACH Trace Number: 091000010207073"/>
        <s v="AMZN Mktp US*GZ7RZ8QX3 Amzn.com/bill WA "/>
        <s v="Deposit ACH CARGILL INCORPOR TYPE: DIRECT DEP ID: 9111111101 CO: CARGILL INCORPOR Entry Class Code: PPD ACH Trace Number: 091000017622320"/>
        <s v="DICK'S CLOTHING&amp;SPORTING RICHFIELD    MN REF #74941350LN4RRBAXF"/>
        <s v="ELITE NAILS LLC          CHANHASSEN   MN REF #24717050L3FYEZFXQ"/>
        <s v="KAI'S SUSHI &amp; GRILL      CHANHASSEN   MN REF #24239000KS66QTNQ2"/>
        <s v="SAKS                     212-320-4700 NY REF #74692160K32KP1MJH"/>
        <s v="PAYMENT - THANK YOU REF #74734570N00XTMJG6"/>
        <s v="Withdrawal ACH VENMO TYPE: PAYMENT ID: 326XXXXXXX CO: VENMO NAME: BRITNEY TRUITT Entry Class Code: WEB ACH Trace Number: 091000014975287"/>
        <s v="BONFES PLUMBING HEATING A651-3326633  MN REF #24275390LS66HMKE6"/>
        <s v="D J*WALL-ST-JOURNAL      800-568-7625 MA REF #24692160M34407S6E"/>
        <s v="KWIK TRIP  40200004028   CHANHASSEN   MN REF #24164070LL3HLYJ59"/>
        <s v="MAYNARD'S EXCELSIOR      EXCELSIOR    MN REF #24801970L61NH9AF9"/>
        <s v="Netflix.com              866-5797172  CA REF #24906410L4S41Z8YS"/>
        <s v="SOUTH LAKE PEDIATRICS    MINNETONKA   MN REF #74137460L01DK3LW6"/>
        <s v="LULUS PIZZERIA II        EXCELSIOR    MN REF #24013390N029X8JDR"/>
        <s v="Withdrawal ACH CITY OF CHANHASS TYPE: UTIL BILL ID: 1410885331 CO: CITY OF CHANHASS Entry Class Code: PPD ACH Trace Number: 091901960176874"/>
        <s v="Withdrawal ACH VENMO TYPE: PAYMENT ID: 326XXXXXXX CO: VENMO NAME: BRITNEY TRUITT Entry Class Code: WEB ACH Trace Number: 091000014984023"/>
        <s v="BUCK HILL WEBSITE        952-4357174  MN REF #24013390P02QF5MHY"/>
        <s v="SAWYER* BOOKING FEE      HTTPSWWW.HISANY REF #24492160P0016BX7P"/>
        <s v="SAWYER* LASENDASPANIS    LASENDASPANISNY REF #24492160P00165BM7"/>
        <s v="Withdrawal ACH MHCHILDCARELLC TYPE: DUES ID: 1824708198 CO: MHCHILDCARELLC Entry Class Code: PPD ACH Trace Number: 096010416578024"/>
        <s v="AMZN MKTP US AMZN.COM/BILLWA_x000a_4JN4NP89E56"/>
        <s v="AMZN MKTP US*687QO5SQ3 AMZN.COM/BILLWA_x000a_58XV0OAILTL"/>
        <s v="AMZN MKTP US*GM0LL4MZ3 AMZN.COM/BILLWA_x000a_TJV29QR2ONT"/>
        <s v="AMZN MKTP US*ZU4LP6Z13 AMZN.COM/BILLWA_x000a_6SY3IF4FMJI"/>
        <s v="COV WAYZATA WAYZATA MN"/>
        <s v="Withdrawal ACH PAYPAL TYPE: INST XFER ID: PAYPALSI77 CO: PAYPAL NAME: JEFF TRUITT Entry Class Code: WEB ACH Trace Number: 091000010508259"/>
        <s v="Withdrawal ACH TARGET CARD SRVC TYPE: AUTO PYMT ID: 1411721813 CO: TARGET CARD SRVC NAME: TRUITT JEFFREY B Entry Class Code: WEB ACH Trace Number: 091000010149550"/>
        <s v="AMZN Mktp US             Amzn.com/billWA REF #74692160T2XHPPVXT"/>
        <s v="AMZN Mktp US             Amzn.com/billWA REF #74692160T2XHTS6E1"/>
        <s v="AMZN MKTP US*HA1374FV3 AMZN.COM/BILLWA_x000a_5PMTQQQJJUL"/>
        <s v="LIONS TAP                952-9345299  MN REF #24000970TA6DSYQTM"/>
        <s v="WAYZATA CAFE WAYZATA MN_x000a_APPLE PAY ENDING IN 8856"/>
        <s v="WAYZATA COFFEE           WAYZATA      MN REF #24943000SW6BHR854"/>
        <s v="Withdrawal ACH DISCOVER BANK TYPE: NET/MOBILE ID: 4510020271 CO: DISCOVER BANK NAME: JEFF TRUITT Entry Class Code: WEB ACH Trace Number: 091000013155257"/>
        <s v="AMZN MKTP US*NB6RW3VZ3 AMZN.COM/BILLWA_x000a_4XP3GBJ71Y1"/>
        <s v="KWIK TRIP  40200004028   CHANHASSEN   MN REF #24164070SL3HMFM5R"/>
        <s v="WAYZATA COFFEE           WAYZATA      MN REF #24943000VW5H57LZK"/>
        <s v="AMZN MKTP US*2O1RF8973 AMZN.COM/BILLWA_x000a_1AIKYAAJ5TG"/>
        <s v="KOWALSKI'S EXCELSIOR MAR EXCELSIOR MN_x000a_APPLE PAY ENDING IN 8856"/>
        <s v="Deposit ACH TRINET TYPE: PAYROLL ID: 194XXXXXXX CO: TRINET Entry Class Code: PPD ACH Trace Number: 041001034351950"/>
        <s v="DOMINO'S 1931            EXCELSIOR    MN REF #24445000WEJ0BS8AE"/>
        <s v="TST* Revival - St. Louis St Louis ParkMN REF #24692160X2X4T5S2P"/>
        <s v="AMZN MKTP US*N33V53WK3 AMZN.COM/BILLWA_x000a_1JR3HY5EU7E"/>
        <s v="AMZN MKTP US*PR6Z75NG3 AMZN.COM/BILLWA_x000a_6JIC3YDA5KA"/>
        <s v="AMZN MKTP US*VQ1WG8LI3 AMZN.COM/BILLWA_x000a_78YUGC9GJQS"/>
        <s v="PRIMP EXCELSIOR          EXCELSIOR    MN REF #24493980YBLRZ6ZXA"/>
        <s v="PRIMP EXCELSIOR          EXCELSIOR    MN REF #24493980YBLRZ6ZXV"/>
        <s v="TONKA TD CLUB            MINNETONKAFOOMN REF #24492160X000PZ352"/>
        <s v="TST* FAT PANTS BREWING COEDEN PRAIRIE MN REF #24137460XEJGB522X"/>
        <s v="Withdrawal ACH PAYPAL TYPE: INST XFER ID: PAYPALSI77 CO: PAYPAL NAME: JEFF TRUITT Entry Class Code: WEB ACH Trace Number: 091000010495486"/>
        <s v="Withdrawal ACH PAYPAL TYPE: INST XFER ID: PAYPALSI77 CO: PAYPAL NAME: JEFF TRUITT Entry Class Code: WEB ACH Trace Number: 091000012041048"/>
        <s v="Withdrawal ACH DISCOVER TYPE: E-PAYMENT ID: 2510020270 CO: DISCOVER NAME: TRUITT JEFF Entry Class Code: WEB ACH Trace Number: 091000017968959"/>
        <s v="AMZN MKTP US AMZN.COM/BILLWA_x000a_1EE9XHQPN0R"/>
        <s v="AMZN MKTP US AMZN.COM/BILLWA_x000a_72C7ESB3TOD"/>
        <s v="AMZN MKTP US AMZN.COM/BILLWA_x000a_WAN2UAWAF28"/>
        <s v="AMZN MKTP US*IM1FC5R13 AMZN.COM/BILLWA_x000a_4MCNHJTXMDN"/>
        <s v="AMZN MKTP US*W60YM1F03 AMZN.COM/BILLWA_x000a_16PD1IU91L8"/>
        <s v="AMZN MKTP US*WE9AR4IV3 AMZN.COM/BILLWA_x000a_2QPTTBS91GI"/>
        <s v="AMZN MKTP US*YX1EK7943 AMZN.COM/BILLWA_x000a_3BV8ATO209J"/>
        <s v="Deposit ACH connectyourcare TYPE: SVB-CLAIMS ID: E942875288 CO: connectyourcare Entry Class Code: PPD ACH Trace Number: 121140393427846"/>
        <s v="Deposit Dividend 0.010% Annual Percentage Yield Earned 0.01% from 01/01/23 through 01/31/23"/>
        <s v="Deposit Dividend Split Rate Annual Percentage Yield Earned 1.63% from 01/01/23 through 01/31/23"/>
        <s v="DUNKIN #355310 Q35       MINNETRISTA  MN REF #24943000ZRQEB9K31"/>
        <s v="HAZELWOOD FOOD &amp; DRINK -TEXCELSIOR    MN REF #24013390Y033T1KMY"/>
        <s v="JOE  THE JUICE NEW YORK  784-1913065  NY REF #24204290Y01FN8SAA"/>
        <s v="Patagonia                Cambridge    MA REF #24204290Y020SY0QP"/>
        <s v="UBER   TRIP              HELP.UBER.COMCA REF #24492150ZLXSK873A"/>
        <s v="AMAZON MUSIC*UH8WH6AE3 888-802-3080 WA3VNK4N4QF3J"/>
        <s v="AMZN MKTP US AMZN.COM/BILLWA2JTWSFJ3B8Z"/>
        <s v="AMZN MKTP US AMZN.COM/BILLWA3BCK8M1HCA2"/>
        <s v="AMZN MKTP US AMZN.COM/BILLWA58MQ6RH0RKI"/>
        <s v="AMZN MKTP US AMZN.COM/BILLWAW2ZPVKZH8SL"/>
        <s v="AMZN MKTP US*P519D96P3 AMZN.COM/BILLWA1Z9KGQJ7VS7"/>
        <s v="CREATIVE MOBIL10510014   BOSTON       MA REF #24164070Z2L8MQJ0X"/>
        <s v="RIDGEVIEW MEDICAL CENTER WACONIA      MN REF #24801970Z1010P73W"/>
        <s v="RIDGEVIEW MEDICAL CENTER WACONIA      MN REF #24801970Z1010R41M"/>
        <s v="RIDGEVIEW MEDICAL CENTER WACONIA      MN REF #24801970Z1010RNN6"/>
        <s v="UBER   TRIP              HELP.UBER.COMCA REF #24492150ZLR9F4145"/>
        <s v="UBER* TRIP               WWW.UBER.COM CA REF #24492160Z00177BQ0"/>
        <s v="US LACROSSE INC         410-235-6882 MD REF #24492150ZMN4PAGKG"/>
        <s v="VINEYARD VINES LLC       800-892- CREDIT REF #74492150ZMN45VW77"/>
        <s v="VINEYARD VINES LLC       800-892- CREDIT REF #74492150ZMN45VYNE"/>
        <s v="Withdrawal ACH College Savings TYPE: ACH ID: 550895818 CO: College Savings Entry Class Code: PPD ACH Trace Number: 104910793925901"/>
        <s v="Withdrawal ACH MHCHILDCARELLC TYPE: DUES ID: 1824708198 CO: MHCHILDCARELLC Entry Class Code: PPD ACH Trace Number: 096010415408263"/>
        <s v="Withdrawal Home Banking Transfer To Loan 02 REF # 2863242"/>
        <s v="Deposit ACH CARGILL INCORPOR TYPE: 005XXXXXXX ID: 2410177680 CO: CARGILL INCORPOR Entry Class Code: CTX ACH Trace Number: 111000021535851"/>
        <s v="Deposit ACH CARGILL INCORPOR TYPE: DIRECT DEP ID: 9111111101 CO: CARGILL INCORPOR Entry Class Code: PPD ACH Trace Number: 091000017598815"/>
        <s v="EB GRAZE 4 GOOD 2023     8014137200   CA REF #244921511MLEZK61E"/>
        <s v="HILTON BOSTON WOBURN     WOBURN       MA REF #24055231011H4FGV3"/>
        <s v="LSF HARBORSIDE           BOSTON       MA REF #24055231060MPVRDA"/>
        <s v="UBER   TRIP              HELP.UBER.COMCA REF #244921510MLBDK9VS"/>
        <s v="UBER   TRIP              HELP.UBER.COMCA REF #244921510MN7R941N"/>
        <s v="PAYMENT - THANK YOU REF #74734571200XTMJG2"/>
        <s v="Withdrawal ACH VENMO TYPE: PAYMENT ID: 326XXXXXXX CO: VENMO NAME: BRITNEY TRUITT Entry Class Code: WEB ACH Trace Number: 091000010459336"/>
        <s v="Withdrawal ACH VENMO TYPE: PAYMENT ID: 326XXXXXXX CO: VENMO NAME: BRITNEY TRUITT Entry Class Code: WEB ACH Trace Number: 091000010696625"/>
        <s v="HBRSUBSCRIPTION          800-988-0886 MA REF #244921511LRJ0EJG1"/>
        <s v="Just Eat                 London       GB REF #7498750120116BBN7"/>
        <s v="LIFE TIME CAFE 151Q48    868-284-0048 MN REF #2469216112ZY1JS3Z"/>
        <s v="MAYNARD'S EXCELSIOR EXCELSIOR MN"/>
        <s v="PALENQUE HOTEL           ACCOUNTING@ISPB REF #7461219110YSVZN5K"/>
        <s v="PRAIRIE LAWN AND GARDEN, EDEN PRAIRIE MN"/>
        <s v="Withdrawal ACH VENMO TYPE: PAYMENT ID: 326XXXXXXX CO: VENMO NAME: BRITNEY TRUITT Entry Class Code: WEB ACH Trace Number: 091000015792968"/>
        <s v="KOWALSKI'S EXCELSIOR MAR EXCELSIOR MNAPPLE PAY ENDING IN 8856"/>
        <s v="PRIME VIDEO *DR48P45L3 888-802-3080 WA25P789SXL2R"/>
        <s v="TOTAL WINE AND MORE MINNETONKA MN"/>
        <s v="TST* DUKES ON 7 612-205-3286 MNAPPLE PAY ENDING IN 885600017403010268983968AA"/>
        <s v="BALANCE TRANSFER FOR ACCT ENDING IN 9181 REF #00000000000ATNEWA"/>
        <s v="SQ *WINGMAN MATT LLC GOSQ.COM MN0002305843017010247113"/>
        <s v="Amazon Prime*F84NX9293   Amzn.com/billWA REF #&amp;F56620015000IXFRL"/>
        <s v="AMZN MKTP US*DB57A2BP3 AMZN.COM/BILLWA1SWTN6Z4X0J"/>
        <s v="Deposit ACH VENMO TYPE: CASHOUT ID: 526XXXXXXX CO: VENMO Entry Class Code: PPD ACH Trace Number: 091000017867461"/>
        <s v="MSP AIRPORT PARKING      SAINT PAUL   MN REF #&amp;F56620015000IXFRL"/>
        <s v="RENAISSANCE HTLS WATER   BOSTON       MA REF #&amp;F56620015000IXFRL"/>
        <s v="THE ORVIS COMPANY INC    800-635-7635 VT REF #&amp;F56620015000IXFRL"/>
        <s v="Withdrawal Debit Card EDEN PRARIE FOOD AND GAS EDEN PRARIE MN Date 02/05/23 XXXXXXXXXXXX-6009XXXXXXX 5542"/>
        <s v="Withdrawal Home Banking Pmt to card XXXXXXXXXXXX-5913"/>
        <s v="PAYMENT - THANK YOU REF #74734571600XTMJG8"/>
        <s v="Withdrawal ACH VENMO TYPE: PAYMENT ID: 326XXXXXXX CO: VENMO NAME: BRITNEY TRUITT Entry Class Code: WEB ACH Trace Number: 091000010931123"/>
        <s v="AMAZON.COM*H91BY6UQ0 AMZN.COM/BILLWA5U0WPJ38M9G"/>
        <s v="AMZN MKTP US*D39K169E3 AMZN.COM/BILLWA78T7FO417U3"/>
        <s v="AMZN MKTP US*WG8SZ68D3 AMZN.COM/BILLWA5KUY9GPF9G0"/>
        <s v="AMZN MKTP US*Y69LQ24V3 AMZN.COM/BILLWA3X6HUKFB7VN"/>
        <s v="RIDGEVIEW MEDICAL CENTER 7635593779 MN"/>
        <s v="SP GRAYHOMELIFESTYLE 9524749150 MN"/>
        <s v="SP OOH LA LA LLC 9524741743 MN"/>
        <s v="Withdrawal ACH MHCHILDCARELLC TYPE: DUES ID: 1824708198 CO: MHCHILDCARELLC Entry Class Code: PPD ACH Trace Number: 096010416458183"/>
        <s v="Withdrawal ACH WASTE MANAGEMENT TYPE: INTERNET ID: 9049038216 CO: WASTE MANAGEMENT Entry Class Code: PPD ACH Trace Number: 043305132766495"/>
        <s v="AMZN MKTP US AMZN.COM/BILLWA4LJ8060YIPU"/>
        <s v="AMZN MKTP US AMZN.COM/BILLWA5IKI7V2WJT6"/>
        <s v="AMZN MKTP US AMZN.COM/BILLWA6AZBHD6C6M4"/>
        <s v="AMZN MKTP US AMZN.COM/BILLWA6ET8X85GH7T"/>
        <s v="AMZN MKTP US AMZN.COM/BILLWA6LAEYA10HQX"/>
        <s v="AMZN MKTP US AMZN.COM/BILLWAZ6F8GH8H22I"/>
        <s v="AMZN MKTP US*1R9TR70S3 AMZN.COM/BILLWA37C4E9C06B5"/>
        <s v="AMZN MKTP US*H93C09Y40 AMZN.COM/BILLWA6Z40N5XM5MR"/>
        <s v="AMZN MKTP US*I28F73K13 AMZN.COM/BILLWA4VRUZWH4U70"/>
        <s v="Deposit ACH connectyourcare TYPE: SVB-CLAIMS ID: E942875288 CO: connectyourcare Entry Class Code: PPD ACH Trace Number: 121140394891805"/>
        <s v="SQ *WINGMAN MATT LLC GOSQ.COM MN0002305843017023918588"/>
        <s v="Withdrawal ACH CPENERGY MNGCO TYPE: MGC ACH EB ID: 176051140S CO: CPENERGY MNGCO NAME: CENTERPOINT ENERGY OTP Entry Class Code: WEB ACH Trace Number: 021000028790328"/>
        <s v="Withdrawal ACH PAYPAL TYPE: INST XFER ID: PAYPALSI77 CO: PAYPAL NAME: JEFF TRUITT Entry Class Code: WEB ACH Trace Number: 091000018185657"/>
        <s v="PAYMENT - THANK YOU REF #74734571800XTMJG4"/>
        <s v="Withdrawal ACH VENMO TYPE: PAYMENT ID: 326XXXXXXX CO: VENMO NAME: BRITNEY TRUITT Entry Class Code: WEB ACH Trace Number: 091000011115321"/>
        <s v="Withdrawal ACH XCEL ENERGY-MN TYPE: XCELENERGY ID: 7411967505 CO: XCEL ENERGY-MN NAME: BCU POWERPLUS468037106 Entry Class Code: WEB ACH Trace Number: 091000011738138"/>
        <s v="LANDRY MGT LOYALTY 800-394-3839 TX"/>
        <s v="AVO*ADVOCARE INTL 800-542-4800 TXAPPLE PAY ENDING IN 885691048590TDWTIBGQ"/>
        <s v="CUB FOODS 01644 952-934-1010 MNAPPLE PAY ENDING IN 8856"/>
        <s v="PELOTON* MEMBERSHIP      HTTPSWWW.ONEPNY REF #2401134190002AK24"/>
        <s v="BUDDY BOY FINE BARBEQUE  877-8144102  MN REF #240372419S66EW80F"/>
        <s v="ELITE NAILS LLC          CHANHASSEN   MN REF #2471705198550H9T0"/>
        <s v="LAKEWINDS - CHANHASSEN   CHANHASSEN   MN REF #24055231ARBGRK1KP"/>
        <s v="MTKA YOUTH LAX           WWW.MTKALAX.OMN REF #2449216190013WT0Z"/>
        <s v="PARTY CITY BOPIS         800-727-8924 NJ REF #24692161A35WJ6EX8"/>
        <s v="SPEEDWAY 04159           EDEN PRAIRIE MN REF #24137461B01B9V29J"/>
        <s v="SQ *MAYNARDS             Shorewood    MN REF #24692161A368X4KS7"/>
        <s v="AMZN MKTP US*H91XZ1RI2 AMZN.COM/BILLWA3B2X6EIBGCY"/>
        <s v="CASHSTAR STARBUCKS GFT 877-850-1977 MEAPPLE PAY ENDING IN 8856744563969DVTNJFS"/>
        <s v="MALL OF AMERICA          BLOOMINGTON  MN REF #24692161B2XE17ASD"/>
        <s v="SECURITY ADJUSTMENT (SD) REF #F5662001C000SD4F9"/>
        <s v="Deposit ACH TRINET TYPE: PAYROLL ID: 194XXXXXXX CO: TRINET Entry Class Code: PPD ACH Trace Number: 041001039019293"/>
        <s v="JIMMY JOHNS -923 - ECO CHANHASSEN MNAPPLE PAY ENDING IN 8856"/>
        <s v="METROPOLITAN ANESTHESIA  763-559-3779 MN REF #24801971QTQEBPQGM"/>
        <s v="Withdrawal ACH MHCHILDCARELLC TYPE: DUES ID: 1824708198 CO: MHCHILDCARELLC Entry Class Code: PPD ACH Trace Number: 096010411580494"/>
        <s v="Withdrawal ACH AMERICAN FAMILY TYPE: WEBPAYMENT ID: PEBP075965 CO: AMERICAN FAMILY NAME: Authorized by Customer Entry Class Code: WEB ACH Trace Number: 021000020119422"/>
        <s v="Withdrawal ACH DISCOVER TYPE: E-PAYMENT ID: 2510020270 CO: DISCOVER NAME: TRUITT JEFF Entry Class Code: WEB ACH Trace Number: 091000014497255"/>
        <s v="AMZN MKTP US AMZN.COM/BILLWA6NRM1LXT3NE"/>
        <s v="CENTURYLINK LUMEN        800-244-1111 LA REF #24692161D2Z4F5VY8"/>
        <s v="Deposit ACH PAYPAL TYPE: TRANSFER ID: PAYPALSD11 CO: PAYPAL Entry Class Code: PPD ACH Trace Number: 091000017461826"/>
        <s v="Rey Azteca Mexican RestauChanhassen   MN REF #24193041E036NZ04Z"/>
        <s v="BLUEFIN GRILLE TOFTE MN"/>
        <s v="Deposit ACH CARGILL INCORPOR TYPE: 005XXXXXXX ID: 2410177680 CO: CARGILL INCORPOR Entry Class Code: CTX ACH Trace Number: 111000020459222"/>
        <s v="Deposit ACH CARGILL INCORPOR TYPE: DIRECT DEP ID: 9111111101 CO: CARGILL INCORPOR Entry Class Code: PPD ACH Trace Number: 091000017719863"/>
        <s v="Deposit ACH EMPYREAN SOLUTIO TYPE: 193XXXXXXX ID: 5330903620 CO: EMPYREAN SOLUTIO Entry Class Code: PPD ACH Trace Number: 091000016660692"/>
        <s v="HASKELLS EXCELSIOR       952-4740935  MN REF #24540451F01MLVLXK"/>
        <s v="LUNDS&amp;BYERLYS CHANH      CHANHASSEN   MN REF #24427331EM83FXF7N"/>
        <s v="SPEEDWAY 04095           CHASKA       MN REF #24137461F01BH7GVN"/>
        <s v="SPEEDWAY 04095           CHASKA       MN REF #24137461F01BH7H1Q"/>
        <s v="WAYZATA CAFE             WAYZATA      MN REF #24943001FW5ZKA94V"/>
        <s v="FOSS SWIM SCHOOL         HTTPSWWW.FOSSMN REF #24011341F001B9K5J"/>
        <s v="LUTSEN MOUNTAINS         999-9999999  MN REF #24325451FS66FL7QS"/>
        <s v="SUPER ONE FOODS          DULUTH       MN REF #24427331FLYRNX1FW"/>
        <s v="SUPER ONE LIQUOR   SSS   DULUTH       MN REF #24427331FLYRNRX7A"/>
        <s v="BCS*MINNETONKA COMMUNITY 952-401-6800 MN REF #24137461H01FP3JVZ"/>
        <s v="ELMCC* EXCELSIOR CHAMB   HTTPSWWW.EXCEMN REF #24492161H0016W18Q"/>
        <s v="MOUNTAIN SHOPS INC      LUTSEN       MN REF #24275391GS66HF7E9"/>
        <s v="MOUNTAIN SHOPS INC      LUTSEN       MN REF #24275391GS66HF7ES"/>
        <s v="TST* CASTLE DANGER BREWERTWO HARBORS  MN REF #24137461GEJ934E3T"/>
        <s v="BLUEFIN BAY FAMILY OF    TOFTE        MN REF #24000971JD9KPXWM6"/>
        <s v="PAPA CHARLIES RSTRNT     LUTSEN       MN REF #24325451JS66KPBB0"/>
        <s v="ROSIES CAFE LUTSEN       LUTSEN       MN REF #24325451JS66G010S"/>
        <s v="ROSIES CAFE LUTSEN       LUTSEN       MN REF #24325451JS66G0GQF"/>
        <s v="SUMMIT CHALET            LUTSEN       MN REF #24325451JS66KYG2A"/>
        <s v="Withdrawal at ATM #000000002589 BMO HARRIS BANK NA 761 WEST 78TH STREET CHANHASSEN MN"/>
        <s v="KWIK TRIP  44100004416   SHAKOPEE     MN REF #24164071KL3HEG6WS"/>
        <s v="SP FAHERTY               FAHERTY.MYSHONY REF #24492161K000SZBLK"/>
        <s v="TST* CANAL PARK BREWING CDULUTH       MN REF #24137461KEJD0SASH"/>
        <s v="TWEET PEDIATRIC DENTIS   CHANHASSEN   MN REF #24071051KVAMDT6YQ"/>
        <s v="Withdrawal ACH BARCLAYCARD US TYPE: CREDITCARD ID: 2510407970 CO: BARCLAYCARD US NAME: BRITNEY TRUITT Entry Class Code: WEB ACH Trace Number: 026002571678481"/>
        <s v="Withdrawal ACH CITY OF CHANHASS TYPE: UTIL BILL ID: 1410885331 CO: CITY OF CHANHASS Entry Class Code: PPD ACH Trace Number: 091901960180656"/>
        <s v="Withdrawal ACH Coinbase.com TYPE: UMPR9WKS ID: 1455293997 CO: Coinbase.com NAME: JEFF TRUITT Entry Class Code: WEB ACH Trace Number: 021214891857319"/>
        <s v="Withdrawal ACH MN DIR ACH TYPE: CONTRIB ID: 2416007162 CO: MN DIR ACH NAME: 230 89742742601 Entry Class Code: WEB ACH Trace Number: 011001231596447"/>
        <s v="Withdrawal ACH PAYPAL TYPE: INST XFER ID: PAYPALSI77 CO: PAYPAL NAME: JEFF TRUITT Entry Class Code: WEB ACH Trace Number: 091000017996792"/>
        <s v="Withdrawal ACH NORDSTROM TYPE: PAYMENT ID: 9044022131 CO: NORDSTROM NAME: Jeff Truitt Jeff Truit Entry Class Code: WEB ACH Trace Number: 043305137764420"/>
        <s v="AMAZON.COM*HP2C95WZ0 AMZN.COM/BILLWA2KIE06S2P10"/>
        <s v="D J*WALL-ST-JOURNAL      800-568-7625 MA REF #24692161M340MYX14"/>
        <s v="Deposit ACH connectyourcare TYPE: SVB-CLAIMS ID: E942875288 CO: connectyourcare Entry Class Code: PPD ACH Trace Number: 121140392780933"/>
        <s v="Withdrawal ACH MHCHILDCARELLC TYPE: DUES ID: 1824708198 CO: MHCHILDCARELLC Entry Class Code: PPD ACH Trace Number: 096010418789172"/>
        <s v="AMZN Mktp US*HP3N741B2   Amzn.com/billWA REF #24692161M34ABJEW5"/>
        <s v="Netflix.com              866-5797172  CA REF #24906411M4WBE992V"/>
        <s v="SP MAVI USA              HTTPSMAVIGIYINY REF #24492161M000ZK3E1"/>
        <s v="LULULEMONCOM*            877-263-9300 CA REF #24692161N34PDXQJ9"/>
        <s v="PARK N FLY RESERVATIONS  goo.gl/gVdePhGA REF #24210731P2MA55Q8R"/>
        <s v="USPS PO 2616400317       CHANHASSEN   MN REF #24137461P00YGHV0S"/>
        <s v="AMZN MKTP US*HP8YI8R11 AMAMZN.COM/BILLWA REF #24431061R2E03N4GG"/>
        <s v="Deposit ACH TRINET TYPE: PAYROLL ID: 194XXXXXXX CO: TRINET Entry Class Code: PPD ACH Trace Number: 041001038659586"/>
        <s v="Kids Hair - CH           Chanhassen   MN REF #24793381P023W1W6J"/>
        <s v="LUNDS&amp;BYERLYS CHANH      CHANHASSEN   MN REF #24427331PM83TW4JP"/>
        <s v="MAYNARDS R* MAYNARDS E   MAYNARDSEXCELMN REF #24492161T00013D5R"/>
        <s v="VAIL PASS SALES 0374     888-838-0495 CO REF #24610431P03R3QRQX"/>
        <s v="AFTON ALPS F&amp;B           HASTINGS     MN REF #24431061TW69PGR37"/>
        <s v="AFTON ALPS F&amp;B           HASTINGS     MN REF #24431061TW6A9MD3M"/>
        <s v="AMZN Mktp US*HD93F2C41   Amzn.com/billWA REF #24692161T2XTBKHY9"/>
        <s v="CUB FOODS                CHANHASSEN   MN REF #24427331TM83B998B"/>
        <s v="SP FAHERTY               FAHERTY.MYSHONY REF #24492161S0000VJ6V"/>
        <s v="VAIL PASS SALES 0374     888-838-0495 CO REF #24610431T03R69175"/>
        <s v="Withdrawal ACH TARGET CARD SRVC TYPE: AUTO PYMT ID: 1411721813 CO: TARGET CARD SRVC NAME: TRUITT JEFFREY B Entry Class Code: WEB ACH Trace Number: 091000011662096"/>
        <s v="Deposit Dividend Split Rate Annual Percentage Yield Earned 2.22% from 02/01/23 through 02/28/23"/>
        <s v="KWIK TRIP  40200004028   CHANHASSEN   MN REF #24164071SL3HF3EKF"/>
        <s v="SP FAHERTY               FAHERTY.MYSHONY REF #24492161S000FDPAF"/>
        <s v="TRADING POST             760-6996800  CA REF #24000971SEBDPWD18"/>
        <s v="Withdrawal ACH MHCHILDCARELLC TYPE: DUES ID: 1824708198 CO: MHCHILDCARELLC Entry Class Code: PPD ACH Trace Number: 096010419670856"/>
        <s v="Withdrawal ACH PAYPAL TYPE: INST XFER ID: PAYPALSI77 CO: PAYPAL NAME: JEFF TRUITT Entry Class Code: WEB ACH Trace Number: 021000020174046"/>
        <s v="Withdrawal ACH PAYPAL TYPE: INST XFER ID: PAYPALSI77 CO: PAYPAL NAME: JEFF TRUITT Entry Class Code: WEB ACH Trace Number: 091000017859932"/>
        <s v="Cash for cleaning"/>
        <s v="Withdrawal Ach College Savings Type: Ach Id: Xxxxx5818 Co: College Savings Entry Class Code: Ppd Ach Trace Number: Xxxxxxxxxxx0089"/>
        <s v="Withdrawal Home Banking Transfer To Loan 02 Ref # Xxx3857"/>
        <s v="Payment - Thank You Ref #xxxx4571x00xtmjg8"/>
        <s v="Act*city Of Chanhassen Xxx-xxx1400 Mn Ref #xxxx3391w002mffs3"/>
        <s v="Act*city Of Chanhassen Xxx-xxx1400 Mn Ref #xxxx3391w002mfhmq"/>
        <s v="Cargill Inc"/>
        <s v="Fedex"/>
        <s v="Minneapolis-saint Paul International Airport"/>
        <s v="Raw And Juicy"/>
        <s v="Atl Sweetwater Bar &amp; G Xxx-xxx8810 Ga Ref #xxxx0971yevl4ps1t"/>
        <s v="Faherty Brand"/>
        <s v="Georges At Alys Beach Rosemary Beacfl Ref #xxxx3391z00qf3nhd"/>
        <s v="Georges At Alys Beach Rosemary Beacfl Ref #xxxx3391z00qf3p2f"/>
        <s v="Orvis"/>
        <s v="Playa Bowls"/>
        <s v="Sp Mavi Usa Httpsmavigiyiny Ref #xxxx2161y000grtm6"/>
        <s v="Sq *charlies Cafe At Rosesanta Rosa Befl Ref #xxxx2161y31he3t89"/>
        <s v="Beach &amp; Brew On 30a Seacrest Fl Ref #xxxxxx3200fv7k9lq"/>
        <s v="Pescado Seafood Grill Rosemary Beacfl Ref #xxxxx1020s66hqllv"/>
        <s v="Restaurant Paradis"/>
        <s v="Seacrest Sundries"/>
        <s v="Smallcakes 30a Inlet Beach Fl Ref #xxxxx9821bmbk8fm3"/>
        <s v="Surf Style"/>
        <s v="Tst* Third Cup Rosemary Beacfl Ref #xxxxx4620ejqqajde"/>
        <s v="Yd"/>
        <s v="Crabby Steves Inlet Beach Fl Ref #xxxxx9721f7xl9jtm"/>
        <s v="Crabby Steves Inlet Beach Fl Ref #xxxxx9721f7xl9k15"/>
        <s v="Sq *gifts Accessories &amp; Inlet Beach Fl Ref #xxxxxxx2133p9bm66"/>
        <s v="Withdrawal Ach Mhchildcarellc Type: Dues Id: Xxxxxx8198 Co: Mhchildcarellc Entry Class Code: Ppd Ach Trace Number: Xxxxxxxxxxx4114"/>
        <s v="Cefco"/>
        <s v="La Cocina"/>
        <s v="The Hertz Corporation"/>
        <s v="Tst* Third Cup Rosemary Beacfl Ref #xxxxx4622ejbmm8rz"/>
        <s v="Tst* Third Cup Rosemary Beacfl Ref #xxxxx4622ejbmm8vh"/>
        <s v="Minnetonka Public Schools"/>
        <s v="Allegiant Air"/>
        <s v="All Seasons Garment Care Excelsior Mn Ref #xxxxxxxx6039g9fjt"/>
        <s v="Allied Parking-nordic Minneapolis Mn Ref #xxxxxxx2536qbprgg"/>
        <s v="Iron Tap"/>
        <s v="Park 'n Fly"/>
        <s v="Thr3 Jack Minneapolis Mn Ref #xxxxxxxx5600w6d7b"/>
        <s v="Act Cityof Waconia Waconia Mn Ref #xxxxxx6272yf017vf"/>
        <s v="Blvd *face Foundrie Waywayzata Mn Ref #xxxxx0027ej34e5bm"/>
        <s v="Blvd *face Foundrie Waywayzata Mn Ref #xxxxx0027ej34e5dy"/>
        <s v="Brookies Fish Market Saint Louis Pmn Ref #xxxxxx9272xkjpqs0"/>
        <s v="Sp Faherty Faherty.myshony Ref #xxxxxxxxx0008hq0x"/>
        <s v="Tst* The Grocers Table Wayzata Mn Ref #xxxxxx6272yed9m3d"/>
        <s v="Trinet"/>
        <s v="Payment - Thank You Ref #xxxx4572a00xtmjg3"/>
        <s v="Barclaycard Us"/>
        <s v="Discover Bank"/>
        <s v="Withdrawal Ach Mhchildcarellc Type: Dues Id: Xxxxxx8198 Co: Mhchildcarellc Entry Class Code: Ppd Ach Trace Number: Xxxxxxxxxxx8651"/>
        <s v="Amazon Digital Services"/>
        <s v="Coinbase"/>
        <s v="Cargill"/>
        <s v="Jaxen Grey - Ridgedale Minnetonka Mn Ref #xxxx9792dejf4xxda"/>
        <s v="Sp Faherty Faherty.myshony Ref #xxxx2162q000hn5e1"/>
        <s v="Buddy Boy Bbq Minnetrista Mn Ref #xxxx9992es66df1zp"/>
        <s v="Withdrawal Ach Mn Dir Ach Type: Contrib Id: Xxxxxx7162 Co: Mn Dir Ach Name: Xxx Xxxxxxx2601 Entry Class Code: Web Ach Trace Number: Xxxxxxxxxxx4673"/>
        <s v="Wall Street Journal"/>
        <s v="Withdrawal Ach City Of Chanhass Type: Util Bill Id: Xxxxxx5331 Co: City Of Chanhass Entry Class Code: Ppd Ach Trace Number: Xxxxxxxxxxx4639"/>
        <s v="Withdrawal Ach Mhchildcarellc Type: Dues Id: Xxxxxx8198 Co: Mhchildcarellc Entry Class Code: Ppd Ach Trace Number: Xxxxxxxxxxx4171"/>
        <s v="Bonfes Plumbing Heating Axxx-xxx6633 Mn Ref #xxxx5392gs66j2x1v"/>
        <s v="Sp Normal Brand Llc Thenormalbranmo Ref #xxxx2162g000r27gj"/>
        <s v="Asian Mart"/>
        <s v="Pei Wei Asian Diner"/>
        <s v="At&amp;t"/>
        <s v="Tst* Red Wagon Pizzaminneapolis Xxxxxxx3086 Restaurant"/>
        <s v="Online Payment - Thank You"/>
        <s v="Tst* Blvd Minnetonka Mn Ref #xxxx7462m2xx6wdqt"/>
        <s v="Hyatt"/>
        <s v="Withdrawal Ach Mhchildcarellc Type: Dues Id: Xxxxxx8198 Co: Mhchildcarellc Entry Class Code: Ppd Ach Trace Number: Xxxxxxxxxxx4363"/>
        <s v="Jj S Poke Edina Mn Xxxxxxxxxxxxxx-xxx-3780"/>
        <s v="Lunds &amp; Byerlys"/>
        <s v="Tst* Nautical Bowls Victoria Mn Xxxxxxxxxxx Xxxxxx1039"/>
        <s v="Maynards R* Maynardsexcelsior Mn Nt_ncd07phz +xxxxxxx2469"/>
        <s v="Withdrawal At Atm #xxxxxxxxxxxx 435 Water St Excelsior Mn"/>
        <s v="Deposit Dividend Split Rate Annual Percentage Yield Earned 2.46% From 03/01/23 Through 03/31/23"/>
        <s v="Food Truck Alley Saint Paul Mn 03xkdpv5d3e Xxxxxx0055"/>
        <s v="Publix"/>
        <s v="Smokin R's Bbq Naples Fl Rqdp9hw5zii Squareup.com/receipts"/>
        <s v="Withdrawal Home Banking Transfer To Loan 02 REF # 3832345"/>
        <s v="Amazon Music*HY9257YF0   888-802-3080 WA REF #24692162V302TS4ZQ"/>
        <s v="AMZN Mktp US*HS8HE9CE0   Amzn.com/billWA REF #24692162V305QQLWQ"/>
        <s v="SP NORMAL BRAND LLC THENORMALBRAN CREDIT REF #24492162S000H2HSP"/>
        <s v="Ruby Tuesday"/>
        <s v="Withdrawal ACH College Savings TYPE: ACH ID: 550895818 CO: College Savings Entry Class Code: PPD ACH Trace Number: 104910797000009"/>
        <s v="SEAGULLCOVE LODGE        CHIRIQUI     PB REF #74505922X5KXEP17F"/>
        <s v="MINI SUPER DIYEAN        DAVID        PB REF #74345522X0SSKGHT7"/>
        <s v="SEAGULLCOVE LODGE        CHIRIQUI     PB REF #74505922Y5353H7JE"/>
        <s v="Deposit ACH EMPYREAN SOLUTIO TYPE: 193XXXXXXX ID: 5330903620 CO: EMPYREAN SOLUTIO Entry Class Code: PPD ACH Trace Number: 091000018383293"/>
        <s v="Palenque Hotel Chiriqu Ch Lodging"/>
        <s v="DFA TOCUMEN C2 39        TOCUMEN      PB REF #7421956320628NPZ1"/>
        <s v="KOTOWA COFFEE HOUSE-DA   CHIRIQUI     PB REF #7450592327TNFL481"/>
        <s v="PELOTON* MEMBERSHIP      HTTPSWWW.ONEPNY REF #240113432000YL3FG"/>
        <s v="SUNSHINE #43             MIAMI        FL REF #240032232MWBEWPA0"/>
        <s v="SUNSHINE #43             MIAMI        FL REF #240032232MWBEWPAG"/>
        <s v="7-ELEVEN 33973           FT MYERS     FL REF #24034543400YQVFJR"/>
        <s v="Deposit ACH DISCOVER BANK TYPE: PREARRANGE ID: 7510020271 CO: DISCOVER BANK Entry Class Code: PPD ACH Trace Number: 091000019697847"/>
        <s v="Grubhub.com"/>
        <s v="Withdrawal ACH XCEL ENERGY-MN TYPE: XCELENERGY ID: 7411967505 CO: XCEL ENERGY-MN NAME: BCU POWERPLUS476155178 Entry Class Code: WEB ACH Trace Number: 091000013234375"/>
        <s v="INTUIT *TURBOTAX         CL.INTUIT.COMCA REF #2469216352Y3MR9KX"/>
        <s v="Withdrawal ACH MHCHILDCARELLC TYPE: DUES ID: 1824708198 CO: MHCHILDCARELLC Entry Class Code: PPD ACH Trace Number: 096010415883282"/>
        <s v="CENTURYLINK LUMEN        800-244-1111 LA REF #2469216362Z6G4MQ4"/>
        <s v="Deposit ACH CARGILL INCORPOR TYPE: DIRECT DEP ID: 9111111101 CO: CARGILL INCORPOR Entry Class Code: PPD ACH Trace Number: 091000011130089"/>
        <s v="Deposit ACH TRINET TYPE: PAYROLL ID: 194XXXXXXX CO: TRINET Entry Class Code: PPD ACH Trace Number: 041001037838704"/>
        <s v="HOMEDEPOT.COM            800-430-3376 GA REF #24943013609FJFEHB"/>
        <s v="HOMEDEPOT.COM            800-430-3376 GA REF #24943013609FL44N2"/>
        <s v="Withdrawal ACH MN DEPT OF REVEN TYPE: MN Rev pay ID: X416007162 CO: MN DEPT OF REVEN NAME: JEFFREY TRUITT Entry Class Code: WEB ACH Trace Number: 042000017910946"/>
        <s v="Lakewinds Food Co-op"/>
        <s v="Withdrawal ACH CPENERGY MNGCO TYPE: MGC ACH EB ID: 176051140S CO: CPENERGY MNGCO NAME: CENTERPOINT ENERGY OTP Entry Class Code: WEB ACH Trace Number: 021000020827118"/>
        <s v="Withdrawal ACH AMERICAN FAMILY TYPE: WEBPAYMENT ID: PEBP075965 CO: AMERICAN FAMILY NAME: Authorized by Customer Entry Class Code: WEB ACH Trace Number: 021000025406189"/>
        <s v="Creede Snowshoe Lodgcreede Co Xxxxxxxxxxxxxx-xxx-2315"/>
        <s v="Red Rabbit"/>
        <s v="The Monte Carlo 5455minneapolis Xxxxxxx3106 Dleegervais@gmail.com"/>
        <s v="Willy Mccoys Chaska Chaska Mn Xxxxxxx3106 Bar/nightclub"/>
        <s v="AMZN Mktp US*HJ5KY2862   Amzn.com/billWA REF #24692163930VZRM1K"/>
        <s v="CUB FOODS 01644          952-934-1010 MN REF #2423168382DDXJ2VM"/>
        <s v="Kowalski's Market"/>
        <s v="Scholastic Inc.         800-724-6527 NY REF #240095839HEXNL08H"/>
        <s v="SP FREEFLYAPPAREL HTTPSFREEFLYA S CREDIT REF #2449216390003V9SR"/>
        <s v="ANTHROPOLOGIE # 534 SAINT LOUIS P CREDIT REF #7444500392XN1VNBM"/>
        <s v="EB EXCELSIOR BLOODY M    8014137200   CA REF #24492153ALVXRRDDL"/>
        <s v="Withdrawal ACH PAYPAL TYPE: INST XFER ID: PAYPALSI77 CO: PAYPAL NAME: JEFF TRUITT Entry Class Code: WEB ACH Trace Number: 091000015074127"/>
        <s v="Withdrawal ACH PAYPAL TYPE: INST XFER ID: PAYPALSI77 CO: PAYPAL NAME: JEFF TRUITT Entry Class Code: WEB ACH Trace Number: 091000015482907"/>
        <s v="Withdrawal ACH PAYPAL TYPE: INST XFER ID: PAYPALSI77 CO: PAYPAL NAME: JEFF TRUITT Entry Class Code: WEB ACH Trace Number: 091000018881816"/>
        <s v="Withdrawal ACH PAYPAL TYPE: INST XFER ID: PAYPALSI77 CO: PAYPAL NAME: JEFF TRUITT Entry Class Code: WEB ACH Trace Number: 091000018920363"/>
        <s v="Withdrawal ACH DISCOVER TYPE: E-PAYMENT ID: 2510020270 CO: DISCOVER NAME: TRUITT JEFF Entry Class Code: WEB ACH Trace Number: 091000016668969"/>
        <s v="Amazon.com*HV9SI41Y0     Amzn.com/billWA REF #24692163B32FYGY23"/>
        <s v="Deposit ACH CONNECTYOURCARE TYPE: OPTUMCLAIM ID: 7261274092 CO: CONNECTYOURCARE Entry Class Code: PPD ACH Trace Number: 124384876398136"/>
        <s v="Deposit ACH MBI TYPE: SETL ID: 138XXXXXXX CO: MBI Entry Class Code: PPD ACH Trace Number: 071000280242973"/>
        <s v="Withdrawal ACH MN DIR ACH TYPE: CONTRIB ID: 2416007162 CO: MN DIR ACH NAME: 907 89742742601 Entry Class Code: WEB ACH Trace Number: 011001232526145"/>
        <s v="WSJ/BARRONS SUBSCRIPTI   800-568-7625 NJ REF #24692163Q338HVEBA"/>
        <s v="PAYMENT - THANK YOU REF #74734573D00XTMJG2"/>
        <s v="All Seasons Garment Care Excelsior    MN REF #24193043D03EABZD4"/>
        <s v="AMZN Mktp US*HV4NL2GY1   Amzn.com/billWA REF #24692163D33ZWMV18"/>
        <s v="SP FAHERTY               FAHERTY.MYSHONY REF #24492163D0002YGNM"/>
        <s v="Withdrawal ACH MHCHILDCARELLC TYPE: DUES ID: 1824708198 CO: MHCHILDCARELLC Entry Class Code: PPD ACH Trace Number: 096010419885357"/>
        <s v="Withdrawal ACH AMEX EPAYMENT TYPE: ACH PMT ID: 0005000008 CO: AMEX EPAYMENT NAME: Britney Truitt Entry Class Code: WEB ACH Trace Number: 091000015279683"/>
        <s v="AMZN Mktp US*HV3DP5MF1   Amzn.com/billWA REF #24692163D34Q0H8VS"/>
        <s v="AMZN MKTP US*HV42G46I0 AMAMZN.COM/BILLWA REF #24431063D2DYH8B0W"/>
        <s v="Withdrawal ACH PAYPAL TYPE: INST XFER ID: PAYPALSI77 CO: PAYPAL NAME: JEFF TRUITT Entry Class Code: WEB ACH Trace Number: 091000014185376"/>
        <s v="AMAZON.COM*HF41A9C50 AMZNAMZN.COM/BILLWA REF #24431063F2DK9F0G7"/>
        <s v="BONFES PLUMBING HEATING A651-3326633  MN REF #24275393ES66HFEZZ"/>
        <s v="BP#1370200CHANHASSEN BP  CHANHASSEN   MN REF #24122543FMLWZ2SPE"/>
        <s v="Membership Fee"/>
        <s v="NETFLIX.COM              NETFLIX.COM  CA REF #24692163E34WTS5SH"/>
        <s v="SP UNRL.CO               UNRL.MYSHOPIFMN REF #24492163E000W4FFS"/>
        <s v="TARGET        00008623   CHANHASSEN   MN REF #24164073E2LR7RLVG"/>
        <s v="Withdrawal ACH CITY OF CHANHASS TYPE: UTIL BILL ID: 1410885331 CO: CITY OF CHANHASS Entry Class Code: PPD ACH Trace Number: 091901960189027"/>
        <s v="All Seasons Garment Care Excelsior    MN REF #24193043G03ETDWFG"/>
        <s v="AMC 0650 EDEN PRAIRIE    EDEN PRAIRIE MN REF #24431063H0HA9DBS1"/>
        <s v="AMC 0650 EDEN PRAIRIE    EDEN PRAIRIE MN REF #24431063H0HAEET4A"/>
        <s v="Deposit ACH IRS  TREAS 310 TYPE: TAX REF ID: 9111736946 CO: IRS TREAS 310 Entry Class Code: PPD ACH Trace Number: 111736949007769"/>
        <s v="LEEANN CHIN 0163 EDEN PRA952-7462200  MN REF #24540453G01MM2MJ6"/>
        <s v="Pau Hana"/>
        <s v="RVT*MTKA PUB SCHLS-WEB   952-4015000  MN REF #24906413F50QFVT07"/>
        <s v="TOTALWINE 1606 DIGITAL   https://www.fMN REF #24116413HBMD9KZLY"/>
        <s v="Xxxxx00 - Republic Bst. Paul Mn Restaurant"/>
        <s v="ADIDAS US ONLINE STORE   800-9829337  OR REF #24443463J50JJ7X4N"/>
        <s v="ADIDAS US ONLINE STORE   800-9829337  OR REF #24443463J50JYY22J"/>
        <s v="AMZN Mktp US*HF1HG0JP1   Amzn.com/billWA REF #24692163J2YL7VW6Y"/>
        <s v="AMZN Mktp US*HF9K58XS0   Amzn.com/billWA REF #24692163J2YQXS3BQ"/>
        <s v="BELK.COM                 866-235-5443 NC REF #24445003KHEWXX9ZN"/>
        <s v="Withdrawal ACH DISCOVER BANK TYPE: NET/MOBILE ID: 4510020271 CO: DISCOVER BANK NAME: JEFF TRUITT Entry Class Code: WEB ACH Trace Number: 091000012075203"/>
        <s v="Withdrawal ACH TARGET CARD SRVC TYPE: AUTO PYMT ID: 1411721813 CO: TARGET CARD SRVC NAME: TRUITT JEFFREY B Entry Class Code: WEB ACH Trace Number: 091000014755937"/>
        <s v="AMZN Mktp US*HF0AW8T42   Amzn.com/billWA REF #24692163K2Z6969ZA"/>
        <s v="AMZN MKTP US*HF3ZD92M0 AMAMZN.COM/BILLWA REF #24431063K2DKYN7E3"/>
        <s v="AMZN Mktp US*HF5E18V61   Amzn.com/billWA REF #24692163K2ZHEL74L"/>
        <s v="AMZN Mktp US*HF9DP3T22   Amzn.com/billWA REF #24692163K2Z7B6Q20"/>
        <s v="AMZN Mktp US*HF9ZW0PT1   Amzn.com/billWA REF #24692163K2Z7Q10HY"/>
        <s v="SQ *LORD HOBO BREWING WOBWoburn       MA REF #24692163L2ZRBP60R"/>
        <s v="Withdrawal ACH MHCHILDCARELLC TYPE: DUES ID: 1824708198 CO: MHCHILDCARELLC Entry Class Code: PPD ACH Trace Number: 096010410060494"/>
        <s v="Withdrawal ACH VENMO TYPE: PAYMENT ID: 326XXXXXXX CO: VENMO NAME: BRITNEY TRUITT Entry Class Code: WEB ACH Trace Number: 091000018732659"/>
        <s v="Deposit ACH CARGILL INCORPOR TYPE: DIRECT DEP ID: 9111111101 CO: CARGILL INCORPOR Entry Class Code: PPD ACH Trace Number: 091000013224548"/>
        <s v="Deposit ACH TRINET TYPE: PAYROLL ID: 194XXXXXXX CO: TRINET Entry Class Code: PPD ACH Trace Number: 041001035450828"/>
        <s v="Ramp B"/>
        <s v="NATIONAL CAR RENTAL      BOSTON       MA REF #24164073M1PYKBYJ0"/>
        <s v="Tst* Martina 0xx3538minneapolis Xxxxxxx3119 Restaurant"/>
        <s v="Withdrawal ACH PAYPAL TYPE: INST XFER ID: PAYPALSI77 CO: PAYPAL NAME: JEFF TRUITT Entry Class Code: WEB ACH Trace Number: 091000011557919"/>
        <s v="Withdrawal ACH VENMO TYPE: PAYMENT ID: 326XXXXXXX CO: VENMO NAME: BRITNEY TRUITT Entry Class Code: WEB ACH Trace Number: 091000010113019"/>
        <s v="Snuffy's Malt Shop"/>
        <s v="Delaware North Companies Sports Services"/>
        <s v="DELAWARE NORTH LOGAN F&amp;B EAST BOSTON  MA REF #24431063PW5T2H3R0"/>
        <s v="DELAWARE NORTH LOGAN F&amp;B EAST BOSTON  MA REF #24431063PW5T8K4F5"/>
        <s v="Deposit Dividend Split Rate Annual Percentage Yield Earned 1.68% from 04/01/23 through 04/30/23"/>
        <s v="HILTON BOSTON WOBURN     WOBURN       MA REF #24055233N11H4HA65"/>
        <s v="KWIK TRIP  40200004028   CHANHASSEN   MN REF #24164073PL3HDZZS0"/>
        <s v="MSP AIRPORT PARKING      SAINT PAUL   MN REF #24034543P02Z0B6VY"/>
        <s v="SCHEELS EDEN PRAIRIE     EDEN PRAIRIE MN REF #24138293PP6Q3TLRN"/>
        <s v="SHELL OIL 12630255003    BOSTON       MA REF #24316053NFYHHVR6E"/>
        <s v="SP ALLBIRDS              HTTPSWWW.ALLBCA REF #24492163N000SE5ER"/>
        <s v="SP FREEFLYAPPAREL        HTTPSFREEFLYASC REF #24492163N000SYM41"/>
        <s v="SP NATHAN                HTTPSUSBNS.MYCA REF #24492163P001BH1NE"/>
        <s v="TST* BERKSHIRE FARM MARKEBOSTON       MA REF #24137463N8R4GRSMH"/>
        <s v="Mobile Payment - Thank You"/>
        <s v="PAYMENT - THANK YOU REF #74734573T00XTMJG6"/>
        <s v="Amazon Music*HM8LW6HK0   888-802-3080 WA REF #24692163T33F2Y01J"/>
        <s v="AMZN MKTP US AMZN.COM/BIL AMZN.CO CREDIT REF #74431063T2D9NZ4L0"/>
        <s v="AMZN Mktp US Amzn.com/bill WA     CREDIT REF #74692163R338VNR39"/>
        <s v="AMZN Mktp US Amzn.com/bill WA     CREDIT REF #74692163R33BLXJ28"/>
        <s v="AMZN Mktp US Amzn.com/bill WA     CREDIT REF #74692163R33BP5HXH"/>
        <s v="AMZN Mktp US*HM40K3AB2   Amzn.com/billWA REF #24692163T33HK4QV6"/>
        <s v="HILTON GARDEN INN BOSTON EAST BOSTON  MA REF #24275393RS66HS55Z"/>
        <s v="JAXON GREY               MINNEAPOLIS  MN REF #24269793R2XTA5RDS"/>
        <s v="SCHEELS EDEN PRAIRIE EDEN PRAIRIE CREDIT REF #74138293TP6Q5W11J"/>
        <s v="TST* Red Cow - 1st Ave   612-238-0050 MN REF #24692163R32YMJV0G"/>
        <s v="Withdrawal ACH College Savings TYPE: ACH ID: XX5818 CO: College Savings Entry Class Code: ACH Trace Number: XX3102"/>
        <s v="Withdrawal Home Banking Transfer To Loan 02 REF # XX4306"/>
        <s v="AMZN Mktp US*HM5QO4GT2   Amzn.com/billWA REF #24692163S346Y5WE6"/>
        <s v="JAXON GREY-EDINA         EDINA        MN REF #24269793TEJ80KFGX"/>
        <s v="SP VUORI CLOTHING        HTTPSVUORICLOCA REF #24492163T001SHTZW"/>
        <s v="ADIDAS US ONLINE STORE   800-9829 CREDIT REF #74443463S5174WWKH"/>
        <s v="AMZN Mktp US*HM8FA15M1   Amzn.com/billWA REF #24692163S34KEE08P"/>
        <s v="Cargill Deposit"/>
        <s v="WAYZATA CAFE             WAYZATA      MN REF #24943003VW6AZPZN2"/>
        <s v="Withdrawal ACH MHCHILDCARELLC TYPE: DUES ID: XX8198 CO: MHCHILDCARELLC Entry Class Code: ACH Trace Number: XX5251"/>
        <s v="CUB FOODS 01644          952-934-1010 MN REF #24231683W2DG09YMP"/>
        <s v="TOTALWINE 1606 DIGITAL   https://www.fMN REF #24116413XBMDDE1S5"/>
        <s v="Withdrawal Home Banking Pmt to card XX5913"/>
        <s v="PAYMENT - THANK YOU REF #74734573Z00XTMJG0"/>
        <s v="AMZN Mktp US Amzn.com/bill WA     CREDIT REF #74692163X2XMJSV21"/>
        <s v="AMZN Mktp US Amzn.com/bill WA     CREDIT REF #74692163X2XN91H5R"/>
        <s v="AMZN Mktp US Amzn.com/bill WA     CREDIT REF #74692163X2XN924R0"/>
        <s v="AMZN Mktp US Amzn.com/bill WA     CREDIT REF #74692163X2XNF05GE"/>
        <s v="ANTHROPOLOGIE #427       MINNEAPOLIS  MN REF #24445003Y2XAN7662"/>
        <s v="EVEREVE - 8              WAYZATA      MN REF #24269793XEJ5MZTPG"/>
        <s v="KWIK TRIP  40200004028   CHANHASSEN   MN REF #24164073YL3HELAS1"/>
        <s v="KWIK TRIP  40200004028   CHANHASSEN   MN REF #24164073YL3HELAWD"/>
        <s v="RENTAL TOLL236588087     877-860-1283 MA REF #24430993X2E047398"/>
        <s v="CSC SERVICEWORK          CHASKA       MN REF #240552340BLMNA231"/>
        <s v="SHOREWOOD TRUE VALUE     EXCELSIOR    MN REF #248019740BMDDE20K"/>
        <s v="SPEEDWAY 04095           CHASKA       MN REF #241374640019YN5TV"/>
        <s v="SPEEDWAY 04095           CHASKA       MN REF #241374640019YN5WE"/>
        <s v="PELOTON* MEMBERSHIP      HTTPSWWW.ONEPNY REF #240113440000YV7YM"/>
        <s v="TARGET        00008623   CHANHASSEN   MN REF #2416407402LRFMJKZ"/>
        <s v="THE SUBURBAN EXCELSIOR   ST LOUIS PARKMN REF #2434285400FVHE2YN"/>
        <s v="Withdrawal ACH MHCHILDCARELLC TYPE: DUES ID: XX8198 CO: MHCHILDCARELLC Entry Class Code: ACH Trace Number: XX4086"/>
        <s v="AMAZON.COM*LG2UQ40Q3 AMZNAMZN.COM/BILLWA REF #2443106422DKZAJEQ"/>
        <s v="MIDWEST AQUA CARE        952-403-6879 MN REF #248019742M4FLPRP5"/>
        <s v="Hallmark Movies Now      844-4465669  CA REF #24906414351SMKPKP"/>
        <s v="TOMMY BAHAMA ECOMM       866-986-8282 WA REF #2469216433280076Q"/>
        <s v="PAYMENT - THANK YOU REF #74734574600XTMJG1"/>
        <s v="AMZN Mktp US Amzn.com/bill WA     CREDIT REF #74692164633VFL0E3"/>
        <s v="CENTURYLINK LUMEN        800-244-1111 LA REF #24692164432WE8MQ2"/>
        <s v="OFFICEMAX/DEPOT 6641     CHANHASSEN   MN REF #2413746455SGL01PY"/>
        <s v="Salary/Regular Income from TriNet"/>
        <s v="SUNCTRYAIR  N3SCFF       MINNEAPOLIS  MN REF #240552345LQFGXKYV"/>
        <s v="TST* HACKAMORE BREWING COCHANHASSEN   MN REF #241374645EJTHB6JA"/>
        <s v="TST* HACKAMORE BREWING COCHANHASSEN   MN REF #241374645EJTHB6LY"/>
        <s v="BLVD   *FACE FOUNDRIE WAYWAYZATA      MN REF #244450046EHY328VX"/>
        <s v="EVEREVE - 8              WAYZATA      MN REF #2426979462XN2A8MT"/>
        <s v="EVEREVE - 8              WAYZATA      MN REF #2426979462XN2A8R3"/>
        <s v="TST* The Grocers Table  Wayzata      MN REF #246921646343QBB9J"/>
        <s v="UBER   TRIP              HELP.UBER.COMCA REF #244921547LRNM4B2M"/>
        <s v="Payment to American Family Insurance"/>
        <s v="HMS Host International   Amsterdam    NL REF #7498750476H9MQT3S"/>
        <s v="RAO MNHUNTFISH VEHICLE   SAINT PAUL   MN REF #24692164734RFXJSP"/>
        <s v="Shop 138 /NL+ /FineFood LSchiphol AirpNL REF #7459579471SHKDH3Z"/>
        <s v="WSJ/BARRONS SUBSCRIPTI   800-568-7625 NJ REF #24692164835A1E9QS"/>
        <s v="AMZN Mktp US*2H2KH4JY3   Amzn.com/billWA REF #24692164835RP0855"/>
        <s v="Deposit ACH EMPYREAN SOLUTIO TYPE: XX9000 ID: XX3620 CO: EMPYREAN SOLUTIO Entry Class Code: ACH Trace Number: XX7818"/>
        <s v="EVEREVE - 8 WAYZATA  MN           CREDIT REF #742697947EJFBZ5NB"/>
        <s v="RVT*MTKA PUB SCHLS-WEB   952-4015000  MN REF #2490641485244S1A0"/>
        <s v="THE HOME DEPOT #2825     CHASKA       MN REF #24943014809FY88RX"/>
        <s v="ECOS MARINA MARKET       CORK         IE REF #74007464A62B2NRB5"/>
        <s v="EDIBLE ARRANGEMENTS      ATLANTA      GA REF #24943004A2DZD3KRX"/>
        <s v="Fly Coffee               Cork         IE REF #243474349001Y4DDL"/>
        <s v="Withdrawal ACH MN DIR ACH TYPE: CONTRIB ID: XX7162 CO: MN DIR ACH NAME: XX2601 Entry Class Code: WEB ACH Trace Number: XX3329"/>
        <s v="Fly Coffee               Cork         IE REF #24347434A001W8XPH"/>
        <s v="PERSONALIZATION MALL     630-910-6000 IL REF #24692164B2Y5EPARN"/>
        <s v="SHUTTERFLY INC.         650-610-5200 CA REF #24492154AMN3T4R8F"/>
        <s v="Withdrawal ACH MHCHILDCARELLC TYPE: DUES ID: XX8198 CO: MHCHILDCARELLC Entry Class Code: ACH Trace Number: XX3252"/>
        <s v="TWINS MOBILE PAYMENT     800-352-0212 CA REF #24733094AHGTW1L4P"/>
        <s v="AMAZON.COM*WR7842693 AMZNAMZN.COM/BILLWA REF #24431064Q2DYMWMKX"/>
        <s v="COSTCO WHSE #0783        EDEN PRAIRIE MN REF #24943004DS4AHG2MT"/>
        <s v="EVEREVE - 60             HOPKINS      MN REF #74269794B2XKVSHNB"/>
        <s v="EVEREVE - 60             HOPKINS      MN REF #74269794B2XKVT3KN"/>
        <s v="Kids Hair - MT           Minnetonka   MN REF #24793384Q01Q0GG5D"/>
        <s v="KWIK TRIP  40200004028   CHANHASSEN   MN REF #24164074BL3HFSD27"/>
        <s v="Netflix                  1 8445052993 CA REF #24002844Q00F97ZZ2"/>
        <s v="SQ *SAMUEL RASTA TAXI SERExcelsior    MN REF #24692164B2YNANY5X"/>
        <s v="SUMUP  *IMRAN TAXI       CORK         IE REF #74878364B999BZP68"/>
        <s v="THE LOOP CORK            CORK         IE REF #74143614Q02HDYYGV"/>
        <s v="TST* Dukes on 7          612-205-3286 MN REF #24692164Q2YZ785H4"/>
        <s v="BONFES PLUMBING HEATING A651-3326633  MN REF #24275394DS66HPJS9"/>
        <s v="SCHEELS ALL SPORTS       701-356-8264 ND REF #24493984EBM9M9FZ8"/>
        <s v="SHOREWOOD TRUE VALUE     EXCELSIOR    MN REF #24801974EBMDAJG6V"/>
        <s v="SHOREWOOD TRUE VALUE     EXCELSIOR    MN REF #24801974EBMDAJHTM"/>
        <s v="Withdrawal ACH CITY OF CHANHASS TYPE: UTIL BILL ID: XX5331 CO: CITY OF CHANHASS Entry Class Code: ACH Trace Number: XX3045"/>
        <s v="SP VUORI CLOTHING        HTTPSVUORICLOCA REF #24492164E0015A2BA"/>
        <s v="Transfer to Discover Bank"/>
        <s v="Withdrawal ACH MHCHILDCARELLC TYPE: DUES ID: XX8198 CO: MHCHILDCARELLC Entry Class Code: ACH Trace Number: XX7918"/>
        <s v="FREEZIAC                 EDEN PRAIRIE MN REF #24493984H2M6Y4Y19"/>
        <s v="LUNDS&amp;BYERLYS CHANH      CHANHASSEN   MN REF #24427334GMHE1SBWZ"/>
        <s v="MOTORWERKS BMW           888-866-0115 MN REF #24431064HJGA8WQ88"/>
        <s v="Payment to Jeffrey B"/>
        <s v="CARIBOU COFFEE CO #116   CHANHASSEN   MN REF #24445004HEJ40YEW1"/>
        <s v="Penzeys Spices           800-7417787  WI REF #24793384H0026RNRY"/>
        <s v="SP VUORI CLOTHING        HTTPSVUORICLOCA REF #24492164H001BWVAV"/>
        <s v="TOTALWINE 1606 DIGITAL   https://www.fMN REF #24116414JBMDFB3ZZ"/>
        <s v="PAYMENT - THANK YOU REF #74734574L00XTMJG5"/>
        <s v="DNR E PAY WIN ACS        608-2662621  WI REF #24717054K4NQBZQBH"/>
        <s v="DNR EPAY WIN ACS SERV FEE608-2662621  WI REF #24717054K4NQBWPRR"/>
        <s v="ELITE NAILS LLC          CHANHASSEN   MN REF #24717054KM97GJVRV"/>
        <s v="PLUNKETTS PEST CONTROL   MINNEAPOLIS  MN REF #24013394J02WB3Z32"/>
        <s v="SHOREWOOD TRUE VALUE     EXCELSIOR    MN REF #24801974KBMDFB446"/>
        <s v="SP FAIR HARBOR           HTTPSFAIRHARBNY REF #24492164L00034XFJ"/>
        <s v="SQ *BALSAM LAKE BREWERY ABalsam Lake  WI REF #24692164K31YE9NW5"/>
        <s v="Deposit Dividend Split Rate Annual Percentage Yield Earned 1.86% from 05/01/23 through 05/31/23"/>
        <s v="Withdrawal ACH MHCHILDCARELLC TYPE: DUES ID: XX8198 CO: MHCHILDCARELLC Entry Class Code: ACH Trace Number: XX1053"/>
        <s v="Amazon Music*WB3KC8313   888-802-3080 WA REF #24692164R34VYRZHX"/>
        <s v="THE BBQ DEPOT            187-798-3045 FL REF #24492154PMN3L527W"/>
        <s v="TOMMY BAHAMA ECOMM       866-986-8282 WA REF #24692164P34RVGGDB"/>
        <s v="TOMMY BAHAMA ECOMM       866-986-8282 WA REF #24692164P34RVGV7V"/>
        <s v="WAYZATA CAFE             WAYZATA      MN REF #24943004RW6QYNP8B"/>
        <s v="Withdrawal ACH College Savings TYPE: ACH ID: XX5818 CO: College Savings Entry Class Code: ACH Trace Number: XX9290"/>
        <s v="Withdrawal Home Banking Transfer To Loan 02 REF # XX7410"/>
        <s v="Deposit ACH EMPYREAN SOLUTIO TYPE: XX9000 ID: XX3620 CO: EMPYREAN SOLUTIO Entry Class Code: ACH Trace Number: XX4500"/>
        <s v="Mackenthun's Fine Fowaconia Mn Xxxxxxxxx Xxxxxx2512"/>
        <s v="SAM EDELMAN              888-889-9609 MO REF #24492154RMN85SP6F"/>
        <s v="Osaka Eden Prairie 0eden Prairi Xxxxxxxx Xxx-xxx-6949"/>
        <s v="Youngstedts Excelsior Excelsior Mn"/>
        <s v="DNCSS MN TWINS RETAIL    MINNEAPOLIS  MN REF #24692164S2XEG34KD"/>
        <s v="HOLIDAY STATIONS 0217    EDINA        MN REF #24941664TRQEBJ488"/>
        <s v="INTERSTATE PARKING COMPA MILWAUKEE    WI REF #24801974S8AN3A57A"/>
        <s v="OFFICE DEPOT #1090       800-463-3768 MN REF #24137464S2XLNWMS8"/>
        <s v="PARTY CITY 1150          CHANHASSEN   MN REF #24692164S2XDR2TSQ"/>
        <s v="PREMIUM PARKING          HTTPSWWW.PREMLA REF #24011344S001EYRTB"/>
        <s v="TOMMY BAHAMA ECOMM       866-986- CREDIT REF #74692164S2X917A7D"/>
        <s v="535 - MADE IN KC @ MCI   LAS VEGAS    NV REF #24692164X2ZDGPGSX"/>
        <s v="B RAMP 8066              MINNEAPOLIS  MN REF #24789304WSPGF3HP7"/>
        <s v="Withdrawal ACH College Savings TYPE: ACH ID: XX5818 CO: College Savings NAME: BRITNEY TRUITT Entry Class Code: WEB ACH Trace Number: XX2470"/>
        <s v="Withdrawal ACH MHCHILDCARELLC TYPE: DUES ID: XX8198 CO: MHCHILDCARELLC Entry Class Code: ACH Trace Number: XX0091"/>
        <s v="COSTCO WHSE #0783        EDEN PRAIRIE MN REF #24943004YS4AHF1PT"/>
        <s v="SP HELINOX               HTTPSHELINOXFCA REF #24492164X000RVNW7"/>
        <s v="US BOAT AND RECREATION   SPRING PARK  MN REF #24416064XS66E1BTJ"/>
        <s v="Birchs On The Lake 0long Lake Mn Xxxxxxx3160 Restaurant"/>
        <s v="EVEREVE - 15 EDEN PRAIRIE  MN     CREDIT REF #74269794YEJERSSX4"/>
        <s v="PELOTON* MEMBERSHIP      HTTPSWWW.ONEPNY REF #24011344Z0012XQVX"/>
        <s v="Lulus Fashion Lounge"/>
        <s v="Brick &amp; Bourbon Edeneden Prairi Xxxxxxxxxxx Xxxxxx4279"/>
        <s v="LULULEMONCOM*            877-263-9300 CA REF #24692165031NH8023"/>
        <s v="Aplpay Wayzata Coffewayzata Mn E0f3e261a93e0f3e261axxxxxxxxx5391"/>
        <s v="COSTCO WHSE #0783        EDEN PRAIRIE MN REF #249430053S4AHER42"/>
        <s v="Hallmark Movies Now      844-4465669  CA REF #24906415253WB2PYL"/>
        <s v="THREE RIVERS WEB         763-559-6772 MN REF #248019752TQ5TWZ06"/>
        <s v="BLUEFIN BAY FAMILY OF    TOFTE        MN REF #240009753VMN4NPWZ"/>
        <s v="CENTURYLINK LUMEN        800-244-1111 LA REF #24692165334DEY802"/>
        <s v="Connectyourcare Deposit"/>
        <s v="COSTCO WHSE #0377        SAINT LOUIS PMN REF #249430054S4AFK8T4"/>
        <s v="COSTCO WHSE #0377        SAINT LOUIS PMN REF #249430054S4AGG71K"/>
        <s v="MEDEXPRESS URGENT CARE MI877-2160458  WV REF #2475542537WZEPPPW"/>
        <s v="Withdrawal ACH MHCHILDCARELLC TYPE: DUES ID: XX8198 CO: MHCHILDCARELLC Entry Class Code: ACH Trace Number: XX1247"/>
        <s v="WSJ/BARRONS SUBSCRIPTI   800-568-7625 NJ REF #24692165434L7GKL7"/>
        <s v="PAYMENT - THANK YOU REF #74734575500XTMJG3"/>
        <s v="AMZN Mktp US*UE33Y2R23   Amzn.com/billWA REF #24692165434YAL9WM"/>
        <s v="SP *KUIU                 WWW.KUIU.COM CA REF #240113455000378JW"/>
        <s v="LUNDS&amp;BYERLYS CHANH      CHANHASSEN   MN REF #244273355MHE0QZMT"/>
        <s v="Bird* Preload Xxxxxx2442 Ca Apple Pay Ending In 3050"/>
        <s v="SP VUORI CLOTHING HTTPSVUORICLO C CREDIT REF #244921656000H3JVH"/>
        <s v="Aplpay Tofte Generaltofte Mn Xxxxxxxxx Xxxxxx7288"/>
        <s v="BIRD* RIDE               HTTPSBIRD.CO CA REF #244921658001FA8DB"/>
        <s v="FEDEX399634221815        MEMPHIS      TN REF #241640757MJDP11X6"/>
        <s v="Fitgers Inn 0xxx7002duluth Mn Xxxxxx8489 John@fitgers.com"/>
        <s v="IN *TRAILFITTERS         DULUTH       MN REF #2469216582YYQXS4Z"/>
        <s v="Jv Investments Llc 0two Harbors Xxxxxxx3170 Bar/nightclub"/>
        <s v="KWIK TRIP  57100005710   CARLTON      MN REF #241640758L3HFTA71"/>
        <s v="KWIK TRIP  57100005710   CARLTON      MN REF #241640758L3HFTAM9"/>
        <s v="Lou?s Fish House Two Harbors Mn 3p3khmbbt9o Squareup.com/receipts"/>
        <s v="Northshore Pizza &amp; Ctwo Harbors 54ck3tc8lbk Squareup.com/receipts"/>
        <s v="SQ *GRANDMA'S MARATHON   Duluth       MN REF #2469216572Y6R3S11"/>
        <s v="UPS*1Z8717Y40324239195   800-811-1648 GA REF #2469216582YFQ3M0H"/>
        <s v="WALGREENS #13877         DULUTH       MN REF #24445005800XZVQ42"/>
        <s v="EH 3RD ST PHARMACY       DULUTH       MN REF #244921559PXN2H1HH"/>
        <s v="Lock Port Marketplaclutsen Mn Xxxxxxx3170 Lockport@boreal.org"/>
        <s v="The Creamery"/>
        <s v="TOFTE GENERAL STORE      TOFTE        MN REF #244273359MHDWWJT0"/>
        <s v="AMZN Mktp US*RG02E1213   Amzn.com/billWA REF #24692165A30Q84GEG"/>
        <s v="BLUEFIN BAY FAMILY OF    TOFTE        MN REF #24000975AWGAMQLRN"/>
        <s v="COHO CAFE                218-6636275  MN REF #24000975AWK6T3Y69"/>
        <s v="HOLIDAY STATIONS 3516    GRAND MARAIS MN REF #24941665ARQEB5QTK"/>
        <s v="Lou?s Fish House Two Harbors Mn Xszoxvlqxtr Squareup.com/receipts"/>
        <s v="MOUNTAIN SHOPS INC      LUTSEN       MN REF #24275395AS66HMAV9"/>
        <s v="Withdrawal ACH MN DIR ACH TYPE: CONTRIB ID: XX7162 CO: MN DIR ACH NAME: XX2601 Entry Class Code: WEB ACH Trace Number: XX6427"/>
        <s v="AMZ*Momok                AMZN.COM/BILLWA REF #74692165B30RAKRM9"/>
        <s v="BONFES PLUMBING HEATING A651-3326633  MN REF #24275395BS66K1R3P"/>
        <s v="COHO CAFE                218-6636275  MN REF #24000975BWPQWNNK7"/>
        <s v="COHO CAFE                218-6636275  MN REF #24000975BWPQWNNLR"/>
        <s v="Netflix.com              866-5797172  CA REF #24906415B54E10R10"/>
        <s v="SUMMIT CHALET            LUTSEN       MN REF #24325455BS66GYVRJ"/>
        <s v="Withdrawal ACH CITY OF CHANHASS TYPE: UTIL BILL ID: XX5331 CO: CITY OF CHANHASS Entry Class Code: ACH Trace Number: XX7264"/>
        <s v="Withdrawal ACH MHCHILDCARELLC TYPE: DUES ID: XX8198 CO: MHCHILDCARELLC Entry Class Code: ACH Trace Number: XX6047"/>
        <s v="CUB FOODS #1636          SHOREWOOD    MN REF #24427335QM83LG41N"/>
        <s v="Kai's Sushi &amp; Grill Chanhassen Xxxxxxx3173 Kaisushimn@gmail.com"/>
        <s v="MCW 1602-MINNETONKA      MINNETONKA   MN REF #24071055QVAM27WHR"/>
        <s v="MINNESOTA STATE PARKS    SAINT PAUL   MN REF #24717055Q4ZXSX3NA"/>
        <s v="SAM EDELMAN              8888899609   MO REF #74492155QLRF7XMEP"/>
        <s v="TOP GOLF BAY RESERVATION 800-453-0660 TX REF #24431065QLQQ2AE5E"/>
        <s v="BLUEFIN BAY FAMILY OF    TOFTE        MN REF #24000975DWXSJDT7E"/>
        <s v="LULUS.COM                HTTPSWWW.LULUCA REF #24011345D000NG75X"/>
        <s v="NORTHFACE VF OUTDOOR     888-863-1968 WI REF #24692165D3240YM6P"/>
        <s v="Payment to Barclaycard US"/>
        <s v="Balsam Lake Brewery Balsam Lake Lbjtvgfxumv Squareup.com/receipts"/>
        <s v="Kj's New North 40390balsam Lake Xxxxxxx3176 Kjsnewnorth@gmail.com"/>
        <s v="ANTHROPOLOGIE.COM        800-309-2500 PA REF #24445005E2X9KSMD6"/>
        <s v="BCS*MINNETONKA COMMUNITY 952-401-6800 MN REF #24137465F01GKY342"/>
        <s v="BLUEFIN BAY FAMILY OF    TOFTE        MN REF #24000975EX0L4HRQ6"/>
        <s v="Marketplace Foods"/>
        <s v="SP HELINOX               HTTPSHELINOXFCA REF #24492165F000AXYX5"/>
        <s v="TST* BACK CHANNEL BREWINGSPRING PARK  MN REF #24137465FEJFXXHF2"/>
        <s v="COSTCO WHSE #0377        SAINT LOUIS PMN REF #24943005HS4AFJNDP"/>
        <s v="AMZN Mktp US*0T99M02D3   Amzn.com/billWA REF #24692165H358WA546"/>
        <s v="AMZN Mktp US*8069415T3   Amzn.com/billWA REF #24692165H355432MT"/>
        <s v="AMZN Mktp US*X61QH5I83   Amzn.com/billWA REF #24692165H35H0HHX4"/>
        <s v="AVO*ADVOCARE INTL        800-542-4800 TX REF #24692165H354J8YT5"/>
        <s v="Kids Hair - CH           Chanhassen   MN REF #24793385H7VBVXA2R"/>
        <s v="MOTORWERKS BMW           BLOOMINGTON  MN REF #24431065JJGA8W9DH"/>
        <s v="AMZN Mktp US*PS81G1WP3   Amzn.com/billWA REF #24692165J3622FMPZ"/>
        <s v="Five Star Food Mart"/>
        <s v="Jj-pcg Msp Venture Lsaint Paul ######josd8 Restaurant"/>
        <s v="REI #15 BLOOMINGTON      BLOOMINGTON  MN REF #24692165J35YB6X0B"/>
        <s v="Sumup"/>
        <s v="WAYZATA CAFE             WAYZATA      MN REF #24943005KW6QN1RNE"/>
        <s v="X0099 Cava 5th And Bnashville Tn 2238 Restaurant"/>
        <s v="Dividend Solar"/>
        <s v="Overdraft Transfer from Brokerage -5308"/>
        <s v="Hilton Hotels &amp; Resorts"/>
        <s v="Patagonia-Nashville      Nashville    TN REF #24204295K061LZB39"/>
        <s v="SP NORMAL BRAND LLC      186-69276999 MO REF #24492165K001BRFY6"/>
        <s v="Tst* Maynards - Outsexcelsior Mn Xxxxxxx3012 Restaurant"/>
        <s v="Tst* Rosalia 0xx3741minneapolis Xxxxxxx3181 Restaurant"/>
        <s v="Tst* The Hampton Socnashville Tn Xxxxxxx6012 Restaurant"/>
        <s v="Withdrawal ACH MHCHILDCARELLC TYPE: DUES ID: XX8198 CO: MHCHILDCARELLC Entry Class Code: ACH Trace Number: XX2371"/>
        <s v="Deposit Dividend Split Rate Annual Percentage Yield Earned 1.98% from 06/01/23 through 06/30/23"/>
        <s v="Docs Pub And Eatery Balsam Lake Xxxxxxx3182 Kevinjamesx2667@gmail"/>
        <s v="Kijiji Coffee - B04 Nashville Tn Xxxxxxx3183 Usfc1 X7214"/>
        <s v="SHOREWOOD TRUE VALUE     EXCELSIOR    MN REF #24801975MBMDBH28K"/>
        <s v="Tst* City Tap - Nashnashville Tn Hfnsyoboj00 Xxxxxx4015"/>
        <s v="Viv's Kitchen &amp; Catebalsam Lake Xxxxxxxx Xxx-xxx-3848"/>
        <s v="Withdrawal at ATM #XX1726 DOCS PUB AND-XX9502 305 MAIN ST. BALSAM LAKE WI"/>
        <s v="PAYMENT - THANK YOU REF #74734575P00XTMJG1"/>
        <s v="Thirsty Otter Tavernbalsam Lake Xxxxxxxxxxxxxxxxxxxxx X4810"/>
        <s v="Withdrawal Home Banking Transfer To Loan 02 REF # XX7561"/>
        <s v="Amazon Music*8M39L5R93   888-802-3080 WA REF #24692165N2ZF1EQD3"/>
        <s v="ANTHROPOLOGIE.COM PHILADELPHIA  P CREDIT REF #74445005M2XJJNG0T"/>
        <s v="LULULEMONCOM*            877-263- CREDIT REF #74692165M2YS81G1V"/>
        <s v="PAPERSOURCE -4605        EDINA        MN REF #24137465M2XHVJ2D3"/>
        <s v="UBER   TRIP              HELP.UBER.COMCA REF #24492155MLYBLVKF4"/>
        <s v="Aplpay Hopsack Llc Balsam Lake Looxr4awd2w Squareup.com/receipts"/>
        <s v="THE HIGHWAY 46 STORE     BALSAM LAKE  WI REF #24034545P005XS33B"/>
        <s v="Withdrawal ACH College Savings TYPE: ACH ID: XX5818 CO: College Savings Entry Class Code: ACH Trace Number: XX7798"/>
        <s v="AMZN Mktp US*GO5J70LS3   Amzn.com/billWA REF #24692165T31ZFYQY9"/>
        <s v="SP *KUIU WWW.KUIU.COM  CA         CREDIT REF #24011345S0002SGN5"/>
        <s v="SP VUORI CLOTHING        HTTPSVUORICLOCA REF #24492165S000655EJ"/>
        <s v="WAYNE'S FOODS PLUS       LUCK         WI REF #24427335TLYRB36LY"/>
        <s v="BCY*BACKCOUNTRY.COM      800-409-4502 UT REF #24692165S32ZYH7WF"/>
        <s v="CENEX CONSUMER09917204   LUCK         WI REF #24164075SKXYMMH1K"/>
        <s v="CENEX CONSUMER09917204   LUCK         WI REF #24164075SKXYMMH2L"/>
        <s v="THE PAMPERED CHEF LTD    888-687-2433 IL REF #24492155SLY4343DE"/>
        <s v="Withdrawal ACH MHCHILDCARELLC TYPE: DUES ID: XX8198 CO: MHCHILDCARELLC Entry Class Code: ACH Trace Number: XX5471"/>
        <s v="Deposit ACH EMPYREAN SOLUTIO TYPE: XX9000 ID: XX3620 CO: EMPYREAN SOLUTIO Entry Class Code: ACH Trace Number: XX5707"/>
        <s v="LULUS.COM HTTPSWWW.LULU CA        CREDIT REF #24011345W000AF5KA"/>
        <s v="Tst* Z&amp;h 301 Water Lexcelsior Mn Xxxxxxxxxxx Xxxxxx8003"/>
        <s v="AMZN MKTP US*JO1LF7BY3 AMAMZN.COM/BILLWA REF #24431065W2DZMAVVG"/>
        <s v="HOLIDAY STATIONS 0246    SHAKOPEE     MN REF #24941665WRQEB2NVH"/>
        <s v="PELOTON* MEMBERSHIP      HTTPSWWW.ONEPNY REF #24011345X0010L7W7"/>
        <s v="LUNDS&amp;BYERLYS CHANH      CHANHASSEN   MN REF #24427335YMHDPWR8M"/>
        <s v="LUNDS&amp;BYERLYS CHANH      CHANHASSEN   MN REF #24427335YMHDPWTGA"/>
        <s v="TARGET        00008623   CHANHASSEN   MN REF #24164075Y2LRFWP4Z"/>
        <s v="AMZN MKTP US*BF86C1403 AMAMZN.COM/BILLWA REF #24431065Z2DKX55FE"/>
        <s v="Jaxon Grey 0xxxx0001minneapolis Xxxxxxxxxxx Xxxxxx9388"/>
        <s v="Withdrawal ACH MHCHILDCARELLC TYPE: DUES ID: XX8198 CO: MHCHILDCARELLC Entry Class Code: ACH Trace Number: XX3562"/>
        <s v="WSJ/BARRONS SUBSCRIPTI   800-568-7625 NJ REF #2469216602XLVN2LR"/>
        <s v="EVEREVE - 60             HOPKINS      MN REF #242697960EJ3HNWTF"/>
        <s v="Hallmark Movies Now      844-4465669  CA REF #24906416055X4VLBM"/>
        <s v="PARTY CITY 1150          CHANHASSEN   MN REF #2469216602XSP9W21"/>
        <s v="EH MYHEALTH PAYMENTS     800-985-4675 MN REF #244921560PXN3JG8T"/>
        <s v="AMZN Mktp US Amzn.com/bill WA     CREDIT REF #7469216622Z9AK9V4"/>
        <s v="AMZN Mktp US Amzn.com/bill WA     CREDIT REF #7469216622ZA7XJ97"/>
        <s v="AMZN Mktp US Amzn.com/bill WA     CREDIT REF #7469216622ZA8ALBD"/>
        <s v="AMZN Mktp US Amzn.com/bill WA     CREDIT REF #7469216622ZAJVHHV"/>
        <s v="AMZN Mktp US Amzn.com/bill WA     CREDIT REF #7469216622ZAKFZ0H"/>
        <s v="AMZN Mktp US Amzn.com/bill WA     CREDIT REF #7469216622ZAKG70R"/>
        <s v="AMZN Mktp US Amzn.com/bill WA     CREDIT REF #7469216622ZBRTV47"/>
        <s v="CENTURYLINK LUMEN        800-244-1111 LA REF #2469216612Z1WSG37"/>
        <s v="Colorado Department of Motor Vehicles"/>
        <s v="The Social"/>
        <s v="AMZN Mktp US Amzn.com/bill WA     CREDIT REF #7469216622ZQEMM4T"/>
        <s v="Aplpay Opie's Llc Creede Co Zukivd88glw Squareup.com/receipts"/>
        <s v="CONOCO - ALTA CONVENIENCESAGUACHE     CO REF #24034546201AL3X9E"/>
        <s v="CONOCO - ALTA CONVENIENCESAGUACHE     CO REF #24034546201AL3X9Y"/>
        <s v="COSTCO GAS #1087         BURNSVILLE   MN REF #249430063S4FVNQHR"/>
        <s v="COSTCO WHSE #1087        BURNSVILLE   MN REF #249430063S4AFJJT4"/>
        <s v="FIVE STAR HOSPITALITY    SPRING PARK  MN REF #241164163BMDZHWEQ"/>
        <s v="LS RAMBLE HOUSE LLC      171-96582482 CO REF #24492166200154HBB"/>
        <s v="NORTHFACE VF OUTDOOR     888-863- CREDIT REF #7469216622ZEFATPN"/>
        <s v="SQ *SOUP POT             gosq.com     CO REF #2469216622ZTRSP33"/>
        <s v="MSP AIRP PEOPLES ORGANIC SAINT PAUL   MN REF #247554263504MHKWZ"/>
        <s v="RAOCOPARKS&amp;WILDLIFE CO   888-572-7237 TX REF #2469216632XJ5DGZQ"/>
        <s v="SAFEWAY #2792            CONIFER      CO REF #242316863RBGJBFJK"/>
        <s v="AMAZON.COM*3N14098Z3 AMZNAMZN.COM/BILLWA REF #2443106662DKQHRN8"/>
        <s v="Eduardo's Mexican Grmonte Vista Xxxxxxxxxxx Xxxxxx6999"/>
        <s v="Withdrawal ACH MN DIR ACH TYPE: CONTRIB ID: XX7162 CO: MN DIR ACH NAME: XX2601 Entry Class Code: WEB ACH Trace Number: XX5793"/>
        <s v="BCS*MINNETONKA COMMUNITY 952-401-6800 MN REF #24137466801E8S29W"/>
        <s v="Denver International Airport"/>
        <s v="LULUS.COM HTTPSWWW.LULU CA        CREDIT REF #2401134680002BHB5"/>
        <s v="Red Cow"/>
        <s v="Donate *OutrunALD2021    888-3851360  NJ REF #24204296802DMR29B"/>
        <s v="Kona Grill"/>
        <s v="ONSTREET 8090            612-3437275  MN REF #2478930683TE7XVPG"/>
        <s v="Precheck"/>
        <s v="BONFES PLUMBING HEATING A651-3326633  MN REF #242753969S66KTQHV"/>
        <s v="Netflix.com              866-5797172  CA REF #24906416956ES5JY9"/>
        <s v="Withdrawal ACH CITY OF CHANHASS TYPE: UTIL BILL ID: XX5331 CO: CITY OF CHANHASS Entry Class Code: ACH Trace Number: XX1664"/>
        <s v="PAYMENT - THANK YOU REF #74734576Q00XTMJG6"/>
        <s v="Wayne's Food Plus"/>
        <s v="BCS*MINNETONKA COMMUNITY 952-401-6800 MN REF #24137466B01HBE5V5"/>
        <s v="KWIK TRIP  49200004929   CHANHASSEN   MN REF #24164076BL3HN06B3"/>
        <s v="KWIK TRIP  49200004929   CHANHASSEN   MN REF #24164076BL3HN06E6"/>
        <s v="MCW 1602-MINNETONKA      952-3778113  MN REF #24071056AVAMFWTK7"/>
        <s v="AMZN Mktp US*H81KG1C33   Amzn.com/billWA REF #24692166Q34NNGXS9"/>
        <s v="AMZN Mktp US*HS2GJ1HU3   Amzn.com/billWA REF #24692166Q352X7DSP"/>
        <s v="AMZN Mktp US*K70S63PB3   Amzn.com/billWA REF #24692166Q34VAP9Y7"/>
        <s v="AMZN Mktp US*TQ5730KU3   Amzn.com/billWA REF #24692166Q352ZQBQP"/>
        <s v="AMZN Mktp US*YT52T8BN3   Amzn.com/billWA REF #24692166Q34NFRTHX"/>
        <s v="KOWALSKI'S MARKET        EDEN PRAIRIE MN REF #24427336DLM7RFYJ6"/>
        <s v="SHOREWOOD TRUE VALUE     EXCELSIOR    MN REF #24801976EBMD9KZHJ"/>
        <s v="Tsa Global Entry Fee Credit"/>
        <s v="UBER   TRIP              HELP.UBER.COMCA REF #24492156DLY1N0EGB"/>
        <s v="Withdrawal ACH MHCHILDCARELLC TYPE: DUES ID: XX8198 CO: MHCHILDCARELLC Entry Class Code: ACH Trace Number: XX1974"/>
        <s v="AMZN Mktp US*8948X1PZ3   Amzn.com/billWA REF #24692166E36QAX18T"/>
        <s v="COSTCO WHSE #0377        SAINT LOUIS PMN REF #24943006FS4AFK60M"/>
        <s v="COSTCO WHSE #0377        SAINT LOUIS PMN REF #24943006FS4AGGT18"/>
        <s v="HOLIDAY STATIONS 0012    SHOREWOOD    MN REF #24941666ERQEBQ5QV"/>
        <s v="AMZN Mktp US*T62F67D40   Amzn.com/billWA REF #24692166F2XJ40JGE"/>
        <s v="AMZN Mktp US*T664Q42R0   Amzn.com/billWA REF #24692166F2XY7F7T0"/>
        <s v="LUNDS&amp;BYERLYS CHANH      CHANHASSEN   MN REF #24427336FMHE012M1"/>
        <s v="MCW 1602-MINNETONKA      952-3778113  MN REF #24071056FVAMQPWL8"/>
        <s v="Us Customs And Border Protection"/>
        <s v="AMAZON.COM AMZN.COM/BILL AMZN.COM/BILLWA REF #74431066G2D9K50WA"/>
        <s v="AMZN Mktp US             Amzn.com/billWA REF #74692166G2YN5RWWD"/>
        <s v="AMZN Mktp US             Amzn.com/billWA REF #74692166G2YNWX1JX"/>
        <s v="AMZN Mktp US             Amzn.com/billWA REF #74692166G2YRWFBNS"/>
        <s v="AMZN MKTP US AMZN.COM/BILAMZN.COM/BILLWA REF #74431066G2D9NMK8A"/>
        <s v="AMZN Mktp US*T60H26R20   Amzn.com/billWA REF #24692166H2YV1VEJ0"/>
        <s v="AMZN Mktp US*T66DN7DX1   Amzn.com/billWA REF #24692166G2YB5QR2Z"/>
        <s v="KOWALSKI'S EXCELSIO      EAGAN        MN REF #24427336GLM8M52X5"/>
        <s v="PAYMENT - THANK YOU REF #74734576K00XTMJG7"/>
        <s v="Casey's General Stores"/>
        <s v="AMZN Mktp US*TH0QH0480   Amzn.com/billWA REF #24692166H2ZK9VJ5M"/>
        <s v="HOLIDAY STATIONS 0419    SAINT CROIX FWI REF #24941666JRQEB4V8M"/>
        <s v="nuuly.com                844-446-8859 PA REF #24445006JHEWPXVW2"/>
        <s v="SP JACKBOX GAMES         HTTPSSHOP.JACIL REF #24492166J000AKDQF"/>
        <s v="Aplpay Hopsack Llc Balsam Lake Bsryivqtff1 Squareup.com/receipts"/>
        <s v="Deposit Dividend Split Rate Annual Percentage Yield Earned 2.05% from 07/01/23 through 07/31/23"/>
        <s v="Amazon Music*TH8P79M70   888-802-3080 WA REF #24692166M31V96E4D"/>
        <s v="ELITE NAILS LLC          CHANHASSEN   MN REF #24717056M3V1YD83P"/>
        <s v="Transfer to College Station"/>
        <s v="Withdrawal ACH MHCHILDCARELLC TYPE: DUES ID: XX8198 CO: MHCHILDCARELLC Entry Class Code: ACH Trace Number: XX4406"/>
        <s v="Withdrawal Home Banking Transfer To Loan 02 REF # XX2243"/>
        <s v="BCY*BACKCOUNTRY.COM      800-409- CREDIT REF #74692166M32G39RAV"/>
        <s v="COMPANY STORE            WAYZATA      MN REF #24943006NW5TTMGPD"/>
        <s v="Jaxen Grey - Ridgedaminnetonka Xxxxxxxxxxx Xxxxxx8672"/>
        <s v="Tst* Lost Bay Llc 00excelsior Mn Xxxxxxx3215 Restaurant"/>
        <s v="AMZN Mktp US*TH0ZS5IQ2   Amzn.com/billWA REF #24692166N331JD3FY"/>
        <s v="AMZN Mktp US*TH8A86BG1   Amzn.com/billWA REF #24692166N336BYVTA"/>
        <s v="Centro"/>
        <s v="FOSS SWIM SCHOOL         HTTPSWWW.FOSSMN REF #24011346N001ENNZ9"/>
        <s v="Aplpay Pay*www.pryesminneapolis Xxxxxxx3216 Accounting@pryesbrewi"/>
        <s v="Vivir Minneapolis Mn Xaup6m8njol Squareup.com/receipts"/>
        <s v="Arco"/>
        <s v="AMC 0705 SOUTHDALE 16    EDINA        MN REF #24431066S0HD0QJRL"/>
        <s v="LYFT   *RIDE FRI 9PM     LYFT.COM     CA REF #24011346T0010PZXA"/>
        <s v="SHUTTERFLY INC.         650-610-5200 CA REF #24492156RLXWM2PFN"/>
        <s v="SQ *RUBY'S ROOST VICTORIAVictoria     MN REF #24692166T35GNG1GV"/>
        <s v="THEGROOMSMANSUIT         HTTPSSTORE.SUNY REF #24492166R001AJPAJ"/>
        <s v="TST* Indeed Brewing CompaMinneapolis  MN REF #24692166R34EJW07T"/>
        <s v="UBER   TRIP              HELP.UBER.COMCA REF #24492156RLR70SYE1"/>
        <s v="Catering By Kowalskisaint Paul Xxxxxxxxxxx Xxxxxx6870"/>
        <s v="AMZN Mktp US*TA2BB6B72   Amzn.com/billWA REF #24692166V2XQLTJW9"/>
        <s v="AMZN MKTP US*TA2OU81W1 AMAMZN.COM/BILLWA REF #24431066V2DKX5SK4"/>
        <s v="AMZN Mktp US*TA35S4BL2   Amzn.com/billWA REF #24692166V2XQXB275"/>
        <s v="AMZN Mktp US*TA3PM4AA1   Amzn.com/billWA REF #24692166V2XHJPD09"/>
        <s v="Kids' Hair Llc Edina Mn ######kdzyt Medical Service"/>
        <s v="KWIK TRIP  40200004028   CHANHASSEN   MN REF #24164076VL3HE26E6"/>
        <s v="Tst* Revival Food Trminneapolis Xxxxxxx3221 Restaurant"/>
        <s v="Withdrawal ACH MHCHILDCARELLC TYPE: DUES ID: XX8198 CO: MHCHILDCARELLC Entry Class Code: ACH Trace Number: XX1035"/>
        <s v="WSJ/BARRONS SUBSCRIPTI   800-568-7625 NJ REF #24692166W2XZW9X1G"/>
        <s v="CHASKA TOWN COURSE       CHASKA       MN REF #24750766WS66L7JEN"/>
        <s v="PELOTON* MEMBERSHIP      HTTPSWWW.ONEPNY REF #24011346W000Z2PRX"/>
        <s v="THE HOME DEPOT #2806     ST LOUIS PARKMN REF #24943016W09FPG3A6"/>
        <s v="COSTCO GAS #0377         SAINT LOUIS PMN REF #24943006YS4QJT877"/>
        <s v="HALSEY44* #33614         HALSEY44.COM CA REF #24492166X0014NSSK"/>
        <s v="NA'S THAI CAFE           CHANHASSEN   MN REF #24055226X60ZHX75X"/>
        <s v="Aroma"/>
        <s v="CARGILL STORE            WAYZATA      MN REF #24943006YRLQ5EJZ7"/>
        <s v="COSTCO WHSE #0783        EDEN PRAIRIE MN REF #24943006ZS4AFHLTQ"/>
        <s v="N 4543 State Hwy 22 Shawano Wi Xxxxxxxxxxx Xxxxxx4454"/>
        <s v="Netflix                  1 8445052993 CA REF #24002846Y00FSZAWK"/>
        <s v="SHUTTERFLY INC.         650-610- CREDIT REF #74492156YLXRP9S68"/>
        <s v="Thornberry Creek"/>
        <s v="Tst* Stubborn Brotheshawano Wi Xxxxxxx3224 Restaurant"/>
        <s v="Bp#xxx1176r-store 44hatley Wi Xxxxxxxx Xxx-xxx-3860"/>
        <s v="Bp#xxx1176r-store 44hatley Wi Xxxxxxxx Xxxxxxxx X4440"/>
        <s v="CENTURYLINK LUMEN        800-244-1111 LA REF #24692167031BLQV6D"/>
        <s v="Hallmark Movies Now      844-4465669  CA REF #24906416Z57YJRNZG"/>
        <s v="Hazelwood Food And Dexcelsior Mn Xxxxxxx3226 Office@hazellewoodgri"/>
        <s v="SOUTH LAKE PEDIATRICS    952-401-8300 MN REF #24137467001FLGBGH"/>
        <s v="MEDEXPRESS URGENT CARE MI877-2160458  WV REF #24755427186VTHWXV"/>
        <s v="UBER   TRIP              HELP.UBER.COMCA REF #244921571LWQLRYAB"/>
        <s v="PAYMENT - THANK YOU REF #74734577300XTMJG9"/>
        <s v="Withdrawal ACH MHCHILDCARELLC TYPE: DUES ID: XX8198 CO: MHCHILDCARELLC Entry Class Code: ACH Trace Number: XX5620"/>
        <s v="WAYZATA CAFE             WAYZATA      MN REF #249430074W5XJE6EK"/>
        <s v="Withdrawal ACH NORTHERN STAR EV TYPE: SES:XX0330 ID: XX3620 CO: NORTHERN STAR EV NAME: NORTHERN STAR SCOUTI Entry Class Code: WEB ACH Trace Number: XX4504"/>
        <s v="Deposit ACH EMPYREAN SOLUTIO TYPE: XX9000 ID: XX3620 CO: EMPYREAN SOLUTIO Entry Class Code: ACH Trace Number: XX0574"/>
        <s v="Sumo &amp; Smoh Chaska Mn V2oux13jscj Squareup.com/receipts"/>
        <s v="Go Concessions 0000 Oakdale Mn Xxxxxxxx Xxx-xxx-9138"/>
        <s v="Withdrawal ACH MN DIR ACH TYPE: CONTRIB ID: XX7162 CO: MN DIR ACH NAME: XX2601 Entry Class Code: WEB ACH Trace Number: XX8183"/>
        <s v="BCS*MINNETONKA COMMUNITY 952-401-6800 MN REF #24137467701FF7NF1"/>
        <s v="Tst* Maynards - Outsexcelsior Mn Xxxxxxx3013 Restaurant"/>
        <s v="BONFES PLUMBING HEATING A651-3326633  MN REF #242753978S66L4SKD"/>
        <s v="Deposit Home Banking Transfer From Share 01 REF # XX2129"/>
        <s v="Ku Ticket Office 023lawrence Ks Xxxxxxxx Xxxxxxxxxx X5331"/>
        <s v="Withdrawal ACH CITY OF CHANHASS TYPE: UTIL BILL ID: XX5331 CO: CITY OF CHANHASS Entry Class Code: ACH Trace Number: XX6394"/>
        <s v="Aplpay Bt*i See Me! Plymouth Mn Eh941vj2 Xxxxxxxxxx X6208"/>
        <s v="MCW 1602-MINNETONKA      952-3778113  MN REF #240710579VAL42YYF"/>
        <s v="Withdrawal ACH MHCHILDCARELLC TYPE: DUES ID: XX8198 CO: MHCHILDCARELLC Entry Class Code: ACH Trace Number: XX8863"/>
        <s v="Rally Stores Inc"/>
        <s v="SP FREEFLYAPPAREL        HTTPSFREEFLYASC REF #24492167A00141WDJ"/>
        <s v="SP VUORI CLOTHING        HTTPSVUORICLOCA REF #24492167A0017VFNE"/>
        <s v="AMZN MKTP US*T31IY9C62 AMAMZN.COM/BILLWA REF #24431067B2DK81XQT"/>
        <s v="AMZN MKTP US*T33WS33B2 AMAMZN.COM/BILLWA REF #24431067D2DK348L3"/>
        <s v="Tst* Parlour Food Trminneapolis Xxxxxxx4013 Restaurant"/>
        <s v="Aplpay Slice*luluspinew York Ci Nt_owykz5jl +xxxxxxx9928"/>
        <s v="Minnesota State Fair"/>
        <s v="AMZN Mktp US             Amzn.com/billWA REF #74692167D3212YHBA"/>
        <s v="AMZN Mktp US             Amzn.com/billWA REF #74692167D3216ZPRF"/>
        <s v="AMZN Mktp US             Amzn.com/billWA REF #74692167D321B08GH"/>
        <s v="AMZN Mktp US             Amzn.com/billWA REF #74692167D321B89T0"/>
        <s v="AMZN Mktp US             Amzn.com/billWA REF #74692167D321DT2YA"/>
        <s v="AMZN Mktp US             Amzn.com/billWA REF #74692167D321DYWHW"/>
        <s v="AMZN Mktp US             Amzn.com/billWA REF #74692167D321F0JA5"/>
        <s v="AMZN Mktp US*T31TY2P12   Amzn.com/billWA REF #24692167E32N7NSRK"/>
        <s v="AMZN Mktp US*T35H04F91   Amzn.com/billWA REF #24692167E32PFVJ78"/>
        <s v="MARATHON PETRO14456      MINNETONKA   MN REF #24034547E02NV9W1F"/>
        <s v="MCW 1602-MINNETONKA      952-3778113  MN REF #24071057EVALAPLZ5"/>
        <s v="Mills Fleet Farm"/>
        <s v="NA'S THAI CAFE           CHANHASSEN   MN REF #24055227E60ZJ9E05"/>
        <s v="SQ *BRIM                 Saint Paul   MN REF #24692167E32RP4SD8"/>
        <s v="SQ *UNION HMONG KITCHEN ASaint Paul   MN REF #24692167E32NM5A6V"/>
        <s v="SWEET MARTHA'S COOKIE TH ST PAUL      MN REF #24055227FBMA8BDFL"/>
        <s v="AMAZON.COM*T30IJ4471 AMZNAMZN.COM/BILLWA REF #24431067F2DK8R3ZH"/>
        <s v="ARBORETUM APPLEHOUSE     CHASKA       MN REF #24138297G2M81E2AW"/>
        <s v="Ls Bluff Creek Golf Chaska Mn Nt_ox8lg0sk Xxxxxx5685"/>
        <s v="LYFT   *INCREASE TIP     LYFT.COM     CA REF #24011347G0004YPS1"/>
        <s v="LYFT   *RIDE SAT 11AM    LYFT.COM     CA REF #24011347F0010P90D"/>
        <s v="RALLY HOUSE              800-381-9177 KS REF #24492157FMLTFASQG"/>
        <s v="SQ *RUBY'S ROOST VICTORIAVictoria     MN REF #24692167F339PT1N7"/>
        <s v="Creative Mobilxx0014boston Ma Xxxxxxxxx Xxx-xxx0000"/>
        <s v="Withdrawal ACH MHCHILDCARELLC TYPE: DUES ID: XX8198 CO: MHCHILDCARELLC Entry Class Code: ACH Trace Number: XX0201"/>
        <s v="Temazcal"/>
        <s v="AMZN Mktp US*T32K49M11   Amzn.com/billWA REF #24692167J358ZH5YL"/>
        <s v="AMZN Mktp US*T39N71W62   Amzn.com/billWA REF #24692167J35HZN2LF"/>
        <s v="COSTCO GAS #0783         EDEN PRAIRIE MN REF #24943007KS4BZPJ8V"/>
        <s v="Deposit Dividend Split Rate Annual Percentage Yield Earned 1.51% from 08/01/23 through 08/31/23"/>
        <s v="Msp Airport Parking"/>
        <s v="Tst* Harpoon Tap Rooboston Ma Xxxxxxx3244 Bar/nightclub"/>
        <s v="Aloft Hotels"/>
        <s v="Withdrawal Home Banking Transfer To Loan 02 REF # XX4955"/>
        <s v="Aplpay Balsam Lake Bbalsam Lake De4odi9gipv Squareup.com/receipts"/>
        <s v="Aplpay Hopsack Llc Balsam Lake 3tlpuvlf2vf Squareup.com/receipts"/>
        <s v="Aplpay Hopsack Llc Balsam Lake L0byc4nwh7d Squareup.com/receipts"/>
        <s v="Kj's New North 40390balsam Lake Xxxxxxx3246 Kjsnewnorth@gmail.com"/>
        <s v="Balsam Lake"/>
        <s v="Wayne's Foods Plus 0luck Wi"/>
        <s v="Menards"/>
        <s v="Arboretum"/>
        <s v="Withdrawal ACH MHCHILDCARELLC TYPE: DUES ID: XX8198 CO: MHCHILDCARELLC Entry Class Code: ACH Trace Number: XX4716"/>
        <s v="Jo-Ann Stores"/>
        <s v="Aplpay Bt*rally Houslenexa Ks"/>
        <s v="Aplpay Kansas Univerlawrence Ks"/>
        <s v="Fevogm - New York 52new York Ny"/>
        <s v="Jayhawk Food Mart"/>
        <s v="Jeffersons"/>
        <s v="Kansas Univ Flex 000lawrence Ks"/>
        <s v="The Burger"/>
        <s v="The Oread Hotel"/>
        <s v="Withdrawal at ATM #XX8640 THE OREAD HO-XX1195 1200 OREAD AVENUE LAWRENCE KS"/>
        <s v="Aplpay Tst* Papa Kenlawrence Ks"/>
        <s v="The Burger Stand"/>
        <s v="The Hawk 6xxxxxx0448lawrence Ks"/>
        <s v="The Sandbar &amp; Kitchen"/>
        <s v="Tst* Black Stag Brewlawrence Ks"/>
        <s v="Aplpay X35 - Made Inlas Vegas Nv"/>
        <s v="BLVD *GOGLOW EDINA EDINA MN REF #XX5007VEHY45EE8"/>
        <s v="Cinnabon"/>
        <s v="Merchants Pub And Pllawrence Ks"/>
        <s v="National Car Rental"/>
        <s v="ParkMobile"/>
        <s v="Rally House"/>
        <s v="Aaa Taxi"/>
        <s v="Hallmark Movies Now"/>
        <s v="Aplpay Runsignup*sigmoorestown Nj"/>
        <s v="Aplpay Wayzata Cafe Wayzata Mn"/>
        <s v="Withdrawal ACH MHCHILDCARELLC TYPE: DUES ID: XX8198 CO: MHCHILDCARELLC Entry Class Code: ACH Trace Number: XX6926"/>
        <s v="Deposit ACH EMPYREAN SOLUTIO TYPE: XX9000 ID: XX3620 CO: EMPYREAN SOLUTIO Entry Class Code: ACH Trace Number: XX2698"/>
        <s v="Fairmont Hotel"/>
        <s v="Msp Pod1 Shoyu Markephiladelphia Pa"/>
        <s v="Aplpay Bt*i See Me! Plymouth Mn"/>
        <s v="Aplpay Lunds&amp;byerlyschanhassen Mn"/>
        <s v="U Of M Ticket/eventsminneapolis Mn"/>
        <s v="Aplpay Shorewood Truexcelsior Mn"/>
        <s v="Deer Run Golf Club"/>
        <s v="Green Gourmet"/>
        <s v="SQ *ARCADE HIGHWAY LLC Excelsior MN REF #XX8336Dx5570"/>
        <s v="SQ *NORTH STAR DONUTS Wayzata MN REF #XX8336DN5F8X"/>
        <s v="The Fletcher School"/>
        <s v="Clayton Hotel Cork Ecork City"/>
        <s v="Clayton Hotel Cork Fcork"/>
        <s v="Costco Gas Stations"/>
        <s v="Hmshost"/>
        <s v="Withdrawal ACH MN DIR ACH TYPE: CONTRIB ID: XX7162 CO: MN DIR ACH NAME: XX2601 Entry Class Code: WEB ACH Trace Number: XX7503"/>
        <s v="Aplpay Fh* Jack Hartlihue Hi"/>
        <s v="Aplpay Order.noodlesbroomfield Co"/>
        <s v="Carrolls Irish Giftscork"/>
        <s v="PV CAB 01 MIDLETON IE REF #XX6866HMS4ATR"/>
        <s v="Transfer from Venmo"/>
        <s v="5 POINTS DELI AND CAFE CORK CITY IE REF #XX8700T1T2E2"/>
        <s v="Burnt Pizza"/>
        <s v="Google Cloud Storage"/>
        <s v="MCW 1602-MINNETONKA XX8113 MN REF #XX0586VALFABJS"/>
        <s v="WAYZATA CAFE WAYZATA MN REF #XX0087W65VEY2N"/>
        <s v="Whsmith"/>
        <s v="Withdrawal ACH MHCHILDCARELLC TYPE: DUES ID: XX8198 CO: MHCHILDCARELLC Entry Class Code: ACH Trace Number: XX7432"/>
        <s v="BONFES PLUMBING HEATING AXX6633 MN REF #XX3987S66LD87X"/>
        <s v="Gallagher's Steakhouse Inc"/>
        <s v="NUA ASADOR CORK IE REF #XX6988SRS5G50J"/>
        <s v="SON OF A BUN CORK IE REF #XX6687HH7YWT9M"/>
        <s v="UNITY SHOP CORK IE REF #XX8802EZ7KE7"/>
        <s v="UNITY SHOP CORK IE REF #XX8802EZ7KEF"/>
        <s v="Withdrawal ACH CITY OF CHANHASS TYPE: UTIL BILL ID: XX5331 CO: CITY OF CHANHASS Entry Class Code: ACH Trace Number: XX1793"/>
        <s v="MCW 1602-MINNETONKA XX8113 MN REF #XX0588VAMR9214"/>
        <s v="THOMPSONS CORK IE REF #XX6989SRS50TLT"/>
        <s v="THOMPSONS CORK IE REF #XX6989SRS51NG6"/>
        <s v="Aplpay Tst* Boludo 0minneapolis Mn"/>
        <s v="Excelsior Brewing Coexcelsior Mn"/>
        <s v="Hazelwood Food And Dexcelsior Mn"/>
        <s v="Sp Normal Brand Cor Saint Louis Mo"/>
        <s v="Tst* Boludo 0xxx6904minneapolis Mn"/>
        <s v="Vuori Clothing"/>
        <s v="HM.COM XX7467 NY REF #XX8906JRB2NH"/>
        <s v="The Shelbourne Bar Cork IE REF #XX7468A6J1DDM9W"/>
        <s v="The Shelbourne Bar Cork IE REF #XX7468A6J1JTXL6"/>
        <s v="The Shelbourne Bar Cork IE REF #XX7468A6J1M3VGK"/>
        <s v="The Shelbourne Bar Cork IE REF #XX7468A6J269BNF"/>
        <s v="The Shelbourne Bar Cork IE REF #XX7468A6J2771W2"/>
        <s v="The Shelbourne Bar Cork IE REF #XX7468A6J281BL0"/>
        <s v="WH Smith Cork Airport Cork IE REF #XX9808A6VK43V2N"/>
        <s v="Jaxen Grey - Ridgedaminnetonka Mn"/>
        <s v="Mackenthun S Meats &amp;saint Bonifac Mn"/>
        <s v="Withdrawal ACH MHCHILDCARELLC TYPE: DUES ID: XX8198 CO: MHCHILDCARELLC Entry Class Code: ACH Trace Number: XX0961"/>
        <s v="Aplpay Garrison Famigarrison Mn"/>
        <s v="Lonesome Pine Restaudeerwood Mn"/>
        <s v="Burritos California"/>
        <s v="The Deerstand"/>
        <s v="Aplpay Slice*luluspinew York City Ny"/>
        <s v="Deposit Dividend Split Rate Annual Percentage Yield Earned 1.54% from 09/01/23 through 09/30/23"/>
        <s v="SQ *CUYUNA OUTFITTERS LLCrosby MN REF #XX2168G2X914VF1"/>
        <s v="Withdrawal Home Banking Transfer To Loan 02 REF # XX0907"/>
        <s v="ARBORETUM APPLEHOUSE CHASKA MN REF #XX8298K2M7ZH34R"/>
        <s v="Salary/Regular Income from U.S. Department Of The Treasury"/>
        <s v="SQ *NORTH STAR DONUTS Victoria MN REF #XX2168J2YVKJY75"/>
        <s v="Penzeys Spices"/>
        <s v="Withdrawal ACH MHCHILDCARELLC TYPE: DUES ID: XX8198 CO: MHCHILDCARELLC Entry Class Code: ACH Trace Number: XX6066"/>
        <s v="2024 Grandmas Marathboston Ma"/>
        <s v="All Seasons Garment Chanhassen Mn"/>
        <s v="Bp Global"/>
        <s v="Pga Tour Superstore"/>
        <s v="H&amp;M"/>
        <s v="PLUNKETTS PEST CONTROL MINNEAPOLIS MN REF #XX3398P00KHR4MQ"/>
        <s v="Vudu"/>
        <s v="BLVD *FACE FOUNDRIE WAYXX-7151 MN REF #XX5008TEJ2M5YAM"/>
        <s v="MACKENTHUN`S MEATS &amp; DELISAINT BONIFACMN REF #XX1948T0W02EV2T"/>
        <s v="Uniqlo"/>
        <s v="Jewelry Works"/>
        <s v="Sierra Trading Post"/>
        <s v="Tst* Bussin Birria 3bloomington Mn"/>
        <s v="Withdrawal ACH MHCHILDCARELLC TYPE: DUES ID: XX8198 CO: MHCHILDCARELLC Entry Class Code: ACH Trace Number: XX4206"/>
        <s v="Hawaii Poke"/>
        <s v="Tst* Honey Paw 00057portland Me"/>
        <s v="Deposit ACH EMPYREAN SOLUTIO TYPE: XX9000 ID: XX3620 CO: EMPYREAN SOLUTIO Entry Class Code: ACH Trace Number: XX6209"/>
        <s v="Tst* Maynards Insideexcelsior Mn"/>
        <s v="Aplpay Truckin Good Edgecomb Me"/>
        <s v="Unified Parking Partners"/>
        <s v="SP PUR BRANDS LLC HTTPSPURBRANDTX REF #XX0015XP79"/>
        <s v="SP PUR BRANDS LLC HTTPSPURBRANDTX REF #XX0009RKTT"/>
        <s v="Withdrawal ACH MHCHILDCARELLC TYPE: DUES ID: XX8198 CO: MHCHILDCARELLC Entry Class Code: ACH Trace Number: XX5507"/>
        <s v="Withdrawal ACH MN DIR ACH TYPE: CONTRIB ID: XX7162 CO: MN DIR ACH NAME: XX2601 Entry Class Code: WEB ACH Trace Number: XX1421"/>
        <s v="Kids' Hair"/>
        <s v="Aplpay Tst* Delsur Eminnetonka Mn"/>
        <s v="Deposit ACH MBI TYPE: SETL ID: XX1866 CO: MBI Entry Class Code: ACH Trace Number: XX6609"/>
        <s v="Google *wsj.com G.co/helppay# Ca"/>
        <s v="Zenotic Inc*europeanbellevue Wa"/>
        <s v="Firehouse Subs"/>
        <s v="Manchu Wok"/>
        <s v="Tst* Unmapped Brewinminnetonka Mn"/>
        <s v="Aer Lingus"/>
        <s v="BONFES PLUMBING HEATING AXX6633 MN REF #XX3995S66KE103"/>
        <s v="Deja Vu Surf Hi-poipkoloa Hi"/>
        <s v="IN *DETAILS RESIDENTIAL SXX1751 MN REF #XX5349Q8SBY"/>
        <s v="Little Fish Coffee"/>
        <s v="Longs Drugs"/>
        <s v="MCW 1602-MINNETONKA XX8113 MN REF #XX0596VAKKSJJY"/>
        <s v="Savage"/>
        <s v="Withdrawal at ATM #XX8533 POIPU SHOPPI-XX3379 2360 KIAHUNA PLANTATION POIPU KAUAI HI"/>
        <s v="Fh* Blue Hawaiian Hedenver Co"/>
        <s v="Withdrawal ACH CITY OF CHANHASS TYPE: UTIL BILL ID: XX5331 CO: CITY OF CHANHASS Entry Class Code: ACH Trace Number: XX7424"/>
        <s v="Aplpay Tst* Kauai Belihue Hi"/>
        <s v="Cruiser Boutique"/>
        <s v="Eating House Koloa Hi"/>
        <s v="KAUAI CLOTHING CO (KCC-03KOLOA HI REF #XX8980FVLL5E7"/>
        <s v="Kauai Sushi Station Lihue Hi"/>
        <s v="Glf*poipubaygolfcourkoloa Hi"/>
        <s v="Hilton Garden Inn"/>
        <s v="Keoki's Paradise Kaukoloa Hi"/>
        <s v="Withdrawal ACH MHCHILDCARELLC TYPE: DUES ID: XX8198 CO: MHCHILDCARELLC Entry Class Code: ACH Trace Number: XX1512"/>
        <s v="Deposit ACH EMPYREAN SOLUTIO TYPE: XX9000 ID: XX3620 CO: EMPYREAN SOLUTIO Entry Class Code: ACH Trace Number: XX4274"/>
        <s v="Riptides Shave Ice Apoipu Hi"/>
        <s v="Aplpay Ai Ono Caf Llihue Hi"/>
        <s v="Big Monster Sushi Anlihue Hi"/>
        <s v="Boss Frog's Dive Shop"/>
        <s v="Smartwool"/>
        <s v="Deposit Dividend Split Rate Annual Percentage Yield Earned 1.89% from 10/01/23 through 10/31/23"/>
        <s v="Withdrawal ACH MHCHILDCARELLC TYPE: DUES ID: XX8198 CO: MHCHILDCARELLC Entry Class Code: ACH Trace Number: XX2975"/>
        <s v="Amazon Music*DC0QM7CV3   888-802-3080 WA REF #24692169G30EYSDN3"/>
        <s v="Withdrawal Transfer To Loan 02"/>
        <s v="Deposit Home Banking Transfer From Share 01 REF # XX0463"/>
        <s v="Deposit Home Banking Transfer REF # XX0448 From TRUITTBRITNEY K XX6126 Share 70"/>
        <s v="SP NORMAL BRAND COR THENORMALBRANMO REF #XX2169Hx0202S7N"/>
        <s v="WAYZATA CAFE WAYZATA MN REF #XX3009KW5YAYHNL"/>
        <s v="Trufit Cafe &amp; Smoothspring Park Mn"/>
        <s v="Buddy Boy Fine Barbeminnetrista Mn"/>
        <s v="Withdrawal ACH MHCHILDCARELLC TYPE: DUES ID: XX8198 CO: MHCHILDCARELLC Entry Class Code: ACH Trace Number: XX4911"/>
        <s v="Mudd Creek Country Sfranklin Tx"/>
        <s v="SP NORMAL BRAND COR THENORMALBRANMO REF #XX2169T000GRQKD"/>
        <s v="Amc Theatres"/>
        <s v="Dave &amp; Buster's"/>
        <s v="Delta Cb_platinum"/>
        <s v="ARBORETUM APPLEHOUSE CHASKA MN REF #XX8299W2M7WMFP6"/>
        <s v="Aus 3196u Market 512austin Tx"/>
        <s v="Austin-bergstrom International Airport"/>
        <s v="Creative Mobilxx0014boston Ma"/>
        <s v="Dunkin' Donuts"/>
        <s v="Jj-pcg Msp Venture Lsaint Paul Mn"/>
        <s v="Msp Hudson St2295 22saint Paul Mn"/>
        <s v="Primaclassicalcoachimaple Grove Mn"/>
        <s v="Tst* Row 34 - Cambricambridge Ma"/>
        <s v="Ac Hotels"/>
        <s v="Transfer to Coinbase"/>
        <s v="Withdrawal ACH MHCHILDCARELLC TYPE: DUES ID: XX8198 CO: MHCHILDCARELLC Entry Class Code: ACH Trace Number: XX0689"/>
        <s v="Crossroads"/>
        <s v="Google *svcsgns.3349g.co/helppay# Ca"/>
        <s v="Tst* Harpoon Tap Rooboston Ma"/>
        <s v="Lake Tahoe Resort"/>
        <s v="The Lobby"/>
        <s v="811 Washington Ramp North Oaks Mn"/>
        <s v="Old Navy"/>
        <s v="Withdrawal ACH MN DIR ACH TYPE: CONTRIB ID: XX7162 CO: MN DIR ACH NAME: XX2601 Entry Class Code: WEB ACH Trace Number: XX0279"/>
        <s v="BONFES PLUMBING HEATING AXX6633 MN REF #XX7539A4S66K79B0"/>
        <s v="Withdrawal ACH CITY OF CHANHASS TYPE: UTIL BILL ID: XX5331 CO: CITY OF CHANHASS Entry Class Code: ACH Trace Number: XX2400"/>
        <s v="Withdrawal ACH MHCHILDCARELLC TYPE: DUES ID: XX8198 CO: MHCHILDCARELLC Entry Class Code: ACH Trace Number: XX2783"/>
        <s v="AMZN Mktp US*0F6B73VE3 Amzn.com/billWA REF #XX9216A52XJx7511"/>
        <s v="ARBORETUM APPLEHOUSE CHASKA MN REF #XX3829A62M7WMGVG"/>
        <s v="BCS*MINNETONKA COMMUNITY XX-6800 MN REF #XX3746A601JNM6G7"/>
        <s v="BCS*MINNETONKA COMMUNITY XX-6800 MN REF #XX3746A601JNM6JV"/>
        <s v="Coursra35bcaxv388l92mountain Vi Ca"/>
        <s v="MCW 1602-MINNETONKA XX8113 MN REF #XX7105A5VALG8WLJ"/>
        <s v="Ramp C Ecomm Xxxxxxxxxx-xxx7275 Mn"/>
        <s v="Test Kitchen"/>
        <s v="Tst* Two Mixed Up Llminneapolis Mn"/>
        <s v="WAYZATA CAFE WAYZATA MN REF #XX4300A6W5V6ZH4K"/>
        <s v="Sp Indyeva Canada Dev Xxxxxx4802 Can Apple Pay Ending In 7968"/>
        <s v="Williams-sonoma"/>
        <s v="Amk"/>
        <s v="Aplpay The Burton Coburlington Vt"/>
        <s v="Black Sheep"/>
        <s v="The Burton Corporatiburlington Vt"/>
        <s v="Aplpay Onstreet 8090minneapolis Mn"/>
        <s v="Aplpay Premium Parkinew Orleans La"/>
        <s v="BLVDKITCHE* BLVD KITCH BLVDKITCHEN.CMA REF #XX9216AA0003N96Q"/>
        <s v="Ruhland's Strudel Hasaint Paul Mn"/>
        <s v="Tst* Coalition Excelexcelsior Mn"/>
        <s v="War Forged Printing Chanhassen Mn"/>
        <s v="Bonfe's Plumbing Heasouth Saint P Mn"/>
        <s v="Jhmr Online Store Teton Village Wy"/>
        <s v="Sp Sendjoeskcbbq Olathe Ks"/>
        <s v="J.crew"/>
        <s v="Parnassus St2342 234nashville Tn"/>
        <s v="Shorewood Liquor"/>
        <s v="Withdrawal ACH MHCHILDCARELLC TYPE: DUES ID: XX8198 CO: MHCHILDCARELLC Entry Class Code: ACH Trace Number: XX3976"/>
        <s v="In *garage Floor Coaminneapolis Mn"/>
        <s v="Sherwin-williams"/>
        <s v="Deposit Dividend Split Rate Annual Percentage Yield Earned 2.55% from 11/01/23 through 11/30/23"/>
        <s v="Discover Bank Deposit"/>
        <s v="Rdstr Inc.*montec Chicago Il"/>
        <s v="Amazon Music*AA5HH5UD3 XX-3080 WA REF #XX9216AF353W95RS"/>
        <s v="AMZN Mktp US*565AB5T43 Amzn.com/billWA REF #XX9216AG2X704FAJ"/>
        <s v="Liquor Boy"/>
        <s v="Teladoc"/>
        <s v="AMZN Mktp US*6W7HB0RM3 Amzn.com/billWA REF #XX9216AJ2YRR4MXE"/>
        <s v="ARBORETUM APPLEHOUSE CHASKA MN REF #XX3829AK2M7VNZFL"/>
        <s v="Withdrawal ACH MHCHILDCARELLC TYPE: DUES ID: XX8198 CO: MHCHILDCARELLC Entry Class Code: ACH Trace Number: XX6057"/>
        <s v="Evernote"/>
        <s v="Tide Dry Cleaners"/>
        <s v="Deposit ACH EMPYREAN SOLUTIO TYPE: XX9000 ID: XX3620 CO: EMPYREAN SOLUTIO Entry Class Code: ACH Trace Number: XX7134"/>
        <s v="Na's Thai Cafe"/>
        <s v="AMZN MKTP US*3D72F7CA3 SEATTLE WA REF #XX3106AM2DYG8PKH"/>
        <s v="AMZN MKTP US*8Q00K16P3 SEATTLE WA REF #XX3106AM2DYW010H"/>
        <s v="Runyon's 5xxxxxx0172minneapolis Mn"/>
        <s v="Sweetgreen"/>
        <s v="Tst* Public Domain 0minneapolis Mn"/>
        <s v="U OF M-ARBORETUM STORE CHASKA MN REF #XX3829AN2MDD38JV"/>
        <s v="U OF M-EVENTS ARB CHASKA MN REF #XX3829AN2MQGFNMF"/>
        <s v="Withdrawal ACH NORTHERN STAR EV TYPE: SES:XX0350 ID: XX3620 CO: NORTHERN STAR EV NAME: NORTHERN STAR SCOUTI Entry Class Code: WEB ACH Trace Number: XX7059"/>
        <s v="Deposit ACH eBay ComWLKXTISM TYPE: PAYMENTS ID: XX6000 CO: eBay ComWLKXTISM Entry Class Code: ACH Trace Number: XX3867"/>
        <s v="Deposit ACH eBay ComDVGUHE3P TYPE: PAYMENTS ID: XX6000 CO: eBay ComDVGUHE3P Entry Class Code: ACH Trace Number: XX6339"/>
        <s v="Minnesota Urology 00minneapolis Mn"/>
        <s v="The Winery"/>
        <s v="Withdrawal ACH MHCHILDCARELLC TYPE: DUES ID: XX8198 CO: MHCHILDCARELLC Entry Class Code: ACH Trace Number: XX2157"/>
        <s v="Etsy"/>
        <s v="Lifetime"/>
        <s v="ATM Withdrawal at US Bank Chanhassen MN"/>
        <s v="Tst* Snack Bar 00009minneapolis Mn"/>
        <s v="AMZN Mktp US*594BE0GK3 Amzn.com/billWA REF #XX9216AW2Y1QVMBH"/>
        <s v="AMZN Mktp US*HS0TP1TC3 Amzn.com/billWA REF #XX9216AW2XTV2XRY"/>
        <s v="INTERSTATE PARKING WWW.INTERSTATWI REF #XX9216AX000BM2AN"/>
        <s v="Withdrawal ACH TRUITTJEFF B TYPE: Online ID: XX2400 NAME: TRUITTJEFF B Entry Class Code: WEB"/>
        <s v="Dd *victoriaburrow San Francisco Ca"/>
        <s v="ONSTREET XX7275 MN REF #XX8930AXR3G8QA2P"/>
        <s v="Withdrawal ACH MN DIR ACH TYPE: CONTRIB ID: XX7162 CO: MN DIR ACH NAME: XX2601 Entry Class Code: WEB ACH Trace Number: XX2505"/>
        <s v="Withdrawal ACH MHCHILDCARELLC TYPE: DUES ID: XX8198 CO: MHCHILDCARELLC Entry Class Code: ACH Trace Number: XX3645"/>
        <s v="Amzn Mktp Us Amzn.com/billwa 2ufavqp60jh"/>
        <s v="Children's Museum"/>
        <s v="Withdrawal at ATM #XX 455 POND PROMENADE CHANHASSEN MN"/>
        <s v="BONFES PLUMBING HEATING AXX6633 MN REF #XX7539B2S66H9JBN"/>
        <s v="Buck Hill Website 65burnsville Mn"/>
        <s v="Deposit ACH EMPYREAN SOLUTIO TYPE: XX9000 ID: XX3620 CO: EMPYREAN SOLUTIO Entry Class Code: ACH Trace Number: XX3409"/>
        <s v="Lions Tap 0xxxxx0218eden Prairie Mn"/>
        <s v="SP INDYEVA CANADA DEV CARIGNAN CD REF #XX8342Bx0003N906"/>
        <s v="Withdrawal ACH CITY OF CHANHASS TYPE: UTIL BILL ID: XX5331 CO: CITY OF CHANHASS Entry Class Code: ACH Trace Number: XX7436"/>
        <s v="Tst* Dukes On 7 0001minnetonka Mn"/>
        <s v="Base Camp Pizza Co."/>
        <s v="Beach Retreat And Losouth Lake Ta Ca"/>
        <s v="Dart Beverage Centerstateline Nv"/>
        <s v="Great Basin Brewing Reno Nv"/>
        <s v="East Peak Lodge F&amp;b Stateline Nv"/>
        <s v="South Lake Brewing Cs Lake Tahoe Ca"/>
        <s v="Vail Resorts"/>
        <s v="Bluebird Palisades 1olympic Valley Ca"/>
        <s v="Edgewood Food And Bestateline Nv"/>
        <s v="Honk Palisades 00-08breckenridge Co"/>
        <s v="Kt Base Bar Palisadeolympic Valley Ca"/>
        <s v="Palisades Hotel"/>
        <s v="Twenty Two Bistro 54olympic Valle Ca"/>
        <s v="Amazon Music*TK5YC1O30 XX-3080 WA REF #XX9216BD2ZP4BW8R"/>
        <s v="Lake Tahoe Oil Compazephyr Cove Nv"/>
        <s v="Margaritaville"/>
        <s v="Withdrawal ACH CPENERGY MNGCO TYPE: MGC ACH EB ID: 1XX1140S CO: CPENERGY MNGCO NAME: CENTERPOINT ENERGY OTP Entry Class Code: WEB ACH Trace Number: XX0232"/>
        <s v="Payment to AT&amp;T"/>
        <s v="5 Points Cork IE REF #XX0916KS10BZ7DAW"/>
        <s v="Withdrawal ACH MHCHILDCARELLC TYPE: DUES ID: XX8198 CO: MHCHILDCARELLC Entry Class Code: ACH Trace Number: XX7821"/>
        <s v="Best Brands Inc"/>
        <s v="Floyd's"/>
        <s v="SP MARINE LAYER HTTPSWWW.MARICA REF #XX9216QM0008KDE3"/>
        <s v="Aplpay Tst* North Coexcelsior Mn"/>
        <s v="5 Points Cork IE REF #XX0916NN11ZLHGQB"/>
        <s v="AMZN Mktp US*TK2PY32Z0 Amzn.com/billWA REF #XX9216QM32X7R3YY"/>
        <s v="ALOFT KANSAS CITY COKANSAS CITY         MO"/>
        <s v="Minuteclinic"/>
        <s v="Payment to Amazon Prime"/>
        <s v="AplPay ARAMARK ARROWKANSAS CITY         MO"/>
        <s v="AplPay BE RELAX DETRDETROIT             MI"/>
        <s v="Withdrawal ACH MHCHILDCARELLC TYPE: DUES ID: XX8198 CO: MHCHILDCARELLC Entry Class Code: ACH Trace Number: XX7819"/>
        <s v="Seaport Wine And Spiboston Ma"/>
        <s v="TONKA TD CLUB MINNETONKAFOOMN REF #XX9216QT000XPG7X"/>
        <s v="ACT*Camp Fire MN XX4991 TX REF #XX1339QS00YY7281"/>
        <s v="AplPay CHIPOTLE ONLINEWPORT BEACH       CA"/>
        <s v="Scout Shop"/>
        <s v="Stages Theatre Company"/>
        <s v="AplPay GREAT AMER BAFORT MYERS          FL"/>
        <s v="BLVD *FACE FOUNDRIE WAYXX-7151 MN REF #XX4500QVEJ2GXFJ3"/>
        <s v="SP PUR BRANDS LLC HTTPSPURBRANDTX REF #XX9216QV000T3EJF"/>
        <s v="Nicollet Island Inn Minneapolis Mn"/>
        <s v="Office Depot"/>
        <s v="AMZN Mktp US*R838A0ZV0 Amzn.com/billWA REF #XX9216QX2ZWR8ZNY"/>
        <s v="AMZN MKTP US*RT7ZG8PW2 SEATTLE WA REF #XX3106QW2DKSBT29"/>
        <s v="Chaska Pandr 6xx0000chaska Mn"/>
        <s v="AMZN Mktp US*R83RX5TS0 Amzn.com/billWA REF #XX9216QY30DZWFHX"/>
        <s v="AMZN Mktp US*RT0UG7XU1 Amzn.com/billWA REF #XX9216QY30DYJ1WE"/>
        <s v="Minnesota Market"/>
        <s v="Withdrawal ACH MHCHILDCARELLC TYPE: DUES ID: XX8198 CO: MHCHILDCARELLC Entry Class Code: ACH Trace Number: XX3315"/>
        <s v="Withdrawal ACH NORTHERN STAR EV TYPE: SES:XX0350 ID: XX3620 CO: NORTHERN STAR EV NAME: NORTHERN STAR SCOUTI Entry Class Code: WEB ACH Trace Number: XX6033"/>
        <s v="Withdrawal ACH MN DIR ACH TYPE: CONTRIB ID: XX7162 CO: MN DIR ACH NAME: XX2601 Entry Class Code: WEB ACH Trace Number: XX6539"/>
        <s v="Lakewinds Natural Foods"/>
        <s v="Aplpay Mall Of Ameribloomington Mn"/>
        <s v="Marine Layer"/>
        <s v="AplPay HMSHOST SCHIPSCHIPHOL            NL"/>
        <s v="Sealife"/>
        <s v="SUNU CHIROPRACTIC INC SUNUWELLNESS.MN REF #XX9216D3001FRJT3"/>
        <s v="Wdw Tickets Lake Buena Vi Fl"/>
        <s v="Withdrawal Fee VISA INTERNATIONAL SERVICE ASSESSMENT Date"/>
        <s v="Withdrawal WWW.JAMESONWHISKEY.COM DUBLIN IE Date XX 5813"/>
        <s v="BONFES PLUMBING HEATING AXX6633 MN REF #XX7539D5S66GTPKK"/>
        <s v="Autopay Payment - Thank You"/>
        <s v="MCW 1602-MINNETONKA XX8113 MN REF #XX7105D5VAL7836T"/>
        <s v="Bayou Cork IE REF #XX0916NM11ZFD3Z9"/>
        <s v="BONEFISH GRILL #7112ATLANTA             GA"/>
        <s v="Withdrawal ACH CITY OF CHANHASS TYPE: UTIL BILL ID: XX5331 CO: CITY OF CHANHASS Entry Class Code: ACH Trace Number: XX2341"/>
        <s v="5 Points Deli And Cafe Cork City Irl 11.21 @ 0xxx0001.xxx4790 Eur"/>
        <s v="Withdrawal ACH MHCHILDCARELLC TYPE: DUES ID: XX8198 CO: MHCHILDCARELLC Entry Class Code: ACH Trace Number: XX7429"/>
        <s v="AMZN Mktp US*R01YL15Y0 Amzn.com/billWA REF #XX9216D72X9AG7KK"/>
        <s v="AMZN Mktp US*R84DP5SW1 Amzn.com/billWA REF #XX9216D72X98V95J"/>
        <s v="Deposit ACH EMPYREAN SOLUTIO TYPE: XX9000 ID: XX3620 CO: EMPYREAN SOLUTIO Entry Class Code: ACH Trace Number: XX8490"/>
        <s v="AMZN Mktp US*R88GY1WX1 Amzn.com/billWA REF #XX9216D82YB1ET3A"/>
        <s v="BP#8797169AIRPORT BPST. LOUIS           MO"/>
        <s v="BRADLEYS CORK IE REF #XX6366NMHV4QEZDV"/>
        <s v="BURNTWOOD TAVERN - BFORT MYERS          FL"/>
        <s v="Aplpay Ramen Kawae Lminneapolis Mn"/>
        <s v="WAYZATA COFFEE WAYZATA MN REF #XX4300DAW5SA44K7"/>
        <s v="North Loop Galley"/>
        <s v="Withdrawal DUNNES MERCHANTS QUAY CORK IE Date XX 5411"/>
        <s v="ONSTREET XX7275 MN REF #XX8930DD0DA5TAR1"/>
        <s v="Withdrawal SUBRALOTT MUENCHEN FLUG DF Date XX 5812"/>
        <s v="Deposit Dividend Split Rate Annual Percentage Yield Earned 2.71% from 01/01/24 through 01/31/24"/>
        <s v="Withdrawal ACH MHCHILDCARELLC TYPE: DUES ID: XX8198 CO: MHCHILDCARELLC Entry Class Code: ACH Trace Number: XX7415"/>
        <s v="Amazon Music*R03ZL0R51 XX-3080 WA REF #XX9216DF33Q6P583"/>
        <s v="El Sazon Cocina &amp; Trminneapolis Mn"/>
        <s v="Aplpay Spirit Gear Mexcelsior Mn"/>
        <s v="Slatwallacc Xxxxxx6132 Fl"/>
        <s v="Body Works"/>
        <s v="AMZN Mktp US*RB5Y29EF0 Amzn.com/billWA REF #XX9216DL2XLL8Z0R"/>
        <s v="Aplpay Ls Primp Exceexcelsior Mn"/>
        <s v="La Senda Spanish Minnetonka Mn"/>
        <s v="Withdrawal ACH MHCHILDCARELLC TYPE: DUES ID: XX8198 CO: MHCHILDCARELLC Entry Class Code: ACH Trace Number: XX6328"/>
        <s v="AMZN Mktp US*RB2PP35N0 Amzn.com/billWA REF #XX9216DM2YLx2820"/>
        <s v="AMZN Mktp US*RB5DL9G60 Amzn.com/billWA REF #XX9216DM2Y3V933L"/>
        <s v="AMZN Mktp US*RXX9706U1 Amzn.com/billWA REF #XX9216DM2Y3L2N6E"/>
        <s v="Kids' Hair Llc Edina Mn"/>
        <s v="Mtka Youth Lax Xxxxxx1035 Mn"/>
        <s v="Allianz Global Assistance"/>
        <s v="AMZN Mktp US*R25GK3YV1 Amzn.com/billWA REF #XX9216DP2ZPJVXPQ"/>
        <s v="AMZN Mktp US*RB0WZ1MP2 Amzn.com/billWA REF #XX9216DR2XBJH34W"/>
        <s v="AMZN Mktp US*RB1C82KS0 Amzn.com/billWA REF #XX9216DP2ZPGGMT4"/>
        <s v="AMZN Mktp US*RB1ZI3V02 Amzn.com/billWA REF #XX9216DP2X5X03LQ"/>
        <s v="Withdrawal ACH CPENERGY MNGCO TYPE: MGC ACH EB ID: 1XX1140S CO: CPENERGY MNGCO NAME: CENTERPOINT ENERGY OTP Entry Class Code: WEB ACH Trace Number: XX1444"/>
        <s v="AMZN Mktp US*RB44Q9A81 Amzn.com/billWA REF #XX9216DT2YVD8WZF"/>
        <s v="AMZN Mktp US*RB46K2DZ2 Amzn.com/billWA REF #XX9216DT2YGA3SBB"/>
        <s v="LAKES DERMATOLOGY - BUSI BURNSVILLE MN REF #XX0197DRM4TYNFBH"/>
        <s v="Tequila Butcher"/>
        <s v="Bcs*prior Lake-savagprior Lake Mn"/>
        <s v="Bcs*minnetonka Commuexcelsior Mn"/>
        <s v="Withdrawal ACH MHCHILDCARELLC TYPE: DUES ID: XX8198 CO: MHCHILDCARELLC Entry Class Code: ACH Trace Number: XX8616"/>
        <s v="Tweet Pediatric Dentchanhassen Mn"/>
        <s v="Anna Nails"/>
        <s v="Aplpay Jj S Poke Edina Mn"/>
        <s v="Deposit ACH EMPYREAN SOLUTIO TYPE: XX9000 ID: XX3620 CO: EMPYREAN SOLUTIO Entry Class Code: ACH Trace Number: XX3301"/>
        <s v="Tst* Bar Cart Restausaint Paul Mn"/>
        <s v="101 Washington Ave Nminneapolis Mn"/>
        <s v="Aplpay Tst* Stepchldminneapolis Mn"/>
        <s v="Bonobos"/>
        <s v="Buck Bar"/>
        <s v="Aplpay Edible.com Atlanta Ga"/>
        <s v="Tst* Borough And Parminneapolis Mn"/>
        <s v="ONSTREET XX7275 MN REF #XX8930E23S03FMG7"/>
        <s v="Withdrawal ACH MN DIR ACH TYPE: CONTRIB ID: XX7162 CO: MN DIR ACH NAME: XX2601 Entry Class Code: WEB ACH Trace Number: XX0231"/>
        <s v="AMZN Mktp US*RW9SL8QK0 Amzn.com/billWA REF #XX9216E335W5ZVXW"/>
        <s v="BONFES PLUMBING HEATING AXX6633 MN REF #XX7539E3S66G0P8H"/>
        <s v="Withdrawal ACH CITY OF CHANHASS TYPE: UTIL BILL ID: XX5331 CO: CITY OF CHANHASS Entry Class Code: ACH Trace Number: XX7394"/>
        <s v="Withdrawal ACH MHCHILDCARELLC TYPE: DUES ID: XX8198 CO: MHCHILDCARELLC Entry Class Code: ACH Trace Number: XX3249"/>
        <s v="Smith"/>
        <s v="Marathon Petroleum"/>
        <s v="Withdrawal ACH MHCHILDCARELLC TYPE: DUES ID: XX8198 CO: MHCHILDCARELLC Entry Class Code: ACH Trace Number: XX6329"/>
        <s v="Courtyard By MarriotNashville           TN"/>
        <s v="Deposit Dividend Split Rate Annual Percentage Yield Earned 3.69% from 02/01/24 through 02/29/24"/>
        <s v="Amazon Music*RW6O34WO1 XX-3080 WA REF #XX9216ED33RJ6W28"/>
        <s v="Minnesota Zoo Membership"/>
        <s v="Tst* Porzana 0xx4034minneapolis Mn"/>
        <s v="Aplpay Tst* Maynardsexcelsior Mn"/>
        <s v="Tst* Crave Food &amp; Drst. Louis Par Mn"/>
        <s v="Park Tavern"/>
        <s v="Withdrawal ACH MHCHILDCARELLC TYPE: DUES ID: XX8198 CO: MHCHILDCARELLC Entry Class Code: ACH Trace Number: XX7040"/>
        <s v="Sun Country Airlines"/>
        <s v="Withdrawal ACH BCU MORTGAGE TYPE: LOAN PAYMT ID: 9DRAFTING CO: BCU MORTGAGE NAME: JEFF TRUITT Entry Class Code: WEB ACH Trace Number: 231271360155151"/>
        <s v="AMZN Mktp US*RN6XH0VS2 Amzn.com/billWA REF #XX9216EL2ZWX3VDS"/>
        <s v="ATM Withdrawal at Bank Of Jackson Hole Jackson WY"/>
        <s v="Aspens Market"/>
        <s v="Westside Wine &amp; Spirits"/>
        <s v="Withdrawal ACH MHCHILDCARELLC TYPE: DUES ID: XX8198 CO: MHCHILDCARELLC Entry Class Code: ACH Trace Number: XX9130"/>
        <s v="AMZN Mktp US*R60FD6102 Amzn.com/billWA REF #XX9216ET340JPYMR"/>
        <s v="AMZN Mktp US*RH05V0C80 Amzn.com/billWA REF #XX9216ET34B8728H"/>
        <s v="Deposit ACH EMPYREAN SOLUTIO TYPE: XX9000 ID: XX3620 CO: EMPYREAN SOLUTIO Entry Class Code: ACH Trace Number: XX4568"/>
        <s v="AMZN MKTP US*R62MA57U2 SEATTLE WA REF #XX3106EW2DJVJ5Y6"/>
        <s v="Three Rivers"/>
        <s v="Withdrawal ACH CPENERGY MNGCO TYPE: MGC ACH EB ID: 1XX1140S CO: CPENERGY MNGCO NAME: CENTERPOINT ENERGY OTP Entry Class Code: WEB ACH Trace Number: XX0546"/>
        <s v="Withdrawal ACH MN DIR ACH TYPE: CONTRIB ID: XX7162 CO: MN DIR ACH NAME: XX2601 Entry Class Code: WEB ACH Trace Number: XX8121"/>
        <s v="Withdrawal ACH MHCHILDCARELLC TYPE: DUES ID: XX8198 CO: MHCHILDCARELLC Entry Class Code: ACH Trace Number: XX4962"/>
        <s v="BONFES PLUMBING HEATING AXX6633 MN REF #XX7539F0S66F1FEQ"/>
        <s v="Withdrawal ACH CITY OF CHANHASS TYPE: UTIL BILL ID: XX5331 CO: CITY OF CHANHASS Entry Class Code: ACH Trace Number: XX2413"/>
        <s v="AMZN Mktp US*RA3Y205I0 Amzn.com/billWA REF #XX9216F433A662EE"/>
        <s v="Withdrawal ACH MHCHILDCARELLC TYPE: DUES ID: XX8198 CO: MHCHILDCARELLC Entry Class Code: ACH Trace Number: XX1079"/>
        <s v="AMZN Mktp US*K48WK22Y3 Amzn.com/billWA REF #XX9216F735HBBE4W"/>
        <s v="Deposit ACH IRS TREAS 310 TYPE: TAX REF ID: XX6170 CO: IRS TREAS 310 Entry Class Code: ACH Trace Number: XX3232"/>
        <s v="Deposit Dividend Split Rate Annual Percentage Yield Earned 2.54% from 03/01/24 through 03/31/24"/>
        <s v="Amazon Music*RA1Mx5551 XX-3080 WA REF #XX9216FB2ZDGZXMH"/>
        <s v="U.s. Passports"/>
        <s v="AMZN MKTP US*CS7LO2IE3 SEATTLE WA REF #XX3106FQ2DYWQNEX"/>
        <s v="Sheraton Hotels &amp; Resorts"/>
        <s v="Sonic Drive-in"/>
        <s v="Travel Traders"/>
        <s v="Wdw Cosmic Ray's Lake Buena Vi Fl"/>
        <s v="Wdw Emporium Lake Buena Vi Fl"/>
        <s v="Wdw Popcorn Carts Lake Buena Vi Fl"/>
        <s v="For Heaven Shakes Icbonita Spring Fl"/>
        <s v="Aplpay Seed To Tablenaples Fl"/>
        <s v="Karen Martsolf Lmt Sbonita Springs Fl"/>
        <s v="Seed To Table"/>
        <s v="The Spa At Valencia Bonita Springs Fl"/>
        <s v="Trackside"/>
        <s v="Tst* Nervous Nelliesfort Myers Beac Fl"/>
        <s v="#503 Naples Del Mar Naples Fl"/>
        <s v="Collierucfounderssqunaples Fl"/>
        <s v="Sea Salt Eatery"/>
        <s v="Aplpay Great Amer Bafort Myers Fl"/>
        <s v="Hungryroot"/>
        <s v="Withdrawal ACH MHCHILDCARELLC TYPE: DUES ID: XX8198 CO: MHCHILDCARELLC Entry Class Code: ACH Trace Number: XX5943"/>
        <s v="AMZN Mktp US*3490T2J83 Amzn.com/billWA REF #XX9216FL33K2FG8R"/>
        <s v="AMZN Mktp US*F62OD3XJ3 Amzn.com/billWA REF #XX9216FL3347XPNA"/>
        <s v="Deposit ACH EMPYREAN SOLUTIO TYPE: XX9000 ID: XX3620 CO: EMPYREAN SOLUTIO Entry Class Code: ACH Trace Number: XX4994"/>
        <s v="Tst* Maynards - Outsexcelsior Mn"/>
        <s v="Ls Bluff Creek Golf Chaska Mn"/>
        <s v="Tavern 4 &amp; 5"/>
        <s v="Treering"/>
        <s v="Aplpay Crate &amp; Barrenorthbrook Il"/>
        <s v="Dd *lagotacos San Francisco Ca"/>
        <s v="Ls South Lake Cycle Excelsior Mn"/>
        <s v="Mackenthun's Fine Fominnetrista Mn"/>
        <s v="Sp Dr. Dennis Gross New York Ny"/>
        <s v="Aplpay Merlins Ace Hchanhassen Mn"/>
        <s v="Withdrawal ACH MHCHILDCARELLC TYPE: DUES ID: XX8198 CO: MHCHILDCARELLC Entry Class Code: ACH Trace Number: XX2142"/>
        <s v="Aplpay Crisp &amp; Greenwayzata Mn"/>
        <s v="Creede Snowshoe Lodgcreede Co"/>
        <s v="Jaxen Grey - Edina 0edina Mn"/>
        <s v="Withdrawal ACH MN DIR ACH TYPE: CONTRIB ID: XX7162 CO: MN DIR ACH NAME: XX2601 Entry Class Code: WEB ACH Trace Number: XX1825"/>
        <s v="Ls The Lakes Runningexcelsior Mn"/>
        <s v="Aplpay Northwood Musminneapolis Mn"/>
        <s v="Aplpay Tonzkitchen Minneapolis Mn"/>
        <s v="Damico &amp; Sons-mill Cminneapolis Mn"/>
        <s v="AMZN Mktp US*NQ2W35GC3 Amzn.com/billWA REF #XX9216FZ3250ASW7"/>
        <s v="Lake &amp; Irving"/>
        <s v="Onstreet 8090 0x4870minneapolis Mn"/>
        <s v="Renewal Membership Fee"/>
        <s v="Sp Huma Gel Nashville Tn"/>
        <s v="BONFES PLUMBING HEATING AXX6633 MN REF #XX7539G0S66D3P7A"/>
        <s v="Withdrawal ACH CITY OF CHANHASS TYPE: UTIL BILL ID: XX5331 CO: CITY OF CHANHASS Entry Class Code: ACH Trace Number: XX7633"/>
        <s v="AMAZON RET* XX3785 WWW.AMAZON.COWA REF #XX1134G2001H4J18"/>
        <s v="Withdrawal ACH MHCHILDCARELLC TYPE: DUES ID: XX8198 CO: MHCHILDCARELLC Entry Class Code: ACH Trace Number: XX2884"/>
        <s v="LISA`S TAILOR SHOP EDEN PRAIRIE MN REF #XX0780G40T570AHV"/>
        <s v="Ls Island View Golf Waconia Mn"/>
        <s v="Mendota Valley Amusesouth Saint P Mn"/>
        <s v="Ballybunion Golf Cluballybunion"/>
        <s v="Deposit Dividend Split Rate Annual Percentage Yield Earned 2.35% from 04/01/24 through 04/30/24"/>
        <s v="Amazon Music*2P9GC6K03 XX-3080 WA REF #XX9216GAXX6548WF"/>
        <s v="AMZN Mktp US*NG3D34MR3 Amzn.com/billWA REF #XX9216GB320E3SK8"/>
        <s v="AMZN Mktp US*WZ7GQ0L63 Amzn.com/billWA REF #XX9216GA31W0M151"/>
        <s v="Withdrawal ACH NORTHERN STAR EV TYPE: SES:XX0378 ID: XX3620 CO: NORTHERN STAR EV NAME: NORTHERN STAR SCOUTI Entry Class Code: WEB ACH Trace Number: XX2200"/>
        <s v="Buca Di Beppo"/>
        <s v="Bt*i See Me! Plymouth Mn"/>
        <s v="AMZN Mktp US*5O3W09TP3 Amzn.com/billWA REF #XX9216GQ3383NPH7"/>
        <s v="Yeti"/>
        <s v="Bt*preschool Smiles Eden Prairie Mn"/>
        <s v="Aplpay U Of M-arb Apchaska Mn"/>
        <s v="Aplpay Blvd *face Wayzata Mn"/>
        <s v="Matchstick"/>
        <s v="BENEDICTS RESTAURANT WAYZWAYZATA MN REF #XX3186GM0W0KDF5Z"/>
        <s v="Fsp*chaska Town Courchaska Mn"/>
        <s v="Sp Unrl.co Saint Paul Mn"/>
        <s v="Withdrawal ACH CHEN ZHENQIANG CO: CHEN ZHENQIANG TYPE: IAT PAYPAL ID: 7XX0487C Entry Class Code: IAT ACH Trace Number: XX9031"/>
        <s v="Clothing"/>
        <s v="AMZN Mktp US*V78N23G93 Amzn.com/billWA REF #XX9216GP32TTSL5K"/>
        <s v="AMZN Mktp US*WI17Y9N03 Amzn.com/billWA REF #XX9216GP32S0MBJ6"/>
        <s v="Taza 00e9 Chanhassen Mn"/>
        <s v="Www.rei.com Kent Wa"/>
        <s v="Hermitage Golf Coursold Hickory Tn"/>
        <s v="LISA`S TAILOR SHOP EDEN PRAIRIE MN REF #XX0780GR0VZFQX4Q"/>
        <s v="Withdrawal ACH RILEY CROSSING C TYPE: XX8412 ID: XX9040 CO: RILEY CROSSING C Entry Class Code: ACH Trace Number: XX7200"/>
        <s v="Winchester And Rye 0victoria Mn"/>
        <s v="Fp-minnesota H&amp;f 162dallas Tx"/>
        <s v="AMZN Mktp US*8W8478OU3 Amzn.com/billWA REF #XX9216GV35VD48XH"/>
        <s v="BCS*MINNETONKA COMMUNITY EXCELSIOR MN REF #XX3746GS01LAFX1K"/>
        <s v="Withdrawal ACH MN DIR ACH TYPE: CONTRIB ID: XX7162 CO: MN DIR ACH NAME: XX2601 Entry Class Code: WEB ACH Trace Number: XX0173"/>
        <s v="BONFES PLUMBING HEATING AXX6633 MN REF #XX7539GXS66M9HE2"/>
        <s v="ONSTREET XX7275 MN REF #XX8930GXJXHGMFQ6"/>
        <s v="ONSTREET XX7275 MN REF #XX8930GXJXHGNFE9"/>
        <s v="Withdrawal ACH CITY OF CHANHASS TYPE: UTIL BILL ID: XX5331 CO: CITY OF CHANHASS Entry Class Code: ACH Trace Number: XX2790"/>
        <s v="AMZN Mktp US*1K0TE8C03 Amzn.com/billWA REF #XX9216GY2YPQB7RZ"/>
        <s v="Withdrawal ACH RILEY CROSSING C TYPE: XX8412 ID: XX9040 CO: RILEY CROSSING C Entry Class Code: ACH Trace Number: XX9909"/>
        <s v="Withdrawal ACH BCU MORTGAGE TYPE: LOAN PAYMT ID: 9DRAFTING CO: BCU MORTGAGE NAME: JEFF TRUITT Entry Class Code: WEB ACH Trace Number: 231271360155224"/>
        <s v="Bachmans"/>
        <s v="Mel's Sport Shop 039spicer Mn"/>
        <s v="Zorbaz on the Lake"/>
        <s v="Nike"/>
        <s v="Payment to Discovery Trading Post"/>
        <s v="Withdrawal ACH RILEY CROSSING C TYPE: XX8412 ID: XX9040 CO: RILEY CROSSING C Entry Class Code: ACH Trace Number: XX3704"/>
        <s v="Aplpay Ls Halla Greechanhassen Mn"/>
        <s v="AMZN Mktp US*286W87TE3 Amzn.com/billWA REF #XX9216Hx3320EW68"/>
        <s v="Deposit Dividend Split Rate Annual Percentage Yield Earned 3.00% from 05/01/24 through 05/31/24"/>
        <s v="Kaisushi Minnetonka Minnetonka, Mn"/>
        <s v="Amazon Music*O03Hx7463 XX-3080 WA REF #XX9216H9340KFND8"/>
        <s v="AMZN Mktp US*Y490F32K3 Amzn.com/billWA REF #XX9216H934TRG7MA"/>
        <s v="Axs.com*first Avenuelos Angeles Ca"/>
        <s v="Pine Restaurant"/>
        <s v="Plunketts Pest Contrminneapolis Mn"/>
        <s v="Withdrawal ACH ANA NOVIC CO: ANA NOVIC TYPE: IAT PAYPAL ID: 7XX0487C Entry Class Code: IAT ACH Trace Number: XX0203"/>
        <s v="Backcountry.com"/>
        <s v="DELTA AIR LINES     ATLANTA"/>
        <s v="Mst My Choice Transpedina Mn"/>
        <s v="Southern Tide"/>
        <s v="Withdrawal ACH CPENERGY MNGCO TYPE: MGC ACH EB ID: 1XX1140S CO: CPENERGY MNGCO NAME: CENTERPOINT ENERGY OTP Entry Class Code: WEB ACH Trace Number: XX1393"/>
        <s v="Withdrawal ACH RILEY CROSSING C TYPE: XX8412 ID: XX9040 CO: RILEY CROSSING C Entry Class Code: ACH Trace Number: XX0796"/>
        <s v="Aplpay Kids' Hair Lledina Mn"/>
        <s v="Fh* Fatbike Adventurwicklow Co"/>
        <s v="Deposit ACH CARGILL INCORPOR TYPE: DIRECT DEP ID: 9111111101 CO: CARGILL INCORPOR Entry Class Code: PPD ACH Trace Number: 091000017768873"/>
        <s v="Tokyo Steak &amp; Seafooorangeburg Sc"/>
        <s v="Deposit ACH EMPYREAN SOLUTIO TYPE: XX9000 ID: XX3620 CO: EMPYREAN SOLUTIO Entry Class Code: ACH Trace Number: XX9342"/>
        <s v="Deposit ACH MBI TYPE: SETL ID: XX1866 CO: MBI Entry Class Code: ACH Trace Number: XX8568"/>
        <s v="Marketplace &amp; Main"/>
        <s v="Pp*mohammad Reza Haboverlandpark Ks"/>
        <s v="Aldi"/>
        <s v="AMZN Mktp US*Q97LK1703 Amzn.com/billWA REF #XX9216HG30YDBX89"/>
        <s v="Aplpay Trail's Ta Tralbert Lea Mn"/>
        <s v="Aplpay Tst* Zombie Bdes Moines Ia"/>
        <s v="Legalzoom"/>
        <s v="Pizza Shuttle"/>
        <s v="CROSSROADS FOOD AND BEV KANSAS CITY MO REF #XX5542HH4NGGP62A"/>
        <s v="Mcw 1602-minnetonka Minnetonka Mn"/>
        <s v="AMZN Mktp US*0L38L9BK3 Amzn.com/billWA REF #XX9216HJ3289BME9"/>
        <s v="AMZN Mktp US*3W4Z09R13 Amzn.com/billWA REF #XX9216HJ32EB8S33"/>
        <s v="AMZN Mktp US*LL5OZ4603 Amzn.com/billWA REF #XX9216HJ325MR0G7"/>
        <s v="AMZN Mktp US*LP0DW6QZ3 Amzn.com/billWA REF #XX9216HJ327MPBB6"/>
        <s v="Mis Amigos"/>
        <s v="Aplpay Tide Dry Cleaexcelsior Mn"/>
        <s v="Deposit Dividend Split Rate Annual Percentage Yield Earned 1.86% from 09/01/24 through 09/30/24"/>
        <s v="Withdrawal ACH RILEY CROSSING C TYPE: XX8412 ID: XX9040 CO: RILEY CROSSING C Entry Class Code: ACH Trace Number: XX7131"/>
        <s v="Deposit Dividend Split Rate Annual Percentage Yield Earned 2.31% from 10/01/24 through 10/31/24"/>
        <s v="Deposit ACH EMPYREAN SOLUTIO TYPE: XX9000 ID: XX3620 CO: EMPYREAN SOLUTIO Entry Class Code: ACH Trace Number: XX2470"/>
        <s v="Subway"/>
        <s v="Dick's Sporting Goods"/>
        <s v="Openai *chatgpt Subssan Francisco Ca"/>
        <s v="Withdrawal ACH BCU MORTGAGE TYPE: LOAN PAYMT ID: 9DRAFTING CO: BCU MORTGAGE NAME: JEFF TRUITT Entry Class Code: WEB ACH Trace Number: 231271360155616"/>
        <s v="DUNKIN #364260 3642 WEST COLUMBIA       SC"/>
        <s v="Dwyers Of Cork 10 Iecork Ir"/>
        <s v="Dwyers Of Cork 11 Iecork Ir"/>
        <s v="EMBASSY SUITES ATLANATLANTA             GA"/>
        <s v="ETERIE 6285440078026ATLANTA             GA"/>
        <s v="Ck *luck Municipal Gluck Wi"/>
        <s v="Exxonmobil"/>
        <s v="FARM AND TABLE INC FALBUQUERQUE         NM"/>
        <s v="Farm And Table Inc Falbuquerque Nm"/>
        <s v="Von Hanson's Meats"/>
        <s v="Pete's"/>
        <s v="Withdrawal ACH MN DIR ACH TYPE: CONTRIB ID: XX7162 CO: MN DIR ACH NAME: XX2601 Entry Class Code: WEB ACH Trace Number: XX0423"/>
        <s v="Lou?s Fish House Two Harbors Mn"/>
        <s v="Streetcar"/>
        <s v="Tst* Coho Cafe &amp; Baktofte Mn"/>
        <s v="Aplpay Sawtooth Outftofte Mn"/>
        <s v="Aplpay Schroeder Bakschroeder Mn"/>
        <s v="Black Beach Mini Golsilver Bay Mn"/>
        <s v="Bt*school Specialty Greenville Wi"/>
        <s v="GABBY GOAT AMERICAN EFFINGHAM           IL"/>
        <s v="Withdrawal ACH RILEY CROSSING C TYPE: XX8412 ID: XX9040 CO: RILEY CROSSING C Entry Class Code: ACH Trace Number: XX0781"/>
        <s v="GREAT AMER BAGEL TERFORT MYERS          FL"/>
        <s v="Aplpay Minnesota Stasaint Paul Mn"/>
        <s v="Bellisio's"/>
        <s v="BONFES PLUMBING HEATING AXX6633 MN REF #XX7539HWS66QTHN3"/>
        <s v="Decc Ticket Office 0duluth Mn"/>
        <s v="Leaf Rides Duluth Mn"/>
        <s v="Lighthouse Bed &amp; Bretwo Harbors Mn"/>
        <s v="Mcquades"/>
        <s v="Trailfitters"/>
        <s v="Watersedge Trading Co."/>
        <s v="Withdrawal ACH CITY OF CHANHASS TYPE: UTIL BILL ID: XX5331 CO: CITY OF CHANHASS Entry Class Code: ACH Trace Number: XX7886"/>
        <s v="Americinn Lodge &amp; Suites"/>
        <s v="Aplpay Ybc Fitgers Duluth Mn"/>
        <s v="Canal Park Ice Rink"/>
        <s v="Ls Duluth Kitchen Coduluth Mn"/>
        <s v="Seatgeek"/>
        <s v="Aplpay Tst* Fitger'sduluth Mn"/>
        <s v="Bird"/>
        <s v="MARCUS DULUTH CINE BOX DULUTH MN REF #XX4300HZ05EGBK7X"/>
        <s v="Spirit Mountain"/>
        <s v="Spirit Mountain F &amp; Duluth Mn"/>
        <s v="Val*fitger's Inn Duluth Mn"/>
        <s v="Sunu Chiropractic"/>
        <s v="Withdrawal ACH BCU MORTGAGE TYPE: LOAN PAYMT ID: 9DRAFTING CO: BCU MORTGAGE NAME: JEFF TRUITT Entry Class Code: WEB ACH Trace Number: 231271360156678"/>
        <s v="HAMPTON INN AND SUITEFFINGHAM           IL"/>
        <s v="Withdrawal ACH CPENERGY MNGCO TYPE: MGC ACH EB ID: 1XX1140S CO: CPENERGY MNGCO NAME: CENTERPOINT ENERGY OTP Entry Class Code: WEB ACH Trace Number: XX2177"/>
        <s v="Withdrawal ACH RILEY CROSSING C TYPE: XX8412 ID: XX9040 CO: RILEY CROSSING C Entry Class Code: ACH Trace Number: XX9438"/>
        <s v="Aplpay Tst* Oak 19 Fchaska Mn"/>
        <s v="HAMPTON INN AND SUITLEXINGTON           SC"/>
        <s v="Deposit ACH EMPYREAN SOLUTIO TYPE: XX9000 ID: XX3620 CO: EMPYREAN SOLUTIO Entry Class Code: ACH Trace Number: XX9932"/>
        <s v="HELLODELI           ALBUQUERQUE         NM"/>
        <s v="Tst* Oak 19 Fare &amp; Rchaska Mn"/>
        <s v="HILTON GARDEN INN FTFORT MYERS          FL"/>
        <s v="Hissho Term 1 Mall MST. PAUL            MN"/>
        <s v="TONKA TD CLUB MINNETONKAFOOMN REF #XX9216J3000FMWX5"/>
        <s v="Woody's"/>
        <s v="Google*svcsgns.x349- G.co Helppay#"/>
        <s v="Deposit Dividend Split Rate Annual Percentage Yield Earned 2.73% from 06/01/24 through 06/30/24"/>
        <s v="Amazon Music*R71CA03K0 XX-3080 WA REF #XX9216J72ZVAWLMK"/>
        <s v="Pryes Brewing Companminneapolis Mn"/>
        <s v="Withdrawal ACH RILEY CROSSING C TYPE: XX8412 ID: XX9040 CO: RILEY CROSSING C Entry Class Code: ACH Trace Number: XX4896"/>
        <s v="Aplpay Tst* Balsam Lbalsam Lake Wi"/>
        <s v="Home2 Suites"/>
        <s v="Deposit ACH EMPYREAN SOLUTIO TYPE: XX9000 ID: XX3620 CO: EMPYREAN SOLUTIO Entry Class Code: ACH Trace Number: XX8001"/>
        <s v="Aplpay Wayne's Foodsluck Wi"/>
        <s v="Hopsack Llc Balsam Lake Mn"/>
        <s v="HOMEWOOD SUITES ABQ ALBUQUERQUE         NM"/>
        <s v="The North Face"/>
        <s v="Withdrawal ACH RILEY CROSSING C TYPE: XX8412 ID: XX9040 CO: RILEY CROSSING C Entry Class Code: ACH Trace Number: XX9515"/>
        <s v="Blue Note"/>
        <s v="Booking.com"/>
        <s v="Hudson Totg St1687 1hazelwood Mo"/>
        <s v="Marriott International"/>
        <s v="Mcalister's Deli"/>
        <s v="Mike Shannons STL 15St. Louis           MO"/>
        <s v="MINNEAPOLIS AIRPORT SAINT PAUL          MN"/>
        <s v="Ka'chava"/>
        <s v="Moe's Southwest GrilST. PAUL            MN"/>
        <s v="The Great American Bagel"/>
        <s v="MSP AIRP PEOPLES ORGSAINT PAUL          MN"/>
        <s v="Msp Airp The Cook Ansaint Paul Mn"/>
        <s v="Withdrawal ACH RILEY CROSSING C TYPE: XX8412 ID: XX9040 CO: RILEY CROSSING C Entry Class Code: ACH Trace Number: XX7196"/>
        <s v="Withdrawal ACH MN DIR ACH TYPE: CONTRIB ID: XX7162 CO: MN DIR ACH NAME: XX2601 Entry Class Code: WEB ACH Trace Number: XX2203"/>
        <s v="Dnr E Pay Win Acs 00madison Wi"/>
        <s v="Dnr Epay Win Acs Sermadison Wi"/>
        <s v="Py *kj's New North 0balsam Lake Wi"/>
        <s v="Balsam Lake Trading Balsam Lake Wi"/>
        <s v="Cc* Crumbl Stlouispalindon Ut"/>
        <s v="GOOGLE *Google One g.co/helppay#CA REF #XX9216JT32AYK3EH"/>
        <s v="Thirsty Otter"/>
        <s v="Aplpay Lunds&amp;byerlysminnetonka Mn"/>
        <s v="BONFES PLUMBING HEATING AXX6633 MN REF #XX7539JVS66EA188"/>
        <s v="Withdrawal ACH BCU MORTGAGE TYPE: LOAN PAYMT ID: 9DRAFTING CO: BCU MORTGAGE NAME: JEFF TRUITT Entry Class Code: WEB ACH Trace Number: 231271360156730"/>
        <s v="Sp Rch - Spyra Us San Francisco Ca"/>
        <s v="Withdrawal ACH CITY OF CHANHASS TYPE: UTIL BILL ID: XX5331 CO: CITY OF CHANHASS Entry Class Code: ACH Trace Number: XX3234"/>
        <s v="7diamonds Apparel Tustin Ca"/>
        <s v="Boston Duck Tours"/>
        <s v="MSP AIRPORT PARKING SAINT PAUL          MN"/>
        <s v="Withdrawal ACH RILEY CROSSING C TYPE: XX8412 ID: XX9040 CO: RILEY CROSSING C Entry Class Code: ACH Trace Number: XX3116"/>
        <s v="Benny's Bigfoot Bbq Excelsior Mn"/>
        <s v="Boston Tea Party Boston Ma"/>
        <s v="Deposit ACH EMPYREAN SOLUTIO TYPE: XX9000 ID: XX3620 CO: EMPYREAN SOLUTIO Entry Class Code: ACH Trace Number: XX9712"/>
        <s v="Qdoba Mexican Grill"/>
        <s v="Aplpay Tst* Yankee Lboston Ma"/>
        <s v="Ben &amp; Jerry's"/>
        <s v="Bottle Rocket Term 1st. Paul Mn"/>
        <s v="Cisco Brewers"/>
        <s v="Cisco Seaport"/>
        <s v="Rowes Wharf"/>
        <s v="Tst* The Barking Craboston Ma"/>
        <s v="Back Bay Social Clubboston Ma"/>
        <s v="Boston Childrens"/>
        <s v="Fenway Park Concessions"/>
        <s v="Pink Taco"/>
        <s v="Tst* Harpoon Breweryboston Ma"/>
        <s v="Aplpay East Broadwaysouth Boston Ma"/>
        <s v="Reelhouse"/>
        <s v="Tst* Night Shift -eseverett Ma"/>
        <s v="MSP HUDSON ST2295 22SAINT PAUL          MN"/>
        <s v="Fenway Park"/>
        <s v="Ls Bluff Creek Golf Co Xxxxxx5685 Mn"/>
        <s v="Westin Hotels &amp; Resorts"/>
        <s v="Whole Foods Market"/>
        <s v="Capital Burger 02134boston Ma"/>
        <s v="Davio's"/>
        <s v="Kaisushigrill.com Chanhassen Mn"/>
        <s v="Deposit Dividend Split Rate Annual Percentage Yield Earned 2.67% from 07/01/24 through 07/31/24"/>
        <s v="Mbta Boylston 0000 Boston Ma"/>
        <s v="Msp Pod1 Shoyu 00-08philadelphia Pa"/>
        <s v="Withdrawal ACH RILEY CROSSING C TYPE: XX8412 ID: XX9040 CO: RILEY CROSSING C Entry Class Code: ACH Trace Number: XX5456"/>
        <s v="Amazon Music*RV63X5RV0 XX-3080 WA REF #XX9216K5335E1WAW"/>
        <s v="Msp Sunshine Taxi # Excelsior Mn"/>
        <s v="NATIONAL CAR R011706ALBUQUERQUE         NM"/>
        <s v="NATIONAL CAR R015111SAINT LOUIS         MO"/>
        <s v="NATIONAL CAR R017208FORT MYERS          FL"/>
        <s v="NATIONAL CAR R018420WEST COLUMBIA       SC"/>
        <s v="NATIONAL CAR R018701COLLEGE PARK        GA"/>
        <s v="Tst* X01 - Z&amp;h 739 Lwayzata Mn"/>
        <s v="X0002n Ummc Parking Minneapolis Mn"/>
        <s v="Birchs On The Lake 1long Lake Mn"/>
        <s v="Care.com"/>
        <s v="National Car Rxx5111saint Louis Mo"/>
        <s v="Roti Cuisine Of India"/>
        <s v="National Car Rxx7208fort Myers Fl"/>
        <s v="Aplpay Minnesota Spominneapolis Mn"/>
        <s v="Brick Oven Bus Llc Spring Park Mn"/>
        <s v="Tst* Back Channel Brewin Spring Park Mn"/>
        <s v="Naturally Nourished Cork IE REF #XX0916KV10QW8TZS"/>
        <s v="Bachman's Eden Praireden Prairie Mn"/>
        <s v="Cc Filson Minneapolis Mn"/>
        <s v="X0020n Southdale Paredina Mn"/>
        <s v="Aplpay Tst* Hawaii Peden Prairie Mn"/>
        <s v="Newslink"/>
        <s v="Withdrawal ACH RILEY CROSSING C TYPE: XX8412 ID: XX9040 CO: RILEY CROSSING C Entry Class Code: ACH Trace Number: XX3552"/>
        <s v="Aplpay Fsp*oak Glen Stillwater Mn"/>
        <s v="Fsp*oak Glen Golf Costillwater Mn"/>
        <s v="The Good Egg"/>
        <s v="Aplpay B &amp; K Struck Frederic Wi"/>
        <s v="Aplpay Balsam Lake Tbalsam Lake Wi"/>
        <s v="Gertens"/>
        <s v="NORTHERN STAR EVENTS XX-2300 MN REF #XX2258E80FW4P1G7"/>
        <s v="Nosta Cork Irl 87.80 @ 0xxx0001.xxx1891 Eur"/>
        <s v="Withdrawal ACH RILEY CROSSING C TYPE: XX8412 ID: XX9040 CO: RILEY CROSSING C Entry Class Code: ACH Trace Number: XX6522"/>
        <s v="Deposit ACH EMPYREAN SOLUTIO TYPE: XX9000 ID: XX3620 CO: EMPYREAN SOLUTIO Entry Class Code: ACH Trace Number: XX8956"/>
        <s v="Es Lacrosse Chanhasschanhassen Mn"/>
        <s v="Deer Run Llc"/>
        <s v="MTKA YOUTH LAX WWW.MTKALAX.OMN REF #XX9216KN0005LK3K"/>
        <s v="Ritual"/>
        <s v="Withdrawal ACH MN DIR ACH TYPE: CONTRIB ID: XX7162 CO: MN DIR ACH NAME: XX2601 Entry Class Code: WEB ACH Trace Number: XX9411"/>
        <s v="GOOGLE *Google One g.co/helppay#CA REF #XX9216KR2ZBNGXMX"/>
        <s v="Ridgeview Medical Cewaconia Mn"/>
        <s v="Tequila Jacks"/>
        <s v="Aplpay Msp Airp The Saint Paul Mn"/>
        <s v="BONFES PLUMBING HEATING AXX6633 MN REF #XX7539KTS66GJZT5"/>
        <s v="Withdrawal ACH CITY OF CHANHASS TYPE: UTIL BILL ID: XX5331 CO: CITY OF CHANHASS Entry Class Code: ACH Trace Number: XX8476"/>
        <s v="SOMA2 CORK IE REF #XX4361KW00LDVRL6"/>
        <s v="Doolin Ferry Companykilfenora Co"/>
        <s v="Fh* Aran Bike Hire Aran Islands Co"/>
        <s v="Withdrawal at ATM #XX0648 Dingle Bay ATM Dingle IE Card 5404"/>
        <s v="Bakers"/>
        <s v="BEEHIVE HUTS VENTRY IE REF #XX6366KXFT49LN6W"/>
        <s v="DINGLE GOLD &amp; SILVERSMI KERRY IE REF #XX0746KY7WZ6BHLT"/>
        <s v="DUN BEAG VISITORS CENTRE TRALEE IE REF #XX9769KYSRS97X6L"/>
        <s v="EALU FOOD BALLYFERRITERIE REF #XX9769KYSRS97WD4"/>
        <s v="KRUGERS BAR TRALEE IE REF #XX9769KYSRS6H1AH"/>
        <s v="LAPPS QUAY CAR PARK CORK IE REF #XX6366KXGYQ0F8AP"/>
        <s v="MURPHYS PUB DINGLE IE REF #XX0746KY7WWBRK7X"/>
        <s v="Supervalu"/>
        <s v="THE FISH BOX 02 DINGLE IE REF #XX0746KY7X18X48S"/>
        <s v="Castlewood House Kerry IE REF #XX2753KHP9E45R5B"/>
        <s v="DIRECT ROUTE (LIMERICK) COONAGH IE REF #XX0746KZ7X2TGF9J"/>
        <s v="HALPINS SERVICE STATIO NEWMARKET ON IE REF #XX4361KZx3654E1N"/>
        <s v="Leonardo Htl Galway Galway"/>
        <s v="SPAR DINGLE DINGLE IE REF #XX4361KZ01KDVK7D"/>
        <s v="TI JOE WATTYS CO GALWAY IE REF #XX4361KZXX6676Z5"/>
        <s v="TI JOE WATTYS CO GALWAY IE REF #XX4361KZXX6677BH"/>
        <s v="TI JOE WATTYS CO GALWAY IE REF #XX4361KZXX6677QA"/>
        <s v="TIG BHRIC BALLYFERRITERIE REF #XX0746KZ7X0E1VH1"/>
        <s v="UTS TECHNOLOGIES LTD C LAHINCH IE REF #XX4361KZ02FWYV0X"/>
        <s v="Aplpay Limerick Stralimerick City"/>
        <s v="ARAN ISLANDS HOTEL GALWAY IE REF #XX0746L07X48F0NY"/>
        <s v="ARAN ISLANDS HOTEL GALWAY IE REF #XX0746L07X499FBX"/>
        <s v="Discover Limerick Dalimerick Ie"/>
        <s v="THE BAR INISMORE IE REF #XX0746L07X7PFLA4"/>
        <s v="Aplpay Bunratty Admibunratty Co C"/>
        <s v="CLIFFS OF MOHER VISITO LISCANNOR IE REF #XX4361L100LYA7BT"/>
        <s v="Cois Tra, Rugged Retclifden Ir"/>
        <s v="Curragower Limerick IE REF #XX4893L13XEXHHH1"/>
        <s v="Curragower Limerick IE REF #XX4893L13XEXHHLY"/>
        <s v="DUNNES HARVEYS QUAY HENRY ST IE REF #XX9769L1SRVD0HQ7"/>
        <s v="KATIE DALYS BAR LIMERICK IE REF #XX6366L0FT54VJFA"/>
        <s v="BALLYBUNION GOLF CLUB BALLYBUNNION IE REF #XX4361LXX0713L2"/>
        <s v="BALLYBUNION GOLF CLUB BALLYBUNNION IE REF #XX4361LXX0713MW"/>
        <s v="BALLYBUNION GOLF CLUB BALLYBUNNION IE REF #XX4361LXX0713P5"/>
        <s v="DG MCCARTHY CATERING L V31RX37 IE REF #XX4361L200LTXH37"/>
        <s v="DG MCCARTHY CATERING L V31RX37 IE REF #XX4361L200LTXHB6"/>
        <s v="DIRECT ROUTE (LIMERICK) COONAGH IE REF #XX0746L27XETFN0B"/>
        <s v="DIRECT ROUTE (LIMERICK) COONAGH IE REF #XX0746L27XJ7ATVA"/>
        <s v="LIMERICK STRAND HOTEL RECLIMERICK CITYIE REF #XX6366L1G2FDYW3P"/>
        <s v="NYA*Strand Leisure Inv XX0040 IE REF #XX2465L1677P3RLJ"/>
        <s v="NYA*Strand Leisure Inv XX0040 IE REF #XX2465L1677TDETT"/>
        <s v="TRIPADMIT DUBLIN IE REF #XX0905L2EHM6NQJ3"/>
        <s v="WWW.KYLEMOREABBEY.COM CONNEMARA IE REF #XX0905L2EHM6PJB9"/>
        <s v="CONNEMARA SANDS HOTEL H71X309 IE REF #XX4361LXX2095RTX"/>
        <s v="DIRECT ROUTE (LIMERICK) COONAGH IE REF #XX0746L37XFQ28X2"/>
        <s v="Home Chef"/>
        <s v="Veldons Seafarer Bar &amp; Letterfrack IE REF #XX0746L37XM3H9M7"/>
        <s v="BRASS FOX WICKLOW WICKLOW TOWN IE REF #XX4361L4026ZVXMJ"/>
        <s v="BRASS FOX WICKLOW WICKLOW TOWN IE REF #XX4361L4026ZVXQ9"/>
        <s v="Deposit Dividend Split Rate Annual Percentage Yield Earned 1.63% from 08/01/24 through 08/31/24"/>
        <s v="Duffy's Tavern And Motor Inn"/>
        <s v="G.B.C. RESTAURANT LTD CO GALWAY . IE REF #XX6366L3J3MVZZMD"/>
        <s v="Mountain Warehouse GWY Galway IE REF #XX8750L3022DKRWF"/>
        <s v="O SHEAS CORNER WICKLOW TOWN IE REF #XX4361L4026Z8413"/>
        <s v="O SHEAS CORNER WICKLOW TOWN IE REF #XX4361L4026Z84F3"/>
        <s v="O SHEAS CORNER WICKLOW TOWN IE REF #XX4361L4026Z84YR"/>
        <s v="River Deep Mountain High GALWAY IE REF #XX4893L43XFV9TT2"/>
        <s v="SPANISH ARCH CARPARK H91V6RR IE REF #XX4361L400A91TDR"/>
        <s v="SPAR MAINGUARD STREET GALWAY IE REF #XX4361LXX2499S9B"/>
        <s v="The Bridge Tavern"/>
        <s v="THE FRONT DOOR GALWAY IE REF #XX4361L4005JGKJY"/>
        <s v="THE FRONT DOOR GALWAY IE REF #XX4361L4005JKASR"/>
        <s v="WICKLOW TALLAGHT IE REF #XX6366L3HH23ERMV"/>
        <s v="Apache Wicklow Town Wicklow IE REF #XX4743L3006RYS3G"/>
        <s v="AplPay DUBLIN AIRPORDUBLIN              IR"/>
        <s v="AplPay SERVY TECHNOLDUBLIN 1            IR"/>
        <s v="BELMONT DEMESNE DELGANY IE REF #XX6366L5EX8TA37N"/>
        <s v="BLUE SEAFOOD RESTAURAN WICKLOW TOWN IE REF #XX4361L601TFWLR2"/>
        <s v="COILLTECUIDEACHTAGUIOM RATHDRUM IE REF #XX4361L601LJBF32"/>
        <s v="EAK Ireland Treetop WalksLouth IE REF #XX4893L53XG5HMBL"/>
        <s v="HERTZ RAC.          WEXFORD             IR"/>
        <s v="NYA*Coillte CGA XX8873 IE REF #XX2465Lx3939QV6J"/>
        <s v="Roots Restaurant"/>
        <s v="TA SES PUB WICKLOW TOWN IE REF #XX4361L601PNB740"/>
        <s v="THE MILL STORE RATHDRU A67AX94 IE REF #XX4361L601K278TF"/>
        <s v="THE TEMPLE BAR TRADING CODUBLIN IE REF #XX6366L5EX8PSRZB"/>
        <s v="THE TEMPLE BAR TRADING CODUBLIN IE REF #XX6366L5EX8PST4P"/>
        <s v="TST-JW Sweetman New Dublin IE REF #XX8750L502GEMRNM"/>
        <s v="VINTAGE COCKTAIL CLUB DUBLIN 2 IE REF #XX0746L67Y3WLAP5"/>
        <s v="AMAZON MARKETPLACE NAMZN.COM/BILL       WA"/>
        <s v="AplPay ANTHROPOLOGIEMAPLE GROVE         MN"/>
        <s v="CUB FOODS 1636 0163 CUB.COM             MN"/>
        <s v="MISTER CAR WASH #0606 ST LOUIS PARKMN"/>
        <s v="SCOUTING* RENEWAL FEIRVING              TX"/>
        <s v="TEMPLE BAR PUB DUBLIN 2 IE REF #XX0746L77Y3MSVG4"/>
        <s v="THE CLARENCE HOTEL DUBLIN 2 IE REF #XX0746L77Y87N183"/>
        <s v="THE NORSEMAN DUBLIN IE REF #XX0746L77Y40DDY9"/>
        <s v="THE SHACK RESTAURANT DUBLIN IE REF #XX0746L77Y4431EP"/>
        <s v="CITY OF WACONIA 6500WACONIA             MN"/>
        <s v="TST*OLIVES FRESH EXCEL EXCELSIOR MN00040709019916116414AA"/>
        <s v="ALL SEASONS GARMENT CHANHASSEN          MN"/>
        <s v="Bliss Nails"/>
        <s v="BLVD *FACE FOUNDRIE WAYXX-7151 MN REF #XX4500L8EJ609F5S"/>
        <s v="AplPay LS BLUFF CREECHASKA              MN"/>
        <s v="CITY OF CHANHASSEN 6CHANHASSEN          MN"/>
        <s v="TST* MAYNARDS INSIDEEXCELSIOR           MN"/>
        <s v="AplPay GLEN LAKE GOLMINNETONKA          MN"/>
        <s v="GLEN LAKE GOLF      MINNETONKA          MN"/>
        <s v="LUNDS&amp;BYERLYS GLENLAMINNETONKA          MN"/>
        <s v="SHOREWOOD TRUE VALUEEXCELSIOR           MN"/>
        <s v="WESTWOOD COMMUNITY CExcelsior           MN"/>
        <s v="AplPay MINNEAPOLIS ASAINT PAUL          MN"/>
        <s v="Deposit ACH EMPYREAN SOLUTIO TYPE: XX9000 ID: XX3620 CO: EMPYREAN SOLUTIO Entry Class Code: ACH Trace Number: XX8240"/>
        <s v="Hallmark"/>
        <s v="AplPay TST* NORTH COEXCELSIOR           MN"/>
        <s v="CENTURYLINK LUMEN        800-244-1111 LA REF #2469216LG363E6GVF"/>
        <s v="HOME CHEF           CHICAGO             IL"/>
        <s v="TST* NORTH COOP 0013EXCELSIOR           MN"/>
        <s v="AMAZON MKTPL*BW43E9B33 AMZN.COM/BILLWA7CV6Z3F4DU6"/>
        <s v="OPENAI *CHATGPT SUBSSAN FRANCISCO       CA"/>
        <s v="AMAZON MKTPL*L75XS4YP3 AMZN.COM/BILLWA5B4HSND3X3H"/>
        <s v="NORTH STAR DONUTS   Victoria            MN"/>
        <s v="PRIME VIDEO CHANNELSAMZN.COM/BILL       WA"/>
        <s v="SLATWALLACC         3346556132          FL"/>
        <s v="SQ *NORTH STAR DONUTS Victoria MN REF #XX9216LK2ZEFHYNL"/>
        <s v="TST* LAGOS TACOS EXCELSIOXX-8495 MN REF #XX3746LK2XPR1HHK"/>
        <s v="U OF M-ARB APPLEHOUSE CHASKA MN REF #XX3829LL0X2Y07VH"/>
        <s v="AMAZON.COM*4D8IW4CD3 AMZN.COM/BILLWA53KIQ0LNGLB"/>
        <s v="AplPay JIMMY JOHNS -CHANHASSEN          MN"/>
        <s v="AplPay TST* MAYNARDSEXCELSIOR           MN"/>
        <s v="DIRECTPAY FULL BALANCESEE DETAILS OF YOUR NEXT DIRECTPAY BELOW"/>
        <s v="TST* PRIVATE PROPERTLEXINGTON           SC"/>
        <s v="Withdrawal ACH MN DIR ACH TYPE: CONTRIB ID: XX7162 CO: MN DIR ACH NAME: XX2601 Entry Class Code: WEB ACH Trace Number: XX9201"/>
        <s v="PIZZA 9 THE LANDING ALBUQUERQUE         NM"/>
        <s v="Queen City Gifts Andcharlotte Nc"/>
        <s v="RACETRAC2324  023242COLLEGE PARK        GA"/>
        <s v="Sadies Of * Sadies Oalbuquerque Nm"/>
        <s v="GOOGLE *Google One XX-3987 CA REF #XX9216LP328RA052"/>
        <s v="SBARROS CONC C RSW  FORT MYERS          FL"/>
        <s v="Scott's Fish Market"/>
        <s v="AplPay ARCADE HIGHWAExcelsior           MN"/>
        <s v="AplPay SHELL SERVICEVICTORIA            MN"/>
        <s v="AplPay TST* ADELE'S EXCELSIOR           MN"/>
        <s v="BABY BLUE           Excelsior           MN"/>
        <s v="CUB FOODS #1636 0000SHOREWOOD           MN"/>
        <s v="EXCELSIOR-LAKE MINNEExcelsior           MN"/>
        <s v="GOOGLE*SVCSGNS.3349- G.CO HELPPAY#"/>
        <s v="Sei Xxxxx Xxxx8495 Florissant Mo"/>
        <s v="RRPC 2              Excelsior           MN"/>
        <s v="AplPay MARATHON PETRExcelsior           MN"/>
        <s v="BONFES PLUMBING HEATING AXX6633 MN REF #XX7539LRS66JVSSK"/>
        <s v="SLACK T074985K686   SAN FRANCISCO       CA"/>
        <s v="Slack Txx4985k686 San Francisco Ca"/>
        <s v="Smashburger"/>
        <s v="SON OF A BUN VICTORIAN QUAIE REF #XX4361KV00N6NXJY"/>
        <s v="Withdrawal ACH CITY OF CHANHASS TYPE: UTIL BILL ID: XX5331 CO: CITY OF CHANHASS Entry Class Code: ACH Trace Number: XX4175"/>
        <s v="CHASKA PANDR 6500000CHASKA              MN"/>
        <s v="EXXONMOBIL 9870     FORT MYERS          FL"/>
        <s v="Sp Harlestons Mount Pleasant Sc"/>
        <s v="SUNSHINE TAXI ?     Saint Paul          MN"/>
        <s v="TOTAL WINE AND MORE MINNETONKA          MN"/>
        <s v="TA #035 EFFINGHAM 00EFFINGHAM           IL"/>
        <s v="AplPay LAKEWINDS NATMINNETONKA          MN"/>
        <s v="Tax Payment to Minnesota Department Of Revenue"/>
        <s v="TENNCAB             Nashville           TN"/>
        <s v="TGI FRIDAY'S        ATLANTA             GA"/>
        <s v="THE CLARENCE HOTEL DUBLIN 2 IE REF #XX0746L67Y35FPG4"/>
        <s v="The Clarence Hotel Idublin 2 Ir"/>
        <s v="The Dean Hotel"/>
        <s v="AplPay EXCELSIOR BREExcelsior           MN"/>
        <s v="EXCELSIOR BREWING COExcelsior           MN"/>
        <s v="HAZELWOOD FOOD AND D877-8144102         MN"/>
        <s v="AplPay CUB FOODS #16SHOREWOOD           MN"/>
        <s v="AplPay CVS PHARMACY CHANHASSEN          MN"/>
        <s v="INN ON LAKE SUPERIORDULUTH              MN"/>
        <s v="O'SHAUGHNESSY DISTIL877-8144102         MN"/>
        <s v="THE DEAN HOTEL CORK IE REF #XX0746NP88X6HEN8"/>
        <s v="TST* SURLY BREWING CMINNEAPOLIS         MN"/>
        <s v="BOXCAR BAR          MINNEAPOLIS         MN"/>
        <s v="DEER RUN GC         VICTORIA            MN"/>
        <s v="TST* FAT PANTS BREWIEDEN PRAIRIE        MN"/>
        <s v="THE DEAN HOTEL IE000CORK                IR"/>
        <s v="Amazon Music*OG4MN41R3 XX-3080 WA REF #XX9216M332ER4FRE"/>
        <s v="SP KINGFIFTH        WORTHINGTON         OH"/>
        <s v="THOMPSONS CORK IE REF #XX9769KSSRS4P28G"/>
        <s v="Withdrawal ACH ILD529 DIR ACH TYPE: CONTRIB ID: XX2584 CO: ILD529 DIR ACH Entry Class Code: ACH Trace Number: XX5779"/>
        <s v="2025 GRANDMAS MARATHBOSTON              MA"/>
        <s v="THOMPSONS CORK IE REF #XX9769NLSRSDHKEZ"/>
        <s v="THOMPSONS CORK IE REF #XX9769NPSRS4ZPXY"/>
        <s v="Withdrawal ACH CPENERGY MNGCO TYPE: MGC ACH EB ID: 1XX1140S CO: CPENERGY MNGCO NAME: CENTERPOINT ENERGY OTP Entry Class Code: WEB ACH Trace Number: XX0646"/>
        <s v="THOMPSONS CORK IE REF #XX9769NPSRS50W16"/>
        <s v="355 GREAT CLIPS AT SEXCELSIOR           MN"/>
        <s v="AplPay TST* TONKA PIMINNETONKA          MN"/>
        <s v="TST* UNMAPPED BREWINMINNETONKA          MN"/>
        <s v="AplPay DICK'S SPORTICORAOPOLIS          PA"/>
        <s v="AplPay GRUBHUB*DELSUNEW YORK            NY"/>
        <s v="AR* DICKS HOUSE OF SSAN FRANCISCO       CA"/>
        <s v="J CREW FACTORY #1006SAINT LOUIS P       MN"/>
        <s v="TST* THE BLOCK 00016SAINT LOUIS PAR     MN"/>
        <s v="AplPay HAZELWOOD FOO877-8144102         MN"/>
        <s v="PROJECTOR 515899    HOUSTON             TX"/>
        <s v="ANTHROPOLOGIE.COM   PHILADELPHIA        PA"/>
        <s v="AplPay ANNA NAILS 08WAYZATA             MN"/>
        <s v="AplPay KOWALSKI'S EXEXCELSIOR           MN"/>
        <s v="SP MAYABRENNER      LOS ANGELES         CA"/>
        <s v="AplPay SCHOLASTIC BOLAKE MARY           FL"/>
        <s v="TRACTOR BREWING COMPALBUQUERQUE         NM"/>
        <s v="AplPay U OF M-ARB APCHASKA              MN"/>
        <s v="AplPay JIMMY JOHNS -SHAKOPEE            MN"/>
        <s v="THE POINTE GRILL ANDPRIOR LAKE          MN"/>
        <s v="AMAZON MKTPL*J639S8ZX3 AMZN.COM/BILLWA3NBXDWNFXVY"/>
        <s v="AMAZON MKTPL*WC3012W23 AMZN.COM/BILLWA5Q0ALIXSJSA"/>
        <s v="AMAZON.COM*PH38099M3 AMZN.COM/BILLWA6RGR21JKPP3"/>
        <s v="AplPay FLOYD'S 99 CHCHANHASSEN          MN"/>
        <s v="AMAZON MKTPL*WI6BF4WW3 AMZN.COM/BILLWA2SK2IYCX9C9"/>
        <s v="HI 5 LIQUOR 13525905VICTORIA            MN"/>
        <s v="WINCHESTER AND RYE 0VICTORIA            MN"/>
        <s v="AplPay HOLIDAY STATISHOREWOOD           MN"/>
        <s v="VIOC 010018 0100    SHOREWOOD           MN"/>
        <s v="WALMART.COM 80092562BENTONVILLE         AR"/>
        <s v="Withdrawal ACH MN DIR ACH TYPE: CONTRIB ID: XX7162 CO: MN DIR ACH NAME: XX2601 Entry Class Code: WEB ACH Trace Number: XX3855"/>
        <s v="LONESOME PINE RESTAUDEERWOOD            MN"/>
        <s v="Withdrawal at ATM #XX1733 EFT x5039 Tamefish Lake Roa Deerwood MN Card 5404"/>
        <s v="AplPay RED RAVEN    Crosby              MN"/>
        <s v="AplPay SUBWAY       CROSBY              MN"/>
        <s v="BRICK &amp; BOURBON- MAPMAPLE GROVE         MN"/>
        <s v="CUYUNA OUTFITTERS, LCrosby              MN"/>
        <s v="GOOGLE *Google One XX-3987 CA REF #XX9216MM2ZB0MLFD"/>
        <s v="RED RAVEN           Crosby              MN"/>
        <s v="STONES THROW GOLF COMILACA              MN"/>
        <s v="TM *TICKETMASTER    LOS ANGELES         CA"/>
        <s v="AMAZON MKTPL*BI3VO73G3 AMZN.COM/BILLWA49PNG3M45ZM"/>
        <s v="CHANHASSEN BREWING CCHANHASSEN          MN"/>
        <s v="Withdrawal ACH BCU MORTGAGE TYPE: LOAN PAYMT ID: 9DRAFTING CO: BCU MORTGAGE NAME: JEFF TRUITT Entry Class Code: WEB ACH Trace Number: 231271360157483"/>
        <s v="Withdrawal ACH BCU MORTGAGE TYPE: LOAN PAYMT ID: 9DRAFTING CO: BCU MORTGAGE NAME: JEFF TRUITT Entry Class Code: WEB ACH Trace Number: 231271360157611"/>
        <s v="Withdrawal ACH CITY OF CHANHASS TYPE: UTIL BILL ID: XX5331 CO: CITY OF CHANHASS Entry Class Code: ACH Trace Number: XX9141"/>
        <s v="AMZN MKTP US*Y12FG8NZ3 AMZN.COM/BILLWA1CNAF40WFPA"/>
        <s v="AplPay MCW 1602-MinnMINNETONKA          MN"/>
        <s v="AplPay TRADER JOE S MINNETONKA          MN"/>
        <s v="AplPay WWW.K-PHOTOGRWAYZATA             MN"/>
        <s v="LUNDS&amp;BYERLYS CHANHACHANHASSEN          MN"/>
        <s v="SPEEDWAY            1-800-643-1949      OH"/>
        <s v="TREERING            SAN MATEO           CA"/>
        <s v="ZENFOLIO ONLINE PHOTREDWOOD CITY        CA"/>
        <s v="BCS*MINNETONKA COMMUEXCELSIOR           MN"/>
        <s v="CHANHASSEN BREWING CO CHANHASSEN MN REF #XX7539MRS66H5RS2"/>
        <s v="FOSS SWIM SCHOOL    EDEN PRAIRIE        MN"/>
        <s v="MCDONALD'S F23042 00WACONIA             MN"/>
        <s v="PLUNKETTS PEST CONTRMINNEAPOLIS         MN"/>
        <s v="AMAZON MKTPL*PY77X54U3 AMZN.COM/BILLWA1VNLUXC01JB"/>
        <s v="AplPay AIRBNB * HMTPSAN FRANCISCO       CA"/>
        <s v="AplPay SUBWAY 71167 ST. BONIFACIUS      MN"/>
        <s v="LAKESHORE MARKET &amp; MEXCELSIOR           MN"/>
        <s v="TST* DARIO RESTAURANMINNEAPOLIS         MN"/>
        <s v="SP FREEFLYAPPAREL   CHARLESTON          SC"/>
        <s v="SP THURSDAY BOOT COMNEW YORK            NY"/>
        <s v="WWW.STONEBROOKE.COM SHAKOPEE            MN"/>
        <s v="AMAZON MARK* G53WA7YH3 HTTPSAMAZON.CWA REF #XX1134MY001QK6G0"/>
        <s v="AplPay PARTY CITY BO800-727-8924        NJ"/>
        <s v="HUNTERCOURSE.COM XX-2628 CD REF #XX0340MZ34E5WN9M"/>
        <s v="AMAZON MARK* PA9Y29VO3 HTTPSAMAZON.CWA REF #XX1134MZx0343DFV"/>
        <s v="AMAZON RETA* KD20Z1BM3 WWW.AMAZON.COWA REF #XX1134MZ0039E606"/>
        <s v="AplPay TRADER JOE S BLOOMINGTON         MN"/>
        <s v="TOTAL WINE AND MORE BLOOMINGTON         MN"/>
        <s v="Amazon Music*MU7NH23I3 XX-3080 WA REF #XX9216N22XF9X72Q"/>
        <s v="RAO MNHUNTFISH VEHICLE DNR.STATE.MN.MN REF #XX9216N136A5R64K"/>
        <s v="Transportation Plus"/>
        <s v="AMAZON.COM*ZJ85D67B3 AMZN.COM/BILLWA6FE7LPYY4MK"/>
        <s v="AplPay CITY OF EDINAEDINA               MN"/>
        <s v="AMAZON MARK* 8L1KF2GX3 HTTPSAMAZON.CWA REF #XX1134N5001EE79D"/>
        <s v="AMAZON MARK* UP7TF5HU3 HTTPSAMAZON.CWA REF #XX1134N4002Z8LAN"/>
        <s v="SCHEELS ALL SPORTS  FARGO               ND"/>
        <s v="AMAZON.COM*4264P8A43 AMZN.COM/BILLWA7CWK26998EJ"/>
        <s v="TRANSPORTATION PLUS NEW HOPE            MN"/>
        <s v="AMAZON MKTPL*6Q1X73Q43 AMZN.COM/BILLWA1V91KDHTP9K"/>
        <s v="AMAZON.COM*N35Y88E23 AMZN.COM/BILLWA72Z9BXMQUGP"/>
        <s v="AMZN MKTP US*JH60H9LP3 AMZN.COM/BILLWA4S4VHXQWOJT"/>
        <s v="AplPay SP FMSCMARKETCOON RAPIDS         MN"/>
        <s v="AplPay WAYZATA CAFE WAYZATA             MN"/>
        <s v="DAIRY QUEEN #46123 0WACONIA             MN"/>
        <s v="AMAZON MARK* LQ2MN89J3 HTTPSAMAZON.CWA REF #XX1134NXX0157HMD"/>
        <s v="JEFFERSONS RESTAURANLAWRENCE            KS"/>
        <s v="LYFT                855-280-0278        CA"/>
        <s v="MOULTRIE MOBILE     833-909-1768        AL"/>
        <s v="Tst* 3 Pepper Burritfort Myers Fl"/>
        <s v="Tst* El Jefes - Bostboston Ma"/>
        <s v="AplPay JOCK S NITCH LAWRENCE            KS"/>
        <s v="AplPay SAMPLER STORELENEXA              KS"/>
        <s v="KC CHIEFS - TICKETINKansas City         MO"/>
        <s v="THE ROOST           LAWRENCE            KS"/>
        <s v="AplPay 535 - MADE INLAS VEGAS           NV"/>
        <s v="MARATHON PETRO68692 Excelsior           MN"/>
        <s v="NATIONAL CAR R015103KANSAS CITY         MO"/>
        <s v="RAO MNHUNTFISH VEHICLE DNR.STATE.MN.MN REF #XX9216N933HQ4TSW"/>
        <s v="TST* CARIBOU COFFEE EXCELSIOR           MN"/>
        <s v="SP NORMAL BRAND COR SAINT LOUIS         MO"/>
        <s v="TST* DUKE'S ON 7 300MINNETONKA          MN"/>
        <s v="AMAZON MKTPL*I18PB2LR3 AMZN.COM/BILLWA3HIDAKQJW5D"/>
        <s v="TST* FIREFLY GRILL2 EFFINGHAM           IL"/>
        <s v="Tst* Fox And The Kniboston Ma"/>
        <s v="MACKENTHUN'S FINE FOWACONIA             MN"/>
        <s v="Withdrawal ACH Mis Amigos Presc TYPE: ID: XX7393 NAME: BCU CO: Mis Amigos Presc Entry Class Code: WEB ACH Trace Number: XX1352"/>
        <s v="AplPay CHILDREN'S THMINNEAPOLIS         MN"/>
        <s v="HEWING HOTEL HEWING MINNEAPOLIS         MN"/>
        <s v="MT. BACHELOR ECOMMERBend                OR"/>
        <s v="TST* NEWSLINK OF NASNASHVILLE           TN"/>
        <s v="SP 7DIAMONDS APPARELTUSTIN              CA"/>
        <s v="AMAZON MKTPL*W42IF5SK3 AMZN.COM/BILLWA2DF0PYUBZV3"/>
        <s v="KKINACONIKKEIANDPISCHOPKINS             MN"/>
        <s v="AplPay KIDSHAIR_303 MINNETONKA          MN"/>
        <s v="CHASKA CLUB FOODS   CHASKA              MN"/>
        <s v="DETELLO'S PIZZA &amp; PACHASKA              MN"/>
        <s v="USPS PO 2645930345 0MINNETONKA          MN"/>
        <s v="Tst* The Smokehouse Hilton Head Isl Sc"/>
        <s v="TST-Happy Days Deli Cork IE REF #XX8750NL01XAA73L"/>
        <s v="AMAZON MKTPL*FR11E3XL3 AMZN.COM/BILLWA5U6ZS90YB6V"/>
        <s v="W Boston Hotel"/>
        <s v="AplPay SUMUP*JOHN O'CORK"/>
        <s v="BLVD   *FACE FOUNDRIWAYZATA             MN"/>
        <s v="ON S KITCHEN        SAINT PAUL          MN"/>
        <s v="AMAZON.COM*BA7CR3TX3 AMZN.COM/BILLWA23BKRQFQYEK"/>
        <s v="AplPay THE WINERY ATWaconia             MN"/>
        <s v="BT*SHUTTERFLY, INC. REDWOOD CITY        CA"/>
        <s v="NO 21 OFF LICENCE CORK CITY IE REF #XX5733NL01ZFTNKT"/>
        <s v="Withdrawal ACH Mis Amigos Presc TYPE: ID: XX7393 NAME: BCU CO: Mis Amigos Presc Entry Class Code: WEB ACH Trace Number: XX8902"/>
        <s v="GOOGLE *Google One XX-3987 CA REF #XX9216NL3326SJK6"/>
        <s v="AplPay GOGLOW_476   SOUTH EDINA         MN"/>
        <s v="AplPay JJ S POKE    EDINA               MN"/>
        <s v="Withdrawal ACH DISCOVER TYPE: ID: XX0270 CO: DISCOVER NAME: TRUITT JEFF Entry Class Code: WEB ACH Trace Number: XX8469"/>
        <s v="BONFES PLUMBING HEATING AXX6633 MN REF #XX7539NMS66DGER4"/>
        <s v="Withdrawal ACH DISCOVER TYPE: ID: XX0270 CO: DISCOVER NAME: TRUITT JEFF Entry Class Code: WEB ACH Trace Number: XX8671"/>
        <s v="Deposit ACH EMPYREAN SOLUTIO TYPE: XX9000 ID: XX3620 CO: EMPYREAN SOLUTIO Entry Class Code: ACH Trace Number: XX5639"/>
        <s v="RVT*MTKA PUB SCHLS-WMINNETONKA          MN"/>
        <s v="Tesco"/>
        <s v="Withdrawal ACH ILD529 DIR ACH TYPE: CONTRIB ID: XX2584 CO: ILD529 DIR ACH Entry Class Code: ACH Trace Number: XX4983"/>
        <s v="Withdrawal ACH CITY OF CHANHASS TYPE: UTIL BILL ID: XX5331 CO: CITY OF CHANHASS Entry Class Code: ACH Trace Number: XX4521"/>
        <s v="Withdrawal ACH ILD529 DIR ACH TYPE: CONTRIB ID: XX2584 CO: ILD529 DIR ACH Entry Class Code: ACH Trace Number: XX9579"/>
        <s v="Withdrawal ACH ILD529 DIR ACH TYPE: CONTRIB ID: XX2584 CO: ILD529 DIR ACH NAME: 227 AXX3101 Entry Class Code: WEB ACH Trace Number: XX1369"/>
        <s v="Withdrawal ACH MN DIR ACH TYPE: CONTRIB ID: XX7162 CO: MN DIR ACH NAME: XX2601 Entry Class Code: WEB ACH Trace Number: XX2287"/>
        <s v="Withdrawal ACH MN DIR ACH TYPE: CONTRIB ID: XX7162 CO: MN DIR ACH NAME: XX2601 Entry Class Code: WEB ACH Trace Number: XX7631"/>
        <s v="AplPay TST* OLIVES FEXCELSIOR           MN"/>
        <s v="GLOBAL TRAVEL SERVICMinneapolis         MN"/>
        <s v="Withdrawal ACH MN DIR ACH TYPE: CONTRIB ID: XX7162 CO: MN DIR ACH NAME: XX2601 Entry Class Code: WEB ACH Trace Number: XX8241"/>
        <s v="Withdrawal at ATM #XX5400 La Grange Street ATM III 12 La Grange Street EMV Boston MA Card 5404"/>
        <s v="Withdrawal at ATM #XX6428 PAI ISO 101 COUNTY RD I BALSAM LAKE WI Card 5404"/>
        <s v="TIDE DRY CLEANERS EXEXCELSIOR           MN"/>
        <s v="AMAZON MKTPL*YL02E9T93 AMZN.COM/BILLWA2Z7V5VLTC65"/>
        <s v="TOTAL WINE AND MORE CHANHASSEN          MN"/>
        <s v="TST* CARIBOU COFFEE SAINT PAUL          MN"/>
        <s v="Shop 4721/ Centraal L2 Schiphol AirpNL REF #XX3601NP3790KR73"/>
        <s v="Withdrawal at ATM #XX6770 HUNTINGTON BAN 900 W 78TH ST CHANHASSEN MN Card 5404"/>
        <s v="SP UNRL.CO          SAINT PAUL          MN"/>
        <s v="AMAZON.COM*NF7YJ0JH3 AMZN.COM/BILLWA61EQ7ONV359"/>
        <s v="ANN TAYLOR LOFTCOM"/>
        <s v="SAMPLER STORES, INC LENEXA              KS"/>
        <s v="AMAZON MARK* AL0C96MK3 HTTPSAMAZON.CWA REF #XX1134NV0004H85D"/>
        <s v="AMAZON MARK* B70D46AY3 HTTPSAMAZON.CWA REF #XX1134NS001RXFFJ"/>
        <s v="AMAZON MKTPL*Z31XP7AI0 AMZN.COM/BILLWA38EU6246P7U"/>
        <s v="AplPay LUNDS&amp;BYERLYSCHANHASSEN          MN"/>
        <s v="Withdrawal at ATM #XX7803 TOFTE HOLIDA-XX6569 7235 W. HWY 61 TOFTE MN Card 5404"/>
        <s v="Withdrawal ATM Intl Fee VISA INTERNATIONAL SERVICE ASSESSMENT Card 5404"/>
        <s v="Withdrawal ACH Mis Amigos Presc TYPE: ID: XX7393 NAME: BCU CO: Mis Amigos Presc Entry Class Code: WEB ACH Trace Number: XX5872"/>
        <s v="YETI COOLERS, LLC   WILMINGTON          DE"/>
        <s v="Withdrawal CLAYTON HOTEL CORK FRO CORK CITY IE Date 01/31/24 XX 7011"/>
        <s v="Withdrawal GINOS GELATO DUBLIN 2 IE Date 01/24/24 XX 5814"/>
        <s v="AplPay EXCELSIOR CHREXCELSIOR           MN"/>
        <s v="BT*SOLO BRANDS LLC  SOUTHLAKE           TX"/>
        <s v="NIKE INC E-COMMERCE"/>
        <s v="2LEVY@TARGET CENTER MINNEAPOLIS         MI"/>
        <s v="AplPay MADEMOISELLE Saint Paul          MN"/>
        <s v="AplPay NORTH EAST PRCIRCLE PINES        MN"/>
        <s v="AplPay SCHEELS ALL SFARGO               ND"/>
        <s v="AplPay WAR FORGED PRChanhassen          MN"/>
        <s v="AXS.COM*TICKET RESALLOS ANGELES         CA"/>
        <s v="B RAMP 8066 08487002MINNEAPOLIS         MN"/>
        <s v="LEVY@ 2TARGET CENTERMINNEAPOLIS         MN"/>
        <s v="LUTHER FOODS        EXCELSIOR           MN"/>
        <s v="SP DR. DENNIS GROSS NEW YORK            NY"/>
        <s v="Deposit Dividend Split Rate Annual Percentage Yield Earned 2.37% from 11/01/24 through 11/30/24"/>
        <s v="THE BURTON CORPORATIBURLINGTON          VT"/>
        <s v="AplPay AMC SOUTHDALEEDINA               MN"/>
        <s v="TARGET              MINNETONKA          MN"/>
        <s v="underarmour.com     888-727-6687        MD"/>
        <s v="SP HELINOX          OAKLAND             CA"/>
        <s v="KOWALSKI'S EXCELSIOREXCELSIOR           MN"/>
        <s v="KWIK TRIP           CHANHASSEN          MN"/>
        <s v="Withdrawal ACH Mis Amigos Presc TYPE: ID: XX7393 NAME: BCU CO: Mis Amigos Presc Entry Class Code: WEB ACH Trace Number: XX8184"/>
        <s v="LUNA NAILS          Deephaven           MN"/>
        <s v="AMAZON MARK* B70D46AY3 HTTPSAMAZON.CWA REF #XX1134Px0005J0JZ"/>
        <s v="AMAZON MARK* B70D46AY3 HTTPSAMAZON.CWA REF #XX1134Px0005RR2R"/>
        <s v="AMAZON MARK* B70D46AY3 HTTPSAMAZON.CWA REF #XX1134Px0006M17Z"/>
        <s v="AMAZON MARK* B70D46AY3 HTTPSAMAZON.CWA REF #XX1134PXX0057D8T"/>
        <s v="EVERNOTE            REDWOOD CITY        CA"/>
        <s v="TST* PORZANA 0014034MINNEAPOLIS         MN"/>
        <s v="TST* SPOON AND STABLMINNEAPOLIS         MN"/>
        <s v="AplPay FAIRGROUNDS NMinneapolis         MN"/>
        <s v="AplPay JAXEN GREY NOMINNEAPOLIS         MN"/>
        <s v="THE STRAY DOG 739296612-3782855         MN"/>
        <s v="TST* COPPER HEN CAKEMINNEAPOLIS         MN"/>
        <s v="INOV-8 INC.         STE 6-303           MA"/>
        <s v="ONSTREET XX7275 MN REF #XX8930P8PVJXLMVP"/>
        <s v="ONSTREET XX7275 MN REF #XX8930P8PVJXLWYH"/>
        <s v="Withdrawal ACH Mis Amigos Presc TYPE: ID: XX7393 NAME: BCU CO: Mis Amigos Presc Entry Class Code: WEB ACH Trace Number: XX2010"/>
        <s v="TST* NEW JESTER RESTAURANEXCELSIOR MN REF #XX3746P9EJHSARA1"/>
        <s v="Deposit ACH EMPYREAN SOLUTIO TYPE: XX9000 ID: XX3620 CO: EMPYREAN SOLUTIO Entry Class Code: ACH Trace Number: XX1720"/>
        <s v="Withdrawal ACH CPENERGY MNGCO TYPE: MGC ACH EB ID: 1XX1140S CO: CPENERGY MNGCO NAME: CENTERPOINT ENERGY OTP Entry Class Code: WEB ACH Trace Number: XX8433"/>
        <s v="SHOREWOOD LIQUOR 931EXCELSIOR           MN"/>
        <s v="THE WINERY AT SOVEREWaconia             MN"/>
        <s v="AplPay KWIK TRIP    CHANHASSEN          MN"/>
        <s v="AplPay U OF M ARB F CHASKA              MN"/>
        <s v="AplPay LS PRIMP EXCEEXCELSIOR           MN"/>
        <s v="AplPay SP FLEURISH LEXCELSIOR           MN"/>
        <s v="DICK'S SPORTING GOODCORAOPOLIS          PA"/>
        <s v="LOFT 1598 RIDGEDALE MINNETONKA          MN"/>
        <s v="Withdrawal ACH Mis Amigos Presc TYPE: ID: XX7393 NAME: BCU CO: Mis Amigos Presc Entry Class Code: WEB ACH Trace Number: XX0281"/>
        <s v="AplPay STARBUCKS    800-782-7282        WA"/>
        <s v="AplPay HYLAND HILLS PYMOUTH             MN"/>
        <s v="AplPay THE ABUNDANT EXCELSIOR           MN"/>
        <s v="AplPay THE LOBBY COFExcelsior           MN"/>
        <s v="GOOGLE *Google One XX-3987 CA REF #XX9216PJ2Z82EMG6"/>
        <s v="HYLAND HILLS SKI AREPYMOUTH             MN"/>
        <s v="THREE RIVERS PARK DIPLYMOUTH            MN"/>
        <s v="AplPay CHASKA PANDR CHASKA              MN"/>
        <s v="BONFES PLUMBING HEATING AXX6633 MN REF #XX7539PKS66FDQP2"/>
        <s v="CROOKED PINT - CHASK952-3616794         MN"/>
        <s v="AplPay PLAY IT AGAINCHASKA              MN"/>
        <s v="HEARTBREAKERS BAR ANCHASKA              MN"/>
        <s v="LIONS TAP 0688800218EDEN PRAIRIE        MN"/>
        <s v="Withdrawal ACH CITY OF CHANHASS TYPE: UTIL BILL ID: XX5331 CO: CITY OF CHANHASS Entry Class Code: ACH Trace Number: XX9499"/>
        <s v="COV EDINA           EDINA               MN"/>
        <s v="ONSTREET XX7275 MN REF #XX8930PNS1B5AHJ7"/>
        <s v="Withdrawal ACH Mis Amigos Presc TYPE: ID: XX7393 NAME: BCU CO: Mis Amigos Presc Entry Class Code: WEB ACH Trace Number: XX3691"/>
        <s v="K TAILOR 92460099912CHASKA              MN"/>
        <s v="Withdrawal KINGS GALA CORK IE Date XX 5411"/>
        <s v="Withdrawal Lab82 Coffee Cork IE Date XX 5499"/>
        <s v="Withdrawal Retail in Motion LTD Dublin City IE Date XX 5309"/>
        <s v="USPS PO 2616400317 0CHANHASSEN          MN"/>
        <s v="Withdrawal SANO PIZZA CENTRE IE Date XX 5812"/>
        <s v="AMC 9640 ONLINE*9640LEAWOOD             KS"/>
        <s v="AMC EDEN PRAIRIE 18 EDEN PRAIRIE        MN"/>
        <s v="Withdrawal ACH BCU MORTGAGE TYPE: LOAN PAYMT ID: 9DRAFTING CO: BCU MORTGAGE NAME: JEFF TRUITT Entry Class Code: WEB ACH Trace Number: 231271360159282"/>
        <s v="SCHEELS             EDEN PRAIRIE        MN"/>
        <s v="Withdrawal The Shelbourne Bar Cork IE Date XX 5813"/>
        <s v="Withdrawal UNITY SHOP CORK IE Date XX 5499"/>
        <s v="THREE RIVERS WEB    PLYMOUTH            MN"/>
        <s v="TST* OLD CHICAGO - 5EDEN PRAIRIE        MN"/>
        <s v="ANGLERS BAR AND GRILHAYWARD             WI"/>
        <s v="AplPay HOLIDAY STATILINDSTROM           MN"/>
        <s v="AplPay KWIK TRIP #11SPOONER             WI"/>
        <s v="KWIK TRIP #1164 0001SPOONER             WI"/>
        <s v="WOODFORD BAR CORK CORK IE REF #XX0746NN88W8Q1R5"/>
        <s v="WOODFORD BAR CORK CORK IE REF #XX0746NN88WAWE5E"/>
        <s v="DEEP WATER GRILLE 54877-8144102         WI"/>
        <s v="WOODFORD BAR CORK CORK IE REF #XX0746NN88WD5W8J"/>
        <s v="AplPay CONTRAST COFFIronwood            MI"/>
        <s v="Deposit Dividend Split Rate Annual Percentage Yield Earned 2.42% from 12/01/24 through 12/31/24"/>
        <s v="SNOWRIVER BRB F&amp;B 00BESSEMER            MI"/>
        <s v="SNOWRIVER JCS RETAILWAKEFIELD           MI"/>
        <s v="SNOWRIVER MOUNTAIN-IWAKEFIELD           MI"/>
        <s v="SNOWRIVER-JCS F&amp;B 00WAKEFIELD           MI"/>
        <s v="Withdrawal ACH Mis Amigos Presc TYPE: ID: XX7393 NAME: BCU CO: Mis Amigos Presc Entry Class Code: WEB ACH Trace Number: XX2411"/>
        <s v="Draft 2304 Tracer XX0454"/>
        <s v="Draft 2311 Tracer XX0410"/>
        <s v="Draft 2308 Tracer XX6479"/>
        <s v="Draft 2306 Tracer XX3475"/>
        <s v="Draft 2307 Tracer XX0903"/>
        <s v="IN *SUPERIOR LAWN ANSAINT BONIFACIUS    MN"/>
        <s v="Withdrawal ACH AMEX EPAYMENT TYPE: ACH PMT ID: 0005000008 CO: AMEX EPAYMENT NAME: Britney Truitt Entry Class Code: WEB ACH Trace Number: 091000017774940"/>
        <s v="Draft 2305 Tracer XX2855"/>
        <s v="Draft 2357 Tracer XX0903"/>
        <s v="MOTORWERKS BMW 116  BLOOMINGTON         MN"/>
        <s v="GUNDERSON'S JEWELERSWAYZATA             MN"/>
        <s v="RUDY LUTHER TOYOTA 0GOLDEN VALLEY       MN"/>
        <s v="Withdrawal ACH ILD529 DIR ACH TYPE: CONTRIB ID: XX2584 CO: ILD529 DIR ACH Entry Class Code: ACH Trace Number: XX0729"/>
        <s v="YMCA ONLINE         MINNESOTA           MN"/>
        <s v="RENAISSANCE BOSTON WBOSTON              MA"/>
        <s v="Deposit ACH EMPYREAN SOLUTIO TYPE: ACH ID: XX3620 CO: EMPYREAN SOLUTIO Entry Class Code: ACH Trace Number: XX7269"/>
        <s v="ACTIVEWORKS  CAMPS  DALLAS              TX"/>
        <s v="Withdrawal ACH mtkalax.org TYPE: mtkalax.or ID: XX8598 CO: mtkalax.org NAME: JEFF TRUITT Entry Class Code: WEB ACH Trace Number: XX3727"/>
        <s v="Withdrawal ACH mtkalax.org TYPE: mtkalax.or ID: XX5600 CO: mtkalax.org NAME: JEFF TRUITT Entry Class Code: WEB ACH Trace Number: XX9088"/>
        <s v="Withdrawal ACH mtkalax.org TYPE: mtkalax.or ID: XX5600 CO: mtkalax.org NAME: JEFF TRUITT Entry Class Code: WEB ACH Trace Number: XX9089"/>
        <s v="Withdrawal ACH Mis Amigos Presc TYPE: ID: XX7393 NAME: BCU CO: Mis Amigos Presc Entry Class Code: WEB ACH Trace Number: XX7274"/>
        <s v="LA SENDA SPANISH    MINNETONKA          MN"/>
        <s v="Withdrawal ACH Mis Amigos Presc TYPE: ID: XX7393 NAME: BCU CO: Mis Amigos Presc Entry Class Code: WEB ACH Trace Number: XX4038"/>
        <s v="TONKA TD CLUB 8883791035 MN"/>
        <s v="MYSTIQUE CAR RENTAL AND TPROVIDENCIALETC REF #XX0226SK4"/>
        <s v="Withdrawal ACH HICKEYBANDO CO: HICKEYBANDO TYPE: IAT PAYPAL ID: 7XX0487C Entry Class Code: IAT ACH Trace Number: XX9978"/>
        <s v="WALSER TOYOTA       BLOOMINGTON         MN"/>
        <s v="GRACEWAY SMART      PROVIDENCIALES"/>
        <s v="Withdrawal ACH CPENERGY MNGCO TYPE: MGC ACH EB ID: 1XX1140S CO: CPENERGY MNGCO NAME: CENTERPOINT ENERGY OTP Entry Class Code: WEB ACH Trace Number: XX5949"/>
        <s v="ORDWAY CENTER FOR THSAINT PAUL          MN"/>
        <s v="Draft 2310 Tracer XX1368"/>
        <s v="SP WESTONBACKCOUNTRYMINTURN             CO"/>
        <s v="MCW 1602-Minnetonka MINNETONKA          MN"/>
        <s v="Withdrawal ACH MN DIR ACH TYPE: CONTRIB ID: XX7162 CO: MN DIR ACH NAME: XX2601 Entry Class Code: WEB ACH Trace Number: XX0819"/>
        <s v="Withdrawal ACH Mis Amigos Presc TYPE: ID: XX7393 NAME: BCU CO: Mis Amigos Presc Entry Class Code: WEB ACH Trace Number: XX2023"/>
        <s v="Withdrawal ACH CITY OF CHANHASS TYPE: UTIL BILL ID: XX5331 CO: CITY OF CHANHASS Entry Class Code: ACH Trace Number: XX4531"/>
        <s v="Withdrawal ACH Mis Amigos Presc TYPE: ID: XX7393 NAME: BCU CO: Mis Amigos Presc Entry Class Code: WEB ACH Trace Number: XX7829"/>
        <s v="Deposit ACH EMPYREAN SOLUTIO TYPE: ACH ID: XX3620 CO: EMPYREAN SOLUTIO Entry Class Code: ACH Trace Number: XX6550"/>
        <s v="Withdrawal ACH ILD529 DIR ACH TYPE: CONTRIB ID: XX2584 CO: ILD529 DIR ACH Entry Class Code: ACH Trace Number: XX4951"/>
        <s v="Withdrawal ACH Mis Amigos Presc TYPE: ID: XX7393 NAME: BCU CO: Mis Amigos Presc Entry Class Code: WEB ACH Trace Number: XX8097"/>
        <s v="Withdrawal ACH Mis Amigos Presc TYPE: ID: XX7393 NAME: BCU CO: Mis Amigos Presc Entry Class Code: WEB ACH Trace Number: XX4259"/>
        <s v="Withdrawal ACH MN DIR ACH TYPE: CONTRIB ID: XX7162 CO: MN DIR ACH NAME: XX2601 Entry Class Code: WEB ACH Trace Number: XX0901"/>
        <s v="Deposit ACH EMPYREAN SOLUTIO TYPE: ACH ID: XX3620 CO: EMPYREAN SOLUTIO Entry Class Code: ACH Trace Number: XX4602"/>
        <s v="Withdrawal ACH MN DIR ACH TYPE: CONTRIB ID: XX7162 CO: MN DIR ACH NAME: XX2601 Entry Class Code: WEB ACH Trace Number: XX0367"/>
        <s v="Withdrawal ACH Mis Amigos Presc TYPE: ID: XX7393 NAME: BCU CO: Mis Amigos Presc Entry Class Code: WEB ACH Trace Number: XX6734"/>
        <s v="Withdrawal ACH CITY OF CHANHASS TYPE: UTIL BILL ID: XX5331 CO: CITY OF CHANHASS Entry Class Code: ACH Trace Number: XX9812"/>
        <s v="Withdrawal ACH Mis Amigos Presc TYPE: ID: XX7393 NAME: BCU CO: Mis Amigos Presc Entry Class Code: WEB ACH Trace Number: XX1137"/>
        <s v="Withdrawal ACH ILD529 DIR ACH TYPE: CONTRIB ID: XX2584 CO: ILD529 DIR ACH Entry Class Code: ACH Trace Number: XX8391"/>
        <s v="SOUTH LAKE PEDIATRICMINNETONKA          MN"/>
        <s v="Withdrawal ACH Mis Amigos Presc TYPE: ID: XX7393 NAME: BCU CO: Mis Amigos Presc Entry Class Code: WEB ACH Trace Number: XX2560"/>
        <s v="Withdrawal ACH Mis Amigos Presc TYPE: ID: XX7393 NAME: BCU CO: Mis Amigos Presc Entry Class Code: WEB ACH Trace Number: XX6580"/>
        <s v="LA QUINTA SPA       LA QUINTA           CA"/>
        <s v="FONTAINEBLEAU RESORTMIAMI BEACH         FL"/>
        <s v="RCO LTD             PROVIDENCIALES      TC"/>
        <s v="Holiday Inn Express HAYWARD             WI"/>
        <s v="775 BRISTOL KANSAS CITY KANSAS CITY MO REF #XX5003P00XVRJ1W"/>
        <s v="JOHNSTONMURPHY.COM 0NASHVILLE           TN"/>
        <s v="REI #15 BLOOMINGTON BLOOMINGTON         MN"/>
        <s v="SP VUORI CLOTHING   ENCINITAS           CA"/>
        <s v="NINE HOLDINGS LTD PROVIDENCIALETC REF #XX9451Zx0220DGX"/>
        <s v="COCONUT JACKS WATERFBONITA SPRING       FL"/>
        <s v="Withdrawal ACH CPENERGY MNGCO TYPE: MGC ACH EB ID: 1XX1140S CO: CPENERGY MNGCO NAME: CENTERPOINT ENERGY OTP Entry Class Code: WEB ACH Trace Number: XX1844"/>
        <s v="ISAACS RESTAURANT   CORK"/>
        <s v="DOUBLETREE BY HILTONAMSTERDAM           NL"/>
        <s v="AMAZON MARKEPLACE NA PA"/>
        <s v="AplPay THE HOME DEPOCHASKA              MN"/>
        <s v="Withdrawal ACH MN DIR ACH TYPE: CONTRIB ID: XX7162 CO: MN DIR ACH NAME: XX2601 Entry Class Code: WEB ACH Trace Number: XX6137"/>
        <s v="AplPay PTI*SAUNA CAMEXCELSIOR           MN"/>
        <s v="THAI UDON CAFE - LOGNAPLES              FL"/>
        <s v="INTUIT *TURBOTAX    800-446-8848        CA"/>
        <s v="AplPay FAHERTY BRANDWILMINGTON          DE"/>
        <s v="TM - TICKETMASTER L"/>
        <s v="TST* NEW JESTER RESTEXCELSIOR           MN"/>
        <s v="POTOMAC RIVER RUNNINASHBURN             VA"/>
        <s v="BLVD   *FACEFOUNDRIEEDINA               MN"/>
        <s v="SP PATARASHOES.COM  LA JOLLA            CA"/>
        <s v="AplPay SP SOTA CLOTHEDEN PRAIRIE        MN"/>
        <s v="AplPay TST* NEW JESTEXCELSIOR           MN"/>
        <s v="AplPay DERVISH BANGSORLANDO             FL"/>
        <s v="MYSTIQUE CAR RENTAL AND TPROVIDENCIALETC REF #XX9451W0021S2GL"/>
        <s v="LAWRENCE ACUPUNCTURE XX1141 KS REF #XX1343M2X7BPNWP"/>
        <s v="BUCK HILL WEBSITE 65BURNSVILLE          MN"/>
        <s v="SP MACADE GOLF      CHICAGO             IL"/>
        <s v="TARGET        020636NAPLES              FL"/>
        <s v="EXCELSIOR FAMILY DENEXCELSIOR           MN"/>
        <s v="TST* RED COW - WAYZAWAYZATA             MN"/>
        <s v="SP BAD BIRDIE LLC   GLENDALE            CA"/>
        <s v="AMAZON.COM          AMZN.COM/BILL       WA"/>
        <s v="Amazon Prime        Amazon.com          WA"/>
        <s v="AMAZON PRIME*Z74TB7J30 AMZN.COM/BILLWA5RKHP6M5WQ0"/>
        <s v="Withdrawal ACH Mis Amigos Presc TYPE: ID: XX7393 NAME: BCU CO: Mis Amigos Presc Entry Class Code: WEB ACH Trace Number: XX3407"/>
        <s v="Withdrawal ACH mtkalax.org TYPE: mtkalax.or ID: XX8598 CO: mtkalax.org NAME: JEFF TRUITT Entry Class Code: WEB ACH Trace Number: XX6198"/>
        <s v="CHARLES TYRWHITT, INNEW YORK            NY"/>
        <s v="Withdrawal ACH CITY OF CHANHASS TYPE: UTIL BILL ID: XX5331 CO: CITY OF CHANHASS Entry Class Code: ACH Trace Number: XX4450"/>
        <s v="Withdrawal ACH Mis Amigos Presc TYPE: ID: XX7393 NAME: BCU CO: Mis Amigos Presc Entry Class Code: WEB ACH Trace Number: XX4902"/>
        <s v="TST* PORZANA MINNEAPOLIS MN REF #XX7462B2XPTGGX6"/>
        <s v="AplPay LS SUNNY DAYSPALM SPRINGS        CA"/>
        <s v="MARKETLANERESTAURANTCORK                IR"/>
        <s v="INEFFABLE BREWING COBURNSVILLE          MN"/>
        <s v="RED LOBSTER 0249 249BLOOMINGTON         MN"/>
        <s v="THE HOME DEPOT      CHASKA              MN"/>
        <s v="AplPay CHAMBERLAIN CUNITED STATES"/>
        <s v="AMAZON MKTPL*9D5O69WM3 AMZN.COM/BILLWA7CWDI5KK8EP"/>
        <s v="AMAZON MKTPL*ZC8F72TS1 AMZN.COM/BILLWA736QHSEA9GW"/>
        <s v="AplPay THE SHERWIN-WCLEVELAND           OH"/>
        <s v="BCS*MINNETONKA COMMUNITY XX-6800 MN REF #XX7462N01GAZX2B"/>
        <s v="AMAZON MKTPL*G51P28IZ3 AMZN.COM/BILLWA6QEFBB8HKWR"/>
        <s v="Luna Nails"/>
        <s v="FSP*CHASKA TOWN COURCHASKA              MN"/>
        <s v="BONOBOS, NEW YORK   NEW YORK"/>
        <s v="TST* THE FREEHOUSE 0MINNEAPOLIS         MN"/>
        <s v="BUDDY BOY FINE BARBE612-4660340         MN"/>
        <s v="ONE FLEW SOUTH 0018 ATLANTA             GA"/>
        <s v="AplPay TDI BROADWAY.212-541-8457        NY"/>
        <s v="TST*ORIGINAL PANCAKE HOU Eden Prairie MN REF #XX2162K347H61TW"/>
        <s v="THOMPSONS THOMPSONS CORK                IR"/>
        <s v="AplPay HOMEGOODS    EDEN PRAIRIE        MN"/>
        <s v="SOCO LLC 0000       HAYWARD             WI"/>
        <s v="AMAZON MKTPL*DM9V371V3 AMZN.COM/BILLWA7EJCDSXK9LT"/>
        <s v="AplPay TST* LAT 14 0GOLDEN VALLEY       MN"/>
        <s v="MODMEDUS_MP*PINNACLEEXCELSIOR           MN"/>
        <s v="TOWN OF LA POINTE XX-6913 WI REF #XX1663M0T51V6TD"/>
        <s v="Deposit ACH EMPYREAN SOLUTIO TYPE: ACH ID: XX3620 CO: EMPYREAN SOLUTIO Entry Class Code: ACH Trace Number: XX3284"/>
        <s v="AplPay LUNA NAILS   Deephaven           MN"/>
        <s v="MAD CAPPER LLC 0000 STILLWATER          MN"/>
        <s v="Withdrawal ACH ILD529 DIR ACH TYPE: CONTRIB ID: XX2584 CO: ILD529 DIR ACH Entry Class Code: ACH Trace Number: XX4051"/>
        <s v="Withdrawal ACH Mis Amigos Presc TYPE: ID: XX7393 NAME: BCU CO: Mis Amigos Presc Entry Class Code: WEB ACH Trace Number: XX3162"/>
        <s v="MADELINE ISLAND FERRY LINLA POINTE WI REF #XX7604HEJK10WGS"/>
        <s v="AMAZON MKTPL*N20VM52W1 AMZN.COM/BILLWA5JRU14DLJP2"/>
        <s v="TST* THE SAINT PAUL HOTELSAINT PAUL MN REF #XX6362XJ3QB18"/>
        <s v="AMAZON MKTPL*ZC7TC8BO0 AMZN.COM/BILLWA3TMWZFLLGWB"/>
        <s v="5 Points Cork IE REF #XX9162F12AVSPR7"/>
        <s v="AplPay TST* 401 - YUEXCELSIOR           MN"/>
        <s v="ZETTLE *SCHIPHOL TAXHOOFDDORP           NL"/>
        <s v="Withdrawal ACH Mis Amigos Presc TYPE: ID: XX7393 NAME: BCU CO: Mis Amigos Presc Entry Class Code: WEB ACH Trace Number: XX8667"/>
        <s v="MSP ALLIED TAXI 0000SAINT PAUL          MN"/>
        <s v="AMAZON MKTPL*E76F22SS3 AMZN.COM/BILLWA3S1VO582KYG"/>
        <s v="TST* FREIGHT HOUSE 3STILLWATER          MN"/>
        <s v="AMAZON MKTPL*EW9R87AM3 AMZN.COM/BILLWA7CQCN0T46ND"/>
        <s v="ABDIKARIM ALI       Excelsior           MN"/>
        <s v="TST* VOLCANO MOUNTAINAPLES              FL"/>
        <s v="AMAZON MKTPL*Z53MV7LF0 AMZN.COM/BILLWA7HATPS2V3SR"/>
        <s v="AMAZON.COM*VQ9RB5C23 AMZN.COM/BILLWA1X0DW5ISTRW"/>
        <s v="AMAZON MKTPL*2R2L90A83 AMZN.COM/BILLWA28H3CC8WN98"/>
        <s v="AplPay KOHL'S       EDEN PRAIRIE        MN"/>
        <s v="AMAZON MKTPL*I64661C63 AMZN.COM/BILLWA2LX8X3K780Z"/>
        <s v="AplPay PO8          FORT MYERS BE       FL"/>
        <s v="MSP AIRPORT TAXI    Excelsior           MN"/>
        <s v="ICE CASTLES LLC 0913OREM                UT"/>
        <s v="TST-HAPPY DAYS DELI CORK                IR"/>
        <s v="AHMED TEXI          Excelsior           MN"/>
        <s v="Withdrawal MT. ASHWABAY SKI AREA BAYFIELD WI Date XX 7999 Card 5404"/>
        <s v="HOLIDAY STATIONS 002HAYWARD             WI"/>
        <s v="AplPay HAZELWOOD FOOEXCELSIOR           MN"/>
        <s v="TST* DUKE'S ON XX-3286 MN REF #XX7462R2XDKSWS7"/>
        <s v="LEVI.COM            SAN FRANCISCO       CA"/>
        <s v="Deposit ACH EMPYREAN SOLUTIO TYPE: ACH ID: XX3620 CO: EMPYREAN SOLUTIO Entry Class Code: ACH Trace Number: XX6429"/>
        <s v="PETITE LEON         MINNEAPOLIS         MN"/>
        <s v="Mardyke Entertainment Comcork IE REF #XX8932G3ZL3S5MD"/>
        <s v="SP HUMA GEL         NASHVILLE           TN"/>
        <s v="Naturally Nourished Cork IE REF #XX4612F2H7RL"/>
        <s v="PLAY IT AGAIN SPORTSCHASKA              MN"/>
        <s v="Withdrawal ACH Mis Amigos Presc TYPE: ID: XX7393 NAME: BCU CO: Mis Amigos Presc Entry Class Code: WEB ACH Trace Number: XX8601"/>
        <s v="IPHO BY SAIGON 0000 ST. PAUL            MN"/>
        <s v="AplPay THE BURROW - 715-7483289         MN"/>
        <s v="TLF*ENCINITAS FLOWER SHOPXX2554 CA REF #XX7051W4YW98RK6"/>
        <s v="AplPay LAKEWINDS NATCHANHASSEN          MN"/>
        <s v="AMAZON MKTPL*CF9RI6FN3 AMZN.COM/BILLWA2AZYV2SPTWC"/>
        <s v="VTS MIAMI TAXI      MIAMI               FL"/>
        <s v="LA COTE 0405        MIAMI BEACH         FL"/>
        <s v="SURFSIDE BAR &amp; GRILLMOUND               MN"/>
        <s v="GILLEY'S CAFE LTD.  PROVIDENCIALES"/>
        <s v="AMAZON MKTPL*5B7QA1HH3 AMZN.COM/BILLWA1BLRC0VK2Z7"/>
        <s v="TST* TERRY BLACK'S BARBECAUSTIN TX REF #XX7463S2XFFJW0W"/>
        <s v="MINUTECLINIC DIAGNOSWOONSOCKET          RI"/>
        <s v="425 PARK AVE 7120 DEMINNEAPOLIS         MN"/>
        <s v="Withdrawal ACH CPENERGY MNGCO TYPE: MGC ACH EB ID: 1XX1140S CO: CPENERGY MNGCO NAME: CENTERPOINT ENERGY OTP Entry Class Code: WEB ACH Trace Number: XX0603"/>
        <s v="TST*OASIS AT VALENCIA BONITA SPRINGFLAPPLE PAY ENDING IN 762900195484024067353398AA"/>
        <s v="Puttshack Usa Inc"/>
        <s v="STONE ARCH 00J9     SAINT PAUL          MN"/>
        <s v="SP SOTA CLOTHING    EDEN PRAIRIE        MN"/>
        <s v="AplPay SOUTH LAKE PEMINNETONKA          MN"/>
        <s v="Prickly Pear"/>
        <s v="TST* BACK CHANNEL BREWINGSPRING PARK MN REF #XX7463MEKAZ8G3R"/>
        <s v="Capi Plaza AV Schiphol ANL REF #XX5790P3QTQN5M1"/>
        <s v="TAINO PROVIDENCIALETC REF #XX0224VSA"/>
        <s v="ZENOTIUSA_POS*KIDS HCHANHASSEN          MN"/>
        <s v="AMAZON MKTPL*B25LH2033 AMZN.COM/BILLWA3J3N29JF836"/>
        <s v="AMAZON MKTPL*ZG3J89TB1 AMZN.COM/BILLWA1Q9P25DZMSA"/>
        <s v="THE GARDEN PATCH EXCELSIOR MN REF #XX4001HJZX81"/>
        <s v="AplPay DOMINO'S 1931EXCELSIOR           MN"/>
        <s v="AplPay TST* OAK 19 FCHASKA              MN"/>
        <s v="Withdrawal ACH MN DIR ACH TYPE: CONTRIB ID: XX7162 CO: MN DIR ACH NAME: XX2601 Entry Class Code: WEB ACH Trace Number: XX0413"/>
        <s v="Schram Haus Brewery"/>
        <s v="CREEDE SNOWSHOE LODGCREEDE              CO"/>
        <s v="AplPay COMPANY STOREWAYZATA             MN"/>
        <s v="AMAZON MKTPL*JG7KE1NA3 AMZN.COM/BILLWA4VZHIQNBU48"/>
        <s v="Withdrawal ACH CITY OF CHANHASS TYPE: UTIL BILL ID: XX5331 CO: CITY OF CHANHASS Entry Class Code: ACH Trace Number: XX9617"/>
        <s v="AplPay TST* ESS-A-BANEW YORK            NY"/>
        <s v="AplPay SPEEDWAY     1-800-643-1949      OH"/>
        <s v="SHAKOPEE BOWL SHAKOPEE MN REF #XX3100MS66LGF2P"/>
        <s v="AplPay HOLIDAY STATIPLYMOUTH            MN"/>
        <s v="TST* LAGOS TACOS EXCEXCELSIOR           MN"/>
        <s v="FIVE GUYS MN 1937 QSEDEN PRAIRIE        MN"/>
        <s v="AplPay THE HOME DEPOEDEN PRAIRIE        MN"/>
        <s v="HH MARKETPLACE MSP ST. PAUL MN REF #XX6312X8QFSM6"/>
        <s v="AMAZON MKTPL*Z74E95712 AMZN.COM/BILLWA1KGJ4S01QC9"/>
        <s v="NO 21 OFF LICENCE CORK CITY IE REF #XX7332D021QTY1W"/>
        <s v="AplPay LEEANN CHIN 0CHANHASSEN          MN"/>
        <s v="PY *SLC-A PF CHANG'SSALT LAKE CIT       UT"/>
        <s v="AMAZON MKTPL*MN4203DC3 AMZN.COM/BILLWA2YHRVQAJAET"/>
        <s v="AplPay TST* MY BURGEMINNETONKA          MN"/>
        <s v="AplPay AMC 9640 ONLILEAWOOD             KS"/>
        <s v="5 Points Cork IE REF #XX4512F03ZFH"/>
        <s v="NATIONAL CAR R213023REDMOND             OR"/>
        <s v="VERIZON VICTRA MN STST LOUIS PARK       MN"/>
        <s v="CANNIBALE LANGE NIEZAMSTERDAM           NL"/>
        <s v="DA CONCH SHACK PROVIDENCIALETC REF #XX0222PJ5"/>
        <s v="SP VIVELAFETE       MIAMI               FL"/>
        <s v="AplPay CUB FOODS 163CUB.COM             MN"/>
        <s v="AplPay GRAMPA TONYS LA POINTE           WI"/>
        <s v="GOLF ZONE 5455000013877-8144102         MN"/>
        <s v="5 Points Cork IE REF #XX9162D12AR9ADF"/>
        <s v="DNCSS ALLIANZ FIELD ST. PAUL            MN"/>
        <s v="MACKENTHUN S MEATS &amp;SAINT BONIFAC       MN"/>
        <s v="US LACROSSE, INC    BALTIMORE           MA"/>
        <s v="HMSHOST SCHIPHOL AIRSCHIPHOL            NL"/>
        <s v="SQ *THEATRE REFRESHMENT CNew York NY REF #XX2535BR640B"/>
        <s v="GOLDSMITH TCI       PROVIDEN"/>
        <s v="SQ *ORDWAY CENTER FOR THESaint Paul MN REF #XX1539DN5"/>
        <s v="TST* MIYAGI RAMEN 00BEND                OR"/>
        <s v="AplPay HOMEDEPOT.COM800-430-3376        GA"/>
        <s v="AMAZON MARK* ZG3V552U0 HTTPSAMAZON.CWA REF #XX1340R0000EFHA"/>
        <s v="SUBWAY 71167        ST. BONIFACIUS      MN"/>
        <s v="TST* GIBSON STREET BAR AUSTIN TX REF #XX7463S5SJ31V11"/>
        <s v="AplPay JIMMY JOHNS -MINNETONKA          MN"/>
        <s v="General Store"/>
        <s v="AplPay TST* BUCK '54BURNSVILLE          MN"/>
        <s v="SP NORTHSTAR-APPARELHOPKINS             MN"/>
        <s v="Withdrawal ACH Mis Amigos Presc TYPE: ID: XX7393 NAME: BCU CO: Mis Amigos Presc Entry Class Code: WEB ACH Trace Number: XX2369"/>
        <s v="AplPay WEASLEYS QUALORLANDO             FL"/>
        <s v="READY TO GO         PROVIDENCIALES      TC"/>
        <s v="Withdrawal ACH Mis Amigos Presc TYPE: ID: XX7393 NAME: BCU CO: Mis Amigos Presc Entry Class Code: WEB ACH Trace Number: XX1200"/>
        <s v="AplPay ZENOTIUSA_POSCHANHASSEN          MN"/>
        <s v="AplPay HOLIDAY STATIHAYWARD             WI"/>
        <s v="AplPay FIVE GUYS MN EDEN PRAIRIE        MN"/>
        <s v="SQ *BEER BOAT NAPLES FL REF #XX2162V31SS2K4J"/>
        <s v="TEQUILA JACKS       CORK CITY"/>
        <s v="AplPay JIMMY JOHNS -EDINA               MN"/>
        <s v="SUMUP*PV CAB        MIDLETON"/>
        <s v="EL SANCHO           Bend                OR"/>
        <s v="AplPay AMC EDEN PRAIEDEN PRAIRIE        MN"/>
        <s v="VTS YELLOW CAB UTAH SALT LAKE CITY      UT"/>
        <s v="MALL OF AMERICA     BLOOMINGTON         MN"/>
        <s v="JJ-PCG MSP VENTURE LSAINT PAUL          MN"/>
        <s v="BRITO'S BURRITO     EXCELSIOR           MN"/>
        <s v="AMAZON MKTPL*3C69L91D3 AMZN.COM/BILLWA2YV7KGWKK3J"/>
        <s v="AMAZON MKTPL*0T10U1NA3 AMZN.COM/BILLWAR88XEXNS2HB"/>
        <s v="SATELLITE CABS      CORK"/>
        <s v="SUMUP*TOMMY         CORK"/>
        <s v="VAN GOGH MUSEUM     AMSTERDAM           NL"/>
        <s v="TST* TONY C'S SPORTSBOSTON              MA"/>
        <s v="STARBUCKS 800-782-7282   800-782-7282 WA REF #24692164L30A9AKAF"/>
        <s v="AMAZON MKTPL*2386K55T3 AMZN.COM/BILLWA1RWH8S2T3QW"/>
        <s v="MARVEL CHAR DINING 0ORLANDO             FL"/>
        <s v="PALLINO PASTARIA    SEATTLE             WA"/>
        <s v="7-ELEVEN 21045 00072SARASOTA            FL"/>
        <s v="CHICK-FIL-A #03840 0CHANHASSEN          MN"/>
        <s v="TARGET              CHANHASSEN          MN"/>
        <s v="Roulettes Pizza"/>
        <s v="AplPay TIDE DRY CLEAEXCELSIOR           MN"/>
        <s v="BEACHES BAR  AND GRIMIAMI BEACH         FL"/>
        <s v="SUMUP*FREE NOW      CORK"/>
        <s v="BT*GIRL SCOUTS OF THNEW YORK            NY"/>
        <s v="BOSTON TAXI VTS BOSTLONG ISLAND CITY    NY"/>
        <s v="Withdrawal ACH ILD529 DIR ACH TYPE: CONTRIB ID: XX2584 CO: ILD529 DIR ACH Entry Class Code: ACH Trace Number: XX9651"/>
        <s v="REVERIE CAFE + BAR  Minneapolis         MN"/>
        <s v="TST* FULL TILT TAVERBLOOMINGTON         MN"/>
        <s v="SON OF A BUN VICTORIAN QUAIE REF #XX3612D00PH3PE8"/>
        <s v="TAZA 0000           CHANHASSEN          MN"/>
        <s v="CRISP &amp; GREEN - CHANCHANHASSEN          MN"/>
        <s v="UNION 76 09535295   BEND                OR"/>
        <s v="MT BACHELOR         Bend                OR"/>
        <s v="SP CASCADIA COFFEE  PORTLAND            OR"/>
        <s v="MSP POD1 CUSTOM BURGSAINT PAUL          MN"/>
        <s v="AplPay SHOREWOOD TRUEXCELSIOR           MN"/>
        <s v="TST* OG ZAZA - ST. PST. PAUL            MN"/>
        <s v="BEACH HUT SOUVENIRS BLUE HILLS TC REF #XX9451Z0021ZFXZ"/>
        <s v="SUMUP*VALERI GOLUBCHCORK"/>
        <s v="AMAZON.COM*Z70X48XI0 AMZN.COM/BILLWA7FAOHFXN4J1"/>
        <s v="IPX*NEB DOCTORS OF MEAGAN               MN"/>
        <s v="KAI'S SUSHI AND GRILL MINNETONKA MN REF #XX3692E0GRPRLT4"/>
        <s v="VICTORIA BURROW ARCAVICTORIA            MN"/>
        <s v="AplPay CS *STARBUCKS877-850-1977        ME"/>
        <s v="TST-NUA ASADOR - MARCORK                IR"/>
        <s v="AplPay NOODLES &amp; CO CHANHASSEN          MN"/>
        <s v="SPAR MCCURTAIN STREET CORK IE REF #XX3612D0218KT9J"/>
        <s v="AMAZON MKTPL*TQ5NC1UH3 AMZN.COM/BILLWA4BUER73YOXN"/>
        <s v="SUMUP*ABIODUN NURENICORK"/>
        <s v="CURRITO BURRITO 6500BOSTON              MA"/>
        <s v="MERVCO LTD PROVIDENCIALETC REF #XX6423ESB1LTJ3"/>
        <s v="TST* ORIGINAL HOCKEYFRIDLEY             MN"/>
        <s v="MCDONALD'S F5629 000EXCELSIOR           MN"/>
        <s v="TST-BURRITOS AND BLUCORK                IR"/>
        <s v="CUB FOODS #1636 SHOREWOOD MNAPPLE PAY ENDING IN 7968"/>
        <s v="TST-SULTAN FALAFEL -CORK                IR"/>
        <s v="AplPay CITY OF PLYMOPLYMOUTH            MN"/>
        <s v="BUREAU OF PARKS MADISON WI REF #XX7054J3SDW9E3H"/>
        <s v="19 EAST EMP STORE HERSHEY PA REF #XX2163Z3113S25T"/>
        <s v="AplPay BP#2034841CAPTURTLE LAKE         WI"/>
        <s v="HUDSONNEWS ST1110 11SEATAC              WA"/>
        <s v="AMAZON MKTPL*CC50P6NU3 AMZN.COM/BILLWA765EMM2S5O4"/>
        <s v="THE LOBBY COFFEE &amp; LExcelsior           MN"/>
        <s v="Angry Minnow"/>
        <s v="AplPay MCDONALD'S F5EXCELSIOR           MN"/>
        <s v="HH MARKETPLACE MSP ST. PAUL MN REF #XX2162T2ZZ0JP5D"/>
        <s v="AMAZON MKTPL*8X7781BR3 AMZN.COM/BILLWA2NEQWBEFVZW"/>
        <s v="814100 CDG2 E K JETEROISSY CDG CEDEX    FR"/>
        <s v="UNITY SHOP CORK IE REF #XX4602AZST9N"/>
        <s v="AplPay JJ-PCG MSP VESAINT PAUL          MN"/>
        <s v="THE SPARROW BAKERY NBend                OR"/>
        <s v="AplPay ANGRY MINNOW Hayward             WI"/>
        <s v="WH SMITH CORK AIRPORKINSALE ROAD, CORK  IR"/>
        <s v="Mister Car Wash #606ST LOUIS PARK       MN"/>
        <s v="MT. BACHELOR        Bend                OR"/>
        <s v="AplPay DEER RUN GC  VICTORIA            MN"/>
        <s v="RENTALTOLL239573584 877-860-1283        MO"/>
        <s v="THE BURROW - VICTORI715-7483289         MN"/>
        <s v="BONFES PLUMBING HEATING AXX6633 MN REF #XX5390LS66HWKMG"/>
        <s v="BONFES PLUMBING HEATING AXX6633 MN REF #XX5391KS66L5S2P"/>
        <s v="BONFES PLUMBING HEATING AXX6633 MN REF #XX5392FS66MA57B"/>
        <s v="BONFES PLUMBING HEATING AXX6633 MN REF #XX5393ES66E21Q9"/>
        <s v="BONFES PLUMBING HEATING AXX6633 MN REF #XX5394QS66G52WD"/>
        <s v="JD CORK CORK IE REF #XX3662QG0YA34P0"/>
        <s v="AplPay Mister Car WaST LOUIS PARK       MN"/>
        <s v="MODMEDUS_MP*PINNACLEPHOENIX             AZ"/>
        <s v="MCDONALD'S F35706 00CHASKA              MN"/>
        <s v="MSP POD1 FOODHALL 00PHILADELPHIA        PA"/>
        <s v="MSP POD4 CIBO EXPRESPHILADELPHIA        PA"/>
        <s v="AplPay DELTA AIRLINEATLANTA             GA"/>
        <s v="CAXAMBAS MARINA     Marco Island        FL"/>
        <s v="DAIRY QUEEN #45864 0MINNETONKA          MN"/>
        <s v="WAYZATA CAFE WAYZATA MN REF #XX3002P53SWDNK4"/>
        <s v="AMAZON MKTPL*GS2KJ0GK3 AMZN.COM/BILLWA57ZXM02SXMT"/>
        <s v="BUTTER BER CARXX1801 ORLANDO FL REF #XX1062Y583AJ2A4"/>
        <s v="City of Austin Parking"/>
        <s v="AplPay MC           Saint Paul          MN"/>
        <s v="MC CONCESSIONS      Princeton           MN"/>
        <s v="AMAZON MKTPL*HK3VN5BB3 AMZN.COM/BILLWAIUCK8BMH5JC"/>
        <s v="AMAZON MKTPL*NI2ZB0KN2 AMZN.COM/BILLWA2BJNHRZVA6N"/>
        <s v="GOFANTIX* MINNETONKAALPHARETTA          GA"/>
        <s v="Munchies"/>
        <s v="AplPay TST* CARIBOU ST. LOUIS PAR       MN"/>
        <s v="AplPay REVERIE CAFE Minneapolis         MN"/>
        <s v="AplPay GENERAL STOREMINNETONKA          MN"/>
        <s v="SON OF A BUN VICTORIAN QUAIE REF #XX3612G00SBWD1M"/>
        <s v="MAXIMUM VELOCITY    SAINT GEORGE        UT"/>
        <s v="AplPay MCDONALD'S F6CHANHASSEN          MN"/>
        <s v="Retail in Motion LTD Dublin City IE REF #XX5260SBBX41SY4"/>
        <s v="AMAZON KIDS+*9E3JD3D888-802-3080        WA"/>
        <s v="AMAZON MUSIC*NB7C187888-802-3080        WA"/>
        <s v="AMAZON KIDS+*NI8P52R888-802-3080        WA"/>
        <s v="AMAZON MUSIC*ZC87G4R888-802-3080        WA"/>
        <s v="AMAZON KIDS+*IW4X71B888-802-3080        WA"/>
        <s v="AMAZON MUSIC*QL1O736888-802-3080        WA"/>
        <s v="AMAZON KIDS+*2L6015E888-802-3080        WA"/>
        <s v="AMAZON MUSIC*8O0RE0N888-802-3080        WA"/>
        <s v="AplPay WAYZATA COFFEWAYZATA             MN"/>
        <s v="AplPay MINIONS POPA ORLANDO             FL"/>
        <s v="PARADIES-ATLANTA, LLATLANTA             GA"/>
        <s v="DUNKIN #342231 Q35 3BOSTON              MA"/>
        <s v="GASTRONOMIE /CONFIS.TREMBLAY  EN  FRANCEFR"/>
        <s v="RACETRAC23700023796974 LAKELAND FLAPPLE PAY ENDING IN 7629"/>
        <s v="WH Smith Cork Airport Cork IE REF #XX9800R7HK3GDVK"/>
        <s v="Naturally Nourished Cork IE REF #XX9162D12APVXMF"/>
        <s v="AplPay WALGREENS    EXCELSIOR           MN"/>
        <s v="D J*WSJ XX-7625 NJ REF #XX6322XVTQMTT"/>
        <s v="D J*WSJ XX-7625 NJ REF #XX2163Y2ZZTSD15"/>
        <s v="PRIME VIDEO *D92NM8R888-802-3080        WA"/>
        <s v="PRIME VIDEO *5P9YG1H888-802-3080        WA"/>
        <s v="ATLMARKET ST2681 268ATLANTA             GA"/>
        <s v="E&amp;a Mart"/>
        <s v="PRIME VIDEO *NW4S811888-802-3080        WA"/>
        <s v="PRIME VIDEO *U36C430888-802-3080        WA"/>
        <s v="PRIME VIDEO *4C23X9VF3 888-802-3080 WACB1WU50UA74"/>
        <s v="TST-CANDY ROCK - MARCORK                IR"/>
        <s v="AplPay USPS PO 26306EXCELSIOR           MN"/>
        <s v="PROTEIN BAR &amp; KITCHESALT LAKE CIT       UT"/>
        <s v="Salty Sams Marina"/>
        <s v="TST-ALCHEMY - MARINACORK                IR"/>
        <s v="AUDIBLE*OJ2SY5J03 AMZN.COM/BILLNJZ3QK4TO0AJ5"/>
        <s v="RACETRAC2379  023796LAKELAND            FL"/>
        <s v="ONSTREET XX7275 MN REF #XX3038FKPXPSLP"/>
        <s v="AplPay CARGILL STOREWAYZATA             MN"/>
        <s v="AMZN MKTP US*ZC1NR6S70 AMZN.COM/BILLWAVJHDOOJIDOP"/>
        <s v="GOOGLE *Google One XX-3987 CA REF #XX2160Kx5403PK0"/>
        <s v="GOOGLE *Google One XX-3987 CA REF #XX2161J2YBE3WPY"/>
        <s v="GOOGLE *Google One g.co/helppay#CA REF #XX2162E305DM57X"/>
        <s v="ONSTREET XX7275 MN REF #XX9303XKx5254RE"/>
        <s v="ONSTREET 8090 084870MINNEAPOLIS         MN"/>
        <s v="AplPay KOHL'S #0228 ST. LOUIS PAR       MN"/>
        <s v="Withdrawal ACH Mis Amigos Presc TYPE: ID: XX7393 NAME: BCU CO: Mis Amigos Presc Entry Class Code: WEB ACH Trace Number: XX6932"/>
        <s v="Deposit Dividend Split Rate Annual Percentage Yield Earned 2.46% from 04/01/25 through 04/30/25"/>
        <s v="Deposit Dividend Split Rate Annual Percentage Yield Earned 2.11% from 02/01/25 through 02/28/25"/>
        <s v="Deposit Dividend Split Rate Annual Percentage Yield Earned 1.85% from 03/01/25 through 03/31/25"/>
        <s v="Deposit Dividend Split Rate Annual Percentage Yield Earned 1.46% from 01/01/25 through 01/31/25"/>
        <s v="TOWN OF LA POINTE LA POINTE WI REF #XX1663N0T52R4KN"/>
        <s v="Minnesota Department Of Revenue Deposit"/>
        <s v="SCHOOL SPECIALTY LLC XX-5823 WI REF #XX4141LTFLA7BQ"/>
        <s v="Withdrawal ACH Mis Amigos Presc TYPE: ID: XX7393 NAME: BCU CO: Mis Amigos Presc Entry Class Code: WEB ACH Trace Number: XX4858"/>
        <s v="Rewards from Baxter Credit Union"/>
        <s v="Deposit ACH EMPYREAN SOLUTIO TYPE: ACH ID: XX3620 CO: EMPYREAN SOLUTIO Entry Class Code: ACH Trace Number: XX7945"/>
        <s v="Withdrawal ACH MN DIR ACH TYPE: CONTRIB ID: XX7162 CO: MN DIR ACH NAME: XX2601 Entry Class Code: WEB ACH Trace Number: XX3579"/>
        <s v="Withdrawal ACH CITY OF CHANHASS TYPE: UTIL BILL ID: XX5331 CO: CITY OF CHANHASS Entry Class Code: ACH Trace Number: XX4821"/>
        <s v="Withdrawal ACH VENMO TYPE: PAYMENT ID: 326XXXXXXX CO: VENMO NAME: BRITNEY TRUITT Entry Class Code: WEB ACH Trace Number: 091000011416422"/>
        <s v="Charles Schwab"/>
        <s v="Salary/Regular Income from IRS"/>
        <s v="Withdrawal by Wire 1dddxx73-4e7e-4cd8-aXX8887d0"/>
        <s v="Withdrawal by Wire f4cdaa03-6ax3-42ac-94b4-ffx0999b8343"/>
        <s v="Draft 2284 Tracer XXXXX0855"/>
        <s v="Draft 2312 Tracer XXXXX1412"/>
        <s v="Draft 2282 Tracer XXXXX0878"/>
        <s v="HOTEL ON BOOKING.COMAMSTERDAM           NL"/>
        <s v="HERTZ ITALY         ROMA                IT"/>
        <s v="RAILWAY STREET IE000CORK                IR"/>
        <s v="Superior Garage Door"/>
        <s v="MED*RIDGEVIEW WACONIWACONIA             MN"/>
        <s v="ANTHROPOLOGIE  00427MINNEAPOLIS         MN"/>
        <s v="Withdrawal ACH ILD529 DIR ACH TYPE: CONTRIB ID: XX2584 CO: ILD529 DIR ACH Entry Class Code: ACH Trace Number: XX6357"/>
        <s v="Withdrawal ACH MN DIR ACH TYPE: CONTRIB ID: XX7162 CO: MN DIR ACH NAME: XX2601 Entry Class Code: WEB ACH Trace Number: XX7415"/>
        <s v="Withdrawal ACH ILD529 DIR ACH TYPE: CONTRIB ID: XX2584 CO: ILD529 DIR ACH Entry Class Code: ACH Trace Number: XX3781"/>
        <s v="Withdrawal ACH MN DIR ACH TYPE: CONTRIB ID: XX7162 CO: MN DIR ACH NAME: XX2601 Entry Class Code: WEB ACH Trace Number: XX1451"/>
        <s v="Withdrawal ACH ILD529 DIR ACH TYPE: CONTRIB ID: XX2584 CO: ILD529 DIR ACH Entry Class Code: ACH Trace Number: XX2927"/>
        <s v="Withdrawal ACH MN DIR ACH TYPE: CONTRIB ID: XX7162 CO: MN DIR ACH NAME: XX2601 Entry Class Code: WEB ACH Trace Number: XX3073"/>
        <s v="Withdrawal ACH ILD529 DIR ACH TYPE: CONTRIB ID: XX2584 CO: ILD529 DIR ACH Entry Class Code: ACH Trace Number: XX8221"/>
        <s v="Withdrawal ACH MN DIR ACH TYPE: CONTRIB ID: XX7162 CO: MN DIR ACH NAME: XX2601 Entry Class Code: WEB ACH Trace Number: XX7529"/>
        <s v="Withdrawal ACH ILD529 DIR ACH TYPE: CONTRIB ID: XX2584 CO: ILD529 DIR ACH Entry Class Code: ACH Trace Number: XX0315"/>
        <s v="Withdrawal ACH MN DIR ACH TYPE: CONTRIB ID: XX7162 CO: MN DIR ACH NAME: XX2601 Entry Class Code: WEB ACH Trace Number: XX8277"/>
        <s v="Withdrawal ACH ILD529 DIR ACH TYPE: CONTRIB ID: XX2584 CO: ILD529 DIR ACH Entry Class Code: ACH Trace Number: XX8859"/>
        <s v="Draft 2131 Tracer XXXXX0176"/>
        <s v="RUDY LUTHER TOYOTA MGOLDEN VALLEY       MN"/>
        <s v="AplPay AIRBNB * HM4BSAN FRANCISCO       CA"/>
        <s v="NATIONAL CAR R189900DENVER              CO"/>
        <s v="SPOT 4 GUNS 0847    FEASTERVILLE-       PA"/>
        <s v="COQBULL CORK        CORK                IR"/>
        <s v="SMOOKITALIA BV      ROTTERDAM           NL"/>
        <s v="MIDWEST AQUA CARE   JORDAN              MN"/>
        <s v="TST* PORZANA 3006404MINNEAPOLIS         MN"/>
        <s v="HOMEDEPOT.COM       800-430-3376        GA"/>
        <s v="BRITISH AIRWAYS IT DITALY               IT"/>
        <s v="INDIANHEAD SUPPER CLBALSAM LAKE         WI"/>
        <s v="AXETHROWINGCORK.COM CORK"/>
        <s v="SP PUR COLD PRESSED PURCOLDPRESSETX REF #XX1347J2X65P1PJ"/>
        <s v="LS BIG WOOD COLLECTIEXCELSIOR           MN"/>
        <s v="Withdrawal at ATM #XX3402 Via dei mille 8 Roma IT Card 5404"/>
        <s v="APPLE.COM/US        CUPERTINO           CA"/>
        <s v="CASA MONTI RISTORANTROMA"/>
        <s v="CLEANING PLUS LLC (DSaint Paul          MN"/>
        <s v="GETYOURGUIDE OPERATIDOVER               DE"/>
        <s v="AplPay KING SOOPERS DENVER              CO"/>
        <s v="AXE THROWING CORK CORK IE REF #XX9800NS55J2"/>
        <s v="MALAHIDE DUBLIN OPERDUBLIN 1            IR"/>
        <s v="GARMISCH 2 0000     CABLE               WI"/>
        <s v="SP LUMEN.ME         CLAYMONT            DE"/>
        <s v="EXPEDIA 732433671000EXPEDIA.COM         WA"/>
        <s v="PODERE CASANOVA MONTEPULCIANOIT REF #XX7792D257XDVF"/>
        <s v="TST* LORD FLETCHER'SSPRING PARK         MN"/>
        <s v="ATM Withdrawal at US Bank Lawrence KS"/>
        <s v="TOUR SPAIN* COLOSSE SEVILLA             SE"/>
        <s v="THE VISTA ROOFTOP CLROMA"/>
        <s v="OSTERIA DELL'OLIO   FIRENZE"/>
        <s v="COV ENTERTAINMENT   WAYZATA             MN"/>
        <s v="MILLENNIUMSIPOS*T501MINNEAPOLIS         MN"/>
        <s v="PICKWICK RESTAURANT DULUTH              MN"/>
        <s v="CKO*HEADOUT UFFIZI GFLORENCE            GB"/>
        <s v="AT&amp;T W318 58845 NA  CHANHASSEN          MN"/>
        <s v="SCHEGGE ROMA IT REF #XX6394GRR3KR1Y"/>
        <s v="Withdrawal ACH CPENERGY MNGCO TYPE: MGC ACH EB ID: 1XX1140S CO: CPENERGY MNGCO NAME: CENTERPOINT ENERGY OTP Entry Class Code: WEB ACH Trace Number: XX9689"/>
        <s v="TST* SMACK SHACK BLOMINNEAPOLIS         MN"/>
        <s v="MACKENTHUN'S FINE FOMINNETRISTA         MN"/>
        <s v="SP 6666 STEAK       WICHITA             KS"/>
        <s v="CANTINA PULCINO MONTEPULCIANOIT REF #XX6391FF7BPFNZ"/>
        <s v="Withdrawal ACH CITY OF CHANHASS TYPE: UTIL BILL ID: XX5331 CO: CITY OF CHANHASS Entry Class Code: ACH Trace Number: XX0143"/>
        <s v="TST* MIRABELLE &amp; PAREXCELSIOR           MN"/>
        <s v="Withdrawal ACH Driver Services TYPE: eServices ID: AXX7162 CO: Driver Services Entry Class Code: ACH Trace Number: XX7105"/>
        <s v="AplPay BALSAM LAKE TBALSAM LAKE         WI"/>
        <s v="BACKCOUNTRYCOM"/>
        <s v="SP MIZZENMAIN       DALLAS              TX"/>
        <s v="BIRCHS ON THE LAKE 1LONG LAKE           MN"/>
        <s v="WAYNE'S FOODS PLUS 0LUCK                WI"/>
        <s v="LUCI IN CUCINA ROMA IT REF #XX8951Q7AE451"/>
        <s v="SP PUREFILTERS      TORONTO"/>
        <s v="TRADER JOE S #714 00MINNETONKA          MN"/>
        <s v="Oakfire Pizza"/>
        <s v="DENVER RIO 1745 WAZEDENVER              CO"/>
        <s v="ENOTECA INTERNAZIONAMONTEROSSO AL MARE"/>
        <s v="AGRIO' SNC CASTIGLIONE DIT REF #XX1513TTWS4"/>
        <s v="PES SPORTS L.L.C. 00201-3653896         NJ"/>
        <s v="Withdrawal ACH CITY OF CHANHASS TYPE: UTIL BILL ID: XX5331 CO: CITY OF CHANHASS Entry Class Code: ACH Trace Number: XX5512"/>
        <s v="Transfer to Viator"/>
        <s v="TST* DULUTH GRILL 00DULUTH              MN"/>
        <s v="TST* CANAL PARK BREWDULUTH              MN"/>
        <s v="SP SPORTIQE APPAREL TEMPE               AZ"/>
        <s v="ENOTECA BOCCADAMA   FIRENZE"/>
        <s v="IL NUTINO           FIRENZE"/>
        <s v="LS CABIN FEVER SPORTVICTORIA            MN"/>
        <s v="AplPay DD *DOORDASH SAN FRANCISCO       CA"/>
        <s v="GALA SUPERMERCATO CORTONA IT REF #XX0901SRP01SY"/>
        <s v="FSP*STONEBROOKE GOLFSHAKOPEE            MN"/>
        <s v="ORATORIO SRL        ROMA"/>
        <s v="COV EDINA 3155 GALLEEDINA               MN"/>
        <s v="SP ALO-YOGA         COMMERCE            CA"/>
        <s v="AplPay ANTHROPOLOGIEPHILADELPHIA        PA"/>
        <s v="ROULETTES PIZZA 0688VICTORIA            MN"/>
        <s v="TST* OMC SMOKEHOUSE DULUTH              MN"/>
        <s v="PBL - FIERAMENTE SRLMONTEVARCHI"/>
        <s v="AplPay TST* SHIKI 00EXCELSIOR           MN"/>
        <s v="MIYAZAKI RESTAURANT CORK"/>
        <s v="AplPay LOUIES LODGE CUMBERLAND          WI"/>
        <s v="SP MARINE LAYER     SAN FRANCISCO       CA"/>
        <s v="STAZ.SERVIZIO SHELL CORTONA"/>
        <s v="MSP AIRP THE COOK ANSAINT PAUL          MN"/>
        <s v="CK *LUCK MUNICIPAL GLUCK                WI"/>
        <s v="UNITED AIRPORT TAXI Minneapolis         MN"/>
        <s v="PODERE CASANOVA MONTEPULCIANOIT REF #XX7792D257XDV7"/>
        <s v="AplPay SP VUORI CLOTENCINITAS           CA"/>
        <s v="AplPay RENT THE RUNW(800)509-0842       NY"/>
        <s v="TST* MAYNARDS - OUTSEXCELSIOR           MN"/>
        <s v="AplPay MAHARI TAXI  Edina               MN"/>
        <s v="CEP*OLYMPIC HILLS GCEDEN PRAIRIE        MN"/>
        <s v="TST* OLD CHICAGO - 4DULUTH              MN"/>
        <s v="RISTORANTE VITTY AL PANTHRoma IT REF #XX5002R0ZV9"/>
        <s v="THIRSTY OTTER TAVERNBALSAM LAKE         WI"/>
        <s v="Withdrawal at ATM #XX8196 PAI ATM 101 COUNTY RD I BALSAM LAKE WI Card 5404"/>
        <s v="5 Points Cork IE REF #XX9166T12NJ1B0W"/>
        <s v="Withdrawal ACH CITY OF CHANHASS TYPE: UTIL BILL ID: XX5331 CO: CITY OF CHANHASS Entry Class Code: ACH Trace Number: XX0498"/>
        <s v="ITALY TICKETS       FIRENZE             IT"/>
        <s v="Airport Taxi, Inc. 7612-888888          MN"/>
        <s v="Withdrawal ACH CPENERGY MNGCO TYPE: MGC ACH EB ID: 1XX1140S CO: CPENERGY MNGCO NAME: CENTERPOINT ENERGY OTP Entry Class Code: WEB ACH Trace Number: XX6247"/>
        <s v="Withdrawal ACH CITY OF CHANHASS TYPE: UTIL BILL ID: XX5331 CO: CITY OF CHANHASS Entry Class Code: ACH Trace Number: XX9907"/>
        <s v="TST* BLACK SHEEP PIZMINNEAPOLIS         MN"/>
        <s v="TST* BALSAM LAKE LODBALSAM LAKE         WI"/>
        <s v="Vagaro"/>
        <s v="RISTORANTE BAR AL CAVERNAZZA"/>
        <s v="ALBERGO MARINA      MONTEROSSO AL MARE"/>
        <s v="AplPay ON POINT MN 0DULUTH              MN"/>
        <s v="LS BLUFF CREEK GOLF CHASKA              MN"/>
        <s v="Withdrawal ACH CITY OF CHANHASS TYPE: UTIL BILL ID: XX5331 CO: CITY OF CHANHASS Entry Class Code: ACH Trace Number: XX5022"/>
        <s v="ELITE NAILS LLC CHANHASSEN MN REF #XX7058MMAEB0FZN"/>
        <s v="SNUFFYS MALT SHOP  MMINNETONKA          MN"/>
        <s v="DUBLIN AIRPORT RETAIDUBLIN              IR"/>
        <s v="AplPay GREAT LAKES ADULUTH              MN"/>
        <s v="MARKETPLACE FOODS #2ST CROIX FLS        WI"/>
        <s v="LS ACE SPIRITS      HOPKINS             MN"/>
        <s v="TST* VAGABONDO 30072EXCELSIOR           MN"/>
        <s v="DNR E PAY WIN ACS 00MADISON             WI"/>
        <s v="EPHS 2005 REUNION   CHASKA              MN"/>
        <s v="FATTORIA LE CAPEZZINMONTEPULCIANO"/>
        <s v="MUOVIAMO PARKING SRL FIRENZE IT REF #XX4958Z96L0Z4B4"/>
        <s v="TST* YUM KITCHEN ANDMINNETONKA          MN"/>
        <s v="FSP*MEADOWBROOK GOLFSAINT PAUL          MN"/>
        <s v="CITY OF ORONO, MN   Wayzata             MN"/>
        <s v="AplPay CUB FOODS SOUEDINA               MN"/>
        <s v="AplPay FSP*LAKE SUPEDULUTH              MN"/>
        <s v="RE AL QUADRATO MONTEPULCIANOIT REF #XX6391FQQ21B6W"/>
        <s v="GISHOTELS DI GISELDA BENIFIRENZE IT REF #XX5778Z4K4RM88J"/>
        <s v="DD *WILDFIRE        SAN FRANCISCO       CA"/>
        <s v="AplPay HOPSACK LLC  Balsam Lake         MN"/>
        <s v="WILLY MCCOYS OF CHASKA LLCHASKA MN REF #XX6162S66FY4YN"/>
        <s v="CAVU* APR           CHICAGO             IL"/>
        <s v="LILLE -ESQUERMOISE LLILLE               FR"/>
        <s v="TST* CHARLIES ON PRIPRIOR LAKE          MN"/>
        <s v="TST* RED COW - 50TH MINNEAPOLIS         MN"/>
        <s v="SPEEDWAY 46505 00004EXCELSIOR           MN"/>
        <s v="SIR SMOKE A LOT BBQ ST CROIX FLS        WI"/>
        <s v="Withdrawal ACH Driver Services TYPE: eServices ID: AXX7162 CO: Driver Services Entry Class Code: ACH Trace Number: XX1346"/>
        <s v="LEEANN CHIN 0044 CHACHANHASSEN          MN"/>
        <s v="COMUNE DI MONTEROSSO PAR MONTEROSSO ALIT REF #XX1638XDVZNNTQJ"/>
        <s v="BALSAM LAKE TRADING BALSAM LAKE         WI"/>
        <s v="TST* JAKE'S ON THE LCENTER CITY         MN"/>
        <s v="BUFFALO TRACK 0000  FINLAYSON           MN"/>
        <s v="SHOREWOOD ACE 0000  EXCELSIOR           MN"/>
        <s v="FSP*RUTTGERS BAY LAKDEERWOOD            MN"/>
        <s v="IL PICCOLO SCOGLIO SVERNAZZA"/>
        <s v="AplPay ETSY, INC.   BROOKLYN            NY"/>
        <s v="Draft 2324 Tracer XXXXX2475"/>
        <s v="DS NAILS CHANHASSEN MN REF #XX2370QTMAT110"/>
        <s v="BP#7593908BOB &amp; STEVNEW RICHMOND        WI"/>
        <s v="HARRODS INTERNATIONALondon              GB"/>
        <s v="A.R. SOCIETA A RESPONSA ROMA IT REF #XX9754Z899"/>
        <s v="AplPay CUB FOODS 000MINNETONKA          MN"/>
        <s v="TST* JESTER GIFT CARDS XX-1613 MN REF #XX7467TEJZ5KR5Q"/>
        <s v="TST* NORTHERN TAPHOUPLYMOUTH            MN"/>
        <s v="CAFFE' MONICA DA GIOLUCCA"/>
        <s v="MIYABI              EXCELSIOR           MN"/>
        <s v="AplPay LS RAMBLE HOUCREEDE              CO"/>
        <s v="CROOKED PINT - MINNE612-8776900         MN"/>
        <s v="BALSAM LAKE BREWERY Balsam Lake         WI"/>
        <s v="BRADLEYS CORK IE REF #XX3666VJ3EXKBV8"/>
        <s v="HOLIDAY STATIONS 041SAINT CROIX F       WI"/>
        <s v="BENT PADDLE BREWING Duluth              MN"/>
        <s v="CENEX CONSUMERS COOPLUCK                WI"/>
        <s v="AplPay TST* BONSAI KCHANHASSEN          MN"/>
        <s v="SPEEDWAY 46586 00004STILLWATER          MN"/>
        <s v="HOLIDAY STATIONS 030CIRCLE PINES        MN"/>
        <s v="LS RAMBLE HOUSE LLC CREEDE              CO"/>
        <s v="TST* RED COW - 1ST AMINNEAPOLIS         MN"/>
        <s v="WILLY MCCOYS  CHASKA612-7705444         MN"/>
        <s v="CIVICO 34           MONTEPULCIANO"/>
        <s v="ARCO GREENWOOD MARKEGREENWOOD           MN"/>
        <s v="AplPay KFC          SHAKOPEE            MN"/>
        <s v="AplPay HOLIDAY STATICHANHASSEN          MN"/>
        <s v="AplPay INTERRAIL, LLNEWTON              MA"/>
        <s v="BIG DOUG'S BBQ      CREEDE              CO"/>
        <s v="MGM LIQUOR WAREHOUSESPRING PARK         MN"/>
        <s v="WALGREENS           EXCELSIOR           MN"/>
        <s v="HOLIDAY STATIONS 040N BRANCH            MN"/>
        <s v="CREW CARWASH 73     EDEN PRAIRIE        MN"/>
        <s v="EMAGINE WILLOW CREEKPLYMOUTH            MN"/>
        <s v="ENOTECA LOMBARDI    FIRENZE"/>
        <s v="FH* NORTH SHORE SCENDULUTH              MN"/>
        <s v="Transfer to Uber"/>
        <s v="AL AMIN FIRENZE IT REF #XX1638YE3BL37KF"/>
        <s v="CONSORZIO MARITTIMO TURISMONTEROSSO ALIT REF #XX5778X4GBBMHV5"/>
        <s v="AplPay DULUTH PACK 5DULUTH              MN"/>
        <s v="TRG HOLDINGS LIMITED LONDON GB REF #XX9600EDMJKW"/>
        <s v="ENOLITECA DEL CONSORZIO DMONTEPULCIANOIT REF #XX7792D7R1ZVE2"/>
        <s v="EAST COAST FOOD MANAEdina               MN"/>
        <s v="Cork"/>
        <s v="AplPay NOODLES AND CBROOMFIELD          CO"/>
        <s v="IRISH RAIL 7XX642-VW INTERNET IE REF #XX6999SRSAXB5X"/>
        <s v="SWEET ENDURANCE SPORDuluth              MN"/>
        <s v="TAVERN 4 &amp; 5 5455000877-8144102         MN"/>
        <s v="MERCATO CENTRALE FIRFIRENZE"/>
        <s v="AplPay SHOREWOOD LIQEXCELSIOR           MN"/>
        <s v="FP-Minnesota H&amp;F    Dallas              TX"/>
        <s v="SQ *COLETTE WALDOWSKI Balsam Lake WI REF #XX2165Y3549T5Y9"/>
        <s v="DOWNSTREAM GAS &amp; MERCREEDE              CO"/>
        <s v="AplPay LUNDS&amp;BYERLYSWAYZATA             MN"/>
        <s v="SUMUP*PHILLIP CORKERCORK"/>
        <s v="THE BURGER STAND AT Lawrence            KS"/>
        <s v="NEXO SERVICE S.R.L. ROMA"/>
        <s v="Withdrawal Fee 1dddxx73-4e7e-4cd8-aXX8887d0"/>
        <s v="Withdrawal Fee f4cdaa03-6ax3-42ac-94b4-ffx0999b8343"/>
        <s v="LEONARDO INTERACTIVEFIRENZE             IT"/>
        <s v="UBER TRIP           HTTPS://HELP.UBER.COCA"/>
        <s v="NOODLES AND COMPANY BROOMFIELD          CO"/>
        <s v="BUNNYS BAR &amp; GRILL 6MINNEAPOLIS         MN"/>
        <s v="UNCOMMON LOON BREWINChisago City        MN"/>
        <s v="META LUXURY COMPANY LUCCA"/>
        <s v="AplPay CRISP &amp; GREENEDEN PRAIRIE        MN"/>
        <s v="B&amp;N Paper Source    WESTBURY            NY"/>
        <s v="I LOVE DULUTH       Duluth              MN"/>
        <s v="AplPay MUSEO DELLE TMONTEPULCIANO"/>
        <s v="STEWARTS BIKE AND SPDULUTH              MN"/>
        <s v="AplPay ROCKET 6546 0DENVER              CO"/>
        <s v="AplPay TJMAXX #0239 ST. LOUIS PAR       MN"/>
        <s v="AplPay 423 LEGO FIREFIRENZE"/>
        <s v="SumUp *SUCCESS SRL Roma IT REF #XX6995SRSGADT0"/>
        <s v="AplPay CK *LUCK MUNILUCK                WI"/>
        <s v="SumUp *FORLITI SERGIO VALLERANO IT REF #XX6991SRSG7BQ2"/>
        <s v="ARBYS 7473 0365     BROOKLYN CENT       MN"/>
        <s v="AplPay CRISP &amp; GREENWAYZATA             MN"/>
        <s v="Withdrawal"/>
        <s v="LAKE MINNETONKA EXCEEXCELSIOR           MN"/>
        <s v="AplPay PURALIMA - WAWAYZATA             MN"/>
        <s v="GREEK GOURMET 0000  BLAINE              MN"/>
        <s v="NAZRUL ISLAM        FIRENZE"/>
        <s v="AplPay LS DULUTH KITDULUTH              MN"/>
        <s v="AplPay VIVA*AD GROUPEMPOLI              IT"/>
        <s v="AplPay CHIPOTLE MEX NEWPORT BEACH       CA"/>
        <s v="GOLFNOW             BELFAST             GB"/>
        <s v="KFC C750152 0000    NORTH BRANCH        MN"/>
        <s v="WMA ITALY SRL FIRENZE IT REF #XX8988Z1Q2DV61Z"/>
        <s v="MSP AIRP LEEANN CHINSAINT PAUL          MN"/>
        <s v="THE DEERSTAND 068880DEERWOOD            MN"/>
        <s v="Fusion Fitness"/>
        <s v="A RAMP 8067 08487002MINNEAPOLIS         MN"/>
        <s v="AplPay A'BULAE      Saint Paul          MN"/>
        <s v="TST* DOG HAUS BIERGADENVER              CO"/>
        <s v="AplPay ENI07431     ORVIETO"/>
        <s v="Fabbrica di San Pietro Citta del VatVS REF #XX9546E9GH6A"/>
        <s v="THAI BOAT 89        Minneapolis         MN"/>
        <s v="LIQUIDAMBITIONSLIQUOCREEDE              CO"/>
        <s v="WWW.BASILICASANCLEMENT ROMA IT REF #XX5932X4NPFSW"/>
        <s v="AplPay LA BOTTEGHINACASTIGLIONE DEL LAGO"/>
        <s v="BAR LO SPUNTINO MONTEROSSO ALIT REF #XX1638WDFEETWV4"/>
        <s v="GELATERIA VEGANA    FIRENZE"/>
        <s v="LHR T3 GLORIOUS BRITTERMINAL 3 LANDSID  GB"/>
        <s v="SUMUP*VALERY VENBERGCORK"/>
        <s v="PROPAY*Porzana-Uptow7632279002          MN"/>
        <s v="TST* OAK 19 FARE &amp; RCHASKA              MN"/>
        <s v="TOBIES STATION INC  HINCKLEY            MN"/>
        <s v="BIG BLUE            Excelsior           MN"/>
        <s v="AplPay CAFE WREN    Luck                WI"/>
        <s v="MCDONALD'S F35248 00CHANHASSEN          MN"/>
        <s v="CAFE ENA 0000       MINNEAPOLIS         MN"/>
        <s v="CAROSSO ENOTECA     ALBA"/>
        <s v="ERMIRIO MARGHERITA  VERNAZZA"/>
        <s v="AplPay MYBOOSTER* MINORCROSS            GA"/>
        <s v="AplPay BT*GILLETTE CSAINT PAUL          MN"/>
        <s v="AplPay WESTWOODCC.OREXCELSIOR           MN"/>
        <s v="THE UPS STORE 7416  CHASKA              MN"/>
        <s v="Naturally Nourished Cork IE REF #XX8003R4B8F"/>
        <s v="FSP*OMNI BREWERY &amp; TVICTORIA            MN"/>
        <s v="SPO*MONTEGOBLU-TROPIEXCELSIOR           MN"/>
        <s v="GALLERIA ACCADEMIA  FIRENZE"/>
        <s v="HOBNOB 7183000012175DES MOINES          IA"/>
        <s v="AplPay TARGET       MINNETONKA          MN"/>
        <s v="AplPay GOFANTIX* MINALPHARETTA          GA"/>
        <s v="THE COUNTRY STOP-PROSPICER              MN"/>
        <s v="AGRITURISMO VIA DELLCORTONA"/>
        <s v="LORA F&amp;B            STILLWATER          MN"/>
        <s v="THE SOCIAL ICE CREAMVictoria            MN"/>
        <s v="TST* OLD SOUTHERN BBEXCELSIOR           MN"/>
        <s v="AplPay MCDONALD'S F5WAYZATA             MN"/>
        <s v="BLACK ORANGE ROMA IT REF #XX6394GRW21XK6"/>
        <s v="PRIME VIDEO *ME9EA6U888-802-3080        WA"/>
        <s v="ZETTLE *ONDGO - BLACLONDON              GB"/>
        <s v="STARBUCKS FIRENZE   FIRENZE"/>
        <s v="Willow River State Park"/>
        <s v="RVT*MINNEWASHTA ELEMEXCELSIOR           MN"/>
        <s v="GARRISON REED LLC   Wayzata             MN"/>
        <s v="MINNETONKA YOUTH HOCMinnetonka          MN"/>
        <s v="AplPay ORION DONUTS CHANHASSEN          MN"/>
        <s v="THE UPS STORE 0473  MINNETONKA          MN"/>
        <s v="WAL-MART SUPERCENTERSAINT CROIX FALLS   WI"/>
        <s v="Mutton Lane Inn Cork IE REF #XX6005W44D1"/>
        <s v="xx45 - LONDRA 02 ROMA IT REF #XX5978XT6D7"/>
        <s v="Naturally Nourished Cork IE REF #XX9166V12NMHE56"/>
        <s v="CREMERIA DON PEPE' ROMA IT REF #XX6393GEFPB499"/>
        <s v="TST* THE CABANA CLUBMINNEAPOLIS         MN"/>
        <s v="DAIRY QUEEN         CHASKA              MN"/>
        <s v="LENNOXS CORK IE REF #XX9056S2X50SR1V"/>
        <s v="SQ *DER'S FARM Minnetonka MN REF #XX2166S2YMAXV66"/>
        <s v="SIREN COFFEE SRL FIRENZE IT REF #XX5908Z1TR3JG15"/>
        <s v="AplPay PULCINELLA BIMONTEPULCIANO"/>
        <s v="CHIPOTLE 2051 2051  MINNETONKA          MN"/>
        <s v="MONTEROSSO GOURMET SRL MONTEROSSO ALIT REF #XX8988W1Q083K30"/>
        <s v="MINERVA ROMA IT REF #XX9296YYM5B5"/>
        <s v="LA DIVINA - PIZZERIAFIRENZE"/>
        <s v="AplPay VERNAZZA SS DVERNAZZA"/>
        <s v="The Bulldog"/>
        <s v="PY *KJ'S NEW NORTH 0BALSAM LAKE         WI"/>
        <s v="Piaggios Stach Schipho SCHIPHOL NL REF #XX5008V2LN499E8"/>
        <s v="DAMICO &amp; SONS-MILL CMINNEAPOLIS         MN"/>
        <s v="Naturally Nourished Cork IE REF #XX0428X7Y"/>
        <s v="AplPay CULVER'S OF RROGERS              MN"/>
        <s v="AplPay SAN JUAN SPORCreede              CO"/>
        <s v="EIS CAFE' ROYAL LUCCA IT REF #XX1638XDW338GJB"/>
        <s v="AplPay JONES COFFEE Minneapolis         MN"/>
        <s v="AplPay GELATERIA DEIFIRENZE"/>
        <s v="AplPay FARMACIA FRANMONTEPULCIANO"/>
        <s v="AplPay CKE*THE SOCIADULUTH              MN"/>
        <s v="AplPay DAIRY QUEEN #MINNETONKA          MN"/>
        <s v="TIDE DRY CLEANERS CHCHANHASSEN          MN"/>
        <s v="PRO LOCO DI MONTEPULCIANOMONTEPULCIANOIT REF #XX7792D7R20XJ5"/>
        <s v="FUTURA DI LO RUSSO AALBA"/>
        <s v="INAUDI              ALBA"/>
        <s v="DAIRY QUEEN #45864 4MINNETONKA          MN"/>
        <s v="BONFES PLUMBING HEATING AXX6633 MN REF #XX3995S66HN1FY"/>
        <s v="BONFES PLUMBING HEATING AXX6633 MN REF #XX3988S66FJR3L"/>
        <s v="BONFES PLUMBING HEATING AXX6633 MN REF #XX3978S66D3JMN"/>
        <s v="BONFES PLUMBING HEATING AXX6633 MN REF #XX3969S66LBBGH"/>
        <s v="BONFES PLUMBING HEATING AXX6633 MN REF #XX5395BS66JEAFJ"/>
        <s v="CEP*OLYMPIC HILLS GC EDEN PRAIRIE MN REF #XX0628R1HEKDQ"/>
        <s v="ELY CAFF MONTEROSSO ALIT REF #XX1638WDFBJJDJL"/>
        <s v="AplPay VIVA*BAR LA CCASTIGLIONE DEL LAGOIT"/>
        <s v="TST-BORU COFFEE     CORK                IR"/>
        <s v="SILVERBROOK COFFEE  Saint Croix Falls   WI"/>
        <s v="AplPay STARBUCKS EASMINNEAPOLIS         MN"/>
        <s v="PSPT LAWRNC ENF 0000Charlotte           NC"/>
        <s v="G.F. MARKET MONTEROSSO ALIT REF #XX1638XDWQVZE81"/>
        <s v="12CDT - CDT TRATTA A1 TORTONA IT REF #XX9498W1134TJV4"/>
        <s v="CONAD FIRENZE IT REF #XX1638YE36DA2HJ"/>
        <s v="ROCKY MOUNTAIN CHOCOSaint Paul          MN"/>
        <s v="GLF MAHONGC         CORK"/>
        <s v="FTSCHNEIDER GMBH SOEST DF REF #XX2234S01F2QLVG"/>
        <s v="NORTH STAR DONUTS   Excelsior           MN"/>
        <s v="THE HIGHWAY 46 STORE BALSAM LAKE WI REF #XX4545W015VT4N4"/>
        <s v="OPIE'S LLC          Creede              CO"/>
        <s v="RACESSENTIALS       Duluth              MN"/>
        <s v="OSHO                BALLINTEMPLE"/>
        <s v="BAR BRASILE ROMA IT REF #XX6393GA7FNWKW"/>
        <s v="THE LOOP CORK CORK IE REF #XX3616X006FYQFB"/>
        <s v="PP*BEAR MADE CRAFTS/MILLTOWN            WI"/>
        <s v="ASPIT FIRENZE SUD - VALDICHIANA IT REF #XX9010B9KMRA"/>
        <s v="WAYZATA CAFE WAYZATA MN REF #XX3006V7KQGGSKK"/>
        <s v="AplPay SUMUP*ANWOARAROMA                IT"/>
        <s v="ASPIT ALBIANO M. - PISA NORD IT REF #XX9498Y158YYPVW"/>
        <s v="AplPay SUPER ONE FOOCROSBY              MN"/>
        <s v="AMAZON PRIME*N405R19888-802-3080        WA"/>
        <s v="AMAZON KIDS+*NM6AX0X888-802-3080        WA"/>
        <s v="AMAZON PRIME*NV7VO40888-802-3080        WA"/>
        <s v="AMAZON KIDS+*DQ9SP0W888-802-3080        WA"/>
        <s v="AMAZON PRIME*J267R7A888-802-3080        WA"/>
        <s v="AMAZON KIDS+*ND8YJ1O888-802-3080        WA"/>
        <s v="AMAZON PRIME*NN21081888-802-3080        WA"/>
        <s v="AMAZON KIDS+*RE5790K888-802-3080        WA"/>
        <s v="AMAZON PRIME*NQ2HH3Y888-802-3080        WA"/>
        <s v="AMAZON KIDS+*NA9FI17888-802-3080        WA"/>
        <s v="RISTORO DA MARIA MONTEROSSO ALIT REF #XX1638WD9PPXXL7"/>
        <s v="ASPIT LUCCA EST - FI SCANDICCI IT REF #XX9498Y158YYPVA"/>
        <s v="MCDONALD'S          ST PAUL             MN"/>
        <s v="AplPay EMV CARTE STRROMA"/>
        <s v="PONCHA MARKET       PONCHA SPRING       CO"/>
        <s v="CARRIAGE FOOD SERVICES LTENNIS IE REF #XX6999SRVJFG6Z"/>
        <s v="BAR GELATERIA ENRICARIOMAGGIORE"/>
        <s v="DAIRY QUEEN #42628 0NEW BRIGHTON        MN"/>
        <s v="KS DEPT WILDLIFE &amp; PAR PRATT KS REF #XX7504KW0F7Z6"/>
        <s v="CUB FOODS #1644 0000CHANHASSEN          MN"/>
        <s v="19 EAST EMP STORE   HERSHEY             PA"/>
        <s v="D J*WSJ XX-7625 NJ REF #XX2166J33BRVKS7"/>
        <s v="D J*WSJ XX-7625 NJ REF #XX2165N2XZQ26GV"/>
        <s v="D J*WSJ XX-7625 NJ REF #XX2164S34ZYT4B2"/>
        <s v="AplPay SHOREWOOD ACEEXCELSIOR           MN"/>
        <s v="Withdrawal ACH BIRD RIDES ITALY CO: BIRD RIDES ITALY S.R.L. TYPE: IAT PAYPAL ID: 7XX0487C Entry Class Code: IAT ACH Trace Number: XX3008"/>
        <s v="AplPay SUMUP*TABACCHGROTTAFERRATA"/>
        <s v="AplPay CARIBOU COFFEMINNEAPOLIS         MN"/>
        <s v="TRADER JOE S #725 00MINNEAPOLIS         MN"/>
        <s v="THE BOOKERY         Balsam Lake         WI"/>
        <s v="GOLDEN VALLEY COUNTRMINNEAPOLIS         MN"/>
        <s v="KU CAMPUS BOOKSTORESLAWRENCE            KS"/>
        <s v="AplPay BALSAM LAKE BBalsam Lake         WI"/>
        <s v="Royal Coffee"/>
        <s v="ACQU.DISTRIB.AUTOMATI SERIATE IT REF #XX1747F7EM"/>
        <s v="ACQU.DISTRIB.AUTOMATI SERIATE IT REF #XX1747F7EX"/>
        <s v="CONAD FIRENZE IT REF #XX1638YE36D9ZKN"/>
        <s v="NYA*Cork Vending Solut XX9621 IE REF #XX4656R38TW4J4Z"/>
        <s v="GOOGLE *Google One g.co/helppay#CA REF #XX7305WAJ8Y"/>
        <s v="GOOGLE *Google One g.co/helppay#CA REF #XX6834NA7WLZ"/>
        <s v="GOOGLE *Google One g.co/helppay#CA REF #XX2165A2XAH1HNR"/>
        <s v="Family Dollar"/>
        <s v="DNR EPAY WIN ACS SERMADISON             WI"/>
        <s v="AplPay SUMUP*PASTICCCASTIGLIONE DEL LAGO"/>
        <s v="MERCATO CENTRALE FIRENZE FIRENZE IT REF #XX4958Y96H3T030"/>
        <s v="ASPIT GENOVA AEROP. - GENOVA PEGLI IT REF #XX9498W1134TJSW"/>
        <s v="Credit for AMEX Error"/>
        <s v="Deposit Dividend Split Rate Annual Percentage Yield Earned 2.07% from 06/01/25 through 06/30/25"/>
        <s v="Deposit Dividend Split Rate Annual Percentage Yield Earned 1.52% from 09/01/25 through 09/30/25"/>
        <s v="Deposit Dividend Split Rate Annual Percentage Yield Earned 1.75% from 10/01/25 through 10/31/25"/>
        <s v="Deposit Dividend Split Rate Annual Percentage Yield Earned 1.39% from 07/01/25 through 07/31/25"/>
        <s v="Deposit Dividend Split Rate Annual Percentage Yield Earned 1.34% from 08/01/25 through 08/31/25"/>
        <s v="Deposit ACH EMPYREAN SOLUTIO TYPE: ACH ID: XX3620 CO: EMPYREAN SOLUTIO Entry Class Code: ACH Trace Number: XX3664"/>
        <s v="Deposit ACH Delta TYPE: Customer C ID: XX2001 CO: Delta Entry Class Code: ACH Trace Number: XX4509"/>
        <s v="K99U:0002 300.00 credit"/>
        <s v="Deposit ACH EMPYREAN SOLUTIO TYPE: ACH ID: XX3620 CO: EMPYREAN SOLUTIO Entry Class Code: ACH Trace Number: XX2599"/>
        <s v="Deposit ACH EMPYREAN SOLUTIO TYPE: ACH ID: XX3620 CO: EMPYREAN SOLUTIO Entry Class Code: ACH Trace Number: XX5397"/>
        <s v="Deposit ACH EMPYREAN SOLUTIO TYPE: ACH ID: XX3620 CO: EMPYREAN SOLUTIO Entry Class Code: ACH Trace Number: XX8141"/>
        <s v="Deposit ACH EMPYREAN SOLUTIO TYPE: ACH ID: XX3620 CO: EMPYREAN SOLUTIO Entry Class Code: ACH Trace Number: XX2600"/>
        <s v="Deposit ACH EMPYREAN SOLUTIO TYPE: ACH ID: XX3620 CO: EMPYREAN SOLUTIO Entry Class Code: ACH Trace Number: XX3663"/>
        <s v="Salary/Regular Income from Cargill Inc"/>
        <s v="Deposit ACH TRUITTJEFF TYPE: SETL ID: XX1866 CO: MBI NAME: TRUITTJEFF Entry Class Code: WEB ACH Trace Number: XX2967"/>
      </sharedItems>
    </cacheField>
    <cacheField name="Amount" numFmtId="0">
      <sharedItems containsMixedTypes="1" containsNumber="1" minValue="-60362.77" maxValue="49202.03"/>
    </cacheField>
    <cacheField name="Category" numFmtId="0">
      <sharedItems containsDate="1" containsBlank="1" containsMixedTypes="1" minDate="1899-12-31T00:00:00" maxDate="1899-12-31T00:00:00" count="61">
        <s v="Amazon"/>
        <s v="Restaurants"/>
        <s v="Transportation"/>
        <s v="Delete"/>
        <s v="Day Care"/>
        <s v="Groceries"/>
        <s v="Rent"/>
        <n v="0"/>
        <s v="Shopping"/>
        <s v="College Savings"/>
        <s v="Entertainment"/>
        <s v="Utilities"/>
        <s v="Target"/>
        <s v="Inc - Other"/>
        <s v="Inc - Britney"/>
        <s v="Inc - Jeff"/>
        <s v="Insurance"/>
        <s v="Roth"/>
        <s v="401K"/>
        <s v="House Maintenance"/>
        <s v="Dry Cleaning"/>
        <s v="Savings"/>
        <s v="Car Loan"/>
        <s v="Dividend"/>
        <s v="Travel"/>
        <s v="Healthcare"/>
        <e v="#N/A"/>
        <s v="Gym"/>
        <s v="Misc"/>
        <s v="Gifts"/>
        <s v="House"/>
        <s v="Exp - House"/>
        <s v="Exp - Shopping"/>
        <s v="Exp - Cleaning"/>
        <s v="Britney"/>
        <s v="Exp - Entertainment"/>
        <s v="Exp - House Maint"/>
        <s v="Exp - Transportation"/>
        <s v="Exp - Groceries"/>
        <s v="Exp - Restaurants"/>
        <s v="Exp - Day Care"/>
        <s v="Exp - Amazon"/>
        <s v="Exp - Utilities"/>
        <s v="Exp - Travel"/>
        <s v="Exp - Misc"/>
        <s v="Exp - Target"/>
        <s v="Exp - Healthcare"/>
        <s v="Sav - College Savings"/>
        <s v="Exp - Car Loan"/>
        <s v="Exp - Gym"/>
        <s v="Exp - Dry Cleaning"/>
        <s v="Exp - Gifts"/>
        <s v="Sav - Savings"/>
        <s v="Exp - Rent"/>
        <s v="Exp - Insurance"/>
        <s v="Inc - Dividend"/>
        <s v="Cleaning"/>
        <s v="Jeff"/>
        <d v="1899-12-30T00:00:00" u="1"/>
        <e v="#REF!" u="1"/>
        <m u="1"/>
      </sharedItems>
    </cacheField>
    <cacheField name="Suggested Cat Value" numFmtId="0">
      <sharedItems containsBlank="1" containsMixedTypes="1" containsNumber="1" containsInteger="1" minValue="0" maxValue="0"/>
    </cacheField>
    <cacheField name="Manual Cat Value" numFmtId="0">
      <sharedItems containsBlank="1"/>
    </cacheField>
    <cacheField name="Notes" numFmtId="0">
      <sharedItems containsBlank="1"/>
    </cacheField>
    <cacheField name="Amount2" numFmtId="0">
      <sharedItems containsString="0" containsBlank="1" containsNumber="1" minValue="-13083" maxValue="407277.27"/>
    </cacheField>
    <cacheField name="ActiveRule" numFmtId="0">
      <sharedItems containsBlank="1"/>
    </cacheField>
    <cacheField name="Desc" numFmtId="0">
      <sharedItems containsNonDate="0" containsString="0" containsBlank="1"/>
    </cacheField>
    <cacheField name="LongDesc" numFmtId="0">
      <sharedItems containsBlank="1"/>
    </cacheField>
    <cacheField name="InflowOutflow" numFmtId="0">
      <sharedItems containsBlank="1"/>
    </cacheField>
    <cacheField name="Short Desc" numFmtId="0">
      <sharedItems count="5834">
        <s v="Amazon"/>
        <s v="Borough"/>
        <s v="Speedway"/>
        <s v="Transfer from POWERPLUS CHECKING"/>
        <s v="Transfer to Cash Rewards Visa Signature"/>
        <s v="CCLC TYPE INTERNET ID CO CCLC ACH ECC WEB ACH Trace 49616 233344358"/>
        <s v="Cub Foods"/>
        <s v="Withdrawal Home To Loan Mortgage Payment Thank You 233602111"/>
        <s v="Dollar Tree"/>
        <s v="MIYABI EXCELSIOR MN"/>
        <s v="SHOREWOOD LIQUOR EXCELSIOR MN 233755679"/>
        <s v="SHOREWOOD LIQUOR EXCELSIOR MN 233755680"/>
        <s v="SHOREWOOD TRUE VALUE EXCELSIOR MN 233755684"/>
        <s v="SOTA CLOTHING SPENCEDESIGNSMN 233755683"/>
        <s v="PAYMENT 234306694"/>
        <s v="CENTRAL CHECKOUT 79999999187086207507850"/>
        <s v="College Savings TYPE ACH ID 550895818 CO College Savings ACH ECC PPD ACH Tr"/>
        <s v="Deposit by Check Deposit Anywhere check deposit 233928086"/>
        <s v="INST XFER 190704"/>
        <s v="SCHWAB S&amp;P 500 INDEX FD"/>
        <s v="SCHWAB TOTAL STOCK MKT INDEX"/>
        <s v="Cabin Fever Sporting Goods Inc."/>
        <s v="ALLBIRDS 402-935-7733 CA"/>
        <s v="Deposit by Check Deposit Anywhere check deposit 234411967"/>
        <s v="Deposit by Check Deposit Anywhere check deposit 234411968"/>
        <s v="Prime VideoMH7ML21U2 8888023080 WA 234610356"/>
        <s v="Venmo Type Cashout"/>
        <s v="INST XFER 190708"/>
        <s v="Kaufman Hall Type"/>
        <s v="Venmo"/>
        <s v="Xcel Energy"/>
        <s v="CCLC TYPE INTERNET ID CO CCLC ACH ECC WEB ACH Trace 46678 234870503"/>
        <s v="Milio's Sandwiches"/>
        <s v="SEAT ENGINE LLC 8887328364 PA 235209088"/>
        <s v="Target"/>
        <s v="Cargill Incorpor Type"/>
        <s v="Hudson News"/>
        <s v="Buffalo Niagara Taxi"/>
        <s v="Acme"/>
        <s v="BAR LA GRASSA MINNEAPOLIS MN"/>
        <s v="CARGILL COCOA TYPE DIR DEP ID CO CARGILL COCOA ACH ECC PPD ACH Trace 05327 "/>
        <s v="CENTRAL CHECKOUT 79999999194135608672416"/>
        <s v="KAUFMAN HALL TYPE DIRECT DEP ID CO KAUFMAN HALL ACH ECC PPD ACH Trace 45671"/>
        <s v="Washington Gas"/>
        <s v="CARGILL PRODUC20081436 WAYZATA MN 235985503"/>
        <s v="CARGILL PRODUC20081436 WAYZATA MN 235985504"/>
        <s v="NORTH COOP CHAHASSEN MN 235985506"/>
        <s v="NORTH COOP CHAHASSEN MN 235985507"/>
        <s v="American Family Insurance"/>
        <s v="Lululemon"/>
        <s v="SHOREWOOD LIQUOR EXCELSIOR MN 236288792"/>
        <s v="Tfr JPMORGAN CHASE BAN, CARGILL COCOA &amp;"/>
        <s v="Tfr JPMORGAN CHASE BAN, KAUFMAN HALL"/>
        <s v="Total Wine and More"/>
        <s v="VANG TARGET RET 2050"/>
        <s v="Walgreens"/>
        <s v="INTERNET PAYMENT - THANK YOU"/>
        <s v="Advocare"/>
        <s v="BANK INT 061619-071519 SCHWAB BANK"/>
        <s v="Caribou Coffee"/>
        <s v="Home Depot"/>
        <s v="Home Goods"/>
        <s v="REI"/>
        <s v="DISCOVER TYPE EPAYMENT ID CO DISCOVER ACH ECC WEB ACH Trace 12666 236554536"/>
        <s v="CCLC TYPE INTERNET ID CO CCLC ACH ECC WEB ACH Trace 88211 236554535"/>
        <s v="CENTRAL CHECKOUT 79999999198135208645693"/>
        <s v="CENTRAL CHECKOUT 79999999198135212384891"/>
        <s v="CenturyLink"/>
        <s v="Harvard Business"/>
        <s v="E-PAYMENT, TARGET.COM 79999999200001920393945"/>
        <s v="Byerly's"/>
        <s v="Churchills Quality Cigars &amp; Gifts"/>
        <s v="CRISP GREEN WAYZATA WAYZATA MN 237233383"/>
        <s v="THE WHARF EXCELSIOR MN"/>
        <s v="Willy McCoys"/>
        <s v="Davanni's Inc"/>
        <s v="RED SAUCE REBELLION - 888-707-2469 CA"/>
        <s v="Anthropologie"/>
        <s v="BEST CLEANERS EX 5 EXCELSIOR MN 237583197"/>
        <s v="Elite Nails"/>
        <s v="Enki Brewing"/>
        <s v="Holiday Stationstore"/>
        <s v="Wal-Mart"/>
        <s v="Banana Visa TYPE BR EPAY ID CO Banana Visa ACH ECC WEB ACH Trace 84633 2376"/>
        <s v="City of Chanhassen"/>
        <s v="DNCSS MN TWINS CONCESS MINNEAPOLIS MN02209B"/>
        <s v="DNCSS MN TWINS CONCESS MINNEAPOLIS MN02281B"/>
        <s v="TARGET CARD SRVC BILL PAY 190719"/>
        <s v="CRAVE EDEN PRAIRIE EDEN PRAIRIE MN"/>
        <s v="CARGILL COCOA TYPE DIR DEP ID CO CARGILL COCOA ACH ECC PPD ACH Trace 29338 "/>
        <s v="CARGILL COCOA TYPE DIR DEP ID CO CARGILL COCOA ACH ECC PPD ACH Trace 47714 "/>
        <s v="CCLC TYPE INTERNET ID CO CCLC ACH ECC WEB ACH Trace 52324 238084734"/>
        <s v="Transfer to RAINY DAY SAVINGS"/>
        <s v="CASHBACK BONUS REDEMPTION payment/STMT CRDT"/>
        <s v="KONA GRILL MINNETONKA MINNETONKA MN 238658240"/>
        <s v="Transfer from SHARE SAVINGS"/>
        <s v="DISCOVER TYPE EPAYMENT ID CO DISCOVER ACH ECC WEB ACH Trace 30484 238620406"/>
        <s v="CARGILL JAZZMANS WAYZATA MN 238865517"/>
        <s v="CENTRAL CHECKOUT 79999999207135208125224"/>
        <s v="Netflix"/>
        <s v="Trader Joe's"/>
        <s v="WINCHESTER AND RYE VICTORIA MN"/>
        <s v="CARGILL CAFE 20014981 WAYZATA MN 239250212"/>
        <s v="E-PAYMENT, TARGET.COM 79999999210001921190249"/>
        <s v="City Market"/>
        <s v="RAOCOPARKSWILDLIFE CO DENVER CO TX 239518482"/>
        <s v="TST RED RABBIT MINNEAPMINNEAPOLIS MN 239518478"/>
        <s v="Banana Visa TYPE BR EPAY ID CO Banana Visa ACH ECC WEB ACH Trace 34491 2394"/>
        <s v="CREEDE SNOWSHOE LODGE CREEDE CO 239762227"/>
        <s v="DENVER CHOP HOUSE DEN DENVER CO 239762229"/>
        <s v="KAUFMAN HALL TYPE DIRECT DEP ID CO KAUFMAN HALL ACH ECC PPD ACH Trace 28234"/>
        <s v="MINNEAPOLIS AIRPORT SAINT PAUL MN 239762228"/>
        <s v="PENN MINNOCO MINNEAPOLIS MN 239762231"/>
        <s v="UNITED 0161523949801HOUSTON TX 239762230"/>
        <s v="Apy Earned"/>
        <s v="ATM FEE REFUND 239968470"/>
        <s v="CCLC TYPE INTERNET ID CO CCLC ACH ECC WEB ACH Trace 11086 239730228"/>
        <s v="INST XFER 190730"/>
        <s v="Interest Paid"/>
        <s v="Split Rate Apy"/>
        <s v="Sur La Table"/>
        <s v="From Share 70 240148342"/>
        <s v="To Loan 02 240071892"/>
        <s v="YETI COOLERS 5123949384 TX 240479865"/>
        <s v="A T &amp; T INC"/>
        <s v="RAYTHEON CO"/>
        <s v="TRAVEL INSURANCE POLICY 8007296021 VA 240721354"/>
        <s v="E-PAYMENT, TARGET.COM 79999999216001921770887"/>
        <s v="Withdrawal Home To Loan Mortgage Payment Thank You 240871919"/>
        <s v="Leeann Chin"/>
        <s v="SAN JUAN SPORTS CREEDE CO 242552794"/>
        <s v="SAN JUAN SPORTS CREEDE CO 242552795"/>
        <s v="Uptown Association"/>
        <s v="PAYMENT 241553299"/>
        <s v="DENVER CHOP HOUSE DEN DENVER CO 242552801"/>
        <s v="Red Wagon Pizza Co"/>
        <s v="TARGET CARD SRVC BILL PAY 190804"/>
        <s v="VISA INC CLASS A"/>
        <s v="Best Western"/>
        <s v="INST XFER 190805"/>
        <s v="VANGUARD INTRMDIAT TRM TRSRY ETF"/>
        <s v="Waste Management"/>
        <s v="DISCOVER TYPE EPAYMENT ID CO DISCOVER ACH ECC WEB ACH Trace 78971 241622915"/>
        <s v="Barrio Edina Edina MN 242552805"/>
        <s v="CARGILL COCOA TYPE DIR DEP ID CO CARGILL COCOA ACH ECC PPD ACH Trace 95144 "/>
        <s v="CCLC TYPE INTERNET ID CO CCLC ACH ECC WEB ACH Trace 43624 241622914"/>
        <s v="CPENERGY MNGCO TYPE MGC ACH EB ID 176051140S CO CPENERGY MNGCO ACH ECC WEB "/>
        <s v="LOWES COMPANIES INC"/>
        <s v="LEVELUP*ROTIMODERNMEDI 855-466-5585 MA90MB929M"/>
        <s v="Party City"/>
        <s v="INST XFER 190808"/>
        <s v="Excelsior Brewing"/>
        <s v="E-PAYMENT, TARGET.COM 79999999224001922632243"/>
        <s v="CENTRAL CHECKOUT 79999999225086207542752"/>
        <s v="CENTRAL CHECKOUT 79999999225086212599979"/>
        <s v="Type Verifybank Id"/>
        <s v="PayPal"/>
        <s v="Transfer from Cash Rewards Visa Signature"/>
        <s v="Transfer to POWERPLUS CHECKING"/>
        <s v="US Bank"/>
        <s v="CARGILL CAF20014981579 WAYZATA MN"/>
        <s v="CCLC TYPE INTERNET ID CO CCLC ACH ECC WEB ACH Trace 54205 243304826"/>
        <s v="Withdrawal ACH TYPE Online ID ACH ECC WEB 243509658"/>
        <s v="Bcu Online"/>
        <s v="APPLE INC"/>
        <s v="CARGILL PRO20081436579 WAYZATA MN"/>
        <s v="KAUFMAN HALL"/>
        <s v="KAUFMAN HALL TYPE DIRECT DEP ID CO KAUFMAN HALL ACH ECC PPD ACH Trace 55623"/>
        <s v="PROCTER &amp; GAMBLE"/>
        <s v="BANK INT 071619-081519 SCHWAB BANK"/>
        <s v="INST XFER 190815"/>
        <s v="SQ SEEK EYE CARE PA Victoria MN 244077401"/>
        <s v="Cast &amp; Cru"/>
        <s v="BP"/>
        <s v="CARGILL PRODUC20081436 WAYZATA MN 244451314"/>
        <s v="Delta"/>
        <s v="NORTH COOP CHAHASSEN MN"/>
        <s v="LEVELUP*ROTIMODERNMEDI 855-466-5585 MAQVWH4CKC"/>
        <s v="MN DVS MLR TYPE epayment ID 416007162P CO MN DVS MLR ACH ECC WEB ACH Trace "/>
        <s v="CARGILL COCOA TYPE DIR DEP ID CO CARGILL COCOA ACH ECC PPD ACH Trace 82270 "/>
        <s v="CCLC TYPE INTERNET ID CO CCLC ACH ECC WEB ACH Trace 41683 244913434"/>
        <s v="MN DVS MLR TYPE conv fee ID E987654321 CO MN DVS MLR ACH ECC WEB ACH Trace "/>
        <s v="North Face"/>
        <s v="DISCOVER TYPE EPAYMENT ID CO DISCOVER ACH ECC WEB ACH Trace 17218 245464338"/>
        <s v="CARGILL COCOA &amp;"/>
        <s v="Funds Transfer to Brokerage -5308"/>
        <s v="INTEL CORP"/>
        <s v="Noodles &amp; Company"/>
        <s v="Olives Fresh Pizza Bar"/>
        <s v="STARBUCKS CORP"/>
        <s v="TRANSFER FUNDS FROM SCHWAB BANK - 440020765184"/>
        <s v="US TREASURY BILL19U S T BILL DUE 11/21/19"/>
        <s v="Auto"/>
        <s v="CARGILL PRODUC20081436 WAYZATA MN 246007947"/>
        <s v="Details"/>
        <s v="DOORDASHSMASHBURGER STRIPECOM CA 246007951"/>
        <s v="Wendy's"/>
        <s v="PAYMENT 246472536"/>
        <s v="Withdrawal Home To Loan Mortgage Payment Thank You 246127048"/>
        <s v="Nas Thai Cafe Inc"/>
        <s v="SOTA CLOTHING ST LOUIS P MN 246489179"/>
        <s v="CCLC TYPE INTERNET ID CO CCLC ACH ECC WEB ACH Trace 26790 246798009"/>
        <s v="KAUFMAN HALL TYPE DIRECT DEP ID CO KAUFMAN HALL ACH ECC PPD ACH Trace 32137"/>
        <s v="SCHWAB1 INT 07/30-08/28"/>
        <s v="Banana Visa TYPE BR EPAY ID CO Banana Visa ACH ECC WEB ACH Trace 91862 2470"/>
        <s v="RISE BAGEL CO MINNEAPOLIS MN"/>
        <s v="ATM FEE REFUND 247464311"/>
        <s v="SMALL CHEVAL CHICAGO IL"/>
        <s v="From Share 70 247530039"/>
        <s v="To Loan 02 247528486"/>
        <s v="BLACK SHEEP PIZZA - N WA MINNEAPOLIS MN"/>
        <s v="Bub City"/>
        <s v="JACK AND GINGERS CHICAGO IL 248041945"/>
        <s v="Lyft"/>
        <s v="SQ IPSENTO COFFEE CHICAGO IL 248041948"/>
        <s v="VENTRA VENDING 06401 CHICAGO IL"/>
        <s v="VENTRA VENDING 06401 CHICAGO IL 248041947"/>
        <s v="11003 NORTH LOOP MINNEAPOLIS MN 248335279"/>
        <s v="City Winery Chicago LLC"/>
        <s v="ELECTRIC MUD COFFEE BAR CHICAGO IL"/>
        <s v="Mindys Hot Chocolate Chicago IL 248335272"/>
        <s v="Northside Bar and Grill Chicago IL 248335273"/>
        <s v="Bucktown Food &amp; Liquors Inc."/>
        <s v="CARGILL COCOA TYPE DIR DEP ID CO CARGILL COCOA ACH ECC PPD ACH Trace 90979 "/>
        <s v="CCLC TYPE INTERNET ID CO CCLC ACH ECC WEB ACH Trace 27865 248324063"/>
        <s v="FID 500 INDEX"/>
        <s v="FID EXTD MKT IDX"/>
        <s v="Best Buy"/>
        <s v="Dick's Sporting"/>
        <s v="Western Ob Gyne Ltd"/>
        <s v="BOEING CO"/>
        <s v="Mille Lac's Liquor &amp; Gas"/>
        <s v="MINNEAPOLIS AIRPORT SAINT PAUL MN 249163412"/>
        <s v="Target Retire 2055 Tr P - Plan Contribution"/>
        <s v="LONESOME PINE RESTAURANT DEERWOOD MN"/>
        <s v="McDonald's"/>
        <s v="TST RED RABBIT MINNEAPMINNEAPOLIS MN 249546158"/>
        <s v="TUTTS BAIT GARRISON MN 249546159"/>
        <s v="Chipotle"/>
        <s v="CUB VIA INSTACART HTTPSINSTACARCA 249806671"/>
        <s v="LONESOME PINE RESTAURANT DEERWOOD MN 249806670"/>
        <s v="PRIME VIDEO*0G98P3B93 888-802-3080 WA2FIWZX4L0V0"/>
        <s v="AVOADVOCARE INTL 8005424800 TX 249999730"/>
        <s v="CHEVRON CORP"/>
        <s v="Certified Auto Repair"/>
        <s v="DIRECT PAY HSA TYPE ETRANSFER ID CO DIRECT PAY HSA ACH ECC PPD ACH Trace 76"/>
        <s v="DISCOVER TYPE EPAYMENT ID CO DISCOVER ACH ECC WEB ACH Trace 61084 250274979"/>
        <s v="CARGILL PRODUC20081436 WAYZATA MN 250485888"/>
        <s v="KAUFMAN HALL TYPE DIRECT DEP ID CO KAUFMAN HALL ACH ECC PPD ACH Trace 85835"/>
        <s v="CENTRAL CHECKOUT 79999999257086207947911"/>
        <s v="LIONS TAP EDEN PRAIRIE MN"/>
        <s v="RED SAUCE REBELLION EXCELSIOR MN"/>
        <s v="BEST CLEANERS EX 5 EXCELSIOR MN 251076860"/>
        <s v="Costco"/>
        <s v="ARBORETUM APPLEHOUSE CHASKA MN 251334778"/>
        <s v="BANK INT 081619-091519 SCHWAB BANK"/>
        <s v="Hobby Lobby"/>
        <s v="Etsy.com"/>
        <s v="MINNEAPOLIS AIRPORT SAINT PAUL MN 251562056"/>
        <s v="CARGILL COCOA TYPE DIR DEP ID CO CARGILL COCOA ACH ECC PPD ACH Trace 46957 "/>
        <s v="CCLC TYPE INTERNET ID CO CCLC ACH ECC WEB ACH Trace 58251 251588077"/>
        <s v="HOME 2 SUITES LOUISVIL LOUISVILLE KY 251815501"/>
        <s v="TINSLEY FAMILY CON 8632997177 KY 251815500"/>
        <s v="CENTRAL CHECKOUT 79999999263244907546614"/>
        <s v="LAKEWINDS CHANHASSEN CHANHASSEN MN 252093555"/>
        <s v="BCU MORTGAGE TYPE LOAN PAYMT ID 9DRAFTING CO BCU MORTGAGE ACH ECC WEB ACH T"/>
        <s v="Lago Tacos"/>
        <s v="SCHWAB US LARGE CAP GROWTH INDEX FD"/>
        <s v=""/>
        <s v="ATM T2F S3A/S DPT G47 Paris"/>
        <s v="Marriott"/>
        <s v="Funds Transfer from Brokerage -5308"/>
        <s v="TRANSFER FUNDS TO SCHWAB BANK - 440020765184"/>
        <s v="CHECK 2103 2103"/>
        <s v="CHL 02 ABIDJAN CI 253249246"/>
        <s v="SQ SEEK EYE CARE P VICTORIA MN 253249245"/>
        <s v="CCLC TYPE INTERNET ID CO CCLC ACH ECC WEB ACH Trace 39889 253216635"/>
        <s v="CHL 02 ABIDJAN CI 253420903"/>
        <s v="ETFMG ALTERNATIVE HARVEST ETF"/>
        <s v="HALLIBURTON CO HLDG"/>
        <s v="TYPE TRANSFER ID PAYPALSD11 CO PAYPAL ACH ECC PPD ACH Trace 34075 253658499"/>
        <s v="AIR LOUNGE 2 ABIDJAN CI 253898718"/>
        <s v="Joey Novas Pizzeria Deli"/>
        <s v="LADUREE B84 LE MESNIL AMEFR 253898719"/>
        <s v="SCHWAB1 INT 08/29-09/26"/>
        <s v="El Loro"/>
        <s v="JERRYS FOODS EP EDEN PRAIRIE MN 254261429"/>
        <s v="KAUFMAN HALL TYPE DIRECT DEP ID CO KAUFMAN HALL ACH ECC PPD ACH Trace 99822"/>
        <s v="Rally House 8006455409 KS 254261431"/>
        <s v="PAYMENT THANK YOU 254969613"/>
        <s v="Withdrawal Home payment to card 950588 254422203"/>
        <s v="ATM Fee Rebate"/>
        <s v="Lifetouch"/>
        <s v="SCHWAB US SMALL CAP ETF"/>
        <s v="E-PAYMENT, TARGET.COM 75117869274001927737046"/>
        <s v="Cred Rebate"/>
        <s v="From Share 70 254684532"/>
        <s v="To Loan 02 254671636"/>
        <s v="CARGILL COCOA TYPE DIR DEP ID CO CARGILL COCOA ACH ECC PPD ACH Trace 41454 "/>
        <s v="CCLC TYPE INTERNET ID CO CCLC ACH ECC WEB ACH Trace 73930 255027849"/>
        <s v="Nordstrom"/>
        <s v="Sherwin Williams"/>
        <s v="Banana Visa TYPE BR EPAY ID CO Banana Visa ACH ECC WEB ACH Trace 87275 2553"/>
        <s v="CARGILL JAZZMA20029518 WAYZATA MN 255608804"/>
        <s v="CARGILL PRODUC20081436 WAYZATA MN 255608803"/>
        <s v="PAYMENT 256214615"/>
        <s v="PAYMENT THANK YOU 256317570"/>
        <s v="Withdrawal Home payment to card 950588 255775611"/>
        <s v="Asos.com"/>
        <s v="Target Retire 2055 Tr P - Fee"/>
        <s v="Transfer to Discover More Card"/>
        <s v="CHECK 2098 2098"/>
        <s v="GameStop"/>
        <s v="Playstation Network"/>
        <s v="Suburban"/>
        <s v="TST* RED COW - 50TH ST MINNEAPOLIS MN"/>
        <s v="CCLC TYPE INTERNET ID CO CCLC ACH ECC WEB ACH Trace 31276 256802703"/>
        <s v="American Airlines"/>
        <s v="ATM FEE REFUND 262109505"/>
        <s v="BANK INT 091619-101519 SCHWAB BANK"/>
        <s v="CARGILL CAFE 20014981 WAYZATA MN 260718486"/>
        <s v="CARGILL CAFE 20014981 WAYZATA MN 262120557"/>
        <s v="CARGILL COCOA TYPE DIR DEP ID CO CARGILL COCOA ACH ECC PPD ACH Trace 59938 "/>
        <s v="CARGILL COCOA TYPE DIR DEP ID CO CARGILL COCOA ACH ECC PPD ACH Trace 72872 "/>
        <s v="CARGILL JAZ20029518579 WAYZATA MN"/>
        <s v="CARGILL JAZZMA20029518 WAYZATA MN 262120556"/>
        <s v="CARGILL PRODUC20081436 WAYZATA MN 260718485"/>
        <s v="CCLC TYPE INTERNET ID CO CCLC ACH ECC WEB ACH Trace 13050 258364244"/>
        <s v="CCLC TYPE INTERNET ID CO CCLC ACH ECC WEB ACH Trace 60671 260057590"/>
        <s v="CCLC TYPE INTERNET ID CO CCLC ACH ECC WEB ACH Trace 89061 261565289"/>
        <s v="CHINA PAGODA 2 CHASKA MN"/>
        <s v="Coalition Restaurant"/>
        <s v="Deposit by Check Deposit Anywhere check deposit 260291527"/>
        <s v="DOORDASHKAIS SUSHI 6506819470 CA 257881483"/>
        <s v="Greenwood Market"/>
        <s v="HOLIDAY CAR WASH 340 CHASKA MN 259787378"/>
        <s v="KAUFMAN HALL TYPE DIRECT DEP ID CO KAUFMAN HALL ACH ECC PPD ACH Trace 30833"/>
        <s v="KAUFMAN HALL TYPE DIRECT DEP ID CO KAUFMAN HALL ACH ECC PPD ACH Trace 97525"/>
        <s v="LIFE TIME CAFE 151Q48 CHANHASSEN MN 261154408"/>
        <s v="LIFE TIME CAFE 151Q48 CHANHASSEN MN01353B"/>
        <s v="Life Time Fitness Inc."/>
        <s v="Papa John's"/>
        <s v="PUB 819 HOPKINS MN 257881486"/>
        <s v="PUB 819 HOPKINS MN 257881487"/>
        <s v="PUB 819 HOPKINS MN 259787379"/>
        <s v="SCHWAB1 INT 09/27-10/29"/>
        <s v="SQ ICHIGO CREPES CRYSTAL MN 261154406"/>
        <s v="SQ RED BENCH BAKER CHASKA MN 260718487"/>
        <s v="SQ WEE CLADDAGH SAINT PAUL MN 261154407"/>
        <s v="STRYKER CORP"/>
        <s v="Transfer to Investor Checking"/>
        <s v="TRUCE MINNEAPOLIS MN 261293606"/>
        <s v="Venmo Cashout"/>
        <s v="Whole Foods"/>
        <s v="PAYMENT THANK YOU 257881480"/>
        <s v="PAYMENT THANK YOU 262531389"/>
        <s v="Withdrawal Home payment to card 950588 257307739"/>
        <s v="Withdrawal Home payment to card 950588 261831395"/>
        <s v="CARGILL JAZZMA20029518 WAYZATA MN 262531390"/>
        <s v="From Share 70 262432476"/>
        <s v="Naviya's"/>
        <s v="To Loan 02 262246147"/>
        <s v="CENTRAL CHECKOUT 79999999307135212640720"/>
        <s v="LIFE TIME CAFE 151Q48 CHANHASSEN MN 263027716"/>
        <s v="LTFLIFE TIME MO DUES 8884306432 MN 263027715"/>
        <s v="PAYMENT 264572815"/>
        <s v="Banana Visa TYPE BR EPAY ID CO Banana Visa ACH ECC WEB ACH Trace 59069 2630"/>
        <s v="GANDER 682 EDEN PRAIRE MN 263247602"/>
        <s v="KIDS HAIR CH CHANHASSEN MN"/>
        <s v="USPS"/>
        <s v="CCLC TYPE INTERNET ID CO CCLC ACH ECC WEB ACH Trace 44570 263519530"/>
        <s v="MINTED LLC MINTEDCOM CA 263741857"/>
        <s v="DISCOVER TYPE EPAYMENT ID CO DISCOVER ACH ECC WEB ACH Trace 67980 263786523"/>
        <s v="FOOD HALL P1 8665083558 MN 264236914"/>
        <s v="SHEDD AQUARIUM CHICAGO IL1111000103061911081103"/>
        <s v="SHOYU 8665083558 MN 264236915"/>
        <s v="Allied Parking Inc"/>
        <s v="BANK INT 101619-111519 SCHWAB BANK"/>
        <s v="BEST CLEANERS EX 5 EXCELSIOR MN 265419530"/>
        <s v="CARGILL COCOA TYPE DIR DEP ID CO CARGILL COCOA ACH ECC PPD ACH Trace 47202 "/>
        <s v="CARGILL COCOA TYPE DIR DEP ID CO CARGILL COCOA ACH ECC PPD ACH Trace 81531 "/>
        <s v="CCLC TYPE INTERNET ID CO CCLC ACH ECC WEB ACH Trace 64860 268184995"/>
        <s v="CCLC TYPE INTERNET ID CO CCLC ACH ECC WEB ACH Trace 75272 265104588"/>
        <s v="CCLC TYPE INTERNET ID CO CCLC ACH ECC WEB ACH Trace 86314 266827683"/>
        <s v="CEFCO 60 FRANKLIN TX 264645343"/>
        <s v="Children's"/>
        <s v="DETAILS RESIDENTIAL SRVC 6122161751 MN 266345819"/>
        <s v="Excelsior"/>
        <s v="GoGoAir"/>
        <s v="J8EXCESS FR55051352"/>
        <s v="J8EXCESS TO89315308"/>
        <s v="KAUFMAN HALL TYPE DIRECT DEP ID CO KAUFMAN HALL ACH ECC PPD ACH Trace 51695"/>
        <s v="KAUFMAN HALL TYPE DIRECT DEP ID CO KAUFMAN HALL ACH ECC PPD ACH Trace 53450"/>
        <s v="LIFE TIME CAFE 151Q48 CHANHASSEN MN 265419533"/>
        <s v="LIFE TIME CAFE 151Q48 CHANHASSEN MN 268385464"/>
        <s v="LIFE TIME CAFE 151Q48 CHANHASSEN MN 272880974"/>
        <s v="Pamper Nails and Spa"/>
        <s v="Pinkblush Ca"/>
        <s v="PINKBLUSH SHOPPINKBLUSHCA 265626912"/>
        <s v="Polar Mitts"/>
        <s v="Pottery Barn"/>
        <s v="SCHWAB1 INT 10/30-11/26"/>
        <s v="SQ HELD COMPANIES CORCORAN MN 269390557"/>
        <s v="SQ HELD COMPANIES CORCORAN MN 272880983"/>
        <s v="THR3 JACK MINNEAPOLIS MN 265419534"/>
        <s v="Top Ten Liquors"/>
        <s v="US TREASURY BILXXX**MATURED**"/>
        <s v="City Chanhassen TYPE Payment ID T410885331 CO City Chanhassen ACH ECC PPD A"/>
        <s v="PAYMENT THANK YOU 266345818"/>
        <s v="PAYMENT THANK YOU 272880966"/>
        <s v="Withdrawal Home payment to card 950588 265669594"/>
        <s v="From Share 70 269586251"/>
        <s v="To Loan 02 269446959"/>
        <s v="PAYMENT THANK YOU 272880991"/>
        <s v="Withdrawal Home payment to card 950588 269820192"/>
        <s v="BURTON ONLINE WWWBURTONCOVT 272880985"/>
        <s v="Crate &amp; Barrel"/>
        <s v="LTFLIFE TIME MO DUES 8884306432 MN 272880989"/>
        <s v="NORTH COOP CHAHASSEN MN 272880990"/>
        <s v="SP INGRID ISABEL HTTPSINGRIDANCA 272880986"/>
        <s v="THYMES 6126384467 MN 272880987"/>
        <s v="AMAZON.COM INC"/>
        <s v="BURTON ONLINE WWWBURTONCOVT 272880992"/>
        <s v="REDCOWMNCOM REDCOWMNCOM MN 272880993"/>
        <s v="DISCOVER TYPE EPAYMENT ID CO DISCOVER ACH ECC WEB ACH Trace 68708 270408831"/>
        <s v="PAYMENT 270891510"/>
        <s v="CCLC TYPE INTERNET ID CO CCLC ACH ECC WEB ACH Trace 54838 270408830"/>
        <s v="Pediatric Services PA"/>
        <s v="PAYMENT THANK YOU 272880999"/>
        <s v="Withdrawal Home payment to card 950588 270869881"/>
        <s v="Connectyourcare Type Svbclaims"/>
        <s v="RIDGEVIEW HOME MEDICAL EQ9524422283 MN 272880997"/>
        <s v="Wayfair"/>
        <s v="CARGILL CAFE 20014981 WAYZATA MN 272881000"/>
        <s v="KNOLLWOOD LIQUOR MINNEAPOLIS MN"/>
        <s v="Papa Murphy's"/>
        <s v="7-Eleven"/>
        <s v="Adjustmentpurchases"/>
        <s v="ALBERT HEIJN 1653 LUCHTHAVEN SC, #000"/>
        <s v="American Express"/>
        <s v="ATM FEE REFUND 277224499"/>
        <s v="AVOADVOCARE INTL 8005424800 TX 274437736"/>
        <s v="BALANCE TRANSFER FOR ACCT ENDING IN 0588 272881008"/>
        <s v="Banana Visa TYPE BR EPAY ID CO Banana Visa ACH ECC WEB ACH Trace 31456 2770"/>
        <s v="BANK INT 111619-121519 SCHWAB BANK"/>
        <s v="Burton Online Burlington"/>
        <s v="CARGILL COCOA TYPE DIR DEP ID CO CARGILL COCOA ACH ECC PPD ACH Trace 60227 "/>
        <s v="CARGILL COCOA TYPE DIR DEP ID CO CARGILL COCOA ACH ECC PPD ACH Trace 63156 "/>
        <s v="CCLC TYPE INTERNET ID CO CCLC ACH ECC WEB ACH Trace 15823 275432438"/>
        <s v="CCLC TYPE INTERNET ID CO CCLC ACH ECC WEB ACH Trace 46533 273949347"/>
        <s v="CCLC TYPE INTERNET ID CO CCLC ACH ECC WEB ACH Trace 78829 272112306"/>
        <s v="CCLC TYPE INTERNET ID CO CCLC ACH ECC WEB ACH Trace 94221 277010534"/>
        <s v="Chevron"/>
        <s v="CIBO EXPRESS P5 MINNEAPOLIS MN"/>
        <s v="DETAILS RESIDENTIAL SRVC 6122161751 MN 273904138"/>
        <s v="DIRECT PAY HSA TYPE ETRANSFER ID CO DIRECT PAY HSA ACH ECC PPD ACH Trace 22"/>
        <s v="Domino's Pizza"/>
        <s v="Exxon"/>
        <s v="Foss Swim School"/>
        <s v="FUNDS RECEIVED"/>
        <s v="IRA REGULAR CONTRIB"/>
        <s v="JOURNAL FRM 50117431"/>
        <s v="JOURNAL TO 13697698"/>
        <s v="JOURNAL TO 86850937"/>
        <s v="KAUFMAN HALL TYPE DIRECT DEP ID CO KAUFMAN HALL ACH ECC PPD ACH Trace 58075"/>
        <s v="KAUFMAN HALL TYPE DIRECT DEP ID CO KAUFMAN HALL ACH ECC PPD ACH Trace 82004"/>
        <s v="LAEDERACH CHOCOLATGENEVE, #0000001900"/>
        <s v="LIFE TIME CAFE 151Q48 CHANHASSEN MN 272881011"/>
        <s v="LIFE TIME CAFE 151Q48 CHANHASSEN MN01156B"/>
        <s v="Microsoft"/>
        <s v="Patagonia"/>
        <s v="Play It Again Sports"/>
        <s v="RUBY'S ROOST BAKER VICTORIA MN0001152921508944"/>
        <s v="SCHWAB1 INT 11/27-12/29"/>
        <s v="SOUTH LYNDALE LIQUORS RETMINNEAPOLIS MN 275614106"/>
        <s v="The Suburban"/>
        <s v="Timberland"/>
        <s v="VAG ITM-TERM TREASURY ETF"/>
        <s v="VANGUARD INTRMDIAT TRM TRSRY ETF IV"/>
        <s v="WORLD BEAN MINNEAPOLIS MN"/>
        <s v="DISCOVER TYPE EPAYMENT ID CO DISCOVER ACH ECC WEB ACH Trace 17758 272709581"/>
        <s v="DISCOVER TYPE EPAYMENT ID CO DISCOVER ACH ECC WEB ACH Trace 57497 273949348"/>
        <s v="PAYMENT THANK YOU 274168400"/>
        <s v="PAYMENT THANK YOU 276330193"/>
        <s v="Withdrawal Home payment to card 979181 273702931"/>
        <s v="Withdrawal Home payment to card 979181 275812401"/>
        <s v="From Share 70 277444321"/>
        <s v="To Loan 02 277305767"/>
        <s v="Under Armour Retail"/>
        <s v="TEQUILA BUTCHER CHANHASSEN MN 278225083"/>
        <s v="LTFLIFE TIME MO DUES 8884306432 MN 278573817"/>
        <s v="PAJARITO SAINT PAUL MN 278573818"/>
        <s v="SQ CLUTCH BREWING SAINT PAUL MN 278573816"/>
        <s v="PAYMENT 279045167"/>
        <s v="PAYMENT THANK YOU 279092507"/>
        <s v="Withdrawal Home payment to card 979181 278608583"/>
        <s v="Share"/>
        <s v="TAKE TWO INTERACTV"/>
        <s v="To Share 70 278609540"/>
        <s v="DISCOVER TYPE EPAYMENT ID CO DISCOVER ACH ECC WEB ACH Trace 39035 278871863"/>
        <s v="NORTH COOP CHAHASSEN MN 279092508"/>
        <s v="CARGILL CAF20014981579 WAYZATA MNAPPLE PAY ENDING"/>
        <s v="CARGILL COCOA TYPE DIR DEP ID CO CARGILL COCOA ACH ECC PPD ACH Trace 02608 "/>
        <s v="CCLC TYPE INTERNET ID CO CCLC ACH ECC WEB ACH Trace 67054 279111682"/>
        <s v="Chick-Fil-A"/>
        <s v="LIFE TIME CAFE 151Q48 CHANHASSEN MN 279364373"/>
        <s v="Erik's Bike Shop, Inc."/>
        <s v="MILK MOMS INC 7634130129 MN 279617416"/>
        <s v="BEST CLEANERS EX 5 EXCELSIOR MN 279877914"/>
        <s v="CARGILL PRODUC20081436 WAYZATA MN 279877915"/>
        <s v="LTI ARAPAHOE BASIN SK HTTPSWWWLIFTCA 279877916"/>
        <s v="Apple"/>
        <s v="Coalition"/>
        <s v="Cultivated"/>
        <s v="Destination Massage"/>
        <s v="DETAILS RESIDENTIAL SRVC 6122161751 MN 280222012"/>
        <s v="SNOWCOMVAIL RESORTS SKI8888380495 CO 280222015"/>
        <s v="Sp Ingrid Isabel"/>
        <s v="SQ HIGHSIDE BREWING Frisco CO 280222016"/>
        <s v="Dillon's"/>
        <s v="PAYMENT THANK YOU 280968601"/>
        <s v="Withdrawal Home payment to card 979181 280489279"/>
        <s v="CHIMAYO MEXICAN GRILL DILLON CO 280703580"/>
        <s v="Conoco"/>
        <s v="Roulette's Pizza"/>
        <s v="CCLC TYPE INTERNET ID CO CCLC ACH ECC WEB ACH Trace 38360 280703585"/>
        <s v="KAUFMAN HALL TYPE DIRECT DEP ID CO KAUFMAN HALL ACH ECC PPD ACH Trace 23271"/>
        <s v="BANK INT 121619-011520 SCHWAB BANK"/>
        <s v="BANK INT 122719-011520 SCHWAB PREMIER BANK"/>
        <s v="BuyBuyBaby"/>
        <s v="SKYE LIQUOR DENVER CO 281766496"/>
        <s v="Terminal Bar"/>
        <s v="TST GREEN RUSSELL DENVER CO 281766498"/>
        <s v="Work Class DENVER CO 281766497"/>
        <s v="HIRSHFIELDS 34 CHASKACHASKA MN 281976326"/>
        <s v="MSP CAMDEN FOOD 6751162 SAINT PAUL MN"/>
        <s v="CARGILL C S20073235579 WAYZATA MNAPPLE PAY ENDING"/>
        <s v="IRA LAST YEAR CONTRIB"/>
        <s v="UPS"/>
        <s v="Withdrawal ACH TYPE Online ID ACH ECC WEB 282236837"/>
        <s v=" TYPE TRANSFER ID PAYPALSD11 CO PAYPAL ACH ECC PPD ACH Trace 22822 28246480"/>
        <s v="CARGILL COCOA TYPE DIR DEP ID CO CARGILL COCOA ACH ECC PPD ACH Trace 04604 "/>
        <s v="CCLC TYPE INTERNET ID CO CCLC ACH ECC WEB ACH Trace 15136 282236838"/>
        <s v="CITY TAVERN PHILADELPHIA PA"/>
        <s v="HUDSON ST1854 PHILADELPHIA PA"/>
        <s v="Stitch House Brewery"/>
        <s v="TYPE TRANSFER ID PAYPALSD11 CO PAYPAL ACH ECC PPD ACH Trace 22822 282464808"/>
        <s v="Cargill ESOP Stock Fund - Plan Contribution"/>
        <s v="CARGILL PRODUC20081436 WAYZATA MN 282750502"/>
        <s v="Deposit Transfer From TRUITTJEFF B Share 70 282557298"/>
        <s v="Funds Transfer to Brokerage -7698"/>
        <s v="Panera Bread"/>
        <s v="To Share 12 282557066"/>
        <s v="Withdrawal Trans To TRUITTCOOPER L Share 12 282557299"/>
        <s v="DISCOVER TYPE EPAYMENT ID CO DISCOVER ACH ECC WEB ACH Trace 63021 282803685"/>
        <s v="PAYMENT THANK YOU 283353090"/>
        <s v="Withdrawal Home payment to card 979181 282818180"/>
        <s v="3 DAY BLINDS LLC 8008003329 CA 283004524"/>
        <s v="Jimmy John's"/>
        <s v="To Share 12 282803686"/>
        <s v="Starbucks"/>
        <s v="LIFE TIME CAFE 151Q48 CHANHASSEN MN 283353092"/>
        <s v="TINO S PIZZERIA SHOREWOOD MN"/>
        <s v="ZEN BOX IZAKAYA MINNEAPOLIS MN 283353091"/>
        <s v="ALPHABET INC. CLASS C"/>
        <s v="CARGILL PRO20081436579 WAYZATA MNAPPLE PAY ENDING"/>
        <s v="Crisp &amp; Green"/>
        <s v="TEQUILA BUTCHER CHANHASSEN MN 283600461"/>
        <s v="Turbo Nail Spa"/>
        <s v="PENN MINNOCO MINNEAPOLIS MN 283821489"/>
        <s v="PAYMENT THANK YOU 284334887"/>
        <s v="Withdrawal Home payment to card 979181 283894239"/>
        <s v="CCLC TYPE INTERNET ID CO CCLC ACH ECC WEB ACH Trace 11943 283876069"/>
        <s v="LIFE TIME CAFE 151Q48 CHANHASSEN MN 284076139"/>
        <s v="KAUFMAN HALL TYPE DIRECT DEP ID CO KAUFMAN HALL ACH ECC PPD ACH Trace 48884"/>
        <s v="Kids Hair"/>
        <s v="SCHWAB1 INT 12/30-01/29"/>
        <s v="From Share 70 284848095"/>
        <s v="To Loan 02 284698387"/>
        <s v="Amazon Music"/>
        <s v="LTFLIFE TIME MO DUES 8884306432 MN 285143880"/>
        <s v="Red Sauce Rebellion, LLC"/>
        <s v="PAYMENT THANK YOU 285712368"/>
        <s v="Withdrawal Home payment to card 979181 285286050"/>
        <s v="MHCHILDCARELLC TYPE DUES ID CO MHCHILDCARELLC ACH ECC PPD ACH Trace 41649 2"/>
        <s v="PURCHASE INTO CORE ACCOUNT FIDELITY GOVERNMENT CASH RESERVES (FDRXX) (Cash)"/>
        <s v="Shorewood Liquor, LLC"/>
        <s v="TRANSFERRED FROM KAUFMAN HSA TFR (Cash)"/>
        <s v="DISCOVER TYPE EPAYMENT ID CO DISCOVER ACH ECC WEB ACH Trace 71849 285512728"/>
        <s v="PAYMENT 285946976"/>
        <s v="USD PARTNERS LP LP"/>
        <s v="3 DAY BLINDS LLC 8008003329 CA 285992548"/>
        <s v="CARGILL COCOA TYPE DIR DEP ID CO CARGILL COCOA ACH ECC PPD ACH Trace 08052 "/>
        <s v="Cabin Fever Sporting Goods, Inc."/>
        <s v="DETAILS RESIDENTIAL SRVC 6122161751 MN 286924997"/>
        <s v="Minnesota"/>
        <s v="Parlour St Paul"/>
        <s v="SQ ENKI BREWING COMPANY Victoria MN 286924998"/>
        <s v="VICTORIA BURROW VICTORIA MN 286925000"/>
        <s v="PAYMENT THANK YOU 287429453"/>
        <s v="Withdrawal Home payment to card 979181 286962138"/>
        <s v="LIFE TIME CAFE 151Q48 CHANHASSEN MN 287193126"/>
        <s v="MHCHILDCARELLC TYPE DUES ID CO MHCHILDCARELLC ACH ECC PPD ACH Trace 12751 2"/>
        <s v="SQ RED BENCH BAKERY Excelsior MN 287193125"/>
        <s v="THE NOBLE LION VICTORIA MN 287193124"/>
        <s v="Toyota"/>
        <s v="Corelle Brands LLC"/>
        <s v="Excelsior Family Dental L L C"/>
        <s v="KAUFMAN HALL TYPE DIRECT DEP ID CO KAUFMAN HALL ACH ECC PPD ACH Trace 88462"/>
        <s v="Ridgeview Medical Center"/>
        <s v="MACKENTHUNS CARIBOU WACONIA MN 288192193"/>
        <s v="PAYMENT THANK YOU 288763274"/>
        <s v="Withdrawal Home payment to card 979181 288490360"/>
        <s v="To Share 12 288491109"/>
        <s v="LIFE TIME CAFE 151Q48 CHANHASSEN MN 288763275"/>
        <s v="DISCOVER TYPE EPAYMENT ID CO DISCOVER ACH ECC WEB ACH Trace 09136 288830712"/>
        <s v="Banana Visa TYPE BR EPAY ID CO Banana Visa ACH ECC WEB ACH Trace 69351 2888"/>
        <s v="BANK INT 011620-021520 SCHWAB BANK"/>
        <s v="BANK INT 011620-021520 SCHWAB PREMIER BANK"/>
        <s v="MHCHILDCARELLC TYPE DUES ID CO MHCHILDCARELLC ACH ECC PPD ACH Trace 23510 2"/>
        <s v="PAYMENT THANK YOU 289731430"/>
        <s v="Withdrawal Home payment to card 979181 289145309"/>
        <s v="BEST CLEANERS EX 5 EXCELSIOR MN 289386767"/>
        <s v="CARGILL COCOA TYPE DIR DEP ID CO CARGILL COCOA ACH ECC PPD ACH Trace 92044 "/>
        <s v="Intuit TurboTax"/>
        <s v="MN State Tax"/>
        <s v="WPYSupport for the Ransb8668191294 CA 289731431"/>
        <s v="LIFE TIME CAFE #172 MINNEAPOLIS MN02145B"/>
        <s v="PAYMENT THANK YOU 290461314"/>
        <s v="Withdrawal Home payment to card 979181 290185819"/>
        <s v="11003 NORTH LOOP MINNEAPOLIS MN 290461321"/>
        <s v="Nothing Bundt Cakes"/>
        <s v="Pizza Luce"/>
        <s v="SQ ENKI BREWING COMPANY Victoria MN 290461320"/>
        <s v="Internal Revenue Service"/>
        <s v="MHCHILDCARELLC TYPE DUES ID CO MHCHILDCARELLC ACH ECC PPD ACH Trace 77275 2"/>
        <s v="To Share 12 290529207"/>
        <s v="PAYMENT THANK YOU 291327784"/>
        <s v="Withdrawal Home payment to card 979181 290815402"/>
        <s v="Kowalski's"/>
        <s v="DISCOVER TYPE EPAYMENT ID CO DISCOVER ACH ECC WEB ACH Trace 16447 291055607"/>
        <s v="KAUFMAN HALL TYPE DIRECT DEP ID CO KAUFMAN HALL ACH ECC PPD ACH Trace 58727"/>
        <s v="SCHWAB1 INT 01/30-02/26"/>
        <s v="TST OLIVE S FRESH EXCELSEXCELSIOR MN 291657928"/>
        <s v="Withdrawal ACH TYPE Online ID ACH ECC WEB 291657927"/>
        <s v="Bridgewater Bank"/>
        <s v="TJ Maxx"/>
        <s v="From Share 70 292430008"/>
        <s v="To Loan 02 292299026"/>
        <s v="Venmo Type Verifyban"/>
        <s v="LTFLIFE TIME MO DUES 8884306432 MN 292947024"/>
        <s v="MHCHILDCARELLC TYPE DUES ID CO MHCHILDCARELLC ACH ECC PPD ACH Trace 78019 2"/>
        <s v="Rally House 8006455409 KS 292947026"/>
        <s v="SOTA CLOTHING SAINT LOUIS MN 292947023"/>
        <s v="VENMO TYPE VERIFYBAN ID CO VENMO ACH ECC WEB ACH Trace 96623 292751227"/>
        <s v="VENMO TYPE VERIFYBAN ID CO VENMO ACH ECC WEB ACH Trace 96624 292751226"/>
        <s v="BERKSHIRE HATHAWAY CLASS B"/>
        <s v="MN DIR ACH TYPE CONTRIB ID CO MN DIR ACH ACH ECC WEB ACH Trace 04165 292947"/>
        <s v="CARGILL COCOA TYPE DIR DEP ID CO CARGILL COCOA ACH ECC PPD ACH Trace 45392 "/>
        <s v="CREDIT 293901530"/>
        <s v="Cargill ESOP Stock Fund - Dividends Transferred In"/>
        <s v="Cargill Passthru Div - Dividends on Equity Investments"/>
        <s v="Cargill Passthru Div - Dividends Transferred Out"/>
        <s v="Deposit by Check Deposit Anywhere check deposit 293744432"/>
        <s v="HIRSHFIELDS 34 CHASKACHASKA MN 293936096"/>
        <s v="L2GCARVER CO RECORDS 952CHASKA MN 293936097"/>
        <s v="LIFE TIME CAFE 151Q48 CHANHASSEN MN 293936098"/>
        <s v="PAYMENT THANK YOU 294678995"/>
        <s v="Withdrawal Home payment to card 979181 294028059"/>
        <s v="SHOREWOODLIQUOR SHOREWOOD MN"/>
        <s v="BAR LA GRASSA MINNEAPOLIS MN 294678999"/>
        <s v="DETAILS RESIDENTIAL SRVC 6122161751 MN 294678998"/>
        <s v="Gulf"/>
        <s v="MPLSMETERSAPP 8090 6123437275 MN 294679000"/>
        <s v="CHECK 2097 2097"/>
        <s v="MHCHILDCARELLC TYPE DUES ID CO MHCHILDCARELLC ACH ECC PPD ACH Trace 27593 2"/>
        <s v="KAUFMAN HALL TYPE DIRECT DEP ID CO KAUFMAN HALL ACH ECC PPD ACH Trace 56404"/>
        <s v="KAUFMAN HALL TYPE DIRECT DEP ID CO KAUFMAN HALL ACH ECC PPD ACH Trace 56405"/>
        <s v="Withdrawal ACH TYPE Online ID ACH ECC WEB 295857736"/>
        <s v="PAYMENT THANK YOU 296626640"/>
        <s v="Withdrawal Home payment to card 979181 295897206"/>
        <s v="THE NOBLE LION VICTORIA MN"/>
        <s v="Yzata Brew Works LLC"/>
        <s v="HI 5 LIQUOR VICTORIA MN 296626641"/>
        <s v="DISCOVER TYPE EPAYMENT ID CO DISCOVER ACH ECC WEB ACH Trace 98890 296626646"/>
        <s v="BANK INT 021620-031520 SCHWAB BANK"/>
        <s v="BANK INT 021620-031520 SCHWAB PREMIER BANK"/>
        <s v="DSW Designer Shoe Warehouse"/>
        <s v="NORTH COOP CHAHASSEN MN 296809538"/>
        <s v="Prime VideoXK3796ZZ3 8888023080 WA 296809537"/>
        <s v="TST RED COW 50TH ST MINNEAPOLIS MN 297230716"/>
        <s v="CARGILL COCOA TYPE DIR DEP ID CO CARGILL COCOA ACH ECC PPD ACH Trace 88076 "/>
        <s v="COLEHAANCOM 8004882000 NH 297353880"/>
        <s v="MN DIR ACH TYPE CONTRIB ID CO MN DIR ACH ACH ECC WEB ACH Trace 97941 297122"/>
        <s v="PAYMENT THANK YOU 297916996"/>
        <s v="Withdrawal Home payment to card 979181 297517781"/>
        <s v="Prime VideoN970P6J63 8888023080 WA 297651134"/>
        <s v="MGM Liquor Warehouse"/>
        <s v="Fid Bkg Svc"/>
        <s v="To Share 12 298537861"/>
        <s v="Ridgeview Anesthesia"/>
        <s v="RIDGEVIEW MEDICAL CNTHOSWACONIA MN 299152943"/>
        <s v="RIDGEVIEW MEDICAL CNTRCLWACONIA MN 299152942"/>
        <s v="NORTH COOP NORTH COOP STRIPECOM MN 299362794"/>
        <s v="KAUFMAN HALL TYPE DIRECT DEP ID CO KAUFMAN HALL ACH ECC PPD ACH Trace 57761"/>
        <s v="SCHWAB1 INT 02/27-03/29"/>
        <s v="PAYMENT THANK YOU 301157421"/>
        <s v="Withdrawal Home payment to card 979181 300367184"/>
        <s v="CARGILL COCOA TYPE DIR DEP ID CO CARGILL COCOA ACH ECC PPD ACH Trace 96903 "/>
        <s v="From Share 70 300366731"/>
        <s v="MHCHILDCARELLC TYPE DUES ID CO MHCHILDCARELLC ACH ECC PPD ACH Trace 97179 3"/>
        <s v="To Loan 02 300319717"/>
        <s v="Milios Sandwiches"/>
        <s v="CREDIT 301988969"/>
        <s v="RAYTHEON TECHNOLOGIES CO"/>
        <s v="BITE SQUAD 6122947125 MN 302995083"/>
        <s v="BITE SQUAD 6122947125 MN 302995084"/>
        <s v="DISCOVER TYPE EPAYMENT ID CO DISCOVER ACH ECC WEB ACH Trace 40664 303072059"/>
        <s v="KAUFMAN HALL TYPE DIRECT DEP ID CO KAUFMAN HALL ACH ECC PPD ACH Trace 30482"/>
        <s v="Pryes Brewing Company, LLC"/>
        <s v="CARGILL COCOA TYPE DIR DEP ID CO CARGILL COCOA ACH ECC PPD ACH Trace 46228 "/>
        <s v="VIET HOA CHINESE CUISINE MINNETONKA MN 303891670"/>
        <s v="BANK INT 031620-041520 SCHWAB PREMIER BANK"/>
        <s v="South Lake Pediatrics"/>
        <s v="PAYMENT THANK YOU 304766117"/>
        <s v="Withdrawal Home payment to card 979181 304320586"/>
        <s v="RIDGEVIEW MEDICAL CNTHOSWACONIA MN 304549459"/>
        <s v="MN DIR ACH TYPE CONTRIB ID CO MN DIR ACH ACH ECC WEB ACH Trace 68811 304831"/>
        <s v="DISCOVER TYPE EPAYMENT ID CO DISCOVER ACH ECC WEB ACH Trace 17003 305306644"/>
        <s v="MACYS TYPE PAYMENT ID CITIGPUFDR CO MACYS ACH ECC PPD ACH Trace 07912 30530"/>
        <s v="PAYMENT THANK YOU 305725375"/>
        <s v="Withdrawal Home payment to card 979181 305394381"/>
        <s v="To Share 12 305789623"/>
        <s v="NORTH COOP NORTH COOP STRIPECOM MN 306249213"/>
        <s v="Twin Orchards Nurser Y"/>
        <s v="CHECK 2179 2179"/>
        <s v="Wine.com"/>
        <s v="AVOADVOCARE INTL 8005424800 TX 307039276"/>
        <s v="Banana Visa TYPE BR EPAY ID CO Banana Visa ACH ECC WEB ACH Trace 61552 3068"/>
        <s v="CARGILL COCOA TYPE DIR DEP ID CO CARGILL COCOA ACH ECC PPD ACH Trace 21192 "/>
        <s v="KAUFMAN HALL TYPE DIRECT DEP ID CO KAUFMAN HALL ACH ECC PPD ACH Trace 27130"/>
        <s v="PAYMENT THANK YOU 307788792"/>
        <s v="Withdrawal Home payment to card 979181 307076214"/>
        <s v="DISCOVER TYPE EPAYMENT ID CO DISCOVER ACH ECC WEB ACH Trace 72685 307537521"/>
        <s v="From Share 70 307691904"/>
        <s v="To Loan 02 307537523"/>
        <s v="FTDCOM 8007363383 IL 308375848"/>
        <s v="True Value"/>
        <s v="PAYMENT 308697727"/>
        <s v="TST OLIVE S FRESH EXCELS6122324677 MN 308465740"/>
        <s v="TST OLIVE S FRESH EXCELS6122324677 MN 309740559"/>
        <s v="PAYMENT THANK YOU 310208856"/>
        <s v="Withdrawal Home payment to card 979181 309863835"/>
        <s v="Yumi's Sushi Bar"/>
        <s v="CARGILL COCOA TYPE DIR DEP ID CO CARGILL COCOA ACH ECC PPD ACH Trace 32186 "/>
        <s v="KAUFMAN HALL TYPE DIRECT DEP ID CO KAUFMAN HALL ACH ECC PPD ACH Trace 57012"/>
        <s v="NORTH COOP NORTH COOP STRIPECOM MN 310745293"/>
        <s v="PAYMENT THANK YOU 311807115"/>
        <s v="Withdrawal Home payment to card 979181 311438930"/>
        <s v="BANK INT 041620-051520 SCHWAB PREMIER BANK"/>
        <s v="MN DIR ACH TYPE CONTRIB ID CO MN DIR ACH ACH ECC WEB ACH Trace 46107 311381"/>
        <s v="Certified Auto Repair Inc"/>
        <s v="To Share 12 311598843"/>
        <s v="To Share 70 311600167"/>
        <s v=" TYPE TRANSFER ID PAYPALSD11 CO PAYPAL ACH ECC PPD ACH Trace 96587 31186713"/>
        <s v="TYPE TRANSFER ID PAYPALSD11 CO PAYPAL ACH ECC PPD ACH Trace 96587 311867131"/>
        <s v="Kum &amp; Go"/>
        <s v="Sonic"/>
        <s v="HORRAYHEREOS COM SALEM MA 312830396"/>
        <s v="Joe S Kansas City Ba"/>
        <s v="McLains Bakery"/>
        <s v="METCALF LIQUORS OVERLAND PARKKS 312830393"/>
        <s v="Price Chopper"/>
        <s v="To Share 12 312709890"/>
        <s v="Hy-Vee"/>
        <s v="Casey's"/>
        <s v="Garrison Family Foods"/>
        <s v="PAYMENT THANK YOU 313824775"/>
        <s v="Withdrawal Home payment to card 979181 313309910"/>
        <s v="2020 OUTRUN ALD VIRTUA HTTPSRACEROSTMA 313537608"/>
        <s v="CARGILL COCOA TYPE DIR DEP ID CO CARGILL COCOA ACH ECC PPD ACH Trace 52042 "/>
        <s v="Banana Visa TYPE BR EPAY ID CO Banana Visa ACH ECC WEB ACH Trace 78260 3135"/>
        <s v="KAUFMAN HALL TYPE DIRECT DEP ID CO KAUFMAN HALL ACH ECC PPD ACH Trace 04238"/>
        <s v="PINE RIVER FAMILY M PINE RIVER MN 313824777"/>
        <s v="Station"/>
        <s v="REDDINGS SPORTS &amp; SPIRIT EMILY MN"/>
        <s v="Super"/>
        <s v="ZORBAZ OF CROSSLAKE CROSSLAKE MN 314452666"/>
        <s v="From Share 70 314664372"/>
        <s v="GOLDEN EAGLE GOLF CLUB FIFTY LAKES MN 314866779"/>
        <s v="Iron Ranger"/>
        <s v="To Loan 02 314589475"/>
        <s v="Kwik Trip"/>
        <s v="PAYMENT 316248098"/>
        <s v="Check Paid #1139"/>
        <s v="RIDGEVIEW MEDICAL CNTRCLWACONIA MN 315678412"/>
        <s v="SP SENDJOESKCBBQ SENDJOESBARBQKS 316529567"/>
        <s v="PAYMENT THANK YOU 317034628"/>
        <s v="Withdrawal Home payment to card 979181 316598055"/>
        <s v="AMERICAN AIRLS GROUP"/>
        <s v="Boutique Ca"/>
        <s v="CARGILL COCOA TYPE DIR DEP ID CO CARGILL COCOA ACH ECC PPD ACH Trace 19700 "/>
        <s v="CREEDE SNOWSHOE LODGE CREEDE CO 317034629"/>
        <s v="DELTA AIR LINES INC DEL"/>
        <s v="Hero"/>
        <s v="MinnetonkaCommEd TYPE PURCHASE ID CO MinnetonkaCommEd ACH ECC WEB ACH Trace"/>
        <s v="Shutterfly"/>
        <s v="Southwest Airlines"/>
        <s v="To Share 12 316885392"/>
        <s v="D'Amico Sons"/>
        <s v="LTFLIFE TIME MO DUES 8884306432 MN 317374249"/>
        <s v="Sp Sendjoeskcbbq Ks"/>
        <s v="Wells Fargo Bank"/>
        <s v="KAUFMAN HALL TYPE DIRECT DEP ID CO KAUFMAN HALL ACH ECC PPD ACH Trace 93065"/>
        <s v="DISCOVER TYPE EPAYMENT ID CO DISCOVER ACH ECC WEB ACH Trace 30184 318454192"/>
        <s v="BANK INT 051620-061520 SCHWAB PREMIER BANK"/>
        <s v="MN DIR ACH TYPE CONTRIB ID CO MN DIR ACH ACH ECC WEB ACH Trace 55661 319352"/>
        <s v="Damico Sonsgolden Vallgolden"/>
        <s v="Parley Lake Winery, LLP"/>
        <s v="TST COPPER COW MINNETONKA MN 320484804"/>
        <s v="Deer Run Golf Club, LLC"/>
        <s v="CARGILL COCOA TYPE DIR DEP ID CO CARGILL COCOA ACH ECC PPD ACH Trace 12047 "/>
        <s v="To Share 12 320792909"/>
        <s v="RIDGEVIEW MEDICAL CNTHOSWACONIA MN 321302814"/>
        <s v="MHCHILDCARELLC TYPE DUES ID CO MHCHILDCARELLC ACH ECC PPD ACH Trace 76926 3"/>
        <s v="PLUNKETTS PEST CONTROL MINNEAPOLIS MN 321554457"/>
        <s v="PAYMENT THANK YOU 322220064"/>
        <s v="Withdrawal Home payment to card 979181 321867876"/>
        <s v=" TYPE TRANSFER ID PAYPALSD11 CO PAYPAL ACH ECC PPD ACH Trace 23715 32192471"/>
        <s v="BOAT HOUSE GRILL AND BAR WASECA MN 321934380"/>
        <s v="PRAIRIE RIDGE GOLF COURSEJANESVILLE MN 321934379"/>
        <s v="TST RED COW 1ST AVE 6122380050 MN 321934378"/>
        <s v="TYPE TRANSFER ID PAYPALSD11 CO PAYPAL ACH ECC PPD ACH Trace 23715 321924713"/>
        <s v="KAUFMAN HALL TYPE DIRECT DEP ID CO KAUFMAN HALL ACH ECC PPD ACH Trace 63599"/>
        <s v="LIONS TAP EDEN PRAIRIE MN 322220065"/>
        <s v="ATM FEE REFUND 322510735"/>
        <s v="MHCHILDCARELLC TYPE DUES ID CO MHCHILDCARELLC ACH ECC PPD ACH Trace 50408 3"/>
        <s v="SPRING USAGE PROMO BONUS 322515219"/>
        <s v="From Share 70 322673692"/>
        <s v="To Loan 02 322673691"/>
        <s v="DISCOVER TYPE EPAYMENT ID CO DISCOVER ACH ECC WEB ACH Trace 66555 323108195"/>
        <s v="LTFLIFE TIME MO DUES 8884306432 MN 323336208"/>
        <s v="MADEWELLCOM 8665441937 NY 323603621"/>
        <s v="Minnetonkacommed Type Reversal"/>
        <s v="WOODENHILL1 EDINA MN 323603620"/>
        <s v="Restoration Hardware"/>
        <s v="PAYMENT 324488559"/>
        <s v="SP LIQUID IV 8553864021 CA 324250739"/>
        <s v="Banana Visa TYPE BR EPAY ID CO Banana Visa ACH ECC WEB ACH Trace 03624 3243"/>
        <s v="MHCHILDCARELLC TYPE DUES ID CO MHCHILDCARELLC ACH ECC PPD ACH Trace 11884 3"/>
        <s v="NORTH COOP CHAHASSEN MN 324502088"/>
        <s v="SHOREWOOD CIGARS TOBAC EXCELSIOR MN 324502085"/>
        <s v="CARGILL COCOA TYPE DIR DEP ID CO CARGILL COCOA ACH ECC PPD ACH Trace 97142 "/>
        <s v="COLLEGE TRANSCRIPT 8477163000 IL 325735429"/>
        <s v="Disney"/>
        <s v="Dairy Queen"/>
        <s v="Deposit by Check Deposit Anywhere check deposit 326292919"/>
        <s v="KAUFMAN HALL TYPE DIRECT DEP ID CO KAUFMAN HALL ACH ECC PPD ACH Trace 23813"/>
        <s v="MHCHILDCARELLC TYPE DUES ID CO MHCHILDCARELLC ACH ECC PPD ACH Trace 28065 3"/>
        <s v="Robinhood"/>
        <s v="TST LOLA S LAKEHOUSE WACONIA MN 326309885"/>
        <s v="PAYMENT THANK YOU 327023370"/>
        <s v="Withdrawal Home payment to card 979181 326342535"/>
        <s v="47 Cardtronics C2 1301 MAIN ST ALAMOSA CO 326479211"/>
        <s v="BANK INT 061620-071520 SCHWAB PREMIER BANK"/>
        <s v="LIQUID AMBITIONS LIQUOR CREEDE CO 327023375"/>
        <s v="STPAULMAGST2607 SAINT PAUL MN 327023374"/>
        <s v="CREEDE SNOWSHOE LODGE CREEDE CO 327216195"/>
        <s v="DEN SNARFS SANDWICHES DENVER CO 327216198"/>
        <s v="EXPRESS MARKET CON C DENVER CO 327216199"/>
        <s v="Safeway"/>
        <s v="POLORL EAGAN 238 EAGAN MN 327446106"/>
        <s v="Carter's"/>
        <s v="MN DIR ACH TYPE CONTRIB ID CO MN DIR ACH ACH ECC WEB ACH Trace 04651 327536"/>
        <s v="LS SAN JUAN SPORTS CREEDE CO 327985893"/>
        <s v="TOMMYKNOCKER TAVERN CREEDE CO 327985894"/>
        <s v="CARGILL COCOA TYPE DIR DEP ID CO CARGILL COCOA ACH ECC PPD ACH Trace 64192 "/>
        <s v="MHCHILDCARELLC TYPE DUES ID CO MHCHILDCARELLC ACH ECC PPD ACH Trace 18699 3"/>
        <s v="To Share 12 328622183"/>
        <s v="AVOADVOCARE INTL 8005424800 TX 329163763"/>
        <s v="DISCOVER TYPE EPAYMENT ID CO DISCOVER ACH ECC WEB ACH Trace 51260 329242914"/>
        <s v="AVOADVOCARE INTL 8005424800 TX 329455457"/>
        <s v="RUSSELL HE 1 OF 2 PA STRIPECOM MN 329455456"/>
        <s v="Withdrawal THANK YOU FOR YOUR MORTGAGE APPLICATION 329364143"/>
        <s v="YETI COOLERS 5123949384 TX 329455459"/>
        <s v="MHCHILDCARELLC TYPE DUES ID CO MHCHILDCARELLC ACH ECC PPD ACH Trace 61880 3"/>
        <s v="PAYMENT THANK YOU 330418320"/>
        <s v="Withdrawal Home payment to card 979181 329824392"/>
        <s v="CARGILL COCOA TYPE DIR DEP ID CO CARGILL COCOA ACH ECC PPD ACH Trace 27359 "/>
        <s v="KAUFMAN HALL TYPE DIRECT DEP ID CO KAUFMAN HALL ACH ECC PPD ACH Trace 33315"/>
        <s v="To Share 12 330084317"/>
        <s v="DVS MNLARS SERVICE FEE 6512966297 MN 330505980"/>
        <s v="DVS ONLINE TAB RENEWAL 6512966297 MN 330505981"/>
        <s v="From Share 70 330752260"/>
        <s v="To Loan 02 330627218"/>
        <s v="Eden Prairie Scheels"/>
        <s v="SOTA CLOTHING EDEN PRAIRI MN 331050065"/>
        <s v="TEQUILA BUTCHER CHANHASSEN MN 331050062"/>
        <s v="MHCHILDCARELLC TYPE DUES ID CO MHCHILDCARELLC ACH ECC PPD ACH Trace 85450"/>
        <s v="PAYMENT"/>
        <s v="PAYMENT THANK YOU"/>
        <s v="Withdrawal Home payment to card 979181"/>
        <s v="State Parks"/>
        <s v="CARGILL COCOA TYPE DIR DEP ID CO CARGILL COCOA ACH ECC PPD ACH Trace 29864"/>
        <s v="Consulting Radiologists, Ltd."/>
        <s v="CHIPOTLE MEXICAN GRL"/>
        <s v="NORTH COOP NORTH COOP STRIPECOM MN"/>
        <s v="TCH of The Day Liquor Inc"/>
        <s v="YETI HOLDINGS INCORPORAT"/>
        <s v="MHCHILDCARELLC TYPE DUES ID CO MHCHILDCARELLC ACH ECC PPD ACH Trace 05955"/>
        <s v="CONNECTED ANALYT TYPE DIRECT DEP ID CO CONNECTED ANALYT ACH ECC PPD ACH Tra"/>
        <s v="RIDGEVIEW MEDICAL CNTRCLWACONIA MN"/>
        <s v="RUTTGERS BAY LAKE LODGE 2186782885 MN"/>
        <s v="CONNECTED ANALYT"/>
        <s v="Tfr JPMORGAN CHASE BAN, CONNECTED ANALYT"/>
        <s v="To Share 12"/>
        <s v="To Share 70"/>
        <s v="BANK INT 071620-081520 SCHWAB PREMIER BANK"/>
        <s v="Birchs"/>
        <s v="MN DIR ACH TYPE CONTRIB ID CO MN DIR ACH ACH ECC WEB ACH Trace 51871"/>
        <s v="CARGILL COCOA TYPE DIR DEP ID CO CARGILL COCOA ACH ECC PPD ACH Trace 90715"/>
        <s v="JOURNAL FRM 89316103"/>
        <s v="MHCHILDCARELLC TYPE DUES ID CO MHCHILDCARELLC ACH ECC PPD ACH Trace 70218"/>
        <s v="Banana Visa TYPE BR EPAY ID CO Banana Visa ACH ECC WEB ACH Trace 27370"/>
        <s v="Lonesome Pine LLC"/>
        <s v="RUTTGERS DINING DEERWOOD MN"/>
        <s v="RUTTGERS RETAIL AND GOLF DEERWOOD MN"/>
        <s v="TST RED COW 50TH ST MINNEAPOLIS MN"/>
        <s v="MHCHILDCARELLC TYPE DUES ID CO MHCHILDCARELLC ACH ECC PPD ACH Trace 07207"/>
        <s v="KAIS SUSHI GRILL 9529232456 MN"/>
        <s v="RUSSELL HE 2 OF 2 PA STRIPECOM MN"/>
        <s v="SQ THE SOCIAL ICE CREAM Victoria MN"/>
        <s v="SQ BUDDY BOY FINE BARBEQMinnetrista MN"/>
        <s v="Vrbo Fee 5127590902 TX"/>
        <s v="MHCHILDCARELLC TYPE DUES ID CO MHCHILDCARELLC ACH ECC PPD ACH Trace 42103"/>
        <s v="School of the WiseVictoria, MN #00000019"/>
        <s v="From Share 70"/>
        <s v="Miyabi"/>
        <s v="MOUNTAIN RESORTS LLC 9708751933 CO"/>
        <s v="To Loan 02"/>
        <s v="AVOADVOCARE INTL 8005424800 TX"/>
        <s v="CARGILL COCOA TYPE DIR DEP ID CO CARGILL COCOA ACH ECC PPD ACH Trace 94501"/>
        <s v="RIDGEVIEW MEDICAL CNTHOSWACONIA MN"/>
        <s v="TIMBERWALL LANDSCAPE M VICTORIA MN"/>
        <s v="Clark Oil"/>
        <s v="FBPAY AlzheimersAsso donatefbcomCA"/>
        <s v="MOUNTAIN TAP BREWERY STEAMBOAT SPRCO"/>
        <s v="MOUNTAIN VIEW CAR WASH STEAMBOAT SPRCO"/>
        <s v="Phillips"/>
        <s v="SALT LIM SALT LIM WWWSUCKALIMECO"/>
        <s v="SQ STEAMBOAT WHISKEY COMSteamboat SprCO"/>
        <s v="TST CRUISERS SUB SHOP STEAMBOAT SPRCO"/>
        <s v="WT GAS GO LAGRANGE WY"/>
        <s v="7TH STREET LIQUOR STEAMBOAT SPRCO"/>
        <s v="LAUNDRY STEAMBOAT CO"/>
        <s v="STEAMBOAT DISCOUNT LIQUORSTEAMBOAT SPRCO"/>
        <s v="STEAMBOAT PARKING STRUCTU9708976111 CO"/>
        <s v="MHCHILDCARELLC TYPE DUES ID CO MHCHILDCARELLC ACH ECC PPD ACH Trace 01956"/>
        <s v="Sheraton"/>
        <s v="THUNDERHEAD STEAMBOAT STEAMBOAT SPRCO"/>
        <s v="TIMBER AND TORCH STEAMBOAT SPRCO"/>
        <s v="Venmo Cashout Tran"/>
        <s v="SQ KIWI INTERNATIONAL DEAvon CO"/>
        <s v="Tumbleweed Liqu 57 Edwa Edwards"/>
        <s v="Avon"/>
        <s v="Electronic Withdrawal"/>
        <s v="Jeffrey Bryan T"/>
        <s v="PTARMIGAN SPORTS EDWARDS CO"/>
        <s v="VAIL VALLEY ANGLERS EDWARDS CO"/>
        <s v="Wire"/>
        <s v="Withdrawal WIRE TRANSFER FEE"/>
        <s v="RAOCOPARKSWILDLIFE CO DENVER CO TX"/>
        <s v="Envy Brewing"/>
        <s v="Joe's Liquors"/>
        <s v="MAVERIK 502 ALLIANCE NE"/>
        <s v="SONNENALP BULLY RANCH VAIL CO"/>
        <s v="TST BLUE MOOSE BEAVER BEAVER CREEK CO"/>
        <s v="Cenex"/>
        <s v="MHCHILDCARELLC TYPE DUES ID CO MHCHILDCARELLC ACH ECC PPD ACH Trace 45745"/>
        <s v="DISCOVER TYPE EPAYMENT ID CO DISCOVER ACH ECC WEB ACH Trace 56486"/>
        <s v="TST OLIVE S FRESH EXCELS6122324677 MN"/>
        <s v="BANK INT 081620-091520 SCHWAB PREMIER BANK"/>
        <s v="CARGILL COCOA TYPE DIR DEP ID CO CARGILL COCOA ACH ECC PPD ACH Trace 22473"/>
        <s v="MN DIR ACH TYPE CONTRIB ID CO MN DIR ACH ACH ECC WEB ACH Trace 11205"/>
        <s v="RAKU RESTAURANT EDINA MN"/>
        <s v="Maynard's"/>
        <s v="A TO Z RENTAL 9529448040 MN"/>
        <s v="Menard"/>
        <s v="MHCHILDCARELLC TYPE DUES ID CO MHCHILDCARELLC ACH ECC PPD ACH Trace 35958"/>
        <s v="Ridgeview Medical Cnthoswaconia"/>
        <s v="DOORDASH*KAIS SUSHI &amp; 6506819470 CAAPPLE PAY ENDIN"/>
        <s v="Clutch Brewing Co LLC"/>
        <s v="MHCHILDCARELLC TYPE DUES ID CO MHCHILDCARELLC ACH ECC PPD ACH Trace 11534"/>
        <s v="DISCOVER TYPE EPAYMENT ID CO DISCOVER ACH ECC WEB ACH Trace 31598"/>
        <s v="ATM FEE REFUND"/>
        <s v="CARGILL COCOA TYPE DIR DEP ID CO CARGILL COCOA ACH ECC PPD ACH Trace 30192"/>
        <s v="Timberwall Landscape M"/>
        <s v="Plunkett's Pest Control, Inc."/>
        <s v="SQ THE WILSON WEIGH Excelsior MN"/>
        <s v="Minnesota Makers"/>
        <s v="IN NORTHERN FIRE GRILLINMINNETONKA MN"/>
        <s v="Restaurant.com"/>
        <s v="MHCHILDCARELLC TYPE DUES ID CO MHCHILDCARELLC ACH ECC PPD ACH Trace 85615"/>
        <s v="Initial InterestEscrow Deposit"/>
        <s v="11003 NORTH LOOP MINNEAPOLIS MN"/>
        <s v="ARBORETUM APPLEHOUSE CHASKA MN"/>
        <s v="BANK INT 091620-101520 SCHWAB PREMIER BANK"/>
        <s v="BOBSTORESCOM 8663332627 PA"/>
        <s v="BONFES SOUTH SAINT PMN"/>
        <s v="CAMPSAVER 8778836276 IL"/>
        <s v="CARGILL COCOA TYPE DIR DEP ID CO CARGILL COCOA ACH ECC PPD ACH Trace 21729"/>
        <s v="CARGILL COCOA TYPE DIR DEP ID CO CARGILL COCOA ACH ECC PPD ACH Trace 63125"/>
        <s v="CHECK 2180 2180"/>
        <s v="CHECK 2182 2182"/>
        <s v="Dean Vending Inc"/>
        <s v="Deposit by Check Deposit Anywhere check deposit"/>
        <s v="FREEGEEK TWINCITIES FREEGEEKTWINCMN"/>
        <s v="MACKENTHUNSMEATSANDDELI ST BONIFACIUSMN"/>
        <s v="MHCHILDCARELLC TYPE DUES ID CO MHCHILDCARELLC ACH ECC PPD ACH Trace 02204"/>
        <s v="MHCHILDCARELLC TYPE DUES ID CO MHCHILDCARELLC ACH ECC PPD ACH Trace 16096"/>
        <s v="MHCHILDCARELLC TYPE DUES ID CO MHCHILDCARELLC ACH ECC PPD ACH Trace 80504"/>
        <s v="MN DIR ACH TYPE CONTRIB ID CO MN DIR ACH ACH ECC WEB ACH Trace 71599"/>
        <s v="MPLSMETERSAPP 8090 6123437275 MN"/>
        <s v="Scheels Eden Prairie"/>
        <s v="SCHEELS EDEN PRAIRIE EDEN PRAIRIE MN"/>
        <s v="Spoon and Stable"/>
        <s v="SQ NORTH STAR DONUTS Victoria MN"/>
        <s v="SQ THE WILSON WEIGH Saint Paul MN"/>
        <s v="To Share 01"/>
        <s v="USAVEND AT AIR SERV CHANHASSEN MN"/>
        <s v="VICTORIA BURROW 9522065050 MN"/>
        <s v="VIOC 010018 SHOREWOOD MN"/>
        <s v="Draft 2126 Tracer 990002258"/>
        <s v="Back Channel Brewing Collectiv"/>
        <s v="Principal Curtailment"/>
        <s v="TST LYN 65 RICHFIELD MN"/>
        <s v="MHCHILDCARELLC TYPE DUES ID CO MHCHILDCARELLC ACH ECC PPD ACH Trace 37638"/>
        <s v="DISCOVER TYPE EPAYMENT ID CO DISCOVER ACH ECC WEB ACH Trace 04894"/>
        <s v="LOWES COS INC"/>
        <s v="SQ LUCE LINE ORCHARD ANDWatertown MN"/>
        <s v="TST RED COW 1ST AVE 6122380050 MN"/>
        <s v="WEBONLINE 8009880886 MA"/>
        <s v="Actcity Chanhassen Mn"/>
        <s v="Banana Visa TYPE BR EPAY ID CO Banana Visa ACH ECC WEB ACH Trace 38742"/>
        <s v="BANK INT 101620-111520 SCHWAB PREMIER BANK"/>
        <s v="BONFES 6513326633 MN"/>
        <s v="CARGILL COCOA TYPE DIR DEP ID CO CARGILL COCOA ACH ECC PPD ACH Trace 33959"/>
        <s v="CARGILL COCOA TYPE DIR DEP ID CO CARGILL COCOA ACH ECC PPD ACH Trace 54295"/>
        <s v="CHECK 2183 2183"/>
        <s v="Fields"/>
        <s v="LAKEWINDS CHANHASSEN CHANHASSEN MN"/>
        <s v="MAGERS AND QUINN BOOKSELLMINNEAPOLIS MN"/>
        <s v="MHCHILDCARELLC TYPE DUES ID CO MHCHILDCARELLC ACH ECC PPD ACH Trace 00898"/>
        <s v="MHCHILDCARELLC TYPE DUES ID CO MHCHILDCARELLC ACH ECC PPD ACH Trace 11581"/>
        <s v="MHCHILDCARELLC TYPE DUES ID CO MHCHILDCARELLC ACH ECC PPD ACH Trace 82900"/>
        <s v="Mister Car Wash"/>
        <s v="MN DIR ACH TYPE CONTRIB ID CO MN DIR ACH ACH ECC WEB ACH Trace 01531"/>
        <s v="Online Retail Promo"/>
        <s v="PAJARITO EDINA EDINA MN"/>
        <s v="PLUCKD M PLUCKD M WWWFIRSTDRAFMN"/>
        <s v="Prime Video209G32JL0 8888023080 WA"/>
        <s v="Prime VideoJV4RX4WX3 8888023080 WA"/>
        <s v="Rally House 8006455409 KS"/>
        <s v="RED DRESS BOUTIQUE 7064258707 GA"/>
        <s v="The Garden Patch"/>
        <s v="Draft 2130 Tracer XX3255"/>
        <s v="Gap"/>
        <s v="Kohl's"/>
        <s v="MHCHILDCARELLC TYPE DUES ID CO MHCHILDCARELLC ACH ECC PPD ACH Trace 69445"/>
        <s v="REDCOWMNCOM REDCOWMNCOM MN"/>
        <s v="SP SOTASTICK CO SOTASTICKCOMMN"/>
        <s v="REICOM 8004264840 WA"/>
        <s v="YETI COOLERS 5123949384 TX"/>
        <s v="THYMES WWWTHYMESCOMN"/>
        <s v="MHCHILDCARELLC TYPE DUES ID CO MHCHILDCARELLC ACH ECC PPD ACH Trace 19209"/>
        <s v="SP SHARP KITCHEN HTTPSSHARPKITCA"/>
        <s v="CARGILL COCOA TYPE DIR DEP ID CO CARGILL COCOA ACH ECC PPD ACH Trace 66903"/>
        <s v="Banana Visa TYPE BR EPAY ID CO Banana Visa ACH ECC WEB ACH Trace 15489"/>
        <s v="Banana Visa TYPE BR EPAY ID CO Banana Visa ACH ECC WEB ACH Trace 89122"/>
        <s v="BANK INT 111620-121520 SCHWAB PREMIER BANK"/>
        <s v="BLACK SHEEP PIZZA N 6123422625 MN"/>
        <s v="Burger King"/>
        <s v="CARGILL COCOA TYPE DIR DEP ID CO CARGILL COCOA ACH ECC PPD ACH Trace 56599"/>
        <s v="CHECK 2184 2184"/>
        <s v="City of Minnetonka"/>
        <s v="College Savings ACH 201224"/>
        <s v="College Savings ACH 201228"/>
        <s v="Deposit Mobile Banking"/>
        <s v="DOROTHY LANE MARKET ECO9375355707 OH"/>
        <s v="HAMMER MADE RIDGEDALE MINNEAPOLIS MN"/>
        <s v="Haskells"/>
        <s v="JOURNAL FRM 89315308"/>
        <s v="JOURNAL TO 26778130"/>
        <s v="JOURNAL TO 94319131"/>
        <s v="Jungle Kitchen"/>
        <s v="MHCHILDCARELLC TYPE DUES ID CO MHCHILDCARELLC ACH ECC PPD ACH Trace 01230"/>
        <s v="MHCHILDCARELLC TYPE DUES ID CO MHCHILDCARELLC ACH ECC PPD ACH Trace 50354"/>
        <s v="MHCHILDCARELLC TYPE DUES ID CO MHCHILDCARELLC ACH ECC PPD ACH Trace 69504"/>
        <s v="MN DIR ACH CONTRIB 122820"/>
        <s v="MN DIR ACH CONTRIB 122920"/>
        <s v="MN DIR ACH TYPE CONTRIB ID CO MN DIR ACH ACH ECC WEB ACH Trace 17343"/>
        <s v="NORTH LOOP WINE AND SPIR MINNEAPOLIS MN"/>
        <s v="SCHWAB INTL INDEX FUND"/>
        <s v="Total Wine"/>
        <s v="TST LYN 65 6123535501 MN"/>
        <s v="TYPE TRANSFER ID PAYPALSD11 CO PAYPAL ACH ECC PPD ACH Trace 20152"/>
        <s v="DISCOVER TYPE EPAYMENT ID CO DISCOVER ACH ECC WEB ACH Trace 24810"/>
        <s v="DISCOVER TYPE EPAYMENT ID CO DISCOVER ACH ECC WEB ACH Trace 58049"/>
        <s v="RED WAGON RED WAGON STRIPECOM MN"/>
        <s v="MERCATOCO MERCATOCO HTTPSWWWMERCNY"/>
        <s v="DISCOVER TYPE EPAYMENT ID CO DISCOVER ACH ECC WEB ACH Trace 59454"/>
        <s v="Bachman's"/>
        <s v="SQUARE INC CLASS A"/>
        <s v="Draft 2203 Tracer 990003866"/>
        <s v="Best Cleaners, Inc"/>
        <s v="MHCHILDCARELLC TYPE DUES ID CO MHCHILDCARELLC ACH ECC PPD ACH Trace 36126"/>
        <s v="CARGILL COCOA TYPE DIR DEP ID CO CARGILL COCOA ACH ECC PPD ACH Trace 31448"/>
        <s v="Airbnb"/>
        <s v="MN COURT HENNEPIN 6512813219 MN"/>
        <s v="MN COURT HENNEPIN WEB SER8668014757 IN"/>
        <s v="MHCHILDCARELLC TYPE DUES ID CO MHCHILDCARELLC ACH ECC PPD ACH Trace 11813"/>
        <s v="Minnetonka Community Church"/>
        <s v="PT PARK NICOLLET WEB 9529937672 MN"/>
        <s v="Buffalo Wild Wings"/>
        <s v="LUTSEN MOUNTAINS 9999999999 MN"/>
        <s v="Total Wine More"/>
        <s v="TST COPPER COW MINNETONKA MN"/>
        <s v="TEQUILA BUTCHER CHANHASSEN MN"/>
        <s v="BANK INT 121620-011521 SCHWAB PREMIER BANK"/>
        <s v="DGC PICTURE CABO CABO SAN LUCAMX"/>
        <s v="LA COMER LA CASCADA LOS CABOS MX"/>
        <s v="MN DIR ACH TYPE CONTRIB ID CO MN DIR ACH ACH ECC WEB ACH Trace 47209"/>
        <s v="TYPE TRANSFER ID PAYPALSD11 CO PAYPAL ACH ECC PPD ACH Trace 56638"/>
        <s v="CARGILL COCOA TYPE DIR DEP ID CO CARGILL COCOA ACH ECC PPD ACH Trace 30932"/>
        <s v="MHCHILDCARELLC TYPE DUES ID CO MHCHILDCARELLC ACH ECC PPD ACH Trace 78848"/>
        <s v="SUPERMERC STA CARMELA CABO SAN LUCAMX"/>
        <s v="LA TAQUIZA CABO SAN LUCAMX"/>
        <s v="CABO WABO CABO SAN LUCAMX"/>
        <s v="CLIP MXFARMACIA CIUDAD DE MEXMX"/>
        <s v="Blue"/>
        <s v="HOSP BLUE NET LOS CABOS BCSMX"/>
        <s v="REST BAR MISIONES CABO SAN LUCAMX"/>
        <s v="RESTAURANT DON MANUEL LOS CABOS BCSMX"/>
        <s v="RESTAURANT EL FARALLON LOS CABOS BCSMX"/>
        <s v="MHCHILDCARELLC TYPE DUES ID CO MHCHILDCARELLC ACH ECC PPD ACH Trace 08784"/>
        <s v="OXXO LUNAMAR LAP LOS CABOS BCSMX"/>
        <s v="REG CABOS SALIDAT876 I LOS CABOS BCSMX"/>
        <s v="Deposit Home Ban Member Welcome Gift"/>
        <s v="Employee Benefit Type"/>
        <s v="Deposit Transfer From TRUITTCOOPER L Share 12"/>
        <s v="Withdrawal Trans To TRUITTJEFF B Share 70"/>
        <s v="Edgetek Hockey"/>
        <s v="O'Reilly Auto Parts"/>
        <s v="TRUITTJEFF B TYPE Online ID CO TRUITTJEFF B ACH ECC WEB"/>
        <s v="Draft 2205 Tracer XX2294"/>
        <s v="DISCOVER TYPE EPAYMENT ID CO DISCOVER ACH ECC WEB ACH Trace 11808"/>
        <s v="Funds Transfer to Brokerage -9131"/>
        <s v="MHCHILDCARELLC TYPE DUES ID CO MHCHILDCARELLC ACH ECC PPD ACH Trace 70564"/>
        <s v="CARGILL COCOA TYPE DIR DEP ID CO CARGILL COCOA ACH ECC PPD ACH Trace 20887"/>
        <s v="GoFndMe Free Family s JoRedwood City CA"/>
        <s v="HBRSUBSCRIPTION 8009880886 MA"/>
        <s v="Paragon Bakery LLC"/>
        <s v="Tires Plus"/>
        <s v="ENMOTIVE EVENT REGISTRATIBUFFALO GROVEIL"/>
        <s v="Unmapped Brewing Co."/>
        <s v="Uber Eats"/>
        <s v="MHCHILDCARELLC TYPE DUES ID CO MHCHILDCARELLC ACH ECC PPD ACH Trace 10621"/>
        <s v="Carhartt"/>
        <s v="Banana Visa TYPE BR EPAY ID CO Banana Visa ACH ECC WEB ACH Trace 95050"/>
        <s v="Cov Wayzata"/>
        <s v="BANK INT 011621-021521 SCHWAB PREMIER BANK"/>
        <s v="DISCOVER TYPE EPAYMENT ID CO DISCOVER ACH ECC WEB ACH Trace 32375"/>
        <s v="CARGILL COCOA TYPE DIR DEP ID CO CARGILL COCOA ACH ECC PPD ACH Trace 25397"/>
        <s v="MHCHILDCARELLC TYPE DUES ID CO MHCHILDCARELLC ACH ECC PPD ACH Trace 57643"/>
        <s v="Funds Transfer to Brokerage -8130"/>
        <s v="MN DIR ACH TYPE CONTRIB ID CO MN DIR ACH ACH ECC WEB ACH Trace 73791"/>
        <s v="KONA GRILL MINNETONKA MINNETONKA MN"/>
        <s v="MN DIR ACH CONTRIB 021921"/>
        <s v="Instacart"/>
        <s v="Davannis"/>
        <s v="MHCHILDCARELLC TYPE DUES ID CO MHCHILDCARELLC ACH ECC PPD ACH Trace 61699"/>
        <s v="Trails Ta Travel"/>
        <s v="Bonfes South Saint"/>
        <s v="Phillips 66"/>
        <s v="TST 515 BAR GRILL WDM IA"/>
        <s v="DICKS CLOTHINGSPORTING RICHFIELD MN"/>
        <s v="RIMANN LIQUORS OF PV LLC PRAIRIE VILLAKS"/>
        <s v="TREX MART 3 LATHROP MO"/>
        <s v="TST MISSION TACO JOINT KANSAS CITY MO"/>
        <s v="Draft 2206 Tracer XX2472"/>
        <s v="IHG POINTS AND CASH 8882119874 GA"/>
        <s v="MHCHILDCARELLC TYPE DUES ID CO MHCHILDCARELLC ACH ECC PPD ACH Trace 94142"/>
        <s v="Alzheimers Association"/>
        <s v="CARGILL COCOA TYPE DIR DEP ID CO CARGILL COCOA ACH ECC PPD ACH Trace 32063"/>
        <s v="GRANDMAS SALOON GRILL DULUTH MN"/>
        <s v="Tobies Station, Inc."/>
        <s v="VOYAGERSBREWINGCOMPANY GRANDMARAIS MN"/>
        <s v="CASTLE DANGER BREWING CO TWO HARBORS MN"/>
        <s v="COHO CAFE TOFTE MN"/>
        <s v="LUTSEN MOUNTAINS FB WWWLUTSENCOMN"/>
        <s v="MOUNTAIN SHOPS, INC LUTSEN MN"/>
        <s v="PAPA CHARLIES RSTRNT LUTSEN MN"/>
        <s v="SUMMIT CHALET LUTSEN MN"/>
        <s v="E&amp;G - 1012 DULUTH DULUTH MN"/>
        <s v="GRAND MARIAS LIQUOR STORE2183871630 MN"/>
        <s v="TOBIES CARIBOU 3203847968 MN"/>
        <s v="MHCHILDCARELLC TYPE DUES ID CO MHCHILDCARELLC ACH ECC PPD ACH Trace 80800"/>
        <s v="DISCOVER TYPE EPAYMENT ID CO DISCOVER ACH ECC WEB ACH Trace 73026"/>
        <s v="Wakame Sushi &amp; Asian Bistro"/>
        <s v="BANK INT -XX1521 SCHWAB PREMIER BANK"/>
        <s v="MHCHILDCARELLC TYPE DUES ID CO MHCHILDCARELLC ACH ECC PPD ACH Trace X7985"/>
        <s v="CARGILL COCOA TYPE DIR DEP ID CO CARGILL COCOA ACH ECC PPD ACH Trace X5513"/>
        <s v="MN DIR ACH TYPE CONTRIB ID CO MN DIR ACH ACH ECC WEB ACH Trace X7949"/>
        <s v="B MOCCASIN BAR X5820 US HAYWARD"/>
        <s v="Marketplace Iga"/>
        <s v="BONFES PLUMBING HEATING ASOUTH SAINT PMN"/>
        <s v="Shell"/>
        <s v="MHCHILDCARELLC TYPE DUES ID CO MHCHILDCARELLC ACH ECC PPD ACH Trace 44258"/>
        <s v="POLYWOODCOM HTTPSWWWPOLYIN"/>
        <s v="IMMERSIVE VAN GOGH VANGOGHMSPCOIL"/>
        <s v="Inneractive Playground"/>
        <s v="SQ ROLLER GARDEN MINNEAPOLIS MN"/>
        <s v="SQ THE DAMPFWERK D MINNEAPOLIS MN"/>
        <s v="The Glow Lounge"/>
        <s v="VIOC 010042 CHANHASSEN MN"/>
        <s v="Zappos"/>
        <s v="MHCHILDCARELLC TYPE DUES ID CO MHCHILDCARELLC ACH ECC PPD ACH Trace 49909"/>
        <s v="CARGILL INCORPOR TYPE DIRECT DEP ID CO CARGILL INCORPOR ACH ECC PPD ACH Tra"/>
        <s v="COOPER S FOODS CHASKA MN"/>
        <s v="Draft 2281 Tracer XX0788"/>
        <s v="CARGILL INCORPOR"/>
        <s v="Tfr JPMORGAN CHASE BAN, CARGILL INCORPOR"/>
        <s v="MHCHILDCARELLC TYPE DUES ID CO MHCHILDCARELLC ACH ECC PPD ACH Trace 68390"/>
        <s v="SP SENDJOESKCBBQ SENDJOESBARBQKS"/>
        <s v="Marathon"/>
        <s v="DISCOVER TYPE EPAYMENT ID CO DISCOVER ACH ECC WEB ACH Trace 49696"/>
        <s v="Station Pizzeria"/>
        <s v="MHCHILDCARELLC TYPE DUES ID CO MHCHILDCARELLC ACH ECC PPD ACH Trace 98967"/>
        <s v="RED SAUCE RED SAUCE STRIPECOM MN"/>
        <s v="Banana Visa TYPE BR EPAY ID CO Banana Visa ACH ECC WEB ACH Trace 54188"/>
        <s v="BANK INT 031621-041521 SCHWAB PREMIER BANK"/>
        <s v="TRAVEL GUARD GROUP INC 8779348308 WI"/>
        <s v="SQ CHANHASSEN BREWING COChanhassen MN"/>
        <s v="UNITED 01623443222688009322732 TX"/>
        <s v="UNITED 01623443222698009322732 TX"/>
        <s v="MN DIR ACH TYPE CONTRIB ID CO MN MN DIR ACH TYPE CONTRIB ID CO MN DIR ACH A"/>
        <s v="Credit Card Payment Received PAYMENT THANK YOU"/>
        <s v="Withdrawal Home payment to card XX91 Withdrawal Home payment to card 979181"/>
        <s v="Connect Your Care Deposit connectyourcare TYPE SVBCLAIMS ID E942875288 CO c"/>
        <s v="MHCHILDCARELLC TYPE DUES ID CO M MHCHILDCARELLC TYPE DUES ID CO MHCHILDCARE"/>
        <s v="Discover Bank DISCOVER TYPE EPAYMENT ID CO DISCOVER ACH ECC WEB ACH Trace 8"/>
        <s v="FREEWHEEL EDEN PRAIRIE XX2223 MN FREEWHEEL EDEN PRAIRIE 6123392223 MN"/>
        <s v="MEDTRONIC TWIN CITIES HTTPSRACER MEDTRONIC TWIN CITIES HTTPSRACEROSTMA"/>
        <s v="CREEDE SNOWSHOE LODGE CREEDE CO"/>
        <s v="TST COPPER COW XX5151 MN TST COPPER COW 6083815151 MN"/>
        <s v="Banana Republic"/>
        <s v="Cargill Inc Deposit CARGILL INCORPOR TYPE DIRECT DEP ID CO CARGILL INCORPOR"/>
        <s v="Recreation.gov"/>
        <s v="STUBHUB INC 8667882482 CA"/>
        <s v="Interest Income 0010 APY Earned 001 040121 to 043021"/>
        <s v="Interest Income Split Rate APY Earned 154 040121 to 043021"/>
        <s v="Baxter Credit Union"/>
        <s v="College Savings TYPE ACH ID XX58 College Savings TYPE ACH ID 550895818 CO C"/>
        <s v="Delaware North"/>
        <s v="HBRSUBSCRIPTION XX0886 MA HBRSUBSCRIPTION 8009880886 MA"/>
        <s v="Total Wine &amp; More"/>
        <s v="SignUp OutrunALD2021 XX1360 NJ SignUp OutrunALD2021 8883851360 NJ"/>
        <s v="GOOD DAY CAFE GOLDEN VALLEYMN"/>
        <s v="INEFFABLE BREWING COMPAN BURNSVILLE MN"/>
        <s v="Lund's"/>
        <s v="WOODENHILL1 EDINA MN"/>
        <s v="Transfer to Venmo VENMO TYPE PAYMENT ID CO VENMO ACH ECC WEB ACH Trace 3282"/>
        <s v="Discover Bank DISCOVER TYPE EPAYMENT ID CO DISCOVER ACH ECC WEB ACH Trace 7"/>
        <s v="CenterPoint Energy"/>
        <s v="FSPSAVAGE JUMP XX8517 MN FSPSAVAGE JUMP 6126058517 MN"/>
        <s v="Water Street Inn WATERSTREET INN STILLWATER MN"/>
        <s v="TST LAGOS TACOS EXCELSIOXX8495 M TST LAGOS TACOS EXCELSIO9523008495 MN"/>
        <s v="BANK INT 041621-051521 SCHWAB PREMIER BANK"/>
        <s v="TST RED RABBIT MINNEAP6513362179 MN"/>
        <s v="Tullibee"/>
        <s v="PSA Portal Payments XX9470 MN PSA Portal Payments 9528359470 MN"/>
        <s v="Midwest Aqua Care Inc"/>
        <s v="Federal Express"/>
        <s v="PLUNKETTS PEST CONTROL MINNEAPOL PLUNKETTS PEST CONTROL MINNEAPOLIS MN"/>
        <s v="OATLY GROUP AB FUNSPONSORED ADR 1 ADR REPS ORD SHS"/>
        <s v="LOWES 00907 8664837521 NC"/>
        <s v="UNTIEDTS MINNETONKA MINNETONKA MN"/>
        <s v="LEVELUPROTI393257141 855-538-3542 MA"/>
        <s v="BOBBERS BAR DEER RIVER MN"/>
        <s v="Neste"/>
        <s v="TST YUM KITCHEN AND BAKMINNEAPOLIS MN"/>
        <s v="Usave Foods U SAVE FOODS 440 DEER RIVER MN"/>
        <s v="Interest Income Split Rate APY Earned 128 050121 to 053121"/>
        <s v="Transfer from PayPal PAYPAL TYPE TRANSFER ID PAYPALSD11 CO PAYPAL ACH ECC P"/>
        <s v="TST LAGOS TACOS EXCELSIO9523008495 MN"/>
        <s v="HONK MSP 6123751301 MN"/>
        <s v="SQ GOGLOW EDINA MN"/>
        <s v="The UPS Store"/>
        <s v="Shorewood Liquor Inc"/>
        <s v="SP FREE FLY APPAREL HTTPSFREEFL SP FREE FLY APPAREL HTTPSFREEFLYASC"/>
        <s v="River Services, Inc"/>
        <s v="Deposit by Check"/>
        <s v="The Fletcher School LORD FLETCHERS SPRING PARK MN"/>
        <s v="FORD MOTOR CO"/>
        <s v="Licks Unlimited"/>
        <s v="Sp Free Fly"/>
        <s v="General Store Cafe Inc"/>
        <s v="General Store Of Minnetonka GENERALSTOREOFMINNETONKA MINNETONKA MN"/>
        <s v="HAZELWOOD FOOD DRINKSTSAINT LOUIS PMN"/>
        <s v="K TAYLOR CHASKA MN K TAYLOR CHASKA MN"/>
        <s v="Valvoline Instant Oil Change"/>
        <s v="Lakewinds Food Coop LAKEWINDS CHANHASSEN CHANHASSEN MN"/>
        <s v="SQ ENKI BREWING CO VICTORIA MN SQ ENKI BREWING CO VICTORIA MN"/>
        <s v="WINCHESTER AND RYE VICTORIA MN WINCHESTER AND RYE VICTORIA MN"/>
        <s v="CHECK 2186 2186"/>
        <s v="SCHWAB INTERMEDIATE TERMUS TRS ETF"/>
        <s v="Transfer to Venmo VENMO TYPE PAYMENT ID CO VENMO ACH ECC WEB ACH Trace 5492"/>
        <s v="BANK INT 051621-061521 SCHWAB PREMIER BANK"/>
        <s v="CVS"/>
        <s v="LATE FEE"/>
        <s v="Cafe Zupas"/>
        <s v="LIQUOR BOY MINNEAPOLIS MN"/>
        <s v="Milios"/>
        <s v="SQ DINE11 Waconia MN"/>
        <s v="Staples"/>
        <s v="Century Theaters"/>
        <s v="Pai Iso Century"/>
        <s v="TST KASKAID CRAVE FOODMINNETONKA MN"/>
        <s v="TST THE FREEHOUSE MINNEAPOLIS MN"/>
        <s v="Westin"/>
        <s v="INTEREST CHARGE ON PURCHASES"/>
        <s v="Red Dress Boutique"/>
        <s v="SP LAKE AND CO GRAND RAPID MN SP LAKE AND CO GRAND RAPID MN"/>
        <s v="SP SOTA CLOTHING SPENCEDESIGNSM SP SOTA CLOTHING SPENCEDESIGNSMN"/>
        <s v="Stillwater Olive Oil Company LLC"/>
        <s v="The Daily Grind"/>
        <s v="THE SHIRT FACTORY STILLWATER MN"/>
        <s v="Freight House, Inc"/>
        <s v="Red Bench Bakery LLC"/>
        <s v="Surly Brewing Company TST SURLY BREWING COMPANMINNEAPOLIS MN"/>
        <s v="Transfer to Venmo VENMO TYPE PAYMENT ID CO VENMO ACH ECC WEB ACH Trace 3187"/>
        <s v="Lowe's"/>
        <s v="Interest Income Split Rate APY Earned 059 060121 to 063021"/>
        <s v="Interest Income Split Rate APY Earned 100 060121 to 063021"/>
        <s v="FAUCETCOM 8004445783 CA"/>
        <s v="CHECK 2105 2105"/>
        <s v="Potbelly Sandwich Works"/>
        <s v="TEQUILA BUTCHER AT THE C EXCELSIOR MN"/>
        <s v="Gomer's Stateline"/>
        <s v="JAYHAWK FUEL PAOLA KS"/>
        <s v="AC DBC FS PIZZA KANSAS CITY MO AC DBC FS PIZZA KANSAS CITY MO"/>
        <s v="OP FARMSTEAD OVERLAND PARKKS OP FARMSTEAD OVERLAND PARKKS"/>
        <s v="Transfer to Venmo VENMO TYPE PAYMENT ID CO VENMO ACH ECC WEB ACH Trace 6050"/>
        <s v="Pilot Travel Center"/>
        <s v="Q39 South"/>
        <s v="SQ SMOOTH MOVE Chaska MN"/>
        <s v="KADO NO MISEKAISEKI FURUMinneapolis MN"/>
        <s v="KAIS SUSHI GRILL CHANHASSEN MN KAIS SUSHI GRILL CHANHASSEN MN"/>
        <s v="Minneapolis, MN"/>
        <s v="SQ HONEY RYE BAKEHOUSESt Louis ParkMN"/>
        <s v="Discover Bank DISCOVER TYPE EPAYMENT ID CO DISCOVER ACH ECC WEB ACH Trace 1"/>
        <s v="Transfer to Venmo VENMO TYPE PAYMENT ID CO VENMO ACH ECC WEB ACH Trace 4098"/>
        <s v="CROOKED PINT CHASKA CHASKA MN"/>
        <s v="LORD FLETCHERS SPRING PARK MN"/>
        <s v="SalaryRegular Income from IRS St IRS TREAS 310 TYPE CHILDCTC ID CO IRS TREA"/>
        <s v="FOX CO LLC TYPE SALE ID CO FOX C FOX CO LLC TYPE SALE ID CO FOX CO LLC ACH "/>
        <s v="LS SAN JUAN SPORTS 18669321801 CO"/>
        <s v="LS TSHIRT SHOP CREEDE CO"/>
        <s v="SP CREEDE OLIVE OIL CREEDE CO"/>
        <s v="UNITED 01699305234568009322732 TX"/>
        <s v="BANK INT 061621-071521 SCHWAB PREMIER BANK"/>
        <s v="Colorado Parks And Wildlife RAOCOPARKSWILDLIFE CO DENVER CO TX"/>
        <s v="KIPS GRILL 7196580220 CO"/>
        <s v="Minneapolissaint Paul Internatio MINNEAPOLIS AIRPORT SAINT PAUL MN"/>
        <s v="RAMBLE HOUSE LLC CREEDE CO RAMBLE HOUSE LLC CREEDE CO"/>
        <s v="LIQUID AMBITIONS LIQUOR CREEDE CO"/>
        <s v="LS SAN JUAN SPORTS XX1801 CO LS SAN JUAN SPORTS 18669321801 CO"/>
        <s v="Transfer to Venmo VENMO TYPE PAYMENT ID CO VENMO ACH ECC WEB ACH Trace 7944"/>
        <s v="Big Dogs"/>
        <s v="DoorDash.com"/>
        <s v="GRANDE PREMIUM MEATS DEL NORTE C GRANDE PREMIUM MEATS DEL NORTE CO"/>
        <s v="SQ PIZZERIA 8852 Creede CO SQ PIZZERIA 8852 Creede CO"/>
        <s v="United Airlines"/>
        <s v="TST RED COW 50TH ST 6127674411 MN"/>
        <s v="SP FREE FLY APPAREL HTTPSFREEFLYASC"/>
        <s v="SQ MN STREETCAR MUSEUM Excelsior MN"/>
        <s v="SQ RED BENCH BAKERY Excelsior MN"/>
        <s v="Transfer to Venmo VENMO TYPE PAYMENT ID CO VENMO ACH ECC WEB ACH Trace 6371"/>
        <s v="Fry's Food"/>
        <s v="MINNEAPOLIS AIRPORT SAINT PAUL MN"/>
        <s v="Prime Video2E9KS5740 8888023080 WA"/>
        <s v="The Kettle Black Kitchen Phoenix AZ"/>
        <s v="84 VICS BLUE DOK 7900 QUAMOCLIT ST VICTORIA MN"/>
        <s v="85 VICS BLUE DOK 7900 QUAMOCLIT ST VICTORIA MN"/>
        <s v="86 VICS BLUE DOK 7900 QUAMOCLIT ST VICTORIA MN"/>
        <s v="RUTTGERS BAY LAKE RESO XX2885 MN RUTTGERS BAY LAKE RESO 2186782885 MN"/>
        <s v="Hampton Inn"/>
        <s v="IRONWOODBYHUDSONST1965 PHOENIX AZ"/>
        <s v="Interest Income Split Rate APY Earned 057 070121 to 073121"/>
        <s v="Interest Income Split Rate APY Earned 100 070121 to 073121"/>
        <s v="REDSTONE AMERICAN GRILL EDEN PRAIRIE MN"/>
        <s v="The Block"/>
        <s v="Grabbagreen"/>
        <s v="TST DUKES ON 7 MINNETONKA MN TST DUKES ON 7 MINNETONKA MN"/>
        <s v="MN COURT CARVER XX3219 MN MN COURT CARVER 6512813219 MN"/>
        <s v="Withdrawal Debit REEDS SUNNYSIDE MARINA WWWSUNNYSIDE WI Date 080321 030 792"/>
        <s v="MN COURT CARVER SERVICE FXX4757 MN COURT CARVER SERVICE F8668014757 IN"/>
        <s v="Ruttgers Bay Lake"/>
        <s v="RIDGEVIEW MEDICAL CNTRCL9524422191 MN"/>
        <s v="Transfer to Venmo VENMO TYPE PAYMENT ID CO VENMO ACH ECC WEB ACH Trace 1119"/>
        <s v="Discover Bank DISCOVER TYPE EPAYMENT ID CO DISCOVER ACH ECC WEB ACH Trace 3"/>
        <s v="CHECK 2106 2106"/>
        <s v="Ridgeview Medical Cntrclwaconia"/>
        <s v="TYPE TRANSFER ID PAYPALSD11 CO PAYPAL ACH ECC PPD ACH Trace 33098"/>
        <s v="Transfer to Venmo VENMO TYPE PAYMENT ID CO VENMO ACH ECC WEB ACH Trace 3305"/>
        <s v="APPLECOMUS 8006762775 CA"/>
        <s v="TST COPPER COW MINNETONKA MN TST COPPER COW MINNETONKA MN"/>
        <s v="SYNTELLIS TYPE ID CO SYNTELLIS A SYNTELLIS TYPE PAYMENT ID CO SYNTELLIS ACH"/>
        <s v="BANK INT 071621-081521 SCHWAB PREMIER BANK"/>
        <s v="Brueggers"/>
        <s v="Dangerous Man Brewing Co."/>
        <s v="Something Safari LLC"/>
        <s v="Transfer to Venmo VENMO TYPE PAYMENT ID CO VENMO ACH ECC WEB ACH Trace 3289"/>
        <s v="Transfer to Venmo VENMO TYPE PAYMENT ID CO VENMO ACH ECC WEB ACH Trace 9524"/>
        <s v="Applecomus Ca"/>
        <s v="Prosource"/>
        <s v="TST FAT PANTS BREWING COEDEN PRAIRIE MN"/>
        <s v="Transfer to Venmo VENMO TYPE PAYMENT ID CO VENMO ACH ECC WEB ACH Trace 4072"/>
        <s v="COOKS O CROCUS HILL NORTMINNEAPOLIS MN"/>
        <s v="FULTON LLC MINNEAPOLIS MN FULTON LLC MINNEAPOLIS MN"/>
        <s v="x1003 NORTH LOOP MINNEAPOLIS MN 11003 NORTH LOOP MINNEAPOLIS MN"/>
        <s v="INBOUND BREWCO MINNEAPOLIS MN"/>
        <s v="SP HUMA GEL HTTPSHUMAGELTN SP HUMA GEL HTTPSHUMAGELTN"/>
        <s v="Momo Sushi LLC"/>
        <s v="LULUSCOM HTTPSWWWLULUCA"/>
        <s v="BMW"/>
        <s v="CHECK 2089 2089"/>
        <s v="Tavern 23"/>
        <s v="BLACK BEAR HOTEL CARLTON MN"/>
        <s v="BULL &amp; WREN EXCELSIOR MN"/>
        <s v="MACKENTHUNSMEATSANDDELI ST BONIF MACKENTHUNSMEATSANDDELI ST BONIFACIUSMN"/>
        <s v="TALL PINES LIQUOR INC CARLTON MN TALL PINES LIQUOR INC CARLTON MN"/>
        <s v="BLACK BEAR CASINO RESO CARLTON M BLACK BEAR CASINO RESO CARLTON MN"/>
        <s v="NEMADJI GOLF COURSE SUPERIOR WI"/>
        <s v="Primp"/>
        <s v="Interest Income Split Rate APY Earned 048 080121 to 083121"/>
        <s v="Interest Income Split Rate APY Earned 100 080121 to 083121"/>
        <s v="LIONS TAP EDEN PRAIRIE MN LIONS TAP EDEN PRAIRIE MN"/>
        <s v="Free People"/>
        <s v="Lucky"/>
        <s v="Reed's"/>
        <s v="Reeds Sunnyside Marine"/>
        <s v="TST SUNSETS AT PARADISE BALSAM LAKE WI"/>
        <s v="CHECK 2100 2100"/>
        <s v="B R COHN WINERY GLEN ELLEN CA"/>
        <s v="London"/>
        <s v="The Chiroport"/>
        <s v="TST* GARDEN COURT CAFE GLEN ELLEN CAAPPLE PAY ENDI"/>
        <s v="Arby's"/>
        <s v="Chateau St. Jean"/>
        <s v="GLEN ELLEN VILLAGE GLEN ELLEN CA GLEN ELLEN VILLAGE GLEN ELLEN CA"/>
        <s v="SHOYU XX3558 MN SHOYU 8665083558 MN"/>
        <s v="TST* BOTTEGA NAPA VALLEY YOUNTVILLE CA"/>
        <s v="WAKABA SAN FRANCISCOCA0002305843014555255164"/>
        <s v="San Francisco Ca."/>
        <s v="TST* RED RABBIT - MINNEA MINNEAPOLIS MNAPPLE PAY E"/>
        <s v="Compass Books Cafe"/>
        <s v="MSP AIRPORT PARKING SAINT PAUL MN"/>
        <s v="Discover Bank DISCOVER TYPE EPAYMENT ID CO DISCOVER ACH ECC WEB ACH Trace 2"/>
        <s v="Transfer to Venmo VENMO TYPE PAYMENT ID CO VENMO ACH ECC WEB ACH Trace 7201"/>
        <s v="Hilton"/>
        <s v="TST* OLIVE S FRESH EXCEL EXCELSIOR MN"/>
        <s v="BANK INT 081621-091521 SCHWAB PREMIER BANK"/>
        <s v="Mall of America"/>
        <s v="BESTCLEANERSEXCELSIOR EXCELSIOR BESTCLEANERSEXCELSIOR EXCELSIOR MN"/>
        <s v="Check Paid #1181"/>
        <s v="Jac &amp; Violet"/>
        <s v="SQ BABY BLUE Excelsior MN"/>
        <s v="SQ FIREHOUSE FOODS FOOD Excelsior MN"/>
        <s v="SQ SUNNY DAYS COMFORT FOArlington MN"/>
        <s v="Yum Kitchen and Bakery"/>
        <s v="Culver's"/>
        <s v="Prime Video2C7EB1OP1 8888023080 WA"/>
        <s v="TAIWAN SEMICONDUCTR FSPONSORED ADR 1 ADR REPS 5 ORD SHS"/>
        <s v="Ticketmaster"/>
        <s v="HMCOM 8554667467 NY"/>
        <s v="LAT14 MINNEAPOLIS MN"/>
        <s v="Ace Hardware"/>
        <s v="Aramark"/>
        <s v="SP ROOLEE HTTPSROOLEEMUT SP ROOLEE HTTPSROOLEEMUT"/>
        <s v="Under Pressure Inc"/>
        <s v="U.S. Bank Stadium"/>
        <s v="WPYRise Bagel Co 8554693729 MN"/>
        <s v="CHECK 2107 2107"/>
        <s v="Facebook"/>
        <s v="CHECK 2108 2108"/>
        <s v="Interest Income Split Rate APY Earned 074 090121 to 093021"/>
        <s v="KIDS HAIR CH CHANHASSEN MN KIDS HAIR CH CHANHASSEN MN"/>
        <s v="SQ EXECLSIOR MASONIC LODExcelsior MN"/>
        <s v="FOX CO LLC TYPE SALE ID CO FOX CO LLC ACH ECC WEB ACH Trace 15235"/>
        <s v="RIDGES AT SAND CREEK PRO9524922644 MN"/>
        <s v="TYPE TRANSFER ID PAYPALSD11 CO PAYPAL ACH ECC PPD ACH Trace 00007"/>
        <s v="TST RED COW 1ST AVE MINNEAPOLIS MN"/>
        <s v="MODSYCOM WWWMODSYCOMCA MODSYCOM WWWMODSYCOMCA"/>
        <s v="Discover Bank DISCOVER TYPE EPAYMENT ID CO DISCOVER ACH ECC WEB ACH Trace 6"/>
        <s v="Artistic Floral"/>
        <s v="In Detail"/>
        <s v="Samsonite"/>
        <s v="BANK INT 091621-101521 SCHWAB PREMIER BANK"/>
        <s v="Benevity Inc BENEVITY DONATIONS 8552377875 FL"/>
        <s v="CHECK 2201 2201"/>
        <s v="CHECK 2341 2341"/>
        <s v="GoFundMe Vince Glasgow MeRedwood City CA"/>
        <s v="Hmcom Ny"/>
        <s v="Interest Income Split Rate APY Earned 100 100121 to 103121"/>
        <s v="Interest Income Split Rate APY Earned 106 100121 to 103121"/>
        <s v="KAIS SUSHI GRILL CHANHASSEN MN"/>
        <s v="NESPRESSO USA 8886377737 NY"/>
        <s v="Peloton Cycles PELOTON MEMBERSHIP HTTPSWWWONEPNY"/>
        <s v="Punchbowl Social"/>
        <s v="RAILROADING HERITAGE OF XX9812 M RAILROADING HERITAGE OF 6517659812 MN"/>
        <s v="Scholastic"/>
        <s v="Sir Smoke A Lot Bbq"/>
        <s v="Sp Roolee Httpsrooleemut"/>
        <s v="SQ SOTALICIOUS Excelsior MN SQ SOTALICIOUS Excelsior MN"/>
        <s v="SYNTELLIS PERFOR"/>
        <s v="SYNTELLIS PERFOR TYPE DIRECT DEP ID CO SYNTELLIS PERFOR ACH ECC PPD ACH Tra"/>
        <s v="Tfr JPMORGAN CHASE BAN, SYNTELLIS PERFOR"/>
        <s v="TOCK ATTRAVAIL KITCHE TRAVAILKIT TOCK ATTRAVAIL KITCHE TRAVAILKITCH IL"/>
        <s v="TRAVAIL KITCHEN ROBBINSDALE MN TRAVAIL KITCHEN ROBBINSDALE MN"/>
        <s v="TST LAGOS TACOS EXCELSIOEXCELSIOR MN"/>
        <s v="Twin Cities In Motion"/>
        <s v="Transfer to Venmo VENMO TYPE PAYMENT ID CO VENMO ACH ECC WEB ACH Trace 4240"/>
        <s v="Transfer to Venmo VENMO TYPE PAYMENT ID CO VENMO ACH ECC WEB ACH Trace 8210"/>
        <s v="Handsome Hog"/>
        <s v="Treasurydirect TREASURY DIRECT TYPE TREAS DRCT ID CO TREASURY DIRECT ACH EC"/>
        <s v="BENEVITY DONATIONS 8552377875 FL"/>
        <s v="NORTHSTAR REGIONAL 9529743999 MN"/>
        <s v="LIVING SPACES MOBILE httpsipchaCA"/>
        <s v="Transfer to Venmo VENMO TYPE PAYMENT ID CO VENMO ACH ECC WEB ACH Trace 0819"/>
        <s v="Detello's Pizza &amp; Pasta"/>
        <s v="SNOWCOMVAIL RESORTS SKI8888380495 CO"/>
        <s v="ASHA GOLDCOAST DELAWAR CHICAGO IL"/>
        <s v="BANK INT 101621-111521 SCHWAB PREMIER BANK"/>
        <s v="COCINA DEL BARRIO MINNEAPOLIS MN"/>
        <s v="Foodhall FOOD HALL P1 8665083558 MN"/>
        <s v="GIBSONS BAR STEAKHOUSE CHICAGO IL"/>
        <s v="Gray Home &amp; Lifestyle Llc"/>
        <s v="Happy Garden"/>
        <s v="Hotel Chicago"/>
        <s v="Hugo's"/>
        <s v="IDEMIA TSA PRECHECK BILLERICA MA"/>
        <s v="Interactive"/>
        <s v="Macy's"/>
        <s v="MINTED LLC MINTEDCOM CA"/>
        <s v="MODSYCOM WWWMODSYCOMCA"/>
        <s v="Olives"/>
        <s v="Parlor Pizza Bar"/>
        <s v="REDCOWMNCOM REDCOWMNCOM MN REDCOWMNCOM REDCOWMNCOM MN"/>
        <s v="Rey Azteca Mexican Restaurant"/>
        <s v="Rosebud"/>
        <s v="SCHWAB INTERNATIONAL INDEX"/>
        <s v="SCHWAB S&amp;P 500 INDEX"/>
        <s v="SCHWAB TOTAL STOCK MARKET INDEX"/>
        <s v="Shellis News"/>
        <s v="SP TRUE PLAY STRSLDE HTTPSSTAIRSLIUT"/>
        <s v="SP UNRLCO UNRLMYSHOPIFMN"/>
        <s v="Spring Hill Suites"/>
        <s v="SQ ZOES GONE BANANAS Excelsior MN"/>
        <s v="Thompson"/>
        <s v="Topgolf"/>
        <s v="TST DUKES ON 7 MINNETONKA MN"/>
        <s v="Uber.com"/>
        <s v="VENTRA VENDING 03401 CHICAGO IL"/>
        <s v="VENTRA VENDING 12104 CHICAGO IL"/>
        <s v="WAYZATA CAFE WAYZATA MN"/>
        <s v="WAYZATA COFFEE WAYZATA MN"/>
        <s v="ZEROREZ 9522248084 MN"/>
        <s v="YETI 18332259384 5123949384 DE"/>
        <s v="JURASSIC QUEST SHOW XX0030 TX JURASSIC QUEST SHOW 3 9363200030 TX"/>
        <s v="Transfer to Venmo VENMO TYPE PAYMENT ID CO VENMO ACH ECC WEB ACH Trace 4272"/>
        <s v="Transfer to Venmo VENMO TYPE PAYMENT ID CO VENMO ACH ECC WEB ACH Trace 9230"/>
        <s v="PELOTON MEMBERSHIP HTTPSWWWONEPNY"/>
        <s v="06 455 Pond Promenade Chanhassen MN"/>
        <s v="ACTChaskaComCtr XX3176 MN ACTChaskaComCtr 9524483176 MN"/>
        <s v="BANK INT 111621-121521 SCHWAB PREMIER BANK"/>
        <s v="Best Cleaners"/>
        <s v="Bonfes Plumbing Heating &amp; Air Services"/>
        <s v="BUCA EDEN PRAIRIE MN"/>
        <s v="BUCK HILL SKI AREA BURNSVILLE MN"/>
        <s v="Canteen Vending"/>
        <s v="Coop North"/>
        <s v="FLEET FARM 3200 CARVER MN"/>
        <s v="Hey Day Lower Bricktown Oklahoma CityOK"/>
        <s v="JOEY NOVAS EXCELSIOR MN JOEY NOVAS EXCELSIOR MN"/>
        <s v="MICHAEL MURPHYS OKLAHOMA CITYOK"/>
        <s v="Michaels"/>
        <s v="Milano"/>
        <s v="MN DIR ACH TYPE CONTRIB ID CO MN MN DIR ACH TYPE CONTRIB ID CO MN DIR ACH N"/>
        <s v="MN LAND ARBORETUM WWWARBORETUMMN"/>
        <s v="Modsycom Wwwmodsycomca Modsycom"/>
        <s v="National Car"/>
        <s v="NORTH COOP NORTH COOP sburks827livMN"/>
        <s v="of Minnesota"/>
        <s v="Parking Management Corp"/>
        <s v="PHOTODAY ORDER HTTPSWWWPHOTFL"/>
        <s v="PORTSIDE STILLWATER MN"/>
        <s v="Revival"/>
        <s v="SCHWAB US LARGE-CAP GROWTH IDX"/>
        <s v="SMM WEB TNEW XX9803 MN SMM WEB TNEW 6512659803 MN"/>
        <s v="ST BONI LIQUOR STORE 9524461818 MN"/>
        <s v="TIFFS TREATS OKC 2146414377 OK"/>
        <s v="TST BOMBAY PIZZA KITCHENEDEN PRAIRIE MN"/>
        <s v="U.S. Bank"/>
        <s v="Wings Financial"/>
        <s v="Discover Bank DISCOVER TYPE EPAYMENT ID CO DISCOVER NAME TRUITT JEFF ACH EC"/>
        <s v="Transfer to Venmo VENMO TYPE PAYMENT ID CO VENMO ACH ECC WEB ACH Trace 2362"/>
        <s v="Transfer to Venmo VENMO TYPE PAYMENT ID CO VENMO ACH ECC WEB ACH Trace 5772"/>
        <s v="Transfer to Venmo VENMO TYPE PAYMENT ID CO VENMO ACH ECC WEB ACH Trace 7498"/>
        <s v="Transfer to Venmo VENMO TYPE PAYMENT ID CO VENMO NAME BRITNEY TRUITT ACH EC"/>
        <s v="L.L. Bean"/>
        <s v="MAVERIK CNTRY STRE 199 SALT LAKE CTYUT"/>
        <s v="Park City Parks"/>
        <s v="SMM AUTO PARKING RAMP XX9444 MN SMM AUTO PARKING RAMP 6512219444 MN"/>
        <s v="State Liquor Store"/>
        <s v="Utah Brewers Cooperative, L.C."/>
        <s v="DUGINS WEST PARK CITY UT"/>
        <s v="Firewood"/>
        <s v="HIGH WEST WHISKEY XX8300 UT HIGH WEST WHISKEY 14356498300 UT"/>
        <s v="OLIVE TWEED 18014715658 UT"/>
        <s v="PARK CITY FB PARK CITY UT PARK CITY FB PARK CITY UT"/>
        <s v="PARK CITY SOUVENIR CO SALT LAKE PARK CITY SOUVENIR CO SALT LAKE CITUT"/>
        <s v="Transfer to Venmo VENMO TYPE PAYMENT ID CO VENMO NAME JEFF TRUITT ACH ECC W"/>
        <s v="TAZA CHANHASSEN MN TAZA CHANHASSEN MN"/>
        <s v="Charter Bank 455 Pond P Chanhassen"/>
        <s v="Coinbase.com Npcjumy"/>
        <s v="General Minnetonka Generalstoreofminnetonka"/>
        <s v="Minnwest Bank"/>
        <s v="True Play Strslde"/>
        <s v="TST SMOKE ON THE WATER OKAUCHEE WI"/>
        <s v="WEST BAY CLUB BAY HOUSE ESTERO F WEST BAY CLUB BAY HOUSE ESTERO FL"/>
        <s v="RSW BEACHES TRAVELMART FORT MYER RSW BEACHES TRAVELMART FORT MYERS FL"/>
        <s v="UNRLCO UNRLMYSHOPIFMN UNRLCO UNRLMYSHOPIFMN"/>
        <s v="Maynards Restaurant MAYNARDS EXCELSIOR EXCELSIOR MN"/>
        <s v="BULL WREN EXCELSIOR MN BULL WREN EXCELSIOR MN"/>
        <s v="Inside Edge Golf"/>
        <s v="KAIS SUSHI AND GRILL MINNETONKA KAIS SUSHI AND GRILL MINNETONKA MN"/>
        <s v="SQ STEP CHILD LLC Minneapolis MN SQ STEP CHILD LLC Minneapolis MN"/>
        <s v="Tavern 4&amp;5"/>
        <s v="COWBOY JACKS DOWNTOWN MINNEAPOLIS MN"/>
        <s v="Mac's"/>
        <s v="Circle K"/>
        <s v="Rally House Ks"/>
        <s v="Ramp B B RAMP 8066 MINNEAPOLIS MN"/>
        <s v="MONTE CARLO MINNEAPOLIS MN"/>
        <s v="SQ RUBYS ROOST VICTORIAVictoria MN"/>
        <s v="C3 YOUTH LACROSSE WWWCHASKALACMN C3 YOUTH LACROSSE WWWCHASKALACMN"/>
        <s v="PLAZA RAMP 8069 MINNEAPOLIS MN PLAZA RAMP 8069 MINNEAPOLIS MN"/>
        <s v="US Lacrosse Inc"/>
        <s v="AMZN MKTP US*7N3NX6ZF3 AMZN.COM/BILLWA_x000a_278ND7YX5KW"/>
        <s v="SQ *ENKI BREWING COMPA VICTORIA MN_x000a_0002305843015181345790"/>
        <s v="AMZN MKTP US*4B5MA8073 AMZN.COM/BILLWA_x000a_MV8BRWDVYA7"/>
        <s v="Bruegger's"/>
        <s v="CORVINO SUPPER CLUB XX3301 MO CORVINO SUPPER CLUB 9137083301 MO"/>
        <s v="Gina Marias Pizza"/>
        <s v="AMZN MKTP US*TE0LF5RL3 AMZN.COM/BILLWA_x000a_2W0TPYA4XLK"/>
        <s v="Girl Scouts"/>
        <s v="AMAZON.COM*1U2QK71Z3 AMZN.COM/BILLWA_x000a_HFUU4C7BO4J"/>
        <s v="ACTChaskaComCtr 9524483176 MN"/>
        <s v="Payment to Nordstrom"/>
        <s v="EMPLOYEE BENEFIT TYPE EBC ID CO"/>
        <s v="MN DIR ACH TYPE CONTRIB ID CO MN"/>
        <s v="Withdrawal Home Pmt to card XX91"/>
        <s v="WAYNES FOODS PLUS DANBURY WI WAYNES FOODS PLUS DANBURY WI"/>
        <s v="BDC CHEESE STORE GRANTSBURG WI"/>
        <s v="Pizza Pub"/>
        <s v="TYPE TRANSFER ID PAYPALSD11 CO PAYPAL ACH ECC PPD ACH Trace 03346"/>
        <s v="Payment to Banana Republic"/>
        <s v="SYNTELLIS TYPE PAYMENT  ID  CO S"/>
        <s v="AMZN MKTP US*1I2WT2XL1 AMZN.COM/BILLWA_x000a_763RBXH4RB0"/>
        <s v="Childrens Museum"/>
        <s v="CITY OF CHANHASS TYPE UTIL BILL"/>
        <s v="Transfer to Venmo"/>
        <s v="Lancer"/>
        <s v="MHCHILDCARELLC TYPE DUES ID CO M"/>
        <s v="CHECK  2342"/>
        <s v="TAVERN 4 &amp; 5 EDEN PRAIRIE MN"/>
        <s v="THE MARKER HOTEL XX5193 FL"/>
        <s v="NETFLIX.COM NETFLIX.COM CA_x000a_NETFLIX.COM"/>
        <s v="AMZN MKTP US*1I3061YQ1 AMZN.COM/BILLWA_x000a_6YBXNTHYVL7"/>
        <s v="Personalization Mall"/>
        <s v="SYNTELLIS PERFOR TYPE DIRECT DEP"/>
        <s v="The Home Depot"/>
        <s v="PAYMENT  THANK YOU"/>
        <s v="AMZN MKTP US*1I31L4W90 AMZN.COM/BILLWA_x000a_14ZUJ5HRDRV"/>
        <s v="BUCK HILL WEBSITE 9524357174 MN"/>
        <s v="Hazelwood Food &amp; Drink LLC"/>
        <s v="INEFFABLE BREWING COMPANYBURNSVILLE MN"/>
        <s v="Victoria's Secret"/>
        <s v="Payment to Baxter Credit Union"/>
        <s v="AMAZON MUSIC*1W0VS5C80 888-802-3080 WA_x000a_33KGFZKXKQE"/>
        <s v="ANTHROPOLOGIECOM        PHILADEL"/>
        <s v="CHECK  2343"/>
        <s v="College Savings TYPE ACH ID XX58"/>
        <s v="Transfer to PayPal"/>
        <s v="Cleaning"/>
        <s v="AMAZON.COM AMZN.COM/BILLWA_x000a_4KT01BMIH49"/>
        <s v="AMAZON.COM*1I5WL1Y02 AMZN.COM/BILLWA_x000a_47HZKXB4BLQ"/>
        <s v="EVEREVE - 60 HOPKINS MN"/>
        <s v="PUNCH BOWL SOCIAL MINNEA SAINT LOUIS PMN"/>
        <s v="6SMITH WAYZATA MN"/>
        <s v="IVS VENDING MASSAGE HOPKINS MN"/>
        <s v="PRIME VIDEO*1W6XW7FQ2 888-802-3080 WA_x000a_5Q5HZ1UXAXQ"/>
        <s v="Total Wine  More"/>
        <s v="TST* THE LOOP SLP SAINT LOUIS PMN"/>
        <s v="Delta Air Lines"/>
        <s v="Hammer Made"/>
        <s v="Kay Jewelers"/>
        <s v="Trader Joes"/>
        <s v="CHECK  Processed Check  PASSPORT"/>
        <s v="Lutsen Mountains"/>
        <s v="Peloton Cycles"/>
        <s v="SQ STEAMOLOGY MOBILE DETWayzata"/>
        <s v="Payment to Xcel Energy"/>
        <s v="MSP CAMDEN FOOD XX1162 SAINT PAU"/>
        <s v="Duluth Trading Co"/>
        <s v="ATL CNBC ATLANTA GA"/>
        <s v="Bluefin Grille"/>
        <s v="CENTURYLINK SIMPLE MONROE LA"/>
        <s v="TOBIES STATION INC HINCKLEY MN"/>
        <s v="TST CASTLE DANGER BREWERTWO HARB"/>
        <s v="TST FITGERS BREWHOUSE DULUTH MN"/>
        <s v="Credit Card Payment Received"/>
        <s v="eBay IncZWX0ZELX TYPE PAYMENTS"/>
        <s v="Holiday Stationstores"/>
        <s v="LAKE SUPERIOR TRADING GRAND MARA"/>
        <s v="TOBIES CARIBOU XX7968 MN"/>
        <s v="ANGRY TROUT CAFE 2183871265 MN"/>
        <s v="CASHBACK BONUS REDEMPTION PYMT/STMT CRDT"/>
        <s v="Crisp  Green"/>
        <s v="MOGULS GRILLE AND TAP XX8060 MN"/>
        <s v="Payment to Discover Bank"/>
        <s v="KAI'S SUSHI AND GRILL MINNETONKA MN"/>
        <s v="Payment to CenterPoint Energy"/>
        <s v="AMZN Mktp US1N7NV6TB1 Amzncombil"/>
        <s v="AMZN Mktp US1Z0AP7IQ0 Amzncombil"/>
        <s v="Cargill Inc Deposit"/>
        <s v="eBay IncHGHXGMRL TYPE PAYMENTS I"/>
        <s v="Amazon Marketplace"/>
        <s v="BONFES PLUMBING HEATING ASOUTH S"/>
        <s v="Maynards Restaurant"/>
        <s v="North Coop"/>
        <s v="Race Roster Canada RACE ROSTER HTTPSRACEROSTMA"/>
        <s v="BUFFALO WILD WINGS 0088 CHANHASSEN MN"/>
        <s v="CARGILL INCORPOR TYPE   ID  CO C"/>
        <s v="GERTEN GRNHS FUNDRAISING XX1501"/>
        <s v="Great Mandarin Restaurant"/>
        <s v="Sq Eden Prarie"/>
        <s v="SQ EDEN PRARIE CENTER FUEden Pra"/>
        <s v="Transfer to Facebook Pay"/>
        <s v="TST RED WAGON PIZZA CO XX7147 MN"/>
        <s v="Payment to Target"/>
        <s v="Tax Payment to Turbotax"/>
        <s v="DSW"/>
        <s v="eBay"/>
        <s v="Tax Payment to Minnesota Departm"/>
        <s v="CARGILL INCORPOR TYPE DIRECT DEP"/>
        <s v="eBay TYPE PAYOUT  ID   CO eBay A"/>
        <s v="Evereve"/>
        <s v="Interest Income"/>
        <s v="AMAZON MUSIC*168MY6VK2 888-802-3080 WA_x000a_51YQP6E8HHP"/>
        <s v="PEKARNA MEAT MARKET JORDAN MN"/>
        <s v="WILD RUFFLE 6128055138 MN"/>
        <s v="HBRSUBSCRIPTION XX0886 MA"/>
        <s v="IN MORLEYS MAPLE SYRUP XX2301 WI"/>
        <s v="Minnesota State Parks"/>
        <s v="Internal Revenue Service Deposit"/>
        <s v="Lunds  Byerlys"/>
        <s v="MOUSSE SPARKLING WINE CO JORDAN"/>
        <s v="HM"/>
        <s v="MSP HUDSON ST2295 SAINT PAUL MN"/>
        <s v="Noodles  Company"/>
        <s v="PRIMP EXCELSIOR XX1049 MN"/>
        <s v="Roka Akor"/>
        <s v="BOTTLE ROCKET TERM 1 C ST PAUL M"/>
        <s v="Jimmy Johns"/>
        <s v="Nespresso"/>
        <s v="Scholastic Corporation"/>
        <s v="TOMMY BAHAMA 613 CHICAGO IL"/>
        <s v="PARLOR PIZZA W KINZIE   CHICAGO"/>
        <s v="DON RAMON STREET TACOS SHAKOPEE"/>
        <s v="Old Town Pour House"/>
        <s v="SQ BADGER HILL BREWING Shakopee"/>
        <s v="TST UNMAPPED BREWING COMINNETONK"/>
        <s v="Uber"/>
        <s v="Polywood"/>
        <s v="ST BONI LIQUOR STORE XX1818 MN"/>
        <s v="MISTER CAR WASH 611 EDEN PRAIRIE MN"/>
        <s v="Northstar Regional"/>
        <s v="Dominos Pizza"/>
        <s v="EVEREVE 1 MINNEAPOLIS MN"/>
        <s v="Payment to Treasurydirectgov"/>
        <s v="ALLIED PARKING WTC DAI MINNEAPOLIS MN"/>
        <s v="Reservationscom"/>
        <s v="SQ J  S BREAKAWAY CORP gosqcom C"/>
        <s v="Suja Juice"/>
        <s v="Vineyards"/>
        <s v="Chipotle Mexican Grill"/>
        <s v="DNCSS MN TWINS CONCESS MINNEAPOLIS MN_x000a_02326B"/>
        <s v="TST* BLVD MINNETONKA MN"/>
        <s v="Country Club Lanes"/>
        <s v="Type Online Id"/>
        <s v="City of Waconia"/>
        <s v="Company Store"/>
        <s v="Treasurydirectgov TREASURY DIRECT TYPE TREAS DRCT ID CO TREASURY DIRECT ACH"/>
        <s v="EVEREVE  60             HOPKINS"/>
        <s v="LUNDSBYERLYS CHANH      CHANHASS"/>
        <s v="AMZN Mktp US1Q9AW1NN2 Amzncombil"/>
        <s v="AMAZON MUSIC*1Q24K80L2 888-802-3080 WA_x000a_4NSAVB50RI5"/>
        <s v="City Of Edina"/>
        <s v="Ie Italian Eatery"/>
        <s v="Lululemon Athletica"/>
        <s v="SQ BOOM ISLAND BREWING CMinneton"/>
        <s v="Vineyard Vines"/>
        <s v="All Seasons Garment Care Excelsi"/>
        <s v="SignUp OutrunALD2021 XX1360 NJ"/>
        <s v="VINEYARD VINES LLC XX4982 CT"/>
        <s v="ADELES EXCELSIOR MN ADELES EXCELSIOR MN"/>
        <s v="THE HOME DEPOT #2825 CHASKA MN"/>
        <s v="FULTON, LLC MINNEAPOLIS MN"/>
        <s v="SP TOP FORM DESIGN WWWTOPFORMDEW"/>
        <s v="FLOYDS BAR AND GRILL VICTORIA MN"/>
        <s v="BP#9267972HWY 13 BP SAVAGE MN"/>
        <s v="MAYNARDS EXCELSIOR THE EXCELSIOR"/>
        <s v="I WOK PHO SAVAGE MN"/>
        <s v="TST Red Wagon Pizza Co Minneapol"/>
        <s v="Deposit by Check Deposit Anywher"/>
        <s v="Payment to Waste management"/>
        <s v="RANDYS ELECTRIC MINNEAPOLIS MN"/>
        <s v="RVTEDINA PUBLIC SCHOOLS XX3900 M"/>
        <s v="The Als Association"/>
        <s v="ELITE NAILS LLC CHANHASSEN MN"/>
        <s v="FIRE AND NICE ALEHOUSE MINNEAPOL"/>
        <s v="Payment to CenturyLink"/>
        <s v="PEOPLES ORGANIC MINNETONKA MN"/>
        <s v="AMZN Mktp US1L7SK9NS2 Amzncombil"/>
        <s v="SQ EXCELSIOR BREWING COMExcelsio"/>
        <s v="TONKADALE GREENHOUSE XX6480 MN"/>
        <s v="Us Lacrosse"/>
        <s v="SP SENDJOESKCBBQ SENDJOESBARBQKS SP SENDJOESKCBBQ SENDJOESBARBQKS"/>
        <s v="Culvers"/>
        <s v="TONKADALE GREENHOUSE MINNETONKA"/>
        <s v="CHIPOTLE 0431 CHANHASSEN MN"/>
        <s v="PRESCHOOL SMILES XX1827 MN"/>
        <s v="Stitch Fix"/>
        <s v="AMZN Mktp US1L7WN0DG2 Amzncombil"/>
        <s v="SQ ENKI EVENTS Victoria MN"/>
        <s v="70 RIVER VALLEYK270632 103 E CED"/>
        <s v="AMZN Mktp US1L5BO0W00 Amzncombil"/>
        <s v="Caseys General Stores"/>
        <s v="PRESCHOOL SMILES 1XX8276MN"/>
        <s v="Root River Rod Co"/>
        <s v="Scheels All Sports"/>
        <s v="Schoolkidzcom"/>
        <s v="Taquera"/>
        <s v="TST* CRAVE FOOD &amp; DRINK MINNEAPOLIS MN"/>
        <s v="Pedal Pushers Cafe"/>
        <s v="SYLVAN BREWING LLC LANESBORO MN"/>
        <s v="Deposit Transfer From TRUITTBRIT"/>
        <s v="Withdrawal Trans To TRUITTJEFF B"/>
        <s v="Payment to American Express"/>
        <s v="JACK PINE BREWERY BAXTER MN"/>
        <s v="King Tobaccobaxter"/>
        <s v="ZORBAZ ON GULL LAKE NISSWA MN"/>
        <s v="MOREY'S SEAFOOD MARKETS BAXTER MN"/>
        <s v="BAR HARBOR LAKE SHORE MN"/>
        <s v="BCSMINNETONKA COMMUNITY XX6800 M"/>
        <s v="GULL LAKE MARINA LAKESHORE MN_x000a_N742128299324959NV"/>
        <s v="GULL LAKE MARINA LAKESHORE MN_x000a_N752128328305679NV"/>
        <s v="WESTSIDE LIQUOR OF BAXTERBAXTER"/>
        <s v="KWIK TRIP 00001495691 SAINT CLOUD MN"/>
        <s v="AMZN Mktp US1X5YT5LZ0 Amzncombil"/>
        <s v="Split Rate APY Earned  100 05012"/>
        <s v="AMAZON MUSIC*5I5K121W3 888-802-3080 WA_x000a_4WTNABW2X6S"/>
        <s v="BANANA REPUBLIC ONLINE  88827789"/>
        <s v="CARIBOU COFFEE 1435     SAINT CL"/>
        <s v="JEFFREY BRYAN T TYPE P2P  ID   C"/>
        <s v="Patagonia Direct Inc    80063864"/>
        <s v="YETI 18332259384      5123949384"/>
        <s v="CUB FOODS 1636          SHOREWOO"/>
        <s v="KIDS HAIR CH             CHANHAS"/>
        <s v="PAYPAL TYPE INST XFER  ID PAYPAL"/>
        <s v="VENMO TYPE PAYMENT  ID   CO VENM"/>
        <s v="TST Lolas Lakehouse Waconia MN"/>
        <s v="Free Fly Apparel"/>
        <s v="TST* KHALUNA MINNEAPOLIS MN_x000a_00055789007350753578AA"/>
        <s v="Wendys"/>
        <s v="Transfer from PayPal"/>
        <s v="Brewery"/>
        <s v="HOLIDAY STATIONS 0340 CHASKA MN_x000a_APPLE PAY ENDING IN 8856"/>
        <s v="Wisconsin Department Of Natural"/>
        <s v="Wisconsin Dnr Service ChargesFee"/>
        <s v="BIRCHS ON THE LAKE LONG LAKE MN"/>
        <s v="Noom"/>
        <s v="Oraldna"/>
        <s v="SQ LAKE MINNETONKA EXCELExcelsio"/>
        <s v="SQ MN FAVES DBA YUMMY TUExcelsio"/>
        <s v="DIRECTPAY FULL BALANCE"/>
        <s v="TOCK ATKADO MISE kadonomisec IL"/>
        <s v="HOLIDAY STATIONS 0217 EDINA MN_x000a_APPLE PAY ENDING IN 8856"/>
        <s v="AMAZON.COM*JC6F49YZ3 AMZN.COM/BILLWA_x000a_440AX8WVGUX"/>
        <s v="AmazoncomLV9LA9ZZ3     Amzncombi"/>
        <s v="LULULEMONCOM            87726393"/>
        <s v="AMZN Mktp USQA3QH1PV3   Amzncomb"/>
        <s v="AMZN Mktp USYM3KB9353   Amzncomb"/>
        <s v="AMZN Mktp USA258Y41C3 Amzncombil"/>
        <s v="STONEBROOKE GOLF CLUB SHAKOPEE MN"/>
        <s v="The Company Store"/>
        <s v="The Mustard Seed"/>
        <s v="AMZN MKTP US*RZ30I11B3 AMZN.COM/BILLWA_x000a_SXP0H81EJON"/>
        <s v="GoFundMe Donate to help sRedwood"/>
        <s v="Tommy Bahama"/>
        <s v="AMZN MKTP US*CZ6LL9YJ3 AMZN.COM/BILLWA_x000a_1F9OBDANONO"/>
        <s v="AMZN Mktp US3F6BA43Z3 Amzncombil"/>
        <s v="Midwest Aqua Care"/>
        <s v="MN DRIVER AND VEHICLE XXXXX3298"/>
        <s v="NASHVILLE COOP SAINT PAUL MN"/>
        <s v="TST* BOROUGH AND PARLOUR MINNEAPOLIS MN"/>
        <s v="Payment to City Of Saint Paul"/>
        <s v="CK HOLIDAY  06340       CHASKA"/>
        <s v="KADO NO MISEKAISEKI FURUMinneapo"/>
        <s v="KWIK TRIP  88600008862   CHASKA"/>
        <s v="MONTE CARLO              MINNEAP"/>
        <s v="PAYPAL TYPE TRANSFER  ID PAYPALS"/>
        <s v="SPEEDWAY 04159           EDEN PR"/>
        <s v="THE HOME DEPOT 2825     CHASKA"/>
        <s v="TOTAL WINE AND MORE      CHANHAS"/>
        <s v="AMZN MKTP US*XP9DU6L93 AMZN.COM/BILLWA_x000a_2PP2PZINRW5"/>
        <s v="Northbound Smokehouse Brewpub"/>
        <s v="Siteone Landscape Supply SITEONE LLC1038 6129193130 MN"/>
        <s v="TST* ETTA CHICAGO IL"/>
        <s v="AMZN Mktp USJU9CC9PT3 Amzncombil"/>
        <s v="AMZN Mktp USWU8CB0WC3   Amzncomb"/>
        <s v="Cabin Fever Sporting GoodVictori"/>
        <s v="JIMMY JOHNS 923  ECO   CHANHASSE"/>
        <s v="AMAZON MUSIC*SJ5FX6WK3 888-802-3080 WA_x000a_115JK319OHI"/>
        <s v="AMZN Mktp US1L64I5LY3   Amzncomb"/>
        <s v="BCSMINNETONKA COMMUNITY 95240168"/>
        <s v="CHIPOTLE ONLINE          CHIPOTL"/>
        <s v="LAKEWINDS  CHANHASSEN   CHANHASS"/>
        <s v="SCHEELS EDEN PRAIRIE     EDEN PR"/>
        <s v="TARGET        00002204   EDEN PR"/>
        <s v="TOP TEN LIQUORS          CHANHAS"/>
        <s v="WALGREENS 12044         EDEN PRA"/>
        <s v="LUCKY SEVEN GENERAL STOREBALSAM"/>
        <s v="AMZN MKTP US*RK29967P3 AMZN.COM/BILLWA_x000a_4YIG0DYF1TN"/>
        <s v="AVOADVOCARE INTL        80054248"/>
        <s v="CHECK  2152"/>
        <s v="THIRSTY OTTER TAVERN     7154853"/>
        <s v="AMAZON.COM*SP3JO0OO3 AMZN.COM/BILLWA_x000a_3KVG0MU99Y7"/>
        <s v="ST CROIX FALLS CINEMA    ST CROI"/>
        <s v="ATT W318 58845          CHANHASS"/>
        <s v="BROWNS CAR WASH          CHANHAS"/>
        <s v="Etsycom  TwoBeesBabyBou718855795"/>
        <s v="49 WINCO FOODS 160 2913 Max Aven"/>
        <s v="BONFES PLUMBING HEATING A6513326"/>
        <s v="HOLIDAY STATIONS 0360    VICTORI"/>
        <s v="SQ NOTHING BUT HEMP     Chaska"/>
        <s v="HAZELWOOD FOOD &amp; DRINK - EXCELSIOR MN"/>
        <s v="CHURCHILLS QUALITY CIGARSVICTORI"/>
        <s v="KOWALSKIS MARKET        EDEN PRA"/>
        <s v="LYFT   1 RIDE 0708     LYFTCOM"/>
        <s v="MN DRIVER AND VEHICLE XXXXXX2973"/>
        <s v="MSP HUDSON ST2295        SAINT P"/>
        <s v="MSP REPUBLIC BARD 6751200SAINT P"/>
        <s v="PELOTON MEMBERSHIP      HTTPSWWW"/>
        <s v="SWEETCAST ANGLER FLYSHOP BIG TIM"/>
        <s v="AMAZON.COM*A11073S53 AMZN.COM/BILLWA_x000a_6OJHY48NGS2"/>
        <s v="AMZN MKTP US*YP2RO5H53 AMZN.COM/BILLWA_x000a_3WQQKAO1T6X"/>
        <s v="DOMINOS 1931            EXCELSIO"/>
        <s v="LS SOUTH LAKE CYCLE      9524743"/>
        <s v="AMZN MKTP US*AD4D556E3 AMZN.COM/BILLWA_x000a_5LIJLXAPJZP"/>
        <s v="CUB FOODS 01644          9529341"/>
        <s v="CENTURYLINK SIMPLE       8002014"/>
        <s v="CRAZY WOMAN LIQUOR       BUFFALO"/>
        <s v="DICKS SPORTING GOODS    CASPER"/>
        <s v="EVEREVE  8              WAYZATA"/>
        <s v="LOAF N JUG 0110         CASPER"/>
        <s v="THE FORT                 BIG TIM"/>
        <s v="WALGREENS 6280          EDEN PRA"/>
        <s v="CONOCO  ALTA CONVENIENCESAGUACHE"/>
        <s v="CONOCO  GUNSMOKE TRAVEL BUENA VI"/>
        <s v="FORT COLLINSLAKESIDE    FORT COL"/>
        <s v="LS SAN JUAN SPORTS       1866932"/>
        <s v="LS TSHIRT SHOP          18669321"/>
        <s v="RAOCOPARKSWILDLIFE CO   88857272"/>
        <s v="SP CREEDE OLIVE OIL      1719658"/>
        <s v="SQ SNOWSHOE LODGE AND CAgosqcom"/>
        <s v="TARGET        00015008   GOLDEN"/>
        <s v="KUMGO 0913 LONGMONT     LONGMONT"/>
        <s v="RAMBLE HOUSE LLC         CREEDE"/>
        <s v="Park Avenue Liquor"/>
        <s v="PARK AVENUE LIQUOR MONTE VISTA CO"/>
        <s v="TOMMYKNOCKER TAVERN CREEDE CO"/>
        <s v="CONOCO - ALTA CONVENIENCEMONTE VISTA CO REF #2403454JP01W37BJK"/>
        <s v="KFC/PHX I675001"/>
        <s v="KFC/PHX I675001 DENVER CO_x000a_APPLE PAY ENDING IN 8856"/>
        <s v="Withdrawal ACH MHCHILDCARELLC TYPE: DUES ID: 1824708198 CO: MHCHILDCARELLC "/>
        <s v="AMZN Mktp US"/>
        <s v="ELITE NAILS LLC"/>
        <s v="AMZN MKTP US*5Z0PV0H83 AMZN.COM/BILLWA_x000a_4VCQ4BUTFM2"/>
        <s v="AMZN MKTP US*ZW5RN4NR3 AMZN.COM/BILLWA_x000a_2J1RRE48SAS"/>
        <s v="BONFES PLUMBING HEATING ASOUTH SAINT PMN REF #2427539JTS66KL994"/>
        <s v="DELTA AIR 0062328911019DELTA.COM CA REF #2471705JTTQ3YPARL"/>
        <s v="Deposit ACH CARGILL INCORPOR TYPE: DIRECT DEP ID: 9111111101 CO: CARGILL IN"/>
        <s v="FH* FURY ADVENTURES 185-54955551 FL REF #2449216JT000WKYQH"/>
        <s v="FH* KEY WEST PROMOTION 185-54955551 FL REF #2449216JT000XB05F"/>
        <s v="MACKENTHUN'S MEATS &amp; DELIST BONIFACIUSMN REF #2445388JS000A3GET"/>
        <s v="Netflix.com 866-5797172 CA REF #2490641JT4DP0ALM6"/>
        <s v="TST* Red Cow - 50th St Minneapolis MN REF #2469216JT2XM83KFK"/>
        <s v="Withdrawal ACH CITY OF CHANHASS TYPE: UTIL BILL ID: 1410885331 CO: CITY OF "/>
        <s v="Withdrawal Home Banking Pmt to card XXXXXXXXXXXX-9181"/>
        <s v="PAYMENT - THANK YOU REF #7473457JV00XTMJG9"/>
        <s v="JIMMY JOHNS - 724 - E- CHANHASSEN MN REF #2426979JSEJ4DJ9N8"/>
        <s v="KWIK TRIP 47700004770 ST BONIFACIUSMN REF #2416407JSL3HMGG2S"/>
        <s v="LUNDS&amp;BYERLYS CHANH CHANHASSEN MN REF #2442733JSM83LLLGN"/>
        <s v="STAGES THEATRE COMPANY 952-979-1108 MN REF #2463269JSEJ44VNV3"/>
        <s v="SQ *ENKI BREWING COMPA VICTORIA MN_x000a_0002305843016010699376"/>
        <s v="VICTORIA BURROW VICTORIA MN"/>
        <s v="Withdrawal Home Banking Transfer To Share 12 REF # 67611"/>
        <s v="MAYNARD'S EXCELSIOR THE EXCELSIOR MN REF #2480197JW5SB32AT3"/>
        <s v="SCHEELS EDEN PRAIRIE EDEN PRAIRIE MN REF #2413829JWP73MVK5L"/>
        <s v="STARBUCKS STORE 02220 BLOOMINGTON MN REF #2469216JW2XBSY8W8"/>
        <s v="TOMMY BAHAMA ECOMM 866-986-8282 WA REF #2469216JV2XW0K1GM"/>
        <s v="USPS PO 2616500318 CHASKA MN REF #2413746JX018D221T"/>
        <s v="Evereve 877-2906262 MN REF #2490641JX4DZX5S8Z"/>
        <s v="HOLIDAY STATIONS 0012 SHOREWOOD MN REF #2494166JXRQEBQFYD"/>
        <s v="HOLIDAY STATIONS 0012 SHOREWOOD MN REF #2494166JXRQEBQG07"/>
        <s v="HOLIDAY STATIONS 0419 SAINT CROIX FWI REF #2494166JXRQEBBL1A"/>
        <s v="VICTORIA BURROW ARCADE 800-9355961 MN REF #2418310JXS66LGXZR"/>
        <s v="Withdrawal ACH TARGET CARD SRVC TYPE: AUTO PYMT ID: 1411721813 CO: TARGET C"/>
        <s v="BANANA REPUBLIC ON-LINE 888-2778959 OH REF #7478930JYFYHM61S3"/>
        <s v="BANANA REPUBLIC ON-LINE 888-2778959 OH REF #7478930JYG1P05TQY"/>
        <s v="MINNESOTA STATE PARKS 866-8572757 MN REF #7471705JYJMXT6DPG"/>
        <s v="WINDSOR UNIVERSITY 2028099980 DC"/>
        <s v="Withdrawal ACH PAYPAL TYPE: INST XFER ID: PAYPALSI77 CO: PAYPAL NAME: JEFF "/>
        <s v="CUB FOODS CHANHASSEN MN REF #2442733JZM83FQ5VF"/>
        <s v="Fully Ref Jz"/>
        <s v="SQ *SEEK EYE CARE PA Victoria MN REF #2469216JZ2Y0YF0YS"/>
        <s v="AMZN Mktp US*GZ4P39GQ3 Amzn.com/billWA REF #2469216K02XTXG9NM"/>
        <s v="Deposit ACH CARGILL INCORPOR TYPE: 004XXXXXXX ID: 2410177680 CO: CARGILL IN"/>
        <s v="FOSS SWIM SCHOOL HTTPSWWW.FOSSMN REF #2401134K10002LQMZ"/>
        <s v="RIDGEVIEW MEDICAL CENTER WACONIA MN REF #2480197K010DV2Q5D"/>
        <s v="Withdrawal ACH VENMO TYPE: PAYMENT ID: 326XXXXXXX CO: VENMO NAME: BRITNEY T"/>
        <s v="AMZN Mktp US*FR8XF00I3 Amzn.com/billWA REF #2469216K12XR5PYRX"/>
        <s v="Deposit ACH connectyourcare TYPE: SVB-CLAIMS ID: E942875288 CO: connectyour"/>
        <s v="dox*Ridgeview Medical Ce 866-2174483 WA REF #2490641K14E84H49D"/>
        <s v="KWIK TRIP 40200004028 CHANHASSEN MN REF #2416407K1L3HDJYS6"/>
        <s v="THE HOME DEPOT #2825 CHASKA MN REF #2494301K109FVSVNT"/>
        <s v="Withdrawal ACH DISCOVER TYPE: E-PAYMENT ID: 2510020270 CO: DISCOVER NAME: T"/>
        <s v="BLACK SHEEP PIZZA - NICO MINNEAPOLIS MN"/>
        <s v="AT&amp;T W318 58845 CHANHASSEN MN REF #2405523K4PM46RVLL"/>
        <s v="COSTCO WHSE #0783 EDEN PRAIRIE MN REF #2494300K4S4AFKN9B"/>
        <s v="Deposit Dividend Split Rate Annual Percentage Yield Earned 1.50% from 07/01"/>
        <s v="FH* FURY ADVENTURES 185-54955551 FL REF #2449216K40005E17R"/>
        <s v="LYFT SCOOTER RIDE 855-865-9553 CA REF #2449215K4LRNV0H2M"/>
        <s v="LYFT SCOOTER RIDE 855-865-9553 CA REF #2449215K4MNGMNRZ2"/>
        <s v="LYFT SCOOTER RIDE 855-865-9553 CA REF #2449215K4MNGSF3NT"/>
        <s v="MIYABI EXCEISIOR MN REF #2455193K20EXNG2TZ"/>
        <s v="NORTH COOP CHAHASSEN MN REF #2474455K3D3322Z3K"/>
        <s v="TARGET 00008623 CHANHASSEN MN REF #2416407K22LRFRNW7"/>
        <s v="TST* DANGEROUS MAN BREWI MINNEAPOLIS MN"/>
        <s v="AMAZON MUSIC*EK90L6S23 888-802-3080 WA_x000a_14LNNKNLWUS"/>
        <s v="LYFT RIDE SAT 11PM 855-865-9553 CA REF #2449215K4MNHQNXFE"/>
        <s v="PRYES BREWING COMPANY MINNEAPOLIS MN REF #2434285K40FWY9BPW"/>
        <s v="PRYES BREWING COMPANY MINNEAPOLIS MN REF #2434285K40FWY9GLW"/>
        <s v="UBER TRIP HELP.UBER.COMCA REF #2449215K4LWG8HSET"/>
        <s v="Withdrawal ACH College Savings TYPE: ACH ID: 550895818 CO: College Savings "/>
        <s v="Withdrawal ACH CPENERGY MNGCO TYPE: MGC ACH EB ID: 176051140S CO: CPENERGY "/>
        <s v="Withdrawal ACH ESSENTIA HEALTH TYPE: ESSENTIA H ID: C200360007 CO: ESSENTIA"/>
        <s v="Withdrawal Home Banking Transfer To Loan 02 REF # 178189"/>
        <s v="Payments Home Banking Transfer From Share 70 REF # 178189"/>
        <s v="Draft 2301 Tracer XX4997"/>
        <s v="AMAZON.COM*NC7LF7RY3 AMZN.COM/BILLWA_x000a_16KGWMHF37G"/>
        <s v="AMZN MKTP US*AA0DE43Z3 AMZN.COM/BILLWA_x000a_13TJ2X8559M"/>
        <s v="BCS*MINNETONKA COMMUNITY 952-401-6800 MN REF #2413746K60102RM7T"/>
        <s v="EVEREVE - 60 HOPKINS MN REF #7426979K42XVG54Z9"/>
        <s v="HBRSUBSCRIPTION 800-988-0886 MA REF #2449215K6LVTJJ8TJ"/>
        <s v="AMZN MKTP US*NV8UT21B3 AMZN.COM/BILLWA_x000a_36JRYOHCG1R"/>
        <s v="BP#1370200CHANHASSEN BP CHANHASSEN MN REF #2412254K8MLX15YXT"/>
        <s v="BP#1944651325 WASHINGTON WOBURN MA REF #2412254K8MLX3BZXK"/>
        <s v="CARIBOU COFFEE CO #122 MINNEAPOLIS MN REF #2444500K7EJ34E0HD"/>
        <s v="DAIRY QUEEN #11437 VICTORIA MN"/>
        <s v="KOWALSKI'S MARKET EDEN PRAIRIE MN REF #2442733K7LM8JAM9J"/>
        <s v="LYFT *1 RIDE 08-02 LYFT.COM CA REF #2401134K7000XW3KZ"/>
        <s v="WALGREENS #2063 SALEM MA REF #2444500K800V956GL"/>
        <s v="WOVEN MEAT CO 3203491002 MN"/>
        <s v="FOSS SWIM SCHOOL HTTPSWWW.FOSSMN REF #2401134K8000LDFT8"/>
        <s v="GULF OIL 92042570 WOBURN MA REF #2423168K9RBGHYV38"/>
        <s v="LYFT *1 RIDE 08-03 LYFT.COM CA REF #2401134K9000E03S7"/>
        <s v="Patagonia Direct Inc. 800-6386464 CA REF #7420429K807S4HRZD"/>
        <s v="PP*WISCONSINCHEESE VICTORIA MN REF #2449215K8S18QYEEQ"/>
        <s v="SALADWORKS - WOBURN WOBURN MA REF #2426979K8EJ99VEQP"/>
        <s v="Withdrawal ACH XCEL ENERGY-MN TYPE: XCELENERGY ID: 7411967505 CO: XCEL ENER"/>
        <s v="AVIS RENT-A-CAR EAST BOSTON MA REF #2494135KAR0M5AZ8J"/>
        <s v="DELAWARE NORTH LOGAN F&amp;B EAST BOSTON MA REF #2443106KAW62F4558"/>
        <s v="HILTON BOSTON WOBURN WOBURN MA REF #2405523KA11H47Z5G"/>
        <s v="LIFE TIME CAFE 151Q48 952-380-0303 MN REF #2469216KB2XKX29S9"/>
        <s v="NORTH COOP* NORTH COOP sburks827@livMN REF #2449216K9001F3VAS"/>
        <s v="SQ *GLOBAL TRAVEL SERVICEExcelsior MN REF #2469216K92XEGBJBL"/>
        <s v="AMZN Mktp US*RR7UN1YN3 Amzn.com/billWA REF #2469216KB2X4BYL6G"/>
        <s v="AVO*ADVOCARE INTL 800-542-4800 TX REF #2469216KB2XVVQ5EM"/>
        <s v="Cabin Fever Sporting GoodVictoria MN REF #2445388KQ02HDELRM"/>
        <s v="D J*WALL-ST-JOURNAL 800-568-7625 MA REF #2469216KB2Y1WN9HW"/>
        <s v="THE HOME DEPOT #2812 EDEN PRAIRIE MN"/>
        <s v="PAYMENT - THANK YOU REF #7473457KD00XTMJG7"/>
        <s v="5TH AVENUE MARKET MINNEAPOLIS MN REF #2409990KQ0VYW5E97"/>
        <s v="DNCSS MN TWINS CONCESS MINNEAPOLIS MN REF #2469216KQ2XPHXRS2"/>
        <s v="DNCSS MN TWINS CONCESS MINNEAPOLIS MN REF #2469216KQ2XPHYT3M"/>
        <s v="DNCSS MN TWINS CONCESS MINNEAPOLIS MN REF #2469216KQ2XPHYXEW"/>
        <s v="PELOTON* MEMBERSHIP HTTPSWWW.ONEPNY REF #2401134KQ000V0GJ9"/>
        <s v="Withdrawal ACH WASTE MANAGEMENT TYPE: INTERNET ID: 9049038216 CO: WASTE MAN"/>
        <s v="TWINS MOBILE PAYMENT 800-352-0212 CA REF #2473309KQHHBHZZZT"/>
        <s v="AMZN MKTP US*0D0VD0CH3 AMZN.COM/BILLWA_x000a_1XUZNGUW3UD"/>
        <s v="AMZN MKTP US*1Y8HU1TO0 AMZN.COM/BILLWA_x000a_2QGKWCARN00"/>
        <s v="ATM Fee"/>
        <s v="COOLER CLEANSE 212-531-3111 NY REF #2480197KD8B2Y219B"/>
        <s v="Withdrawal at ATM #000000430002 435 WATER ST EXCELSIOR MN"/>
        <s v="FOSS SWIM SCHOOL HTTPSWWW.FOSSMN REF #2401134KE000TRKF2"/>
        <s v="Withdrawal ACH Ridgeview Medica TYPE: ONLINE PAY ID: RF00059954 CO: Ridgevi"/>
        <s v="ATLANTA AIRPORT ATLANTA GA REF #2443106KGW5SMEZHT"/>
        <s v="CARIBOU COFFEE CO #123 MINNEAPOLIS MN REF #2444500KG00V7KR3Y"/>
        <s v="FH* KEY WEST PROMOTION HTTPSWWW.KEYWFL REF #2449216KF000LQHJ0"/>
        <s v="SHELLIS NEWS ST2240 ATLANTA GA REF #2443106KGRQEB935B"/>
        <s v="ROSE NAILS PRAIRIE VILLAKS"/>
        <s v="CENTURYLINK SIMPLE 800-201-4099 LA REF #2444500KG5SQMNS4X"/>
        <s v="CERO BODEGA KEY WEST FL REF #2494168KH61DKQ4ED"/>
        <s v="CUBAN COFFEE QUEEN WATERFKEY WEST FL REF #2401339KH01Q5MB9G"/>
        <s v="Deposit ACH EMPYREAN SOLUTIO TYPE: 193XXXXXXX ID: 5330903620 CO: EMPYREAN S"/>
        <s v="Deposit ACH TRINET TYPE: PAYROLL ID: 194XXXXXXX CO: TRINET Entry Class Code"/>
        <s v="HOLIDAY STATIONS 0083 SHAKOPEE MN REF #2494166KGRQEB91AS"/>
        <s v="HOLIDAY STATIONS 0083 SHAKOPEE MN REF #2494166KGRQEB91Q4"/>
        <s v="HY-VEE PR VILLAGE 1532 PRAIRIE VLG KS REF #2413746KJ00XA111M"/>
        <s v="IRISH KEVINS 305-2921262 FL REF #2454045KH0WRWTL9V"/>
        <s v="LYFT *1 RIDE 08-11 LYFT.COM CA REF #2401134KG0010WJNP"/>
        <s v="MINNEAPOLIS AIRPORT SAINT PAUL MN REF #2443106KGRL619422"/>
        <s v="PLUNKETTS PEST CONTROL MINNEAPOLIS MN REF #2401339KG016XZAYB"/>
        <s v="RICKS &amp; DURTY HARRYS KEY WEST FL REF #2432300KGBM3SNXH4"/>
        <s v="RICKS &amp; DURTY HARRYS KEY WEST FL REF #2432300KGBM3STYV8"/>
        <s v="SQ *FURY WATER ADVE KEY WEST FL REF #2449215KGMJTY0BGQ"/>
        <s v="SQ *HAPPY ROOSTER Key West FL REF #2469216KG2XDA9ASE"/>
        <s v="THE MARKER KEY WEST KEY WEST FL CREDIT REF #7405522KH11GW8XYX"/>
        <s v="THE MARKER KEY WEST KEY WEST FL CREDIT REF #7405522KH11GW8Y2S"/>
        <s v="TST* The Breakfast Club, Key West FL REF #2469216KH2X9263LE"/>
        <s v="TST* THE SEASIDE CAFE KEY WEST FL REF #2413746KHEJMMRKVX"/>
        <s v="UBER TRIP HELP.UBER.COMCA REF #2449215KJMNQE6QV8"/>
        <s v="DANTE'SPRIME KW KEY WEST FL REF #2437735KK0000LR9N"/>
        <s v="LS TROPICALLY HIP 305-2952522 FL REF #2449216KJ000KM15G"/>
        <s v="SQ *FIGJAM COFFEE KEY WEST FL REF #2449215KJMJW520D8"/>
        <s v="SQ *SMOOTHIE BAY Key West FL REF #2469216KJ2XZ0HAPD"/>
        <s v="UBER EATS HELP.UBER.COMCA REF #2449215KKMNGT50MD"/>
        <s v="Withdrawal ACH AMERICAN FAMILY TYPE: WEBPAYMENT ID: PEBP075965 CO: AMERICAN"/>
        <s v="All Seasons Garment Care Excelsior MN REF #2419304KL02J9GQN9"/>
        <s v="ARCO GREENWOOD MARKET GREENWOOD MN"/>
        <s v="CUB FOODS #1636 SHOREWOOD MN REF #2442733KKM83GYBSP"/>
        <s v="MSP AIRPORT PARKING SAINT PAUL MN REF #2403454KK01J535ZL"/>
        <s v="THE MARKER KEY WEST KEY WEST FL REF #2405522KK11GWHL2T"/>
        <s v="AMZN MKTP US*8J38C1QO3 AMZN.COM/BILLWA_x000a_2XZOE7MJ2AJ"/>
        <s v="AMZN MKTP US*H934W8NO3 AMZN.COM/BILLWA_x000a_1HZ6ODHYE5V"/>
        <s v="DELTA AIR 0062332949012DELTA.COM CA REF #2471705KLTQQ00SAZ"/>
        <s v="LYFT RIDE MON 7AM 855-865-9553 CA REF #2449215KLMNMZH7LF"/>
        <s v="Prime Video*5X1UI7SU3 888-802-3080 WA REF #2469216KM2Y0E4Y5Y"/>
        <s v="BRIGHTSTAR 502-890-2575 KY REF #2449215KMRTPT3JQ7"/>
        <s v="Deposit ACH VENMO TYPE: CASHOUT ID: 526XXXXXXX CO: VENMO Entry Class Code: "/>
        <s v="Withdrawal ACH MN DIR ACH TYPE: CONTRIB ID: 2416007162 CO: MN DIR ACH NAME:"/>
        <s v="AMZN MKTP US AMZN.COM/BILLWA_x000a_175ATQO7H2A"/>
        <s v="AMZN MKTP US AMZN.COM/BILLWA_x000a_4XTJDH3N4EE"/>
        <s v="AMZN MKTP US AMZN.COM/BILLWA_x000a_4ZK4FGP1KQW"/>
        <s v="PP*ELITESPORTS SAN JOSE CA"/>
        <s v="AMZN MKTP US AMZN.COM/BILLWA_x000a_69KGD26486A"/>
        <s v="TST* DUKES ON 7 MINNETONKA MN_x000a_00017403008254706899AA"/>
        <s v="PAYMENT - THANK YOU REF #7473457KT00XTMJG3"/>
        <s v="AMZN MKTP US*VV4F03ZT3 AMZN.COM/BILLWA_x000a_7B49S6IBXZA"/>
        <s v="AXS.COMTARGET CENTER 888-929-7849 CA REF #2449215KRLREYE9SA"/>
        <s v="KIDS HAIR CH CHANHASSEN MN REF #2426979KPEJ517G1B"/>
        <s v="KONA GRILL - MINNETONKA MINNETONKA MN REF #2478930KPKAYNXP5F"/>
        <s v="LEEANN CHIN 0163 EDEN PRA310-9959954 MN REF #2454045KR01MMKG8F"/>
        <s v="MENS WEARHOUSE #4113 EDEN PRAIRIE MN REF #2432688KR2LZ2Q912"/>
        <s v="Netflix.com 866-5797172 CA REF #2490641KR4FTBSD43"/>
        <s v="SQ *EDEN PRARIE CENTER FUEden Prairie MN REF #2469216KP2XGE401W"/>
        <s v="BONFES PLUMBING HEATING ASOUTH SAINT PMN REF #2427539KTS66M9PPH"/>
        <s v="CUB FOODS CHANHASSEN MN REF #2442733KTM83ANE1X"/>
        <s v="SPEEDWAY 04366 EXCELSIOR MN REF #2413746KS0180MN2T"/>
        <s v="SPEEDWAY 04366 EXCELSIOR MN REF #2413746KS0180MN5Q"/>
        <s v="Amazon.com*ZW8US0B03 Amzn.com/billWA REF #2469216KS2XGDKXFW"/>
        <s v="AMZN MKTP US*8D6ML97U3 AMZN.COM/BILLWA_x000a_550WZHJZJRZ"/>
        <s v="CUB FOODS 01644 952-934-1010 MN REF #2423168KS2DQZ3PRP"/>
        <s v="Deposit Home Banking Transfer From Share 70 REF # 498400"/>
        <s v="Withdrawal Home Banking Transfer To Share 12 REF # 498400"/>
        <s v="RESERVATION HILTONBOS 8449963737 CA REF #2449215KVLWJHQFMP"/>
        <s v="AMZN Mktp US*MR64V78J3 Amzn.com/billWA REF #2469216KW2XA95P65"/>
        <s v="AMZN Mktp US*P39AX7DQ3 Amzn.com/billWA REF #2469216KW2XAP2AAX"/>
        <s v="DELTA AIR 0062334685936DELTA.COM CA REF #2471705KWTQEQ9QLQ"/>
        <s v="LICKS UNLIMITED EXCELSIOR MN REF #2401339KW02HT04P6"/>
        <s v="Withdrawal POS #0000BCTKD3GI AMAZON.COM*IO4HQ8HS3 SEATTLE WA"/>
        <s v="Withdrawal ACH NORDSTROM TYPE: PAYMENT ID: 9044022131 CO: NORDSTROM NAME: J"/>
        <s v="CUB FOODS CHANHASSEN MN REF #2442733KXM83KXM18"/>
        <s v="DICK'S FRESH MARKET AMERY WI_x000a_APPLE PAY ENDING IN 3050"/>
        <s v="LOVE'S #832 COLUMBUS MN REF #2469216KZ2YVVL3K0"/>
        <s v="RIDGEVIEW MEDICAL CENTER WACONIA MN REF #2480197KY0ZPPN264"/>
        <s v="SQ *HOPSACK LLC BALSAM LAKE WI_x000a_APPLE PAY ENDING IN 3050_x000a_0002305843016202587"/>
        <s v="AMZN MKTP US AMZN.COM/BILLWA_x000a_59IT6TCZ9CG"/>
        <s v="Deposit ACH SYNTELLIS TYPE: CREDITS ID: 1851377808 CO: SYNTELLIS Entry Clas"/>
        <s v="Etsy.com - BakersCustomAp718-8557955 NY REF #2420429L100TJB07A"/>
        <s v="THIRSTY OTTER TAVERN 715-4853400 WI REF #2400097L0LQRKNEL5"/>
        <s v="Withdrawal ACH VENMO TYPE: PAYMENT ID: 326XXXXXXX CO: VENMO NAME: JEFF TRUI"/>
        <s v="AMZN Mktp US*JD2B47T63 Amzn.com/billWA REF #2469216L130RKT5KB"/>
        <s v="CHASKA 952-448-5112 MN REF #2423168L12DGHJNAW"/>
        <s v="LUNDS&amp;BYERLYS CHANH CHANHASSEN MN REF #2442733L1M83E9GAT"/>
        <s v="Withdrawal ACH TRUITT,JEFF B TYPE: Online ID: 1271992400 NAME: TRUITT,JEFF "/>
        <s v="Withdrawal at ATM #000022424511 U.S. BANK US BANK CHANHASSEN CHANHASSEN MN"/>
        <s v="PAYMENT - THANK YOU REF #7473457L300XTMJG1"/>
        <s v="ATM Fee Reimbursement"/>
        <s v="BP#1370200CHANHASSEN BP CHANHASSEN MN REF #2412254L3MLX1G58W"/>
        <s v="BP#1370200CHANHASSEN BP CHANHASSEN MN REF #2412254L3MLX1G5AD"/>
        <s v="CUB FOODS 01644 952-934-1010 MN REF #2423168L22DD0Y64N"/>
        <s v="Deposit ACH DISCOVER BANK TYPE: ACCTVERIFY ID: 1770527921 CO: DISCOVER BANK"/>
        <s v="Deposit ACH PAYPAL TYPE: TRANSFER ID: PAYPALSD11 CO: PAYPAL Entry Class Cod"/>
        <s v="Deposit ATM FEE REFUND"/>
        <s v="Deposit Dividend Split Rate Annual Percentage Yield Earned 0.66% from 08/01"/>
        <s v="Deposit Dividend Split Rate Annual Percentage Yield Earned 1.00% from 08/01"/>
        <s v="Withdrawal ACH DISCOVER BANK TYPE: ACCTVERIFY ID: 3770527921 CO: DISCOVER B"/>
        <s v="AMAZON MUSIC*1V7PW6861 888-802-3080 WA_x000a_5ITB2Z4KM40"/>
        <s v="Deposit ACH BAXTER CREDIT UN TYPE: REWARDS DE ID: 9044036378 CO: BAXTER CRE"/>
        <s v="MAYNARDS R* MAYNARDS E MAYNARDSEXCELMN REF #2449216L40005A8WW"/>
        <s v="TST* FREIGHT HOUSE STILLWATER MN_x000a_00085400008400517371AA"/>
        <s v="Withdrawal ACH DISCOVER BANK TYPE: ACCT FUND ID: 3770527921 CO: DISCOVER BA"/>
        <s v="Withdrawal Home Banking Transfer To Loan 02 REF # 623147"/>
        <s v="Payments Home Banking Transfer From Share 70 REF # 623147"/>
        <s v="Draft 2321 Tracer XX3064"/>
        <s v="Deposit Home Banking Transfer From Share 12 REF # 658560"/>
        <s v="JEFFS BLACKSMITHS SHOP B BALSAM LAKE WI_x000a_APPLE PAY ENDING IN 8856"/>
        <s v="SP LAKE AND COMPANY 172-08499131 MN REF #2401134L50002RTWT"/>
        <s v="SP SOTA CLOTHING 195-23814230 MN REF #2449216L500021BDW"/>
        <s v="SQ *SEEK EYE CARE PA gosq.com MN REF #2469216L532W12WLN"/>
        <s v="Withdrawal Home Banking Transfer To Share 70 REF # 658560"/>
        <s v="D J*WALL-ST-JOURNAL 800-568-7625 MA REF #2469216L63443V4W1"/>
        <s v="HBRSUBSCRIPTION 800-988-0886 MA REF #2449215L5LS2GWKH1"/>
        <s v="SQ *BALSAM LAKE BREWERY ABalsam Lake WI REF #2469216L634792ZHB"/>
        <s v="BARRED OWL, LLC BALSAM LAKE WI REF #2434285L70FX5MHRV"/>
        <s v="HOLIDAY STATIONS 0419 SAINT CROIX FWI REF #2494166L8RQEBLJJP"/>
        <s v="MAYNARD'S EXCELSIOR THE EXCELSIOR MN"/>
        <s v="RVT*MTKA PUB SCHLS-WEB 952-4015000 MN REF #2490641L74GV7N7G8"/>
        <s v="Withdrawal ACH DISCOVER BANK TYPE: ETRANSFER ID: 3770527921 CO: DISCOVER BA"/>
        <s v="AMZN MKTP US*1V4K446T2 AMZN.COM/BILLWA_x000a_7FKPL6D47VQ"/>
        <s v="CUB FOODS 1636 952-380-9900 MN REF #2423168L92DF3NG1W"/>
        <s v="MN LAND ARBORETUM WWW.ARBORETUMMN REF #2449216L9000KHWS9"/>
        <s v="CARIBOU COFFEE CO #1164 EXCELSIOR MN_x000a_APPLE PAY ENDING IN 8856"/>
        <s v="FSI*CENTERPOINT ENERGY 877-477-1664 TX REF #2469216LA2XJ1W874"/>
        <s v="LOGGERS BAR &amp; GRILL 651-2698120 WI REF #2400097LAMNJJM4AQ"/>
        <s v="PARK NICOLLET 11510 866-3821799 MN REF #2471705LB3J394WPH"/>
        <s v="PAPA MURPHY'S MN035 OLO 952-294-4646 MN"/>
        <s v="PELOTON* MEMBERSHIP HTTPSWWW.ONEPNY REF #2401134LB000ZDNFW"/>
        <s v="ARBORETUM APPLEHOUSE CHASKA MN_x000a_APPLE PAY ENDING IN 8856"/>
        <s v="SQ *NORTH STAR DONUTS VICTORIA MN_x000a_APPLE PAY ENDING IN 8856_x000a_0001152921511885"/>
        <s v="SQ *PEPPERS AGOGO WAYZATA MN_x000a_0002305843016273645864"/>
        <s v="Evereve 877-2906262 MN REF #2490641LQ4H53772R"/>
        <s v="JIMMY JOHNS # 916 EDEN PRAIRIE MN_x000a_APPLE PAY ENDING IN 8856"/>
        <s v="NORTH COOP* NORTH COOP sburks827@livMN REF #2449216LE0004AY5Z"/>
        <s v="SPEEDWAY 04366 EXCELSIOR MN REF #2413746LE00ZF3402"/>
        <s v="WALGREENS #3114 EDINA MN REF #2444500LE00SG0HLL"/>
        <s v="AMAZON.COM*1F9V691W2 AMZN.COM/BILLWA_x000a_76WTQNCPIPE"/>
        <s v="COSTCO WHSE #0783 EDEN PRAIRIE MN REF #2494300LFS4AFKH96"/>
        <s v="CENTURYLINK SIMPLE 800-201-4099 LA REF #2444500LF2XAK6AVH"/>
        <s v="RESERVATION HILTONBOS 844-996- CREDIT REF #7449215LFLRM33GK0"/>
        <s v="SATAY 2 GO APPLE VALLEY MN"/>
        <s v="PAYPAL *FREE FLY 402-935-7733 CA"/>
        <s v="SPASSO MINNETONKA MN"/>
        <s v="SPEEDWAY 04159 EDEN PRAIRIE MN REF #2413746LH0106066K"/>
        <s v="AMZN MKTP US*1M1WJ9NK0 AMZN.COM/BILLWA_x000a_63B3BPEDHYN"/>
        <s v="Deposit ACH VENMO TYPE: REFUND ID: 426XXXXXXX CO: VENMO Entry Class Code: P"/>
        <s v="LAKEWINDS - MINNETONKA MINNETONKA MN REF #2405523LJRBGRKQ2W"/>
        <s v="PAYPAL *PONCHO 402-935-7733 CA"/>
        <s v="SHINE OF MINNETONKA HTTPSWWW.SHINMN REF #2449216LH0015AXAJ"/>
        <s v="PAYMENT - THANK YOU REF #7473457LK00XTMJG2"/>
        <s v="ALLIANZ TRAVEL INS ALLIANZINS.USVA REF #2449215LKLS08MX1R"/>
        <s v="AMERICAN AIR0012337602985FORT WORTH TX REF #2494300LKJEENK6H7"/>
        <s v="AMERICAN AIR0012337602986FORT WORTH TX REF #2494300LKJEENK6GE"/>
        <s v="AMERICAN AIR0012337602987FORT WORTH TX REF #2494300LKJEENK6K9"/>
        <s v="AMERICAN AIR0012337602988FORT WORTH TX REF #2494300LKJEENK6LA"/>
        <s v="TST* THE GROCERS TABLE WAYZATA MN_x000a_00017999008590138591AA"/>
        <s v="PAYPAL *REI 402-935-7733 CA"/>
        <s v="CARIBOU COFFEE CO #116 CHANHASSEN MN_x000a_APPLE PAY ENDING IN 8856"/>
        <s v="Prime Video*1M1017BN1 888-802-3080 WA REF #2469216LL33TAX97R"/>
        <s v="Sailers Greenhouse SHAKOPEE MN REF #2445388LM02MZ66XA"/>
        <s v="VICTORIA HEALTHY HUB 6127506106 MN REF #2405523LL2MK46KGB"/>
        <s v="BACHMAN'S ONLINE MINNEAPOLIS MN REF #2480197LN61MAVEV8"/>
        <s v="COPA AIR 2302179642206COPAAIR.COM FL REF #2400704LNSFG6GV8L"/>
        <s v="DELTA AIR 0062338225240DELTA.COM CA REF #2471705LMTQMSLZYY"/>
        <s v="DELTA AIR 0062338225241DELTA.COM CA REF #2471705LMTQMSLZYE"/>
        <s v="DELTA AIR 0062338225242DELTA.COM CA REF #2471705LMTQMSLZYN"/>
        <s v="DELTA AIR 0062338225243DELTA.COM CA REF #2471705LMTQMSLZY6"/>
        <s v="EVEREVE - 8 WAYZATA MN REF #7426979LLEJN8PGAB"/>
        <s v="LUNDS&amp;BYERLYS CHANH CHANHASSEN MN REF #2442733LMM83QPH15"/>
        <s v="THE HOME DEPOT #2825 CHASKA MN REF #2494301LM09FV1MT4"/>
        <s v="TOCK ATDEMI 312-561-4554 IL REF #2449215LNLRHBRAX6"/>
        <s v="AMZN MKTP US*1U7BJ24M1 AMZN.COM/BILLWA_x000a_66FNOBSIRLU"/>
        <s v="CUB FOODS 01644 952-934-1010 MN REF #2423168LN2DDVR2KM"/>
        <s v="CUB FOODS 01644 CUB.COM MN REF #7423168LN2D9R4E63"/>
        <s v="SP PONCHO HTTPSPONCHOOUNY REF #2449216LN000WWNRK"/>
        <s v="PAYMENT - THANK YOU REF #7473457LR00XTMJG5"/>
        <s v="BONFES PLUMBING HEATING A651-3326633 MN REF #2427539LPS66D4TQ8"/>
        <s v="Netflix.com 866-5797172 CA REF #2490641LP4HSLV3DN"/>
        <s v="BCS*MINNETONKA COMMUNITY 952-401-6800 MN REF #2413746LT01DBYVLJ"/>
        <s v="BCS*MINNETONKA COMMUNITY 952-401-6800 MN REF #2413746LT01DBYVP5"/>
        <s v="NOODLES &amp; CO 347 CHANHASSEN MN_x000a_APPLE PAY ENDING IN 8856"/>
        <s v="PLUNKETTS PEST CONTROL MINNEAPOLIS MN REF #2401339LR025ZNXYY"/>
        <s v="RUDY LUTHER TOYOTA GOLDEN VALLEYMN REF #2449398LR60R8EG1A"/>
        <s v="RVT*MTKA PUB SCHLS-WEB 952-4015000 MN REF #2490641LP4HWDAXEF"/>
        <s v="SQ *EQ YEE GOLDEN VALLEYMN REF #2449215LRMJLPMF31"/>
        <s v="County Tax Disbursed"/>
        <s v="Deposit Home Banking Transfer From Share 70 REF # 941703"/>
        <s v="KWIK TRIP 40200004028 CHANHASSEN MN REF #2416407LTL3HJY1YF"/>
        <s v="Withdrawal Home Banking Transfer To Share 12 REF # 941703"/>
        <s v="AMZN MKTP US*1U7ZE5XO0 AMZN.COM/BILLWA_x000a_2AGEBI02GIM"/>
        <s v="UMINNMLAEVENTS CHASKA MN"/>
        <s v="LANCER @ MINNESOTA ZOO APPLE VALLEY MN"/>
        <s v="MENARDS.COM 715-876-6378 WI REF #2413746LW8R16X1T7"/>
        <s v="PAYPAL *HOME DEPOT 402-935-7733 CA"/>
        <s v="MN ZOO ONLINE 952-4319240 MN REF #2471705LX7LM15PNX"/>
        <s v="TST* 401 - YUMI EXCELSIO EXCELSIOR MN"/>
        <s v="KWIK TRIP 40200004028 CHANHASSEN MN REF #2416407LYL3HKBRWB"/>
        <s v="PAYPAL *ETSY INC 402-935-7733 CA"/>
        <s v="PAYMENT - THANK YOU REF #7473457M100XTMJG4"/>
        <s v="Deposit Dividend Split Rate Annual Percentage Yield Earned 0.57% from 09/01"/>
        <s v="Deposit Dividend Split Rate Annual Percentage Yield Earned 1.50% from 09/01"/>
        <s v="LAKEWINDS - CHANHASSEN CHANHASSEN MN REF #2405523M1RBGPA3NT"/>
        <s v="TOTAL WINE AND MORE CHANHASSEN MN REF #2411641M1RBGHN1P6"/>
        <s v="AMAZON MUSIC*143Y01AS1 888-802-3080 WA_x000a_QRX3X76TFTH"/>
        <s v="WATERWERKS CAR WASH GOLDEN VALLEYMN"/>
        <s v="Withdrawal Home Banking Transfer To Loan 02 REF # 1059557"/>
        <s v="Payments Home Banking Transfer From Share 70 REF # 1059557"/>
        <s v="All Seasons Garment Care Excelsior MN REF #2419304M202PEJEMV"/>
        <s v="AMAZON.COM*142711AM2 AMZN.COM/BILLWA_x000a_74DN9X3VVV5"/>
        <s v="AMAZON.COM*145PY9V80 AMZN.COM/BILLWA_x000a_3D6AHFQZWP1"/>
        <s v="CUB FOODS #1636 SHOREWOOD MN REF #2442733M1M83VFFMZ"/>
        <s v="D J*WALL-ST-JOURNAL 800-568-7625 MA REF #2469216M2347DXM5B"/>
        <s v="DETELLOS PIZZA AND PASTA CHASKA MN REF #2419304M20009NKX7"/>
        <s v="LYFT RIDE THU 2PM 855-865-9553 CA REF #2449215M1LVYNBTP0"/>
        <s v="TRADER JOE'S #714 QPS MINNETONKA MN REF #2449398M35HW8HRHG"/>
        <s v="AMZN MKTP US*141HK46X0 AMZN.COM/BILLWA_x000a_B70Q4O63PLQ"/>
        <s v="AMZN MKTP US*142BF9SU0 AMZN.COM/BILLWA_x000a_2Q3KAXHWMT0"/>
        <s v="HBRSUBSCRIPTION 800-988-0886 MA REF #2449215M3MLD7KK0Y"/>
        <s v="MEDEXPRESS URGENT CARE MI888-2496365 WV REF #2475542M37Y0S230R"/>
        <s v="Draft 2322 Tracer XX0591"/>
        <s v="AMZN MKTP US*149ED1UW1 AMZN.COM/BILLWA_x000a_6KBQB2VOYKN"/>
        <s v="AMZN MKTP US*149H97I21 AMZN.COM/BILLWA_x000a_6HWXT52I7KX"/>
        <s v="CUB FOODS #1636          SHOREWOOD    MN REF #2442733M5M83KVZTL"/>
        <s v="Deposit ACH eBay TYPE: PAYOUT ID: 426XXXXXXX CO: eBay Entry Class Code: CCD"/>
        <s v="PAYPAL *NIKE.COM 402-935-7733 CA"/>
        <s v="AVO*ADVOCARE INTL        800-542-4800 TX REF #2469216M72Y9WT6JX"/>
        <s v="Draft 2344 Tracer 990004968"/>
        <s v="AMZN MKTP US*1K78E8VI0 AMZN.COM/BILLWA_x000a_39XP2K6YQ0V"/>
        <s v="AMZN MKTP US*1K0W255Y1 AMZN.COM/BILLWA_x000a_65YQ59OTXL7"/>
        <s v="ARAMARK US BNK STD CONC MINNEAPOLIS MN"/>
        <s v="LAKESHORE MARKET &amp; MORE  EXCELSIOR    MN REF #2405522M9RDQ88X67"/>
        <s v="LAKEWINDS - CHANHASSEN   CHANHASSEN   MN REF #2405523M9RBGRPXF3"/>
        <s v="PELOTON* MEMBERSHIP      HTTPSWWW.ONEPNY REF #2401134M90011K37Y"/>
        <s v="PP*Red Sauce Rebellion   952-2344646  MN REF #2431033M804Z462L3"/>
        <s v="SQ *BRAVIS MODERN STREET gosq.com     MN REF #2469216M92X5AKX9M"/>
        <s v="ARAMARK US BNK STD CONC  MINNEAPOLIS  MN REF #2475542MBMAG6DLRW"/>
        <s v="L2G*CARVERCO LIBRARIES CHANHASSEN MN_x000a_3837560670"/>
        <s v="PAYPAL *PONCHO 4029357733 CA"/>
        <s v="AMAZON.COM AMZN.COM/BILLWA_x000a_9B2QHIFDM2X"/>
        <s v="AMZN MKTP US AMZN.COM/BILLWA_x000a_5YD7SCXPEYZ"/>
        <s v="AMZN MKTP US AMZN.COM/BILLWA_x000a_62V8WH1IYQS"/>
        <s v="AMZN MKTP US AMZN.COM/BILLWA_x000a_Y1RDJVROBG8"/>
        <s v="AMZN MKTP US*1K7TM5102 AMZN.COM/BILLWA_x000a_P190ATLR9FN"/>
        <s v="SP PONCHO HTTPSPONCHOOU NY        CREDIT REF #2449216MQ000Q21BQ"/>
        <s v="TST* Dukes on 7          612-205-3286 MN REF #2469216MB2Y8NM1HM"/>
        <s v="AMZN MKTP US*1K4L14YU1 AMZN.COM/BILLWA_x000a_79EUV7ZE2I1"/>
        <s v="AMZN MKTP US*HT8OU0F41 AMZN.COM/BILLWA_x000a_3Y6OTJVE5NQ"/>
        <s v="AMZN MKTP US*HT9E07FI1 AMZN.COM/BILLWA_x000a_17N95WRPDW2"/>
        <s v="AMZN MKTP US*HT9PI73M0 AMZN.COM/BILLWA_x000a_4XSEW7GYT0E"/>
        <s v="STARBUCKS 800-782-7282   800-782-7282 WA REF #2444500MQ2X8DK4GR"/>
        <s v="THE HOME DEPOT #2825     CHASKA       MN REF #2494301MQ09FPZY7Y"/>
        <s v="CENTURYLINK SIMPLE       800-201-4099 LA REF #2444500MD2XD8JVV3"/>
        <s v="HAZELWOOD FOOD &amp; DRINK -TEXCELSIOR    MN REF #2401339MD019VAVEH"/>
        <s v="LAKEWINDS - CHANHASSEN   CHANHASSEN   MN REF #2405523MERBGRTQX7"/>
        <s v="MOTORWERKS BMW           BLOOMINGTON  MN REF #2443106MEJGA8WF9F"/>
        <s v="PAYMENT - THANK YOU REF #7473457MF00XTMJG8"/>
        <s v="AMZN MKTP US*HT2W10G51 AMZN.COM/BILLWA_x000a_64TWC6O7SWJ"/>
        <s v="AMZN MKTP US*HT4GM25B0 AMZN.COM/BILLWA_x000a_7KRLS2JM0ZA"/>
        <s v="Withdrawal ACH BARCLAYCARD US TYPE: CREDITCARD ID: 2510407970 CO: BARCLAYCA"/>
        <s v="AMZN MKTP US*HT0EY1M41 AMZN.COM/BILLWA_x000a_PBSYCHDFMZ4"/>
        <s v="PAT'S TAP MINNEAPOLIS MN"/>
        <s v="AMZN MKTP US AMZN.COM/BILLWA_x000a_3DRHYRX6PIZ"/>
        <s v="AMZN MKTP US AMZN.COM/BILLWA_x000a_5TMT9AMHWVU"/>
        <s v="AMZN MKTP US AMZN.COM/BILLWA_x000a_734IPTRTNA1"/>
        <s v="COUNTRY CLUB LANES       EXCELSIOR    MN REF #2413829MG60T2JMVN"/>
        <s v="DELTA AIR   0062343192678DELTA.COM    CA REF #2471705MGTQXWA56M"/>
        <s v="RESERVATION HILTONBOS    8449963737   CA REF #2449215MFLS4BV437"/>
        <s v="SPEEDWAY 04232           MINNEAPOLIS  MN REF #2413746MH019J0R46"/>
        <s v="LUNDS&amp;BYERLYS HYW7M      MINNETONKA   MN REF #2442733MHM83Q2SZA"/>
        <s v="Prime Video*HT4ZJ5U30    888-802-3080 WA REF #2469216MJ334TVTE7"/>
        <s v="Withdrawal ACH AMEX EPAYMENT TYPE: ACH PMT ID: 0005000008 CO: AMEX EPAYMENT"/>
        <s v="CUB FOODS  1636          952-380-9900 MN REF #2423168MJ2DES5KL1"/>
        <s v="DOMINO'S 1931            EXCELSIOR    MN REF #2444500MJEHXHVYX4"/>
        <s v="SP DR. DENNIS GROSS      DRDENNISGROSSNY REF #2401134MJ0012S6DK"/>
        <s v="STARBUCKS 800-782-7282   800-782-7282 WA REF #2444500MJ2X8PHAGE"/>
        <s v="TST* Red Cow - 50th St   612-767-4411 MN REF #2469216MJ339S9B5H"/>
        <s v="AMZN MKTP US*H86NM8TE0 AMZN.COM/BILLWA_x000a_3N5VC289HWY"/>
        <s v="AMZN MKTP US*H80YD0GF0 AMZN.COM/BILLWA_x000a_7AMVK2D2VM8"/>
        <s v="Draft 2347 Tracer 990000442"/>
        <s v="KWIK TRIP  40200004028   CHANHASSEN   MN REF #2416407MLL3HMFNP7"/>
        <s v="SPEEDWAY 04366           EXCELSIOR    MN REF #2413746MM01D58P4W"/>
        <s v="WALGREENS #12434         EXCELSIOR    MN REF #2444500MM00W294JT"/>
        <s v="BONFES PLUMBING HEATING A651-3326633  MN REF #2427539MMS66E823V"/>
        <s v="Netflix.com              866-5797172  CA REF #2490641MM4KVP914L"/>
        <s v="AMZN MKTP US*HT39A9R62 AMZN.COM/BILLWA_x000a_2OZS5E3AFEP"/>
        <s v="AMZN MKTP US*H80NG8QI1 AMZN.COM/BILLWA_x000a_3QGKXROMAWI"/>
        <s v="AMZN MKTP US*H84PA2780 AMZN.COM/BILLWA_x000a_69V9URG5OJL"/>
        <s v="ARBORETUM APPLEHOUSE     CHASKA       MN REF #2413829MP2M7WMM1H"/>
        <s v="ARBORETUM APPLEHOUSE     CHASKA       MN REF #2413829MP2M7WMM1T"/>
        <s v="CUB FOODS #5704          MINNETONKA   MN REF #2442733MPM83LJADA"/>
        <s v="LAKESHORE MARKET &amp; MORE  EXCELSIOR    MN REF #2405522MRRDQ8F0GE"/>
        <s v="LS SOUTH LAKE CYCLE      952-4743179  MN REF #2449216MP001A7HND"/>
        <s v="SQ *JES NATURALS         Excelsior    MN REF #2469216MP2XVQPJPP"/>
        <s v="Withdrawal Home Banking Transfer To Share 12 REF # 1372170"/>
        <s v="BUDDY BOY FINE BARBEQUE  MINNETRISTA  MN REF #2403724MRS66MFQX1"/>
        <s v="Draft 2348 Tracer 990001750"/>
        <s v="PAYPAL *PELOTONINTE 402-935-7733 CA"/>
        <s v="TST* Olives Fresh Excels 612-232-4677 MN REF #2469216MR2Y6EFNZ4"/>
        <s v="2023 GRANDMAS MARATHON   HTTPSRACEROSTMA REF #2449216MS0006A6KP"/>
        <s v="TST* MACANDA WAYZATA MN"/>
        <s v="AMAZON.COM*H07VD9120 AMZN.COM/BILLWA_x000a_2L2QC9RADTX"/>
        <s v="MPLSMETERSAPP 8090 612-3437275 MN"/>
        <s v="STARBUCKS 800-782-7282   800-782-7282 WA REF #2444500MS2X8WSM3F"/>
        <s v="AMZN MKTP US*H017V0J81 AMZN.COM/BILLWA_x000a_73L2ADNLMCN"/>
        <s v="AMZN MKTP US*H80ZH1612 AMZN.COM/BILLWA_x000a_DJKC5O0T4SQ"/>
        <s v="Draft 2350 Tracer XX1247"/>
        <s v="KWIK TRIP  40200004028   CHANHASSEN   MN REF #2416407MVL3HN4GKV"/>
        <s v="PAYPAL *LLBEANINC"/>
        <s v="LAKEWINDS - CHANHASSEN   CHANHASSEN   MN REF #2405523MXRBGMQ4S2"/>
        <s v="TST* Demi                Minneapolis  MN REF #2469216MW30XDFR0D"/>
        <s v="D J*WALL-ST-JOURNAL      800-568-7625 MA REF #2469216MY32JBYSSE"/>
        <s v="SPEEDWAY 04551           SAVAGE       MN REF #2413746MZ01A1HT27"/>
        <s v="TST* Nautical Bowls SavagSavage       MN REF #2469216MY32T2QV3X"/>
        <s v="AMZN MKTP US*H26AW6C00 AMZN.COM/BILLWA_x000a_Z2LB59HU27V"/>
        <s v="Deposit Dividend Split Rate Annual Percentage Yield Earned 0.59% from 10/01"/>
        <s v="LUNDS&amp;BYERLYS CHANH      CHANHASSEN   MN REF #2442733MZM83BTB26"/>
        <s v="PAYPAL *LLBEANINC 402-935-7733 CA"/>
        <s v="PRESCHOOL SMILES         187-738-1827 MN REF #2449215MZLY607TY2"/>
        <s v="SHOREWOOD TRUE VALUE     EXCELSIOR    MN REF #2480197N0BMD9L0DB"/>
        <s v="PAYMENT - THANK YOU REF #7473457N100XTMJG6"/>
        <s v="AMAZON MUSIC*H084I3K71 888-802-3080 WA_x000a_37D15L8093J"/>
        <s v="AMZN MKTP US*H27HT74E0 AMZN.COM/BILLWA_x000a_77T8Q73PXZG"/>
        <s v="KWIK TRIP 47700004770 ST BONIFACIUSMN REF #2416407N0L3HMR65W"/>
        <s v="MACKENTHUN`S MEATS &amp; DELISAINT BONIFACMN REF #2455194N00VYXL04J"/>
        <s v="Withdrawal Home Banking Transfer To Loan 02 REF # 1497826"/>
        <s v="Payments Home Banking Transfer From Share 70 REF # 1497826"/>
        <s v="Draft 2351 Tracer XX3044"/>
        <s v="AMAZON.COM*H20SD2N80 AMZN.COM/BILLWA_x000a_1K4Z7U6G5EF"/>
        <s v="AMZN MKTP US*H080520F2 AMZN.COM/BILLWA_x000a_1NY2CKBUDQ1"/>
        <s v="CARIBOU COFFEE CO #1164 EXCELSIOR MN REF #2444500N1EJ1P5RQW"/>
        <s v="L2G*CARVERCO LIBRARIES 95CHANHASSEN MN REF #2469216N134DB50DB"/>
        <s v="AMZN MKTP US AMZN.COM/BILLWA_x000a_27AXUA0PXO9"/>
        <s v="AMZN MKTP US AMZN.COM/BILLWA_x000a_2DCOLZX1WPR"/>
        <s v="AMZN MKTP US AMZN.COM/BILLWA_x000a_68R7W8IUX7W"/>
        <s v="HBRSUBSCRIPTION 800-988-0886 MA REF #2449215N2LTX78S7E"/>
        <s v="HM.COM 855-4667467 NY REF #2420429N401BVGD14"/>
        <s v="JIMMY JOHNS - 724 - E- 952-401-4321 MN REF #2426979N3EJ3E7WX5"/>
        <s v="AMZN MKTP US*H20SA06F0 AMZN.COM/BILLWA_x000a_3ZN1OCZ7WZ7"/>
        <s v="AMZN MKTP US*H241M0XB1 AMZN.COM/BILLWA_x000a_40RJBCW7VG2"/>
        <s v="AMAZON.COM*H24MR0U50 AMZN.COM/BILLWA_x000a_1OJ04719APA"/>
        <s v="CUB FOODS #1636 SHOREWOOD MN REF #2442733N4M83VK58E"/>
        <s v="CUB FOODS #1636 SHOREWOOD MN REF #2442733N5M83P03MR"/>
        <s v="SPEEDWAY 04366 EXCELSIOR MN REF #2413746N601AAZ1F9"/>
        <s v="BARNES&amp;NOBLE PAPERSOURCE 800-843-2665 NY REF #2413746N70197Q8HX"/>
        <s v="CHASKA 952-448-5112 MN REF #2423168N62DD8M50T"/>
        <s v="STAGES THEATRE COMPANY 952-979-1108 MN REF #2463269N6EJ46MK7T"/>
        <s v="WENDY S 419 CHANHASSEN MN REF #2444500N62XK3JHBS"/>
        <s v="CSC SERVICEWORK CHANHASSEN MN REF #2405523N8BM9S54G8"/>
        <s v="CUB FOODS SSS CHANHASSEN CREDIT REF #7442733N6M83BVWKY"/>
        <s v="DUNKIN #342230 Q35 BOSTON MA"/>
        <s v="DUNKIN #342231 Q35 BOSTON MA"/>
        <s v="SPEEDWAY 04366 EXCELSIOR MN REF #2413746N801DE6EQR"/>
        <s v="WPY*FIREBOX REDWOOD CITY MN REF #2469216N72Z8GY7QN"/>
        <s v="PAYPAL *JCPENNEY.CO 402-935-7733 CA"/>
        <s v="PELOTON* MEMBERSHIP HTTPSWWW.ONEPNY REF #2401134N8000X6NH4"/>
        <s v="RVT*MTKA PUB SCHLS-WEB 952-4015000 MN REF #2490641N84M58868N"/>
        <s v="WHOLEFDS WOB 10233 WOBURN MA"/>
        <s v="BCS*MINNETONKA COMMUNITY 952-401-6800 MN REF #2413746NA01QVQQNA"/>
        <s v="CUB FOODS #1636 SHOREWOOD MN REF #2442733N9M83K58MP"/>
        <s v="CUB FOODS #1636 SHOREWOOD MN REF #2442733N9M83K5EW7"/>
        <s v="ANNTAYLOR LOFT.COM #61 800-342-5266 CT REF #2443106NA2DALLSBP"/>
        <s v="DELAWARE NORTH LOGAN F&amp;B EAST BOSTON MA"/>
        <s v="TST* DUKES ON 7 612-205-3286 MN_x000a_APPLE PAY ENDING IN 3050_x000a_000174030092900829"/>
        <s v="AMAZON.COM*HB0RS5DY1 AMZN.COM/BILLWA_x000a_5XMPKKXAYG3"/>
        <s v="CENTURYLINK SIMPLE 800-201-4099 LA REF #2444500NQ2XFB6RPT"/>
        <s v="HM.COM 855-4667 CREDIT REF #7420429ND01GD3GSL"/>
        <s v="IVS VENDING MASSAGE HOPKINS MN REF #2405523NDBLVALY3E"/>
        <s v="IVS VENDING MASSAGE HOPKINS MN REF #2405523NDBLVALYAM"/>
        <s v="LULULEMON SHOPS@WEST ST LOUIS PARKMN REF #2469216ND335X5GJK"/>
        <s v="Prime Video*HB8FP45O1 888-802-3080 WA REF #2469216NQ32VL2797"/>
        <s v="AMZN MKTP US AMZN.COM/BILLWA_x000a_4C6HJGFDNAO"/>
        <s v="BALSAM HILL US 888-552-2572 CA REF #2449215NDMLLMJWDK"/>
        <s v="BIG BOWL RIDGEDALE MINNETONKA MN REF #2443106NE2M8ZYM7R"/>
        <s v="HILTON GARDEN INN BOSTON EAST BOSTON MA REF #2427539NDS66LR9LJ"/>
        <s v="WENDY S 402 MINNETONKA MN REF #2444500ND2XKBNMVV"/>
        <s v="CHIPOTLE ONLINE CHIPOTLE.COM CA REF #2443106NF2DKJ4VR9"/>
        <s v="CHIPOTLE ONLINE CHIPOTLE.COM CA REF #2443106NF2DYKM1PX"/>
        <s v="LULULEMONCOM* 877-263-9300 CA REF #2469216NE340BLETM"/>
        <s v="PAYMENT - THANK YOU REF #7473457NG00XTMJG7"/>
        <s v="AMAZON.COM*HI9F62JP0 AMZNAMZN.COM/BILLWA REF #2443106NF2DYS0Z1D"/>
        <s v="FOSS SWIM SCHOOL HTTPSWWW.FOSSMN REF #2401134NF0015R0NY"/>
        <s v="MCDONALD'S F6591 CHANHASSEN MN_x000a_APPLE PAY ENDING IN 3050"/>
        <s v="AMAZON.COM*HB2XT6252 AMZNAMZN.COM/BILLWA REF #2443106NG2DKAYHVY"/>
        <s v="Prime Video*HB4JG6D42 888-802-3080 WA REF #2469216NH35Y654ZJ"/>
        <s v="KWIK TRIP 40200004028 CHANHASSEN MN REF #2416407NHL3HES8GQ"/>
        <s v="Prime Video 888-802- CREDIT REF #7469216NH36DEKA0T"/>
        <s v="Prime Video 888-802- CREDIT REF #7469216NH36DVPJP5"/>
        <s v="Withdrawal at ATM #000000359799 455 POND PROMENADE CHANHASSEN MN"/>
        <s v="AMZN MKTP US*HI28K1K90 AMZN.COM/BILLWA_x000a_58EEP5EMIXR"/>
        <s v="DELTA AIR 0062349191324DELTA.COM CA REF #2471705NKTD89P26Y"/>
        <s v="KOWALSKI'S EXCELSIO EAGAN MN REF #2442733NKLM8PBDJR"/>
        <s v="LYFT RIDE THU 2PM 855-865-9553 CA REF #2449215NJMN9T7V6W"/>
        <s v="TST* Olives Fresh Excels 612-232-4677 MN REF #2469216NK2Y4D00JV"/>
        <s v="1TARGET CENTER MINNEAPOLIS MN REF #2494300NLW5W9GER3"/>
        <s v="BONFES PLUMBING HEATING A651-3326633 MN REF #2427539NLS66G0VL5"/>
        <s v="COUNTRY CLUB LANES EXCELSIOR MN REF #2413829NL60T2JMV2"/>
        <s v="MISTER CAR WASH #606 - ST LOUIS PARKMN"/>
        <s v="NETFLIX.COM NETFLIX.COM CA REF #2469216NL2Z3DXQB9"/>
        <s v="SPEEDWAY 04095 CHASKA MN REF #2413746NM0186SK0J"/>
        <s v="TST* PUB 819 HOPKINS MN_x000a_00003508009419325091AA"/>
        <s v="TST* Red Rabbit - MinneapMinneapolis MN REF #2469216NL2Z1RJ9FG"/>
        <s v="AMAZON.COM AMZN.COM/BILL AMZN.COM/BILLWA REF #7443106NM2D9SQVH8"/>
        <s v="AMZN MKTP US*HW2656331 AMZN.COM/BILLWA_x000a_E1QFNSTXDOJ"/>
        <s v="AMZN MKTP US*HW9HO4O61 AMZN.COM/BILLWA_x000a_6P2YJNWE12A"/>
        <s v="AVO*ADVOCARE INTL 800-542-4800 TX REF #2469216NM2ZNAX05M"/>
        <s v="B RAMP 8066 MINNEAPOLIS MN REF #2478930NM1W88WYDS"/>
        <s v="PRIMP EXCELSIOR EXCELSIOR MN REF #2449398NNBLT5WKSR"/>
        <s v="THE HOME DEPOT #2825 CHASKA MN REF #2494301NM09FT2JMB"/>
        <s v="AMZN Mktp US*HW6R211O0 Amzn.com/billWA REF #2469216NN30X2XBZG"/>
        <s v="BCS*MINNETONKA COMMUNITY 952-401-6800 MN REF #2413746NP01KZHP18"/>
        <s v="BCS*MINNETONKA COMMUNITY 952-401-6800 MN REF #2413746NP01KZHP3V"/>
        <s v="BCS*MINNETONKA COMMUNITY 952-401-6800 MN REF #2413746NP01KZHP97"/>
        <s v="Deposit Home Banking Transfer From Share 70 REF # 1821628"/>
        <s v="KOWALSKI'S EXCELSIO EAGAN MN REF #2442733NNLM8KZFMK"/>
        <s v="LAKEWINDS - CHANHASSEN CHANHASSEN MN REF #2405523NPRBGNX0DK"/>
        <s v="TARGET 00008623 CHANHASSEN MN REF #2416407NN2LRFZQ1F"/>
        <s v="WALGREENS #9728 CHANHASSEN MN REF #2444500NP00ZMYEHG"/>
        <s v="Withdrawal Home Banking Transfer To Share 12 REF # 1821628"/>
        <s v="All Seasons Garment Care Excelsior MN REF #2419304NR02XPW5Q5"/>
        <s v="ANNTAYLOR LOFT.COM #61 800-342-5266 CT REF #2443106NP2D9ZET74"/>
        <s v="BCS*MINNETONKA COMMUNITY 952-401-6800 MN REF #2413746NR01SKZEAR"/>
        <s v="BCS*MINNETONKA COMMUNITY EXCELSIOR MN REF #7413746NP01RMXD0Y"/>
        <s v="Kids Hair - CH Chanhassen MN REF #2479338NP00XHRVA6"/>
        <s v="SP UNRL.CO UNRL.MYSHOPIFMN REF #2449216NP001Q1S4E"/>
        <s v="SPEEDWAY 04186 RICHFIELD MN REF #2413746NR0189GSFT"/>
        <s v="VINEYARD VINES LLC 800-892-4982 CT REF #2449215NRLW1L5D89"/>
        <s v="CHICKEN N PICKLE OVERLAND PARKKS"/>
        <s v="JJ`S POKE EDINA MN REF #2445351NR0VYFTG78"/>
        <s v="MAGGIANOS KANSAS CITY OVERLAND PARKKS REF #2423168NT8AE3HAP3"/>
        <s v="TRAIL'S TA TRAVEL CENT ALBERT LEA MN REF #2442733NRLYPPD6B9"/>
        <s v="TRAIL'S TA TRAVEL CENT ALBERT LEA MN REF #2442733NRLYPPD6QK"/>
        <s v="TRAIL'S TRAVEL CENT ALBERT LEA MN REF #2442733NRLYPPDD55"/>
        <s v="AMZN MKTP US*HW0WU0261 AMZN.COM/BILLWA_x000a_1RGHE2D0OFA"/>
        <s v="AMZN MKTP US*HW4LP5S11 AMZN.COM/BILLWA_x000a_2SQ5SU5PA2L"/>
        <s v="AMZN Mktp US*HW11121A2 Amzn.com/billWA REF #2469216NS33EGY3P5"/>
        <s v="D J*WALL-ST-JOURNAL 800-568-7625 MA REF #2469216NS33QG6LXH"/>
        <s v="HY-VEE OVERLAND PARK 1509OVERLAND PARKKS REF #2413746NS0141Q7RJ"/>
        <s v="JCPENNEY 2990 OVERLAND PARKKS REF #2443106NTR7MDW0ZH"/>
        <s v="JOES KANSAS CITY BBQ-LEA olo.com KS REF #2405522NSBLPJQMSQ"/>
        <s v="KUM&amp;GO 1113 AMES AMES IA REF #2469216NT32FXWQGV"/>
        <s v="QT 204 KANSAS CITY MO REF #2469216NT32JFSNHB"/>
        <s v="QT 204 KANSAS CITY MO REF #2469216NT32JGDPLE"/>
        <s v="SP MAVI USA HTTPSMAVIGIYINY REF #2449216NS001PRQQ2"/>
        <s v="SP SENDJOESKCBBQ SENDJOESBARBQKS REF #2449216NT000SGK7W"/>
        <s v="SP SOTA CLOTHING SPENCEDESIGNSMN REF #2449216NS0017Q96A"/>
        <s v="AMZN Mktp US*HW68316W2 Amzn.com/billWA REF #2469216NW34J15NX9"/>
        <s v="AMZN MKTP US*HW68K9KO2 AMZN.COM/BILLWA_x000a_HYP525HEEVI"/>
        <s v="PAYPAL *DOMINO'S 1931 402-935-2244 CA"/>
        <s v="Sorel Footwear US 888-6976735 OR REF #2420429NW00N78A4T"/>
        <s v="AMAZON.COM AMZN.COM/BILL AMZN.COM/BILLWA REF #7443106NW2D9P975P"/>
        <s v="AMZN MKTP US AMZN.COM/BILLWA_x000a_1RP2F7L7TT2"/>
        <s v="AMZN MKTP US AMZN.COM/BILLWA_x000a_4KDH6DF3KI8"/>
        <s v="AMZN MKTP US AMZN.COM/BILLWA_x000a_A2522MV4EOE"/>
        <s v="CASEYS #2550 OSCEOLA IA REF #2444500NW8PY02J8H"/>
        <s v="HAMPTON INN OVERLAND OVERLAND PARKKS REF #2490604NW16PRY0JL"/>
        <s v="KUM&amp;GO 0302 CLEAR LA CLEAR LAKE IA REF #2469216NW34NW7JNT"/>
        <s v="TST* Zombie Burger EV Des Moines IA REF #2469216NW34NEL0A7"/>
        <s v="PAYMENT - THANK YOU REF #7473457NY00XTMJG1"/>
        <s v="AMZN Mktp US Amzn.com/billWA REF #7469216NX35JLD8GE"/>
        <s v="AMZN Mktp US Amzn.com/billWA REF #7469216NX35LNYMM8"/>
        <s v="ANNTAYLOR LOFT.COM #61 800-342-5266 CT REF #2443106NX2DDL0W30"/>
        <s v="BLUEFIN BAY FAMILY OF TOFTE MN REF #2400097NX31KB4JPF"/>
        <s v="Deposit Dividend Split Rate Annual Percentage Yield Earned 0.58% from 11/01"/>
        <s v="Deposit Dividend Split Rate Annual Percentage Yield Earned 1.50% from 11/01"/>
        <s v="PAYPAL *EDDIE BAUER 402-935-7733 CA"/>
        <s v="TARGET 00008623 CHANHASSEN MN REF #2416407NX2LR7YN7V"/>
        <s v="AMAZON MUSIC*4O2665TA3 888-802-3080 WA_x000a_2PN2CPFJMG5"/>
        <s v="AMZN MKTP US*JT2JV42Z3 AMZN.COM/BILLWA_x000a_6XWJA8JZ3U6"/>
        <s v="Deposit ACH CARGILL INCORPOR TYPE: 005XXXXXXX ID: 2410177680 CO: CARGILL IN"/>
        <s v="ORDWAY CENTER FOR THE PERSAINT PAUL MN REF #2471705NZ4ES7H0YL"/>
        <s v="SPEEDWAY 04366 EXCELSIOR MN REF #2413746NZ010KX8ST"/>
        <s v="Withdrawal Home Banking Transfer To Loan 02 REF # 1940599"/>
        <s v="Payments Home Banking Transfer From Share 70 REF # 1940599"/>
        <s v="Draft 2352 Tracer XX3043"/>
        <s v="AMAZON.COM*T96FH3OH3 AMZN.COM/BILLWA_x000a_59HSQXQ7KP9"/>
        <s v="CUB FOODS CHANHASSEN MN REF #2442733NZM83KBXG4"/>
        <s v="LUNDS&amp;BYERLYS CHANH CHANHASSEN MN REF #2442733NZM83KWYMA"/>
        <s v="TM *PAW PATROL LIVE HE 800-653-8000 CA REF #2469216NZ2XSZVA36"/>
        <s v="USPS PO 2616400317 CHANHASSEN MN REF #2413746P0012D56EF"/>
        <s v="AMAZON.COM*4O8Y52KK3 AMZNAMZN.COM/BILLWA REF #2443106P02DK8JFRK"/>
        <s v="AMZN MKTP US*0F0807XI3 AMZN.COM/BILLWA_x000a_921W57VCN7A"/>
        <s v="CARIBOU COFFEE CO #116 CHANHASSEN MN REF #2444500P0EHZ6715F"/>
        <s v="COUNTRY CLUB LANES EXCELSIOR MN REF #2413829P160T2JMPB"/>
        <s v="CUB FOODS #1636 SHOREWOOD MN REF #2442733P0M83SLKJH"/>
        <s v="EVEREVE - 60 HOPKINS MN REF #2426979P1EJ9HSVYN"/>
        <s v="HBRSUBSCRIPTION 800-988-0886 MA REF #2449215P0LW6RZN9L"/>
        <s v="LOFT 1598 RIDGEDALE CENT MINNETONKA MN REF #7443106P1LHGE6LVA"/>
        <s v="MAYNARDS R* MAYNARDS E MAYNARDSEXCELMN REF #2449216P2000543KR"/>
        <s v="SHUTTERFLY, INC. 650-610-5200 CA REF #2449215P0LW5M7KAX"/>
        <s v="AMZN MKTP US*S71FT9V33 AMZN.COM/BILLWA_x000a_ALAYA7Q4FN2"/>
        <s v="TARGET 00008623 CHANHASSEN MN REF #2416407P22LRFX6Z4"/>
        <s v="SHUTTERFLY, INC. 650-610-5200 CA REF #2449215P4LR3FGF3J"/>
        <s v="TST* Pub 819 Hopkins MN REF #2469216P32Y9EWASH"/>
        <s v="Withdrawal ACH Coinbase.com TYPE: RUJZ4A7V ID: 1455293997 CO: Coinbase.com "/>
        <s v="AMZN MKTP US*UT19U6AO3 AMZN.COM/BILLWA_x000a_33YRBS4JKJJ"/>
        <s v="THE NORMAL BRAND THENORMALBRANMO REF #2449216P40015ZQTM"/>
        <s v="AMZN MKTP US*1U9W93F23 AMZN.COM/BILLWA_x000a_5BOGRJJPR0D"/>
        <s v="AMZN MKTP US*J54GF2LV3 AMZN.COM/BILLWA_x000a_6OT1T4QO7YE"/>
        <s v="AMZN MKTP US*SO6C98SQ3 AMZN.COM/BILLWA_x000a_5GAGSZONNUS"/>
        <s v="AMZN MKTP US*W64EH7LE3 AMZN.COM/BILLWA_x000a_JTVCHD5ET6F"/>
        <s v="KWIK TRIP 40200004028 CHANHASSEN MN REF #2416407P5L3HGPBVB"/>
        <s v="KWIK TRIP 40200004028 CHANHASSEN MN REF #2416407P5L3L9LD65"/>
        <s v="SCHOOL PICTURES WWW.STRAWBRIDNC REF #2449216P60001AYLA"/>
        <s v="All Seasons Garment Care Excelsior MN REF #2419304P702ZAF769"/>
        <s v="AMZN MKTP US*887HN7G53 AMZN.COM/BILLWA_x000a_PD64VRQK10G"/>
        <s v="LYFT RIDE WED 7PM 855-865-9553 CA REF #2449215P6LRQPDSMP"/>
        <s v="PELOTON* MEMBERSHIP HTTPSWWW.ONEPNY REF #2401134P600133VG2"/>
        <s v="RIDGEVIEW MEDICAL CENTER WACONIA MN REF #2480197P610J8RKYH"/>
        <s v="U OF M-EVENTS ARB CHASKA MN REF #2413829P72MQEJMQQ"/>
        <s v="AMZN MKTP US*RD6OK2PY3 AMZN.COM/BILLWA_x000a_1V07F8CECZ8"/>
        <s v="HY-VEE EAGAN 1165 EAGAN MN REF #2413746P90109SMDP"/>
        <s v="Kids Hair - CH Chanhassen MN REF #2479338P70277MT96"/>
        <s v="SP SOTA CLOTHING 195-23814230 MN REF #2449216P8001FNY5H"/>
        <s v="SQ *FORGE AND FOUNDRY DISStillwater MN REF #2469216P832PX615Y"/>
        <s v="SQ *WHATNOT ON MAIN Stillwater MN REF #2469216P832L75LYF"/>
        <s v="SQ *WHATNOT ON MAIN Stillwater MN REF #2469216P832L7FY70"/>
        <s v="TOTAL WINE AND MORE CHANHASSEN MN REF #2411641P8RBGJ6QS4"/>
        <s v="CHASKA CUB FOODS CHASKA MN REF #2442733P9LYPVBENP"/>
        <s v="LORA F&amp;B STILLWATER MN REF #2434285P90FWW3YFY"/>
        <s v="RIVER SIREN BREWING CO STILLWATER MN REF #2427539P9S66GZ10Q"/>
        <s v="SPEEDWAY 04095 CHASKA MN REF #2413746PA019SD6GJ"/>
        <s v="THE VELVETEEN 651-2807715 MN REF #2410085P9S66FVQM6"/>
        <s v="TO GO AMOCO STILLWATER MN REF #2419304PA000G6TM6"/>
        <s v="UBER EATS HELP.UBER.COMCA REF #2449215PAML05PHL9"/>
        <s v="PAYMENT - THANK YOU REF #7473457PB00XTMJG6"/>
        <s v="BRICK &amp; BOURBON- STILLWATSTILLWATER MN REF #2455193PA0GRWQ7D0"/>
        <s v="CENTURYLINK LUMEN 800-244-1111 LA REF #2469216PA344RXB26"/>
        <s v="Hotel Crosby 651-9677100 MN REF #2401339PA01AHWX2D"/>
        <s v="TARGET 00008623 CHANHASSEN MN REF #2416407PA2LRFPD4X"/>
        <s v="AMZN MKTP US*P651B6RW3 AMZN.COM/BILLWA_x000a_5T8X7MSDAMN"/>
        <s v="CUB FOODS 1636 952-380-9900 MN REF #2423168PB2DG0A6L0"/>
        <s v="HOBBY-LOBBY #686 BLOOMINGTON MN"/>
        <s v="SQ *GOGLOW Edina MN REF #2469216PB34TNZX2L"/>
        <s v="JJ`S POKE EDINA MN REF #2445351PQ0VYERFFZ"/>
        <s v="JORDAN SUPPER CLUB JORDAN MN REF #2480197PQ8AL28SLT"/>
        <s v="SP MAVI USA HTTPSMAVIGIYI NY CREDIT REF #2449216PQ000HTR55"/>
        <s v="Draft 2355 Tracer XX1844"/>
        <s v="AMZN MKTP US*PD80C60B3 AMZN.COM/BILLWA_x000a_YCXVYJZZ95D"/>
        <s v="All Seasons Garment Care Excelsior MN REF #2419304PG030D79NB"/>
        <s v="KAISUSHI MINNETONKA KAISUSHIGRILLMN REF #2449216PG0002M2WW"/>
        <s v="MARATHON PETRO14456 MINNETONKA MN_x000a_APPLE PAY ENDING IN 3050"/>
        <s v="SHOREWOOD TRUE VALUE EXCELSIOR MN REF #2480197PGBMDQFJ4S"/>
        <s v="SQ *ENKI BREWING COMPANY Victoria MN REF #2469216PF2Y78FWYB"/>
        <s v="Vics Bar and Grill Victoria MN REF #2419304PF030BXZ1T"/>
        <s v="AMZN MKTP US*9C0Q50EZ3 AMZN.COM/BILLWA_x000a_4F9QPMUHZAA"/>
        <s v="PRIME VIDEO *3L6ZF81F3 888-802-3080 WA_x000a_273DHTO646R"/>
        <s v="Alden and Harlow Cambridge MA REF #2434285PH0GRV01AD"/>
        <s v="AVO*ADVOCARE INTL 800-542-4800 TX REF #2469216PH2ZZWT226"/>
        <s v="BOS TAXI 1278 BOSTON MA REF #2416407PH2LQY3LBJ"/>
        <s v="MACKENTHUN S MEATS &amp; DEL SAINT BONIFACMN"/>
        <s v="SHUTTERFLY, INC. 650-610-5200 CA REF #7449215PJMN17EN5B"/>
        <s v="SQ *LORD HOBO BREWING WOBWoburn MA REF #2469216PJ30ME5XNR"/>
        <s v="UBER TRIP HELP.UBER.COMCA REF #2449215PHML3T2QZX"/>
        <s v="WHOLESOME FRESH MA CAMBRIDGE MA REF #2425138PH0VZBLK2H"/>
        <s v="AMZN Mktp US*FQ8TX70W3 Amzn.com/billWA REF #2469216PJ317PD1KT"/>
        <s v="AMZN Mktp US*HA8JE17N0 Amzn.com/billWA REF #2469216PJ317G9EFK"/>
        <s v="AMZN MKTP US*JE53Z3I53 AMZN.COM/BILLWA_x000a_XDKZWBWA423"/>
        <s v="BONFES PLUMBING HEATING A651-3326633 MN REF #2427539PJS66GY727"/>
        <s v="CUB FOODS CHANHASSEN MN REF #2442733PJM83JY80B"/>
        <s v="Netflix.com 866-5797172 CA REF #2490641PJ4R1ND4PN"/>
        <s v="SP KEVINS OUTDOORS HTTPSKEVINSCAGA REF #2449216PJ001A2Z5H"/>
        <s v="AMZN MKTP US AMZN.COM/BILLWA_x000a_28OY7N5GSAK"/>
        <s v="BCS*MINNETONKA COMMUNITY 952-401-6800 MN REF #2413746PL01VBM74V"/>
        <s v="CUB FOODS 01644 952-934-1010 MN REF #2423168PK2DDXHWQ2"/>
        <s v="DUNKIN #308352 Q35 BOSTON MA REF #2494300PLRQEBK8VK"/>
        <s v="LULULEMONCOM* 877-263-9300 CA REF #2469216PK31JZQLA6"/>
        <s v="UBER TRIP HELP.UBER.COMCA REF #2449215PKLS95JPME"/>
        <s v="Deposit Home Banking Transfer From Share 70 REF # 2283752"/>
        <s v="HILTON BOSTON WOBURN WOBURN MA REF #2405523PL11H4DMQR"/>
        <s v="MSP AIRPORT PARKING SAINT PAUL MN REF #2403454PL02G8D8RG"/>
        <s v="NESPRESSO USA 888-637-7737 NY REF #2469216PL32VB572R"/>
        <s v="Withdrawal at ATM #000000002027 Wells Fargo Bank XXXXXXX Hwy 7 Chanhassen M"/>
        <s v="Withdrawal Home Banking Transfer To Share 12 REF # 2283752"/>
        <s v="All Seasons Garment Care Excelsior MN REF #2419304PN031412GS"/>
        <s v="ALLEGNT AIR,FHZ 702-5058888 NV REF #2400097PM64DBGAQS"/>
        <s v="AMERICAN AI 0012337602985800-433-7300 TX REF #7471705PNTDJRNP7T"/>
        <s v="AMERICAN AI 0012337602986800-433-7300 TX REF #7471705PNTDJRNP81"/>
        <s v="AMERICAN AI 0012337602987800-433-7300 TX REF #7471705PNTDJRNP89"/>
        <s v="AMERICAN AI 0012337602988800-433-7300 TX REF #7471705PNTDJRNP8H"/>
        <s v="CUB FOODS 01644 952-934-1010 MN REF #2423168PN2DERB3MT"/>
        <s v="CUB FOODS 01644 CUB.COM MN REF #2423168PN2D9PH1AA"/>
        <s v="D J*WALL-ST-JOURNAL 800-568-7625 MA REF #2469216PN342FNSVX"/>
        <s v="DELTA AIR 0062167901070CINCINNATI OH REF #2471705PNTDJR07BT"/>
        <s v="DELTA AIR 0062167901071CINCINNATI OH REF #2471705PNTDJR07Q1"/>
        <s v="LIONS TAP EDEN PRAIRIE MN REF #2426979PM8PYP3DKV"/>
        <s v="PRIME VIDEO *HO8FV1QR0 888-802-3080 WA_x000a_696YKU1S2YK"/>
        <s v="TW&amp;M 1606 DIGITAL https://www.fMN REF #2411641PNBMDFB37Q"/>
        <s v="Evereve 877-2906262 MN REF #2490641PP4RQHH1SZ"/>
        <s v="KWIK TRIP 88600008862 CHASKA MN REF #2416407PPL3HJES90"/>
        <s v="SAKS 212-320-4700 NY REF #2469216PP34ED0M1T"/>
        <s v="AMAZON.COM*J58V94W23 AMZN.COM/BILLWA_x000a_7442TB4P6SE"/>
        <s v="AMZN MKTP US*F39X675O3 AMZN.COM/BILLWA_x000a_7IHOGZ8NNJ7"/>
        <s v="AMZN Mktp US*LK3UX1DU3 Amzn.com/billWA REF #2469216PR34XN619V"/>
        <s v="PAYMENT - THANK YOU REF #7473457PS00XTMJG6"/>
        <s v="JERSEY MIKES ONLINE ORDE 732-223-4044 NJ REF #2473309PT2E026H4Z"/>
        <s v="AMZN Mktp US*N980R3OU3 Amzn.com/billWA REF #2469216PS2X5QM659"/>
        <s v="AMZN Mktp US*XO0CO0XD3 Amzn.com/billWA REF #2469216PS2X55AK03"/>
        <s v="CUB FOODS CHANHASSEN MN REF #2442733PSM83Q35BM"/>
        <s v="RUDY LUTHER TOYOTA GOLDEN VALLEYMN"/>
        <s v="ANNTAYLOR.COM #611 800-342-5266 CT REF #2443106PV2DAJSEZQ"/>
        <s v="BUCK HILL WEBSITE 952-4357174 MN "/>
        <s v="BUCK HILL WEBSITE REF #030081"/>
        <s v="DELTA AIR 0062355800572 DELTA.COM CA "/>
        <s v="INEFFABLE BREWING COMP"/>
        <s v="PAYPAL *FREE FLY"/>
        <s v="RIDGEVIEW MEDICAL CENT REF #030115"/>
        <s v="AMZN Mktp US Amzn.com/billWA REF #7469216PW2YW12XL9"/>
        <s v="AMZN Mktp US Amzn.com/billWA REF #7469216PX2YYAVHVP"/>
        <s v="AMZN Mktp US Amzn.com/billWA REF #7469216PX2YYSPZBW"/>
        <s v="AMZN Mktp US*FE0Q01QM3 Amzn.com/billWA REF #2469216PX2YWATYQ3"/>
        <s v="CARIBOU COFFEE CO #130"/>
        <s v="COOLER CLEANSE 212-531-3111 NY REF #2480197PW8B2XJT0V"/>
        <s v="CUB FOODS 01644 952-934-1010 MN REF #2423168PW2DF1WQM1"/>
        <s v="Deposit Dividend Split Rate Annual Percentage Yield Earned 0.71% from 12/01"/>
        <s v="Deposit Dividend Split Rate Annual Percentage Yield Earned 2.00% from 12/01"/>
        <s v="DOORDASH*REVIVAL WWW.DOORDASH.CA REF #2401134PW000FJFHL"/>
        <s v="EB 2023 KLONDIKE SLED 8014137200 CA REF #2449215PWMLGV1TDX"/>
        <s v="HOLIDAY STATIONS 0360"/>
        <s v="HOME2 SUITES EDEN PRAIRIE REF #031953"/>
        <s v="IMPARK00200118U ST. PAUL MN REF #2469216PW2YDAWS65"/>
        <s v="LULULEMONCOM* 877-263-9300 CA REF #2469216PW2YB6KMM1"/>
        <s v="PIZZA LUCE VI INC REF #031800"/>
        <s v="RIDGEVIEW MEDICAL CENTER WACONIA MN "/>
        <s v="TAP PLASTICS, INC. 888-8277330 CA REF #2427539PWS66FPZS0"/>
        <s v="THE HOME DEPOT #2812 EDEN PRAIRIE MN "/>
        <s v="THE HOME DEPOT #2812 REF #031514"/>
        <s v="WILLIAMS SONOMA 6137 MINNETONKA MN "/>
        <s v="WILLIAMS SONOMA 6137 REF #031783"/>
        <s v="AMAZON MUSIC*H06YQ2L23 888-802-3080 WA_x000a_2SZOGVT1ISL"/>
        <s v="CARIBOU COFFEE CO #116 REF #001280"/>
        <s v="LUNDS&amp;BYERLYS CHANHAS CHANHASSEN MN"/>
        <s v="PIZZA LUCE VI INC 952-767-0854 MN "/>
        <s v="Withdrawal Home Banking Transfer To Loan 02 REF # 2402682"/>
        <s v="Payments Home Banking Transfer From Share 70 REF # 2402682"/>
        <s v="CUB FOODS #1636 SHOREWOOD MN "/>
        <s v="HBRSUBSCRIPTION 800-988-0886 MA "/>
        <s v="SP MINNESOTA ICE MAZE MINNESOTAICEM MN "/>
        <s v="AMZN MKTP US*7B5D40OE3 AMZN.COM/BILLWA_x000a_73FWI3OC7KE"/>
        <s v="Deposit Adjustment Dividend Dec Div Correct"/>
        <s v="Hazard Insurance Disbursement (Primary Policy)"/>
        <s v="SP DR. DENNIS GROSS DRDENNISGROSS NY "/>
        <s v="WALGREENS #11690 WACONIA MN "/>
        <s v="OVERDRAFT TO INVESTOR CHECKING -5184"/>
        <s v="PAYMENT - THANK YOU "/>
        <s v="AMZN MKTP US*3B1CX1AO3 AMZN.COM/BILLWA_x000a_RBSNL6JW8EI"/>
        <s v="KWIK TRIP 40200004028 CHANHASSEN MN "/>
        <s v="VINEYARD VINES LLC 800-892- CREDIT "/>
        <s v="AMZN Mktp US Amzn.com/bill WA CREDIT "/>
        <s v="AMZN Mktp US*9494O9PR3 Amzn.com/bill WA "/>
        <s v="Deposit Home Banking Transfer From Share 12 REF # 2507049"/>
        <s v="ELITE NAILS LLC CHANHASSEN MN "/>
        <s v="TST* Nautical Bowls - Ede Eden Prairie MN "/>
        <s v="WILLIAMS-SONOMA.COM 800-541-1262 CA "/>
        <s v="Withdrawal Home Banking Transfer To Share 70 REF # 2507049"/>
        <s v="1 FEDEX 393182848998 MEMPHIS TN "/>
        <s v="Amazon Prime*AY4DK0A13 Amzn.com/bill WA "/>
        <s v="AMAZON.COM*5W3784XS3 AMZN.COM/BILLWA_x000a_QTZ0HRQE5SF"/>
        <s v="AMZN MKTP US*AI38Z2223 AMZN.COM/BILLWA_x000a_6A8KHTZRMB2"/>
        <s v="EVEREVE - 15 EDEN PRAIRIE MN CREDIT "/>
        <s v="MCDONALD'S F29004 EAGAN MN "/>
        <s v="PELOTON* MEMBERSHIP HTTPSWWW.ONEP NY "/>
        <s v="SOUTH LAKE PEDIATRICS 952-401-8300 MN "/>
        <s v="AMZN MKTP US*3S2M22PK3 AMZN.COM/BILLWA_x000a_3SCEF0PBKAY"/>
        <s v="AMZN MKTP US*TS7KY0QQ3 AMZN.COM/BILLWA_x000a_1LQ9UQ0COWA"/>
        <s v="FEDEX 393182952055 MEMPHIS TN "/>
        <s v="LAKEWINDS - CHANHASSEN CHANHASSEN MN_x000a_APPLE PAY ENDING IN 8856"/>
        <s v="ANNTAYLOR.COM #611 800-342- CREDIT "/>
        <s v="CUB FOODS #1636 SHOREWOOD MN_x000a_APPLE PAY ENDING IN 8856"/>
        <s v="CUB FOODS 01644 952-934-1010 MN_x000a_APPLE PAY ENDING IN 8856"/>
        <s v="FOUR SEASONS CAFE MAPLE GROVE MN "/>
        <s v="JIMMY JOHNS - 1184 - ECOM763-416-0301 MN "/>
        <s v="PARTY CITY 1152 MAPLE GROVE MN "/>
        <s v="ACT*Camp Fire MN 800-6634991 TX "/>
        <s v="AMZN MKTP US*4G9GJ1P33 AMZN.COM/BILLWA_x000a_2SH9LSN5F32"/>
        <s v="Deposit Home Banking Transfer From Share 01 REF # 2558556"/>
        <s v="RVT*MTKA PUB SCHLS-WEB 952-4015000 MN "/>
        <s v="SPEEDWAY 04095 CHASKA MN"/>
        <s v="SPEEDWAY 04366 EXCELSIOR MN "/>
        <s v="Withdrawal at ATM #000000005157 Wells Fargo Bank XXXXXXX 82nd St Chaska MN"/>
        <s v="Withdrawal Home Banking Transfer To Share 70 REF # 2558556"/>
        <s v="CENTURYLINK LUMEN 800-244-1111 LA "/>
        <s v="VINEYARD VINES LLC 800-892-4982 CT "/>
        <s v="Withdrawal ACH Coinbase.com TYPE: PRBYKY68 ID: 1455293997 CO: Coinbase.com "/>
        <s v="AMZN MKTP US AMZN.COM/BILLWA_x000a_1G8RTLYNFRP"/>
        <s v="AMZN MKTP US AMZN.COM/BILLWA_x000a_73YZXHKSHUV"/>
        <s v="BACHMAN'S INC.- EDEN PRA EDEN PRAIRIE MN "/>
        <s v="JEWELRY WORKS 763-5935758 MN "/>
        <s v="MISTER CAR WASH #606 - ST LOUIS PARK MN "/>
        <s v="Prime Video*0034Y1XV3 888-802-3080 WA "/>
        <s v="STORE*BIG BOWL WWW.DOORDASH. CA "/>
        <s v="THE HOME DEPOT #2825 CHASKA MN "/>
        <s v="TRADER JOE'S #710 QPS ST LOUIS PARKMN_x000a_APPLE PAY ENDING IN 8856"/>
        <s v="AMZN MKTP US*XS34L57H3 AMZN.COM/BILLWA_x000a_5ZSJT07FCKO"/>
        <s v="APPLE.COM/US 800-676-2775 CA "/>
        <s v="Kids Hair - CH Chanhassen MN "/>
        <s v="SHOREWOOD TRUE VALUE EXCELSIOR MN "/>
        <s v="AMZN MKTP US*BS1O01G93 AMZN.COM/BILLWA_x000a_19LS1L9AV4M"/>
        <s v="CITY OF EDINA MN EDINB EDINA MN "/>
        <s v="TAVERN 23 EDINA MN "/>
        <s v="THE LAKES RUNNING CO. EXCELSIOR MN "/>
        <s v="WENDY S 419 CHANHASSEN MN "/>
        <s v="AMAZON.COM*M19494OQ3 AMZN.COM/BILLWA_x000a_4RWSKFQM5SK"/>
        <s v="AMZN MKTP US*1B6S92DO3 AMZN.COM/BILLWA_x000a_338G6EUOOZ3"/>
        <s v="AMZN MKTP US*BU9U19CO3 AMZN.COM/BILLWA_x000a_1A35MT8BTW8"/>
        <s v="AMZN MKTP US*CH0L15WA3 AMZN.COM/BILLWA_x000a_7B13T54FYKR"/>
        <s v="AMZN Mktp US*3N66V9GD3 Amzn.com/bill WA "/>
        <s v="AMZN MKTP US*LT38G3HV3 AMZN.COM/BILLWA_x000a_204QOU9K41I"/>
        <s v="DicksSportingGoods.com Coraopolis PA "/>
        <s v="AMZN Mktp US*GZ7RZ8QX3 Amzn.com/bill WA "/>
        <s v="DICK'S CLOTHING&amp;SPORTING RICHFIELD    MN REF #74941350LN4RRBAXF"/>
        <s v="ELITE NAILS LLC          CHANHASSEN   MN REF #24717050L3FYEZFXQ"/>
        <s v="KAI'S SUSHI &amp; GRILL      CHANHASSEN   MN REF #24239000KS66QTNQ2"/>
        <s v="SAKS                     212-320-4700 NY REF #74692160K32KP1MJH"/>
        <s v="PAYMENT - THANK YOU REF #74734570N00XTMJG6"/>
        <s v="BONFES PLUMBING HEATING A651-3326633  MN REF #24275390LS66HMKE6"/>
        <s v="D J*WALL-ST-JOURNAL      800-568-7625 MA REF #24692160M34407S6E"/>
        <s v="KWIK TRIP  40200004028   CHANHASSEN   MN REF #24164070LL3HLYJ59"/>
        <s v="MAYNARD'S EXCELSIOR      EXCELSIOR    MN REF #24801970L61NH9AF9"/>
        <s v="Netflix.com              866-5797172  CA REF #24906410L4S41Z8YS"/>
        <s v="SOUTH LAKE PEDIATRICS    MINNETONKA   MN REF #74137460L01DK3LW6"/>
        <s v="LULUS PIZZERIA II        EXCELSIOR    MN REF #24013390N029X8JDR"/>
        <s v="BUCK HILL WEBSITE        952-4357174  MN REF #24013390P02QF5MHY"/>
        <s v="SAWYER* BOOKING FEE      HTTPSWWW.HISANY REF #24492160P0016BX7P"/>
        <s v="SAWYER* LASENDASPANIS    LASENDASPANISNY REF #24492160P00165BM7"/>
        <s v="AMZN MKTP US AMZN.COM/BILLWA_x000a_4JN4NP89E56"/>
        <s v="AMZN MKTP US*687QO5SQ3 AMZN.COM/BILLWA_x000a_58XV0OAILTL"/>
        <s v="AMZN MKTP US*GM0LL4MZ3 AMZN.COM/BILLWA_x000a_TJV29QR2ONT"/>
        <s v="AMZN MKTP US*ZU4LP6Z13 AMZN.COM/BILLWA_x000a_6SY3IF4FMJI"/>
        <s v="COV WAYZATA WAYZATA MN"/>
        <s v="AMZN Mktp US             Amzn.com/billWA REF #74692160T2XHPPVXT"/>
        <s v="AMZN Mktp US             Amzn.com/billWA REF #74692160T2XHTS6E1"/>
        <s v="AMZN MKTP US*HA1374FV3 AMZN.COM/BILLWA_x000a_5PMTQQQJJUL"/>
        <s v="LIONS TAP                952-9345299  MN REF #24000970TA6DSYQTM"/>
        <s v="WAYZATA CAFE WAYZATA MN_x000a_APPLE PAY ENDING IN 8856"/>
        <s v="WAYZATA COFFEE           WAYZATA      MN REF #24943000SW6BHR854"/>
        <s v="Withdrawal ACH DISCOVER BANK TYPE: NET/MOBILE ID: 4510020271 CO: DISCOVER B"/>
        <s v="AMZN MKTP US*NB6RW3VZ3 AMZN.COM/BILLWA_x000a_4XP3GBJ71Y1"/>
        <s v="KWIK TRIP  40200004028   CHANHASSEN   MN REF #24164070SL3HMFM5R"/>
        <s v="WAYZATA COFFEE           WAYZATA      MN REF #24943000VW5H57LZK"/>
        <s v="AMZN MKTP US*2O1RF8973 AMZN.COM/BILLWA_x000a_1AIKYAAJ5TG"/>
        <s v="KOWALSKI'S EXCELSIOR MAR EXCELSIOR MN_x000a_APPLE PAY ENDING IN 8856"/>
        <s v="DOMINO'S 1931            EXCELSIOR    MN REF #24445000WEJ0BS8AE"/>
        <s v="TST* Revival - St. Louis St Louis ParkMN REF #24692160X2X4T5S2P"/>
        <s v="AMZN MKTP US*N33V53WK3 AMZN.COM/BILLWA_x000a_1JR3HY5EU7E"/>
        <s v="AMZN MKTP US*PR6Z75NG3 AMZN.COM/BILLWA_x000a_6JIC3YDA5KA"/>
        <s v="AMZN MKTP US*VQ1WG8LI3 AMZN.COM/BILLWA_x000a_78YUGC9GJQS"/>
        <s v="PRIMP EXCELSIOR          EXCELSIOR    MN REF #24493980YBLRZ6ZXA"/>
        <s v="PRIMP EXCELSIOR          EXCELSIOR    MN REF #24493980YBLRZ6ZXV"/>
        <s v="TONKA TD CLUB            MINNETONKAFOOMN REF #24492160X000PZ352"/>
        <s v="TST* FAT PANTS BREWING COEDEN PRAIRIE MN REF #24137460XEJGB522X"/>
        <s v="AMZN MKTP US AMZN.COM/BILLWA_x000a_1EE9XHQPN0R"/>
        <s v="AMZN MKTP US AMZN.COM/BILLWA_x000a_72C7ESB3TOD"/>
        <s v="AMZN MKTP US AMZN.COM/BILLWA_x000a_WAN2UAWAF28"/>
        <s v="AMZN MKTP US*IM1FC5R13 AMZN.COM/BILLWA_x000a_4MCNHJTXMDN"/>
        <s v="AMZN MKTP US*W60YM1F03 AMZN.COM/BILLWA_x000a_16PD1IU91L8"/>
        <s v="AMZN MKTP US*WE9AR4IV3 AMZN.COM/BILLWA_x000a_2QPTTBS91GI"/>
        <s v="AMZN MKTP US*YX1EK7943 AMZN.COM/BILLWA_x000a_3BV8ATO209J"/>
        <s v="Deposit Dividend 0.010% Annual Percentage Yield Earned 0.01% from 01/01/23 "/>
        <s v="Deposit Dividend Split Rate Annual Percentage Yield Earned 1.63% from 01/01"/>
        <s v="DUNKIN #355310 Q35       MINNETRISTA  MN REF #24943000ZRQEB9K31"/>
        <s v="HAZELWOOD FOOD &amp; DRINK -TEXCELSIOR    MN REF #24013390Y033T1KMY"/>
        <s v="JOE  THE JUICE NEW YORK  784-1913065  NY REF #24204290Y01FN8SAA"/>
        <s v="Patagonia                Cambridge    MA REF #24204290Y020SY0QP"/>
        <s v="UBER   TRIP              HELP.UBER.COMCA REF #24492150ZLXSK873A"/>
        <s v="AMAZON MUSIC*UH8WH6AE3 888-802-3080 WA3VNK4N4QF3J"/>
        <s v="AMZN MKTP US AMZN.COM/BILLWA2JTWSFJ3B8Z"/>
        <s v="AMZN MKTP US AMZN.COM/BILLWA3BCK8M1HCA2"/>
        <s v="AMZN MKTP US AMZN.COM/BILLWA58MQ6RH0RKI"/>
        <s v="AMZN MKTP US AMZN.COM/BILLWAW2ZPVKZH8SL"/>
        <s v="AMZN MKTP US*P519D96P3 AMZN.COM/BILLWA1Z9KGQJ7VS7"/>
        <s v="CREATIVE MOBIL10510014   BOSTON       MA REF #24164070Z2L8MQJ0X"/>
        <s v="RIDGEVIEW MEDICAL CENTER WACONIA      MN REF #24801970Z1010P73W"/>
        <s v="RIDGEVIEW MEDICAL CENTER WACONIA      MN REF #24801970Z1010R41M"/>
        <s v="RIDGEVIEW MEDICAL CENTER WACONIA      MN REF #24801970Z1010RNN6"/>
        <s v="UBER   TRIP              HELP.UBER.COMCA REF #24492150ZLR9F4145"/>
        <s v="UBER* TRIP               WWW.UBER.COM CA REF #24492160Z00177BQ0"/>
        <s v="US LACROSSE INC         410-235-6882 MD REF #24492150ZMN4PAGKG"/>
        <s v="VINEYARD VINES LLC       800-892- CREDIT REF #74492150ZMN45VW77"/>
        <s v="VINEYARD VINES LLC       800-892- CREDIT REF #74492150ZMN45VYNE"/>
        <s v="Withdrawal Home Banking Transfer To Loan 02 REF # 2863242"/>
        <s v="EB GRAZE 4 GOOD 2023     8014137200   CA REF #244921511MLEZK61E"/>
        <s v="HILTON BOSTON WOBURN     WOBURN       MA REF #24055231011H4FGV3"/>
        <s v="LSF HARBORSIDE           BOSTON       MA REF #24055231060MPVRDA"/>
        <s v="UBER   TRIP              HELP.UBER.COMCA REF #244921510MLBDK9VS"/>
        <s v="UBER   TRIP              HELP.UBER.COMCA REF #244921510MN7R941N"/>
        <s v="PAYMENT - THANK YOU REF #74734571200XTMJG2"/>
        <s v="HBRSUBSCRIPTION          800-988-0886 MA REF #244921511LRJ0EJG1"/>
        <s v="Just Eat                 London       GB REF #7498750120116BBN7"/>
        <s v="LIFE TIME CAFE 151Q48    868-284-0048 MN REF #2469216112ZY1JS3Z"/>
        <s v="MAYNARD'S EXCELSIOR EXCELSIOR MN"/>
        <s v="PALENQUE HOTEL           ACCOUNTING@ISPB REF #7461219110YSVZN5K"/>
        <s v="PRAIRIE LAWN AND GARDEN, EDEN PRAIRIE MN"/>
        <s v="KOWALSKI'S EXCELSIOR MAR EXCELSIOR MNAPPLE PAY ENDING IN 8856"/>
        <s v="PRIME VIDEO *DR48P45L3 888-802-3080 WA25P789SXL2R"/>
        <s v="TOTAL WINE AND MORE MINNETONKA MN"/>
        <s v="TST* DUKES ON 7 612-205-3286 MNAPPLE PAY ENDING IN 885600017403010268983968"/>
        <s v="BALANCE TRANSFER FOR ACCT ENDING IN 9181 REF #00000000000ATNEWA"/>
        <s v="SQ *WINGMAN MATT LLC GOSQ.COM MN0002305843017010247113"/>
        <s v="Amazon Prime*F84NX9293   Amzn.com/billWA REF #&amp;F56620015000IXFRL"/>
        <s v="AMZN MKTP US*DB57A2BP3 AMZN.COM/BILLWA1SWTN6Z4X0J"/>
        <s v="MSP AIRPORT PARKING      SAINT PAUL   MN REF #&amp;F56620015000IXFRL"/>
        <s v="RENAISSANCE HTLS WATER   BOSTON       MA REF #&amp;F56620015000IXFRL"/>
        <s v="THE ORVIS COMPANY INC    800-635-7635 VT REF #&amp;F56620015000IXFRL"/>
        <s v="Withdrawal Debit Card EDEN PRARIE FOOD AND GAS EDEN PRARIE MN Date 02/05/23"/>
        <s v="Withdrawal Home Banking Pmt to card XXXXXXXXXXXX-5913"/>
        <s v="PAYMENT - THANK YOU REF #74734571600XTMJG8"/>
        <s v="AMAZON.COM*H91BY6UQ0 AMZN.COM/BILLWA5U0WPJ38M9G"/>
        <s v="AMZN MKTP US*D39K169E3 AMZN.COM/BILLWA78T7FO417U3"/>
        <s v="AMZN MKTP US*WG8SZ68D3 AMZN.COM/BILLWA5KUY9GPF9G0"/>
        <s v="AMZN MKTP US*Y69LQ24V3 AMZN.COM/BILLWA3X6HUKFB7VN"/>
        <s v="RIDGEVIEW MEDICAL CENTER 7635593779 MN"/>
        <s v="SP GRAYHOMELIFESTYLE 9524749150 MN"/>
        <s v="SP OOH LA LA LLC 9524741743 MN"/>
        <s v="AMZN MKTP US AMZN.COM/BILLWA4LJ8060YIPU"/>
        <s v="AMZN MKTP US AMZN.COM/BILLWA5IKI7V2WJT6"/>
        <s v="AMZN MKTP US AMZN.COM/BILLWA6AZBHD6C6M4"/>
        <s v="AMZN MKTP US AMZN.COM/BILLWA6ET8X85GH7T"/>
        <s v="AMZN MKTP US AMZN.COM/BILLWA6LAEYA10HQX"/>
        <s v="AMZN MKTP US AMZN.COM/BILLWAZ6F8GH8H22I"/>
        <s v="AMZN MKTP US*1R9TR70S3 AMZN.COM/BILLWA37C4E9C06B5"/>
        <s v="AMZN MKTP US*H93C09Y40 AMZN.COM/BILLWA6Z40N5XM5MR"/>
        <s v="AMZN MKTP US*I28F73K13 AMZN.COM/BILLWA4VRUZWH4U70"/>
        <s v="SQ *WINGMAN MATT LLC GOSQ.COM MN0002305843017023918588"/>
        <s v="PAYMENT - THANK YOU REF #74734571800XTMJG4"/>
        <s v="LANDRY MGT LOYALTY 800-394-3839 TX"/>
        <s v="AVO*ADVOCARE INTL 800-542-4800 TXAPPLE PAY ENDING IN 885691048590TDWTIBGQ"/>
        <s v="CUB FOODS 01644 952-934-1010 MNAPPLE PAY ENDING IN 8856"/>
        <s v="PELOTON* MEMBERSHIP      HTTPSWWW.ONEPNY REF #2401134190002AK24"/>
        <s v="BUDDY BOY FINE BARBEQUE  877-8144102  MN REF #240372419S66EW80F"/>
        <s v="ELITE NAILS LLC          CHANHASSEN   MN REF #2471705198550H9T0"/>
        <s v="LAKEWINDS - CHANHASSEN   CHANHASSEN   MN REF #24055231ARBGRK1KP"/>
        <s v="MTKA YOUTH LAX           WWW.MTKALAX.OMN REF #2449216190013WT0Z"/>
        <s v="PARTY CITY BOPIS         800-727-8924 NJ REF #24692161A35WJ6EX8"/>
        <s v="SPEEDWAY 04159           EDEN PRAIRIE MN REF #24137461B01B9V29J"/>
        <s v="SQ *MAYNARDS             Shorewood    MN REF #24692161A368X4KS7"/>
        <s v="AMZN MKTP US*H91XZ1RI2 AMZN.COM/BILLWA3B2X6EIBGCY"/>
        <s v="CASHSTAR STARBUCKS GFT 877-850-1977 MEAPPLE PAY ENDING IN 8856744563969DVTN"/>
        <s v="MALL OF AMERICA          BLOOMINGTON  MN REF #24692161B2XE17ASD"/>
        <s v="SECURITY ADJUSTMENT (SD) REF #F5662001C000SD4F9"/>
        <s v="JIMMY JOHNS -923 - ECO CHANHASSEN MNAPPLE PAY ENDING IN 8856"/>
        <s v="METROPOLITAN ANESTHESIA  763-559-3779 MN REF #24801971QTQEBPQGM"/>
        <s v="AMZN MKTP US AMZN.COM/BILLWA6NRM1LXT3NE"/>
        <s v="CENTURYLINK LUMEN        800-244-1111 LA REF #24692161D2Z4F5VY8"/>
        <s v="Rey Azteca Mexican RestauChanhassen   MN REF #24193041E036NZ04Z"/>
        <s v="BLUEFIN GRILLE TOFTE MN"/>
        <s v="HASKELLS EXCELSIOR       952-4740935  MN REF #24540451F01MLVLXK"/>
        <s v="LUNDS&amp;BYERLYS CHANH      CHANHASSEN   MN REF #24427331EM83FXF7N"/>
        <s v="SPEEDWAY 04095           CHASKA       MN REF #24137461F01BH7GVN"/>
        <s v="SPEEDWAY 04095           CHASKA       MN REF #24137461F01BH7H1Q"/>
        <s v="WAYZATA CAFE             WAYZATA      MN REF #24943001FW5ZKA94V"/>
        <s v="FOSS SWIM SCHOOL         HTTPSWWW.FOSSMN REF #24011341F001B9K5J"/>
        <s v="LUTSEN MOUNTAINS         999-9999999  MN REF #24325451FS66FL7QS"/>
        <s v="SUPER ONE FOODS          DULUTH       MN REF #24427331FLYRNX1FW"/>
        <s v="SUPER ONE LIQUOR   SSS   DULUTH       MN REF #24427331FLYRNRX7A"/>
        <s v="BCS*MINNETONKA COMMUNITY 952-401-6800 MN REF #24137461H01FP3JVZ"/>
        <s v="ELMCC* EXCELSIOR CHAMB   HTTPSWWW.EXCEMN REF #24492161H0016W18Q"/>
        <s v="MOUNTAIN SHOPS INC      LUTSEN       MN REF #24275391GS66HF7E9"/>
        <s v="MOUNTAIN SHOPS INC      LUTSEN       MN REF #24275391GS66HF7ES"/>
        <s v="TST* CASTLE DANGER BREWERTWO HARBORS  MN REF #24137461GEJ934E3T"/>
        <s v="BLUEFIN BAY FAMILY OF    TOFTE        MN REF #24000971JD9KPXWM6"/>
        <s v="PAPA CHARLIES RSTRNT     LUTSEN       MN REF #24325451JS66KPBB0"/>
        <s v="ROSIES CAFE LUTSEN       LUTSEN       MN REF #24325451JS66G010S"/>
        <s v="ROSIES CAFE LUTSEN       LUTSEN       MN REF #24325451JS66G0GQF"/>
        <s v="SUMMIT CHALET            LUTSEN       MN REF #24325451JS66KYG2A"/>
        <s v="Withdrawal at ATM #000000002589 BMO HARRIS BANK NA 761 WEST 78TH STREET CHA"/>
        <s v="KWIK TRIP  44100004416   SHAKOPEE     MN REF #24164071KL3HEG6WS"/>
        <s v="SP FAHERTY               FAHERTY.MYSHONY REF #24492161K000SZBLK"/>
        <s v="TST* CANAL PARK BREWING CDULUTH       MN REF #24137461KEJD0SASH"/>
        <s v="TWEET PEDIATRIC DENTIS   CHANHASSEN   MN REF #24071051KVAMDT6YQ"/>
        <s v="Withdrawal ACH Coinbase.com TYPE: UMPR9WKS ID: 1455293997 CO: Coinbase.com "/>
        <s v="AMAZON.COM*HP2C95WZ0 AMZN.COM/BILLWA2KIE06S2P10"/>
        <s v="D J*WALL-ST-JOURNAL      800-568-7625 MA REF #24692161M340MYX14"/>
        <s v="AMZN Mktp US*HP3N741B2   Amzn.com/billWA REF #24692161M34ABJEW5"/>
        <s v="Netflix.com              866-5797172  CA REF #24906411M4WBE992V"/>
        <s v="SP MAVI USA              HTTPSMAVIGIYINY REF #24492161M000ZK3E1"/>
        <s v="LULULEMONCOM*            877-263-9300 CA REF #24692161N34PDXQJ9"/>
        <s v="PARK N FLY RESERVATIONS  goo.gl/gVdePhGA REF #24210731P2MA55Q8R"/>
        <s v="USPS PO 2616400317       CHANHASSEN   MN REF #24137461P00YGHV0S"/>
        <s v="AMZN MKTP US*HP8YI8R11 AMAMZN.COM/BILLWA REF #24431061R2E03N4GG"/>
        <s v="Kids Hair - CH           Chanhassen   MN REF #24793381P023W1W6J"/>
        <s v="LUNDS&amp;BYERLYS CHANH      CHANHASSEN   MN REF #24427331PM83TW4JP"/>
        <s v="MAYNARDS R* MAYNARDS E   MAYNARDSEXCELMN REF #24492161T00013D5R"/>
        <s v="VAIL PASS SALES 0374     888-838-0495 CO REF #24610431P03R3QRQX"/>
        <s v="AFTON ALPS F&amp;B           HASTINGS     MN REF #24431061TW69PGR37"/>
        <s v="AFTON ALPS F&amp;B           HASTINGS     MN REF #24431061TW6A9MD3M"/>
        <s v="AMZN Mktp US*HD93F2C41   Amzn.com/billWA REF #24692161T2XTBKHY9"/>
        <s v="CUB FOODS                CHANHASSEN   MN REF #24427331TM83B998B"/>
        <s v="SP FAHERTY               FAHERTY.MYSHONY REF #24492161S0000VJ6V"/>
        <s v="VAIL PASS SALES 0374     888-838-0495 CO REF #24610431T03R69175"/>
        <s v="Deposit Dividend Split Rate Annual Percentage Yield Earned 2.22% from 02/01"/>
        <s v="KWIK TRIP  40200004028   CHANHASSEN   MN REF #24164071SL3HF3EKF"/>
        <s v="SP FAHERTY               FAHERTY.MYSHONY REF #24492161S000FDPAF"/>
        <s v="TRADING POST             760-6996800  CA REF #24000971SEBDPWD18"/>
        <s v="Cash for cleaning"/>
        <s v="Withdrawal Ach College Savings Type: Ach Id: Xxxxx5818 Co: College Savings "/>
        <s v="Withdrawal Home Banking Transfer To Loan 02 Ref # Xxx3857"/>
        <s v="Payment - Thank You Ref #xxxx4571x00xtmjg8"/>
        <s v="Act*city Of Chanhassen Xxx-xxx1400 Mn Ref #xxxx3391w002mffs3"/>
        <s v="Act*city Of Chanhassen Xxx-xxx1400 Mn Ref #xxxx3391w002mfhmq"/>
        <s v="Cargill Inc"/>
        <s v="Fedex"/>
        <s v="Minneapolis-saint Paul International Airport"/>
        <s v="Raw And Juicy"/>
        <s v="Atl Sweetwater Bar &amp; G Xxx-xxx8810 Ga Ref #xxxx0971yevl4ps1t"/>
        <s v="Faherty Brand"/>
        <s v="Georges At Alys Beach Rosemary Beacfl Ref #xxxx3391z00qf3nhd"/>
        <s v="Georges At Alys Beach Rosemary Beacfl Ref #xxxx3391z00qf3p2f"/>
        <s v="Orvis"/>
        <s v="Playa Bowls"/>
        <s v="Sp Mavi Usa Httpsmavigiyiny Ref #xxxx2161y000grtm6"/>
        <s v="Sq *charlies Cafe At Rosesanta Rosa Befl Ref #xxxx2161y31he3t89"/>
        <s v="Beach &amp; Brew On 30a Seacrest Fl Ref #xxxxxx3200fv7k9lq"/>
        <s v="Pescado Seafood Grill Rosemary Beacfl Ref #xxxxx1020s66hqllv"/>
        <s v="Restaurant Paradis"/>
        <s v="Seacrest Sundries"/>
        <s v="Smallcakes 30a Inlet Beach Fl Ref #xxxxx9821bmbk8fm3"/>
        <s v="Surf Style"/>
        <s v="Tst* Third Cup Rosemary Beacfl Ref #xxxxx4620ejqqajde"/>
        <s v="Yd"/>
        <s v="Crabby Steves Inlet Beach Fl Ref #xxxxx9721f7xl9jtm"/>
        <s v="Crabby Steves Inlet Beach Fl Ref #xxxxx9721f7xl9k15"/>
        <s v="Sq *gifts Accessories &amp; Inlet Beach Fl Ref #xxxxxxx2133p9bm66"/>
        <s v="Withdrawal Ach Mhchildcarellc Type: Dues Id: Xxxxxx8198 Co: Mhchildcarellc "/>
        <s v="Cefco"/>
        <s v="La Cocina"/>
        <s v="The Hertz Corporation"/>
        <s v="Tst* Third Cup Rosemary Beacfl Ref #xxxxx4622ejbmm8rz"/>
        <s v="Tst* Third Cup Rosemary Beacfl Ref #xxxxx4622ejbmm8vh"/>
        <s v="Minnetonka Public Schools"/>
        <s v="Allegiant Air"/>
        <s v="All Seasons Garment Care Excelsior Mn Ref #xxxxxxxx6039g9fjt"/>
        <s v="Allied Parking-nordic Minneapolis Mn Ref #xxxxxxx2536qbprgg"/>
        <s v="Iron Tap"/>
        <s v="Park 'n Fly"/>
        <s v="Thr3 Jack Minneapolis Mn Ref #xxxxxxxx5600w6d7b"/>
        <s v="Act Cityof Waconia Waconia Mn Ref #xxxxxx6272yf017vf"/>
        <s v="Blvd *face Foundrie Waywayzata Mn Ref #xxxxx0027ej34e5bm"/>
        <s v="Blvd *face Foundrie Waywayzata Mn Ref #xxxxx0027ej34e5dy"/>
        <s v="Brookies Fish Market Saint Louis Pmn Ref #xxxxxx9272xkjpqs0"/>
        <s v="Sp Faherty Faherty.myshony Ref #xxxxxxxxx0008hq0x"/>
        <s v="Tst* The Grocers Table Wayzata Mn Ref #xxxxxx6272yed9m3d"/>
        <s v="Trinet"/>
        <s v="Payment - Thank You Ref #xxxx4572a00xtmjg3"/>
        <s v="Barclaycard Us"/>
        <s v="Discover Bank"/>
        <s v="Amazon Digital Services"/>
        <s v="Coinbase"/>
        <s v="Cargill"/>
        <s v="Jaxen Grey - Ridgedale Minnetonka Mn Ref #xxxx9792dejf4xxda"/>
        <s v="Sp Faherty Faherty.myshony Ref #xxxx2162q000hn5e1"/>
        <s v="Buddy Boy Bbq Minnetrista Mn Ref #xxxx9992es66df1zp"/>
        <s v="Withdrawal Ach Mn Dir Ach Type: Contrib Id: Xxxxxx7162 Co: Mn Dir Ach Name:"/>
        <s v="Wall Street Journal"/>
        <s v="Withdrawal Ach City Of Chanhass Type: Util Bill Id: Xxxxxx5331 Co: City Of "/>
        <s v="Bonfes Plumbing Heating Axxx-xxx6633 Mn Ref #xxxx5392gs66j2x1v"/>
        <s v="Sp Normal Brand Llc Thenormalbranmo Ref #xxxx2162g000r27gj"/>
        <s v="Asian Mart"/>
        <s v="Pei Wei Asian Diner"/>
        <s v="At&amp;t"/>
        <s v="Tst* Red Wagon Pizzaminneapolis Xxxxxxx3086 Restaurant"/>
        <s v="Online Payment - Thank You"/>
        <s v="Tst* Blvd Minnetonka Mn Ref #xxxx7462m2xx6wdqt"/>
        <s v="Hyatt"/>
        <s v="Jj S Poke Edina Mn Xxxxxxxxxxxxxx-xxx-3780"/>
        <s v="Lunds &amp; Byerlys"/>
        <s v="Tst* Nautical Bowls Victoria Mn Xxxxxxxxxxx Xxxxxx1039"/>
        <s v="Maynards R* Maynardsexcelsior Mn Nt_ncd07phz +xxxxxxx2469"/>
        <s v="Withdrawal At Atm #xxxxxxxxxxxx 435 Water St Excelsior Mn"/>
        <s v="Deposit Dividend Split Rate Annual Percentage Yield Earned 2.46% From 03/01"/>
        <s v="Food Truck Alley Saint Paul Mn 03xkdpv5d3e Xxxxxx0055"/>
        <s v="Publix"/>
        <s v="Smokin R's Bbq Naples Fl Rqdp9hw5zii Squareup.com/receipts"/>
        <s v="Withdrawal Home Banking Transfer To Loan 02 REF # 3832345"/>
        <s v="Amazon Music*HY9257YF0   888-802-3080 WA REF #24692162V302TS4ZQ"/>
        <s v="AMZN Mktp US*HS8HE9CE0   Amzn.com/billWA REF #24692162V305QQLWQ"/>
        <s v="SP NORMAL BRAND LLC THENORMALBRAN CREDIT REF #24492162S000H2HSP"/>
        <s v="Ruby Tuesday"/>
        <s v="SEAGULLCOVE LODGE        CHIRIQUI     PB REF #74505922X5KXEP17F"/>
        <s v="MINI SUPER DIYEAN        DAVID        PB REF #74345522X0SSKGHT7"/>
        <s v="SEAGULLCOVE LODGE        CHIRIQUI     PB REF #74505922Y5353H7JE"/>
        <s v="Palenque Hotel Chiriqu Ch Lodging"/>
        <s v="DFA TOCUMEN C2 39        TOCUMEN      PB REF #7421956320628NPZ1"/>
        <s v="KOTOWA COFFEE HOUSE-DA   CHIRIQUI     PB REF #7450592327TNFL481"/>
        <s v="PELOTON* MEMBERSHIP      HTTPSWWW.ONEPNY REF #240113432000YL3FG"/>
        <s v="SUNSHINE #43             MIAMI        FL REF #240032232MWBEWPA0"/>
        <s v="SUNSHINE #43             MIAMI        FL REF #240032232MWBEWPAG"/>
        <s v="7-ELEVEN 33973           FT MYERS     FL REF #24034543400YQVFJR"/>
        <s v="Deposit ACH DISCOVER BANK TYPE: PREARRANGE ID: 7510020271 CO: DISCOVER BANK"/>
        <s v="Grubhub.com"/>
        <s v="INTUIT *TURBOTAX         CL.INTUIT.COMCA REF #2469216352Y3MR9KX"/>
        <s v="CENTURYLINK LUMEN        800-244-1111 LA REF #2469216362Z6G4MQ4"/>
        <s v="HOMEDEPOT.COM            800-430-3376 GA REF #24943013609FJFEHB"/>
        <s v="HOMEDEPOT.COM            800-430-3376 GA REF #24943013609FL44N2"/>
        <s v="Withdrawal ACH MN DEPT OF REVEN TYPE: MN Rev pay ID: X416007162 CO: MN DEPT"/>
        <s v="Lakewinds Food Co-op"/>
        <s v="Creede Snowshoe Lodgcreede Co Xxxxxxxxxxxxxx-xxx-2315"/>
        <s v="Red Rabbit"/>
        <s v="The Monte Carlo 5455minneapolis Xxxxxxx3106 Dleegervais@gmail.com"/>
        <s v="Willy Mccoys Chaska Chaska Mn Xxxxxxx3106 Bar/nightclub"/>
        <s v="AMZN Mktp US*HJ5KY2862   Amzn.com/billWA REF #24692163930VZRM1K"/>
        <s v="CUB FOODS 01644          952-934-1010 MN REF #2423168382DDXJ2VM"/>
        <s v="Kowalski's Market"/>
        <s v="Scholastic Inc.         800-724-6527 NY REF #240095839HEXNL08H"/>
        <s v="SP FREEFLYAPPAREL HTTPSFREEFLYA S CREDIT REF #2449216390003V9SR"/>
        <s v="ANTHROPOLOGIE # 534 SAINT LOUIS P CREDIT REF #7444500392XN1VNBM"/>
        <s v="EB EXCELSIOR BLOODY M    8014137200   CA REF #24492153ALVXRRDDL"/>
        <s v="Amazon.com*HV9SI41Y0     Amzn.com/billWA REF #24692163B32FYGY23"/>
        <s v="Deposit ACH CONNECTYOURCARE TYPE: OPTUMCLAIM ID: 7261274092 CO: CONNECTYOUR"/>
        <s v="Deposit ACH MBI TYPE: SETL ID: 138XXXXXXX CO: MBI Entry Class Code: PPD ACH"/>
        <s v="WSJ/BARRONS SUBSCRIPTI   800-568-7625 NJ REF #24692163Q338HVEBA"/>
        <s v="PAYMENT - THANK YOU REF #74734573D00XTMJG2"/>
        <s v="All Seasons Garment Care Excelsior    MN REF #24193043D03EABZD4"/>
        <s v="AMZN Mktp US*HV4NL2GY1   Amzn.com/billWA REF #24692163D33ZWMV18"/>
        <s v="SP FAHERTY               FAHERTY.MYSHONY REF #24492163D0002YGNM"/>
        <s v="AMZN Mktp US*HV3DP5MF1   Amzn.com/billWA REF #24692163D34Q0H8VS"/>
        <s v="AMZN MKTP US*HV42G46I0 AMAMZN.COM/BILLWA REF #24431063D2DYH8B0W"/>
        <s v="AMAZON.COM*HF41A9C50 AMZNAMZN.COM/BILLWA REF #24431063F2DK9F0G7"/>
        <s v="BONFES PLUMBING HEATING A651-3326633  MN REF #24275393ES66HFEZZ"/>
        <s v="BP#1370200CHANHASSEN BP  CHANHASSEN   MN REF #24122543FMLWZ2SPE"/>
        <s v="Membership Fee"/>
        <s v="NETFLIX.COM              NETFLIX.COM  CA REF #24692163E34WTS5SH"/>
        <s v="SP UNRL.CO               UNRL.MYSHOPIFMN REF #24492163E000W4FFS"/>
        <s v="TARGET        00008623   CHANHASSEN   MN REF #24164073E2LR7RLVG"/>
        <s v="All Seasons Garment Care Excelsior    MN REF #24193043G03ETDWFG"/>
        <s v="AMC 0650 EDEN PRAIRIE    EDEN PRAIRIE MN REF #24431063H0HA9DBS1"/>
        <s v="AMC 0650 EDEN PRAIRIE    EDEN PRAIRIE MN REF #24431063H0HAEET4A"/>
        <s v="Deposit ACH IRS  TREAS 310 TYPE: TAX REF ID: 9111736946 CO: IRS TREAS 310 E"/>
        <s v="LEEANN CHIN 0163 EDEN PRA952-7462200  MN REF #24540453G01MM2MJ6"/>
        <s v="Pau Hana"/>
        <s v="RVT*MTKA PUB SCHLS-WEB   952-4015000  MN REF #24906413F50QFVT07"/>
        <s v="TOTALWINE 1606 DIGITAL   https://www.fMN REF #24116413HBMD9KZLY"/>
        <s v="Xxxxx00 - Republic Bst. Paul Mn Restaurant"/>
        <s v="ADIDAS US ONLINE STORE   800-9829337  OR REF #24443463J50JJ7X4N"/>
        <s v="ADIDAS US ONLINE STORE   800-9829337  OR REF #24443463J50JYY22J"/>
        <s v="AMZN Mktp US*HF1HG0JP1   Amzn.com/billWA REF #24692163J2YL7VW6Y"/>
        <s v="AMZN Mktp US*HF9K58XS0   Amzn.com/billWA REF #24692163J2YQXS3BQ"/>
        <s v="BELK.COM                 866-235-5443 NC REF #24445003KHEWXX9ZN"/>
        <s v="AMZN Mktp US*HF0AW8T42   Amzn.com/billWA REF #24692163K2Z6969ZA"/>
        <s v="AMZN MKTP US*HF3ZD92M0 AMAMZN.COM/BILLWA REF #24431063K2DKYN7E3"/>
        <s v="AMZN Mktp US*HF5E18V61   Amzn.com/billWA REF #24692163K2ZHEL74L"/>
        <s v="AMZN Mktp US*HF9DP3T22   Amzn.com/billWA REF #24692163K2Z7B6Q20"/>
        <s v="AMZN Mktp US*HF9ZW0PT1   Amzn.com/billWA REF #24692163K2Z7Q10HY"/>
        <s v="SQ *LORD HOBO BREWING WOBWoburn       MA REF #24692163L2ZRBP60R"/>
        <s v="Ramp B"/>
        <s v="NATIONAL CAR RENTAL      BOSTON       MA REF #24164073M1PYKBYJ0"/>
        <s v="Tst* Martina 0xx3538minneapolis Xxxxxxx3119 Restaurant"/>
        <s v="Snuffy's Malt Shop"/>
        <s v="Delaware North Companies Sports Services"/>
        <s v="DELAWARE NORTH LOGAN F&amp;B EAST BOSTON  MA REF #24431063PW5T2H3R0"/>
        <s v="DELAWARE NORTH LOGAN F&amp;B EAST BOSTON  MA REF #24431063PW5T8K4F5"/>
        <s v="Deposit Dividend Split Rate Annual Percentage Yield Earned 1.68% from 04/01"/>
        <s v="HILTON BOSTON WOBURN     WOBURN       MA REF #24055233N11H4HA65"/>
        <s v="KWIK TRIP  40200004028   CHANHASSEN   MN REF #24164073PL3HDZZS0"/>
        <s v="MSP AIRPORT PARKING      SAINT PAUL   MN REF #24034543P02Z0B6VY"/>
        <s v="SCHEELS EDEN PRAIRIE     EDEN PRAIRIE MN REF #24138293PP6Q3TLRN"/>
        <s v="SHELL OIL 12630255003    BOSTON       MA REF #24316053NFYHHVR6E"/>
        <s v="SP ALLBIRDS              HTTPSWWW.ALLBCA REF #24492163N000SE5ER"/>
        <s v="SP FREEFLYAPPAREL        HTTPSFREEFLYASC REF #24492163N000SYM41"/>
        <s v="SP NATHAN                HTTPSUSBNS.MYCA REF #24492163P001BH1NE"/>
        <s v="TST* BERKSHIRE FARM MARKEBOSTON       MA REF #24137463N8R4GRSMH"/>
        <s v="Mobile Payment - Thank You"/>
        <s v="PAYMENT - THANK YOU REF #74734573T00XTMJG6"/>
        <s v="Amazon Music*HM8LW6HK0   888-802-3080 WA REF #24692163T33F2Y01J"/>
        <s v="AMZN MKTP US AMZN.COM/BIL AMZN.CO CREDIT REF #74431063T2D9NZ4L0"/>
        <s v="AMZN Mktp US Amzn.com/bill WA     CREDIT REF #74692163R338VNR39"/>
        <s v="AMZN Mktp US Amzn.com/bill WA     CREDIT REF #74692163R33BLXJ28"/>
        <s v="AMZN Mktp US Amzn.com/bill WA     CREDIT REF #74692163R33BP5HXH"/>
        <s v="AMZN Mktp US*HM40K3AB2   Amzn.com/billWA REF #24692163T33HK4QV6"/>
        <s v="HILTON GARDEN INN BOSTON EAST BOSTON  MA REF #24275393RS66HS55Z"/>
        <s v="JAXON GREY               MINNEAPOLIS  MN REF #24269793R2XTA5RDS"/>
        <s v="SCHEELS EDEN PRAIRIE EDEN PRAIRIE CREDIT REF #74138293TP6Q5W11J"/>
        <s v="TST* Red Cow - 1st Ave   612-238-0050 MN REF #24692163R32YMJV0G"/>
        <s v="Withdrawal ACH College Savings TYPE: ACH ID: XX5818 CO: College Savings Ent"/>
        <s v="Withdrawal Home Banking Transfer To Loan 02 REF # XX4306"/>
        <s v="AMZN Mktp US*HM5QO4GT2   Amzn.com/billWA REF #24692163S346Y5WE6"/>
        <s v="JAXON GREY-EDINA         EDINA        MN REF #24269793TEJ80KFGX"/>
        <s v="SP VUORI CLOTHING        HTTPSVUORICLOCA REF #24492163T001SHTZW"/>
        <s v="ADIDAS US ONLINE STORE   800-9829 CREDIT REF #74443463S5174WWKH"/>
        <s v="AMZN Mktp US*HM8FA15M1   Amzn.com/billWA REF #24692163S34KEE08P"/>
        <s v="Cargill Deposit"/>
        <s v="WAYZATA CAFE             WAYZATA      MN REF #24943003VW6AZPZN2"/>
        <s v="Withdrawal ACH MHCHILDCARELLC TYPE: DUES ID: XX8198 CO: MHCHILDCARELLC Entr"/>
        <s v="CUB FOODS 01644          952-934-1010 MN REF #24231683W2DG09YMP"/>
        <s v="TOTALWINE 1606 DIGITAL   https://www.fMN REF #24116413XBMDDE1S5"/>
        <s v="Withdrawal Home Banking Pmt to card XX5913"/>
        <s v="PAYMENT - THANK YOU REF #74734573Z00XTMJG0"/>
        <s v="AMZN Mktp US Amzn.com/bill WA     CREDIT REF #74692163X2XMJSV21"/>
        <s v="AMZN Mktp US Amzn.com/bill WA     CREDIT REF #74692163X2XN91H5R"/>
        <s v="AMZN Mktp US Amzn.com/bill WA     CREDIT REF #74692163X2XN924R0"/>
        <s v="AMZN Mktp US Amzn.com/bill WA     CREDIT REF #74692163X2XNF05GE"/>
        <s v="ANTHROPOLOGIE #427       MINNEAPOLIS  MN REF #24445003Y2XAN7662"/>
        <s v="EVEREVE - 8              WAYZATA      MN REF #24269793XEJ5MZTPG"/>
        <s v="KWIK TRIP  40200004028   CHANHASSEN   MN REF #24164073YL3HELAS1"/>
        <s v="KWIK TRIP  40200004028   CHANHASSEN   MN REF #24164073YL3HELAWD"/>
        <s v="RENTAL TOLL236588087     877-860-1283 MA REF #24430993X2E047398"/>
        <s v="CSC SERVICEWORK          CHASKA       MN REF #240552340BLMNA231"/>
        <s v="SHOREWOOD TRUE VALUE     EXCELSIOR    MN REF #248019740BMDDE20K"/>
        <s v="SPEEDWAY 04095           CHASKA       MN REF #241374640019YN5TV"/>
        <s v="SPEEDWAY 04095           CHASKA       MN REF #241374640019YN5WE"/>
        <s v="PELOTON* MEMBERSHIP      HTTPSWWW.ONEPNY REF #240113440000YV7YM"/>
        <s v="TARGET        00008623   CHANHASSEN   MN REF #2416407402LRFMJKZ"/>
        <s v="THE SUBURBAN EXCELSIOR   ST LOUIS PARKMN REF #2434285400FVHE2YN"/>
        <s v="AMAZON.COM*LG2UQ40Q3 AMZNAMZN.COM/BILLWA REF #2443106422DKZAJEQ"/>
        <s v="MIDWEST AQUA CARE        952-403-6879 MN REF #248019742M4FLPRP5"/>
        <s v="Hallmark Movies Now      844-4465669  CA REF #24906414351SMKPKP"/>
        <s v="TOMMY BAHAMA ECOMM       866-986-8282 WA REF #2469216433280076Q"/>
        <s v="PAYMENT - THANK YOU REF #74734574600XTMJG1"/>
        <s v="AMZN Mktp US Amzn.com/bill WA     CREDIT REF #74692164633VFL0E3"/>
        <s v="CENTURYLINK LUMEN        800-244-1111 LA REF #24692164432WE8MQ2"/>
        <s v="OFFICEMAX/DEPOT 6641     CHANHASSEN   MN REF #2413746455SGL01PY"/>
        <s v="Salary/Regular Income from TriNet"/>
        <s v="SUNCTRYAIR  N3SCFF       MINNEAPOLIS  MN REF #240552345LQFGXKYV"/>
        <s v="TST* HACKAMORE BREWING COCHANHASSEN   MN REF #241374645EJTHB6JA"/>
        <s v="TST* HACKAMORE BREWING COCHANHASSEN   MN REF #241374645EJTHB6LY"/>
        <s v="BLVD   *FACE FOUNDRIE WAYWAYZATA      MN REF #244450046EHY328VX"/>
        <s v="EVEREVE - 8              WAYZATA      MN REF #2426979462XN2A8MT"/>
        <s v="EVEREVE - 8              WAYZATA      MN REF #2426979462XN2A8R3"/>
        <s v="TST* The Grocers Table  Wayzata      MN REF #246921646343QBB9J"/>
        <s v="UBER   TRIP              HELP.UBER.COMCA REF #244921547LRNM4B2M"/>
        <s v="Payment to American Family Insurance"/>
        <s v="HMS Host International   Amsterdam    NL REF #7498750476H9MQT3S"/>
        <s v="RAO MNHUNTFISH VEHICLE   SAINT PAUL   MN REF #24692164734RFXJSP"/>
        <s v="Shop 138 /NL+ /FineFood LSchiphol AirpNL REF #7459579471SHKDH3Z"/>
        <s v="WSJ/BARRONS SUBSCRIPTI   800-568-7625 NJ REF #24692164835A1E9QS"/>
        <s v="AMZN Mktp US*2H2KH4JY3   Amzn.com/billWA REF #24692164835RP0855"/>
        <s v="Deposit ACH EMPYREAN SOLUTIO TYPE: XX9000 ID: XX3620 CO: EMPYREAN SOLUTIO E"/>
        <s v="EVEREVE - 8 WAYZATA  MN           CREDIT REF #742697947EJFBZ5NB"/>
        <s v="RVT*MTKA PUB SCHLS-WEB   952-4015000  MN REF #2490641485244S1A0"/>
        <s v="THE HOME DEPOT #2825     CHASKA       MN REF #24943014809FY88RX"/>
        <s v="ECOS MARINA MARKET       CORK         IE REF #74007464A62B2NRB5"/>
        <s v="EDIBLE ARRANGEMENTS      ATLANTA      GA REF #24943004A2DZD3KRX"/>
        <s v="Fly Coffee               Cork         IE REF #243474349001Y4DDL"/>
        <s v="Withdrawal ACH MN DIR ACH TYPE: CONTRIB ID: XX7162 CO: MN DIR ACH NAME: XX2"/>
        <s v="Fly Coffee               Cork         IE REF #24347434A001W8XPH"/>
        <s v="PERSONALIZATION MALL     630-910-6000 IL REF #24692164B2Y5EPARN"/>
        <s v="SHUTTERFLY INC.         650-610-5200 CA REF #24492154AMN3T4R8F"/>
        <s v="TWINS MOBILE PAYMENT     800-352-0212 CA REF #24733094AHGTW1L4P"/>
        <s v="AMAZON.COM*WR7842693 AMZNAMZN.COM/BILLWA REF #24431064Q2DYMWMKX"/>
        <s v="COSTCO WHSE #0783        EDEN PRAIRIE MN REF #24943004DS4AHG2MT"/>
        <s v="EVEREVE - 60             HOPKINS      MN REF #74269794B2XKVSHNB"/>
        <s v="EVEREVE - 60             HOPKINS      MN REF #74269794B2XKVT3KN"/>
        <s v="Kids Hair - MT           Minnetonka   MN REF #24793384Q01Q0GG5D"/>
        <s v="KWIK TRIP  40200004028   CHANHASSEN   MN REF #24164074BL3HFSD27"/>
        <s v="Netflix                  1 8445052993 CA REF #24002844Q00F97ZZ2"/>
        <s v="SQ *SAMUEL RASTA TAXI SERExcelsior    MN REF #24692164B2YNANY5X"/>
        <s v="SUMUP  *IMRAN TAXI       CORK         IE REF #74878364B999BZP68"/>
        <s v="THE LOOP CORK            CORK         IE REF #74143614Q02HDYYGV"/>
        <s v="TST* Dukes on 7          612-205-3286 MN REF #24692164Q2YZ785H4"/>
        <s v="BONFES PLUMBING HEATING A651-3326633  MN REF #24275394DS66HPJS9"/>
        <s v="SCHEELS ALL SPORTS       701-356-8264 ND REF #24493984EBM9M9FZ8"/>
        <s v="SHOREWOOD TRUE VALUE     EXCELSIOR    MN REF #24801974EBMDAJG6V"/>
        <s v="SHOREWOOD TRUE VALUE     EXCELSIOR    MN REF #24801974EBMDAJHTM"/>
        <s v="Withdrawal ACH CITY OF CHANHASS TYPE: UTIL BILL ID: XX5331 CO: CITY OF CHAN"/>
        <s v="SP VUORI CLOTHING        HTTPSVUORICLOCA REF #24492164E0015A2BA"/>
        <s v="Transfer to Discover Bank"/>
        <s v="FREEZIAC                 EDEN PRAIRIE MN REF #24493984H2M6Y4Y19"/>
        <s v="LUNDS&amp;BYERLYS CHANH      CHANHASSEN   MN REF #24427334GMHE1SBWZ"/>
        <s v="MOTORWERKS BMW           888-866-0115 MN REF #24431064HJGA8WQ88"/>
        <s v="Payment to Jeffrey B"/>
        <s v="CARIBOU COFFEE CO #116   CHANHASSEN   MN REF #24445004HEJ40YEW1"/>
        <s v="Penzeys Spices           800-7417787  WI REF #24793384H0026RNRY"/>
        <s v="SP VUORI CLOTHING        HTTPSVUORICLOCA REF #24492164H001BWVAV"/>
        <s v="TOTALWINE 1606 DIGITAL   https://www.fMN REF #24116414JBMDFB3ZZ"/>
        <s v="PAYMENT - THANK YOU REF #74734574L00XTMJG5"/>
        <s v="DNR E PAY WIN ACS        608-2662621  WI REF #24717054K4NQBZQBH"/>
        <s v="DNR EPAY WIN ACS SERV FEE608-2662621  WI REF #24717054K4NQBWPRR"/>
        <s v="ELITE NAILS LLC          CHANHASSEN   MN REF #24717054KM97GJVRV"/>
        <s v="PLUNKETTS PEST CONTROL   MINNEAPOLIS  MN REF #24013394J02WB3Z32"/>
        <s v="SHOREWOOD TRUE VALUE     EXCELSIOR    MN REF #24801974KBMDFB446"/>
        <s v="SP FAIR HARBOR           HTTPSFAIRHARBNY REF #24492164L00034XFJ"/>
        <s v="SQ *BALSAM LAKE BREWERY ABalsam Lake  WI REF #24692164K31YE9NW5"/>
        <s v="Deposit Dividend Split Rate Annual Percentage Yield Earned 1.86% from 05/01"/>
        <s v="Amazon Music*WB3KC8313   888-802-3080 WA REF #24692164R34VYRZHX"/>
        <s v="THE BBQ DEPOT            187-798-3045 FL REF #24492154PMN3L527W"/>
        <s v="TOMMY BAHAMA ECOMM       866-986-8282 WA REF #24692164P34RVGGDB"/>
        <s v="TOMMY BAHAMA ECOMM       866-986-8282 WA REF #24692164P34RVGV7V"/>
        <s v="WAYZATA CAFE             WAYZATA      MN REF #24943004RW6QYNP8B"/>
        <s v="Withdrawal Home Banking Transfer To Loan 02 REF # XX7410"/>
        <s v="Mackenthun's Fine Fowaconia Mn Xxxxxxxxx Xxxxxx2512"/>
        <s v="SAM EDELMAN              888-889-9609 MO REF #24492154RMN85SP6F"/>
        <s v="Osaka Eden Prairie 0eden Prairi Xxxxxxxx Xxx-xxx-6949"/>
        <s v="Youngstedts Excelsior Excelsior Mn"/>
        <s v="DNCSS MN TWINS RETAIL    MINNEAPOLIS  MN REF #24692164S2XEG34KD"/>
        <s v="HOLIDAY STATIONS 0217    EDINA        MN REF #24941664TRQEBJ488"/>
        <s v="INTERSTATE PARKING COMPA MILWAUKEE    WI REF #24801974S8AN3A57A"/>
        <s v="OFFICE DEPOT #1090       800-463-3768 MN REF #24137464S2XLNWMS8"/>
        <s v="PARTY CITY 1150          CHANHASSEN   MN REF #24692164S2XDR2TSQ"/>
        <s v="PREMIUM PARKING          HTTPSWWW.PREMLA REF #24011344S001EYRTB"/>
        <s v="TOMMY BAHAMA ECOMM       866-986- CREDIT REF #74692164S2X917A7D"/>
        <s v="535 - MADE IN KC @ MCI   LAS VEGAS    NV REF #24692164X2ZDGPGSX"/>
        <s v="B RAMP 8066              MINNEAPOLIS  MN REF #24789304WSPGF3HP7"/>
        <s v="Withdrawal ACH College Savings TYPE: ACH ID: XX5818 CO: College Savings NAM"/>
        <s v="COSTCO WHSE #0783        EDEN PRAIRIE MN REF #24943004YS4AHF1PT"/>
        <s v="SP HELINOX               HTTPSHELINOXFCA REF #24492164X000RVNW7"/>
        <s v="US BOAT AND RECREATION   SPRING PARK  MN REF #24416064XS66E1BTJ"/>
        <s v="Birchs On The Lake 0long Lake Mn Xxxxxxx3160 Restaurant"/>
        <s v="EVEREVE - 15 EDEN PRAIRIE  MN     CREDIT REF #74269794YEJERSSX4"/>
        <s v="PELOTON* MEMBERSHIP      HTTPSWWW.ONEPNY REF #24011344Z0012XQVX"/>
        <s v="Lulus Fashion Lounge"/>
        <s v="Brick &amp; Bourbon Edeneden Prairi Xxxxxxxxxxx Xxxxxx4279"/>
        <s v="LULULEMONCOM*            877-263-9300 CA REF #24692165031NH8023"/>
        <s v="Aplpay Wayzata Coffewayzata Mn E0f3e261a93e0f3e261axxxxxxxxx5391"/>
        <s v="COSTCO WHSE #0783        EDEN PRAIRIE MN REF #249430053S4AHER42"/>
        <s v="Hallmark Movies Now      844-4465669  CA REF #24906415253WB2PYL"/>
        <s v="THREE RIVERS WEB         763-559-6772 MN REF #248019752TQ5TWZ06"/>
        <s v="BLUEFIN BAY FAMILY OF    TOFTE        MN REF #240009753VMN4NPWZ"/>
        <s v="CENTURYLINK LUMEN        800-244-1111 LA REF #24692165334DEY802"/>
        <s v="Connectyourcare Deposit"/>
        <s v="COSTCO WHSE #0377        SAINT LOUIS PMN REF #249430054S4AFK8T4"/>
        <s v="COSTCO WHSE #0377        SAINT LOUIS PMN REF #249430054S4AGG71K"/>
        <s v="MEDEXPRESS URGENT CARE MI877-2160458  WV REF #2475542537WZEPPPW"/>
        <s v="WSJ/BARRONS SUBSCRIPTI   800-568-7625 NJ REF #24692165434L7GKL7"/>
        <s v="PAYMENT - THANK YOU REF #74734575500XTMJG3"/>
        <s v="AMZN Mktp US*UE33Y2R23   Amzn.com/billWA REF #24692165434YAL9WM"/>
        <s v="SP *KUIU                 WWW.KUIU.COM CA REF #240113455000378JW"/>
        <s v="LUNDS&amp;BYERLYS CHANH      CHANHASSEN   MN REF #244273355MHE0QZMT"/>
        <s v="Bird* Preload Xxxxxx2442 Ca Apple Pay Ending In 3050"/>
        <s v="SP VUORI CLOTHING HTTPSVUORICLO C CREDIT REF #244921656000H3JVH"/>
        <s v="Aplpay Tofte Generaltofte Mn Xxxxxxxxx Xxxxxx7288"/>
        <s v="BIRD* RIDE               HTTPSBIRD.CO CA REF #244921658001FA8DB"/>
        <s v="FEDEX399634221815        MEMPHIS      TN REF #241640757MJDP11X6"/>
        <s v="Fitgers Inn 0xxx7002duluth Mn Xxxxxx8489 John@fitgers.com"/>
        <s v="IN *TRAILFITTERS         DULUTH       MN REF #2469216582YYQXS4Z"/>
        <s v="Jv Investments Llc 0two Harbors Xxxxxxx3170 Bar/nightclub"/>
        <s v="KWIK TRIP  57100005710   CARLTON      MN REF #241640758L3HFTA71"/>
        <s v="KWIK TRIP  57100005710   CARLTON      MN REF #241640758L3HFTAM9"/>
        <s v="Lou?s Fish House Two Harbors Mn 3p3khmbbt9o Squareup.com/receipts"/>
        <s v="Northshore Pizza &amp; Ctwo Harbors 54ck3tc8lbk Squareup.com/receipts"/>
        <s v="SQ *GRANDMA'S MARATHON   Duluth       MN REF #2469216572Y6R3S11"/>
        <s v="UPS*1Z8717Y40324239195   800-811-1648 GA REF #2469216582YFQ3M0H"/>
        <s v="WALGREENS #13877         DULUTH       MN REF #24445005800XZVQ42"/>
        <s v="EH 3RD ST PHARMACY       DULUTH       MN REF #244921559PXN2H1HH"/>
        <s v="Lock Port Marketplaclutsen Mn Xxxxxxx3170 Lockport@boreal.org"/>
        <s v="The Creamery"/>
        <s v="TOFTE GENERAL STORE      TOFTE        MN REF #244273359MHDWWJT0"/>
        <s v="AMZN Mktp US*RG02E1213   Amzn.com/billWA REF #24692165A30Q84GEG"/>
        <s v="BLUEFIN BAY FAMILY OF    TOFTE        MN REF #24000975AWGAMQLRN"/>
        <s v="COHO CAFE                218-6636275  MN REF #24000975AWK6T3Y69"/>
        <s v="HOLIDAY STATIONS 3516    GRAND MARAIS MN REF #24941665ARQEB5QTK"/>
        <s v="Lou?s Fish House Two Harbors Mn Xszoxvlqxtr Squareup.com/receipts"/>
        <s v="MOUNTAIN SHOPS INC      LUTSEN       MN REF #24275395AS66HMAV9"/>
        <s v="AMZ*Momok                AMZN.COM/BILLWA REF #74692165B30RAKRM9"/>
        <s v="BONFES PLUMBING HEATING A651-3326633  MN REF #24275395BS66K1R3P"/>
        <s v="COHO CAFE                218-6636275  MN REF #24000975BWPQWNNK7"/>
        <s v="COHO CAFE                218-6636275  MN REF #24000975BWPQWNNLR"/>
        <s v="Netflix.com              866-5797172  CA REF #24906415B54E10R10"/>
        <s v="SUMMIT CHALET            LUTSEN       MN REF #24325455BS66GYVRJ"/>
        <s v="CUB FOODS #1636          SHOREWOOD    MN REF #24427335QM83LG41N"/>
        <s v="Kai's Sushi &amp; Grill Chanhassen Xxxxxxx3173 Kaisushimn@gmail.com"/>
        <s v="MCW 1602-MINNETONKA      MINNETONKA   MN REF #24071055QVAM27WHR"/>
        <s v="MINNESOTA STATE PARKS    SAINT PAUL   MN REF #24717055Q4ZXSX3NA"/>
        <s v="SAM EDELMAN              8888899609   MO REF #74492155QLRF7XMEP"/>
        <s v="TOP GOLF BAY RESERVATION 800-453-0660 TX REF #24431065QLQQ2AE5E"/>
        <s v="BLUEFIN BAY FAMILY OF    TOFTE        MN REF #24000975DWXSJDT7E"/>
        <s v="LULUS.COM                HTTPSWWW.LULUCA REF #24011345D000NG75X"/>
        <s v="NORTHFACE VF OUTDOOR     888-863-1968 WI REF #24692165D3240YM6P"/>
        <s v="Payment to Barclaycard US"/>
        <s v="Balsam Lake Brewery Balsam Lake Lbjtvgfxumv Squareup.com/receipts"/>
        <s v="Kj's New North 40390balsam Lake Xxxxxxx3176 Kjsnewnorth@gmail.com"/>
        <s v="ANTHROPOLOGIE.COM        800-309-2500 PA REF #24445005E2X9KSMD6"/>
        <s v="BCS*MINNETONKA COMMUNITY 952-401-6800 MN REF #24137465F01GKY342"/>
        <s v="BLUEFIN BAY FAMILY OF    TOFTE        MN REF #24000975EX0L4HRQ6"/>
        <s v="Marketplace Foods"/>
        <s v="SP HELINOX               HTTPSHELINOXFCA REF #24492165F000AXYX5"/>
        <s v="TST* BACK CHANNEL BREWINGSPRING PARK  MN REF #24137465FEJFXXHF2"/>
        <s v="COSTCO WHSE #0377        SAINT LOUIS PMN REF #24943005HS4AFJNDP"/>
        <s v="AMZN Mktp US*0T99M02D3   Amzn.com/billWA REF #24692165H358WA546"/>
        <s v="AMZN Mktp US*8069415T3   Amzn.com/billWA REF #24692165H355432MT"/>
        <s v="AMZN Mktp US*X61QH5I83   Amzn.com/billWA REF #24692165H35H0HHX4"/>
        <s v="AVO*ADVOCARE INTL        800-542-4800 TX REF #24692165H354J8YT5"/>
        <s v="Kids Hair - CH           Chanhassen   MN REF #24793385H7VBVXA2R"/>
        <s v="MOTORWERKS BMW           BLOOMINGTON  MN REF #24431065JJGA8W9DH"/>
        <s v="AMZN Mktp US*PS81G1WP3   Amzn.com/billWA REF #24692165J3622FMPZ"/>
        <s v="Five Star Food Mart"/>
        <s v="Jj-pcg Msp Venture Lsaint Paul ######josd8 Restaurant"/>
        <s v="REI #15 BLOOMINGTON      BLOOMINGTON  MN REF #24692165J35YB6X0B"/>
        <s v="Sumup"/>
        <s v="WAYZATA CAFE             WAYZATA      MN REF #24943005KW6QN1RNE"/>
        <s v="X0099 Cava 5th And Bnashville Tn 2238 Restaurant"/>
        <s v="Dividend Solar"/>
        <s v="Overdraft Transfer from Brokerage -5308"/>
        <s v="Hilton Hotels &amp; Resorts"/>
        <s v="Patagonia-Nashville      Nashville    TN REF #24204295K061LZB39"/>
        <s v="SP NORMAL BRAND LLC      186-69276999 MO REF #24492165K001BRFY6"/>
        <s v="Tst* Maynards - Outsexcelsior Mn Xxxxxxx3012 Restaurant"/>
        <s v="Tst* Rosalia 0xx3741minneapolis Xxxxxxx3181 Restaurant"/>
        <s v="Tst* The Hampton Socnashville Tn Xxxxxxx6012 Restaurant"/>
        <s v="Deposit Dividend Split Rate Annual Percentage Yield Earned 1.98% from 06/01"/>
        <s v="Docs Pub And Eatery Balsam Lake Xxxxxxx3182 Kevinjamesx2667@gmail"/>
        <s v="Kijiji Coffee - B04 Nashville Tn Xxxxxxx3183 Usfc1 X7214"/>
        <s v="SHOREWOOD TRUE VALUE     EXCELSIOR    MN REF #24801975MBMDBH28K"/>
        <s v="Tst* City Tap - Nashnashville Tn Hfnsyoboj00 Xxxxxx4015"/>
        <s v="Viv's Kitchen &amp; Catebalsam Lake Xxxxxxxx Xxx-xxx-3848"/>
        <s v="Withdrawal at ATM #XX1726 DOCS PUB AND-XX9502 305 MAIN ST. BALSAM LAKE WI"/>
        <s v="PAYMENT - THANK YOU REF #74734575P00XTMJG1"/>
        <s v="Thirsty Otter Tavernbalsam Lake Xxxxxxxxxxxxxxxxxxxxx X4810"/>
        <s v="Withdrawal Home Banking Transfer To Loan 02 REF # XX7561"/>
        <s v="Amazon Music*8M39L5R93   888-802-3080 WA REF #24692165N2ZF1EQD3"/>
        <s v="ANTHROPOLOGIE.COM PHILADELPHIA  P CREDIT REF #74445005M2XJJNG0T"/>
        <s v="LULULEMONCOM*            877-263- CREDIT REF #74692165M2YS81G1V"/>
        <s v="PAPERSOURCE -4605        EDINA        MN REF #24137465M2XHVJ2D3"/>
        <s v="UBER   TRIP              HELP.UBER.COMCA REF #24492155MLYBLVKF4"/>
        <s v="Aplpay Hopsack Llc Balsam Lake Looxr4awd2w Squareup.com/receipts"/>
        <s v="THE HIGHWAY 46 STORE     BALSAM LAKE  WI REF #24034545P005XS33B"/>
        <s v="AMZN Mktp US*GO5J70LS3   Amzn.com/billWA REF #24692165T31ZFYQY9"/>
        <s v="SP *KUIU WWW.KUIU.COM  CA         CREDIT REF #24011345S0002SGN5"/>
        <s v="SP VUORI CLOTHING        HTTPSVUORICLOCA REF #24492165S000655EJ"/>
        <s v="WAYNE'S FOODS PLUS       LUCK         WI REF #24427335TLYRB36LY"/>
        <s v="BCY*BACKCOUNTRY.COM      800-409-4502 UT REF #24692165S32ZYH7WF"/>
        <s v="CENEX CONSUMER09917204   LUCK         WI REF #24164075SKXYMMH1K"/>
        <s v="CENEX CONSUMER09917204   LUCK         WI REF #24164075SKXYMMH2L"/>
        <s v="THE PAMPERED CHEF LTD    888-687-2433 IL REF #24492155SLY4343DE"/>
        <s v="LULUS.COM HTTPSWWW.LULU CA        CREDIT REF #24011345W000AF5KA"/>
        <s v="Tst* Z&amp;h 301 Water Lexcelsior Mn Xxxxxxxxxxx Xxxxxx8003"/>
        <s v="AMZN MKTP US*JO1LF7BY3 AMAMZN.COM/BILLWA REF #24431065W2DZMAVVG"/>
        <s v="HOLIDAY STATIONS 0246    SHAKOPEE     MN REF #24941665WRQEB2NVH"/>
        <s v="PELOTON* MEMBERSHIP      HTTPSWWW.ONEPNY REF #24011345X0010L7W7"/>
        <s v="LUNDS&amp;BYERLYS CHANH      CHANHASSEN   MN REF #24427335YMHDPWR8M"/>
        <s v="LUNDS&amp;BYERLYS CHANH      CHANHASSEN   MN REF #24427335YMHDPWTGA"/>
        <s v="TARGET        00008623   CHANHASSEN   MN REF #24164075Y2LRFWP4Z"/>
        <s v="AMZN MKTP US*BF86C1403 AMAMZN.COM/BILLWA REF #24431065Z2DKX55FE"/>
        <s v="Jaxon Grey 0xxxx0001minneapolis Xxxxxxxxxxx Xxxxxx9388"/>
        <s v="WSJ/BARRONS SUBSCRIPTI   800-568-7625 NJ REF #2469216602XLVN2LR"/>
        <s v="EVEREVE - 60             HOPKINS      MN REF #242697960EJ3HNWTF"/>
        <s v="Hallmark Movies Now      844-4465669  CA REF #24906416055X4VLBM"/>
        <s v="PARTY CITY 1150          CHANHASSEN   MN REF #2469216602XSP9W21"/>
        <s v="EH MYHEALTH PAYMENTS     800-985-4675 MN REF #244921560PXN3JG8T"/>
        <s v="AMZN Mktp US Amzn.com/bill WA     CREDIT REF #7469216622Z9AK9V4"/>
        <s v="AMZN Mktp US Amzn.com/bill WA     CREDIT REF #7469216622ZA7XJ97"/>
        <s v="AMZN Mktp US Amzn.com/bill WA     CREDIT REF #7469216622ZA8ALBD"/>
        <s v="AMZN Mktp US Amzn.com/bill WA     CREDIT REF #7469216622ZAJVHHV"/>
        <s v="AMZN Mktp US Amzn.com/bill WA     CREDIT REF #7469216622ZAKFZ0H"/>
        <s v="AMZN Mktp US Amzn.com/bill WA     CREDIT REF #7469216622ZAKG70R"/>
        <s v="AMZN Mktp US Amzn.com/bill WA     CREDIT REF #7469216622ZBRTV47"/>
        <s v="CENTURYLINK LUMEN        800-244-1111 LA REF #2469216612Z1WSG37"/>
        <s v="Colorado Department of Motor Vehicles"/>
        <s v="The Social"/>
        <s v="AMZN Mktp US Amzn.com/bill WA     CREDIT REF #7469216622ZQEMM4T"/>
        <s v="Aplpay Opie's Llc Creede Co Zukivd88glw Squareup.com/receipts"/>
        <s v="CONOCO - ALTA CONVENIENCESAGUACHE     CO REF #24034546201AL3X9E"/>
        <s v="CONOCO - ALTA CONVENIENCESAGUACHE     CO REF #24034546201AL3X9Y"/>
        <s v="COSTCO GAS #1087         BURNSVILLE   MN REF #249430063S4FVNQHR"/>
        <s v="COSTCO WHSE #1087        BURNSVILLE   MN REF #249430063S4AFJJT4"/>
        <s v="FIVE STAR HOSPITALITY    SPRING PARK  MN REF #241164163BMDZHWEQ"/>
        <s v="LS RAMBLE HOUSE LLC      171-96582482 CO REF #24492166200154HBB"/>
        <s v="NORTHFACE VF OUTDOOR     888-863- CREDIT REF #7469216622ZEFATPN"/>
        <s v="SQ *SOUP POT             gosq.com     CO REF #2469216622ZTRSP33"/>
        <s v="MSP AIRP PEOPLES ORGANIC SAINT PAUL   MN REF #247554263504MHKWZ"/>
        <s v="RAOCOPARKS&amp;WILDLIFE CO   888-572-7237 TX REF #2469216632XJ5DGZQ"/>
        <s v="SAFEWAY #2792            CONIFER      CO REF #242316863RBGJBFJK"/>
        <s v="AMAZON.COM*3N14098Z3 AMZNAMZN.COM/BILLWA REF #2443106662DKQHRN8"/>
        <s v="Eduardo's Mexican Grmonte Vista Xxxxxxxxxxx Xxxxxx6999"/>
        <s v="BCS*MINNETONKA COMMUNITY 952-401-6800 MN REF #24137466801E8S29W"/>
        <s v="Denver International Airport"/>
        <s v="LULUS.COM HTTPSWWW.LULU CA        CREDIT REF #2401134680002BHB5"/>
        <s v="Red Cow"/>
        <s v="Donate *OutrunALD2021    888-3851360  NJ REF #24204296802DMR29B"/>
        <s v="Kona Grill"/>
        <s v="ONSTREET 8090            612-3437275  MN REF #2478930683TE7XVPG"/>
        <s v="Precheck"/>
        <s v="BONFES PLUMBING HEATING A651-3326633  MN REF #242753969S66KTQHV"/>
        <s v="Netflix.com              866-5797172  CA REF #24906416956ES5JY9"/>
        <s v="PAYMENT - THANK YOU REF #74734576Q00XTMJG6"/>
        <s v="Wayne's Food Plus"/>
        <s v="BCS*MINNETONKA COMMUNITY 952-401-6800 MN REF #24137466B01HBE5V5"/>
        <s v="KWIK TRIP  49200004929   CHANHASSEN   MN REF #24164076BL3HN06B3"/>
        <s v="KWIK TRIP  49200004929   CHANHASSEN   MN REF #24164076BL3HN06E6"/>
        <s v="MCW 1602-MINNETONKA      952-3778113  MN REF #24071056AVAMFWTK7"/>
        <s v="AMZN Mktp US*H81KG1C33   Amzn.com/billWA REF #24692166Q34NNGXS9"/>
        <s v="AMZN Mktp US*HS2GJ1HU3   Amzn.com/billWA REF #24692166Q352X7DSP"/>
        <s v="AMZN Mktp US*K70S63PB3   Amzn.com/billWA REF #24692166Q34VAP9Y7"/>
        <s v="AMZN Mktp US*TQ5730KU3   Amzn.com/billWA REF #24692166Q352ZQBQP"/>
        <s v="AMZN Mktp US*YT52T8BN3   Amzn.com/billWA REF #24692166Q34NFRTHX"/>
        <s v="KOWALSKI'S MARKET        EDEN PRAIRIE MN REF #24427336DLM7RFYJ6"/>
        <s v="SHOREWOOD TRUE VALUE     EXCELSIOR    MN REF #24801976EBMD9KZHJ"/>
        <s v="Tsa Global Entry Fee Credit"/>
        <s v="UBER   TRIP              HELP.UBER.COMCA REF #24492156DLY1N0EGB"/>
        <s v="AMZN Mktp US*8948X1PZ3   Amzn.com/billWA REF #24692166E36QAX18T"/>
        <s v="COSTCO WHSE #0377        SAINT LOUIS PMN REF #24943006FS4AFK60M"/>
        <s v="COSTCO WHSE #0377        SAINT LOUIS PMN REF #24943006FS4AGGT18"/>
        <s v="HOLIDAY STATIONS 0012    SHOREWOOD    MN REF #24941666ERQEBQ5QV"/>
        <s v="AMZN Mktp US*T62F67D40   Amzn.com/billWA REF #24692166F2XJ40JGE"/>
        <s v="AMZN Mktp US*T664Q42R0   Amzn.com/billWA REF #24692166F2XY7F7T0"/>
        <s v="LUNDS&amp;BYERLYS CHANH      CHANHASSEN   MN REF #24427336FMHE012M1"/>
        <s v="MCW 1602-MINNETONKA      952-3778113  MN REF #24071056FVAMQPWL8"/>
        <s v="Us Customs And Border Protection"/>
        <s v="AMAZON.COM AMZN.COM/BILL AMZN.COM/BILLWA REF #74431066G2D9K50WA"/>
        <s v="AMZN Mktp US             Amzn.com/billWA REF #74692166G2YN5RWWD"/>
        <s v="AMZN Mktp US             Amzn.com/billWA REF #74692166G2YNWX1JX"/>
        <s v="AMZN Mktp US             Amzn.com/billWA REF #74692166G2YRWFBNS"/>
        <s v="AMZN MKTP US AMZN.COM/BILAMZN.COM/BILLWA REF #74431066G2D9NMK8A"/>
        <s v="AMZN Mktp US*T60H26R20   Amzn.com/billWA REF #24692166H2YV1VEJ0"/>
        <s v="AMZN Mktp US*T66DN7DX1   Amzn.com/billWA REF #24692166G2YB5QR2Z"/>
        <s v="KOWALSKI'S EXCELSIO      EAGAN        MN REF #24427336GLM8M52X5"/>
        <s v="PAYMENT - THANK YOU REF #74734576K00XTMJG7"/>
        <s v="Casey's General Stores"/>
        <s v="AMZN Mktp US*TH0QH0480   Amzn.com/billWA REF #24692166H2ZK9VJ5M"/>
        <s v="HOLIDAY STATIONS 0419    SAINT CROIX FWI REF #24941666JRQEB4V8M"/>
        <s v="nuuly.com                844-446-8859 PA REF #24445006JHEWPXVW2"/>
        <s v="SP JACKBOX GAMES         HTTPSSHOP.JACIL REF #24492166J000AKDQF"/>
        <s v="Aplpay Hopsack Llc Balsam Lake Bsryivqtff1 Squareup.com/receipts"/>
        <s v="Deposit Dividend Split Rate Annual Percentage Yield Earned 2.05% from 07/01"/>
        <s v="Amazon Music*TH8P79M70   888-802-3080 WA REF #24692166M31V96E4D"/>
        <s v="ELITE NAILS LLC          CHANHASSEN   MN REF #24717056M3V1YD83P"/>
        <s v="Transfer to College Station"/>
        <s v="Withdrawal Home Banking Transfer To Loan 02 REF # XX2243"/>
        <s v="BCY*BACKCOUNTRY.COM      800-409- CREDIT REF #74692166M32G39RAV"/>
        <s v="COMPANY STORE            WAYZATA      MN REF #24943006NW5TTMGPD"/>
        <s v="Jaxen Grey - Ridgedaminnetonka Xxxxxxxxxxx Xxxxxx8672"/>
        <s v="Tst* Lost Bay Llc 00excelsior Mn Xxxxxxx3215 Restaurant"/>
        <s v="AMZN Mktp US*TH0ZS5IQ2   Amzn.com/billWA REF #24692166N331JD3FY"/>
        <s v="AMZN Mktp US*TH8A86BG1   Amzn.com/billWA REF #24692166N336BYVTA"/>
        <s v="Centro"/>
        <s v="FOSS SWIM SCHOOL         HTTPSWWW.FOSSMN REF #24011346N001ENNZ9"/>
        <s v="Aplpay Pay*www.pryesminneapolis Xxxxxxx3216 Accounting@pryesbrewi"/>
        <s v="Vivir Minneapolis Mn Xaup6m8njol Squareup.com/receipts"/>
        <s v="Arco"/>
        <s v="AMC 0705 SOUTHDALE 16    EDINA        MN REF #24431066S0HD0QJRL"/>
        <s v="LYFT   *RIDE FRI 9PM     LYFT.COM     CA REF #24011346T0010PZXA"/>
        <s v="SHUTTERFLY INC.         650-610-5200 CA REF #24492156RLXWM2PFN"/>
        <s v="SQ *RUBY'S ROOST VICTORIAVictoria     MN REF #24692166T35GNG1GV"/>
        <s v="THEGROOMSMANSUIT         HTTPSSTORE.SUNY REF #24492166R001AJPAJ"/>
        <s v="TST* Indeed Brewing CompaMinneapolis  MN REF #24692166R34EJW07T"/>
        <s v="UBER   TRIP              HELP.UBER.COMCA REF #24492156RLR70SYE1"/>
        <s v="Catering By Kowalskisaint Paul Xxxxxxxxxxx Xxxxxx6870"/>
        <s v="AMZN Mktp US*TA2BB6B72   Amzn.com/billWA REF #24692166V2XQLTJW9"/>
        <s v="AMZN MKTP US*TA2OU81W1 AMAMZN.COM/BILLWA REF #24431066V2DKX5SK4"/>
        <s v="AMZN Mktp US*TA35S4BL2   Amzn.com/billWA REF #24692166V2XQXB275"/>
        <s v="AMZN Mktp US*TA3PM4AA1   Amzn.com/billWA REF #24692166V2XHJPD09"/>
        <s v="Kids' Hair Llc Edina Mn ######kdzyt Medical Service"/>
        <s v="KWIK TRIP  40200004028   CHANHASSEN   MN REF #24164076VL3HE26E6"/>
        <s v="Tst* Revival Food Trminneapolis Xxxxxxx3221 Restaurant"/>
        <s v="WSJ/BARRONS SUBSCRIPTI   800-568-7625 NJ REF #24692166W2XZW9X1G"/>
        <s v="CHASKA TOWN COURSE       CHASKA       MN REF #24750766WS66L7JEN"/>
        <s v="PELOTON* MEMBERSHIP      HTTPSWWW.ONEPNY REF #24011346W000Z2PRX"/>
        <s v="THE HOME DEPOT #2806     ST LOUIS PARKMN REF #24943016W09FPG3A6"/>
        <s v="COSTCO GAS #0377         SAINT LOUIS PMN REF #24943006YS4QJT877"/>
        <s v="HALSEY44* #33614         HALSEY44.COM CA REF #24492166X0014NSSK"/>
        <s v="NA'S THAI CAFE           CHANHASSEN   MN REF #24055226X60ZHX75X"/>
        <s v="Aroma"/>
        <s v="CARGILL STORE            WAYZATA      MN REF #24943006YRLQ5EJZ7"/>
        <s v="COSTCO WHSE #0783        EDEN PRAIRIE MN REF #24943006ZS4AFHLTQ"/>
        <s v="N 4543 State Hwy 22 Shawano Wi Xxxxxxxxxxx Xxxxxx4454"/>
        <s v="Netflix                  1 8445052993 CA REF #24002846Y00FSZAWK"/>
        <s v="SHUTTERFLY INC.         650-610- CREDIT REF #74492156YLXRP9S68"/>
        <s v="Thornberry Creek"/>
        <s v="Tst* Stubborn Brotheshawano Wi Xxxxxxx3224 Restaurant"/>
        <s v="Bp#xxx1176r-store 44hatley Wi Xxxxxxxx Xxx-xxx-3860"/>
        <s v="Bp#xxx1176r-store 44hatley Wi Xxxxxxxx Xxxxxxxx X4440"/>
        <s v="CENTURYLINK LUMEN        800-244-1111 LA REF #24692167031BLQV6D"/>
        <s v="Hallmark Movies Now      844-4465669  CA REF #24906416Z57YJRNZG"/>
        <s v="Hazelwood Food And Dexcelsior Mn Xxxxxxx3226 Office@hazellewoodgri"/>
        <s v="SOUTH LAKE PEDIATRICS    952-401-8300 MN REF #24137467001FLGBGH"/>
        <s v="MEDEXPRESS URGENT CARE MI877-2160458  WV REF #24755427186VTHWXV"/>
        <s v="UBER   TRIP              HELP.UBER.COMCA REF #244921571LWQLRYAB"/>
        <s v="PAYMENT - THANK YOU REF #74734577300XTMJG9"/>
        <s v="WAYZATA CAFE             WAYZATA      MN REF #249430074W5XJE6EK"/>
        <s v="Withdrawal ACH NORTHERN STAR EV TYPE: SES:XX0330 ID: XX3620 CO: NORTHERN ST"/>
        <s v="Sumo &amp; Smoh Chaska Mn V2oux13jscj Squareup.com/receipts"/>
        <s v="Go Concessions 0000 Oakdale Mn Xxxxxxxx Xxx-xxx-9138"/>
        <s v="BCS*MINNETONKA COMMUNITY 952-401-6800 MN REF #24137467701FF7NF1"/>
        <s v="Tst* Maynards - Outsexcelsior Mn Xxxxxxx3013 Restaurant"/>
        <s v="BONFES PLUMBING HEATING A651-3326633  MN REF #242753978S66L4SKD"/>
        <s v="Deposit Home Banking Transfer From Share 01 REF # XX2129"/>
        <s v="Ku Ticket Office 023lawrence Ks Xxxxxxxx Xxxxxxxxxx X5331"/>
        <s v="Aplpay Bt*i See Me! Plymouth Mn Eh941vj2 Xxxxxxxxxx X6208"/>
        <s v="MCW 1602-MINNETONKA      952-3778113  MN REF #240710579VAL42YYF"/>
        <s v="Rally Stores Inc"/>
        <s v="SP FREEFLYAPPAREL        HTTPSFREEFLYASC REF #24492167A00141WDJ"/>
        <s v="SP VUORI CLOTHING        HTTPSVUORICLOCA REF #24492167A0017VFNE"/>
        <s v="AMZN MKTP US*T31IY9C62 AMAMZN.COM/BILLWA REF #24431067B2DK81XQT"/>
        <s v="AMZN MKTP US*T33WS33B2 AMAMZN.COM/BILLWA REF #24431067D2DK348L3"/>
        <s v="Tst* Parlour Food Trminneapolis Xxxxxxx4013 Restaurant"/>
        <s v="Aplpay Slice*luluspinew York Ci Nt_owykz5jl +xxxxxxx9928"/>
        <s v="Minnesota State Fair"/>
        <s v="AMZN Mktp US             Amzn.com/billWA REF #74692167D3212YHBA"/>
        <s v="AMZN Mktp US             Amzn.com/billWA REF #74692167D3216ZPRF"/>
        <s v="AMZN Mktp US             Amzn.com/billWA REF #74692167D321B08GH"/>
        <s v="AMZN Mktp US             Amzn.com/billWA REF #74692167D321B89T0"/>
        <s v="AMZN Mktp US             Amzn.com/billWA REF #74692167D321DT2YA"/>
        <s v="AMZN Mktp US             Amzn.com/billWA REF #74692167D321DYWHW"/>
        <s v="AMZN Mktp US             Amzn.com/billWA REF #74692167D321F0JA5"/>
        <s v="AMZN Mktp US*T31TY2P12   Amzn.com/billWA REF #24692167E32N7NSRK"/>
        <s v="AMZN Mktp US*T35H04F91   Amzn.com/billWA REF #24692167E32PFVJ78"/>
        <s v="MARATHON PETRO14456      MINNETONKA   MN REF #24034547E02NV9W1F"/>
        <s v="MCW 1602-MINNETONKA      952-3778113  MN REF #24071057EVALAPLZ5"/>
        <s v="Mills Fleet Farm"/>
        <s v="NA'S THAI CAFE           CHANHASSEN   MN REF #24055227E60ZJ9E05"/>
        <s v="SQ *BRIM                 Saint Paul   MN REF #24692167E32RP4SD8"/>
        <s v="SQ *UNION HMONG KITCHEN ASaint Paul   MN REF #24692167E32NM5A6V"/>
        <s v="SWEET MARTHA'S COOKIE TH ST PAUL      MN REF #24055227FBMA8BDFL"/>
        <s v="AMAZON.COM*T30IJ4471 AMZNAMZN.COM/BILLWA REF #24431067F2DK8R3ZH"/>
        <s v="ARBORETUM APPLEHOUSE     CHASKA       MN REF #24138297G2M81E2AW"/>
        <s v="Ls Bluff Creek Golf Chaska Mn Nt_ox8lg0sk Xxxxxx5685"/>
        <s v="LYFT   *INCREASE TIP     LYFT.COM     CA REF #24011347G0004YPS1"/>
        <s v="LYFT   *RIDE SAT 11AM    LYFT.COM     CA REF #24011347F0010P90D"/>
        <s v="RALLY HOUSE              800-381-9177 KS REF #24492157FMLTFASQG"/>
        <s v="SQ *RUBY'S ROOST VICTORIAVictoria     MN REF #24692167F339PT1N7"/>
        <s v="Creative Mobilxx0014boston Ma Xxxxxxxxx Xxx-xxx0000"/>
        <s v="Temazcal"/>
        <s v="AMZN Mktp US*T32K49M11   Amzn.com/billWA REF #24692167J358ZH5YL"/>
        <s v="AMZN Mktp US*T39N71W62   Amzn.com/billWA REF #24692167J35HZN2LF"/>
        <s v="COSTCO GAS #0783         EDEN PRAIRIE MN REF #24943007KS4BZPJ8V"/>
        <s v="Deposit Dividend Split Rate Annual Percentage Yield Earned 1.51% from 08/01"/>
        <s v="Msp Airport Parking"/>
        <s v="Tst* Harpoon Tap Rooboston Ma Xxxxxxx3244 Bar/nightclub"/>
        <s v="Aloft Hotels"/>
        <s v="Withdrawal Home Banking Transfer To Loan 02 REF # XX4955"/>
        <s v="Aplpay Balsam Lake Bbalsam Lake De4odi9gipv Squareup.com/receipts"/>
        <s v="Aplpay Hopsack Llc Balsam Lake 3tlpuvlf2vf Squareup.com/receipts"/>
        <s v="Aplpay Hopsack Llc Balsam Lake L0byc4nwh7d Squareup.com/receipts"/>
        <s v="Kj's New North 40390balsam Lake Xxxxxxx3246 Kjsnewnorth@gmail.com"/>
        <s v="Balsam Lake"/>
        <s v="Wayne's Foods Plus 0luck Wi"/>
        <s v="Menards"/>
        <s v="Arboretum"/>
        <s v="Jo-Ann Stores"/>
        <s v="Aplpay Bt*rally Houslenexa Ks"/>
        <s v="Aplpay Kansas Univerlawrence Ks"/>
        <s v="Fevogm - New York 52new York Ny"/>
        <s v="Jayhawk Food Mart"/>
        <s v="Jeffersons"/>
        <s v="Kansas Univ Flex 000lawrence Ks"/>
        <s v="The Burger"/>
        <s v="The Oread Hotel"/>
        <s v="Withdrawal at ATM #XX8640 THE OREAD HO-XX1195 1200 OREAD AVENUE LAWRENCE KS"/>
        <s v="Aplpay Tst* Papa Kenlawrence Ks"/>
        <s v="The Burger Stand"/>
        <s v="The Hawk 6xxxxxx0448lawrence Ks"/>
        <s v="The Sandbar &amp; Kitchen"/>
        <s v="Tst* Black Stag Brewlawrence Ks"/>
        <s v="Aplpay X35 - Made Inlas Vegas Nv"/>
        <s v="BLVD *GOGLOW EDINA EDINA MN REF #XX5007VEHY45EE8"/>
        <s v="Cinnabon"/>
        <s v="Merchants Pub And Pllawrence Ks"/>
        <s v="National Car Rental"/>
        <s v="ParkMobile"/>
        <s v="Rally House"/>
        <s v="Aaa Taxi"/>
        <s v="Hallmark Movies Now"/>
        <s v="Aplpay Runsignup*sigmoorestown Nj"/>
        <s v="Aplpay Wayzata Cafe Wayzata Mn"/>
        <s v="Fairmont Hotel"/>
        <s v="Msp Pod1 Shoyu Markephiladelphia Pa"/>
        <s v="Aplpay Bt*i See Me! Plymouth Mn"/>
        <s v="Aplpay Lunds&amp;byerlyschanhassen Mn"/>
        <s v="U Of M Ticket/eventsminneapolis Mn"/>
        <s v="Aplpay Shorewood Truexcelsior Mn"/>
        <s v="Deer Run Golf Club"/>
        <s v="Green Gourmet"/>
        <s v="SQ *ARCADE HIGHWAY LLC Excelsior MN REF #XX8336Dx5570"/>
        <s v="SQ *NORTH STAR DONUTS Wayzata MN REF #XX8336DN5F8X"/>
        <s v="The Fletcher School"/>
        <s v="Clayton Hotel Cork Ecork City"/>
        <s v="Clayton Hotel Cork Fcork"/>
        <s v="Costco Gas Stations"/>
        <s v="Hmshost"/>
        <s v="Aplpay Fh* Jack Hartlihue Hi"/>
        <s v="Aplpay Order.noodlesbroomfield Co"/>
        <s v="Carrolls Irish Giftscork"/>
        <s v="PV CAB 01 MIDLETON IE REF #XX6866HMS4ATR"/>
        <s v="Transfer from Venmo"/>
        <s v="5 POINTS DELI AND CAFE CORK CITY IE REF #XX8700T1T2E2"/>
        <s v="Burnt Pizza"/>
        <s v="Google Cloud Storage"/>
        <s v="MCW 1602-MINNETONKA XX8113 MN REF #XX0586VALFABJS"/>
        <s v="WAYZATA CAFE WAYZATA MN REF #XX0087W65VEY2N"/>
        <s v="Whsmith"/>
        <s v="BONFES PLUMBING HEATING AXX6633 MN REF #XX3987S66LD87X"/>
        <s v="Gallagher's Steakhouse Inc"/>
        <s v="NUA ASADOR CORK IE REF #XX6988SRS5G50J"/>
        <s v="SON OF A BUN CORK IE REF #XX6687HH7YWT9M"/>
        <s v="UNITY SHOP CORK IE REF #XX8802EZ7KE7"/>
        <s v="UNITY SHOP CORK IE REF #XX8802EZ7KEF"/>
        <s v="MCW 1602-MINNETONKA XX8113 MN REF #XX0588VAMR9214"/>
        <s v="THOMPSONS CORK IE REF #XX6989SRS50TLT"/>
        <s v="THOMPSONS CORK IE REF #XX6989SRS51NG6"/>
        <s v="Aplpay Tst* Boludo 0minneapolis Mn"/>
        <s v="Excelsior Brewing Coexcelsior Mn"/>
        <s v="Hazelwood Food And Dexcelsior Mn"/>
        <s v="Sp Normal Brand Cor Saint Louis Mo"/>
        <s v="Tst* Boludo 0xxx6904minneapolis Mn"/>
        <s v="Vuori Clothing"/>
        <s v="HM.COM XX7467 NY REF #XX8906JRB2NH"/>
        <s v="The Shelbourne Bar Cork IE REF #XX7468A6J1DDM9W"/>
        <s v="The Shelbourne Bar Cork IE REF #XX7468A6J1JTXL6"/>
        <s v="The Shelbourne Bar Cork IE REF #XX7468A6J1M3VGK"/>
        <s v="The Shelbourne Bar Cork IE REF #XX7468A6J269BNF"/>
        <s v="The Shelbourne Bar Cork IE REF #XX7468A6J2771W2"/>
        <s v="The Shelbourne Bar Cork IE REF #XX7468A6J281BL0"/>
        <s v="WH Smith Cork Airport Cork IE REF #XX9808A6VK43V2N"/>
        <s v="Jaxen Grey - Ridgedaminnetonka Mn"/>
        <s v="Mackenthun S Meats &amp;saint Bonifac Mn"/>
        <s v="Aplpay Garrison Famigarrison Mn"/>
        <s v="Lonesome Pine Restaudeerwood Mn"/>
        <s v="Burritos California"/>
        <s v="The Deerstand"/>
        <s v="Aplpay Slice*luluspinew York City Ny"/>
        <s v="Deposit Dividend Split Rate Annual Percentage Yield Earned 1.54% from 09/01"/>
        <s v="SQ *CUYUNA OUTFITTERS LLCrosby MN REF #XX2168G2X914VF1"/>
        <s v="Withdrawal Home Banking Transfer To Loan 02 REF # XX0907"/>
        <s v="ARBORETUM APPLEHOUSE CHASKA MN REF #XX8298K2M7ZH34R"/>
        <s v="Salary/Regular Income from U.S. Department Of The Treasury"/>
        <s v="SQ *NORTH STAR DONUTS Victoria MN REF #XX2168J2YVKJY75"/>
        <s v="Penzeys Spices"/>
        <s v="2024 Grandmas Marathboston Ma"/>
        <s v="All Seasons Garment Chanhassen Mn"/>
        <s v="Bp Global"/>
        <s v="Pga Tour Superstore"/>
        <s v="H&amp;M"/>
        <s v="PLUNKETTS PEST CONTROL MINNEAPOLIS MN REF #XX3398P00KHR4MQ"/>
        <s v="Vudu"/>
        <s v="BLVD *FACE FOUNDRIE WAYXX-7151 MN REF #XX5008TEJ2M5YAM"/>
        <s v="MACKENTHUN`S MEATS &amp; DELISAINT BONIFACMN REF #XX1948T0W02EV2T"/>
        <s v="Uniqlo"/>
        <s v="Jewelry Works"/>
        <s v="Sierra Trading Post"/>
        <s v="Tst* Bussin Birria 3bloomington Mn"/>
        <s v="Hawaii Poke"/>
        <s v="Tst* Honey Paw 00057portland Me"/>
        <s v="Tst* Maynards Insideexcelsior Mn"/>
        <s v="Aplpay Truckin Good Edgecomb Me"/>
        <s v="Unified Parking Partners"/>
        <s v="SP PUR BRANDS LLC HTTPSPURBRANDTX REF #XX0015XP79"/>
        <s v="SP PUR BRANDS LLC HTTPSPURBRANDTX REF #XX0009RKTT"/>
        <s v="Kids' Hair"/>
        <s v="Aplpay Tst* Delsur Eminnetonka Mn"/>
        <s v="Deposit ACH MBI TYPE: SETL ID: XX1866 CO: MBI Entry Class Code: ACH Trace N"/>
        <s v="Google *wsj.com G.co/helppay# Ca"/>
        <s v="Zenotic Inc*europeanbellevue Wa"/>
        <s v="Firehouse Subs"/>
        <s v="Manchu Wok"/>
        <s v="Tst* Unmapped Brewinminnetonka Mn"/>
        <s v="Aer Lingus"/>
        <s v="BONFES PLUMBING HEATING AXX6633 MN REF #XX3995S66KE103"/>
        <s v="Deja Vu Surf Hi-poipkoloa Hi"/>
        <s v="IN *DETAILS RESIDENTIAL SXX1751 MN REF #XX5349Q8SBY"/>
        <s v="Little Fish Coffee"/>
        <s v="Longs Drugs"/>
        <s v="MCW 1602-MINNETONKA XX8113 MN REF #XX0596VAKKSJJY"/>
        <s v="Savage"/>
        <s v="Withdrawal at ATM #XX8533 POIPU SHOPPI-XX3379 2360 KIAHUNA PLANTATION POIPU"/>
        <s v="Fh* Blue Hawaiian Hedenver Co"/>
        <s v="Aplpay Tst* Kauai Belihue Hi"/>
        <s v="Cruiser Boutique"/>
        <s v="Eating House Koloa Hi"/>
        <s v="KAUAI CLOTHING CO (KCC-03KOLOA HI REF #XX8980FVLL5E7"/>
        <s v="Kauai Sushi Station Lihue Hi"/>
        <s v="Glf*poipubaygolfcourkoloa Hi"/>
        <s v="Hilton Garden Inn"/>
        <s v="Keoki's Paradise Kaukoloa Hi"/>
        <s v="Riptides Shave Ice Apoipu Hi"/>
        <s v="Aplpay Ai Ono Caf Llihue Hi"/>
        <s v="Big Monster Sushi Anlihue Hi"/>
        <s v="Boss Frog's Dive Shop"/>
        <s v="Smartwool"/>
        <s v="Deposit Dividend Split Rate Annual Percentage Yield Earned 1.89% from 10/01"/>
        <s v="Amazon Music*DC0QM7CV3   888-802-3080 WA REF #24692169G30EYSDN3"/>
        <s v="Withdrawal Transfer To Loan 02"/>
        <s v="Deposit Home Banking Transfer From Share 01 REF # XX0463"/>
        <s v="Deposit Home Banking Transfer REF # XX0448 From TRUITTBRITNEY K XX6126 Shar"/>
        <s v="SP NORMAL BRAND COR THENORMALBRANMO REF #XX2169Hx0202S7N"/>
        <s v="WAYZATA CAFE WAYZATA MN REF #XX3009KW5YAYHNL"/>
        <s v="Trufit Cafe &amp; Smoothspring Park Mn"/>
        <s v="Buddy Boy Fine Barbeminnetrista Mn"/>
        <s v="Mudd Creek Country Sfranklin Tx"/>
        <s v="SP NORMAL BRAND COR THENORMALBRANMO REF #XX2169T000GRQKD"/>
        <s v="Amc Theatres"/>
        <s v="Dave &amp; Buster's"/>
        <s v="Delta Cb_platinum"/>
        <s v="ARBORETUM APPLEHOUSE CHASKA MN REF #XX8299W2M7WMFP6"/>
        <s v="Aus 3196u Market 512austin Tx"/>
        <s v="Austin-bergstrom International Airport"/>
        <s v="Creative Mobilxx0014boston Ma"/>
        <s v="Dunkin' Donuts"/>
        <s v="Jj-pcg Msp Venture Lsaint Paul Mn"/>
        <s v="Msp Hudson St2295 22saint Paul Mn"/>
        <s v="Primaclassicalcoachimaple Grove Mn"/>
        <s v="Tst* Row 34 - Cambricambridge Ma"/>
        <s v="Ac Hotels"/>
        <s v="Transfer to Coinbase"/>
        <s v="Crossroads"/>
        <s v="Google *svcsgns.3349g.co/helppay# Ca"/>
        <s v="Tst* Harpoon Tap Rooboston Ma"/>
        <s v="Lake Tahoe Resort"/>
        <s v="The Lobby"/>
        <s v="811 Washington Ramp North Oaks Mn"/>
        <s v="Old Navy"/>
        <s v="BONFES PLUMBING HEATING AXX6633 MN REF #XX7539A4S66K79B0"/>
        <s v="AMZN Mktp US*0F6B73VE3 Amzn.com/billWA REF #XX9216A52XJx7511"/>
        <s v="ARBORETUM APPLEHOUSE CHASKA MN REF #XX3829A62M7WMGVG"/>
        <s v="BCS*MINNETONKA COMMUNITY XX-6800 MN REF #XX3746A601JNM6G7"/>
        <s v="BCS*MINNETONKA COMMUNITY XX-6800 MN REF #XX3746A601JNM6JV"/>
        <s v="Coursra35bcaxv388l92mountain Vi Ca"/>
        <s v="MCW 1602-MINNETONKA XX8113 MN REF #XX7105A5VALG8WLJ"/>
        <s v="Ramp C Ecomm Xxxxxxxxxx-xxx7275 Mn"/>
        <s v="Test Kitchen"/>
        <s v="Tst* Two Mixed Up Llminneapolis Mn"/>
        <s v="WAYZATA CAFE WAYZATA MN REF #XX4300A6W5V6ZH4K"/>
        <s v="Sp Indyeva Canada Dev Xxxxxx4802 Can Apple Pay Ending In 7968"/>
        <s v="Williams-sonoma"/>
        <s v="Amk"/>
        <s v="Aplpay The Burton Coburlington Vt"/>
        <s v="Black Sheep"/>
        <s v="The Burton Corporatiburlington Vt"/>
        <s v="Aplpay Onstreet 8090minneapolis Mn"/>
        <s v="Aplpay Premium Parkinew Orleans La"/>
        <s v="BLVDKITCHE* BLVD KITCH BLVDKITCHEN.CMA REF #XX9216AA0003N96Q"/>
        <s v="Ruhland's Strudel Hasaint Paul Mn"/>
        <s v="Tst* Coalition Excelexcelsior Mn"/>
        <s v="War Forged Printing Chanhassen Mn"/>
        <s v="Bonfe's Plumbing Heasouth Saint P Mn"/>
        <s v="Jhmr Online Store Teton Village Wy"/>
        <s v="Sp Sendjoeskcbbq Olathe Ks"/>
        <s v="J.crew"/>
        <s v="Parnassus St2342 234nashville Tn"/>
        <s v="Shorewood Liquor"/>
        <s v="In *garage Floor Coaminneapolis Mn"/>
        <s v="Sherwin-williams"/>
        <s v="Deposit Dividend Split Rate Annual Percentage Yield Earned 2.55% from 11/01"/>
        <s v="Discover Bank Deposit"/>
        <s v="Rdstr Inc.*montec Chicago Il"/>
        <s v="Amazon Music*AA5HH5UD3 XX-3080 WA REF #XX9216AF353W95RS"/>
        <s v="AMZN Mktp US*565AB5T43 Amzn.com/billWA REF #XX9216AG2X704FAJ"/>
        <s v="Liquor Boy"/>
        <s v="Teladoc"/>
        <s v="AMZN Mktp US*6W7HB0RM3 Amzn.com/billWA REF #XX9216AJ2YRR4MXE"/>
        <s v="ARBORETUM APPLEHOUSE CHASKA MN REF #XX3829AK2M7VNZFL"/>
        <s v="Evernote"/>
        <s v="Tide Dry Cleaners"/>
        <s v="Na's Thai Cafe"/>
        <s v="AMZN MKTP US*3D72F7CA3 SEATTLE WA REF #XX3106AM2DYG8PKH"/>
        <s v="AMZN MKTP US*8Q00K16P3 SEATTLE WA REF #XX3106AM2DYW010H"/>
        <s v="Runyon's 5xxxxxx0172minneapolis Mn"/>
        <s v="Sweetgreen"/>
        <s v="Tst* Public Domain 0minneapolis Mn"/>
        <s v="U OF M-ARBORETUM STORE CHASKA MN REF #XX3829AN2MDD38JV"/>
        <s v="U OF M-EVENTS ARB CHASKA MN REF #XX3829AN2MQGFNMF"/>
        <s v="Withdrawal ACH NORTHERN STAR EV TYPE: SES:XX0350 ID: XX3620 CO: NORTHERN ST"/>
        <s v="Deposit ACH eBay ComWLKXTISM TYPE: PAYMENTS ID: XX6000 CO: eBay ComWLKXTISM"/>
        <s v="Deposit ACH eBay ComDVGUHE3P TYPE: PAYMENTS ID: XX6000 CO: eBay ComDVGUHE3P"/>
        <s v="Minnesota Urology 00minneapolis Mn"/>
        <s v="The Winery"/>
        <s v="Etsy"/>
        <s v="Lifetime"/>
        <s v="ATM Withdrawal at US Bank Chanhassen MN"/>
        <s v="Tst* Snack Bar 00009minneapolis Mn"/>
        <s v="AMZN Mktp US*594BE0GK3 Amzn.com/billWA REF #XX9216AW2Y1QVMBH"/>
        <s v="AMZN Mktp US*HS0TP1TC3 Amzn.com/billWA REF #XX9216AW2XTV2XRY"/>
        <s v="INTERSTATE PARKING WWW.INTERSTATWI REF #XX9216AX000BM2AN"/>
        <s v="Withdrawal ACH TRUITTJEFF B TYPE: Online ID: XX2400 NAME: TRUITTJEFF B Entr"/>
        <s v="Dd *victoriaburrow San Francisco Ca"/>
        <s v="ONSTREET XX7275 MN REF #XX8930AXR3G8QA2P"/>
        <s v="Amzn Mktp Us Amzn.com/billwa 2ufavqp60jh"/>
        <s v="Children's Museum"/>
        <s v="Withdrawal at ATM #XX 455 POND PROMENADE CHANHASSEN MN"/>
        <s v="BONFES PLUMBING HEATING AXX6633 MN REF #XX7539B2S66H9JBN"/>
        <s v="Buck Hill Website 65burnsville Mn"/>
        <s v="Lions Tap 0xxxxx0218eden Prairie Mn"/>
        <s v="SP INDYEVA CANADA DEV CARIGNAN CD REF #XX8342Bx0003N906"/>
        <s v="Tst* Dukes On 7 0001minnetonka Mn"/>
        <s v="Base Camp Pizza Co."/>
        <s v="Beach Retreat And Losouth Lake Ta Ca"/>
        <s v="Dart Beverage Centerstateline Nv"/>
        <s v="Great Basin Brewing Reno Nv"/>
        <s v="East Peak Lodge F&amp;b Stateline Nv"/>
        <s v="South Lake Brewing Cs Lake Tahoe Ca"/>
        <s v="Vail Resorts"/>
        <s v="Bluebird Palisades 1olympic Valley Ca"/>
        <s v="Edgewood Food And Bestateline Nv"/>
        <s v="Honk Palisades 00-08breckenridge Co"/>
        <s v="Kt Base Bar Palisadeolympic Valley Ca"/>
        <s v="Palisades Hotel"/>
        <s v="Twenty Two Bistro 54olympic Valle Ca"/>
        <s v="Amazon Music*TK5YC1O30 XX-3080 WA REF #XX9216BD2ZP4BW8R"/>
        <s v="Lake Tahoe Oil Compazephyr Cove Nv"/>
        <s v="Margaritaville"/>
        <s v="Withdrawal ACH CPENERGY MNGCO TYPE: MGC ACH EB ID: 1XX1140S CO: CPENERGY MN"/>
        <s v="Payment to AT&amp;T"/>
        <s v="5 Points Cork IE REF #XX0916KS10BZ7DAW"/>
        <s v="Best Brands Inc"/>
        <s v="Floyd's"/>
        <s v="SP MARINE LAYER HTTPSWWW.MARICA REF #XX9216QM0008KDE3"/>
        <s v="Aplpay Tst* North Coexcelsior Mn"/>
        <s v="5 Points Cork IE REF #XX0916NN11ZLHGQB"/>
        <s v="AMZN Mktp US*TK2PY32Z0 Amzn.com/billWA REF #XX9216QM32X7R3YY"/>
        <s v="ALOFT KANSAS CITY COKANSAS CITY         MO"/>
        <s v="Minuteclinic"/>
        <s v="Payment to Amazon Prime"/>
        <s v="AplPay ARAMARK ARROWKANSAS CITY         MO"/>
        <s v="AplPay BE RELAX DETRDETROIT             MI"/>
        <s v="Seaport Wine And Spiboston Ma"/>
        <s v="TONKA TD CLUB MINNETONKAFOOMN REF #XX9216QT000XPG7X"/>
        <s v="ACT*Camp Fire MN XX4991 TX REF #XX1339QS00YY7281"/>
        <s v="AplPay CHIPOTLE ONLINEWPORT BEACH       CA"/>
        <s v="Scout Shop"/>
        <s v="Stages Theatre Company"/>
        <s v="AplPay GREAT AMER BAFORT MYERS          FL"/>
        <s v="BLVD *FACE FOUNDRIE WAYXX-7151 MN REF #XX4500QVEJ2GXFJ3"/>
        <s v="SP PUR BRANDS LLC HTTPSPURBRANDTX REF #XX9216QV000T3EJF"/>
        <s v="Nicollet Island Inn Minneapolis Mn"/>
        <s v="Office Depot"/>
        <s v="AMZN Mktp US*R838A0ZV0 Amzn.com/billWA REF #XX9216QX2ZWR8ZNY"/>
        <s v="AMZN MKTP US*RT7ZG8PW2 SEATTLE WA REF #XX3106QW2DKSBT29"/>
        <s v="Chaska Pandr 6xx0000chaska Mn"/>
        <s v="AMZN Mktp US*R83RX5TS0 Amzn.com/billWA REF #XX9216QY30DZWFHX"/>
        <s v="AMZN Mktp US*RT0UG7XU1 Amzn.com/billWA REF #XX9216QY30DYJ1WE"/>
        <s v="Minnesota Market"/>
        <s v="Lakewinds Natural Foods"/>
        <s v="Aplpay Mall Of Ameribloomington Mn"/>
        <s v="Marine Layer"/>
        <s v="AplPay HMSHOST SCHIPSCHIPHOL            NL"/>
        <s v="Sealife"/>
        <s v="SUNU CHIROPRACTIC INC SUNUWELLNESS.MN REF #XX9216D3001FRJT3"/>
        <s v="Wdw Tickets Lake Buena Vi Fl"/>
        <s v="Withdrawal Fee VISA INTERNATIONAL SERVICE ASSESSMENT Date"/>
        <s v="Withdrawal WWW.JAMESONWHISKEY.COM DUBLIN IE Date XX 5813"/>
        <s v="BONFES PLUMBING HEATING AXX6633 MN REF #XX7539D5S66GTPKK"/>
        <s v="Autopay Payment - Thank You"/>
        <s v="MCW 1602-MINNETONKA XX8113 MN REF #XX7105D5VAL7836T"/>
        <s v="Bayou Cork IE REF #XX0916NM11ZFD3Z9"/>
        <s v="BONEFISH GRILL #7112ATLANTA             GA"/>
        <s v="5 Points Deli And Cafe Cork City Irl 11.21 @ 0xxx0001.xxx4790 Eur"/>
        <s v="AMZN Mktp US*R01YL15Y0 Amzn.com/billWA REF #XX9216D72X9AG7KK"/>
        <s v="AMZN Mktp US*R84DP5SW1 Amzn.com/billWA REF #XX9216D72X98V95J"/>
        <s v="AMZN Mktp US*R88GY1WX1 Amzn.com/billWA REF #XX9216D82YB1ET3A"/>
        <s v="BP#8797169AIRPORT BPST. LOUIS           MO"/>
        <s v="BRADLEYS CORK IE REF #XX6366NMHV4QEZDV"/>
        <s v="BURNTWOOD TAVERN - BFORT MYERS          FL"/>
        <s v="Aplpay Ramen Kawae Lminneapolis Mn"/>
        <s v="WAYZATA COFFEE WAYZATA MN REF #XX4300DAW5SA44K7"/>
        <s v="North Loop Galley"/>
        <s v="Withdrawal DUNNES MERCHANTS QUAY CORK IE Date XX 5411"/>
        <s v="ONSTREET XX7275 MN REF #XX8930DD0DA5TAR1"/>
        <s v="Withdrawal SUBRALOTT MUENCHEN FLUG DF Date XX 5812"/>
        <s v="Deposit Dividend Split Rate Annual Percentage Yield Earned 2.71% from 01/01"/>
        <s v="Amazon Music*R03ZL0R51 XX-3080 WA REF #XX9216DF33Q6P583"/>
        <s v="El Sazon Cocina &amp; Trminneapolis Mn"/>
        <s v="Aplpay Spirit Gear Mexcelsior Mn"/>
        <s v="Slatwallacc Xxxxxx6132 Fl"/>
        <s v="Body Works"/>
        <s v="AMZN Mktp US*RB5Y29EF0 Amzn.com/billWA REF #XX9216DL2XLL8Z0R"/>
        <s v="Aplpay Ls Primp Exceexcelsior Mn"/>
        <s v="La Senda Spanish Minnetonka Mn"/>
        <s v="AMZN Mktp US*RB2PP35N0 Amzn.com/billWA REF #XX9216DM2YLx2820"/>
        <s v="AMZN Mktp US*RB5DL9G60 Amzn.com/billWA REF #XX9216DM2Y3V933L"/>
        <s v="AMZN Mktp US*RXX9706U1 Amzn.com/billWA REF #XX9216DM2Y3L2N6E"/>
        <s v="Kids' Hair Llc Edina Mn"/>
        <s v="Mtka Youth Lax Xxxxxx1035 Mn"/>
        <s v="Allianz Global Assistance"/>
        <s v="AMZN Mktp US*R25GK3YV1 Amzn.com/billWA REF #XX9216DP2ZPJVXPQ"/>
        <s v="AMZN Mktp US*RB0WZ1MP2 Amzn.com/billWA REF #XX9216DR2XBJH34W"/>
        <s v="AMZN Mktp US*RB1C82KS0 Amzn.com/billWA REF #XX9216DP2ZPGGMT4"/>
        <s v="AMZN Mktp US*RB1ZI3V02 Amzn.com/billWA REF #XX9216DP2X5X03LQ"/>
        <s v="AMZN Mktp US*RB44Q9A81 Amzn.com/billWA REF #XX9216DT2YVD8WZF"/>
        <s v="AMZN Mktp US*RB46K2DZ2 Amzn.com/billWA REF #XX9216DT2YGA3SBB"/>
        <s v="LAKES DERMATOLOGY - BUSI BURNSVILLE MN REF #XX0197DRM4TYNFBH"/>
        <s v="Tequila Butcher"/>
        <s v="Bcs*prior Lake-savagprior Lake Mn"/>
        <s v="Bcs*minnetonka Commuexcelsior Mn"/>
        <s v="Tweet Pediatric Dentchanhassen Mn"/>
        <s v="Anna Nails"/>
        <s v="Aplpay Jj S Poke Edina Mn"/>
        <s v="Tst* Bar Cart Restausaint Paul Mn"/>
        <s v="101 Washington Ave Nminneapolis Mn"/>
        <s v="Aplpay Tst* Stepchldminneapolis Mn"/>
        <s v="Bonobos"/>
        <s v="Buck Bar"/>
        <s v="Aplpay Edible.com Atlanta Ga"/>
        <s v="Tst* Borough And Parminneapolis Mn"/>
        <s v="ONSTREET XX7275 MN REF #XX8930E23S03FMG7"/>
        <s v="AMZN Mktp US*RW9SL8QK0 Amzn.com/billWA REF #XX9216E335W5ZVXW"/>
        <s v="BONFES PLUMBING HEATING AXX6633 MN REF #XX7539E3S66G0P8H"/>
        <s v="Smith"/>
        <s v="Marathon Petroleum"/>
        <s v="Courtyard By MarriotNashville           TN"/>
        <s v="Deposit Dividend Split Rate Annual Percentage Yield Earned 3.69% from 02/01"/>
        <s v="Amazon Music*RW6O34WO1 XX-3080 WA REF #XX9216ED33RJ6W28"/>
        <s v="Minnesota Zoo Membership"/>
        <s v="Tst* Porzana 0xx4034minneapolis Mn"/>
        <s v="Aplpay Tst* Maynardsexcelsior Mn"/>
        <s v="Tst* Crave Food &amp; Drst. Louis Par Mn"/>
        <s v="Park Tavern"/>
        <s v="Sun Country Airlines"/>
        <s v="Withdrawal ACH BCU MORTGAGE TYPE: LOAN PAYMT ID: 9DRAFTING CO: BCU MORTGAGE"/>
        <s v="AMZN Mktp US*RN6XH0VS2 Amzn.com/billWA REF #XX9216EL2ZWX3VDS"/>
        <s v="ATM Withdrawal at Bank Of Jackson Hole Jackson WY"/>
        <s v="Aspens Market"/>
        <s v="Westside Wine &amp; Spirits"/>
        <s v="AMZN Mktp US*R60FD6102 Amzn.com/billWA REF #XX9216ET340JPYMR"/>
        <s v="AMZN Mktp US*RH05V0C80 Amzn.com/billWA REF #XX9216ET34B8728H"/>
        <s v="AMZN MKTP US*R62MA57U2 SEATTLE WA REF #XX3106EW2DJVJ5Y6"/>
        <s v="Three Rivers"/>
        <s v="BONFES PLUMBING HEATING AXX6633 MN REF #XX7539F0S66F1FEQ"/>
        <s v="AMZN Mktp US*RA3Y205I0 Amzn.com/billWA REF #XX9216F433A662EE"/>
        <s v="AMZN Mktp US*K48WK22Y3 Amzn.com/billWA REF #XX9216F735HBBE4W"/>
        <s v="Deposit ACH IRS TREAS 310 TYPE: TAX REF ID: XX6170 CO: IRS TREAS 310 Entry "/>
        <s v="Deposit Dividend Split Rate Annual Percentage Yield Earned 2.54% from 03/01"/>
        <s v="Amazon Music*RA1Mx5551 XX-3080 WA REF #XX9216FB2ZDGZXMH"/>
        <s v="U.s. Passports"/>
        <s v="AMZN MKTP US*CS7LO2IE3 SEATTLE WA REF #XX3106FQ2DYWQNEX"/>
        <s v="Sheraton Hotels &amp; Resorts"/>
        <s v="Sonic Drive-in"/>
        <s v="Travel Traders"/>
        <s v="Wdw Cosmic Ray's Lake Buena Vi Fl"/>
        <s v="Wdw Emporium Lake Buena Vi Fl"/>
        <s v="Wdw Popcorn Carts Lake Buena Vi Fl"/>
        <s v="For Heaven Shakes Icbonita Spring Fl"/>
        <s v="Aplpay Seed To Tablenaples Fl"/>
        <s v="Karen Martsolf Lmt Sbonita Springs Fl"/>
        <s v="Seed To Table"/>
        <s v="The Spa At Valencia Bonita Springs Fl"/>
        <s v="Trackside"/>
        <s v="Tst* Nervous Nelliesfort Myers Beac Fl"/>
        <s v="#503 Naples Del Mar Naples Fl"/>
        <s v="Collierucfounderssqunaples Fl"/>
        <s v="Sea Salt Eatery"/>
        <s v="Aplpay Great Amer Bafort Myers Fl"/>
        <s v="Hungryroot"/>
        <s v="AMZN Mktp US*3490T2J83 Amzn.com/billWA REF #XX9216FL33K2FG8R"/>
        <s v="AMZN Mktp US*F62OD3XJ3 Amzn.com/billWA REF #XX9216FL3347XPNA"/>
        <s v="Tst* Maynards - Outsexcelsior Mn"/>
        <s v="Ls Bluff Creek Golf Chaska Mn"/>
        <s v="Tavern 4 &amp; 5"/>
        <s v="Treering"/>
        <s v="Aplpay Crate &amp; Barrenorthbrook Il"/>
        <s v="Dd *lagotacos San Francisco Ca"/>
        <s v="Ls South Lake Cycle Excelsior Mn"/>
        <s v="Mackenthun's Fine Fominnetrista Mn"/>
        <s v="Sp Dr. Dennis Gross New York Ny"/>
        <s v="Aplpay Merlins Ace Hchanhassen Mn"/>
        <s v="Aplpay Crisp &amp; Greenwayzata Mn"/>
        <s v="Creede Snowshoe Lodgcreede Co"/>
        <s v="Jaxen Grey - Edina 0edina Mn"/>
        <s v="Ls The Lakes Runningexcelsior Mn"/>
        <s v="Aplpay Northwood Musminneapolis Mn"/>
        <s v="Aplpay Tonzkitchen Minneapolis Mn"/>
        <s v="Damico &amp; Sons-mill Cminneapolis Mn"/>
        <s v="AMZN Mktp US*NQ2W35GC3 Amzn.com/billWA REF #XX9216FZ3250ASW7"/>
        <s v="Lake &amp; Irving"/>
        <s v="Onstreet 8090 0x4870minneapolis Mn"/>
        <s v="Renewal Membership Fee"/>
        <s v="Sp Huma Gel Nashville Tn"/>
        <s v="BONFES PLUMBING HEATING AXX6633 MN REF #XX7539G0S66D3P7A"/>
        <s v="AMAZON RET* XX3785 WWW.AMAZON.COWA REF #XX1134G2001H4J18"/>
        <s v="LISA`S TAILOR SHOP EDEN PRAIRIE MN REF #XX0780G40T570AHV"/>
        <s v="Ls Island View Golf Waconia Mn"/>
        <s v="Mendota Valley Amusesouth Saint P Mn"/>
        <s v="Ballybunion Golf Cluballybunion"/>
        <s v="Deposit Dividend Split Rate Annual Percentage Yield Earned 2.35% from 04/01"/>
        <s v="Amazon Music*2P9GC6K03 XX-3080 WA REF #XX9216GAXX6548WF"/>
        <s v="AMZN Mktp US*NG3D34MR3 Amzn.com/billWA REF #XX9216GB320E3SK8"/>
        <s v="AMZN Mktp US*WZ7GQ0L63 Amzn.com/billWA REF #XX9216GA31W0M151"/>
        <s v="Withdrawal ACH NORTHERN STAR EV TYPE: SES:XX0378 ID: XX3620 CO: NORTHERN ST"/>
        <s v="Buca Di Beppo"/>
        <s v="Bt*i See Me! Plymouth Mn"/>
        <s v="AMZN Mktp US*5O3W09TP3 Amzn.com/billWA REF #XX9216GQ3383NPH7"/>
        <s v="Yeti"/>
        <s v="Bt*preschool Smiles Eden Prairie Mn"/>
        <s v="Aplpay U Of M-arb Apchaska Mn"/>
        <s v="Aplpay Blvd *face Wayzata Mn"/>
        <s v="Matchstick"/>
        <s v="BENEDICTS RESTAURANT WAYZWAYZATA MN REF #XX3186GM0W0KDF5Z"/>
        <s v="Fsp*chaska Town Courchaska Mn"/>
        <s v="Sp Unrl.co Saint Paul Mn"/>
        <s v="Withdrawal ACH CHEN ZHENQIANG CO: CHEN ZHENQIANG TYPE: IAT PAYPAL ID: 7XX04"/>
        <s v="Clothing"/>
        <s v="AMZN Mktp US*V78N23G93 Amzn.com/billWA REF #XX9216GP32TTSL5K"/>
        <s v="AMZN Mktp US*WI17Y9N03 Amzn.com/billWA REF #XX9216GP32S0MBJ6"/>
        <s v="Taza 00e9 Chanhassen Mn"/>
        <s v="Www.rei.com Kent Wa"/>
        <s v="Hermitage Golf Coursold Hickory Tn"/>
        <s v="LISA`S TAILOR SHOP EDEN PRAIRIE MN REF #XX0780GR0VZFQX4Q"/>
        <s v="Withdrawal ACH RILEY CROSSING C TYPE: XX8412 ID: XX9040 CO: RILEY CROSSING "/>
        <s v="Winchester And Rye 0victoria Mn"/>
        <s v="Fp-minnesota H&amp;f 162dallas Tx"/>
        <s v="AMZN Mktp US*8W8478OU3 Amzn.com/billWA REF #XX9216GV35VD48XH"/>
        <s v="BCS*MINNETONKA COMMUNITY EXCELSIOR MN REF #XX3746GS01LAFX1K"/>
        <s v="BONFES PLUMBING HEATING AXX6633 MN REF #XX7539GXS66M9HE2"/>
        <s v="ONSTREET XX7275 MN REF #XX8930GXJXHGMFQ6"/>
        <s v="ONSTREET XX7275 MN REF #XX8930GXJXHGNFE9"/>
        <s v="AMZN Mktp US*1K0TE8C03 Amzn.com/billWA REF #XX9216GY2YPQB7RZ"/>
        <s v="Bachmans"/>
        <s v="Mel's Sport Shop 039spicer Mn"/>
        <s v="Zorbaz on the Lake"/>
        <s v="Nike"/>
        <s v="Payment to Discovery Trading Post"/>
        <s v="Aplpay Ls Halla Greechanhassen Mn"/>
        <s v="AMZN Mktp US*286W87TE3 Amzn.com/billWA REF #XX9216Hx3320EW68"/>
        <s v="Deposit Dividend Split Rate Annual Percentage Yield Earned 3.00% from 05/01"/>
        <s v="Kaisushi Minnetonka Minnetonka, Mn"/>
        <s v="Amazon Music*O03Hx7463 XX-3080 WA REF #XX9216H9340KFND8"/>
        <s v="AMZN Mktp US*Y490F32K3 Amzn.com/billWA REF #XX9216H934TRG7MA"/>
        <s v="Axs.com*first Avenuelos Angeles Ca"/>
        <s v="Pine Restaurant"/>
        <s v="Plunketts Pest Contrminneapolis Mn"/>
        <s v="Withdrawal ACH ANA NOVIC CO: ANA NOVIC TYPE: IAT PAYPAL ID: 7XX0487C Entry "/>
        <s v="Backcountry.com"/>
        <s v="DELTA AIR LINES     ATLANTA"/>
        <s v="Mst My Choice Transpedina Mn"/>
        <s v="Southern Tide"/>
        <s v="Aplpay Kids' Hair Lledina Mn"/>
        <s v="Fh* Fatbike Adventurwicklow Co"/>
        <s v="Tokyo Steak &amp; Seafooorangeburg Sc"/>
        <s v="Marketplace &amp; Main"/>
        <s v="Pp*mohammad Reza Haboverlandpark Ks"/>
        <s v="Aldi"/>
        <s v="AMZN Mktp US*Q97LK1703 Amzn.com/billWA REF #XX9216HG30YDBX89"/>
        <s v="Aplpay Trail's Ta Tralbert Lea Mn"/>
        <s v="Aplpay Tst* Zombie Bdes Moines Ia"/>
        <s v="Legalzoom"/>
        <s v="Pizza Shuttle"/>
        <s v="CROSSROADS FOOD AND BEV KANSAS CITY MO REF #XX5542HH4NGGP62A"/>
        <s v="Mcw 1602-minnetonka Minnetonka Mn"/>
        <s v="AMZN Mktp US*0L38L9BK3 Amzn.com/billWA REF #XX9216HJ3289BME9"/>
        <s v="AMZN Mktp US*3W4Z09R13 Amzn.com/billWA REF #XX9216HJ32EB8S33"/>
        <s v="AMZN Mktp US*LL5OZ4603 Amzn.com/billWA REF #XX9216HJ325MR0G7"/>
        <s v="AMZN Mktp US*LP0DW6QZ3 Amzn.com/billWA REF #XX9216HJ327MPBB6"/>
        <s v="Mis Amigos"/>
        <s v="Aplpay Tide Dry Cleaexcelsior Mn"/>
        <s v="Deposit Dividend Split Rate Annual Percentage Yield Earned 1.86% from 09/01"/>
        <s v="Deposit Dividend Split Rate Annual Percentage Yield Earned 2.31% from 10/01"/>
        <s v="Subway"/>
        <s v="Dick's Sporting Goods"/>
        <s v="Openai *chatgpt Subssan Francisco Ca"/>
        <s v="DUNKIN #364260 3642 WEST COLUMBIA       SC"/>
        <s v="Dwyers Of Cork 10 Iecork Ir"/>
        <s v="Dwyers Of Cork 11 Iecork Ir"/>
        <s v="EMBASSY SUITES ATLANATLANTA             GA"/>
        <s v="ETERIE 6285440078026ATLANTA             GA"/>
        <s v="Ck *luck Municipal Gluck Wi"/>
        <s v="Exxonmobil"/>
        <s v="FARM AND TABLE INC FALBUQUERQUE         NM"/>
        <s v="Farm And Table Inc Falbuquerque Nm"/>
        <s v="Von Hanson's Meats"/>
        <s v="Pete's"/>
        <s v="Lou?s Fish House Two Harbors Mn"/>
        <s v="Streetcar"/>
        <s v="Tst* Coho Cafe &amp; Baktofte Mn"/>
        <s v="Aplpay Sawtooth Outftofte Mn"/>
        <s v="Aplpay Schroeder Bakschroeder Mn"/>
        <s v="Black Beach Mini Golsilver Bay Mn"/>
        <s v="Bt*school Specialty Greenville Wi"/>
        <s v="GABBY GOAT AMERICAN EFFINGHAM           IL"/>
        <s v="GREAT AMER BAGEL TERFORT MYERS          FL"/>
        <s v="Aplpay Minnesota Stasaint Paul Mn"/>
        <s v="Bellisio's"/>
        <s v="BONFES PLUMBING HEATING AXX6633 MN REF #XX7539HWS66QTHN3"/>
        <s v="Decc Ticket Office 0duluth Mn"/>
        <s v="Leaf Rides Duluth Mn"/>
        <s v="Lighthouse Bed &amp; Bretwo Harbors Mn"/>
        <s v="Mcquades"/>
        <s v="Trailfitters"/>
        <s v="Watersedge Trading Co."/>
        <s v="Americinn Lodge &amp; Suites"/>
        <s v="Aplpay Ybc Fitgers Duluth Mn"/>
        <s v="Canal Park Ice Rink"/>
        <s v="Ls Duluth Kitchen Coduluth Mn"/>
        <s v="Seatgeek"/>
        <s v="Aplpay Tst* Fitger'sduluth Mn"/>
        <s v="Bird"/>
        <s v="MARCUS DULUTH CINE BOX DULUTH MN REF #XX4300HZ05EGBK7X"/>
        <s v="Spirit Mountain"/>
        <s v="Spirit Mountain F &amp; Duluth Mn"/>
        <s v="Val*fitger's Inn Duluth Mn"/>
        <s v="Sunu Chiropractic"/>
        <s v="HAMPTON INN AND SUITEFFINGHAM           IL"/>
        <s v="Aplpay Tst* Oak 19 Fchaska Mn"/>
        <s v="HAMPTON INN AND SUITLEXINGTON           SC"/>
        <s v="HELLODELI           ALBUQUERQUE         NM"/>
        <s v="Tst* Oak 19 Fare &amp; Rchaska Mn"/>
        <s v="HILTON GARDEN INN FTFORT MYERS          FL"/>
        <s v="Hissho Term 1 Mall MST. PAUL            MN"/>
        <s v="TONKA TD CLUB MINNETONKAFOOMN REF #XX9216J3000FMWX5"/>
        <s v="Woody's"/>
        <s v="Google*svcsgns.x349- G.co Helppay#"/>
        <s v="Deposit Dividend Split Rate Annual Percentage Yield Earned 2.73% from 06/01"/>
        <s v="Amazon Music*R71CA03K0 XX-3080 WA REF #XX9216J72ZVAWLMK"/>
        <s v="Pryes Brewing Companminneapolis Mn"/>
        <s v="Aplpay Tst* Balsam Lbalsam Lake Wi"/>
        <s v="Home2 Suites"/>
        <s v="Aplpay Wayne's Foodsluck Wi"/>
        <s v="Hopsack Llc Balsam Lake Mn"/>
        <s v="HOMEWOOD SUITES ABQ ALBUQUERQUE         NM"/>
        <s v="The North Face"/>
        <s v="Blue Note"/>
        <s v="Booking.com"/>
        <s v="Hudson Totg St1687 1hazelwood Mo"/>
        <s v="Marriott International"/>
        <s v="Mcalister's Deli"/>
        <s v="Mike Shannons STL 15St. Louis           MO"/>
        <s v="MINNEAPOLIS AIRPORT SAINT PAUL          MN"/>
        <s v="Ka'chava"/>
        <s v="Moe's Southwest GrilST. PAUL            MN"/>
        <s v="The Great American Bagel"/>
        <s v="MSP AIRP PEOPLES ORGSAINT PAUL          MN"/>
        <s v="Msp Airp The Cook Ansaint Paul Mn"/>
        <s v="Dnr E Pay Win Acs 00madison Wi"/>
        <s v="Dnr Epay Win Acs Sermadison Wi"/>
        <s v="Py *kj's New North 0balsam Lake Wi"/>
        <s v="Balsam Lake Trading Balsam Lake Wi"/>
        <s v="Cc* Crumbl Stlouispalindon Ut"/>
        <s v="GOOGLE *Google One g.co/helppay#CA REF #XX9216JT32AYK3EH"/>
        <s v="Thirsty Otter"/>
        <s v="Aplpay Lunds&amp;byerlysminnetonka Mn"/>
        <s v="BONFES PLUMBING HEATING AXX6633 MN REF #XX7539JVS66EA188"/>
        <s v="Sp Rch - Spyra Us San Francisco Ca"/>
        <s v="7diamonds Apparel Tustin Ca"/>
        <s v="Boston Duck Tours"/>
        <s v="MSP AIRPORT PARKING SAINT PAUL          MN"/>
        <s v="Benny's Bigfoot Bbq Excelsior Mn"/>
        <s v="Boston Tea Party Boston Ma"/>
        <s v="Qdoba Mexican Grill"/>
        <s v="Aplpay Tst* Yankee Lboston Ma"/>
        <s v="Ben &amp; Jerry's"/>
        <s v="Bottle Rocket Term 1st. Paul Mn"/>
        <s v="Cisco Brewers"/>
        <s v="Cisco Seaport"/>
        <s v="Rowes Wharf"/>
        <s v="Tst* The Barking Craboston Ma"/>
        <s v="Back Bay Social Clubboston Ma"/>
        <s v="Boston Childrens"/>
        <s v="Fenway Park Concessions"/>
        <s v="Pink Taco"/>
        <s v="Tst* Harpoon Breweryboston Ma"/>
        <s v="Aplpay East Broadwaysouth Boston Ma"/>
        <s v="Reelhouse"/>
        <s v="Tst* Night Shift -eseverett Ma"/>
        <s v="MSP HUDSON ST2295 22SAINT PAUL          MN"/>
        <s v="Fenway Park"/>
        <s v="Ls Bluff Creek Golf Co Xxxxxx5685 Mn"/>
        <s v="Westin Hotels &amp; Resorts"/>
        <s v="Whole Foods Market"/>
        <s v="Capital Burger 02134boston Ma"/>
        <s v="Davio's"/>
        <s v="Kaisushigrill.com Chanhassen Mn"/>
        <s v="Deposit Dividend Split Rate Annual Percentage Yield Earned 2.67% from 07/01"/>
        <s v="Mbta Boylston 0000 Boston Ma"/>
        <s v="Msp Pod1 Shoyu 00-08philadelphia Pa"/>
        <s v="Amazon Music*RV63X5RV0 XX-3080 WA REF #XX9216K5335E1WAW"/>
        <s v="Msp Sunshine Taxi # Excelsior Mn"/>
        <s v="NATIONAL CAR R011706ALBUQUERQUE         NM"/>
        <s v="NATIONAL CAR R015111SAINT LOUIS         MO"/>
        <s v="NATIONAL CAR R017208FORT MYERS          FL"/>
        <s v="NATIONAL CAR R018420WEST COLUMBIA       SC"/>
        <s v="NATIONAL CAR R018701COLLEGE PARK        GA"/>
        <s v="Tst* X01 - Z&amp;h 739 Lwayzata Mn"/>
        <s v="X0002n Ummc Parking Minneapolis Mn"/>
        <s v="Birchs On The Lake 1long Lake Mn"/>
        <s v="Care.com"/>
        <s v="National Car Rxx5111saint Louis Mo"/>
        <s v="Roti Cuisine Of India"/>
        <s v="National Car Rxx7208fort Myers Fl"/>
        <s v="Aplpay Minnesota Spominneapolis Mn"/>
        <s v="Brick Oven Bus Llc Spring Park Mn"/>
        <s v="Tst* Back Channel Brewin Spring Park Mn"/>
        <s v="Naturally Nourished Cork IE REF #XX0916KV10QW8TZS"/>
        <s v="Bachman's Eden Praireden Prairie Mn"/>
        <s v="Cc Filson Minneapolis Mn"/>
        <s v="X0020n Southdale Paredina Mn"/>
        <s v="Aplpay Tst* Hawaii Peden Prairie Mn"/>
        <s v="Newslink"/>
        <s v="Aplpay Fsp*oak Glen Stillwater Mn"/>
        <s v="Fsp*oak Glen Golf Costillwater Mn"/>
        <s v="The Good Egg"/>
        <s v="Aplpay B &amp; K Struck Frederic Wi"/>
        <s v="Aplpay Balsam Lake Tbalsam Lake Wi"/>
        <s v="Gertens"/>
        <s v="NORTHERN STAR EVENTS XX-2300 MN REF #XX2258E80FW4P1G7"/>
        <s v="Nosta Cork Irl 87.80 @ 0xxx0001.xxx1891 Eur"/>
        <s v="Es Lacrosse Chanhasschanhassen Mn"/>
        <s v="Deer Run Llc"/>
        <s v="MTKA YOUTH LAX WWW.MTKALAX.OMN REF #XX9216KN0005LK3K"/>
        <s v="Ritual"/>
        <s v="GOOGLE *Google One g.co/helppay#CA REF #XX9216KR2ZBNGXMX"/>
        <s v="Ridgeview Medical Cewaconia Mn"/>
        <s v="Tequila Jacks"/>
        <s v="Aplpay Msp Airp The Saint Paul Mn"/>
        <s v="BONFES PLUMBING HEATING AXX6633 MN REF #XX7539KTS66GJZT5"/>
        <s v="SOMA2 CORK IE REF #XX4361KW00LDVRL6"/>
        <s v="Doolin Ferry Companykilfenora Co"/>
        <s v="Fh* Aran Bike Hire Aran Islands Co"/>
        <s v="Withdrawal at ATM #XX0648 Dingle Bay ATM Dingle IE Card 5404"/>
        <s v="Bakers"/>
        <s v="BEEHIVE HUTS VENTRY IE REF #XX6366KXFT49LN6W"/>
        <s v="DINGLE GOLD &amp; SILVERSMI KERRY IE REF #XX0746KY7WZ6BHLT"/>
        <s v="DUN BEAG VISITORS CENTRE TRALEE IE REF #XX9769KYSRS97X6L"/>
        <s v="EALU FOOD BALLYFERRITERIE REF #XX9769KYSRS97WD4"/>
        <s v="KRUGERS BAR TRALEE IE REF #XX9769KYSRS6H1AH"/>
        <s v="LAPPS QUAY CAR PARK CORK IE REF #XX6366KXGYQ0F8AP"/>
        <s v="MURPHYS PUB DINGLE IE REF #XX0746KY7WWBRK7X"/>
        <s v="Supervalu"/>
        <s v="THE FISH BOX 02 DINGLE IE REF #XX0746KY7X18X48S"/>
        <s v="Castlewood House Kerry IE REF #XX2753KHP9E45R5B"/>
        <s v="DIRECT ROUTE (LIMERICK) COONAGH IE REF #XX0746KZ7X2TGF9J"/>
        <s v="HALPINS SERVICE STATIO NEWMARKET ON IE REF #XX4361KZx3654E1N"/>
        <s v="Leonardo Htl Galway Galway"/>
        <s v="SPAR DINGLE DINGLE IE REF #XX4361KZ01KDVK7D"/>
        <s v="TI JOE WATTYS CO GALWAY IE REF #XX4361KZXX6676Z5"/>
        <s v="TI JOE WATTYS CO GALWAY IE REF #XX4361KZXX6677BH"/>
        <s v="TI JOE WATTYS CO GALWAY IE REF #XX4361KZXX6677QA"/>
        <s v="TIG BHRIC BALLYFERRITERIE REF #XX0746KZ7X0E1VH1"/>
        <s v="UTS TECHNOLOGIES LTD C LAHINCH IE REF #XX4361KZ02FWYV0X"/>
        <s v="Aplpay Limerick Stralimerick City"/>
        <s v="ARAN ISLANDS HOTEL GALWAY IE REF #XX0746L07X48F0NY"/>
        <s v="ARAN ISLANDS HOTEL GALWAY IE REF #XX0746L07X499FBX"/>
        <s v="Discover Limerick Dalimerick Ie"/>
        <s v="THE BAR INISMORE IE REF #XX0746L07X7PFLA4"/>
        <s v="Aplpay Bunratty Admibunratty Co C"/>
        <s v="CLIFFS OF MOHER VISITO LISCANNOR IE REF #XX4361L100LYA7BT"/>
        <s v="Cois Tra, Rugged Retclifden Ir"/>
        <s v="Curragower Limerick IE REF #XX4893L13XEXHHH1"/>
        <s v="Curragower Limerick IE REF #XX4893L13XEXHHLY"/>
        <s v="DUNNES HARVEYS QUAY HENRY ST IE REF #XX9769L1SRVD0HQ7"/>
        <s v="KATIE DALYS BAR LIMERICK IE REF #XX6366L0FT54VJFA"/>
        <s v="BALLYBUNION GOLF CLUB BALLYBUNNION IE REF #XX4361LXX0713L2"/>
        <s v="BALLYBUNION GOLF CLUB BALLYBUNNION IE REF #XX4361LXX0713MW"/>
        <s v="BALLYBUNION GOLF CLUB BALLYBUNNION IE REF #XX4361LXX0713P5"/>
        <s v="DG MCCARTHY CATERING L V31RX37 IE REF #XX4361L200LTXH37"/>
        <s v="DG MCCARTHY CATERING L V31RX37 IE REF #XX4361L200LTXHB6"/>
        <s v="DIRECT ROUTE (LIMERICK) COONAGH IE REF #XX0746L27XETFN0B"/>
        <s v="DIRECT ROUTE (LIMERICK) COONAGH IE REF #XX0746L27XJ7ATVA"/>
        <s v="LIMERICK STRAND HOTEL RECLIMERICK CITYIE REF #XX6366L1G2FDYW3P"/>
        <s v="NYA*Strand Leisure Inv XX0040 IE REF #XX2465L1677P3RLJ"/>
        <s v="NYA*Strand Leisure Inv XX0040 IE REF #XX2465L1677TDETT"/>
        <s v="TRIPADMIT DUBLIN IE REF #XX0905L2EHM6NQJ3"/>
        <s v="WWW.KYLEMOREABBEY.COM CONNEMARA IE REF #XX0905L2EHM6PJB9"/>
        <s v="CONNEMARA SANDS HOTEL H71X309 IE REF #XX4361LXX2095RTX"/>
        <s v="DIRECT ROUTE (LIMERICK) COONAGH IE REF #XX0746L37XFQ28X2"/>
        <s v="Home Chef"/>
        <s v="Veldons Seafarer Bar &amp; Letterfrack IE REF #XX0746L37XM3H9M7"/>
        <s v="BRASS FOX WICKLOW WICKLOW TOWN IE REF #XX4361L4026ZVXMJ"/>
        <s v="BRASS FOX WICKLOW WICKLOW TOWN IE REF #XX4361L4026ZVXQ9"/>
        <s v="Deposit Dividend Split Rate Annual Percentage Yield Earned 1.63% from 08/01"/>
        <s v="Duffy's Tavern And Motor Inn"/>
        <s v="G.B.C. RESTAURANT LTD CO GALWAY . IE REF #XX6366L3J3MVZZMD"/>
        <s v="Mountain Warehouse GWY Galway IE REF #XX8750L3022DKRWF"/>
        <s v="O SHEAS CORNER WICKLOW TOWN IE REF #XX4361L4026Z8413"/>
        <s v="O SHEAS CORNER WICKLOW TOWN IE REF #XX4361L4026Z84F3"/>
        <s v="O SHEAS CORNER WICKLOW TOWN IE REF #XX4361L4026Z84YR"/>
        <s v="River Deep Mountain High GALWAY IE REF #XX4893L43XFV9TT2"/>
        <s v="SPANISH ARCH CARPARK H91V6RR IE REF #XX4361L400A91TDR"/>
        <s v="SPAR MAINGUARD STREET GALWAY IE REF #XX4361LXX2499S9B"/>
        <s v="The Bridge Tavern"/>
        <s v="THE FRONT DOOR GALWAY IE REF #XX4361L4005JGKJY"/>
        <s v="THE FRONT DOOR GALWAY IE REF #XX4361L4005JKASR"/>
        <s v="WICKLOW TALLAGHT IE REF #XX6366L3HH23ERMV"/>
        <s v="Apache Wicklow Town Wicklow IE REF #XX4743L3006RYS3G"/>
        <s v="AplPay DUBLIN AIRPORDUBLIN              IR"/>
        <s v="AplPay SERVY TECHNOLDUBLIN 1            IR"/>
        <s v="BELMONT DEMESNE DELGANY IE REF #XX6366L5EX8TA37N"/>
        <s v="BLUE SEAFOOD RESTAURAN WICKLOW TOWN IE REF #XX4361L601TFWLR2"/>
        <s v="COILLTECUIDEACHTAGUIOM RATHDRUM IE REF #XX4361L601LJBF32"/>
        <s v="EAK Ireland Treetop WalksLouth IE REF #XX4893L53XG5HMBL"/>
        <s v="HERTZ RAC.          WEXFORD             IR"/>
        <s v="NYA*Coillte CGA XX8873 IE REF #XX2465Lx3939QV6J"/>
        <s v="Roots Restaurant"/>
        <s v="TA SES PUB WICKLOW TOWN IE REF #XX4361L601PNB740"/>
        <s v="THE MILL STORE RATHDRU A67AX94 IE REF #XX4361L601K278TF"/>
        <s v="THE TEMPLE BAR TRADING CODUBLIN IE REF #XX6366L5EX8PSRZB"/>
        <s v="THE TEMPLE BAR TRADING CODUBLIN IE REF #XX6366L5EX8PST4P"/>
        <s v="TST-JW Sweetman New Dublin IE REF #XX8750L502GEMRNM"/>
        <s v="VINTAGE COCKTAIL CLUB DUBLIN 2 IE REF #XX0746L67Y3WLAP5"/>
        <s v="AMAZON MARKETPLACE NAMZN.COM/BILL       WA"/>
        <s v="AplPay ANTHROPOLOGIEMAPLE GROVE         MN"/>
        <s v="CUB FOODS 1636 0163 CUB.COM             MN"/>
        <s v="MISTER CAR WASH #0606 ST LOUIS PARKMN"/>
        <s v="SCOUTING* RENEWAL FEIRVING              TX"/>
        <s v="TEMPLE BAR PUB DUBLIN 2 IE REF #XX0746L77Y3MSVG4"/>
        <s v="THE CLARENCE HOTEL DUBLIN 2 IE REF #XX0746L77Y87N183"/>
        <s v="THE NORSEMAN DUBLIN IE REF #XX0746L77Y40DDY9"/>
        <s v="THE SHACK RESTAURANT DUBLIN IE REF #XX0746L77Y4431EP"/>
        <s v="CITY OF WACONIA 6500WACONIA             MN"/>
        <s v="TST*OLIVES FRESH EXCEL EXCELSIOR MN00040709019916116414AA"/>
        <s v="ALL SEASONS GARMENT CHANHASSEN          MN"/>
        <s v="Bliss Nails"/>
        <s v="BLVD *FACE FOUNDRIE WAYXX-7151 MN REF #XX4500L8EJ609F5S"/>
        <s v="AplPay LS BLUFF CREECHASKA              MN"/>
        <s v="CITY OF CHANHASSEN 6CHANHASSEN          MN"/>
        <s v="TST* MAYNARDS INSIDEEXCELSIOR           MN"/>
        <s v="AplPay GLEN LAKE GOLMINNETONKA          MN"/>
        <s v="GLEN LAKE GOLF      MINNETONKA          MN"/>
        <s v="LUNDS&amp;BYERLYS GLENLAMINNETONKA          MN"/>
        <s v="SHOREWOOD TRUE VALUEEXCELSIOR           MN"/>
        <s v="WESTWOOD COMMUNITY CExcelsior           MN"/>
        <s v="AplPay MINNEAPOLIS ASAINT PAUL          MN"/>
        <s v="Hallmark"/>
        <s v="AplPay TST* NORTH COEXCELSIOR           MN"/>
        <s v="CENTURYLINK LUMEN        800-244-1111 LA REF #2469216LG363E6GVF"/>
        <s v="HOME CHEF           CHICAGO             IL"/>
        <s v="TST* NORTH COOP 0013EXCELSIOR           MN"/>
        <s v="AMAZON MKTPL*BW43E9B33 AMZN.COM/BILLWA7CV6Z3F4DU6"/>
        <s v="OPENAI *CHATGPT SUBSSAN FRANCISCO       CA"/>
        <s v="AMAZON MKTPL*L75XS4YP3 AMZN.COM/BILLWA5B4HSND3X3H"/>
        <s v="NORTH STAR DONUTS   Victoria            MN"/>
        <s v="PRIME VIDEO CHANNELSAMZN.COM/BILL       WA"/>
        <s v="SLATWALLACC         3346556132          FL"/>
        <s v="SQ *NORTH STAR DONUTS Victoria MN REF #XX9216LK2ZEFHYNL"/>
        <s v="TST* LAGOS TACOS EXCELSIOXX-8495 MN REF #XX3746LK2XPR1HHK"/>
        <s v="U OF M-ARB APPLEHOUSE CHASKA MN REF #XX3829LL0X2Y07VH"/>
        <s v="AMAZON.COM*4D8IW4CD3 AMZN.COM/BILLWA53KIQ0LNGLB"/>
        <s v="AplPay JIMMY JOHNS -CHANHASSEN          MN"/>
        <s v="AplPay TST* MAYNARDSEXCELSIOR           MN"/>
        <s v="DIRECTPAY FULL BALANCESEE DETAILS OF YOUR NEXT DIRECTPAY BELOW"/>
        <s v="TST* PRIVATE PROPERTLEXINGTON           SC"/>
        <s v="PIZZA 9 THE LANDING ALBUQUERQUE         NM"/>
        <s v="Queen City Gifts Andcharlotte Nc"/>
        <s v="RACETRAC2324  023242COLLEGE PARK        GA"/>
        <s v="Sadies Of * Sadies Oalbuquerque Nm"/>
        <s v="GOOGLE *Google One XX-3987 CA REF #XX9216LP328RA052"/>
        <s v="SBARROS CONC C RSW  FORT MYERS          FL"/>
        <s v="Scott's Fish Market"/>
        <s v="AplPay ARCADE HIGHWAExcelsior           MN"/>
        <s v="AplPay SHELL SERVICEVICTORIA            MN"/>
        <s v="AplPay TST* ADELE'S EXCELSIOR           MN"/>
        <s v="BABY BLUE           Excelsior           MN"/>
        <s v="CUB FOODS #1636 0000SHOREWOOD           MN"/>
        <s v="EXCELSIOR-LAKE MINNEExcelsior           MN"/>
        <s v="GOOGLE*SVCSGNS.3349- G.CO HELPPAY#"/>
        <s v="Sei Xxxxx Xxxx8495 Florissant Mo"/>
        <s v="RRPC 2              Excelsior           MN"/>
        <s v="AplPay MARATHON PETRExcelsior           MN"/>
        <s v="BONFES PLUMBING HEATING AXX6633 MN REF #XX7539LRS66JVSSK"/>
        <s v="SLACK T074985K686   SAN FRANCISCO       CA"/>
        <s v="Slack Txx4985k686 San Francisco Ca"/>
        <s v="Smashburger"/>
        <s v="SON OF A BUN VICTORIAN QUAIE REF #XX4361KV00N6NXJY"/>
        <s v="CHASKA PANDR 6500000CHASKA              MN"/>
        <s v="EXXONMOBIL 9870     FORT MYERS          FL"/>
        <s v="Sp Harlestons Mount Pleasant Sc"/>
        <s v="SUNSHINE TAXI ?     Saint Paul          MN"/>
        <s v="TOTAL WINE AND MORE MINNETONKA          MN"/>
        <s v="TA #035 EFFINGHAM 00EFFINGHAM           IL"/>
        <s v="AplPay LAKEWINDS NATMINNETONKA          MN"/>
        <s v="Tax Payment to Minnesota Department Of Revenue"/>
        <s v="TENNCAB             Nashville           TN"/>
        <s v="TGI FRIDAY'S        ATLANTA             GA"/>
        <s v="THE CLARENCE HOTEL DUBLIN 2 IE REF #XX0746L67Y35FPG4"/>
        <s v="The Clarence Hotel Idublin 2 Ir"/>
        <s v="The Dean Hotel"/>
        <s v="AplPay EXCELSIOR BREExcelsior           MN"/>
        <s v="EXCELSIOR BREWING COExcelsior           MN"/>
        <s v="HAZELWOOD FOOD AND D877-8144102         MN"/>
        <s v="AplPay CUB FOODS #16SHOREWOOD           MN"/>
        <s v="AplPay CVS PHARMACY CHANHASSEN          MN"/>
        <s v="INN ON LAKE SUPERIORDULUTH              MN"/>
        <s v="O'SHAUGHNESSY DISTIL877-8144102         MN"/>
        <s v="THE DEAN HOTEL CORK IE REF #XX0746NP88X6HEN8"/>
        <s v="TST* SURLY BREWING CMINNEAPOLIS         MN"/>
        <s v="BOXCAR BAR          MINNEAPOLIS         MN"/>
        <s v="DEER RUN GC         VICTORIA            MN"/>
        <s v="TST* FAT PANTS BREWIEDEN PRAIRIE        MN"/>
        <s v="THE DEAN HOTEL IE000CORK                IR"/>
        <s v="Amazon Music*OG4MN41R3 XX-3080 WA REF #XX9216M332ER4FRE"/>
        <s v="SP KINGFIFTH        WORTHINGTON         OH"/>
        <s v="THOMPSONS CORK IE REF #XX9769KSSRS4P28G"/>
        <s v="Withdrawal ACH ILD529 DIR ACH TYPE: CONTRIB ID: XX2584 CO: ILD529 DIR ACH E"/>
        <s v="2025 GRANDMAS MARATHBOSTON              MA"/>
        <s v="THOMPSONS CORK IE REF #XX9769NLSRSDHKEZ"/>
        <s v="THOMPSONS CORK IE REF #XX9769NPSRS4ZPXY"/>
        <s v="THOMPSONS CORK IE REF #XX9769NPSRS50W16"/>
        <s v="355 GREAT CLIPS AT SEXCELSIOR           MN"/>
        <s v="AplPay TST* TONKA PIMINNETONKA          MN"/>
        <s v="TST* UNMAPPED BREWINMINNETONKA          MN"/>
        <s v="AplPay DICK'S SPORTICORAOPOLIS          PA"/>
        <s v="AplPay GRUBHUB*DELSUNEW YORK            NY"/>
        <s v="AR* DICKS HOUSE OF SSAN FRANCISCO       CA"/>
        <s v="J CREW FACTORY #1006SAINT LOUIS P       MN"/>
        <s v="TST* THE BLOCK 00016SAINT LOUIS PAR     MN"/>
        <s v="AplPay HAZELWOOD FOO877-8144102         MN"/>
        <s v="PROJECTOR 515899    HOUSTON             TX"/>
        <s v="ANTHROPOLOGIE.COM   PHILADELPHIA        PA"/>
        <s v="AplPay ANNA NAILS 08WAYZATA             MN"/>
        <s v="AplPay KOWALSKI'S EXEXCELSIOR           MN"/>
        <s v="SP MAYABRENNER      LOS ANGELES         CA"/>
        <s v="AplPay SCHOLASTIC BOLAKE MARY           FL"/>
        <s v="TRACTOR BREWING COMPALBUQUERQUE         NM"/>
        <s v="AplPay U OF M-ARB APCHASKA              MN"/>
        <s v="AplPay JIMMY JOHNS -SHAKOPEE            MN"/>
        <s v="THE POINTE GRILL ANDPRIOR LAKE          MN"/>
        <s v="AMAZON MKTPL*J639S8ZX3 AMZN.COM/BILLWA3NBXDWNFXVY"/>
        <s v="AMAZON MKTPL*WC3012W23 AMZN.COM/BILLWA5Q0ALIXSJSA"/>
        <s v="AMAZON.COM*PH38099M3 AMZN.COM/BILLWA6RGR21JKPP3"/>
        <s v="AplPay FLOYD'S 99 CHCHANHASSEN          MN"/>
        <s v="AMAZON MKTPL*WI6BF4WW3 AMZN.COM/BILLWA2SK2IYCX9C9"/>
        <s v="HI 5 LIQUOR 13525905VICTORIA            MN"/>
        <s v="WINCHESTER AND RYE 0VICTORIA            MN"/>
        <s v="AplPay HOLIDAY STATISHOREWOOD           MN"/>
        <s v="VIOC 010018 0100    SHOREWOOD           MN"/>
        <s v="WALMART.COM 80092562BENTONVILLE         AR"/>
        <s v="LONESOME PINE RESTAUDEERWOOD            MN"/>
        <s v="Withdrawal at ATM #XX1733 EFT x5039 Tamefish Lake Roa Deerwood MN Card 5404"/>
        <s v="AplPay RED RAVEN    Crosby              MN"/>
        <s v="AplPay SUBWAY       CROSBY              MN"/>
        <s v="BRICK &amp; BOURBON- MAPMAPLE GROVE         MN"/>
        <s v="CUYUNA OUTFITTERS, LCrosby              MN"/>
        <s v="GOOGLE *Google One XX-3987 CA REF #XX9216MM2ZB0MLFD"/>
        <s v="RED RAVEN           Crosby              MN"/>
        <s v="STONES THROW GOLF COMILACA              MN"/>
        <s v="TM *TICKETMASTER    LOS ANGELES         CA"/>
        <s v="AMAZON MKTPL*BI3VO73G3 AMZN.COM/BILLWA49PNG3M45ZM"/>
        <s v="CHANHASSEN BREWING CCHANHASSEN          MN"/>
        <s v="AMZN MKTP US*Y12FG8NZ3 AMZN.COM/BILLWA1CNAF40WFPA"/>
        <s v="AplPay MCW 1602-MinnMINNETONKA          MN"/>
        <s v="AplPay TRADER JOE S MINNETONKA          MN"/>
        <s v="AplPay WWW.K-PHOTOGRWAYZATA             MN"/>
        <s v="LUNDS&amp;BYERLYS CHANHACHANHASSEN          MN"/>
        <s v="SPEEDWAY            1-800-643-1949      OH"/>
        <s v="TREERING            SAN MATEO           CA"/>
        <s v="ZENFOLIO ONLINE PHOTREDWOOD CITY        CA"/>
        <s v="BCS*MINNETONKA COMMUEXCELSIOR           MN"/>
        <s v="CHANHASSEN BREWING CO CHANHASSEN MN REF #XX7539MRS66H5RS2"/>
        <s v="FOSS SWIM SCHOOL    EDEN PRAIRIE        MN"/>
        <s v="MCDONALD'S F23042 00WACONIA             MN"/>
        <s v="PLUNKETTS PEST CONTRMINNEAPOLIS         MN"/>
        <s v="AMAZON MKTPL*PY77X54U3 AMZN.COM/BILLWA1VNLUXC01JB"/>
        <s v="AplPay AIRBNB * HMTPSAN FRANCISCO       CA"/>
        <s v="AplPay SUBWAY 71167 ST. BONIFACIUS      MN"/>
        <s v="LAKESHORE MARKET &amp; MEXCELSIOR           MN"/>
        <s v="TST* DARIO RESTAURANMINNEAPOLIS         MN"/>
        <s v="SP FREEFLYAPPAREL   CHARLESTON          SC"/>
        <s v="SP THURSDAY BOOT COMNEW YORK            NY"/>
        <s v="WWW.STONEBROOKE.COM SHAKOPEE            MN"/>
        <s v="AMAZON MARK* G53WA7YH3 HTTPSAMAZON.CWA REF #XX1134MY001QK6G0"/>
        <s v="AplPay PARTY CITY BO800-727-8924        NJ"/>
        <s v="HUNTERCOURSE.COM XX-2628 CD REF #XX0340MZ34E5WN9M"/>
        <s v="AMAZON MARK* PA9Y29VO3 HTTPSAMAZON.CWA REF #XX1134MZx0343DFV"/>
        <s v="AMAZON RETA* KD20Z1BM3 WWW.AMAZON.COWA REF #XX1134MZ0039E606"/>
        <s v="AplPay TRADER JOE S BLOOMINGTON         MN"/>
        <s v="TOTAL WINE AND MORE BLOOMINGTON         MN"/>
        <s v="Amazon Music*MU7NH23I3 XX-3080 WA REF #XX9216N22XF9X72Q"/>
        <s v="RAO MNHUNTFISH VEHICLE DNR.STATE.MN.MN REF #XX9216N136A5R64K"/>
        <s v="Transportation Plus"/>
        <s v="AMAZON.COM*ZJ85D67B3 AMZN.COM/BILLWA6FE7LPYY4MK"/>
        <s v="AplPay CITY OF EDINAEDINA               MN"/>
        <s v="AMAZON MARK* 8L1KF2GX3 HTTPSAMAZON.CWA REF #XX1134N5001EE79D"/>
        <s v="AMAZON MARK* UP7TF5HU3 HTTPSAMAZON.CWA REF #XX1134N4002Z8LAN"/>
        <s v="SCHEELS ALL SPORTS  FARGO               ND"/>
        <s v="AMAZON.COM*4264P8A43 AMZN.COM/BILLWA7CWK26998EJ"/>
        <s v="TRANSPORTATION PLUS NEW HOPE            MN"/>
        <s v="AMAZON MKTPL*6Q1X73Q43 AMZN.COM/BILLWA1V91KDHTP9K"/>
        <s v="AMAZON.COM*N35Y88E23 AMZN.COM/BILLWA72Z9BXMQUGP"/>
        <s v="AMZN MKTP US*JH60H9LP3 AMZN.COM/BILLWA4S4VHXQWOJT"/>
        <s v="AplPay SP FMSCMARKETCOON RAPIDS         MN"/>
        <s v="AplPay WAYZATA CAFE WAYZATA             MN"/>
        <s v="DAIRY QUEEN #46123 0WACONIA             MN"/>
        <s v="AMAZON MARK* LQ2MN89J3 HTTPSAMAZON.CWA REF #XX1134NXX0157HMD"/>
        <s v="JEFFERSONS RESTAURANLAWRENCE            KS"/>
        <s v="LYFT                855-280-0278        CA"/>
        <s v="MOULTRIE MOBILE     833-909-1768        AL"/>
        <s v="Tst* 3 Pepper Burritfort Myers Fl"/>
        <s v="Tst* El Jefes - Bostboston Ma"/>
        <s v="AplPay JOCK S NITCH LAWRENCE            KS"/>
        <s v="AplPay SAMPLER STORELENEXA              KS"/>
        <s v="KC CHIEFS - TICKETINKansas City         MO"/>
        <s v="THE ROOST           LAWRENCE            KS"/>
        <s v="AplPay 535 - MADE INLAS VEGAS           NV"/>
        <s v="MARATHON PETRO68692 Excelsior           MN"/>
        <s v="NATIONAL CAR R015103KANSAS CITY         MO"/>
        <s v="RAO MNHUNTFISH VEHICLE DNR.STATE.MN.MN REF #XX9216N933HQ4TSW"/>
        <s v="TST* CARIBOU COFFEE EXCELSIOR           MN"/>
        <s v="SP NORMAL BRAND COR SAINT LOUIS         MO"/>
        <s v="TST* DUKE'S ON 7 300MINNETONKA          MN"/>
        <s v="AMAZON MKTPL*I18PB2LR3 AMZN.COM/BILLWA3HIDAKQJW5D"/>
        <s v="TST* FIREFLY GRILL2 EFFINGHAM           IL"/>
        <s v="Tst* Fox And The Kniboston Ma"/>
        <s v="MACKENTHUN'S FINE FOWACONIA             MN"/>
        <s v="Withdrawal ACH Mis Amigos Presc TYPE: ID: XX7393 NAME: BCU CO: Mis Amigos P"/>
        <s v="AplPay CHILDREN'S THMINNEAPOLIS         MN"/>
        <s v="HEWING HOTEL HEWING MINNEAPOLIS         MN"/>
        <s v="MT. BACHELOR ECOMMERBend                OR"/>
        <s v="TST* NEWSLINK OF NASNASHVILLE           TN"/>
        <s v="SP 7DIAMONDS APPARELTUSTIN              CA"/>
        <s v="AMAZON MKTPL*W42IF5SK3 AMZN.COM/BILLWA2DF0PYUBZV3"/>
        <s v="KKINACONIKKEIANDPISCHOPKINS             MN"/>
        <s v="AplPay KIDSHAIR_303 MINNETONKA          MN"/>
        <s v="CHASKA CLUB FOODS   CHASKA              MN"/>
        <s v="DETELLO'S PIZZA &amp; PACHASKA              MN"/>
        <s v="USPS PO 2645930345 0MINNETONKA          MN"/>
        <s v="Tst* The Smokehouse Hilton Head Isl Sc"/>
        <s v="TST-Happy Days Deli Cork IE REF #XX8750NL01XAA73L"/>
        <s v="AMAZON MKTPL*FR11E3XL3 AMZN.COM/BILLWA5U6ZS90YB6V"/>
        <s v="W Boston Hotel"/>
        <s v="AplPay SUMUP*JOHN O'CORK"/>
        <s v="BLVD   *FACE FOUNDRIWAYZATA             MN"/>
        <s v="ON S KITCHEN        SAINT PAUL          MN"/>
        <s v="AMAZON.COM*BA7CR3TX3 AMZN.COM/BILLWA23BKRQFQYEK"/>
        <s v="AplPay THE WINERY ATWaconia             MN"/>
        <s v="BT*SHUTTERFLY, INC. REDWOOD CITY        CA"/>
        <s v="NO 21 OFF LICENCE CORK CITY IE REF #XX5733NL01ZFTNKT"/>
        <s v="GOOGLE *Google One XX-3987 CA REF #XX9216NL3326SJK6"/>
        <s v="AplPay GOGLOW_476   SOUTH EDINA         MN"/>
        <s v="AplPay JJ S POKE    EDINA               MN"/>
        <s v="Withdrawal ACH DISCOVER TYPE: ID: XX0270 CO: DISCOVER NAME: TRUITT JEFF Ent"/>
        <s v="BONFES PLUMBING HEATING AXX6633 MN REF #XX7539NMS66DGER4"/>
        <s v="RVT*MTKA PUB SCHLS-WMINNETONKA          MN"/>
        <s v="Tesco"/>
        <s v="Withdrawal ACH ILD529 DIR ACH TYPE: CONTRIB ID: XX2584 CO: ILD529 DIR ACH N"/>
        <s v="AplPay TST* OLIVES FEXCELSIOR           MN"/>
        <s v="GLOBAL TRAVEL SERVICMinneapolis         MN"/>
        <s v="Withdrawal at ATM #XX5400 La Grange Street ATM III 12 La Grange Street EMV "/>
        <s v="Withdrawal at ATM #XX6428 PAI ISO 101 COUNTY RD I BALSAM LAKE WI Card 5404"/>
        <s v="TIDE DRY CLEANERS EXEXCELSIOR           MN"/>
        <s v="AMAZON MKTPL*YL02E9T93 AMZN.COM/BILLWA2Z7V5VLTC65"/>
        <s v="TOTAL WINE AND MORE CHANHASSEN          MN"/>
        <s v="TST* CARIBOU COFFEE SAINT PAUL          MN"/>
        <s v="Shop 4721/ Centraal L2 Schiphol AirpNL REF #XX3601NP3790KR73"/>
        <s v="Withdrawal at ATM #XX6770 HUNTINGTON BAN 900 W 78TH ST CHANHASSEN MN Card 5"/>
        <s v="SP UNRL.CO          SAINT PAUL          MN"/>
        <s v="AMAZON.COM*NF7YJ0JH3 AMZN.COM/BILLWA61EQ7ONV359"/>
        <s v="ANN TAYLOR LOFTCOM"/>
        <s v="SAMPLER STORES, INC LENEXA              KS"/>
        <s v="AMAZON MARK* AL0C96MK3 HTTPSAMAZON.CWA REF #XX1134NV0004H85D"/>
        <s v="AMAZON MARK* B70D46AY3 HTTPSAMAZON.CWA REF #XX1134NS001RXFFJ"/>
        <s v="AMAZON MKTPL*Z31XP7AI0 AMZN.COM/BILLWA38EU6246P7U"/>
        <s v="AplPay LUNDS&amp;BYERLYSCHANHASSEN          MN"/>
        <s v="Withdrawal at ATM #XX7803 TOFTE HOLIDA-XX6569 7235 W. HWY 61 TOFTE MN Card "/>
        <s v="Withdrawal ATM Intl Fee VISA INTERNATIONAL SERVICE ASSESSMENT Card 5404"/>
        <s v="YETI COOLERS, LLC   WILMINGTON          DE"/>
        <s v="Withdrawal CLAYTON HOTEL CORK FRO CORK CITY IE Date 01/31/24 XX 7011"/>
        <s v="Withdrawal GINOS GELATO DUBLIN 2 IE Date 01/24/24 XX 5814"/>
        <s v="AplPay EXCELSIOR CHREXCELSIOR           MN"/>
        <s v="BT*SOLO BRANDS LLC  SOUTHLAKE           TX"/>
        <s v="NIKE INC E-COMMERCE"/>
        <s v="2LEVY@TARGET CENTER MINNEAPOLIS         MI"/>
        <s v="AplPay MADEMOISELLE Saint Paul          MN"/>
        <s v="AplPay NORTH EAST PRCIRCLE PINES        MN"/>
        <s v="AplPay SCHEELS ALL SFARGO               ND"/>
        <s v="AplPay WAR FORGED PRChanhassen          MN"/>
        <s v="AXS.COM*TICKET RESALLOS ANGELES         CA"/>
        <s v="B RAMP 8066 08487002MINNEAPOLIS         MN"/>
        <s v="LEVY@ 2TARGET CENTERMINNEAPOLIS         MN"/>
        <s v="LUTHER FOODS        EXCELSIOR           MN"/>
        <s v="SP DR. DENNIS GROSS NEW YORK            NY"/>
        <s v="Deposit Dividend Split Rate Annual Percentage Yield Earned 2.37% from 11/01"/>
        <s v="THE BURTON CORPORATIBURLINGTON          VT"/>
        <s v="AplPay AMC SOUTHDALEEDINA               MN"/>
        <s v="TARGET              MINNETONKA          MN"/>
        <s v="underarmour.com     888-727-6687        MD"/>
        <s v="SP HELINOX          OAKLAND             CA"/>
        <s v="KOWALSKI'S EXCELSIOREXCELSIOR           MN"/>
        <s v="KWIK TRIP           CHANHASSEN          MN"/>
        <s v="LUNA NAILS          Deephaven           MN"/>
        <s v="AMAZON MARK* B70D46AY3 HTTPSAMAZON.CWA REF #XX1134Px0005J0JZ"/>
        <s v="AMAZON MARK* B70D46AY3 HTTPSAMAZON.CWA REF #XX1134Px0005RR2R"/>
        <s v="AMAZON MARK* B70D46AY3 HTTPSAMAZON.CWA REF #XX1134Px0006M17Z"/>
        <s v="AMAZON MARK* B70D46AY3 HTTPSAMAZON.CWA REF #XX1134PXX0057D8T"/>
        <s v="EVERNOTE            REDWOOD CITY        CA"/>
        <s v="TST* PORZANA 0014034MINNEAPOLIS         MN"/>
        <s v="TST* SPOON AND STABLMINNEAPOLIS         MN"/>
        <s v="AplPay FAIRGROUNDS NMinneapolis         MN"/>
        <s v="AplPay JAXEN GREY NOMINNEAPOLIS         MN"/>
        <s v="THE STRAY DOG 739296612-3782855         MN"/>
        <s v="TST* COPPER HEN CAKEMINNEAPOLIS         MN"/>
        <s v="INOV-8 INC.         STE 6-303           MA"/>
        <s v="ONSTREET XX7275 MN REF #XX8930P8PVJXLMVP"/>
        <s v="ONSTREET XX7275 MN REF #XX8930P8PVJXLWYH"/>
        <s v="TST* NEW JESTER RESTAURANEXCELSIOR MN REF #XX3746P9EJHSARA1"/>
        <s v="SHOREWOOD LIQUOR 931EXCELSIOR           MN"/>
        <s v="THE WINERY AT SOVEREWaconia             MN"/>
        <s v="AplPay KWIK TRIP    CHANHASSEN          MN"/>
        <s v="AplPay U OF M ARB F CHASKA              MN"/>
        <s v="AplPay LS PRIMP EXCEEXCELSIOR           MN"/>
        <s v="AplPay SP FLEURISH LEXCELSIOR           MN"/>
        <s v="DICK'S SPORTING GOODCORAOPOLIS          PA"/>
        <s v="LOFT 1598 RIDGEDALE MINNETONKA          MN"/>
        <s v="AplPay STARBUCKS    800-782-7282        WA"/>
        <s v="AplPay HYLAND HILLS PYMOUTH             MN"/>
        <s v="AplPay THE ABUNDANT EXCELSIOR           MN"/>
        <s v="AplPay THE LOBBY COFExcelsior           MN"/>
        <s v="GOOGLE *Google One XX-3987 CA REF #XX9216PJ2Z82EMG6"/>
        <s v="HYLAND HILLS SKI AREPYMOUTH             MN"/>
        <s v="THREE RIVERS PARK DIPLYMOUTH            MN"/>
        <s v="AplPay CHASKA PANDR CHASKA              MN"/>
        <s v="BONFES PLUMBING HEATING AXX6633 MN REF #XX7539PKS66FDQP2"/>
        <s v="CROOKED PINT - CHASK952-3616794         MN"/>
        <s v="AplPay PLAY IT AGAINCHASKA              MN"/>
        <s v="HEARTBREAKERS BAR ANCHASKA              MN"/>
        <s v="LIONS TAP 0688800218EDEN PRAIRIE        MN"/>
        <s v="COV EDINA           EDINA               MN"/>
        <s v="ONSTREET XX7275 MN REF #XX8930PNS1B5AHJ7"/>
        <s v="K TAILOR 92460099912CHASKA              MN"/>
        <s v="Withdrawal KINGS GALA CORK IE Date XX 5411"/>
        <s v="Withdrawal Lab82 Coffee Cork IE Date XX 5499"/>
        <s v="Withdrawal Retail in Motion LTD Dublin City IE Date XX 5309"/>
        <s v="USPS PO 2616400317 0CHANHASSEN          MN"/>
        <s v="Withdrawal SANO PIZZA CENTRE IE Date XX 5812"/>
        <s v="AMC 9640 ONLINE*9640LEAWOOD             KS"/>
        <s v="AMC EDEN PRAIRIE 18 EDEN PRAIRIE        MN"/>
        <s v="SCHEELS             EDEN PRAIRIE        MN"/>
        <s v="Withdrawal The Shelbourne Bar Cork IE Date XX 5813"/>
        <s v="Withdrawal UNITY SHOP CORK IE Date XX 5499"/>
        <s v="THREE RIVERS WEB    PLYMOUTH            MN"/>
        <s v="TST* OLD CHICAGO - 5EDEN PRAIRIE        MN"/>
        <s v="ANGLERS BAR AND GRILHAYWARD             WI"/>
        <s v="AplPay HOLIDAY STATILINDSTROM           MN"/>
        <s v="AplPay KWIK TRIP #11SPOONER             WI"/>
        <s v="KWIK TRIP #1164 0001SPOONER             WI"/>
        <s v="WOODFORD BAR CORK CORK IE REF #XX0746NN88W8Q1R5"/>
        <s v="WOODFORD BAR CORK CORK IE REF #XX0746NN88WAWE5E"/>
        <s v="DEEP WATER GRILLE 54877-8144102         WI"/>
        <s v="WOODFORD BAR CORK CORK IE REF #XX0746NN88WD5W8J"/>
        <s v="AplPay CONTRAST COFFIronwood            MI"/>
        <s v="Deposit Dividend Split Rate Annual Percentage Yield Earned 2.42% from 12/01"/>
        <s v="SNOWRIVER BRB F&amp;B 00BESSEMER            MI"/>
        <s v="SNOWRIVER JCS RETAILWAKEFIELD           MI"/>
        <s v="SNOWRIVER MOUNTAIN-IWAKEFIELD           MI"/>
        <s v="SNOWRIVER-JCS F&amp;B 00WAKEFIELD           MI"/>
        <s v="Draft 2304 Tracer XX0454"/>
        <s v="Draft 2311 Tracer XX0410"/>
        <s v="Draft 2308 Tracer XX6479"/>
        <s v="Draft 2306 Tracer XX3475"/>
        <s v="Draft 2307 Tracer XX0903"/>
        <s v="IN *SUPERIOR LAWN ANSAINT BONIFACIUS    MN"/>
        <s v="Draft 2305 Tracer XX2855"/>
        <s v="Draft 2357 Tracer XX0903"/>
        <s v="MOTORWERKS BMW 116  BLOOMINGTON         MN"/>
        <s v="GUNDERSON'S JEWELERSWAYZATA             MN"/>
        <s v="RUDY LUTHER TOYOTA 0GOLDEN VALLEY       MN"/>
        <s v="YMCA ONLINE         MINNESOTA           MN"/>
        <s v="RENAISSANCE BOSTON WBOSTON              MA"/>
        <s v="Deposit ACH EMPYREAN SOLUTIO TYPE: ACH ID: XX3620 CO: EMPYREAN SOLUTIO Entr"/>
        <s v="ACTIVEWORKS  CAMPS  DALLAS              TX"/>
        <s v="Withdrawal ACH mtkalax.org TYPE: mtkalax.or ID: XX8598 CO: mtkalax.org NAME"/>
        <s v="Withdrawal ACH mtkalax.org TYPE: mtkalax.or ID: XX5600 CO: mtkalax.org NAME"/>
        <s v="LA SENDA SPANISH    MINNETONKA          MN"/>
        <s v="TONKA TD CLUB 8883791035 MN"/>
        <s v="MYSTIQUE CAR RENTAL AND TPROVIDENCIALETC REF #XX0226SK4"/>
        <s v="Withdrawal ACH HICKEYBANDO CO: HICKEYBANDO TYPE: IAT PAYPAL ID: 7XX0487C En"/>
        <s v="WALSER TOYOTA       BLOOMINGTON         MN"/>
        <s v="GRACEWAY SMART      PROVIDENCIALES"/>
        <s v="ORDWAY CENTER FOR THSAINT PAUL          MN"/>
        <s v="Draft 2310 Tracer XX1368"/>
        <s v="SP WESTONBACKCOUNTRYMINTURN             CO"/>
        <s v="MCW 1602-Minnetonka MINNETONKA          MN"/>
        <s v="SOUTH LAKE PEDIATRICMINNETONKA          MN"/>
        <s v="LA QUINTA SPA       LA QUINTA           CA"/>
        <s v="FONTAINEBLEAU RESORTMIAMI BEACH         FL"/>
        <s v="RCO LTD             PROVIDENCIALES      TC"/>
        <s v="Holiday Inn Express HAYWARD             WI"/>
        <s v="775 BRISTOL KANSAS CITY KANSAS CITY MO REF #XX5003P00XVRJ1W"/>
        <s v="JOHNSTONMURPHY.COM 0NASHVILLE           TN"/>
        <s v="REI #15 BLOOMINGTON BLOOMINGTON         MN"/>
        <s v="SP VUORI CLOTHING   ENCINITAS           CA"/>
        <s v="NINE HOLDINGS LTD PROVIDENCIALETC REF #XX9451Zx0220DGX"/>
        <s v="COCONUT JACKS WATERFBONITA SPRING       FL"/>
        <s v="ISAACS RESTAURANT   CORK"/>
        <s v="DOUBLETREE BY HILTONAMSTERDAM           NL"/>
        <s v="AMAZON MARKEPLACE NA PA"/>
        <s v="AplPay THE HOME DEPOCHASKA              MN"/>
        <s v="AplPay PTI*SAUNA CAMEXCELSIOR           MN"/>
        <s v="THAI UDON CAFE - LOGNAPLES              FL"/>
        <s v="INTUIT *TURBOTAX    800-446-8848        CA"/>
        <s v="AplPay FAHERTY BRANDWILMINGTON          DE"/>
        <s v="TM - TICKETMASTER L"/>
        <s v="TST* NEW JESTER RESTEXCELSIOR           MN"/>
        <s v="POTOMAC RIVER RUNNINASHBURN             VA"/>
        <s v="BLVD   *FACEFOUNDRIEEDINA               MN"/>
        <s v="SP PATARASHOES.COM  LA JOLLA            CA"/>
        <s v="AplPay SP SOTA CLOTHEDEN PRAIRIE        MN"/>
        <s v="AplPay TST* NEW JESTEXCELSIOR           MN"/>
        <s v="AplPay DERVISH BANGSORLANDO             FL"/>
        <s v="MYSTIQUE CAR RENTAL AND TPROVIDENCIALETC REF #XX9451W0021S2GL"/>
        <s v="LAWRENCE ACUPUNCTURE XX1141 KS REF #XX1343M2X7BPNWP"/>
        <s v="BUCK HILL WEBSITE 65BURNSVILLE          MN"/>
        <s v="SP MACADE GOLF      CHICAGO             IL"/>
        <s v="TARGET        020636NAPLES              FL"/>
        <s v="EXCELSIOR FAMILY DENEXCELSIOR           MN"/>
        <s v="TST* RED COW - WAYZAWAYZATA             MN"/>
        <s v="SP BAD BIRDIE LLC   GLENDALE            CA"/>
        <s v="AMAZON.COM          AMZN.COM/BILL       WA"/>
        <s v="Amazon Prime        Amazon.com          WA"/>
        <s v="AMAZON PRIME*Z74TB7J30 AMZN.COM/BILLWA5RKHP6M5WQ0"/>
        <s v="CHARLES TYRWHITT, INNEW YORK            NY"/>
        <s v="TST* PORZANA MINNEAPOLIS MN REF #XX7462B2XPTGGX6"/>
        <s v="AplPay LS SUNNY DAYSPALM SPRINGS        CA"/>
        <s v="MARKETLANERESTAURANTCORK                IR"/>
        <s v="INEFFABLE BREWING COBURNSVILLE          MN"/>
        <s v="RED LOBSTER 0249 249BLOOMINGTON         MN"/>
        <s v="THE HOME DEPOT      CHASKA              MN"/>
        <s v="AplPay CHAMBERLAIN CUNITED STATES"/>
        <s v="AMAZON MKTPL*9D5O69WM3 AMZN.COM/BILLWA7CWDI5KK8EP"/>
        <s v="AMAZON MKTPL*ZC8F72TS1 AMZN.COM/BILLWA736QHSEA9GW"/>
        <s v="AplPay THE SHERWIN-WCLEVELAND           OH"/>
        <s v="BCS*MINNETONKA COMMUNITY XX-6800 MN REF #XX7462N01GAZX2B"/>
        <s v="AMAZON MKTPL*G51P28IZ3 AMZN.COM/BILLWA6QEFBB8HKWR"/>
        <s v="Luna Nails"/>
        <s v="FSP*CHASKA TOWN COURCHASKA              MN"/>
        <s v="BONOBOS, NEW YORK   NEW YORK"/>
        <s v="TST* THE FREEHOUSE 0MINNEAPOLIS         MN"/>
        <s v="BUDDY BOY FINE BARBE612-4660340         MN"/>
        <s v="ONE FLEW SOUTH 0018 ATLANTA             GA"/>
        <s v="AplPay TDI BROADWAY.212-541-8457        NY"/>
        <s v="TST*ORIGINAL PANCAKE HOU Eden Prairie MN REF #XX2162K347H61TW"/>
        <s v="THOMPSONS THOMPSONS CORK                IR"/>
        <s v="AplPay HOMEGOODS    EDEN PRAIRIE        MN"/>
        <s v="SOCO LLC 0000       HAYWARD             WI"/>
        <s v="AMAZON MKTPL*DM9V371V3 AMZN.COM/BILLWA7EJCDSXK9LT"/>
        <s v="AplPay TST* LAT 14 0GOLDEN VALLEY       MN"/>
        <s v="MODMEDUS_MP*PINNACLEEXCELSIOR           MN"/>
        <s v="TOWN OF LA POINTE XX-6913 WI REF #XX1663M0T51V6TD"/>
        <s v="AplPay LUNA NAILS   Deephaven           MN"/>
        <s v="MAD CAPPER LLC 0000 STILLWATER          MN"/>
        <s v="MADELINE ISLAND FERRY LINLA POINTE WI REF #XX7604HEJK10WGS"/>
        <s v="AMAZON MKTPL*N20VM52W1 AMZN.COM/BILLWA5JRU14DLJP2"/>
        <s v="TST* THE SAINT PAUL HOTELSAINT PAUL MN REF #XX6362XJ3QB18"/>
        <s v="AMAZON MKTPL*ZC7TC8BO0 AMZN.COM/BILLWA3TMWZFLLGWB"/>
        <s v="5 Points Cork IE REF #XX9162F12AVSPR7"/>
        <s v="AplPay TST* 401 - YUEXCELSIOR           MN"/>
        <s v="ZETTLE *SCHIPHOL TAXHOOFDDORP           NL"/>
        <s v="MSP ALLIED TAXI 0000SAINT PAUL          MN"/>
        <s v="AMAZON MKTPL*E76F22SS3 AMZN.COM/BILLWA3S1VO582KYG"/>
        <s v="TST* FREIGHT HOUSE 3STILLWATER          MN"/>
        <s v="AMAZON MKTPL*EW9R87AM3 AMZN.COM/BILLWA7CQCN0T46ND"/>
        <s v="ABDIKARIM ALI       Excelsior           MN"/>
        <s v="TST* VOLCANO MOUNTAINAPLES              FL"/>
        <s v="AMAZON MKTPL*Z53MV7LF0 AMZN.COM/BILLWA7HATPS2V3SR"/>
        <s v="AMAZON.COM*VQ9RB5C23 AMZN.COM/BILLWA1X0DW5ISTRW"/>
        <s v="AMAZON MKTPL*2R2L90A83 AMZN.COM/BILLWA28H3CC8WN98"/>
        <s v="AplPay KOHL'S       EDEN PRAIRIE        MN"/>
        <s v="AMAZON MKTPL*I64661C63 AMZN.COM/BILLWA2LX8X3K780Z"/>
        <s v="AplPay PO8          FORT MYERS BE       FL"/>
        <s v="MSP AIRPORT TAXI    Excelsior           MN"/>
        <s v="ICE CASTLES LLC 0913OREM                UT"/>
        <s v="TST-HAPPY DAYS DELI CORK                IR"/>
        <s v="AHMED TEXI          Excelsior           MN"/>
        <s v="Withdrawal MT. ASHWABAY SKI AREA BAYFIELD WI Date XX 7999 Card 5404"/>
        <s v="HOLIDAY STATIONS 002HAYWARD             WI"/>
        <s v="AplPay HAZELWOOD FOOEXCELSIOR           MN"/>
        <s v="TST* DUKE'S ON XX-3286 MN REF #XX7462R2XDKSWS7"/>
        <s v="LEVI.COM            SAN FRANCISCO       CA"/>
        <s v="PETITE LEON         MINNEAPOLIS         MN"/>
        <s v="Mardyke Entertainment Comcork IE REF #XX8932G3ZL3S5MD"/>
        <s v="SP HUMA GEL         NASHVILLE           TN"/>
        <s v="Naturally Nourished Cork IE REF #XX4612F2H7RL"/>
        <s v="PLAY IT AGAIN SPORTSCHASKA              MN"/>
        <s v="IPHO BY SAIGON 0000 ST. PAUL            MN"/>
        <s v="AplPay THE BURROW - 715-7483289         MN"/>
        <s v="TLF*ENCINITAS FLOWER SHOPXX2554 CA REF #XX7051W4YW98RK6"/>
        <s v="AplPay LAKEWINDS NATCHANHASSEN          MN"/>
        <s v="AMAZON MKTPL*CF9RI6FN3 AMZN.COM/BILLWA2AZYV2SPTWC"/>
        <s v="VTS MIAMI TAXI      MIAMI               FL"/>
        <s v="LA COTE 0405        MIAMI BEACH         FL"/>
        <s v="SURFSIDE BAR &amp; GRILLMOUND               MN"/>
        <s v="GILLEY'S CAFE LTD.  PROVIDENCIALES"/>
        <s v="AMAZON MKTPL*5B7QA1HH3 AMZN.COM/BILLWA1BLRC0VK2Z7"/>
        <s v="TST* TERRY BLACK'S BARBECAUSTIN TX REF #XX7463S2XFFJW0W"/>
        <s v="MINUTECLINIC DIAGNOSWOONSOCKET          RI"/>
        <s v="425 PARK AVE 7120 DEMINNEAPOLIS         MN"/>
        <s v="TST*OASIS AT VALENCIA BONITA SPRINGFLAPPLE PAY ENDING IN 762900195484024067"/>
        <s v="Puttshack Usa Inc"/>
        <s v="STONE ARCH 00J9     SAINT PAUL          MN"/>
        <s v="SP SOTA CLOTHING    EDEN PRAIRIE        MN"/>
        <s v="AplPay SOUTH LAKE PEMINNETONKA          MN"/>
        <s v="Prickly Pear"/>
        <s v="TST* BACK CHANNEL BREWINGSPRING PARK MN REF #XX7463MEKAZ8G3R"/>
        <s v="Capi Plaza AV Schiphol ANL REF #XX5790P3QTQN5M1"/>
        <s v="TAINO PROVIDENCIALETC REF #XX0224VSA"/>
        <s v="ZENOTIUSA_POS*KIDS HCHANHASSEN          MN"/>
        <s v="AMAZON MKTPL*B25LH2033 AMZN.COM/BILLWA3J3N29JF836"/>
        <s v="AMAZON MKTPL*ZG3J89TB1 AMZN.COM/BILLWA1Q9P25DZMSA"/>
        <s v="THE GARDEN PATCH EXCELSIOR MN REF #XX4001HJZX81"/>
        <s v="AplPay DOMINO'S 1931EXCELSIOR           MN"/>
        <s v="AplPay TST* OAK 19 FCHASKA              MN"/>
        <s v="Schram Haus Brewery"/>
        <s v="CREEDE SNOWSHOE LODGCREEDE              CO"/>
        <s v="AplPay COMPANY STOREWAYZATA             MN"/>
        <s v="AMAZON MKTPL*JG7KE1NA3 AMZN.COM/BILLWA4VZHIQNBU48"/>
        <s v="AplPay TST* ESS-A-BANEW YORK            NY"/>
        <s v="AplPay SPEEDWAY     1-800-643-1949      OH"/>
        <s v="SHAKOPEE BOWL SHAKOPEE MN REF #XX3100MS66LGF2P"/>
        <s v="AplPay HOLIDAY STATIPLYMOUTH            MN"/>
        <s v="TST* LAGOS TACOS EXCEXCELSIOR           MN"/>
        <s v="FIVE GUYS MN 1937 QSEDEN PRAIRIE        MN"/>
        <s v="AplPay THE HOME DEPOEDEN PRAIRIE        MN"/>
        <s v="HH MARKETPLACE MSP ST. PAUL MN REF #XX6312X8QFSM6"/>
        <s v="AMAZON MKTPL*Z74E95712 AMZN.COM/BILLWA1KGJ4S01QC9"/>
        <s v="NO 21 OFF LICENCE CORK CITY IE REF #XX7332D021QTY1W"/>
        <s v="AplPay LEEANN CHIN 0CHANHASSEN          MN"/>
        <s v="PY *SLC-A PF CHANG'SSALT LAKE CIT       UT"/>
        <s v="AMAZON MKTPL*MN4203DC3 AMZN.COM/BILLWA2YHRVQAJAET"/>
        <s v="AplPay TST* MY BURGEMINNETONKA          MN"/>
        <s v="AplPay AMC 9640 ONLILEAWOOD             KS"/>
        <s v="5 Points Cork IE REF #XX4512F03ZFH"/>
        <s v="NATIONAL CAR R213023REDMOND             OR"/>
        <s v="VERIZON VICTRA MN STST LOUIS PARK       MN"/>
        <s v="CANNIBALE LANGE NIEZAMSTERDAM           NL"/>
        <s v="DA CONCH SHACK PROVIDENCIALETC REF #XX0222PJ5"/>
        <s v="SP VIVELAFETE       MIAMI               FL"/>
        <s v="AplPay CUB FOODS 163CUB.COM             MN"/>
        <s v="AplPay GRAMPA TONYS LA POINTE           WI"/>
        <s v="GOLF ZONE 5455000013877-8144102         MN"/>
        <s v="5 Points Cork IE REF #XX9162D12AR9ADF"/>
        <s v="DNCSS ALLIANZ FIELD ST. PAUL            MN"/>
        <s v="MACKENTHUN S MEATS &amp;SAINT BONIFAC       MN"/>
        <s v="US LACROSSE, INC    BALTIMORE           MA"/>
        <s v="HMSHOST SCHIPHOL AIRSCHIPHOL            NL"/>
        <s v="SQ *THEATRE REFRESHMENT CNew York NY REF #XX2535BR640B"/>
        <s v="GOLDSMITH TCI       PROVIDEN"/>
        <s v="SQ *ORDWAY CENTER FOR THESaint Paul MN REF #XX1539DN5"/>
        <s v="TST* MIYAGI RAMEN 00BEND                OR"/>
        <s v="AplPay HOMEDEPOT.COM800-430-3376        GA"/>
        <s v="AMAZON MARK* ZG3V552U0 HTTPSAMAZON.CWA REF #XX1340R0000EFHA"/>
        <s v="SUBWAY 71167        ST. BONIFACIUS      MN"/>
        <s v="TST* GIBSON STREET BAR AUSTIN TX REF #XX7463S5SJ31V11"/>
        <s v="AplPay JIMMY JOHNS -MINNETONKA          MN"/>
        <s v="General Store"/>
        <s v="AplPay TST* BUCK '54BURNSVILLE          MN"/>
        <s v="SP NORTHSTAR-APPARELHOPKINS             MN"/>
        <s v="AplPay WEASLEYS QUALORLANDO             FL"/>
        <s v="READY TO GO         PROVIDENCIALES      TC"/>
        <s v="AplPay ZENOTIUSA_POSCHANHASSEN          MN"/>
        <s v="AplPay HOLIDAY STATIHAYWARD             WI"/>
        <s v="AplPay FIVE GUYS MN EDEN PRAIRIE        MN"/>
        <s v="SQ *BEER BOAT NAPLES FL REF #XX2162V31SS2K4J"/>
        <s v="TEQUILA JACKS       CORK CITY"/>
        <s v="AplPay JIMMY JOHNS -EDINA               MN"/>
        <s v="SUMUP*PV CAB        MIDLETON"/>
        <s v="EL SANCHO           Bend                OR"/>
        <s v="AplPay AMC EDEN PRAIEDEN PRAIRIE        MN"/>
        <s v="VTS YELLOW CAB UTAH SALT LAKE CITY      UT"/>
        <s v="MALL OF AMERICA     BLOOMINGTON         MN"/>
        <s v="JJ-PCG MSP VENTURE LSAINT PAUL          MN"/>
        <s v="BRITO'S BURRITO     EXCELSIOR           MN"/>
        <s v="AMAZON MKTPL*3C69L91D3 AMZN.COM/BILLWA2YV7KGWKK3J"/>
        <s v="AMAZON MKTPL*0T10U1NA3 AMZN.COM/BILLWAR88XEXNS2HB"/>
        <s v="SATELLITE CABS      CORK"/>
        <s v="SUMUP*TOMMY         CORK"/>
        <s v="VAN GOGH MUSEUM     AMSTERDAM           NL"/>
        <s v="TST* TONY C'S SPORTSBOSTON              MA"/>
        <s v="STARBUCKS 800-782-7282   800-782-7282 WA REF #24692164L30A9AKAF"/>
        <s v="AMAZON MKTPL*2386K55T3 AMZN.COM/BILLWA1RWH8S2T3QW"/>
        <s v="MARVEL CHAR DINING 0ORLANDO             FL"/>
        <s v="PALLINO PASTARIA    SEATTLE             WA"/>
        <s v="7-ELEVEN 21045 00072SARASOTA            FL"/>
        <s v="CHICK-FIL-A #03840 0CHANHASSEN          MN"/>
        <s v="TARGET              CHANHASSEN          MN"/>
        <s v="Roulettes Pizza"/>
        <s v="AplPay TIDE DRY CLEAEXCELSIOR           MN"/>
        <s v="BEACHES BAR  AND GRIMIAMI BEACH         FL"/>
        <s v="SUMUP*FREE NOW      CORK"/>
        <s v="BT*GIRL SCOUTS OF THNEW YORK            NY"/>
        <s v="BOSTON TAXI VTS BOSTLONG ISLAND CITY    NY"/>
        <s v="REVERIE CAFE + BAR  Minneapolis         MN"/>
        <s v="TST* FULL TILT TAVERBLOOMINGTON         MN"/>
        <s v="SON OF A BUN VICTORIAN QUAIE REF #XX3612D00PH3PE8"/>
        <s v="TAZA 0000           CHANHASSEN          MN"/>
        <s v="CRISP &amp; GREEN - CHANCHANHASSEN          MN"/>
        <s v="UNION 76 09535295   BEND                OR"/>
        <s v="MT BACHELOR         Bend                OR"/>
        <s v="SP CASCADIA COFFEE  PORTLAND            OR"/>
        <s v="MSP POD1 CUSTOM BURGSAINT PAUL          MN"/>
        <s v="AplPay SHOREWOOD TRUEXCELSIOR           MN"/>
        <s v="TST* OG ZAZA - ST. PST. PAUL            MN"/>
        <s v="BEACH HUT SOUVENIRS BLUE HILLS TC REF #XX9451Z0021ZFXZ"/>
        <s v="SUMUP*VALERI GOLUBCHCORK"/>
        <s v="AMAZON.COM*Z70X48XI0 AMZN.COM/BILLWA7FAOHFXN4J1"/>
        <s v="IPX*NEB DOCTORS OF MEAGAN               MN"/>
        <s v="KAI'S SUSHI AND GRILL MINNETONKA MN REF #XX3692E0GRPRLT4"/>
        <s v="VICTORIA BURROW ARCAVICTORIA            MN"/>
        <s v="AplPay CS *STARBUCKS877-850-1977        ME"/>
        <s v="TST-NUA ASADOR - MARCORK                IR"/>
        <s v="AplPay NOODLES &amp; CO CHANHASSEN          MN"/>
        <s v="SPAR MCCURTAIN STREET CORK IE REF #XX3612D0218KT9J"/>
        <s v="AMAZON MKTPL*TQ5NC1UH3 AMZN.COM/BILLWA4BUER73YOXN"/>
        <s v="SUMUP*ABIODUN NURENICORK"/>
        <s v="CURRITO BURRITO 6500BOSTON              MA"/>
        <s v="MERVCO LTD PROVIDENCIALETC REF #XX6423ESB1LTJ3"/>
        <s v="TST* ORIGINAL HOCKEYFRIDLEY             MN"/>
        <s v="MCDONALD'S F5629 000EXCELSIOR           MN"/>
        <s v="TST-BURRITOS AND BLUCORK                IR"/>
        <s v="CUB FOODS #1636 SHOREWOOD MNAPPLE PAY ENDING IN 7968"/>
        <s v="TST-SULTAN FALAFEL -CORK                IR"/>
        <s v="AplPay CITY OF PLYMOPLYMOUTH            MN"/>
        <s v="BUREAU OF PARKS MADISON WI REF #XX7054J3SDW9E3H"/>
        <s v="19 EAST EMP STORE HERSHEY PA REF #XX2163Z3113S25T"/>
        <s v="AplPay BP#2034841CAPTURTLE LAKE         WI"/>
        <s v="HUDSONNEWS ST1110 11SEATAC              WA"/>
        <s v="AMAZON MKTPL*CC50P6NU3 AMZN.COM/BILLWA765EMM2S5O4"/>
        <s v="THE LOBBY COFFEE &amp; LExcelsior           MN"/>
        <s v="Angry Minnow"/>
        <s v="AplPay MCDONALD'S F5EXCELSIOR           MN"/>
        <s v="HH MARKETPLACE MSP ST. PAUL MN REF #XX2162T2ZZ0JP5D"/>
        <s v="AMAZON MKTPL*8X7781BR3 AMZN.COM/BILLWA2NEQWBEFVZW"/>
        <s v="814100 CDG2 E K JETEROISSY CDG CEDEX    FR"/>
        <s v="UNITY SHOP CORK IE REF #XX4602AZST9N"/>
        <s v="AplPay JJ-PCG MSP VESAINT PAUL          MN"/>
        <s v="THE SPARROW BAKERY NBend                OR"/>
        <s v="AplPay ANGRY MINNOW Hayward             WI"/>
        <s v="WH SMITH CORK AIRPORKINSALE ROAD, CORK  IR"/>
        <s v="Mister Car Wash #606ST LOUIS PARK       MN"/>
        <s v="MT. BACHELOR        Bend                OR"/>
        <s v="AplPay DEER RUN GC  VICTORIA            MN"/>
        <s v="RENTALTOLL239573584 877-860-1283        MO"/>
        <s v="THE BURROW - VICTORI715-7483289         MN"/>
        <s v="BONFES PLUMBING HEATING AXX6633 MN REF #XX5390LS66HWKMG"/>
        <s v="BONFES PLUMBING HEATING AXX6633 MN REF #XX5391KS66L5S2P"/>
        <s v="BONFES PLUMBING HEATING AXX6633 MN REF #XX5392FS66MA57B"/>
        <s v="BONFES PLUMBING HEATING AXX6633 MN REF #XX5393ES66E21Q9"/>
        <s v="BONFES PLUMBING HEATING AXX6633 MN REF #XX5394QS66G52WD"/>
        <s v="JD CORK CORK IE REF #XX3662QG0YA34P0"/>
        <s v="AplPay Mister Car WaST LOUIS PARK       MN"/>
        <s v="MODMEDUS_MP*PINNACLEPHOENIX             AZ"/>
        <s v="MCDONALD'S F35706 00CHASKA              MN"/>
        <s v="MSP POD1 FOODHALL 00PHILADELPHIA        PA"/>
        <s v="MSP POD4 CIBO EXPRESPHILADELPHIA        PA"/>
        <s v="AplPay DELTA AIRLINEATLANTA             GA"/>
        <s v="CAXAMBAS MARINA     Marco Island        FL"/>
        <s v="DAIRY QUEEN #45864 0MINNETONKA          MN"/>
        <s v="WAYZATA CAFE WAYZATA MN REF #XX3002P53SWDNK4"/>
        <s v="AMAZON MKTPL*GS2KJ0GK3 AMZN.COM/BILLWA57ZXM02SXMT"/>
        <s v="BUTTER BER CARXX1801 ORLANDO FL REF #XX1062Y583AJ2A4"/>
        <s v="City of Austin Parking"/>
        <s v="AplPay MC           Saint Paul          MN"/>
        <s v="MC CONCESSIONS      Princeton           MN"/>
        <s v="AMAZON MKTPL*HK3VN5BB3 AMZN.COM/BILLWAIUCK8BMH5JC"/>
        <s v="AMAZON MKTPL*NI2ZB0KN2 AMZN.COM/BILLWA2BJNHRZVA6N"/>
        <s v="GOFANTIX* MINNETONKAALPHARETTA          GA"/>
        <s v="Munchies"/>
        <s v="AplPay TST* CARIBOU ST. LOUIS PAR       MN"/>
        <s v="AplPay REVERIE CAFE Minneapolis         MN"/>
        <s v="AplPay GENERAL STOREMINNETONKA          MN"/>
        <s v="SON OF A BUN VICTORIAN QUAIE REF #XX3612G00SBWD1M"/>
        <s v="MAXIMUM VELOCITY    SAINT GEORGE        UT"/>
        <s v="AplPay MCDONALD'S F6CHANHASSEN          MN"/>
        <s v="Retail in Motion LTD Dublin City IE REF #XX5260SBBX41SY4"/>
        <s v="AMAZON KIDS+*9E3JD3D888-802-3080        WA"/>
        <s v="AMAZON MUSIC*NB7C187888-802-3080        WA"/>
        <s v="AMAZON KIDS+*NI8P52R888-802-3080        WA"/>
        <s v="AMAZON MUSIC*ZC87G4R888-802-3080        WA"/>
        <s v="AMAZON KIDS+*IW4X71B888-802-3080        WA"/>
        <s v="AMAZON MUSIC*QL1O736888-802-3080        WA"/>
        <s v="AMAZON KIDS+*2L6015E888-802-3080        WA"/>
        <s v="AMAZON MUSIC*8O0RE0N888-802-3080        WA"/>
        <s v="AplPay WAYZATA COFFEWAYZATA             MN"/>
        <s v="AplPay MINIONS POPA ORLANDO             FL"/>
        <s v="PARADIES-ATLANTA, LLATLANTA             GA"/>
        <s v="DUNKIN #342231 Q35 3BOSTON              MA"/>
        <s v="GASTRONOMIE /CONFIS.TREMBLAY  EN  FRANCEFR"/>
        <s v="RACETRAC23700023796974 LAKELAND FLAPPLE PAY ENDING IN 7629"/>
        <s v="WH Smith Cork Airport Cork IE REF #XX9800R7HK3GDVK"/>
        <s v="Naturally Nourished Cork IE REF #XX9162D12APVXMF"/>
        <s v="AplPay WALGREENS    EXCELSIOR           MN"/>
        <s v="D J*WSJ XX-7625 NJ REF #XX6322XVTQMTT"/>
        <s v="D J*WSJ XX-7625 NJ REF #XX2163Y2ZZTSD15"/>
        <s v="PRIME VIDEO *D92NM8R888-802-3080        WA"/>
        <s v="PRIME VIDEO *5P9YG1H888-802-3080        WA"/>
        <s v="ATLMARKET ST2681 268ATLANTA             GA"/>
        <s v="E&amp;a Mart"/>
        <s v="PRIME VIDEO *NW4S811888-802-3080        WA"/>
        <s v="PRIME VIDEO *U36C430888-802-3080        WA"/>
        <s v="PRIME VIDEO *4C23X9VF3 888-802-3080 WACB1WU50UA74"/>
        <s v="TST-CANDY ROCK - MARCORK                IR"/>
        <s v="AplPay USPS PO 26306EXCELSIOR           MN"/>
        <s v="PROTEIN BAR &amp; KITCHESALT LAKE CIT       UT"/>
        <s v="Salty Sams Marina"/>
        <s v="TST-ALCHEMY - MARINACORK                IR"/>
        <s v="AUDIBLE*OJ2SY5J03 AMZN.COM/BILLNJZ3QK4TO0AJ5"/>
        <s v="RACETRAC2379  023796LAKELAND            FL"/>
        <s v="ONSTREET XX7275 MN REF #XX3038FKPXPSLP"/>
        <s v="AplPay CARGILL STOREWAYZATA             MN"/>
        <s v="AMZN MKTP US*ZC1NR6S70 AMZN.COM/BILLWAVJHDOOJIDOP"/>
        <s v="GOOGLE *Google One XX-3987 CA REF #XX2160Kx5403PK0"/>
        <s v="GOOGLE *Google One XX-3987 CA REF #XX2161J2YBE3WPY"/>
        <s v="GOOGLE *Google One g.co/helppay#CA REF #XX2162E305DM57X"/>
        <s v="ONSTREET XX7275 MN REF #XX9303XKx5254RE"/>
        <s v="ONSTREET 8090 084870MINNEAPOLIS         MN"/>
        <s v="AplPay KOHL'S #0228 ST. LOUIS PAR       MN"/>
        <s v="Deposit Dividend Split Rate Annual Percentage Yield Earned 2.46% from 04/01"/>
        <s v="Deposit Dividend Split Rate Annual Percentage Yield Earned 2.11% from 02/01"/>
        <s v="Deposit Dividend Split Rate Annual Percentage Yield Earned 1.85% from 03/01"/>
        <s v="Deposit Dividend Split Rate Annual Percentage Yield Earned 1.46% from 01/01"/>
        <s v="TOWN OF LA POINTE LA POINTE WI REF #XX1663N0T52R4KN"/>
        <s v="Minnesota Department Of Revenue Deposit"/>
        <s v="SCHOOL SPECIALTY LLC XX-5823 WI REF #XX4141LTFLA7BQ"/>
        <s v="Rewards from Baxter Credit Union"/>
        <s v="Charles Schwab"/>
        <s v="Salary/Regular Income from IRS"/>
        <s v="Withdrawal by Wire 1dddxx73-4e7e-4cd8-aXX8887d0"/>
        <s v="Withdrawal by Wire f4cdaa03-6ax3-42ac-94b4-ffx0999b8343"/>
        <s v="Draft 2284 Tracer XXXXX0855"/>
        <s v="Draft 2312 Tracer XXXXX1412"/>
        <s v="Draft 2282 Tracer XXXXX0878"/>
        <s v="HOTEL ON BOOKING.COMAMSTERDAM           NL"/>
        <s v="HERTZ ITALY         ROMA                IT"/>
        <s v="RAILWAY STREET IE000CORK                IR"/>
        <s v="Superior Garage Door"/>
        <s v="MED*RIDGEVIEW WACONIWACONIA             MN"/>
        <s v="ANTHROPOLOGIE  00427MINNEAPOLIS         MN"/>
        <s v="Draft 2131 Tracer XXXXX0176"/>
        <s v="RUDY LUTHER TOYOTA MGOLDEN VALLEY       MN"/>
        <s v="AplPay AIRBNB * HM4BSAN FRANCISCO       CA"/>
        <s v="NATIONAL CAR R189900DENVER              CO"/>
        <s v="SPOT 4 GUNS 0847    FEASTERVILLE-       PA"/>
        <s v="COQBULL CORK        CORK                IR"/>
        <s v="SMOOKITALIA BV      ROTTERDAM           NL"/>
        <s v="MIDWEST AQUA CARE   JORDAN              MN"/>
        <s v="TST* PORZANA 3006404MINNEAPOLIS         MN"/>
        <s v="HOMEDEPOT.COM       800-430-3376        GA"/>
        <s v="BRITISH AIRWAYS IT DITALY               IT"/>
        <s v="INDIANHEAD SUPPER CLBALSAM LAKE         WI"/>
        <s v="AXETHROWINGCORK.COM CORK"/>
        <s v="SP PUR COLD PRESSED PURCOLDPRESSETX REF #XX1347J2X65P1PJ"/>
        <s v="LS BIG WOOD COLLECTIEXCELSIOR           MN"/>
        <s v="Withdrawal at ATM #XX3402 Via dei mille 8 Roma IT Card 5404"/>
        <s v="APPLE.COM/US        CUPERTINO           CA"/>
        <s v="CASA MONTI RISTORANTROMA"/>
        <s v="CLEANING PLUS LLC (DSaint Paul          MN"/>
        <s v="GETYOURGUIDE OPERATIDOVER               DE"/>
        <s v="AplPay KING SOOPERS DENVER              CO"/>
        <s v="AXE THROWING CORK CORK IE REF #XX9800NS55J2"/>
        <s v="MALAHIDE DUBLIN OPERDUBLIN 1            IR"/>
        <s v="GARMISCH 2 0000     CABLE               WI"/>
        <s v="SP LUMEN.ME         CLAYMONT            DE"/>
        <s v="EXPEDIA 732433671000EXPEDIA.COM         WA"/>
        <s v="PODERE CASANOVA MONTEPULCIANOIT REF #XX7792D257XDVF"/>
        <s v="TST* LORD FLETCHER'SSPRING PARK         MN"/>
        <s v="ATM Withdrawal at US Bank Lawrence KS"/>
        <s v="TOUR SPAIN* COLOSSE SEVILLA             SE"/>
        <s v="THE VISTA ROOFTOP CLROMA"/>
        <s v="OSTERIA DELL'OLIO   FIRENZE"/>
        <s v="COV ENTERTAINMENT   WAYZATA             MN"/>
        <s v="MILLENNIUMSIPOS*T501MINNEAPOLIS         MN"/>
        <s v="PICKWICK RESTAURANT DULUTH              MN"/>
        <s v="CKO*HEADOUT UFFIZI GFLORENCE            GB"/>
        <s v="AT&amp;T W318 58845 NA  CHANHASSEN          MN"/>
        <s v="SCHEGGE ROMA IT REF #XX6394GRR3KR1Y"/>
        <s v="TST* SMACK SHACK BLOMINNEAPOLIS         MN"/>
        <s v="MACKENTHUN'S FINE FOMINNETRISTA         MN"/>
        <s v="SP 6666 STEAK       WICHITA             KS"/>
        <s v="CANTINA PULCINO MONTEPULCIANOIT REF #XX6391FF7BPFNZ"/>
        <s v="TST* MIRABELLE &amp; PAREXCELSIOR           MN"/>
        <s v="Withdrawal ACH Driver Services TYPE: eServices ID: AXX7162 CO: Driver Servi"/>
        <s v="AplPay BALSAM LAKE TBALSAM LAKE         WI"/>
        <s v="BACKCOUNTRYCOM"/>
        <s v="SP MIZZENMAIN       DALLAS              TX"/>
        <s v="BIRCHS ON THE LAKE 1LONG LAKE           MN"/>
        <s v="WAYNE'S FOODS PLUS 0LUCK                WI"/>
        <s v="LUCI IN CUCINA ROMA IT REF #XX8951Q7AE451"/>
        <s v="SP PUREFILTERS      TORONTO"/>
        <s v="TRADER JOE S #714 00MINNETONKA          MN"/>
        <s v="Oakfire Pizza"/>
        <s v="DENVER RIO 1745 WAZEDENVER              CO"/>
        <s v="ENOTECA INTERNAZIONAMONTEROSSO AL MARE"/>
        <s v="AGRIO' SNC CASTIGLIONE DIT REF #XX1513TTWS4"/>
        <s v="PES SPORTS L.L.C. 00201-3653896         NJ"/>
        <s v="Transfer to Viator"/>
        <s v="TST* DULUTH GRILL 00DULUTH              MN"/>
        <s v="TST* CANAL PARK BREWDULUTH              MN"/>
        <s v="SP SPORTIQE APPAREL TEMPE               AZ"/>
        <s v="ENOTECA BOCCADAMA   FIRENZE"/>
        <s v="IL NUTINO           FIRENZE"/>
        <s v="LS CABIN FEVER SPORTVICTORIA            MN"/>
        <s v="AplPay DD *DOORDASH SAN FRANCISCO       CA"/>
        <s v="GALA SUPERMERCATO CORTONA IT REF #XX0901SRP01SY"/>
        <s v="FSP*STONEBROOKE GOLFSHAKOPEE            MN"/>
        <s v="ORATORIO SRL        ROMA"/>
        <s v="COV EDINA 3155 GALLEEDINA               MN"/>
        <s v="SP ALO-YOGA         COMMERCE            CA"/>
        <s v="AplPay ANTHROPOLOGIEPHILADELPHIA        PA"/>
        <s v="ROULETTES PIZZA 0688VICTORIA            MN"/>
        <s v="TST* OMC SMOKEHOUSE DULUTH              MN"/>
        <s v="PBL - FIERAMENTE SRLMONTEVARCHI"/>
        <s v="AplPay TST* SHIKI 00EXCELSIOR           MN"/>
        <s v="MIYAZAKI RESTAURANT CORK"/>
        <s v="AplPay LOUIES LODGE CUMBERLAND          WI"/>
        <s v="SP MARINE LAYER     SAN FRANCISCO       CA"/>
        <s v="STAZ.SERVIZIO SHELL CORTONA"/>
        <s v="MSP AIRP THE COOK ANSAINT PAUL          MN"/>
        <s v="CK *LUCK MUNICIPAL GLUCK                WI"/>
        <s v="UNITED AIRPORT TAXI Minneapolis         MN"/>
        <s v="PODERE CASANOVA MONTEPULCIANOIT REF #XX7792D257XDV7"/>
        <s v="AplPay SP VUORI CLOTENCINITAS           CA"/>
        <s v="AplPay RENT THE RUNW(800)509-0842       NY"/>
        <s v="TST* MAYNARDS - OUTSEXCELSIOR           MN"/>
        <s v="AplPay MAHARI TAXI  Edina               MN"/>
        <s v="CEP*OLYMPIC HILLS GCEDEN PRAIRIE        MN"/>
        <s v="TST* OLD CHICAGO - 4DULUTH              MN"/>
        <s v="RISTORANTE VITTY AL PANTHRoma IT REF #XX5002R0ZV9"/>
        <s v="THIRSTY OTTER TAVERNBALSAM LAKE         WI"/>
        <s v="Withdrawal at ATM #XX8196 PAI ATM 101 COUNTY RD I BALSAM LAKE WI Card 5404"/>
        <s v="5 Points Cork IE REF #XX9166T12NJ1B0W"/>
        <s v="ITALY TICKETS       FIRENZE             IT"/>
        <s v="Airport Taxi, Inc. 7612-888888          MN"/>
        <s v="TST* BLACK SHEEP PIZMINNEAPOLIS         MN"/>
        <s v="TST* BALSAM LAKE LODBALSAM LAKE         WI"/>
        <s v="Vagaro"/>
        <s v="RISTORANTE BAR AL CAVERNAZZA"/>
        <s v="ALBERGO MARINA      MONTEROSSO AL MARE"/>
        <s v="AplPay ON POINT MN 0DULUTH              MN"/>
        <s v="LS BLUFF CREEK GOLF CHASKA              MN"/>
        <s v="ELITE NAILS LLC CHANHASSEN MN REF #XX7058MMAEB0FZN"/>
        <s v="SNUFFYS MALT SHOP  MMINNETONKA          MN"/>
        <s v="DUBLIN AIRPORT RETAIDUBLIN              IR"/>
        <s v="AplPay GREAT LAKES ADULUTH              MN"/>
        <s v="MARKETPLACE FOODS #2ST CROIX FLS        WI"/>
        <s v="LS ACE SPIRITS      HOPKINS             MN"/>
        <s v="TST* VAGABONDO 30072EXCELSIOR           MN"/>
        <s v="DNR E PAY WIN ACS 00MADISON             WI"/>
        <s v="EPHS 2005 REUNION   CHASKA              MN"/>
        <s v="FATTORIA LE CAPEZZINMONTEPULCIANO"/>
        <s v="MUOVIAMO PARKING SRL FIRENZE IT REF #XX4958Z96L0Z4B4"/>
        <s v="TST* YUM KITCHEN ANDMINNETONKA          MN"/>
        <s v="FSP*MEADOWBROOK GOLFSAINT PAUL          MN"/>
        <s v="CITY OF ORONO, MN   Wayzata             MN"/>
        <s v="AplPay CUB FOODS SOUEDINA               MN"/>
        <s v="AplPay FSP*LAKE SUPEDULUTH              MN"/>
        <s v="RE AL QUADRATO MONTEPULCIANOIT REF #XX6391FQQ21B6W"/>
        <s v="GISHOTELS DI GISELDA BENIFIRENZE IT REF #XX5778Z4K4RM88J"/>
        <s v="DD *WILDFIRE        SAN FRANCISCO       CA"/>
        <s v="AplPay HOPSACK LLC  Balsam Lake         MN"/>
        <s v="WILLY MCCOYS OF CHASKA LLCHASKA MN REF #XX6162S66FY4YN"/>
        <s v="CAVU* APR           CHICAGO             IL"/>
        <s v="LILLE -ESQUERMOISE LLILLE               FR"/>
        <s v="TST* CHARLIES ON PRIPRIOR LAKE          MN"/>
        <s v="TST* RED COW - 50TH MINNEAPOLIS         MN"/>
        <s v="SPEEDWAY 46505 00004EXCELSIOR           MN"/>
        <s v="SIR SMOKE A LOT BBQ ST CROIX FLS        WI"/>
        <s v="LEEANN CHIN 0044 CHACHANHASSEN          MN"/>
        <s v="COMUNE DI MONTEROSSO PAR MONTEROSSO ALIT REF #XX1638XDVZNNTQJ"/>
        <s v="BALSAM LAKE TRADING BALSAM LAKE         WI"/>
        <s v="TST* JAKE'S ON THE LCENTER CITY         MN"/>
        <s v="BUFFALO TRACK 0000  FINLAYSON           MN"/>
        <s v="SHOREWOOD ACE 0000  EXCELSIOR           MN"/>
        <s v="FSP*RUTTGERS BAY LAKDEERWOOD            MN"/>
        <s v="IL PICCOLO SCOGLIO SVERNAZZA"/>
        <s v="AplPay ETSY, INC.   BROOKLYN            NY"/>
        <s v="Draft 2324 Tracer XXXXX2475"/>
        <s v="DS NAILS CHANHASSEN MN REF #XX2370QTMAT110"/>
        <s v="BP#7593908BOB &amp; STEVNEW RICHMOND        WI"/>
        <s v="HARRODS INTERNATIONALondon              GB"/>
        <s v="A.R. SOCIETA A RESPONSA ROMA IT REF #XX9754Z899"/>
        <s v="AplPay CUB FOODS 000MINNETONKA          MN"/>
        <s v="TST* JESTER GIFT CARDS XX-1613 MN REF #XX7467TEJZ5KR5Q"/>
        <s v="TST* NORTHERN TAPHOUPLYMOUTH            MN"/>
        <s v="CAFFE' MONICA DA GIOLUCCA"/>
        <s v="MIYABI              EXCELSIOR           MN"/>
        <s v="AplPay LS RAMBLE HOUCREEDE              CO"/>
        <s v="CROOKED PINT - MINNE612-8776900         MN"/>
        <s v="BALSAM LAKE BREWERY Balsam Lake         WI"/>
        <s v="BRADLEYS CORK IE REF #XX3666VJ3EXKBV8"/>
        <s v="HOLIDAY STATIONS 041SAINT CROIX F       WI"/>
        <s v="BENT PADDLE BREWING Duluth              MN"/>
        <s v="CENEX CONSUMERS COOPLUCK                WI"/>
        <s v="AplPay TST* BONSAI KCHANHASSEN          MN"/>
        <s v="SPEEDWAY 46586 00004STILLWATER          MN"/>
        <s v="HOLIDAY STATIONS 030CIRCLE PINES        MN"/>
        <s v="LS RAMBLE HOUSE LLC CREEDE              CO"/>
        <s v="TST* RED COW - 1ST AMINNEAPOLIS         MN"/>
        <s v="WILLY MCCOYS  CHASKA612-7705444         MN"/>
        <s v="CIVICO 34           MONTEPULCIANO"/>
        <s v="ARCO GREENWOOD MARKEGREENWOOD           MN"/>
        <s v="AplPay KFC          SHAKOPEE            MN"/>
        <s v="AplPay HOLIDAY STATICHANHASSEN          MN"/>
        <s v="AplPay INTERRAIL, LLNEWTON              MA"/>
        <s v="BIG DOUG'S BBQ      CREEDE              CO"/>
        <s v="MGM LIQUOR WAREHOUSESPRING PARK         MN"/>
        <s v="WALGREENS           EXCELSIOR           MN"/>
        <s v="HOLIDAY STATIONS 040N BRANCH            MN"/>
        <s v="CREW CARWASH 73     EDEN PRAIRIE        MN"/>
        <s v="EMAGINE WILLOW CREEKPLYMOUTH            MN"/>
        <s v="ENOTECA LOMBARDI    FIRENZE"/>
        <s v="FH* NORTH SHORE SCENDULUTH              MN"/>
        <s v="Transfer to Uber"/>
        <s v="AL AMIN FIRENZE IT REF #XX1638YE3BL37KF"/>
        <s v="CONSORZIO MARITTIMO TURISMONTEROSSO ALIT REF #XX5778X4GBBMHV5"/>
        <s v="AplPay DULUTH PACK 5DULUTH              MN"/>
        <s v="TRG HOLDINGS LIMITED LONDON GB REF #XX9600EDMJKW"/>
        <s v="ENOLITECA DEL CONSORZIO DMONTEPULCIANOIT REF #XX7792D7R1ZVE2"/>
        <s v="EAST COAST FOOD MANAEdina               MN"/>
        <s v="Cork"/>
        <s v="AplPay NOODLES AND CBROOMFIELD          CO"/>
        <s v="IRISH RAIL 7XX642-VW INTERNET IE REF #XX6999SRSAXB5X"/>
        <s v="SWEET ENDURANCE SPORDuluth              MN"/>
        <s v="TAVERN 4 &amp; 5 5455000877-8144102         MN"/>
        <s v="MERCATO CENTRALE FIRFIRENZE"/>
        <s v="AplPay SHOREWOOD LIQEXCELSIOR           MN"/>
        <s v="FP-Minnesota H&amp;F    Dallas              TX"/>
        <s v="SQ *COLETTE WALDOWSKI Balsam Lake WI REF #XX2165Y3549T5Y9"/>
        <s v="DOWNSTREAM GAS &amp; MERCREEDE              CO"/>
        <s v="AplPay LUNDS&amp;BYERLYSWAYZATA             MN"/>
        <s v="SUMUP*PHILLIP CORKERCORK"/>
        <s v="THE BURGER STAND AT Lawrence            KS"/>
        <s v="NEXO SERVICE S.R.L. ROMA"/>
        <s v="Withdrawal Fee 1dddxx73-4e7e-4cd8-aXX8887d0"/>
        <s v="Withdrawal Fee f4cdaa03-6ax3-42ac-94b4-ffx0999b8343"/>
        <s v="LEONARDO INTERACTIVEFIRENZE             IT"/>
        <s v="UBER TRIP           HTTPS://HELP.UBER.COCA"/>
        <s v="NOODLES AND COMPANY BROOMFIELD          CO"/>
        <s v="BUNNYS BAR &amp; GRILL 6MINNEAPOLIS         MN"/>
        <s v="UNCOMMON LOON BREWINChisago City        MN"/>
        <s v="META LUXURY COMPANY LUCCA"/>
        <s v="AplPay CRISP &amp; GREENEDEN PRAIRIE        MN"/>
        <s v="B&amp;N Paper Source    WESTBURY            NY"/>
        <s v="I LOVE DULUTH       Duluth              MN"/>
        <s v="AplPay MUSEO DELLE TMONTEPULCIANO"/>
        <s v="STEWARTS BIKE AND SPDULUTH              MN"/>
        <s v="AplPay ROCKET 6546 0DENVER              CO"/>
        <s v="AplPay TJMAXX #0239 ST. LOUIS PAR       MN"/>
        <s v="AplPay 423 LEGO FIREFIRENZE"/>
        <s v="SumUp *SUCCESS SRL Roma IT REF #XX6995SRSGADT0"/>
        <s v="AplPay CK *LUCK MUNILUCK                WI"/>
        <s v="SumUp *FORLITI SERGIO VALLERANO IT REF #XX6991SRSG7BQ2"/>
        <s v="ARBYS 7473 0365     BROOKLYN CENT       MN"/>
        <s v="AplPay CRISP &amp; GREENWAYZATA             MN"/>
        <s v="Withdrawal"/>
        <s v="LAKE MINNETONKA EXCEEXCELSIOR           MN"/>
        <s v="AplPay PURALIMA - WAWAYZATA             MN"/>
        <s v="GREEK GOURMET 0000  BLAINE              MN"/>
        <s v="NAZRUL ISLAM        FIRENZE"/>
        <s v="AplPay LS DULUTH KITDULUTH              MN"/>
        <s v="AplPay VIVA*AD GROUPEMPOLI              IT"/>
        <s v="AplPay CHIPOTLE MEX NEWPORT BEACH       CA"/>
        <s v="GOLFNOW             BELFAST             GB"/>
        <s v="KFC C750152 0000    NORTH BRANCH        MN"/>
        <s v="WMA ITALY SRL FIRENZE IT REF #XX8988Z1Q2DV61Z"/>
        <s v="MSP AIRP LEEANN CHINSAINT PAUL          MN"/>
        <s v="THE DEERSTAND 068880DEERWOOD            MN"/>
        <s v="Fusion Fitness"/>
        <s v="A RAMP 8067 08487002MINNEAPOLIS         MN"/>
        <s v="AplPay A'BULAE      Saint Paul          MN"/>
        <s v="TST* DOG HAUS BIERGADENVER              CO"/>
        <s v="AplPay ENI07431     ORVIETO"/>
        <s v="Fabbrica di San Pietro Citta del VatVS REF #XX9546E9GH6A"/>
        <s v="THAI BOAT 89        Minneapolis         MN"/>
        <s v="LIQUIDAMBITIONSLIQUOCREEDE              CO"/>
        <s v="WWW.BASILICASANCLEMENT ROMA IT REF #XX5932X4NPFSW"/>
        <s v="AplPay LA BOTTEGHINACASTIGLIONE DEL LAGO"/>
        <s v="BAR LO SPUNTINO MONTEROSSO ALIT REF #XX1638WDFEETWV4"/>
        <s v="GELATERIA VEGANA    FIRENZE"/>
        <s v="LHR T3 GLORIOUS BRITTERMINAL 3 LANDSID  GB"/>
        <s v="SUMUP*VALERY VENBERGCORK"/>
        <s v="PROPAY*Porzana-Uptow7632279002          MN"/>
        <s v="TST* OAK 19 FARE &amp; RCHASKA              MN"/>
        <s v="TOBIES STATION INC  HINCKLEY            MN"/>
        <s v="BIG BLUE            Excelsior           MN"/>
        <s v="AplPay CAFE WREN    Luck                WI"/>
        <s v="MCDONALD'S F35248 00CHANHASSEN          MN"/>
        <s v="CAFE ENA 0000       MINNEAPOLIS         MN"/>
        <s v="CAROSSO ENOTECA     ALBA"/>
        <s v="ERMIRIO MARGHERITA  VERNAZZA"/>
        <s v="AplPay MYBOOSTER* MINORCROSS            GA"/>
        <s v="AplPay BT*GILLETTE CSAINT PAUL          MN"/>
        <s v="AplPay WESTWOODCC.OREXCELSIOR           MN"/>
        <s v="THE UPS STORE 7416  CHASKA              MN"/>
        <s v="Naturally Nourished Cork IE REF #XX8003R4B8F"/>
        <s v="FSP*OMNI BREWERY &amp; TVICTORIA            MN"/>
        <s v="SPO*MONTEGOBLU-TROPIEXCELSIOR           MN"/>
        <s v="GALLERIA ACCADEMIA  FIRENZE"/>
        <s v="HOBNOB 7183000012175DES MOINES          IA"/>
        <s v="AplPay TARGET       MINNETONKA          MN"/>
        <s v="AplPay GOFANTIX* MINALPHARETTA          GA"/>
        <s v="THE COUNTRY STOP-PROSPICER              MN"/>
        <s v="AGRITURISMO VIA DELLCORTONA"/>
        <s v="LORA F&amp;B            STILLWATER          MN"/>
        <s v="THE SOCIAL ICE CREAMVictoria            MN"/>
        <s v="TST* OLD SOUTHERN BBEXCELSIOR           MN"/>
        <s v="AplPay MCDONALD'S F5WAYZATA             MN"/>
        <s v="BLACK ORANGE ROMA IT REF #XX6394GRW21XK6"/>
        <s v="PRIME VIDEO *ME9EA6U888-802-3080        WA"/>
        <s v="ZETTLE *ONDGO - BLACLONDON              GB"/>
        <s v="STARBUCKS FIRENZE   FIRENZE"/>
        <s v="Willow River State Park"/>
        <s v="RVT*MINNEWASHTA ELEMEXCELSIOR           MN"/>
        <s v="GARRISON REED LLC   Wayzata             MN"/>
        <s v="MINNETONKA YOUTH HOCMinnetonka          MN"/>
        <s v="AplPay ORION DONUTS CHANHASSEN          MN"/>
        <s v="THE UPS STORE 0473  MINNETONKA          MN"/>
        <s v="WAL-MART SUPERCENTERSAINT CROIX FALLS   WI"/>
        <s v="Mutton Lane Inn Cork IE REF #XX6005W44D1"/>
        <s v="xx45 - LONDRA 02 ROMA IT REF #XX5978XT6D7"/>
        <s v="Naturally Nourished Cork IE REF #XX9166V12NMHE56"/>
        <s v="CREMERIA DON PEPE' ROMA IT REF #XX6393GEFPB499"/>
        <s v="TST* THE CABANA CLUBMINNEAPOLIS         MN"/>
        <s v="DAIRY QUEEN         CHASKA              MN"/>
        <s v="LENNOXS CORK IE REF #XX9056S2X50SR1V"/>
        <s v="SQ *DER'S FARM Minnetonka MN REF #XX2166S2YMAXV66"/>
        <s v="SIREN COFFEE SRL FIRENZE IT REF #XX5908Z1TR3JG15"/>
        <s v="AplPay PULCINELLA BIMONTEPULCIANO"/>
        <s v="CHIPOTLE 2051 2051  MINNETONKA          MN"/>
        <s v="MONTEROSSO GOURMET SRL MONTEROSSO ALIT REF #XX8988W1Q083K30"/>
        <s v="MINERVA ROMA IT REF #XX9296YYM5B5"/>
        <s v="LA DIVINA - PIZZERIAFIRENZE"/>
        <s v="AplPay VERNAZZA SS DVERNAZZA"/>
        <s v="The Bulldog"/>
        <s v="PY *KJ'S NEW NORTH 0BALSAM LAKE         WI"/>
        <s v="Piaggios Stach Schipho SCHIPHOL NL REF #XX5008V2LN499E8"/>
        <s v="DAMICO &amp; SONS-MILL CMINNEAPOLIS         MN"/>
        <s v="Naturally Nourished Cork IE REF #XX0428X7Y"/>
        <s v="AplPay CULVER'S OF RROGERS              MN"/>
        <s v="AplPay SAN JUAN SPORCreede              CO"/>
        <s v="EIS CAFE' ROYAL LUCCA IT REF #XX1638XDW338GJB"/>
        <s v="AplPay JONES COFFEE Minneapolis         MN"/>
        <s v="AplPay GELATERIA DEIFIRENZE"/>
        <s v="AplPay FARMACIA FRANMONTEPULCIANO"/>
        <s v="AplPay CKE*THE SOCIADULUTH              MN"/>
        <s v="AplPay DAIRY QUEEN #MINNETONKA          MN"/>
        <s v="TIDE DRY CLEANERS CHCHANHASSEN          MN"/>
        <s v="PRO LOCO DI MONTEPULCIANOMONTEPULCIANOIT REF #XX7792D7R20XJ5"/>
        <s v="FUTURA DI LO RUSSO AALBA"/>
        <s v="INAUDI              ALBA"/>
        <s v="DAIRY QUEEN #45864 4MINNETONKA          MN"/>
        <s v="BONFES PLUMBING HEATING AXX6633 MN REF #XX3995S66HN1FY"/>
        <s v="BONFES PLUMBING HEATING AXX6633 MN REF #XX3988S66FJR3L"/>
        <s v="BONFES PLUMBING HEATING AXX6633 MN REF #XX3978S66D3JMN"/>
        <s v="BONFES PLUMBING HEATING AXX6633 MN REF #XX3969S66LBBGH"/>
        <s v="BONFES PLUMBING HEATING AXX6633 MN REF #XX5395BS66JEAFJ"/>
        <s v="CEP*OLYMPIC HILLS GC EDEN PRAIRIE MN REF #XX0628R1HEKDQ"/>
        <s v="ELY CAFF MONTEROSSO ALIT REF #XX1638WDFBJJDJL"/>
        <s v="AplPay VIVA*BAR LA CCASTIGLIONE DEL LAGOIT"/>
        <s v="TST-BORU COFFEE     CORK                IR"/>
        <s v="SILVERBROOK COFFEE  Saint Croix Falls   WI"/>
        <s v="AplPay STARBUCKS EASMINNEAPOLIS         MN"/>
        <s v="PSPT LAWRNC ENF 0000Charlotte           NC"/>
        <s v="G.F. MARKET MONTEROSSO ALIT REF #XX1638XDWQVZE81"/>
        <s v="12CDT - CDT TRATTA A1 TORTONA IT REF #XX9498W1134TJV4"/>
        <s v="CONAD FIRENZE IT REF #XX1638YE36DA2HJ"/>
        <s v="ROCKY MOUNTAIN CHOCOSaint Paul          MN"/>
        <s v="GLF MAHONGC         CORK"/>
        <s v="FTSCHNEIDER GMBH SOEST DF REF #XX2234S01F2QLVG"/>
        <s v="NORTH STAR DONUTS   Excelsior           MN"/>
        <s v="THE HIGHWAY 46 STORE BALSAM LAKE WI REF #XX4545W015VT4N4"/>
        <s v="OPIE'S LLC          Creede              CO"/>
        <s v="RACESSENTIALS       Duluth              MN"/>
        <s v="OSHO                BALLINTEMPLE"/>
        <s v="BAR BRASILE ROMA IT REF #XX6393GA7FNWKW"/>
        <s v="THE LOOP CORK CORK IE REF #XX3616X006FYQFB"/>
        <s v="PP*BEAR MADE CRAFTS/MILLTOWN            WI"/>
        <s v="ASPIT FIRENZE SUD - VALDICHIANA IT REF #XX9010B9KMRA"/>
        <s v="WAYZATA CAFE WAYZATA MN REF #XX3006V7KQGGSKK"/>
        <s v="AplPay SUMUP*ANWOARAROMA                IT"/>
        <s v="ASPIT ALBIANO M. - PISA NORD IT REF #XX9498Y158YYPVW"/>
        <s v="AplPay SUPER ONE FOOCROSBY              MN"/>
        <s v="AMAZON PRIME*N405R19888-802-3080        WA"/>
        <s v="AMAZON KIDS+*NM6AX0X888-802-3080        WA"/>
        <s v="AMAZON PRIME*NV7VO40888-802-3080        WA"/>
        <s v="AMAZON KIDS+*DQ9SP0W888-802-3080        WA"/>
        <s v="AMAZON PRIME*J267R7A888-802-3080        WA"/>
        <s v="AMAZON KIDS+*ND8YJ1O888-802-3080        WA"/>
        <s v="AMAZON PRIME*NN21081888-802-3080        WA"/>
        <s v="AMAZON KIDS+*RE5790K888-802-3080        WA"/>
        <s v="AMAZON PRIME*NQ2HH3Y888-802-3080        WA"/>
        <s v="AMAZON KIDS+*NA9FI17888-802-3080        WA"/>
        <s v="RISTORO DA MARIA MONTEROSSO ALIT REF #XX1638WD9PPXXL7"/>
        <s v="ASPIT LUCCA EST - FI SCANDICCI IT REF #XX9498Y158YYPVA"/>
        <s v="MCDONALD'S          ST PAUL             MN"/>
        <s v="AplPay EMV CARTE STRROMA"/>
        <s v="PONCHA MARKET       PONCHA SPRING       CO"/>
        <s v="CARRIAGE FOOD SERVICES LTENNIS IE REF #XX6999SRVJFG6Z"/>
        <s v="BAR GELATERIA ENRICARIOMAGGIORE"/>
        <s v="DAIRY QUEEN #42628 0NEW BRIGHTON        MN"/>
        <s v="KS DEPT WILDLIFE &amp; PAR PRATT KS REF #XX7504KW0F7Z6"/>
        <s v="CUB FOODS #1644 0000CHANHASSEN          MN"/>
        <s v="19 EAST EMP STORE   HERSHEY             PA"/>
        <s v="D J*WSJ XX-7625 NJ REF #XX2166J33BRVKS7"/>
        <s v="D J*WSJ XX-7625 NJ REF #XX2165N2XZQ26GV"/>
        <s v="D J*WSJ XX-7625 NJ REF #XX2164S34ZYT4B2"/>
        <s v="AplPay SHOREWOOD ACEEXCELSIOR           MN"/>
        <s v="Withdrawal ACH BIRD RIDES ITALY CO: BIRD RIDES ITALY S.R.L. TYPE: IAT PAYPA"/>
        <s v="AplPay SUMUP*TABACCHGROTTAFERRATA"/>
        <s v="AplPay CARIBOU COFFEMINNEAPOLIS         MN"/>
        <s v="TRADER JOE S #725 00MINNEAPOLIS         MN"/>
        <s v="THE BOOKERY         Balsam Lake         WI"/>
        <s v="GOLDEN VALLEY COUNTRMINNEAPOLIS         MN"/>
        <s v="KU CAMPUS BOOKSTORESLAWRENCE            KS"/>
        <s v="AplPay BALSAM LAKE BBalsam Lake         WI"/>
        <s v="Royal Coffee"/>
        <s v="ACQU.DISTRIB.AUTOMATI SERIATE IT REF #XX1747F7EM"/>
        <s v="ACQU.DISTRIB.AUTOMATI SERIATE IT REF #XX1747F7EX"/>
        <s v="CONAD FIRENZE IT REF #XX1638YE36D9ZKN"/>
        <s v="NYA*Cork Vending Solut XX9621 IE REF #XX4656R38TW4J4Z"/>
        <s v="GOOGLE *Google One g.co/helppay#CA REF #XX7305WAJ8Y"/>
        <s v="GOOGLE *Google One g.co/helppay#CA REF #XX6834NA7WLZ"/>
        <s v="GOOGLE *Google One g.co/helppay#CA REF #XX2165A2XAH1HNR"/>
        <s v="Family Dollar"/>
        <s v="DNR EPAY WIN ACS SERMADISON             WI"/>
        <s v="AplPay SUMUP*PASTICCCASTIGLIONE DEL LAGO"/>
        <s v="MERCATO CENTRALE FIRENZE FIRENZE IT REF #XX4958Y96H3T030"/>
        <s v="ASPIT GENOVA AEROP. - GENOVA PEGLI IT REF #XX9498W1134TJSW"/>
        <s v="Credit for AMEX Error"/>
        <s v="Deposit Dividend Split Rate Annual Percentage Yield Earned 2.07% from 06/01"/>
        <s v="Deposit Dividend Split Rate Annual Percentage Yield Earned 1.52% from 09/01"/>
        <s v="Deposit Dividend Split Rate Annual Percentage Yield Earned 1.75% from 10/01"/>
        <s v="Deposit Dividend Split Rate Annual Percentage Yield Earned 1.39% from 07/01"/>
        <s v="Deposit Dividend Split Rate Annual Percentage Yield Earned 1.34% from 08/01"/>
        <s v="Deposit ACH Delta TYPE: Customer C ID: XX2001 CO: Delta Entry Class Code: A"/>
        <s v="K99U:0002 300.00 credit"/>
        <s v="Salary/Regular Income from Cargill Inc"/>
        <s v="Deposit ACH TRUITTJEFF TYPE: SETL ID: XX1866 CO: MBI NAME: TRUITTJEFF Entry"/>
        <s v="Discover Bank DISCOVER TYPE EPAYMENT ID CO DISCOVER ACH ECC WEB ACH Trace 26115" u="1"/>
        <s v="CONNECTED ANALYT TYPE DIRECT DEP ID CO CONNECTED ANALYT ACH ECC PPD ACH Trace 40983" u="1"/>
        <s v="MN DIR ACH TYPE CONTRIB ID CO MN DIR ACH ACH ECC WEB ACH Trace 97941 297122971" u="1"/>
        <s v="CARGILL COCOA TYPE DIR DEP ID CO CARGILL COCOA ACH ECC PPD ACH Trace 08052 285980155" u="1"/>
        <s v="Cargill Inc Deposit CARGILL INCORPOR TYPE DIRECT DEP ID CO CARGILL INCORPOR ACH ECC PPD ACH Trace 07" u="1"/>
        <s v="Withdrawal ACH MHCHILDCARELLC TYPE: DUES ID: 1824708198 CO: MHCHILDCARELLC Entry Class Code: PPD ACH Trace Number: 096010416198573" u="1"/>
        <s v="KAUFMAN HALL TYPE DIRECT DEP ID CO KAUFMAN HALL ACH ECC PPD ACH Trace 27130 307018562" u="1"/>
        <s v="CONNECTED ANALYT TYPE DIRECT DEP ID CO CONNECTED ANALYT ACH ECC PPD ACH Trace 36704" u="1"/>
        <s v="CONNECTED ANALYT TYPE DIRECT DEP ID CO CONNECTED ANALYT ACH ECC PPD ACH Trace 36705" u="1"/>
        <s v="Transfer to Venmo VENMO TYPE PAYMENT ID CO VENMO ACH ECC WEB ACH Trace 95244" u="1"/>
        <s v="Cargill Inc Deposit CARGILL INCORPOR TYPE DIRECT DEP ID CO CARGILL INCORPOR ACH ECC PPD ACH Trace 27" u="1"/>
        <s v="CPENERGY MNGCO TYPE MGC ACH EB ID 176051140S CO CPENERGY MNGCO ACH ECC WEB ACH Trace 21554 277010533" u="1"/>
        <s v="Withdrawal ACH CITY OF CHANHASS TYPE: UTIL BILL ID: 1410885331 CO: CITY OF CHANHASS Entry Class Code: PPD ACH Trace Number: 091901960151902" u="1"/>
        <s v="Transfer to Venmo VENMO TYPE PAYMENT ID CO VENMO NAME BRITNEY TRUITT ACH ECC WEB ACH Trace 94227" u="1"/>
        <s v="CPENERGY MNGCO TYPE MGC ACH EB ID 176051140S CO CPENERGY MNGCO ACH ECC WEB ACH Trace 34719 309804560" u="1"/>
        <s v="Discover Bank DISCOVER TYPE EPAYMENT ID CO DISCOVER ACH ECC WEB ACH Trace 16372" u="1"/>
        <s v="CPENERGY MNGCO TYPE MGC ACH EB ID 176051140S CO CPENERGY MNGCO ACH ECC WEB ACH Trace 01809" u="1"/>
        <s v="College Savings TYPE ACH ID 550895818 CO College Savings ACH ECC PPD ACH Trace 94544" u="1"/>
        <s v="CPENERGY MNGCO TYPE MGC ACH EB ID 176051140S CO CPENERGY MNGCO ACH ECC WEB ACH Trace 52369 267098185" u="1"/>
        <s v="College Savings TYPE ACH ID 550895818 CO College Savings ACH ECC PPD ACH Trace 24598" u="1"/>
        <s v="BCU MORTGAGE TYPE LOAN PAYMT ID 9DRAFTING CO BCU MORTGAGE ACH ECC WEB ACH Trace 13754 293383522" u="1"/>
        <s v="CONNECTED ANALYT TYPE DIRECT DEP ID CO CONNECTED ANALYT ACH ECC PPD ACH Trace 72349" u="1"/>
        <s v="SYNTELLIS PERFOR TYPE DIRECT DEP ID CO SYNTELLIS PERFOR ACH ECC PPD ACH Trace 80021" u="1"/>
        <s v="CONNECTED ANALYT TYPE DIRECT DEP ID CO CONNECTED ANALYT ACH ECC PPD ACH Trace 42483" u="1"/>
        <s v="CONNECTED ANALYT TYPE DIRECT DEP ID CO CONNECTED ANALYT ACH ECC PPD ACH Trace 86346" u="1"/>
        <s v="CARGILL COCOA TYPE DIR DEP ID CO CARGILL COCOA ACH ECC PPD ACH Trace 95144 241817275" u="1"/>
        <s v="Cargill Inc Deposit CARGILL INCORPOR TYPE DIRECT DEP ID CO CARGILL INCORPOR ACH ECC PPD ACH Trace 42" u="1"/>
        <s v="CARGILL COCOA TYPE DIR DEP ID CO CARGILL COCOA ACH ECC PPD ACH Trace 52042 313526393" u="1"/>
        <s v="MHCHILDCARELLC TYPE DUES ID CO MHCHILDCARELLC ACH ECC PPD ACH Trace 11884 324320775" u="1"/>
        <s v="CARGILL COCOA TYPE DIR DEP ID CO CARGILL COCOA ACH ECC PPD ACH Trace 82270 245099997" u="1"/>
        <s v="College Savings TYPE ACH ID 550895818 CO College Savings ACH ECC PPD ACH Trace 29893 248013599" u="1"/>
        <s v="BCU MORTGAGE TYPE LOAN PAYMT ID 9DRAFTING CO BCU MORTGAGE ACH ECC WEB ACH Trace 53888 308255591" u="1"/>
        <s v="CARGILL INCORPOR TYPE DIRECT DEP ID CO CARGILL INCORPOR ACH ECC PPD ACH Trace 59640" u="1"/>
        <s v="MHCHILDCARELLC TYPE DUES ID CO MHCHILDCARELLC ACH ECC PPD ACH Trace 78019 292751229" u="1"/>
        <s v="CARGILL INCORPOR TYPE DIRECT DEP ID CO CARGILL INCORPOR ACH ECC PPD ACH Trace 82638" u="1"/>
        <s v="SYNTELLIS TYPE ID CO SYNTELLIS A SYNTELLIS TYPE PAYMENT ID CO SYNTELLIS ACH ECC PPD ACH Trace 77812" u="1"/>
        <s v="CARGILL COCOA TYPE DIR DEP ID CO CARGILL COCOA ACH ECC PPD ACH Trace 46957 251804506" u="1"/>
        <s v="CARGILL COCOA TYPE DIR DEP ID CO CARGILL COCOA ACH ECC PPD ACH Trace 27359 329960761" u="1"/>
        <s v="MN DIR ACH TYPE CONTRIB ID CO MN DIR ACH ACH ECC WEB ACH Trace 04651 327536354" u="1"/>
        <s v="Transfer to Venmo VENMO TYPE PAYMENT ID CO VENMO NAME BRITNEY TRUITT ACH ECC WEB ACH Trace 91582" u="1"/>
        <s v="CARGILL COCOA TYPE DIR DEP ID CO CARGILL COCOA ACH ECC PPD ACH Trace 88076 297342601" u="1"/>
        <s v="MHCHILDCARELLC TYPE DUES ID CO MHCHILDCARELLC ACH ECC PPD ACH Trace 97179 300319715" u="1"/>
        <s v="CARGILL INCORPOR TYPE DIRECT DEP ID CO CARGILL INCORPOR ACH ECC PPD ACH Trace 52147" u="1"/>
        <s v="KAUFMAN HALL TYPE DIRECT DEP ID CO KAUFMAN HALL ACH ECC PPD ACH Trace 82004 276967602" u="1"/>
        <s v="BCU MORTGAGE TYPE LOAN PAYMT ID 9DRAFTING CO BCU MORTGAGE ACH ECC WEB ACH Trace 81641" u="1"/>
        <s v="Transfer to Venmo VENMO TYPE PAYMENT ID CO VENMO NAME BRITNEY TRUITT ACH ECC WEB ACH Trace 94658" u="1"/>
        <s v="MN DVS MLR TYPE epayment ID 416007162P CO MN DVS MLR ACH ECC WEB ACH Trace 83493 244913435" u="1"/>
        <s v="MN DIR ACH TYPE CONTRIB ID CO MN MN DIR ACH TYPE CONTRIB ID CO MN DIR ACH ACH ECC WEB ACH Trace 8200" u="1"/>
        <s v="Banana Visa TYPE BR EPAY ID CO Banana Visa ACH ECC WEB ACH Trace 87275 255371472" u="1"/>
        <s v="Transfer from PayPal PAYPAL TYPE TRANSFER ID PAYPALSD11 CO PAYPAL ACH ECC PPD ACH Trace 80695" u="1"/>
        <s v="Deposit ACH CARGILL INCORPOR TYPE: DIRECT DEP ID: 9111111101 CO: CARGILL INCORPOR Entry Class Code: PPD ACH Trace Number: 091000014844682" u="1"/>
        <s v="College Savings TYPE ACH ID 550895818 CO College Savings ACH ECC PPD ACH Trace 85767" u="1"/>
        <s v="College Savings TYPE ACH ID 550895818 CO College Savings ACH ECC PPD ACH Trace 84657 307537522" u="1"/>
        <s v="Transfer to Venmo VENMO TYPE PAYMENT ID CO VENMO ACH ECC WEB ACH Trace 79449" u="1"/>
        <s v="MN DVS MLR TYPE conv fee ID E987654321 CO MN DVS MLR ACH ECC WEB ACH Trace 68965" u="1"/>
        <s v="Transfer to Venmo VENMO TYPE PAYMENT ID CO VENMO ACH ECC WEB ACH Trace 40985" u="1"/>
        <s v="BCU MORTGAGE TYPE LOAN PAYMT ID 9DRAFTING CO BCU MORTGAGE ACH ECC WEB ACH Trace 49814 263002818" u="1"/>
        <s v="BCU MORTGAGE TYPE LOAN PAYMT ID 9DRAFTING CO BCU MORTGAGE ACH ECC WEB ACH Trace 13205" u="1"/>
        <s v="Banana Visa TYPE BR EPAY ID CO Banana Visa ACH ECC WEB ACH Trace 61552 306804587" u="1"/>
        <s v="Transfer to Venmo VENMO TYPE PAYMENT ID CO VENMO ACH ECC WEB ACH Trace 40720" u="1"/>
        <s v="Cargill Inc Deposit CARGILL INCORPOR TYPE DIRECT DEP ID CO CARGILL INCORPOR ACH ECC PPD ACH Trace 38" u="1"/>
        <s v="SYNTELLIS PERFOR TYPE DIRECT DEP ID CO SYNTELLIS PERFOR ACH ECC PPD ACH Trace 84623" u="1"/>
        <s v="CONNECTED ANALYT TYPE DIRECT DEP ID CO CONNECTED ANALYT ACH ECC PPD ACH Trace 75316" u="1"/>
        <s v="CARGILL INCORPOR TYPE DIRECT DEP ID CO CARGILL INCORPOR ACH ECC PPD ACH Trace 91893" u="1"/>
        <s v="CARGILL COCOA TYPE DIR DEP ID CO CARGILL COCOA ACH ECC PPD ACH Trace 45392 293524918" u="1"/>
        <s v="College Savings TYPE ACH ID 550895818 CO College Savings ACH ECC PPD ACH Trace 26955" u="1"/>
        <s v="SYNTELLIS PERFOR TYPE DIRECT DEP ID CO SYNTELLIS PERFOR ACH ECC PPD ACH Trace 40276" u="1"/>
        <s v="CONNECTED ANALYT TYPE DIRECT DEP ID CO CONNECTED ANALYT ACH ECC PPD ACH Trace 26453" u="1"/>
        <s v="MN DIR ACH TYPE CONTRIB ID CO MN DIR ACH ACH ECC WEB ACH Trace 55661 319352964" u="1"/>
        <s v="Transfer to Venmo VENMO TYPE PAYMENT ID CO VENMO ACH ECC WEB ACH Trace 60501" u="1"/>
        <s v="Transfer to Venmo VENMO TYPE PAYMENT ID CO VENMO NAME BRITNEY TRUITT ACH ECC WEB ACH Trace 94439" u="1"/>
        <s v="KAUFMAN HALL TYPE DIRECT DEP ID CO KAUFMAN HALL ACH ECC PPD ACH Trace 88462 287919112" u="1"/>
        <s v="College Savings TYPE ACH ID 550895818 CO College Savings ACH ECC PPD ACH Trace 66891" u="1"/>
        <s v="KAUFMAN HALL TYPE DIRECT DEP ID CO KAUFMAN HALL ACH ECC PPD ACH Trace 58727 291657926" u="1"/>
        <s v="BCU MORTGAGE TYPE LOAN PAYMT ID 9DRAFTING CO BCU MORTGAGE ACH ECC WEB ACH Trace 10527 324040595" u="1"/>
        <s v="KAUFMAN HALL TYPE DIRECT DEP ID CO KAUFMAN HALL ACH ECC PPD ACH Trace 53450 265619897" u="1"/>
        <s v="Withdrawal ACH DISCOVER TYPE: E-PAYMENT ID: 2510020270 CO: DISCOVER NAME: TRUITT JEFF Entry Class Code: WEB ACH Trace Number: 091000014117130" u="1"/>
        <s v="KAUFMAN HALL TYPE DIRECT DEP ID CO KAUFMAN HALL ACH ECC PPD ACH Trace 97525 261788891" u="1"/>
        <s v="Withdrawal Debit REEDS SUNNYSIDE MARINA WWWSUNNYSIDE WI Date 080321 030 7929" u="1"/>
        <s v="Cargill Inc Deposit CARGILL INCORPOR TYPE DIRECT DEP ID CO CARGILL INCORPOR ACH ECC PPD ACH Trace 23" u="1"/>
        <s v="Banana Visa TYPE BR EPAY ID CO Banana Visa ACH ECC WEB ACH Trace 84633 237626001" u="1"/>
        <s v="College Savings TYPE ACH ID 550895818 CO College Savings ACH ECC PPD ACH Trace 81051 292751231" u="1"/>
        <s v="MHCHILDCARELLC TYPE DUES ID CO MHCHILDCARELLC ACH ECC PPD ACH Trace 50408 322288612" u="1"/>
        <s v="KAUFMAN HALL TYPE DIRECT DEP ID CO KAUFMAN HALL ACH ECC PPD ACH Trace 23813 326292920" u="1"/>
        <s v="CPENERGY MNGCO TYPE MGC ACH EB ID 176051140S CO CPENERGY MNGCO ACH ECC WEB ACH Trace 72827" u="1"/>
        <s v="Treasurydirect TREASURY DIRECT TYPE TREAS DRCT ID CO TREASURY DIRECT ACH ECC PPD ACH Trace 00726" u="1"/>
        <s v="Cargill Inc Deposit CARGILL INCORPOR TYPE DIRECT DEP ID CO CARGILL INCORPOR ACH ECC PPD ACH Trace 53" u="1"/>
        <s v="MHCHILDCARELLC TYPE DUES ID CO M MHCHILDCARELLC TYPE DUES ID CO MHCHILDCARELLC ACH ECC PPD ACH Trace" u="1"/>
        <s v="SYNTELLIS TYPE ID CO SYNTELLIS A SYNTELLIS TYPE PAYMENT ID CO SYNTELLIS ACH ECC PPD ACH Trace 59954" u="1"/>
        <s v="CONNECTED ANALYT TYPE DIRECT DEP ID CO CONNECTED ANALYT ACH ECC PPD ACH Trace 59449" u="1"/>
        <s v="BCU MORTGAGE TYPE LOAN PAYMT ID 9DRAFTING CO BCU MORTGAGE ACH ECC WEB ACH Trace 00138" u="1"/>
        <s v="BCU MORTGAGE TYPE LOAN PAYMT ID 9DRAFTING CO BCU MORTGAGE ACH ECC WEB ACH Trace 71012" u="1"/>
        <s v="College Savings TYPE ACH ID 550895818 CO College Savings ACH ECC PPD ACH Trace 57639 277653602" u="1"/>
        <s v="CONNECTED ANALYT TYPE DIRECT DEP ID CO CONNECTED ANALYT ACH ECC PPD ACH Trace 94092" u="1"/>
        <s v="DIRECT PAY HSA TYPE ETRANSFER ID CO DIRECT PAY HSA ACH ECC PPD ACH Trace 22517 272341001" u="1"/>
        <s v="KAUFMAN HALL TYPE DIRECT DEP ID CO KAUFMAN HALL ACH ECC PPD ACH Trace 45671 235786428" u="1"/>
        <s v="CARGILL COCOA TYPE DIR DEP ID CO CARGILL COCOA ACH ECC PPD ACH Trace 97142 324790259" u="1"/>
        <s v="Transfer to Venmo VENMO TYPE PAYMENT ID CO VENMO ACH ECC WEB ACH Trace 42724" u="1"/>
        <s v="Transfer to Venmo VENMO TYPE PAYMENT ID CO VENMO ACH ECC WEB ACH Trace 11191" u="1"/>
        <s v="Transfer to Venmo VENMO TYPE PAYMENT ID CO VENMO NAME JEFF TRUITT ACH ECC WEB ACH Trace 08231" u="1"/>
        <s v="CPENERGY MNGCO TYPE MGC ACH EB ID 176051140S CO CPENERGY MNGCO ACH ECC WEB ACH Trace 59798 292947029" u="1"/>
        <s v="MN DIR ACH TYPE CONTRIB ID CO MN MN DIR ACH TYPE CONTRIB ID CO MN DIR ACH ACH ECC WEB ACH Trace 6316" u="1"/>
        <s v="Banana Visa TYPE BR EPAY ID CO Banana Visa ACH ECC WEB ACH Trace 91862 247058816" u="1"/>
        <s v="SYNTELLIS PERFOR TYPE DIRECT DEP ID CO SYNTELLIS PERFOR ACH ECC PPD ACH Trace 02397" u="1"/>
        <s v="College Savings TYPE ACH ID 550895818 CO College Savings ACH ECC PPD ACH Trace 90074 240148343" u="1"/>
        <s v="MHCHILDCARELLC TYPE DUES ID CO MHCHILDCARELLC ACH ECC PPD ACH Trace 28065 326110214" u="1"/>
        <s v="Discover Bank DISCOVER TYPE EPAYMENT ID CO DISCOVER ACH ECC WEB ACH Trace 33665" u="1"/>
        <s v="MN DIR ACH TYPE CONTRIB ID CO MN MN DIR ACH TYPE CONTRIB ID CO MN DIR ACH NAME 734 1 ACH ECC WEB ACH" u="1"/>
        <s v="MN DIR ACH TYPE CONTRIB ID CO MN MN DIR ACH TYPE CONTRIB ID CO MN DIR ACH ACH ECC WEB ACH Trace 8001" u="1"/>
        <s v="MN DIR ACH TYPE CONTRIB ID CO MN MN DIR ACH TYPE CONTRIB ID CO MN DIR ACH ACH ECC WEB ACH Trace 7396" u="1"/>
        <s v="Withdrawal ACH PAYPAL TYPE: INST XFER ID: PAYPALSI77 CO: PAYPAL NAME: JEFF TRUITT Entry Class Code: WEB ACH Trace Number: 091000012363725" u="1"/>
        <s v="Transfer to Venmo VENMO TYPE PAYMENT ID CO VENMO ACH ECC WEB ACH Trace 63713" u="1"/>
        <s v="Transfer to Venmo VENMO TYPE PAYMENT ID CO VENMO ACH ECC WEB ACH Trace 92303" u="1"/>
        <s v="College Savings TYPE ACH ID 550895818 CO College Savings ACH ECC PPD ACH Trace 51883 285214068" u="1"/>
        <s v="CARGILL COCOA TYPE DIR DEP ID CO CARGILL COCOA ACH ECC PPD ACH Trace 21192 307018563" u="1"/>
        <s v="BCU MORTGAGE TYPE LOAN PAYMT ID 9DRAFTING CO BCU MORTGAGE ACH ECC WEB ACH Trace 11097 285512729" u="1"/>
        <s v="Transfer to Venmo VENMO TYPE PAYMENT ID CO VENMO ACH ECC WEB ACH Trace 54921" u="1"/>
        <s v="Cargill Inc Deposit CARGILL INCORPOR TYPE DIRECT DEP ID CO CARGILL INCORPOR ACH ECC PPD ACH Trace 09" u="1"/>
        <s v="CARGILL COCOA TYPE DIR DEP ID CO CARGILL COCOA ACH ECC PPD ACH Trace 05327 235786427" u="1"/>
        <s v="College Savings TYPE ACH ID 550895818 CO College Savings ACH ECC PPD ACH Trace 31021 254671635" u="1"/>
        <s v="Transfer to Venmo VENMO TYPE PAYMENT ID CO VENMO ACH ECC WEB ACH Trace 82107" u="1"/>
        <s v="KAUFMAN HALL TYPE DIRECT DEP ID CO KAUFMAN HALL ACH ECC PPD ACH Trace 30833 258024835" u="1"/>
        <s v="Transfer to Venmo VENMO TYPE PAYMENT ID CO VENMO ACH ECC WEB ACH Trace 74986" u="1"/>
        <s v="Withdrawal ACH TARGET CARD SRVC TYPE: AUTO PYMT ID: 1411721813 CO: TARGET CARD SRVC NAME: TRUITT JEFFREY B Entry Class Code: WEB ACH Trace Number: 091" u="1"/>
        <s v="Banana Visa TYPE BR EPAY ID CO Banana Visa ACH ECC WEB ACH Trace 34491 239490582" u="1"/>
        <s v="KAUFMAN HALL TYPE DIRECT DEP ID CO KAUFMAN HALL ACH ECC PPD ACH Trace 28234 239663913" u="1"/>
        <s v="Discover Bank DISCOVER TYPE EPAYMENT ID CO DISCOVER ACH ECC WEB ACH Trace 81636" u="1"/>
        <s v="KAUFMAN HALL TYPE DIRECT DEP ID CO KAUFMAN HALL ACH ECC PPD ACH Trace 04238 313814117" u="1"/>
        <s v="College Savings TYPE ACH ID 550895818 CO College Savings ACH ECC PPD ACH Trace 05133 322673689" u="1"/>
        <s v="Transfer from PayPal PAYPAL TYPE TRANSFER ID PAYPALSD11 CO PAYPAL ACH ECC PPD ACH Trace 90782" u="1"/>
        <s v="KAUFMAN HALL TYPE DIRECT DEP ID CO KAUFMAN HALL ACH ECC PPD ACH Trace 56405 295857734" u="1"/>
        <s v="CONNECTED ANALYT TYPE DIRECT DEP ID CO CONNECTED ANALYT ACH ECC PPD ACH Trace 65555" u="1"/>
        <s v="KAUFMAN HALL TYPE DIRECT DEP ID CO KAUFMAN HALL ACH ECC PPD ACH Trace 63599 322220066" u="1"/>
        <s v="CARGILL COCOA TYPE DIR DEP ID CO CARGILL COCOA ACH ECC PPD ACH Trace 72872 261788892" u="1"/>
        <s v="MHCHILDCARELLC TYPE DUES ID CO MHCHILDCARELLC ACH ECC PPD ACH Trace 18699 328055134" u="1"/>
        <s v="MHCHILDCARELLC TYPE DUES ID CO MHCHILDCARELLC ACH ECC PPD ACH Trace 76926 321376193" u="1"/>
        <s v="Transfer from PayPal PAYPAL TYPE TRANSFER ID PAYPALSD11 CO PAYPAL ACH ECC PPD ACH Trace 23948" u="1"/>
        <s v="College Savings TYPE ACH ID 550895818 CO College Savings ACH ECC PPD ACH Trace 87923" u="1"/>
        <s v="Discover Bank DISCOVER TYPE EPAYMENT ID CO DISCOVER ACH ECC WEB ACH Trace 37776" u="1"/>
        <s v="College Savings TYPE ACH ID 550895818 CO College Savings ACH ECC PPD ACH Trace 32941" u="1"/>
        <s v="SYNTELLIS PERFOR TYPE DIRECT DEP ID CO SYNTELLIS PERFOR ACH ECC PPD ACH Trace 65372" u="1"/>
        <s v="CARGILL COCOA TYPE DIR DEP ID CO CARGILL COCOA ACH ECC PPD ACH Trace 63156 272341002" u="1"/>
        <s v="KAUFMAN HALL TYPE DIRECT DEP ID CO KAUFMAN HALL ACH ECC PPD ACH Trace 85835 250477000" u="1"/>
        <s v="Discover Bank DISCOVER TYPE EPAYMENT ID CO DISCOVER NAME TRUITT JEFF ACH ECC WEB ACH Trace 47552" u="1"/>
        <s v="SYNTELLIS PERFOR TYPE DIRECT DEP ID CO SYNTELLIS PERFOR ACH ECC PPD ACH Trace 39234" u="1"/>
        <s v="BCU MORTGAGE TYPE LOAN PAYMT ID 9DRAFTING CO BCU MORTGAGE ACH ECC WEB ACH Trace 12452 278602561" u="1"/>
        <s v="CPENERGY MNGCO TYPE MGC ACH EB ID 176051140S CO CPENERGY MNGCO ACH ECC WEB ACH Trace 41444" u="1"/>
        <s v="College Savings TYPE ACH ID XX58 College Savings TYPE ACH ID 550895818 CO College Savings ACH ECC PP" u="1"/>
        <s v="CONNECTED ANALYT TYPE DIRECT DEP ID CO CONNECTED ANALYT ACH ECC PPD ACH Trace 55688" u="1"/>
        <s v="CONNECTED ANALYT TYPE DIRECT DEP ID CO CONNECTED ANALYT ACH ECC PPD ACH Trace 18540" u="1"/>
        <s v="Banana Visa TYPE BR EPAY ID CO Banana Visa ACH ECC WEB ACH Trace 31456 277010532" u="1"/>
        <s v="MHCHILDCARELLC TYPE DUES ID CO MHCHILDCARELLC ACH ECC PPD ACH Trace 23510 288830711" u="1"/>
        <s v="CARGILL COCOA TYPE DIR DEP ID CO CARGILL COCOA ACH ECC PPD ACH Trace 47202 268665477" u="1"/>
        <s v="KAUFMAN HALL TYPE DIRECT DEP ID CO KAUFMAN HALL ACH ECC PPD ACH Trace 99822 254252705" u="1"/>
        <s v="Transfer to Venmo VENMO TYPE PAYMENT ID CO VENMO NAME JEFF TRUITT ACH ECC WEB ACH Trace 31598" u="1"/>
        <s v="CONNECTED ANALYT TYPE DIRECT DEP ID CO CONNECTED ANALYT ACH ECC PPD ACH Trace 13533" u="1"/>
        <s v="Treasurydirect TREASURY DIRECT TYPE TREAS DRCT ID CO TREASURY DIRECT ACH ECC PPD ACH Trace 01003" u="1"/>
        <s v="College Savings TYPE ACH ID 550895818 CO College Savings ACH ECC PPD ACH Trace 48247 233797400" u="1"/>
        <s v="FOX CO LLC TYPE SALE ID CO FOX C FOX CO LLC TYPE SALE ID CO FOX CO LLC ACH ECC WEB ACH Trace 88475" u="1"/>
        <s v="CPENERGY MNGCO TYPE MGC ACH EB ID 176051140S CO CPENERGY MNGCO ACH ECC WEB ACH Trace 97619 263002816" u="1"/>
        <s v="CARGILL COCOA TYPE DIR DEP ID CO CARGILL COCOA ACH ECC PPD ACH Trace 02608 279275125" u="1"/>
        <s v="City Chanhassen TYPE Payment ID T410885331 CO City Chanhassen ACH ECC PPD ACH Trace 98071 266827681" u="1"/>
        <s v=" TYPE TRANSFER ID PAYPALSD11 CO PAYPAL ACH ECC PPD ACH Trace 23715 321924713" u="1"/>
        <s v="Transfer from PayPal PAYPAL TYPE TRANSFER ID PAYPALSD11 CO PAYPAL ACH ECC PPD ACH Trace 29462" u="1"/>
        <s v="Withdrawal ACH VENMO TYPE: PAYMENT ID: 326XXXXXXX CO: VENMO NAME: BRITNEY TRUITT Entry Class Code: WEB ACH Trace Number: 091000017185836" u="1"/>
        <s v="MN DVS MLR TYPE epayment ID 416007162P CO MN DVS MLR ACH ECC WEB ACH Trace 30426" u="1"/>
        <s v="MN DIR ACH TYPE CONTRIB ID CO MN MN DIR ACH TYPE CONTRIB ID CO MN DIR ACH ACH ECC WEB ACH Trace 2691" u="1"/>
        <s v="SYNTELLIS PERFOR TYPE DIRECT DEP ID CO SYNTELLIS PERFOR ACH ECC PPD ACH Trace 91979" u="1"/>
        <s v="KAUFMAN HALL TYPE DIRECT DEP ID CO KAUFMAN HALL ACH ECC PPD ACH Trace 55623 243580727" u="1"/>
        <s v="CPENERGY MNGCO TYPE MGC ACH EB ID 176051140S CO CPENERGY MNGCO ACH ECC WEB ACH Trace 49868 241622913" u="1"/>
        <s v="Transfer to Venmo VENMO TYPE PAYMENT ID CO VENMO ACH ECC WEB ACH Trace 57728" u="1"/>
        <s v="Transfer to Venmo VENMO TYPE PAYMENT ID CO VENMO NAME JEFF TRUITT ACH ECC WEB ACH Trace 08495" u="1"/>
        <s v="CPENERGY MNGCO TYPE MGC ACH EB ID 176051140S CO CPENERGY MNGCO ACH ECC WEB ACH Trace 65657" u="1"/>
        <s v="Banana Visa TYPE BR EPAY ID CO Banana Visa ACH ECC WEB ACH Trace 78260 313598094" u="1"/>
        <s v="Discover Bank DISCOVER TYPE EPAYMENT ID CO DISCOVER ACH ECC WEB ACH Trace 69851" u="1"/>
        <s v="CONNECTED ANALYT TYPE DIRECT DEP ID CO CONNECTED ANALYT ACH ECC PPD ACH Trace 38660" u="1"/>
        <s v="College Savings TYPE ACH ID 550895818 CO College Savings ACH ECC PPD ACH Trace 14824 269773836" u="1"/>
        <s v="MHCHILDCARELLC TYPE DUES ID CO MHCHILDCARELLC ACH ECC PPD ACH Trace 27593 295253491" u="1"/>
        <s v="KAUFMAN HALL TYPE DIRECT DEP ID CO KAUFMAN HALL ACH ECC PPD ACH Trace 57761 299910540" u="1"/>
        <s v="CONNECTED ANALYT TYPE DIRECT DEP ID CO CONNECTED ANALYT ACH ECC PPD ACH Trace 90799" u="1"/>
        <s v="College Savings TYPE ACH ID 550895818 CO College Savings ACH ECC PPD ACH Trace 05603 300319716" u="1"/>
        <s v="CPENERGY MNGCO TYPE MGC ACH EB ID 176051140S CO CPENERGY MNGCO ACH ECC WEB ACH Trace 95950" u="1"/>
        <s v="Transfer from PayPal PAYPAL TYPE TRANSFER ID PAYPALSD11 CO PAYPAL ACH ECC PPD ACH Trace 11369" u="1"/>
        <s v="CONNECTED ANALYT TYPE DIRECT DEP ID CO CONNECTED ANALYT ACH ECC PPD ACH Trace 93020" u="1"/>
        <s v="CARGILL COCOA TYPE DIR DEP ID CO CARGILL COCOA ACH ECC PPD ACH Trace 90979 248538358" u="1"/>
        <s v="CONNECTED ANALYT TYPE DIRECT DEP ID CO CONNECTED ANALYT ACH ECC PPD ACH Trace 99171" u="1"/>
        <s v="MN DIR ACH TYPE CONTRIB ID CO MN MN DIR ACH TYPE CONTRIB ID CO MN DIR ACH ACH ECC WEB ACH Trace 5112" u="1"/>
        <s v="MN DVS MLR TYPE conv fee ID E987654321 CO MN DVS MLR ACH ECC WEB ACH Trace 21096 244913432" u="1"/>
        <s v="KAUFMAN HALL TYPE DIRECT DEP ID CO KAUFMAN HALL ACH ECC PPD ACH Trace 48884 284325465" u="1"/>
        <s v="KAUFMAN HALL TYPE DIRECT DEP ID CO KAUFMAN HALL ACH ECC PPD ACH Trace 30482 303565265" u="1"/>
        <s v="Transfer from PayPal PAYPAL TYPE TRANSFER ID PAYPALSD11 CO PAYPAL ACH ECC PPD ACH Trace 47313" u="1"/>
        <s v="CONNECTED ANALYT TYPE DIRECT DEP ID CO CONNECTED ANALYT ACH ECC PPD ACH Trace 36021" u="1"/>
        <s v="CARGILL COCOA TYPE DIR DEP ID CO CARGILL COCOA ACH ECC PPD ACH Trace 46228 303877477" u="1"/>
        <s v="CARGILL COCOA TYPE DIR DEP ID CO CARGILL COCOA ACH ECC PPD ACH Trace 59938 258549261" u="1"/>
        <s v="SYNTELLIS PERFOR TYPE DIRECT DEP ID CO SYNTELLIS PERFOR ACH ECC PPD ACH Trace 29969" u="1"/>
        <s v="MHCHILDCARELLC TYPE DUES ID CO MHCHILDCARELLC ACH ECC PPD ACH Trace 12751 286952561" u="1"/>
        <s v="Cargill Inc Deposit CARGILL INCORPOR TYPE DIRECT DEP ID CO CARGILL INCORPOR ACH ECC PPD ACH Trace 05" u="1"/>
        <s v="Discover Bank DISCOVER TYPE EPAYMENT ID CO DISCOVER ACH ECC WEB ACH Trace 28825" u="1"/>
        <s v="Treasurydirectgov TREASURY DIRECT TYPE TREAS DRCT ID CO TREASURY DIRECT ACH ECC PPD ACH Trace 03993" u="1"/>
        <s v="SalaryRegular Income from IRS St IRS TREAS 310 TYPE CHILDCTC ID CO IRS TREAS 310 ACH ECC PPD ACH Tra" u="1"/>
        <s v="BCU MORTGAGE TYPE LOAN PAYMT ID 9DRAFTING CO BCU MORTGAGE ACH ECC WEB ACH Trace 85298" u="1"/>
        <s v="MHCHILDCARELLC TYPE DUES ID CO MHCHILDCARELLC ACH ECC PPD ACH Trace 41649 285214069" u="1"/>
        <s v="Transfer from PayPal PAYPAL TYPE TRANSFER ID PAYPALSD11 CO PAYPAL ACH ECC PPD ACH Trace 53434" u="1"/>
        <s v="Transfer to Venmo VENMO TYPE PAYMENT ID CO VENMO NAME BRITNEY TRUITT ACH ECC WEB ACH Trace 30085" u="1"/>
        <s v="MN DIR ACH TYPE CONTRIB ID CO MN DIR ACH ACH ECC WEB ACH Trace 68811 304831531" u="1"/>
        <s v="Cargill Inc Deposit CARGILL INCORPOR TYPE DIRECT DEP ID CO CARGILL INCORPOR ACH ECC PPD ACH Trace 35" u="1"/>
        <s v="CPENERGY MNGCO TYPE MGC ACH EB ID 176051140S CO CPENERGY MNGCO ACH ECC WEB ACH Trace 64687 285771764" u="1"/>
        <s v="Banana Visa TYPE BR EPAY ID CO Banana Visa ACH ECC WEB ACH Trace 69351 288830710" u="1"/>
        <s v="Deposit ACH connectyourcare TYPE: SVB-CLAIMS ID: E942875288 CO: connectyourcare Entry Class Code: PPD ACH Trace Number: 121140393069017" u="1"/>
        <s v="Discover Bank DISCOVER TYPE EPAYMENT ID CO DISCOVER ACH ECC WEB ACH Trace 72809" u="1"/>
        <s v="College Savings TYPE ACH ID 550895818 CO College Savings ACH ECC PPD ACH Trace 96055" u="1"/>
        <s v="CONNECTED ANALYT TYPE DIRECT DEP ID CO CONNECTED ANALYT ACH ECC PPD ACH Trace 97781" u="1"/>
        <s v="Transfer to Venmo VENMO TYPE PAYMENT ID CO VENMO ACH ECC WEB ACH Trace 08199" u="1"/>
        <s v="Withdrawal ACH PAYPAL TYPE: INST XFER ID: PAYPALSI77 CO: PAYPAL NAME: JEFF TRUITT Entry Class Code: WEB ACH Trace Number: 021000029744119" u="1"/>
        <s v="Transfer to Venmo VENMO TYPE PAYMENT ID CO VENMO NAME BRITNEY TRUITT ACH ECC WEB ACH Trace 23741" u="1"/>
        <s v="College Savings TYPE ACH ID 550895818 CO College Savings ACH ECC PPD ACH Trace 06972 262246145" u="1"/>
        <s v="Transfer from PayPal PAYPAL TYPE TRANSFER ID PAYPALSD11 CO PAYPAL ACH ECC PPD ACH Trace 30934" u="1"/>
        <s v="KAUFMAN HALL TYPE DIRECT DEP ID CO KAUFMAN HALL ACH ECC PPD ACH Trace 33315 330220170" u="1"/>
        <s v="BCU MORTGAGE TYPE LOAN PAYMT ID 9DRAFTING CO BCU MORTGAGE ACH ECC WEB ACH Trace 25581 255659826" u="1"/>
        <s v="CARGILL COCOA TYPE DIR DEP ID CO CARGILL COCOA ACH ECC PPD ACH Trace 47714 238297123" u="1"/>
        <s v="MinnetonkaCommEd TYPE PURCHASE ID CO MinnetonkaCommEd ACH ECC WEB ACH Trace 82251 316828020" u="1"/>
        <s v="BCU MORTGAGE TYPE LOAN PAYMT ID 9DRAFTING CO BCU MORTGAGE ACH ECC WEB ACH Trace 88856" u="1"/>
        <s v="CARGILL COCOA TYPE DIR DEP ID CO CARGILL COCOA ACH ECC PPD ACH Trace 19700 317021487" u="1"/>
        <s v=" TYPE TRANSFER ID PAYPALSD11 CO PAYPAL ACH ECC PPD ACH Trace 22822 282464808" u="1"/>
        <s v="MN DIR ACH TYPE CONTRIB ID CO MN MN DIR ACH TYPE CONTRIB ID CO MN DIR ACH NAME 219 1 ACH ECC WEB ACH" u="1"/>
        <s v="Cargill Inc Deposit CARGILL INCORPOR TYPE DIRECT DEP ID CO CARGILL INCORPOR ACH ECC PPD ACH Trace 50" u="1"/>
        <s v="College Savings TYPE ACH ID 550895818 CO College Savings ACH ECC PPD ACH Trace 92474" u="1"/>
        <s v="KAUFMAN HALL TYPE DIRECT DEP ID CO KAUFMAN HALL ACH ECC PPD ACH Trace 93065 318349382" u="1"/>
        <s v="CARGILL COCOA TYPE DIR DEP ID CO CARGILL COCOA ACH ECC PPD ACH Trace 92044 289363940" u="1"/>
        <s v="Cargill Inc Deposit CARGILL INCORPOR TYPE DIRECT DEP ID CO CARGILL INCORPOR ACH ECC PPD ACH Trace 60" u="1"/>
        <s v="CONNECTED ANALYT TYPE DIRECT DEP ID CO CONNECTED ANALYT ACH ECC PPD ACH Trace 46623" u="1"/>
        <s v="CONNECTED ANALYT TYPE DIRECT DEP ID CO CONNECTED ANALYT ACH ECC PPD ACH Trace 46624" u="1"/>
        <s v="CARGILL COCOA TYPE DIR DEP ID CO CARGILL COCOA ACH ECC PPD ACH Trace 64192 328255059" u="1"/>
        <s v="CPENERGY MNGCO TYPE MGC ACH EB ID 176051140S CO CPENERGY MNGCO ACH ECC WEB ACH Trace 72485 317102589" u="1"/>
        <s v="Withdrawal ACH PAYPAL TYPE: INST XFER ID: PAYPALSI77 CO: PAYPAL NAME: JEFF TRUITT Entry Class Code: WEB ACH Trace Number: 091000014196267" u="1"/>
        <s v="Treasurydirect TREASURY DIRECT TYPE TREAS DRCT ID CO TREASURY DIRECT ACH ECC PPD ACH Trace 00990" u="1"/>
        <s v="Cargill Inc Deposit CARGILL INCORPOR TYPE DIRECT DEP ID CO CARGILL INCORPOR ACH ECC PPD ACH Trace 90" u="1"/>
        <s v="CONNECTED ANALYT TYPE DIRECT DEP ID CO CONNECTED ANALYT ACH ECC PPD ACH Trace 57769" u="1"/>
        <s v="DIRECT PAY HSA TYPE ETRANSFER ID CO DIRECT PAY HSA ACH ECC PPD ACH Trace 76607 250032022" u="1"/>
        <s v="KAUFMAN HALL TYPE DIRECT DEP ID CO KAUFMAN HALL ACH ECC PPD ACH Trace 51695 268665478" u="1"/>
        <s v="SYNTELLIS PERFOR TYPE DIRECT DEP ID CO SYNTELLIS PERFOR ACH ECC PPD ACH Trace 24582" u="1"/>
        <s v="Transfer to Venmo VENMO TYPE PAYMENT ID CO VENMO ACH ECC WEB ACH Trace 31878" u="1"/>
        <s v="BCU MORTGAGE TYPE LOAN PAYMT ID 9DRAFTING CO BCU MORTGAGE ACH ECC WEB ACH Trace 10534 301670931" u="1"/>
        <s v="CARGILL INCORPOR TYPE DIRECT DEP ID CO CARGILL INCORPOR ACH ECC PPD ACH Trace 95438" u="1"/>
        <s v="BCU MORTGAGE TYPE LOAN PAYMT ID 9DRAFTING CO BCU MORTGAGE ACH ECC WEB ACH Trace 14650 270408832" u="1"/>
        <s v="Transfer to Venmo VENMO TYPE PAYMENT ID CO VENMO NAME BRITNEY TRUITT ACH ECC WEB ACH Trace 63230" u="1"/>
        <s v="CPENERGY MNGCO TYPE MGC ACH EB ID 176051140S CO CPENERGY MNGCO ACH ECC WEB ACH Trace 35333 296879272" u="1"/>
        <s v="CONNECTED ANALYT TYPE DIRECT DEP ID CO CONNECTED ANALYT ACH ECC PPD ACH Trace 23754" u="1"/>
        <s v="Transfer from PayPal PAYPAL TYPE TRANSFER ID PAYPALSD11 CO PAYPAL ACH ECC PPD ACH Trace 08985" u="1"/>
        <s v="KAUFMAN HALL TYPE DIRECT DEP ID CO KAUFMAN HALL ACH ECC PPD ACH Trace 58075 272648292" u="1"/>
        <s v="MN DIR ACH TYPE CONTRIB ID CO MN DIR ACH ACH ECC WEB ACH Trace 04165 292947030" u="1"/>
        <s v="KAUFMAN HALL TYPE DIRECT DEP ID CO KAUFMAN HALL ACH ECC PPD ACH Trace 56404 295857735" u="1"/>
        <s v="CARGILL INCORPOR TYPE DIRECT DEP ID CO CARGILL INCORPOR ACH ECC PPD ACH Trace 89436" u="1"/>
        <s v="Transfer to Venmo VENMO TYPE PAYMENT ID CO VENMO ACH ECC WEB ACH Trace 32822" u="1"/>
        <s v="Connect Your Care Deposit connectyourcare TYPE SVBCLAIMS ID E942875288 CO connectyourcare ACH ECC PP" u="1"/>
        <s v="Transfer to Venmo VENMO TYPE PAYMENT ID CO VENMO ACH ECC WEB ACH Trace 32892" u="1"/>
        <s v="BCU MORTGAGE TYPE LOAN PAYMT ID 9DRAFTING CO BCU MORTGAGE ACH ECC WEB ACH Trace 11316 315499233" u="1"/>
        <s v="CONNECTED ANALYT TYPE DIRECT DEP ID CO CONNECTED ANALYT ACH ECC PPD ACH Trace 40743" u="1"/>
        <s v="Transfer from PayPal PAYPAL TYPE TRANSFER ID PAYPALSD11 CO PAYPAL ACH ECC PPD ACH Trace 89522" u="1"/>
        <s v="CARGILL COCOA TYPE DIR DEP ID CO CARGILL COCOA ACH ECC PPD ACH Trace 41454 255290343" u="1"/>
        <s v="CARGILL COCOA TYPE DIR DEP ID CO CARGILL COCOA ACH ECC PPD ACH Trace 12047 321001274" u="1"/>
        <s v="KAUFMAN HALL TYPE DIRECT DEP ID CO KAUFMAN HALL ACH ECC PPD ACH Trace 32137 246981486" u="1"/>
        <s v="CARGILL COCOA TYPE DIR DEP ID CO CARGILL COCOA ACH ECC PPD ACH Trace 60227 275774071" u="1"/>
        <s v="Transfer from PayPal PAYPAL TYPE TRANSFER ID PAYPALSD11 CO PAYPAL ACH ECC PPD ACH Trace 33761" u="1"/>
        <s v="CARGILL COCOA TYPE DIR DEP ID CO CARGILL COCOA ACH ECC PPD ACH Trace 81531 265328265" u="1"/>
        <s v="MHCHILDCARELLC TYPE DUES ID CO MHCHILDCARELLC ACH ECC PPD ACH Trace 77275 290529206" u="1"/>
        <s v="KAUFMAN HALL TYPE DIRECT DEP ID CO KAUFMAN HALL ACH ECC PPD ACH Trace 23271 280703582" u="1"/>
        <s v="Cargill Inc Deposit CARGILL INCORPOR TYPE DIRECT DEP ID CO CARGILL INCORPOR ACH ECC PPD ACH Trace 36" u="1"/>
        <s v="MN DIR ACH TYPE CONTRIB ID CO MN DIR ACH ACH ECC WEB ACH Trace 46107 311381116" u="1"/>
        <s v="Deposit Dividend Split Rate Annual Percentage Yield Earned 1.50% from 07/01/22 through 07/31/22" u="1"/>
        <s v="Withdrawal ACH PAYPAL TYPE: INST XFER ID: PAYPALSI77 CO: PAYPAL NAME: JEFF TRUITT Entry Class Code: WEB ACH Trace Number: 021000024722925" u="1"/>
        <s v="Cargill Inc Deposit CARGILL INCORPOR TYPE DIRECT DEP ID CO CARGILL INCORPOR ACH ECC PPD ACH Trace 56" u="1"/>
        <s v="CONNECTED ANALYT TYPE DIRECT DEP ID CO CONNECTED ANALYT ACH ECC PPD ACH Trace 04251" u="1"/>
        <s v="Transfer to Venmo VENMO TYPE PAYMENT ID CO VENMO ACH ECC WEB ACH Trace 42408" u="1"/>
        <s v="MN DIR ACH TYPE CONTRIB ID CO MN MN DIR ACH TYPE CONTRIB ID CO MN DIR ACH ACH ECC WEB ACH Trace 1898" u="1"/>
        <s v="Transfer to Venmo VENMO TYPE PAYMENT ID CO VENMO ACH ECC WEB ACH Trace 23621" u="1"/>
        <s v="BCU MORTGAGE TYPE LOAN PAYMT ID 9DRAFTING CO BCU MORTGAGE ACH ECC WEB ACH Trace 82053" u="1"/>
        <s v="KAUFMAN HALL TYPE DIRECT DEP ID CO KAUFMAN HALL ACH ECC PPD ACH Trace 57012 310713908" u="1"/>
        <s v="Transfer to Venmo VENMO TYPE PAYMENT ID CO VENMO NAME BRITNEY TRUITT ACH ECC WEB ACH Trace 88616" u="1"/>
        <s v="MACYS TYPE PAYMENT ID CITIGPUFDR CO MACYS ACH ECC PPD ACH Trace 07912 305306645" u="1"/>
        <s v=" TYPE TRANSFER ID PAYPALSD11 CO PAYPAL ACH ECC PPD ACH Trace 96587 311867131" u="1"/>
        <s v="Deposit ACH CARGILL INCORPOR TYPE: DIRECT DEP ID: 9111111101 CO: CARGILL INCORPOR Entry Class Code: PPD ACH Trace Number: 091000017577972" u="1"/>
        <s v="Transfer from PayPal PAYPAL TYPE TRANSFER ID PAYPALSD11 CO PAYPAL ACH ECC PPD ACH Trace 43136" u="1"/>
        <s v="Transfer to Venmo VENMO TYPE PAYMENT ID CO VENMO ACH ECC WEB ACH Trace 72010" u="1"/>
        <s v="CONNECTED ANALYT TYPE DIRECT DEP ID CO CONNECTED ANALYT ACH ECC PPD ACH Trace 28396" u="1"/>
        <s v="Cargill Inc Deposit CARGILL INCORPOR TYPE DIRECT DEP ID CO CARGILL INCORPOR ACH ECC PPD ACH Trace 01" u="1"/>
        <s v="Banana Visa TYPE BR EPAY ID CO Banana Visa ACH ECC WEB ACH Trace 03624 324320772" u="1"/>
        <s v="CONNECTED ANALYT TYPE DIRECT DEP ID CO CONNECTED ANALYT ACH ECC PPD ACH Trace 06101" u="1"/>
        <s v="MHCHILDCARELLC TYPE DUES ID CO MHCHILDCARELLC ACH ECC PPD ACH Trace 61880 329517828" u="1"/>
        <s v="Withdrawal ACH MHCHILDCARELLC TYPE: DUES ID: 1824708198 CO: MHCHILDCARELLC Entry Class Code: PPD ACH Trace Number: 096010411530791" u="1"/>
        <s v="Cargill Inc Deposit CARGILL INCORPOR TYPE DIRECT DEP ID CO CARGILL INCORPOR ACH ECC PPD ACH Trace 51" u="1"/>
        <s v="Banana Visa TYPE BR EPAY ID CO Banana Visa ACH ECC WEB ACH Trace 59069 263002817" u="1"/>
        <s v="Deposit ACH CARGILL INCORPOR TYPE: 004XXXXXXX ID: 2410177680 CO: CARGILL INCORPOR Entry Class Code: CTX ACH Trace Number: 111000026301982" u="1"/>
        <s v="Cargill Inc Deposit CARGILL INCORPOR TYPE DIRECT DEP ID CO CARGILL INCORPOR ACH ECC PPD ACH Trace 61" u="1"/>
        <s v="CARGILL COCOA TYPE DIR DEP ID CO CARGILL COCOA ACH ECC PPD ACH Trace 29338 238297124" u="1"/>
        <s v="BCU MORTGAGE TYPE LOAN PAYMT ID 9DRAFTING CO BCU MORTGAGE ACH ECC WEB ACH Trace 28517" u="1"/>
        <s v="Cargill Inc Deposit CARGILL INCORPOR TYPE DIRECT DEP ID CO CARGILL INCORPOR ACH ECC PPD ACH Trace 71" u="1"/>
        <s v="Cargill Inc Deposit CARGILL INCORPOR TYPE DIRECT DEP ID CO CARGILL INCORPOR ACH ECC PPD ACH Trace 81" u="1"/>
        <s v="CONNECTED ANALYT TYPE DIRECT DEP ID CO CONNECTED ANALYT ACH ECC PPD ACH Trace 18723" u="1"/>
        <s v="Transfer to Venmo VENMO TYPE PAYMENT ID CO VENMO ACH ECC WEB ACH Trace 33056" u="1"/>
        <s v="CPENERGY MNGCO TYPE MGC ACH EB ID 176051140S CO CPENERGY MNGCO ACH ECC WEB ACH Trace 48839" u="1"/>
        <s v="MN DIR ACH TYPE CONTRIB ID CO MN MN DIR ACH TYPE CONTRIB ID CO MN DIR ACH NAME 577 1 ACH ECC WEB ACH" u="1"/>
        <s v="MN DIR ACH TYPE CONTRIB ID CO MN MN DIR ACH TYPE CONTRIB ID CO MN DIR ACH ACH ECC WEB ACH Trace 8784" u="1"/>
        <s v="CARGILL COCOA TYPE DIR DEP ID CO CARGILL COCOA ACH ECC PPD ACH Trace 32186 310458821" u="1"/>
        <s v="CONNECTED ANALYT TYPE DIRECT DEP ID CO CONNECTED ANALYT ACH ECC PPD ACH Trace 01223" u="1"/>
        <s v="CONNECTED ANALYT TYPE DIRECT DEP ID CO CONNECTED ANALYT ACH ECC PPD ACH Trace 50360" u="1"/>
        <s v="College Savings TYPE ACH ID XX58 College Savings TYPE ACH ID 550895818 CO College Savings NAME BRITN" u="1"/>
        <s v="CARGILL COCOA TYPE DIR DEP ID CO CARGILL COCOA ACH ECC PPD ACH Trace 96903 300599932" u="1"/>
        <s v="College Savings TYPE ACH ID 550895818 CO College Savings ACH ECC PPD ACH Trace 06585 314589474" u="1"/>
        <s v="CARGILL COCOA TYPE DIR DEP ID CO CARGILL COCOA ACH ECC PPD ACH Trace 04604 282464809" u="1"/>
      </sharedItems>
    </cacheField>
    <cacheField name="RuleUsed" numFmtId="0">
      <sharedItems containsBlank="1"/>
    </cacheField>
    <cacheField name="Tag" numFmtId="0">
      <sharedItems containsBlank="1"/>
    </cacheField>
  </cacheFields>
  <extLst>
    <ext xmlns:x14="http://schemas.microsoft.com/office/spreadsheetml/2009/9/main" uri="{725AE2AE-9491-48be-B2B4-4EB974FC3084}">
      <x14:pivotCacheDefinition pivotCacheId="247088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93">
  <r>
    <x v="0"/>
    <d v="2019-07-02T00:00:00"/>
    <s v="Discover"/>
    <x v="0"/>
    <n v="3.97"/>
    <x v="0"/>
    <m/>
    <m/>
    <m/>
    <n v="3.97"/>
    <b v="0"/>
    <m/>
    <m/>
    <s v="-"/>
    <x v="0"/>
    <s v="Create Rule; and Description='Amazon';Amazon"/>
    <m/>
  </r>
  <r>
    <x v="0"/>
    <d v="2019-07-02T00:00:00"/>
    <s v="Discover More Card"/>
    <x v="0"/>
    <n v="3.97"/>
    <x v="0"/>
    <m/>
    <m/>
    <m/>
    <n v="3.97"/>
    <b v="0"/>
    <m/>
    <m/>
    <s v="-"/>
    <x v="0"/>
    <m/>
    <m/>
  </r>
  <r>
    <x v="0"/>
    <d v="2019-07-02T00:00:00"/>
    <s v="Cash Rewards Visa Signature"/>
    <x v="1"/>
    <n v="58.95"/>
    <x v="1"/>
    <m/>
    <m/>
    <m/>
    <n v="58.95"/>
    <b v="0"/>
    <m/>
    <m/>
    <s v="-"/>
    <x v="1"/>
    <s v="Create Rule; and Description='Borough';Restaurants"/>
    <m/>
  </r>
  <r>
    <x v="0"/>
    <d v="2019-07-02T00:00:00"/>
    <s v="Cash Rewards Visa Signature"/>
    <x v="2"/>
    <n v="28.61"/>
    <x v="2"/>
    <m/>
    <m/>
    <m/>
    <n v="28.61"/>
    <b v="0"/>
    <m/>
    <m/>
    <s v="-"/>
    <x v="2"/>
    <m/>
    <m/>
  </r>
  <r>
    <x v="0"/>
    <d v="2019-07-02T00:00:00"/>
    <s v="Cash Rewards Visa Signature"/>
    <x v="3"/>
    <n v="-606.63"/>
    <x v="3"/>
    <m/>
    <m/>
    <m/>
    <n v="606.63"/>
    <b v="0"/>
    <m/>
    <m/>
    <s v=".+"/>
    <x v="3"/>
    <m/>
    <m/>
  </r>
  <r>
    <x v="0"/>
    <d v="2019-07-02T00:00:00"/>
    <s v="POWERPLUS"/>
    <x v="4"/>
    <n v="606.63"/>
    <x v="3"/>
    <m/>
    <m/>
    <m/>
    <n v="606.63"/>
    <b v="0"/>
    <m/>
    <m/>
    <s v="-"/>
    <x v="4"/>
    <s v="Delete; and Description Like '%Transfer to Cash Rewards Visa Signature%';0"/>
    <m/>
  </r>
  <r>
    <x v="0"/>
    <d v="2019-07-02T00:00:00"/>
    <s v="POWERPLUS CHECKING"/>
    <x v="4"/>
    <n v="606.63"/>
    <x v="3"/>
    <m/>
    <m/>
    <m/>
    <n v="606.63"/>
    <b v="0"/>
    <m/>
    <m/>
    <s v="-"/>
    <x v="4"/>
    <m/>
    <m/>
  </r>
  <r>
    <x v="0"/>
    <d v="2019-07-03T00:00:00"/>
    <s v="Discover"/>
    <x v="0"/>
    <n v="115.84"/>
    <x v="0"/>
    <m/>
    <m/>
    <m/>
    <n v="115.84"/>
    <b v="0"/>
    <m/>
    <m/>
    <s v="-"/>
    <x v="0"/>
    <s v="Create Rule; and Description='Amazon';Amazon"/>
    <m/>
  </r>
  <r>
    <x v="0"/>
    <d v="2019-07-03T00:00:00"/>
    <s v="Discover More Card"/>
    <x v="0"/>
    <n v="115.84"/>
    <x v="0"/>
    <m/>
    <m/>
    <m/>
    <n v="115.84"/>
    <b v="0"/>
    <m/>
    <m/>
    <s v="-"/>
    <x v="0"/>
    <m/>
    <m/>
  </r>
  <r>
    <x v="0"/>
    <d v="2019-07-03T00:00:00"/>
    <s v="POWERPLUS"/>
    <x v="5"/>
    <n v="247.5"/>
    <x v="4"/>
    <m/>
    <m/>
    <m/>
    <n v="247.5"/>
    <b v="0"/>
    <m/>
    <m/>
    <s v="-"/>
    <x v="5"/>
    <s v="Create Rule; and Description Like '%CCLC TYPE INTERNET ID%';Day Care"/>
    <m/>
  </r>
  <r>
    <x v="0"/>
    <d v="2019-07-03T00:00:00"/>
    <s v="POWERPLUS CHECKING"/>
    <x v="5"/>
    <n v="247.5"/>
    <x v="4"/>
    <m/>
    <m/>
    <m/>
    <n v="247.5"/>
    <b v="0"/>
    <m/>
    <m/>
    <s v="-"/>
    <x v="5"/>
    <m/>
    <m/>
  </r>
  <r>
    <x v="0"/>
    <d v="2019-07-03T00:00:00"/>
    <s v="Cash Rewards Visa Signature"/>
    <x v="6"/>
    <n v="125.59"/>
    <x v="5"/>
    <m/>
    <m/>
    <m/>
    <n v="125.59"/>
    <b v="0"/>
    <m/>
    <m/>
    <s v="-"/>
    <x v="6"/>
    <m/>
    <m/>
  </r>
  <r>
    <x v="0"/>
    <d v="2019-07-03T00:00:00"/>
    <s v="Cash Rewards Visa Signature"/>
    <x v="3"/>
    <n v="-694.19"/>
    <x v="3"/>
    <m/>
    <m/>
    <m/>
    <n v="694.19"/>
    <b v="0"/>
    <m/>
    <m/>
    <s v=".+"/>
    <x v="3"/>
    <m/>
    <m/>
  </r>
  <r>
    <x v="0"/>
    <d v="2019-07-03T00:00:00"/>
    <s v="POWERPLUS"/>
    <x v="4"/>
    <n v="694.19"/>
    <x v="3"/>
    <m/>
    <m/>
    <m/>
    <n v="694.19"/>
    <b v="0"/>
    <m/>
    <m/>
    <s v="-"/>
    <x v="4"/>
    <s v="Delete; and Description Like '%Transfer to Cash Rewards Visa Signature%';0"/>
    <m/>
  </r>
  <r>
    <x v="0"/>
    <d v="2019-07-03T00:00:00"/>
    <s v="POWERPLUS CHECKING"/>
    <x v="4"/>
    <n v="694.19"/>
    <x v="3"/>
    <m/>
    <m/>
    <m/>
    <n v="694.19"/>
    <b v="0"/>
    <m/>
    <m/>
    <s v="-"/>
    <x v="4"/>
    <m/>
    <m/>
  </r>
  <r>
    <x v="0"/>
    <d v="2019-07-04T00:00:00"/>
    <s v="POWERPLUS"/>
    <x v="7"/>
    <n v="2770.79"/>
    <x v="6"/>
    <m/>
    <m/>
    <m/>
    <n v="2770.79"/>
    <b v="0"/>
    <m/>
    <m/>
    <s v="-"/>
    <x v="7"/>
    <s v="Create Rule; and Description Like '%Withdrawal Home To Loan Mortgage Payment%';Rent"/>
    <m/>
  </r>
  <r>
    <x v="0"/>
    <d v="2019-07-04T00:00:00"/>
    <s v="POWERPLUS CHECKING"/>
    <x v="7"/>
    <n v="2770.79"/>
    <x v="6"/>
    <m/>
    <m/>
    <m/>
    <n v="2770.79"/>
    <b v="0"/>
    <m/>
    <m/>
    <s v="-"/>
    <x v="7"/>
    <m/>
    <m/>
  </r>
  <r>
    <x v="0"/>
    <d v="2019-07-04T00:00:00"/>
    <s v="Cash Rewards Visa Signature"/>
    <x v="6"/>
    <n v="136.88999999999999"/>
    <x v="5"/>
    <m/>
    <m/>
    <m/>
    <n v="136.88999999999999"/>
    <b v="0"/>
    <m/>
    <m/>
    <s v="-"/>
    <x v="6"/>
    <m/>
    <m/>
  </r>
  <r>
    <x v="0"/>
    <d v="2019-07-04T00:00:00"/>
    <s v="Cash Rewards Visa Signature"/>
    <x v="8"/>
    <n v="5.38"/>
    <x v="7"/>
    <m/>
    <m/>
    <m/>
    <n v="5.38"/>
    <b v="0"/>
    <m/>
    <m/>
    <s v="-"/>
    <x v="8"/>
    <m/>
    <m/>
  </r>
  <r>
    <x v="0"/>
    <d v="2019-07-04T00:00:00"/>
    <s v="Discover"/>
    <x v="9"/>
    <n v="100.23"/>
    <x v="7"/>
    <m/>
    <m/>
    <m/>
    <n v="100.23"/>
    <b v="0"/>
    <m/>
    <m/>
    <s v="-"/>
    <x v="9"/>
    <m/>
    <m/>
  </r>
  <r>
    <x v="0"/>
    <d v="2019-07-04T00:00:00"/>
    <s v="Discover More Card"/>
    <x v="9"/>
    <n v="100.23"/>
    <x v="7"/>
    <m/>
    <m/>
    <m/>
    <n v="100.23"/>
    <b v="0"/>
    <m/>
    <m/>
    <s v="-"/>
    <x v="9"/>
    <m/>
    <m/>
  </r>
  <r>
    <x v="0"/>
    <d v="2019-07-04T00:00:00"/>
    <s v="Cash Rewards Visa Signature"/>
    <x v="10"/>
    <n v="9.8699999999999992"/>
    <x v="7"/>
    <m/>
    <m/>
    <m/>
    <n v="9.8699999999999992"/>
    <b v="0"/>
    <m/>
    <m/>
    <s v="-"/>
    <x v="10"/>
    <m/>
    <m/>
  </r>
  <r>
    <x v="0"/>
    <d v="2019-07-04T00:00:00"/>
    <s v="Cash Rewards Visa Signature"/>
    <x v="11"/>
    <n v="14.26"/>
    <x v="7"/>
    <m/>
    <m/>
    <m/>
    <n v="14.26"/>
    <b v="0"/>
    <m/>
    <m/>
    <s v="-"/>
    <x v="11"/>
    <m/>
    <m/>
  </r>
  <r>
    <x v="0"/>
    <d v="2019-07-04T00:00:00"/>
    <s v="Cash Rewards Visa Signature"/>
    <x v="12"/>
    <n v="33.29"/>
    <x v="7"/>
    <m/>
    <m/>
    <m/>
    <n v="33.29"/>
    <b v="0"/>
    <m/>
    <m/>
    <s v="-"/>
    <x v="12"/>
    <m/>
    <m/>
  </r>
  <r>
    <x v="0"/>
    <d v="2019-07-04T00:00:00"/>
    <s v="Cash Rewards Visa Signature"/>
    <x v="13"/>
    <n v="114.71"/>
    <x v="8"/>
    <m/>
    <m/>
    <m/>
    <n v="114.71"/>
    <b v="0"/>
    <m/>
    <m/>
    <s v="-"/>
    <x v="13"/>
    <m/>
    <m/>
  </r>
  <r>
    <x v="0"/>
    <d v="2019-07-05T00:00:00"/>
    <s v="30 YR FIXED"/>
    <x v="14"/>
    <n v="-533.82000000000005"/>
    <x v="7"/>
    <m/>
    <m/>
    <m/>
    <n v="533.82000000000005"/>
    <b v="0"/>
    <m/>
    <m/>
    <s v=".+"/>
    <x v="14"/>
    <m/>
    <m/>
  </r>
  <r>
    <x v="0"/>
    <d v="2019-07-05T00:00:00"/>
    <s v="Target Credit Card"/>
    <x v="15"/>
    <n v="130.44999999999999"/>
    <x v="8"/>
    <m/>
    <m/>
    <m/>
    <n v="130.44999999999999"/>
    <b v="0"/>
    <m/>
    <m/>
    <s v="-"/>
    <x v="15"/>
    <m/>
    <m/>
  </r>
  <r>
    <x v="0"/>
    <d v="2019-07-05T00:00:00"/>
    <s v="POWERPLUS"/>
    <x v="16"/>
    <n v="100"/>
    <x v="9"/>
    <m/>
    <m/>
    <m/>
    <n v="100"/>
    <b v="0"/>
    <m/>
    <m/>
    <s v="-"/>
    <x v="16"/>
    <s v="Create Rule; and Description Like '%College Savings%';College Savings"/>
    <m/>
  </r>
  <r>
    <x v="0"/>
    <d v="2019-07-05T00:00:00"/>
    <s v="POWERPLUS CHECKING"/>
    <x v="16"/>
    <n v="100"/>
    <x v="9"/>
    <m/>
    <m/>
    <m/>
    <n v="100"/>
    <b v="0"/>
    <m/>
    <m/>
    <s v="-"/>
    <x v="16"/>
    <m/>
    <m/>
  </r>
  <r>
    <x v="0"/>
    <d v="2019-07-05T00:00:00"/>
    <s v="POWERPLUS"/>
    <x v="17"/>
    <n v="-32.85"/>
    <x v="7"/>
    <m/>
    <m/>
    <m/>
    <n v="32.85"/>
    <b v="0"/>
    <m/>
    <m/>
    <s v="+"/>
    <x v="17"/>
    <m/>
    <m/>
  </r>
  <r>
    <x v="0"/>
    <d v="2019-07-05T00:00:00"/>
    <s v="POWERPLUS CHECKING"/>
    <x v="17"/>
    <n v="-32.85"/>
    <x v="7"/>
    <m/>
    <m/>
    <m/>
    <n v="32.85"/>
    <b v="0"/>
    <m/>
    <m/>
    <s v=".+"/>
    <x v="17"/>
    <m/>
    <m/>
  </r>
  <r>
    <x v="0"/>
    <d v="2019-07-05T00:00:00"/>
    <s v="Investor Checking"/>
    <x v="18"/>
    <n v="12.99"/>
    <x v="7"/>
    <m/>
    <m/>
    <m/>
    <n v="12.99"/>
    <b v="0"/>
    <m/>
    <m/>
    <s v="-"/>
    <x v="18"/>
    <m/>
    <m/>
  </r>
  <r>
    <x v="0"/>
    <d v="2019-07-05T00:00:00"/>
    <s v="Jeff Roth"/>
    <x v="19"/>
    <n v="150"/>
    <x v="3"/>
    <m/>
    <m/>
    <m/>
    <n v="150"/>
    <b v="0"/>
    <m/>
    <m/>
    <s v="-"/>
    <x v="19"/>
    <s v="Delete; and Description='SCHWAB S&amp;P 500 INDEX FD' and inflowoutflow='-';0"/>
    <m/>
  </r>
  <r>
    <x v="0"/>
    <d v="2019-07-05T00:00:00"/>
    <s v="Roth Contributory IRA"/>
    <x v="19"/>
    <n v="150"/>
    <x v="3"/>
    <m/>
    <m/>
    <m/>
    <n v="150"/>
    <b v="0"/>
    <m/>
    <m/>
    <s v="-"/>
    <x v="19"/>
    <s v="Delete; and Description='SCHWAB S&amp;P 500 INDEX FD' and inflowoutflow='-';0"/>
    <m/>
  </r>
  <r>
    <x v="0"/>
    <d v="2019-07-05T00:00:00"/>
    <s v="Jeff Roth"/>
    <x v="20"/>
    <n v="150"/>
    <x v="3"/>
    <m/>
    <m/>
    <m/>
    <n v="150"/>
    <b v="0"/>
    <m/>
    <m/>
    <s v="-"/>
    <x v="20"/>
    <s v="Delete; and Description='SCHWAB TOTAL STOCK MKT INDEX' and inflowoutflow='-';0"/>
    <m/>
  </r>
  <r>
    <x v="0"/>
    <d v="2019-07-05T00:00:00"/>
    <s v="Roth Contributory IRA"/>
    <x v="20"/>
    <n v="150"/>
    <x v="3"/>
    <m/>
    <m/>
    <m/>
    <n v="150"/>
    <b v="0"/>
    <m/>
    <m/>
    <s v="-"/>
    <x v="20"/>
    <m/>
    <m/>
  </r>
  <r>
    <x v="0"/>
    <d v="2019-07-07T00:00:00"/>
    <s v="Cash Rewards Visa Signature"/>
    <x v="21"/>
    <n v="26.04"/>
    <x v="7"/>
    <m/>
    <m/>
    <m/>
    <n v="26.04"/>
    <b v="0"/>
    <m/>
    <m/>
    <s v="-"/>
    <x v="21"/>
    <m/>
    <m/>
  </r>
  <r>
    <x v="0"/>
    <d v="2019-07-07T00:00:00"/>
    <s v="Cash Rewards Visa Signature"/>
    <x v="21"/>
    <n v="41"/>
    <x v="7"/>
    <m/>
    <m/>
    <m/>
    <n v="41"/>
    <b v="0"/>
    <m/>
    <m/>
    <s v="-"/>
    <x v="21"/>
    <m/>
    <m/>
  </r>
  <r>
    <x v="0"/>
    <d v="2019-07-08T00:00:00"/>
    <s v="Discover"/>
    <x v="22"/>
    <n v="105"/>
    <x v="7"/>
    <m/>
    <m/>
    <m/>
    <n v="105"/>
    <b v="0"/>
    <m/>
    <m/>
    <s v="-"/>
    <x v="22"/>
    <m/>
    <m/>
  </r>
  <r>
    <x v="0"/>
    <d v="2019-07-08T00:00:00"/>
    <s v="Discover More Card"/>
    <x v="22"/>
    <n v="105"/>
    <x v="7"/>
    <m/>
    <m/>
    <m/>
    <n v="105"/>
    <b v="0"/>
    <m/>
    <m/>
    <s v="-"/>
    <x v="22"/>
    <m/>
    <m/>
  </r>
  <r>
    <x v="0"/>
    <d v="2019-07-08T00:00:00"/>
    <s v="POWERPLUS"/>
    <x v="23"/>
    <n v="-100"/>
    <x v="7"/>
    <m/>
    <m/>
    <m/>
    <n v="100"/>
    <b v="0"/>
    <m/>
    <m/>
    <s v="+"/>
    <x v="23"/>
    <m/>
    <m/>
  </r>
  <r>
    <x v="0"/>
    <d v="2019-07-08T00:00:00"/>
    <s v="POWERPLUS CHECKING"/>
    <x v="23"/>
    <n v="-100"/>
    <x v="7"/>
    <m/>
    <m/>
    <m/>
    <n v="100"/>
    <b v="0"/>
    <m/>
    <m/>
    <s v=".+"/>
    <x v="23"/>
    <m/>
    <m/>
  </r>
  <r>
    <x v="0"/>
    <d v="2019-07-08T00:00:00"/>
    <s v="POWERPLUS"/>
    <x v="24"/>
    <n v="-50"/>
    <x v="7"/>
    <m/>
    <m/>
    <m/>
    <n v="50"/>
    <b v="0"/>
    <m/>
    <m/>
    <s v="+"/>
    <x v="24"/>
    <m/>
    <m/>
  </r>
  <r>
    <x v="0"/>
    <d v="2019-07-08T00:00:00"/>
    <s v="POWERPLUS CHECKING"/>
    <x v="24"/>
    <n v="-50"/>
    <x v="7"/>
    <m/>
    <m/>
    <m/>
    <n v="50"/>
    <b v="0"/>
    <m/>
    <m/>
    <s v=".+"/>
    <x v="24"/>
    <m/>
    <m/>
  </r>
  <r>
    <x v="0"/>
    <d v="2019-07-08T00:00:00"/>
    <s v="Cash Rewards Visa Signature"/>
    <x v="25"/>
    <n v="4.28"/>
    <x v="10"/>
    <m/>
    <m/>
    <m/>
    <n v="4.28"/>
    <b v="0"/>
    <m/>
    <m/>
    <s v="-"/>
    <x v="25"/>
    <m/>
    <m/>
  </r>
  <r>
    <x v="0"/>
    <d v="2019-07-08T00:00:00"/>
    <s v="POWERPLUS"/>
    <x v="26"/>
    <n v="-100"/>
    <x v="3"/>
    <m/>
    <m/>
    <m/>
    <n v="100"/>
    <b v="0"/>
    <m/>
    <m/>
    <s v="+"/>
    <x v="26"/>
    <s v="Delete; and Description='Venmo Type Cashout';0"/>
    <m/>
  </r>
  <r>
    <x v="0"/>
    <d v="2019-07-08T00:00:00"/>
    <s v="POWERPLUS CHECKING"/>
    <x v="26"/>
    <n v="-100"/>
    <x v="3"/>
    <m/>
    <m/>
    <m/>
    <n v="100"/>
    <b v="0"/>
    <m/>
    <m/>
    <s v=".+"/>
    <x v="26"/>
    <s v="Delete; and Description='Venmo Type Cashout';0"/>
    <m/>
  </r>
  <r>
    <x v="0"/>
    <d v="2019-07-09T00:00:00"/>
    <s v="Cash Rewards Visa Signature"/>
    <x v="0"/>
    <n v="13.93"/>
    <x v="0"/>
    <m/>
    <m/>
    <m/>
    <n v="13.93"/>
    <b v="0"/>
    <m/>
    <m/>
    <s v="-"/>
    <x v="0"/>
    <m/>
    <m/>
  </r>
  <r>
    <x v="0"/>
    <d v="2019-07-09T00:00:00"/>
    <s v="Cash Rewards Visa Signature"/>
    <x v="6"/>
    <n v="18.59"/>
    <x v="5"/>
    <m/>
    <m/>
    <m/>
    <n v="18.59"/>
    <b v="0"/>
    <m/>
    <m/>
    <s v="-"/>
    <x v="6"/>
    <m/>
    <m/>
  </r>
  <r>
    <x v="0"/>
    <d v="2019-07-09T00:00:00"/>
    <s v="Cash Rewards Visa Signature"/>
    <x v="6"/>
    <n v="100.68"/>
    <x v="5"/>
    <m/>
    <m/>
    <m/>
    <n v="100.68"/>
    <b v="0"/>
    <m/>
    <m/>
    <s v="-"/>
    <x v="6"/>
    <m/>
    <m/>
  </r>
  <r>
    <x v="0"/>
    <d v="2019-07-09T00:00:00"/>
    <s v="Investor Checking"/>
    <x v="27"/>
    <n v="7.43"/>
    <x v="7"/>
    <m/>
    <m/>
    <m/>
    <n v="7.43"/>
    <b v="0"/>
    <m/>
    <m/>
    <s v="-"/>
    <x v="27"/>
    <m/>
    <m/>
  </r>
  <r>
    <x v="0"/>
    <d v="2019-07-09T00:00:00"/>
    <s v="POWERPLUS"/>
    <x v="28"/>
    <n v="-20.61"/>
    <x v="7"/>
    <m/>
    <m/>
    <m/>
    <n v="20.61"/>
    <b v="0"/>
    <m/>
    <m/>
    <s v="+"/>
    <x v="28"/>
    <m/>
    <m/>
  </r>
  <r>
    <x v="0"/>
    <d v="2019-07-09T00:00:00"/>
    <s v="POWERPLUS CHECKING"/>
    <x v="28"/>
    <n v="-20.61"/>
    <x v="7"/>
    <m/>
    <m/>
    <m/>
    <n v="20.61"/>
    <b v="0"/>
    <m/>
    <m/>
    <s v=".+"/>
    <x v="28"/>
    <m/>
    <m/>
  </r>
  <r>
    <x v="0"/>
    <d v="2019-07-09T00:00:00"/>
    <s v="POWERPLUS"/>
    <x v="29"/>
    <n v="25.5"/>
    <x v="7"/>
    <m/>
    <m/>
    <m/>
    <n v="25.5"/>
    <b v="0"/>
    <m/>
    <m/>
    <s v="-"/>
    <x v="29"/>
    <m/>
    <m/>
  </r>
  <r>
    <x v="0"/>
    <d v="2019-07-09T00:00:00"/>
    <s v="POWERPLUS CHECKING"/>
    <x v="29"/>
    <n v="25.5"/>
    <x v="7"/>
    <m/>
    <m/>
    <m/>
    <n v="25.5"/>
    <b v="0"/>
    <m/>
    <m/>
    <s v="-"/>
    <x v="29"/>
    <m/>
    <m/>
  </r>
  <r>
    <x v="0"/>
    <d v="2019-07-09T00:00:00"/>
    <s v="POWERPLUS"/>
    <x v="30"/>
    <n v="119.79"/>
    <x v="11"/>
    <m/>
    <m/>
    <m/>
    <n v="119.79"/>
    <b v="0"/>
    <m/>
    <m/>
    <s v="-"/>
    <x v="30"/>
    <s v="Create Rule; and Description='Xcel Energy';Utilities"/>
    <m/>
  </r>
  <r>
    <x v="0"/>
    <d v="2019-07-09T00:00:00"/>
    <s v="POWERPLUS CHECKING"/>
    <x v="30"/>
    <n v="119.79"/>
    <x v="11"/>
    <m/>
    <m/>
    <m/>
    <n v="119.79"/>
    <b v="0"/>
    <m/>
    <m/>
    <s v="-"/>
    <x v="30"/>
    <m/>
    <m/>
  </r>
  <r>
    <x v="0"/>
    <d v="2019-07-10T00:00:00"/>
    <s v="Discover"/>
    <x v="0"/>
    <n v="26.83"/>
    <x v="0"/>
    <m/>
    <m/>
    <m/>
    <n v="26.83"/>
    <b v="0"/>
    <m/>
    <m/>
    <s v="-"/>
    <x v="0"/>
    <s v="Create Rule; and Description='Amazon';Amazon"/>
    <m/>
  </r>
  <r>
    <x v="0"/>
    <d v="2019-07-10T00:00:00"/>
    <s v="Discover More Card"/>
    <x v="0"/>
    <n v="26.83"/>
    <x v="0"/>
    <m/>
    <m/>
    <m/>
    <n v="26.83"/>
    <b v="0"/>
    <m/>
    <m/>
    <s v="-"/>
    <x v="0"/>
    <m/>
    <m/>
  </r>
  <r>
    <x v="0"/>
    <d v="2019-07-10T00:00:00"/>
    <s v="POWERPLUS"/>
    <x v="31"/>
    <n v="247.5"/>
    <x v="4"/>
    <m/>
    <m/>
    <m/>
    <n v="247.5"/>
    <b v="0"/>
    <m/>
    <m/>
    <s v="-"/>
    <x v="31"/>
    <s v="Create Rule; and Description Like '%CCLC TYPE INTERNET ID%';Day Care"/>
    <m/>
  </r>
  <r>
    <x v="0"/>
    <d v="2019-07-10T00:00:00"/>
    <s v="POWERPLUS CHECKING"/>
    <x v="31"/>
    <n v="247.5"/>
    <x v="4"/>
    <m/>
    <m/>
    <m/>
    <n v="247.5"/>
    <b v="0"/>
    <m/>
    <m/>
    <s v="-"/>
    <x v="31"/>
    <m/>
    <m/>
  </r>
  <r>
    <x v="0"/>
    <d v="2019-07-10T00:00:00"/>
    <s v="Cash Rewards Visa Signature"/>
    <x v="32"/>
    <n v="15.27"/>
    <x v="7"/>
    <m/>
    <m/>
    <m/>
    <n v="15.27"/>
    <b v="0"/>
    <m/>
    <m/>
    <s v="-"/>
    <x v="32"/>
    <s v="Manual"/>
    <m/>
  </r>
  <r>
    <x v="0"/>
    <d v="2019-07-10T00:00:00"/>
    <s v="Cash Rewards Visa Signature"/>
    <x v="33"/>
    <n v="43.5"/>
    <x v="7"/>
    <m/>
    <m/>
    <m/>
    <n v="43.5"/>
    <b v="0"/>
    <m/>
    <m/>
    <s v="-"/>
    <x v="33"/>
    <m/>
    <m/>
  </r>
  <r>
    <x v="0"/>
    <d v="2019-07-10T00:00:00"/>
    <s v="Target Credit Card"/>
    <x v="34"/>
    <n v="29.7"/>
    <x v="12"/>
    <m/>
    <m/>
    <m/>
    <n v="29.7"/>
    <b v="0"/>
    <m/>
    <m/>
    <s v="-"/>
    <x v="34"/>
    <m/>
    <m/>
  </r>
  <r>
    <x v="0"/>
    <d v="2019-07-11T00:00:00"/>
    <s v="POWERPLUS"/>
    <x v="35"/>
    <n v="-87.26"/>
    <x v="13"/>
    <m/>
    <m/>
    <m/>
    <n v="87.26"/>
    <b v="0"/>
    <m/>
    <m/>
    <s v="+"/>
    <x v="35"/>
    <s v="Create Rule; and Description='Cargill Incorpor Type';Inc - Other"/>
    <m/>
  </r>
  <r>
    <x v="0"/>
    <d v="2019-07-11T00:00:00"/>
    <s v="POWERPLUS CHECKING"/>
    <x v="35"/>
    <n v="-87.26"/>
    <x v="13"/>
    <m/>
    <m/>
    <m/>
    <n v="87.26"/>
    <b v="0"/>
    <m/>
    <m/>
    <s v=".+"/>
    <x v="35"/>
    <m/>
    <m/>
  </r>
  <r>
    <x v="0"/>
    <d v="2019-07-11T00:00:00"/>
    <s v="Cash Rewards Visa Signature"/>
    <x v="36"/>
    <n v="8.8800000000000008"/>
    <x v="2"/>
    <m/>
    <m/>
    <m/>
    <n v="8.8800000000000008"/>
    <b v="0"/>
    <m/>
    <m/>
    <s v="-"/>
    <x v="36"/>
    <s v="Create Rule; and Description='Hudson News';Transportation"/>
    <m/>
  </r>
  <r>
    <x v="0"/>
    <d v="2019-07-12T00:00:00"/>
    <s v="Cash Rewards Visa Signature"/>
    <x v="37"/>
    <n v="9.92"/>
    <x v="2"/>
    <m/>
    <m/>
    <m/>
    <n v="9.92"/>
    <b v="0"/>
    <m/>
    <m/>
    <s v="-"/>
    <x v="37"/>
    <m/>
    <m/>
  </r>
  <r>
    <x v="0"/>
    <d v="2019-07-13T00:00:00"/>
    <s v="Discover"/>
    <x v="38"/>
    <n v="17.8"/>
    <x v="7"/>
    <m/>
    <m/>
    <m/>
    <n v="17.8"/>
    <b v="0"/>
    <m/>
    <m/>
    <s v="-"/>
    <x v="38"/>
    <m/>
    <m/>
  </r>
  <r>
    <x v="0"/>
    <d v="2019-07-13T00:00:00"/>
    <s v="Discover More Card"/>
    <x v="38"/>
    <n v="17.8"/>
    <x v="7"/>
    <m/>
    <m/>
    <m/>
    <n v="17.8"/>
    <b v="0"/>
    <m/>
    <m/>
    <s v="-"/>
    <x v="38"/>
    <s v="Manual"/>
    <m/>
  </r>
  <r>
    <x v="0"/>
    <d v="2019-07-13T00:00:00"/>
    <s v="Discover"/>
    <x v="39"/>
    <n v="131.79"/>
    <x v="7"/>
    <m/>
    <m/>
    <m/>
    <n v="131.79"/>
    <b v="0"/>
    <m/>
    <m/>
    <s v="-"/>
    <x v="39"/>
    <m/>
    <m/>
  </r>
  <r>
    <x v="0"/>
    <d v="2019-07-13T00:00:00"/>
    <s v="Discover More Card"/>
    <x v="39"/>
    <n v="131.79"/>
    <x v="7"/>
    <m/>
    <m/>
    <m/>
    <n v="131.79"/>
    <b v="0"/>
    <m/>
    <m/>
    <s v="-"/>
    <x v="39"/>
    <s v="Manual"/>
    <m/>
  </r>
  <r>
    <x v="0"/>
    <d v="2019-07-13T00:00:00"/>
    <s v="POWERPLUS"/>
    <x v="40"/>
    <n v="-2439.29"/>
    <x v="14"/>
    <m/>
    <m/>
    <m/>
    <n v="2439.29"/>
    <b v="0"/>
    <m/>
    <m/>
    <s v="+"/>
    <x v="40"/>
    <s v="Create Rule; and Description Like '%CARGILL COCOA TYPE DIR DEP ID%';Inc - Britney"/>
    <m/>
  </r>
  <r>
    <x v="0"/>
    <d v="2019-07-13T00:00:00"/>
    <s v="POWERPLUS CHECKING"/>
    <x v="40"/>
    <n v="-2439.29"/>
    <x v="14"/>
    <m/>
    <m/>
    <m/>
    <n v="2439.29"/>
    <b v="0"/>
    <m/>
    <m/>
    <s v=".+"/>
    <x v="40"/>
    <m/>
    <m/>
  </r>
  <r>
    <x v="0"/>
    <d v="2019-07-13T00:00:00"/>
    <s v="Target Credit Card"/>
    <x v="41"/>
    <n v="153.38"/>
    <x v="8"/>
    <m/>
    <m/>
    <m/>
    <n v="153.38"/>
    <b v="0"/>
    <m/>
    <m/>
    <s v="-"/>
    <x v="41"/>
    <m/>
    <m/>
  </r>
  <r>
    <x v="0"/>
    <d v="2019-07-13T00:00:00"/>
    <s v="POWERPLUS"/>
    <x v="42"/>
    <n v="-2570.35"/>
    <x v="15"/>
    <m/>
    <m/>
    <m/>
    <n v="2570.35"/>
    <b v="0"/>
    <m/>
    <m/>
    <s v="+"/>
    <x v="42"/>
    <s v="Create Rule; and Description Like '%KAUFMAN HALL TYPE DIRECT DEP ID%';Inc - Jeff"/>
    <m/>
  </r>
  <r>
    <x v="0"/>
    <d v="2019-07-13T00:00:00"/>
    <s v="POWERPLUS CHECKING"/>
    <x v="42"/>
    <n v="-2570.35"/>
    <x v="15"/>
    <m/>
    <m/>
    <m/>
    <n v="2570.35"/>
    <b v="0"/>
    <m/>
    <m/>
    <s v=".+"/>
    <x v="42"/>
    <m/>
    <m/>
  </r>
  <r>
    <x v="0"/>
    <d v="2019-07-13T00:00:00"/>
    <s v="POWERPLUS"/>
    <x v="43"/>
    <n v="103"/>
    <x v="7"/>
    <m/>
    <m/>
    <m/>
    <n v="103"/>
    <b v="0"/>
    <m/>
    <m/>
    <s v="-"/>
    <x v="43"/>
    <m/>
    <m/>
  </r>
  <r>
    <x v="0"/>
    <d v="2019-07-13T00:00:00"/>
    <s v="POWERPLUS CHECKING"/>
    <x v="43"/>
    <n v="103"/>
    <x v="7"/>
    <m/>
    <m/>
    <m/>
    <n v="103"/>
    <b v="0"/>
    <m/>
    <m/>
    <s v="-"/>
    <x v="43"/>
    <s v="Manual"/>
    <m/>
  </r>
  <r>
    <x v="0"/>
    <d v="2019-07-14T00:00:00"/>
    <s v="Cash Rewards Visa Signature"/>
    <x v="44"/>
    <n v="43.91"/>
    <x v="5"/>
    <m/>
    <m/>
    <m/>
    <n v="43.91"/>
    <b v="0"/>
    <m/>
    <m/>
    <s v="-"/>
    <x v="44"/>
    <m/>
    <m/>
  </r>
  <r>
    <x v="0"/>
    <d v="2019-07-14T00:00:00"/>
    <s v="Cash Rewards Visa Signature"/>
    <x v="45"/>
    <n v="48.25"/>
    <x v="5"/>
    <m/>
    <m/>
    <m/>
    <n v="48.25"/>
    <b v="0"/>
    <m/>
    <m/>
    <s v="-"/>
    <x v="45"/>
    <m/>
    <m/>
  </r>
  <r>
    <x v="0"/>
    <d v="2019-07-14T00:00:00"/>
    <s v="Cash Rewards Visa Signature"/>
    <x v="6"/>
    <n v="92.89"/>
    <x v="5"/>
    <m/>
    <m/>
    <m/>
    <n v="92.89"/>
    <b v="0"/>
    <m/>
    <m/>
    <s v="-"/>
    <x v="6"/>
    <m/>
    <m/>
  </r>
  <r>
    <x v="0"/>
    <d v="2019-07-14T00:00:00"/>
    <s v="Cash Rewards Visa Signature"/>
    <x v="46"/>
    <n v="62.13"/>
    <x v="7"/>
    <m/>
    <m/>
    <m/>
    <n v="62.13"/>
    <b v="0"/>
    <m/>
    <m/>
    <s v="-"/>
    <x v="46"/>
    <s v="Manual"/>
    <m/>
  </r>
  <r>
    <x v="0"/>
    <d v="2019-07-14T00:00:00"/>
    <s v="Cash Rewards Visa Signature"/>
    <x v="47"/>
    <n v="18.73"/>
    <x v="7"/>
    <m/>
    <m/>
    <m/>
    <n v="18.73"/>
    <b v="0"/>
    <m/>
    <m/>
    <s v="-"/>
    <x v="47"/>
    <s v="Manual"/>
    <m/>
  </r>
  <r>
    <x v="0"/>
    <d v="2019-07-15T00:00:00"/>
    <s v="Discover"/>
    <x v="0"/>
    <n v="9.64"/>
    <x v="0"/>
    <m/>
    <m/>
    <m/>
    <n v="9.64"/>
    <b v="0"/>
    <m/>
    <m/>
    <s v="-"/>
    <x v="0"/>
    <s v="Create Rule; and Description='Amazon';Amazon"/>
    <m/>
  </r>
  <r>
    <x v="0"/>
    <d v="2019-07-15T00:00:00"/>
    <s v="Discover More Card"/>
    <x v="0"/>
    <n v="9.64"/>
    <x v="0"/>
    <m/>
    <m/>
    <m/>
    <n v="9.64"/>
    <b v="0"/>
    <m/>
    <m/>
    <s v="-"/>
    <x v="0"/>
    <m/>
    <m/>
  </r>
  <r>
    <x v="0"/>
    <d v="2019-07-15T00:00:00"/>
    <s v="POWERPLUS"/>
    <x v="48"/>
    <n v="99.03"/>
    <x v="16"/>
    <m/>
    <m/>
    <m/>
    <n v="99.03"/>
    <b v="0"/>
    <m/>
    <m/>
    <s v="-"/>
    <x v="48"/>
    <s v="Create Rule; and Description='American Family Insurance';Insurance"/>
    <m/>
  </r>
  <r>
    <x v="0"/>
    <d v="2019-07-15T00:00:00"/>
    <s v="POWERPLUS CHECKING"/>
    <x v="48"/>
    <n v="99.03"/>
    <x v="16"/>
    <m/>
    <m/>
    <m/>
    <n v="99.03"/>
    <b v="0"/>
    <m/>
    <m/>
    <s v="-"/>
    <x v="48"/>
    <m/>
    <m/>
  </r>
  <r>
    <x v="0"/>
    <d v="2019-07-15T00:00:00"/>
    <s v="Cash Rewards Visa Signature"/>
    <x v="49"/>
    <n v="68"/>
    <x v="8"/>
    <m/>
    <m/>
    <m/>
    <n v="68"/>
    <b v="0"/>
    <m/>
    <m/>
    <s v="-"/>
    <x v="49"/>
    <s v="Create Rule; and Description='Lululemon';Shopping"/>
    <m/>
  </r>
  <r>
    <x v="0"/>
    <d v="2019-07-15T00:00:00"/>
    <s v="Cash Rewards Visa Signature"/>
    <x v="50"/>
    <n v="32.909999999999997"/>
    <x v="7"/>
    <m/>
    <m/>
    <m/>
    <n v="32.909999999999997"/>
    <b v="0"/>
    <m/>
    <m/>
    <s v="-"/>
    <x v="50"/>
    <s v="Manual"/>
    <m/>
  </r>
  <r>
    <x v="0"/>
    <d v="2019-07-15T00:00:00"/>
    <s v="Roth Contributory IRA"/>
    <x v="51"/>
    <n v="-150"/>
    <x v="17"/>
    <m/>
    <m/>
    <m/>
    <n v="150"/>
    <b v="0"/>
    <m/>
    <m/>
    <s v=".+"/>
    <x v="51"/>
    <m/>
    <m/>
  </r>
  <r>
    <x v="0"/>
    <d v="2019-07-15T00:00:00"/>
    <s v="Jeff Roth"/>
    <x v="52"/>
    <n v="-211"/>
    <x v="17"/>
    <m/>
    <m/>
    <m/>
    <n v="211"/>
    <b v="0"/>
    <m/>
    <m/>
    <s v="+"/>
    <x v="52"/>
    <s v="Create Rule; and Description='Tfr JPMORGAN CHASE BAN, KAUFMAN HALL';Roth"/>
    <m/>
  </r>
  <r>
    <x v="0"/>
    <d v="2019-07-15T00:00:00"/>
    <s v="Roth Contributory IRA"/>
    <x v="52"/>
    <n v="-211"/>
    <x v="17"/>
    <m/>
    <m/>
    <m/>
    <n v="211"/>
    <b v="0"/>
    <m/>
    <m/>
    <s v=".+"/>
    <x v="52"/>
    <m/>
    <m/>
  </r>
  <r>
    <x v="0"/>
    <d v="2019-07-15T00:00:00"/>
    <s v="Cash Rewards Visa Signature"/>
    <x v="53"/>
    <n v="76.95"/>
    <x v="5"/>
    <m/>
    <m/>
    <m/>
    <n v="76.95"/>
    <b v="0"/>
    <m/>
    <m/>
    <s v="-"/>
    <x v="53"/>
    <s v="Create Rule; and Description='Total Wine and More';Groceries"/>
    <m/>
  </r>
  <r>
    <x v="0"/>
    <d v="2019-07-15T00:00:00"/>
    <s v="Cash Rewards Visa Signature"/>
    <x v="3"/>
    <n v="-381.36"/>
    <x v="3"/>
    <m/>
    <m/>
    <m/>
    <n v="381.36"/>
    <b v="0"/>
    <m/>
    <m/>
    <s v=".+"/>
    <x v="3"/>
    <m/>
    <m/>
  </r>
  <r>
    <x v="0"/>
    <d v="2019-07-15T00:00:00"/>
    <s v="POWERPLUS"/>
    <x v="4"/>
    <n v="381.36"/>
    <x v="3"/>
    <m/>
    <m/>
    <m/>
    <n v="381.36"/>
    <b v="0"/>
    <m/>
    <m/>
    <s v="-"/>
    <x v="4"/>
    <s v="Delete; and Description Like '%Transfer to Cash Rewards Visa Signature%';0"/>
    <m/>
  </r>
  <r>
    <x v="0"/>
    <d v="2019-07-15T00:00:00"/>
    <s v="POWERPLUS CHECKING"/>
    <x v="4"/>
    <n v="381.36"/>
    <x v="3"/>
    <m/>
    <m/>
    <m/>
    <n v="381.36"/>
    <b v="0"/>
    <m/>
    <m/>
    <s v="-"/>
    <x v="4"/>
    <m/>
    <m/>
  </r>
  <r>
    <x v="0"/>
    <d v="2019-07-15T00:00:00"/>
    <s v="KAUFMAN"/>
    <x v="54"/>
    <n v="-1058.95"/>
    <x v="18"/>
    <m/>
    <m/>
    <m/>
    <n v="1058.95"/>
    <b v="0"/>
    <m/>
    <m/>
    <s v=".+"/>
    <x v="54"/>
    <m/>
    <m/>
  </r>
  <r>
    <x v="0"/>
    <d v="2019-07-15T00:00:00"/>
    <s v="Cash Rewards Visa Signature"/>
    <x v="55"/>
    <n v="24.4"/>
    <x v="8"/>
    <m/>
    <m/>
    <m/>
    <n v="24.4"/>
    <b v="0"/>
    <m/>
    <m/>
    <s v="-"/>
    <x v="55"/>
    <m/>
    <m/>
  </r>
  <r>
    <x v="0"/>
    <d v="2019-07-16T00:00:00"/>
    <s v="Discover"/>
    <x v="56"/>
    <n v="-573.57000000000005"/>
    <x v="3"/>
    <m/>
    <m/>
    <m/>
    <n v="573.57000000000005"/>
    <b v="0"/>
    <m/>
    <m/>
    <s v="+"/>
    <x v="56"/>
    <s v="Delete; and Description='INTERNET PAYMENT - THANK YOU';0"/>
    <m/>
  </r>
  <r>
    <x v="0"/>
    <d v="2019-07-16T00:00:00"/>
    <s v="Discover More Card"/>
    <x v="56"/>
    <n v="-573.57000000000005"/>
    <x v="3"/>
    <m/>
    <m/>
    <m/>
    <n v="573.57000000000005"/>
    <b v="0"/>
    <m/>
    <m/>
    <s v=".+"/>
    <x v="56"/>
    <m/>
    <m/>
  </r>
  <r>
    <x v="0"/>
    <d v="2019-07-16T00:00:00"/>
    <s v="Discover"/>
    <x v="57"/>
    <n v="195.87"/>
    <x v="5"/>
    <m/>
    <m/>
    <m/>
    <n v="195.87"/>
    <b v="0"/>
    <m/>
    <m/>
    <s v="-"/>
    <x v="57"/>
    <s v="Create Rule; and Description='Advocare';Groceries"/>
    <m/>
  </r>
  <r>
    <x v="0"/>
    <d v="2019-07-16T00:00:00"/>
    <s v="Discover More Card"/>
    <x v="57"/>
    <n v="195.87"/>
    <x v="5"/>
    <m/>
    <m/>
    <m/>
    <n v="195.87"/>
    <b v="0"/>
    <m/>
    <m/>
    <s v="-"/>
    <x v="57"/>
    <s v="Create Rule; and Description='Advocare';Groceries"/>
    <m/>
  </r>
  <r>
    <x v="0"/>
    <d v="2019-07-16T00:00:00"/>
    <s v="Jeff Roth"/>
    <x v="58"/>
    <n v="-0.2"/>
    <x v="7"/>
    <m/>
    <m/>
    <m/>
    <n v="0.2"/>
    <b v="0"/>
    <m/>
    <m/>
    <s v="+"/>
    <x v="58"/>
    <m/>
    <m/>
  </r>
  <r>
    <x v="0"/>
    <d v="2019-07-16T00:00:00"/>
    <s v="Roth Contributory IRA"/>
    <x v="58"/>
    <n v="-0.28000000000000003"/>
    <x v="7"/>
    <m/>
    <m/>
    <m/>
    <n v="0.28000000000000003"/>
    <b v="0"/>
    <m/>
    <m/>
    <s v=".+"/>
    <x v="58"/>
    <s v="Manual"/>
    <m/>
  </r>
  <r>
    <x v="0"/>
    <d v="2019-07-16T00:00:00"/>
    <s v="Cash Rewards Visa Signature"/>
    <x v="59"/>
    <n v="4.29"/>
    <x v="1"/>
    <m/>
    <m/>
    <m/>
    <n v="4.29"/>
    <b v="0"/>
    <m/>
    <m/>
    <s v="-"/>
    <x v="59"/>
    <m/>
    <m/>
  </r>
  <r>
    <x v="0"/>
    <d v="2019-07-16T00:00:00"/>
    <s v="Cash Rewards Visa Signature"/>
    <x v="60"/>
    <n v="47.89"/>
    <x v="19"/>
    <m/>
    <m/>
    <m/>
    <n v="47.89"/>
    <b v="0"/>
    <m/>
    <m/>
    <s v="-"/>
    <x v="60"/>
    <m/>
    <m/>
  </r>
  <r>
    <x v="0"/>
    <d v="2019-07-16T00:00:00"/>
    <s v="Cash Rewards Visa Signature"/>
    <x v="61"/>
    <n v="73.08"/>
    <x v="8"/>
    <m/>
    <m/>
    <m/>
    <n v="73.08"/>
    <b v="0"/>
    <m/>
    <m/>
    <s v="-"/>
    <x v="61"/>
    <m/>
    <m/>
  </r>
  <r>
    <x v="0"/>
    <d v="2019-07-16T00:00:00"/>
    <s v="Cash Rewards Visa Signature"/>
    <x v="62"/>
    <n v="216.08"/>
    <x v="7"/>
    <m/>
    <m/>
    <m/>
    <n v="216.08"/>
    <b v="0"/>
    <m/>
    <m/>
    <s v="-"/>
    <x v="62"/>
    <s v="Manual"/>
    <m/>
  </r>
  <r>
    <x v="0"/>
    <d v="2019-07-17T00:00:00"/>
    <s v="POWERPLUS"/>
    <x v="63"/>
    <n v="573.57000000000005"/>
    <x v="3"/>
    <m/>
    <m/>
    <m/>
    <n v="573.57000000000005"/>
    <b v="0"/>
    <m/>
    <m/>
    <s v="-"/>
    <x v="63"/>
    <s v="Delete; and Description Like '%DISCOVER TYPE EPAYMENT%';0"/>
    <m/>
  </r>
  <r>
    <x v="0"/>
    <d v="2019-07-17T00:00:00"/>
    <s v="POWERPLUS CHECKING"/>
    <x v="63"/>
    <n v="573.57000000000005"/>
    <x v="3"/>
    <m/>
    <m/>
    <m/>
    <n v="573.57000000000005"/>
    <b v="0"/>
    <m/>
    <m/>
    <s v="-"/>
    <x v="63"/>
    <m/>
    <m/>
  </r>
  <r>
    <x v="0"/>
    <d v="2019-07-17T00:00:00"/>
    <s v="Discover"/>
    <x v="0"/>
    <n v="67.64"/>
    <x v="0"/>
    <m/>
    <m/>
    <m/>
    <n v="67.64"/>
    <b v="0"/>
    <m/>
    <m/>
    <s v="-"/>
    <x v="0"/>
    <s v="Create Rule; and Description='Amazon';Amazon"/>
    <m/>
  </r>
  <r>
    <x v="0"/>
    <d v="2019-07-17T00:00:00"/>
    <s v="Cash Rewards Visa Signature"/>
    <x v="0"/>
    <n v="59.05"/>
    <x v="0"/>
    <m/>
    <m/>
    <m/>
    <n v="59.05"/>
    <b v="0"/>
    <m/>
    <m/>
    <s v="-"/>
    <x v="0"/>
    <m/>
    <m/>
  </r>
  <r>
    <x v="0"/>
    <d v="2019-07-17T00:00:00"/>
    <s v="Discover More Card"/>
    <x v="0"/>
    <n v="67.64"/>
    <x v="0"/>
    <m/>
    <m/>
    <m/>
    <n v="67.64"/>
    <b v="0"/>
    <m/>
    <m/>
    <s v="-"/>
    <x v="0"/>
    <m/>
    <m/>
  </r>
  <r>
    <x v="0"/>
    <d v="2019-07-17T00:00:00"/>
    <s v="Cash Rewards Visa Signature"/>
    <x v="0"/>
    <n v="80.52"/>
    <x v="0"/>
    <m/>
    <m/>
    <m/>
    <n v="80.52"/>
    <b v="0"/>
    <m/>
    <m/>
    <s v="-"/>
    <x v="0"/>
    <m/>
    <m/>
  </r>
  <r>
    <x v="0"/>
    <d v="2019-07-17T00:00:00"/>
    <s v="Cash Rewards Visa Signature"/>
    <x v="0"/>
    <n v="246.95"/>
    <x v="0"/>
    <m/>
    <m/>
    <m/>
    <n v="246.95"/>
    <b v="0"/>
    <m/>
    <m/>
    <s v="-"/>
    <x v="0"/>
    <m/>
    <m/>
  </r>
  <r>
    <x v="0"/>
    <d v="2019-07-17T00:00:00"/>
    <s v="POWERPLUS"/>
    <x v="64"/>
    <n v="247.5"/>
    <x v="4"/>
    <m/>
    <m/>
    <m/>
    <n v="247.5"/>
    <b v="0"/>
    <m/>
    <m/>
    <s v="-"/>
    <x v="64"/>
    <s v="Create Rule; and Description Like '%CCLC TYPE INTERNET ID%';Day Care"/>
    <m/>
  </r>
  <r>
    <x v="0"/>
    <d v="2019-07-17T00:00:00"/>
    <s v="POWERPLUS CHECKING"/>
    <x v="64"/>
    <n v="247.5"/>
    <x v="4"/>
    <m/>
    <m/>
    <m/>
    <n v="247.5"/>
    <b v="0"/>
    <m/>
    <m/>
    <s v="-"/>
    <x v="64"/>
    <m/>
    <m/>
  </r>
  <r>
    <x v="0"/>
    <d v="2019-07-17T00:00:00"/>
    <s v="Target Credit Card"/>
    <x v="65"/>
    <n v="60.6"/>
    <x v="8"/>
    <m/>
    <m/>
    <m/>
    <n v="60.6"/>
    <b v="0"/>
    <m/>
    <m/>
    <s v="-"/>
    <x v="65"/>
    <m/>
    <m/>
  </r>
  <r>
    <x v="0"/>
    <d v="2019-07-17T00:00:00"/>
    <s v="Target Credit Card"/>
    <x v="66"/>
    <n v="-120.47"/>
    <x v="8"/>
    <m/>
    <m/>
    <m/>
    <n v="120.47"/>
    <b v="0"/>
    <m/>
    <m/>
    <s v=".+"/>
    <x v="66"/>
    <m/>
    <m/>
  </r>
  <r>
    <x v="0"/>
    <d v="2019-07-17T00:00:00"/>
    <s v="Cash Rewards Visa Signature"/>
    <x v="67"/>
    <n v="45"/>
    <x v="11"/>
    <m/>
    <m/>
    <m/>
    <n v="45"/>
    <b v="0"/>
    <m/>
    <m/>
    <s v="-"/>
    <x v="67"/>
    <m/>
    <m/>
  </r>
  <r>
    <x v="0"/>
    <d v="2019-07-17T00:00:00"/>
    <s v="Cash Rewards Visa Signature"/>
    <x v="68"/>
    <n v="18"/>
    <x v="10"/>
    <m/>
    <m/>
    <m/>
    <n v="18"/>
    <b v="0"/>
    <m/>
    <m/>
    <s v="-"/>
    <x v="68"/>
    <m/>
    <m/>
  </r>
  <r>
    <x v="0"/>
    <d v="2019-07-17T00:00:00"/>
    <s v="Target Credit Card"/>
    <x v="34"/>
    <n v="8.0299999999999994"/>
    <x v="12"/>
    <m/>
    <m/>
    <m/>
    <n v="8.0299999999999994"/>
    <b v="0"/>
    <m/>
    <m/>
    <s v="-"/>
    <x v="34"/>
    <m/>
    <m/>
  </r>
  <r>
    <x v="0"/>
    <d v="2019-07-18T00:00:00"/>
    <s v="Cash Rewards Visa Signature"/>
    <x v="0"/>
    <n v="15.52"/>
    <x v="0"/>
    <m/>
    <m/>
    <m/>
    <n v="15.52"/>
    <b v="0"/>
    <m/>
    <m/>
    <s v="-"/>
    <x v="0"/>
    <m/>
    <m/>
  </r>
  <r>
    <x v="0"/>
    <d v="2019-07-18T00:00:00"/>
    <s v="Cash Rewards Visa Signature"/>
    <x v="0"/>
    <n v="86.64"/>
    <x v="0"/>
    <m/>
    <m/>
    <m/>
    <n v="86.64"/>
    <b v="0"/>
    <m/>
    <m/>
    <s v="-"/>
    <x v="0"/>
    <m/>
    <m/>
  </r>
  <r>
    <x v="0"/>
    <d v="2019-07-18T00:00:00"/>
    <s v="Target Credit Card"/>
    <x v="34"/>
    <n v="77.510000000000005"/>
    <x v="12"/>
    <m/>
    <m/>
    <m/>
    <n v="77.510000000000005"/>
    <b v="0"/>
    <m/>
    <m/>
    <s v="-"/>
    <x v="34"/>
    <m/>
    <m/>
  </r>
  <r>
    <x v="0"/>
    <d v="2019-07-19T00:00:00"/>
    <s v="Target Credit Card"/>
    <x v="69"/>
    <n v="-475.6"/>
    <x v="12"/>
    <m/>
    <m/>
    <m/>
    <n v="475.6"/>
    <b v="0"/>
    <m/>
    <m/>
    <s v=".+"/>
    <x v="69"/>
    <m/>
    <m/>
  </r>
  <r>
    <x v="0"/>
    <d v="2019-07-19T00:00:00"/>
    <s v="Cash Rewards Visa Signature"/>
    <x v="70"/>
    <n v="33.89"/>
    <x v="5"/>
    <m/>
    <m/>
    <m/>
    <n v="33.89"/>
    <b v="0"/>
    <m/>
    <m/>
    <s v="-"/>
    <x v="70"/>
    <m/>
    <m/>
  </r>
  <r>
    <x v="0"/>
    <d v="2019-07-19T00:00:00"/>
    <s v="Cash Rewards Visa Signature"/>
    <x v="71"/>
    <n v="32.18"/>
    <x v="7"/>
    <m/>
    <m/>
    <m/>
    <n v="32.18"/>
    <b v="0"/>
    <m/>
    <m/>
    <s v="-"/>
    <x v="71"/>
    <s v="Manual"/>
    <m/>
  </r>
  <r>
    <x v="0"/>
    <d v="2019-07-19T00:00:00"/>
    <s v="Cash Rewards Visa Signature"/>
    <x v="72"/>
    <n v="24.62"/>
    <x v="7"/>
    <m/>
    <m/>
    <m/>
    <n v="24.62"/>
    <b v="0"/>
    <m/>
    <m/>
    <s v="-"/>
    <x v="72"/>
    <s v="Manual"/>
    <m/>
  </r>
  <r>
    <x v="0"/>
    <d v="2019-07-19T00:00:00"/>
    <s v="Cash Rewards Visa Signature"/>
    <x v="2"/>
    <n v="27.9"/>
    <x v="2"/>
    <m/>
    <m/>
    <m/>
    <n v="27.9"/>
    <b v="0"/>
    <m/>
    <m/>
    <s v="-"/>
    <x v="2"/>
    <m/>
    <m/>
  </r>
  <r>
    <x v="0"/>
    <d v="2019-07-19T00:00:00"/>
    <s v="Discover"/>
    <x v="73"/>
    <n v="97.53"/>
    <x v="7"/>
    <m/>
    <m/>
    <m/>
    <n v="97.53"/>
    <b v="0"/>
    <m/>
    <m/>
    <s v="-"/>
    <x v="73"/>
    <m/>
    <m/>
  </r>
  <r>
    <x v="0"/>
    <d v="2019-07-19T00:00:00"/>
    <s v="Discover More Card"/>
    <x v="73"/>
    <n v="97.53"/>
    <x v="7"/>
    <m/>
    <m/>
    <m/>
    <n v="97.53"/>
    <b v="0"/>
    <m/>
    <m/>
    <s v="-"/>
    <x v="73"/>
    <s v="Manual"/>
    <m/>
  </r>
  <r>
    <x v="0"/>
    <d v="2019-07-19T00:00:00"/>
    <s v="Cash Rewards Visa Signature"/>
    <x v="74"/>
    <n v="48.77"/>
    <x v="7"/>
    <m/>
    <m/>
    <m/>
    <n v="48.77"/>
    <b v="0"/>
    <m/>
    <m/>
    <s v="-"/>
    <x v="74"/>
    <s v="Manual"/>
    <m/>
  </r>
  <r>
    <x v="0"/>
    <d v="2019-07-20T00:00:00"/>
    <s v="Discover"/>
    <x v="75"/>
    <n v="25.92"/>
    <x v="7"/>
    <m/>
    <m/>
    <m/>
    <n v="25.92"/>
    <b v="0"/>
    <m/>
    <m/>
    <s v="-"/>
    <x v="75"/>
    <m/>
    <m/>
  </r>
  <r>
    <x v="0"/>
    <d v="2019-07-20T00:00:00"/>
    <s v="Discover More Card"/>
    <x v="75"/>
    <n v="25.92"/>
    <x v="7"/>
    <m/>
    <m/>
    <m/>
    <n v="25.92"/>
    <b v="0"/>
    <m/>
    <m/>
    <s v="-"/>
    <x v="75"/>
    <s v="Manual"/>
    <m/>
  </r>
  <r>
    <x v="0"/>
    <d v="2019-07-20T00:00:00"/>
    <s v="Discover"/>
    <x v="76"/>
    <n v="21.16"/>
    <x v="1"/>
    <m/>
    <m/>
    <m/>
    <n v="21.16"/>
    <b v="0"/>
    <m/>
    <m/>
    <s v="-"/>
    <x v="76"/>
    <s v="Create Rule; and Description Like '%RED SAUCE REBELLION%';Restaurants"/>
    <m/>
  </r>
  <r>
    <x v="0"/>
    <d v="2019-07-20T00:00:00"/>
    <s v="Discover More Card"/>
    <x v="76"/>
    <n v="21.16"/>
    <x v="1"/>
    <m/>
    <m/>
    <m/>
    <n v="21.16"/>
    <b v="0"/>
    <m/>
    <m/>
    <s v="-"/>
    <x v="76"/>
    <m/>
    <m/>
  </r>
  <r>
    <x v="0"/>
    <d v="2019-07-21T00:00:00"/>
    <s v="Cash Rewards Visa Signature"/>
    <x v="77"/>
    <n v="62.36"/>
    <x v="8"/>
    <m/>
    <m/>
    <m/>
    <n v="62.36"/>
    <b v="0"/>
    <m/>
    <m/>
    <s v="-"/>
    <x v="77"/>
    <s v="Create Rule; and Description='Anthropologie';Shopping"/>
    <m/>
  </r>
  <r>
    <x v="0"/>
    <d v="2019-07-21T00:00:00"/>
    <s v="Cash Rewards Visa Signature"/>
    <x v="78"/>
    <n v="81.86"/>
    <x v="20"/>
    <m/>
    <m/>
    <m/>
    <n v="81.86"/>
    <b v="0"/>
    <m/>
    <m/>
    <s v="-"/>
    <x v="78"/>
    <m/>
    <m/>
  </r>
  <r>
    <x v="0"/>
    <d v="2019-07-21T00:00:00"/>
    <s v="Cash Rewards Visa Signature"/>
    <x v="6"/>
    <n v="32.86"/>
    <x v="5"/>
    <m/>
    <m/>
    <m/>
    <n v="32.86"/>
    <b v="0"/>
    <m/>
    <m/>
    <s v="-"/>
    <x v="6"/>
    <m/>
    <m/>
  </r>
  <r>
    <x v="0"/>
    <d v="2019-07-21T00:00:00"/>
    <s v="Cash Rewards Visa Signature"/>
    <x v="79"/>
    <n v="28"/>
    <x v="10"/>
    <m/>
    <m/>
    <m/>
    <n v="28"/>
    <b v="0"/>
    <m/>
    <m/>
    <s v="-"/>
    <x v="79"/>
    <m/>
    <m/>
  </r>
  <r>
    <x v="0"/>
    <d v="2019-07-21T00:00:00"/>
    <s v="Discover"/>
    <x v="80"/>
    <n v="29.9"/>
    <x v="7"/>
    <m/>
    <m/>
    <m/>
    <n v="29.9"/>
    <b v="0"/>
    <m/>
    <m/>
    <s v="-"/>
    <x v="80"/>
    <m/>
    <m/>
  </r>
  <r>
    <x v="0"/>
    <d v="2019-07-21T00:00:00"/>
    <s v="Discover More Card"/>
    <x v="80"/>
    <n v="29.9"/>
    <x v="7"/>
    <m/>
    <m/>
    <m/>
    <n v="29.9"/>
    <b v="0"/>
    <m/>
    <m/>
    <s v="-"/>
    <x v="80"/>
    <s v="Manual"/>
    <m/>
  </r>
  <r>
    <x v="0"/>
    <d v="2019-07-21T00:00:00"/>
    <s v="Cash Rewards Visa Signature"/>
    <x v="81"/>
    <n v="2.69"/>
    <x v="2"/>
    <m/>
    <m/>
    <m/>
    <n v="2.69"/>
    <b v="0"/>
    <m/>
    <m/>
    <s v="-"/>
    <x v="81"/>
    <m/>
    <m/>
  </r>
  <r>
    <x v="0"/>
    <d v="2019-07-21T00:00:00"/>
    <s v="Cash Rewards Visa Signature"/>
    <x v="81"/>
    <n v="40.85"/>
    <x v="2"/>
    <m/>
    <m/>
    <m/>
    <n v="40.85"/>
    <b v="0"/>
    <m/>
    <m/>
    <s v="-"/>
    <x v="81"/>
    <m/>
    <m/>
  </r>
  <r>
    <x v="0"/>
    <d v="2019-07-21T00:00:00"/>
    <s v="Cash Rewards Visa Signature"/>
    <x v="82"/>
    <n v="22.71"/>
    <x v="8"/>
    <m/>
    <m/>
    <m/>
    <n v="22.71"/>
    <b v="0"/>
    <m/>
    <m/>
    <s v="-"/>
    <x v="82"/>
    <s v="Create Rule; and Description='Wal-Mart';Shopping"/>
    <m/>
  </r>
  <r>
    <x v="0"/>
    <d v="2019-07-22T00:00:00"/>
    <s v="Discover"/>
    <x v="0"/>
    <n v="24.69"/>
    <x v="0"/>
    <m/>
    <m/>
    <m/>
    <n v="24.69"/>
    <b v="0"/>
    <m/>
    <m/>
    <s v="-"/>
    <x v="0"/>
    <s v="Create Rule; and Description='Amazon';Amazon"/>
    <m/>
  </r>
  <r>
    <x v="0"/>
    <d v="2019-07-22T00:00:00"/>
    <s v="Discover More Card"/>
    <x v="0"/>
    <n v="24.69"/>
    <x v="0"/>
    <m/>
    <m/>
    <m/>
    <n v="24.69"/>
    <b v="0"/>
    <m/>
    <m/>
    <s v="-"/>
    <x v="0"/>
    <m/>
    <m/>
  </r>
  <r>
    <x v="0"/>
    <d v="2019-07-22T00:00:00"/>
    <s v="POWERPLUS"/>
    <x v="83"/>
    <n v="16.73"/>
    <x v="8"/>
    <m/>
    <m/>
    <m/>
    <n v="16.73"/>
    <b v="0"/>
    <m/>
    <m/>
    <s v="-"/>
    <x v="83"/>
    <s v="Create Rule; and Description Like '%Banana Visa%';Shopping"/>
    <m/>
  </r>
  <r>
    <x v="0"/>
    <d v="2019-07-22T00:00:00"/>
    <s v="POWERPLUS CHECKING"/>
    <x v="83"/>
    <n v="16.73"/>
    <x v="8"/>
    <m/>
    <m/>
    <m/>
    <n v="16.73"/>
    <b v="0"/>
    <m/>
    <m/>
    <s v="-"/>
    <x v="83"/>
    <m/>
    <m/>
  </r>
  <r>
    <x v="0"/>
    <d v="2019-07-22T00:00:00"/>
    <s v="POWERPLUS"/>
    <x v="84"/>
    <n v="33.49"/>
    <x v="11"/>
    <m/>
    <m/>
    <m/>
    <n v="33.49"/>
    <b v="0"/>
    <m/>
    <m/>
    <s v="-"/>
    <x v="84"/>
    <s v="Create Rule; and Description='City of Chanhassen';Utilities"/>
    <m/>
  </r>
  <r>
    <x v="0"/>
    <d v="2019-07-22T00:00:00"/>
    <s v="POWERPLUS CHECKING"/>
    <x v="84"/>
    <n v="33.49"/>
    <x v="11"/>
    <m/>
    <m/>
    <m/>
    <n v="33.49"/>
    <b v="0"/>
    <m/>
    <m/>
    <s v="-"/>
    <x v="84"/>
    <m/>
    <m/>
  </r>
  <r>
    <x v="0"/>
    <d v="2019-07-22T00:00:00"/>
    <s v="Cash Rewards Visa Signature"/>
    <x v="6"/>
    <n v="101.56"/>
    <x v="5"/>
    <m/>
    <m/>
    <m/>
    <n v="101.56"/>
    <b v="0"/>
    <m/>
    <m/>
    <s v="-"/>
    <x v="6"/>
    <m/>
    <m/>
  </r>
  <r>
    <x v="0"/>
    <d v="2019-07-22T00:00:00"/>
    <s v="Discover"/>
    <x v="85"/>
    <n v="15.5"/>
    <x v="7"/>
    <m/>
    <m/>
    <m/>
    <n v="15.5"/>
    <b v="0"/>
    <m/>
    <m/>
    <s v="-"/>
    <x v="85"/>
    <m/>
    <m/>
  </r>
  <r>
    <x v="0"/>
    <d v="2019-07-22T00:00:00"/>
    <s v="Discover More Card"/>
    <x v="85"/>
    <n v="15.5"/>
    <x v="7"/>
    <m/>
    <m/>
    <m/>
    <n v="15.5"/>
    <b v="0"/>
    <m/>
    <m/>
    <s v="-"/>
    <x v="85"/>
    <s v="Manual"/>
    <m/>
  </r>
  <r>
    <x v="0"/>
    <d v="2019-07-22T00:00:00"/>
    <s v="Discover"/>
    <x v="86"/>
    <n v="26"/>
    <x v="7"/>
    <m/>
    <m/>
    <m/>
    <n v="26"/>
    <b v="0"/>
    <m/>
    <m/>
    <s v="-"/>
    <x v="86"/>
    <m/>
    <m/>
  </r>
  <r>
    <x v="0"/>
    <d v="2019-07-22T00:00:00"/>
    <s v="Discover More Card"/>
    <x v="86"/>
    <n v="26"/>
    <x v="7"/>
    <m/>
    <m/>
    <m/>
    <n v="26"/>
    <b v="0"/>
    <m/>
    <m/>
    <s v="-"/>
    <x v="86"/>
    <s v="Manual"/>
    <m/>
  </r>
  <r>
    <x v="0"/>
    <d v="2019-07-22T00:00:00"/>
    <s v="Investor Checking"/>
    <x v="87"/>
    <n v="475.6"/>
    <x v="7"/>
    <m/>
    <m/>
    <m/>
    <n v="475.6"/>
    <b v="0"/>
    <m/>
    <m/>
    <s v="-"/>
    <x v="87"/>
    <s v="Manual"/>
    <m/>
  </r>
  <r>
    <x v="0"/>
    <d v="2019-07-23T00:00:00"/>
    <s v="Discover"/>
    <x v="88"/>
    <n v="55.15"/>
    <x v="8"/>
    <m/>
    <m/>
    <m/>
    <n v="55.15"/>
    <b v="0"/>
    <m/>
    <m/>
    <s v="-"/>
    <x v="88"/>
    <s v="Create Rule; and Description Like '%CRAVE EDEN PRAIRIE%';Shopping"/>
    <m/>
  </r>
  <r>
    <x v="0"/>
    <d v="2019-07-23T00:00:00"/>
    <s v="Discover More Card"/>
    <x v="88"/>
    <n v="55.15"/>
    <x v="8"/>
    <m/>
    <m/>
    <m/>
    <n v="55.15"/>
    <b v="0"/>
    <m/>
    <m/>
    <s v="-"/>
    <x v="88"/>
    <m/>
    <m/>
  </r>
  <r>
    <x v="0"/>
    <d v="2019-07-23T00:00:00"/>
    <s v="POWERPLUS"/>
    <x v="26"/>
    <n v="-103"/>
    <x v="3"/>
    <m/>
    <m/>
    <m/>
    <n v="103"/>
    <b v="0"/>
    <m/>
    <m/>
    <s v="+"/>
    <x v="26"/>
    <s v="Delete; and Description='Venmo Type Cashout';0"/>
    <m/>
  </r>
  <r>
    <x v="0"/>
    <d v="2019-07-23T00:00:00"/>
    <s v="POWERPLUS CHECKING"/>
    <x v="26"/>
    <n v="-103"/>
    <x v="3"/>
    <m/>
    <m/>
    <m/>
    <n v="103"/>
    <b v="0"/>
    <m/>
    <m/>
    <s v=".+"/>
    <x v="26"/>
    <s v="Delete; and Description='Venmo Type Cashout';0"/>
    <m/>
  </r>
  <r>
    <x v="0"/>
    <d v="2019-07-24T00:00:00"/>
    <s v="Cash Rewards Visa Signature"/>
    <x v="0"/>
    <n v="42.89"/>
    <x v="0"/>
    <m/>
    <m/>
    <m/>
    <n v="42.89"/>
    <b v="0"/>
    <m/>
    <m/>
    <s v="-"/>
    <x v="0"/>
    <m/>
    <m/>
  </r>
  <r>
    <x v="0"/>
    <d v="2019-07-24T00:00:00"/>
    <s v="POWERPLUS"/>
    <x v="89"/>
    <n v="-13767.87"/>
    <x v="14"/>
    <m/>
    <m/>
    <m/>
    <n v="13767.87"/>
    <b v="0"/>
    <m/>
    <m/>
    <s v="+"/>
    <x v="89"/>
    <s v="Create Rule; and Description Like '%CARGILL COCOA TYPE DIR DEP ID%';Inc - Britney"/>
    <m/>
  </r>
  <r>
    <x v="0"/>
    <d v="2019-07-24T00:00:00"/>
    <s v="POWERPLUS CHECKING"/>
    <x v="89"/>
    <n v="-13767.87"/>
    <x v="14"/>
    <m/>
    <m/>
    <m/>
    <n v="13767.87"/>
    <b v="0"/>
    <m/>
    <m/>
    <s v=".+"/>
    <x v="89"/>
    <m/>
    <m/>
  </r>
  <r>
    <x v="0"/>
    <d v="2019-07-24T00:00:00"/>
    <s v="POWERPLUS"/>
    <x v="90"/>
    <n v="-977.87"/>
    <x v="14"/>
    <m/>
    <m/>
    <m/>
    <n v="977.87"/>
    <b v="0"/>
    <m/>
    <m/>
    <s v="+"/>
    <x v="90"/>
    <s v="Create Rule; and Description Like '%CARGILL COCOA TYPE DIR DEP ID%';Inc - Britney"/>
    <m/>
  </r>
  <r>
    <x v="0"/>
    <d v="2019-07-24T00:00:00"/>
    <s v="POWERPLUS CHECKING"/>
    <x v="90"/>
    <n v="-977.87"/>
    <x v="14"/>
    <m/>
    <m/>
    <m/>
    <n v="977.87"/>
    <b v="0"/>
    <m/>
    <m/>
    <s v=".+"/>
    <x v="90"/>
    <m/>
    <m/>
  </r>
  <r>
    <x v="0"/>
    <d v="2019-07-24T00:00:00"/>
    <s v="POWERPLUS"/>
    <x v="91"/>
    <n v="198"/>
    <x v="4"/>
    <m/>
    <m/>
    <m/>
    <n v="198"/>
    <b v="0"/>
    <m/>
    <m/>
    <s v="-"/>
    <x v="91"/>
    <s v="Create Rule; and Description Like '%CCLC TYPE INTERNET ID%';Day Care"/>
    <m/>
  </r>
  <r>
    <x v="0"/>
    <d v="2019-07-24T00:00:00"/>
    <s v="POWERPLUS CHECKING"/>
    <x v="91"/>
    <n v="198"/>
    <x v="4"/>
    <m/>
    <m/>
    <m/>
    <n v="198"/>
    <b v="0"/>
    <m/>
    <m/>
    <s v="-"/>
    <x v="91"/>
    <m/>
    <m/>
  </r>
  <r>
    <x v="0"/>
    <d v="2019-07-24T00:00:00"/>
    <s v="RAINY DAY"/>
    <x v="3"/>
    <n v="-200"/>
    <x v="3"/>
    <m/>
    <m/>
    <m/>
    <n v="200"/>
    <b v="0"/>
    <m/>
    <m/>
    <s v="+"/>
    <x v="3"/>
    <s v="Delete; and Description='Transfer from POWERPLUS CHECKING';0"/>
    <m/>
  </r>
  <r>
    <x v="0"/>
    <d v="2019-07-24T00:00:00"/>
    <s v="RAINY DAY SAVINGS"/>
    <x v="3"/>
    <n v="-200"/>
    <x v="3"/>
    <m/>
    <m/>
    <m/>
    <n v="200"/>
    <b v="0"/>
    <m/>
    <m/>
    <s v=".+"/>
    <x v="3"/>
    <m/>
    <m/>
  </r>
  <r>
    <x v="0"/>
    <d v="2019-07-24T00:00:00"/>
    <s v="POWERPLUS"/>
    <x v="92"/>
    <n v="200"/>
    <x v="21"/>
    <m/>
    <m/>
    <m/>
    <n v="200"/>
    <b v="0"/>
    <m/>
    <m/>
    <s v="-"/>
    <x v="92"/>
    <s v="Create Rule; and Description='Transfer to RAINY DAY SAVINGS';Savings"/>
    <m/>
  </r>
  <r>
    <x v="0"/>
    <d v="2019-07-24T00:00:00"/>
    <s v="POWERPLUS CHECKING"/>
    <x v="92"/>
    <n v="200"/>
    <x v="21"/>
    <m/>
    <m/>
    <m/>
    <n v="200"/>
    <b v="0"/>
    <m/>
    <m/>
    <s v="-"/>
    <x v="92"/>
    <m/>
    <m/>
  </r>
  <r>
    <x v="0"/>
    <d v="2019-07-25T00:00:00"/>
    <s v="Discover"/>
    <x v="93"/>
    <n v="-33.25"/>
    <x v="3"/>
    <m/>
    <m/>
    <m/>
    <n v="33.25"/>
    <b v="0"/>
    <m/>
    <m/>
    <s v="+"/>
    <x v="93"/>
    <s v="Delete; and Description='CASHBACK BONUS REDEMPTION payment/STMT CRDT';0"/>
    <m/>
  </r>
  <r>
    <x v="0"/>
    <d v="2019-07-25T00:00:00"/>
    <s v="Discover More Card"/>
    <x v="93"/>
    <n v="-33.25"/>
    <x v="3"/>
    <m/>
    <m/>
    <m/>
    <n v="33.25"/>
    <b v="0"/>
    <m/>
    <m/>
    <s v=".+"/>
    <x v="93"/>
    <m/>
    <m/>
  </r>
  <r>
    <x v="0"/>
    <d v="2019-07-25T00:00:00"/>
    <s v="Discover"/>
    <x v="56"/>
    <n v="-480.6"/>
    <x v="3"/>
    <m/>
    <m/>
    <m/>
    <n v="480.6"/>
    <b v="0"/>
    <m/>
    <m/>
    <s v="+"/>
    <x v="56"/>
    <s v="Delete; and Description='INTERNET PAYMENT - THANK YOU';0"/>
    <m/>
  </r>
  <r>
    <x v="0"/>
    <d v="2019-07-25T00:00:00"/>
    <s v="Discover More Card"/>
    <x v="56"/>
    <n v="-480.6"/>
    <x v="3"/>
    <m/>
    <m/>
    <m/>
    <n v="480.6"/>
    <b v="0"/>
    <m/>
    <m/>
    <s v=".+"/>
    <x v="56"/>
    <m/>
    <m/>
  </r>
  <r>
    <x v="0"/>
    <d v="2019-07-25T00:00:00"/>
    <s v="Discover"/>
    <x v="0"/>
    <n v="44.51"/>
    <x v="0"/>
    <m/>
    <m/>
    <m/>
    <n v="44.51"/>
    <b v="0"/>
    <m/>
    <m/>
    <s v="-"/>
    <x v="0"/>
    <s v="Create Rule; and Description='Amazon';Amazon"/>
    <m/>
  </r>
  <r>
    <x v="0"/>
    <d v="2019-07-25T00:00:00"/>
    <s v="Discover"/>
    <x v="0"/>
    <n v="137.19"/>
    <x v="0"/>
    <m/>
    <m/>
    <m/>
    <n v="137.19"/>
    <b v="0"/>
    <m/>
    <m/>
    <s v="-"/>
    <x v="0"/>
    <s v="Create Rule; and Description='Amazon';Amazon"/>
    <m/>
  </r>
  <r>
    <x v="0"/>
    <d v="2019-07-25T00:00:00"/>
    <s v="Cash Rewards Visa Signature"/>
    <x v="0"/>
    <n v="5.35"/>
    <x v="0"/>
    <m/>
    <m/>
    <m/>
    <n v="5.35"/>
    <b v="0"/>
    <m/>
    <m/>
    <s v="-"/>
    <x v="0"/>
    <m/>
    <m/>
  </r>
  <r>
    <x v="0"/>
    <d v="2019-07-25T00:00:00"/>
    <s v="Discover More Card"/>
    <x v="0"/>
    <n v="44.51"/>
    <x v="0"/>
    <m/>
    <m/>
    <m/>
    <n v="44.51"/>
    <b v="0"/>
    <m/>
    <m/>
    <s v="-"/>
    <x v="0"/>
    <m/>
    <m/>
  </r>
  <r>
    <x v="0"/>
    <d v="2019-07-25T00:00:00"/>
    <s v="Discover More Card"/>
    <x v="0"/>
    <n v="137.19"/>
    <x v="0"/>
    <m/>
    <m/>
    <m/>
    <n v="137.19"/>
    <b v="0"/>
    <m/>
    <m/>
    <s v="-"/>
    <x v="0"/>
    <m/>
    <m/>
  </r>
  <r>
    <x v="0"/>
    <d v="2019-07-25T00:00:00"/>
    <s v="Cash Rewards Visa Signature"/>
    <x v="94"/>
    <n v="40.68"/>
    <x v="7"/>
    <m/>
    <m/>
    <m/>
    <n v="40.68"/>
    <b v="0"/>
    <m/>
    <m/>
    <s v="-"/>
    <x v="94"/>
    <s v="Manual"/>
    <m/>
  </r>
  <r>
    <x v="0"/>
    <d v="2019-07-25T00:00:00"/>
    <s v="Cash Rewards Visa Signature"/>
    <x v="95"/>
    <n v="-364"/>
    <x v="7"/>
    <m/>
    <m/>
    <m/>
    <n v="364"/>
    <b v="0"/>
    <m/>
    <m/>
    <s v=".+"/>
    <x v="95"/>
    <s v="Manual"/>
    <m/>
  </r>
  <r>
    <x v="0"/>
    <d v="2019-07-25T00:00:00"/>
    <s v="SHARE SAVINGS"/>
    <x v="4"/>
    <n v="364"/>
    <x v="3"/>
    <m/>
    <m/>
    <m/>
    <n v="364"/>
    <b v="0"/>
    <m/>
    <m/>
    <s v="-"/>
    <x v="4"/>
    <m/>
    <m/>
  </r>
  <r>
    <x v="0"/>
    <d v="2019-07-26T00:00:00"/>
    <s v="POWERPLUS"/>
    <x v="96"/>
    <n v="480.6"/>
    <x v="3"/>
    <m/>
    <m/>
    <m/>
    <n v="480.6"/>
    <b v="0"/>
    <m/>
    <m/>
    <s v="-"/>
    <x v="96"/>
    <s v="Delete; and Description Like '%DISCOVER TYPE EPAYMENT%';0"/>
    <m/>
  </r>
  <r>
    <x v="0"/>
    <d v="2019-07-26T00:00:00"/>
    <s v="POWERPLUS CHECKING"/>
    <x v="96"/>
    <n v="480.6"/>
    <x v="3"/>
    <m/>
    <m/>
    <m/>
    <n v="480.6"/>
    <b v="0"/>
    <m/>
    <m/>
    <s v="-"/>
    <x v="96"/>
    <m/>
    <m/>
  </r>
  <r>
    <x v="0"/>
    <d v="2019-07-26T00:00:00"/>
    <s v="Cash Rewards Visa Signature"/>
    <x v="97"/>
    <n v="6.32"/>
    <x v="7"/>
    <m/>
    <m/>
    <m/>
    <n v="6.32"/>
    <b v="0"/>
    <m/>
    <m/>
    <s v="-"/>
    <x v="97"/>
    <s v="Manual"/>
    <m/>
  </r>
  <r>
    <x v="0"/>
    <d v="2019-07-26T00:00:00"/>
    <s v="Target Credit Card"/>
    <x v="98"/>
    <n v="75.180000000000007"/>
    <x v="8"/>
    <m/>
    <m/>
    <m/>
    <n v="75.180000000000007"/>
    <b v="0"/>
    <m/>
    <m/>
    <s v="-"/>
    <x v="98"/>
    <m/>
    <m/>
  </r>
  <r>
    <x v="0"/>
    <d v="2019-07-26T00:00:00"/>
    <s v="Discover"/>
    <x v="99"/>
    <n v="12.99"/>
    <x v="11"/>
    <m/>
    <m/>
    <m/>
    <n v="12.99"/>
    <b v="0"/>
    <m/>
    <m/>
    <s v="-"/>
    <x v="99"/>
    <s v="Create Rule; and Description='Netflix';Utilities"/>
    <m/>
  </r>
  <r>
    <x v="0"/>
    <d v="2019-07-26T00:00:00"/>
    <s v="Discover More Card"/>
    <x v="99"/>
    <n v="12.99"/>
    <x v="11"/>
    <m/>
    <m/>
    <m/>
    <n v="12.99"/>
    <b v="0"/>
    <m/>
    <m/>
    <s v="-"/>
    <x v="99"/>
    <m/>
    <m/>
  </r>
  <r>
    <x v="0"/>
    <d v="2019-07-26T00:00:00"/>
    <s v="Roth Contributory IRA"/>
    <x v="51"/>
    <n v="-150"/>
    <x v="17"/>
    <m/>
    <m/>
    <m/>
    <n v="150"/>
    <b v="0"/>
    <m/>
    <m/>
    <s v=".+"/>
    <x v="51"/>
    <m/>
    <m/>
  </r>
  <r>
    <x v="0"/>
    <d v="2019-07-26T00:00:00"/>
    <s v="Cash Rewards Visa Signature"/>
    <x v="100"/>
    <n v="81.12"/>
    <x v="5"/>
    <m/>
    <m/>
    <m/>
    <n v="81.12"/>
    <b v="0"/>
    <m/>
    <m/>
    <s v="-"/>
    <x v="100"/>
    <m/>
    <m/>
  </r>
  <r>
    <x v="0"/>
    <d v="2019-07-27T00:00:00"/>
    <s v="Discover"/>
    <x v="101"/>
    <n v="49.39"/>
    <x v="1"/>
    <m/>
    <m/>
    <m/>
    <n v="49.39"/>
    <b v="0"/>
    <m/>
    <m/>
    <s v="-"/>
    <x v="101"/>
    <s v="Create Rule; and Description='WINCHESTER AND RYE VICTORIA MN';Restaurants"/>
    <m/>
  </r>
  <r>
    <x v="0"/>
    <d v="2019-07-27T00:00:00"/>
    <s v="Discover More Card"/>
    <x v="101"/>
    <n v="49.39"/>
    <x v="1"/>
    <m/>
    <m/>
    <m/>
    <n v="49.39"/>
    <b v="0"/>
    <m/>
    <m/>
    <s v="-"/>
    <x v="101"/>
    <s v="Create Rule; and Description='WINCHESTER AND RYE VICTORIA MN';Restaurants"/>
    <m/>
  </r>
  <r>
    <x v="0"/>
    <d v="2019-07-28T00:00:00"/>
    <s v="Cash Rewards Visa Signature"/>
    <x v="102"/>
    <n v="6.44"/>
    <x v="1"/>
    <m/>
    <m/>
    <m/>
    <n v="6.44"/>
    <b v="0"/>
    <m/>
    <m/>
    <s v="-"/>
    <x v="102"/>
    <m/>
    <m/>
  </r>
  <r>
    <x v="0"/>
    <d v="2019-07-29T00:00:00"/>
    <s v="Target Credit Card"/>
    <x v="103"/>
    <n v="-160.72"/>
    <x v="12"/>
    <m/>
    <m/>
    <m/>
    <n v="160.72"/>
    <b v="0"/>
    <m/>
    <m/>
    <s v=".+"/>
    <x v="103"/>
    <m/>
    <m/>
  </r>
  <r>
    <x v="0"/>
    <d v="2019-07-29T00:00:00"/>
    <s v="Cash Rewards Visa Signature"/>
    <x v="0"/>
    <n v="16.63"/>
    <x v="0"/>
    <m/>
    <m/>
    <m/>
    <n v="16.63"/>
    <b v="0"/>
    <m/>
    <m/>
    <s v="-"/>
    <x v="0"/>
    <m/>
    <m/>
  </r>
  <r>
    <x v="0"/>
    <d v="2019-07-29T00:00:00"/>
    <s v="Cash Rewards Visa Signature"/>
    <x v="70"/>
    <n v="19.38"/>
    <x v="5"/>
    <m/>
    <m/>
    <m/>
    <n v="19.38"/>
    <b v="0"/>
    <m/>
    <m/>
    <s v="-"/>
    <x v="70"/>
    <m/>
    <m/>
  </r>
  <r>
    <x v="0"/>
    <d v="2019-07-29T00:00:00"/>
    <s v="Cash Rewards Visa Signature"/>
    <x v="104"/>
    <n v="21.07"/>
    <x v="7"/>
    <m/>
    <m/>
    <m/>
    <n v="21.07"/>
    <b v="0"/>
    <m/>
    <m/>
    <s v="-"/>
    <x v="104"/>
    <s v="Manual"/>
    <m/>
  </r>
  <r>
    <x v="0"/>
    <d v="2019-07-29T00:00:00"/>
    <s v="Cash Rewards Visa Signature"/>
    <x v="105"/>
    <n v="41.75"/>
    <x v="10"/>
    <m/>
    <m/>
    <m/>
    <n v="41.75"/>
    <b v="0"/>
    <m/>
    <m/>
    <s v="-"/>
    <x v="105"/>
    <s v="Manual"/>
    <m/>
  </r>
  <r>
    <x v="0"/>
    <d v="2019-07-29T00:00:00"/>
    <s v="Target Credit Card"/>
    <x v="34"/>
    <n v="12.23"/>
    <x v="12"/>
    <m/>
    <m/>
    <m/>
    <n v="12.23"/>
    <b v="0"/>
    <m/>
    <m/>
    <s v="-"/>
    <x v="34"/>
    <m/>
    <m/>
  </r>
  <r>
    <x v="0"/>
    <d v="2019-07-29T00:00:00"/>
    <s v="Target Credit Card"/>
    <x v="34"/>
    <n v="23.74"/>
    <x v="12"/>
    <m/>
    <m/>
    <m/>
    <n v="23.74"/>
    <b v="0"/>
    <m/>
    <m/>
    <s v="-"/>
    <x v="34"/>
    <m/>
    <m/>
  </r>
  <r>
    <x v="0"/>
    <d v="2019-07-29T00:00:00"/>
    <s v="Cash Rewards Visa Signature"/>
    <x v="3"/>
    <n v="-1454.33"/>
    <x v="3"/>
    <m/>
    <m/>
    <m/>
    <n v="1454.33"/>
    <b v="0"/>
    <m/>
    <m/>
    <s v=".+"/>
    <x v="3"/>
    <m/>
    <m/>
  </r>
  <r>
    <x v="0"/>
    <d v="2019-07-29T00:00:00"/>
    <s v="POWERPLUS"/>
    <x v="4"/>
    <n v="1454.33"/>
    <x v="3"/>
    <m/>
    <m/>
    <m/>
    <n v="1454.33"/>
    <b v="0"/>
    <m/>
    <m/>
    <s v="-"/>
    <x v="4"/>
    <s v="Delete; and Description Like '%Transfer to Cash Rewards Visa Signature%';0"/>
    <m/>
  </r>
  <r>
    <x v="0"/>
    <d v="2019-07-29T00:00:00"/>
    <s v="POWERPLUS CHECKING"/>
    <x v="4"/>
    <n v="1454.33"/>
    <x v="3"/>
    <m/>
    <m/>
    <m/>
    <n v="1454.33"/>
    <b v="0"/>
    <m/>
    <m/>
    <s v="-"/>
    <x v="4"/>
    <m/>
    <m/>
  </r>
  <r>
    <x v="0"/>
    <d v="2019-07-29T00:00:00"/>
    <s v="Cash Rewards Visa Signature"/>
    <x v="106"/>
    <n v="48.37"/>
    <x v="1"/>
    <m/>
    <m/>
    <m/>
    <n v="48.37"/>
    <b v="0"/>
    <m/>
    <m/>
    <s v="-"/>
    <x v="106"/>
    <m/>
    <m/>
  </r>
  <r>
    <x v="0"/>
    <d v="2019-07-30T00:00:00"/>
    <s v="POWERPLUS"/>
    <x v="107"/>
    <n v="7.46"/>
    <x v="8"/>
    <m/>
    <m/>
    <m/>
    <n v="7.46"/>
    <b v="0"/>
    <m/>
    <m/>
    <s v="-"/>
    <x v="107"/>
    <s v="Create Rule; and Description Like '%Banana Visa%';Shopping"/>
    <m/>
  </r>
  <r>
    <x v="0"/>
    <d v="2019-07-30T00:00:00"/>
    <s v="POWERPLUS CHECKING"/>
    <x v="107"/>
    <n v="7.46"/>
    <x v="8"/>
    <m/>
    <m/>
    <m/>
    <n v="7.46"/>
    <b v="0"/>
    <m/>
    <m/>
    <s v="-"/>
    <x v="107"/>
    <m/>
    <m/>
  </r>
  <r>
    <x v="0"/>
    <d v="2019-07-30T00:00:00"/>
    <s v="Cash Rewards Visa Signature"/>
    <x v="108"/>
    <n v="177.79"/>
    <x v="7"/>
    <m/>
    <m/>
    <m/>
    <n v="177.79"/>
    <b v="0"/>
    <m/>
    <m/>
    <s v="-"/>
    <x v="108"/>
    <s v="Manual"/>
    <m/>
  </r>
  <r>
    <x v="0"/>
    <d v="2019-07-30T00:00:00"/>
    <s v="Cash Rewards Visa Signature"/>
    <x v="109"/>
    <n v="33.619999999999997"/>
    <x v="1"/>
    <m/>
    <m/>
    <m/>
    <n v="33.619999999999997"/>
    <b v="0"/>
    <m/>
    <m/>
    <s v="-"/>
    <x v="109"/>
    <m/>
    <m/>
  </r>
  <r>
    <x v="0"/>
    <d v="2019-07-30T00:00:00"/>
    <s v="POWERPLUS"/>
    <x v="110"/>
    <n v="-2570.36"/>
    <x v="15"/>
    <m/>
    <m/>
    <m/>
    <n v="2570.36"/>
    <b v="0"/>
    <m/>
    <m/>
    <s v="+"/>
    <x v="110"/>
    <s v="Create Rule; and Description Like '%KAUFMAN HALL TYPE DIRECT DEP ID%';Inc - Jeff"/>
    <m/>
  </r>
  <r>
    <x v="0"/>
    <d v="2019-07-30T00:00:00"/>
    <s v="POWERPLUS CHECKING"/>
    <x v="110"/>
    <n v="-2570.36"/>
    <x v="15"/>
    <m/>
    <m/>
    <m/>
    <n v="2570.36"/>
    <b v="0"/>
    <m/>
    <m/>
    <s v=".+"/>
    <x v="110"/>
    <m/>
    <m/>
  </r>
  <r>
    <x v="0"/>
    <d v="2019-07-30T00:00:00"/>
    <s v="Cash Rewards Visa Signature"/>
    <x v="111"/>
    <n v="17.03"/>
    <x v="7"/>
    <m/>
    <m/>
    <m/>
    <n v="17.03"/>
    <b v="0"/>
    <m/>
    <m/>
    <s v="-"/>
    <x v="111"/>
    <s v="Manual"/>
    <m/>
  </r>
  <r>
    <x v="0"/>
    <d v="2019-07-30T00:00:00"/>
    <s v="Cash Rewards Visa Signature"/>
    <x v="112"/>
    <n v="28.34"/>
    <x v="2"/>
    <m/>
    <m/>
    <m/>
    <n v="28.34"/>
    <b v="0"/>
    <m/>
    <m/>
    <s v="-"/>
    <x v="112"/>
    <s v="Create Rule; and Description Like '%PENN MINNOCO%';Transportation"/>
    <m/>
  </r>
  <r>
    <x v="0"/>
    <d v="2019-07-30T00:00:00"/>
    <s v="POWERPLUS"/>
    <x v="34"/>
    <n v="160.72"/>
    <x v="12"/>
    <m/>
    <m/>
    <m/>
    <n v="160.72"/>
    <b v="0"/>
    <m/>
    <m/>
    <s v="-"/>
    <x v="34"/>
    <s v="Create Rule; and Description='Target';Target"/>
    <m/>
  </r>
  <r>
    <x v="0"/>
    <d v="2019-07-30T00:00:00"/>
    <s v="POWERPLUS CHECKING"/>
    <x v="34"/>
    <n v="160.72"/>
    <x v="12"/>
    <m/>
    <m/>
    <m/>
    <n v="160.72"/>
    <b v="0"/>
    <m/>
    <m/>
    <s v="-"/>
    <x v="34"/>
    <m/>
    <m/>
  </r>
  <r>
    <x v="0"/>
    <d v="2019-07-30T00:00:00"/>
    <s v="Cash Rewards Visa Signature"/>
    <x v="113"/>
    <n v="30"/>
    <x v="7"/>
    <m/>
    <m/>
    <m/>
    <n v="30"/>
    <b v="0"/>
    <m/>
    <m/>
    <s v="-"/>
    <x v="113"/>
    <s v="Manual"/>
    <m/>
  </r>
  <r>
    <x v="0"/>
    <d v="2019-07-30T00:00:00"/>
    <s v="POWERPLUS"/>
    <x v="29"/>
    <n v="145"/>
    <x v="7"/>
    <m/>
    <m/>
    <m/>
    <n v="145"/>
    <b v="0"/>
    <m/>
    <m/>
    <s v="-"/>
    <x v="29"/>
    <m/>
    <m/>
  </r>
  <r>
    <x v="0"/>
    <d v="2019-07-30T00:00:00"/>
    <s v="POWERPLUS CHECKING"/>
    <x v="29"/>
    <n v="145"/>
    <x v="7"/>
    <m/>
    <m/>
    <m/>
    <n v="145"/>
    <b v="0"/>
    <m/>
    <m/>
    <s v="-"/>
    <x v="29"/>
    <s v="Manual"/>
    <m/>
  </r>
  <r>
    <x v="0"/>
    <d v="2019-07-31T00:00:00"/>
    <s v="Cash Rewards Visa Signature"/>
    <x v="0"/>
    <n v="38.64"/>
    <x v="0"/>
    <m/>
    <m/>
    <m/>
    <n v="38.64"/>
    <b v="0"/>
    <m/>
    <m/>
    <s v="-"/>
    <x v="0"/>
    <m/>
    <m/>
  </r>
  <r>
    <x v="0"/>
    <d v="2019-07-31T00:00:00"/>
    <s v="Coopers Rainy Day"/>
    <x v="114"/>
    <n v="-0.02"/>
    <x v="7"/>
    <m/>
    <m/>
    <m/>
    <n v="0.02"/>
    <b v="0"/>
    <m/>
    <m/>
    <s v=".+"/>
    <x v="114"/>
    <s v="Create Rule; and Description='Apy Earned';0"/>
    <m/>
  </r>
  <r>
    <x v="0"/>
    <d v="2019-07-31T00:00:00"/>
    <s v="SHARE SAVINGS"/>
    <x v="114"/>
    <n v="-0.02"/>
    <x v="7"/>
    <m/>
    <m/>
    <m/>
    <n v="0.02"/>
    <b v="0"/>
    <m/>
    <m/>
    <s v=".+"/>
    <x v="114"/>
    <s v="Create Rule; and Description='Apy Earned';0"/>
    <m/>
  </r>
  <r>
    <x v="0"/>
    <d v="2019-07-31T00:00:00"/>
    <s v="POWERPLUS"/>
    <x v="115"/>
    <n v="-3"/>
    <x v="7"/>
    <m/>
    <m/>
    <m/>
    <n v="3"/>
    <b v="0"/>
    <m/>
    <m/>
    <s v="+"/>
    <x v="115"/>
    <m/>
    <m/>
  </r>
  <r>
    <x v="0"/>
    <d v="2019-07-31T00:00:00"/>
    <s v="POWERPLUS CHECKING"/>
    <x v="115"/>
    <n v="-3"/>
    <x v="7"/>
    <m/>
    <m/>
    <m/>
    <n v="3"/>
    <b v="0"/>
    <m/>
    <m/>
    <s v=".+"/>
    <x v="115"/>
    <s v="Manual"/>
    <m/>
  </r>
  <r>
    <x v="0"/>
    <d v="2019-07-31T00:00:00"/>
    <s v="POWERPLUS"/>
    <x v="116"/>
    <n v="275"/>
    <x v="4"/>
    <m/>
    <m/>
    <m/>
    <n v="275"/>
    <b v="0"/>
    <m/>
    <m/>
    <s v="-"/>
    <x v="116"/>
    <s v="Create Rule; and Description Like '%CCLC TYPE INTERNET ID%';Day Care"/>
    <m/>
  </r>
  <r>
    <x v="0"/>
    <d v="2019-07-31T00:00:00"/>
    <s v="POWERPLUS CHECKING"/>
    <x v="116"/>
    <n v="275"/>
    <x v="4"/>
    <m/>
    <m/>
    <m/>
    <n v="275"/>
    <b v="0"/>
    <m/>
    <m/>
    <s v="-"/>
    <x v="116"/>
    <m/>
    <m/>
  </r>
  <r>
    <x v="0"/>
    <d v="2019-07-31T00:00:00"/>
    <s v="Cash Rewards Visa Signature"/>
    <x v="6"/>
    <n v="40.72"/>
    <x v="5"/>
    <m/>
    <m/>
    <m/>
    <n v="40.72"/>
    <b v="0"/>
    <m/>
    <m/>
    <s v="-"/>
    <x v="6"/>
    <m/>
    <m/>
  </r>
  <r>
    <x v="0"/>
    <d v="2019-07-31T00:00:00"/>
    <s v="Investor Checking"/>
    <x v="117"/>
    <n v="12.99"/>
    <x v="7"/>
    <m/>
    <m/>
    <m/>
    <n v="12.99"/>
    <b v="0"/>
    <m/>
    <m/>
    <s v="-"/>
    <x v="117"/>
    <s v="Manual"/>
    <m/>
  </r>
  <r>
    <x v="0"/>
    <d v="2019-07-31T00:00:00"/>
    <s v="Investor Checking"/>
    <x v="118"/>
    <n v="-0.31"/>
    <x v="7"/>
    <m/>
    <m/>
    <m/>
    <n v="0.31"/>
    <b v="0"/>
    <m/>
    <m/>
    <s v=".+"/>
    <x v="118"/>
    <s v="Create Rule; and Description='Interest Paid';0"/>
    <m/>
  </r>
  <r>
    <x v="0"/>
    <d v="2019-07-31T00:00:00"/>
    <s v="RAINY DAY"/>
    <x v="119"/>
    <n v="-16.32"/>
    <x v="13"/>
    <m/>
    <m/>
    <m/>
    <n v="16.32"/>
    <b v="0"/>
    <m/>
    <m/>
    <s v="+"/>
    <x v="119"/>
    <s v="Create Rule; and Description='Split Rate Apy';Inc - Other"/>
    <m/>
  </r>
  <r>
    <x v="0"/>
    <d v="2019-07-31T00:00:00"/>
    <s v="POWERPLUS"/>
    <x v="119"/>
    <n v="-38.340000000000003"/>
    <x v="13"/>
    <m/>
    <m/>
    <m/>
    <n v="38.340000000000003"/>
    <b v="0"/>
    <m/>
    <m/>
    <s v="+"/>
    <x v="119"/>
    <s v="Create Rule; and Description='Split Rate Apy';Inc - Other"/>
    <m/>
  </r>
  <r>
    <x v="0"/>
    <d v="2019-07-31T00:00:00"/>
    <s v="RAINY DAY SAVINGS"/>
    <x v="119"/>
    <n v="-16.32"/>
    <x v="13"/>
    <m/>
    <m/>
    <m/>
    <n v="16.32"/>
    <b v="0"/>
    <m/>
    <m/>
    <s v=".+"/>
    <x v="119"/>
    <m/>
    <m/>
  </r>
  <r>
    <x v="0"/>
    <d v="2019-07-31T00:00:00"/>
    <s v="POWERPLUS CHECKING"/>
    <x v="119"/>
    <n v="-38.340000000000003"/>
    <x v="13"/>
    <m/>
    <m/>
    <m/>
    <n v="38.340000000000003"/>
    <b v="0"/>
    <m/>
    <m/>
    <s v=".+"/>
    <x v="119"/>
    <m/>
    <m/>
  </r>
  <r>
    <x v="0"/>
    <d v="2019-07-31T00:00:00"/>
    <s v="Cash Rewards Visa Signature"/>
    <x v="120"/>
    <n v="6.88"/>
    <x v="8"/>
    <m/>
    <m/>
    <m/>
    <n v="6.88"/>
    <b v="0"/>
    <m/>
    <m/>
    <s v="-"/>
    <x v="120"/>
    <m/>
    <m/>
  </r>
  <r>
    <x v="0"/>
    <d v="2019-07-31T00:00:00"/>
    <s v="Cash Rewards Visa Signature"/>
    <x v="120"/>
    <n v="10.65"/>
    <x v="8"/>
    <m/>
    <m/>
    <m/>
    <n v="10.65"/>
    <b v="0"/>
    <m/>
    <m/>
    <s v="-"/>
    <x v="120"/>
    <m/>
    <m/>
  </r>
  <r>
    <x v="0"/>
    <d v="2019-07-31T00:00:00"/>
    <s v="Jeff Roth"/>
    <x v="52"/>
    <n v="-211"/>
    <x v="17"/>
    <m/>
    <m/>
    <m/>
    <n v="211"/>
    <b v="0"/>
    <m/>
    <m/>
    <s v="+"/>
    <x v="52"/>
    <s v="Create Rule; and Description='Tfr JPMORGAN CHASE BAN, KAUFMAN HALL';Roth"/>
    <m/>
  </r>
  <r>
    <x v="0"/>
    <d v="2019-07-31T00:00:00"/>
    <s v="Roth Contributory IRA"/>
    <x v="52"/>
    <n v="-211"/>
    <x v="17"/>
    <m/>
    <m/>
    <m/>
    <n v="211"/>
    <b v="0"/>
    <m/>
    <m/>
    <s v=".+"/>
    <x v="52"/>
    <m/>
    <m/>
  </r>
  <r>
    <x v="0"/>
    <d v="2019-07-31T00:00:00"/>
    <s v="KAUFMAN"/>
    <x v="54"/>
    <n v="-1058.95"/>
    <x v="18"/>
    <m/>
    <m/>
    <m/>
    <n v="1058.95"/>
    <b v="0"/>
    <m/>
    <m/>
    <s v=".+"/>
    <x v="54"/>
    <m/>
    <m/>
  </r>
  <r>
    <x v="1"/>
    <d v="2019-08-01T00:00:00"/>
    <s v="POWERPLUS"/>
    <x v="121"/>
    <n v="200"/>
    <x v="9"/>
    <m/>
    <m/>
    <m/>
    <n v="200"/>
    <b v="0"/>
    <m/>
    <m/>
    <s v="-"/>
    <x v="16"/>
    <s v="Create Rule; and Description Like '%College Savings%';College Savings"/>
    <m/>
  </r>
  <r>
    <x v="1"/>
    <d v="2019-08-01T00:00:00"/>
    <s v="POWERPLUS CHECKING"/>
    <x v="121"/>
    <n v="200"/>
    <x v="9"/>
    <m/>
    <m/>
    <m/>
    <n v="200"/>
    <b v="0"/>
    <m/>
    <m/>
    <s v="-"/>
    <x v="16"/>
    <m/>
    <m/>
  </r>
  <r>
    <x v="1"/>
    <d v="2019-08-01T00:00:00"/>
    <s v="HIGHLANDER"/>
    <x v="122"/>
    <n v="-560.38"/>
    <x v="7"/>
    <m/>
    <m/>
    <m/>
    <n v="560.38"/>
    <b v="0"/>
    <m/>
    <m/>
    <s v="+"/>
    <x v="121"/>
    <m/>
    <m/>
  </r>
  <r>
    <x v="1"/>
    <d v="2019-08-01T00:00:00"/>
    <s v="2017 TOYOTA HIGHLANDER"/>
    <x v="122"/>
    <n v="-560.38"/>
    <x v="7"/>
    <m/>
    <m/>
    <m/>
    <n v="560.38"/>
    <b v="0"/>
    <m/>
    <m/>
    <s v=".+"/>
    <x v="121"/>
    <s v="Manual"/>
    <m/>
  </r>
  <r>
    <x v="1"/>
    <d v="2019-08-01T00:00:00"/>
    <s v="POWERPLUS"/>
    <x v="123"/>
    <n v="618.65"/>
    <x v="22"/>
    <m/>
    <m/>
    <m/>
    <n v="618.65"/>
    <b v="0"/>
    <m/>
    <m/>
    <s v="-"/>
    <x v="122"/>
    <s v="Create Rule; and Description Like '%To Loan 02%';Car Loan"/>
    <m/>
  </r>
  <r>
    <x v="1"/>
    <d v="2019-08-01T00:00:00"/>
    <s v="POWERPLUS CHECKING"/>
    <x v="123"/>
    <n v="618.65"/>
    <x v="22"/>
    <m/>
    <m/>
    <m/>
    <n v="618.65"/>
    <b v="0"/>
    <m/>
    <m/>
    <s v="-"/>
    <x v="122"/>
    <m/>
    <m/>
  </r>
  <r>
    <x v="1"/>
    <d v="2019-08-01T00:00:00"/>
    <s v="KAUFMAN"/>
    <x v="54"/>
    <n v="-2.14"/>
    <x v="3"/>
    <m/>
    <m/>
    <m/>
    <n v="2.14"/>
    <b v="0"/>
    <m/>
    <m/>
    <s v=".+"/>
    <x v="54"/>
    <m/>
    <m/>
  </r>
  <r>
    <x v="1"/>
    <d v="2019-08-01T00:00:00"/>
    <s v="KAUFMAN"/>
    <x v="54"/>
    <n v="29.75"/>
    <x v="3"/>
    <m/>
    <m/>
    <m/>
    <n v="29.75"/>
    <b v="0"/>
    <m/>
    <m/>
    <s v="-"/>
    <x v="54"/>
    <m/>
    <m/>
  </r>
  <r>
    <x v="1"/>
    <d v="2019-08-01T00:00:00"/>
    <s v="Cash Rewards Visa Signature"/>
    <x v="124"/>
    <n v="48.3"/>
    <x v="7"/>
    <m/>
    <m/>
    <m/>
    <n v="48.3"/>
    <b v="0"/>
    <m/>
    <m/>
    <s v="-"/>
    <x v="123"/>
    <s v="Manual"/>
    <m/>
  </r>
  <r>
    <x v="1"/>
    <d v="2019-08-02T00:00:00"/>
    <s v="Jeff"/>
    <x v="125"/>
    <n v="116.38"/>
    <x v="3"/>
    <m/>
    <m/>
    <m/>
    <n v="116.38"/>
    <b v="0"/>
    <m/>
    <m/>
    <s v="-"/>
    <x v="124"/>
    <m/>
    <m/>
  </r>
  <r>
    <x v="1"/>
    <d v="2019-08-02T00:00:00"/>
    <s v="Joint Tenant"/>
    <x v="125"/>
    <n v="116.38"/>
    <x v="3"/>
    <m/>
    <m/>
    <m/>
    <n v="116.38"/>
    <b v="0"/>
    <m/>
    <m/>
    <s v="-"/>
    <x v="124"/>
    <m/>
    <m/>
  </r>
  <r>
    <x v="1"/>
    <d v="2019-08-02T00:00:00"/>
    <s v="Jeff"/>
    <x v="126"/>
    <n v="57.8"/>
    <x v="3"/>
    <m/>
    <m/>
    <m/>
    <n v="57.8"/>
    <b v="0"/>
    <m/>
    <m/>
    <s v="-"/>
    <x v="125"/>
    <m/>
    <m/>
  </r>
  <r>
    <x v="1"/>
    <d v="2019-08-02T00:00:00"/>
    <s v="Joint Tenant"/>
    <x v="126"/>
    <n v="57.8"/>
    <x v="3"/>
    <m/>
    <m/>
    <m/>
    <n v="57.8"/>
    <b v="0"/>
    <m/>
    <m/>
    <s v="-"/>
    <x v="125"/>
    <m/>
    <m/>
  </r>
  <r>
    <x v="1"/>
    <d v="2019-08-02T00:00:00"/>
    <s v="Target Credit Card"/>
    <x v="34"/>
    <n v="11.94"/>
    <x v="12"/>
    <m/>
    <m/>
    <m/>
    <n v="11.94"/>
    <b v="0"/>
    <m/>
    <m/>
    <s v="-"/>
    <x v="34"/>
    <m/>
    <m/>
  </r>
  <r>
    <x v="1"/>
    <d v="2019-08-02T00:00:00"/>
    <s v="Cash Rewards Visa Signature"/>
    <x v="127"/>
    <n v="73.430000000000007"/>
    <x v="7"/>
    <m/>
    <m/>
    <m/>
    <n v="73.430000000000007"/>
    <b v="0"/>
    <m/>
    <m/>
    <s v="-"/>
    <x v="126"/>
    <s v="Manual"/>
    <m/>
  </r>
  <r>
    <x v="1"/>
    <d v="2019-08-04T00:00:00"/>
    <s v="Target Credit Card"/>
    <x v="128"/>
    <n v="-47.91"/>
    <x v="12"/>
    <m/>
    <m/>
    <m/>
    <n v="47.91"/>
    <b v="0"/>
    <m/>
    <m/>
    <s v=".+"/>
    <x v="127"/>
    <m/>
    <m/>
  </r>
  <r>
    <x v="1"/>
    <d v="2019-08-04T00:00:00"/>
    <s v="POWERPLUS"/>
    <x v="129"/>
    <n v="2770.79"/>
    <x v="6"/>
    <m/>
    <m/>
    <m/>
    <n v="2770.79"/>
    <b v="0"/>
    <m/>
    <m/>
    <s v="-"/>
    <x v="128"/>
    <s v="Create Rule; and Description Like '%Withdrawal Home To Loan Mortgage Payment%';Rent"/>
    <m/>
  </r>
  <r>
    <x v="1"/>
    <d v="2019-08-04T00:00:00"/>
    <s v="POWERPLUS CHECKING"/>
    <x v="129"/>
    <n v="2770.79"/>
    <x v="6"/>
    <m/>
    <m/>
    <m/>
    <n v="2770.79"/>
    <b v="0"/>
    <m/>
    <m/>
    <s v="-"/>
    <x v="128"/>
    <m/>
    <m/>
  </r>
  <r>
    <x v="1"/>
    <d v="2019-08-04T00:00:00"/>
    <s v="Cash Rewards Visa Signature"/>
    <x v="130"/>
    <n v="11.58"/>
    <x v="1"/>
    <m/>
    <m/>
    <m/>
    <n v="11.58"/>
    <b v="0"/>
    <m/>
    <m/>
    <s v="-"/>
    <x v="129"/>
    <m/>
    <m/>
  </r>
  <r>
    <x v="1"/>
    <d v="2019-08-04T00:00:00"/>
    <s v="Cash Rewards Visa Signature"/>
    <x v="131"/>
    <n v="26.82"/>
    <x v="8"/>
    <m/>
    <m/>
    <m/>
    <n v="26.82"/>
    <b v="0"/>
    <m/>
    <m/>
    <s v="-"/>
    <x v="130"/>
    <m/>
    <m/>
  </r>
  <r>
    <x v="1"/>
    <d v="2019-08-04T00:00:00"/>
    <s v="Cash Rewards Visa Signature"/>
    <x v="132"/>
    <n v="41.39"/>
    <x v="8"/>
    <m/>
    <m/>
    <m/>
    <n v="41.39"/>
    <b v="0"/>
    <m/>
    <m/>
    <s v="-"/>
    <x v="131"/>
    <m/>
    <m/>
  </r>
  <r>
    <x v="1"/>
    <d v="2019-08-04T00:00:00"/>
    <s v="Target Credit Card"/>
    <x v="34"/>
    <n v="34.67"/>
    <x v="12"/>
    <m/>
    <m/>
    <m/>
    <n v="34.67"/>
    <b v="0"/>
    <m/>
    <m/>
    <s v="-"/>
    <x v="34"/>
    <m/>
    <m/>
  </r>
  <r>
    <x v="1"/>
    <d v="2019-08-04T00:00:00"/>
    <s v="Cash Rewards Visa Signature"/>
    <x v="133"/>
    <n v="18"/>
    <x v="10"/>
    <m/>
    <m/>
    <m/>
    <n v="18"/>
    <b v="0"/>
    <m/>
    <m/>
    <s v="-"/>
    <x v="132"/>
    <m/>
    <m/>
  </r>
  <r>
    <x v="1"/>
    <d v="2019-08-05T00:00:00"/>
    <s v="30 YR FIXED"/>
    <x v="134"/>
    <n v="-2770.79"/>
    <x v="3"/>
    <m/>
    <m/>
    <m/>
    <n v="2770.79"/>
    <b v="0"/>
    <m/>
    <m/>
    <s v=".+"/>
    <x v="133"/>
    <m/>
    <m/>
  </r>
  <r>
    <x v="1"/>
    <d v="2019-08-05T00:00:00"/>
    <s v="Cash Rewards Visa Signature"/>
    <x v="59"/>
    <n v="7.37"/>
    <x v="1"/>
    <m/>
    <m/>
    <m/>
    <n v="7.37"/>
    <b v="0"/>
    <m/>
    <m/>
    <s v="-"/>
    <x v="59"/>
    <m/>
    <m/>
  </r>
  <r>
    <x v="1"/>
    <d v="2019-08-05T00:00:00"/>
    <s v="Cash Rewards Visa Signature"/>
    <x v="6"/>
    <n v="88.45"/>
    <x v="5"/>
    <m/>
    <m/>
    <m/>
    <n v="88.45"/>
    <b v="0"/>
    <m/>
    <m/>
    <s v="-"/>
    <x v="6"/>
    <m/>
    <m/>
  </r>
  <r>
    <x v="1"/>
    <d v="2019-08-05T00:00:00"/>
    <s v="Cash Rewards Visa Signature"/>
    <x v="135"/>
    <n v="27.24"/>
    <x v="1"/>
    <m/>
    <m/>
    <m/>
    <n v="27.24"/>
    <b v="0"/>
    <m/>
    <m/>
    <s v="-"/>
    <x v="134"/>
    <m/>
    <m/>
  </r>
  <r>
    <x v="1"/>
    <d v="2019-08-05T00:00:00"/>
    <s v="Cash Rewards Visa Signature"/>
    <x v="136"/>
    <n v="33.49"/>
    <x v="1"/>
    <m/>
    <m/>
    <m/>
    <n v="33.49"/>
    <b v="0"/>
    <m/>
    <m/>
    <s v="-"/>
    <x v="135"/>
    <m/>
    <m/>
  </r>
  <r>
    <x v="1"/>
    <d v="2019-08-05T00:00:00"/>
    <s v="Jeff Roth"/>
    <x v="19"/>
    <n v="150"/>
    <x v="3"/>
    <m/>
    <m/>
    <m/>
    <n v="150"/>
    <b v="0"/>
    <m/>
    <m/>
    <s v="-"/>
    <x v="19"/>
    <s v="Delete; and Description='SCHWAB S&amp;P 500 INDEX FD' and inflowoutflow='-';0"/>
    <m/>
  </r>
  <r>
    <x v="1"/>
    <d v="2019-08-05T00:00:00"/>
    <s v="Roth Contributory IRA"/>
    <x v="19"/>
    <n v="150"/>
    <x v="3"/>
    <m/>
    <m/>
    <m/>
    <n v="150"/>
    <b v="0"/>
    <m/>
    <m/>
    <s v="-"/>
    <x v="19"/>
    <s v="Delete; and Description='SCHWAB S&amp;P 500 INDEX FD' and inflowoutflow='-';0"/>
    <m/>
  </r>
  <r>
    <x v="1"/>
    <d v="2019-08-05T00:00:00"/>
    <s v="Jeff Roth"/>
    <x v="20"/>
    <n v="150"/>
    <x v="3"/>
    <m/>
    <m/>
    <m/>
    <n v="150"/>
    <b v="0"/>
    <m/>
    <m/>
    <s v="-"/>
    <x v="20"/>
    <s v="Delete; and Description='SCHWAB TOTAL STOCK MKT INDEX' and inflowoutflow='-';0"/>
    <m/>
  </r>
  <r>
    <x v="1"/>
    <d v="2019-08-05T00:00:00"/>
    <s v="Roth Contributory IRA"/>
    <x v="20"/>
    <n v="150"/>
    <x v="3"/>
    <m/>
    <m/>
    <m/>
    <n v="150"/>
    <b v="0"/>
    <m/>
    <m/>
    <s v="-"/>
    <x v="20"/>
    <m/>
    <m/>
  </r>
  <r>
    <x v="1"/>
    <d v="2019-08-05T00:00:00"/>
    <s v="Target Credit Card"/>
    <x v="34"/>
    <n v="0.01"/>
    <x v="12"/>
    <m/>
    <m/>
    <m/>
    <n v="0.01"/>
    <b v="0"/>
    <m/>
    <m/>
    <s v="-"/>
    <x v="34"/>
    <m/>
    <m/>
  </r>
  <r>
    <x v="1"/>
    <d v="2019-08-05T00:00:00"/>
    <s v="Target Credit Card"/>
    <x v="34"/>
    <n v="28.84"/>
    <x v="12"/>
    <m/>
    <m/>
    <m/>
    <n v="28.84"/>
    <b v="0"/>
    <m/>
    <m/>
    <s v="-"/>
    <x v="34"/>
    <m/>
    <m/>
  </r>
  <r>
    <x v="1"/>
    <d v="2019-08-05T00:00:00"/>
    <s v="Investor Checking"/>
    <x v="137"/>
    <n v="47.91"/>
    <x v="7"/>
    <m/>
    <m/>
    <m/>
    <n v="47.91"/>
    <b v="0"/>
    <m/>
    <m/>
    <s v="-"/>
    <x v="136"/>
    <s v="Manual"/>
    <m/>
  </r>
  <r>
    <x v="1"/>
    <d v="2019-08-05T00:00:00"/>
    <s v="Jeff"/>
    <x v="138"/>
    <n v="859.64"/>
    <x v="23"/>
    <m/>
    <m/>
    <m/>
    <n v="859.64"/>
    <b v="0"/>
    <m/>
    <m/>
    <s v="-"/>
    <x v="137"/>
    <m/>
    <m/>
  </r>
  <r>
    <x v="1"/>
    <d v="2019-08-05T00:00:00"/>
    <s v="Joint Tenant"/>
    <x v="138"/>
    <n v="859.64"/>
    <x v="3"/>
    <m/>
    <m/>
    <m/>
    <n v="859.64"/>
    <b v="0"/>
    <m/>
    <m/>
    <s v="-"/>
    <x v="137"/>
    <m/>
    <m/>
  </r>
  <r>
    <x v="1"/>
    <d v="2019-08-06T00:00:00"/>
    <s v="Discover"/>
    <x v="56"/>
    <n v="-299.23"/>
    <x v="3"/>
    <m/>
    <m/>
    <m/>
    <n v="299.23"/>
    <b v="0"/>
    <m/>
    <m/>
    <s v="+"/>
    <x v="56"/>
    <s v="Delete; and Description='INTERNET PAYMENT - THANK YOU';0"/>
    <m/>
  </r>
  <r>
    <x v="1"/>
    <d v="2019-08-06T00:00:00"/>
    <s v="Discover More Card"/>
    <x v="56"/>
    <n v="-299.23"/>
    <x v="3"/>
    <m/>
    <m/>
    <m/>
    <n v="299.23"/>
    <b v="0"/>
    <m/>
    <m/>
    <s v=".+"/>
    <x v="56"/>
    <m/>
    <m/>
  </r>
  <r>
    <x v="1"/>
    <d v="2019-08-06T00:00:00"/>
    <s v="Discover"/>
    <x v="0"/>
    <n v="92.29"/>
    <x v="0"/>
    <m/>
    <m/>
    <m/>
    <n v="92.29"/>
    <b v="0"/>
    <m/>
    <m/>
    <s v="-"/>
    <x v="0"/>
    <s v="Create Rule; and Description='Amazon';Amazon"/>
    <m/>
  </r>
  <r>
    <x v="1"/>
    <d v="2019-08-06T00:00:00"/>
    <s v="Discover More Card"/>
    <x v="0"/>
    <n v="92.29"/>
    <x v="0"/>
    <m/>
    <m/>
    <m/>
    <n v="92.29"/>
    <b v="0"/>
    <m/>
    <m/>
    <s v="-"/>
    <x v="0"/>
    <m/>
    <m/>
  </r>
  <r>
    <x v="1"/>
    <d v="2019-08-06T00:00:00"/>
    <s v="Cash Rewards Visa Signature"/>
    <x v="139"/>
    <n v="135.31"/>
    <x v="24"/>
    <m/>
    <m/>
    <m/>
    <n v="135.31"/>
    <b v="0"/>
    <m/>
    <m/>
    <s v="-"/>
    <x v="138"/>
    <m/>
    <m/>
  </r>
  <r>
    <x v="1"/>
    <d v="2019-08-06T00:00:00"/>
    <s v="Cash Rewards Visa Signature"/>
    <x v="81"/>
    <n v="34.04"/>
    <x v="2"/>
    <m/>
    <m/>
    <m/>
    <n v="34.04"/>
    <b v="0"/>
    <m/>
    <m/>
    <s v="-"/>
    <x v="81"/>
    <m/>
    <m/>
  </r>
  <r>
    <x v="1"/>
    <d v="2019-08-06T00:00:00"/>
    <s v="Investor Checking"/>
    <x v="140"/>
    <n v="8.99"/>
    <x v="3"/>
    <m/>
    <m/>
    <m/>
    <n v="8.99"/>
    <b v="0"/>
    <m/>
    <m/>
    <s v="-"/>
    <x v="139"/>
    <m/>
    <m/>
  </r>
  <r>
    <x v="1"/>
    <d v="2019-08-06T00:00:00"/>
    <s v="Jeff"/>
    <x v="141"/>
    <n v="-4.37"/>
    <x v="23"/>
    <m/>
    <m/>
    <m/>
    <n v="4.37"/>
    <b v="0"/>
    <m/>
    <m/>
    <s v=".+"/>
    <x v="140"/>
    <m/>
    <m/>
  </r>
  <r>
    <x v="1"/>
    <d v="2019-08-06T00:00:00"/>
    <s v="Joint Tenant"/>
    <x v="141"/>
    <n v="-4.37"/>
    <x v="3"/>
    <m/>
    <m/>
    <m/>
    <n v="4.37"/>
    <b v="0"/>
    <m/>
    <m/>
    <s v=".+"/>
    <x v="140"/>
    <m/>
    <m/>
  </r>
  <r>
    <x v="1"/>
    <d v="2019-08-06T00:00:00"/>
    <s v="POWERPLUS"/>
    <x v="142"/>
    <n v="104.82"/>
    <x v="11"/>
    <m/>
    <m/>
    <m/>
    <n v="104.82"/>
    <b v="0"/>
    <m/>
    <m/>
    <s v="-"/>
    <x v="141"/>
    <s v="Create Rule; and Description='Waste Management';Utilities"/>
    <m/>
  </r>
  <r>
    <x v="1"/>
    <d v="2019-08-06T00:00:00"/>
    <s v="POWERPLUS CHECKING"/>
    <x v="142"/>
    <n v="104.82"/>
    <x v="11"/>
    <m/>
    <m/>
    <m/>
    <n v="104.82"/>
    <b v="0"/>
    <m/>
    <m/>
    <s v="-"/>
    <x v="141"/>
    <m/>
    <m/>
  </r>
  <r>
    <x v="1"/>
    <d v="2019-08-06T00:00:00"/>
    <s v="POWERPLUS"/>
    <x v="30"/>
    <n v="121.65"/>
    <x v="11"/>
    <m/>
    <m/>
    <m/>
    <n v="121.65"/>
    <b v="0"/>
    <m/>
    <m/>
    <s v="-"/>
    <x v="30"/>
    <s v="Create Rule; and Description='Xcel Energy';Utilities"/>
    <m/>
  </r>
  <r>
    <x v="1"/>
    <d v="2019-08-06T00:00:00"/>
    <s v="POWERPLUS CHECKING"/>
    <x v="30"/>
    <n v="121.65"/>
    <x v="11"/>
    <m/>
    <m/>
    <m/>
    <n v="121.65"/>
    <b v="0"/>
    <m/>
    <m/>
    <s v="-"/>
    <x v="30"/>
    <m/>
    <m/>
  </r>
  <r>
    <x v="1"/>
    <d v="2019-08-07T00:00:00"/>
    <s v="POWERPLUS"/>
    <x v="143"/>
    <n v="299.23"/>
    <x v="3"/>
    <m/>
    <m/>
    <m/>
    <n v="299.23"/>
    <b v="0"/>
    <m/>
    <m/>
    <s v="-"/>
    <x v="142"/>
    <s v="Delete; and Description Like '%DISCOVER TYPE EPAYMENT%';0"/>
    <m/>
  </r>
  <r>
    <x v="1"/>
    <d v="2019-08-07T00:00:00"/>
    <s v="POWERPLUS CHECKING"/>
    <x v="143"/>
    <n v="299.23"/>
    <x v="3"/>
    <m/>
    <m/>
    <m/>
    <n v="299.23"/>
    <b v="0"/>
    <m/>
    <m/>
    <s v="-"/>
    <x v="142"/>
    <m/>
    <m/>
  </r>
  <r>
    <x v="1"/>
    <d v="2019-08-07T00:00:00"/>
    <s v="Cash Rewards Visa Signature"/>
    <x v="144"/>
    <n v="43.3"/>
    <x v="1"/>
    <m/>
    <m/>
    <m/>
    <n v="43.3"/>
    <b v="0"/>
    <m/>
    <m/>
    <s v="-"/>
    <x v="143"/>
    <m/>
    <m/>
  </r>
  <r>
    <x v="1"/>
    <d v="2019-08-07T00:00:00"/>
    <s v="Cash Rewards Visa Signature"/>
    <x v="70"/>
    <n v="41.68"/>
    <x v="5"/>
    <m/>
    <m/>
    <m/>
    <n v="41.68"/>
    <b v="0"/>
    <m/>
    <m/>
    <s v="-"/>
    <x v="70"/>
    <m/>
    <m/>
  </r>
  <r>
    <x v="1"/>
    <d v="2019-08-07T00:00:00"/>
    <s v="POWERPLUS"/>
    <x v="145"/>
    <n v="-2496.6799999999998"/>
    <x v="14"/>
    <m/>
    <m/>
    <m/>
    <n v="2496.6799999999998"/>
    <b v="0"/>
    <m/>
    <m/>
    <s v="+"/>
    <x v="144"/>
    <s v="Create Rule; and Description Like '%CARGILL COCOA TYPE DIR DEP ID%';Inc - Britney"/>
    <m/>
  </r>
  <r>
    <x v="1"/>
    <d v="2019-08-07T00:00:00"/>
    <s v="POWERPLUS CHECKING"/>
    <x v="145"/>
    <n v="-2496.6799999999998"/>
    <x v="14"/>
    <m/>
    <m/>
    <m/>
    <n v="2496.6799999999998"/>
    <b v="0"/>
    <m/>
    <m/>
    <s v=".+"/>
    <x v="144"/>
    <m/>
    <m/>
  </r>
  <r>
    <x v="1"/>
    <d v="2019-08-07T00:00:00"/>
    <s v="POWERPLUS"/>
    <x v="146"/>
    <n v="275"/>
    <x v="4"/>
    <m/>
    <m/>
    <m/>
    <n v="275"/>
    <b v="0"/>
    <m/>
    <m/>
    <s v="-"/>
    <x v="145"/>
    <s v="Create Rule; and Description Like '%CCLC TYPE INTERNET ID%';Day Care"/>
    <m/>
  </r>
  <r>
    <x v="1"/>
    <d v="2019-08-07T00:00:00"/>
    <s v="POWERPLUS CHECKING"/>
    <x v="146"/>
    <n v="275"/>
    <x v="4"/>
    <m/>
    <m/>
    <m/>
    <n v="275"/>
    <b v="0"/>
    <m/>
    <m/>
    <s v="-"/>
    <x v="145"/>
    <m/>
    <m/>
  </r>
  <r>
    <x v="1"/>
    <d v="2019-08-07T00:00:00"/>
    <s v="POWERPLUS"/>
    <x v="147"/>
    <n v="46.9"/>
    <x v="11"/>
    <m/>
    <m/>
    <m/>
    <n v="46.9"/>
    <b v="0"/>
    <m/>
    <m/>
    <s v="-"/>
    <x v="146"/>
    <s v="Create Rule; and Description='CPENERGY MNGCO TYPE MGC ACH EB ID 176051140S CO CPENERGY MNGCO ACH ECC WEB ACH Trace 49868 241622913';Utilities"/>
    <m/>
  </r>
  <r>
    <x v="1"/>
    <d v="2019-08-07T00:00:00"/>
    <s v="POWERPLUS CHECKING"/>
    <x v="147"/>
    <n v="46.9"/>
    <x v="11"/>
    <m/>
    <m/>
    <m/>
    <n v="46.9"/>
    <b v="0"/>
    <m/>
    <m/>
    <s v="-"/>
    <x v="146"/>
    <m/>
    <m/>
  </r>
  <r>
    <x v="1"/>
    <d v="2019-08-07T00:00:00"/>
    <s v="Jeff"/>
    <x v="148"/>
    <n v="-13.26"/>
    <x v="19"/>
    <m/>
    <m/>
    <m/>
    <n v="13.26"/>
    <b v="0"/>
    <m/>
    <m/>
    <s v=".+"/>
    <x v="147"/>
    <m/>
    <m/>
  </r>
  <r>
    <x v="1"/>
    <d v="2019-08-07T00:00:00"/>
    <s v="Joint Tenant"/>
    <x v="148"/>
    <n v="-13.26"/>
    <x v="3"/>
    <m/>
    <m/>
    <m/>
    <n v="13.26"/>
    <b v="0"/>
    <m/>
    <m/>
    <s v=".+"/>
    <x v="147"/>
    <m/>
    <m/>
  </r>
  <r>
    <x v="1"/>
    <d v="2019-08-07T00:00:00"/>
    <s v="Jeff"/>
    <x v="141"/>
    <n v="4.37"/>
    <x v="23"/>
    <m/>
    <m/>
    <m/>
    <n v="4.37"/>
    <b v="0"/>
    <m/>
    <m/>
    <s v="-"/>
    <x v="140"/>
    <m/>
    <m/>
  </r>
  <r>
    <x v="1"/>
    <d v="2019-08-07T00:00:00"/>
    <s v="Joint Tenant"/>
    <x v="141"/>
    <n v="4.37"/>
    <x v="3"/>
    <m/>
    <m/>
    <m/>
    <n v="4.37"/>
    <b v="0"/>
    <m/>
    <m/>
    <s v="-"/>
    <x v="140"/>
    <m/>
    <m/>
  </r>
  <r>
    <x v="1"/>
    <d v="2019-08-08T00:00:00"/>
    <s v="POWERPLUS"/>
    <x v="35"/>
    <n v="-61.3"/>
    <x v="13"/>
    <m/>
    <m/>
    <m/>
    <n v="61.3"/>
    <b v="0"/>
    <m/>
    <m/>
    <s v="+"/>
    <x v="35"/>
    <s v="Create Rule; and Description='Cargill Incorpor Type';Inc - Other"/>
    <m/>
  </r>
  <r>
    <x v="1"/>
    <d v="2019-08-08T00:00:00"/>
    <s v="POWERPLUS CHECKING"/>
    <x v="35"/>
    <n v="-61.3"/>
    <x v="13"/>
    <m/>
    <m/>
    <m/>
    <n v="61.3"/>
    <b v="0"/>
    <m/>
    <m/>
    <s v=".+"/>
    <x v="35"/>
    <m/>
    <m/>
  </r>
  <r>
    <x v="1"/>
    <d v="2019-08-08T00:00:00"/>
    <s v="Discover"/>
    <x v="149"/>
    <n v="13.94"/>
    <x v="1"/>
    <m/>
    <m/>
    <m/>
    <n v="13.94"/>
    <b v="0"/>
    <m/>
    <m/>
    <s v="-"/>
    <x v="148"/>
    <s v="Create Rule; and Description Like '%LEVELUP*ROTIMODERNMEDI%';Restaurants"/>
    <m/>
  </r>
  <r>
    <x v="1"/>
    <d v="2019-08-08T00:00:00"/>
    <s v="Discover More Card"/>
    <x v="149"/>
    <n v="13.94"/>
    <x v="1"/>
    <m/>
    <m/>
    <m/>
    <n v="13.94"/>
    <b v="0"/>
    <m/>
    <m/>
    <s v="-"/>
    <x v="148"/>
    <m/>
    <m/>
  </r>
  <r>
    <x v="1"/>
    <d v="2019-08-08T00:00:00"/>
    <s v="Jeff"/>
    <x v="148"/>
    <n v="13.26"/>
    <x v="19"/>
    <m/>
    <m/>
    <m/>
    <n v="13.26"/>
    <b v="0"/>
    <m/>
    <m/>
    <s v="-"/>
    <x v="147"/>
    <m/>
    <m/>
  </r>
  <r>
    <x v="1"/>
    <d v="2019-08-08T00:00:00"/>
    <s v="Joint Tenant"/>
    <x v="148"/>
    <n v="13.26"/>
    <x v="3"/>
    <m/>
    <m/>
    <m/>
    <n v="13.26"/>
    <b v="0"/>
    <m/>
    <m/>
    <s v="-"/>
    <x v="147"/>
    <m/>
    <m/>
  </r>
  <r>
    <x v="1"/>
    <d v="2019-08-08T00:00:00"/>
    <s v="Cash Rewards Visa Signature"/>
    <x v="150"/>
    <n v="8.57"/>
    <x v="8"/>
    <m/>
    <m/>
    <m/>
    <n v="8.57"/>
    <b v="0"/>
    <m/>
    <m/>
    <s v="-"/>
    <x v="149"/>
    <m/>
    <m/>
  </r>
  <r>
    <x v="1"/>
    <d v="2019-08-09T00:00:00"/>
    <s v="Investor Checking"/>
    <x v="151"/>
    <n v="7.43"/>
    <x v="3"/>
    <m/>
    <m/>
    <m/>
    <n v="7.43"/>
    <b v="0"/>
    <m/>
    <m/>
    <s v="-"/>
    <x v="150"/>
    <m/>
    <m/>
  </r>
  <r>
    <x v="1"/>
    <d v="2019-08-09T00:00:00"/>
    <s v="Roth Contributory IRA"/>
    <x v="51"/>
    <n v="-150"/>
    <x v="17"/>
    <m/>
    <m/>
    <m/>
    <n v="150"/>
    <b v="0"/>
    <m/>
    <m/>
    <s v=".+"/>
    <x v="51"/>
    <m/>
    <m/>
  </r>
  <r>
    <x v="1"/>
    <d v="2019-08-11T00:00:00"/>
    <s v="Cash Rewards Visa Signature"/>
    <x v="152"/>
    <n v="27.6"/>
    <x v="1"/>
    <m/>
    <m/>
    <m/>
    <n v="27.6"/>
    <b v="0"/>
    <m/>
    <m/>
    <s v="-"/>
    <x v="151"/>
    <m/>
    <m/>
  </r>
  <r>
    <x v="1"/>
    <d v="2019-08-11T00:00:00"/>
    <s v="Cash Rewards Visa Signature"/>
    <x v="100"/>
    <n v="99.74"/>
    <x v="5"/>
    <m/>
    <m/>
    <m/>
    <n v="99.74"/>
    <b v="0"/>
    <m/>
    <m/>
    <s v="-"/>
    <x v="100"/>
    <m/>
    <m/>
  </r>
  <r>
    <x v="1"/>
    <d v="2019-08-12T00:00:00"/>
    <s v="Target Credit Card"/>
    <x v="153"/>
    <n v="-63.52"/>
    <x v="3"/>
    <m/>
    <m/>
    <m/>
    <n v="63.52"/>
    <b v="0"/>
    <m/>
    <m/>
    <s v=".+"/>
    <x v="152"/>
    <m/>
    <m/>
  </r>
  <r>
    <x v="1"/>
    <d v="2019-08-12T00:00:00"/>
    <s v="Target Credit Card"/>
    <x v="154"/>
    <n v="93.33"/>
    <x v="8"/>
    <m/>
    <m/>
    <m/>
    <n v="93.33"/>
    <b v="0"/>
    <m/>
    <m/>
    <s v="-"/>
    <x v="153"/>
    <m/>
    <m/>
  </r>
  <r>
    <x v="1"/>
    <d v="2019-08-12T00:00:00"/>
    <s v="Target Credit Card"/>
    <x v="155"/>
    <n v="-7.13"/>
    <x v="8"/>
    <m/>
    <m/>
    <m/>
    <n v="7.13"/>
    <b v="0"/>
    <m/>
    <m/>
    <s v=".+"/>
    <x v="154"/>
    <m/>
    <m/>
  </r>
  <r>
    <x v="1"/>
    <d v="2019-08-12T00:00:00"/>
    <s v="POWERPLUS"/>
    <x v="156"/>
    <n v="-0.12"/>
    <x v="3"/>
    <m/>
    <m/>
    <m/>
    <n v="0.12"/>
    <b v="0"/>
    <m/>
    <m/>
    <s v="+"/>
    <x v="155"/>
    <s v="Delete; and Description='Type Verifybank Id';0"/>
    <m/>
  </r>
  <r>
    <x v="1"/>
    <d v="2019-08-12T00:00:00"/>
    <s v="POWERPLUS CHECKING"/>
    <x v="156"/>
    <n v="-0.12"/>
    <x v="3"/>
    <m/>
    <m/>
    <m/>
    <n v="0.12"/>
    <b v="0"/>
    <m/>
    <m/>
    <s v=".+"/>
    <x v="155"/>
    <m/>
    <m/>
  </r>
  <r>
    <x v="1"/>
    <d v="2019-08-13T00:00:00"/>
    <s v="POWERPLUS"/>
    <x v="157"/>
    <n v="0.12"/>
    <x v="8"/>
    <m/>
    <m/>
    <m/>
    <n v="0.12"/>
    <b v="0"/>
    <m/>
    <m/>
    <s v="-"/>
    <x v="156"/>
    <s v="Create Rule; and Description Like '%PayPal%';Shopping"/>
    <m/>
  </r>
  <r>
    <x v="1"/>
    <d v="2019-08-13T00:00:00"/>
    <s v="POWERPLUS CHECKING"/>
    <x v="157"/>
    <n v="0.12"/>
    <x v="8"/>
    <m/>
    <m/>
    <m/>
    <n v="0.12"/>
    <b v="0"/>
    <m/>
    <m/>
    <s v="-"/>
    <x v="156"/>
    <m/>
    <m/>
  </r>
  <r>
    <x v="1"/>
    <d v="2019-08-13T00:00:00"/>
    <s v="POWERPLUS"/>
    <x v="34"/>
    <n v="63.52"/>
    <x v="12"/>
    <m/>
    <m/>
    <m/>
    <n v="63.52"/>
    <b v="0"/>
    <m/>
    <m/>
    <s v="-"/>
    <x v="34"/>
    <s v="Create Rule; and Description='Target';Target"/>
    <m/>
  </r>
  <r>
    <x v="1"/>
    <d v="2019-08-13T00:00:00"/>
    <s v="POWERPLUS CHECKING"/>
    <x v="34"/>
    <n v="63.52"/>
    <x v="12"/>
    <m/>
    <m/>
    <m/>
    <n v="63.52"/>
    <b v="0"/>
    <m/>
    <m/>
    <s v="-"/>
    <x v="34"/>
    <m/>
    <m/>
  </r>
  <r>
    <x v="1"/>
    <d v="2019-08-13T00:00:00"/>
    <s v="POWERPLUS"/>
    <x v="158"/>
    <n v="-183.46"/>
    <x v="7"/>
    <m/>
    <m/>
    <m/>
    <n v="183.46"/>
    <b v="0"/>
    <m/>
    <m/>
    <s v="+"/>
    <x v="157"/>
    <m/>
    <m/>
  </r>
  <r>
    <x v="1"/>
    <d v="2019-08-13T00:00:00"/>
    <s v="POWERPLUS CHECKING"/>
    <x v="158"/>
    <n v="-183.46"/>
    <x v="13"/>
    <m/>
    <m/>
    <m/>
    <n v="183.46"/>
    <b v="0"/>
    <m/>
    <m/>
    <s v=".+"/>
    <x v="157"/>
    <m/>
    <m/>
  </r>
  <r>
    <x v="1"/>
    <d v="2019-08-13T00:00:00"/>
    <s v="Cash Rewards Visa Signature"/>
    <x v="159"/>
    <n v="183.46"/>
    <x v="3"/>
    <m/>
    <m/>
    <m/>
    <n v="183.46"/>
    <b v="0"/>
    <m/>
    <m/>
    <s v="-"/>
    <x v="158"/>
    <m/>
    <m/>
  </r>
  <r>
    <x v="1"/>
    <d v="2019-08-13T00:00:00"/>
    <s v="POWERPLUS"/>
    <x v="160"/>
    <n v="203"/>
    <x v="7"/>
    <m/>
    <m/>
    <m/>
    <n v="203"/>
    <b v="0"/>
    <m/>
    <m/>
    <s v="-"/>
    <x v="159"/>
    <m/>
    <m/>
  </r>
  <r>
    <x v="1"/>
    <d v="2019-08-13T00:00:00"/>
    <s v="POWERPLUS CHECKING"/>
    <x v="160"/>
    <n v="203"/>
    <x v="10"/>
    <m/>
    <m/>
    <m/>
    <n v="203"/>
    <b v="0"/>
    <m/>
    <m/>
    <s v="-"/>
    <x v="159"/>
    <m/>
    <m/>
  </r>
  <r>
    <x v="1"/>
    <d v="2019-08-13T00:00:00"/>
    <s v="POWERPLUS"/>
    <x v="29"/>
    <n v="130"/>
    <x v="7"/>
    <m/>
    <m/>
    <m/>
    <n v="130"/>
    <b v="0"/>
    <m/>
    <m/>
    <s v="-"/>
    <x v="29"/>
    <m/>
    <m/>
  </r>
  <r>
    <x v="1"/>
    <d v="2019-08-13T00:00:00"/>
    <s v="POWERPLUS CHECKING"/>
    <x v="29"/>
    <n v="130"/>
    <x v="8"/>
    <m/>
    <m/>
    <m/>
    <n v="130"/>
    <b v="0"/>
    <m/>
    <m/>
    <s v="-"/>
    <x v="29"/>
    <m/>
    <m/>
  </r>
  <r>
    <x v="1"/>
    <d v="2019-08-14T00:00:00"/>
    <s v="POWERPLUS"/>
    <x v="48"/>
    <n v="99.03"/>
    <x v="16"/>
    <m/>
    <m/>
    <m/>
    <n v="99.03"/>
    <b v="0"/>
    <m/>
    <m/>
    <s v="-"/>
    <x v="48"/>
    <s v="Create Rule; and Description='American Family Insurance';Insurance"/>
    <m/>
  </r>
  <r>
    <x v="1"/>
    <d v="2019-08-14T00:00:00"/>
    <s v="POWERPLUS CHECKING"/>
    <x v="48"/>
    <n v="99.03"/>
    <x v="16"/>
    <m/>
    <m/>
    <m/>
    <n v="99.03"/>
    <b v="0"/>
    <m/>
    <m/>
    <s v="-"/>
    <x v="48"/>
    <m/>
    <m/>
  </r>
  <r>
    <x v="1"/>
    <d v="2019-08-14T00:00:00"/>
    <s v="Discover"/>
    <x v="161"/>
    <n v="6.86"/>
    <x v="1"/>
    <m/>
    <m/>
    <m/>
    <n v="6.86"/>
    <b v="0"/>
    <m/>
    <m/>
    <s v="-"/>
    <x v="160"/>
    <s v="Create Rule; and Description Like '%CARGILL CAF%';Restaurants"/>
    <m/>
  </r>
  <r>
    <x v="1"/>
    <d v="2019-08-14T00:00:00"/>
    <s v="Discover More Card"/>
    <x v="161"/>
    <n v="6.86"/>
    <x v="1"/>
    <m/>
    <m/>
    <m/>
    <n v="6.86"/>
    <b v="0"/>
    <m/>
    <m/>
    <s v="-"/>
    <x v="160"/>
    <m/>
    <m/>
  </r>
  <r>
    <x v="1"/>
    <d v="2019-08-14T00:00:00"/>
    <s v="POWERPLUS"/>
    <x v="162"/>
    <n v="220"/>
    <x v="4"/>
    <m/>
    <m/>
    <m/>
    <n v="220"/>
    <b v="0"/>
    <m/>
    <m/>
    <s v="-"/>
    <x v="161"/>
    <s v="Create Rule; and Description Like '%CCLC TYPE INTERNET ID%';Day Care"/>
    <m/>
  </r>
  <r>
    <x v="1"/>
    <d v="2019-08-14T00:00:00"/>
    <s v="POWERPLUS CHECKING"/>
    <x v="162"/>
    <n v="220"/>
    <x v="4"/>
    <m/>
    <m/>
    <m/>
    <n v="220"/>
    <b v="0"/>
    <m/>
    <m/>
    <s v="-"/>
    <x v="161"/>
    <m/>
    <m/>
  </r>
  <r>
    <x v="1"/>
    <d v="2019-08-14T00:00:00"/>
    <s v="Cash Rewards Visa Signature"/>
    <x v="68"/>
    <n v="18"/>
    <x v="10"/>
    <m/>
    <m/>
    <m/>
    <n v="18"/>
    <b v="0"/>
    <m/>
    <m/>
    <s v="-"/>
    <x v="68"/>
    <m/>
    <m/>
  </r>
  <r>
    <x v="1"/>
    <d v="2019-08-14T00:00:00"/>
    <s v="Jeff"/>
    <x v="19"/>
    <n v="500"/>
    <x v="3"/>
    <m/>
    <m/>
    <m/>
    <n v="500"/>
    <b v="0"/>
    <m/>
    <m/>
    <s v="-"/>
    <x v="19"/>
    <s v="Delete; and Description='SCHWAB S&amp;P 500 INDEX FD' and inflowoutflow='-';0"/>
    <m/>
  </r>
  <r>
    <x v="1"/>
    <d v="2019-08-14T00:00:00"/>
    <s v="Joint Tenant"/>
    <x v="19"/>
    <n v="500"/>
    <x v="3"/>
    <m/>
    <m/>
    <m/>
    <n v="500"/>
    <b v="0"/>
    <m/>
    <m/>
    <s v="-"/>
    <x v="19"/>
    <m/>
    <m/>
  </r>
  <r>
    <x v="1"/>
    <d v="2019-08-14T00:00:00"/>
    <s v="Cash Rewards Visa Signature"/>
    <x v="3"/>
    <n v="-1480.64"/>
    <x v="3"/>
    <m/>
    <m/>
    <m/>
    <n v="1480.64"/>
    <b v="0"/>
    <m/>
    <m/>
    <s v=".+"/>
    <x v="3"/>
    <m/>
    <m/>
  </r>
  <r>
    <x v="1"/>
    <d v="2019-08-14T00:00:00"/>
    <s v="POWERPLUS"/>
    <x v="4"/>
    <n v="1480.64"/>
    <x v="3"/>
    <m/>
    <m/>
    <m/>
    <n v="1480.64"/>
    <b v="0"/>
    <m/>
    <m/>
    <s v="-"/>
    <x v="4"/>
    <s v="Delete; and Description Like '%Transfer to Cash Rewards Visa Signature%';0"/>
    <m/>
  </r>
  <r>
    <x v="1"/>
    <d v="2019-08-14T00:00:00"/>
    <s v="POWERPLUS CHECKING"/>
    <x v="4"/>
    <n v="1480.64"/>
    <x v="3"/>
    <m/>
    <m/>
    <m/>
    <n v="1480.64"/>
    <b v="0"/>
    <m/>
    <m/>
    <s v="-"/>
    <x v="4"/>
    <m/>
    <m/>
  </r>
  <r>
    <x v="1"/>
    <d v="2019-08-14T00:00:00"/>
    <s v="POWERPLUS"/>
    <x v="29"/>
    <n v="26"/>
    <x v="7"/>
    <m/>
    <m/>
    <m/>
    <n v="26"/>
    <b v="0"/>
    <m/>
    <m/>
    <s v="-"/>
    <x v="29"/>
    <m/>
    <m/>
  </r>
  <r>
    <x v="1"/>
    <d v="2019-08-14T00:00:00"/>
    <s v="POWERPLUS CHECKING"/>
    <x v="29"/>
    <n v="26"/>
    <x v="8"/>
    <m/>
    <m/>
    <m/>
    <n v="26"/>
    <b v="0"/>
    <m/>
    <m/>
    <s v="-"/>
    <x v="29"/>
    <m/>
    <m/>
  </r>
  <r>
    <x v="1"/>
    <d v="2019-08-14T00:00:00"/>
    <s v="POWERPLUS"/>
    <x v="163"/>
    <n v="14766"/>
    <x v="7"/>
    <m/>
    <m/>
    <m/>
    <n v="14766"/>
    <b v="0"/>
    <m/>
    <m/>
    <s v="-"/>
    <x v="162"/>
    <m/>
    <m/>
  </r>
  <r>
    <x v="1"/>
    <d v="2019-08-14T00:00:00"/>
    <s v="POWERPLUS CHECKING"/>
    <x v="163"/>
    <n v="14766"/>
    <x v="3"/>
    <m/>
    <m/>
    <m/>
    <n v="14766"/>
    <b v="0"/>
    <m/>
    <m/>
    <s v="-"/>
    <x v="162"/>
    <m/>
    <m/>
  </r>
  <r>
    <x v="1"/>
    <d v="2019-08-15T00:00:00"/>
    <s v="Investor Checking"/>
    <x v="164"/>
    <n v="-14766"/>
    <x v="3"/>
    <m/>
    <m/>
    <m/>
    <n v="14766"/>
    <b v="0"/>
    <m/>
    <m/>
    <s v=".+"/>
    <x v="163"/>
    <m/>
    <m/>
  </r>
  <r>
    <x v="1"/>
    <d v="2019-08-15T00:00:00"/>
    <s v="Jeff"/>
    <x v="165"/>
    <n v="-42.52"/>
    <x v="23"/>
    <m/>
    <m/>
    <m/>
    <n v="42.52"/>
    <b v="0"/>
    <m/>
    <m/>
    <s v=".+"/>
    <x v="164"/>
    <m/>
    <m/>
  </r>
  <r>
    <x v="1"/>
    <d v="2019-08-15T00:00:00"/>
    <s v="Joint Tenant"/>
    <x v="165"/>
    <n v="-42.52"/>
    <x v="3"/>
    <m/>
    <m/>
    <m/>
    <n v="42.52"/>
    <b v="0"/>
    <m/>
    <m/>
    <s v=".+"/>
    <x v="164"/>
    <m/>
    <m/>
  </r>
  <r>
    <x v="1"/>
    <d v="2019-08-15T00:00:00"/>
    <s v="Discover"/>
    <x v="166"/>
    <n v="28.33"/>
    <x v="1"/>
    <m/>
    <m/>
    <m/>
    <n v="28.33"/>
    <b v="0"/>
    <m/>
    <m/>
    <s v="-"/>
    <x v="165"/>
    <s v="Create Rule; and Description Like '%CARGILL PRO%';Restaurants"/>
    <m/>
  </r>
  <r>
    <x v="1"/>
    <d v="2019-08-15T00:00:00"/>
    <s v="Discover More Card"/>
    <x v="166"/>
    <n v="28.33"/>
    <x v="1"/>
    <m/>
    <m/>
    <m/>
    <n v="28.33"/>
    <b v="0"/>
    <m/>
    <m/>
    <s v="-"/>
    <x v="165"/>
    <m/>
    <m/>
  </r>
  <r>
    <x v="1"/>
    <d v="2019-08-15T00:00:00"/>
    <s v="Jeff"/>
    <x v="167"/>
    <n v="-200"/>
    <x v="21"/>
    <m/>
    <m/>
    <m/>
    <n v="200"/>
    <b v="0"/>
    <m/>
    <m/>
    <s v=".+"/>
    <x v="166"/>
    <m/>
    <m/>
  </r>
  <r>
    <x v="1"/>
    <d v="2019-08-15T00:00:00"/>
    <s v="Joint Tenant"/>
    <x v="167"/>
    <n v="-200"/>
    <x v="3"/>
    <m/>
    <m/>
    <m/>
    <n v="200"/>
    <b v="0"/>
    <m/>
    <m/>
    <s v=".+"/>
    <x v="166"/>
    <m/>
    <m/>
  </r>
  <r>
    <x v="1"/>
    <d v="2019-08-15T00:00:00"/>
    <s v="POWERPLUS"/>
    <x v="168"/>
    <n v="-2570.35"/>
    <x v="15"/>
    <m/>
    <m/>
    <m/>
    <n v="2570.35"/>
    <b v="0"/>
    <m/>
    <m/>
    <s v="+"/>
    <x v="167"/>
    <s v="Create Rule; and Description Like '%KAUFMAN HALL TYPE DIRECT DEP ID%';Inc - Jeff"/>
    <m/>
  </r>
  <r>
    <x v="1"/>
    <d v="2019-08-15T00:00:00"/>
    <s v="POWERPLUS CHECKING"/>
    <x v="168"/>
    <n v="-2570.35"/>
    <x v="15"/>
    <m/>
    <m/>
    <m/>
    <n v="2570.35"/>
    <b v="0"/>
    <m/>
    <m/>
    <s v=".+"/>
    <x v="167"/>
    <m/>
    <m/>
  </r>
  <r>
    <x v="1"/>
    <d v="2019-08-15T00:00:00"/>
    <s v="Jeff"/>
    <x v="169"/>
    <n v="-28.39"/>
    <x v="23"/>
    <m/>
    <m/>
    <m/>
    <n v="28.39"/>
    <b v="0"/>
    <m/>
    <m/>
    <s v=".+"/>
    <x v="168"/>
    <m/>
    <m/>
  </r>
  <r>
    <x v="1"/>
    <d v="2019-08-15T00:00:00"/>
    <s v="Joint Tenant"/>
    <x v="169"/>
    <n v="-28.39"/>
    <x v="3"/>
    <m/>
    <m/>
    <m/>
    <n v="28.39"/>
    <b v="0"/>
    <m/>
    <m/>
    <s v=".+"/>
    <x v="168"/>
    <m/>
    <m/>
  </r>
  <r>
    <x v="1"/>
    <d v="2019-08-15T00:00:00"/>
    <s v="Jeff Roth"/>
    <x v="52"/>
    <n v="-211"/>
    <x v="17"/>
    <m/>
    <m/>
    <m/>
    <n v="211"/>
    <b v="0"/>
    <m/>
    <m/>
    <s v="+"/>
    <x v="52"/>
    <s v="Create Rule; and Description='Tfr JPMORGAN CHASE BAN, KAUFMAN HALL';Roth"/>
    <m/>
  </r>
  <r>
    <x v="1"/>
    <d v="2019-08-15T00:00:00"/>
    <s v="Roth Contributory IRA"/>
    <x v="52"/>
    <n v="-211"/>
    <x v="17"/>
    <m/>
    <m/>
    <m/>
    <n v="211"/>
    <b v="0"/>
    <m/>
    <m/>
    <s v=".+"/>
    <x v="52"/>
    <m/>
    <m/>
  </r>
  <r>
    <x v="1"/>
    <d v="2019-08-15T00:00:00"/>
    <s v="KAUFMAN"/>
    <x v="54"/>
    <n v="-1058.95"/>
    <x v="18"/>
    <m/>
    <m/>
    <m/>
    <n v="1058.95"/>
    <b v="0"/>
    <m/>
    <m/>
    <s v=".+"/>
    <x v="54"/>
    <m/>
    <m/>
  </r>
  <r>
    <x v="1"/>
    <d v="2019-08-16T00:00:00"/>
    <s v="Jeff"/>
    <x v="165"/>
    <n v="42.52"/>
    <x v="23"/>
    <m/>
    <m/>
    <m/>
    <n v="42.52"/>
    <b v="0"/>
    <m/>
    <m/>
    <s v="-"/>
    <x v="164"/>
    <m/>
    <m/>
  </r>
  <r>
    <x v="1"/>
    <d v="2019-08-16T00:00:00"/>
    <s v="Joint Tenant"/>
    <x v="165"/>
    <n v="42.52"/>
    <x v="3"/>
    <m/>
    <m/>
    <m/>
    <n v="42.52"/>
    <b v="0"/>
    <m/>
    <m/>
    <s v="-"/>
    <x v="164"/>
    <m/>
    <m/>
  </r>
  <r>
    <x v="1"/>
    <d v="2019-08-16T00:00:00"/>
    <s v="Jeff Roth"/>
    <x v="170"/>
    <n v="-0.19"/>
    <x v="7"/>
    <m/>
    <m/>
    <m/>
    <n v="0.19"/>
    <b v="0"/>
    <m/>
    <m/>
    <s v="+"/>
    <x v="169"/>
    <m/>
    <m/>
  </r>
  <r>
    <x v="1"/>
    <d v="2019-08-16T00:00:00"/>
    <s v="Roth Contributory IRA"/>
    <x v="170"/>
    <n v="-0.32"/>
    <x v="3"/>
    <m/>
    <m/>
    <m/>
    <n v="0.32"/>
    <b v="0"/>
    <m/>
    <m/>
    <s v=".+"/>
    <x v="169"/>
    <m/>
    <m/>
  </r>
  <r>
    <x v="1"/>
    <d v="2019-08-16T00:00:00"/>
    <s v="Cash Rewards Visa Signature"/>
    <x v="67"/>
    <n v="45"/>
    <x v="11"/>
    <m/>
    <m/>
    <m/>
    <n v="45"/>
    <b v="0"/>
    <m/>
    <m/>
    <s v="-"/>
    <x v="67"/>
    <m/>
    <m/>
  </r>
  <r>
    <x v="1"/>
    <d v="2019-08-16T00:00:00"/>
    <s v="Investor Checking"/>
    <x v="171"/>
    <n v="35.99"/>
    <x v="3"/>
    <m/>
    <m/>
    <m/>
    <n v="35.99"/>
    <b v="0"/>
    <m/>
    <m/>
    <s v="-"/>
    <x v="170"/>
    <m/>
    <m/>
  </r>
  <r>
    <x v="1"/>
    <d v="2019-08-16T00:00:00"/>
    <s v="Cash Rewards Visa Signature"/>
    <x v="130"/>
    <n v="9"/>
    <x v="1"/>
    <m/>
    <m/>
    <m/>
    <n v="9"/>
    <b v="0"/>
    <m/>
    <m/>
    <s v="-"/>
    <x v="129"/>
    <m/>
    <m/>
  </r>
  <r>
    <x v="1"/>
    <d v="2019-08-16T00:00:00"/>
    <s v="Jeff"/>
    <x v="169"/>
    <n v="28.39"/>
    <x v="23"/>
    <m/>
    <m/>
    <m/>
    <n v="28.39"/>
    <b v="0"/>
    <m/>
    <m/>
    <s v="-"/>
    <x v="168"/>
    <m/>
    <m/>
  </r>
  <r>
    <x v="1"/>
    <d v="2019-08-16T00:00:00"/>
    <s v="Joint Tenant"/>
    <x v="169"/>
    <n v="28.39"/>
    <x v="3"/>
    <m/>
    <m/>
    <m/>
    <n v="28.39"/>
    <b v="0"/>
    <m/>
    <m/>
    <s v="-"/>
    <x v="168"/>
    <m/>
    <m/>
  </r>
  <r>
    <x v="1"/>
    <d v="2019-08-16T00:00:00"/>
    <s v="Cash Rewards Visa Signature"/>
    <x v="172"/>
    <n v="431.25"/>
    <x v="25"/>
    <m/>
    <m/>
    <m/>
    <n v="431.25"/>
    <b v="0"/>
    <m/>
    <m/>
    <s v="-"/>
    <x v="171"/>
    <m/>
    <m/>
  </r>
  <r>
    <x v="1"/>
    <d v="2019-08-17T00:00:00"/>
    <s v="Discover"/>
    <x v="173"/>
    <n v="107.27"/>
    <x v="1"/>
    <m/>
    <m/>
    <m/>
    <n v="107.27"/>
    <b v="0"/>
    <m/>
    <m/>
    <s v="-"/>
    <x v="172"/>
    <s v="Create Rule; and Description='Cast &amp; Cru';Restaurants"/>
    <m/>
  </r>
  <r>
    <x v="1"/>
    <d v="2019-08-17T00:00:00"/>
    <s v="Discover More Card"/>
    <x v="173"/>
    <n v="107.27"/>
    <x v="1"/>
    <m/>
    <m/>
    <m/>
    <n v="107.27"/>
    <b v="0"/>
    <m/>
    <m/>
    <s v="-"/>
    <x v="172"/>
    <m/>
    <m/>
  </r>
  <r>
    <x v="1"/>
    <d v="2019-08-18T00:00:00"/>
    <s v="Cash Rewards Visa Signature"/>
    <x v="174"/>
    <n v="28.1"/>
    <x v="2"/>
    <m/>
    <m/>
    <m/>
    <n v="28.1"/>
    <b v="0"/>
    <m/>
    <m/>
    <s v="-"/>
    <x v="173"/>
    <m/>
    <m/>
  </r>
  <r>
    <x v="1"/>
    <d v="2019-08-18T00:00:00"/>
    <s v="Cash Rewards Visa Signature"/>
    <x v="70"/>
    <n v="168.23"/>
    <x v="5"/>
    <m/>
    <m/>
    <m/>
    <n v="168.23"/>
    <b v="0"/>
    <m/>
    <m/>
    <s v="-"/>
    <x v="70"/>
    <m/>
    <m/>
  </r>
  <r>
    <x v="1"/>
    <d v="2019-08-18T00:00:00"/>
    <s v="Cash Rewards Visa Signature"/>
    <x v="175"/>
    <n v="42.77"/>
    <x v="5"/>
    <m/>
    <m/>
    <m/>
    <n v="42.77"/>
    <b v="0"/>
    <m/>
    <m/>
    <s v="-"/>
    <x v="174"/>
    <m/>
    <m/>
  </r>
  <r>
    <x v="1"/>
    <d v="2019-08-18T00:00:00"/>
    <s v="Cash Rewards Visa Signature"/>
    <x v="176"/>
    <n v="-11.2"/>
    <x v="24"/>
    <m/>
    <m/>
    <m/>
    <n v="11.2"/>
    <b v="0"/>
    <m/>
    <m/>
    <s v=".+"/>
    <x v="175"/>
    <m/>
    <m/>
  </r>
  <r>
    <x v="1"/>
    <d v="2019-08-18T00:00:00"/>
    <s v="Discover"/>
    <x v="177"/>
    <n v="69.7"/>
    <x v="1"/>
    <m/>
    <m/>
    <m/>
    <n v="69.7"/>
    <b v="0"/>
    <m/>
    <m/>
    <s v="-"/>
    <x v="176"/>
    <s v="Create Rule; and Description='NORTH COOP CHAHASSEN MN';Restaurants"/>
    <m/>
  </r>
  <r>
    <x v="1"/>
    <d v="2019-08-18T00:00:00"/>
    <s v="Discover More Card"/>
    <x v="177"/>
    <n v="69.7"/>
    <x v="1"/>
    <m/>
    <m/>
    <m/>
    <n v="69.7"/>
    <b v="0"/>
    <m/>
    <m/>
    <s v="-"/>
    <x v="176"/>
    <m/>
    <m/>
  </r>
  <r>
    <x v="1"/>
    <d v="2019-08-19T00:00:00"/>
    <s v="Discover"/>
    <x v="0"/>
    <n v="8.58"/>
    <x v="0"/>
    <m/>
    <m/>
    <m/>
    <n v="8.58"/>
    <b v="0"/>
    <m/>
    <m/>
    <s v="-"/>
    <x v="0"/>
    <s v="Create Rule; and Description='Amazon';Amazon"/>
    <m/>
  </r>
  <r>
    <x v="1"/>
    <d v="2019-08-19T00:00:00"/>
    <s v="Discover More Card"/>
    <x v="0"/>
    <n v="8.58"/>
    <x v="0"/>
    <m/>
    <m/>
    <m/>
    <n v="8.58"/>
    <b v="0"/>
    <m/>
    <m/>
    <s v="-"/>
    <x v="0"/>
    <m/>
    <m/>
  </r>
  <r>
    <x v="1"/>
    <d v="2019-08-19T00:00:00"/>
    <s v="Cash Rewards Visa Signature"/>
    <x v="81"/>
    <n v="40.56"/>
    <x v="2"/>
    <m/>
    <m/>
    <m/>
    <n v="40.56"/>
    <b v="0"/>
    <m/>
    <m/>
    <s v="-"/>
    <x v="81"/>
    <m/>
    <m/>
  </r>
  <r>
    <x v="1"/>
    <d v="2019-08-19T00:00:00"/>
    <s v="Discover"/>
    <x v="178"/>
    <n v="9.67"/>
    <x v="1"/>
    <m/>
    <m/>
    <m/>
    <n v="9.67"/>
    <b v="0"/>
    <m/>
    <m/>
    <s v="-"/>
    <x v="177"/>
    <s v="Create Rule; and Description Like '%LEVELUP*ROTIMODERNMEDI%';Restaurants"/>
    <m/>
  </r>
  <r>
    <x v="1"/>
    <d v="2019-08-19T00:00:00"/>
    <s v="Discover More Card"/>
    <x v="178"/>
    <n v="9.67"/>
    <x v="5"/>
    <m/>
    <m/>
    <m/>
    <n v="9.67"/>
    <b v="0"/>
    <m/>
    <m/>
    <s v="-"/>
    <x v="177"/>
    <m/>
    <m/>
  </r>
  <r>
    <x v="1"/>
    <d v="2019-08-19T00:00:00"/>
    <s v="Cash Rewards Visa Signature"/>
    <x v="136"/>
    <n v="38.49"/>
    <x v="1"/>
    <m/>
    <m/>
    <m/>
    <n v="38.49"/>
    <b v="0"/>
    <m/>
    <m/>
    <s v="-"/>
    <x v="135"/>
    <m/>
    <m/>
  </r>
  <r>
    <x v="1"/>
    <d v="2019-08-20T00:00:00"/>
    <s v="Discover"/>
    <x v="0"/>
    <n v="25.76"/>
    <x v="0"/>
    <m/>
    <m/>
    <m/>
    <n v="25.76"/>
    <b v="0"/>
    <m/>
    <m/>
    <s v="-"/>
    <x v="0"/>
    <s v="Create Rule; and Description='Amazon';Amazon"/>
    <m/>
  </r>
  <r>
    <x v="1"/>
    <d v="2019-08-20T00:00:00"/>
    <s v="Discover More Card"/>
    <x v="0"/>
    <n v="25.76"/>
    <x v="0"/>
    <m/>
    <m/>
    <m/>
    <n v="25.76"/>
    <b v="0"/>
    <m/>
    <m/>
    <s v="-"/>
    <x v="0"/>
    <m/>
    <m/>
  </r>
  <r>
    <x v="1"/>
    <d v="2019-08-20T00:00:00"/>
    <s v="Roth Contributory IRA"/>
    <x v="19"/>
    <n v="150"/>
    <x v="3"/>
    <m/>
    <m/>
    <m/>
    <n v="150"/>
    <b v="0"/>
    <m/>
    <m/>
    <s v="-"/>
    <x v="19"/>
    <s v="Delete; and Description='SCHWAB S&amp;P 500 INDEX FD' and inflowoutflow='-';0"/>
    <m/>
  </r>
  <r>
    <x v="1"/>
    <d v="2019-08-21T00:00:00"/>
    <s v="POWERPLUS"/>
    <x v="179"/>
    <n v="424.25"/>
    <x v="2"/>
    <m/>
    <m/>
    <m/>
    <n v="424.25"/>
    <b v="0"/>
    <m/>
    <m/>
    <s v="-"/>
    <x v="178"/>
    <s v="Create Rule; and Description Like '%MN DVS MLR TYPE%';Transportation"/>
    <m/>
  </r>
  <r>
    <x v="1"/>
    <d v="2019-08-21T00:00:00"/>
    <s v="POWERPLUS CHECKING"/>
    <x v="179"/>
    <n v="424.25"/>
    <x v="2"/>
    <m/>
    <m/>
    <m/>
    <n v="424.25"/>
    <b v="0"/>
    <m/>
    <m/>
    <s v="-"/>
    <x v="178"/>
    <m/>
    <m/>
  </r>
  <r>
    <x v="1"/>
    <d v="2019-08-21T00:00:00"/>
    <s v="POWERPLUS"/>
    <x v="180"/>
    <n v="-2265.04"/>
    <x v="14"/>
    <m/>
    <m/>
    <m/>
    <n v="2265.04"/>
    <b v="0"/>
    <m/>
    <m/>
    <s v="+"/>
    <x v="179"/>
    <s v="Create Rule; and Description Like '%CARGILL COCOA TYPE DIR DEP ID%';Inc - Britney"/>
    <m/>
  </r>
  <r>
    <x v="1"/>
    <d v="2019-08-21T00:00:00"/>
    <s v="POWERPLUS CHECKING"/>
    <x v="180"/>
    <n v="-2265.04"/>
    <x v="14"/>
    <m/>
    <m/>
    <m/>
    <n v="2265.04"/>
    <b v="0"/>
    <m/>
    <m/>
    <s v=".+"/>
    <x v="179"/>
    <m/>
    <m/>
  </r>
  <r>
    <x v="1"/>
    <d v="2019-08-21T00:00:00"/>
    <s v="POWERPLUS"/>
    <x v="181"/>
    <n v="247.5"/>
    <x v="4"/>
    <m/>
    <m/>
    <m/>
    <n v="247.5"/>
    <b v="0"/>
    <m/>
    <m/>
    <s v="-"/>
    <x v="180"/>
    <s v="Create Rule; and Description Like '%CCLC TYPE INTERNET ID%';Day Care"/>
    <m/>
  </r>
  <r>
    <x v="1"/>
    <d v="2019-08-21T00:00:00"/>
    <s v="POWERPLUS CHECKING"/>
    <x v="181"/>
    <n v="247.5"/>
    <x v="4"/>
    <m/>
    <m/>
    <m/>
    <n v="247.5"/>
    <b v="0"/>
    <m/>
    <m/>
    <s v="-"/>
    <x v="180"/>
    <m/>
    <m/>
  </r>
  <r>
    <x v="1"/>
    <d v="2019-08-21T00:00:00"/>
    <s v="POWERPLUS"/>
    <x v="84"/>
    <n v="30.92"/>
    <x v="11"/>
    <m/>
    <m/>
    <m/>
    <n v="30.92"/>
    <b v="0"/>
    <m/>
    <m/>
    <s v="-"/>
    <x v="84"/>
    <s v="Create Rule; and Description='City of Chanhassen';Utilities"/>
    <m/>
  </r>
  <r>
    <x v="1"/>
    <d v="2019-08-21T00:00:00"/>
    <s v="POWERPLUS CHECKING"/>
    <x v="84"/>
    <n v="30.92"/>
    <x v="11"/>
    <m/>
    <m/>
    <m/>
    <n v="30.92"/>
    <b v="0"/>
    <m/>
    <m/>
    <s v="-"/>
    <x v="84"/>
    <m/>
    <m/>
  </r>
  <r>
    <x v="1"/>
    <d v="2019-08-21T00:00:00"/>
    <s v="POWERPLUS"/>
    <x v="182"/>
    <n v="1.5"/>
    <x v="2"/>
    <m/>
    <m/>
    <m/>
    <n v="1.5"/>
    <b v="0"/>
    <m/>
    <m/>
    <s v="-"/>
    <x v="181"/>
    <s v="Create Rule; and Description Like '%MN DVS MLR TYPE%';Transportation"/>
    <m/>
  </r>
  <r>
    <x v="1"/>
    <d v="2019-08-21T00:00:00"/>
    <s v="POWERPLUS CHECKING"/>
    <x v="182"/>
    <n v="1.5"/>
    <x v="2"/>
    <m/>
    <m/>
    <m/>
    <n v="1.5"/>
    <b v="0"/>
    <m/>
    <m/>
    <s v="-"/>
    <x v="181"/>
    <m/>
    <m/>
  </r>
  <r>
    <x v="1"/>
    <d v="2019-08-21T00:00:00"/>
    <s v="Cash Rewards Visa Signature"/>
    <x v="183"/>
    <n v="169"/>
    <x v="8"/>
    <m/>
    <m/>
    <m/>
    <n v="169"/>
    <b v="0"/>
    <m/>
    <m/>
    <s v="-"/>
    <x v="182"/>
    <m/>
    <m/>
  </r>
  <r>
    <x v="1"/>
    <d v="2019-08-22T00:00:00"/>
    <s v="Discover"/>
    <x v="56"/>
    <n v="-362.4"/>
    <x v="3"/>
    <m/>
    <m/>
    <m/>
    <n v="362.4"/>
    <b v="0"/>
    <m/>
    <m/>
    <s v="+"/>
    <x v="56"/>
    <s v="Delete; and Description='INTERNET PAYMENT - THANK YOU';0"/>
    <m/>
  </r>
  <r>
    <x v="1"/>
    <d v="2019-08-22T00:00:00"/>
    <s v="Discover More Card"/>
    <x v="56"/>
    <n v="-362.4"/>
    <x v="3"/>
    <m/>
    <m/>
    <m/>
    <n v="362.4"/>
    <b v="0"/>
    <m/>
    <m/>
    <s v=".+"/>
    <x v="56"/>
    <m/>
    <m/>
  </r>
  <r>
    <x v="1"/>
    <d v="2019-08-22T00:00:00"/>
    <s v="POWERPLUS"/>
    <x v="35"/>
    <n v="-156.07"/>
    <x v="13"/>
    <m/>
    <m/>
    <m/>
    <n v="156.07"/>
    <b v="0"/>
    <m/>
    <m/>
    <s v="+"/>
    <x v="35"/>
    <s v="Create Rule; and Description='Cargill Incorpor Type';Inc - Other"/>
    <m/>
  </r>
  <r>
    <x v="1"/>
    <d v="2019-08-22T00:00:00"/>
    <s v="POWERPLUS CHECKING"/>
    <x v="35"/>
    <n v="-156.07"/>
    <x v="13"/>
    <m/>
    <m/>
    <m/>
    <n v="156.07"/>
    <b v="0"/>
    <m/>
    <m/>
    <s v=".+"/>
    <x v="35"/>
    <m/>
    <m/>
  </r>
  <r>
    <x v="1"/>
    <d v="2019-08-22T00:00:00"/>
    <s v="Cash Rewards Visa Signature"/>
    <x v="3"/>
    <n v="-979.2"/>
    <x v="3"/>
    <m/>
    <m/>
    <m/>
    <n v="979.2"/>
    <b v="0"/>
    <m/>
    <m/>
    <s v=".+"/>
    <x v="3"/>
    <m/>
    <m/>
  </r>
  <r>
    <x v="1"/>
    <d v="2019-08-22T00:00:00"/>
    <s v="POWERPLUS"/>
    <x v="4"/>
    <n v="979.2"/>
    <x v="3"/>
    <m/>
    <m/>
    <m/>
    <n v="979.2"/>
    <b v="0"/>
    <m/>
    <m/>
    <s v="-"/>
    <x v="4"/>
    <s v="Delete; and Description Like '%Transfer to Cash Rewards Visa Signature%';0"/>
    <m/>
  </r>
  <r>
    <x v="1"/>
    <d v="2019-08-22T00:00:00"/>
    <s v="POWERPLUS CHECKING"/>
    <x v="4"/>
    <n v="979.2"/>
    <x v="3"/>
    <m/>
    <m/>
    <m/>
    <n v="979.2"/>
    <b v="0"/>
    <m/>
    <m/>
    <s v="-"/>
    <x v="4"/>
    <m/>
    <m/>
  </r>
  <r>
    <x v="1"/>
    <d v="2019-08-23T00:00:00"/>
    <s v="POWERPLUS"/>
    <x v="184"/>
    <n v="362.4"/>
    <x v="3"/>
    <m/>
    <m/>
    <m/>
    <n v="362.4"/>
    <b v="0"/>
    <m/>
    <m/>
    <s v="-"/>
    <x v="183"/>
    <s v="Delete; and Description Like '%DISCOVER TYPE EPAYMENT%';0"/>
    <m/>
  </r>
  <r>
    <x v="1"/>
    <d v="2019-08-23T00:00:00"/>
    <s v="POWERPLUS CHECKING"/>
    <x v="184"/>
    <n v="362.4"/>
    <x v="3"/>
    <m/>
    <m/>
    <m/>
    <n v="362.4"/>
    <b v="0"/>
    <m/>
    <m/>
    <s v="-"/>
    <x v="183"/>
    <m/>
    <m/>
  </r>
  <r>
    <x v="1"/>
    <d v="2019-08-23T00:00:00"/>
    <s v="Jeff"/>
    <x v="185"/>
    <n v="-200"/>
    <x v="21"/>
    <m/>
    <m/>
    <m/>
    <n v="200"/>
    <b v="0"/>
    <m/>
    <m/>
    <s v=".+"/>
    <x v="184"/>
    <m/>
    <m/>
  </r>
  <r>
    <x v="1"/>
    <d v="2019-08-23T00:00:00"/>
    <s v="Joint Tenant"/>
    <x v="185"/>
    <n v="-200"/>
    <x v="3"/>
    <m/>
    <m/>
    <m/>
    <n v="200"/>
    <b v="0"/>
    <m/>
    <m/>
    <s v=".+"/>
    <x v="184"/>
    <m/>
    <m/>
  </r>
  <r>
    <x v="1"/>
    <d v="2019-08-23T00:00:00"/>
    <s v="Discover"/>
    <x v="88"/>
    <n v="25.14"/>
    <x v="8"/>
    <m/>
    <m/>
    <m/>
    <n v="25.14"/>
    <b v="0"/>
    <m/>
    <m/>
    <s v="-"/>
    <x v="88"/>
    <s v="Create Rule; and Description Like '%CRAVE EDEN PRAIRIE%';Shopping"/>
    <m/>
  </r>
  <r>
    <x v="1"/>
    <d v="2019-08-23T00:00:00"/>
    <s v="Discover More Card"/>
    <x v="88"/>
    <n v="25.14"/>
    <x v="8"/>
    <m/>
    <m/>
    <m/>
    <n v="25.14"/>
    <b v="0"/>
    <m/>
    <m/>
    <s v="-"/>
    <x v="88"/>
    <m/>
    <m/>
  </r>
  <r>
    <x v="1"/>
    <d v="2019-08-23T00:00:00"/>
    <s v="Investor Checking"/>
    <x v="186"/>
    <n v="15000"/>
    <x v="3"/>
    <m/>
    <m/>
    <m/>
    <n v="15000"/>
    <b v="0"/>
    <m/>
    <m/>
    <s v="-"/>
    <x v="185"/>
    <m/>
    <m/>
  </r>
  <r>
    <x v="1"/>
    <d v="2019-08-23T00:00:00"/>
    <s v="Jeff"/>
    <x v="187"/>
    <n v="905.68"/>
    <x v="23"/>
    <m/>
    <m/>
    <m/>
    <n v="905.68"/>
    <b v="0"/>
    <m/>
    <m/>
    <s v="-"/>
    <x v="186"/>
    <m/>
    <m/>
  </r>
  <r>
    <x v="1"/>
    <d v="2019-08-23T00:00:00"/>
    <s v="Joint Tenant"/>
    <x v="187"/>
    <n v="905.68"/>
    <x v="3"/>
    <m/>
    <m/>
    <m/>
    <n v="905.68"/>
    <b v="0"/>
    <m/>
    <m/>
    <s v="-"/>
    <x v="186"/>
    <m/>
    <m/>
  </r>
  <r>
    <x v="1"/>
    <d v="2019-08-23T00:00:00"/>
    <s v="Cash Rewards Visa Signature"/>
    <x v="188"/>
    <n v="10.199999999999999"/>
    <x v="1"/>
    <m/>
    <m/>
    <m/>
    <n v="10.199999999999999"/>
    <b v="0"/>
    <m/>
    <m/>
    <s v="-"/>
    <x v="187"/>
    <m/>
    <m/>
  </r>
  <r>
    <x v="1"/>
    <d v="2019-08-23T00:00:00"/>
    <s v="Discover"/>
    <x v="189"/>
    <n v="73.25"/>
    <x v="1"/>
    <m/>
    <m/>
    <m/>
    <n v="73.25"/>
    <b v="0"/>
    <m/>
    <m/>
    <s v="-"/>
    <x v="188"/>
    <s v="Create Rule; and Description='Olives Fresh Pizza Bar';Restaurants"/>
    <m/>
  </r>
  <r>
    <x v="1"/>
    <d v="2019-08-23T00:00:00"/>
    <s v="Discover More Card"/>
    <x v="189"/>
    <n v="73.25"/>
    <x v="1"/>
    <m/>
    <m/>
    <m/>
    <n v="73.25"/>
    <b v="0"/>
    <m/>
    <m/>
    <s v="-"/>
    <x v="188"/>
    <m/>
    <m/>
  </r>
  <r>
    <x v="1"/>
    <d v="2019-08-23T00:00:00"/>
    <s v="Jeff"/>
    <x v="20"/>
    <n v="1000"/>
    <x v="3"/>
    <m/>
    <m/>
    <m/>
    <n v="1000"/>
    <b v="0"/>
    <m/>
    <m/>
    <s v="-"/>
    <x v="20"/>
    <m/>
    <m/>
  </r>
  <r>
    <x v="1"/>
    <d v="2019-08-23T00:00:00"/>
    <s v="Joint Tenant"/>
    <x v="20"/>
    <n v="1000"/>
    <x v="3"/>
    <m/>
    <m/>
    <m/>
    <n v="1000"/>
    <b v="0"/>
    <m/>
    <m/>
    <s v="-"/>
    <x v="20"/>
    <m/>
    <m/>
  </r>
  <r>
    <x v="1"/>
    <d v="2019-08-23T00:00:00"/>
    <s v="Jeff"/>
    <x v="190"/>
    <n v="-16.28"/>
    <x v="23"/>
    <m/>
    <m/>
    <m/>
    <n v="16.28"/>
    <b v="0"/>
    <m/>
    <m/>
    <s v=".+"/>
    <x v="189"/>
    <m/>
    <m/>
  </r>
  <r>
    <x v="1"/>
    <d v="2019-08-23T00:00:00"/>
    <s v="Joint Tenant"/>
    <x v="190"/>
    <n v="-16.28"/>
    <x v="3"/>
    <m/>
    <m/>
    <m/>
    <n v="16.28"/>
    <b v="0"/>
    <m/>
    <m/>
    <s v=".+"/>
    <x v="189"/>
    <m/>
    <m/>
  </r>
  <r>
    <x v="1"/>
    <d v="2019-08-23T00:00:00"/>
    <s v="Roth Contributory IRA"/>
    <x v="51"/>
    <n v="-150"/>
    <x v="17"/>
    <m/>
    <m/>
    <m/>
    <n v="150"/>
    <b v="0"/>
    <m/>
    <m/>
    <s v=".+"/>
    <x v="51"/>
    <m/>
    <m/>
  </r>
  <r>
    <x v="1"/>
    <d v="2019-08-23T00:00:00"/>
    <s v="Jeff"/>
    <x v="191"/>
    <n v="-15000"/>
    <x v="3"/>
    <m/>
    <m/>
    <m/>
    <n v="15000"/>
    <b v="0"/>
    <m/>
    <m/>
    <s v=".+"/>
    <x v="190"/>
    <m/>
    <m/>
  </r>
  <r>
    <x v="1"/>
    <d v="2019-08-23T00:00:00"/>
    <s v="Joint Tenant"/>
    <x v="191"/>
    <n v="-15000"/>
    <x v="3"/>
    <m/>
    <m/>
    <m/>
    <n v="15000"/>
    <b v="0"/>
    <m/>
    <m/>
    <s v=".+"/>
    <x v="190"/>
    <m/>
    <m/>
  </r>
  <r>
    <x v="1"/>
    <d v="2019-08-23T00:00:00"/>
    <s v="Jeff"/>
    <x v="192"/>
    <n v="995.36"/>
    <x v="3"/>
    <m/>
    <m/>
    <m/>
    <n v="995.36"/>
    <b v="0"/>
    <m/>
    <m/>
    <s v="-"/>
    <x v="191"/>
    <m/>
    <m/>
  </r>
  <r>
    <x v="1"/>
    <d v="2019-08-23T00:00:00"/>
    <s v="Joint Tenant"/>
    <x v="192"/>
    <n v="995.36"/>
    <x v="3"/>
    <m/>
    <m/>
    <m/>
    <n v="995.36"/>
    <b v="0"/>
    <m/>
    <m/>
    <s v="-"/>
    <x v="191"/>
    <m/>
    <m/>
  </r>
  <r>
    <x v="1"/>
    <d v="2019-08-23T00:00:00"/>
    <s v="POWERPLUS"/>
    <x v="29"/>
    <n v="50"/>
    <x v="7"/>
    <m/>
    <m/>
    <m/>
    <n v="50"/>
    <b v="0"/>
    <m/>
    <m/>
    <s v="-"/>
    <x v="29"/>
    <m/>
    <m/>
  </r>
  <r>
    <x v="1"/>
    <d v="2019-08-23T00:00:00"/>
    <s v="POWERPLUS CHECKING"/>
    <x v="29"/>
    <n v="50"/>
    <x v="8"/>
    <m/>
    <m/>
    <m/>
    <n v="50"/>
    <b v="0"/>
    <m/>
    <m/>
    <s v="-"/>
    <x v="29"/>
    <m/>
    <m/>
  </r>
  <r>
    <x v="1"/>
    <d v="2019-08-24T00:00:00"/>
    <s v="Target Credit Card"/>
    <x v="193"/>
    <n v="-86.2"/>
    <x v="3"/>
    <m/>
    <m/>
    <m/>
    <n v="86.2"/>
    <b v="0"/>
    <m/>
    <m/>
    <s v=".+"/>
    <x v="192"/>
    <m/>
    <m/>
  </r>
  <r>
    <x v="1"/>
    <d v="2019-08-24T00:00:00"/>
    <s v="RAINY DAY"/>
    <x v="3"/>
    <n v="-200"/>
    <x v="3"/>
    <m/>
    <m/>
    <m/>
    <n v="200"/>
    <b v="0"/>
    <m/>
    <m/>
    <s v="+"/>
    <x v="3"/>
    <s v="Delete; and Description='Transfer from POWERPLUS CHECKING';0"/>
    <m/>
  </r>
  <r>
    <x v="1"/>
    <d v="2019-08-24T00:00:00"/>
    <s v="RAINY DAY SAVINGS"/>
    <x v="3"/>
    <n v="-200"/>
    <x v="3"/>
    <m/>
    <m/>
    <m/>
    <n v="200"/>
    <b v="0"/>
    <m/>
    <m/>
    <s v=".+"/>
    <x v="3"/>
    <m/>
    <m/>
  </r>
  <r>
    <x v="1"/>
    <d v="2019-08-24T00:00:00"/>
    <s v="POWERPLUS"/>
    <x v="92"/>
    <n v="200"/>
    <x v="21"/>
    <m/>
    <m/>
    <m/>
    <n v="200"/>
    <b v="0"/>
    <m/>
    <m/>
    <s v="-"/>
    <x v="92"/>
    <s v="Create Rule; and Description='Transfer to RAINY DAY SAVINGS';Savings"/>
    <m/>
  </r>
  <r>
    <x v="1"/>
    <d v="2019-08-24T00:00:00"/>
    <s v="POWERPLUS CHECKING"/>
    <x v="92"/>
    <n v="200"/>
    <x v="21"/>
    <m/>
    <m/>
    <m/>
    <n v="200"/>
    <b v="0"/>
    <m/>
    <m/>
    <s v="-"/>
    <x v="92"/>
    <m/>
    <m/>
  </r>
  <r>
    <x v="1"/>
    <d v="2019-08-25T00:00:00"/>
    <s v="Cash Rewards Visa Signature"/>
    <x v="194"/>
    <n v="46.98"/>
    <x v="5"/>
    <m/>
    <m/>
    <m/>
    <n v="46.98"/>
    <b v="0"/>
    <m/>
    <m/>
    <s v="-"/>
    <x v="193"/>
    <m/>
    <m/>
  </r>
  <r>
    <x v="1"/>
    <d v="2019-08-25T00:00:00"/>
    <s v="Cash Rewards Visa Signature"/>
    <x v="6"/>
    <n v="11.97"/>
    <x v="5"/>
    <m/>
    <m/>
    <m/>
    <n v="11.97"/>
    <b v="0"/>
    <m/>
    <m/>
    <s v="-"/>
    <x v="6"/>
    <m/>
    <m/>
  </r>
  <r>
    <x v="1"/>
    <d v="2019-08-25T00:00:00"/>
    <s v="Cash Rewards Visa Signature"/>
    <x v="195"/>
    <n v="157.54"/>
    <x v="19"/>
    <m/>
    <m/>
    <m/>
    <n v="157.54"/>
    <b v="0"/>
    <m/>
    <m/>
    <s v="-"/>
    <x v="194"/>
    <m/>
    <m/>
  </r>
  <r>
    <x v="1"/>
    <d v="2019-08-25T00:00:00"/>
    <s v="Cash Rewards Visa Signature"/>
    <x v="196"/>
    <n v="23.2"/>
    <x v="8"/>
    <m/>
    <m/>
    <m/>
    <n v="23.2"/>
    <b v="0"/>
    <m/>
    <m/>
    <s v="-"/>
    <x v="195"/>
    <m/>
    <m/>
  </r>
  <r>
    <x v="1"/>
    <d v="2019-08-25T00:00:00"/>
    <s v="Cash Rewards Visa Signature"/>
    <x v="197"/>
    <n v="10.07"/>
    <x v="1"/>
    <m/>
    <m/>
    <m/>
    <n v="10.07"/>
    <b v="0"/>
    <m/>
    <m/>
    <s v="-"/>
    <x v="196"/>
    <m/>
    <m/>
  </r>
  <r>
    <x v="1"/>
    <d v="2019-08-26T00:00:00"/>
    <s v="30 YR FIXED"/>
    <x v="198"/>
    <n v="-535.94000000000005"/>
    <x v="3"/>
    <m/>
    <m/>
    <m/>
    <n v="535.94000000000005"/>
    <b v="0"/>
    <m/>
    <m/>
    <s v=".+"/>
    <x v="197"/>
    <m/>
    <m/>
  </r>
  <r>
    <x v="1"/>
    <d v="2019-08-26T00:00:00"/>
    <s v="POWERPLUS"/>
    <x v="199"/>
    <n v="2914.59"/>
    <x v="6"/>
    <m/>
    <m/>
    <m/>
    <n v="2914.59"/>
    <b v="0"/>
    <m/>
    <m/>
    <s v="-"/>
    <x v="198"/>
    <s v="Create Rule; and Description Like '%Withdrawal Home To Loan Mortgage Payment%';Rent"/>
    <m/>
  </r>
  <r>
    <x v="1"/>
    <d v="2019-08-26T00:00:00"/>
    <s v="Discover"/>
    <x v="0"/>
    <n v="17.13"/>
    <x v="0"/>
    <m/>
    <m/>
    <m/>
    <n v="17.13"/>
    <b v="0"/>
    <m/>
    <m/>
    <s v="-"/>
    <x v="0"/>
    <s v="Create Rule; and Description='Amazon';Amazon"/>
    <m/>
  </r>
  <r>
    <x v="1"/>
    <d v="2019-08-26T00:00:00"/>
    <s v="Discover More Card"/>
    <x v="0"/>
    <n v="17.13"/>
    <x v="0"/>
    <m/>
    <m/>
    <m/>
    <n v="17.13"/>
    <b v="0"/>
    <m/>
    <m/>
    <s v="-"/>
    <x v="0"/>
    <m/>
    <m/>
  </r>
  <r>
    <x v="1"/>
    <d v="2019-08-26T00:00:00"/>
    <s v="Discover"/>
    <x v="99"/>
    <n v="12.99"/>
    <x v="11"/>
    <m/>
    <m/>
    <m/>
    <n v="12.99"/>
    <b v="0"/>
    <m/>
    <m/>
    <s v="-"/>
    <x v="99"/>
    <s v="Create Rule; and Description='Netflix';Utilities"/>
    <m/>
  </r>
  <r>
    <x v="1"/>
    <d v="2019-08-26T00:00:00"/>
    <s v="Discover More Card"/>
    <x v="99"/>
    <n v="12.99"/>
    <x v="11"/>
    <m/>
    <m/>
    <m/>
    <n v="12.99"/>
    <b v="0"/>
    <m/>
    <m/>
    <s v="-"/>
    <x v="99"/>
    <m/>
    <m/>
  </r>
  <r>
    <x v="1"/>
    <d v="2019-08-26T00:00:00"/>
    <s v="Jeff"/>
    <x v="190"/>
    <n v="16.28"/>
    <x v="23"/>
    <m/>
    <m/>
    <m/>
    <n v="16.28"/>
    <b v="0"/>
    <m/>
    <m/>
    <s v="-"/>
    <x v="189"/>
    <m/>
    <m/>
  </r>
  <r>
    <x v="1"/>
    <d v="2019-08-26T00:00:00"/>
    <s v="Joint Tenant"/>
    <x v="190"/>
    <n v="16.28"/>
    <x v="3"/>
    <m/>
    <m/>
    <m/>
    <n v="16.28"/>
    <b v="0"/>
    <m/>
    <m/>
    <s v="-"/>
    <x v="189"/>
    <m/>
    <m/>
  </r>
  <r>
    <x v="1"/>
    <d v="2019-08-26T00:00:00"/>
    <s v="POWERPLUS"/>
    <x v="34"/>
    <n v="86.2"/>
    <x v="12"/>
    <m/>
    <m/>
    <m/>
    <n v="86.2"/>
    <b v="0"/>
    <m/>
    <m/>
    <s v="-"/>
    <x v="34"/>
    <s v="Create Rule; and Description='Target';Target"/>
    <m/>
  </r>
  <r>
    <x v="1"/>
    <d v="2019-08-26T00:00:00"/>
    <s v="POWERPLUS CHECKING"/>
    <x v="34"/>
    <n v="86.2"/>
    <x v="12"/>
    <m/>
    <m/>
    <m/>
    <n v="86.2"/>
    <b v="0"/>
    <m/>
    <m/>
    <s v="-"/>
    <x v="34"/>
    <m/>
    <m/>
  </r>
  <r>
    <x v="1"/>
    <d v="2019-08-27T00:00:00"/>
    <s v="Discover"/>
    <x v="161"/>
    <n v="5.01"/>
    <x v="1"/>
    <m/>
    <m/>
    <m/>
    <n v="5.01"/>
    <b v="0"/>
    <m/>
    <m/>
    <s v="-"/>
    <x v="160"/>
    <s v="Create Rule; and Description Like '%CARGILL CAF%';Restaurants"/>
    <m/>
  </r>
  <r>
    <x v="1"/>
    <d v="2019-08-27T00:00:00"/>
    <s v="Discover More Card"/>
    <x v="161"/>
    <n v="5.01"/>
    <x v="1"/>
    <m/>
    <m/>
    <m/>
    <n v="5.01"/>
    <b v="0"/>
    <m/>
    <m/>
    <s v="-"/>
    <x v="160"/>
    <m/>
    <m/>
  </r>
  <r>
    <x v="1"/>
    <d v="2019-08-27T00:00:00"/>
    <s v="Discover"/>
    <x v="59"/>
    <n v="8.58"/>
    <x v="1"/>
    <m/>
    <m/>
    <m/>
    <n v="8.58"/>
    <b v="0"/>
    <m/>
    <m/>
    <s v="-"/>
    <x v="59"/>
    <s v="Create Rule; and Description Like '%Caribou Coffee%';Restaurants"/>
    <m/>
  </r>
  <r>
    <x v="1"/>
    <d v="2019-08-27T00:00:00"/>
    <s v="Discover More Card"/>
    <x v="59"/>
    <n v="8.58"/>
    <x v="1"/>
    <m/>
    <m/>
    <m/>
    <n v="8.58"/>
    <b v="0"/>
    <m/>
    <m/>
    <s v="-"/>
    <x v="59"/>
    <m/>
    <m/>
  </r>
  <r>
    <x v="1"/>
    <d v="2019-08-27T00:00:00"/>
    <s v="Discover"/>
    <x v="200"/>
    <n v="55.74"/>
    <x v="1"/>
    <m/>
    <m/>
    <m/>
    <n v="55.74"/>
    <b v="0"/>
    <m/>
    <m/>
    <s v="-"/>
    <x v="199"/>
    <s v="Create Rule; and Description='Nas Thai Cafe Inc';Restaurants"/>
    <m/>
  </r>
  <r>
    <x v="1"/>
    <d v="2019-08-27T00:00:00"/>
    <s v="Discover More Card"/>
    <x v="200"/>
    <n v="55.74"/>
    <x v="1"/>
    <m/>
    <m/>
    <m/>
    <n v="55.74"/>
    <b v="0"/>
    <m/>
    <m/>
    <s v="-"/>
    <x v="199"/>
    <m/>
    <m/>
  </r>
  <r>
    <x v="1"/>
    <d v="2019-08-27T00:00:00"/>
    <s v="Cash Rewards Visa Signature"/>
    <x v="201"/>
    <n v="54"/>
    <x v="8"/>
    <m/>
    <m/>
    <m/>
    <n v="54"/>
    <b v="0"/>
    <m/>
    <m/>
    <s v="-"/>
    <x v="200"/>
    <m/>
    <m/>
  </r>
  <r>
    <x v="1"/>
    <d v="2019-08-28T00:00:00"/>
    <s v="Discover"/>
    <x v="0"/>
    <n v="10.74"/>
    <x v="0"/>
    <m/>
    <m/>
    <m/>
    <n v="10.74"/>
    <b v="0"/>
    <m/>
    <m/>
    <s v="-"/>
    <x v="0"/>
    <s v="Create Rule; and Description='Amazon';Amazon"/>
    <m/>
  </r>
  <r>
    <x v="1"/>
    <d v="2019-08-28T00:00:00"/>
    <s v="Discover More Card"/>
    <x v="0"/>
    <n v="10.74"/>
    <x v="0"/>
    <m/>
    <m/>
    <m/>
    <n v="10.74"/>
    <b v="0"/>
    <m/>
    <m/>
    <s v="-"/>
    <x v="0"/>
    <m/>
    <m/>
  </r>
  <r>
    <x v="1"/>
    <d v="2019-08-29T00:00:00"/>
    <s v="Discover"/>
    <x v="0"/>
    <n v="7.51"/>
    <x v="0"/>
    <m/>
    <m/>
    <m/>
    <n v="7.51"/>
    <b v="0"/>
    <m/>
    <m/>
    <s v="-"/>
    <x v="0"/>
    <s v="Create Rule; and Description='Amazon';Amazon"/>
    <m/>
  </r>
  <r>
    <x v="1"/>
    <d v="2019-08-29T00:00:00"/>
    <s v="Discover More Card"/>
    <x v="0"/>
    <n v="7.51"/>
    <x v="0"/>
    <m/>
    <m/>
    <m/>
    <n v="7.51"/>
    <b v="0"/>
    <m/>
    <m/>
    <s v="-"/>
    <x v="0"/>
    <m/>
    <m/>
  </r>
  <r>
    <x v="1"/>
    <d v="2019-08-29T00:00:00"/>
    <s v="POWERPLUS"/>
    <x v="202"/>
    <n v="256.5"/>
    <x v="4"/>
    <m/>
    <m/>
    <m/>
    <n v="256.5"/>
    <b v="0"/>
    <m/>
    <m/>
    <s v="-"/>
    <x v="201"/>
    <s v="Create Rule; and Description Like '%CCLC TYPE INTERNET ID%';Day Care"/>
    <m/>
  </r>
  <r>
    <x v="1"/>
    <d v="2019-08-29T00:00:00"/>
    <s v="POWERPLUS CHECKING"/>
    <x v="202"/>
    <n v="256.5"/>
    <x v="4"/>
    <m/>
    <m/>
    <m/>
    <n v="256.5"/>
    <b v="0"/>
    <m/>
    <m/>
    <s v="-"/>
    <x v="201"/>
    <m/>
    <m/>
  </r>
  <r>
    <x v="1"/>
    <d v="2019-08-29T00:00:00"/>
    <s v="POWERPLUS"/>
    <x v="203"/>
    <n v="-2570.36"/>
    <x v="15"/>
    <m/>
    <m/>
    <m/>
    <n v="2570.36"/>
    <b v="0"/>
    <m/>
    <m/>
    <s v="+"/>
    <x v="202"/>
    <s v="Create Rule; and Description Like '%KAUFMAN HALL TYPE DIRECT DEP ID%';Inc - Jeff"/>
    <m/>
  </r>
  <r>
    <x v="1"/>
    <d v="2019-08-29T00:00:00"/>
    <s v="POWERPLUS CHECKING"/>
    <x v="203"/>
    <n v="-2570.36"/>
    <x v="15"/>
    <m/>
    <m/>
    <m/>
    <n v="2570.36"/>
    <b v="0"/>
    <m/>
    <m/>
    <s v=".+"/>
    <x v="202"/>
    <m/>
    <m/>
  </r>
  <r>
    <x v="1"/>
    <d v="2019-08-29T00:00:00"/>
    <s v="POWERPLUS"/>
    <x v="157"/>
    <n v="26.87"/>
    <x v="8"/>
    <m/>
    <m/>
    <m/>
    <n v="26.87"/>
    <b v="0"/>
    <m/>
    <m/>
    <s v="-"/>
    <x v="156"/>
    <s v="Create Rule; and Description Like '%PayPal%';Shopping"/>
    <m/>
  </r>
  <r>
    <x v="1"/>
    <d v="2019-08-29T00:00:00"/>
    <s v="POWERPLUS CHECKING"/>
    <x v="157"/>
    <n v="26.87"/>
    <x v="8"/>
    <m/>
    <m/>
    <m/>
    <n v="26.87"/>
    <b v="0"/>
    <m/>
    <m/>
    <s v="-"/>
    <x v="156"/>
    <m/>
    <m/>
  </r>
  <r>
    <x v="1"/>
    <d v="2019-08-29T00:00:00"/>
    <s v="Jeff"/>
    <x v="204"/>
    <n v="-0.6"/>
    <x v="13"/>
    <m/>
    <m/>
    <m/>
    <n v="0.6"/>
    <b v="0"/>
    <m/>
    <m/>
    <s v=".+"/>
    <x v="203"/>
    <m/>
    <m/>
  </r>
  <r>
    <x v="1"/>
    <d v="2019-08-29T00:00:00"/>
    <s v="Joint Tenant"/>
    <x v="204"/>
    <n v="-0.6"/>
    <x v="3"/>
    <m/>
    <m/>
    <m/>
    <n v="0.6"/>
    <b v="0"/>
    <m/>
    <m/>
    <s v=".+"/>
    <x v="203"/>
    <m/>
    <m/>
  </r>
  <r>
    <x v="1"/>
    <d v="2019-08-29T00:00:00"/>
    <s v="Cash Rewards Visa Signature"/>
    <x v="2"/>
    <n v="7.17"/>
    <x v="2"/>
    <m/>
    <m/>
    <m/>
    <n v="7.17"/>
    <b v="0"/>
    <m/>
    <m/>
    <s v="-"/>
    <x v="2"/>
    <m/>
    <m/>
  </r>
  <r>
    <x v="1"/>
    <d v="2019-08-30T00:00:00"/>
    <s v="POWERPLUS"/>
    <x v="205"/>
    <n v="226.99"/>
    <x v="8"/>
    <m/>
    <m/>
    <m/>
    <n v="226.99"/>
    <b v="0"/>
    <m/>
    <m/>
    <s v="-"/>
    <x v="204"/>
    <s v="Create Rule; and Description Like '%Banana Visa%';Shopping"/>
    <m/>
  </r>
  <r>
    <x v="1"/>
    <d v="2019-08-30T00:00:00"/>
    <s v="POWERPLUS CHECKING"/>
    <x v="205"/>
    <n v="226.99"/>
    <x v="8"/>
    <m/>
    <m/>
    <m/>
    <n v="226.99"/>
    <b v="0"/>
    <m/>
    <m/>
    <s v="-"/>
    <x v="204"/>
    <m/>
    <m/>
  </r>
  <r>
    <x v="1"/>
    <d v="2019-08-30T00:00:00"/>
    <s v="Investor Checking"/>
    <x v="118"/>
    <n v="-1.1200000000000001"/>
    <x v="7"/>
    <m/>
    <m/>
    <m/>
    <n v="1.1200000000000001"/>
    <b v="0"/>
    <m/>
    <m/>
    <s v=".+"/>
    <x v="118"/>
    <s v="Create Rule; and Description='Interest Paid';0"/>
    <m/>
  </r>
  <r>
    <x v="1"/>
    <d v="2019-08-30T00:00:00"/>
    <s v="Jeff"/>
    <x v="167"/>
    <n v="-200"/>
    <x v="21"/>
    <m/>
    <m/>
    <m/>
    <n v="200"/>
    <b v="0"/>
    <m/>
    <m/>
    <s v=".+"/>
    <x v="166"/>
    <m/>
    <m/>
  </r>
  <r>
    <x v="1"/>
    <d v="2019-08-30T00:00:00"/>
    <s v="Joint Tenant"/>
    <x v="167"/>
    <n v="-200"/>
    <x v="3"/>
    <m/>
    <m/>
    <m/>
    <n v="200"/>
    <b v="0"/>
    <m/>
    <m/>
    <s v=".+"/>
    <x v="166"/>
    <m/>
    <m/>
  </r>
  <r>
    <x v="1"/>
    <d v="2019-08-30T00:00:00"/>
    <s v="Discover"/>
    <x v="206"/>
    <n v="26.93"/>
    <x v="1"/>
    <m/>
    <m/>
    <m/>
    <n v="26.93"/>
    <b v="0"/>
    <m/>
    <m/>
    <s v="-"/>
    <x v="205"/>
    <s v="Create Rule; and Description='RISE BAGEL CO MINNEAPOLIS MN';Restaurants"/>
    <m/>
  </r>
  <r>
    <x v="1"/>
    <d v="2019-08-30T00:00:00"/>
    <s v="Discover More Card"/>
    <x v="206"/>
    <n v="26.93"/>
    <x v="1"/>
    <m/>
    <m/>
    <m/>
    <n v="26.93"/>
    <b v="0"/>
    <m/>
    <m/>
    <s v="-"/>
    <x v="205"/>
    <m/>
    <m/>
  </r>
  <r>
    <x v="1"/>
    <d v="2019-08-30T00:00:00"/>
    <s v="Cash Rewards Visa Signature"/>
    <x v="2"/>
    <n v="11.38"/>
    <x v="2"/>
    <m/>
    <m/>
    <m/>
    <n v="11.38"/>
    <b v="0"/>
    <m/>
    <m/>
    <s v="-"/>
    <x v="2"/>
    <m/>
    <m/>
  </r>
  <r>
    <x v="1"/>
    <d v="2019-08-30T00:00:00"/>
    <s v="Cash Rewards Visa Signature"/>
    <x v="2"/>
    <n v="23.42"/>
    <x v="2"/>
    <m/>
    <m/>
    <m/>
    <n v="23.42"/>
    <b v="0"/>
    <m/>
    <m/>
    <s v="-"/>
    <x v="2"/>
    <m/>
    <m/>
  </r>
  <r>
    <x v="1"/>
    <d v="2019-08-30T00:00:00"/>
    <s v="Jeff Roth"/>
    <x v="52"/>
    <n v="-211"/>
    <x v="17"/>
    <m/>
    <m/>
    <m/>
    <n v="211"/>
    <b v="0"/>
    <m/>
    <m/>
    <s v="+"/>
    <x v="52"/>
    <s v="Create Rule; and Description='Tfr JPMORGAN CHASE BAN, KAUFMAN HALL';Roth"/>
    <m/>
  </r>
  <r>
    <x v="1"/>
    <d v="2019-08-30T00:00:00"/>
    <s v="Roth Contributory IRA"/>
    <x v="52"/>
    <n v="-211"/>
    <x v="17"/>
    <m/>
    <m/>
    <m/>
    <n v="211"/>
    <b v="0"/>
    <m/>
    <m/>
    <s v=".+"/>
    <x v="52"/>
    <m/>
    <m/>
  </r>
  <r>
    <x v="1"/>
    <d v="2019-08-30T00:00:00"/>
    <s v="KAUFMAN"/>
    <x v="54"/>
    <n v="-1058.95"/>
    <x v="18"/>
    <m/>
    <m/>
    <m/>
    <n v="1058.95"/>
    <b v="0"/>
    <m/>
    <m/>
    <s v=".+"/>
    <x v="54"/>
    <m/>
    <m/>
  </r>
  <r>
    <x v="1"/>
    <d v="2019-08-31T00:00:00"/>
    <s v="Coopers Rainy Day"/>
    <x v="114"/>
    <n v="-0.02"/>
    <x v="7"/>
    <m/>
    <m/>
    <m/>
    <n v="0.02"/>
    <b v="0"/>
    <m/>
    <m/>
    <s v=".+"/>
    <x v="114"/>
    <s v="Create Rule; and Description='Apy Earned';0"/>
    <m/>
  </r>
  <r>
    <x v="1"/>
    <d v="2019-08-31T00:00:00"/>
    <s v="POWERPLUS"/>
    <x v="207"/>
    <n v="-3"/>
    <x v="3"/>
    <m/>
    <m/>
    <m/>
    <n v="3"/>
    <b v="0"/>
    <m/>
    <m/>
    <s v="+"/>
    <x v="206"/>
    <s v="Delete; and Description='ATM FEE REFUND 247464311';0"/>
    <m/>
  </r>
  <r>
    <x v="1"/>
    <d v="2019-08-31T00:00:00"/>
    <s v="POWERPLUS CHECKING"/>
    <x v="207"/>
    <n v="-3"/>
    <x v="3"/>
    <m/>
    <m/>
    <m/>
    <n v="3"/>
    <b v="0"/>
    <m/>
    <m/>
    <s v=".+"/>
    <x v="206"/>
    <m/>
    <m/>
  </r>
  <r>
    <x v="1"/>
    <d v="2019-08-31T00:00:00"/>
    <s v="Cash Rewards Visa Signature"/>
    <x v="79"/>
    <n v="64"/>
    <x v="10"/>
    <m/>
    <m/>
    <m/>
    <n v="64"/>
    <b v="0"/>
    <m/>
    <m/>
    <s v="-"/>
    <x v="79"/>
    <m/>
    <m/>
  </r>
  <r>
    <x v="1"/>
    <d v="2019-08-31T00:00:00"/>
    <s v="Discover"/>
    <x v="208"/>
    <n v="34.03"/>
    <x v="1"/>
    <m/>
    <m/>
    <m/>
    <n v="34.03"/>
    <b v="0"/>
    <m/>
    <m/>
    <s v="-"/>
    <x v="207"/>
    <s v="Create Rule; and Description='SMALL CHEVAL CHICAGO IL';Restaurants"/>
    <m/>
  </r>
  <r>
    <x v="1"/>
    <d v="2019-08-31T00:00:00"/>
    <s v="Discover More Card"/>
    <x v="208"/>
    <n v="34.03"/>
    <x v="1"/>
    <m/>
    <m/>
    <m/>
    <n v="34.03"/>
    <b v="0"/>
    <m/>
    <m/>
    <s v="-"/>
    <x v="207"/>
    <m/>
    <m/>
  </r>
  <r>
    <x v="1"/>
    <d v="2019-08-31T00:00:00"/>
    <s v="RAINY DAY"/>
    <x v="119"/>
    <n v="-16.77"/>
    <x v="13"/>
    <m/>
    <m/>
    <m/>
    <n v="16.77"/>
    <b v="0"/>
    <m/>
    <m/>
    <s v="+"/>
    <x v="119"/>
    <s v="Create Rule; and Description='Split Rate Apy';Inc - Other"/>
    <m/>
  </r>
  <r>
    <x v="1"/>
    <d v="2019-08-31T00:00:00"/>
    <s v="POWERPLUS"/>
    <x v="119"/>
    <n v="-38.380000000000003"/>
    <x v="13"/>
    <m/>
    <m/>
    <m/>
    <n v="38.380000000000003"/>
    <b v="0"/>
    <m/>
    <m/>
    <s v="+"/>
    <x v="119"/>
    <s v="Create Rule; and Description='Split Rate Apy';Inc - Other"/>
    <m/>
  </r>
  <r>
    <x v="1"/>
    <d v="2019-08-31T00:00:00"/>
    <s v="RAINY DAY SAVINGS"/>
    <x v="119"/>
    <n v="-16.77"/>
    <x v="13"/>
    <m/>
    <m/>
    <m/>
    <n v="16.77"/>
    <b v="0"/>
    <m/>
    <m/>
    <s v=".+"/>
    <x v="119"/>
    <m/>
    <m/>
  </r>
  <r>
    <x v="1"/>
    <d v="2019-08-31T00:00:00"/>
    <s v="POWERPLUS CHECKING"/>
    <x v="119"/>
    <n v="-38.380000000000003"/>
    <x v="13"/>
    <m/>
    <m/>
    <m/>
    <n v="38.380000000000003"/>
    <b v="0"/>
    <m/>
    <m/>
    <s v=".+"/>
    <x v="119"/>
    <m/>
    <m/>
  </r>
  <r>
    <x v="2"/>
    <d v="2019-09-01T00:00:00"/>
    <s v="POWERPLUS CHECKING"/>
    <x v="199"/>
    <n v="2914.59"/>
    <x v="6"/>
    <m/>
    <m/>
    <m/>
    <n v="2914.59"/>
    <b v="0"/>
    <m/>
    <m/>
    <s v="-"/>
    <x v="198"/>
    <m/>
    <m/>
  </r>
  <r>
    <x v="2"/>
    <d v="2019-09-01T00:00:00"/>
    <s v="HIGHLANDER"/>
    <x v="209"/>
    <n v="-561.45000000000005"/>
    <x v="7"/>
    <m/>
    <m/>
    <m/>
    <n v="561.45000000000005"/>
    <b v="0"/>
    <m/>
    <m/>
    <s v="+"/>
    <x v="208"/>
    <m/>
    <m/>
  </r>
  <r>
    <x v="2"/>
    <d v="2019-09-01T00:00:00"/>
    <s v="2017 TOYOTA HIGHLANDER"/>
    <x v="209"/>
    <n v="-561.45000000000005"/>
    <x v="3"/>
    <m/>
    <m/>
    <m/>
    <n v="561.45000000000005"/>
    <b v="0"/>
    <m/>
    <m/>
    <s v=".+"/>
    <x v="208"/>
    <m/>
    <m/>
  </r>
  <r>
    <x v="2"/>
    <d v="2019-09-01T00:00:00"/>
    <s v="POWERPLUS"/>
    <x v="210"/>
    <n v="618.65"/>
    <x v="22"/>
    <m/>
    <m/>
    <m/>
    <n v="618.65"/>
    <b v="0"/>
    <m/>
    <m/>
    <s v="-"/>
    <x v="209"/>
    <s v="Create Rule; and Description='To Loan 02 247528486';Car Loan"/>
    <m/>
  </r>
  <r>
    <x v="2"/>
    <d v="2019-09-01T00:00:00"/>
    <s v="POWERPLUS CHECKING"/>
    <x v="210"/>
    <n v="618.65"/>
    <x v="22"/>
    <m/>
    <m/>
    <m/>
    <n v="618.65"/>
    <b v="0"/>
    <m/>
    <m/>
    <s v="-"/>
    <x v="209"/>
    <m/>
    <m/>
  </r>
  <r>
    <x v="2"/>
    <d v="2019-09-02T00:00:00"/>
    <s v="Discover"/>
    <x v="211"/>
    <n v="48.88"/>
    <x v="1"/>
    <m/>
    <m/>
    <m/>
    <n v="48.88"/>
    <b v="0"/>
    <m/>
    <m/>
    <s v="-"/>
    <x v="210"/>
    <s v="Create Rule; and Description Like '%BLACK SHEEP PIZZA%';Restaurants"/>
    <m/>
  </r>
  <r>
    <x v="2"/>
    <d v="2019-09-02T00:00:00"/>
    <s v="Discover More Card"/>
    <x v="211"/>
    <n v="48.88"/>
    <x v="1"/>
    <m/>
    <m/>
    <m/>
    <n v="48.88"/>
    <b v="0"/>
    <m/>
    <m/>
    <s v="-"/>
    <x v="210"/>
    <m/>
    <m/>
  </r>
  <r>
    <x v="2"/>
    <d v="2019-09-02T00:00:00"/>
    <s v="Cash Rewards Visa Signature"/>
    <x v="212"/>
    <n v="52.54"/>
    <x v="1"/>
    <m/>
    <m/>
    <m/>
    <n v="52.54"/>
    <b v="0"/>
    <m/>
    <m/>
    <s v="-"/>
    <x v="211"/>
    <m/>
    <m/>
  </r>
  <r>
    <x v="2"/>
    <d v="2019-09-02T00:00:00"/>
    <s v="Cash Rewards Visa Signature"/>
    <x v="213"/>
    <n v="10"/>
    <x v="1"/>
    <m/>
    <m/>
    <m/>
    <n v="10"/>
    <b v="0"/>
    <m/>
    <m/>
    <s v="-"/>
    <x v="212"/>
    <m/>
    <m/>
  </r>
  <r>
    <x v="2"/>
    <d v="2019-09-02T00:00:00"/>
    <s v="Cash Rewards Visa Signature"/>
    <x v="214"/>
    <n v="15.04"/>
    <x v="2"/>
    <m/>
    <m/>
    <m/>
    <n v="15.04"/>
    <b v="0"/>
    <m/>
    <m/>
    <s v="-"/>
    <x v="213"/>
    <m/>
    <m/>
  </r>
  <r>
    <x v="2"/>
    <d v="2019-09-02T00:00:00"/>
    <s v="Cash Rewards Visa Signature"/>
    <x v="214"/>
    <n v="27.9"/>
    <x v="2"/>
    <m/>
    <m/>
    <m/>
    <n v="27.9"/>
    <b v="0"/>
    <m/>
    <m/>
    <s v="-"/>
    <x v="213"/>
    <m/>
    <m/>
  </r>
  <r>
    <x v="2"/>
    <d v="2019-09-02T00:00:00"/>
    <s v="Cash Rewards Visa Signature"/>
    <x v="215"/>
    <n v="13.32"/>
    <x v="1"/>
    <m/>
    <m/>
    <m/>
    <n v="13.32"/>
    <b v="0"/>
    <m/>
    <m/>
    <s v="-"/>
    <x v="214"/>
    <m/>
    <m/>
  </r>
  <r>
    <x v="2"/>
    <d v="2019-09-02T00:00:00"/>
    <s v="POWERPLUS"/>
    <x v="26"/>
    <n v="-28.33"/>
    <x v="3"/>
    <m/>
    <m/>
    <m/>
    <n v="28.33"/>
    <b v="0"/>
    <m/>
    <m/>
    <s v="+"/>
    <x v="26"/>
    <s v="Delete; and Description='Venmo Type Cashout';0"/>
    <m/>
  </r>
  <r>
    <x v="2"/>
    <d v="2019-09-02T00:00:00"/>
    <s v="POWERPLUS CHECKING"/>
    <x v="26"/>
    <n v="-28.33"/>
    <x v="13"/>
    <m/>
    <m/>
    <m/>
    <n v="28.33"/>
    <b v="0"/>
    <m/>
    <m/>
    <s v=".+"/>
    <x v="26"/>
    <m/>
    <m/>
  </r>
  <r>
    <x v="2"/>
    <d v="2019-09-02T00:00:00"/>
    <s v="Discover"/>
    <x v="216"/>
    <n v="6"/>
    <x v="2"/>
    <m/>
    <m/>
    <m/>
    <n v="6"/>
    <b v="0"/>
    <m/>
    <m/>
    <s v="-"/>
    <x v="215"/>
    <s v="Create Rule; and Description Like '%VENTRA VENDING%';Transportation"/>
    <m/>
  </r>
  <r>
    <x v="2"/>
    <d v="2019-09-02T00:00:00"/>
    <s v="Discover More Card"/>
    <x v="216"/>
    <n v="6"/>
    <x v="2"/>
    <m/>
    <m/>
    <m/>
    <n v="6"/>
    <b v="0"/>
    <m/>
    <m/>
    <s v="-"/>
    <x v="215"/>
    <m/>
    <m/>
  </r>
  <r>
    <x v="2"/>
    <d v="2019-09-02T00:00:00"/>
    <s v="Cash Rewards Visa Signature"/>
    <x v="217"/>
    <n v="6"/>
    <x v="2"/>
    <m/>
    <m/>
    <m/>
    <n v="6"/>
    <b v="0"/>
    <m/>
    <m/>
    <s v="-"/>
    <x v="216"/>
    <m/>
    <m/>
  </r>
  <r>
    <x v="2"/>
    <d v="2019-09-03T00:00:00"/>
    <s v="Cash Rewards Visa Signature"/>
    <x v="218"/>
    <n v="188"/>
    <x v="8"/>
    <m/>
    <m/>
    <m/>
    <n v="188"/>
    <b v="0"/>
    <m/>
    <m/>
    <s v="-"/>
    <x v="217"/>
    <m/>
    <m/>
  </r>
  <r>
    <x v="2"/>
    <d v="2019-09-03T00:00:00"/>
    <s v="Cash Rewards Visa Signature"/>
    <x v="219"/>
    <n v="10.92"/>
    <x v="1"/>
    <m/>
    <m/>
    <m/>
    <n v="10.92"/>
    <b v="0"/>
    <m/>
    <m/>
    <s v="-"/>
    <x v="218"/>
    <m/>
    <m/>
  </r>
  <r>
    <x v="2"/>
    <d v="2019-09-03T00:00:00"/>
    <s v="POWERPLUS"/>
    <x v="220"/>
    <n v="200"/>
    <x v="9"/>
    <m/>
    <m/>
    <m/>
    <n v="200"/>
    <b v="0"/>
    <m/>
    <m/>
    <s v="-"/>
    <x v="16"/>
    <s v="Create Rule; and Description Like '%College Savings%';College Savings"/>
    <m/>
  </r>
  <r>
    <x v="2"/>
    <d v="2019-09-03T00:00:00"/>
    <s v="POWERPLUS CHECKING"/>
    <x v="220"/>
    <n v="200"/>
    <x v="9"/>
    <m/>
    <m/>
    <m/>
    <n v="200"/>
    <b v="0"/>
    <m/>
    <m/>
    <s v="-"/>
    <x v="16"/>
    <m/>
    <m/>
  </r>
  <r>
    <x v="2"/>
    <d v="2019-09-03T00:00:00"/>
    <s v="Discover"/>
    <x v="221"/>
    <n v="11"/>
    <x v="7"/>
    <m/>
    <m/>
    <m/>
    <n v="11"/>
    <b v="0"/>
    <m/>
    <m/>
    <s v="-"/>
    <x v="219"/>
    <m/>
    <m/>
  </r>
  <r>
    <x v="2"/>
    <d v="2019-09-03T00:00:00"/>
    <s v="Discover More Card"/>
    <x v="221"/>
    <n v="11"/>
    <x v="1"/>
    <m/>
    <m/>
    <m/>
    <n v="11"/>
    <b v="0"/>
    <m/>
    <m/>
    <s v="-"/>
    <x v="219"/>
    <m/>
    <m/>
  </r>
  <r>
    <x v="2"/>
    <d v="2019-09-03T00:00:00"/>
    <s v="Jeff"/>
    <x v="187"/>
    <n v="-16.670000000000002"/>
    <x v="23"/>
    <m/>
    <m/>
    <m/>
    <n v="16.670000000000002"/>
    <b v="0"/>
    <m/>
    <m/>
    <s v=".+"/>
    <x v="186"/>
    <m/>
    <m/>
  </r>
  <r>
    <x v="2"/>
    <d v="2019-09-03T00:00:00"/>
    <s v="Joint Tenant"/>
    <x v="187"/>
    <n v="-16.670000000000002"/>
    <x v="3"/>
    <m/>
    <m/>
    <m/>
    <n v="16.670000000000002"/>
    <b v="0"/>
    <m/>
    <m/>
    <s v=".+"/>
    <x v="186"/>
    <m/>
    <m/>
  </r>
  <r>
    <x v="2"/>
    <d v="2019-09-03T00:00:00"/>
    <s v="Cash Rewards Visa Signature"/>
    <x v="214"/>
    <n v="7.82"/>
    <x v="2"/>
    <m/>
    <m/>
    <m/>
    <n v="7.82"/>
    <b v="0"/>
    <m/>
    <m/>
    <s v="-"/>
    <x v="213"/>
    <m/>
    <m/>
  </r>
  <r>
    <x v="2"/>
    <d v="2019-09-03T00:00:00"/>
    <s v="Cash Rewards Visa Signature"/>
    <x v="222"/>
    <n v="144.87"/>
    <x v="1"/>
    <m/>
    <m/>
    <m/>
    <n v="144.87"/>
    <b v="0"/>
    <m/>
    <m/>
    <s v="-"/>
    <x v="220"/>
    <m/>
    <m/>
  </r>
  <r>
    <x v="2"/>
    <d v="2019-09-03T00:00:00"/>
    <s v="Cash Rewards Visa Signature"/>
    <x v="223"/>
    <n v="80.959999999999994"/>
    <x v="1"/>
    <m/>
    <m/>
    <m/>
    <n v="80.959999999999994"/>
    <b v="0"/>
    <m/>
    <m/>
    <s v="-"/>
    <x v="221"/>
    <m/>
    <m/>
  </r>
  <r>
    <x v="2"/>
    <d v="2019-09-03T00:00:00"/>
    <s v="POWERPLUS"/>
    <x v="157"/>
    <n v="14.99"/>
    <x v="8"/>
    <m/>
    <m/>
    <m/>
    <n v="14.99"/>
    <b v="0"/>
    <m/>
    <m/>
    <s v="-"/>
    <x v="156"/>
    <s v="Create Rule; and Description Like '%PayPal%';Shopping"/>
    <m/>
  </r>
  <r>
    <x v="2"/>
    <d v="2019-09-03T00:00:00"/>
    <s v="POWERPLUS CHECKING"/>
    <x v="157"/>
    <n v="14.99"/>
    <x v="8"/>
    <m/>
    <m/>
    <m/>
    <n v="14.99"/>
    <b v="0"/>
    <m/>
    <m/>
    <s v="-"/>
    <x v="156"/>
    <m/>
    <m/>
  </r>
  <r>
    <x v="2"/>
    <d v="2019-09-03T00:00:00"/>
    <s v="Cash Rewards Visa Signature"/>
    <x v="120"/>
    <n v="10.63"/>
    <x v="8"/>
    <m/>
    <m/>
    <m/>
    <n v="10.63"/>
    <b v="0"/>
    <m/>
    <m/>
    <s v="-"/>
    <x v="120"/>
    <m/>
    <m/>
  </r>
  <r>
    <x v="2"/>
    <d v="2019-09-03T00:00:00"/>
    <s v="Cash Rewards Visa Signature"/>
    <x v="120"/>
    <n v="14.88"/>
    <x v="8"/>
    <m/>
    <m/>
    <m/>
    <n v="14.88"/>
    <b v="0"/>
    <m/>
    <m/>
    <s v="-"/>
    <x v="120"/>
    <m/>
    <m/>
  </r>
  <r>
    <x v="2"/>
    <d v="2019-09-03T00:00:00"/>
    <s v="Cash Rewards Visa Signature"/>
    <x v="120"/>
    <n v="17.53"/>
    <x v="8"/>
    <m/>
    <m/>
    <m/>
    <n v="17.53"/>
    <b v="0"/>
    <m/>
    <m/>
    <s v="-"/>
    <x v="120"/>
    <m/>
    <m/>
  </r>
  <r>
    <x v="2"/>
    <d v="2019-09-03T00:00:00"/>
    <s v="Cash Rewards Visa Signature"/>
    <x v="120"/>
    <n v="26.56"/>
    <x v="8"/>
    <m/>
    <m/>
    <m/>
    <n v="26.56"/>
    <b v="0"/>
    <m/>
    <m/>
    <s v="-"/>
    <x v="120"/>
    <m/>
    <m/>
  </r>
  <r>
    <x v="2"/>
    <d v="2019-09-03T00:00:00"/>
    <s v="POWERPLUS"/>
    <x v="29"/>
    <n v="58"/>
    <x v="7"/>
    <m/>
    <m/>
    <m/>
    <n v="58"/>
    <b v="0"/>
    <m/>
    <m/>
    <s v="-"/>
    <x v="29"/>
    <m/>
    <m/>
  </r>
  <r>
    <x v="2"/>
    <d v="2019-09-03T00:00:00"/>
    <s v="POWERPLUS"/>
    <x v="29"/>
    <n v="140"/>
    <x v="7"/>
    <m/>
    <m/>
    <m/>
    <n v="140"/>
    <b v="0"/>
    <m/>
    <m/>
    <s v="-"/>
    <x v="29"/>
    <m/>
    <m/>
  </r>
  <r>
    <x v="2"/>
    <d v="2019-09-03T00:00:00"/>
    <s v="POWERPLUS CHECKING"/>
    <x v="29"/>
    <n v="58"/>
    <x v="8"/>
    <m/>
    <m/>
    <m/>
    <n v="58"/>
    <b v="0"/>
    <m/>
    <m/>
    <s v="-"/>
    <x v="29"/>
    <m/>
    <m/>
  </r>
  <r>
    <x v="2"/>
    <d v="2019-09-03T00:00:00"/>
    <s v="POWERPLUS CHECKING"/>
    <x v="29"/>
    <n v="140"/>
    <x v="8"/>
    <m/>
    <m/>
    <m/>
    <n v="140"/>
    <b v="0"/>
    <m/>
    <m/>
    <s v="-"/>
    <x v="29"/>
    <m/>
    <m/>
  </r>
  <r>
    <x v="2"/>
    <d v="2019-09-03T00:00:00"/>
    <s v="Jeff"/>
    <x v="138"/>
    <n v="-18.649999999999999"/>
    <x v="23"/>
    <m/>
    <m/>
    <m/>
    <n v="18.649999999999999"/>
    <b v="0"/>
    <m/>
    <m/>
    <s v=".+"/>
    <x v="137"/>
    <m/>
    <m/>
  </r>
  <r>
    <x v="2"/>
    <d v="2019-09-03T00:00:00"/>
    <s v="Joint Tenant"/>
    <x v="138"/>
    <n v="-18.649999999999999"/>
    <x v="3"/>
    <m/>
    <m/>
    <m/>
    <n v="18.649999999999999"/>
    <b v="0"/>
    <m/>
    <m/>
    <s v=".+"/>
    <x v="137"/>
    <m/>
    <m/>
  </r>
  <r>
    <x v="2"/>
    <d v="2019-09-04T00:00:00"/>
    <s v="Discover"/>
    <x v="0"/>
    <n v="10.73"/>
    <x v="0"/>
    <m/>
    <m/>
    <m/>
    <n v="10.73"/>
    <b v="0"/>
    <m/>
    <m/>
    <s v="-"/>
    <x v="0"/>
    <s v="Create Rule; and Description='Amazon';Amazon"/>
    <m/>
  </r>
  <r>
    <x v="2"/>
    <d v="2019-09-04T00:00:00"/>
    <s v="Discover More Card"/>
    <x v="0"/>
    <n v="10.73"/>
    <x v="0"/>
    <m/>
    <m/>
    <m/>
    <n v="10.73"/>
    <b v="0"/>
    <m/>
    <m/>
    <s v="-"/>
    <x v="0"/>
    <m/>
    <m/>
  </r>
  <r>
    <x v="2"/>
    <d v="2019-09-04T00:00:00"/>
    <s v="Cash Rewards Visa Signature"/>
    <x v="224"/>
    <n v="18.940000000000001"/>
    <x v="5"/>
    <m/>
    <m/>
    <m/>
    <n v="18.940000000000001"/>
    <b v="0"/>
    <m/>
    <m/>
    <s v="-"/>
    <x v="222"/>
    <m/>
    <m/>
  </r>
  <r>
    <x v="2"/>
    <d v="2019-09-04T00:00:00"/>
    <s v="Cash Rewards Visa Signature"/>
    <x v="224"/>
    <n v="37.880000000000003"/>
    <x v="5"/>
    <m/>
    <m/>
    <m/>
    <n v="37.880000000000003"/>
    <b v="0"/>
    <m/>
    <m/>
    <s v="-"/>
    <x v="222"/>
    <m/>
    <m/>
  </r>
  <r>
    <x v="2"/>
    <d v="2019-09-04T00:00:00"/>
    <s v="POWERPLUS"/>
    <x v="225"/>
    <n v="-2265.0300000000002"/>
    <x v="14"/>
    <m/>
    <m/>
    <m/>
    <n v="2265.0300000000002"/>
    <b v="0"/>
    <m/>
    <m/>
    <s v="+"/>
    <x v="223"/>
    <s v="Create Rule; and Description Like '%CARGILL COCOA TYPE DIR DEP ID%';Inc - Britney"/>
    <m/>
  </r>
  <r>
    <x v="2"/>
    <d v="2019-09-04T00:00:00"/>
    <s v="POWERPLUS CHECKING"/>
    <x v="225"/>
    <n v="-2265.0300000000002"/>
    <x v="14"/>
    <m/>
    <m/>
    <m/>
    <n v="2265.0300000000002"/>
    <b v="0"/>
    <m/>
    <m/>
    <s v=".+"/>
    <x v="223"/>
    <m/>
    <m/>
  </r>
  <r>
    <x v="2"/>
    <d v="2019-09-04T00:00:00"/>
    <s v="POWERPLUS"/>
    <x v="226"/>
    <n v="256.5"/>
    <x v="4"/>
    <m/>
    <m/>
    <m/>
    <n v="256.5"/>
    <b v="0"/>
    <m/>
    <m/>
    <s v="-"/>
    <x v="224"/>
    <s v="Create Rule; and Description Like '%CCLC TYPE INTERNET ID%';Day Care"/>
    <m/>
  </r>
  <r>
    <x v="2"/>
    <d v="2019-09-04T00:00:00"/>
    <s v="POWERPLUS CHECKING"/>
    <x v="226"/>
    <n v="256.5"/>
    <x v="4"/>
    <m/>
    <m/>
    <m/>
    <n v="256.5"/>
    <b v="0"/>
    <m/>
    <m/>
    <s v="-"/>
    <x v="224"/>
    <m/>
    <m/>
  </r>
  <r>
    <x v="2"/>
    <d v="2019-09-04T00:00:00"/>
    <s v="Cash Rewards Visa Signature"/>
    <x v="6"/>
    <n v="96.78"/>
    <x v="5"/>
    <m/>
    <m/>
    <m/>
    <n v="96.78"/>
    <b v="0"/>
    <m/>
    <m/>
    <s v="-"/>
    <x v="6"/>
    <m/>
    <m/>
  </r>
  <r>
    <x v="2"/>
    <d v="2019-09-04T00:00:00"/>
    <s v="KAUFMAN"/>
    <x v="227"/>
    <n v="-35144.33"/>
    <x v="3"/>
    <m/>
    <m/>
    <m/>
    <n v="35144.33"/>
    <b v="0"/>
    <m/>
    <m/>
    <s v=".+"/>
    <x v="225"/>
    <m/>
    <m/>
  </r>
  <r>
    <x v="2"/>
    <d v="2019-09-04T00:00:00"/>
    <s v="KAUFMAN"/>
    <x v="228"/>
    <n v="-14057.7"/>
    <x v="3"/>
    <m/>
    <m/>
    <m/>
    <n v="14057.7"/>
    <b v="0"/>
    <m/>
    <m/>
    <s v=".+"/>
    <x v="226"/>
    <m/>
    <m/>
  </r>
  <r>
    <x v="2"/>
    <d v="2019-09-04T00:00:00"/>
    <s v="Jeff"/>
    <x v="187"/>
    <n v="16.670000000000002"/>
    <x v="23"/>
    <m/>
    <m/>
    <m/>
    <n v="16.670000000000002"/>
    <b v="0"/>
    <m/>
    <m/>
    <s v="-"/>
    <x v="186"/>
    <m/>
    <m/>
  </r>
  <r>
    <x v="2"/>
    <d v="2019-09-04T00:00:00"/>
    <s v="Joint Tenant"/>
    <x v="187"/>
    <n v="16.670000000000002"/>
    <x v="3"/>
    <m/>
    <m/>
    <m/>
    <n v="16.670000000000002"/>
    <b v="0"/>
    <m/>
    <m/>
    <s v="-"/>
    <x v="186"/>
    <m/>
    <m/>
  </r>
  <r>
    <x v="2"/>
    <d v="2019-09-04T00:00:00"/>
    <s v="Cash Rewards Visa Signature"/>
    <x v="3"/>
    <n v="-1046.9000000000001"/>
    <x v="3"/>
    <m/>
    <m/>
    <m/>
    <n v="1046.9000000000001"/>
    <b v="0"/>
    <m/>
    <m/>
    <s v=".+"/>
    <x v="3"/>
    <m/>
    <m/>
  </r>
  <r>
    <x v="2"/>
    <d v="2019-09-04T00:00:00"/>
    <s v="POWERPLUS"/>
    <x v="4"/>
    <n v="1046.9000000000001"/>
    <x v="3"/>
    <m/>
    <m/>
    <m/>
    <n v="1046.9000000000001"/>
    <b v="0"/>
    <m/>
    <m/>
    <s v="-"/>
    <x v="4"/>
    <s v="Delete; and Description Like '%Transfer to Cash Rewards Visa Signature%';0"/>
    <m/>
  </r>
  <r>
    <x v="2"/>
    <d v="2019-09-04T00:00:00"/>
    <s v="POWERPLUS CHECKING"/>
    <x v="4"/>
    <n v="1046.9000000000001"/>
    <x v="3"/>
    <m/>
    <m/>
    <m/>
    <n v="1046.9000000000001"/>
    <b v="0"/>
    <m/>
    <m/>
    <s v="-"/>
    <x v="4"/>
    <m/>
    <m/>
  </r>
  <r>
    <x v="2"/>
    <d v="2019-09-04T00:00:00"/>
    <s v="KAUFMAN"/>
    <x v="54"/>
    <n v="-3212.35"/>
    <x v="3"/>
    <m/>
    <m/>
    <m/>
    <n v="3212.35"/>
    <b v="0"/>
    <m/>
    <m/>
    <s v=".+"/>
    <x v="54"/>
    <m/>
    <m/>
  </r>
  <r>
    <x v="2"/>
    <d v="2019-09-04T00:00:00"/>
    <s v="KAUFMAN"/>
    <x v="54"/>
    <n v="49202.03"/>
    <x v="3"/>
    <m/>
    <m/>
    <m/>
    <n v="49202.03"/>
    <b v="0"/>
    <m/>
    <m/>
    <s v="-"/>
    <x v="54"/>
    <m/>
    <m/>
  </r>
  <r>
    <x v="2"/>
    <d v="2019-09-04T00:00:00"/>
    <s v="Jeff"/>
    <x v="138"/>
    <n v="18.649999999999999"/>
    <x v="23"/>
    <m/>
    <m/>
    <m/>
    <n v="18.649999999999999"/>
    <b v="0"/>
    <m/>
    <m/>
    <s v="-"/>
    <x v="137"/>
    <m/>
    <m/>
  </r>
  <r>
    <x v="2"/>
    <d v="2019-09-04T00:00:00"/>
    <s v="Joint Tenant"/>
    <x v="138"/>
    <n v="18.649999999999999"/>
    <x v="3"/>
    <m/>
    <m/>
    <m/>
    <n v="18.649999999999999"/>
    <b v="0"/>
    <m/>
    <m/>
    <s v="-"/>
    <x v="137"/>
    <m/>
    <m/>
  </r>
  <r>
    <x v="2"/>
    <d v="2019-09-05T00:00:00"/>
    <s v="Cash Rewards Visa Signature"/>
    <x v="229"/>
    <n v="32.25"/>
    <x v="8"/>
    <m/>
    <m/>
    <m/>
    <n v="32.25"/>
    <b v="0"/>
    <m/>
    <m/>
    <s v="-"/>
    <x v="227"/>
    <m/>
    <m/>
  </r>
  <r>
    <x v="2"/>
    <d v="2019-09-05T00:00:00"/>
    <s v="Cash Rewards Visa Signature"/>
    <x v="230"/>
    <n v="141.97"/>
    <x v="8"/>
    <m/>
    <m/>
    <m/>
    <n v="141.97"/>
    <b v="0"/>
    <m/>
    <m/>
    <s v="-"/>
    <x v="228"/>
    <m/>
    <m/>
  </r>
  <r>
    <x v="2"/>
    <d v="2019-09-05T00:00:00"/>
    <s v="Discover"/>
    <x v="188"/>
    <n v="15.03"/>
    <x v="1"/>
    <m/>
    <m/>
    <m/>
    <n v="15.03"/>
    <b v="0"/>
    <m/>
    <m/>
    <s v="-"/>
    <x v="187"/>
    <s v="Create Rule; and Description='Noodles &amp; Company';Restaurants"/>
    <m/>
  </r>
  <r>
    <x v="2"/>
    <d v="2019-09-05T00:00:00"/>
    <s v="Discover More Card"/>
    <x v="188"/>
    <n v="15.03"/>
    <x v="1"/>
    <m/>
    <m/>
    <m/>
    <n v="15.03"/>
    <b v="0"/>
    <m/>
    <m/>
    <s v="-"/>
    <x v="187"/>
    <m/>
    <m/>
  </r>
  <r>
    <x v="2"/>
    <d v="2019-09-05T00:00:00"/>
    <s v="Jeff Roth"/>
    <x v="19"/>
    <n v="150"/>
    <x v="3"/>
    <m/>
    <m/>
    <m/>
    <n v="150"/>
    <b v="0"/>
    <m/>
    <m/>
    <s v="-"/>
    <x v="19"/>
    <s v="Delete; and Description='SCHWAB S&amp;P 500 INDEX FD' and inflowoutflow='-';0"/>
    <m/>
  </r>
  <r>
    <x v="2"/>
    <d v="2019-09-05T00:00:00"/>
    <s v="Roth Contributory IRA"/>
    <x v="19"/>
    <n v="150"/>
    <x v="3"/>
    <m/>
    <m/>
    <m/>
    <n v="150"/>
    <b v="0"/>
    <m/>
    <m/>
    <s v="-"/>
    <x v="19"/>
    <s v="Delete; and Description='SCHWAB S&amp;P 500 INDEX FD' and inflowoutflow='-';0"/>
    <m/>
  </r>
  <r>
    <x v="2"/>
    <d v="2019-09-05T00:00:00"/>
    <s v="Jeff Roth"/>
    <x v="20"/>
    <n v="150"/>
    <x v="3"/>
    <m/>
    <m/>
    <m/>
    <n v="150"/>
    <b v="0"/>
    <m/>
    <m/>
    <s v="-"/>
    <x v="20"/>
    <s v="Delete; and Description='SCHWAB TOTAL STOCK MKT INDEX' and inflowoutflow='-';0"/>
    <m/>
  </r>
  <r>
    <x v="2"/>
    <d v="2019-09-05T00:00:00"/>
    <s v="Roth Contributory IRA"/>
    <x v="20"/>
    <n v="150"/>
    <x v="3"/>
    <m/>
    <m/>
    <m/>
    <n v="150"/>
    <b v="0"/>
    <m/>
    <m/>
    <s v="-"/>
    <x v="20"/>
    <m/>
    <m/>
  </r>
  <r>
    <x v="2"/>
    <d v="2019-09-05T00:00:00"/>
    <s v="Target Credit Card"/>
    <x v="34"/>
    <n v="36.76"/>
    <x v="12"/>
    <m/>
    <m/>
    <m/>
    <n v="36.76"/>
    <b v="0"/>
    <m/>
    <m/>
    <s v="-"/>
    <x v="34"/>
    <m/>
    <m/>
  </r>
  <r>
    <x v="2"/>
    <d v="2019-09-05T00:00:00"/>
    <s v="Cash Rewards Visa Signature"/>
    <x v="231"/>
    <n v="475.84"/>
    <x v="25"/>
    <m/>
    <m/>
    <m/>
    <n v="475.84"/>
    <b v="0"/>
    <m/>
    <m/>
    <s v="-"/>
    <x v="229"/>
    <m/>
    <m/>
  </r>
  <r>
    <x v="2"/>
    <d v="2019-09-05T00:00:00"/>
    <s v="POWERPLUS"/>
    <x v="30"/>
    <n v="149.09"/>
    <x v="11"/>
    <m/>
    <m/>
    <m/>
    <n v="149.09"/>
    <b v="0"/>
    <m/>
    <m/>
    <s v="-"/>
    <x v="30"/>
    <s v="Create Rule; and Description='Xcel Energy';Utilities"/>
    <m/>
  </r>
  <r>
    <x v="2"/>
    <d v="2019-09-05T00:00:00"/>
    <s v="POWERPLUS CHECKING"/>
    <x v="30"/>
    <n v="149.09"/>
    <x v="11"/>
    <m/>
    <m/>
    <m/>
    <n v="149.09"/>
    <b v="0"/>
    <m/>
    <m/>
    <s v="-"/>
    <x v="30"/>
    <m/>
    <m/>
  </r>
  <r>
    <x v="2"/>
    <d v="2019-09-06T00:00:00"/>
    <s v="Jeff"/>
    <x v="232"/>
    <n v="-81.72"/>
    <x v="23"/>
    <m/>
    <m/>
    <m/>
    <n v="81.72"/>
    <b v="0"/>
    <m/>
    <m/>
    <s v=".+"/>
    <x v="230"/>
    <m/>
    <m/>
  </r>
  <r>
    <x v="2"/>
    <d v="2019-09-06T00:00:00"/>
    <s v="Joint Tenant"/>
    <x v="232"/>
    <n v="-81.72"/>
    <x v="3"/>
    <m/>
    <m/>
    <m/>
    <n v="81.72"/>
    <b v="0"/>
    <m/>
    <m/>
    <s v=".+"/>
    <x v="230"/>
    <m/>
    <m/>
  </r>
  <r>
    <x v="2"/>
    <d v="2019-09-06T00:00:00"/>
    <s v="Cash Rewards Visa Signature"/>
    <x v="37"/>
    <n v="4.8899999999999997"/>
    <x v="2"/>
    <m/>
    <m/>
    <m/>
    <n v="4.8899999999999997"/>
    <b v="0"/>
    <m/>
    <m/>
    <s v="-"/>
    <x v="37"/>
    <m/>
    <m/>
  </r>
  <r>
    <x v="2"/>
    <d v="2019-09-06T00:00:00"/>
    <s v="Jeff"/>
    <x v="185"/>
    <n v="-200"/>
    <x v="21"/>
    <m/>
    <m/>
    <m/>
    <n v="200"/>
    <b v="0"/>
    <m/>
    <m/>
    <s v=".+"/>
    <x v="184"/>
    <m/>
    <m/>
  </r>
  <r>
    <x v="2"/>
    <d v="2019-09-06T00:00:00"/>
    <s v="Joint Tenant"/>
    <x v="185"/>
    <n v="-200"/>
    <x v="3"/>
    <m/>
    <m/>
    <m/>
    <n v="200"/>
    <b v="0"/>
    <m/>
    <m/>
    <s v=".+"/>
    <x v="184"/>
    <m/>
    <m/>
  </r>
  <r>
    <x v="2"/>
    <d v="2019-09-06T00:00:00"/>
    <s v="Discover"/>
    <x v="59"/>
    <n v="4.82"/>
    <x v="1"/>
    <m/>
    <m/>
    <m/>
    <n v="4.82"/>
    <b v="0"/>
    <m/>
    <m/>
    <s v="-"/>
    <x v="59"/>
    <s v="Create Rule; and Description Like '%Caribou Coffee%';Restaurants"/>
    <m/>
  </r>
  <r>
    <x v="2"/>
    <d v="2019-09-06T00:00:00"/>
    <s v="Discover More Card"/>
    <x v="59"/>
    <n v="4.82"/>
    <x v="1"/>
    <m/>
    <m/>
    <m/>
    <n v="4.82"/>
    <b v="0"/>
    <m/>
    <m/>
    <s v="-"/>
    <x v="59"/>
    <m/>
    <m/>
  </r>
  <r>
    <x v="2"/>
    <d v="2019-09-06T00:00:00"/>
    <s v="Cash Rewards Visa Signature"/>
    <x v="81"/>
    <n v="40.26"/>
    <x v="2"/>
    <m/>
    <m/>
    <m/>
    <n v="40.26"/>
    <b v="0"/>
    <m/>
    <m/>
    <s v="-"/>
    <x v="81"/>
    <m/>
    <m/>
  </r>
  <r>
    <x v="2"/>
    <d v="2019-09-06T00:00:00"/>
    <s v="Discover"/>
    <x v="233"/>
    <n v="39.33"/>
    <x v="7"/>
    <m/>
    <m/>
    <m/>
    <n v="39.33"/>
    <b v="0"/>
    <m/>
    <m/>
    <s v="-"/>
    <x v="231"/>
    <m/>
    <m/>
  </r>
  <r>
    <x v="2"/>
    <d v="2019-09-06T00:00:00"/>
    <s v="Discover More Card"/>
    <x v="233"/>
    <n v="39.33"/>
    <x v="2"/>
    <m/>
    <m/>
    <m/>
    <n v="39.33"/>
    <b v="0"/>
    <m/>
    <m/>
    <s v="-"/>
    <x v="231"/>
    <m/>
    <m/>
  </r>
  <r>
    <x v="2"/>
    <d v="2019-09-06T00:00:00"/>
    <s v="Cash Rewards Visa Signature"/>
    <x v="234"/>
    <n v="15.19"/>
    <x v="2"/>
    <m/>
    <m/>
    <m/>
    <n v="15.19"/>
    <b v="0"/>
    <m/>
    <m/>
    <s v="-"/>
    <x v="232"/>
    <m/>
    <m/>
  </r>
  <r>
    <x v="2"/>
    <d v="2019-09-06T00:00:00"/>
    <s v="Target Credit Card"/>
    <x v="34"/>
    <n v="15.19"/>
    <x v="12"/>
    <m/>
    <m/>
    <m/>
    <n v="15.19"/>
    <b v="0"/>
    <m/>
    <m/>
    <s v="-"/>
    <x v="34"/>
    <m/>
    <m/>
  </r>
  <r>
    <x v="2"/>
    <d v="2019-09-06T00:00:00"/>
    <s v="CARGILL PARTNERSHIP PLAN"/>
    <x v="235"/>
    <n v="-215.38"/>
    <x v="18"/>
    <m/>
    <m/>
    <m/>
    <n v="215.38"/>
    <b v="0"/>
    <m/>
    <m/>
    <s v=".+"/>
    <x v="233"/>
    <m/>
    <m/>
  </r>
  <r>
    <x v="2"/>
    <d v="2019-09-06T00:00:00"/>
    <s v="Roth Contributory IRA"/>
    <x v="51"/>
    <n v="-150"/>
    <x v="17"/>
    <m/>
    <m/>
    <m/>
    <n v="150"/>
    <b v="0"/>
    <m/>
    <m/>
    <s v=".+"/>
    <x v="51"/>
    <m/>
    <m/>
  </r>
  <r>
    <x v="2"/>
    <d v="2019-09-06T00:00:00"/>
    <s v="Jeff"/>
    <x v="141"/>
    <n v="-4.3099999999999996"/>
    <x v="23"/>
    <m/>
    <m/>
    <m/>
    <n v="4.3099999999999996"/>
    <b v="0"/>
    <m/>
    <m/>
    <s v=".+"/>
    <x v="140"/>
    <m/>
    <m/>
  </r>
  <r>
    <x v="2"/>
    <d v="2019-09-06T00:00:00"/>
    <s v="Joint Tenant"/>
    <x v="141"/>
    <n v="-4.3099999999999996"/>
    <x v="3"/>
    <m/>
    <m/>
    <m/>
    <n v="4.3099999999999996"/>
    <b v="0"/>
    <m/>
    <m/>
    <s v=".+"/>
    <x v="140"/>
    <m/>
    <m/>
  </r>
  <r>
    <x v="2"/>
    <d v="2019-09-06T00:00:00"/>
    <s v="POWERPLUS"/>
    <x v="29"/>
    <n v="100"/>
    <x v="7"/>
    <m/>
    <m/>
    <m/>
    <n v="100"/>
    <b v="0"/>
    <m/>
    <m/>
    <s v="-"/>
    <x v="29"/>
    <m/>
    <m/>
  </r>
  <r>
    <x v="2"/>
    <d v="2019-09-06T00:00:00"/>
    <s v="POWERPLUS CHECKING"/>
    <x v="29"/>
    <n v="100"/>
    <x v="8"/>
    <m/>
    <m/>
    <m/>
    <n v="100"/>
    <b v="0"/>
    <m/>
    <m/>
    <s v="-"/>
    <x v="29"/>
    <m/>
    <m/>
  </r>
  <r>
    <x v="2"/>
    <d v="2019-09-07T00:00:00"/>
    <s v="POWERPLUS"/>
    <x v="35"/>
    <n v="-80.849999999999994"/>
    <x v="13"/>
    <m/>
    <m/>
    <m/>
    <n v="80.849999999999994"/>
    <b v="0"/>
    <m/>
    <m/>
    <s v="+"/>
    <x v="35"/>
    <s v="Create Rule; and Description='Cargill Incorpor Type';Inc - Other"/>
    <m/>
  </r>
  <r>
    <x v="2"/>
    <d v="2019-09-07T00:00:00"/>
    <s v="POWERPLUS CHECKING"/>
    <x v="35"/>
    <n v="-80.849999999999994"/>
    <x v="13"/>
    <m/>
    <m/>
    <m/>
    <n v="80.849999999999994"/>
    <b v="0"/>
    <m/>
    <m/>
    <s v=".+"/>
    <x v="35"/>
    <m/>
    <m/>
  </r>
  <r>
    <x v="2"/>
    <d v="2019-09-07T00:00:00"/>
    <s v="Discover"/>
    <x v="236"/>
    <n v="59.66"/>
    <x v="1"/>
    <m/>
    <m/>
    <m/>
    <n v="59.66"/>
    <b v="0"/>
    <m/>
    <m/>
    <s v="-"/>
    <x v="234"/>
    <s v="Create Rule; and Description Like '%LONESOME PINE RESTAURANT%';Restaurants"/>
    <m/>
  </r>
  <r>
    <x v="2"/>
    <d v="2019-09-07T00:00:00"/>
    <s v="Discover More Card"/>
    <x v="236"/>
    <n v="59.66"/>
    <x v="1"/>
    <m/>
    <m/>
    <m/>
    <n v="59.66"/>
    <b v="0"/>
    <m/>
    <m/>
    <s v="-"/>
    <x v="234"/>
    <m/>
    <m/>
  </r>
  <r>
    <x v="2"/>
    <d v="2019-09-08T00:00:00"/>
    <s v="Discover"/>
    <x v="237"/>
    <n v="10.25"/>
    <x v="1"/>
    <m/>
    <m/>
    <m/>
    <n v="10.25"/>
    <b v="0"/>
    <m/>
    <m/>
    <s v="-"/>
    <x v="235"/>
    <s v="Create Rule; and Description like '%McDonald%';Restaurants"/>
    <m/>
  </r>
  <r>
    <x v="2"/>
    <d v="2019-09-08T00:00:00"/>
    <s v="Discover More Card"/>
    <x v="237"/>
    <n v="10.25"/>
    <x v="1"/>
    <m/>
    <m/>
    <m/>
    <n v="10.25"/>
    <b v="0"/>
    <m/>
    <m/>
    <s v="-"/>
    <x v="235"/>
    <m/>
    <m/>
  </r>
  <r>
    <x v="2"/>
    <d v="2019-09-08T00:00:00"/>
    <s v="Cash Rewards Visa Signature"/>
    <x v="238"/>
    <n v="40.06"/>
    <x v="1"/>
    <m/>
    <m/>
    <m/>
    <n v="40.06"/>
    <b v="0"/>
    <m/>
    <m/>
    <s v="-"/>
    <x v="236"/>
    <m/>
    <m/>
  </r>
  <r>
    <x v="2"/>
    <d v="2019-09-08T00:00:00"/>
    <s v="Cash Rewards Visa Signature"/>
    <x v="239"/>
    <n v="43.39"/>
    <x v="10"/>
    <m/>
    <m/>
    <m/>
    <n v="43.39"/>
    <b v="0"/>
    <m/>
    <m/>
    <s v="-"/>
    <x v="237"/>
    <m/>
    <m/>
  </r>
  <r>
    <x v="2"/>
    <d v="2019-09-09T00:00:00"/>
    <s v="Jeff"/>
    <x v="232"/>
    <n v="81.72"/>
    <x v="23"/>
    <m/>
    <m/>
    <m/>
    <n v="81.72"/>
    <b v="0"/>
    <m/>
    <m/>
    <s v="-"/>
    <x v="230"/>
    <m/>
    <m/>
  </r>
  <r>
    <x v="2"/>
    <d v="2019-09-09T00:00:00"/>
    <s v="Joint Tenant"/>
    <x v="232"/>
    <n v="81.72"/>
    <x v="3"/>
    <m/>
    <m/>
    <m/>
    <n v="81.72"/>
    <b v="0"/>
    <m/>
    <m/>
    <s v="-"/>
    <x v="230"/>
    <m/>
    <m/>
  </r>
  <r>
    <x v="2"/>
    <d v="2019-09-09T00:00:00"/>
    <s v="Cash Rewards Visa Signature"/>
    <x v="174"/>
    <n v="22.09"/>
    <x v="2"/>
    <m/>
    <m/>
    <m/>
    <n v="22.09"/>
    <b v="0"/>
    <m/>
    <m/>
    <s v="-"/>
    <x v="173"/>
    <m/>
    <m/>
  </r>
  <r>
    <x v="2"/>
    <d v="2019-09-09T00:00:00"/>
    <s v="Discover"/>
    <x v="240"/>
    <n v="22.76"/>
    <x v="1"/>
    <m/>
    <m/>
    <m/>
    <n v="22.76"/>
    <b v="0"/>
    <m/>
    <m/>
    <s v="-"/>
    <x v="238"/>
    <s v="Create Rule; and Description='Chipotle';Restaurants"/>
    <m/>
  </r>
  <r>
    <x v="2"/>
    <d v="2019-09-09T00:00:00"/>
    <s v="Discover More Card"/>
    <x v="240"/>
    <n v="22.76"/>
    <x v="1"/>
    <m/>
    <m/>
    <m/>
    <n v="22.76"/>
    <b v="0"/>
    <m/>
    <m/>
    <s v="-"/>
    <x v="238"/>
    <m/>
    <m/>
  </r>
  <r>
    <x v="2"/>
    <d v="2019-09-09T00:00:00"/>
    <s v="Cash Rewards Visa Signature"/>
    <x v="241"/>
    <n v="94.48"/>
    <x v="5"/>
    <m/>
    <m/>
    <m/>
    <n v="94.48"/>
    <b v="0"/>
    <m/>
    <m/>
    <s v="-"/>
    <x v="239"/>
    <m/>
    <m/>
  </r>
  <r>
    <x v="2"/>
    <d v="2019-09-09T00:00:00"/>
    <s v="Cash Rewards Visa Signature"/>
    <x v="242"/>
    <n v="9.07"/>
    <x v="1"/>
    <m/>
    <m/>
    <m/>
    <n v="9.07"/>
    <b v="0"/>
    <m/>
    <m/>
    <s v="-"/>
    <x v="240"/>
    <m/>
    <m/>
  </r>
  <r>
    <x v="2"/>
    <d v="2019-09-09T00:00:00"/>
    <s v="POWERPLUS"/>
    <x v="157"/>
    <n v="7.43"/>
    <x v="8"/>
    <m/>
    <m/>
    <m/>
    <n v="7.43"/>
    <b v="0"/>
    <m/>
    <m/>
    <s v="-"/>
    <x v="156"/>
    <s v="Create Rule; and Description Like '%PayPal%';Shopping"/>
    <m/>
  </r>
  <r>
    <x v="2"/>
    <d v="2019-09-09T00:00:00"/>
    <s v="POWERPLUS CHECKING"/>
    <x v="157"/>
    <n v="7.43"/>
    <x v="8"/>
    <m/>
    <m/>
    <m/>
    <n v="7.43"/>
    <b v="0"/>
    <m/>
    <m/>
    <s v="-"/>
    <x v="156"/>
    <m/>
    <m/>
  </r>
  <r>
    <x v="2"/>
    <d v="2019-09-09T00:00:00"/>
    <s v="Discover"/>
    <x v="243"/>
    <n v="4.28"/>
    <x v="10"/>
    <m/>
    <m/>
    <m/>
    <n v="4.28"/>
    <b v="0"/>
    <m/>
    <m/>
    <s v="-"/>
    <x v="241"/>
    <s v="Create Rule; and Description Like '%PRIME VIDEO%';Entertainment"/>
    <m/>
  </r>
  <r>
    <x v="2"/>
    <d v="2019-09-09T00:00:00"/>
    <s v="Discover More Card"/>
    <x v="243"/>
    <n v="4.28"/>
    <x v="10"/>
    <m/>
    <m/>
    <m/>
    <n v="4.28"/>
    <b v="0"/>
    <m/>
    <m/>
    <s v="-"/>
    <x v="241"/>
    <m/>
    <m/>
  </r>
  <r>
    <x v="2"/>
    <d v="2019-09-09T00:00:00"/>
    <s v="Cash Rewards Visa Signature"/>
    <x v="3"/>
    <n v="-947.45"/>
    <x v="3"/>
    <m/>
    <m/>
    <m/>
    <n v="947.45"/>
    <b v="0"/>
    <m/>
    <m/>
    <s v=".+"/>
    <x v="3"/>
    <m/>
    <m/>
  </r>
  <r>
    <x v="2"/>
    <d v="2019-09-09T00:00:00"/>
    <s v="POWERPLUS"/>
    <x v="4"/>
    <n v="947.45"/>
    <x v="3"/>
    <m/>
    <m/>
    <m/>
    <n v="947.45"/>
    <b v="0"/>
    <m/>
    <m/>
    <s v="-"/>
    <x v="4"/>
    <s v="Delete; and Description Like '%Transfer to Cash Rewards Visa Signature%';0"/>
    <m/>
  </r>
  <r>
    <x v="2"/>
    <d v="2019-09-09T00:00:00"/>
    <s v="POWERPLUS CHECKING"/>
    <x v="4"/>
    <n v="947.45"/>
    <x v="3"/>
    <m/>
    <m/>
    <m/>
    <n v="947.45"/>
    <b v="0"/>
    <m/>
    <m/>
    <s v="-"/>
    <x v="4"/>
    <m/>
    <m/>
  </r>
  <r>
    <x v="2"/>
    <d v="2019-09-09T00:00:00"/>
    <s v="Jeff"/>
    <x v="141"/>
    <n v="4.3099999999999996"/>
    <x v="23"/>
    <m/>
    <m/>
    <m/>
    <n v="4.3099999999999996"/>
    <b v="0"/>
    <m/>
    <m/>
    <s v="-"/>
    <x v="140"/>
    <m/>
    <m/>
  </r>
  <r>
    <x v="2"/>
    <d v="2019-09-09T00:00:00"/>
    <s v="Joint Tenant"/>
    <x v="141"/>
    <n v="4.3099999999999996"/>
    <x v="3"/>
    <m/>
    <m/>
    <m/>
    <n v="4.3099999999999996"/>
    <b v="0"/>
    <m/>
    <m/>
    <s v="-"/>
    <x v="140"/>
    <m/>
    <m/>
  </r>
  <r>
    <x v="2"/>
    <d v="2019-09-10T00:00:00"/>
    <s v="Cash Rewards Visa Signature"/>
    <x v="244"/>
    <n v="180.27"/>
    <x v="5"/>
    <m/>
    <m/>
    <m/>
    <n v="180.27"/>
    <b v="0"/>
    <m/>
    <m/>
    <s v="-"/>
    <x v="242"/>
    <m/>
    <m/>
  </r>
  <r>
    <x v="2"/>
    <d v="2019-09-10T00:00:00"/>
    <s v="Discover"/>
    <x v="161"/>
    <n v="6.44"/>
    <x v="1"/>
    <m/>
    <m/>
    <m/>
    <n v="6.44"/>
    <b v="0"/>
    <m/>
    <m/>
    <s v="-"/>
    <x v="160"/>
    <s v="Create Rule; and Description Like '%CARGILL CAF%';Restaurants"/>
    <m/>
  </r>
  <r>
    <x v="2"/>
    <d v="2019-09-10T00:00:00"/>
    <s v="Discover More Card"/>
    <x v="161"/>
    <n v="6.44"/>
    <x v="1"/>
    <m/>
    <m/>
    <m/>
    <n v="6.44"/>
    <b v="0"/>
    <m/>
    <m/>
    <s v="-"/>
    <x v="160"/>
    <m/>
    <m/>
  </r>
  <r>
    <x v="2"/>
    <d v="2019-09-10T00:00:00"/>
    <s v="Discover"/>
    <x v="59"/>
    <n v="5.47"/>
    <x v="1"/>
    <m/>
    <m/>
    <m/>
    <n v="5.47"/>
    <b v="0"/>
    <m/>
    <m/>
    <s v="-"/>
    <x v="59"/>
    <s v="Create Rule; and Description Like '%Caribou Coffee%';Restaurants"/>
    <m/>
  </r>
  <r>
    <x v="2"/>
    <d v="2019-09-10T00:00:00"/>
    <s v="Discover More Card"/>
    <x v="59"/>
    <n v="5.47"/>
    <x v="1"/>
    <m/>
    <m/>
    <m/>
    <n v="5.47"/>
    <b v="0"/>
    <m/>
    <m/>
    <s v="-"/>
    <x v="59"/>
    <m/>
    <m/>
  </r>
  <r>
    <x v="2"/>
    <d v="2019-09-10T00:00:00"/>
    <s v="Jeff"/>
    <x v="245"/>
    <n v="-45.1"/>
    <x v="23"/>
    <m/>
    <m/>
    <m/>
    <n v="45.1"/>
    <b v="0"/>
    <m/>
    <m/>
    <s v=".+"/>
    <x v="243"/>
    <m/>
    <m/>
  </r>
  <r>
    <x v="2"/>
    <d v="2019-09-10T00:00:00"/>
    <s v="Joint Tenant"/>
    <x v="245"/>
    <n v="-45.1"/>
    <x v="3"/>
    <m/>
    <m/>
    <m/>
    <n v="45.1"/>
    <b v="0"/>
    <m/>
    <m/>
    <s v=".+"/>
    <x v="243"/>
    <m/>
    <m/>
  </r>
  <r>
    <x v="2"/>
    <d v="2019-09-10T00:00:00"/>
    <s v="Cash Rewards Visa Signature"/>
    <x v="100"/>
    <n v="172.53"/>
    <x v="5"/>
    <m/>
    <m/>
    <m/>
    <n v="172.53"/>
    <b v="0"/>
    <m/>
    <m/>
    <s v="-"/>
    <x v="100"/>
    <m/>
    <m/>
  </r>
  <r>
    <x v="2"/>
    <d v="2019-09-10T00:00:00"/>
    <s v="Cash Rewards Visa Signature"/>
    <x v="55"/>
    <n v="77.14"/>
    <x v="8"/>
    <m/>
    <m/>
    <m/>
    <n v="77.14"/>
    <b v="0"/>
    <m/>
    <m/>
    <s v="-"/>
    <x v="55"/>
    <m/>
    <m/>
  </r>
  <r>
    <x v="2"/>
    <d v="2019-09-11T00:00:00"/>
    <s v="Discover"/>
    <x v="93"/>
    <n v="-22.32"/>
    <x v="3"/>
    <m/>
    <m/>
    <m/>
    <n v="22.32"/>
    <b v="0"/>
    <m/>
    <m/>
    <s v="+"/>
    <x v="93"/>
    <s v="Delete; and Description='CASHBACK BONUS REDEMPTION payment/STMT CRDT';0"/>
    <m/>
  </r>
  <r>
    <x v="2"/>
    <d v="2019-09-11T00:00:00"/>
    <s v="Discover More Card"/>
    <x v="93"/>
    <n v="-22.32"/>
    <x v="3"/>
    <m/>
    <m/>
    <m/>
    <n v="22.32"/>
    <b v="0"/>
    <m/>
    <m/>
    <s v=".+"/>
    <x v="93"/>
    <m/>
    <m/>
  </r>
  <r>
    <x v="2"/>
    <d v="2019-09-11T00:00:00"/>
    <s v="Discover"/>
    <x v="56"/>
    <n v="-487.47"/>
    <x v="3"/>
    <m/>
    <m/>
    <m/>
    <n v="487.47"/>
    <b v="0"/>
    <m/>
    <m/>
    <s v="+"/>
    <x v="56"/>
    <s v="Delete; and Description='INTERNET PAYMENT - THANK YOU';0"/>
    <m/>
  </r>
  <r>
    <x v="2"/>
    <d v="2019-09-11T00:00:00"/>
    <s v="Discover More Card"/>
    <x v="56"/>
    <n v="-487.47"/>
    <x v="3"/>
    <m/>
    <m/>
    <m/>
    <n v="487.47"/>
    <b v="0"/>
    <m/>
    <m/>
    <s v=".+"/>
    <x v="56"/>
    <m/>
    <m/>
  </r>
  <r>
    <x v="2"/>
    <d v="2019-09-11T00:00:00"/>
    <s v="Cash Rewards Visa Signature"/>
    <x v="246"/>
    <n v="142.43"/>
    <x v="2"/>
    <m/>
    <m/>
    <m/>
    <n v="142.43"/>
    <b v="0"/>
    <m/>
    <m/>
    <s v="-"/>
    <x v="244"/>
    <m/>
    <m/>
  </r>
  <r>
    <x v="2"/>
    <d v="2019-09-11T00:00:00"/>
    <s v="Jeff"/>
    <x v="245"/>
    <n v="45.1"/>
    <x v="23"/>
    <m/>
    <m/>
    <m/>
    <n v="45.1"/>
    <b v="0"/>
    <m/>
    <m/>
    <s v="-"/>
    <x v="243"/>
    <m/>
    <m/>
  </r>
  <r>
    <x v="2"/>
    <d v="2019-09-11T00:00:00"/>
    <s v="Joint Tenant"/>
    <x v="245"/>
    <n v="45.1"/>
    <x v="3"/>
    <m/>
    <m/>
    <m/>
    <n v="45.1"/>
    <b v="0"/>
    <m/>
    <m/>
    <s v="-"/>
    <x v="243"/>
    <m/>
    <m/>
  </r>
  <r>
    <x v="2"/>
    <d v="2019-09-11T00:00:00"/>
    <s v="POWERPLUS"/>
    <x v="247"/>
    <n v="-475.84"/>
    <x v="3"/>
    <m/>
    <m/>
    <m/>
    <n v="475.84"/>
    <b v="0"/>
    <m/>
    <m/>
    <s v="+"/>
    <x v="245"/>
    <s v="Delete; and Description Like '%DIRECT PAY HSA TYPE ETRANSFER%';0"/>
    <m/>
  </r>
  <r>
    <x v="2"/>
    <d v="2019-09-11T00:00:00"/>
    <s v="POWERPLUS CHECKING"/>
    <x v="247"/>
    <n v="-475.84"/>
    <x v="3"/>
    <m/>
    <m/>
    <m/>
    <n v="475.84"/>
    <b v="0"/>
    <m/>
    <m/>
    <s v=".+"/>
    <x v="245"/>
    <m/>
    <m/>
  </r>
  <r>
    <x v="2"/>
    <d v="2019-09-12T00:00:00"/>
    <s v="POWERPLUS"/>
    <x v="248"/>
    <n v="487.47"/>
    <x v="3"/>
    <m/>
    <m/>
    <m/>
    <n v="487.47"/>
    <b v="0"/>
    <m/>
    <m/>
    <s v="-"/>
    <x v="246"/>
    <s v="Delete; and Description Like '%DISCOVER TYPE EPAYMENT%';0"/>
    <m/>
  </r>
  <r>
    <x v="2"/>
    <d v="2019-09-12T00:00:00"/>
    <s v="POWERPLUS CHECKING"/>
    <x v="248"/>
    <n v="487.47"/>
    <x v="3"/>
    <m/>
    <m/>
    <m/>
    <n v="487.47"/>
    <b v="0"/>
    <m/>
    <m/>
    <s v="-"/>
    <x v="246"/>
    <m/>
    <m/>
  </r>
  <r>
    <x v="2"/>
    <d v="2019-09-12T00:00:00"/>
    <s v="Discover"/>
    <x v="0"/>
    <n v="25.76"/>
    <x v="0"/>
    <m/>
    <m/>
    <m/>
    <n v="25.76"/>
    <b v="0"/>
    <m/>
    <m/>
    <s v="-"/>
    <x v="0"/>
    <s v="Create Rule; and Description='Amazon';Amazon"/>
    <m/>
  </r>
  <r>
    <x v="2"/>
    <d v="2019-09-12T00:00:00"/>
    <s v="Discover More Card"/>
    <x v="0"/>
    <n v="25.76"/>
    <x v="0"/>
    <m/>
    <m/>
    <m/>
    <n v="25.76"/>
    <b v="0"/>
    <m/>
    <m/>
    <s v="-"/>
    <x v="0"/>
    <m/>
    <m/>
  </r>
  <r>
    <x v="2"/>
    <d v="2019-09-12T00:00:00"/>
    <s v="Cash Rewards Visa Signature"/>
    <x v="249"/>
    <n v="56.7"/>
    <x v="5"/>
    <m/>
    <m/>
    <m/>
    <n v="56.7"/>
    <b v="0"/>
    <m/>
    <m/>
    <s v="-"/>
    <x v="247"/>
    <m/>
    <m/>
  </r>
  <r>
    <x v="2"/>
    <d v="2019-09-12T00:00:00"/>
    <s v="POWERPLUS"/>
    <x v="250"/>
    <n v="-2570.36"/>
    <x v="15"/>
    <m/>
    <m/>
    <m/>
    <n v="2570.36"/>
    <b v="0"/>
    <m/>
    <m/>
    <s v="+"/>
    <x v="248"/>
    <s v="Create Rule; and Description Like '%KAUFMAN HALL TYPE DIRECT DEP ID%';Inc - Jeff"/>
    <m/>
  </r>
  <r>
    <x v="2"/>
    <d v="2019-09-12T00:00:00"/>
    <s v="POWERPLUS CHECKING"/>
    <x v="250"/>
    <n v="-2570.36"/>
    <x v="15"/>
    <m/>
    <m/>
    <m/>
    <n v="2570.36"/>
    <b v="0"/>
    <m/>
    <m/>
    <s v=".+"/>
    <x v="248"/>
    <m/>
    <m/>
  </r>
  <r>
    <x v="2"/>
    <d v="2019-09-13T00:00:00"/>
    <s v="Target Credit Card"/>
    <x v="251"/>
    <n v="194.33"/>
    <x v="8"/>
    <m/>
    <m/>
    <m/>
    <n v="194.33"/>
    <b v="0"/>
    <m/>
    <m/>
    <s v="-"/>
    <x v="249"/>
    <m/>
    <m/>
  </r>
  <r>
    <x v="2"/>
    <d v="2019-09-13T00:00:00"/>
    <s v="Cash Rewards Visa Signature"/>
    <x v="246"/>
    <n v="38.11"/>
    <x v="2"/>
    <m/>
    <m/>
    <m/>
    <n v="38.11"/>
    <b v="0"/>
    <m/>
    <m/>
    <s v="-"/>
    <x v="244"/>
    <m/>
    <m/>
  </r>
  <r>
    <x v="2"/>
    <d v="2019-09-13T00:00:00"/>
    <s v="Jeff"/>
    <x v="167"/>
    <n v="-200"/>
    <x v="21"/>
    <m/>
    <m/>
    <m/>
    <n v="200"/>
    <b v="0"/>
    <m/>
    <m/>
    <s v=".+"/>
    <x v="166"/>
    <m/>
    <m/>
  </r>
  <r>
    <x v="2"/>
    <d v="2019-09-13T00:00:00"/>
    <s v="Joint Tenant"/>
    <x v="167"/>
    <n v="-200"/>
    <x v="3"/>
    <m/>
    <m/>
    <m/>
    <n v="200"/>
    <b v="0"/>
    <m/>
    <m/>
    <s v=".+"/>
    <x v="166"/>
    <m/>
    <m/>
  </r>
  <r>
    <x v="2"/>
    <d v="2019-09-13T00:00:00"/>
    <s v="Discover"/>
    <x v="252"/>
    <n v="38.28"/>
    <x v="1"/>
    <m/>
    <m/>
    <m/>
    <n v="38.28"/>
    <b v="0"/>
    <m/>
    <m/>
    <s v="-"/>
    <x v="250"/>
    <s v="Create Rule; and Description Like '%LIONS TAP%';Restaurants"/>
    <m/>
  </r>
  <r>
    <x v="2"/>
    <d v="2019-09-13T00:00:00"/>
    <s v="Discover More Card"/>
    <x v="252"/>
    <n v="38.28"/>
    <x v="1"/>
    <m/>
    <m/>
    <m/>
    <n v="38.28"/>
    <b v="0"/>
    <m/>
    <m/>
    <s v="-"/>
    <x v="250"/>
    <m/>
    <m/>
  </r>
  <r>
    <x v="2"/>
    <d v="2019-09-13T00:00:00"/>
    <s v="Jeff Roth"/>
    <x v="52"/>
    <n v="-211"/>
    <x v="17"/>
    <m/>
    <m/>
    <m/>
    <n v="211"/>
    <b v="0"/>
    <m/>
    <m/>
    <s v="+"/>
    <x v="52"/>
    <s v="Create Rule; and Description='Tfr JPMORGAN CHASE BAN, KAUFMAN HALL';Roth"/>
    <m/>
  </r>
  <r>
    <x v="2"/>
    <d v="2019-09-13T00:00:00"/>
    <s v="Roth Contributory IRA"/>
    <x v="52"/>
    <n v="-211"/>
    <x v="17"/>
    <m/>
    <m/>
    <m/>
    <n v="211"/>
    <b v="0"/>
    <m/>
    <m/>
    <s v=".+"/>
    <x v="52"/>
    <m/>
    <m/>
  </r>
  <r>
    <x v="2"/>
    <d v="2019-09-13T00:00:00"/>
    <s v="Cash Rewards Visa Signature"/>
    <x v="3"/>
    <n v="-754.71"/>
    <x v="3"/>
    <m/>
    <m/>
    <m/>
    <n v="754.71"/>
    <b v="0"/>
    <m/>
    <m/>
    <s v=".+"/>
    <x v="3"/>
    <m/>
    <m/>
  </r>
  <r>
    <x v="2"/>
    <d v="2019-09-13T00:00:00"/>
    <s v="POWERPLUS"/>
    <x v="4"/>
    <n v="754.71"/>
    <x v="3"/>
    <m/>
    <m/>
    <m/>
    <n v="754.71"/>
    <b v="0"/>
    <m/>
    <m/>
    <s v="-"/>
    <x v="4"/>
    <s v="Delete; and Description Like '%Transfer to Cash Rewards Visa Signature%';0"/>
    <m/>
  </r>
  <r>
    <x v="2"/>
    <d v="2019-09-13T00:00:00"/>
    <s v="POWERPLUS CHECKING"/>
    <x v="4"/>
    <n v="754.71"/>
    <x v="3"/>
    <m/>
    <m/>
    <m/>
    <n v="754.71"/>
    <b v="0"/>
    <m/>
    <m/>
    <s v="-"/>
    <x v="4"/>
    <m/>
    <m/>
  </r>
  <r>
    <x v="2"/>
    <d v="2019-09-13T00:00:00"/>
    <s v="KAUFMAN"/>
    <x v="54"/>
    <n v="-1058.95"/>
    <x v="18"/>
    <m/>
    <m/>
    <m/>
    <n v="1058.95"/>
    <b v="0"/>
    <m/>
    <m/>
    <s v=".+"/>
    <x v="54"/>
    <m/>
    <m/>
  </r>
  <r>
    <x v="2"/>
    <d v="2019-09-13T00:00:00"/>
    <s v="POWERPLUS"/>
    <x v="29"/>
    <n v="270"/>
    <x v="7"/>
    <m/>
    <m/>
    <m/>
    <n v="270"/>
    <b v="0"/>
    <m/>
    <m/>
    <s v="-"/>
    <x v="29"/>
    <m/>
    <m/>
  </r>
  <r>
    <x v="2"/>
    <d v="2019-09-13T00:00:00"/>
    <s v="POWERPLUS CHECKING"/>
    <x v="29"/>
    <n v="270"/>
    <x v="8"/>
    <m/>
    <m/>
    <m/>
    <n v="270"/>
    <b v="0"/>
    <m/>
    <m/>
    <s v="-"/>
    <x v="29"/>
    <m/>
    <m/>
  </r>
  <r>
    <x v="2"/>
    <d v="2019-09-14T00:00:00"/>
    <s v="Discover"/>
    <x v="253"/>
    <n v="84.4"/>
    <x v="1"/>
    <m/>
    <m/>
    <m/>
    <n v="84.4"/>
    <b v="0"/>
    <m/>
    <m/>
    <s v="-"/>
    <x v="251"/>
    <s v="Create Rule; and Description Like '%RED SAUCE REBELLION%';Restaurants"/>
    <m/>
  </r>
  <r>
    <x v="2"/>
    <d v="2019-09-14T00:00:00"/>
    <s v="Discover More Card"/>
    <x v="253"/>
    <n v="84.4"/>
    <x v="1"/>
    <m/>
    <m/>
    <m/>
    <n v="84.4"/>
    <b v="0"/>
    <m/>
    <m/>
    <s v="-"/>
    <x v="251"/>
    <m/>
    <m/>
  </r>
  <r>
    <x v="2"/>
    <d v="2019-09-15T00:00:00"/>
    <s v="Cash Rewards Visa Signature"/>
    <x v="254"/>
    <n v="66.510000000000005"/>
    <x v="20"/>
    <m/>
    <m/>
    <m/>
    <n v="66.510000000000005"/>
    <b v="0"/>
    <m/>
    <m/>
    <s v="-"/>
    <x v="252"/>
    <m/>
    <m/>
  </r>
  <r>
    <x v="2"/>
    <d v="2019-09-15T00:00:00"/>
    <s v="Cash Rewards Visa Signature"/>
    <x v="67"/>
    <n v="45"/>
    <x v="11"/>
    <m/>
    <m/>
    <m/>
    <n v="45"/>
    <b v="0"/>
    <m/>
    <m/>
    <s v="-"/>
    <x v="67"/>
    <m/>
    <m/>
  </r>
  <r>
    <x v="2"/>
    <d v="2019-09-15T00:00:00"/>
    <s v="Cash Rewards Visa Signature"/>
    <x v="255"/>
    <n v="134.97999999999999"/>
    <x v="5"/>
    <m/>
    <m/>
    <m/>
    <n v="134.97999999999999"/>
    <b v="0"/>
    <m/>
    <m/>
    <s v="-"/>
    <x v="253"/>
    <m/>
    <m/>
  </r>
  <r>
    <x v="2"/>
    <d v="2019-09-15T00:00:00"/>
    <s v="Cash Rewards Visa Signature"/>
    <x v="152"/>
    <n v="11"/>
    <x v="1"/>
    <m/>
    <m/>
    <m/>
    <n v="11"/>
    <b v="0"/>
    <m/>
    <m/>
    <s v="-"/>
    <x v="151"/>
    <m/>
    <m/>
  </r>
  <r>
    <x v="2"/>
    <d v="2019-09-15T00:00:00"/>
    <s v="Cash Rewards Visa Signature"/>
    <x v="61"/>
    <n v="23.64"/>
    <x v="8"/>
    <m/>
    <m/>
    <m/>
    <n v="23.64"/>
    <b v="0"/>
    <m/>
    <m/>
    <s v="-"/>
    <x v="61"/>
    <m/>
    <m/>
  </r>
  <r>
    <x v="2"/>
    <d v="2019-09-15T00:00:00"/>
    <s v="Cash Rewards Visa Signature"/>
    <x v="120"/>
    <n v="214.71"/>
    <x v="8"/>
    <m/>
    <m/>
    <m/>
    <n v="214.71"/>
    <b v="0"/>
    <m/>
    <m/>
    <s v="-"/>
    <x v="120"/>
    <m/>
    <m/>
  </r>
  <r>
    <x v="2"/>
    <d v="2019-09-16T00:00:00"/>
    <s v="POWERPLUS"/>
    <x v="48"/>
    <n v="99.04"/>
    <x v="16"/>
    <m/>
    <m/>
    <m/>
    <n v="99.04"/>
    <b v="0"/>
    <m/>
    <m/>
    <s v="-"/>
    <x v="48"/>
    <s v="Create Rule; and Description='American Family Insurance';Insurance"/>
    <m/>
  </r>
  <r>
    <x v="2"/>
    <d v="2019-09-16T00:00:00"/>
    <s v="POWERPLUS CHECKING"/>
    <x v="48"/>
    <n v="99.04"/>
    <x v="16"/>
    <m/>
    <m/>
    <m/>
    <n v="99.04"/>
    <b v="0"/>
    <m/>
    <m/>
    <s v="-"/>
    <x v="48"/>
    <m/>
    <m/>
  </r>
  <r>
    <x v="2"/>
    <d v="2019-09-16T00:00:00"/>
    <s v="Cash Rewards Visa Signature"/>
    <x v="256"/>
    <n v="18.899999999999999"/>
    <x v="10"/>
    <m/>
    <m/>
    <m/>
    <n v="18.899999999999999"/>
    <b v="0"/>
    <m/>
    <m/>
    <s v="-"/>
    <x v="254"/>
    <m/>
    <m/>
  </r>
  <r>
    <x v="2"/>
    <d v="2019-09-16T00:00:00"/>
    <s v="Jeff Roth"/>
    <x v="257"/>
    <n v="-0.17"/>
    <x v="7"/>
    <m/>
    <m/>
    <m/>
    <n v="0.17"/>
    <b v="0"/>
    <m/>
    <m/>
    <s v="+"/>
    <x v="255"/>
    <m/>
    <m/>
  </r>
  <r>
    <x v="2"/>
    <d v="2019-09-16T00:00:00"/>
    <s v="Roth Contributory IRA"/>
    <x v="257"/>
    <n v="-0.3"/>
    <x v="3"/>
    <m/>
    <m/>
    <m/>
    <n v="0.3"/>
    <b v="0"/>
    <m/>
    <m/>
    <s v=".+"/>
    <x v="255"/>
    <m/>
    <m/>
  </r>
  <r>
    <x v="2"/>
    <d v="2019-09-16T00:00:00"/>
    <s v="Cash Rewards Visa Signature"/>
    <x v="258"/>
    <n v="114.74"/>
    <x v="8"/>
    <m/>
    <m/>
    <m/>
    <n v="114.74"/>
    <b v="0"/>
    <m/>
    <m/>
    <s v="-"/>
    <x v="256"/>
    <m/>
    <m/>
  </r>
  <r>
    <x v="2"/>
    <d v="2019-09-17T00:00:00"/>
    <s v="Cash Rewards Visa Signature"/>
    <x v="59"/>
    <n v="10.62"/>
    <x v="1"/>
    <m/>
    <m/>
    <m/>
    <n v="10.62"/>
    <b v="0"/>
    <m/>
    <m/>
    <s v="-"/>
    <x v="59"/>
    <m/>
    <m/>
  </r>
  <r>
    <x v="2"/>
    <d v="2019-09-17T00:00:00"/>
    <s v="Cash Rewards Visa Signature"/>
    <x v="259"/>
    <n v="84.77"/>
    <x v="8"/>
    <m/>
    <m/>
    <m/>
    <n v="84.77"/>
    <b v="0"/>
    <m/>
    <m/>
    <s v="-"/>
    <x v="257"/>
    <m/>
    <m/>
  </r>
  <r>
    <x v="2"/>
    <d v="2019-09-17T00:00:00"/>
    <s v="Cash Rewards Visa Signature"/>
    <x v="260"/>
    <n v="7.94"/>
    <x v="2"/>
    <m/>
    <m/>
    <m/>
    <n v="7.94"/>
    <b v="0"/>
    <m/>
    <m/>
    <s v="-"/>
    <x v="258"/>
    <m/>
    <m/>
  </r>
  <r>
    <x v="2"/>
    <d v="2019-09-17T00:00:00"/>
    <s v="POWERPLUS"/>
    <x v="157"/>
    <n v="12.99"/>
    <x v="8"/>
    <m/>
    <m/>
    <m/>
    <n v="12.99"/>
    <b v="0"/>
    <m/>
    <m/>
    <s v="-"/>
    <x v="156"/>
    <s v="Create Rule; and Description Like '%PayPal%';Shopping"/>
    <m/>
  </r>
  <r>
    <x v="2"/>
    <d v="2019-09-17T00:00:00"/>
    <s v="POWERPLUS CHECKING"/>
    <x v="157"/>
    <n v="12.99"/>
    <x v="8"/>
    <m/>
    <m/>
    <m/>
    <n v="12.99"/>
    <b v="0"/>
    <m/>
    <m/>
    <s v="-"/>
    <x v="156"/>
    <m/>
    <m/>
  </r>
  <r>
    <x v="2"/>
    <d v="2019-09-17T00:00:00"/>
    <s v="Cash Rewards Visa Signature"/>
    <x v="3"/>
    <n v="-667.59"/>
    <x v="3"/>
    <m/>
    <m/>
    <m/>
    <n v="667.59"/>
    <b v="0"/>
    <m/>
    <m/>
    <s v=".+"/>
    <x v="3"/>
    <m/>
    <m/>
  </r>
  <r>
    <x v="2"/>
    <d v="2019-09-17T00:00:00"/>
    <s v="POWERPLUS"/>
    <x v="4"/>
    <n v="667.59"/>
    <x v="3"/>
    <m/>
    <m/>
    <m/>
    <n v="667.59"/>
    <b v="0"/>
    <m/>
    <m/>
    <s v="-"/>
    <x v="4"/>
    <s v="Delete; and Description Like '%Transfer to Cash Rewards Visa Signature%';0"/>
    <m/>
  </r>
  <r>
    <x v="2"/>
    <d v="2019-09-17T00:00:00"/>
    <s v="POWERPLUS CHECKING"/>
    <x v="4"/>
    <n v="667.59"/>
    <x v="3"/>
    <m/>
    <m/>
    <m/>
    <n v="667.59"/>
    <b v="0"/>
    <m/>
    <m/>
    <s v="-"/>
    <x v="4"/>
    <m/>
    <m/>
  </r>
  <r>
    <x v="2"/>
    <d v="2019-09-17T00:00:00"/>
    <s v="Investor Checking"/>
    <x v="160"/>
    <n v="200"/>
    <x v="3"/>
    <m/>
    <m/>
    <m/>
    <n v="200"/>
    <b v="0"/>
    <m/>
    <m/>
    <s v="-"/>
    <x v="159"/>
    <m/>
    <m/>
  </r>
  <r>
    <x v="2"/>
    <d v="2019-09-18T00:00:00"/>
    <s v="POWERPLUS"/>
    <x v="261"/>
    <n v="-2609.35"/>
    <x v="14"/>
    <m/>
    <m/>
    <m/>
    <n v="2609.35"/>
    <b v="0"/>
    <m/>
    <m/>
    <s v="+"/>
    <x v="259"/>
    <s v="Create Rule; and Description Like '%CARGILL COCOA TYPE DIR DEP ID%';Inc - Britney"/>
    <m/>
  </r>
  <r>
    <x v="2"/>
    <d v="2019-09-18T00:00:00"/>
    <s v="POWERPLUS CHECKING"/>
    <x v="261"/>
    <n v="-2609.35"/>
    <x v="14"/>
    <m/>
    <m/>
    <m/>
    <n v="2609.35"/>
    <b v="0"/>
    <m/>
    <m/>
    <s v=".+"/>
    <x v="259"/>
    <m/>
    <m/>
  </r>
  <r>
    <x v="2"/>
    <d v="2019-09-18T00:00:00"/>
    <s v="POWERPLUS"/>
    <x v="262"/>
    <n v="138"/>
    <x v="4"/>
    <m/>
    <m/>
    <m/>
    <n v="138"/>
    <b v="0"/>
    <m/>
    <m/>
    <s v="-"/>
    <x v="260"/>
    <s v="Create Rule; and Description Like '%CCLC TYPE INTERNET ID%';Day Care"/>
    <m/>
  </r>
  <r>
    <x v="2"/>
    <d v="2019-09-18T00:00:00"/>
    <s v="POWERPLUS CHECKING"/>
    <x v="262"/>
    <n v="138"/>
    <x v="4"/>
    <m/>
    <m/>
    <m/>
    <n v="138"/>
    <b v="0"/>
    <m/>
    <m/>
    <s v="-"/>
    <x v="260"/>
    <m/>
    <m/>
  </r>
  <r>
    <x v="2"/>
    <d v="2019-09-18T00:00:00"/>
    <s v="Discover"/>
    <x v="240"/>
    <n v="11.7"/>
    <x v="1"/>
    <m/>
    <m/>
    <m/>
    <n v="11.7"/>
    <b v="0"/>
    <m/>
    <m/>
    <s v="-"/>
    <x v="238"/>
    <s v="Create Rule; and Description='Chipotle';Restaurants"/>
    <m/>
  </r>
  <r>
    <x v="2"/>
    <d v="2019-09-18T00:00:00"/>
    <s v="Discover More Card"/>
    <x v="240"/>
    <n v="11.7"/>
    <x v="1"/>
    <m/>
    <m/>
    <m/>
    <n v="11.7"/>
    <b v="0"/>
    <m/>
    <m/>
    <s v="-"/>
    <x v="238"/>
    <m/>
    <m/>
  </r>
  <r>
    <x v="2"/>
    <d v="2019-09-18T00:00:00"/>
    <s v="Cash Rewards Visa Signature"/>
    <x v="263"/>
    <n v="2"/>
    <x v="2"/>
    <m/>
    <m/>
    <m/>
    <n v="2"/>
    <b v="0"/>
    <m/>
    <m/>
    <s v="-"/>
    <x v="261"/>
    <m/>
    <m/>
  </r>
  <r>
    <x v="2"/>
    <d v="2019-09-18T00:00:00"/>
    <s v="Cash Rewards Visa Signature"/>
    <x v="264"/>
    <n v="92.66"/>
    <x v="1"/>
    <m/>
    <m/>
    <m/>
    <n v="92.66"/>
    <b v="0"/>
    <m/>
    <m/>
    <s v="-"/>
    <x v="262"/>
    <m/>
    <m/>
  </r>
  <r>
    <x v="2"/>
    <d v="2019-09-19T00:00:00"/>
    <s v="Target Credit Card"/>
    <x v="265"/>
    <n v="32.35"/>
    <x v="8"/>
    <m/>
    <m/>
    <m/>
    <n v="32.35"/>
    <b v="0"/>
    <m/>
    <m/>
    <s v="-"/>
    <x v="263"/>
    <m/>
    <m/>
  </r>
  <r>
    <x v="2"/>
    <d v="2019-09-19T00:00:00"/>
    <s v="Cash Rewards Visa Signature"/>
    <x v="266"/>
    <n v="15.98"/>
    <x v="3"/>
    <m/>
    <m/>
    <m/>
    <n v="15.98"/>
    <b v="0"/>
    <m/>
    <m/>
    <s v="-"/>
    <x v="264"/>
    <m/>
    <m/>
  </r>
  <r>
    <x v="3"/>
    <d v="2021-01-04T00:00:00"/>
    <s v="POWERPLUS"/>
    <x v="267"/>
    <n v="2832.55"/>
    <x v="26"/>
    <m/>
    <m/>
    <m/>
    <n v="2832.55"/>
    <b v="0"/>
    <m/>
    <m/>
    <s v="-"/>
    <x v="265"/>
    <s v="Create Rule; and Description Like '%BCU MORTGAGE TYPE LOAN PAYMT ID 9DRAFTING CO BCU MORTGAGE%';Rent"/>
    <m/>
  </r>
  <r>
    <x v="4"/>
    <d v="2020-07-06T00:00:00"/>
    <s v="POWERPLUS"/>
    <x v="268"/>
    <n v="2914.59"/>
    <x v="26"/>
    <m/>
    <m/>
    <m/>
    <n v="2914.59"/>
    <b v="0"/>
    <m/>
    <m/>
    <s v="-"/>
    <x v="265"/>
    <s v="Create Rule; and Description Like '%BCU MORTGAGE TYPE LOAN PAYMT ID 9DRAFTING CO BCU MORTGAGE%';Rent"/>
    <m/>
  </r>
  <r>
    <x v="5"/>
    <d v="2020-04-06T00:00:00"/>
    <s v="POWERPLUS"/>
    <x v="269"/>
    <n v="2914.59"/>
    <x v="26"/>
    <m/>
    <m/>
    <m/>
    <n v="2914.59"/>
    <b v="0"/>
    <m/>
    <m/>
    <s v="-"/>
    <x v="265"/>
    <s v="Create Rule; and Description Like '%BCU MORTGAGE TYPE LOAN PAYMT ID 9DRAFTING CO BCU MORTGAGE%';Rent"/>
    <m/>
  </r>
  <r>
    <x v="2"/>
    <d v="2019-09-19T00:00:00"/>
    <s v="POWERPLUS"/>
    <x v="157"/>
    <n v="4.25"/>
    <x v="8"/>
    <m/>
    <m/>
    <m/>
    <n v="4.25"/>
    <b v="0"/>
    <m/>
    <m/>
    <s v="-"/>
    <x v="156"/>
    <s v="Create Rule; and Description Like '%PayPal%';Shopping"/>
    <m/>
  </r>
  <r>
    <x v="2"/>
    <d v="2019-09-19T00:00:00"/>
    <s v="POWERPLUS CHECKING"/>
    <x v="157"/>
    <n v="4.25"/>
    <x v="8"/>
    <m/>
    <m/>
    <m/>
    <n v="4.25"/>
    <b v="0"/>
    <m/>
    <m/>
    <s v="-"/>
    <x v="156"/>
    <m/>
    <m/>
  </r>
  <r>
    <x v="2"/>
    <d v="2019-09-19T00:00:00"/>
    <s v="Cash Rewards Visa Signature"/>
    <x v="2"/>
    <n v="28.9"/>
    <x v="2"/>
    <m/>
    <m/>
    <m/>
    <n v="28.9"/>
    <b v="0"/>
    <m/>
    <m/>
    <s v="-"/>
    <x v="2"/>
    <m/>
    <m/>
  </r>
  <r>
    <x v="2"/>
    <d v="2019-09-19T00:00:00"/>
    <s v="Cash Rewards Visa Signature"/>
    <x v="2"/>
    <n v="31.88"/>
    <x v="2"/>
    <m/>
    <m/>
    <m/>
    <n v="31.88"/>
    <b v="0"/>
    <m/>
    <m/>
    <s v="-"/>
    <x v="2"/>
    <m/>
    <m/>
  </r>
  <r>
    <x v="2"/>
    <d v="2019-09-19T00:00:00"/>
    <s v="Investor Checking"/>
    <x v="160"/>
    <n v="150"/>
    <x v="3"/>
    <m/>
    <m/>
    <m/>
    <n v="150"/>
    <b v="0"/>
    <m/>
    <m/>
    <s v="-"/>
    <x v="159"/>
    <m/>
    <m/>
  </r>
  <r>
    <x v="2"/>
    <d v="2019-09-20T00:00:00"/>
    <s v="Jeff"/>
    <x v="185"/>
    <n v="-200"/>
    <x v="21"/>
    <m/>
    <m/>
    <m/>
    <n v="200"/>
    <b v="0"/>
    <m/>
    <m/>
    <s v=".+"/>
    <x v="184"/>
    <m/>
    <m/>
  </r>
  <r>
    <x v="2"/>
    <d v="2019-09-20T00:00:00"/>
    <s v="Joint Tenant"/>
    <x v="185"/>
    <n v="-200"/>
    <x v="3"/>
    <m/>
    <m/>
    <m/>
    <n v="200"/>
    <b v="0"/>
    <m/>
    <m/>
    <s v=".+"/>
    <x v="184"/>
    <m/>
    <m/>
  </r>
  <r>
    <x v="2"/>
    <d v="2019-09-20T00:00:00"/>
    <s v="Discover"/>
    <x v="270"/>
    <n v="19.559999999999999"/>
    <x v="1"/>
    <m/>
    <m/>
    <m/>
    <n v="19.559999999999999"/>
    <b v="0"/>
    <m/>
    <m/>
    <s v="-"/>
    <x v="266"/>
    <s v="Create Rule; and Description='Lago Tacos';Restaurants"/>
    <m/>
  </r>
  <r>
    <x v="2"/>
    <d v="2019-09-20T00:00:00"/>
    <s v="Discover More Card"/>
    <x v="270"/>
    <n v="19.559999999999999"/>
    <x v="1"/>
    <m/>
    <m/>
    <m/>
    <n v="19.559999999999999"/>
    <b v="0"/>
    <m/>
    <m/>
    <s v="-"/>
    <x v="266"/>
    <m/>
    <m/>
  </r>
  <r>
    <x v="2"/>
    <d v="2019-09-20T00:00:00"/>
    <s v="Roth Contributory IRA"/>
    <x v="19"/>
    <n v="150"/>
    <x v="3"/>
    <m/>
    <m/>
    <m/>
    <n v="150"/>
    <b v="0"/>
    <m/>
    <m/>
    <s v="-"/>
    <x v="19"/>
    <s v="Delete; and Description='SCHWAB S&amp;P 500 INDEX FD' and inflowoutflow='-';0"/>
    <m/>
  </r>
  <r>
    <x v="2"/>
    <d v="2019-09-20T00:00:00"/>
    <s v="Jeff"/>
    <x v="19"/>
    <n v="200"/>
    <x v="3"/>
    <m/>
    <m/>
    <m/>
    <n v="200"/>
    <b v="0"/>
    <m/>
    <m/>
    <s v="-"/>
    <x v="19"/>
    <s v="Delete; and Description='SCHWAB S&amp;P 500 INDEX FD' and inflowoutflow='-';0"/>
    <m/>
  </r>
  <r>
    <x v="2"/>
    <d v="2019-09-20T00:00:00"/>
    <s v="Joint Tenant"/>
    <x v="19"/>
    <n v="200"/>
    <x v="3"/>
    <m/>
    <m/>
    <m/>
    <n v="200"/>
    <b v="0"/>
    <m/>
    <m/>
    <s v="-"/>
    <x v="19"/>
    <m/>
    <m/>
  </r>
  <r>
    <x v="2"/>
    <d v="2019-09-20T00:00:00"/>
    <s v="Jeff Roth"/>
    <x v="271"/>
    <n v="100"/>
    <x v="3"/>
    <m/>
    <m/>
    <m/>
    <n v="100"/>
    <b v="0"/>
    <m/>
    <m/>
    <s v="-"/>
    <x v="267"/>
    <s v="Delete; and Description='SCHWAB US LARGE CAP GROWTH INDEX FD' and inflowoutflow='-';0"/>
    <m/>
  </r>
  <r>
    <x v="2"/>
    <d v="2019-09-20T00:00:00"/>
    <s v="Roth Contributory IRA"/>
    <x v="271"/>
    <n v="100"/>
    <x v="3"/>
    <m/>
    <m/>
    <m/>
    <n v="100"/>
    <b v="0"/>
    <m/>
    <m/>
    <s v="-"/>
    <x v="267"/>
    <m/>
    <m/>
  </r>
  <r>
    <x v="2"/>
    <d v="2019-09-20T00:00:00"/>
    <s v="Roth Contributory IRA"/>
    <x v="51"/>
    <n v="-150"/>
    <x v="17"/>
    <m/>
    <m/>
    <m/>
    <n v="150"/>
    <b v="0"/>
    <m/>
    <m/>
    <s v=".+"/>
    <x v="51"/>
    <m/>
    <m/>
  </r>
  <r>
    <x v="2"/>
    <d v="2019-09-20T00:00:00"/>
    <s v="CARGILL PARTNERSHIP PLAN"/>
    <x v="272"/>
    <n v="-244.23"/>
    <x v="18"/>
    <m/>
    <m/>
    <m/>
    <n v="244.23"/>
    <b v="0"/>
    <m/>
    <m/>
    <s v=".+"/>
    <x v="268"/>
    <m/>
    <m/>
  </r>
  <r>
    <x v="2"/>
    <d v="2019-09-21T00:00:00"/>
    <s v="Discover"/>
    <x v="0"/>
    <n v="10.73"/>
    <x v="0"/>
    <m/>
    <m/>
    <m/>
    <n v="10.73"/>
    <b v="0"/>
    <m/>
    <m/>
    <s v="-"/>
    <x v="0"/>
    <s v="Create Rule; and Description='Amazon';Amazon"/>
    <m/>
  </r>
  <r>
    <x v="2"/>
    <d v="2019-09-21T00:00:00"/>
    <s v="Discover More Card"/>
    <x v="0"/>
    <n v="10.73"/>
    <x v="0"/>
    <m/>
    <m/>
    <m/>
    <n v="10.73"/>
    <b v="0"/>
    <m/>
    <m/>
    <s v="-"/>
    <x v="0"/>
    <m/>
    <m/>
  </r>
  <r>
    <x v="2"/>
    <d v="2019-09-21T00:00:00"/>
    <s v="Investor Checking"/>
    <x v="273"/>
    <n v="614.66999999999996"/>
    <x v="3"/>
    <m/>
    <m/>
    <m/>
    <n v="614.66999999999996"/>
    <b v="0"/>
    <m/>
    <m/>
    <s v="-"/>
    <x v="269"/>
    <m/>
    <m/>
  </r>
  <r>
    <x v="6"/>
    <d v="2020-02-04T00:00:00"/>
    <s v="POWERPLUS"/>
    <x v="274"/>
    <n v="2914.59"/>
    <x v="6"/>
    <m/>
    <m/>
    <m/>
    <n v="2914.59"/>
    <b v="0"/>
    <m/>
    <m/>
    <s v="-"/>
    <x v="265"/>
    <s v="Create Rule; and Description Like '%BCU MORTGAGE TYPE LOAN PAYMT ID 9DRAFTING CO BCU MORTGAGE%';Rent"/>
    <m/>
  </r>
  <r>
    <x v="2"/>
    <d v="2019-09-22T00:00:00"/>
    <s v="Cash Rewards Visa Signature"/>
    <x v="6"/>
    <n v="107.05"/>
    <x v="5"/>
    <m/>
    <m/>
    <m/>
    <n v="107.05"/>
    <b v="0"/>
    <m/>
    <m/>
    <s v="-"/>
    <x v="6"/>
    <m/>
    <m/>
  </r>
  <r>
    <x v="2"/>
    <d v="2019-09-22T00:00:00"/>
    <s v="Cash Rewards Visa Signature"/>
    <x v="275"/>
    <n v="211.75"/>
    <x v="3"/>
    <m/>
    <m/>
    <m/>
    <n v="211.75"/>
    <b v="0"/>
    <m/>
    <m/>
    <s v="-"/>
    <x v="270"/>
    <m/>
    <m/>
  </r>
  <r>
    <x v="2"/>
    <d v="2019-09-23T00:00:00"/>
    <s v="POWERPLUS"/>
    <x v="84"/>
    <n v="30.92"/>
    <x v="11"/>
    <m/>
    <m/>
    <m/>
    <n v="30.92"/>
    <b v="0"/>
    <m/>
    <m/>
    <s v="-"/>
    <x v="84"/>
    <s v="Create Rule; and Description='City of Chanhassen';Utilities"/>
    <m/>
  </r>
  <r>
    <x v="2"/>
    <d v="2019-09-23T00:00:00"/>
    <s v="POWERPLUS CHECKING"/>
    <x v="84"/>
    <n v="30.92"/>
    <x v="11"/>
    <m/>
    <m/>
    <m/>
    <n v="30.92"/>
    <b v="0"/>
    <m/>
    <m/>
    <s v="-"/>
    <x v="84"/>
    <m/>
    <m/>
  </r>
  <r>
    <x v="2"/>
    <d v="2019-09-23T00:00:00"/>
    <s v="Investor Checking"/>
    <x v="276"/>
    <n v="-1000"/>
    <x v="3"/>
    <m/>
    <m/>
    <m/>
    <n v="1000"/>
    <b v="0"/>
    <m/>
    <m/>
    <s v=".+"/>
    <x v="271"/>
    <m/>
    <m/>
  </r>
  <r>
    <x v="7"/>
    <d v="2020-06-04T00:00:00"/>
    <s v="POWERPLUS"/>
    <x v="277"/>
    <n v="2914.59"/>
    <x v="26"/>
    <m/>
    <m/>
    <m/>
    <n v="2914.59"/>
    <b v="0"/>
    <m/>
    <m/>
    <s v="-"/>
    <x v="265"/>
    <s v="Create Rule; and Description Like '%BCU MORTGAGE TYPE LOAN PAYMT ID 9DRAFTING CO BCU MORTGAGE%';Rent"/>
    <m/>
  </r>
  <r>
    <x v="8"/>
    <d v="2020-01-06T00:00:00"/>
    <s v="POWERPLUS"/>
    <x v="278"/>
    <n v="2914.59"/>
    <x v="6"/>
    <m/>
    <m/>
    <m/>
    <n v="2914.59"/>
    <b v="0"/>
    <m/>
    <m/>
    <s v="-"/>
    <x v="265"/>
    <s v="Create Rule; and Description Like '%BCU MORTGAGE TYPE LOAN PAYMT ID 9DRAFTING CO BCU MORTGAGE%';Rent"/>
    <m/>
  </r>
  <r>
    <x v="2"/>
    <d v="2019-09-23T00:00:00"/>
    <s v="POWERPLUS"/>
    <x v="157"/>
    <n v="14.99"/>
    <x v="8"/>
    <m/>
    <m/>
    <m/>
    <n v="14.99"/>
    <b v="0"/>
    <m/>
    <m/>
    <s v="-"/>
    <x v="156"/>
    <s v="Create Rule; and Description Like '%PayPal%';Shopping"/>
    <m/>
  </r>
  <r>
    <x v="2"/>
    <d v="2019-09-23T00:00:00"/>
    <s v="POWERPLUS"/>
    <x v="157"/>
    <n v="176.85"/>
    <x v="8"/>
    <m/>
    <m/>
    <m/>
    <n v="176.85"/>
    <b v="0"/>
    <m/>
    <m/>
    <s v="-"/>
    <x v="156"/>
    <s v="Create Rule; and Description Like '%PayPal%';Shopping"/>
    <m/>
  </r>
  <r>
    <x v="2"/>
    <d v="2019-09-23T00:00:00"/>
    <s v="POWERPLUS CHECKING"/>
    <x v="157"/>
    <n v="14.99"/>
    <x v="8"/>
    <m/>
    <m/>
    <m/>
    <n v="14.99"/>
    <b v="0"/>
    <m/>
    <m/>
    <s v="-"/>
    <x v="156"/>
    <m/>
    <m/>
  </r>
  <r>
    <x v="2"/>
    <d v="2019-09-23T00:00:00"/>
    <s v="POWERPLUS CHECKING"/>
    <x v="157"/>
    <n v="176.85"/>
    <x v="8"/>
    <m/>
    <m/>
    <m/>
    <n v="176.85"/>
    <b v="0"/>
    <m/>
    <m/>
    <s v="-"/>
    <x v="156"/>
    <m/>
    <m/>
  </r>
  <r>
    <x v="2"/>
    <d v="2019-09-23T00:00:00"/>
    <s v="Jeff"/>
    <x v="279"/>
    <n v="1000"/>
    <x v="3"/>
    <m/>
    <m/>
    <m/>
    <n v="1000"/>
    <b v="0"/>
    <m/>
    <m/>
    <s v="-"/>
    <x v="272"/>
    <m/>
    <m/>
  </r>
  <r>
    <x v="2"/>
    <d v="2019-09-23T00:00:00"/>
    <s v="Joint Tenant"/>
    <x v="279"/>
    <n v="1000"/>
    <x v="3"/>
    <m/>
    <m/>
    <m/>
    <n v="1000"/>
    <b v="0"/>
    <m/>
    <m/>
    <s v="-"/>
    <x v="272"/>
    <m/>
    <m/>
  </r>
  <r>
    <x v="2"/>
    <d v="2019-09-24T00:00:00"/>
    <s v="Discover"/>
    <x v="0"/>
    <n v="19.059999999999999"/>
    <x v="0"/>
    <m/>
    <m/>
    <m/>
    <n v="19.059999999999999"/>
    <b v="0"/>
    <m/>
    <m/>
    <s v="-"/>
    <x v="0"/>
    <s v="Create Rule; and Description='Amazon';Amazon"/>
    <m/>
  </r>
  <r>
    <x v="2"/>
    <d v="2019-09-24T00:00:00"/>
    <s v="Discover More Card"/>
    <x v="0"/>
    <n v="19.059999999999999"/>
    <x v="0"/>
    <m/>
    <m/>
    <m/>
    <n v="19.059999999999999"/>
    <b v="0"/>
    <m/>
    <m/>
    <s v="-"/>
    <x v="0"/>
    <m/>
    <m/>
  </r>
  <r>
    <x v="2"/>
    <d v="2019-09-24T00:00:00"/>
    <s v="POWERPLUS"/>
    <x v="280"/>
    <n v="37"/>
    <x v="7"/>
    <m/>
    <m/>
    <m/>
    <n v="37"/>
    <b v="0"/>
    <m/>
    <m/>
    <s v="-"/>
    <x v="273"/>
    <m/>
    <m/>
  </r>
  <r>
    <x v="2"/>
    <d v="2019-09-24T00:00:00"/>
    <s v="POWERPLUS CHECKING"/>
    <x v="280"/>
    <n v="37"/>
    <x v="10"/>
    <m/>
    <m/>
    <m/>
    <n v="37"/>
    <b v="0"/>
    <m/>
    <m/>
    <s v="-"/>
    <x v="273"/>
    <m/>
    <m/>
  </r>
  <r>
    <x v="2"/>
    <d v="2019-09-24T00:00:00"/>
    <s v="Cash Rewards Visa Signature"/>
    <x v="281"/>
    <n v="28.58"/>
    <x v="3"/>
    <m/>
    <m/>
    <m/>
    <n v="28.58"/>
    <b v="0"/>
    <m/>
    <m/>
    <s v="-"/>
    <x v="274"/>
    <m/>
    <m/>
  </r>
  <r>
    <x v="2"/>
    <d v="2019-09-24T00:00:00"/>
    <s v="Cash Rewards Visa Signature"/>
    <x v="282"/>
    <n v="10"/>
    <x v="25"/>
    <m/>
    <m/>
    <m/>
    <n v="10"/>
    <b v="0"/>
    <m/>
    <m/>
    <s v="-"/>
    <x v="275"/>
    <m/>
    <m/>
  </r>
  <r>
    <x v="2"/>
    <d v="2019-09-24T00:00:00"/>
    <s v="RAINY DAY"/>
    <x v="3"/>
    <n v="-200"/>
    <x v="3"/>
    <m/>
    <m/>
    <m/>
    <n v="200"/>
    <b v="0"/>
    <m/>
    <m/>
    <s v="+"/>
    <x v="3"/>
    <s v="Delete; and Description='Transfer from POWERPLUS CHECKING';0"/>
    <m/>
  </r>
  <r>
    <x v="2"/>
    <d v="2019-09-24T00:00:00"/>
    <s v="RAINY DAY"/>
    <x v="3"/>
    <n v="-300"/>
    <x v="3"/>
    <m/>
    <m/>
    <m/>
    <n v="300"/>
    <b v="0"/>
    <m/>
    <m/>
    <s v="+"/>
    <x v="3"/>
    <s v="Delete; and Description='Transfer from POWERPLUS CHECKING';0"/>
    <m/>
  </r>
  <r>
    <x v="2"/>
    <d v="2019-09-24T00:00:00"/>
    <s v="RAINY DAY SAVINGS"/>
    <x v="3"/>
    <n v="-200"/>
    <x v="3"/>
    <m/>
    <m/>
    <m/>
    <n v="200"/>
    <b v="0"/>
    <m/>
    <m/>
    <s v=".+"/>
    <x v="3"/>
    <m/>
    <m/>
  </r>
  <r>
    <x v="2"/>
    <d v="2019-09-24T00:00:00"/>
    <s v="RAINY DAY SAVINGS"/>
    <x v="3"/>
    <n v="-300"/>
    <x v="3"/>
    <m/>
    <m/>
    <m/>
    <n v="300"/>
    <b v="0"/>
    <m/>
    <m/>
    <s v=".+"/>
    <x v="3"/>
    <m/>
    <m/>
  </r>
  <r>
    <x v="2"/>
    <d v="2019-09-24T00:00:00"/>
    <s v="POWERPLUS"/>
    <x v="92"/>
    <n v="200"/>
    <x v="21"/>
    <m/>
    <m/>
    <m/>
    <n v="200"/>
    <b v="0"/>
    <m/>
    <m/>
    <s v="-"/>
    <x v="92"/>
    <s v="Create Rule; and Description='Transfer to RAINY DAY SAVINGS';Savings"/>
    <m/>
  </r>
  <r>
    <x v="2"/>
    <d v="2019-09-24T00:00:00"/>
    <s v="POWERPLUS"/>
    <x v="92"/>
    <n v="300"/>
    <x v="21"/>
    <m/>
    <m/>
    <m/>
    <n v="300"/>
    <b v="0"/>
    <m/>
    <m/>
    <s v="-"/>
    <x v="92"/>
    <s v="Create Rule; and Description='Transfer to RAINY DAY SAVINGS';Savings"/>
    <m/>
  </r>
  <r>
    <x v="2"/>
    <d v="2019-09-24T00:00:00"/>
    <s v="POWERPLUS CHECKING"/>
    <x v="92"/>
    <n v="200"/>
    <x v="21"/>
    <m/>
    <m/>
    <m/>
    <n v="200"/>
    <b v="0"/>
    <m/>
    <m/>
    <s v="-"/>
    <x v="92"/>
    <m/>
    <m/>
  </r>
  <r>
    <x v="2"/>
    <d v="2019-09-24T00:00:00"/>
    <s v="POWERPLUS CHECKING"/>
    <x v="92"/>
    <n v="300"/>
    <x v="21"/>
    <m/>
    <m/>
    <m/>
    <n v="300"/>
    <b v="0"/>
    <m/>
    <m/>
    <s v="-"/>
    <x v="92"/>
    <m/>
    <m/>
  </r>
  <r>
    <x v="2"/>
    <d v="2019-09-25T00:00:00"/>
    <s v="POWERPLUS"/>
    <x v="283"/>
    <n v="326.25"/>
    <x v="4"/>
    <m/>
    <m/>
    <m/>
    <n v="326.25"/>
    <b v="0"/>
    <m/>
    <m/>
    <s v="-"/>
    <x v="276"/>
    <s v="Create Rule; and Description Like '%CCLC TYPE INTERNET ID%';Day Care"/>
    <m/>
  </r>
  <r>
    <x v="2"/>
    <d v="2019-09-25T00:00:00"/>
    <s v="POWERPLUS CHECKING"/>
    <x v="283"/>
    <n v="326.25"/>
    <x v="4"/>
    <m/>
    <m/>
    <m/>
    <n v="326.25"/>
    <b v="0"/>
    <m/>
    <m/>
    <s v="-"/>
    <x v="276"/>
    <m/>
    <m/>
  </r>
  <r>
    <x v="2"/>
    <d v="2019-09-25T00:00:00"/>
    <s v="Cash Rewards Visa Signature"/>
    <x v="284"/>
    <n v="489.09"/>
    <x v="3"/>
    <m/>
    <m/>
    <m/>
    <n v="489.09"/>
    <b v="0"/>
    <m/>
    <m/>
    <s v="-"/>
    <x v="277"/>
    <m/>
    <m/>
  </r>
  <r>
    <x v="2"/>
    <d v="2019-09-25T00:00:00"/>
    <s v="Jeff"/>
    <x v="285"/>
    <n v="-7.32"/>
    <x v="23"/>
    <m/>
    <m/>
    <m/>
    <n v="7.32"/>
    <b v="0"/>
    <m/>
    <m/>
    <s v=".+"/>
    <x v="278"/>
    <m/>
    <m/>
  </r>
  <r>
    <x v="2"/>
    <d v="2019-09-25T00:00:00"/>
    <s v="Joint Tenant"/>
    <x v="285"/>
    <n v="-7.32"/>
    <x v="3"/>
    <m/>
    <m/>
    <m/>
    <n v="7.32"/>
    <b v="0"/>
    <m/>
    <m/>
    <s v=".+"/>
    <x v="278"/>
    <m/>
    <m/>
  </r>
  <r>
    <x v="2"/>
    <d v="2019-09-25T00:00:00"/>
    <s v="Jeff"/>
    <x v="286"/>
    <n v="-0.04"/>
    <x v="23"/>
    <m/>
    <m/>
    <m/>
    <n v="0.04"/>
    <b v="0"/>
    <m/>
    <m/>
    <s v=".+"/>
    <x v="279"/>
    <m/>
    <m/>
  </r>
  <r>
    <x v="2"/>
    <d v="2019-09-25T00:00:00"/>
    <s v="Joint Tenant"/>
    <x v="286"/>
    <n v="-0.04"/>
    <x v="3"/>
    <m/>
    <m/>
    <m/>
    <n v="0.04"/>
    <b v="0"/>
    <m/>
    <m/>
    <s v=".+"/>
    <x v="279"/>
    <m/>
    <m/>
  </r>
  <r>
    <x v="2"/>
    <d v="2019-09-26T00:00:00"/>
    <s v="Jeff"/>
    <x v="285"/>
    <n v="7.32"/>
    <x v="23"/>
    <m/>
    <m/>
    <m/>
    <n v="7.32"/>
    <b v="0"/>
    <m/>
    <m/>
    <s v="-"/>
    <x v="278"/>
    <m/>
    <m/>
  </r>
  <r>
    <x v="2"/>
    <d v="2019-09-26T00:00:00"/>
    <s v="Joint Tenant"/>
    <x v="285"/>
    <n v="7.32"/>
    <x v="3"/>
    <m/>
    <m/>
    <m/>
    <n v="7.32"/>
    <b v="0"/>
    <m/>
    <m/>
    <s v="-"/>
    <x v="278"/>
    <m/>
    <m/>
  </r>
  <r>
    <x v="2"/>
    <d v="2019-09-26T00:00:00"/>
    <s v="Jeff"/>
    <x v="286"/>
    <n v="0.04"/>
    <x v="23"/>
    <m/>
    <m/>
    <m/>
    <n v="0.04"/>
    <b v="0"/>
    <m/>
    <m/>
    <s v="-"/>
    <x v="279"/>
    <m/>
    <m/>
  </r>
  <r>
    <x v="2"/>
    <d v="2019-09-26T00:00:00"/>
    <s v="Joint Tenant"/>
    <x v="286"/>
    <n v="0.04"/>
    <x v="3"/>
    <m/>
    <m/>
    <m/>
    <n v="0.04"/>
    <b v="0"/>
    <m/>
    <m/>
    <s v="-"/>
    <x v="279"/>
    <m/>
    <m/>
  </r>
  <r>
    <x v="2"/>
    <d v="2019-09-26T00:00:00"/>
    <s v="Discover"/>
    <x v="99"/>
    <n v="12.99"/>
    <x v="11"/>
    <m/>
    <m/>
    <m/>
    <n v="12.99"/>
    <b v="0"/>
    <m/>
    <m/>
    <s v="-"/>
    <x v="99"/>
    <s v="Create Rule; and Description='Netflix';Utilities"/>
    <m/>
  </r>
  <r>
    <x v="2"/>
    <d v="2019-09-26T00:00:00"/>
    <s v="Discover More Card"/>
    <x v="99"/>
    <n v="12.99"/>
    <x v="11"/>
    <m/>
    <m/>
    <m/>
    <n v="12.99"/>
    <b v="0"/>
    <m/>
    <m/>
    <s v="-"/>
    <x v="99"/>
    <m/>
    <m/>
  </r>
  <r>
    <x v="2"/>
    <d v="2019-09-26T00:00:00"/>
    <s v="Cash Rewards Visa Signature"/>
    <x v="3"/>
    <n v="-1121.22"/>
    <x v="3"/>
    <m/>
    <m/>
    <m/>
    <n v="1121.22"/>
    <b v="0"/>
    <m/>
    <m/>
    <s v=".+"/>
    <x v="3"/>
    <m/>
    <m/>
  </r>
  <r>
    <x v="2"/>
    <d v="2019-09-26T00:00:00"/>
    <s v="POWERPLUS"/>
    <x v="4"/>
    <n v="1121.22"/>
    <x v="3"/>
    <m/>
    <m/>
    <m/>
    <n v="1121.22"/>
    <b v="0"/>
    <m/>
    <m/>
    <s v="-"/>
    <x v="4"/>
    <s v="Delete; and Description Like '%Transfer to Cash Rewards Visa Signature%';0"/>
    <m/>
  </r>
  <r>
    <x v="2"/>
    <d v="2019-09-26T00:00:00"/>
    <s v="POWERPLUS CHECKING"/>
    <x v="4"/>
    <n v="1121.22"/>
    <x v="3"/>
    <m/>
    <m/>
    <m/>
    <n v="1121.22"/>
    <b v="0"/>
    <m/>
    <m/>
    <s v="-"/>
    <x v="4"/>
    <m/>
    <m/>
  </r>
  <r>
    <x v="2"/>
    <d v="2019-09-26T00:00:00"/>
    <s v="POWERPLUS"/>
    <x v="287"/>
    <n v="-176.85"/>
    <x v="8"/>
    <m/>
    <m/>
    <m/>
    <n v="176.85"/>
    <b v="0"/>
    <m/>
    <m/>
    <s v="+"/>
    <x v="280"/>
    <s v="Create Rule; and Description Like '%PayPal%';Shopping"/>
    <m/>
  </r>
  <r>
    <x v="2"/>
    <d v="2019-09-26T00:00:00"/>
    <s v="POWERPLUS CHECKING"/>
    <x v="287"/>
    <n v="-176.85"/>
    <x v="8"/>
    <m/>
    <m/>
    <m/>
    <n v="176.85"/>
    <b v="0"/>
    <m/>
    <m/>
    <s v=".+"/>
    <x v="280"/>
    <m/>
    <m/>
  </r>
  <r>
    <x v="2"/>
    <d v="2019-09-27T00:00:00"/>
    <s v="Cash Rewards Visa Signature"/>
    <x v="288"/>
    <n v="19.23"/>
    <x v="3"/>
    <m/>
    <m/>
    <m/>
    <n v="19.23"/>
    <b v="0"/>
    <m/>
    <m/>
    <s v="-"/>
    <x v="281"/>
    <m/>
    <m/>
  </r>
  <r>
    <x v="2"/>
    <d v="2019-09-27T00:00:00"/>
    <s v="Cash Rewards Visa Signature"/>
    <x v="195"/>
    <n v="182.54"/>
    <x v="19"/>
    <m/>
    <m/>
    <m/>
    <n v="182.54"/>
    <b v="0"/>
    <m/>
    <m/>
    <s v="-"/>
    <x v="194"/>
    <m/>
    <m/>
  </r>
  <r>
    <x v="2"/>
    <d v="2019-09-27T00:00:00"/>
    <s v="Cash Rewards Visa Signature"/>
    <x v="289"/>
    <n v="37"/>
    <x v="1"/>
    <m/>
    <m/>
    <m/>
    <n v="37"/>
    <b v="0"/>
    <m/>
    <m/>
    <s v="-"/>
    <x v="282"/>
    <m/>
    <m/>
  </r>
  <r>
    <x v="2"/>
    <d v="2019-09-27T00:00:00"/>
    <s v="Cash Rewards Visa Signature"/>
    <x v="290"/>
    <n v="35.56"/>
    <x v="3"/>
    <m/>
    <m/>
    <m/>
    <n v="35.56"/>
    <b v="0"/>
    <m/>
    <m/>
    <s v="-"/>
    <x v="283"/>
    <m/>
    <m/>
  </r>
  <r>
    <x v="2"/>
    <d v="2019-09-27T00:00:00"/>
    <s v="Discover"/>
    <x v="252"/>
    <n v="41.84"/>
    <x v="1"/>
    <m/>
    <m/>
    <m/>
    <n v="41.84"/>
    <b v="0"/>
    <m/>
    <m/>
    <s v="-"/>
    <x v="250"/>
    <s v="Create Rule; and Description Like '%LIONS TAP%';Restaurants"/>
    <m/>
  </r>
  <r>
    <x v="2"/>
    <d v="2019-09-27T00:00:00"/>
    <s v="Discover More Card"/>
    <x v="252"/>
    <n v="41.84"/>
    <x v="1"/>
    <m/>
    <m/>
    <m/>
    <n v="41.84"/>
    <b v="0"/>
    <m/>
    <m/>
    <s v="-"/>
    <x v="250"/>
    <m/>
    <m/>
  </r>
  <r>
    <x v="2"/>
    <d v="2019-09-27T00:00:00"/>
    <s v="Jeff"/>
    <x v="291"/>
    <n v="-1.95"/>
    <x v="13"/>
    <m/>
    <m/>
    <m/>
    <n v="1.95"/>
    <b v="0"/>
    <m/>
    <m/>
    <s v=".+"/>
    <x v="284"/>
    <m/>
    <m/>
  </r>
  <r>
    <x v="2"/>
    <d v="2019-09-27T00:00:00"/>
    <s v="Joint Tenant"/>
    <x v="291"/>
    <n v="-1.95"/>
    <x v="3"/>
    <m/>
    <m/>
    <m/>
    <n v="1.95"/>
    <b v="0"/>
    <m/>
    <m/>
    <s v=".+"/>
    <x v="284"/>
    <m/>
    <m/>
  </r>
  <r>
    <x v="2"/>
    <d v="2019-09-28T00:00:00"/>
    <s v="Discover"/>
    <x v="292"/>
    <n v="59.72"/>
    <x v="1"/>
    <m/>
    <m/>
    <m/>
    <n v="59.72"/>
    <b v="0"/>
    <m/>
    <m/>
    <s v="-"/>
    <x v="285"/>
    <s v="Create Rule; and Description='El Loro';Restaurants"/>
    <m/>
  </r>
  <r>
    <x v="2"/>
    <d v="2019-09-28T00:00:00"/>
    <s v="Discover More Card"/>
    <x v="292"/>
    <n v="59.72"/>
    <x v="1"/>
    <m/>
    <m/>
    <m/>
    <n v="59.72"/>
    <b v="0"/>
    <m/>
    <m/>
    <s v="-"/>
    <x v="285"/>
    <m/>
    <m/>
  </r>
  <r>
    <x v="2"/>
    <d v="2019-09-29T00:00:00"/>
    <s v="Cash Rewards Visa Signature"/>
    <x v="176"/>
    <n v="11.2"/>
    <x v="24"/>
    <m/>
    <m/>
    <m/>
    <n v="11.2"/>
    <b v="0"/>
    <m/>
    <m/>
    <s v="-"/>
    <x v="175"/>
    <m/>
    <m/>
  </r>
  <r>
    <x v="2"/>
    <d v="2019-09-29T00:00:00"/>
    <s v="Cash Rewards Visa Signature"/>
    <x v="293"/>
    <n v="102.81"/>
    <x v="5"/>
    <m/>
    <m/>
    <m/>
    <n v="102.81"/>
    <b v="0"/>
    <m/>
    <m/>
    <s v="-"/>
    <x v="286"/>
    <m/>
    <m/>
  </r>
  <r>
    <x v="2"/>
    <d v="2019-09-29T00:00:00"/>
    <s v="POWERPLUS"/>
    <x v="294"/>
    <n v="-2583.69"/>
    <x v="15"/>
    <m/>
    <m/>
    <m/>
    <n v="2583.69"/>
    <b v="0"/>
    <m/>
    <m/>
    <s v="+"/>
    <x v="287"/>
    <s v="Create Rule; and Description Like '%KAUFMAN HALL TYPE DIRECT DEP ID%';Inc - Jeff"/>
    <m/>
  </r>
  <r>
    <x v="2"/>
    <d v="2019-09-29T00:00:00"/>
    <s v="POWERPLUS CHECKING"/>
    <x v="294"/>
    <n v="-2583.69"/>
    <x v="15"/>
    <m/>
    <m/>
    <m/>
    <n v="2583.69"/>
    <b v="0"/>
    <m/>
    <m/>
    <s v=".+"/>
    <x v="287"/>
    <m/>
    <m/>
  </r>
  <r>
    <x v="2"/>
    <d v="2019-09-29T00:00:00"/>
    <s v="Cash Rewards Visa Signature"/>
    <x v="295"/>
    <n v="48.97"/>
    <x v="8"/>
    <m/>
    <m/>
    <m/>
    <n v="48.97"/>
    <b v="0"/>
    <m/>
    <m/>
    <s v="-"/>
    <x v="288"/>
    <m/>
    <m/>
  </r>
  <r>
    <x v="2"/>
    <d v="2019-09-30T00:00:00"/>
    <s v="Cash Rewards Visa Signature"/>
    <x v="296"/>
    <n v="-437.31"/>
    <x v="3"/>
    <m/>
    <m/>
    <m/>
    <n v="437.31"/>
    <b v="0"/>
    <m/>
    <m/>
    <s v=".+"/>
    <x v="289"/>
    <m/>
    <m/>
  </r>
  <r>
    <x v="2"/>
    <d v="2019-09-30T00:00:00"/>
    <s v="POWERPLUS"/>
    <x v="297"/>
    <n v="437.31"/>
    <x v="3"/>
    <m/>
    <m/>
    <m/>
    <n v="437.31"/>
    <b v="0"/>
    <m/>
    <m/>
    <s v="-"/>
    <x v="290"/>
    <s v="Delete; and Description Like '%Withdrawal Home payment to card%';0"/>
    <m/>
  </r>
  <r>
    <x v="2"/>
    <d v="2019-09-30T00:00:00"/>
    <s v="POWERPLUS CHECKING"/>
    <x v="297"/>
    <n v="437.31"/>
    <x v="3"/>
    <m/>
    <m/>
    <m/>
    <n v="437.31"/>
    <b v="0"/>
    <m/>
    <m/>
    <s v="-"/>
    <x v="290"/>
    <m/>
    <m/>
  </r>
  <r>
    <x v="2"/>
    <d v="2019-09-30T00:00:00"/>
    <s v="Coopers Rainy Day"/>
    <x v="114"/>
    <n v="-0.02"/>
    <x v="7"/>
    <m/>
    <m/>
    <m/>
    <n v="0.02"/>
    <b v="0"/>
    <m/>
    <m/>
    <s v=".+"/>
    <x v="114"/>
    <s v="Create Rule; and Description='Apy Earned';0"/>
    <m/>
  </r>
  <r>
    <x v="2"/>
    <d v="2019-09-30T00:00:00"/>
    <s v="Investor Checking"/>
    <x v="298"/>
    <n v="-3.67"/>
    <x v="7"/>
    <m/>
    <m/>
    <m/>
    <n v="3.67"/>
    <b v="0"/>
    <m/>
    <m/>
    <s v=".+"/>
    <x v="291"/>
    <s v="Create Rule; and Description='ATM Fee Rebate';0"/>
    <m/>
  </r>
  <r>
    <x v="2"/>
    <d v="2019-09-30T00:00:00"/>
    <s v="Investor Checking"/>
    <x v="118"/>
    <n v="-0.09"/>
    <x v="7"/>
    <m/>
    <m/>
    <m/>
    <n v="0.09"/>
    <b v="0"/>
    <m/>
    <m/>
    <s v=".+"/>
    <x v="118"/>
    <s v="Create Rule; and Description='Interest Paid';0"/>
    <m/>
  </r>
  <r>
    <x v="2"/>
    <d v="2019-09-30T00:00:00"/>
    <s v="Jeff"/>
    <x v="167"/>
    <n v="-200"/>
    <x v="21"/>
    <m/>
    <m/>
    <m/>
    <n v="200"/>
    <b v="0"/>
    <m/>
    <m/>
    <s v=".+"/>
    <x v="166"/>
    <m/>
    <m/>
  </r>
  <r>
    <x v="2"/>
    <d v="2019-09-30T00:00:00"/>
    <s v="Joint Tenant"/>
    <x v="167"/>
    <n v="-200"/>
    <x v="3"/>
    <m/>
    <m/>
    <m/>
    <n v="200"/>
    <b v="0"/>
    <m/>
    <m/>
    <s v=".+"/>
    <x v="166"/>
    <m/>
    <m/>
  </r>
  <r>
    <x v="2"/>
    <d v="2019-09-30T00:00:00"/>
    <s v="Cash Rewards Visa Signature"/>
    <x v="299"/>
    <n v="39.71"/>
    <x v="8"/>
    <m/>
    <m/>
    <m/>
    <n v="39.71"/>
    <b v="0"/>
    <m/>
    <m/>
    <s v="-"/>
    <x v="292"/>
    <m/>
    <m/>
  </r>
  <r>
    <x v="2"/>
    <d v="2019-09-30T00:00:00"/>
    <s v="Jeff"/>
    <x v="300"/>
    <n v="-17.329999999999998"/>
    <x v="23"/>
    <m/>
    <m/>
    <m/>
    <n v="17.329999999999998"/>
    <b v="0"/>
    <m/>
    <m/>
    <s v=".+"/>
    <x v="293"/>
    <m/>
    <m/>
  </r>
  <r>
    <x v="2"/>
    <d v="2019-09-30T00:00:00"/>
    <s v="Joint Tenant"/>
    <x v="300"/>
    <n v="-17.329999999999998"/>
    <x v="3"/>
    <m/>
    <m/>
    <m/>
    <n v="17.329999999999998"/>
    <b v="0"/>
    <m/>
    <m/>
    <s v=".+"/>
    <x v="293"/>
    <m/>
    <m/>
  </r>
  <r>
    <x v="2"/>
    <d v="2019-09-30T00:00:00"/>
    <s v="RAINY DAY"/>
    <x v="119"/>
    <n v="-16.8"/>
    <x v="13"/>
    <m/>
    <m/>
    <m/>
    <n v="16.8"/>
    <b v="0"/>
    <m/>
    <m/>
    <s v="+"/>
    <x v="119"/>
    <s v="Create Rule; and Description='Split Rate Apy';Inc - Other"/>
    <m/>
  </r>
  <r>
    <x v="2"/>
    <d v="2019-09-30T00:00:00"/>
    <s v="POWERPLUS"/>
    <x v="119"/>
    <n v="-36.909999999999997"/>
    <x v="13"/>
    <m/>
    <m/>
    <m/>
    <n v="36.909999999999997"/>
    <b v="0"/>
    <m/>
    <m/>
    <s v="+"/>
    <x v="119"/>
    <s v="Create Rule; and Description='Split Rate Apy';Inc - Other"/>
    <m/>
  </r>
  <r>
    <x v="2"/>
    <d v="2019-09-30T00:00:00"/>
    <s v="RAINY DAY SAVINGS"/>
    <x v="119"/>
    <n v="-16.8"/>
    <x v="13"/>
    <m/>
    <m/>
    <m/>
    <n v="16.8"/>
    <b v="0"/>
    <m/>
    <m/>
    <s v=".+"/>
    <x v="119"/>
    <m/>
    <m/>
  </r>
  <r>
    <x v="2"/>
    <d v="2019-09-30T00:00:00"/>
    <s v="POWERPLUS CHECKING"/>
    <x v="119"/>
    <n v="-36.909999999999997"/>
    <x v="13"/>
    <m/>
    <m/>
    <m/>
    <n v="36.909999999999997"/>
    <b v="0"/>
    <m/>
    <m/>
    <s v=".+"/>
    <x v="119"/>
    <m/>
    <m/>
  </r>
  <r>
    <x v="2"/>
    <d v="2019-09-30T00:00:00"/>
    <s v="Jeff Roth"/>
    <x v="52"/>
    <n v="-211"/>
    <x v="17"/>
    <m/>
    <m/>
    <m/>
    <n v="211"/>
    <b v="0"/>
    <m/>
    <m/>
    <s v="+"/>
    <x v="52"/>
    <s v="Create Rule; and Description='Tfr JPMORGAN CHASE BAN, KAUFMAN HALL';Roth"/>
    <m/>
  </r>
  <r>
    <x v="2"/>
    <d v="2019-09-30T00:00:00"/>
    <s v="Roth Contributory IRA"/>
    <x v="52"/>
    <n v="-211"/>
    <x v="17"/>
    <m/>
    <m/>
    <m/>
    <n v="211"/>
    <b v="0"/>
    <m/>
    <m/>
    <s v=".+"/>
    <x v="52"/>
    <m/>
    <m/>
  </r>
  <r>
    <x v="2"/>
    <d v="2019-09-30T00:00:00"/>
    <s v="KAUFMAN"/>
    <x v="54"/>
    <n v="-1058.95"/>
    <x v="18"/>
    <m/>
    <m/>
    <m/>
    <n v="1058.95"/>
    <b v="0"/>
    <m/>
    <m/>
    <s v=".+"/>
    <x v="54"/>
    <m/>
    <m/>
  </r>
  <r>
    <x v="9"/>
    <d v="2019-10-01T00:00:00"/>
    <s v="Target Credit Card"/>
    <x v="301"/>
    <n v="-278.63"/>
    <x v="12"/>
    <m/>
    <m/>
    <m/>
    <n v="278.63"/>
    <b v="0"/>
    <m/>
    <m/>
    <s v=".+"/>
    <x v="294"/>
    <m/>
    <m/>
  </r>
  <r>
    <x v="9"/>
    <d v="2019-10-01T00:00:00"/>
    <s v="POWERPLUS"/>
    <x v="302"/>
    <n v="200"/>
    <x v="9"/>
    <m/>
    <m/>
    <m/>
    <n v="200"/>
    <b v="0"/>
    <m/>
    <m/>
    <s v="-"/>
    <x v="16"/>
    <s v="Create Rule; and Description Like '%College Savings%';College Savings"/>
    <m/>
  </r>
  <r>
    <x v="9"/>
    <d v="2019-10-01T00:00:00"/>
    <s v="POWERPLUS CHECKING"/>
    <x v="302"/>
    <n v="200"/>
    <x v="9"/>
    <m/>
    <m/>
    <m/>
    <n v="200"/>
    <b v="0"/>
    <m/>
    <m/>
    <s v="-"/>
    <x v="16"/>
    <m/>
    <m/>
  </r>
  <r>
    <x v="9"/>
    <d v="2019-10-01T00:00:00"/>
    <s v="SHARE SAVINGS"/>
    <x v="303"/>
    <n v="-156.54"/>
    <x v="13"/>
    <m/>
    <m/>
    <m/>
    <n v="156.54"/>
    <b v="0"/>
    <m/>
    <m/>
    <s v=".+"/>
    <x v="295"/>
    <m/>
    <m/>
  </r>
  <r>
    <x v="9"/>
    <d v="2019-10-01T00:00:00"/>
    <s v="HIGHLANDER"/>
    <x v="304"/>
    <n v="-564.33000000000004"/>
    <x v="7"/>
    <m/>
    <m/>
    <m/>
    <n v="564.33000000000004"/>
    <b v="0"/>
    <m/>
    <m/>
    <s v="+"/>
    <x v="296"/>
    <m/>
    <m/>
  </r>
  <r>
    <x v="9"/>
    <d v="2019-10-01T00:00:00"/>
    <s v="2017 TOYOTA HIGHLANDER"/>
    <x v="304"/>
    <n v="-564.33000000000004"/>
    <x v="3"/>
    <m/>
    <m/>
    <m/>
    <n v="564.33000000000004"/>
    <b v="0"/>
    <m/>
    <m/>
    <s v=".+"/>
    <x v="296"/>
    <m/>
    <m/>
  </r>
  <r>
    <x v="9"/>
    <d v="2019-10-01T00:00:00"/>
    <s v="Cash Rewards Visa Signature"/>
    <x v="60"/>
    <n v="55.74"/>
    <x v="19"/>
    <m/>
    <m/>
    <m/>
    <n v="55.74"/>
    <b v="0"/>
    <m/>
    <m/>
    <s v="-"/>
    <x v="60"/>
    <m/>
    <m/>
  </r>
  <r>
    <x v="9"/>
    <d v="2019-10-01T00:00:00"/>
    <s v="Joint Tenant"/>
    <x v="300"/>
    <n v="17.329999999999998"/>
    <x v="23"/>
    <m/>
    <m/>
    <m/>
    <n v="17.329999999999998"/>
    <b v="0"/>
    <m/>
    <m/>
    <s v="-"/>
    <x v="293"/>
    <s v="Create Rule; and Description='SCHWAB US SMALL CAP ETF';Dividend"/>
    <m/>
  </r>
  <r>
    <x v="9"/>
    <d v="2019-10-01T00:00:00"/>
    <s v="Jeff"/>
    <x v="300"/>
    <n v="17.329999999999998"/>
    <x v="23"/>
    <m/>
    <m/>
    <m/>
    <n v="17.329999999999998"/>
    <b v="0"/>
    <m/>
    <m/>
    <s v="-"/>
    <x v="293"/>
    <m/>
    <m/>
  </r>
  <r>
    <x v="9"/>
    <d v="2019-10-01T00:00:00"/>
    <s v="POWERPLUS"/>
    <x v="305"/>
    <n v="618.65"/>
    <x v="22"/>
    <m/>
    <m/>
    <m/>
    <n v="618.65"/>
    <b v="0"/>
    <m/>
    <m/>
    <s v="-"/>
    <x v="297"/>
    <s v="Create Rule; and Description Like '%To Loan 02%';Car Loan"/>
    <m/>
  </r>
  <r>
    <x v="9"/>
    <d v="2019-10-01T00:00:00"/>
    <s v="POWERPLUS CHECKING"/>
    <x v="305"/>
    <n v="618.65"/>
    <x v="22"/>
    <m/>
    <m/>
    <m/>
    <n v="618.65"/>
    <b v="0"/>
    <m/>
    <m/>
    <s v="-"/>
    <x v="297"/>
    <m/>
    <m/>
  </r>
  <r>
    <x v="9"/>
    <d v="2019-10-01T00:00:00"/>
    <s v="POWERPLUS"/>
    <x v="29"/>
    <n v="85.52"/>
    <x v="7"/>
    <m/>
    <m/>
    <m/>
    <n v="85.52"/>
    <b v="0"/>
    <m/>
    <m/>
    <s v="-"/>
    <x v="29"/>
    <m/>
    <m/>
  </r>
  <r>
    <x v="9"/>
    <d v="2019-10-01T00:00:00"/>
    <s v="POWERPLUS CHECKING"/>
    <x v="29"/>
    <n v="85.52"/>
    <x v="8"/>
    <m/>
    <m/>
    <m/>
    <n v="85.52"/>
    <b v="0"/>
    <m/>
    <m/>
    <s v="-"/>
    <x v="29"/>
    <m/>
    <m/>
  </r>
  <r>
    <x v="9"/>
    <d v="2019-10-02T00:00:00"/>
    <s v="POWERPLUS"/>
    <x v="306"/>
    <n v="-2609.36"/>
    <x v="14"/>
    <m/>
    <m/>
    <m/>
    <n v="2609.36"/>
    <b v="0"/>
    <m/>
    <m/>
    <s v="+"/>
    <x v="298"/>
    <s v="Create Rule; and Description Like '%CARGILL COCOA TYPE DIR DEP ID%';Inc - Britney"/>
    <m/>
  </r>
  <r>
    <x v="9"/>
    <d v="2019-10-02T00:00:00"/>
    <s v="POWERPLUS CHECKING"/>
    <x v="306"/>
    <n v="-2609.36"/>
    <x v="14"/>
    <m/>
    <m/>
    <m/>
    <n v="2609.36"/>
    <b v="0"/>
    <m/>
    <m/>
    <s v=".+"/>
    <x v="298"/>
    <m/>
    <m/>
  </r>
  <r>
    <x v="9"/>
    <d v="2019-10-02T00:00:00"/>
    <s v="POWERPLUS"/>
    <x v="307"/>
    <n v="326.25"/>
    <x v="4"/>
    <m/>
    <m/>
    <m/>
    <n v="326.25"/>
    <b v="0"/>
    <m/>
    <m/>
    <s v="-"/>
    <x v="299"/>
    <s v="Create Rule; and Description Like '%CCLC TYPE INTERNET ID%';Day Care"/>
    <m/>
  </r>
  <r>
    <x v="9"/>
    <d v="2019-10-02T00:00:00"/>
    <s v="POWERPLUS CHECKING"/>
    <x v="307"/>
    <n v="326.25"/>
    <x v="4"/>
    <m/>
    <m/>
    <m/>
    <n v="326.25"/>
    <b v="0"/>
    <m/>
    <m/>
    <s v="-"/>
    <x v="299"/>
    <m/>
    <m/>
  </r>
  <r>
    <x v="9"/>
    <d v="2019-10-02T00:00:00"/>
    <s v="Cash Rewards Visa Signature"/>
    <x v="6"/>
    <n v="100.38"/>
    <x v="5"/>
    <m/>
    <m/>
    <m/>
    <n v="100.38"/>
    <b v="0"/>
    <m/>
    <m/>
    <s v="-"/>
    <x v="6"/>
    <m/>
    <m/>
  </r>
  <r>
    <x v="9"/>
    <d v="2019-10-02T00:00:00"/>
    <s v="POWERPLUS"/>
    <x v="308"/>
    <n v="55.75"/>
    <x v="8"/>
    <m/>
    <m/>
    <m/>
    <n v="55.75"/>
    <b v="0"/>
    <m/>
    <m/>
    <s v="-"/>
    <x v="300"/>
    <s v="Create Rule; and Description='Nordstrom';Shopping"/>
    <m/>
  </r>
  <r>
    <x v="9"/>
    <d v="2019-10-02T00:00:00"/>
    <s v="POWERPLUS CHECKING"/>
    <x v="308"/>
    <n v="55.75"/>
    <x v="8"/>
    <m/>
    <m/>
    <m/>
    <n v="55.75"/>
    <b v="0"/>
    <m/>
    <m/>
    <s v="-"/>
    <x v="300"/>
    <m/>
    <m/>
  </r>
  <r>
    <x v="9"/>
    <d v="2019-10-02T00:00:00"/>
    <s v="Discover"/>
    <x v="309"/>
    <n v="59.75"/>
    <x v="19"/>
    <m/>
    <m/>
    <m/>
    <n v="59.75"/>
    <b v="0"/>
    <m/>
    <m/>
    <s v="-"/>
    <x v="301"/>
    <s v="Create Rule; and Description='Sherwin Williams';House Maintenance"/>
    <m/>
  </r>
  <r>
    <x v="9"/>
    <d v="2019-10-02T00:00:00"/>
    <s v="Discover More Card"/>
    <x v="309"/>
    <n v="59.75"/>
    <x v="19"/>
    <m/>
    <m/>
    <m/>
    <n v="59.75"/>
    <b v="0"/>
    <m/>
    <m/>
    <s v="-"/>
    <x v="301"/>
    <m/>
    <m/>
  </r>
  <r>
    <x v="9"/>
    <d v="2019-10-02T00:00:00"/>
    <s v="POWERPLUS"/>
    <x v="34"/>
    <n v="278.63"/>
    <x v="12"/>
    <m/>
    <m/>
    <m/>
    <n v="278.63"/>
    <b v="0"/>
    <m/>
    <m/>
    <s v="-"/>
    <x v="34"/>
    <s v="Create Rule; and Description='Target';Target"/>
    <m/>
  </r>
  <r>
    <x v="9"/>
    <d v="2019-10-02T00:00:00"/>
    <s v="Target Credit Card"/>
    <x v="34"/>
    <n v="30.6"/>
    <x v="12"/>
    <m/>
    <m/>
    <m/>
    <n v="30.6"/>
    <b v="0"/>
    <m/>
    <m/>
    <s v="-"/>
    <x v="34"/>
    <m/>
    <m/>
  </r>
  <r>
    <x v="9"/>
    <d v="2019-10-02T00:00:00"/>
    <s v="Target Credit Card"/>
    <x v="34"/>
    <n v="60.24"/>
    <x v="12"/>
    <m/>
    <m/>
    <m/>
    <n v="60.24"/>
    <b v="0"/>
    <m/>
    <m/>
    <s v="-"/>
    <x v="34"/>
    <m/>
    <m/>
  </r>
  <r>
    <x v="9"/>
    <d v="2019-10-02T00:00:00"/>
    <s v="POWERPLUS CHECKING"/>
    <x v="34"/>
    <n v="278.63"/>
    <x v="12"/>
    <m/>
    <m/>
    <m/>
    <n v="278.63"/>
    <b v="0"/>
    <m/>
    <m/>
    <s v="-"/>
    <x v="34"/>
    <m/>
    <m/>
  </r>
  <r>
    <x v="9"/>
    <d v="2019-10-02T00:00:00"/>
    <s v="POWERPLUS"/>
    <x v="26"/>
    <n v="-68.75"/>
    <x v="3"/>
    <m/>
    <m/>
    <m/>
    <n v="68.75"/>
    <b v="0"/>
    <m/>
    <m/>
    <s v="+"/>
    <x v="26"/>
    <s v="Delete; and Description='Venmo Type Cashout';0"/>
    <m/>
  </r>
  <r>
    <x v="9"/>
    <d v="2019-10-02T00:00:00"/>
    <s v="POWERPLUS CHECKING"/>
    <x v="26"/>
    <n v="-68.75"/>
    <x v="3"/>
    <m/>
    <m/>
    <m/>
    <n v="68.75"/>
    <b v="0"/>
    <m/>
    <m/>
    <s v=".+"/>
    <x v="26"/>
    <m/>
    <m/>
  </r>
  <r>
    <x v="9"/>
    <d v="2019-10-03T00:00:00"/>
    <s v="POWERPLUS"/>
    <x v="310"/>
    <n v="313.95999999999998"/>
    <x v="8"/>
    <m/>
    <m/>
    <m/>
    <n v="313.95999999999998"/>
    <b v="0"/>
    <m/>
    <m/>
    <s v="-"/>
    <x v="302"/>
    <s v="Create Rule; and Description Like '%Banana Visa%';Shopping"/>
    <m/>
  </r>
  <r>
    <x v="9"/>
    <d v="2019-10-03T00:00:00"/>
    <s v="POWERPLUS CHECKING"/>
    <x v="310"/>
    <n v="313.95999999999998"/>
    <x v="8"/>
    <m/>
    <m/>
    <m/>
    <n v="313.95999999999998"/>
    <b v="0"/>
    <m/>
    <m/>
    <s v="-"/>
    <x v="302"/>
    <m/>
    <m/>
  </r>
  <r>
    <x v="9"/>
    <d v="2019-10-03T00:00:00"/>
    <s v="Cash Rewards Visa Signature"/>
    <x v="311"/>
    <n v="3.65"/>
    <x v="1"/>
    <m/>
    <m/>
    <m/>
    <n v="3.65"/>
    <b v="0"/>
    <m/>
    <m/>
    <s v="-"/>
    <x v="303"/>
    <m/>
    <m/>
  </r>
  <r>
    <x v="9"/>
    <d v="2019-10-03T00:00:00"/>
    <s v="Cash Rewards Visa Signature"/>
    <x v="312"/>
    <n v="129.29"/>
    <x v="5"/>
    <m/>
    <m/>
    <m/>
    <n v="129.29"/>
    <b v="0"/>
    <m/>
    <m/>
    <s v="-"/>
    <x v="304"/>
    <m/>
    <m/>
  </r>
  <r>
    <x v="9"/>
    <d v="2019-10-03T00:00:00"/>
    <s v="Cash Rewards Visa Signature"/>
    <x v="60"/>
    <n v="-33.25"/>
    <x v="19"/>
    <m/>
    <m/>
    <m/>
    <n v="33.25"/>
    <b v="0"/>
    <m/>
    <m/>
    <s v=".+"/>
    <x v="60"/>
    <m/>
    <m/>
  </r>
  <r>
    <x v="9"/>
    <d v="2019-10-03T00:00:00"/>
    <s v="Target Credit Card"/>
    <x v="2"/>
    <n v="28.07"/>
    <x v="2"/>
    <m/>
    <m/>
    <m/>
    <n v="28.07"/>
    <b v="0"/>
    <m/>
    <m/>
    <s v="-"/>
    <x v="2"/>
    <m/>
    <m/>
  </r>
  <r>
    <x v="9"/>
    <d v="2019-10-04T00:00:00"/>
    <s v="30 YR FIXED"/>
    <x v="313"/>
    <n v="-538.05999999999995"/>
    <x v="3"/>
    <m/>
    <m/>
    <m/>
    <n v="538.05999999999995"/>
    <b v="0"/>
    <m/>
    <m/>
    <s v=".+"/>
    <x v="305"/>
    <m/>
    <m/>
  </r>
  <r>
    <x v="9"/>
    <d v="2019-10-04T00:00:00"/>
    <s v="Cash Rewards Visa Signature"/>
    <x v="314"/>
    <n v="-158.41"/>
    <x v="3"/>
    <m/>
    <m/>
    <m/>
    <n v="158.41"/>
    <b v="0"/>
    <m/>
    <m/>
    <s v=".+"/>
    <x v="306"/>
    <m/>
    <m/>
  </r>
  <r>
    <x v="9"/>
    <d v="2019-10-04T00:00:00"/>
    <s v="SHARE SAVINGS"/>
    <x v="315"/>
    <n v="158.41"/>
    <x v="3"/>
    <m/>
    <m/>
    <m/>
    <n v="158.41"/>
    <b v="0"/>
    <m/>
    <m/>
    <s v="-"/>
    <x v="307"/>
    <m/>
    <m/>
  </r>
  <r>
    <x v="8"/>
    <d v="2020-01-06T00:00:00"/>
    <s v="POWERPLUS CHECKING"/>
    <x v="278"/>
    <n v="2914.59"/>
    <x v="6"/>
    <m/>
    <m/>
    <m/>
    <n v="2914.59"/>
    <b v="0"/>
    <m/>
    <m/>
    <s v="-"/>
    <x v="265"/>
    <s v="Create Rule; and Description Like '%BCU MORTGAGE TYPE LOAN PAYMT ID 9DRAFTING CO BCU MORTGAGE%';Rent"/>
    <m/>
  </r>
  <r>
    <x v="10"/>
    <d v="2020-08-04T00:00:00"/>
    <s v="POWERPLUS"/>
    <x v="316"/>
    <n v="2914.59"/>
    <x v="26"/>
    <m/>
    <m/>
    <m/>
    <n v="2914.59"/>
    <b v="0"/>
    <m/>
    <m/>
    <s v="-"/>
    <x v="265"/>
    <s v="Create Rule; and Description Like '%BCU MORTGAGE TYPE LOAN PAYMT ID 9DRAFTING CO BCU MORTGAGE%';Rent"/>
    <m/>
  </r>
  <r>
    <x v="9"/>
    <d v="2019-10-04T00:00:00"/>
    <s v="Joint Tenant"/>
    <x v="185"/>
    <n v="-200"/>
    <x v="17"/>
    <m/>
    <m/>
    <m/>
    <n v="200"/>
    <b v="0"/>
    <m/>
    <m/>
    <s v="+"/>
    <x v="184"/>
    <s v="Create Rule; and Description='CARGILL COCOA &amp;';Roth"/>
    <m/>
  </r>
  <r>
    <x v="9"/>
    <d v="2019-10-04T00:00:00"/>
    <s v="Jeff"/>
    <x v="185"/>
    <n v="-200"/>
    <x v="21"/>
    <m/>
    <m/>
    <m/>
    <n v="200"/>
    <b v="0"/>
    <m/>
    <m/>
    <s v=".+"/>
    <x v="184"/>
    <m/>
    <m/>
  </r>
  <r>
    <x v="9"/>
    <d v="2019-10-04T00:00:00"/>
    <s v="Cash Rewards Visa Signature"/>
    <x v="6"/>
    <n v="81.78"/>
    <x v="5"/>
    <m/>
    <m/>
    <m/>
    <n v="81.78"/>
    <b v="0"/>
    <m/>
    <m/>
    <s v="-"/>
    <x v="6"/>
    <m/>
    <m/>
  </r>
  <r>
    <x v="9"/>
    <d v="2019-10-04T00:00:00"/>
    <s v="KAUFMAN"/>
    <x v="227"/>
    <n v="-172.24"/>
    <x v="3"/>
    <m/>
    <m/>
    <m/>
    <n v="172.24"/>
    <b v="0"/>
    <m/>
    <m/>
    <s v=".+"/>
    <x v="225"/>
    <m/>
    <m/>
  </r>
  <r>
    <x v="9"/>
    <d v="2019-10-04T00:00:00"/>
    <s v="CARGILL PARTNERSHIP PLAN"/>
    <x v="235"/>
    <n v="-244.23"/>
    <x v="18"/>
    <m/>
    <m/>
    <m/>
    <n v="244.23"/>
    <b v="0"/>
    <m/>
    <m/>
    <s v=".+"/>
    <x v="233"/>
    <m/>
    <m/>
  </r>
  <r>
    <x v="9"/>
    <d v="2019-10-04T00:00:00"/>
    <s v="Britney Roth"/>
    <x v="51"/>
    <n v="-150"/>
    <x v="17"/>
    <m/>
    <m/>
    <m/>
    <n v="150"/>
    <b v="0"/>
    <m/>
    <m/>
    <s v="+"/>
    <x v="51"/>
    <s v="Create Rule; and Description='Tfr JPMORGAN CHASE BAN, CARGILL COCOA &amp;';Roth"/>
    <m/>
  </r>
  <r>
    <x v="9"/>
    <d v="2019-10-04T00:00:00"/>
    <s v="Roth Contributory IRA"/>
    <x v="51"/>
    <n v="-150"/>
    <x v="17"/>
    <m/>
    <m/>
    <m/>
    <n v="150"/>
    <b v="0"/>
    <m/>
    <m/>
    <s v=".+"/>
    <x v="51"/>
    <m/>
    <m/>
  </r>
  <r>
    <x v="9"/>
    <d v="2019-10-04T00:00:00"/>
    <s v="RAINY DAY"/>
    <x v="3"/>
    <n v="-300"/>
    <x v="3"/>
    <m/>
    <m/>
    <m/>
    <n v="300"/>
    <b v="0"/>
    <m/>
    <m/>
    <s v="+"/>
    <x v="3"/>
    <s v="Delete; and Description='Transfer from POWERPLUS CHECKING';0"/>
    <m/>
  </r>
  <r>
    <x v="9"/>
    <d v="2019-10-04T00:00:00"/>
    <s v="RAINY DAY SAVINGS"/>
    <x v="3"/>
    <n v="-300"/>
    <x v="21"/>
    <m/>
    <m/>
    <m/>
    <n v="300"/>
    <b v="0"/>
    <m/>
    <m/>
    <s v=".+"/>
    <x v="3"/>
    <m/>
    <m/>
  </r>
  <r>
    <x v="9"/>
    <d v="2019-10-04T00:00:00"/>
    <s v="POWERPLUS"/>
    <x v="92"/>
    <n v="300"/>
    <x v="21"/>
    <m/>
    <m/>
    <m/>
    <n v="300"/>
    <b v="0"/>
    <m/>
    <m/>
    <s v="-"/>
    <x v="92"/>
    <s v="Create Rule; and Description='Transfer to RAINY DAY SAVINGS';Savings"/>
    <m/>
  </r>
  <r>
    <x v="9"/>
    <d v="2019-10-04T00:00:00"/>
    <s v="POWERPLUS CHECKING"/>
    <x v="92"/>
    <n v="300"/>
    <x v="21"/>
    <m/>
    <m/>
    <m/>
    <n v="300"/>
    <b v="0"/>
    <m/>
    <m/>
    <s v="-"/>
    <x v="92"/>
    <m/>
    <m/>
  </r>
  <r>
    <x v="9"/>
    <d v="2019-10-04T00:00:00"/>
    <s v="Joint Tenant"/>
    <x v="141"/>
    <n v="-4.16"/>
    <x v="23"/>
    <m/>
    <m/>
    <m/>
    <n v="4.16"/>
    <b v="0"/>
    <m/>
    <m/>
    <s v="+"/>
    <x v="140"/>
    <s v="Create Rule; and Description='VANGUARD INTRMDIAT TRM TRSRY ETF';Dividend"/>
    <m/>
  </r>
  <r>
    <x v="9"/>
    <d v="2019-10-04T00:00:00"/>
    <s v="Jeff"/>
    <x v="141"/>
    <n v="-4.16"/>
    <x v="23"/>
    <m/>
    <m/>
    <m/>
    <n v="4.16"/>
    <b v="0"/>
    <m/>
    <m/>
    <s v=".+"/>
    <x v="140"/>
    <m/>
    <m/>
  </r>
  <r>
    <x v="9"/>
    <d v="2019-10-05T00:00:00"/>
    <s v="Discover"/>
    <x v="93"/>
    <n v="-28.71"/>
    <x v="3"/>
    <m/>
    <m/>
    <m/>
    <n v="28.71"/>
    <b v="0"/>
    <m/>
    <m/>
    <s v="+"/>
    <x v="93"/>
    <s v="Delete; and Description='CASHBACK BONUS REDEMPTION payment/STMT CRDT';0"/>
    <m/>
  </r>
  <r>
    <x v="9"/>
    <d v="2019-10-05T00:00:00"/>
    <s v="Discover More Card"/>
    <x v="93"/>
    <n v="-28.71"/>
    <x v="3"/>
    <m/>
    <m/>
    <m/>
    <n v="28.71"/>
    <b v="0"/>
    <m/>
    <m/>
    <s v=".+"/>
    <x v="93"/>
    <m/>
    <m/>
  </r>
  <r>
    <x v="9"/>
    <d v="2019-10-05T00:00:00"/>
    <s v="POWERPLUS"/>
    <x v="35"/>
    <n v="-1597.93"/>
    <x v="13"/>
    <m/>
    <m/>
    <m/>
    <n v="1597.93"/>
    <b v="0"/>
    <m/>
    <m/>
    <s v="+"/>
    <x v="35"/>
    <s v="Create Rule; and Description='Cargill Incorpor Type';Inc - Other"/>
    <m/>
  </r>
  <r>
    <x v="9"/>
    <d v="2019-10-05T00:00:00"/>
    <s v="POWERPLUS CHECKING"/>
    <x v="35"/>
    <n v="-1597.93"/>
    <x v="13"/>
    <m/>
    <m/>
    <m/>
    <n v="1597.93"/>
    <b v="0"/>
    <m/>
    <m/>
    <s v=".+"/>
    <x v="35"/>
    <m/>
    <m/>
  </r>
  <r>
    <x v="9"/>
    <d v="2019-10-05T00:00:00"/>
    <s v="Target Credit Card"/>
    <x v="34"/>
    <n v="6.17"/>
    <x v="12"/>
    <m/>
    <m/>
    <m/>
    <n v="6.17"/>
    <b v="0"/>
    <m/>
    <m/>
    <s v="-"/>
    <x v="34"/>
    <m/>
    <m/>
  </r>
  <r>
    <x v="9"/>
    <d v="2019-10-05T00:00:00"/>
    <s v="Target Credit Card"/>
    <x v="34"/>
    <n v="23.39"/>
    <x v="12"/>
    <m/>
    <m/>
    <m/>
    <n v="23.39"/>
    <b v="0"/>
    <m/>
    <m/>
    <s v="-"/>
    <x v="34"/>
    <m/>
    <m/>
  </r>
  <r>
    <x v="9"/>
    <d v="2019-10-05T00:00:00"/>
    <s v="Discover"/>
    <x v="3"/>
    <n v="-173.63"/>
    <x v="3"/>
    <m/>
    <m/>
    <m/>
    <n v="173.63"/>
    <b v="0"/>
    <m/>
    <m/>
    <s v="+"/>
    <x v="3"/>
    <s v="Delete; and Description='Transfer from POWERPLUS CHECKING';0"/>
    <m/>
  </r>
  <r>
    <x v="9"/>
    <d v="2019-10-05T00:00:00"/>
    <s v="Discover More Card"/>
    <x v="3"/>
    <n v="-173.63"/>
    <x v="3"/>
    <m/>
    <m/>
    <m/>
    <n v="173.63"/>
    <b v="0"/>
    <m/>
    <m/>
    <s v=".+"/>
    <x v="3"/>
    <m/>
    <m/>
  </r>
  <r>
    <x v="9"/>
    <d v="2019-10-07T00:00:00"/>
    <s v="Cash Rewards Visa Signature"/>
    <x v="317"/>
    <n v="187"/>
    <x v="8"/>
    <m/>
    <m/>
    <m/>
    <n v="187"/>
    <b v="0"/>
    <m/>
    <m/>
    <s v="-"/>
    <x v="308"/>
    <s v="Create Rule; and Description='Asos.com';"/>
    <m/>
  </r>
  <r>
    <x v="9"/>
    <d v="2019-10-07T00:00:00"/>
    <s v="Cash Rewards Visa Signature"/>
    <x v="174"/>
    <n v="36.090000000000003"/>
    <x v="2"/>
    <m/>
    <m/>
    <m/>
    <n v="36.090000000000003"/>
    <b v="0"/>
    <m/>
    <m/>
    <s v="-"/>
    <x v="173"/>
    <m/>
    <m/>
  </r>
  <r>
    <x v="9"/>
    <d v="2019-10-07T00:00:00"/>
    <s v="Jeff Roth"/>
    <x v="19"/>
    <n v="150"/>
    <x v="3"/>
    <m/>
    <m/>
    <m/>
    <n v="150"/>
    <b v="0"/>
    <m/>
    <m/>
    <s v="-"/>
    <x v="19"/>
    <s v="Delete; and Description='SCHWAB S&amp;P 500 INDEX FD' and inflowoutflow='-';0"/>
    <m/>
  </r>
  <r>
    <x v="9"/>
    <d v="2019-10-07T00:00:00"/>
    <s v="Roth Contributory IRA"/>
    <x v="19"/>
    <n v="150"/>
    <x v="3"/>
    <m/>
    <m/>
    <m/>
    <n v="150"/>
    <b v="0"/>
    <m/>
    <m/>
    <s v="-"/>
    <x v="19"/>
    <m/>
    <m/>
  </r>
  <r>
    <x v="9"/>
    <d v="2019-10-07T00:00:00"/>
    <s v="Britney Roth"/>
    <x v="20"/>
    <n v="150"/>
    <x v="3"/>
    <m/>
    <m/>
    <m/>
    <n v="150"/>
    <b v="0"/>
    <m/>
    <m/>
    <s v="-"/>
    <x v="20"/>
    <s v="Delete; and Description='SCHWAB TOTAL STOCK MKT INDEX' and inflowoutflow='-';0"/>
    <m/>
  </r>
  <r>
    <x v="9"/>
    <d v="2019-10-07T00:00:00"/>
    <s v="Jeff Roth"/>
    <x v="20"/>
    <n v="150"/>
    <x v="3"/>
    <m/>
    <m/>
    <m/>
    <n v="150"/>
    <b v="0"/>
    <m/>
    <m/>
    <s v="-"/>
    <x v="20"/>
    <s v="Delete; and Description='SCHWAB TOTAL STOCK MKT INDEX' and inflowoutflow='-';0"/>
    <m/>
  </r>
  <r>
    <x v="9"/>
    <d v="2019-10-07T00:00:00"/>
    <s v="Roth Contributory IRA"/>
    <x v="20"/>
    <n v="150"/>
    <x v="3"/>
    <m/>
    <m/>
    <m/>
    <n v="150"/>
    <b v="0"/>
    <m/>
    <m/>
    <s v="-"/>
    <x v="20"/>
    <m/>
    <m/>
  </r>
  <r>
    <x v="9"/>
    <d v="2019-10-07T00:00:00"/>
    <s v="CARGILL EMPLOYEE RETIREMENT ACCOUNT"/>
    <x v="318"/>
    <n v="-0.04"/>
    <x v="3"/>
    <m/>
    <m/>
    <m/>
    <n v="0.04"/>
    <b v="0"/>
    <m/>
    <m/>
    <s v=".+"/>
    <x v="309"/>
    <m/>
    <m/>
  </r>
  <r>
    <x v="9"/>
    <d v="2019-10-07T00:00:00"/>
    <s v="CARGILL PARTNERSHIP PLAN"/>
    <x v="318"/>
    <n v="-5.79"/>
    <x v="3"/>
    <m/>
    <m/>
    <m/>
    <n v="5.79"/>
    <b v="0"/>
    <m/>
    <m/>
    <s v=".+"/>
    <x v="309"/>
    <m/>
    <m/>
  </r>
  <r>
    <x v="9"/>
    <d v="2019-10-07T00:00:00"/>
    <s v="POWERPLUS"/>
    <x v="319"/>
    <n v="173.63"/>
    <x v="3"/>
    <m/>
    <m/>
    <m/>
    <n v="173.63"/>
    <b v="0"/>
    <m/>
    <m/>
    <s v="-"/>
    <x v="310"/>
    <s v="Delete; and Description='Transfer to Discover More Card';0"/>
    <m/>
  </r>
  <r>
    <x v="9"/>
    <d v="2019-10-07T00:00:00"/>
    <s v="POWERPLUS CHECKING"/>
    <x v="319"/>
    <n v="173.63"/>
    <x v="3"/>
    <m/>
    <m/>
    <m/>
    <n v="173.63"/>
    <b v="0"/>
    <m/>
    <m/>
    <s v="-"/>
    <x v="310"/>
    <m/>
    <m/>
  </r>
  <r>
    <x v="9"/>
    <d v="2019-10-07T00:00:00"/>
    <s v="Joint Tenant"/>
    <x v="141"/>
    <n v="4.16"/>
    <x v="23"/>
    <m/>
    <m/>
    <m/>
    <n v="4.16"/>
    <b v="0"/>
    <m/>
    <m/>
    <s v="-"/>
    <x v="140"/>
    <s v="Create Rule; and Description='VANGUARD INTRMDIAT TRM TRSRY ETF';Dividend"/>
    <m/>
  </r>
  <r>
    <x v="9"/>
    <d v="2019-10-07T00:00:00"/>
    <s v="Jeff"/>
    <x v="141"/>
    <n v="4.16"/>
    <x v="23"/>
    <m/>
    <m/>
    <m/>
    <n v="4.16"/>
    <b v="0"/>
    <m/>
    <m/>
    <s v="-"/>
    <x v="140"/>
    <m/>
    <m/>
  </r>
  <r>
    <x v="9"/>
    <d v="2019-10-08T00:00:00"/>
    <s v="Discover"/>
    <x v="0"/>
    <n v="35.4"/>
    <x v="0"/>
    <m/>
    <m/>
    <m/>
    <n v="35.4"/>
    <b v="0"/>
    <m/>
    <m/>
    <s v="-"/>
    <x v="0"/>
    <s v="Create Rule; and Description='Amazon';Amazon"/>
    <m/>
  </r>
  <r>
    <x v="9"/>
    <d v="2019-10-08T00:00:00"/>
    <s v="Discover More Card"/>
    <x v="0"/>
    <n v="35.4"/>
    <x v="0"/>
    <m/>
    <m/>
    <m/>
    <n v="35.4"/>
    <b v="0"/>
    <m/>
    <m/>
    <s v="-"/>
    <x v="0"/>
    <m/>
    <m/>
  </r>
  <r>
    <x v="9"/>
    <d v="2019-10-08T00:00:00"/>
    <s v="Cash Rewards Visa Signature"/>
    <x v="70"/>
    <n v="11.2"/>
    <x v="5"/>
    <m/>
    <m/>
    <m/>
    <n v="11.2"/>
    <b v="0"/>
    <m/>
    <m/>
    <s v="-"/>
    <x v="70"/>
    <m/>
    <m/>
  </r>
  <r>
    <x v="9"/>
    <d v="2019-10-08T00:00:00"/>
    <s v="Cash Rewards Visa Signature"/>
    <x v="70"/>
    <n v="62.53"/>
    <x v="5"/>
    <m/>
    <m/>
    <m/>
    <n v="62.53"/>
    <b v="0"/>
    <m/>
    <m/>
    <s v="-"/>
    <x v="70"/>
    <m/>
    <m/>
  </r>
  <r>
    <x v="9"/>
    <d v="2019-10-08T00:00:00"/>
    <s v="POWERPLUS"/>
    <x v="320"/>
    <n v="74.290000000000006"/>
    <x v="7"/>
    <m/>
    <m/>
    <m/>
    <n v="74.290000000000006"/>
    <b v="0"/>
    <m/>
    <m/>
    <s v="-"/>
    <x v="311"/>
    <m/>
    <m/>
  </r>
  <r>
    <x v="9"/>
    <d v="2019-10-08T00:00:00"/>
    <s v="POWERPLUS CHECKING"/>
    <x v="320"/>
    <n v="74.290000000000006"/>
    <x v="24"/>
    <m/>
    <m/>
    <m/>
    <n v="74.290000000000006"/>
    <b v="0"/>
    <m/>
    <m/>
    <s v="-"/>
    <x v="311"/>
    <m/>
    <m/>
  </r>
  <r>
    <x v="9"/>
    <d v="2019-10-08T00:00:00"/>
    <s v="Cash Rewards Visa Signature"/>
    <x v="321"/>
    <n v="247.3"/>
    <x v="8"/>
    <m/>
    <m/>
    <m/>
    <n v="247.3"/>
    <b v="0"/>
    <m/>
    <m/>
    <s v="-"/>
    <x v="312"/>
    <m/>
    <m/>
  </r>
  <r>
    <x v="9"/>
    <d v="2019-10-08T00:00:00"/>
    <s v="Cash Rewards Visa Signature"/>
    <x v="322"/>
    <n v="21.59"/>
    <x v="8"/>
    <m/>
    <m/>
    <m/>
    <n v="21.59"/>
    <b v="0"/>
    <m/>
    <m/>
    <s v="-"/>
    <x v="313"/>
    <m/>
    <m/>
  </r>
  <r>
    <x v="9"/>
    <d v="2019-10-08T00:00:00"/>
    <s v="Cash Rewards Visa Signature"/>
    <x v="322"/>
    <n v="38.869999999999997"/>
    <x v="8"/>
    <m/>
    <m/>
    <m/>
    <n v="38.869999999999997"/>
    <b v="0"/>
    <m/>
    <m/>
    <s v="-"/>
    <x v="313"/>
    <m/>
    <m/>
  </r>
  <r>
    <x v="9"/>
    <d v="2019-10-08T00:00:00"/>
    <s v="Cash Rewards Visa Signature"/>
    <x v="323"/>
    <n v="22.2"/>
    <x v="1"/>
    <m/>
    <m/>
    <m/>
    <n v="22.2"/>
    <b v="0"/>
    <m/>
    <m/>
    <s v="-"/>
    <x v="314"/>
    <s v="Create Rule; and Description='Suburban';"/>
    <m/>
  </r>
  <r>
    <x v="9"/>
    <d v="2019-10-08T00:00:00"/>
    <s v="Discover"/>
    <x v="324"/>
    <n v="82.94"/>
    <x v="1"/>
    <m/>
    <m/>
    <m/>
    <n v="82.94"/>
    <b v="0"/>
    <m/>
    <m/>
    <s v="-"/>
    <x v="315"/>
    <s v="Create Rule; and Description Like '%RED COW%';Restaurants"/>
    <m/>
  </r>
  <r>
    <x v="9"/>
    <d v="2019-10-08T00:00:00"/>
    <s v="Discover More Card"/>
    <x v="324"/>
    <n v="82.94"/>
    <x v="1"/>
    <m/>
    <m/>
    <m/>
    <n v="82.94"/>
    <b v="0"/>
    <m/>
    <m/>
    <s v="-"/>
    <x v="315"/>
    <m/>
    <m/>
  </r>
  <r>
    <x v="9"/>
    <d v="2019-10-09T00:00:00"/>
    <s v="Cash Rewards Visa Signature"/>
    <x v="59"/>
    <n v="4.28"/>
    <x v="1"/>
    <m/>
    <m/>
    <m/>
    <n v="4.28"/>
    <b v="0"/>
    <m/>
    <m/>
    <s v="-"/>
    <x v="59"/>
    <m/>
    <m/>
  </r>
  <r>
    <x v="9"/>
    <d v="2019-10-09T00:00:00"/>
    <s v="POWERPLUS"/>
    <x v="325"/>
    <n v="247.95"/>
    <x v="4"/>
    <m/>
    <m/>
    <m/>
    <n v="247.95"/>
    <b v="0"/>
    <m/>
    <m/>
    <s v="-"/>
    <x v="316"/>
    <s v="Create Rule; and Description Like '%CCLC TYPE INTERNET ID%';Day Care"/>
    <m/>
  </r>
  <r>
    <x v="9"/>
    <d v="2019-10-09T00:00:00"/>
    <s v="POWERPLUS CHECKING"/>
    <x v="325"/>
    <n v="247.95"/>
    <x v="4"/>
    <m/>
    <m/>
    <m/>
    <n v="247.95"/>
    <b v="0"/>
    <m/>
    <m/>
    <s v="-"/>
    <x v="316"/>
    <m/>
    <m/>
  </r>
  <r>
    <x v="9"/>
    <d v="2019-10-09T00:00:00"/>
    <s v="Cash Rewards Visa Signature"/>
    <x v="60"/>
    <n v="22.41"/>
    <x v="19"/>
    <m/>
    <m/>
    <m/>
    <n v="22.41"/>
    <b v="0"/>
    <m/>
    <m/>
    <s v="-"/>
    <x v="60"/>
    <m/>
    <m/>
  </r>
  <r>
    <x v="9"/>
    <d v="2019-10-09T00:00:00"/>
    <s v="Cash Rewards Visa Signature"/>
    <x v="183"/>
    <n v="-70"/>
    <x v="8"/>
    <m/>
    <m/>
    <m/>
    <n v="70"/>
    <b v="0"/>
    <m/>
    <m/>
    <s v=".+"/>
    <x v="182"/>
    <m/>
    <m/>
  </r>
  <r>
    <x v="9"/>
    <d v="2019-10-09T00:00:00"/>
    <s v="POWERPLUS"/>
    <x v="157"/>
    <n v="7.43"/>
    <x v="8"/>
    <m/>
    <m/>
    <m/>
    <n v="7.43"/>
    <b v="0"/>
    <m/>
    <m/>
    <s v="-"/>
    <x v="156"/>
    <s v="Create Rule; and Description Like '%PayPal%';Shopping"/>
    <m/>
  </r>
  <r>
    <x v="9"/>
    <d v="2019-10-09T00:00:00"/>
    <s v="POWERPLUS CHECKING"/>
    <x v="157"/>
    <n v="7.43"/>
    <x v="8"/>
    <m/>
    <m/>
    <m/>
    <n v="7.43"/>
    <b v="0"/>
    <m/>
    <m/>
    <s v="-"/>
    <x v="156"/>
    <m/>
    <m/>
  </r>
  <r>
    <x v="9"/>
    <d v="2019-10-09T00:00:00"/>
    <s v="POWERPLUS"/>
    <x v="30"/>
    <n v="102.78"/>
    <x v="11"/>
    <m/>
    <m/>
    <m/>
    <n v="102.78"/>
    <b v="0"/>
    <m/>
    <m/>
    <s v="-"/>
    <x v="30"/>
    <s v="Create Rule; and Description='Xcel Energy';Utilities"/>
    <m/>
  </r>
  <r>
    <x v="9"/>
    <d v="2019-10-09T00:00:00"/>
    <s v="POWERPLUS CHECKING"/>
    <x v="30"/>
    <n v="102.78"/>
    <x v="11"/>
    <m/>
    <m/>
    <m/>
    <n v="102.78"/>
    <b v="0"/>
    <m/>
    <m/>
    <s v="-"/>
    <x v="30"/>
    <m/>
    <m/>
  </r>
  <r>
    <x v="9"/>
    <d v="2019-10-30T00:00:00"/>
    <s v="Discover"/>
    <x v="57"/>
    <n v="173.9"/>
    <x v="5"/>
    <m/>
    <m/>
    <m/>
    <n v="173.9"/>
    <b v="0"/>
    <m/>
    <m/>
    <s v="-"/>
    <x v="57"/>
    <s v="Create Rule; and Description='Advocare';Groceries"/>
    <m/>
  </r>
  <r>
    <x v="9"/>
    <d v="2019-10-30T00:00:00"/>
    <s v="Discover More Card"/>
    <x v="57"/>
    <n v="173.9"/>
    <x v="5"/>
    <m/>
    <m/>
    <m/>
    <n v="173.9"/>
    <b v="0"/>
    <m/>
    <m/>
    <s v="-"/>
    <x v="57"/>
    <s v="Create Rule; and Description='Advocare';Groceries"/>
    <m/>
  </r>
  <r>
    <x v="9"/>
    <d v="2019-10-30T00:00:00"/>
    <s v="Discover"/>
    <x v="0"/>
    <n v="5.47"/>
    <x v="0"/>
    <m/>
    <m/>
    <m/>
    <n v="5.47"/>
    <b v="0"/>
    <m/>
    <m/>
    <s v="-"/>
    <x v="0"/>
    <s v="Create Rule; and Description='Amazon';Amazon"/>
    <m/>
  </r>
  <r>
    <x v="9"/>
    <d v="2019-10-30T00:00:00"/>
    <s v="Discover"/>
    <x v="0"/>
    <n v="27.99"/>
    <x v="0"/>
    <m/>
    <m/>
    <m/>
    <n v="27.99"/>
    <b v="0"/>
    <m/>
    <m/>
    <s v="-"/>
    <x v="0"/>
    <s v="Create Rule; and Description='Amazon';Amazon"/>
    <m/>
  </r>
  <r>
    <x v="9"/>
    <d v="2019-10-30T00:00:00"/>
    <s v="Discover"/>
    <x v="0"/>
    <n v="39.950000000000003"/>
    <x v="0"/>
    <m/>
    <m/>
    <m/>
    <n v="39.950000000000003"/>
    <b v="0"/>
    <m/>
    <m/>
    <s v="-"/>
    <x v="0"/>
    <s v="Create Rule; and Description='Amazon';Amazon"/>
    <m/>
  </r>
  <r>
    <x v="9"/>
    <d v="2019-10-30T00:00:00"/>
    <s v="Discover"/>
    <x v="0"/>
    <n v="32.19"/>
    <x v="0"/>
    <m/>
    <m/>
    <m/>
    <n v="32.19"/>
    <b v="0"/>
    <m/>
    <m/>
    <s v="-"/>
    <x v="0"/>
    <s v="Create Rule; and Description='Amazon';Amazon"/>
    <m/>
  </r>
  <r>
    <x v="9"/>
    <d v="2019-10-30T00:00:00"/>
    <s v="Discover"/>
    <x v="0"/>
    <n v="50.56"/>
    <x v="0"/>
    <m/>
    <m/>
    <m/>
    <n v="50.56"/>
    <b v="0"/>
    <m/>
    <m/>
    <s v="-"/>
    <x v="0"/>
    <s v="Create Rule; and Description='Amazon';Amazon"/>
    <m/>
  </r>
  <r>
    <x v="9"/>
    <d v="2019-10-30T00:00:00"/>
    <s v="Discover"/>
    <x v="0"/>
    <n v="28.49"/>
    <x v="0"/>
    <m/>
    <m/>
    <m/>
    <n v="28.49"/>
    <b v="0"/>
    <m/>
    <m/>
    <s v="-"/>
    <x v="0"/>
    <s v="Create Rule; and Description='Amazon';Amazon"/>
    <m/>
  </r>
  <r>
    <x v="9"/>
    <d v="2019-10-30T00:00:00"/>
    <s v="Discover"/>
    <x v="0"/>
    <n v="19.27"/>
    <x v="0"/>
    <m/>
    <m/>
    <m/>
    <n v="19.27"/>
    <b v="0"/>
    <m/>
    <m/>
    <s v="-"/>
    <x v="0"/>
    <s v="Create Rule; and Description='Amazon';Amazon"/>
    <m/>
  </r>
  <r>
    <x v="9"/>
    <d v="2019-10-30T00:00:00"/>
    <s v="Discover"/>
    <x v="0"/>
    <n v="18.239999999999998"/>
    <x v="0"/>
    <m/>
    <m/>
    <m/>
    <n v="18.239999999999998"/>
    <b v="0"/>
    <m/>
    <m/>
    <s v="-"/>
    <x v="0"/>
    <s v="Create Rule; and Description='Amazon';Amazon"/>
    <m/>
  </r>
  <r>
    <x v="9"/>
    <d v="2019-10-30T00:00:00"/>
    <s v="Discover"/>
    <x v="0"/>
    <n v="27.56"/>
    <x v="0"/>
    <m/>
    <m/>
    <m/>
    <n v="27.56"/>
    <b v="0"/>
    <m/>
    <m/>
    <s v="-"/>
    <x v="0"/>
    <s v="Create Rule; and Description='Amazon';Amazon"/>
    <m/>
  </r>
  <r>
    <x v="9"/>
    <d v="2019-10-30T00:00:00"/>
    <s v="Discover"/>
    <x v="0"/>
    <n v="55.61"/>
    <x v="0"/>
    <m/>
    <m/>
    <m/>
    <n v="55.61"/>
    <b v="0"/>
    <m/>
    <m/>
    <s v="-"/>
    <x v="0"/>
    <s v="Create Rule; and Description='Amazon';Amazon"/>
    <m/>
  </r>
  <r>
    <x v="9"/>
    <d v="2019-10-30T00:00:00"/>
    <s v="Discover"/>
    <x v="0"/>
    <n v="45"/>
    <x v="0"/>
    <m/>
    <m/>
    <m/>
    <n v="45"/>
    <b v="0"/>
    <m/>
    <m/>
    <s v="-"/>
    <x v="0"/>
    <s v="Create Rule; and Description='Amazon';Amazon"/>
    <m/>
  </r>
  <r>
    <x v="9"/>
    <d v="2019-10-30T00:00:00"/>
    <s v="Discover More Card"/>
    <x v="0"/>
    <n v="27.56"/>
    <x v="0"/>
    <m/>
    <m/>
    <m/>
    <n v="27.56"/>
    <b v="0"/>
    <m/>
    <m/>
    <s v="-"/>
    <x v="0"/>
    <s v="Create Rule; and Description='Amazon';Amazon"/>
    <m/>
  </r>
  <r>
    <x v="9"/>
    <d v="2019-10-30T00:00:00"/>
    <s v="Discover More Card"/>
    <x v="0"/>
    <n v="55.61"/>
    <x v="0"/>
    <m/>
    <m/>
    <m/>
    <n v="55.61"/>
    <b v="0"/>
    <m/>
    <m/>
    <s v="-"/>
    <x v="0"/>
    <s v="Create Rule; and Description='Amazon';Amazon"/>
    <m/>
  </r>
  <r>
    <x v="9"/>
    <d v="2019-10-30T00:00:00"/>
    <s v="Discover More Card"/>
    <x v="0"/>
    <n v="45"/>
    <x v="0"/>
    <m/>
    <m/>
    <m/>
    <n v="45"/>
    <b v="0"/>
    <m/>
    <m/>
    <s v="-"/>
    <x v="0"/>
    <s v="Create Rule; and Description='Amazon';Amazon"/>
    <m/>
  </r>
  <r>
    <x v="9"/>
    <d v="2019-10-30T00:00:00"/>
    <s v="Discover More Card"/>
    <x v="0"/>
    <n v="5.47"/>
    <x v="0"/>
    <m/>
    <m/>
    <m/>
    <n v="5.47"/>
    <b v="0"/>
    <m/>
    <m/>
    <s v="-"/>
    <x v="0"/>
    <m/>
    <m/>
  </r>
  <r>
    <x v="9"/>
    <d v="2019-10-30T00:00:00"/>
    <s v="Discover More Card"/>
    <x v="0"/>
    <n v="27.99"/>
    <x v="0"/>
    <m/>
    <m/>
    <m/>
    <n v="27.99"/>
    <b v="0"/>
    <m/>
    <m/>
    <s v="-"/>
    <x v="0"/>
    <m/>
    <m/>
  </r>
  <r>
    <x v="9"/>
    <d v="2019-10-30T00:00:00"/>
    <s v="Discover More Card"/>
    <x v="0"/>
    <n v="39.950000000000003"/>
    <x v="0"/>
    <m/>
    <m/>
    <m/>
    <n v="39.950000000000003"/>
    <b v="0"/>
    <m/>
    <m/>
    <s v="-"/>
    <x v="0"/>
    <m/>
    <m/>
  </r>
  <r>
    <x v="9"/>
    <d v="2019-10-30T00:00:00"/>
    <s v="Discover More Card"/>
    <x v="0"/>
    <n v="32.19"/>
    <x v="0"/>
    <m/>
    <m/>
    <m/>
    <n v="32.19"/>
    <b v="0"/>
    <m/>
    <m/>
    <s v="-"/>
    <x v="0"/>
    <m/>
    <m/>
  </r>
  <r>
    <x v="9"/>
    <d v="2019-10-30T00:00:00"/>
    <s v="Discover More Card"/>
    <x v="0"/>
    <n v="50.56"/>
    <x v="0"/>
    <m/>
    <m/>
    <m/>
    <n v="50.56"/>
    <b v="0"/>
    <m/>
    <m/>
    <s v="-"/>
    <x v="0"/>
    <m/>
    <m/>
  </r>
  <r>
    <x v="9"/>
    <d v="2019-10-30T00:00:00"/>
    <s v="Discover More Card"/>
    <x v="0"/>
    <n v="50.56"/>
    <x v="0"/>
    <m/>
    <m/>
    <m/>
    <n v="50.56"/>
    <b v="0"/>
    <m/>
    <m/>
    <s v="-"/>
    <x v="0"/>
    <s v="Create Rule; and Description='Amazon';Amazon"/>
    <m/>
  </r>
  <r>
    <x v="9"/>
    <d v="2019-10-30T00:00:00"/>
    <s v="Discover More Card"/>
    <x v="0"/>
    <n v="28.49"/>
    <x v="0"/>
    <m/>
    <m/>
    <m/>
    <n v="28.49"/>
    <b v="0"/>
    <m/>
    <m/>
    <s v="-"/>
    <x v="0"/>
    <s v="Create Rule; and Description='Amazon';Amazon"/>
    <m/>
  </r>
  <r>
    <x v="9"/>
    <d v="2019-10-30T00:00:00"/>
    <s v="Discover More Card"/>
    <x v="0"/>
    <n v="19.27"/>
    <x v="0"/>
    <m/>
    <m/>
    <m/>
    <n v="19.27"/>
    <b v="0"/>
    <m/>
    <m/>
    <s v="-"/>
    <x v="0"/>
    <s v="Create Rule; and Description='Amazon';Amazon"/>
    <m/>
  </r>
  <r>
    <x v="9"/>
    <d v="2019-10-30T00:00:00"/>
    <s v="Discover More Card"/>
    <x v="0"/>
    <n v="18.239999999999998"/>
    <x v="0"/>
    <m/>
    <m/>
    <m/>
    <n v="18.239999999999998"/>
    <b v="0"/>
    <m/>
    <m/>
    <s v="-"/>
    <x v="0"/>
    <s v="Create Rule; and Description='Amazon';Amazon"/>
    <m/>
  </r>
  <r>
    <x v="9"/>
    <d v="2019-10-30T00:00:00"/>
    <s v="Cash Rewards Visa Signature"/>
    <x v="326"/>
    <n v="22.4"/>
    <x v="24"/>
    <m/>
    <m/>
    <m/>
    <n v="22.4"/>
    <b v="0"/>
    <m/>
    <m/>
    <s v="-"/>
    <x v="317"/>
    <m/>
    <m/>
  </r>
  <r>
    <x v="9"/>
    <d v="2019-10-30T00:00:00"/>
    <s v="POWERPLUS"/>
    <x v="48"/>
    <n v="99.04"/>
    <x v="16"/>
    <m/>
    <m/>
    <m/>
    <n v="99.04"/>
    <b v="0"/>
    <m/>
    <m/>
    <s v="-"/>
    <x v="48"/>
    <s v="Create Rule; and Description='American Family Insurance';Insurance"/>
    <m/>
  </r>
  <r>
    <x v="9"/>
    <d v="2019-10-30T00:00:00"/>
    <s v="POWERPLUS CHECKING"/>
    <x v="48"/>
    <n v="99.04"/>
    <x v="16"/>
    <m/>
    <m/>
    <m/>
    <n v="99.04"/>
    <b v="0"/>
    <m/>
    <m/>
    <s v="-"/>
    <x v="48"/>
    <m/>
    <m/>
  </r>
  <r>
    <x v="9"/>
    <d v="2019-10-30T00:00:00"/>
    <s v="Coopers Rainy Day"/>
    <x v="114"/>
    <n v="-0.02"/>
    <x v="3"/>
    <m/>
    <m/>
    <m/>
    <n v="0.02"/>
    <b v="0"/>
    <m/>
    <m/>
    <s v="+"/>
    <x v="114"/>
    <s v="Manual"/>
    <m/>
  </r>
  <r>
    <x v="9"/>
    <d v="2019-10-30T00:00:00"/>
    <s v="Cash Rewards Visa Signature"/>
    <x v="317"/>
    <n v="-123"/>
    <x v="8"/>
    <m/>
    <m/>
    <m/>
    <n v="123"/>
    <b v="0"/>
    <m/>
    <m/>
    <s v="+"/>
    <x v="308"/>
    <s v="Create Rule; and Description='Asos.com';Shopping"/>
    <m/>
  </r>
  <r>
    <x v="9"/>
    <d v="2019-10-30T00:00:00"/>
    <s v="POWERPLUS"/>
    <x v="327"/>
    <n v="-3"/>
    <x v="7"/>
    <m/>
    <m/>
    <m/>
    <n v="3"/>
    <b v="0"/>
    <m/>
    <m/>
    <s v="+"/>
    <x v="318"/>
    <m/>
    <m/>
  </r>
  <r>
    <x v="9"/>
    <d v="2019-10-30T00:00:00"/>
    <s v="POWERPLUS CHECKING"/>
    <x v="327"/>
    <n v="-3"/>
    <x v="3"/>
    <m/>
    <m/>
    <m/>
    <n v="3"/>
    <b v="0"/>
    <m/>
    <m/>
    <s v="+"/>
    <x v="318"/>
    <s v="Manual"/>
    <m/>
  </r>
  <r>
    <x v="9"/>
    <d v="2019-10-30T00:00:00"/>
    <s v="Target Credit Card"/>
    <x v="193"/>
    <n v="-148.47"/>
    <x v="1"/>
    <m/>
    <m/>
    <m/>
    <n v="148.47"/>
    <b v="0"/>
    <m/>
    <m/>
    <s v="+"/>
    <x v="192"/>
    <s v="Manual"/>
    <m/>
  </r>
  <r>
    <x v="9"/>
    <d v="2019-10-30T00:00:00"/>
    <s v="Britney Roth"/>
    <x v="328"/>
    <n v="-0.1"/>
    <x v="7"/>
    <m/>
    <m/>
    <m/>
    <n v="0.1"/>
    <b v="0"/>
    <m/>
    <m/>
    <s v="+"/>
    <x v="319"/>
    <m/>
    <m/>
  </r>
  <r>
    <x v="9"/>
    <d v="2019-10-30T00:00:00"/>
    <s v="Jeff Roth"/>
    <x v="328"/>
    <n v="-0.14000000000000001"/>
    <x v="7"/>
    <m/>
    <m/>
    <m/>
    <n v="0.14000000000000001"/>
    <b v="0"/>
    <m/>
    <m/>
    <s v="+"/>
    <x v="319"/>
    <m/>
    <m/>
  </r>
  <r>
    <x v="9"/>
    <d v="2019-10-30T00:00:00"/>
    <s v="Roth Contributory IRA"/>
    <x v="328"/>
    <n v="-0.24"/>
    <x v="3"/>
    <m/>
    <m/>
    <m/>
    <n v="0.24"/>
    <b v="0"/>
    <m/>
    <m/>
    <s v=".+"/>
    <x v="319"/>
    <m/>
    <m/>
  </r>
  <r>
    <x v="9"/>
    <d v="2019-10-30T00:00:00"/>
    <s v="Cash Rewards Visa Signature"/>
    <x v="70"/>
    <n v="74.489999999999995"/>
    <x v="5"/>
    <m/>
    <m/>
    <m/>
    <n v="74.489999999999995"/>
    <b v="0"/>
    <m/>
    <m/>
    <s v="-"/>
    <x v="70"/>
    <s v="Create Rule; and Description like '%Byerly%';Groceries"/>
    <m/>
  </r>
  <r>
    <x v="9"/>
    <d v="2019-10-30T00:00:00"/>
    <s v="Cash Rewards Visa Signature"/>
    <x v="329"/>
    <n v="8.01"/>
    <x v="1"/>
    <m/>
    <m/>
    <m/>
    <n v="8.01"/>
    <b v="0"/>
    <m/>
    <m/>
    <s v="-"/>
    <x v="320"/>
    <s v="Create Rule; and Description Like '%CARGILL CAF%';Restaurants"/>
    <m/>
  </r>
  <r>
    <x v="9"/>
    <d v="2019-10-30T00:00:00"/>
    <s v="Cash Rewards Visa Signature"/>
    <x v="330"/>
    <n v="6.44"/>
    <x v="1"/>
    <m/>
    <m/>
    <m/>
    <n v="6.44"/>
    <b v="0"/>
    <m/>
    <m/>
    <s v="-"/>
    <x v="321"/>
    <s v="Create Rule; and Description Like '%CARGILL CAF%';Restaurants"/>
    <m/>
  </r>
  <r>
    <x v="9"/>
    <d v="2019-10-30T00:00:00"/>
    <s v="Joint Tenant"/>
    <x v="185"/>
    <n v="-200"/>
    <x v="17"/>
    <m/>
    <m/>
    <m/>
    <n v="200"/>
    <b v="0"/>
    <m/>
    <m/>
    <s v="+"/>
    <x v="184"/>
    <s v="Create Rule; and Description='CARGILL COCOA &amp;';Roth"/>
    <m/>
  </r>
  <r>
    <x v="9"/>
    <d v="2019-10-30T00:00:00"/>
    <s v="Jeff"/>
    <x v="185"/>
    <n v="-200"/>
    <x v="17"/>
    <m/>
    <m/>
    <m/>
    <n v="200"/>
    <b v="0"/>
    <m/>
    <m/>
    <s v="+"/>
    <x v="184"/>
    <s v="Create Rule; and Description='CARGILL COCOA &amp;';Roth"/>
    <m/>
  </r>
  <r>
    <x v="9"/>
    <d v="2019-10-30T00:00:00"/>
    <s v="POWERPLUS"/>
    <x v="331"/>
    <n v="-2332.1"/>
    <x v="14"/>
    <m/>
    <m/>
    <m/>
    <n v="2332.1"/>
    <b v="0"/>
    <m/>
    <m/>
    <s v="+"/>
    <x v="322"/>
    <s v="Create Rule; and Description Like '%CARGILL COCOA TYPE DIR DEP ID%';Inc - Britney"/>
    <m/>
  </r>
  <r>
    <x v="9"/>
    <d v="2019-10-30T00:00:00"/>
    <s v="POWERPLUS CHECKING"/>
    <x v="331"/>
    <n v="-2332.1"/>
    <x v="14"/>
    <m/>
    <m/>
    <m/>
    <n v="2332.1"/>
    <b v="0"/>
    <m/>
    <m/>
    <s v=".+"/>
    <x v="322"/>
    <m/>
    <m/>
  </r>
  <r>
    <x v="9"/>
    <d v="2019-10-30T00:00:00"/>
    <s v="POWERPLUS"/>
    <x v="332"/>
    <n v="-2332.1"/>
    <x v="14"/>
    <m/>
    <m/>
    <m/>
    <n v="2332.1"/>
    <b v="0"/>
    <m/>
    <m/>
    <s v="+"/>
    <x v="323"/>
    <s v="Create Rule; and Description Like '%CARGILL COCOA TYPE DIR DEP ID%';Inc - Britney"/>
    <m/>
  </r>
  <r>
    <x v="9"/>
    <d v="2019-10-30T00:00:00"/>
    <s v="POWERPLUS CHECKING"/>
    <x v="332"/>
    <n v="-2332.1"/>
    <x v="14"/>
    <m/>
    <m/>
    <m/>
    <n v="2332.1"/>
    <b v="0"/>
    <m/>
    <m/>
    <s v="+"/>
    <x v="323"/>
    <s v="Create Rule; and Description Like '%CARGILL COCOA TYPE DIR DEP ID%';Inc - Britney"/>
    <m/>
  </r>
  <r>
    <x v="9"/>
    <d v="2019-10-30T00:00:00"/>
    <s v="Discover"/>
    <x v="333"/>
    <n v="6.21"/>
    <x v="5"/>
    <m/>
    <m/>
    <m/>
    <n v="6.21"/>
    <b v="0"/>
    <m/>
    <m/>
    <s v="-"/>
    <x v="324"/>
    <s v="Create Rule; and Description='CARGILL JAZ20029518579 WAYZATA MN';Groceries"/>
    <m/>
  </r>
  <r>
    <x v="9"/>
    <d v="2019-10-30T00:00:00"/>
    <s v="Discover More Card"/>
    <x v="333"/>
    <n v="6.21"/>
    <x v="5"/>
    <m/>
    <m/>
    <m/>
    <n v="6.21"/>
    <b v="0"/>
    <m/>
    <m/>
    <s v="-"/>
    <x v="324"/>
    <s v="Create Rule; and Description='CARGILL JAZ20029518579 WAYZATA MN';Groceries"/>
    <m/>
  </r>
  <r>
    <x v="9"/>
    <d v="2019-10-30T00:00:00"/>
    <s v="Cash Rewards Visa Signature"/>
    <x v="334"/>
    <n v="3.86"/>
    <x v="1"/>
    <m/>
    <m/>
    <m/>
    <n v="3.86"/>
    <b v="0"/>
    <m/>
    <m/>
    <s v="-"/>
    <x v="325"/>
    <s v="Create Rule; and Description Like '%CARGILL JAZZMA20029518 WAYZATA MN%';Restaurants"/>
    <m/>
  </r>
  <r>
    <x v="9"/>
    <d v="2019-10-30T00:00:00"/>
    <s v="Cash Rewards Visa Signature"/>
    <x v="335"/>
    <n v="15.42"/>
    <x v="5"/>
    <m/>
    <m/>
    <m/>
    <n v="15.42"/>
    <b v="0"/>
    <m/>
    <m/>
    <s v="-"/>
    <x v="326"/>
    <s v="Create Rule; and Description Like '%CARGILL PRODUC%';Groceries"/>
    <m/>
  </r>
  <r>
    <x v="9"/>
    <d v="2019-10-30T00:00:00"/>
    <s v="POWERPLUS"/>
    <x v="336"/>
    <n v="247.95"/>
    <x v="4"/>
    <m/>
    <m/>
    <m/>
    <n v="247.95"/>
    <b v="0"/>
    <m/>
    <m/>
    <s v="-"/>
    <x v="327"/>
    <s v="Create Rule; and Description Like '%CCLC TYPE INTERNET ID%';Day Care"/>
    <m/>
  </r>
  <r>
    <x v="9"/>
    <d v="2019-10-30T00:00:00"/>
    <s v="POWERPLUS CHECKING"/>
    <x v="336"/>
    <n v="247.95"/>
    <x v="4"/>
    <m/>
    <m/>
    <m/>
    <n v="247.95"/>
    <b v="0"/>
    <m/>
    <m/>
    <s v="-"/>
    <x v="327"/>
    <m/>
    <m/>
  </r>
  <r>
    <x v="9"/>
    <d v="2019-10-30T00:00:00"/>
    <s v="POWERPLUS"/>
    <x v="337"/>
    <n v="247.95"/>
    <x v="4"/>
    <m/>
    <m/>
    <m/>
    <n v="247.95"/>
    <b v="0"/>
    <m/>
    <m/>
    <s v="-"/>
    <x v="328"/>
    <s v="Create Rule; and Description Like '%CCLC TYPE INTERNET ID%';Day Care"/>
    <m/>
  </r>
  <r>
    <x v="9"/>
    <d v="2019-10-30T00:00:00"/>
    <s v="POWERPLUS CHECKING"/>
    <x v="337"/>
    <n v="247.95"/>
    <x v="4"/>
    <m/>
    <m/>
    <m/>
    <n v="247.95"/>
    <b v="0"/>
    <m/>
    <m/>
    <s v="-"/>
    <x v="328"/>
    <s v="Create Rule; and Description Like '%CCLC TYPE INTERNET ID%';Day Care"/>
    <m/>
  </r>
  <r>
    <x v="9"/>
    <d v="2019-10-30T00:00:00"/>
    <s v="POWERPLUS"/>
    <x v="338"/>
    <n v="247.95"/>
    <x v="4"/>
    <m/>
    <m/>
    <m/>
    <n v="247.95"/>
    <b v="0"/>
    <m/>
    <m/>
    <s v="-"/>
    <x v="329"/>
    <s v="Create Rule; and Description Like '%CCLC TYPE INTERNET ID%';Day Care"/>
    <m/>
  </r>
  <r>
    <x v="9"/>
    <d v="2019-10-30T00:00:00"/>
    <s v="POWERPLUS CHECKING"/>
    <x v="338"/>
    <n v="247.95"/>
    <x v="4"/>
    <m/>
    <m/>
    <m/>
    <n v="247.95"/>
    <b v="0"/>
    <m/>
    <m/>
    <s v="-"/>
    <x v="329"/>
    <s v="Create Rule; and Description Like '%CCLC TYPE INTERNET ID%';Day Care"/>
    <m/>
  </r>
  <r>
    <x v="9"/>
    <d v="2019-10-30T00:00:00"/>
    <s v="Cash Rewards Visa Signature"/>
    <x v="67"/>
    <n v="45"/>
    <x v="11"/>
    <m/>
    <m/>
    <m/>
    <n v="45"/>
    <b v="0"/>
    <m/>
    <m/>
    <s v="-"/>
    <x v="67"/>
    <m/>
    <m/>
  </r>
  <r>
    <x v="9"/>
    <d v="2019-10-30T00:00:00"/>
    <s v="Discover"/>
    <x v="339"/>
    <n v="36.979999999999997"/>
    <x v="1"/>
    <m/>
    <m/>
    <m/>
    <n v="36.979999999999997"/>
    <b v="0"/>
    <m/>
    <m/>
    <s v="-"/>
    <x v="330"/>
    <s v="Create Rule; and Description Like '%CHINA PAGODA%';Restaurants"/>
    <m/>
  </r>
  <r>
    <x v="9"/>
    <d v="2019-10-30T00:00:00"/>
    <s v="Discover More Card"/>
    <x v="339"/>
    <n v="36.979999999999997"/>
    <x v="1"/>
    <m/>
    <m/>
    <m/>
    <n v="36.979999999999997"/>
    <b v="0"/>
    <m/>
    <m/>
    <s v="-"/>
    <x v="330"/>
    <m/>
    <m/>
  </r>
  <r>
    <x v="9"/>
    <d v="2019-10-30T00:00:00"/>
    <s v="POWERPLUS"/>
    <x v="84"/>
    <n v="30.92"/>
    <x v="11"/>
    <m/>
    <m/>
    <m/>
    <n v="30.92"/>
    <b v="0"/>
    <m/>
    <m/>
    <s v="-"/>
    <x v="84"/>
    <s v="Create Rule; and Description='City of Chanhassen';Utilities"/>
    <m/>
  </r>
  <r>
    <x v="9"/>
    <d v="2019-10-30T00:00:00"/>
    <s v="POWERPLUS CHECKING"/>
    <x v="84"/>
    <n v="30.92"/>
    <x v="11"/>
    <m/>
    <m/>
    <m/>
    <n v="30.92"/>
    <b v="0"/>
    <m/>
    <m/>
    <s v="-"/>
    <x v="84"/>
    <s v="Create Rule; and Description='City of Chanhassen';Utilities"/>
    <m/>
  </r>
  <r>
    <x v="9"/>
    <d v="2019-10-30T00:00:00"/>
    <s v="Target Credit Card"/>
    <x v="340"/>
    <n v="106.69"/>
    <x v="1"/>
    <m/>
    <m/>
    <m/>
    <n v="106.69"/>
    <b v="0"/>
    <m/>
    <m/>
    <s v="-"/>
    <x v="331"/>
    <s v="Create Rule; and Description Like '%Coalition Restaurant%';Restaurants"/>
    <m/>
  </r>
  <r>
    <x v="9"/>
    <d v="2019-10-30T00:00:00"/>
    <s v="Discover"/>
    <x v="6"/>
    <n v="14.05"/>
    <x v="5"/>
    <m/>
    <m/>
    <m/>
    <n v="14.05"/>
    <b v="0"/>
    <m/>
    <m/>
    <s v="-"/>
    <x v="6"/>
    <s v="Create Rule; and Description Like '%Cub Foods%';Groceries"/>
    <m/>
  </r>
  <r>
    <x v="9"/>
    <d v="2019-10-30T00:00:00"/>
    <s v="Cash Rewards Visa Signature"/>
    <x v="6"/>
    <n v="18.95"/>
    <x v="5"/>
    <m/>
    <m/>
    <m/>
    <n v="18.95"/>
    <b v="0"/>
    <m/>
    <m/>
    <s v="-"/>
    <x v="6"/>
    <s v="Create Rule; and Description Like '%Cub Foods%';Groceries"/>
    <m/>
  </r>
  <r>
    <x v="9"/>
    <d v="2019-10-30T00:00:00"/>
    <s v="Cash Rewards Visa Signature"/>
    <x v="6"/>
    <n v="142.79"/>
    <x v="5"/>
    <m/>
    <m/>
    <m/>
    <n v="142.79"/>
    <b v="0"/>
    <m/>
    <m/>
    <s v="-"/>
    <x v="6"/>
    <s v="Create Rule; and Description Like '%Cub Foods%';Groceries"/>
    <m/>
  </r>
  <r>
    <x v="9"/>
    <d v="2019-10-30T00:00:00"/>
    <s v="Cash Rewards Visa Signature"/>
    <x v="6"/>
    <n v="58.7"/>
    <x v="5"/>
    <m/>
    <m/>
    <m/>
    <n v="58.7"/>
    <b v="0"/>
    <m/>
    <m/>
    <s v="-"/>
    <x v="6"/>
    <m/>
    <m/>
  </r>
  <r>
    <x v="9"/>
    <d v="2019-10-30T00:00:00"/>
    <s v="Discover More Card"/>
    <x v="6"/>
    <n v="14.05"/>
    <x v="5"/>
    <m/>
    <m/>
    <m/>
    <n v="14.05"/>
    <b v="0"/>
    <m/>
    <m/>
    <s v="-"/>
    <x v="6"/>
    <m/>
    <m/>
  </r>
  <r>
    <x v="9"/>
    <d v="2019-10-30T00:00:00"/>
    <s v="Cash Rewards Visa Signature"/>
    <x v="6"/>
    <n v="23.48"/>
    <x v="5"/>
    <m/>
    <m/>
    <m/>
    <n v="23.48"/>
    <b v="0"/>
    <m/>
    <m/>
    <s v="-"/>
    <x v="6"/>
    <s v="Create Rule; and Description Like '%Cub Foods%';Groceries"/>
    <m/>
  </r>
  <r>
    <x v="9"/>
    <d v="2019-10-30T00:00:00"/>
    <s v="POWERPLUS"/>
    <x v="341"/>
    <n v="-100"/>
    <x v="7"/>
    <m/>
    <m/>
    <m/>
    <n v="100"/>
    <b v="0"/>
    <m/>
    <m/>
    <s v="+"/>
    <x v="332"/>
    <m/>
    <m/>
  </r>
  <r>
    <x v="9"/>
    <d v="2019-10-30T00:00:00"/>
    <s v="POWERPLUS CHECKING"/>
    <x v="341"/>
    <n v="-100"/>
    <x v="3"/>
    <m/>
    <m/>
    <m/>
    <n v="100"/>
    <b v="0"/>
    <m/>
    <m/>
    <s v="+"/>
    <x v="332"/>
    <s v="Manual"/>
    <m/>
  </r>
  <r>
    <x v="9"/>
    <d v="2019-10-30T00:00:00"/>
    <s v="Cash Rewards Visa Signature"/>
    <x v="195"/>
    <n v="182.54"/>
    <x v="19"/>
    <m/>
    <m/>
    <m/>
    <n v="182.54"/>
    <b v="0"/>
    <m/>
    <m/>
    <s v="-"/>
    <x v="194"/>
    <s v="Create Rule; and Description='Details';House Maintenance"/>
    <m/>
  </r>
  <r>
    <x v="9"/>
    <d v="2019-10-30T00:00:00"/>
    <s v="Cash Rewards Visa Signature"/>
    <x v="342"/>
    <n v="69.09"/>
    <x v="1"/>
    <m/>
    <m/>
    <m/>
    <n v="69.09"/>
    <b v="0"/>
    <m/>
    <m/>
    <s v="-"/>
    <x v="333"/>
    <m/>
    <m/>
  </r>
  <r>
    <x v="9"/>
    <d v="2019-10-30T00:00:00"/>
    <s v="Cash Rewards Visa Signature"/>
    <x v="343"/>
    <n v="25.01"/>
    <x v="5"/>
    <m/>
    <m/>
    <m/>
    <n v="25.01"/>
    <b v="0"/>
    <m/>
    <m/>
    <s v="-"/>
    <x v="334"/>
    <s v="Create Rule; and Description='Greenwood Market';Groceries"/>
    <m/>
  </r>
  <r>
    <x v="9"/>
    <d v="2019-10-30T00:00:00"/>
    <s v="Cash Rewards Visa Signature"/>
    <x v="68"/>
    <n v="18"/>
    <x v="10"/>
    <m/>
    <m/>
    <m/>
    <n v="18"/>
    <b v="0"/>
    <m/>
    <m/>
    <s v="-"/>
    <x v="68"/>
    <m/>
    <m/>
  </r>
  <r>
    <x v="9"/>
    <d v="2019-10-30T00:00:00"/>
    <s v="Cash Rewards Visa Signature"/>
    <x v="68"/>
    <n v="18"/>
    <x v="10"/>
    <m/>
    <m/>
    <m/>
    <n v="18"/>
    <b v="0"/>
    <m/>
    <m/>
    <s v="-"/>
    <x v="68"/>
    <m/>
    <m/>
  </r>
  <r>
    <x v="9"/>
    <d v="2019-10-30T00:00:00"/>
    <s v="Cash Rewards Visa Signature"/>
    <x v="344"/>
    <n v="13"/>
    <x v="2"/>
    <m/>
    <m/>
    <m/>
    <n v="13"/>
    <b v="0"/>
    <m/>
    <m/>
    <s v="-"/>
    <x v="335"/>
    <s v="Create Rule; and Description Like '%HOLIDAY CAR WASH%';Transportation"/>
    <m/>
  </r>
  <r>
    <x v="9"/>
    <d v="2019-10-30T00:00:00"/>
    <s v="Discover"/>
    <x v="81"/>
    <n v="37.82"/>
    <x v="2"/>
    <m/>
    <m/>
    <m/>
    <n v="37.82"/>
    <b v="0"/>
    <m/>
    <m/>
    <s v="-"/>
    <x v="81"/>
    <s v="Create Rule; and Description='Holiday Stationstore';Transportation"/>
    <m/>
  </r>
  <r>
    <x v="9"/>
    <d v="2019-10-30T00:00:00"/>
    <s v="Discover More Card"/>
    <x v="81"/>
    <n v="37.82"/>
    <x v="2"/>
    <m/>
    <m/>
    <m/>
    <n v="37.82"/>
    <b v="0"/>
    <m/>
    <m/>
    <s v="-"/>
    <x v="81"/>
    <s v="Create Rule; and Description='Holiday Stationstore';Transportation"/>
    <m/>
  </r>
  <r>
    <x v="9"/>
    <d v="2019-10-30T00:00:00"/>
    <s v="Cash Rewards Visa Signature"/>
    <x v="60"/>
    <n v="29.59"/>
    <x v="19"/>
    <m/>
    <m/>
    <m/>
    <n v="29.59"/>
    <b v="0"/>
    <m/>
    <m/>
    <s v="-"/>
    <x v="60"/>
    <m/>
    <m/>
  </r>
  <r>
    <x v="9"/>
    <d v="2019-10-30T00:00:00"/>
    <s v="Investor Checking"/>
    <x v="118"/>
    <n v="-0.26"/>
    <x v="3"/>
    <m/>
    <m/>
    <m/>
    <n v="0.26"/>
    <b v="0"/>
    <m/>
    <m/>
    <s v="+"/>
    <x v="118"/>
    <s v="Manual"/>
    <m/>
  </r>
  <r>
    <x v="9"/>
    <d v="2019-10-30T00:00:00"/>
    <s v="Joint Tenant"/>
    <x v="167"/>
    <n v="-200"/>
    <x v="21"/>
    <m/>
    <m/>
    <m/>
    <n v="200"/>
    <b v="0"/>
    <m/>
    <m/>
    <s v="+"/>
    <x v="166"/>
    <s v="Create Rule; and Description='KAUFMAN HALL';Savings"/>
    <m/>
  </r>
  <r>
    <x v="9"/>
    <d v="2019-10-30T00:00:00"/>
    <s v="Joint Tenant"/>
    <x v="167"/>
    <n v="-200"/>
    <x v="21"/>
    <m/>
    <m/>
    <m/>
    <n v="200"/>
    <b v="0"/>
    <m/>
    <m/>
    <s v="+"/>
    <x v="166"/>
    <s v="Create Rule; and Description='KAUFMAN HALL';Savings"/>
    <m/>
  </r>
  <r>
    <x v="9"/>
    <d v="2019-10-30T00:00:00"/>
    <s v="Jeff"/>
    <x v="167"/>
    <n v="-200"/>
    <x v="21"/>
    <m/>
    <m/>
    <m/>
    <n v="200"/>
    <b v="0"/>
    <m/>
    <m/>
    <s v="+"/>
    <x v="166"/>
    <s v="Create Rule; and Description='KAUFMAN HALL';Savings"/>
    <m/>
  </r>
  <r>
    <x v="9"/>
    <d v="2019-10-30T00:00:00"/>
    <s v="Jeff"/>
    <x v="167"/>
    <n v="-200"/>
    <x v="21"/>
    <m/>
    <m/>
    <m/>
    <n v="200"/>
    <b v="0"/>
    <m/>
    <m/>
    <s v=".+"/>
    <x v="166"/>
    <m/>
    <m/>
  </r>
  <r>
    <x v="9"/>
    <d v="2019-10-30T00:00:00"/>
    <s v="POWERPLUS"/>
    <x v="28"/>
    <n v="-60.32"/>
    <x v="7"/>
    <m/>
    <m/>
    <m/>
    <n v="60.32"/>
    <b v="0"/>
    <m/>
    <m/>
    <s v="+"/>
    <x v="28"/>
    <m/>
    <m/>
  </r>
  <r>
    <x v="9"/>
    <d v="2019-10-30T00:00:00"/>
    <s v="POWERPLUS CHECKING"/>
    <x v="28"/>
    <n v="-60.32"/>
    <x v="3"/>
    <m/>
    <m/>
    <m/>
    <n v="60.32"/>
    <b v="0"/>
    <m/>
    <m/>
    <s v=".+"/>
    <x v="28"/>
    <m/>
    <m/>
  </r>
  <r>
    <x v="9"/>
    <d v="2019-10-30T00:00:00"/>
    <s v="POWERPLUS"/>
    <x v="345"/>
    <n v="-2583.6999999999998"/>
    <x v="15"/>
    <m/>
    <m/>
    <m/>
    <n v="2583.6999999999998"/>
    <b v="0"/>
    <m/>
    <m/>
    <s v="+"/>
    <x v="336"/>
    <s v="Create Rule; and Description Like '%KAUFMAN HALL TYPE DIRECT DEP ID%';Inc - Jeff"/>
    <m/>
  </r>
  <r>
    <x v="9"/>
    <d v="2019-10-30T00:00:00"/>
    <s v="POWERPLUS CHECKING"/>
    <x v="345"/>
    <n v="-2583.6999999999998"/>
    <x v="15"/>
    <m/>
    <m/>
    <m/>
    <n v="2583.6999999999998"/>
    <b v="0"/>
    <m/>
    <m/>
    <s v=".+"/>
    <x v="336"/>
    <m/>
    <m/>
  </r>
  <r>
    <x v="9"/>
    <d v="2019-10-30T00:00:00"/>
    <s v="POWERPLUS"/>
    <x v="346"/>
    <n v="-2583.69"/>
    <x v="15"/>
    <m/>
    <m/>
    <m/>
    <n v="2583.69"/>
    <b v="0"/>
    <m/>
    <m/>
    <s v="+"/>
    <x v="337"/>
    <s v="Create Rule; and Description Like '%KAUFMAN HALL TYPE DIRECT DEP ID%';Inc - Jeff"/>
    <m/>
  </r>
  <r>
    <x v="9"/>
    <d v="2019-10-30T00:00:00"/>
    <s v="POWERPLUS CHECKING"/>
    <x v="346"/>
    <n v="-2583.69"/>
    <x v="15"/>
    <m/>
    <m/>
    <m/>
    <n v="2583.69"/>
    <b v="0"/>
    <m/>
    <m/>
    <s v="+"/>
    <x v="337"/>
    <s v="Create Rule; and Description Like '%KAUFMAN HALL TYPE DIRECT DEP ID%';Inc - Jeff"/>
    <m/>
  </r>
  <r>
    <x v="9"/>
    <d v="2019-10-30T00:00:00"/>
    <s v="Cash Rewards Visa Signature"/>
    <x v="347"/>
    <n v="53.68"/>
    <x v="1"/>
    <m/>
    <m/>
    <m/>
    <n v="53.68"/>
    <b v="0"/>
    <m/>
    <m/>
    <s v="-"/>
    <x v="338"/>
    <s v="Create Rule; and Description Like '%LIFE TIME CAFE%';Restaurants"/>
    <m/>
  </r>
  <r>
    <x v="9"/>
    <d v="2019-10-30T00:00:00"/>
    <s v="Discover"/>
    <x v="348"/>
    <n v="14.39"/>
    <x v="1"/>
    <m/>
    <m/>
    <m/>
    <n v="14.39"/>
    <b v="0"/>
    <m/>
    <m/>
    <s v="-"/>
    <x v="339"/>
    <s v="Create Rule; and Description Like '%LIFE TIME CAFE%';Restaurants"/>
    <m/>
  </r>
  <r>
    <x v="9"/>
    <d v="2019-10-30T00:00:00"/>
    <s v="Discover More Card"/>
    <x v="348"/>
    <n v="14.39"/>
    <x v="1"/>
    <m/>
    <m/>
    <m/>
    <n v="14.39"/>
    <b v="0"/>
    <m/>
    <m/>
    <s v="-"/>
    <x v="339"/>
    <m/>
    <m/>
  </r>
  <r>
    <x v="9"/>
    <d v="2019-10-30T00:00:00"/>
    <s v="Cash Rewards Visa Signature"/>
    <x v="349"/>
    <n v="113.45"/>
    <x v="27"/>
    <m/>
    <m/>
    <m/>
    <n v="113.45"/>
    <b v="0"/>
    <m/>
    <m/>
    <s v="-"/>
    <x v="340"/>
    <m/>
    <m/>
  </r>
  <r>
    <x v="9"/>
    <d v="2019-10-30T00:00:00"/>
    <s v="Discover"/>
    <x v="99"/>
    <n v="12.99"/>
    <x v="11"/>
    <m/>
    <m/>
    <m/>
    <n v="12.99"/>
    <b v="0"/>
    <m/>
    <m/>
    <s v="-"/>
    <x v="99"/>
    <s v="Create Rule; and Description='Netflix';Utilities"/>
    <m/>
  </r>
  <r>
    <x v="9"/>
    <d v="2019-10-30T00:00:00"/>
    <s v="Discover More Card"/>
    <x v="99"/>
    <n v="12.99"/>
    <x v="11"/>
    <m/>
    <m/>
    <m/>
    <n v="12.99"/>
    <b v="0"/>
    <m/>
    <m/>
    <s v="-"/>
    <x v="99"/>
    <s v="Create Rule; and Description='Netflix';Utilities"/>
    <m/>
  </r>
  <r>
    <x v="9"/>
    <d v="2019-10-30T00:00:00"/>
    <s v="Cash Rewards Visa Signature"/>
    <x v="350"/>
    <n v="48.79"/>
    <x v="1"/>
    <m/>
    <m/>
    <m/>
    <n v="48.79"/>
    <b v="0"/>
    <m/>
    <m/>
    <s v="-"/>
    <x v="341"/>
    <s v="Create Rule; and Description Like '%Papa John%';Restaurants"/>
    <m/>
  </r>
  <r>
    <x v="9"/>
    <d v="2019-10-30T00:00:00"/>
    <s v="Cash Rewards Visa Signature"/>
    <x v="150"/>
    <n v="3.22"/>
    <x v="8"/>
    <m/>
    <m/>
    <m/>
    <n v="3.22"/>
    <b v="0"/>
    <m/>
    <m/>
    <s v="-"/>
    <x v="149"/>
    <s v="Create Rule; and Description='Party City';Shopping"/>
    <m/>
  </r>
  <r>
    <x v="9"/>
    <d v="2019-10-30T00:00:00"/>
    <s v="POWERPLUS"/>
    <x v="157"/>
    <n v="119"/>
    <x v="8"/>
    <m/>
    <m/>
    <m/>
    <n v="119"/>
    <b v="0"/>
    <m/>
    <m/>
    <s v="-"/>
    <x v="156"/>
    <s v="Create Rule; and Description Like '%PayPal%';Shopping"/>
    <m/>
  </r>
  <r>
    <x v="9"/>
    <d v="2019-10-30T00:00:00"/>
    <s v="POWERPLUS"/>
    <x v="157"/>
    <n v="38.659999999999997"/>
    <x v="8"/>
    <m/>
    <m/>
    <m/>
    <n v="38.659999999999997"/>
    <b v="0"/>
    <m/>
    <m/>
    <s v="-"/>
    <x v="156"/>
    <s v="Create Rule; and Description Like '%PayPal%';Shopping"/>
    <m/>
  </r>
  <r>
    <x v="9"/>
    <d v="2019-10-30T00:00:00"/>
    <s v="POWERPLUS"/>
    <x v="157"/>
    <n v="2.25"/>
    <x v="8"/>
    <m/>
    <m/>
    <m/>
    <n v="2.25"/>
    <b v="0"/>
    <m/>
    <m/>
    <s v="-"/>
    <x v="156"/>
    <s v="Create Rule; and Description Like '%PayPal%';Shopping"/>
    <m/>
  </r>
  <r>
    <x v="9"/>
    <d v="2019-10-30T00:00:00"/>
    <s v="POWERPLUS CHECKING"/>
    <x v="157"/>
    <n v="2.25"/>
    <x v="8"/>
    <m/>
    <m/>
    <m/>
    <n v="2.25"/>
    <b v="0"/>
    <m/>
    <m/>
    <s v="-"/>
    <x v="156"/>
    <s v="Create Rule; and Description Like '%PayPal%';Shopping"/>
    <m/>
  </r>
  <r>
    <x v="9"/>
    <d v="2019-10-30T00:00:00"/>
    <s v="POWERPLUS CHECKING"/>
    <x v="157"/>
    <n v="119"/>
    <x v="8"/>
    <m/>
    <m/>
    <m/>
    <n v="119"/>
    <b v="0"/>
    <m/>
    <m/>
    <s v="-"/>
    <x v="156"/>
    <m/>
    <m/>
  </r>
  <r>
    <x v="9"/>
    <d v="2019-10-30T00:00:00"/>
    <s v="POWERPLUS CHECKING"/>
    <x v="157"/>
    <n v="38.659999999999997"/>
    <x v="8"/>
    <m/>
    <m/>
    <m/>
    <n v="38.659999999999997"/>
    <b v="0"/>
    <m/>
    <m/>
    <s v="-"/>
    <x v="156"/>
    <m/>
    <m/>
  </r>
  <r>
    <x v="9"/>
    <d v="2019-10-30T00:00:00"/>
    <s v="Cash Rewards Visa Signature"/>
    <x v="351"/>
    <n v="10.93"/>
    <x v="1"/>
    <m/>
    <m/>
    <m/>
    <n v="10.93"/>
    <b v="0"/>
    <m/>
    <m/>
    <s v="-"/>
    <x v="342"/>
    <m/>
    <m/>
  </r>
  <r>
    <x v="9"/>
    <d v="2019-10-30T00:00:00"/>
    <s v="Cash Rewards Visa Signature"/>
    <x v="352"/>
    <n v="119.02"/>
    <x v="1"/>
    <m/>
    <m/>
    <m/>
    <n v="119.02"/>
    <b v="0"/>
    <m/>
    <m/>
    <s v="-"/>
    <x v="343"/>
    <m/>
    <m/>
  </r>
  <r>
    <x v="9"/>
    <d v="2019-10-30T00:00:00"/>
    <s v="Cash Rewards Visa Signature"/>
    <x v="353"/>
    <n v="45.17"/>
    <x v="1"/>
    <m/>
    <m/>
    <m/>
    <n v="45.17"/>
    <b v="0"/>
    <m/>
    <m/>
    <s v="-"/>
    <x v="344"/>
    <s v="Create Rule; and Description Like '%PUB 819%';Restaurants"/>
    <m/>
  </r>
  <r>
    <x v="9"/>
    <d v="2019-10-30T00:00:00"/>
    <s v="Britney Roth"/>
    <x v="19"/>
    <n v="150"/>
    <x v="3"/>
    <m/>
    <m/>
    <m/>
    <n v="150"/>
    <b v="0"/>
    <m/>
    <m/>
    <s v="-"/>
    <x v="19"/>
    <s v="Delete; and Description='SCHWAB S&amp;P 500 INDEX FD' and inflowoutflow='-';0"/>
    <m/>
  </r>
  <r>
    <x v="9"/>
    <d v="2019-10-30T00:00:00"/>
    <s v="Roth Contributory IRA"/>
    <x v="19"/>
    <n v="150"/>
    <x v="3"/>
    <m/>
    <m/>
    <m/>
    <n v="150"/>
    <b v="0"/>
    <m/>
    <m/>
    <s v="-"/>
    <x v="19"/>
    <s v="Delete; and Description='SCHWAB S&amp;P 500 INDEX FD' and inflowoutflow='-';0"/>
    <m/>
  </r>
  <r>
    <x v="9"/>
    <d v="2019-10-30T00:00:00"/>
    <s v="Jeff Roth"/>
    <x v="271"/>
    <n v="100"/>
    <x v="3"/>
    <m/>
    <m/>
    <m/>
    <n v="100"/>
    <b v="0"/>
    <m/>
    <m/>
    <s v="-"/>
    <x v="267"/>
    <s v="Delete; and Description='SCHWAB US LARGE CAP GROWTH INDEX FD' and inflowoutflow='-';0"/>
    <m/>
  </r>
  <r>
    <x v="9"/>
    <d v="2019-10-30T00:00:00"/>
    <s v="Roth Contributory IRA"/>
    <x v="271"/>
    <n v="100"/>
    <x v="3"/>
    <m/>
    <m/>
    <m/>
    <n v="100"/>
    <b v="0"/>
    <m/>
    <m/>
    <s v="-"/>
    <x v="267"/>
    <s v="Delete; and Description='SCHWAB US LARGE CAP GROWTH INDEX FD' and inflowoutflow='-';0"/>
    <m/>
  </r>
  <r>
    <x v="9"/>
    <d v="2019-10-30T00:00:00"/>
    <s v="Joint Tenant"/>
    <x v="354"/>
    <n v="-1.37"/>
    <x v="13"/>
    <m/>
    <m/>
    <m/>
    <n v="1.37"/>
    <b v="0"/>
    <m/>
    <m/>
    <s v="+"/>
    <x v="345"/>
    <s v="Create Rule; and Description Like '%SCHWAB1 INT%';Inc - Other"/>
    <m/>
  </r>
  <r>
    <x v="9"/>
    <d v="2019-10-30T00:00:00"/>
    <s v="Jeff"/>
    <x v="354"/>
    <n v="-1.37"/>
    <x v="13"/>
    <m/>
    <m/>
    <m/>
    <n v="1.37"/>
    <b v="0"/>
    <m/>
    <m/>
    <s v="+"/>
    <x v="345"/>
    <s v="Create Rule; and Description Like '%SCHWAB1 INT%';Inc - Other"/>
    <m/>
  </r>
  <r>
    <x v="9"/>
    <d v="2019-10-30T00:00:00"/>
    <s v="Discover"/>
    <x v="309"/>
    <n v="32.659999999999997"/>
    <x v="19"/>
    <m/>
    <m/>
    <m/>
    <n v="32.659999999999997"/>
    <b v="0"/>
    <m/>
    <m/>
    <s v="-"/>
    <x v="301"/>
    <s v="Create Rule; and Description='Sherwin Williams';House Maintenance"/>
    <m/>
  </r>
  <r>
    <x v="9"/>
    <d v="2019-10-30T00:00:00"/>
    <s v="Discover More Card"/>
    <x v="309"/>
    <n v="32.659999999999997"/>
    <x v="19"/>
    <m/>
    <m/>
    <m/>
    <n v="32.659999999999997"/>
    <b v="0"/>
    <m/>
    <m/>
    <s v="-"/>
    <x v="301"/>
    <s v="Create Rule; and Description='Sherwin Williams';House Maintenance"/>
    <m/>
  </r>
  <r>
    <x v="9"/>
    <d v="2019-10-30T00:00:00"/>
    <s v="Cash Rewards Visa Signature"/>
    <x v="309"/>
    <n v="77.430000000000007"/>
    <x v="19"/>
    <m/>
    <m/>
    <m/>
    <n v="77.430000000000007"/>
    <b v="0"/>
    <m/>
    <m/>
    <s v="-"/>
    <x v="301"/>
    <s v="Create Rule; and Description='Sherwin Williams';House Maintenance"/>
    <m/>
  </r>
  <r>
    <x v="9"/>
    <d v="2019-10-30T00:00:00"/>
    <s v="Cash Rewards Visa Signature"/>
    <x v="2"/>
    <n v="22.14"/>
    <x v="2"/>
    <m/>
    <m/>
    <m/>
    <n v="22.14"/>
    <b v="0"/>
    <m/>
    <m/>
    <s v="-"/>
    <x v="2"/>
    <s v="Create Rule; and Description='Speedway';Transportation"/>
    <m/>
  </r>
  <r>
    <x v="9"/>
    <d v="2019-10-30T00:00:00"/>
    <s v="RAINY DAY"/>
    <x v="119"/>
    <n v="-18.88"/>
    <x v="13"/>
    <m/>
    <m/>
    <m/>
    <n v="18.88"/>
    <b v="0"/>
    <m/>
    <m/>
    <s v="+"/>
    <x v="119"/>
    <s v="Create Rule; and Description='Split Rate Apy';Inc - Other"/>
    <m/>
  </r>
  <r>
    <x v="9"/>
    <d v="2019-10-30T00:00:00"/>
    <s v="POWERPLUS"/>
    <x v="119"/>
    <n v="-38.21"/>
    <x v="13"/>
    <m/>
    <m/>
    <m/>
    <n v="38.21"/>
    <b v="0"/>
    <m/>
    <m/>
    <s v="+"/>
    <x v="119"/>
    <s v="Create Rule; and Description='Split Rate Apy';Inc - Other"/>
    <m/>
  </r>
  <r>
    <x v="9"/>
    <d v="2019-10-30T00:00:00"/>
    <s v="RAINY DAY SAVINGS"/>
    <x v="119"/>
    <n v="-18.88"/>
    <x v="13"/>
    <m/>
    <m/>
    <m/>
    <n v="18.88"/>
    <b v="0"/>
    <m/>
    <m/>
    <s v="+"/>
    <x v="119"/>
    <s v="Create Rule; and Description='Split Rate Apy';Inc - Other"/>
    <m/>
  </r>
  <r>
    <x v="9"/>
    <d v="2019-10-30T00:00:00"/>
    <s v="POWERPLUS CHECKING"/>
    <x v="119"/>
    <n v="-38.21"/>
    <x v="13"/>
    <m/>
    <m/>
    <m/>
    <n v="38.21"/>
    <b v="0"/>
    <m/>
    <m/>
    <s v="+"/>
    <x v="119"/>
    <s v="Create Rule; and Description='Split Rate Apy';Inc - Other"/>
    <m/>
  </r>
  <r>
    <x v="9"/>
    <d v="2019-10-30T00:00:00"/>
    <s v="Cash Rewards Visa Signature"/>
    <x v="355"/>
    <n v="8.2899999999999991"/>
    <x v="1"/>
    <m/>
    <m/>
    <m/>
    <n v="8.2899999999999991"/>
    <b v="0"/>
    <m/>
    <m/>
    <s v="-"/>
    <x v="346"/>
    <s v="Create Rule; and Description='SQ ICHIGO CREPES CRYSTAL MN 261154406';Restaurants"/>
    <m/>
  </r>
  <r>
    <x v="9"/>
    <d v="2019-10-30T00:00:00"/>
    <s v="Cash Rewards Visa Signature"/>
    <x v="356"/>
    <n v="9.9499999999999993"/>
    <x v="1"/>
    <m/>
    <m/>
    <m/>
    <n v="9.9499999999999993"/>
    <b v="0"/>
    <m/>
    <m/>
    <s v="-"/>
    <x v="347"/>
    <s v="Create Rule; and Description='SQ RED BENCH BAKER CHASKA MN 260718487';Restaurants"/>
    <m/>
  </r>
  <r>
    <x v="9"/>
    <d v="2019-10-30T00:00:00"/>
    <s v="Cash Rewards Visa Signature"/>
    <x v="357"/>
    <n v="12.43"/>
    <x v="1"/>
    <m/>
    <m/>
    <m/>
    <n v="12.43"/>
    <b v="0"/>
    <m/>
    <m/>
    <s v="-"/>
    <x v="348"/>
    <s v="Create Rule; and Description='SQ WEE CLADDAGH SAINT PAUL MN 261154407';Restaurants"/>
    <m/>
  </r>
  <r>
    <x v="9"/>
    <d v="2019-10-30T00:00:00"/>
    <s v="Joint Tenant"/>
    <x v="358"/>
    <n v="-18.07"/>
    <x v="3"/>
    <m/>
    <m/>
    <m/>
    <n v="18.07"/>
    <b v="0"/>
    <m/>
    <m/>
    <s v="+"/>
    <x v="349"/>
    <s v="Delete; and Source='Joint Tenant';0"/>
    <m/>
  </r>
  <r>
    <x v="9"/>
    <d v="2019-10-30T00:00:00"/>
    <s v="Jeff"/>
    <x v="358"/>
    <n v="-18.07"/>
    <x v="23"/>
    <m/>
    <m/>
    <m/>
    <n v="18.07"/>
    <b v="0"/>
    <m/>
    <m/>
    <s v="+"/>
    <x v="349"/>
    <s v="Manual"/>
    <m/>
  </r>
  <r>
    <x v="9"/>
    <d v="2019-10-30T00:00:00"/>
    <s v="POWERPLUS"/>
    <x v="34"/>
    <n v="148.47"/>
    <x v="12"/>
    <m/>
    <m/>
    <m/>
    <n v="148.47"/>
    <b v="0"/>
    <m/>
    <m/>
    <s v="-"/>
    <x v="34"/>
    <s v="Create Rule; and Description='Target';Target"/>
    <m/>
  </r>
  <r>
    <x v="9"/>
    <d v="2019-10-30T00:00:00"/>
    <s v="POWERPLUS CHECKING"/>
    <x v="34"/>
    <n v="148.47"/>
    <x v="12"/>
    <m/>
    <m/>
    <m/>
    <n v="148.47"/>
    <b v="0"/>
    <m/>
    <m/>
    <s v="-"/>
    <x v="34"/>
    <s v="Create Rule; and Description='Target';Target"/>
    <m/>
  </r>
  <r>
    <x v="9"/>
    <d v="2019-10-30T00:00:00"/>
    <s v="Target Credit Card"/>
    <x v="34"/>
    <n v="61.41"/>
    <x v="12"/>
    <m/>
    <m/>
    <m/>
    <n v="61.41"/>
    <b v="0"/>
    <m/>
    <m/>
    <s v="-"/>
    <x v="34"/>
    <s v="Create Rule; and Description='Target';Target"/>
    <m/>
  </r>
  <r>
    <x v="9"/>
    <d v="2019-10-30T00:00:00"/>
    <s v="Target Credit Card"/>
    <x v="34"/>
    <n v="39.880000000000003"/>
    <x v="12"/>
    <m/>
    <m/>
    <m/>
    <n v="39.880000000000003"/>
    <b v="0"/>
    <m/>
    <m/>
    <s v="-"/>
    <x v="34"/>
    <s v="Create Rule; and Description='Target';Target"/>
    <m/>
  </r>
  <r>
    <x v="9"/>
    <d v="2019-10-30T00:00:00"/>
    <s v="Target Credit Card"/>
    <x v="34"/>
    <n v="56.48"/>
    <x v="12"/>
    <m/>
    <m/>
    <m/>
    <n v="56.48"/>
    <b v="0"/>
    <m/>
    <m/>
    <s v="-"/>
    <x v="34"/>
    <s v="Create Rule; and Description='Target';Target"/>
    <m/>
  </r>
  <r>
    <x v="9"/>
    <d v="2019-10-30T00:00:00"/>
    <s v="CARGILL PARTNERSHIP PLAN"/>
    <x v="235"/>
    <n v="-635"/>
    <x v="18"/>
    <m/>
    <m/>
    <m/>
    <n v="635"/>
    <b v="0"/>
    <m/>
    <m/>
    <s v="+"/>
    <x v="233"/>
    <s v="Create Rule; and Description='Target Retire 2055 Tr P - Plan Contribution';401K"/>
    <m/>
  </r>
  <r>
    <x v="9"/>
    <d v="2019-10-30T00:00:00"/>
    <s v="Britney Roth"/>
    <x v="51"/>
    <n v="-150"/>
    <x v="17"/>
    <m/>
    <m/>
    <m/>
    <n v="150"/>
    <b v="0"/>
    <m/>
    <m/>
    <s v="+"/>
    <x v="51"/>
    <s v="Create Rule; and Description='Tfr JPMORGAN CHASE BAN, CARGILL COCOA &amp;';Roth"/>
    <m/>
  </r>
  <r>
    <x v="9"/>
    <d v="2019-10-30T00:00:00"/>
    <s v="Roth Contributory IRA"/>
    <x v="51"/>
    <n v="-150"/>
    <x v="17"/>
    <m/>
    <m/>
    <m/>
    <n v="150"/>
    <b v="0"/>
    <m/>
    <m/>
    <s v="+"/>
    <x v="51"/>
    <s v="Create Rule; and Description='Tfr JPMORGAN CHASE BAN, CARGILL COCOA &amp;';Roth"/>
    <m/>
  </r>
  <r>
    <x v="9"/>
    <d v="2019-10-30T00:00:00"/>
    <s v="Jeff Roth"/>
    <x v="52"/>
    <n v="-211"/>
    <x v="17"/>
    <m/>
    <m/>
    <m/>
    <n v="211"/>
    <b v="0"/>
    <m/>
    <m/>
    <s v="+"/>
    <x v="52"/>
    <s v="Create Rule; and Description='Tfr JPMORGAN CHASE BAN, KAUFMAN HALL';Roth"/>
    <m/>
  </r>
  <r>
    <x v="9"/>
    <d v="2019-10-30T00:00:00"/>
    <s v="Jeff Roth"/>
    <x v="52"/>
    <n v="-211"/>
    <x v="17"/>
    <m/>
    <m/>
    <m/>
    <n v="211"/>
    <b v="0"/>
    <m/>
    <m/>
    <s v="+"/>
    <x v="52"/>
    <s v="Create Rule; and Description='Tfr JPMORGAN CHASE BAN, KAUFMAN HALL';Roth"/>
    <m/>
  </r>
  <r>
    <x v="9"/>
    <d v="2019-10-30T00:00:00"/>
    <s v="Roth Contributory IRA"/>
    <x v="52"/>
    <n v="-211"/>
    <x v="17"/>
    <m/>
    <m/>
    <m/>
    <n v="211"/>
    <b v="0"/>
    <m/>
    <m/>
    <s v="+"/>
    <x v="52"/>
    <s v="Create Rule; and Description='Tfr JPMORGAN CHASE BAN, KAUFMAN HALL';Roth"/>
    <m/>
  </r>
  <r>
    <x v="9"/>
    <d v="2019-10-30T00:00:00"/>
    <s v="Roth Contributory IRA"/>
    <x v="52"/>
    <n v="-211"/>
    <x v="17"/>
    <m/>
    <m/>
    <m/>
    <n v="211"/>
    <b v="0"/>
    <m/>
    <m/>
    <s v=".+"/>
    <x v="52"/>
    <m/>
    <m/>
  </r>
  <r>
    <x v="9"/>
    <d v="2019-10-30T00:00:00"/>
    <s v="Cash Rewards Visa Signature"/>
    <x v="100"/>
    <n v="2.77"/>
    <x v="5"/>
    <m/>
    <m/>
    <m/>
    <n v="2.77"/>
    <b v="0"/>
    <m/>
    <m/>
    <s v="-"/>
    <x v="100"/>
    <m/>
    <m/>
  </r>
  <r>
    <x v="9"/>
    <d v="2019-10-30T00:00:00"/>
    <s v="Discover"/>
    <x v="3"/>
    <n v="-533.28"/>
    <x v="3"/>
    <m/>
    <m/>
    <m/>
    <n v="533.28"/>
    <b v="0"/>
    <m/>
    <m/>
    <s v="+"/>
    <x v="3"/>
    <s v="Delete; and Description='Transfer from POWERPLUS CHECKING';0"/>
    <m/>
  </r>
  <r>
    <x v="9"/>
    <d v="2019-10-30T00:00:00"/>
    <s v="RAINY DAY"/>
    <x v="3"/>
    <n v="-200"/>
    <x v="3"/>
    <m/>
    <m/>
    <m/>
    <n v="200"/>
    <b v="0"/>
    <m/>
    <m/>
    <s v="+"/>
    <x v="3"/>
    <s v="Delete; and Description='Transfer from POWERPLUS CHECKING';0"/>
    <m/>
  </r>
  <r>
    <x v="9"/>
    <d v="2019-10-30T00:00:00"/>
    <s v="Discover"/>
    <x v="3"/>
    <n v="-374.93"/>
    <x v="3"/>
    <m/>
    <m/>
    <m/>
    <n v="374.93"/>
    <b v="0"/>
    <m/>
    <m/>
    <s v="+"/>
    <x v="3"/>
    <s v="Delete; and Description='Transfer from POWERPLUS CHECKING';0"/>
    <m/>
  </r>
  <r>
    <x v="9"/>
    <d v="2019-10-30T00:00:00"/>
    <s v="RAINY DAY SAVINGS"/>
    <x v="3"/>
    <n v="-200"/>
    <x v="3"/>
    <m/>
    <m/>
    <m/>
    <n v="200"/>
    <b v="0"/>
    <m/>
    <m/>
    <s v="+"/>
    <x v="3"/>
    <s v="Delete; and Description='Transfer from POWERPLUS CHECKING';0"/>
    <m/>
  </r>
  <r>
    <x v="9"/>
    <d v="2019-10-30T00:00:00"/>
    <s v="Discover More Card"/>
    <x v="3"/>
    <n v="-374.93"/>
    <x v="3"/>
    <m/>
    <m/>
    <m/>
    <n v="374.93"/>
    <b v="0"/>
    <m/>
    <m/>
    <s v="+"/>
    <x v="3"/>
    <s v="Delete; and Description='Transfer from POWERPLUS CHECKING';0"/>
    <m/>
  </r>
  <r>
    <x v="9"/>
    <d v="2019-10-30T00:00:00"/>
    <s v="Investor Checking"/>
    <x v="3"/>
    <n v="-750"/>
    <x v="3"/>
    <m/>
    <m/>
    <m/>
    <n v="750"/>
    <b v="0"/>
    <m/>
    <m/>
    <s v=".+"/>
    <x v="3"/>
    <m/>
    <m/>
  </r>
  <r>
    <x v="9"/>
    <d v="2019-10-30T00:00:00"/>
    <s v="Discover More Card"/>
    <x v="3"/>
    <n v="-533.28"/>
    <x v="3"/>
    <m/>
    <m/>
    <m/>
    <n v="533.28"/>
    <b v="0"/>
    <m/>
    <m/>
    <s v="+"/>
    <x v="3"/>
    <s v="Delete; and Description='Transfer from POWERPLUS CHECKING';0"/>
    <m/>
  </r>
  <r>
    <x v="9"/>
    <d v="2019-10-30T00:00:00"/>
    <s v="Cash Rewards Visa Signature"/>
    <x v="3"/>
    <n v="-432.08"/>
    <x v="3"/>
    <m/>
    <m/>
    <m/>
    <n v="432.08"/>
    <b v="0"/>
    <m/>
    <m/>
    <s v="+"/>
    <x v="3"/>
    <s v="Delete; and Description='Transfer from POWERPLUS CHECKING';0"/>
    <m/>
  </r>
  <r>
    <x v="9"/>
    <d v="2019-10-30T00:00:00"/>
    <s v="POWERPLUS"/>
    <x v="4"/>
    <n v="432.08"/>
    <x v="3"/>
    <m/>
    <m/>
    <m/>
    <n v="432.08"/>
    <b v="0"/>
    <m/>
    <m/>
    <s v="-"/>
    <x v="4"/>
    <s v="Delete; and Description Like '%Transfer to Cash Rewards Visa Signature%';0"/>
    <m/>
  </r>
  <r>
    <x v="9"/>
    <d v="2019-10-30T00:00:00"/>
    <s v="POWERPLUS CHECKING"/>
    <x v="4"/>
    <n v="432.08"/>
    <x v="3"/>
    <m/>
    <m/>
    <m/>
    <n v="432.08"/>
    <b v="0"/>
    <m/>
    <m/>
    <s v="-"/>
    <x v="4"/>
    <s v="Delete; and Description Like '%Transfer to Cash Rewards Visa Signature%';0"/>
    <m/>
  </r>
  <r>
    <x v="9"/>
    <d v="2019-10-30T00:00:00"/>
    <s v="POWERPLUS"/>
    <x v="319"/>
    <n v="533.28"/>
    <x v="3"/>
    <m/>
    <m/>
    <m/>
    <n v="533.28"/>
    <b v="0"/>
    <m/>
    <m/>
    <s v="-"/>
    <x v="310"/>
    <s v="Delete; and Description='Transfer to Discover More Card';0"/>
    <m/>
  </r>
  <r>
    <x v="9"/>
    <d v="2019-10-30T00:00:00"/>
    <s v="POWERPLUS CHECKING"/>
    <x v="319"/>
    <n v="533.28"/>
    <x v="3"/>
    <m/>
    <m/>
    <m/>
    <n v="533.28"/>
    <b v="0"/>
    <m/>
    <m/>
    <s v="-"/>
    <x v="310"/>
    <s v="Delete; and Description='Transfer to Discover More Card';0"/>
    <m/>
  </r>
  <r>
    <x v="9"/>
    <d v="2019-10-30T00:00:00"/>
    <s v="POWERPLUS"/>
    <x v="359"/>
    <n v="750"/>
    <x v="7"/>
    <m/>
    <m/>
    <m/>
    <n v="750"/>
    <b v="0"/>
    <m/>
    <m/>
    <s v="-"/>
    <x v="350"/>
    <m/>
    <m/>
  </r>
  <r>
    <x v="9"/>
    <d v="2019-10-30T00:00:00"/>
    <s v="POWERPLUS CHECKING"/>
    <x v="359"/>
    <n v="750"/>
    <x v="3"/>
    <m/>
    <m/>
    <m/>
    <n v="750"/>
    <b v="0"/>
    <m/>
    <m/>
    <s v="-"/>
    <x v="350"/>
    <m/>
    <m/>
  </r>
  <r>
    <x v="9"/>
    <d v="2019-10-30T00:00:00"/>
    <s v="POWERPLUS"/>
    <x v="92"/>
    <n v="200"/>
    <x v="21"/>
    <m/>
    <m/>
    <m/>
    <n v="200"/>
    <b v="0"/>
    <m/>
    <m/>
    <s v="-"/>
    <x v="92"/>
    <s v="Create Rule; and Description='Transfer to RAINY DAY SAVINGS';Savings"/>
    <m/>
  </r>
  <r>
    <x v="9"/>
    <d v="2019-10-30T00:00:00"/>
    <s v="POWERPLUS CHECKING"/>
    <x v="92"/>
    <n v="200"/>
    <x v="21"/>
    <m/>
    <m/>
    <m/>
    <n v="200"/>
    <b v="0"/>
    <m/>
    <m/>
    <s v="-"/>
    <x v="92"/>
    <s v="Create Rule; and Description='Transfer to RAINY DAY SAVINGS';Savings"/>
    <m/>
  </r>
  <r>
    <x v="9"/>
    <d v="2019-10-30T00:00:00"/>
    <s v="Cash Rewards Visa Signature"/>
    <x v="360"/>
    <n v="24.76"/>
    <x v="1"/>
    <m/>
    <m/>
    <m/>
    <n v="24.76"/>
    <b v="0"/>
    <m/>
    <m/>
    <s v="-"/>
    <x v="351"/>
    <s v="Create Rule; and Description='TRUCE MINNEAPOLIS MN 261293606';Restaurants"/>
    <m/>
  </r>
  <r>
    <x v="9"/>
    <d v="2019-10-30T00:00:00"/>
    <s v="POWERPLUS"/>
    <x v="160"/>
    <n v="103"/>
    <x v="7"/>
    <m/>
    <m/>
    <m/>
    <n v="103"/>
    <b v="0"/>
    <m/>
    <m/>
    <s v="-"/>
    <x v="159"/>
    <m/>
    <m/>
  </r>
  <r>
    <x v="9"/>
    <d v="2019-10-30T00:00:00"/>
    <s v="POWERPLUS CHECKING"/>
    <x v="160"/>
    <n v="103"/>
    <x v="28"/>
    <m/>
    <m/>
    <m/>
    <n v="103"/>
    <b v="0"/>
    <m/>
    <m/>
    <s v="-"/>
    <x v="159"/>
    <s v="Manual"/>
    <m/>
  </r>
  <r>
    <x v="9"/>
    <d v="2019-10-30T00:00:00"/>
    <s v="KAUFMAN"/>
    <x v="54"/>
    <n v="-1058.95"/>
    <x v="18"/>
    <m/>
    <m/>
    <m/>
    <n v="1058.95"/>
    <b v="0"/>
    <m/>
    <m/>
    <s v="+"/>
    <x v="54"/>
    <s v="Create Rule; and Description='VANG TARGET RET 2050';401K"/>
    <m/>
  </r>
  <r>
    <x v="9"/>
    <d v="2019-10-30T00:00:00"/>
    <s v="KAUFMAN"/>
    <x v="54"/>
    <n v="-1058.95"/>
    <x v="3"/>
    <m/>
    <m/>
    <m/>
    <n v="1058.95"/>
    <b v="0"/>
    <m/>
    <m/>
    <s v=".+"/>
    <x v="54"/>
    <m/>
    <m/>
  </r>
  <r>
    <x v="9"/>
    <d v="2019-10-30T00:00:00"/>
    <s v="POWERPLUS"/>
    <x v="29"/>
    <n v="11.77"/>
    <x v="7"/>
    <m/>
    <m/>
    <m/>
    <n v="11.77"/>
    <b v="0"/>
    <m/>
    <m/>
    <s v="-"/>
    <x v="29"/>
    <m/>
    <m/>
  </r>
  <r>
    <x v="9"/>
    <d v="2019-10-30T00:00:00"/>
    <s v="POWERPLUS"/>
    <x v="29"/>
    <n v="31"/>
    <x v="7"/>
    <m/>
    <m/>
    <m/>
    <n v="31"/>
    <b v="0"/>
    <m/>
    <m/>
    <s v="-"/>
    <x v="29"/>
    <m/>
    <m/>
  </r>
  <r>
    <x v="9"/>
    <d v="2019-10-30T00:00:00"/>
    <s v="POWERPLUS CHECKING"/>
    <x v="29"/>
    <n v="11.77"/>
    <x v="3"/>
    <m/>
    <m/>
    <m/>
    <n v="11.77"/>
    <b v="0"/>
    <m/>
    <m/>
    <s v="-"/>
    <x v="29"/>
    <m/>
    <m/>
  </r>
  <r>
    <x v="9"/>
    <d v="2019-10-30T00:00:00"/>
    <s v="POWERPLUS CHECKING"/>
    <x v="29"/>
    <n v="31"/>
    <x v="8"/>
    <m/>
    <m/>
    <m/>
    <n v="31"/>
    <b v="0"/>
    <m/>
    <m/>
    <s v="-"/>
    <x v="29"/>
    <s v="Manual"/>
    <m/>
  </r>
  <r>
    <x v="9"/>
    <d v="2019-10-30T00:00:00"/>
    <s v="Investor Checking"/>
    <x v="361"/>
    <n v="-40"/>
    <x v="3"/>
    <m/>
    <m/>
    <m/>
    <n v="40"/>
    <b v="0"/>
    <m/>
    <m/>
    <s v="+"/>
    <x v="352"/>
    <s v="Manual"/>
    <m/>
  </r>
  <r>
    <x v="9"/>
    <d v="2019-10-30T00:00:00"/>
    <s v="POWERPLUS"/>
    <x v="26"/>
    <n v="-64"/>
    <x v="3"/>
    <m/>
    <m/>
    <m/>
    <n v="64"/>
    <b v="0"/>
    <m/>
    <m/>
    <s v="+"/>
    <x v="26"/>
    <s v="Delete; and Description='Venmo Type Cashout';0"/>
    <m/>
  </r>
  <r>
    <x v="9"/>
    <d v="2019-10-30T00:00:00"/>
    <s v="POWERPLUS CHECKING"/>
    <x v="26"/>
    <n v="-64"/>
    <x v="3"/>
    <m/>
    <m/>
    <m/>
    <n v="64"/>
    <b v="0"/>
    <m/>
    <m/>
    <s v=".+"/>
    <x v="26"/>
    <m/>
    <m/>
  </r>
  <r>
    <x v="9"/>
    <d v="2019-10-30T00:00:00"/>
    <s v="Cash Rewards Visa Signature"/>
    <x v="55"/>
    <n v="35.700000000000003"/>
    <x v="8"/>
    <m/>
    <m/>
    <m/>
    <n v="35.700000000000003"/>
    <b v="0"/>
    <m/>
    <m/>
    <s v="-"/>
    <x v="55"/>
    <s v="Create Rule; and Description='Walgreens';Shopping"/>
    <m/>
  </r>
  <r>
    <x v="9"/>
    <d v="2019-10-30T00:00:00"/>
    <s v="Cash Rewards Visa Signature"/>
    <x v="362"/>
    <n v="17.260000000000002"/>
    <x v="5"/>
    <m/>
    <m/>
    <m/>
    <n v="17.260000000000002"/>
    <b v="0"/>
    <m/>
    <m/>
    <s v="-"/>
    <x v="353"/>
    <s v="Create Rule; and Description='Whole Foods';Groceries"/>
    <m/>
  </r>
  <r>
    <x v="9"/>
    <d v="2019-10-30T00:00:00"/>
    <s v="Investor Checking"/>
    <x v="164"/>
    <n v="-750"/>
    <x v="3"/>
    <m/>
    <m/>
    <m/>
    <n v="750"/>
    <b v="0"/>
    <m/>
    <m/>
    <s v=".+"/>
    <x v="163"/>
    <m/>
    <m/>
  </r>
  <r>
    <x v="9"/>
    <d v="2019-10-30T00:00:00"/>
    <s v="Cash Rewards Visa Signature"/>
    <x v="363"/>
    <n v="-974.51"/>
    <x v="3"/>
    <m/>
    <m/>
    <m/>
    <n v="974.51"/>
    <b v="0"/>
    <m/>
    <m/>
    <s v=".+"/>
    <x v="354"/>
    <m/>
    <m/>
  </r>
  <r>
    <x v="9"/>
    <d v="2019-10-30T00:00:00"/>
    <s v="Cash Rewards Visa Signature"/>
    <x v="364"/>
    <n v="-765.23"/>
    <x v="3"/>
    <m/>
    <m/>
    <m/>
    <n v="765.23"/>
    <b v="0"/>
    <m/>
    <m/>
    <s v="+"/>
    <x v="355"/>
    <s v="Delete; and Description Like '%PAYMENT THANK YOU%';0"/>
    <m/>
  </r>
  <r>
    <x v="9"/>
    <d v="2019-10-30T00:00:00"/>
    <s v="POWERPLUS"/>
    <x v="365"/>
    <n v="974.51"/>
    <x v="3"/>
    <m/>
    <m/>
    <m/>
    <n v="974.51"/>
    <b v="0"/>
    <m/>
    <m/>
    <s v="-"/>
    <x v="356"/>
    <s v="Delete; and Description Like '%Withdrawal Home payment to card%';0"/>
    <m/>
  </r>
  <r>
    <x v="9"/>
    <d v="2019-10-30T00:00:00"/>
    <s v="POWERPLUS CHECKING"/>
    <x v="365"/>
    <n v="974.51"/>
    <x v="3"/>
    <m/>
    <m/>
    <m/>
    <n v="974.51"/>
    <b v="0"/>
    <m/>
    <m/>
    <s v="-"/>
    <x v="356"/>
    <m/>
    <m/>
  </r>
  <r>
    <x v="9"/>
    <d v="2019-10-30T00:00:00"/>
    <s v="POWERPLUS"/>
    <x v="366"/>
    <n v="765.23"/>
    <x v="3"/>
    <m/>
    <m/>
    <m/>
    <n v="765.23"/>
    <b v="0"/>
    <m/>
    <m/>
    <s v="-"/>
    <x v="357"/>
    <s v="Delete; and Description Like '%Withdrawal Home payment to card%';0"/>
    <m/>
  </r>
  <r>
    <x v="9"/>
    <d v="2019-10-30T00:00:00"/>
    <s v="POWERPLUS CHECKING"/>
    <x v="366"/>
    <n v="765.23"/>
    <x v="3"/>
    <m/>
    <m/>
    <m/>
    <n v="765.23"/>
    <b v="0"/>
    <m/>
    <m/>
    <s v="-"/>
    <x v="357"/>
    <s v="Delete; and Description Like '%Withdrawal Home payment to card%';0"/>
    <m/>
  </r>
  <r>
    <x v="11"/>
    <d v="2019-11-01T00:00:00"/>
    <s v="Joint Tenant"/>
    <x v="125"/>
    <n v="-118.12"/>
    <x v="23"/>
    <m/>
    <m/>
    <m/>
    <n v="118.12"/>
    <b v="0"/>
    <m/>
    <m/>
    <s v="+"/>
    <x v="124"/>
    <s v="Create Rule; and Description='A T &amp; T INC';Dividend"/>
    <m/>
  </r>
  <r>
    <x v="11"/>
    <d v="2019-11-01T00:00:00"/>
    <s v="Jeff"/>
    <x v="125"/>
    <n v="-118.12"/>
    <x v="23"/>
    <m/>
    <m/>
    <m/>
    <n v="118.12"/>
    <b v="0"/>
    <m/>
    <m/>
    <s v="+"/>
    <x v="124"/>
    <s v="Manual"/>
    <m/>
  </r>
  <r>
    <x v="11"/>
    <d v="2019-11-01T00:00:00"/>
    <s v="Joint Tenant"/>
    <x v="185"/>
    <n v="-200"/>
    <x v="17"/>
    <m/>
    <m/>
    <m/>
    <n v="200"/>
    <b v="0"/>
    <m/>
    <m/>
    <s v="+"/>
    <x v="184"/>
    <s v="Create Rule; and Description='CARGILL COCOA &amp;';Roth"/>
    <m/>
  </r>
  <r>
    <x v="11"/>
    <d v="2019-11-01T00:00:00"/>
    <s v="Jeff"/>
    <x v="185"/>
    <n v="-200"/>
    <x v="17"/>
    <m/>
    <m/>
    <m/>
    <n v="200"/>
    <b v="0"/>
    <m/>
    <m/>
    <s v="+"/>
    <x v="184"/>
    <s v="Create Rule; and Description='CARGILL COCOA &amp;';Roth"/>
    <m/>
  </r>
  <r>
    <x v="11"/>
    <d v="2019-11-01T00:00:00"/>
    <s v="Cash Rewards Visa Signature"/>
    <x v="367"/>
    <n v="6.21"/>
    <x v="1"/>
    <m/>
    <m/>
    <m/>
    <n v="6.21"/>
    <b v="0"/>
    <m/>
    <m/>
    <s v="-"/>
    <x v="358"/>
    <s v="Create Rule; and Description Like '%CARGILL JAZZMA20029518 WAYZATA MN%';Restaurants"/>
    <m/>
  </r>
  <r>
    <x v="11"/>
    <d v="2019-11-01T00:00:00"/>
    <s v="POWERPLUS"/>
    <x v="368"/>
    <n v="200"/>
    <x v="9"/>
    <m/>
    <m/>
    <m/>
    <n v="200"/>
    <b v="0"/>
    <m/>
    <m/>
    <s v="-"/>
    <x v="16"/>
    <s v="Create Rule; and Description Like '%College Savings%';College Savings"/>
    <m/>
  </r>
  <r>
    <x v="11"/>
    <d v="2019-11-01T00:00:00"/>
    <s v="POWERPLUS CHECKING"/>
    <x v="368"/>
    <n v="200"/>
    <x v="9"/>
    <m/>
    <m/>
    <m/>
    <n v="200"/>
    <b v="0"/>
    <m/>
    <m/>
    <s v="-"/>
    <x v="16"/>
    <s v="Create Rule; and Description Like '%College Savings%';College Savings"/>
    <m/>
  </r>
  <r>
    <x v="11"/>
    <d v="2019-11-01T00:00:00"/>
    <s v="Cash Rewards Visa Signature"/>
    <x v="6"/>
    <n v="100.36"/>
    <x v="5"/>
    <m/>
    <m/>
    <m/>
    <n v="100.36"/>
    <b v="0"/>
    <m/>
    <m/>
    <s v="-"/>
    <x v="6"/>
    <s v="Create Rule; and Description Like '%Cub Foods%';Groceries"/>
    <m/>
  </r>
  <r>
    <x v="11"/>
    <d v="2019-11-01T00:00:00"/>
    <s v="KAUFMAN"/>
    <x v="227"/>
    <n v="-0.28000000000000003"/>
    <x v="18"/>
    <m/>
    <m/>
    <m/>
    <n v="0.28000000000000003"/>
    <b v="0"/>
    <m/>
    <m/>
    <s v="+"/>
    <x v="225"/>
    <s v="Create Rule; and Description='FID 500 INDEX';401K"/>
    <m/>
  </r>
  <r>
    <x v="11"/>
    <d v="2019-11-01T00:00:00"/>
    <s v="KAUFMAN"/>
    <x v="227"/>
    <n v="7.23"/>
    <x v="18"/>
    <m/>
    <m/>
    <m/>
    <n v="7.23"/>
    <b v="0"/>
    <m/>
    <m/>
    <s v="-"/>
    <x v="225"/>
    <s v="Create Rule; and Description='FID 500 INDEX';401K"/>
    <m/>
  </r>
  <r>
    <x v="11"/>
    <d v="2019-11-01T00:00:00"/>
    <s v="KAUFMAN"/>
    <x v="228"/>
    <n v="-0.17"/>
    <x v="3"/>
    <m/>
    <m/>
    <m/>
    <n v="0.17"/>
    <b v="0"/>
    <m/>
    <m/>
    <s v="+"/>
    <x v="226"/>
    <s v="Manual"/>
    <m/>
  </r>
  <r>
    <x v="11"/>
    <d v="2019-11-01T00:00:00"/>
    <s v="KAUFMAN"/>
    <x v="228"/>
    <n v="2.89"/>
    <x v="3"/>
    <m/>
    <m/>
    <m/>
    <n v="2.89"/>
    <b v="0"/>
    <m/>
    <m/>
    <s v="-"/>
    <x v="226"/>
    <s v="Delete; and Description='FID EXTD MKT IDX';0"/>
    <m/>
  </r>
  <r>
    <x v="11"/>
    <d v="2019-11-01T00:00:00"/>
    <s v="HIGHLANDER"/>
    <x v="369"/>
    <n v="-563.59"/>
    <x v="7"/>
    <m/>
    <m/>
    <m/>
    <n v="563.59"/>
    <b v="0"/>
    <m/>
    <m/>
    <s v="+"/>
    <x v="359"/>
    <m/>
    <m/>
  </r>
  <r>
    <x v="11"/>
    <d v="2019-11-01T00:00:00"/>
    <s v="2017 TOYOTA HIGHLANDER"/>
    <x v="369"/>
    <n v="-563.59"/>
    <x v="22"/>
    <m/>
    <m/>
    <m/>
    <n v="563.59"/>
    <b v="0"/>
    <m/>
    <m/>
    <s v="+"/>
    <x v="359"/>
    <s v="Manual"/>
    <m/>
  </r>
  <r>
    <x v="11"/>
    <d v="2019-11-01T00:00:00"/>
    <s v="Target Credit Card"/>
    <x v="370"/>
    <n v="71.569999999999993"/>
    <x v="1"/>
    <m/>
    <m/>
    <m/>
    <n v="71.569999999999993"/>
    <b v="0"/>
    <m/>
    <m/>
    <s v="-"/>
    <x v="360"/>
    <s v="Manual"/>
    <m/>
  </r>
  <r>
    <x v="11"/>
    <d v="2019-11-01T00:00:00"/>
    <s v="Joint Tenant"/>
    <x v="358"/>
    <n v="18.07"/>
    <x v="3"/>
    <m/>
    <m/>
    <m/>
    <n v="18.07"/>
    <b v="0"/>
    <m/>
    <m/>
    <s v="-"/>
    <x v="349"/>
    <s v="Delete; and Source='Joint Tenant';0"/>
    <m/>
  </r>
  <r>
    <x v="11"/>
    <d v="2019-11-01T00:00:00"/>
    <s v="Jeff"/>
    <x v="358"/>
    <n v="18.07"/>
    <x v="3"/>
    <m/>
    <m/>
    <m/>
    <n v="18.07"/>
    <b v="0"/>
    <m/>
    <m/>
    <s v="-"/>
    <x v="349"/>
    <s v="Manual"/>
    <m/>
  </r>
  <r>
    <x v="11"/>
    <d v="2019-11-01T00:00:00"/>
    <s v="CARGILL PARTNERSHIP PLAN"/>
    <x v="235"/>
    <n v="-635"/>
    <x v="18"/>
    <m/>
    <m/>
    <m/>
    <n v="635"/>
    <b v="0"/>
    <m/>
    <m/>
    <s v="+"/>
    <x v="233"/>
    <s v="Create Rule; and Description='Target Retire 2055 Tr P - Plan Contribution';401K"/>
    <m/>
  </r>
  <r>
    <x v="11"/>
    <d v="2019-11-01T00:00:00"/>
    <s v="Britney Roth"/>
    <x v="51"/>
    <n v="-150"/>
    <x v="17"/>
    <m/>
    <m/>
    <m/>
    <n v="150"/>
    <b v="0"/>
    <m/>
    <m/>
    <s v="+"/>
    <x v="51"/>
    <s v="Create Rule; and Description='Tfr JPMORGAN CHASE BAN, CARGILL COCOA &amp;';Roth"/>
    <m/>
  </r>
  <r>
    <x v="11"/>
    <d v="2019-11-01T00:00:00"/>
    <s v="Roth Contributory IRA"/>
    <x v="51"/>
    <n v="-150"/>
    <x v="17"/>
    <m/>
    <m/>
    <m/>
    <n v="150"/>
    <b v="0"/>
    <m/>
    <m/>
    <s v="+"/>
    <x v="51"/>
    <s v="Create Rule; and Description='Tfr JPMORGAN CHASE BAN, CARGILL COCOA &amp;';Roth"/>
    <m/>
  </r>
  <r>
    <x v="11"/>
    <d v="2019-11-01T00:00:00"/>
    <s v="POWERPLUS"/>
    <x v="371"/>
    <n v="618.65"/>
    <x v="22"/>
    <m/>
    <m/>
    <m/>
    <n v="618.65"/>
    <b v="0"/>
    <m/>
    <m/>
    <s v="-"/>
    <x v="361"/>
    <s v="Create Rule; and Description Like '%To Loan 02%';Car Loan"/>
    <m/>
  </r>
  <r>
    <x v="11"/>
    <d v="2019-11-01T00:00:00"/>
    <s v="POWERPLUS CHECKING"/>
    <x v="371"/>
    <n v="618.65"/>
    <x v="22"/>
    <m/>
    <m/>
    <m/>
    <n v="618.65"/>
    <b v="0"/>
    <m/>
    <m/>
    <s v="-"/>
    <x v="361"/>
    <s v="Create Rule; and Description Like '%To Loan 02%';Car Loan"/>
    <m/>
  </r>
  <r>
    <x v="11"/>
    <d v="2019-11-01T00:00:00"/>
    <s v="POWERPLUS"/>
    <x v="319"/>
    <n v="374.93"/>
    <x v="3"/>
    <m/>
    <m/>
    <m/>
    <n v="374.93"/>
    <b v="0"/>
    <m/>
    <m/>
    <s v="-"/>
    <x v="310"/>
    <s v="Delete; and Description='Transfer to Discover More Card';0"/>
    <m/>
  </r>
  <r>
    <x v="11"/>
    <d v="2019-11-01T00:00:00"/>
    <s v="POWERPLUS CHECKING"/>
    <x v="319"/>
    <n v="374.93"/>
    <x v="3"/>
    <m/>
    <m/>
    <m/>
    <n v="374.93"/>
    <b v="0"/>
    <m/>
    <m/>
    <s v="-"/>
    <x v="310"/>
    <s v="Delete; and Description='Transfer to Discover More Card';0"/>
    <m/>
  </r>
  <r>
    <x v="11"/>
    <d v="2019-11-01T00:00:00"/>
    <s v="KAUFMAN"/>
    <x v="54"/>
    <n v="-1.99"/>
    <x v="18"/>
    <m/>
    <m/>
    <m/>
    <n v="1.99"/>
    <b v="0"/>
    <m/>
    <m/>
    <s v="+"/>
    <x v="54"/>
    <s v="Create Rule; and Description='VANG TARGET RET 2050';401K"/>
    <m/>
  </r>
  <r>
    <x v="11"/>
    <d v="2019-11-01T00:00:00"/>
    <s v="KAUFMAN"/>
    <x v="54"/>
    <n v="19.63"/>
    <x v="18"/>
    <m/>
    <m/>
    <m/>
    <n v="19.63"/>
    <b v="0"/>
    <m/>
    <m/>
    <s v="-"/>
    <x v="54"/>
    <s v="Create Rule; and Description='VANG TARGET RET 2050';401K"/>
    <m/>
  </r>
  <r>
    <x v="11"/>
    <d v="2019-11-01T00:00:00"/>
    <s v="POWERPLUS"/>
    <x v="29"/>
    <n v="30"/>
    <x v="7"/>
    <m/>
    <m/>
    <m/>
    <n v="30"/>
    <b v="0"/>
    <m/>
    <m/>
    <s v="-"/>
    <x v="29"/>
    <m/>
    <m/>
  </r>
  <r>
    <x v="11"/>
    <d v="2019-11-01T00:00:00"/>
    <s v="POWERPLUS CHECKING"/>
    <x v="29"/>
    <n v="30"/>
    <x v="8"/>
    <m/>
    <m/>
    <m/>
    <n v="30"/>
    <b v="0"/>
    <m/>
    <m/>
    <s v="-"/>
    <x v="29"/>
    <s v="Manual"/>
    <m/>
  </r>
  <r>
    <x v="11"/>
    <d v="2019-11-03T00:00:00"/>
    <s v="Target Credit Card"/>
    <x v="372"/>
    <n v="-2.1800000000000002"/>
    <x v="8"/>
    <m/>
    <m/>
    <m/>
    <n v="2.1800000000000002"/>
    <b v="0"/>
    <m/>
    <m/>
    <s v="+"/>
    <x v="362"/>
    <s v="Create Rule; and Description Like '%CENTRAL CHECKOUT%';Shopping"/>
    <m/>
  </r>
  <r>
    <x v="11"/>
    <d v="2019-11-03T00:00:00"/>
    <s v="Discover"/>
    <x v="60"/>
    <n v="13.82"/>
    <x v="19"/>
    <m/>
    <m/>
    <m/>
    <n v="13.82"/>
    <b v="0"/>
    <m/>
    <m/>
    <s v="-"/>
    <x v="60"/>
    <s v="Create Rule; and Description='Home Depot';House Maintenance"/>
    <m/>
  </r>
  <r>
    <x v="11"/>
    <d v="2019-11-03T00:00:00"/>
    <s v="Discover More Card"/>
    <x v="60"/>
    <n v="13.82"/>
    <x v="19"/>
    <m/>
    <m/>
    <m/>
    <n v="13.82"/>
    <b v="0"/>
    <m/>
    <m/>
    <s v="-"/>
    <x v="60"/>
    <s v="Create Rule; and Description='Home Depot';House Maintenance"/>
    <m/>
  </r>
  <r>
    <x v="11"/>
    <d v="2019-11-03T00:00:00"/>
    <s v="Cash Rewards Visa Signature"/>
    <x v="373"/>
    <n v="3.68"/>
    <x v="1"/>
    <m/>
    <m/>
    <m/>
    <n v="3.68"/>
    <b v="0"/>
    <m/>
    <m/>
    <s v="-"/>
    <x v="363"/>
    <s v="Create Rule; and Description Like '%LIFE TIME CAFE%';Restaurants"/>
    <m/>
  </r>
  <r>
    <x v="11"/>
    <d v="2019-11-03T00:00:00"/>
    <s v="Cash Rewards Visa Signature"/>
    <x v="374"/>
    <n v="106.31"/>
    <x v="27"/>
    <m/>
    <m/>
    <m/>
    <n v="106.31"/>
    <b v="0"/>
    <m/>
    <m/>
    <s v="-"/>
    <x v="364"/>
    <s v="Create Rule; and Description Like '%LTFLIFE TIME MO DUES%';Gym"/>
    <m/>
  </r>
  <r>
    <x v="11"/>
    <d v="2019-11-03T00:00:00"/>
    <s v="Target Credit Card"/>
    <x v="34"/>
    <n v="70.92"/>
    <x v="12"/>
    <m/>
    <m/>
    <m/>
    <n v="70.92"/>
    <b v="0"/>
    <m/>
    <m/>
    <s v="-"/>
    <x v="34"/>
    <s v="Create Rule; and Description='Target';Target"/>
    <m/>
  </r>
  <r>
    <x v="11"/>
    <d v="2019-11-04T00:00:00"/>
    <s v="30 YR FIXED"/>
    <x v="375"/>
    <n v="-540.19000000000005"/>
    <x v="7"/>
    <m/>
    <m/>
    <m/>
    <n v="540.19000000000005"/>
    <b v="0"/>
    <m/>
    <m/>
    <s v="+"/>
    <x v="365"/>
    <m/>
    <m/>
  </r>
  <r>
    <x v="12"/>
    <d v="2020-03-04T00:00:00"/>
    <s v="POWERPLUS"/>
    <x v="376"/>
    <n v="2914.59"/>
    <x v="26"/>
    <m/>
    <m/>
    <m/>
    <n v="2914.59"/>
    <b v="0"/>
    <m/>
    <m/>
    <s v="-"/>
    <x v="265"/>
    <s v="Create Rule; and Description Like '%BCU MORTGAGE TYPE LOAN PAYMT ID 9DRAFTING CO BCU MORTGAGE%';Rent"/>
    <m/>
  </r>
  <r>
    <x v="13"/>
    <d v="2019-12-04T00:00:00"/>
    <s v="POWERPLUS"/>
    <x v="377"/>
    <n v="2914.59"/>
    <x v="6"/>
    <m/>
    <m/>
    <m/>
    <n v="2914.59"/>
    <b v="0"/>
    <m/>
    <m/>
    <s v="-"/>
    <x v="265"/>
    <s v="Create Rule; and Description Like '%BCU MORTGAGE TYPE LOAN PAYMT ID 9DRAFTING CO BCU MORTGAGE%';Rent"/>
    <m/>
  </r>
  <r>
    <x v="11"/>
    <d v="2019-11-04T00:00:00"/>
    <s v="Joint Tenant"/>
    <x v="125"/>
    <n v="118.12"/>
    <x v="23"/>
    <m/>
    <m/>
    <m/>
    <n v="118.12"/>
    <b v="0"/>
    <m/>
    <m/>
    <s v="-"/>
    <x v="124"/>
    <s v="Create Rule; and Description='A T &amp; T INC';Dividend"/>
    <m/>
  </r>
  <r>
    <x v="11"/>
    <d v="2019-11-04T00:00:00"/>
    <s v="Jeff"/>
    <x v="125"/>
    <n v="118.12"/>
    <x v="3"/>
    <m/>
    <m/>
    <m/>
    <n v="118.12"/>
    <b v="0"/>
    <m/>
    <m/>
    <s v="-"/>
    <x v="124"/>
    <s v="Delete; and Description='A T &amp; T INC' and inflowoutflow='-';0"/>
    <m/>
  </r>
  <r>
    <x v="11"/>
    <d v="2019-11-04T00:00:00"/>
    <s v="POWERPLUS"/>
    <x v="378"/>
    <n v="385.69"/>
    <x v="8"/>
    <m/>
    <m/>
    <m/>
    <n v="385.69"/>
    <b v="0"/>
    <m/>
    <m/>
    <s v="-"/>
    <x v="366"/>
    <s v="Create Rule; and Description Like '%Banana Visa%';Shopping"/>
    <m/>
  </r>
  <r>
    <x v="11"/>
    <d v="2019-11-04T00:00:00"/>
    <s v="POWERPLUS CHECKING"/>
    <x v="378"/>
    <n v="385.69"/>
    <x v="8"/>
    <m/>
    <m/>
    <m/>
    <n v="385.69"/>
    <b v="0"/>
    <m/>
    <m/>
    <s v="-"/>
    <x v="366"/>
    <s v="Create Rule; and Description Like '%Banana Visa%';Shopping"/>
    <m/>
  </r>
  <r>
    <x v="11"/>
    <d v="2019-11-04T00:00:00"/>
    <s v="POWERPLUS"/>
    <x v="379"/>
    <n v="44.32"/>
    <x v="11"/>
    <m/>
    <m/>
    <m/>
    <n v="44.32"/>
    <b v="0"/>
    <m/>
    <m/>
    <s v="-"/>
    <x v="146"/>
    <s v="Create Rule; and Description Like '%CPENERGY MNGCO%';Utilities"/>
    <m/>
  </r>
  <r>
    <x v="11"/>
    <d v="2019-11-04T00:00:00"/>
    <s v="POWERPLUS CHECKING"/>
    <x v="379"/>
    <n v="44.32"/>
    <x v="3"/>
    <m/>
    <m/>
    <m/>
    <n v="44.32"/>
    <b v="0"/>
    <m/>
    <m/>
    <s v="-"/>
    <x v="146"/>
    <s v="Manual"/>
    <m/>
  </r>
  <r>
    <x v="11"/>
    <d v="2019-11-04T00:00:00"/>
    <s v="Cash Rewards Visa Signature"/>
    <x v="380"/>
    <n v="170.01"/>
    <x v="8"/>
    <m/>
    <m/>
    <m/>
    <n v="170.01"/>
    <b v="0"/>
    <m/>
    <m/>
    <s v="-"/>
    <x v="367"/>
    <s v="Create Rule; and Description Like '%GANDER%';Shopping"/>
    <m/>
  </r>
  <r>
    <x v="11"/>
    <d v="2019-11-04T00:00:00"/>
    <s v="Discover"/>
    <x v="381"/>
    <n v="17.5"/>
    <x v="7"/>
    <m/>
    <m/>
    <m/>
    <n v="17.5"/>
    <b v="0"/>
    <m/>
    <m/>
    <s v="-"/>
    <x v="368"/>
    <m/>
    <m/>
  </r>
  <r>
    <x v="11"/>
    <d v="2019-11-04T00:00:00"/>
    <s v="Discover More Card"/>
    <x v="381"/>
    <n v="17.5"/>
    <x v="28"/>
    <m/>
    <m/>
    <m/>
    <n v="17.5"/>
    <b v="0"/>
    <m/>
    <m/>
    <s v="-"/>
    <x v="368"/>
    <s v="Manual"/>
    <m/>
  </r>
  <r>
    <x v="11"/>
    <d v="2019-11-04T00:00:00"/>
    <s v="Discover"/>
    <x v="382"/>
    <n v="55"/>
    <x v="7"/>
    <m/>
    <m/>
    <m/>
    <n v="55"/>
    <b v="0"/>
    <m/>
    <m/>
    <s v="-"/>
    <x v="369"/>
    <m/>
    <m/>
  </r>
  <r>
    <x v="11"/>
    <d v="2019-11-04T00:00:00"/>
    <s v="Discover More Card"/>
    <x v="382"/>
    <n v="55"/>
    <x v="28"/>
    <m/>
    <m/>
    <m/>
    <n v="55"/>
    <b v="0"/>
    <m/>
    <m/>
    <s v="-"/>
    <x v="369"/>
    <s v="Manual"/>
    <m/>
  </r>
  <r>
    <x v="11"/>
    <d v="2019-11-05T00:00:00"/>
    <s v="Jeff Roth"/>
    <x v="19"/>
    <n v="150"/>
    <x v="3"/>
    <m/>
    <m/>
    <m/>
    <n v="150"/>
    <b v="0"/>
    <m/>
    <m/>
    <s v="-"/>
    <x v="19"/>
    <s v="Delete; and Description='SCHWAB S&amp;P 500 INDEX FD' and inflowoutflow='-';0"/>
    <m/>
  </r>
  <r>
    <x v="11"/>
    <d v="2019-11-05T00:00:00"/>
    <s v="Roth Contributory IRA"/>
    <x v="19"/>
    <n v="150"/>
    <x v="3"/>
    <m/>
    <m/>
    <m/>
    <n v="150"/>
    <b v="0"/>
    <m/>
    <m/>
    <s v="-"/>
    <x v="19"/>
    <s v="Delete; and Description='SCHWAB S&amp;P 500 INDEX FD' and inflowoutflow='-';0"/>
    <m/>
  </r>
  <r>
    <x v="11"/>
    <d v="2019-11-05T00:00:00"/>
    <s v="Britney Roth"/>
    <x v="20"/>
    <n v="150"/>
    <x v="3"/>
    <m/>
    <m/>
    <m/>
    <n v="150"/>
    <b v="0"/>
    <m/>
    <m/>
    <s v="-"/>
    <x v="20"/>
    <s v="Delete; and Description='SCHWAB TOTAL STOCK MKT INDEX' and inflowoutflow='-';0"/>
    <m/>
  </r>
  <r>
    <x v="11"/>
    <d v="2019-11-05T00:00:00"/>
    <s v="Jeff Roth"/>
    <x v="20"/>
    <n v="150"/>
    <x v="3"/>
    <m/>
    <m/>
    <m/>
    <n v="150"/>
    <b v="0"/>
    <m/>
    <m/>
    <s v="-"/>
    <x v="20"/>
    <s v="Delete; and Description='SCHWAB TOTAL STOCK MKT INDEX' and inflowoutflow='-';0"/>
    <m/>
  </r>
  <r>
    <x v="11"/>
    <d v="2019-11-05T00:00:00"/>
    <s v="Roth Contributory IRA"/>
    <x v="20"/>
    <n v="150"/>
    <x v="3"/>
    <m/>
    <m/>
    <m/>
    <n v="150"/>
    <b v="0"/>
    <m/>
    <m/>
    <s v="-"/>
    <x v="20"/>
    <s v="Delete; and Description='SCHWAB TOTAL STOCK MKT INDEX' and inflowoutflow='-';0"/>
    <m/>
  </r>
  <r>
    <x v="11"/>
    <d v="2019-11-05T00:00:00"/>
    <s v="Cash Rewards Visa Signature"/>
    <x v="2"/>
    <n v="13.08"/>
    <x v="2"/>
    <m/>
    <m/>
    <m/>
    <n v="13.08"/>
    <b v="0"/>
    <m/>
    <m/>
    <s v="-"/>
    <x v="2"/>
    <s v="Create Rule; and Description='Speedway';Transportation"/>
    <m/>
  </r>
  <r>
    <x v="11"/>
    <d v="2019-11-05T00:00:00"/>
    <s v="Cash Rewards Visa Signature"/>
    <x v="2"/>
    <n v="24.71"/>
    <x v="2"/>
    <m/>
    <m/>
    <m/>
    <n v="24.71"/>
    <b v="0"/>
    <m/>
    <m/>
    <s v="-"/>
    <x v="2"/>
    <s v="Create Rule; and Description='Speedway';Transportation"/>
    <m/>
  </r>
  <r>
    <x v="11"/>
    <d v="2019-11-05T00:00:00"/>
    <s v="POWERPLUS"/>
    <x v="26"/>
    <n v="-37.06"/>
    <x v="3"/>
    <m/>
    <m/>
    <m/>
    <n v="37.06"/>
    <b v="0"/>
    <m/>
    <m/>
    <s v="+"/>
    <x v="26"/>
    <s v="Delete; and Description='Venmo Type Cashout';0"/>
    <m/>
  </r>
  <r>
    <x v="11"/>
    <d v="2019-11-05T00:00:00"/>
    <s v="POWERPLUS CHECKING"/>
    <x v="26"/>
    <n v="-37.06"/>
    <x v="3"/>
    <m/>
    <m/>
    <m/>
    <n v="37.06"/>
    <b v="0"/>
    <m/>
    <m/>
    <s v="+"/>
    <x v="26"/>
    <s v="Delete; and Description='Venmo Type Cashout';0"/>
    <m/>
  </r>
  <r>
    <x v="11"/>
    <d v="2019-11-06T00:00:00"/>
    <s v="Discover"/>
    <x v="93"/>
    <n v="-14.76"/>
    <x v="3"/>
    <m/>
    <m/>
    <m/>
    <n v="14.76"/>
    <b v="0"/>
    <m/>
    <m/>
    <s v="+"/>
    <x v="93"/>
    <s v="Delete; and Description='CASHBACK BONUS REDEMPTION payment/STMT CRDT';0"/>
    <m/>
  </r>
  <r>
    <x v="11"/>
    <d v="2019-11-06T00:00:00"/>
    <s v="Discover More Card"/>
    <x v="93"/>
    <n v="-14.76"/>
    <x v="3"/>
    <m/>
    <m/>
    <m/>
    <n v="14.76"/>
    <b v="0"/>
    <m/>
    <m/>
    <s v="+"/>
    <x v="93"/>
    <s v="Delete; and Description='CASHBACK BONUS REDEMPTION payment/STMT CRDT';0"/>
    <m/>
  </r>
  <r>
    <x v="11"/>
    <d v="2019-11-06T00:00:00"/>
    <s v="Discover"/>
    <x v="56"/>
    <n v="-81.88"/>
    <x v="3"/>
    <m/>
    <m/>
    <m/>
    <n v="81.88"/>
    <b v="0"/>
    <m/>
    <m/>
    <s v="+"/>
    <x v="56"/>
    <s v="Delete; and Description='INTERNET PAYMENT - THANK YOU';0"/>
    <m/>
  </r>
  <r>
    <x v="11"/>
    <d v="2019-11-06T00:00:00"/>
    <s v="Discover More Card"/>
    <x v="56"/>
    <n v="-81.88"/>
    <x v="3"/>
    <m/>
    <m/>
    <m/>
    <n v="81.88"/>
    <b v="0"/>
    <m/>
    <m/>
    <s v="+"/>
    <x v="56"/>
    <s v="Delete; and Description='INTERNET PAYMENT - THANK YOU';0"/>
    <m/>
  </r>
  <r>
    <x v="11"/>
    <d v="2019-11-06T00:00:00"/>
    <s v="POWERPLUS"/>
    <x v="383"/>
    <n v="195.75"/>
    <x v="4"/>
    <m/>
    <m/>
    <m/>
    <n v="195.75"/>
    <b v="0"/>
    <m/>
    <m/>
    <s v="-"/>
    <x v="370"/>
    <s v="Create Rule; and Description Like '%CCLC TYPE INTERNET ID%';Day Care"/>
    <m/>
  </r>
  <r>
    <x v="11"/>
    <d v="2019-11-06T00:00:00"/>
    <s v="POWERPLUS CHECKING"/>
    <x v="383"/>
    <n v="195.75"/>
    <x v="4"/>
    <m/>
    <m/>
    <m/>
    <n v="195.75"/>
    <b v="0"/>
    <m/>
    <m/>
    <s v="-"/>
    <x v="370"/>
    <s v="Create Rule; and Description Like '%CCLC TYPE INTERNET ID%';Day Care"/>
    <m/>
  </r>
  <r>
    <x v="11"/>
    <d v="2019-11-06T00:00:00"/>
    <s v="Cash Rewards Visa Signature"/>
    <x v="259"/>
    <n v="36.26"/>
    <x v="8"/>
    <m/>
    <m/>
    <m/>
    <n v="36.26"/>
    <b v="0"/>
    <m/>
    <m/>
    <s v="-"/>
    <x v="257"/>
    <s v="Create Rule; and Description Like '%Etsy.com%';Shopping"/>
    <m/>
  </r>
  <r>
    <x v="11"/>
    <d v="2019-11-06T00:00:00"/>
    <s v="Joint Tenant"/>
    <x v="148"/>
    <n v="-13.33"/>
    <x v="19"/>
    <m/>
    <m/>
    <m/>
    <n v="13.33"/>
    <b v="0"/>
    <m/>
    <m/>
    <s v="+"/>
    <x v="147"/>
    <s v="Create Rule; and Description='LOWES COMPANIES INC';House Maintenance"/>
    <m/>
  </r>
  <r>
    <x v="11"/>
    <d v="2019-11-06T00:00:00"/>
    <s v="Jeff"/>
    <x v="148"/>
    <n v="-13.33"/>
    <x v="19"/>
    <m/>
    <m/>
    <m/>
    <n v="13.33"/>
    <b v="0"/>
    <m/>
    <m/>
    <s v="+"/>
    <x v="147"/>
    <s v="Create Rule; and Description='LOWES COMPANIES INC';House Maintenance"/>
    <m/>
  </r>
  <r>
    <x v="11"/>
    <d v="2019-11-06T00:00:00"/>
    <s v="Cash Rewards Visa Signature"/>
    <x v="384"/>
    <n v="138.25"/>
    <x v="28"/>
    <m/>
    <m/>
    <m/>
    <n v="138.25"/>
    <b v="0"/>
    <m/>
    <m/>
    <s v="-"/>
    <x v="371"/>
    <s v="Manual"/>
    <m/>
  </r>
  <r>
    <x v="11"/>
    <d v="2019-11-06T00:00:00"/>
    <s v="RAINY DAY"/>
    <x v="3"/>
    <n v="-300"/>
    <x v="3"/>
    <m/>
    <m/>
    <m/>
    <n v="300"/>
    <b v="0"/>
    <m/>
    <m/>
    <s v="+"/>
    <x v="3"/>
    <s v="Delete; and Description='Transfer from POWERPLUS CHECKING';0"/>
    <m/>
  </r>
  <r>
    <x v="11"/>
    <d v="2019-11-06T00:00:00"/>
    <s v="RAINY DAY SAVINGS"/>
    <x v="3"/>
    <n v="-300"/>
    <x v="3"/>
    <m/>
    <m/>
    <m/>
    <n v="300"/>
    <b v="0"/>
    <m/>
    <m/>
    <s v="+"/>
    <x v="3"/>
    <s v="Delete; and Description='Transfer from POWERPLUS CHECKING';0"/>
    <m/>
  </r>
  <r>
    <x v="11"/>
    <d v="2019-11-06T00:00:00"/>
    <s v="POWERPLUS"/>
    <x v="92"/>
    <n v="300"/>
    <x v="21"/>
    <m/>
    <m/>
    <m/>
    <n v="300"/>
    <b v="0"/>
    <m/>
    <m/>
    <s v="-"/>
    <x v="92"/>
    <s v="Create Rule; and Description='Transfer to RAINY DAY SAVINGS';Savings"/>
    <m/>
  </r>
  <r>
    <x v="11"/>
    <d v="2019-11-06T00:00:00"/>
    <s v="POWERPLUS CHECKING"/>
    <x v="92"/>
    <n v="300"/>
    <x v="21"/>
    <m/>
    <m/>
    <m/>
    <n v="300"/>
    <b v="0"/>
    <m/>
    <m/>
    <s v="-"/>
    <x v="92"/>
    <s v="Create Rule; and Description='Transfer to RAINY DAY SAVINGS';Savings"/>
    <m/>
  </r>
  <r>
    <x v="11"/>
    <d v="2019-11-06T00:00:00"/>
    <s v="Joint Tenant"/>
    <x v="141"/>
    <n v="-4.28"/>
    <x v="23"/>
    <m/>
    <m/>
    <m/>
    <n v="4.28"/>
    <b v="0"/>
    <m/>
    <m/>
    <s v="+"/>
    <x v="140"/>
    <s v="Create Rule; and Description='VANGUARD INTRMDIAT TRM TRSRY ETF';Dividend"/>
    <m/>
  </r>
  <r>
    <x v="11"/>
    <d v="2019-11-06T00:00:00"/>
    <s v="Jeff"/>
    <x v="141"/>
    <n v="-4.28"/>
    <x v="23"/>
    <m/>
    <m/>
    <m/>
    <n v="4.28"/>
    <b v="0"/>
    <m/>
    <m/>
    <s v="+"/>
    <x v="140"/>
    <s v="Create Rule; and Description='VANGUARD INTRMDIAT TRM TRSRY ETF';Dividend"/>
    <m/>
  </r>
  <r>
    <x v="11"/>
    <d v="2019-11-06T00:00:00"/>
    <s v="POWERPLUS"/>
    <x v="29"/>
    <n v="30.5"/>
    <x v="7"/>
    <m/>
    <m/>
    <m/>
    <n v="30.5"/>
    <b v="0"/>
    <m/>
    <m/>
    <s v="-"/>
    <x v="29"/>
    <m/>
    <m/>
  </r>
  <r>
    <x v="11"/>
    <d v="2019-11-06T00:00:00"/>
    <s v="POWERPLUS CHECKING"/>
    <x v="29"/>
    <n v="30.5"/>
    <x v="8"/>
    <m/>
    <m/>
    <m/>
    <n v="30.5"/>
    <b v="0"/>
    <m/>
    <m/>
    <s v="-"/>
    <x v="29"/>
    <s v="Manual"/>
    <m/>
  </r>
  <r>
    <x v="11"/>
    <d v="2019-11-06T00:00:00"/>
    <s v="POWERPLUS"/>
    <x v="30"/>
    <n v="101.82"/>
    <x v="11"/>
    <m/>
    <m/>
    <m/>
    <n v="101.82"/>
    <b v="0"/>
    <m/>
    <m/>
    <s v="-"/>
    <x v="30"/>
    <s v="Create Rule; and Description='Xcel Energy';Utilities"/>
    <m/>
  </r>
  <r>
    <x v="11"/>
    <d v="2019-11-06T00:00:00"/>
    <s v="POWERPLUS CHECKING"/>
    <x v="30"/>
    <n v="101.82"/>
    <x v="11"/>
    <m/>
    <m/>
    <m/>
    <n v="101.82"/>
    <b v="0"/>
    <m/>
    <m/>
    <s v="-"/>
    <x v="30"/>
    <s v="Create Rule; and Description='Xcel Energy';Utilities"/>
    <m/>
  </r>
  <r>
    <x v="11"/>
    <d v="2019-11-07T00:00:00"/>
    <s v="POWERPLUS"/>
    <x v="385"/>
    <n v="81.88"/>
    <x v="3"/>
    <m/>
    <m/>
    <m/>
    <n v="81.88"/>
    <b v="0"/>
    <m/>
    <m/>
    <s v="-"/>
    <x v="372"/>
    <s v="Delete; and Description Like '%DISCOVER TYPE EPAYMENT%';0"/>
    <m/>
  </r>
  <r>
    <x v="11"/>
    <d v="2019-11-07T00:00:00"/>
    <s v="POWERPLUS CHECKING"/>
    <x v="385"/>
    <n v="81.88"/>
    <x v="3"/>
    <m/>
    <m/>
    <m/>
    <n v="81.88"/>
    <b v="0"/>
    <m/>
    <m/>
    <s v="-"/>
    <x v="372"/>
    <s v="Delete; and Description Like '%DISCOVER TYPE EPAYMENT%';0"/>
    <m/>
  </r>
  <r>
    <x v="11"/>
    <d v="2019-11-07T00:00:00"/>
    <s v="Joint Tenant"/>
    <x v="148"/>
    <n v="13.33"/>
    <x v="19"/>
    <m/>
    <m/>
    <m/>
    <n v="13.33"/>
    <b v="0"/>
    <m/>
    <m/>
    <s v="-"/>
    <x v="147"/>
    <s v="Create Rule; and Description='LOWES COMPANIES INC';House Maintenance"/>
    <m/>
  </r>
  <r>
    <x v="11"/>
    <d v="2019-11-07T00:00:00"/>
    <s v="Jeff"/>
    <x v="148"/>
    <n v="13.33"/>
    <x v="19"/>
    <m/>
    <m/>
    <m/>
    <n v="13.33"/>
    <b v="0"/>
    <m/>
    <m/>
    <s v="-"/>
    <x v="147"/>
    <s v="Create Rule; and Description='LOWES COMPANIES INC';House Maintenance"/>
    <m/>
  </r>
  <r>
    <x v="11"/>
    <d v="2019-11-07T00:00:00"/>
    <s v="Joint Tenant"/>
    <x v="126"/>
    <n v="-58.1"/>
    <x v="23"/>
    <m/>
    <m/>
    <m/>
    <n v="58.1"/>
    <b v="0"/>
    <m/>
    <m/>
    <s v="+"/>
    <x v="125"/>
    <s v="Create Rule; and Description='RAYTHEON CO';Dividend"/>
    <m/>
  </r>
  <r>
    <x v="11"/>
    <d v="2019-11-07T00:00:00"/>
    <s v="Jeff"/>
    <x v="126"/>
    <n v="-58.1"/>
    <x v="23"/>
    <m/>
    <m/>
    <m/>
    <n v="58.1"/>
    <b v="0"/>
    <m/>
    <m/>
    <s v="+"/>
    <x v="125"/>
    <s v="Create Rule; and Description='RAYTHEON CO';Dividend"/>
    <m/>
  </r>
  <r>
    <x v="11"/>
    <d v="2019-11-07T00:00:00"/>
    <s v="Joint Tenant"/>
    <x v="141"/>
    <n v="4.28"/>
    <x v="23"/>
    <m/>
    <m/>
    <m/>
    <n v="4.28"/>
    <b v="0"/>
    <m/>
    <m/>
    <s v="-"/>
    <x v="140"/>
    <s v="Create Rule; and Description='VANGUARD INTRMDIAT TRM TRSRY ETF';Dividend"/>
    <m/>
  </r>
  <r>
    <x v="11"/>
    <d v="2019-11-07T00:00:00"/>
    <s v="Jeff"/>
    <x v="141"/>
    <n v="4.28"/>
    <x v="23"/>
    <m/>
    <m/>
    <m/>
    <n v="4.28"/>
    <b v="0"/>
    <m/>
    <m/>
    <s v="-"/>
    <x v="140"/>
    <s v="Create Rule; and Description='VANGUARD INTRMDIAT TRM TRSRY ETF';Dividend"/>
    <m/>
  </r>
  <r>
    <x v="11"/>
    <d v="2019-11-07T00:00:00"/>
    <s v="POWERPLUS"/>
    <x v="142"/>
    <n v="104.61"/>
    <x v="11"/>
    <m/>
    <m/>
    <m/>
    <n v="104.61"/>
    <b v="0"/>
    <m/>
    <m/>
    <s v="-"/>
    <x v="141"/>
    <s v="Create Rule; and Description='Waste Management';Utilities"/>
    <m/>
  </r>
  <r>
    <x v="11"/>
    <d v="2019-11-07T00:00:00"/>
    <s v="POWERPLUS CHECKING"/>
    <x v="142"/>
    <n v="104.61"/>
    <x v="11"/>
    <m/>
    <m/>
    <m/>
    <n v="104.61"/>
    <b v="0"/>
    <m/>
    <m/>
    <s v="-"/>
    <x v="141"/>
    <s v="Create Rule; and Description='Waste Management';Utilities"/>
    <m/>
  </r>
  <r>
    <x v="11"/>
    <d v="2019-11-08T00:00:00"/>
    <s v="Cash Rewards Visa Signature"/>
    <x v="386"/>
    <n v="5.9"/>
    <x v="1"/>
    <m/>
    <m/>
    <m/>
    <n v="5.9"/>
    <b v="0"/>
    <m/>
    <m/>
    <s v="-"/>
    <x v="373"/>
    <s v="Manual"/>
    <m/>
  </r>
  <r>
    <x v="11"/>
    <d v="2019-11-08T00:00:00"/>
    <s v="Joint Tenant"/>
    <x v="126"/>
    <n v="58.1"/>
    <x v="23"/>
    <m/>
    <m/>
    <m/>
    <n v="58.1"/>
    <b v="0"/>
    <m/>
    <m/>
    <s v="-"/>
    <x v="125"/>
    <s v="Create Rule; and Description='RAYTHEON CO';Dividend"/>
    <m/>
  </r>
  <r>
    <x v="11"/>
    <d v="2019-11-08T00:00:00"/>
    <s v="Discover"/>
    <x v="387"/>
    <n v="13.22"/>
    <x v="7"/>
    <m/>
    <m/>
    <m/>
    <n v="13.22"/>
    <b v="0"/>
    <m/>
    <m/>
    <s v="-"/>
    <x v="374"/>
    <m/>
    <m/>
  </r>
  <r>
    <x v="11"/>
    <d v="2019-11-08T00:00:00"/>
    <s v="Discover More Card"/>
    <x v="387"/>
    <n v="13.22"/>
    <x v="10"/>
    <m/>
    <m/>
    <m/>
    <n v="13.22"/>
    <b v="0"/>
    <m/>
    <m/>
    <s v="-"/>
    <x v="374"/>
    <s v="Manual"/>
    <m/>
  </r>
  <r>
    <x v="11"/>
    <d v="2019-11-08T00:00:00"/>
    <s v="Cash Rewards Visa Signature"/>
    <x v="388"/>
    <n v="26.97"/>
    <x v="5"/>
    <m/>
    <m/>
    <m/>
    <n v="26.97"/>
    <b v="0"/>
    <m/>
    <m/>
    <s v="-"/>
    <x v="375"/>
    <s v="Manual"/>
    <m/>
  </r>
  <r>
    <x v="11"/>
    <d v="2019-11-30T00:00:00"/>
    <s v="Cash Rewards Visa Signature"/>
    <x v="389"/>
    <n v="6"/>
    <x v="2"/>
    <m/>
    <m/>
    <m/>
    <n v="6"/>
    <b v="0"/>
    <m/>
    <m/>
    <s v="-"/>
    <x v="376"/>
    <s v="Create Rule; and Description='Allied Parking Inc';Transportation"/>
    <m/>
  </r>
  <r>
    <x v="11"/>
    <d v="2019-11-30T00:00:00"/>
    <s v="Discover"/>
    <x v="0"/>
    <n v="100.92"/>
    <x v="0"/>
    <m/>
    <m/>
    <m/>
    <n v="100.92"/>
    <b v="0"/>
    <m/>
    <m/>
    <s v="-"/>
    <x v="0"/>
    <s v="Create Rule; and Description='Amazon';Amazon"/>
    <m/>
  </r>
  <r>
    <x v="11"/>
    <d v="2019-11-30T00:00:00"/>
    <s v="Discover"/>
    <x v="0"/>
    <n v="30.05"/>
    <x v="0"/>
    <m/>
    <m/>
    <m/>
    <n v="30.05"/>
    <b v="0"/>
    <m/>
    <m/>
    <s v="-"/>
    <x v="0"/>
    <s v="Create Rule; and Description='Amazon';Amazon"/>
    <m/>
  </r>
  <r>
    <x v="11"/>
    <d v="2019-11-30T00:00:00"/>
    <s v="Discover"/>
    <x v="0"/>
    <n v="31.61"/>
    <x v="0"/>
    <m/>
    <m/>
    <m/>
    <n v="31.61"/>
    <b v="0"/>
    <m/>
    <m/>
    <s v="-"/>
    <x v="0"/>
    <s v="Create Rule; and Description='Amazon';Amazon"/>
    <m/>
  </r>
  <r>
    <x v="11"/>
    <d v="2019-11-30T00:00:00"/>
    <s v="Discover More Card"/>
    <x v="0"/>
    <n v="100.92"/>
    <x v="0"/>
    <m/>
    <m/>
    <m/>
    <n v="100.92"/>
    <b v="0"/>
    <m/>
    <m/>
    <s v="-"/>
    <x v="0"/>
    <s v="Create Rule; and Description='Amazon';Amazon"/>
    <m/>
  </r>
  <r>
    <x v="11"/>
    <d v="2019-11-30T00:00:00"/>
    <s v="Discover More Card"/>
    <x v="0"/>
    <n v="30.05"/>
    <x v="0"/>
    <m/>
    <m/>
    <m/>
    <n v="30.05"/>
    <b v="0"/>
    <m/>
    <m/>
    <s v="-"/>
    <x v="0"/>
    <s v="Create Rule; and Description='Amazon';Amazon"/>
    <m/>
  </r>
  <r>
    <x v="11"/>
    <d v="2019-11-30T00:00:00"/>
    <s v="Discover More Card"/>
    <x v="0"/>
    <n v="31.61"/>
    <x v="0"/>
    <m/>
    <m/>
    <m/>
    <n v="31.61"/>
    <b v="0"/>
    <m/>
    <m/>
    <s v="-"/>
    <x v="0"/>
    <s v="Create Rule; and Description='Amazon';Amazon"/>
    <m/>
  </r>
  <r>
    <x v="11"/>
    <d v="2019-11-30T00:00:00"/>
    <s v="POWERPLUS"/>
    <x v="48"/>
    <n v="99.04"/>
    <x v="16"/>
    <m/>
    <m/>
    <m/>
    <n v="99.04"/>
    <b v="0"/>
    <m/>
    <m/>
    <s v="-"/>
    <x v="48"/>
    <s v="Create Rule; and Description='American Family Insurance';Insurance"/>
    <m/>
  </r>
  <r>
    <x v="11"/>
    <d v="2019-11-30T00:00:00"/>
    <s v="POWERPLUS CHECKING"/>
    <x v="48"/>
    <n v="99.04"/>
    <x v="16"/>
    <m/>
    <m/>
    <m/>
    <n v="99.04"/>
    <b v="0"/>
    <m/>
    <m/>
    <s v="-"/>
    <x v="48"/>
    <s v="Create Rule; and Description='American Family Insurance';Insurance"/>
    <m/>
  </r>
  <r>
    <x v="11"/>
    <d v="2019-11-30T00:00:00"/>
    <s v="Joint Tenant"/>
    <x v="165"/>
    <n v="-42.68"/>
    <x v="23"/>
    <m/>
    <m/>
    <m/>
    <n v="42.68"/>
    <b v="0"/>
    <m/>
    <m/>
    <s v="+"/>
    <x v="164"/>
    <s v="Create Rule; and Description='APPLE INC';Dividend"/>
    <m/>
  </r>
  <r>
    <x v="11"/>
    <d v="2019-11-30T00:00:00"/>
    <s v="Joint Tenant"/>
    <x v="165"/>
    <n v="42.68"/>
    <x v="23"/>
    <m/>
    <m/>
    <m/>
    <n v="42.68"/>
    <b v="0"/>
    <m/>
    <m/>
    <s v="-"/>
    <x v="164"/>
    <s v="Create Rule; and Description='APPLE INC';Dividend"/>
    <m/>
  </r>
  <r>
    <x v="11"/>
    <d v="2019-11-30T00:00:00"/>
    <s v="Coopers Rainy Day"/>
    <x v="114"/>
    <n v="-0.02"/>
    <x v="13"/>
    <m/>
    <m/>
    <m/>
    <n v="0.02"/>
    <b v="0"/>
    <m/>
    <m/>
    <s v="+"/>
    <x v="114"/>
    <s v="Manual"/>
    <m/>
  </r>
  <r>
    <x v="11"/>
    <d v="2019-11-30T00:00:00"/>
    <s v="Cash Rewards Visa Signature"/>
    <x v="317"/>
    <n v="179"/>
    <x v="8"/>
    <m/>
    <m/>
    <m/>
    <n v="179"/>
    <b v="0"/>
    <m/>
    <m/>
    <s v="-"/>
    <x v="308"/>
    <s v="Create Rule; and Description='Asos.com';Shopping"/>
    <m/>
  </r>
  <r>
    <x v="11"/>
    <d v="2019-11-30T00:00:00"/>
    <s v="Cash Rewards Visa Signature"/>
    <x v="317"/>
    <n v="-163"/>
    <x v="8"/>
    <m/>
    <m/>
    <m/>
    <n v="163"/>
    <b v="0"/>
    <m/>
    <m/>
    <s v="+"/>
    <x v="308"/>
    <s v="Create Rule; and Description='Asos.com';Shopping"/>
    <m/>
  </r>
  <r>
    <x v="11"/>
    <d v="2019-11-30T00:00:00"/>
    <s v="Target Credit Card"/>
    <x v="193"/>
    <n v="-106.69"/>
    <x v="8"/>
    <m/>
    <m/>
    <m/>
    <n v="106.69"/>
    <b v="0"/>
    <m/>
    <m/>
    <s v="+"/>
    <x v="192"/>
    <s v="Manual"/>
    <m/>
  </r>
  <r>
    <x v="11"/>
    <d v="2019-11-30T00:00:00"/>
    <s v="Britney Roth"/>
    <x v="390"/>
    <n v="-0.06"/>
    <x v="7"/>
    <m/>
    <m/>
    <m/>
    <n v="0.06"/>
    <b v="0"/>
    <m/>
    <m/>
    <s v="+"/>
    <x v="377"/>
    <m/>
    <m/>
  </r>
  <r>
    <x v="11"/>
    <d v="2019-11-30T00:00:00"/>
    <s v="Jeff Roth"/>
    <x v="390"/>
    <n v="-0.09"/>
    <x v="7"/>
    <m/>
    <m/>
    <m/>
    <n v="0.09"/>
    <b v="0"/>
    <m/>
    <m/>
    <s v="+"/>
    <x v="377"/>
    <m/>
    <m/>
  </r>
  <r>
    <x v="11"/>
    <d v="2019-11-30T00:00:00"/>
    <s v="Roth Contributory IRA"/>
    <x v="390"/>
    <n v="-0.15"/>
    <x v="7"/>
    <m/>
    <m/>
    <m/>
    <n v="0.15"/>
    <b v="0"/>
    <m/>
    <m/>
    <s v="+"/>
    <x v="377"/>
    <m/>
    <m/>
  </r>
  <r>
    <x v="11"/>
    <d v="2019-11-30T00:00:00"/>
    <s v="Cash Rewards Visa Signature"/>
    <x v="391"/>
    <n v="68.78"/>
    <x v="20"/>
    <m/>
    <m/>
    <m/>
    <n v="68.78"/>
    <b v="0"/>
    <m/>
    <m/>
    <s v="-"/>
    <x v="378"/>
    <s v="Create Rule; and Description Like '%BEST CLEANERS%';Dry Cleaning"/>
    <m/>
  </r>
  <r>
    <x v="11"/>
    <d v="2019-11-30T00:00:00"/>
    <s v="Joint Tenant"/>
    <x v="185"/>
    <n v="-200"/>
    <x v="17"/>
    <m/>
    <m/>
    <m/>
    <n v="200"/>
    <b v="0"/>
    <m/>
    <m/>
    <s v="+"/>
    <x v="184"/>
    <s v="Create Rule; and Description='CARGILL COCOA &amp;';Roth"/>
    <m/>
  </r>
  <r>
    <x v="11"/>
    <d v="2019-11-30T00:00:00"/>
    <s v="Joint Tenant"/>
    <x v="185"/>
    <n v="-200"/>
    <x v="17"/>
    <m/>
    <m/>
    <m/>
    <n v="200"/>
    <b v="0"/>
    <m/>
    <m/>
    <s v="+"/>
    <x v="184"/>
    <s v="Create Rule; and Description='CARGILL COCOA &amp;';Roth"/>
    <m/>
  </r>
  <r>
    <x v="11"/>
    <d v="2019-11-30T00:00:00"/>
    <s v="POWERPLUS"/>
    <x v="392"/>
    <n v="-544.44000000000005"/>
    <x v="14"/>
    <m/>
    <m/>
    <m/>
    <n v="544.44000000000005"/>
    <b v="0"/>
    <m/>
    <m/>
    <s v="+"/>
    <x v="379"/>
    <s v="Create Rule; and Description Like '%CARGILL COCOA TYPE DIR DEP ID%';Inc - Britney"/>
    <m/>
  </r>
  <r>
    <x v="11"/>
    <d v="2019-11-30T00:00:00"/>
    <s v="POWERPLUS CHECKING"/>
    <x v="392"/>
    <n v="-544.44000000000005"/>
    <x v="14"/>
    <m/>
    <m/>
    <m/>
    <n v="544.44000000000005"/>
    <b v="0"/>
    <m/>
    <m/>
    <s v="+"/>
    <x v="379"/>
    <s v="Create Rule; and Description Like '%CARGILL COCOA TYPE DIR DEP ID%';Inc - Britney"/>
    <m/>
  </r>
  <r>
    <x v="11"/>
    <d v="2019-11-30T00:00:00"/>
    <s v="POWERPLUS"/>
    <x v="393"/>
    <n v="-2363.7600000000002"/>
    <x v="14"/>
    <m/>
    <m/>
    <m/>
    <n v="2363.7600000000002"/>
    <b v="0"/>
    <m/>
    <m/>
    <s v="+"/>
    <x v="380"/>
    <s v="Create Rule; and Description Like '%CARGILL COCOA TYPE DIR DEP ID%';Inc - Britney"/>
    <m/>
  </r>
  <r>
    <x v="11"/>
    <d v="2019-11-30T00:00:00"/>
    <s v="POWERPLUS CHECKING"/>
    <x v="393"/>
    <n v="-2363.7600000000002"/>
    <x v="14"/>
    <m/>
    <m/>
    <m/>
    <n v="2363.7600000000002"/>
    <b v="0"/>
    <m/>
    <m/>
    <s v="+"/>
    <x v="380"/>
    <s v="Create Rule; and Description Like '%CARGILL COCOA TYPE DIR DEP ID%';Inc - Britney"/>
    <m/>
  </r>
  <r>
    <x v="11"/>
    <d v="2019-11-30T00:00:00"/>
    <s v="POWERPLUS"/>
    <x v="35"/>
    <n v="-144.87"/>
    <x v="13"/>
    <m/>
    <m/>
    <m/>
    <n v="144.87"/>
    <b v="0"/>
    <m/>
    <m/>
    <s v="+"/>
    <x v="35"/>
    <s v="Create Rule; and Description='Cargill Incorpor Type';Inc - Other"/>
    <m/>
  </r>
  <r>
    <x v="11"/>
    <d v="2019-11-30T00:00:00"/>
    <s v="POWERPLUS CHECKING"/>
    <x v="35"/>
    <n v="-144.87"/>
    <x v="13"/>
    <m/>
    <m/>
    <m/>
    <n v="144.87"/>
    <b v="0"/>
    <m/>
    <m/>
    <s v="+"/>
    <x v="35"/>
    <s v="Create Rule; and Description='Cargill Incorpor Type';Inc - Other"/>
    <m/>
  </r>
  <r>
    <x v="11"/>
    <d v="2019-11-30T00:00:00"/>
    <s v="POWERPLUS"/>
    <x v="394"/>
    <n v="142.5"/>
    <x v="4"/>
    <m/>
    <m/>
    <m/>
    <n v="142.5"/>
    <b v="0"/>
    <m/>
    <m/>
    <s v="-"/>
    <x v="381"/>
    <s v="Create Rule; and Description Like '%CCLC TYPE INTERNET ID%';Day Care"/>
    <m/>
  </r>
  <r>
    <x v="11"/>
    <d v="2019-11-30T00:00:00"/>
    <s v="POWERPLUS CHECKING"/>
    <x v="394"/>
    <n v="142.5"/>
    <x v="4"/>
    <m/>
    <m/>
    <m/>
    <n v="142.5"/>
    <b v="0"/>
    <m/>
    <m/>
    <s v="-"/>
    <x v="381"/>
    <s v="Create Rule; and Description Like '%CCLC TYPE INTERNET ID%';Day Care"/>
    <m/>
  </r>
  <r>
    <x v="11"/>
    <d v="2019-11-30T00:00:00"/>
    <s v="POWERPLUS"/>
    <x v="395"/>
    <n v="247.95"/>
    <x v="4"/>
    <m/>
    <m/>
    <m/>
    <n v="247.95"/>
    <b v="0"/>
    <m/>
    <m/>
    <s v="-"/>
    <x v="382"/>
    <s v="Create Rule; and Description Like '%CCLC TYPE INTERNET ID%';Day Care"/>
    <m/>
  </r>
  <r>
    <x v="11"/>
    <d v="2019-11-30T00:00:00"/>
    <s v="POWERPLUS CHECKING"/>
    <x v="395"/>
    <n v="247.95"/>
    <x v="4"/>
    <m/>
    <m/>
    <m/>
    <n v="247.95"/>
    <b v="0"/>
    <m/>
    <m/>
    <s v="-"/>
    <x v="382"/>
    <s v="Create Rule; and Description Like '%CCLC TYPE INTERNET ID%';Day Care"/>
    <m/>
  </r>
  <r>
    <x v="11"/>
    <d v="2019-11-30T00:00:00"/>
    <s v="POWERPLUS"/>
    <x v="396"/>
    <n v="247.95"/>
    <x v="4"/>
    <m/>
    <m/>
    <m/>
    <n v="247.95"/>
    <b v="0"/>
    <m/>
    <m/>
    <s v="-"/>
    <x v="383"/>
    <s v="Create Rule; and Description Like '%CCLC TYPE INTERNET ID%';Day Care"/>
    <m/>
  </r>
  <r>
    <x v="11"/>
    <d v="2019-11-30T00:00:00"/>
    <s v="POWERPLUS CHECKING"/>
    <x v="396"/>
    <n v="247.95"/>
    <x v="4"/>
    <m/>
    <m/>
    <m/>
    <n v="247.95"/>
    <b v="0"/>
    <m/>
    <m/>
    <s v="-"/>
    <x v="383"/>
    <s v="Create Rule; and Description Like '%CCLC TYPE INTERNET ID%';Day Care"/>
    <m/>
  </r>
  <r>
    <x v="11"/>
    <d v="2019-11-30T00:00:00"/>
    <s v="Cash Rewards Visa Signature"/>
    <x v="397"/>
    <n v="5.4"/>
    <x v="2"/>
    <m/>
    <m/>
    <m/>
    <n v="5.4"/>
    <b v="0"/>
    <m/>
    <m/>
    <s v="-"/>
    <x v="384"/>
    <s v="Create Rule; and Description Like '%CEFCO 60%';Transportation"/>
    <m/>
  </r>
  <r>
    <x v="11"/>
    <d v="2019-11-30T00:00:00"/>
    <s v="Cash Rewards Visa Signature"/>
    <x v="67"/>
    <n v="45"/>
    <x v="11"/>
    <m/>
    <m/>
    <m/>
    <n v="45"/>
    <b v="0"/>
    <m/>
    <m/>
    <s v="-"/>
    <x v="67"/>
    <s v="Create Rule; and Description='CenturyLink';Utilities"/>
    <m/>
  </r>
  <r>
    <x v="11"/>
    <d v="2019-11-30T00:00:00"/>
    <s v="Cash Rewards Visa Signature"/>
    <x v="398"/>
    <n v="159"/>
    <x v="8"/>
    <m/>
    <m/>
    <m/>
    <n v="159"/>
    <b v="0"/>
    <m/>
    <m/>
    <s v="-"/>
    <x v="385"/>
    <s v="Manual"/>
    <m/>
  </r>
  <r>
    <x v="11"/>
    <d v="2019-11-30T00:00:00"/>
    <s v="Cash Rewards Visa Signature"/>
    <x v="255"/>
    <n v="247.93"/>
    <x v="5"/>
    <m/>
    <m/>
    <m/>
    <n v="247.93"/>
    <b v="0"/>
    <m/>
    <m/>
    <s v="-"/>
    <x v="253"/>
    <s v="Create Rule; and Description='Costco';Groceries"/>
    <m/>
  </r>
  <r>
    <x v="11"/>
    <d v="2019-11-30T00:00:00"/>
    <s v="POWERPLUS"/>
    <x v="399"/>
    <n v="40.909999999999997"/>
    <x v="11"/>
    <m/>
    <m/>
    <m/>
    <n v="40.909999999999997"/>
    <b v="0"/>
    <m/>
    <m/>
    <s v="-"/>
    <x v="146"/>
    <s v="Create Rule; and Description Like '%CPENERGY MNGCO%';Utilities"/>
    <m/>
  </r>
  <r>
    <x v="11"/>
    <d v="2019-11-30T00:00:00"/>
    <s v="POWERPLUS CHECKING"/>
    <x v="399"/>
    <n v="40.909999999999997"/>
    <x v="11"/>
    <m/>
    <m/>
    <m/>
    <n v="40.909999999999997"/>
    <b v="0"/>
    <m/>
    <m/>
    <s v="-"/>
    <x v="146"/>
    <s v="Create Rule; and Description Like '%CPENERGY MNGCO%';Utilities"/>
    <m/>
  </r>
  <r>
    <x v="11"/>
    <d v="2019-11-30T00:00:00"/>
    <s v="Cash Rewards Visa Signature"/>
    <x v="6"/>
    <n v="80.78"/>
    <x v="5"/>
    <m/>
    <m/>
    <m/>
    <n v="80.78"/>
    <b v="0"/>
    <m/>
    <m/>
    <s v="-"/>
    <x v="6"/>
    <s v="Create Rule; and Description Like '%Cub Foods%';Groceries"/>
    <m/>
  </r>
  <r>
    <x v="11"/>
    <d v="2019-11-30T00:00:00"/>
    <s v="Cash Rewards Visa Signature"/>
    <x v="6"/>
    <n v="132.94999999999999"/>
    <x v="5"/>
    <m/>
    <m/>
    <m/>
    <n v="132.94999999999999"/>
    <b v="0"/>
    <m/>
    <m/>
    <s v="-"/>
    <x v="6"/>
    <s v="Create Rule; and Description Like '%Cub Foods%';Groceries"/>
    <m/>
  </r>
  <r>
    <x v="11"/>
    <d v="2019-11-30T00:00:00"/>
    <s v="Cash Rewards Visa Signature"/>
    <x v="400"/>
    <n v="182.54"/>
    <x v="19"/>
    <m/>
    <m/>
    <m/>
    <n v="182.54"/>
    <b v="0"/>
    <m/>
    <m/>
    <s v="-"/>
    <x v="386"/>
    <s v="Manual"/>
    <m/>
  </r>
  <r>
    <x v="11"/>
    <d v="2019-11-30T00:00:00"/>
    <s v="Discover"/>
    <x v="401"/>
    <n v="17.66"/>
    <x v="7"/>
    <m/>
    <m/>
    <m/>
    <n v="17.66"/>
    <b v="0"/>
    <m/>
    <m/>
    <s v="-"/>
    <x v="387"/>
    <m/>
    <m/>
  </r>
  <r>
    <x v="11"/>
    <d v="2019-11-30T00:00:00"/>
    <s v="Discover More Card"/>
    <x v="401"/>
    <n v="17.66"/>
    <x v="8"/>
    <m/>
    <m/>
    <m/>
    <n v="17.66"/>
    <b v="0"/>
    <m/>
    <m/>
    <s v="-"/>
    <x v="387"/>
    <s v="Manual"/>
    <m/>
  </r>
  <r>
    <x v="11"/>
    <d v="2019-11-30T00:00:00"/>
    <s v="Cash Rewards Visa Signature"/>
    <x v="152"/>
    <n v="43.2"/>
    <x v="1"/>
    <m/>
    <m/>
    <m/>
    <n v="43.2"/>
    <b v="0"/>
    <m/>
    <m/>
    <s v="-"/>
    <x v="151"/>
    <s v="Create Rule; and Description='Excelsior Brewing';Restaurants"/>
    <m/>
  </r>
  <r>
    <x v="11"/>
    <d v="2019-11-30T00:00:00"/>
    <s v="Cash Rewards Visa Signature"/>
    <x v="402"/>
    <n v="6.5"/>
    <x v="2"/>
    <m/>
    <m/>
    <m/>
    <n v="6.5"/>
    <b v="0"/>
    <m/>
    <m/>
    <s v="-"/>
    <x v="388"/>
    <s v="Create Rule; and Description='GoGoAir';Transportation"/>
    <m/>
  </r>
  <r>
    <x v="11"/>
    <d v="2019-11-30T00:00:00"/>
    <s v="Cash Rewards Visa Signature"/>
    <x v="68"/>
    <n v="18"/>
    <x v="10"/>
    <m/>
    <m/>
    <m/>
    <n v="18"/>
    <b v="0"/>
    <m/>
    <m/>
    <s v="-"/>
    <x v="68"/>
    <s v="Create Rule; and Description='Harvard Business';Entertainment"/>
    <m/>
  </r>
  <r>
    <x v="11"/>
    <d v="2019-11-30T00:00:00"/>
    <s v="Cash Rewards Visa Signature"/>
    <x v="258"/>
    <n v="-64.45"/>
    <x v="8"/>
    <m/>
    <m/>
    <m/>
    <n v="64.45"/>
    <b v="0"/>
    <m/>
    <m/>
    <s v="+"/>
    <x v="256"/>
    <s v="Create Rule; and Description Like '%Hobby Lobby%';Shopping"/>
    <m/>
  </r>
  <r>
    <x v="11"/>
    <d v="2019-11-30T00:00:00"/>
    <s v="Cash Rewards Visa Signature"/>
    <x v="81"/>
    <n v="15.87"/>
    <x v="2"/>
    <m/>
    <m/>
    <m/>
    <n v="15.87"/>
    <b v="0"/>
    <m/>
    <m/>
    <s v="-"/>
    <x v="81"/>
    <s v="Create Rule; and Description='Holiday Stationstore';Transportation"/>
    <m/>
  </r>
  <r>
    <x v="11"/>
    <d v="2019-11-30T00:00:00"/>
    <s v="Target Credit Card"/>
    <x v="81"/>
    <n v="19.2"/>
    <x v="2"/>
    <m/>
    <m/>
    <m/>
    <n v="19.2"/>
    <b v="0"/>
    <m/>
    <m/>
    <s v="-"/>
    <x v="81"/>
    <s v="Create Rule; and Description='Holiday Stationstore';Transportation"/>
    <m/>
  </r>
  <r>
    <x v="11"/>
    <d v="2019-11-30T00:00:00"/>
    <s v="Cash Rewards Visa Signature"/>
    <x v="60"/>
    <n v="10.72"/>
    <x v="19"/>
    <m/>
    <m/>
    <m/>
    <n v="10.72"/>
    <b v="0"/>
    <m/>
    <m/>
    <s v="-"/>
    <x v="60"/>
    <s v="Create Rule; and Description='Home Depot';House Maintenance"/>
    <m/>
  </r>
  <r>
    <x v="11"/>
    <d v="2019-11-30T00:00:00"/>
    <s v="Cash Rewards Visa Signature"/>
    <x v="60"/>
    <n v="5.5"/>
    <x v="19"/>
    <m/>
    <m/>
    <m/>
    <n v="5.5"/>
    <b v="0"/>
    <m/>
    <m/>
    <s v="-"/>
    <x v="60"/>
    <s v="Create Rule; and Description='Home Depot';House Maintenance"/>
    <m/>
  </r>
  <r>
    <x v="11"/>
    <d v="2019-11-30T00:00:00"/>
    <s v="Cash Rewards Visa Signature"/>
    <x v="60"/>
    <n v="62.8"/>
    <x v="19"/>
    <m/>
    <m/>
    <m/>
    <n v="62.8"/>
    <b v="0"/>
    <m/>
    <m/>
    <s v="-"/>
    <x v="60"/>
    <s v="Create Rule; and Description='Home Depot';House Maintenance"/>
    <m/>
  </r>
  <r>
    <x v="11"/>
    <d v="2019-11-30T00:00:00"/>
    <s v="Investor Checking"/>
    <x v="118"/>
    <n v="-0.23"/>
    <x v="13"/>
    <m/>
    <m/>
    <m/>
    <n v="0.23"/>
    <b v="0"/>
    <m/>
    <m/>
    <s v="+"/>
    <x v="118"/>
    <s v="Manual"/>
    <m/>
  </r>
  <r>
    <x v="11"/>
    <d v="2019-11-30T00:00:00"/>
    <s v="Joint Tenant"/>
    <x v="403"/>
    <n v="-0.04"/>
    <x v="3"/>
    <m/>
    <m/>
    <m/>
    <n v="0.04"/>
    <b v="0"/>
    <m/>
    <m/>
    <s v="+"/>
    <x v="389"/>
    <s v="Delete; and Source='Joint Tenant';0"/>
    <m/>
  </r>
  <r>
    <x v="11"/>
    <d v="2019-11-30T00:00:00"/>
    <s v="Jeff Roth"/>
    <x v="404"/>
    <n v="2.84"/>
    <x v="7"/>
    <m/>
    <m/>
    <m/>
    <n v="2.84"/>
    <b v="0"/>
    <m/>
    <m/>
    <s v="-"/>
    <x v="390"/>
    <m/>
    <m/>
  </r>
  <r>
    <x v="11"/>
    <d v="2019-11-30T00:00:00"/>
    <s v="Roth Contributory IRA"/>
    <x v="404"/>
    <n v="2.84"/>
    <x v="7"/>
    <m/>
    <m/>
    <m/>
    <n v="2.84"/>
    <b v="0"/>
    <m/>
    <m/>
    <s v="-"/>
    <x v="390"/>
    <m/>
    <m/>
  </r>
  <r>
    <x v="11"/>
    <d v="2019-11-30T00:00:00"/>
    <s v="Britney Roth"/>
    <x v="404"/>
    <n v="0.04"/>
    <x v="7"/>
    <m/>
    <m/>
    <m/>
    <n v="0.04"/>
    <b v="0"/>
    <m/>
    <m/>
    <s v="-"/>
    <x v="390"/>
    <m/>
    <m/>
  </r>
  <r>
    <x v="11"/>
    <d v="2019-11-30T00:00:00"/>
    <s v="Roth Contributory IRA"/>
    <x v="404"/>
    <n v="0.04"/>
    <x v="7"/>
    <m/>
    <m/>
    <m/>
    <n v="0.04"/>
    <b v="0"/>
    <m/>
    <m/>
    <s v="-"/>
    <x v="390"/>
    <m/>
    <m/>
  </r>
  <r>
    <x v="11"/>
    <d v="2019-11-30T00:00:00"/>
    <s v="Joint Tenant"/>
    <x v="167"/>
    <n v="-200"/>
    <x v="21"/>
    <m/>
    <m/>
    <m/>
    <n v="200"/>
    <b v="0"/>
    <m/>
    <m/>
    <s v="+"/>
    <x v="166"/>
    <s v="Create Rule; and Description='KAUFMAN HALL';Savings"/>
    <m/>
  </r>
  <r>
    <x v="11"/>
    <d v="2019-11-30T00:00:00"/>
    <s v="Joint Tenant"/>
    <x v="167"/>
    <n v="-200"/>
    <x v="21"/>
    <m/>
    <m/>
    <m/>
    <n v="200"/>
    <b v="0"/>
    <m/>
    <m/>
    <s v="+"/>
    <x v="166"/>
    <s v="Create Rule; and Description='KAUFMAN HALL';Savings"/>
    <m/>
  </r>
  <r>
    <x v="11"/>
    <d v="2019-11-30T00:00:00"/>
    <s v="POWERPLUS"/>
    <x v="405"/>
    <n v="-2344.69"/>
    <x v="15"/>
    <m/>
    <m/>
    <m/>
    <n v="2344.69"/>
    <b v="0"/>
    <m/>
    <m/>
    <s v="+"/>
    <x v="391"/>
    <s v="Create Rule; and Description Like '%KAUFMAN HALL TYPE DIRECT DEP ID%';Inc - Jeff"/>
    <m/>
  </r>
  <r>
    <x v="11"/>
    <d v="2019-11-30T00:00:00"/>
    <s v="POWERPLUS CHECKING"/>
    <x v="405"/>
    <n v="-2344.69"/>
    <x v="15"/>
    <m/>
    <m/>
    <m/>
    <n v="2344.69"/>
    <b v="0"/>
    <m/>
    <m/>
    <s v="+"/>
    <x v="391"/>
    <s v="Create Rule; and Description Like '%KAUFMAN HALL TYPE DIRECT DEP ID%';Inc - Jeff"/>
    <m/>
  </r>
  <r>
    <x v="11"/>
    <d v="2019-11-30T00:00:00"/>
    <s v="POWERPLUS"/>
    <x v="406"/>
    <n v="-2794.7"/>
    <x v="15"/>
    <m/>
    <m/>
    <m/>
    <n v="2794.7"/>
    <b v="0"/>
    <m/>
    <m/>
    <s v="+"/>
    <x v="392"/>
    <s v="Create Rule; and Description Like '%KAUFMAN HALL TYPE DIRECT DEP ID%';Inc - Jeff"/>
    <m/>
  </r>
  <r>
    <x v="11"/>
    <d v="2019-11-30T00:00:00"/>
    <s v="POWERPLUS CHECKING"/>
    <x v="406"/>
    <n v="-2794.7"/>
    <x v="15"/>
    <m/>
    <m/>
    <m/>
    <n v="2794.7"/>
    <b v="0"/>
    <m/>
    <m/>
    <s v="+"/>
    <x v="392"/>
    <s v="Create Rule; and Description Like '%KAUFMAN HALL TYPE DIRECT DEP ID%';Inc - Jeff"/>
    <m/>
  </r>
  <r>
    <x v="11"/>
    <d v="2019-11-30T00:00:00"/>
    <s v="Cash Rewards Visa Signature"/>
    <x v="407"/>
    <n v="31.89"/>
    <x v="1"/>
    <m/>
    <m/>
    <m/>
    <n v="31.89"/>
    <b v="0"/>
    <m/>
    <m/>
    <s v="-"/>
    <x v="393"/>
    <s v="Create Rule; and Description Like '%LIFE TIME CAFE%';Restaurants"/>
    <m/>
  </r>
  <r>
    <x v="11"/>
    <d v="2019-11-30T00:00:00"/>
    <s v="Cash Rewards Visa Signature"/>
    <x v="408"/>
    <n v="60.87"/>
    <x v="1"/>
    <m/>
    <m/>
    <m/>
    <n v="60.87"/>
    <b v="0"/>
    <m/>
    <m/>
    <s v="-"/>
    <x v="394"/>
    <s v="Create Rule; and Description Like '%LIFE TIME CAFE%';Restaurants"/>
    <m/>
  </r>
  <r>
    <x v="11"/>
    <d v="2019-11-30T00:00:00"/>
    <s v="Cash Rewards Visa Signature"/>
    <x v="409"/>
    <n v="60.87"/>
    <x v="1"/>
    <m/>
    <m/>
    <m/>
    <n v="60.87"/>
    <b v="0"/>
    <m/>
    <m/>
    <s v="-"/>
    <x v="395"/>
    <s v="Create Rule; and Description Like '%LIFE TIME CAFE%';Restaurants"/>
    <m/>
  </r>
  <r>
    <x v="11"/>
    <d v="2019-11-30T00:00:00"/>
    <s v="Discover"/>
    <x v="214"/>
    <n v="31.36"/>
    <x v="2"/>
    <m/>
    <m/>
    <m/>
    <n v="31.36"/>
    <b v="0"/>
    <m/>
    <m/>
    <s v="-"/>
    <x v="213"/>
    <s v="Create Rule; and Description='Lyft';Transportation"/>
    <m/>
  </r>
  <r>
    <x v="11"/>
    <d v="2019-11-30T00:00:00"/>
    <s v="Discover More Card"/>
    <x v="214"/>
    <n v="31.36"/>
    <x v="2"/>
    <m/>
    <m/>
    <m/>
    <n v="31.36"/>
    <b v="0"/>
    <m/>
    <m/>
    <s v="-"/>
    <x v="213"/>
    <s v="Create Rule; and Description='Lyft';Transportation"/>
    <m/>
  </r>
  <r>
    <x v="11"/>
    <d v="2019-11-30T00:00:00"/>
    <s v="Discover"/>
    <x v="99"/>
    <n v="12.99"/>
    <x v="11"/>
    <m/>
    <m/>
    <m/>
    <n v="12.99"/>
    <b v="0"/>
    <m/>
    <m/>
    <s v="-"/>
    <x v="99"/>
    <s v="Create Rule; and Description='Netflix';Utilities"/>
    <m/>
  </r>
  <r>
    <x v="11"/>
    <d v="2019-11-30T00:00:00"/>
    <s v="Discover More Card"/>
    <x v="99"/>
    <n v="12.99"/>
    <x v="11"/>
    <m/>
    <m/>
    <m/>
    <n v="12.99"/>
    <b v="0"/>
    <m/>
    <m/>
    <s v="-"/>
    <x v="99"/>
    <s v="Create Rule; and Description='Netflix';Utilities"/>
    <m/>
  </r>
  <r>
    <x v="11"/>
    <d v="2019-11-30T00:00:00"/>
    <s v="POWERPLUS"/>
    <x v="308"/>
    <n v="40.21"/>
    <x v="8"/>
    <m/>
    <m/>
    <m/>
    <n v="40.21"/>
    <b v="0"/>
    <m/>
    <m/>
    <s v="-"/>
    <x v="300"/>
    <s v="Create Rule; and Description='Nordstrom';Shopping"/>
    <m/>
  </r>
  <r>
    <x v="11"/>
    <d v="2019-11-30T00:00:00"/>
    <s v="POWERPLUS CHECKING"/>
    <x v="308"/>
    <n v="40.21"/>
    <x v="8"/>
    <m/>
    <m/>
    <m/>
    <n v="40.21"/>
    <b v="0"/>
    <m/>
    <m/>
    <s v="-"/>
    <x v="300"/>
    <s v="Create Rule; and Description='Nordstrom';Shopping"/>
    <m/>
  </r>
  <r>
    <x v="11"/>
    <d v="2019-11-30T00:00:00"/>
    <s v="Discover"/>
    <x v="177"/>
    <n v="46.67"/>
    <x v="1"/>
    <m/>
    <m/>
    <m/>
    <n v="46.67"/>
    <b v="0"/>
    <m/>
    <m/>
    <s v="-"/>
    <x v="176"/>
    <s v="Create Rule; and Description='NORTH COOP CHAHASSEN MN';Restaurants"/>
    <m/>
  </r>
  <r>
    <x v="11"/>
    <d v="2019-11-30T00:00:00"/>
    <s v="Discover More Card"/>
    <x v="177"/>
    <n v="46.67"/>
    <x v="1"/>
    <m/>
    <m/>
    <m/>
    <n v="46.67"/>
    <b v="0"/>
    <m/>
    <m/>
    <s v="-"/>
    <x v="176"/>
    <s v="Create Rule; and Description='NORTH COOP CHAHASSEN MN';Restaurants"/>
    <m/>
  </r>
  <r>
    <x v="11"/>
    <d v="2019-11-30T00:00:00"/>
    <s v="Target Credit Card"/>
    <x v="189"/>
    <n v="35.57"/>
    <x v="1"/>
    <m/>
    <m/>
    <m/>
    <n v="35.57"/>
    <b v="0"/>
    <m/>
    <m/>
    <s v="-"/>
    <x v="188"/>
    <s v="Create Rule; and Description='Olives Fresh Pizza Bar';Restaurants"/>
    <m/>
  </r>
  <r>
    <x v="11"/>
    <d v="2019-11-30T00:00:00"/>
    <s v="Cash Rewards Visa Signature"/>
    <x v="410"/>
    <n v="61"/>
    <x v="10"/>
    <m/>
    <m/>
    <m/>
    <n v="61"/>
    <b v="0"/>
    <m/>
    <m/>
    <s v="-"/>
    <x v="396"/>
    <s v="Manual"/>
    <m/>
  </r>
  <r>
    <x v="11"/>
    <d v="2019-11-30T00:00:00"/>
    <s v="POWERPLUS"/>
    <x v="157"/>
    <n v="7.43"/>
    <x v="8"/>
    <m/>
    <m/>
    <m/>
    <n v="7.43"/>
    <b v="0"/>
    <m/>
    <m/>
    <s v="-"/>
    <x v="156"/>
    <s v="Create Rule; and Description Like '%PayPal%';Shopping"/>
    <m/>
  </r>
  <r>
    <x v="11"/>
    <d v="2019-11-30T00:00:00"/>
    <s v="POWERPLUS CHECKING"/>
    <x v="157"/>
    <n v="7.43"/>
    <x v="8"/>
    <m/>
    <m/>
    <m/>
    <n v="7.43"/>
    <b v="0"/>
    <m/>
    <m/>
    <s v="-"/>
    <x v="156"/>
    <s v="Create Rule; and Description Like '%PayPal%';Shopping"/>
    <m/>
  </r>
  <r>
    <x v="11"/>
    <d v="2019-11-30T00:00:00"/>
    <s v="Cash Rewards Visa Signature"/>
    <x v="411"/>
    <n v="-67.2"/>
    <x v="8"/>
    <m/>
    <m/>
    <m/>
    <n v="67.2"/>
    <b v="0"/>
    <m/>
    <m/>
    <s v="+"/>
    <x v="397"/>
    <s v="Manual"/>
    <m/>
  </r>
  <r>
    <x v="11"/>
    <d v="2019-11-30T00:00:00"/>
    <s v="Cash Rewards Visa Signature"/>
    <x v="412"/>
    <n v="191.2"/>
    <x v="8"/>
    <m/>
    <m/>
    <m/>
    <n v="191.2"/>
    <b v="0"/>
    <m/>
    <m/>
    <s v="-"/>
    <x v="398"/>
    <s v="Manual"/>
    <m/>
  </r>
  <r>
    <x v="11"/>
    <d v="2019-11-30T00:00:00"/>
    <s v="Cash Rewards Visa Signature"/>
    <x v="413"/>
    <n v="82"/>
    <x v="8"/>
    <m/>
    <m/>
    <m/>
    <n v="82"/>
    <b v="0"/>
    <m/>
    <m/>
    <s v="-"/>
    <x v="399"/>
    <s v="Manual"/>
    <m/>
  </r>
  <r>
    <x v="11"/>
    <d v="2019-11-30T00:00:00"/>
    <s v="Cash Rewards Visa Signature"/>
    <x v="414"/>
    <n v="140.97999999999999"/>
    <x v="8"/>
    <m/>
    <m/>
    <m/>
    <n v="140.97999999999999"/>
    <b v="0"/>
    <m/>
    <m/>
    <s v="-"/>
    <x v="400"/>
    <s v="Manual"/>
    <m/>
  </r>
  <r>
    <x v="11"/>
    <d v="2019-11-30T00:00:00"/>
    <s v="Joint Tenant"/>
    <x v="169"/>
    <n v="-28.57"/>
    <x v="23"/>
    <m/>
    <m/>
    <m/>
    <n v="28.57"/>
    <b v="0"/>
    <m/>
    <m/>
    <s v="+"/>
    <x v="168"/>
    <s v="Create Rule; and Description='PROCTER &amp; GAMBLE';Dividend"/>
    <m/>
  </r>
  <r>
    <x v="11"/>
    <d v="2019-11-30T00:00:00"/>
    <s v="Joint Tenant"/>
    <x v="169"/>
    <n v="28.57"/>
    <x v="23"/>
    <m/>
    <m/>
    <m/>
    <n v="28.57"/>
    <b v="0"/>
    <m/>
    <m/>
    <s v="-"/>
    <x v="168"/>
    <s v="Create Rule; and Description='PROCTER &amp; GAMBLE';Dividend"/>
    <m/>
  </r>
  <r>
    <x v="11"/>
    <d v="2019-11-30T00:00:00"/>
    <s v="Britney Roth"/>
    <x v="19"/>
    <n v="150"/>
    <x v="3"/>
    <m/>
    <m/>
    <m/>
    <n v="150"/>
    <b v="0"/>
    <m/>
    <m/>
    <s v="-"/>
    <x v="19"/>
    <s v="Delete; and Description='SCHWAB S&amp;P 500 INDEX FD' and inflowoutflow='-';0"/>
    <m/>
  </r>
  <r>
    <x v="11"/>
    <d v="2019-11-30T00:00:00"/>
    <s v="Roth Contributory IRA"/>
    <x v="19"/>
    <n v="150"/>
    <x v="3"/>
    <m/>
    <m/>
    <m/>
    <n v="150"/>
    <b v="0"/>
    <m/>
    <m/>
    <s v="-"/>
    <x v="19"/>
    <s v="Delete; and Description='SCHWAB S&amp;P 500 INDEX FD' and inflowoutflow='-';0"/>
    <m/>
  </r>
  <r>
    <x v="11"/>
    <d v="2019-11-30T00:00:00"/>
    <s v="Jeff Roth"/>
    <x v="271"/>
    <n v="100"/>
    <x v="3"/>
    <m/>
    <m/>
    <m/>
    <n v="100"/>
    <b v="0"/>
    <m/>
    <m/>
    <s v="-"/>
    <x v="267"/>
    <s v="Delete; and Description='SCHWAB US LARGE CAP GROWTH INDEX FD' and inflowoutflow='-';0"/>
    <m/>
  </r>
  <r>
    <x v="11"/>
    <d v="2019-11-30T00:00:00"/>
    <s v="Roth Contributory IRA"/>
    <x v="271"/>
    <n v="100"/>
    <x v="3"/>
    <m/>
    <m/>
    <m/>
    <n v="100"/>
    <b v="0"/>
    <m/>
    <m/>
    <s v="-"/>
    <x v="267"/>
    <s v="Delete; and Description='SCHWAB US LARGE CAP GROWTH INDEX FD' and inflowoutflow='-';0"/>
    <m/>
  </r>
  <r>
    <x v="11"/>
    <d v="2019-11-30T00:00:00"/>
    <s v="Joint Tenant"/>
    <x v="415"/>
    <n v="-0.66"/>
    <x v="13"/>
    <m/>
    <m/>
    <m/>
    <n v="0.66"/>
    <b v="0"/>
    <m/>
    <m/>
    <s v="+"/>
    <x v="401"/>
    <s v="Create Rule; and Description Like '%SCHWAB1 INT%';Inc - Other"/>
    <m/>
  </r>
  <r>
    <x v="11"/>
    <d v="2019-11-30T00:00:00"/>
    <s v="Discover"/>
    <x v="2"/>
    <n v="40.68"/>
    <x v="2"/>
    <m/>
    <m/>
    <m/>
    <n v="40.68"/>
    <b v="0"/>
    <m/>
    <m/>
    <s v="-"/>
    <x v="2"/>
    <s v="Create Rule; and Description='Speedway';Transportation"/>
    <m/>
  </r>
  <r>
    <x v="11"/>
    <d v="2019-11-30T00:00:00"/>
    <s v="Discover More Card"/>
    <x v="2"/>
    <n v="40.68"/>
    <x v="2"/>
    <m/>
    <m/>
    <m/>
    <n v="40.68"/>
    <b v="0"/>
    <m/>
    <m/>
    <s v="-"/>
    <x v="2"/>
    <s v="Create Rule; and Description='Speedway';Transportation"/>
    <m/>
  </r>
  <r>
    <x v="11"/>
    <d v="2019-11-30T00:00:00"/>
    <s v="Cash Rewards Visa Signature"/>
    <x v="2"/>
    <n v="16.149999999999999"/>
    <x v="2"/>
    <m/>
    <m/>
    <m/>
    <n v="16.149999999999999"/>
    <b v="0"/>
    <m/>
    <m/>
    <s v="-"/>
    <x v="2"/>
    <s v="Create Rule; and Description='Speedway';Transportation"/>
    <m/>
  </r>
  <r>
    <x v="11"/>
    <d v="2019-11-30T00:00:00"/>
    <s v="Cash Rewards Visa Signature"/>
    <x v="2"/>
    <n v="36.49"/>
    <x v="2"/>
    <m/>
    <m/>
    <m/>
    <n v="36.49"/>
    <b v="0"/>
    <m/>
    <m/>
    <s v="-"/>
    <x v="2"/>
    <s v="Create Rule; and Description='Speedway';Transportation"/>
    <m/>
  </r>
  <r>
    <x v="11"/>
    <d v="2019-11-30T00:00:00"/>
    <s v="RAINY DAY"/>
    <x v="119"/>
    <n v="-19.22"/>
    <x v="13"/>
    <m/>
    <m/>
    <m/>
    <n v="19.22"/>
    <b v="0"/>
    <m/>
    <m/>
    <s v="+"/>
    <x v="119"/>
    <s v="Create Rule; and Description='Split Rate Apy';Inc - Other"/>
    <m/>
  </r>
  <r>
    <x v="11"/>
    <d v="2019-11-30T00:00:00"/>
    <s v="POWERPLUS"/>
    <x v="119"/>
    <n v="-37.020000000000003"/>
    <x v="13"/>
    <m/>
    <m/>
    <m/>
    <n v="37.020000000000003"/>
    <b v="0"/>
    <m/>
    <m/>
    <s v="+"/>
    <x v="119"/>
    <s v="Create Rule; and Description='Split Rate Apy';Inc - Other"/>
    <m/>
  </r>
  <r>
    <x v="11"/>
    <d v="2019-11-30T00:00:00"/>
    <s v="RAINY DAY SAVINGS"/>
    <x v="119"/>
    <n v="-19.22"/>
    <x v="13"/>
    <m/>
    <m/>
    <m/>
    <n v="19.22"/>
    <b v="0"/>
    <m/>
    <m/>
    <s v="+"/>
    <x v="119"/>
    <s v="Create Rule; and Description='Split Rate Apy';Inc - Other"/>
    <m/>
  </r>
  <r>
    <x v="11"/>
    <d v="2019-11-30T00:00:00"/>
    <s v="POWERPLUS CHECKING"/>
    <x v="119"/>
    <n v="-37.020000000000003"/>
    <x v="13"/>
    <m/>
    <m/>
    <m/>
    <n v="37.020000000000003"/>
    <b v="0"/>
    <m/>
    <m/>
    <s v="+"/>
    <x v="119"/>
    <s v="Create Rule; and Description='Split Rate Apy';Inc - Other"/>
    <m/>
  </r>
  <r>
    <x v="11"/>
    <d v="2019-11-30T00:00:00"/>
    <s v="Cash Rewards Visa Signature"/>
    <x v="416"/>
    <n v="53.44"/>
    <x v="8"/>
    <m/>
    <m/>
    <m/>
    <n v="53.44"/>
    <b v="0"/>
    <m/>
    <m/>
    <s v="-"/>
    <x v="402"/>
    <s v="Manual"/>
    <m/>
  </r>
  <r>
    <x v="11"/>
    <d v="2019-11-30T00:00:00"/>
    <s v="Cash Rewards Visa Signature"/>
    <x v="417"/>
    <n v="53.44"/>
    <x v="7"/>
    <m/>
    <m/>
    <m/>
    <n v="53.44"/>
    <b v="0"/>
    <m/>
    <m/>
    <s v="-"/>
    <x v="403"/>
    <m/>
    <m/>
  </r>
  <r>
    <x v="11"/>
    <d v="2019-11-30T00:00:00"/>
    <s v="Joint Tenant"/>
    <x v="190"/>
    <n v="-18.61"/>
    <x v="1"/>
    <m/>
    <m/>
    <m/>
    <n v="18.61"/>
    <b v="0"/>
    <m/>
    <m/>
    <s v="+"/>
    <x v="189"/>
    <s v="Create Rule; and Description='STARBUCKS CORP';Restaurants"/>
    <m/>
  </r>
  <r>
    <x v="11"/>
    <d v="2019-11-30T00:00:00"/>
    <s v="Cash Rewards Visa Signature"/>
    <x v="120"/>
    <n v="214.71"/>
    <x v="8"/>
    <m/>
    <m/>
    <m/>
    <n v="214.71"/>
    <b v="0"/>
    <m/>
    <m/>
    <s v="-"/>
    <x v="120"/>
    <s v="Create Rule; and Description='Sur La Table';Shopping"/>
    <m/>
  </r>
  <r>
    <x v="11"/>
    <d v="2019-11-30T00:00:00"/>
    <s v="POWERPLUS"/>
    <x v="34"/>
    <n v="106.69"/>
    <x v="12"/>
    <m/>
    <m/>
    <m/>
    <n v="106.69"/>
    <b v="0"/>
    <m/>
    <m/>
    <s v="-"/>
    <x v="34"/>
    <s v="Create Rule; and Description='Target';Target"/>
    <m/>
  </r>
  <r>
    <x v="11"/>
    <d v="2019-11-30T00:00:00"/>
    <s v="POWERPLUS CHECKING"/>
    <x v="34"/>
    <n v="106.69"/>
    <x v="12"/>
    <m/>
    <m/>
    <m/>
    <n v="106.69"/>
    <b v="0"/>
    <m/>
    <m/>
    <s v="-"/>
    <x v="34"/>
    <s v="Create Rule; and Description='Target';Target"/>
    <m/>
  </r>
  <r>
    <x v="11"/>
    <d v="2019-11-30T00:00:00"/>
    <s v="Target Credit Card"/>
    <x v="34"/>
    <n v="220.77"/>
    <x v="12"/>
    <m/>
    <m/>
    <m/>
    <n v="220.77"/>
    <b v="0"/>
    <m/>
    <m/>
    <s v="-"/>
    <x v="34"/>
    <s v="Create Rule; and Description='Target';Target"/>
    <m/>
  </r>
  <r>
    <x v="11"/>
    <d v="2019-11-30T00:00:00"/>
    <s v="Target Credit Card"/>
    <x v="34"/>
    <n v="43.69"/>
    <x v="12"/>
    <m/>
    <m/>
    <m/>
    <n v="43.69"/>
    <b v="0"/>
    <m/>
    <m/>
    <s v="-"/>
    <x v="34"/>
    <s v="Create Rule; and Description='Target';Target"/>
    <m/>
  </r>
  <r>
    <x v="11"/>
    <d v="2019-11-30T00:00:00"/>
    <s v="Target Credit Card"/>
    <x v="34"/>
    <n v="89.28"/>
    <x v="12"/>
    <m/>
    <m/>
    <m/>
    <n v="89.28"/>
    <b v="0"/>
    <m/>
    <m/>
    <s v="-"/>
    <x v="34"/>
    <s v="Create Rule; and Description='Target';Target"/>
    <m/>
  </r>
  <r>
    <x v="11"/>
    <d v="2019-11-30T00:00:00"/>
    <s v="Target Credit Card"/>
    <x v="34"/>
    <n v="51.81"/>
    <x v="12"/>
    <m/>
    <m/>
    <m/>
    <n v="51.81"/>
    <b v="0"/>
    <m/>
    <m/>
    <s v="-"/>
    <x v="34"/>
    <s v="Create Rule; and Description='Target';Target"/>
    <m/>
  </r>
  <r>
    <x v="11"/>
    <d v="2019-11-30T00:00:00"/>
    <s v="Target Credit Card"/>
    <x v="34"/>
    <n v="82.53"/>
    <x v="12"/>
    <m/>
    <m/>
    <m/>
    <n v="82.53"/>
    <b v="0"/>
    <m/>
    <m/>
    <s v="-"/>
    <x v="34"/>
    <s v="Create Rule; and Description='Target';Target"/>
    <m/>
  </r>
  <r>
    <x v="11"/>
    <d v="2019-11-30T00:00:00"/>
    <s v="Target Credit Card"/>
    <x v="34"/>
    <n v="32.61"/>
    <x v="12"/>
    <m/>
    <m/>
    <m/>
    <n v="32.61"/>
    <b v="0"/>
    <m/>
    <m/>
    <s v="-"/>
    <x v="34"/>
    <s v="Create Rule; and Description='Target';Target"/>
    <m/>
  </r>
  <r>
    <x v="11"/>
    <d v="2019-11-30T00:00:00"/>
    <s v="Target Credit Card"/>
    <x v="34"/>
    <n v="134.86000000000001"/>
    <x v="12"/>
    <m/>
    <m/>
    <m/>
    <n v="134.86000000000001"/>
    <b v="0"/>
    <m/>
    <m/>
    <s v="-"/>
    <x v="34"/>
    <s v="Create Rule; and Description='Target';Target"/>
    <m/>
  </r>
  <r>
    <x v="11"/>
    <d v="2019-11-30T00:00:00"/>
    <s v="Target Credit Card"/>
    <x v="34"/>
    <n v="11.21"/>
    <x v="12"/>
    <m/>
    <m/>
    <m/>
    <n v="11.21"/>
    <b v="0"/>
    <m/>
    <m/>
    <s v="-"/>
    <x v="34"/>
    <s v="Create Rule; and Description='Target';Target"/>
    <m/>
  </r>
  <r>
    <x v="11"/>
    <d v="2019-11-30T00:00:00"/>
    <s v="Target Credit Card"/>
    <x v="34"/>
    <n v="18.350000000000001"/>
    <x v="12"/>
    <m/>
    <m/>
    <m/>
    <n v="18.350000000000001"/>
    <b v="0"/>
    <m/>
    <m/>
    <s v="-"/>
    <x v="34"/>
    <s v="Create Rule; and Description='Target';Target"/>
    <m/>
  </r>
  <r>
    <x v="11"/>
    <d v="2019-11-30T00:00:00"/>
    <s v="Target Credit Card"/>
    <x v="34"/>
    <n v="71.400000000000006"/>
    <x v="12"/>
    <m/>
    <m/>
    <m/>
    <n v="71.400000000000006"/>
    <b v="0"/>
    <m/>
    <m/>
    <s v="-"/>
    <x v="34"/>
    <s v="Create Rule; and Description='Target';Target"/>
    <m/>
  </r>
  <r>
    <x v="11"/>
    <d v="2019-11-30T00:00:00"/>
    <s v="Target Credit Card"/>
    <x v="34"/>
    <n v="32.299999999999997"/>
    <x v="12"/>
    <m/>
    <m/>
    <m/>
    <n v="32.299999999999997"/>
    <b v="0"/>
    <m/>
    <m/>
    <s v="-"/>
    <x v="34"/>
    <s v="Create Rule; and Description='Target';Target"/>
    <m/>
  </r>
  <r>
    <x v="11"/>
    <d v="2019-11-30T00:00:00"/>
    <s v="Target Credit Card"/>
    <x v="34"/>
    <n v="28.49"/>
    <x v="12"/>
    <m/>
    <m/>
    <m/>
    <n v="28.49"/>
    <b v="0"/>
    <m/>
    <m/>
    <s v="-"/>
    <x v="34"/>
    <s v="Create Rule; and Description='Target';Target"/>
    <m/>
  </r>
  <r>
    <x v="11"/>
    <d v="2019-11-30T00:00:00"/>
    <s v="Target Credit Card"/>
    <x v="34"/>
    <n v="40.79"/>
    <x v="12"/>
    <m/>
    <m/>
    <m/>
    <n v="40.79"/>
    <b v="0"/>
    <m/>
    <m/>
    <s v="-"/>
    <x v="34"/>
    <s v="Create Rule; and Description='Target';Target"/>
    <m/>
  </r>
  <r>
    <x v="11"/>
    <d v="2019-11-30T00:00:00"/>
    <s v="Britney Roth"/>
    <x v="51"/>
    <n v="-150"/>
    <x v="17"/>
    <m/>
    <m/>
    <m/>
    <n v="150"/>
    <b v="0"/>
    <m/>
    <m/>
    <s v="+"/>
    <x v="51"/>
    <s v="Create Rule; and Description='Tfr JPMORGAN CHASE BAN, CARGILL COCOA &amp;';Roth"/>
    <m/>
  </r>
  <r>
    <x v="11"/>
    <d v="2019-11-30T00:00:00"/>
    <s v="Roth Contributory IRA"/>
    <x v="51"/>
    <n v="-150"/>
    <x v="17"/>
    <m/>
    <m/>
    <m/>
    <n v="150"/>
    <b v="0"/>
    <m/>
    <m/>
    <s v="+"/>
    <x v="51"/>
    <s v="Create Rule; and Description='Tfr JPMORGAN CHASE BAN, CARGILL COCOA &amp;';Roth"/>
    <m/>
  </r>
  <r>
    <x v="11"/>
    <d v="2019-11-30T00:00:00"/>
    <s v="Cash Rewards Visa Signature"/>
    <x v="418"/>
    <n v="26.62"/>
    <x v="1"/>
    <m/>
    <m/>
    <m/>
    <n v="26.62"/>
    <b v="0"/>
    <m/>
    <m/>
    <s v="-"/>
    <x v="404"/>
    <s v="Create Rule; and Description='THR3 JACK MINNEAPOLIS MN 265419534';Restaurants"/>
    <m/>
  </r>
  <r>
    <x v="11"/>
    <d v="2019-11-30T00:00:00"/>
    <s v="Cash Rewards Visa Signature"/>
    <x v="419"/>
    <n v="67.709999999999994"/>
    <x v="5"/>
    <m/>
    <m/>
    <m/>
    <n v="67.709999999999994"/>
    <b v="0"/>
    <m/>
    <m/>
    <s v="-"/>
    <x v="405"/>
    <s v="Manual"/>
    <m/>
  </r>
  <r>
    <x v="11"/>
    <d v="2019-11-30T00:00:00"/>
    <s v="Cash Rewards Visa Signature"/>
    <x v="100"/>
    <n v="7.61"/>
    <x v="5"/>
    <m/>
    <m/>
    <m/>
    <n v="7.61"/>
    <b v="0"/>
    <m/>
    <m/>
    <s v="-"/>
    <x v="100"/>
    <s v="Create Rule; and Description like '%Trader Joe%';Groceries"/>
    <m/>
  </r>
  <r>
    <x v="11"/>
    <d v="2019-11-30T00:00:00"/>
    <s v="RAINY DAY"/>
    <x v="3"/>
    <n v="-200"/>
    <x v="3"/>
    <m/>
    <m/>
    <m/>
    <n v="200"/>
    <b v="0"/>
    <m/>
    <m/>
    <s v="+"/>
    <x v="3"/>
    <s v="Delete; and Description='Transfer from POWERPLUS CHECKING';0"/>
    <m/>
  </r>
  <r>
    <x v="11"/>
    <d v="2019-11-30T00:00:00"/>
    <s v="Cash Rewards Visa Signature"/>
    <x v="3"/>
    <n v="-507.8"/>
    <x v="3"/>
    <m/>
    <m/>
    <m/>
    <n v="507.8"/>
    <b v="0"/>
    <m/>
    <m/>
    <s v="+"/>
    <x v="3"/>
    <s v="Delete; and Description='Transfer from POWERPLUS CHECKING';0"/>
    <m/>
  </r>
  <r>
    <x v="11"/>
    <d v="2019-11-30T00:00:00"/>
    <s v="RAINY DAY SAVINGS"/>
    <x v="3"/>
    <n v="-200"/>
    <x v="3"/>
    <m/>
    <m/>
    <m/>
    <n v="200"/>
    <b v="0"/>
    <m/>
    <m/>
    <s v="+"/>
    <x v="3"/>
    <s v="Delete; and Description='Transfer from POWERPLUS CHECKING';0"/>
    <m/>
  </r>
  <r>
    <x v="11"/>
    <d v="2019-11-30T00:00:00"/>
    <s v="POWERPLUS"/>
    <x v="4"/>
    <n v="507.8"/>
    <x v="3"/>
    <m/>
    <m/>
    <m/>
    <n v="507.8"/>
    <b v="0"/>
    <m/>
    <m/>
    <s v="-"/>
    <x v="4"/>
    <s v="Delete; and Description Like '%Transfer to Cash Rewards Visa Signature%';0"/>
    <m/>
  </r>
  <r>
    <x v="11"/>
    <d v="2019-11-30T00:00:00"/>
    <s v="POWERPLUS CHECKING"/>
    <x v="4"/>
    <n v="507.8"/>
    <x v="3"/>
    <m/>
    <m/>
    <m/>
    <n v="507.8"/>
    <b v="0"/>
    <m/>
    <m/>
    <s v="-"/>
    <x v="4"/>
    <s v="Delete; and Description Like '%Transfer to Cash Rewards Visa Signature%';0"/>
    <m/>
  </r>
  <r>
    <x v="11"/>
    <d v="2019-11-30T00:00:00"/>
    <s v="POWERPLUS"/>
    <x v="92"/>
    <n v="200"/>
    <x v="21"/>
    <m/>
    <m/>
    <m/>
    <n v="200"/>
    <b v="0"/>
    <m/>
    <m/>
    <s v="-"/>
    <x v="92"/>
    <s v="Create Rule; and Description='Transfer to RAINY DAY SAVINGS';Savings"/>
    <m/>
  </r>
  <r>
    <x v="11"/>
    <d v="2019-11-30T00:00:00"/>
    <s v="POWERPLUS CHECKING"/>
    <x v="92"/>
    <n v="200"/>
    <x v="21"/>
    <m/>
    <m/>
    <m/>
    <n v="200"/>
    <b v="0"/>
    <m/>
    <m/>
    <s v="-"/>
    <x v="92"/>
    <s v="Create Rule; and Description='Transfer to RAINY DAY SAVINGS';Savings"/>
    <m/>
  </r>
  <r>
    <x v="11"/>
    <d v="2019-11-30T00:00:00"/>
    <s v="Joint Tenant"/>
    <x v="420"/>
    <n v="-1000"/>
    <x v="3"/>
    <m/>
    <m/>
    <m/>
    <n v="1000"/>
    <b v="0"/>
    <m/>
    <m/>
    <s v="+"/>
    <x v="406"/>
    <s v="Delete; and Source='Joint Tenant';0"/>
    <m/>
  </r>
  <r>
    <x v="11"/>
    <d v="2019-11-30T00:00:00"/>
    <s v="POWERPLUS"/>
    <x v="29"/>
    <n v="100"/>
    <x v="7"/>
    <m/>
    <m/>
    <m/>
    <n v="100"/>
    <b v="0"/>
    <m/>
    <m/>
    <s v="-"/>
    <x v="29"/>
    <m/>
    <m/>
  </r>
  <r>
    <x v="11"/>
    <d v="2019-11-30T00:00:00"/>
    <s v="POWERPLUS"/>
    <x v="29"/>
    <n v="9"/>
    <x v="7"/>
    <m/>
    <m/>
    <m/>
    <n v="9"/>
    <b v="0"/>
    <m/>
    <m/>
    <s v="-"/>
    <x v="29"/>
    <m/>
    <m/>
  </r>
  <r>
    <x v="11"/>
    <d v="2019-11-30T00:00:00"/>
    <s v="POWERPLUS"/>
    <x v="29"/>
    <n v="26"/>
    <x v="7"/>
    <m/>
    <m/>
    <m/>
    <n v="26"/>
    <b v="0"/>
    <m/>
    <m/>
    <s v="-"/>
    <x v="29"/>
    <m/>
    <m/>
  </r>
  <r>
    <x v="11"/>
    <d v="2019-11-30T00:00:00"/>
    <s v="POWERPLUS CHECKING"/>
    <x v="29"/>
    <n v="100"/>
    <x v="8"/>
    <m/>
    <m/>
    <m/>
    <n v="100"/>
    <b v="0"/>
    <m/>
    <m/>
    <s v="-"/>
    <x v="29"/>
    <s v="Manual"/>
    <m/>
  </r>
  <r>
    <x v="11"/>
    <d v="2019-11-30T00:00:00"/>
    <s v="POWERPLUS CHECKING"/>
    <x v="29"/>
    <n v="9"/>
    <x v="8"/>
    <m/>
    <m/>
    <m/>
    <n v="9"/>
    <b v="0"/>
    <m/>
    <m/>
    <s v="-"/>
    <x v="29"/>
    <s v="Manual"/>
    <m/>
  </r>
  <r>
    <x v="11"/>
    <d v="2019-11-30T00:00:00"/>
    <s v="POWERPLUS CHECKING"/>
    <x v="29"/>
    <n v="26"/>
    <x v="8"/>
    <m/>
    <m/>
    <m/>
    <n v="26"/>
    <b v="0"/>
    <m/>
    <m/>
    <s v="-"/>
    <x v="29"/>
    <s v="Manual"/>
    <m/>
  </r>
  <r>
    <x v="11"/>
    <d v="2019-11-30T00:00:00"/>
    <s v="Cash Rewards Visa Signature"/>
    <x v="55"/>
    <n v="41.68"/>
    <x v="8"/>
    <m/>
    <m/>
    <m/>
    <n v="41.68"/>
    <b v="0"/>
    <m/>
    <m/>
    <s v="-"/>
    <x v="55"/>
    <s v="Create Rule; and Description='Walgreens';Shopping"/>
    <m/>
  </r>
  <r>
    <x v="11"/>
    <d v="2019-11-30T00:00:00"/>
    <s v="Cash Rewards Visa Signature"/>
    <x v="55"/>
    <n v="4.82"/>
    <x v="8"/>
    <m/>
    <m/>
    <m/>
    <n v="4.82"/>
    <b v="0"/>
    <m/>
    <m/>
    <s v="-"/>
    <x v="55"/>
    <s v="Create Rule; and Description='Walgreens';Shopping"/>
    <m/>
  </r>
  <r>
    <x v="11"/>
    <d v="2019-11-30T00:00:00"/>
    <s v="POWERPLUS"/>
    <x v="421"/>
    <n v="33.49"/>
    <x v="11"/>
    <m/>
    <m/>
    <m/>
    <n v="33.49"/>
    <b v="0"/>
    <m/>
    <m/>
    <s v="-"/>
    <x v="407"/>
    <s v="Create Rule; and Description Like '%City Chanhassen TYPE Payment%';Utilities"/>
    <m/>
  </r>
  <r>
    <x v="11"/>
    <d v="2019-11-30T00:00:00"/>
    <s v="POWERPLUS CHECKING"/>
    <x v="421"/>
    <n v="33.49"/>
    <x v="11"/>
    <m/>
    <m/>
    <m/>
    <n v="33.49"/>
    <b v="0"/>
    <m/>
    <m/>
    <s v="-"/>
    <x v="407"/>
    <s v="Create Rule; and Description Like '%City Chanhassen TYPE Payment%';Utilities"/>
    <m/>
  </r>
  <r>
    <x v="11"/>
    <d v="2019-11-30T00:00:00"/>
    <s v="Cash Rewards Visa Signature"/>
    <x v="422"/>
    <n v="-1162.5899999999999"/>
    <x v="3"/>
    <m/>
    <m/>
    <m/>
    <n v="1162.5899999999999"/>
    <b v="0"/>
    <m/>
    <m/>
    <s v="+"/>
    <x v="408"/>
    <s v="Delete; and Description Like '%PAYMENT THANK YOU%';0"/>
    <m/>
  </r>
  <r>
    <x v="11"/>
    <d v="2019-11-30T00:00:00"/>
    <s v="Cash Rewards Visa Signature"/>
    <x v="423"/>
    <n v="-507.8"/>
    <x v="3"/>
    <m/>
    <m/>
    <m/>
    <n v="507.8"/>
    <b v="0"/>
    <m/>
    <m/>
    <s v="+"/>
    <x v="409"/>
    <s v="Delete; and Description Like '%PAYMENT THANK YOU%';0"/>
    <m/>
  </r>
  <r>
    <x v="11"/>
    <d v="2019-11-30T00:00:00"/>
    <s v="POWERPLUS"/>
    <x v="424"/>
    <n v="1162.5899999999999"/>
    <x v="3"/>
    <m/>
    <m/>
    <m/>
    <n v="1162.5899999999999"/>
    <b v="0"/>
    <m/>
    <m/>
    <s v="-"/>
    <x v="410"/>
    <s v="Delete; and Description Like '%Withdrawal Home payment to card%';0"/>
    <m/>
  </r>
  <r>
    <x v="11"/>
    <d v="2019-11-30T00:00:00"/>
    <s v="POWERPLUS CHECKING"/>
    <x v="424"/>
    <n v="1162.5899999999999"/>
    <x v="3"/>
    <m/>
    <m/>
    <m/>
    <n v="1162.5899999999999"/>
    <b v="0"/>
    <m/>
    <m/>
    <s v="-"/>
    <x v="410"/>
    <s v="Delete; and Description Like '%Withdrawal Home payment to card%';0"/>
    <m/>
  </r>
  <r>
    <x v="13"/>
    <d v="2019-12-01T00:00:00"/>
    <s v="Discover"/>
    <x v="0"/>
    <n v="42.94"/>
    <x v="0"/>
    <m/>
    <m/>
    <m/>
    <n v="42.94"/>
    <b v="0"/>
    <m/>
    <m/>
    <s v="-"/>
    <x v="0"/>
    <s v="Create Rule; and Description='Amazon';Amazon"/>
    <m/>
  </r>
  <r>
    <x v="13"/>
    <d v="2019-12-01T00:00:00"/>
    <s v="Discover More Card"/>
    <x v="0"/>
    <n v="42.94"/>
    <x v="0"/>
    <m/>
    <m/>
    <m/>
    <n v="42.94"/>
    <b v="0"/>
    <m/>
    <m/>
    <s v="-"/>
    <x v="0"/>
    <s v="Create Rule; and Description='Amazon';Amazon"/>
    <m/>
  </r>
  <r>
    <x v="13"/>
    <d v="2019-12-01T00:00:00"/>
    <s v="HIGHLANDER"/>
    <x v="425"/>
    <n v="-1132.8"/>
    <x v="7"/>
    <m/>
    <m/>
    <m/>
    <n v="1132.8"/>
    <b v="0"/>
    <m/>
    <m/>
    <s v="+"/>
    <x v="411"/>
    <m/>
    <m/>
  </r>
  <r>
    <x v="13"/>
    <d v="2019-12-01T00:00:00"/>
    <s v="Target Credit Card"/>
    <x v="34"/>
    <n v="51.11"/>
    <x v="12"/>
    <m/>
    <m/>
    <m/>
    <n v="51.11"/>
    <b v="0"/>
    <m/>
    <m/>
    <s v="-"/>
    <x v="34"/>
    <s v="Create Rule; and Description='Target';Target"/>
    <m/>
  </r>
  <r>
    <x v="13"/>
    <d v="2019-12-01T00:00:00"/>
    <s v="Target Credit Card"/>
    <x v="34"/>
    <n v="957.47"/>
    <x v="12"/>
    <m/>
    <m/>
    <m/>
    <n v="957.47"/>
    <b v="0"/>
    <m/>
    <m/>
    <s v="-"/>
    <x v="34"/>
    <s v="Create Rule; and Description='Target';Target"/>
    <m/>
  </r>
  <r>
    <x v="13"/>
    <d v="2019-12-01T00:00:00"/>
    <s v="POWERPLUS"/>
    <x v="426"/>
    <n v="618.65"/>
    <x v="22"/>
    <m/>
    <m/>
    <m/>
    <n v="618.65"/>
    <b v="0"/>
    <m/>
    <m/>
    <s v="-"/>
    <x v="412"/>
    <s v="Create Rule; and Description Like '%To Loan 02%';Car Loan"/>
    <m/>
  </r>
  <r>
    <x v="13"/>
    <d v="2019-12-01T00:00:00"/>
    <s v="POWERPLUS CHECKING"/>
    <x v="426"/>
    <n v="618.65"/>
    <x v="22"/>
    <m/>
    <m/>
    <m/>
    <n v="618.65"/>
    <b v="0"/>
    <m/>
    <m/>
    <s v="-"/>
    <x v="412"/>
    <s v="Create Rule; and Description Like '%To Loan 02%';Car Loan"/>
    <m/>
  </r>
  <r>
    <x v="13"/>
    <d v="2019-12-02T00:00:00"/>
    <s v="Cash Rewards Visa Signature"/>
    <x v="427"/>
    <n v="-861.14"/>
    <x v="3"/>
    <m/>
    <m/>
    <m/>
    <n v="861.14"/>
    <b v="0"/>
    <m/>
    <m/>
    <s v="+"/>
    <x v="413"/>
    <s v="Delete; and Description Like '%PAYMENT THANK YOU%';0"/>
    <m/>
  </r>
  <r>
    <x v="13"/>
    <d v="2019-12-02T00:00:00"/>
    <s v="POWERPLUS"/>
    <x v="428"/>
    <n v="861.14"/>
    <x v="3"/>
    <m/>
    <m/>
    <m/>
    <n v="861.14"/>
    <b v="0"/>
    <m/>
    <m/>
    <s v="-"/>
    <x v="414"/>
    <s v="Delete; and Description Like '%Withdrawal Home payment to card%';0"/>
    <m/>
  </r>
  <r>
    <x v="13"/>
    <d v="2019-12-02T00:00:00"/>
    <s v="POWERPLUS CHECKING"/>
    <x v="428"/>
    <n v="861.14"/>
    <x v="3"/>
    <m/>
    <m/>
    <m/>
    <n v="861.14"/>
    <b v="0"/>
    <m/>
    <m/>
    <s v="-"/>
    <x v="414"/>
    <s v="Delete; and Description Like '%Withdrawal Home payment to card%';0"/>
    <m/>
  </r>
  <r>
    <x v="13"/>
    <d v="2019-12-02T00:00:00"/>
    <s v="Discover"/>
    <x v="0"/>
    <n v="88"/>
    <x v="0"/>
    <m/>
    <m/>
    <m/>
    <n v="88"/>
    <b v="0"/>
    <m/>
    <m/>
    <s v="-"/>
    <x v="0"/>
    <s v="Create Rule; and Description='Amazon';Amazon"/>
    <m/>
  </r>
  <r>
    <x v="13"/>
    <d v="2019-12-02T00:00:00"/>
    <s v="Discover"/>
    <x v="0"/>
    <n v="112.39"/>
    <x v="0"/>
    <m/>
    <m/>
    <m/>
    <n v="112.39"/>
    <b v="0"/>
    <m/>
    <m/>
    <s v="-"/>
    <x v="0"/>
    <s v="Create Rule; and Description='Amazon';Amazon"/>
    <m/>
  </r>
  <r>
    <x v="13"/>
    <d v="2019-12-02T00:00:00"/>
    <s v="Discover More Card"/>
    <x v="0"/>
    <n v="88"/>
    <x v="0"/>
    <m/>
    <m/>
    <m/>
    <n v="88"/>
    <b v="0"/>
    <m/>
    <m/>
    <s v="-"/>
    <x v="0"/>
    <s v="Create Rule; and Description='Amazon';Amazon"/>
    <m/>
  </r>
  <r>
    <x v="13"/>
    <d v="2019-12-02T00:00:00"/>
    <s v="Discover More Card"/>
    <x v="0"/>
    <n v="112.39"/>
    <x v="0"/>
    <m/>
    <m/>
    <m/>
    <n v="112.39"/>
    <b v="0"/>
    <m/>
    <m/>
    <s v="-"/>
    <x v="0"/>
    <s v="Create Rule; and Description='Amazon';Amazon"/>
    <m/>
  </r>
  <r>
    <x v="13"/>
    <d v="2019-12-02T00:00:00"/>
    <s v="Cash Rewards Visa Signature"/>
    <x v="429"/>
    <n v="223.92"/>
    <x v="3"/>
    <m/>
    <m/>
    <m/>
    <n v="223.92"/>
    <b v="0"/>
    <m/>
    <m/>
    <s v="-"/>
    <x v="415"/>
    <s v="Manual"/>
    <m/>
  </r>
  <r>
    <x v="13"/>
    <d v="2019-12-02T00:00:00"/>
    <s v="POWERPLUS"/>
    <x v="430"/>
    <n v="200"/>
    <x v="9"/>
    <m/>
    <m/>
    <m/>
    <n v="200"/>
    <b v="0"/>
    <m/>
    <m/>
    <s v="-"/>
    <x v="16"/>
    <s v="Create Rule; and Description Like '%College Savings%';College Savings"/>
    <m/>
  </r>
  <r>
    <x v="13"/>
    <d v="2019-12-02T00:00:00"/>
    <s v="POWERPLUS CHECKING"/>
    <x v="430"/>
    <n v="200"/>
    <x v="9"/>
    <m/>
    <m/>
    <m/>
    <n v="200"/>
    <b v="0"/>
    <m/>
    <m/>
    <s v="-"/>
    <x v="16"/>
    <s v="Create Rule; and Description Like '%College Savings%';College Savings"/>
    <m/>
  </r>
  <r>
    <x v="13"/>
    <d v="2019-12-02T00:00:00"/>
    <s v="Cash Rewards Visa Signature"/>
    <x v="431"/>
    <n v="228.38"/>
    <x v="8"/>
    <m/>
    <m/>
    <m/>
    <n v="228.38"/>
    <b v="0"/>
    <m/>
    <m/>
    <s v="-"/>
    <x v="416"/>
    <s v="Create Rule; and Description='Crate &amp; Barrel';Shopping"/>
    <m/>
  </r>
  <r>
    <x v="13"/>
    <d v="2019-12-02T00:00:00"/>
    <s v="Joint Tenant"/>
    <x v="187"/>
    <n v="-23.08"/>
    <x v="23"/>
    <m/>
    <m/>
    <m/>
    <n v="23.08"/>
    <b v="0"/>
    <m/>
    <m/>
    <s v="+"/>
    <x v="186"/>
    <s v="Create Rule; and Description='INTEL CORP';Dividend"/>
    <m/>
  </r>
  <r>
    <x v="13"/>
    <d v="2019-12-02T00:00:00"/>
    <s v="Cash Rewards Visa Signature"/>
    <x v="432"/>
    <n v="106.31"/>
    <x v="27"/>
    <m/>
    <m/>
    <m/>
    <n v="106.31"/>
    <b v="0"/>
    <m/>
    <m/>
    <s v="-"/>
    <x v="417"/>
    <s v="Create Rule; and Description Like '%LTFLIFE TIME MO DUES%';Gym"/>
    <m/>
  </r>
  <r>
    <x v="13"/>
    <d v="2019-12-02T00:00:00"/>
    <s v="Cash Rewards Visa Signature"/>
    <x v="433"/>
    <n v="134"/>
    <x v="1"/>
    <m/>
    <m/>
    <m/>
    <n v="134"/>
    <b v="0"/>
    <m/>
    <m/>
    <s v="-"/>
    <x v="418"/>
    <s v="Manual"/>
    <m/>
  </r>
  <r>
    <x v="13"/>
    <d v="2019-12-02T00:00:00"/>
    <s v="Cash Rewards Visa Signature"/>
    <x v="434"/>
    <n v="50"/>
    <x v="8"/>
    <m/>
    <m/>
    <m/>
    <n v="50"/>
    <b v="0"/>
    <m/>
    <m/>
    <s v="-"/>
    <x v="419"/>
    <s v="Manual"/>
    <m/>
  </r>
  <r>
    <x v="13"/>
    <d v="2019-12-02T00:00:00"/>
    <s v="Joint Tenant"/>
    <x v="190"/>
    <n v="18.61"/>
    <x v="1"/>
    <m/>
    <m/>
    <m/>
    <n v="18.61"/>
    <b v="0"/>
    <m/>
    <m/>
    <s v="-"/>
    <x v="189"/>
    <s v="Create Rule; and Description='STARBUCKS CORP';Restaurants"/>
    <m/>
  </r>
  <r>
    <x v="13"/>
    <d v="2019-12-02T00:00:00"/>
    <s v="Cash Rewards Visa Signature"/>
    <x v="435"/>
    <n v="113.4"/>
    <x v="8"/>
    <m/>
    <m/>
    <m/>
    <n v="113.4"/>
    <b v="0"/>
    <m/>
    <m/>
    <s v="-"/>
    <x v="420"/>
    <s v="Manual"/>
    <m/>
  </r>
  <r>
    <x v="13"/>
    <d v="2019-12-03T00:00:00"/>
    <s v="Discover"/>
    <x v="93"/>
    <n v="-12.69"/>
    <x v="3"/>
    <m/>
    <m/>
    <m/>
    <n v="12.69"/>
    <b v="0"/>
    <m/>
    <m/>
    <s v="+"/>
    <x v="93"/>
    <s v="Delete; and Description='CASHBACK BONUS REDEMPTION payment/STMT CRDT';0"/>
    <m/>
  </r>
  <r>
    <x v="13"/>
    <d v="2019-12-03T00:00:00"/>
    <s v="Discover More Card"/>
    <x v="93"/>
    <n v="-12.69"/>
    <x v="3"/>
    <m/>
    <m/>
    <m/>
    <n v="12.69"/>
    <b v="0"/>
    <m/>
    <m/>
    <s v="+"/>
    <x v="93"/>
    <s v="Delete; and Description='CASHBACK BONUS REDEMPTION payment/STMT CRDT';0"/>
    <m/>
  </r>
  <r>
    <x v="13"/>
    <d v="2019-12-03T00:00:00"/>
    <s v="Discover"/>
    <x v="56"/>
    <n v="-427.91"/>
    <x v="3"/>
    <m/>
    <m/>
    <m/>
    <n v="427.91"/>
    <b v="0"/>
    <m/>
    <m/>
    <s v="+"/>
    <x v="56"/>
    <s v="Delete; and Description='INTERNET PAYMENT - THANK YOU';0"/>
    <m/>
  </r>
  <r>
    <x v="13"/>
    <d v="2019-12-03T00:00:00"/>
    <s v="Discover More Card"/>
    <x v="56"/>
    <n v="-427.91"/>
    <x v="3"/>
    <m/>
    <m/>
    <m/>
    <n v="427.91"/>
    <b v="0"/>
    <m/>
    <m/>
    <s v="+"/>
    <x v="56"/>
    <s v="Delete; and Description='INTERNET PAYMENT - THANK YOU';0"/>
    <m/>
  </r>
  <r>
    <x v="13"/>
    <d v="2019-12-03T00:00:00"/>
    <s v="Joint Tenant"/>
    <x v="436"/>
    <n v="1755.52"/>
    <x v="3"/>
    <m/>
    <m/>
    <m/>
    <n v="1755.52"/>
    <b v="0"/>
    <m/>
    <m/>
    <s v="-"/>
    <x v="421"/>
    <s v="Delete; and Source='Joint Tenant';0"/>
    <m/>
  </r>
  <r>
    <x v="13"/>
    <d v="2019-12-03T00:00:00"/>
    <s v="Cash Rewards Visa Signature"/>
    <x v="437"/>
    <n v="71.959999999999994"/>
    <x v="8"/>
    <m/>
    <m/>
    <m/>
    <n v="71.959999999999994"/>
    <b v="0"/>
    <m/>
    <m/>
    <s v="-"/>
    <x v="422"/>
    <s v="Manual"/>
    <m/>
  </r>
  <r>
    <x v="13"/>
    <d v="2019-12-03T00:00:00"/>
    <s v="Joint Tenant"/>
    <x v="187"/>
    <n v="23.08"/>
    <x v="23"/>
    <m/>
    <m/>
    <m/>
    <n v="23.08"/>
    <b v="0"/>
    <m/>
    <m/>
    <s v="-"/>
    <x v="186"/>
    <s v="Create Rule; and Description='INTEL CORP';Dividend"/>
    <m/>
  </r>
  <r>
    <x v="13"/>
    <d v="2019-12-03T00:00:00"/>
    <s v="Cash Rewards Visa Signature"/>
    <x v="438"/>
    <n v="204.95"/>
    <x v="29"/>
    <m/>
    <m/>
    <m/>
    <n v="204.95"/>
    <b v="0"/>
    <m/>
    <m/>
    <s v="-"/>
    <x v="423"/>
    <s v="Manual"/>
    <m/>
  </r>
  <r>
    <x v="13"/>
    <d v="2019-12-03T00:00:00"/>
    <s v="Joint Tenant"/>
    <x v="138"/>
    <n v="-22.41"/>
    <x v="23"/>
    <m/>
    <m/>
    <m/>
    <n v="22.41"/>
    <b v="0"/>
    <m/>
    <m/>
    <s v="+"/>
    <x v="137"/>
    <s v="Create Rule; and Description='VISA INC CLASS A';Dividend"/>
    <m/>
  </r>
  <r>
    <x v="13"/>
    <d v="2019-12-04T00:00:00"/>
    <s v="POWERPLUS"/>
    <x v="439"/>
    <n v="427.91"/>
    <x v="3"/>
    <m/>
    <m/>
    <m/>
    <n v="427.91"/>
    <b v="0"/>
    <m/>
    <m/>
    <s v="-"/>
    <x v="424"/>
    <s v="Delete; and Description Like '%DISCOVER TYPE EPAYMENT%';0"/>
    <m/>
  </r>
  <r>
    <x v="13"/>
    <d v="2019-12-04T00:00:00"/>
    <s v="POWERPLUS CHECKING"/>
    <x v="439"/>
    <n v="427.91"/>
    <x v="3"/>
    <m/>
    <m/>
    <m/>
    <n v="427.91"/>
    <b v="0"/>
    <m/>
    <m/>
    <s v="-"/>
    <x v="424"/>
    <s v="Delete; and Description Like '%DISCOVER TYPE EPAYMENT%';0"/>
    <m/>
  </r>
  <r>
    <x v="13"/>
    <d v="2019-12-04T00:00:00"/>
    <s v="30 YR FIXED"/>
    <x v="440"/>
    <n v="-1084.6600000000001"/>
    <x v="7"/>
    <m/>
    <m/>
    <m/>
    <n v="1084.6600000000001"/>
    <b v="0"/>
    <m/>
    <m/>
    <s v="+"/>
    <x v="425"/>
    <m/>
    <m/>
  </r>
  <r>
    <x v="13"/>
    <d v="2019-12-04T00:00:00"/>
    <s v="POWERPLUS CHECKING"/>
    <x v="377"/>
    <n v="2914.59"/>
    <x v="6"/>
    <m/>
    <m/>
    <m/>
    <n v="2914.59"/>
    <b v="0"/>
    <m/>
    <m/>
    <s v="-"/>
    <x v="265"/>
    <s v="Create Rule; and Description Like '%BCU MORTGAGE TYPE LOAN PAYMT ID 9DRAFTING CO BCU MORTGAGE%';Rent"/>
    <m/>
  </r>
  <r>
    <x v="9"/>
    <d v="2019-10-04T00:00:00"/>
    <s v="POWERPLUS"/>
    <x v="441"/>
    <n v="2914.59"/>
    <x v="6"/>
    <m/>
    <m/>
    <m/>
    <n v="2914.59"/>
    <b v="0"/>
    <m/>
    <m/>
    <s v="-"/>
    <x v="265"/>
    <s v="Create Rule; and Description Like '%BCU MORTGAGE TYPE LOAN PAYMT ID 9DRAFTING CO BCU MORTGAGE%';Rent"/>
    <m/>
  </r>
  <r>
    <x v="13"/>
    <d v="2019-12-04T00:00:00"/>
    <s v="Discover"/>
    <x v="166"/>
    <n v="107.76"/>
    <x v="1"/>
    <m/>
    <m/>
    <m/>
    <n v="107.76"/>
    <b v="0"/>
    <m/>
    <m/>
    <s v="-"/>
    <x v="165"/>
    <s v="Create Rule; and Description Like '%CARGILL PRO%';Restaurants"/>
    <m/>
  </r>
  <r>
    <x v="13"/>
    <d v="2019-12-04T00:00:00"/>
    <s v="Discover More Card"/>
    <x v="166"/>
    <n v="107.76"/>
    <x v="1"/>
    <m/>
    <m/>
    <m/>
    <n v="107.76"/>
    <b v="0"/>
    <m/>
    <m/>
    <s v="-"/>
    <x v="165"/>
    <s v="Create Rule; and Description Like '%CARGILL PRO%';Restaurants"/>
    <m/>
  </r>
  <r>
    <x v="13"/>
    <d v="2019-12-04T00:00:00"/>
    <s v="POWERPLUS"/>
    <x v="442"/>
    <n v="230.2"/>
    <x v="4"/>
    <m/>
    <m/>
    <m/>
    <n v="230.2"/>
    <b v="0"/>
    <m/>
    <m/>
    <s v="-"/>
    <x v="426"/>
    <s v="Create Rule; and Description Like '%CCLC TYPE INTERNET ID%';Day Care"/>
    <m/>
  </r>
  <r>
    <x v="13"/>
    <d v="2019-12-04T00:00:00"/>
    <s v="POWERPLUS CHECKING"/>
    <x v="442"/>
    <n v="230.2"/>
    <x v="4"/>
    <m/>
    <m/>
    <m/>
    <n v="230.2"/>
    <b v="0"/>
    <m/>
    <m/>
    <s v="-"/>
    <x v="426"/>
    <s v="Create Rule; and Description Like '%CCLC TYPE INTERNET ID%';Day Care"/>
    <m/>
  </r>
  <r>
    <x v="13"/>
    <d v="2019-12-04T00:00:00"/>
    <s v="Cash Rewards Visa Signature"/>
    <x v="443"/>
    <n v="131.63999999999999"/>
    <x v="25"/>
    <m/>
    <m/>
    <m/>
    <n v="131.63999999999999"/>
    <b v="0"/>
    <m/>
    <m/>
    <s v="-"/>
    <x v="427"/>
    <s v="Manual"/>
    <m/>
  </r>
  <r>
    <x v="13"/>
    <d v="2019-12-04T00:00:00"/>
    <s v="POWERPLUS"/>
    <x v="160"/>
    <n v="203"/>
    <x v="7"/>
    <m/>
    <m/>
    <m/>
    <n v="203"/>
    <b v="0"/>
    <m/>
    <m/>
    <s v="-"/>
    <x v="159"/>
    <m/>
    <m/>
  </r>
  <r>
    <x v="13"/>
    <d v="2019-12-04T00:00:00"/>
    <s v="POWERPLUS CHECKING"/>
    <x v="160"/>
    <n v="203"/>
    <x v="28"/>
    <m/>
    <m/>
    <m/>
    <n v="203"/>
    <b v="0"/>
    <m/>
    <m/>
    <s v="-"/>
    <x v="159"/>
    <s v="Manual"/>
    <m/>
  </r>
  <r>
    <x v="13"/>
    <d v="2019-12-04T00:00:00"/>
    <s v="Joint Tenant"/>
    <x v="138"/>
    <n v="22.41"/>
    <x v="23"/>
    <m/>
    <m/>
    <m/>
    <n v="22.41"/>
    <b v="0"/>
    <m/>
    <m/>
    <s v="-"/>
    <x v="137"/>
    <s v="Create Rule; and Description='VISA INC CLASS A';Dividend"/>
    <m/>
  </r>
  <r>
    <x v="13"/>
    <d v="2019-12-05T00:00:00"/>
    <s v="Cash Rewards Visa Signature"/>
    <x v="444"/>
    <n v="-1264.56"/>
    <x v="3"/>
    <m/>
    <m/>
    <m/>
    <n v="1264.56"/>
    <b v="0"/>
    <m/>
    <m/>
    <s v="+"/>
    <x v="428"/>
    <s v="Delete; and Description Like '%PAYMENT THANK YOU%';0"/>
    <m/>
  </r>
  <r>
    <x v="13"/>
    <d v="2019-12-05T00:00:00"/>
    <s v="POWERPLUS"/>
    <x v="445"/>
    <n v="1264.56"/>
    <x v="3"/>
    <m/>
    <m/>
    <m/>
    <n v="1264.56"/>
    <b v="0"/>
    <m/>
    <m/>
    <s v="-"/>
    <x v="429"/>
    <s v="Delete; and Description Like '%Withdrawal Home payment to card%';0"/>
    <m/>
  </r>
  <r>
    <x v="13"/>
    <d v="2019-12-05T00:00:00"/>
    <s v="POWERPLUS CHECKING"/>
    <x v="445"/>
    <n v="1264.56"/>
    <x v="3"/>
    <m/>
    <m/>
    <m/>
    <n v="1264.56"/>
    <b v="0"/>
    <m/>
    <m/>
    <s v="-"/>
    <x v="429"/>
    <s v="Delete; and Description Like '%Withdrawal Home payment to card%';0"/>
    <m/>
  </r>
  <r>
    <x v="13"/>
    <d v="2019-12-05T00:00:00"/>
    <s v="Discover"/>
    <x v="0"/>
    <n v="9.5500000000000007"/>
    <x v="0"/>
    <m/>
    <m/>
    <m/>
    <n v="9.5500000000000007"/>
    <b v="0"/>
    <m/>
    <m/>
    <s v="-"/>
    <x v="0"/>
    <s v="Create Rule; and Description='Amazon';Amazon"/>
    <m/>
  </r>
  <r>
    <x v="13"/>
    <d v="2019-12-05T00:00:00"/>
    <s v="Discover More Card"/>
    <x v="0"/>
    <n v="9.5500000000000007"/>
    <x v="0"/>
    <m/>
    <m/>
    <m/>
    <n v="9.5500000000000007"/>
    <b v="0"/>
    <m/>
    <m/>
    <s v="-"/>
    <x v="0"/>
    <s v="Create Rule; and Description='Amazon';Amazon"/>
    <m/>
  </r>
  <r>
    <x v="13"/>
    <d v="2019-12-05T00:00:00"/>
    <s v="POWERPLUS"/>
    <x v="35"/>
    <n v="-124.31"/>
    <x v="13"/>
    <m/>
    <m/>
    <m/>
    <n v="124.31"/>
    <b v="0"/>
    <m/>
    <m/>
    <s v="+"/>
    <x v="35"/>
    <s v="Create Rule; and Description='Cargill Incorpor Type';Inc - Other"/>
    <m/>
  </r>
  <r>
    <x v="13"/>
    <d v="2019-12-05T00:00:00"/>
    <s v="POWERPLUS CHECKING"/>
    <x v="35"/>
    <n v="-124.31"/>
    <x v="13"/>
    <m/>
    <m/>
    <m/>
    <n v="124.31"/>
    <b v="0"/>
    <m/>
    <m/>
    <s v="+"/>
    <x v="35"/>
    <s v="Create Rule; and Description='Cargill Incorpor Type';Inc - Other"/>
    <m/>
  </r>
  <r>
    <x v="13"/>
    <d v="2019-12-05T00:00:00"/>
    <s v="POWERPLUS"/>
    <x v="446"/>
    <n v="-1720.64"/>
    <x v="7"/>
    <m/>
    <m/>
    <m/>
    <n v="1720.64"/>
    <b v="0"/>
    <m/>
    <m/>
    <s v="+"/>
    <x v="430"/>
    <m/>
    <m/>
  </r>
  <r>
    <x v="13"/>
    <d v="2019-12-05T00:00:00"/>
    <s v="POWERPLUS CHECKING"/>
    <x v="446"/>
    <n v="-1720.64"/>
    <x v="3"/>
    <m/>
    <m/>
    <m/>
    <n v="1720.64"/>
    <b v="0"/>
    <m/>
    <m/>
    <s v="+"/>
    <x v="430"/>
    <s v="Manual"/>
    <m/>
  </r>
  <r>
    <x v="13"/>
    <d v="2019-12-05T00:00:00"/>
    <s v="Cash Rewards Visa Signature"/>
    <x v="6"/>
    <n v="52.64"/>
    <x v="5"/>
    <m/>
    <m/>
    <m/>
    <n v="52.64"/>
    <b v="0"/>
    <m/>
    <m/>
    <s v="-"/>
    <x v="6"/>
    <s v="Create Rule; and Description Like '%Cub Foods%';Groceries"/>
    <m/>
  </r>
  <r>
    <x v="13"/>
    <d v="2019-12-05T00:00:00"/>
    <s v="POWERPLUS"/>
    <x v="157"/>
    <n v="16.989999999999998"/>
    <x v="8"/>
    <m/>
    <m/>
    <m/>
    <n v="16.989999999999998"/>
    <b v="0"/>
    <m/>
    <m/>
    <s v="-"/>
    <x v="156"/>
    <s v="Create Rule; and Description Like '%PayPal%';Shopping"/>
    <m/>
  </r>
  <r>
    <x v="13"/>
    <d v="2019-12-05T00:00:00"/>
    <s v="POWERPLUS CHECKING"/>
    <x v="157"/>
    <n v="16.989999999999998"/>
    <x v="8"/>
    <m/>
    <m/>
    <m/>
    <n v="16.989999999999998"/>
    <b v="0"/>
    <m/>
    <m/>
    <s v="-"/>
    <x v="156"/>
    <s v="Create Rule; and Description Like '%PayPal%';Shopping"/>
    <m/>
  </r>
  <r>
    <x v="13"/>
    <d v="2019-12-05T00:00:00"/>
    <s v="Cash Rewards Visa Signature"/>
    <x v="447"/>
    <n v="40"/>
    <x v="25"/>
    <m/>
    <m/>
    <m/>
    <n v="40"/>
    <b v="0"/>
    <m/>
    <m/>
    <s v="-"/>
    <x v="431"/>
    <s v="Manual"/>
    <m/>
  </r>
  <r>
    <x v="13"/>
    <d v="2019-12-05T00:00:00"/>
    <s v="Jeff Roth"/>
    <x v="19"/>
    <n v="150"/>
    <x v="3"/>
    <m/>
    <m/>
    <m/>
    <n v="150"/>
    <b v="0"/>
    <m/>
    <m/>
    <s v="-"/>
    <x v="19"/>
    <s v="Delete; and Description='SCHWAB S&amp;P 500 INDEX FD' and inflowoutflow='-';0"/>
    <m/>
  </r>
  <r>
    <x v="13"/>
    <d v="2019-12-05T00:00:00"/>
    <s v="Roth Contributory IRA"/>
    <x v="19"/>
    <n v="150"/>
    <x v="3"/>
    <m/>
    <m/>
    <m/>
    <n v="150"/>
    <b v="0"/>
    <m/>
    <m/>
    <s v="-"/>
    <x v="19"/>
    <s v="Delete; and Description='SCHWAB S&amp;P 500 INDEX FD' and inflowoutflow='-';0"/>
    <m/>
  </r>
  <r>
    <x v="13"/>
    <d v="2019-12-05T00:00:00"/>
    <s v="Britney Roth"/>
    <x v="20"/>
    <n v="150"/>
    <x v="3"/>
    <m/>
    <m/>
    <m/>
    <n v="150"/>
    <b v="0"/>
    <m/>
    <m/>
    <s v="-"/>
    <x v="20"/>
    <s v="Delete; and Description='SCHWAB TOTAL STOCK MKT INDEX' and inflowoutflow='-';0"/>
    <m/>
  </r>
  <r>
    <x v="13"/>
    <d v="2019-12-05T00:00:00"/>
    <s v="Jeff Roth"/>
    <x v="20"/>
    <n v="150"/>
    <x v="3"/>
    <m/>
    <m/>
    <m/>
    <n v="150"/>
    <b v="0"/>
    <m/>
    <m/>
    <s v="-"/>
    <x v="20"/>
    <s v="Delete; and Description='SCHWAB TOTAL STOCK MKT INDEX' and inflowoutflow='-';0"/>
    <m/>
  </r>
  <r>
    <x v="13"/>
    <d v="2019-12-05T00:00:00"/>
    <s v="Roth Contributory IRA"/>
    <x v="20"/>
    <n v="150"/>
    <x v="3"/>
    <m/>
    <m/>
    <m/>
    <n v="150"/>
    <b v="0"/>
    <m/>
    <m/>
    <s v="-"/>
    <x v="20"/>
    <s v="Delete; and Description='SCHWAB TOTAL STOCK MKT INDEX' and inflowoutflow='-';0"/>
    <m/>
  </r>
  <r>
    <x v="13"/>
    <d v="2019-12-05T00:00:00"/>
    <s v="Joint Tenant"/>
    <x v="141"/>
    <n v="-4.13"/>
    <x v="23"/>
    <m/>
    <m/>
    <m/>
    <n v="4.13"/>
    <b v="0"/>
    <m/>
    <m/>
    <s v="+"/>
    <x v="140"/>
    <s v="Create Rule; and Description='VANGUARD INTRMDIAT TRM TRSRY ETF';Dividend"/>
    <m/>
  </r>
  <r>
    <x v="13"/>
    <d v="2019-12-05T00:00:00"/>
    <s v="Cash Rewards Visa Signature"/>
    <x v="448"/>
    <n v="326.87"/>
    <x v="8"/>
    <m/>
    <m/>
    <m/>
    <n v="326.87"/>
    <b v="0"/>
    <m/>
    <m/>
    <s v="-"/>
    <x v="432"/>
    <s v="Manual"/>
    <m/>
  </r>
  <r>
    <x v="13"/>
    <d v="2019-12-05T00:00:00"/>
    <s v="Cash Rewards Visa Signature"/>
    <x v="231"/>
    <n v="374.28"/>
    <x v="25"/>
    <m/>
    <m/>
    <m/>
    <n v="374.28"/>
    <b v="0"/>
    <m/>
    <m/>
    <s v="-"/>
    <x v="229"/>
    <s v="Create Rule; and Description='Western Ob Gyne Ltd';Healthcare"/>
    <m/>
  </r>
  <r>
    <x v="13"/>
    <d v="2019-12-05T00:00:00"/>
    <s v="POWERPLUS"/>
    <x v="30"/>
    <n v="96.43"/>
    <x v="11"/>
    <m/>
    <m/>
    <m/>
    <n v="96.43"/>
    <b v="0"/>
    <m/>
    <m/>
    <s v="-"/>
    <x v="30"/>
    <s v="Create Rule; and Description='Xcel Energy';Utilities"/>
    <m/>
  </r>
  <r>
    <x v="13"/>
    <d v="2019-12-05T00:00:00"/>
    <s v="POWERPLUS CHECKING"/>
    <x v="30"/>
    <n v="96.43"/>
    <x v="11"/>
    <m/>
    <m/>
    <m/>
    <n v="96.43"/>
    <b v="0"/>
    <m/>
    <m/>
    <s v="-"/>
    <x v="30"/>
    <s v="Create Rule; and Description='Xcel Energy';Utilities"/>
    <m/>
  </r>
  <r>
    <x v="13"/>
    <d v="2019-12-06T00:00:00"/>
    <s v="Discover"/>
    <x v="0"/>
    <n v="67.06"/>
    <x v="0"/>
    <m/>
    <m/>
    <m/>
    <n v="67.06"/>
    <b v="0"/>
    <m/>
    <m/>
    <s v="-"/>
    <x v="0"/>
    <s v="Create Rule; and Description='Amazon';Amazon"/>
    <m/>
  </r>
  <r>
    <x v="13"/>
    <d v="2019-12-06T00:00:00"/>
    <s v="Discover More Card"/>
    <x v="0"/>
    <n v="67.06"/>
    <x v="0"/>
    <m/>
    <m/>
    <m/>
    <n v="67.06"/>
    <b v="0"/>
    <m/>
    <m/>
    <s v="-"/>
    <x v="0"/>
    <s v="Create Rule; and Description='Amazon';Amazon"/>
    <m/>
  </r>
  <r>
    <x v="13"/>
    <d v="2019-12-06T00:00:00"/>
    <s v="Joint Tenant"/>
    <x v="232"/>
    <n v="-82.19"/>
    <x v="23"/>
    <m/>
    <m/>
    <m/>
    <n v="82.19"/>
    <b v="0"/>
    <m/>
    <m/>
    <s v="+"/>
    <x v="230"/>
    <s v="Create Rule; and Description='BOEING CO';Dividend"/>
    <m/>
  </r>
  <r>
    <x v="13"/>
    <d v="2019-12-06T00:00:00"/>
    <s v="Cash Rewards Visa Signature"/>
    <x v="449"/>
    <n v="6.44"/>
    <x v="1"/>
    <m/>
    <m/>
    <m/>
    <n v="6.44"/>
    <b v="0"/>
    <m/>
    <m/>
    <s v="-"/>
    <x v="433"/>
    <s v="Create Rule; and Description Like '%CARGILL CAF%';Restaurants"/>
    <m/>
  </r>
  <r>
    <x v="13"/>
    <d v="2019-12-06T00:00:00"/>
    <s v="Discover"/>
    <x v="450"/>
    <n v="21.75"/>
    <x v="5"/>
    <m/>
    <m/>
    <m/>
    <n v="21.75"/>
    <b v="0"/>
    <m/>
    <m/>
    <s v="-"/>
    <x v="434"/>
    <s v="Create Rule; and Description Like '%KNOLLWOOD LIQUOR MINNEAPOLIS MN%';Groceries"/>
    <m/>
  </r>
  <r>
    <x v="13"/>
    <d v="2019-12-06T00:00:00"/>
    <s v="Discover More Card"/>
    <x v="450"/>
    <n v="21.75"/>
    <x v="5"/>
    <m/>
    <m/>
    <m/>
    <n v="21.75"/>
    <b v="0"/>
    <m/>
    <m/>
    <s v="-"/>
    <x v="434"/>
    <s v="Create Rule; and Description Like '%KNOLLWOOD LIQUOR MINNEAPOLIS MN%';Groceries"/>
    <m/>
  </r>
  <r>
    <x v="13"/>
    <d v="2019-12-06T00:00:00"/>
    <s v="Cash Rewards Visa Signature"/>
    <x v="309"/>
    <n v="113.98"/>
    <x v="19"/>
    <m/>
    <m/>
    <m/>
    <n v="113.98"/>
    <b v="0"/>
    <m/>
    <m/>
    <s v="-"/>
    <x v="301"/>
    <s v="Create Rule; and Description='Sherwin Williams';House Maintenance"/>
    <m/>
  </r>
  <r>
    <x v="13"/>
    <d v="2019-12-06T00:00:00"/>
    <s v="Joint Tenant"/>
    <x v="141"/>
    <n v="4.13"/>
    <x v="23"/>
    <m/>
    <m/>
    <m/>
    <n v="4.13"/>
    <b v="0"/>
    <m/>
    <m/>
    <s v="-"/>
    <x v="140"/>
    <s v="Create Rule; and Description='VANGUARD INTRMDIAT TRM TRSRY ETF';Dividend"/>
    <m/>
  </r>
  <r>
    <x v="13"/>
    <d v="2019-12-06T00:00:00"/>
    <s v="Cash Rewards Visa Signature"/>
    <x v="448"/>
    <n v="61.28"/>
    <x v="8"/>
    <m/>
    <m/>
    <m/>
    <n v="61.28"/>
    <b v="0"/>
    <m/>
    <m/>
    <s v="-"/>
    <x v="432"/>
    <s v="Manual"/>
    <m/>
  </r>
  <r>
    <x v="13"/>
    <d v="2019-12-06T00:00:00"/>
    <s v="Cash Rewards Visa Signature"/>
    <x v="448"/>
    <n v="247.3"/>
    <x v="8"/>
    <m/>
    <m/>
    <m/>
    <n v="247.3"/>
    <b v="0"/>
    <m/>
    <m/>
    <s v="-"/>
    <x v="432"/>
    <s v="Create Rule; and Description='Wayfair';Shopping"/>
    <m/>
  </r>
  <r>
    <x v="13"/>
    <d v="2019-12-08T00:00:00"/>
    <s v="Cash Rewards Visa Signature"/>
    <x v="451"/>
    <n v="18.25"/>
    <x v="1"/>
    <m/>
    <m/>
    <m/>
    <n v="18.25"/>
    <b v="0"/>
    <m/>
    <m/>
    <s v="-"/>
    <x v="435"/>
    <s v="Manual"/>
    <m/>
  </r>
  <r>
    <x v="13"/>
    <d v="2019-12-09T00:00:00"/>
    <s v="Joint Tenant"/>
    <x v="232"/>
    <n v="82.19"/>
    <x v="23"/>
    <m/>
    <m/>
    <m/>
    <n v="82.19"/>
    <b v="0"/>
    <m/>
    <m/>
    <s v="-"/>
    <x v="230"/>
    <s v="Create Rule; and Description='BOEING CO';Dividend"/>
    <m/>
  </r>
  <r>
    <x v="13"/>
    <d v="2019-12-09T00:00:00"/>
    <s v="POWERPLUS"/>
    <x v="157"/>
    <n v="7.43"/>
    <x v="8"/>
    <m/>
    <m/>
    <m/>
    <n v="7.43"/>
    <b v="0"/>
    <m/>
    <m/>
    <s v="-"/>
    <x v="156"/>
    <s v="Create Rule; and Description Like '%PayPal%';Shopping"/>
    <m/>
  </r>
  <r>
    <x v="13"/>
    <d v="2019-12-09T00:00:00"/>
    <s v="POWERPLUS CHECKING"/>
    <x v="157"/>
    <n v="7.43"/>
    <x v="8"/>
    <m/>
    <m/>
    <m/>
    <n v="7.43"/>
    <b v="0"/>
    <m/>
    <m/>
    <s v="-"/>
    <x v="156"/>
    <s v="Create Rule; and Description Like '%PayPal%';Shopping"/>
    <m/>
  </r>
  <r>
    <x v="13"/>
    <d v="2019-12-09T00:00:00"/>
    <s v="POWERPLUS"/>
    <x v="29"/>
    <n v="7"/>
    <x v="7"/>
    <m/>
    <m/>
    <m/>
    <n v="7"/>
    <b v="0"/>
    <m/>
    <m/>
    <s v="-"/>
    <x v="29"/>
    <m/>
    <m/>
  </r>
  <r>
    <x v="13"/>
    <d v="2019-12-09T00:00:00"/>
    <s v="POWERPLUS"/>
    <x v="29"/>
    <n v="44"/>
    <x v="7"/>
    <m/>
    <m/>
    <m/>
    <n v="44"/>
    <b v="0"/>
    <m/>
    <m/>
    <s v="-"/>
    <x v="29"/>
    <m/>
    <m/>
  </r>
  <r>
    <x v="13"/>
    <d v="2019-12-09T00:00:00"/>
    <s v="POWERPLUS CHECKING"/>
    <x v="29"/>
    <n v="7"/>
    <x v="8"/>
    <m/>
    <m/>
    <m/>
    <n v="7"/>
    <b v="0"/>
    <m/>
    <m/>
    <s v="-"/>
    <x v="29"/>
    <s v="Manual"/>
    <m/>
  </r>
  <r>
    <x v="13"/>
    <d v="2019-12-09T00:00:00"/>
    <s v="POWERPLUS CHECKING"/>
    <x v="29"/>
    <n v="44"/>
    <x v="8"/>
    <m/>
    <m/>
    <m/>
    <n v="44"/>
    <b v="0"/>
    <m/>
    <m/>
    <s v="-"/>
    <x v="29"/>
    <s v="Manual"/>
    <m/>
  </r>
  <r>
    <x v="13"/>
    <d v="2019-12-30T00:00:00"/>
    <s v="Discover"/>
    <x v="452"/>
    <n v="3.5"/>
    <x v="7"/>
    <m/>
    <m/>
    <m/>
    <n v="3.5"/>
    <b v="0"/>
    <m/>
    <m/>
    <s v="-"/>
    <x v="436"/>
    <m/>
    <m/>
  </r>
  <r>
    <x v="13"/>
    <d v="2019-12-30T00:00:00"/>
    <s v="Discover More Card"/>
    <x v="452"/>
    <n v="3.5"/>
    <x v="2"/>
    <m/>
    <m/>
    <m/>
    <n v="3.5"/>
    <b v="0"/>
    <m/>
    <m/>
    <s v="-"/>
    <x v="436"/>
    <s v="Manual"/>
    <m/>
  </r>
  <r>
    <x v="13"/>
    <d v="2019-12-30T00:00:00"/>
    <s v="Cash Rewards Visa Signature"/>
    <x v="453"/>
    <n v="-10.199999999999999"/>
    <x v="8"/>
    <m/>
    <m/>
    <m/>
    <n v="10.199999999999999"/>
    <b v="0"/>
    <m/>
    <m/>
    <s v="+"/>
    <x v="437"/>
    <s v="Manual"/>
    <m/>
  </r>
  <r>
    <x v="13"/>
    <d v="2019-12-30T00:00:00"/>
    <s v="Cash Rewards Visa Signature"/>
    <x v="453"/>
    <n v="-18"/>
    <x v="8"/>
    <m/>
    <m/>
    <m/>
    <n v="18"/>
    <b v="0"/>
    <m/>
    <m/>
    <s v="+"/>
    <x v="437"/>
    <s v="Manual"/>
    <m/>
  </r>
  <r>
    <x v="13"/>
    <d v="2019-12-30T00:00:00"/>
    <s v="Cash Rewards Visa Signature"/>
    <x v="453"/>
    <n v="-19.86"/>
    <x v="8"/>
    <m/>
    <m/>
    <m/>
    <n v="19.86"/>
    <b v="0"/>
    <m/>
    <m/>
    <s v="+"/>
    <x v="437"/>
    <s v="Manual"/>
    <m/>
  </r>
  <r>
    <x v="13"/>
    <d v="2019-12-30T00:00:00"/>
    <s v="Investor Checking"/>
    <x v="454"/>
    <n v="20.14"/>
    <x v="1"/>
    <m/>
    <m/>
    <m/>
    <n v="20.14"/>
    <b v="0"/>
    <m/>
    <m/>
    <s v="-"/>
    <x v="438"/>
    <s v="Manual"/>
    <m/>
  </r>
  <r>
    <x v="13"/>
    <d v="2019-12-30T00:00:00"/>
    <s v="Discover"/>
    <x v="0"/>
    <n v="15.02"/>
    <x v="0"/>
    <m/>
    <m/>
    <m/>
    <n v="15.02"/>
    <b v="0"/>
    <m/>
    <m/>
    <s v="-"/>
    <x v="0"/>
    <s v="Create Rule; and Description='Amazon';Amazon"/>
    <m/>
  </r>
  <r>
    <x v="13"/>
    <d v="2019-12-30T00:00:00"/>
    <s v="Discover"/>
    <x v="0"/>
    <n v="21.48"/>
    <x v="0"/>
    <m/>
    <m/>
    <m/>
    <n v="21.48"/>
    <b v="0"/>
    <m/>
    <m/>
    <s v="-"/>
    <x v="0"/>
    <s v="Create Rule; and Description='Amazon';Amazon"/>
    <m/>
  </r>
  <r>
    <x v="13"/>
    <d v="2019-12-30T00:00:00"/>
    <s v="Discover"/>
    <x v="0"/>
    <n v="57.94"/>
    <x v="0"/>
    <m/>
    <m/>
    <m/>
    <n v="57.94"/>
    <b v="0"/>
    <m/>
    <m/>
    <s v="-"/>
    <x v="0"/>
    <s v="Create Rule; and Description='Amazon';Amazon"/>
    <m/>
  </r>
  <r>
    <x v="13"/>
    <d v="2019-12-30T00:00:00"/>
    <s v="Discover"/>
    <x v="0"/>
    <n v="64.41"/>
    <x v="0"/>
    <m/>
    <m/>
    <m/>
    <n v="64.41"/>
    <b v="0"/>
    <m/>
    <m/>
    <s v="-"/>
    <x v="0"/>
    <s v="Create Rule; and Description='Amazon';Amazon"/>
    <m/>
  </r>
  <r>
    <x v="13"/>
    <d v="2019-12-30T00:00:00"/>
    <s v="Discover"/>
    <x v="0"/>
    <n v="85.85"/>
    <x v="0"/>
    <m/>
    <m/>
    <m/>
    <n v="85.85"/>
    <b v="0"/>
    <m/>
    <m/>
    <s v="-"/>
    <x v="0"/>
    <s v="Create Rule; and Description='Amazon';Amazon"/>
    <m/>
  </r>
  <r>
    <x v="13"/>
    <d v="2019-12-30T00:00:00"/>
    <s v="Discover"/>
    <x v="0"/>
    <n v="17.170000000000002"/>
    <x v="0"/>
    <m/>
    <m/>
    <m/>
    <n v="17.170000000000002"/>
    <b v="0"/>
    <m/>
    <m/>
    <s v="-"/>
    <x v="0"/>
    <s v="Create Rule; and Description='Amazon';Amazon"/>
    <m/>
  </r>
  <r>
    <x v="13"/>
    <d v="2019-12-30T00:00:00"/>
    <s v="Discover"/>
    <x v="0"/>
    <n v="21.22"/>
    <x v="0"/>
    <m/>
    <m/>
    <m/>
    <n v="21.22"/>
    <b v="0"/>
    <m/>
    <m/>
    <s v="-"/>
    <x v="0"/>
    <s v="Create Rule; and Description='Amazon';Amazon"/>
    <m/>
  </r>
  <r>
    <x v="13"/>
    <d v="2019-12-30T00:00:00"/>
    <s v="Discover"/>
    <x v="0"/>
    <n v="54"/>
    <x v="0"/>
    <m/>
    <m/>
    <m/>
    <n v="54"/>
    <b v="0"/>
    <m/>
    <m/>
    <s v="-"/>
    <x v="0"/>
    <s v="Create Rule; and Description='Amazon';Amazon"/>
    <m/>
  </r>
  <r>
    <x v="13"/>
    <d v="2019-12-30T00:00:00"/>
    <s v="Discover"/>
    <x v="0"/>
    <n v="33.75"/>
    <x v="0"/>
    <m/>
    <m/>
    <m/>
    <n v="33.75"/>
    <b v="0"/>
    <m/>
    <m/>
    <s v="-"/>
    <x v="0"/>
    <s v="Create Rule; and Description='Amazon';Amazon"/>
    <m/>
  </r>
  <r>
    <x v="13"/>
    <d v="2019-12-30T00:00:00"/>
    <s v="Discover"/>
    <x v="0"/>
    <n v="6.27"/>
    <x v="0"/>
    <m/>
    <m/>
    <m/>
    <n v="6.27"/>
    <b v="0"/>
    <m/>
    <m/>
    <s v="-"/>
    <x v="0"/>
    <s v="Create Rule; and Description='Amazon';Amazon"/>
    <m/>
  </r>
  <r>
    <x v="13"/>
    <d v="2019-12-30T00:00:00"/>
    <s v="Discover"/>
    <x v="0"/>
    <n v="19.989999999999998"/>
    <x v="0"/>
    <m/>
    <m/>
    <m/>
    <n v="19.989999999999998"/>
    <b v="0"/>
    <m/>
    <m/>
    <s v="-"/>
    <x v="0"/>
    <s v="Create Rule; and Description='Amazon';Amazon"/>
    <m/>
  </r>
  <r>
    <x v="13"/>
    <d v="2019-12-30T00:00:00"/>
    <s v="Discover"/>
    <x v="0"/>
    <n v="21.46"/>
    <x v="0"/>
    <m/>
    <m/>
    <m/>
    <n v="21.46"/>
    <b v="0"/>
    <m/>
    <m/>
    <s v="-"/>
    <x v="0"/>
    <s v="Create Rule; and Description='Amazon';Amazon"/>
    <m/>
  </r>
  <r>
    <x v="13"/>
    <d v="2019-12-30T00:00:00"/>
    <s v="Discover"/>
    <x v="0"/>
    <n v="31.98"/>
    <x v="0"/>
    <m/>
    <m/>
    <m/>
    <n v="31.98"/>
    <b v="0"/>
    <m/>
    <m/>
    <s v="-"/>
    <x v="0"/>
    <s v="Create Rule; and Description='Amazon';Amazon"/>
    <m/>
  </r>
  <r>
    <x v="13"/>
    <d v="2019-12-30T00:00:00"/>
    <s v="Discover"/>
    <x v="0"/>
    <n v="-4.16"/>
    <x v="0"/>
    <m/>
    <m/>
    <m/>
    <n v="4.16"/>
    <b v="0"/>
    <m/>
    <m/>
    <s v="+"/>
    <x v="0"/>
    <s v="Create Rule; and Description='Amazon';Amazon"/>
    <m/>
  </r>
  <r>
    <x v="13"/>
    <d v="2019-12-30T00:00:00"/>
    <s v="Discover More Card"/>
    <x v="0"/>
    <n v="15.02"/>
    <x v="0"/>
    <m/>
    <m/>
    <m/>
    <n v="15.02"/>
    <b v="0"/>
    <m/>
    <m/>
    <s v="-"/>
    <x v="0"/>
    <s v="Create Rule; and Description='Amazon';Amazon"/>
    <m/>
  </r>
  <r>
    <x v="13"/>
    <d v="2019-12-30T00:00:00"/>
    <s v="Discover More Card"/>
    <x v="0"/>
    <n v="21.48"/>
    <x v="0"/>
    <m/>
    <m/>
    <m/>
    <n v="21.48"/>
    <b v="0"/>
    <m/>
    <m/>
    <s v="-"/>
    <x v="0"/>
    <s v="Create Rule; and Description='Amazon';Amazon"/>
    <m/>
  </r>
  <r>
    <x v="13"/>
    <d v="2019-12-30T00:00:00"/>
    <s v="Discover More Card"/>
    <x v="0"/>
    <n v="57.94"/>
    <x v="0"/>
    <m/>
    <m/>
    <m/>
    <n v="57.94"/>
    <b v="0"/>
    <m/>
    <m/>
    <s v="-"/>
    <x v="0"/>
    <s v="Create Rule; and Description='Amazon';Amazon"/>
    <m/>
  </r>
  <r>
    <x v="13"/>
    <d v="2019-12-30T00:00:00"/>
    <s v="Discover More Card"/>
    <x v="0"/>
    <n v="64.41"/>
    <x v="0"/>
    <m/>
    <m/>
    <m/>
    <n v="64.41"/>
    <b v="0"/>
    <m/>
    <m/>
    <s v="-"/>
    <x v="0"/>
    <s v="Create Rule; and Description='Amazon';Amazon"/>
    <m/>
  </r>
  <r>
    <x v="13"/>
    <d v="2019-12-30T00:00:00"/>
    <s v="Discover More Card"/>
    <x v="0"/>
    <n v="85.85"/>
    <x v="0"/>
    <m/>
    <m/>
    <m/>
    <n v="85.85"/>
    <b v="0"/>
    <m/>
    <m/>
    <s v="-"/>
    <x v="0"/>
    <s v="Create Rule; and Description='Amazon';Amazon"/>
    <m/>
  </r>
  <r>
    <x v="13"/>
    <d v="2019-12-30T00:00:00"/>
    <s v="Discover More Card"/>
    <x v="0"/>
    <n v="17.170000000000002"/>
    <x v="0"/>
    <m/>
    <m/>
    <m/>
    <n v="17.170000000000002"/>
    <b v="0"/>
    <m/>
    <m/>
    <s v="-"/>
    <x v="0"/>
    <s v="Create Rule; and Description='Amazon';Amazon"/>
    <m/>
  </r>
  <r>
    <x v="13"/>
    <d v="2019-12-30T00:00:00"/>
    <s v="Discover More Card"/>
    <x v="0"/>
    <n v="21.22"/>
    <x v="0"/>
    <m/>
    <m/>
    <m/>
    <n v="21.22"/>
    <b v="0"/>
    <m/>
    <m/>
    <s v="-"/>
    <x v="0"/>
    <s v="Create Rule; and Description='Amazon';Amazon"/>
    <m/>
  </r>
  <r>
    <x v="13"/>
    <d v="2019-12-30T00:00:00"/>
    <s v="Discover More Card"/>
    <x v="0"/>
    <n v="54"/>
    <x v="0"/>
    <m/>
    <m/>
    <m/>
    <n v="54"/>
    <b v="0"/>
    <m/>
    <m/>
    <s v="-"/>
    <x v="0"/>
    <s v="Create Rule; and Description='Amazon';Amazon"/>
    <m/>
  </r>
  <r>
    <x v="13"/>
    <d v="2019-12-30T00:00:00"/>
    <s v="Discover More Card"/>
    <x v="0"/>
    <n v="33.75"/>
    <x v="0"/>
    <m/>
    <m/>
    <m/>
    <n v="33.75"/>
    <b v="0"/>
    <m/>
    <m/>
    <s v="-"/>
    <x v="0"/>
    <s v="Create Rule; and Description='Amazon';Amazon"/>
    <m/>
  </r>
  <r>
    <x v="13"/>
    <d v="2019-12-30T00:00:00"/>
    <s v="Discover More Card"/>
    <x v="0"/>
    <n v="6.27"/>
    <x v="0"/>
    <m/>
    <m/>
    <m/>
    <n v="6.27"/>
    <b v="0"/>
    <m/>
    <m/>
    <s v="-"/>
    <x v="0"/>
    <s v="Create Rule; and Description='Amazon';Amazon"/>
    <m/>
  </r>
  <r>
    <x v="13"/>
    <d v="2019-12-30T00:00:00"/>
    <s v="Discover More Card"/>
    <x v="0"/>
    <n v="19.989999999999998"/>
    <x v="0"/>
    <m/>
    <m/>
    <m/>
    <n v="19.989999999999998"/>
    <b v="0"/>
    <m/>
    <m/>
    <s v="-"/>
    <x v="0"/>
    <s v="Create Rule; and Description='Amazon';Amazon"/>
    <m/>
  </r>
  <r>
    <x v="13"/>
    <d v="2019-12-30T00:00:00"/>
    <s v="Discover More Card"/>
    <x v="0"/>
    <n v="21.46"/>
    <x v="0"/>
    <m/>
    <m/>
    <m/>
    <n v="21.46"/>
    <b v="0"/>
    <m/>
    <m/>
    <s v="-"/>
    <x v="0"/>
    <s v="Create Rule; and Description='Amazon';Amazon"/>
    <m/>
  </r>
  <r>
    <x v="13"/>
    <d v="2019-12-30T00:00:00"/>
    <s v="Discover More Card"/>
    <x v="0"/>
    <n v="31.98"/>
    <x v="0"/>
    <m/>
    <m/>
    <m/>
    <n v="31.98"/>
    <b v="0"/>
    <m/>
    <m/>
    <s v="-"/>
    <x v="0"/>
    <s v="Create Rule; and Description='Amazon';Amazon"/>
    <m/>
  </r>
  <r>
    <x v="13"/>
    <d v="2019-12-30T00:00:00"/>
    <s v="Discover More Card"/>
    <x v="0"/>
    <n v="-4.16"/>
    <x v="0"/>
    <m/>
    <m/>
    <m/>
    <n v="4.16"/>
    <b v="0"/>
    <m/>
    <m/>
    <s v="+"/>
    <x v="0"/>
    <s v="Create Rule; and Description='Amazon';Amazon"/>
    <m/>
  </r>
  <r>
    <x v="13"/>
    <d v="2019-12-30T00:00:00"/>
    <s v="Discover More Card"/>
    <x v="0"/>
    <n v="11.27"/>
    <x v="0"/>
    <m/>
    <m/>
    <m/>
    <n v="11.27"/>
    <b v="0"/>
    <m/>
    <m/>
    <s v="-"/>
    <x v="0"/>
    <s v="Create Rule; and Description='Amazon';Amazon"/>
    <m/>
  </r>
  <r>
    <x v="13"/>
    <d v="2019-12-30T00:00:00"/>
    <s v="POWERPLUS"/>
    <x v="455"/>
    <n v="18.350000000000001"/>
    <x v="7"/>
    <m/>
    <m/>
    <m/>
    <n v="18.350000000000001"/>
    <b v="0"/>
    <m/>
    <m/>
    <s v="-"/>
    <x v="439"/>
    <m/>
    <m/>
  </r>
  <r>
    <x v="13"/>
    <d v="2019-12-30T00:00:00"/>
    <s v="POWERPLUS CHECKING"/>
    <x v="455"/>
    <n v="18.350000000000001"/>
    <x v="8"/>
    <m/>
    <m/>
    <m/>
    <n v="18.350000000000001"/>
    <b v="0"/>
    <m/>
    <m/>
    <s v="-"/>
    <x v="439"/>
    <s v="Manual"/>
    <m/>
  </r>
  <r>
    <x v="13"/>
    <d v="2019-12-30T00:00:00"/>
    <s v="POWERPLUS"/>
    <x v="48"/>
    <n v="99.04"/>
    <x v="16"/>
    <m/>
    <m/>
    <m/>
    <n v="99.04"/>
    <b v="0"/>
    <m/>
    <m/>
    <s v="-"/>
    <x v="48"/>
    <s v="Create Rule; and Description='American Family Insurance';Insurance"/>
    <m/>
  </r>
  <r>
    <x v="13"/>
    <d v="2019-12-30T00:00:00"/>
    <s v="POWERPLUS CHECKING"/>
    <x v="48"/>
    <n v="99.04"/>
    <x v="16"/>
    <m/>
    <m/>
    <m/>
    <n v="99.04"/>
    <b v="0"/>
    <m/>
    <m/>
    <s v="-"/>
    <x v="48"/>
    <s v="Create Rule; and Description='American Family Insurance';Insurance"/>
    <m/>
  </r>
  <r>
    <x v="13"/>
    <d v="2019-12-30T00:00:00"/>
    <s v="Coopers Rainy Day"/>
    <x v="114"/>
    <n v="-0.02"/>
    <x v="3"/>
    <m/>
    <m/>
    <m/>
    <n v="0.02"/>
    <b v="0"/>
    <m/>
    <m/>
    <s v="+"/>
    <x v="114"/>
    <s v="Manual"/>
    <m/>
  </r>
  <r>
    <x v="13"/>
    <d v="2019-12-30T00:00:00"/>
    <s v="POWERPLUS"/>
    <x v="456"/>
    <n v="-3"/>
    <x v="7"/>
    <m/>
    <m/>
    <m/>
    <n v="3"/>
    <b v="0"/>
    <m/>
    <m/>
    <s v="+"/>
    <x v="440"/>
    <m/>
    <m/>
  </r>
  <r>
    <x v="13"/>
    <d v="2019-12-30T00:00:00"/>
    <s v="POWERPLUS CHECKING"/>
    <x v="456"/>
    <n v="-3"/>
    <x v="3"/>
    <m/>
    <m/>
    <m/>
    <n v="3"/>
    <b v="0"/>
    <m/>
    <m/>
    <s v="+"/>
    <x v="440"/>
    <s v="Manual"/>
    <m/>
  </r>
  <r>
    <x v="13"/>
    <d v="2019-12-30T00:00:00"/>
    <s v="Cash Rewards Visa Signature"/>
    <x v="457"/>
    <n v="262.18"/>
    <x v="5"/>
    <m/>
    <m/>
    <m/>
    <n v="262.18"/>
    <b v="0"/>
    <m/>
    <m/>
    <s v="-"/>
    <x v="441"/>
    <s v="Create Rule; and Description Like '%AVOADVOCARE INTL%';Groceries"/>
    <m/>
  </r>
  <r>
    <x v="13"/>
    <d v="2019-12-30T00:00:00"/>
    <s v="Cash Rewards Visa Signature"/>
    <x v="458"/>
    <n v="507.8"/>
    <x v="3"/>
    <m/>
    <m/>
    <m/>
    <n v="507.8"/>
    <b v="0"/>
    <m/>
    <m/>
    <s v="-"/>
    <x v="442"/>
    <s v="Manual"/>
    <m/>
  </r>
  <r>
    <x v="13"/>
    <d v="2019-12-30T00:00:00"/>
    <s v="POWERPLUS"/>
    <x v="459"/>
    <n v="43.22"/>
    <x v="8"/>
    <m/>
    <m/>
    <m/>
    <n v="43.22"/>
    <b v="0"/>
    <m/>
    <m/>
    <s v="-"/>
    <x v="443"/>
    <s v="Create Rule; and Description Like '%Banana Visa%';Shopping"/>
    <m/>
  </r>
  <r>
    <x v="13"/>
    <d v="2019-12-30T00:00:00"/>
    <s v="POWERPLUS CHECKING"/>
    <x v="459"/>
    <n v="43.22"/>
    <x v="8"/>
    <m/>
    <m/>
    <m/>
    <n v="43.22"/>
    <b v="0"/>
    <m/>
    <m/>
    <s v="-"/>
    <x v="443"/>
    <s v="Create Rule; and Description Like '%Banana Visa%';Shopping"/>
    <m/>
  </r>
  <r>
    <x v="13"/>
    <d v="2019-12-30T00:00:00"/>
    <s v="Britney Roth"/>
    <x v="460"/>
    <n v="-0.04"/>
    <x v="7"/>
    <m/>
    <m/>
    <m/>
    <n v="0.04"/>
    <b v="0"/>
    <m/>
    <m/>
    <s v="+"/>
    <x v="444"/>
    <m/>
    <m/>
  </r>
  <r>
    <x v="13"/>
    <d v="2019-12-30T00:00:00"/>
    <s v="Jeff Roth"/>
    <x v="460"/>
    <n v="-0.04"/>
    <x v="7"/>
    <m/>
    <m/>
    <m/>
    <n v="0.04"/>
    <b v="0"/>
    <m/>
    <m/>
    <s v="+"/>
    <x v="444"/>
    <m/>
    <m/>
  </r>
  <r>
    <x v="13"/>
    <d v="2019-12-30T00:00:00"/>
    <s v="Roth Contributory IRA"/>
    <x v="460"/>
    <n v="-0.04"/>
    <x v="7"/>
    <m/>
    <m/>
    <m/>
    <n v="0.04"/>
    <b v="0"/>
    <m/>
    <m/>
    <s v="+"/>
    <x v="444"/>
    <m/>
    <m/>
  </r>
  <r>
    <x v="13"/>
    <d v="2019-12-30T00:00:00"/>
    <s v="Cash Rewards Visa Signature"/>
    <x v="461"/>
    <n v="-55.96"/>
    <x v="3"/>
    <m/>
    <m/>
    <m/>
    <n v="55.96"/>
    <b v="0"/>
    <m/>
    <m/>
    <s v="+"/>
    <x v="445"/>
    <s v="Manual"/>
    <m/>
  </r>
  <r>
    <x v="13"/>
    <d v="2019-12-30T00:00:00"/>
    <s v="Cash Rewards Visa Signature"/>
    <x v="461"/>
    <n v="-71.959999999999994"/>
    <x v="3"/>
    <m/>
    <m/>
    <m/>
    <n v="71.959999999999994"/>
    <b v="0"/>
    <m/>
    <m/>
    <s v="+"/>
    <x v="445"/>
    <s v="Manual"/>
    <m/>
  </r>
  <r>
    <x v="13"/>
    <d v="2019-12-30T00:00:00"/>
    <s v="Cash Rewards Visa Signature"/>
    <x v="70"/>
    <n v="22.55"/>
    <x v="5"/>
    <m/>
    <m/>
    <m/>
    <n v="22.55"/>
    <b v="0"/>
    <m/>
    <m/>
    <s v="-"/>
    <x v="70"/>
    <s v="Create Rule; and Description like '%Byerly%';Groceries"/>
    <m/>
  </r>
  <r>
    <x v="13"/>
    <d v="2019-12-30T00:00:00"/>
    <s v="Cash Rewards Visa Signature"/>
    <x v="70"/>
    <n v="9.69"/>
    <x v="5"/>
    <m/>
    <m/>
    <m/>
    <n v="9.69"/>
    <b v="0"/>
    <m/>
    <m/>
    <s v="-"/>
    <x v="70"/>
    <s v="Create Rule; and Description like '%Byerly%';Groceries"/>
    <m/>
  </r>
  <r>
    <x v="13"/>
    <d v="2019-12-30T00:00:00"/>
    <s v="Cash Rewards Visa Signature"/>
    <x v="70"/>
    <n v="83.48"/>
    <x v="5"/>
    <m/>
    <m/>
    <m/>
    <n v="83.48"/>
    <b v="0"/>
    <m/>
    <m/>
    <s v="-"/>
    <x v="70"/>
    <s v="Create Rule; and Description like '%Byerly%';Groceries"/>
    <m/>
  </r>
  <r>
    <x v="13"/>
    <d v="2019-12-30T00:00:00"/>
    <s v="Joint Tenant"/>
    <x v="185"/>
    <n v="-200"/>
    <x v="17"/>
    <m/>
    <m/>
    <m/>
    <n v="200"/>
    <b v="0"/>
    <m/>
    <m/>
    <s v="+"/>
    <x v="184"/>
    <s v="Create Rule; and Description='CARGILL COCOA &amp;';Roth"/>
    <m/>
  </r>
  <r>
    <x v="13"/>
    <d v="2019-12-30T00:00:00"/>
    <s v="Joint Tenant"/>
    <x v="185"/>
    <n v="-200"/>
    <x v="17"/>
    <m/>
    <m/>
    <m/>
    <n v="200"/>
    <b v="0"/>
    <m/>
    <m/>
    <s v="+"/>
    <x v="184"/>
    <s v="Create Rule; and Description='CARGILL COCOA &amp;';Roth"/>
    <m/>
  </r>
  <r>
    <x v="13"/>
    <d v="2019-12-30T00:00:00"/>
    <s v="POWERPLUS"/>
    <x v="462"/>
    <n v="-551.47"/>
    <x v="14"/>
    <m/>
    <m/>
    <m/>
    <n v="551.47"/>
    <b v="0"/>
    <m/>
    <m/>
    <s v="+"/>
    <x v="446"/>
    <s v="Create Rule; and Description Like '%CARGILL COCOA TYPE DIR DEP ID%';Inc - Britney"/>
    <m/>
  </r>
  <r>
    <x v="13"/>
    <d v="2019-12-30T00:00:00"/>
    <s v="POWERPLUS CHECKING"/>
    <x v="462"/>
    <n v="-551.47"/>
    <x v="14"/>
    <m/>
    <m/>
    <m/>
    <n v="551.47"/>
    <b v="0"/>
    <m/>
    <m/>
    <s v="+"/>
    <x v="446"/>
    <s v="Create Rule; and Description Like '%CARGILL COCOA TYPE DIR DEP ID%';Inc - Britney"/>
    <m/>
  </r>
  <r>
    <x v="13"/>
    <d v="2019-12-30T00:00:00"/>
    <s v="POWERPLUS"/>
    <x v="463"/>
    <n v="-551.44000000000005"/>
    <x v="14"/>
    <m/>
    <m/>
    <m/>
    <n v="551.44000000000005"/>
    <b v="0"/>
    <m/>
    <m/>
    <s v="+"/>
    <x v="447"/>
    <s v="Create Rule; and Description Like '%CARGILL COCOA TYPE DIR DEP ID%';Inc - Britney"/>
    <m/>
  </r>
  <r>
    <x v="13"/>
    <d v="2019-12-30T00:00:00"/>
    <s v="POWERPLUS CHECKING"/>
    <x v="463"/>
    <n v="-551.44000000000005"/>
    <x v="14"/>
    <m/>
    <m/>
    <m/>
    <n v="551.44000000000005"/>
    <b v="0"/>
    <m/>
    <m/>
    <s v="+"/>
    <x v="447"/>
    <s v="Create Rule; and Description Like '%CARGILL COCOA TYPE DIR DEP ID%';Inc - Britney"/>
    <m/>
  </r>
  <r>
    <x v="13"/>
    <d v="2019-12-30T00:00:00"/>
    <s v="Cash Rewards Visa Signature"/>
    <x v="59"/>
    <n v="4.3099999999999996"/>
    <x v="1"/>
    <m/>
    <m/>
    <m/>
    <n v="4.3099999999999996"/>
    <b v="0"/>
    <m/>
    <m/>
    <s v="-"/>
    <x v="59"/>
    <s v="Create Rule; and Description Like '%Caribou Coffee%';Restaurants"/>
    <m/>
  </r>
  <r>
    <x v="13"/>
    <d v="2019-12-30T00:00:00"/>
    <s v="POWERPLUS"/>
    <x v="464"/>
    <n v="142.5"/>
    <x v="4"/>
    <m/>
    <m/>
    <m/>
    <n v="142.5"/>
    <b v="0"/>
    <m/>
    <m/>
    <s v="-"/>
    <x v="448"/>
    <s v="Create Rule; and Description Like '%CCLC TYPE INTERNET ID%';Day Care"/>
    <m/>
  </r>
  <r>
    <x v="13"/>
    <d v="2019-12-30T00:00:00"/>
    <s v="POWERPLUS CHECKING"/>
    <x v="464"/>
    <n v="142.5"/>
    <x v="4"/>
    <m/>
    <m/>
    <m/>
    <n v="142.5"/>
    <b v="0"/>
    <m/>
    <m/>
    <s v="-"/>
    <x v="448"/>
    <s v="Create Rule; and Description Like '%CCLC TYPE INTERNET ID%';Day Care"/>
    <m/>
  </r>
  <r>
    <x v="13"/>
    <d v="2019-12-30T00:00:00"/>
    <s v="POWERPLUS"/>
    <x v="465"/>
    <n v="105.45"/>
    <x v="4"/>
    <m/>
    <m/>
    <m/>
    <n v="105.45"/>
    <b v="0"/>
    <m/>
    <m/>
    <s v="-"/>
    <x v="449"/>
    <s v="Create Rule; and Description Like '%CCLC TYPE INTERNET ID%';Day Care"/>
    <m/>
  </r>
  <r>
    <x v="13"/>
    <d v="2019-12-30T00:00:00"/>
    <s v="POWERPLUS CHECKING"/>
    <x v="465"/>
    <n v="105.45"/>
    <x v="4"/>
    <m/>
    <m/>
    <m/>
    <n v="105.45"/>
    <b v="0"/>
    <m/>
    <m/>
    <s v="-"/>
    <x v="449"/>
    <s v="Create Rule; and Description Like '%CCLC TYPE INTERNET ID%';Day Care"/>
    <m/>
  </r>
  <r>
    <x v="13"/>
    <d v="2019-12-30T00:00:00"/>
    <s v="POWERPLUS"/>
    <x v="466"/>
    <n v="247.95"/>
    <x v="4"/>
    <m/>
    <m/>
    <m/>
    <n v="247.95"/>
    <b v="0"/>
    <m/>
    <m/>
    <s v="-"/>
    <x v="450"/>
    <s v="Create Rule; and Description Like '%CCLC TYPE INTERNET ID%';Day Care"/>
    <m/>
  </r>
  <r>
    <x v="13"/>
    <d v="2019-12-30T00:00:00"/>
    <s v="POWERPLUS CHECKING"/>
    <x v="466"/>
    <n v="247.95"/>
    <x v="4"/>
    <m/>
    <m/>
    <m/>
    <n v="247.95"/>
    <b v="0"/>
    <m/>
    <m/>
    <s v="-"/>
    <x v="450"/>
    <s v="Create Rule; and Description Like '%CCLC TYPE INTERNET ID%';Day Care"/>
    <m/>
  </r>
  <r>
    <x v="13"/>
    <d v="2019-12-30T00:00:00"/>
    <s v="POWERPLUS"/>
    <x v="467"/>
    <n v="142.5"/>
    <x v="4"/>
    <m/>
    <m/>
    <m/>
    <n v="142.5"/>
    <b v="0"/>
    <m/>
    <m/>
    <s v="-"/>
    <x v="451"/>
    <s v="Create Rule; and Description Like '%CCLC TYPE INTERNET ID%';Day Care"/>
    <m/>
  </r>
  <r>
    <x v="13"/>
    <d v="2019-12-30T00:00:00"/>
    <s v="POWERPLUS CHECKING"/>
    <x v="467"/>
    <n v="142.5"/>
    <x v="4"/>
    <m/>
    <m/>
    <m/>
    <n v="142.5"/>
    <b v="0"/>
    <m/>
    <m/>
    <s v="-"/>
    <x v="451"/>
    <s v="Create Rule; and Description Like '%CCLC TYPE INTERNET ID%';Day Care"/>
    <m/>
  </r>
  <r>
    <x v="13"/>
    <d v="2019-12-30T00:00:00"/>
    <s v="Discover"/>
    <x v="67"/>
    <n v="45"/>
    <x v="11"/>
    <m/>
    <m/>
    <m/>
    <n v="45"/>
    <b v="0"/>
    <m/>
    <m/>
    <s v="-"/>
    <x v="67"/>
    <s v="Create Rule; and Description='CenturyLink';Utilities"/>
    <m/>
  </r>
  <r>
    <x v="13"/>
    <d v="2019-12-30T00:00:00"/>
    <s v="Discover More Card"/>
    <x v="67"/>
    <n v="45"/>
    <x v="11"/>
    <m/>
    <m/>
    <m/>
    <n v="45"/>
    <b v="0"/>
    <m/>
    <m/>
    <s v="-"/>
    <x v="67"/>
    <s v="Create Rule; and Description='CenturyLink';Utilities"/>
    <m/>
  </r>
  <r>
    <x v="13"/>
    <d v="2019-12-30T00:00:00"/>
    <s v="Cash Rewards Visa Signature"/>
    <x v="468"/>
    <n v="19.46"/>
    <x v="2"/>
    <m/>
    <m/>
    <m/>
    <n v="19.46"/>
    <b v="0"/>
    <m/>
    <m/>
    <s v="-"/>
    <x v="452"/>
    <s v="Create Rule; and Description='Chevron';Transportation"/>
    <m/>
  </r>
  <r>
    <x v="13"/>
    <d v="2019-12-30T00:00:00"/>
    <s v="Joint Tenant"/>
    <x v="245"/>
    <n v="-45.54"/>
    <x v="23"/>
    <m/>
    <m/>
    <m/>
    <n v="45.54"/>
    <b v="0"/>
    <m/>
    <m/>
    <s v="+"/>
    <x v="243"/>
    <s v="Create Rule; and Description='CHEVRON CORP';Dividend"/>
    <m/>
  </r>
  <r>
    <x v="13"/>
    <d v="2019-12-30T00:00:00"/>
    <s v="Joint Tenant"/>
    <x v="245"/>
    <n v="45.54"/>
    <x v="23"/>
    <m/>
    <m/>
    <m/>
    <n v="45.54"/>
    <b v="0"/>
    <m/>
    <m/>
    <s v="-"/>
    <x v="243"/>
    <s v="Create Rule; and Description='CHEVRON CORP';Dividend"/>
    <m/>
  </r>
  <r>
    <x v="13"/>
    <d v="2019-12-30T00:00:00"/>
    <s v="Discover"/>
    <x v="469"/>
    <n v="5.9"/>
    <x v="7"/>
    <m/>
    <m/>
    <m/>
    <n v="5.9"/>
    <b v="0"/>
    <m/>
    <m/>
    <s v="-"/>
    <x v="453"/>
    <m/>
    <m/>
  </r>
  <r>
    <x v="13"/>
    <d v="2019-12-30T00:00:00"/>
    <s v="Discover More Card"/>
    <x v="469"/>
    <n v="5.9"/>
    <x v="1"/>
    <m/>
    <m/>
    <m/>
    <n v="5.9"/>
    <b v="0"/>
    <m/>
    <m/>
    <s v="-"/>
    <x v="453"/>
    <s v="Manual"/>
    <m/>
  </r>
  <r>
    <x v="13"/>
    <d v="2019-12-30T00:00:00"/>
    <s v="POWERPLUS"/>
    <x v="84"/>
    <n v="33.49"/>
    <x v="11"/>
    <m/>
    <m/>
    <m/>
    <n v="33.49"/>
    <b v="0"/>
    <m/>
    <m/>
    <s v="-"/>
    <x v="84"/>
    <s v="Create Rule; and Description='City of Chanhassen';Utilities"/>
    <m/>
  </r>
  <r>
    <x v="13"/>
    <d v="2019-12-30T00:00:00"/>
    <s v="POWERPLUS CHECKING"/>
    <x v="84"/>
    <n v="33.49"/>
    <x v="11"/>
    <m/>
    <m/>
    <m/>
    <n v="33.49"/>
    <b v="0"/>
    <m/>
    <m/>
    <s v="-"/>
    <x v="84"/>
    <s v="Create Rule; and Description='City of Chanhassen';Utilities"/>
    <m/>
  </r>
  <r>
    <x v="13"/>
    <d v="2019-12-30T00:00:00"/>
    <s v="POWERPLUS"/>
    <x v="470"/>
    <n v="78.12"/>
    <x v="11"/>
    <m/>
    <m/>
    <m/>
    <n v="78.12"/>
    <b v="0"/>
    <m/>
    <m/>
    <s v="-"/>
    <x v="146"/>
    <s v="Create Rule; and Description Like '%CPENERGY MNGCO%';Utilities"/>
    <m/>
  </r>
  <r>
    <x v="13"/>
    <d v="2019-12-30T00:00:00"/>
    <s v="POWERPLUS CHECKING"/>
    <x v="470"/>
    <n v="78.12"/>
    <x v="11"/>
    <m/>
    <m/>
    <m/>
    <n v="78.12"/>
    <b v="0"/>
    <m/>
    <m/>
    <s v="-"/>
    <x v="146"/>
    <s v="Create Rule; and Description Like '%CPENERGY MNGCO%';Utilities"/>
    <m/>
  </r>
  <r>
    <x v="13"/>
    <d v="2019-12-30T00:00:00"/>
    <s v="Cash Rewards Visa Signature"/>
    <x v="431"/>
    <n v="-68.28"/>
    <x v="8"/>
    <m/>
    <m/>
    <m/>
    <n v="68.28"/>
    <b v="0"/>
    <m/>
    <m/>
    <s v="+"/>
    <x v="416"/>
    <s v="Create Rule; and Description='Crate &amp; Barrel';Shopping"/>
    <m/>
  </r>
  <r>
    <x v="13"/>
    <d v="2019-12-30T00:00:00"/>
    <s v="Discover"/>
    <x v="6"/>
    <n v="154.18"/>
    <x v="5"/>
    <m/>
    <m/>
    <m/>
    <n v="154.18"/>
    <b v="0"/>
    <m/>
    <m/>
    <s v="-"/>
    <x v="6"/>
    <s v="Create Rule; and Description Like '%Cub Foods%';Groceries"/>
    <m/>
  </r>
  <r>
    <x v="13"/>
    <d v="2019-12-30T00:00:00"/>
    <s v="Discover More Card"/>
    <x v="6"/>
    <n v="154.18"/>
    <x v="5"/>
    <m/>
    <m/>
    <m/>
    <n v="154.18"/>
    <b v="0"/>
    <m/>
    <m/>
    <s v="-"/>
    <x v="6"/>
    <s v="Create Rule; and Description Like '%Cub Foods%';Groceries"/>
    <m/>
  </r>
  <r>
    <x v="13"/>
    <d v="2019-12-30T00:00:00"/>
    <s v="Cash Rewards Visa Signature"/>
    <x v="6"/>
    <n v="109.3"/>
    <x v="5"/>
    <m/>
    <m/>
    <m/>
    <n v="109.3"/>
    <b v="0"/>
    <m/>
    <m/>
    <s v="-"/>
    <x v="6"/>
    <s v="Create Rule; and Description Like '%Cub Foods%';Groceries"/>
    <m/>
  </r>
  <r>
    <x v="13"/>
    <d v="2019-12-30T00:00:00"/>
    <s v="Cash Rewards Visa Signature"/>
    <x v="6"/>
    <n v="25.9"/>
    <x v="5"/>
    <m/>
    <m/>
    <m/>
    <n v="25.9"/>
    <b v="0"/>
    <m/>
    <m/>
    <s v="-"/>
    <x v="6"/>
    <s v="Create Rule; and Description Like '%Cub Foods%';Groceries"/>
    <m/>
  </r>
  <r>
    <x v="13"/>
    <d v="2019-12-30T00:00:00"/>
    <s v="Cash Rewards Visa Signature"/>
    <x v="6"/>
    <n v="34.75"/>
    <x v="5"/>
    <m/>
    <m/>
    <m/>
    <n v="34.75"/>
    <b v="0"/>
    <m/>
    <m/>
    <s v="-"/>
    <x v="6"/>
    <s v="Create Rule; and Description Like '%Cub Foods%';Groceries"/>
    <m/>
  </r>
  <r>
    <x v="13"/>
    <d v="2019-12-30T00:00:00"/>
    <s v="Cash Rewards Visa Signature"/>
    <x v="471"/>
    <n v="182.54"/>
    <x v="19"/>
    <m/>
    <m/>
    <m/>
    <n v="182.54"/>
    <b v="0"/>
    <m/>
    <m/>
    <s v="-"/>
    <x v="454"/>
    <s v="Manual"/>
    <m/>
  </r>
  <r>
    <x v="13"/>
    <d v="2019-12-30T00:00:00"/>
    <s v="POWERPLUS"/>
    <x v="472"/>
    <n v="-374.28"/>
    <x v="3"/>
    <m/>
    <m/>
    <m/>
    <n v="374.28"/>
    <b v="0"/>
    <m/>
    <m/>
    <s v="+"/>
    <x v="455"/>
    <s v="Delete; and Description Like '%DIRECT PAY HSA TYPE ETRANSFER%';0"/>
    <m/>
  </r>
  <r>
    <x v="13"/>
    <d v="2019-12-30T00:00:00"/>
    <s v="POWERPLUS CHECKING"/>
    <x v="472"/>
    <n v="-374.28"/>
    <x v="3"/>
    <m/>
    <m/>
    <m/>
    <n v="374.28"/>
    <b v="0"/>
    <m/>
    <m/>
    <s v="+"/>
    <x v="455"/>
    <s v="Delete; and Description Like '%DIRECT PAY HSA TYPE ETRANSFER%';0"/>
    <m/>
  </r>
  <r>
    <x v="13"/>
    <d v="2019-12-30T00:00:00"/>
    <s v="Cash Rewards Visa Signature"/>
    <x v="473"/>
    <n v="43.67"/>
    <x v="1"/>
    <m/>
    <m/>
    <m/>
    <n v="43.67"/>
    <b v="0"/>
    <m/>
    <m/>
    <s v="-"/>
    <x v="456"/>
    <s v="Create Rule; and Description Like '%Domino%';Restaurants"/>
    <m/>
  </r>
  <r>
    <x v="13"/>
    <d v="2019-12-30T00:00:00"/>
    <s v="Discover"/>
    <x v="474"/>
    <n v="29.41"/>
    <x v="2"/>
    <m/>
    <m/>
    <m/>
    <n v="29.41"/>
    <b v="0"/>
    <m/>
    <m/>
    <s v="-"/>
    <x v="457"/>
    <s v="Create Rule; and Description='Exxon';Transportation"/>
    <m/>
  </r>
  <r>
    <x v="13"/>
    <d v="2019-12-30T00:00:00"/>
    <s v="Discover More Card"/>
    <x v="474"/>
    <n v="29.41"/>
    <x v="2"/>
    <m/>
    <m/>
    <m/>
    <n v="29.41"/>
    <b v="0"/>
    <m/>
    <m/>
    <s v="-"/>
    <x v="457"/>
    <s v="Create Rule; and Description='Exxon';Transportation"/>
    <m/>
  </r>
  <r>
    <x v="13"/>
    <d v="2019-12-30T00:00:00"/>
    <s v="KAUFMAN"/>
    <x v="227"/>
    <n v="-258.89"/>
    <x v="18"/>
    <m/>
    <m/>
    <m/>
    <n v="258.89"/>
    <b v="0"/>
    <m/>
    <m/>
    <s v="+"/>
    <x v="225"/>
    <s v="Create Rule; and Description='FID 500 INDEX';401K"/>
    <m/>
  </r>
  <r>
    <x v="13"/>
    <d v="2019-12-30T00:00:00"/>
    <s v="KAUFMAN"/>
    <x v="228"/>
    <n v="-416.75"/>
    <x v="3"/>
    <m/>
    <m/>
    <m/>
    <n v="416.75"/>
    <b v="0"/>
    <m/>
    <m/>
    <s v="+"/>
    <x v="226"/>
    <s v="Delete; and Description='FID EXTD MKT IDX';0"/>
    <m/>
  </r>
  <r>
    <x v="13"/>
    <d v="2019-12-30T00:00:00"/>
    <s v="Cash Rewards Visa Signature"/>
    <x v="475"/>
    <n v="207"/>
    <x v="4"/>
    <m/>
    <m/>
    <m/>
    <n v="207"/>
    <b v="0"/>
    <m/>
    <m/>
    <s v="-"/>
    <x v="458"/>
    <s v="Manual"/>
    <m/>
  </r>
  <r>
    <x v="13"/>
    <d v="2019-12-30T00:00:00"/>
    <s v="Joint Tenant"/>
    <x v="476"/>
    <n v="-1000"/>
    <x v="3"/>
    <m/>
    <m/>
    <m/>
    <n v="1000"/>
    <b v="0"/>
    <m/>
    <m/>
    <s v="+"/>
    <x v="459"/>
    <s v="Delete; and Source='Joint Tenant';0"/>
    <m/>
  </r>
  <r>
    <x v="13"/>
    <d v="2019-12-30T00:00:00"/>
    <s v="Discover"/>
    <x v="402"/>
    <n v="10.77"/>
    <x v="2"/>
    <m/>
    <m/>
    <m/>
    <n v="10.77"/>
    <b v="0"/>
    <m/>
    <m/>
    <s v="-"/>
    <x v="388"/>
    <s v="Create Rule; and Description='GoGoAir';Transportation"/>
    <m/>
  </r>
  <r>
    <x v="13"/>
    <d v="2019-12-30T00:00:00"/>
    <s v="Discover More Card"/>
    <x v="402"/>
    <n v="10.77"/>
    <x v="2"/>
    <m/>
    <m/>
    <m/>
    <n v="10.77"/>
    <b v="0"/>
    <m/>
    <m/>
    <s v="-"/>
    <x v="388"/>
    <s v="Create Rule; and Description='GoGoAir';Transportation"/>
    <m/>
  </r>
  <r>
    <x v="13"/>
    <d v="2019-12-30T00:00:00"/>
    <s v="Joint Tenant"/>
    <x v="286"/>
    <n v="-0.05"/>
    <x v="23"/>
    <m/>
    <m/>
    <m/>
    <n v="0.05"/>
    <b v="0"/>
    <m/>
    <m/>
    <s v="+"/>
    <x v="279"/>
    <s v="Create Rule; and Description='HALLIBURTON CO HLDG';Dividend"/>
    <m/>
  </r>
  <r>
    <x v="13"/>
    <d v="2019-12-30T00:00:00"/>
    <s v="Joint Tenant"/>
    <x v="286"/>
    <n v="0.05"/>
    <x v="23"/>
    <m/>
    <m/>
    <m/>
    <n v="0.05"/>
    <b v="0"/>
    <m/>
    <m/>
    <s v="-"/>
    <x v="279"/>
    <s v="Create Rule; and Description='HALLIBURTON CO HLDG';Dividend"/>
    <m/>
  </r>
  <r>
    <x v="13"/>
    <d v="2019-12-30T00:00:00"/>
    <s v="Cash Rewards Visa Signature"/>
    <x v="68"/>
    <n v="18"/>
    <x v="10"/>
    <m/>
    <m/>
    <m/>
    <n v="18"/>
    <b v="0"/>
    <m/>
    <m/>
    <s v="-"/>
    <x v="68"/>
    <s v="Create Rule; and Description='Harvard Business';Entertainment"/>
    <m/>
  </r>
  <r>
    <x v="13"/>
    <d v="2019-12-30T00:00:00"/>
    <s v="Cash Rewards Visa Signature"/>
    <x v="81"/>
    <n v="39.159999999999997"/>
    <x v="2"/>
    <m/>
    <m/>
    <m/>
    <n v="39.159999999999997"/>
    <b v="0"/>
    <m/>
    <m/>
    <s v="-"/>
    <x v="81"/>
    <s v="Create Rule; and Description='Holiday Stationstore';Transportation"/>
    <m/>
  </r>
  <r>
    <x v="13"/>
    <d v="2019-12-30T00:00:00"/>
    <s v="Discover"/>
    <x v="60"/>
    <n v="5.36"/>
    <x v="19"/>
    <m/>
    <m/>
    <m/>
    <n v="5.36"/>
    <b v="0"/>
    <m/>
    <m/>
    <s v="-"/>
    <x v="60"/>
    <s v="Create Rule; and Description='Home Depot';House Maintenance"/>
    <m/>
  </r>
  <r>
    <x v="13"/>
    <d v="2019-12-30T00:00:00"/>
    <s v="Cash Rewards Visa Signature"/>
    <x v="60"/>
    <n v="19.86"/>
    <x v="19"/>
    <m/>
    <m/>
    <m/>
    <n v="19.86"/>
    <b v="0"/>
    <m/>
    <m/>
    <s v="-"/>
    <x v="60"/>
    <s v="Create Rule; and Description='Home Depot';House Maintenance"/>
    <m/>
  </r>
  <r>
    <x v="13"/>
    <d v="2019-12-30T00:00:00"/>
    <s v="Discover More Card"/>
    <x v="60"/>
    <n v="5.36"/>
    <x v="19"/>
    <m/>
    <m/>
    <m/>
    <n v="5.36"/>
    <b v="0"/>
    <m/>
    <m/>
    <s v="-"/>
    <x v="60"/>
    <s v="Create Rule; and Description='Home Depot';House Maintenance"/>
    <m/>
  </r>
  <r>
    <x v="13"/>
    <d v="2019-12-30T00:00:00"/>
    <s v="Investor Checking"/>
    <x v="118"/>
    <n v="-0.23"/>
    <x v="3"/>
    <m/>
    <m/>
    <m/>
    <n v="0.23"/>
    <b v="0"/>
    <m/>
    <m/>
    <s v="+"/>
    <x v="118"/>
    <s v="Manual"/>
    <m/>
  </r>
  <r>
    <x v="13"/>
    <d v="2019-12-30T00:00:00"/>
    <s v="Contributory"/>
    <x v="477"/>
    <n v="-1000"/>
    <x v="7"/>
    <m/>
    <m/>
    <m/>
    <n v="1000"/>
    <b v="0"/>
    <m/>
    <m/>
    <s v="+"/>
    <x v="460"/>
    <m/>
    <m/>
  </r>
  <r>
    <x v="13"/>
    <d v="2019-12-30T00:00:00"/>
    <s v="Jeff IRA"/>
    <x v="477"/>
    <n v="-1000"/>
    <x v="7"/>
    <m/>
    <m/>
    <m/>
    <n v="1000"/>
    <b v="0"/>
    <m/>
    <m/>
    <s v="+"/>
    <x v="460"/>
    <m/>
    <m/>
  </r>
  <r>
    <x v="13"/>
    <d v="2019-12-30T00:00:00"/>
    <s v="Joint Tenant"/>
    <x v="478"/>
    <n v="-1000"/>
    <x v="3"/>
    <m/>
    <m/>
    <m/>
    <n v="1000"/>
    <b v="0"/>
    <m/>
    <m/>
    <s v="+"/>
    <x v="461"/>
    <s v="Delete; and Source='Joint Tenant';0"/>
    <m/>
  </r>
  <r>
    <x v="13"/>
    <d v="2019-12-30T00:00:00"/>
    <s v="Joint Tenant"/>
    <x v="479"/>
    <n v="1000"/>
    <x v="3"/>
    <m/>
    <m/>
    <m/>
    <n v="1000"/>
    <b v="0"/>
    <m/>
    <m/>
    <s v="-"/>
    <x v="462"/>
    <s v="Delete; and Source='Joint Tenant';0"/>
    <m/>
  </r>
  <r>
    <x v="13"/>
    <d v="2019-12-30T00:00:00"/>
    <s v="Joint Tenant"/>
    <x v="480"/>
    <n v="1000"/>
    <x v="3"/>
    <m/>
    <m/>
    <m/>
    <n v="1000"/>
    <b v="0"/>
    <m/>
    <m/>
    <s v="-"/>
    <x v="463"/>
    <s v="Delete; and Source='Joint Tenant';0"/>
    <m/>
  </r>
  <r>
    <x v="13"/>
    <d v="2019-12-30T00:00:00"/>
    <s v="Joint Tenant"/>
    <x v="167"/>
    <n v="-200"/>
    <x v="21"/>
    <m/>
    <m/>
    <m/>
    <n v="200"/>
    <b v="0"/>
    <m/>
    <m/>
    <s v="+"/>
    <x v="166"/>
    <s v="Create Rule; and Description='KAUFMAN HALL';Savings"/>
    <m/>
  </r>
  <r>
    <x v="13"/>
    <d v="2019-12-30T00:00:00"/>
    <s v="Joint Tenant"/>
    <x v="167"/>
    <n v="-200"/>
    <x v="21"/>
    <m/>
    <m/>
    <m/>
    <n v="200"/>
    <b v="0"/>
    <m/>
    <m/>
    <s v="+"/>
    <x v="166"/>
    <s v="Create Rule; and Description='KAUFMAN HALL';Savings"/>
    <m/>
  </r>
  <r>
    <x v="13"/>
    <d v="2019-12-30T00:00:00"/>
    <s v="POWERPLUS"/>
    <x v="28"/>
    <n v="-80.260000000000005"/>
    <x v="7"/>
    <m/>
    <m/>
    <m/>
    <n v="80.260000000000005"/>
    <b v="0"/>
    <m/>
    <m/>
    <s v="+"/>
    <x v="28"/>
    <m/>
    <m/>
  </r>
  <r>
    <x v="13"/>
    <d v="2019-12-30T00:00:00"/>
    <s v="POWERPLUS CHECKING"/>
    <x v="28"/>
    <n v="-80.260000000000005"/>
    <x v="3"/>
    <m/>
    <m/>
    <m/>
    <n v="80.260000000000005"/>
    <b v="0"/>
    <m/>
    <m/>
    <s v="+"/>
    <x v="28"/>
    <s v="Manual"/>
    <m/>
  </r>
  <r>
    <x v="13"/>
    <d v="2019-12-30T00:00:00"/>
    <s v="POWERPLUS"/>
    <x v="481"/>
    <n v="-1152.7"/>
    <x v="15"/>
    <m/>
    <m/>
    <m/>
    <n v="1152.7"/>
    <b v="0"/>
    <m/>
    <m/>
    <s v="+"/>
    <x v="464"/>
    <s v="Create Rule; and Description Like '%KAUFMAN HALL TYPE DIRECT DEP ID%';Inc - Jeff"/>
    <m/>
  </r>
  <r>
    <x v="13"/>
    <d v="2019-12-30T00:00:00"/>
    <s v="POWERPLUS CHECKING"/>
    <x v="481"/>
    <n v="-1152.7"/>
    <x v="15"/>
    <m/>
    <m/>
    <m/>
    <n v="1152.7"/>
    <b v="0"/>
    <m/>
    <m/>
    <s v="+"/>
    <x v="464"/>
    <s v="Create Rule; and Description Like '%KAUFMAN HALL TYPE DIRECT DEP ID%';Inc - Jeff"/>
    <m/>
  </r>
  <r>
    <x v="13"/>
    <d v="2019-12-30T00:00:00"/>
    <s v="POWERPLUS"/>
    <x v="482"/>
    <n v="-1215.3599999999999"/>
    <x v="15"/>
    <m/>
    <m/>
    <m/>
    <n v="1215.3599999999999"/>
    <b v="0"/>
    <m/>
    <m/>
    <s v="+"/>
    <x v="465"/>
    <s v="Create Rule; and Description Like '%KAUFMAN HALL TYPE DIRECT DEP ID%';Inc - Jeff"/>
    <m/>
  </r>
  <r>
    <x v="13"/>
    <d v="2019-12-30T00:00:00"/>
    <s v="POWERPLUS CHECKING"/>
    <x v="482"/>
    <n v="-1215.3599999999999"/>
    <x v="15"/>
    <m/>
    <m/>
    <m/>
    <n v="1215.3599999999999"/>
    <b v="0"/>
    <m/>
    <m/>
    <s v="+"/>
    <x v="465"/>
    <s v="Create Rule; and Description Like '%KAUFMAN HALL TYPE DIRECT DEP ID%';Inc - Jeff"/>
    <m/>
  </r>
  <r>
    <x v="13"/>
    <d v="2019-12-30T00:00:00"/>
    <s v="Investor Checking"/>
    <x v="483"/>
    <n v="24.05"/>
    <x v="8"/>
    <m/>
    <m/>
    <m/>
    <n v="24.05"/>
    <b v="0"/>
    <m/>
    <m/>
    <s v="-"/>
    <x v="466"/>
    <s v="Manual"/>
    <m/>
  </r>
  <r>
    <x v="13"/>
    <d v="2019-12-30T00:00:00"/>
    <s v="Cash Rewards Visa Signature"/>
    <x v="484"/>
    <n v="10.199999999999999"/>
    <x v="1"/>
    <m/>
    <m/>
    <m/>
    <n v="10.199999999999999"/>
    <b v="0"/>
    <m/>
    <m/>
    <s v="-"/>
    <x v="467"/>
    <s v="Create Rule; and Description Like '%LIFE TIME CAFE%';Restaurants"/>
    <m/>
  </r>
  <r>
    <x v="13"/>
    <d v="2019-12-30T00:00:00"/>
    <s v="Discover"/>
    <x v="485"/>
    <n v="6.44"/>
    <x v="1"/>
    <m/>
    <m/>
    <m/>
    <n v="6.44"/>
    <b v="0"/>
    <m/>
    <m/>
    <s v="-"/>
    <x v="468"/>
    <s v="Create Rule; and Description Like '%LIFE TIME CAFE%';Restaurants"/>
    <m/>
  </r>
  <r>
    <x v="13"/>
    <d v="2019-12-30T00:00:00"/>
    <s v="Discover More Card"/>
    <x v="485"/>
    <n v="6.44"/>
    <x v="1"/>
    <m/>
    <m/>
    <m/>
    <n v="6.44"/>
    <b v="0"/>
    <m/>
    <m/>
    <s v="-"/>
    <x v="468"/>
    <s v="Create Rule; and Description Like '%LIFE TIME CAFE%';Restaurants"/>
    <m/>
  </r>
  <r>
    <x v="13"/>
    <d v="2019-12-30T00:00:00"/>
    <s v="Cash Rewards Visa Signature"/>
    <x v="486"/>
    <n v="7.51"/>
    <x v="8"/>
    <m/>
    <m/>
    <m/>
    <n v="7.51"/>
    <b v="0"/>
    <m/>
    <m/>
    <s v="-"/>
    <x v="469"/>
    <s v="Manual"/>
    <m/>
  </r>
  <r>
    <x v="13"/>
    <d v="2019-12-30T00:00:00"/>
    <s v="Discover"/>
    <x v="99"/>
    <n v="12.99"/>
    <x v="11"/>
    <m/>
    <m/>
    <m/>
    <n v="12.99"/>
    <b v="0"/>
    <m/>
    <m/>
    <s v="-"/>
    <x v="99"/>
    <s v="Create Rule; and Description='Netflix';Utilities"/>
    <m/>
  </r>
  <r>
    <x v="13"/>
    <d v="2019-12-30T00:00:00"/>
    <s v="Discover More Card"/>
    <x v="99"/>
    <n v="12.99"/>
    <x v="11"/>
    <m/>
    <m/>
    <m/>
    <n v="12.99"/>
    <b v="0"/>
    <m/>
    <m/>
    <s v="-"/>
    <x v="99"/>
    <s v="Create Rule; and Description='Netflix';Utilities"/>
    <m/>
  </r>
  <r>
    <x v="13"/>
    <d v="2019-12-30T00:00:00"/>
    <s v="POWERPLUS"/>
    <x v="308"/>
    <n v="412.64"/>
    <x v="8"/>
    <m/>
    <m/>
    <m/>
    <n v="412.64"/>
    <b v="0"/>
    <m/>
    <m/>
    <s v="-"/>
    <x v="300"/>
    <s v="Create Rule; and Description='Nordstrom';Shopping"/>
    <m/>
  </r>
  <r>
    <x v="13"/>
    <d v="2019-12-30T00:00:00"/>
    <s v="POWERPLUS CHECKING"/>
    <x v="308"/>
    <n v="412.64"/>
    <x v="8"/>
    <m/>
    <m/>
    <m/>
    <n v="412.64"/>
    <b v="0"/>
    <m/>
    <m/>
    <s v="-"/>
    <x v="300"/>
    <s v="Create Rule; and Description='Nordstrom';Shopping"/>
    <m/>
  </r>
  <r>
    <x v="13"/>
    <d v="2019-12-30T00:00:00"/>
    <s v="Cash Rewards Visa Signature"/>
    <x v="487"/>
    <n v="45"/>
    <x v="8"/>
    <m/>
    <m/>
    <m/>
    <n v="45"/>
    <b v="0"/>
    <m/>
    <m/>
    <s v="-"/>
    <x v="470"/>
    <s v="Create Rule; and Description='Patagonia';Shopping"/>
    <m/>
  </r>
  <r>
    <x v="13"/>
    <d v="2019-12-30T00:00:00"/>
    <s v="POWERPLUS"/>
    <x v="157"/>
    <n v="16.989999999999998"/>
    <x v="8"/>
    <m/>
    <m/>
    <m/>
    <n v="16.989999999999998"/>
    <b v="0"/>
    <m/>
    <m/>
    <s v="-"/>
    <x v="156"/>
    <s v="Create Rule; and Description Like '%PayPal%';Shopping"/>
    <m/>
  </r>
  <r>
    <x v="13"/>
    <d v="2019-12-30T00:00:00"/>
    <s v="POWERPLUS"/>
    <x v="157"/>
    <n v="12.99"/>
    <x v="8"/>
    <m/>
    <m/>
    <m/>
    <n v="12.99"/>
    <b v="0"/>
    <m/>
    <m/>
    <s v="-"/>
    <x v="156"/>
    <s v="Create Rule; and Description Like '%PayPal%';Shopping"/>
    <m/>
  </r>
  <r>
    <x v="13"/>
    <d v="2019-12-30T00:00:00"/>
    <s v="POWERPLUS"/>
    <x v="157"/>
    <n v="43.5"/>
    <x v="8"/>
    <m/>
    <m/>
    <m/>
    <n v="43.5"/>
    <b v="0"/>
    <m/>
    <m/>
    <s v="-"/>
    <x v="156"/>
    <s v="Create Rule; and Description Like '%PayPal%';Shopping"/>
    <m/>
  </r>
  <r>
    <x v="13"/>
    <d v="2019-12-30T00:00:00"/>
    <s v="POWERPLUS"/>
    <x v="157"/>
    <n v="4.5"/>
    <x v="8"/>
    <m/>
    <m/>
    <m/>
    <n v="4.5"/>
    <b v="0"/>
    <m/>
    <m/>
    <s v="-"/>
    <x v="156"/>
    <s v="Create Rule; and Description Like '%PayPal%';Shopping"/>
    <m/>
  </r>
  <r>
    <x v="13"/>
    <d v="2019-12-30T00:00:00"/>
    <s v="POWERPLUS"/>
    <x v="157"/>
    <n v="3.25"/>
    <x v="8"/>
    <m/>
    <m/>
    <m/>
    <n v="3.25"/>
    <b v="0"/>
    <m/>
    <m/>
    <s v="-"/>
    <x v="156"/>
    <s v="Create Rule; and Description Like '%PayPal%';Shopping"/>
    <m/>
  </r>
  <r>
    <x v="13"/>
    <d v="2019-12-30T00:00:00"/>
    <s v="POWERPLUS"/>
    <x v="157"/>
    <n v="10.99"/>
    <x v="8"/>
    <m/>
    <m/>
    <m/>
    <n v="10.99"/>
    <b v="0"/>
    <m/>
    <m/>
    <s v="-"/>
    <x v="156"/>
    <s v="Create Rule; and Description Like '%PayPal%';Shopping"/>
    <m/>
  </r>
  <r>
    <x v="13"/>
    <d v="2019-12-30T00:00:00"/>
    <s v="POWERPLUS"/>
    <x v="157"/>
    <n v="14.99"/>
    <x v="8"/>
    <m/>
    <m/>
    <m/>
    <n v="14.99"/>
    <b v="0"/>
    <m/>
    <m/>
    <s v="-"/>
    <x v="156"/>
    <s v="Create Rule; and Description Like '%PayPal%';Shopping"/>
    <m/>
  </r>
  <r>
    <x v="13"/>
    <d v="2019-12-30T00:00:00"/>
    <s v="POWERPLUS CHECKING"/>
    <x v="157"/>
    <n v="16.989999999999998"/>
    <x v="8"/>
    <m/>
    <m/>
    <m/>
    <n v="16.989999999999998"/>
    <b v="0"/>
    <m/>
    <m/>
    <s v="-"/>
    <x v="156"/>
    <s v="Create Rule; and Description Like '%PayPal%';Shopping"/>
    <m/>
  </r>
  <r>
    <x v="13"/>
    <d v="2019-12-30T00:00:00"/>
    <s v="POWERPLUS CHECKING"/>
    <x v="157"/>
    <n v="12.99"/>
    <x v="8"/>
    <m/>
    <m/>
    <m/>
    <n v="12.99"/>
    <b v="0"/>
    <m/>
    <m/>
    <s v="-"/>
    <x v="156"/>
    <s v="Create Rule; and Description Like '%PayPal%';Shopping"/>
    <m/>
  </r>
  <r>
    <x v="13"/>
    <d v="2019-12-30T00:00:00"/>
    <s v="POWERPLUS CHECKING"/>
    <x v="157"/>
    <n v="43.5"/>
    <x v="8"/>
    <m/>
    <m/>
    <m/>
    <n v="43.5"/>
    <b v="0"/>
    <m/>
    <m/>
    <s v="-"/>
    <x v="156"/>
    <s v="Create Rule; and Description Like '%PayPal%';Shopping"/>
    <m/>
  </r>
  <r>
    <x v="13"/>
    <d v="2019-12-30T00:00:00"/>
    <s v="POWERPLUS CHECKING"/>
    <x v="157"/>
    <n v="4.5"/>
    <x v="8"/>
    <m/>
    <m/>
    <m/>
    <n v="4.5"/>
    <b v="0"/>
    <m/>
    <m/>
    <s v="-"/>
    <x v="156"/>
    <s v="Create Rule; and Description Like '%PayPal%';Shopping"/>
    <m/>
  </r>
  <r>
    <x v="13"/>
    <d v="2019-12-30T00:00:00"/>
    <s v="POWERPLUS CHECKING"/>
    <x v="157"/>
    <n v="3.25"/>
    <x v="8"/>
    <m/>
    <m/>
    <m/>
    <n v="3.25"/>
    <b v="0"/>
    <m/>
    <m/>
    <s v="-"/>
    <x v="156"/>
    <s v="Create Rule; and Description Like '%PayPal%';Shopping"/>
    <m/>
  </r>
  <r>
    <x v="13"/>
    <d v="2019-12-30T00:00:00"/>
    <s v="POWERPLUS CHECKING"/>
    <x v="157"/>
    <n v="10.99"/>
    <x v="8"/>
    <m/>
    <m/>
    <m/>
    <n v="10.99"/>
    <b v="0"/>
    <m/>
    <m/>
    <s v="-"/>
    <x v="156"/>
    <s v="Create Rule; and Description Like '%PayPal%';Shopping"/>
    <m/>
  </r>
  <r>
    <x v="13"/>
    <d v="2019-12-30T00:00:00"/>
    <s v="POWERPLUS CHECKING"/>
    <x v="157"/>
    <n v="14.99"/>
    <x v="8"/>
    <m/>
    <m/>
    <m/>
    <n v="14.99"/>
    <b v="0"/>
    <m/>
    <m/>
    <s v="-"/>
    <x v="156"/>
    <s v="Create Rule; and Description Like '%PayPal%';Shopping"/>
    <m/>
  </r>
  <r>
    <x v="13"/>
    <d v="2019-12-30T00:00:00"/>
    <s v="Cash Rewards Visa Signature"/>
    <x v="488"/>
    <n v="104.07"/>
    <x v="8"/>
    <m/>
    <m/>
    <m/>
    <n v="104.07"/>
    <b v="0"/>
    <m/>
    <m/>
    <s v="-"/>
    <x v="471"/>
    <s v="Create Rule; and Description='Play It Again Sports';Shopping"/>
    <m/>
  </r>
  <r>
    <x v="13"/>
    <d v="2019-12-30T00:00:00"/>
    <s v="Cash Rewards Visa Signature"/>
    <x v="414"/>
    <n v="-29.17"/>
    <x v="8"/>
    <m/>
    <m/>
    <m/>
    <n v="29.17"/>
    <b v="0"/>
    <m/>
    <m/>
    <s v="+"/>
    <x v="400"/>
    <s v="Create Rule; and Description='Pottery Barn';Shopping"/>
    <m/>
  </r>
  <r>
    <x v="13"/>
    <d v="2019-12-30T00:00:00"/>
    <s v="Discover"/>
    <x v="489"/>
    <n v="3.2"/>
    <x v="7"/>
    <m/>
    <m/>
    <m/>
    <n v="3.2"/>
    <b v="0"/>
    <m/>
    <m/>
    <s v="-"/>
    <x v="472"/>
    <m/>
    <m/>
  </r>
  <r>
    <x v="13"/>
    <d v="2019-12-30T00:00:00"/>
    <s v="Discover More Card"/>
    <x v="489"/>
    <n v="3.2"/>
    <x v="1"/>
    <m/>
    <m/>
    <m/>
    <n v="3.2"/>
    <b v="0"/>
    <m/>
    <m/>
    <s v="-"/>
    <x v="472"/>
    <s v="Manual"/>
    <m/>
  </r>
  <r>
    <x v="13"/>
    <d v="2019-12-30T00:00:00"/>
    <s v="Britney Roth"/>
    <x v="19"/>
    <n v="-11.4"/>
    <x v="7"/>
    <m/>
    <m/>
    <m/>
    <n v="11.4"/>
    <b v="0"/>
    <m/>
    <m/>
    <s v="+"/>
    <x v="19"/>
    <m/>
    <m/>
  </r>
  <r>
    <x v="13"/>
    <d v="2019-12-30T00:00:00"/>
    <s v="Roth Contributory IRA"/>
    <x v="19"/>
    <n v="-11.4"/>
    <x v="7"/>
    <m/>
    <m/>
    <m/>
    <n v="11.4"/>
    <b v="0"/>
    <m/>
    <m/>
    <s v="+"/>
    <x v="19"/>
    <m/>
    <m/>
  </r>
  <r>
    <x v="13"/>
    <d v="2019-12-30T00:00:00"/>
    <s v="Britney Roth"/>
    <x v="19"/>
    <n v="11.4"/>
    <x v="3"/>
    <m/>
    <m/>
    <m/>
    <n v="11.4"/>
    <b v="0"/>
    <m/>
    <m/>
    <s v="-"/>
    <x v="19"/>
    <s v="Delete; and Description='SCHWAB S&amp;P 500 INDEX FD' and inflowoutflow='-';0"/>
    <m/>
  </r>
  <r>
    <x v="13"/>
    <d v="2019-12-30T00:00:00"/>
    <s v="Roth Contributory IRA"/>
    <x v="19"/>
    <n v="11.4"/>
    <x v="3"/>
    <m/>
    <m/>
    <m/>
    <n v="11.4"/>
    <b v="0"/>
    <m/>
    <m/>
    <s v="-"/>
    <x v="19"/>
    <s v="Delete; and Description='SCHWAB S&amp;P 500 INDEX FD' and inflowoutflow='-';0"/>
    <m/>
  </r>
  <r>
    <x v="13"/>
    <d v="2019-12-30T00:00:00"/>
    <s v="Jeff Roth"/>
    <x v="19"/>
    <n v="-11.5"/>
    <x v="7"/>
    <m/>
    <m/>
    <m/>
    <n v="11.5"/>
    <b v="0"/>
    <m/>
    <m/>
    <s v="+"/>
    <x v="19"/>
    <m/>
    <m/>
  </r>
  <r>
    <x v="13"/>
    <d v="2019-12-30T00:00:00"/>
    <s v="Roth Contributory IRA"/>
    <x v="19"/>
    <n v="-11.5"/>
    <x v="7"/>
    <m/>
    <m/>
    <m/>
    <n v="11.5"/>
    <b v="0"/>
    <m/>
    <m/>
    <s v="+"/>
    <x v="19"/>
    <m/>
    <m/>
  </r>
  <r>
    <x v="13"/>
    <d v="2019-12-30T00:00:00"/>
    <s v="Jeff Roth"/>
    <x v="19"/>
    <n v="11.5"/>
    <x v="3"/>
    <m/>
    <m/>
    <m/>
    <n v="11.5"/>
    <b v="0"/>
    <m/>
    <m/>
    <s v="-"/>
    <x v="19"/>
    <s v="Delete; and Description='SCHWAB S&amp;P 500 INDEX FD' and inflowoutflow='-';0"/>
    <m/>
  </r>
  <r>
    <x v="13"/>
    <d v="2019-12-30T00:00:00"/>
    <s v="Roth Contributory IRA"/>
    <x v="19"/>
    <n v="11.5"/>
    <x v="3"/>
    <m/>
    <m/>
    <m/>
    <n v="11.5"/>
    <b v="0"/>
    <m/>
    <m/>
    <s v="-"/>
    <x v="19"/>
    <s v="Delete; and Description='SCHWAB S&amp;P 500 INDEX FD' and inflowoutflow='-';0"/>
    <m/>
  </r>
  <r>
    <x v="13"/>
    <d v="2019-12-30T00:00:00"/>
    <s v="Britney Roth"/>
    <x v="19"/>
    <n v="-111.72"/>
    <x v="7"/>
    <m/>
    <m/>
    <m/>
    <n v="111.72"/>
    <b v="0"/>
    <m/>
    <m/>
    <s v="+"/>
    <x v="19"/>
    <m/>
    <m/>
  </r>
  <r>
    <x v="13"/>
    <d v="2019-12-30T00:00:00"/>
    <s v="Roth Contributory IRA"/>
    <x v="19"/>
    <n v="-111.72"/>
    <x v="7"/>
    <m/>
    <m/>
    <m/>
    <n v="111.72"/>
    <b v="0"/>
    <m/>
    <m/>
    <s v="+"/>
    <x v="19"/>
    <m/>
    <m/>
  </r>
  <r>
    <x v="13"/>
    <d v="2019-12-30T00:00:00"/>
    <s v="Britney Roth"/>
    <x v="19"/>
    <n v="111.72"/>
    <x v="3"/>
    <m/>
    <m/>
    <m/>
    <n v="111.72"/>
    <b v="0"/>
    <m/>
    <m/>
    <s v="-"/>
    <x v="19"/>
    <s v="Delete; and Description='SCHWAB S&amp;P 500 INDEX FD' and inflowoutflow='-';0"/>
    <m/>
  </r>
  <r>
    <x v="13"/>
    <d v="2019-12-30T00:00:00"/>
    <s v="Roth Contributory IRA"/>
    <x v="19"/>
    <n v="111.72"/>
    <x v="3"/>
    <m/>
    <m/>
    <m/>
    <n v="111.72"/>
    <b v="0"/>
    <m/>
    <m/>
    <s v="-"/>
    <x v="19"/>
    <s v="Delete; and Description='SCHWAB S&amp;P 500 INDEX FD' and inflowoutflow='-';0"/>
    <m/>
  </r>
  <r>
    <x v="13"/>
    <d v="2019-12-30T00:00:00"/>
    <s v="Jeff Roth"/>
    <x v="19"/>
    <n v="-112.78"/>
    <x v="7"/>
    <m/>
    <m/>
    <m/>
    <n v="112.78"/>
    <b v="0"/>
    <m/>
    <m/>
    <s v="+"/>
    <x v="19"/>
    <m/>
    <m/>
  </r>
  <r>
    <x v="13"/>
    <d v="2019-12-30T00:00:00"/>
    <s v="Roth Contributory IRA"/>
    <x v="19"/>
    <n v="-112.78"/>
    <x v="7"/>
    <m/>
    <m/>
    <m/>
    <n v="112.78"/>
    <b v="0"/>
    <m/>
    <m/>
    <s v="+"/>
    <x v="19"/>
    <m/>
    <m/>
  </r>
  <r>
    <x v="13"/>
    <d v="2019-12-30T00:00:00"/>
    <s v="Jeff Roth"/>
    <x v="19"/>
    <n v="112.78"/>
    <x v="3"/>
    <m/>
    <m/>
    <m/>
    <n v="112.78"/>
    <b v="0"/>
    <m/>
    <m/>
    <s v="-"/>
    <x v="19"/>
    <s v="Delete; and Description='SCHWAB S&amp;P 500 INDEX FD' and inflowoutflow='-';0"/>
    <m/>
  </r>
  <r>
    <x v="13"/>
    <d v="2019-12-30T00:00:00"/>
    <s v="Roth Contributory IRA"/>
    <x v="19"/>
    <n v="112.78"/>
    <x v="3"/>
    <m/>
    <m/>
    <m/>
    <n v="112.78"/>
    <b v="0"/>
    <m/>
    <m/>
    <s v="-"/>
    <x v="19"/>
    <s v="Delete; and Description='SCHWAB S&amp;P 500 INDEX FD' and inflowoutflow='-';0"/>
    <m/>
  </r>
  <r>
    <x v="13"/>
    <d v="2019-12-30T00:00:00"/>
    <s v="Britney Roth"/>
    <x v="19"/>
    <n v="150"/>
    <x v="3"/>
    <m/>
    <m/>
    <m/>
    <n v="150"/>
    <b v="0"/>
    <m/>
    <m/>
    <s v="-"/>
    <x v="19"/>
    <s v="Delete; and Description='SCHWAB S&amp;P 500 INDEX FD' and inflowoutflow='-';0"/>
    <m/>
  </r>
  <r>
    <x v="13"/>
    <d v="2019-12-30T00:00:00"/>
    <s v="Roth Contributory IRA"/>
    <x v="19"/>
    <n v="150"/>
    <x v="3"/>
    <m/>
    <m/>
    <m/>
    <n v="150"/>
    <b v="0"/>
    <m/>
    <m/>
    <s v="-"/>
    <x v="19"/>
    <s v="Delete; and Description='SCHWAB S&amp;P 500 INDEX FD' and inflowoutflow='-';0"/>
    <m/>
  </r>
  <r>
    <x v="13"/>
    <d v="2019-12-30T00:00:00"/>
    <s v="Jeff Roth"/>
    <x v="20"/>
    <n v="-3.06"/>
    <x v="7"/>
    <m/>
    <m/>
    <m/>
    <n v="3.06"/>
    <b v="0"/>
    <m/>
    <m/>
    <s v="+"/>
    <x v="20"/>
    <m/>
    <m/>
  </r>
  <r>
    <x v="13"/>
    <d v="2019-12-30T00:00:00"/>
    <s v="Roth Contributory IRA"/>
    <x v="20"/>
    <n v="-3.06"/>
    <x v="7"/>
    <m/>
    <m/>
    <m/>
    <n v="3.06"/>
    <b v="0"/>
    <m/>
    <m/>
    <s v="+"/>
    <x v="20"/>
    <m/>
    <m/>
  </r>
  <r>
    <x v="13"/>
    <d v="2019-12-30T00:00:00"/>
    <s v="Jeff Roth"/>
    <x v="20"/>
    <n v="3.06"/>
    <x v="3"/>
    <m/>
    <m/>
    <m/>
    <n v="3.06"/>
    <b v="0"/>
    <m/>
    <m/>
    <s v="-"/>
    <x v="20"/>
    <s v="Delete; and Description='SCHWAB TOTAL STOCK MKT INDEX' and inflowoutflow='-';0"/>
    <m/>
  </r>
  <r>
    <x v="13"/>
    <d v="2019-12-30T00:00:00"/>
    <s v="Roth Contributory IRA"/>
    <x v="20"/>
    <n v="3.06"/>
    <x v="3"/>
    <m/>
    <m/>
    <m/>
    <n v="3.06"/>
    <b v="0"/>
    <m/>
    <m/>
    <s v="-"/>
    <x v="20"/>
    <s v="Delete; and Description='SCHWAB TOTAL STOCK MKT INDEX' and inflowoutflow='-';0"/>
    <m/>
  </r>
  <r>
    <x v="13"/>
    <d v="2019-12-30T00:00:00"/>
    <s v="Britney Roth"/>
    <x v="20"/>
    <n v="-8.2200000000000006"/>
    <x v="7"/>
    <m/>
    <m/>
    <m/>
    <n v="8.2200000000000006"/>
    <b v="0"/>
    <m/>
    <m/>
    <s v="+"/>
    <x v="20"/>
    <m/>
    <m/>
  </r>
  <r>
    <x v="13"/>
    <d v="2019-12-30T00:00:00"/>
    <s v="Roth Contributory IRA"/>
    <x v="20"/>
    <n v="-8.2200000000000006"/>
    <x v="7"/>
    <m/>
    <m/>
    <m/>
    <n v="8.2200000000000006"/>
    <b v="0"/>
    <m/>
    <m/>
    <s v="+"/>
    <x v="20"/>
    <m/>
    <m/>
  </r>
  <r>
    <x v="13"/>
    <d v="2019-12-30T00:00:00"/>
    <s v="Britney Roth"/>
    <x v="20"/>
    <n v="8.2200000000000006"/>
    <x v="3"/>
    <m/>
    <m/>
    <m/>
    <n v="8.2200000000000006"/>
    <b v="0"/>
    <m/>
    <m/>
    <s v="-"/>
    <x v="20"/>
    <s v="Delete; and Description='SCHWAB TOTAL STOCK MKT INDEX' and inflowoutflow='-';0"/>
    <m/>
  </r>
  <r>
    <x v="13"/>
    <d v="2019-12-30T00:00:00"/>
    <s v="Roth Contributory IRA"/>
    <x v="20"/>
    <n v="8.2200000000000006"/>
    <x v="3"/>
    <m/>
    <m/>
    <m/>
    <n v="8.2200000000000006"/>
    <b v="0"/>
    <m/>
    <m/>
    <s v="-"/>
    <x v="20"/>
    <s v="Delete; and Description='SCHWAB TOTAL STOCK MKT INDEX' and inflowoutflow='-';0"/>
    <m/>
  </r>
  <r>
    <x v="13"/>
    <d v="2019-12-30T00:00:00"/>
    <s v="Jeff Roth"/>
    <x v="20"/>
    <n v="-21.08"/>
    <x v="7"/>
    <m/>
    <m/>
    <m/>
    <n v="21.08"/>
    <b v="0"/>
    <m/>
    <m/>
    <s v="+"/>
    <x v="20"/>
    <m/>
    <m/>
  </r>
  <r>
    <x v="13"/>
    <d v="2019-12-30T00:00:00"/>
    <s v="Roth Contributory IRA"/>
    <x v="20"/>
    <n v="-21.08"/>
    <x v="7"/>
    <m/>
    <m/>
    <m/>
    <n v="21.08"/>
    <b v="0"/>
    <m/>
    <m/>
    <s v="+"/>
    <x v="20"/>
    <m/>
    <m/>
  </r>
  <r>
    <x v="13"/>
    <d v="2019-12-30T00:00:00"/>
    <s v="Jeff Roth"/>
    <x v="20"/>
    <n v="21.08"/>
    <x v="3"/>
    <m/>
    <m/>
    <m/>
    <n v="21.08"/>
    <b v="0"/>
    <m/>
    <m/>
    <s v="-"/>
    <x v="20"/>
    <s v="Delete; and Description='SCHWAB TOTAL STOCK MKT INDEX' and inflowoutflow='-';0"/>
    <m/>
  </r>
  <r>
    <x v="13"/>
    <d v="2019-12-30T00:00:00"/>
    <s v="Roth Contributory IRA"/>
    <x v="20"/>
    <n v="21.08"/>
    <x v="3"/>
    <m/>
    <m/>
    <m/>
    <n v="21.08"/>
    <b v="0"/>
    <m/>
    <m/>
    <s v="-"/>
    <x v="20"/>
    <s v="Delete; and Description='SCHWAB TOTAL STOCK MKT INDEX' and inflowoutflow='-';0"/>
    <m/>
  </r>
  <r>
    <x v="13"/>
    <d v="2019-12-30T00:00:00"/>
    <s v="Britney Roth"/>
    <x v="20"/>
    <n v="-56.54"/>
    <x v="7"/>
    <m/>
    <m/>
    <m/>
    <n v="56.54"/>
    <b v="0"/>
    <m/>
    <m/>
    <s v="+"/>
    <x v="20"/>
    <m/>
    <m/>
  </r>
  <r>
    <x v="13"/>
    <d v="2019-12-30T00:00:00"/>
    <s v="Roth Contributory IRA"/>
    <x v="20"/>
    <n v="-56.54"/>
    <x v="7"/>
    <m/>
    <m/>
    <m/>
    <n v="56.54"/>
    <b v="0"/>
    <m/>
    <m/>
    <s v="+"/>
    <x v="20"/>
    <m/>
    <m/>
  </r>
  <r>
    <x v="13"/>
    <d v="2019-12-30T00:00:00"/>
    <s v="Britney Roth"/>
    <x v="20"/>
    <n v="56.54"/>
    <x v="3"/>
    <m/>
    <m/>
    <m/>
    <n v="56.54"/>
    <b v="0"/>
    <m/>
    <m/>
    <s v="-"/>
    <x v="20"/>
    <s v="Delete; and Description='SCHWAB TOTAL STOCK MKT INDEX' and inflowoutflow='-';0"/>
    <m/>
  </r>
  <r>
    <x v="13"/>
    <d v="2019-12-30T00:00:00"/>
    <s v="Roth Contributory IRA"/>
    <x v="20"/>
    <n v="56.54"/>
    <x v="3"/>
    <m/>
    <m/>
    <m/>
    <n v="56.54"/>
    <b v="0"/>
    <m/>
    <m/>
    <s v="-"/>
    <x v="20"/>
    <s v="Delete; and Description='SCHWAB TOTAL STOCK MKT INDEX' and inflowoutflow='-';0"/>
    <m/>
  </r>
  <r>
    <x v="13"/>
    <d v="2019-12-30T00:00:00"/>
    <s v="Jeff Roth"/>
    <x v="271"/>
    <n v="-12.05"/>
    <x v="7"/>
    <m/>
    <m/>
    <m/>
    <n v="12.05"/>
    <b v="0"/>
    <m/>
    <m/>
    <s v="+"/>
    <x v="267"/>
    <m/>
    <m/>
  </r>
  <r>
    <x v="13"/>
    <d v="2019-12-30T00:00:00"/>
    <s v="Roth Contributory IRA"/>
    <x v="271"/>
    <n v="-12.05"/>
    <x v="7"/>
    <m/>
    <m/>
    <m/>
    <n v="12.05"/>
    <b v="0"/>
    <m/>
    <m/>
    <s v="+"/>
    <x v="267"/>
    <m/>
    <m/>
  </r>
  <r>
    <x v="13"/>
    <d v="2019-12-30T00:00:00"/>
    <s v="Jeff Roth"/>
    <x v="271"/>
    <n v="12.05"/>
    <x v="3"/>
    <m/>
    <m/>
    <m/>
    <n v="12.05"/>
    <b v="0"/>
    <m/>
    <m/>
    <s v="-"/>
    <x v="267"/>
    <s v="Delete; and Description='SCHWAB US LARGE CAP GROWTH INDEX FD' and inflowoutflow='-';0"/>
    <m/>
  </r>
  <r>
    <x v="13"/>
    <d v="2019-12-30T00:00:00"/>
    <s v="Roth Contributory IRA"/>
    <x v="271"/>
    <n v="12.05"/>
    <x v="3"/>
    <m/>
    <m/>
    <m/>
    <n v="12.05"/>
    <b v="0"/>
    <m/>
    <m/>
    <s v="-"/>
    <x v="267"/>
    <s v="Delete; and Description='SCHWAB US LARGE CAP GROWTH INDEX FD' and inflowoutflow='-';0"/>
    <m/>
  </r>
  <r>
    <x v="13"/>
    <d v="2019-12-30T00:00:00"/>
    <s v="Jeff Roth"/>
    <x v="271"/>
    <n v="100"/>
    <x v="3"/>
    <m/>
    <m/>
    <m/>
    <n v="100"/>
    <b v="0"/>
    <m/>
    <m/>
    <s v="-"/>
    <x v="267"/>
    <s v="Delete; and Description='SCHWAB US LARGE CAP GROWTH INDEX FD' and inflowoutflow='-';0"/>
    <m/>
  </r>
  <r>
    <x v="13"/>
    <d v="2019-12-30T00:00:00"/>
    <s v="Roth Contributory IRA"/>
    <x v="271"/>
    <n v="100"/>
    <x v="3"/>
    <m/>
    <m/>
    <m/>
    <n v="100"/>
    <b v="0"/>
    <m/>
    <m/>
    <s v="-"/>
    <x v="267"/>
    <s v="Delete; and Description='SCHWAB US LARGE CAP GROWTH INDEX FD' and inflowoutflow='-';0"/>
    <m/>
  </r>
  <r>
    <x v="13"/>
    <d v="2019-12-30T00:00:00"/>
    <s v="Joint Tenant"/>
    <x v="300"/>
    <n v="24.61"/>
    <x v="23"/>
    <m/>
    <m/>
    <m/>
    <n v="24.61"/>
    <b v="0"/>
    <m/>
    <m/>
    <s v="-"/>
    <x v="293"/>
    <s v="Create Rule; and Description='SCHWAB US SMALL CAP ETF';Dividend"/>
    <m/>
  </r>
  <r>
    <x v="13"/>
    <d v="2019-12-30T00:00:00"/>
    <s v="Joint Tenant"/>
    <x v="490"/>
    <n v="-0.66"/>
    <x v="13"/>
    <m/>
    <m/>
    <m/>
    <n v="0.66"/>
    <b v="0"/>
    <m/>
    <m/>
    <s v="+"/>
    <x v="473"/>
    <s v="Create Rule; and Description Like '%SCHWAB1 INT%';Inc - Other"/>
    <m/>
  </r>
  <r>
    <x v="13"/>
    <d v="2019-12-30T00:00:00"/>
    <s v="Discover"/>
    <x v="309"/>
    <n v="232.07"/>
    <x v="19"/>
    <m/>
    <m/>
    <m/>
    <n v="232.07"/>
    <b v="0"/>
    <m/>
    <m/>
    <s v="-"/>
    <x v="301"/>
    <s v="Create Rule; and Description='Sherwin Williams';House Maintenance"/>
    <m/>
  </r>
  <r>
    <x v="13"/>
    <d v="2019-12-30T00:00:00"/>
    <s v="Discover More Card"/>
    <x v="309"/>
    <n v="232.07"/>
    <x v="19"/>
    <m/>
    <m/>
    <m/>
    <n v="232.07"/>
    <b v="0"/>
    <m/>
    <m/>
    <s v="-"/>
    <x v="301"/>
    <s v="Create Rule; and Description='Sherwin Williams';House Maintenance"/>
    <m/>
  </r>
  <r>
    <x v="13"/>
    <d v="2019-12-30T00:00:00"/>
    <s v="Cash Rewards Visa Signature"/>
    <x v="491"/>
    <n v="55.25"/>
    <x v="5"/>
    <m/>
    <m/>
    <m/>
    <n v="55.25"/>
    <b v="0"/>
    <m/>
    <m/>
    <s v="-"/>
    <x v="474"/>
    <s v="Create Rule; and Description Like '%SOUTH LYNDALE LIQUORS RETMINNEAPOLIS MN%';Groceries"/>
    <m/>
  </r>
  <r>
    <x v="13"/>
    <d v="2019-12-30T00:00:00"/>
    <s v="Cash Rewards Visa Signature"/>
    <x v="2"/>
    <n v="4.3899999999999997"/>
    <x v="2"/>
    <m/>
    <m/>
    <m/>
    <n v="4.3899999999999997"/>
    <b v="0"/>
    <m/>
    <m/>
    <s v="-"/>
    <x v="2"/>
    <s v="Create Rule; and Description='Speedway';Transportation"/>
    <m/>
  </r>
  <r>
    <x v="13"/>
    <d v="2019-12-30T00:00:00"/>
    <s v="Cash Rewards Visa Signature"/>
    <x v="2"/>
    <n v="32.33"/>
    <x v="2"/>
    <m/>
    <m/>
    <m/>
    <n v="32.33"/>
    <b v="0"/>
    <m/>
    <m/>
    <s v="-"/>
    <x v="2"/>
    <s v="Create Rule; and Description='Speedway';Transportation"/>
    <m/>
  </r>
  <r>
    <x v="13"/>
    <d v="2019-12-30T00:00:00"/>
    <s v="RAINY DAY"/>
    <x v="119"/>
    <n v="-20.92"/>
    <x v="13"/>
    <m/>
    <m/>
    <m/>
    <n v="20.92"/>
    <b v="0"/>
    <m/>
    <m/>
    <s v="+"/>
    <x v="119"/>
    <s v="Create Rule; and Description='Split Rate Apy';Inc - Other"/>
    <m/>
  </r>
  <r>
    <x v="13"/>
    <d v="2019-12-30T00:00:00"/>
    <s v="POWERPLUS"/>
    <x v="119"/>
    <n v="-38.130000000000003"/>
    <x v="13"/>
    <m/>
    <m/>
    <m/>
    <n v="38.130000000000003"/>
    <b v="0"/>
    <m/>
    <m/>
    <s v="+"/>
    <x v="119"/>
    <s v="Create Rule; and Description='Split Rate Apy';Inc - Other"/>
    <m/>
  </r>
  <r>
    <x v="13"/>
    <d v="2019-12-30T00:00:00"/>
    <s v="RAINY DAY SAVINGS"/>
    <x v="119"/>
    <n v="-20.92"/>
    <x v="13"/>
    <m/>
    <m/>
    <m/>
    <n v="20.92"/>
    <b v="0"/>
    <m/>
    <m/>
    <s v="+"/>
    <x v="119"/>
    <s v="Create Rule; and Description='Split Rate Apy';Inc - Other"/>
    <m/>
  </r>
  <r>
    <x v="13"/>
    <d v="2019-12-30T00:00:00"/>
    <s v="POWERPLUS CHECKING"/>
    <x v="119"/>
    <n v="-38.130000000000003"/>
    <x v="13"/>
    <m/>
    <m/>
    <m/>
    <n v="38.130000000000003"/>
    <b v="0"/>
    <m/>
    <m/>
    <s v="+"/>
    <x v="119"/>
    <s v="Create Rule; and Description='Split Rate Apy';Inc - Other"/>
    <m/>
  </r>
  <r>
    <x v="13"/>
    <d v="2019-12-30T00:00:00"/>
    <s v="POWERPLUS"/>
    <x v="34"/>
    <n v="1109.3599999999999"/>
    <x v="12"/>
    <m/>
    <m/>
    <m/>
    <n v="1109.3599999999999"/>
    <b v="0"/>
    <m/>
    <m/>
    <s v="-"/>
    <x v="34"/>
    <s v="Create Rule; and Description='Target';Target"/>
    <m/>
  </r>
  <r>
    <x v="13"/>
    <d v="2019-12-30T00:00:00"/>
    <s v="POWERPLUS CHECKING"/>
    <x v="34"/>
    <n v="1109.3599999999999"/>
    <x v="12"/>
    <m/>
    <m/>
    <m/>
    <n v="1109.3599999999999"/>
    <b v="0"/>
    <m/>
    <m/>
    <s v="-"/>
    <x v="34"/>
    <s v="Create Rule; and Description='Target';Target"/>
    <m/>
  </r>
  <r>
    <x v="13"/>
    <d v="2019-12-30T00:00:00"/>
    <s v="Discover"/>
    <x v="492"/>
    <n v="34.33"/>
    <x v="1"/>
    <m/>
    <m/>
    <m/>
    <n v="34.33"/>
    <b v="0"/>
    <m/>
    <m/>
    <s v="-"/>
    <x v="475"/>
    <s v="Create Rule; and Description='The Suburban';Restaurants"/>
    <m/>
  </r>
  <r>
    <x v="13"/>
    <d v="2019-12-30T00:00:00"/>
    <s v="Discover More Card"/>
    <x v="492"/>
    <n v="34.33"/>
    <x v="1"/>
    <m/>
    <m/>
    <m/>
    <n v="34.33"/>
    <b v="0"/>
    <m/>
    <m/>
    <s v="-"/>
    <x v="475"/>
    <s v="Manual"/>
    <m/>
  </r>
  <r>
    <x v="13"/>
    <d v="2019-12-30T00:00:00"/>
    <s v="Cash Rewards Visa Signature"/>
    <x v="493"/>
    <n v="144"/>
    <x v="8"/>
    <m/>
    <m/>
    <m/>
    <n v="144"/>
    <b v="0"/>
    <m/>
    <m/>
    <s v="-"/>
    <x v="476"/>
    <s v="Manual"/>
    <m/>
  </r>
  <r>
    <x v="13"/>
    <d v="2019-12-30T00:00:00"/>
    <s v="Cash Rewards Visa Signature"/>
    <x v="419"/>
    <n v="12.07"/>
    <x v="5"/>
    <m/>
    <m/>
    <m/>
    <n v="12.07"/>
    <b v="0"/>
    <m/>
    <m/>
    <s v="-"/>
    <x v="405"/>
    <s v="Create Rule; and Description='Top Ten Liquors';Groceries"/>
    <m/>
  </r>
  <r>
    <x v="13"/>
    <d v="2019-12-30T00:00:00"/>
    <s v="RAINY DAY"/>
    <x v="3"/>
    <n v="-300"/>
    <x v="3"/>
    <m/>
    <m/>
    <m/>
    <n v="300"/>
    <b v="0"/>
    <m/>
    <m/>
    <s v="+"/>
    <x v="3"/>
    <s v="Delete; and Description='Transfer from POWERPLUS CHECKING';0"/>
    <m/>
  </r>
  <r>
    <x v="13"/>
    <d v="2019-12-30T00:00:00"/>
    <s v="RAINY DAY"/>
    <x v="3"/>
    <n v="-200"/>
    <x v="3"/>
    <m/>
    <m/>
    <m/>
    <n v="200"/>
    <b v="0"/>
    <m/>
    <m/>
    <s v="+"/>
    <x v="3"/>
    <s v="Delete; and Description='Transfer from POWERPLUS CHECKING';0"/>
    <m/>
  </r>
  <r>
    <x v="13"/>
    <d v="2019-12-30T00:00:00"/>
    <s v="RAINY DAY SAVINGS"/>
    <x v="3"/>
    <n v="-300"/>
    <x v="3"/>
    <m/>
    <m/>
    <m/>
    <n v="300"/>
    <b v="0"/>
    <m/>
    <m/>
    <s v="+"/>
    <x v="3"/>
    <s v="Delete; and Description='Transfer from POWERPLUS CHECKING';0"/>
    <m/>
  </r>
  <r>
    <x v="13"/>
    <d v="2019-12-30T00:00:00"/>
    <s v="RAINY DAY SAVINGS"/>
    <x v="3"/>
    <n v="-200"/>
    <x v="3"/>
    <m/>
    <m/>
    <m/>
    <n v="200"/>
    <b v="0"/>
    <m/>
    <m/>
    <s v="+"/>
    <x v="3"/>
    <s v="Delete; and Description='Transfer from POWERPLUS CHECKING';0"/>
    <m/>
  </r>
  <r>
    <x v="13"/>
    <d v="2019-12-30T00:00:00"/>
    <s v="POWERPLUS"/>
    <x v="92"/>
    <n v="300"/>
    <x v="21"/>
    <m/>
    <m/>
    <m/>
    <n v="300"/>
    <b v="0"/>
    <m/>
    <m/>
    <s v="-"/>
    <x v="92"/>
    <s v="Create Rule; and Description='Transfer to RAINY DAY SAVINGS';Savings"/>
    <m/>
  </r>
  <r>
    <x v="13"/>
    <d v="2019-12-30T00:00:00"/>
    <s v="POWERPLUS"/>
    <x v="92"/>
    <n v="200"/>
    <x v="21"/>
    <m/>
    <m/>
    <m/>
    <n v="200"/>
    <b v="0"/>
    <m/>
    <m/>
    <s v="-"/>
    <x v="92"/>
    <s v="Create Rule; and Description='Transfer to RAINY DAY SAVINGS';Savings"/>
    <m/>
  </r>
  <r>
    <x v="13"/>
    <d v="2019-12-30T00:00:00"/>
    <s v="POWERPLUS CHECKING"/>
    <x v="92"/>
    <n v="300"/>
    <x v="21"/>
    <m/>
    <m/>
    <m/>
    <n v="300"/>
    <b v="0"/>
    <m/>
    <m/>
    <s v="-"/>
    <x v="92"/>
    <s v="Create Rule; and Description='Transfer to RAINY DAY SAVINGS';Savings"/>
    <m/>
  </r>
  <r>
    <x v="13"/>
    <d v="2019-12-30T00:00:00"/>
    <s v="POWERPLUS CHECKING"/>
    <x v="92"/>
    <n v="200"/>
    <x v="21"/>
    <m/>
    <m/>
    <m/>
    <n v="200"/>
    <b v="0"/>
    <m/>
    <m/>
    <s v="-"/>
    <x v="92"/>
    <s v="Create Rule; and Description='Transfer to RAINY DAY SAVINGS';Savings"/>
    <m/>
  </r>
  <r>
    <x v="13"/>
    <d v="2019-12-30T00:00:00"/>
    <s v="Joint Tenant"/>
    <x v="494"/>
    <n v="4.26"/>
    <x v="3"/>
    <m/>
    <m/>
    <m/>
    <n v="4.26"/>
    <b v="0"/>
    <m/>
    <m/>
    <s v="-"/>
    <x v="477"/>
    <s v="Delete; and Source='Joint Tenant';0"/>
    <m/>
  </r>
  <r>
    <x v="13"/>
    <d v="2019-12-30T00:00:00"/>
    <s v="Joint Tenant"/>
    <x v="495"/>
    <n v="-4.26"/>
    <x v="3"/>
    <m/>
    <m/>
    <m/>
    <n v="4.26"/>
    <b v="0"/>
    <m/>
    <m/>
    <s v="+"/>
    <x v="478"/>
    <s v="Delete; and Source='Joint Tenant';0"/>
    <m/>
  </r>
  <r>
    <x v="13"/>
    <d v="2019-12-30T00:00:00"/>
    <s v="POWERPLUS"/>
    <x v="29"/>
    <n v="33"/>
    <x v="7"/>
    <m/>
    <m/>
    <m/>
    <n v="33"/>
    <b v="0"/>
    <m/>
    <m/>
    <s v="-"/>
    <x v="29"/>
    <m/>
    <m/>
  </r>
  <r>
    <x v="13"/>
    <d v="2019-12-30T00:00:00"/>
    <s v="POWERPLUS"/>
    <x v="29"/>
    <n v="14.75"/>
    <x v="7"/>
    <m/>
    <m/>
    <m/>
    <n v="14.75"/>
    <b v="0"/>
    <m/>
    <m/>
    <s v="-"/>
    <x v="29"/>
    <m/>
    <m/>
  </r>
  <r>
    <x v="13"/>
    <d v="2019-12-30T00:00:00"/>
    <s v="POWERPLUS"/>
    <x v="29"/>
    <n v="26"/>
    <x v="7"/>
    <m/>
    <m/>
    <m/>
    <n v="26"/>
    <b v="0"/>
    <m/>
    <m/>
    <s v="-"/>
    <x v="29"/>
    <m/>
    <m/>
  </r>
  <r>
    <x v="13"/>
    <d v="2019-12-30T00:00:00"/>
    <s v="POWERPLUS"/>
    <x v="29"/>
    <n v="40"/>
    <x v="7"/>
    <m/>
    <m/>
    <m/>
    <n v="40"/>
    <b v="0"/>
    <m/>
    <m/>
    <s v="-"/>
    <x v="29"/>
    <m/>
    <m/>
  </r>
  <r>
    <x v="13"/>
    <d v="2019-12-30T00:00:00"/>
    <s v="POWERPLUS CHECKING"/>
    <x v="29"/>
    <n v="33"/>
    <x v="8"/>
    <m/>
    <m/>
    <m/>
    <n v="33"/>
    <b v="0"/>
    <m/>
    <m/>
    <s v="-"/>
    <x v="29"/>
    <s v="Manual"/>
    <m/>
  </r>
  <r>
    <x v="13"/>
    <d v="2019-12-30T00:00:00"/>
    <s v="POWERPLUS CHECKING"/>
    <x v="29"/>
    <n v="14.75"/>
    <x v="8"/>
    <m/>
    <m/>
    <m/>
    <n v="14.75"/>
    <b v="0"/>
    <m/>
    <m/>
    <s v="-"/>
    <x v="29"/>
    <s v="Manual"/>
    <m/>
  </r>
  <r>
    <x v="13"/>
    <d v="2019-12-30T00:00:00"/>
    <s v="POWERPLUS CHECKING"/>
    <x v="29"/>
    <n v="26"/>
    <x v="8"/>
    <m/>
    <m/>
    <m/>
    <n v="26"/>
    <b v="0"/>
    <m/>
    <m/>
    <s v="-"/>
    <x v="29"/>
    <s v="Manual"/>
    <m/>
  </r>
  <r>
    <x v="13"/>
    <d v="2019-12-30T00:00:00"/>
    <s v="POWERPLUS CHECKING"/>
    <x v="29"/>
    <n v="40"/>
    <x v="8"/>
    <m/>
    <m/>
    <m/>
    <n v="40"/>
    <b v="0"/>
    <m/>
    <m/>
    <s v="-"/>
    <x v="29"/>
    <s v="Manual"/>
    <m/>
  </r>
  <r>
    <x v="13"/>
    <d v="2019-12-30T00:00:00"/>
    <s v="POWERPLUS"/>
    <x v="26"/>
    <n v="-86.1"/>
    <x v="3"/>
    <m/>
    <m/>
    <m/>
    <n v="86.1"/>
    <b v="0"/>
    <m/>
    <m/>
    <s v="+"/>
    <x v="26"/>
    <s v="Delete; and Description='Venmo Type Cashout';0"/>
    <m/>
  </r>
  <r>
    <x v="13"/>
    <d v="2019-12-30T00:00:00"/>
    <s v="POWERPLUS CHECKING"/>
    <x v="26"/>
    <n v="-86.1"/>
    <x v="3"/>
    <m/>
    <m/>
    <m/>
    <n v="86.1"/>
    <b v="0"/>
    <m/>
    <m/>
    <s v="+"/>
    <x v="26"/>
    <s v="Delete; and Description='Venmo Type Cashout';0"/>
    <m/>
  </r>
  <r>
    <x v="13"/>
    <d v="2019-12-30T00:00:00"/>
    <s v="Discover"/>
    <x v="448"/>
    <n v="20.420000000000002"/>
    <x v="8"/>
    <m/>
    <m/>
    <m/>
    <n v="20.420000000000002"/>
    <b v="0"/>
    <m/>
    <m/>
    <s v="-"/>
    <x v="432"/>
    <s v="Create Rule; and Description='Wayfair';Shopping"/>
    <m/>
  </r>
  <r>
    <x v="13"/>
    <d v="2019-12-30T00:00:00"/>
    <s v="Discover More Card"/>
    <x v="448"/>
    <n v="20.420000000000002"/>
    <x v="8"/>
    <m/>
    <m/>
    <m/>
    <n v="20.420000000000002"/>
    <b v="0"/>
    <m/>
    <m/>
    <s v="-"/>
    <x v="432"/>
    <s v="Manual"/>
    <m/>
  </r>
  <r>
    <x v="13"/>
    <d v="2019-12-30T00:00:00"/>
    <s v="Discover"/>
    <x v="496"/>
    <n v="9.44"/>
    <x v="1"/>
    <m/>
    <m/>
    <m/>
    <n v="9.44"/>
    <b v="0"/>
    <m/>
    <m/>
    <s v="-"/>
    <x v="479"/>
    <s v="Create Rule; and Description='WORLD BEAN MINNEAPOLIS MN';Restaurants"/>
    <m/>
  </r>
  <r>
    <x v="13"/>
    <d v="2019-12-30T00:00:00"/>
    <s v="Discover More Card"/>
    <x v="496"/>
    <n v="9.44"/>
    <x v="1"/>
    <m/>
    <m/>
    <m/>
    <n v="9.44"/>
    <b v="0"/>
    <m/>
    <m/>
    <s v="-"/>
    <x v="479"/>
    <s v="Create Rule; and Description='WORLD BEAN MINNEAPOLIS MN';Restaurants"/>
    <m/>
  </r>
  <r>
    <x v="13"/>
    <d v="2019-12-30T00:00:00"/>
    <s v="POWERPLUS"/>
    <x v="497"/>
    <n v="443.01"/>
    <x v="3"/>
    <m/>
    <m/>
    <m/>
    <n v="443.01"/>
    <b v="0"/>
    <m/>
    <m/>
    <s v="-"/>
    <x v="480"/>
    <s v="Delete; and Description Like '%DISCOVER TYPE EPAYMENT%';0"/>
    <m/>
  </r>
  <r>
    <x v="13"/>
    <d v="2019-12-30T00:00:00"/>
    <s v="POWERPLUS CHECKING"/>
    <x v="497"/>
    <n v="443.01"/>
    <x v="3"/>
    <m/>
    <m/>
    <m/>
    <n v="443.01"/>
    <b v="0"/>
    <m/>
    <m/>
    <s v="-"/>
    <x v="480"/>
    <s v="Delete; and Description Like '%DISCOVER TYPE EPAYMENT%';0"/>
    <m/>
  </r>
  <r>
    <x v="13"/>
    <d v="2019-12-30T00:00:00"/>
    <s v="POWERPLUS"/>
    <x v="498"/>
    <n v="538.52"/>
    <x v="3"/>
    <m/>
    <m/>
    <m/>
    <n v="538.52"/>
    <b v="0"/>
    <m/>
    <m/>
    <s v="-"/>
    <x v="481"/>
    <s v="Delete; and Description Like '%DISCOVER TYPE EPAYMENT%';0"/>
    <m/>
  </r>
  <r>
    <x v="13"/>
    <d v="2019-12-30T00:00:00"/>
    <s v="POWERPLUS CHECKING"/>
    <x v="498"/>
    <n v="538.52"/>
    <x v="3"/>
    <m/>
    <m/>
    <m/>
    <n v="538.52"/>
    <b v="0"/>
    <m/>
    <m/>
    <s v="-"/>
    <x v="481"/>
    <s v="Delete; and Description Like '%DISCOVER TYPE EPAYMENT%';0"/>
    <m/>
  </r>
  <r>
    <x v="13"/>
    <d v="2019-12-30T00:00:00"/>
    <s v="Discover"/>
    <x v="56"/>
    <n v="-443.01"/>
    <x v="3"/>
    <m/>
    <m/>
    <m/>
    <n v="443.01"/>
    <b v="0"/>
    <m/>
    <m/>
    <s v="+"/>
    <x v="56"/>
    <s v="Delete; and Description='INTERNET PAYMENT - THANK YOU';0"/>
    <m/>
  </r>
  <r>
    <x v="13"/>
    <d v="2019-12-30T00:00:00"/>
    <s v="Discover"/>
    <x v="56"/>
    <n v="-538.52"/>
    <x v="3"/>
    <m/>
    <m/>
    <m/>
    <n v="538.52"/>
    <b v="0"/>
    <m/>
    <m/>
    <s v="+"/>
    <x v="56"/>
    <s v="Delete; and Description='INTERNET PAYMENT - THANK YOU';0"/>
    <m/>
  </r>
  <r>
    <x v="13"/>
    <d v="2019-12-30T00:00:00"/>
    <s v="Discover More Card"/>
    <x v="56"/>
    <n v="-443.01"/>
    <x v="3"/>
    <m/>
    <m/>
    <m/>
    <n v="443.01"/>
    <b v="0"/>
    <m/>
    <m/>
    <s v="+"/>
    <x v="56"/>
    <s v="Delete; and Description='INTERNET PAYMENT - THANK YOU';0"/>
    <m/>
  </r>
  <r>
    <x v="13"/>
    <d v="2019-12-30T00:00:00"/>
    <s v="Discover More Card"/>
    <x v="56"/>
    <n v="-538.52"/>
    <x v="3"/>
    <m/>
    <m/>
    <m/>
    <n v="538.52"/>
    <b v="0"/>
    <m/>
    <m/>
    <s v="+"/>
    <x v="56"/>
    <s v="Delete; and Description='INTERNET PAYMENT - THANK YOU';0"/>
    <m/>
  </r>
  <r>
    <x v="13"/>
    <d v="2019-12-30T00:00:00"/>
    <s v="Cash Rewards Visa Signature"/>
    <x v="499"/>
    <n v="-1676.82"/>
    <x v="3"/>
    <m/>
    <m/>
    <m/>
    <n v="1676.82"/>
    <b v="0"/>
    <m/>
    <m/>
    <s v="+"/>
    <x v="482"/>
    <s v="Delete; and Description Like '%PAYMENT THANK YOU%';0"/>
    <m/>
  </r>
  <r>
    <x v="13"/>
    <d v="2019-12-30T00:00:00"/>
    <s v="Cash Rewards Visa Signature"/>
    <x v="500"/>
    <n v="-982.47"/>
    <x v="3"/>
    <m/>
    <m/>
    <m/>
    <n v="982.47"/>
    <b v="0"/>
    <m/>
    <m/>
    <s v="+"/>
    <x v="483"/>
    <s v="Delete; and Description Like '%PAYMENT THANK YOU%';0"/>
    <m/>
  </r>
  <r>
    <x v="13"/>
    <d v="2019-12-30T00:00:00"/>
    <s v="POWERPLUS"/>
    <x v="501"/>
    <n v="1676.82"/>
    <x v="3"/>
    <m/>
    <m/>
    <m/>
    <n v="1676.82"/>
    <b v="0"/>
    <m/>
    <m/>
    <s v="-"/>
    <x v="484"/>
    <s v="Delete; and Description Like '%Withdrawal Home payment to card%';0"/>
    <m/>
  </r>
  <r>
    <x v="13"/>
    <d v="2019-12-30T00:00:00"/>
    <s v="POWERPLUS CHECKING"/>
    <x v="501"/>
    <n v="1676.82"/>
    <x v="3"/>
    <m/>
    <m/>
    <m/>
    <n v="1676.82"/>
    <b v="0"/>
    <m/>
    <m/>
    <s v="-"/>
    <x v="484"/>
    <s v="Delete; and Description Like '%Withdrawal Home payment to card%';0"/>
    <m/>
  </r>
  <r>
    <x v="13"/>
    <d v="2019-12-30T00:00:00"/>
    <s v="POWERPLUS"/>
    <x v="502"/>
    <n v="982.47"/>
    <x v="3"/>
    <m/>
    <m/>
    <m/>
    <n v="982.47"/>
    <b v="0"/>
    <m/>
    <m/>
    <s v="-"/>
    <x v="485"/>
    <s v="Delete; and Description Like '%Withdrawal Home payment to card%';0"/>
    <m/>
  </r>
  <r>
    <x v="13"/>
    <d v="2019-12-30T00:00:00"/>
    <s v="POWERPLUS CHECKING"/>
    <x v="502"/>
    <n v="982.47"/>
    <x v="3"/>
    <m/>
    <m/>
    <m/>
    <n v="982.47"/>
    <b v="0"/>
    <m/>
    <m/>
    <s v="-"/>
    <x v="485"/>
    <s v="Delete; and Description Like '%Withdrawal Home payment to card%';0"/>
    <m/>
  </r>
  <r>
    <x v="8"/>
    <d v="2020-01-01T00:00:00"/>
    <s v="SHARE SAVINGS"/>
    <x v="303"/>
    <n v="-171.07"/>
    <x v="13"/>
    <m/>
    <m/>
    <m/>
    <n v="171.07"/>
    <b v="0"/>
    <m/>
    <m/>
    <s v="+"/>
    <x v="295"/>
    <s v="Create Rule; and Description='Cred Rebate';Inc - Other"/>
    <m/>
  </r>
  <r>
    <x v="8"/>
    <d v="2020-01-01T00:00:00"/>
    <s v="Discover More Card"/>
    <x v="6"/>
    <n v="96.95"/>
    <x v="5"/>
    <m/>
    <m/>
    <m/>
    <n v="96.95"/>
    <b v="0"/>
    <m/>
    <m/>
    <s v="-"/>
    <x v="6"/>
    <s v="Create Rule; and Description Like '%Cub Foods%';Groceries"/>
    <m/>
  </r>
  <r>
    <x v="8"/>
    <d v="2020-01-01T00:00:00"/>
    <s v="Discover"/>
    <x v="6"/>
    <n v="96.95"/>
    <x v="5"/>
    <m/>
    <m/>
    <m/>
    <n v="96.95"/>
    <b v="0"/>
    <m/>
    <m/>
    <s v="-"/>
    <x v="6"/>
    <s v="Create Rule; and Description Like '%Cub Foods%';Groceries"/>
    <m/>
  </r>
  <r>
    <x v="8"/>
    <d v="2020-01-01T00:00:00"/>
    <s v="HIGHLANDER"/>
    <x v="503"/>
    <n v="-565.74"/>
    <x v="7"/>
    <m/>
    <m/>
    <m/>
    <n v="565.74"/>
    <b v="0"/>
    <m/>
    <m/>
    <s v="+"/>
    <x v="486"/>
    <m/>
    <m/>
  </r>
  <r>
    <x v="8"/>
    <d v="2020-01-01T00:00:00"/>
    <s v="POWERPLUS"/>
    <x v="504"/>
    <n v="618.65"/>
    <x v="22"/>
    <m/>
    <m/>
    <m/>
    <n v="618.65"/>
    <b v="0"/>
    <m/>
    <m/>
    <s v="-"/>
    <x v="487"/>
    <s v="Create Rule; and Description Like '%To Loan 02%';Car Loan"/>
    <m/>
  </r>
  <r>
    <x v="8"/>
    <d v="2020-01-01T00:00:00"/>
    <s v="POWERPLUS CHECKING"/>
    <x v="504"/>
    <n v="618.65"/>
    <x v="22"/>
    <m/>
    <m/>
    <m/>
    <n v="618.65"/>
    <b v="0"/>
    <m/>
    <m/>
    <s v="-"/>
    <x v="487"/>
    <s v="Create Rule; and Description Like '%To Loan 02%';Car Loan"/>
    <m/>
  </r>
  <r>
    <x v="8"/>
    <d v="2020-01-02T00:00:00"/>
    <s v="Discover More Card"/>
    <x v="0"/>
    <n v="8.58"/>
    <x v="0"/>
    <m/>
    <m/>
    <m/>
    <n v="8.58"/>
    <b v="0"/>
    <m/>
    <m/>
    <s v="-"/>
    <x v="0"/>
    <s v="Create Rule; and Description='Amazon';Amazon"/>
    <m/>
  </r>
  <r>
    <x v="8"/>
    <d v="2020-01-02T00:00:00"/>
    <s v="Discover"/>
    <x v="0"/>
    <n v="8.58"/>
    <x v="0"/>
    <m/>
    <m/>
    <m/>
    <n v="8.58"/>
    <b v="0"/>
    <m/>
    <m/>
    <s v="-"/>
    <x v="0"/>
    <s v="Create Rule; and Description='Amazon';Amazon"/>
    <m/>
  </r>
  <r>
    <x v="8"/>
    <d v="2020-01-02T00:00:00"/>
    <s v="POWERPLUS"/>
    <x v="505"/>
    <n v="200"/>
    <x v="9"/>
    <m/>
    <m/>
    <m/>
    <n v="200"/>
    <b v="0"/>
    <m/>
    <m/>
    <s v="-"/>
    <x v="16"/>
    <s v="Create Rule; and Description Like '%College Savings%';College Savings"/>
    <m/>
  </r>
  <r>
    <x v="8"/>
    <d v="2020-01-02T00:00:00"/>
    <s v="POWERPLUS CHECKING"/>
    <x v="505"/>
    <n v="200"/>
    <x v="9"/>
    <m/>
    <m/>
    <m/>
    <n v="200"/>
    <b v="0"/>
    <m/>
    <m/>
    <s v="-"/>
    <x v="16"/>
    <s v="Create Rule; and Description Like '%College Savings%';College Savings"/>
    <m/>
  </r>
  <r>
    <x v="8"/>
    <d v="2020-01-02T00:00:00"/>
    <s v="Cash Rewards Visa Signature"/>
    <x v="188"/>
    <n v="25.05"/>
    <x v="1"/>
    <m/>
    <m/>
    <m/>
    <n v="25.05"/>
    <b v="0"/>
    <m/>
    <m/>
    <s v="-"/>
    <x v="187"/>
    <s v="Create Rule; and Description='Noodles &amp; Company';Restaurants"/>
    <m/>
  </r>
  <r>
    <x v="8"/>
    <d v="2020-01-02T00:00:00"/>
    <s v="POWERPLUS"/>
    <x v="34"/>
    <n v="1800.32"/>
    <x v="12"/>
    <m/>
    <m/>
    <m/>
    <n v="1800.32"/>
    <b v="0"/>
    <m/>
    <m/>
    <s v="-"/>
    <x v="34"/>
    <s v="Create Rule; and Description='Target';Target"/>
    <m/>
  </r>
  <r>
    <x v="8"/>
    <d v="2020-01-02T00:00:00"/>
    <s v="POWERPLUS CHECKING"/>
    <x v="34"/>
    <n v="1800.32"/>
    <x v="12"/>
    <m/>
    <m/>
    <m/>
    <n v="1800.32"/>
    <b v="0"/>
    <m/>
    <m/>
    <s v="-"/>
    <x v="34"/>
    <s v="Create Rule; and Description='Target';Target"/>
    <m/>
  </r>
  <r>
    <x v="8"/>
    <d v="2020-01-02T00:00:00"/>
    <s v="Cash Rewards Visa Signature"/>
    <x v="506"/>
    <n v="148.44999999999999"/>
    <x v="8"/>
    <m/>
    <m/>
    <m/>
    <n v="148.44999999999999"/>
    <b v="0"/>
    <m/>
    <m/>
    <s v="-"/>
    <x v="488"/>
    <s v="Create Rule; and Description Like '%Under Armour Retail%';Shopping"/>
    <m/>
  </r>
  <r>
    <x v="8"/>
    <d v="2020-01-03T00:00:00"/>
    <s v="Cash Rewards Visa Signature"/>
    <x v="389"/>
    <n v="7.5"/>
    <x v="2"/>
    <m/>
    <m/>
    <m/>
    <n v="7.5"/>
    <b v="0"/>
    <m/>
    <m/>
    <s v="-"/>
    <x v="376"/>
    <s v="Create Rule; and Description='Allied Parking Inc';Transportation"/>
    <m/>
  </r>
  <r>
    <x v="8"/>
    <d v="2020-01-03T00:00:00"/>
    <s v="Joint Tenant"/>
    <x v="285"/>
    <n v="-8.4700000000000006"/>
    <x v="23"/>
    <m/>
    <m/>
    <m/>
    <n v="8.4700000000000006"/>
    <b v="0"/>
    <m/>
    <m/>
    <s v="+"/>
    <x v="278"/>
    <s v="Create Rule; and Description='ETFMG ALTERNATIVE HARVEST ETF';Dividend"/>
    <m/>
  </r>
  <r>
    <x v="8"/>
    <d v="2020-01-03T00:00:00"/>
    <s v="Cash Rewards Visa Signature"/>
    <x v="507"/>
    <n v="155.11000000000001"/>
    <x v="1"/>
    <m/>
    <m/>
    <m/>
    <n v="155.11000000000001"/>
    <b v="0"/>
    <m/>
    <m/>
    <s v="-"/>
    <x v="489"/>
    <s v="Create Rule; and Description Like '%TEQUILA BUTCHER CHANHASSEN MN%';Restaurants"/>
    <m/>
  </r>
  <r>
    <x v="8"/>
    <d v="2020-01-04T00:00:00"/>
    <s v="Discover More Card"/>
    <x v="0"/>
    <n v="11.27"/>
    <x v="0"/>
    <m/>
    <m/>
    <m/>
    <n v="11.27"/>
    <b v="0"/>
    <m/>
    <m/>
    <s v="-"/>
    <x v="0"/>
    <s v="Create Rule; and Description='Amazon';Amazon"/>
    <m/>
  </r>
  <r>
    <x v="8"/>
    <d v="2020-01-04T00:00:00"/>
    <s v="Discover"/>
    <x v="0"/>
    <n v="11.27"/>
    <x v="0"/>
    <m/>
    <m/>
    <m/>
    <n v="11.27"/>
    <b v="0"/>
    <m/>
    <m/>
    <s v="-"/>
    <x v="0"/>
    <s v="Create Rule; and Description='Amazon';Amazon"/>
    <m/>
  </r>
  <r>
    <x v="8"/>
    <d v="2020-01-04T00:00:00"/>
    <s v="POWERPLUS"/>
    <x v="35"/>
    <n v="-89.22"/>
    <x v="13"/>
    <m/>
    <m/>
    <m/>
    <n v="89.22"/>
    <b v="0"/>
    <m/>
    <m/>
    <s v="+"/>
    <x v="35"/>
    <s v="Create Rule; and Description='Cargill Incorpor Type';Inc - Other"/>
    <m/>
  </r>
  <r>
    <x v="8"/>
    <d v="2020-01-04T00:00:00"/>
    <s v="POWERPLUS CHECKING"/>
    <x v="35"/>
    <n v="-89.22"/>
    <x v="13"/>
    <m/>
    <m/>
    <m/>
    <n v="89.22"/>
    <b v="0"/>
    <m/>
    <m/>
    <s v="+"/>
    <x v="35"/>
    <s v="Create Rule; and Description='Cargill Incorpor Type';Inc - Other"/>
    <m/>
  </r>
  <r>
    <x v="8"/>
    <d v="2020-01-05T00:00:00"/>
    <s v="Cash Rewards Visa Signature"/>
    <x v="508"/>
    <n v="108.26"/>
    <x v="27"/>
    <m/>
    <m/>
    <m/>
    <n v="108.26"/>
    <b v="0"/>
    <m/>
    <m/>
    <s v="-"/>
    <x v="490"/>
    <s v="Create Rule; and Description Like '%LTFLIFE TIME MO DUES%';Gym"/>
    <m/>
  </r>
  <r>
    <x v="8"/>
    <d v="2020-01-05T00:00:00"/>
    <s v="Cash Rewards Visa Signature"/>
    <x v="509"/>
    <n v="72.010000000000005"/>
    <x v="1"/>
    <m/>
    <m/>
    <m/>
    <n v="72.010000000000005"/>
    <b v="0"/>
    <m/>
    <m/>
    <s v="-"/>
    <x v="491"/>
    <s v="Manual"/>
    <m/>
  </r>
  <r>
    <x v="8"/>
    <d v="2020-01-05T00:00:00"/>
    <s v="Cash Rewards Visa Signature"/>
    <x v="2"/>
    <n v="24.75"/>
    <x v="2"/>
    <m/>
    <m/>
    <m/>
    <n v="24.75"/>
    <b v="0"/>
    <m/>
    <m/>
    <s v="-"/>
    <x v="2"/>
    <s v="Create Rule; and Description='Speedway';Transportation"/>
    <m/>
  </r>
  <r>
    <x v="8"/>
    <d v="2020-01-05T00:00:00"/>
    <s v="Cash Rewards Visa Signature"/>
    <x v="510"/>
    <n v="11.5"/>
    <x v="7"/>
    <m/>
    <m/>
    <m/>
    <n v="11.5"/>
    <b v="0"/>
    <m/>
    <m/>
    <s v="-"/>
    <x v="492"/>
    <s v="Manual"/>
    <m/>
  </r>
  <r>
    <x v="8"/>
    <d v="2020-01-06T00:00:00"/>
    <s v="Discover More Card"/>
    <x v="93"/>
    <n v="-41.02"/>
    <x v="3"/>
    <m/>
    <m/>
    <m/>
    <n v="41.02"/>
    <b v="0"/>
    <m/>
    <m/>
    <s v="+"/>
    <x v="93"/>
    <s v="Delete; and Description='CASHBACK BONUS REDEMPTION payment/STMT CRDT';0"/>
    <m/>
  </r>
  <r>
    <x v="8"/>
    <d v="2020-01-06T00:00:00"/>
    <s v="Discover"/>
    <x v="93"/>
    <n v="-41.02"/>
    <x v="3"/>
    <m/>
    <m/>
    <m/>
    <n v="41.02"/>
    <b v="0"/>
    <m/>
    <m/>
    <s v="+"/>
    <x v="93"/>
    <s v="Delete; and Description='CASHBACK BONUS REDEMPTION payment/STMT CRDT';0"/>
    <m/>
  </r>
  <r>
    <x v="8"/>
    <d v="2020-01-06T00:00:00"/>
    <s v="Discover More Card"/>
    <x v="56"/>
    <n v="-520.15"/>
    <x v="3"/>
    <m/>
    <m/>
    <m/>
    <n v="520.15"/>
    <b v="0"/>
    <m/>
    <m/>
    <s v="+"/>
    <x v="56"/>
    <s v="Delete; and Description='INTERNET PAYMENT - THANK YOU';0"/>
    <m/>
  </r>
  <r>
    <x v="8"/>
    <d v="2020-01-06T00:00:00"/>
    <s v="Discover"/>
    <x v="56"/>
    <n v="-520.15"/>
    <x v="3"/>
    <m/>
    <m/>
    <m/>
    <n v="520.15"/>
    <b v="0"/>
    <m/>
    <m/>
    <s v="+"/>
    <x v="56"/>
    <s v="Delete; and Description='INTERNET PAYMENT - THANK YOU';0"/>
    <m/>
  </r>
  <r>
    <x v="8"/>
    <d v="2020-01-06T00:00:00"/>
    <s v="30 YR FIXED"/>
    <x v="511"/>
    <n v="-544.47"/>
    <x v="7"/>
    <m/>
    <m/>
    <m/>
    <n v="544.47"/>
    <b v="0"/>
    <m/>
    <m/>
    <s v="+"/>
    <x v="493"/>
    <m/>
    <m/>
  </r>
  <r>
    <x v="8"/>
    <d v="2020-01-06T00:00:00"/>
    <s v="Cash Rewards Visa Signature"/>
    <x v="512"/>
    <n v="-405.68"/>
    <x v="3"/>
    <m/>
    <m/>
    <m/>
    <n v="405.68"/>
    <b v="0"/>
    <m/>
    <m/>
    <s v="+"/>
    <x v="494"/>
    <s v="Delete; and Description Like '%PAYMENT THANK YOU%';0"/>
    <m/>
  </r>
  <r>
    <x v="8"/>
    <d v="2020-01-06T00:00:00"/>
    <s v="POWERPLUS"/>
    <x v="513"/>
    <n v="405.68"/>
    <x v="3"/>
    <m/>
    <m/>
    <m/>
    <n v="405.68"/>
    <b v="0"/>
    <m/>
    <m/>
    <s v="-"/>
    <x v="495"/>
    <s v="Delete; and Description Like '%Withdrawal Home payment to card%';0"/>
    <m/>
  </r>
  <r>
    <x v="8"/>
    <d v="2020-01-06T00:00:00"/>
    <s v="POWERPLUS CHECKING"/>
    <x v="513"/>
    <n v="405.68"/>
    <x v="3"/>
    <m/>
    <m/>
    <m/>
    <n v="405.68"/>
    <b v="0"/>
    <m/>
    <m/>
    <s v="-"/>
    <x v="495"/>
    <s v="Delete; and Description Like '%Withdrawal Home payment to card%';0"/>
    <m/>
  </r>
  <r>
    <x v="9"/>
    <d v="2019-10-04T00:00:00"/>
    <s v="POWERPLUS CHECKING"/>
    <x v="441"/>
    <n v="2914.59"/>
    <x v="6"/>
    <m/>
    <m/>
    <m/>
    <n v="2914.59"/>
    <b v="0"/>
    <m/>
    <m/>
    <s v="-"/>
    <x v="265"/>
    <m/>
    <m/>
  </r>
  <r>
    <x v="14"/>
    <d v="2020-09-04T00:00:00"/>
    <s v="POWERPLUS"/>
    <x v="514"/>
    <n v="2832.51"/>
    <x v="26"/>
    <m/>
    <m/>
    <m/>
    <n v="2832.51"/>
    <b v="0"/>
    <m/>
    <m/>
    <s v="-"/>
    <x v="265"/>
    <s v="Create Rule; and Description Like '%BCU MORTGAGE TYPE LOAN PAYMT ID 9DRAFTING CO BCU MORTGAGE%';Rent"/>
    <m/>
  </r>
  <r>
    <x v="8"/>
    <d v="2020-01-06T00:00:00"/>
    <s v="Joint Tenant"/>
    <x v="232"/>
    <n v="1647.95"/>
    <x v="23"/>
    <m/>
    <m/>
    <m/>
    <n v="1647.95"/>
    <b v="0"/>
    <m/>
    <m/>
    <s v="-"/>
    <x v="230"/>
    <s v="Create Rule; and Description='BOEING CO';Dividend"/>
    <m/>
  </r>
  <r>
    <x v="8"/>
    <d v="2020-01-06T00:00:00"/>
    <s v="POWERPLUS"/>
    <x v="446"/>
    <n v="-4999.99"/>
    <x v="7"/>
    <m/>
    <m/>
    <m/>
    <n v="4999.99"/>
    <b v="0"/>
    <m/>
    <m/>
    <s v="+"/>
    <x v="430"/>
    <m/>
    <m/>
  </r>
  <r>
    <x v="8"/>
    <d v="2020-01-06T00:00:00"/>
    <s v="POWERPLUS CHECKING"/>
    <x v="446"/>
    <n v="-4999.99"/>
    <x v="3"/>
    <m/>
    <m/>
    <m/>
    <n v="4999.99"/>
    <b v="0"/>
    <m/>
    <m/>
    <s v="+"/>
    <x v="430"/>
    <s v="Manual"/>
    <m/>
  </r>
  <r>
    <x v="8"/>
    <d v="2020-01-06T00:00:00"/>
    <s v="Joint Tenant"/>
    <x v="285"/>
    <n v="8.4700000000000006"/>
    <x v="23"/>
    <m/>
    <m/>
    <m/>
    <n v="8.4700000000000006"/>
    <b v="0"/>
    <m/>
    <m/>
    <s v="-"/>
    <x v="278"/>
    <s v="Create Rule; and Description='ETFMG ALTERNATIVE HARVEST ETF';Dividend"/>
    <m/>
  </r>
  <r>
    <x v="8"/>
    <d v="2020-01-06T00:00:00"/>
    <s v="Jeff Roth"/>
    <x v="19"/>
    <n v="150"/>
    <x v="3"/>
    <m/>
    <m/>
    <m/>
    <n v="150"/>
    <b v="0"/>
    <m/>
    <m/>
    <s v="-"/>
    <x v="19"/>
    <s v="Delete; and Description='SCHWAB S&amp;P 500 INDEX FD' and inflowoutflow='-';0"/>
    <m/>
  </r>
  <r>
    <x v="8"/>
    <d v="2020-01-06T00:00:00"/>
    <s v="Roth Contributory IRA"/>
    <x v="19"/>
    <n v="150"/>
    <x v="3"/>
    <m/>
    <m/>
    <m/>
    <n v="150"/>
    <b v="0"/>
    <m/>
    <m/>
    <s v="-"/>
    <x v="19"/>
    <s v="Delete; and Description='SCHWAB S&amp;P 500 INDEX FD' and inflowoutflow='-';0"/>
    <m/>
  </r>
  <r>
    <x v="8"/>
    <d v="2020-01-06T00:00:00"/>
    <s v="Britney Roth"/>
    <x v="20"/>
    <n v="150"/>
    <x v="3"/>
    <m/>
    <m/>
    <m/>
    <n v="150"/>
    <b v="0"/>
    <m/>
    <m/>
    <s v="-"/>
    <x v="20"/>
    <s v="Delete; and Description='SCHWAB TOTAL STOCK MKT INDEX' and inflowoutflow='-';0"/>
    <m/>
  </r>
  <r>
    <x v="8"/>
    <d v="2020-01-06T00:00:00"/>
    <s v="Jeff Roth"/>
    <x v="20"/>
    <n v="150"/>
    <x v="3"/>
    <m/>
    <m/>
    <m/>
    <n v="150"/>
    <b v="0"/>
    <m/>
    <m/>
    <s v="-"/>
    <x v="20"/>
    <s v="Delete; and Description='SCHWAB TOTAL STOCK MKT INDEX' and inflowoutflow='-';0"/>
    <m/>
  </r>
  <r>
    <x v="8"/>
    <d v="2020-01-06T00:00:00"/>
    <s v="Roth Contributory IRA"/>
    <x v="20"/>
    <n v="150"/>
    <x v="3"/>
    <m/>
    <m/>
    <m/>
    <n v="150"/>
    <b v="0"/>
    <m/>
    <m/>
    <s v="-"/>
    <x v="20"/>
    <s v="Delete; and Description='SCHWAB TOTAL STOCK MKT INDEX' and inflowoutflow='-';0"/>
    <m/>
  </r>
  <r>
    <x v="8"/>
    <d v="2020-01-06T00:00:00"/>
    <s v="POWERPLUS"/>
    <x v="515"/>
    <n v="-171"/>
    <x v="3"/>
    <m/>
    <m/>
    <m/>
    <n v="171"/>
    <b v="0"/>
    <m/>
    <m/>
    <s v="+"/>
    <x v="496"/>
    <s v="Create Rule; and Description='Share';Delete"/>
    <m/>
  </r>
  <r>
    <x v="8"/>
    <d v="2020-01-06T00:00:00"/>
    <s v="POWERPLUS CHECKING"/>
    <x v="515"/>
    <n v="-171"/>
    <x v="3"/>
    <m/>
    <m/>
    <m/>
    <n v="171"/>
    <b v="0"/>
    <m/>
    <m/>
    <s v="+"/>
    <x v="496"/>
    <s v="Manual"/>
    <m/>
  </r>
  <r>
    <x v="8"/>
    <d v="2020-01-06T00:00:00"/>
    <s v="Joint Tenant"/>
    <x v="516"/>
    <n v="1111.02"/>
    <x v="3"/>
    <m/>
    <m/>
    <m/>
    <n v="1111.02"/>
    <b v="0"/>
    <m/>
    <m/>
    <s v="-"/>
    <x v="497"/>
    <s v="Delete; and Source='Joint Tenant';0"/>
    <m/>
  </r>
  <r>
    <x v="8"/>
    <d v="2020-01-06T00:00:00"/>
    <s v="SHARE SAVINGS"/>
    <x v="517"/>
    <n v="171"/>
    <x v="3"/>
    <m/>
    <m/>
    <m/>
    <n v="171"/>
    <b v="0"/>
    <m/>
    <m/>
    <s v="-"/>
    <x v="498"/>
    <s v="Manual"/>
    <m/>
  </r>
  <r>
    <x v="8"/>
    <d v="2020-01-06T00:00:00"/>
    <s v="POWERPLUS"/>
    <x v="29"/>
    <n v="20"/>
    <x v="7"/>
    <m/>
    <m/>
    <m/>
    <n v="20"/>
    <b v="0"/>
    <m/>
    <m/>
    <s v="-"/>
    <x v="29"/>
    <m/>
    <m/>
  </r>
  <r>
    <x v="8"/>
    <d v="2020-01-06T00:00:00"/>
    <s v="POWERPLUS CHECKING"/>
    <x v="29"/>
    <n v="20"/>
    <x v="8"/>
    <m/>
    <m/>
    <m/>
    <n v="20"/>
    <b v="0"/>
    <m/>
    <m/>
    <s v="-"/>
    <x v="29"/>
    <s v="Manual"/>
    <m/>
  </r>
  <r>
    <x v="8"/>
    <d v="2020-01-07T00:00:00"/>
    <s v="POWERPLUS"/>
    <x v="518"/>
    <n v="520.15"/>
    <x v="3"/>
    <m/>
    <m/>
    <m/>
    <n v="520.15"/>
    <b v="0"/>
    <m/>
    <m/>
    <s v="-"/>
    <x v="499"/>
    <s v="Delete; and Description Like '%DISCOVER TYPE EPAYMENT%';0"/>
    <m/>
  </r>
  <r>
    <x v="8"/>
    <d v="2020-01-07T00:00:00"/>
    <s v="POWERPLUS CHECKING"/>
    <x v="518"/>
    <n v="520.15"/>
    <x v="3"/>
    <m/>
    <m/>
    <m/>
    <n v="520.15"/>
    <b v="0"/>
    <m/>
    <m/>
    <s v="-"/>
    <x v="499"/>
    <s v="Delete; and Description Like '%DISCOVER TYPE EPAYMENT%';0"/>
    <m/>
  </r>
  <r>
    <x v="8"/>
    <d v="2020-01-07T00:00:00"/>
    <s v="Discover More Card"/>
    <x v="0"/>
    <n v="22.02"/>
    <x v="0"/>
    <m/>
    <m/>
    <m/>
    <n v="22.02"/>
    <b v="0"/>
    <m/>
    <m/>
    <s v="-"/>
    <x v="0"/>
    <s v="Create Rule; and Description='Amazon';Amazon"/>
    <m/>
  </r>
  <r>
    <x v="8"/>
    <d v="2020-01-07T00:00:00"/>
    <s v="Discover More Card"/>
    <x v="0"/>
    <n v="127.78"/>
    <x v="0"/>
    <m/>
    <m/>
    <m/>
    <n v="127.78"/>
    <b v="0"/>
    <m/>
    <m/>
    <s v="-"/>
    <x v="0"/>
    <s v="Create Rule; and Description='Amazon';Amazon"/>
    <m/>
  </r>
  <r>
    <x v="8"/>
    <d v="2020-01-07T00:00:00"/>
    <s v="Discover"/>
    <x v="0"/>
    <n v="22.02"/>
    <x v="0"/>
    <m/>
    <m/>
    <m/>
    <n v="22.02"/>
    <b v="0"/>
    <m/>
    <m/>
    <s v="-"/>
    <x v="0"/>
    <s v="Create Rule; and Description='Amazon';Amazon"/>
    <m/>
  </r>
  <r>
    <x v="8"/>
    <d v="2020-01-07T00:00:00"/>
    <s v="Discover"/>
    <x v="0"/>
    <n v="127.78"/>
    <x v="0"/>
    <m/>
    <m/>
    <m/>
    <n v="127.78"/>
    <b v="0"/>
    <m/>
    <m/>
    <s v="-"/>
    <x v="0"/>
    <s v="Create Rule; and Description='Amazon';Amazon"/>
    <m/>
  </r>
  <r>
    <x v="8"/>
    <d v="2020-01-07T00:00:00"/>
    <s v="Cash Rewards Visa Signature"/>
    <x v="519"/>
    <n v="39.25"/>
    <x v="1"/>
    <m/>
    <m/>
    <m/>
    <n v="39.25"/>
    <b v="0"/>
    <m/>
    <m/>
    <s v="-"/>
    <x v="500"/>
    <s v="Manual"/>
    <m/>
  </r>
  <r>
    <x v="8"/>
    <d v="2020-01-07T00:00:00"/>
    <s v="POWERPLUS"/>
    <x v="29"/>
    <n v="49.5"/>
    <x v="7"/>
    <m/>
    <m/>
    <m/>
    <n v="49.5"/>
    <b v="0"/>
    <m/>
    <m/>
    <s v="-"/>
    <x v="29"/>
    <m/>
    <m/>
  </r>
  <r>
    <x v="8"/>
    <d v="2020-01-07T00:00:00"/>
    <s v="POWERPLUS CHECKING"/>
    <x v="29"/>
    <n v="49.5"/>
    <x v="8"/>
    <m/>
    <m/>
    <m/>
    <n v="49.5"/>
    <b v="0"/>
    <m/>
    <m/>
    <s v="-"/>
    <x v="29"/>
    <s v="Manual"/>
    <m/>
  </r>
  <r>
    <x v="8"/>
    <d v="2020-01-07T00:00:00"/>
    <s v="POWERPLUS"/>
    <x v="30"/>
    <n v="83.55"/>
    <x v="11"/>
    <m/>
    <m/>
    <m/>
    <n v="83.55"/>
    <b v="0"/>
    <m/>
    <m/>
    <s v="-"/>
    <x v="30"/>
    <s v="Create Rule; and Description='Xcel Energy';Utilities"/>
    <m/>
  </r>
  <r>
    <x v="8"/>
    <d v="2020-01-07T00:00:00"/>
    <s v="POWERPLUS CHECKING"/>
    <x v="30"/>
    <n v="83.55"/>
    <x v="11"/>
    <m/>
    <m/>
    <m/>
    <n v="83.55"/>
    <b v="0"/>
    <m/>
    <m/>
    <s v="-"/>
    <x v="30"/>
    <s v="Create Rule; and Description='Xcel Energy';Utilities"/>
    <m/>
  </r>
  <r>
    <x v="8"/>
    <d v="2020-01-08T00:00:00"/>
    <s v="Discover More Card"/>
    <x v="520"/>
    <n v="9.89"/>
    <x v="1"/>
    <m/>
    <m/>
    <m/>
    <n v="9.89"/>
    <b v="0"/>
    <m/>
    <m/>
    <s v="-"/>
    <x v="501"/>
    <s v="Create Rule; and Description Like '%CARGILL CAF%';Restaurants"/>
    <m/>
  </r>
  <r>
    <x v="8"/>
    <d v="2020-01-08T00:00:00"/>
    <s v="Discover"/>
    <x v="520"/>
    <n v="9.89"/>
    <x v="1"/>
    <m/>
    <m/>
    <m/>
    <n v="9.89"/>
    <b v="0"/>
    <m/>
    <m/>
    <s v="-"/>
    <x v="501"/>
    <s v="Create Rule; and Description Like '%CARGILL CAF%';Restaurants"/>
    <m/>
  </r>
  <r>
    <x v="8"/>
    <d v="2020-01-08T00:00:00"/>
    <s v="POWERPLUS"/>
    <x v="521"/>
    <n v="-1726.91"/>
    <x v="14"/>
    <m/>
    <m/>
    <m/>
    <n v="1726.91"/>
    <b v="0"/>
    <m/>
    <m/>
    <s v="+"/>
    <x v="502"/>
    <s v="Create Rule; and Description Like '%CARGILL COCOA TYPE DIR DEP ID%';Inc - Britney"/>
    <m/>
  </r>
  <r>
    <x v="8"/>
    <d v="2020-01-08T00:00:00"/>
    <s v="POWERPLUS CHECKING"/>
    <x v="521"/>
    <n v="-1726.91"/>
    <x v="14"/>
    <m/>
    <m/>
    <m/>
    <n v="1726.91"/>
    <b v="0"/>
    <m/>
    <m/>
    <s v="+"/>
    <x v="502"/>
    <s v="Create Rule; and Description Like '%CARGILL COCOA TYPE DIR DEP ID%';Inc - Britney"/>
    <m/>
  </r>
  <r>
    <x v="8"/>
    <d v="2020-01-08T00:00:00"/>
    <s v="POWERPLUS"/>
    <x v="522"/>
    <n v="210.91"/>
    <x v="4"/>
    <m/>
    <m/>
    <m/>
    <n v="210.91"/>
    <b v="0"/>
    <m/>
    <m/>
    <s v="-"/>
    <x v="503"/>
    <s v="Create Rule; and Description Like '%CCLC TYPE INTERNET ID%';Day Care"/>
    <m/>
  </r>
  <r>
    <x v="8"/>
    <d v="2020-01-08T00:00:00"/>
    <s v="POWERPLUS CHECKING"/>
    <x v="522"/>
    <n v="210.91"/>
    <x v="4"/>
    <m/>
    <m/>
    <m/>
    <n v="210.91"/>
    <b v="0"/>
    <m/>
    <m/>
    <s v="-"/>
    <x v="503"/>
    <s v="Create Rule; and Description Like '%CCLC TYPE INTERNET ID%';Day Care"/>
    <m/>
  </r>
  <r>
    <x v="8"/>
    <d v="2020-01-08T00:00:00"/>
    <s v="Cash Rewards Visa Signature"/>
    <x v="523"/>
    <n v="29.94"/>
    <x v="1"/>
    <m/>
    <m/>
    <m/>
    <n v="29.94"/>
    <b v="0"/>
    <m/>
    <m/>
    <s v="-"/>
    <x v="504"/>
    <s v="Manual"/>
    <m/>
  </r>
  <r>
    <x v="8"/>
    <d v="2020-01-08T00:00:00"/>
    <s v="Cash Rewards Visa Signature"/>
    <x v="524"/>
    <n v="38.64"/>
    <x v="1"/>
    <m/>
    <m/>
    <m/>
    <n v="38.64"/>
    <b v="0"/>
    <m/>
    <m/>
    <s v="-"/>
    <x v="505"/>
    <s v="Create Rule; and Description Like '%LIFE TIME CAFE%';Restaurants"/>
    <m/>
  </r>
  <r>
    <x v="8"/>
    <d v="2020-01-08T00:00:00"/>
    <s v="Cash Rewards Visa Signature"/>
    <x v="55"/>
    <n v="31.94"/>
    <x v="8"/>
    <m/>
    <m/>
    <m/>
    <n v="31.94"/>
    <b v="0"/>
    <m/>
    <m/>
    <s v="-"/>
    <x v="55"/>
    <s v="Create Rule; and Description='Walgreens';Shopping"/>
    <m/>
  </r>
  <r>
    <x v="8"/>
    <d v="2020-01-09T00:00:00"/>
    <s v="Discover More Card"/>
    <x v="0"/>
    <n v="16.489999999999998"/>
    <x v="0"/>
    <m/>
    <m/>
    <m/>
    <n v="16.489999999999998"/>
    <b v="0"/>
    <m/>
    <m/>
    <s v="-"/>
    <x v="0"/>
    <s v="Create Rule; and Description='Amazon';Amazon"/>
    <m/>
  </r>
  <r>
    <x v="8"/>
    <d v="2020-01-09T00:00:00"/>
    <s v="Discover"/>
    <x v="0"/>
    <n v="16.489999999999998"/>
    <x v="0"/>
    <m/>
    <m/>
    <m/>
    <n v="16.489999999999998"/>
    <b v="0"/>
    <m/>
    <m/>
    <s v="-"/>
    <x v="0"/>
    <s v="Create Rule; and Description='Amazon';Amazon"/>
    <m/>
  </r>
  <r>
    <x v="8"/>
    <d v="2020-01-09T00:00:00"/>
    <s v="Cash Rewards Visa Signature"/>
    <x v="525"/>
    <n v="52.98"/>
    <x v="10"/>
    <m/>
    <m/>
    <m/>
    <n v="52.98"/>
    <b v="0"/>
    <m/>
    <m/>
    <s v="-"/>
    <x v="506"/>
    <s v="Manual"/>
    <m/>
  </r>
  <r>
    <x v="8"/>
    <d v="2020-01-09T00:00:00"/>
    <s v="Cash Rewards Visa Signature"/>
    <x v="526"/>
    <n v="407.12"/>
    <x v="25"/>
    <m/>
    <m/>
    <m/>
    <n v="407.12"/>
    <b v="0"/>
    <m/>
    <m/>
    <s v="-"/>
    <x v="507"/>
    <s v="Manual"/>
    <m/>
  </r>
  <r>
    <x v="8"/>
    <d v="2020-01-09T00:00:00"/>
    <s v="POWERPLUS"/>
    <x v="157"/>
    <n v="7.43"/>
    <x v="8"/>
    <m/>
    <m/>
    <m/>
    <n v="7.43"/>
    <b v="0"/>
    <m/>
    <m/>
    <s v="-"/>
    <x v="156"/>
    <s v="Create Rule; and Description Like '%PayPal%';Shopping"/>
    <m/>
  </r>
  <r>
    <x v="8"/>
    <d v="2020-01-09T00:00:00"/>
    <s v="POWERPLUS CHECKING"/>
    <x v="157"/>
    <n v="7.43"/>
    <x v="8"/>
    <m/>
    <m/>
    <m/>
    <n v="7.43"/>
    <b v="0"/>
    <m/>
    <m/>
    <s v="-"/>
    <x v="156"/>
    <s v="Create Rule; and Description Like '%PayPal%';Shopping"/>
    <m/>
  </r>
  <r>
    <x v="8"/>
    <d v="2020-01-09T00:00:00"/>
    <s v="Cash Rewards Visa Signature"/>
    <x v="2"/>
    <n v="38"/>
    <x v="2"/>
    <m/>
    <m/>
    <m/>
    <n v="38"/>
    <b v="0"/>
    <m/>
    <m/>
    <s v="-"/>
    <x v="2"/>
    <s v="Create Rule; and Description='Speedway';Transportation"/>
    <m/>
  </r>
  <r>
    <x v="8"/>
    <d v="2020-01-10T00:00:00"/>
    <s v="Cash Rewards Visa Signature"/>
    <x v="527"/>
    <n v="59.66"/>
    <x v="20"/>
    <m/>
    <m/>
    <m/>
    <n v="59.66"/>
    <b v="0"/>
    <m/>
    <m/>
    <s v="-"/>
    <x v="508"/>
    <s v="Create Rule; and Description Like '%BEST CLEANERS%';Dry Cleaning"/>
    <m/>
  </r>
  <r>
    <x v="8"/>
    <d v="2020-01-10T00:00:00"/>
    <s v="Joint Tenant"/>
    <x v="185"/>
    <n v="-200"/>
    <x v="17"/>
    <m/>
    <m/>
    <m/>
    <n v="200"/>
    <b v="0"/>
    <m/>
    <m/>
    <s v="+"/>
    <x v="184"/>
    <s v="Create Rule; and Description='CARGILL COCOA &amp;';Roth"/>
    <m/>
  </r>
  <r>
    <x v="8"/>
    <d v="2020-01-10T00:00:00"/>
    <s v="Cash Rewards Visa Signature"/>
    <x v="528"/>
    <n v="55.05"/>
    <x v="5"/>
    <m/>
    <m/>
    <m/>
    <n v="55.05"/>
    <b v="0"/>
    <m/>
    <m/>
    <s v="-"/>
    <x v="509"/>
    <s v="Create Rule; and Description Like '%CARGILL PRODUC%';Groceries"/>
    <m/>
  </r>
  <r>
    <x v="8"/>
    <d v="2020-01-10T00:00:00"/>
    <s v="POWERPLUS"/>
    <x v="28"/>
    <n v="-45"/>
    <x v="7"/>
    <m/>
    <m/>
    <m/>
    <n v="45"/>
    <b v="0"/>
    <m/>
    <m/>
    <s v="+"/>
    <x v="28"/>
    <m/>
    <m/>
  </r>
  <r>
    <x v="8"/>
    <d v="2020-01-10T00:00:00"/>
    <s v="POWERPLUS CHECKING"/>
    <x v="28"/>
    <n v="-45"/>
    <x v="3"/>
    <m/>
    <m/>
    <m/>
    <n v="45"/>
    <b v="0"/>
    <m/>
    <m/>
    <s v="+"/>
    <x v="28"/>
    <s v="Manual"/>
    <m/>
  </r>
  <r>
    <x v="8"/>
    <d v="2020-01-10T00:00:00"/>
    <s v="Cash Rewards Visa Signature"/>
    <x v="529"/>
    <n v="93.99"/>
    <x v="10"/>
    <m/>
    <m/>
    <m/>
    <n v="93.99"/>
    <b v="0"/>
    <m/>
    <m/>
    <s v="-"/>
    <x v="510"/>
    <s v="Manual"/>
    <m/>
  </r>
  <r>
    <x v="8"/>
    <d v="2020-01-10T00:00:00"/>
    <s v="Discover More Card"/>
    <x v="100"/>
    <n v="130.27000000000001"/>
    <x v="5"/>
    <m/>
    <m/>
    <m/>
    <n v="130.27000000000001"/>
    <b v="0"/>
    <m/>
    <m/>
    <s v="-"/>
    <x v="100"/>
    <s v="Create Rule; and Description like '%Trader Joe%';Groceries"/>
    <m/>
  </r>
  <r>
    <x v="8"/>
    <d v="2020-01-10T00:00:00"/>
    <s v="Discover"/>
    <x v="100"/>
    <n v="130.27000000000001"/>
    <x v="5"/>
    <m/>
    <m/>
    <m/>
    <n v="130.27000000000001"/>
    <b v="0"/>
    <m/>
    <m/>
    <s v="-"/>
    <x v="100"/>
    <s v="Create Rule; and Description like '%Trader Joe%';Groceries"/>
    <m/>
  </r>
  <r>
    <x v="8"/>
    <d v="2020-01-11T00:00:00"/>
    <s v="Discover More Card"/>
    <x v="362"/>
    <n v="46.9"/>
    <x v="5"/>
    <m/>
    <m/>
    <m/>
    <n v="46.9"/>
    <b v="0"/>
    <m/>
    <m/>
    <s v="-"/>
    <x v="353"/>
    <s v="Create Rule; and Description='Whole Foods';Groceries"/>
    <m/>
  </r>
  <r>
    <x v="8"/>
    <d v="2020-01-11T00:00:00"/>
    <s v="Discover"/>
    <x v="362"/>
    <n v="46.9"/>
    <x v="5"/>
    <m/>
    <m/>
    <m/>
    <n v="46.9"/>
    <b v="0"/>
    <m/>
    <m/>
    <s v="-"/>
    <x v="353"/>
    <s v="Create Rule; and Description='Whole Foods';Groceries"/>
    <m/>
  </r>
  <r>
    <x v="8"/>
    <d v="2020-01-12T00:00:00"/>
    <s v="Cash Rewards Visa Signature"/>
    <x v="530"/>
    <n v="39"/>
    <x v="8"/>
    <m/>
    <m/>
    <m/>
    <n v="39"/>
    <b v="0"/>
    <m/>
    <m/>
    <s v="-"/>
    <x v="511"/>
    <s v="Manual"/>
    <m/>
  </r>
  <r>
    <x v="8"/>
    <d v="2020-01-12T00:00:00"/>
    <s v="Discover More Card"/>
    <x v="67"/>
    <n v="45"/>
    <x v="11"/>
    <m/>
    <m/>
    <m/>
    <n v="45"/>
    <b v="0"/>
    <m/>
    <m/>
    <s v="-"/>
    <x v="67"/>
    <s v="Create Rule; and Description='CenturyLink';Utilities"/>
    <m/>
  </r>
  <r>
    <x v="8"/>
    <d v="2020-01-12T00:00:00"/>
    <s v="Discover"/>
    <x v="67"/>
    <n v="45"/>
    <x v="11"/>
    <m/>
    <m/>
    <m/>
    <n v="45"/>
    <b v="0"/>
    <m/>
    <m/>
    <s v="-"/>
    <x v="67"/>
    <s v="Create Rule; and Description='CenturyLink';Utilities"/>
    <m/>
  </r>
  <r>
    <x v="8"/>
    <d v="2020-01-12T00:00:00"/>
    <s v="Cash Rewards Visa Signature"/>
    <x v="531"/>
    <n v="102.6"/>
    <x v="1"/>
    <m/>
    <m/>
    <m/>
    <n v="102.6"/>
    <b v="0"/>
    <m/>
    <m/>
    <s v="-"/>
    <x v="512"/>
    <s v="Manual"/>
    <m/>
  </r>
  <r>
    <x v="8"/>
    <d v="2020-01-12T00:00:00"/>
    <s v="Cash Rewards Visa Signature"/>
    <x v="532"/>
    <n v="49.42"/>
    <x v="1"/>
    <m/>
    <m/>
    <m/>
    <n v="49.42"/>
    <b v="0"/>
    <m/>
    <m/>
    <s v="-"/>
    <x v="513"/>
    <s v="Manual"/>
    <m/>
  </r>
  <r>
    <x v="8"/>
    <d v="2020-01-12T00:00:00"/>
    <s v="Cash Rewards Visa Signature"/>
    <x v="533"/>
    <n v="54.6"/>
    <x v="10"/>
    <m/>
    <m/>
    <m/>
    <n v="54.6"/>
    <b v="0"/>
    <m/>
    <m/>
    <s v="-"/>
    <x v="514"/>
    <s v="Manual"/>
    <m/>
  </r>
  <r>
    <x v="8"/>
    <d v="2020-01-12T00:00:00"/>
    <s v="Cash Rewards Visa Signature"/>
    <x v="534"/>
    <n v="236.23"/>
    <x v="19"/>
    <m/>
    <m/>
    <m/>
    <n v="236.23"/>
    <b v="0"/>
    <m/>
    <m/>
    <s v="-"/>
    <x v="515"/>
    <s v="Create Rule; and Description Like '%DETAILS RESIDENTIAL SRVC 6122161751 MN%';House Maintenance"/>
    <m/>
  </r>
  <r>
    <x v="8"/>
    <d v="2020-01-12T00:00:00"/>
    <s v="Cash Rewards Visa Signature"/>
    <x v="535"/>
    <n v="199"/>
    <x v="10"/>
    <m/>
    <m/>
    <m/>
    <n v="199"/>
    <b v="0"/>
    <m/>
    <m/>
    <s v="-"/>
    <x v="516"/>
    <s v="Manual"/>
    <m/>
  </r>
  <r>
    <x v="8"/>
    <d v="2020-01-12T00:00:00"/>
    <s v="Cash Rewards Visa Signature"/>
    <x v="536"/>
    <n v="-50"/>
    <x v="8"/>
    <m/>
    <m/>
    <m/>
    <n v="50"/>
    <b v="0"/>
    <m/>
    <m/>
    <s v="+"/>
    <x v="517"/>
    <s v="Manual"/>
    <m/>
  </r>
  <r>
    <x v="8"/>
    <d v="2020-01-12T00:00:00"/>
    <s v="Cash Rewards Visa Signature"/>
    <x v="537"/>
    <n v="23.41"/>
    <x v="1"/>
    <m/>
    <m/>
    <m/>
    <n v="23.41"/>
    <b v="0"/>
    <m/>
    <m/>
    <s v="-"/>
    <x v="518"/>
    <s v="Manual"/>
    <m/>
  </r>
  <r>
    <x v="8"/>
    <d v="2020-01-13T00:00:00"/>
    <s v="Cash Rewards Visa Signature"/>
    <x v="523"/>
    <n v="7.42"/>
    <x v="1"/>
    <m/>
    <m/>
    <m/>
    <n v="7.42"/>
    <b v="0"/>
    <m/>
    <m/>
    <s v="-"/>
    <x v="504"/>
    <s v="Manual"/>
    <m/>
  </r>
  <r>
    <x v="8"/>
    <d v="2020-01-13T00:00:00"/>
    <s v="Cash Rewards Visa Signature"/>
    <x v="538"/>
    <n v="19.149999999999999"/>
    <x v="5"/>
    <m/>
    <m/>
    <m/>
    <n v="19.149999999999999"/>
    <b v="0"/>
    <m/>
    <m/>
    <s v="-"/>
    <x v="519"/>
    <s v="Manual"/>
    <m/>
  </r>
  <r>
    <x v="8"/>
    <d v="2020-01-13T00:00:00"/>
    <s v="Cash Rewards Visa Signature"/>
    <x v="538"/>
    <n v="21"/>
    <x v="5"/>
    <m/>
    <m/>
    <m/>
    <n v="21"/>
    <b v="0"/>
    <m/>
    <m/>
    <s v="-"/>
    <x v="519"/>
    <s v="Manual"/>
    <m/>
  </r>
  <r>
    <x v="8"/>
    <d v="2020-01-13T00:00:00"/>
    <s v="Cash Rewards Visa Signature"/>
    <x v="82"/>
    <n v="21.97"/>
    <x v="8"/>
    <m/>
    <m/>
    <m/>
    <n v="21.97"/>
    <b v="0"/>
    <m/>
    <m/>
    <s v="-"/>
    <x v="82"/>
    <s v="Manual"/>
    <m/>
  </r>
  <r>
    <x v="8"/>
    <d v="2020-01-14T00:00:00"/>
    <s v="Cash Rewards Visa Signature"/>
    <x v="539"/>
    <n v="-1570.37"/>
    <x v="3"/>
    <m/>
    <m/>
    <m/>
    <n v="1570.37"/>
    <b v="0"/>
    <m/>
    <m/>
    <s v="+"/>
    <x v="520"/>
    <s v="Delete; and Description Like '%PAYMENT THANK YOU%';0"/>
    <m/>
  </r>
  <r>
    <x v="8"/>
    <d v="2020-01-14T00:00:00"/>
    <s v="POWERPLUS"/>
    <x v="540"/>
    <n v="1570.37"/>
    <x v="3"/>
    <m/>
    <m/>
    <m/>
    <n v="1570.37"/>
    <b v="0"/>
    <m/>
    <m/>
    <s v="-"/>
    <x v="521"/>
    <s v="Delete; and Description Like '%Withdrawal Home payment to card%';0"/>
    <m/>
  </r>
  <r>
    <x v="8"/>
    <d v="2020-01-14T00:00:00"/>
    <s v="POWERPLUS CHECKING"/>
    <x v="540"/>
    <n v="1570.37"/>
    <x v="3"/>
    <m/>
    <m/>
    <m/>
    <n v="1570.37"/>
    <b v="0"/>
    <m/>
    <m/>
    <s v="-"/>
    <x v="521"/>
    <s v="Delete; and Description Like '%Withdrawal Home payment to card%';0"/>
    <m/>
  </r>
  <r>
    <x v="8"/>
    <d v="2020-01-14T00:00:00"/>
    <s v="Discover More Card"/>
    <x v="0"/>
    <n v="48.84"/>
    <x v="0"/>
    <m/>
    <m/>
    <m/>
    <n v="48.84"/>
    <b v="0"/>
    <m/>
    <m/>
    <s v="-"/>
    <x v="0"/>
    <s v="Create Rule; and Description='Amazon';Amazon"/>
    <m/>
  </r>
  <r>
    <x v="8"/>
    <d v="2020-01-14T00:00:00"/>
    <s v="Discover"/>
    <x v="0"/>
    <n v="48.84"/>
    <x v="0"/>
    <m/>
    <m/>
    <m/>
    <n v="48.84"/>
    <b v="0"/>
    <m/>
    <m/>
    <s v="-"/>
    <x v="0"/>
    <s v="Create Rule; and Description='Amazon';Amazon"/>
    <m/>
  </r>
  <r>
    <x v="8"/>
    <d v="2020-01-14T00:00:00"/>
    <s v="POWERPLUS"/>
    <x v="48"/>
    <n v="114.39"/>
    <x v="16"/>
    <m/>
    <m/>
    <m/>
    <n v="114.39"/>
    <b v="0"/>
    <m/>
    <m/>
    <s v="-"/>
    <x v="48"/>
    <s v="Create Rule; and Description='American Family Insurance';Insurance"/>
    <m/>
  </r>
  <r>
    <x v="8"/>
    <d v="2020-01-14T00:00:00"/>
    <s v="POWERPLUS CHECKING"/>
    <x v="48"/>
    <n v="114.39"/>
    <x v="16"/>
    <m/>
    <m/>
    <m/>
    <n v="114.39"/>
    <b v="0"/>
    <m/>
    <m/>
    <s v="-"/>
    <x v="48"/>
    <s v="Create Rule; and Description='American Family Insurance';Insurance"/>
    <m/>
  </r>
  <r>
    <x v="8"/>
    <d v="2020-01-14T00:00:00"/>
    <s v="Cash Rewards Visa Signature"/>
    <x v="541"/>
    <n v="11.48"/>
    <x v="1"/>
    <m/>
    <m/>
    <m/>
    <n v="11.48"/>
    <b v="0"/>
    <m/>
    <m/>
    <s v="-"/>
    <x v="522"/>
    <s v="Manual"/>
    <m/>
  </r>
  <r>
    <x v="8"/>
    <d v="2020-01-14T00:00:00"/>
    <s v="Cash Rewards Visa Signature"/>
    <x v="542"/>
    <n v="17.98"/>
    <x v="2"/>
    <m/>
    <m/>
    <m/>
    <n v="17.98"/>
    <b v="0"/>
    <m/>
    <m/>
    <s v="-"/>
    <x v="523"/>
    <s v="Manual"/>
    <m/>
  </r>
  <r>
    <x v="8"/>
    <d v="2020-01-14T00:00:00"/>
    <s v="Cash Rewards Visa Signature"/>
    <x v="543"/>
    <n v="51.59"/>
    <x v="1"/>
    <m/>
    <m/>
    <m/>
    <n v="51.59"/>
    <b v="0"/>
    <m/>
    <m/>
    <s v="-"/>
    <x v="524"/>
    <s v="Manual"/>
    <m/>
  </r>
  <r>
    <x v="8"/>
    <d v="2020-01-15T00:00:00"/>
    <s v="Cash Rewards Visa Signature"/>
    <x v="0"/>
    <n v="43.69"/>
    <x v="0"/>
    <m/>
    <m/>
    <m/>
    <n v="43.69"/>
    <b v="0"/>
    <m/>
    <m/>
    <s v="-"/>
    <x v="0"/>
    <s v="Create Rule; and Description='Amazon';Amazon"/>
    <m/>
  </r>
  <r>
    <x v="8"/>
    <d v="2020-01-15T00:00:00"/>
    <s v="POWERPLUS"/>
    <x v="455"/>
    <n v="13.3"/>
    <x v="7"/>
    <m/>
    <m/>
    <m/>
    <n v="13.3"/>
    <b v="0"/>
    <m/>
    <m/>
    <s v="-"/>
    <x v="439"/>
    <m/>
    <m/>
  </r>
  <r>
    <x v="8"/>
    <d v="2020-01-15T00:00:00"/>
    <s v="POWERPLUS CHECKING"/>
    <x v="455"/>
    <n v="13.3"/>
    <x v="3"/>
    <m/>
    <m/>
    <m/>
    <n v="13.3"/>
    <b v="0"/>
    <m/>
    <m/>
    <s v="-"/>
    <x v="439"/>
    <s v="Manual"/>
    <m/>
  </r>
  <r>
    <x v="8"/>
    <d v="2020-01-15T00:00:00"/>
    <s v="POWERPLUS"/>
    <x v="544"/>
    <n v="247.95"/>
    <x v="4"/>
    <m/>
    <m/>
    <m/>
    <n v="247.95"/>
    <b v="0"/>
    <m/>
    <m/>
    <s v="-"/>
    <x v="525"/>
    <s v="Create Rule; and Description Like '%CCLC TYPE INTERNET ID%';Day Care"/>
    <m/>
  </r>
  <r>
    <x v="8"/>
    <d v="2020-01-15T00:00:00"/>
    <s v="POWERPLUS CHECKING"/>
    <x v="544"/>
    <n v="247.95"/>
    <x v="4"/>
    <m/>
    <m/>
    <m/>
    <n v="247.95"/>
    <b v="0"/>
    <m/>
    <m/>
    <s v="-"/>
    <x v="525"/>
    <s v="Create Rule; and Description Like '%CCLC TYPE INTERNET ID%';Day Care"/>
    <m/>
  </r>
  <r>
    <x v="8"/>
    <d v="2020-01-15T00:00:00"/>
    <s v="Joint Tenant"/>
    <x v="167"/>
    <n v="-250"/>
    <x v="21"/>
    <m/>
    <m/>
    <m/>
    <n v="250"/>
    <b v="0"/>
    <m/>
    <m/>
    <s v="+"/>
    <x v="166"/>
    <s v="Create Rule; and Description='KAUFMAN HALL';Savings"/>
    <m/>
  </r>
  <r>
    <x v="8"/>
    <d v="2020-01-15T00:00:00"/>
    <s v="POWERPLUS"/>
    <x v="545"/>
    <n v="-1915.1"/>
    <x v="15"/>
    <m/>
    <m/>
    <m/>
    <n v="1915.1"/>
    <b v="0"/>
    <m/>
    <m/>
    <s v="+"/>
    <x v="526"/>
    <s v="Create Rule; and Description Like '%KAUFMAN HALL TYPE DIRECT DEP ID%';Inc - Jeff"/>
    <m/>
  </r>
  <r>
    <x v="8"/>
    <d v="2020-01-15T00:00:00"/>
    <s v="POWERPLUS CHECKING"/>
    <x v="545"/>
    <n v="-1915.1"/>
    <x v="15"/>
    <m/>
    <m/>
    <m/>
    <n v="1915.1"/>
    <b v="0"/>
    <m/>
    <m/>
    <s v="+"/>
    <x v="526"/>
    <s v="Create Rule; and Description Like '%KAUFMAN HALL TYPE DIRECT DEP ID%';Inc - Jeff"/>
    <m/>
  </r>
  <r>
    <x v="8"/>
    <d v="2020-01-15T00:00:00"/>
    <s v="Jeff IRA"/>
    <x v="52"/>
    <n v="-250"/>
    <x v="17"/>
    <m/>
    <m/>
    <m/>
    <n v="250"/>
    <b v="0"/>
    <m/>
    <m/>
    <s v="+"/>
    <x v="52"/>
    <s v="Create Rule; and Description='Tfr JPMORGAN CHASE BAN, KAUFMAN HALL';Roth"/>
    <m/>
  </r>
  <r>
    <x v="8"/>
    <d v="2020-01-15T00:00:00"/>
    <s v="POWERPLUS"/>
    <x v="29"/>
    <n v="56.23"/>
    <x v="7"/>
    <m/>
    <m/>
    <m/>
    <n v="56.23"/>
    <b v="0"/>
    <m/>
    <m/>
    <s v="-"/>
    <x v="29"/>
    <m/>
    <m/>
  </r>
  <r>
    <x v="8"/>
    <d v="2020-01-15T00:00:00"/>
    <s v="POWERPLUS CHECKING"/>
    <x v="29"/>
    <n v="56.23"/>
    <x v="8"/>
    <m/>
    <m/>
    <m/>
    <n v="56.23"/>
    <b v="0"/>
    <m/>
    <m/>
    <s v="-"/>
    <x v="29"/>
    <s v="Manual"/>
    <m/>
  </r>
  <r>
    <x v="8"/>
    <d v="2020-01-16T00:00:00"/>
    <s v="Britney Roth"/>
    <x v="546"/>
    <n v="-0.03"/>
    <x v="7"/>
    <m/>
    <m/>
    <m/>
    <n v="0.03"/>
    <b v="0"/>
    <m/>
    <m/>
    <s v="+"/>
    <x v="527"/>
    <m/>
    <m/>
  </r>
  <r>
    <x v="8"/>
    <d v="2020-01-16T00:00:00"/>
    <s v="Jeff Roth"/>
    <x v="546"/>
    <n v="-0.03"/>
    <x v="7"/>
    <m/>
    <m/>
    <m/>
    <n v="0.03"/>
    <b v="0"/>
    <m/>
    <m/>
    <s v="+"/>
    <x v="527"/>
    <m/>
    <m/>
  </r>
  <r>
    <x v="8"/>
    <d v="2020-01-16T00:00:00"/>
    <s v="Roth Contributory IRA"/>
    <x v="546"/>
    <n v="-0.03"/>
    <x v="7"/>
    <m/>
    <m/>
    <m/>
    <n v="0.03"/>
    <b v="0"/>
    <m/>
    <m/>
    <s v="+"/>
    <x v="527"/>
    <m/>
    <m/>
  </r>
  <r>
    <x v="8"/>
    <d v="2020-01-16T00:00:00"/>
    <s v="Contributory"/>
    <x v="547"/>
    <n v="-0.03"/>
    <x v="7"/>
    <m/>
    <m/>
    <m/>
    <n v="0.03"/>
    <b v="0"/>
    <m/>
    <m/>
    <s v="+"/>
    <x v="528"/>
    <m/>
    <m/>
  </r>
  <r>
    <x v="8"/>
    <d v="2020-01-16T00:00:00"/>
    <s v="Jeff IRA"/>
    <x v="547"/>
    <n v="-0.03"/>
    <x v="7"/>
    <m/>
    <m/>
    <m/>
    <n v="0.03"/>
    <b v="0"/>
    <m/>
    <m/>
    <s v="+"/>
    <x v="528"/>
    <m/>
    <m/>
  </r>
  <r>
    <x v="8"/>
    <d v="2020-01-16T00:00:00"/>
    <s v="POWERPLUS"/>
    <x v="35"/>
    <n v="-166.64"/>
    <x v="13"/>
    <m/>
    <m/>
    <m/>
    <n v="166.64"/>
    <b v="0"/>
    <m/>
    <m/>
    <s v="+"/>
    <x v="35"/>
    <s v="Create Rule; and Description='Cargill Incorpor Type';Inc - Other"/>
    <m/>
  </r>
  <r>
    <x v="8"/>
    <d v="2020-01-16T00:00:00"/>
    <s v="POWERPLUS CHECKING"/>
    <x v="35"/>
    <n v="-166.64"/>
    <x v="13"/>
    <m/>
    <m/>
    <m/>
    <n v="166.64"/>
    <b v="0"/>
    <m/>
    <m/>
    <s v="+"/>
    <x v="35"/>
    <s v="Create Rule; and Description='Cargill Incorpor Type';Inc - Other"/>
    <m/>
  </r>
  <r>
    <x v="8"/>
    <d v="2020-01-16T00:00:00"/>
    <s v="Cash Rewards Visa Signature"/>
    <x v="240"/>
    <n v="12.51"/>
    <x v="1"/>
    <m/>
    <m/>
    <m/>
    <n v="12.51"/>
    <b v="0"/>
    <m/>
    <m/>
    <s v="-"/>
    <x v="238"/>
    <s v="Create Rule; and Description='Chipotle';Restaurants"/>
    <m/>
  </r>
  <r>
    <x v="8"/>
    <d v="2020-01-17T00:00:00"/>
    <s v="Cash Rewards Visa Signature"/>
    <x v="548"/>
    <n v="49.87"/>
    <x v="8"/>
    <m/>
    <m/>
    <m/>
    <n v="49.87"/>
    <b v="0"/>
    <m/>
    <m/>
    <s v="-"/>
    <x v="529"/>
    <s v="Create Rule; and Description='BuyBuyBaby';Shopping"/>
    <m/>
  </r>
  <r>
    <x v="8"/>
    <d v="2020-01-17T00:00:00"/>
    <s v="POWERPLUS"/>
    <x v="157"/>
    <n v="8.3000000000000007"/>
    <x v="8"/>
    <m/>
    <m/>
    <m/>
    <n v="8.3000000000000007"/>
    <b v="0"/>
    <m/>
    <m/>
    <s v="-"/>
    <x v="156"/>
    <s v="Create Rule; and Description Like '%PayPal%';Shopping"/>
    <m/>
  </r>
  <r>
    <x v="8"/>
    <d v="2020-01-17T00:00:00"/>
    <s v="POWERPLUS CHECKING"/>
    <x v="157"/>
    <n v="8.3000000000000007"/>
    <x v="8"/>
    <m/>
    <m/>
    <m/>
    <n v="8.3000000000000007"/>
    <b v="0"/>
    <m/>
    <m/>
    <s v="-"/>
    <x v="156"/>
    <s v="Create Rule; and Description Like '%PayPal%';Shopping"/>
    <m/>
  </r>
  <r>
    <x v="8"/>
    <d v="2020-01-19T00:00:00"/>
    <s v="Cash Rewards Visa Signature"/>
    <x v="0"/>
    <n v="65.209999999999994"/>
    <x v="0"/>
    <m/>
    <m/>
    <m/>
    <n v="65.209999999999994"/>
    <b v="0"/>
    <m/>
    <m/>
    <s v="-"/>
    <x v="0"/>
    <s v="Create Rule; and Description='Amazon';Amazon"/>
    <m/>
  </r>
  <r>
    <x v="8"/>
    <d v="2020-01-19T00:00:00"/>
    <s v="Cash Rewards Visa Signature"/>
    <x v="549"/>
    <n v="46.43"/>
    <x v="29"/>
    <m/>
    <m/>
    <m/>
    <n v="46.43"/>
    <b v="0"/>
    <m/>
    <m/>
    <s v="-"/>
    <x v="530"/>
    <s v="Manual"/>
    <m/>
  </r>
  <r>
    <x v="8"/>
    <d v="2020-01-19T00:00:00"/>
    <s v="Cash Rewards Visa Signature"/>
    <x v="550"/>
    <n v="30.34"/>
    <x v="1"/>
    <m/>
    <m/>
    <m/>
    <n v="30.34"/>
    <b v="0"/>
    <m/>
    <m/>
    <s v="-"/>
    <x v="531"/>
    <s v="Manual"/>
    <m/>
  </r>
  <r>
    <x v="8"/>
    <d v="2020-01-19T00:00:00"/>
    <s v="Cash Rewards Visa Signature"/>
    <x v="551"/>
    <n v="85.2"/>
    <x v="1"/>
    <m/>
    <m/>
    <m/>
    <n v="85.2"/>
    <b v="0"/>
    <m/>
    <m/>
    <s v="-"/>
    <x v="532"/>
    <s v="Manual"/>
    <m/>
  </r>
  <r>
    <x v="8"/>
    <d v="2020-01-19T00:00:00"/>
    <s v="Cash Rewards Visa Signature"/>
    <x v="552"/>
    <n v="88.85"/>
    <x v="1"/>
    <m/>
    <m/>
    <m/>
    <n v="88.85"/>
    <b v="0"/>
    <m/>
    <m/>
    <s v="-"/>
    <x v="533"/>
    <s v="Manual"/>
    <m/>
  </r>
  <r>
    <x v="8"/>
    <d v="2020-01-20T00:00:00"/>
    <s v="Cash Rewards Visa Signature"/>
    <x v="0"/>
    <n v="21.46"/>
    <x v="0"/>
    <m/>
    <m/>
    <m/>
    <n v="21.46"/>
    <b v="0"/>
    <m/>
    <m/>
    <s v="-"/>
    <x v="0"/>
    <s v="Create Rule; and Description='Amazon';Amazon"/>
    <m/>
  </r>
  <r>
    <x v="8"/>
    <d v="2020-01-20T00:00:00"/>
    <s v="Discover More Card"/>
    <x v="59"/>
    <n v="10.62"/>
    <x v="1"/>
    <m/>
    <m/>
    <m/>
    <n v="10.62"/>
    <b v="0"/>
    <m/>
    <m/>
    <s v="-"/>
    <x v="59"/>
    <s v="Create Rule; and Description Like '%Caribou Coffee%';Restaurants"/>
    <m/>
  </r>
  <r>
    <x v="8"/>
    <d v="2020-01-20T00:00:00"/>
    <s v="Discover"/>
    <x v="59"/>
    <n v="10.62"/>
    <x v="1"/>
    <m/>
    <m/>
    <m/>
    <n v="10.62"/>
    <b v="0"/>
    <m/>
    <m/>
    <s v="-"/>
    <x v="59"/>
    <s v="Create Rule; and Description Like '%Caribou Coffee%';Restaurants"/>
    <m/>
  </r>
  <r>
    <x v="8"/>
    <d v="2020-01-20T00:00:00"/>
    <s v="Cash Rewards Visa Signature"/>
    <x v="553"/>
    <n v="62.23"/>
    <x v="8"/>
    <m/>
    <m/>
    <m/>
    <n v="62.23"/>
    <b v="0"/>
    <m/>
    <m/>
    <s v="-"/>
    <x v="534"/>
    <s v="Manual"/>
    <m/>
  </r>
  <r>
    <x v="8"/>
    <d v="2020-01-20T00:00:00"/>
    <s v="Discover More Card"/>
    <x v="554"/>
    <n v="4.51"/>
    <x v="7"/>
    <m/>
    <m/>
    <m/>
    <n v="4.51"/>
    <b v="0"/>
    <m/>
    <m/>
    <s v="-"/>
    <x v="535"/>
    <m/>
    <m/>
  </r>
  <r>
    <x v="8"/>
    <d v="2020-01-20T00:00:00"/>
    <s v="Discover"/>
    <x v="554"/>
    <n v="4.51"/>
    <x v="1"/>
    <m/>
    <m/>
    <m/>
    <n v="4.51"/>
    <b v="0"/>
    <m/>
    <m/>
    <s v="-"/>
    <x v="535"/>
    <s v="Manual"/>
    <m/>
  </r>
  <r>
    <x v="8"/>
    <d v="2020-01-20T00:00:00"/>
    <s v="Cash Rewards Visa Signature"/>
    <x v="2"/>
    <n v="2.0299999999999998"/>
    <x v="2"/>
    <m/>
    <m/>
    <m/>
    <n v="2.0299999999999998"/>
    <b v="0"/>
    <m/>
    <m/>
    <s v="-"/>
    <x v="2"/>
    <s v="Create Rule; and Description='Speedway';Transportation"/>
    <m/>
  </r>
  <r>
    <x v="8"/>
    <d v="2020-01-20T00:00:00"/>
    <s v="Cash Rewards Visa Signature"/>
    <x v="2"/>
    <n v="37.659999999999997"/>
    <x v="2"/>
    <m/>
    <m/>
    <m/>
    <n v="37.659999999999997"/>
    <b v="0"/>
    <m/>
    <m/>
    <s v="-"/>
    <x v="2"/>
    <s v="Create Rule; and Description='Speedway';Transportation"/>
    <m/>
  </r>
  <r>
    <x v="8"/>
    <d v="2020-01-21T00:00:00"/>
    <s v="Discover More Card"/>
    <x v="555"/>
    <n v="4.49"/>
    <x v="7"/>
    <m/>
    <m/>
    <m/>
    <n v="4.49"/>
    <b v="0"/>
    <m/>
    <m/>
    <s v="-"/>
    <x v="536"/>
    <m/>
    <m/>
  </r>
  <r>
    <x v="8"/>
    <d v="2020-01-21T00:00:00"/>
    <s v="Discover"/>
    <x v="555"/>
    <n v="4.49"/>
    <x v="1"/>
    <m/>
    <m/>
    <m/>
    <n v="4.49"/>
    <b v="0"/>
    <m/>
    <m/>
    <s v="-"/>
    <x v="536"/>
    <s v="Manual"/>
    <m/>
  </r>
  <r>
    <x v="8"/>
    <d v="2020-01-21T00:00:00"/>
    <s v="POWERPLUS"/>
    <x v="84"/>
    <n v="33.49"/>
    <x v="11"/>
    <m/>
    <m/>
    <m/>
    <n v="33.49"/>
    <b v="0"/>
    <m/>
    <m/>
    <s v="-"/>
    <x v="84"/>
    <s v="Create Rule; and Description='City of Chanhassen';Utilities"/>
    <m/>
  </r>
  <r>
    <x v="8"/>
    <d v="2020-01-21T00:00:00"/>
    <s v="POWERPLUS CHECKING"/>
    <x v="84"/>
    <n v="33.49"/>
    <x v="11"/>
    <m/>
    <m/>
    <m/>
    <n v="33.49"/>
    <b v="0"/>
    <m/>
    <m/>
    <s v="-"/>
    <x v="84"/>
    <s v="Create Rule; and Description='City of Chanhassen';Utilities"/>
    <m/>
  </r>
  <r>
    <x v="8"/>
    <d v="2020-01-21T00:00:00"/>
    <s v="Cash Rewards Visa Signature"/>
    <x v="6"/>
    <n v="158.78"/>
    <x v="5"/>
    <m/>
    <m/>
    <m/>
    <n v="158.78"/>
    <b v="0"/>
    <m/>
    <m/>
    <s v="-"/>
    <x v="6"/>
    <s v="Create Rule; and Description Like '%Cub Foods%';Groceries"/>
    <m/>
  </r>
  <r>
    <x v="8"/>
    <d v="2020-01-21T00:00:00"/>
    <s v="Joint Tenant"/>
    <x v="476"/>
    <n v="-231"/>
    <x v="3"/>
    <m/>
    <m/>
    <m/>
    <n v="231"/>
    <b v="0"/>
    <m/>
    <m/>
    <s v="+"/>
    <x v="459"/>
    <s v="Delete; and Source='Joint Tenant';0"/>
    <m/>
  </r>
  <r>
    <x v="8"/>
    <d v="2020-01-21T00:00:00"/>
    <s v="Jeff IRA"/>
    <x v="556"/>
    <n v="-5000"/>
    <x v="7"/>
    <m/>
    <m/>
    <m/>
    <n v="5000"/>
    <b v="0"/>
    <m/>
    <m/>
    <s v="+"/>
    <x v="537"/>
    <m/>
    <m/>
  </r>
  <r>
    <x v="8"/>
    <d v="2020-01-21T00:00:00"/>
    <s v="Joint Tenant"/>
    <x v="480"/>
    <n v="5000"/>
    <x v="3"/>
    <m/>
    <m/>
    <m/>
    <n v="5000"/>
    <b v="0"/>
    <m/>
    <m/>
    <s v="-"/>
    <x v="463"/>
    <s v="Delete; and Source='Joint Tenant';0"/>
    <m/>
  </r>
  <r>
    <x v="8"/>
    <d v="2020-01-21T00:00:00"/>
    <s v="POWERPLUS"/>
    <x v="157"/>
    <n v="1"/>
    <x v="8"/>
    <m/>
    <m/>
    <m/>
    <n v="1"/>
    <b v="0"/>
    <m/>
    <m/>
    <s v="-"/>
    <x v="156"/>
    <s v="Create Rule; and Description Like '%PayPal%';Shopping"/>
    <m/>
  </r>
  <r>
    <x v="8"/>
    <d v="2020-01-21T00:00:00"/>
    <s v="POWERPLUS"/>
    <x v="157"/>
    <n v="8.3000000000000007"/>
    <x v="8"/>
    <m/>
    <m/>
    <m/>
    <n v="8.3000000000000007"/>
    <b v="0"/>
    <m/>
    <m/>
    <s v="-"/>
    <x v="156"/>
    <s v="Create Rule; and Description Like '%PayPal%';Shopping"/>
    <m/>
  </r>
  <r>
    <x v="8"/>
    <d v="2020-01-21T00:00:00"/>
    <s v="POWERPLUS CHECKING"/>
    <x v="157"/>
    <n v="1"/>
    <x v="8"/>
    <m/>
    <m/>
    <m/>
    <n v="1"/>
    <b v="0"/>
    <m/>
    <m/>
    <s v="-"/>
    <x v="156"/>
    <s v="Create Rule; and Description Like '%PayPal%';Shopping"/>
    <m/>
  </r>
  <r>
    <x v="8"/>
    <d v="2020-01-21T00:00:00"/>
    <s v="POWERPLUS CHECKING"/>
    <x v="157"/>
    <n v="8.3000000000000007"/>
    <x v="8"/>
    <m/>
    <m/>
    <m/>
    <n v="8.3000000000000007"/>
    <b v="0"/>
    <m/>
    <m/>
    <s v="-"/>
    <x v="156"/>
    <s v="Create Rule; and Description Like '%PayPal%';Shopping"/>
    <m/>
  </r>
  <r>
    <x v="8"/>
    <d v="2020-01-21T00:00:00"/>
    <s v="Britney Roth"/>
    <x v="19"/>
    <n v="150"/>
    <x v="3"/>
    <m/>
    <m/>
    <m/>
    <n v="150"/>
    <b v="0"/>
    <m/>
    <m/>
    <s v="-"/>
    <x v="19"/>
    <s v="Delete; and Description='SCHWAB S&amp;P 500 INDEX FD' and inflowoutflow='-';0"/>
    <m/>
  </r>
  <r>
    <x v="8"/>
    <d v="2020-01-21T00:00:00"/>
    <s v="Roth Contributory IRA"/>
    <x v="19"/>
    <n v="150"/>
    <x v="3"/>
    <m/>
    <m/>
    <m/>
    <n v="150"/>
    <b v="0"/>
    <m/>
    <m/>
    <s v="-"/>
    <x v="19"/>
    <s v="Delete; and Description='SCHWAB S&amp;P 500 INDEX FD' and inflowoutflow='-';0"/>
    <m/>
  </r>
  <r>
    <x v="8"/>
    <d v="2020-01-21T00:00:00"/>
    <s v="Jeff Roth"/>
    <x v="271"/>
    <n v="100"/>
    <x v="3"/>
    <m/>
    <m/>
    <m/>
    <n v="100"/>
    <b v="0"/>
    <m/>
    <m/>
    <s v="-"/>
    <x v="267"/>
    <s v="Delete; and Description='SCHWAB US LARGE CAP GROWTH INDEX FD' and inflowoutflow='-';0"/>
    <m/>
  </r>
  <r>
    <x v="8"/>
    <d v="2020-01-21T00:00:00"/>
    <s v="Roth Contributory IRA"/>
    <x v="271"/>
    <n v="100"/>
    <x v="3"/>
    <m/>
    <m/>
    <m/>
    <n v="100"/>
    <b v="0"/>
    <m/>
    <m/>
    <s v="-"/>
    <x v="267"/>
    <s v="Delete; and Description='SCHWAB US LARGE CAP GROWTH INDEX FD' and inflowoutflow='-';0"/>
    <m/>
  </r>
  <r>
    <x v="8"/>
    <d v="2020-01-21T00:00:00"/>
    <s v="Cash Rewards Visa Signature"/>
    <x v="557"/>
    <n v="5.24"/>
    <x v="28"/>
    <m/>
    <m/>
    <m/>
    <n v="5.24"/>
    <b v="0"/>
    <m/>
    <m/>
    <s v="-"/>
    <x v="538"/>
    <s v="Manual"/>
    <m/>
  </r>
  <r>
    <x v="8"/>
    <d v="2020-01-21T00:00:00"/>
    <s v="POWERPLUS"/>
    <x v="29"/>
    <n v="60"/>
    <x v="7"/>
    <m/>
    <m/>
    <m/>
    <n v="60"/>
    <b v="0"/>
    <m/>
    <m/>
    <s v="-"/>
    <x v="29"/>
    <m/>
    <m/>
  </r>
  <r>
    <x v="8"/>
    <d v="2020-01-21T00:00:00"/>
    <s v="POWERPLUS"/>
    <x v="29"/>
    <n v="72"/>
    <x v="7"/>
    <m/>
    <m/>
    <m/>
    <n v="72"/>
    <b v="0"/>
    <m/>
    <m/>
    <s v="-"/>
    <x v="29"/>
    <m/>
    <m/>
  </r>
  <r>
    <x v="8"/>
    <d v="2020-01-21T00:00:00"/>
    <s v="POWERPLUS CHECKING"/>
    <x v="29"/>
    <n v="60"/>
    <x v="8"/>
    <m/>
    <m/>
    <m/>
    <n v="60"/>
    <b v="0"/>
    <m/>
    <m/>
    <s v="-"/>
    <x v="29"/>
    <s v="Manual"/>
    <m/>
  </r>
  <r>
    <x v="8"/>
    <d v="2020-01-21T00:00:00"/>
    <s v="POWERPLUS CHECKING"/>
    <x v="29"/>
    <n v="72"/>
    <x v="8"/>
    <m/>
    <m/>
    <m/>
    <n v="72"/>
    <b v="0"/>
    <m/>
    <m/>
    <s v="-"/>
    <x v="29"/>
    <s v="Manual"/>
    <m/>
  </r>
  <r>
    <x v="8"/>
    <d v="2020-01-21T00:00:00"/>
    <s v="POWERPLUS"/>
    <x v="558"/>
    <n v="4000"/>
    <x v="7"/>
    <m/>
    <m/>
    <m/>
    <n v="4000"/>
    <b v="0"/>
    <m/>
    <m/>
    <s v="-"/>
    <x v="539"/>
    <m/>
    <m/>
  </r>
  <r>
    <x v="8"/>
    <d v="2020-01-21T00:00:00"/>
    <s v="POWERPLUS CHECKING"/>
    <x v="558"/>
    <n v="4000"/>
    <x v="3"/>
    <m/>
    <m/>
    <m/>
    <n v="4000"/>
    <b v="0"/>
    <m/>
    <m/>
    <s v="-"/>
    <x v="539"/>
    <s v="Manual"/>
    <m/>
  </r>
  <r>
    <x v="8"/>
    <d v="2020-01-22T00:00:00"/>
    <s v="Investor Checking"/>
    <x v="164"/>
    <n v="-4000"/>
    <x v="3"/>
    <m/>
    <m/>
    <m/>
    <n v="4000"/>
    <b v="0"/>
    <m/>
    <m/>
    <s v="+"/>
    <x v="163"/>
    <s v="Manual"/>
    <m/>
  </r>
  <r>
    <x v="8"/>
    <d v="2020-01-22T00:00:00"/>
    <s v="POWERPLUS"/>
    <x v="559"/>
    <n v="-30"/>
    <x v="8"/>
    <m/>
    <m/>
    <m/>
    <n v="30"/>
    <b v="0"/>
    <m/>
    <m/>
    <s v="+"/>
    <x v="540"/>
    <s v="Create Rule; and Description Like '%PayPal%';Shopping"/>
    <m/>
  </r>
  <r>
    <x v="8"/>
    <d v="2020-01-22T00:00:00"/>
    <s v="Joint Tenant"/>
    <x v="232"/>
    <n v="930.29"/>
    <x v="23"/>
    <m/>
    <m/>
    <m/>
    <n v="930.29"/>
    <b v="0"/>
    <m/>
    <m/>
    <s v="-"/>
    <x v="230"/>
    <s v="Create Rule; and Description='BOEING CO';Dividend"/>
    <m/>
  </r>
  <r>
    <x v="8"/>
    <d v="2020-01-22T00:00:00"/>
    <s v="POWERPLUS"/>
    <x v="560"/>
    <n v="-1957.91"/>
    <x v="14"/>
    <m/>
    <m/>
    <m/>
    <n v="1957.91"/>
    <b v="0"/>
    <m/>
    <m/>
    <s v="+"/>
    <x v="541"/>
    <s v="Create Rule; and Description Like '%CARGILL COCOA TYPE DIR DEP ID%';Inc - Britney"/>
    <m/>
  </r>
  <r>
    <x v="8"/>
    <d v="2020-01-22T00:00:00"/>
    <s v="POWERPLUS CHECKING"/>
    <x v="560"/>
    <n v="-1957.91"/>
    <x v="14"/>
    <m/>
    <m/>
    <m/>
    <n v="1957.91"/>
    <b v="0"/>
    <m/>
    <m/>
    <s v="+"/>
    <x v="541"/>
    <s v="Create Rule; and Description Like '%CARGILL COCOA TYPE DIR DEP ID%';Inc - Britney"/>
    <m/>
  </r>
  <r>
    <x v="8"/>
    <d v="2020-01-22T00:00:00"/>
    <s v="POWERPLUS"/>
    <x v="561"/>
    <n v="247.95"/>
    <x v="4"/>
    <m/>
    <m/>
    <m/>
    <n v="247.95"/>
    <b v="0"/>
    <m/>
    <m/>
    <s v="-"/>
    <x v="542"/>
    <s v="Create Rule; and Description Like '%CCLC TYPE INTERNET ID%';Day Care"/>
    <m/>
  </r>
  <r>
    <x v="8"/>
    <d v="2020-01-22T00:00:00"/>
    <s v="POWERPLUS CHECKING"/>
    <x v="561"/>
    <n v="247.95"/>
    <x v="4"/>
    <m/>
    <m/>
    <m/>
    <n v="247.95"/>
    <b v="0"/>
    <m/>
    <m/>
    <s v="-"/>
    <x v="542"/>
    <s v="Create Rule; and Description Like '%CCLC TYPE INTERNET ID%';Day Care"/>
    <m/>
  </r>
  <r>
    <x v="8"/>
    <d v="2020-01-22T00:00:00"/>
    <s v="Discover More Card"/>
    <x v="562"/>
    <n v="21.8"/>
    <x v="7"/>
    <m/>
    <m/>
    <m/>
    <n v="21.8"/>
    <b v="0"/>
    <m/>
    <m/>
    <s v="-"/>
    <x v="543"/>
    <m/>
    <m/>
  </r>
  <r>
    <x v="8"/>
    <d v="2020-01-22T00:00:00"/>
    <s v="Discover"/>
    <x v="562"/>
    <n v="21.8"/>
    <x v="1"/>
    <m/>
    <m/>
    <m/>
    <n v="21.8"/>
    <b v="0"/>
    <m/>
    <m/>
    <s v="-"/>
    <x v="543"/>
    <s v="Manual"/>
    <m/>
  </r>
  <r>
    <x v="8"/>
    <d v="2020-01-22T00:00:00"/>
    <s v="Discover More Card"/>
    <x v="563"/>
    <n v="4.1900000000000004"/>
    <x v="7"/>
    <m/>
    <m/>
    <m/>
    <n v="4.1900000000000004"/>
    <b v="0"/>
    <m/>
    <m/>
    <s v="-"/>
    <x v="544"/>
    <m/>
    <m/>
  </r>
  <r>
    <x v="8"/>
    <d v="2020-01-22T00:00:00"/>
    <s v="Discover"/>
    <x v="563"/>
    <n v="4.1900000000000004"/>
    <x v="8"/>
    <m/>
    <m/>
    <m/>
    <n v="4.1900000000000004"/>
    <b v="0"/>
    <m/>
    <m/>
    <s v="-"/>
    <x v="544"/>
    <s v="Manual"/>
    <m/>
  </r>
  <r>
    <x v="8"/>
    <d v="2020-01-22T00:00:00"/>
    <s v="Discover More Card"/>
    <x v="2"/>
    <n v="32.229999999999997"/>
    <x v="2"/>
    <m/>
    <m/>
    <m/>
    <n v="32.229999999999997"/>
    <b v="0"/>
    <m/>
    <m/>
    <s v="-"/>
    <x v="2"/>
    <s v="Create Rule; and Description='Speedway';Transportation"/>
    <m/>
  </r>
  <r>
    <x v="8"/>
    <d v="2020-01-22T00:00:00"/>
    <s v="Discover"/>
    <x v="2"/>
    <n v="32.229999999999997"/>
    <x v="2"/>
    <m/>
    <m/>
    <m/>
    <n v="32.229999999999997"/>
    <b v="0"/>
    <m/>
    <m/>
    <s v="-"/>
    <x v="2"/>
    <s v="Create Rule; and Description='Speedway';Transportation"/>
    <m/>
  </r>
  <r>
    <x v="8"/>
    <d v="2020-01-22T00:00:00"/>
    <s v="Discover More Card"/>
    <x v="564"/>
    <n v="16"/>
    <x v="7"/>
    <m/>
    <m/>
    <m/>
    <n v="16"/>
    <b v="0"/>
    <m/>
    <m/>
    <s v="-"/>
    <x v="545"/>
    <m/>
    <m/>
  </r>
  <r>
    <x v="8"/>
    <d v="2020-01-22T00:00:00"/>
    <s v="Discover"/>
    <x v="564"/>
    <n v="16"/>
    <x v="1"/>
    <m/>
    <m/>
    <m/>
    <n v="16"/>
    <b v="0"/>
    <m/>
    <m/>
    <s v="-"/>
    <x v="545"/>
    <s v="Manual"/>
    <m/>
  </r>
  <r>
    <x v="8"/>
    <d v="2020-01-22T00:00:00"/>
    <s v="POWERPLUS"/>
    <x v="565"/>
    <n v="-30"/>
    <x v="8"/>
    <m/>
    <m/>
    <m/>
    <n v="30"/>
    <b v="0"/>
    <m/>
    <m/>
    <s v="+"/>
    <x v="546"/>
    <s v="Create Rule; and Description Like '%PayPal%';Shopping"/>
    <m/>
  </r>
  <r>
    <x v="8"/>
    <d v="2020-01-22T00:00:00"/>
    <s v="POWERPLUS CHECKING"/>
    <x v="565"/>
    <n v="-30"/>
    <x v="8"/>
    <m/>
    <m/>
    <m/>
    <n v="30"/>
    <b v="0"/>
    <m/>
    <m/>
    <s v="+"/>
    <x v="546"/>
    <s v="Create Rule; and Description Like '%PayPal%';Shopping"/>
    <m/>
  </r>
  <r>
    <x v="8"/>
    <d v="2020-01-23T00:00:00"/>
    <s v="Discover More Card"/>
    <x v="56"/>
    <n v="-484.12"/>
    <x v="3"/>
    <m/>
    <m/>
    <m/>
    <n v="484.12"/>
    <b v="0"/>
    <m/>
    <m/>
    <s v="+"/>
    <x v="56"/>
    <s v="Delete; and Description='INTERNET PAYMENT - THANK YOU';0"/>
    <m/>
  </r>
  <r>
    <x v="8"/>
    <d v="2020-01-23T00:00:00"/>
    <s v="Discover"/>
    <x v="56"/>
    <n v="-484.12"/>
    <x v="3"/>
    <m/>
    <m/>
    <m/>
    <n v="484.12"/>
    <b v="0"/>
    <m/>
    <m/>
    <s v="+"/>
    <x v="56"/>
    <s v="Delete; and Description='INTERNET PAYMENT - THANK YOU';0"/>
    <m/>
  </r>
  <r>
    <x v="8"/>
    <d v="2020-01-23T00:00:00"/>
    <s v="CARGILL PARTNERSHIP PLAN"/>
    <x v="566"/>
    <n v="-1172.31"/>
    <x v="3"/>
    <m/>
    <m/>
    <m/>
    <n v="1172.31"/>
    <b v="0"/>
    <m/>
    <m/>
    <s v="+"/>
    <x v="547"/>
    <s v="Create Rule; and Description='Cargill ESOP Stock Fund - Plan Contribution';Delete"/>
    <m/>
  </r>
  <r>
    <x v="8"/>
    <d v="2020-01-23T00:00:00"/>
    <s v="Cash Rewards Visa Signature"/>
    <x v="567"/>
    <n v="105.18"/>
    <x v="5"/>
    <m/>
    <m/>
    <m/>
    <n v="105.18"/>
    <b v="0"/>
    <m/>
    <m/>
    <s v="-"/>
    <x v="548"/>
    <s v="Create Rule; and Description Like '%CARGILL PRODUC%';Groceries"/>
    <m/>
  </r>
  <r>
    <x v="8"/>
    <d v="2020-01-23T00:00:00"/>
    <s v="Coopers Rainy Day"/>
    <x v="568"/>
    <n v="-100"/>
    <x v="3"/>
    <m/>
    <m/>
    <m/>
    <n v="100"/>
    <b v="0"/>
    <m/>
    <m/>
    <s v="+"/>
    <x v="549"/>
    <s v="Manual"/>
    <m/>
  </r>
  <r>
    <x v="8"/>
    <d v="2020-01-23T00:00:00"/>
    <s v="Investor Checking"/>
    <x v="569"/>
    <n v="5000"/>
    <x v="3"/>
    <m/>
    <m/>
    <m/>
    <n v="5000"/>
    <b v="0"/>
    <m/>
    <m/>
    <s v="-"/>
    <x v="550"/>
    <s v="Manual"/>
    <m/>
  </r>
  <r>
    <x v="8"/>
    <d v="2020-01-23T00:00:00"/>
    <s v="Contributory"/>
    <x v="556"/>
    <n v="-5000"/>
    <x v="7"/>
    <m/>
    <m/>
    <m/>
    <n v="5000"/>
    <b v="0"/>
    <m/>
    <m/>
    <s v="+"/>
    <x v="537"/>
    <m/>
    <m/>
  </r>
  <r>
    <x v="8"/>
    <d v="2020-01-23T00:00:00"/>
    <s v="Cash Rewards Visa Signature"/>
    <x v="570"/>
    <n v="2.89"/>
    <x v="1"/>
    <m/>
    <m/>
    <m/>
    <n v="2.89"/>
    <b v="0"/>
    <m/>
    <m/>
    <s v="-"/>
    <x v="551"/>
    <s v="Create Rule; and Description Like '%Panera Bread%';Restaurants"/>
    <m/>
  </r>
  <r>
    <x v="8"/>
    <d v="2020-01-23T00:00:00"/>
    <s v="RAINY DAY"/>
    <x v="515"/>
    <n v="-300"/>
    <x v="3"/>
    <m/>
    <m/>
    <m/>
    <n v="300"/>
    <b v="0"/>
    <m/>
    <m/>
    <s v="+"/>
    <x v="496"/>
    <s v="Create Rule; and Description='Share';Delete"/>
    <m/>
  </r>
  <r>
    <x v="8"/>
    <d v="2020-01-23T00:00:00"/>
    <s v="RAINY DAY SAVINGS"/>
    <x v="515"/>
    <n v="-300"/>
    <x v="3"/>
    <m/>
    <m/>
    <m/>
    <n v="300"/>
    <b v="0"/>
    <m/>
    <m/>
    <s v="+"/>
    <x v="496"/>
    <s v="Manual"/>
    <m/>
  </r>
  <r>
    <x v="8"/>
    <d v="2020-01-23T00:00:00"/>
    <s v="POWERPLUS"/>
    <x v="571"/>
    <n v="300"/>
    <x v="7"/>
    <m/>
    <m/>
    <m/>
    <n v="300"/>
    <b v="0"/>
    <m/>
    <m/>
    <s v="-"/>
    <x v="552"/>
    <m/>
    <m/>
  </r>
  <r>
    <x v="8"/>
    <d v="2020-01-23T00:00:00"/>
    <s v="POWERPLUS CHECKING"/>
    <x v="571"/>
    <n v="300"/>
    <x v="3"/>
    <m/>
    <m/>
    <m/>
    <n v="300"/>
    <b v="0"/>
    <m/>
    <m/>
    <s v="-"/>
    <x v="552"/>
    <s v="Manual"/>
    <m/>
  </r>
  <r>
    <x v="8"/>
    <d v="2020-01-23T00:00:00"/>
    <s v="POWERPLUS"/>
    <x v="29"/>
    <n v="14"/>
    <x v="7"/>
    <m/>
    <m/>
    <m/>
    <n v="14"/>
    <b v="0"/>
    <m/>
    <m/>
    <s v="-"/>
    <x v="29"/>
    <m/>
    <m/>
  </r>
  <r>
    <x v="8"/>
    <d v="2020-01-23T00:00:00"/>
    <s v="POWERPLUS CHECKING"/>
    <x v="29"/>
    <n v="14"/>
    <x v="8"/>
    <m/>
    <m/>
    <m/>
    <n v="14"/>
    <b v="0"/>
    <m/>
    <m/>
    <s v="-"/>
    <x v="29"/>
    <s v="Manual"/>
    <m/>
  </r>
  <r>
    <x v="8"/>
    <d v="2020-01-23T00:00:00"/>
    <s v="POWERPLUS"/>
    <x v="572"/>
    <n v="100"/>
    <x v="7"/>
    <m/>
    <m/>
    <m/>
    <n v="100"/>
    <b v="0"/>
    <m/>
    <m/>
    <s v="-"/>
    <x v="553"/>
    <m/>
    <m/>
  </r>
  <r>
    <x v="8"/>
    <d v="2020-01-23T00:00:00"/>
    <s v="POWERPLUS CHECKING"/>
    <x v="572"/>
    <n v="100"/>
    <x v="3"/>
    <m/>
    <m/>
    <m/>
    <n v="100"/>
    <b v="0"/>
    <m/>
    <m/>
    <s v="-"/>
    <x v="553"/>
    <s v="Manual"/>
    <m/>
  </r>
  <r>
    <x v="8"/>
    <d v="2020-01-24T00:00:00"/>
    <s v="POWERPLUS"/>
    <x v="573"/>
    <n v="484.12"/>
    <x v="3"/>
    <m/>
    <m/>
    <m/>
    <n v="484.12"/>
    <b v="0"/>
    <m/>
    <m/>
    <s v="-"/>
    <x v="554"/>
    <s v="Delete; and Description Like '%DISCOVER TYPE EPAYMENT%';0"/>
    <m/>
  </r>
  <r>
    <x v="8"/>
    <d v="2020-01-24T00:00:00"/>
    <s v="POWERPLUS CHECKING"/>
    <x v="573"/>
    <n v="484.12"/>
    <x v="3"/>
    <m/>
    <m/>
    <m/>
    <n v="484.12"/>
    <b v="0"/>
    <m/>
    <m/>
    <s v="-"/>
    <x v="554"/>
    <s v="Delete; and Description Like '%DISCOVER TYPE EPAYMENT%';0"/>
    <m/>
  </r>
  <r>
    <x v="8"/>
    <d v="2020-01-24T00:00:00"/>
    <s v="Cash Rewards Visa Signature"/>
    <x v="574"/>
    <n v="-898.62"/>
    <x v="3"/>
    <m/>
    <m/>
    <m/>
    <n v="898.62"/>
    <b v="0"/>
    <m/>
    <m/>
    <s v="+"/>
    <x v="555"/>
    <s v="Delete; and Description Like '%PAYMENT THANK YOU%';0"/>
    <m/>
  </r>
  <r>
    <x v="8"/>
    <d v="2020-01-24T00:00:00"/>
    <s v="POWERPLUS"/>
    <x v="575"/>
    <n v="898.62"/>
    <x v="3"/>
    <m/>
    <m/>
    <m/>
    <n v="898.62"/>
    <b v="0"/>
    <m/>
    <m/>
    <s v="-"/>
    <x v="556"/>
    <s v="Delete; and Description Like '%Withdrawal Home payment to card%';0"/>
    <m/>
  </r>
  <r>
    <x v="8"/>
    <d v="2020-01-24T00:00:00"/>
    <s v="POWERPLUS CHECKING"/>
    <x v="575"/>
    <n v="898.62"/>
    <x v="3"/>
    <m/>
    <m/>
    <m/>
    <n v="898.62"/>
    <b v="0"/>
    <m/>
    <m/>
    <s v="-"/>
    <x v="556"/>
    <s v="Delete; and Description Like '%Withdrawal Home payment to card%';0"/>
    <m/>
  </r>
  <r>
    <x v="8"/>
    <d v="2020-01-24T00:00:00"/>
    <s v="Cash Rewards Visa Signature"/>
    <x v="576"/>
    <n v="764"/>
    <x v="19"/>
    <m/>
    <m/>
    <m/>
    <n v="764"/>
    <b v="0"/>
    <m/>
    <m/>
    <s v="-"/>
    <x v="557"/>
    <s v="Manual"/>
    <m/>
  </r>
  <r>
    <x v="8"/>
    <d v="2020-01-24T00:00:00"/>
    <s v="Cash Rewards Visa Signature"/>
    <x v="0"/>
    <n v="12.87"/>
    <x v="0"/>
    <m/>
    <m/>
    <m/>
    <n v="12.87"/>
    <b v="0"/>
    <m/>
    <m/>
    <s v="-"/>
    <x v="0"/>
    <s v="Create Rule; and Description='Amazon';Amazon"/>
    <m/>
  </r>
  <r>
    <x v="8"/>
    <d v="2020-01-24T00:00:00"/>
    <s v="Joint Tenant"/>
    <x v="185"/>
    <n v="-200"/>
    <x v="17"/>
    <m/>
    <m/>
    <m/>
    <n v="200"/>
    <b v="0"/>
    <m/>
    <m/>
    <s v="+"/>
    <x v="184"/>
    <s v="Create Rule; and Description='CARGILL COCOA &amp;';Roth"/>
    <m/>
  </r>
  <r>
    <x v="8"/>
    <d v="2020-01-24T00:00:00"/>
    <s v="Cash Rewards Visa Signature"/>
    <x v="577"/>
    <n v="7.51"/>
    <x v="1"/>
    <m/>
    <m/>
    <m/>
    <n v="7.51"/>
    <b v="0"/>
    <m/>
    <m/>
    <s v="-"/>
    <x v="558"/>
    <s v="Create Rule; and Description Like '%Jimmy John%';Restaurants"/>
    <m/>
  </r>
  <r>
    <x v="8"/>
    <d v="2020-01-24T00:00:00"/>
    <s v="RAINY DAY"/>
    <x v="515"/>
    <n v="-200"/>
    <x v="3"/>
    <m/>
    <m/>
    <m/>
    <n v="200"/>
    <b v="0"/>
    <m/>
    <m/>
    <s v="+"/>
    <x v="496"/>
    <s v="Create Rule; and Description='Share';Delete"/>
    <m/>
  </r>
  <r>
    <x v="8"/>
    <d v="2020-01-24T00:00:00"/>
    <s v="RAINY DAY SAVINGS"/>
    <x v="515"/>
    <n v="-200"/>
    <x v="3"/>
    <m/>
    <m/>
    <m/>
    <n v="200"/>
    <b v="0"/>
    <m/>
    <m/>
    <s v="+"/>
    <x v="496"/>
    <s v="Manual"/>
    <m/>
  </r>
  <r>
    <x v="8"/>
    <d v="2020-01-24T00:00:00"/>
    <s v="POWERPLUS"/>
    <x v="578"/>
    <n v="200"/>
    <x v="7"/>
    <m/>
    <m/>
    <m/>
    <n v="200"/>
    <b v="0"/>
    <m/>
    <m/>
    <s v="-"/>
    <x v="559"/>
    <m/>
    <m/>
  </r>
  <r>
    <x v="8"/>
    <d v="2020-01-24T00:00:00"/>
    <s v="POWERPLUS CHECKING"/>
    <x v="578"/>
    <n v="200"/>
    <x v="3"/>
    <m/>
    <m/>
    <m/>
    <n v="200"/>
    <b v="0"/>
    <m/>
    <m/>
    <s v="-"/>
    <x v="559"/>
    <s v="Manual"/>
    <m/>
  </r>
  <r>
    <x v="8"/>
    <d v="2020-01-25T00:00:00"/>
    <s v="Discover More Card"/>
    <x v="0"/>
    <n v="29.11"/>
    <x v="0"/>
    <m/>
    <m/>
    <m/>
    <n v="29.11"/>
    <b v="0"/>
    <m/>
    <m/>
    <s v="-"/>
    <x v="0"/>
    <s v="Create Rule; and Description='Amazon';Amazon"/>
    <m/>
  </r>
  <r>
    <x v="8"/>
    <d v="2020-01-25T00:00:00"/>
    <s v="Discover"/>
    <x v="0"/>
    <n v="29.11"/>
    <x v="0"/>
    <m/>
    <m/>
    <m/>
    <n v="29.11"/>
    <b v="0"/>
    <m/>
    <m/>
    <s v="-"/>
    <x v="0"/>
    <s v="Create Rule; and Description='Amazon';Amazon"/>
    <m/>
  </r>
  <r>
    <x v="8"/>
    <d v="2020-01-25T00:00:00"/>
    <s v="Discover More Card"/>
    <x v="579"/>
    <n v="20"/>
    <x v="1"/>
    <m/>
    <m/>
    <m/>
    <n v="20"/>
    <b v="0"/>
    <m/>
    <m/>
    <s v="-"/>
    <x v="560"/>
    <s v="Create Rule; and Description='Starbucks';Restaurants"/>
    <m/>
  </r>
  <r>
    <x v="8"/>
    <d v="2020-01-25T00:00:00"/>
    <s v="Discover"/>
    <x v="579"/>
    <n v="20"/>
    <x v="1"/>
    <m/>
    <m/>
    <m/>
    <n v="20"/>
    <b v="0"/>
    <m/>
    <m/>
    <s v="-"/>
    <x v="560"/>
    <s v="Create Rule; and Description='Starbucks';Restaurants"/>
    <m/>
  </r>
  <r>
    <x v="8"/>
    <d v="2020-01-26T00:00:00"/>
    <s v="Cash Rewards Visa Signature"/>
    <x v="580"/>
    <n v="64.41"/>
    <x v="1"/>
    <m/>
    <m/>
    <m/>
    <n v="64.41"/>
    <b v="0"/>
    <m/>
    <m/>
    <s v="-"/>
    <x v="561"/>
    <s v="Create Rule; and Description Like '%LIFE TIME CAFE%';Restaurants"/>
    <m/>
  </r>
  <r>
    <x v="8"/>
    <d v="2020-01-26T00:00:00"/>
    <s v="Discover More Card"/>
    <x v="99"/>
    <n v="12.99"/>
    <x v="11"/>
    <m/>
    <m/>
    <m/>
    <n v="12.99"/>
    <b v="0"/>
    <m/>
    <m/>
    <s v="-"/>
    <x v="99"/>
    <s v="Create Rule; and Description='Netflix';Utilities"/>
    <m/>
  </r>
  <r>
    <x v="8"/>
    <d v="2020-01-26T00:00:00"/>
    <s v="Discover"/>
    <x v="99"/>
    <n v="12.99"/>
    <x v="11"/>
    <m/>
    <m/>
    <m/>
    <n v="12.99"/>
    <b v="0"/>
    <m/>
    <m/>
    <s v="-"/>
    <x v="99"/>
    <s v="Create Rule; and Description='Netflix';Utilities"/>
    <m/>
  </r>
  <r>
    <x v="8"/>
    <d v="2020-01-26T00:00:00"/>
    <s v="Discover More Card"/>
    <x v="581"/>
    <n v="32.08"/>
    <x v="1"/>
    <m/>
    <m/>
    <m/>
    <n v="32.08"/>
    <b v="0"/>
    <m/>
    <m/>
    <s v="-"/>
    <x v="562"/>
    <s v="Create Rule; and Description Like '%TINO S PIZZERIA%';Restaurants"/>
    <m/>
  </r>
  <r>
    <x v="8"/>
    <d v="2020-01-26T00:00:00"/>
    <s v="Discover"/>
    <x v="581"/>
    <n v="32.08"/>
    <x v="1"/>
    <m/>
    <m/>
    <m/>
    <n v="32.08"/>
    <b v="0"/>
    <m/>
    <m/>
    <s v="-"/>
    <x v="562"/>
    <s v="Create Rule; and Description Like '%TINO S PIZZERIA%';Restaurants"/>
    <m/>
  </r>
  <r>
    <x v="8"/>
    <d v="2020-01-26T00:00:00"/>
    <s v="Discover More Card"/>
    <x v="100"/>
    <n v="7.52"/>
    <x v="5"/>
    <m/>
    <m/>
    <m/>
    <n v="7.52"/>
    <b v="0"/>
    <m/>
    <m/>
    <s v="-"/>
    <x v="100"/>
    <s v="Create Rule; and Description like '%Trader Joe%';Groceries"/>
    <m/>
  </r>
  <r>
    <x v="8"/>
    <d v="2020-01-26T00:00:00"/>
    <s v="Discover"/>
    <x v="100"/>
    <n v="7.52"/>
    <x v="5"/>
    <m/>
    <m/>
    <m/>
    <n v="7.52"/>
    <b v="0"/>
    <m/>
    <m/>
    <s v="-"/>
    <x v="100"/>
    <s v="Create Rule; and Description like '%Trader Joe%';Groceries"/>
    <m/>
  </r>
  <r>
    <x v="8"/>
    <d v="2020-01-26T00:00:00"/>
    <s v="Cash Rewards Visa Signature"/>
    <x v="582"/>
    <n v="52.63"/>
    <x v="1"/>
    <m/>
    <m/>
    <m/>
    <n v="52.63"/>
    <b v="0"/>
    <m/>
    <m/>
    <s v="-"/>
    <x v="563"/>
    <s v="Create Rule; and Description Like '%ZEN BOX IZAKAYA%';Restaurants"/>
    <m/>
  </r>
  <r>
    <x v="8"/>
    <d v="2020-01-27T00:00:00"/>
    <s v="Contributory"/>
    <x v="583"/>
    <n v="1423.84"/>
    <x v="7"/>
    <m/>
    <m/>
    <m/>
    <n v="1423.84"/>
    <b v="0"/>
    <m/>
    <m/>
    <s v="-"/>
    <x v="564"/>
    <m/>
    <m/>
  </r>
  <r>
    <x v="8"/>
    <d v="2020-01-27T00:00:00"/>
    <s v="Jeff IRA"/>
    <x v="165"/>
    <n v="1545.89"/>
    <x v="23"/>
    <m/>
    <m/>
    <m/>
    <n v="1545.89"/>
    <b v="0"/>
    <m/>
    <m/>
    <s v="-"/>
    <x v="164"/>
    <s v="Create Rule; and Description='APPLE INC';Dividend"/>
    <m/>
  </r>
  <r>
    <x v="8"/>
    <d v="2020-01-27T00:00:00"/>
    <s v="Discover More Card"/>
    <x v="584"/>
    <n v="82.72"/>
    <x v="1"/>
    <m/>
    <m/>
    <m/>
    <n v="82.72"/>
    <b v="0"/>
    <m/>
    <m/>
    <s v="-"/>
    <x v="565"/>
    <s v="Create Rule; and Description Like '%CARGILL PRO%';Restaurants"/>
    <m/>
  </r>
  <r>
    <x v="8"/>
    <d v="2020-01-27T00:00:00"/>
    <s v="Discover"/>
    <x v="584"/>
    <n v="82.72"/>
    <x v="5"/>
    <m/>
    <m/>
    <m/>
    <n v="82.72"/>
    <b v="0"/>
    <m/>
    <m/>
    <s v="-"/>
    <x v="565"/>
    <s v="Create Rule; and Description Like '%CARGILL PRO%';Restaurants"/>
    <m/>
  </r>
  <r>
    <x v="8"/>
    <d v="2020-01-27T00:00:00"/>
    <s v="Discover More Card"/>
    <x v="585"/>
    <n v="12.1"/>
    <x v="1"/>
    <m/>
    <m/>
    <m/>
    <n v="12.1"/>
    <b v="0"/>
    <m/>
    <m/>
    <s v="-"/>
    <x v="566"/>
    <s v="Create Rule; and Description Like '%Crisp &amp; Green%';Restaurants"/>
    <m/>
  </r>
  <r>
    <x v="8"/>
    <d v="2020-01-27T00:00:00"/>
    <s v="Discover"/>
    <x v="585"/>
    <n v="12.1"/>
    <x v="1"/>
    <m/>
    <m/>
    <m/>
    <n v="12.1"/>
    <b v="0"/>
    <m/>
    <m/>
    <s v="-"/>
    <x v="566"/>
    <s v="Create Rule; and Description Like '%Crisp &amp; Green%';Restaurants"/>
    <m/>
  </r>
  <r>
    <x v="8"/>
    <d v="2020-01-27T00:00:00"/>
    <s v="POWERPLUS"/>
    <x v="34"/>
    <n v="320.35000000000002"/>
    <x v="12"/>
    <m/>
    <m/>
    <m/>
    <n v="320.35000000000002"/>
    <b v="0"/>
    <m/>
    <m/>
    <s v="-"/>
    <x v="34"/>
    <s v="Create Rule; and Description='Target';Target"/>
    <m/>
  </r>
  <r>
    <x v="8"/>
    <d v="2020-01-27T00:00:00"/>
    <s v="POWERPLUS CHECKING"/>
    <x v="34"/>
    <n v="320.35000000000002"/>
    <x v="12"/>
    <m/>
    <m/>
    <m/>
    <n v="320.35000000000002"/>
    <b v="0"/>
    <m/>
    <m/>
    <s v="-"/>
    <x v="34"/>
    <s v="Create Rule; and Description='Target';Target"/>
    <m/>
  </r>
  <r>
    <x v="8"/>
    <d v="2020-01-27T00:00:00"/>
    <s v="Cash Rewards Visa Signature"/>
    <x v="586"/>
    <n v="19.75"/>
    <x v="1"/>
    <m/>
    <m/>
    <m/>
    <n v="19.75"/>
    <b v="0"/>
    <m/>
    <m/>
    <s v="-"/>
    <x v="567"/>
    <s v="Create Rule; and Description Like '%TEQUILA BUTCHER CHANHASSEN MN%';Restaurants"/>
    <m/>
  </r>
  <r>
    <x v="8"/>
    <d v="2020-01-27T00:00:00"/>
    <s v="Cash Rewards Visa Signature"/>
    <x v="587"/>
    <n v="25"/>
    <x v="28"/>
    <m/>
    <m/>
    <m/>
    <n v="25"/>
    <b v="0"/>
    <m/>
    <m/>
    <s v="-"/>
    <x v="568"/>
    <s v="Manual"/>
    <m/>
  </r>
  <r>
    <x v="8"/>
    <d v="2020-01-27T00:00:00"/>
    <s v="Discover More Card"/>
    <x v="362"/>
    <n v="121.38"/>
    <x v="5"/>
    <m/>
    <m/>
    <m/>
    <n v="121.38"/>
    <b v="0"/>
    <m/>
    <m/>
    <s v="-"/>
    <x v="353"/>
    <s v="Create Rule; and Description='Whole Foods';Groceries"/>
    <m/>
  </r>
  <r>
    <x v="8"/>
    <d v="2020-01-27T00:00:00"/>
    <s v="Discover"/>
    <x v="362"/>
    <n v="121.38"/>
    <x v="5"/>
    <m/>
    <m/>
    <m/>
    <n v="121.38"/>
    <b v="0"/>
    <m/>
    <m/>
    <s v="-"/>
    <x v="353"/>
    <s v="Create Rule; and Description='Whole Foods';Groceries"/>
    <m/>
  </r>
  <r>
    <x v="8"/>
    <d v="2020-01-28T00:00:00"/>
    <s v="Cash Rewards Visa Signature"/>
    <x v="0"/>
    <n v="-12.37"/>
    <x v="0"/>
    <m/>
    <m/>
    <m/>
    <n v="12.37"/>
    <b v="0"/>
    <m/>
    <m/>
    <s v="+"/>
    <x v="0"/>
    <s v="Create Rule; and Description='Amazon';Amazon"/>
    <m/>
  </r>
  <r>
    <x v="8"/>
    <d v="2020-01-28T00:00:00"/>
    <s v="Cash Rewards Visa Signature"/>
    <x v="588"/>
    <n v="45.76"/>
    <x v="2"/>
    <m/>
    <m/>
    <m/>
    <n v="45.76"/>
    <b v="0"/>
    <m/>
    <m/>
    <s v="-"/>
    <x v="569"/>
    <s v="Create Rule; and Description Like '%PENN MINNOCO%';Transportation"/>
    <m/>
  </r>
  <r>
    <x v="8"/>
    <d v="2020-01-29T00:00:00"/>
    <s v="Cash Rewards Visa Signature"/>
    <x v="589"/>
    <n v="-979.56"/>
    <x v="3"/>
    <m/>
    <m/>
    <m/>
    <n v="979.56"/>
    <b v="0"/>
    <m/>
    <m/>
    <s v="+"/>
    <x v="570"/>
    <s v="Delete; and Description Like '%PAYMENT THANK YOU%';0"/>
    <m/>
  </r>
  <r>
    <x v="8"/>
    <d v="2020-01-29T00:00:00"/>
    <s v="POWERPLUS"/>
    <x v="590"/>
    <n v="979.56"/>
    <x v="3"/>
    <m/>
    <m/>
    <m/>
    <n v="979.56"/>
    <b v="0"/>
    <m/>
    <m/>
    <s v="-"/>
    <x v="571"/>
    <s v="Delete; and Description Like '%Withdrawal Home payment to card%';0"/>
    <m/>
  </r>
  <r>
    <x v="8"/>
    <d v="2020-01-29T00:00:00"/>
    <s v="POWERPLUS CHECKING"/>
    <x v="590"/>
    <n v="979.56"/>
    <x v="3"/>
    <m/>
    <m/>
    <m/>
    <n v="979.56"/>
    <b v="0"/>
    <m/>
    <m/>
    <s v="-"/>
    <x v="571"/>
    <s v="Delete; and Description Like '%Withdrawal Home payment to card%';0"/>
    <m/>
  </r>
  <r>
    <x v="8"/>
    <d v="2020-01-29T00:00:00"/>
    <s v="POWERPLUS"/>
    <x v="591"/>
    <n v="247.95"/>
    <x v="4"/>
    <m/>
    <m/>
    <m/>
    <n v="247.95"/>
    <b v="0"/>
    <m/>
    <m/>
    <s v="-"/>
    <x v="572"/>
    <s v="Create Rule; and Description Like '%CCLC TYPE INTERNET ID%';Day Care"/>
    <m/>
  </r>
  <r>
    <x v="8"/>
    <d v="2020-01-29T00:00:00"/>
    <s v="POWERPLUS CHECKING"/>
    <x v="591"/>
    <n v="247.95"/>
    <x v="4"/>
    <m/>
    <m/>
    <m/>
    <n v="247.95"/>
    <b v="0"/>
    <m/>
    <m/>
    <s v="-"/>
    <x v="572"/>
    <s v="Create Rule; and Description Like '%CCLC TYPE INTERNET ID%';Day Care"/>
    <m/>
  </r>
  <r>
    <x v="8"/>
    <d v="2020-01-29T00:00:00"/>
    <s v="Cash Rewards Visa Signature"/>
    <x v="592"/>
    <n v="20.079999999999998"/>
    <x v="1"/>
    <m/>
    <m/>
    <m/>
    <n v="20.079999999999998"/>
    <b v="0"/>
    <m/>
    <m/>
    <s v="-"/>
    <x v="573"/>
    <s v="Create Rule; and Description Like '%LIFE TIME CAFE%';Restaurants"/>
    <m/>
  </r>
  <r>
    <x v="8"/>
    <d v="2020-01-29T00:00:00"/>
    <s v="POWERPLUS"/>
    <x v="157"/>
    <n v="0.99"/>
    <x v="8"/>
    <m/>
    <m/>
    <m/>
    <n v="0.99"/>
    <b v="0"/>
    <m/>
    <m/>
    <s v="-"/>
    <x v="156"/>
    <s v="Create Rule; and Description Like '%PayPal%';Shopping"/>
    <m/>
  </r>
  <r>
    <x v="8"/>
    <d v="2020-01-29T00:00:00"/>
    <s v="POWERPLUS CHECKING"/>
    <x v="157"/>
    <n v="0.99"/>
    <x v="8"/>
    <m/>
    <m/>
    <m/>
    <n v="0.99"/>
    <b v="0"/>
    <m/>
    <m/>
    <s v="-"/>
    <x v="156"/>
    <s v="Create Rule; and Description Like '%PayPal%';Shopping"/>
    <m/>
  </r>
  <r>
    <x v="8"/>
    <d v="2020-01-30T00:00:00"/>
    <s v="Discover More Card"/>
    <x v="6"/>
    <n v="10.74"/>
    <x v="5"/>
    <m/>
    <m/>
    <m/>
    <n v="10.74"/>
    <b v="0"/>
    <m/>
    <m/>
    <s v="-"/>
    <x v="6"/>
    <s v="Create Rule; and Description Like '%Cub Foods%';Groceries"/>
    <m/>
  </r>
  <r>
    <x v="8"/>
    <d v="2020-01-30T00:00:00"/>
    <s v="Discover"/>
    <x v="6"/>
    <n v="10.74"/>
    <x v="5"/>
    <m/>
    <m/>
    <m/>
    <n v="10.74"/>
    <b v="0"/>
    <m/>
    <m/>
    <s v="-"/>
    <x v="6"/>
    <s v="Create Rule; and Description Like '%Cub Foods%';Groceries"/>
    <m/>
  </r>
  <r>
    <x v="8"/>
    <d v="2020-01-30T00:00:00"/>
    <s v="POWERPLUS"/>
    <x v="593"/>
    <n v="-1915.09"/>
    <x v="15"/>
    <m/>
    <m/>
    <m/>
    <n v="1915.09"/>
    <b v="0"/>
    <m/>
    <m/>
    <s v="+"/>
    <x v="574"/>
    <s v="Create Rule; and Description Like '%KAUFMAN HALL TYPE DIRECT DEP ID%';Inc - Jeff"/>
    <m/>
  </r>
  <r>
    <x v="8"/>
    <d v="2020-01-30T00:00:00"/>
    <s v="POWERPLUS CHECKING"/>
    <x v="593"/>
    <n v="-1915.09"/>
    <x v="15"/>
    <m/>
    <m/>
    <m/>
    <n v="1915.09"/>
    <b v="0"/>
    <m/>
    <m/>
    <s v="+"/>
    <x v="574"/>
    <s v="Create Rule; and Description Like '%KAUFMAN HALL TYPE DIRECT DEP ID%';Inc - Jeff"/>
    <m/>
  </r>
  <r>
    <x v="8"/>
    <d v="2020-01-30T00:00:00"/>
    <s v="Cash Rewards Visa Signature"/>
    <x v="594"/>
    <n v="23.5"/>
    <x v="10"/>
    <m/>
    <m/>
    <m/>
    <n v="23.5"/>
    <b v="0"/>
    <m/>
    <m/>
    <s v="-"/>
    <x v="575"/>
    <s v="Manual"/>
    <m/>
  </r>
  <r>
    <x v="8"/>
    <d v="2020-01-30T00:00:00"/>
    <s v="POWERPLUS"/>
    <x v="308"/>
    <n v="38"/>
    <x v="8"/>
    <m/>
    <m/>
    <m/>
    <n v="38"/>
    <b v="0"/>
    <m/>
    <m/>
    <s v="-"/>
    <x v="300"/>
    <s v="Create Rule; and Description='Nordstrom';Shopping"/>
    <m/>
  </r>
  <r>
    <x v="8"/>
    <d v="2020-01-30T00:00:00"/>
    <s v="POWERPLUS CHECKING"/>
    <x v="308"/>
    <n v="38"/>
    <x v="8"/>
    <m/>
    <m/>
    <m/>
    <n v="38"/>
    <b v="0"/>
    <m/>
    <m/>
    <s v="-"/>
    <x v="300"/>
    <s v="Create Rule; and Description='Nordstrom';Shopping"/>
    <m/>
  </r>
  <r>
    <x v="8"/>
    <d v="2020-01-30T00:00:00"/>
    <s v="Joint Tenant"/>
    <x v="126"/>
    <n v="-58.36"/>
    <x v="23"/>
    <m/>
    <m/>
    <m/>
    <n v="58.36"/>
    <b v="0"/>
    <m/>
    <m/>
    <s v="+"/>
    <x v="125"/>
    <s v="Create Rule; and Description='RAYTHEON CO';Dividend"/>
    <m/>
  </r>
  <r>
    <x v="8"/>
    <d v="2020-01-30T00:00:00"/>
    <s v="Joint Tenant"/>
    <x v="595"/>
    <n v="-0.53"/>
    <x v="13"/>
    <m/>
    <m/>
    <m/>
    <n v="0.53"/>
    <b v="0"/>
    <m/>
    <m/>
    <s v="+"/>
    <x v="576"/>
    <s v="Create Rule; and Description Like '%SCHWAB1 INT%';Inc - Other"/>
    <m/>
  </r>
  <r>
    <x v="8"/>
    <d v="2020-01-31T00:00:00"/>
    <s v="Joint Tenant"/>
    <x v="232"/>
    <n v="1917.68"/>
    <x v="23"/>
    <m/>
    <m/>
    <m/>
    <n v="1917.68"/>
    <b v="0"/>
    <m/>
    <m/>
    <s v="-"/>
    <x v="230"/>
    <s v="Create Rule; and Description='BOEING CO';Dividend"/>
    <m/>
  </r>
  <r>
    <x v="8"/>
    <d v="2020-01-31T00:00:00"/>
    <s v="Investor Checking"/>
    <x v="118"/>
    <n v="-0.2"/>
    <x v="3"/>
    <m/>
    <m/>
    <m/>
    <n v="0.2"/>
    <b v="0"/>
    <m/>
    <m/>
    <s v="+"/>
    <x v="118"/>
    <s v="Manual"/>
    <m/>
  </r>
  <r>
    <x v="8"/>
    <d v="2020-01-31T00:00:00"/>
    <s v="Joint Tenant"/>
    <x v="167"/>
    <n v="-250"/>
    <x v="21"/>
    <m/>
    <m/>
    <m/>
    <n v="250"/>
    <b v="0"/>
    <m/>
    <m/>
    <s v="+"/>
    <x v="166"/>
    <s v="Create Rule; and Description='KAUFMAN HALL';Savings"/>
    <m/>
  </r>
  <r>
    <x v="8"/>
    <d v="2020-01-31T00:00:00"/>
    <s v="Joint Tenant"/>
    <x v="126"/>
    <n v="58.36"/>
    <x v="23"/>
    <m/>
    <m/>
    <m/>
    <n v="58.36"/>
    <b v="0"/>
    <m/>
    <m/>
    <s v="-"/>
    <x v="125"/>
    <s v="Create Rule; and Description='RAYTHEON CO';Dividend"/>
    <m/>
  </r>
  <r>
    <x v="8"/>
    <d v="2020-01-31T00:00:00"/>
    <s v="Cash Rewards Visa Signature"/>
    <x v="2"/>
    <n v="40.54"/>
    <x v="2"/>
    <m/>
    <m/>
    <m/>
    <n v="40.54"/>
    <b v="0"/>
    <m/>
    <m/>
    <s v="-"/>
    <x v="2"/>
    <s v="Create Rule; and Description='Speedway';Transportation"/>
    <m/>
  </r>
  <r>
    <x v="8"/>
    <d v="2020-01-31T00:00:00"/>
    <s v="RAINY DAY"/>
    <x v="119"/>
    <n v="-17.45"/>
    <x v="13"/>
    <m/>
    <m/>
    <m/>
    <n v="17.45"/>
    <b v="0"/>
    <m/>
    <m/>
    <s v="+"/>
    <x v="119"/>
    <s v="Create Rule; and Description='Split Rate Apy';Inc - Other"/>
    <m/>
  </r>
  <r>
    <x v="8"/>
    <d v="2020-01-31T00:00:00"/>
    <s v="POWERPLUS"/>
    <x v="119"/>
    <n v="-37.96"/>
    <x v="13"/>
    <m/>
    <m/>
    <m/>
    <n v="37.96"/>
    <b v="0"/>
    <m/>
    <m/>
    <s v="+"/>
    <x v="119"/>
    <s v="Create Rule; and Description='Split Rate Apy';Inc - Other"/>
    <m/>
  </r>
  <r>
    <x v="8"/>
    <d v="2020-01-31T00:00:00"/>
    <s v="Coopers Rainy Day"/>
    <x v="119"/>
    <n v="-0.73"/>
    <x v="13"/>
    <m/>
    <m/>
    <m/>
    <n v="0.73"/>
    <b v="0"/>
    <m/>
    <m/>
    <s v="+"/>
    <x v="119"/>
    <s v="Create Rule; and Description='Split Rate Apy';Inc - Other"/>
    <m/>
  </r>
  <r>
    <x v="8"/>
    <d v="2020-01-31T00:00:00"/>
    <s v="RAINY DAY SAVINGS"/>
    <x v="119"/>
    <n v="-17.45"/>
    <x v="13"/>
    <m/>
    <m/>
    <m/>
    <n v="17.45"/>
    <b v="0"/>
    <m/>
    <m/>
    <s v="+"/>
    <x v="119"/>
    <s v="Create Rule; and Description='Split Rate Apy';Inc - Other"/>
    <m/>
  </r>
  <r>
    <x v="8"/>
    <d v="2020-01-31T00:00:00"/>
    <s v="POWERPLUS CHECKING"/>
    <x v="119"/>
    <n v="-37.96"/>
    <x v="13"/>
    <m/>
    <m/>
    <m/>
    <n v="37.96"/>
    <b v="0"/>
    <m/>
    <m/>
    <s v="+"/>
    <x v="119"/>
    <s v="Create Rule; and Description='Split Rate Apy';Inc - Other"/>
    <m/>
  </r>
  <r>
    <x v="8"/>
    <d v="2020-01-31T00:00:00"/>
    <s v="Joint Tenant"/>
    <x v="358"/>
    <n v="-20.03"/>
    <x v="3"/>
    <m/>
    <m/>
    <m/>
    <n v="20.03"/>
    <b v="0"/>
    <m/>
    <m/>
    <s v="+"/>
    <x v="349"/>
    <s v="Delete; and Source='Joint Tenant';0"/>
    <m/>
  </r>
  <r>
    <x v="8"/>
    <d v="2020-01-31T00:00:00"/>
    <s v="Jeff IRA"/>
    <x v="52"/>
    <n v="-250"/>
    <x v="17"/>
    <m/>
    <m/>
    <m/>
    <n v="250"/>
    <b v="0"/>
    <m/>
    <m/>
    <s v="+"/>
    <x v="52"/>
    <s v="Create Rule; and Description='Tfr JPMORGAN CHASE BAN, KAUFMAN HALL';Roth"/>
    <m/>
  </r>
  <r>
    <x v="6"/>
    <d v="2020-02-01T00:00:00"/>
    <s v="HIGHLANDER"/>
    <x v="596"/>
    <n v="-566.82000000000005"/>
    <x v="7"/>
    <m/>
    <m/>
    <m/>
    <n v="566.82000000000005"/>
    <b v="0"/>
    <m/>
    <m/>
    <s v="+"/>
    <x v="577"/>
    <s v="Manual"/>
    <m/>
  </r>
  <r>
    <x v="6"/>
    <d v="2020-02-01T00:00:00"/>
    <s v="POWERPLUS"/>
    <x v="597"/>
    <n v="618.65"/>
    <x v="22"/>
    <m/>
    <m/>
    <m/>
    <n v="618.65"/>
    <b v="0"/>
    <m/>
    <m/>
    <s v="-"/>
    <x v="578"/>
    <s v="Create Rule; and Description Like '%To Loan 02%';Car Loan"/>
    <m/>
  </r>
  <r>
    <x v="6"/>
    <d v="2020-02-02T00:00:00"/>
    <s v="Discover More Card"/>
    <x v="0"/>
    <n v="51.46"/>
    <x v="0"/>
    <m/>
    <m/>
    <m/>
    <n v="51.46"/>
    <b v="0"/>
    <m/>
    <m/>
    <s v="-"/>
    <x v="0"/>
    <s v="Create Rule; and Description='Amazon';Amazon"/>
    <m/>
  </r>
  <r>
    <x v="6"/>
    <d v="2020-02-02T00:00:00"/>
    <s v="Discover"/>
    <x v="0"/>
    <n v="51.46"/>
    <x v="0"/>
    <m/>
    <m/>
    <m/>
    <n v="51.46"/>
    <b v="0"/>
    <m/>
    <m/>
    <s v="-"/>
    <x v="0"/>
    <s v="Create Rule; and Description='Amazon';Amazon"/>
    <m/>
  </r>
  <r>
    <x v="6"/>
    <d v="2020-02-02T00:00:00"/>
    <s v="Cash Rewards Visa Signature"/>
    <x v="598"/>
    <n v="4.28"/>
    <x v="8"/>
    <m/>
    <m/>
    <m/>
    <n v="4.28"/>
    <b v="0"/>
    <m/>
    <m/>
    <s v="-"/>
    <x v="579"/>
    <s v="Manual"/>
    <m/>
  </r>
  <r>
    <x v="6"/>
    <d v="2020-02-02T00:00:00"/>
    <s v="Cash Rewards Visa Signature"/>
    <x v="531"/>
    <n v="18.55"/>
    <x v="1"/>
    <m/>
    <m/>
    <m/>
    <n v="18.55"/>
    <b v="0"/>
    <m/>
    <m/>
    <s v="-"/>
    <x v="512"/>
    <s v="Create Rule; and Description='Coalition';Restaurants"/>
    <m/>
  </r>
  <r>
    <x v="6"/>
    <d v="2020-02-02T00:00:00"/>
    <s v="Cash Rewards Visa Signature"/>
    <x v="255"/>
    <n v="357.69"/>
    <x v="5"/>
    <m/>
    <m/>
    <m/>
    <n v="357.69"/>
    <b v="0"/>
    <m/>
    <m/>
    <s v="-"/>
    <x v="253"/>
    <s v="Create Rule; and Description='Costco';Groceries"/>
    <m/>
  </r>
  <r>
    <x v="6"/>
    <d v="2020-02-02T00:00:00"/>
    <s v="Discover More Card"/>
    <x v="6"/>
    <n v="151.13"/>
    <x v="5"/>
    <m/>
    <m/>
    <m/>
    <n v="151.13"/>
    <b v="0"/>
    <m/>
    <m/>
    <s v="-"/>
    <x v="6"/>
    <s v="Create Rule; and Description Like '%Cub Foods%';Groceries"/>
    <m/>
  </r>
  <r>
    <x v="6"/>
    <d v="2020-02-02T00:00:00"/>
    <s v="Discover"/>
    <x v="6"/>
    <n v="151.13"/>
    <x v="5"/>
    <m/>
    <m/>
    <m/>
    <n v="151.13"/>
    <b v="0"/>
    <m/>
    <m/>
    <s v="-"/>
    <x v="6"/>
    <s v="Create Rule; and Description Like '%Cub Foods%';Groceries"/>
    <m/>
  </r>
  <r>
    <x v="6"/>
    <d v="2020-02-02T00:00:00"/>
    <s v="Cash Rewards Visa Signature"/>
    <x v="61"/>
    <n v="268.79000000000002"/>
    <x v="8"/>
    <m/>
    <m/>
    <m/>
    <n v="268.79000000000002"/>
    <b v="0"/>
    <m/>
    <m/>
    <s v="-"/>
    <x v="61"/>
    <s v="Create Rule; and Description='Home Goods';Shopping"/>
    <m/>
  </r>
  <r>
    <x v="6"/>
    <d v="2020-02-02T00:00:00"/>
    <s v="Cash Rewards Visa Signature"/>
    <x v="599"/>
    <n v="108.26"/>
    <x v="27"/>
    <m/>
    <m/>
    <m/>
    <n v="108.26"/>
    <b v="0"/>
    <m/>
    <m/>
    <s v="-"/>
    <x v="580"/>
    <s v="Create Rule; and Description Like '%LTFLIFE TIME MO DUES%';Gym"/>
    <m/>
  </r>
  <r>
    <x v="6"/>
    <d v="2020-02-02T00:00:00"/>
    <s v="Cash Rewards Visa Signature"/>
    <x v="600"/>
    <n v="111.77"/>
    <x v="1"/>
    <m/>
    <m/>
    <m/>
    <n v="111.77"/>
    <b v="0"/>
    <m/>
    <m/>
    <s v="-"/>
    <x v="581"/>
    <s v="Create Rule; and Description Like '%RED SAUCE REBELLION%';Restaurants"/>
    <m/>
  </r>
  <r>
    <x v="6"/>
    <d v="2020-02-02T00:00:00"/>
    <s v="POWERPLUS"/>
    <x v="26"/>
    <n v="-118"/>
    <x v="3"/>
    <m/>
    <m/>
    <m/>
    <n v="118"/>
    <b v="0"/>
    <m/>
    <m/>
    <s v="+"/>
    <x v="26"/>
    <s v="Delete; and Description='Venmo Type Cashout';0"/>
    <m/>
  </r>
  <r>
    <x v="6"/>
    <d v="2020-02-03T00:00:00"/>
    <s v="Discover More Card"/>
    <x v="93"/>
    <n v="-21.3"/>
    <x v="3"/>
    <m/>
    <m/>
    <m/>
    <n v="21.3"/>
    <b v="0"/>
    <m/>
    <m/>
    <s v="+"/>
    <x v="93"/>
    <s v="Delete; and Description='CASHBACK BONUS REDEMPTION payment/STMT CRDT';0"/>
    <m/>
  </r>
  <r>
    <x v="6"/>
    <d v="2020-02-03T00:00:00"/>
    <s v="Discover"/>
    <x v="93"/>
    <n v="-21.3"/>
    <x v="3"/>
    <m/>
    <m/>
    <m/>
    <n v="21.3"/>
    <b v="0"/>
    <m/>
    <m/>
    <s v="+"/>
    <x v="93"/>
    <s v="Delete; and Description='CASHBACK BONUS REDEMPTION payment/STMT CRDT';0"/>
    <m/>
  </r>
  <r>
    <x v="6"/>
    <d v="2020-02-03T00:00:00"/>
    <s v="Discover More Card"/>
    <x v="56"/>
    <n v="-364.25"/>
    <x v="3"/>
    <m/>
    <m/>
    <m/>
    <n v="364.25"/>
    <b v="0"/>
    <m/>
    <m/>
    <s v="+"/>
    <x v="56"/>
    <s v="Delete; and Description='INTERNET PAYMENT - THANK YOU';0"/>
    <m/>
  </r>
  <r>
    <x v="6"/>
    <d v="2020-02-03T00:00:00"/>
    <s v="Discover"/>
    <x v="56"/>
    <n v="-364.25"/>
    <x v="3"/>
    <m/>
    <m/>
    <m/>
    <n v="364.25"/>
    <b v="0"/>
    <m/>
    <m/>
    <s v="+"/>
    <x v="56"/>
    <s v="Delete; and Description='INTERNET PAYMENT - THANK YOU';0"/>
    <m/>
  </r>
  <r>
    <x v="6"/>
    <d v="2020-02-03T00:00:00"/>
    <s v="Cash Rewards Visa Signature"/>
    <x v="601"/>
    <n v="-953.46"/>
    <x v="3"/>
    <m/>
    <m/>
    <m/>
    <n v="953.46"/>
    <b v="0"/>
    <m/>
    <m/>
    <s v="+"/>
    <x v="582"/>
    <s v="Delete; and Description Like '%PAYMENT THANK YOU%';0"/>
    <m/>
  </r>
  <r>
    <x v="6"/>
    <d v="2020-02-03T00:00:00"/>
    <s v="POWERPLUS"/>
    <x v="602"/>
    <n v="953.46"/>
    <x v="3"/>
    <m/>
    <m/>
    <m/>
    <n v="953.46"/>
    <b v="0"/>
    <m/>
    <m/>
    <s v="-"/>
    <x v="583"/>
    <s v="Delete; and Description Like '%Withdrawal Home payment to card%';0"/>
    <m/>
  </r>
  <r>
    <x v="6"/>
    <d v="2020-02-03T00:00:00"/>
    <s v="Joint Tenant"/>
    <x v="125"/>
    <n v="-122"/>
    <x v="23"/>
    <m/>
    <m/>
    <m/>
    <n v="122"/>
    <b v="0"/>
    <m/>
    <m/>
    <s v="+"/>
    <x v="124"/>
    <s v="Create Rule; and Description='A T &amp; T INC';Dividend"/>
    <m/>
  </r>
  <r>
    <x v="6"/>
    <d v="2020-02-03T00:00:00"/>
    <s v="Brokerage"/>
    <x v="125"/>
    <n v="-122"/>
    <x v="23"/>
    <m/>
    <m/>
    <m/>
    <n v="122"/>
    <b v="0"/>
    <m/>
    <m/>
    <s v="+"/>
    <x v="124"/>
    <s v="Create Rule; and Description='A T &amp; T INC';Dividend"/>
    <m/>
  </r>
  <r>
    <x v="6"/>
    <d v="2020-02-03T00:00:00"/>
    <s v="Discover More Card"/>
    <x v="0"/>
    <n v="127.78"/>
    <x v="0"/>
    <m/>
    <m/>
    <m/>
    <n v="127.78"/>
    <b v="0"/>
    <m/>
    <m/>
    <s v="-"/>
    <x v="0"/>
    <s v="Create Rule; and Description='Amazon';Amazon"/>
    <m/>
  </r>
  <r>
    <x v="6"/>
    <d v="2020-02-03T00:00:00"/>
    <s v="Cash Rewards Visa Signature"/>
    <x v="0"/>
    <n v="2.5499999999999998"/>
    <x v="0"/>
    <m/>
    <m/>
    <m/>
    <n v="2.5499999999999998"/>
    <b v="0"/>
    <m/>
    <m/>
    <s v="-"/>
    <x v="0"/>
    <s v="Create Rule; and Description='Amazon';Amazon"/>
    <m/>
  </r>
  <r>
    <x v="6"/>
    <d v="2020-02-03T00:00:00"/>
    <s v="Discover"/>
    <x v="0"/>
    <n v="127.78"/>
    <x v="0"/>
    <m/>
    <m/>
    <m/>
    <n v="127.78"/>
    <b v="0"/>
    <m/>
    <m/>
    <s v="-"/>
    <x v="0"/>
    <s v="Create Rule; and Description='Amazon';Amazon"/>
    <m/>
  </r>
  <r>
    <x v="6"/>
    <d v="2020-02-03T00:00:00"/>
    <s v="POWERPLUS"/>
    <x v="603"/>
    <n v="200"/>
    <x v="9"/>
    <m/>
    <m/>
    <m/>
    <n v="200"/>
    <b v="0"/>
    <m/>
    <m/>
    <s v="-"/>
    <x v="16"/>
    <s v="Create Rule; and Description Like '%College Savings%';College Savings"/>
    <m/>
  </r>
  <r>
    <x v="6"/>
    <d v="2020-02-03T00:00:00"/>
    <s v="KAUFMAN"/>
    <x v="227"/>
    <n v="-0.68"/>
    <x v="18"/>
    <m/>
    <m/>
    <m/>
    <n v="0.68"/>
    <b v="0"/>
    <m/>
    <m/>
    <s v="+"/>
    <x v="225"/>
    <s v="Create Rule; and Description='FID 500 INDEX';401K"/>
    <m/>
  </r>
  <r>
    <x v="6"/>
    <d v="2020-02-03T00:00:00"/>
    <s v="KAUFMAN"/>
    <x v="227"/>
    <n v="6.91"/>
    <x v="18"/>
    <m/>
    <m/>
    <m/>
    <n v="6.91"/>
    <b v="0"/>
    <m/>
    <m/>
    <s v="-"/>
    <x v="225"/>
    <s v="Create Rule; and Description='FID 500 INDEX';401K"/>
    <m/>
  </r>
  <r>
    <x v="6"/>
    <d v="2020-02-03T00:00:00"/>
    <s v="KAUFMAN"/>
    <x v="228"/>
    <n v="-0.21"/>
    <x v="3"/>
    <m/>
    <m/>
    <m/>
    <n v="0.21"/>
    <b v="0"/>
    <m/>
    <m/>
    <s v="+"/>
    <x v="226"/>
    <s v="Delete; and Description='FID EXTD MKT IDX';0"/>
    <m/>
  </r>
  <r>
    <x v="6"/>
    <d v="2020-02-03T00:00:00"/>
    <s v="KAUFMAN"/>
    <x v="228"/>
    <n v="2.75"/>
    <x v="3"/>
    <m/>
    <m/>
    <m/>
    <n v="2.75"/>
    <b v="0"/>
    <m/>
    <m/>
    <s v="-"/>
    <x v="226"/>
    <s v="Delete; and Description='FID EXTD MKT IDX';0"/>
    <m/>
  </r>
  <r>
    <x v="6"/>
    <d v="2020-02-03T00:00:00"/>
    <s v="POWERPLUS"/>
    <x v="604"/>
    <n v="405"/>
    <x v="4"/>
    <m/>
    <m/>
    <m/>
    <n v="405"/>
    <b v="0"/>
    <m/>
    <m/>
    <s v="-"/>
    <x v="584"/>
    <s v="Manual"/>
    <m/>
  </r>
  <r>
    <x v="6"/>
    <d v="2020-02-03T00:00:00"/>
    <s v="HEALTH SAVINGS ACCOUNT"/>
    <x v="605"/>
    <n v="98.56"/>
    <x v="3"/>
    <m/>
    <m/>
    <m/>
    <n v="98.56"/>
    <b v="0"/>
    <m/>
    <m/>
    <s v="-"/>
    <x v="585"/>
    <s v="Manual"/>
    <m/>
  </r>
  <r>
    <x v="6"/>
    <d v="2020-02-03T00:00:00"/>
    <s v="Cash Rewards Visa Signature"/>
    <x v="606"/>
    <n v="52.66"/>
    <x v="5"/>
    <m/>
    <m/>
    <m/>
    <n v="52.66"/>
    <b v="0"/>
    <m/>
    <m/>
    <s v="-"/>
    <x v="586"/>
    <s v="Manual"/>
    <m/>
  </r>
  <r>
    <x v="6"/>
    <d v="2020-02-03T00:00:00"/>
    <s v="Joint Tenant"/>
    <x v="358"/>
    <n v="20.03"/>
    <x v="3"/>
    <m/>
    <m/>
    <m/>
    <n v="20.03"/>
    <b v="0"/>
    <m/>
    <m/>
    <s v="-"/>
    <x v="349"/>
    <s v="Delete; and Source='Joint Tenant';0"/>
    <m/>
  </r>
  <r>
    <x v="6"/>
    <d v="2020-02-03T00:00:00"/>
    <s v="Brokerage"/>
    <x v="358"/>
    <n v="20.03"/>
    <x v="7"/>
    <m/>
    <m/>
    <m/>
    <n v="20.03"/>
    <b v="0"/>
    <m/>
    <m/>
    <s v="-"/>
    <x v="349"/>
    <s v="Manual"/>
    <m/>
  </r>
  <r>
    <x v="6"/>
    <d v="2020-02-03T00:00:00"/>
    <s v="HEALTH SAVINGS ACCOUNT"/>
    <x v="607"/>
    <n v="-98.56"/>
    <x v="7"/>
    <m/>
    <m/>
    <m/>
    <n v="98.56"/>
    <b v="0"/>
    <m/>
    <m/>
    <s v="+"/>
    <x v="587"/>
    <s v="Manual"/>
    <m/>
  </r>
  <r>
    <x v="6"/>
    <d v="2020-02-03T00:00:00"/>
    <s v="KAUFMAN"/>
    <x v="54"/>
    <n v="-2.12"/>
    <x v="18"/>
    <m/>
    <m/>
    <m/>
    <n v="2.12"/>
    <b v="0"/>
    <m/>
    <m/>
    <s v="+"/>
    <x v="54"/>
    <s v="Create Rule; and Description='VANG TARGET RET 2050';401K"/>
    <m/>
  </r>
  <r>
    <x v="6"/>
    <d v="2020-02-03T00:00:00"/>
    <s v="KAUFMAN"/>
    <x v="54"/>
    <n v="20.09"/>
    <x v="18"/>
    <m/>
    <m/>
    <m/>
    <n v="20.09"/>
    <b v="0"/>
    <m/>
    <m/>
    <s v="-"/>
    <x v="54"/>
    <s v="Create Rule; and Description='VANG TARGET RET 2050';401K"/>
    <m/>
  </r>
  <r>
    <x v="6"/>
    <d v="2020-02-03T00:00:00"/>
    <s v="POWERPLUS"/>
    <x v="29"/>
    <n v="10"/>
    <x v="7"/>
    <m/>
    <m/>
    <m/>
    <n v="10"/>
    <b v="0"/>
    <m/>
    <m/>
    <s v="-"/>
    <x v="29"/>
    <s v="Manual"/>
    <m/>
  </r>
  <r>
    <x v="6"/>
    <d v="2020-02-04T00:00:00"/>
    <s v="POWERPLUS"/>
    <x v="608"/>
    <n v="364.25"/>
    <x v="3"/>
    <m/>
    <m/>
    <m/>
    <n v="364.25"/>
    <b v="0"/>
    <m/>
    <m/>
    <s v="-"/>
    <x v="588"/>
    <s v="Delete; and Description Like '%DISCOVER TYPE EPAYMENT%';0"/>
    <m/>
  </r>
  <r>
    <x v="6"/>
    <d v="2020-02-04T00:00:00"/>
    <s v="30 YR FIXED"/>
    <x v="609"/>
    <n v="-546.63"/>
    <x v="7"/>
    <m/>
    <m/>
    <m/>
    <n v="546.63"/>
    <b v="0"/>
    <m/>
    <m/>
    <s v="+"/>
    <x v="589"/>
    <s v="Manual"/>
    <m/>
  </r>
  <r>
    <x v="11"/>
    <d v="2019-11-04T00:00:00"/>
    <s v="POWERPLUS"/>
    <x v="610"/>
    <n v="2914.59"/>
    <x v="6"/>
    <m/>
    <m/>
    <m/>
    <n v="2914.59"/>
    <b v="0"/>
    <m/>
    <m/>
    <s v="-"/>
    <x v="265"/>
    <s v="Create Rule; and Description Like '%BCU MORTGAGE TYPE LOAN PAYMT ID 9DRAFTING CO BCU MORTGAGE%';Rent"/>
    <m/>
  </r>
  <r>
    <x v="6"/>
    <d v="2020-02-04T00:00:00"/>
    <s v="Joint Tenant"/>
    <x v="125"/>
    <n v="122"/>
    <x v="23"/>
    <m/>
    <m/>
    <m/>
    <n v="122"/>
    <b v="0"/>
    <m/>
    <m/>
    <s v="-"/>
    <x v="124"/>
    <s v="Create Rule; and Description='A T &amp; T INC';Dividend"/>
    <m/>
  </r>
  <r>
    <x v="6"/>
    <d v="2020-02-04T00:00:00"/>
    <s v="Brokerage"/>
    <x v="125"/>
    <n v="122"/>
    <x v="23"/>
    <m/>
    <m/>
    <m/>
    <n v="122"/>
    <b v="0"/>
    <m/>
    <m/>
    <s v="-"/>
    <x v="124"/>
    <s v="Create Rule; and Description='A T &amp; T INC';Dividend"/>
    <m/>
  </r>
  <r>
    <x v="6"/>
    <d v="2020-02-04T00:00:00"/>
    <s v="Cash Rewards Visa Signature"/>
    <x v="0"/>
    <n v="71.180000000000007"/>
    <x v="0"/>
    <m/>
    <m/>
    <m/>
    <n v="71.180000000000007"/>
    <b v="0"/>
    <m/>
    <m/>
    <s v="-"/>
    <x v="0"/>
    <s v="Create Rule; and Description='Amazon';Amazon"/>
    <m/>
  </r>
  <r>
    <x v="6"/>
    <d v="2020-02-04T00:00:00"/>
    <s v="Cash Rewards Visa Signature"/>
    <x v="59"/>
    <n v="9.02"/>
    <x v="1"/>
    <m/>
    <m/>
    <m/>
    <n v="9.02"/>
    <b v="0"/>
    <m/>
    <m/>
    <s v="-"/>
    <x v="59"/>
    <s v="Create Rule; and Description Like '%Caribou Coffee%';Restaurants"/>
    <m/>
  </r>
  <r>
    <x v="6"/>
    <d v="2020-02-04T00:00:00"/>
    <s v="Joint Tenant"/>
    <x v="611"/>
    <n v="521"/>
    <x v="3"/>
    <m/>
    <m/>
    <m/>
    <n v="521"/>
    <b v="0"/>
    <m/>
    <m/>
    <s v="-"/>
    <x v="590"/>
    <s v="Delete; and Source='Joint Tenant';0"/>
    <m/>
  </r>
  <r>
    <x v="6"/>
    <d v="2020-02-04T00:00:00"/>
    <s v="Brokerage"/>
    <x v="611"/>
    <n v="521"/>
    <x v="7"/>
    <m/>
    <m/>
    <m/>
    <n v="521"/>
    <b v="0"/>
    <m/>
    <m/>
    <s v="-"/>
    <x v="590"/>
    <s v="Manual"/>
    <m/>
  </r>
  <r>
    <x v="6"/>
    <d v="2020-02-04T00:00:00"/>
    <s v="POWERPLUS"/>
    <x v="29"/>
    <n v="37.5"/>
    <x v="8"/>
    <m/>
    <m/>
    <m/>
    <n v="37.5"/>
    <b v="0"/>
    <m/>
    <m/>
    <s v="-"/>
    <x v="29"/>
    <s v="Manual"/>
    <m/>
  </r>
  <r>
    <x v="6"/>
    <d v="2020-02-05T00:00:00"/>
    <s v="Cash Rewards Visa Signature"/>
    <x v="612"/>
    <n v="480.7"/>
    <x v="19"/>
    <m/>
    <m/>
    <m/>
    <n v="480.7"/>
    <b v="0"/>
    <m/>
    <m/>
    <s v="-"/>
    <x v="591"/>
    <s v="Manual"/>
    <m/>
  </r>
  <r>
    <x v="6"/>
    <d v="2020-02-05T00:00:00"/>
    <s v="POWERPLUS"/>
    <x v="613"/>
    <n v="-1758.68"/>
    <x v="14"/>
    <m/>
    <m/>
    <m/>
    <n v="1758.68"/>
    <b v="0"/>
    <m/>
    <m/>
    <s v="+"/>
    <x v="592"/>
    <s v="Create Rule; and Description Like '%CARGILL COCOA TYPE DIR DEP ID%';Inc - Britney"/>
    <m/>
  </r>
  <r>
    <x v="6"/>
    <d v="2020-02-05T00:00:00"/>
    <s v="POWERPLUS"/>
    <x v="614"/>
    <n v="111.34"/>
    <x v="11"/>
    <m/>
    <m/>
    <m/>
    <n v="111.34"/>
    <b v="0"/>
    <m/>
    <m/>
    <s v="-"/>
    <x v="146"/>
    <s v="Create Rule; and Description Like '%CPENERGY MNGCO%';Utilities"/>
    <m/>
  </r>
  <r>
    <x v="6"/>
    <d v="2020-02-05T00:00:00"/>
    <s v="Joint Tenant"/>
    <x v="148"/>
    <n v="-13.4"/>
    <x v="19"/>
    <m/>
    <m/>
    <m/>
    <n v="13.4"/>
    <b v="0"/>
    <m/>
    <m/>
    <s v="+"/>
    <x v="147"/>
    <s v="Create Rule; and Description='LOWES COMPANIES INC';House Maintenance"/>
    <m/>
  </r>
  <r>
    <x v="6"/>
    <d v="2020-02-05T00:00:00"/>
    <s v="Brokerage"/>
    <x v="148"/>
    <n v="-13.4"/>
    <x v="19"/>
    <m/>
    <m/>
    <m/>
    <n v="13.4"/>
    <b v="0"/>
    <m/>
    <m/>
    <s v="+"/>
    <x v="147"/>
    <s v="Create Rule; and Description='LOWES COMPANIES INC';House Maintenance"/>
    <m/>
  </r>
  <r>
    <x v="6"/>
    <d v="2020-02-06T00:00:00"/>
    <s v="Joint Tenant"/>
    <x v="148"/>
    <n v="13.4"/>
    <x v="19"/>
    <m/>
    <m/>
    <m/>
    <n v="13.4"/>
    <b v="0"/>
    <m/>
    <m/>
    <s v="-"/>
    <x v="147"/>
    <s v="Create Rule; and Description='LOWES COMPANIES INC';House Maintenance"/>
    <m/>
  </r>
  <r>
    <x v="6"/>
    <d v="2020-02-06T00:00:00"/>
    <s v="Brokerage"/>
    <x v="148"/>
    <n v="13.4"/>
    <x v="19"/>
    <m/>
    <m/>
    <m/>
    <n v="13.4"/>
    <b v="0"/>
    <m/>
    <m/>
    <s v="-"/>
    <x v="147"/>
    <s v="Create Rule; and Description='LOWES COMPANIES INC';House Maintenance"/>
    <m/>
  </r>
  <r>
    <x v="6"/>
    <d v="2020-02-06T00:00:00"/>
    <s v="Cash Rewards Visa Signature"/>
    <x v="2"/>
    <n v="22.09"/>
    <x v="2"/>
    <m/>
    <m/>
    <m/>
    <n v="22.09"/>
    <b v="0"/>
    <m/>
    <m/>
    <s v="-"/>
    <x v="2"/>
    <s v="Create Rule; and Description='Speedway';Transportation"/>
    <m/>
  </r>
  <r>
    <x v="6"/>
    <d v="2020-02-06T00:00:00"/>
    <s v="Joint Tenant"/>
    <x v="494"/>
    <n v="-4.1399999999999997"/>
    <x v="3"/>
    <m/>
    <m/>
    <m/>
    <n v="4.1399999999999997"/>
    <b v="0"/>
    <m/>
    <m/>
    <s v="+"/>
    <x v="477"/>
    <s v="Delete; and Source='Joint Tenant';0"/>
    <m/>
  </r>
  <r>
    <x v="6"/>
    <d v="2020-02-06T00:00:00"/>
    <s v="Brokerage"/>
    <x v="494"/>
    <n v="-4.1399999999999997"/>
    <x v="3"/>
    <m/>
    <m/>
    <m/>
    <n v="4.1399999999999997"/>
    <b v="0"/>
    <m/>
    <m/>
    <s v="+"/>
    <x v="477"/>
    <s v="Manual"/>
    <m/>
  </r>
  <r>
    <x v="6"/>
    <d v="2020-02-07T00:00:00"/>
    <s v="Joint Tenant"/>
    <x v="185"/>
    <n v="-200"/>
    <x v="17"/>
    <m/>
    <m/>
    <m/>
    <n v="200"/>
    <b v="0"/>
    <m/>
    <m/>
    <s v="+"/>
    <x v="184"/>
    <s v="Create Rule; and Description='CARGILL COCOA &amp;';Roth"/>
    <m/>
  </r>
  <r>
    <x v="6"/>
    <d v="2020-02-07T00:00:00"/>
    <s v="Brokerage"/>
    <x v="185"/>
    <n v="-200"/>
    <x v="17"/>
    <m/>
    <m/>
    <m/>
    <n v="200"/>
    <b v="0"/>
    <m/>
    <m/>
    <s v="+"/>
    <x v="184"/>
    <s v="Create Rule; and Description='CARGILL COCOA &amp;';Roth"/>
    <m/>
  </r>
  <r>
    <x v="6"/>
    <d v="2020-02-07T00:00:00"/>
    <s v="Cash Rewards Visa Signature"/>
    <x v="188"/>
    <n v="19.329999999999998"/>
    <x v="1"/>
    <m/>
    <m/>
    <m/>
    <n v="19.329999999999998"/>
    <b v="0"/>
    <m/>
    <m/>
    <s v="-"/>
    <x v="187"/>
    <s v="Create Rule; and Description='Noodles &amp; Company';Restaurants"/>
    <m/>
  </r>
  <r>
    <x v="6"/>
    <d v="2020-02-07T00:00:00"/>
    <s v="Joint Tenant"/>
    <x v="516"/>
    <n v="573.46"/>
    <x v="3"/>
    <m/>
    <m/>
    <m/>
    <n v="573.46"/>
    <b v="0"/>
    <m/>
    <m/>
    <s v="-"/>
    <x v="497"/>
    <s v="Delete; and Source='Joint Tenant';0"/>
    <m/>
  </r>
  <r>
    <x v="6"/>
    <d v="2020-02-07T00:00:00"/>
    <s v="Brokerage"/>
    <x v="516"/>
    <n v="573.46"/>
    <x v="3"/>
    <m/>
    <m/>
    <m/>
    <n v="573.46"/>
    <b v="0"/>
    <m/>
    <m/>
    <s v="-"/>
    <x v="497"/>
    <s v="Manual"/>
    <m/>
  </r>
  <r>
    <x v="6"/>
    <d v="2020-02-07T00:00:00"/>
    <s v="CARGILL PARTNERSHIP PLAN"/>
    <x v="235"/>
    <n v="-732.69"/>
    <x v="18"/>
    <m/>
    <m/>
    <m/>
    <n v="732.69"/>
    <b v="0"/>
    <m/>
    <m/>
    <s v="+"/>
    <x v="233"/>
    <s v="Create Rule; and Description='Target Retire 2055 Tr P - Plan Contribution';401K"/>
    <m/>
  </r>
  <r>
    <x v="6"/>
    <d v="2020-02-07T00:00:00"/>
    <s v="CARGILL EMPLOYEE RETIREMENT ACCOUNT"/>
    <x v="235"/>
    <n v="-2859.91"/>
    <x v="18"/>
    <m/>
    <m/>
    <m/>
    <n v="2859.91"/>
    <b v="0"/>
    <m/>
    <m/>
    <s v="+"/>
    <x v="233"/>
    <s v="Create Rule; and Description='Target Retire 2055 Tr P - Plan Contribution';401K"/>
    <m/>
  </r>
  <r>
    <x v="6"/>
    <d v="2020-02-07T00:00:00"/>
    <s v="Contributory"/>
    <x v="51"/>
    <n v="-231"/>
    <x v="17"/>
    <m/>
    <m/>
    <m/>
    <n v="231"/>
    <b v="0"/>
    <m/>
    <m/>
    <s v="+"/>
    <x v="51"/>
    <s v="Create Rule; and Description='Tfr JPMORGAN CHASE BAN, CARGILL COCOA &amp;';Roth"/>
    <m/>
  </r>
  <r>
    <x v="6"/>
    <d v="2020-02-07T00:00:00"/>
    <s v="Joint Tenant"/>
    <x v="494"/>
    <n v="4.1399999999999997"/>
    <x v="3"/>
    <m/>
    <m/>
    <m/>
    <n v="4.1399999999999997"/>
    <b v="0"/>
    <m/>
    <m/>
    <s v="-"/>
    <x v="477"/>
    <s v="Delete; and Source='Joint Tenant';0"/>
    <m/>
  </r>
  <r>
    <x v="6"/>
    <d v="2020-02-07T00:00:00"/>
    <s v="Brokerage"/>
    <x v="494"/>
    <n v="4.1399999999999997"/>
    <x v="3"/>
    <m/>
    <m/>
    <m/>
    <n v="4.1399999999999997"/>
    <b v="0"/>
    <m/>
    <m/>
    <s v="-"/>
    <x v="477"/>
    <s v="Manual"/>
    <m/>
  </r>
  <r>
    <x v="6"/>
    <d v="2020-02-07T00:00:00"/>
    <s v="POWERPLUS"/>
    <x v="142"/>
    <n v="115.76"/>
    <x v="11"/>
    <m/>
    <m/>
    <m/>
    <n v="115.76"/>
    <b v="0"/>
    <m/>
    <m/>
    <s v="-"/>
    <x v="141"/>
    <s v="Create Rule; and Description='Waste Management';Utilities"/>
    <m/>
  </r>
  <r>
    <x v="6"/>
    <d v="2020-02-09T00:00:00"/>
    <s v="Cash Rewards Visa Signature"/>
    <x v="615"/>
    <n v="4.67"/>
    <x v="10"/>
    <m/>
    <m/>
    <m/>
    <n v="4.67"/>
    <b v="0"/>
    <m/>
    <m/>
    <s v="-"/>
    <x v="593"/>
    <s v="Manual"/>
    <m/>
  </r>
  <r>
    <x v="6"/>
    <d v="2020-02-09T00:00:00"/>
    <s v="Cash Rewards Visa Signature"/>
    <x v="616"/>
    <n v="182.54"/>
    <x v="19"/>
    <m/>
    <m/>
    <m/>
    <n v="182.54"/>
    <b v="0"/>
    <m/>
    <m/>
    <s v="-"/>
    <x v="594"/>
    <s v="Create Rule; and Description Like '%DETAILS RESIDENTIAL SRVC 6122161751 MN%';House Maintenance"/>
    <m/>
  </r>
  <r>
    <x v="6"/>
    <d v="2020-02-09T00:00:00"/>
    <s v="Cash Rewards Visa Signature"/>
    <x v="81"/>
    <n v="33.409999999999997"/>
    <x v="2"/>
    <m/>
    <m/>
    <m/>
    <n v="33.409999999999997"/>
    <b v="0"/>
    <m/>
    <m/>
    <s v="-"/>
    <x v="81"/>
    <s v="Create Rule; and Description='Holiday Stationstore';Transportation"/>
    <m/>
  </r>
  <r>
    <x v="6"/>
    <d v="2020-02-09T00:00:00"/>
    <s v="Cash Rewards Visa Signature"/>
    <x v="617"/>
    <n v="23"/>
    <x v="10"/>
    <m/>
    <m/>
    <m/>
    <n v="23"/>
    <b v="0"/>
    <m/>
    <m/>
    <s v="-"/>
    <x v="595"/>
    <s v="Manual"/>
    <m/>
  </r>
  <r>
    <x v="6"/>
    <d v="2020-02-09T00:00:00"/>
    <s v="Cash Rewards Visa Signature"/>
    <x v="617"/>
    <n v="26.45"/>
    <x v="10"/>
    <m/>
    <m/>
    <m/>
    <n v="26.45"/>
    <b v="0"/>
    <m/>
    <m/>
    <s v="-"/>
    <x v="595"/>
    <s v="Manual"/>
    <m/>
  </r>
  <r>
    <x v="6"/>
    <d v="2020-02-09T00:00:00"/>
    <s v="Cash Rewards Visa Signature"/>
    <x v="618"/>
    <n v="50"/>
    <x v="1"/>
    <m/>
    <m/>
    <m/>
    <n v="50"/>
    <b v="0"/>
    <m/>
    <m/>
    <s v="-"/>
    <x v="596"/>
    <s v="Manual"/>
    <m/>
  </r>
  <r>
    <x v="6"/>
    <d v="2020-02-09T00:00:00"/>
    <s v="Cash Rewards Visa Signature"/>
    <x v="619"/>
    <n v="18.7"/>
    <x v="1"/>
    <m/>
    <m/>
    <m/>
    <n v="18.7"/>
    <b v="0"/>
    <m/>
    <m/>
    <s v="-"/>
    <x v="597"/>
    <s v="Manual"/>
    <m/>
  </r>
  <r>
    <x v="6"/>
    <d v="2020-02-09T00:00:00"/>
    <s v="Cash Rewards Visa Signature"/>
    <x v="620"/>
    <n v="11.25"/>
    <x v="1"/>
    <m/>
    <m/>
    <m/>
    <n v="11.25"/>
    <b v="0"/>
    <m/>
    <m/>
    <s v="-"/>
    <x v="598"/>
    <s v="Manual"/>
    <m/>
  </r>
  <r>
    <x v="6"/>
    <d v="2020-02-10T00:00:00"/>
    <s v="Cash Rewards Visa Signature"/>
    <x v="621"/>
    <n v="-1007.55"/>
    <x v="3"/>
    <m/>
    <m/>
    <m/>
    <n v="1007.55"/>
    <b v="0"/>
    <m/>
    <m/>
    <s v="+"/>
    <x v="599"/>
    <s v="Delete; and Description Like '%PAYMENT THANK YOU%';0"/>
    <m/>
  </r>
  <r>
    <x v="6"/>
    <d v="2020-02-10T00:00:00"/>
    <s v="POWERPLUS"/>
    <x v="622"/>
    <n v="1007.55"/>
    <x v="3"/>
    <m/>
    <m/>
    <m/>
    <n v="1007.55"/>
    <b v="0"/>
    <m/>
    <m/>
    <s v="-"/>
    <x v="600"/>
    <s v="Delete; and Description Like '%Withdrawal Home payment to card%';0"/>
    <m/>
  </r>
  <r>
    <x v="6"/>
    <d v="2020-02-10T00:00:00"/>
    <s v="Cash Rewards Visa Signature"/>
    <x v="623"/>
    <n v="8.8000000000000007"/>
    <x v="1"/>
    <m/>
    <m/>
    <m/>
    <n v="8.8000000000000007"/>
    <b v="0"/>
    <m/>
    <m/>
    <s v="-"/>
    <x v="601"/>
    <s v="Create Rule; and Description Like '%LIFE TIME CAFE%';Restaurants"/>
    <m/>
  </r>
  <r>
    <x v="6"/>
    <d v="2020-02-10T00:00:00"/>
    <s v="POWERPLUS"/>
    <x v="624"/>
    <n v="255"/>
    <x v="4"/>
    <m/>
    <m/>
    <m/>
    <n v="255"/>
    <b v="0"/>
    <m/>
    <m/>
    <s v="-"/>
    <x v="602"/>
    <s v="Manual"/>
    <m/>
  </r>
  <r>
    <x v="6"/>
    <d v="2020-02-10T00:00:00"/>
    <s v="POWERPLUS"/>
    <x v="157"/>
    <n v="7.43"/>
    <x v="8"/>
    <m/>
    <m/>
    <m/>
    <n v="7.43"/>
    <b v="0"/>
    <m/>
    <m/>
    <s v="-"/>
    <x v="156"/>
    <s v="Create Rule; and Description Like '%PayPal%';Shopping"/>
    <m/>
  </r>
  <r>
    <x v="6"/>
    <d v="2020-02-10T00:00:00"/>
    <s v="Cash Rewards Visa Signature"/>
    <x v="625"/>
    <n v="6.9"/>
    <x v="1"/>
    <m/>
    <m/>
    <m/>
    <n v="6.9"/>
    <b v="0"/>
    <m/>
    <m/>
    <s v="-"/>
    <x v="603"/>
    <s v="Manual"/>
    <m/>
  </r>
  <r>
    <x v="6"/>
    <d v="2020-02-10T00:00:00"/>
    <s v="Cash Rewards Visa Signature"/>
    <x v="626"/>
    <n v="66.180000000000007"/>
    <x v="1"/>
    <m/>
    <m/>
    <m/>
    <n v="66.180000000000007"/>
    <b v="0"/>
    <m/>
    <m/>
    <s v="-"/>
    <x v="604"/>
    <s v="Manual"/>
    <m/>
  </r>
  <r>
    <x v="6"/>
    <d v="2020-02-11T00:00:00"/>
    <s v="Cash Rewards Visa Signature"/>
    <x v="0"/>
    <n v="31.6"/>
    <x v="0"/>
    <m/>
    <m/>
    <m/>
    <n v="31.6"/>
    <b v="0"/>
    <m/>
    <m/>
    <s v="-"/>
    <x v="0"/>
    <s v="Create Rule; and Description='Amazon';Amazon"/>
    <m/>
  </r>
  <r>
    <x v="6"/>
    <d v="2020-02-11T00:00:00"/>
    <s v="Cash Rewards Visa Signature"/>
    <x v="70"/>
    <n v="32.200000000000003"/>
    <x v="5"/>
    <m/>
    <m/>
    <m/>
    <n v="32.200000000000003"/>
    <b v="0"/>
    <m/>
    <m/>
    <s v="-"/>
    <x v="70"/>
    <s v="Create Rule; and Description like '%Byerly%';Groceries"/>
    <m/>
  </r>
  <r>
    <x v="6"/>
    <d v="2020-02-11T00:00:00"/>
    <s v="Discover More Card"/>
    <x v="67"/>
    <n v="45"/>
    <x v="11"/>
    <m/>
    <m/>
    <m/>
    <n v="45"/>
    <b v="0"/>
    <m/>
    <m/>
    <s v="-"/>
    <x v="67"/>
    <s v="Create Rule; and Description='CenturyLink';Utilities"/>
    <m/>
  </r>
  <r>
    <x v="6"/>
    <d v="2020-02-11T00:00:00"/>
    <s v="Discover"/>
    <x v="67"/>
    <n v="45"/>
    <x v="11"/>
    <m/>
    <m/>
    <m/>
    <n v="45"/>
    <b v="0"/>
    <m/>
    <m/>
    <s v="-"/>
    <x v="67"/>
    <s v="Create Rule; and Description='CenturyLink';Utilities"/>
    <m/>
  </r>
  <r>
    <x v="6"/>
    <d v="2020-02-11T00:00:00"/>
    <s v="Cash Rewards Visa Signature"/>
    <x v="627"/>
    <n v="75.56"/>
    <x v="2"/>
    <m/>
    <m/>
    <m/>
    <n v="75.56"/>
    <b v="0"/>
    <m/>
    <m/>
    <s v="-"/>
    <x v="605"/>
    <s v="Manual"/>
    <m/>
  </r>
  <r>
    <x v="6"/>
    <d v="2020-02-11T00:00:00"/>
    <s v="POWERPLUS"/>
    <x v="30"/>
    <n v="128.13"/>
    <x v="11"/>
    <m/>
    <m/>
    <m/>
    <n v="128.13"/>
    <b v="0"/>
    <m/>
    <m/>
    <s v="-"/>
    <x v="30"/>
    <s v="Create Rule; and Description='Xcel Energy';Utilities"/>
    <m/>
  </r>
  <r>
    <x v="6"/>
    <d v="2020-02-12T00:00:00"/>
    <s v="POWERPLUS"/>
    <x v="446"/>
    <n v="-434.12"/>
    <x v="7"/>
    <m/>
    <m/>
    <m/>
    <n v="434.12"/>
    <b v="0"/>
    <m/>
    <m/>
    <s v="+"/>
    <x v="430"/>
    <s v="Manual"/>
    <m/>
  </r>
  <r>
    <x v="6"/>
    <d v="2020-02-12T00:00:00"/>
    <s v="Cash Rewards Visa Signature"/>
    <x v="628"/>
    <n v="60.97"/>
    <x v="8"/>
    <m/>
    <m/>
    <m/>
    <n v="60.97"/>
    <b v="0"/>
    <m/>
    <m/>
    <s v="-"/>
    <x v="606"/>
    <s v="Manual"/>
    <m/>
  </r>
  <r>
    <x v="6"/>
    <d v="2020-02-12T00:00:00"/>
    <s v="Cash Rewards Visa Signature"/>
    <x v="629"/>
    <n v="27"/>
    <x v="25"/>
    <m/>
    <m/>
    <m/>
    <n v="27"/>
    <b v="0"/>
    <m/>
    <m/>
    <s v="-"/>
    <x v="607"/>
    <s v="Manual"/>
    <m/>
  </r>
  <r>
    <x v="6"/>
    <d v="2020-02-13T00:00:00"/>
    <s v="Cash Rewards Visa Signature"/>
    <x v="0"/>
    <n v="13.74"/>
    <x v="0"/>
    <m/>
    <m/>
    <m/>
    <n v="13.74"/>
    <b v="0"/>
    <m/>
    <m/>
    <s v="-"/>
    <x v="0"/>
    <s v="Create Rule; and Description='Amazon';Amazon"/>
    <m/>
  </r>
  <r>
    <x v="6"/>
    <d v="2020-02-13T00:00:00"/>
    <s v="Joint Tenant"/>
    <x v="165"/>
    <n v="-42.81"/>
    <x v="23"/>
    <m/>
    <m/>
    <m/>
    <n v="42.81"/>
    <b v="0"/>
    <m/>
    <m/>
    <s v="+"/>
    <x v="164"/>
    <s v="Create Rule; and Description='APPLE INC';Dividend"/>
    <m/>
  </r>
  <r>
    <x v="6"/>
    <d v="2020-02-13T00:00:00"/>
    <s v="Jeff IRA"/>
    <x v="165"/>
    <n v="-3.85"/>
    <x v="23"/>
    <m/>
    <m/>
    <m/>
    <n v="3.85"/>
    <b v="0"/>
    <m/>
    <m/>
    <s v="+"/>
    <x v="164"/>
    <s v="Create Rule; and Description='APPLE INC';Dividend"/>
    <m/>
  </r>
  <r>
    <x v="6"/>
    <d v="2020-02-13T00:00:00"/>
    <s v="Brokerage"/>
    <x v="165"/>
    <n v="-42.81"/>
    <x v="23"/>
    <m/>
    <m/>
    <m/>
    <n v="42.81"/>
    <b v="0"/>
    <m/>
    <m/>
    <s v="+"/>
    <x v="164"/>
    <s v="Create Rule; and Description='APPLE INC';Dividend"/>
    <m/>
  </r>
  <r>
    <x v="6"/>
    <d v="2020-02-13T00:00:00"/>
    <s v="POWERPLUS"/>
    <x v="35"/>
    <n v="-261.8"/>
    <x v="13"/>
    <m/>
    <m/>
    <m/>
    <n v="261.8"/>
    <b v="0"/>
    <m/>
    <m/>
    <s v="+"/>
    <x v="35"/>
    <s v="Create Rule; and Description='Cargill Incorpor Type';Inc - Other"/>
    <m/>
  </r>
  <r>
    <x v="6"/>
    <d v="2020-02-13T00:00:00"/>
    <s v="Cash Rewards Visa Signature"/>
    <x v="577"/>
    <n v="18.21"/>
    <x v="1"/>
    <m/>
    <m/>
    <m/>
    <n v="18.21"/>
    <b v="0"/>
    <m/>
    <m/>
    <s v="-"/>
    <x v="558"/>
    <s v="Create Rule; and Description Like '%Jimmy John%';Restaurants"/>
    <m/>
  </r>
  <r>
    <x v="6"/>
    <d v="2020-02-13T00:00:00"/>
    <s v="POWERPLUS"/>
    <x v="630"/>
    <n v="-2597.14"/>
    <x v="15"/>
    <m/>
    <m/>
    <m/>
    <n v="2597.14"/>
    <b v="0"/>
    <m/>
    <m/>
    <s v="+"/>
    <x v="608"/>
    <s v="Create Rule; and Description Like '%KAUFMAN HALL TYPE DIRECT DEP ID%';Inc - Jeff"/>
    <m/>
  </r>
  <r>
    <x v="6"/>
    <d v="2020-02-13T00:00:00"/>
    <s v="Cash Rewards Visa Signature"/>
    <x v="631"/>
    <n v="10.83"/>
    <x v="1"/>
    <m/>
    <m/>
    <m/>
    <n v="10.83"/>
    <b v="0"/>
    <m/>
    <m/>
    <s v="-"/>
    <x v="609"/>
    <s v="Manual"/>
    <m/>
  </r>
  <r>
    <x v="6"/>
    <d v="2020-02-13T00:00:00"/>
    <s v="Cash Rewards Visa Signature"/>
    <x v="231"/>
    <n v="12.03"/>
    <x v="25"/>
    <m/>
    <m/>
    <m/>
    <n v="12.03"/>
    <b v="0"/>
    <m/>
    <m/>
    <s v="-"/>
    <x v="229"/>
    <s v="Create Rule; and Description='Western Ob Gyne Ltd';Healthcare"/>
    <m/>
  </r>
  <r>
    <x v="6"/>
    <d v="2020-02-14T00:00:00"/>
    <s v="Discover More Card"/>
    <x v="56"/>
    <n v="-375.37"/>
    <x v="3"/>
    <m/>
    <m/>
    <m/>
    <n v="375.37"/>
    <b v="0"/>
    <m/>
    <m/>
    <s v="+"/>
    <x v="56"/>
    <s v="Delete; and Description='INTERNET PAYMENT - THANK YOU';0"/>
    <m/>
  </r>
  <r>
    <x v="6"/>
    <d v="2020-02-14T00:00:00"/>
    <s v="Discover"/>
    <x v="56"/>
    <n v="-375.37"/>
    <x v="3"/>
    <m/>
    <m/>
    <m/>
    <n v="375.37"/>
    <b v="0"/>
    <m/>
    <m/>
    <s v="+"/>
    <x v="56"/>
    <s v="Delete; and Description='INTERNET PAYMENT - THANK YOU';0"/>
    <m/>
  </r>
  <r>
    <x v="6"/>
    <d v="2020-02-14T00:00:00"/>
    <s v="POWERPLUS"/>
    <x v="48"/>
    <n v="114.39"/>
    <x v="16"/>
    <m/>
    <m/>
    <m/>
    <n v="114.39"/>
    <b v="0"/>
    <m/>
    <m/>
    <s v="-"/>
    <x v="48"/>
    <s v="Create Rule; and Description='American Family Insurance';Insurance"/>
    <m/>
  </r>
  <r>
    <x v="6"/>
    <d v="2020-02-14T00:00:00"/>
    <s v="Joint Tenant"/>
    <x v="165"/>
    <n v="42.81"/>
    <x v="23"/>
    <m/>
    <m/>
    <m/>
    <n v="42.81"/>
    <b v="0"/>
    <m/>
    <m/>
    <s v="-"/>
    <x v="164"/>
    <s v="Create Rule; and Description='APPLE INC';Dividend"/>
    <m/>
  </r>
  <r>
    <x v="6"/>
    <d v="2020-02-14T00:00:00"/>
    <s v="Jeff IRA"/>
    <x v="165"/>
    <n v="3.85"/>
    <x v="23"/>
    <m/>
    <m/>
    <m/>
    <n v="3.85"/>
    <b v="0"/>
    <m/>
    <m/>
    <s v="-"/>
    <x v="164"/>
    <s v="Create Rule; and Description='APPLE INC';Dividend"/>
    <m/>
  </r>
  <r>
    <x v="6"/>
    <d v="2020-02-14T00:00:00"/>
    <s v="Brokerage"/>
    <x v="165"/>
    <n v="42.81"/>
    <x v="23"/>
    <m/>
    <m/>
    <m/>
    <n v="42.81"/>
    <b v="0"/>
    <m/>
    <m/>
    <s v="-"/>
    <x v="164"/>
    <s v="Create Rule; and Description='APPLE INC';Dividend"/>
    <m/>
  </r>
  <r>
    <x v="6"/>
    <d v="2020-02-14T00:00:00"/>
    <s v="Joint Tenant"/>
    <x v="167"/>
    <n v="-250"/>
    <x v="21"/>
    <m/>
    <m/>
    <m/>
    <n v="250"/>
    <b v="0"/>
    <m/>
    <m/>
    <s v="+"/>
    <x v="166"/>
    <s v="Create Rule; and Description='KAUFMAN HALL';Savings"/>
    <m/>
  </r>
  <r>
    <x v="6"/>
    <d v="2020-02-14T00:00:00"/>
    <s v="Brokerage"/>
    <x v="167"/>
    <n v="-250"/>
    <x v="21"/>
    <m/>
    <m/>
    <m/>
    <n v="250"/>
    <b v="0"/>
    <m/>
    <m/>
    <s v="+"/>
    <x v="166"/>
    <s v="Create Rule; and Description='KAUFMAN HALL';Savings"/>
    <m/>
  </r>
  <r>
    <x v="6"/>
    <d v="2020-02-14T00:00:00"/>
    <s v="Cash Rewards Visa Signature"/>
    <x v="632"/>
    <n v="4.28"/>
    <x v="1"/>
    <m/>
    <m/>
    <m/>
    <n v="4.28"/>
    <b v="0"/>
    <m/>
    <m/>
    <s v="-"/>
    <x v="610"/>
    <s v="Manual"/>
    <m/>
  </r>
  <r>
    <x v="6"/>
    <d v="2020-02-14T00:00:00"/>
    <s v="Cash Rewards Visa Signature"/>
    <x v="631"/>
    <n v="11.93"/>
    <x v="1"/>
    <m/>
    <m/>
    <m/>
    <n v="11.93"/>
    <b v="0"/>
    <m/>
    <m/>
    <s v="-"/>
    <x v="609"/>
    <s v="Manual"/>
    <m/>
  </r>
  <r>
    <x v="6"/>
    <d v="2020-02-14T00:00:00"/>
    <s v="Jeff IRA"/>
    <x v="52"/>
    <n v="-250"/>
    <x v="17"/>
    <m/>
    <m/>
    <m/>
    <n v="250"/>
    <b v="0"/>
    <m/>
    <m/>
    <s v="+"/>
    <x v="52"/>
    <s v="Create Rule; and Description='Tfr JPMORGAN CHASE BAN, KAUFMAN HALL';Roth"/>
    <m/>
  </r>
  <r>
    <x v="6"/>
    <d v="2020-02-16T00:00:00"/>
    <s v="Cash Rewards Visa Signature"/>
    <x v="633"/>
    <n v="-380.23"/>
    <x v="3"/>
    <m/>
    <m/>
    <m/>
    <n v="380.23"/>
    <b v="0"/>
    <m/>
    <m/>
    <s v="+"/>
    <x v="611"/>
    <s v="Delete; and Description Like '%PAYMENT THANK YOU%';0"/>
    <m/>
  </r>
  <r>
    <x v="6"/>
    <d v="2020-02-16T00:00:00"/>
    <s v="POWERPLUS"/>
    <x v="634"/>
    <n v="380.23"/>
    <x v="3"/>
    <m/>
    <m/>
    <m/>
    <n v="380.23"/>
    <b v="0"/>
    <m/>
    <m/>
    <s v="-"/>
    <x v="612"/>
    <s v="Delete; and Description Like '%Withdrawal Home payment to card%';0"/>
    <m/>
  </r>
  <r>
    <x v="6"/>
    <d v="2020-02-16T00:00:00"/>
    <s v="Cash Rewards Visa Signature"/>
    <x v="0"/>
    <n v="13.84"/>
    <x v="0"/>
    <m/>
    <m/>
    <m/>
    <n v="13.84"/>
    <b v="0"/>
    <m/>
    <m/>
    <s v="-"/>
    <x v="0"/>
    <s v="Create Rule; and Description='Amazon';Amazon"/>
    <m/>
  </r>
  <r>
    <x v="6"/>
    <d v="2020-02-16T00:00:00"/>
    <s v="Cash Rewards Visa Signature"/>
    <x v="59"/>
    <n v="18.21"/>
    <x v="1"/>
    <m/>
    <m/>
    <m/>
    <n v="18.21"/>
    <b v="0"/>
    <m/>
    <m/>
    <s v="-"/>
    <x v="59"/>
    <s v="Create Rule; and Description Like '%Caribou Coffee%';Restaurants"/>
    <m/>
  </r>
  <r>
    <x v="6"/>
    <d v="2020-02-16T00:00:00"/>
    <s v="Cash Rewards Visa Signature"/>
    <x v="59"/>
    <n v="6.42"/>
    <x v="1"/>
    <m/>
    <m/>
    <m/>
    <n v="6.42"/>
    <b v="0"/>
    <m/>
    <m/>
    <s v="-"/>
    <x v="59"/>
    <s v="Create Rule; and Description Like '%Caribou Coffee%';Restaurants"/>
    <m/>
  </r>
  <r>
    <x v="6"/>
    <d v="2020-02-16T00:00:00"/>
    <s v="Cash Rewards Visa Signature"/>
    <x v="6"/>
    <n v="13.11"/>
    <x v="5"/>
    <m/>
    <m/>
    <m/>
    <n v="13.11"/>
    <b v="0"/>
    <m/>
    <m/>
    <s v="-"/>
    <x v="6"/>
    <s v="Create Rule; and Description Like '%Cub Foods%';Groceries"/>
    <m/>
  </r>
  <r>
    <x v="6"/>
    <d v="2020-02-16T00:00:00"/>
    <s v="RAINY DAY"/>
    <x v="515"/>
    <n v="-300"/>
    <x v="3"/>
    <m/>
    <m/>
    <m/>
    <n v="300"/>
    <b v="0"/>
    <m/>
    <m/>
    <s v="+"/>
    <x v="496"/>
    <s v="Manual"/>
    <m/>
  </r>
  <r>
    <x v="6"/>
    <d v="2020-02-16T00:00:00"/>
    <s v="POWERPLUS"/>
    <x v="635"/>
    <n v="300"/>
    <x v="3"/>
    <m/>
    <m/>
    <m/>
    <n v="300"/>
    <b v="0"/>
    <m/>
    <m/>
    <s v="-"/>
    <x v="613"/>
    <s v="Manual"/>
    <m/>
  </r>
  <r>
    <x v="6"/>
    <d v="2020-02-17T00:00:00"/>
    <s v="Discover More Card"/>
    <x v="6"/>
    <n v="25.49"/>
    <x v="5"/>
    <m/>
    <m/>
    <m/>
    <n v="25.49"/>
    <b v="0"/>
    <m/>
    <m/>
    <s v="-"/>
    <x v="6"/>
    <s v="Create Rule; and Description Like '%Cub Foods%';Groceries"/>
    <m/>
  </r>
  <r>
    <x v="6"/>
    <d v="2020-02-17T00:00:00"/>
    <s v="Discover"/>
    <x v="6"/>
    <n v="25.49"/>
    <x v="5"/>
    <m/>
    <m/>
    <m/>
    <n v="25.49"/>
    <b v="0"/>
    <m/>
    <m/>
    <s v="-"/>
    <x v="6"/>
    <s v="Create Rule; and Description Like '%Cub Foods%';Groceries"/>
    <m/>
  </r>
  <r>
    <x v="6"/>
    <d v="2020-02-17T00:00:00"/>
    <s v="Cash Rewards Visa Signature"/>
    <x v="636"/>
    <n v="42.35"/>
    <x v="1"/>
    <m/>
    <m/>
    <m/>
    <n v="42.35"/>
    <b v="0"/>
    <m/>
    <m/>
    <s v="-"/>
    <x v="614"/>
    <s v="Create Rule; and Description Like '%LIFE TIME CAFE%';Restaurants"/>
    <m/>
  </r>
  <r>
    <x v="6"/>
    <d v="2020-02-18T00:00:00"/>
    <s v="POWERPLUS"/>
    <x v="637"/>
    <n v="375.37"/>
    <x v="3"/>
    <m/>
    <m/>
    <m/>
    <n v="375.37"/>
    <b v="0"/>
    <m/>
    <m/>
    <s v="-"/>
    <x v="615"/>
    <s v="Delete; and Description Like '%DISCOVER TYPE EPAYMENT%';0"/>
    <m/>
  </r>
  <r>
    <x v="6"/>
    <d v="2020-02-18T00:00:00"/>
    <s v="Discover More Card"/>
    <x v="0"/>
    <n v="30.01"/>
    <x v="0"/>
    <m/>
    <m/>
    <m/>
    <n v="30.01"/>
    <b v="0"/>
    <m/>
    <m/>
    <s v="-"/>
    <x v="0"/>
    <s v="Create Rule; and Description='Amazon';Amazon"/>
    <m/>
  </r>
  <r>
    <x v="6"/>
    <d v="2020-02-18T00:00:00"/>
    <s v="Discover"/>
    <x v="0"/>
    <n v="30.01"/>
    <x v="0"/>
    <m/>
    <m/>
    <m/>
    <n v="30.01"/>
    <b v="0"/>
    <m/>
    <m/>
    <s v="-"/>
    <x v="0"/>
    <s v="Create Rule; and Description='Amazon';Amazon"/>
    <m/>
  </r>
  <r>
    <x v="6"/>
    <d v="2020-02-18T00:00:00"/>
    <s v="POWERPLUS"/>
    <x v="638"/>
    <n v="63.29"/>
    <x v="8"/>
    <m/>
    <m/>
    <m/>
    <n v="63.29"/>
    <b v="0"/>
    <m/>
    <m/>
    <s v="-"/>
    <x v="616"/>
    <s v="Create Rule; and Description Like '%Banana Visa%';Shopping"/>
    <m/>
  </r>
  <r>
    <x v="6"/>
    <d v="2020-02-18T00:00:00"/>
    <s v="Britney Roth"/>
    <x v="639"/>
    <n v="-0.02"/>
    <x v="3"/>
    <m/>
    <m/>
    <m/>
    <n v="0.02"/>
    <b v="0"/>
    <m/>
    <m/>
    <s v="+"/>
    <x v="617"/>
    <s v="Manual"/>
    <m/>
  </r>
  <r>
    <x v="6"/>
    <d v="2020-02-18T00:00:00"/>
    <s v="Jeff Roth"/>
    <x v="639"/>
    <n v="-0.01"/>
    <x v="3"/>
    <m/>
    <m/>
    <m/>
    <n v="0.01"/>
    <b v="0"/>
    <m/>
    <m/>
    <s v="+"/>
    <x v="617"/>
    <s v="Manual"/>
    <m/>
  </r>
  <r>
    <x v="6"/>
    <d v="2020-02-18T00:00:00"/>
    <s v="Roth Contributory IRA"/>
    <x v="639"/>
    <n v="-0.03"/>
    <x v="3"/>
    <m/>
    <m/>
    <m/>
    <n v="0.03"/>
    <b v="0"/>
    <m/>
    <m/>
    <s v="+"/>
    <x v="617"/>
    <s v="Manual"/>
    <m/>
  </r>
  <r>
    <x v="6"/>
    <d v="2020-02-18T00:00:00"/>
    <s v="Contributory"/>
    <x v="640"/>
    <n v="-0.2"/>
    <x v="3"/>
    <m/>
    <m/>
    <m/>
    <n v="0.2"/>
    <b v="0"/>
    <m/>
    <m/>
    <s v="+"/>
    <x v="618"/>
    <s v="Manual"/>
    <m/>
  </r>
  <r>
    <x v="6"/>
    <d v="2020-02-18T00:00:00"/>
    <s v="Jeff IRA"/>
    <x v="640"/>
    <n v="-0.23"/>
    <x v="3"/>
    <m/>
    <m/>
    <m/>
    <n v="0.23"/>
    <b v="0"/>
    <m/>
    <m/>
    <s v="+"/>
    <x v="618"/>
    <s v="Manual"/>
    <m/>
  </r>
  <r>
    <x v="6"/>
    <d v="2020-02-18T00:00:00"/>
    <s v="CARGILL PARTNERSHIP PLAN"/>
    <x v="566"/>
    <n v="-226.74"/>
    <x v="3"/>
    <m/>
    <m/>
    <m/>
    <n v="226.74"/>
    <b v="0"/>
    <m/>
    <m/>
    <s v="+"/>
    <x v="547"/>
    <s v="Manual"/>
    <m/>
  </r>
  <r>
    <x v="6"/>
    <d v="2020-02-18T00:00:00"/>
    <s v="POWERPLUS"/>
    <x v="641"/>
    <n v="255"/>
    <x v="4"/>
    <m/>
    <m/>
    <m/>
    <n v="255"/>
    <b v="0"/>
    <m/>
    <m/>
    <s v="-"/>
    <x v="619"/>
    <s v="Create Rule; and Description='MHCHILDCARELLC TYPE DUES ID CO MHCHILDCARELLC ACH ECC PPD ACH Trace 23510 288830711';Day Care"/>
    <m/>
  </r>
  <r>
    <x v="6"/>
    <d v="2020-02-18T00:00:00"/>
    <s v="POWERPLUS"/>
    <x v="308"/>
    <n v="58.6"/>
    <x v="8"/>
    <m/>
    <m/>
    <m/>
    <n v="58.6"/>
    <b v="0"/>
    <m/>
    <m/>
    <s v="-"/>
    <x v="300"/>
    <s v="Create Rule; and Description='Nordstrom';Shopping"/>
    <m/>
  </r>
  <r>
    <x v="6"/>
    <d v="2020-02-18T00:00:00"/>
    <s v="Cash Rewards Visa Signature"/>
    <x v="414"/>
    <n v="1603.1"/>
    <x v="8"/>
    <m/>
    <m/>
    <m/>
    <n v="1603.1"/>
    <b v="0"/>
    <m/>
    <m/>
    <s v="-"/>
    <x v="400"/>
    <s v="Create Rule; and Description='Pottery Barn';Shopping"/>
    <m/>
  </r>
  <r>
    <x v="6"/>
    <d v="2020-02-18T00:00:00"/>
    <s v="Joint Tenant"/>
    <x v="169"/>
    <n v="-28.75"/>
    <x v="23"/>
    <m/>
    <m/>
    <m/>
    <n v="28.75"/>
    <b v="0"/>
    <m/>
    <m/>
    <s v="+"/>
    <x v="168"/>
    <s v="Create Rule; and Description='PROCTER &amp; GAMBLE';Dividend"/>
    <m/>
  </r>
  <r>
    <x v="6"/>
    <d v="2020-02-18T00:00:00"/>
    <s v="Brokerage"/>
    <x v="169"/>
    <n v="-28.75"/>
    <x v="23"/>
    <m/>
    <m/>
    <m/>
    <n v="28.75"/>
    <b v="0"/>
    <m/>
    <m/>
    <s v="+"/>
    <x v="168"/>
    <s v="Create Rule; and Description='PROCTER &amp; GAMBLE';Dividend"/>
    <m/>
  </r>
  <r>
    <x v="6"/>
    <d v="2020-02-19T00:00:00"/>
    <s v="Cash Rewards Visa Signature"/>
    <x v="642"/>
    <n v="-1697.03"/>
    <x v="3"/>
    <m/>
    <m/>
    <m/>
    <n v="1697.03"/>
    <b v="0"/>
    <m/>
    <m/>
    <s v="+"/>
    <x v="620"/>
    <s v="Delete; and Description Like '%PAYMENT THANK YOU%';0"/>
    <m/>
  </r>
  <r>
    <x v="6"/>
    <d v="2020-02-19T00:00:00"/>
    <s v="POWERPLUS"/>
    <x v="643"/>
    <n v="1697.03"/>
    <x v="3"/>
    <m/>
    <m/>
    <m/>
    <n v="1697.03"/>
    <b v="0"/>
    <m/>
    <m/>
    <s v="-"/>
    <x v="621"/>
    <s v="Delete; and Description Like '%Withdrawal Home payment to card%';0"/>
    <m/>
  </r>
  <r>
    <x v="6"/>
    <d v="2020-02-19T00:00:00"/>
    <s v="Cash Rewards Visa Signature"/>
    <x v="0"/>
    <n v="30.72"/>
    <x v="0"/>
    <m/>
    <m/>
    <m/>
    <n v="30.72"/>
    <b v="0"/>
    <m/>
    <m/>
    <s v="-"/>
    <x v="0"/>
    <s v="Create Rule; and Description='Amazon';Amazon"/>
    <m/>
  </r>
  <r>
    <x v="6"/>
    <d v="2020-02-19T00:00:00"/>
    <s v="Cash Rewards Visa Signature"/>
    <x v="644"/>
    <n v="171.07"/>
    <x v="20"/>
    <m/>
    <m/>
    <m/>
    <n v="171.07"/>
    <b v="0"/>
    <m/>
    <m/>
    <s v="-"/>
    <x v="622"/>
    <s v="Create Rule; and Description Like '%BEST CLEANERS%';Dry Cleaning"/>
    <m/>
  </r>
  <r>
    <x v="6"/>
    <d v="2020-02-19T00:00:00"/>
    <s v="POWERPLUS"/>
    <x v="645"/>
    <n v="-1999.22"/>
    <x v="14"/>
    <m/>
    <m/>
    <m/>
    <n v="1999.22"/>
    <b v="0"/>
    <m/>
    <m/>
    <s v="+"/>
    <x v="623"/>
    <s v="Create Rule; and Description Like '%CARGILL COCOA TYPE DIR DEP ID%';Inc - Britney"/>
    <m/>
  </r>
  <r>
    <x v="6"/>
    <d v="2020-02-19T00:00:00"/>
    <s v="Cash Rewards Visa Signature"/>
    <x v="60"/>
    <n v="110.88"/>
    <x v="19"/>
    <m/>
    <m/>
    <m/>
    <n v="110.88"/>
    <b v="0"/>
    <m/>
    <m/>
    <s v="-"/>
    <x v="60"/>
    <s v="Create Rule; and Description='Home Depot';House Maintenance"/>
    <m/>
  </r>
  <r>
    <x v="6"/>
    <d v="2020-02-19T00:00:00"/>
    <s v="Cash Rewards Visa Signature"/>
    <x v="646"/>
    <n v="110"/>
    <x v="28"/>
    <m/>
    <m/>
    <m/>
    <n v="110"/>
    <b v="0"/>
    <m/>
    <m/>
    <s v="-"/>
    <x v="624"/>
    <s v="Manual"/>
    <m/>
  </r>
  <r>
    <x v="6"/>
    <d v="2020-02-19T00:00:00"/>
    <s v="POWERPLUS"/>
    <x v="647"/>
    <n v="467"/>
    <x v="3"/>
    <m/>
    <m/>
    <m/>
    <n v="467"/>
    <b v="0"/>
    <m/>
    <m/>
    <s v="-"/>
    <x v="625"/>
    <s v="Manual"/>
    <m/>
  </r>
  <r>
    <x v="6"/>
    <d v="2020-02-19T00:00:00"/>
    <s v="Joint Tenant"/>
    <x v="169"/>
    <n v="28.75"/>
    <x v="23"/>
    <m/>
    <m/>
    <m/>
    <n v="28.75"/>
    <b v="0"/>
    <m/>
    <m/>
    <s v="-"/>
    <x v="168"/>
    <s v="Create Rule; and Description='PROCTER &amp; GAMBLE';Dividend"/>
    <m/>
  </r>
  <r>
    <x v="6"/>
    <d v="2020-02-19T00:00:00"/>
    <s v="Brokerage"/>
    <x v="169"/>
    <n v="28.75"/>
    <x v="23"/>
    <m/>
    <m/>
    <m/>
    <n v="28.75"/>
    <b v="0"/>
    <m/>
    <m/>
    <s v="-"/>
    <x v="168"/>
    <s v="Create Rule; and Description='PROCTER &amp; GAMBLE';Dividend"/>
    <m/>
  </r>
  <r>
    <x v="6"/>
    <d v="2020-02-19T00:00:00"/>
    <s v="Cash Rewards Visa Signature"/>
    <x v="2"/>
    <n v="29.74"/>
    <x v="2"/>
    <m/>
    <m/>
    <m/>
    <n v="29.74"/>
    <b v="0"/>
    <m/>
    <m/>
    <s v="-"/>
    <x v="2"/>
    <s v="Create Rule; and Description='Speedway';Transportation"/>
    <m/>
  </r>
  <r>
    <x v="6"/>
    <d v="2020-02-19T00:00:00"/>
    <s v="Joint Tenant"/>
    <x v="611"/>
    <n v="-18.5"/>
    <x v="3"/>
    <m/>
    <m/>
    <m/>
    <n v="18.5"/>
    <b v="0"/>
    <m/>
    <m/>
    <s v="+"/>
    <x v="590"/>
    <s v="Delete; and Source='Joint Tenant';0"/>
    <m/>
  </r>
  <r>
    <x v="6"/>
    <d v="2020-02-19T00:00:00"/>
    <s v="Brokerage"/>
    <x v="611"/>
    <n v="-18.5"/>
    <x v="3"/>
    <m/>
    <m/>
    <m/>
    <n v="18.5"/>
    <b v="0"/>
    <m/>
    <m/>
    <s v="+"/>
    <x v="590"/>
    <s v="Manual"/>
    <m/>
  </r>
  <r>
    <x v="6"/>
    <d v="2020-02-19T00:00:00"/>
    <s v="Cash Rewards Visa Signature"/>
    <x v="55"/>
    <n v="32.770000000000003"/>
    <x v="8"/>
    <m/>
    <m/>
    <m/>
    <n v="32.770000000000003"/>
    <b v="0"/>
    <m/>
    <m/>
    <s v="-"/>
    <x v="55"/>
    <s v="Create Rule; and Description='Walgreens';Shopping"/>
    <m/>
  </r>
  <r>
    <x v="6"/>
    <d v="2020-02-20T00:00:00"/>
    <s v="Cash Rewards Visa Signature"/>
    <x v="648"/>
    <n v="26.25"/>
    <x v="28"/>
    <m/>
    <m/>
    <m/>
    <n v="26.25"/>
    <b v="0"/>
    <m/>
    <m/>
    <s v="-"/>
    <x v="626"/>
    <s v="Manual"/>
    <m/>
  </r>
  <r>
    <x v="6"/>
    <d v="2020-02-21T00:00:00"/>
    <s v="Joint Tenant"/>
    <x v="185"/>
    <n v="-200"/>
    <x v="17"/>
    <m/>
    <m/>
    <m/>
    <n v="200"/>
    <b v="0"/>
    <m/>
    <m/>
    <s v="+"/>
    <x v="184"/>
    <s v="Create Rule; and Description='CARGILL COCOA &amp;';Roth"/>
    <m/>
  </r>
  <r>
    <x v="6"/>
    <d v="2020-02-21T00:00:00"/>
    <s v="Brokerage"/>
    <x v="185"/>
    <n v="-200"/>
    <x v="17"/>
    <m/>
    <m/>
    <m/>
    <n v="200"/>
    <b v="0"/>
    <m/>
    <m/>
    <s v="+"/>
    <x v="184"/>
    <s v="Create Rule; and Description='CARGILL COCOA &amp;';Roth"/>
    <m/>
  </r>
  <r>
    <x v="6"/>
    <d v="2020-02-21T00:00:00"/>
    <s v="POWERPLUS"/>
    <x v="84"/>
    <n v="73.19"/>
    <x v="11"/>
    <m/>
    <m/>
    <m/>
    <n v="73.19"/>
    <b v="0"/>
    <m/>
    <m/>
    <s v="-"/>
    <x v="84"/>
    <s v="Create Rule; and Description='City of Chanhassen';Utilities"/>
    <m/>
  </r>
  <r>
    <x v="6"/>
    <d v="2020-02-21T00:00:00"/>
    <s v="Cash Rewards Visa Signature"/>
    <x v="60"/>
    <n v="96.61"/>
    <x v="19"/>
    <m/>
    <m/>
    <m/>
    <n v="96.61"/>
    <b v="0"/>
    <m/>
    <m/>
    <s v="-"/>
    <x v="60"/>
    <s v="Create Rule; and Description='Home Depot';House Maintenance"/>
    <m/>
  </r>
  <r>
    <x v="6"/>
    <d v="2020-02-21T00:00:00"/>
    <s v="Discover More Card"/>
    <x v="649"/>
    <n v="5.57"/>
    <x v="1"/>
    <m/>
    <m/>
    <m/>
    <n v="5.57"/>
    <b v="0"/>
    <m/>
    <m/>
    <s v="-"/>
    <x v="627"/>
    <s v="Create Rule; and Description Like '%LIFE TIME CAFE%';Restaurants"/>
    <m/>
  </r>
  <r>
    <x v="6"/>
    <d v="2020-02-21T00:00:00"/>
    <s v="Discover"/>
    <x v="649"/>
    <n v="5.57"/>
    <x v="1"/>
    <m/>
    <m/>
    <m/>
    <n v="5.57"/>
    <b v="0"/>
    <m/>
    <m/>
    <s v="-"/>
    <x v="627"/>
    <s v="Create Rule; and Description Like '%LIFE TIME CAFE%';Restaurants"/>
    <m/>
  </r>
  <r>
    <x v="6"/>
    <d v="2020-02-21T00:00:00"/>
    <s v="Joint Tenant"/>
    <x v="190"/>
    <n v="-18.7"/>
    <x v="1"/>
    <m/>
    <m/>
    <m/>
    <n v="18.7"/>
    <b v="0"/>
    <m/>
    <m/>
    <s v="+"/>
    <x v="189"/>
    <s v="Create Rule; and Description='STARBUCKS CORP';Restaurants"/>
    <m/>
  </r>
  <r>
    <x v="6"/>
    <d v="2020-02-21T00:00:00"/>
    <s v="Brokerage"/>
    <x v="190"/>
    <n v="-18.7"/>
    <x v="23"/>
    <m/>
    <m/>
    <m/>
    <n v="18.7"/>
    <b v="0"/>
    <m/>
    <m/>
    <s v="+"/>
    <x v="189"/>
    <s v="Create Rule; and Description='STARBUCKS CORP';Dividend"/>
    <m/>
  </r>
  <r>
    <x v="6"/>
    <d v="2020-02-21T00:00:00"/>
    <s v="CARGILL PARTNERSHIP PLAN"/>
    <x v="235"/>
    <n v="-732.69"/>
    <x v="18"/>
    <m/>
    <m/>
    <m/>
    <n v="732.69"/>
    <b v="0"/>
    <m/>
    <m/>
    <s v="+"/>
    <x v="233"/>
    <s v="Create Rule; and Description='Target Retire 2055 Tr P - Plan Contribution';401K"/>
    <m/>
  </r>
  <r>
    <x v="6"/>
    <d v="2020-02-21T00:00:00"/>
    <s v="Contributory"/>
    <x v="51"/>
    <n v="-231"/>
    <x v="17"/>
    <m/>
    <m/>
    <m/>
    <n v="231"/>
    <b v="0"/>
    <m/>
    <m/>
    <s v="+"/>
    <x v="51"/>
    <s v="Create Rule; and Description='Tfr JPMORGAN CHASE BAN, CARGILL COCOA &amp;';Roth"/>
    <m/>
  </r>
  <r>
    <x v="6"/>
    <d v="2020-02-22T00:00:00"/>
    <s v="Cash Rewards Visa Signature"/>
    <x v="650"/>
    <n v="-608.04"/>
    <x v="3"/>
    <m/>
    <m/>
    <m/>
    <n v="608.04"/>
    <b v="0"/>
    <m/>
    <m/>
    <s v="+"/>
    <x v="628"/>
    <s v="Delete; and Description Like '%PAYMENT THANK YOU%';0"/>
    <m/>
  </r>
  <r>
    <x v="6"/>
    <d v="2020-02-22T00:00:00"/>
    <s v="POWERPLUS"/>
    <x v="651"/>
    <n v="608.04"/>
    <x v="3"/>
    <m/>
    <m/>
    <m/>
    <n v="608.04"/>
    <b v="0"/>
    <m/>
    <m/>
    <s v="-"/>
    <x v="629"/>
    <s v="Delete; and Description Like '%Withdrawal Home payment to card%';0"/>
    <m/>
  </r>
  <r>
    <x v="6"/>
    <d v="2020-02-22T00:00:00"/>
    <s v="Discover More Card"/>
    <x v="57"/>
    <n v="196.9"/>
    <x v="5"/>
    <m/>
    <m/>
    <m/>
    <n v="196.9"/>
    <b v="0"/>
    <m/>
    <m/>
    <s v="-"/>
    <x v="57"/>
    <s v="Create Rule; and Description='Advocare';Groceries"/>
    <m/>
  </r>
  <r>
    <x v="6"/>
    <d v="2020-02-22T00:00:00"/>
    <s v="Discover"/>
    <x v="57"/>
    <n v="196.9"/>
    <x v="5"/>
    <m/>
    <m/>
    <m/>
    <n v="196.9"/>
    <b v="0"/>
    <m/>
    <m/>
    <s v="-"/>
    <x v="57"/>
    <s v="Create Rule; and Description='Advocare';Groceries"/>
    <m/>
  </r>
  <r>
    <x v="6"/>
    <d v="2020-02-23T00:00:00"/>
    <s v="Cash Rewards Visa Signature"/>
    <x v="652"/>
    <n v="56"/>
    <x v="8"/>
    <m/>
    <m/>
    <m/>
    <n v="56"/>
    <b v="0"/>
    <m/>
    <m/>
    <s v="-"/>
    <x v="630"/>
    <s v="Manual"/>
    <m/>
  </r>
  <r>
    <x v="6"/>
    <d v="2020-02-23T00:00:00"/>
    <s v="Cash Rewards Visa Signature"/>
    <x v="0"/>
    <n v="-0.5"/>
    <x v="0"/>
    <m/>
    <m/>
    <m/>
    <n v="0.5"/>
    <b v="0"/>
    <m/>
    <m/>
    <s v="+"/>
    <x v="0"/>
    <s v="Create Rule; and Description='Amazon';Amazon"/>
    <m/>
  </r>
  <r>
    <x v="6"/>
    <d v="2020-02-23T00:00:00"/>
    <s v="Cash Rewards Visa Signature"/>
    <x v="0"/>
    <n v="16.100000000000001"/>
    <x v="0"/>
    <m/>
    <m/>
    <m/>
    <n v="16.100000000000001"/>
    <b v="0"/>
    <m/>
    <m/>
    <s v="-"/>
    <x v="0"/>
    <s v="Create Rule; and Description='Amazon';Amazon"/>
    <m/>
  </r>
  <r>
    <x v="6"/>
    <d v="2020-02-23T00:00:00"/>
    <s v="Cash Rewards Visa Signature"/>
    <x v="0"/>
    <n v="40.74"/>
    <x v="0"/>
    <m/>
    <m/>
    <m/>
    <n v="40.74"/>
    <b v="0"/>
    <m/>
    <m/>
    <s v="-"/>
    <x v="0"/>
    <s v="Create Rule; and Description='Amazon';Amazon"/>
    <m/>
  </r>
  <r>
    <x v="6"/>
    <d v="2020-02-23T00:00:00"/>
    <s v="Cash Rewards Visa Signature"/>
    <x v="59"/>
    <n v="10.199999999999999"/>
    <x v="1"/>
    <m/>
    <m/>
    <m/>
    <n v="10.199999999999999"/>
    <b v="0"/>
    <m/>
    <m/>
    <s v="-"/>
    <x v="59"/>
    <s v="Create Rule; and Description Like '%Caribou Coffee%';Restaurants"/>
    <m/>
  </r>
  <r>
    <x v="6"/>
    <d v="2020-02-23T00:00:00"/>
    <s v="Cash Rewards Visa Signature"/>
    <x v="475"/>
    <n v="276"/>
    <x v="4"/>
    <m/>
    <m/>
    <m/>
    <n v="276"/>
    <b v="0"/>
    <m/>
    <m/>
    <s v="-"/>
    <x v="458"/>
    <s v="Create Rule; and Description='Foss Swim School';Day Care"/>
    <m/>
  </r>
  <r>
    <x v="6"/>
    <d v="2020-02-23T00:00:00"/>
    <s v="Cash Rewards Visa Signature"/>
    <x v="653"/>
    <n v="9.27"/>
    <x v="1"/>
    <m/>
    <m/>
    <m/>
    <n v="9.27"/>
    <b v="0"/>
    <m/>
    <m/>
    <s v="-"/>
    <x v="631"/>
    <s v="Manual"/>
    <m/>
  </r>
  <r>
    <x v="6"/>
    <d v="2020-02-23T00:00:00"/>
    <s v="Cash Rewards Visa Signature"/>
    <x v="654"/>
    <n v="62.23"/>
    <x v="1"/>
    <m/>
    <m/>
    <m/>
    <n v="62.23"/>
    <b v="0"/>
    <m/>
    <m/>
    <s v="-"/>
    <x v="632"/>
    <s v="Manual"/>
    <m/>
  </r>
  <r>
    <x v="6"/>
    <d v="2020-02-23T00:00:00"/>
    <s v="Cash Rewards Visa Signature"/>
    <x v="655"/>
    <n v="32.729999999999997"/>
    <x v="1"/>
    <m/>
    <m/>
    <m/>
    <n v="32.729999999999997"/>
    <b v="0"/>
    <m/>
    <m/>
    <s v="-"/>
    <x v="633"/>
    <s v="Manual"/>
    <m/>
  </r>
  <r>
    <x v="6"/>
    <d v="2020-02-23T00:00:00"/>
    <s v="Cash Rewards Visa Signature"/>
    <x v="55"/>
    <n v="15"/>
    <x v="8"/>
    <m/>
    <m/>
    <m/>
    <n v="15"/>
    <b v="0"/>
    <m/>
    <m/>
    <s v="-"/>
    <x v="55"/>
    <s v="Create Rule; and Description='Walgreens';Shopping"/>
    <m/>
  </r>
  <r>
    <x v="6"/>
    <d v="2020-02-24T00:00:00"/>
    <s v="POWERPLUS"/>
    <x v="656"/>
    <n v="-7081"/>
    <x v="3"/>
    <m/>
    <m/>
    <m/>
    <n v="7081"/>
    <b v="0"/>
    <m/>
    <m/>
    <s v="+"/>
    <x v="634"/>
    <s v="Manual"/>
    <m/>
  </r>
  <r>
    <x v="6"/>
    <d v="2020-02-24T00:00:00"/>
    <s v="POWERPLUS"/>
    <x v="657"/>
    <n v="78.75"/>
    <x v="25"/>
    <m/>
    <m/>
    <m/>
    <n v="78.75"/>
    <b v="0"/>
    <m/>
    <m/>
    <s v="-"/>
    <x v="635"/>
    <s v="Manual"/>
    <m/>
  </r>
  <r>
    <x v="6"/>
    <d v="2020-02-24T00:00:00"/>
    <s v="POWERPLUS"/>
    <x v="157"/>
    <n v="0.75"/>
    <x v="8"/>
    <m/>
    <m/>
    <m/>
    <n v="0.75"/>
    <b v="0"/>
    <m/>
    <m/>
    <s v="-"/>
    <x v="156"/>
    <s v="Create Rule; and Description Like '%PayPal%';Shopping"/>
    <m/>
  </r>
  <r>
    <x v="6"/>
    <d v="2020-02-24T00:00:00"/>
    <s v="POWERPLUS"/>
    <x v="157"/>
    <n v="53.5"/>
    <x v="8"/>
    <m/>
    <m/>
    <m/>
    <n v="53.5"/>
    <b v="0"/>
    <m/>
    <m/>
    <s v="-"/>
    <x v="156"/>
    <s v="Create Rule; and Description Like '%PayPal%';Shopping"/>
    <m/>
  </r>
  <r>
    <x v="6"/>
    <d v="2020-02-24T00:00:00"/>
    <s v="RAINY DAY"/>
    <x v="515"/>
    <n v="-200"/>
    <x v="3"/>
    <m/>
    <m/>
    <m/>
    <n v="200"/>
    <b v="0"/>
    <m/>
    <m/>
    <s v="+"/>
    <x v="496"/>
    <s v="Manual"/>
    <m/>
  </r>
  <r>
    <x v="6"/>
    <d v="2020-02-24T00:00:00"/>
    <s v="Joint Tenant"/>
    <x v="190"/>
    <n v="18.7"/>
    <x v="1"/>
    <m/>
    <m/>
    <m/>
    <n v="18.7"/>
    <b v="0"/>
    <m/>
    <m/>
    <s v="-"/>
    <x v="189"/>
    <s v="Create Rule; and Description='STARBUCKS CORP';Restaurants"/>
    <m/>
  </r>
  <r>
    <x v="6"/>
    <d v="2020-02-24T00:00:00"/>
    <s v="Brokerage"/>
    <x v="190"/>
    <n v="18.7"/>
    <x v="23"/>
    <m/>
    <m/>
    <m/>
    <n v="18.7"/>
    <b v="0"/>
    <m/>
    <m/>
    <s v="-"/>
    <x v="189"/>
    <s v="Create Rule; and Description='STARBUCKS CORP';Dividend"/>
    <m/>
  </r>
  <r>
    <x v="6"/>
    <d v="2020-02-24T00:00:00"/>
    <s v="POWERPLUS"/>
    <x v="658"/>
    <n v="200"/>
    <x v="3"/>
    <m/>
    <m/>
    <m/>
    <n v="200"/>
    <b v="0"/>
    <m/>
    <m/>
    <s v="-"/>
    <x v="636"/>
    <s v="Manual"/>
    <m/>
  </r>
  <r>
    <x v="6"/>
    <d v="2020-02-24T00:00:00"/>
    <s v="Joint Tenant"/>
    <x v="138"/>
    <n v="799.14"/>
    <x v="23"/>
    <m/>
    <m/>
    <m/>
    <n v="799.14"/>
    <b v="0"/>
    <m/>
    <m/>
    <s v="-"/>
    <x v="137"/>
    <s v="Create Rule; and Description='VISA INC CLASS A';Dividend"/>
    <m/>
  </r>
  <r>
    <x v="6"/>
    <d v="2020-02-24T00:00:00"/>
    <s v="Brokerage"/>
    <x v="138"/>
    <n v="799.14"/>
    <x v="23"/>
    <m/>
    <m/>
    <m/>
    <n v="799.14"/>
    <b v="0"/>
    <m/>
    <m/>
    <s v="-"/>
    <x v="137"/>
    <s v="Create Rule; and Description='VISA INC CLASS A';Dividend"/>
    <m/>
  </r>
  <r>
    <x v="6"/>
    <d v="2020-02-25T00:00:00"/>
    <s v="Discover More Card"/>
    <x v="93"/>
    <n v="-22.6"/>
    <x v="3"/>
    <m/>
    <m/>
    <m/>
    <n v="22.6"/>
    <b v="0"/>
    <m/>
    <m/>
    <s v="+"/>
    <x v="93"/>
    <s v="Delete; and Description='CASHBACK BONUS REDEMPTION payment/STMT CRDT';0"/>
    <m/>
  </r>
  <r>
    <x v="6"/>
    <d v="2020-02-25T00:00:00"/>
    <s v="Discover"/>
    <x v="93"/>
    <n v="-22.6"/>
    <x v="3"/>
    <m/>
    <m/>
    <m/>
    <n v="22.6"/>
    <b v="0"/>
    <m/>
    <m/>
    <s v="+"/>
    <x v="93"/>
    <s v="Delete; and Description='CASHBACK BONUS REDEMPTION payment/STMT CRDT';0"/>
    <m/>
  </r>
  <r>
    <x v="6"/>
    <d v="2020-02-25T00:00:00"/>
    <s v="Discover More Card"/>
    <x v="56"/>
    <n v="-235.37"/>
    <x v="3"/>
    <m/>
    <m/>
    <m/>
    <n v="235.37"/>
    <b v="0"/>
    <m/>
    <m/>
    <s v="+"/>
    <x v="56"/>
    <s v="Delete; and Description='INTERNET PAYMENT - THANK YOU';0"/>
    <m/>
  </r>
  <r>
    <x v="6"/>
    <d v="2020-02-25T00:00:00"/>
    <s v="Discover"/>
    <x v="56"/>
    <n v="-235.37"/>
    <x v="3"/>
    <m/>
    <m/>
    <m/>
    <n v="235.37"/>
    <b v="0"/>
    <m/>
    <m/>
    <s v="+"/>
    <x v="56"/>
    <s v="Delete; and Description='INTERNET PAYMENT - THANK YOU';0"/>
    <m/>
  </r>
  <r>
    <x v="6"/>
    <d v="2020-02-25T00:00:00"/>
    <s v="Cash Rewards Visa Signature"/>
    <x v="659"/>
    <n v="-517.77"/>
    <x v="3"/>
    <m/>
    <m/>
    <m/>
    <n v="517.77"/>
    <b v="0"/>
    <m/>
    <m/>
    <s v="+"/>
    <x v="637"/>
    <s v="Delete; and Description Like '%PAYMENT THANK YOU%';0"/>
    <m/>
  </r>
  <r>
    <x v="6"/>
    <d v="2020-02-25T00:00:00"/>
    <s v="POWERPLUS"/>
    <x v="660"/>
    <n v="517.77"/>
    <x v="3"/>
    <m/>
    <m/>
    <m/>
    <n v="517.77"/>
    <b v="0"/>
    <m/>
    <m/>
    <s v="-"/>
    <x v="638"/>
    <s v="Delete; and Description Like '%Withdrawal Home payment to card%';0"/>
    <m/>
  </r>
  <r>
    <x v="6"/>
    <d v="2020-02-25T00:00:00"/>
    <s v="Cash Rewards Visa Signature"/>
    <x v="0"/>
    <n v="6.78"/>
    <x v="0"/>
    <m/>
    <m/>
    <m/>
    <n v="6.78"/>
    <b v="0"/>
    <m/>
    <m/>
    <s v="-"/>
    <x v="0"/>
    <s v="Create Rule; and Description='Amazon';Amazon"/>
    <m/>
  </r>
  <r>
    <x v="6"/>
    <d v="2020-02-25T00:00:00"/>
    <s v="Cash Rewards Visa Signature"/>
    <x v="0"/>
    <n v="9.31"/>
    <x v="0"/>
    <m/>
    <m/>
    <m/>
    <n v="9.31"/>
    <b v="0"/>
    <m/>
    <m/>
    <s v="-"/>
    <x v="0"/>
    <s v="Create Rule; and Description='Amazon';Amazon"/>
    <m/>
  </r>
  <r>
    <x v="6"/>
    <d v="2020-02-25T00:00:00"/>
    <s v="Cash Rewards Visa Signature"/>
    <x v="0"/>
    <n v="17.13"/>
    <x v="0"/>
    <m/>
    <m/>
    <m/>
    <n v="17.13"/>
    <b v="0"/>
    <m/>
    <m/>
    <s v="-"/>
    <x v="0"/>
    <s v="Create Rule; and Description='Amazon';Amazon"/>
    <m/>
  </r>
  <r>
    <x v="6"/>
    <d v="2020-02-25T00:00:00"/>
    <s v="Joint Tenant"/>
    <x v="232"/>
    <n v="934"/>
    <x v="23"/>
    <m/>
    <m/>
    <m/>
    <n v="934"/>
    <b v="0"/>
    <m/>
    <m/>
    <s v="-"/>
    <x v="230"/>
    <s v="Create Rule; and Description='BOEING CO';Dividend"/>
    <m/>
  </r>
  <r>
    <x v="6"/>
    <d v="2020-02-25T00:00:00"/>
    <s v="Brokerage"/>
    <x v="232"/>
    <n v="934"/>
    <x v="23"/>
    <m/>
    <m/>
    <m/>
    <n v="934"/>
    <b v="0"/>
    <m/>
    <m/>
    <s v="-"/>
    <x v="230"/>
    <s v="Create Rule; and Description='BOEING CO';Dividend"/>
    <m/>
  </r>
  <r>
    <x v="6"/>
    <d v="2020-02-25T00:00:00"/>
    <s v="Discover More Card"/>
    <x v="661"/>
    <n v="26.45"/>
    <x v="5"/>
    <m/>
    <m/>
    <m/>
    <n v="26.45"/>
    <b v="0"/>
    <m/>
    <m/>
    <s v="-"/>
    <x v="639"/>
    <s v="Create Rule; and Description Like '%Kowalski%';Groceries"/>
    <m/>
  </r>
  <r>
    <x v="6"/>
    <d v="2020-02-25T00:00:00"/>
    <s v="Discover"/>
    <x v="661"/>
    <n v="26.45"/>
    <x v="1"/>
    <m/>
    <m/>
    <m/>
    <n v="26.45"/>
    <b v="0"/>
    <m/>
    <m/>
    <s v="-"/>
    <x v="639"/>
    <s v="Manual"/>
    <m/>
  </r>
  <r>
    <x v="6"/>
    <d v="2020-02-25T00:00:00"/>
    <s v="POWERPLUS"/>
    <x v="34"/>
    <n v="43.81"/>
    <x v="12"/>
    <m/>
    <m/>
    <m/>
    <n v="43.81"/>
    <b v="0"/>
    <m/>
    <m/>
    <s v="-"/>
    <x v="34"/>
    <s v="Create Rule; and Description='Target';Target"/>
    <m/>
  </r>
  <r>
    <x v="6"/>
    <d v="2020-02-26T00:00:00"/>
    <s v="POWERPLUS"/>
    <x v="662"/>
    <n v="235.37"/>
    <x v="3"/>
    <m/>
    <m/>
    <m/>
    <n v="235.37"/>
    <b v="0"/>
    <m/>
    <m/>
    <s v="-"/>
    <x v="640"/>
    <s v="Delete; and Description Like '%DISCOVER TYPE EPAYMENT%';0"/>
    <m/>
  </r>
  <r>
    <x v="6"/>
    <d v="2020-02-26T00:00:00"/>
    <s v="Cash Rewards Visa Signature"/>
    <x v="152"/>
    <n v="8"/>
    <x v="1"/>
    <m/>
    <m/>
    <m/>
    <n v="8"/>
    <b v="0"/>
    <m/>
    <m/>
    <s v="-"/>
    <x v="151"/>
    <s v="Create Rule; and Description='Excelsior Brewing';Restaurants"/>
    <m/>
  </r>
  <r>
    <x v="6"/>
    <d v="2020-02-26T00:00:00"/>
    <s v="Cash Rewards Visa Signature"/>
    <x v="152"/>
    <n v="14.4"/>
    <x v="1"/>
    <m/>
    <m/>
    <m/>
    <n v="14.4"/>
    <b v="0"/>
    <m/>
    <m/>
    <s v="-"/>
    <x v="151"/>
    <s v="Create Rule; and Description='Excelsior Brewing';Restaurants"/>
    <m/>
  </r>
  <r>
    <x v="6"/>
    <d v="2020-02-26T00:00:00"/>
    <s v="Discover More Card"/>
    <x v="99"/>
    <n v="12.99"/>
    <x v="11"/>
    <m/>
    <m/>
    <m/>
    <n v="12.99"/>
    <b v="0"/>
    <m/>
    <m/>
    <s v="-"/>
    <x v="99"/>
    <s v="Create Rule; and Description='Netflix';Utilities"/>
    <m/>
  </r>
  <r>
    <x v="6"/>
    <d v="2020-02-26T00:00:00"/>
    <s v="Discover"/>
    <x v="99"/>
    <n v="12.99"/>
    <x v="11"/>
    <m/>
    <m/>
    <m/>
    <n v="12.99"/>
    <b v="0"/>
    <m/>
    <m/>
    <s v="-"/>
    <x v="99"/>
    <s v="Create Rule; and Description='Netflix';Utilities"/>
    <m/>
  </r>
  <r>
    <x v="6"/>
    <d v="2020-02-27T00:00:00"/>
    <s v="Cash Rewards Visa Signature"/>
    <x v="0"/>
    <n v="21.35"/>
    <x v="0"/>
    <m/>
    <m/>
    <m/>
    <n v="21.35"/>
    <b v="0"/>
    <m/>
    <m/>
    <s v="-"/>
    <x v="0"/>
    <s v="Create Rule; and Description='Amazon';Amazon"/>
    <m/>
  </r>
  <r>
    <x v="6"/>
    <d v="2020-02-27T00:00:00"/>
    <s v="Joint Tenant"/>
    <x v="232"/>
    <n v="880.61"/>
    <x v="23"/>
    <m/>
    <m/>
    <m/>
    <n v="880.61"/>
    <b v="0"/>
    <m/>
    <m/>
    <s v="-"/>
    <x v="230"/>
    <s v="Create Rule; and Description='BOEING CO';Dividend"/>
    <m/>
  </r>
  <r>
    <x v="6"/>
    <d v="2020-02-27T00:00:00"/>
    <s v="Brokerage"/>
    <x v="232"/>
    <n v="880.61"/>
    <x v="23"/>
    <m/>
    <m/>
    <m/>
    <n v="880.61"/>
    <b v="0"/>
    <m/>
    <m/>
    <s v="-"/>
    <x v="230"/>
    <s v="Create Rule; and Description='BOEING CO';Dividend"/>
    <m/>
  </r>
  <r>
    <x v="6"/>
    <d v="2020-02-27T00:00:00"/>
    <s v="Joint Tenant"/>
    <x v="476"/>
    <n v="-500"/>
    <x v="3"/>
    <m/>
    <m/>
    <m/>
    <n v="500"/>
    <b v="0"/>
    <m/>
    <m/>
    <s v="+"/>
    <x v="459"/>
    <s v="Delete; and Source='Joint Tenant';0"/>
    <m/>
  </r>
  <r>
    <x v="6"/>
    <d v="2020-02-27T00:00:00"/>
    <s v="Brokerage"/>
    <x v="476"/>
    <n v="-500"/>
    <x v="3"/>
    <m/>
    <m/>
    <m/>
    <n v="500"/>
    <b v="0"/>
    <m/>
    <m/>
    <s v="+"/>
    <x v="459"/>
    <s v="Manual"/>
    <m/>
  </r>
  <r>
    <x v="6"/>
    <d v="2020-02-27T00:00:00"/>
    <s v="Cash Rewards Visa Signature"/>
    <x v="81"/>
    <n v="36.81"/>
    <x v="2"/>
    <m/>
    <m/>
    <m/>
    <n v="36.81"/>
    <b v="0"/>
    <m/>
    <m/>
    <s v="-"/>
    <x v="81"/>
    <s v="Create Rule; and Description='Holiday Stationstore';Transportation"/>
    <m/>
  </r>
  <r>
    <x v="6"/>
    <d v="2020-02-27T00:00:00"/>
    <s v="Cash Rewards Visa Signature"/>
    <x v="60"/>
    <n v="165.96"/>
    <x v="19"/>
    <m/>
    <m/>
    <m/>
    <n v="165.96"/>
    <b v="0"/>
    <m/>
    <m/>
    <s v="-"/>
    <x v="60"/>
    <s v="Create Rule; and Description='Home Depot';House Maintenance"/>
    <m/>
  </r>
  <r>
    <x v="6"/>
    <d v="2020-02-27T00:00:00"/>
    <s v="POWERPLUS"/>
    <x v="663"/>
    <n v="-2597.13"/>
    <x v="15"/>
    <m/>
    <m/>
    <m/>
    <n v="2597.13"/>
    <b v="0"/>
    <m/>
    <m/>
    <s v="+"/>
    <x v="641"/>
    <s v="Create Rule; and Description Like '%KAUFMAN HALL TYPE DIRECT DEP ID%';Inc - Jeff"/>
    <m/>
  </r>
  <r>
    <x v="6"/>
    <d v="2020-02-27T00:00:00"/>
    <s v="Joint Tenant"/>
    <x v="664"/>
    <n v="-0.28000000000000003"/>
    <x v="13"/>
    <m/>
    <m/>
    <m/>
    <n v="0.28000000000000003"/>
    <b v="0"/>
    <m/>
    <m/>
    <s v="+"/>
    <x v="642"/>
    <s v="Create Rule; and Description Like '%SCHWAB1 INT%';Inc - Other"/>
    <m/>
  </r>
  <r>
    <x v="6"/>
    <d v="2020-02-27T00:00:00"/>
    <s v="Brokerage"/>
    <x v="664"/>
    <n v="-0.28000000000000003"/>
    <x v="13"/>
    <m/>
    <m/>
    <m/>
    <n v="0.28000000000000003"/>
    <b v="0"/>
    <m/>
    <m/>
    <s v="+"/>
    <x v="642"/>
    <s v="Create Rule; and Description Like '%SCHWAB1 INT%';Inc - Other"/>
    <m/>
  </r>
  <r>
    <x v="6"/>
    <d v="2020-02-27T00:00:00"/>
    <s v="Cash Rewards Visa Signature"/>
    <x v="665"/>
    <n v="37.520000000000003"/>
    <x v="1"/>
    <m/>
    <m/>
    <m/>
    <n v="37.520000000000003"/>
    <b v="0"/>
    <m/>
    <m/>
    <s v="-"/>
    <x v="643"/>
    <s v="Manual"/>
    <m/>
  </r>
  <r>
    <x v="6"/>
    <d v="2020-02-27T00:00:00"/>
    <s v="POWERPLUS"/>
    <x v="666"/>
    <n v="5000"/>
    <x v="3"/>
    <m/>
    <m/>
    <m/>
    <n v="5000"/>
    <b v="0"/>
    <m/>
    <m/>
    <s v="-"/>
    <x v="644"/>
    <s v="Manual"/>
    <m/>
  </r>
  <r>
    <x v="6"/>
    <d v="2020-02-28T00:00:00"/>
    <s v="Investor Checking"/>
    <x v="164"/>
    <n v="-5000"/>
    <x v="3"/>
    <m/>
    <m/>
    <m/>
    <n v="5000"/>
    <b v="0"/>
    <m/>
    <m/>
    <s v="+"/>
    <x v="163"/>
    <s v="Manual"/>
    <m/>
  </r>
  <r>
    <x v="6"/>
    <d v="2020-02-28T00:00:00"/>
    <s v="Joint Tenant"/>
    <x v="232"/>
    <n v="823.54"/>
    <x v="23"/>
    <m/>
    <m/>
    <m/>
    <n v="823.54"/>
    <b v="0"/>
    <m/>
    <m/>
    <s v="-"/>
    <x v="230"/>
    <s v="Create Rule; and Description='BOEING CO';Dividend"/>
    <m/>
  </r>
  <r>
    <x v="6"/>
    <d v="2020-02-28T00:00:00"/>
    <s v="Brokerage"/>
    <x v="232"/>
    <n v="823.54"/>
    <x v="23"/>
    <m/>
    <m/>
    <m/>
    <n v="823.54"/>
    <b v="0"/>
    <m/>
    <m/>
    <s v="-"/>
    <x v="230"/>
    <s v="Create Rule; and Description='BOEING CO';Dividend"/>
    <m/>
  </r>
  <r>
    <x v="6"/>
    <d v="2020-02-28T00:00:00"/>
    <s v="Cash Rewards Visa Signature"/>
    <x v="667"/>
    <n v="43.19"/>
    <x v="10"/>
    <m/>
    <m/>
    <m/>
    <n v="43.19"/>
    <b v="0"/>
    <m/>
    <m/>
    <s v="-"/>
    <x v="645"/>
    <s v="Manual"/>
    <m/>
  </r>
  <r>
    <x v="6"/>
    <d v="2020-02-28T00:00:00"/>
    <s v="Investor Checking"/>
    <x v="186"/>
    <n v="5000"/>
    <x v="3"/>
    <m/>
    <m/>
    <m/>
    <n v="5000"/>
    <b v="0"/>
    <m/>
    <m/>
    <s v="-"/>
    <x v="185"/>
    <s v="Manual"/>
    <m/>
  </r>
  <r>
    <x v="6"/>
    <d v="2020-02-28T00:00:00"/>
    <s v="Cash Rewards Visa Signature"/>
    <x v="60"/>
    <n v="-96.61"/>
    <x v="19"/>
    <m/>
    <m/>
    <m/>
    <n v="96.61"/>
    <b v="0"/>
    <m/>
    <m/>
    <s v="+"/>
    <x v="60"/>
    <s v="Create Rule; and Description='Home Depot';House Maintenance"/>
    <m/>
  </r>
  <r>
    <x v="6"/>
    <d v="2020-02-28T00:00:00"/>
    <s v="Investor Checking"/>
    <x v="118"/>
    <n v="-0.09"/>
    <x v="3"/>
    <m/>
    <m/>
    <m/>
    <n v="0.09"/>
    <b v="0"/>
    <m/>
    <m/>
    <s v="+"/>
    <x v="118"/>
    <s v="Manual"/>
    <m/>
  </r>
  <r>
    <x v="6"/>
    <d v="2020-02-28T00:00:00"/>
    <s v="Joint Tenant"/>
    <x v="167"/>
    <n v="-250"/>
    <x v="21"/>
    <m/>
    <m/>
    <m/>
    <n v="250"/>
    <b v="0"/>
    <m/>
    <m/>
    <s v="+"/>
    <x v="166"/>
    <s v="Create Rule; and Description='KAUFMAN HALL';Savings"/>
    <m/>
  </r>
  <r>
    <x v="6"/>
    <d v="2020-02-28T00:00:00"/>
    <s v="Brokerage"/>
    <x v="167"/>
    <n v="-250"/>
    <x v="21"/>
    <m/>
    <m/>
    <m/>
    <n v="250"/>
    <b v="0"/>
    <m/>
    <m/>
    <s v="+"/>
    <x v="166"/>
    <s v="Create Rule; and Description='KAUFMAN HALL';Savings"/>
    <m/>
  </r>
  <r>
    <x v="6"/>
    <d v="2020-02-28T00:00:00"/>
    <s v="Joint Tenant"/>
    <x v="19"/>
    <n v="500"/>
    <x v="3"/>
    <m/>
    <m/>
    <m/>
    <n v="500"/>
    <b v="0"/>
    <m/>
    <m/>
    <s v="-"/>
    <x v="19"/>
    <s v="Delete; and Description='SCHWAB S&amp;P 500 INDEX FD' and inflowoutflow='-';0"/>
    <m/>
  </r>
  <r>
    <x v="6"/>
    <d v="2020-02-28T00:00:00"/>
    <s v="Brokerage"/>
    <x v="19"/>
    <n v="500"/>
    <x v="3"/>
    <m/>
    <m/>
    <m/>
    <n v="500"/>
    <b v="0"/>
    <m/>
    <m/>
    <s v="-"/>
    <x v="19"/>
    <s v="Delete; and Description='SCHWAB S&amp;P 500 INDEX FD' and inflowoutflow='-';0"/>
    <m/>
  </r>
  <r>
    <x v="6"/>
    <d v="2020-02-28T00:00:00"/>
    <s v="Joint Tenant"/>
    <x v="20"/>
    <n v="500"/>
    <x v="3"/>
    <m/>
    <m/>
    <m/>
    <n v="500"/>
    <b v="0"/>
    <m/>
    <m/>
    <s v="-"/>
    <x v="20"/>
    <s v="Delete; and Description='SCHWAB TOTAL STOCK MKT INDEX' and inflowoutflow='-';0"/>
    <m/>
  </r>
  <r>
    <x v="6"/>
    <d v="2020-02-28T00:00:00"/>
    <s v="Brokerage"/>
    <x v="20"/>
    <n v="500"/>
    <x v="3"/>
    <m/>
    <m/>
    <m/>
    <n v="500"/>
    <b v="0"/>
    <m/>
    <m/>
    <s v="-"/>
    <x v="20"/>
    <s v="Delete; and Description='SCHWAB TOTAL STOCK MKT INDEX' and inflowoutflow='-';0"/>
    <m/>
  </r>
  <r>
    <x v="6"/>
    <d v="2020-02-28T00:00:00"/>
    <s v="Jeff IRA"/>
    <x v="52"/>
    <n v="-250"/>
    <x v="17"/>
    <m/>
    <m/>
    <m/>
    <n v="250"/>
    <b v="0"/>
    <m/>
    <m/>
    <s v="+"/>
    <x v="52"/>
    <s v="Create Rule; and Description='Tfr JPMORGAN CHASE BAN, KAUFMAN HALL';Roth"/>
    <m/>
  </r>
  <r>
    <x v="6"/>
    <d v="2020-02-28T00:00:00"/>
    <s v="Cash Rewards Visa Signature"/>
    <x v="668"/>
    <n v="-268.79000000000002"/>
    <x v="8"/>
    <m/>
    <m/>
    <m/>
    <n v="268.79000000000002"/>
    <b v="0"/>
    <m/>
    <m/>
    <s v="+"/>
    <x v="646"/>
    <s v="Manual"/>
    <m/>
  </r>
  <r>
    <x v="6"/>
    <d v="2020-02-28T00:00:00"/>
    <s v="Joint Tenant"/>
    <x v="191"/>
    <n v="-5000"/>
    <x v="3"/>
    <m/>
    <m/>
    <m/>
    <n v="5000"/>
    <b v="0"/>
    <m/>
    <m/>
    <s v="+"/>
    <x v="190"/>
    <s v="Delete; and Source='Joint Tenant';0"/>
    <m/>
  </r>
  <r>
    <x v="6"/>
    <d v="2020-02-28T00:00:00"/>
    <s v="Brokerage"/>
    <x v="191"/>
    <n v="-5000"/>
    <x v="3"/>
    <m/>
    <m/>
    <m/>
    <n v="5000"/>
    <b v="0"/>
    <m/>
    <m/>
    <s v="+"/>
    <x v="190"/>
    <s v="Manual"/>
    <m/>
  </r>
  <r>
    <x v="6"/>
    <d v="2020-02-29T00:00:00"/>
    <s v="Cash Rewards Visa Signature"/>
    <x v="0"/>
    <n v="15.31"/>
    <x v="0"/>
    <m/>
    <m/>
    <m/>
    <n v="15.31"/>
    <b v="0"/>
    <m/>
    <m/>
    <s v="-"/>
    <x v="0"/>
    <s v="Create Rule; and Description='Amazon';Amazon"/>
    <m/>
  </r>
  <r>
    <x v="6"/>
    <d v="2020-02-29T00:00:00"/>
    <s v="Cash Rewards Visa Signature"/>
    <x v="0"/>
    <n v="21.46"/>
    <x v="0"/>
    <m/>
    <m/>
    <m/>
    <n v="21.46"/>
    <b v="0"/>
    <m/>
    <m/>
    <s v="-"/>
    <x v="0"/>
    <s v="Create Rule; and Description='Amazon';Amazon"/>
    <m/>
  </r>
  <r>
    <x v="6"/>
    <d v="2020-02-29T00:00:00"/>
    <s v="Coopers Rainy Day"/>
    <x v="114"/>
    <n v="-0.02"/>
    <x v="3"/>
    <m/>
    <m/>
    <m/>
    <n v="0.02"/>
    <b v="0"/>
    <m/>
    <m/>
    <s v="+"/>
    <x v="114"/>
    <s v="Manual"/>
    <m/>
  </r>
  <r>
    <x v="6"/>
    <d v="2020-02-29T00:00:00"/>
    <s v="Discover More Card"/>
    <x v="6"/>
    <n v="134.96"/>
    <x v="5"/>
    <m/>
    <m/>
    <m/>
    <n v="134.96"/>
    <b v="0"/>
    <m/>
    <m/>
    <s v="-"/>
    <x v="6"/>
    <s v="Create Rule; and Description Like '%Cub Foods%';Groceries"/>
    <m/>
  </r>
  <r>
    <x v="6"/>
    <d v="2020-02-29T00:00:00"/>
    <s v="Discover"/>
    <x v="6"/>
    <n v="134.96"/>
    <x v="5"/>
    <m/>
    <m/>
    <m/>
    <n v="134.96"/>
    <b v="0"/>
    <m/>
    <m/>
    <s v="-"/>
    <x v="6"/>
    <s v="Create Rule; and Description Like '%Cub Foods%';Groceries"/>
    <m/>
  </r>
  <r>
    <x v="6"/>
    <d v="2020-02-29T00:00:00"/>
    <s v="RAINY DAY"/>
    <x v="119"/>
    <n v="-17.22"/>
    <x v="13"/>
    <m/>
    <m/>
    <m/>
    <n v="17.22"/>
    <b v="0"/>
    <m/>
    <m/>
    <s v="+"/>
    <x v="119"/>
    <s v="Create Rule; and Description='Split Rate Apy';Inc - Other"/>
    <m/>
  </r>
  <r>
    <x v="6"/>
    <d v="2020-02-29T00:00:00"/>
    <s v="POWERPLUS"/>
    <x v="119"/>
    <n v="-34.770000000000003"/>
    <x v="13"/>
    <m/>
    <m/>
    <m/>
    <n v="34.770000000000003"/>
    <b v="0"/>
    <m/>
    <m/>
    <s v="+"/>
    <x v="119"/>
    <s v="Create Rule; and Description='Split Rate Apy';Inc - Other"/>
    <m/>
  </r>
  <r>
    <x v="12"/>
    <d v="2020-03-01T00:00:00"/>
    <s v="HIGHLANDER"/>
    <x v="669"/>
    <n v="-571.16999999999996"/>
    <x v="26"/>
    <m/>
    <m/>
    <m/>
    <n v="571.16999999999996"/>
    <b v="0"/>
    <m/>
    <m/>
    <s v="+"/>
    <x v="647"/>
    <m/>
    <m/>
  </r>
  <r>
    <x v="12"/>
    <d v="2020-03-01T00:00:00"/>
    <s v="POWERPLUS"/>
    <x v="670"/>
    <n v="618.65"/>
    <x v="26"/>
    <m/>
    <m/>
    <m/>
    <n v="618.65"/>
    <b v="0"/>
    <m/>
    <m/>
    <s v="-"/>
    <x v="648"/>
    <s v="Create Rule; and Description Like '%To Loan 02%';Car Loan"/>
    <m/>
  </r>
  <r>
    <x v="12"/>
    <d v="2020-03-01T00:00:00"/>
    <s v="POWERPLUS"/>
    <x v="26"/>
    <n v="-119"/>
    <x v="26"/>
    <m/>
    <m/>
    <m/>
    <n v="119"/>
    <b v="0"/>
    <m/>
    <m/>
    <s v="+"/>
    <x v="26"/>
    <s v="Delete; and Description='Venmo Type Cashout';0"/>
    <m/>
  </r>
  <r>
    <x v="12"/>
    <d v="2020-03-01T00:00:00"/>
    <s v="POWERPLUS"/>
    <x v="671"/>
    <n v="-0.56000000000000005"/>
    <x v="26"/>
    <m/>
    <m/>
    <m/>
    <n v="0.56000000000000005"/>
    <b v="0"/>
    <m/>
    <m/>
    <s v="+"/>
    <x v="649"/>
    <s v="Manual"/>
    <m/>
  </r>
  <r>
    <x v="12"/>
    <d v="2020-03-02T00:00:00"/>
    <s v="Cash Rewards Visa Signature"/>
    <x v="598"/>
    <n v="4.28"/>
    <x v="10"/>
    <m/>
    <m/>
    <m/>
    <n v="4.28"/>
    <b v="0"/>
    <m/>
    <m/>
    <s v="-"/>
    <x v="579"/>
    <s v="Create Rule; and Description='Amazon Music';Entertainment"/>
    <m/>
  </r>
  <r>
    <x v="12"/>
    <d v="2020-03-02T00:00:00"/>
    <s v="POWERPLUS"/>
    <x v="672"/>
    <n v="200"/>
    <x v="26"/>
    <m/>
    <m/>
    <m/>
    <n v="200"/>
    <b v="0"/>
    <m/>
    <m/>
    <s v="-"/>
    <x v="16"/>
    <s v="Create Rule; and Description Like '%College Savings%';College Savings"/>
    <m/>
  </r>
  <r>
    <x v="12"/>
    <d v="2020-03-02T00:00:00"/>
    <s v="Joint Tenant"/>
    <x v="187"/>
    <n v="-24.31"/>
    <x v="26"/>
    <m/>
    <m/>
    <m/>
    <n v="24.31"/>
    <b v="0"/>
    <m/>
    <m/>
    <s v="+"/>
    <x v="186"/>
    <s v="Create Rule; and Description='INTEL CORP';Dividend"/>
    <m/>
  </r>
  <r>
    <x v="12"/>
    <d v="2020-03-02T00:00:00"/>
    <s v="Cash Rewards Visa Signature"/>
    <x v="673"/>
    <n v="108.56"/>
    <x v="26"/>
    <m/>
    <m/>
    <m/>
    <n v="108.56"/>
    <b v="0"/>
    <m/>
    <m/>
    <s v="-"/>
    <x v="650"/>
    <s v="Create Rule; and Description Like '%LTFLIFE TIME MO DUES%';Gym"/>
    <m/>
  </r>
  <r>
    <x v="12"/>
    <d v="2020-03-02T00:00:00"/>
    <s v="POWERPLUS"/>
    <x v="674"/>
    <n v="78.75"/>
    <x v="26"/>
    <m/>
    <m/>
    <m/>
    <n v="78.75"/>
    <b v="0"/>
    <m/>
    <m/>
    <s v="-"/>
    <x v="651"/>
    <s v="Manual"/>
    <m/>
  </r>
  <r>
    <x v="12"/>
    <d v="2020-03-02T00:00:00"/>
    <s v="POWERPLUS"/>
    <x v="157"/>
    <n v="0.99"/>
    <x v="8"/>
    <m/>
    <m/>
    <m/>
    <n v="0.99"/>
    <b v="0"/>
    <m/>
    <m/>
    <s v="-"/>
    <x v="156"/>
    <s v="Create Rule; and Description Like '%PayPal%';Shopping"/>
    <m/>
  </r>
  <r>
    <x v="12"/>
    <d v="2020-03-02T00:00:00"/>
    <s v="Cash Rewards Visa Signature"/>
    <x v="675"/>
    <n v="74.98"/>
    <x v="26"/>
    <m/>
    <m/>
    <m/>
    <n v="74.98"/>
    <b v="0"/>
    <m/>
    <m/>
    <s v="-"/>
    <x v="652"/>
    <s v="Create Rule; and Description Like '%Rally House%';Shopping"/>
    <m/>
  </r>
  <r>
    <x v="12"/>
    <d v="2020-03-02T00:00:00"/>
    <s v="Cash Rewards Visa Signature"/>
    <x v="676"/>
    <n v="159"/>
    <x v="26"/>
    <m/>
    <m/>
    <m/>
    <n v="159"/>
    <b v="0"/>
    <m/>
    <m/>
    <s v="-"/>
    <x v="653"/>
    <s v="Create Rule; and Description Like '%SOTA CLOTHING%';Shopping"/>
    <m/>
  </r>
  <r>
    <x v="12"/>
    <d v="2020-03-02T00:00:00"/>
    <s v="POWERPLUS"/>
    <x v="29"/>
    <n v="300"/>
    <x v="8"/>
    <m/>
    <m/>
    <m/>
    <n v="300"/>
    <b v="0"/>
    <m/>
    <m/>
    <s v="-"/>
    <x v="29"/>
    <s v="Manual"/>
    <m/>
  </r>
  <r>
    <x v="12"/>
    <d v="2020-03-02T00:00:00"/>
    <s v="POWERPLUS"/>
    <x v="677"/>
    <n v="0.32"/>
    <x v="26"/>
    <m/>
    <m/>
    <m/>
    <n v="0.32"/>
    <b v="0"/>
    <m/>
    <m/>
    <s v="-"/>
    <x v="654"/>
    <s v="Manual"/>
    <m/>
  </r>
  <r>
    <x v="12"/>
    <d v="2020-03-02T00:00:00"/>
    <s v="POWERPLUS"/>
    <x v="678"/>
    <n v="0.24"/>
    <x v="26"/>
    <m/>
    <m/>
    <m/>
    <n v="0.24"/>
    <b v="0"/>
    <m/>
    <m/>
    <s v="-"/>
    <x v="655"/>
    <s v="Manual"/>
    <m/>
  </r>
  <r>
    <x v="12"/>
    <d v="2020-03-03T00:00:00"/>
    <s v="Joint Tenant"/>
    <x v="679"/>
    <n v="848.57"/>
    <x v="26"/>
    <m/>
    <m/>
    <m/>
    <n v="848.57"/>
    <b v="0"/>
    <m/>
    <m/>
    <s v="-"/>
    <x v="656"/>
    <s v="Delete; and Source='Joint Tenant';0"/>
    <m/>
  </r>
  <r>
    <x v="12"/>
    <d v="2020-03-03T00:00:00"/>
    <s v="POWERPLUS"/>
    <x v="680"/>
    <n v="124.96"/>
    <x v="26"/>
    <m/>
    <m/>
    <m/>
    <n v="124.96"/>
    <b v="0"/>
    <m/>
    <m/>
    <s v="-"/>
    <x v="146"/>
    <s v="Create Rule; and Description Like '%CPENERGY MNGCO%';Utilities"/>
    <m/>
  </r>
  <r>
    <x v="12"/>
    <d v="2020-03-03T00:00:00"/>
    <s v="Joint Tenant"/>
    <x v="187"/>
    <n v="24.31"/>
    <x v="26"/>
    <m/>
    <m/>
    <m/>
    <n v="24.31"/>
    <b v="0"/>
    <m/>
    <m/>
    <s v="-"/>
    <x v="186"/>
    <s v="Create Rule; and Description='INTEL CORP';Dividend"/>
    <m/>
  </r>
  <r>
    <x v="12"/>
    <d v="2020-03-03T00:00:00"/>
    <s v="POWERPLUS"/>
    <x v="681"/>
    <n v="500"/>
    <x v="26"/>
    <m/>
    <m/>
    <m/>
    <n v="500"/>
    <b v="0"/>
    <m/>
    <m/>
    <s v="-"/>
    <x v="657"/>
    <s v="Create Rule; and Description Like '%MN DIR ACH%';College Savings"/>
    <m/>
  </r>
  <r>
    <x v="12"/>
    <d v="2020-03-03T00:00:00"/>
    <s v="POWERPLUS"/>
    <x v="29"/>
    <n v="27"/>
    <x v="8"/>
    <m/>
    <m/>
    <m/>
    <n v="27"/>
    <b v="0"/>
    <m/>
    <m/>
    <s v="-"/>
    <x v="29"/>
    <s v="Manual"/>
    <m/>
  </r>
  <r>
    <x v="12"/>
    <d v="2020-03-03T00:00:00"/>
    <s v="POWERPLUS"/>
    <x v="29"/>
    <n v="75"/>
    <x v="8"/>
    <m/>
    <m/>
    <m/>
    <n v="75"/>
    <b v="0"/>
    <m/>
    <m/>
    <s v="-"/>
    <x v="29"/>
    <s v="Manual"/>
    <m/>
  </r>
  <r>
    <x v="12"/>
    <d v="2020-03-03T00:00:00"/>
    <s v="Joint Tenant"/>
    <x v="138"/>
    <n v="-22.44"/>
    <x v="26"/>
    <m/>
    <m/>
    <m/>
    <n v="22.44"/>
    <b v="0"/>
    <m/>
    <m/>
    <s v="+"/>
    <x v="137"/>
    <s v="Create Rule; and Description='VISA INC CLASS A';Dividend"/>
    <m/>
  </r>
  <r>
    <x v="11"/>
    <d v="2019-11-04T00:00:00"/>
    <s v="POWERPLUS CHECKING"/>
    <x v="610"/>
    <n v="2914.59"/>
    <x v="6"/>
    <m/>
    <m/>
    <m/>
    <n v="2914.59"/>
    <b v="0"/>
    <m/>
    <m/>
    <s v="-"/>
    <x v="265"/>
    <s v="Create Rule; and Description Like '%BCU MORTGAGE TYPE LOAN PAYMT ID 9DRAFTING CO BCU MORTGAGE%';Rent"/>
    <m/>
  </r>
  <r>
    <x v="12"/>
    <d v="2020-03-04T00:00:00"/>
    <s v="Discover More Card"/>
    <x v="0"/>
    <n v="23.4"/>
    <x v="0"/>
    <m/>
    <m/>
    <m/>
    <n v="23.4"/>
    <b v="0"/>
    <m/>
    <m/>
    <s v="-"/>
    <x v="0"/>
    <s v="Create Rule; and Description='Amazon';Amazon"/>
    <m/>
  </r>
  <r>
    <x v="12"/>
    <d v="2020-03-04T00:00:00"/>
    <s v="Discover"/>
    <x v="0"/>
    <n v="23.4"/>
    <x v="0"/>
    <m/>
    <m/>
    <m/>
    <n v="23.4"/>
    <b v="0"/>
    <m/>
    <m/>
    <s v="-"/>
    <x v="0"/>
    <s v="Create Rule; and Description='Amazon';Amazon"/>
    <m/>
  </r>
  <r>
    <x v="12"/>
    <d v="2020-03-04T00:00:00"/>
    <s v="POWERPLUS"/>
    <x v="682"/>
    <n v="-1986.9"/>
    <x v="26"/>
    <m/>
    <m/>
    <m/>
    <n v="1986.9"/>
    <b v="0"/>
    <m/>
    <m/>
    <s v="+"/>
    <x v="658"/>
    <s v="Create Rule; and Description Like '%CARGILL COCOA TYPE DIR DEP ID%';Inc - Britney"/>
    <m/>
  </r>
  <r>
    <x v="12"/>
    <d v="2020-03-04T00:00:00"/>
    <s v="Cash Rewards Visa Signature"/>
    <x v="523"/>
    <n v="24.27"/>
    <x v="1"/>
    <m/>
    <m/>
    <m/>
    <n v="24.27"/>
    <b v="0"/>
    <m/>
    <m/>
    <s v="-"/>
    <x v="504"/>
    <s v="Create Rule; and Description='Chick-Fil-A';Restaurants"/>
    <m/>
  </r>
  <r>
    <x v="12"/>
    <d v="2020-03-04T00:00:00"/>
    <s v="30 YR FIXED"/>
    <x v="683"/>
    <n v="-548.79"/>
    <x v="26"/>
    <m/>
    <m/>
    <m/>
    <n v="548.79"/>
    <b v="0"/>
    <m/>
    <m/>
    <s v="+"/>
    <x v="659"/>
    <m/>
    <m/>
  </r>
  <r>
    <x v="12"/>
    <d v="2020-03-04T00:00:00"/>
    <s v="POWERPLUS"/>
    <x v="157"/>
    <n v="16.989999999999998"/>
    <x v="8"/>
    <m/>
    <m/>
    <m/>
    <n v="16.989999999999998"/>
    <b v="0"/>
    <m/>
    <m/>
    <s v="-"/>
    <x v="156"/>
    <s v="Create Rule; and Description Like '%PayPal%';Shopping"/>
    <m/>
  </r>
  <r>
    <x v="12"/>
    <d v="2020-03-04T00:00:00"/>
    <s v="Joint Tenant"/>
    <x v="138"/>
    <n v="22.44"/>
    <x v="26"/>
    <m/>
    <m/>
    <m/>
    <n v="22.44"/>
    <b v="0"/>
    <m/>
    <m/>
    <s v="-"/>
    <x v="137"/>
    <s v="Create Rule; and Description='VISA INC CLASS A';Dividend"/>
    <m/>
  </r>
  <r>
    <x v="12"/>
    <d v="2020-03-05T00:00:00"/>
    <s v="CARGILL PARTNERSHIP PLAN"/>
    <x v="684"/>
    <n v="-4.57"/>
    <x v="26"/>
    <m/>
    <m/>
    <m/>
    <n v="4.57"/>
    <b v="0"/>
    <m/>
    <m/>
    <s v="+"/>
    <x v="660"/>
    <m/>
    <m/>
  </r>
  <r>
    <x v="12"/>
    <d v="2020-03-05T00:00:00"/>
    <s v="CARGILL PARTNERSHIP PLAN"/>
    <x v="685"/>
    <n v="-4.57"/>
    <x v="26"/>
    <m/>
    <m/>
    <m/>
    <n v="4.57"/>
    <b v="0"/>
    <m/>
    <m/>
    <s v="+"/>
    <x v="661"/>
    <m/>
    <m/>
  </r>
  <r>
    <x v="12"/>
    <d v="2020-03-05T00:00:00"/>
    <s v="CARGILL PARTNERSHIP PLAN"/>
    <x v="686"/>
    <n v="-4.57"/>
    <x v="26"/>
    <m/>
    <m/>
    <m/>
    <n v="4.57"/>
    <b v="0"/>
    <m/>
    <m/>
    <s v="+"/>
    <x v="662"/>
    <m/>
    <m/>
  </r>
  <r>
    <x v="12"/>
    <d v="2020-03-05T00:00:00"/>
    <s v="POWERPLUS"/>
    <x v="687"/>
    <n v="-100"/>
    <x v="26"/>
    <m/>
    <m/>
    <m/>
    <n v="100"/>
    <b v="0"/>
    <m/>
    <m/>
    <s v="+"/>
    <x v="663"/>
    <s v="Manual"/>
    <m/>
  </r>
  <r>
    <x v="12"/>
    <d v="2020-03-05T00:00:00"/>
    <s v="Cash Rewards Visa Signature"/>
    <x v="688"/>
    <n v="66.540000000000006"/>
    <x v="26"/>
    <m/>
    <m/>
    <m/>
    <n v="66.540000000000006"/>
    <b v="0"/>
    <m/>
    <m/>
    <s v="-"/>
    <x v="664"/>
    <s v="Manual"/>
    <m/>
  </r>
  <r>
    <x v="12"/>
    <d v="2020-03-05T00:00:00"/>
    <s v="Cash Rewards Visa Signature"/>
    <x v="689"/>
    <n v="64"/>
    <x v="26"/>
    <m/>
    <m/>
    <m/>
    <n v="64"/>
    <b v="0"/>
    <m/>
    <m/>
    <s v="-"/>
    <x v="665"/>
    <s v="Manual"/>
    <m/>
  </r>
  <r>
    <x v="12"/>
    <d v="2020-03-05T00:00:00"/>
    <s v="Cash Rewards Visa Signature"/>
    <x v="690"/>
    <n v="6.44"/>
    <x v="26"/>
    <m/>
    <m/>
    <m/>
    <n v="6.44"/>
    <b v="0"/>
    <m/>
    <m/>
    <s v="-"/>
    <x v="666"/>
    <s v="Create Rule; and Description Like '%LIFE TIME CAFE%';Restaurants"/>
    <m/>
  </r>
  <r>
    <x v="12"/>
    <d v="2020-03-05T00:00:00"/>
    <s v="Jeff IRA"/>
    <x v="19"/>
    <n v="1500"/>
    <x v="26"/>
    <m/>
    <m/>
    <m/>
    <n v="1500"/>
    <b v="0"/>
    <m/>
    <m/>
    <s v="-"/>
    <x v="19"/>
    <s v="Delete; and Description='SCHWAB S&amp;P 500 INDEX FD' and inflowoutflow='-';0"/>
    <m/>
  </r>
  <r>
    <x v="12"/>
    <d v="2020-03-05T00:00:00"/>
    <s v="Joint Tenant"/>
    <x v="494"/>
    <n v="-3.85"/>
    <x v="26"/>
    <m/>
    <m/>
    <m/>
    <n v="3.85"/>
    <b v="0"/>
    <m/>
    <m/>
    <s v="+"/>
    <x v="477"/>
    <s v="Delete; and Source='Joint Tenant';0"/>
    <m/>
  </r>
  <r>
    <x v="12"/>
    <d v="2020-03-06T00:00:00"/>
    <s v="Cash Rewards Visa Signature"/>
    <x v="691"/>
    <n v="-402.91"/>
    <x v="26"/>
    <m/>
    <m/>
    <m/>
    <n v="402.91"/>
    <b v="0"/>
    <m/>
    <m/>
    <s v="+"/>
    <x v="667"/>
    <s v="Delete; and Description Like '%PAYMENT THANK YOU%';0"/>
    <m/>
  </r>
  <r>
    <x v="12"/>
    <d v="2020-03-06T00:00:00"/>
    <s v="POWERPLUS"/>
    <x v="692"/>
    <n v="402.91"/>
    <x v="26"/>
    <m/>
    <m/>
    <m/>
    <n v="402.91"/>
    <b v="0"/>
    <m/>
    <m/>
    <s v="-"/>
    <x v="668"/>
    <s v="Delete; and Description Like '%Withdrawal Home payment to card%';0"/>
    <m/>
  </r>
  <r>
    <x v="12"/>
    <d v="2020-03-06T00:00:00"/>
    <s v="Joint Tenant"/>
    <x v="232"/>
    <n v="-111.44"/>
    <x v="26"/>
    <m/>
    <m/>
    <m/>
    <n v="111.44"/>
    <b v="0"/>
    <m/>
    <m/>
    <s v="+"/>
    <x v="230"/>
    <s v="Create Rule; and Description='BOEING CO';Dividend"/>
    <m/>
  </r>
  <r>
    <x v="12"/>
    <d v="2020-03-06T00:00:00"/>
    <s v="Joint Tenant"/>
    <x v="185"/>
    <n v="-200"/>
    <x v="26"/>
    <m/>
    <m/>
    <m/>
    <n v="200"/>
    <b v="0"/>
    <m/>
    <m/>
    <s v="+"/>
    <x v="184"/>
    <s v="Create Rule; and Description='CARGILL COCOA &amp;';Roth"/>
    <m/>
  </r>
  <r>
    <x v="12"/>
    <d v="2020-03-06T00:00:00"/>
    <s v="Discover More Card"/>
    <x v="6"/>
    <n v="109.6"/>
    <x v="5"/>
    <m/>
    <m/>
    <m/>
    <n v="109.6"/>
    <b v="0"/>
    <m/>
    <m/>
    <s v="-"/>
    <x v="6"/>
    <s v="Create Rule; and Description Like '%Cub Foods%';Groceries"/>
    <m/>
  </r>
  <r>
    <x v="12"/>
    <d v="2020-03-06T00:00:00"/>
    <s v="Discover"/>
    <x v="6"/>
    <n v="109.6"/>
    <x v="5"/>
    <m/>
    <m/>
    <m/>
    <n v="109.6"/>
    <b v="0"/>
    <m/>
    <m/>
    <s v="-"/>
    <x v="6"/>
    <s v="Create Rule; and Description Like '%Cub Foods%';Groceries"/>
    <m/>
  </r>
  <r>
    <x v="12"/>
    <d v="2020-03-06T00:00:00"/>
    <s v="Discover More Card"/>
    <x v="693"/>
    <n v="15.36"/>
    <x v="26"/>
    <m/>
    <m/>
    <m/>
    <n v="15.36"/>
    <b v="0"/>
    <m/>
    <m/>
    <s v="-"/>
    <x v="669"/>
    <s v="Create Rule; and Description='SHOREWOODLIQUOR SHOREWOOD MN';Groceries"/>
    <m/>
  </r>
  <r>
    <x v="12"/>
    <d v="2020-03-06T00:00:00"/>
    <s v="Discover"/>
    <x v="693"/>
    <n v="15.36"/>
    <x v="26"/>
    <m/>
    <m/>
    <m/>
    <n v="15.36"/>
    <b v="0"/>
    <m/>
    <m/>
    <s v="-"/>
    <x v="669"/>
    <s v="Manual"/>
    <m/>
  </r>
  <r>
    <x v="12"/>
    <d v="2020-03-06T00:00:00"/>
    <s v="Contributory"/>
    <x v="51"/>
    <n v="-231"/>
    <x v="26"/>
    <m/>
    <m/>
    <m/>
    <n v="231"/>
    <b v="0"/>
    <m/>
    <m/>
    <s v="+"/>
    <x v="51"/>
    <s v="Create Rule; and Description='Tfr JPMORGAN CHASE BAN, CARGILL COCOA &amp;';Roth"/>
    <m/>
  </r>
  <r>
    <x v="12"/>
    <d v="2020-03-06T00:00:00"/>
    <s v="Joint Tenant"/>
    <x v="494"/>
    <n v="3.85"/>
    <x v="26"/>
    <m/>
    <m/>
    <m/>
    <n v="3.85"/>
    <b v="0"/>
    <m/>
    <m/>
    <s v="-"/>
    <x v="477"/>
    <s v="Delete; and Source='Joint Tenant';0"/>
    <m/>
  </r>
  <r>
    <x v="12"/>
    <d v="2020-03-07T00:00:00"/>
    <s v="Discover More Card"/>
    <x v="0"/>
    <n v="9.3000000000000007"/>
    <x v="0"/>
    <m/>
    <m/>
    <m/>
    <n v="9.3000000000000007"/>
    <b v="0"/>
    <m/>
    <m/>
    <s v="-"/>
    <x v="0"/>
    <s v="Create Rule; and Description='Amazon';Amazon"/>
    <m/>
  </r>
  <r>
    <x v="12"/>
    <d v="2020-03-07T00:00:00"/>
    <s v="Discover"/>
    <x v="0"/>
    <n v="9.3000000000000007"/>
    <x v="0"/>
    <m/>
    <m/>
    <m/>
    <n v="9.3000000000000007"/>
    <b v="0"/>
    <m/>
    <m/>
    <s v="-"/>
    <x v="0"/>
    <s v="Create Rule; and Description='Amazon';Amazon"/>
    <m/>
  </r>
  <r>
    <x v="12"/>
    <d v="2020-03-07T00:00:00"/>
    <s v="Discover More Card"/>
    <x v="6"/>
    <n v="7.53"/>
    <x v="5"/>
    <m/>
    <m/>
    <m/>
    <n v="7.53"/>
    <b v="0"/>
    <m/>
    <m/>
    <s v="-"/>
    <x v="6"/>
    <s v="Create Rule; and Description Like '%Cub Foods%';Groceries"/>
    <m/>
  </r>
  <r>
    <x v="12"/>
    <d v="2020-03-07T00:00:00"/>
    <s v="Discover"/>
    <x v="6"/>
    <n v="7.53"/>
    <x v="5"/>
    <m/>
    <m/>
    <m/>
    <n v="7.53"/>
    <b v="0"/>
    <m/>
    <m/>
    <s v="-"/>
    <x v="6"/>
    <s v="Create Rule; and Description Like '%Cub Foods%';Groceries"/>
    <m/>
  </r>
  <r>
    <x v="12"/>
    <d v="2020-03-08T00:00:00"/>
    <s v="Cash Rewards Visa Signature"/>
    <x v="694"/>
    <n v="64.2"/>
    <x v="26"/>
    <m/>
    <m/>
    <m/>
    <n v="64.2"/>
    <b v="0"/>
    <m/>
    <m/>
    <s v="-"/>
    <x v="670"/>
    <s v="Manual"/>
    <m/>
  </r>
  <r>
    <x v="12"/>
    <d v="2020-03-08T00:00:00"/>
    <s v="Cash Rewards Visa Signature"/>
    <x v="695"/>
    <n v="182.54"/>
    <x v="26"/>
    <m/>
    <m/>
    <m/>
    <n v="182.54"/>
    <b v="0"/>
    <m/>
    <m/>
    <s v="-"/>
    <x v="671"/>
    <s v="Create Rule; and Description Like '%DETAILS RESIDENTIAL SRVC 6122161751 MN%';House Maintenance"/>
    <m/>
  </r>
  <r>
    <x v="12"/>
    <d v="2020-03-08T00:00:00"/>
    <s v="Cash Rewards Visa Signature"/>
    <x v="696"/>
    <n v="24.62"/>
    <x v="26"/>
    <m/>
    <m/>
    <m/>
    <n v="24.62"/>
    <b v="0"/>
    <m/>
    <m/>
    <s v="-"/>
    <x v="672"/>
    <s v="Manual"/>
    <m/>
  </r>
  <r>
    <x v="12"/>
    <d v="2020-03-08T00:00:00"/>
    <s v="Cash Rewards Visa Signature"/>
    <x v="697"/>
    <n v="4.25"/>
    <x v="26"/>
    <m/>
    <m/>
    <m/>
    <n v="4.25"/>
    <b v="0"/>
    <m/>
    <m/>
    <s v="-"/>
    <x v="673"/>
    <s v="Manual"/>
    <m/>
  </r>
  <r>
    <x v="12"/>
    <d v="2020-03-08T00:00:00"/>
    <s v="Cash Rewards Visa Signature"/>
    <x v="2"/>
    <n v="32.840000000000003"/>
    <x v="2"/>
    <m/>
    <m/>
    <m/>
    <n v="32.840000000000003"/>
    <b v="0"/>
    <m/>
    <m/>
    <s v="-"/>
    <x v="2"/>
    <s v="Create Rule; and Description='Speedway';Transportation"/>
    <m/>
  </r>
  <r>
    <x v="12"/>
    <d v="2020-03-09T00:00:00"/>
    <s v="Discover More Card"/>
    <x v="0"/>
    <n v="27.44"/>
    <x v="0"/>
    <m/>
    <m/>
    <m/>
    <n v="27.44"/>
    <b v="0"/>
    <m/>
    <m/>
    <s v="-"/>
    <x v="0"/>
    <s v="Create Rule; and Description='Amazon';Amazon"/>
    <m/>
  </r>
  <r>
    <x v="12"/>
    <d v="2020-03-09T00:00:00"/>
    <s v="Discover"/>
    <x v="0"/>
    <n v="27.44"/>
    <x v="0"/>
    <m/>
    <m/>
    <m/>
    <n v="27.44"/>
    <b v="0"/>
    <m/>
    <m/>
    <s v="-"/>
    <x v="0"/>
    <s v="Create Rule; and Description='Amazon';Amazon"/>
    <m/>
  </r>
  <r>
    <x v="12"/>
    <d v="2020-03-09T00:00:00"/>
    <s v="Joint Tenant"/>
    <x v="232"/>
    <n v="111.44"/>
    <x v="26"/>
    <m/>
    <m/>
    <m/>
    <n v="111.44"/>
    <b v="0"/>
    <m/>
    <m/>
    <s v="-"/>
    <x v="230"/>
    <s v="Create Rule; and Description='BOEING CO';Dividend"/>
    <m/>
  </r>
  <r>
    <x v="12"/>
    <d v="2020-03-09T00:00:00"/>
    <s v="POWERPLUS"/>
    <x v="698"/>
    <n v="82.38"/>
    <x v="26"/>
    <m/>
    <m/>
    <m/>
    <n v="82.38"/>
    <b v="0"/>
    <m/>
    <m/>
    <s v="-"/>
    <x v="674"/>
    <s v="Manual"/>
    <m/>
  </r>
  <r>
    <x v="12"/>
    <d v="2020-03-09T00:00:00"/>
    <s v="POWERPLUS"/>
    <x v="157"/>
    <n v="7.43"/>
    <x v="8"/>
    <m/>
    <m/>
    <m/>
    <n v="7.43"/>
    <b v="0"/>
    <m/>
    <m/>
    <s v="-"/>
    <x v="156"/>
    <s v="Create Rule; and Description Like '%PayPal%';Shopping"/>
    <m/>
  </r>
  <r>
    <x v="12"/>
    <d v="2020-03-09T00:00:00"/>
    <s v="Jeff IRA"/>
    <x v="19"/>
    <n v="500"/>
    <x v="26"/>
    <m/>
    <m/>
    <m/>
    <n v="500"/>
    <b v="0"/>
    <m/>
    <m/>
    <s v="-"/>
    <x v="19"/>
    <s v="Delete; and Description='SCHWAB S&amp;P 500 INDEX FD' and inflowoutflow='-';0"/>
    <m/>
  </r>
  <r>
    <x v="12"/>
    <d v="2020-03-09T00:00:00"/>
    <s v="Joint Tenant"/>
    <x v="358"/>
    <n v="875.26"/>
    <x v="26"/>
    <m/>
    <m/>
    <m/>
    <n v="875.26"/>
    <b v="0"/>
    <m/>
    <m/>
    <s v="-"/>
    <x v="349"/>
    <s v="Delete; and Source='Joint Tenant';0"/>
    <m/>
  </r>
  <r>
    <x v="12"/>
    <d v="2020-03-09T00:00:00"/>
    <s v="POWERPLUS"/>
    <x v="29"/>
    <n v="29"/>
    <x v="8"/>
    <m/>
    <m/>
    <m/>
    <n v="29"/>
    <b v="0"/>
    <m/>
    <m/>
    <s v="-"/>
    <x v="29"/>
    <s v="Manual"/>
    <m/>
  </r>
  <r>
    <x v="12"/>
    <d v="2020-03-10T00:00:00"/>
    <s v="Joint Tenant"/>
    <x v="232"/>
    <n v="665.77"/>
    <x v="26"/>
    <m/>
    <m/>
    <m/>
    <n v="665.77"/>
    <b v="0"/>
    <m/>
    <m/>
    <s v="-"/>
    <x v="230"/>
    <s v="Create Rule; and Description='BOEING CO';Dividend"/>
    <m/>
  </r>
  <r>
    <x v="12"/>
    <d v="2020-03-10T00:00:00"/>
    <s v="Joint Tenant"/>
    <x v="245"/>
    <n v="-49.87"/>
    <x v="26"/>
    <m/>
    <m/>
    <m/>
    <n v="49.87"/>
    <b v="0"/>
    <m/>
    <m/>
    <s v="+"/>
    <x v="243"/>
    <s v="Create Rule; and Description='CHEVRON CORP';Dividend"/>
    <m/>
  </r>
  <r>
    <x v="12"/>
    <d v="2020-03-10T00:00:00"/>
    <s v="POWERPLUS"/>
    <x v="699"/>
    <n v="78.75"/>
    <x v="26"/>
    <m/>
    <m/>
    <m/>
    <n v="78.75"/>
    <b v="0"/>
    <m/>
    <m/>
    <s v="-"/>
    <x v="675"/>
    <s v="Manual"/>
    <m/>
  </r>
  <r>
    <x v="12"/>
    <d v="2020-03-10T00:00:00"/>
    <s v="POWERPLUS"/>
    <x v="30"/>
    <n v="101.59"/>
    <x v="11"/>
    <m/>
    <m/>
    <m/>
    <n v="101.59"/>
    <b v="0"/>
    <m/>
    <m/>
    <s v="-"/>
    <x v="30"/>
    <s v="Create Rule; and Description='Xcel Energy';Utilities"/>
    <m/>
  </r>
  <r>
    <x v="12"/>
    <d v="2020-03-11T00:00:00"/>
    <s v="Joint Tenant"/>
    <x v="232"/>
    <n v="761.15"/>
    <x v="26"/>
    <m/>
    <m/>
    <m/>
    <n v="761.15"/>
    <b v="0"/>
    <m/>
    <m/>
    <s v="-"/>
    <x v="230"/>
    <s v="Create Rule; and Description='BOEING CO';Dividend"/>
    <m/>
  </r>
  <r>
    <x v="12"/>
    <d v="2020-03-11T00:00:00"/>
    <s v="Joint Tenant"/>
    <x v="245"/>
    <n v="49.87"/>
    <x v="26"/>
    <m/>
    <m/>
    <m/>
    <n v="49.87"/>
    <b v="0"/>
    <m/>
    <m/>
    <s v="-"/>
    <x v="243"/>
    <s v="Create Rule; and Description='CHEVRON CORP';Dividend"/>
    <m/>
  </r>
  <r>
    <x v="12"/>
    <d v="2020-03-11T00:00:00"/>
    <s v="Cash Rewards Visa Signature"/>
    <x v="68"/>
    <n v="18"/>
    <x v="26"/>
    <m/>
    <m/>
    <m/>
    <n v="18"/>
    <b v="0"/>
    <m/>
    <m/>
    <s v="-"/>
    <x v="68"/>
    <s v="Create Rule; and Description='Harvard Business';Entertainment"/>
    <m/>
  </r>
  <r>
    <x v="12"/>
    <d v="2020-03-11T00:00:00"/>
    <s v="Joint Tenant"/>
    <x v="20"/>
    <n v="500"/>
    <x v="26"/>
    <m/>
    <m/>
    <m/>
    <n v="500"/>
    <b v="0"/>
    <m/>
    <m/>
    <s v="-"/>
    <x v="20"/>
    <s v="Delete; and Description='SCHWAB TOTAL STOCK MKT INDEX' and inflowoutflow='-';0"/>
    <m/>
  </r>
  <r>
    <x v="12"/>
    <d v="2020-03-12T00:00:00"/>
    <s v="Joint Tenant"/>
    <x v="232"/>
    <n v="497"/>
    <x v="26"/>
    <m/>
    <m/>
    <m/>
    <n v="497"/>
    <b v="0"/>
    <m/>
    <m/>
    <s v="-"/>
    <x v="230"/>
    <s v="Create Rule; and Description='BOEING CO';Dividend"/>
    <m/>
  </r>
  <r>
    <x v="12"/>
    <d v="2020-03-12T00:00:00"/>
    <s v="Discover More Card"/>
    <x v="67"/>
    <n v="45"/>
    <x v="11"/>
    <m/>
    <m/>
    <m/>
    <n v="45"/>
    <b v="0"/>
    <m/>
    <m/>
    <s v="-"/>
    <x v="67"/>
    <s v="Create Rule; and Description='CenturyLink';Utilities"/>
    <m/>
  </r>
  <r>
    <x v="12"/>
    <d v="2020-03-12T00:00:00"/>
    <s v="Discover"/>
    <x v="67"/>
    <n v="45"/>
    <x v="11"/>
    <m/>
    <m/>
    <m/>
    <n v="45"/>
    <b v="0"/>
    <m/>
    <m/>
    <s v="-"/>
    <x v="67"/>
    <s v="Create Rule; and Description='CenturyLink';Utilities"/>
    <m/>
  </r>
  <r>
    <x v="12"/>
    <d v="2020-03-12T00:00:00"/>
    <s v="POWERPLUS"/>
    <x v="700"/>
    <n v="-12089.95"/>
    <x v="26"/>
    <m/>
    <m/>
    <m/>
    <n v="12089.95"/>
    <b v="0"/>
    <m/>
    <m/>
    <s v="+"/>
    <x v="676"/>
    <s v="Create Rule; and Description Like '%KAUFMAN HALL TYPE DIRECT DEP ID%';Inc - Jeff"/>
    <m/>
  </r>
  <r>
    <x v="12"/>
    <d v="2020-03-12T00:00:00"/>
    <s v="POWERPLUS"/>
    <x v="701"/>
    <n v="-2688.26"/>
    <x v="26"/>
    <m/>
    <m/>
    <m/>
    <n v="2688.26"/>
    <b v="0"/>
    <m/>
    <m/>
    <s v="+"/>
    <x v="677"/>
    <s v="Create Rule; and Description Like '%KAUFMAN HALL TYPE DIRECT DEP ID%';Inc - Jeff"/>
    <m/>
  </r>
  <r>
    <x v="12"/>
    <d v="2020-03-12T00:00:00"/>
    <s v="Joint Tenant"/>
    <x v="20"/>
    <n v="500"/>
    <x v="26"/>
    <m/>
    <m/>
    <m/>
    <n v="500"/>
    <b v="0"/>
    <m/>
    <m/>
    <s v="-"/>
    <x v="20"/>
    <s v="Delete; and Description='SCHWAB TOTAL STOCK MKT INDEX' and inflowoutflow='-';0"/>
    <m/>
  </r>
  <r>
    <x v="12"/>
    <d v="2020-03-12T00:00:00"/>
    <s v="POWERPLUS"/>
    <x v="702"/>
    <n v="5000"/>
    <x v="26"/>
    <m/>
    <m/>
    <m/>
    <n v="5000"/>
    <b v="0"/>
    <m/>
    <m/>
    <s v="-"/>
    <x v="678"/>
    <s v="Manual"/>
    <m/>
  </r>
  <r>
    <x v="12"/>
    <d v="2020-03-13T00:00:00"/>
    <s v="Discover More Card"/>
    <x v="56"/>
    <n v="-367.03"/>
    <x v="3"/>
    <m/>
    <m/>
    <m/>
    <n v="367.03"/>
    <b v="0"/>
    <m/>
    <m/>
    <s v="+"/>
    <x v="56"/>
    <s v="Delete; and Description='INTERNET PAYMENT - THANK YOU';0"/>
    <m/>
  </r>
  <r>
    <x v="12"/>
    <d v="2020-03-13T00:00:00"/>
    <s v="Discover"/>
    <x v="56"/>
    <n v="-367.03"/>
    <x v="3"/>
    <m/>
    <m/>
    <m/>
    <n v="367.03"/>
    <b v="0"/>
    <m/>
    <m/>
    <s v="+"/>
    <x v="56"/>
    <s v="Delete; and Description='INTERNET PAYMENT - THANK YOU';0"/>
    <m/>
  </r>
  <r>
    <x v="12"/>
    <d v="2020-03-13T00:00:00"/>
    <s v="Cash Rewards Visa Signature"/>
    <x v="703"/>
    <n v="-481.43"/>
    <x v="26"/>
    <m/>
    <m/>
    <m/>
    <n v="481.43"/>
    <b v="0"/>
    <m/>
    <m/>
    <s v="+"/>
    <x v="679"/>
    <s v="Delete; and Description Like '%PAYMENT THANK YOU%';0"/>
    <m/>
  </r>
  <r>
    <x v="12"/>
    <d v="2020-03-13T00:00:00"/>
    <s v="POWERPLUS"/>
    <x v="704"/>
    <n v="481.43"/>
    <x v="26"/>
    <m/>
    <m/>
    <m/>
    <n v="481.43"/>
    <b v="0"/>
    <m/>
    <m/>
    <s v="-"/>
    <x v="680"/>
    <s v="Delete; and Description Like '%Withdrawal Home payment to card%';0"/>
    <m/>
  </r>
  <r>
    <x v="12"/>
    <d v="2020-03-13T00:00:00"/>
    <s v="Investor Checking"/>
    <x v="164"/>
    <n v="-5000"/>
    <x v="26"/>
    <m/>
    <m/>
    <m/>
    <n v="5000"/>
    <b v="0"/>
    <m/>
    <m/>
    <s v="+"/>
    <x v="163"/>
    <s v="Manual"/>
    <m/>
  </r>
  <r>
    <x v="12"/>
    <d v="2020-03-13T00:00:00"/>
    <s v="Discover More Card"/>
    <x v="0"/>
    <n v="-27.44"/>
    <x v="0"/>
    <m/>
    <m/>
    <m/>
    <n v="27.44"/>
    <b v="0"/>
    <m/>
    <m/>
    <s v="+"/>
    <x v="0"/>
    <s v="Create Rule; and Description='Amazon';Amazon"/>
    <m/>
  </r>
  <r>
    <x v="12"/>
    <d v="2020-03-13T00:00:00"/>
    <s v="Cash Rewards Visa Signature"/>
    <x v="0"/>
    <n v="14.98"/>
    <x v="0"/>
    <m/>
    <m/>
    <m/>
    <n v="14.98"/>
    <b v="0"/>
    <m/>
    <m/>
    <s v="-"/>
    <x v="0"/>
    <s v="Create Rule; and Description='Amazon';Amazon"/>
    <m/>
  </r>
  <r>
    <x v="12"/>
    <d v="2020-03-13T00:00:00"/>
    <s v="Discover"/>
    <x v="0"/>
    <n v="-27.44"/>
    <x v="0"/>
    <m/>
    <m/>
    <m/>
    <n v="27.44"/>
    <b v="0"/>
    <m/>
    <m/>
    <s v="+"/>
    <x v="0"/>
    <s v="Create Rule; and Description='Amazon';Amazon"/>
    <m/>
  </r>
  <r>
    <x v="12"/>
    <d v="2020-03-13T00:00:00"/>
    <s v="Cash Rewards Visa Signature"/>
    <x v="0"/>
    <n v="30.05"/>
    <x v="0"/>
    <m/>
    <m/>
    <m/>
    <n v="30.05"/>
    <b v="0"/>
    <m/>
    <m/>
    <s v="-"/>
    <x v="0"/>
    <s v="Create Rule; and Description='Amazon';Amazon"/>
    <m/>
  </r>
  <r>
    <x v="12"/>
    <d v="2020-03-13T00:00:00"/>
    <s v="Joint Tenant"/>
    <x v="232"/>
    <n v="673.85"/>
    <x v="26"/>
    <m/>
    <m/>
    <m/>
    <n v="673.85"/>
    <b v="0"/>
    <m/>
    <m/>
    <s v="-"/>
    <x v="230"/>
    <s v="Create Rule; and Description='BOEING CO';Dividend"/>
    <m/>
  </r>
  <r>
    <x v="12"/>
    <d v="2020-03-13T00:00:00"/>
    <s v="Investor Checking"/>
    <x v="186"/>
    <n v="5700"/>
    <x v="26"/>
    <m/>
    <m/>
    <m/>
    <n v="5700"/>
    <b v="0"/>
    <m/>
    <m/>
    <s v="-"/>
    <x v="185"/>
    <s v="Manual"/>
    <m/>
  </r>
  <r>
    <x v="12"/>
    <d v="2020-03-13T00:00:00"/>
    <s v="Joint Tenant"/>
    <x v="167"/>
    <n v="-250"/>
    <x v="26"/>
    <m/>
    <m/>
    <m/>
    <n v="250"/>
    <b v="0"/>
    <m/>
    <m/>
    <s v="+"/>
    <x v="166"/>
    <s v="Create Rule; and Description='KAUFMAN HALL';Savings"/>
    <m/>
  </r>
  <r>
    <x v="12"/>
    <d v="2020-03-13T00:00:00"/>
    <s v="Jeff IRA"/>
    <x v="52"/>
    <n v="-250"/>
    <x v="26"/>
    <m/>
    <m/>
    <m/>
    <n v="250"/>
    <b v="0"/>
    <m/>
    <m/>
    <s v="+"/>
    <x v="52"/>
    <s v="Create Rule; and Description='Tfr JPMORGAN CHASE BAN, KAUFMAN HALL';Roth"/>
    <m/>
  </r>
  <r>
    <x v="12"/>
    <d v="2020-03-13T00:00:00"/>
    <s v="Discover More Card"/>
    <x v="705"/>
    <n v="54.52"/>
    <x v="26"/>
    <m/>
    <m/>
    <m/>
    <n v="54.52"/>
    <b v="0"/>
    <m/>
    <m/>
    <s v="-"/>
    <x v="681"/>
    <m/>
    <m/>
  </r>
  <r>
    <x v="12"/>
    <d v="2020-03-13T00:00:00"/>
    <s v="Discover"/>
    <x v="705"/>
    <n v="54.52"/>
    <x v="26"/>
    <m/>
    <m/>
    <m/>
    <n v="54.52"/>
    <b v="0"/>
    <m/>
    <m/>
    <s v="-"/>
    <x v="681"/>
    <s v="Manual"/>
    <m/>
  </r>
  <r>
    <x v="12"/>
    <d v="2020-03-13T00:00:00"/>
    <s v="Joint Tenant"/>
    <x v="191"/>
    <n v="-5700"/>
    <x v="26"/>
    <m/>
    <m/>
    <m/>
    <n v="5700"/>
    <b v="0"/>
    <m/>
    <m/>
    <s v="+"/>
    <x v="190"/>
    <s v="Delete; and Source='Joint Tenant';0"/>
    <m/>
  </r>
  <r>
    <x v="12"/>
    <d v="2020-03-13T00:00:00"/>
    <s v="Cash Rewards Visa Signature"/>
    <x v="706"/>
    <n v="42.48"/>
    <x v="26"/>
    <m/>
    <m/>
    <m/>
    <n v="42.48"/>
    <b v="0"/>
    <m/>
    <m/>
    <s v="-"/>
    <x v="682"/>
    <s v="Manual"/>
    <m/>
  </r>
  <r>
    <x v="12"/>
    <d v="2020-03-15T00:00:00"/>
    <s v="Discover More Card"/>
    <x v="70"/>
    <n v="140.29"/>
    <x v="26"/>
    <m/>
    <m/>
    <m/>
    <n v="140.29"/>
    <b v="0"/>
    <m/>
    <m/>
    <s v="-"/>
    <x v="70"/>
    <s v="Create Rule; and Description like '%Byerly%';Groceries"/>
    <m/>
  </r>
  <r>
    <x v="12"/>
    <d v="2020-03-15T00:00:00"/>
    <s v="Discover"/>
    <x v="70"/>
    <n v="140.29"/>
    <x v="26"/>
    <m/>
    <m/>
    <m/>
    <n v="140.29"/>
    <b v="0"/>
    <m/>
    <m/>
    <s v="-"/>
    <x v="70"/>
    <s v="Create Rule; and Description like '%Byerly%';Groceries"/>
    <m/>
  </r>
  <r>
    <x v="12"/>
    <d v="2020-03-15T00:00:00"/>
    <s v="Cash Rewards Visa Signature"/>
    <x v="152"/>
    <n v="15.18"/>
    <x v="26"/>
    <m/>
    <m/>
    <m/>
    <n v="15.18"/>
    <b v="0"/>
    <m/>
    <m/>
    <s v="-"/>
    <x v="151"/>
    <s v="Create Rule; and Description='Excelsior Brewing';Restaurants"/>
    <m/>
  </r>
  <r>
    <x v="12"/>
    <d v="2020-03-15T00:00:00"/>
    <s v="Cash Rewards Visa Signature"/>
    <x v="707"/>
    <n v="62.58"/>
    <x v="26"/>
    <m/>
    <m/>
    <m/>
    <n v="62.58"/>
    <b v="0"/>
    <m/>
    <m/>
    <s v="-"/>
    <x v="683"/>
    <s v="Manual"/>
    <m/>
  </r>
  <r>
    <x v="12"/>
    <d v="2020-03-15T00:00:00"/>
    <s v="Cash Rewards Visa Signature"/>
    <x v="60"/>
    <n v="41.77"/>
    <x v="26"/>
    <m/>
    <m/>
    <m/>
    <n v="41.77"/>
    <b v="0"/>
    <m/>
    <m/>
    <s v="-"/>
    <x v="60"/>
    <s v="Create Rule; and Description='Home Depot';House Maintenance"/>
    <m/>
  </r>
  <r>
    <x v="12"/>
    <d v="2020-03-16T00:00:00"/>
    <s v="POWERPLUS"/>
    <x v="708"/>
    <n v="367.03"/>
    <x v="26"/>
    <m/>
    <m/>
    <m/>
    <n v="367.03"/>
    <b v="0"/>
    <m/>
    <m/>
    <s v="-"/>
    <x v="684"/>
    <s v="Delete; and Description Like '%DISCOVER TYPE EPAYMENT%';0"/>
    <m/>
  </r>
  <r>
    <x v="12"/>
    <d v="2020-03-16T00:00:00"/>
    <s v="POWERPLUS"/>
    <x v="48"/>
    <n v="114.39"/>
    <x v="16"/>
    <m/>
    <m/>
    <m/>
    <n v="114.39"/>
    <b v="0"/>
    <m/>
    <m/>
    <s v="-"/>
    <x v="48"/>
    <s v="Create Rule; and Description='American Family Insurance';Insurance"/>
    <m/>
  </r>
  <r>
    <x v="12"/>
    <d v="2020-03-16T00:00:00"/>
    <s v="Britney Roth"/>
    <x v="709"/>
    <n v="-0.01"/>
    <x v="26"/>
    <m/>
    <m/>
    <m/>
    <n v="0.01"/>
    <b v="0"/>
    <m/>
    <m/>
    <s v="+"/>
    <x v="685"/>
    <m/>
    <m/>
  </r>
  <r>
    <x v="12"/>
    <d v="2020-03-16T00:00:00"/>
    <s v="Jeff Roth"/>
    <x v="709"/>
    <n v="-0.01"/>
    <x v="26"/>
    <m/>
    <m/>
    <m/>
    <n v="0.01"/>
    <b v="0"/>
    <m/>
    <m/>
    <s v="+"/>
    <x v="685"/>
    <m/>
    <m/>
  </r>
  <r>
    <x v="12"/>
    <d v="2020-03-16T00:00:00"/>
    <s v="Roth Contributory IRA"/>
    <x v="709"/>
    <n v="-0.01"/>
    <x v="26"/>
    <m/>
    <m/>
    <m/>
    <n v="0.01"/>
    <b v="0"/>
    <m/>
    <m/>
    <s v="+"/>
    <x v="685"/>
    <m/>
    <m/>
  </r>
  <r>
    <x v="12"/>
    <d v="2020-03-16T00:00:00"/>
    <s v="Contributory"/>
    <x v="710"/>
    <n v="-0.17"/>
    <x v="26"/>
    <m/>
    <m/>
    <m/>
    <n v="0.17"/>
    <b v="0"/>
    <m/>
    <m/>
    <s v="+"/>
    <x v="686"/>
    <m/>
    <m/>
  </r>
  <r>
    <x v="12"/>
    <d v="2020-03-16T00:00:00"/>
    <s v="Jeff IRA"/>
    <x v="710"/>
    <n v="-0.17"/>
    <x v="26"/>
    <m/>
    <m/>
    <m/>
    <n v="0.17"/>
    <b v="0"/>
    <m/>
    <m/>
    <s v="+"/>
    <x v="686"/>
    <m/>
    <m/>
  </r>
  <r>
    <x v="12"/>
    <d v="2020-03-16T00:00:00"/>
    <s v="Joint Tenant"/>
    <x v="232"/>
    <n v="559.49"/>
    <x v="26"/>
    <m/>
    <m/>
    <m/>
    <n v="559.49"/>
    <b v="0"/>
    <m/>
    <m/>
    <s v="-"/>
    <x v="230"/>
    <s v="Create Rule; and Description='BOEING CO';Dividend"/>
    <m/>
  </r>
  <r>
    <x v="12"/>
    <d v="2020-03-16T00:00:00"/>
    <s v="Cash Rewards Visa Signature"/>
    <x v="711"/>
    <n v="41.29"/>
    <x v="26"/>
    <m/>
    <m/>
    <m/>
    <n v="41.29"/>
    <b v="0"/>
    <m/>
    <m/>
    <s v="-"/>
    <x v="687"/>
    <s v="Manual"/>
    <m/>
  </r>
  <r>
    <x v="12"/>
    <d v="2020-03-16T00:00:00"/>
    <s v="Cash Rewards Visa Signature"/>
    <x v="711"/>
    <n v="53.68"/>
    <x v="26"/>
    <m/>
    <m/>
    <m/>
    <n v="53.68"/>
    <b v="0"/>
    <m/>
    <m/>
    <s v="-"/>
    <x v="687"/>
    <s v="Manual"/>
    <m/>
  </r>
  <r>
    <x v="12"/>
    <d v="2020-03-16T00:00:00"/>
    <s v="Cash Rewards Visa Signature"/>
    <x v="81"/>
    <n v="23.61"/>
    <x v="26"/>
    <m/>
    <m/>
    <m/>
    <n v="23.61"/>
    <b v="0"/>
    <m/>
    <m/>
    <s v="-"/>
    <x v="81"/>
    <s v="Create Rule; and Description='Holiday Stationstore';Transportation"/>
    <m/>
  </r>
  <r>
    <x v="12"/>
    <d v="2020-03-16T00:00:00"/>
    <s v="Cash Rewards Visa Signature"/>
    <x v="712"/>
    <n v="37.33"/>
    <x v="26"/>
    <m/>
    <m/>
    <m/>
    <n v="37.33"/>
    <b v="0"/>
    <m/>
    <m/>
    <s v="-"/>
    <x v="688"/>
    <s v="Manual"/>
    <m/>
  </r>
  <r>
    <x v="12"/>
    <d v="2020-03-16T00:00:00"/>
    <s v="Cash Rewards Visa Signature"/>
    <x v="713"/>
    <n v="2.13"/>
    <x v="26"/>
    <m/>
    <m/>
    <m/>
    <n v="2.13"/>
    <b v="0"/>
    <m/>
    <m/>
    <s v="-"/>
    <x v="689"/>
    <s v="Create Rule; and Description Like '%PRIME VIDEO%';Entertainment"/>
    <m/>
  </r>
  <r>
    <x v="12"/>
    <d v="2020-03-16T00:00:00"/>
    <s v="Jeff IRA"/>
    <x v="19"/>
    <n v="500"/>
    <x v="26"/>
    <m/>
    <m/>
    <m/>
    <n v="500"/>
    <b v="0"/>
    <m/>
    <m/>
    <s v="-"/>
    <x v="19"/>
    <s v="Delete; and Description='SCHWAB S&amp;P 500 INDEX FD' and inflowoutflow='-';0"/>
    <m/>
  </r>
  <r>
    <x v="12"/>
    <d v="2020-03-16T00:00:00"/>
    <s v="POWERPLUS"/>
    <x v="30"/>
    <n v="122.02"/>
    <x v="11"/>
    <m/>
    <m/>
    <m/>
    <n v="122.02"/>
    <b v="0"/>
    <m/>
    <m/>
    <s v="-"/>
    <x v="30"/>
    <s v="Create Rule; and Description='Xcel Energy';Utilities"/>
    <m/>
  </r>
  <r>
    <x v="12"/>
    <d v="2020-03-17T00:00:00"/>
    <s v="Cash Rewards Visa Signature"/>
    <x v="0"/>
    <n v="28.18"/>
    <x v="0"/>
    <m/>
    <m/>
    <m/>
    <n v="28.18"/>
    <b v="0"/>
    <m/>
    <m/>
    <s v="-"/>
    <x v="0"/>
    <s v="Create Rule; and Description='Amazon';Amazon"/>
    <m/>
  </r>
  <r>
    <x v="12"/>
    <d v="2020-03-17T00:00:00"/>
    <s v="POWERPLUS"/>
    <x v="714"/>
    <n v="133.01"/>
    <x v="26"/>
    <m/>
    <m/>
    <m/>
    <n v="133.01"/>
    <b v="0"/>
    <m/>
    <m/>
    <s v="-"/>
    <x v="146"/>
    <s v="Create Rule; and Description Like '%CPENERGY MNGCO%';Utilities"/>
    <m/>
  </r>
  <r>
    <x v="12"/>
    <d v="2020-03-17T00:00:00"/>
    <s v="POWERPLUS"/>
    <x v="157"/>
    <n v="32.99"/>
    <x v="8"/>
    <m/>
    <m/>
    <m/>
    <n v="32.99"/>
    <b v="0"/>
    <m/>
    <m/>
    <s v="-"/>
    <x v="156"/>
    <s v="Create Rule; and Description Like '%PayPal%';Shopping"/>
    <m/>
  </r>
  <r>
    <x v="12"/>
    <d v="2020-03-17T00:00:00"/>
    <s v="Cash Rewards Visa Signature"/>
    <x v="715"/>
    <n v="37.93"/>
    <x v="26"/>
    <m/>
    <m/>
    <m/>
    <n v="37.93"/>
    <b v="0"/>
    <m/>
    <m/>
    <s v="-"/>
    <x v="690"/>
    <s v="Create Rule; and Description Like '%RED COW%';Restaurants"/>
    <m/>
  </r>
  <r>
    <x v="12"/>
    <d v="2020-03-18T00:00:00"/>
    <s v="Discover More Card"/>
    <x v="0"/>
    <n v="58.12"/>
    <x v="0"/>
    <m/>
    <m/>
    <m/>
    <n v="58.12"/>
    <b v="0"/>
    <m/>
    <m/>
    <s v="-"/>
    <x v="0"/>
    <s v="Create Rule; and Description='Amazon';Amazon"/>
    <m/>
  </r>
  <r>
    <x v="12"/>
    <d v="2020-03-18T00:00:00"/>
    <s v="Discover"/>
    <x v="0"/>
    <n v="58.12"/>
    <x v="0"/>
    <m/>
    <m/>
    <m/>
    <n v="58.12"/>
    <b v="0"/>
    <m/>
    <m/>
    <s v="-"/>
    <x v="0"/>
    <s v="Create Rule; and Description='Amazon';Amazon"/>
    <m/>
  </r>
  <r>
    <x v="12"/>
    <d v="2020-03-18T00:00:00"/>
    <s v="Joint Tenant"/>
    <x v="232"/>
    <n v="518.45000000000005"/>
    <x v="26"/>
    <m/>
    <m/>
    <m/>
    <n v="518.45000000000005"/>
    <b v="0"/>
    <m/>
    <m/>
    <s v="-"/>
    <x v="230"/>
    <s v="Create Rule; and Description='BOEING CO';Dividend"/>
    <m/>
  </r>
  <r>
    <x v="12"/>
    <d v="2020-03-18T00:00:00"/>
    <s v="POWERPLUS"/>
    <x v="716"/>
    <n v="-1993.06"/>
    <x v="26"/>
    <m/>
    <m/>
    <m/>
    <n v="1993.06"/>
    <b v="0"/>
    <m/>
    <m/>
    <s v="+"/>
    <x v="691"/>
    <s v="Create Rule; and Description Like '%CARGILL COCOA TYPE DIR DEP ID%';Inc - Britney"/>
    <m/>
  </r>
  <r>
    <x v="12"/>
    <d v="2020-03-18T00:00:00"/>
    <s v="Cash Rewards Visa Signature"/>
    <x v="717"/>
    <n v="49.95"/>
    <x v="26"/>
    <m/>
    <m/>
    <m/>
    <n v="49.95"/>
    <b v="0"/>
    <m/>
    <m/>
    <s v="-"/>
    <x v="692"/>
    <s v="Manual"/>
    <m/>
  </r>
  <r>
    <x v="12"/>
    <d v="2020-03-18T00:00:00"/>
    <s v="POWERPLUS"/>
    <x v="718"/>
    <n v="200"/>
    <x v="26"/>
    <m/>
    <m/>
    <m/>
    <n v="200"/>
    <b v="0"/>
    <m/>
    <m/>
    <s v="-"/>
    <x v="693"/>
    <s v="Create Rule; and Description Like '%MN DIR ACH%';College Savings"/>
    <m/>
  </r>
  <r>
    <x v="12"/>
    <d v="2020-03-18T00:00:00"/>
    <s v="Joint Tenant"/>
    <x v="19"/>
    <n v="200"/>
    <x v="26"/>
    <m/>
    <m/>
    <m/>
    <n v="200"/>
    <b v="0"/>
    <m/>
    <m/>
    <s v="-"/>
    <x v="19"/>
    <s v="Delete; and Description='SCHWAB S&amp;P 500 INDEX FD' and inflowoutflow='-';0"/>
    <m/>
  </r>
  <r>
    <x v="12"/>
    <d v="2020-03-19T00:00:00"/>
    <s v="Cash Rewards Visa Signature"/>
    <x v="719"/>
    <n v="-481.14"/>
    <x v="26"/>
    <m/>
    <m/>
    <m/>
    <n v="481.14"/>
    <b v="0"/>
    <m/>
    <m/>
    <s v="+"/>
    <x v="694"/>
    <s v="Delete; and Description Like '%PAYMENT THANK YOU%';0"/>
    <m/>
  </r>
  <r>
    <x v="12"/>
    <d v="2020-03-19T00:00:00"/>
    <s v="POWERPLUS"/>
    <x v="720"/>
    <n v="481.14"/>
    <x v="26"/>
    <m/>
    <m/>
    <m/>
    <n v="481.14"/>
    <b v="0"/>
    <m/>
    <m/>
    <s v="-"/>
    <x v="695"/>
    <s v="Delete; and Description Like '%Withdrawal Home payment to card%';0"/>
    <m/>
  </r>
  <r>
    <x v="12"/>
    <d v="2020-03-19T00:00:00"/>
    <s v="Cash Rewards Visa Signature"/>
    <x v="0"/>
    <n v="5.36"/>
    <x v="0"/>
    <m/>
    <m/>
    <m/>
    <n v="5.36"/>
    <b v="0"/>
    <m/>
    <m/>
    <s v="-"/>
    <x v="0"/>
    <s v="Create Rule; and Description='Amazon';Amazon"/>
    <m/>
  </r>
  <r>
    <x v="12"/>
    <d v="2020-03-19T00:00:00"/>
    <s v="Cash Rewards Visa Signature"/>
    <x v="0"/>
    <n v="13.36"/>
    <x v="0"/>
    <m/>
    <m/>
    <m/>
    <n v="13.36"/>
    <b v="0"/>
    <m/>
    <m/>
    <s v="-"/>
    <x v="0"/>
    <s v="Create Rule; and Description='Amazon';Amazon"/>
    <m/>
  </r>
  <r>
    <x v="12"/>
    <d v="2020-03-19T00:00:00"/>
    <s v="Cash Rewards Visa Signature"/>
    <x v="0"/>
    <n v="16.100000000000001"/>
    <x v="0"/>
    <m/>
    <m/>
    <m/>
    <n v="16.100000000000001"/>
    <b v="0"/>
    <m/>
    <m/>
    <s v="-"/>
    <x v="0"/>
    <s v="Create Rule; and Description='Amazon';Amazon"/>
    <m/>
  </r>
  <r>
    <x v="12"/>
    <d v="2020-03-19T00:00:00"/>
    <s v="Cash Rewards Visa Signature"/>
    <x v="721"/>
    <n v="21.46"/>
    <x v="26"/>
    <m/>
    <m/>
    <m/>
    <n v="21.46"/>
    <b v="0"/>
    <m/>
    <m/>
    <s v="-"/>
    <x v="696"/>
    <s v="Create Rule; and Description Like '%PRIME VIDEO%';Entertainment"/>
    <m/>
  </r>
  <r>
    <x v="12"/>
    <d v="2020-03-20T00:00:00"/>
    <s v="Joint Tenant"/>
    <x v="185"/>
    <n v="-200"/>
    <x v="26"/>
    <m/>
    <m/>
    <m/>
    <n v="200"/>
    <b v="0"/>
    <m/>
    <m/>
    <s v="+"/>
    <x v="184"/>
    <s v="Create Rule; and Description='CARGILL COCOA &amp;';Roth"/>
    <m/>
  </r>
  <r>
    <x v="12"/>
    <d v="2020-03-20T00:00:00"/>
    <s v="Discover More Card"/>
    <x v="6"/>
    <n v="177.14"/>
    <x v="5"/>
    <m/>
    <m/>
    <m/>
    <n v="177.14"/>
    <b v="0"/>
    <m/>
    <m/>
    <s v="-"/>
    <x v="6"/>
    <s v="Create Rule; and Description Like '%Cub Foods%';Groceries"/>
    <m/>
  </r>
  <r>
    <x v="12"/>
    <d v="2020-03-20T00:00:00"/>
    <s v="Discover"/>
    <x v="6"/>
    <n v="177.14"/>
    <x v="5"/>
    <m/>
    <m/>
    <m/>
    <n v="177.14"/>
    <b v="0"/>
    <m/>
    <m/>
    <s v="-"/>
    <x v="6"/>
    <s v="Create Rule; and Description Like '%Cub Foods%';Groceries"/>
    <m/>
  </r>
  <r>
    <x v="12"/>
    <d v="2020-03-20T00:00:00"/>
    <s v="Joint Tenant"/>
    <x v="285"/>
    <n v="-2.7"/>
    <x v="26"/>
    <m/>
    <m/>
    <m/>
    <n v="2.7"/>
    <b v="0"/>
    <m/>
    <m/>
    <s v="+"/>
    <x v="278"/>
    <s v="Create Rule; and Description='ETFMG ALTERNATIVE HARVEST ETF';Dividend"/>
    <m/>
  </r>
  <r>
    <x v="12"/>
    <d v="2020-03-20T00:00:00"/>
    <s v="Contributory"/>
    <x v="51"/>
    <n v="-231"/>
    <x v="26"/>
    <m/>
    <m/>
    <m/>
    <n v="231"/>
    <b v="0"/>
    <m/>
    <m/>
    <s v="+"/>
    <x v="51"/>
    <s v="Create Rule; and Description='Tfr JPMORGAN CHASE BAN, CARGILL COCOA &amp;';Roth"/>
    <m/>
  </r>
  <r>
    <x v="12"/>
    <d v="2020-03-21T00:00:00"/>
    <s v="Discover More Card"/>
    <x v="0"/>
    <n v="17.170000000000002"/>
    <x v="0"/>
    <m/>
    <m/>
    <m/>
    <n v="17.170000000000002"/>
    <b v="0"/>
    <m/>
    <m/>
    <s v="-"/>
    <x v="0"/>
    <s v="Create Rule; and Description='Amazon';Amazon"/>
    <m/>
  </r>
  <r>
    <x v="12"/>
    <d v="2020-03-21T00:00:00"/>
    <s v="Discover"/>
    <x v="0"/>
    <n v="17.170000000000002"/>
    <x v="0"/>
    <m/>
    <m/>
    <m/>
    <n v="17.170000000000002"/>
    <b v="0"/>
    <m/>
    <m/>
    <s v="-"/>
    <x v="0"/>
    <s v="Create Rule; and Description='Amazon';Amazon"/>
    <m/>
  </r>
  <r>
    <x v="12"/>
    <d v="2020-03-21T00:00:00"/>
    <s v="Discover More Card"/>
    <x v="6"/>
    <n v="422.24"/>
    <x v="5"/>
    <m/>
    <m/>
    <m/>
    <n v="422.24"/>
    <b v="0"/>
    <m/>
    <m/>
    <s v="-"/>
    <x v="6"/>
    <s v="Create Rule; and Description Like '%Cub Foods%';Groceries"/>
    <m/>
  </r>
  <r>
    <x v="12"/>
    <d v="2020-03-21T00:00:00"/>
    <s v="Discover"/>
    <x v="6"/>
    <n v="422.24"/>
    <x v="5"/>
    <m/>
    <m/>
    <m/>
    <n v="422.24"/>
    <b v="0"/>
    <m/>
    <m/>
    <s v="-"/>
    <x v="6"/>
    <s v="Create Rule; and Description Like '%Cub Foods%';Groceries"/>
    <m/>
  </r>
  <r>
    <x v="12"/>
    <d v="2020-03-22T00:00:00"/>
    <s v="Cash Rewards Visa Signature"/>
    <x v="0"/>
    <n v="5.36"/>
    <x v="0"/>
    <m/>
    <m/>
    <m/>
    <n v="5.36"/>
    <b v="0"/>
    <m/>
    <m/>
    <s v="-"/>
    <x v="0"/>
    <s v="Create Rule; and Description='Amazon';Amazon"/>
    <m/>
  </r>
  <r>
    <x v="12"/>
    <d v="2020-03-22T00:00:00"/>
    <s v="Cash Rewards Visa Signature"/>
    <x v="0"/>
    <n v="16.05"/>
    <x v="0"/>
    <m/>
    <m/>
    <m/>
    <n v="16.05"/>
    <b v="0"/>
    <m/>
    <m/>
    <s v="-"/>
    <x v="0"/>
    <s v="Create Rule; and Description='Amazon';Amazon"/>
    <m/>
  </r>
  <r>
    <x v="12"/>
    <d v="2020-03-22T00:00:00"/>
    <s v="Cash Rewards Visa Signature"/>
    <x v="0"/>
    <n v="21.44"/>
    <x v="0"/>
    <m/>
    <m/>
    <m/>
    <n v="21.44"/>
    <b v="0"/>
    <m/>
    <m/>
    <s v="-"/>
    <x v="0"/>
    <s v="Create Rule; and Description='Amazon';Amazon"/>
    <m/>
  </r>
  <r>
    <x v="12"/>
    <d v="2020-03-22T00:00:00"/>
    <s v="Cash Rewards Visa Signature"/>
    <x v="152"/>
    <n v="13.2"/>
    <x v="26"/>
    <m/>
    <m/>
    <m/>
    <n v="13.2"/>
    <b v="0"/>
    <m/>
    <m/>
    <s v="-"/>
    <x v="151"/>
    <s v="Create Rule; and Description='Excelsior Brewing';Restaurants"/>
    <m/>
  </r>
  <r>
    <x v="12"/>
    <d v="2020-03-22T00:00:00"/>
    <s v="Cash Rewards Visa Signature"/>
    <x v="60"/>
    <n v="89.14"/>
    <x v="26"/>
    <m/>
    <m/>
    <m/>
    <n v="89.14"/>
    <b v="0"/>
    <m/>
    <m/>
    <s v="-"/>
    <x v="60"/>
    <s v="Create Rule; and Description='Home Depot';House Maintenance"/>
    <m/>
  </r>
  <r>
    <x v="12"/>
    <d v="2020-03-22T00:00:00"/>
    <s v="Cash Rewards Visa Signature"/>
    <x v="722"/>
    <n v="57.09"/>
    <x v="5"/>
    <m/>
    <m/>
    <m/>
    <n v="57.09"/>
    <b v="0"/>
    <m/>
    <m/>
    <s v="-"/>
    <x v="697"/>
    <s v="Create Rule; and Description='MGM Liquor Warehouse';Groceries"/>
    <m/>
  </r>
  <r>
    <x v="12"/>
    <d v="2020-03-22T00:00:00"/>
    <s v="Cash Rewards Visa Signature"/>
    <x v="451"/>
    <n v="35.25"/>
    <x v="1"/>
    <m/>
    <m/>
    <m/>
    <n v="35.25"/>
    <b v="0"/>
    <m/>
    <m/>
    <s v="-"/>
    <x v="435"/>
    <s v="Create Rule; and Description Like '%Papa Murphy%';Restaurants"/>
    <m/>
  </r>
  <r>
    <x v="12"/>
    <d v="2020-03-22T00:00:00"/>
    <s v="Cash Rewards Visa Signature"/>
    <x v="492"/>
    <n v="52.67"/>
    <x v="26"/>
    <m/>
    <m/>
    <m/>
    <n v="52.67"/>
    <b v="0"/>
    <m/>
    <m/>
    <s v="-"/>
    <x v="475"/>
    <s v="Create Rule; and Description='The Suburban';Restaurants"/>
    <m/>
  </r>
  <r>
    <x v="12"/>
    <d v="2020-03-23T00:00:00"/>
    <s v="Cash Rewards Visa Signature"/>
    <x v="0"/>
    <n v="41.87"/>
    <x v="0"/>
    <m/>
    <m/>
    <m/>
    <n v="41.87"/>
    <b v="0"/>
    <m/>
    <m/>
    <s v="-"/>
    <x v="0"/>
    <s v="Create Rule; and Description='Amazon';Amazon"/>
    <m/>
  </r>
  <r>
    <x v="12"/>
    <d v="2020-03-23T00:00:00"/>
    <s v="POWERPLUS"/>
    <x v="84"/>
    <n v="108.87"/>
    <x v="26"/>
    <m/>
    <m/>
    <m/>
    <n v="108.87"/>
    <b v="0"/>
    <m/>
    <m/>
    <s v="-"/>
    <x v="84"/>
    <s v="Create Rule; and Description='City of Chanhassen';Utilities"/>
    <m/>
  </r>
  <r>
    <x v="12"/>
    <d v="2020-03-23T00:00:00"/>
    <s v="Joint Tenant"/>
    <x v="285"/>
    <n v="2.7"/>
    <x v="26"/>
    <m/>
    <m/>
    <m/>
    <n v="2.7"/>
    <b v="0"/>
    <m/>
    <m/>
    <s v="-"/>
    <x v="278"/>
    <s v="Create Rule; and Description='ETFMG ALTERNATIVE HARVEST ETF';Dividend"/>
    <m/>
  </r>
  <r>
    <x v="12"/>
    <d v="2020-03-24T00:00:00"/>
    <s v="Cash Rewards Visa Signature"/>
    <x v="0"/>
    <n v="13.26"/>
    <x v="0"/>
    <m/>
    <m/>
    <m/>
    <n v="13.26"/>
    <b v="0"/>
    <m/>
    <m/>
    <s v="-"/>
    <x v="0"/>
    <s v="Create Rule; and Description='Amazon';Amazon"/>
    <m/>
  </r>
  <r>
    <x v="12"/>
    <d v="2020-03-24T00:00:00"/>
    <s v="POWERPLUS"/>
    <x v="723"/>
    <n v="-98.65"/>
    <x v="26"/>
    <m/>
    <m/>
    <m/>
    <n v="98.65"/>
    <b v="0"/>
    <m/>
    <m/>
    <s v="+"/>
    <x v="698"/>
    <s v="Manual"/>
    <m/>
  </r>
  <r>
    <x v="12"/>
    <d v="2020-03-24T00:00:00"/>
    <s v="RAINY DAY"/>
    <x v="515"/>
    <n v="-200"/>
    <x v="26"/>
    <m/>
    <m/>
    <m/>
    <n v="200"/>
    <b v="0"/>
    <m/>
    <m/>
    <s v="+"/>
    <x v="496"/>
    <s v="Create Rule; and Description='Share';Delete"/>
    <m/>
  </r>
  <r>
    <x v="12"/>
    <d v="2020-03-24T00:00:00"/>
    <s v="POWERPLUS"/>
    <x v="724"/>
    <n v="200"/>
    <x v="26"/>
    <m/>
    <m/>
    <m/>
    <n v="200"/>
    <b v="0"/>
    <m/>
    <m/>
    <s v="-"/>
    <x v="699"/>
    <s v="Manual"/>
    <m/>
  </r>
  <r>
    <x v="12"/>
    <d v="2020-03-25T00:00:00"/>
    <s v="Joint Tenant"/>
    <x v="232"/>
    <n v="334.59"/>
    <x v="26"/>
    <m/>
    <m/>
    <m/>
    <n v="334.59"/>
    <b v="0"/>
    <m/>
    <m/>
    <s v="-"/>
    <x v="230"/>
    <s v="Create Rule; and Description='BOEING CO';Dividend"/>
    <m/>
  </r>
  <r>
    <x v="12"/>
    <d v="2020-03-25T00:00:00"/>
    <s v="Joint Tenant"/>
    <x v="286"/>
    <n v="-0.05"/>
    <x v="26"/>
    <m/>
    <m/>
    <m/>
    <n v="0.05"/>
    <b v="0"/>
    <m/>
    <m/>
    <s v="+"/>
    <x v="279"/>
    <s v="Create Rule; and Description='HALLIBURTON CO HLDG';Dividend"/>
    <m/>
  </r>
  <r>
    <x v="12"/>
    <d v="2020-03-25T00:00:00"/>
    <s v="Cash Rewards Visa Signature"/>
    <x v="60"/>
    <n v="4.58"/>
    <x v="26"/>
    <m/>
    <m/>
    <m/>
    <n v="4.58"/>
    <b v="0"/>
    <m/>
    <m/>
    <s v="-"/>
    <x v="60"/>
    <s v="Create Rule; and Description='Home Depot';House Maintenance"/>
    <m/>
  </r>
  <r>
    <x v="12"/>
    <d v="2020-03-25T00:00:00"/>
    <s v="Cash Rewards Visa Signature"/>
    <x v="725"/>
    <n v="831.9"/>
    <x v="26"/>
    <m/>
    <m/>
    <m/>
    <n v="831.9"/>
    <b v="0"/>
    <m/>
    <m/>
    <s v="-"/>
    <x v="700"/>
    <s v="Manual"/>
    <m/>
  </r>
  <r>
    <x v="12"/>
    <d v="2020-03-25T00:00:00"/>
    <s v="Cash Rewards Visa Signature"/>
    <x v="309"/>
    <n v="85.93"/>
    <x v="26"/>
    <m/>
    <m/>
    <m/>
    <n v="85.93"/>
    <b v="0"/>
    <m/>
    <m/>
    <s v="-"/>
    <x v="301"/>
    <s v="Create Rule; and Description='Sherwin Williams';House Maintenance"/>
    <m/>
  </r>
  <r>
    <x v="12"/>
    <d v="2020-03-25T00:00:00"/>
    <s v="POWERPLUS"/>
    <x v="34"/>
    <n v="110.26"/>
    <x v="12"/>
    <m/>
    <m/>
    <m/>
    <n v="110.26"/>
    <b v="0"/>
    <m/>
    <m/>
    <s v="-"/>
    <x v="34"/>
    <s v="Create Rule; and Description='Target';Target"/>
    <m/>
  </r>
  <r>
    <x v="12"/>
    <d v="2020-03-26T00:00:00"/>
    <s v="Discover More Card"/>
    <x v="0"/>
    <n v="17.13"/>
    <x v="0"/>
    <m/>
    <m/>
    <m/>
    <n v="17.13"/>
    <b v="0"/>
    <m/>
    <m/>
    <s v="-"/>
    <x v="0"/>
    <s v="Create Rule; and Description='Amazon';Amazon"/>
    <m/>
  </r>
  <r>
    <x v="12"/>
    <d v="2020-03-26T00:00:00"/>
    <s v="Cash Rewards Visa Signature"/>
    <x v="0"/>
    <n v="13.95"/>
    <x v="0"/>
    <m/>
    <m/>
    <m/>
    <n v="13.95"/>
    <b v="0"/>
    <m/>
    <m/>
    <s v="-"/>
    <x v="0"/>
    <s v="Create Rule; and Description='Amazon';Amazon"/>
    <m/>
  </r>
  <r>
    <x v="12"/>
    <d v="2020-03-26T00:00:00"/>
    <s v="Discover"/>
    <x v="0"/>
    <n v="17.13"/>
    <x v="0"/>
    <m/>
    <m/>
    <m/>
    <n v="17.13"/>
    <b v="0"/>
    <m/>
    <m/>
    <s v="-"/>
    <x v="0"/>
    <s v="Create Rule; and Description='Amazon';Amazon"/>
    <m/>
  </r>
  <r>
    <x v="12"/>
    <d v="2020-03-26T00:00:00"/>
    <s v="POWERPLUS"/>
    <x v="446"/>
    <n v="-2199.27"/>
    <x v="26"/>
    <m/>
    <m/>
    <m/>
    <n v="2199.27"/>
    <b v="0"/>
    <m/>
    <m/>
    <s v="+"/>
    <x v="430"/>
    <s v="Manual"/>
    <m/>
  </r>
  <r>
    <x v="12"/>
    <d v="2020-03-26T00:00:00"/>
    <s v="Joint Tenant"/>
    <x v="286"/>
    <n v="0.05"/>
    <x v="26"/>
    <m/>
    <m/>
    <m/>
    <n v="0.05"/>
    <b v="0"/>
    <m/>
    <m/>
    <s v="-"/>
    <x v="279"/>
    <s v="Create Rule; and Description='HALLIBURTON CO HLDG';Dividend"/>
    <m/>
  </r>
  <r>
    <x v="12"/>
    <d v="2020-03-26T00:00:00"/>
    <s v="Cash Rewards Visa Signature"/>
    <x v="60"/>
    <n v="314.61"/>
    <x v="26"/>
    <m/>
    <m/>
    <m/>
    <n v="314.61"/>
    <b v="0"/>
    <m/>
    <m/>
    <s v="-"/>
    <x v="60"/>
    <s v="Create Rule; and Description='Home Depot';House Maintenance"/>
    <m/>
  </r>
  <r>
    <x v="12"/>
    <d v="2020-03-26T00:00:00"/>
    <s v="Discover More Card"/>
    <x v="99"/>
    <n v="12.99"/>
    <x v="11"/>
    <m/>
    <m/>
    <m/>
    <n v="12.99"/>
    <b v="0"/>
    <m/>
    <m/>
    <s v="-"/>
    <x v="99"/>
    <s v="Create Rule; and Description='Netflix';Utilities"/>
    <m/>
  </r>
  <r>
    <x v="12"/>
    <d v="2020-03-26T00:00:00"/>
    <s v="Discover"/>
    <x v="99"/>
    <n v="12.99"/>
    <x v="11"/>
    <m/>
    <m/>
    <m/>
    <n v="12.99"/>
    <b v="0"/>
    <m/>
    <m/>
    <s v="-"/>
    <x v="99"/>
    <s v="Create Rule; and Description='Netflix';Utilities"/>
    <m/>
  </r>
  <r>
    <x v="12"/>
    <d v="2020-03-26T00:00:00"/>
    <s v="Cash Rewards Visa Signature"/>
    <x v="726"/>
    <n v="1348.11"/>
    <x v="26"/>
    <m/>
    <m/>
    <m/>
    <n v="1348.11"/>
    <b v="0"/>
    <m/>
    <m/>
    <s v="-"/>
    <x v="701"/>
    <s v="Manual"/>
    <m/>
  </r>
  <r>
    <x v="12"/>
    <d v="2020-03-26T00:00:00"/>
    <s v="Cash Rewards Visa Signature"/>
    <x v="727"/>
    <n v="19.260000000000002"/>
    <x v="26"/>
    <m/>
    <m/>
    <m/>
    <n v="19.260000000000002"/>
    <b v="0"/>
    <m/>
    <m/>
    <s v="-"/>
    <x v="702"/>
    <s v="Manual"/>
    <m/>
  </r>
  <r>
    <x v="12"/>
    <d v="2020-03-26T00:00:00"/>
    <s v="Cash Rewards Visa Signature"/>
    <x v="231"/>
    <n v="3110.25"/>
    <x v="26"/>
    <m/>
    <m/>
    <m/>
    <n v="3110.25"/>
    <b v="0"/>
    <m/>
    <m/>
    <s v="-"/>
    <x v="229"/>
    <s v="Create Rule; and Description='Western Ob Gyne Ltd';Healthcare"/>
    <m/>
  </r>
  <r>
    <x v="12"/>
    <d v="2020-03-27T00:00:00"/>
    <s v="Joint Tenant"/>
    <x v="679"/>
    <n v="900.38"/>
    <x v="26"/>
    <m/>
    <m/>
    <m/>
    <n v="900.38"/>
    <b v="0"/>
    <m/>
    <m/>
    <s v="-"/>
    <x v="656"/>
    <s v="Delete; and Source='Joint Tenant';0"/>
    <m/>
  </r>
  <r>
    <x v="12"/>
    <d v="2020-03-27T00:00:00"/>
    <s v="Cash Rewards Visa Signature"/>
    <x v="728"/>
    <n v="52.03"/>
    <x v="26"/>
    <m/>
    <m/>
    <m/>
    <n v="52.03"/>
    <b v="0"/>
    <m/>
    <m/>
    <s v="-"/>
    <x v="703"/>
    <s v="Create Rule; and Description='NORTH COOP NORTH COOP STRIPECOM MN 299362794';Restaurants"/>
    <m/>
  </r>
  <r>
    <x v="12"/>
    <d v="2020-03-29T00:00:00"/>
    <s v="Cash Rewards Visa Signature"/>
    <x v="60"/>
    <n v="38.1"/>
    <x v="26"/>
    <m/>
    <m/>
    <m/>
    <n v="38.1"/>
    <b v="0"/>
    <m/>
    <m/>
    <s v="-"/>
    <x v="60"/>
    <s v="Create Rule; and Description='Home Depot';House Maintenance"/>
    <m/>
  </r>
  <r>
    <x v="12"/>
    <d v="2020-03-30T00:00:00"/>
    <s v="Joint Tenant"/>
    <x v="232"/>
    <n v="738.74"/>
    <x v="26"/>
    <m/>
    <m/>
    <m/>
    <n v="738.74"/>
    <b v="0"/>
    <m/>
    <m/>
    <s v="-"/>
    <x v="230"/>
    <s v="Create Rule; and Description='BOEING CO';Dividend"/>
    <m/>
  </r>
  <r>
    <x v="12"/>
    <d v="2020-03-30T00:00:00"/>
    <s v="POWERPLUS"/>
    <x v="729"/>
    <n v="-2688.26"/>
    <x v="26"/>
    <m/>
    <m/>
    <m/>
    <n v="2688.26"/>
    <b v="0"/>
    <m/>
    <m/>
    <s v="+"/>
    <x v="704"/>
    <s v="Create Rule; and Description Like '%KAUFMAN HALL TYPE DIRECT DEP ID%';Inc - Jeff"/>
    <m/>
  </r>
  <r>
    <x v="12"/>
    <d v="2020-03-30T00:00:00"/>
    <s v="POWERPLUS"/>
    <x v="157"/>
    <n v="0.99"/>
    <x v="8"/>
    <m/>
    <m/>
    <m/>
    <n v="0.99"/>
    <b v="0"/>
    <m/>
    <m/>
    <s v="-"/>
    <x v="156"/>
    <s v="Create Rule; and Description Like '%PayPal%';Shopping"/>
    <m/>
  </r>
  <r>
    <x v="12"/>
    <d v="2020-03-30T00:00:00"/>
    <s v="Joint Tenant"/>
    <x v="300"/>
    <n v="-15.14"/>
    <x v="26"/>
    <m/>
    <m/>
    <m/>
    <n v="15.14"/>
    <b v="0"/>
    <m/>
    <m/>
    <s v="+"/>
    <x v="293"/>
    <s v="Create Rule; and Description='SCHWAB US SMALL CAP ETF';Dividend"/>
    <m/>
  </r>
  <r>
    <x v="12"/>
    <d v="2020-03-30T00:00:00"/>
    <s v="Joint Tenant"/>
    <x v="730"/>
    <n v="-7.0000000000000007E-2"/>
    <x v="26"/>
    <m/>
    <m/>
    <m/>
    <n v="7.0000000000000007E-2"/>
    <b v="0"/>
    <m/>
    <m/>
    <s v="+"/>
    <x v="705"/>
    <s v="Create Rule; and Description Like '%SCHWAB1 INT%';Inc - Other"/>
    <m/>
  </r>
  <r>
    <x v="12"/>
    <d v="2020-03-31T00:00:00"/>
    <s v="Cash Rewards Visa Signature"/>
    <x v="0"/>
    <n v="8.43"/>
    <x v="0"/>
    <m/>
    <m/>
    <m/>
    <n v="8.43"/>
    <b v="0"/>
    <m/>
    <m/>
    <s v="-"/>
    <x v="0"/>
    <s v="Create Rule; and Description='Amazon';Amazon"/>
    <m/>
  </r>
  <r>
    <x v="12"/>
    <d v="2020-03-31T00:00:00"/>
    <s v="Coopers Rainy Day"/>
    <x v="114"/>
    <n v="-0.03"/>
    <x v="26"/>
    <m/>
    <m/>
    <m/>
    <n v="0.03"/>
    <b v="0"/>
    <m/>
    <m/>
    <s v="+"/>
    <x v="114"/>
    <s v="Create Rule; and Description='Apy Earned';0"/>
    <m/>
  </r>
  <r>
    <x v="12"/>
    <d v="2020-03-31T00:00:00"/>
    <s v="Discover More Card"/>
    <x v="6"/>
    <n v="248.57"/>
    <x v="5"/>
    <m/>
    <m/>
    <m/>
    <n v="248.57"/>
    <b v="0"/>
    <m/>
    <m/>
    <s v="-"/>
    <x v="6"/>
    <s v="Create Rule; and Description Like '%Cub Foods%';Groceries"/>
    <m/>
  </r>
  <r>
    <x v="12"/>
    <d v="2020-03-31T00:00:00"/>
    <s v="Discover"/>
    <x v="6"/>
    <n v="248.57"/>
    <x v="5"/>
    <m/>
    <m/>
    <m/>
    <n v="248.57"/>
    <b v="0"/>
    <m/>
    <m/>
    <s v="-"/>
    <x v="6"/>
    <s v="Create Rule; and Description Like '%Cub Foods%';Groceries"/>
    <m/>
  </r>
  <r>
    <x v="12"/>
    <d v="2020-03-31T00:00:00"/>
    <s v="Investor Checking"/>
    <x v="118"/>
    <n v="-0.04"/>
    <x v="26"/>
    <m/>
    <m/>
    <m/>
    <n v="0.04"/>
    <b v="0"/>
    <m/>
    <m/>
    <s v="+"/>
    <x v="118"/>
    <s v="Create Rule; and Description='Interest Paid';0"/>
    <m/>
  </r>
  <r>
    <x v="12"/>
    <d v="2020-03-31T00:00:00"/>
    <s v="Joint Tenant"/>
    <x v="167"/>
    <n v="-250"/>
    <x v="26"/>
    <m/>
    <m/>
    <m/>
    <n v="250"/>
    <b v="0"/>
    <m/>
    <m/>
    <s v="+"/>
    <x v="166"/>
    <s v="Create Rule; and Description='KAUFMAN HALL';Savings"/>
    <m/>
  </r>
  <r>
    <x v="12"/>
    <d v="2020-03-31T00:00:00"/>
    <s v="Joint Tenant"/>
    <x v="300"/>
    <n v="15.14"/>
    <x v="26"/>
    <m/>
    <m/>
    <m/>
    <n v="15.14"/>
    <b v="0"/>
    <m/>
    <m/>
    <s v="-"/>
    <x v="293"/>
    <s v="Create Rule; and Description='SCHWAB US SMALL CAP ETF';Dividend"/>
    <m/>
  </r>
  <r>
    <x v="12"/>
    <d v="2020-03-31T00:00:00"/>
    <s v="RAINY DAY"/>
    <x v="119"/>
    <n v="-19.05"/>
    <x v="26"/>
    <m/>
    <m/>
    <m/>
    <n v="19.05"/>
    <b v="0"/>
    <m/>
    <m/>
    <s v="+"/>
    <x v="119"/>
    <s v="Create Rule; and Description='Split Rate Apy';Inc - Other"/>
    <m/>
  </r>
  <r>
    <x v="12"/>
    <d v="2020-03-31T00:00:00"/>
    <s v="POWERPLUS"/>
    <x v="119"/>
    <n v="-37.909999999999997"/>
    <x v="26"/>
    <m/>
    <m/>
    <m/>
    <n v="37.909999999999997"/>
    <b v="0"/>
    <m/>
    <m/>
    <s v="+"/>
    <x v="119"/>
    <s v="Create Rule; and Description='Split Rate Apy';Inc - Other"/>
    <m/>
  </r>
  <r>
    <x v="12"/>
    <d v="2020-03-31T00:00:00"/>
    <s v="Jeff IRA"/>
    <x v="52"/>
    <n v="-250"/>
    <x v="26"/>
    <m/>
    <m/>
    <m/>
    <n v="250"/>
    <b v="0"/>
    <m/>
    <m/>
    <s v="+"/>
    <x v="52"/>
    <s v="Create Rule; and Description='Tfr JPMORGAN CHASE BAN, KAUFMAN HALL';Roth"/>
    <m/>
  </r>
  <r>
    <x v="5"/>
    <d v="2020-04-01T00:00:00"/>
    <s v="Cash Rewards Visa Signature"/>
    <x v="731"/>
    <n v="-6228.76"/>
    <x v="26"/>
    <m/>
    <m/>
    <m/>
    <n v="6228.76"/>
    <b v="0"/>
    <m/>
    <m/>
    <s v="+"/>
    <x v="706"/>
    <s v="Delete; and Description Like '%PAYMENT THANK YOU%';0"/>
    <m/>
  </r>
  <r>
    <x v="5"/>
    <d v="2020-04-01T00:00:00"/>
    <s v="POWERPLUS"/>
    <x v="732"/>
    <n v="6228.76"/>
    <x v="26"/>
    <m/>
    <m/>
    <m/>
    <n v="6228.76"/>
    <b v="0"/>
    <m/>
    <m/>
    <s v="-"/>
    <x v="707"/>
    <s v="Delete; and Description Like '%Withdrawal Home payment to card%';0"/>
    <m/>
  </r>
  <r>
    <x v="5"/>
    <d v="2020-04-01T00:00:00"/>
    <s v="Cash Rewards Visa Signature"/>
    <x v="598"/>
    <n v="4.28"/>
    <x v="10"/>
    <m/>
    <m/>
    <m/>
    <n v="4.28"/>
    <b v="0"/>
    <m/>
    <m/>
    <s v="-"/>
    <x v="579"/>
    <s v="Create Rule; and Description='Amazon Music';Entertainment"/>
    <m/>
  </r>
  <r>
    <x v="5"/>
    <d v="2020-04-01T00:00:00"/>
    <s v="POWERPLUS"/>
    <x v="733"/>
    <n v="-1993.07"/>
    <x v="26"/>
    <m/>
    <m/>
    <m/>
    <n v="1993.07"/>
    <b v="0"/>
    <m/>
    <m/>
    <s v="+"/>
    <x v="708"/>
    <s v="Create Rule; and Description Like '%CARGILL COCOA TYPE DIR DEP ID%';Inc - Britney"/>
    <m/>
  </r>
  <r>
    <x v="5"/>
    <d v="2020-04-01T00:00:00"/>
    <s v="POWERPLUS"/>
    <x v="734"/>
    <n v="200"/>
    <x v="26"/>
    <m/>
    <m/>
    <m/>
    <n v="200"/>
    <b v="0"/>
    <m/>
    <m/>
    <s v="-"/>
    <x v="16"/>
    <s v="Create Rule; and Description Like '%College Savings%';College Savings"/>
    <m/>
  </r>
  <r>
    <x v="5"/>
    <d v="2020-04-01T00:00:00"/>
    <s v="SHARE SAVINGS"/>
    <x v="303"/>
    <n v="-164.65"/>
    <x v="26"/>
    <m/>
    <m/>
    <m/>
    <n v="164.65"/>
    <b v="0"/>
    <m/>
    <m/>
    <s v="+"/>
    <x v="295"/>
    <s v="Create Rule; and Description='Cred Rebate';Inc - Other"/>
    <m/>
  </r>
  <r>
    <x v="5"/>
    <d v="2020-04-01T00:00:00"/>
    <s v="HIGHLANDER"/>
    <x v="735"/>
    <n v="-568.98"/>
    <x v="26"/>
    <m/>
    <m/>
    <m/>
    <n v="568.98"/>
    <b v="0"/>
    <m/>
    <m/>
    <s v="+"/>
    <x v="709"/>
    <s v="Manual"/>
    <m/>
  </r>
  <r>
    <x v="5"/>
    <d v="2020-04-01T00:00:00"/>
    <s v="POWERPLUS"/>
    <x v="736"/>
    <n v="78.75"/>
    <x v="26"/>
    <m/>
    <m/>
    <m/>
    <n v="78.75"/>
    <b v="0"/>
    <m/>
    <m/>
    <s v="-"/>
    <x v="710"/>
    <s v="Create Rule; and Description='MHCHILDCARELLC TYPE DUES ID CO MHCHILDCARELLC ACH ECC PPD ACH Trace 97179 300319715';Day Care"/>
    <m/>
  </r>
  <r>
    <x v="5"/>
    <d v="2020-04-01T00:00:00"/>
    <s v="POWERPLUS"/>
    <x v="737"/>
    <n v="618.65"/>
    <x v="26"/>
    <m/>
    <m/>
    <m/>
    <n v="618.65"/>
    <b v="0"/>
    <m/>
    <m/>
    <s v="-"/>
    <x v="711"/>
    <s v="Create Rule; and Description Like '%To Loan 02%';Car Loan"/>
    <m/>
  </r>
  <r>
    <x v="5"/>
    <d v="2020-04-01T00:00:00"/>
    <s v="POWERPLUS"/>
    <x v="29"/>
    <n v="6"/>
    <x v="8"/>
    <m/>
    <m/>
    <m/>
    <n v="6"/>
    <b v="0"/>
    <m/>
    <m/>
    <s v="-"/>
    <x v="29"/>
    <s v="Manual"/>
    <m/>
  </r>
  <r>
    <x v="5"/>
    <d v="2020-04-01T00:00:00"/>
    <s v="Investor Checking"/>
    <x v="361"/>
    <n v="-62"/>
    <x v="26"/>
    <m/>
    <m/>
    <m/>
    <n v="62"/>
    <b v="0"/>
    <m/>
    <m/>
    <s v="+"/>
    <x v="352"/>
    <s v="Manual"/>
    <m/>
  </r>
  <r>
    <x v="5"/>
    <d v="2020-04-02T00:00:00"/>
    <s v="Discover More Card"/>
    <x v="0"/>
    <n v="37.57"/>
    <x v="0"/>
    <m/>
    <m/>
    <m/>
    <n v="37.57"/>
    <b v="0"/>
    <m/>
    <m/>
    <s v="-"/>
    <x v="0"/>
    <s v="Create Rule; and Description='Amazon';Amazon"/>
    <m/>
  </r>
  <r>
    <x v="5"/>
    <d v="2020-04-02T00:00:00"/>
    <s v="Discover"/>
    <x v="0"/>
    <n v="37.57"/>
    <x v="0"/>
    <m/>
    <m/>
    <m/>
    <n v="37.57"/>
    <b v="0"/>
    <m/>
    <m/>
    <s v="-"/>
    <x v="0"/>
    <s v="Create Rule; and Description='Amazon';Amazon"/>
    <m/>
  </r>
  <r>
    <x v="5"/>
    <d v="2020-04-02T00:00:00"/>
    <s v="Cash Rewards Visa Signature"/>
    <x v="738"/>
    <n v="18"/>
    <x v="26"/>
    <m/>
    <m/>
    <m/>
    <n v="18"/>
    <b v="0"/>
    <m/>
    <m/>
    <s v="-"/>
    <x v="712"/>
    <s v="Create Rule; and Description='Milios Sandwiches';Restaurants"/>
    <m/>
  </r>
  <r>
    <x v="5"/>
    <d v="2020-04-03T00:00:00"/>
    <s v="Joint Tenant"/>
    <x v="185"/>
    <n v="-200"/>
    <x v="26"/>
    <m/>
    <m/>
    <m/>
    <n v="200"/>
    <b v="0"/>
    <m/>
    <m/>
    <s v="+"/>
    <x v="184"/>
    <s v="Create Rule; and Description='CARGILL COCOA &amp;';Roth"/>
    <m/>
  </r>
  <r>
    <x v="5"/>
    <d v="2020-04-03T00:00:00"/>
    <s v="Brokerage"/>
    <x v="185"/>
    <n v="-200"/>
    <x v="26"/>
    <m/>
    <m/>
    <m/>
    <n v="200"/>
    <b v="0"/>
    <m/>
    <m/>
    <s v="+"/>
    <x v="184"/>
    <s v="Create Rule; and Description='CARGILL COCOA &amp;';Roth"/>
    <m/>
  </r>
  <r>
    <x v="5"/>
    <d v="2020-04-03T00:00:00"/>
    <s v="CARGILL PARTNERSHIP PLAN"/>
    <x v="235"/>
    <n v="-732.69"/>
    <x v="26"/>
    <m/>
    <m/>
    <m/>
    <n v="732.69"/>
    <b v="0"/>
    <m/>
    <m/>
    <s v="+"/>
    <x v="233"/>
    <s v="Create Rule; and Description='Target Retire 2055 Tr P - Plan Contribution';401K"/>
    <m/>
  </r>
  <r>
    <x v="5"/>
    <d v="2020-04-03T00:00:00"/>
    <s v="Contributory"/>
    <x v="51"/>
    <n v="-231"/>
    <x v="26"/>
    <m/>
    <m/>
    <m/>
    <n v="231"/>
    <b v="0"/>
    <m/>
    <m/>
    <s v="+"/>
    <x v="51"/>
    <s v="Create Rule; and Description='Tfr JPMORGAN CHASE BAN, CARGILL COCOA &amp;';Roth"/>
    <m/>
  </r>
  <r>
    <x v="5"/>
    <d v="2020-04-05T00:00:00"/>
    <s v="Cash Rewards Visa Signature"/>
    <x v="0"/>
    <n v="10.73"/>
    <x v="0"/>
    <m/>
    <m/>
    <m/>
    <n v="10.73"/>
    <b v="0"/>
    <m/>
    <m/>
    <s v="-"/>
    <x v="0"/>
    <s v="Create Rule; and Description='Amazon';Amazon"/>
    <m/>
  </r>
  <r>
    <x v="5"/>
    <d v="2020-04-05T00:00:00"/>
    <s v="Cash Rewards Visa Signature"/>
    <x v="0"/>
    <n v="14.94"/>
    <x v="0"/>
    <m/>
    <m/>
    <m/>
    <n v="14.94"/>
    <b v="0"/>
    <m/>
    <m/>
    <s v="-"/>
    <x v="0"/>
    <s v="Create Rule; and Description='Amazon';Amazon"/>
    <m/>
  </r>
  <r>
    <x v="15"/>
    <d v="2020-05-04T00:00:00"/>
    <s v="POWERPLUS"/>
    <x v="739"/>
    <n v="2914.59"/>
    <x v="26"/>
    <m/>
    <m/>
    <m/>
    <n v="2914.59"/>
    <b v="0"/>
    <m/>
    <m/>
    <s v="-"/>
    <x v="265"/>
    <s v="Create Rule; and Description Like '%BCU MORTGAGE TYPE LOAN PAYMT ID 9DRAFTING CO BCU MORTGAGE%';Rent"/>
    <m/>
  </r>
  <r>
    <x v="5"/>
    <d v="2020-04-06T00:00:00"/>
    <s v="Discover"/>
    <x v="0"/>
    <n v="5.87"/>
    <x v="0"/>
    <m/>
    <m/>
    <m/>
    <n v="5.87"/>
    <b v="0"/>
    <m/>
    <m/>
    <s v="-"/>
    <x v="0"/>
    <s v="Create Rule; and Description='Amazon';Amazon"/>
    <m/>
  </r>
  <r>
    <x v="5"/>
    <d v="2020-04-06T00:00:00"/>
    <s v="30 YR FIXED"/>
    <x v="740"/>
    <n v="-550.96"/>
    <x v="26"/>
    <m/>
    <m/>
    <m/>
    <n v="550.96"/>
    <b v="0"/>
    <m/>
    <m/>
    <s v="+"/>
    <x v="713"/>
    <s v="Manual"/>
    <m/>
  </r>
  <r>
    <x v="5"/>
    <d v="2020-04-06T00:00:00"/>
    <s v="Joint Tenant"/>
    <x v="741"/>
    <n v="-10.56"/>
    <x v="26"/>
    <m/>
    <m/>
    <m/>
    <n v="10.56"/>
    <b v="0"/>
    <m/>
    <m/>
    <s v="+"/>
    <x v="714"/>
    <s v="Delete; and Source='Joint Tenant';0"/>
    <m/>
  </r>
  <r>
    <x v="5"/>
    <d v="2020-04-06T00:00:00"/>
    <s v="Brokerage"/>
    <x v="741"/>
    <n v="-10.56"/>
    <x v="26"/>
    <m/>
    <m/>
    <m/>
    <n v="10.56"/>
    <b v="0"/>
    <m/>
    <m/>
    <s v="+"/>
    <x v="714"/>
    <s v="Manual"/>
    <m/>
  </r>
  <r>
    <x v="5"/>
    <d v="2020-04-06T00:00:00"/>
    <s v="Cash Rewards Visa Signature"/>
    <x v="606"/>
    <n v="88.3"/>
    <x v="26"/>
    <m/>
    <m/>
    <m/>
    <n v="88.3"/>
    <b v="0"/>
    <m/>
    <m/>
    <s v="-"/>
    <x v="586"/>
    <s v="Create Rule; and Description='Shorewood Liquor, LLC';Groceries"/>
    <m/>
  </r>
  <r>
    <x v="5"/>
    <d v="2020-04-06T00:00:00"/>
    <s v="Joint Tenant"/>
    <x v="495"/>
    <n v="-3.83"/>
    <x v="26"/>
    <m/>
    <m/>
    <m/>
    <n v="3.83"/>
    <b v="0"/>
    <m/>
    <m/>
    <s v="+"/>
    <x v="478"/>
    <s v="Delete; and Source='Joint Tenant';0"/>
    <m/>
  </r>
  <r>
    <x v="5"/>
    <d v="2020-04-06T00:00:00"/>
    <s v="Brokerage"/>
    <x v="495"/>
    <n v="-3.83"/>
    <x v="26"/>
    <m/>
    <m/>
    <m/>
    <n v="3.83"/>
    <b v="0"/>
    <m/>
    <m/>
    <s v="+"/>
    <x v="478"/>
    <s v="Manual"/>
    <m/>
  </r>
  <r>
    <x v="5"/>
    <d v="2020-04-07T00:00:00"/>
    <s v="Discover More Card"/>
    <x v="0"/>
    <n v="5.87"/>
    <x v="0"/>
    <m/>
    <m/>
    <m/>
    <n v="5.87"/>
    <b v="0"/>
    <m/>
    <m/>
    <s v="-"/>
    <x v="0"/>
    <s v="Create Rule; and Description='Amazon';Amazon"/>
    <m/>
  </r>
  <r>
    <x v="5"/>
    <d v="2020-04-07T00:00:00"/>
    <s v="Discover"/>
    <x v="0"/>
    <n v="5.87"/>
    <x v="0"/>
    <m/>
    <m/>
    <m/>
    <n v="5.87"/>
    <b v="0"/>
    <m/>
    <m/>
    <s v="-"/>
    <x v="0"/>
    <s v="Create Rule; and Description='Amazon';Amazon"/>
    <m/>
  </r>
  <r>
    <x v="5"/>
    <d v="2020-04-07T00:00:00"/>
    <s v="Joint Tenant"/>
    <x v="495"/>
    <n v="3.83"/>
    <x v="26"/>
    <m/>
    <m/>
    <m/>
    <n v="3.83"/>
    <b v="0"/>
    <m/>
    <m/>
    <s v="-"/>
    <x v="478"/>
    <s v="Delete; and Source='Joint Tenant';0"/>
    <m/>
  </r>
  <r>
    <x v="5"/>
    <d v="2020-04-07T00:00:00"/>
    <s v="Brokerage"/>
    <x v="495"/>
    <n v="3.83"/>
    <x v="26"/>
    <m/>
    <m/>
    <m/>
    <n v="3.83"/>
    <b v="0"/>
    <m/>
    <m/>
    <s v="-"/>
    <x v="478"/>
    <s v="Manual"/>
    <m/>
  </r>
  <r>
    <x v="5"/>
    <d v="2020-04-09T00:00:00"/>
    <s v="POWERPLUS"/>
    <x v="157"/>
    <n v="7.43"/>
    <x v="8"/>
    <m/>
    <m/>
    <m/>
    <n v="7.43"/>
    <b v="0"/>
    <m/>
    <m/>
    <s v="-"/>
    <x v="156"/>
    <s v="Create Rule; and Description Like '%PayPal%';Shopping"/>
    <m/>
  </r>
  <r>
    <x v="5"/>
    <d v="2020-04-10T00:00:00"/>
    <s v="POWERPLUS"/>
    <x v="29"/>
    <n v="20"/>
    <x v="8"/>
    <m/>
    <m/>
    <m/>
    <n v="20"/>
    <b v="0"/>
    <m/>
    <m/>
    <s v="-"/>
    <x v="29"/>
    <s v="Manual"/>
    <m/>
  </r>
  <r>
    <x v="5"/>
    <d v="2020-04-11T00:00:00"/>
    <s v="Discover More Card"/>
    <x v="67"/>
    <n v="45"/>
    <x v="11"/>
    <m/>
    <m/>
    <m/>
    <n v="45"/>
    <b v="0"/>
    <m/>
    <m/>
    <s v="-"/>
    <x v="67"/>
    <s v="Create Rule; and Description='CenturyLink';Utilities"/>
    <m/>
  </r>
  <r>
    <x v="5"/>
    <d v="2020-04-11T00:00:00"/>
    <s v="Discover"/>
    <x v="67"/>
    <n v="45"/>
    <x v="11"/>
    <m/>
    <m/>
    <m/>
    <n v="45"/>
    <b v="0"/>
    <m/>
    <m/>
    <s v="-"/>
    <x v="67"/>
    <s v="Create Rule; and Description='CenturyLink';Utilities"/>
    <m/>
  </r>
  <r>
    <x v="5"/>
    <d v="2020-04-12T00:00:00"/>
    <s v="Discover More Card"/>
    <x v="93"/>
    <n v="-48.91"/>
    <x v="26"/>
    <m/>
    <m/>
    <m/>
    <n v="48.91"/>
    <b v="0"/>
    <m/>
    <m/>
    <s v="+"/>
    <x v="93"/>
    <s v="Delete; and Description='CASHBACK BONUS REDEMPTION payment/STMT CRDT';0"/>
    <m/>
  </r>
  <r>
    <x v="5"/>
    <d v="2020-04-12T00:00:00"/>
    <s v="Discover"/>
    <x v="93"/>
    <n v="-48.91"/>
    <x v="26"/>
    <m/>
    <m/>
    <m/>
    <n v="48.91"/>
    <b v="0"/>
    <m/>
    <m/>
    <s v="+"/>
    <x v="93"/>
    <s v="Delete; and Description='CASHBACK BONUS REDEMPTION payment/STMT CRDT';0"/>
    <m/>
  </r>
  <r>
    <x v="5"/>
    <d v="2020-04-12T00:00:00"/>
    <s v="Discover More Card"/>
    <x v="56"/>
    <n v="-1160.26"/>
    <x v="3"/>
    <m/>
    <m/>
    <m/>
    <n v="1160.26"/>
    <b v="0"/>
    <m/>
    <m/>
    <s v="+"/>
    <x v="56"/>
    <s v="Delete; and Description='INTERNET PAYMENT - THANK YOU';0"/>
    <m/>
  </r>
  <r>
    <x v="5"/>
    <d v="2020-04-12T00:00:00"/>
    <s v="Discover"/>
    <x v="56"/>
    <n v="-1160.26"/>
    <x v="3"/>
    <m/>
    <m/>
    <m/>
    <n v="1160.26"/>
    <b v="0"/>
    <m/>
    <m/>
    <s v="+"/>
    <x v="56"/>
    <s v="Delete; and Description='INTERNET PAYMENT - THANK YOU';0"/>
    <m/>
  </r>
  <r>
    <x v="5"/>
    <d v="2020-04-12T00:00:00"/>
    <s v="Cash Rewards Visa Signature"/>
    <x v="742"/>
    <n v="49.38"/>
    <x v="26"/>
    <m/>
    <m/>
    <m/>
    <n v="49.38"/>
    <b v="0"/>
    <m/>
    <m/>
    <s v="-"/>
    <x v="715"/>
    <s v="Create Rule; and Description Like '%BITE SQUAD%';Restaurants"/>
    <m/>
  </r>
  <r>
    <x v="5"/>
    <d v="2020-04-12T00:00:00"/>
    <s v="Cash Rewards Visa Signature"/>
    <x v="743"/>
    <n v="7"/>
    <x v="26"/>
    <m/>
    <m/>
    <m/>
    <n v="7"/>
    <b v="0"/>
    <m/>
    <m/>
    <s v="-"/>
    <x v="716"/>
    <s v="Manual"/>
    <m/>
  </r>
  <r>
    <x v="5"/>
    <d v="2020-04-13T00:00:00"/>
    <s v="POWERPLUS"/>
    <x v="744"/>
    <n v="1160.26"/>
    <x v="26"/>
    <m/>
    <m/>
    <m/>
    <n v="1160.26"/>
    <b v="0"/>
    <m/>
    <m/>
    <s v="-"/>
    <x v="717"/>
    <s v="Delete; and Description Like '%DISCOVER TYPE EPAYMENT%';0"/>
    <m/>
  </r>
  <r>
    <x v="5"/>
    <d v="2020-04-13T00:00:00"/>
    <s v="Discover More Card"/>
    <x v="81"/>
    <n v="20.97"/>
    <x v="26"/>
    <m/>
    <m/>
    <m/>
    <n v="20.97"/>
    <b v="0"/>
    <m/>
    <m/>
    <s v="-"/>
    <x v="81"/>
    <s v="Create Rule; and Description='Holiday Stationstore';Transportation"/>
    <m/>
  </r>
  <r>
    <x v="5"/>
    <d v="2020-04-13T00:00:00"/>
    <s v="Discover"/>
    <x v="81"/>
    <n v="20.97"/>
    <x v="26"/>
    <m/>
    <m/>
    <m/>
    <n v="20.97"/>
    <b v="0"/>
    <m/>
    <m/>
    <s v="-"/>
    <x v="81"/>
    <s v="Create Rule; and Description='Holiday Stationstore';Transportation"/>
    <m/>
  </r>
  <r>
    <x v="5"/>
    <d v="2020-04-13T00:00:00"/>
    <s v="POWERPLUS"/>
    <x v="29"/>
    <n v="51"/>
    <x v="8"/>
    <m/>
    <m/>
    <m/>
    <n v="51"/>
    <b v="0"/>
    <m/>
    <m/>
    <s v="-"/>
    <x v="29"/>
    <s v="Manual"/>
    <m/>
  </r>
  <r>
    <x v="5"/>
    <d v="2020-04-14T00:00:00"/>
    <s v="POWERPLUS"/>
    <x v="48"/>
    <n v="114.39"/>
    <x v="16"/>
    <m/>
    <m/>
    <m/>
    <n v="114.39"/>
    <b v="0"/>
    <m/>
    <m/>
    <s v="-"/>
    <x v="48"/>
    <s v="Create Rule; and Description='American Family Insurance';Insurance"/>
    <m/>
  </r>
  <r>
    <x v="5"/>
    <d v="2020-04-14T00:00:00"/>
    <s v="POWERPLUS"/>
    <x v="745"/>
    <n v="-2688.28"/>
    <x v="26"/>
    <m/>
    <m/>
    <m/>
    <n v="2688.28"/>
    <b v="0"/>
    <m/>
    <m/>
    <s v="+"/>
    <x v="718"/>
    <s v="Create Rule; and Description Like '%KAUFMAN HALL TYPE DIRECT DEP ID%';Inc - Jeff"/>
    <m/>
  </r>
  <r>
    <x v="5"/>
    <d v="2020-04-14T00:00:00"/>
    <s v="Cash Rewards Visa Signature"/>
    <x v="746"/>
    <n v="31.53"/>
    <x v="26"/>
    <m/>
    <m/>
    <m/>
    <n v="31.53"/>
    <b v="0"/>
    <m/>
    <m/>
    <s v="-"/>
    <x v="719"/>
    <s v="Manual"/>
    <m/>
  </r>
  <r>
    <x v="5"/>
    <d v="2020-04-15T00:00:00"/>
    <s v="Cash Rewards Visa Signature"/>
    <x v="0"/>
    <n v="23.93"/>
    <x v="0"/>
    <m/>
    <m/>
    <m/>
    <n v="23.93"/>
    <b v="0"/>
    <m/>
    <m/>
    <s v="-"/>
    <x v="0"/>
    <s v="Create Rule; and Description='Amazon';Amazon"/>
    <m/>
  </r>
  <r>
    <x v="5"/>
    <d v="2020-04-15T00:00:00"/>
    <s v="POWERPLUS"/>
    <x v="747"/>
    <n v="-1993.06"/>
    <x v="26"/>
    <m/>
    <m/>
    <m/>
    <n v="1993.06"/>
    <b v="0"/>
    <m/>
    <m/>
    <s v="+"/>
    <x v="720"/>
    <s v="Create Rule; and Description Like '%CARGILL COCOA TYPE DIR DEP ID%';Inc - Britney"/>
    <m/>
  </r>
  <r>
    <x v="5"/>
    <d v="2020-04-15T00:00:00"/>
    <s v="Cash Rewards Visa Signature"/>
    <x v="523"/>
    <n v="22.3"/>
    <x v="1"/>
    <m/>
    <m/>
    <m/>
    <n v="22.3"/>
    <b v="0"/>
    <m/>
    <m/>
    <s v="-"/>
    <x v="504"/>
    <s v="Create Rule; and Description='Chick-Fil-A';Restaurants"/>
    <m/>
  </r>
  <r>
    <x v="5"/>
    <d v="2020-04-15T00:00:00"/>
    <s v="Cash Rewards Visa Signature"/>
    <x v="68"/>
    <n v="18"/>
    <x v="26"/>
    <m/>
    <m/>
    <m/>
    <n v="18"/>
    <b v="0"/>
    <m/>
    <m/>
    <s v="-"/>
    <x v="68"/>
    <s v="Create Rule; and Description='Harvard Business';Entertainment"/>
    <m/>
  </r>
  <r>
    <x v="5"/>
    <d v="2020-04-15T00:00:00"/>
    <s v="Joint Tenant"/>
    <x v="167"/>
    <n v="-250"/>
    <x v="26"/>
    <m/>
    <m/>
    <m/>
    <n v="250"/>
    <b v="0"/>
    <m/>
    <m/>
    <s v="+"/>
    <x v="166"/>
    <s v="Create Rule; and Description='KAUFMAN HALL';Savings"/>
    <m/>
  </r>
  <r>
    <x v="5"/>
    <d v="2020-04-15T00:00:00"/>
    <s v="Brokerage"/>
    <x v="167"/>
    <n v="-250"/>
    <x v="26"/>
    <m/>
    <m/>
    <m/>
    <n v="250"/>
    <b v="0"/>
    <m/>
    <m/>
    <s v="+"/>
    <x v="166"/>
    <s v="Create Rule; and Description='KAUFMAN HALL';Savings"/>
    <m/>
  </r>
  <r>
    <x v="5"/>
    <d v="2020-04-15T00:00:00"/>
    <s v="CARGILL EMPLOYEE RETIREMENT ACCOUNT"/>
    <x v="318"/>
    <n v="-0.19"/>
    <x v="26"/>
    <m/>
    <m/>
    <m/>
    <n v="0.19"/>
    <b v="0"/>
    <m/>
    <m/>
    <s v="+"/>
    <x v="309"/>
    <s v="Create Rule; and Description='Target Retire 2055 Tr P - Fee';Delete"/>
    <m/>
  </r>
  <r>
    <x v="5"/>
    <d v="2020-04-15T00:00:00"/>
    <s v="CARGILL PARTNERSHIP PLAN"/>
    <x v="318"/>
    <n v="-6.8"/>
    <x v="26"/>
    <m/>
    <m/>
    <m/>
    <n v="6.8"/>
    <b v="0"/>
    <m/>
    <m/>
    <s v="+"/>
    <x v="309"/>
    <s v="Create Rule; and Description='Target Retire 2055 Tr P - Fee';Delete"/>
    <m/>
  </r>
  <r>
    <x v="5"/>
    <d v="2020-04-15T00:00:00"/>
    <s v="Jeff IRA"/>
    <x v="52"/>
    <n v="-250"/>
    <x v="26"/>
    <m/>
    <m/>
    <m/>
    <n v="250"/>
    <b v="0"/>
    <m/>
    <m/>
    <s v="+"/>
    <x v="52"/>
    <s v="Create Rule; and Description='Tfr JPMORGAN CHASE BAN, KAUFMAN HALL';Roth"/>
    <m/>
  </r>
  <r>
    <x v="5"/>
    <d v="2020-04-15T00:00:00"/>
    <s v="Cash Rewards Visa Signature"/>
    <x v="748"/>
    <n v="17.079999999999998"/>
    <x v="26"/>
    <m/>
    <m/>
    <m/>
    <n v="17.079999999999998"/>
    <b v="0"/>
    <m/>
    <m/>
    <s v="-"/>
    <x v="721"/>
    <s v="Manual"/>
    <m/>
  </r>
  <r>
    <x v="5"/>
    <d v="2020-04-16T00:00:00"/>
    <s v="Contributory"/>
    <x v="749"/>
    <n v="-0.05"/>
    <x v="26"/>
    <m/>
    <m/>
    <m/>
    <n v="0.05"/>
    <b v="0"/>
    <m/>
    <m/>
    <s v="+"/>
    <x v="722"/>
    <s v="Manual"/>
    <m/>
  </r>
  <r>
    <x v="5"/>
    <d v="2020-04-16T00:00:00"/>
    <s v="Jeff IRA"/>
    <x v="749"/>
    <n v="-0.03"/>
    <x v="26"/>
    <m/>
    <m/>
    <m/>
    <n v="0.03"/>
    <b v="0"/>
    <m/>
    <m/>
    <s v="+"/>
    <x v="722"/>
    <s v="Manual"/>
    <m/>
  </r>
  <r>
    <x v="5"/>
    <d v="2020-04-16T00:00:00"/>
    <s v="Cash Rewards Visa Signature"/>
    <x v="750"/>
    <n v="136.75"/>
    <x v="25"/>
    <m/>
    <m/>
    <m/>
    <n v="136.75"/>
    <b v="0"/>
    <m/>
    <m/>
    <s v="-"/>
    <x v="723"/>
    <s v="Manual"/>
    <m/>
  </r>
  <r>
    <x v="5"/>
    <d v="2020-04-17T00:00:00"/>
    <s v="Cash Rewards Visa Signature"/>
    <x v="751"/>
    <n v="-442.22"/>
    <x v="26"/>
    <m/>
    <m/>
    <m/>
    <n v="442.22"/>
    <b v="0"/>
    <m/>
    <m/>
    <s v="+"/>
    <x v="724"/>
    <s v="Delete; and Description Like '%PAYMENT THANK YOU%';0"/>
    <m/>
  </r>
  <r>
    <x v="5"/>
    <d v="2020-04-17T00:00:00"/>
    <s v="POWERPLUS"/>
    <x v="752"/>
    <n v="442.22"/>
    <x v="26"/>
    <m/>
    <m/>
    <m/>
    <n v="442.22"/>
    <b v="0"/>
    <m/>
    <m/>
    <s v="-"/>
    <x v="725"/>
    <s v="Delete; and Description Like '%Withdrawal Home payment to card%';0"/>
    <m/>
  </r>
  <r>
    <x v="5"/>
    <d v="2020-04-17T00:00:00"/>
    <s v="Joint Tenant"/>
    <x v="185"/>
    <n v="-200"/>
    <x v="26"/>
    <m/>
    <m/>
    <m/>
    <n v="200"/>
    <b v="0"/>
    <m/>
    <m/>
    <s v="+"/>
    <x v="184"/>
    <s v="Create Rule; and Description='CARGILL COCOA &amp;';Roth"/>
    <m/>
  </r>
  <r>
    <x v="5"/>
    <d v="2020-04-17T00:00:00"/>
    <s v="Brokerage"/>
    <x v="185"/>
    <n v="-200"/>
    <x v="26"/>
    <m/>
    <m/>
    <m/>
    <n v="200"/>
    <b v="0"/>
    <m/>
    <m/>
    <s v="+"/>
    <x v="184"/>
    <s v="Create Rule; and Description='CARGILL COCOA &amp;';Roth"/>
    <m/>
  </r>
  <r>
    <x v="5"/>
    <d v="2020-04-17T00:00:00"/>
    <s v="Discover More Card"/>
    <x v="60"/>
    <n v="119.88"/>
    <x v="26"/>
    <m/>
    <m/>
    <m/>
    <n v="119.88"/>
    <b v="0"/>
    <m/>
    <m/>
    <s v="-"/>
    <x v="60"/>
    <s v="Create Rule; and Description='Home Depot';House Maintenance"/>
    <m/>
  </r>
  <r>
    <x v="5"/>
    <d v="2020-04-17T00:00:00"/>
    <s v="Discover"/>
    <x v="60"/>
    <n v="119.88"/>
    <x v="26"/>
    <m/>
    <m/>
    <m/>
    <n v="119.88"/>
    <b v="0"/>
    <m/>
    <m/>
    <s v="-"/>
    <x v="60"/>
    <s v="Create Rule; and Description='Home Depot';House Maintenance"/>
    <m/>
  </r>
  <r>
    <x v="5"/>
    <d v="2020-04-17T00:00:00"/>
    <s v="Cash Rewards Visa Signature"/>
    <x v="753"/>
    <n v="397.29"/>
    <x v="26"/>
    <m/>
    <m/>
    <m/>
    <n v="397.29"/>
    <b v="0"/>
    <m/>
    <m/>
    <s v="-"/>
    <x v="726"/>
    <s v="Manual"/>
    <m/>
  </r>
  <r>
    <x v="5"/>
    <d v="2020-04-17T00:00:00"/>
    <s v="CARGILL PARTNERSHIP PLAN"/>
    <x v="235"/>
    <n v="-732.69"/>
    <x v="26"/>
    <m/>
    <m/>
    <m/>
    <n v="732.69"/>
    <b v="0"/>
    <m/>
    <m/>
    <s v="+"/>
    <x v="233"/>
    <s v="Create Rule; and Description='Target Retire 2055 Tr P - Plan Contribution';401K"/>
    <m/>
  </r>
  <r>
    <x v="5"/>
    <d v="2020-04-17T00:00:00"/>
    <s v="Contributory"/>
    <x v="51"/>
    <n v="-231"/>
    <x v="26"/>
    <m/>
    <m/>
    <m/>
    <n v="231"/>
    <b v="0"/>
    <m/>
    <m/>
    <s v="+"/>
    <x v="51"/>
    <s v="Create Rule; and Description='Tfr JPMORGAN CHASE BAN, CARGILL COCOA &amp;';Roth"/>
    <m/>
  </r>
  <r>
    <x v="5"/>
    <d v="2020-04-17T00:00:00"/>
    <s v="Cash Rewards Visa Signature"/>
    <x v="231"/>
    <n v="53.6"/>
    <x v="26"/>
    <m/>
    <m/>
    <m/>
    <n v="53.6"/>
    <b v="0"/>
    <m/>
    <m/>
    <s v="-"/>
    <x v="229"/>
    <s v="Create Rule; and Description='Western Ob Gyne Ltd';Healthcare"/>
    <m/>
  </r>
  <r>
    <x v="5"/>
    <d v="2020-04-18T00:00:00"/>
    <s v="Discover More Card"/>
    <x v="57"/>
    <n v="161.49"/>
    <x v="25"/>
    <m/>
    <m/>
    <m/>
    <n v="161.49"/>
    <b v="0"/>
    <m/>
    <m/>
    <s v="-"/>
    <x v="57"/>
    <s v="Create Rule; and Description='Advocare';Groceries"/>
    <m/>
  </r>
  <r>
    <x v="5"/>
    <d v="2020-04-18T00:00:00"/>
    <s v="Discover"/>
    <x v="57"/>
    <n v="161.49"/>
    <x v="25"/>
    <m/>
    <m/>
    <m/>
    <n v="161.49"/>
    <b v="0"/>
    <m/>
    <m/>
    <s v="-"/>
    <x v="57"/>
    <s v="Create Rule; and Description='Advocare';Groceries"/>
    <m/>
  </r>
  <r>
    <x v="5"/>
    <d v="2020-04-20T00:00:00"/>
    <s v="Discover More Card"/>
    <x v="0"/>
    <n v="26.83"/>
    <x v="0"/>
    <m/>
    <m/>
    <m/>
    <n v="26.83"/>
    <b v="0"/>
    <m/>
    <m/>
    <s v="-"/>
    <x v="0"/>
    <s v="Create Rule; and Description='Amazon';Amazon"/>
    <m/>
  </r>
  <r>
    <x v="5"/>
    <d v="2020-04-20T00:00:00"/>
    <s v="Discover"/>
    <x v="0"/>
    <n v="26.83"/>
    <x v="0"/>
    <m/>
    <m/>
    <m/>
    <n v="26.83"/>
    <b v="0"/>
    <m/>
    <m/>
    <s v="-"/>
    <x v="0"/>
    <s v="Create Rule; and Description='Amazon';Amazon"/>
    <m/>
  </r>
  <r>
    <x v="5"/>
    <d v="2020-04-20T00:00:00"/>
    <s v="CARGILL PARTNERSHIP PLAN"/>
    <x v="566"/>
    <n v="-1172.31"/>
    <x v="26"/>
    <m/>
    <m/>
    <m/>
    <n v="1172.31"/>
    <b v="0"/>
    <m/>
    <m/>
    <s v="+"/>
    <x v="547"/>
    <s v="Create Rule; and Description='Cargill ESOP Stock Fund - Plan Contribution';Delete"/>
    <m/>
  </r>
  <r>
    <x v="5"/>
    <d v="2020-04-20T00:00:00"/>
    <s v="POWERPLUS"/>
    <x v="754"/>
    <n v="200"/>
    <x v="26"/>
    <m/>
    <m/>
    <m/>
    <n v="200"/>
    <b v="0"/>
    <m/>
    <m/>
    <s v="-"/>
    <x v="727"/>
    <s v="Create Rule; and Description Like '%MN DIR ACH%';College Savings"/>
    <m/>
  </r>
  <r>
    <x v="5"/>
    <d v="2020-04-21T00:00:00"/>
    <s v="Discover More Card"/>
    <x v="56"/>
    <n v="-347.34"/>
    <x v="3"/>
    <m/>
    <m/>
    <m/>
    <n v="347.34"/>
    <b v="0"/>
    <m/>
    <m/>
    <s v="+"/>
    <x v="56"/>
    <s v="Delete; and Description='INTERNET PAYMENT - THANK YOU';0"/>
    <m/>
  </r>
  <r>
    <x v="5"/>
    <d v="2020-04-21T00:00:00"/>
    <s v="Discover"/>
    <x v="56"/>
    <n v="-347.34"/>
    <x v="3"/>
    <m/>
    <m/>
    <m/>
    <n v="347.34"/>
    <b v="0"/>
    <m/>
    <m/>
    <s v="+"/>
    <x v="56"/>
    <s v="Delete; and Description='INTERNET PAYMENT - THANK YOU';0"/>
    <m/>
  </r>
  <r>
    <x v="5"/>
    <d v="2020-04-21T00:00:00"/>
    <s v="POWERPLUS"/>
    <x v="84"/>
    <n v="117.79"/>
    <x v="26"/>
    <m/>
    <m/>
    <m/>
    <n v="117.79"/>
    <b v="0"/>
    <m/>
    <m/>
    <s v="-"/>
    <x v="84"/>
    <s v="Create Rule; and Description='City of Chanhassen';Utilities"/>
    <m/>
  </r>
  <r>
    <x v="5"/>
    <d v="2020-04-21T00:00:00"/>
    <s v="Cash Rewards Visa Signature"/>
    <x v="60"/>
    <n v="187.46"/>
    <x v="26"/>
    <m/>
    <m/>
    <m/>
    <n v="187.46"/>
    <b v="0"/>
    <m/>
    <m/>
    <s v="-"/>
    <x v="60"/>
    <s v="Create Rule; and Description='Home Depot';House Maintenance"/>
    <m/>
  </r>
  <r>
    <x v="5"/>
    <d v="2020-04-21T00:00:00"/>
    <s v="Cash Rewards Visa Signature"/>
    <x v="60"/>
    <n v="193.03"/>
    <x v="26"/>
    <m/>
    <m/>
    <m/>
    <n v="193.03"/>
    <b v="0"/>
    <m/>
    <m/>
    <s v="-"/>
    <x v="60"/>
    <s v="Create Rule; and Description='Home Depot';House Maintenance"/>
    <m/>
  </r>
  <r>
    <x v="5"/>
    <d v="2020-04-22T00:00:00"/>
    <s v="POWERPLUS"/>
    <x v="755"/>
    <n v="347.34"/>
    <x v="26"/>
    <m/>
    <m/>
    <m/>
    <n v="347.34"/>
    <b v="0"/>
    <m/>
    <m/>
    <s v="-"/>
    <x v="728"/>
    <s v="Delete; and Description Like '%DISCOVER TYPE EPAYMENT%';0"/>
    <m/>
  </r>
  <r>
    <x v="5"/>
    <d v="2020-04-22T00:00:00"/>
    <s v="POWERPLUS"/>
    <x v="756"/>
    <n v="467.52"/>
    <x v="26"/>
    <m/>
    <m/>
    <m/>
    <n v="467.52"/>
    <b v="0"/>
    <m/>
    <m/>
    <s v="-"/>
    <x v="729"/>
    <s v="Manual"/>
    <m/>
  </r>
  <r>
    <x v="5"/>
    <d v="2020-04-22T00:00:00"/>
    <s v="Cash Rewards Visa Signature"/>
    <x v="757"/>
    <n v="-831.38"/>
    <x v="26"/>
    <m/>
    <m/>
    <m/>
    <n v="831.38"/>
    <b v="0"/>
    <m/>
    <m/>
    <s v="+"/>
    <x v="730"/>
    <s v="Delete; and Description Like '%PAYMENT THANK YOU%';0"/>
    <m/>
  </r>
  <r>
    <x v="5"/>
    <d v="2020-04-22T00:00:00"/>
    <s v="POWERPLUS"/>
    <x v="758"/>
    <n v="831.38"/>
    <x v="26"/>
    <m/>
    <m/>
    <m/>
    <n v="831.38"/>
    <b v="0"/>
    <m/>
    <m/>
    <s v="-"/>
    <x v="731"/>
    <s v="Delete; and Description Like '%Withdrawal Home payment to card%';0"/>
    <m/>
  </r>
  <r>
    <x v="5"/>
    <d v="2020-04-22T00:00:00"/>
    <s v="Cash Rewards Visa Signature"/>
    <x v="60"/>
    <n v="28.95"/>
    <x v="26"/>
    <m/>
    <m/>
    <m/>
    <n v="28.95"/>
    <b v="0"/>
    <m/>
    <m/>
    <s v="-"/>
    <x v="60"/>
    <s v="Create Rule; and Description='Home Depot';House Maintenance"/>
    <m/>
  </r>
  <r>
    <x v="5"/>
    <d v="2020-04-23T00:00:00"/>
    <s v="Joint Tenant"/>
    <x v="232"/>
    <n v="690"/>
    <x v="26"/>
    <m/>
    <m/>
    <m/>
    <n v="690"/>
    <b v="0"/>
    <m/>
    <m/>
    <s v="-"/>
    <x v="230"/>
    <s v="Create Rule; and Description='BOEING CO';Dividend"/>
    <m/>
  </r>
  <r>
    <x v="5"/>
    <d v="2020-04-23T00:00:00"/>
    <s v="Brokerage"/>
    <x v="232"/>
    <n v="690"/>
    <x v="26"/>
    <m/>
    <m/>
    <m/>
    <n v="690"/>
    <b v="0"/>
    <m/>
    <m/>
    <s v="-"/>
    <x v="230"/>
    <s v="Create Rule; and Description='BOEING CO';Dividend"/>
    <m/>
  </r>
  <r>
    <x v="5"/>
    <d v="2020-04-23T00:00:00"/>
    <s v="POWERPLUS"/>
    <x v="29"/>
    <n v="203.6"/>
    <x v="8"/>
    <m/>
    <m/>
    <m/>
    <n v="203.6"/>
    <b v="0"/>
    <m/>
    <m/>
    <s v="-"/>
    <x v="29"/>
    <s v="Manual"/>
    <m/>
  </r>
  <r>
    <x v="5"/>
    <d v="2020-04-24T00:00:00"/>
    <s v="RAINY DAY"/>
    <x v="515"/>
    <n v="-200"/>
    <x v="26"/>
    <m/>
    <m/>
    <m/>
    <n v="200"/>
    <b v="0"/>
    <m/>
    <m/>
    <s v="+"/>
    <x v="496"/>
    <s v="Manual"/>
    <m/>
  </r>
  <r>
    <x v="5"/>
    <d v="2020-04-24T00:00:00"/>
    <s v="POWERPLUS"/>
    <x v="759"/>
    <n v="200"/>
    <x v="26"/>
    <m/>
    <m/>
    <m/>
    <n v="200"/>
    <b v="0"/>
    <m/>
    <m/>
    <s v="-"/>
    <x v="732"/>
    <s v="Manual"/>
    <m/>
  </r>
  <r>
    <x v="5"/>
    <d v="2020-04-26T00:00:00"/>
    <s v="Cash Rewards Visa Signature"/>
    <x v="60"/>
    <n v="74.55"/>
    <x v="26"/>
    <m/>
    <m/>
    <m/>
    <n v="74.55"/>
    <b v="0"/>
    <m/>
    <m/>
    <s v="-"/>
    <x v="60"/>
    <s v="Create Rule; and Description='Home Depot';House Maintenance"/>
    <m/>
  </r>
  <r>
    <x v="5"/>
    <d v="2020-04-26T00:00:00"/>
    <s v="Cash Rewards Visa Signature"/>
    <x v="60"/>
    <n v="79.349999999999994"/>
    <x v="26"/>
    <m/>
    <m/>
    <m/>
    <n v="79.349999999999994"/>
    <b v="0"/>
    <m/>
    <m/>
    <s v="-"/>
    <x v="60"/>
    <s v="Create Rule; and Description='Home Depot';House Maintenance"/>
    <m/>
  </r>
  <r>
    <x v="5"/>
    <d v="2020-04-26T00:00:00"/>
    <s v="Discover More Card"/>
    <x v="99"/>
    <n v="12.99"/>
    <x v="11"/>
    <m/>
    <m/>
    <m/>
    <n v="12.99"/>
    <b v="0"/>
    <m/>
    <m/>
    <s v="-"/>
    <x v="99"/>
    <s v="Create Rule; and Description='Netflix';Utilities"/>
    <m/>
  </r>
  <r>
    <x v="5"/>
    <d v="2020-04-26T00:00:00"/>
    <s v="Discover"/>
    <x v="99"/>
    <n v="12.99"/>
    <x v="11"/>
    <m/>
    <m/>
    <m/>
    <n v="12.99"/>
    <b v="0"/>
    <m/>
    <m/>
    <s v="-"/>
    <x v="99"/>
    <s v="Create Rule; and Description='Netflix';Utilities"/>
    <m/>
  </r>
  <r>
    <x v="5"/>
    <d v="2020-04-26T00:00:00"/>
    <s v="Cash Rewards Visa Signature"/>
    <x v="760"/>
    <n v="106.15"/>
    <x v="26"/>
    <m/>
    <m/>
    <m/>
    <n v="106.15"/>
    <b v="0"/>
    <m/>
    <m/>
    <s v="-"/>
    <x v="733"/>
    <s v="Create Rule; and Description Like '%NORTH COOP NORTH COOP%';Restaurants"/>
    <m/>
  </r>
  <r>
    <x v="5"/>
    <d v="2020-04-27T00:00:00"/>
    <s v="POWERPLUS"/>
    <x v="157"/>
    <n v="5.44"/>
    <x v="8"/>
    <m/>
    <m/>
    <m/>
    <n v="5.44"/>
    <b v="0"/>
    <m/>
    <m/>
    <s v="-"/>
    <x v="156"/>
    <s v="Create Rule; and Description Like '%PayPal%';Shopping"/>
    <m/>
  </r>
  <r>
    <x v="5"/>
    <d v="2020-04-27T00:00:00"/>
    <s v="POWERPLUS"/>
    <x v="34"/>
    <n v="99.86"/>
    <x v="12"/>
    <m/>
    <m/>
    <m/>
    <n v="99.86"/>
    <b v="0"/>
    <m/>
    <m/>
    <s v="-"/>
    <x v="34"/>
    <s v="Create Rule; and Description='Target';Target"/>
    <m/>
  </r>
  <r>
    <x v="5"/>
    <d v="2020-04-27T00:00:00"/>
    <s v="Cash Rewards Visa Signature"/>
    <x v="761"/>
    <n v="30.17"/>
    <x v="26"/>
    <m/>
    <m/>
    <m/>
    <n v="30.17"/>
    <b v="0"/>
    <m/>
    <m/>
    <s v="-"/>
    <x v="734"/>
    <s v="Create Rule; and Description='Twin Orchards Nurser Y';House Maintenance"/>
    <m/>
  </r>
  <r>
    <x v="5"/>
    <d v="2020-04-27T00:00:00"/>
    <s v="POWERPLUS"/>
    <x v="29"/>
    <n v="5"/>
    <x v="8"/>
    <m/>
    <m/>
    <m/>
    <n v="5"/>
    <b v="0"/>
    <m/>
    <m/>
    <s v="-"/>
    <x v="29"/>
    <s v="Manual"/>
    <m/>
  </r>
  <r>
    <x v="5"/>
    <d v="2020-04-28T00:00:00"/>
    <s v="Cash Rewards Visa Signature"/>
    <x v="0"/>
    <n v="-30.05"/>
    <x v="0"/>
    <m/>
    <m/>
    <m/>
    <n v="30.05"/>
    <b v="0"/>
    <m/>
    <m/>
    <s v="+"/>
    <x v="0"/>
    <s v="Create Rule; and Description='Amazon';Amazon"/>
    <m/>
  </r>
  <r>
    <x v="5"/>
    <d v="2020-04-28T00:00:00"/>
    <s v="POWERPLUS"/>
    <x v="762"/>
    <n v="575"/>
    <x v="26"/>
    <m/>
    <m/>
    <m/>
    <n v="575"/>
    <b v="0"/>
    <m/>
    <m/>
    <s v="-"/>
    <x v="735"/>
    <s v="Manual"/>
    <m/>
  </r>
  <r>
    <x v="5"/>
    <d v="2020-04-28T00:00:00"/>
    <s v="Cash Rewards Visa Signature"/>
    <x v="414"/>
    <n v="33.729999999999997"/>
    <x v="8"/>
    <m/>
    <m/>
    <m/>
    <n v="33.729999999999997"/>
    <b v="0"/>
    <m/>
    <m/>
    <s v="-"/>
    <x v="400"/>
    <s v="Create Rule; and Description='Pottery Barn';Shopping"/>
    <m/>
  </r>
  <r>
    <x v="5"/>
    <d v="2020-04-28T00:00:00"/>
    <s v="Investor Checking"/>
    <x v="361"/>
    <n v="-113.41"/>
    <x v="26"/>
    <m/>
    <m/>
    <m/>
    <n v="113.41"/>
    <b v="0"/>
    <m/>
    <m/>
    <s v="+"/>
    <x v="352"/>
    <s v="Manual"/>
    <m/>
  </r>
  <r>
    <x v="5"/>
    <d v="2020-04-28T00:00:00"/>
    <s v="Cash Rewards Visa Signature"/>
    <x v="763"/>
    <n v="260.45999999999998"/>
    <x v="26"/>
    <m/>
    <m/>
    <m/>
    <n v="260.45999999999998"/>
    <b v="0"/>
    <m/>
    <m/>
    <s v="-"/>
    <x v="736"/>
    <s v="Create Rule; and Description='Wine.com';Groceries"/>
    <m/>
  </r>
  <r>
    <x v="5"/>
    <d v="2020-04-29T00:00:00"/>
    <s v="Cash Rewards Visa Signature"/>
    <x v="764"/>
    <n v="113.41"/>
    <x v="26"/>
    <m/>
    <m/>
    <m/>
    <n v="113.41"/>
    <b v="0"/>
    <m/>
    <m/>
    <s v="-"/>
    <x v="737"/>
    <s v="Create Rule; and Description Like '%AVOADVOCARE INTL%';Groceries"/>
    <m/>
  </r>
  <r>
    <x v="5"/>
    <d v="2020-04-29T00:00:00"/>
    <s v="POWERPLUS"/>
    <x v="765"/>
    <n v="529.84"/>
    <x v="26"/>
    <m/>
    <m/>
    <m/>
    <n v="529.84"/>
    <b v="0"/>
    <m/>
    <m/>
    <s v="-"/>
    <x v="738"/>
    <s v="Create Rule; and Description Like '%Banana Visa%';Shopping"/>
    <m/>
  </r>
  <r>
    <x v="5"/>
    <d v="2020-04-29T00:00:00"/>
    <s v="POWERPLUS"/>
    <x v="766"/>
    <n v="-1993.07"/>
    <x v="26"/>
    <m/>
    <m/>
    <m/>
    <n v="1993.07"/>
    <b v="0"/>
    <m/>
    <m/>
    <s v="+"/>
    <x v="739"/>
    <s v="Create Rule; and Description Like '%CARGILL COCOA TYPE DIR DEP ID%';Inc - Britney"/>
    <m/>
  </r>
  <r>
    <x v="5"/>
    <d v="2020-04-29T00:00:00"/>
    <s v="POWERPLUS"/>
    <x v="767"/>
    <n v="-2688.27"/>
    <x v="26"/>
    <m/>
    <m/>
    <m/>
    <n v="2688.27"/>
    <b v="0"/>
    <m/>
    <m/>
    <s v="+"/>
    <x v="740"/>
    <s v="Create Rule; and Description Like '%KAUFMAN HALL TYPE DIRECT DEP ID%';Inc - Jeff"/>
    <m/>
  </r>
  <r>
    <x v="5"/>
    <d v="2020-04-29T00:00:00"/>
    <s v="POWERPLUS"/>
    <x v="157"/>
    <n v="0.99"/>
    <x v="8"/>
    <m/>
    <m/>
    <m/>
    <n v="0.99"/>
    <b v="0"/>
    <m/>
    <m/>
    <s v="-"/>
    <x v="156"/>
    <s v="Create Rule; and Description Like '%PayPal%';Shopping"/>
    <m/>
  </r>
  <r>
    <x v="5"/>
    <d v="2020-04-29T00:00:00"/>
    <s v="Discover More Card"/>
    <x v="2"/>
    <n v="22.37"/>
    <x v="2"/>
    <m/>
    <m/>
    <m/>
    <n v="22.37"/>
    <b v="0"/>
    <m/>
    <m/>
    <s v="-"/>
    <x v="2"/>
    <s v="Create Rule; and Description='Speedway';Transportation"/>
    <m/>
  </r>
  <r>
    <x v="5"/>
    <d v="2020-04-29T00:00:00"/>
    <s v="Discover"/>
    <x v="2"/>
    <n v="22.37"/>
    <x v="2"/>
    <m/>
    <m/>
    <m/>
    <n v="22.37"/>
    <b v="0"/>
    <m/>
    <m/>
    <s v="-"/>
    <x v="2"/>
    <s v="Create Rule; and Description='Speedway';Transportation"/>
    <m/>
  </r>
  <r>
    <x v="5"/>
    <d v="2020-04-29T00:00:00"/>
    <s v="Investor Checking"/>
    <x v="361"/>
    <n v="-84"/>
    <x v="26"/>
    <m/>
    <m/>
    <m/>
    <n v="84"/>
    <b v="0"/>
    <m/>
    <m/>
    <s v="+"/>
    <x v="352"/>
    <s v="Manual"/>
    <m/>
  </r>
  <r>
    <x v="5"/>
    <d v="2020-04-30T00:00:00"/>
    <s v="Discover More Card"/>
    <x v="93"/>
    <n v="-7.81"/>
    <x v="26"/>
    <m/>
    <m/>
    <m/>
    <n v="7.81"/>
    <b v="0"/>
    <m/>
    <m/>
    <s v="+"/>
    <x v="93"/>
    <s v="Delete; and Description='CASHBACK BONUS REDEMPTION payment/STMT CRDT';0"/>
    <m/>
  </r>
  <r>
    <x v="5"/>
    <d v="2020-04-30T00:00:00"/>
    <s v="Discover"/>
    <x v="93"/>
    <n v="-7.81"/>
    <x v="26"/>
    <m/>
    <m/>
    <m/>
    <n v="7.81"/>
    <b v="0"/>
    <m/>
    <m/>
    <s v="+"/>
    <x v="93"/>
    <s v="Delete; and Description='CASHBACK BONUS REDEMPTION payment/STMT CRDT';0"/>
    <m/>
  </r>
  <r>
    <x v="5"/>
    <d v="2020-04-30T00:00:00"/>
    <s v="Discover More Card"/>
    <x v="56"/>
    <n v="-32.01"/>
    <x v="3"/>
    <m/>
    <m/>
    <m/>
    <n v="32.01"/>
    <b v="0"/>
    <m/>
    <m/>
    <s v="+"/>
    <x v="56"/>
    <s v="Delete; and Description='INTERNET PAYMENT - THANK YOU';0"/>
    <m/>
  </r>
  <r>
    <x v="5"/>
    <d v="2020-04-30T00:00:00"/>
    <s v="Discover"/>
    <x v="56"/>
    <n v="-32.01"/>
    <x v="3"/>
    <m/>
    <m/>
    <m/>
    <n v="32.01"/>
    <b v="0"/>
    <m/>
    <m/>
    <s v="+"/>
    <x v="56"/>
    <s v="Delete; and Description='INTERNET PAYMENT - THANK YOU';0"/>
    <m/>
  </r>
  <r>
    <x v="5"/>
    <d v="2020-04-30T00:00:00"/>
    <s v="Cash Rewards Visa Signature"/>
    <x v="768"/>
    <n v="-696.72"/>
    <x v="26"/>
    <m/>
    <m/>
    <m/>
    <n v="696.72"/>
    <b v="0"/>
    <m/>
    <m/>
    <s v="+"/>
    <x v="741"/>
    <s v="Delete; and Description Like '%PAYMENT THANK YOU%';0"/>
    <m/>
  </r>
  <r>
    <x v="5"/>
    <d v="2020-04-30T00:00:00"/>
    <s v="POWERPLUS"/>
    <x v="769"/>
    <n v="696.72"/>
    <x v="26"/>
    <m/>
    <m/>
    <m/>
    <n v="696.72"/>
    <b v="0"/>
    <m/>
    <m/>
    <s v="-"/>
    <x v="742"/>
    <s v="Delete; and Description Like '%Withdrawal Home payment to card%';0"/>
    <m/>
  </r>
  <r>
    <x v="5"/>
    <d v="2020-04-30T00:00:00"/>
    <s v="Investor Checking"/>
    <x v="118"/>
    <n v="0"/>
    <x v="26"/>
    <m/>
    <m/>
    <m/>
    <n v="0"/>
    <b v="0"/>
    <m/>
    <m/>
    <s v="+"/>
    <x v="118"/>
    <s v="Manual"/>
    <m/>
  </r>
  <r>
    <x v="5"/>
    <d v="2020-04-30T00:00:00"/>
    <s v="Joint Tenant"/>
    <x v="167"/>
    <n v="-250"/>
    <x v="26"/>
    <m/>
    <m/>
    <m/>
    <n v="250"/>
    <b v="0"/>
    <m/>
    <m/>
    <s v="+"/>
    <x v="166"/>
    <s v="Create Rule; and Description='KAUFMAN HALL';Savings"/>
    <m/>
  </r>
  <r>
    <x v="5"/>
    <d v="2020-04-30T00:00:00"/>
    <s v="Brokerage"/>
    <x v="167"/>
    <n v="-250"/>
    <x v="26"/>
    <m/>
    <m/>
    <m/>
    <n v="250"/>
    <b v="0"/>
    <m/>
    <m/>
    <s v="+"/>
    <x v="166"/>
    <s v="Create Rule; and Description='KAUFMAN HALL';Savings"/>
    <m/>
  </r>
  <r>
    <x v="5"/>
    <d v="2020-04-30T00:00:00"/>
    <s v="RAINY DAY"/>
    <x v="119"/>
    <n v="-18.78"/>
    <x v="26"/>
    <m/>
    <m/>
    <m/>
    <n v="18.78"/>
    <b v="0"/>
    <m/>
    <m/>
    <s v="+"/>
    <x v="119"/>
    <s v="Create Rule; and Description='Split Rate Apy';Inc - Other"/>
    <m/>
  </r>
  <r>
    <x v="5"/>
    <d v="2020-04-30T00:00:00"/>
    <s v="POWERPLUS"/>
    <x v="119"/>
    <n v="-24.5"/>
    <x v="26"/>
    <m/>
    <m/>
    <m/>
    <n v="24.5"/>
    <b v="0"/>
    <m/>
    <m/>
    <s v="+"/>
    <x v="119"/>
    <s v="Create Rule; and Description='Split Rate Apy';Inc - Other"/>
    <m/>
  </r>
  <r>
    <x v="5"/>
    <d v="2020-04-30T00:00:00"/>
    <s v="Joint Tenant"/>
    <x v="358"/>
    <n v="-22.96"/>
    <x v="26"/>
    <m/>
    <m/>
    <m/>
    <n v="22.96"/>
    <b v="0"/>
    <m/>
    <m/>
    <s v="+"/>
    <x v="349"/>
    <s v="Delete; and Source='Joint Tenant';0"/>
    <m/>
  </r>
  <r>
    <x v="5"/>
    <d v="2020-04-30T00:00:00"/>
    <s v="Brokerage"/>
    <x v="358"/>
    <n v="-22.96"/>
    <x v="26"/>
    <m/>
    <m/>
    <m/>
    <n v="22.96"/>
    <b v="0"/>
    <m/>
    <m/>
    <s v="+"/>
    <x v="349"/>
    <s v="Manual"/>
    <m/>
  </r>
  <r>
    <x v="5"/>
    <d v="2020-04-30T00:00:00"/>
    <s v="Jeff IRA"/>
    <x v="52"/>
    <n v="-250"/>
    <x v="26"/>
    <m/>
    <m/>
    <m/>
    <n v="250"/>
    <b v="0"/>
    <m/>
    <m/>
    <s v="+"/>
    <x v="52"/>
    <s v="Create Rule; and Description='Tfr JPMORGAN CHASE BAN, KAUFMAN HALL';Roth"/>
    <m/>
  </r>
  <r>
    <x v="15"/>
    <d v="2020-05-01T00:00:00"/>
    <s v="POWERPLUS"/>
    <x v="770"/>
    <n v="32.01"/>
    <x v="26"/>
    <m/>
    <m/>
    <m/>
    <n v="32.01"/>
    <b v="0"/>
    <m/>
    <m/>
    <s v="-"/>
    <x v="743"/>
    <s v="Delete; and Description Like '%DISCOVER TYPE EPAYMENT%';0"/>
    <m/>
  </r>
  <r>
    <x v="15"/>
    <d v="2020-05-01T00:00:00"/>
    <s v="Joint Tenant"/>
    <x v="125"/>
    <n v="-123.69"/>
    <x v="26"/>
    <m/>
    <m/>
    <m/>
    <n v="123.69"/>
    <b v="0"/>
    <m/>
    <m/>
    <s v="+"/>
    <x v="124"/>
    <s v="Create Rule; and Description='A T &amp; T INC';Dividend"/>
    <m/>
  </r>
  <r>
    <x v="15"/>
    <d v="2020-05-01T00:00:00"/>
    <s v="Brokerage"/>
    <x v="125"/>
    <n v="-123.69"/>
    <x v="26"/>
    <m/>
    <m/>
    <m/>
    <n v="123.69"/>
    <b v="0"/>
    <m/>
    <m/>
    <s v="+"/>
    <x v="124"/>
    <s v="Create Rule; and Description='A T &amp; T INC';Dividend"/>
    <m/>
  </r>
  <r>
    <x v="15"/>
    <d v="2020-05-01T00:00:00"/>
    <s v="Cash Rewards Visa Signature"/>
    <x v="598"/>
    <n v="4.28"/>
    <x v="10"/>
    <m/>
    <m/>
    <m/>
    <n v="4.28"/>
    <b v="0"/>
    <m/>
    <m/>
    <s v="-"/>
    <x v="579"/>
    <s v="Create Rule; and Description='Amazon Music';Entertainment"/>
    <m/>
  </r>
  <r>
    <x v="15"/>
    <d v="2020-05-01T00:00:00"/>
    <s v="Joint Tenant"/>
    <x v="185"/>
    <n v="-200"/>
    <x v="26"/>
    <m/>
    <m/>
    <m/>
    <n v="200"/>
    <b v="0"/>
    <m/>
    <m/>
    <s v="+"/>
    <x v="184"/>
    <s v="Create Rule; and Description='CARGILL COCOA &amp;';Roth"/>
    <m/>
  </r>
  <r>
    <x v="15"/>
    <d v="2020-05-01T00:00:00"/>
    <s v="Brokerage"/>
    <x v="185"/>
    <n v="-200"/>
    <x v="26"/>
    <m/>
    <m/>
    <m/>
    <n v="200"/>
    <b v="0"/>
    <m/>
    <m/>
    <s v="+"/>
    <x v="184"/>
    <s v="Create Rule; and Description='CARGILL COCOA &amp;';Roth"/>
    <m/>
  </r>
  <r>
    <x v="15"/>
    <d v="2020-05-01T00:00:00"/>
    <s v="POWERPLUS"/>
    <x v="771"/>
    <n v="200"/>
    <x v="26"/>
    <m/>
    <m/>
    <m/>
    <n v="200"/>
    <b v="0"/>
    <m/>
    <m/>
    <s v="-"/>
    <x v="16"/>
    <s v="Create Rule; and Description Like '%College Savings%';College Savings"/>
    <m/>
  </r>
  <r>
    <x v="15"/>
    <d v="2020-05-01T00:00:00"/>
    <s v="HIGHLANDER"/>
    <x v="772"/>
    <n v="-571.63"/>
    <x v="26"/>
    <m/>
    <m/>
    <m/>
    <n v="571.63"/>
    <b v="0"/>
    <m/>
    <m/>
    <s v="+"/>
    <x v="744"/>
    <s v="Manual"/>
    <m/>
  </r>
  <r>
    <x v="15"/>
    <d v="2020-05-01T00:00:00"/>
    <s v="Joint Tenant"/>
    <x v="358"/>
    <n v="22.96"/>
    <x v="26"/>
    <m/>
    <m/>
    <m/>
    <n v="22.96"/>
    <b v="0"/>
    <m/>
    <m/>
    <s v="-"/>
    <x v="349"/>
    <s v="Delete; and Source='Joint Tenant';0"/>
    <m/>
  </r>
  <r>
    <x v="15"/>
    <d v="2020-05-01T00:00:00"/>
    <s v="Brokerage"/>
    <x v="358"/>
    <n v="22.96"/>
    <x v="26"/>
    <m/>
    <m/>
    <m/>
    <n v="22.96"/>
    <b v="0"/>
    <m/>
    <m/>
    <s v="-"/>
    <x v="349"/>
    <s v="Manual"/>
    <m/>
  </r>
  <r>
    <x v="15"/>
    <d v="2020-05-01T00:00:00"/>
    <s v="CARGILL PARTNERSHIP PLAN"/>
    <x v="235"/>
    <n v="-732.69"/>
    <x v="26"/>
    <m/>
    <m/>
    <m/>
    <n v="732.69"/>
    <b v="0"/>
    <m/>
    <m/>
    <s v="+"/>
    <x v="233"/>
    <s v="Create Rule; and Description='Target Retire 2055 Tr P - Plan Contribution';401K"/>
    <m/>
  </r>
  <r>
    <x v="15"/>
    <d v="2020-05-01T00:00:00"/>
    <s v="Contributory"/>
    <x v="51"/>
    <n v="-231"/>
    <x v="26"/>
    <m/>
    <m/>
    <m/>
    <n v="231"/>
    <b v="0"/>
    <m/>
    <m/>
    <s v="+"/>
    <x v="51"/>
    <s v="Create Rule; and Description='Tfr JPMORGAN CHASE BAN, CARGILL COCOA &amp;';Roth"/>
    <m/>
  </r>
  <r>
    <x v="15"/>
    <d v="2020-05-01T00:00:00"/>
    <s v="POWERPLUS"/>
    <x v="773"/>
    <n v="618.65"/>
    <x v="26"/>
    <m/>
    <m/>
    <m/>
    <n v="618.65"/>
    <b v="0"/>
    <m/>
    <m/>
    <s v="-"/>
    <x v="745"/>
    <s v="Create Rule; and Description Like '%To Loan 02%';Car Loan"/>
    <m/>
  </r>
  <r>
    <x v="15"/>
    <d v="2020-05-03T00:00:00"/>
    <s v="Discover"/>
    <x v="240"/>
    <n v="22.76"/>
    <x v="26"/>
    <m/>
    <m/>
    <m/>
    <n v="22.76"/>
    <b v="0"/>
    <m/>
    <m/>
    <s v="-"/>
    <x v="238"/>
    <s v="Create Rule; and Description='Chipotle';Restaurants"/>
    <m/>
  </r>
  <r>
    <x v="15"/>
    <d v="2020-05-03T00:00:00"/>
    <s v="Cash Rewards Visa Signature"/>
    <x v="774"/>
    <n v="75.59"/>
    <x v="26"/>
    <m/>
    <m/>
    <m/>
    <n v="75.59"/>
    <b v="0"/>
    <m/>
    <m/>
    <s v="-"/>
    <x v="746"/>
    <s v="Manual"/>
    <m/>
  </r>
  <r>
    <x v="15"/>
    <d v="2020-05-03T00:00:00"/>
    <s v="Cash Rewards Visa Signature"/>
    <x v="49"/>
    <n v="68"/>
    <x v="26"/>
    <m/>
    <m/>
    <m/>
    <n v="68"/>
    <b v="0"/>
    <m/>
    <m/>
    <s v="-"/>
    <x v="49"/>
    <s v="Create Rule; and Description='Lululemon';Shopping"/>
    <m/>
  </r>
  <r>
    <x v="15"/>
    <d v="2020-05-03T00:00:00"/>
    <s v="Cash Rewards Visa Signature"/>
    <x v="775"/>
    <n v="146.01"/>
    <x v="26"/>
    <m/>
    <m/>
    <m/>
    <n v="146.01"/>
    <b v="0"/>
    <m/>
    <m/>
    <s v="-"/>
    <x v="747"/>
    <s v="Manual"/>
    <m/>
  </r>
  <r>
    <x v="15"/>
    <d v="2020-05-04T00:00:00"/>
    <s v="30 YR FIXED"/>
    <x v="776"/>
    <n v="-553.15"/>
    <x v="26"/>
    <m/>
    <m/>
    <m/>
    <n v="553.15"/>
    <b v="0"/>
    <m/>
    <m/>
    <s v="+"/>
    <x v="748"/>
    <s v="Manual"/>
    <m/>
  </r>
  <r>
    <x v="16"/>
    <d v="2021-04-01T00:00:00"/>
    <s v="POWERPLUS"/>
    <x v="777"/>
    <n v="2832.55"/>
    <x v="26"/>
    <m/>
    <m/>
    <m/>
    <n v="2832.55"/>
    <b v="0"/>
    <m/>
    <m/>
    <s v="-"/>
    <x v="265"/>
    <s v="Create Rule; and Description Like '%BCU MORTGAGE TYPE LOAN PAYMT ID 9DRAFTING CO BCU MORTGAGE%';Rent"/>
    <m/>
  </r>
  <r>
    <x v="15"/>
    <d v="2020-05-04T00:00:00"/>
    <s v="Joint Tenant"/>
    <x v="125"/>
    <n v="123.69"/>
    <x v="26"/>
    <m/>
    <m/>
    <m/>
    <n v="123.69"/>
    <b v="0"/>
    <m/>
    <m/>
    <s v="-"/>
    <x v="124"/>
    <s v="Create Rule; and Description='A T &amp; T INC';Dividend"/>
    <m/>
  </r>
  <r>
    <x v="15"/>
    <d v="2020-05-04T00:00:00"/>
    <s v="Brokerage"/>
    <x v="125"/>
    <n v="123.69"/>
    <x v="26"/>
    <m/>
    <m/>
    <m/>
    <n v="123.69"/>
    <b v="0"/>
    <m/>
    <m/>
    <s v="-"/>
    <x v="124"/>
    <s v="Create Rule; and Description='A T &amp; T INC';Dividend"/>
    <m/>
  </r>
  <r>
    <x v="15"/>
    <d v="2020-05-04T00:00:00"/>
    <s v="Cash Rewards Visa Signature"/>
    <x v="70"/>
    <n v="61.51"/>
    <x v="26"/>
    <m/>
    <m/>
    <m/>
    <n v="61.51"/>
    <b v="0"/>
    <m/>
    <m/>
    <s v="-"/>
    <x v="70"/>
    <s v="Create Rule; and Description like '%Byerly%';Groceries"/>
    <m/>
  </r>
  <r>
    <x v="15"/>
    <d v="2020-05-04T00:00:00"/>
    <s v="Cash Rewards Visa Signature"/>
    <x v="70"/>
    <n v="92.16"/>
    <x v="26"/>
    <m/>
    <m/>
    <m/>
    <n v="92.16"/>
    <b v="0"/>
    <m/>
    <m/>
    <s v="-"/>
    <x v="70"/>
    <s v="Create Rule; and Description like '%Byerly%';Groceries"/>
    <m/>
  </r>
  <r>
    <x v="15"/>
    <d v="2020-05-04T00:00:00"/>
    <s v="Discover More Card"/>
    <x v="240"/>
    <n v="22.76"/>
    <x v="26"/>
    <m/>
    <m/>
    <m/>
    <n v="22.76"/>
    <b v="0"/>
    <m/>
    <m/>
    <s v="-"/>
    <x v="238"/>
    <s v="Create Rule; and Description='Chipotle';Restaurants"/>
    <m/>
  </r>
  <r>
    <x v="15"/>
    <d v="2020-05-04T00:00:00"/>
    <s v="Discover"/>
    <x v="240"/>
    <n v="22.76"/>
    <x v="26"/>
    <m/>
    <m/>
    <m/>
    <n v="22.76"/>
    <b v="0"/>
    <m/>
    <m/>
    <s v="-"/>
    <x v="238"/>
    <s v="Create Rule; and Description='Chipotle';Restaurants"/>
    <m/>
  </r>
  <r>
    <x v="15"/>
    <d v="2020-05-04T00:00:00"/>
    <s v="Cash Rewards Visa Signature"/>
    <x v="778"/>
    <n v="29.53"/>
    <x v="26"/>
    <m/>
    <m/>
    <m/>
    <n v="29.53"/>
    <b v="0"/>
    <m/>
    <m/>
    <s v="-"/>
    <x v="749"/>
    <s v="Create Rule; and Description Like '%TST OLIVE S FRESH%';Restaurants"/>
    <m/>
  </r>
  <r>
    <x v="15"/>
    <d v="2020-05-04T00:00:00"/>
    <s v="Cash Rewards Visa Signature"/>
    <x v="763"/>
    <n v="115.08"/>
    <x v="26"/>
    <m/>
    <m/>
    <m/>
    <n v="115.08"/>
    <b v="0"/>
    <m/>
    <m/>
    <s v="-"/>
    <x v="736"/>
    <s v="Create Rule; and Description='Wine.com';Groceries"/>
    <m/>
  </r>
  <r>
    <x v="15"/>
    <d v="2020-05-06T00:00:00"/>
    <s v="Joint Tenant"/>
    <x v="232"/>
    <n v="494.18"/>
    <x v="26"/>
    <m/>
    <m/>
    <m/>
    <n v="494.18"/>
    <b v="0"/>
    <m/>
    <m/>
    <s v="-"/>
    <x v="230"/>
    <s v="Create Rule; and Description='BOEING CO';Dividend"/>
    <m/>
  </r>
  <r>
    <x v="15"/>
    <d v="2020-05-06T00:00:00"/>
    <s v="Brokerage"/>
    <x v="232"/>
    <n v="494.18"/>
    <x v="26"/>
    <m/>
    <m/>
    <m/>
    <n v="494.18"/>
    <b v="0"/>
    <m/>
    <m/>
    <s v="-"/>
    <x v="230"/>
    <s v="Create Rule; and Description='BOEING CO';Dividend"/>
    <m/>
  </r>
  <r>
    <x v="15"/>
    <d v="2020-05-06T00:00:00"/>
    <s v="Cash Rewards Visa Signature"/>
    <x v="60"/>
    <n v="554.25"/>
    <x v="26"/>
    <m/>
    <m/>
    <m/>
    <n v="554.25"/>
    <b v="0"/>
    <m/>
    <m/>
    <s v="-"/>
    <x v="60"/>
    <s v="Create Rule; and Description='Home Depot';House Maintenance"/>
    <m/>
  </r>
  <r>
    <x v="15"/>
    <d v="2020-05-06T00:00:00"/>
    <s v="Joint Tenant"/>
    <x v="148"/>
    <n v="-13.46"/>
    <x v="26"/>
    <m/>
    <m/>
    <m/>
    <n v="13.46"/>
    <b v="0"/>
    <m/>
    <m/>
    <s v="+"/>
    <x v="147"/>
    <s v="Create Rule; and Description='LOWES COMPANIES INC';House Maintenance"/>
    <m/>
  </r>
  <r>
    <x v="15"/>
    <d v="2020-05-06T00:00:00"/>
    <s v="Brokerage"/>
    <x v="148"/>
    <n v="-13.46"/>
    <x v="26"/>
    <m/>
    <m/>
    <m/>
    <n v="13.46"/>
    <b v="0"/>
    <m/>
    <m/>
    <s v="+"/>
    <x v="147"/>
    <s v="Create Rule; and Description='LOWES COMPANIES INC';House Maintenance"/>
    <m/>
  </r>
  <r>
    <x v="15"/>
    <d v="2020-05-06T00:00:00"/>
    <s v="Joint Tenant"/>
    <x v="495"/>
    <n v="-3.34"/>
    <x v="26"/>
    <m/>
    <m/>
    <m/>
    <n v="3.34"/>
    <b v="0"/>
    <m/>
    <m/>
    <s v="+"/>
    <x v="478"/>
    <s v="Delete; and Source='Joint Tenant';0"/>
    <m/>
  </r>
  <r>
    <x v="15"/>
    <d v="2020-05-06T00:00:00"/>
    <s v="Brokerage"/>
    <x v="495"/>
    <n v="-3.34"/>
    <x v="26"/>
    <m/>
    <m/>
    <m/>
    <n v="3.34"/>
    <b v="0"/>
    <m/>
    <m/>
    <s v="+"/>
    <x v="478"/>
    <s v="Manual"/>
    <m/>
  </r>
  <r>
    <x v="15"/>
    <d v="2020-05-06T00:00:00"/>
    <s v="Cash Rewards Visa Signature"/>
    <x v="448"/>
    <n v="118.27"/>
    <x v="30"/>
    <m/>
    <m/>
    <m/>
    <n v="118.27"/>
    <b v="0"/>
    <m/>
    <m/>
    <s v="-"/>
    <x v="432"/>
    <s v="Create Rule; and Description='Wayfair';Shopping"/>
    <m/>
  </r>
  <r>
    <x v="15"/>
    <d v="2020-05-06T00:00:00"/>
    <s v="POWERPLUS"/>
    <x v="30"/>
    <n v="121.44"/>
    <x v="11"/>
    <m/>
    <m/>
    <m/>
    <n v="121.44"/>
    <b v="0"/>
    <m/>
    <m/>
    <s v="-"/>
    <x v="30"/>
    <s v="Create Rule; and Description='Xcel Energy';Utilities"/>
    <m/>
  </r>
  <r>
    <x v="15"/>
    <d v="2020-05-07T00:00:00"/>
    <s v="POWERPLUS"/>
    <x v="446"/>
    <n v="-3561.14"/>
    <x v="26"/>
    <m/>
    <m/>
    <m/>
    <n v="3561.14"/>
    <b v="0"/>
    <m/>
    <m/>
    <s v="+"/>
    <x v="430"/>
    <s v="Manual"/>
    <m/>
  </r>
  <r>
    <x v="15"/>
    <d v="2020-05-07T00:00:00"/>
    <s v="Joint Tenant"/>
    <x v="148"/>
    <n v="13.46"/>
    <x v="26"/>
    <m/>
    <m/>
    <m/>
    <n v="13.46"/>
    <b v="0"/>
    <m/>
    <m/>
    <s v="-"/>
    <x v="147"/>
    <s v="Create Rule; and Description='LOWES COMPANIES INC';House Maintenance"/>
    <m/>
  </r>
  <r>
    <x v="15"/>
    <d v="2020-05-07T00:00:00"/>
    <s v="Brokerage"/>
    <x v="148"/>
    <n v="13.46"/>
    <x v="26"/>
    <m/>
    <m/>
    <m/>
    <n v="13.46"/>
    <b v="0"/>
    <m/>
    <m/>
    <s v="-"/>
    <x v="147"/>
    <s v="Create Rule; and Description='LOWES COMPANIES INC';House Maintenance"/>
    <m/>
  </r>
  <r>
    <x v="15"/>
    <d v="2020-05-07T00:00:00"/>
    <s v="Joint Tenant"/>
    <x v="495"/>
    <n v="3.34"/>
    <x v="26"/>
    <m/>
    <m/>
    <m/>
    <n v="3.34"/>
    <b v="0"/>
    <m/>
    <m/>
    <s v="-"/>
    <x v="478"/>
    <s v="Delete; and Source='Joint Tenant';0"/>
    <m/>
  </r>
  <r>
    <x v="15"/>
    <d v="2020-05-07T00:00:00"/>
    <s v="Brokerage"/>
    <x v="495"/>
    <n v="3.34"/>
    <x v="26"/>
    <m/>
    <m/>
    <m/>
    <n v="3.34"/>
    <b v="0"/>
    <m/>
    <m/>
    <s v="-"/>
    <x v="478"/>
    <s v="Manual"/>
    <m/>
  </r>
  <r>
    <x v="15"/>
    <d v="2020-05-08T00:00:00"/>
    <s v="Cash Rewards Visa Signature"/>
    <x v="6"/>
    <n v="22.93"/>
    <x v="5"/>
    <m/>
    <m/>
    <m/>
    <n v="22.93"/>
    <b v="0"/>
    <m/>
    <m/>
    <s v="-"/>
    <x v="6"/>
    <s v="Create Rule; and Description Like '%Cub Foods%';Groceries"/>
    <m/>
  </r>
  <r>
    <x v="15"/>
    <d v="2020-05-08T00:00:00"/>
    <s v="Cash Rewards Visa Signature"/>
    <x v="6"/>
    <n v="26.83"/>
    <x v="5"/>
    <m/>
    <m/>
    <m/>
    <n v="26.83"/>
    <b v="0"/>
    <m/>
    <m/>
    <s v="-"/>
    <x v="6"/>
    <s v="Create Rule; and Description Like '%Cub Foods%';Groceries"/>
    <m/>
  </r>
  <r>
    <x v="15"/>
    <d v="2020-05-08T00:00:00"/>
    <s v="POWERPLUS"/>
    <x v="142"/>
    <n v="113.84"/>
    <x v="26"/>
    <m/>
    <m/>
    <m/>
    <n v="113.84"/>
    <b v="0"/>
    <m/>
    <m/>
    <s v="-"/>
    <x v="141"/>
    <s v="Create Rule; and Description='Waste Management';Utilities"/>
    <m/>
  </r>
  <r>
    <x v="15"/>
    <d v="2020-05-10T00:00:00"/>
    <s v="Cash Rewards Visa Signature"/>
    <x v="152"/>
    <n v="45.14"/>
    <x v="26"/>
    <m/>
    <m/>
    <m/>
    <n v="45.14"/>
    <b v="0"/>
    <m/>
    <m/>
    <s v="-"/>
    <x v="151"/>
    <s v="Create Rule; and Description='Excelsior Brewing';Restaurants"/>
    <m/>
  </r>
  <r>
    <x v="15"/>
    <d v="2020-05-10T00:00:00"/>
    <s v="POWERPLUS"/>
    <x v="28"/>
    <n v="-45"/>
    <x v="26"/>
    <m/>
    <m/>
    <m/>
    <n v="45"/>
    <b v="0"/>
    <m/>
    <m/>
    <s v="+"/>
    <x v="28"/>
    <s v="Manual"/>
    <m/>
  </r>
  <r>
    <x v="15"/>
    <d v="2020-05-10T00:00:00"/>
    <s v="Cash Rewards Visa Signature"/>
    <x v="309"/>
    <n v="48.03"/>
    <x v="26"/>
    <m/>
    <m/>
    <m/>
    <n v="48.03"/>
    <b v="0"/>
    <m/>
    <m/>
    <s v="-"/>
    <x v="301"/>
    <s v="Create Rule; and Description='Sherwin Williams';House Maintenance"/>
    <m/>
  </r>
  <r>
    <x v="15"/>
    <d v="2020-05-10T00:00:00"/>
    <s v="Cash Rewards Visa Signature"/>
    <x v="779"/>
    <n v="68.77"/>
    <x v="26"/>
    <m/>
    <m/>
    <m/>
    <n v="68.77"/>
    <b v="0"/>
    <m/>
    <m/>
    <s v="-"/>
    <x v="750"/>
    <s v="Create Rule; and Description Like '%TST OLIVE S FRESH%';Restaurants"/>
    <m/>
  </r>
  <r>
    <x v="15"/>
    <d v="2020-05-11T00:00:00"/>
    <s v="Cash Rewards Visa Signature"/>
    <x v="780"/>
    <n v="-1544.38"/>
    <x v="26"/>
    <m/>
    <m/>
    <m/>
    <n v="1544.38"/>
    <b v="0"/>
    <m/>
    <m/>
    <s v="+"/>
    <x v="751"/>
    <s v="Delete; and Description Like '%PAYMENT THANK YOU%';0"/>
    <m/>
  </r>
  <r>
    <x v="15"/>
    <d v="2020-05-11T00:00:00"/>
    <s v="POWERPLUS"/>
    <x v="781"/>
    <n v="1544.38"/>
    <x v="26"/>
    <m/>
    <m/>
    <m/>
    <n v="1544.38"/>
    <b v="0"/>
    <m/>
    <m/>
    <s v="-"/>
    <x v="752"/>
    <s v="Delete; and Description Like '%Withdrawal Home payment to card%';0"/>
    <m/>
  </r>
  <r>
    <x v="15"/>
    <d v="2020-05-11T00:00:00"/>
    <s v="Discover More Card"/>
    <x v="67"/>
    <n v="45"/>
    <x v="11"/>
    <m/>
    <m/>
    <m/>
    <n v="45"/>
    <b v="0"/>
    <m/>
    <m/>
    <s v="-"/>
    <x v="67"/>
    <s v="Create Rule; and Description='CenturyLink';Utilities"/>
    <m/>
  </r>
  <r>
    <x v="15"/>
    <d v="2020-05-11T00:00:00"/>
    <s v="Discover"/>
    <x v="67"/>
    <n v="45"/>
    <x v="11"/>
    <m/>
    <m/>
    <m/>
    <n v="45"/>
    <b v="0"/>
    <m/>
    <m/>
    <s v="-"/>
    <x v="67"/>
    <s v="Create Rule; and Description='CenturyLink';Utilities"/>
    <m/>
  </r>
  <r>
    <x v="15"/>
    <d v="2020-05-11T00:00:00"/>
    <s v="POWERPLUS"/>
    <x v="782"/>
    <n v="133.68"/>
    <x v="26"/>
    <m/>
    <m/>
    <m/>
    <n v="133.68"/>
    <b v="0"/>
    <m/>
    <m/>
    <s v="-"/>
    <x v="146"/>
    <s v="Create Rule; and Description Like '%CPENERGY MNGCO%';Utilities"/>
    <m/>
  </r>
  <r>
    <x v="15"/>
    <d v="2020-05-11T00:00:00"/>
    <s v="Discover More Card"/>
    <x v="577"/>
    <n v="8.15"/>
    <x v="1"/>
    <m/>
    <m/>
    <m/>
    <n v="8.15"/>
    <b v="0"/>
    <m/>
    <m/>
    <s v="-"/>
    <x v="558"/>
    <s v="Create Rule; and Description Like '%Jimmy John%';Restaurants"/>
    <m/>
  </r>
  <r>
    <x v="15"/>
    <d v="2020-05-11T00:00:00"/>
    <s v="Discover"/>
    <x v="577"/>
    <n v="8.15"/>
    <x v="1"/>
    <m/>
    <m/>
    <m/>
    <n v="8.15"/>
    <b v="0"/>
    <m/>
    <m/>
    <s v="-"/>
    <x v="558"/>
    <s v="Create Rule; and Description Like '%Jimmy John%';Restaurants"/>
    <m/>
  </r>
  <r>
    <x v="15"/>
    <d v="2020-05-11T00:00:00"/>
    <s v="Cash Rewards Visa Signature"/>
    <x v="661"/>
    <n v="40.68"/>
    <x v="26"/>
    <m/>
    <m/>
    <m/>
    <n v="40.68"/>
    <b v="0"/>
    <m/>
    <m/>
    <s v="-"/>
    <x v="639"/>
    <s v="Manual"/>
    <m/>
  </r>
  <r>
    <x v="15"/>
    <d v="2020-05-11T00:00:00"/>
    <s v="POWERPLUS"/>
    <x v="157"/>
    <n v="7.43"/>
    <x v="8"/>
    <m/>
    <m/>
    <m/>
    <n v="7.43"/>
    <b v="0"/>
    <m/>
    <m/>
    <s v="-"/>
    <x v="156"/>
    <s v="Create Rule; and Description Like '%PayPal%';Shopping"/>
    <m/>
  </r>
  <r>
    <x v="15"/>
    <d v="2020-05-11T00:00:00"/>
    <s v="Cash Rewards Visa Signature"/>
    <x v="783"/>
    <n v="117.45"/>
    <x v="26"/>
    <m/>
    <m/>
    <m/>
    <n v="117.45"/>
    <b v="0"/>
    <m/>
    <m/>
    <s v="-"/>
    <x v="753"/>
    <s v="Manual"/>
    <m/>
  </r>
  <r>
    <x v="15"/>
    <d v="2020-05-13T00:00:00"/>
    <s v="POWERPLUS"/>
    <x v="784"/>
    <n v="-2744.61"/>
    <x v="26"/>
    <m/>
    <m/>
    <m/>
    <n v="2744.61"/>
    <b v="0"/>
    <m/>
    <m/>
    <s v="+"/>
    <x v="754"/>
    <s v="Create Rule; and Description Like '%CARGILL COCOA TYPE DIR DEP ID%';Inc - Britney"/>
    <m/>
  </r>
  <r>
    <x v="15"/>
    <d v="2020-05-13T00:00:00"/>
    <s v="Cash Rewards Visa Signature"/>
    <x v="711"/>
    <n v="-94.97"/>
    <x v="26"/>
    <m/>
    <m/>
    <m/>
    <n v="94.97"/>
    <b v="0"/>
    <m/>
    <m/>
    <s v="+"/>
    <x v="687"/>
    <s v="Manual"/>
    <m/>
  </r>
  <r>
    <x v="15"/>
    <d v="2020-05-13T00:00:00"/>
    <s v="Cash Rewards Visa Signature"/>
    <x v="68"/>
    <n v="18"/>
    <x v="26"/>
    <m/>
    <m/>
    <m/>
    <n v="18"/>
    <b v="0"/>
    <m/>
    <m/>
    <s v="-"/>
    <x v="68"/>
    <s v="Create Rule; and Description='Harvard Business';Entertainment"/>
    <m/>
  </r>
  <r>
    <x v="15"/>
    <d v="2020-05-14T00:00:00"/>
    <s v="POWERPLUS"/>
    <x v="48"/>
    <n v="114.38"/>
    <x v="16"/>
    <m/>
    <m/>
    <m/>
    <n v="114.38"/>
    <b v="0"/>
    <m/>
    <m/>
    <s v="-"/>
    <x v="48"/>
    <s v="Create Rule; and Description='American Family Insurance';Insurance"/>
    <m/>
  </r>
  <r>
    <x v="15"/>
    <d v="2020-05-14T00:00:00"/>
    <s v="Joint Tenant"/>
    <x v="165"/>
    <n v="-45.69"/>
    <x v="26"/>
    <m/>
    <m/>
    <m/>
    <n v="45.69"/>
    <b v="0"/>
    <m/>
    <m/>
    <s v="+"/>
    <x v="164"/>
    <s v="Create Rule; and Description='APPLE INC';Dividend"/>
    <m/>
  </r>
  <r>
    <x v="15"/>
    <d v="2020-05-14T00:00:00"/>
    <s v="Jeff IRA"/>
    <x v="165"/>
    <n v="-4.1100000000000003"/>
    <x v="26"/>
    <m/>
    <m/>
    <m/>
    <n v="4.1100000000000003"/>
    <b v="0"/>
    <m/>
    <m/>
    <s v="+"/>
    <x v="164"/>
    <s v="Create Rule; and Description='APPLE INC';Dividend"/>
    <m/>
  </r>
  <r>
    <x v="15"/>
    <d v="2020-05-14T00:00:00"/>
    <s v="Brokerage"/>
    <x v="165"/>
    <n v="-45.69"/>
    <x v="26"/>
    <m/>
    <m/>
    <m/>
    <n v="45.69"/>
    <b v="0"/>
    <m/>
    <m/>
    <s v="+"/>
    <x v="164"/>
    <s v="Create Rule; and Description='APPLE INC';Dividend"/>
    <m/>
  </r>
  <r>
    <x v="15"/>
    <d v="2020-05-14T00:00:00"/>
    <s v="POWERPLUS"/>
    <x v="785"/>
    <n v="-2688.26"/>
    <x v="26"/>
    <m/>
    <m/>
    <m/>
    <n v="2688.26"/>
    <b v="0"/>
    <m/>
    <m/>
    <s v="+"/>
    <x v="755"/>
    <s v="Create Rule; and Description Like '%KAUFMAN HALL TYPE DIRECT DEP ID%';Inc - Jeff"/>
    <m/>
  </r>
  <r>
    <x v="15"/>
    <d v="2020-05-14T00:00:00"/>
    <s v="Cash Rewards Visa Signature"/>
    <x v="786"/>
    <n v="40.26"/>
    <x v="26"/>
    <m/>
    <m/>
    <m/>
    <n v="40.26"/>
    <b v="0"/>
    <m/>
    <m/>
    <s v="-"/>
    <x v="756"/>
    <s v="Create Rule; and Description Like '%NORTH COOP NORTH COOP%';Restaurants"/>
    <m/>
  </r>
  <r>
    <x v="15"/>
    <d v="2020-05-14T00:00:00"/>
    <s v="Cash Rewards Visa Signature"/>
    <x v="2"/>
    <n v="26.77"/>
    <x v="2"/>
    <m/>
    <m/>
    <m/>
    <n v="26.77"/>
    <b v="0"/>
    <m/>
    <m/>
    <s v="-"/>
    <x v="2"/>
    <s v="Create Rule; and Description='Speedway';Transportation"/>
    <m/>
  </r>
  <r>
    <x v="15"/>
    <d v="2020-05-14T00:00:00"/>
    <s v="Cash Rewards Visa Signature"/>
    <x v="775"/>
    <n v="24.71"/>
    <x v="26"/>
    <m/>
    <m/>
    <m/>
    <n v="24.71"/>
    <b v="0"/>
    <m/>
    <m/>
    <s v="-"/>
    <x v="747"/>
    <s v="Manual"/>
    <m/>
  </r>
  <r>
    <x v="15"/>
    <d v="2020-05-15T00:00:00"/>
    <s v="Cash Rewards Visa Signature"/>
    <x v="0"/>
    <n v="64.41"/>
    <x v="0"/>
    <m/>
    <m/>
    <m/>
    <n v="64.41"/>
    <b v="0"/>
    <m/>
    <m/>
    <s v="-"/>
    <x v="0"/>
    <s v="Create Rule; and Description='Amazon';Amazon"/>
    <m/>
  </r>
  <r>
    <x v="15"/>
    <d v="2020-05-15T00:00:00"/>
    <s v="Joint Tenant"/>
    <x v="165"/>
    <n v="45.69"/>
    <x v="26"/>
    <m/>
    <m/>
    <m/>
    <n v="45.69"/>
    <b v="0"/>
    <m/>
    <m/>
    <s v="-"/>
    <x v="164"/>
    <s v="Create Rule; and Description='APPLE INC';Dividend"/>
    <m/>
  </r>
  <r>
    <x v="15"/>
    <d v="2020-05-15T00:00:00"/>
    <s v="Jeff IRA"/>
    <x v="165"/>
    <n v="4.1100000000000003"/>
    <x v="26"/>
    <m/>
    <m/>
    <m/>
    <n v="4.1100000000000003"/>
    <b v="0"/>
    <m/>
    <m/>
    <s v="-"/>
    <x v="164"/>
    <s v="Create Rule; and Description='APPLE INC';Dividend"/>
    <m/>
  </r>
  <r>
    <x v="15"/>
    <d v="2020-05-15T00:00:00"/>
    <s v="Brokerage"/>
    <x v="165"/>
    <n v="45.69"/>
    <x v="26"/>
    <m/>
    <m/>
    <m/>
    <n v="45.69"/>
    <b v="0"/>
    <m/>
    <m/>
    <s v="-"/>
    <x v="164"/>
    <s v="Create Rule; and Description='APPLE INC';Dividend"/>
    <m/>
  </r>
  <r>
    <x v="15"/>
    <d v="2020-05-15T00:00:00"/>
    <s v="Joint Tenant"/>
    <x v="185"/>
    <n v="-200"/>
    <x v="26"/>
    <m/>
    <m/>
    <m/>
    <n v="200"/>
    <b v="0"/>
    <m/>
    <m/>
    <s v="+"/>
    <x v="184"/>
    <s v="Create Rule; and Description='CARGILL COCOA &amp;';Roth"/>
    <m/>
  </r>
  <r>
    <x v="15"/>
    <d v="2020-05-15T00:00:00"/>
    <s v="Brokerage"/>
    <x v="185"/>
    <n v="-200"/>
    <x v="26"/>
    <m/>
    <m/>
    <m/>
    <n v="200"/>
    <b v="0"/>
    <m/>
    <m/>
    <s v="+"/>
    <x v="184"/>
    <s v="Create Rule; and Description='CARGILL COCOA &amp;';Roth"/>
    <m/>
  </r>
  <r>
    <x v="15"/>
    <d v="2020-05-15T00:00:00"/>
    <s v="Cash Rewards Visa Signature"/>
    <x v="60"/>
    <n v="52.96"/>
    <x v="26"/>
    <m/>
    <m/>
    <m/>
    <n v="52.96"/>
    <b v="0"/>
    <m/>
    <m/>
    <s v="-"/>
    <x v="60"/>
    <s v="Create Rule; and Description='Home Depot';House Maintenance"/>
    <m/>
  </r>
  <r>
    <x v="15"/>
    <d v="2020-05-15T00:00:00"/>
    <s v="Cash Rewards Visa Signature"/>
    <x v="60"/>
    <n v="-56.18"/>
    <x v="26"/>
    <m/>
    <m/>
    <m/>
    <n v="56.18"/>
    <b v="0"/>
    <m/>
    <m/>
    <s v="+"/>
    <x v="60"/>
    <s v="Create Rule; and Description='Home Depot';House Maintenance"/>
    <m/>
  </r>
  <r>
    <x v="15"/>
    <d v="2020-05-15T00:00:00"/>
    <s v="Cash Rewards Visa Signature"/>
    <x v="60"/>
    <n v="112.28"/>
    <x v="26"/>
    <m/>
    <m/>
    <m/>
    <n v="112.28"/>
    <b v="0"/>
    <m/>
    <m/>
    <s v="-"/>
    <x v="60"/>
    <s v="Create Rule; and Description='Home Depot';House Maintenance"/>
    <m/>
  </r>
  <r>
    <x v="15"/>
    <d v="2020-05-15T00:00:00"/>
    <s v="Joint Tenant"/>
    <x v="167"/>
    <n v="-250"/>
    <x v="26"/>
    <m/>
    <m/>
    <m/>
    <n v="250"/>
    <b v="0"/>
    <m/>
    <m/>
    <s v="+"/>
    <x v="166"/>
    <s v="Create Rule; and Description='KAUFMAN HALL';Savings"/>
    <m/>
  </r>
  <r>
    <x v="15"/>
    <d v="2020-05-15T00:00:00"/>
    <s v="Brokerage"/>
    <x v="167"/>
    <n v="-250"/>
    <x v="26"/>
    <m/>
    <m/>
    <m/>
    <n v="250"/>
    <b v="0"/>
    <m/>
    <m/>
    <s v="+"/>
    <x v="166"/>
    <s v="Create Rule; and Description='KAUFMAN HALL';Savings"/>
    <m/>
  </r>
  <r>
    <x v="15"/>
    <d v="2020-05-15T00:00:00"/>
    <s v="Joint Tenant"/>
    <x v="169"/>
    <n v="-30.65"/>
    <x v="26"/>
    <m/>
    <m/>
    <m/>
    <n v="30.65"/>
    <b v="0"/>
    <m/>
    <m/>
    <s v="+"/>
    <x v="168"/>
    <s v="Create Rule; and Description='PROCTER &amp; GAMBLE';Dividend"/>
    <m/>
  </r>
  <r>
    <x v="15"/>
    <d v="2020-05-15T00:00:00"/>
    <s v="Brokerage"/>
    <x v="169"/>
    <n v="-30.65"/>
    <x v="26"/>
    <m/>
    <m/>
    <m/>
    <n v="30.65"/>
    <b v="0"/>
    <m/>
    <m/>
    <s v="+"/>
    <x v="168"/>
    <s v="Create Rule; and Description='PROCTER &amp; GAMBLE';Dividend"/>
    <m/>
  </r>
  <r>
    <x v="15"/>
    <d v="2020-05-15T00:00:00"/>
    <s v="CARGILL PARTNERSHIP PLAN"/>
    <x v="235"/>
    <n v="-952.5"/>
    <x v="26"/>
    <m/>
    <m/>
    <m/>
    <n v="952.5"/>
    <b v="0"/>
    <m/>
    <m/>
    <s v="+"/>
    <x v="233"/>
    <s v="Create Rule; and Description='Target Retire 2055 Tr P - Plan Contribution';401K"/>
    <m/>
  </r>
  <r>
    <x v="15"/>
    <d v="2020-05-15T00:00:00"/>
    <s v="Contributory"/>
    <x v="51"/>
    <n v="-231"/>
    <x v="26"/>
    <m/>
    <m/>
    <m/>
    <n v="231"/>
    <b v="0"/>
    <m/>
    <m/>
    <s v="+"/>
    <x v="51"/>
    <s v="Create Rule; and Description='Tfr JPMORGAN CHASE BAN, CARGILL COCOA &amp;';Roth"/>
    <m/>
  </r>
  <r>
    <x v="15"/>
    <d v="2020-05-15T00:00:00"/>
    <s v="Jeff IRA"/>
    <x v="52"/>
    <n v="-250"/>
    <x v="26"/>
    <m/>
    <m/>
    <m/>
    <n v="250"/>
    <b v="0"/>
    <m/>
    <m/>
    <s v="+"/>
    <x v="52"/>
    <s v="Create Rule; and Description='Tfr JPMORGAN CHASE BAN, KAUFMAN HALL';Roth"/>
    <m/>
  </r>
  <r>
    <x v="15"/>
    <d v="2020-05-15T00:00:00"/>
    <s v="Joint Tenant"/>
    <x v="611"/>
    <n v="-5.55"/>
    <x v="26"/>
    <m/>
    <m/>
    <m/>
    <n v="5.55"/>
    <b v="0"/>
    <m/>
    <m/>
    <s v="+"/>
    <x v="590"/>
    <s v="Delete; and Source='Joint Tenant';0"/>
    <m/>
  </r>
  <r>
    <x v="15"/>
    <d v="2020-05-15T00:00:00"/>
    <s v="Brokerage"/>
    <x v="611"/>
    <n v="-5.55"/>
    <x v="26"/>
    <m/>
    <m/>
    <m/>
    <n v="5.55"/>
    <b v="0"/>
    <m/>
    <m/>
    <s v="+"/>
    <x v="590"/>
    <s v="Manual"/>
    <m/>
  </r>
  <r>
    <x v="15"/>
    <d v="2020-05-16T00:00:00"/>
    <s v="Discover More Card"/>
    <x v="0"/>
    <n v="7.51"/>
    <x v="0"/>
    <m/>
    <m/>
    <m/>
    <n v="7.51"/>
    <b v="0"/>
    <m/>
    <m/>
    <s v="-"/>
    <x v="0"/>
    <s v="Create Rule; and Description='Amazon';Amazon"/>
    <m/>
  </r>
  <r>
    <x v="15"/>
    <d v="2020-05-16T00:00:00"/>
    <s v="Discover"/>
    <x v="0"/>
    <n v="7.51"/>
    <x v="0"/>
    <m/>
    <m/>
    <m/>
    <n v="7.51"/>
    <b v="0"/>
    <m/>
    <m/>
    <s v="-"/>
    <x v="0"/>
    <s v="Create Rule; and Description='Amazon';Amazon"/>
    <m/>
  </r>
  <r>
    <x v="15"/>
    <d v="2020-05-16T00:00:00"/>
    <s v="Discover More Card"/>
    <x v="174"/>
    <n v="62.41"/>
    <x v="26"/>
    <m/>
    <m/>
    <m/>
    <n v="62.41"/>
    <b v="0"/>
    <m/>
    <m/>
    <s v="-"/>
    <x v="173"/>
    <s v="Create Rule; and Description='BP';Transportation"/>
    <m/>
  </r>
  <r>
    <x v="15"/>
    <d v="2020-05-16T00:00:00"/>
    <s v="Discover"/>
    <x v="174"/>
    <n v="62.41"/>
    <x v="26"/>
    <m/>
    <m/>
    <m/>
    <n v="62.41"/>
    <b v="0"/>
    <m/>
    <m/>
    <s v="-"/>
    <x v="173"/>
    <s v="Create Rule; and Description='BP';Transportation"/>
    <m/>
  </r>
  <r>
    <x v="15"/>
    <d v="2020-05-17T00:00:00"/>
    <s v="Cash Rewards Visa Signature"/>
    <x v="0"/>
    <n v="55.77"/>
    <x v="0"/>
    <m/>
    <m/>
    <m/>
    <n v="55.77"/>
    <b v="0"/>
    <m/>
    <m/>
    <s v="-"/>
    <x v="0"/>
    <s v="Create Rule; and Description='Amazon';Amazon"/>
    <m/>
  </r>
  <r>
    <x v="15"/>
    <d v="2020-05-17T00:00:00"/>
    <s v="Cash Rewards Visa Signature"/>
    <x v="237"/>
    <n v="11.07"/>
    <x v="1"/>
    <m/>
    <m/>
    <m/>
    <n v="11.07"/>
    <b v="0"/>
    <m/>
    <m/>
    <s v="-"/>
    <x v="235"/>
    <s v="Create Rule; and Description like '%McDonald%';Restaurants"/>
    <m/>
  </r>
  <r>
    <x v="15"/>
    <d v="2020-05-17T00:00:00"/>
    <s v="POWERPLUS"/>
    <x v="26"/>
    <n v="-65"/>
    <x v="26"/>
    <m/>
    <m/>
    <m/>
    <n v="65"/>
    <b v="0"/>
    <m/>
    <m/>
    <s v="+"/>
    <x v="26"/>
    <s v="Delete; and Description='Venmo Type Cashout';0"/>
    <m/>
  </r>
  <r>
    <x v="15"/>
    <d v="2020-05-18T00:00:00"/>
    <s v="Cash Rewards Visa Signature"/>
    <x v="787"/>
    <n v="-413.21"/>
    <x v="26"/>
    <m/>
    <m/>
    <m/>
    <n v="413.21"/>
    <b v="0"/>
    <m/>
    <m/>
    <s v="+"/>
    <x v="757"/>
    <s v="Delete; and Description Like '%PAYMENT THANK YOU%';0"/>
    <m/>
  </r>
  <r>
    <x v="15"/>
    <d v="2020-05-18T00:00:00"/>
    <s v="POWERPLUS"/>
    <x v="788"/>
    <n v="413.21"/>
    <x v="26"/>
    <m/>
    <m/>
    <m/>
    <n v="413.21"/>
    <b v="0"/>
    <m/>
    <m/>
    <s v="-"/>
    <x v="758"/>
    <s v="Delete; and Description Like '%Withdrawal Home payment to card%';0"/>
    <m/>
  </r>
  <r>
    <x v="15"/>
    <d v="2020-05-18T00:00:00"/>
    <s v="Contributory"/>
    <x v="789"/>
    <n v="-0.05"/>
    <x v="26"/>
    <m/>
    <m/>
    <m/>
    <n v="0.05"/>
    <b v="0"/>
    <m/>
    <m/>
    <s v="+"/>
    <x v="759"/>
    <s v="Manual"/>
    <m/>
  </r>
  <r>
    <x v="15"/>
    <d v="2020-05-18T00:00:00"/>
    <s v="Jeff IRA"/>
    <x v="789"/>
    <n v="-0.03"/>
    <x v="26"/>
    <m/>
    <m/>
    <m/>
    <n v="0.03"/>
    <b v="0"/>
    <m/>
    <m/>
    <s v="+"/>
    <x v="759"/>
    <s v="Manual"/>
    <m/>
  </r>
  <r>
    <x v="15"/>
    <d v="2020-05-18T00:00:00"/>
    <s v="POWERPLUS"/>
    <x v="790"/>
    <n v="200"/>
    <x v="26"/>
    <m/>
    <m/>
    <m/>
    <n v="200"/>
    <b v="0"/>
    <m/>
    <m/>
    <s v="-"/>
    <x v="760"/>
    <s v="Create Rule; and Description Like '%MN DIR ACH%';College Savings"/>
    <m/>
  </r>
  <r>
    <x v="15"/>
    <d v="2020-05-18T00:00:00"/>
    <s v="POWERPLUS"/>
    <x v="157"/>
    <n v="39.99"/>
    <x v="8"/>
    <m/>
    <m/>
    <m/>
    <n v="39.99"/>
    <b v="0"/>
    <m/>
    <m/>
    <s v="-"/>
    <x v="156"/>
    <s v="Create Rule; and Description Like '%PayPal%';Shopping"/>
    <m/>
  </r>
  <r>
    <x v="15"/>
    <d v="2020-05-18T00:00:00"/>
    <s v="Joint Tenant"/>
    <x v="169"/>
    <n v="30.65"/>
    <x v="26"/>
    <m/>
    <m/>
    <m/>
    <n v="30.65"/>
    <b v="0"/>
    <m/>
    <m/>
    <s v="-"/>
    <x v="168"/>
    <s v="Create Rule; and Description='PROCTER &amp; GAMBLE';Dividend"/>
    <m/>
  </r>
  <r>
    <x v="15"/>
    <d v="2020-05-18T00:00:00"/>
    <s v="Brokerage"/>
    <x v="169"/>
    <n v="30.65"/>
    <x v="26"/>
    <m/>
    <m/>
    <m/>
    <n v="30.65"/>
    <b v="0"/>
    <m/>
    <m/>
    <s v="-"/>
    <x v="168"/>
    <s v="Create Rule; and Description='PROCTER &amp; GAMBLE';Dividend"/>
    <m/>
  </r>
  <r>
    <x v="15"/>
    <d v="2020-05-18T00:00:00"/>
    <s v="Investor Checking"/>
    <x v="361"/>
    <n v="-16.010000000000002"/>
    <x v="26"/>
    <m/>
    <m/>
    <m/>
    <n v="16.010000000000002"/>
    <b v="0"/>
    <m/>
    <m/>
    <s v="+"/>
    <x v="352"/>
    <s v="Manual"/>
    <m/>
  </r>
  <r>
    <x v="15"/>
    <d v="2020-05-19T00:00:00"/>
    <s v="Cash Rewards Visa Signature"/>
    <x v="791"/>
    <n v="84.42"/>
    <x v="26"/>
    <m/>
    <m/>
    <m/>
    <n v="84.42"/>
    <b v="0"/>
    <m/>
    <m/>
    <s v="-"/>
    <x v="761"/>
    <s v="Create Rule; and Description Like '%Certified Auto Repair%';Transportation"/>
    <m/>
  </r>
  <r>
    <x v="15"/>
    <d v="2020-05-19T00:00:00"/>
    <s v="POWERPLUS"/>
    <x v="515"/>
    <n v="-164"/>
    <x v="26"/>
    <m/>
    <m/>
    <m/>
    <n v="164"/>
    <b v="0"/>
    <m/>
    <m/>
    <s v="+"/>
    <x v="496"/>
    <s v="Manual"/>
    <m/>
  </r>
  <r>
    <x v="15"/>
    <d v="2020-05-19T00:00:00"/>
    <s v="RAINY DAY"/>
    <x v="515"/>
    <n v="-300"/>
    <x v="26"/>
    <m/>
    <m/>
    <m/>
    <n v="300"/>
    <b v="0"/>
    <m/>
    <m/>
    <s v="+"/>
    <x v="496"/>
    <s v="Create Rule; and Description='Share';Delete"/>
    <m/>
  </r>
  <r>
    <x v="15"/>
    <d v="2020-05-19T00:00:00"/>
    <s v="POWERPLUS"/>
    <x v="792"/>
    <n v="300"/>
    <x v="26"/>
    <m/>
    <m/>
    <m/>
    <n v="300"/>
    <b v="0"/>
    <m/>
    <m/>
    <s v="-"/>
    <x v="762"/>
    <s v="Manual"/>
    <m/>
  </r>
  <r>
    <x v="15"/>
    <d v="2020-05-19T00:00:00"/>
    <s v="SHARE SAVINGS"/>
    <x v="793"/>
    <n v="164"/>
    <x v="26"/>
    <m/>
    <m/>
    <m/>
    <n v="164"/>
    <b v="0"/>
    <m/>
    <m/>
    <s v="-"/>
    <x v="763"/>
    <s v="Manual"/>
    <m/>
  </r>
  <r>
    <x v="15"/>
    <d v="2020-05-19T00:00:00"/>
    <s v="POWERPLUS"/>
    <x v="29"/>
    <n v="300"/>
    <x v="8"/>
    <m/>
    <m/>
    <m/>
    <n v="300"/>
    <b v="0"/>
    <m/>
    <m/>
    <s v="-"/>
    <x v="29"/>
    <s v="Manual"/>
    <m/>
  </r>
  <r>
    <x v="15"/>
    <d v="2020-05-20T00:00:00"/>
    <s v="POWERPLUS"/>
    <x v="794"/>
    <n v="-26.04"/>
    <x v="26"/>
    <m/>
    <m/>
    <m/>
    <n v="26.04"/>
    <b v="0"/>
    <m/>
    <m/>
    <s v="+"/>
    <x v="764"/>
    <s v="Create Rule; and Description Like '%PayPal%';Shopping"/>
    <m/>
  </r>
  <r>
    <x v="15"/>
    <d v="2020-05-20T00:00:00"/>
    <s v="Cash Rewards Visa Signature"/>
    <x v="0"/>
    <n v="21.44"/>
    <x v="0"/>
    <m/>
    <m/>
    <m/>
    <n v="21.44"/>
    <b v="0"/>
    <m/>
    <m/>
    <s v="-"/>
    <x v="0"/>
    <s v="Create Rule; and Description='Amazon';Amazon"/>
    <m/>
  </r>
  <r>
    <x v="15"/>
    <d v="2020-05-20T00:00:00"/>
    <s v="Cash Rewards Visa Signature"/>
    <x v="0"/>
    <n v="38.520000000000003"/>
    <x v="0"/>
    <m/>
    <m/>
    <m/>
    <n v="38.520000000000003"/>
    <b v="0"/>
    <m/>
    <m/>
    <s v="-"/>
    <x v="0"/>
    <s v="Create Rule; and Description='Amazon';Amazon"/>
    <m/>
  </r>
  <r>
    <x v="15"/>
    <d v="2020-05-20T00:00:00"/>
    <s v="POWERPLUS"/>
    <x v="157"/>
    <n v="53"/>
    <x v="8"/>
    <m/>
    <m/>
    <m/>
    <n v="53"/>
    <b v="0"/>
    <m/>
    <m/>
    <s v="-"/>
    <x v="156"/>
    <s v="Create Rule; and Description Like '%PayPal%';Shopping"/>
    <m/>
  </r>
  <r>
    <x v="15"/>
    <d v="2020-05-20T00:00:00"/>
    <s v="Cash Rewards Visa Signature"/>
    <x v="761"/>
    <n v="187.74"/>
    <x v="26"/>
    <m/>
    <m/>
    <m/>
    <n v="187.74"/>
    <b v="0"/>
    <m/>
    <m/>
    <s v="-"/>
    <x v="734"/>
    <s v="Create Rule; and Description='Twin Orchards Nurser Y';House Maintenance"/>
    <m/>
  </r>
  <r>
    <x v="15"/>
    <d v="2020-05-20T00:00:00"/>
    <s v="POWERPLUS"/>
    <x v="795"/>
    <n v="-26.04"/>
    <x v="26"/>
    <m/>
    <m/>
    <m/>
    <n v="26.04"/>
    <b v="0"/>
    <m/>
    <m/>
    <s v="+"/>
    <x v="765"/>
    <s v="Create Rule; and Description Like '%PayPal%';Shopping"/>
    <m/>
  </r>
  <r>
    <x v="15"/>
    <d v="2020-05-21T00:00:00"/>
    <s v="Discover More Card"/>
    <x v="240"/>
    <n v="32.86"/>
    <x v="26"/>
    <m/>
    <m/>
    <m/>
    <n v="32.86"/>
    <b v="0"/>
    <m/>
    <m/>
    <s v="-"/>
    <x v="238"/>
    <s v="Create Rule; and Description='Chipotle';Restaurants"/>
    <m/>
  </r>
  <r>
    <x v="15"/>
    <d v="2020-05-21T00:00:00"/>
    <s v="Discover"/>
    <x v="240"/>
    <n v="32.86"/>
    <x v="26"/>
    <m/>
    <m/>
    <m/>
    <n v="32.86"/>
    <b v="0"/>
    <m/>
    <m/>
    <s v="-"/>
    <x v="238"/>
    <s v="Create Rule; and Description='Chipotle';Restaurants"/>
    <m/>
  </r>
  <r>
    <x v="15"/>
    <d v="2020-05-21T00:00:00"/>
    <s v="POWERPLUS"/>
    <x v="84"/>
    <n v="130.04"/>
    <x v="26"/>
    <m/>
    <m/>
    <m/>
    <n v="130.04"/>
    <b v="0"/>
    <m/>
    <m/>
    <s v="-"/>
    <x v="84"/>
    <s v="Create Rule; and Description='City of Chanhassen';Utilities"/>
    <m/>
  </r>
  <r>
    <x v="15"/>
    <d v="2020-05-21T00:00:00"/>
    <s v="Cash Rewards Visa Signature"/>
    <x v="60"/>
    <n v="43.16"/>
    <x v="26"/>
    <m/>
    <m/>
    <m/>
    <n v="43.16"/>
    <b v="0"/>
    <m/>
    <m/>
    <s v="-"/>
    <x v="60"/>
    <s v="Create Rule; and Description='Home Depot';House Maintenance"/>
    <m/>
  </r>
  <r>
    <x v="15"/>
    <d v="2020-05-22T00:00:00"/>
    <s v="Cash Rewards Visa Signature"/>
    <x v="0"/>
    <n v="8.26"/>
    <x v="0"/>
    <m/>
    <m/>
    <m/>
    <n v="8.26"/>
    <b v="0"/>
    <m/>
    <m/>
    <s v="-"/>
    <x v="0"/>
    <s v="Create Rule; and Description='Amazon';Amazon"/>
    <m/>
  </r>
  <r>
    <x v="15"/>
    <d v="2020-05-22T00:00:00"/>
    <s v="Cash Rewards Visa Signature"/>
    <x v="796"/>
    <n v="13.69"/>
    <x v="26"/>
    <m/>
    <m/>
    <m/>
    <n v="13.69"/>
    <b v="0"/>
    <m/>
    <m/>
    <s v="-"/>
    <x v="766"/>
    <s v="Manual"/>
    <m/>
  </r>
  <r>
    <x v="15"/>
    <d v="2020-05-22T00:00:00"/>
    <s v="Cash Rewards Visa Signature"/>
    <x v="797"/>
    <n v="24.34"/>
    <x v="26"/>
    <m/>
    <m/>
    <m/>
    <n v="24.34"/>
    <b v="0"/>
    <m/>
    <m/>
    <s v="-"/>
    <x v="767"/>
    <s v="Manual"/>
    <m/>
  </r>
  <r>
    <x v="15"/>
    <d v="2020-05-22T00:00:00"/>
    <s v="Cash Rewards Visa Signature"/>
    <x v="2"/>
    <n v="19.559999999999999"/>
    <x v="2"/>
    <m/>
    <m/>
    <m/>
    <n v="19.559999999999999"/>
    <b v="0"/>
    <m/>
    <m/>
    <s v="-"/>
    <x v="2"/>
    <s v="Create Rule; and Description='Speedway';Transportation"/>
    <m/>
  </r>
  <r>
    <x v="15"/>
    <d v="2020-05-22T00:00:00"/>
    <s v="Joint Tenant"/>
    <x v="190"/>
    <n v="-18.79"/>
    <x v="26"/>
    <m/>
    <m/>
    <m/>
    <n v="18.79"/>
    <b v="0"/>
    <m/>
    <m/>
    <s v="+"/>
    <x v="189"/>
    <s v="Create Rule; and Description='STARBUCKS CORP';Restaurants"/>
    <m/>
  </r>
  <r>
    <x v="15"/>
    <d v="2020-05-22T00:00:00"/>
    <s v="Brokerage"/>
    <x v="190"/>
    <n v="-18.79"/>
    <x v="26"/>
    <m/>
    <m/>
    <m/>
    <n v="18.79"/>
    <b v="0"/>
    <m/>
    <m/>
    <s v="+"/>
    <x v="189"/>
    <s v="Create Rule; and Description='STARBUCKS CORP';Dividend"/>
    <m/>
  </r>
  <r>
    <x v="15"/>
    <d v="2020-05-22T00:00:00"/>
    <s v="POWERPLUS"/>
    <x v="29"/>
    <n v="25.4"/>
    <x v="8"/>
    <m/>
    <m/>
    <m/>
    <n v="25.4"/>
    <b v="0"/>
    <m/>
    <m/>
    <s v="-"/>
    <x v="29"/>
    <s v="Manual"/>
    <m/>
  </r>
  <r>
    <x v="15"/>
    <d v="2020-05-24T00:00:00"/>
    <s v="Cash Rewards Visa Signature"/>
    <x v="60"/>
    <n v="35.159999999999997"/>
    <x v="26"/>
    <m/>
    <m/>
    <m/>
    <n v="35.159999999999997"/>
    <b v="0"/>
    <m/>
    <m/>
    <s v="-"/>
    <x v="60"/>
    <s v="Create Rule; and Description='Home Depot';House Maintenance"/>
    <m/>
  </r>
  <r>
    <x v="15"/>
    <d v="2020-05-24T00:00:00"/>
    <s v="Cash Rewards Visa Signature"/>
    <x v="60"/>
    <n v="65.069999999999993"/>
    <x v="26"/>
    <m/>
    <m/>
    <m/>
    <n v="65.069999999999993"/>
    <b v="0"/>
    <m/>
    <m/>
    <s v="-"/>
    <x v="60"/>
    <s v="Create Rule; and Description='Home Depot';House Maintenance"/>
    <m/>
  </r>
  <r>
    <x v="15"/>
    <d v="2020-05-24T00:00:00"/>
    <s v="Cash Rewards Visa Signature"/>
    <x v="798"/>
    <n v="48.3"/>
    <x v="26"/>
    <m/>
    <m/>
    <m/>
    <n v="48.3"/>
    <b v="0"/>
    <m/>
    <m/>
    <s v="-"/>
    <x v="768"/>
    <s v="Manual"/>
    <m/>
  </r>
  <r>
    <x v="15"/>
    <d v="2020-05-24T00:00:00"/>
    <s v="Cash Rewards Visa Signature"/>
    <x v="799"/>
    <n v="143.68"/>
    <x v="26"/>
    <m/>
    <m/>
    <m/>
    <n v="143.68"/>
    <b v="0"/>
    <m/>
    <m/>
    <s v="-"/>
    <x v="769"/>
    <s v="Manual"/>
    <m/>
  </r>
  <r>
    <x v="15"/>
    <d v="2020-05-24T00:00:00"/>
    <s v="Cash Rewards Visa Signature"/>
    <x v="800"/>
    <n v="64.75"/>
    <x v="26"/>
    <m/>
    <m/>
    <m/>
    <n v="64.75"/>
    <b v="0"/>
    <m/>
    <m/>
    <s v="-"/>
    <x v="770"/>
    <s v="Manual"/>
    <m/>
  </r>
  <r>
    <x v="15"/>
    <d v="2020-05-24T00:00:00"/>
    <s v="Cash Rewards Visa Signature"/>
    <x v="801"/>
    <n v="130.72"/>
    <x v="26"/>
    <m/>
    <m/>
    <m/>
    <n v="130.72"/>
    <b v="0"/>
    <m/>
    <m/>
    <s v="-"/>
    <x v="771"/>
    <s v="Manual"/>
    <m/>
  </r>
  <r>
    <x v="15"/>
    <d v="2020-05-24T00:00:00"/>
    <s v="Cash Rewards Visa Signature"/>
    <x v="802"/>
    <n v="18.309999999999999"/>
    <x v="26"/>
    <m/>
    <m/>
    <m/>
    <n v="18.309999999999999"/>
    <b v="0"/>
    <m/>
    <m/>
    <s v="-"/>
    <x v="772"/>
    <s v="Manual"/>
    <m/>
  </r>
  <r>
    <x v="15"/>
    <d v="2020-05-24T00:00:00"/>
    <s v="RAINY DAY"/>
    <x v="515"/>
    <n v="-200"/>
    <x v="26"/>
    <m/>
    <m/>
    <m/>
    <n v="200"/>
    <b v="0"/>
    <m/>
    <m/>
    <s v="+"/>
    <x v="496"/>
    <s v="Create Rule; and Description='Share';Delete"/>
    <m/>
  </r>
  <r>
    <x v="15"/>
    <d v="2020-05-24T00:00:00"/>
    <s v="POWERPLUS"/>
    <x v="803"/>
    <n v="200"/>
    <x v="26"/>
    <m/>
    <m/>
    <m/>
    <n v="200"/>
    <b v="0"/>
    <m/>
    <m/>
    <s v="-"/>
    <x v="773"/>
    <s v="Manual"/>
    <m/>
  </r>
  <r>
    <x v="15"/>
    <d v="2020-05-25T00:00:00"/>
    <s v="Discover More Card"/>
    <x v="240"/>
    <n v="29.42"/>
    <x v="26"/>
    <m/>
    <m/>
    <m/>
    <n v="29.42"/>
    <b v="0"/>
    <m/>
    <m/>
    <s v="-"/>
    <x v="238"/>
    <s v="Create Rule; and Description='Chipotle';Restaurants"/>
    <m/>
  </r>
  <r>
    <x v="15"/>
    <d v="2020-05-25T00:00:00"/>
    <s v="Discover"/>
    <x v="240"/>
    <n v="29.42"/>
    <x v="26"/>
    <m/>
    <m/>
    <m/>
    <n v="29.42"/>
    <b v="0"/>
    <m/>
    <m/>
    <s v="-"/>
    <x v="238"/>
    <s v="Create Rule; and Description='Chipotle';Restaurants"/>
    <m/>
  </r>
  <r>
    <x v="15"/>
    <d v="2020-05-25T00:00:00"/>
    <s v="Discover More Card"/>
    <x v="81"/>
    <n v="5.69"/>
    <x v="26"/>
    <m/>
    <m/>
    <m/>
    <n v="5.69"/>
    <b v="0"/>
    <m/>
    <m/>
    <s v="-"/>
    <x v="81"/>
    <s v="Create Rule; and Description='Holiday Stationstore';Transportation"/>
    <m/>
  </r>
  <r>
    <x v="15"/>
    <d v="2020-05-25T00:00:00"/>
    <s v="Discover More Card"/>
    <x v="81"/>
    <n v="12.43"/>
    <x v="26"/>
    <m/>
    <m/>
    <m/>
    <n v="12.43"/>
    <b v="0"/>
    <m/>
    <m/>
    <s v="-"/>
    <x v="81"/>
    <s v="Create Rule; and Description='Holiday Stationstore';Transportation"/>
    <m/>
  </r>
  <r>
    <x v="15"/>
    <d v="2020-05-25T00:00:00"/>
    <s v="Discover"/>
    <x v="81"/>
    <n v="5.69"/>
    <x v="26"/>
    <m/>
    <m/>
    <m/>
    <n v="5.69"/>
    <b v="0"/>
    <m/>
    <m/>
    <s v="-"/>
    <x v="81"/>
    <s v="Create Rule; and Description='Holiday Stationstore';Transportation"/>
    <m/>
  </r>
  <r>
    <x v="15"/>
    <d v="2020-05-25T00:00:00"/>
    <s v="Discover"/>
    <x v="81"/>
    <n v="12.43"/>
    <x v="26"/>
    <m/>
    <m/>
    <m/>
    <n v="12.43"/>
    <b v="0"/>
    <m/>
    <m/>
    <s v="-"/>
    <x v="81"/>
    <s v="Create Rule; and Description='Holiday Stationstore';Transportation"/>
    <m/>
  </r>
  <r>
    <x v="15"/>
    <d v="2020-05-25T00:00:00"/>
    <s v="Cash Rewards Visa Signature"/>
    <x v="804"/>
    <n v="11.53"/>
    <x v="5"/>
    <m/>
    <m/>
    <m/>
    <n v="11.53"/>
    <b v="0"/>
    <m/>
    <m/>
    <s v="-"/>
    <x v="774"/>
    <s v="Manual"/>
    <m/>
  </r>
  <r>
    <x v="15"/>
    <d v="2020-05-25T00:00:00"/>
    <s v="Cash Rewards Visa Signature"/>
    <x v="804"/>
    <n v="89.88"/>
    <x v="5"/>
    <m/>
    <m/>
    <m/>
    <n v="89.88"/>
    <b v="0"/>
    <m/>
    <m/>
    <s v="-"/>
    <x v="774"/>
    <s v="Manual"/>
    <m/>
  </r>
  <r>
    <x v="15"/>
    <d v="2020-05-25T00:00:00"/>
    <s v="Discover More Card"/>
    <x v="577"/>
    <n v="2.14"/>
    <x v="1"/>
    <m/>
    <m/>
    <m/>
    <n v="2.14"/>
    <b v="0"/>
    <m/>
    <m/>
    <s v="-"/>
    <x v="558"/>
    <s v="Create Rule; and Description Like '%Jimmy John%';Restaurants"/>
    <m/>
  </r>
  <r>
    <x v="15"/>
    <d v="2020-05-25T00:00:00"/>
    <s v="Discover More Card"/>
    <x v="577"/>
    <n v="26.77"/>
    <x v="1"/>
    <m/>
    <m/>
    <m/>
    <n v="26.77"/>
    <b v="0"/>
    <m/>
    <m/>
    <s v="-"/>
    <x v="558"/>
    <s v="Create Rule; and Description Like '%Jimmy John%';Restaurants"/>
    <m/>
  </r>
  <r>
    <x v="15"/>
    <d v="2020-05-25T00:00:00"/>
    <s v="Discover"/>
    <x v="577"/>
    <n v="2.14"/>
    <x v="1"/>
    <m/>
    <m/>
    <m/>
    <n v="2.14"/>
    <b v="0"/>
    <m/>
    <m/>
    <s v="-"/>
    <x v="558"/>
    <s v="Create Rule; and Description Like '%Jimmy John%';Restaurants"/>
    <m/>
  </r>
  <r>
    <x v="15"/>
    <d v="2020-05-25T00:00:00"/>
    <s v="Discover"/>
    <x v="577"/>
    <n v="26.77"/>
    <x v="1"/>
    <m/>
    <m/>
    <m/>
    <n v="26.77"/>
    <b v="0"/>
    <m/>
    <m/>
    <s v="-"/>
    <x v="558"/>
    <s v="Create Rule; and Description Like '%Jimmy John%';Restaurants"/>
    <m/>
  </r>
  <r>
    <x v="15"/>
    <d v="2020-05-26T00:00:00"/>
    <s v="Cash Rewards Visa Signature"/>
    <x v="805"/>
    <n v="10.08"/>
    <x v="26"/>
    <m/>
    <m/>
    <m/>
    <n v="10.08"/>
    <b v="0"/>
    <m/>
    <m/>
    <s v="-"/>
    <x v="775"/>
    <s v="Manual"/>
    <m/>
  </r>
  <r>
    <x v="15"/>
    <d v="2020-05-26T00:00:00"/>
    <s v="Cash Rewards Visa Signature"/>
    <x v="806"/>
    <n v="11.56"/>
    <x v="26"/>
    <m/>
    <m/>
    <m/>
    <n v="11.56"/>
    <b v="0"/>
    <m/>
    <m/>
    <s v="-"/>
    <x v="776"/>
    <s v="Manual"/>
    <m/>
  </r>
  <r>
    <x v="15"/>
    <d v="2020-05-26T00:00:00"/>
    <s v="Cash Rewards Visa Signature"/>
    <x v="81"/>
    <n v="5.69"/>
    <x v="26"/>
    <m/>
    <m/>
    <m/>
    <n v="5.69"/>
    <b v="0"/>
    <m/>
    <m/>
    <s v="-"/>
    <x v="81"/>
    <s v="Create Rule; and Description='Holiday Stationstore';Transportation"/>
    <m/>
  </r>
  <r>
    <x v="15"/>
    <d v="2020-05-26T00:00:00"/>
    <s v="Cash Rewards Visa Signature"/>
    <x v="81"/>
    <n v="61.72"/>
    <x v="26"/>
    <m/>
    <m/>
    <m/>
    <n v="61.72"/>
    <b v="0"/>
    <m/>
    <m/>
    <s v="-"/>
    <x v="81"/>
    <s v="Create Rule; and Description='Holiday Stationstore';Transportation"/>
    <m/>
  </r>
  <r>
    <x v="15"/>
    <d v="2020-05-26T00:00:00"/>
    <s v="Discover More Card"/>
    <x v="99"/>
    <n v="12.99"/>
    <x v="11"/>
    <m/>
    <m/>
    <m/>
    <n v="12.99"/>
    <b v="0"/>
    <m/>
    <m/>
    <s v="-"/>
    <x v="99"/>
    <s v="Create Rule; and Description='Netflix';Utilities"/>
    <m/>
  </r>
  <r>
    <x v="15"/>
    <d v="2020-05-26T00:00:00"/>
    <s v="Discover"/>
    <x v="99"/>
    <n v="12.99"/>
    <x v="11"/>
    <m/>
    <m/>
    <m/>
    <n v="12.99"/>
    <b v="0"/>
    <m/>
    <m/>
    <s v="-"/>
    <x v="99"/>
    <s v="Create Rule; and Description='Netflix';Utilities"/>
    <m/>
  </r>
  <r>
    <x v="15"/>
    <d v="2020-05-26T00:00:00"/>
    <s v="Joint Tenant"/>
    <x v="190"/>
    <n v="18.79"/>
    <x v="26"/>
    <m/>
    <m/>
    <m/>
    <n v="18.79"/>
    <b v="0"/>
    <m/>
    <m/>
    <s v="-"/>
    <x v="189"/>
    <s v="Create Rule; and Description='STARBUCKS CORP';Restaurants"/>
    <m/>
  </r>
  <r>
    <x v="15"/>
    <d v="2020-05-26T00:00:00"/>
    <s v="Brokerage"/>
    <x v="190"/>
    <n v="18.79"/>
    <x v="26"/>
    <m/>
    <m/>
    <m/>
    <n v="18.79"/>
    <b v="0"/>
    <m/>
    <m/>
    <s v="-"/>
    <x v="189"/>
    <s v="Create Rule; and Description='STARBUCKS CORP';Dividend"/>
    <m/>
  </r>
  <r>
    <x v="15"/>
    <d v="2020-05-26T00:00:00"/>
    <s v="POWERPLUS"/>
    <x v="34"/>
    <n v="466.38"/>
    <x v="12"/>
    <m/>
    <m/>
    <m/>
    <n v="466.38"/>
    <b v="0"/>
    <m/>
    <m/>
    <s v="-"/>
    <x v="34"/>
    <s v="Create Rule; and Description='Target';Target"/>
    <m/>
  </r>
  <r>
    <x v="15"/>
    <d v="2020-05-26T00:00:00"/>
    <s v="Investor Checking"/>
    <x v="361"/>
    <n v="-110.76"/>
    <x v="26"/>
    <m/>
    <m/>
    <m/>
    <n v="110.76"/>
    <b v="0"/>
    <m/>
    <m/>
    <s v="+"/>
    <x v="352"/>
    <s v="Manual"/>
    <m/>
  </r>
  <r>
    <x v="15"/>
    <d v="2020-05-27T00:00:00"/>
    <s v="Cash Rewards Visa Signature"/>
    <x v="807"/>
    <n v="-1137.58"/>
    <x v="26"/>
    <m/>
    <m/>
    <m/>
    <n v="1137.58"/>
    <b v="0"/>
    <m/>
    <m/>
    <s v="+"/>
    <x v="777"/>
    <s v="Delete; and Description Like '%PAYMENT THANK YOU%';0"/>
    <m/>
  </r>
  <r>
    <x v="15"/>
    <d v="2020-05-27T00:00:00"/>
    <s v="POWERPLUS"/>
    <x v="808"/>
    <n v="1137.58"/>
    <x v="26"/>
    <m/>
    <m/>
    <m/>
    <n v="1137.58"/>
    <b v="0"/>
    <m/>
    <m/>
    <s v="-"/>
    <x v="778"/>
    <s v="Delete; and Description Like '%Withdrawal Home payment to card%';0"/>
    <m/>
  </r>
  <r>
    <x v="15"/>
    <d v="2020-05-27T00:00:00"/>
    <s v="Cash Rewards Visa Signature"/>
    <x v="809"/>
    <n v="54.1"/>
    <x v="26"/>
    <m/>
    <m/>
    <m/>
    <n v="54.1"/>
    <b v="0"/>
    <m/>
    <m/>
    <s v="-"/>
    <x v="779"/>
    <s v="Manual"/>
    <m/>
  </r>
  <r>
    <x v="15"/>
    <d v="2020-05-27T00:00:00"/>
    <s v="POWERPLUS"/>
    <x v="810"/>
    <n v="-1777.67"/>
    <x v="26"/>
    <m/>
    <m/>
    <m/>
    <n v="1777.67"/>
    <b v="0"/>
    <m/>
    <m/>
    <s v="+"/>
    <x v="780"/>
    <s v="Create Rule; and Description Like '%CARGILL COCOA TYPE DIR DEP ID%';Inc - Britney"/>
    <m/>
  </r>
  <r>
    <x v="15"/>
    <d v="2020-05-28T00:00:00"/>
    <s v="POWERPLUS"/>
    <x v="811"/>
    <n v="108.59"/>
    <x v="26"/>
    <m/>
    <m/>
    <m/>
    <n v="108.59"/>
    <b v="0"/>
    <m/>
    <m/>
    <s v="-"/>
    <x v="781"/>
    <s v="Create Rule; and Description Like '%Banana Visa%';Shopping"/>
    <m/>
  </r>
  <r>
    <x v="15"/>
    <d v="2020-05-28T00:00:00"/>
    <s v="POWERPLUS"/>
    <x v="812"/>
    <n v="-2688.28"/>
    <x v="26"/>
    <m/>
    <m/>
    <m/>
    <n v="2688.28"/>
    <b v="0"/>
    <m/>
    <m/>
    <s v="+"/>
    <x v="782"/>
    <s v="Create Rule; and Description Like '%KAUFMAN HALL TYPE DIRECT DEP ID%';Inc - Jeff"/>
    <m/>
  </r>
  <r>
    <x v="15"/>
    <d v="2020-05-28T00:00:00"/>
    <s v="Cash Rewards Visa Signature"/>
    <x v="813"/>
    <n v="36.14"/>
    <x v="26"/>
    <m/>
    <m/>
    <m/>
    <n v="36.14"/>
    <b v="0"/>
    <m/>
    <m/>
    <s v="-"/>
    <x v="783"/>
    <s v="Manual"/>
    <m/>
  </r>
  <r>
    <x v="15"/>
    <d v="2020-05-28T00:00:00"/>
    <s v="Cash Rewards Visa Signature"/>
    <x v="814"/>
    <n v="4.24"/>
    <x v="26"/>
    <m/>
    <m/>
    <m/>
    <n v="4.24"/>
    <b v="0"/>
    <m/>
    <m/>
    <s v="-"/>
    <x v="784"/>
    <s v="Manual"/>
    <m/>
  </r>
  <r>
    <x v="15"/>
    <d v="2020-05-29T00:00:00"/>
    <s v="Joint Tenant"/>
    <x v="185"/>
    <n v="-200"/>
    <x v="26"/>
    <m/>
    <m/>
    <m/>
    <n v="200"/>
    <b v="0"/>
    <m/>
    <m/>
    <s v="+"/>
    <x v="184"/>
    <s v="Create Rule; and Description='CARGILL COCOA &amp;';Roth"/>
    <m/>
  </r>
  <r>
    <x v="15"/>
    <d v="2020-05-29T00:00:00"/>
    <s v="Brokerage"/>
    <x v="185"/>
    <n v="-200"/>
    <x v="26"/>
    <m/>
    <m/>
    <m/>
    <n v="200"/>
    <b v="0"/>
    <m/>
    <m/>
    <s v="+"/>
    <x v="184"/>
    <s v="Create Rule; and Description='CARGILL COCOA &amp;';Roth"/>
    <m/>
  </r>
  <r>
    <x v="15"/>
    <d v="2020-05-29T00:00:00"/>
    <s v="Investor Checking"/>
    <x v="118"/>
    <n v="-0.01"/>
    <x v="26"/>
    <m/>
    <m/>
    <m/>
    <n v="0.01"/>
    <b v="0"/>
    <m/>
    <m/>
    <s v="+"/>
    <x v="118"/>
    <s v="Create Rule; and Description='Interest Paid';0"/>
    <m/>
  </r>
  <r>
    <x v="15"/>
    <d v="2020-05-29T00:00:00"/>
    <s v="Joint Tenant"/>
    <x v="167"/>
    <n v="-250"/>
    <x v="26"/>
    <m/>
    <m/>
    <m/>
    <n v="250"/>
    <b v="0"/>
    <m/>
    <m/>
    <s v="+"/>
    <x v="166"/>
    <s v="Create Rule; and Description='KAUFMAN HALL';Savings"/>
    <m/>
  </r>
  <r>
    <x v="15"/>
    <d v="2020-05-29T00:00:00"/>
    <s v="Brokerage"/>
    <x v="167"/>
    <n v="-250"/>
    <x v="26"/>
    <m/>
    <m/>
    <m/>
    <n v="250"/>
    <b v="0"/>
    <m/>
    <m/>
    <s v="+"/>
    <x v="166"/>
    <s v="Create Rule; and Description='KAUFMAN HALL';Savings"/>
    <m/>
  </r>
  <r>
    <x v="15"/>
    <d v="2020-05-29T00:00:00"/>
    <s v="POWERPLUS"/>
    <x v="157"/>
    <n v="0.99"/>
    <x v="8"/>
    <m/>
    <m/>
    <m/>
    <n v="0.99"/>
    <b v="0"/>
    <m/>
    <m/>
    <s v="-"/>
    <x v="156"/>
    <s v="Create Rule; and Description Like '%PayPal%';Shopping"/>
    <m/>
  </r>
  <r>
    <x v="15"/>
    <d v="2020-05-29T00:00:00"/>
    <s v="Discover More Card"/>
    <x v="815"/>
    <n v="27.67"/>
    <x v="26"/>
    <m/>
    <m/>
    <m/>
    <n v="27.67"/>
    <b v="0"/>
    <m/>
    <m/>
    <s v="-"/>
    <x v="785"/>
    <m/>
    <m/>
  </r>
  <r>
    <x v="15"/>
    <d v="2020-05-29T00:00:00"/>
    <s v="Discover"/>
    <x v="815"/>
    <n v="27.67"/>
    <x v="26"/>
    <m/>
    <m/>
    <m/>
    <n v="27.67"/>
    <b v="0"/>
    <m/>
    <m/>
    <s v="-"/>
    <x v="785"/>
    <s v="Manual"/>
    <m/>
  </r>
  <r>
    <x v="15"/>
    <d v="2020-05-29T00:00:00"/>
    <s v="CARGILL PARTNERSHIP PLAN"/>
    <x v="235"/>
    <n v="-732.69"/>
    <x v="26"/>
    <m/>
    <m/>
    <m/>
    <n v="732.69"/>
    <b v="0"/>
    <m/>
    <m/>
    <s v="+"/>
    <x v="233"/>
    <s v="Create Rule; and Description='Target Retire 2055 Tr P - Plan Contribution';401K"/>
    <m/>
  </r>
  <r>
    <x v="15"/>
    <d v="2020-05-29T00:00:00"/>
    <s v="Contributory"/>
    <x v="51"/>
    <n v="-231"/>
    <x v="26"/>
    <m/>
    <m/>
    <m/>
    <n v="231"/>
    <b v="0"/>
    <m/>
    <m/>
    <s v="+"/>
    <x v="51"/>
    <s v="Create Rule; and Description='Tfr JPMORGAN CHASE BAN, CARGILL COCOA &amp;';Roth"/>
    <m/>
  </r>
  <r>
    <x v="15"/>
    <d v="2020-05-29T00:00:00"/>
    <s v="Jeff IRA"/>
    <x v="52"/>
    <n v="-250"/>
    <x v="26"/>
    <m/>
    <m/>
    <m/>
    <n v="250"/>
    <b v="0"/>
    <m/>
    <m/>
    <s v="+"/>
    <x v="52"/>
    <s v="Create Rule; and Description='Tfr JPMORGAN CHASE BAN, KAUFMAN HALL';Roth"/>
    <m/>
  </r>
  <r>
    <x v="15"/>
    <d v="2020-05-31T00:00:00"/>
    <s v="RAINY DAY"/>
    <x v="119"/>
    <n v="-20"/>
    <x v="26"/>
    <m/>
    <m/>
    <m/>
    <n v="20"/>
    <b v="0"/>
    <m/>
    <m/>
    <s v="+"/>
    <x v="119"/>
    <s v="Create Rule; and Description='Split Rate Apy';Inc - Other"/>
    <m/>
  </r>
  <r>
    <x v="15"/>
    <d v="2020-05-31T00:00:00"/>
    <s v="POWERPLUS"/>
    <x v="119"/>
    <n v="-25.34"/>
    <x v="26"/>
    <m/>
    <m/>
    <m/>
    <n v="25.34"/>
    <b v="0"/>
    <m/>
    <m/>
    <s v="+"/>
    <x v="119"/>
    <s v="Create Rule; and Description='Split Rate Apy';Inc - Other"/>
    <m/>
  </r>
  <r>
    <x v="15"/>
    <d v="2020-05-31T00:00:00"/>
    <s v="Cash Rewards Visa Signature"/>
    <x v="816"/>
    <n v="6.32"/>
    <x v="26"/>
    <m/>
    <m/>
    <m/>
    <n v="6.32"/>
    <b v="0"/>
    <m/>
    <m/>
    <s v="-"/>
    <x v="786"/>
    <s v="Manual"/>
    <m/>
  </r>
  <r>
    <x v="15"/>
    <d v="2020-05-31T00:00:00"/>
    <s v="Cash Rewards Visa Signature"/>
    <x v="817"/>
    <n v="73.08"/>
    <x v="26"/>
    <m/>
    <m/>
    <m/>
    <n v="73.08"/>
    <b v="0"/>
    <m/>
    <m/>
    <s v="-"/>
    <x v="787"/>
    <s v="Manual"/>
    <m/>
  </r>
  <r>
    <x v="7"/>
    <d v="2020-06-01T00:00:00"/>
    <s v="Cash Rewards Visa Signature"/>
    <x v="0"/>
    <n v="3"/>
    <x v="0"/>
    <m/>
    <m/>
    <m/>
    <n v="3"/>
    <b v="0"/>
    <m/>
    <m/>
    <s v="-"/>
    <x v="0"/>
    <s v="Create Rule; and Description='Amazon';Amazon"/>
    <m/>
  </r>
  <r>
    <x v="7"/>
    <d v="2020-06-01T00:00:00"/>
    <s v="Cash Rewards Visa Signature"/>
    <x v="0"/>
    <n v="4.79"/>
    <x v="0"/>
    <m/>
    <m/>
    <m/>
    <n v="4.79"/>
    <b v="0"/>
    <m/>
    <m/>
    <s v="-"/>
    <x v="0"/>
    <s v="Create Rule; and Description='Amazon';Amazon"/>
    <m/>
  </r>
  <r>
    <x v="7"/>
    <d v="2020-06-01T00:00:00"/>
    <s v="Cash Rewards Visa Signature"/>
    <x v="598"/>
    <n v="4.28"/>
    <x v="10"/>
    <m/>
    <m/>
    <m/>
    <n v="4.28"/>
    <b v="0"/>
    <m/>
    <m/>
    <s v="-"/>
    <x v="579"/>
    <s v="Create Rule; and Description='Amazon Music';Entertainment"/>
    <m/>
  </r>
  <r>
    <x v="7"/>
    <d v="2020-06-01T00:00:00"/>
    <s v="POWERPLUS"/>
    <x v="818"/>
    <n v="200"/>
    <x v="26"/>
    <m/>
    <m/>
    <m/>
    <n v="200"/>
    <b v="0"/>
    <m/>
    <m/>
    <s v="-"/>
    <x v="16"/>
    <s v="Create Rule; and Description Like '%College Savings%';College Savings"/>
    <m/>
  </r>
  <r>
    <x v="7"/>
    <d v="2020-06-01T00:00:00"/>
    <s v="HIGHLANDER"/>
    <x v="819"/>
    <n v="-571.15"/>
    <x v="26"/>
    <m/>
    <m/>
    <m/>
    <n v="571.15"/>
    <b v="0"/>
    <m/>
    <m/>
    <s v="+"/>
    <x v="788"/>
    <s v="Manual"/>
    <m/>
  </r>
  <r>
    <x v="7"/>
    <d v="2020-06-01T00:00:00"/>
    <s v="Cash Rewards Visa Signature"/>
    <x v="820"/>
    <n v="78"/>
    <x v="26"/>
    <m/>
    <m/>
    <m/>
    <n v="78"/>
    <b v="0"/>
    <m/>
    <m/>
    <s v="-"/>
    <x v="789"/>
    <s v="Manual"/>
    <m/>
  </r>
  <r>
    <x v="7"/>
    <d v="2020-06-01T00:00:00"/>
    <s v="Joint Tenant"/>
    <x v="187"/>
    <n v="-24.45"/>
    <x v="26"/>
    <m/>
    <m/>
    <m/>
    <n v="24.45"/>
    <b v="0"/>
    <m/>
    <m/>
    <s v="+"/>
    <x v="186"/>
    <s v="Create Rule; and Description='INTEL CORP';Dividend"/>
    <m/>
  </r>
  <r>
    <x v="7"/>
    <d v="2020-06-01T00:00:00"/>
    <s v="Brokerage"/>
    <x v="187"/>
    <n v="-24.45"/>
    <x v="26"/>
    <m/>
    <m/>
    <m/>
    <n v="24.45"/>
    <b v="0"/>
    <m/>
    <m/>
    <s v="+"/>
    <x v="186"/>
    <s v="Create Rule; and Description='INTEL CORP';Dividend"/>
    <m/>
  </r>
  <r>
    <x v="7"/>
    <d v="2020-06-01T00:00:00"/>
    <s v="Cash Rewards Visa Signature"/>
    <x v="821"/>
    <n v="18.03"/>
    <x v="26"/>
    <m/>
    <m/>
    <m/>
    <n v="18.03"/>
    <b v="0"/>
    <m/>
    <m/>
    <s v="-"/>
    <x v="790"/>
    <s v="Manual"/>
    <m/>
  </r>
  <r>
    <x v="7"/>
    <d v="2020-06-01T00:00:00"/>
    <s v="POWERPLUS"/>
    <x v="157"/>
    <n v="39.99"/>
    <x v="8"/>
    <m/>
    <m/>
    <m/>
    <n v="39.99"/>
    <b v="0"/>
    <m/>
    <m/>
    <s v="-"/>
    <x v="156"/>
    <s v="Create Rule; and Description Like '%PayPal%';Shopping"/>
    <m/>
  </r>
  <r>
    <x v="7"/>
    <d v="2020-06-01T00:00:00"/>
    <s v="POWERPLUS"/>
    <x v="157"/>
    <n v="128.63999999999999"/>
    <x v="8"/>
    <m/>
    <m/>
    <m/>
    <n v="128.63999999999999"/>
    <b v="0"/>
    <m/>
    <m/>
    <s v="-"/>
    <x v="156"/>
    <s v="Create Rule; and Description Like '%PayPal%';Shopping"/>
    <m/>
  </r>
  <r>
    <x v="7"/>
    <d v="2020-06-01T00:00:00"/>
    <s v="Cash Rewards Visa Signature"/>
    <x v="543"/>
    <n v="57.39"/>
    <x v="26"/>
    <m/>
    <m/>
    <m/>
    <n v="57.39"/>
    <b v="0"/>
    <m/>
    <m/>
    <s v="-"/>
    <x v="524"/>
    <s v="Manual"/>
    <m/>
  </r>
  <r>
    <x v="7"/>
    <d v="2020-06-01T00:00:00"/>
    <s v="POWERPLUS"/>
    <x v="822"/>
    <n v="618.65"/>
    <x v="26"/>
    <m/>
    <m/>
    <m/>
    <n v="618.65"/>
    <b v="0"/>
    <m/>
    <m/>
    <s v="-"/>
    <x v="791"/>
    <s v="Create Rule; and Description Like '%To Loan 02%';Car Loan"/>
    <m/>
  </r>
  <r>
    <x v="7"/>
    <d v="2020-06-01T00:00:00"/>
    <s v="POWERPLUS"/>
    <x v="29"/>
    <n v="100"/>
    <x v="8"/>
    <m/>
    <m/>
    <m/>
    <n v="100"/>
    <b v="0"/>
    <m/>
    <m/>
    <s v="-"/>
    <x v="29"/>
    <s v="Manual"/>
    <m/>
  </r>
  <r>
    <x v="7"/>
    <d v="2020-06-02T00:00:00"/>
    <s v="Discover More Card"/>
    <x v="0"/>
    <n v="7.99"/>
    <x v="0"/>
    <m/>
    <m/>
    <m/>
    <n v="7.99"/>
    <b v="0"/>
    <m/>
    <m/>
    <s v="-"/>
    <x v="0"/>
    <s v="Create Rule; and Description='Amazon';Amazon"/>
    <m/>
  </r>
  <r>
    <x v="7"/>
    <d v="2020-06-02T00:00:00"/>
    <s v="Discover"/>
    <x v="0"/>
    <n v="7.99"/>
    <x v="0"/>
    <m/>
    <m/>
    <m/>
    <n v="7.99"/>
    <b v="0"/>
    <m/>
    <m/>
    <s v="-"/>
    <x v="0"/>
    <s v="Create Rule; and Description='Amazon';Amazon"/>
    <m/>
  </r>
  <r>
    <x v="7"/>
    <d v="2020-06-02T00:00:00"/>
    <s v="Cash Rewards Visa Signature"/>
    <x v="0"/>
    <n v="12.83"/>
    <x v="0"/>
    <m/>
    <m/>
    <m/>
    <n v="12.83"/>
    <b v="0"/>
    <m/>
    <m/>
    <s v="-"/>
    <x v="0"/>
    <s v="Create Rule; and Description='Amazon';Amazon"/>
    <m/>
  </r>
  <r>
    <x v="7"/>
    <d v="2020-06-02T00:00:00"/>
    <s v="Cash Rewards Visa Signature"/>
    <x v="0"/>
    <n v="26.07"/>
    <x v="0"/>
    <m/>
    <m/>
    <m/>
    <n v="26.07"/>
    <b v="0"/>
    <m/>
    <m/>
    <s v="-"/>
    <x v="0"/>
    <s v="Create Rule; and Description='Amazon';Amazon"/>
    <m/>
  </r>
  <r>
    <x v="7"/>
    <d v="2020-06-02T00:00:00"/>
    <s v="POWERPLUS"/>
    <x v="455"/>
    <n v="15"/>
    <x v="3"/>
    <m/>
    <m/>
    <m/>
    <n v="15"/>
    <b v="0"/>
    <m/>
    <m/>
    <s v="-"/>
    <x v="439"/>
    <s v="Manual"/>
    <m/>
  </r>
  <r>
    <x v="7"/>
    <d v="2020-06-02T00:00:00"/>
    <s v="Joint Tenant"/>
    <x v="187"/>
    <n v="24.45"/>
    <x v="26"/>
    <m/>
    <m/>
    <m/>
    <n v="24.45"/>
    <b v="0"/>
    <m/>
    <m/>
    <s v="-"/>
    <x v="186"/>
    <s v="Create Rule; and Description='INTEL CORP';Dividend"/>
    <m/>
  </r>
  <r>
    <x v="7"/>
    <d v="2020-06-02T00:00:00"/>
    <s v="Brokerage"/>
    <x v="187"/>
    <n v="24.45"/>
    <x v="26"/>
    <m/>
    <m/>
    <m/>
    <n v="24.45"/>
    <b v="0"/>
    <m/>
    <m/>
    <s v="-"/>
    <x v="186"/>
    <s v="Create Rule; and Description='INTEL CORP';Dividend"/>
    <m/>
  </r>
  <r>
    <x v="7"/>
    <d v="2020-06-02T00:00:00"/>
    <s v="Cash Rewards Visa Signature"/>
    <x v="823"/>
    <n v="22.65"/>
    <x v="2"/>
    <m/>
    <m/>
    <m/>
    <n v="22.65"/>
    <b v="0"/>
    <m/>
    <m/>
    <s v="-"/>
    <x v="792"/>
    <s v="Manual"/>
    <m/>
  </r>
  <r>
    <x v="7"/>
    <d v="2020-06-02T00:00:00"/>
    <s v="Cash Rewards Visa Signature"/>
    <x v="49"/>
    <n v="206"/>
    <x v="26"/>
    <m/>
    <m/>
    <m/>
    <n v="206"/>
    <b v="0"/>
    <m/>
    <m/>
    <s v="-"/>
    <x v="49"/>
    <s v="Create Rule; and Description='Lululemon';Shopping"/>
    <m/>
  </r>
  <r>
    <x v="7"/>
    <d v="2020-06-02T00:00:00"/>
    <s v="POWERPLUS"/>
    <x v="29"/>
    <n v="200"/>
    <x v="8"/>
    <m/>
    <m/>
    <m/>
    <n v="200"/>
    <b v="0"/>
    <m/>
    <m/>
    <s v="-"/>
    <x v="29"/>
    <s v="Manual"/>
    <m/>
  </r>
  <r>
    <x v="7"/>
    <d v="2020-06-02T00:00:00"/>
    <s v="Joint Tenant"/>
    <x v="138"/>
    <n v="-23.68"/>
    <x v="26"/>
    <m/>
    <m/>
    <m/>
    <n v="23.68"/>
    <b v="0"/>
    <m/>
    <m/>
    <s v="+"/>
    <x v="137"/>
    <s v="Create Rule; and Description='VISA INC CLASS A';Dividend"/>
    <m/>
  </r>
  <r>
    <x v="7"/>
    <d v="2020-06-02T00:00:00"/>
    <s v="Brokerage"/>
    <x v="138"/>
    <n v="-23.68"/>
    <x v="26"/>
    <m/>
    <m/>
    <m/>
    <n v="23.68"/>
    <b v="0"/>
    <m/>
    <m/>
    <s v="+"/>
    <x v="137"/>
    <s v="Create Rule; and Description='VISA INC CLASS A';Dividend"/>
    <m/>
  </r>
  <r>
    <x v="7"/>
    <d v="2020-06-03T00:00:00"/>
    <s v="Joint Tenant"/>
    <x v="138"/>
    <n v="23.68"/>
    <x v="26"/>
    <m/>
    <m/>
    <m/>
    <n v="23.68"/>
    <b v="0"/>
    <m/>
    <m/>
    <s v="-"/>
    <x v="137"/>
    <s v="Create Rule; and Description='VISA INC CLASS A';Dividend"/>
    <m/>
  </r>
  <r>
    <x v="7"/>
    <d v="2020-06-03T00:00:00"/>
    <s v="Brokerage"/>
    <x v="138"/>
    <n v="23.68"/>
    <x v="26"/>
    <m/>
    <m/>
    <m/>
    <n v="23.68"/>
    <b v="0"/>
    <m/>
    <m/>
    <s v="-"/>
    <x v="137"/>
    <s v="Create Rule; and Description='VISA INC CLASS A';Dividend"/>
    <m/>
  </r>
  <r>
    <x v="7"/>
    <d v="2020-06-04T00:00:00"/>
    <s v="30 YR FIXED"/>
    <x v="824"/>
    <n v="-555.34"/>
    <x v="26"/>
    <m/>
    <m/>
    <m/>
    <n v="555.34"/>
    <b v="0"/>
    <m/>
    <m/>
    <s v="+"/>
    <x v="793"/>
    <s v="Manual"/>
    <m/>
  </r>
  <r>
    <x v="17"/>
    <d v="2021-03-01T00:00:00"/>
    <s v="POWERPLUS"/>
    <x v="825"/>
    <n v="2832.55"/>
    <x v="26"/>
    <m/>
    <m/>
    <m/>
    <n v="2832.55"/>
    <b v="0"/>
    <m/>
    <m/>
    <s v="-"/>
    <x v="265"/>
    <s v="Create Rule; and Description Like '%BCU MORTGAGE TYPE LOAN PAYMT ID 9DRAFTING CO BCU MORTGAGE%';Rent"/>
    <m/>
  </r>
  <r>
    <x v="7"/>
    <d v="2020-06-04T00:00:00"/>
    <s v="Cash Rewards Visa Signature"/>
    <x v="0"/>
    <n v="19.32"/>
    <x v="0"/>
    <m/>
    <m/>
    <m/>
    <n v="19.32"/>
    <b v="0"/>
    <m/>
    <m/>
    <s v="-"/>
    <x v="0"/>
    <s v="Create Rule; and Description='Amazon';Amazon"/>
    <m/>
  </r>
  <r>
    <x v="7"/>
    <d v="2020-06-04T00:00:00"/>
    <s v="CARGILL PARTNERSHIP PLAN"/>
    <x v="684"/>
    <n v="-9.1"/>
    <x v="26"/>
    <m/>
    <m/>
    <m/>
    <n v="9.1"/>
    <b v="0"/>
    <m/>
    <m/>
    <s v="+"/>
    <x v="660"/>
    <s v="Manual"/>
    <m/>
  </r>
  <r>
    <x v="7"/>
    <d v="2020-06-04T00:00:00"/>
    <s v="POWERPLUS"/>
    <x v="35"/>
    <n v="-225"/>
    <x v="26"/>
    <m/>
    <m/>
    <m/>
    <n v="225"/>
    <b v="0"/>
    <m/>
    <m/>
    <s v="+"/>
    <x v="35"/>
    <s v="Create Rule; and Description='Cargill Incorpor Type';Inc - Other"/>
    <m/>
  </r>
  <r>
    <x v="7"/>
    <d v="2020-06-04T00:00:00"/>
    <s v="CARGILL PARTNERSHIP PLAN"/>
    <x v="685"/>
    <n v="-9.1"/>
    <x v="26"/>
    <m/>
    <m/>
    <m/>
    <n v="9.1"/>
    <b v="0"/>
    <m/>
    <m/>
    <s v="+"/>
    <x v="661"/>
    <s v="Manual"/>
    <m/>
  </r>
  <r>
    <x v="7"/>
    <d v="2020-06-04T00:00:00"/>
    <s v="CARGILL PARTNERSHIP PLAN"/>
    <x v="686"/>
    <n v="-9.1"/>
    <x v="26"/>
    <m/>
    <m/>
    <m/>
    <n v="9.1"/>
    <b v="0"/>
    <m/>
    <m/>
    <s v="+"/>
    <x v="662"/>
    <s v="Manual"/>
    <m/>
  </r>
  <r>
    <x v="7"/>
    <d v="2020-06-04T00:00:00"/>
    <s v="Investor Checking"/>
    <x v="826"/>
    <n v="16"/>
    <x v="26"/>
    <m/>
    <m/>
    <m/>
    <n v="16"/>
    <b v="0"/>
    <m/>
    <m/>
    <s v="-"/>
    <x v="794"/>
    <s v="Manual"/>
    <m/>
  </r>
  <r>
    <x v="7"/>
    <d v="2020-06-04T00:00:00"/>
    <s v="POWERPLUS"/>
    <x v="446"/>
    <n v="-141.19999999999999"/>
    <x v="26"/>
    <m/>
    <m/>
    <m/>
    <n v="141.19999999999999"/>
    <b v="0"/>
    <m/>
    <m/>
    <s v="+"/>
    <x v="430"/>
    <s v="Manual"/>
    <m/>
  </r>
  <r>
    <x v="7"/>
    <d v="2020-06-04T00:00:00"/>
    <s v="Cash Rewards Visa Signature"/>
    <x v="49"/>
    <n v="166"/>
    <x v="26"/>
    <m/>
    <m/>
    <m/>
    <n v="166"/>
    <b v="0"/>
    <m/>
    <m/>
    <s v="-"/>
    <x v="49"/>
    <s v="Create Rule; and Description='Lululemon';Shopping"/>
    <m/>
  </r>
  <r>
    <x v="7"/>
    <d v="2020-06-04T00:00:00"/>
    <s v="Cash Rewards Visa Signature"/>
    <x v="827"/>
    <n v="4.45"/>
    <x v="26"/>
    <m/>
    <m/>
    <m/>
    <n v="4.45"/>
    <b v="0"/>
    <m/>
    <m/>
    <s v="-"/>
    <x v="795"/>
    <s v="Manual"/>
    <m/>
  </r>
  <r>
    <x v="7"/>
    <d v="2020-06-04T00:00:00"/>
    <s v="Joint Tenant"/>
    <x v="495"/>
    <n v="-3.39"/>
    <x v="26"/>
    <m/>
    <m/>
    <m/>
    <n v="3.39"/>
    <b v="0"/>
    <m/>
    <m/>
    <s v="+"/>
    <x v="478"/>
    <s v="Delete; and Source='Joint Tenant';0"/>
    <m/>
  </r>
  <r>
    <x v="7"/>
    <d v="2020-06-04T00:00:00"/>
    <s v="Brokerage"/>
    <x v="495"/>
    <n v="-3.39"/>
    <x v="26"/>
    <m/>
    <m/>
    <m/>
    <n v="3.39"/>
    <b v="0"/>
    <m/>
    <m/>
    <s v="+"/>
    <x v="478"/>
    <s v="Manual"/>
    <m/>
  </r>
  <r>
    <x v="7"/>
    <d v="2020-06-04T00:00:00"/>
    <s v="POWERPLUS"/>
    <x v="29"/>
    <n v="5"/>
    <x v="8"/>
    <m/>
    <m/>
    <m/>
    <n v="5"/>
    <b v="0"/>
    <m/>
    <m/>
    <s v="-"/>
    <x v="29"/>
    <s v="Manual"/>
    <m/>
  </r>
  <r>
    <x v="7"/>
    <d v="2020-06-05T00:00:00"/>
    <s v="Joint Tenant"/>
    <x v="495"/>
    <n v="3.39"/>
    <x v="26"/>
    <m/>
    <m/>
    <m/>
    <n v="3.39"/>
    <b v="0"/>
    <m/>
    <m/>
    <s v="-"/>
    <x v="478"/>
    <s v="Delete; and Source='Joint Tenant';0"/>
    <m/>
  </r>
  <r>
    <x v="7"/>
    <d v="2020-06-05T00:00:00"/>
    <s v="Brokerage"/>
    <x v="495"/>
    <n v="3.39"/>
    <x v="26"/>
    <m/>
    <m/>
    <m/>
    <n v="3.39"/>
    <b v="0"/>
    <m/>
    <m/>
    <s v="-"/>
    <x v="478"/>
    <s v="Manual"/>
    <m/>
  </r>
  <r>
    <x v="7"/>
    <d v="2020-06-07T00:00:00"/>
    <s v="Cash Rewards Visa Signature"/>
    <x v="615"/>
    <n v="2.68"/>
    <x v="26"/>
    <m/>
    <m/>
    <m/>
    <n v="2.68"/>
    <b v="0"/>
    <m/>
    <m/>
    <s v="-"/>
    <x v="593"/>
    <s v="Create Rule; and Description='Cabin Fever Sporting Goods, Inc.';Entertainment"/>
    <m/>
  </r>
  <r>
    <x v="7"/>
    <d v="2020-06-07T00:00:00"/>
    <s v="Cash Rewards Visa Signature"/>
    <x v="6"/>
    <n v="5.49"/>
    <x v="5"/>
    <m/>
    <m/>
    <m/>
    <n v="5.49"/>
    <b v="0"/>
    <m/>
    <m/>
    <s v="-"/>
    <x v="6"/>
    <s v="Create Rule; and Description Like '%Cub Foods%';Groceries"/>
    <m/>
  </r>
  <r>
    <x v="7"/>
    <d v="2020-06-07T00:00:00"/>
    <s v="Cash Rewards Visa Signature"/>
    <x v="451"/>
    <n v="38"/>
    <x v="1"/>
    <m/>
    <m/>
    <m/>
    <n v="38"/>
    <b v="0"/>
    <m/>
    <m/>
    <s v="-"/>
    <x v="435"/>
    <s v="Create Rule; and Description Like '%Papa Murphy%';Restaurants"/>
    <m/>
  </r>
  <r>
    <x v="7"/>
    <d v="2020-06-07T00:00:00"/>
    <s v="Cash Rewards Visa Signature"/>
    <x v="150"/>
    <n v="36.61"/>
    <x v="26"/>
    <m/>
    <m/>
    <m/>
    <n v="36.61"/>
    <b v="0"/>
    <m/>
    <m/>
    <s v="-"/>
    <x v="149"/>
    <s v="Create Rule; and Description='Party City';Shopping"/>
    <m/>
  </r>
  <r>
    <x v="7"/>
    <d v="2020-06-07T00:00:00"/>
    <s v="Cash Rewards Visa Signature"/>
    <x v="2"/>
    <n v="4.99"/>
    <x v="2"/>
    <m/>
    <m/>
    <m/>
    <n v="4.99"/>
    <b v="0"/>
    <m/>
    <m/>
    <s v="-"/>
    <x v="2"/>
    <s v="Create Rule; and Description='Speedway';Transportation"/>
    <m/>
  </r>
  <r>
    <x v="7"/>
    <d v="2020-06-07T00:00:00"/>
    <s v="Cash Rewards Visa Signature"/>
    <x v="763"/>
    <n v="91.1"/>
    <x v="26"/>
    <m/>
    <m/>
    <m/>
    <n v="91.1"/>
    <b v="0"/>
    <m/>
    <m/>
    <s v="-"/>
    <x v="736"/>
    <s v="Create Rule; and Description='Wine.com';Groceries"/>
    <m/>
  </r>
  <r>
    <x v="7"/>
    <d v="2020-06-08T00:00:00"/>
    <s v="Discover More Card"/>
    <x v="0"/>
    <n v="154.56"/>
    <x v="0"/>
    <m/>
    <m/>
    <m/>
    <n v="154.56"/>
    <b v="0"/>
    <m/>
    <m/>
    <s v="-"/>
    <x v="0"/>
    <s v="Create Rule; and Description='Amazon';Amazon"/>
    <m/>
  </r>
  <r>
    <x v="7"/>
    <d v="2020-06-08T00:00:00"/>
    <s v="Discover"/>
    <x v="0"/>
    <n v="154.56"/>
    <x v="0"/>
    <m/>
    <m/>
    <m/>
    <n v="154.56"/>
    <b v="0"/>
    <m/>
    <m/>
    <s v="-"/>
    <x v="0"/>
    <s v="Create Rule; and Description='Amazon';Amazon"/>
    <m/>
  </r>
  <r>
    <x v="7"/>
    <d v="2020-06-08T00:00:00"/>
    <s v="Cash Rewards Visa Signature"/>
    <x v="6"/>
    <n v="165.85"/>
    <x v="5"/>
    <m/>
    <m/>
    <m/>
    <n v="165.85"/>
    <b v="0"/>
    <m/>
    <m/>
    <s v="-"/>
    <x v="6"/>
    <s v="Create Rule; and Description Like '%Cub Foods%';Groceries"/>
    <m/>
  </r>
  <r>
    <x v="7"/>
    <d v="2020-06-08T00:00:00"/>
    <s v="Cash Rewards Visa Signature"/>
    <x v="828"/>
    <n v="192.17"/>
    <x v="26"/>
    <m/>
    <m/>
    <m/>
    <n v="192.17"/>
    <b v="0"/>
    <m/>
    <m/>
    <s v="-"/>
    <x v="796"/>
    <s v="Manual"/>
    <m/>
  </r>
  <r>
    <x v="7"/>
    <d v="2020-06-09T00:00:00"/>
    <s v="Cash Rewards Visa Signature"/>
    <x v="829"/>
    <n v="-1333.58"/>
    <x v="26"/>
    <m/>
    <m/>
    <m/>
    <n v="1333.58"/>
    <b v="0"/>
    <m/>
    <m/>
    <s v="+"/>
    <x v="797"/>
    <s v="Delete; and Description Like '%PAYMENT THANK YOU%';0"/>
    <m/>
  </r>
  <r>
    <x v="7"/>
    <d v="2020-06-09T00:00:00"/>
    <s v="POWERPLUS"/>
    <x v="830"/>
    <n v="1333.58"/>
    <x v="26"/>
    <m/>
    <m/>
    <m/>
    <n v="1333.58"/>
    <b v="0"/>
    <m/>
    <m/>
    <s v="-"/>
    <x v="798"/>
    <s v="Delete; and Description Like '%Withdrawal Home payment to card%';0"/>
    <m/>
  </r>
  <r>
    <x v="7"/>
    <d v="2020-06-09T00:00:00"/>
    <s v="POWERPLUS"/>
    <x v="157"/>
    <n v="7.43"/>
    <x v="8"/>
    <m/>
    <m/>
    <m/>
    <n v="7.43"/>
    <b v="0"/>
    <m/>
    <m/>
    <s v="-"/>
    <x v="156"/>
    <s v="Create Rule; and Description Like '%PayPal%';Shopping"/>
    <m/>
  </r>
  <r>
    <x v="7"/>
    <d v="2020-06-09T00:00:00"/>
    <s v="Joint Tenant"/>
    <x v="19"/>
    <n v="1000"/>
    <x v="26"/>
    <m/>
    <m/>
    <m/>
    <n v="1000"/>
    <b v="0"/>
    <m/>
    <m/>
    <s v="-"/>
    <x v="19"/>
    <s v="Delete; and Description='SCHWAB S&amp;P 500 INDEX FD' and inflowoutflow='-';0"/>
    <m/>
  </r>
  <r>
    <x v="7"/>
    <d v="2020-06-09T00:00:00"/>
    <s v="Brokerage"/>
    <x v="19"/>
    <n v="1000"/>
    <x v="26"/>
    <m/>
    <m/>
    <m/>
    <n v="1000"/>
    <b v="0"/>
    <m/>
    <m/>
    <s v="-"/>
    <x v="19"/>
    <s v="Delete; and Description='SCHWAB S&amp;P 500 INDEX FD' and inflowoutflow='-';0"/>
    <m/>
  </r>
  <r>
    <x v="7"/>
    <d v="2020-06-09T00:00:00"/>
    <s v="POWERPLUS"/>
    <x v="29"/>
    <n v="155"/>
    <x v="8"/>
    <m/>
    <m/>
    <m/>
    <n v="155"/>
    <b v="0"/>
    <m/>
    <m/>
    <s v="-"/>
    <x v="29"/>
    <s v="Manual"/>
    <m/>
  </r>
  <r>
    <x v="7"/>
    <d v="2020-06-09T00:00:00"/>
    <s v="POWERPLUS"/>
    <x v="30"/>
    <n v="121.53"/>
    <x v="11"/>
    <m/>
    <m/>
    <m/>
    <n v="121.53"/>
    <b v="0"/>
    <m/>
    <m/>
    <s v="-"/>
    <x v="30"/>
    <s v="Create Rule; and Description='Xcel Energy';Utilities"/>
    <m/>
  </r>
  <r>
    <x v="7"/>
    <d v="2020-06-10T00:00:00"/>
    <s v="Joint Tenant"/>
    <x v="831"/>
    <n v="250"/>
    <x v="26"/>
    <m/>
    <m/>
    <m/>
    <n v="250"/>
    <b v="0"/>
    <m/>
    <m/>
    <s v="-"/>
    <x v="799"/>
    <s v="Delete; and Source='Joint Tenant';0"/>
    <m/>
  </r>
  <r>
    <x v="7"/>
    <d v="2020-06-10T00:00:00"/>
    <s v="Brokerage"/>
    <x v="831"/>
    <n v="250"/>
    <x v="26"/>
    <m/>
    <m/>
    <m/>
    <n v="250"/>
    <b v="0"/>
    <m/>
    <m/>
    <s v="-"/>
    <x v="799"/>
    <s v="Manual"/>
    <m/>
  </r>
  <r>
    <x v="7"/>
    <d v="2020-06-10T00:00:00"/>
    <s v="Cash Rewards Visa Signature"/>
    <x v="832"/>
    <n v="128.85"/>
    <x v="26"/>
    <m/>
    <m/>
    <m/>
    <n v="128.85"/>
    <b v="0"/>
    <m/>
    <m/>
    <s v="-"/>
    <x v="800"/>
    <s v="Manual"/>
    <m/>
  </r>
  <r>
    <x v="7"/>
    <d v="2020-06-10T00:00:00"/>
    <s v="POWERPLUS"/>
    <x v="833"/>
    <n v="-1993.06"/>
    <x v="26"/>
    <m/>
    <m/>
    <m/>
    <n v="1993.06"/>
    <b v="0"/>
    <m/>
    <m/>
    <s v="+"/>
    <x v="801"/>
    <s v="Create Rule; and Description Like '%CARGILL COCOA TYPE DIR DEP ID%';Inc - Britney"/>
    <m/>
  </r>
  <r>
    <x v="7"/>
    <d v="2020-06-10T00:00:00"/>
    <s v="Discover More Card"/>
    <x v="67"/>
    <n v="45"/>
    <x v="11"/>
    <m/>
    <m/>
    <m/>
    <n v="45"/>
    <b v="0"/>
    <m/>
    <m/>
    <s v="-"/>
    <x v="67"/>
    <s v="Create Rule; and Description='CenturyLink';Utilities"/>
    <m/>
  </r>
  <r>
    <x v="7"/>
    <d v="2020-06-10T00:00:00"/>
    <s v="Discover"/>
    <x v="67"/>
    <n v="45"/>
    <x v="11"/>
    <m/>
    <m/>
    <m/>
    <n v="45"/>
    <b v="0"/>
    <m/>
    <m/>
    <s v="-"/>
    <x v="67"/>
    <s v="Create Rule; and Description='CenturyLink';Utilities"/>
    <m/>
  </r>
  <r>
    <x v="7"/>
    <d v="2020-06-10T00:00:00"/>
    <s v="Joint Tenant"/>
    <x v="245"/>
    <n v="-50.64"/>
    <x v="26"/>
    <m/>
    <m/>
    <m/>
    <n v="50.64"/>
    <b v="0"/>
    <m/>
    <m/>
    <s v="+"/>
    <x v="243"/>
    <s v="Create Rule; and Description='CHEVRON CORP';Dividend"/>
    <m/>
  </r>
  <r>
    <x v="7"/>
    <d v="2020-06-10T00:00:00"/>
    <s v="Brokerage"/>
    <x v="245"/>
    <n v="-50.64"/>
    <x v="26"/>
    <m/>
    <m/>
    <m/>
    <n v="50.64"/>
    <b v="0"/>
    <m/>
    <m/>
    <s v="+"/>
    <x v="243"/>
    <s v="Create Rule; and Description='CHEVRON CORP';Dividend"/>
    <m/>
  </r>
  <r>
    <x v="7"/>
    <d v="2020-06-10T00:00:00"/>
    <s v="Cash Rewards Visa Signature"/>
    <x v="834"/>
    <n v="50"/>
    <x v="26"/>
    <m/>
    <m/>
    <m/>
    <n v="50"/>
    <b v="0"/>
    <m/>
    <m/>
    <s v="-"/>
    <x v="802"/>
    <s v="Manual"/>
    <m/>
  </r>
  <r>
    <x v="7"/>
    <d v="2020-06-10T00:00:00"/>
    <s v="Joint Tenant"/>
    <x v="835"/>
    <n v="250"/>
    <x v="26"/>
    <m/>
    <m/>
    <m/>
    <n v="250"/>
    <b v="0"/>
    <m/>
    <m/>
    <s v="-"/>
    <x v="803"/>
    <s v="Delete; and Source='Joint Tenant';0"/>
    <m/>
  </r>
  <r>
    <x v="7"/>
    <d v="2020-06-10T00:00:00"/>
    <s v="Brokerage"/>
    <x v="835"/>
    <n v="250"/>
    <x v="26"/>
    <m/>
    <m/>
    <m/>
    <n v="250"/>
    <b v="0"/>
    <m/>
    <m/>
    <s v="-"/>
    <x v="803"/>
    <s v="Manual"/>
    <m/>
  </r>
  <r>
    <x v="7"/>
    <d v="2020-06-10T00:00:00"/>
    <s v="Cash Rewards Visa Signature"/>
    <x v="836"/>
    <n v="89"/>
    <x v="26"/>
    <m/>
    <m/>
    <m/>
    <n v="89"/>
    <b v="0"/>
    <m/>
    <m/>
    <s v="-"/>
    <x v="804"/>
    <s v="Manual"/>
    <m/>
  </r>
  <r>
    <x v="7"/>
    <d v="2020-06-10T00:00:00"/>
    <s v="POWERPLUS"/>
    <x v="837"/>
    <n v="118"/>
    <x v="26"/>
    <m/>
    <m/>
    <m/>
    <n v="118"/>
    <b v="0"/>
    <m/>
    <m/>
    <s v="-"/>
    <x v="805"/>
    <s v="Manual"/>
    <m/>
  </r>
  <r>
    <x v="7"/>
    <d v="2020-06-10T00:00:00"/>
    <s v="POWERPLUS"/>
    <x v="157"/>
    <n v="175"/>
    <x v="8"/>
    <m/>
    <m/>
    <m/>
    <n v="175"/>
    <b v="0"/>
    <m/>
    <m/>
    <s v="-"/>
    <x v="156"/>
    <s v="Create Rule; and Description Like '%PayPal%';Shopping"/>
    <m/>
  </r>
  <r>
    <x v="7"/>
    <d v="2020-06-10T00:00:00"/>
    <s v="RAINY DAY"/>
    <x v="515"/>
    <n v="-300"/>
    <x v="26"/>
    <m/>
    <m/>
    <m/>
    <n v="300"/>
    <b v="0"/>
    <m/>
    <m/>
    <s v="+"/>
    <x v="496"/>
    <s v="Create Rule; and Description='Share';Delete"/>
    <m/>
  </r>
  <r>
    <x v="7"/>
    <d v="2020-06-10T00:00:00"/>
    <s v="Cash Rewards Visa Signature"/>
    <x v="838"/>
    <n v="43.74"/>
    <x v="29"/>
    <m/>
    <m/>
    <m/>
    <n v="43.74"/>
    <b v="0"/>
    <m/>
    <m/>
    <s v="-"/>
    <x v="806"/>
    <s v="Manual"/>
    <m/>
  </r>
  <r>
    <x v="7"/>
    <d v="2020-06-10T00:00:00"/>
    <s v="Cash Rewards Visa Signature"/>
    <x v="839"/>
    <n v="157.96"/>
    <x v="26"/>
    <m/>
    <m/>
    <m/>
    <n v="157.96"/>
    <b v="0"/>
    <m/>
    <m/>
    <s v="-"/>
    <x v="807"/>
    <s v="Manual"/>
    <m/>
  </r>
  <r>
    <x v="7"/>
    <d v="2020-06-10T00:00:00"/>
    <s v="POWERPLUS"/>
    <x v="840"/>
    <n v="300"/>
    <x v="26"/>
    <m/>
    <m/>
    <m/>
    <n v="300"/>
    <b v="0"/>
    <m/>
    <m/>
    <s v="-"/>
    <x v="808"/>
    <s v="Manual"/>
    <m/>
  </r>
  <r>
    <x v="7"/>
    <d v="2020-06-10T00:00:00"/>
    <s v="Cash Rewards Visa Signature"/>
    <x v="763"/>
    <n v="36.229999999999997"/>
    <x v="26"/>
    <m/>
    <m/>
    <m/>
    <n v="36.229999999999997"/>
    <b v="0"/>
    <m/>
    <m/>
    <s v="-"/>
    <x v="736"/>
    <s v="Create Rule; and Description='Wine.com';Groceries"/>
    <m/>
  </r>
  <r>
    <x v="7"/>
    <d v="2020-06-11T00:00:00"/>
    <s v="Joint Tenant"/>
    <x v="232"/>
    <n v="180.75"/>
    <x v="26"/>
    <m/>
    <m/>
    <m/>
    <n v="180.75"/>
    <b v="0"/>
    <m/>
    <m/>
    <s v="-"/>
    <x v="230"/>
    <s v="Create Rule; and Description='BOEING CO';Dividend"/>
    <m/>
  </r>
  <r>
    <x v="7"/>
    <d v="2020-06-11T00:00:00"/>
    <s v="Joint Tenant"/>
    <x v="232"/>
    <n v="723"/>
    <x v="26"/>
    <m/>
    <m/>
    <m/>
    <n v="723"/>
    <b v="0"/>
    <m/>
    <m/>
    <s v="-"/>
    <x v="230"/>
    <s v="Create Rule; and Description='BOEING CO';Dividend"/>
    <m/>
  </r>
  <r>
    <x v="7"/>
    <d v="2020-06-11T00:00:00"/>
    <s v="Brokerage"/>
    <x v="232"/>
    <n v="180.75"/>
    <x v="26"/>
    <m/>
    <m/>
    <m/>
    <n v="180.75"/>
    <b v="0"/>
    <m/>
    <m/>
    <s v="-"/>
    <x v="230"/>
    <s v="Create Rule; and Description='BOEING CO';Dividend"/>
    <m/>
  </r>
  <r>
    <x v="7"/>
    <d v="2020-06-11T00:00:00"/>
    <s v="Brokerage"/>
    <x v="232"/>
    <n v="723"/>
    <x v="26"/>
    <m/>
    <m/>
    <m/>
    <n v="723"/>
    <b v="0"/>
    <m/>
    <m/>
    <s v="-"/>
    <x v="230"/>
    <s v="Create Rule; and Description='BOEING CO';Dividend"/>
    <m/>
  </r>
  <r>
    <x v="7"/>
    <d v="2020-06-11T00:00:00"/>
    <s v="Joint Tenant"/>
    <x v="245"/>
    <n v="50.64"/>
    <x v="26"/>
    <m/>
    <m/>
    <m/>
    <n v="50.64"/>
    <b v="0"/>
    <m/>
    <m/>
    <s v="-"/>
    <x v="243"/>
    <s v="Create Rule; and Description='CHEVRON CORP';Dividend"/>
    <m/>
  </r>
  <r>
    <x v="7"/>
    <d v="2020-06-11T00:00:00"/>
    <s v="Brokerage"/>
    <x v="245"/>
    <n v="50.64"/>
    <x v="26"/>
    <m/>
    <m/>
    <m/>
    <n v="50.64"/>
    <b v="0"/>
    <m/>
    <m/>
    <s v="-"/>
    <x v="243"/>
    <s v="Create Rule; and Description='CHEVRON CORP';Dividend"/>
    <m/>
  </r>
  <r>
    <x v="7"/>
    <d v="2020-06-11T00:00:00"/>
    <s v="POWERPLUS"/>
    <x v="841"/>
    <n v="34.909999999999997"/>
    <x v="26"/>
    <m/>
    <m/>
    <m/>
    <n v="34.909999999999997"/>
    <b v="0"/>
    <m/>
    <m/>
    <s v="-"/>
    <x v="146"/>
    <s v="Create Rule; and Description Like '%CPENERGY MNGCO%';Utilities"/>
    <m/>
  </r>
  <r>
    <x v="7"/>
    <d v="2020-06-11T00:00:00"/>
    <s v="Cash Rewards Visa Signature"/>
    <x v="842"/>
    <n v="79.63"/>
    <x v="26"/>
    <m/>
    <m/>
    <m/>
    <n v="79.63"/>
    <b v="0"/>
    <m/>
    <m/>
    <s v="-"/>
    <x v="809"/>
    <s v="Manual"/>
    <m/>
  </r>
  <r>
    <x v="7"/>
    <d v="2020-06-11T00:00:00"/>
    <s v="Cash Rewards Visa Signature"/>
    <x v="68"/>
    <n v="18"/>
    <x v="26"/>
    <m/>
    <m/>
    <m/>
    <n v="18"/>
    <b v="0"/>
    <m/>
    <m/>
    <s v="-"/>
    <x v="68"/>
    <s v="Create Rule; and Description='Harvard Business';Entertainment"/>
    <m/>
  </r>
  <r>
    <x v="7"/>
    <d v="2020-06-11T00:00:00"/>
    <s v="Cash Rewards Visa Signature"/>
    <x v="843"/>
    <n v="22.97"/>
    <x v="26"/>
    <m/>
    <m/>
    <m/>
    <n v="22.97"/>
    <b v="0"/>
    <m/>
    <m/>
    <s v="-"/>
    <x v="810"/>
    <s v="Create Rule; and Description Like '%LTFLIFE TIME MO DUES%';Gym"/>
    <m/>
  </r>
  <r>
    <x v="7"/>
    <d v="2020-06-11T00:00:00"/>
    <s v="Cash Rewards Visa Signature"/>
    <x v="49"/>
    <n v="-68"/>
    <x v="26"/>
    <m/>
    <m/>
    <m/>
    <n v="68"/>
    <b v="0"/>
    <m/>
    <m/>
    <s v="+"/>
    <x v="49"/>
    <s v="Create Rule; and Description='Lululemon';Shopping"/>
    <m/>
  </r>
  <r>
    <x v="7"/>
    <d v="2020-06-11T00:00:00"/>
    <s v="Cash Rewards Visa Signature"/>
    <x v="188"/>
    <n v="31.14"/>
    <x v="1"/>
    <m/>
    <m/>
    <m/>
    <n v="31.14"/>
    <b v="0"/>
    <m/>
    <m/>
    <s v="-"/>
    <x v="187"/>
    <s v="Create Rule; and Description='Noodles &amp; Company';Restaurants"/>
    <m/>
  </r>
  <r>
    <x v="7"/>
    <d v="2020-06-12T00:00:00"/>
    <s v="Discover More Card"/>
    <x v="93"/>
    <n v="-5.54"/>
    <x v="26"/>
    <m/>
    <m/>
    <m/>
    <n v="5.54"/>
    <b v="0"/>
    <m/>
    <m/>
    <s v="+"/>
    <x v="93"/>
    <s v="Delete; and Description='CASHBACK BONUS REDEMPTION payment/STMT CRDT';0"/>
    <m/>
  </r>
  <r>
    <x v="7"/>
    <d v="2020-06-12T00:00:00"/>
    <s v="Discover"/>
    <x v="93"/>
    <n v="-5.54"/>
    <x v="26"/>
    <m/>
    <m/>
    <m/>
    <n v="5.54"/>
    <b v="0"/>
    <m/>
    <m/>
    <s v="+"/>
    <x v="93"/>
    <s v="Delete; and Description='CASHBACK BONUS REDEMPTION payment/STMT CRDT';0"/>
    <m/>
  </r>
  <r>
    <x v="7"/>
    <d v="2020-06-12T00:00:00"/>
    <s v="Discover More Card"/>
    <x v="56"/>
    <n v="-475.18"/>
    <x v="3"/>
    <m/>
    <m/>
    <m/>
    <n v="475.18"/>
    <b v="0"/>
    <m/>
    <m/>
    <s v="+"/>
    <x v="56"/>
    <s v="Delete; and Description='INTERNET PAYMENT - THANK YOU';0"/>
    <m/>
  </r>
  <r>
    <x v="7"/>
    <d v="2020-06-12T00:00:00"/>
    <s v="Discover"/>
    <x v="56"/>
    <n v="-475.18"/>
    <x v="3"/>
    <m/>
    <m/>
    <m/>
    <n v="475.18"/>
    <b v="0"/>
    <m/>
    <m/>
    <s v="+"/>
    <x v="56"/>
    <s v="Delete; and Description='INTERNET PAYMENT - THANK YOU';0"/>
    <m/>
  </r>
  <r>
    <x v="7"/>
    <d v="2020-06-12T00:00:00"/>
    <s v="Joint Tenant"/>
    <x v="185"/>
    <n v="-200"/>
    <x v="26"/>
    <m/>
    <m/>
    <m/>
    <n v="200"/>
    <b v="0"/>
    <m/>
    <m/>
    <s v="+"/>
    <x v="184"/>
    <s v="Create Rule; and Description='CARGILL COCOA &amp;';Roth"/>
    <m/>
  </r>
  <r>
    <x v="7"/>
    <d v="2020-06-12T00:00:00"/>
    <s v="Brokerage"/>
    <x v="185"/>
    <n v="-200"/>
    <x v="26"/>
    <m/>
    <m/>
    <m/>
    <n v="200"/>
    <b v="0"/>
    <m/>
    <m/>
    <s v="+"/>
    <x v="184"/>
    <s v="Create Rule; and Description='CARGILL COCOA &amp;';Roth"/>
    <m/>
  </r>
  <r>
    <x v="7"/>
    <d v="2020-06-12T00:00:00"/>
    <s v="Joint Tenant"/>
    <x v="19"/>
    <n v="500"/>
    <x v="26"/>
    <m/>
    <m/>
    <m/>
    <n v="500"/>
    <b v="0"/>
    <m/>
    <m/>
    <s v="-"/>
    <x v="19"/>
    <s v="Delete; and Description='SCHWAB S&amp;P 500 INDEX FD' and inflowoutflow='-';0"/>
    <m/>
  </r>
  <r>
    <x v="7"/>
    <d v="2020-06-12T00:00:00"/>
    <s v="Brokerage"/>
    <x v="19"/>
    <n v="500"/>
    <x v="26"/>
    <m/>
    <m/>
    <m/>
    <n v="500"/>
    <b v="0"/>
    <m/>
    <m/>
    <s v="-"/>
    <x v="19"/>
    <s v="Delete; and Description='SCHWAB S&amp;P 500 INDEX FD' and inflowoutflow='-';0"/>
    <m/>
  </r>
  <r>
    <x v="7"/>
    <d v="2020-06-12T00:00:00"/>
    <s v="Cash Rewards Visa Signature"/>
    <x v="844"/>
    <n v="-33"/>
    <x v="26"/>
    <m/>
    <m/>
    <m/>
    <n v="33"/>
    <b v="0"/>
    <m/>
    <m/>
    <s v="+"/>
    <x v="811"/>
    <s v="Manual"/>
    <m/>
  </r>
  <r>
    <x v="7"/>
    <d v="2020-06-12T00:00:00"/>
    <s v="CARGILL PARTNERSHIP PLAN"/>
    <x v="235"/>
    <n v="-732.69"/>
    <x v="26"/>
    <m/>
    <m/>
    <m/>
    <n v="732.69"/>
    <b v="0"/>
    <m/>
    <m/>
    <s v="+"/>
    <x v="233"/>
    <s v="Create Rule; and Description='Target Retire 2055 Tr P - Plan Contribution';401K"/>
    <m/>
  </r>
  <r>
    <x v="7"/>
    <d v="2020-06-12T00:00:00"/>
    <s v="Contributory"/>
    <x v="51"/>
    <n v="-231"/>
    <x v="26"/>
    <m/>
    <m/>
    <m/>
    <n v="231"/>
    <b v="0"/>
    <m/>
    <m/>
    <s v="+"/>
    <x v="51"/>
    <s v="Create Rule; and Description='Tfr JPMORGAN CHASE BAN, CARGILL COCOA &amp;';Roth"/>
    <m/>
  </r>
  <r>
    <x v="7"/>
    <d v="2020-06-12T00:00:00"/>
    <s v="POWERPLUS"/>
    <x v="845"/>
    <n v="203"/>
    <x v="26"/>
    <m/>
    <m/>
    <m/>
    <n v="203"/>
    <b v="0"/>
    <m/>
    <m/>
    <s v="-"/>
    <x v="812"/>
    <s v="Manual"/>
    <m/>
  </r>
  <r>
    <x v="7"/>
    <d v="2020-06-14T00:00:00"/>
    <s v="Cash Rewards Visa Signature"/>
    <x v="6"/>
    <n v="45.51"/>
    <x v="5"/>
    <m/>
    <m/>
    <m/>
    <n v="45.51"/>
    <b v="0"/>
    <m/>
    <m/>
    <s v="-"/>
    <x v="6"/>
    <s v="Create Rule; and Description Like '%Cub Foods%';Groceries"/>
    <m/>
  </r>
  <r>
    <x v="7"/>
    <d v="2020-06-14T00:00:00"/>
    <s v="Cash Rewards Visa Signature"/>
    <x v="79"/>
    <n v="35"/>
    <x v="28"/>
    <m/>
    <m/>
    <m/>
    <n v="35"/>
    <b v="0"/>
    <m/>
    <m/>
    <s v="-"/>
    <x v="79"/>
    <s v="Create Rule; and Description='Elite Nails';Entertainment"/>
    <m/>
  </r>
  <r>
    <x v="7"/>
    <d v="2020-06-14T00:00:00"/>
    <s v="Cash Rewards Visa Signature"/>
    <x v="81"/>
    <n v="29.57"/>
    <x v="26"/>
    <m/>
    <m/>
    <m/>
    <n v="29.57"/>
    <b v="0"/>
    <m/>
    <m/>
    <s v="-"/>
    <x v="81"/>
    <s v="Create Rule; and Description='Holiday Stationstore';Transportation"/>
    <m/>
  </r>
  <r>
    <x v="7"/>
    <d v="2020-06-14T00:00:00"/>
    <s v="POWERPLUS"/>
    <x v="846"/>
    <n v="-2688.27"/>
    <x v="26"/>
    <m/>
    <m/>
    <m/>
    <n v="2688.27"/>
    <b v="0"/>
    <m/>
    <m/>
    <s v="+"/>
    <x v="813"/>
    <s v="Create Rule; and Description Like '%KAUFMAN HALL TYPE DIRECT DEP ID%';Inc - Jeff"/>
    <m/>
  </r>
  <r>
    <x v="7"/>
    <d v="2020-06-14T00:00:00"/>
    <s v="Cash Rewards Visa Signature"/>
    <x v="661"/>
    <n v="52.59"/>
    <x v="26"/>
    <m/>
    <m/>
    <m/>
    <n v="52.59"/>
    <b v="0"/>
    <m/>
    <m/>
    <s v="-"/>
    <x v="639"/>
    <s v="Manual"/>
    <m/>
  </r>
  <r>
    <x v="7"/>
    <d v="2020-06-14T00:00:00"/>
    <s v="Discover More Card"/>
    <x v="579"/>
    <n v="15"/>
    <x v="1"/>
    <m/>
    <m/>
    <m/>
    <n v="15"/>
    <b v="0"/>
    <m/>
    <m/>
    <s v="-"/>
    <x v="560"/>
    <s v="Create Rule; and Description='Starbucks';Restaurants"/>
    <m/>
  </r>
  <r>
    <x v="7"/>
    <d v="2020-06-14T00:00:00"/>
    <s v="Discover"/>
    <x v="579"/>
    <n v="15"/>
    <x v="1"/>
    <m/>
    <m/>
    <m/>
    <n v="15"/>
    <b v="0"/>
    <m/>
    <m/>
    <s v="-"/>
    <x v="560"/>
    <s v="Create Rule; and Description='Starbucks';Restaurants"/>
    <m/>
  </r>
  <r>
    <x v="7"/>
    <d v="2020-06-15T00:00:00"/>
    <s v="POWERPLUS"/>
    <x v="847"/>
    <n v="475.18"/>
    <x v="26"/>
    <m/>
    <m/>
    <m/>
    <n v="475.18"/>
    <b v="0"/>
    <m/>
    <m/>
    <s v="-"/>
    <x v="814"/>
    <s v="Delete; and Description Like '%DISCOVER TYPE EPAYMENT%';0"/>
    <m/>
  </r>
  <r>
    <x v="7"/>
    <d v="2020-06-15T00:00:00"/>
    <s v="POWERPLUS"/>
    <x v="48"/>
    <n v="114.38"/>
    <x v="16"/>
    <m/>
    <m/>
    <m/>
    <n v="114.38"/>
    <b v="0"/>
    <m/>
    <m/>
    <s v="-"/>
    <x v="48"/>
    <s v="Create Rule; and Description='American Family Insurance';Insurance"/>
    <m/>
  </r>
  <r>
    <x v="7"/>
    <d v="2020-06-15T00:00:00"/>
    <s v="Joint Tenant"/>
    <x v="167"/>
    <n v="-250"/>
    <x v="26"/>
    <m/>
    <m/>
    <m/>
    <n v="250"/>
    <b v="0"/>
    <m/>
    <m/>
    <s v="+"/>
    <x v="166"/>
    <s v="Create Rule; and Description='KAUFMAN HALL';Savings"/>
    <m/>
  </r>
  <r>
    <x v="7"/>
    <d v="2020-06-15T00:00:00"/>
    <s v="Brokerage"/>
    <x v="167"/>
    <n v="-250"/>
    <x v="26"/>
    <m/>
    <m/>
    <m/>
    <n v="250"/>
    <b v="0"/>
    <m/>
    <m/>
    <s v="+"/>
    <x v="166"/>
    <s v="Create Rule; and Description='KAUFMAN HALL';Savings"/>
    <m/>
  </r>
  <r>
    <x v="7"/>
    <d v="2020-06-15T00:00:00"/>
    <s v="Cash Rewards Visa Signature"/>
    <x v="237"/>
    <n v="11.77"/>
    <x v="1"/>
    <m/>
    <m/>
    <m/>
    <n v="11.77"/>
    <b v="0"/>
    <m/>
    <m/>
    <s v="-"/>
    <x v="235"/>
    <s v="Create Rule; and Description like '%McDonald%';Restaurants"/>
    <m/>
  </r>
  <r>
    <x v="7"/>
    <d v="2020-06-15T00:00:00"/>
    <s v="Cash Rewards Visa Signature"/>
    <x v="606"/>
    <n v="25.24"/>
    <x v="26"/>
    <m/>
    <m/>
    <m/>
    <n v="25.24"/>
    <b v="0"/>
    <m/>
    <m/>
    <s v="-"/>
    <x v="586"/>
    <s v="Create Rule; and Description='Shorewood Liquor, LLC';Groceries"/>
    <m/>
  </r>
  <r>
    <x v="7"/>
    <d v="2020-06-15T00:00:00"/>
    <s v="Jeff IRA"/>
    <x v="52"/>
    <n v="-250"/>
    <x v="26"/>
    <m/>
    <m/>
    <m/>
    <n v="250"/>
    <b v="0"/>
    <m/>
    <m/>
    <s v="+"/>
    <x v="52"/>
    <s v="Create Rule; and Description='Tfr JPMORGAN CHASE BAN, KAUFMAN HALL';Roth"/>
    <m/>
  </r>
  <r>
    <x v="7"/>
    <d v="2020-06-15T00:00:00"/>
    <s v="POWERPLUS"/>
    <x v="29"/>
    <n v="30"/>
    <x v="8"/>
    <m/>
    <m/>
    <m/>
    <n v="30"/>
    <b v="0"/>
    <m/>
    <m/>
    <s v="-"/>
    <x v="29"/>
    <s v="Manual"/>
    <m/>
  </r>
  <r>
    <x v="7"/>
    <d v="2020-06-15T00:00:00"/>
    <s v="POWERPLUS"/>
    <x v="29"/>
    <n v="60"/>
    <x v="8"/>
    <m/>
    <m/>
    <m/>
    <n v="60"/>
    <b v="0"/>
    <m/>
    <m/>
    <s v="-"/>
    <x v="29"/>
    <s v="Manual"/>
    <m/>
  </r>
  <r>
    <x v="7"/>
    <d v="2020-06-15T00:00:00"/>
    <s v="POWERPLUS"/>
    <x v="29"/>
    <n v="400"/>
    <x v="8"/>
    <m/>
    <m/>
    <m/>
    <n v="400"/>
    <b v="0"/>
    <m/>
    <m/>
    <s v="-"/>
    <x v="29"/>
    <s v="Manual"/>
    <m/>
  </r>
  <r>
    <x v="7"/>
    <d v="2020-06-15T00:00:00"/>
    <s v="Investor Checking"/>
    <x v="361"/>
    <n v="-150"/>
    <x v="26"/>
    <m/>
    <m/>
    <m/>
    <n v="150"/>
    <b v="0"/>
    <m/>
    <m/>
    <s v="+"/>
    <x v="352"/>
    <s v="Manual"/>
    <m/>
  </r>
  <r>
    <x v="7"/>
    <d v="2020-06-16T00:00:00"/>
    <s v="Contributory"/>
    <x v="848"/>
    <n v="-0.06"/>
    <x v="26"/>
    <m/>
    <m/>
    <m/>
    <n v="0.06"/>
    <b v="0"/>
    <m/>
    <m/>
    <s v="+"/>
    <x v="815"/>
    <s v="Manual"/>
    <m/>
  </r>
  <r>
    <x v="7"/>
    <d v="2020-06-16T00:00:00"/>
    <s v="Jeff IRA"/>
    <x v="848"/>
    <n v="-0.04"/>
    <x v="26"/>
    <m/>
    <m/>
    <m/>
    <n v="0.04"/>
    <b v="0"/>
    <m/>
    <m/>
    <s v="+"/>
    <x v="815"/>
    <s v="Manual"/>
    <m/>
  </r>
  <r>
    <x v="7"/>
    <d v="2020-06-16T00:00:00"/>
    <s v="Cash Rewards Visa Signature"/>
    <x v="6"/>
    <n v="5.16"/>
    <x v="5"/>
    <m/>
    <m/>
    <m/>
    <n v="5.16"/>
    <b v="0"/>
    <m/>
    <m/>
    <s v="-"/>
    <x v="6"/>
    <s v="Create Rule; and Description Like '%Cub Foods%';Groceries"/>
    <m/>
  </r>
  <r>
    <x v="7"/>
    <d v="2020-06-16T00:00:00"/>
    <s v="Cash Rewards Visa Signature"/>
    <x v="6"/>
    <n v="9.3800000000000008"/>
    <x v="5"/>
    <m/>
    <m/>
    <m/>
    <n v="9.3800000000000008"/>
    <b v="0"/>
    <m/>
    <m/>
    <s v="-"/>
    <x v="6"/>
    <s v="Create Rule; and Description Like '%Cub Foods%';Groceries"/>
    <m/>
  </r>
  <r>
    <x v="7"/>
    <d v="2020-06-16T00:00:00"/>
    <s v="Cash Rewards Visa Signature"/>
    <x v="60"/>
    <n v="-41.19"/>
    <x v="26"/>
    <m/>
    <m/>
    <m/>
    <n v="41.19"/>
    <b v="0"/>
    <m/>
    <m/>
    <s v="+"/>
    <x v="60"/>
    <s v="Create Rule; and Description='Home Depot';House Maintenance"/>
    <m/>
  </r>
  <r>
    <x v="7"/>
    <d v="2020-06-16T00:00:00"/>
    <s v="POWERPLUS"/>
    <x v="157"/>
    <n v="120.55"/>
    <x v="8"/>
    <m/>
    <m/>
    <m/>
    <n v="120.55"/>
    <b v="0"/>
    <m/>
    <m/>
    <s v="-"/>
    <x v="156"/>
    <s v="Create Rule; and Description Like '%PayPal%';Shopping"/>
    <m/>
  </r>
  <r>
    <x v="7"/>
    <d v="2020-06-17T00:00:00"/>
    <s v="Discover More Card"/>
    <x v="0"/>
    <n v="27.31"/>
    <x v="0"/>
    <m/>
    <m/>
    <m/>
    <n v="27.31"/>
    <b v="0"/>
    <m/>
    <m/>
    <s v="-"/>
    <x v="0"/>
    <s v="Create Rule; and Description='Amazon';Amazon"/>
    <m/>
  </r>
  <r>
    <x v="7"/>
    <d v="2020-06-17T00:00:00"/>
    <s v="Discover"/>
    <x v="0"/>
    <n v="27.31"/>
    <x v="0"/>
    <m/>
    <m/>
    <m/>
    <n v="27.31"/>
    <b v="0"/>
    <m/>
    <m/>
    <s v="-"/>
    <x v="0"/>
    <s v="Create Rule; and Description='Amazon';Amazon"/>
    <m/>
  </r>
  <r>
    <x v="7"/>
    <d v="2020-06-17T00:00:00"/>
    <s v="Cash Rewards Visa Signature"/>
    <x v="59"/>
    <n v="5.57"/>
    <x v="1"/>
    <m/>
    <m/>
    <m/>
    <n v="5.57"/>
    <b v="0"/>
    <m/>
    <m/>
    <s v="-"/>
    <x v="59"/>
    <s v="Create Rule; and Description Like '%Caribou Coffee%';Restaurants"/>
    <m/>
  </r>
  <r>
    <x v="7"/>
    <d v="2020-06-17T00:00:00"/>
    <s v="Cash Rewards Visa Signature"/>
    <x v="259"/>
    <n v="117.78"/>
    <x v="26"/>
    <m/>
    <m/>
    <m/>
    <n v="117.78"/>
    <b v="0"/>
    <m/>
    <m/>
    <s v="-"/>
    <x v="257"/>
    <s v="Create Rule; and Description Like '%Etsy.com%';Shopping"/>
    <m/>
  </r>
  <r>
    <x v="7"/>
    <d v="2020-06-17T00:00:00"/>
    <s v="Investor Checking"/>
    <x v="361"/>
    <n v="-100"/>
    <x v="26"/>
    <m/>
    <m/>
    <m/>
    <n v="100"/>
    <b v="0"/>
    <m/>
    <m/>
    <s v="+"/>
    <x v="352"/>
    <s v="Manual"/>
    <m/>
  </r>
  <r>
    <x v="7"/>
    <d v="2020-06-18T00:00:00"/>
    <s v="Discover More Card"/>
    <x v="0"/>
    <n v="25.7"/>
    <x v="0"/>
    <m/>
    <m/>
    <m/>
    <n v="25.7"/>
    <b v="0"/>
    <m/>
    <m/>
    <s v="-"/>
    <x v="0"/>
    <s v="Create Rule; and Description='Amazon';Amazon"/>
    <m/>
  </r>
  <r>
    <x v="7"/>
    <d v="2020-06-18T00:00:00"/>
    <s v="Discover"/>
    <x v="0"/>
    <n v="25.7"/>
    <x v="0"/>
    <m/>
    <m/>
    <m/>
    <n v="25.7"/>
    <b v="0"/>
    <m/>
    <m/>
    <s v="-"/>
    <x v="0"/>
    <s v="Create Rule; and Description='Amazon';Amazon"/>
    <m/>
  </r>
  <r>
    <x v="7"/>
    <d v="2020-06-18T00:00:00"/>
    <s v="Joint Tenant"/>
    <x v="285"/>
    <n v="-7.63"/>
    <x v="26"/>
    <m/>
    <m/>
    <m/>
    <n v="7.63"/>
    <b v="0"/>
    <m/>
    <m/>
    <s v="+"/>
    <x v="278"/>
    <s v="Create Rule; and Description='ETFMG ALTERNATIVE HARVEST ETF';Dividend"/>
    <m/>
  </r>
  <r>
    <x v="7"/>
    <d v="2020-06-18T00:00:00"/>
    <s v="Brokerage"/>
    <x v="285"/>
    <n v="-7.63"/>
    <x v="26"/>
    <m/>
    <m/>
    <m/>
    <n v="7.63"/>
    <b v="0"/>
    <m/>
    <m/>
    <s v="+"/>
    <x v="278"/>
    <s v="Create Rule; and Description='ETFMG ALTERNATIVE HARVEST ETF';Dividend"/>
    <m/>
  </r>
  <r>
    <x v="7"/>
    <d v="2020-06-18T00:00:00"/>
    <s v="POWERPLUS"/>
    <x v="849"/>
    <n v="200"/>
    <x v="26"/>
    <m/>
    <m/>
    <m/>
    <n v="200"/>
    <b v="0"/>
    <m/>
    <m/>
    <s v="-"/>
    <x v="816"/>
    <s v="Create Rule; and Description Like '%MN DIR ACH%';College Savings"/>
    <m/>
  </r>
  <r>
    <x v="7"/>
    <d v="2020-06-18T00:00:00"/>
    <s v="Cash Rewards Visa Signature"/>
    <x v="150"/>
    <n v="27.9"/>
    <x v="26"/>
    <m/>
    <m/>
    <m/>
    <n v="27.9"/>
    <b v="0"/>
    <m/>
    <m/>
    <s v="-"/>
    <x v="149"/>
    <s v="Create Rule; and Description='Party City';Shopping"/>
    <m/>
  </r>
  <r>
    <x v="7"/>
    <d v="2020-06-18T00:00:00"/>
    <s v="Joint Tenant"/>
    <x v="741"/>
    <n v="-68.88"/>
    <x v="26"/>
    <m/>
    <m/>
    <m/>
    <n v="68.88"/>
    <b v="0"/>
    <m/>
    <m/>
    <s v="+"/>
    <x v="714"/>
    <s v="Delete; and Source='Joint Tenant';0"/>
    <m/>
  </r>
  <r>
    <x v="7"/>
    <d v="2020-06-18T00:00:00"/>
    <s v="Brokerage"/>
    <x v="741"/>
    <n v="-68.88"/>
    <x v="26"/>
    <m/>
    <m/>
    <m/>
    <n v="68.88"/>
    <b v="0"/>
    <m/>
    <m/>
    <s v="+"/>
    <x v="714"/>
    <s v="Manual"/>
    <m/>
  </r>
  <r>
    <x v="7"/>
    <d v="2020-06-18T00:00:00"/>
    <s v="POWERPLUS"/>
    <x v="29"/>
    <n v="86"/>
    <x v="8"/>
    <m/>
    <m/>
    <m/>
    <n v="86"/>
    <b v="0"/>
    <m/>
    <m/>
    <s v="-"/>
    <x v="29"/>
    <s v="Manual"/>
    <m/>
  </r>
  <r>
    <x v="7"/>
    <d v="2020-06-19T00:00:00"/>
    <s v="Discover More Card"/>
    <x v="0"/>
    <n v="41.9"/>
    <x v="0"/>
    <m/>
    <m/>
    <m/>
    <n v="41.9"/>
    <b v="0"/>
    <m/>
    <m/>
    <s v="-"/>
    <x v="0"/>
    <s v="Create Rule; and Description='Amazon';Amazon"/>
    <m/>
  </r>
  <r>
    <x v="7"/>
    <d v="2020-06-19T00:00:00"/>
    <s v="Discover"/>
    <x v="0"/>
    <n v="41.9"/>
    <x v="0"/>
    <m/>
    <m/>
    <m/>
    <n v="41.9"/>
    <b v="0"/>
    <m/>
    <m/>
    <s v="-"/>
    <x v="0"/>
    <s v="Create Rule; and Description='Amazon';Amazon"/>
    <m/>
  </r>
  <r>
    <x v="7"/>
    <d v="2020-06-19T00:00:00"/>
    <s v="Cash Rewards Visa Signature"/>
    <x v="850"/>
    <n v="-79.63"/>
    <x v="26"/>
    <m/>
    <m/>
    <m/>
    <n v="79.63"/>
    <b v="0"/>
    <m/>
    <m/>
    <s v="+"/>
    <x v="817"/>
    <s v="Manual"/>
    <m/>
  </r>
  <r>
    <x v="7"/>
    <d v="2020-06-19T00:00:00"/>
    <s v="Joint Tenant"/>
    <x v="285"/>
    <n v="7.63"/>
    <x v="26"/>
    <m/>
    <m/>
    <m/>
    <n v="7.63"/>
    <b v="0"/>
    <m/>
    <m/>
    <s v="-"/>
    <x v="278"/>
    <s v="Create Rule; and Description='ETFMG ALTERNATIVE HARVEST ETF';Dividend"/>
    <m/>
  </r>
  <r>
    <x v="7"/>
    <d v="2020-06-19T00:00:00"/>
    <s v="Brokerage"/>
    <x v="285"/>
    <n v="7.63"/>
    <x v="26"/>
    <m/>
    <m/>
    <m/>
    <n v="7.63"/>
    <b v="0"/>
    <m/>
    <m/>
    <s v="-"/>
    <x v="278"/>
    <s v="Create Rule; and Description='ETFMG ALTERNATIVE HARVEST ETF';Dividend"/>
    <m/>
  </r>
  <r>
    <x v="7"/>
    <d v="2020-06-19T00:00:00"/>
    <s v="Joint Tenant"/>
    <x v="741"/>
    <n v="68.88"/>
    <x v="26"/>
    <m/>
    <m/>
    <m/>
    <n v="68.88"/>
    <b v="0"/>
    <m/>
    <m/>
    <s v="-"/>
    <x v="714"/>
    <s v="Delete; and Source='Joint Tenant';0"/>
    <m/>
  </r>
  <r>
    <x v="7"/>
    <d v="2020-06-19T00:00:00"/>
    <s v="Brokerage"/>
    <x v="741"/>
    <n v="68.88"/>
    <x v="26"/>
    <m/>
    <m/>
    <m/>
    <n v="68.88"/>
    <b v="0"/>
    <m/>
    <m/>
    <s v="-"/>
    <x v="714"/>
    <s v="Manual"/>
    <m/>
  </r>
  <r>
    <x v="7"/>
    <d v="2020-06-20T00:00:00"/>
    <s v="Discover More Card"/>
    <x v="577"/>
    <n v="27.54"/>
    <x v="1"/>
    <m/>
    <m/>
    <m/>
    <n v="27.54"/>
    <b v="0"/>
    <m/>
    <m/>
    <s v="-"/>
    <x v="558"/>
    <s v="Create Rule; and Description Like '%Jimmy John%';Restaurants"/>
    <m/>
  </r>
  <r>
    <x v="7"/>
    <d v="2020-06-20T00:00:00"/>
    <s v="Discover"/>
    <x v="577"/>
    <n v="27.54"/>
    <x v="1"/>
    <m/>
    <m/>
    <m/>
    <n v="27.54"/>
    <b v="0"/>
    <m/>
    <m/>
    <s v="-"/>
    <x v="558"/>
    <s v="Create Rule; and Description Like '%Jimmy John%';Restaurants"/>
    <m/>
  </r>
  <r>
    <x v="7"/>
    <d v="2020-06-21T00:00:00"/>
    <s v="Cash Rewards Visa Signature"/>
    <x v="0"/>
    <n v="40.78"/>
    <x v="0"/>
    <m/>
    <m/>
    <m/>
    <n v="40.78"/>
    <b v="0"/>
    <m/>
    <m/>
    <s v="-"/>
    <x v="0"/>
    <s v="Create Rule; and Description='Amazon';Amazon"/>
    <m/>
  </r>
  <r>
    <x v="7"/>
    <d v="2020-06-21T00:00:00"/>
    <s v="Cash Rewards Visa Signature"/>
    <x v="152"/>
    <n v="15.84"/>
    <x v="26"/>
    <m/>
    <m/>
    <m/>
    <n v="15.84"/>
    <b v="0"/>
    <m/>
    <m/>
    <s v="-"/>
    <x v="151"/>
    <s v="Create Rule; and Description='Excelsior Brewing';Restaurants"/>
    <m/>
  </r>
  <r>
    <x v="7"/>
    <d v="2020-06-21T00:00:00"/>
    <s v="Cash Rewards Visa Signature"/>
    <x v="851"/>
    <n v="25"/>
    <x v="26"/>
    <m/>
    <m/>
    <m/>
    <n v="25"/>
    <b v="0"/>
    <m/>
    <m/>
    <s v="-"/>
    <x v="818"/>
    <s v="Manual"/>
    <m/>
  </r>
  <r>
    <x v="7"/>
    <d v="2020-06-21T00:00:00"/>
    <s v="Cash Rewards Visa Signature"/>
    <x v="2"/>
    <n v="36.53"/>
    <x v="2"/>
    <m/>
    <m/>
    <m/>
    <n v="36.53"/>
    <b v="0"/>
    <m/>
    <m/>
    <s v="-"/>
    <x v="2"/>
    <s v="Create Rule; and Description='Speedway';Transportation"/>
    <m/>
  </r>
  <r>
    <x v="7"/>
    <d v="2020-06-22T00:00:00"/>
    <s v="Cash Rewards Visa Signature"/>
    <x v="0"/>
    <n v="3.32"/>
    <x v="0"/>
    <m/>
    <m/>
    <m/>
    <n v="3.32"/>
    <b v="0"/>
    <m/>
    <m/>
    <s v="-"/>
    <x v="0"/>
    <s v="Create Rule; and Description='Amazon';Amazon"/>
    <m/>
  </r>
  <r>
    <x v="7"/>
    <d v="2020-06-22T00:00:00"/>
    <s v="POWERPLUS"/>
    <x v="84"/>
    <n v="40.869999999999997"/>
    <x v="26"/>
    <m/>
    <m/>
    <m/>
    <n v="40.869999999999997"/>
    <b v="0"/>
    <m/>
    <m/>
    <s v="-"/>
    <x v="84"/>
    <s v="Create Rule; and Description='City of Chanhassen';Utilities"/>
    <m/>
  </r>
  <r>
    <x v="7"/>
    <d v="2020-06-22T00:00:00"/>
    <s v="POWERPLUS"/>
    <x v="446"/>
    <n v="-5.16"/>
    <x v="26"/>
    <m/>
    <m/>
    <m/>
    <n v="5.16"/>
    <b v="0"/>
    <m/>
    <m/>
    <s v="+"/>
    <x v="430"/>
    <s v="Manual"/>
    <m/>
  </r>
  <r>
    <x v="7"/>
    <d v="2020-06-22T00:00:00"/>
    <s v="Cash Rewards Visa Signature"/>
    <x v="60"/>
    <n v="64.44"/>
    <x v="26"/>
    <m/>
    <m/>
    <m/>
    <n v="64.44"/>
    <b v="0"/>
    <m/>
    <m/>
    <s v="-"/>
    <x v="60"/>
    <s v="Create Rule; and Description='Home Depot';House Maintenance"/>
    <m/>
  </r>
  <r>
    <x v="7"/>
    <d v="2020-06-22T00:00:00"/>
    <s v="POWERPLUS"/>
    <x v="157"/>
    <n v="37.1"/>
    <x v="8"/>
    <m/>
    <m/>
    <m/>
    <n v="37.1"/>
    <b v="0"/>
    <m/>
    <m/>
    <s v="-"/>
    <x v="156"/>
    <s v="Create Rule; and Description Like '%PayPal%';Shopping"/>
    <m/>
  </r>
  <r>
    <x v="7"/>
    <d v="2020-06-22T00:00:00"/>
    <s v="Cash Rewards Visa Signature"/>
    <x v="852"/>
    <n v="56.14"/>
    <x v="26"/>
    <m/>
    <m/>
    <m/>
    <n v="56.14"/>
    <b v="0"/>
    <m/>
    <m/>
    <s v="-"/>
    <x v="819"/>
    <s v="Manual"/>
    <m/>
  </r>
  <r>
    <x v="7"/>
    <d v="2020-06-22T00:00:00"/>
    <s v="Investor Checking"/>
    <x v="361"/>
    <n v="-20"/>
    <x v="26"/>
    <m/>
    <m/>
    <m/>
    <n v="20"/>
    <b v="0"/>
    <m/>
    <m/>
    <s v="+"/>
    <x v="352"/>
    <s v="Manual"/>
    <m/>
  </r>
  <r>
    <x v="7"/>
    <d v="2020-06-23T00:00:00"/>
    <s v="Cash Rewards Visa Signature"/>
    <x v="0"/>
    <n v="12.87"/>
    <x v="0"/>
    <m/>
    <m/>
    <m/>
    <n v="12.87"/>
    <b v="0"/>
    <m/>
    <m/>
    <s v="-"/>
    <x v="0"/>
    <s v="Create Rule; and Description='Amazon';Amazon"/>
    <m/>
  </r>
  <r>
    <x v="7"/>
    <d v="2020-06-23T00:00:00"/>
    <s v="Cash Rewards Visa Signature"/>
    <x v="0"/>
    <n v="17.170000000000002"/>
    <x v="0"/>
    <m/>
    <m/>
    <m/>
    <n v="17.170000000000002"/>
    <b v="0"/>
    <m/>
    <m/>
    <s v="-"/>
    <x v="0"/>
    <s v="Create Rule; and Description='Amazon';Amazon"/>
    <m/>
  </r>
  <r>
    <x v="7"/>
    <d v="2020-06-23T00:00:00"/>
    <s v="POWERPLUS"/>
    <x v="446"/>
    <n v="-137.1"/>
    <x v="26"/>
    <m/>
    <m/>
    <m/>
    <n v="137.1"/>
    <b v="0"/>
    <m/>
    <m/>
    <s v="+"/>
    <x v="430"/>
    <s v="Manual"/>
    <m/>
  </r>
  <r>
    <x v="7"/>
    <d v="2020-06-23T00:00:00"/>
    <s v="Cash Rewards Visa Signature"/>
    <x v="853"/>
    <n v="81.61"/>
    <x v="26"/>
    <m/>
    <m/>
    <m/>
    <n v="81.61"/>
    <b v="0"/>
    <m/>
    <m/>
    <s v="-"/>
    <x v="820"/>
    <s v="Manual"/>
    <m/>
  </r>
  <r>
    <x v="7"/>
    <d v="2020-06-23T00:00:00"/>
    <s v="Cash Rewards Visa Signature"/>
    <x v="661"/>
    <n v="56.64"/>
    <x v="26"/>
    <m/>
    <m/>
    <m/>
    <n v="56.64"/>
    <b v="0"/>
    <m/>
    <m/>
    <s v="-"/>
    <x v="639"/>
    <s v="Manual"/>
    <m/>
  </r>
  <r>
    <x v="7"/>
    <d v="2020-06-23T00:00:00"/>
    <s v="POWERPLUS"/>
    <x v="157"/>
    <n v="52.97"/>
    <x v="8"/>
    <m/>
    <m/>
    <m/>
    <n v="52.97"/>
    <b v="0"/>
    <m/>
    <m/>
    <s v="-"/>
    <x v="156"/>
    <s v="Create Rule; and Description Like '%PayPal%';Shopping"/>
    <m/>
  </r>
  <r>
    <x v="7"/>
    <d v="2020-06-23T00:00:00"/>
    <s v="Cash Rewards Visa Signature"/>
    <x v="783"/>
    <n v="97.25"/>
    <x v="26"/>
    <m/>
    <m/>
    <m/>
    <n v="97.25"/>
    <b v="0"/>
    <m/>
    <m/>
    <s v="-"/>
    <x v="753"/>
    <s v="Manual"/>
    <m/>
  </r>
  <r>
    <x v="7"/>
    <d v="2020-06-24T00:00:00"/>
    <s v="POWERPLUS"/>
    <x v="854"/>
    <n v="-1993.07"/>
    <x v="26"/>
    <m/>
    <m/>
    <m/>
    <n v="1993.07"/>
    <b v="0"/>
    <m/>
    <m/>
    <s v="+"/>
    <x v="821"/>
    <s v="Create Rule; and Description Like '%CARGILL COCOA TYPE DIR DEP ID%';Inc - Britney"/>
    <m/>
  </r>
  <r>
    <x v="7"/>
    <d v="2020-06-24T00:00:00"/>
    <s v="Cooper"/>
    <x v="476"/>
    <n v="-100"/>
    <x v="26"/>
    <m/>
    <m/>
    <m/>
    <n v="100"/>
    <b v="0"/>
    <m/>
    <m/>
    <s v="+"/>
    <x v="459"/>
    <s v="Manual"/>
    <m/>
  </r>
  <r>
    <x v="7"/>
    <d v="2020-06-24T00:00:00"/>
    <s v="Joint Tenant"/>
    <x v="286"/>
    <n v="-0.01"/>
    <x v="26"/>
    <m/>
    <m/>
    <m/>
    <n v="0.01"/>
    <b v="0"/>
    <m/>
    <m/>
    <s v="+"/>
    <x v="279"/>
    <s v="Create Rule; and Description='HALLIBURTON CO HLDG';Dividend"/>
    <m/>
  </r>
  <r>
    <x v="7"/>
    <d v="2020-06-24T00:00:00"/>
    <s v="Brokerage"/>
    <x v="286"/>
    <n v="-0.01"/>
    <x v="26"/>
    <m/>
    <m/>
    <m/>
    <n v="0.01"/>
    <b v="0"/>
    <m/>
    <m/>
    <s v="+"/>
    <x v="279"/>
    <s v="Create Rule; and Description='HALLIBURTON CO HLDG';Dividend"/>
    <m/>
  </r>
  <r>
    <x v="7"/>
    <d v="2020-06-24T00:00:00"/>
    <s v="RAINY DAY"/>
    <x v="515"/>
    <n v="-200"/>
    <x v="26"/>
    <m/>
    <m/>
    <m/>
    <n v="200"/>
    <b v="0"/>
    <m/>
    <m/>
    <s v="+"/>
    <x v="496"/>
    <s v="Create Rule; and Description='Share';Delete"/>
    <m/>
  </r>
  <r>
    <x v="7"/>
    <d v="2020-06-24T00:00:00"/>
    <s v="Cash Rewards Visa Signature"/>
    <x v="2"/>
    <n v="33.01"/>
    <x v="2"/>
    <m/>
    <m/>
    <m/>
    <n v="33.01"/>
    <b v="0"/>
    <m/>
    <m/>
    <s v="-"/>
    <x v="2"/>
    <s v="Create Rule; and Description='Speedway';Transportation"/>
    <m/>
  </r>
  <r>
    <x v="7"/>
    <d v="2020-06-24T00:00:00"/>
    <s v="POWERPLUS"/>
    <x v="855"/>
    <n v="200"/>
    <x v="26"/>
    <m/>
    <m/>
    <m/>
    <n v="200"/>
    <b v="0"/>
    <m/>
    <m/>
    <s v="-"/>
    <x v="822"/>
    <s v="Manual"/>
    <m/>
  </r>
  <r>
    <x v="7"/>
    <d v="2020-06-25T00:00:00"/>
    <s v="Joint Tenant"/>
    <x v="232"/>
    <n v="516.75"/>
    <x v="26"/>
    <m/>
    <m/>
    <m/>
    <n v="516.75"/>
    <b v="0"/>
    <m/>
    <m/>
    <s v="-"/>
    <x v="230"/>
    <s v="Create Rule; and Description='BOEING CO';Dividend"/>
    <m/>
  </r>
  <r>
    <x v="7"/>
    <d v="2020-06-25T00:00:00"/>
    <s v="Brokerage"/>
    <x v="232"/>
    <n v="516.75"/>
    <x v="26"/>
    <m/>
    <m/>
    <m/>
    <n v="516.75"/>
    <b v="0"/>
    <m/>
    <m/>
    <s v="-"/>
    <x v="230"/>
    <s v="Create Rule; and Description='BOEING CO';Dividend"/>
    <m/>
  </r>
  <r>
    <x v="7"/>
    <d v="2020-06-25T00:00:00"/>
    <s v="Discover More Card"/>
    <x v="240"/>
    <n v="17.77"/>
    <x v="26"/>
    <m/>
    <m/>
    <m/>
    <n v="17.77"/>
    <b v="0"/>
    <m/>
    <m/>
    <s v="-"/>
    <x v="238"/>
    <s v="Create Rule; and Description='Chipotle';Restaurants"/>
    <m/>
  </r>
  <r>
    <x v="7"/>
    <d v="2020-06-25T00:00:00"/>
    <s v="Discover"/>
    <x v="240"/>
    <n v="17.77"/>
    <x v="26"/>
    <m/>
    <m/>
    <m/>
    <n v="17.77"/>
    <b v="0"/>
    <m/>
    <m/>
    <s v="-"/>
    <x v="238"/>
    <s v="Create Rule; and Description='Chipotle';Restaurants"/>
    <m/>
  </r>
  <r>
    <x v="7"/>
    <d v="2020-06-25T00:00:00"/>
    <s v="Joint Tenant"/>
    <x v="286"/>
    <n v="0.01"/>
    <x v="26"/>
    <m/>
    <m/>
    <m/>
    <n v="0.01"/>
    <b v="0"/>
    <m/>
    <m/>
    <s v="-"/>
    <x v="279"/>
    <s v="Create Rule; and Description='HALLIBURTON CO HLDG';Dividend"/>
    <m/>
  </r>
  <r>
    <x v="7"/>
    <d v="2020-06-25T00:00:00"/>
    <s v="Brokerage"/>
    <x v="286"/>
    <n v="0.01"/>
    <x v="26"/>
    <m/>
    <m/>
    <m/>
    <n v="0.01"/>
    <b v="0"/>
    <m/>
    <m/>
    <s v="-"/>
    <x v="279"/>
    <s v="Create Rule; and Description='HALLIBURTON CO HLDG';Dividend"/>
    <m/>
  </r>
  <r>
    <x v="7"/>
    <d v="2020-06-25T00:00:00"/>
    <s v="Cash Rewards Visa Signature"/>
    <x v="856"/>
    <n v="122.37"/>
    <x v="26"/>
    <m/>
    <m/>
    <m/>
    <n v="122.37"/>
    <b v="0"/>
    <m/>
    <m/>
    <s v="-"/>
    <x v="823"/>
    <s v="Manual"/>
    <m/>
  </r>
  <r>
    <x v="7"/>
    <d v="2020-06-26T00:00:00"/>
    <s v="Joint Tenant"/>
    <x v="185"/>
    <n v="-200"/>
    <x v="26"/>
    <m/>
    <m/>
    <m/>
    <n v="200"/>
    <b v="0"/>
    <m/>
    <m/>
    <s v="+"/>
    <x v="184"/>
    <s v="Create Rule; and Description='CARGILL COCOA &amp;';Roth"/>
    <m/>
  </r>
  <r>
    <x v="7"/>
    <d v="2020-06-26T00:00:00"/>
    <s v="Brokerage"/>
    <x v="185"/>
    <n v="-200"/>
    <x v="26"/>
    <m/>
    <m/>
    <m/>
    <n v="200"/>
    <b v="0"/>
    <m/>
    <m/>
    <s v="+"/>
    <x v="184"/>
    <s v="Create Rule; and Description='CARGILL COCOA &amp;';Roth"/>
    <m/>
  </r>
  <r>
    <x v="7"/>
    <d v="2020-06-26T00:00:00"/>
    <s v="Cash Rewards Visa Signature"/>
    <x v="6"/>
    <n v="59.64"/>
    <x v="5"/>
    <m/>
    <m/>
    <m/>
    <n v="59.64"/>
    <b v="0"/>
    <m/>
    <m/>
    <s v="-"/>
    <x v="6"/>
    <s v="Create Rule; and Description Like '%Cub Foods%';Groceries"/>
    <m/>
  </r>
  <r>
    <x v="7"/>
    <d v="2020-06-26T00:00:00"/>
    <s v="POWERPLUS"/>
    <x v="857"/>
    <n v="755.95"/>
    <x v="26"/>
    <m/>
    <m/>
    <m/>
    <n v="755.95"/>
    <b v="0"/>
    <m/>
    <m/>
    <s v="-"/>
    <x v="824"/>
    <s v="Manual"/>
    <m/>
  </r>
  <r>
    <x v="7"/>
    <d v="2020-06-26T00:00:00"/>
    <s v="Discover More Card"/>
    <x v="99"/>
    <n v="12.99"/>
    <x v="11"/>
    <m/>
    <m/>
    <m/>
    <n v="12.99"/>
    <b v="0"/>
    <m/>
    <m/>
    <s v="-"/>
    <x v="99"/>
    <s v="Create Rule; and Description='Netflix';Utilities"/>
    <m/>
  </r>
  <r>
    <x v="7"/>
    <d v="2020-06-26T00:00:00"/>
    <s v="Discover"/>
    <x v="99"/>
    <n v="12.99"/>
    <x v="11"/>
    <m/>
    <m/>
    <m/>
    <n v="12.99"/>
    <b v="0"/>
    <m/>
    <m/>
    <s v="-"/>
    <x v="99"/>
    <s v="Create Rule; and Description='Netflix';Utilities"/>
    <m/>
  </r>
  <r>
    <x v="7"/>
    <d v="2020-06-26T00:00:00"/>
    <s v="Cash Rewards Visa Signature"/>
    <x v="858"/>
    <n v="161.06"/>
    <x v="26"/>
    <m/>
    <m/>
    <m/>
    <n v="161.06"/>
    <b v="0"/>
    <m/>
    <m/>
    <s v="-"/>
    <x v="825"/>
    <s v="Manual"/>
    <m/>
  </r>
  <r>
    <x v="7"/>
    <d v="2020-06-26T00:00:00"/>
    <s v="POWERPLUS"/>
    <x v="34"/>
    <n v="273.97000000000003"/>
    <x v="12"/>
    <m/>
    <m/>
    <m/>
    <n v="273.97000000000003"/>
    <b v="0"/>
    <m/>
    <m/>
    <s v="-"/>
    <x v="34"/>
    <s v="Create Rule; and Description='Target';Target"/>
    <m/>
  </r>
  <r>
    <x v="7"/>
    <d v="2020-06-26T00:00:00"/>
    <s v="CARGILL PARTNERSHIP PLAN"/>
    <x v="235"/>
    <n v="-732.69"/>
    <x v="26"/>
    <m/>
    <m/>
    <m/>
    <n v="732.69"/>
    <b v="0"/>
    <m/>
    <m/>
    <s v="+"/>
    <x v="233"/>
    <s v="Create Rule; and Description='Target Retire 2055 Tr P - Plan Contribution';401K"/>
    <m/>
  </r>
  <r>
    <x v="7"/>
    <d v="2020-06-26T00:00:00"/>
    <s v="Contributory"/>
    <x v="51"/>
    <n v="-231"/>
    <x v="26"/>
    <m/>
    <m/>
    <m/>
    <n v="231"/>
    <b v="0"/>
    <m/>
    <m/>
    <s v="+"/>
    <x v="51"/>
    <s v="Create Rule; and Description='Tfr JPMORGAN CHASE BAN, CARGILL COCOA &amp;';Roth"/>
    <m/>
  </r>
  <r>
    <x v="7"/>
    <d v="2020-06-27T00:00:00"/>
    <s v="Discover More Card"/>
    <x v="0"/>
    <n v="14.17"/>
    <x v="0"/>
    <m/>
    <m/>
    <m/>
    <n v="14.17"/>
    <b v="0"/>
    <m/>
    <m/>
    <s v="-"/>
    <x v="0"/>
    <s v="Create Rule; and Description='Amazon';Amazon"/>
    <m/>
  </r>
  <r>
    <x v="7"/>
    <d v="2020-06-27T00:00:00"/>
    <s v="Discover"/>
    <x v="0"/>
    <n v="14.17"/>
    <x v="0"/>
    <m/>
    <m/>
    <m/>
    <n v="14.17"/>
    <b v="0"/>
    <m/>
    <m/>
    <s v="-"/>
    <x v="0"/>
    <s v="Create Rule; and Description='Amazon';Amazon"/>
    <m/>
  </r>
  <r>
    <x v="7"/>
    <d v="2020-06-28T00:00:00"/>
    <s v="Cash Rewards Visa Signature"/>
    <x v="859"/>
    <n v="-1684.84"/>
    <x v="26"/>
    <m/>
    <m/>
    <m/>
    <n v="1684.84"/>
    <b v="0"/>
    <m/>
    <m/>
    <s v="+"/>
    <x v="826"/>
    <s v="Delete; and Description Like '%PAYMENT THANK YOU%';0"/>
    <m/>
  </r>
  <r>
    <x v="7"/>
    <d v="2020-06-28T00:00:00"/>
    <s v="POWERPLUS"/>
    <x v="860"/>
    <n v="1684.84"/>
    <x v="26"/>
    <m/>
    <m/>
    <m/>
    <n v="1684.84"/>
    <b v="0"/>
    <m/>
    <m/>
    <s v="-"/>
    <x v="827"/>
    <s v="Delete; and Description Like '%Withdrawal Home payment to card%';0"/>
    <m/>
  </r>
  <r>
    <x v="7"/>
    <d v="2020-06-28T00:00:00"/>
    <s v="POWERPLUS"/>
    <x v="861"/>
    <n v="-35"/>
    <x v="26"/>
    <m/>
    <m/>
    <m/>
    <n v="35"/>
    <b v="0"/>
    <m/>
    <m/>
    <s v="+"/>
    <x v="828"/>
    <s v="Create Rule; and Description Like '%PayPal%';Shopping"/>
    <m/>
  </r>
  <r>
    <x v="7"/>
    <d v="2020-06-28T00:00:00"/>
    <s v="Cash Rewards Visa Signature"/>
    <x v="862"/>
    <n v="30"/>
    <x v="26"/>
    <m/>
    <m/>
    <m/>
    <n v="30"/>
    <b v="0"/>
    <m/>
    <m/>
    <s v="-"/>
    <x v="829"/>
    <s v="Manual"/>
    <m/>
  </r>
  <r>
    <x v="7"/>
    <d v="2020-06-28T00:00:00"/>
    <s v="Cash Rewards Visa Signature"/>
    <x v="805"/>
    <n v="17.989999999999998"/>
    <x v="26"/>
    <m/>
    <m/>
    <m/>
    <n v="17.989999999999998"/>
    <b v="0"/>
    <m/>
    <m/>
    <s v="-"/>
    <x v="775"/>
    <s v="Manual"/>
    <m/>
  </r>
  <r>
    <x v="7"/>
    <d v="2020-06-28T00:00:00"/>
    <s v="POWERPLUS"/>
    <x v="446"/>
    <n v="-122.37"/>
    <x v="26"/>
    <m/>
    <m/>
    <m/>
    <n v="122.37"/>
    <b v="0"/>
    <m/>
    <m/>
    <s v="+"/>
    <x v="430"/>
    <s v="Manual"/>
    <m/>
  </r>
  <r>
    <x v="7"/>
    <d v="2020-06-28T00:00:00"/>
    <s v="Cash Rewards Visa Signature"/>
    <x v="49"/>
    <n v="-264"/>
    <x v="26"/>
    <m/>
    <m/>
    <m/>
    <n v="264"/>
    <b v="0"/>
    <m/>
    <m/>
    <s v="+"/>
    <x v="49"/>
    <s v="Create Rule; and Description='Lululemon';Shopping"/>
    <m/>
  </r>
  <r>
    <x v="7"/>
    <d v="2020-06-28T00:00:00"/>
    <s v="Cash Rewards Visa Signature"/>
    <x v="863"/>
    <n v="23.5"/>
    <x v="26"/>
    <m/>
    <m/>
    <m/>
    <n v="23.5"/>
    <b v="0"/>
    <m/>
    <m/>
    <s v="-"/>
    <x v="830"/>
    <s v="Manual"/>
    <m/>
  </r>
  <r>
    <x v="7"/>
    <d v="2020-06-28T00:00:00"/>
    <s v="Cash Rewards Visa Signature"/>
    <x v="864"/>
    <n v="36.200000000000003"/>
    <x v="26"/>
    <m/>
    <m/>
    <m/>
    <n v="36.200000000000003"/>
    <b v="0"/>
    <m/>
    <m/>
    <s v="-"/>
    <x v="831"/>
    <s v="Create Rule; and Description Like '%RED COW%';Restaurants"/>
    <m/>
  </r>
  <r>
    <x v="7"/>
    <d v="2020-06-28T00:00:00"/>
    <s v="POWERPLUS"/>
    <x v="865"/>
    <n v="-35"/>
    <x v="26"/>
    <m/>
    <m/>
    <m/>
    <n v="35"/>
    <b v="0"/>
    <m/>
    <m/>
    <s v="+"/>
    <x v="832"/>
    <s v="Create Rule; and Description Like '%PayPal%';Shopping"/>
    <m/>
  </r>
  <r>
    <x v="7"/>
    <d v="2020-06-29T00:00:00"/>
    <s v="POWERPLUS"/>
    <x v="866"/>
    <n v="-2688.26"/>
    <x v="26"/>
    <m/>
    <m/>
    <m/>
    <n v="2688.26"/>
    <b v="0"/>
    <m/>
    <m/>
    <s v="+"/>
    <x v="833"/>
    <s v="Create Rule; and Description Like '%KAUFMAN HALL TYPE DIRECT DEP ID%';Inc - Jeff"/>
    <m/>
  </r>
  <r>
    <x v="7"/>
    <d v="2020-06-29T00:00:00"/>
    <s v="Cash Rewards Visa Signature"/>
    <x v="867"/>
    <n v="49.1"/>
    <x v="26"/>
    <m/>
    <m/>
    <m/>
    <n v="49.1"/>
    <b v="0"/>
    <m/>
    <m/>
    <s v="-"/>
    <x v="834"/>
    <s v="Create Rule; and Description Like '%LIONS TAP%';Restaurants"/>
    <m/>
  </r>
  <r>
    <x v="7"/>
    <d v="2020-06-29T00:00:00"/>
    <s v="POWERPLUS"/>
    <x v="157"/>
    <n v="0.99"/>
    <x v="8"/>
    <m/>
    <m/>
    <m/>
    <n v="0.99"/>
    <b v="0"/>
    <m/>
    <m/>
    <s v="-"/>
    <x v="156"/>
    <s v="Create Rule; and Description Like '%PayPal%';Shopping"/>
    <m/>
  </r>
  <r>
    <x v="7"/>
    <d v="2020-06-29T00:00:00"/>
    <s v="Joint Tenant"/>
    <x v="300"/>
    <n v="-7.84"/>
    <x v="26"/>
    <m/>
    <m/>
    <m/>
    <n v="7.84"/>
    <b v="0"/>
    <m/>
    <m/>
    <s v="+"/>
    <x v="293"/>
    <s v="Create Rule; and Description='SCHWAB US SMALL CAP ETF';Dividend"/>
    <m/>
  </r>
  <r>
    <x v="7"/>
    <d v="2020-06-29T00:00:00"/>
    <s v="Brokerage"/>
    <x v="300"/>
    <n v="-7.84"/>
    <x v="26"/>
    <m/>
    <m/>
    <m/>
    <n v="7.84"/>
    <b v="0"/>
    <m/>
    <m/>
    <s v="+"/>
    <x v="293"/>
    <s v="Create Rule; and Description='SCHWAB US SMALL CAP ETF';Dividend"/>
    <m/>
  </r>
  <r>
    <x v="7"/>
    <d v="2020-06-29T00:00:00"/>
    <s v="POWERPLUS"/>
    <x v="29"/>
    <n v="23"/>
    <x v="8"/>
    <m/>
    <m/>
    <m/>
    <n v="23"/>
    <b v="0"/>
    <m/>
    <m/>
    <s v="-"/>
    <x v="29"/>
    <s v="Manual"/>
    <m/>
  </r>
  <r>
    <x v="7"/>
    <d v="2020-06-30T00:00:00"/>
    <s v="Cash Rewards Visa Signature"/>
    <x v="0"/>
    <n v="15.99"/>
    <x v="0"/>
    <m/>
    <m/>
    <m/>
    <n v="15.99"/>
    <b v="0"/>
    <m/>
    <m/>
    <s v="-"/>
    <x v="0"/>
    <s v="Create Rule; and Description='Amazon';Amazon"/>
    <m/>
  </r>
  <r>
    <x v="7"/>
    <d v="2020-06-30T00:00:00"/>
    <s v="POWERPLUS"/>
    <x v="868"/>
    <n v="-3"/>
    <x v="26"/>
    <m/>
    <m/>
    <m/>
    <n v="3"/>
    <b v="0"/>
    <m/>
    <m/>
    <s v="+"/>
    <x v="835"/>
    <s v="Manual"/>
    <m/>
  </r>
  <r>
    <x v="7"/>
    <d v="2020-06-30T00:00:00"/>
    <s v="Investor Checking"/>
    <x v="118"/>
    <n v="-0.01"/>
    <x v="26"/>
    <m/>
    <m/>
    <m/>
    <n v="0.01"/>
    <b v="0"/>
    <m/>
    <m/>
    <s v="+"/>
    <x v="118"/>
    <s v="Manual"/>
    <m/>
  </r>
  <r>
    <x v="7"/>
    <d v="2020-06-30T00:00:00"/>
    <s v="Joint Tenant"/>
    <x v="167"/>
    <n v="-250"/>
    <x v="26"/>
    <m/>
    <m/>
    <m/>
    <n v="250"/>
    <b v="0"/>
    <m/>
    <m/>
    <s v="+"/>
    <x v="166"/>
    <s v="Create Rule; and Description='KAUFMAN HALL';Savings"/>
    <m/>
  </r>
  <r>
    <x v="7"/>
    <d v="2020-06-30T00:00:00"/>
    <s v="Brokerage"/>
    <x v="167"/>
    <n v="-250"/>
    <x v="26"/>
    <m/>
    <m/>
    <m/>
    <n v="250"/>
    <b v="0"/>
    <m/>
    <m/>
    <s v="+"/>
    <x v="166"/>
    <s v="Create Rule; and Description='KAUFMAN HALL';Savings"/>
    <m/>
  </r>
  <r>
    <x v="7"/>
    <d v="2020-06-30T00:00:00"/>
    <s v="POWERPLUS"/>
    <x v="869"/>
    <n v="415.65"/>
    <x v="26"/>
    <m/>
    <m/>
    <m/>
    <n v="415.65"/>
    <b v="0"/>
    <m/>
    <m/>
    <s v="-"/>
    <x v="836"/>
    <s v="Manual"/>
    <m/>
  </r>
  <r>
    <x v="7"/>
    <d v="2020-06-30T00:00:00"/>
    <s v="Joint Tenant"/>
    <x v="300"/>
    <n v="7.84"/>
    <x v="26"/>
    <m/>
    <m/>
    <m/>
    <n v="7.84"/>
    <b v="0"/>
    <m/>
    <m/>
    <s v="-"/>
    <x v="293"/>
    <s v="Create Rule; and Description='SCHWAB US SMALL CAP ETF';Dividend"/>
    <m/>
  </r>
  <r>
    <x v="7"/>
    <d v="2020-06-30T00:00:00"/>
    <s v="Brokerage"/>
    <x v="300"/>
    <n v="7.84"/>
    <x v="26"/>
    <m/>
    <m/>
    <m/>
    <n v="7.84"/>
    <b v="0"/>
    <m/>
    <m/>
    <s v="-"/>
    <x v="293"/>
    <s v="Create Rule; and Description='SCHWAB US SMALL CAP ETF';Dividend"/>
    <m/>
  </r>
  <r>
    <x v="7"/>
    <d v="2020-06-30T00:00:00"/>
    <s v="RAINY DAY"/>
    <x v="119"/>
    <n v="-20.329999999999998"/>
    <x v="26"/>
    <m/>
    <m/>
    <m/>
    <n v="20.329999999999998"/>
    <b v="0"/>
    <m/>
    <m/>
    <s v="+"/>
    <x v="119"/>
    <s v="Create Rule; and Description='Split Rate Apy';Inc - Other"/>
    <m/>
  </r>
  <r>
    <x v="7"/>
    <d v="2020-06-30T00:00:00"/>
    <s v="POWERPLUS"/>
    <x v="119"/>
    <n v="-24.53"/>
    <x v="26"/>
    <m/>
    <m/>
    <m/>
    <n v="24.53"/>
    <b v="0"/>
    <m/>
    <m/>
    <s v="+"/>
    <x v="119"/>
    <s v="Create Rule; and Description='Split Rate Apy';Inc - Other"/>
    <m/>
  </r>
  <r>
    <x v="7"/>
    <d v="2020-06-30T00:00:00"/>
    <s v="Cash Rewards Visa Signature"/>
    <x v="870"/>
    <n v="-65.69"/>
    <x v="26"/>
    <m/>
    <m/>
    <m/>
    <n v="65.69"/>
    <b v="0"/>
    <m/>
    <m/>
    <s v="+"/>
    <x v="837"/>
    <s v="Manual"/>
    <m/>
  </r>
  <r>
    <x v="7"/>
    <d v="2020-06-30T00:00:00"/>
    <s v="Jeff IRA"/>
    <x v="52"/>
    <n v="-250"/>
    <x v="26"/>
    <m/>
    <m/>
    <m/>
    <n v="250"/>
    <b v="0"/>
    <m/>
    <m/>
    <s v="+"/>
    <x v="52"/>
    <s v="Create Rule; and Description='Tfr JPMORGAN CHASE BAN, KAUFMAN HALL';Roth"/>
    <m/>
  </r>
  <r>
    <x v="7"/>
    <d v="2020-06-30T00:00:00"/>
    <s v="POWERPLUS"/>
    <x v="29"/>
    <n v="61"/>
    <x v="8"/>
    <m/>
    <m/>
    <m/>
    <n v="61"/>
    <b v="0"/>
    <m/>
    <m/>
    <s v="-"/>
    <x v="29"/>
    <s v="Manual"/>
    <m/>
  </r>
  <r>
    <x v="7"/>
    <d v="2020-06-30T00:00:00"/>
    <s v="POWERPLUS"/>
    <x v="29"/>
    <n v="250"/>
    <x v="8"/>
    <m/>
    <m/>
    <m/>
    <n v="250"/>
    <b v="0"/>
    <m/>
    <m/>
    <s v="-"/>
    <x v="29"/>
    <s v="Manual"/>
    <m/>
  </r>
  <r>
    <x v="4"/>
    <d v="2020-07-01T00:00:00"/>
    <s v="Discover More Card"/>
    <x v="93"/>
    <n v="-5.35"/>
    <x v="26"/>
    <m/>
    <m/>
    <m/>
    <n v="5.35"/>
    <b v="0"/>
    <m/>
    <m/>
    <s v="+"/>
    <x v="93"/>
    <s v="Delete; and Description='CASHBACK BONUS REDEMPTION payment/STMT CRDT';0"/>
    <m/>
  </r>
  <r>
    <x v="4"/>
    <d v="2020-07-01T00:00:00"/>
    <s v="Discover"/>
    <x v="93"/>
    <n v="-5.35"/>
    <x v="26"/>
    <m/>
    <m/>
    <m/>
    <n v="5.35"/>
    <b v="0"/>
    <m/>
    <m/>
    <s v="+"/>
    <x v="93"/>
    <s v="Delete; and Description='CASHBACK BONUS REDEMPTION payment/STMT CRDT';0"/>
    <m/>
  </r>
  <r>
    <x v="4"/>
    <d v="2020-07-01T00:00:00"/>
    <s v="Discover More Card"/>
    <x v="56"/>
    <n v="-222.03"/>
    <x v="3"/>
    <m/>
    <m/>
    <m/>
    <n v="222.03"/>
    <b v="0"/>
    <m/>
    <m/>
    <s v="+"/>
    <x v="56"/>
    <s v="Delete; and Description='INTERNET PAYMENT - THANK YOU';0"/>
    <m/>
  </r>
  <r>
    <x v="4"/>
    <d v="2020-07-01T00:00:00"/>
    <s v="Discover"/>
    <x v="56"/>
    <n v="-222.03"/>
    <x v="3"/>
    <m/>
    <m/>
    <m/>
    <n v="222.03"/>
    <b v="0"/>
    <m/>
    <m/>
    <s v="+"/>
    <x v="56"/>
    <s v="Delete; and Description='INTERNET PAYMENT - THANK YOU';0"/>
    <m/>
  </r>
  <r>
    <x v="4"/>
    <d v="2020-07-01T00:00:00"/>
    <s v="POWERPLUS"/>
    <x v="871"/>
    <n v="200"/>
    <x v="26"/>
    <m/>
    <m/>
    <m/>
    <n v="200"/>
    <b v="0"/>
    <m/>
    <m/>
    <s v="-"/>
    <x v="16"/>
    <s v="Create Rule; and Description Like '%College Savings%';College Savings"/>
    <m/>
  </r>
  <r>
    <x v="4"/>
    <d v="2020-07-01T00:00:00"/>
    <s v="SHARE SAVINGS"/>
    <x v="303"/>
    <n v="-202.61"/>
    <x v="26"/>
    <m/>
    <m/>
    <m/>
    <n v="202.61"/>
    <b v="0"/>
    <m/>
    <m/>
    <s v="+"/>
    <x v="295"/>
    <s v="Create Rule; and Description='Cred Rebate';Inc - Other"/>
    <m/>
  </r>
  <r>
    <x v="4"/>
    <d v="2020-07-01T00:00:00"/>
    <s v="HIGHLANDER"/>
    <x v="872"/>
    <n v="-573.74"/>
    <x v="26"/>
    <m/>
    <m/>
    <m/>
    <n v="573.74"/>
    <b v="0"/>
    <m/>
    <m/>
    <s v="+"/>
    <x v="838"/>
    <m/>
    <m/>
  </r>
  <r>
    <x v="4"/>
    <d v="2020-07-01T00:00:00"/>
    <s v="POWERPLUS"/>
    <x v="157"/>
    <n v="213.68"/>
    <x v="8"/>
    <m/>
    <m/>
    <m/>
    <n v="213.68"/>
    <b v="0"/>
    <m/>
    <m/>
    <s v="-"/>
    <x v="156"/>
    <s v="Create Rule; and Description Like '%PayPal%';Shopping"/>
    <m/>
  </r>
  <r>
    <x v="4"/>
    <d v="2020-07-01T00:00:00"/>
    <s v="POWERPLUS"/>
    <x v="873"/>
    <n v="618.65"/>
    <x v="26"/>
    <m/>
    <m/>
    <m/>
    <n v="618.65"/>
    <b v="0"/>
    <m/>
    <m/>
    <s v="-"/>
    <x v="839"/>
    <s v="Create Rule; and Description Like '%To Loan 02%';Car Loan"/>
    <m/>
  </r>
  <r>
    <x v="4"/>
    <d v="2020-07-02T00:00:00"/>
    <s v="POWERPLUS"/>
    <x v="874"/>
    <n v="222.03"/>
    <x v="26"/>
    <m/>
    <m/>
    <m/>
    <n v="222.03"/>
    <b v="0"/>
    <m/>
    <m/>
    <s v="-"/>
    <x v="840"/>
    <s v="Delete; and Description Like '%DISCOVER TYPE EPAYMENT%';0"/>
    <m/>
  </r>
  <r>
    <x v="4"/>
    <d v="2020-07-02T00:00:00"/>
    <s v="Cash Rewards Visa Signature"/>
    <x v="0"/>
    <n v="22.52"/>
    <x v="0"/>
    <m/>
    <m/>
    <m/>
    <n v="22.52"/>
    <b v="0"/>
    <m/>
    <m/>
    <s v="-"/>
    <x v="0"/>
    <s v="Create Rule; and Description='Amazon';Amazon"/>
    <m/>
  </r>
  <r>
    <x v="4"/>
    <d v="2020-07-02T00:00:00"/>
    <s v="Cash Rewards Visa Signature"/>
    <x v="0"/>
    <n v="224.41"/>
    <x v="0"/>
    <m/>
    <m/>
    <m/>
    <n v="224.41"/>
    <b v="0"/>
    <m/>
    <m/>
    <s v="-"/>
    <x v="0"/>
    <s v="Create Rule; and Description='Amazon';Amazon"/>
    <m/>
  </r>
  <r>
    <x v="4"/>
    <d v="2020-07-02T00:00:00"/>
    <s v="Cash Rewards Visa Signature"/>
    <x v="598"/>
    <n v="4.28"/>
    <x v="10"/>
    <m/>
    <m/>
    <m/>
    <n v="4.28"/>
    <b v="0"/>
    <m/>
    <m/>
    <s v="-"/>
    <x v="579"/>
    <s v="Create Rule; and Description='Amazon Music';Entertainment"/>
    <m/>
  </r>
  <r>
    <x v="4"/>
    <d v="2020-07-02T00:00:00"/>
    <s v="Cash Rewards Visa Signature"/>
    <x v="255"/>
    <n v="343.5"/>
    <x v="5"/>
    <m/>
    <m/>
    <m/>
    <n v="343.5"/>
    <b v="0"/>
    <m/>
    <m/>
    <s v="-"/>
    <x v="253"/>
    <s v="Create Rule; and Description='Costco';Groceries"/>
    <m/>
  </r>
  <r>
    <x v="4"/>
    <d v="2020-07-02T00:00:00"/>
    <s v="Cash Rewards Visa Signature"/>
    <x v="875"/>
    <n v="108.56"/>
    <x v="26"/>
    <m/>
    <m/>
    <m/>
    <n v="108.56"/>
    <b v="0"/>
    <m/>
    <m/>
    <s v="-"/>
    <x v="841"/>
    <s v="Create Rule; and Description Like '%LTFLIFE TIME MO DUES%';Gym"/>
    <m/>
  </r>
  <r>
    <x v="4"/>
    <d v="2020-07-02T00:00:00"/>
    <s v="Cash Rewards Visa Signature"/>
    <x v="55"/>
    <n v="24.9"/>
    <x v="5"/>
    <m/>
    <m/>
    <m/>
    <n v="24.9"/>
    <b v="0"/>
    <m/>
    <m/>
    <s v="-"/>
    <x v="55"/>
    <s v="Create Rule; and Description='Walgreens';Shopping"/>
    <m/>
  </r>
  <r>
    <x v="4"/>
    <d v="2020-07-03T00:00:00"/>
    <s v="Cash Rewards Visa Signature"/>
    <x v="60"/>
    <n v="-554.25"/>
    <x v="26"/>
    <m/>
    <m/>
    <m/>
    <n v="554.25"/>
    <b v="0"/>
    <m/>
    <m/>
    <s v="+"/>
    <x v="60"/>
    <s v="Create Rule; and Description='Home Depot';House Maintenance"/>
    <m/>
  </r>
  <r>
    <x v="4"/>
    <d v="2020-07-03T00:00:00"/>
    <s v="Cash Rewards Visa Signature"/>
    <x v="876"/>
    <n v="14.5"/>
    <x v="26"/>
    <m/>
    <m/>
    <m/>
    <n v="14.5"/>
    <b v="0"/>
    <m/>
    <m/>
    <s v="-"/>
    <x v="842"/>
    <s v="Manual"/>
    <m/>
  </r>
  <r>
    <x v="4"/>
    <d v="2020-07-03T00:00:00"/>
    <s v="POWERPLUS"/>
    <x v="877"/>
    <n v="-98"/>
    <x v="26"/>
    <m/>
    <m/>
    <m/>
    <n v="98"/>
    <b v="0"/>
    <m/>
    <m/>
    <s v="+"/>
    <x v="843"/>
    <s v="Manual"/>
    <m/>
  </r>
  <r>
    <x v="4"/>
    <d v="2020-07-03T00:00:00"/>
    <s v="POWERPLUS"/>
    <x v="29"/>
    <n v="16.2"/>
    <x v="8"/>
    <m/>
    <m/>
    <m/>
    <n v="16.2"/>
    <b v="0"/>
    <m/>
    <m/>
    <s v="-"/>
    <x v="29"/>
    <s v="Manual"/>
    <m/>
  </r>
  <r>
    <x v="4"/>
    <d v="2020-07-03T00:00:00"/>
    <s v="POWERPLUS"/>
    <x v="29"/>
    <n v="215"/>
    <x v="8"/>
    <m/>
    <m/>
    <m/>
    <n v="215"/>
    <b v="0"/>
    <m/>
    <m/>
    <s v="-"/>
    <x v="29"/>
    <s v="Manual"/>
    <m/>
  </r>
  <r>
    <x v="4"/>
    <d v="2020-07-03T00:00:00"/>
    <s v="Investor Checking"/>
    <x v="361"/>
    <n v="-139.46"/>
    <x v="26"/>
    <m/>
    <m/>
    <m/>
    <n v="139.46"/>
    <b v="0"/>
    <m/>
    <m/>
    <s v="+"/>
    <x v="352"/>
    <s v="Manual"/>
    <m/>
  </r>
  <r>
    <x v="4"/>
    <d v="2020-07-03T00:00:00"/>
    <s v="Cash Rewards Visa Signature"/>
    <x v="878"/>
    <n v="29.22"/>
    <x v="26"/>
    <m/>
    <m/>
    <m/>
    <n v="29.22"/>
    <b v="0"/>
    <m/>
    <m/>
    <s v="-"/>
    <x v="844"/>
    <s v="Manual"/>
    <m/>
  </r>
  <r>
    <x v="4"/>
    <d v="2020-07-05T00:00:00"/>
    <s v="Cash Rewards Visa Signature"/>
    <x v="0"/>
    <n v="10.18"/>
    <x v="0"/>
    <m/>
    <m/>
    <m/>
    <n v="10.18"/>
    <b v="0"/>
    <m/>
    <m/>
    <s v="-"/>
    <x v="0"/>
    <s v="Create Rule; and Description='Amazon';Amazon"/>
    <m/>
  </r>
  <r>
    <x v="4"/>
    <d v="2020-07-05T00:00:00"/>
    <s v="Cash Rewards Visa Signature"/>
    <x v="0"/>
    <n v="43.96"/>
    <x v="0"/>
    <m/>
    <m/>
    <m/>
    <n v="43.96"/>
    <b v="0"/>
    <m/>
    <m/>
    <s v="-"/>
    <x v="0"/>
    <s v="Create Rule; and Description='Amazon';Amazon"/>
    <m/>
  </r>
  <r>
    <x v="4"/>
    <d v="2020-07-05T00:00:00"/>
    <s v="Cash Rewards Visa Signature"/>
    <x v="6"/>
    <n v="42.74"/>
    <x v="5"/>
    <m/>
    <m/>
    <m/>
    <n v="42.74"/>
    <b v="0"/>
    <m/>
    <m/>
    <s v="-"/>
    <x v="6"/>
    <s v="Create Rule; and Description Like '%Cub Foods%';Groceries"/>
    <m/>
  </r>
  <r>
    <x v="4"/>
    <d v="2020-07-05T00:00:00"/>
    <s v="Cash Rewards Visa Signature"/>
    <x v="81"/>
    <n v="32.840000000000003"/>
    <x v="26"/>
    <m/>
    <m/>
    <m/>
    <n v="32.840000000000003"/>
    <b v="0"/>
    <m/>
    <m/>
    <s v="-"/>
    <x v="81"/>
    <s v="Create Rule; and Description='Holiday Stationstore';Transportation"/>
    <m/>
  </r>
  <r>
    <x v="4"/>
    <d v="2020-07-05T00:00:00"/>
    <s v="Cash Rewards Visa Signature"/>
    <x v="879"/>
    <n v="155.11000000000001"/>
    <x v="26"/>
    <m/>
    <m/>
    <m/>
    <n v="155.11000000000001"/>
    <b v="0"/>
    <m/>
    <m/>
    <s v="-"/>
    <x v="845"/>
    <s v="Manual"/>
    <m/>
  </r>
  <r>
    <x v="4"/>
    <d v="2020-07-06T00:00:00"/>
    <s v="30 YR FIXED"/>
    <x v="880"/>
    <n v="-557.53"/>
    <x v="26"/>
    <m/>
    <m/>
    <m/>
    <n v="557.53"/>
    <b v="0"/>
    <m/>
    <m/>
    <s v="+"/>
    <x v="846"/>
    <m/>
    <m/>
  </r>
  <r>
    <x v="18"/>
    <d v="2020-11-02T00:00:00"/>
    <s v="POWERPLUS"/>
    <x v="881"/>
    <n v="2832.55"/>
    <x v="26"/>
    <m/>
    <m/>
    <m/>
    <n v="2832.55"/>
    <b v="0"/>
    <m/>
    <m/>
    <s v="-"/>
    <x v="265"/>
    <s v="Create Rule; and Description Like '%BCU MORTGAGE TYPE LOAN PAYMT ID 9DRAFTING CO BCU MORTGAGE%';Rent"/>
    <m/>
  </r>
  <r>
    <x v="4"/>
    <d v="2020-07-06T00:00:00"/>
    <s v="POWERPLUS"/>
    <x v="157"/>
    <n v="71.2"/>
    <x v="8"/>
    <m/>
    <m/>
    <m/>
    <n v="71.2"/>
    <b v="0"/>
    <m/>
    <m/>
    <s v="-"/>
    <x v="156"/>
    <s v="Create Rule; and Description Like '%PayPal%';Shopping"/>
    <m/>
  </r>
  <r>
    <x v="4"/>
    <d v="2020-07-06T00:00:00"/>
    <s v="Cash Rewards Visa Signature"/>
    <x v="882"/>
    <n v="31.59"/>
    <x v="26"/>
    <m/>
    <m/>
    <m/>
    <n v="31.59"/>
    <b v="0"/>
    <m/>
    <m/>
    <s v="-"/>
    <x v="847"/>
    <s v="Manual"/>
    <m/>
  </r>
  <r>
    <x v="4"/>
    <d v="2020-07-06T00:00:00"/>
    <s v="POWERPLUS"/>
    <x v="29"/>
    <n v="50"/>
    <x v="8"/>
    <m/>
    <m/>
    <m/>
    <n v="50"/>
    <b v="0"/>
    <m/>
    <m/>
    <s v="-"/>
    <x v="29"/>
    <s v="Manual"/>
    <m/>
  </r>
  <r>
    <x v="4"/>
    <d v="2020-07-07T00:00:00"/>
    <s v="Discover More Card"/>
    <x v="0"/>
    <n v="19.32"/>
    <x v="0"/>
    <m/>
    <m/>
    <m/>
    <n v="19.32"/>
    <b v="0"/>
    <m/>
    <m/>
    <s v="-"/>
    <x v="0"/>
    <s v="Create Rule; and Description='Amazon';Amazon"/>
    <m/>
  </r>
  <r>
    <x v="4"/>
    <d v="2020-07-07T00:00:00"/>
    <s v="Discover"/>
    <x v="0"/>
    <n v="19.32"/>
    <x v="0"/>
    <m/>
    <m/>
    <m/>
    <n v="19.32"/>
    <b v="0"/>
    <m/>
    <m/>
    <s v="-"/>
    <x v="0"/>
    <s v="Create Rule; and Description='Amazon';Amazon"/>
    <m/>
  </r>
  <r>
    <x v="4"/>
    <d v="2020-07-07T00:00:00"/>
    <s v="POWERPLUS"/>
    <x v="883"/>
    <n v="7.84"/>
    <x v="26"/>
    <m/>
    <m/>
    <m/>
    <n v="7.84"/>
    <b v="0"/>
    <m/>
    <m/>
    <s v="-"/>
    <x v="848"/>
    <s v="Create Rule; and Description Like '%Banana Visa%';Shopping"/>
    <m/>
  </r>
  <r>
    <x v="4"/>
    <d v="2020-07-07T00:00:00"/>
    <s v="POWERPLUS"/>
    <x v="884"/>
    <n v="415.65"/>
    <x v="26"/>
    <m/>
    <m/>
    <m/>
    <n v="415.65"/>
    <b v="0"/>
    <m/>
    <m/>
    <s v="-"/>
    <x v="849"/>
    <s v="Manual"/>
    <m/>
  </r>
  <r>
    <x v="4"/>
    <d v="2020-07-07T00:00:00"/>
    <s v="Cash Rewards Visa Signature"/>
    <x v="885"/>
    <n v="88.44"/>
    <x v="26"/>
    <m/>
    <m/>
    <m/>
    <n v="88.44"/>
    <b v="0"/>
    <m/>
    <m/>
    <s v="-"/>
    <x v="850"/>
    <s v="Manual"/>
    <m/>
  </r>
  <r>
    <x v="4"/>
    <d v="2020-07-07T00:00:00"/>
    <s v="Cash Rewards Visa Signature"/>
    <x v="487"/>
    <n v="238"/>
    <x v="8"/>
    <m/>
    <m/>
    <m/>
    <n v="238"/>
    <b v="0"/>
    <m/>
    <m/>
    <s v="-"/>
    <x v="470"/>
    <s v="Create Rule; and Description='Patagonia';Shopping"/>
    <m/>
  </r>
  <r>
    <x v="4"/>
    <d v="2020-07-07T00:00:00"/>
    <s v="POWERPLUS"/>
    <x v="157"/>
    <n v="7.43"/>
    <x v="8"/>
    <m/>
    <m/>
    <m/>
    <n v="7.43"/>
    <b v="0"/>
    <m/>
    <m/>
    <s v="-"/>
    <x v="156"/>
    <s v="Create Rule; and Description Like '%PayPal%';Shopping"/>
    <m/>
  </r>
  <r>
    <x v="4"/>
    <d v="2020-07-07T00:00:00"/>
    <s v="Cash Rewards Visa Signature"/>
    <x v="886"/>
    <n v="51.49"/>
    <x v="26"/>
    <m/>
    <m/>
    <m/>
    <n v="51.49"/>
    <b v="0"/>
    <m/>
    <m/>
    <s v="-"/>
    <x v="851"/>
    <s v="Manual"/>
    <m/>
  </r>
  <r>
    <x v="4"/>
    <d v="2020-07-07T00:00:00"/>
    <s v="Cash Rewards Visa Signature"/>
    <x v="34"/>
    <n v="66.739999999999995"/>
    <x v="12"/>
    <m/>
    <m/>
    <m/>
    <n v="66.739999999999995"/>
    <b v="0"/>
    <m/>
    <m/>
    <s v="-"/>
    <x v="34"/>
    <s v="Create Rule; and Description='Target';Target"/>
    <m/>
  </r>
  <r>
    <x v="4"/>
    <d v="2020-07-07T00:00:00"/>
    <s v="Joint Tenant"/>
    <x v="141"/>
    <n v="-3.07"/>
    <x v="26"/>
    <m/>
    <m/>
    <m/>
    <n v="3.07"/>
    <b v="0"/>
    <m/>
    <m/>
    <s v="+"/>
    <x v="140"/>
    <s v="Create Rule; and Description='VANGUARD INTRMDIAT TRM TRSRY ETF';Dividend"/>
    <m/>
  </r>
  <r>
    <x v="4"/>
    <d v="2020-07-07T00:00:00"/>
    <s v="POWERPLUS"/>
    <x v="29"/>
    <n v="60"/>
    <x v="8"/>
    <m/>
    <m/>
    <m/>
    <n v="60"/>
    <b v="0"/>
    <m/>
    <m/>
    <s v="-"/>
    <x v="29"/>
    <s v="Manual"/>
    <m/>
  </r>
  <r>
    <x v="4"/>
    <d v="2020-07-07T00:00:00"/>
    <s v="POWERPLUS"/>
    <x v="30"/>
    <n v="154.13999999999999"/>
    <x v="11"/>
    <m/>
    <m/>
    <m/>
    <n v="154.13999999999999"/>
    <b v="0"/>
    <m/>
    <m/>
    <s v="-"/>
    <x v="30"/>
    <s v="Create Rule; and Description='Xcel Energy';Utilities"/>
    <m/>
  </r>
  <r>
    <x v="4"/>
    <d v="2020-07-08T00:00:00"/>
    <s v="POWERPLUS"/>
    <x v="887"/>
    <n v="-1993.06"/>
    <x v="26"/>
    <m/>
    <m/>
    <m/>
    <n v="1993.06"/>
    <b v="0"/>
    <m/>
    <m/>
    <s v="+"/>
    <x v="852"/>
    <s v="Create Rule; and Description Like '%CARGILL COCOA TYPE DIR DEP ID%';Inc - Britney"/>
    <m/>
  </r>
  <r>
    <x v="4"/>
    <d v="2020-07-08T00:00:00"/>
    <s v="Cash Rewards Visa Signature"/>
    <x v="62"/>
    <n v="180.74"/>
    <x v="26"/>
    <m/>
    <m/>
    <m/>
    <n v="180.74"/>
    <b v="0"/>
    <m/>
    <m/>
    <s v="-"/>
    <x v="62"/>
    <s v="Manual"/>
    <m/>
  </r>
  <r>
    <x v="4"/>
    <d v="2020-07-08T00:00:00"/>
    <s v="Cash Rewards Visa Signature"/>
    <x v="606"/>
    <n v="31.82"/>
    <x v="26"/>
    <m/>
    <m/>
    <m/>
    <n v="31.82"/>
    <b v="0"/>
    <m/>
    <m/>
    <s v="-"/>
    <x v="586"/>
    <s v="Create Rule; and Description='Shorewood Liquor, LLC';Groceries"/>
    <m/>
  </r>
  <r>
    <x v="4"/>
    <d v="2020-07-08T00:00:00"/>
    <s v="Cash Rewards Visa Signature"/>
    <x v="579"/>
    <n v="30"/>
    <x v="1"/>
    <m/>
    <m/>
    <m/>
    <n v="30"/>
    <b v="0"/>
    <m/>
    <m/>
    <s v="-"/>
    <x v="560"/>
    <s v="Create Rule; and Description='Starbucks';Restaurants"/>
    <m/>
  </r>
  <r>
    <x v="4"/>
    <d v="2020-07-08T00:00:00"/>
    <s v="Joint Tenant"/>
    <x v="141"/>
    <n v="3.07"/>
    <x v="26"/>
    <m/>
    <m/>
    <m/>
    <n v="3.07"/>
    <b v="0"/>
    <m/>
    <m/>
    <s v="-"/>
    <x v="140"/>
    <s v="Create Rule; and Description='VANGUARD INTRMDIAT TRM TRSRY ETF';Dividend"/>
    <m/>
  </r>
  <r>
    <x v="4"/>
    <d v="2020-07-08T00:00:00"/>
    <s v="POWERPLUS"/>
    <x v="29"/>
    <n v="62.44"/>
    <x v="8"/>
    <m/>
    <m/>
    <m/>
    <n v="62.44"/>
    <b v="0"/>
    <m/>
    <m/>
    <s v="-"/>
    <x v="29"/>
    <s v="Manual"/>
    <m/>
  </r>
  <r>
    <x v="4"/>
    <d v="2020-07-09T00:00:00"/>
    <s v="Discover More Card"/>
    <x v="0"/>
    <n v="22.32"/>
    <x v="0"/>
    <m/>
    <m/>
    <m/>
    <n v="22.32"/>
    <b v="0"/>
    <m/>
    <m/>
    <s v="-"/>
    <x v="0"/>
    <s v="Create Rule; and Description='Amazon';Amazon"/>
    <m/>
  </r>
  <r>
    <x v="4"/>
    <d v="2020-07-09T00:00:00"/>
    <s v="Discover More Card"/>
    <x v="0"/>
    <n v="89.39"/>
    <x v="0"/>
    <m/>
    <m/>
    <m/>
    <n v="89.39"/>
    <b v="0"/>
    <m/>
    <m/>
    <s v="-"/>
    <x v="0"/>
    <s v="Create Rule; and Description='Amazon';Amazon"/>
    <m/>
  </r>
  <r>
    <x v="4"/>
    <d v="2020-07-09T00:00:00"/>
    <s v="Discover"/>
    <x v="0"/>
    <n v="22.32"/>
    <x v="0"/>
    <m/>
    <m/>
    <m/>
    <n v="22.32"/>
    <b v="0"/>
    <m/>
    <m/>
    <s v="-"/>
    <x v="0"/>
    <s v="Create Rule; and Description='Amazon';Amazon"/>
    <m/>
  </r>
  <r>
    <x v="4"/>
    <d v="2020-07-09T00:00:00"/>
    <s v="Discover"/>
    <x v="0"/>
    <n v="89.39"/>
    <x v="0"/>
    <m/>
    <m/>
    <m/>
    <n v="89.39"/>
    <b v="0"/>
    <m/>
    <m/>
    <s v="-"/>
    <x v="0"/>
    <s v="Create Rule; and Description='Amazon';Amazon"/>
    <m/>
  </r>
  <r>
    <x v="4"/>
    <d v="2020-07-09T00:00:00"/>
    <s v="Cash Rewards Visa Signature"/>
    <x v="240"/>
    <n v="26.52"/>
    <x v="26"/>
    <m/>
    <m/>
    <m/>
    <n v="26.52"/>
    <b v="0"/>
    <m/>
    <m/>
    <s v="-"/>
    <x v="238"/>
    <s v="Create Rule; and Description='Chipotle';Restaurants"/>
    <m/>
  </r>
  <r>
    <x v="4"/>
    <d v="2020-07-10T00:00:00"/>
    <s v="Joint Tenant"/>
    <x v="185"/>
    <n v="-200"/>
    <x v="26"/>
    <m/>
    <m/>
    <m/>
    <n v="200"/>
    <b v="0"/>
    <m/>
    <m/>
    <s v="+"/>
    <x v="184"/>
    <s v="Create Rule; and Description='CARGILL COCOA &amp;';Roth"/>
    <m/>
  </r>
  <r>
    <x v="4"/>
    <d v="2020-07-10T00:00:00"/>
    <s v="Discover More Card"/>
    <x v="67"/>
    <n v="45"/>
    <x v="11"/>
    <m/>
    <m/>
    <m/>
    <n v="45"/>
    <b v="0"/>
    <m/>
    <m/>
    <s v="-"/>
    <x v="67"/>
    <s v="Create Rule; and Description='CenturyLink';Utilities"/>
    <m/>
  </r>
  <r>
    <x v="4"/>
    <d v="2020-07-10T00:00:00"/>
    <s v="Discover"/>
    <x v="67"/>
    <n v="45"/>
    <x v="11"/>
    <m/>
    <m/>
    <m/>
    <n v="45"/>
    <b v="0"/>
    <m/>
    <m/>
    <s v="-"/>
    <x v="67"/>
    <s v="Create Rule; and Description='CenturyLink';Utilities"/>
    <m/>
  </r>
  <r>
    <x v="4"/>
    <d v="2020-07-10T00:00:00"/>
    <s v="POWERPLUS"/>
    <x v="157"/>
    <n v="2.75"/>
    <x v="8"/>
    <m/>
    <m/>
    <m/>
    <n v="2.75"/>
    <b v="0"/>
    <m/>
    <m/>
    <s v="-"/>
    <x v="156"/>
    <s v="Create Rule; and Description Like '%PayPal%';Shopping"/>
    <m/>
  </r>
  <r>
    <x v="4"/>
    <d v="2020-07-10T00:00:00"/>
    <s v="Contributory"/>
    <x v="51"/>
    <n v="-231"/>
    <x v="26"/>
    <m/>
    <m/>
    <m/>
    <n v="231"/>
    <b v="0"/>
    <m/>
    <m/>
    <s v="+"/>
    <x v="51"/>
    <s v="Create Rule; and Description='Tfr JPMORGAN CHASE BAN, CARGILL COCOA &amp;';Roth"/>
    <m/>
  </r>
  <r>
    <x v="4"/>
    <d v="2020-07-12T00:00:00"/>
    <s v="Discover More Card"/>
    <x v="0"/>
    <n v="21.42"/>
    <x v="0"/>
    <m/>
    <m/>
    <m/>
    <n v="21.42"/>
    <b v="0"/>
    <m/>
    <m/>
    <s v="-"/>
    <x v="0"/>
    <s v="Create Rule; and Description='Amazon';Amazon"/>
    <m/>
  </r>
  <r>
    <x v="4"/>
    <d v="2020-07-12T00:00:00"/>
    <s v="Discover"/>
    <x v="0"/>
    <n v="21.42"/>
    <x v="0"/>
    <m/>
    <m/>
    <m/>
    <n v="21.42"/>
    <b v="0"/>
    <m/>
    <m/>
    <s v="-"/>
    <x v="0"/>
    <s v="Create Rule; and Description='Amazon';Amazon"/>
    <m/>
  </r>
  <r>
    <x v="4"/>
    <d v="2020-07-12T00:00:00"/>
    <s v="Cash Rewards Visa Signature"/>
    <x v="70"/>
    <n v="26.45"/>
    <x v="26"/>
    <m/>
    <m/>
    <m/>
    <n v="26.45"/>
    <b v="0"/>
    <m/>
    <m/>
    <s v="-"/>
    <x v="70"/>
    <s v="Create Rule; and Description like '%Byerly%';Groceries"/>
    <m/>
  </r>
  <r>
    <x v="4"/>
    <d v="2020-07-12T00:00:00"/>
    <s v="Cash Rewards Visa Signature"/>
    <x v="888"/>
    <n v="8"/>
    <x v="26"/>
    <m/>
    <m/>
    <m/>
    <n v="8"/>
    <b v="0"/>
    <m/>
    <m/>
    <s v="-"/>
    <x v="853"/>
    <s v="Manual"/>
    <m/>
  </r>
  <r>
    <x v="4"/>
    <d v="2020-07-12T00:00:00"/>
    <s v="Cash Rewards Visa Signature"/>
    <x v="889"/>
    <n v="7.55"/>
    <x v="26"/>
    <m/>
    <m/>
    <m/>
    <n v="7.55"/>
    <b v="0"/>
    <m/>
    <m/>
    <s v="-"/>
    <x v="854"/>
    <s v="Manual"/>
    <m/>
  </r>
  <r>
    <x v="4"/>
    <d v="2020-07-12T00:00:00"/>
    <s v="Cash Rewards Visa Signature"/>
    <x v="579"/>
    <n v="25"/>
    <x v="1"/>
    <m/>
    <m/>
    <m/>
    <n v="25"/>
    <b v="0"/>
    <m/>
    <m/>
    <s v="-"/>
    <x v="560"/>
    <s v="Create Rule; and Description='Starbucks';Restaurants"/>
    <m/>
  </r>
  <r>
    <x v="4"/>
    <d v="2020-07-12T00:00:00"/>
    <s v="Cash Rewards Visa Signature"/>
    <x v="55"/>
    <n v="5.36"/>
    <x v="5"/>
    <m/>
    <m/>
    <m/>
    <n v="5.36"/>
    <b v="0"/>
    <m/>
    <m/>
    <s v="-"/>
    <x v="55"/>
    <s v="Create Rule; and Description='Walgreens';Shopping"/>
    <m/>
  </r>
  <r>
    <x v="4"/>
    <d v="2020-07-13T00:00:00"/>
    <s v="Cash Rewards Visa Signature"/>
    <x v="890"/>
    <n v="15"/>
    <x v="1"/>
    <m/>
    <m/>
    <m/>
    <n v="15"/>
    <b v="0"/>
    <m/>
    <m/>
    <s v="-"/>
    <x v="855"/>
    <s v="Manual"/>
    <m/>
  </r>
  <r>
    <x v="4"/>
    <d v="2020-07-13T00:00:00"/>
    <s v="Cash Rewards Visa Signature"/>
    <x v="60"/>
    <n v="111.35"/>
    <x v="26"/>
    <m/>
    <m/>
    <m/>
    <n v="111.35"/>
    <b v="0"/>
    <m/>
    <m/>
    <s v="-"/>
    <x v="60"/>
    <s v="Create Rule; and Description='Home Depot';House Maintenance"/>
    <m/>
  </r>
  <r>
    <x v="4"/>
    <d v="2020-07-13T00:00:00"/>
    <s v="Discover"/>
    <x v="34"/>
    <n v="26.83"/>
    <x v="12"/>
    <m/>
    <m/>
    <m/>
    <n v="26.83"/>
    <b v="0"/>
    <m/>
    <m/>
    <s v="-"/>
    <x v="34"/>
    <s v="Create Rule; and Description='Target';Target"/>
    <m/>
  </r>
  <r>
    <x v="4"/>
    <d v="2020-07-13T00:00:00"/>
    <s v="POWERPLUS"/>
    <x v="29"/>
    <n v="50"/>
    <x v="8"/>
    <m/>
    <m/>
    <m/>
    <n v="50"/>
    <b v="0"/>
    <m/>
    <m/>
    <s v="-"/>
    <x v="29"/>
    <s v="Manual"/>
    <m/>
  </r>
  <r>
    <x v="4"/>
    <d v="2020-07-14T00:00:00"/>
    <s v="POWERPLUS"/>
    <x v="48"/>
    <n v="102.94"/>
    <x v="16"/>
    <m/>
    <m/>
    <m/>
    <n v="102.94"/>
    <b v="0"/>
    <m/>
    <m/>
    <s v="-"/>
    <x v="48"/>
    <s v="Create Rule; and Description='American Family Insurance';Insurance"/>
    <m/>
  </r>
  <r>
    <x v="4"/>
    <d v="2020-07-14T00:00:00"/>
    <s v="Cash Rewards Visa Signature"/>
    <x v="6"/>
    <n v="0.46"/>
    <x v="5"/>
    <m/>
    <m/>
    <m/>
    <n v="0.46"/>
    <b v="0"/>
    <m/>
    <m/>
    <s v="-"/>
    <x v="6"/>
    <s v="Create Rule; and Description Like '%Cub Foods%';Groceries"/>
    <m/>
  </r>
  <r>
    <x v="4"/>
    <d v="2020-07-14T00:00:00"/>
    <s v="POWERPLUS"/>
    <x v="891"/>
    <n v="-50"/>
    <x v="26"/>
    <m/>
    <m/>
    <m/>
    <n v="50"/>
    <b v="0"/>
    <m/>
    <m/>
    <s v="+"/>
    <x v="856"/>
    <s v="Manual"/>
    <m/>
  </r>
  <r>
    <x v="4"/>
    <d v="2020-07-14T00:00:00"/>
    <s v="POWERPLUS"/>
    <x v="892"/>
    <n v="-2688.28"/>
    <x v="26"/>
    <m/>
    <m/>
    <m/>
    <n v="2688.28"/>
    <b v="0"/>
    <m/>
    <m/>
    <s v="+"/>
    <x v="857"/>
    <s v="Create Rule; and Description Like '%KAUFMAN HALL TYPE DIRECT DEP ID%';Inc - Jeff"/>
    <m/>
  </r>
  <r>
    <x v="4"/>
    <d v="2020-07-14T00:00:00"/>
    <s v="POWERPLUS"/>
    <x v="893"/>
    <n v="211.22"/>
    <x v="26"/>
    <m/>
    <m/>
    <m/>
    <n v="211.22"/>
    <b v="0"/>
    <m/>
    <m/>
    <s v="-"/>
    <x v="858"/>
    <s v="Manual"/>
    <m/>
  </r>
  <r>
    <x v="4"/>
    <d v="2020-07-14T00:00:00"/>
    <s v="POWERPLUS"/>
    <x v="894"/>
    <n v="100"/>
    <x v="26"/>
    <m/>
    <m/>
    <m/>
    <n v="100"/>
    <b v="0"/>
    <m/>
    <m/>
    <s v="-"/>
    <x v="859"/>
    <s v="Manual"/>
    <m/>
  </r>
  <r>
    <x v="4"/>
    <d v="2020-07-14T00:00:00"/>
    <s v="Cash Rewards Visa Signature"/>
    <x v="2"/>
    <n v="37.049999999999997"/>
    <x v="2"/>
    <m/>
    <m/>
    <m/>
    <n v="37.049999999999997"/>
    <b v="0"/>
    <m/>
    <m/>
    <s v="-"/>
    <x v="2"/>
    <s v="Create Rule; and Description='Speedway';Transportation"/>
    <m/>
  </r>
  <r>
    <x v="4"/>
    <d v="2020-07-14T00:00:00"/>
    <s v="Cash Rewards Visa Signature"/>
    <x v="895"/>
    <n v="94.81"/>
    <x v="26"/>
    <m/>
    <m/>
    <m/>
    <n v="94.81"/>
    <b v="0"/>
    <m/>
    <m/>
    <s v="-"/>
    <x v="860"/>
    <s v="Manual"/>
    <m/>
  </r>
  <r>
    <x v="4"/>
    <d v="2020-07-15T00:00:00"/>
    <s v="Cash Rewards Visa Signature"/>
    <x v="896"/>
    <n v="-1421.93"/>
    <x v="26"/>
    <m/>
    <m/>
    <m/>
    <n v="1421.93"/>
    <b v="0"/>
    <m/>
    <m/>
    <s v="+"/>
    <x v="861"/>
    <s v="Delete; and Description Like '%PAYMENT THANK YOU%';0"/>
    <m/>
  </r>
  <r>
    <x v="4"/>
    <d v="2020-07-15T00:00:00"/>
    <s v="POWERPLUS"/>
    <x v="897"/>
    <n v="1421.93"/>
    <x v="26"/>
    <m/>
    <m/>
    <m/>
    <n v="1421.93"/>
    <b v="0"/>
    <m/>
    <m/>
    <s v="-"/>
    <x v="862"/>
    <s v="Delete; and Description Like '%Withdrawal Home payment to card%';0"/>
    <m/>
  </r>
  <r>
    <x v="4"/>
    <d v="2020-07-15T00:00:00"/>
    <s v="POWERPLUS"/>
    <x v="898"/>
    <n v="80"/>
    <x v="26"/>
    <m/>
    <m/>
    <m/>
    <n v="80"/>
    <b v="0"/>
    <m/>
    <m/>
    <s v="-"/>
    <x v="863"/>
    <s v="Manual"/>
    <m/>
  </r>
  <r>
    <x v="4"/>
    <d v="2020-07-15T00:00:00"/>
    <s v="Cash Rewards Visa Signature"/>
    <x v="0"/>
    <n v="5.38"/>
    <x v="0"/>
    <m/>
    <m/>
    <m/>
    <n v="5.38"/>
    <b v="0"/>
    <m/>
    <m/>
    <s v="-"/>
    <x v="0"/>
    <s v="Create Rule; and Description='Amazon';Amazon"/>
    <m/>
  </r>
  <r>
    <x v="4"/>
    <d v="2020-07-15T00:00:00"/>
    <s v="POWERPLUS"/>
    <x v="446"/>
    <n v="-7.45"/>
    <x v="26"/>
    <m/>
    <m/>
    <m/>
    <n v="7.45"/>
    <b v="0"/>
    <m/>
    <m/>
    <s v="+"/>
    <x v="430"/>
    <s v="Manual"/>
    <m/>
  </r>
  <r>
    <x v="4"/>
    <d v="2020-07-15T00:00:00"/>
    <s v="Cash Rewards Visa Signature"/>
    <x v="68"/>
    <n v="18"/>
    <x v="26"/>
    <m/>
    <m/>
    <m/>
    <n v="18"/>
    <b v="0"/>
    <m/>
    <m/>
    <s v="-"/>
    <x v="68"/>
    <s v="Create Rule; and Description='Harvard Business';Entertainment"/>
    <m/>
  </r>
  <r>
    <x v="4"/>
    <d v="2020-07-15T00:00:00"/>
    <s v="Joint Tenant"/>
    <x v="167"/>
    <n v="-250"/>
    <x v="26"/>
    <m/>
    <m/>
    <m/>
    <n v="250"/>
    <b v="0"/>
    <m/>
    <m/>
    <s v="+"/>
    <x v="166"/>
    <s v="Create Rule; and Description='KAUFMAN HALL';Savings"/>
    <m/>
  </r>
  <r>
    <x v="4"/>
    <d v="2020-07-15T00:00:00"/>
    <s v="Jeff IRA"/>
    <x v="52"/>
    <n v="-250"/>
    <x v="26"/>
    <m/>
    <m/>
    <m/>
    <n v="250"/>
    <b v="0"/>
    <m/>
    <m/>
    <s v="+"/>
    <x v="52"/>
    <s v="Create Rule; and Description='Tfr JPMORGAN CHASE BAN, KAUFMAN HALL';Roth"/>
    <m/>
  </r>
  <r>
    <x v="4"/>
    <d v="2020-07-16T00:00:00"/>
    <s v="Contributory"/>
    <x v="899"/>
    <n v="-0.06"/>
    <x v="26"/>
    <m/>
    <m/>
    <m/>
    <n v="0.06"/>
    <b v="0"/>
    <m/>
    <m/>
    <s v="+"/>
    <x v="864"/>
    <m/>
    <m/>
  </r>
  <r>
    <x v="4"/>
    <d v="2020-07-16T00:00:00"/>
    <s v="Jeff IRA"/>
    <x v="899"/>
    <n v="-0.04"/>
    <x v="26"/>
    <m/>
    <m/>
    <m/>
    <n v="0.04"/>
    <b v="0"/>
    <m/>
    <m/>
    <s v="+"/>
    <x v="864"/>
    <m/>
    <m/>
  </r>
  <r>
    <x v="4"/>
    <d v="2020-07-16T00:00:00"/>
    <s v="CARGILL PARTNERSHIP PLAN"/>
    <x v="566"/>
    <n v="-1426.31"/>
    <x v="26"/>
    <m/>
    <m/>
    <m/>
    <n v="1426.31"/>
    <b v="0"/>
    <m/>
    <m/>
    <s v="+"/>
    <x v="547"/>
    <s v="Create Rule; and Description='Cargill ESOP Stock Fund - Plan Contribution';Delete"/>
    <m/>
  </r>
  <r>
    <x v="4"/>
    <d v="2020-07-16T00:00:00"/>
    <s v="Cash Rewards Visa Signature"/>
    <x v="6"/>
    <n v="39.46"/>
    <x v="5"/>
    <m/>
    <m/>
    <m/>
    <n v="39.46"/>
    <b v="0"/>
    <m/>
    <m/>
    <s v="-"/>
    <x v="6"/>
    <s v="Create Rule; and Description Like '%Cub Foods%';Groceries"/>
    <m/>
  </r>
  <r>
    <x v="4"/>
    <d v="2020-07-16T00:00:00"/>
    <s v="Cash Rewards Visa Signature"/>
    <x v="79"/>
    <n v="27"/>
    <x v="28"/>
    <m/>
    <m/>
    <m/>
    <n v="27"/>
    <b v="0"/>
    <m/>
    <m/>
    <s v="-"/>
    <x v="79"/>
    <s v="Create Rule; and Description='Elite Nails';Entertainment"/>
    <m/>
  </r>
  <r>
    <x v="4"/>
    <d v="2020-07-16T00:00:00"/>
    <s v="Cash Rewards Visa Signature"/>
    <x v="900"/>
    <n v="20.89"/>
    <x v="26"/>
    <m/>
    <m/>
    <m/>
    <n v="20.89"/>
    <b v="0"/>
    <m/>
    <m/>
    <s v="-"/>
    <x v="865"/>
    <s v="Manual"/>
    <m/>
  </r>
  <r>
    <x v="4"/>
    <d v="2020-07-16T00:00:00"/>
    <s v="Cash Rewards Visa Signature"/>
    <x v="901"/>
    <n v="4.29"/>
    <x v="26"/>
    <m/>
    <m/>
    <m/>
    <n v="4.29"/>
    <b v="0"/>
    <m/>
    <m/>
    <s v="-"/>
    <x v="866"/>
    <s v="Manual"/>
    <m/>
  </r>
  <r>
    <x v="4"/>
    <d v="2020-07-16T00:00:00"/>
    <s v="Cash Rewards Visa Signature"/>
    <x v="382"/>
    <n v="14.33"/>
    <x v="28"/>
    <m/>
    <m/>
    <m/>
    <n v="14.33"/>
    <b v="0"/>
    <m/>
    <m/>
    <s v="-"/>
    <x v="369"/>
    <s v="Manual"/>
    <m/>
  </r>
  <r>
    <x v="4"/>
    <d v="2020-07-17T00:00:00"/>
    <s v="Cash Rewards Visa Signature"/>
    <x v="59"/>
    <n v="4.96"/>
    <x v="1"/>
    <m/>
    <m/>
    <m/>
    <n v="4.96"/>
    <b v="0"/>
    <m/>
    <m/>
    <s v="-"/>
    <x v="59"/>
    <s v="Create Rule; and Description Like '%Caribou Coffee%';Restaurants"/>
    <m/>
  </r>
  <r>
    <x v="4"/>
    <d v="2020-07-17T00:00:00"/>
    <s v="Cash Rewards Visa Signature"/>
    <x v="902"/>
    <n v="75.930000000000007"/>
    <x v="26"/>
    <m/>
    <m/>
    <m/>
    <n v="75.930000000000007"/>
    <b v="0"/>
    <m/>
    <m/>
    <s v="-"/>
    <x v="867"/>
    <s v="Manual"/>
    <m/>
  </r>
  <r>
    <x v="4"/>
    <d v="2020-07-17T00:00:00"/>
    <s v="Cash Rewards Visa Signature"/>
    <x v="903"/>
    <n v="12.31"/>
    <x v="26"/>
    <m/>
    <m/>
    <m/>
    <n v="12.31"/>
    <b v="0"/>
    <m/>
    <m/>
    <s v="-"/>
    <x v="868"/>
    <s v="Manual"/>
    <m/>
  </r>
  <r>
    <x v="4"/>
    <d v="2020-07-17T00:00:00"/>
    <s v="Cash Rewards Visa Signature"/>
    <x v="904"/>
    <n v="11.13"/>
    <x v="26"/>
    <m/>
    <m/>
    <m/>
    <n v="11.13"/>
    <b v="0"/>
    <m/>
    <m/>
    <s v="-"/>
    <x v="869"/>
    <s v="Manual"/>
    <m/>
  </r>
  <r>
    <x v="4"/>
    <d v="2020-07-17T00:00:00"/>
    <s v="Cash Rewards Visa Signature"/>
    <x v="905"/>
    <n v="38.409999999999997"/>
    <x v="26"/>
    <m/>
    <m/>
    <m/>
    <n v="38.409999999999997"/>
    <b v="0"/>
    <m/>
    <m/>
    <s v="-"/>
    <x v="870"/>
    <s v="Manual"/>
    <m/>
  </r>
  <r>
    <x v="4"/>
    <d v="2020-07-19T00:00:00"/>
    <s v="Cash Rewards Visa Signature"/>
    <x v="70"/>
    <n v="40.65"/>
    <x v="26"/>
    <m/>
    <m/>
    <m/>
    <n v="40.65"/>
    <b v="0"/>
    <m/>
    <m/>
    <s v="-"/>
    <x v="70"/>
    <s v="Create Rule; and Description like '%Byerly%';Groceries"/>
    <m/>
  </r>
  <r>
    <x v="4"/>
    <d v="2020-07-19T00:00:00"/>
    <s v="Cash Rewards Visa Signature"/>
    <x v="906"/>
    <n v="24.3"/>
    <x v="26"/>
    <m/>
    <m/>
    <m/>
    <n v="24.3"/>
    <b v="0"/>
    <m/>
    <m/>
    <s v="-"/>
    <x v="871"/>
    <s v="Manual"/>
    <m/>
  </r>
  <r>
    <x v="4"/>
    <d v="2020-07-20T00:00:00"/>
    <s v="Cash Rewards Visa Signature"/>
    <x v="0"/>
    <n v="9.81"/>
    <x v="0"/>
    <m/>
    <m/>
    <m/>
    <n v="9.81"/>
    <b v="0"/>
    <m/>
    <m/>
    <s v="-"/>
    <x v="0"/>
    <s v="Create Rule; and Description='Amazon';Amazon"/>
    <m/>
  </r>
  <r>
    <x v="4"/>
    <d v="2020-07-20T00:00:00"/>
    <s v="Cash Rewards Visa Signature"/>
    <x v="907"/>
    <n v="37.15"/>
    <x v="26"/>
    <m/>
    <m/>
    <m/>
    <n v="37.15"/>
    <b v="0"/>
    <m/>
    <m/>
    <s v="-"/>
    <x v="872"/>
    <s v="Manual"/>
    <m/>
  </r>
  <r>
    <x v="4"/>
    <d v="2020-07-20T00:00:00"/>
    <s v="POWERPLUS"/>
    <x v="908"/>
    <n v="200"/>
    <x v="26"/>
    <m/>
    <m/>
    <m/>
    <n v="200"/>
    <b v="0"/>
    <m/>
    <m/>
    <s v="-"/>
    <x v="873"/>
    <s v="Create Rule; and Description Like '%MN DIR ACH%';College Savings"/>
    <m/>
  </r>
  <r>
    <x v="4"/>
    <d v="2020-07-20T00:00:00"/>
    <s v="Cash Rewards Visa Signature"/>
    <x v="120"/>
    <n v="24.92"/>
    <x v="26"/>
    <m/>
    <m/>
    <m/>
    <n v="24.92"/>
    <b v="0"/>
    <m/>
    <m/>
    <s v="-"/>
    <x v="120"/>
    <s v="Create Rule; and Description='Sur La Table';Shopping"/>
    <m/>
  </r>
  <r>
    <x v="4"/>
    <d v="2020-07-21T00:00:00"/>
    <s v="POWERPLUS"/>
    <x v="84"/>
    <n v="73.19"/>
    <x v="26"/>
    <m/>
    <m/>
    <m/>
    <n v="73.19"/>
    <b v="0"/>
    <m/>
    <m/>
    <s v="-"/>
    <x v="84"/>
    <s v="Create Rule; and Description='City of Chanhassen';Utilities"/>
    <m/>
  </r>
  <r>
    <x v="4"/>
    <d v="2020-07-21T00:00:00"/>
    <s v="Cash Rewards Visa Signature"/>
    <x v="909"/>
    <n v="59.08"/>
    <x v="26"/>
    <m/>
    <m/>
    <m/>
    <n v="59.08"/>
    <b v="0"/>
    <m/>
    <m/>
    <s v="-"/>
    <x v="874"/>
    <s v="Manual"/>
    <m/>
  </r>
  <r>
    <x v="4"/>
    <d v="2020-07-21T00:00:00"/>
    <s v="Cash Rewards Visa Signature"/>
    <x v="910"/>
    <n v="121"/>
    <x v="26"/>
    <m/>
    <m/>
    <m/>
    <n v="121"/>
    <b v="0"/>
    <m/>
    <m/>
    <s v="-"/>
    <x v="875"/>
    <s v="Manual"/>
    <m/>
  </r>
  <r>
    <x v="4"/>
    <d v="2020-07-22T00:00:00"/>
    <s v="POWERPLUS"/>
    <x v="911"/>
    <n v="-1993.07"/>
    <x v="26"/>
    <m/>
    <m/>
    <m/>
    <n v="1993.07"/>
    <b v="0"/>
    <m/>
    <m/>
    <s v="+"/>
    <x v="876"/>
    <s v="Create Rule; and Description Like '%CARGILL COCOA TYPE DIR DEP ID%';Inc - Britney"/>
    <m/>
  </r>
  <r>
    <x v="4"/>
    <d v="2020-07-22T00:00:00"/>
    <s v="POWERPLUS"/>
    <x v="912"/>
    <n v="391.2"/>
    <x v="26"/>
    <m/>
    <m/>
    <m/>
    <n v="391.2"/>
    <b v="0"/>
    <m/>
    <m/>
    <s v="-"/>
    <x v="877"/>
    <s v="Manual"/>
    <m/>
  </r>
  <r>
    <x v="4"/>
    <d v="2020-07-23T00:00:00"/>
    <s v="Cash Rewards Visa Signature"/>
    <x v="487"/>
    <n v="-119"/>
    <x v="8"/>
    <m/>
    <m/>
    <m/>
    <n v="119"/>
    <b v="0"/>
    <m/>
    <m/>
    <s v="+"/>
    <x v="470"/>
    <s v="Create Rule; and Description='Patagonia';Shopping"/>
    <m/>
  </r>
  <r>
    <x v="4"/>
    <d v="2020-07-23T00:00:00"/>
    <s v="POWERPLUS"/>
    <x v="157"/>
    <n v="9.99"/>
    <x v="8"/>
    <m/>
    <m/>
    <m/>
    <n v="9.99"/>
    <b v="0"/>
    <m/>
    <m/>
    <s v="-"/>
    <x v="156"/>
    <s v="Create Rule; and Description Like '%PayPal%';Shopping"/>
    <m/>
  </r>
  <r>
    <x v="4"/>
    <d v="2020-07-23T00:00:00"/>
    <s v="Cash Rewards Visa Signature"/>
    <x v="579"/>
    <n v="25"/>
    <x v="1"/>
    <m/>
    <m/>
    <m/>
    <n v="25"/>
    <b v="0"/>
    <m/>
    <m/>
    <s v="-"/>
    <x v="560"/>
    <s v="Create Rule; and Description='Starbucks';Restaurants"/>
    <m/>
  </r>
  <r>
    <x v="4"/>
    <d v="2020-07-24T00:00:00"/>
    <s v="Discover More Card"/>
    <x v="93"/>
    <n v="-2.48"/>
    <x v="26"/>
    <m/>
    <m/>
    <m/>
    <n v="2.48"/>
    <b v="0"/>
    <m/>
    <m/>
    <s v="+"/>
    <x v="93"/>
    <s v="Delete; and Description='CASHBACK BONUS REDEMPTION payment/STMT CRDT';0"/>
    <m/>
  </r>
  <r>
    <x v="4"/>
    <d v="2020-07-24T00:00:00"/>
    <s v="Discover"/>
    <x v="93"/>
    <n v="-2.48"/>
    <x v="26"/>
    <m/>
    <m/>
    <m/>
    <n v="2.48"/>
    <b v="0"/>
    <m/>
    <m/>
    <s v="+"/>
    <x v="93"/>
    <s v="Delete; and Description='CASHBACK BONUS REDEMPTION payment/STMT CRDT';0"/>
    <m/>
  </r>
  <r>
    <x v="4"/>
    <d v="2020-07-24T00:00:00"/>
    <s v="Discover More Card"/>
    <x v="56"/>
    <n v="-221.8"/>
    <x v="3"/>
    <m/>
    <m/>
    <m/>
    <n v="221.8"/>
    <b v="0"/>
    <m/>
    <m/>
    <s v="+"/>
    <x v="56"/>
    <s v="Delete; and Description='INTERNET PAYMENT - THANK YOU';0"/>
    <m/>
  </r>
  <r>
    <x v="4"/>
    <d v="2020-07-24T00:00:00"/>
    <s v="Discover"/>
    <x v="56"/>
    <n v="-221.8"/>
    <x v="3"/>
    <m/>
    <m/>
    <m/>
    <n v="221.8"/>
    <b v="0"/>
    <m/>
    <m/>
    <s v="+"/>
    <x v="56"/>
    <s v="Delete; and Description='INTERNET PAYMENT - THANK YOU';0"/>
    <m/>
  </r>
  <r>
    <x v="4"/>
    <d v="2020-07-24T00:00:00"/>
    <s v="Cash Rewards Visa Signature"/>
    <x v="139"/>
    <n v="96.74"/>
    <x v="24"/>
    <m/>
    <m/>
    <m/>
    <n v="96.74"/>
    <b v="0"/>
    <m/>
    <m/>
    <s v="-"/>
    <x v="138"/>
    <s v="Create Rule; and Description='Best Western';Travel"/>
    <m/>
  </r>
  <r>
    <x v="4"/>
    <d v="2020-07-24T00:00:00"/>
    <s v="Joint Tenant"/>
    <x v="185"/>
    <n v="-200"/>
    <x v="26"/>
    <m/>
    <m/>
    <m/>
    <n v="200"/>
    <b v="0"/>
    <m/>
    <m/>
    <s v="+"/>
    <x v="184"/>
    <s v="Create Rule; and Description='CARGILL COCOA &amp;';Roth"/>
    <m/>
  </r>
  <r>
    <x v="4"/>
    <d v="2020-07-24T00:00:00"/>
    <s v="RAINY DAY"/>
    <x v="515"/>
    <n v="-200"/>
    <x v="26"/>
    <m/>
    <m/>
    <m/>
    <n v="200"/>
    <b v="0"/>
    <m/>
    <m/>
    <s v="+"/>
    <x v="496"/>
    <s v="Create Rule; and Description='Share';Delete"/>
    <m/>
  </r>
  <r>
    <x v="4"/>
    <d v="2020-07-24T00:00:00"/>
    <s v="Discover More Card"/>
    <x v="2"/>
    <n v="34.03"/>
    <x v="2"/>
    <m/>
    <m/>
    <m/>
    <n v="34.03"/>
    <b v="0"/>
    <m/>
    <m/>
    <s v="-"/>
    <x v="2"/>
    <s v="Create Rule; and Description='Speedway';Transportation"/>
    <m/>
  </r>
  <r>
    <x v="4"/>
    <d v="2020-07-24T00:00:00"/>
    <s v="Cash Rewards Visa Signature"/>
    <x v="2"/>
    <n v="24.54"/>
    <x v="2"/>
    <m/>
    <m/>
    <m/>
    <n v="24.54"/>
    <b v="0"/>
    <m/>
    <m/>
    <s v="-"/>
    <x v="2"/>
    <s v="Create Rule; and Description='Speedway';Transportation"/>
    <m/>
  </r>
  <r>
    <x v="4"/>
    <d v="2020-07-24T00:00:00"/>
    <s v="Discover"/>
    <x v="2"/>
    <n v="34.03"/>
    <x v="2"/>
    <m/>
    <m/>
    <m/>
    <n v="34.03"/>
    <b v="0"/>
    <m/>
    <m/>
    <s v="-"/>
    <x v="2"/>
    <s v="Create Rule; and Description='Speedway';Transportation"/>
    <m/>
  </r>
  <r>
    <x v="4"/>
    <d v="2020-07-24T00:00:00"/>
    <s v="Contributory"/>
    <x v="51"/>
    <n v="-231"/>
    <x v="26"/>
    <m/>
    <m/>
    <m/>
    <n v="231"/>
    <b v="0"/>
    <m/>
    <m/>
    <s v="+"/>
    <x v="51"/>
    <s v="Create Rule; and Description='Tfr JPMORGAN CHASE BAN, CARGILL COCOA &amp;';Roth"/>
    <m/>
  </r>
  <r>
    <x v="4"/>
    <d v="2020-07-24T00:00:00"/>
    <s v="POWERPLUS"/>
    <x v="913"/>
    <n v="200"/>
    <x v="26"/>
    <m/>
    <m/>
    <m/>
    <n v="200"/>
    <b v="0"/>
    <m/>
    <m/>
    <s v="-"/>
    <x v="878"/>
    <s v="Manual"/>
    <m/>
  </r>
  <r>
    <x v="4"/>
    <d v="2020-07-26T00:00:00"/>
    <s v="Cash Rewards Visa Signature"/>
    <x v="914"/>
    <n v="86.81"/>
    <x v="26"/>
    <m/>
    <m/>
    <m/>
    <n v="86.81"/>
    <b v="0"/>
    <m/>
    <m/>
    <s v="-"/>
    <x v="879"/>
    <s v="Create Rule; and Description Like '%AVOADVOCARE INTL%';Groceries"/>
    <m/>
  </r>
  <r>
    <x v="4"/>
    <d v="2020-07-26T00:00:00"/>
    <s v="Cash Rewards Visa Signature"/>
    <x v="6"/>
    <n v="54.05"/>
    <x v="5"/>
    <m/>
    <m/>
    <m/>
    <n v="54.05"/>
    <b v="0"/>
    <m/>
    <m/>
    <s v="-"/>
    <x v="6"/>
    <s v="Create Rule; and Description Like '%Cub Foods%';Groceries"/>
    <m/>
  </r>
  <r>
    <x v="4"/>
    <d v="2020-07-26T00:00:00"/>
    <s v="Discover More Card"/>
    <x v="99"/>
    <n v="12.99"/>
    <x v="11"/>
    <m/>
    <m/>
    <m/>
    <n v="12.99"/>
    <b v="0"/>
    <m/>
    <m/>
    <s v="-"/>
    <x v="99"/>
    <s v="Create Rule; and Description='Netflix';Utilities"/>
    <m/>
  </r>
  <r>
    <x v="4"/>
    <d v="2020-07-26T00:00:00"/>
    <s v="Discover"/>
    <x v="99"/>
    <n v="12.99"/>
    <x v="11"/>
    <m/>
    <m/>
    <m/>
    <n v="12.99"/>
    <b v="0"/>
    <m/>
    <m/>
    <s v="-"/>
    <x v="99"/>
    <s v="Create Rule; and Description='Netflix';Utilities"/>
    <m/>
  </r>
  <r>
    <x v="4"/>
    <d v="2020-07-26T00:00:00"/>
    <s v="Cash Rewards Visa Signature"/>
    <x v="775"/>
    <n v="76.78"/>
    <x v="26"/>
    <m/>
    <m/>
    <m/>
    <n v="76.78"/>
    <b v="0"/>
    <m/>
    <m/>
    <s v="-"/>
    <x v="747"/>
    <s v="Create Rule; and Description='True Value';House Maintenance"/>
    <m/>
  </r>
  <r>
    <x v="4"/>
    <d v="2020-07-27T00:00:00"/>
    <s v="POWERPLUS"/>
    <x v="915"/>
    <n v="221.8"/>
    <x v="26"/>
    <m/>
    <m/>
    <m/>
    <n v="221.8"/>
    <b v="0"/>
    <m/>
    <m/>
    <s v="-"/>
    <x v="880"/>
    <s v="Delete; and Description Like '%DISCOVER TYPE EPAYMENT%';0"/>
    <m/>
  </r>
  <r>
    <x v="4"/>
    <d v="2020-07-27T00:00:00"/>
    <s v="Discover More Card"/>
    <x v="0"/>
    <n v="43.78"/>
    <x v="0"/>
    <m/>
    <m/>
    <m/>
    <n v="43.78"/>
    <b v="0"/>
    <m/>
    <m/>
    <s v="-"/>
    <x v="0"/>
    <s v="Create Rule; and Description='Amazon';Amazon"/>
    <m/>
  </r>
  <r>
    <x v="4"/>
    <d v="2020-07-27T00:00:00"/>
    <s v="Discover"/>
    <x v="0"/>
    <n v="43.78"/>
    <x v="0"/>
    <m/>
    <m/>
    <m/>
    <n v="43.78"/>
    <b v="0"/>
    <m/>
    <m/>
    <s v="-"/>
    <x v="0"/>
    <s v="Create Rule; and Description='Amazon';Amazon"/>
    <m/>
  </r>
  <r>
    <x v="4"/>
    <d v="2020-07-27T00:00:00"/>
    <s v="Cash Rewards Visa Signature"/>
    <x v="916"/>
    <n v="181.26"/>
    <x v="26"/>
    <m/>
    <m/>
    <m/>
    <n v="181.26"/>
    <b v="0"/>
    <m/>
    <m/>
    <s v="-"/>
    <x v="881"/>
    <s v="Create Rule; and Description Like '%AVOADVOCARE INTL%';Groceries"/>
    <m/>
  </r>
  <r>
    <x v="4"/>
    <d v="2020-07-27T00:00:00"/>
    <s v="Cash Rewards Visa Signature"/>
    <x v="59"/>
    <n v="9.9700000000000006"/>
    <x v="1"/>
    <m/>
    <m/>
    <m/>
    <n v="9.9700000000000006"/>
    <b v="0"/>
    <m/>
    <m/>
    <s v="-"/>
    <x v="59"/>
    <s v="Create Rule; and Description Like '%Caribou Coffee%';Restaurants"/>
    <m/>
  </r>
  <r>
    <x v="4"/>
    <d v="2020-07-27T00:00:00"/>
    <s v="Cash Rewards Visa Signature"/>
    <x v="84"/>
    <n v="52"/>
    <x v="26"/>
    <m/>
    <m/>
    <m/>
    <n v="52"/>
    <b v="0"/>
    <m/>
    <m/>
    <s v="-"/>
    <x v="84"/>
    <s v="Create Rule; and Description='City of Chanhassen';Utilities"/>
    <m/>
  </r>
  <r>
    <x v="4"/>
    <d v="2020-07-27T00:00:00"/>
    <s v="POWERPLUS"/>
    <x v="157"/>
    <n v="5"/>
    <x v="8"/>
    <m/>
    <m/>
    <m/>
    <n v="5"/>
    <b v="0"/>
    <m/>
    <m/>
    <s v="-"/>
    <x v="156"/>
    <s v="Create Rule; and Description Like '%PayPal%';Shopping"/>
    <m/>
  </r>
  <r>
    <x v="4"/>
    <d v="2020-07-27T00:00:00"/>
    <s v="Cash Rewards Visa Signature"/>
    <x v="917"/>
    <n v="100"/>
    <x v="26"/>
    <m/>
    <m/>
    <m/>
    <n v="100"/>
    <b v="0"/>
    <m/>
    <m/>
    <s v="-"/>
    <x v="882"/>
    <s v="Manual"/>
    <m/>
  </r>
  <r>
    <x v="4"/>
    <d v="2020-07-27T00:00:00"/>
    <s v="POWERPLUS"/>
    <x v="34"/>
    <n v="166.12"/>
    <x v="12"/>
    <m/>
    <m/>
    <m/>
    <n v="166.12"/>
    <b v="0"/>
    <m/>
    <m/>
    <s v="-"/>
    <x v="34"/>
    <s v="Create Rule; and Description='Target';Target"/>
    <m/>
  </r>
  <r>
    <x v="4"/>
    <d v="2020-07-27T00:00:00"/>
    <s v="POWERPLUS"/>
    <x v="918"/>
    <n v="400"/>
    <x v="26"/>
    <m/>
    <m/>
    <m/>
    <n v="400"/>
    <b v="0"/>
    <m/>
    <m/>
    <s v="-"/>
    <x v="883"/>
    <s v="Manual"/>
    <m/>
  </r>
  <r>
    <x v="4"/>
    <d v="2020-07-27T00:00:00"/>
    <s v="Cash Rewards Visa Signature"/>
    <x v="919"/>
    <n v="343.58"/>
    <x v="26"/>
    <m/>
    <m/>
    <m/>
    <n v="343.58"/>
    <b v="0"/>
    <m/>
    <m/>
    <s v="-"/>
    <x v="884"/>
    <s v="Manual"/>
    <m/>
  </r>
  <r>
    <x v="4"/>
    <d v="2020-07-28T00:00:00"/>
    <s v="POWERPLUS"/>
    <x v="920"/>
    <n v="391.2"/>
    <x v="26"/>
    <m/>
    <m/>
    <m/>
    <n v="391.2"/>
    <b v="0"/>
    <m/>
    <m/>
    <s v="-"/>
    <x v="885"/>
    <s v="Create Rule; and Description='MHCHILDCARELLC TYPE DUES ID CO MHCHILDCARELLC ACH ECC PPD ACH Trace 61880 329517828';Day Care"/>
    <m/>
  </r>
  <r>
    <x v="4"/>
    <d v="2020-07-29T00:00:00"/>
    <s v="Cash Rewards Visa Signature"/>
    <x v="921"/>
    <n v="-1520.73"/>
    <x v="26"/>
    <m/>
    <m/>
    <m/>
    <n v="1520.73"/>
    <b v="0"/>
    <m/>
    <m/>
    <s v="+"/>
    <x v="886"/>
    <s v="Delete; and Description Like '%PAYMENT THANK YOU%';0"/>
    <m/>
  </r>
  <r>
    <x v="4"/>
    <d v="2020-07-29T00:00:00"/>
    <s v="POWERPLUS"/>
    <x v="922"/>
    <n v="1520.73"/>
    <x v="26"/>
    <m/>
    <m/>
    <m/>
    <n v="1520.73"/>
    <b v="0"/>
    <m/>
    <m/>
    <s v="-"/>
    <x v="887"/>
    <s v="Delete; and Description Like '%Withdrawal Home payment to card%';0"/>
    <m/>
  </r>
  <r>
    <x v="4"/>
    <d v="2020-07-29T00:00:00"/>
    <s v="POWERPLUS"/>
    <x v="923"/>
    <n v="-11355.52"/>
    <x v="26"/>
    <m/>
    <m/>
    <m/>
    <n v="11355.52"/>
    <b v="0"/>
    <m/>
    <m/>
    <s v="+"/>
    <x v="888"/>
    <s v="Create Rule; and Description Like '%CARGILL COCOA TYPE DIR DEP ID%';Inc - Britney"/>
    <m/>
  </r>
  <r>
    <x v="4"/>
    <d v="2020-07-29T00:00:00"/>
    <s v="POWERPLUS"/>
    <x v="157"/>
    <n v="0.99"/>
    <x v="8"/>
    <m/>
    <m/>
    <m/>
    <n v="0.99"/>
    <b v="0"/>
    <m/>
    <m/>
    <s v="-"/>
    <x v="156"/>
    <s v="Create Rule; and Description Like '%PayPal%';Shopping"/>
    <m/>
  </r>
  <r>
    <x v="4"/>
    <d v="2020-07-29T00:00:00"/>
    <s v="Cash Rewards Visa Signature"/>
    <x v="750"/>
    <n v="66.31"/>
    <x v="25"/>
    <m/>
    <m/>
    <m/>
    <n v="66.31"/>
    <b v="0"/>
    <m/>
    <m/>
    <s v="-"/>
    <x v="723"/>
    <s v="Manual"/>
    <m/>
  </r>
  <r>
    <x v="4"/>
    <d v="2020-07-29T00:00:00"/>
    <s v="POWERPLUS"/>
    <x v="26"/>
    <n v="-141.19999999999999"/>
    <x v="26"/>
    <m/>
    <m/>
    <m/>
    <n v="141.19999999999999"/>
    <b v="0"/>
    <m/>
    <m/>
    <s v="+"/>
    <x v="26"/>
    <s v="Delete; and Description='Venmo Type Cashout';0"/>
    <m/>
  </r>
  <r>
    <x v="4"/>
    <d v="2020-07-30T00:00:00"/>
    <s v="POWERPLUS"/>
    <x v="446"/>
    <n v="-87.3"/>
    <x v="26"/>
    <m/>
    <m/>
    <m/>
    <n v="87.3"/>
    <b v="0"/>
    <m/>
    <m/>
    <s v="+"/>
    <x v="430"/>
    <s v="Manual"/>
    <m/>
  </r>
  <r>
    <x v="4"/>
    <d v="2020-07-30T00:00:00"/>
    <s v="POWERPLUS"/>
    <x v="924"/>
    <n v="-2688.27"/>
    <x v="26"/>
    <m/>
    <m/>
    <m/>
    <n v="2688.27"/>
    <b v="0"/>
    <m/>
    <m/>
    <s v="+"/>
    <x v="889"/>
    <s v="Create Rule; and Description Like '%KAUFMAN HALL TYPE DIRECT DEP ID%';Inc - Jeff"/>
    <m/>
  </r>
  <r>
    <x v="4"/>
    <d v="2020-07-30T00:00:00"/>
    <s v="RAINY DAY"/>
    <x v="515"/>
    <n v="-300"/>
    <x v="26"/>
    <m/>
    <m/>
    <m/>
    <n v="300"/>
    <b v="0"/>
    <m/>
    <m/>
    <s v="+"/>
    <x v="496"/>
    <s v="Create Rule; and Description='Share';Delete"/>
    <m/>
  </r>
  <r>
    <x v="4"/>
    <d v="2020-07-30T00:00:00"/>
    <s v="POWERPLUS"/>
    <x v="925"/>
    <n v="300"/>
    <x v="26"/>
    <m/>
    <m/>
    <m/>
    <n v="300"/>
    <b v="0"/>
    <m/>
    <m/>
    <s v="-"/>
    <x v="890"/>
    <s v="Manual"/>
    <m/>
  </r>
  <r>
    <x v="4"/>
    <d v="2020-07-31T00:00:00"/>
    <s v="Joint Tenant"/>
    <x v="185"/>
    <n v="-200"/>
    <x v="26"/>
    <m/>
    <m/>
    <m/>
    <n v="200"/>
    <b v="0"/>
    <m/>
    <m/>
    <s v="+"/>
    <x v="184"/>
    <s v="Create Rule; and Description='CARGILL COCOA &amp;';Roth"/>
    <m/>
  </r>
  <r>
    <x v="4"/>
    <d v="2020-07-31T00:00:00"/>
    <s v="Cash Rewards Visa Signature"/>
    <x v="926"/>
    <n v="9.4700000000000006"/>
    <x v="26"/>
    <m/>
    <m/>
    <m/>
    <n v="9.4700000000000006"/>
    <b v="0"/>
    <m/>
    <m/>
    <s v="-"/>
    <x v="891"/>
    <s v="Manual"/>
    <m/>
  </r>
  <r>
    <x v="4"/>
    <d v="2020-07-31T00:00:00"/>
    <s v="Cash Rewards Visa Signature"/>
    <x v="927"/>
    <n v="380.25"/>
    <x v="26"/>
    <m/>
    <m/>
    <m/>
    <n v="380.25"/>
    <b v="0"/>
    <m/>
    <m/>
    <s v="-"/>
    <x v="892"/>
    <s v="Manual"/>
    <m/>
  </r>
  <r>
    <x v="4"/>
    <d v="2020-07-31T00:00:00"/>
    <s v="Investor Checking"/>
    <x v="118"/>
    <n v="-0.02"/>
    <x v="26"/>
    <m/>
    <m/>
    <m/>
    <n v="0.02"/>
    <b v="0"/>
    <m/>
    <m/>
    <s v="+"/>
    <x v="118"/>
    <s v="Create Rule; and Description='Interest Paid';0"/>
    <m/>
  </r>
  <r>
    <x v="4"/>
    <d v="2020-07-31T00:00:00"/>
    <s v="Joint Tenant"/>
    <x v="167"/>
    <n v="-250"/>
    <x v="26"/>
    <m/>
    <m/>
    <m/>
    <n v="250"/>
    <b v="0"/>
    <m/>
    <m/>
    <s v="+"/>
    <x v="166"/>
    <s v="Create Rule; and Description='KAUFMAN HALL';Savings"/>
    <m/>
  </r>
  <r>
    <x v="4"/>
    <d v="2020-07-31T00:00:00"/>
    <s v="RAINY DAY"/>
    <x v="119"/>
    <n v="-13.53"/>
    <x v="26"/>
    <m/>
    <m/>
    <m/>
    <n v="13.53"/>
    <b v="0"/>
    <m/>
    <m/>
    <s v="+"/>
    <x v="119"/>
    <s v="Create Rule; and Description='Split Rate Apy';Inc - Other"/>
    <m/>
  </r>
  <r>
    <x v="4"/>
    <d v="2020-07-31T00:00:00"/>
    <s v="POWERPLUS"/>
    <x v="119"/>
    <n v="-25.35"/>
    <x v="26"/>
    <m/>
    <m/>
    <m/>
    <n v="25.35"/>
    <b v="0"/>
    <m/>
    <m/>
    <s v="+"/>
    <x v="119"/>
    <s v="Create Rule; and Description='Split Rate Apy';Inc - Other"/>
    <m/>
  </r>
  <r>
    <x v="4"/>
    <d v="2020-07-31T00:00:00"/>
    <s v="Joint Tenant"/>
    <x v="358"/>
    <n v="-23.03"/>
    <x v="26"/>
    <m/>
    <m/>
    <m/>
    <n v="23.03"/>
    <b v="0"/>
    <m/>
    <m/>
    <s v="+"/>
    <x v="349"/>
    <s v="Delete; and Source='Joint Tenant';0"/>
    <m/>
  </r>
  <r>
    <x v="4"/>
    <d v="2020-07-31T00:00:00"/>
    <s v="Contributory"/>
    <x v="51"/>
    <n v="-231"/>
    <x v="26"/>
    <m/>
    <m/>
    <m/>
    <n v="231"/>
    <b v="0"/>
    <m/>
    <m/>
    <s v="+"/>
    <x v="51"/>
    <s v="Create Rule; and Description='Tfr JPMORGAN CHASE BAN, CARGILL COCOA &amp;';Roth"/>
    <m/>
  </r>
  <r>
    <x v="4"/>
    <d v="2020-07-31T00:00:00"/>
    <s v="Jeff IRA"/>
    <x v="52"/>
    <n v="-250"/>
    <x v="26"/>
    <m/>
    <m/>
    <m/>
    <n v="250"/>
    <b v="0"/>
    <m/>
    <m/>
    <s v="+"/>
    <x v="52"/>
    <s v="Create Rule; and Description='Tfr JPMORGAN CHASE BAN, KAUFMAN HALL';Roth"/>
    <m/>
  </r>
  <r>
    <x v="4"/>
    <d v="2020-07-31T00:00:00"/>
    <s v="Cash Rewards Visa Signature"/>
    <x v="53"/>
    <n v="172.86"/>
    <x v="26"/>
    <m/>
    <m/>
    <m/>
    <n v="172.86"/>
    <b v="0"/>
    <m/>
    <m/>
    <s v="-"/>
    <x v="53"/>
    <s v="Manual"/>
    <m/>
  </r>
  <r>
    <x v="4"/>
    <d v="2020-07-31T00:00:00"/>
    <s v="POWERPLUS"/>
    <x v="29"/>
    <n v="175"/>
    <x v="8"/>
    <m/>
    <m/>
    <m/>
    <n v="175"/>
    <b v="0"/>
    <m/>
    <m/>
    <s v="-"/>
    <x v="29"/>
    <s v="Manual"/>
    <m/>
  </r>
  <r>
    <x v="10"/>
    <d v="2020-08-01T00:00:00"/>
    <s v="HIGHLANDER"/>
    <x v="928"/>
    <n v="-573.33000000000004"/>
    <x v="26"/>
    <m/>
    <m/>
    <m/>
    <n v="573.33000000000004"/>
    <b v="0"/>
    <m/>
    <m/>
    <s v="+"/>
    <x v="893"/>
    <m/>
    <m/>
  </r>
  <r>
    <x v="10"/>
    <d v="2020-08-01T00:00:00"/>
    <s v="POWERPLUS"/>
    <x v="929"/>
    <n v="618.65"/>
    <x v="26"/>
    <m/>
    <m/>
    <m/>
    <n v="618.65"/>
    <b v="0"/>
    <m/>
    <m/>
    <s v="-"/>
    <x v="894"/>
    <s v="Create Rule; and Description Like '%To Loan 02%';Car Loan"/>
    <m/>
  </r>
  <r>
    <x v="10"/>
    <d v="2020-08-02T00:00:00"/>
    <s v="Cash Rewards Visa Signature"/>
    <x v="598"/>
    <n v="4.28"/>
    <x v="10"/>
    <m/>
    <m/>
    <m/>
    <n v="4.28"/>
    <b v="0"/>
    <m/>
    <m/>
    <s v="-"/>
    <x v="579"/>
    <s v="Create Rule; and Description='Amazon Music';Entertainment"/>
    <m/>
  </r>
  <r>
    <x v="10"/>
    <d v="2020-08-02T00:00:00"/>
    <s v="Cash Rewards Visa Signature"/>
    <x v="6"/>
    <n v="17.47"/>
    <x v="5"/>
    <m/>
    <m/>
    <m/>
    <n v="17.47"/>
    <b v="0"/>
    <m/>
    <m/>
    <s v="-"/>
    <x v="6"/>
    <s v="Create Rule; and Description Like '%Cub Foods%';Groceries"/>
    <m/>
  </r>
  <r>
    <x v="10"/>
    <d v="2020-08-02T00:00:00"/>
    <s v="Cash Rewards Visa Signature"/>
    <x v="930"/>
    <n v="401.19"/>
    <x v="26"/>
    <m/>
    <m/>
    <m/>
    <n v="401.19"/>
    <b v="0"/>
    <m/>
    <m/>
    <s v="-"/>
    <x v="895"/>
    <s v="Manual"/>
    <m/>
  </r>
  <r>
    <x v="10"/>
    <d v="2020-08-02T00:00:00"/>
    <s v="Discover More Card"/>
    <x v="577"/>
    <n v="33.770000000000003"/>
    <x v="1"/>
    <m/>
    <m/>
    <m/>
    <n v="33.770000000000003"/>
    <b v="0"/>
    <m/>
    <m/>
    <s v="-"/>
    <x v="558"/>
    <s v="Create Rule; and Description Like '%Jimmy John%';Restaurants"/>
    <m/>
  </r>
  <r>
    <x v="10"/>
    <d v="2020-08-02T00:00:00"/>
    <s v="Discover"/>
    <x v="577"/>
    <n v="33.770000000000003"/>
    <x v="1"/>
    <m/>
    <m/>
    <m/>
    <n v="33.770000000000003"/>
    <b v="0"/>
    <m/>
    <m/>
    <s v="-"/>
    <x v="558"/>
    <s v="Create Rule; and Description Like '%Jimmy John%';Restaurants"/>
    <m/>
  </r>
  <r>
    <x v="10"/>
    <d v="2020-08-02T00:00:00"/>
    <s v="Cash Rewards Visa Signature"/>
    <x v="931"/>
    <n v="100.38"/>
    <x v="26"/>
    <m/>
    <m/>
    <m/>
    <n v="100.38"/>
    <b v="0"/>
    <m/>
    <m/>
    <s v="-"/>
    <x v="896"/>
    <s v="Create Rule; and Description Like '%SOTA CLOTHING%';Shopping"/>
    <m/>
  </r>
  <r>
    <x v="10"/>
    <d v="2020-08-02T00:00:00"/>
    <s v="Cash Rewards Visa Signature"/>
    <x v="932"/>
    <n v="77.459999999999994"/>
    <x v="26"/>
    <m/>
    <m/>
    <m/>
    <n v="77.459999999999994"/>
    <b v="0"/>
    <m/>
    <m/>
    <s v="-"/>
    <x v="897"/>
    <s v="Create Rule; and Description Like '%TEQUILA BUTCHER CHANHASSEN MN%';Restaurants"/>
    <m/>
  </r>
  <r>
    <x v="10"/>
    <d v="2020-08-02T00:00:00"/>
    <s v="Cash Rewards Visa Signature"/>
    <x v="775"/>
    <n v="47.29"/>
    <x v="26"/>
    <m/>
    <m/>
    <m/>
    <n v="47.29"/>
    <b v="0"/>
    <m/>
    <m/>
    <s v="-"/>
    <x v="747"/>
    <s v="Create Rule; and Description='True Value';House Maintenance"/>
    <m/>
  </r>
  <r>
    <x v="10"/>
    <d v="2020-08-03T00:00:00"/>
    <s v="Joint Tenant"/>
    <x v="125"/>
    <n v="-125.87"/>
    <x v="26"/>
    <m/>
    <m/>
    <m/>
    <n v="125.87"/>
    <b v="0"/>
    <m/>
    <m/>
    <s v="+"/>
    <x v="124"/>
    <s v="Create Rule; and Description='A T &amp; T INC';Dividend"/>
    <m/>
  </r>
  <r>
    <x v="10"/>
    <d v="2020-08-03T00:00:00"/>
    <s v="Discover More Card"/>
    <x v="0"/>
    <n v="71.67"/>
    <x v="0"/>
    <m/>
    <m/>
    <m/>
    <n v="71.67"/>
    <b v="0"/>
    <m/>
    <m/>
    <s v="-"/>
    <x v="0"/>
    <s v="Create Rule; and Description='Amazon';Amazon"/>
    <m/>
  </r>
  <r>
    <x v="10"/>
    <d v="2020-08-03T00:00:00"/>
    <s v="Discover"/>
    <x v="0"/>
    <n v="71.67"/>
    <x v="0"/>
    <m/>
    <m/>
    <m/>
    <n v="71.67"/>
    <b v="0"/>
    <m/>
    <m/>
    <s v="-"/>
    <x v="0"/>
    <s v="Create Rule; and Description='Amazon';Amazon"/>
    <m/>
  </r>
  <r>
    <x v="10"/>
    <d v="2020-08-03T00:00:00"/>
    <s v="Joint Tenant"/>
    <x v="232"/>
    <n v="782.5"/>
    <x v="26"/>
    <m/>
    <m/>
    <m/>
    <n v="782.5"/>
    <b v="0"/>
    <m/>
    <m/>
    <s v="-"/>
    <x v="230"/>
    <s v="Create Rule; and Description='BOEING CO';Dividend"/>
    <m/>
  </r>
  <r>
    <x v="10"/>
    <d v="2020-08-03T00:00:00"/>
    <s v="Cash Rewards Visa Signature"/>
    <x v="59"/>
    <n v="3.97"/>
    <x v="1"/>
    <m/>
    <m/>
    <m/>
    <n v="3.97"/>
    <b v="0"/>
    <m/>
    <m/>
    <s v="-"/>
    <x v="59"/>
    <s v="Create Rule; and Description Like '%Caribou Coffee%';Restaurants"/>
    <m/>
  </r>
  <r>
    <x v="10"/>
    <d v="2020-08-03T00:00:00"/>
    <s v="POWERPLUS"/>
    <x v="933"/>
    <n v="200"/>
    <x v="26"/>
    <m/>
    <m/>
    <m/>
    <n v="200"/>
    <b v="0"/>
    <m/>
    <m/>
    <s v="-"/>
    <x v="16"/>
    <s v="Create Rule; and Description Like '%College Savings%';College Savings"/>
    <m/>
  </r>
  <r>
    <x v="10"/>
    <d v="2020-08-03T00:00:00"/>
    <s v="Cash Rewards Visa Signature"/>
    <x v="6"/>
    <n v="5.47"/>
    <x v="5"/>
    <m/>
    <m/>
    <m/>
    <n v="5.47"/>
    <b v="0"/>
    <m/>
    <m/>
    <s v="-"/>
    <x v="6"/>
    <s v="Create Rule; and Description Like '%Cub Foods%';Groceries"/>
    <m/>
  </r>
  <r>
    <x v="10"/>
    <d v="2020-08-03T00:00:00"/>
    <s v="POWERPLUS"/>
    <x v="934"/>
    <n v="391.2"/>
    <x v="26"/>
    <m/>
    <m/>
    <m/>
    <n v="391.2"/>
    <b v="0"/>
    <m/>
    <m/>
    <s v="-"/>
    <x v="898"/>
    <s v="Manual"/>
    <m/>
  </r>
  <r>
    <x v="10"/>
    <d v="2020-08-03T00:00:00"/>
    <s v="Joint Tenant"/>
    <x v="358"/>
    <n v="23.03"/>
    <x v="26"/>
    <m/>
    <m/>
    <m/>
    <n v="23.03"/>
    <b v="0"/>
    <m/>
    <m/>
    <s v="-"/>
    <x v="349"/>
    <s v="Delete; and Source='Joint Tenant';0"/>
    <m/>
  </r>
  <r>
    <x v="10"/>
    <d v="2020-08-03T00:00:00"/>
    <s v="Cash Rewards Visa Signature"/>
    <x v="775"/>
    <n v="26.87"/>
    <x v="26"/>
    <m/>
    <m/>
    <m/>
    <n v="26.87"/>
    <b v="0"/>
    <m/>
    <m/>
    <s v="-"/>
    <x v="747"/>
    <s v="Create Rule; and Description='True Value';House Maintenance"/>
    <m/>
  </r>
  <r>
    <x v="10"/>
    <d v="2020-08-04T00:00:00"/>
    <s v="30 YR FIXED"/>
    <x v="935"/>
    <n v="-559.74"/>
    <x v="3"/>
    <m/>
    <m/>
    <m/>
    <n v="559.74"/>
    <b v="0"/>
    <m/>
    <m/>
    <s v="+"/>
    <x v="899"/>
    <s v="Create Rule; and Description='PAYMENT';Delete"/>
    <m/>
  </r>
  <r>
    <x v="10"/>
    <d v="2020-08-04T00:00:00"/>
    <s v="Cash Rewards Visa Signature"/>
    <x v="936"/>
    <n v="-1313.27"/>
    <x v="26"/>
    <m/>
    <m/>
    <m/>
    <n v="1313.27"/>
    <b v="0"/>
    <m/>
    <m/>
    <s v="+"/>
    <x v="900"/>
    <s v="Delete; and Description Like '%PAYMENT THANK YOU%';0"/>
    <m/>
  </r>
  <r>
    <x v="10"/>
    <d v="2020-08-04T00:00:00"/>
    <s v="POWERPLUS"/>
    <x v="937"/>
    <n v="1313.27"/>
    <x v="26"/>
    <m/>
    <m/>
    <m/>
    <n v="1313.27"/>
    <b v="0"/>
    <m/>
    <m/>
    <s v="-"/>
    <x v="901"/>
    <s v="Delete; and Description Like '%Withdrawal Home payment to card%';0"/>
    <m/>
  </r>
  <r>
    <x v="19"/>
    <d v="2021-02-01T00:00:00"/>
    <s v="POWERPLUS"/>
    <x v="938"/>
    <n v="2832.55"/>
    <x v="26"/>
    <m/>
    <m/>
    <m/>
    <n v="2832.55"/>
    <b v="0"/>
    <m/>
    <m/>
    <s v="-"/>
    <x v="265"/>
    <s v="Create Rule; and Description Like '%BCU MORTGAGE TYPE LOAN PAYMT ID 9DRAFTING CO BCU MORTGAGE%';Rent"/>
    <m/>
  </r>
  <r>
    <x v="10"/>
    <d v="2020-08-04T00:00:00"/>
    <s v="Joint Tenant"/>
    <x v="125"/>
    <n v="125.87"/>
    <x v="26"/>
    <m/>
    <m/>
    <m/>
    <n v="125.87"/>
    <b v="0"/>
    <m/>
    <m/>
    <s v="-"/>
    <x v="124"/>
    <s v="Create Rule; and Description='A T &amp; T INC';Dividend"/>
    <m/>
  </r>
  <r>
    <x v="10"/>
    <d v="2020-08-04T00:00:00"/>
    <s v="Discover More Card"/>
    <x v="0"/>
    <n v="7.51"/>
    <x v="0"/>
    <m/>
    <m/>
    <m/>
    <n v="7.51"/>
    <b v="0"/>
    <m/>
    <m/>
    <s v="-"/>
    <x v="0"/>
    <s v="Create Rule; and Description='Amazon';Amazon"/>
    <m/>
  </r>
  <r>
    <x v="10"/>
    <d v="2020-08-04T00:00:00"/>
    <s v="Discover"/>
    <x v="0"/>
    <n v="7.51"/>
    <x v="0"/>
    <m/>
    <m/>
    <m/>
    <n v="7.51"/>
    <b v="0"/>
    <m/>
    <m/>
    <s v="-"/>
    <x v="0"/>
    <s v="Create Rule; and Description='Amazon';Amazon"/>
    <m/>
  </r>
  <r>
    <x v="10"/>
    <d v="2020-08-04T00:00:00"/>
    <s v="Cash Rewards Visa Signature"/>
    <x v="2"/>
    <n v="33.25"/>
    <x v="2"/>
    <m/>
    <m/>
    <m/>
    <n v="33.25"/>
    <b v="0"/>
    <m/>
    <m/>
    <s v="-"/>
    <x v="2"/>
    <s v="Create Rule; and Description='Speedway';Transportation"/>
    <m/>
  </r>
  <r>
    <x v="10"/>
    <d v="2020-08-04T00:00:00"/>
    <s v="Cash Rewards Visa Signature"/>
    <x v="939"/>
    <n v="157"/>
    <x v="26"/>
    <m/>
    <m/>
    <m/>
    <n v="157"/>
    <b v="0"/>
    <m/>
    <m/>
    <s v="-"/>
    <x v="902"/>
    <s v="Manual"/>
    <m/>
  </r>
  <r>
    <x v="10"/>
    <d v="2020-08-05T00:00:00"/>
    <s v="Cash Rewards Visa Signature"/>
    <x v="0"/>
    <n v="16.14"/>
    <x v="0"/>
    <m/>
    <m/>
    <m/>
    <n v="16.14"/>
    <b v="0"/>
    <m/>
    <m/>
    <s v="-"/>
    <x v="0"/>
    <s v="Create Rule; and Description='Amazon';Amazon"/>
    <m/>
  </r>
  <r>
    <x v="10"/>
    <d v="2020-08-05T00:00:00"/>
    <s v="POWERPLUS"/>
    <x v="940"/>
    <n v="-1993.07"/>
    <x v="26"/>
    <m/>
    <m/>
    <m/>
    <n v="1993.07"/>
    <b v="0"/>
    <m/>
    <m/>
    <s v="+"/>
    <x v="903"/>
    <s v="Create Rule; and Description Like '%CARGILL COCOA TYPE DIR DEP ID%';Inc - Britney"/>
    <m/>
  </r>
  <r>
    <x v="10"/>
    <d v="2020-08-05T00:00:00"/>
    <s v="Cash Rewards Visa Signature"/>
    <x v="941"/>
    <n v="34.200000000000003"/>
    <x v="26"/>
    <m/>
    <m/>
    <m/>
    <n v="34.200000000000003"/>
    <b v="0"/>
    <m/>
    <m/>
    <s v="-"/>
    <x v="904"/>
    <s v="Manual"/>
    <m/>
  </r>
  <r>
    <x v="10"/>
    <d v="2020-08-05T00:00:00"/>
    <s v="Joint Tenant"/>
    <x v="148"/>
    <n v="-13.52"/>
    <x v="26"/>
    <m/>
    <m/>
    <m/>
    <n v="13.52"/>
    <b v="0"/>
    <m/>
    <m/>
    <s v="+"/>
    <x v="147"/>
    <s v="Create Rule; and Description='LOWES COMPANIES INC';House Maintenance"/>
    <m/>
  </r>
  <r>
    <x v="10"/>
    <d v="2020-08-05T00:00:00"/>
    <s v="POWERPLUS"/>
    <x v="30"/>
    <n v="213.22"/>
    <x v="11"/>
    <m/>
    <m/>
    <m/>
    <n v="213.22"/>
    <b v="0"/>
    <m/>
    <m/>
    <s v="-"/>
    <x v="30"/>
    <s v="Create Rule; and Description='Xcel Energy';Utilities"/>
    <m/>
  </r>
  <r>
    <x v="10"/>
    <d v="2020-08-06T00:00:00"/>
    <s v="Cash Rewards Visa Signature"/>
    <x v="0"/>
    <n v="22.22"/>
    <x v="0"/>
    <m/>
    <m/>
    <m/>
    <n v="22.22"/>
    <b v="0"/>
    <m/>
    <m/>
    <s v="-"/>
    <x v="0"/>
    <s v="Create Rule; and Description='Amazon';Amazon"/>
    <m/>
  </r>
  <r>
    <x v="10"/>
    <d v="2020-08-06T00:00:00"/>
    <s v="Joint Tenant"/>
    <x v="831"/>
    <n v="-5.22"/>
    <x v="26"/>
    <m/>
    <m/>
    <m/>
    <n v="5.22"/>
    <b v="0"/>
    <m/>
    <m/>
    <s v="+"/>
    <x v="799"/>
    <s v="Delete; and Source='Joint Tenant';0"/>
    <m/>
  </r>
  <r>
    <x v="10"/>
    <d v="2020-08-06T00:00:00"/>
    <s v="Joint Tenant"/>
    <x v="831"/>
    <n v="-178.31"/>
    <x v="26"/>
    <m/>
    <m/>
    <m/>
    <n v="178.31"/>
    <b v="0"/>
    <m/>
    <m/>
    <s v="+"/>
    <x v="799"/>
    <s v="Delete; and Source='Joint Tenant';0"/>
    <m/>
  </r>
  <r>
    <x v="10"/>
    <d v="2020-08-06T00:00:00"/>
    <s v="POWERPLUS"/>
    <x v="35"/>
    <n v="-150"/>
    <x v="26"/>
    <m/>
    <m/>
    <m/>
    <n v="150"/>
    <b v="0"/>
    <m/>
    <m/>
    <s v="+"/>
    <x v="35"/>
    <s v="Create Rule; and Description='Cargill Incorpor Type';Inc - Other"/>
    <m/>
  </r>
  <r>
    <x v="10"/>
    <d v="2020-08-06T00:00:00"/>
    <s v="Cash Rewards Visa Signature"/>
    <x v="240"/>
    <n v="10.09"/>
    <x v="26"/>
    <m/>
    <m/>
    <m/>
    <n v="10.09"/>
    <b v="0"/>
    <m/>
    <m/>
    <s v="-"/>
    <x v="238"/>
    <s v="Create Rule; and Description='Chipotle';Restaurants"/>
    <m/>
  </r>
  <r>
    <x v="10"/>
    <d v="2020-08-06T00:00:00"/>
    <s v="Joint Tenant"/>
    <x v="835"/>
    <n v="-21.93"/>
    <x v="26"/>
    <m/>
    <m/>
    <m/>
    <n v="21.93"/>
    <b v="0"/>
    <m/>
    <m/>
    <s v="+"/>
    <x v="803"/>
    <s v="Delete; and Source='Joint Tenant';0"/>
    <m/>
  </r>
  <r>
    <x v="10"/>
    <d v="2020-08-06T00:00:00"/>
    <s v="Joint Tenant"/>
    <x v="835"/>
    <n v="-185.85"/>
    <x v="26"/>
    <m/>
    <m/>
    <m/>
    <n v="185.85"/>
    <b v="0"/>
    <m/>
    <m/>
    <s v="+"/>
    <x v="803"/>
    <s v="Delete; and Source='Joint Tenant';0"/>
    <m/>
  </r>
  <r>
    <x v="10"/>
    <d v="2020-08-06T00:00:00"/>
    <s v="Joint Tenant"/>
    <x v="285"/>
    <n v="-10.67"/>
    <x v="26"/>
    <m/>
    <m/>
    <m/>
    <n v="10.67"/>
    <b v="0"/>
    <m/>
    <m/>
    <s v="+"/>
    <x v="278"/>
    <s v="Create Rule; and Description='ETFMG ALTERNATIVE HARVEST ETF';Dividend"/>
    <m/>
  </r>
  <r>
    <x v="10"/>
    <d v="2020-08-06T00:00:00"/>
    <s v="Joint Tenant"/>
    <x v="285"/>
    <n v="-64.92"/>
    <x v="26"/>
    <m/>
    <m/>
    <m/>
    <n v="64.92"/>
    <b v="0"/>
    <m/>
    <m/>
    <s v="+"/>
    <x v="278"/>
    <s v="Create Rule; and Description='ETFMG ALTERNATIVE HARVEST ETF';Dividend"/>
    <m/>
  </r>
  <r>
    <x v="10"/>
    <d v="2020-08-06T00:00:00"/>
    <s v="Joint Tenant"/>
    <x v="285"/>
    <n v="-285.66000000000003"/>
    <x v="26"/>
    <m/>
    <m/>
    <m/>
    <n v="285.66000000000003"/>
    <b v="0"/>
    <m/>
    <m/>
    <s v="+"/>
    <x v="278"/>
    <s v="Create Rule; and Description='ETFMG ALTERNATIVE HARVEST ETF';Dividend"/>
    <m/>
  </r>
  <r>
    <x v="10"/>
    <d v="2020-08-06T00:00:00"/>
    <s v="Joint Tenant"/>
    <x v="148"/>
    <n v="13.52"/>
    <x v="26"/>
    <m/>
    <m/>
    <m/>
    <n v="13.52"/>
    <b v="0"/>
    <m/>
    <m/>
    <s v="-"/>
    <x v="147"/>
    <s v="Create Rule; and Description='LOWES COMPANIES INC';House Maintenance"/>
    <m/>
  </r>
  <r>
    <x v="10"/>
    <d v="2020-08-06T00:00:00"/>
    <s v="POWERPLUS"/>
    <x v="157"/>
    <n v="16.989999999999998"/>
    <x v="8"/>
    <m/>
    <m/>
    <m/>
    <n v="16.989999999999998"/>
    <b v="0"/>
    <m/>
    <m/>
    <s v="-"/>
    <x v="156"/>
    <s v="Create Rule; and Description Like '%PayPal%';Shopping"/>
    <m/>
  </r>
  <r>
    <x v="10"/>
    <d v="2020-08-06T00:00:00"/>
    <s v="Discover More Card"/>
    <x v="579"/>
    <n v="25"/>
    <x v="1"/>
    <m/>
    <m/>
    <m/>
    <n v="25"/>
    <b v="0"/>
    <m/>
    <m/>
    <s v="-"/>
    <x v="560"/>
    <s v="Create Rule; and Description='Starbucks';Restaurants"/>
    <m/>
  </r>
  <r>
    <x v="10"/>
    <d v="2020-08-06T00:00:00"/>
    <s v="Discover"/>
    <x v="579"/>
    <n v="25"/>
    <x v="1"/>
    <m/>
    <m/>
    <m/>
    <n v="25"/>
    <b v="0"/>
    <m/>
    <m/>
    <s v="-"/>
    <x v="560"/>
    <s v="Create Rule; and Description='Starbucks';Restaurants"/>
    <m/>
  </r>
  <r>
    <x v="10"/>
    <d v="2020-08-06T00:00:00"/>
    <s v="Joint Tenant"/>
    <x v="141"/>
    <n v="-3.04"/>
    <x v="26"/>
    <m/>
    <m/>
    <m/>
    <n v="3.04"/>
    <b v="0"/>
    <m/>
    <m/>
    <s v="+"/>
    <x v="140"/>
    <s v="Create Rule; and Description='VANGUARD INTRMDIAT TRM TRSRY ETF';Dividend"/>
    <m/>
  </r>
  <r>
    <x v="10"/>
    <d v="2020-08-06T00:00:00"/>
    <s v="POWERPLUS"/>
    <x v="29"/>
    <n v="290.18"/>
    <x v="8"/>
    <m/>
    <m/>
    <m/>
    <n v="290.18"/>
    <b v="0"/>
    <m/>
    <m/>
    <s v="-"/>
    <x v="29"/>
    <s v="Manual"/>
    <m/>
  </r>
  <r>
    <x v="10"/>
    <d v="2020-08-07T00:00:00"/>
    <s v="Cash Rewards Visa Signature"/>
    <x v="0"/>
    <n v="7.51"/>
    <x v="0"/>
    <m/>
    <m/>
    <m/>
    <n v="7.51"/>
    <b v="0"/>
    <m/>
    <m/>
    <s v="-"/>
    <x v="0"/>
    <s v="Create Rule; and Description='Amazon';Amazon"/>
    <m/>
  </r>
  <r>
    <x v="10"/>
    <d v="2020-08-07T00:00:00"/>
    <s v="Joint Tenant"/>
    <x v="185"/>
    <n v="-200"/>
    <x v="26"/>
    <m/>
    <m/>
    <m/>
    <n v="200"/>
    <b v="0"/>
    <m/>
    <m/>
    <s v="+"/>
    <x v="184"/>
    <s v="Create Rule; and Description='CARGILL COCOA &amp;';Roth"/>
    <m/>
  </r>
  <r>
    <x v="10"/>
    <d v="2020-08-07T00:00:00"/>
    <s v="Cash Rewards Visa Signature"/>
    <x v="6"/>
    <n v="112.36"/>
    <x v="5"/>
    <m/>
    <m/>
    <m/>
    <n v="112.36"/>
    <b v="0"/>
    <m/>
    <m/>
    <s v="-"/>
    <x v="6"/>
    <s v="Create Rule; and Description Like '%Cub Foods%';Groceries"/>
    <m/>
  </r>
  <r>
    <x v="10"/>
    <d v="2020-08-07T00:00:00"/>
    <s v="Contributory"/>
    <x v="51"/>
    <n v="-231"/>
    <x v="26"/>
    <m/>
    <m/>
    <m/>
    <n v="231"/>
    <b v="0"/>
    <m/>
    <m/>
    <s v="+"/>
    <x v="51"/>
    <s v="Create Rule; and Description='Tfr JPMORGAN CHASE BAN, CARGILL COCOA &amp;';Roth"/>
    <m/>
  </r>
  <r>
    <x v="10"/>
    <d v="2020-08-07T00:00:00"/>
    <s v="Cash Rewards Visa Signature"/>
    <x v="775"/>
    <n v="12.54"/>
    <x v="26"/>
    <m/>
    <m/>
    <m/>
    <n v="12.54"/>
    <b v="0"/>
    <m/>
    <m/>
    <s v="-"/>
    <x v="747"/>
    <s v="Create Rule; and Description='True Value';House Maintenance"/>
    <m/>
  </r>
  <r>
    <x v="10"/>
    <d v="2020-08-07T00:00:00"/>
    <s v="Joint Tenant"/>
    <x v="141"/>
    <n v="3.04"/>
    <x v="26"/>
    <m/>
    <m/>
    <m/>
    <n v="3.04"/>
    <b v="0"/>
    <m/>
    <m/>
    <s v="-"/>
    <x v="140"/>
    <s v="Create Rule; and Description='VANGUARD INTRMDIAT TRM TRSRY ETF';Dividend"/>
    <m/>
  </r>
  <r>
    <x v="10"/>
    <d v="2020-08-07T00:00:00"/>
    <s v="POWERPLUS"/>
    <x v="142"/>
    <n v="112.72"/>
    <x v="26"/>
    <m/>
    <m/>
    <m/>
    <n v="112.72"/>
    <b v="0"/>
    <m/>
    <m/>
    <s v="-"/>
    <x v="141"/>
    <s v="Create Rule; and Description='Waste Management';Utilities"/>
    <m/>
  </r>
  <r>
    <x v="10"/>
    <d v="2020-08-09T00:00:00"/>
    <s v="POWERPLUS"/>
    <x v="28"/>
    <n v="-45"/>
    <x v="26"/>
    <m/>
    <m/>
    <m/>
    <n v="45"/>
    <b v="0"/>
    <m/>
    <m/>
    <s v="+"/>
    <x v="28"/>
    <s v="Manual"/>
    <m/>
  </r>
  <r>
    <x v="10"/>
    <d v="2020-08-09T00:00:00"/>
    <s v="Cash Rewards Visa Signature"/>
    <x v="738"/>
    <n v="44.47"/>
    <x v="26"/>
    <m/>
    <m/>
    <m/>
    <n v="44.47"/>
    <b v="0"/>
    <m/>
    <m/>
    <s v="-"/>
    <x v="712"/>
    <s v="Create Rule; and Description='Milios Sandwiches';Restaurants"/>
    <m/>
  </r>
  <r>
    <x v="10"/>
    <d v="2020-08-09T00:00:00"/>
    <s v="Cash Rewards Visa Signature"/>
    <x v="939"/>
    <n v="14"/>
    <x v="26"/>
    <m/>
    <m/>
    <m/>
    <n v="14"/>
    <b v="0"/>
    <m/>
    <m/>
    <s v="-"/>
    <x v="902"/>
    <s v="Manual"/>
    <m/>
  </r>
  <r>
    <x v="10"/>
    <d v="2020-08-10T00:00:00"/>
    <s v="Joint Tenant"/>
    <x v="165"/>
    <n v="-2254.98"/>
    <x v="26"/>
    <m/>
    <m/>
    <m/>
    <n v="2254.98"/>
    <b v="0"/>
    <m/>
    <m/>
    <s v="+"/>
    <x v="164"/>
    <s v="Create Rule; and Description='APPLE INC';Dividend"/>
    <m/>
  </r>
  <r>
    <x v="10"/>
    <d v="2020-08-10T00:00:00"/>
    <s v="Cash Rewards Visa Signature"/>
    <x v="805"/>
    <n v="10.050000000000001"/>
    <x v="26"/>
    <m/>
    <m/>
    <m/>
    <n v="10.050000000000001"/>
    <b v="0"/>
    <m/>
    <m/>
    <s v="-"/>
    <x v="775"/>
    <s v="Manual"/>
    <m/>
  </r>
  <r>
    <x v="10"/>
    <d v="2020-08-10T00:00:00"/>
    <s v="Cash Rewards Visa Signature"/>
    <x v="805"/>
    <n v="18.41"/>
    <x v="26"/>
    <m/>
    <m/>
    <m/>
    <n v="18.41"/>
    <b v="0"/>
    <m/>
    <m/>
    <s v="-"/>
    <x v="775"/>
    <s v="Manual"/>
    <m/>
  </r>
  <r>
    <x v="10"/>
    <d v="2020-08-10T00:00:00"/>
    <s v="Cash Rewards Visa Signature"/>
    <x v="805"/>
    <n v="19.5"/>
    <x v="26"/>
    <m/>
    <m/>
    <m/>
    <n v="19.5"/>
    <b v="0"/>
    <m/>
    <m/>
    <s v="-"/>
    <x v="775"/>
    <s v="Manual"/>
    <m/>
  </r>
  <r>
    <x v="10"/>
    <d v="2020-08-10T00:00:00"/>
    <s v="Discover More Card"/>
    <x v="67"/>
    <n v="45"/>
    <x v="11"/>
    <m/>
    <m/>
    <m/>
    <n v="45"/>
    <b v="0"/>
    <m/>
    <m/>
    <s v="-"/>
    <x v="67"/>
    <s v="Create Rule; and Description='CenturyLink';Utilities"/>
    <m/>
  </r>
  <r>
    <x v="10"/>
    <d v="2020-08-10T00:00:00"/>
    <s v="Discover"/>
    <x v="67"/>
    <n v="45"/>
    <x v="11"/>
    <m/>
    <m/>
    <m/>
    <n v="45"/>
    <b v="0"/>
    <m/>
    <m/>
    <s v="-"/>
    <x v="67"/>
    <s v="Create Rule; and Description='CenturyLink';Utilities"/>
    <m/>
  </r>
  <r>
    <x v="10"/>
    <d v="2020-08-10T00:00:00"/>
    <s v="Joint Tenant"/>
    <x v="245"/>
    <n v="-887.9"/>
    <x v="26"/>
    <m/>
    <m/>
    <m/>
    <n v="887.9"/>
    <b v="0"/>
    <m/>
    <m/>
    <s v="+"/>
    <x v="243"/>
    <s v="Create Rule; and Description='CHEVRON CORP';Dividend"/>
    <m/>
  </r>
  <r>
    <x v="10"/>
    <d v="2020-08-10T00:00:00"/>
    <s v="Joint Tenant"/>
    <x v="942"/>
    <n v="-2327.9699999999998"/>
    <x v="26"/>
    <m/>
    <m/>
    <m/>
    <n v="2327.9699999999998"/>
    <b v="0"/>
    <m/>
    <m/>
    <s v="+"/>
    <x v="905"/>
    <s v="Delete; and Source='Joint Tenant';0"/>
    <m/>
  </r>
  <r>
    <x v="10"/>
    <d v="2020-08-10T00:00:00"/>
    <s v="Cash Rewards Visa Signature"/>
    <x v="237"/>
    <n v="11.23"/>
    <x v="1"/>
    <m/>
    <m/>
    <m/>
    <n v="11.23"/>
    <b v="0"/>
    <m/>
    <m/>
    <s v="-"/>
    <x v="235"/>
    <s v="Create Rule; and Description like '%McDonald%';Restaurants"/>
    <m/>
  </r>
  <r>
    <x v="10"/>
    <d v="2020-08-10T00:00:00"/>
    <s v="Cash Rewards Visa Signature"/>
    <x v="943"/>
    <n v="53.23"/>
    <x v="26"/>
    <m/>
    <m/>
    <m/>
    <n v="53.23"/>
    <b v="0"/>
    <m/>
    <m/>
    <s v="-"/>
    <x v="906"/>
    <s v="Create Rule; and Description Like '%NORTH COOP NORTH COOP%';Restaurants"/>
    <m/>
  </r>
  <r>
    <x v="10"/>
    <d v="2020-08-10T00:00:00"/>
    <s v="POWERPLUS"/>
    <x v="157"/>
    <n v="7.43"/>
    <x v="8"/>
    <m/>
    <m/>
    <m/>
    <n v="7.43"/>
    <b v="0"/>
    <m/>
    <m/>
    <s v="-"/>
    <x v="156"/>
    <s v="Create Rule; and Description Like '%PayPal%';Shopping"/>
    <m/>
  </r>
  <r>
    <x v="10"/>
    <d v="2020-08-10T00:00:00"/>
    <s v="POWERPLUS"/>
    <x v="157"/>
    <n v="90"/>
    <x v="8"/>
    <m/>
    <m/>
    <m/>
    <n v="90"/>
    <b v="0"/>
    <m/>
    <m/>
    <s v="-"/>
    <x v="156"/>
    <s v="Create Rule; and Description Like '%PayPal%';Shopping"/>
    <m/>
  </r>
  <r>
    <x v="10"/>
    <d v="2020-08-10T00:00:00"/>
    <s v="Cash Rewards Visa Signature"/>
    <x v="944"/>
    <n v="17.149999999999999"/>
    <x v="26"/>
    <m/>
    <m/>
    <m/>
    <n v="17.149999999999999"/>
    <b v="0"/>
    <m/>
    <m/>
    <s v="-"/>
    <x v="907"/>
    <s v="Manual"/>
    <m/>
  </r>
  <r>
    <x v="10"/>
    <d v="2020-08-10T00:00:00"/>
    <s v="Jeff IRA"/>
    <x v="945"/>
    <n v="961.15"/>
    <x v="26"/>
    <m/>
    <m/>
    <m/>
    <n v="961.15"/>
    <b v="0"/>
    <m/>
    <m/>
    <s v="-"/>
    <x v="908"/>
    <m/>
    <m/>
  </r>
  <r>
    <x v="10"/>
    <d v="2020-08-12T00:00:00"/>
    <s v="Cash Rewards Visa Signature"/>
    <x v="0"/>
    <n v="13.95"/>
    <x v="0"/>
    <m/>
    <m/>
    <m/>
    <n v="13.95"/>
    <b v="0"/>
    <m/>
    <m/>
    <s v="-"/>
    <x v="0"/>
    <s v="Create Rule; and Description='Amazon';Amazon"/>
    <m/>
  </r>
  <r>
    <x v="10"/>
    <d v="2020-08-12T00:00:00"/>
    <s v="Cash Rewards Visa Signature"/>
    <x v="889"/>
    <n v="7.55"/>
    <x v="26"/>
    <m/>
    <m/>
    <m/>
    <n v="7.55"/>
    <b v="0"/>
    <m/>
    <m/>
    <s v="-"/>
    <x v="854"/>
    <s v="Manual"/>
    <m/>
  </r>
  <r>
    <x v="10"/>
    <d v="2020-08-12T00:00:00"/>
    <s v="POWERPLUS"/>
    <x v="946"/>
    <n v="391.2"/>
    <x v="26"/>
    <m/>
    <m/>
    <m/>
    <n v="391.2"/>
    <b v="0"/>
    <m/>
    <m/>
    <s v="-"/>
    <x v="909"/>
    <s v="Manual"/>
    <m/>
  </r>
  <r>
    <x v="10"/>
    <d v="2020-08-12T00:00:00"/>
    <s v="Joint Tenant"/>
    <x v="141"/>
    <n v="-66.38"/>
    <x v="26"/>
    <m/>
    <m/>
    <m/>
    <n v="66.38"/>
    <b v="0"/>
    <m/>
    <m/>
    <s v="+"/>
    <x v="140"/>
    <s v="Create Rule; and Description='VANGUARD INTRMDIAT TRM TRSRY ETF';Dividend"/>
    <m/>
  </r>
  <r>
    <x v="10"/>
    <d v="2020-08-12T00:00:00"/>
    <s v="Joint Tenant"/>
    <x v="141"/>
    <n v="-2463.4"/>
    <x v="26"/>
    <m/>
    <m/>
    <m/>
    <n v="2463.4"/>
    <b v="0"/>
    <m/>
    <m/>
    <s v="+"/>
    <x v="140"/>
    <s v="Create Rule; and Description='VANGUARD INTRMDIAT TRM TRSRY ETF';Dividend"/>
    <m/>
  </r>
  <r>
    <x v="10"/>
    <d v="2020-08-13T00:00:00"/>
    <s v="Jeff IRA"/>
    <x v="165"/>
    <n v="-4.12"/>
    <x v="26"/>
    <m/>
    <m/>
    <m/>
    <n v="4.12"/>
    <b v="0"/>
    <m/>
    <m/>
    <s v="+"/>
    <x v="164"/>
    <s v="Create Rule; and Description='APPLE INC';Dividend"/>
    <m/>
  </r>
  <r>
    <x v="10"/>
    <d v="2020-08-13T00:00:00"/>
    <s v="Joint Tenant"/>
    <x v="165"/>
    <n v="-45.82"/>
    <x v="26"/>
    <m/>
    <m/>
    <m/>
    <n v="45.82"/>
    <b v="0"/>
    <m/>
    <m/>
    <s v="+"/>
    <x v="164"/>
    <s v="Create Rule; and Description='APPLE INC';Dividend"/>
    <m/>
  </r>
  <r>
    <x v="10"/>
    <d v="2020-08-13T00:00:00"/>
    <s v="POWERPLUS"/>
    <x v="947"/>
    <n v="-2833.92"/>
    <x v="26"/>
    <m/>
    <m/>
    <m/>
    <n v="2833.92"/>
    <b v="0"/>
    <m/>
    <m/>
    <s v="+"/>
    <x v="910"/>
    <s v="Manual"/>
    <m/>
  </r>
  <r>
    <x v="10"/>
    <d v="2020-08-13T00:00:00"/>
    <s v="Cash Rewards Visa Signature"/>
    <x v="6"/>
    <n v="86.81"/>
    <x v="5"/>
    <m/>
    <m/>
    <m/>
    <n v="86.81"/>
    <b v="0"/>
    <m/>
    <m/>
    <s v="-"/>
    <x v="6"/>
    <s v="Create Rule; and Description Like '%Cub Foods%';Groceries"/>
    <m/>
  </r>
  <r>
    <x v="10"/>
    <d v="2020-08-13T00:00:00"/>
    <s v="Cash Rewards Visa Signature"/>
    <x v="68"/>
    <n v="18"/>
    <x v="26"/>
    <m/>
    <m/>
    <m/>
    <n v="18"/>
    <b v="0"/>
    <m/>
    <m/>
    <s v="-"/>
    <x v="68"/>
    <s v="Create Rule; and Description='Harvard Business';Entertainment"/>
    <m/>
  </r>
  <r>
    <x v="10"/>
    <d v="2020-08-13T00:00:00"/>
    <s v="Cash Rewards Visa Signature"/>
    <x v="948"/>
    <n v="56.7"/>
    <x v="26"/>
    <m/>
    <m/>
    <m/>
    <n v="56.7"/>
    <b v="0"/>
    <m/>
    <m/>
    <s v="-"/>
    <x v="911"/>
    <s v="Manual"/>
    <m/>
  </r>
  <r>
    <x v="10"/>
    <d v="2020-08-13T00:00:00"/>
    <s v="Cash Rewards Visa Signature"/>
    <x v="949"/>
    <n v="220.5"/>
    <x v="26"/>
    <m/>
    <m/>
    <m/>
    <n v="220.5"/>
    <b v="0"/>
    <m/>
    <m/>
    <s v="-"/>
    <x v="912"/>
    <s v="Manual"/>
    <m/>
  </r>
  <r>
    <x v="10"/>
    <d v="2020-08-14T00:00:00"/>
    <s v="Cash Rewards Visa Signature"/>
    <x v="936"/>
    <n v="-996.86"/>
    <x v="26"/>
    <m/>
    <m/>
    <m/>
    <n v="996.86"/>
    <b v="0"/>
    <m/>
    <m/>
    <s v="+"/>
    <x v="900"/>
    <s v="Delete; and Description Like '%PAYMENT THANK YOU%';0"/>
    <m/>
  </r>
  <r>
    <x v="10"/>
    <d v="2020-08-14T00:00:00"/>
    <s v="POWERPLUS"/>
    <x v="937"/>
    <n v="996.86"/>
    <x v="26"/>
    <m/>
    <m/>
    <m/>
    <n v="996.86"/>
    <b v="0"/>
    <m/>
    <m/>
    <s v="-"/>
    <x v="901"/>
    <s v="Delete; and Description Like '%Withdrawal Home payment to card%';0"/>
    <m/>
  </r>
  <r>
    <x v="10"/>
    <d v="2020-08-14T00:00:00"/>
    <s v="Cash Rewards Visa Signature"/>
    <x v="0"/>
    <n v="64.41"/>
    <x v="0"/>
    <m/>
    <m/>
    <m/>
    <n v="64.41"/>
    <b v="0"/>
    <m/>
    <m/>
    <s v="-"/>
    <x v="0"/>
    <s v="Create Rule; and Description='Amazon';Amazon"/>
    <m/>
  </r>
  <r>
    <x v="10"/>
    <d v="2020-08-14T00:00:00"/>
    <s v="POWERPLUS"/>
    <x v="48"/>
    <n v="102.94"/>
    <x v="16"/>
    <m/>
    <m/>
    <m/>
    <n v="102.94"/>
    <b v="0"/>
    <m/>
    <m/>
    <s v="-"/>
    <x v="48"/>
    <s v="Create Rule; and Description='American Family Insurance';Insurance"/>
    <m/>
  </r>
  <r>
    <x v="10"/>
    <d v="2020-08-14T00:00:00"/>
    <s v="Jeff IRA"/>
    <x v="165"/>
    <n v="4.12"/>
    <x v="26"/>
    <m/>
    <m/>
    <m/>
    <n v="4.12"/>
    <b v="0"/>
    <m/>
    <m/>
    <s v="-"/>
    <x v="164"/>
    <s v="Create Rule; and Description='APPLE INC';Dividend"/>
    <m/>
  </r>
  <r>
    <x v="10"/>
    <d v="2020-08-14T00:00:00"/>
    <s v="Joint Tenant"/>
    <x v="165"/>
    <n v="45.82"/>
    <x v="26"/>
    <m/>
    <m/>
    <m/>
    <n v="45.82"/>
    <b v="0"/>
    <m/>
    <m/>
    <s v="-"/>
    <x v="164"/>
    <s v="Create Rule; and Description='APPLE INC';Dividend"/>
    <m/>
  </r>
  <r>
    <x v="10"/>
    <d v="2020-08-14T00:00:00"/>
    <s v="Joint Tenant"/>
    <x v="950"/>
    <n v="-250"/>
    <x v="26"/>
    <m/>
    <m/>
    <m/>
    <n v="250"/>
    <b v="0"/>
    <m/>
    <m/>
    <s v="+"/>
    <x v="913"/>
    <s v="Create Rule; and Description Like '%CONNECTED ANALYT%';Inc - Jeff"/>
    <m/>
  </r>
  <r>
    <x v="10"/>
    <d v="2020-08-14T00:00:00"/>
    <s v="POWERPLUS"/>
    <x v="157"/>
    <n v="68.989999999999995"/>
    <x v="8"/>
    <m/>
    <m/>
    <m/>
    <n v="68.989999999999995"/>
    <b v="0"/>
    <m/>
    <m/>
    <s v="-"/>
    <x v="156"/>
    <s v="Create Rule; and Description Like '%PayPal%';Shopping"/>
    <m/>
  </r>
  <r>
    <x v="10"/>
    <d v="2020-08-14T00:00:00"/>
    <s v="RAINY DAY"/>
    <x v="515"/>
    <n v="-300"/>
    <x v="26"/>
    <m/>
    <m/>
    <m/>
    <n v="300"/>
    <b v="0"/>
    <m/>
    <m/>
    <s v="+"/>
    <x v="496"/>
    <s v="Create Rule; and Description='Share';Delete"/>
    <m/>
  </r>
  <r>
    <x v="10"/>
    <d v="2020-08-14T00:00:00"/>
    <s v="Jeff IRA"/>
    <x v="951"/>
    <n v="-250"/>
    <x v="26"/>
    <m/>
    <m/>
    <m/>
    <n v="250"/>
    <b v="0"/>
    <m/>
    <m/>
    <s v="+"/>
    <x v="914"/>
    <s v="Create Rule; and Description Like '%CONNECTED ANALYT%';Inc - Jeff"/>
    <m/>
  </r>
  <r>
    <x v="10"/>
    <d v="2020-08-14T00:00:00"/>
    <s v="POWERPLUS"/>
    <x v="952"/>
    <n v="300"/>
    <x v="26"/>
    <m/>
    <m/>
    <m/>
    <n v="300"/>
    <b v="0"/>
    <m/>
    <m/>
    <s v="-"/>
    <x v="915"/>
    <s v="Create Rule; and Description='To Share 12';Delete"/>
    <m/>
  </r>
  <r>
    <x v="10"/>
    <d v="2020-08-14T00:00:00"/>
    <s v="Joint Tenant"/>
    <x v="611"/>
    <n v="-5.55"/>
    <x v="26"/>
    <m/>
    <m/>
    <m/>
    <n v="5.55"/>
    <b v="0"/>
    <m/>
    <m/>
    <s v="+"/>
    <x v="590"/>
    <s v="Delete; and Source='Joint Tenant';0"/>
    <m/>
  </r>
  <r>
    <x v="10"/>
    <d v="2020-08-15T00:00:00"/>
    <s v="Cash Rewards Visa Signature"/>
    <x v="936"/>
    <n v="-1061.27"/>
    <x v="26"/>
    <m/>
    <m/>
    <m/>
    <n v="1061.27"/>
    <b v="0"/>
    <m/>
    <m/>
    <s v="+"/>
    <x v="900"/>
    <s v="Delete; and Description Like '%PAYMENT THANK YOU%';0"/>
    <m/>
  </r>
  <r>
    <x v="10"/>
    <d v="2020-08-15T00:00:00"/>
    <s v="POWERPLUS"/>
    <x v="937"/>
    <n v="1061.27"/>
    <x v="26"/>
    <m/>
    <m/>
    <m/>
    <n v="1061.27"/>
    <b v="0"/>
    <m/>
    <m/>
    <s v="-"/>
    <x v="901"/>
    <s v="Delete; and Description Like '%Withdrawal Home payment to card%';0"/>
    <m/>
  </r>
  <r>
    <x v="10"/>
    <d v="2020-08-15T00:00:00"/>
    <s v="Discover More Card"/>
    <x v="0"/>
    <n v="11.78"/>
    <x v="0"/>
    <m/>
    <m/>
    <m/>
    <n v="11.78"/>
    <b v="0"/>
    <m/>
    <m/>
    <s v="-"/>
    <x v="0"/>
    <s v="Create Rule; and Description='Amazon';Amazon"/>
    <m/>
  </r>
  <r>
    <x v="10"/>
    <d v="2020-08-15T00:00:00"/>
    <s v="Discover"/>
    <x v="0"/>
    <n v="11.78"/>
    <x v="0"/>
    <m/>
    <m/>
    <m/>
    <n v="11.78"/>
    <b v="0"/>
    <m/>
    <m/>
    <s v="-"/>
    <x v="0"/>
    <s v="Create Rule; and Description='Amazon';Amazon"/>
    <m/>
  </r>
  <r>
    <x v="10"/>
    <d v="2020-08-15T00:00:00"/>
    <s v="POWERPLUS"/>
    <x v="515"/>
    <n v="-203"/>
    <x v="26"/>
    <m/>
    <m/>
    <m/>
    <n v="203"/>
    <b v="0"/>
    <m/>
    <m/>
    <s v="+"/>
    <x v="496"/>
    <s v="Create Rule; and Description='Share';Delete"/>
    <m/>
  </r>
  <r>
    <x v="10"/>
    <d v="2020-08-15T00:00:00"/>
    <s v="SHARE SAVINGS"/>
    <x v="953"/>
    <n v="203"/>
    <x v="26"/>
    <m/>
    <m/>
    <m/>
    <n v="203"/>
    <b v="0"/>
    <m/>
    <m/>
    <s v="-"/>
    <x v="916"/>
    <s v="Manual"/>
    <m/>
  </r>
  <r>
    <x v="10"/>
    <d v="2020-08-16T00:00:00"/>
    <s v="POWERPLUS"/>
    <x v="446"/>
    <n v="-56.7"/>
    <x v="26"/>
    <m/>
    <m/>
    <m/>
    <n v="56.7"/>
    <b v="0"/>
    <m/>
    <m/>
    <s v="+"/>
    <x v="430"/>
    <s v="Manual"/>
    <m/>
  </r>
  <r>
    <x v="10"/>
    <d v="2020-08-16T00:00:00"/>
    <s v="Cash Rewards Visa Signature"/>
    <x v="6"/>
    <n v="51.38"/>
    <x v="5"/>
    <m/>
    <m/>
    <m/>
    <n v="51.38"/>
    <b v="0"/>
    <m/>
    <m/>
    <s v="-"/>
    <x v="6"/>
    <s v="Create Rule; and Description Like '%Cub Foods%';Groceries"/>
    <m/>
  </r>
  <r>
    <x v="10"/>
    <d v="2020-08-16T00:00:00"/>
    <s v="Cash Rewards Visa Signature"/>
    <x v="81"/>
    <n v="29.13"/>
    <x v="26"/>
    <m/>
    <m/>
    <m/>
    <n v="29.13"/>
    <b v="0"/>
    <m/>
    <m/>
    <s v="-"/>
    <x v="81"/>
    <s v="Create Rule; and Description='Holiday Stationstore';Transportation"/>
    <m/>
  </r>
  <r>
    <x v="10"/>
    <d v="2020-08-16T00:00:00"/>
    <s v="Cash Rewards Visa Signature"/>
    <x v="206"/>
    <n v="32.950000000000003"/>
    <x v="26"/>
    <m/>
    <m/>
    <m/>
    <n v="32.950000000000003"/>
    <b v="0"/>
    <m/>
    <m/>
    <s v="-"/>
    <x v="205"/>
    <s v="Create Rule; and Description='RISE BAGEL CO MINNEAPOLIS MN';Restaurants"/>
    <m/>
  </r>
  <r>
    <x v="10"/>
    <d v="2020-08-16T00:00:00"/>
    <s v="Cash Rewards Visa Signature"/>
    <x v="627"/>
    <n v="68.37"/>
    <x v="2"/>
    <m/>
    <m/>
    <m/>
    <n v="68.37"/>
    <b v="0"/>
    <m/>
    <m/>
    <s v="-"/>
    <x v="605"/>
    <s v="Manual"/>
    <m/>
  </r>
  <r>
    <x v="10"/>
    <d v="2020-08-17T00:00:00"/>
    <s v="Contributory"/>
    <x v="954"/>
    <n v="-0.06"/>
    <x v="26"/>
    <m/>
    <m/>
    <m/>
    <n v="0.06"/>
    <b v="0"/>
    <m/>
    <m/>
    <s v="+"/>
    <x v="917"/>
    <m/>
    <m/>
  </r>
  <r>
    <x v="10"/>
    <d v="2020-08-17T00:00:00"/>
    <s v="Jeff IRA"/>
    <x v="954"/>
    <n v="-0.04"/>
    <x v="26"/>
    <m/>
    <m/>
    <m/>
    <n v="0.04"/>
    <b v="0"/>
    <m/>
    <m/>
    <s v="+"/>
    <x v="917"/>
    <m/>
    <m/>
  </r>
  <r>
    <x v="10"/>
    <d v="2020-08-17T00:00:00"/>
    <s v="Cash Rewards Visa Signature"/>
    <x v="955"/>
    <n v="17.399999999999999"/>
    <x v="26"/>
    <m/>
    <m/>
    <m/>
    <n v="17.399999999999999"/>
    <b v="0"/>
    <m/>
    <m/>
    <s v="-"/>
    <x v="918"/>
    <s v="Manual"/>
    <m/>
  </r>
  <r>
    <x v="10"/>
    <d v="2020-08-17T00:00:00"/>
    <s v="Cash Rewards Visa Signature"/>
    <x v="955"/>
    <n v="113"/>
    <x v="26"/>
    <m/>
    <m/>
    <m/>
    <n v="113"/>
    <b v="0"/>
    <m/>
    <m/>
    <s v="-"/>
    <x v="918"/>
    <s v="Manual"/>
    <m/>
  </r>
  <r>
    <x v="10"/>
    <d v="2020-08-17T00:00:00"/>
    <s v="POWERPLUS"/>
    <x v="956"/>
    <n v="60.01"/>
    <x v="26"/>
    <m/>
    <m/>
    <m/>
    <n v="60.01"/>
    <b v="0"/>
    <m/>
    <m/>
    <s v="-"/>
    <x v="146"/>
    <s v="Create Rule; and Description Like '%CPENERGY MNGCO%';Utilities"/>
    <m/>
  </r>
  <r>
    <x v="10"/>
    <d v="2020-08-17T00:00:00"/>
    <s v="Cash Rewards Visa Signature"/>
    <x v="890"/>
    <n v="9.11"/>
    <x v="1"/>
    <m/>
    <m/>
    <m/>
    <n v="9.11"/>
    <b v="0"/>
    <m/>
    <m/>
    <s v="-"/>
    <x v="855"/>
    <s v="Manual"/>
    <m/>
  </r>
  <r>
    <x v="10"/>
    <d v="2020-08-17T00:00:00"/>
    <s v="Joint Tenant"/>
    <x v="169"/>
    <n v="-30.86"/>
    <x v="26"/>
    <m/>
    <m/>
    <m/>
    <n v="30.86"/>
    <b v="0"/>
    <m/>
    <m/>
    <s v="+"/>
    <x v="168"/>
    <s v="Create Rule; and Description='PROCTER &amp; GAMBLE';Dividend"/>
    <m/>
  </r>
  <r>
    <x v="10"/>
    <d v="2020-08-17T00:00:00"/>
    <s v="Cash Rewards Visa Signature"/>
    <x v="746"/>
    <n v="35.15"/>
    <x v="26"/>
    <m/>
    <m/>
    <m/>
    <n v="35.15"/>
    <b v="0"/>
    <m/>
    <m/>
    <s v="-"/>
    <x v="719"/>
    <s v="Manual"/>
    <m/>
  </r>
  <r>
    <x v="10"/>
    <d v="2020-08-18T00:00:00"/>
    <s v="Cash Rewards Visa Signature"/>
    <x v="259"/>
    <n v="74.540000000000006"/>
    <x v="26"/>
    <m/>
    <m/>
    <m/>
    <n v="74.540000000000006"/>
    <b v="0"/>
    <m/>
    <m/>
    <s v="-"/>
    <x v="257"/>
    <s v="Create Rule; and Description Like '%Etsy.com%';Shopping"/>
    <m/>
  </r>
  <r>
    <x v="10"/>
    <d v="2020-08-18T00:00:00"/>
    <s v="POWERPLUS"/>
    <x v="957"/>
    <n v="200"/>
    <x v="26"/>
    <m/>
    <m/>
    <m/>
    <n v="200"/>
    <b v="0"/>
    <m/>
    <m/>
    <s v="-"/>
    <x v="919"/>
    <s v="Create Rule; and Description Like '%MN DIR ACH%';College Savings"/>
    <m/>
  </r>
  <r>
    <x v="10"/>
    <d v="2020-08-18T00:00:00"/>
    <s v="POWERPLUS"/>
    <x v="157"/>
    <n v="14.99"/>
    <x v="8"/>
    <m/>
    <m/>
    <m/>
    <n v="14.99"/>
    <b v="0"/>
    <m/>
    <m/>
    <s v="-"/>
    <x v="156"/>
    <s v="Create Rule; and Description Like '%PayPal%';Shopping"/>
    <m/>
  </r>
  <r>
    <x v="10"/>
    <d v="2020-08-18T00:00:00"/>
    <s v="Joint Tenant"/>
    <x v="169"/>
    <n v="30.86"/>
    <x v="26"/>
    <m/>
    <m/>
    <m/>
    <n v="30.86"/>
    <b v="0"/>
    <m/>
    <m/>
    <s v="-"/>
    <x v="168"/>
    <s v="Create Rule; and Description='PROCTER &amp; GAMBLE';Dividend"/>
    <m/>
  </r>
  <r>
    <x v="10"/>
    <d v="2020-08-19T00:00:00"/>
    <s v="POWERPLUS"/>
    <x v="958"/>
    <n v="-1993.07"/>
    <x v="26"/>
    <m/>
    <m/>
    <m/>
    <n v="1993.07"/>
    <b v="0"/>
    <m/>
    <m/>
    <s v="+"/>
    <x v="920"/>
    <s v="Create Rule; and Description Like '%CARGILL COCOA TYPE DIR DEP ID%';Inc - Britney"/>
    <m/>
  </r>
  <r>
    <x v="10"/>
    <d v="2020-08-19T00:00:00"/>
    <s v="POWERPLUS"/>
    <x v="157"/>
    <n v="68.989999999999995"/>
    <x v="8"/>
    <m/>
    <m/>
    <m/>
    <n v="68.989999999999995"/>
    <b v="0"/>
    <m/>
    <m/>
    <s v="-"/>
    <x v="156"/>
    <s v="Create Rule; and Description Like '%PayPal%';Shopping"/>
    <m/>
  </r>
  <r>
    <x v="10"/>
    <d v="2020-08-19T00:00:00"/>
    <s v="Cash Rewards Visa Signature"/>
    <x v="53"/>
    <n v="68.08"/>
    <x v="26"/>
    <m/>
    <m/>
    <m/>
    <n v="68.08"/>
    <b v="0"/>
    <m/>
    <m/>
    <s v="-"/>
    <x v="53"/>
    <s v="Manual"/>
    <m/>
  </r>
  <r>
    <x v="10"/>
    <d v="2020-08-20T00:00:00"/>
    <s v="Joint Tenant"/>
    <x v="232"/>
    <n v="502.05"/>
    <x v="26"/>
    <m/>
    <m/>
    <m/>
    <n v="502.05"/>
    <b v="0"/>
    <m/>
    <m/>
    <s v="-"/>
    <x v="230"/>
    <s v="Create Rule; and Description='BOEING CO';Dividend"/>
    <m/>
  </r>
  <r>
    <x v="10"/>
    <d v="2020-08-20T00:00:00"/>
    <s v="Cash Rewards Visa Signature"/>
    <x v="6"/>
    <n v="72.03"/>
    <x v="5"/>
    <m/>
    <m/>
    <m/>
    <n v="72.03"/>
    <b v="0"/>
    <m/>
    <m/>
    <s v="-"/>
    <x v="6"/>
    <s v="Create Rule; and Description Like '%Cub Foods%';Groceries"/>
    <m/>
  </r>
  <r>
    <x v="10"/>
    <d v="2020-08-20T00:00:00"/>
    <s v="Discover More Card"/>
    <x v="696"/>
    <n v="33.11"/>
    <x v="26"/>
    <m/>
    <m/>
    <m/>
    <n v="33.11"/>
    <b v="0"/>
    <m/>
    <m/>
    <s v="-"/>
    <x v="672"/>
    <m/>
    <m/>
  </r>
  <r>
    <x v="10"/>
    <d v="2020-08-20T00:00:00"/>
    <s v="Discover"/>
    <x v="696"/>
    <n v="33.11"/>
    <x v="26"/>
    <m/>
    <m/>
    <m/>
    <n v="33.11"/>
    <b v="0"/>
    <m/>
    <m/>
    <s v="-"/>
    <x v="672"/>
    <s v="Manual"/>
    <m/>
  </r>
  <r>
    <x v="10"/>
    <d v="2020-08-20T00:00:00"/>
    <s v="Joint Tenant"/>
    <x v="959"/>
    <n v="-50"/>
    <x v="26"/>
    <m/>
    <m/>
    <m/>
    <n v="50"/>
    <b v="0"/>
    <m/>
    <m/>
    <s v="+"/>
    <x v="921"/>
    <s v="Delete; and Source='Joint Tenant';0"/>
    <m/>
  </r>
  <r>
    <x v="10"/>
    <d v="2020-08-20T00:00:00"/>
    <s v="POWERPLUS"/>
    <x v="960"/>
    <n v="391.2"/>
    <x v="26"/>
    <m/>
    <m/>
    <m/>
    <n v="391.2"/>
    <b v="0"/>
    <m/>
    <m/>
    <s v="-"/>
    <x v="922"/>
    <s v="Manual"/>
    <m/>
  </r>
  <r>
    <x v="10"/>
    <d v="2020-08-20T00:00:00"/>
    <s v="Joint Tenant"/>
    <x v="19"/>
    <n v="200"/>
    <x v="26"/>
    <m/>
    <m/>
    <m/>
    <n v="200"/>
    <b v="0"/>
    <m/>
    <m/>
    <s v="-"/>
    <x v="19"/>
    <s v="Delete; and Description='SCHWAB S&amp;P 500 INDEX FD' and inflowoutflow='-';0"/>
    <m/>
  </r>
  <r>
    <x v="10"/>
    <d v="2020-08-20T00:00:00"/>
    <s v="Joint Tenant"/>
    <x v="20"/>
    <n v="200"/>
    <x v="26"/>
    <m/>
    <m/>
    <m/>
    <n v="200"/>
    <b v="0"/>
    <m/>
    <m/>
    <s v="-"/>
    <x v="20"/>
    <s v="Delete; and Description='SCHWAB TOTAL STOCK MKT INDEX' and inflowoutflow='-';0"/>
    <m/>
  </r>
  <r>
    <x v="10"/>
    <d v="2020-08-21T00:00:00"/>
    <s v="Discover More Card"/>
    <x v="0"/>
    <n v="-71.67"/>
    <x v="0"/>
    <m/>
    <m/>
    <m/>
    <n v="71.67"/>
    <b v="0"/>
    <m/>
    <m/>
    <s v="+"/>
    <x v="0"/>
    <s v="Create Rule; and Description='Amazon';Amazon"/>
    <m/>
  </r>
  <r>
    <x v="10"/>
    <d v="2020-08-21T00:00:00"/>
    <s v="Discover"/>
    <x v="0"/>
    <n v="-71.67"/>
    <x v="0"/>
    <m/>
    <m/>
    <m/>
    <n v="71.67"/>
    <b v="0"/>
    <m/>
    <m/>
    <s v="+"/>
    <x v="0"/>
    <s v="Create Rule; and Description='Amazon';Amazon"/>
    <m/>
  </r>
  <r>
    <x v="10"/>
    <d v="2020-08-21T00:00:00"/>
    <s v="POWERPLUS"/>
    <x v="961"/>
    <n v="91.38"/>
    <x v="26"/>
    <m/>
    <m/>
    <m/>
    <n v="91.38"/>
    <b v="0"/>
    <m/>
    <m/>
    <s v="-"/>
    <x v="923"/>
    <s v="Create Rule; and Description Like '%Banana Visa%';Shopping"/>
    <m/>
  </r>
  <r>
    <x v="10"/>
    <d v="2020-08-21T00:00:00"/>
    <s v="Joint Tenant"/>
    <x v="185"/>
    <n v="-200"/>
    <x v="26"/>
    <m/>
    <m/>
    <m/>
    <n v="200"/>
    <b v="0"/>
    <m/>
    <m/>
    <s v="+"/>
    <x v="184"/>
    <s v="Create Rule; and Description='CARGILL COCOA &amp;';Roth"/>
    <m/>
  </r>
  <r>
    <x v="10"/>
    <d v="2020-08-21T00:00:00"/>
    <s v="POWERPLUS"/>
    <x v="84"/>
    <n v="117.65"/>
    <x v="26"/>
    <m/>
    <m/>
    <m/>
    <n v="117.65"/>
    <b v="0"/>
    <m/>
    <m/>
    <s v="-"/>
    <x v="84"/>
    <s v="Create Rule; and Description='City of Chanhassen';Utilities"/>
    <m/>
  </r>
  <r>
    <x v="10"/>
    <d v="2020-08-21T00:00:00"/>
    <s v="Joint Tenant"/>
    <x v="190"/>
    <n v="-18.88"/>
    <x v="26"/>
    <m/>
    <m/>
    <m/>
    <n v="18.88"/>
    <b v="0"/>
    <m/>
    <m/>
    <s v="+"/>
    <x v="189"/>
    <s v="Create Rule; and Description='STARBUCKS CORP';Restaurants"/>
    <m/>
  </r>
  <r>
    <x v="10"/>
    <d v="2020-08-21T00:00:00"/>
    <s v="Contributory"/>
    <x v="51"/>
    <n v="-231"/>
    <x v="26"/>
    <m/>
    <m/>
    <m/>
    <n v="231"/>
    <b v="0"/>
    <m/>
    <m/>
    <s v="+"/>
    <x v="51"/>
    <s v="Create Rule; and Description='Tfr JPMORGAN CHASE BAN, CARGILL COCOA &amp;';Roth"/>
    <m/>
  </r>
  <r>
    <x v="10"/>
    <d v="2020-08-23T00:00:00"/>
    <s v="Discover More Card"/>
    <x v="81"/>
    <n v="13.88"/>
    <x v="26"/>
    <m/>
    <m/>
    <m/>
    <n v="13.88"/>
    <b v="0"/>
    <m/>
    <m/>
    <s v="-"/>
    <x v="81"/>
    <s v="Create Rule; and Description='Holiday Stationstore';Transportation"/>
    <m/>
  </r>
  <r>
    <x v="10"/>
    <d v="2020-08-23T00:00:00"/>
    <s v="Discover"/>
    <x v="81"/>
    <n v="13.88"/>
    <x v="26"/>
    <m/>
    <m/>
    <m/>
    <n v="13.88"/>
    <b v="0"/>
    <m/>
    <m/>
    <s v="-"/>
    <x v="81"/>
    <s v="Create Rule; and Description='Holiday Stationstore';Transportation"/>
    <m/>
  </r>
  <r>
    <x v="10"/>
    <d v="2020-08-23T00:00:00"/>
    <s v="Investor Checking"/>
    <x v="962"/>
    <n v="68.239999999999995"/>
    <x v="26"/>
    <m/>
    <m/>
    <m/>
    <n v="68.239999999999995"/>
    <b v="0"/>
    <m/>
    <m/>
    <s v="-"/>
    <x v="924"/>
    <s v="Manual"/>
    <m/>
  </r>
  <r>
    <x v="10"/>
    <d v="2020-08-23T00:00:00"/>
    <s v="Cash Rewards Visa Signature"/>
    <x v="963"/>
    <n v="6.44"/>
    <x v="26"/>
    <m/>
    <m/>
    <m/>
    <n v="6.44"/>
    <b v="0"/>
    <m/>
    <m/>
    <s v="-"/>
    <x v="925"/>
    <s v="Manual"/>
    <m/>
  </r>
  <r>
    <x v="10"/>
    <d v="2020-08-23T00:00:00"/>
    <s v="Cash Rewards Visa Signature"/>
    <x v="964"/>
    <n v="10.72"/>
    <x v="26"/>
    <m/>
    <m/>
    <m/>
    <n v="10.72"/>
    <b v="0"/>
    <m/>
    <m/>
    <s v="-"/>
    <x v="926"/>
    <s v="Manual"/>
    <m/>
  </r>
  <r>
    <x v="10"/>
    <d v="2020-08-23T00:00:00"/>
    <s v="Cash Rewards Visa Signature"/>
    <x v="579"/>
    <n v="25"/>
    <x v="1"/>
    <m/>
    <m/>
    <m/>
    <n v="25"/>
    <b v="0"/>
    <m/>
    <m/>
    <s v="-"/>
    <x v="560"/>
    <s v="Create Rule; and Description='Starbucks';Restaurants"/>
    <m/>
  </r>
  <r>
    <x v="10"/>
    <d v="2020-08-23T00:00:00"/>
    <s v="Cash Rewards Visa Signature"/>
    <x v="965"/>
    <n v="67.44"/>
    <x v="26"/>
    <m/>
    <m/>
    <m/>
    <n v="67.44"/>
    <b v="0"/>
    <m/>
    <m/>
    <s v="-"/>
    <x v="927"/>
    <s v="Create Rule; and Description Like '%RED COW%';Restaurants"/>
    <m/>
  </r>
  <r>
    <x v="10"/>
    <d v="2020-08-24T00:00:00"/>
    <s v="Cash Rewards Visa Signature"/>
    <x v="81"/>
    <n v="2.27"/>
    <x v="26"/>
    <m/>
    <m/>
    <m/>
    <n v="2.27"/>
    <b v="0"/>
    <m/>
    <m/>
    <s v="-"/>
    <x v="81"/>
    <s v="Create Rule; and Description='Holiday Stationstore';Transportation"/>
    <m/>
  </r>
  <r>
    <x v="10"/>
    <d v="2020-08-24T00:00:00"/>
    <s v="POWERPLUS"/>
    <x v="966"/>
    <n v="391.2"/>
    <x v="26"/>
    <m/>
    <m/>
    <m/>
    <n v="391.2"/>
    <b v="0"/>
    <m/>
    <m/>
    <s v="-"/>
    <x v="928"/>
    <s v="Manual"/>
    <m/>
  </r>
  <r>
    <x v="10"/>
    <d v="2020-08-24T00:00:00"/>
    <s v="POWERPLUS"/>
    <x v="157"/>
    <n v="14.99"/>
    <x v="8"/>
    <m/>
    <m/>
    <m/>
    <n v="14.99"/>
    <b v="0"/>
    <m/>
    <m/>
    <s v="-"/>
    <x v="156"/>
    <s v="Create Rule; and Description Like '%PayPal%';Shopping"/>
    <m/>
  </r>
  <r>
    <x v="10"/>
    <d v="2020-08-24T00:00:00"/>
    <s v="RAINY DAY"/>
    <x v="515"/>
    <n v="-200"/>
    <x v="26"/>
    <m/>
    <m/>
    <m/>
    <n v="200"/>
    <b v="0"/>
    <m/>
    <m/>
    <s v="+"/>
    <x v="496"/>
    <s v="Create Rule; and Description='Share';Delete"/>
    <m/>
  </r>
  <r>
    <x v="10"/>
    <d v="2020-08-24T00:00:00"/>
    <s v="Joint Tenant"/>
    <x v="190"/>
    <n v="18.88"/>
    <x v="26"/>
    <m/>
    <m/>
    <m/>
    <n v="18.88"/>
    <b v="0"/>
    <m/>
    <m/>
    <s v="-"/>
    <x v="189"/>
    <s v="Create Rule; and Description='STARBUCKS CORP';Restaurants"/>
    <m/>
  </r>
  <r>
    <x v="10"/>
    <d v="2020-08-24T00:00:00"/>
    <s v="POWERPLUS"/>
    <x v="952"/>
    <n v="200"/>
    <x v="26"/>
    <m/>
    <m/>
    <m/>
    <n v="200"/>
    <b v="0"/>
    <m/>
    <m/>
    <s v="-"/>
    <x v="915"/>
    <s v="Create Rule; and Description='To Share 12';Delete"/>
    <m/>
  </r>
  <r>
    <x v="10"/>
    <d v="2020-08-25T00:00:00"/>
    <s v="Cash Rewards Visa Signature"/>
    <x v="821"/>
    <n v="69.73"/>
    <x v="26"/>
    <m/>
    <m/>
    <m/>
    <n v="69.73"/>
    <b v="0"/>
    <m/>
    <m/>
    <s v="-"/>
    <x v="790"/>
    <s v="Manual"/>
    <m/>
  </r>
  <r>
    <x v="10"/>
    <d v="2020-08-25T00:00:00"/>
    <s v="Cash Rewards Visa Signature"/>
    <x v="949"/>
    <n v="770.58"/>
    <x v="26"/>
    <m/>
    <m/>
    <m/>
    <n v="770.58"/>
    <b v="0"/>
    <m/>
    <m/>
    <s v="-"/>
    <x v="912"/>
    <s v="Manual"/>
    <m/>
  </r>
  <r>
    <x v="10"/>
    <d v="2020-08-25T00:00:00"/>
    <s v="POWERPLUS"/>
    <x v="34"/>
    <n v="207.79"/>
    <x v="12"/>
    <m/>
    <m/>
    <m/>
    <n v="207.79"/>
    <b v="0"/>
    <m/>
    <m/>
    <s v="-"/>
    <x v="34"/>
    <s v="Create Rule; and Description='Target';Target"/>
    <m/>
  </r>
  <r>
    <x v="10"/>
    <d v="2020-08-26T00:00:00"/>
    <s v="Cash Rewards Visa Signature"/>
    <x v="967"/>
    <n v="88.32"/>
    <x v="26"/>
    <m/>
    <m/>
    <m/>
    <n v="88.32"/>
    <b v="0"/>
    <m/>
    <m/>
    <s v="-"/>
    <x v="929"/>
    <s v="Manual"/>
    <m/>
  </r>
  <r>
    <x v="10"/>
    <d v="2020-08-26T00:00:00"/>
    <s v="Cash Rewards Visa Signature"/>
    <x v="594"/>
    <n v="23.5"/>
    <x v="28"/>
    <m/>
    <m/>
    <m/>
    <n v="23.5"/>
    <b v="0"/>
    <m/>
    <m/>
    <s v="-"/>
    <x v="575"/>
    <s v="Manual"/>
    <m/>
  </r>
  <r>
    <x v="10"/>
    <d v="2020-08-26T00:00:00"/>
    <s v="Discover More Card"/>
    <x v="99"/>
    <n v="12.99"/>
    <x v="11"/>
    <m/>
    <m/>
    <m/>
    <n v="12.99"/>
    <b v="0"/>
    <m/>
    <m/>
    <s v="-"/>
    <x v="99"/>
    <s v="Create Rule; and Description='Netflix';Utilities"/>
    <m/>
  </r>
  <r>
    <x v="10"/>
    <d v="2020-08-26T00:00:00"/>
    <s v="Discover"/>
    <x v="99"/>
    <n v="12.99"/>
    <x v="11"/>
    <m/>
    <m/>
    <m/>
    <n v="12.99"/>
    <b v="0"/>
    <m/>
    <m/>
    <s v="-"/>
    <x v="99"/>
    <s v="Create Rule; and Description='Netflix';Utilities"/>
    <m/>
  </r>
  <r>
    <x v="10"/>
    <d v="2020-08-26T00:00:00"/>
    <s v="Cash Rewards Visa Signature"/>
    <x v="968"/>
    <n v="175"/>
    <x v="26"/>
    <m/>
    <m/>
    <m/>
    <n v="175"/>
    <b v="0"/>
    <m/>
    <m/>
    <s v="-"/>
    <x v="930"/>
    <s v="Manual"/>
    <m/>
  </r>
  <r>
    <x v="10"/>
    <d v="2020-08-26T00:00:00"/>
    <s v="Cash Rewards Visa Signature"/>
    <x v="55"/>
    <n v="41.71"/>
    <x v="5"/>
    <m/>
    <m/>
    <m/>
    <n v="41.71"/>
    <b v="0"/>
    <m/>
    <m/>
    <s v="-"/>
    <x v="55"/>
    <s v="Create Rule; and Description='Walgreens';Shopping"/>
    <m/>
  </r>
  <r>
    <x v="10"/>
    <d v="2020-08-26T00:00:00"/>
    <s v="Discover More Card"/>
    <x v="101"/>
    <n v="35.99"/>
    <x v="26"/>
    <m/>
    <m/>
    <m/>
    <n v="35.99"/>
    <b v="0"/>
    <m/>
    <m/>
    <s v="-"/>
    <x v="101"/>
    <s v="Create Rule; and Description='WINCHESTER AND RYE VICTORIA MN';Restaurants"/>
    <m/>
  </r>
  <r>
    <x v="10"/>
    <d v="2020-08-26T00:00:00"/>
    <s v="Discover"/>
    <x v="101"/>
    <n v="35.99"/>
    <x v="26"/>
    <m/>
    <m/>
    <m/>
    <n v="35.99"/>
    <b v="0"/>
    <m/>
    <m/>
    <s v="-"/>
    <x v="101"/>
    <s v="Manual"/>
    <m/>
  </r>
  <r>
    <x v="10"/>
    <d v="2020-08-27T00:00:00"/>
    <s v="Cash Rewards Visa Signature"/>
    <x v="6"/>
    <n v="96.38"/>
    <x v="5"/>
    <m/>
    <m/>
    <m/>
    <n v="96.38"/>
    <b v="0"/>
    <m/>
    <m/>
    <s v="-"/>
    <x v="6"/>
    <s v="Create Rule; and Description Like '%Cub Foods%';Groceries"/>
    <m/>
  </r>
  <r>
    <x v="10"/>
    <d v="2020-08-27T00:00:00"/>
    <s v="Cash Rewards Visa Signature"/>
    <x v="79"/>
    <n v="47"/>
    <x v="28"/>
    <m/>
    <m/>
    <m/>
    <n v="47"/>
    <b v="0"/>
    <m/>
    <m/>
    <s v="-"/>
    <x v="79"/>
    <s v="Create Rule; and Description='Elite Nails';Entertainment"/>
    <m/>
  </r>
  <r>
    <x v="10"/>
    <d v="2020-08-27T00:00:00"/>
    <s v="Cash Rewards Visa Signature"/>
    <x v="969"/>
    <n v="3"/>
    <x v="26"/>
    <m/>
    <m/>
    <m/>
    <n v="3"/>
    <b v="0"/>
    <m/>
    <m/>
    <s v="-"/>
    <x v="931"/>
    <s v="Manual"/>
    <m/>
  </r>
  <r>
    <x v="10"/>
    <d v="2020-08-27T00:00:00"/>
    <s v="POWERPLUS"/>
    <x v="29"/>
    <n v="160"/>
    <x v="8"/>
    <m/>
    <m/>
    <m/>
    <n v="160"/>
    <b v="0"/>
    <m/>
    <m/>
    <s v="-"/>
    <x v="29"/>
    <s v="Manual"/>
    <m/>
  </r>
  <r>
    <x v="10"/>
    <d v="2020-08-28T00:00:00"/>
    <s v="POWERPLUS"/>
    <x v="29"/>
    <n v="50"/>
    <x v="8"/>
    <m/>
    <m/>
    <m/>
    <n v="50"/>
    <b v="0"/>
    <m/>
    <m/>
    <s v="-"/>
    <x v="29"/>
    <s v="Manual"/>
    <m/>
  </r>
  <r>
    <x v="10"/>
    <d v="2020-08-30T00:00:00"/>
    <s v="POWERPLUS"/>
    <x v="970"/>
    <n v="-2833.94"/>
    <x v="26"/>
    <m/>
    <m/>
    <m/>
    <n v="2833.94"/>
    <b v="0"/>
    <m/>
    <m/>
    <s v="+"/>
    <x v="910"/>
    <s v="Manual"/>
    <m/>
  </r>
  <r>
    <x v="10"/>
    <d v="2020-08-30T00:00:00"/>
    <s v="Cash Rewards Visa Signature"/>
    <x v="971"/>
    <n v="14.98"/>
    <x v="26"/>
    <m/>
    <m/>
    <m/>
    <n v="14.98"/>
    <b v="0"/>
    <m/>
    <m/>
    <s v="-"/>
    <x v="932"/>
    <s v="Manual"/>
    <m/>
  </r>
  <r>
    <x v="10"/>
    <d v="2020-08-30T00:00:00"/>
    <s v="Cash Rewards Visa Signature"/>
    <x v="971"/>
    <n v="78.02"/>
    <x v="26"/>
    <m/>
    <m/>
    <m/>
    <n v="78.02"/>
    <b v="0"/>
    <m/>
    <m/>
    <s v="-"/>
    <x v="932"/>
    <s v="Manual"/>
    <m/>
  </r>
  <r>
    <x v="10"/>
    <d v="2020-08-30T00:00:00"/>
    <s v="Cash Rewards Visa Signature"/>
    <x v="972"/>
    <n v="75"/>
    <x v="26"/>
    <m/>
    <m/>
    <m/>
    <n v="75"/>
    <b v="0"/>
    <m/>
    <m/>
    <s v="-"/>
    <x v="933"/>
    <s v="Manual"/>
    <m/>
  </r>
  <r>
    <x v="10"/>
    <d v="2020-08-31T00:00:00"/>
    <s v="Cash Rewards Visa Signature"/>
    <x v="936"/>
    <n v="-1169.3699999999999"/>
    <x v="26"/>
    <m/>
    <m/>
    <m/>
    <n v="1169.3699999999999"/>
    <b v="0"/>
    <m/>
    <m/>
    <s v="+"/>
    <x v="900"/>
    <s v="Delete; and Description Like '%PAYMENT THANK YOU%';0"/>
    <m/>
  </r>
  <r>
    <x v="10"/>
    <d v="2020-08-31T00:00:00"/>
    <s v="POWERPLUS"/>
    <x v="937"/>
    <n v="1169.3699999999999"/>
    <x v="26"/>
    <m/>
    <m/>
    <m/>
    <n v="1169.3699999999999"/>
    <b v="0"/>
    <m/>
    <m/>
    <s v="-"/>
    <x v="901"/>
    <s v="Delete; and Description Like '%Withdrawal Home payment to card%';0"/>
    <m/>
  </r>
  <r>
    <x v="10"/>
    <d v="2020-08-31T00:00:00"/>
    <s v="Joint Tenant"/>
    <x v="950"/>
    <n v="-250"/>
    <x v="26"/>
    <m/>
    <m/>
    <m/>
    <n v="250"/>
    <b v="0"/>
    <m/>
    <m/>
    <s v="+"/>
    <x v="913"/>
    <s v="Create Rule; and Description Like '%CONNECTED ANALYT%';Inc - Jeff"/>
    <m/>
  </r>
  <r>
    <x v="10"/>
    <d v="2020-08-31T00:00:00"/>
    <s v="Investor Checking"/>
    <x v="118"/>
    <n v="-0.02"/>
    <x v="26"/>
    <m/>
    <m/>
    <m/>
    <n v="0.02"/>
    <b v="0"/>
    <m/>
    <m/>
    <s v="+"/>
    <x v="118"/>
    <s v="Manual"/>
    <m/>
  </r>
  <r>
    <x v="10"/>
    <d v="2020-08-31T00:00:00"/>
    <s v="POWERPLUS"/>
    <x v="973"/>
    <n v="391.2"/>
    <x v="26"/>
    <m/>
    <m/>
    <m/>
    <n v="391.2"/>
    <b v="0"/>
    <m/>
    <m/>
    <s v="-"/>
    <x v="934"/>
    <s v="Manual"/>
    <m/>
  </r>
  <r>
    <x v="10"/>
    <d v="2020-08-31T00:00:00"/>
    <s v="POWERPLUS"/>
    <x v="157"/>
    <n v="0.99"/>
    <x v="8"/>
    <m/>
    <m/>
    <m/>
    <n v="0.99"/>
    <b v="0"/>
    <m/>
    <m/>
    <s v="-"/>
    <x v="156"/>
    <s v="Create Rule; and Description Like '%PayPal%';Shopping"/>
    <m/>
  </r>
  <r>
    <x v="10"/>
    <d v="2020-08-31T00:00:00"/>
    <s v="POWERPLUS"/>
    <x v="157"/>
    <n v="14.99"/>
    <x v="8"/>
    <m/>
    <m/>
    <m/>
    <n v="14.99"/>
    <b v="0"/>
    <m/>
    <m/>
    <s v="-"/>
    <x v="156"/>
    <s v="Create Rule; and Description Like '%PayPal%';Shopping"/>
    <m/>
  </r>
  <r>
    <x v="10"/>
    <d v="2020-08-31T00:00:00"/>
    <s v="POWERPLUS"/>
    <x v="157"/>
    <n v="19.98"/>
    <x v="8"/>
    <m/>
    <m/>
    <m/>
    <n v="19.98"/>
    <b v="0"/>
    <m/>
    <m/>
    <s v="-"/>
    <x v="156"/>
    <s v="Create Rule; and Description Like '%PayPal%';Shopping"/>
    <m/>
  </r>
  <r>
    <x v="10"/>
    <d v="2020-08-31T00:00:00"/>
    <s v="Cash Rewards Visa Signature"/>
    <x v="136"/>
    <n v="41.64"/>
    <x v="26"/>
    <m/>
    <m/>
    <m/>
    <n v="41.64"/>
    <b v="0"/>
    <m/>
    <m/>
    <s v="-"/>
    <x v="135"/>
    <s v="Create Rule; and Description='Red Wagon Pizza Co';Restaurants"/>
    <m/>
  </r>
  <r>
    <x v="10"/>
    <d v="2020-08-31T00:00:00"/>
    <s v="Investor Checking"/>
    <x v="974"/>
    <n v="8.32"/>
    <x v="26"/>
    <m/>
    <m/>
    <m/>
    <n v="8.32"/>
    <b v="0"/>
    <m/>
    <m/>
    <s v="-"/>
    <x v="935"/>
    <s v="Manual"/>
    <m/>
  </r>
  <r>
    <x v="10"/>
    <d v="2020-08-31T00:00:00"/>
    <s v="RAINY DAY"/>
    <x v="119"/>
    <n v="-14.23"/>
    <x v="26"/>
    <m/>
    <m/>
    <m/>
    <n v="14.23"/>
    <b v="0"/>
    <m/>
    <m/>
    <s v="+"/>
    <x v="119"/>
    <s v="Create Rule; and Description='Split Rate Apy';Inc - Other"/>
    <m/>
  </r>
  <r>
    <x v="10"/>
    <d v="2020-08-31T00:00:00"/>
    <s v="POWERPLUS"/>
    <x v="119"/>
    <n v="-25.41"/>
    <x v="26"/>
    <m/>
    <m/>
    <m/>
    <n v="25.41"/>
    <b v="0"/>
    <m/>
    <m/>
    <s v="+"/>
    <x v="119"/>
    <s v="Create Rule; and Description='Split Rate Apy';Inc - Other"/>
    <m/>
  </r>
  <r>
    <x v="10"/>
    <d v="2020-08-31T00:00:00"/>
    <s v="Jeff IRA"/>
    <x v="951"/>
    <n v="-250"/>
    <x v="26"/>
    <m/>
    <m/>
    <m/>
    <n v="250"/>
    <b v="0"/>
    <m/>
    <m/>
    <s v="+"/>
    <x v="914"/>
    <s v="Create Rule; and Description Like '%CONNECTED ANALYT%';Inc - Jeff"/>
    <m/>
  </r>
  <r>
    <x v="14"/>
    <d v="2020-09-01T00:00:00"/>
    <s v="Cash Rewards Visa Signature"/>
    <x v="0"/>
    <n v="36.44"/>
    <x v="0"/>
    <m/>
    <m/>
    <m/>
    <n v="36.44"/>
    <b v="0"/>
    <m/>
    <m/>
    <s v="-"/>
    <x v="0"/>
    <s v="Create Rule; and Description='Amazon';Amazon"/>
    <m/>
  </r>
  <r>
    <x v="14"/>
    <d v="2020-09-01T00:00:00"/>
    <s v="Cash Rewards Visa Signature"/>
    <x v="0"/>
    <n v="56.85"/>
    <x v="0"/>
    <m/>
    <m/>
    <m/>
    <n v="56.85"/>
    <b v="0"/>
    <m/>
    <m/>
    <s v="-"/>
    <x v="0"/>
    <s v="Create Rule; and Description='Amazon';Amazon"/>
    <m/>
  </r>
  <r>
    <x v="14"/>
    <d v="2020-09-01T00:00:00"/>
    <s v="Cash Rewards Visa Signature"/>
    <x v="598"/>
    <n v="4.28"/>
    <x v="10"/>
    <m/>
    <m/>
    <m/>
    <n v="4.28"/>
    <b v="0"/>
    <m/>
    <m/>
    <s v="-"/>
    <x v="579"/>
    <s v="Create Rule; and Description='Amazon Music';Entertainment"/>
    <m/>
  </r>
  <r>
    <x v="14"/>
    <d v="2020-09-01T00:00:00"/>
    <s v="POWERPLUS"/>
    <x v="975"/>
    <n v="200"/>
    <x v="26"/>
    <m/>
    <m/>
    <m/>
    <n v="200"/>
    <b v="0"/>
    <m/>
    <m/>
    <s v="-"/>
    <x v="16"/>
    <s v="Create Rule; and Description Like '%College Savings%';College Savings"/>
    <m/>
  </r>
  <r>
    <x v="14"/>
    <d v="2020-09-01T00:00:00"/>
    <s v="POWERPLUS"/>
    <x v="446"/>
    <n v="-159.88999999999999"/>
    <x v="26"/>
    <m/>
    <m/>
    <m/>
    <n v="159.88999999999999"/>
    <b v="0"/>
    <m/>
    <m/>
    <s v="+"/>
    <x v="430"/>
    <s v="Manual"/>
    <m/>
  </r>
  <r>
    <x v="14"/>
    <d v="2020-09-01T00:00:00"/>
    <s v="HIGHLANDER"/>
    <x v="976"/>
    <n v="-574.41999999999996"/>
    <x v="26"/>
    <m/>
    <m/>
    <m/>
    <n v="574.41999999999996"/>
    <b v="0"/>
    <m/>
    <m/>
    <s v="+"/>
    <x v="936"/>
    <s v="Create Rule; and Description='From Share 70';Delete"/>
    <m/>
  </r>
  <r>
    <x v="14"/>
    <d v="2020-09-01T00:00:00"/>
    <s v="Joint Tenant"/>
    <x v="187"/>
    <n v="-24.58"/>
    <x v="26"/>
    <m/>
    <m/>
    <m/>
    <n v="24.58"/>
    <b v="0"/>
    <m/>
    <m/>
    <s v="+"/>
    <x v="186"/>
    <s v="Create Rule; and Description='INTEL CORP';Dividend"/>
    <m/>
  </r>
  <r>
    <x v="14"/>
    <d v="2020-09-01T00:00:00"/>
    <s v="Cash Rewards Visa Signature"/>
    <x v="977"/>
    <n v="99.87"/>
    <x v="1"/>
    <m/>
    <m/>
    <m/>
    <n v="99.87"/>
    <b v="0"/>
    <m/>
    <m/>
    <s v="-"/>
    <x v="937"/>
    <s v="Manual"/>
    <m/>
  </r>
  <r>
    <x v="14"/>
    <d v="2020-09-01T00:00:00"/>
    <s v="Cash Rewards Visa Signature"/>
    <x v="978"/>
    <n v="694.47"/>
    <x v="26"/>
    <m/>
    <m/>
    <m/>
    <n v="694.47"/>
    <b v="0"/>
    <m/>
    <m/>
    <s v="-"/>
    <x v="938"/>
    <s v="Manual"/>
    <m/>
  </r>
  <r>
    <x v="14"/>
    <d v="2020-09-01T00:00:00"/>
    <s v="POWERPLUS"/>
    <x v="979"/>
    <n v="618.65"/>
    <x v="26"/>
    <m/>
    <m/>
    <m/>
    <n v="618.65"/>
    <b v="0"/>
    <m/>
    <m/>
    <s v="-"/>
    <x v="939"/>
    <s v="Create Rule; and Description Like '%To Loan 02%';Car Loan"/>
    <m/>
  </r>
  <r>
    <x v="14"/>
    <d v="2020-09-01T00:00:00"/>
    <s v="Joint Tenant"/>
    <x v="138"/>
    <n v="-23.72"/>
    <x v="26"/>
    <m/>
    <m/>
    <m/>
    <n v="23.72"/>
    <b v="0"/>
    <m/>
    <m/>
    <s v="+"/>
    <x v="137"/>
    <s v="Create Rule; and Description='VISA INC CLASS A';Dividend"/>
    <m/>
  </r>
  <r>
    <x v="14"/>
    <d v="2020-09-02T00:00:00"/>
    <s v="Cash Rewards Visa Signature"/>
    <x v="0"/>
    <n v="10.73"/>
    <x v="0"/>
    <m/>
    <m/>
    <m/>
    <n v="10.73"/>
    <b v="0"/>
    <m/>
    <m/>
    <s v="-"/>
    <x v="0"/>
    <s v="Create Rule; and Description='Amazon';Amazon"/>
    <m/>
  </r>
  <r>
    <x v="14"/>
    <d v="2020-09-02T00:00:00"/>
    <s v="Cash Rewards Visa Signature"/>
    <x v="980"/>
    <n v="154.11000000000001"/>
    <x v="26"/>
    <m/>
    <m/>
    <m/>
    <n v="154.11000000000001"/>
    <b v="0"/>
    <m/>
    <m/>
    <s v="-"/>
    <x v="940"/>
    <s v="Create Rule; and Description Like '%AVOADVOCARE INTL%';Groceries"/>
    <m/>
  </r>
  <r>
    <x v="14"/>
    <d v="2020-09-02T00:00:00"/>
    <s v="POWERPLUS"/>
    <x v="981"/>
    <n v="-1993.07"/>
    <x v="26"/>
    <m/>
    <m/>
    <m/>
    <n v="1993.07"/>
    <b v="0"/>
    <m/>
    <m/>
    <s v="+"/>
    <x v="941"/>
    <s v="Create Rule; and Description Like '%CARGILL COCOA TYPE DIR DEP ID%';Inc - Britney"/>
    <m/>
  </r>
  <r>
    <x v="14"/>
    <d v="2020-09-02T00:00:00"/>
    <s v="Discover More Card"/>
    <x v="240"/>
    <n v="25.18"/>
    <x v="26"/>
    <m/>
    <m/>
    <m/>
    <n v="25.18"/>
    <b v="0"/>
    <m/>
    <m/>
    <s v="-"/>
    <x v="238"/>
    <s v="Create Rule; and Description='Chipotle';Restaurants"/>
    <m/>
  </r>
  <r>
    <x v="14"/>
    <d v="2020-09-02T00:00:00"/>
    <s v="Discover"/>
    <x v="240"/>
    <n v="25.18"/>
    <x v="26"/>
    <m/>
    <m/>
    <m/>
    <n v="25.18"/>
    <b v="0"/>
    <m/>
    <m/>
    <s v="-"/>
    <x v="238"/>
    <s v="Create Rule; and Description='Chipotle';Restaurants"/>
    <m/>
  </r>
  <r>
    <x v="14"/>
    <d v="2020-09-02T00:00:00"/>
    <s v="Joint Tenant"/>
    <x v="187"/>
    <n v="24.58"/>
    <x v="26"/>
    <m/>
    <m/>
    <m/>
    <n v="24.58"/>
    <b v="0"/>
    <m/>
    <m/>
    <s v="-"/>
    <x v="186"/>
    <s v="Create Rule; and Description='INTEL CORP';Dividend"/>
    <m/>
  </r>
  <r>
    <x v="14"/>
    <d v="2020-09-02T00:00:00"/>
    <s v="Cash Rewards Visa Signature"/>
    <x v="982"/>
    <n v="138.93"/>
    <x v="26"/>
    <m/>
    <m/>
    <m/>
    <n v="138.93"/>
    <b v="0"/>
    <m/>
    <m/>
    <s v="-"/>
    <x v="942"/>
    <s v="Manual"/>
    <m/>
  </r>
  <r>
    <x v="14"/>
    <d v="2020-09-02T00:00:00"/>
    <s v="Cash Rewards Visa Signature"/>
    <x v="983"/>
    <n v="2182.09"/>
    <x v="26"/>
    <m/>
    <m/>
    <m/>
    <n v="2182.09"/>
    <b v="0"/>
    <m/>
    <m/>
    <s v="-"/>
    <x v="943"/>
    <s v="Manual"/>
    <m/>
  </r>
  <r>
    <x v="14"/>
    <d v="2020-09-02T00:00:00"/>
    <s v="Joint Tenant"/>
    <x v="138"/>
    <n v="23.72"/>
    <x v="26"/>
    <m/>
    <m/>
    <m/>
    <n v="23.72"/>
    <b v="0"/>
    <m/>
    <m/>
    <s v="-"/>
    <x v="137"/>
    <s v="Create Rule; and Description='VISA INC CLASS A';Dividend"/>
    <m/>
  </r>
  <r>
    <x v="14"/>
    <d v="2020-09-03T00:00:00"/>
    <s v="Cash Rewards Visa Signature"/>
    <x v="936"/>
    <n v="-3419.41"/>
    <x v="26"/>
    <m/>
    <m/>
    <m/>
    <n v="3419.41"/>
    <b v="0"/>
    <m/>
    <m/>
    <s v="+"/>
    <x v="900"/>
    <s v="Delete; and Description Like '%PAYMENT THANK YOU%';0"/>
    <m/>
  </r>
  <r>
    <x v="14"/>
    <d v="2020-09-03T00:00:00"/>
    <s v="POWERPLUS"/>
    <x v="937"/>
    <n v="3419.41"/>
    <x v="26"/>
    <m/>
    <m/>
    <m/>
    <n v="3419.41"/>
    <b v="0"/>
    <m/>
    <m/>
    <s v="-"/>
    <x v="901"/>
    <s v="Delete; and Description Like '%Withdrawal Home payment to card%';0"/>
    <m/>
  </r>
  <r>
    <x v="14"/>
    <d v="2020-09-03T00:00:00"/>
    <s v="POWERPLUS"/>
    <x v="35"/>
    <n v="-75"/>
    <x v="26"/>
    <m/>
    <m/>
    <m/>
    <n v="75"/>
    <b v="0"/>
    <m/>
    <m/>
    <s v="+"/>
    <x v="35"/>
    <s v="Create Rule; and Description='Cargill Incorpor Type';Inc - Other"/>
    <m/>
  </r>
  <r>
    <x v="14"/>
    <d v="2020-09-03T00:00:00"/>
    <s v="Joint Tenant"/>
    <x v="138"/>
    <n v="1043.82"/>
    <x v="26"/>
    <m/>
    <m/>
    <m/>
    <n v="1043.82"/>
    <b v="0"/>
    <m/>
    <m/>
    <s v="-"/>
    <x v="137"/>
    <s v="Create Rule; and Description='VISA INC CLASS A';Dividend"/>
    <m/>
  </r>
  <r>
    <x v="14"/>
    <d v="2020-09-03T00:00:00"/>
    <s v="POWERPLUS"/>
    <x v="30"/>
    <n v="196.35"/>
    <x v="11"/>
    <m/>
    <m/>
    <m/>
    <n v="196.35"/>
    <b v="0"/>
    <m/>
    <m/>
    <s v="-"/>
    <x v="30"/>
    <s v="Create Rule; and Description='Xcel Energy';Utilities"/>
    <m/>
  </r>
  <r>
    <x v="14"/>
    <d v="2020-09-04T00:00:00"/>
    <s v="POWERPLUS"/>
    <x v="984"/>
    <n v="123.25"/>
    <x v="26"/>
    <m/>
    <m/>
    <m/>
    <n v="123.25"/>
    <b v="0"/>
    <m/>
    <m/>
    <s v="-"/>
    <x v="178"/>
    <s v="Create Rule; and Description Like '%MN DVS MLR TYPE%';Transportation"/>
    <m/>
  </r>
  <r>
    <x v="14"/>
    <d v="2020-09-04T00:00:00"/>
    <s v="30 YR FIXED"/>
    <x v="935"/>
    <n v="-561.96"/>
    <x v="3"/>
    <m/>
    <m/>
    <m/>
    <n v="561.96"/>
    <b v="0"/>
    <m/>
    <m/>
    <s v="+"/>
    <x v="899"/>
    <s v="Create Rule; and Description='PAYMENT';Delete"/>
    <m/>
  </r>
  <r>
    <x v="20"/>
    <d v="2020-12-01T00:00:00"/>
    <s v="POWERPLUS"/>
    <x v="985"/>
    <n v="2832.55"/>
    <x v="26"/>
    <m/>
    <m/>
    <m/>
    <n v="2832.55"/>
    <b v="0"/>
    <m/>
    <m/>
    <s v="-"/>
    <x v="265"/>
    <s v="Create Rule; and Description Like '%BCU MORTGAGE TYPE LOAN PAYMT ID 9DRAFTING CO BCU MORTGAGE%';Rent"/>
    <m/>
  </r>
  <r>
    <x v="14"/>
    <d v="2020-09-04T00:00:00"/>
    <s v="Joint Tenant"/>
    <x v="185"/>
    <n v="-200"/>
    <x v="26"/>
    <m/>
    <m/>
    <m/>
    <n v="200"/>
    <b v="0"/>
    <m/>
    <m/>
    <s v="+"/>
    <x v="184"/>
    <s v="Create Rule; and Description='CARGILL COCOA &amp;';Roth"/>
    <m/>
  </r>
  <r>
    <x v="14"/>
    <d v="2020-09-04T00:00:00"/>
    <s v="CARGILL PARTNERSHIP PLAN"/>
    <x v="684"/>
    <n v="-15.22"/>
    <x v="26"/>
    <m/>
    <m/>
    <m/>
    <n v="15.22"/>
    <b v="0"/>
    <m/>
    <m/>
    <s v="+"/>
    <x v="660"/>
    <m/>
    <m/>
  </r>
  <r>
    <x v="14"/>
    <d v="2020-09-04T00:00:00"/>
    <s v="CARGILL PARTNERSHIP PLAN"/>
    <x v="685"/>
    <n v="-15.22"/>
    <x v="26"/>
    <m/>
    <m/>
    <m/>
    <n v="15.22"/>
    <b v="0"/>
    <m/>
    <m/>
    <s v="+"/>
    <x v="661"/>
    <m/>
    <m/>
  </r>
  <r>
    <x v="14"/>
    <d v="2020-09-04T00:00:00"/>
    <s v="CARGILL PARTNERSHIP PLAN"/>
    <x v="686"/>
    <n v="-15.22"/>
    <x v="26"/>
    <m/>
    <m/>
    <m/>
    <n v="15.22"/>
    <b v="0"/>
    <m/>
    <m/>
    <s v="+"/>
    <x v="662"/>
    <m/>
    <m/>
  </r>
  <r>
    <x v="14"/>
    <d v="2020-09-04T00:00:00"/>
    <s v="Discover More Card"/>
    <x v="474"/>
    <n v="6.27"/>
    <x v="26"/>
    <m/>
    <m/>
    <m/>
    <n v="6.27"/>
    <b v="0"/>
    <m/>
    <m/>
    <s v="-"/>
    <x v="457"/>
    <s v="Create Rule; and Description='Exxon';Transportation"/>
    <m/>
  </r>
  <r>
    <x v="14"/>
    <d v="2020-09-04T00:00:00"/>
    <s v="Discover"/>
    <x v="474"/>
    <n v="6.27"/>
    <x v="26"/>
    <m/>
    <m/>
    <m/>
    <n v="6.27"/>
    <b v="0"/>
    <m/>
    <m/>
    <s v="-"/>
    <x v="457"/>
    <s v="Create Rule; and Description='Exxon';Transportation"/>
    <m/>
  </r>
  <r>
    <x v="14"/>
    <d v="2020-09-04T00:00:00"/>
    <s v="POWERPLUS"/>
    <x v="986"/>
    <n v="1.5"/>
    <x v="26"/>
    <m/>
    <m/>
    <m/>
    <n v="1.5"/>
    <b v="0"/>
    <m/>
    <m/>
    <s v="-"/>
    <x v="181"/>
    <s v="Create Rule; and Description Like '%MN DVS MLR TYPE%';Transportation"/>
    <m/>
  </r>
  <r>
    <x v="14"/>
    <d v="2020-09-04T00:00:00"/>
    <s v="POWERPLUS"/>
    <x v="157"/>
    <n v="19.989999999999998"/>
    <x v="8"/>
    <m/>
    <m/>
    <m/>
    <n v="19.989999999999998"/>
    <b v="0"/>
    <m/>
    <m/>
    <s v="-"/>
    <x v="156"/>
    <s v="Create Rule; and Description Like '%PayPal%';Shopping"/>
    <m/>
  </r>
  <r>
    <x v="14"/>
    <d v="2020-09-04T00:00:00"/>
    <s v="Contributory"/>
    <x v="51"/>
    <n v="-231"/>
    <x v="26"/>
    <m/>
    <m/>
    <m/>
    <n v="231"/>
    <b v="0"/>
    <m/>
    <m/>
    <s v="+"/>
    <x v="51"/>
    <s v="Create Rule; and Description='Tfr JPMORGAN CHASE BAN, CARGILL COCOA &amp;';Roth"/>
    <m/>
  </r>
  <r>
    <x v="14"/>
    <d v="2020-09-06T00:00:00"/>
    <s v="Cash Rewards Visa Signature"/>
    <x v="0"/>
    <n v="22.53"/>
    <x v="0"/>
    <m/>
    <m/>
    <m/>
    <n v="22.53"/>
    <b v="0"/>
    <m/>
    <m/>
    <s v="-"/>
    <x v="0"/>
    <s v="Create Rule; and Description='Amazon';Amazon"/>
    <m/>
  </r>
  <r>
    <x v="14"/>
    <d v="2020-09-06T00:00:00"/>
    <s v="Cash Rewards Visa Signature"/>
    <x v="987"/>
    <n v="33"/>
    <x v="26"/>
    <m/>
    <m/>
    <m/>
    <n v="33"/>
    <b v="0"/>
    <m/>
    <m/>
    <s v="-"/>
    <x v="944"/>
    <s v="Manual"/>
    <m/>
  </r>
  <r>
    <x v="14"/>
    <d v="2020-09-06T00:00:00"/>
    <s v="Cash Rewards Visa Signature"/>
    <x v="988"/>
    <n v="50"/>
    <x v="26"/>
    <m/>
    <m/>
    <m/>
    <n v="50"/>
    <b v="0"/>
    <m/>
    <m/>
    <s v="-"/>
    <x v="945"/>
    <s v="Manual"/>
    <m/>
  </r>
  <r>
    <x v="14"/>
    <d v="2020-09-06T00:00:00"/>
    <s v="Cash Rewards Visa Signature"/>
    <x v="989"/>
    <n v="16.09"/>
    <x v="26"/>
    <m/>
    <m/>
    <m/>
    <n v="16.09"/>
    <b v="0"/>
    <m/>
    <m/>
    <s v="-"/>
    <x v="946"/>
    <s v="Manual"/>
    <m/>
  </r>
  <r>
    <x v="14"/>
    <d v="2020-09-06T00:00:00"/>
    <s v="Cash Rewards Visa Signature"/>
    <x v="990"/>
    <n v="11"/>
    <x v="26"/>
    <m/>
    <m/>
    <m/>
    <n v="11"/>
    <b v="0"/>
    <m/>
    <m/>
    <s v="-"/>
    <x v="947"/>
    <s v="Manual"/>
    <m/>
  </r>
  <r>
    <x v="14"/>
    <d v="2020-09-06T00:00:00"/>
    <s v="Cash Rewards Visa Signature"/>
    <x v="991"/>
    <n v="24.36"/>
    <x v="26"/>
    <m/>
    <m/>
    <m/>
    <n v="24.36"/>
    <b v="0"/>
    <m/>
    <m/>
    <s v="-"/>
    <x v="948"/>
    <s v="Manual"/>
    <m/>
  </r>
  <r>
    <x v="14"/>
    <d v="2020-09-06T00:00:00"/>
    <s v="Cash Rewards Visa Signature"/>
    <x v="992"/>
    <n v="70.58"/>
    <x v="26"/>
    <m/>
    <m/>
    <m/>
    <n v="70.58"/>
    <b v="0"/>
    <m/>
    <m/>
    <s v="-"/>
    <x v="949"/>
    <s v="Manual"/>
    <m/>
  </r>
  <r>
    <x v="14"/>
    <d v="2020-09-06T00:00:00"/>
    <s v="Cash Rewards Visa Signature"/>
    <x v="993"/>
    <n v="70.25"/>
    <x v="26"/>
    <m/>
    <m/>
    <m/>
    <n v="70.25"/>
    <b v="0"/>
    <m/>
    <m/>
    <s v="-"/>
    <x v="950"/>
    <s v="Manual"/>
    <m/>
  </r>
  <r>
    <x v="14"/>
    <d v="2020-09-06T00:00:00"/>
    <s v="Cash Rewards Visa Signature"/>
    <x v="994"/>
    <n v="31.74"/>
    <x v="26"/>
    <m/>
    <m/>
    <m/>
    <n v="31.74"/>
    <b v="0"/>
    <m/>
    <m/>
    <s v="-"/>
    <x v="951"/>
    <s v="Manual"/>
    <m/>
  </r>
  <r>
    <x v="14"/>
    <d v="2020-09-06T00:00:00"/>
    <s v="Cash Rewards Visa Signature"/>
    <x v="995"/>
    <n v="33.85"/>
    <x v="26"/>
    <m/>
    <m/>
    <m/>
    <n v="33.85"/>
    <b v="0"/>
    <m/>
    <m/>
    <s v="-"/>
    <x v="952"/>
    <s v="Manual"/>
    <m/>
  </r>
  <r>
    <x v="14"/>
    <d v="2020-09-07T00:00:00"/>
    <s v="Cash Rewards Visa Signature"/>
    <x v="996"/>
    <n v="27.08"/>
    <x v="26"/>
    <m/>
    <m/>
    <m/>
    <n v="27.08"/>
    <b v="0"/>
    <m/>
    <m/>
    <s v="-"/>
    <x v="953"/>
    <s v="Manual"/>
    <m/>
  </r>
  <r>
    <x v="14"/>
    <d v="2020-09-07T00:00:00"/>
    <s v="Cash Rewards Visa Signature"/>
    <x v="997"/>
    <n v="147.03"/>
    <x v="26"/>
    <m/>
    <m/>
    <m/>
    <n v="147.03"/>
    <b v="0"/>
    <m/>
    <m/>
    <s v="-"/>
    <x v="954"/>
    <s v="Manual"/>
    <m/>
  </r>
  <r>
    <x v="14"/>
    <d v="2020-09-07T00:00:00"/>
    <s v="Cash Rewards Visa Signature"/>
    <x v="905"/>
    <n v="18.649999999999999"/>
    <x v="26"/>
    <m/>
    <m/>
    <m/>
    <n v="18.649999999999999"/>
    <b v="0"/>
    <m/>
    <m/>
    <s v="-"/>
    <x v="870"/>
    <s v="Manual"/>
    <m/>
  </r>
  <r>
    <x v="14"/>
    <d v="2020-09-07T00:00:00"/>
    <s v="Cash Rewards Visa Signature"/>
    <x v="579"/>
    <n v="25"/>
    <x v="1"/>
    <m/>
    <m/>
    <m/>
    <n v="25"/>
    <b v="0"/>
    <m/>
    <m/>
    <s v="-"/>
    <x v="560"/>
    <s v="Create Rule; and Description='Starbucks';Restaurants"/>
    <m/>
  </r>
  <r>
    <x v="14"/>
    <d v="2020-09-07T00:00:00"/>
    <s v="Cash Rewards Visa Signature"/>
    <x v="998"/>
    <n v="20.010000000000002"/>
    <x v="26"/>
    <m/>
    <m/>
    <m/>
    <n v="20.010000000000002"/>
    <b v="0"/>
    <m/>
    <m/>
    <s v="-"/>
    <x v="955"/>
    <s v="Manual"/>
    <m/>
  </r>
  <r>
    <x v="14"/>
    <d v="2020-09-07T00:00:00"/>
    <s v="Cash Rewards Visa Signature"/>
    <x v="999"/>
    <n v="3.35"/>
    <x v="26"/>
    <m/>
    <m/>
    <m/>
    <n v="3.35"/>
    <b v="0"/>
    <m/>
    <m/>
    <s v="-"/>
    <x v="956"/>
    <s v="Manual"/>
    <m/>
  </r>
  <r>
    <x v="14"/>
    <d v="2020-09-08T00:00:00"/>
    <s v="POWERPLUS"/>
    <x v="1000"/>
    <n v="391.2"/>
    <x v="26"/>
    <m/>
    <m/>
    <m/>
    <n v="391.2"/>
    <b v="0"/>
    <m/>
    <m/>
    <s v="-"/>
    <x v="957"/>
    <s v="Create Rule; and Description Like '%MHCHILDCARELLC%';Day Care"/>
    <m/>
  </r>
  <r>
    <x v="14"/>
    <d v="2020-09-08T00:00:00"/>
    <s v="POWERPLUS"/>
    <x v="157"/>
    <n v="216.84"/>
    <x v="8"/>
    <m/>
    <m/>
    <m/>
    <n v="216.84"/>
    <b v="0"/>
    <m/>
    <m/>
    <s v="-"/>
    <x v="156"/>
    <s v="Create Rule; and Description Like '%PayPal%';Shopping"/>
    <m/>
  </r>
  <r>
    <x v="14"/>
    <d v="2020-09-08T00:00:00"/>
    <s v="Joint Tenant"/>
    <x v="20"/>
    <n v="200"/>
    <x v="26"/>
    <m/>
    <m/>
    <m/>
    <n v="200"/>
    <b v="0"/>
    <m/>
    <m/>
    <s v="-"/>
    <x v="20"/>
    <s v="Delete; and Description='SCHWAB TOTAL STOCK MKT INDEX' and inflowoutflow='-';0"/>
    <m/>
  </r>
  <r>
    <x v="14"/>
    <d v="2020-09-08T00:00:00"/>
    <s v="Cash Rewards Visa Signature"/>
    <x v="1001"/>
    <n v="60"/>
    <x v="26"/>
    <m/>
    <m/>
    <m/>
    <n v="60"/>
    <b v="0"/>
    <m/>
    <m/>
    <s v="-"/>
    <x v="958"/>
    <s v="Manual"/>
    <m/>
  </r>
  <r>
    <x v="14"/>
    <d v="2020-09-08T00:00:00"/>
    <s v="Cash Rewards Visa Signature"/>
    <x v="1002"/>
    <n v="66.77"/>
    <x v="26"/>
    <m/>
    <m/>
    <m/>
    <n v="66.77"/>
    <b v="0"/>
    <m/>
    <m/>
    <s v="-"/>
    <x v="959"/>
    <s v="Manual"/>
    <m/>
  </r>
  <r>
    <x v="14"/>
    <d v="2020-09-08T00:00:00"/>
    <s v="Cash Rewards Visa Signature"/>
    <x v="1003"/>
    <n v="21.5"/>
    <x v="26"/>
    <m/>
    <m/>
    <m/>
    <n v="21.5"/>
    <b v="0"/>
    <m/>
    <m/>
    <s v="-"/>
    <x v="960"/>
    <s v="Manual"/>
    <m/>
  </r>
  <r>
    <x v="14"/>
    <d v="2020-09-08T00:00:00"/>
    <s v="POWERPLUS"/>
    <x v="29"/>
    <n v="29"/>
    <x v="8"/>
    <m/>
    <m/>
    <m/>
    <n v="29"/>
    <b v="0"/>
    <m/>
    <m/>
    <s v="-"/>
    <x v="29"/>
    <s v="Manual"/>
    <m/>
  </r>
  <r>
    <x v="14"/>
    <d v="2020-09-08T00:00:00"/>
    <s v="Investor Checking"/>
    <x v="1004"/>
    <n v="-23.09"/>
    <x v="26"/>
    <m/>
    <m/>
    <m/>
    <n v="23.09"/>
    <b v="0"/>
    <m/>
    <m/>
    <s v="+"/>
    <x v="961"/>
    <s v="Manual"/>
    <m/>
  </r>
  <r>
    <x v="14"/>
    <d v="2020-09-08T00:00:00"/>
    <s v="Cash Rewards Visa Signature"/>
    <x v="55"/>
    <n v="78.02"/>
    <x v="5"/>
    <m/>
    <m/>
    <m/>
    <n v="78.02"/>
    <b v="0"/>
    <m/>
    <m/>
    <s v="-"/>
    <x v="55"/>
    <s v="Create Rule; and Description='Walgreens';Shopping"/>
    <m/>
  </r>
  <r>
    <x v="14"/>
    <d v="2020-09-08T00:00:00"/>
    <s v="POWERPLUS"/>
    <x v="845"/>
    <n v="353"/>
    <x v="26"/>
    <m/>
    <m/>
    <m/>
    <n v="353"/>
    <b v="0"/>
    <m/>
    <m/>
    <s v="-"/>
    <x v="812"/>
    <s v="Manual"/>
    <m/>
  </r>
  <r>
    <x v="14"/>
    <d v="2020-09-09T00:00:00"/>
    <s v="POWERPLUS"/>
    <x v="157"/>
    <n v="7.43"/>
    <x v="8"/>
    <m/>
    <m/>
    <m/>
    <n v="7.43"/>
    <b v="0"/>
    <m/>
    <m/>
    <s v="-"/>
    <x v="156"/>
    <s v="Create Rule; and Description Like '%PayPal%';Shopping"/>
    <m/>
  </r>
  <r>
    <x v="14"/>
    <d v="2020-09-09T00:00:00"/>
    <s v="Cash Rewards Visa Signature"/>
    <x v="1005"/>
    <n v="22.57"/>
    <x v="26"/>
    <m/>
    <m/>
    <m/>
    <n v="22.57"/>
    <b v="0"/>
    <m/>
    <m/>
    <s v="-"/>
    <x v="962"/>
    <s v="Manual"/>
    <m/>
  </r>
  <r>
    <x v="14"/>
    <d v="2020-09-09T00:00:00"/>
    <s v="Investor Checking"/>
    <x v="1006"/>
    <n v="102.75"/>
    <x v="26"/>
    <m/>
    <m/>
    <m/>
    <n v="102.75"/>
    <b v="0"/>
    <m/>
    <m/>
    <s v="-"/>
    <x v="963"/>
    <s v="Manual"/>
    <m/>
  </r>
  <r>
    <x v="14"/>
    <d v="2020-09-10T00:00:00"/>
    <s v="Cash Rewards Visa Signature"/>
    <x v="1007"/>
    <n v="50.96"/>
    <x v="26"/>
    <m/>
    <m/>
    <m/>
    <n v="50.96"/>
    <b v="0"/>
    <m/>
    <m/>
    <s v="-"/>
    <x v="964"/>
    <s v="Manual"/>
    <m/>
  </r>
  <r>
    <x v="14"/>
    <d v="2020-09-10T00:00:00"/>
    <s v="Discover More Card"/>
    <x v="67"/>
    <n v="45"/>
    <x v="11"/>
    <m/>
    <m/>
    <m/>
    <n v="45"/>
    <b v="0"/>
    <m/>
    <m/>
    <s v="-"/>
    <x v="67"/>
    <s v="Create Rule; and Description='CenturyLink';Utilities"/>
    <m/>
  </r>
  <r>
    <x v="14"/>
    <d v="2020-09-10T00:00:00"/>
    <s v="Discover"/>
    <x v="67"/>
    <n v="45"/>
    <x v="11"/>
    <m/>
    <m/>
    <m/>
    <n v="45"/>
    <b v="0"/>
    <m/>
    <m/>
    <s v="-"/>
    <x v="67"/>
    <s v="Create Rule; and Description='CenturyLink';Utilities"/>
    <m/>
  </r>
  <r>
    <x v="14"/>
    <d v="2020-09-10T00:00:00"/>
    <s v="Joint Tenant"/>
    <x v="245"/>
    <n v="-38.44"/>
    <x v="26"/>
    <m/>
    <m/>
    <m/>
    <n v="38.44"/>
    <b v="0"/>
    <m/>
    <m/>
    <s v="+"/>
    <x v="243"/>
    <s v="Create Rule; and Description='CHEVRON CORP';Dividend"/>
    <m/>
  </r>
  <r>
    <x v="14"/>
    <d v="2020-09-10T00:00:00"/>
    <s v="Investor Checking"/>
    <x v="1008"/>
    <n v="7000"/>
    <x v="26"/>
    <m/>
    <m/>
    <m/>
    <n v="7000"/>
    <b v="0"/>
    <m/>
    <m/>
    <s v="-"/>
    <x v="965"/>
    <s v="Manual"/>
    <m/>
  </r>
  <r>
    <x v="14"/>
    <d v="2020-09-10T00:00:00"/>
    <s v="Investor Checking"/>
    <x v="276"/>
    <n v="-6500"/>
    <x v="26"/>
    <m/>
    <m/>
    <m/>
    <n v="6500"/>
    <b v="0"/>
    <m/>
    <m/>
    <s v="+"/>
    <x v="271"/>
    <s v="Create Rule; and Description='Funds Transfer from Brokerage -5308';Delete"/>
    <m/>
  </r>
  <r>
    <x v="14"/>
    <d v="2020-09-10T00:00:00"/>
    <s v="POWERPLUS"/>
    <x v="1009"/>
    <n v="-7000"/>
    <x v="26"/>
    <m/>
    <m/>
    <m/>
    <n v="7000"/>
    <b v="0"/>
    <m/>
    <m/>
    <s v="+"/>
    <x v="966"/>
    <s v="Manual"/>
    <m/>
  </r>
  <r>
    <x v="14"/>
    <d v="2020-09-10T00:00:00"/>
    <s v="POWERPLUS"/>
    <x v="28"/>
    <n v="-45"/>
    <x v="26"/>
    <m/>
    <m/>
    <m/>
    <n v="45"/>
    <b v="0"/>
    <m/>
    <m/>
    <s v="+"/>
    <x v="28"/>
    <s v="Manual"/>
    <m/>
  </r>
  <r>
    <x v="14"/>
    <d v="2020-09-10T00:00:00"/>
    <s v="Cash Rewards Visa Signature"/>
    <x v="1010"/>
    <n v="61.42"/>
    <x v="26"/>
    <m/>
    <m/>
    <m/>
    <n v="61.42"/>
    <b v="0"/>
    <m/>
    <m/>
    <s v="-"/>
    <x v="967"/>
    <s v="Manual"/>
    <m/>
  </r>
  <r>
    <x v="14"/>
    <d v="2020-09-10T00:00:00"/>
    <s v="Joint Tenant"/>
    <x v="741"/>
    <n v="-69.37"/>
    <x v="26"/>
    <m/>
    <m/>
    <m/>
    <n v="69.37"/>
    <b v="0"/>
    <m/>
    <m/>
    <s v="+"/>
    <x v="714"/>
    <s v="Delete; and Source='Joint Tenant';0"/>
    <m/>
  </r>
  <r>
    <x v="14"/>
    <d v="2020-09-10T00:00:00"/>
    <s v="Joint Tenant"/>
    <x v="279"/>
    <n v="6500"/>
    <x v="26"/>
    <m/>
    <m/>
    <m/>
    <n v="6500"/>
    <b v="0"/>
    <m/>
    <m/>
    <s v="-"/>
    <x v="272"/>
    <s v="Delete; and Source='Joint Tenant';0"/>
    <m/>
  </r>
  <r>
    <x v="14"/>
    <d v="2020-09-10T00:00:00"/>
    <s v="Cash Rewards Visa Signature"/>
    <x v="1011"/>
    <n v="25.42"/>
    <x v="26"/>
    <m/>
    <m/>
    <m/>
    <n v="25.42"/>
    <b v="0"/>
    <m/>
    <m/>
    <s v="-"/>
    <x v="968"/>
    <s v="Manual"/>
    <m/>
  </r>
  <r>
    <x v="14"/>
    <d v="2020-09-10T00:00:00"/>
    <s v="Cash Rewards Visa Signature"/>
    <x v="1011"/>
    <n v="74.09"/>
    <x v="26"/>
    <m/>
    <m/>
    <m/>
    <n v="74.09"/>
    <b v="0"/>
    <m/>
    <m/>
    <s v="-"/>
    <x v="968"/>
    <s v="Manual"/>
    <m/>
  </r>
  <r>
    <x v="14"/>
    <d v="2020-09-10T00:00:00"/>
    <s v="POWERPLUS"/>
    <x v="1012"/>
    <n v="25000"/>
    <x v="26"/>
    <m/>
    <m/>
    <m/>
    <n v="25000"/>
    <b v="0"/>
    <m/>
    <m/>
    <s v="-"/>
    <x v="969"/>
    <s v="Manual"/>
    <m/>
  </r>
  <r>
    <x v="14"/>
    <d v="2020-09-10T00:00:00"/>
    <s v="POWERPLUS"/>
    <x v="1013"/>
    <n v="35"/>
    <x v="26"/>
    <m/>
    <m/>
    <m/>
    <n v="35"/>
    <b v="0"/>
    <m/>
    <m/>
    <s v="-"/>
    <x v="970"/>
    <s v="Manual"/>
    <m/>
  </r>
  <r>
    <x v="14"/>
    <d v="2020-09-11T00:00:00"/>
    <s v="Cash Rewards Visa Signature"/>
    <x v="936"/>
    <n v="-1065.27"/>
    <x v="26"/>
    <m/>
    <m/>
    <m/>
    <n v="1065.27"/>
    <b v="0"/>
    <m/>
    <m/>
    <s v="+"/>
    <x v="900"/>
    <s v="Delete; and Description Like '%PAYMENT THANK YOU%';0"/>
    <m/>
  </r>
  <r>
    <x v="14"/>
    <d v="2020-09-11T00:00:00"/>
    <s v="POWERPLUS"/>
    <x v="937"/>
    <n v="1065.27"/>
    <x v="26"/>
    <m/>
    <m/>
    <m/>
    <n v="1065.27"/>
    <b v="0"/>
    <m/>
    <m/>
    <s v="-"/>
    <x v="901"/>
    <s v="Delete; and Description Like '%Withdrawal Home payment to card%';0"/>
    <m/>
  </r>
  <r>
    <x v="14"/>
    <d v="2020-09-11T00:00:00"/>
    <s v="Joint Tenant"/>
    <x v="245"/>
    <n v="38.44"/>
    <x v="26"/>
    <m/>
    <m/>
    <m/>
    <n v="38.44"/>
    <b v="0"/>
    <m/>
    <m/>
    <s v="-"/>
    <x v="243"/>
    <s v="Create Rule; and Description='CHEVRON CORP';Dividend"/>
    <m/>
  </r>
  <r>
    <x v="14"/>
    <d v="2020-09-11T00:00:00"/>
    <s v="Cash Rewards Visa Signature"/>
    <x v="104"/>
    <n v="29.24"/>
    <x v="26"/>
    <m/>
    <m/>
    <m/>
    <n v="29.24"/>
    <b v="0"/>
    <m/>
    <m/>
    <s v="-"/>
    <x v="104"/>
    <s v="Manual"/>
    <m/>
  </r>
  <r>
    <x v="14"/>
    <d v="2020-09-11T00:00:00"/>
    <s v="Cash Rewards Visa Signature"/>
    <x v="1014"/>
    <n v="16.940000000000001"/>
    <x v="26"/>
    <m/>
    <m/>
    <m/>
    <n v="16.940000000000001"/>
    <b v="0"/>
    <m/>
    <m/>
    <s v="-"/>
    <x v="971"/>
    <s v="Manual"/>
    <m/>
  </r>
  <r>
    <x v="14"/>
    <d v="2020-09-11T00:00:00"/>
    <s v="Joint Tenant"/>
    <x v="741"/>
    <n v="69.37"/>
    <x v="26"/>
    <m/>
    <m/>
    <m/>
    <n v="69.37"/>
    <b v="0"/>
    <m/>
    <m/>
    <s v="-"/>
    <x v="714"/>
    <s v="Delete; and Source='Joint Tenant';0"/>
    <m/>
  </r>
  <r>
    <x v="14"/>
    <d v="2020-09-13T00:00:00"/>
    <s v="POWERPLUS"/>
    <x v="1015"/>
    <n v="-2335.5700000000002"/>
    <x v="26"/>
    <m/>
    <m/>
    <m/>
    <n v="2335.5700000000002"/>
    <b v="0"/>
    <m/>
    <m/>
    <s v="+"/>
    <x v="910"/>
    <s v="Manual"/>
    <m/>
  </r>
  <r>
    <x v="14"/>
    <d v="2020-09-13T00:00:00"/>
    <s v="Cash Rewards Visa Signature"/>
    <x v="1016"/>
    <n v="13"/>
    <x v="26"/>
    <m/>
    <m/>
    <m/>
    <n v="13"/>
    <b v="0"/>
    <m/>
    <m/>
    <s v="-"/>
    <x v="972"/>
    <s v="Manual"/>
    <m/>
  </r>
  <r>
    <x v="14"/>
    <d v="2020-09-13T00:00:00"/>
    <s v="Cash Rewards Visa Signature"/>
    <x v="1017"/>
    <n v="14.08"/>
    <x v="26"/>
    <m/>
    <m/>
    <m/>
    <n v="14.08"/>
    <b v="0"/>
    <m/>
    <m/>
    <s v="-"/>
    <x v="973"/>
    <s v="Manual"/>
    <m/>
  </r>
  <r>
    <x v="14"/>
    <d v="2020-09-13T00:00:00"/>
    <s v="Cash Rewards Visa Signature"/>
    <x v="796"/>
    <n v="32.42"/>
    <x v="26"/>
    <m/>
    <m/>
    <m/>
    <n v="32.42"/>
    <b v="0"/>
    <m/>
    <m/>
    <s v="-"/>
    <x v="766"/>
    <s v="Create Rule; and Description='Kum &amp; Go';Transportation"/>
    <m/>
  </r>
  <r>
    <x v="14"/>
    <d v="2020-09-13T00:00:00"/>
    <s v="Cash Rewards Visa Signature"/>
    <x v="1018"/>
    <n v="1.29"/>
    <x v="26"/>
    <m/>
    <m/>
    <m/>
    <n v="1.29"/>
    <b v="0"/>
    <m/>
    <m/>
    <s v="-"/>
    <x v="974"/>
    <s v="Create Rule; and Description='MAVERIK 502 ALLIANCE NE';Transportation"/>
    <m/>
  </r>
  <r>
    <x v="14"/>
    <d v="2020-09-13T00:00:00"/>
    <s v="Cash Rewards Visa Signature"/>
    <x v="1018"/>
    <n v="22.04"/>
    <x v="26"/>
    <m/>
    <m/>
    <m/>
    <n v="22.04"/>
    <b v="0"/>
    <m/>
    <m/>
    <s v="-"/>
    <x v="974"/>
    <s v="Create Rule; and Description='MAVERIK 502 ALLIANCE NE';Transportation"/>
    <m/>
  </r>
  <r>
    <x v="14"/>
    <d v="2020-09-13T00:00:00"/>
    <s v="Cash Rewards Visa Signature"/>
    <x v="1019"/>
    <n v="165.21"/>
    <x v="26"/>
    <m/>
    <m/>
    <m/>
    <n v="165.21"/>
    <b v="0"/>
    <m/>
    <m/>
    <s v="-"/>
    <x v="975"/>
    <s v="Manual"/>
    <m/>
  </r>
  <r>
    <x v="14"/>
    <d v="2020-09-13T00:00:00"/>
    <s v="Cash Rewards Visa Signature"/>
    <x v="1020"/>
    <n v="29.02"/>
    <x v="26"/>
    <m/>
    <m/>
    <m/>
    <n v="29.02"/>
    <b v="0"/>
    <m/>
    <m/>
    <s v="-"/>
    <x v="976"/>
    <s v="Create Rule; and Description Like '%TST BLUE MOOSE BEAVER%';Restaurants"/>
    <m/>
  </r>
  <r>
    <x v="14"/>
    <d v="2020-09-14T00:00:00"/>
    <s v="Discover More Card"/>
    <x v="93"/>
    <n v="-4.83"/>
    <x v="26"/>
    <m/>
    <m/>
    <m/>
    <n v="4.83"/>
    <b v="0"/>
    <m/>
    <m/>
    <s v="+"/>
    <x v="93"/>
    <s v="Delete; and Description='CASHBACK BONUS REDEMPTION payment/STMT CRDT';0"/>
    <m/>
  </r>
  <r>
    <x v="14"/>
    <d v="2020-09-14T00:00:00"/>
    <s v="Discover"/>
    <x v="93"/>
    <n v="-4.83"/>
    <x v="26"/>
    <m/>
    <m/>
    <m/>
    <n v="4.83"/>
    <b v="0"/>
    <m/>
    <m/>
    <s v="+"/>
    <x v="93"/>
    <s v="Delete; and Description='CASHBACK BONUS REDEMPTION payment/STMT CRDT';0"/>
    <m/>
  </r>
  <r>
    <x v="14"/>
    <d v="2020-09-14T00:00:00"/>
    <s v="Discover More Card"/>
    <x v="56"/>
    <n v="-381.45"/>
    <x v="3"/>
    <m/>
    <m/>
    <m/>
    <n v="381.45"/>
    <b v="0"/>
    <m/>
    <m/>
    <s v="+"/>
    <x v="56"/>
    <s v="Delete; and Description='INTERNET PAYMENT - THANK YOU';0"/>
    <m/>
  </r>
  <r>
    <x v="14"/>
    <d v="2020-09-14T00:00:00"/>
    <s v="Discover"/>
    <x v="56"/>
    <n v="-381.45"/>
    <x v="3"/>
    <m/>
    <m/>
    <m/>
    <n v="381.45"/>
    <b v="0"/>
    <m/>
    <m/>
    <s v="+"/>
    <x v="56"/>
    <s v="Delete; and Description='INTERNET PAYMENT - THANK YOU';0"/>
    <m/>
  </r>
  <r>
    <x v="14"/>
    <d v="2020-09-14T00:00:00"/>
    <s v="POWERPLUS"/>
    <x v="48"/>
    <n v="80.03"/>
    <x v="16"/>
    <m/>
    <m/>
    <m/>
    <n v="80.03"/>
    <b v="0"/>
    <m/>
    <m/>
    <s v="-"/>
    <x v="48"/>
    <s v="Create Rule; and Description='American Family Insurance';Insurance"/>
    <m/>
  </r>
  <r>
    <x v="14"/>
    <d v="2020-09-14T00:00:00"/>
    <s v="Cash Rewards Visa Signature"/>
    <x v="1021"/>
    <n v="22.93"/>
    <x v="26"/>
    <m/>
    <m/>
    <m/>
    <n v="22.93"/>
    <b v="0"/>
    <m/>
    <m/>
    <s v="-"/>
    <x v="977"/>
    <s v="Create Rule; and Description='Cenex';Transportation"/>
    <m/>
  </r>
  <r>
    <x v="14"/>
    <d v="2020-09-14T00:00:00"/>
    <s v="Cash Rewards Visa Signature"/>
    <x v="81"/>
    <n v="4.13"/>
    <x v="26"/>
    <m/>
    <m/>
    <m/>
    <n v="4.13"/>
    <b v="0"/>
    <m/>
    <m/>
    <s v="-"/>
    <x v="81"/>
    <s v="Create Rule; and Description='Holiday Stationstore';Transportation"/>
    <m/>
  </r>
  <r>
    <x v="14"/>
    <d v="2020-09-14T00:00:00"/>
    <s v="Cash Rewards Visa Signature"/>
    <x v="796"/>
    <n v="5.18"/>
    <x v="26"/>
    <m/>
    <m/>
    <m/>
    <n v="5.18"/>
    <b v="0"/>
    <m/>
    <m/>
    <s v="-"/>
    <x v="766"/>
    <s v="Create Rule; and Description='Kum &amp; Go';Transportation"/>
    <m/>
  </r>
  <r>
    <x v="14"/>
    <d v="2020-09-14T00:00:00"/>
    <s v="Cash Rewards Visa Signature"/>
    <x v="796"/>
    <n v="20.55"/>
    <x v="26"/>
    <m/>
    <m/>
    <m/>
    <n v="20.55"/>
    <b v="0"/>
    <m/>
    <m/>
    <s v="-"/>
    <x v="766"/>
    <s v="Create Rule; and Description='Kum &amp; Go';Transportation"/>
    <m/>
  </r>
  <r>
    <x v="14"/>
    <d v="2020-09-14T00:00:00"/>
    <s v="Cash Rewards Visa Signature"/>
    <x v="237"/>
    <n v="15.32"/>
    <x v="1"/>
    <m/>
    <m/>
    <m/>
    <n v="15.32"/>
    <b v="0"/>
    <m/>
    <m/>
    <s v="-"/>
    <x v="235"/>
    <s v="Create Rule; and Description like '%McDonald%';Restaurants"/>
    <m/>
  </r>
  <r>
    <x v="14"/>
    <d v="2020-09-14T00:00:00"/>
    <s v="POWERPLUS"/>
    <x v="1022"/>
    <n v="391.2"/>
    <x v="26"/>
    <m/>
    <m/>
    <m/>
    <n v="391.2"/>
    <b v="0"/>
    <m/>
    <m/>
    <s v="-"/>
    <x v="978"/>
    <s v="Create Rule; and Description Like '%MHCHILDCARELLC%';Day Care"/>
    <m/>
  </r>
  <r>
    <x v="14"/>
    <d v="2020-09-14T00:00:00"/>
    <s v="POWERPLUS"/>
    <x v="157"/>
    <n v="11.99"/>
    <x v="8"/>
    <m/>
    <m/>
    <m/>
    <n v="11.99"/>
    <b v="0"/>
    <m/>
    <m/>
    <s v="-"/>
    <x v="156"/>
    <s v="Create Rule; and Description Like '%PayPal%';Shopping"/>
    <m/>
  </r>
  <r>
    <x v="14"/>
    <d v="2020-09-15T00:00:00"/>
    <s v="POWERPLUS"/>
    <x v="1023"/>
    <n v="381.45"/>
    <x v="26"/>
    <m/>
    <m/>
    <m/>
    <n v="381.45"/>
    <b v="0"/>
    <m/>
    <m/>
    <s v="-"/>
    <x v="979"/>
    <s v="Delete; and Description Like '%DISCOVER TYPE EPAYMENT%';0"/>
    <m/>
  </r>
  <r>
    <x v="14"/>
    <d v="2020-09-15T00:00:00"/>
    <s v="Joint Tenant"/>
    <x v="950"/>
    <n v="-250"/>
    <x v="26"/>
    <m/>
    <m/>
    <m/>
    <n v="250"/>
    <b v="0"/>
    <m/>
    <m/>
    <s v="+"/>
    <x v="913"/>
    <s v="Create Rule; and Description Like '%CONNECTED ANALYT%';Inc - Jeff"/>
    <m/>
  </r>
  <r>
    <x v="14"/>
    <d v="2020-09-15T00:00:00"/>
    <s v="Cash Rewards Visa Signature"/>
    <x v="255"/>
    <n v="258.47000000000003"/>
    <x v="5"/>
    <m/>
    <m/>
    <m/>
    <n v="258.47000000000003"/>
    <b v="0"/>
    <m/>
    <m/>
    <s v="-"/>
    <x v="253"/>
    <s v="Create Rule; and Description='Costco';Groceries"/>
    <m/>
  </r>
  <r>
    <x v="14"/>
    <d v="2020-09-15T00:00:00"/>
    <s v="Jeff IRA"/>
    <x v="951"/>
    <n v="-250"/>
    <x v="26"/>
    <m/>
    <m/>
    <m/>
    <n v="250"/>
    <b v="0"/>
    <m/>
    <m/>
    <s v="+"/>
    <x v="914"/>
    <s v="Create Rule; and Description Like '%CONNECTED ANALYT%';Inc - Jeff"/>
    <m/>
  </r>
  <r>
    <x v="14"/>
    <d v="2020-09-15T00:00:00"/>
    <s v="Cash Rewards Visa Signature"/>
    <x v="1024"/>
    <n v="57.03"/>
    <x v="26"/>
    <m/>
    <m/>
    <m/>
    <n v="57.03"/>
    <b v="0"/>
    <m/>
    <m/>
    <s v="-"/>
    <x v="980"/>
    <s v="Create Rule; and Description Like '%TST OLIVE S FRESH%';Restaurants"/>
    <m/>
  </r>
  <r>
    <x v="14"/>
    <d v="2020-09-16T00:00:00"/>
    <s v="Contributory"/>
    <x v="1025"/>
    <n v="-7.0000000000000007E-2"/>
    <x v="26"/>
    <m/>
    <m/>
    <m/>
    <n v="7.0000000000000007E-2"/>
    <b v="0"/>
    <m/>
    <m/>
    <s v="+"/>
    <x v="981"/>
    <m/>
    <m/>
  </r>
  <r>
    <x v="14"/>
    <d v="2020-09-16T00:00:00"/>
    <s v="Jeff IRA"/>
    <x v="1025"/>
    <n v="-0.04"/>
    <x v="26"/>
    <m/>
    <m/>
    <m/>
    <n v="0.04"/>
    <b v="0"/>
    <m/>
    <m/>
    <s v="+"/>
    <x v="981"/>
    <m/>
    <m/>
  </r>
  <r>
    <x v="14"/>
    <d v="2020-09-16T00:00:00"/>
    <s v="POWERPLUS"/>
    <x v="1026"/>
    <n v="-1993.08"/>
    <x v="26"/>
    <m/>
    <m/>
    <m/>
    <n v="1993.08"/>
    <b v="0"/>
    <m/>
    <m/>
    <s v="+"/>
    <x v="982"/>
    <s v="Create Rule; and Description Like '%CARGILL COCOA TYPE DIR DEP ID%';Inc - Britney"/>
    <m/>
  </r>
  <r>
    <x v="14"/>
    <d v="2020-09-16T00:00:00"/>
    <s v="Cash Rewards Visa Signature"/>
    <x v="68"/>
    <n v="18"/>
    <x v="26"/>
    <m/>
    <m/>
    <m/>
    <n v="18"/>
    <b v="0"/>
    <m/>
    <m/>
    <s v="-"/>
    <x v="68"/>
    <s v="Create Rule; and Description='Harvard Business';Entertainment"/>
    <m/>
  </r>
  <r>
    <x v="14"/>
    <d v="2020-09-17T00:00:00"/>
    <s v="Cash Rewards Visa Signature"/>
    <x v="936"/>
    <n v="-724.85"/>
    <x v="26"/>
    <m/>
    <m/>
    <m/>
    <n v="724.85"/>
    <b v="0"/>
    <m/>
    <m/>
    <s v="+"/>
    <x v="900"/>
    <s v="Delete; and Description Like '%PAYMENT THANK YOU%';0"/>
    <m/>
  </r>
  <r>
    <x v="14"/>
    <d v="2020-09-17T00:00:00"/>
    <s v="POWERPLUS"/>
    <x v="937"/>
    <n v="724.85"/>
    <x v="26"/>
    <m/>
    <m/>
    <m/>
    <n v="724.85"/>
    <b v="0"/>
    <m/>
    <m/>
    <s v="-"/>
    <x v="901"/>
    <s v="Delete; and Description Like '%Withdrawal Home payment to card%';0"/>
    <m/>
  </r>
  <r>
    <x v="14"/>
    <d v="2020-09-17T00:00:00"/>
    <s v="Cash Rewards Visa Signature"/>
    <x v="240"/>
    <n v="17.5"/>
    <x v="26"/>
    <m/>
    <m/>
    <m/>
    <n v="17.5"/>
    <b v="0"/>
    <m/>
    <m/>
    <s v="-"/>
    <x v="238"/>
    <s v="Create Rule; and Description='Chipotle';Restaurants"/>
    <m/>
  </r>
  <r>
    <x v="14"/>
    <d v="2020-09-17T00:00:00"/>
    <s v="POWERPLUS"/>
    <x v="1027"/>
    <n v="29.63"/>
    <x v="26"/>
    <m/>
    <m/>
    <m/>
    <n v="29.63"/>
    <b v="0"/>
    <m/>
    <m/>
    <s v="-"/>
    <x v="146"/>
    <s v="Create Rule; and Description Like '%CPENERGY MNGCO%';Utilities"/>
    <m/>
  </r>
  <r>
    <x v="14"/>
    <d v="2020-09-17T00:00:00"/>
    <s v="RAINY DAY"/>
    <x v="515"/>
    <n v="-300"/>
    <x v="26"/>
    <m/>
    <m/>
    <m/>
    <n v="300"/>
    <b v="0"/>
    <m/>
    <m/>
    <s v="+"/>
    <x v="496"/>
    <s v="Create Rule; and Description='Share';Delete"/>
    <m/>
  </r>
  <r>
    <x v="14"/>
    <d v="2020-09-17T00:00:00"/>
    <s v="Discover More Card"/>
    <x v="2"/>
    <n v="39.19"/>
    <x v="2"/>
    <m/>
    <m/>
    <m/>
    <n v="39.19"/>
    <b v="0"/>
    <m/>
    <m/>
    <s v="-"/>
    <x v="2"/>
    <s v="Create Rule; and Description='Speedway';Transportation"/>
    <m/>
  </r>
  <r>
    <x v="14"/>
    <d v="2020-09-17T00:00:00"/>
    <s v="Discover"/>
    <x v="2"/>
    <n v="39.19"/>
    <x v="2"/>
    <m/>
    <m/>
    <m/>
    <n v="39.19"/>
    <b v="0"/>
    <m/>
    <m/>
    <s v="-"/>
    <x v="2"/>
    <s v="Create Rule; and Description='Speedway';Transportation"/>
    <m/>
  </r>
  <r>
    <x v="14"/>
    <d v="2020-09-17T00:00:00"/>
    <s v="POWERPLUS"/>
    <x v="952"/>
    <n v="300"/>
    <x v="26"/>
    <m/>
    <m/>
    <m/>
    <n v="300"/>
    <b v="0"/>
    <m/>
    <m/>
    <s v="-"/>
    <x v="915"/>
    <s v="Create Rule; and Description='To Share 12';Delete"/>
    <m/>
  </r>
  <r>
    <x v="14"/>
    <d v="2020-09-18T00:00:00"/>
    <s v="Joint Tenant"/>
    <x v="185"/>
    <n v="-200"/>
    <x v="26"/>
    <m/>
    <m/>
    <m/>
    <n v="200"/>
    <b v="0"/>
    <m/>
    <m/>
    <s v="+"/>
    <x v="184"/>
    <s v="Create Rule; and Description='CARGILL COCOA &amp;';Roth"/>
    <m/>
  </r>
  <r>
    <x v="14"/>
    <d v="2020-09-18T00:00:00"/>
    <s v="Cash Rewards Visa Signature"/>
    <x v="60"/>
    <n v="22.4"/>
    <x v="26"/>
    <m/>
    <m/>
    <m/>
    <n v="22.4"/>
    <b v="0"/>
    <m/>
    <m/>
    <s v="-"/>
    <x v="60"/>
    <s v="Create Rule; and Description='Home Depot';House Maintenance"/>
    <m/>
  </r>
  <r>
    <x v="14"/>
    <d v="2020-09-18T00:00:00"/>
    <s v="POWERPLUS"/>
    <x v="1028"/>
    <n v="200"/>
    <x v="26"/>
    <m/>
    <m/>
    <m/>
    <n v="200"/>
    <b v="0"/>
    <m/>
    <m/>
    <s v="-"/>
    <x v="983"/>
    <s v="Create Rule; and Description Like '%MN DIR ACH%';College Savings"/>
    <m/>
  </r>
  <r>
    <x v="14"/>
    <d v="2020-09-18T00:00:00"/>
    <s v="Cash Rewards Visa Signature"/>
    <x v="1029"/>
    <n v="32.58"/>
    <x v="26"/>
    <m/>
    <m/>
    <m/>
    <n v="32.58"/>
    <b v="0"/>
    <m/>
    <m/>
    <s v="-"/>
    <x v="984"/>
    <s v="Create Rule; and Description Like '%RAKU RESTAURANT%';Restaurants"/>
    <m/>
  </r>
  <r>
    <x v="14"/>
    <d v="2020-09-18T00:00:00"/>
    <s v="Contributory"/>
    <x v="51"/>
    <n v="-231"/>
    <x v="26"/>
    <m/>
    <m/>
    <m/>
    <n v="231"/>
    <b v="0"/>
    <m/>
    <m/>
    <s v="+"/>
    <x v="51"/>
    <s v="Create Rule; and Description='Tfr JPMORGAN CHASE BAN, CARGILL COCOA &amp;';Roth"/>
    <m/>
  </r>
  <r>
    <x v="14"/>
    <d v="2020-09-20T00:00:00"/>
    <s v="Cash Rewards Visa Signature"/>
    <x v="1030"/>
    <n v="44.4"/>
    <x v="26"/>
    <m/>
    <m/>
    <m/>
    <n v="44.4"/>
    <b v="0"/>
    <m/>
    <m/>
    <s v="-"/>
    <x v="985"/>
    <s v="Create Rule; and Description Like '%Maynard%';Restaurants"/>
    <m/>
  </r>
  <r>
    <x v="14"/>
    <d v="2020-09-21T00:00:00"/>
    <s v="Cash Rewards Visa Signature"/>
    <x v="1031"/>
    <n v="70.319999999999993"/>
    <x v="26"/>
    <m/>
    <m/>
    <m/>
    <n v="70.319999999999993"/>
    <b v="0"/>
    <m/>
    <m/>
    <s v="-"/>
    <x v="986"/>
    <s v="Manual"/>
    <m/>
  </r>
  <r>
    <x v="14"/>
    <d v="2020-09-21T00:00:00"/>
    <s v="POWERPLUS"/>
    <x v="84"/>
    <n v="183.73"/>
    <x v="26"/>
    <m/>
    <m/>
    <m/>
    <n v="183.73"/>
    <b v="0"/>
    <m/>
    <m/>
    <s v="-"/>
    <x v="84"/>
    <s v="Create Rule; and Description='City of Chanhassen';Utilities"/>
    <m/>
  </r>
  <r>
    <x v="14"/>
    <d v="2020-09-21T00:00:00"/>
    <s v="Cash Rewards Visa Signature"/>
    <x v="177"/>
    <n v="62.23"/>
    <x v="26"/>
    <m/>
    <m/>
    <m/>
    <n v="62.23"/>
    <b v="0"/>
    <m/>
    <m/>
    <s v="-"/>
    <x v="176"/>
    <s v="Create Rule; and Description='NORTH COOP CHAHASSEN MN';Restaurants"/>
    <m/>
  </r>
  <r>
    <x v="14"/>
    <d v="2020-09-21T00:00:00"/>
    <s v="Joint Tenant"/>
    <x v="19"/>
    <n v="200"/>
    <x v="26"/>
    <m/>
    <m/>
    <m/>
    <n v="200"/>
    <b v="0"/>
    <m/>
    <m/>
    <s v="-"/>
    <x v="19"/>
    <s v="Delete; and Description='SCHWAB S&amp;P 500 INDEX FD' and inflowoutflow='-';0"/>
    <m/>
  </r>
  <r>
    <x v="14"/>
    <d v="2020-09-21T00:00:00"/>
    <s v="Joint Tenant"/>
    <x v="20"/>
    <n v="200"/>
    <x v="26"/>
    <m/>
    <m/>
    <m/>
    <n v="200"/>
    <b v="0"/>
    <m/>
    <m/>
    <s v="-"/>
    <x v="20"/>
    <s v="Delete; and Description='SCHWAB TOTAL STOCK MKT INDEX' and inflowoutflow='-';0"/>
    <m/>
  </r>
  <r>
    <x v="14"/>
    <d v="2020-09-22T00:00:00"/>
    <s v="Cash Rewards Visa Signature"/>
    <x v="60"/>
    <n v="15.02"/>
    <x v="26"/>
    <m/>
    <m/>
    <m/>
    <n v="15.02"/>
    <b v="0"/>
    <m/>
    <m/>
    <s v="-"/>
    <x v="60"/>
    <s v="Create Rule; and Description='Home Depot';House Maintenance"/>
    <m/>
  </r>
  <r>
    <x v="14"/>
    <d v="2020-09-22T00:00:00"/>
    <s v="Cash Rewards Visa Signature"/>
    <x v="60"/>
    <n v="27.84"/>
    <x v="26"/>
    <m/>
    <m/>
    <m/>
    <n v="27.84"/>
    <b v="0"/>
    <m/>
    <m/>
    <s v="-"/>
    <x v="60"/>
    <s v="Create Rule; and Description='Home Depot';House Maintenance"/>
    <m/>
  </r>
  <r>
    <x v="14"/>
    <d v="2020-09-22T00:00:00"/>
    <s v="Cash Rewards Visa Signature"/>
    <x v="60"/>
    <n v="127.95"/>
    <x v="26"/>
    <m/>
    <m/>
    <m/>
    <n v="127.95"/>
    <b v="0"/>
    <m/>
    <m/>
    <s v="-"/>
    <x v="60"/>
    <s v="Create Rule; and Description='Home Depot';House Maintenance"/>
    <m/>
  </r>
  <r>
    <x v="14"/>
    <d v="2020-09-22T00:00:00"/>
    <s v="Cash Rewards Visa Signature"/>
    <x v="1032"/>
    <n v="21.49"/>
    <x v="26"/>
    <m/>
    <m/>
    <m/>
    <n v="21.49"/>
    <b v="0"/>
    <m/>
    <m/>
    <s v="-"/>
    <x v="987"/>
    <s v="Manual"/>
    <m/>
  </r>
  <r>
    <x v="14"/>
    <d v="2020-09-22T00:00:00"/>
    <s v="Cash Rewards Visa Signature"/>
    <x v="448"/>
    <n v="144.96"/>
    <x v="30"/>
    <m/>
    <m/>
    <m/>
    <n v="144.96"/>
    <b v="0"/>
    <m/>
    <m/>
    <s v="-"/>
    <x v="432"/>
    <s v="Create Rule; and Description='Wayfair';Shopping"/>
    <m/>
  </r>
  <r>
    <x v="14"/>
    <d v="2020-09-23T00:00:00"/>
    <s v="Joint Tenant"/>
    <x v="286"/>
    <n v="-0.01"/>
    <x v="26"/>
    <m/>
    <m/>
    <m/>
    <n v="0.01"/>
    <b v="0"/>
    <m/>
    <m/>
    <s v="+"/>
    <x v="279"/>
    <s v="Create Rule; and Description='HALLIBURTON CO HLDG';Dividend"/>
    <m/>
  </r>
  <r>
    <x v="14"/>
    <d v="2020-09-23T00:00:00"/>
    <s v="POWERPLUS"/>
    <x v="1033"/>
    <n v="391.2"/>
    <x v="26"/>
    <m/>
    <m/>
    <m/>
    <n v="391.2"/>
    <b v="0"/>
    <m/>
    <m/>
    <s v="-"/>
    <x v="988"/>
    <s v="Create Rule; and Description Like '%MHCHILDCARELLC%';Day Care"/>
    <m/>
  </r>
  <r>
    <x v="14"/>
    <d v="2020-09-23T00:00:00"/>
    <s v="Cash Rewards Visa Signature"/>
    <x v="2"/>
    <n v="22.24"/>
    <x v="2"/>
    <m/>
    <m/>
    <m/>
    <n v="22.24"/>
    <b v="0"/>
    <m/>
    <m/>
    <s v="-"/>
    <x v="2"/>
    <s v="Create Rule; and Description='Speedway';Transportation"/>
    <m/>
  </r>
  <r>
    <x v="14"/>
    <d v="2020-09-23T00:00:00"/>
    <s v="POWERPLUS"/>
    <x v="29"/>
    <n v="52"/>
    <x v="8"/>
    <m/>
    <m/>
    <m/>
    <n v="52"/>
    <b v="0"/>
    <m/>
    <m/>
    <s v="-"/>
    <x v="29"/>
    <s v="Manual"/>
    <m/>
  </r>
  <r>
    <x v="14"/>
    <d v="2020-09-23T00:00:00"/>
    <s v="POWERPLUS"/>
    <x v="29"/>
    <n v="84.84"/>
    <x v="8"/>
    <m/>
    <m/>
    <m/>
    <n v="84.84"/>
    <b v="0"/>
    <m/>
    <m/>
    <s v="-"/>
    <x v="29"/>
    <s v="Manual"/>
    <m/>
  </r>
  <r>
    <x v="14"/>
    <d v="2020-09-24T00:00:00"/>
    <s v="Joint Tenant"/>
    <x v="286"/>
    <n v="0.01"/>
    <x v="26"/>
    <m/>
    <m/>
    <m/>
    <n v="0.01"/>
    <b v="0"/>
    <m/>
    <m/>
    <s v="-"/>
    <x v="279"/>
    <s v="Create Rule; and Description='HALLIBURTON CO HLDG';Dividend"/>
    <m/>
  </r>
  <r>
    <x v="14"/>
    <d v="2020-09-24T00:00:00"/>
    <s v="Cash Rewards Visa Signature"/>
    <x v="1034"/>
    <n v="-18.760000000000002"/>
    <x v="26"/>
    <m/>
    <m/>
    <m/>
    <n v="18.760000000000002"/>
    <b v="0"/>
    <m/>
    <m/>
    <s v="+"/>
    <x v="989"/>
    <s v="Manual"/>
    <m/>
  </r>
  <r>
    <x v="14"/>
    <d v="2020-09-24T00:00:00"/>
    <s v="RAINY DAY"/>
    <x v="515"/>
    <n v="-200"/>
    <x v="26"/>
    <m/>
    <m/>
    <m/>
    <n v="200"/>
    <b v="0"/>
    <m/>
    <m/>
    <s v="+"/>
    <x v="496"/>
    <s v="Create Rule; and Description='Share';Delete"/>
    <m/>
  </r>
  <r>
    <x v="14"/>
    <d v="2020-09-24T00:00:00"/>
    <s v="POWERPLUS"/>
    <x v="952"/>
    <n v="200"/>
    <x v="26"/>
    <m/>
    <m/>
    <m/>
    <n v="200"/>
    <b v="0"/>
    <m/>
    <m/>
    <s v="-"/>
    <x v="915"/>
    <s v="Create Rule; and Description='To Share 12';Delete"/>
    <m/>
  </r>
  <r>
    <x v="14"/>
    <d v="2020-09-25T00:00:00"/>
    <s v="Cash Rewards Visa Signature"/>
    <x v="936"/>
    <n v="-590.16999999999996"/>
    <x v="26"/>
    <m/>
    <m/>
    <m/>
    <n v="590.16999999999996"/>
    <b v="0"/>
    <m/>
    <m/>
    <s v="+"/>
    <x v="900"/>
    <s v="Delete; and Description Like '%PAYMENT THANK YOU%';0"/>
    <m/>
  </r>
  <r>
    <x v="14"/>
    <d v="2020-09-25T00:00:00"/>
    <s v="POWERPLUS"/>
    <x v="937"/>
    <n v="590.16999999999996"/>
    <x v="26"/>
    <m/>
    <m/>
    <m/>
    <n v="590.16999999999996"/>
    <b v="0"/>
    <m/>
    <m/>
    <s v="-"/>
    <x v="901"/>
    <s v="Delete; and Description Like '%Withdrawal Home payment to card%';0"/>
    <m/>
  </r>
  <r>
    <x v="14"/>
    <d v="2020-09-25T00:00:00"/>
    <s v="POWERPLUS"/>
    <x v="34"/>
    <n v="172.53"/>
    <x v="12"/>
    <m/>
    <m/>
    <m/>
    <n v="172.53"/>
    <b v="0"/>
    <m/>
    <m/>
    <s v="-"/>
    <x v="34"/>
    <s v="Create Rule; and Description='Target';Target"/>
    <m/>
  </r>
  <r>
    <x v="14"/>
    <d v="2020-09-26T00:00:00"/>
    <s v="Discover More Card"/>
    <x v="1035"/>
    <n v="53.79"/>
    <x v="26"/>
    <m/>
    <m/>
    <m/>
    <n v="53.79"/>
    <b v="0"/>
    <m/>
    <m/>
    <s v="-"/>
    <x v="990"/>
    <s v="Create Rule; and Description Like '%DOORDASH%';Shopping"/>
    <m/>
  </r>
  <r>
    <x v="14"/>
    <d v="2020-09-26T00:00:00"/>
    <s v="Discover"/>
    <x v="1035"/>
    <n v="53.79"/>
    <x v="26"/>
    <m/>
    <m/>
    <m/>
    <n v="53.79"/>
    <b v="0"/>
    <m/>
    <m/>
    <s v="-"/>
    <x v="990"/>
    <s v="Create Rule; and Description Like '%DOORDASH%';Shopping"/>
    <m/>
  </r>
  <r>
    <x v="14"/>
    <d v="2020-09-26T00:00:00"/>
    <s v="Discover More Card"/>
    <x v="99"/>
    <n v="12.99"/>
    <x v="11"/>
    <m/>
    <m/>
    <m/>
    <n v="12.99"/>
    <b v="0"/>
    <m/>
    <m/>
    <s v="-"/>
    <x v="99"/>
    <s v="Create Rule; and Description='Netflix';Utilities"/>
    <m/>
  </r>
  <r>
    <x v="14"/>
    <d v="2020-09-26T00:00:00"/>
    <s v="Discover"/>
    <x v="99"/>
    <n v="12.99"/>
    <x v="11"/>
    <m/>
    <m/>
    <m/>
    <n v="12.99"/>
    <b v="0"/>
    <m/>
    <m/>
    <s v="-"/>
    <x v="99"/>
    <s v="Create Rule; and Description='Netflix';Utilities"/>
    <m/>
  </r>
  <r>
    <x v="14"/>
    <d v="2020-09-26T00:00:00"/>
    <s v="Investor Checking"/>
    <x v="845"/>
    <n v="103"/>
    <x v="26"/>
    <m/>
    <m/>
    <m/>
    <n v="103"/>
    <b v="0"/>
    <m/>
    <m/>
    <s v="-"/>
    <x v="812"/>
    <s v="Manual"/>
    <m/>
  </r>
  <r>
    <x v="14"/>
    <d v="2020-09-27T00:00:00"/>
    <s v="Cash Rewards Visa Signature"/>
    <x v="1036"/>
    <n v="14.95"/>
    <x v="26"/>
    <m/>
    <m/>
    <m/>
    <n v="14.95"/>
    <b v="0"/>
    <m/>
    <m/>
    <s v="-"/>
    <x v="991"/>
    <s v="Create Rule; and Description Like '%Clutch Brewing Co LLC%';Restaurants"/>
    <m/>
  </r>
  <r>
    <x v="14"/>
    <d v="2020-09-27T00:00:00"/>
    <s v="Cash Rewards Visa Signature"/>
    <x v="60"/>
    <n v="-127.95"/>
    <x v="26"/>
    <m/>
    <m/>
    <m/>
    <n v="127.95"/>
    <b v="0"/>
    <m/>
    <m/>
    <s v="+"/>
    <x v="60"/>
    <s v="Create Rule; and Description='Home Depot';House Maintenance"/>
    <m/>
  </r>
  <r>
    <x v="14"/>
    <d v="2020-09-27T00:00:00"/>
    <s v="Discover More Card"/>
    <x v="579"/>
    <n v="25"/>
    <x v="1"/>
    <m/>
    <m/>
    <m/>
    <n v="25"/>
    <b v="0"/>
    <m/>
    <m/>
    <s v="-"/>
    <x v="560"/>
    <s v="Create Rule; and Description='Starbucks';Restaurants"/>
    <m/>
  </r>
  <r>
    <x v="14"/>
    <d v="2020-09-27T00:00:00"/>
    <s v="Discover"/>
    <x v="579"/>
    <n v="25"/>
    <x v="1"/>
    <m/>
    <m/>
    <m/>
    <n v="25"/>
    <b v="0"/>
    <m/>
    <m/>
    <s v="-"/>
    <x v="560"/>
    <s v="Create Rule; and Description='Starbucks';Restaurants"/>
    <m/>
  </r>
  <r>
    <x v="14"/>
    <d v="2020-09-27T00:00:00"/>
    <s v="Cash Rewards Visa Signature"/>
    <x v="197"/>
    <n v="10.39"/>
    <x v="1"/>
    <m/>
    <m/>
    <m/>
    <n v="10.39"/>
    <b v="0"/>
    <m/>
    <m/>
    <s v="-"/>
    <x v="196"/>
    <s v="Create Rule; and Description like '%Wendy%';Restaurants"/>
    <m/>
  </r>
  <r>
    <x v="14"/>
    <d v="2020-09-28T00:00:00"/>
    <s v="30 YR FIXED"/>
    <x v="935"/>
    <s v="#######"/>
    <x v="3"/>
    <m/>
    <m/>
    <m/>
    <n v="407277.27"/>
    <b v="0"/>
    <m/>
    <m/>
    <s v="+"/>
    <x v="899"/>
    <s v="Create Rule; and Description='PAYMENT';Delete"/>
    <m/>
  </r>
  <r>
    <x v="14"/>
    <d v="2020-09-28T00:00:00"/>
    <s v="Discover More Card"/>
    <x v="174"/>
    <n v="31.95"/>
    <x v="26"/>
    <m/>
    <m/>
    <m/>
    <n v="31.95"/>
    <b v="0"/>
    <m/>
    <m/>
    <s v="-"/>
    <x v="173"/>
    <s v="Create Rule; and Description='BP';Transportation"/>
    <m/>
  </r>
  <r>
    <x v="14"/>
    <d v="2020-09-28T00:00:00"/>
    <s v="Discover"/>
    <x v="174"/>
    <n v="31.95"/>
    <x v="26"/>
    <m/>
    <m/>
    <m/>
    <n v="31.95"/>
    <b v="0"/>
    <m/>
    <m/>
    <s v="-"/>
    <x v="173"/>
    <s v="Create Rule; and Description='BP';Transportation"/>
    <m/>
  </r>
  <r>
    <x v="14"/>
    <d v="2020-09-28T00:00:00"/>
    <s v="POWERPLUS"/>
    <x v="1037"/>
    <n v="-2385.58"/>
    <x v="26"/>
    <m/>
    <m/>
    <m/>
    <n v="2385.58"/>
    <b v="0"/>
    <m/>
    <m/>
    <s v="+"/>
    <x v="910"/>
    <s v="Manual"/>
    <m/>
  </r>
  <r>
    <x v="14"/>
    <d v="2020-09-28T00:00:00"/>
    <s v="Cash Rewards Visa Signature"/>
    <x v="152"/>
    <n v="22.85"/>
    <x v="26"/>
    <m/>
    <m/>
    <m/>
    <n v="22.85"/>
    <b v="0"/>
    <m/>
    <m/>
    <s v="-"/>
    <x v="151"/>
    <s v="Create Rule; and Description='Excelsior Brewing';Restaurants"/>
    <m/>
  </r>
  <r>
    <x v="14"/>
    <d v="2020-09-28T00:00:00"/>
    <s v="POWERPLUS"/>
    <x v="1038"/>
    <n v="391.2"/>
    <x v="26"/>
    <m/>
    <m/>
    <m/>
    <n v="391.2"/>
    <b v="0"/>
    <m/>
    <m/>
    <s v="-"/>
    <x v="992"/>
    <s v="Manual"/>
    <m/>
  </r>
  <r>
    <x v="14"/>
    <d v="2020-09-28T00:00:00"/>
    <s v="Joint Tenant"/>
    <x v="300"/>
    <n v="-18.649999999999999"/>
    <x v="26"/>
    <m/>
    <m/>
    <m/>
    <n v="18.649999999999999"/>
    <b v="0"/>
    <m/>
    <m/>
    <s v="+"/>
    <x v="293"/>
    <s v="Create Rule; and Description='SCHWAB US SMALL CAP ETF';Dividend"/>
    <m/>
  </r>
  <r>
    <x v="14"/>
    <d v="2020-09-28T00:00:00"/>
    <s v="Cash Rewards Visa Signature"/>
    <x v="55"/>
    <n v="26.83"/>
    <x v="5"/>
    <m/>
    <m/>
    <m/>
    <n v="26.83"/>
    <b v="0"/>
    <m/>
    <m/>
    <s v="-"/>
    <x v="55"/>
    <s v="Create Rule; and Description='Walgreens';Shopping"/>
    <m/>
  </r>
  <r>
    <x v="14"/>
    <d v="2020-09-29T00:00:00"/>
    <s v="Discover More Card"/>
    <x v="93"/>
    <n v="-3.35"/>
    <x v="26"/>
    <m/>
    <m/>
    <m/>
    <n v="3.35"/>
    <b v="0"/>
    <m/>
    <m/>
    <s v="+"/>
    <x v="93"/>
    <s v="Delete; and Description='CASHBACK BONUS REDEMPTION payment/STMT CRDT';0"/>
    <m/>
  </r>
  <r>
    <x v="14"/>
    <d v="2020-09-29T00:00:00"/>
    <s v="Discover"/>
    <x v="93"/>
    <n v="-3.35"/>
    <x v="26"/>
    <m/>
    <m/>
    <m/>
    <n v="3.35"/>
    <b v="0"/>
    <m/>
    <m/>
    <s v="+"/>
    <x v="93"/>
    <s v="Delete; and Description='CASHBACK BONUS REDEMPTION payment/STMT CRDT';0"/>
    <m/>
  </r>
  <r>
    <x v="14"/>
    <d v="2020-09-29T00:00:00"/>
    <s v="Discover More Card"/>
    <x v="56"/>
    <n v="-127.62"/>
    <x v="3"/>
    <m/>
    <m/>
    <m/>
    <n v="127.62"/>
    <b v="0"/>
    <m/>
    <m/>
    <s v="+"/>
    <x v="56"/>
    <s v="Delete; and Description='INTERNET PAYMENT - THANK YOU';0"/>
    <m/>
  </r>
  <r>
    <x v="14"/>
    <d v="2020-09-29T00:00:00"/>
    <s v="Discover"/>
    <x v="56"/>
    <n v="-127.62"/>
    <x v="3"/>
    <m/>
    <m/>
    <m/>
    <n v="127.62"/>
    <b v="0"/>
    <m/>
    <m/>
    <s v="+"/>
    <x v="56"/>
    <s v="Delete; and Description='INTERNET PAYMENT - THANK YOU';0"/>
    <m/>
  </r>
  <r>
    <x v="14"/>
    <d v="2020-09-29T00:00:00"/>
    <s v="Cash Rewards Visa Signature"/>
    <x v="0"/>
    <n v="16.2"/>
    <x v="0"/>
    <m/>
    <m/>
    <m/>
    <n v="16.2"/>
    <b v="0"/>
    <m/>
    <m/>
    <s v="-"/>
    <x v="0"/>
    <s v="Create Rule; and Description='Amazon';Amazon"/>
    <m/>
  </r>
  <r>
    <x v="14"/>
    <d v="2020-09-29T00:00:00"/>
    <s v="Cash Rewards Visa Signature"/>
    <x v="0"/>
    <n v="27.53"/>
    <x v="0"/>
    <m/>
    <m/>
    <m/>
    <n v="27.53"/>
    <b v="0"/>
    <m/>
    <m/>
    <s v="-"/>
    <x v="0"/>
    <s v="Create Rule; and Description='Amazon';Amazon"/>
    <m/>
  </r>
  <r>
    <x v="14"/>
    <d v="2020-09-29T00:00:00"/>
    <s v="Cash Rewards Visa Signature"/>
    <x v="6"/>
    <n v="144.86000000000001"/>
    <x v="5"/>
    <m/>
    <m/>
    <m/>
    <n v="144.86000000000001"/>
    <b v="0"/>
    <m/>
    <m/>
    <s v="-"/>
    <x v="6"/>
    <s v="Create Rule; and Description Like '%Cub Foods%';Groceries"/>
    <m/>
  </r>
  <r>
    <x v="14"/>
    <d v="2020-09-29T00:00:00"/>
    <s v="POWERPLUS"/>
    <x v="157"/>
    <n v="0.99"/>
    <x v="8"/>
    <m/>
    <m/>
    <m/>
    <n v="0.99"/>
    <b v="0"/>
    <m/>
    <m/>
    <s v="-"/>
    <x v="156"/>
    <s v="Create Rule; and Description Like '%PayPal%';Shopping"/>
    <m/>
  </r>
  <r>
    <x v="14"/>
    <d v="2020-09-29T00:00:00"/>
    <s v="Joint Tenant"/>
    <x v="300"/>
    <n v="18.649999999999999"/>
    <x v="26"/>
    <m/>
    <m/>
    <m/>
    <n v="18.649999999999999"/>
    <b v="0"/>
    <m/>
    <m/>
    <s v="-"/>
    <x v="293"/>
    <s v="Create Rule; and Description='SCHWAB US SMALL CAP ETF';Dividend"/>
    <m/>
  </r>
  <r>
    <x v="14"/>
    <d v="2020-09-30T00:00:00"/>
    <s v="POWERPLUS"/>
    <x v="1039"/>
    <n v="127.62"/>
    <x v="26"/>
    <m/>
    <m/>
    <m/>
    <n v="127.62"/>
    <b v="0"/>
    <m/>
    <m/>
    <s v="-"/>
    <x v="993"/>
    <s v="Delete; and Description Like '%DISCOVER TYPE EPAYMENT%';0"/>
    <m/>
  </r>
  <r>
    <x v="14"/>
    <d v="2020-09-30T00:00:00"/>
    <s v="Investor Checking"/>
    <x v="298"/>
    <n v="-5.75"/>
    <x v="26"/>
    <m/>
    <m/>
    <m/>
    <n v="5.75"/>
    <b v="0"/>
    <m/>
    <m/>
    <s v="+"/>
    <x v="291"/>
    <s v="Manual"/>
    <m/>
  </r>
  <r>
    <x v="14"/>
    <d v="2020-09-30T00:00:00"/>
    <s v="POWERPLUS"/>
    <x v="1040"/>
    <n v="-3"/>
    <x v="26"/>
    <m/>
    <m/>
    <m/>
    <n v="3"/>
    <b v="0"/>
    <m/>
    <m/>
    <s v="+"/>
    <x v="994"/>
    <s v="Manual"/>
    <m/>
  </r>
  <r>
    <x v="14"/>
    <d v="2020-09-30T00:00:00"/>
    <s v="POWERPLUS"/>
    <x v="1041"/>
    <n v="-1993.07"/>
    <x v="26"/>
    <m/>
    <m/>
    <m/>
    <n v="1993.07"/>
    <b v="0"/>
    <m/>
    <m/>
    <s v="+"/>
    <x v="995"/>
    <s v="Create Rule; and Description Like '%CARGILL COCOA TYPE DIR DEP ID%';Inc - Britney"/>
    <m/>
  </r>
  <r>
    <x v="14"/>
    <d v="2020-09-30T00:00:00"/>
    <s v="Joint Tenant"/>
    <x v="950"/>
    <n v="-250"/>
    <x v="26"/>
    <m/>
    <m/>
    <m/>
    <n v="250"/>
    <b v="0"/>
    <m/>
    <m/>
    <s v="+"/>
    <x v="913"/>
    <s v="Create Rule; and Description Like '%CONNECTED ANALYT%';Inc - Jeff"/>
    <m/>
  </r>
  <r>
    <x v="14"/>
    <d v="2020-09-30T00:00:00"/>
    <s v="Investor Checking"/>
    <x v="118"/>
    <n v="-0.01"/>
    <x v="26"/>
    <m/>
    <m/>
    <m/>
    <n v="0.01"/>
    <b v="0"/>
    <m/>
    <m/>
    <s v="+"/>
    <x v="118"/>
    <s v="Create Rule; and Description='Interest Paid';0"/>
    <m/>
  </r>
  <r>
    <x v="14"/>
    <d v="2020-09-30T00:00:00"/>
    <s v="RAINY DAY"/>
    <x v="119"/>
    <n v="-14.26"/>
    <x v="26"/>
    <m/>
    <m/>
    <m/>
    <n v="14.26"/>
    <b v="0"/>
    <m/>
    <m/>
    <s v="+"/>
    <x v="119"/>
    <s v="Create Rule; and Description='Split Rate Apy';Inc - Other"/>
    <m/>
  </r>
  <r>
    <x v="14"/>
    <d v="2020-09-30T00:00:00"/>
    <s v="POWERPLUS"/>
    <x v="119"/>
    <n v="-19.850000000000001"/>
    <x v="26"/>
    <m/>
    <m/>
    <m/>
    <n v="19.850000000000001"/>
    <b v="0"/>
    <m/>
    <m/>
    <s v="+"/>
    <x v="119"/>
    <s v="Create Rule; and Description='Split Rate Apy';Inc - Other"/>
    <m/>
  </r>
  <r>
    <x v="14"/>
    <d v="2020-09-30T00:00:00"/>
    <s v="Jeff IRA"/>
    <x v="951"/>
    <n v="-250"/>
    <x v="26"/>
    <m/>
    <m/>
    <m/>
    <n v="250"/>
    <b v="0"/>
    <m/>
    <m/>
    <s v="+"/>
    <x v="914"/>
    <s v="Create Rule; and Description Like '%CONNECTED ANALYT%';Inc - Jeff"/>
    <m/>
  </r>
  <r>
    <x v="14"/>
    <d v="2020-09-30T00:00:00"/>
    <s v="Cash Rewards Visa Signature"/>
    <x v="1042"/>
    <n v="-45.91"/>
    <x v="26"/>
    <m/>
    <m/>
    <m/>
    <n v="45.91"/>
    <b v="0"/>
    <m/>
    <m/>
    <s v="+"/>
    <x v="996"/>
    <s v="Manual"/>
    <m/>
  </r>
  <r>
    <x v="21"/>
    <d v="2020-10-01T00:00:00"/>
    <s v="POWERPLUS"/>
    <x v="1043"/>
    <n v="200"/>
    <x v="26"/>
    <m/>
    <m/>
    <m/>
    <n v="200"/>
    <b v="0"/>
    <m/>
    <m/>
    <s v="-"/>
    <x v="16"/>
    <s v="Create Rule; and Description Like '%College Savings%';College Savings"/>
    <m/>
  </r>
  <r>
    <x v="21"/>
    <d v="2020-10-01T00:00:00"/>
    <s v="SHARE SAVINGS"/>
    <x v="303"/>
    <n v="-251.64"/>
    <x v="26"/>
    <m/>
    <m/>
    <m/>
    <n v="251.64"/>
    <b v="0"/>
    <m/>
    <m/>
    <s v="+"/>
    <x v="295"/>
    <s v="Create Rule; and Description='Cred Rebate';Inc - Other"/>
    <m/>
  </r>
  <r>
    <x v="21"/>
    <d v="2020-10-01T00:00:00"/>
    <s v="HIGHLANDER"/>
    <x v="976"/>
    <n v="-576.9"/>
    <x v="26"/>
    <m/>
    <m/>
    <m/>
    <n v="576.9"/>
    <b v="0"/>
    <m/>
    <m/>
    <s v="+"/>
    <x v="936"/>
    <s v="Create Rule; and Description='From Share 70';Delete"/>
    <m/>
  </r>
  <r>
    <x v="21"/>
    <d v="2020-10-01T00:00:00"/>
    <s v="Cash Rewards Visa Signature"/>
    <x v="1044"/>
    <n v="161.06"/>
    <x v="26"/>
    <m/>
    <m/>
    <m/>
    <n v="161.06"/>
    <b v="0"/>
    <m/>
    <m/>
    <s v="-"/>
    <x v="997"/>
    <s v="Manual"/>
    <m/>
  </r>
  <r>
    <x v="21"/>
    <d v="2020-10-01T00:00:00"/>
    <s v="POWERPLUS"/>
    <x v="515"/>
    <n v="-251"/>
    <x v="26"/>
    <m/>
    <m/>
    <m/>
    <n v="251"/>
    <b v="0"/>
    <m/>
    <m/>
    <s v="+"/>
    <x v="496"/>
    <s v="Create Rule; and Description='Share';Delete"/>
    <m/>
  </r>
  <r>
    <x v="21"/>
    <d v="2020-10-01T00:00:00"/>
    <s v="RAINY DAY"/>
    <x v="515"/>
    <n v="-300"/>
    <x v="26"/>
    <m/>
    <m/>
    <m/>
    <n v="300"/>
    <b v="0"/>
    <m/>
    <m/>
    <s v="+"/>
    <x v="496"/>
    <s v="Create Rule; and Description='Share';Delete"/>
    <m/>
  </r>
  <r>
    <x v="21"/>
    <d v="2020-10-01T00:00:00"/>
    <s v="POWERPLUS"/>
    <x v="979"/>
    <n v="618.65"/>
    <x v="26"/>
    <m/>
    <m/>
    <m/>
    <n v="618.65"/>
    <b v="0"/>
    <m/>
    <m/>
    <s v="-"/>
    <x v="939"/>
    <s v="Create Rule; and Description Like '%To Loan 02%';Car Loan"/>
    <m/>
  </r>
  <r>
    <x v="21"/>
    <d v="2020-10-01T00:00:00"/>
    <s v="POWERPLUS"/>
    <x v="952"/>
    <n v="300"/>
    <x v="26"/>
    <m/>
    <m/>
    <m/>
    <n v="300"/>
    <b v="0"/>
    <m/>
    <m/>
    <s v="-"/>
    <x v="915"/>
    <s v="Create Rule; and Description='To Share 12';Delete"/>
    <m/>
  </r>
  <r>
    <x v="21"/>
    <d v="2020-10-01T00:00:00"/>
    <s v="SHARE SAVINGS"/>
    <x v="953"/>
    <n v="251"/>
    <x v="26"/>
    <m/>
    <m/>
    <m/>
    <n v="251"/>
    <b v="0"/>
    <m/>
    <m/>
    <s v="-"/>
    <x v="916"/>
    <s v="Manual"/>
    <m/>
  </r>
  <r>
    <x v="21"/>
    <d v="2020-10-02T00:00:00"/>
    <s v="Cash Rewards Visa Signature"/>
    <x v="598"/>
    <n v="4.28"/>
    <x v="10"/>
    <m/>
    <m/>
    <m/>
    <n v="4.28"/>
    <b v="0"/>
    <m/>
    <m/>
    <s v="-"/>
    <x v="579"/>
    <s v="Create Rule; and Description='Amazon Music';Entertainment"/>
    <m/>
  </r>
  <r>
    <x v="21"/>
    <d v="2020-10-02T00:00:00"/>
    <s v="Joint Tenant"/>
    <x v="185"/>
    <n v="-200"/>
    <x v="26"/>
    <m/>
    <m/>
    <m/>
    <n v="200"/>
    <b v="0"/>
    <m/>
    <m/>
    <s v="+"/>
    <x v="184"/>
    <s v="Create Rule; and Description='CARGILL COCOA &amp;';Roth"/>
    <m/>
  </r>
  <r>
    <x v="21"/>
    <d v="2020-10-02T00:00:00"/>
    <s v="POWERPLUS"/>
    <x v="157"/>
    <n v="31.87"/>
    <x v="8"/>
    <m/>
    <m/>
    <m/>
    <n v="31.87"/>
    <b v="0"/>
    <m/>
    <m/>
    <s v="-"/>
    <x v="156"/>
    <s v="Create Rule; and Description Like '%PayPal%';Shopping"/>
    <m/>
  </r>
  <r>
    <x v="21"/>
    <d v="2020-10-02T00:00:00"/>
    <s v="Cash Rewards Visa Signature"/>
    <x v="1045"/>
    <n v="175"/>
    <x v="26"/>
    <m/>
    <m/>
    <m/>
    <n v="175"/>
    <b v="0"/>
    <m/>
    <m/>
    <s v="-"/>
    <x v="998"/>
    <s v="Manual"/>
    <m/>
  </r>
  <r>
    <x v="21"/>
    <d v="2020-10-02T00:00:00"/>
    <s v="Contributory"/>
    <x v="51"/>
    <n v="-231"/>
    <x v="26"/>
    <m/>
    <m/>
    <m/>
    <n v="231"/>
    <b v="0"/>
    <m/>
    <m/>
    <s v="+"/>
    <x v="51"/>
    <s v="Create Rule; and Description='Tfr JPMORGAN CHASE BAN, CARGILL COCOA &amp;';Roth"/>
    <m/>
  </r>
  <r>
    <x v="21"/>
    <d v="2020-10-03T00:00:00"/>
    <s v="Discover More Card"/>
    <x v="152"/>
    <n v="15.25"/>
    <x v="26"/>
    <m/>
    <m/>
    <m/>
    <n v="15.25"/>
    <b v="0"/>
    <m/>
    <m/>
    <s v="-"/>
    <x v="151"/>
    <s v="Create Rule; and Description='Excelsior Brewing';Restaurants"/>
    <m/>
  </r>
  <r>
    <x v="21"/>
    <d v="2020-10-03T00:00:00"/>
    <s v="Discover"/>
    <x v="152"/>
    <n v="15.25"/>
    <x v="26"/>
    <m/>
    <m/>
    <m/>
    <n v="15.25"/>
    <b v="0"/>
    <m/>
    <m/>
    <s v="-"/>
    <x v="151"/>
    <s v="Create Rule; and Description='Excelsior Brewing';Restaurants"/>
    <m/>
  </r>
  <r>
    <x v="21"/>
    <d v="2020-10-04T00:00:00"/>
    <s v="Cash Rewards Visa Signature"/>
    <x v="1046"/>
    <n v="25.93"/>
    <x v="26"/>
    <m/>
    <m/>
    <m/>
    <n v="25.93"/>
    <b v="0"/>
    <m/>
    <m/>
    <s v="-"/>
    <x v="999"/>
    <s v="Manual"/>
    <m/>
  </r>
  <r>
    <x v="21"/>
    <d v="2020-10-05T00:00:00"/>
    <s v="Cash Rewards Visa Signature"/>
    <x v="6"/>
    <n v="98.6"/>
    <x v="5"/>
    <m/>
    <m/>
    <m/>
    <n v="98.6"/>
    <b v="0"/>
    <m/>
    <m/>
    <s v="-"/>
    <x v="6"/>
    <s v="Create Rule; and Description Like '%Cub Foods%';Groceries"/>
    <m/>
  </r>
  <r>
    <x v="21"/>
    <d v="2020-10-05T00:00:00"/>
    <s v="Cash Rewards Visa Signature"/>
    <x v="473"/>
    <n v="64.849999999999994"/>
    <x v="1"/>
    <m/>
    <m/>
    <m/>
    <n v="64.849999999999994"/>
    <b v="0"/>
    <m/>
    <m/>
    <s v="-"/>
    <x v="456"/>
    <s v="Create Rule; and Description Like '%Domino%';Restaurants"/>
    <m/>
  </r>
  <r>
    <x v="21"/>
    <d v="2020-10-05T00:00:00"/>
    <s v="Cash Rewards Visa Signature"/>
    <x v="1047"/>
    <n v="31"/>
    <x v="26"/>
    <m/>
    <m/>
    <m/>
    <n v="31"/>
    <b v="0"/>
    <m/>
    <m/>
    <s v="-"/>
    <x v="1000"/>
    <s v="Manual"/>
    <m/>
  </r>
  <r>
    <x v="21"/>
    <d v="2020-10-05T00:00:00"/>
    <s v="POWERPLUS"/>
    <x v="157"/>
    <n v="11.99"/>
    <x v="8"/>
    <m/>
    <m/>
    <m/>
    <n v="11.99"/>
    <b v="0"/>
    <m/>
    <m/>
    <s v="-"/>
    <x v="156"/>
    <s v="Create Rule; and Description Like '%PayPal%';Shopping"/>
    <m/>
  </r>
  <r>
    <x v="21"/>
    <d v="2020-10-05T00:00:00"/>
    <s v="Cash Rewards Visa Signature"/>
    <x v="1048"/>
    <n v="151"/>
    <x v="26"/>
    <m/>
    <m/>
    <m/>
    <n v="151"/>
    <b v="0"/>
    <m/>
    <m/>
    <s v="-"/>
    <x v="1001"/>
    <s v="Manual"/>
    <m/>
  </r>
  <r>
    <x v="21"/>
    <d v="2020-10-05T00:00:00"/>
    <s v="Joint Tenant"/>
    <x v="20"/>
    <n v="200"/>
    <x v="26"/>
    <m/>
    <m/>
    <m/>
    <n v="200"/>
    <b v="0"/>
    <m/>
    <m/>
    <s v="-"/>
    <x v="20"/>
    <s v="Delete; and Description='SCHWAB TOTAL STOCK MKT INDEX' and inflowoutflow='-';0"/>
    <m/>
  </r>
  <r>
    <x v="21"/>
    <d v="2020-10-05T00:00:00"/>
    <s v="POWERPLUS"/>
    <x v="29"/>
    <n v="76.88"/>
    <x v="8"/>
    <m/>
    <m/>
    <m/>
    <n v="76.88"/>
    <b v="0"/>
    <m/>
    <m/>
    <s v="-"/>
    <x v="29"/>
    <s v="Manual"/>
    <m/>
  </r>
  <r>
    <x v="21"/>
    <d v="2020-10-06T00:00:00"/>
    <s v="Cash Rewards Visa Signature"/>
    <x v="980"/>
    <n v="172.79"/>
    <x v="26"/>
    <m/>
    <m/>
    <m/>
    <n v="172.79"/>
    <b v="0"/>
    <m/>
    <m/>
    <s v="-"/>
    <x v="940"/>
    <s v="Create Rule; and Description Like '%AVOADVOCARE INTL%';Groceries"/>
    <m/>
  </r>
  <r>
    <x v="21"/>
    <d v="2020-10-06T00:00:00"/>
    <s v="Cash Rewards Visa Signature"/>
    <x v="174"/>
    <n v="7.04"/>
    <x v="26"/>
    <m/>
    <m/>
    <m/>
    <n v="7.04"/>
    <b v="0"/>
    <m/>
    <m/>
    <s v="-"/>
    <x v="173"/>
    <s v="Create Rule; and Description='BP';Transportation"/>
    <m/>
  </r>
  <r>
    <x v="21"/>
    <d v="2020-10-06T00:00:00"/>
    <s v="Cash Rewards Visa Signature"/>
    <x v="70"/>
    <n v="62.6"/>
    <x v="26"/>
    <m/>
    <m/>
    <m/>
    <n v="62.6"/>
    <b v="0"/>
    <m/>
    <m/>
    <s v="-"/>
    <x v="70"/>
    <s v="Create Rule; and Description like '%Byerly%';Groceries"/>
    <m/>
  </r>
  <r>
    <x v="21"/>
    <d v="2020-10-06T00:00:00"/>
    <s v="POWERPLUS"/>
    <x v="1049"/>
    <n v="391.2"/>
    <x v="26"/>
    <m/>
    <m/>
    <m/>
    <n v="391.2"/>
    <b v="0"/>
    <m/>
    <m/>
    <s v="-"/>
    <x v="1002"/>
    <s v="Create Rule; and Description Like '%MHCHILDCARELLC%';Day Care"/>
    <m/>
  </r>
  <r>
    <x v="21"/>
    <d v="2020-10-06T00:00:00"/>
    <s v="Cash Rewards Visa Signature"/>
    <x v="34"/>
    <n v="35.07"/>
    <x v="12"/>
    <m/>
    <m/>
    <m/>
    <n v="35.07"/>
    <b v="0"/>
    <m/>
    <m/>
    <s v="-"/>
    <x v="34"/>
    <s v="Create Rule; and Description='Target';Target"/>
    <m/>
  </r>
  <r>
    <x v="21"/>
    <d v="2020-10-06T00:00:00"/>
    <s v="POWERPLUS"/>
    <x v="30"/>
    <n v="118.63"/>
    <x v="11"/>
    <m/>
    <m/>
    <m/>
    <n v="118.63"/>
    <b v="0"/>
    <m/>
    <m/>
    <s v="-"/>
    <x v="30"/>
    <s v="Create Rule; and Description='Xcel Energy';Utilities"/>
    <m/>
  </r>
  <r>
    <x v="21"/>
    <d v="2020-10-07T00:00:00"/>
    <s v="Cash Rewards Visa Signature"/>
    <x v="936"/>
    <n v="-1078.97"/>
    <x v="26"/>
    <m/>
    <m/>
    <m/>
    <n v="1078.97"/>
    <b v="0"/>
    <m/>
    <m/>
    <s v="+"/>
    <x v="900"/>
    <s v="Delete; and Description Like '%PAYMENT THANK YOU%';0"/>
    <m/>
  </r>
  <r>
    <x v="21"/>
    <d v="2020-10-07T00:00:00"/>
    <s v="POWERPLUS"/>
    <x v="937"/>
    <n v="1078.97"/>
    <x v="26"/>
    <m/>
    <m/>
    <m/>
    <n v="1078.97"/>
    <b v="0"/>
    <m/>
    <m/>
    <s v="-"/>
    <x v="901"/>
    <s v="Delete; and Description Like '%Withdrawal Home payment to card%';0"/>
    <m/>
  </r>
  <r>
    <x v="21"/>
    <d v="2020-10-07T00:00:00"/>
    <s v="Cash Rewards Visa Signature"/>
    <x v="0"/>
    <n v="66.58"/>
    <x v="0"/>
    <m/>
    <m/>
    <m/>
    <n v="66.58"/>
    <b v="0"/>
    <m/>
    <m/>
    <s v="-"/>
    <x v="0"/>
    <s v="Create Rule; and Description='Amazon';Amazon"/>
    <m/>
  </r>
  <r>
    <x v="21"/>
    <d v="2020-10-07T00:00:00"/>
    <s v="Cash Rewards Visa Signature"/>
    <x v="240"/>
    <n v="25.18"/>
    <x v="26"/>
    <m/>
    <m/>
    <m/>
    <n v="25.18"/>
    <b v="0"/>
    <m/>
    <m/>
    <s v="-"/>
    <x v="238"/>
    <s v="Create Rule; and Description='Chipotle';Restaurants"/>
    <m/>
  </r>
  <r>
    <x v="21"/>
    <d v="2020-10-07T00:00:00"/>
    <s v="Discover More Card"/>
    <x v="823"/>
    <n v="27.7"/>
    <x v="2"/>
    <m/>
    <m/>
    <m/>
    <n v="27.7"/>
    <b v="0"/>
    <m/>
    <m/>
    <s v="-"/>
    <x v="792"/>
    <s v="Create Rule; and Description='Kwik Trip';Transportation"/>
    <m/>
  </r>
  <r>
    <x v="21"/>
    <d v="2020-10-07T00:00:00"/>
    <s v="Discover"/>
    <x v="823"/>
    <n v="27.7"/>
    <x v="2"/>
    <m/>
    <m/>
    <m/>
    <n v="27.7"/>
    <b v="0"/>
    <m/>
    <m/>
    <s v="-"/>
    <x v="792"/>
    <s v="Create Rule; and Description='Kwik Trip';Transportation"/>
    <m/>
  </r>
  <r>
    <x v="21"/>
    <d v="2020-10-08T00:00:00"/>
    <s v="Cash Rewards Visa Signature"/>
    <x v="6"/>
    <n v="8.25"/>
    <x v="5"/>
    <m/>
    <m/>
    <m/>
    <n v="8.25"/>
    <b v="0"/>
    <m/>
    <m/>
    <s v="-"/>
    <x v="6"/>
    <s v="Create Rule; and Description Like '%Cub Foods%';Groceries"/>
    <m/>
  </r>
  <r>
    <x v="21"/>
    <d v="2020-10-09T00:00:00"/>
    <s v="Discover More Card"/>
    <x v="81"/>
    <n v="11.38"/>
    <x v="26"/>
    <m/>
    <m/>
    <m/>
    <n v="11.38"/>
    <b v="0"/>
    <m/>
    <m/>
    <s v="-"/>
    <x v="81"/>
    <s v="Create Rule; and Description='Holiday Stationstore';Transportation"/>
    <m/>
  </r>
  <r>
    <x v="21"/>
    <d v="2020-10-09T00:00:00"/>
    <s v="Discover"/>
    <x v="81"/>
    <n v="11.38"/>
    <x v="26"/>
    <m/>
    <m/>
    <m/>
    <n v="11.38"/>
    <b v="0"/>
    <m/>
    <m/>
    <s v="-"/>
    <x v="81"/>
    <s v="Create Rule; and Description='Holiday Stationstore';Transportation"/>
    <m/>
  </r>
  <r>
    <x v="21"/>
    <d v="2020-10-09T00:00:00"/>
    <s v="30 YR FIXED"/>
    <x v="1050"/>
    <n v="0"/>
    <x v="26"/>
    <m/>
    <m/>
    <m/>
    <n v="0"/>
    <b v="0"/>
    <m/>
    <m/>
    <s v="+"/>
    <x v="1003"/>
    <m/>
    <m/>
  </r>
  <r>
    <x v="21"/>
    <d v="2020-10-09T00:00:00"/>
    <s v="POWERPLUS"/>
    <x v="157"/>
    <n v="7.43"/>
    <x v="8"/>
    <m/>
    <m/>
    <m/>
    <n v="7.43"/>
    <b v="0"/>
    <m/>
    <m/>
    <s v="-"/>
    <x v="156"/>
    <s v="Create Rule; and Description Like '%PayPal%';Shopping"/>
    <m/>
  </r>
  <r>
    <x v="21"/>
    <d v="2020-10-09T00:00:00"/>
    <s v="POWERPLUS"/>
    <x v="29"/>
    <n v="126.63"/>
    <x v="8"/>
    <m/>
    <m/>
    <m/>
    <n v="126.63"/>
    <b v="0"/>
    <m/>
    <m/>
    <s v="-"/>
    <x v="29"/>
    <s v="Manual"/>
    <m/>
  </r>
  <r>
    <x v="21"/>
    <d v="2020-10-30T00:00:00"/>
    <s v="Cash Rewards Visa Signature"/>
    <x v="1051"/>
    <n v="56"/>
    <x v="26"/>
    <m/>
    <m/>
    <m/>
    <n v="56"/>
    <b v="0"/>
    <m/>
    <m/>
    <s v="-"/>
    <x v="1004"/>
    <s v="Manual"/>
    <m/>
  </r>
  <r>
    <x v="21"/>
    <d v="2020-10-30T00:00:00"/>
    <s v="Discover More Card"/>
    <x v="0"/>
    <n v="145.91999999999999"/>
    <x v="0"/>
    <m/>
    <m/>
    <m/>
    <n v="145.91999999999999"/>
    <b v="0"/>
    <m/>
    <m/>
    <s v="-"/>
    <x v="0"/>
    <s v="Create Rule; and Description='Amazon';Amazon"/>
    <m/>
  </r>
  <r>
    <x v="21"/>
    <d v="2020-10-30T00:00:00"/>
    <s v="Discover More Card"/>
    <x v="0"/>
    <n v="7.51"/>
    <x v="0"/>
    <m/>
    <m/>
    <m/>
    <n v="7.51"/>
    <b v="0"/>
    <m/>
    <m/>
    <s v="-"/>
    <x v="0"/>
    <s v="Create Rule; and Description='Amazon';Amazon"/>
    <m/>
  </r>
  <r>
    <x v="21"/>
    <d v="2020-10-30T00:00:00"/>
    <s v="Discover More Card"/>
    <x v="0"/>
    <n v="19.21"/>
    <x v="0"/>
    <m/>
    <m/>
    <m/>
    <n v="19.21"/>
    <b v="0"/>
    <m/>
    <m/>
    <s v="-"/>
    <x v="0"/>
    <s v="Create Rule; and Description='Amazon';Amazon"/>
    <m/>
  </r>
  <r>
    <x v="21"/>
    <d v="2020-10-30T00:00:00"/>
    <s v="Discover More Card"/>
    <x v="0"/>
    <n v="19.5"/>
    <x v="0"/>
    <m/>
    <m/>
    <m/>
    <n v="19.5"/>
    <b v="0"/>
    <m/>
    <m/>
    <s v="-"/>
    <x v="0"/>
    <s v="Create Rule; and Description='Amazon';Amazon"/>
    <m/>
  </r>
  <r>
    <x v="21"/>
    <d v="2020-10-30T00:00:00"/>
    <s v="Discover More Card"/>
    <x v="0"/>
    <n v="38.64"/>
    <x v="0"/>
    <m/>
    <m/>
    <m/>
    <n v="38.64"/>
    <b v="0"/>
    <m/>
    <m/>
    <s v="-"/>
    <x v="0"/>
    <s v="Create Rule; and Description='Amazon';Amazon"/>
    <m/>
  </r>
  <r>
    <x v="21"/>
    <d v="2020-10-30T00:00:00"/>
    <s v="Discover More Card"/>
    <x v="0"/>
    <n v="4.9000000000000004"/>
    <x v="0"/>
    <m/>
    <m/>
    <m/>
    <n v="4.9000000000000004"/>
    <b v="0"/>
    <m/>
    <m/>
    <s v="-"/>
    <x v="0"/>
    <s v="Create Rule; and Description='Amazon';Amazon"/>
    <m/>
  </r>
  <r>
    <x v="21"/>
    <d v="2020-10-30T00:00:00"/>
    <s v="Discover More Card"/>
    <x v="0"/>
    <n v="19.5"/>
    <x v="0"/>
    <m/>
    <m/>
    <m/>
    <n v="19.5"/>
    <b v="0"/>
    <m/>
    <m/>
    <s v="-"/>
    <x v="0"/>
    <s v="Create Rule; and Description='Amazon';Amazon"/>
    <m/>
  </r>
  <r>
    <x v="21"/>
    <d v="2020-10-30T00:00:00"/>
    <s v="Discover"/>
    <x v="0"/>
    <n v="145.91999999999999"/>
    <x v="0"/>
    <m/>
    <m/>
    <m/>
    <n v="145.91999999999999"/>
    <b v="0"/>
    <m/>
    <m/>
    <s v="-"/>
    <x v="0"/>
    <s v="Create Rule; and Description='Amazon';Amazon"/>
    <m/>
  </r>
  <r>
    <x v="21"/>
    <d v="2020-10-30T00:00:00"/>
    <s v="Discover"/>
    <x v="0"/>
    <n v="7.51"/>
    <x v="0"/>
    <m/>
    <m/>
    <m/>
    <n v="7.51"/>
    <b v="0"/>
    <m/>
    <m/>
    <s v="-"/>
    <x v="0"/>
    <s v="Create Rule; and Description='Amazon';Amazon"/>
    <m/>
  </r>
  <r>
    <x v="21"/>
    <d v="2020-10-30T00:00:00"/>
    <s v="Cash Rewards Visa Signature"/>
    <x v="0"/>
    <n v="18.239999999999998"/>
    <x v="0"/>
    <m/>
    <m/>
    <m/>
    <n v="18.239999999999998"/>
    <b v="0"/>
    <m/>
    <m/>
    <s v="-"/>
    <x v="0"/>
    <s v="Create Rule; and Description='Amazon';Amazon"/>
    <m/>
  </r>
  <r>
    <x v="21"/>
    <d v="2020-10-30T00:00:00"/>
    <s v="Discover"/>
    <x v="0"/>
    <n v="19.21"/>
    <x v="0"/>
    <m/>
    <m/>
    <m/>
    <n v="19.21"/>
    <b v="0"/>
    <m/>
    <m/>
    <s v="-"/>
    <x v="0"/>
    <s v="Create Rule; and Description='Amazon';Amazon"/>
    <m/>
  </r>
  <r>
    <x v="21"/>
    <d v="2020-10-30T00:00:00"/>
    <s v="Cash Rewards Visa Signature"/>
    <x v="0"/>
    <n v="14.97"/>
    <x v="0"/>
    <m/>
    <m/>
    <m/>
    <n v="14.97"/>
    <b v="0"/>
    <m/>
    <m/>
    <s v="-"/>
    <x v="0"/>
    <s v="Create Rule; and Description='Amazon';Amazon"/>
    <m/>
  </r>
  <r>
    <x v="21"/>
    <d v="2020-10-30T00:00:00"/>
    <s v="Cash Rewards Visa Signature"/>
    <x v="0"/>
    <n v="16.59"/>
    <x v="0"/>
    <m/>
    <m/>
    <m/>
    <n v="16.59"/>
    <b v="0"/>
    <m/>
    <m/>
    <s v="-"/>
    <x v="0"/>
    <s v="Create Rule; and Description='Amazon';Amazon"/>
    <m/>
  </r>
  <r>
    <x v="21"/>
    <d v="2020-10-30T00:00:00"/>
    <s v="Discover"/>
    <x v="0"/>
    <n v="19.5"/>
    <x v="0"/>
    <m/>
    <m/>
    <m/>
    <n v="19.5"/>
    <b v="0"/>
    <m/>
    <m/>
    <s v="-"/>
    <x v="0"/>
    <s v="Create Rule; and Description='Amazon';Amazon"/>
    <m/>
  </r>
  <r>
    <x v="21"/>
    <d v="2020-10-30T00:00:00"/>
    <s v="Discover"/>
    <x v="0"/>
    <n v="38.64"/>
    <x v="0"/>
    <m/>
    <m/>
    <m/>
    <n v="38.64"/>
    <b v="0"/>
    <m/>
    <m/>
    <s v="-"/>
    <x v="0"/>
    <s v="Create Rule; and Description='Amazon';Amazon"/>
    <m/>
  </r>
  <r>
    <x v="21"/>
    <d v="2020-10-30T00:00:00"/>
    <s v="Cash Rewards Visa Signature"/>
    <x v="0"/>
    <n v="10.97"/>
    <x v="0"/>
    <m/>
    <m/>
    <m/>
    <n v="10.97"/>
    <b v="0"/>
    <m/>
    <m/>
    <s v="-"/>
    <x v="0"/>
    <s v="Create Rule; and Description='Amazon';Amazon"/>
    <m/>
  </r>
  <r>
    <x v="21"/>
    <d v="2020-10-30T00:00:00"/>
    <s v="Discover"/>
    <x v="0"/>
    <n v="4.9000000000000004"/>
    <x v="0"/>
    <m/>
    <m/>
    <m/>
    <n v="4.9000000000000004"/>
    <b v="0"/>
    <m/>
    <m/>
    <s v="-"/>
    <x v="0"/>
    <s v="Create Rule; and Description='Amazon';Amazon"/>
    <m/>
  </r>
  <r>
    <x v="21"/>
    <d v="2020-10-30T00:00:00"/>
    <s v="Cash Rewards Visa Signature"/>
    <x v="0"/>
    <n v="45"/>
    <x v="0"/>
    <m/>
    <m/>
    <m/>
    <n v="45"/>
    <b v="0"/>
    <m/>
    <m/>
    <s v="-"/>
    <x v="0"/>
    <s v="Create Rule; and Description='Amazon';Amazon"/>
    <m/>
  </r>
  <r>
    <x v="21"/>
    <d v="2020-10-30T00:00:00"/>
    <s v="Discover"/>
    <x v="0"/>
    <n v="19.5"/>
    <x v="0"/>
    <m/>
    <m/>
    <m/>
    <n v="19.5"/>
    <b v="0"/>
    <m/>
    <m/>
    <s v="-"/>
    <x v="0"/>
    <s v="Create Rule; and Description='Amazon';Amazon"/>
    <m/>
  </r>
  <r>
    <x v="21"/>
    <d v="2020-10-30T00:00:00"/>
    <s v="Jeff IRA"/>
    <x v="436"/>
    <n v="3203.64"/>
    <x v="26"/>
    <m/>
    <m/>
    <m/>
    <n v="3203.64"/>
    <b v="0"/>
    <m/>
    <m/>
    <s v="-"/>
    <x v="421"/>
    <m/>
    <m/>
  </r>
  <r>
    <x v="21"/>
    <d v="2020-10-30T00:00:00"/>
    <s v="POWERPLUS"/>
    <x v="48"/>
    <n v="102.94"/>
    <x v="16"/>
    <m/>
    <m/>
    <m/>
    <n v="102.94"/>
    <b v="0"/>
    <m/>
    <m/>
    <s v="-"/>
    <x v="48"/>
    <s v="Create Rule; and Description='American Family Insurance';Insurance"/>
    <m/>
  </r>
  <r>
    <x v="21"/>
    <d v="2020-10-30T00:00:00"/>
    <s v="Cash Rewards Visa Signature"/>
    <x v="1052"/>
    <n v="28.09"/>
    <x v="26"/>
    <m/>
    <m/>
    <m/>
    <n v="28.09"/>
    <b v="0"/>
    <m/>
    <m/>
    <s v="-"/>
    <x v="1005"/>
    <s v="Manual"/>
    <m/>
  </r>
  <r>
    <x v="21"/>
    <d v="2020-10-30T00:00:00"/>
    <s v="Contributory"/>
    <x v="1053"/>
    <n v="-7.0000000000000007E-2"/>
    <x v="26"/>
    <m/>
    <m/>
    <m/>
    <n v="7.0000000000000007E-2"/>
    <b v="0"/>
    <m/>
    <m/>
    <s v="+"/>
    <x v="1006"/>
    <m/>
    <m/>
  </r>
  <r>
    <x v="21"/>
    <d v="2020-10-30T00:00:00"/>
    <s v="Jeff IRA"/>
    <x v="1053"/>
    <n v="-0.04"/>
    <x v="26"/>
    <m/>
    <m/>
    <m/>
    <n v="0.04"/>
    <b v="0"/>
    <m/>
    <m/>
    <s v="+"/>
    <x v="1006"/>
    <m/>
    <m/>
  </r>
  <r>
    <x v="21"/>
    <d v="2020-10-30T00:00:00"/>
    <s v="Cash Rewards Visa Signature"/>
    <x v="1054"/>
    <n v="67.989999999999995"/>
    <x v="26"/>
    <m/>
    <m/>
    <m/>
    <n v="67.989999999999995"/>
    <b v="0"/>
    <m/>
    <m/>
    <s v="-"/>
    <x v="1007"/>
    <s v="Manual"/>
    <m/>
  </r>
  <r>
    <x v="21"/>
    <d v="2020-10-30T00:00:00"/>
    <s v="Cash Rewards Visa Signature"/>
    <x v="1055"/>
    <n v="98"/>
    <x v="26"/>
    <m/>
    <m/>
    <m/>
    <n v="98"/>
    <b v="0"/>
    <m/>
    <m/>
    <s v="-"/>
    <x v="1008"/>
    <s v="Manual"/>
    <m/>
  </r>
  <r>
    <x v="21"/>
    <d v="2020-10-30T00:00:00"/>
    <s v="Cash Rewards Visa Signature"/>
    <x v="1055"/>
    <n v="2847"/>
    <x v="26"/>
    <m/>
    <m/>
    <m/>
    <n v="2847"/>
    <b v="0"/>
    <m/>
    <m/>
    <s v="-"/>
    <x v="1008"/>
    <s v="Manual"/>
    <m/>
  </r>
  <r>
    <x v="21"/>
    <d v="2020-10-30T00:00:00"/>
    <s v="Cash Rewards Visa Signature"/>
    <x v="1056"/>
    <n v="138.47999999999999"/>
    <x v="26"/>
    <m/>
    <m/>
    <m/>
    <n v="138.47999999999999"/>
    <b v="0"/>
    <m/>
    <m/>
    <s v="-"/>
    <x v="1009"/>
    <s v="Manual"/>
    <m/>
  </r>
  <r>
    <x v="21"/>
    <d v="2020-10-30T00:00:00"/>
    <s v="Joint Tenant"/>
    <x v="185"/>
    <n v="-200"/>
    <x v="26"/>
    <m/>
    <m/>
    <m/>
    <n v="200"/>
    <b v="0"/>
    <m/>
    <m/>
    <s v="+"/>
    <x v="184"/>
    <s v="Create Rule; and Description='CARGILL COCOA &amp;';Roth"/>
    <m/>
  </r>
  <r>
    <x v="21"/>
    <d v="2020-10-30T00:00:00"/>
    <s v="Joint Tenant"/>
    <x v="185"/>
    <n v="-200"/>
    <x v="26"/>
    <m/>
    <m/>
    <m/>
    <n v="200"/>
    <b v="0"/>
    <m/>
    <m/>
    <s v="+"/>
    <x v="184"/>
    <s v="Create Rule; and Description='CARGILL COCOA &amp;';Roth"/>
    <m/>
  </r>
  <r>
    <x v="21"/>
    <d v="2020-10-30T00:00:00"/>
    <s v="POWERPLUS"/>
    <x v="1057"/>
    <n v="-1993.06"/>
    <x v="26"/>
    <m/>
    <m/>
    <m/>
    <n v="1993.06"/>
    <b v="0"/>
    <m/>
    <m/>
    <s v="+"/>
    <x v="1010"/>
    <s v="Create Rule; and Description Like '%CARGILL COCOA TYPE DIR DEP ID%';Inc - Britney"/>
    <m/>
  </r>
  <r>
    <x v="21"/>
    <d v="2020-10-30T00:00:00"/>
    <s v="POWERPLUS"/>
    <x v="1058"/>
    <n v="-2101.15"/>
    <x v="26"/>
    <m/>
    <m/>
    <m/>
    <n v="2101.15"/>
    <b v="0"/>
    <m/>
    <m/>
    <s v="+"/>
    <x v="1011"/>
    <s v="Create Rule; and Description Like '%CARGILL COCOA TYPE DIR DEP ID%';Inc - Britney"/>
    <m/>
  </r>
  <r>
    <x v="21"/>
    <d v="2020-10-30T00:00:00"/>
    <s v="CARGILL PARTNERSHIP PLAN"/>
    <x v="566"/>
    <n v="-2056.23"/>
    <x v="26"/>
    <m/>
    <m/>
    <m/>
    <n v="2056.23"/>
    <b v="0"/>
    <m/>
    <m/>
    <s v="+"/>
    <x v="547"/>
    <s v="Create Rule; and Description='Cargill ESOP Stock Fund - Plan Contribution';Delete"/>
    <m/>
  </r>
  <r>
    <x v="21"/>
    <d v="2020-10-30T00:00:00"/>
    <s v="POWERPLUS"/>
    <x v="35"/>
    <n v="-75"/>
    <x v="26"/>
    <m/>
    <m/>
    <m/>
    <n v="75"/>
    <b v="0"/>
    <m/>
    <m/>
    <s v="+"/>
    <x v="35"/>
    <s v="Create Rule; and Description='Cargill Incorpor Type';Inc - Other"/>
    <m/>
  </r>
  <r>
    <x v="21"/>
    <d v="2020-10-30T00:00:00"/>
    <s v="POWERPLUS"/>
    <x v="35"/>
    <n v="-75"/>
    <x v="26"/>
    <m/>
    <m/>
    <m/>
    <n v="75"/>
    <b v="0"/>
    <m/>
    <m/>
    <s v="+"/>
    <x v="35"/>
    <s v="Create Rule; and Description='Cargill Incorpor Type';Inc - Other"/>
    <m/>
  </r>
  <r>
    <x v="21"/>
    <d v="2020-10-30T00:00:00"/>
    <s v="Cash Rewards Visa Signature"/>
    <x v="59"/>
    <n v="25.86"/>
    <x v="1"/>
    <m/>
    <m/>
    <m/>
    <n v="25.86"/>
    <b v="0"/>
    <m/>
    <m/>
    <s v="-"/>
    <x v="59"/>
    <s v="Create Rule; and Description Like '%Caribou Coffee%';Restaurants"/>
    <m/>
  </r>
  <r>
    <x v="21"/>
    <d v="2020-10-30T00:00:00"/>
    <s v="Discover More Card"/>
    <x v="67"/>
    <n v="45"/>
    <x v="11"/>
    <m/>
    <m/>
    <m/>
    <n v="45"/>
    <b v="0"/>
    <m/>
    <m/>
    <s v="-"/>
    <x v="67"/>
    <s v="Create Rule; and Description='CenturyLink';Utilities"/>
    <m/>
  </r>
  <r>
    <x v="21"/>
    <d v="2020-10-30T00:00:00"/>
    <s v="Discover"/>
    <x v="67"/>
    <n v="45"/>
    <x v="11"/>
    <m/>
    <m/>
    <m/>
    <n v="45"/>
    <b v="0"/>
    <m/>
    <m/>
    <s v="-"/>
    <x v="67"/>
    <s v="Create Rule; and Description='CenturyLink';Utilities"/>
    <m/>
  </r>
  <r>
    <x v="21"/>
    <d v="2020-10-30T00:00:00"/>
    <s v="POWERPLUS"/>
    <x v="1059"/>
    <n v="80"/>
    <x v="26"/>
    <m/>
    <m/>
    <m/>
    <n v="80"/>
    <b v="0"/>
    <m/>
    <m/>
    <s v="-"/>
    <x v="1012"/>
    <s v="Manual"/>
    <m/>
  </r>
  <r>
    <x v="21"/>
    <d v="2020-10-30T00:00:00"/>
    <s v="POWERPLUS"/>
    <x v="1060"/>
    <n v="50"/>
    <x v="26"/>
    <m/>
    <m/>
    <m/>
    <n v="50"/>
    <b v="0"/>
    <m/>
    <m/>
    <s v="-"/>
    <x v="1013"/>
    <s v="Manual"/>
    <m/>
  </r>
  <r>
    <x v="21"/>
    <d v="2020-10-30T00:00:00"/>
    <s v="Cash Rewards Visa Signature"/>
    <x v="240"/>
    <n v="22.6"/>
    <x v="26"/>
    <m/>
    <m/>
    <m/>
    <n v="22.6"/>
    <b v="0"/>
    <m/>
    <m/>
    <s v="-"/>
    <x v="238"/>
    <s v="Create Rule; and Description='Chipotle';Restaurants"/>
    <m/>
  </r>
  <r>
    <x v="21"/>
    <d v="2020-10-30T00:00:00"/>
    <s v="POWERPLUS"/>
    <x v="84"/>
    <n v="163.08000000000001"/>
    <x v="26"/>
    <m/>
    <m/>
    <m/>
    <n v="163.08000000000001"/>
    <b v="0"/>
    <m/>
    <m/>
    <s v="-"/>
    <x v="84"/>
    <s v="Create Rule; and Description='City of Chanhassen';Utilities"/>
    <m/>
  </r>
  <r>
    <x v="21"/>
    <d v="2020-10-30T00:00:00"/>
    <s v="Cash Rewards Visa Signature"/>
    <x v="531"/>
    <n v="153.03"/>
    <x v="26"/>
    <m/>
    <m/>
    <m/>
    <n v="153.03"/>
    <b v="0"/>
    <m/>
    <m/>
    <s v="-"/>
    <x v="512"/>
    <s v="Create Rule; and Description='Coalition';Restaurants"/>
    <m/>
  </r>
  <r>
    <x v="21"/>
    <d v="2020-10-30T00:00:00"/>
    <s v="Joint Tenant"/>
    <x v="950"/>
    <n v="-250"/>
    <x v="26"/>
    <m/>
    <m/>
    <m/>
    <n v="250"/>
    <b v="0"/>
    <m/>
    <m/>
    <s v="+"/>
    <x v="913"/>
    <s v="Create Rule; and Description Like '%CONNECTED ANALYT%';Inc - Jeff"/>
    <m/>
  </r>
  <r>
    <x v="21"/>
    <d v="2020-10-30T00:00:00"/>
    <s v="Joint Tenant"/>
    <x v="950"/>
    <n v="-250"/>
    <x v="26"/>
    <m/>
    <m/>
    <m/>
    <n v="250"/>
    <b v="0"/>
    <m/>
    <m/>
    <s v="+"/>
    <x v="913"/>
    <s v="Create Rule; and Description Like '%CONNECTED ANALYT%';Inc - Jeff"/>
    <m/>
  </r>
  <r>
    <x v="21"/>
    <d v="2020-10-30T00:00:00"/>
    <s v="POWERPLUS"/>
    <x v="1061"/>
    <n v="-2385.5700000000002"/>
    <x v="26"/>
    <m/>
    <m/>
    <m/>
    <n v="2385.5700000000002"/>
    <b v="0"/>
    <m/>
    <m/>
    <s v="+"/>
    <x v="910"/>
    <s v="Manual"/>
    <m/>
  </r>
  <r>
    <x v="21"/>
    <d v="2020-10-30T00:00:00"/>
    <s v="POWERPLUS"/>
    <x v="1062"/>
    <n v="-2335.59"/>
    <x v="26"/>
    <m/>
    <m/>
    <m/>
    <n v="2335.59"/>
    <b v="0"/>
    <m/>
    <m/>
    <s v="+"/>
    <x v="910"/>
    <s v="Manual"/>
    <m/>
  </r>
  <r>
    <x v="21"/>
    <d v="2020-10-30T00:00:00"/>
    <s v="POWERPLUS"/>
    <x v="446"/>
    <n v="-22.53"/>
    <x v="26"/>
    <m/>
    <m/>
    <m/>
    <n v="22.53"/>
    <b v="0"/>
    <m/>
    <m/>
    <s v="+"/>
    <x v="430"/>
    <s v="Manual"/>
    <m/>
  </r>
  <r>
    <x v="21"/>
    <d v="2020-10-30T00:00:00"/>
    <s v="POWERPLUS"/>
    <x v="1063"/>
    <n v="33.770000000000003"/>
    <x v="26"/>
    <m/>
    <m/>
    <m/>
    <n v="33.770000000000003"/>
    <b v="0"/>
    <m/>
    <m/>
    <s v="-"/>
    <x v="146"/>
    <s v="Create Rule; and Description Like '%CPENERGY MNGCO%';Utilities"/>
    <m/>
  </r>
  <r>
    <x v="21"/>
    <d v="2020-10-30T00:00:00"/>
    <s v="Discover More Card"/>
    <x v="6"/>
    <n v="9.4700000000000006"/>
    <x v="5"/>
    <m/>
    <m/>
    <m/>
    <n v="9.4700000000000006"/>
    <b v="0"/>
    <m/>
    <m/>
    <s v="-"/>
    <x v="6"/>
    <s v="Create Rule; and Description Like '%Cub Foods%';Groceries"/>
    <m/>
  </r>
  <r>
    <x v="21"/>
    <d v="2020-10-30T00:00:00"/>
    <s v="Cash Rewards Visa Signature"/>
    <x v="6"/>
    <n v="115.06"/>
    <x v="5"/>
    <m/>
    <m/>
    <m/>
    <n v="115.06"/>
    <b v="0"/>
    <m/>
    <m/>
    <s v="-"/>
    <x v="6"/>
    <s v="Create Rule; and Description Like '%Cub Foods%';Groceries"/>
    <m/>
  </r>
  <r>
    <x v="21"/>
    <d v="2020-10-30T00:00:00"/>
    <s v="Discover"/>
    <x v="6"/>
    <n v="9.4700000000000006"/>
    <x v="5"/>
    <m/>
    <m/>
    <m/>
    <n v="9.4700000000000006"/>
    <b v="0"/>
    <m/>
    <m/>
    <s v="-"/>
    <x v="6"/>
    <s v="Create Rule; and Description Like '%Cub Foods%';Groceries"/>
    <m/>
  </r>
  <r>
    <x v="21"/>
    <d v="2020-10-30T00:00:00"/>
    <s v="Cash Rewards Visa Signature"/>
    <x v="6"/>
    <n v="72.790000000000006"/>
    <x v="5"/>
    <m/>
    <m/>
    <m/>
    <n v="72.790000000000006"/>
    <b v="0"/>
    <m/>
    <m/>
    <s v="-"/>
    <x v="6"/>
    <s v="Create Rule; and Description Like '%Cub Foods%';Groceries"/>
    <m/>
  </r>
  <r>
    <x v="21"/>
    <d v="2020-10-30T00:00:00"/>
    <s v="Cash Rewards Visa Signature"/>
    <x v="1064"/>
    <n v="5"/>
    <x v="26"/>
    <m/>
    <m/>
    <m/>
    <n v="5"/>
    <b v="0"/>
    <m/>
    <m/>
    <s v="-"/>
    <x v="1014"/>
    <s v="Manual"/>
    <m/>
  </r>
  <r>
    <x v="21"/>
    <d v="2020-10-30T00:00:00"/>
    <s v="Cash Rewards Visa Signature"/>
    <x v="176"/>
    <n v="46.55"/>
    <x v="26"/>
    <m/>
    <m/>
    <m/>
    <n v="46.55"/>
    <b v="0"/>
    <m/>
    <m/>
    <s v="-"/>
    <x v="175"/>
    <s v="Create Rule; and Description='Delta';Travel"/>
    <m/>
  </r>
  <r>
    <x v="21"/>
    <d v="2020-10-30T00:00:00"/>
    <s v="Cash Rewards Visa Signature"/>
    <x v="176"/>
    <n v="1040.82"/>
    <x v="26"/>
    <m/>
    <m/>
    <m/>
    <n v="1040.82"/>
    <b v="0"/>
    <m/>
    <m/>
    <s v="-"/>
    <x v="175"/>
    <s v="Create Rule; and Description='Delta';Travel"/>
    <m/>
  </r>
  <r>
    <x v="21"/>
    <d v="2020-10-30T00:00:00"/>
    <s v="RAINY DAY"/>
    <x v="1065"/>
    <n v="-163.72"/>
    <x v="3"/>
    <m/>
    <m/>
    <m/>
    <n v="163.72"/>
    <b v="0"/>
    <m/>
    <m/>
    <s v="+"/>
    <x v="1015"/>
    <s v="Manual"/>
    <m/>
  </r>
  <r>
    <x v="21"/>
    <d v="2020-10-30T00:00:00"/>
    <s v="Cash Rewards Visa Signature"/>
    <x v="1066"/>
    <n v="30"/>
    <x v="26"/>
    <m/>
    <m/>
    <m/>
    <n v="30"/>
    <b v="0"/>
    <m/>
    <m/>
    <s v="-"/>
    <x v="1016"/>
    <s v="Manual"/>
    <m/>
  </r>
  <r>
    <x v="21"/>
    <d v="2020-10-30T00:00:00"/>
    <s v="Joint Tenant"/>
    <x v="476"/>
    <n v="-100"/>
    <x v="26"/>
    <m/>
    <m/>
    <m/>
    <n v="100"/>
    <b v="0"/>
    <m/>
    <m/>
    <s v="+"/>
    <x v="459"/>
    <s v="Delete; and Source='Joint Tenant';0"/>
    <m/>
  </r>
  <r>
    <x v="21"/>
    <d v="2020-10-30T00:00:00"/>
    <s v="Cash Rewards Visa Signature"/>
    <x v="60"/>
    <n v="14.56"/>
    <x v="26"/>
    <m/>
    <m/>
    <m/>
    <n v="14.56"/>
    <b v="0"/>
    <m/>
    <m/>
    <s v="-"/>
    <x v="60"/>
    <s v="Create Rule; and Description='Home Depot';House Maintenance"/>
    <m/>
  </r>
  <r>
    <x v="21"/>
    <d v="2020-10-30T00:00:00"/>
    <s v="Cash Rewards Visa Signature"/>
    <x v="60"/>
    <n v="11.76"/>
    <x v="26"/>
    <m/>
    <m/>
    <m/>
    <n v="11.76"/>
    <b v="0"/>
    <m/>
    <m/>
    <s v="-"/>
    <x v="60"/>
    <s v="Create Rule; and Description='Home Depot';House Maintenance"/>
    <m/>
  </r>
  <r>
    <x v="21"/>
    <d v="2020-10-30T00:00:00"/>
    <s v="Cash Rewards Visa Signature"/>
    <x v="60"/>
    <n v="25.59"/>
    <x v="26"/>
    <m/>
    <m/>
    <m/>
    <n v="25.59"/>
    <b v="0"/>
    <m/>
    <m/>
    <s v="-"/>
    <x v="60"/>
    <s v="Create Rule; and Description='Home Depot';House Maintenance"/>
    <m/>
  </r>
  <r>
    <x v="21"/>
    <d v="2020-10-30T00:00:00"/>
    <s v="Cash Rewards Visa Signature"/>
    <x v="60"/>
    <n v="150.51"/>
    <x v="26"/>
    <m/>
    <m/>
    <m/>
    <n v="150.51"/>
    <b v="0"/>
    <m/>
    <m/>
    <s v="-"/>
    <x v="60"/>
    <s v="Create Rule; and Description='Home Depot';House Maintenance"/>
    <m/>
  </r>
  <r>
    <x v="21"/>
    <d v="2020-10-30T00:00:00"/>
    <s v="Cash Rewards Visa Signature"/>
    <x v="60"/>
    <n v="213.97"/>
    <x v="26"/>
    <m/>
    <m/>
    <m/>
    <n v="213.97"/>
    <b v="0"/>
    <m/>
    <m/>
    <s v="-"/>
    <x v="60"/>
    <s v="Create Rule; and Description='Home Depot';House Maintenance"/>
    <m/>
  </r>
  <r>
    <x v="21"/>
    <d v="2020-10-30T00:00:00"/>
    <s v="Cash Rewards Visa Signature"/>
    <x v="60"/>
    <n v="64.34"/>
    <x v="26"/>
    <m/>
    <m/>
    <m/>
    <n v="64.34"/>
    <b v="0"/>
    <m/>
    <m/>
    <s v="-"/>
    <x v="60"/>
    <s v="Create Rule; and Description='Home Depot';House Maintenance"/>
    <m/>
  </r>
  <r>
    <x v="21"/>
    <d v="2020-10-30T00:00:00"/>
    <s v="Joint Tenant"/>
    <x v="187"/>
    <n v="464.75"/>
    <x v="26"/>
    <m/>
    <m/>
    <m/>
    <n v="464.75"/>
    <b v="0"/>
    <m/>
    <m/>
    <s v="-"/>
    <x v="186"/>
    <s v="Create Rule; and Description='INTEL CORP';Dividend"/>
    <m/>
  </r>
  <r>
    <x v="21"/>
    <d v="2020-10-30T00:00:00"/>
    <s v="Investor Checking"/>
    <x v="118"/>
    <n v="-0.01"/>
    <x v="26"/>
    <m/>
    <m/>
    <m/>
    <n v="0.01"/>
    <b v="0"/>
    <m/>
    <m/>
    <s v="+"/>
    <x v="118"/>
    <s v="Create Rule; and Description='Interest Paid';0"/>
    <m/>
  </r>
  <r>
    <x v="21"/>
    <d v="2020-10-30T00:00:00"/>
    <s v="Cash Rewards Visa Signature"/>
    <x v="577"/>
    <n v="27.65"/>
    <x v="1"/>
    <m/>
    <m/>
    <m/>
    <n v="27.65"/>
    <b v="0"/>
    <m/>
    <m/>
    <s v="-"/>
    <x v="558"/>
    <s v="Create Rule; and Description Like '%Jimmy John%';Restaurants"/>
    <m/>
  </r>
  <r>
    <x v="21"/>
    <d v="2020-10-30T00:00:00"/>
    <s v="POWERPLUS"/>
    <x v="28"/>
    <n v="-45"/>
    <x v="26"/>
    <m/>
    <m/>
    <m/>
    <n v="45"/>
    <b v="0"/>
    <m/>
    <m/>
    <s v="+"/>
    <x v="28"/>
    <s v="Manual"/>
    <m/>
  </r>
  <r>
    <x v="21"/>
    <d v="2020-10-30T00:00:00"/>
    <s v="Cash Rewards Visa Signature"/>
    <x v="594"/>
    <n v="22.5"/>
    <x v="28"/>
    <m/>
    <m/>
    <m/>
    <n v="22.5"/>
    <b v="0"/>
    <m/>
    <m/>
    <s v="-"/>
    <x v="575"/>
    <s v="Manual"/>
    <m/>
  </r>
  <r>
    <x v="21"/>
    <d v="2020-10-30T00:00:00"/>
    <s v="Cash Rewards Visa Signature"/>
    <x v="49"/>
    <n v="398"/>
    <x v="26"/>
    <m/>
    <m/>
    <m/>
    <n v="398"/>
    <b v="0"/>
    <m/>
    <m/>
    <s v="-"/>
    <x v="49"/>
    <s v="Create Rule; and Description='Lululemon';Shopping"/>
    <m/>
  </r>
  <r>
    <x v="21"/>
    <d v="2020-10-30T00:00:00"/>
    <s v="Cash Rewards Visa Signature"/>
    <x v="49"/>
    <n v="448"/>
    <x v="26"/>
    <m/>
    <m/>
    <m/>
    <n v="448"/>
    <b v="0"/>
    <m/>
    <m/>
    <s v="-"/>
    <x v="49"/>
    <s v="Create Rule; and Description='Lululemon';Shopping"/>
    <m/>
  </r>
  <r>
    <x v="21"/>
    <d v="2020-10-30T00:00:00"/>
    <s v="Cash Rewards Visa Signature"/>
    <x v="1067"/>
    <n v="45.77"/>
    <x v="26"/>
    <m/>
    <m/>
    <m/>
    <n v="45.77"/>
    <b v="0"/>
    <m/>
    <m/>
    <s v="-"/>
    <x v="1017"/>
    <s v="Manual"/>
    <m/>
  </r>
  <r>
    <x v="21"/>
    <d v="2020-10-30T00:00:00"/>
    <s v="POWERPLUS"/>
    <x v="1068"/>
    <n v="391.2"/>
    <x v="26"/>
    <m/>
    <m/>
    <m/>
    <n v="391.2"/>
    <b v="0"/>
    <m/>
    <m/>
    <s v="-"/>
    <x v="1018"/>
    <s v="Create Rule; and Description Like '%MHCHILDCARELLC%';Day Care"/>
    <m/>
  </r>
  <r>
    <x v="21"/>
    <d v="2020-10-30T00:00:00"/>
    <s v="POWERPLUS"/>
    <x v="1069"/>
    <n v="391.2"/>
    <x v="26"/>
    <m/>
    <m/>
    <m/>
    <n v="391.2"/>
    <b v="0"/>
    <m/>
    <m/>
    <s v="-"/>
    <x v="1019"/>
    <s v="Create Rule; and Description Like '%MHCHILDCARELLC%';Day Care"/>
    <m/>
  </r>
  <r>
    <x v="21"/>
    <d v="2020-10-30T00:00:00"/>
    <s v="POWERPLUS"/>
    <x v="1070"/>
    <n v="391.2"/>
    <x v="26"/>
    <m/>
    <m/>
    <m/>
    <n v="391.2"/>
    <b v="0"/>
    <m/>
    <m/>
    <s v="-"/>
    <x v="1020"/>
    <s v="Create Rule; and Description Like '%MHCHILDCARELLC%';Day Care"/>
    <m/>
  </r>
  <r>
    <x v="21"/>
    <d v="2020-10-30T00:00:00"/>
    <s v="POWERPLUS"/>
    <x v="1071"/>
    <n v="200"/>
    <x v="26"/>
    <m/>
    <m/>
    <m/>
    <n v="200"/>
    <b v="0"/>
    <m/>
    <m/>
    <s v="-"/>
    <x v="1021"/>
    <s v="Create Rule; and Description Like '%MN DIR ACH%';College Savings"/>
    <m/>
  </r>
  <r>
    <x v="21"/>
    <d v="2020-10-30T00:00:00"/>
    <s v="Cash Rewards Visa Signature"/>
    <x v="1072"/>
    <n v="4.25"/>
    <x v="26"/>
    <m/>
    <m/>
    <m/>
    <n v="4.25"/>
    <b v="0"/>
    <m/>
    <m/>
    <s v="-"/>
    <x v="1022"/>
    <s v="Manual"/>
    <m/>
  </r>
  <r>
    <x v="21"/>
    <d v="2020-10-30T00:00:00"/>
    <s v="Discover More Card"/>
    <x v="99"/>
    <n v="12.99"/>
    <x v="11"/>
    <m/>
    <m/>
    <m/>
    <n v="12.99"/>
    <b v="0"/>
    <m/>
    <m/>
    <s v="-"/>
    <x v="99"/>
    <s v="Create Rule; and Description='Netflix';Utilities"/>
    <m/>
  </r>
  <r>
    <x v="21"/>
    <d v="2020-10-30T00:00:00"/>
    <s v="Discover"/>
    <x v="99"/>
    <n v="12.99"/>
    <x v="11"/>
    <m/>
    <m/>
    <m/>
    <n v="12.99"/>
    <b v="0"/>
    <m/>
    <m/>
    <s v="-"/>
    <x v="99"/>
    <s v="Create Rule; and Description='Netflix';Utilities"/>
    <m/>
  </r>
  <r>
    <x v="21"/>
    <d v="2020-10-30T00:00:00"/>
    <s v="Cash Rewards Visa Signature"/>
    <x v="177"/>
    <n v="30.37"/>
    <x v="26"/>
    <m/>
    <m/>
    <m/>
    <n v="30.37"/>
    <b v="0"/>
    <m/>
    <m/>
    <s v="-"/>
    <x v="176"/>
    <s v="Create Rule; and Description='NORTH COOP CHAHASSEN MN';Restaurants"/>
    <m/>
  </r>
  <r>
    <x v="21"/>
    <d v="2020-10-30T00:00:00"/>
    <s v="Cash Rewards Visa Signature"/>
    <x v="177"/>
    <n v="50.87"/>
    <x v="26"/>
    <m/>
    <m/>
    <m/>
    <n v="50.87"/>
    <b v="0"/>
    <m/>
    <m/>
    <s v="-"/>
    <x v="176"/>
    <s v="Create Rule; and Description='NORTH COOP CHAHASSEN MN';Restaurants"/>
    <m/>
  </r>
  <r>
    <x v="21"/>
    <d v="2020-10-30T00:00:00"/>
    <s v="POWERPLUS"/>
    <x v="157"/>
    <n v="17.989999999999998"/>
    <x v="8"/>
    <m/>
    <m/>
    <m/>
    <n v="17.989999999999998"/>
    <b v="0"/>
    <m/>
    <m/>
    <s v="-"/>
    <x v="156"/>
    <s v="Create Rule; and Description Like '%PayPal%';Shopping"/>
    <m/>
  </r>
  <r>
    <x v="21"/>
    <d v="2020-10-30T00:00:00"/>
    <s v="POWERPLUS"/>
    <x v="157"/>
    <n v="0.99"/>
    <x v="8"/>
    <m/>
    <m/>
    <m/>
    <n v="0.99"/>
    <b v="0"/>
    <m/>
    <m/>
    <s v="-"/>
    <x v="156"/>
    <s v="Create Rule; and Description Like '%PayPal%';Shopping"/>
    <m/>
  </r>
  <r>
    <x v="21"/>
    <d v="2020-10-30T00:00:00"/>
    <s v="Cash Rewards Visa Signature"/>
    <x v="1073"/>
    <n v="-299"/>
    <x v="26"/>
    <m/>
    <m/>
    <m/>
    <n v="299"/>
    <b v="0"/>
    <m/>
    <m/>
    <s v="+"/>
    <x v="1023"/>
    <s v="Manual"/>
    <m/>
  </r>
  <r>
    <x v="21"/>
    <d v="2020-10-30T00:00:00"/>
    <s v="Cash Rewards Visa Signature"/>
    <x v="1074"/>
    <n v="313.99"/>
    <x v="26"/>
    <m/>
    <m/>
    <m/>
    <n v="313.99"/>
    <b v="0"/>
    <m/>
    <m/>
    <s v="-"/>
    <x v="1024"/>
    <s v="Manual"/>
    <m/>
  </r>
  <r>
    <x v="21"/>
    <d v="2020-10-30T00:00:00"/>
    <s v="Jeff IRA"/>
    <x v="19"/>
    <n v="700"/>
    <x v="26"/>
    <m/>
    <m/>
    <m/>
    <n v="700"/>
    <b v="0"/>
    <m/>
    <m/>
    <s v="-"/>
    <x v="19"/>
    <s v="Delete; and Description='SCHWAB S&amp;P 500 INDEX FD' and inflowoutflow='-';0"/>
    <m/>
  </r>
  <r>
    <x v="21"/>
    <d v="2020-10-30T00:00:00"/>
    <s v="Joint Tenant"/>
    <x v="19"/>
    <n v="200"/>
    <x v="26"/>
    <m/>
    <m/>
    <m/>
    <n v="200"/>
    <b v="0"/>
    <m/>
    <m/>
    <s v="-"/>
    <x v="19"/>
    <s v="Delete; and Description='SCHWAB S&amp;P 500 INDEX FD' and inflowoutflow='-';0"/>
    <m/>
  </r>
  <r>
    <x v="21"/>
    <d v="2020-10-30T00:00:00"/>
    <s v="Joint Tenant"/>
    <x v="20"/>
    <n v="200"/>
    <x v="26"/>
    <m/>
    <m/>
    <m/>
    <n v="200"/>
    <b v="0"/>
    <m/>
    <m/>
    <s v="-"/>
    <x v="20"/>
    <s v="Delete; and Description='SCHWAB TOTAL STOCK MKT INDEX' and inflowoutflow='-';0"/>
    <m/>
  </r>
  <r>
    <x v="21"/>
    <d v="2020-10-30T00:00:00"/>
    <s v="Joint Tenant"/>
    <x v="20"/>
    <n v="500"/>
    <x v="26"/>
    <m/>
    <m/>
    <m/>
    <n v="500"/>
    <b v="0"/>
    <m/>
    <m/>
    <s v="-"/>
    <x v="20"/>
    <s v="Delete; and Description='SCHWAB TOTAL STOCK MKT INDEX' and inflowoutflow='-';0"/>
    <m/>
  </r>
  <r>
    <x v="21"/>
    <d v="2020-10-30T00:00:00"/>
    <s v="RAINY DAY"/>
    <x v="515"/>
    <n v="-200"/>
    <x v="26"/>
    <m/>
    <m/>
    <m/>
    <n v="200"/>
    <b v="0"/>
    <m/>
    <m/>
    <s v="+"/>
    <x v="496"/>
    <s v="Create Rule; and Description='Share';Delete"/>
    <m/>
  </r>
  <r>
    <x v="21"/>
    <d v="2020-10-30T00:00:00"/>
    <s v="SHARE SAVINGS"/>
    <x v="515"/>
    <n v="-163.72"/>
    <x v="26"/>
    <m/>
    <m/>
    <m/>
    <n v="163.72"/>
    <b v="0"/>
    <m/>
    <m/>
    <s v="+"/>
    <x v="496"/>
    <s v="Create Rule; and Description='Share';Delete"/>
    <m/>
  </r>
  <r>
    <x v="21"/>
    <d v="2020-10-30T00:00:00"/>
    <s v="Cash Rewards Visa Signature"/>
    <x v="838"/>
    <n v="220.99"/>
    <x v="29"/>
    <m/>
    <m/>
    <m/>
    <n v="220.99"/>
    <b v="0"/>
    <m/>
    <m/>
    <s v="-"/>
    <x v="806"/>
    <s v="Manual"/>
    <m/>
  </r>
  <r>
    <x v="21"/>
    <d v="2020-10-30T00:00:00"/>
    <s v="Cash Rewards Visa Signature"/>
    <x v="2"/>
    <n v="31.83"/>
    <x v="2"/>
    <m/>
    <m/>
    <m/>
    <n v="31.83"/>
    <b v="0"/>
    <m/>
    <m/>
    <s v="-"/>
    <x v="2"/>
    <s v="Create Rule; and Description='Speedway';Transportation"/>
    <m/>
  </r>
  <r>
    <x v="21"/>
    <d v="2020-10-30T00:00:00"/>
    <s v="Cash Rewards Visa Signature"/>
    <x v="2"/>
    <n v="31.14"/>
    <x v="2"/>
    <m/>
    <m/>
    <m/>
    <n v="31.14"/>
    <b v="0"/>
    <m/>
    <m/>
    <s v="-"/>
    <x v="2"/>
    <s v="Create Rule; and Description='Speedway';Transportation"/>
    <m/>
  </r>
  <r>
    <x v="21"/>
    <d v="2020-10-30T00:00:00"/>
    <s v="Cash Rewards Visa Signature"/>
    <x v="2"/>
    <n v="24.67"/>
    <x v="2"/>
    <m/>
    <m/>
    <m/>
    <n v="24.67"/>
    <b v="0"/>
    <m/>
    <m/>
    <s v="-"/>
    <x v="2"/>
    <s v="Create Rule; and Description='Speedway';Transportation"/>
    <m/>
  </r>
  <r>
    <x v="21"/>
    <d v="2020-10-30T00:00:00"/>
    <s v="Cash Rewards Visa Signature"/>
    <x v="2"/>
    <n v="32.93"/>
    <x v="2"/>
    <m/>
    <m/>
    <m/>
    <n v="32.93"/>
    <b v="0"/>
    <m/>
    <m/>
    <s v="-"/>
    <x v="2"/>
    <s v="Create Rule; and Description='Speedway';Transportation"/>
    <m/>
  </r>
  <r>
    <x v="21"/>
    <d v="2020-10-30T00:00:00"/>
    <s v="RAINY DAY"/>
    <x v="119"/>
    <n v="-12.4"/>
    <x v="26"/>
    <m/>
    <m/>
    <m/>
    <n v="12.4"/>
    <b v="0"/>
    <m/>
    <m/>
    <s v="+"/>
    <x v="119"/>
    <s v="Create Rule; and Description='Split Rate Apy';Inc - Other"/>
    <m/>
  </r>
  <r>
    <x v="21"/>
    <d v="2020-10-30T00:00:00"/>
    <s v="POWERPLUS"/>
    <x v="119"/>
    <n v="-19.940000000000001"/>
    <x v="26"/>
    <m/>
    <m/>
    <m/>
    <n v="19.940000000000001"/>
    <b v="0"/>
    <m/>
    <m/>
    <s v="+"/>
    <x v="119"/>
    <s v="Create Rule; and Description='Split Rate Apy';Inc - Other"/>
    <m/>
  </r>
  <r>
    <x v="21"/>
    <d v="2020-10-30T00:00:00"/>
    <s v="Cash Rewards Visa Signature"/>
    <x v="1075"/>
    <n v="131.22"/>
    <x v="26"/>
    <m/>
    <m/>
    <m/>
    <n v="131.22"/>
    <b v="0"/>
    <m/>
    <m/>
    <s v="-"/>
    <x v="1025"/>
    <s v="Create Rule; and Description='Spoon and Stable';Restaurants"/>
    <m/>
  </r>
  <r>
    <x v="21"/>
    <d v="2020-10-30T00:00:00"/>
    <s v="Cash Rewards Visa Signature"/>
    <x v="1076"/>
    <n v="11"/>
    <x v="26"/>
    <m/>
    <m/>
    <m/>
    <n v="11"/>
    <b v="0"/>
    <m/>
    <m/>
    <s v="-"/>
    <x v="1026"/>
    <s v="Manual"/>
    <m/>
  </r>
  <r>
    <x v="21"/>
    <d v="2020-10-30T00:00:00"/>
    <s v="Cash Rewards Visa Signature"/>
    <x v="1077"/>
    <n v="83"/>
    <x v="26"/>
    <m/>
    <m/>
    <m/>
    <n v="83"/>
    <b v="0"/>
    <m/>
    <m/>
    <s v="-"/>
    <x v="1027"/>
    <s v="Manual"/>
    <m/>
  </r>
  <r>
    <x v="21"/>
    <d v="2020-10-30T00:00:00"/>
    <s v="Cash Rewards Visa Signature"/>
    <x v="579"/>
    <n v="25"/>
    <x v="1"/>
    <m/>
    <m/>
    <m/>
    <n v="25"/>
    <b v="0"/>
    <m/>
    <m/>
    <s v="-"/>
    <x v="560"/>
    <s v="Create Rule; and Description='Starbucks';Restaurants"/>
    <m/>
  </r>
  <r>
    <x v="21"/>
    <d v="2020-10-30T00:00:00"/>
    <s v="Joint Tenant"/>
    <x v="358"/>
    <n v="-23.1"/>
    <x v="26"/>
    <m/>
    <m/>
    <m/>
    <n v="23.1"/>
    <b v="0"/>
    <m/>
    <m/>
    <s v="+"/>
    <x v="349"/>
    <s v="Delete; and Source='Joint Tenant';0"/>
    <m/>
  </r>
  <r>
    <x v="21"/>
    <d v="2020-10-30T00:00:00"/>
    <s v="POWERPLUS"/>
    <x v="34"/>
    <n v="269.58"/>
    <x v="12"/>
    <m/>
    <m/>
    <m/>
    <n v="269.58"/>
    <b v="0"/>
    <m/>
    <m/>
    <s v="-"/>
    <x v="34"/>
    <s v="Create Rule; and Description='Target';Target"/>
    <m/>
  </r>
  <r>
    <x v="21"/>
    <d v="2020-10-30T00:00:00"/>
    <s v="Contributory"/>
    <x v="51"/>
    <n v="-231"/>
    <x v="26"/>
    <m/>
    <m/>
    <m/>
    <n v="231"/>
    <b v="0"/>
    <m/>
    <m/>
    <s v="+"/>
    <x v="51"/>
    <s v="Create Rule; and Description='Tfr JPMORGAN CHASE BAN, CARGILL COCOA &amp;';Roth"/>
    <m/>
  </r>
  <r>
    <x v="21"/>
    <d v="2020-10-30T00:00:00"/>
    <s v="Contributory"/>
    <x v="51"/>
    <n v="-231"/>
    <x v="26"/>
    <m/>
    <m/>
    <m/>
    <n v="231"/>
    <b v="0"/>
    <m/>
    <m/>
    <s v="+"/>
    <x v="51"/>
    <s v="Create Rule; and Description='Tfr JPMORGAN CHASE BAN, CARGILL COCOA &amp;';Roth"/>
    <m/>
  </r>
  <r>
    <x v="21"/>
    <d v="2020-10-30T00:00:00"/>
    <s v="Jeff IRA"/>
    <x v="951"/>
    <n v="-250"/>
    <x v="26"/>
    <m/>
    <m/>
    <m/>
    <n v="250"/>
    <b v="0"/>
    <m/>
    <m/>
    <s v="+"/>
    <x v="914"/>
    <s v="Create Rule; and Description Like '%CONNECTED ANALYT%';Inc - Jeff"/>
    <m/>
  </r>
  <r>
    <x v="21"/>
    <d v="2020-10-30T00:00:00"/>
    <s v="Jeff IRA"/>
    <x v="951"/>
    <n v="-250"/>
    <x v="26"/>
    <m/>
    <m/>
    <m/>
    <n v="250"/>
    <b v="0"/>
    <m/>
    <m/>
    <s v="+"/>
    <x v="914"/>
    <s v="Create Rule; and Description Like '%CONNECTED ANALYT%';Inc - Jeff"/>
    <m/>
  </r>
  <r>
    <x v="21"/>
    <d v="2020-10-30T00:00:00"/>
    <s v="RAINY DAY"/>
    <x v="1078"/>
    <n v="163.72"/>
    <x v="26"/>
    <m/>
    <m/>
    <m/>
    <n v="163.72"/>
    <b v="0"/>
    <m/>
    <m/>
    <s v="-"/>
    <x v="1028"/>
    <s v="Manual"/>
    <m/>
  </r>
  <r>
    <x v="21"/>
    <d v="2020-10-30T00:00:00"/>
    <s v="POWERPLUS"/>
    <x v="952"/>
    <n v="200"/>
    <x v="26"/>
    <m/>
    <m/>
    <m/>
    <n v="200"/>
    <b v="0"/>
    <m/>
    <m/>
    <s v="-"/>
    <x v="915"/>
    <s v="Create Rule; and Description='To Share 12';Delete"/>
    <m/>
  </r>
  <r>
    <x v="21"/>
    <d v="2020-10-30T00:00:00"/>
    <s v="Cash Rewards Visa Signature"/>
    <x v="53"/>
    <n v="117.45"/>
    <x v="26"/>
    <m/>
    <m/>
    <m/>
    <n v="117.45"/>
    <b v="0"/>
    <m/>
    <m/>
    <s v="-"/>
    <x v="53"/>
    <s v="Manual"/>
    <m/>
  </r>
  <r>
    <x v="21"/>
    <d v="2020-10-30T00:00:00"/>
    <s v="Cash Rewards Visa Signature"/>
    <x v="53"/>
    <n v="138.35"/>
    <x v="26"/>
    <m/>
    <m/>
    <m/>
    <n v="138.35"/>
    <b v="0"/>
    <m/>
    <m/>
    <s v="-"/>
    <x v="53"/>
    <s v="Create Rule; and Description='Total Wine and More';Groceries"/>
    <m/>
  </r>
  <r>
    <x v="21"/>
    <d v="2020-10-30T00:00:00"/>
    <s v="Cash Rewards Visa Signature"/>
    <x v="1079"/>
    <n v="1.75"/>
    <x v="26"/>
    <m/>
    <m/>
    <m/>
    <n v="1.75"/>
    <b v="0"/>
    <m/>
    <m/>
    <s v="-"/>
    <x v="1029"/>
    <s v="Manual"/>
    <m/>
  </r>
  <r>
    <x v="21"/>
    <d v="2020-10-30T00:00:00"/>
    <s v="POWERPLUS"/>
    <x v="29"/>
    <n v="110.72"/>
    <x v="8"/>
    <m/>
    <m/>
    <m/>
    <n v="110.72"/>
    <b v="0"/>
    <m/>
    <m/>
    <s v="-"/>
    <x v="29"/>
    <s v="Manual"/>
    <m/>
  </r>
  <r>
    <x v="21"/>
    <d v="2020-10-30T00:00:00"/>
    <s v="POWERPLUS"/>
    <x v="29"/>
    <n v="300"/>
    <x v="8"/>
    <m/>
    <m/>
    <m/>
    <n v="300"/>
    <b v="0"/>
    <m/>
    <m/>
    <s v="-"/>
    <x v="29"/>
    <s v="Manual"/>
    <m/>
  </r>
  <r>
    <x v="21"/>
    <d v="2020-10-30T00:00:00"/>
    <s v="Investor Checking"/>
    <x v="361"/>
    <n v="-228"/>
    <x v="26"/>
    <m/>
    <m/>
    <m/>
    <n v="228"/>
    <b v="0"/>
    <m/>
    <m/>
    <s v="+"/>
    <x v="352"/>
    <s v="Manual"/>
    <m/>
  </r>
  <r>
    <x v="21"/>
    <d v="2020-10-30T00:00:00"/>
    <s v="Cash Rewards Visa Signature"/>
    <x v="1080"/>
    <n v="75.760000000000005"/>
    <x v="26"/>
    <m/>
    <m/>
    <m/>
    <n v="75.760000000000005"/>
    <b v="0"/>
    <m/>
    <m/>
    <s v="-"/>
    <x v="1030"/>
    <s v="Manual"/>
    <m/>
  </r>
  <r>
    <x v="21"/>
    <d v="2020-10-30T00:00:00"/>
    <s v="Cash Rewards Visa Signature"/>
    <x v="1081"/>
    <n v="331.85"/>
    <x v="26"/>
    <m/>
    <m/>
    <m/>
    <n v="331.85"/>
    <b v="0"/>
    <m/>
    <m/>
    <s v="-"/>
    <x v="1031"/>
    <s v="Manual"/>
    <m/>
  </r>
  <r>
    <x v="21"/>
    <d v="2020-10-30T00:00:00"/>
    <s v="Cash Rewards Visa Signature"/>
    <x v="55"/>
    <n v="44.15"/>
    <x v="5"/>
    <m/>
    <m/>
    <m/>
    <n v="44.15"/>
    <b v="0"/>
    <m/>
    <m/>
    <s v="-"/>
    <x v="55"/>
    <s v="Create Rule; and Description='Walgreens';Shopping"/>
    <m/>
  </r>
  <r>
    <x v="21"/>
    <d v="2020-10-30T00:00:00"/>
    <s v="Cash Rewards Visa Signature"/>
    <x v="55"/>
    <n v="8.0399999999999991"/>
    <x v="5"/>
    <m/>
    <m/>
    <m/>
    <n v="8.0399999999999991"/>
    <b v="0"/>
    <m/>
    <m/>
    <s v="-"/>
    <x v="55"/>
    <s v="Create Rule; and Description='Walgreens';Shopping"/>
    <m/>
  </r>
  <r>
    <x v="21"/>
    <d v="2020-10-30T00:00:00"/>
    <s v="Cash Rewards Visa Signature"/>
    <x v="448"/>
    <n v="125.62"/>
    <x v="30"/>
    <m/>
    <m/>
    <m/>
    <n v="125.62"/>
    <b v="0"/>
    <m/>
    <m/>
    <s v="-"/>
    <x v="432"/>
    <s v="Create Rule; and Description='Wayfair';Shopping"/>
    <m/>
  </r>
  <r>
    <x v="21"/>
    <d v="2020-10-30T00:00:00"/>
    <s v="Cash Rewards Visa Signature"/>
    <x v="448"/>
    <n v="190.03"/>
    <x v="30"/>
    <m/>
    <m/>
    <m/>
    <n v="190.03"/>
    <b v="0"/>
    <m/>
    <m/>
    <s v="-"/>
    <x v="432"/>
    <s v="Create Rule; and Description='Wayfair';Shopping"/>
    <m/>
  </r>
  <r>
    <x v="21"/>
    <d v="2020-10-30T00:00:00"/>
    <s v="Cash Rewards Visa Signature"/>
    <x v="936"/>
    <n v="-247.63"/>
    <x v="26"/>
    <m/>
    <m/>
    <m/>
    <n v="247.63"/>
    <b v="0"/>
    <m/>
    <m/>
    <s v="+"/>
    <x v="900"/>
    <s v="Delete; and Description Like '%PAYMENT THANK YOU%';0"/>
    <m/>
  </r>
  <r>
    <x v="21"/>
    <d v="2020-10-30T00:00:00"/>
    <s v="Cash Rewards Visa Signature"/>
    <x v="936"/>
    <n v="-889.13"/>
    <x v="26"/>
    <m/>
    <m/>
    <m/>
    <n v="889.13"/>
    <b v="0"/>
    <m/>
    <m/>
    <s v="+"/>
    <x v="900"/>
    <s v="Delete; and Description Like '%PAYMENT THANK YOU%';0"/>
    <m/>
  </r>
  <r>
    <x v="21"/>
    <d v="2020-10-30T00:00:00"/>
    <s v="Cash Rewards Visa Signature"/>
    <x v="936"/>
    <n v="-1436.4"/>
    <x v="26"/>
    <m/>
    <m/>
    <m/>
    <n v="1436.4"/>
    <b v="0"/>
    <m/>
    <m/>
    <s v="+"/>
    <x v="900"/>
    <s v="Delete; and Description Like '%PAYMENT THANK YOU%';0"/>
    <m/>
  </r>
  <r>
    <x v="21"/>
    <d v="2020-10-30T00:00:00"/>
    <s v="Cash Rewards Visa Signature"/>
    <x v="936"/>
    <n v="-1229.51"/>
    <x v="26"/>
    <m/>
    <m/>
    <m/>
    <n v="1229.51"/>
    <b v="0"/>
    <m/>
    <m/>
    <s v="+"/>
    <x v="900"/>
    <s v="Delete; and Description Like '%PAYMENT THANK YOU%';0"/>
    <m/>
  </r>
  <r>
    <x v="21"/>
    <d v="2020-10-30T00:00:00"/>
    <s v="Cash Rewards Visa Signature"/>
    <x v="936"/>
    <n v="-3226.79"/>
    <x v="26"/>
    <m/>
    <m/>
    <m/>
    <n v="3226.79"/>
    <b v="0"/>
    <m/>
    <m/>
    <s v="+"/>
    <x v="900"/>
    <s v="Delete; and Description Like '%PAYMENT THANK YOU%';0"/>
    <m/>
  </r>
  <r>
    <x v="21"/>
    <d v="2020-10-30T00:00:00"/>
    <s v="POWERPLUS"/>
    <x v="937"/>
    <n v="247.63"/>
    <x v="26"/>
    <m/>
    <m/>
    <m/>
    <n v="247.63"/>
    <b v="0"/>
    <m/>
    <m/>
    <s v="-"/>
    <x v="901"/>
    <s v="Delete; and Description Like '%Withdrawal Home payment to card%';0"/>
    <m/>
  </r>
  <r>
    <x v="21"/>
    <d v="2020-10-30T00:00:00"/>
    <s v="POWERPLUS"/>
    <x v="937"/>
    <n v="889.13"/>
    <x v="26"/>
    <m/>
    <m/>
    <m/>
    <n v="889.13"/>
    <b v="0"/>
    <m/>
    <m/>
    <s v="-"/>
    <x v="901"/>
    <s v="Delete; and Description Like '%Withdrawal Home payment to card%';0"/>
    <m/>
  </r>
  <r>
    <x v="21"/>
    <d v="2020-10-30T00:00:00"/>
    <s v="POWERPLUS"/>
    <x v="937"/>
    <n v="1436.4"/>
    <x v="26"/>
    <m/>
    <m/>
    <m/>
    <n v="1436.4"/>
    <b v="0"/>
    <m/>
    <m/>
    <s v="-"/>
    <x v="901"/>
    <s v="Delete; and Description Like '%Withdrawal Home payment to card%';0"/>
    <m/>
  </r>
  <r>
    <x v="21"/>
    <d v="2020-10-30T00:00:00"/>
    <s v="POWERPLUS"/>
    <x v="937"/>
    <n v="1229.51"/>
    <x v="26"/>
    <m/>
    <m/>
    <m/>
    <n v="1229.51"/>
    <b v="0"/>
    <m/>
    <m/>
    <s v="-"/>
    <x v="901"/>
    <s v="Delete; and Description Like '%Withdrawal Home payment to card%';0"/>
    <m/>
  </r>
  <r>
    <x v="21"/>
    <d v="2020-10-30T00:00:00"/>
    <s v="POWERPLUS"/>
    <x v="937"/>
    <n v="3226.79"/>
    <x v="26"/>
    <m/>
    <m/>
    <m/>
    <n v="3226.79"/>
    <b v="0"/>
    <m/>
    <m/>
    <s v="-"/>
    <x v="901"/>
    <s v="Delete; and Description Like '%Withdrawal Home payment to card%';0"/>
    <m/>
  </r>
  <r>
    <x v="18"/>
    <d v="2020-11-01T00:00:00"/>
    <s v="HIGHLANDER"/>
    <x v="976"/>
    <n v="-576.61"/>
    <x v="26"/>
    <m/>
    <m/>
    <m/>
    <n v="576.61"/>
    <b v="0"/>
    <m/>
    <m/>
    <s v="+"/>
    <x v="936"/>
    <s v="Create Rule; and Description='From Share 70';Delete"/>
    <m/>
  </r>
  <r>
    <x v="18"/>
    <d v="2020-11-01T00:00:00"/>
    <s v="POWERPLUS"/>
    <x v="979"/>
    <n v="618.65"/>
    <x v="26"/>
    <m/>
    <m/>
    <m/>
    <n v="618.65"/>
    <b v="0"/>
    <m/>
    <m/>
    <s v="-"/>
    <x v="939"/>
    <s v="Create Rule; and Description Like '%To Loan 02%';Car Loan"/>
    <m/>
  </r>
  <r>
    <x v="18"/>
    <d v="2020-11-02T00:00:00"/>
    <s v="30 YR FIXED"/>
    <x v="935"/>
    <n v="-713.87"/>
    <x v="3"/>
    <m/>
    <m/>
    <m/>
    <n v="713.87"/>
    <b v="0"/>
    <m/>
    <m/>
    <s v="+"/>
    <x v="899"/>
    <s v="Create Rule; and Description='PAYMENT';Delete"/>
    <m/>
  </r>
  <r>
    <x v="18"/>
    <d v="2020-11-02T00:00:00"/>
    <s v="Cash Rewards Visa Signature"/>
    <x v="936"/>
    <n v="-1071.5"/>
    <x v="26"/>
    <m/>
    <m/>
    <m/>
    <n v="1071.5"/>
    <b v="0"/>
    <m/>
    <m/>
    <s v="+"/>
    <x v="900"/>
    <s v="Delete; and Description Like '%PAYMENT THANK YOU%';0"/>
    <m/>
  </r>
  <r>
    <x v="18"/>
    <d v="2020-11-02T00:00:00"/>
    <s v="POWERPLUS"/>
    <x v="937"/>
    <n v="1071.5"/>
    <x v="26"/>
    <m/>
    <m/>
    <m/>
    <n v="1071.5"/>
    <b v="0"/>
    <m/>
    <m/>
    <s v="-"/>
    <x v="901"/>
    <s v="Delete; and Description Like '%Withdrawal Home payment to card%';0"/>
    <m/>
  </r>
  <r>
    <x v="22"/>
    <d v="2022-12-16T00:00:00"/>
    <s v="POWERPLUS"/>
    <x v="1082"/>
    <n v="11515.7"/>
    <x v="31"/>
    <e v="#N/A"/>
    <s v="Exp - House"/>
    <m/>
    <n v="11515.7"/>
    <m/>
    <m/>
    <s v="debit"/>
    <m/>
    <x v="1032"/>
    <m/>
    <m/>
  </r>
  <r>
    <x v="18"/>
    <d v="2020-11-02T00:00:00"/>
    <s v="Joint Tenant"/>
    <x v="125"/>
    <n v="-128.05000000000001"/>
    <x v="26"/>
    <m/>
    <m/>
    <m/>
    <n v="128.05000000000001"/>
    <b v="0"/>
    <m/>
    <m/>
    <s v="+"/>
    <x v="124"/>
    <s v="Create Rule; and Description='A T &amp; T INC';Dividend"/>
    <m/>
  </r>
  <r>
    <x v="18"/>
    <d v="2020-11-02T00:00:00"/>
    <s v="Cash Rewards Visa Signature"/>
    <x v="598"/>
    <n v="4.28"/>
    <x v="10"/>
    <m/>
    <m/>
    <m/>
    <n v="4.28"/>
    <b v="0"/>
    <m/>
    <m/>
    <s v="-"/>
    <x v="579"/>
    <s v="Create Rule; and Description='Amazon Music';Entertainment"/>
    <m/>
  </r>
  <r>
    <x v="18"/>
    <d v="2020-11-02T00:00:00"/>
    <s v="Cash Rewards Visa Signature"/>
    <x v="1083"/>
    <n v="7.5"/>
    <x v="26"/>
    <m/>
    <m/>
    <m/>
    <n v="7.5"/>
    <b v="0"/>
    <m/>
    <m/>
    <s v="-"/>
    <x v="1033"/>
    <s v="Manual"/>
    <m/>
  </r>
  <r>
    <x v="18"/>
    <d v="2020-11-02T00:00:00"/>
    <s v="Cash Rewards Visa Signature"/>
    <x v="1083"/>
    <n v="15.6"/>
    <x v="26"/>
    <m/>
    <m/>
    <m/>
    <n v="15.6"/>
    <b v="0"/>
    <m/>
    <m/>
    <s v="-"/>
    <x v="1033"/>
    <s v="Manual"/>
    <m/>
  </r>
  <r>
    <x v="18"/>
    <d v="2020-11-02T00:00:00"/>
    <s v="Cash Rewards Visa Signature"/>
    <x v="523"/>
    <n v="21.26"/>
    <x v="1"/>
    <m/>
    <m/>
    <m/>
    <n v="21.26"/>
    <b v="0"/>
    <m/>
    <m/>
    <s v="-"/>
    <x v="504"/>
    <s v="Create Rule; and Description='Chick-Fil-A';Restaurants"/>
    <m/>
  </r>
  <r>
    <x v="18"/>
    <d v="2020-11-02T00:00:00"/>
    <s v="POWERPLUS"/>
    <x v="1084"/>
    <n v="200"/>
    <x v="26"/>
    <m/>
    <m/>
    <m/>
    <n v="200"/>
    <b v="0"/>
    <m/>
    <m/>
    <s v="-"/>
    <x v="16"/>
    <s v="Create Rule; and Description Like '%College Savings%';College Savings"/>
    <m/>
  </r>
  <r>
    <x v="18"/>
    <d v="2020-11-02T00:00:00"/>
    <s v="Cash Rewards Visa Signature"/>
    <x v="6"/>
    <n v="133.69"/>
    <x v="5"/>
    <m/>
    <m/>
    <m/>
    <n v="133.69"/>
    <b v="0"/>
    <m/>
    <m/>
    <s v="-"/>
    <x v="6"/>
    <s v="Create Rule; and Description Like '%Cub Foods%';Groceries"/>
    <m/>
  </r>
  <r>
    <x v="18"/>
    <d v="2020-11-02T00:00:00"/>
    <s v="Cash Rewards Visa Signature"/>
    <x v="451"/>
    <n v="37.5"/>
    <x v="1"/>
    <m/>
    <m/>
    <m/>
    <n v="37.5"/>
    <b v="0"/>
    <m/>
    <m/>
    <s v="-"/>
    <x v="435"/>
    <s v="Create Rule; and Description Like '%Papa Murphy%';Restaurants"/>
    <m/>
  </r>
  <r>
    <x v="18"/>
    <d v="2020-11-02T00:00:00"/>
    <s v="30 YR FIXED"/>
    <x v="1085"/>
    <n v="-431"/>
    <x v="26"/>
    <m/>
    <m/>
    <m/>
    <n v="431"/>
    <b v="0"/>
    <m/>
    <m/>
    <s v="+"/>
    <x v="1034"/>
    <s v="Create Rule; and Description='Principal Curtailment';Delete"/>
    <m/>
  </r>
  <r>
    <x v="18"/>
    <d v="2020-11-02T00:00:00"/>
    <s v="Joint Tenant"/>
    <x v="358"/>
    <n v="23.1"/>
    <x v="26"/>
    <m/>
    <m/>
    <m/>
    <n v="23.1"/>
    <b v="0"/>
    <m/>
    <m/>
    <s v="-"/>
    <x v="349"/>
    <s v="Delete; and Source='Joint Tenant';0"/>
    <m/>
  </r>
  <r>
    <x v="18"/>
    <d v="2020-11-02T00:00:00"/>
    <s v="Cash Rewards Visa Signature"/>
    <x v="1086"/>
    <n v="120.05"/>
    <x v="26"/>
    <m/>
    <m/>
    <m/>
    <n v="120.05"/>
    <b v="0"/>
    <m/>
    <m/>
    <s v="-"/>
    <x v="1035"/>
    <s v="Manual"/>
    <m/>
  </r>
  <r>
    <x v="18"/>
    <d v="2020-11-02T00:00:00"/>
    <s v="POWERPLUS"/>
    <x v="29"/>
    <n v="16"/>
    <x v="8"/>
    <m/>
    <m/>
    <m/>
    <n v="16"/>
    <b v="0"/>
    <m/>
    <m/>
    <s v="-"/>
    <x v="29"/>
    <s v="Manual"/>
    <m/>
  </r>
  <r>
    <x v="18"/>
    <d v="2020-11-02T00:00:00"/>
    <s v="Investor Checking"/>
    <x v="361"/>
    <n v="-300"/>
    <x v="26"/>
    <m/>
    <m/>
    <m/>
    <n v="300"/>
    <b v="0"/>
    <m/>
    <m/>
    <s v="+"/>
    <x v="352"/>
    <s v="Manual"/>
    <m/>
  </r>
  <r>
    <x v="18"/>
    <d v="2020-11-03T00:00:00"/>
    <s v="Discover More Card"/>
    <x v="93"/>
    <n v="-15.87"/>
    <x v="26"/>
    <m/>
    <m/>
    <m/>
    <n v="15.87"/>
    <b v="0"/>
    <m/>
    <m/>
    <s v="+"/>
    <x v="93"/>
    <s v="Delete; and Description='CASHBACK BONUS REDEMPTION payment/STMT CRDT';0"/>
    <m/>
  </r>
  <r>
    <x v="18"/>
    <d v="2020-11-03T00:00:00"/>
    <s v="Discover"/>
    <x v="93"/>
    <n v="-15.87"/>
    <x v="26"/>
    <m/>
    <m/>
    <m/>
    <n v="15.87"/>
    <b v="0"/>
    <m/>
    <m/>
    <s v="+"/>
    <x v="93"/>
    <s v="Delete; and Description='CASHBACK BONUS REDEMPTION payment/STMT CRDT';0"/>
    <m/>
  </r>
  <r>
    <x v="18"/>
    <d v="2020-11-03T00:00:00"/>
    <s v="Discover More Card"/>
    <x v="56"/>
    <n v="-393.05"/>
    <x v="3"/>
    <m/>
    <m/>
    <m/>
    <n v="393.05"/>
    <b v="0"/>
    <m/>
    <m/>
    <s v="+"/>
    <x v="56"/>
    <s v="Delete; and Description='INTERNET PAYMENT - THANK YOU';0"/>
    <m/>
  </r>
  <r>
    <x v="18"/>
    <d v="2020-11-03T00:00:00"/>
    <s v="Discover"/>
    <x v="56"/>
    <n v="-393.05"/>
    <x v="3"/>
    <m/>
    <m/>
    <m/>
    <n v="393.05"/>
    <b v="0"/>
    <m/>
    <m/>
    <s v="+"/>
    <x v="56"/>
    <s v="Delete; and Description='INTERNET PAYMENT - THANK YOU';0"/>
    <m/>
  </r>
  <r>
    <x v="18"/>
    <d v="2020-11-03T00:00:00"/>
    <s v="Joint Tenant"/>
    <x v="125"/>
    <n v="128.05000000000001"/>
    <x v="26"/>
    <m/>
    <m/>
    <m/>
    <n v="128.05000000000001"/>
    <b v="0"/>
    <m/>
    <m/>
    <s v="-"/>
    <x v="124"/>
    <s v="Create Rule; and Description='A T &amp; T INC';Dividend"/>
    <m/>
  </r>
  <r>
    <x v="18"/>
    <d v="2020-11-03T00:00:00"/>
    <s v="Discover More Card"/>
    <x v="0"/>
    <n v="15.98"/>
    <x v="0"/>
    <m/>
    <m/>
    <m/>
    <n v="15.98"/>
    <b v="0"/>
    <m/>
    <m/>
    <s v="-"/>
    <x v="0"/>
    <s v="Create Rule; and Description='Amazon';Amazon"/>
    <m/>
  </r>
  <r>
    <x v="18"/>
    <d v="2020-11-03T00:00:00"/>
    <s v="Discover"/>
    <x v="0"/>
    <n v="15.98"/>
    <x v="0"/>
    <m/>
    <m/>
    <m/>
    <n v="15.98"/>
    <b v="0"/>
    <m/>
    <m/>
    <s v="-"/>
    <x v="0"/>
    <s v="Create Rule; and Description='Amazon';Amazon"/>
    <m/>
  </r>
  <r>
    <x v="18"/>
    <d v="2020-11-03T00:00:00"/>
    <s v="Cash Rewards Visa Signature"/>
    <x v="49"/>
    <n v="12.96"/>
    <x v="26"/>
    <m/>
    <m/>
    <m/>
    <n v="12.96"/>
    <b v="0"/>
    <m/>
    <m/>
    <s v="-"/>
    <x v="49"/>
    <s v="Create Rule; and Description='Lululemon';Shopping"/>
    <m/>
  </r>
  <r>
    <x v="18"/>
    <d v="2020-11-03T00:00:00"/>
    <s v="POWERPLUS"/>
    <x v="1087"/>
    <n v="391.2"/>
    <x v="26"/>
    <m/>
    <m/>
    <m/>
    <n v="391.2"/>
    <b v="0"/>
    <m/>
    <m/>
    <s v="-"/>
    <x v="1036"/>
    <s v="Create Rule; and Description Like '%MHCHILDCARELLC%';Day Care"/>
    <m/>
  </r>
  <r>
    <x v="18"/>
    <d v="2020-11-03T00:00:00"/>
    <s v="Cash Rewards Visa Signature"/>
    <x v="309"/>
    <n v="31.26"/>
    <x v="26"/>
    <m/>
    <m/>
    <m/>
    <n v="31.26"/>
    <b v="0"/>
    <m/>
    <m/>
    <s v="-"/>
    <x v="301"/>
    <s v="Create Rule; and Description='Sherwin Williams';House Maintenance"/>
    <m/>
  </r>
  <r>
    <x v="18"/>
    <d v="2020-11-03T00:00:00"/>
    <s v="POWERPLUS"/>
    <x v="30"/>
    <n v="182.74"/>
    <x v="11"/>
    <m/>
    <m/>
    <m/>
    <n v="182.74"/>
    <b v="0"/>
    <m/>
    <m/>
    <s v="-"/>
    <x v="30"/>
    <s v="Create Rule; and Description='Xcel Energy';Utilities"/>
    <m/>
  </r>
  <r>
    <x v="18"/>
    <d v="2020-11-04T00:00:00"/>
    <s v="POWERPLUS"/>
    <x v="1088"/>
    <n v="393.05"/>
    <x v="26"/>
    <m/>
    <m/>
    <m/>
    <n v="393.05"/>
    <b v="0"/>
    <m/>
    <m/>
    <s v="-"/>
    <x v="1037"/>
    <s v="Delete; and Description Like '%DISCOVER TYPE EPAYMENT%';0"/>
    <m/>
  </r>
  <r>
    <x v="18"/>
    <d v="2020-11-04T00:00:00"/>
    <s v="Joint Tenant"/>
    <x v="1089"/>
    <n v="-14.81"/>
    <x v="26"/>
    <m/>
    <m/>
    <m/>
    <n v="14.81"/>
    <b v="0"/>
    <m/>
    <m/>
    <s v="+"/>
    <x v="1038"/>
    <s v="Create Rule; and Description Like '%LOWES%';House Maintenance"/>
    <m/>
  </r>
  <r>
    <x v="18"/>
    <d v="2020-11-04T00:00:00"/>
    <s v="POWERPLUS"/>
    <x v="157"/>
    <n v="19.98"/>
    <x v="8"/>
    <m/>
    <m/>
    <m/>
    <n v="19.98"/>
    <b v="0"/>
    <m/>
    <m/>
    <s v="-"/>
    <x v="156"/>
    <s v="Create Rule; and Description Like '%PayPal%';Shopping"/>
    <m/>
  </r>
  <r>
    <x v="18"/>
    <d v="2020-11-05T00:00:00"/>
    <s v="Cash Rewards Visa Signature"/>
    <x v="84"/>
    <n v="52"/>
    <x v="26"/>
    <m/>
    <m/>
    <m/>
    <n v="52"/>
    <b v="0"/>
    <m/>
    <m/>
    <s v="-"/>
    <x v="84"/>
    <s v="Create Rule; and Description='City of Chanhassen';Utilities"/>
    <m/>
  </r>
  <r>
    <x v="18"/>
    <d v="2020-11-05T00:00:00"/>
    <s v="Joint Tenant"/>
    <x v="1089"/>
    <n v="14.81"/>
    <x v="26"/>
    <m/>
    <m/>
    <m/>
    <n v="14.81"/>
    <b v="0"/>
    <m/>
    <m/>
    <s v="-"/>
    <x v="1038"/>
    <s v="Create Rule; and Description Like '%LOWES%';House Maintenance"/>
    <m/>
  </r>
  <r>
    <x v="18"/>
    <d v="2020-11-05T00:00:00"/>
    <s v="Joint Tenant"/>
    <x v="20"/>
    <n v="200"/>
    <x v="26"/>
    <m/>
    <m/>
    <m/>
    <n v="200"/>
    <b v="0"/>
    <m/>
    <m/>
    <s v="-"/>
    <x v="20"/>
    <s v="Delete; and Description='SCHWAB TOTAL STOCK MKT INDEX' and inflowoutflow='-';0"/>
    <m/>
  </r>
  <r>
    <x v="18"/>
    <d v="2020-11-05T00:00:00"/>
    <s v="Cash Rewards Visa Signature"/>
    <x v="55"/>
    <n v="27.5"/>
    <x v="5"/>
    <m/>
    <m/>
    <m/>
    <n v="27.5"/>
    <b v="0"/>
    <m/>
    <m/>
    <s v="-"/>
    <x v="55"/>
    <s v="Create Rule; and Description='Walgreens';Shopping"/>
    <m/>
  </r>
  <r>
    <x v="18"/>
    <d v="2020-11-06T00:00:00"/>
    <s v="Cash Rewards Visa Signature"/>
    <x v="468"/>
    <n v="5.46"/>
    <x v="26"/>
    <m/>
    <m/>
    <m/>
    <n v="5.46"/>
    <b v="0"/>
    <m/>
    <m/>
    <s v="-"/>
    <x v="452"/>
    <s v="Create Rule; and Description='Chevron';Transportation"/>
    <m/>
  </r>
  <r>
    <x v="18"/>
    <d v="2020-11-06T00:00:00"/>
    <s v="Cash Rewards Visa Signature"/>
    <x v="523"/>
    <n v="11.59"/>
    <x v="1"/>
    <m/>
    <m/>
    <m/>
    <n v="11.59"/>
    <b v="0"/>
    <m/>
    <m/>
    <s v="-"/>
    <x v="504"/>
    <s v="Create Rule; and Description='Chick-Fil-A';Restaurants"/>
    <m/>
  </r>
  <r>
    <x v="18"/>
    <d v="2020-11-06T00:00:00"/>
    <s v="Cash Rewards Visa Signature"/>
    <x v="1067"/>
    <n v="139.59"/>
    <x v="26"/>
    <m/>
    <m/>
    <m/>
    <n v="139.59"/>
    <b v="0"/>
    <m/>
    <m/>
    <s v="-"/>
    <x v="1017"/>
    <s v="Create Rule; and Description Like '%MACKENTHUNSMEATS%';Groceries"/>
    <m/>
  </r>
  <r>
    <x v="18"/>
    <d v="2020-11-06T00:00:00"/>
    <s v="Cash Rewards Visa Signature"/>
    <x v="1090"/>
    <n v="57"/>
    <x v="26"/>
    <m/>
    <m/>
    <m/>
    <n v="57"/>
    <b v="0"/>
    <m/>
    <m/>
    <s v="-"/>
    <x v="1039"/>
    <s v="Manual"/>
    <m/>
  </r>
  <r>
    <x v="18"/>
    <d v="2020-11-06T00:00:00"/>
    <s v="POWERPLUS"/>
    <x v="142"/>
    <n v="112.83"/>
    <x v="26"/>
    <m/>
    <m/>
    <m/>
    <n v="112.83"/>
    <b v="0"/>
    <m/>
    <m/>
    <s v="-"/>
    <x v="141"/>
    <s v="Create Rule; and Description='Waste Management';Utilities"/>
    <m/>
  </r>
  <r>
    <x v="18"/>
    <d v="2020-11-08T00:00:00"/>
    <s v="Cash Rewards Visa Signature"/>
    <x v="81"/>
    <n v="26.74"/>
    <x v="26"/>
    <m/>
    <m/>
    <m/>
    <n v="26.74"/>
    <b v="0"/>
    <m/>
    <m/>
    <s v="-"/>
    <x v="81"/>
    <s v="Create Rule; and Description='Holiday Stationstore';Transportation"/>
    <m/>
  </r>
  <r>
    <x v="18"/>
    <d v="2020-11-08T00:00:00"/>
    <s v="Cash Rewards Visa Signature"/>
    <x v="49"/>
    <n v="-398"/>
    <x v="26"/>
    <m/>
    <m/>
    <m/>
    <n v="398"/>
    <b v="0"/>
    <m/>
    <m/>
    <s v="+"/>
    <x v="49"/>
    <s v="Create Rule; and Description='Lululemon';Shopping"/>
    <m/>
  </r>
  <r>
    <x v="18"/>
    <d v="2020-11-08T00:00:00"/>
    <s v="Cash Rewards Visa Signature"/>
    <x v="49"/>
    <n v="-448"/>
    <x v="26"/>
    <m/>
    <m/>
    <m/>
    <n v="448"/>
    <b v="0"/>
    <m/>
    <m/>
    <s v="+"/>
    <x v="49"/>
    <s v="Create Rule; and Description='Lululemon';Shopping"/>
    <m/>
  </r>
  <r>
    <x v="18"/>
    <d v="2020-11-09T00:00:00"/>
    <s v="POWERPLUS"/>
    <x v="157"/>
    <n v="7.43"/>
    <x v="8"/>
    <m/>
    <m/>
    <m/>
    <n v="7.43"/>
    <b v="0"/>
    <m/>
    <m/>
    <s v="-"/>
    <x v="156"/>
    <s v="Create Rule; and Description Like '%PayPal%';Shopping"/>
    <m/>
  </r>
  <r>
    <x v="18"/>
    <d v="2020-11-09T00:00:00"/>
    <s v="POWERPLUS"/>
    <x v="515"/>
    <n v="-164"/>
    <x v="26"/>
    <m/>
    <m/>
    <m/>
    <n v="164"/>
    <b v="0"/>
    <m/>
    <m/>
    <s v="+"/>
    <x v="496"/>
    <s v="Create Rule; and Description='Share';Delete"/>
    <m/>
  </r>
  <r>
    <x v="18"/>
    <d v="2020-11-09T00:00:00"/>
    <s v="SHARE SAVINGS"/>
    <x v="953"/>
    <n v="164"/>
    <x v="26"/>
    <m/>
    <m/>
    <m/>
    <n v="164"/>
    <b v="0"/>
    <m/>
    <m/>
    <s v="-"/>
    <x v="916"/>
    <s v="Manual"/>
    <m/>
  </r>
  <r>
    <x v="18"/>
    <d v="2020-11-09T00:00:00"/>
    <s v="Cash Rewards Visa Signature"/>
    <x v="1091"/>
    <n v="35.35"/>
    <x v="26"/>
    <m/>
    <m/>
    <m/>
    <n v="35.35"/>
    <b v="0"/>
    <m/>
    <m/>
    <s v="-"/>
    <x v="1040"/>
    <s v="Create Rule; and Description Like '%RED COW%';Restaurants"/>
    <m/>
  </r>
  <r>
    <x v="18"/>
    <d v="2020-11-09T00:00:00"/>
    <s v="Cash Rewards Visa Signature"/>
    <x v="1092"/>
    <n v="18"/>
    <x v="26"/>
    <m/>
    <m/>
    <m/>
    <n v="18"/>
    <b v="0"/>
    <m/>
    <m/>
    <s v="-"/>
    <x v="1041"/>
    <s v="Manual"/>
    <m/>
  </r>
  <r>
    <x v="18"/>
    <d v="2020-11-09T00:00:00"/>
    <s v="Jeff IRA"/>
    <x v="945"/>
    <n v="312.83999999999997"/>
    <x v="26"/>
    <m/>
    <m/>
    <m/>
    <n v="312.83999999999997"/>
    <b v="0"/>
    <m/>
    <m/>
    <s v="-"/>
    <x v="908"/>
    <m/>
    <m/>
  </r>
  <r>
    <x v="18"/>
    <d v="2020-11-30T00:00:00"/>
    <s v="Cash Rewards Visa Signature"/>
    <x v="1093"/>
    <n v="-31"/>
    <x v="26"/>
    <m/>
    <m/>
    <m/>
    <n v="31"/>
    <b v="0"/>
    <m/>
    <m/>
    <s v="+"/>
    <x v="1042"/>
    <s v="Manual"/>
    <m/>
  </r>
  <r>
    <x v="18"/>
    <d v="2020-11-30T00:00:00"/>
    <s v="Discover More Card"/>
    <x v="0"/>
    <n v="10"/>
    <x v="0"/>
    <m/>
    <m/>
    <m/>
    <n v="10"/>
    <b v="0"/>
    <m/>
    <m/>
    <s v="-"/>
    <x v="0"/>
    <s v="Create Rule; and Description='Amazon';Amazon"/>
    <m/>
  </r>
  <r>
    <x v="18"/>
    <d v="2020-11-30T00:00:00"/>
    <s v="Discover More Card"/>
    <x v="0"/>
    <n v="12"/>
    <x v="0"/>
    <m/>
    <m/>
    <m/>
    <n v="12"/>
    <b v="0"/>
    <m/>
    <m/>
    <s v="-"/>
    <x v="0"/>
    <s v="Create Rule; and Description='Amazon';Amazon"/>
    <m/>
  </r>
  <r>
    <x v="18"/>
    <d v="2020-11-30T00:00:00"/>
    <s v="Discover More Card"/>
    <x v="0"/>
    <n v="5.15"/>
    <x v="0"/>
    <m/>
    <m/>
    <m/>
    <n v="5.15"/>
    <b v="0"/>
    <m/>
    <m/>
    <s v="-"/>
    <x v="0"/>
    <s v="Create Rule; and Description='Amazon';Amazon"/>
    <m/>
  </r>
  <r>
    <x v="18"/>
    <d v="2020-11-30T00:00:00"/>
    <s v="Discover More Card"/>
    <x v="0"/>
    <n v="32.94"/>
    <x v="0"/>
    <m/>
    <m/>
    <m/>
    <n v="32.94"/>
    <b v="0"/>
    <m/>
    <m/>
    <s v="-"/>
    <x v="0"/>
    <s v="Create Rule; and Description='Amazon';Amazon"/>
    <m/>
  </r>
  <r>
    <x v="18"/>
    <d v="2020-11-30T00:00:00"/>
    <s v="Discover More Card"/>
    <x v="0"/>
    <n v="9.65"/>
    <x v="0"/>
    <m/>
    <m/>
    <m/>
    <n v="9.65"/>
    <b v="0"/>
    <m/>
    <m/>
    <s v="-"/>
    <x v="0"/>
    <s v="Create Rule; and Description='Amazon';Amazon"/>
    <m/>
  </r>
  <r>
    <x v="18"/>
    <d v="2020-11-30T00:00:00"/>
    <s v="Cash Rewards Visa Signature"/>
    <x v="0"/>
    <n v="3.76"/>
    <x v="0"/>
    <m/>
    <m/>
    <m/>
    <n v="3.76"/>
    <b v="0"/>
    <m/>
    <m/>
    <s v="-"/>
    <x v="0"/>
    <s v="Create Rule; and Description='Amazon';Amazon"/>
    <m/>
  </r>
  <r>
    <x v="18"/>
    <d v="2020-11-30T00:00:00"/>
    <s v="Discover"/>
    <x v="0"/>
    <n v="10"/>
    <x v="0"/>
    <m/>
    <m/>
    <m/>
    <n v="10"/>
    <b v="0"/>
    <m/>
    <m/>
    <s v="-"/>
    <x v="0"/>
    <s v="Create Rule; and Description='Amazon';Amazon"/>
    <m/>
  </r>
  <r>
    <x v="18"/>
    <d v="2020-11-30T00:00:00"/>
    <s v="Cash Rewards Visa Signature"/>
    <x v="0"/>
    <n v="13.77"/>
    <x v="0"/>
    <m/>
    <m/>
    <m/>
    <n v="13.77"/>
    <b v="0"/>
    <m/>
    <m/>
    <s v="-"/>
    <x v="0"/>
    <s v="Create Rule; and Description='Amazon';Amazon"/>
    <m/>
  </r>
  <r>
    <x v="18"/>
    <d v="2020-11-30T00:00:00"/>
    <s v="Cash Rewards Visa Signature"/>
    <x v="0"/>
    <n v="-3.76"/>
    <x v="0"/>
    <m/>
    <m/>
    <m/>
    <n v="3.76"/>
    <b v="0"/>
    <m/>
    <m/>
    <s v="+"/>
    <x v="0"/>
    <s v="Create Rule; and Description='Amazon';Amazon"/>
    <m/>
  </r>
  <r>
    <x v="18"/>
    <d v="2020-11-30T00:00:00"/>
    <s v="Cash Rewards Visa Signature"/>
    <x v="0"/>
    <n v="27.37"/>
    <x v="0"/>
    <m/>
    <m/>
    <m/>
    <n v="27.37"/>
    <b v="0"/>
    <m/>
    <m/>
    <s v="-"/>
    <x v="0"/>
    <s v="Create Rule; and Description='Amazon';Amazon"/>
    <m/>
  </r>
  <r>
    <x v="18"/>
    <d v="2020-11-30T00:00:00"/>
    <s v="Discover"/>
    <x v="0"/>
    <n v="12"/>
    <x v="0"/>
    <m/>
    <m/>
    <m/>
    <n v="12"/>
    <b v="0"/>
    <m/>
    <m/>
    <s v="-"/>
    <x v="0"/>
    <s v="Create Rule; and Description='Amazon';Amazon"/>
    <m/>
  </r>
  <r>
    <x v="18"/>
    <d v="2020-11-30T00:00:00"/>
    <s v="Cash Rewards Visa Signature"/>
    <x v="0"/>
    <n v="-20.14"/>
    <x v="0"/>
    <m/>
    <m/>
    <m/>
    <n v="20.14"/>
    <b v="0"/>
    <m/>
    <m/>
    <s v="+"/>
    <x v="0"/>
    <s v="Create Rule; and Description='Amazon';Amazon"/>
    <m/>
  </r>
  <r>
    <x v="18"/>
    <d v="2020-11-30T00:00:00"/>
    <s v="Discover"/>
    <x v="0"/>
    <n v="5.15"/>
    <x v="0"/>
    <m/>
    <m/>
    <m/>
    <n v="5.15"/>
    <b v="0"/>
    <m/>
    <m/>
    <s v="-"/>
    <x v="0"/>
    <s v="Create Rule; and Description='Amazon';Amazon"/>
    <m/>
  </r>
  <r>
    <x v="18"/>
    <d v="2020-11-30T00:00:00"/>
    <s v="Cash Rewards Visa Signature"/>
    <x v="0"/>
    <n v="-14.97"/>
    <x v="0"/>
    <m/>
    <m/>
    <m/>
    <n v="14.97"/>
    <b v="0"/>
    <m/>
    <m/>
    <s v="+"/>
    <x v="0"/>
    <s v="Create Rule; and Description='Amazon';Amazon"/>
    <m/>
  </r>
  <r>
    <x v="18"/>
    <d v="2020-11-30T00:00:00"/>
    <s v="Cash Rewards Visa Signature"/>
    <x v="0"/>
    <n v="7.09"/>
    <x v="0"/>
    <m/>
    <m/>
    <m/>
    <n v="7.09"/>
    <b v="0"/>
    <m/>
    <m/>
    <s v="-"/>
    <x v="0"/>
    <s v="Create Rule; and Description='Amazon';Amazon"/>
    <m/>
  </r>
  <r>
    <x v="18"/>
    <d v="2020-11-30T00:00:00"/>
    <s v="Discover"/>
    <x v="0"/>
    <n v="32.94"/>
    <x v="0"/>
    <m/>
    <m/>
    <m/>
    <n v="32.94"/>
    <b v="0"/>
    <m/>
    <m/>
    <s v="-"/>
    <x v="0"/>
    <s v="Create Rule; and Description='Amazon';Amazon"/>
    <m/>
  </r>
  <r>
    <x v="18"/>
    <d v="2020-11-30T00:00:00"/>
    <s v="Discover"/>
    <x v="0"/>
    <n v="9.65"/>
    <x v="0"/>
    <m/>
    <m/>
    <m/>
    <n v="9.65"/>
    <b v="0"/>
    <m/>
    <m/>
    <s v="-"/>
    <x v="0"/>
    <s v="Create Rule; and Description='Amazon';Amazon"/>
    <m/>
  </r>
  <r>
    <x v="18"/>
    <d v="2020-11-30T00:00:00"/>
    <s v="Cash Rewards Visa Signature"/>
    <x v="0"/>
    <n v="17.09"/>
    <x v="0"/>
    <m/>
    <m/>
    <m/>
    <n v="17.09"/>
    <b v="0"/>
    <m/>
    <m/>
    <s v="-"/>
    <x v="0"/>
    <s v="Create Rule; and Description='Amazon';Amazon"/>
    <m/>
  </r>
  <r>
    <x v="18"/>
    <d v="2020-11-30T00:00:00"/>
    <s v="POWERPLUS"/>
    <x v="48"/>
    <n v="102.94"/>
    <x v="16"/>
    <m/>
    <m/>
    <m/>
    <n v="102.94"/>
    <b v="0"/>
    <m/>
    <m/>
    <s v="-"/>
    <x v="48"/>
    <s v="Create Rule; and Description='American Family Insurance';Insurance"/>
    <m/>
  </r>
  <r>
    <x v="18"/>
    <d v="2020-11-30T00:00:00"/>
    <s v="Jeff IRA"/>
    <x v="165"/>
    <n v="-4.13"/>
    <x v="26"/>
    <m/>
    <m/>
    <m/>
    <n v="4.13"/>
    <b v="0"/>
    <m/>
    <m/>
    <s v="+"/>
    <x v="164"/>
    <s v="Create Rule; and Description='APPLE INC';Dividend"/>
    <m/>
  </r>
  <r>
    <x v="18"/>
    <d v="2020-11-30T00:00:00"/>
    <s v="Joint Tenant"/>
    <x v="165"/>
    <n v="-41.8"/>
    <x v="26"/>
    <m/>
    <m/>
    <m/>
    <n v="41.8"/>
    <b v="0"/>
    <m/>
    <m/>
    <s v="+"/>
    <x v="164"/>
    <s v="Create Rule; and Description='APPLE INC';Dividend"/>
    <m/>
  </r>
  <r>
    <x v="18"/>
    <d v="2020-11-30T00:00:00"/>
    <s v="Jeff IRA"/>
    <x v="165"/>
    <n v="4.13"/>
    <x v="26"/>
    <m/>
    <m/>
    <m/>
    <n v="4.13"/>
    <b v="0"/>
    <m/>
    <m/>
    <s v="-"/>
    <x v="164"/>
    <s v="Create Rule; and Description='APPLE INC';Dividend"/>
    <m/>
  </r>
  <r>
    <x v="18"/>
    <d v="2020-11-30T00:00:00"/>
    <s v="Joint Tenant"/>
    <x v="165"/>
    <n v="41.8"/>
    <x v="26"/>
    <m/>
    <m/>
    <m/>
    <n v="41.8"/>
    <b v="0"/>
    <m/>
    <m/>
    <s v="-"/>
    <x v="164"/>
    <s v="Create Rule; and Description='APPLE INC';Dividend"/>
    <m/>
  </r>
  <r>
    <x v="18"/>
    <d v="2020-11-30T00:00:00"/>
    <s v="Cash Rewards Visa Signature"/>
    <x v="980"/>
    <n v="167.17"/>
    <x v="26"/>
    <m/>
    <m/>
    <m/>
    <n v="167.17"/>
    <b v="0"/>
    <m/>
    <m/>
    <s v="-"/>
    <x v="940"/>
    <s v="Create Rule; and Description Like '%AVOADVOCARE INTL%';Groceries"/>
    <m/>
  </r>
  <r>
    <x v="18"/>
    <d v="2020-11-30T00:00:00"/>
    <s v="POWERPLUS"/>
    <x v="1094"/>
    <n v="286.14"/>
    <x v="26"/>
    <m/>
    <m/>
    <m/>
    <n v="286.14"/>
    <b v="0"/>
    <m/>
    <m/>
    <s v="-"/>
    <x v="1043"/>
    <s v="Create Rule; and Description Like '%Banana Visa%';Shopping"/>
    <m/>
  </r>
  <r>
    <x v="18"/>
    <d v="2020-11-30T00:00:00"/>
    <s v="Contributory"/>
    <x v="1095"/>
    <n v="-0.08"/>
    <x v="26"/>
    <m/>
    <m/>
    <m/>
    <n v="0.08"/>
    <b v="0"/>
    <m/>
    <m/>
    <s v="+"/>
    <x v="1044"/>
    <m/>
    <m/>
  </r>
  <r>
    <x v="18"/>
    <d v="2020-11-30T00:00:00"/>
    <s v="Jeff IRA"/>
    <x v="1095"/>
    <n v="-0.02"/>
    <x v="26"/>
    <m/>
    <m/>
    <m/>
    <n v="0.02"/>
    <b v="0"/>
    <m/>
    <m/>
    <s v="+"/>
    <x v="1044"/>
    <m/>
    <m/>
  </r>
  <r>
    <x v="18"/>
    <d v="2020-11-30T00:00:00"/>
    <s v="Joint Tenant"/>
    <x v="232"/>
    <n v="-1926.21"/>
    <x v="26"/>
    <m/>
    <m/>
    <m/>
    <n v="1926.21"/>
    <b v="0"/>
    <m/>
    <m/>
    <s v="+"/>
    <x v="230"/>
    <s v="Create Rule; and Description='BOEING CO';Dividend"/>
    <m/>
  </r>
  <r>
    <x v="18"/>
    <d v="2020-11-30T00:00:00"/>
    <s v="Cash Rewards Visa Signature"/>
    <x v="1096"/>
    <n v="9"/>
    <x v="26"/>
    <m/>
    <m/>
    <m/>
    <n v="9"/>
    <b v="0"/>
    <m/>
    <m/>
    <s v="-"/>
    <x v="1045"/>
    <s v="Manual"/>
    <m/>
  </r>
  <r>
    <x v="18"/>
    <d v="2020-11-30T00:00:00"/>
    <s v="Cash Rewards Visa Signature"/>
    <x v="1055"/>
    <n v="89"/>
    <x v="26"/>
    <m/>
    <m/>
    <m/>
    <n v="89"/>
    <b v="0"/>
    <m/>
    <m/>
    <s v="-"/>
    <x v="1008"/>
    <s v="Manual"/>
    <m/>
  </r>
  <r>
    <x v="18"/>
    <d v="2020-11-30T00:00:00"/>
    <s v="Cash Rewards Visa Signature"/>
    <x v="70"/>
    <n v="30.75"/>
    <x v="26"/>
    <m/>
    <m/>
    <m/>
    <n v="30.75"/>
    <b v="0"/>
    <m/>
    <m/>
    <s v="-"/>
    <x v="70"/>
    <s v="Create Rule; and Description like '%Byerly%';Groceries"/>
    <m/>
  </r>
  <r>
    <x v="18"/>
    <d v="2020-11-30T00:00:00"/>
    <s v="Joint Tenant"/>
    <x v="185"/>
    <n v="-200"/>
    <x v="26"/>
    <m/>
    <m/>
    <m/>
    <n v="200"/>
    <b v="0"/>
    <m/>
    <m/>
    <s v="+"/>
    <x v="184"/>
    <s v="Create Rule; and Description='CARGILL COCOA &amp;';Roth"/>
    <m/>
  </r>
  <r>
    <x v="18"/>
    <d v="2020-11-30T00:00:00"/>
    <s v="Joint Tenant"/>
    <x v="185"/>
    <n v="-200"/>
    <x v="26"/>
    <m/>
    <m/>
    <m/>
    <n v="200"/>
    <b v="0"/>
    <m/>
    <m/>
    <s v="+"/>
    <x v="184"/>
    <s v="Create Rule; and Description='CARGILL COCOA &amp;';Roth"/>
    <m/>
  </r>
  <r>
    <x v="18"/>
    <d v="2020-11-30T00:00:00"/>
    <s v="POWERPLUS"/>
    <x v="1097"/>
    <n v="-2607.65"/>
    <x v="26"/>
    <m/>
    <m/>
    <m/>
    <n v="2607.65"/>
    <b v="0"/>
    <m/>
    <m/>
    <s v="+"/>
    <x v="1046"/>
    <s v="Create Rule; and Description Like '%CARGILL COCOA TYPE DIR DEP ID%';Inc - Britney"/>
    <m/>
  </r>
  <r>
    <x v="18"/>
    <d v="2020-11-30T00:00:00"/>
    <s v="POWERPLUS"/>
    <x v="1098"/>
    <n v="-2713.75"/>
    <x v="26"/>
    <m/>
    <m/>
    <m/>
    <n v="2713.75"/>
    <b v="0"/>
    <m/>
    <m/>
    <s v="+"/>
    <x v="1047"/>
    <s v="Create Rule; and Description Like '%CARGILL COCOA TYPE DIR DEP ID%';Inc - Britney"/>
    <m/>
  </r>
  <r>
    <x v="18"/>
    <d v="2020-11-30T00:00:00"/>
    <s v="POWERPLUS"/>
    <x v="35"/>
    <n v="-75"/>
    <x v="26"/>
    <m/>
    <m/>
    <m/>
    <n v="75"/>
    <b v="0"/>
    <m/>
    <m/>
    <s v="+"/>
    <x v="35"/>
    <s v="Create Rule; and Description='Cargill Incorpor Type';Inc - Other"/>
    <m/>
  </r>
  <r>
    <x v="18"/>
    <d v="2020-11-30T00:00:00"/>
    <s v="Cash Rewards Visa Signature"/>
    <x v="59"/>
    <n v="14.59"/>
    <x v="1"/>
    <m/>
    <m/>
    <m/>
    <n v="14.59"/>
    <b v="0"/>
    <m/>
    <m/>
    <s v="-"/>
    <x v="59"/>
    <s v="Create Rule; and Description Like '%Caribou Coffee%';Restaurants"/>
    <m/>
  </r>
  <r>
    <x v="18"/>
    <d v="2020-11-30T00:00:00"/>
    <s v="Discover More Card"/>
    <x v="67"/>
    <n v="45"/>
    <x v="11"/>
    <m/>
    <m/>
    <m/>
    <n v="45"/>
    <b v="0"/>
    <m/>
    <m/>
    <s v="-"/>
    <x v="67"/>
    <s v="Create Rule; and Description='CenturyLink';Utilities"/>
    <m/>
  </r>
  <r>
    <x v="18"/>
    <d v="2020-11-30T00:00:00"/>
    <s v="Discover"/>
    <x v="67"/>
    <n v="45"/>
    <x v="11"/>
    <m/>
    <m/>
    <m/>
    <n v="45"/>
    <b v="0"/>
    <m/>
    <m/>
    <s v="-"/>
    <x v="67"/>
    <s v="Create Rule; and Description='CenturyLink';Utilities"/>
    <m/>
  </r>
  <r>
    <x v="18"/>
    <d v="2020-11-30T00:00:00"/>
    <s v="POWERPLUS"/>
    <x v="1099"/>
    <n v="350"/>
    <x v="26"/>
    <m/>
    <m/>
    <m/>
    <n v="350"/>
    <b v="0"/>
    <m/>
    <m/>
    <s v="-"/>
    <x v="1048"/>
    <s v="Manual"/>
    <m/>
  </r>
  <r>
    <x v="18"/>
    <d v="2020-11-30T00:00:00"/>
    <s v="POWERPLUS"/>
    <x v="84"/>
    <n v="208.82"/>
    <x v="26"/>
    <m/>
    <m/>
    <m/>
    <n v="208.82"/>
    <b v="0"/>
    <m/>
    <m/>
    <s v="-"/>
    <x v="84"/>
    <s v="Create Rule; and Description='City of Chanhassen';Utilities"/>
    <m/>
  </r>
  <r>
    <x v="18"/>
    <d v="2020-11-30T00:00:00"/>
    <s v="Joint Tenant"/>
    <x v="950"/>
    <n v="-250"/>
    <x v="26"/>
    <m/>
    <m/>
    <m/>
    <n v="250"/>
    <b v="0"/>
    <m/>
    <m/>
    <s v="+"/>
    <x v="913"/>
    <s v="Create Rule; and Description Like '%CONNECTED ANALYT%';Inc - Jeff"/>
    <m/>
  </r>
  <r>
    <x v="18"/>
    <d v="2020-11-30T00:00:00"/>
    <s v="Joint Tenant"/>
    <x v="950"/>
    <n v="-250"/>
    <x v="26"/>
    <m/>
    <m/>
    <m/>
    <n v="250"/>
    <b v="0"/>
    <m/>
    <m/>
    <s v="+"/>
    <x v="913"/>
    <s v="Create Rule; and Description Like '%CONNECTED ANALYT%';Inc - Jeff"/>
    <m/>
  </r>
  <r>
    <x v="18"/>
    <d v="2020-11-30T00:00:00"/>
    <s v="POWERPLUS"/>
    <x v="1100"/>
    <n v="-2385.59"/>
    <x v="26"/>
    <m/>
    <m/>
    <m/>
    <n v="2385.59"/>
    <b v="0"/>
    <m/>
    <m/>
    <s v="+"/>
    <x v="910"/>
    <s v="Manual"/>
    <m/>
  </r>
  <r>
    <x v="18"/>
    <d v="2020-11-30T00:00:00"/>
    <s v="POWERPLUS"/>
    <x v="1101"/>
    <n v="-2335.58"/>
    <x v="26"/>
    <m/>
    <m/>
    <m/>
    <n v="2335.58"/>
    <b v="0"/>
    <m/>
    <m/>
    <s v="+"/>
    <x v="910"/>
    <s v="Manual"/>
    <m/>
  </r>
  <r>
    <x v="18"/>
    <d v="2020-11-30T00:00:00"/>
    <s v="POWERPLUS"/>
    <x v="446"/>
    <n v="-61.63"/>
    <x v="26"/>
    <m/>
    <m/>
    <m/>
    <n v="61.63"/>
    <b v="0"/>
    <m/>
    <m/>
    <s v="+"/>
    <x v="430"/>
    <s v="Manual"/>
    <m/>
  </r>
  <r>
    <x v="18"/>
    <d v="2020-11-30T00:00:00"/>
    <s v="POWERPLUS"/>
    <x v="446"/>
    <n v="-24.52"/>
    <x v="26"/>
    <m/>
    <m/>
    <m/>
    <n v="24.52"/>
    <b v="0"/>
    <m/>
    <m/>
    <s v="+"/>
    <x v="430"/>
    <s v="Manual"/>
    <m/>
  </r>
  <r>
    <x v="18"/>
    <d v="2020-11-30T00:00:00"/>
    <s v="Cash Rewards Visa Signature"/>
    <x v="6"/>
    <n v="135.31"/>
    <x v="5"/>
    <m/>
    <m/>
    <m/>
    <n v="135.31"/>
    <b v="0"/>
    <m/>
    <m/>
    <s v="-"/>
    <x v="6"/>
    <s v="Create Rule; and Description Like '%Cub Foods%';Groceries"/>
    <m/>
  </r>
  <r>
    <x v="18"/>
    <d v="2020-11-30T00:00:00"/>
    <s v="Cash Rewards Visa Signature"/>
    <x v="6"/>
    <n v="142.46"/>
    <x v="5"/>
    <m/>
    <m/>
    <m/>
    <n v="142.46"/>
    <b v="0"/>
    <m/>
    <m/>
    <s v="-"/>
    <x v="6"/>
    <s v="Create Rule; and Description Like '%Cub Foods%';Groceries"/>
    <m/>
  </r>
  <r>
    <x v="18"/>
    <d v="2020-11-30T00:00:00"/>
    <s v="Cash Rewards Visa Signature"/>
    <x v="6"/>
    <n v="67.36"/>
    <x v="5"/>
    <m/>
    <m/>
    <m/>
    <n v="67.36"/>
    <b v="0"/>
    <m/>
    <m/>
    <s v="-"/>
    <x v="6"/>
    <s v="Create Rule; and Description Like '%Cub Foods%';Groceries"/>
    <m/>
  </r>
  <r>
    <x v="18"/>
    <d v="2020-11-30T00:00:00"/>
    <s v="POWERPLUS"/>
    <x v="1065"/>
    <n v="-4529.76"/>
    <x v="3"/>
    <m/>
    <m/>
    <m/>
    <n v="4529.76"/>
    <b v="0"/>
    <m/>
    <m/>
    <s v="+"/>
    <x v="1015"/>
    <s v="Manual"/>
    <m/>
  </r>
  <r>
    <x v="18"/>
    <d v="2020-11-30T00:00:00"/>
    <s v="POWERPLUS"/>
    <x v="1065"/>
    <n v="-100"/>
    <x v="3"/>
    <m/>
    <m/>
    <m/>
    <n v="100"/>
    <b v="0"/>
    <m/>
    <m/>
    <s v="+"/>
    <x v="1015"/>
    <s v="Manual"/>
    <m/>
  </r>
  <r>
    <x v="18"/>
    <d v="2020-11-30T00:00:00"/>
    <s v="Cash Rewards Visa Signature"/>
    <x v="79"/>
    <n v="52"/>
    <x v="28"/>
    <m/>
    <m/>
    <m/>
    <n v="52"/>
    <b v="0"/>
    <m/>
    <m/>
    <s v="-"/>
    <x v="79"/>
    <s v="Create Rule; and Description='Elite Nails';Entertainment"/>
    <m/>
  </r>
  <r>
    <x v="18"/>
    <d v="2020-11-30T00:00:00"/>
    <s v="Cash Rewards Visa Signature"/>
    <x v="1102"/>
    <n v="71.739999999999995"/>
    <x v="26"/>
    <m/>
    <m/>
    <m/>
    <n v="71.739999999999995"/>
    <b v="0"/>
    <m/>
    <m/>
    <s v="-"/>
    <x v="1049"/>
    <s v="Manual"/>
    <m/>
  </r>
  <r>
    <x v="18"/>
    <d v="2020-11-30T00:00:00"/>
    <s v="Investor Checking"/>
    <x v="118"/>
    <n v="-0.02"/>
    <x v="26"/>
    <m/>
    <m/>
    <m/>
    <n v="0.02"/>
    <b v="0"/>
    <m/>
    <m/>
    <s v="+"/>
    <x v="118"/>
    <s v="Create Rule; and Description='Interest Paid';0"/>
    <m/>
  </r>
  <r>
    <x v="18"/>
    <d v="2020-11-30T00:00:00"/>
    <s v="Cash Rewards Visa Signature"/>
    <x v="594"/>
    <n v="23.5"/>
    <x v="28"/>
    <m/>
    <m/>
    <m/>
    <n v="23.5"/>
    <b v="0"/>
    <m/>
    <m/>
    <s v="-"/>
    <x v="575"/>
    <s v="Manual"/>
    <m/>
  </r>
  <r>
    <x v="18"/>
    <d v="2020-11-30T00:00:00"/>
    <s v="Cash Rewards Visa Signature"/>
    <x v="1103"/>
    <n v="3.68"/>
    <x v="26"/>
    <m/>
    <m/>
    <m/>
    <n v="3.68"/>
    <b v="0"/>
    <m/>
    <m/>
    <s v="-"/>
    <x v="1050"/>
    <s v="Delete; and Description Like '%LAKEWINDS CHANHASSEN%';Restaurants"/>
    <m/>
  </r>
  <r>
    <x v="18"/>
    <d v="2020-11-30T00:00:00"/>
    <s v="Discover More Card"/>
    <x v="214"/>
    <n v="29.14"/>
    <x v="2"/>
    <m/>
    <m/>
    <m/>
    <n v="29.14"/>
    <b v="0"/>
    <m/>
    <m/>
    <s v="-"/>
    <x v="213"/>
    <s v="Create Rule; and Description='Lyft';Transportation"/>
    <m/>
  </r>
  <r>
    <x v="18"/>
    <d v="2020-11-30T00:00:00"/>
    <s v="Discover"/>
    <x v="214"/>
    <n v="29.14"/>
    <x v="2"/>
    <m/>
    <m/>
    <m/>
    <n v="29.14"/>
    <b v="0"/>
    <m/>
    <m/>
    <s v="-"/>
    <x v="213"/>
    <s v="Create Rule; and Description='Lyft';Transportation"/>
    <m/>
  </r>
  <r>
    <x v="18"/>
    <d v="2020-11-30T00:00:00"/>
    <s v="Cash Rewards Visa Signature"/>
    <x v="1067"/>
    <n v="69.7"/>
    <x v="26"/>
    <m/>
    <m/>
    <m/>
    <n v="69.7"/>
    <b v="0"/>
    <m/>
    <m/>
    <s v="-"/>
    <x v="1017"/>
    <s v="Create Rule; and Description Like '%MACKENTHUNSMEATS%';Groceries"/>
    <m/>
  </r>
  <r>
    <x v="18"/>
    <d v="2020-11-30T00:00:00"/>
    <s v="Cash Rewards Visa Signature"/>
    <x v="1104"/>
    <n v="26.98"/>
    <x v="26"/>
    <m/>
    <m/>
    <m/>
    <n v="26.98"/>
    <b v="0"/>
    <m/>
    <m/>
    <s v="-"/>
    <x v="1051"/>
    <s v="Manual"/>
    <m/>
  </r>
  <r>
    <x v="18"/>
    <d v="2020-11-30T00:00:00"/>
    <s v="POWERPLUS"/>
    <x v="1105"/>
    <n v="391.2"/>
    <x v="26"/>
    <m/>
    <m/>
    <m/>
    <n v="391.2"/>
    <b v="0"/>
    <m/>
    <m/>
    <s v="-"/>
    <x v="1052"/>
    <s v="Create Rule; and Description Like '%MHCHILDCARELLC%';Day Care"/>
    <m/>
  </r>
  <r>
    <x v="18"/>
    <d v="2020-11-30T00:00:00"/>
    <s v="POWERPLUS"/>
    <x v="1106"/>
    <n v="391.2"/>
    <x v="26"/>
    <m/>
    <m/>
    <m/>
    <n v="391.2"/>
    <b v="0"/>
    <m/>
    <m/>
    <s v="-"/>
    <x v="1053"/>
    <s v="Create Rule; and Description Like '%MHCHILDCARELLC%';Day Care"/>
    <m/>
  </r>
  <r>
    <x v="18"/>
    <d v="2020-11-30T00:00:00"/>
    <s v="POWERPLUS"/>
    <x v="1107"/>
    <n v="391.2"/>
    <x v="26"/>
    <m/>
    <m/>
    <m/>
    <n v="391.2"/>
    <b v="0"/>
    <m/>
    <m/>
    <s v="-"/>
    <x v="1054"/>
    <s v="Create Rule; and Description Like '%MHCHILDCARELLC%';Day Care"/>
    <m/>
  </r>
  <r>
    <x v="18"/>
    <d v="2020-11-30T00:00:00"/>
    <s v="Cash Rewards Visa Signature"/>
    <x v="738"/>
    <n v="15.42"/>
    <x v="26"/>
    <m/>
    <m/>
    <m/>
    <n v="15.42"/>
    <b v="0"/>
    <m/>
    <m/>
    <s v="-"/>
    <x v="712"/>
    <s v="Create Rule; and Description='Milios Sandwiches';Restaurants"/>
    <m/>
  </r>
  <r>
    <x v="18"/>
    <d v="2020-11-30T00:00:00"/>
    <s v="Cash Rewards Visa Signature"/>
    <x v="1108"/>
    <n v="26"/>
    <x v="2"/>
    <m/>
    <m/>
    <m/>
    <n v="26"/>
    <b v="0"/>
    <m/>
    <m/>
    <s v="-"/>
    <x v="1055"/>
    <s v="Manual"/>
    <m/>
  </r>
  <r>
    <x v="18"/>
    <d v="2020-11-30T00:00:00"/>
    <s v="POWERPLUS"/>
    <x v="1109"/>
    <n v="200"/>
    <x v="26"/>
    <m/>
    <m/>
    <m/>
    <n v="200"/>
    <b v="0"/>
    <m/>
    <m/>
    <s v="-"/>
    <x v="1056"/>
    <s v="Create Rule; and Description Like '%MN DIR ACH%';College Savings"/>
    <m/>
  </r>
  <r>
    <x v="18"/>
    <d v="2020-11-30T00:00:00"/>
    <s v="Discover More Card"/>
    <x v="99"/>
    <n v="12.99"/>
    <x v="11"/>
    <m/>
    <m/>
    <m/>
    <n v="12.99"/>
    <b v="0"/>
    <m/>
    <m/>
    <s v="-"/>
    <x v="99"/>
    <s v="Create Rule; and Description='Netflix';Utilities"/>
    <m/>
  </r>
  <r>
    <x v="18"/>
    <d v="2020-11-30T00:00:00"/>
    <s v="Discover"/>
    <x v="99"/>
    <n v="12.99"/>
    <x v="11"/>
    <m/>
    <m/>
    <m/>
    <n v="12.99"/>
    <b v="0"/>
    <m/>
    <m/>
    <s v="-"/>
    <x v="99"/>
    <s v="Create Rule; and Description='Netflix';Utilities"/>
    <m/>
  </r>
  <r>
    <x v="18"/>
    <d v="2020-11-30T00:00:00"/>
    <s v="Cash Rewards Visa Signature"/>
    <x v="1110"/>
    <n v="-5.49"/>
    <x v="26"/>
    <m/>
    <m/>
    <m/>
    <n v="5.49"/>
    <b v="0"/>
    <m/>
    <m/>
    <s v="+"/>
    <x v="1057"/>
    <s v="Manual"/>
    <m/>
  </r>
  <r>
    <x v="18"/>
    <d v="2020-11-30T00:00:00"/>
    <s v="Cash Rewards Visa Signature"/>
    <x v="1111"/>
    <n v="142.28"/>
    <x v="26"/>
    <m/>
    <m/>
    <m/>
    <n v="142.28"/>
    <b v="0"/>
    <m/>
    <m/>
    <s v="-"/>
    <x v="1058"/>
    <s v="Manual"/>
    <m/>
  </r>
  <r>
    <x v="18"/>
    <d v="2020-11-30T00:00:00"/>
    <s v="POWERPLUS"/>
    <x v="157"/>
    <n v="1.25"/>
    <x v="8"/>
    <m/>
    <m/>
    <m/>
    <n v="1.25"/>
    <b v="0"/>
    <m/>
    <m/>
    <s v="-"/>
    <x v="156"/>
    <s v="Create Rule; and Description Like '%PayPal%';Shopping"/>
    <m/>
  </r>
  <r>
    <x v="18"/>
    <d v="2020-11-30T00:00:00"/>
    <s v="POWERPLUS"/>
    <x v="157"/>
    <n v="12.99"/>
    <x v="8"/>
    <m/>
    <m/>
    <m/>
    <n v="12.99"/>
    <b v="0"/>
    <m/>
    <m/>
    <s v="-"/>
    <x v="156"/>
    <s v="Create Rule; and Description Like '%PayPal%';Shopping"/>
    <m/>
  </r>
  <r>
    <x v="18"/>
    <d v="2020-11-30T00:00:00"/>
    <s v="POWERPLUS"/>
    <x v="157"/>
    <n v="0.99"/>
    <x v="8"/>
    <m/>
    <m/>
    <m/>
    <n v="0.99"/>
    <b v="0"/>
    <m/>
    <m/>
    <s v="-"/>
    <x v="156"/>
    <s v="Create Rule; and Description Like '%PayPal%';Shopping"/>
    <m/>
  </r>
  <r>
    <x v="18"/>
    <d v="2020-11-30T00:00:00"/>
    <s v="POWERPLUS"/>
    <x v="157"/>
    <n v="23.91"/>
    <x v="8"/>
    <m/>
    <m/>
    <m/>
    <n v="23.91"/>
    <b v="0"/>
    <m/>
    <m/>
    <s v="-"/>
    <x v="156"/>
    <s v="Create Rule; and Description Like '%PayPal%';Shopping"/>
    <m/>
  </r>
  <r>
    <x v="18"/>
    <d v="2020-11-30T00:00:00"/>
    <s v="POWERPLUS"/>
    <x v="157"/>
    <n v="98"/>
    <x v="8"/>
    <m/>
    <m/>
    <m/>
    <n v="98"/>
    <b v="0"/>
    <m/>
    <m/>
    <s v="-"/>
    <x v="156"/>
    <s v="Create Rule; and Description Like '%PayPal%';Shopping"/>
    <m/>
  </r>
  <r>
    <x v="18"/>
    <d v="2020-11-30T00:00:00"/>
    <s v="Cash Rewards Visa Signature"/>
    <x v="1112"/>
    <n v="57.34"/>
    <x v="26"/>
    <m/>
    <m/>
    <m/>
    <n v="57.34"/>
    <b v="0"/>
    <m/>
    <m/>
    <s v="-"/>
    <x v="1059"/>
    <s v="Manual"/>
    <m/>
  </r>
  <r>
    <x v="18"/>
    <d v="2020-11-30T00:00:00"/>
    <s v="Cash Rewards Visa Signature"/>
    <x v="414"/>
    <n v="50.77"/>
    <x v="8"/>
    <m/>
    <m/>
    <m/>
    <n v="50.77"/>
    <b v="0"/>
    <m/>
    <m/>
    <s v="-"/>
    <x v="400"/>
    <s v="Create Rule; and Description='Pottery Barn';Shopping"/>
    <m/>
  </r>
  <r>
    <x v="18"/>
    <d v="2020-11-30T00:00:00"/>
    <s v="Cash Rewards Visa Signature"/>
    <x v="1113"/>
    <n v="13.95"/>
    <x v="26"/>
    <m/>
    <m/>
    <m/>
    <n v="13.95"/>
    <b v="0"/>
    <m/>
    <m/>
    <s v="-"/>
    <x v="1060"/>
    <s v="Create Rule; and Description Like '%PRIME VIDEO%';Entertainment"/>
    <m/>
  </r>
  <r>
    <x v="18"/>
    <d v="2020-11-30T00:00:00"/>
    <s v="Cash Rewards Visa Signature"/>
    <x v="1114"/>
    <n v="21.46"/>
    <x v="26"/>
    <m/>
    <m/>
    <m/>
    <n v="21.46"/>
    <b v="0"/>
    <m/>
    <m/>
    <s v="-"/>
    <x v="1061"/>
    <s v="Create Rule; and Description Like '%PRIME VIDEO%';Entertainment"/>
    <m/>
  </r>
  <r>
    <x v="18"/>
    <d v="2020-11-30T00:00:00"/>
    <s v="Joint Tenant"/>
    <x v="169"/>
    <n v="-31.04"/>
    <x v="26"/>
    <m/>
    <m/>
    <m/>
    <n v="31.04"/>
    <b v="0"/>
    <m/>
    <m/>
    <s v="+"/>
    <x v="168"/>
    <s v="Create Rule; and Description='PROCTER &amp; GAMBLE';Dividend"/>
    <m/>
  </r>
  <r>
    <x v="18"/>
    <d v="2020-11-30T00:00:00"/>
    <s v="Joint Tenant"/>
    <x v="169"/>
    <n v="31.04"/>
    <x v="26"/>
    <m/>
    <m/>
    <m/>
    <n v="31.04"/>
    <b v="0"/>
    <m/>
    <m/>
    <s v="-"/>
    <x v="168"/>
    <s v="Create Rule; and Description='PROCTER &amp; GAMBLE';Dividend"/>
    <m/>
  </r>
  <r>
    <x v="18"/>
    <d v="2020-11-30T00:00:00"/>
    <s v="Cash Rewards Visa Signature"/>
    <x v="1115"/>
    <n v="49.99"/>
    <x v="26"/>
    <m/>
    <m/>
    <m/>
    <n v="49.99"/>
    <b v="0"/>
    <m/>
    <m/>
    <s v="-"/>
    <x v="1062"/>
    <s v="Create Rule; and Description Like '%Rally House%';Shopping"/>
    <m/>
  </r>
  <r>
    <x v="18"/>
    <d v="2020-11-30T00:00:00"/>
    <s v="Cash Rewards Visa Signature"/>
    <x v="1116"/>
    <n v="38.950000000000003"/>
    <x v="26"/>
    <m/>
    <m/>
    <m/>
    <n v="38.950000000000003"/>
    <b v="0"/>
    <m/>
    <m/>
    <s v="-"/>
    <x v="1063"/>
    <s v="Manual"/>
    <m/>
  </r>
  <r>
    <x v="18"/>
    <d v="2020-11-30T00:00:00"/>
    <s v="Joint Tenant"/>
    <x v="19"/>
    <n v="200"/>
    <x v="26"/>
    <m/>
    <m/>
    <m/>
    <n v="200"/>
    <b v="0"/>
    <m/>
    <m/>
    <s v="-"/>
    <x v="19"/>
    <s v="Delete; and Description='SCHWAB S&amp;P 500 INDEX FD' and inflowoutflow='-';0"/>
    <m/>
  </r>
  <r>
    <x v="18"/>
    <d v="2020-11-30T00:00:00"/>
    <s v="Joint Tenant"/>
    <x v="20"/>
    <n v="200"/>
    <x v="26"/>
    <m/>
    <m/>
    <m/>
    <n v="200"/>
    <b v="0"/>
    <m/>
    <m/>
    <s v="-"/>
    <x v="20"/>
    <s v="Delete; and Description='SCHWAB TOTAL STOCK MKT INDEX' and inflowoutflow='-';0"/>
    <m/>
  </r>
  <r>
    <x v="18"/>
    <d v="2020-11-30T00:00:00"/>
    <s v="Joint Tenant"/>
    <x v="271"/>
    <n v="500"/>
    <x v="26"/>
    <m/>
    <m/>
    <m/>
    <n v="500"/>
    <b v="0"/>
    <m/>
    <m/>
    <s v="-"/>
    <x v="267"/>
    <s v="Delete; and Description='SCHWAB US LARGE CAP GROWTH INDEX FD' and inflowoutflow='-';0"/>
    <m/>
  </r>
  <r>
    <x v="18"/>
    <d v="2020-11-30T00:00:00"/>
    <s v="RAINY DAY"/>
    <x v="515"/>
    <n v="-300"/>
    <x v="26"/>
    <m/>
    <m/>
    <m/>
    <n v="300"/>
    <b v="0"/>
    <m/>
    <m/>
    <s v="+"/>
    <x v="496"/>
    <s v="Create Rule; and Description='Share';Delete"/>
    <m/>
  </r>
  <r>
    <x v="18"/>
    <d v="2020-11-30T00:00:00"/>
    <s v="RAINY DAY"/>
    <x v="515"/>
    <n v="-200"/>
    <x v="26"/>
    <m/>
    <m/>
    <m/>
    <n v="200"/>
    <b v="0"/>
    <m/>
    <m/>
    <s v="+"/>
    <x v="496"/>
    <s v="Create Rule; and Description='Share';Delete"/>
    <m/>
  </r>
  <r>
    <x v="18"/>
    <d v="2020-11-30T00:00:00"/>
    <s v="Cash Rewards Visa Signature"/>
    <x v="693"/>
    <n v="26.98"/>
    <x v="26"/>
    <m/>
    <m/>
    <m/>
    <n v="26.98"/>
    <b v="0"/>
    <m/>
    <m/>
    <s v="-"/>
    <x v="669"/>
    <s v="Manual"/>
    <m/>
  </r>
  <r>
    <x v="18"/>
    <d v="2020-11-30T00:00:00"/>
    <s v="Cash Rewards Visa Signature"/>
    <x v="838"/>
    <n v="170.27"/>
    <x v="29"/>
    <m/>
    <m/>
    <m/>
    <n v="170.27"/>
    <b v="0"/>
    <m/>
    <m/>
    <s v="-"/>
    <x v="806"/>
    <s v="Manual"/>
    <m/>
  </r>
  <r>
    <x v="18"/>
    <d v="2020-11-30T00:00:00"/>
    <s v="Cash Rewards Visa Signature"/>
    <x v="750"/>
    <n v="39.25"/>
    <x v="25"/>
    <m/>
    <m/>
    <m/>
    <n v="39.25"/>
    <b v="0"/>
    <m/>
    <m/>
    <s v="-"/>
    <x v="723"/>
    <s v="Manual"/>
    <m/>
  </r>
  <r>
    <x v="18"/>
    <d v="2020-11-30T00:00:00"/>
    <s v="Cash Rewards Visa Signature"/>
    <x v="2"/>
    <n v="20.41"/>
    <x v="2"/>
    <m/>
    <m/>
    <m/>
    <n v="20.41"/>
    <b v="0"/>
    <m/>
    <m/>
    <s v="-"/>
    <x v="2"/>
    <s v="Create Rule; and Description='Speedway';Transportation"/>
    <m/>
  </r>
  <r>
    <x v="18"/>
    <d v="2020-11-30T00:00:00"/>
    <s v="Cash Rewards Visa Signature"/>
    <x v="2"/>
    <n v="29.46"/>
    <x v="2"/>
    <m/>
    <m/>
    <m/>
    <n v="29.46"/>
    <b v="0"/>
    <m/>
    <m/>
    <s v="-"/>
    <x v="2"/>
    <s v="Create Rule; and Description='Speedway';Transportation"/>
    <m/>
  </r>
  <r>
    <x v="18"/>
    <d v="2020-11-30T00:00:00"/>
    <s v="Cash Rewards Visa Signature"/>
    <x v="2"/>
    <n v="25.56"/>
    <x v="2"/>
    <m/>
    <m/>
    <m/>
    <n v="25.56"/>
    <b v="0"/>
    <m/>
    <m/>
    <s v="-"/>
    <x v="2"/>
    <s v="Create Rule; and Description='Speedway';Transportation"/>
    <m/>
  </r>
  <r>
    <x v="18"/>
    <d v="2020-11-30T00:00:00"/>
    <s v="RAINY DAY"/>
    <x v="119"/>
    <n v="-12.31"/>
    <x v="26"/>
    <m/>
    <m/>
    <m/>
    <n v="12.31"/>
    <b v="0"/>
    <m/>
    <m/>
    <s v="+"/>
    <x v="119"/>
    <s v="Create Rule; and Description='Split Rate Apy';Inc - Other"/>
    <m/>
  </r>
  <r>
    <x v="18"/>
    <d v="2020-11-30T00:00:00"/>
    <s v="POWERPLUS"/>
    <x v="119"/>
    <n v="-15.53"/>
    <x v="26"/>
    <m/>
    <m/>
    <m/>
    <n v="15.53"/>
    <b v="0"/>
    <m/>
    <m/>
    <s v="+"/>
    <x v="119"/>
    <s v="Create Rule; and Description='Split Rate Apy';Inc - Other"/>
    <m/>
  </r>
  <r>
    <x v="18"/>
    <d v="2020-11-30T00:00:00"/>
    <s v="Joint Tenant"/>
    <x v="190"/>
    <n v="-20.83"/>
    <x v="26"/>
    <m/>
    <m/>
    <m/>
    <n v="20.83"/>
    <b v="0"/>
    <m/>
    <m/>
    <s v="+"/>
    <x v="189"/>
    <s v="Create Rule; and Description='STARBUCKS CORP';Restaurants"/>
    <m/>
  </r>
  <r>
    <x v="18"/>
    <d v="2020-11-30T00:00:00"/>
    <s v="Joint Tenant"/>
    <x v="190"/>
    <n v="20.83"/>
    <x v="26"/>
    <m/>
    <m/>
    <m/>
    <n v="20.83"/>
    <b v="0"/>
    <m/>
    <m/>
    <s v="-"/>
    <x v="189"/>
    <s v="Create Rule; and Description='STARBUCKS CORP';Restaurants"/>
    <m/>
  </r>
  <r>
    <x v="18"/>
    <d v="2020-11-30T00:00:00"/>
    <s v="POWERPLUS"/>
    <x v="34"/>
    <n v="536.16999999999996"/>
    <x v="12"/>
    <m/>
    <m/>
    <m/>
    <n v="536.16999999999996"/>
    <b v="0"/>
    <m/>
    <m/>
    <s v="-"/>
    <x v="34"/>
    <s v="Create Rule; and Description='Target';Target"/>
    <m/>
  </r>
  <r>
    <x v="18"/>
    <d v="2020-11-30T00:00:00"/>
    <s v="Cash Rewards Visa Signature"/>
    <x v="34"/>
    <n v="14.44"/>
    <x v="12"/>
    <m/>
    <m/>
    <m/>
    <n v="14.44"/>
    <b v="0"/>
    <m/>
    <m/>
    <s v="-"/>
    <x v="34"/>
    <s v="Create Rule; and Description='Target';Target"/>
    <m/>
  </r>
  <r>
    <x v="18"/>
    <d v="2020-11-30T00:00:00"/>
    <s v="Contributory"/>
    <x v="51"/>
    <n v="-231"/>
    <x v="26"/>
    <m/>
    <m/>
    <m/>
    <n v="231"/>
    <b v="0"/>
    <m/>
    <m/>
    <s v="+"/>
    <x v="51"/>
    <s v="Create Rule; and Description='Tfr JPMORGAN CHASE BAN, CARGILL COCOA &amp;';Roth"/>
    <m/>
  </r>
  <r>
    <x v="18"/>
    <d v="2020-11-30T00:00:00"/>
    <s v="Contributory"/>
    <x v="51"/>
    <n v="-231"/>
    <x v="26"/>
    <m/>
    <m/>
    <m/>
    <n v="231"/>
    <b v="0"/>
    <m/>
    <m/>
    <s v="+"/>
    <x v="51"/>
    <s v="Create Rule; and Description='Tfr JPMORGAN CHASE BAN, CARGILL COCOA &amp;';Roth"/>
    <m/>
  </r>
  <r>
    <x v="18"/>
    <d v="2020-11-30T00:00:00"/>
    <s v="Jeff IRA"/>
    <x v="951"/>
    <n v="-250"/>
    <x v="26"/>
    <m/>
    <m/>
    <m/>
    <n v="250"/>
    <b v="0"/>
    <m/>
    <m/>
    <s v="+"/>
    <x v="914"/>
    <s v="Create Rule; and Description Like '%CONNECTED ANALYT%';Inc - Jeff"/>
    <m/>
  </r>
  <r>
    <x v="18"/>
    <d v="2020-11-30T00:00:00"/>
    <s v="Jeff IRA"/>
    <x v="951"/>
    <n v="-250"/>
    <x v="26"/>
    <m/>
    <m/>
    <m/>
    <n v="250"/>
    <b v="0"/>
    <m/>
    <m/>
    <s v="+"/>
    <x v="914"/>
    <s v="Create Rule; and Description Like '%CONNECTED ANALYT%';Inc - Jeff"/>
    <m/>
  </r>
  <r>
    <x v="18"/>
    <d v="2020-11-30T00:00:00"/>
    <s v="Cash Rewards Visa Signature"/>
    <x v="1117"/>
    <n v="122.04"/>
    <x v="26"/>
    <m/>
    <m/>
    <m/>
    <n v="122.04"/>
    <b v="0"/>
    <m/>
    <m/>
    <s v="-"/>
    <x v="1064"/>
    <s v="Manual"/>
    <m/>
  </r>
  <r>
    <x v="18"/>
    <d v="2020-11-30T00:00:00"/>
    <s v="Cash Rewards Visa Signature"/>
    <x v="668"/>
    <n v="86.23"/>
    <x v="26"/>
    <m/>
    <m/>
    <m/>
    <n v="86.23"/>
    <b v="0"/>
    <m/>
    <m/>
    <s v="-"/>
    <x v="646"/>
    <s v="Create Rule; and Description='TJ Maxx';Shopping"/>
    <m/>
  </r>
  <r>
    <x v="18"/>
    <d v="2020-11-30T00:00:00"/>
    <s v="POWERPLUS"/>
    <x v="952"/>
    <n v="300"/>
    <x v="26"/>
    <m/>
    <m/>
    <m/>
    <n v="300"/>
    <b v="0"/>
    <m/>
    <m/>
    <s v="-"/>
    <x v="915"/>
    <s v="Create Rule; and Description='To Share 12';Delete"/>
    <m/>
  </r>
  <r>
    <x v="18"/>
    <d v="2020-11-30T00:00:00"/>
    <s v="POWERPLUS"/>
    <x v="952"/>
    <n v="200"/>
    <x v="26"/>
    <m/>
    <m/>
    <m/>
    <n v="200"/>
    <b v="0"/>
    <m/>
    <m/>
    <s v="-"/>
    <x v="915"/>
    <s v="Create Rule; and Description='To Share 12';Delete"/>
    <m/>
  </r>
  <r>
    <x v="18"/>
    <d v="2020-11-30T00:00:00"/>
    <s v="Cash Rewards Visa Signature"/>
    <x v="53"/>
    <n v="125.06"/>
    <x v="26"/>
    <m/>
    <m/>
    <m/>
    <n v="125.06"/>
    <b v="0"/>
    <m/>
    <m/>
    <s v="-"/>
    <x v="53"/>
    <s v="Create Rule; and Description='Total Wine and More';Groceries"/>
    <m/>
  </r>
  <r>
    <x v="18"/>
    <d v="2020-11-30T00:00:00"/>
    <s v="Cash Rewards Visa Signature"/>
    <x v="53"/>
    <n v="154.12"/>
    <x v="26"/>
    <m/>
    <m/>
    <m/>
    <n v="154.12"/>
    <b v="0"/>
    <m/>
    <m/>
    <s v="-"/>
    <x v="53"/>
    <s v="Create Rule; and Description='Total Wine and More';Groceries"/>
    <m/>
  </r>
  <r>
    <x v="18"/>
    <d v="2020-11-30T00:00:00"/>
    <s v="Cash Rewards Visa Signature"/>
    <x v="775"/>
    <n v="47.28"/>
    <x v="26"/>
    <m/>
    <m/>
    <m/>
    <n v="47.28"/>
    <b v="0"/>
    <m/>
    <m/>
    <s v="-"/>
    <x v="747"/>
    <s v="Create Rule; and Description='True Value';House Maintenance"/>
    <m/>
  </r>
  <r>
    <x v="18"/>
    <d v="2020-11-30T00:00:00"/>
    <s v="Cash Rewards Visa Signature"/>
    <x v="775"/>
    <n v="17.2"/>
    <x v="26"/>
    <m/>
    <m/>
    <m/>
    <n v="17.2"/>
    <b v="0"/>
    <m/>
    <m/>
    <s v="-"/>
    <x v="747"/>
    <s v="Create Rule; and Description='True Value';House Maintenance"/>
    <m/>
  </r>
  <r>
    <x v="18"/>
    <d v="2020-11-30T00:00:00"/>
    <s v="Cash Rewards Visa Signature"/>
    <x v="1024"/>
    <n v="48.22"/>
    <x v="26"/>
    <m/>
    <m/>
    <m/>
    <n v="48.22"/>
    <b v="0"/>
    <m/>
    <m/>
    <s v="-"/>
    <x v="980"/>
    <s v="Create Rule; and Description Like '%TST OLIVE S FRESH%';Restaurants"/>
    <m/>
  </r>
  <r>
    <x v="18"/>
    <d v="2020-11-30T00:00:00"/>
    <s v="Cash Rewards Visa Signature"/>
    <x v="1079"/>
    <n v="1.75"/>
    <x v="26"/>
    <m/>
    <m/>
    <m/>
    <n v="1.75"/>
    <b v="0"/>
    <m/>
    <m/>
    <s v="-"/>
    <x v="1029"/>
    <s v="Manual"/>
    <m/>
  </r>
  <r>
    <x v="18"/>
    <d v="2020-11-30T00:00:00"/>
    <s v="Joint Tenant"/>
    <x v="611"/>
    <n v="-5.55"/>
    <x v="26"/>
    <m/>
    <m/>
    <m/>
    <n v="5.55"/>
    <b v="0"/>
    <m/>
    <m/>
    <s v="+"/>
    <x v="590"/>
    <s v="Delete; and Source='Joint Tenant';0"/>
    <m/>
  </r>
  <r>
    <x v="18"/>
    <d v="2020-11-30T00:00:00"/>
    <s v="POWERPLUS"/>
    <x v="29"/>
    <n v="91.06"/>
    <x v="8"/>
    <m/>
    <m/>
    <m/>
    <n v="91.06"/>
    <b v="0"/>
    <m/>
    <m/>
    <s v="-"/>
    <x v="29"/>
    <s v="Manual"/>
    <m/>
  </r>
  <r>
    <x v="18"/>
    <d v="2020-11-30T00:00:00"/>
    <s v="POWERPLUS"/>
    <x v="29"/>
    <n v="100"/>
    <x v="8"/>
    <m/>
    <m/>
    <m/>
    <n v="100"/>
    <b v="0"/>
    <m/>
    <m/>
    <s v="-"/>
    <x v="29"/>
    <s v="Manual"/>
    <m/>
  </r>
  <r>
    <x v="18"/>
    <d v="2020-11-30T00:00:00"/>
    <s v="POWERPLUS"/>
    <x v="29"/>
    <n v="155"/>
    <x v="8"/>
    <m/>
    <m/>
    <m/>
    <n v="155"/>
    <b v="0"/>
    <m/>
    <m/>
    <s v="-"/>
    <x v="29"/>
    <s v="Manual"/>
    <m/>
  </r>
  <r>
    <x v="18"/>
    <d v="2020-11-30T00:00:00"/>
    <s v="Cash Rewards Visa Signature"/>
    <x v="55"/>
    <n v="41.48"/>
    <x v="5"/>
    <m/>
    <m/>
    <m/>
    <n v="41.48"/>
    <b v="0"/>
    <m/>
    <m/>
    <s v="-"/>
    <x v="55"/>
    <s v="Create Rule; and Description='Walgreens';Shopping"/>
    <m/>
  </r>
  <r>
    <x v="18"/>
    <d v="2020-11-30T00:00:00"/>
    <s v="Cash Rewards Visa Signature"/>
    <x v="448"/>
    <n v="-63"/>
    <x v="30"/>
    <m/>
    <m/>
    <m/>
    <n v="63"/>
    <b v="0"/>
    <m/>
    <m/>
    <s v="+"/>
    <x v="432"/>
    <s v="Create Rule; and Description='Wayfair';Shopping"/>
    <m/>
  </r>
  <r>
    <x v="18"/>
    <d v="2020-11-30T00:00:00"/>
    <s v="Cash Rewards Visa Signature"/>
    <x v="448"/>
    <n v="74.08"/>
    <x v="30"/>
    <m/>
    <m/>
    <m/>
    <n v="74.08"/>
    <b v="0"/>
    <m/>
    <m/>
    <s v="-"/>
    <x v="432"/>
    <s v="Create Rule; and Description='Wayfair';Shopping"/>
    <m/>
  </r>
  <r>
    <x v="18"/>
    <d v="2020-11-30T00:00:00"/>
    <s v="Cash Rewards Visa Signature"/>
    <x v="936"/>
    <n v="-306.55"/>
    <x v="26"/>
    <m/>
    <m/>
    <m/>
    <n v="306.55"/>
    <b v="0"/>
    <m/>
    <m/>
    <s v="+"/>
    <x v="900"/>
    <s v="Delete; and Description Like '%PAYMENT THANK YOU%';0"/>
    <m/>
  </r>
  <r>
    <x v="18"/>
    <d v="2020-11-30T00:00:00"/>
    <s v="Cash Rewards Visa Signature"/>
    <x v="936"/>
    <n v="-758.72"/>
    <x v="26"/>
    <m/>
    <m/>
    <m/>
    <n v="758.72"/>
    <b v="0"/>
    <m/>
    <m/>
    <s v="+"/>
    <x v="900"/>
    <s v="Delete; and Description Like '%PAYMENT THANK YOU%';0"/>
    <m/>
  </r>
  <r>
    <x v="18"/>
    <d v="2020-11-30T00:00:00"/>
    <s v="Cash Rewards Visa Signature"/>
    <x v="936"/>
    <n v="-314.57"/>
    <x v="26"/>
    <m/>
    <m/>
    <m/>
    <n v="314.57"/>
    <b v="0"/>
    <m/>
    <m/>
    <s v="+"/>
    <x v="900"/>
    <s v="Delete; and Description Like '%PAYMENT THANK YOU%';0"/>
    <m/>
  </r>
  <r>
    <x v="18"/>
    <d v="2020-11-30T00:00:00"/>
    <s v="Cash Rewards Visa Signature"/>
    <x v="936"/>
    <n v="-611.55999999999995"/>
    <x v="26"/>
    <m/>
    <m/>
    <m/>
    <n v="611.55999999999995"/>
    <b v="0"/>
    <m/>
    <m/>
    <s v="+"/>
    <x v="900"/>
    <s v="Delete; and Description Like '%PAYMENT THANK YOU%';0"/>
    <m/>
  </r>
  <r>
    <x v="18"/>
    <d v="2020-11-30T00:00:00"/>
    <s v="POWERPLUS"/>
    <x v="937"/>
    <n v="306.55"/>
    <x v="26"/>
    <m/>
    <m/>
    <m/>
    <n v="306.55"/>
    <b v="0"/>
    <m/>
    <m/>
    <s v="-"/>
    <x v="901"/>
    <s v="Delete; and Description Like '%Withdrawal Home payment to card%';0"/>
    <m/>
  </r>
  <r>
    <x v="18"/>
    <d v="2020-11-30T00:00:00"/>
    <s v="POWERPLUS"/>
    <x v="937"/>
    <n v="758.72"/>
    <x v="26"/>
    <m/>
    <m/>
    <m/>
    <n v="758.72"/>
    <b v="0"/>
    <m/>
    <m/>
    <s v="-"/>
    <x v="901"/>
    <s v="Delete; and Description Like '%Withdrawal Home payment to card%';0"/>
    <m/>
  </r>
  <r>
    <x v="18"/>
    <d v="2020-11-30T00:00:00"/>
    <s v="POWERPLUS"/>
    <x v="937"/>
    <n v="314.57"/>
    <x v="26"/>
    <m/>
    <m/>
    <m/>
    <n v="314.57"/>
    <b v="0"/>
    <m/>
    <m/>
    <s v="-"/>
    <x v="901"/>
    <s v="Delete; and Description Like '%Withdrawal Home payment to card%';0"/>
    <m/>
  </r>
  <r>
    <x v="18"/>
    <d v="2020-11-30T00:00:00"/>
    <s v="POWERPLUS"/>
    <x v="937"/>
    <n v="611.55999999999995"/>
    <x v="26"/>
    <m/>
    <m/>
    <m/>
    <n v="611.55999999999995"/>
    <b v="0"/>
    <m/>
    <m/>
    <s v="-"/>
    <x v="901"/>
    <s v="Delete; and Description Like '%Withdrawal Home payment to card%';0"/>
    <m/>
  </r>
  <r>
    <x v="20"/>
    <d v="2020-12-01T00:00:00"/>
    <s v="30 YR FIXED"/>
    <x v="935"/>
    <n v="-716.73"/>
    <x v="3"/>
    <m/>
    <m/>
    <m/>
    <n v="716.73"/>
    <b v="0"/>
    <m/>
    <m/>
    <s v="+"/>
    <x v="899"/>
    <s v="Create Rule; and Description='PAYMENT';Delete"/>
    <m/>
  </r>
  <r>
    <x v="20"/>
    <d v="2020-12-01T00:00:00"/>
    <s v="Cash Rewards Visa Signature"/>
    <x v="0"/>
    <n v="27.88"/>
    <x v="0"/>
    <m/>
    <m/>
    <m/>
    <n v="27.88"/>
    <b v="0"/>
    <m/>
    <m/>
    <s v="-"/>
    <x v="0"/>
    <s v="Create Rule; and Description='Amazon';Amazon"/>
    <m/>
  </r>
  <r>
    <x v="23"/>
    <d v="2024-06-26T00:00:00"/>
    <s v="Powerplus - Ending in 8s30"/>
    <x v="1118"/>
    <n v="550"/>
    <x v="19"/>
    <m/>
    <s v="Exp - House Maint"/>
    <s v="front door"/>
    <m/>
    <m/>
    <m/>
    <m/>
    <m/>
    <x v="1065"/>
    <m/>
    <m/>
  </r>
  <r>
    <x v="20"/>
    <d v="2020-12-01T00:00:00"/>
    <s v="Joint Tenant"/>
    <x v="245"/>
    <n v="882.5"/>
    <x v="26"/>
    <m/>
    <m/>
    <m/>
    <n v="882.5"/>
    <b v="0"/>
    <m/>
    <m/>
    <s v="-"/>
    <x v="243"/>
    <s v="Create Rule; and Description='CHEVRON CORP';Dividend"/>
    <m/>
  </r>
  <r>
    <x v="20"/>
    <d v="2020-12-01T00:00:00"/>
    <s v="POWERPLUS"/>
    <x v="1119"/>
    <n v="200"/>
    <x v="26"/>
    <m/>
    <m/>
    <m/>
    <n v="200"/>
    <b v="0"/>
    <m/>
    <m/>
    <s v="-"/>
    <x v="16"/>
    <s v="Create Rule; and Description Like '%College Savings%';College Savings"/>
    <m/>
  </r>
  <r>
    <x v="20"/>
    <d v="2020-12-01T00:00:00"/>
    <s v="HIGHLANDER"/>
    <x v="976"/>
    <n v="-579.03"/>
    <x v="26"/>
    <m/>
    <m/>
    <m/>
    <n v="579.03"/>
    <b v="0"/>
    <m/>
    <m/>
    <s v="+"/>
    <x v="936"/>
    <s v="Create Rule; and Description='From Share 70';Delete"/>
    <m/>
  </r>
  <r>
    <x v="20"/>
    <d v="2020-12-01T00:00:00"/>
    <s v="Cash Rewards Visa Signature"/>
    <x v="1120"/>
    <n v="42.38"/>
    <x v="26"/>
    <m/>
    <m/>
    <m/>
    <n v="42.38"/>
    <b v="0"/>
    <m/>
    <m/>
    <s v="-"/>
    <x v="1066"/>
    <s v="Manual"/>
    <m/>
  </r>
  <r>
    <x v="20"/>
    <d v="2020-12-01T00:00:00"/>
    <s v="Cash Rewards Visa Signature"/>
    <x v="60"/>
    <n v="21.84"/>
    <x v="26"/>
    <m/>
    <m/>
    <m/>
    <n v="21.84"/>
    <b v="0"/>
    <m/>
    <m/>
    <s v="-"/>
    <x v="60"/>
    <s v="Create Rule; and Description='Home Depot';House Maintenance"/>
    <m/>
  </r>
  <r>
    <x v="20"/>
    <d v="2020-12-01T00:00:00"/>
    <s v="Joint Tenant"/>
    <x v="187"/>
    <n v="-28.03"/>
    <x v="26"/>
    <m/>
    <m/>
    <m/>
    <n v="28.03"/>
    <b v="0"/>
    <m/>
    <m/>
    <s v="+"/>
    <x v="186"/>
    <s v="Create Rule; and Description='INTEL CORP';Dividend"/>
    <m/>
  </r>
  <r>
    <x v="20"/>
    <d v="2020-12-01T00:00:00"/>
    <s v="Cash Rewards Visa Signature"/>
    <x v="1121"/>
    <n v="48.8"/>
    <x v="8"/>
    <m/>
    <m/>
    <m/>
    <n v="48.8"/>
    <b v="0"/>
    <m/>
    <m/>
    <s v="-"/>
    <x v="1067"/>
    <s v="Create Rule; and Description Like '%Kohl%';Shopping"/>
    <m/>
  </r>
  <r>
    <x v="20"/>
    <d v="2020-12-01T00:00:00"/>
    <s v="POWERPLUS"/>
    <x v="1122"/>
    <n v="391.2"/>
    <x v="26"/>
    <m/>
    <m/>
    <m/>
    <n v="391.2"/>
    <b v="0"/>
    <m/>
    <m/>
    <s v="-"/>
    <x v="1068"/>
    <s v="Create Rule; and Description Like '%MHCHILDCARELLC%';Day Care"/>
    <m/>
  </r>
  <r>
    <x v="20"/>
    <d v="2020-12-01T00:00:00"/>
    <s v="POWERPLUS"/>
    <x v="157"/>
    <n v="65.44"/>
    <x v="8"/>
    <m/>
    <m/>
    <m/>
    <n v="65.44"/>
    <b v="0"/>
    <m/>
    <m/>
    <s v="-"/>
    <x v="156"/>
    <s v="Create Rule; and Description Like '%PayPal%';Shopping"/>
    <m/>
  </r>
  <r>
    <x v="20"/>
    <d v="2020-12-01T00:00:00"/>
    <s v="30 YR FIXED"/>
    <x v="1085"/>
    <n v="-431"/>
    <x v="26"/>
    <m/>
    <m/>
    <m/>
    <n v="431"/>
    <b v="0"/>
    <m/>
    <m/>
    <s v="+"/>
    <x v="1034"/>
    <s v="Create Rule; and Description='Principal Curtailment';Delete"/>
    <m/>
  </r>
  <r>
    <x v="20"/>
    <d v="2020-12-01T00:00:00"/>
    <s v="Cash Rewards Visa Signature"/>
    <x v="1123"/>
    <n v="204.95"/>
    <x v="26"/>
    <m/>
    <m/>
    <m/>
    <n v="204.95"/>
    <b v="0"/>
    <m/>
    <m/>
    <s v="-"/>
    <x v="1069"/>
    <s v="Create Rule; and Description Like '%REDCOWMNCOM%';Restaurants"/>
    <m/>
  </r>
  <r>
    <x v="20"/>
    <d v="2020-12-01T00:00:00"/>
    <s v="POWERPLUS"/>
    <x v="979"/>
    <n v="618.65"/>
    <x v="26"/>
    <m/>
    <m/>
    <m/>
    <n v="618.65"/>
    <b v="0"/>
    <m/>
    <m/>
    <s v="-"/>
    <x v="939"/>
    <s v="Create Rule; and Description Like '%To Loan 02%';Car Loan"/>
    <m/>
  </r>
  <r>
    <x v="20"/>
    <d v="2020-12-01T00:00:00"/>
    <s v="Joint Tenant"/>
    <x v="138"/>
    <n v="-26.93"/>
    <x v="26"/>
    <m/>
    <m/>
    <m/>
    <n v="26.93"/>
    <b v="0"/>
    <m/>
    <m/>
    <s v="+"/>
    <x v="137"/>
    <s v="Create Rule; and Description='VISA INC CLASS A';Dividend"/>
    <m/>
  </r>
  <r>
    <x v="20"/>
    <d v="2020-12-02T00:00:00"/>
    <s v="Cash Rewards Visa Signature"/>
    <x v="598"/>
    <n v="4.28"/>
    <x v="10"/>
    <m/>
    <m/>
    <m/>
    <n v="4.28"/>
    <b v="0"/>
    <m/>
    <m/>
    <s v="-"/>
    <x v="579"/>
    <s v="Create Rule; and Description='Amazon Music';Entertainment"/>
    <m/>
  </r>
  <r>
    <x v="20"/>
    <d v="2020-12-02T00:00:00"/>
    <s v="Cash Rewards Visa Signature"/>
    <x v="1120"/>
    <n v="8.4700000000000006"/>
    <x v="26"/>
    <m/>
    <m/>
    <m/>
    <n v="8.4700000000000006"/>
    <b v="0"/>
    <m/>
    <m/>
    <s v="-"/>
    <x v="1066"/>
    <s v="Manual"/>
    <m/>
  </r>
  <r>
    <x v="20"/>
    <d v="2020-12-02T00:00:00"/>
    <s v="Joint Tenant"/>
    <x v="187"/>
    <n v="28.03"/>
    <x v="26"/>
    <m/>
    <m/>
    <m/>
    <n v="28.03"/>
    <b v="0"/>
    <m/>
    <m/>
    <s v="-"/>
    <x v="186"/>
    <s v="Create Rule; and Description='INTEL CORP';Dividend"/>
    <m/>
  </r>
  <r>
    <x v="20"/>
    <d v="2020-12-02T00:00:00"/>
    <s v="Cash Rewards Visa Signature"/>
    <x v="183"/>
    <n v="50"/>
    <x v="26"/>
    <m/>
    <m/>
    <m/>
    <n v="50"/>
    <b v="0"/>
    <m/>
    <m/>
    <s v="-"/>
    <x v="182"/>
    <s v="Create Rule; and Description='North Face';Shopping"/>
    <m/>
  </r>
  <r>
    <x v="20"/>
    <d v="2020-12-02T00:00:00"/>
    <s v="Cash Rewards Visa Signature"/>
    <x v="948"/>
    <n v="39.42"/>
    <x v="26"/>
    <m/>
    <m/>
    <m/>
    <n v="39.42"/>
    <b v="0"/>
    <m/>
    <m/>
    <s v="-"/>
    <x v="911"/>
    <s v="Manual"/>
    <m/>
  </r>
  <r>
    <x v="20"/>
    <d v="2020-12-02T00:00:00"/>
    <s v="Cash Rewards Visa Signature"/>
    <x v="838"/>
    <n v="26.95"/>
    <x v="29"/>
    <m/>
    <m/>
    <m/>
    <n v="26.95"/>
    <b v="0"/>
    <m/>
    <m/>
    <s v="-"/>
    <x v="806"/>
    <s v="Manual"/>
    <m/>
  </r>
  <r>
    <x v="20"/>
    <d v="2020-12-02T00:00:00"/>
    <s v="Cash Rewards Visa Signature"/>
    <x v="838"/>
    <n v="54.5"/>
    <x v="29"/>
    <m/>
    <m/>
    <m/>
    <n v="54.5"/>
    <b v="0"/>
    <m/>
    <m/>
    <s v="-"/>
    <x v="806"/>
    <s v="Manual"/>
    <m/>
  </r>
  <r>
    <x v="20"/>
    <d v="2020-12-02T00:00:00"/>
    <s v="Cash Rewards Visa Signature"/>
    <x v="1124"/>
    <n v="52.4"/>
    <x v="26"/>
    <m/>
    <m/>
    <m/>
    <n v="52.4"/>
    <b v="0"/>
    <m/>
    <m/>
    <s v="-"/>
    <x v="1070"/>
    <s v="Manual"/>
    <m/>
  </r>
  <r>
    <x v="20"/>
    <d v="2020-12-02T00:00:00"/>
    <s v="Cash Rewards Visa Signature"/>
    <x v="1045"/>
    <n v="83"/>
    <x v="26"/>
    <m/>
    <m/>
    <m/>
    <n v="83"/>
    <b v="0"/>
    <m/>
    <m/>
    <s v="-"/>
    <x v="998"/>
    <s v="Manual"/>
    <m/>
  </r>
  <r>
    <x v="20"/>
    <d v="2020-12-02T00:00:00"/>
    <s v="Joint Tenant"/>
    <x v="138"/>
    <n v="26.93"/>
    <x v="26"/>
    <m/>
    <m/>
    <m/>
    <n v="26.93"/>
    <b v="0"/>
    <m/>
    <m/>
    <s v="-"/>
    <x v="137"/>
    <s v="Create Rule; and Description='VISA INC CLASS A';Dividend"/>
    <m/>
  </r>
  <r>
    <x v="20"/>
    <d v="2020-12-03T00:00:00"/>
    <s v="Cash Rewards Visa Signature"/>
    <x v="936"/>
    <n v="-878.75"/>
    <x v="26"/>
    <m/>
    <m/>
    <m/>
    <n v="878.75"/>
    <b v="0"/>
    <m/>
    <m/>
    <s v="+"/>
    <x v="900"/>
    <s v="Delete; and Description Like '%PAYMENT THANK YOU%';0"/>
    <m/>
  </r>
  <r>
    <x v="20"/>
    <d v="2020-12-03T00:00:00"/>
    <s v="POWERPLUS"/>
    <x v="937"/>
    <n v="878.75"/>
    <x v="26"/>
    <m/>
    <m/>
    <m/>
    <n v="878.75"/>
    <b v="0"/>
    <m/>
    <m/>
    <s v="-"/>
    <x v="901"/>
    <s v="Delete; and Description Like '%Withdrawal Home payment to card%';0"/>
    <m/>
  </r>
  <r>
    <x v="20"/>
    <d v="2020-12-03T00:00:00"/>
    <s v="Cash Rewards Visa Signature"/>
    <x v="1125"/>
    <n v="331.35"/>
    <x v="26"/>
    <m/>
    <m/>
    <m/>
    <n v="331.35"/>
    <b v="0"/>
    <m/>
    <m/>
    <s v="-"/>
    <x v="1071"/>
    <s v="Manual"/>
    <m/>
  </r>
  <r>
    <x v="20"/>
    <d v="2020-12-03T00:00:00"/>
    <s v="Cash Rewards Visa Signature"/>
    <x v="1092"/>
    <n v="18"/>
    <x v="26"/>
    <m/>
    <m/>
    <m/>
    <n v="18"/>
    <b v="0"/>
    <m/>
    <m/>
    <s v="-"/>
    <x v="1041"/>
    <s v="Manual"/>
    <m/>
  </r>
  <r>
    <x v="20"/>
    <d v="2020-12-03T00:00:00"/>
    <s v="Cash Rewards Visa Signature"/>
    <x v="1126"/>
    <n v="21.59"/>
    <x v="26"/>
    <m/>
    <m/>
    <m/>
    <n v="21.59"/>
    <b v="0"/>
    <m/>
    <m/>
    <s v="-"/>
    <x v="1072"/>
    <s v="Manual"/>
    <m/>
  </r>
  <r>
    <x v="20"/>
    <d v="2020-12-04T00:00:00"/>
    <s v="Discover"/>
    <x v="0"/>
    <n v="7.52"/>
    <x v="0"/>
    <m/>
    <m/>
    <m/>
    <n v="7.52"/>
    <b v="0"/>
    <m/>
    <m/>
    <s v="-"/>
    <x v="0"/>
    <s v="Create Rule; and Description='Amazon';Amazon"/>
    <m/>
  </r>
  <r>
    <x v="20"/>
    <d v="2020-12-04T00:00:00"/>
    <s v="Discover"/>
    <x v="0"/>
    <n v="-9.65"/>
    <x v="0"/>
    <m/>
    <m/>
    <m/>
    <n v="9.65"/>
    <b v="0"/>
    <m/>
    <m/>
    <s v="+"/>
    <x v="0"/>
    <s v="Create Rule; and Description='Amazon';Amazon"/>
    <m/>
  </r>
  <r>
    <x v="20"/>
    <d v="2020-12-04T00:00:00"/>
    <s v="Discover"/>
    <x v="0"/>
    <n v="14.66"/>
    <x v="0"/>
    <m/>
    <m/>
    <m/>
    <n v="14.66"/>
    <b v="0"/>
    <m/>
    <m/>
    <s v="-"/>
    <x v="0"/>
    <s v="Create Rule; and Description='Amazon';Amazon"/>
    <m/>
  </r>
  <r>
    <x v="20"/>
    <d v="2020-12-04T00:00:00"/>
    <s v="Discover"/>
    <x v="0"/>
    <n v="23.61"/>
    <x v="0"/>
    <m/>
    <m/>
    <m/>
    <n v="23.61"/>
    <b v="0"/>
    <m/>
    <m/>
    <s v="-"/>
    <x v="0"/>
    <s v="Create Rule; and Description='Amazon';Amazon"/>
    <m/>
  </r>
  <r>
    <x v="20"/>
    <d v="2020-12-04T00:00:00"/>
    <s v="Discover More Card"/>
    <x v="0"/>
    <n v="7.52"/>
    <x v="0"/>
    <m/>
    <m/>
    <m/>
    <n v="7.52"/>
    <b v="0"/>
    <m/>
    <m/>
    <s v="-"/>
    <x v="0"/>
    <s v="Create Rule; and Description='Amazon';Amazon"/>
    <m/>
  </r>
  <r>
    <x v="20"/>
    <d v="2020-12-04T00:00:00"/>
    <s v="Discover More Card"/>
    <x v="0"/>
    <n v="-9.65"/>
    <x v="0"/>
    <m/>
    <m/>
    <m/>
    <n v="9.65"/>
    <b v="0"/>
    <m/>
    <m/>
    <s v="+"/>
    <x v="0"/>
    <s v="Create Rule; and Description='Amazon';Amazon"/>
    <m/>
  </r>
  <r>
    <x v="20"/>
    <d v="2020-12-04T00:00:00"/>
    <s v="Discover More Card"/>
    <x v="0"/>
    <n v="14.66"/>
    <x v="0"/>
    <m/>
    <m/>
    <m/>
    <n v="14.66"/>
    <b v="0"/>
    <m/>
    <m/>
    <s v="-"/>
    <x v="0"/>
    <s v="Create Rule; and Description='Amazon';Amazon"/>
    <m/>
  </r>
  <r>
    <x v="20"/>
    <d v="2020-12-04T00:00:00"/>
    <s v="Discover More Card"/>
    <x v="0"/>
    <n v="23.61"/>
    <x v="0"/>
    <m/>
    <m/>
    <m/>
    <n v="23.61"/>
    <b v="0"/>
    <m/>
    <m/>
    <s v="-"/>
    <x v="0"/>
    <s v="Create Rule; and Description='Amazon';Amazon"/>
    <m/>
  </r>
  <r>
    <x v="20"/>
    <d v="2020-12-04T00:00:00"/>
    <s v="CARGILL PARTNERSHIP PLAN"/>
    <x v="684"/>
    <n v="-68.98"/>
    <x v="26"/>
    <m/>
    <m/>
    <m/>
    <n v="68.98"/>
    <b v="0"/>
    <m/>
    <m/>
    <s v="+"/>
    <x v="660"/>
    <m/>
    <m/>
  </r>
  <r>
    <x v="20"/>
    <d v="2020-12-04T00:00:00"/>
    <s v="CARGILL PARTNERSHIP PLAN"/>
    <x v="685"/>
    <n v="-68.98"/>
    <x v="26"/>
    <m/>
    <m/>
    <m/>
    <n v="68.98"/>
    <b v="0"/>
    <m/>
    <m/>
    <s v="+"/>
    <x v="661"/>
    <m/>
    <m/>
  </r>
  <r>
    <x v="20"/>
    <d v="2020-12-04T00:00:00"/>
    <s v="CARGILL PARTNERSHIP PLAN"/>
    <x v="686"/>
    <n v="-68.98"/>
    <x v="26"/>
    <m/>
    <m/>
    <m/>
    <n v="68.98"/>
    <b v="0"/>
    <m/>
    <m/>
    <s v="+"/>
    <x v="662"/>
    <m/>
    <m/>
  </r>
  <r>
    <x v="20"/>
    <d v="2020-12-04T00:00:00"/>
    <s v="Cash Rewards Visa Signature"/>
    <x v="1127"/>
    <n v="114.25"/>
    <x v="26"/>
    <m/>
    <m/>
    <m/>
    <n v="114.25"/>
    <b v="0"/>
    <m/>
    <m/>
    <s v="-"/>
    <x v="1073"/>
    <s v="Manual"/>
    <m/>
  </r>
  <r>
    <x v="20"/>
    <d v="2020-12-05T00:00:00"/>
    <s v="Discover"/>
    <x v="59"/>
    <n v="4.51"/>
    <x v="1"/>
    <m/>
    <m/>
    <m/>
    <n v="4.51"/>
    <b v="0"/>
    <m/>
    <m/>
    <s v="-"/>
    <x v="59"/>
    <s v="Create Rule; and Description Like '%Caribou Coffee%';Restaurants"/>
    <m/>
  </r>
  <r>
    <x v="20"/>
    <d v="2020-12-05T00:00:00"/>
    <s v="Discover More Card"/>
    <x v="59"/>
    <n v="4.51"/>
    <x v="1"/>
    <m/>
    <m/>
    <m/>
    <n v="4.51"/>
    <b v="0"/>
    <m/>
    <m/>
    <s v="-"/>
    <x v="59"/>
    <s v="Create Rule; and Description Like '%Caribou Coffee%';Restaurants"/>
    <m/>
  </r>
  <r>
    <x v="20"/>
    <d v="2020-12-06T00:00:00"/>
    <s v="Discover"/>
    <x v="0"/>
    <n v="123.74"/>
    <x v="0"/>
    <m/>
    <m/>
    <m/>
    <n v="123.74"/>
    <b v="0"/>
    <m/>
    <m/>
    <s v="-"/>
    <x v="0"/>
    <s v="Create Rule; and Description='Amazon';Amazon"/>
    <m/>
  </r>
  <r>
    <x v="20"/>
    <d v="2020-12-06T00:00:00"/>
    <s v="Discover More Card"/>
    <x v="0"/>
    <n v="123.74"/>
    <x v="0"/>
    <m/>
    <m/>
    <m/>
    <n v="123.74"/>
    <b v="0"/>
    <m/>
    <m/>
    <s v="-"/>
    <x v="0"/>
    <s v="Create Rule; and Description='Amazon';Amazon"/>
    <m/>
  </r>
  <r>
    <x v="20"/>
    <d v="2020-12-06T00:00:00"/>
    <s v="Cash Rewards Visa Signature"/>
    <x v="473"/>
    <n v="59.69"/>
    <x v="1"/>
    <m/>
    <m/>
    <m/>
    <n v="59.69"/>
    <b v="0"/>
    <m/>
    <m/>
    <s v="-"/>
    <x v="456"/>
    <s v="Create Rule; and Description Like '%Domino%';Restaurants"/>
    <m/>
  </r>
  <r>
    <x v="20"/>
    <d v="2020-12-06T00:00:00"/>
    <s v="Cash Rewards Visa Signature"/>
    <x v="237"/>
    <n v="8.6199999999999992"/>
    <x v="1"/>
    <m/>
    <m/>
    <m/>
    <n v="8.6199999999999992"/>
    <b v="0"/>
    <m/>
    <m/>
    <s v="-"/>
    <x v="235"/>
    <s v="Create Rule; and Description like '%McDonald%';Restaurants"/>
    <m/>
  </r>
  <r>
    <x v="20"/>
    <d v="2020-12-07T00:00:00"/>
    <s v="Cash Rewards Visa Signature"/>
    <x v="936"/>
    <n v="-553.5"/>
    <x v="26"/>
    <m/>
    <m/>
    <m/>
    <n v="553.5"/>
    <b v="0"/>
    <m/>
    <m/>
    <s v="+"/>
    <x v="900"/>
    <s v="Delete; and Description Like '%PAYMENT THANK YOU%';0"/>
    <m/>
  </r>
  <r>
    <x v="20"/>
    <d v="2020-12-07T00:00:00"/>
    <s v="POWERPLUS"/>
    <x v="937"/>
    <n v="553.5"/>
    <x v="26"/>
    <m/>
    <m/>
    <m/>
    <n v="553.5"/>
    <b v="0"/>
    <m/>
    <m/>
    <s v="-"/>
    <x v="901"/>
    <s v="Delete; and Description Like '%Withdrawal Home payment to card%';0"/>
    <m/>
  </r>
  <r>
    <x v="20"/>
    <d v="2020-12-07T00:00:00"/>
    <s v="Cash Rewards Visa Signature"/>
    <x v="6"/>
    <n v="253.65"/>
    <x v="5"/>
    <m/>
    <m/>
    <m/>
    <n v="253.65"/>
    <b v="0"/>
    <m/>
    <m/>
    <s v="-"/>
    <x v="6"/>
    <s v="Create Rule; and Description Like '%Cub Foods%';Groceries"/>
    <m/>
  </r>
  <r>
    <x v="20"/>
    <d v="2020-12-07T00:00:00"/>
    <s v="POWERPLUS"/>
    <x v="1128"/>
    <n v="391.2"/>
    <x v="26"/>
    <m/>
    <m/>
    <m/>
    <n v="391.2"/>
    <b v="0"/>
    <m/>
    <m/>
    <s v="-"/>
    <x v="1074"/>
    <s v="Create Rule; and Description Like '%MHCHILDCARELLC%';Day Care"/>
    <m/>
  </r>
  <r>
    <x v="20"/>
    <d v="2020-12-07T00:00:00"/>
    <s v="POWERPLUS"/>
    <x v="157"/>
    <n v="7.43"/>
    <x v="8"/>
    <m/>
    <m/>
    <m/>
    <n v="7.43"/>
    <b v="0"/>
    <m/>
    <m/>
    <s v="-"/>
    <x v="156"/>
    <s v="Create Rule; and Description Like '%PayPal%';Shopping"/>
    <m/>
  </r>
  <r>
    <x v="20"/>
    <d v="2020-12-07T00:00:00"/>
    <s v="Joint Tenant"/>
    <x v="20"/>
    <n v="200"/>
    <x v="26"/>
    <m/>
    <m/>
    <m/>
    <n v="200"/>
    <b v="0"/>
    <m/>
    <m/>
    <s v="-"/>
    <x v="20"/>
    <s v="Delete; and Description='SCHWAB TOTAL STOCK MKT INDEX' and inflowoutflow='-';0"/>
    <m/>
  </r>
  <r>
    <x v="20"/>
    <d v="2020-12-07T00:00:00"/>
    <s v="Cash Rewards Visa Signature"/>
    <x v="775"/>
    <n v="6.44"/>
    <x v="26"/>
    <m/>
    <m/>
    <m/>
    <n v="6.44"/>
    <b v="0"/>
    <m/>
    <m/>
    <s v="-"/>
    <x v="747"/>
    <s v="Create Rule; and Description='True Value';House Maintenance"/>
    <m/>
  </r>
  <r>
    <x v="20"/>
    <d v="2020-12-07T00:00:00"/>
    <s v="Cash Rewards Visa Signature"/>
    <x v="55"/>
    <n v="3.59"/>
    <x v="5"/>
    <m/>
    <m/>
    <m/>
    <n v="3.59"/>
    <b v="0"/>
    <m/>
    <m/>
    <s v="-"/>
    <x v="55"/>
    <s v="Create Rule; and Description='Walgreens';Shopping"/>
    <m/>
  </r>
  <r>
    <x v="20"/>
    <d v="2020-12-07T00:00:00"/>
    <s v="Cash Rewards Visa Signature"/>
    <x v="55"/>
    <n v="13.41"/>
    <x v="5"/>
    <m/>
    <m/>
    <m/>
    <n v="13.41"/>
    <b v="0"/>
    <m/>
    <m/>
    <s v="-"/>
    <x v="55"/>
    <s v="Create Rule; and Description='Walgreens';Shopping"/>
    <m/>
  </r>
  <r>
    <x v="20"/>
    <d v="2020-12-07T00:00:00"/>
    <s v="Cash Rewards Visa Signature"/>
    <x v="55"/>
    <n v="13.98"/>
    <x v="5"/>
    <m/>
    <m/>
    <m/>
    <n v="13.98"/>
    <b v="0"/>
    <m/>
    <m/>
    <s v="-"/>
    <x v="55"/>
    <s v="Create Rule; and Description='Walgreens';Shopping"/>
    <m/>
  </r>
  <r>
    <x v="20"/>
    <d v="2020-12-07T00:00:00"/>
    <s v="Cash Rewards Visa Signature"/>
    <x v="55"/>
    <n v="32.21"/>
    <x v="5"/>
    <m/>
    <m/>
    <m/>
    <n v="32.21"/>
    <b v="0"/>
    <m/>
    <m/>
    <s v="-"/>
    <x v="55"/>
    <s v="Create Rule; and Description='Walgreens';Shopping"/>
    <m/>
  </r>
  <r>
    <x v="20"/>
    <d v="2020-12-08T00:00:00"/>
    <s v="Cash Rewards Visa Signature"/>
    <x v="1129"/>
    <n v="80"/>
    <x v="26"/>
    <m/>
    <m/>
    <m/>
    <n v="80"/>
    <b v="0"/>
    <m/>
    <m/>
    <s v="-"/>
    <x v="1075"/>
    <s v="Manual"/>
    <m/>
  </r>
  <r>
    <x v="20"/>
    <d v="2020-12-08T00:00:00"/>
    <s v="POWERPLUS"/>
    <x v="30"/>
    <n v="135.33000000000001"/>
    <x v="11"/>
    <m/>
    <m/>
    <m/>
    <n v="135.33000000000001"/>
    <b v="0"/>
    <m/>
    <m/>
    <s v="-"/>
    <x v="30"/>
    <s v="Create Rule; and Description='Xcel Energy';Utilities"/>
    <m/>
  </r>
  <r>
    <x v="20"/>
    <d v="2020-12-09T00:00:00"/>
    <s v="Discover"/>
    <x v="0"/>
    <n v="12.87"/>
    <x v="0"/>
    <m/>
    <m/>
    <m/>
    <n v="12.87"/>
    <b v="0"/>
    <m/>
    <m/>
    <s v="-"/>
    <x v="0"/>
    <s v="Create Rule; and Description='Amazon';Amazon"/>
    <m/>
  </r>
  <r>
    <x v="20"/>
    <d v="2020-12-09T00:00:00"/>
    <s v="Discover More Card"/>
    <x v="0"/>
    <n v="12.87"/>
    <x v="0"/>
    <m/>
    <m/>
    <m/>
    <n v="12.87"/>
    <b v="0"/>
    <m/>
    <m/>
    <s v="-"/>
    <x v="0"/>
    <s v="Create Rule; and Description='Amazon';Amazon"/>
    <m/>
  </r>
  <r>
    <x v="20"/>
    <d v="2020-12-09T00:00:00"/>
    <s v="POWERPLUS"/>
    <x v="1130"/>
    <n v="-2713.74"/>
    <x v="26"/>
    <m/>
    <m/>
    <m/>
    <n v="2713.74"/>
    <b v="0"/>
    <m/>
    <m/>
    <s v="+"/>
    <x v="1076"/>
    <s v="Create Rule; and Description Like '%CARGILL COCOA TYPE DIR DEP ID%';Inc - Britney"/>
    <m/>
  </r>
  <r>
    <x v="20"/>
    <d v="2020-12-09T00:00:00"/>
    <s v="Cash Rewards Visa Signature"/>
    <x v="2"/>
    <n v="31.69"/>
    <x v="2"/>
    <m/>
    <m/>
    <m/>
    <n v="31.69"/>
    <b v="0"/>
    <m/>
    <m/>
    <s v="-"/>
    <x v="2"/>
    <s v="Create Rule; and Description='Speedway';Transportation"/>
    <m/>
  </r>
  <r>
    <x v="20"/>
    <d v="2020-12-30T00:00:00"/>
    <s v="Discover"/>
    <x v="0"/>
    <n v="18.52"/>
    <x v="0"/>
    <m/>
    <m/>
    <m/>
    <n v="18.52"/>
    <b v="0"/>
    <m/>
    <m/>
    <s v="-"/>
    <x v="0"/>
    <s v="Create Rule; and Description='Amazon';Amazon"/>
    <m/>
  </r>
  <r>
    <x v="20"/>
    <d v="2020-12-30T00:00:00"/>
    <s v="Discover"/>
    <x v="0"/>
    <n v="10.99"/>
    <x v="0"/>
    <m/>
    <m/>
    <m/>
    <n v="10.99"/>
    <b v="0"/>
    <m/>
    <m/>
    <s v="-"/>
    <x v="0"/>
    <s v="Create Rule; and Description='Amazon';Amazon"/>
    <m/>
  </r>
  <r>
    <x v="20"/>
    <d v="2020-12-30T00:00:00"/>
    <s v="Discover"/>
    <x v="0"/>
    <n v="25.74"/>
    <x v="0"/>
    <m/>
    <m/>
    <m/>
    <n v="25.74"/>
    <b v="0"/>
    <m/>
    <m/>
    <s v="-"/>
    <x v="0"/>
    <s v="Create Rule; and Description='Amazon';Amazon"/>
    <m/>
  </r>
  <r>
    <x v="20"/>
    <d v="2020-12-30T00:00:00"/>
    <s v="Discover"/>
    <x v="0"/>
    <n v="36.479999999999997"/>
    <x v="0"/>
    <m/>
    <m/>
    <m/>
    <n v="36.479999999999997"/>
    <b v="0"/>
    <m/>
    <m/>
    <s v="-"/>
    <x v="0"/>
    <s v="Create Rule; and Description='Amazon';Amazon"/>
    <m/>
  </r>
  <r>
    <x v="20"/>
    <d v="2020-12-30T00:00:00"/>
    <s v="Discover"/>
    <x v="0"/>
    <n v="33.93"/>
    <x v="0"/>
    <m/>
    <m/>
    <m/>
    <n v="33.93"/>
    <b v="0"/>
    <m/>
    <m/>
    <s v="-"/>
    <x v="0"/>
    <s v="Create Rule; and Description='Amazon';Amazon"/>
    <m/>
  </r>
  <r>
    <x v="20"/>
    <d v="2020-12-30T00:00:00"/>
    <s v="Discover"/>
    <x v="0"/>
    <n v="59.57"/>
    <x v="0"/>
    <m/>
    <m/>
    <m/>
    <n v="59.57"/>
    <b v="0"/>
    <m/>
    <m/>
    <s v="-"/>
    <x v="0"/>
    <s v="Create Rule; and Description='Amazon';Amazon"/>
    <m/>
  </r>
  <r>
    <x v="20"/>
    <d v="2020-12-30T00:00:00"/>
    <s v="Discover"/>
    <x v="0"/>
    <n v="6.17"/>
    <x v="0"/>
    <m/>
    <m/>
    <m/>
    <n v="6.17"/>
    <b v="0"/>
    <m/>
    <m/>
    <s v="-"/>
    <x v="0"/>
    <s v="Create Rule; and Description='Amazon';Amazon"/>
    <m/>
  </r>
  <r>
    <x v="20"/>
    <d v="2020-12-30T00:00:00"/>
    <s v="Discover"/>
    <x v="0"/>
    <n v="25.95"/>
    <x v="0"/>
    <m/>
    <m/>
    <m/>
    <n v="25.95"/>
    <b v="0"/>
    <m/>
    <m/>
    <s v="-"/>
    <x v="0"/>
    <s v="Create Rule; and Description='Amazon';Amazon"/>
    <m/>
  </r>
  <r>
    <x v="20"/>
    <d v="2020-12-30T00:00:00"/>
    <s v="Discover More Card"/>
    <x v="0"/>
    <n v="18.52"/>
    <x v="0"/>
    <m/>
    <m/>
    <m/>
    <n v="18.52"/>
    <b v="0"/>
    <m/>
    <m/>
    <s v="-"/>
    <x v="0"/>
    <s v="Create Rule; and Description='Amazon';Amazon"/>
    <m/>
  </r>
  <r>
    <x v="20"/>
    <d v="2020-12-30T00:00:00"/>
    <s v="Discover More Card"/>
    <x v="0"/>
    <n v="10.99"/>
    <x v="0"/>
    <m/>
    <m/>
    <m/>
    <n v="10.99"/>
    <b v="0"/>
    <m/>
    <m/>
    <s v="-"/>
    <x v="0"/>
    <s v="Create Rule; and Description='Amazon';Amazon"/>
    <m/>
  </r>
  <r>
    <x v="20"/>
    <d v="2020-12-30T00:00:00"/>
    <s v="Discover More Card"/>
    <x v="0"/>
    <n v="25.74"/>
    <x v="0"/>
    <m/>
    <m/>
    <m/>
    <n v="25.74"/>
    <b v="0"/>
    <m/>
    <m/>
    <s v="-"/>
    <x v="0"/>
    <s v="Create Rule; and Description='Amazon';Amazon"/>
    <m/>
  </r>
  <r>
    <x v="20"/>
    <d v="2020-12-30T00:00:00"/>
    <s v="Discover More Card"/>
    <x v="0"/>
    <n v="36.479999999999997"/>
    <x v="0"/>
    <m/>
    <m/>
    <m/>
    <n v="36.479999999999997"/>
    <b v="0"/>
    <m/>
    <m/>
    <s v="-"/>
    <x v="0"/>
    <s v="Create Rule; and Description='Amazon';Amazon"/>
    <m/>
  </r>
  <r>
    <x v="20"/>
    <d v="2020-12-30T00:00:00"/>
    <s v="Discover More Card"/>
    <x v="0"/>
    <n v="33.93"/>
    <x v="0"/>
    <m/>
    <m/>
    <m/>
    <n v="33.93"/>
    <b v="0"/>
    <m/>
    <m/>
    <s v="-"/>
    <x v="0"/>
    <s v="Create Rule; and Description='Amazon';Amazon"/>
    <m/>
  </r>
  <r>
    <x v="20"/>
    <d v="2020-12-30T00:00:00"/>
    <s v="Discover More Card"/>
    <x v="0"/>
    <n v="59.57"/>
    <x v="0"/>
    <m/>
    <m/>
    <m/>
    <n v="59.57"/>
    <b v="0"/>
    <m/>
    <m/>
    <s v="-"/>
    <x v="0"/>
    <s v="Create Rule; and Description='Amazon';Amazon"/>
    <m/>
  </r>
  <r>
    <x v="20"/>
    <d v="2020-12-30T00:00:00"/>
    <s v="Discover More Card"/>
    <x v="0"/>
    <n v="6.17"/>
    <x v="0"/>
    <m/>
    <m/>
    <m/>
    <n v="6.17"/>
    <b v="0"/>
    <m/>
    <m/>
    <s v="-"/>
    <x v="0"/>
    <s v="Create Rule; and Description='Amazon';Amazon"/>
    <m/>
  </r>
  <r>
    <x v="20"/>
    <d v="2020-12-30T00:00:00"/>
    <s v="Discover More Card"/>
    <x v="0"/>
    <n v="25.95"/>
    <x v="0"/>
    <m/>
    <m/>
    <m/>
    <n v="25.95"/>
    <b v="0"/>
    <m/>
    <m/>
    <s v="-"/>
    <x v="0"/>
    <s v="Create Rule; and Description='Amazon';Amazon"/>
    <m/>
  </r>
  <r>
    <x v="20"/>
    <d v="2020-12-30T00:00:00"/>
    <s v="Discover More Card"/>
    <x v="0"/>
    <n v="76.34"/>
    <x v="0"/>
    <m/>
    <m/>
    <m/>
    <n v="76.34"/>
    <b v="0"/>
    <m/>
    <m/>
    <s v="-"/>
    <x v="0"/>
    <s v="Create Rule; and Description='Amazon';Amazon"/>
    <m/>
  </r>
  <r>
    <x v="20"/>
    <d v="2020-12-30T00:00:00"/>
    <s v="Discover More Card"/>
    <x v="0"/>
    <n v="25.85"/>
    <x v="0"/>
    <m/>
    <m/>
    <m/>
    <n v="25.85"/>
    <b v="0"/>
    <m/>
    <m/>
    <s v="-"/>
    <x v="0"/>
    <s v="Create Rule; and Description='Amazon';Amazon"/>
    <m/>
  </r>
  <r>
    <x v="20"/>
    <d v="2020-12-30T00:00:00"/>
    <s v="Discover"/>
    <x v="0"/>
    <n v="76.34"/>
    <x v="0"/>
    <m/>
    <m/>
    <m/>
    <n v="76.34"/>
    <b v="0"/>
    <m/>
    <m/>
    <s v="-"/>
    <x v="0"/>
    <s v="Create Rule; and Description='Amazon';Amazon"/>
    <m/>
  </r>
  <r>
    <x v="20"/>
    <d v="2020-12-30T00:00:00"/>
    <s v="Discover"/>
    <x v="0"/>
    <n v="25.85"/>
    <x v="0"/>
    <m/>
    <m/>
    <m/>
    <n v="25.85"/>
    <b v="0"/>
    <m/>
    <m/>
    <s v="-"/>
    <x v="0"/>
    <s v="Create Rule; and Description='Amazon';Amazon"/>
    <m/>
  </r>
  <r>
    <x v="20"/>
    <d v="2020-12-30T00:00:00"/>
    <s v="POWERPLUS"/>
    <x v="48"/>
    <n v="102.94"/>
    <x v="16"/>
    <m/>
    <m/>
    <m/>
    <n v="102.94"/>
    <b v="0"/>
    <m/>
    <m/>
    <s v="-"/>
    <x v="48"/>
    <s v="Create Rule; and Description='American Family Insurance';Insurance"/>
    <m/>
  </r>
  <r>
    <x v="20"/>
    <d v="2020-12-30T00:00:00"/>
    <s v="POWERPLUS"/>
    <x v="1131"/>
    <n v="350"/>
    <x v="26"/>
    <m/>
    <m/>
    <m/>
    <n v="350"/>
    <b v="0"/>
    <m/>
    <m/>
    <s v="-"/>
    <x v="1077"/>
    <s v="Create Rule; and Description Like '%Banana Visa%';Shopping"/>
    <m/>
  </r>
  <r>
    <x v="20"/>
    <d v="2020-12-30T00:00:00"/>
    <s v="POWERPLUS"/>
    <x v="1132"/>
    <n v="57.04"/>
    <x v="26"/>
    <m/>
    <m/>
    <m/>
    <n v="57.04"/>
    <b v="0"/>
    <m/>
    <m/>
    <s v="-"/>
    <x v="1078"/>
    <s v="Create Rule; and Description Like '%Banana Visa%';Shopping"/>
    <m/>
  </r>
  <r>
    <x v="20"/>
    <d v="2020-12-30T00:00:00"/>
    <s v="Contributory"/>
    <x v="1133"/>
    <n v="-0.08"/>
    <x v="26"/>
    <m/>
    <m/>
    <m/>
    <n v="0.08"/>
    <b v="0"/>
    <m/>
    <m/>
    <s v="+"/>
    <x v="1079"/>
    <m/>
    <m/>
  </r>
  <r>
    <x v="20"/>
    <d v="2020-12-30T00:00:00"/>
    <s v="Jeff IRA"/>
    <x v="1133"/>
    <n v="-0.02"/>
    <x v="26"/>
    <m/>
    <m/>
    <m/>
    <n v="0.02"/>
    <b v="0"/>
    <m/>
    <m/>
    <s v="+"/>
    <x v="1079"/>
    <m/>
    <m/>
  </r>
  <r>
    <x v="20"/>
    <d v="2020-12-30T00:00:00"/>
    <s v="Cash Rewards Visa Signature"/>
    <x v="1134"/>
    <n v="53.47"/>
    <x v="26"/>
    <m/>
    <m/>
    <m/>
    <n v="53.47"/>
    <b v="0"/>
    <m/>
    <m/>
    <s v="-"/>
    <x v="1080"/>
    <s v="Create Rule; and Description Like '%BLACK SHEEP PIZZA%';Restaurants"/>
    <m/>
  </r>
  <r>
    <x v="20"/>
    <d v="2020-12-30T00:00:00"/>
    <s v="Cash Rewards Visa Signature"/>
    <x v="1096"/>
    <n v="9"/>
    <x v="26"/>
    <m/>
    <m/>
    <m/>
    <n v="9"/>
    <b v="0"/>
    <m/>
    <m/>
    <s v="-"/>
    <x v="1045"/>
    <s v="Manual"/>
    <m/>
  </r>
  <r>
    <x v="20"/>
    <d v="2020-12-30T00:00:00"/>
    <s v="Cash Rewards Visa Signature"/>
    <x v="1135"/>
    <n v="3.23"/>
    <x v="1"/>
    <m/>
    <m/>
    <m/>
    <n v="3.23"/>
    <b v="0"/>
    <m/>
    <m/>
    <s v="-"/>
    <x v="1081"/>
    <s v="Create Rule; and Description='Burger King';Restaurants"/>
    <m/>
  </r>
  <r>
    <x v="20"/>
    <d v="2020-12-30T00:00:00"/>
    <s v="Joint Tenant"/>
    <x v="185"/>
    <n v="-200"/>
    <x v="26"/>
    <m/>
    <m/>
    <m/>
    <n v="200"/>
    <b v="0"/>
    <m/>
    <m/>
    <s v="+"/>
    <x v="184"/>
    <s v="Create Rule; and Description='CARGILL COCOA &amp;';Roth"/>
    <m/>
  </r>
  <r>
    <x v="20"/>
    <d v="2020-12-30T00:00:00"/>
    <s v="Joint Tenant"/>
    <x v="185"/>
    <n v="-200"/>
    <x v="26"/>
    <m/>
    <m/>
    <m/>
    <n v="200"/>
    <b v="0"/>
    <m/>
    <m/>
    <s v="+"/>
    <x v="184"/>
    <s v="Create Rule; and Description='CARGILL COCOA &amp;';Roth"/>
    <m/>
  </r>
  <r>
    <x v="20"/>
    <d v="2020-12-30T00:00:00"/>
    <s v="POWERPLUS"/>
    <x v="1136"/>
    <n v="-2867.73"/>
    <x v="26"/>
    <m/>
    <m/>
    <m/>
    <n v="2867.73"/>
    <b v="0"/>
    <m/>
    <m/>
    <s v="+"/>
    <x v="1082"/>
    <s v="Create Rule; and Description Like '%CARGILL COCOA TYPE DIR DEP ID%';Inc - Britney"/>
    <m/>
  </r>
  <r>
    <x v="20"/>
    <d v="2020-12-30T00:00:00"/>
    <s v="Discover"/>
    <x v="67"/>
    <n v="45"/>
    <x v="11"/>
    <m/>
    <m/>
    <m/>
    <n v="45"/>
    <b v="0"/>
    <m/>
    <m/>
    <s v="-"/>
    <x v="67"/>
    <s v="Create Rule; and Description='CenturyLink';Utilities"/>
    <m/>
  </r>
  <r>
    <x v="20"/>
    <d v="2020-12-30T00:00:00"/>
    <s v="Discover More Card"/>
    <x v="67"/>
    <n v="45"/>
    <x v="11"/>
    <m/>
    <m/>
    <m/>
    <n v="45"/>
    <b v="0"/>
    <m/>
    <m/>
    <s v="-"/>
    <x v="67"/>
    <s v="Create Rule; and Description='CenturyLink';Utilities"/>
    <m/>
  </r>
  <r>
    <x v="20"/>
    <d v="2020-12-30T00:00:00"/>
    <s v="POWERPLUS"/>
    <x v="1137"/>
    <n v="100"/>
    <x v="26"/>
    <m/>
    <m/>
    <m/>
    <n v="100"/>
    <b v="0"/>
    <m/>
    <m/>
    <s v="-"/>
    <x v="1083"/>
    <s v="Manual"/>
    <m/>
  </r>
  <r>
    <x v="20"/>
    <d v="2020-12-30T00:00:00"/>
    <s v="Joint Tenant"/>
    <x v="245"/>
    <n v="-39.07"/>
    <x v="26"/>
    <m/>
    <m/>
    <m/>
    <n v="39.07"/>
    <b v="0"/>
    <m/>
    <m/>
    <s v="+"/>
    <x v="243"/>
    <s v="Create Rule; and Description='CHEVRON CORP';Dividend"/>
    <m/>
  </r>
  <r>
    <x v="20"/>
    <d v="2020-12-30T00:00:00"/>
    <s v="Joint Tenant"/>
    <x v="245"/>
    <n v="39.07"/>
    <x v="26"/>
    <m/>
    <m/>
    <m/>
    <n v="39.07"/>
    <b v="0"/>
    <m/>
    <m/>
    <s v="-"/>
    <x v="243"/>
    <s v="Create Rule; and Description='CHEVRON CORP';Dividend"/>
    <m/>
  </r>
  <r>
    <x v="20"/>
    <d v="2020-12-30T00:00:00"/>
    <s v="Joint Tenant"/>
    <x v="245"/>
    <n v="450.78"/>
    <x v="26"/>
    <m/>
    <m/>
    <m/>
    <n v="450.78"/>
    <b v="0"/>
    <m/>
    <m/>
    <s v="-"/>
    <x v="243"/>
    <s v="Create Rule; and Description='CHEVRON CORP';Dividend"/>
    <m/>
  </r>
  <r>
    <x v="20"/>
    <d v="2020-12-30T00:00:00"/>
    <s v="POWERPLUS"/>
    <x v="84"/>
    <n v="163.08000000000001"/>
    <x v="26"/>
    <m/>
    <m/>
    <m/>
    <n v="163.08000000000001"/>
    <b v="0"/>
    <m/>
    <m/>
    <s v="-"/>
    <x v="84"/>
    <s v="Create Rule; and Description='City of Chanhassen';Utilities"/>
    <m/>
  </r>
  <r>
    <x v="20"/>
    <d v="2020-12-30T00:00:00"/>
    <s v="Cash Rewards Visa Signature"/>
    <x v="1138"/>
    <n v="120"/>
    <x v="26"/>
    <m/>
    <m/>
    <m/>
    <n v="120"/>
    <b v="0"/>
    <m/>
    <m/>
    <s v="-"/>
    <x v="1084"/>
    <s v="Manual"/>
    <m/>
  </r>
  <r>
    <x v="20"/>
    <d v="2020-12-30T00:00:00"/>
    <s v="Investor Checking"/>
    <x v="1139"/>
    <n v="5000"/>
    <x v="26"/>
    <m/>
    <m/>
    <m/>
    <n v="5000"/>
    <b v="0"/>
    <m/>
    <m/>
    <s v="-"/>
    <x v="1085"/>
    <s v="Create Rule; and Description Like '%College Savings%';College Savings"/>
    <m/>
  </r>
  <r>
    <x v="20"/>
    <d v="2020-12-30T00:00:00"/>
    <s v="Investor Checking"/>
    <x v="1140"/>
    <n v="500"/>
    <x v="26"/>
    <m/>
    <m/>
    <m/>
    <n v="500"/>
    <b v="0"/>
    <m/>
    <m/>
    <s v="-"/>
    <x v="1086"/>
    <s v="Create Rule; and Description Like '%College Savings%';College Savings"/>
    <m/>
  </r>
  <r>
    <x v="20"/>
    <d v="2020-12-30T00:00:00"/>
    <s v="Joint Tenant"/>
    <x v="950"/>
    <n v="-250"/>
    <x v="26"/>
    <m/>
    <m/>
    <m/>
    <n v="250"/>
    <b v="0"/>
    <m/>
    <m/>
    <s v="+"/>
    <x v="913"/>
    <s v="Create Rule; and Description Like '%CONNECTED ANALYT%';Inc - Jeff"/>
    <m/>
  </r>
  <r>
    <x v="20"/>
    <d v="2020-12-30T00:00:00"/>
    <s v="Joint Tenant"/>
    <x v="950"/>
    <n v="-250"/>
    <x v="26"/>
    <m/>
    <m/>
    <m/>
    <n v="250"/>
    <b v="0"/>
    <m/>
    <m/>
    <s v="+"/>
    <x v="913"/>
    <s v="Create Rule; and Description Like '%CONNECTED ANALYT%';Inc - Jeff"/>
    <m/>
  </r>
  <r>
    <x v="20"/>
    <d v="2020-12-30T00:00:00"/>
    <s v="POWERPLUS"/>
    <x v="1141"/>
    <n v="-2631.49"/>
    <x v="26"/>
    <m/>
    <m/>
    <m/>
    <n v="2631.49"/>
    <b v="0"/>
    <m/>
    <m/>
    <s v="+"/>
    <x v="910"/>
    <s v="Manual"/>
    <m/>
  </r>
  <r>
    <x v="20"/>
    <d v="2020-12-30T00:00:00"/>
    <s v="POWERPLUS"/>
    <x v="1142"/>
    <n v="-2711.12"/>
    <x v="26"/>
    <m/>
    <m/>
    <m/>
    <n v="2711.12"/>
    <b v="0"/>
    <m/>
    <m/>
    <s v="+"/>
    <x v="910"/>
    <s v="Manual"/>
    <m/>
  </r>
  <r>
    <x v="20"/>
    <d v="2020-12-30T00:00:00"/>
    <s v="POWERPLUS"/>
    <x v="446"/>
    <n v="-9.58"/>
    <x v="26"/>
    <m/>
    <m/>
    <m/>
    <n v="9.58"/>
    <b v="0"/>
    <m/>
    <m/>
    <s v="+"/>
    <x v="430"/>
    <s v="Manual"/>
    <m/>
  </r>
  <r>
    <x v="20"/>
    <d v="2020-12-30T00:00:00"/>
    <s v="POWERPLUS"/>
    <x v="446"/>
    <n v="-18.18"/>
    <x v="26"/>
    <m/>
    <m/>
    <m/>
    <n v="18.18"/>
    <b v="0"/>
    <m/>
    <m/>
    <s v="+"/>
    <x v="430"/>
    <s v="Manual"/>
    <m/>
  </r>
  <r>
    <x v="20"/>
    <d v="2020-12-30T00:00:00"/>
    <s v="POWERPLUS"/>
    <x v="1143"/>
    <n v="139.13999999999999"/>
    <x v="26"/>
    <m/>
    <m/>
    <m/>
    <n v="139.13999999999999"/>
    <b v="0"/>
    <m/>
    <m/>
    <s v="-"/>
    <x v="146"/>
    <s v="Create Rule; and Description Like '%CPENERGY MNGCO%';Utilities"/>
    <m/>
  </r>
  <r>
    <x v="20"/>
    <d v="2020-12-30T00:00:00"/>
    <s v="Cash Rewards Visa Signature"/>
    <x v="6"/>
    <n v="7.96"/>
    <x v="5"/>
    <m/>
    <m/>
    <m/>
    <n v="7.96"/>
    <b v="0"/>
    <m/>
    <m/>
    <s v="-"/>
    <x v="6"/>
    <s v="Create Rule; and Description Like '%Cub Foods%';Groceries"/>
    <m/>
  </r>
  <r>
    <x v="20"/>
    <d v="2020-12-30T00:00:00"/>
    <s v="Cash Rewards Visa Signature"/>
    <x v="6"/>
    <n v="148.5"/>
    <x v="5"/>
    <m/>
    <m/>
    <m/>
    <n v="148.5"/>
    <b v="0"/>
    <m/>
    <m/>
    <s v="-"/>
    <x v="6"/>
    <s v="Create Rule; and Description Like '%Cub Foods%';Groceries"/>
    <m/>
  </r>
  <r>
    <x v="20"/>
    <d v="2020-12-30T00:00:00"/>
    <s v="Investor Checking"/>
    <x v="1144"/>
    <n v="-1000"/>
    <x v="26"/>
    <m/>
    <m/>
    <m/>
    <n v="1000"/>
    <b v="0"/>
    <m/>
    <m/>
    <s v="+"/>
    <x v="1087"/>
    <s v="Create Rule; and Description='Deposit Mobile Banking';Delete"/>
    <m/>
  </r>
  <r>
    <x v="20"/>
    <d v="2020-12-30T00:00:00"/>
    <s v="Cash Rewards Visa Signature"/>
    <x v="1145"/>
    <n v="38"/>
    <x v="26"/>
    <m/>
    <m/>
    <m/>
    <n v="38"/>
    <b v="0"/>
    <m/>
    <m/>
    <s v="-"/>
    <x v="1088"/>
    <s v="Manual"/>
    <m/>
  </r>
  <r>
    <x v="20"/>
    <d v="2020-12-30T00:00:00"/>
    <s v="Cash Rewards Visa Signature"/>
    <x v="1145"/>
    <n v="38"/>
    <x v="26"/>
    <m/>
    <m/>
    <m/>
    <n v="38"/>
    <b v="0"/>
    <m/>
    <m/>
    <s v="-"/>
    <x v="1088"/>
    <s v="Manual"/>
    <m/>
  </r>
  <r>
    <x v="20"/>
    <d v="2020-12-30T00:00:00"/>
    <s v="Cash Rewards Visa Signature"/>
    <x v="1145"/>
    <n v="45"/>
    <x v="26"/>
    <m/>
    <m/>
    <m/>
    <n v="45"/>
    <b v="0"/>
    <m/>
    <m/>
    <s v="-"/>
    <x v="1088"/>
    <s v="Manual"/>
    <m/>
  </r>
  <r>
    <x v="20"/>
    <d v="2020-12-30T00:00:00"/>
    <s v="Cash Rewards Visa Signature"/>
    <x v="259"/>
    <n v="91.27"/>
    <x v="26"/>
    <m/>
    <m/>
    <m/>
    <n v="91.27"/>
    <b v="0"/>
    <m/>
    <m/>
    <s v="-"/>
    <x v="257"/>
    <s v="Create Rule; and Description Like '%Etsy.com%';Shopping"/>
    <m/>
  </r>
  <r>
    <x v="20"/>
    <d v="2020-12-30T00:00:00"/>
    <s v="Joint Tenant"/>
    <x v="476"/>
    <n v="-1000"/>
    <x v="26"/>
    <m/>
    <m/>
    <m/>
    <n v="1000"/>
    <b v="0"/>
    <m/>
    <m/>
    <s v="+"/>
    <x v="459"/>
    <s v="Delete; and Source='Joint Tenant';0"/>
    <m/>
  </r>
  <r>
    <x v="20"/>
    <d v="2020-12-30T00:00:00"/>
    <s v="Investor Checking"/>
    <x v="276"/>
    <n v="-4500"/>
    <x v="26"/>
    <m/>
    <m/>
    <m/>
    <n v="4500"/>
    <b v="0"/>
    <m/>
    <m/>
    <s v="+"/>
    <x v="271"/>
    <s v="Manual"/>
    <m/>
  </r>
  <r>
    <x v="20"/>
    <d v="2020-12-30T00:00:00"/>
    <s v="Investor Checking"/>
    <x v="276"/>
    <n v="-5000"/>
    <x v="26"/>
    <m/>
    <m/>
    <m/>
    <n v="5000"/>
    <b v="0"/>
    <m/>
    <m/>
    <s v="+"/>
    <x v="271"/>
    <s v="Create Rule; and Description='Funds Transfer from Brokerage -5308';Delete"/>
    <m/>
  </r>
  <r>
    <x v="20"/>
    <d v="2020-12-30T00:00:00"/>
    <s v="Joint Tenant"/>
    <x v="286"/>
    <n v="-0.01"/>
    <x v="26"/>
    <m/>
    <m/>
    <m/>
    <n v="0.01"/>
    <b v="0"/>
    <m/>
    <m/>
    <s v="+"/>
    <x v="279"/>
    <s v="Create Rule; and Description='HALLIBURTON CO HLDG';Dividend"/>
    <m/>
  </r>
  <r>
    <x v="20"/>
    <d v="2020-12-30T00:00:00"/>
    <s v="Joint Tenant"/>
    <x v="286"/>
    <n v="0.01"/>
    <x v="26"/>
    <m/>
    <m/>
    <m/>
    <n v="0.01"/>
    <b v="0"/>
    <m/>
    <m/>
    <s v="-"/>
    <x v="279"/>
    <s v="Create Rule; and Description='HALLIBURTON CO HLDG';Dividend"/>
    <m/>
  </r>
  <r>
    <x v="20"/>
    <d v="2020-12-30T00:00:00"/>
    <s v="Cash Rewards Visa Signature"/>
    <x v="1146"/>
    <n v="10.5"/>
    <x v="26"/>
    <m/>
    <m/>
    <m/>
    <n v="10.5"/>
    <b v="0"/>
    <m/>
    <m/>
    <s v="-"/>
    <x v="1089"/>
    <s v="Manual"/>
    <m/>
  </r>
  <r>
    <x v="20"/>
    <d v="2020-12-30T00:00:00"/>
    <s v="Cash Rewards Visa Signature"/>
    <x v="1147"/>
    <n v="92.8"/>
    <x v="26"/>
    <m/>
    <m/>
    <m/>
    <n v="92.8"/>
    <b v="0"/>
    <m/>
    <m/>
    <s v="-"/>
    <x v="1090"/>
    <s v="Create Rule; and Description='Haskells';Groceries"/>
    <m/>
  </r>
  <r>
    <x v="20"/>
    <d v="2020-12-30T00:00:00"/>
    <s v="Cash Rewards Visa Signature"/>
    <x v="81"/>
    <n v="2.99"/>
    <x v="26"/>
    <m/>
    <m/>
    <m/>
    <n v="2.99"/>
    <b v="0"/>
    <m/>
    <m/>
    <s v="-"/>
    <x v="81"/>
    <s v="Create Rule; and Description='Holiday Stationstore';Transportation"/>
    <m/>
  </r>
  <r>
    <x v="20"/>
    <d v="2020-12-30T00:00:00"/>
    <s v="Cash Rewards Visa Signature"/>
    <x v="60"/>
    <n v="188.35"/>
    <x v="26"/>
    <m/>
    <m/>
    <m/>
    <n v="188.35"/>
    <b v="0"/>
    <m/>
    <m/>
    <s v="-"/>
    <x v="60"/>
    <s v="Create Rule; and Description='Home Depot';House Maintenance"/>
    <m/>
  </r>
  <r>
    <x v="20"/>
    <d v="2020-12-30T00:00:00"/>
    <s v="Cash Rewards Visa Signature"/>
    <x v="60"/>
    <n v="576.6"/>
    <x v="26"/>
    <m/>
    <m/>
    <m/>
    <n v="576.6"/>
    <b v="0"/>
    <m/>
    <m/>
    <s v="-"/>
    <x v="60"/>
    <s v="Create Rule; and Description='Home Depot';House Maintenance"/>
    <m/>
  </r>
  <r>
    <x v="20"/>
    <d v="2020-12-30T00:00:00"/>
    <s v="Cash Rewards Visa Signature"/>
    <x v="60"/>
    <n v="37.4"/>
    <x v="26"/>
    <m/>
    <m/>
    <m/>
    <n v="37.4"/>
    <b v="0"/>
    <m/>
    <m/>
    <s v="-"/>
    <x v="60"/>
    <s v="Create Rule; and Description='Home Depot';House Maintenance"/>
    <m/>
  </r>
  <r>
    <x v="20"/>
    <d v="2020-12-30T00:00:00"/>
    <s v="Cash Rewards Visa Signature"/>
    <x v="60"/>
    <n v="-192.2"/>
    <x v="26"/>
    <m/>
    <m/>
    <m/>
    <n v="192.2"/>
    <b v="0"/>
    <m/>
    <m/>
    <s v="+"/>
    <x v="60"/>
    <s v="Create Rule; and Description='Home Depot';House Maintenance"/>
    <m/>
  </r>
  <r>
    <x v="20"/>
    <d v="2020-12-30T00:00:00"/>
    <s v="Investor Checking"/>
    <x v="118"/>
    <n v="-0.05"/>
    <x v="26"/>
    <m/>
    <m/>
    <m/>
    <n v="0.05"/>
    <b v="0"/>
    <m/>
    <m/>
    <s v="+"/>
    <x v="118"/>
    <s v="Create Rule; and Description='Interest Paid';0"/>
    <m/>
  </r>
  <r>
    <x v="20"/>
    <d v="2020-12-30T00:00:00"/>
    <s v="Joint Tenant"/>
    <x v="478"/>
    <n v="-11000"/>
    <x v="26"/>
    <m/>
    <m/>
    <m/>
    <n v="11000"/>
    <b v="0"/>
    <m/>
    <m/>
    <s v="+"/>
    <x v="461"/>
    <s v="Delete; and Source='Joint Tenant';0"/>
    <m/>
  </r>
  <r>
    <x v="20"/>
    <d v="2020-12-30T00:00:00"/>
    <s v="Cooper"/>
    <x v="1148"/>
    <n v="-500"/>
    <x v="26"/>
    <m/>
    <m/>
    <m/>
    <n v="500"/>
    <b v="0"/>
    <m/>
    <m/>
    <s v="+"/>
    <x v="1091"/>
    <m/>
    <m/>
  </r>
  <r>
    <x v="20"/>
    <d v="2020-12-30T00:00:00"/>
    <s v="Tucker"/>
    <x v="1148"/>
    <n v="-500"/>
    <x v="26"/>
    <m/>
    <m/>
    <m/>
    <n v="500"/>
    <b v="0"/>
    <m/>
    <m/>
    <s v="+"/>
    <x v="1091"/>
    <m/>
    <m/>
  </r>
  <r>
    <x v="20"/>
    <d v="2020-12-30T00:00:00"/>
    <s v="Cooper"/>
    <x v="1148"/>
    <n v="-100"/>
    <x v="26"/>
    <m/>
    <m/>
    <m/>
    <n v="100"/>
    <b v="0"/>
    <m/>
    <m/>
    <s v="+"/>
    <x v="1091"/>
    <m/>
    <m/>
  </r>
  <r>
    <x v="20"/>
    <d v="2020-12-30T00:00:00"/>
    <s v="Tucker"/>
    <x v="1148"/>
    <n v="-100"/>
    <x v="26"/>
    <m/>
    <m/>
    <m/>
    <n v="100"/>
    <b v="0"/>
    <m/>
    <m/>
    <s v="+"/>
    <x v="1091"/>
    <m/>
    <m/>
  </r>
  <r>
    <x v="20"/>
    <d v="2020-12-30T00:00:00"/>
    <s v="Joint Tenant"/>
    <x v="1149"/>
    <n v="500"/>
    <x v="26"/>
    <m/>
    <m/>
    <m/>
    <n v="500"/>
    <b v="0"/>
    <m/>
    <m/>
    <s v="-"/>
    <x v="1092"/>
    <s v="Delete; and Source='Joint Tenant';0"/>
    <m/>
  </r>
  <r>
    <x v="20"/>
    <d v="2020-12-30T00:00:00"/>
    <s v="Joint Tenant"/>
    <x v="1149"/>
    <n v="100"/>
    <x v="26"/>
    <m/>
    <m/>
    <m/>
    <n v="100"/>
    <b v="0"/>
    <m/>
    <m/>
    <s v="-"/>
    <x v="1092"/>
    <s v="Delete; and Source='Joint Tenant';0"/>
    <m/>
  </r>
  <r>
    <x v="20"/>
    <d v="2020-12-30T00:00:00"/>
    <s v="Joint Tenant"/>
    <x v="1150"/>
    <n v="500"/>
    <x v="26"/>
    <m/>
    <m/>
    <m/>
    <n v="500"/>
    <b v="0"/>
    <m/>
    <m/>
    <s v="-"/>
    <x v="1093"/>
    <s v="Delete; and Source='Joint Tenant';0"/>
    <m/>
  </r>
  <r>
    <x v="20"/>
    <d v="2020-12-30T00:00:00"/>
    <s v="Joint Tenant"/>
    <x v="1150"/>
    <n v="100"/>
    <x v="26"/>
    <m/>
    <m/>
    <m/>
    <n v="100"/>
    <b v="0"/>
    <m/>
    <m/>
    <s v="-"/>
    <x v="1093"/>
    <s v="Delete; and Source='Joint Tenant';0"/>
    <m/>
  </r>
  <r>
    <x v="20"/>
    <d v="2020-12-30T00:00:00"/>
    <s v="Cash Rewards Visa Signature"/>
    <x v="1151"/>
    <n v="50.52"/>
    <x v="26"/>
    <m/>
    <m/>
    <m/>
    <n v="50.52"/>
    <b v="0"/>
    <m/>
    <m/>
    <s v="-"/>
    <x v="1094"/>
    <s v="Manual"/>
    <m/>
  </r>
  <r>
    <x v="20"/>
    <d v="2020-12-30T00:00:00"/>
    <s v="POWERPLUS"/>
    <x v="28"/>
    <n v="-90"/>
    <x v="26"/>
    <m/>
    <m/>
    <m/>
    <n v="90"/>
    <b v="0"/>
    <m/>
    <m/>
    <s v="+"/>
    <x v="28"/>
    <s v="Manual"/>
    <m/>
  </r>
  <r>
    <x v="20"/>
    <d v="2020-12-30T00:00:00"/>
    <s v="Cash Rewards Visa Signature"/>
    <x v="594"/>
    <n v="18.5"/>
    <x v="28"/>
    <m/>
    <m/>
    <m/>
    <n v="18.5"/>
    <b v="0"/>
    <m/>
    <m/>
    <s v="-"/>
    <x v="575"/>
    <s v="Manual"/>
    <m/>
  </r>
  <r>
    <x v="20"/>
    <d v="2020-12-30T00:00:00"/>
    <s v="Cash Rewards Visa Signature"/>
    <x v="1121"/>
    <n v="-18.39"/>
    <x v="8"/>
    <m/>
    <m/>
    <m/>
    <n v="18.39"/>
    <b v="0"/>
    <m/>
    <m/>
    <s v="+"/>
    <x v="1067"/>
    <s v="Create Rule; and Description Like '%Kohl%';Shopping"/>
    <m/>
  </r>
  <r>
    <x v="20"/>
    <d v="2020-12-30T00:00:00"/>
    <s v="Cash Rewards Visa Signature"/>
    <x v="130"/>
    <n v="26.32"/>
    <x v="1"/>
    <m/>
    <m/>
    <m/>
    <n v="26.32"/>
    <b v="0"/>
    <m/>
    <m/>
    <s v="-"/>
    <x v="129"/>
    <s v="Create Rule; and Description='Leeann Chin';Restaurants"/>
    <m/>
  </r>
  <r>
    <x v="20"/>
    <d v="2020-12-30T00:00:00"/>
    <s v="Cash Rewards Visa Signature"/>
    <x v="49"/>
    <n v="25.8"/>
    <x v="26"/>
    <m/>
    <m/>
    <m/>
    <n v="25.8"/>
    <b v="0"/>
    <m/>
    <m/>
    <s v="-"/>
    <x v="49"/>
    <s v="Create Rule; and Description='Lululemon';Shopping"/>
    <m/>
  </r>
  <r>
    <x v="20"/>
    <d v="2020-12-30T00:00:00"/>
    <s v="Cash Rewards Visa Signature"/>
    <x v="49"/>
    <n v="12.75"/>
    <x v="26"/>
    <m/>
    <m/>
    <m/>
    <n v="12.75"/>
    <b v="0"/>
    <m/>
    <m/>
    <s v="-"/>
    <x v="49"/>
    <s v="Create Rule; and Description='Lululemon';Shopping"/>
    <m/>
  </r>
  <r>
    <x v="20"/>
    <d v="2020-12-30T00:00:00"/>
    <s v="POWERPLUS"/>
    <x v="1152"/>
    <n v="391.2"/>
    <x v="26"/>
    <m/>
    <m/>
    <m/>
    <n v="391.2"/>
    <b v="0"/>
    <m/>
    <m/>
    <s v="-"/>
    <x v="1095"/>
    <s v="Create Rule; and Description Like '%MHCHILDCARELLC%';Day Care"/>
    <m/>
  </r>
  <r>
    <x v="20"/>
    <d v="2020-12-30T00:00:00"/>
    <s v="POWERPLUS"/>
    <x v="1153"/>
    <n v="391.2"/>
    <x v="26"/>
    <m/>
    <m/>
    <m/>
    <n v="391.2"/>
    <b v="0"/>
    <m/>
    <m/>
    <s v="-"/>
    <x v="1096"/>
    <s v="Create Rule; and Description Like '%MHCHILDCARELLC%';Day Care"/>
    <m/>
  </r>
  <r>
    <x v="20"/>
    <d v="2020-12-30T00:00:00"/>
    <s v="POWERPLUS"/>
    <x v="1154"/>
    <n v="391.2"/>
    <x v="26"/>
    <m/>
    <m/>
    <m/>
    <n v="391.2"/>
    <b v="0"/>
    <m/>
    <m/>
    <s v="-"/>
    <x v="1097"/>
    <s v="Create Rule; and Description Like '%MHCHILDCARELLC%';Day Care"/>
    <m/>
  </r>
  <r>
    <x v="20"/>
    <d v="2020-12-30T00:00:00"/>
    <s v="Investor Checking"/>
    <x v="1155"/>
    <n v="5000"/>
    <x v="26"/>
    <m/>
    <m/>
    <m/>
    <n v="5000"/>
    <b v="0"/>
    <m/>
    <m/>
    <s v="-"/>
    <x v="1098"/>
    <s v="Create Rule; and Description Like '%MN DIR ACH%';College Savings"/>
    <m/>
  </r>
  <r>
    <x v="20"/>
    <d v="2020-12-30T00:00:00"/>
    <s v="Investor Checking"/>
    <x v="1156"/>
    <n v="500"/>
    <x v="26"/>
    <m/>
    <m/>
    <m/>
    <n v="500"/>
    <b v="0"/>
    <m/>
    <m/>
    <s v="-"/>
    <x v="1099"/>
    <s v="Create Rule; and Description Like '%MN DIR ACH%';College Savings"/>
    <m/>
  </r>
  <r>
    <x v="20"/>
    <d v="2020-12-30T00:00:00"/>
    <s v="POWERPLUS"/>
    <x v="1157"/>
    <n v="200"/>
    <x v="26"/>
    <m/>
    <m/>
    <m/>
    <n v="200"/>
    <b v="0"/>
    <m/>
    <m/>
    <s v="-"/>
    <x v="1100"/>
    <s v="Create Rule; and Description Like '%MN DIR ACH%';College Savings"/>
    <m/>
  </r>
  <r>
    <x v="20"/>
    <d v="2020-12-30T00:00:00"/>
    <s v="Discover"/>
    <x v="99"/>
    <n v="12.99"/>
    <x v="11"/>
    <m/>
    <m/>
    <m/>
    <n v="12.99"/>
    <b v="0"/>
    <m/>
    <m/>
    <s v="-"/>
    <x v="99"/>
    <s v="Create Rule; and Description='Netflix';Utilities"/>
    <m/>
  </r>
  <r>
    <x v="20"/>
    <d v="2020-12-30T00:00:00"/>
    <s v="Discover More Card"/>
    <x v="99"/>
    <n v="12.99"/>
    <x v="11"/>
    <m/>
    <m/>
    <m/>
    <n v="12.99"/>
    <b v="0"/>
    <m/>
    <m/>
    <s v="-"/>
    <x v="99"/>
    <s v="Create Rule; and Description='Netflix';Utilities"/>
    <m/>
  </r>
  <r>
    <x v="20"/>
    <d v="2020-12-30T00:00:00"/>
    <s v="POWERPLUS"/>
    <x v="308"/>
    <n v="500"/>
    <x v="8"/>
    <m/>
    <m/>
    <m/>
    <n v="500"/>
    <b v="0"/>
    <m/>
    <m/>
    <s v="-"/>
    <x v="300"/>
    <s v="Create Rule; and Description='Nordstrom';Shopping"/>
    <m/>
  </r>
  <r>
    <x v="20"/>
    <d v="2020-12-30T00:00:00"/>
    <s v="Discover"/>
    <x v="1158"/>
    <n v="118.8"/>
    <x v="26"/>
    <m/>
    <m/>
    <m/>
    <n v="118.8"/>
    <b v="0"/>
    <m/>
    <m/>
    <s v="-"/>
    <x v="1101"/>
    <s v="Create Rule; and Description='NORTH LOOP WINE AND SPIR MINNEAPOLIS MN';Groceries"/>
    <m/>
  </r>
  <r>
    <x v="20"/>
    <d v="2020-12-30T00:00:00"/>
    <s v="Discover More Card"/>
    <x v="1158"/>
    <n v="118.8"/>
    <x v="26"/>
    <m/>
    <m/>
    <m/>
    <n v="118.8"/>
    <b v="0"/>
    <m/>
    <m/>
    <s v="-"/>
    <x v="1101"/>
    <s v="Create Rule; and Description='NORTH LOOP WINE AND SPIR MINNEAPOLIS MN';Groceries"/>
    <m/>
  </r>
  <r>
    <x v="20"/>
    <d v="2020-12-30T00:00:00"/>
    <s v="Discover"/>
    <x v="570"/>
    <n v="16.07"/>
    <x v="1"/>
    <m/>
    <m/>
    <m/>
    <n v="16.07"/>
    <b v="0"/>
    <m/>
    <m/>
    <s v="-"/>
    <x v="551"/>
    <s v="Create Rule; and Description Like '%Panera Bread%';Restaurants"/>
    <m/>
  </r>
  <r>
    <x v="20"/>
    <d v="2020-12-30T00:00:00"/>
    <s v="Discover More Card"/>
    <x v="570"/>
    <n v="16.07"/>
    <x v="1"/>
    <m/>
    <m/>
    <m/>
    <n v="16.07"/>
    <b v="0"/>
    <m/>
    <m/>
    <s v="-"/>
    <x v="551"/>
    <s v="Create Rule; and Description Like '%Panera Bread%';Restaurants"/>
    <m/>
  </r>
  <r>
    <x v="20"/>
    <d v="2020-12-30T00:00:00"/>
    <s v="Cash Rewards Visa Signature"/>
    <x v="487"/>
    <n v="479"/>
    <x v="8"/>
    <m/>
    <m/>
    <m/>
    <n v="479"/>
    <b v="0"/>
    <m/>
    <m/>
    <s v="-"/>
    <x v="470"/>
    <s v="Create Rule; and Description='Patagonia';Shopping"/>
    <m/>
  </r>
  <r>
    <x v="20"/>
    <d v="2020-12-30T00:00:00"/>
    <s v="POWERPLUS"/>
    <x v="157"/>
    <n v="7.99"/>
    <x v="8"/>
    <m/>
    <m/>
    <m/>
    <n v="7.99"/>
    <b v="0"/>
    <m/>
    <m/>
    <s v="-"/>
    <x v="156"/>
    <s v="Create Rule; and Description Like '%PayPal%';Shopping"/>
    <m/>
  </r>
  <r>
    <x v="20"/>
    <d v="2020-12-30T00:00:00"/>
    <s v="POWERPLUS"/>
    <x v="157"/>
    <n v="57.34"/>
    <x v="8"/>
    <m/>
    <m/>
    <m/>
    <n v="57.34"/>
    <b v="0"/>
    <m/>
    <m/>
    <s v="-"/>
    <x v="156"/>
    <s v="Create Rule; and Description Like '%PayPal%';Shopping"/>
    <m/>
  </r>
  <r>
    <x v="20"/>
    <d v="2020-12-30T00:00:00"/>
    <s v="POWERPLUS"/>
    <x v="157"/>
    <n v="29.98"/>
    <x v="8"/>
    <m/>
    <m/>
    <m/>
    <n v="29.98"/>
    <b v="0"/>
    <m/>
    <m/>
    <s v="-"/>
    <x v="156"/>
    <s v="Create Rule; and Description Like '%PayPal%';Shopping"/>
    <m/>
  </r>
  <r>
    <x v="20"/>
    <d v="2020-12-30T00:00:00"/>
    <s v="POWERPLUS"/>
    <x v="157"/>
    <n v="0.99"/>
    <x v="8"/>
    <m/>
    <m/>
    <m/>
    <n v="0.99"/>
    <b v="0"/>
    <m/>
    <m/>
    <s v="-"/>
    <x v="156"/>
    <s v="Create Rule; and Description Like '%PayPal%';Shopping"/>
    <m/>
  </r>
  <r>
    <x v="20"/>
    <d v="2020-12-30T00:00:00"/>
    <s v="POWERPLUS"/>
    <x v="157"/>
    <n v="4.24"/>
    <x v="8"/>
    <m/>
    <m/>
    <m/>
    <n v="4.24"/>
    <b v="0"/>
    <m/>
    <m/>
    <s v="-"/>
    <x v="156"/>
    <s v="Create Rule; and Description Like '%PayPal%';Shopping"/>
    <m/>
  </r>
  <r>
    <x v="20"/>
    <d v="2020-12-30T00:00:00"/>
    <s v="Joint Tenant"/>
    <x v="741"/>
    <n v="-69.91"/>
    <x v="26"/>
    <m/>
    <m/>
    <m/>
    <n v="69.91"/>
    <b v="0"/>
    <m/>
    <m/>
    <s v="+"/>
    <x v="714"/>
    <s v="Delete; and Source='Joint Tenant';0"/>
    <m/>
  </r>
  <r>
    <x v="20"/>
    <d v="2020-12-30T00:00:00"/>
    <s v="Joint Tenant"/>
    <x v="741"/>
    <n v="69.91"/>
    <x v="26"/>
    <m/>
    <m/>
    <m/>
    <n v="69.91"/>
    <b v="0"/>
    <m/>
    <m/>
    <s v="-"/>
    <x v="714"/>
    <s v="Delete; and Source='Joint Tenant';0"/>
    <m/>
  </r>
  <r>
    <x v="20"/>
    <d v="2020-12-30T00:00:00"/>
    <s v="Cash Rewards Visa Signature"/>
    <x v="948"/>
    <n v="18.18"/>
    <x v="26"/>
    <m/>
    <m/>
    <m/>
    <n v="18.18"/>
    <b v="0"/>
    <m/>
    <m/>
    <s v="-"/>
    <x v="911"/>
    <s v="Manual"/>
    <m/>
  </r>
  <r>
    <x v="20"/>
    <d v="2020-12-30T00:00:00"/>
    <s v="Joint Tenant"/>
    <x v="1159"/>
    <n v="-60.05"/>
    <x v="26"/>
    <m/>
    <m/>
    <m/>
    <n v="60.05"/>
    <b v="0"/>
    <m/>
    <m/>
    <s v="+"/>
    <x v="1102"/>
    <s v="Delete; and Source='Joint Tenant';0"/>
    <m/>
  </r>
  <r>
    <x v="20"/>
    <d v="2020-12-30T00:00:00"/>
    <s v="Joint Tenant"/>
    <x v="1159"/>
    <n v="60.05"/>
    <x v="26"/>
    <m/>
    <m/>
    <m/>
    <n v="60.05"/>
    <b v="0"/>
    <m/>
    <m/>
    <s v="-"/>
    <x v="1102"/>
    <s v="Delete; and Source='Joint Tenant';0"/>
    <m/>
  </r>
  <r>
    <x v="20"/>
    <d v="2020-12-30T00:00:00"/>
    <s v="Joint Tenant"/>
    <x v="19"/>
    <n v="-3.76"/>
    <x v="26"/>
    <m/>
    <m/>
    <m/>
    <n v="3.76"/>
    <b v="0"/>
    <m/>
    <m/>
    <s v="+"/>
    <x v="19"/>
    <s v="Delete; and Source='Joint Tenant';0"/>
    <m/>
  </r>
  <r>
    <x v="20"/>
    <d v="2020-12-30T00:00:00"/>
    <s v="Joint Tenant"/>
    <x v="19"/>
    <n v="3.76"/>
    <x v="26"/>
    <m/>
    <m/>
    <m/>
    <n v="3.76"/>
    <b v="0"/>
    <m/>
    <m/>
    <s v="-"/>
    <x v="19"/>
    <s v="Delete; and Description='SCHWAB S&amp;P 500 INDEX FD' and inflowoutflow='-';0"/>
    <m/>
  </r>
  <r>
    <x v="20"/>
    <d v="2020-12-30T00:00:00"/>
    <s v="Jeff IRA"/>
    <x v="19"/>
    <n v="-73.88"/>
    <x v="26"/>
    <m/>
    <m/>
    <m/>
    <n v="73.88"/>
    <b v="0"/>
    <m/>
    <m/>
    <s v="+"/>
    <x v="19"/>
    <m/>
    <m/>
  </r>
  <r>
    <x v="20"/>
    <d v="2020-12-30T00:00:00"/>
    <s v="Jeff IRA"/>
    <x v="19"/>
    <n v="73.88"/>
    <x v="26"/>
    <m/>
    <m/>
    <m/>
    <n v="73.88"/>
    <b v="0"/>
    <m/>
    <m/>
    <s v="-"/>
    <x v="19"/>
    <s v="Delete; and Description='SCHWAB S&amp;P 500 INDEX FD' and inflowoutflow='-';0"/>
    <m/>
  </r>
  <r>
    <x v="20"/>
    <d v="2020-12-30T00:00:00"/>
    <s v="Jeff Roth"/>
    <x v="19"/>
    <n v="-140.11000000000001"/>
    <x v="26"/>
    <m/>
    <m/>
    <m/>
    <n v="140.11000000000001"/>
    <b v="0"/>
    <m/>
    <m/>
    <s v="+"/>
    <x v="19"/>
    <m/>
    <m/>
  </r>
  <r>
    <x v="20"/>
    <d v="2020-12-30T00:00:00"/>
    <s v="Roth Contributory IRA"/>
    <x v="19"/>
    <n v="-140.11000000000001"/>
    <x v="26"/>
    <m/>
    <m/>
    <m/>
    <n v="140.11000000000001"/>
    <b v="0"/>
    <m/>
    <m/>
    <s v="+"/>
    <x v="19"/>
    <m/>
    <m/>
  </r>
  <r>
    <x v="20"/>
    <d v="2020-12-30T00:00:00"/>
    <s v="Jeff Roth"/>
    <x v="19"/>
    <n v="140.11000000000001"/>
    <x v="26"/>
    <m/>
    <m/>
    <m/>
    <n v="140.11000000000001"/>
    <b v="0"/>
    <m/>
    <m/>
    <s v="-"/>
    <x v="19"/>
    <s v="Delete; and Description='SCHWAB S&amp;P 500 INDEX FD' and inflowoutflow='-';0"/>
    <m/>
  </r>
  <r>
    <x v="20"/>
    <d v="2020-12-30T00:00:00"/>
    <s v="Roth Contributory IRA"/>
    <x v="19"/>
    <n v="140.11000000000001"/>
    <x v="26"/>
    <m/>
    <m/>
    <m/>
    <n v="140.11000000000001"/>
    <b v="0"/>
    <m/>
    <m/>
    <s v="-"/>
    <x v="19"/>
    <s v="Delete; and Description='SCHWAB S&amp;P 500 INDEX FD' and inflowoutflow='-';0"/>
    <m/>
  </r>
  <r>
    <x v="20"/>
    <d v="2020-12-30T00:00:00"/>
    <s v="Britney Roth"/>
    <x v="19"/>
    <n v="-141.91999999999999"/>
    <x v="26"/>
    <m/>
    <m/>
    <m/>
    <n v="141.91999999999999"/>
    <b v="0"/>
    <m/>
    <m/>
    <s v="+"/>
    <x v="19"/>
    <m/>
    <m/>
  </r>
  <r>
    <x v="20"/>
    <d v="2020-12-30T00:00:00"/>
    <s v="Roth Contributory IRA"/>
    <x v="19"/>
    <n v="-141.91999999999999"/>
    <x v="26"/>
    <m/>
    <m/>
    <m/>
    <n v="141.91999999999999"/>
    <b v="0"/>
    <m/>
    <m/>
    <s v="+"/>
    <x v="19"/>
    <m/>
    <m/>
  </r>
  <r>
    <x v="20"/>
    <d v="2020-12-30T00:00:00"/>
    <s v="Britney Roth"/>
    <x v="19"/>
    <n v="141.91999999999999"/>
    <x v="26"/>
    <m/>
    <m/>
    <m/>
    <n v="141.91999999999999"/>
    <b v="0"/>
    <m/>
    <m/>
    <s v="-"/>
    <x v="19"/>
    <s v="Delete; and Description='SCHWAB S&amp;P 500 INDEX FD' and inflowoutflow='-';0"/>
    <m/>
  </r>
  <r>
    <x v="20"/>
    <d v="2020-12-30T00:00:00"/>
    <s v="Roth Contributory IRA"/>
    <x v="19"/>
    <n v="141.91999999999999"/>
    <x v="26"/>
    <m/>
    <m/>
    <m/>
    <n v="141.91999999999999"/>
    <b v="0"/>
    <m/>
    <m/>
    <s v="-"/>
    <x v="19"/>
    <s v="Delete; and Description='SCHWAB S&amp;P 500 INDEX FD' and inflowoutflow='-';0"/>
    <m/>
  </r>
  <r>
    <x v="20"/>
    <d v="2020-12-30T00:00:00"/>
    <s v="Joint Tenant"/>
    <x v="19"/>
    <n v="-586.22"/>
    <x v="26"/>
    <m/>
    <m/>
    <m/>
    <n v="586.22"/>
    <b v="0"/>
    <m/>
    <m/>
    <s v="+"/>
    <x v="19"/>
    <s v="Delete; and Source='Joint Tenant';0"/>
    <m/>
  </r>
  <r>
    <x v="20"/>
    <d v="2020-12-30T00:00:00"/>
    <s v="Joint Tenant"/>
    <x v="19"/>
    <n v="586.22"/>
    <x v="26"/>
    <m/>
    <m/>
    <m/>
    <n v="586.22"/>
    <b v="0"/>
    <m/>
    <m/>
    <s v="-"/>
    <x v="19"/>
    <s v="Delete; and Description='SCHWAB S&amp;P 500 INDEX FD' and inflowoutflow='-';0"/>
    <m/>
  </r>
  <r>
    <x v="20"/>
    <d v="2020-12-30T00:00:00"/>
    <s v="Joint Tenant"/>
    <x v="19"/>
    <n v="200"/>
    <x v="26"/>
    <m/>
    <m/>
    <m/>
    <n v="200"/>
    <b v="0"/>
    <m/>
    <m/>
    <s v="-"/>
    <x v="19"/>
    <s v="Delete; and Description='SCHWAB S&amp;P 500 INDEX FD' and inflowoutflow='-';0"/>
    <m/>
  </r>
  <r>
    <x v="20"/>
    <d v="2020-12-30T00:00:00"/>
    <s v="Joint Tenant"/>
    <x v="20"/>
    <n v="-6.68"/>
    <x v="26"/>
    <m/>
    <m/>
    <m/>
    <n v="6.68"/>
    <b v="0"/>
    <m/>
    <m/>
    <s v="+"/>
    <x v="20"/>
    <s v="Delete; and Source='Joint Tenant';0"/>
    <m/>
  </r>
  <r>
    <x v="20"/>
    <d v="2020-12-30T00:00:00"/>
    <s v="Joint Tenant"/>
    <x v="20"/>
    <n v="6.68"/>
    <x v="26"/>
    <m/>
    <m/>
    <m/>
    <n v="6.68"/>
    <b v="0"/>
    <m/>
    <m/>
    <s v="-"/>
    <x v="20"/>
    <s v="Delete; and Description='SCHWAB TOTAL STOCK MKT INDEX' and inflowoutflow='-';0"/>
    <m/>
  </r>
  <r>
    <x v="20"/>
    <d v="2020-12-30T00:00:00"/>
    <s v="Jeff Roth"/>
    <x v="20"/>
    <n v="-27.6"/>
    <x v="26"/>
    <m/>
    <m/>
    <m/>
    <n v="27.6"/>
    <b v="0"/>
    <m/>
    <m/>
    <s v="+"/>
    <x v="20"/>
    <m/>
    <m/>
  </r>
  <r>
    <x v="20"/>
    <d v="2020-12-30T00:00:00"/>
    <s v="Roth Contributory IRA"/>
    <x v="20"/>
    <n v="-27.6"/>
    <x v="26"/>
    <m/>
    <m/>
    <m/>
    <n v="27.6"/>
    <b v="0"/>
    <m/>
    <m/>
    <s v="+"/>
    <x v="20"/>
    <m/>
    <m/>
  </r>
  <r>
    <x v="20"/>
    <d v="2020-12-30T00:00:00"/>
    <s v="Jeff Roth"/>
    <x v="20"/>
    <n v="27.6"/>
    <x v="26"/>
    <m/>
    <m/>
    <m/>
    <n v="27.6"/>
    <b v="0"/>
    <m/>
    <m/>
    <s v="-"/>
    <x v="20"/>
    <s v="Delete; and Description='SCHWAB TOTAL STOCK MKT INDEX' and inflowoutflow='-';0"/>
    <m/>
  </r>
  <r>
    <x v="20"/>
    <d v="2020-12-30T00:00:00"/>
    <s v="Roth Contributory IRA"/>
    <x v="20"/>
    <n v="27.6"/>
    <x v="26"/>
    <m/>
    <m/>
    <m/>
    <n v="27.6"/>
    <b v="0"/>
    <m/>
    <m/>
    <s v="-"/>
    <x v="20"/>
    <s v="Delete; and Description='SCHWAB TOTAL STOCK MKT INDEX' and inflowoutflow='-';0"/>
    <m/>
  </r>
  <r>
    <x v="20"/>
    <d v="2020-12-30T00:00:00"/>
    <s v="Britney Roth"/>
    <x v="20"/>
    <n v="-69.180000000000007"/>
    <x v="26"/>
    <m/>
    <m/>
    <m/>
    <n v="69.180000000000007"/>
    <b v="0"/>
    <m/>
    <m/>
    <s v="+"/>
    <x v="20"/>
    <m/>
    <m/>
  </r>
  <r>
    <x v="20"/>
    <d v="2020-12-30T00:00:00"/>
    <s v="Roth Contributory IRA"/>
    <x v="20"/>
    <n v="-69.180000000000007"/>
    <x v="26"/>
    <m/>
    <m/>
    <m/>
    <n v="69.180000000000007"/>
    <b v="0"/>
    <m/>
    <m/>
    <s v="+"/>
    <x v="20"/>
    <m/>
    <m/>
  </r>
  <r>
    <x v="20"/>
    <d v="2020-12-30T00:00:00"/>
    <s v="Britney Roth"/>
    <x v="20"/>
    <n v="69.180000000000007"/>
    <x v="26"/>
    <m/>
    <m/>
    <m/>
    <n v="69.180000000000007"/>
    <b v="0"/>
    <m/>
    <m/>
    <s v="-"/>
    <x v="20"/>
    <s v="Delete; and Description='SCHWAB TOTAL STOCK MKT INDEX' and inflowoutflow='-';0"/>
    <m/>
  </r>
  <r>
    <x v="20"/>
    <d v="2020-12-30T00:00:00"/>
    <s v="Roth Contributory IRA"/>
    <x v="20"/>
    <n v="69.180000000000007"/>
    <x v="26"/>
    <m/>
    <m/>
    <m/>
    <n v="69.180000000000007"/>
    <b v="0"/>
    <m/>
    <m/>
    <s v="-"/>
    <x v="20"/>
    <s v="Delete; and Description='SCHWAB TOTAL STOCK MKT INDEX' and inflowoutflow='-';0"/>
    <m/>
  </r>
  <r>
    <x v="20"/>
    <d v="2020-12-30T00:00:00"/>
    <s v="Joint Tenant"/>
    <x v="20"/>
    <n v="-359.39"/>
    <x v="26"/>
    <m/>
    <m/>
    <m/>
    <n v="359.39"/>
    <b v="0"/>
    <m/>
    <m/>
    <s v="+"/>
    <x v="20"/>
    <s v="Delete; and Source='Joint Tenant';0"/>
    <m/>
  </r>
  <r>
    <x v="20"/>
    <d v="2020-12-30T00:00:00"/>
    <s v="Joint Tenant"/>
    <x v="20"/>
    <n v="359.39"/>
    <x v="26"/>
    <m/>
    <m/>
    <m/>
    <n v="359.39"/>
    <b v="0"/>
    <m/>
    <m/>
    <s v="-"/>
    <x v="20"/>
    <s v="Delete; and Description='SCHWAB TOTAL STOCK MKT INDEX' and inflowoutflow='-';0"/>
    <m/>
  </r>
  <r>
    <x v="20"/>
    <d v="2020-12-30T00:00:00"/>
    <s v="Jeff IRA"/>
    <x v="20"/>
    <n v="750"/>
    <x v="26"/>
    <m/>
    <m/>
    <m/>
    <n v="750"/>
    <b v="0"/>
    <m/>
    <m/>
    <s v="-"/>
    <x v="20"/>
    <s v="Delete; and Description='SCHWAB TOTAL STOCK MKT INDEX' and inflowoutflow='-';0"/>
    <m/>
  </r>
  <r>
    <x v="20"/>
    <d v="2020-12-30T00:00:00"/>
    <s v="Contributory"/>
    <x v="20"/>
    <n v="1000"/>
    <x v="26"/>
    <m/>
    <m/>
    <m/>
    <n v="1000"/>
    <b v="0"/>
    <m/>
    <m/>
    <s v="-"/>
    <x v="20"/>
    <s v="Delete; and Description='SCHWAB TOTAL STOCK MKT INDEX' and inflowoutflow='-';0"/>
    <m/>
  </r>
  <r>
    <x v="20"/>
    <d v="2020-12-30T00:00:00"/>
    <s v="Joint Tenant"/>
    <x v="20"/>
    <n v="200"/>
    <x v="26"/>
    <m/>
    <m/>
    <m/>
    <n v="200"/>
    <b v="0"/>
    <m/>
    <m/>
    <s v="-"/>
    <x v="20"/>
    <s v="Delete; and Description='SCHWAB TOTAL STOCK MKT INDEX' and inflowoutflow='-';0"/>
    <m/>
  </r>
  <r>
    <x v="20"/>
    <d v="2020-12-30T00:00:00"/>
    <s v="Tucker"/>
    <x v="20"/>
    <n v="600"/>
    <x v="26"/>
    <m/>
    <m/>
    <m/>
    <n v="600"/>
    <b v="0"/>
    <m/>
    <m/>
    <s v="-"/>
    <x v="20"/>
    <s v="Delete; and Description='SCHWAB TOTAL STOCK MKT INDEX' and inflowoutflow='-';0"/>
    <m/>
  </r>
  <r>
    <x v="20"/>
    <d v="2020-12-30T00:00:00"/>
    <s v="Cooper"/>
    <x v="20"/>
    <n v="700"/>
    <x v="26"/>
    <m/>
    <m/>
    <m/>
    <n v="700"/>
    <b v="0"/>
    <m/>
    <m/>
    <s v="-"/>
    <x v="20"/>
    <s v="Delete; and Description='SCHWAB TOTAL STOCK MKT INDEX' and inflowoutflow='-';0"/>
    <m/>
  </r>
  <r>
    <x v="20"/>
    <d v="2020-12-30T00:00:00"/>
    <s v="Joint Tenant"/>
    <x v="271"/>
    <n v="-2.4300000000000002"/>
    <x v="26"/>
    <m/>
    <m/>
    <m/>
    <n v="2.4300000000000002"/>
    <b v="0"/>
    <m/>
    <m/>
    <s v="+"/>
    <x v="267"/>
    <s v="Delete; and Source='Joint Tenant';0"/>
    <m/>
  </r>
  <r>
    <x v="20"/>
    <d v="2020-12-30T00:00:00"/>
    <s v="Joint Tenant"/>
    <x v="271"/>
    <n v="2.4300000000000002"/>
    <x v="26"/>
    <m/>
    <m/>
    <m/>
    <n v="2.4300000000000002"/>
    <b v="0"/>
    <m/>
    <m/>
    <s v="-"/>
    <x v="267"/>
    <s v="Delete; and Description='SCHWAB US LARGE CAP GROWTH INDEX FD' and inflowoutflow='-';0"/>
    <m/>
  </r>
  <r>
    <x v="20"/>
    <d v="2020-12-30T00:00:00"/>
    <s v="Joint Tenant"/>
    <x v="271"/>
    <n v="-3.51"/>
    <x v="26"/>
    <m/>
    <m/>
    <m/>
    <n v="3.51"/>
    <b v="0"/>
    <m/>
    <m/>
    <s v="+"/>
    <x v="267"/>
    <s v="Delete; and Source='Joint Tenant';0"/>
    <m/>
  </r>
  <r>
    <x v="20"/>
    <d v="2020-12-30T00:00:00"/>
    <s v="Joint Tenant"/>
    <x v="271"/>
    <n v="3.51"/>
    <x v="26"/>
    <m/>
    <m/>
    <m/>
    <n v="3.51"/>
    <b v="0"/>
    <m/>
    <m/>
    <s v="-"/>
    <x v="267"/>
    <s v="Delete; and Description='SCHWAB US LARGE CAP GROWTH INDEX FD' and inflowoutflow='-';0"/>
    <m/>
  </r>
  <r>
    <x v="20"/>
    <d v="2020-12-30T00:00:00"/>
    <s v="Jeff Roth"/>
    <x v="271"/>
    <n v="-13.52"/>
    <x v="26"/>
    <m/>
    <m/>
    <m/>
    <n v="13.52"/>
    <b v="0"/>
    <m/>
    <m/>
    <s v="+"/>
    <x v="267"/>
    <m/>
    <m/>
  </r>
  <r>
    <x v="20"/>
    <d v="2020-12-30T00:00:00"/>
    <s v="Roth Contributory IRA"/>
    <x v="271"/>
    <n v="-13.52"/>
    <x v="26"/>
    <m/>
    <m/>
    <m/>
    <n v="13.52"/>
    <b v="0"/>
    <m/>
    <m/>
    <s v="+"/>
    <x v="267"/>
    <m/>
    <m/>
  </r>
  <r>
    <x v="20"/>
    <d v="2020-12-30T00:00:00"/>
    <s v="Jeff Roth"/>
    <x v="271"/>
    <n v="13.52"/>
    <x v="26"/>
    <m/>
    <m/>
    <m/>
    <n v="13.52"/>
    <b v="0"/>
    <m/>
    <m/>
    <s v="-"/>
    <x v="267"/>
    <s v="Delete; and Description='SCHWAB US LARGE CAP GROWTH INDEX FD' and inflowoutflow='-';0"/>
    <m/>
  </r>
  <r>
    <x v="20"/>
    <d v="2020-12-30T00:00:00"/>
    <s v="Roth Contributory IRA"/>
    <x v="271"/>
    <n v="13.52"/>
    <x v="26"/>
    <m/>
    <m/>
    <m/>
    <n v="13.52"/>
    <b v="0"/>
    <m/>
    <m/>
    <s v="-"/>
    <x v="267"/>
    <s v="Delete; and Description='SCHWAB US LARGE CAP GROWTH INDEX FD' and inflowoutflow='-';0"/>
    <m/>
  </r>
  <r>
    <x v="20"/>
    <d v="2020-12-30T00:00:00"/>
    <s v="Joint Tenant"/>
    <x v="271"/>
    <n v="700"/>
    <x v="26"/>
    <m/>
    <m/>
    <m/>
    <n v="700"/>
    <b v="0"/>
    <m/>
    <m/>
    <s v="-"/>
    <x v="267"/>
    <s v="Delete; and Description='SCHWAB US LARGE CAP GROWTH INDEX FD' and inflowoutflow='-';0"/>
    <m/>
  </r>
  <r>
    <x v="20"/>
    <d v="2020-12-30T00:00:00"/>
    <s v="Joint Tenant"/>
    <x v="300"/>
    <n v="-20.16"/>
    <x v="26"/>
    <m/>
    <m/>
    <m/>
    <n v="20.16"/>
    <b v="0"/>
    <m/>
    <m/>
    <s v="+"/>
    <x v="293"/>
    <s v="Create Rule; and Description='SCHWAB US SMALL CAP ETF';Dividend"/>
    <m/>
  </r>
  <r>
    <x v="20"/>
    <d v="2020-12-30T00:00:00"/>
    <s v="Joint Tenant"/>
    <x v="300"/>
    <n v="20.16"/>
    <x v="26"/>
    <m/>
    <m/>
    <m/>
    <n v="20.16"/>
    <b v="0"/>
    <m/>
    <m/>
    <s v="-"/>
    <x v="293"/>
    <s v="Create Rule; and Description='SCHWAB US SMALL CAP ETF';Dividend"/>
    <m/>
  </r>
  <r>
    <x v="20"/>
    <d v="2020-12-30T00:00:00"/>
    <s v="RAINY DAY"/>
    <x v="515"/>
    <n v="-300"/>
    <x v="26"/>
    <m/>
    <m/>
    <m/>
    <n v="300"/>
    <b v="0"/>
    <m/>
    <m/>
    <s v="+"/>
    <x v="496"/>
    <s v="Create Rule; and Description='Share';Delete"/>
    <m/>
  </r>
  <r>
    <x v="20"/>
    <d v="2020-12-30T00:00:00"/>
    <s v="RAINY DAY"/>
    <x v="515"/>
    <n v="-200"/>
    <x v="26"/>
    <m/>
    <m/>
    <m/>
    <n v="200"/>
    <b v="0"/>
    <m/>
    <m/>
    <s v="+"/>
    <x v="496"/>
    <s v="Create Rule; and Description='Share';Delete"/>
    <m/>
  </r>
  <r>
    <x v="20"/>
    <d v="2020-12-30T00:00:00"/>
    <s v="Cash Rewards Visa Signature"/>
    <x v="309"/>
    <n v="64.819999999999993"/>
    <x v="26"/>
    <m/>
    <m/>
    <m/>
    <n v="64.819999999999993"/>
    <b v="0"/>
    <m/>
    <m/>
    <s v="-"/>
    <x v="301"/>
    <s v="Create Rule; and Description='Sherwin Williams';House Maintenance"/>
    <m/>
  </r>
  <r>
    <x v="20"/>
    <d v="2020-12-30T00:00:00"/>
    <s v="Cash Rewards Visa Signature"/>
    <x v="309"/>
    <n v="82.01"/>
    <x v="26"/>
    <m/>
    <m/>
    <m/>
    <n v="82.01"/>
    <b v="0"/>
    <m/>
    <m/>
    <s v="-"/>
    <x v="301"/>
    <s v="Create Rule; and Description='Sherwin Williams';House Maintenance"/>
    <m/>
  </r>
  <r>
    <x v="20"/>
    <d v="2020-12-30T00:00:00"/>
    <s v="Cash Rewards Visa Signature"/>
    <x v="309"/>
    <n v="96.07"/>
    <x v="26"/>
    <m/>
    <m/>
    <m/>
    <n v="96.07"/>
    <b v="0"/>
    <m/>
    <m/>
    <s v="-"/>
    <x v="301"/>
    <s v="Create Rule; and Description='Sherwin Williams';House Maintenance"/>
    <m/>
  </r>
  <r>
    <x v="20"/>
    <d v="2020-12-30T00:00:00"/>
    <s v="Cash Rewards Visa Signature"/>
    <x v="750"/>
    <n v="-39.25"/>
    <x v="25"/>
    <m/>
    <m/>
    <m/>
    <n v="39.25"/>
    <b v="0"/>
    <m/>
    <m/>
    <s v="+"/>
    <x v="723"/>
    <s v="Manual"/>
    <m/>
  </r>
  <r>
    <x v="20"/>
    <d v="2020-12-30T00:00:00"/>
    <s v="Discover"/>
    <x v="2"/>
    <n v="33.1"/>
    <x v="2"/>
    <m/>
    <m/>
    <m/>
    <n v="33.1"/>
    <b v="0"/>
    <m/>
    <m/>
    <s v="-"/>
    <x v="2"/>
    <s v="Create Rule; and Description='Speedway';Transportation"/>
    <m/>
  </r>
  <r>
    <x v="20"/>
    <d v="2020-12-30T00:00:00"/>
    <s v="Discover"/>
    <x v="2"/>
    <n v="14.94"/>
    <x v="2"/>
    <m/>
    <m/>
    <m/>
    <n v="14.94"/>
    <b v="0"/>
    <m/>
    <m/>
    <s v="-"/>
    <x v="2"/>
    <s v="Create Rule; and Description='Speedway';Transportation"/>
    <m/>
  </r>
  <r>
    <x v="20"/>
    <d v="2020-12-30T00:00:00"/>
    <s v="Cash Rewards Visa Signature"/>
    <x v="2"/>
    <n v="15.01"/>
    <x v="2"/>
    <m/>
    <m/>
    <m/>
    <n v="15.01"/>
    <b v="0"/>
    <m/>
    <m/>
    <s v="-"/>
    <x v="2"/>
    <s v="Create Rule; and Description='Speedway';Transportation"/>
    <m/>
  </r>
  <r>
    <x v="20"/>
    <d v="2020-12-30T00:00:00"/>
    <s v="Discover More Card"/>
    <x v="2"/>
    <n v="33.1"/>
    <x v="2"/>
    <m/>
    <m/>
    <m/>
    <n v="33.1"/>
    <b v="0"/>
    <m/>
    <m/>
    <s v="-"/>
    <x v="2"/>
    <s v="Create Rule; and Description='Speedway';Transportation"/>
    <m/>
  </r>
  <r>
    <x v="20"/>
    <d v="2020-12-30T00:00:00"/>
    <s v="Discover More Card"/>
    <x v="2"/>
    <n v="14.94"/>
    <x v="2"/>
    <m/>
    <m/>
    <m/>
    <n v="14.94"/>
    <b v="0"/>
    <m/>
    <m/>
    <s v="-"/>
    <x v="2"/>
    <s v="Create Rule; and Description='Speedway';Transportation"/>
    <m/>
  </r>
  <r>
    <x v="20"/>
    <d v="2020-12-30T00:00:00"/>
    <s v="RAINY DAY"/>
    <x v="119"/>
    <n v="-13.12"/>
    <x v="26"/>
    <m/>
    <m/>
    <m/>
    <n v="13.12"/>
    <b v="0"/>
    <m/>
    <m/>
    <s v="+"/>
    <x v="119"/>
    <s v="Create Rule; and Description='Split Rate Apy';Inc - Other"/>
    <m/>
  </r>
  <r>
    <x v="20"/>
    <d v="2020-12-30T00:00:00"/>
    <s v="POWERPLUS"/>
    <x v="119"/>
    <n v="-16.149999999999999"/>
    <x v="26"/>
    <m/>
    <m/>
    <m/>
    <n v="16.149999999999999"/>
    <b v="0"/>
    <m/>
    <m/>
    <s v="+"/>
    <x v="119"/>
    <s v="Create Rule; and Description='Split Rate Apy';Inc - Other"/>
    <m/>
  </r>
  <r>
    <x v="20"/>
    <d v="2020-12-30T00:00:00"/>
    <s v="Cash Rewards Visa Signature"/>
    <x v="579"/>
    <n v="25"/>
    <x v="1"/>
    <m/>
    <m/>
    <m/>
    <n v="25"/>
    <b v="0"/>
    <m/>
    <m/>
    <s v="-"/>
    <x v="560"/>
    <s v="Create Rule; and Description='Starbucks';Restaurants"/>
    <m/>
  </r>
  <r>
    <x v="20"/>
    <d v="2020-12-30T00:00:00"/>
    <s v="POWERPLUS"/>
    <x v="34"/>
    <n v="449.17"/>
    <x v="12"/>
    <m/>
    <m/>
    <m/>
    <n v="449.17"/>
    <b v="0"/>
    <m/>
    <m/>
    <s v="-"/>
    <x v="34"/>
    <s v="Create Rule; and Description='Target';Target"/>
    <m/>
  </r>
  <r>
    <x v="20"/>
    <d v="2020-12-30T00:00:00"/>
    <s v="Contributory"/>
    <x v="51"/>
    <n v="-231"/>
    <x v="26"/>
    <m/>
    <m/>
    <m/>
    <n v="231"/>
    <b v="0"/>
    <m/>
    <m/>
    <s v="+"/>
    <x v="51"/>
    <s v="Create Rule; and Description='Tfr JPMORGAN CHASE BAN, CARGILL COCOA &amp;';Roth"/>
    <m/>
  </r>
  <r>
    <x v="20"/>
    <d v="2020-12-30T00:00:00"/>
    <s v="Contributory"/>
    <x v="51"/>
    <n v="-231"/>
    <x v="26"/>
    <m/>
    <m/>
    <m/>
    <n v="231"/>
    <b v="0"/>
    <m/>
    <m/>
    <s v="+"/>
    <x v="51"/>
    <s v="Create Rule; and Description='Tfr JPMORGAN CHASE BAN, CARGILL COCOA &amp;';Roth"/>
    <m/>
  </r>
  <r>
    <x v="20"/>
    <d v="2020-12-30T00:00:00"/>
    <s v="Jeff IRA"/>
    <x v="951"/>
    <n v="-250"/>
    <x v="26"/>
    <m/>
    <m/>
    <m/>
    <n v="250"/>
    <b v="0"/>
    <m/>
    <m/>
    <s v="+"/>
    <x v="914"/>
    <s v="Create Rule; and Description Like '%CONNECTED ANALYT%';Inc - Jeff"/>
    <m/>
  </r>
  <r>
    <x v="20"/>
    <d v="2020-12-30T00:00:00"/>
    <s v="Jeff IRA"/>
    <x v="951"/>
    <n v="-250"/>
    <x v="26"/>
    <m/>
    <m/>
    <m/>
    <n v="250"/>
    <b v="0"/>
    <m/>
    <m/>
    <s v="+"/>
    <x v="914"/>
    <s v="Create Rule; and Description Like '%CONNECTED ANALYT%';Inc - Jeff"/>
    <m/>
  </r>
  <r>
    <x v="20"/>
    <d v="2020-12-30T00:00:00"/>
    <s v="Cash Rewards Visa Signature"/>
    <x v="668"/>
    <n v="-24.99"/>
    <x v="26"/>
    <m/>
    <m/>
    <m/>
    <n v="24.99"/>
    <b v="0"/>
    <m/>
    <m/>
    <s v="+"/>
    <x v="646"/>
    <s v="Create Rule; and Description='TJ Maxx';Shopping"/>
    <m/>
  </r>
  <r>
    <x v="20"/>
    <d v="2020-12-30T00:00:00"/>
    <s v="POWERPLUS"/>
    <x v="952"/>
    <n v="300"/>
    <x v="26"/>
    <m/>
    <m/>
    <m/>
    <n v="300"/>
    <b v="0"/>
    <m/>
    <m/>
    <s v="-"/>
    <x v="915"/>
    <s v="Create Rule; and Description='To Share 12';Delete"/>
    <m/>
  </r>
  <r>
    <x v="20"/>
    <d v="2020-12-30T00:00:00"/>
    <s v="POWERPLUS"/>
    <x v="952"/>
    <n v="200"/>
    <x v="26"/>
    <m/>
    <m/>
    <m/>
    <n v="200"/>
    <b v="0"/>
    <m/>
    <m/>
    <s v="-"/>
    <x v="915"/>
    <s v="Create Rule; and Description='To Share 12';Delete"/>
    <m/>
  </r>
  <r>
    <x v="20"/>
    <d v="2020-12-30T00:00:00"/>
    <s v="Cash Rewards Visa Signature"/>
    <x v="1160"/>
    <n v="132.30000000000001"/>
    <x v="26"/>
    <m/>
    <m/>
    <m/>
    <n v="132.30000000000001"/>
    <b v="0"/>
    <m/>
    <m/>
    <s v="-"/>
    <x v="1103"/>
    <s v="Create Rule; and Description='Total Wine';Groceries"/>
    <m/>
  </r>
  <r>
    <x v="20"/>
    <d v="2020-12-30T00:00:00"/>
    <s v="Cash Rewards Visa Signature"/>
    <x v="53"/>
    <n v="105.95"/>
    <x v="26"/>
    <m/>
    <m/>
    <m/>
    <n v="105.95"/>
    <b v="0"/>
    <m/>
    <m/>
    <s v="-"/>
    <x v="53"/>
    <s v="Create Rule; and Description='Total Wine and More';Groceries"/>
    <m/>
  </r>
  <r>
    <x v="20"/>
    <d v="2020-12-30T00:00:00"/>
    <s v="Joint Tenant"/>
    <x v="279"/>
    <n v="4500"/>
    <x v="26"/>
    <m/>
    <m/>
    <m/>
    <n v="4500"/>
    <b v="0"/>
    <m/>
    <m/>
    <s v="-"/>
    <x v="272"/>
    <s v="Delete; and Source='Joint Tenant';0"/>
    <m/>
  </r>
  <r>
    <x v="20"/>
    <d v="2020-12-30T00:00:00"/>
    <s v="Joint Tenant"/>
    <x v="279"/>
    <n v="5000"/>
    <x v="26"/>
    <m/>
    <m/>
    <m/>
    <n v="5000"/>
    <b v="0"/>
    <m/>
    <m/>
    <s v="-"/>
    <x v="272"/>
    <s v="Delete; and Source='Joint Tenant';0"/>
    <m/>
  </r>
  <r>
    <x v="20"/>
    <d v="2020-12-30T00:00:00"/>
    <s v="Discover"/>
    <x v="775"/>
    <n v="35.450000000000003"/>
    <x v="26"/>
    <m/>
    <m/>
    <m/>
    <n v="35.450000000000003"/>
    <b v="0"/>
    <m/>
    <m/>
    <s v="-"/>
    <x v="747"/>
    <s v="Create Rule; and Description='True Value';House Maintenance"/>
    <m/>
  </r>
  <r>
    <x v="20"/>
    <d v="2020-12-30T00:00:00"/>
    <s v="Discover More Card"/>
    <x v="775"/>
    <n v="35.450000000000003"/>
    <x v="26"/>
    <m/>
    <m/>
    <m/>
    <n v="35.450000000000003"/>
    <b v="0"/>
    <m/>
    <m/>
    <s v="-"/>
    <x v="747"/>
    <s v="Create Rule; and Description='True Value';House Maintenance"/>
    <m/>
  </r>
  <r>
    <x v="20"/>
    <d v="2020-12-30T00:00:00"/>
    <s v="Cash Rewards Visa Signature"/>
    <x v="1161"/>
    <n v="82.25"/>
    <x v="26"/>
    <m/>
    <m/>
    <m/>
    <n v="82.25"/>
    <b v="0"/>
    <m/>
    <m/>
    <s v="-"/>
    <x v="1104"/>
    <s v="Manual"/>
    <m/>
  </r>
  <r>
    <x v="20"/>
    <d v="2020-12-30T00:00:00"/>
    <s v="POWERPLUS"/>
    <x v="1162"/>
    <n v="-63.99"/>
    <x v="26"/>
    <m/>
    <m/>
    <m/>
    <n v="63.99"/>
    <b v="0"/>
    <m/>
    <m/>
    <s v="+"/>
    <x v="1105"/>
    <s v="Create Rule; and Description Like '%PayPal%';Shopping"/>
    <m/>
  </r>
  <r>
    <x v="20"/>
    <d v="2020-12-30T00:00:00"/>
    <s v="POWERPLUS"/>
    <x v="1162"/>
    <n v="-63.99"/>
    <x v="26"/>
    <m/>
    <m/>
    <m/>
    <n v="63.99"/>
    <b v="0"/>
    <m/>
    <m/>
    <s v="+"/>
    <x v="1105"/>
    <s v="Create Rule; and Description Like '%PayPal%';Shopping"/>
    <m/>
  </r>
  <r>
    <x v="20"/>
    <d v="2020-12-30T00:00:00"/>
    <s v="Cash Rewards Visa Signature"/>
    <x v="382"/>
    <n v="14.4"/>
    <x v="28"/>
    <m/>
    <m/>
    <m/>
    <n v="14.4"/>
    <b v="0"/>
    <m/>
    <m/>
    <s v="-"/>
    <x v="369"/>
    <s v="Manual"/>
    <m/>
  </r>
  <r>
    <x v="20"/>
    <d v="2020-12-30T00:00:00"/>
    <s v="POWERPLUS"/>
    <x v="29"/>
    <n v="381"/>
    <x v="8"/>
    <m/>
    <m/>
    <m/>
    <n v="381"/>
    <b v="0"/>
    <m/>
    <m/>
    <s v="-"/>
    <x v="29"/>
    <s v="Manual"/>
    <m/>
  </r>
  <r>
    <x v="20"/>
    <d v="2020-12-30T00:00:00"/>
    <s v="POWERPLUS"/>
    <x v="29"/>
    <n v="80.98"/>
    <x v="8"/>
    <m/>
    <m/>
    <m/>
    <n v="80.98"/>
    <b v="0"/>
    <m/>
    <m/>
    <s v="-"/>
    <x v="29"/>
    <s v="Manual"/>
    <m/>
  </r>
  <r>
    <x v="20"/>
    <d v="2020-12-30T00:00:00"/>
    <s v="Investor Checking"/>
    <x v="361"/>
    <n v="-165.8"/>
    <x v="26"/>
    <m/>
    <m/>
    <m/>
    <n v="165.8"/>
    <b v="0"/>
    <m/>
    <m/>
    <s v="+"/>
    <x v="352"/>
    <s v="Manual"/>
    <m/>
  </r>
  <r>
    <x v="20"/>
    <d v="2020-12-30T00:00:00"/>
    <s v="Cash Rewards Visa Signature"/>
    <x v="82"/>
    <n v="21.67"/>
    <x v="26"/>
    <m/>
    <m/>
    <m/>
    <n v="21.67"/>
    <b v="0"/>
    <m/>
    <m/>
    <s v="-"/>
    <x v="82"/>
    <s v="Manual"/>
    <m/>
  </r>
  <r>
    <x v="20"/>
    <d v="2020-12-30T00:00:00"/>
    <s v="Cash Rewards Visa Signature"/>
    <x v="448"/>
    <n v="183.59"/>
    <x v="30"/>
    <m/>
    <m/>
    <m/>
    <n v="183.59"/>
    <b v="0"/>
    <m/>
    <m/>
    <s v="-"/>
    <x v="432"/>
    <s v="Create Rule; and Description='Wayfair';Shopping"/>
    <m/>
  </r>
  <r>
    <x v="20"/>
    <d v="2020-12-30T00:00:00"/>
    <s v="Discover"/>
    <x v="93"/>
    <n v="-3.6"/>
    <x v="26"/>
    <m/>
    <m/>
    <m/>
    <n v="3.6"/>
    <b v="0"/>
    <m/>
    <m/>
    <s v="+"/>
    <x v="93"/>
    <s v="Delete; and Description='CASHBACK BONUS REDEMPTION payment/STMT CRDT';0"/>
    <m/>
  </r>
  <r>
    <x v="20"/>
    <d v="2020-12-30T00:00:00"/>
    <s v="Discover More Card"/>
    <x v="93"/>
    <n v="-3.6"/>
    <x v="26"/>
    <m/>
    <m/>
    <m/>
    <n v="3.6"/>
    <b v="0"/>
    <m/>
    <m/>
    <s v="+"/>
    <x v="93"/>
    <s v="Delete; and Description='CASHBACK BONUS REDEMPTION payment/STMT CRDT';0"/>
    <m/>
  </r>
  <r>
    <x v="20"/>
    <d v="2020-12-30T00:00:00"/>
    <s v="POWERPLUS"/>
    <x v="1163"/>
    <n v="346.51"/>
    <x v="26"/>
    <m/>
    <m/>
    <m/>
    <n v="346.51"/>
    <b v="0"/>
    <m/>
    <m/>
    <s v="-"/>
    <x v="1106"/>
    <s v="Delete; and Description Like '%DISCOVER TYPE EPAYMENT%';0"/>
    <m/>
  </r>
  <r>
    <x v="20"/>
    <d v="2020-12-30T00:00:00"/>
    <s v="POWERPLUS"/>
    <x v="1164"/>
    <n v="163.80000000000001"/>
    <x v="26"/>
    <m/>
    <m/>
    <m/>
    <n v="163.80000000000001"/>
    <b v="0"/>
    <m/>
    <m/>
    <s v="-"/>
    <x v="1107"/>
    <s v="Delete; and Description Like '%DISCOVER TYPE EPAYMENT%';0"/>
    <m/>
  </r>
  <r>
    <x v="20"/>
    <d v="2020-12-30T00:00:00"/>
    <s v="Discover"/>
    <x v="56"/>
    <n v="-346.51"/>
    <x v="3"/>
    <m/>
    <m/>
    <m/>
    <n v="346.51"/>
    <b v="0"/>
    <m/>
    <m/>
    <s v="+"/>
    <x v="56"/>
    <s v="Delete; and Description='INTERNET PAYMENT - THANK YOU';0"/>
    <m/>
  </r>
  <r>
    <x v="20"/>
    <d v="2020-12-30T00:00:00"/>
    <s v="Discover"/>
    <x v="56"/>
    <n v="-163.80000000000001"/>
    <x v="3"/>
    <m/>
    <m/>
    <m/>
    <n v="163.80000000000001"/>
    <b v="0"/>
    <m/>
    <m/>
    <s v="+"/>
    <x v="56"/>
    <s v="Delete; and Description='INTERNET PAYMENT - THANK YOU';0"/>
    <m/>
  </r>
  <r>
    <x v="20"/>
    <d v="2020-12-30T00:00:00"/>
    <s v="Discover More Card"/>
    <x v="56"/>
    <n v="-346.51"/>
    <x v="3"/>
    <m/>
    <m/>
    <m/>
    <n v="346.51"/>
    <b v="0"/>
    <m/>
    <m/>
    <s v="+"/>
    <x v="56"/>
    <s v="Delete; and Description='INTERNET PAYMENT - THANK YOU';0"/>
    <m/>
  </r>
  <r>
    <x v="20"/>
    <d v="2020-12-30T00:00:00"/>
    <s v="Discover More Card"/>
    <x v="56"/>
    <n v="-163.80000000000001"/>
    <x v="3"/>
    <m/>
    <m/>
    <m/>
    <n v="163.80000000000001"/>
    <b v="0"/>
    <m/>
    <m/>
    <s v="+"/>
    <x v="56"/>
    <s v="Delete; and Description='INTERNET PAYMENT - THANK YOU';0"/>
    <m/>
  </r>
  <r>
    <x v="20"/>
    <d v="2020-12-30T00:00:00"/>
    <s v="Cash Rewards Visa Signature"/>
    <x v="936"/>
    <n v="-434.97"/>
    <x v="26"/>
    <m/>
    <m/>
    <m/>
    <n v="434.97"/>
    <b v="0"/>
    <m/>
    <m/>
    <s v="+"/>
    <x v="900"/>
    <s v="Delete; and Description Like '%PAYMENT THANK YOU%';0"/>
    <m/>
  </r>
  <r>
    <x v="20"/>
    <d v="2020-12-30T00:00:00"/>
    <s v="Cash Rewards Visa Signature"/>
    <x v="936"/>
    <n v="-662.51"/>
    <x v="26"/>
    <m/>
    <m/>
    <m/>
    <n v="662.51"/>
    <b v="0"/>
    <m/>
    <m/>
    <s v="+"/>
    <x v="900"/>
    <s v="Delete; and Description Like '%PAYMENT THANK YOU%';0"/>
    <m/>
  </r>
  <r>
    <x v="20"/>
    <d v="2020-12-30T00:00:00"/>
    <s v="Cash Rewards Visa Signature"/>
    <x v="936"/>
    <n v="-1113.33"/>
    <x v="26"/>
    <m/>
    <m/>
    <m/>
    <n v="1113.33"/>
    <b v="0"/>
    <m/>
    <m/>
    <s v="+"/>
    <x v="900"/>
    <s v="Delete; and Description Like '%PAYMENT THANK YOU%';0"/>
    <m/>
  </r>
  <r>
    <x v="20"/>
    <d v="2020-12-30T00:00:00"/>
    <s v="Cash Rewards Visa Signature"/>
    <x v="936"/>
    <n v="-111.84"/>
    <x v="26"/>
    <m/>
    <m/>
    <m/>
    <n v="111.84"/>
    <b v="0"/>
    <m/>
    <m/>
    <s v="+"/>
    <x v="900"/>
    <s v="Delete; and Description Like '%PAYMENT THANK YOU%';0"/>
    <m/>
  </r>
  <r>
    <x v="20"/>
    <d v="2020-12-30T00:00:00"/>
    <s v="Cash Rewards Visa Signature"/>
    <x v="936"/>
    <n v="-217.03"/>
    <x v="26"/>
    <m/>
    <m/>
    <m/>
    <n v="217.03"/>
    <b v="0"/>
    <m/>
    <m/>
    <s v="+"/>
    <x v="900"/>
    <s v="Delete; and Description Like '%PAYMENT THANK YOU%';0"/>
    <m/>
  </r>
  <r>
    <x v="20"/>
    <d v="2020-12-30T00:00:00"/>
    <s v="POWERPLUS"/>
    <x v="937"/>
    <n v="434.97"/>
    <x v="26"/>
    <m/>
    <m/>
    <m/>
    <n v="434.97"/>
    <b v="0"/>
    <m/>
    <m/>
    <s v="-"/>
    <x v="901"/>
    <s v="Delete; and Description Like '%Withdrawal Home payment to card%';0"/>
    <m/>
  </r>
  <r>
    <x v="20"/>
    <d v="2020-12-30T00:00:00"/>
    <s v="POWERPLUS"/>
    <x v="937"/>
    <n v="662.51"/>
    <x v="26"/>
    <m/>
    <m/>
    <m/>
    <n v="662.51"/>
    <b v="0"/>
    <m/>
    <m/>
    <s v="-"/>
    <x v="901"/>
    <s v="Delete; and Description Like '%Withdrawal Home payment to card%';0"/>
    <m/>
  </r>
  <r>
    <x v="20"/>
    <d v="2020-12-30T00:00:00"/>
    <s v="POWERPLUS"/>
    <x v="937"/>
    <n v="1113.33"/>
    <x v="26"/>
    <m/>
    <m/>
    <m/>
    <n v="1113.33"/>
    <b v="0"/>
    <m/>
    <m/>
    <s v="-"/>
    <x v="901"/>
    <s v="Delete; and Description Like '%Withdrawal Home payment to card%';0"/>
    <m/>
  </r>
  <r>
    <x v="20"/>
    <d v="2020-12-30T00:00:00"/>
    <s v="POWERPLUS"/>
    <x v="937"/>
    <n v="111.84"/>
    <x v="26"/>
    <m/>
    <m/>
    <m/>
    <n v="111.84"/>
    <b v="0"/>
    <m/>
    <m/>
    <s v="-"/>
    <x v="901"/>
    <s v="Delete; and Description Like '%Withdrawal Home payment to card%';0"/>
    <m/>
  </r>
  <r>
    <x v="20"/>
    <d v="2020-12-30T00:00:00"/>
    <s v="POWERPLUS"/>
    <x v="937"/>
    <n v="217.03"/>
    <x v="26"/>
    <m/>
    <m/>
    <m/>
    <n v="217.03"/>
    <b v="0"/>
    <m/>
    <m/>
    <s v="-"/>
    <x v="901"/>
    <s v="Delete; and Description Like '%Withdrawal Home payment to card%';0"/>
    <m/>
  </r>
  <r>
    <x v="3"/>
    <d v="2021-01-01T00:00:00"/>
    <s v="Discover More Card"/>
    <x v="598"/>
    <n v="4.28"/>
    <x v="10"/>
    <m/>
    <m/>
    <m/>
    <n v="4.28"/>
    <b v="0"/>
    <m/>
    <m/>
    <s v="-"/>
    <x v="579"/>
    <s v="Create Rule; and Description='Amazon Music';Entertainment"/>
    <m/>
  </r>
  <r>
    <x v="3"/>
    <d v="2021-01-01T00:00:00"/>
    <s v="Discover"/>
    <x v="598"/>
    <n v="4.28"/>
    <x v="10"/>
    <m/>
    <m/>
    <m/>
    <n v="4.28"/>
    <b v="0"/>
    <m/>
    <m/>
    <s v="-"/>
    <x v="579"/>
    <s v="Create Rule; and Description='Amazon Music';Entertainment"/>
    <m/>
  </r>
  <r>
    <x v="3"/>
    <d v="2021-01-01T00:00:00"/>
    <s v="SHARE SAVINGS"/>
    <x v="303"/>
    <n v="-225.44"/>
    <x v="26"/>
    <m/>
    <m/>
    <m/>
    <n v="225.44"/>
    <b v="0"/>
    <m/>
    <m/>
    <s v="+"/>
    <x v="295"/>
    <s v="Create Rule; and Description='Cred Rebate';Inc - Other"/>
    <m/>
  </r>
  <r>
    <x v="3"/>
    <d v="2021-01-01T00:00:00"/>
    <s v="HIGHLANDER"/>
    <x v="976"/>
    <n v="-578.80999999999995"/>
    <x v="26"/>
    <m/>
    <m/>
    <m/>
    <n v="578.80999999999995"/>
    <b v="0"/>
    <m/>
    <m/>
    <s v="+"/>
    <x v="936"/>
    <s v="Create Rule; and Description='From Share 70';Delete"/>
    <m/>
  </r>
  <r>
    <x v="3"/>
    <d v="2021-01-01T00:00:00"/>
    <s v="Cash Rewards Visa Signature"/>
    <x v="1165"/>
    <n v="99.56"/>
    <x v="26"/>
    <m/>
    <m/>
    <m/>
    <n v="99.56"/>
    <b v="0"/>
    <m/>
    <m/>
    <s v="-"/>
    <x v="1108"/>
    <s v="Create Rule; and Description='RED WAGON RED WAGON STRIPECOM MN';Restaurants"/>
    <m/>
  </r>
  <r>
    <x v="3"/>
    <d v="2021-01-01T00:00:00"/>
    <s v="POWERPLUS"/>
    <x v="979"/>
    <n v="618.65"/>
    <x v="26"/>
    <m/>
    <m/>
    <m/>
    <n v="618.65"/>
    <b v="0"/>
    <m/>
    <m/>
    <s v="-"/>
    <x v="939"/>
    <s v="Create Rule; and Description Like '%To Loan 02%';Car Loan"/>
    <m/>
  </r>
  <r>
    <x v="3"/>
    <d v="2021-01-02T00:00:00"/>
    <s v="Discover More Card"/>
    <x v="70"/>
    <n v="2.29"/>
    <x v="26"/>
    <m/>
    <m/>
    <m/>
    <n v="2.29"/>
    <b v="0"/>
    <m/>
    <m/>
    <s v="-"/>
    <x v="70"/>
    <s v="Create Rule; and Description like '%Byerly%';Groceries"/>
    <m/>
  </r>
  <r>
    <x v="3"/>
    <d v="2021-01-02T00:00:00"/>
    <s v="Discover"/>
    <x v="70"/>
    <n v="2.29"/>
    <x v="26"/>
    <m/>
    <m/>
    <m/>
    <n v="2.29"/>
    <b v="0"/>
    <m/>
    <m/>
    <s v="-"/>
    <x v="70"/>
    <s v="Create Rule; and Description like '%Byerly%';Groceries"/>
    <m/>
  </r>
  <r>
    <x v="3"/>
    <d v="2021-01-03T00:00:00"/>
    <s v="Discover More Card"/>
    <x v="56"/>
    <n v="-432.09"/>
    <x v="3"/>
    <m/>
    <m/>
    <m/>
    <n v="432.09"/>
    <b v="0"/>
    <m/>
    <m/>
    <s v="+"/>
    <x v="56"/>
    <s v="Delete; and Description='INTERNET PAYMENT - THANK YOU';0"/>
    <m/>
  </r>
  <r>
    <x v="3"/>
    <d v="2021-01-03T00:00:00"/>
    <s v="Discover"/>
    <x v="56"/>
    <n v="-432.09"/>
    <x v="3"/>
    <m/>
    <m/>
    <m/>
    <n v="432.09"/>
    <b v="0"/>
    <m/>
    <m/>
    <s v="+"/>
    <x v="56"/>
    <s v="Delete; and Description='INTERNET PAYMENT - THANK YOU';0"/>
    <m/>
  </r>
  <r>
    <x v="3"/>
    <d v="2021-01-03T00:00:00"/>
    <s v="Cash Rewards Visa Signature"/>
    <x v="70"/>
    <n v="70.06"/>
    <x v="26"/>
    <m/>
    <m/>
    <m/>
    <n v="70.06"/>
    <b v="0"/>
    <m/>
    <m/>
    <s v="-"/>
    <x v="70"/>
    <s v="Create Rule; and Description like '%Byerly%';Groceries"/>
    <m/>
  </r>
  <r>
    <x v="3"/>
    <d v="2021-01-03T00:00:00"/>
    <s v="POWERPLUS"/>
    <x v="35"/>
    <n v="-75"/>
    <x v="26"/>
    <m/>
    <m/>
    <m/>
    <n v="75"/>
    <b v="0"/>
    <m/>
    <m/>
    <s v="+"/>
    <x v="35"/>
    <s v="Create Rule; and Description='Cargill Incorpor Type';Inc - Other"/>
    <m/>
  </r>
  <r>
    <x v="3"/>
    <d v="2021-01-03T00:00:00"/>
    <s v="Discover More Card"/>
    <x v="6"/>
    <n v="122.37"/>
    <x v="5"/>
    <m/>
    <m/>
    <m/>
    <n v="122.37"/>
    <b v="0"/>
    <m/>
    <m/>
    <s v="-"/>
    <x v="6"/>
    <s v="Create Rule; and Description Like '%Cub Foods%';Groceries"/>
    <m/>
  </r>
  <r>
    <x v="3"/>
    <d v="2021-01-03T00:00:00"/>
    <s v="Discover"/>
    <x v="6"/>
    <n v="122.37"/>
    <x v="5"/>
    <m/>
    <m/>
    <m/>
    <n v="122.37"/>
    <b v="0"/>
    <m/>
    <m/>
    <s v="-"/>
    <x v="6"/>
    <s v="Create Rule; and Description Like '%Cub Foods%';Groceries"/>
    <m/>
  </r>
  <r>
    <x v="3"/>
    <d v="2021-01-03T00:00:00"/>
    <s v="Cash Rewards Visa Signature"/>
    <x v="1166"/>
    <n v="91.61"/>
    <x v="26"/>
    <m/>
    <m/>
    <m/>
    <n v="91.61"/>
    <b v="0"/>
    <m/>
    <m/>
    <s v="-"/>
    <x v="1109"/>
    <s v="Manual"/>
    <m/>
  </r>
  <r>
    <x v="3"/>
    <d v="2021-01-03T00:00:00"/>
    <s v="Cash Rewards Visa Signature"/>
    <x v="309"/>
    <n v="174.65"/>
    <x v="26"/>
    <m/>
    <m/>
    <m/>
    <n v="174.65"/>
    <b v="0"/>
    <m/>
    <m/>
    <s v="-"/>
    <x v="301"/>
    <s v="Create Rule; and Description='Sherwin Williams';House Maintenance"/>
    <m/>
  </r>
  <r>
    <x v="3"/>
    <d v="2021-01-03T00:00:00"/>
    <s v="Cash Rewards Visa Signature"/>
    <x v="1092"/>
    <n v="18"/>
    <x v="26"/>
    <m/>
    <m/>
    <m/>
    <n v="18"/>
    <b v="0"/>
    <m/>
    <m/>
    <s v="-"/>
    <x v="1041"/>
    <s v="Manual"/>
    <m/>
  </r>
  <r>
    <x v="3"/>
    <d v="2021-01-04T00:00:00"/>
    <s v="POWERPLUS"/>
    <x v="1167"/>
    <n v="432.09"/>
    <x v="26"/>
    <m/>
    <m/>
    <m/>
    <n v="432.09"/>
    <b v="0"/>
    <m/>
    <m/>
    <s v="-"/>
    <x v="1110"/>
    <s v="Delete; and Description Like '%DISCOVER TYPE EPAYMENT%';0"/>
    <m/>
  </r>
  <r>
    <x v="3"/>
    <d v="2021-01-04T00:00:00"/>
    <s v="30 YR FIXED"/>
    <x v="935"/>
    <n v="-719.6"/>
    <x v="3"/>
    <m/>
    <m/>
    <m/>
    <n v="719.6"/>
    <b v="0"/>
    <m/>
    <m/>
    <s v="+"/>
    <x v="899"/>
    <s v="Create Rule; and Description='PAYMENT';Delete"/>
    <m/>
  </r>
  <r>
    <x v="3"/>
    <d v="2021-01-04T00:00:00"/>
    <s v="Discover More Card"/>
    <x v="0"/>
    <n v="32.950000000000003"/>
    <x v="0"/>
    <m/>
    <m/>
    <m/>
    <n v="32.950000000000003"/>
    <b v="0"/>
    <m/>
    <m/>
    <s v="-"/>
    <x v="0"/>
    <s v="Create Rule; and Description='Amazon';Amazon"/>
    <m/>
  </r>
  <r>
    <x v="3"/>
    <d v="2021-01-04T00:00:00"/>
    <s v="Discover"/>
    <x v="0"/>
    <n v="32.950000000000003"/>
    <x v="0"/>
    <m/>
    <m/>
    <m/>
    <n v="32.950000000000003"/>
    <b v="0"/>
    <m/>
    <m/>
    <s v="-"/>
    <x v="0"/>
    <s v="Create Rule; and Description='Amazon';Amazon"/>
    <m/>
  </r>
  <r>
    <x v="3"/>
    <d v="2021-01-04T00:00:00"/>
    <s v="Cash Rewards Visa Signature"/>
    <x v="1168"/>
    <n v="91.79"/>
    <x v="26"/>
    <m/>
    <m/>
    <m/>
    <n v="91.79"/>
    <b v="0"/>
    <m/>
    <m/>
    <s v="-"/>
    <x v="1111"/>
    <s v="Manual"/>
    <m/>
  </r>
  <r>
    <x v="3"/>
    <d v="2021-01-04T00:00:00"/>
    <s v="POWERPLUS"/>
    <x v="1169"/>
    <n v="200"/>
    <x v="26"/>
    <m/>
    <m/>
    <m/>
    <n v="200"/>
    <b v="0"/>
    <m/>
    <m/>
    <s v="-"/>
    <x v="16"/>
    <s v="Create Rule; and Description Like '%College Savings%';College Savings"/>
    <m/>
  </r>
  <r>
    <x v="3"/>
    <d v="2021-01-04T00:00:00"/>
    <s v="30 YR FIXED"/>
    <x v="1085"/>
    <n v="-431"/>
    <x v="26"/>
    <m/>
    <m/>
    <m/>
    <n v="431"/>
    <b v="0"/>
    <m/>
    <m/>
    <s v="+"/>
    <x v="1034"/>
    <s v="Create Rule; and Description='Principal Curtailment';Delete"/>
    <m/>
  </r>
  <r>
    <x v="3"/>
    <d v="2021-01-04T00:00:00"/>
    <s v="Joint Tenant"/>
    <x v="1170"/>
    <n v="655.64"/>
    <x v="26"/>
    <m/>
    <m/>
    <m/>
    <n v="655.64"/>
    <b v="0"/>
    <m/>
    <m/>
    <s v="-"/>
    <x v="1112"/>
    <s v="Delete; and Source='Joint Tenant';0"/>
    <m/>
  </r>
  <r>
    <x v="3"/>
    <d v="2021-01-04T00:00:00"/>
    <s v="POWERPLUS"/>
    <x v="382"/>
    <n v="9.9"/>
    <x v="28"/>
    <m/>
    <m/>
    <m/>
    <n v="9.9"/>
    <b v="0"/>
    <m/>
    <m/>
    <s v="-"/>
    <x v="369"/>
    <s v="Manual"/>
    <m/>
  </r>
  <r>
    <x v="24"/>
    <d v="2022-10-07T00:00:00"/>
    <s v="POWERPLUS"/>
    <x v="1171"/>
    <n v="380"/>
    <x v="32"/>
    <e v="#N/A"/>
    <s v="Exp - Shopping"/>
    <s v="Check"/>
    <n v="380"/>
    <m/>
    <m/>
    <m/>
    <s v="Debit"/>
    <x v="1113"/>
    <m/>
    <m/>
  </r>
  <r>
    <x v="3"/>
    <d v="2021-01-05T00:00:00"/>
    <s v="Cash Rewards Visa Signature"/>
    <x v="936"/>
    <n v="-1166.3399999999999"/>
    <x v="26"/>
    <m/>
    <m/>
    <m/>
    <n v="1166.3399999999999"/>
    <b v="0"/>
    <m/>
    <m/>
    <s v="+"/>
    <x v="900"/>
    <s v="Delete; and Description Like '%PAYMENT THANK YOU%';0"/>
    <m/>
  </r>
  <r>
    <x v="3"/>
    <d v="2021-01-05T00:00:00"/>
    <s v="POWERPLUS"/>
    <x v="937"/>
    <n v="1166.3399999999999"/>
    <x v="26"/>
    <m/>
    <m/>
    <m/>
    <n v="1166.3399999999999"/>
    <b v="0"/>
    <m/>
    <m/>
    <s v="-"/>
    <x v="901"/>
    <s v="Delete; and Description Like '%Withdrawal Home payment to card%';0"/>
    <m/>
  </r>
  <r>
    <x v="3"/>
    <d v="2021-01-05T00:00:00"/>
    <s v="Cash Rewards Visa Signature"/>
    <x v="1172"/>
    <n v="34.950000000000003"/>
    <x v="26"/>
    <m/>
    <m/>
    <m/>
    <n v="34.950000000000003"/>
    <b v="0"/>
    <m/>
    <m/>
    <s v="-"/>
    <x v="1114"/>
    <s v="Create Rule; and Description Like '%BEST CLEANERS%';Dry Cleaning"/>
    <m/>
  </r>
  <r>
    <x v="3"/>
    <d v="2021-01-05T00:00:00"/>
    <s v="POWERPLUS"/>
    <x v="1173"/>
    <n v="421.6"/>
    <x v="26"/>
    <m/>
    <m/>
    <m/>
    <n v="421.6"/>
    <b v="0"/>
    <m/>
    <m/>
    <s v="-"/>
    <x v="1115"/>
    <s v="Create Rule; and Description Like '%MHCHILDCARELLC%';Day Care"/>
    <m/>
  </r>
  <r>
    <x v="3"/>
    <d v="2021-01-05T00:00:00"/>
    <s v="POWERPLUS"/>
    <x v="308"/>
    <n v="141.9"/>
    <x v="8"/>
    <m/>
    <m/>
    <m/>
    <n v="141.9"/>
    <b v="0"/>
    <m/>
    <m/>
    <s v="-"/>
    <x v="300"/>
    <s v="Create Rule; and Description='Nordstrom';Shopping"/>
    <m/>
  </r>
  <r>
    <x v="3"/>
    <d v="2021-01-05T00:00:00"/>
    <s v="Joint Tenant"/>
    <x v="20"/>
    <n v="200"/>
    <x v="26"/>
    <m/>
    <m/>
    <m/>
    <n v="200"/>
    <b v="0"/>
    <m/>
    <m/>
    <s v="-"/>
    <x v="20"/>
    <s v="Delete; and Description='SCHWAB TOTAL STOCK MKT INDEX' and inflowoutflow='-';0"/>
    <m/>
  </r>
  <r>
    <x v="3"/>
    <d v="2021-01-05T00:00:00"/>
    <s v="Cash Rewards Visa Signature"/>
    <x v="2"/>
    <n v="28.82"/>
    <x v="2"/>
    <m/>
    <m/>
    <m/>
    <n v="28.82"/>
    <b v="0"/>
    <m/>
    <m/>
    <s v="-"/>
    <x v="2"/>
    <s v="Create Rule; and Description='Speedway';Transportation"/>
    <m/>
  </r>
  <r>
    <x v="3"/>
    <d v="2021-01-05T00:00:00"/>
    <s v="Cash Rewards Visa Signature"/>
    <x v="55"/>
    <n v="46.84"/>
    <x v="5"/>
    <m/>
    <m/>
    <m/>
    <n v="46.84"/>
    <b v="0"/>
    <m/>
    <m/>
    <s v="-"/>
    <x v="55"/>
    <s v="Create Rule; and Description='Walgreens';Shopping"/>
    <m/>
  </r>
  <r>
    <x v="3"/>
    <d v="2021-01-06T00:00:00"/>
    <s v="Discover More Card"/>
    <x v="0"/>
    <n v="15.98"/>
    <x v="0"/>
    <m/>
    <m/>
    <m/>
    <n v="15.98"/>
    <b v="0"/>
    <m/>
    <m/>
    <s v="-"/>
    <x v="0"/>
    <s v="Create Rule; and Description='Amazon';Amazon"/>
    <m/>
  </r>
  <r>
    <x v="3"/>
    <d v="2021-01-06T00:00:00"/>
    <s v="Discover"/>
    <x v="0"/>
    <n v="15.98"/>
    <x v="0"/>
    <m/>
    <m/>
    <m/>
    <n v="15.98"/>
    <b v="0"/>
    <m/>
    <m/>
    <s v="-"/>
    <x v="0"/>
    <s v="Create Rule; and Description='Amazon';Amazon"/>
    <m/>
  </r>
  <r>
    <x v="3"/>
    <d v="2021-01-06T00:00:00"/>
    <s v="POWERPLUS"/>
    <x v="1174"/>
    <n v="-2167.65"/>
    <x v="26"/>
    <m/>
    <m/>
    <m/>
    <n v="2167.65"/>
    <b v="0"/>
    <m/>
    <m/>
    <s v="+"/>
    <x v="1116"/>
    <s v="Create Rule; and Description Like '%CARGILL COCOA TYPE DIR DEP ID%';Inc - Britney"/>
    <m/>
  </r>
  <r>
    <x v="3"/>
    <d v="2021-01-06T00:00:00"/>
    <s v="POWERPLUS"/>
    <x v="29"/>
    <n v="40"/>
    <x v="8"/>
    <m/>
    <m/>
    <m/>
    <n v="40"/>
    <b v="0"/>
    <m/>
    <m/>
    <s v="-"/>
    <x v="29"/>
    <s v="Manual"/>
    <m/>
  </r>
  <r>
    <x v="3"/>
    <d v="2021-01-06T00:00:00"/>
    <s v="POWERPLUS"/>
    <x v="30"/>
    <n v="146.06"/>
    <x v="11"/>
    <m/>
    <m/>
    <m/>
    <n v="146.06"/>
    <b v="0"/>
    <m/>
    <m/>
    <s v="-"/>
    <x v="30"/>
    <s v="Create Rule; and Description='Xcel Energy';Utilities"/>
    <m/>
  </r>
  <r>
    <x v="3"/>
    <d v="2021-01-07T00:00:00"/>
    <s v="POWERPLUS"/>
    <x v="157"/>
    <n v="14.85"/>
    <x v="8"/>
    <m/>
    <m/>
    <m/>
    <n v="14.85"/>
    <b v="0"/>
    <m/>
    <m/>
    <s v="-"/>
    <x v="156"/>
    <s v="Create Rule; and Description Like '%PayPal%';Shopping"/>
    <m/>
  </r>
  <r>
    <x v="3"/>
    <d v="2021-01-07T00:00:00"/>
    <s v="POWERPLUS"/>
    <x v="29"/>
    <n v="20"/>
    <x v="8"/>
    <m/>
    <m/>
    <m/>
    <n v="20"/>
    <b v="0"/>
    <m/>
    <m/>
    <s v="-"/>
    <x v="29"/>
    <s v="Manual"/>
    <m/>
  </r>
  <r>
    <x v="3"/>
    <d v="2021-01-08T00:00:00"/>
    <s v="Cash Rewards Visa Signature"/>
    <x v="0"/>
    <n v="127.78"/>
    <x v="0"/>
    <m/>
    <m/>
    <m/>
    <n v="127.78"/>
    <b v="0"/>
    <m/>
    <m/>
    <s v="-"/>
    <x v="0"/>
    <s v="Create Rule; and Description='Amazon';Amazon"/>
    <m/>
  </r>
  <r>
    <x v="3"/>
    <d v="2021-01-08T00:00:00"/>
    <s v="Joint Tenant"/>
    <x v="185"/>
    <n v="-133.34"/>
    <x v="26"/>
    <m/>
    <m/>
    <m/>
    <n v="133.34"/>
    <b v="0"/>
    <m/>
    <m/>
    <s v="+"/>
    <x v="184"/>
    <s v="Create Rule; and Description='CARGILL COCOA &amp;';Roth"/>
    <m/>
  </r>
  <r>
    <x v="3"/>
    <d v="2021-01-08T00:00:00"/>
    <s v="Joint Tenant"/>
    <x v="185"/>
    <n v="-200"/>
    <x v="26"/>
    <m/>
    <m/>
    <m/>
    <n v="200"/>
    <b v="0"/>
    <m/>
    <m/>
    <s v="+"/>
    <x v="184"/>
    <s v="Create Rule; and Description='CARGILL COCOA &amp;';Roth"/>
    <m/>
  </r>
  <r>
    <x v="3"/>
    <d v="2021-01-08T00:00:00"/>
    <s v="Contributory"/>
    <x v="51"/>
    <n v="-231"/>
    <x v="26"/>
    <m/>
    <m/>
    <m/>
    <n v="231"/>
    <b v="0"/>
    <m/>
    <m/>
    <s v="+"/>
    <x v="51"/>
    <s v="Create Rule; and Description='Tfr JPMORGAN CHASE BAN, CARGILL COCOA &amp;';Roth"/>
    <m/>
  </r>
  <r>
    <x v="3"/>
    <d v="2021-01-09T00:00:00"/>
    <s v="Discover More Card"/>
    <x v="0"/>
    <n v="22.54"/>
    <x v="0"/>
    <m/>
    <m/>
    <m/>
    <n v="22.54"/>
    <b v="0"/>
    <m/>
    <m/>
    <s v="-"/>
    <x v="0"/>
    <s v="Create Rule; and Description='Amazon';Amazon"/>
    <m/>
  </r>
  <r>
    <x v="3"/>
    <d v="2021-01-09T00:00:00"/>
    <s v="Discover"/>
    <x v="0"/>
    <n v="22.54"/>
    <x v="0"/>
    <m/>
    <m/>
    <m/>
    <n v="22.54"/>
    <b v="0"/>
    <m/>
    <m/>
    <s v="-"/>
    <x v="0"/>
    <s v="Create Rule; and Description='Amazon';Amazon"/>
    <m/>
  </r>
  <r>
    <x v="3"/>
    <d v="2021-01-10T00:00:00"/>
    <s v="Cash Rewards Visa Signature"/>
    <x v="1175"/>
    <n v="1010.56"/>
    <x v="26"/>
    <m/>
    <m/>
    <m/>
    <n v="1010.56"/>
    <b v="0"/>
    <m/>
    <m/>
    <s v="-"/>
    <x v="1117"/>
    <s v="Manual"/>
    <m/>
  </r>
  <r>
    <x v="3"/>
    <d v="2021-01-10T00:00:00"/>
    <s v="Discover More Card"/>
    <x v="67"/>
    <n v="45"/>
    <x v="11"/>
    <m/>
    <m/>
    <m/>
    <n v="45"/>
    <b v="0"/>
    <m/>
    <m/>
    <s v="-"/>
    <x v="67"/>
    <s v="Create Rule; and Description='CenturyLink';Utilities"/>
    <m/>
  </r>
  <r>
    <x v="3"/>
    <d v="2021-01-10T00:00:00"/>
    <s v="Discover"/>
    <x v="67"/>
    <n v="45"/>
    <x v="11"/>
    <m/>
    <m/>
    <m/>
    <n v="45"/>
    <b v="0"/>
    <m/>
    <m/>
    <s v="-"/>
    <x v="67"/>
    <s v="Create Rule; and Description='CenturyLink';Utilities"/>
    <m/>
  </r>
  <r>
    <x v="3"/>
    <d v="2021-01-10T00:00:00"/>
    <s v="Discover More Card"/>
    <x v="6"/>
    <n v="79.89"/>
    <x v="5"/>
    <m/>
    <m/>
    <m/>
    <n v="79.89"/>
    <b v="0"/>
    <m/>
    <m/>
    <s v="-"/>
    <x v="6"/>
    <s v="Create Rule; and Description Like '%Cub Foods%';Groceries"/>
    <m/>
  </r>
  <r>
    <x v="3"/>
    <d v="2021-01-10T00:00:00"/>
    <s v="Discover"/>
    <x v="6"/>
    <n v="79.89"/>
    <x v="5"/>
    <m/>
    <m/>
    <m/>
    <n v="79.89"/>
    <b v="0"/>
    <m/>
    <m/>
    <s v="-"/>
    <x v="6"/>
    <s v="Create Rule; and Description Like '%Cub Foods%';Groceries"/>
    <m/>
  </r>
  <r>
    <x v="3"/>
    <d v="2021-01-10T00:00:00"/>
    <s v="Cash Rewards Visa Signature"/>
    <x v="943"/>
    <n v="59.63"/>
    <x v="26"/>
    <m/>
    <m/>
    <m/>
    <n v="59.63"/>
    <b v="0"/>
    <m/>
    <m/>
    <s v="-"/>
    <x v="906"/>
    <s v="Create Rule; and Description Like '%NORTH COOP NORTH COOP%';Restaurants"/>
    <m/>
  </r>
  <r>
    <x v="3"/>
    <d v="2021-01-10T00:00:00"/>
    <s v="Cash Rewards Visa Signature"/>
    <x v="451"/>
    <n v="16.100000000000001"/>
    <x v="1"/>
    <m/>
    <m/>
    <m/>
    <n v="16.100000000000001"/>
    <b v="0"/>
    <m/>
    <m/>
    <s v="-"/>
    <x v="435"/>
    <s v="Create Rule; and Description Like '%Papa Murphy%';Restaurants"/>
    <m/>
  </r>
  <r>
    <x v="3"/>
    <d v="2021-01-10T00:00:00"/>
    <s v="Cash Rewards Visa Signature"/>
    <x v="53"/>
    <n v="61.26"/>
    <x v="26"/>
    <m/>
    <m/>
    <m/>
    <n v="61.26"/>
    <b v="0"/>
    <m/>
    <m/>
    <s v="-"/>
    <x v="53"/>
    <s v="Create Rule; and Description='Total Wine and More';Groceries"/>
    <m/>
  </r>
  <r>
    <x v="3"/>
    <d v="2021-01-10T00:00:00"/>
    <s v="Cash Rewards Visa Signature"/>
    <x v="53"/>
    <n v="169.05"/>
    <x v="26"/>
    <m/>
    <m/>
    <m/>
    <n v="169.05"/>
    <b v="0"/>
    <m/>
    <m/>
    <s v="-"/>
    <x v="53"/>
    <s v="Create Rule; and Description='Total Wine and More';Groceries"/>
    <m/>
  </r>
  <r>
    <x v="3"/>
    <d v="2021-01-11T00:00:00"/>
    <s v="Cash Rewards Visa Signature"/>
    <x v="487"/>
    <n v="878"/>
    <x v="8"/>
    <m/>
    <m/>
    <m/>
    <n v="878"/>
    <b v="0"/>
    <m/>
    <m/>
    <s v="-"/>
    <x v="470"/>
    <s v="Create Rule; and Description='Patagonia';Shopping"/>
    <m/>
  </r>
  <r>
    <x v="3"/>
    <d v="2021-01-11T00:00:00"/>
    <s v="Jeff IRA"/>
    <x v="19"/>
    <n v="500"/>
    <x v="26"/>
    <m/>
    <m/>
    <m/>
    <n v="500"/>
    <b v="0"/>
    <m/>
    <m/>
    <s v="-"/>
    <x v="19"/>
    <s v="Delete; and Description='SCHWAB S&amp;P 500 INDEX FD' and inflowoutflow='-';0"/>
    <m/>
  </r>
  <r>
    <x v="3"/>
    <d v="2021-01-11T00:00:00"/>
    <s v="Joint Tenant"/>
    <x v="1170"/>
    <n v="691.2"/>
    <x v="26"/>
    <m/>
    <m/>
    <m/>
    <n v="691.2"/>
    <b v="0"/>
    <m/>
    <m/>
    <s v="-"/>
    <x v="1112"/>
    <s v="Delete; and Source='Joint Tenant';0"/>
    <m/>
  </r>
  <r>
    <x v="3"/>
    <d v="2021-01-12T00:00:00"/>
    <s v="Cash Rewards Visa Signature"/>
    <x v="936"/>
    <n v="-2432.9899999999998"/>
    <x v="26"/>
    <m/>
    <m/>
    <m/>
    <n v="2432.9899999999998"/>
    <b v="0"/>
    <m/>
    <m/>
    <s v="+"/>
    <x v="900"/>
    <s v="Delete; and Description Like '%PAYMENT THANK YOU%';0"/>
    <m/>
  </r>
  <r>
    <x v="3"/>
    <d v="2021-01-12T00:00:00"/>
    <s v="POWERPLUS"/>
    <x v="937"/>
    <n v="2432.9899999999998"/>
    <x v="26"/>
    <m/>
    <m/>
    <m/>
    <n v="2432.9899999999998"/>
    <b v="0"/>
    <m/>
    <m/>
    <s v="-"/>
    <x v="901"/>
    <s v="Delete; and Description Like '%Withdrawal Home payment to card%';0"/>
    <m/>
  </r>
  <r>
    <x v="3"/>
    <d v="2021-01-12T00:00:00"/>
    <s v="Cash Rewards Visa Signature"/>
    <x v="1176"/>
    <n v="113"/>
    <x v="26"/>
    <m/>
    <m/>
    <m/>
    <n v="113"/>
    <b v="0"/>
    <m/>
    <m/>
    <s v="-"/>
    <x v="1118"/>
    <s v="Manual"/>
    <m/>
  </r>
  <r>
    <x v="3"/>
    <d v="2021-01-12T00:00:00"/>
    <s v="Cash Rewards Visa Signature"/>
    <x v="1177"/>
    <n v="2.34"/>
    <x v="26"/>
    <m/>
    <m/>
    <m/>
    <n v="2.34"/>
    <b v="0"/>
    <m/>
    <m/>
    <s v="-"/>
    <x v="1119"/>
    <s v="Manual"/>
    <m/>
  </r>
  <r>
    <x v="3"/>
    <d v="2021-01-12T00:00:00"/>
    <s v="RAINY DAY"/>
    <x v="515"/>
    <n v="-300"/>
    <x v="26"/>
    <m/>
    <m/>
    <m/>
    <n v="300"/>
    <b v="0"/>
    <m/>
    <m/>
    <s v="+"/>
    <x v="496"/>
    <s v="Manual"/>
    <m/>
  </r>
  <r>
    <x v="3"/>
    <d v="2021-01-12T00:00:00"/>
    <s v="POWERPLUS"/>
    <x v="952"/>
    <n v="300"/>
    <x v="26"/>
    <m/>
    <m/>
    <m/>
    <n v="300"/>
    <b v="0"/>
    <m/>
    <m/>
    <s v="-"/>
    <x v="915"/>
    <s v="Create Rule; and Description='To Share 12';Delete"/>
    <m/>
  </r>
  <r>
    <x v="3"/>
    <d v="2021-01-13T00:00:00"/>
    <s v="Discover More Card"/>
    <x v="0"/>
    <n v="14.49"/>
    <x v="0"/>
    <m/>
    <m/>
    <m/>
    <n v="14.49"/>
    <b v="0"/>
    <m/>
    <m/>
    <s v="-"/>
    <x v="0"/>
    <s v="Create Rule; and Description='Amazon';Amazon"/>
    <m/>
  </r>
  <r>
    <x v="3"/>
    <d v="2021-01-13T00:00:00"/>
    <s v="Discover"/>
    <x v="0"/>
    <n v="14.49"/>
    <x v="0"/>
    <m/>
    <m/>
    <m/>
    <n v="14.49"/>
    <b v="0"/>
    <m/>
    <m/>
    <s v="-"/>
    <x v="0"/>
    <s v="Create Rule; and Description='Amazon';Amazon"/>
    <m/>
  </r>
  <r>
    <x v="3"/>
    <d v="2021-01-13T00:00:00"/>
    <s v="POWERPLUS"/>
    <x v="1178"/>
    <n v="186.55"/>
    <x v="26"/>
    <m/>
    <m/>
    <m/>
    <n v="186.55"/>
    <b v="0"/>
    <m/>
    <m/>
    <s v="-"/>
    <x v="1120"/>
    <s v="Create Rule; and Description Like '%MHCHILDCARELLC%';Day Care"/>
    <m/>
  </r>
  <r>
    <x v="3"/>
    <d v="2021-01-13T00:00:00"/>
    <s v="Cash Rewards Visa Signature"/>
    <x v="1179"/>
    <n v="65"/>
    <x v="26"/>
    <m/>
    <m/>
    <m/>
    <n v="65"/>
    <b v="0"/>
    <m/>
    <m/>
    <s v="-"/>
    <x v="1121"/>
    <s v="Manual"/>
    <m/>
  </r>
  <r>
    <x v="3"/>
    <d v="2021-01-13T00:00:00"/>
    <s v="Cash Rewards Visa Signature"/>
    <x v="2"/>
    <n v="26.34"/>
    <x v="2"/>
    <m/>
    <m/>
    <m/>
    <n v="26.34"/>
    <b v="0"/>
    <m/>
    <m/>
    <s v="-"/>
    <x v="2"/>
    <s v="Create Rule; and Description='Speedway';Transportation"/>
    <m/>
  </r>
  <r>
    <x v="3"/>
    <d v="2021-01-14T00:00:00"/>
    <s v="POWERPLUS"/>
    <x v="48"/>
    <n v="95.71"/>
    <x v="16"/>
    <m/>
    <m/>
    <m/>
    <n v="95.71"/>
    <b v="0"/>
    <m/>
    <m/>
    <s v="-"/>
    <x v="48"/>
    <s v="Create Rule; and Description='American Family Insurance';Insurance"/>
    <m/>
  </r>
  <r>
    <x v="3"/>
    <d v="2021-01-14T00:00:00"/>
    <s v="POWERPLUS"/>
    <x v="1180"/>
    <n v="-2276.16"/>
    <x v="26"/>
    <m/>
    <m/>
    <m/>
    <n v="2276.16"/>
    <b v="0"/>
    <m/>
    <m/>
    <s v="+"/>
    <x v="910"/>
    <s v="Create Rule; and Description Like '%CONNECTED ANALYT%';Jeff"/>
    <m/>
  </r>
  <r>
    <x v="3"/>
    <d v="2021-01-14T00:00:00"/>
    <s v="Cash Rewards Visa Signature"/>
    <x v="176"/>
    <n v="38.200000000000003"/>
    <x v="26"/>
    <m/>
    <m/>
    <m/>
    <n v="38.200000000000003"/>
    <b v="0"/>
    <m/>
    <m/>
    <s v="-"/>
    <x v="175"/>
    <s v="Create Rule; and Description='Delta';Travel"/>
    <m/>
  </r>
  <r>
    <x v="3"/>
    <d v="2021-01-14T00:00:00"/>
    <s v="Cash Rewards Visa Signature"/>
    <x v="176"/>
    <n v="126.45"/>
    <x v="26"/>
    <m/>
    <m/>
    <m/>
    <n v="126.45"/>
    <b v="0"/>
    <m/>
    <m/>
    <s v="-"/>
    <x v="175"/>
    <s v="Create Rule; and Description='Delta';Travel"/>
    <m/>
  </r>
  <r>
    <x v="3"/>
    <d v="2021-01-14T00:00:00"/>
    <s v="Cash Rewards Visa Signature"/>
    <x v="79"/>
    <n v="56"/>
    <x v="28"/>
    <m/>
    <m/>
    <m/>
    <n v="56"/>
    <b v="0"/>
    <m/>
    <m/>
    <s v="-"/>
    <x v="79"/>
    <s v="Create Rule; and Description='Elite Nails';Entertainment"/>
    <m/>
  </r>
  <r>
    <x v="3"/>
    <d v="2021-01-14T00:00:00"/>
    <s v="Cash Rewards Visa Signature"/>
    <x v="1181"/>
    <n v="168.56"/>
    <x v="26"/>
    <m/>
    <m/>
    <m/>
    <n v="168.56"/>
    <b v="0"/>
    <m/>
    <m/>
    <s v="-"/>
    <x v="1122"/>
    <s v="Manual"/>
    <m/>
  </r>
  <r>
    <x v="3"/>
    <d v="2021-01-15T00:00:00"/>
    <s v="Cash Rewards Visa Signature"/>
    <x v="936"/>
    <n v="-595.89"/>
    <x v="26"/>
    <m/>
    <m/>
    <m/>
    <n v="595.89"/>
    <b v="0"/>
    <m/>
    <m/>
    <s v="+"/>
    <x v="900"/>
    <s v="Delete; and Description Like '%PAYMENT THANK YOU%';0"/>
    <m/>
  </r>
  <r>
    <x v="3"/>
    <d v="2021-01-15T00:00:00"/>
    <s v="POWERPLUS"/>
    <x v="937"/>
    <n v="595.89"/>
    <x v="26"/>
    <m/>
    <m/>
    <m/>
    <n v="595.89"/>
    <b v="0"/>
    <m/>
    <m/>
    <s v="-"/>
    <x v="901"/>
    <s v="Delete; and Description Like '%Withdrawal Home payment to card%';0"/>
    <m/>
  </r>
  <r>
    <x v="3"/>
    <d v="2021-01-15T00:00:00"/>
    <s v="Cash Rewards Visa Signature"/>
    <x v="1182"/>
    <n v="23.17"/>
    <x v="26"/>
    <m/>
    <m/>
    <m/>
    <n v="23.17"/>
    <b v="0"/>
    <m/>
    <m/>
    <s v="-"/>
    <x v="1123"/>
    <s v="Manual"/>
    <m/>
  </r>
  <r>
    <x v="3"/>
    <d v="2021-01-15T00:00:00"/>
    <s v="Cash Rewards Visa Signature"/>
    <x v="70"/>
    <n v="2.79"/>
    <x v="26"/>
    <m/>
    <m/>
    <m/>
    <n v="2.79"/>
    <b v="0"/>
    <m/>
    <m/>
    <s v="-"/>
    <x v="70"/>
    <s v="Create Rule; and Description like '%Byerly%';Groceries"/>
    <m/>
  </r>
  <r>
    <x v="3"/>
    <d v="2021-01-15T00:00:00"/>
    <s v="Cash Rewards Visa Signature"/>
    <x v="70"/>
    <n v="25.68"/>
    <x v="26"/>
    <m/>
    <m/>
    <m/>
    <n v="25.68"/>
    <b v="0"/>
    <m/>
    <m/>
    <s v="-"/>
    <x v="70"/>
    <s v="Create Rule; and Description like '%Byerly%';Groceries"/>
    <m/>
  </r>
  <r>
    <x v="3"/>
    <d v="2021-01-15T00:00:00"/>
    <s v="Joint Tenant"/>
    <x v="950"/>
    <n v="-250"/>
    <x v="26"/>
    <m/>
    <m/>
    <m/>
    <n v="250"/>
    <b v="0"/>
    <m/>
    <m/>
    <s v="+"/>
    <x v="913"/>
    <s v="Create Rule; and Description Like '%CONNECTED ANALYT%';Inc - Jeff"/>
    <m/>
  </r>
  <r>
    <x v="3"/>
    <d v="2021-01-15T00:00:00"/>
    <s v="Jeff IRA"/>
    <x v="951"/>
    <n v="-250"/>
    <x v="26"/>
    <m/>
    <m/>
    <m/>
    <n v="250"/>
    <b v="0"/>
    <m/>
    <m/>
    <s v="+"/>
    <x v="914"/>
    <s v="Create Rule; and Description Like '%CONNECTED ANALYT%';Inc - Jeff"/>
    <m/>
  </r>
  <r>
    <x v="3"/>
    <d v="2021-01-17T00:00:00"/>
    <s v="Cash Rewards Visa Signature"/>
    <x v="1183"/>
    <n v="693.56"/>
    <x v="26"/>
    <m/>
    <m/>
    <m/>
    <n v="693.56"/>
    <b v="0"/>
    <m/>
    <m/>
    <s v="-"/>
    <x v="1124"/>
    <s v="Manual"/>
    <m/>
  </r>
  <r>
    <x v="3"/>
    <d v="2021-01-17T00:00:00"/>
    <s v="Cash Rewards Visa Signature"/>
    <x v="487"/>
    <n v="-399"/>
    <x v="8"/>
    <m/>
    <m/>
    <m/>
    <n v="399"/>
    <b v="0"/>
    <m/>
    <m/>
    <s v="+"/>
    <x v="470"/>
    <s v="Create Rule; and Description='Patagonia';Shopping"/>
    <m/>
  </r>
  <r>
    <x v="3"/>
    <d v="2021-01-17T00:00:00"/>
    <s v="Cash Rewards Visa Signature"/>
    <x v="487"/>
    <n v="-479"/>
    <x v="8"/>
    <m/>
    <m/>
    <m/>
    <n v="479"/>
    <b v="0"/>
    <m/>
    <m/>
    <s v="+"/>
    <x v="470"/>
    <s v="Create Rule; and Description='Patagonia';Shopping"/>
    <m/>
  </r>
  <r>
    <x v="3"/>
    <d v="2021-01-17T00:00:00"/>
    <s v="Cash Rewards Visa Signature"/>
    <x v="1184"/>
    <n v="-90"/>
    <x v="26"/>
    <m/>
    <m/>
    <m/>
    <n v="90"/>
    <b v="0"/>
    <m/>
    <m/>
    <s v="+"/>
    <x v="1125"/>
    <s v="Manual"/>
    <m/>
  </r>
  <r>
    <x v="3"/>
    <d v="2021-01-17T00:00:00"/>
    <s v="Cash Rewards Visa Signature"/>
    <x v="1185"/>
    <n v="220.99"/>
    <x v="26"/>
    <m/>
    <m/>
    <m/>
    <n v="220.99"/>
    <b v="0"/>
    <m/>
    <m/>
    <s v="-"/>
    <x v="1126"/>
    <s v="Manual"/>
    <m/>
  </r>
  <r>
    <x v="3"/>
    <d v="2021-01-17T00:00:00"/>
    <s v="Cash Rewards Visa Signature"/>
    <x v="82"/>
    <n v="-21.67"/>
    <x v="26"/>
    <m/>
    <m/>
    <m/>
    <n v="21.67"/>
    <b v="0"/>
    <m/>
    <m/>
    <s v="+"/>
    <x v="82"/>
    <s v="Create Rule; and Description='Wal-Mart';Shopping"/>
    <m/>
  </r>
  <r>
    <x v="3"/>
    <d v="2021-01-18T00:00:00"/>
    <s v="POWERPLUS"/>
    <x v="446"/>
    <n v="-168.56"/>
    <x v="26"/>
    <m/>
    <m/>
    <m/>
    <n v="168.56"/>
    <b v="0"/>
    <m/>
    <m/>
    <s v="+"/>
    <x v="430"/>
    <s v="Manual"/>
    <m/>
  </r>
  <r>
    <x v="3"/>
    <d v="2021-01-18T00:00:00"/>
    <s v="Cash Rewards Visa Signature"/>
    <x v="1186"/>
    <n v="38.28"/>
    <x v="26"/>
    <m/>
    <m/>
    <m/>
    <n v="38.28"/>
    <b v="0"/>
    <m/>
    <m/>
    <s v="-"/>
    <x v="1127"/>
    <s v="Create Rule; and Description Like '%TEQUILA BUTCHER CHANHASSEN MN%';Restaurants"/>
    <m/>
  </r>
  <r>
    <x v="3"/>
    <d v="2021-01-19T00:00:00"/>
    <s v="Contributory"/>
    <x v="1187"/>
    <n v="-0.08"/>
    <x v="26"/>
    <m/>
    <m/>
    <m/>
    <n v="0.08"/>
    <b v="0"/>
    <m/>
    <m/>
    <s v="+"/>
    <x v="1128"/>
    <m/>
    <m/>
  </r>
  <r>
    <x v="3"/>
    <d v="2021-01-19T00:00:00"/>
    <s v="Jeff IRA"/>
    <x v="1187"/>
    <n v="-0.02"/>
    <x v="26"/>
    <m/>
    <m/>
    <m/>
    <n v="0.02"/>
    <b v="0"/>
    <m/>
    <m/>
    <s v="+"/>
    <x v="1128"/>
    <m/>
    <m/>
  </r>
  <r>
    <x v="3"/>
    <d v="2021-01-19T00:00:00"/>
    <s v="Cash Rewards Visa Signature"/>
    <x v="1188"/>
    <n v="40"/>
    <x v="26"/>
    <m/>
    <m/>
    <m/>
    <n v="40"/>
    <b v="0"/>
    <m/>
    <m/>
    <s v="-"/>
    <x v="1129"/>
    <s v="Manual"/>
    <m/>
  </r>
  <r>
    <x v="3"/>
    <d v="2021-01-19T00:00:00"/>
    <s v="Cash Rewards Visa Signature"/>
    <x v="1189"/>
    <n v="71.56"/>
    <x v="26"/>
    <m/>
    <m/>
    <m/>
    <n v="71.56"/>
    <b v="0"/>
    <m/>
    <m/>
    <s v="-"/>
    <x v="1130"/>
    <s v="Manual"/>
    <m/>
  </r>
  <r>
    <x v="3"/>
    <d v="2021-01-19T00:00:00"/>
    <s v="POWERPLUS"/>
    <x v="1190"/>
    <n v="200"/>
    <x v="26"/>
    <m/>
    <m/>
    <m/>
    <n v="200"/>
    <b v="0"/>
    <m/>
    <m/>
    <s v="-"/>
    <x v="1131"/>
    <s v="Create Rule; and Description Like '%MN DIR ACH%';College Savings"/>
    <m/>
  </r>
  <r>
    <x v="3"/>
    <d v="2021-01-19T00:00:00"/>
    <s v="POWERPLUS"/>
    <x v="157"/>
    <n v="19.989999999999998"/>
    <x v="8"/>
    <m/>
    <m/>
    <m/>
    <n v="19.989999999999998"/>
    <b v="0"/>
    <m/>
    <m/>
    <s v="-"/>
    <x v="156"/>
    <s v="Create Rule; and Description Like '%PayPal%';Shopping"/>
    <m/>
  </r>
  <r>
    <x v="3"/>
    <d v="2021-01-19T00:00:00"/>
    <s v="Cash Rewards Visa Signature"/>
    <x v="579"/>
    <n v="15"/>
    <x v="1"/>
    <m/>
    <m/>
    <m/>
    <n v="15"/>
    <b v="0"/>
    <m/>
    <m/>
    <s v="-"/>
    <x v="560"/>
    <s v="Create Rule; and Description='Starbucks';Restaurants"/>
    <m/>
  </r>
  <r>
    <x v="3"/>
    <d v="2021-01-19T00:00:00"/>
    <s v="POWERPLUS"/>
    <x v="1191"/>
    <n v="-98"/>
    <x v="26"/>
    <m/>
    <m/>
    <m/>
    <n v="98"/>
    <b v="0"/>
    <m/>
    <m/>
    <s v="+"/>
    <x v="1132"/>
    <s v="Create Rule; and Description Like '%PayPal%';Shopping"/>
    <m/>
  </r>
  <r>
    <x v="3"/>
    <d v="2021-01-19T00:00:00"/>
    <s v="Investor Checking"/>
    <x v="361"/>
    <n v="-620.66"/>
    <x v="26"/>
    <m/>
    <m/>
    <m/>
    <n v="620.66"/>
    <b v="0"/>
    <m/>
    <m/>
    <s v="+"/>
    <x v="352"/>
    <s v="Manual"/>
    <m/>
  </r>
  <r>
    <x v="3"/>
    <d v="2021-01-20T00:00:00"/>
    <s v="POWERPLUS"/>
    <x v="1192"/>
    <n v="-2167.65"/>
    <x v="26"/>
    <m/>
    <m/>
    <m/>
    <n v="2167.65"/>
    <b v="0"/>
    <m/>
    <m/>
    <s v="+"/>
    <x v="1133"/>
    <s v="Create Rule; and Description Like '%CARGILL COCOA TYPE DIR DEP ID%';Inc - Britney"/>
    <m/>
  </r>
  <r>
    <x v="3"/>
    <d v="2021-01-20T00:00:00"/>
    <s v="POWERPLUS"/>
    <x v="1193"/>
    <n v="401.9"/>
    <x v="26"/>
    <m/>
    <m/>
    <m/>
    <n v="401.9"/>
    <b v="0"/>
    <m/>
    <m/>
    <s v="-"/>
    <x v="1134"/>
    <s v="Create Rule; and Description Like '%MHCHILDCARELLC%';Day Care"/>
    <m/>
  </r>
  <r>
    <x v="3"/>
    <d v="2021-01-20T00:00:00"/>
    <s v="POWERPLUS"/>
    <x v="157"/>
    <n v="12.99"/>
    <x v="8"/>
    <m/>
    <m/>
    <m/>
    <n v="12.99"/>
    <b v="0"/>
    <m/>
    <m/>
    <s v="-"/>
    <x v="156"/>
    <s v="Create Rule; and Description Like '%PayPal%';Shopping"/>
    <m/>
  </r>
  <r>
    <x v="3"/>
    <d v="2021-01-20T00:00:00"/>
    <s v="Joint Tenant"/>
    <x v="19"/>
    <n v="200"/>
    <x v="26"/>
    <m/>
    <m/>
    <m/>
    <n v="200"/>
    <b v="0"/>
    <m/>
    <m/>
    <s v="-"/>
    <x v="19"/>
    <s v="Delete; and Description='SCHWAB S&amp;P 500 INDEX FD' and inflowoutflow='-';0"/>
    <m/>
  </r>
  <r>
    <x v="3"/>
    <d v="2021-01-20T00:00:00"/>
    <s v="Joint Tenant"/>
    <x v="20"/>
    <n v="200"/>
    <x v="26"/>
    <m/>
    <m/>
    <m/>
    <n v="200"/>
    <b v="0"/>
    <m/>
    <m/>
    <s v="-"/>
    <x v="20"/>
    <s v="Delete; and Description='SCHWAB TOTAL STOCK MKT INDEX' and inflowoutflow='-';0"/>
    <m/>
  </r>
  <r>
    <x v="3"/>
    <d v="2021-01-20T00:00:00"/>
    <s v="Cash Rewards Visa Signature"/>
    <x v="1194"/>
    <n v="78.22"/>
    <x v="26"/>
    <m/>
    <m/>
    <m/>
    <n v="78.22"/>
    <b v="0"/>
    <m/>
    <m/>
    <s v="-"/>
    <x v="1135"/>
    <s v="Manual"/>
    <m/>
  </r>
  <r>
    <x v="3"/>
    <d v="2021-01-21T00:00:00"/>
    <s v="Cash Rewards Visa Signature"/>
    <x v="936"/>
    <n v="-219.58"/>
    <x v="26"/>
    <m/>
    <m/>
    <m/>
    <n v="219.58"/>
    <b v="0"/>
    <m/>
    <m/>
    <s v="+"/>
    <x v="900"/>
    <s v="Delete; and Description Like '%PAYMENT THANK YOU%';0"/>
    <m/>
  </r>
  <r>
    <x v="3"/>
    <d v="2021-01-21T00:00:00"/>
    <s v="POWERPLUS"/>
    <x v="937"/>
    <n v="219.58"/>
    <x v="26"/>
    <m/>
    <m/>
    <m/>
    <n v="219.58"/>
    <b v="0"/>
    <m/>
    <m/>
    <s v="-"/>
    <x v="901"/>
    <s v="Delete; and Description Like '%Withdrawal Home payment to card%';0"/>
    <m/>
  </r>
  <r>
    <x v="3"/>
    <d v="2021-01-21T00:00:00"/>
    <s v="Cash Rewards Visa Signature"/>
    <x v="1096"/>
    <n v="9"/>
    <x v="26"/>
    <m/>
    <m/>
    <m/>
    <n v="9"/>
    <b v="0"/>
    <m/>
    <m/>
    <s v="-"/>
    <x v="1045"/>
    <s v="Create Rule; and Description Like '%BONFES%';House Maintenance"/>
    <m/>
  </r>
  <r>
    <x v="3"/>
    <d v="2021-01-21T00:00:00"/>
    <s v="POWERPLUS"/>
    <x v="35"/>
    <n v="-75"/>
    <x v="26"/>
    <m/>
    <m/>
    <m/>
    <n v="75"/>
    <b v="0"/>
    <m/>
    <m/>
    <s v="+"/>
    <x v="35"/>
    <s v="Create Rule; and Description='Cargill Incorpor Type';Inc - Other"/>
    <m/>
  </r>
  <r>
    <x v="3"/>
    <d v="2021-01-21T00:00:00"/>
    <s v="POWERPLUS"/>
    <x v="84"/>
    <n v="142.43"/>
    <x v="26"/>
    <m/>
    <m/>
    <m/>
    <n v="142.43"/>
    <b v="0"/>
    <m/>
    <m/>
    <s v="-"/>
    <x v="84"/>
    <s v="Create Rule; and Description='City of Chanhassen';Utilities"/>
    <m/>
  </r>
  <r>
    <x v="3"/>
    <d v="2021-01-21T00:00:00"/>
    <s v="Cash Rewards Visa Signature"/>
    <x v="1195"/>
    <n v="14.89"/>
    <x v="26"/>
    <m/>
    <m/>
    <m/>
    <n v="14.89"/>
    <b v="0"/>
    <m/>
    <m/>
    <s v="-"/>
    <x v="1136"/>
    <s v="Manual"/>
    <m/>
  </r>
  <r>
    <x v="3"/>
    <d v="2021-01-21T00:00:00"/>
    <s v="POWERPLUS"/>
    <x v="29"/>
    <n v="300"/>
    <x v="8"/>
    <m/>
    <m/>
    <m/>
    <n v="300"/>
    <b v="0"/>
    <m/>
    <m/>
    <s v="-"/>
    <x v="29"/>
    <s v="Manual"/>
    <m/>
  </r>
  <r>
    <x v="3"/>
    <d v="2021-01-22T00:00:00"/>
    <s v="Cash Rewards Visa Signature"/>
    <x v="1196"/>
    <n v="233.91"/>
    <x v="26"/>
    <m/>
    <m/>
    <m/>
    <n v="233.91"/>
    <b v="0"/>
    <m/>
    <m/>
    <s v="-"/>
    <x v="1137"/>
    <s v="Manual"/>
    <m/>
  </r>
  <r>
    <x v="3"/>
    <d v="2021-01-22T00:00:00"/>
    <s v="Joint Tenant"/>
    <x v="185"/>
    <n v="-200"/>
    <x v="26"/>
    <m/>
    <m/>
    <m/>
    <n v="200"/>
    <b v="0"/>
    <m/>
    <m/>
    <s v="+"/>
    <x v="184"/>
    <s v="Create Rule; and Description='CARGILL COCOA &amp;';Roth"/>
    <m/>
  </r>
  <r>
    <x v="3"/>
    <d v="2021-01-22T00:00:00"/>
    <s v="Cash Rewards Visa Signature"/>
    <x v="1197"/>
    <n v="17.86"/>
    <x v="26"/>
    <m/>
    <m/>
    <m/>
    <n v="17.86"/>
    <b v="0"/>
    <m/>
    <m/>
    <s v="-"/>
    <x v="1138"/>
    <s v="Manual"/>
    <m/>
  </r>
  <r>
    <x v="3"/>
    <d v="2021-01-22T00:00:00"/>
    <s v="Contributory"/>
    <x v="51"/>
    <n v="-231"/>
    <x v="26"/>
    <m/>
    <m/>
    <m/>
    <n v="231"/>
    <b v="0"/>
    <m/>
    <m/>
    <s v="+"/>
    <x v="51"/>
    <s v="Create Rule; and Description='Tfr JPMORGAN CHASE BAN, CARGILL COCOA &amp;';Roth"/>
    <m/>
  </r>
  <r>
    <x v="3"/>
    <d v="2021-01-24T00:00:00"/>
    <s v="Cash Rewards Visa Signature"/>
    <x v="1198"/>
    <n v="165.71"/>
    <x v="26"/>
    <m/>
    <m/>
    <m/>
    <n v="165.71"/>
    <b v="0"/>
    <m/>
    <m/>
    <s v="-"/>
    <x v="1139"/>
    <s v="Manual"/>
    <m/>
  </r>
  <r>
    <x v="3"/>
    <d v="2021-01-24T00:00:00"/>
    <s v="Cash Rewards Visa Signature"/>
    <x v="1199"/>
    <n v="12.54"/>
    <x v="26"/>
    <m/>
    <m/>
    <m/>
    <n v="12.54"/>
    <b v="0"/>
    <m/>
    <m/>
    <s v="-"/>
    <x v="1140"/>
    <s v="Manual"/>
    <m/>
  </r>
  <r>
    <x v="3"/>
    <d v="2021-01-24T00:00:00"/>
    <s v="Cash Rewards Visa Signature"/>
    <x v="1200"/>
    <n v="324.99"/>
    <x v="26"/>
    <m/>
    <m/>
    <m/>
    <n v="324.99"/>
    <b v="0"/>
    <m/>
    <m/>
    <s v="-"/>
    <x v="1141"/>
    <s v="Manual"/>
    <m/>
  </r>
  <r>
    <x v="3"/>
    <d v="2021-01-24T00:00:00"/>
    <s v="RAINY DAY"/>
    <x v="515"/>
    <n v="-200"/>
    <x v="26"/>
    <m/>
    <m/>
    <m/>
    <n v="200"/>
    <b v="0"/>
    <m/>
    <m/>
    <s v="+"/>
    <x v="496"/>
    <s v="Create Rule; and Description='Share';Delete"/>
    <m/>
  </r>
  <r>
    <x v="3"/>
    <d v="2021-01-24T00:00:00"/>
    <s v="POWERPLUS"/>
    <x v="952"/>
    <n v="200"/>
    <x v="26"/>
    <m/>
    <m/>
    <m/>
    <n v="200"/>
    <b v="0"/>
    <m/>
    <m/>
    <s v="-"/>
    <x v="915"/>
    <s v="Create Rule; and Description='To Share 12';Delete"/>
    <m/>
  </r>
  <r>
    <x v="3"/>
    <d v="2021-01-25T00:00:00"/>
    <s v="Cash Rewards Visa Signature"/>
    <x v="936"/>
    <n v="-778.9"/>
    <x v="26"/>
    <m/>
    <m/>
    <m/>
    <n v="778.9"/>
    <b v="0"/>
    <m/>
    <m/>
    <s v="+"/>
    <x v="900"/>
    <s v="Delete; and Description Like '%PAYMENT THANK YOU%';0"/>
    <m/>
  </r>
  <r>
    <x v="3"/>
    <d v="2021-01-25T00:00:00"/>
    <s v="POWERPLUS"/>
    <x v="937"/>
    <n v="778.9"/>
    <x v="26"/>
    <m/>
    <m/>
    <m/>
    <n v="778.9"/>
    <b v="0"/>
    <m/>
    <m/>
    <s v="-"/>
    <x v="901"/>
    <s v="Delete; and Description Like '%Withdrawal Home payment to card%';0"/>
    <m/>
  </r>
  <r>
    <x v="3"/>
    <d v="2021-01-25T00:00:00"/>
    <s v="Cash Rewards Visa Signature"/>
    <x v="1195"/>
    <n v="39.909999999999997"/>
    <x v="26"/>
    <m/>
    <m/>
    <m/>
    <n v="39.909999999999997"/>
    <b v="0"/>
    <m/>
    <m/>
    <s v="-"/>
    <x v="1136"/>
    <s v="Manual"/>
    <m/>
  </r>
  <r>
    <x v="3"/>
    <d v="2021-01-25T00:00:00"/>
    <s v="Cash Rewards Visa Signature"/>
    <x v="1201"/>
    <n v="74.12"/>
    <x v="26"/>
    <m/>
    <m/>
    <m/>
    <n v="74.12"/>
    <b v="0"/>
    <m/>
    <m/>
    <s v="-"/>
    <x v="1142"/>
    <s v="Manual"/>
    <m/>
  </r>
  <r>
    <x v="3"/>
    <d v="2021-01-25T00:00:00"/>
    <s v="Cash Rewards Visa Signature"/>
    <x v="1201"/>
    <n v="84.91"/>
    <x v="26"/>
    <m/>
    <m/>
    <m/>
    <n v="84.91"/>
    <b v="0"/>
    <m/>
    <m/>
    <s v="-"/>
    <x v="1142"/>
    <s v="Manual"/>
    <m/>
  </r>
  <r>
    <x v="3"/>
    <d v="2021-01-25T00:00:00"/>
    <s v="Cash Rewards Visa Signature"/>
    <x v="1202"/>
    <n v="327.85"/>
    <x v="26"/>
    <m/>
    <m/>
    <m/>
    <n v="327.85"/>
    <b v="0"/>
    <m/>
    <m/>
    <s v="-"/>
    <x v="1143"/>
    <s v="Manual"/>
    <m/>
  </r>
  <r>
    <x v="3"/>
    <d v="2021-01-25T00:00:00"/>
    <s v="POWERPLUS"/>
    <x v="515"/>
    <n v="-226"/>
    <x v="26"/>
    <m/>
    <m/>
    <m/>
    <n v="226"/>
    <b v="0"/>
    <m/>
    <m/>
    <s v="+"/>
    <x v="496"/>
    <s v="Create Rule; and Description='Share';Delete"/>
    <m/>
  </r>
  <r>
    <x v="3"/>
    <d v="2021-01-25T00:00:00"/>
    <s v="POWERPLUS"/>
    <x v="34"/>
    <n v="610.42999999999995"/>
    <x v="12"/>
    <m/>
    <m/>
    <m/>
    <n v="610.42999999999995"/>
    <b v="0"/>
    <m/>
    <m/>
    <s v="-"/>
    <x v="34"/>
    <s v="Create Rule; and Description='Target';Target"/>
    <m/>
  </r>
  <r>
    <x v="3"/>
    <d v="2021-01-25T00:00:00"/>
    <s v="SHARE SAVINGS"/>
    <x v="953"/>
    <n v="226"/>
    <x v="26"/>
    <m/>
    <m/>
    <m/>
    <n v="226"/>
    <b v="0"/>
    <m/>
    <m/>
    <s v="-"/>
    <x v="916"/>
    <s v="Manual"/>
    <m/>
  </r>
  <r>
    <x v="3"/>
    <d v="2021-01-26T00:00:00"/>
    <s v="CARGILL PARTNERSHIP PLAN"/>
    <x v="566"/>
    <n v="-1415.95"/>
    <x v="26"/>
    <m/>
    <m/>
    <m/>
    <n v="1415.95"/>
    <b v="0"/>
    <m/>
    <m/>
    <s v="+"/>
    <x v="547"/>
    <s v="Create Rule; and Description='Cargill ESOP Stock Fund - Plan Contribution';Delete"/>
    <m/>
  </r>
  <r>
    <x v="3"/>
    <d v="2021-01-26T00:00:00"/>
    <s v="POWERPLUS"/>
    <x v="1203"/>
    <n v="425"/>
    <x v="26"/>
    <m/>
    <m/>
    <m/>
    <n v="425"/>
    <b v="0"/>
    <m/>
    <m/>
    <s v="-"/>
    <x v="1144"/>
    <s v="Create Rule; and Description Like '%MHCHILDCARELLC%';Day Care"/>
    <m/>
  </r>
  <r>
    <x v="3"/>
    <d v="2021-01-26T00:00:00"/>
    <s v="Discover"/>
    <x v="99"/>
    <n v="12.99"/>
    <x v="11"/>
    <m/>
    <m/>
    <m/>
    <n v="12.99"/>
    <b v="0"/>
    <m/>
    <m/>
    <s v="-"/>
    <x v="99"/>
    <s v="Create Rule; and Description='Netflix';Utilities"/>
    <m/>
  </r>
  <r>
    <x v="3"/>
    <d v="2021-01-26T00:00:00"/>
    <s v="Discover More Card"/>
    <x v="99"/>
    <n v="12.99"/>
    <x v="11"/>
    <m/>
    <m/>
    <m/>
    <n v="12.99"/>
    <b v="0"/>
    <m/>
    <m/>
    <s v="-"/>
    <x v="99"/>
    <s v="Create Rule; and Description='Netflix';Utilities"/>
    <m/>
  </r>
  <r>
    <x v="3"/>
    <d v="2021-01-26T00:00:00"/>
    <s v="Cash Rewards Visa Signature"/>
    <x v="1204"/>
    <n v="1.64"/>
    <x v="26"/>
    <m/>
    <m/>
    <m/>
    <n v="1.64"/>
    <b v="0"/>
    <m/>
    <m/>
    <s v="-"/>
    <x v="1145"/>
    <s v="Manual"/>
    <m/>
  </r>
  <r>
    <x v="3"/>
    <d v="2021-01-26T00:00:00"/>
    <s v="Cash Rewards Visa Signature"/>
    <x v="1205"/>
    <n v="23"/>
    <x v="26"/>
    <m/>
    <m/>
    <m/>
    <n v="23"/>
    <b v="0"/>
    <m/>
    <m/>
    <s v="-"/>
    <x v="1146"/>
    <s v="Manual"/>
    <m/>
  </r>
  <r>
    <x v="3"/>
    <d v="2021-01-27T00:00:00"/>
    <s v="Cash Rewards Visa Signature"/>
    <x v="936"/>
    <n v="-551.42999999999995"/>
    <x v="26"/>
    <m/>
    <m/>
    <m/>
    <n v="551.42999999999995"/>
    <b v="0"/>
    <m/>
    <m/>
    <s v="+"/>
    <x v="900"/>
    <s v="Delete; and Description Like '%PAYMENT THANK YOU%';0"/>
    <m/>
  </r>
  <r>
    <x v="3"/>
    <d v="2021-01-27T00:00:00"/>
    <s v="POWERPLUS"/>
    <x v="937"/>
    <n v="551.42999999999995"/>
    <x v="26"/>
    <m/>
    <m/>
    <m/>
    <n v="551.42999999999995"/>
    <b v="0"/>
    <m/>
    <m/>
    <s v="-"/>
    <x v="901"/>
    <s v="Delete; and Description Like '%Withdrawal Home payment to card%';0"/>
    <m/>
  </r>
  <r>
    <x v="3"/>
    <d v="2021-01-27T00:00:00"/>
    <s v="Joint Tenant"/>
    <x v="232"/>
    <n v="967.23"/>
    <x v="26"/>
    <m/>
    <m/>
    <m/>
    <n v="967.23"/>
    <b v="0"/>
    <m/>
    <m/>
    <s v="-"/>
    <x v="230"/>
    <s v="Create Rule; and Description='BOEING CO';Dividend"/>
    <m/>
  </r>
  <r>
    <x v="3"/>
    <d v="2021-01-27T00:00:00"/>
    <s v="Jeff IRA"/>
    <x v="20"/>
    <n v="500"/>
    <x v="26"/>
    <m/>
    <m/>
    <m/>
    <n v="500"/>
    <b v="0"/>
    <m/>
    <m/>
    <s v="-"/>
    <x v="20"/>
    <s v="Delete; and Description='SCHWAB TOTAL STOCK MKT INDEX' and inflowoutflow='-';0"/>
    <m/>
  </r>
  <r>
    <x v="3"/>
    <d v="2021-01-27T00:00:00"/>
    <s v="Cash Rewards Visa Signature"/>
    <x v="579"/>
    <n v="10.54"/>
    <x v="1"/>
    <m/>
    <m/>
    <m/>
    <n v="10.54"/>
    <b v="0"/>
    <m/>
    <m/>
    <s v="-"/>
    <x v="560"/>
    <s v="Create Rule; and Description='Starbucks';Restaurants"/>
    <m/>
  </r>
  <r>
    <x v="3"/>
    <d v="2021-01-28T00:00:00"/>
    <s v="POWERPLUS"/>
    <x v="1206"/>
    <n v="-2326.16"/>
    <x v="26"/>
    <m/>
    <m/>
    <m/>
    <n v="2326.16"/>
    <b v="0"/>
    <m/>
    <m/>
    <s v="+"/>
    <x v="910"/>
    <s v="Create Rule; and Description Like '%CONNECTED ANALYT%';Jeff"/>
    <m/>
  </r>
  <r>
    <x v="3"/>
    <d v="2021-01-28T00:00:00"/>
    <s v="Discover"/>
    <x v="6"/>
    <n v="91.27"/>
    <x v="5"/>
    <m/>
    <m/>
    <m/>
    <n v="91.27"/>
    <b v="0"/>
    <m/>
    <m/>
    <s v="-"/>
    <x v="6"/>
    <s v="Create Rule; and Description Like '%Cub Foods%';Groceries"/>
    <m/>
  </r>
  <r>
    <x v="3"/>
    <d v="2021-01-28T00:00:00"/>
    <s v="Discover More Card"/>
    <x v="6"/>
    <n v="91.27"/>
    <x v="5"/>
    <m/>
    <m/>
    <m/>
    <n v="91.27"/>
    <b v="0"/>
    <m/>
    <m/>
    <s v="-"/>
    <x v="6"/>
    <s v="Create Rule; and Description Like '%Cub Foods%';Groceries"/>
    <m/>
  </r>
  <r>
    <x v="3"/>
    <d v="2021-01-28T00:00:00"/>
    <s v="Cash Rewards Visa Signature"/>
    <x v="738"/>
    <n v="19.989999999999998"/>
    <x v="26"/>
    <m/>
    <m/>
    <m/>
    <n v="19.989999999999998"/>
    <b v="0"/>
    <m/>
    <m/>
    <s v="-"/>
    <x v="712"/>
    <s v="Create Rule; and Description='Milios Sandwiches';Restaurants"/>
    <m/>
  </r>
  <r>
    <x v="3"/>
    <d v="2021-01-28T00:00:00"/>
    <s v="POWERPLUS"/>
    <x v="157"/>
    <n v="5.45"/>
    <x v="8"/>
    <m/>
    <m/>
    <m/>
    <n v="5.45"/>
    <b v="0"/>
    <m/>
    <m/>
    <s v="-"/>
    <x v="156"/>
    <s v="Create Rule; and Description Like '%PayPal%';Shopping"/>
    <m/>
  </r>
  <r>
    <x v="3"/>
    <d v="2021-01-28T00:00:00"/>
    <s v="POWERPLUS"/>
    <x v="157"/>
    <n v="12.71"/>
    <x v="8"/>
    <m/>
    <m/>
    <m/>
    <n v="12.71"/>
    <b v="0"/>
    <m/>
    <m/>
    <s v="-"/>
    <x v="156"/>
    <s v="Create Rule; and Description Like '%PayPal%';Shopping"/>
    <m/>
  </r>
  <r>
    <x v="3"/>
    <d v="2021-01-29T00:00:00"/>
    <s v="Discover"/>
    <x v="0"/>
    <n v="70"/>
    <x v="0"/>
    <m/>
    <m/>
    <m/>
    <n v="70"/>
    <b v="0"/>
    <m/>
    <m/>
    <s v="-"/>
    <x v="0"/>
    <s v="Create Rule; and Description='Amazon';Amazon"/>
    <m/>
  </r>
  <r>
    <x v="3"/>
    <d v="2021-01-29T00:00:00"/>
    <s v="Discover More Card"/>
    <x v="0"/>
    <n v="70"/>
    <x v="0"/>
    <m/>
    <m/>
    <m/>
    <n v="70"/>
    <b v="0"/>
    <m/>
    <m/>
    <s v="-"/>
    <x v="0"/>
    <s v="Create Rule; and Description='Amazon';Amazon"/>
    <m/>
  </r>
  <r>
    <x v="3"/>
    <d v="2021-01-29T00:00:00"/>
    <s v="Joint Tenant"/>
    <x v="950"/>
    <n v="-250"/>
    <x v="26"/>
    <m/>
    <m/>
    <m/>
    <n v="250"/>
    <b v="0"/>
    <m/>
    <m/>
    <s v="+"/>
    <x v="913"/>
    <s v="Create Rule; and Description Like '%CONNECTED ANALYT%';Inc - Jeff"/>
    <m/>
  </r>
  <r>
    <x v="3"/>
    <d v="2021-01-29T00:00:00"/>
    <s v="SAVINGS"/>
    <x v="1207"/>
    <n v="-1"/>
    <x v="26"/>
    <m/>
    <m/>
    <m/>
    <n v="1"/>
    <b v="0"/>
    <m/>
    <m/>
    <s v="+"/>
    <x v="1147"/>
    <m/>
    <m/>
  </r>
  <r>
    <x v="3"/>
    <d v="2021-01-29T00:00:00"/>
    <s v="POWERPLUS"/>
    <x v="1208"/>
    <n v="-4999.92"/>
    <x v="26"/>
    <m/>
    <m/>
    <m/>
    <n v="4999.92"/>
    <b v="0"/>
    <m/>
    <m/>
    <s v="+"/>
    <x v="1148"/>
    <s v="Manual"/>
    <m/>
  </r>
  <r>
    <x v="3"/>
    <d v="2021-01-29T00:00:00"/>
    <s v="Investor Checking"/>
    <x v="118"/>
    <n v="-0.01"/>
    <x v="26"/>
    <m/>
    <m/>
    <m/>
    <n v="0.01"/>
    <b v="0"/>
    <m/>
    <m/>
    <s v="+"/>
    <x v="118"/>
    <s v="Create Rule; and Description='Interest Paid';0"/>
    <m/>
  </r>
  <r>
    <x v="3"/>
    <d v="2021-01-29T00:00:00"/>
    <s v="POWERPLUS"/>
    <x v="157"/>
    <n v="0.99"/>
    <x v="8"/>
    <m/>
    <m/>
    <m/>
    <n v="0.99"/>
    <b v="0"/>
    <m/>
    <m/>
    <s v="-"/>
    <x v="156"/>
    <s v="Create Rule; and Description Like '%PayPal%';Shopping"/>
    <m/>
  </r>
  <r>
    <x v="3"/>
    <d v="2021-01-29T00:00:00"/>
    <s v="Joint Tenant"/>
    <x v="358"/>
    <n v="-25.39"/>
    <x v="26"/>
    <m/>
    <m/>
    <m/>
    <n v="25.39"/>
    <b v="0"/>
    <m/>
    <m/>
    <s v="+"/>
    <x v="349"/>
    <s v="Delete; and Source='Joint Tenant';0"/>
    <m/>
  </r>
  <r>
    <x v="3"/>
    <d v="2021-01-29T00:00:00"/>
    <s v="Jeff IRA"/>
    <x v="951"/>
    <n v="-250"/>
    <x v="26"/>
    <m/>
    <m/>
    <m/>
    <n v="250"/>
    <b v="0"/>
    <m/>
    <m/>
    <s v="+"/>
    <x v="914"/>
    <s v="Create Rule; and Description Like '%CONNECTED ANALYT%';Inc - Jeff"/>
    <m/>
  </r>
  <r>
    <x v="3"/>
    <d v="2021-01-30T00:00:00"/>
    <s v="POWERPLUS"/>
    <x v="1209"/>
    <n v="-501"/>
    <x v="26"/>
    <m/>
    <m/>
    <m/>
    <n v="501"/>
    <b v="0"/>
    <m/>
    <m/>
    <s v="+"/>
    <x v="1149"/>
    <s v="Manual"/>
    <m/>
  </r>
  <r>
    <x v="3"/>
    <d v="2021-01-30T00:00:00"/>
    <s v="Coopers Rainy Day"/>
    <x v="1210"/>
    <n v="501"/>
    <x v="26"/>
    <m/>
    <m/>
    <m/>
    <n v="501"/>
    <b v="0"/>
    <m/>
    <m/>
    <s v="-"/>
    <x v="1150"/>
    <s v="Manual"/>
    <m/>
  </r>
  <r>
    <x v="3"/>
    <d v="2021-01-31T00:00:00"/>
    <s v="Discover"/>
    <x v="0"/>
    <n v="1"/>
    <x v="0"/>
    <m/>
    <m/>
    <m/>
    <n v="1"/>
    <b v="0"/>
    <m/>
    <m/>
    <s v="-"/>
    <x v="0"/>
    <s v="Create Rule; and Description='Amazon';Amazon"/>
    <m/>
  </r>
  <r>
    <x v="3"/>
    <d v="2021-01-31T00:00:00"/>
    <s v="Discover"/>
    <x v="6"/>
    <n v="93.72"/>
    <x v="5"/>
    <m/>
    <m/>
    <m/>
    <n v="93.72"/>
    <b v="0"/>
    <m/>
    <m/>
    <s v="-"/>
    <x v="6"/>
    <s v="Create Rule; and Description Like '%Cub Foods%';Groceries"/>
    <m/>
  </r>
  <r>
    <x v="3"/>
    <d v="2021-01-31T00:00:00"/>
    <s v="Discover More Card"/>
    <x v="6"/>
    <n v="93.72"/>
    <x v="5"/>
    <m/>
    <m/>
    <m/>
    <n v="93.72"/>
    <b v="0"/>
    <m/>
    <m/>
    <s v="-"/>
    <x v="6"/>
    <s v="Create Rule; and Description Like '%Cub Foods%';Groceries"/>
    <m/>
  </r>
  <r>
    <x v="3"/>
    <d v="2021-01-31T00:00:00"/>
    <s v="Cash Rewards Visa Signature"/>
    <x v="1211"/>
    <n v="86.93"/>
    <x v="26"/>
    <m/>
    <m/>
    <m/>
    <n v="86.93"/>
    <b v="0"/>
    <m/>
    <m/>
    <s v="-"/>
    <x v="1151"/>
    <s v="Manual"/>
    <m/>
  </r>
  <r>
    <x v="3"/>
    <d v="2021-01-31T00:00:00"/>
    <s v="Cash Rewards Visa Signature"/>
    <x v="81"/>
    <n v="33.71"/>
    <x v="26"/>
    <m/>
    <m/>
    <m/>
    <n v="33.71"/>
    <b v="0"/>
    <m/>
    <m/>
    <s v="-"/>
    <x v="81"/>
    <s v="Create Rule; and Description='Holiday Stationstore';Transportation"/>
    <m/>
  </r>
  <r>
    <x v="3"/>
    <d v="2021-01-31T00:00:00"/>
    <s v="Cash Rewards Visa Signature"/>
    <x v="1212"/>
    <n v="8.58"/>
    <x v="26"/>
    <m/>
    <m/>
    <m/>
    <n v="8.58"/>
    <b v="0"/>
    <m/>
    <m/>
    <s v="-"/>
    <x v="1152"/>
    <s v="Manual"/>
    <m/>
  </r>
  <r>
    <x v="3"/>
    <d v="2021-01-31T00:00:00"/>
    <s v="Cash Rewards Visa Signature"/>
    <x v="948"/>
    <n v="365.61"/>
    <x v="26"/>
    <m/>
    <m/>
    <m/>
    <n v="365.61"/>
    <b v="0"/>
    <m/>
    <m/>
    <s v="-"/>
    <x v="911"/>
    <s v="Manual"/>
    <m/>
  </r>
  <r>
    <x v="3"/>
    <d v="2021-01-31T00:00:00"/>
    <s v="POWERPLUS"/>
    <x v="119"/>
    <n v="-12.73"/>
    <x v="26"/>
    <m/>
    <m/>
    <m/>
    <n v="12.73"/>
    <b v="0"/>
    <m/>
    <m/>
    <s v="+"/>
    <x v="119"/>
    <s v="Create Rule; and Description='Split Rate Apy';Inc - Other"/>
    <m/>
  </r>
  <r>
    <x v="3"/>
    <d v="2021-01-31T00:00:00"/>
    <s v="RAINY DAY"/>
    <x v="119"/>
    <n v="-13.58"/>
    <x v="26"/>
    <m/>
    <m/>
    <m/>
    <n v="13.58"/>
    <b v="0"/>
    <m/>
    <m/>
    <s v="+"/>
    <x v="119"/>
    <s v="Create Rule; and Description='Split Rate Apy';Inc - Other"/>
    <m/>
  </r>
  <r>
    <x v="19"/>
    <d v="2021-02-01T00:00:00"/>
    <s v="Discover"/>
    <x v="93"/>
    <n v="-38.5"/>
    <x v="26"/>
    <m/>
    <m/>
    <m/>
    <n v="38.5"/>
    <b v="0"/>
    <m/>
    <m/>
    <s v="+"/>
    <x v="93"/>
    <s v="Delete; and Description='CASHBACK BONUS REDEMPTION payment/STMT CRDT';0"/>
    <m/>
  </r>
  <r>
    <x v="19"/>
    <d v="2021-02-01T00:00:00"/>
    <s v="Discover More Card"/>
    <x v="93"/>
    <n v="-38.5"/>
    <x v="26"/>
    <m/>
    <m/>
    <m/>
    <n v="38.5"/>
    <b v="0"/>
    <m/>
    <m/>
    <s v="+"/>
    <x v="93"/>
    <s v="Delete; and Description='CASHBACK BONUS REDEMPTION payment/STMT CRDT';0"/>
    <m/>
  </r>
  <r>
    <x v="19"/>
    <d v="2021-02-01T00:00:00"/>
    <s v="Discover"/>
    <x v="56"/>
    <n v="-475.55"/>
    <x v="3"/>
    <m/>
    <m/>
    <m/>
    <n v="475.55"/>
    <b v="0"/>
    <m/>
    <m/>
    <s v="+"/>
    <x v="56"/>
    <s v="Delete; and Description='INTERNET PAYMENT - THANK YOU';0"/>
    <m/>
  </r>
  <r>
    <x v="19"/>
    <d v="2021-02-01T00:00:00"/>
    <s v="Discover More Card"/>
    <x v="56"/>
    <n v="-475.55"/>
    <x v="3"/>
    <m/>
    <m/>
    <m/>
    <n v="475.55"/>
    <b v="0"/>
    <m/>
    <m/>
    <s v="+"/>
    <x v="56"/>
    <s v="Delete; and Description='INTERNET PAYMENT - THANK YOU';0"/>
    <m/>
  </r>
  <r>
    <x v="19"/>
    <d v="2021-02-01T00:00:00"/>
    <s v="30 YR FIXED"/>
    <x v="935"/>
    <n v="-722.48"/>
    <x v="3"/>
    <m/>
    <m/>
    <m/>
    <n v="722.48"/>
    <b v="0"/>
    <m/>
    <m/>
    <s v="+"/>
    <x v="899"/>
    <s v="Create Rule; and Description='PAYMENT';Delete"/>
    <m/>
  </r>
  <r>
    <x v="19"/>
    <d v="2021-02-01T00:00:00"/>
    <s v="Cash Rewards Visa Signature"/>
    <x v="936"/>
    <n v="-525.36"/>
    <x v="26"/>
    <m/>
    <m/>
    <m/>
    <n v="525.36"/>
    <b v="0"/>
    <m/>
    <m/>
    <s v="+"/>
    <x v="900"/>
    <s v="Delete; and Description Like '%PAYMENT THANK YOU%';0"/>
    <m/>
  </r>
  <r>
    <x v="19"/>
    <d v="2021-02-01T00:00:00"/>
    <s v="POWERPLUS"/>
    <x v="937"/>
    <n v="525.36"/>
    <x v="26"/>
    <m/>
    <m/>
    <m/>
    <n v="525.36"/>
    <b v="0"/>
    <m/>
    <m/>
    <s v="-"/>
    <x v="901"/>
    <s v="Delete; and Description Like '%Withdrawal Home payment to card%';0"/>
    <m/>
  </r>
  <r>
    <x v="19"/>
    <d v="2021-02-01T00:00:00"/>
    <s v="Joint Tenant"/>
    <x v="125"/>
    <n v="-130.46"/>
    <x v="26"/>
    <m/>
    <m/>
    <m/>
    <n v="130.46"/>
    <b v="0"/>
    <m/>
    <m/>
    <s v="+"/>
    <x v="124"/>
    <s v="Create Rule; and Description='A T &amp; T INC';Dividend"/>
    <m/>
  </r>
  <r>
    <x v="19"/>
    <d v="2021-02-01T00:00:00"/>
    <s v="Discover"/>
    <x v="598"/>
    <n v="4.28"/>
    <x v="10"/>
    <m/>
    <m/>
    <m/>
    <n v="4.28"/>
    <b v="0"/>
    <m/>
    <m/>
    <s v="-"/>
    <x v="579"/>
    <s v="Create Rule; and Description='Amazon Music';Entertainment"/>
    <m/>
  </r>
  <r>
    <x v="19"/>
    <d v="2021-02-01T00:00:00"/>
    <s v="Discover More Card"/>
    <x v="598"/>
    <n v="4.28"/>
    <x v="10"/>
    <m/>
    <m/>
    <m/>
    <n v="4.28"/>
    <b v="0"/>
    <m/>
    <m/>
    <s v="-"/>
    <x v="579"/>
    <s v="Create Rule; and Description='Amazon Music';Entertainment"/>
    <m/>
  </r>
  <r>
    <x v="19"/>
    <d v="2021-02-01T00:00:00"/>
    <s v="POWERPLUS"/>
    <x v="1213"/>
    <n v="200"/>
    <x v="26"/>
    <m/>
    <m/>
    <m/>
    <n v="200"/>
    <b v="0"/>
    <m/>
    <m/>
    <s v="-"/>
    <x v="16"/>
    <s v="Create Rule; and Description Like '%College Savings%';College Savings"/>
    <m/>
  </r>
  <r>
    <x v="19"/>
    <d v="2021-02-01T00:00:00"/>
    <s v="HIGHLANDER"/>
    <x v="976"/>
    <n v="-579.91"/>
    <x v="26"/>
    <m/>
    <m/>
    <m/>
    <n v="579.91"/>
    <b v="0"/>
    <m/>
    <m/>
    <s v="+"/>
    <x v="936"/>
    <s v="Create Rule; and Description='From Share 70';Delete"/>
    <m/>
  </r>
  <r>
    <x v="19"/>
    <d v="2021-02-01T00:00:00"/>
    <s v="Cash Rewards Visa Signature"/>
    <x v="1030"/>
    <n v="26.21"/>
    <x v="26"/>
    <m/>
    <m/>
    <m/>
    <n v="26.21"/>
    <b v="0"/>
    <m/>
    <m/>
    <s v="-"/>
    <x v="985"/>
    <s v="Create Rule; and Description Like '%Maynard%';Restaurants"/>
    <m/>
  </r>
  <r>
    <x v="19"/>
    <d v="2021-02-01T00:00:00"/>
    <s v="Cash Rewards Visa Signature"/>
    <x v="1030"/>
    <n v="63.17"/>
    <x v="26"/>
    <m/>
    <m/>
    <m/>
    <n v="63.17"/>
    <b v="0"/>
    <m/>
    <m/>
    <s v="-"/>
    <x v="985"/>
    <s v="Create Rule; and Description Like '%Maynard%';Restaurants"/>
    <m/>
  </r>
  <r>
    <x v="19"/>
    <d v="2021-02-01T00:00:00"/>
    <s v="POWERPLUS"/>
    <x v="157"/>
    <n v="29.32"/>
    <x v="8"/>
    <m/>
    <m/>
    <m/>
    <n v="29.32"/>
    <b v="0"/>
    <m/>
    <m/>
    <s v="-"/>
    <x v="156"/>
    <s v="Create Rule; and Description Like '%PayPal%';Shopping"/>
    <m/>
  </r>
  <r>
    <x v="19"/>
    <d v="2021-02-01T00:00:00"/>
    <s v="30 YR FIXED"/>
    <x v="1085"/>
    <n v="-431"/>
    <x v="26"/>
    <m/>
    <m/>
    <m/>
    <n v="431"/>
    <b v="0"/>
    <m/>
    <m/>
    <s v="+"/>
    <x v="1034"/>
    <s v="Create Rule; and Description='Principal Curtailment';Delete"/>
    <m/>
  </r>
  <r>
    <x v="19"/>
    <d v="2021-02-01T00:00:00"/>
    <s v="Joint Tenant"/>
    <x v="358"/>
    <n v="25.39"/>
    <x v="26"/>
    <m/>
    <m/>
    <m/>
    <n v="25.39"/>
    <b v="0"/>
    <m/>
    <m/>
    <s v="-"/>
    <x v="349"/>
    <s v="Delete; and Source='Joint Tenant';0"/>
    <m/>
  </r>
  <r>
    <x v="19"/>
    <d v="2021-02-01T00:00:00"/>
    <s v="POWERPLUS"/>
    <x v="979"/>
    <n v="618.65"/>
    <x v="26"/>
    <m/>
    <m/>
    <m/>
    <n v="618.65"/>
    <b v="0"/>
    <m/>
    <m/>
    <s v="-"/>
    <x v="939"/>
    <s v="Create Rule; and Description Like '%To Loan 02%';Car Loan"/>
    <m/>
  </r>
  <r>
    <x v="19"/>
    <d v="2021-02-01T00:00:00"/>
    <s v="POWERPLUS"/>
    <x v="1214"/>
    <n v="501"/>
    <x v="26"/>
    <m/>
    <m/>
    <m/>
    <n v="501"/>
    <b v="0"/>
    <m/>
    <m/>
    <s v="-"/>
    <x v="1153"/>
    <s v="Manual"/>
    <m/>
  </r>
  <r>
    <x v="19"/>
    <d v="2021-02-01T00:00:00"/>
    <s v="POWERPLUS"/>
    <x v="29"/>
    <n v="5"/>
    <x v="8"/>
    <m/>
    <m/>
    <m/>
    <n v="5"/>
    <b v="0"/>
    <m/>
    <m/>
    <s v="-"/>
    <x v="29"/>
    <s v="Manual"/>
    <m/>
  </r>
  <r>
    <x v="19"/>
    <d v="2021-02-01T00:00:00"/>
    <s v="POWERPLUS"/>
    <x v="29"/>
    <n v="10"/>
    <x v="8"/>
    <m/>
    <m/>
    <m/>
    <n v="10"/>
    <b v="0"/>
    <m/>
    <m/>
    <s v="-"/>
    <x v="29"/>
    <s v="Manual"/>
    <m/>
  </r>
  <r>
    <x v="25"/>
    <d v="2024-05-23T00:00:00"/>
    <s v="Powerplus - Ending in 8s30"/>
    <x v="1215"/>
    <n v="367"/>
    <x v="30"/>
    <m/>
    <s v="Exp - House"/>
    <m/>
    <m/>
    <m/>
    <m/>
    <m/>
    <m/>
    <x v="1154"/>
    <m/>
    <m/>
  </r>
  <r>
    <x v="19"/>
    <d v="2021-02-02T00:00:00"/>
    <s v="POWERPLUS"/>
    <x v="1216"/>
    <n v="475.55"/>
    <x v="26"/>
    <m/>
    <m/>
    <m/>
    <n v="475.55"/>
    <b v="0"/>
    <m/>
    <m/>
    <s v="-"/>
    <x v="1155"/>
    <s v="Delete; and Description Like '%DISCOVER TYPE EPAYMENT%';0"/>
    <m/>
  </r>
  <r>
    <x v="19"/>
    <d v="2021-02-02T00:00:00"/>
    <s v="Joint Tenant"/>
    <x v="125"/>
    <n v="130.46"/>
    <x v="26"/>
    <m/>
    <m/>
    <m/>
    <n v="130.46"/>
    <b v="0"/>
    <m/>
    <m/>
    <s v="-"/>
    <x v="124"/>
    <s v="Create Rule; and Description='A T &amp; T INC';Dividend"/>
    <m/>
  </r>
  <r>
    <x v="19"/>
    <d v="2021-02-02T00:00:00"/>
    <s v="POWERPLUS"/>
    <x v="446"/>
    <n v="-543.86"/>
    <x v="26"/>
    <m/>
    <m/>
    <m/>
    <n v="543.86"/>
    <b v="0"/>
    <m/>
    <m/>
    <s v="+"/>
    <x v="430"/>
    <s v="Manual"/>
    <m/>
  </r>
  <r>
    <x v="19"/>
    <d v="2021-02-02T00:00:00"/>
    <s v="Investor Checking"/>
    <x v="1217"/>
    <n v="501"/>
    <x v="26"/>
    <m/>
    <m/>
    <m/>
    <n v="501"/>
    <b v="0"/>
    <m/>
    <m/>
    <s v="-"/>
    <x v="1156"/>
    <s v="Manual"/>
    <m/>
  </r>
  <r>
    <x v="19"/>
    <d v="2021-02-02T00:00:00"/>
    <s v="Cash Rewards Visa Signature"/>
    <x v="60"/>
    <n v="26.79"/>
    <x v="26"/>
    <m/>
    <m/>
    <m/>
    <n v="26.79"/>
    <b v="0"/>
    <m/>
    <m/>
    <s v="-"/>
    <x v="60"/>
    <s v="Create Rule; and Description='Home Depot';House Maintenance"/>
    <m/>
  </r>
  <r>
    <x v="19"/>
    <d v="2021-02-02T00:00:00"/>
    <s v="Discover"/>
    <x v="661"/>
    <n v="5.5"/>
    <x v="26"/>
    <m/>
    <m/>
    <m/>
    <n v="5.5"/>
    <b v="0"/>
    <m/>
    <m/>
    <s v="-"/>
    <x v="639"/>
    <s v="Manual"/>
    <m/>
  </r>
  <r>
    <x v="19"/>
    <d v="2021-02-02T00:00:00"/>
    <s v="Discover More Card"/>
    <x v="661"/>
    <n v="5.5"/>
    <x v="26"/>
    <m/>
    <m/>
    <m/>
    <n v="5.5"/>
    <b v="0"/>
    <m/>
    <m/>
    <s v="-"/>
    <x v="639"/>
    <s v="Create Rule; and Description Like '%Kowalski%';Groceries"/>
    <m/>
  </r>
  <r>
    <x v="19"/>
    <d v="2021-02-02T00:00:00"/>
    <s v="POWERPLUS"/>
    <x v="1218"/>
    <n v="425"/>
    <x v="26"/>
    <m/>
    <m/>
    <m/>
    <n v="425"/>
    <b v="0"/>
    <m/>
    <m/>
    <s v="-"/>
    <x v="1157"/>
    <s v="Create Rule; and Description Like '%MHCHILDCARELLC%';Day Care"/>
    <m/>
  </r>
  <r>
    <x v="19"/>
    <d v="2021-02-02T00:00:00"/>
    <s v="Discover"/>
    <x v="570"/>
    <n v="2.57"/>
    <x v="1"/>
    <m/>
    <m/>
    <m/>
    <n v="2.57"/>
    <b v="0"/>
    <m/>
    <m/>
    <s v="-"/>
    <x v="551"/>
    <s v="Create Rule; and Description Like '%Panera Bread%';Restaurants"/>
    <m/>
  </r>
  <r>
    <x v="19"/>
    <d v="2021-02-02T00:00:00"/>
    <s v="Discover More Card"/>
    <x v="570"/>
    <n v="2.57"/>
    <x v="1"/>
    <m/>
    <m/>
    <m/>
    <n v="2.57"/>
    <b v="0"/>
    <m/>
    <m/>
    <s v="-"/>
    <x v="551"/>
    <s v="Create Rule; and Description Like '%Panera Bread%';Restaurants"/>
    <m/>
  </r>
  <r>
    <x v="19"/>
    <d v="2021-02-02T00:00:00"/>
    <s v="Cooper"/>
    <x v="191"/>
    <n v="-501"/>
    <x v="26"/>
    <m/>
    <m/>
    <m/>
    <n v="501"/>
    <b v="0"/>
    <m/>
    <m/>
    <s v="+"/>
    <x v="190"/>
    <m/>
    <m/>
  </r>
  <r>
    <x v="19"/>
    <d v="2021-02-02T00:00:00"/>
    <s v="Cash Rewards Visa Signature"/>
    <x v="1079"/>
    <n v="1.75"/>
    <x v="26"/>
    <m/>
    <m/>
    <m/>
    <n v="1.75"/>
    <b v="0"/>
    <m/>
    <m/>
    <s v="-"/>
    <x v="1029"/>
    <s v="Manual"/>
    <m/>
  </r>
  <r>
    <x v="19"/>
    <d v="2021-02-02T00:00:00"/>
    <s v="Investor Checking"/>
    <x v="164"/>
    <n v="-501"/>
    <x v="26"/>
    <m/>
    <m/>
    <m/>
    <n v="501"/>
    <b v="0"/>
    <m/>
    <m/>
    <s v="+"/>
    <x v="163"/>
    <s v="Manual"/>
    <m/>
  </r>
  <r>
    <x v="19"/>
    <d v="2021-02-03T00:00:00"/>
    <s v="Discover"/>
    <x v="0"/>
    <n v="127.78"/>
    <x v="0"/>
    <m/>
    <m/>
    <m/>
    <n v="127.78"/>
    <b v="0"/>
    <m/>
    <m/>
    <s v="-"/>
    <x v="0"/>
    <s v="Create Rule; and Description='Amazon';Amazon"/>
    <m/>
  </r>
  <r>
    <x v="19"/>
    <d v="2021-02-03T00:00:00"/>
    <s v="Discover More Card"/>
    <x v="0"/>
    <n v="127.78"/>
    <x v="0"/>
    <m/>
    <m/>
    <m/>
    <n v="127.78"/>
    <b v="0"/>
    <m/>
    <m/>
    <s v="-"/>
    <x v="0"/>
    <s v="Create Rule; and Description='Amazon';Amazon"/>
    <m/>
  </r>
  <r>
    <x v="19"/>
    <d v="2021-02-03T00:00:00"/>
    <s v="POWERPLUS"/>
    <x v="1219"/>
    <n v="-2167.65"/>
    <x v="26"/>
    <m/>
    <m/>
    <m/>
    <n v="2167.65"/>
    <b v="0"/>
    <m/>
    <m/>
    <s v="+"/>
    <x v="1158"/>
    <s v="Create Rule; and Description Like '%CARGILL COCOA TYPE DIR DEP ID%';Inc - Britney"/>
    <m/>
  </r>
  <r>
    <x v="19"/>
    <d v="2021-02-03T00:00:00"/>
    <s v="POWERPLUS"/>
    <x v="1220"/>
    <n v="110.58"/>
    <x v="26"/>
    <m/>
    <m/>
    <m/>
    <n v="110.58"/>
    <b v="0"/>
    <m/>
    <m/>
    <s v="-"/>
    <x v="146"/>
    <s v="Create Rule; and Description Like '%CPENERGY MNGCO%';Utilities"/>
    <m/>
  </r>
  <r>
    <x v="19"/>
    <d v="2021-02-03T00:00:00"/>
    <s v="Cash Rewards Visa Signature"/>
    <x v="1221"/>
    <n v="26"/>
    <x v="26"/>
    <m/>
    <m/>
    <m/>
    <n v="26"/>
    <b v="0"/>
    <m/>
    <m/>
    <s v="-"/>
    <x v="1159"/>
    <s v="Manual"/>
    <m/>
  </r>
  <r>
    <x v="19"/>
    <d v="2021-02-03T00:00:00"/>
    <s v="Cash Rewards Visa Signature"/>
    <x v="1222"/>
    <n v="18"/>
    <x v="26"/>
    <m/>
    <m/>
    <m/>
    <n v="18"/>
    <b v="0"/>
    <m/>
    <m/>
    <s v="-"/>
    <x v="1160"/>
    <s v="Manual"/>
    <m/>
  </r>
  <r>
    <x v="19"/>
    <d v="2021-02-03T00:00:00"/>
    <s v="Cash Rewards Visa Signature"/>
    <x v="60"/>
    <n v="3.49"/>
    <x v="26"/>
    <m/>
    <m/>
    <m/>
    <n v="3.49"/>
    <b v="0"/>
    <m/>
    <m/>
    <s v="-"/>
    <x v="60"/>
    <s v="Create Rule; and Description='Home Depot';House Maintenance"/>
    <m/>
  </r>
  <r>
    <x v="19"/>
    <d v="2021-02-03T00:00:00"/>
    <s v="Cash Rewards Visa Signature"/>
    <x v="60"/>
    <n v="19.11"/>
    <x v="26"/>
    <m/>
    <m/>
    <m/>
    <n v="19.11"/>
    <b v="0"/>
    <m/>
    <m/>
    <s v="-"/>
    <x v="60"/>
    <s v="Create Rule; and Description='Home Depot';House Maintenance"/>
    <m/>
  </r>
  <r>
    <x v="19"/>
    <d v="2021-02-03T00:00:00"/>
    <s v="Joint Tenant"/>
    <x v="1089"/>
    <n v="-14.86"/>
    <x v="26"/>
    <m/>
    <m/>
    <m/>
    <n v="14.86"/>
    <b v="0"/>
    <m/>
    <m/>
    <s v="+"/>
    <x v="1038"/>
    <s v="Create Rule; and Description Like '%LOWES%';House Maintenance"/>
    <m/>
  </r>
  <r>
    <x v="19"/>
    <d v="2021-02-03T00:00:00"/>
    <s v="Cash Rewards Visa Signature"/>
    <x v="1223"/>
    <n v="1.5"/>
    <x v="26"/>
    <m/>
    <m/>
    <m/>
    <n v="1.5"/>
    <b v="0"/>
    <m/>
    <m/>
    <s v="-"/>
    <x v="1161"/>
    <s v="Manual"/>
    <m/>
  </r>
  <r>
    <x v="19"/>
    <d v="2021-02-03T00:00:00"/>
    <s v="POWERPLUS"/>
    <x v="157"/>
    <n v="5.3"/>
    <x v="8"/>
    <m/>
    <m/>
    <m/>
    <n v="5.3"/>
    <b v="0"/>
    <m/>
    <m/>
    <s v="-"/>
    <x v="156"/>
    <s v="Create Rule; and Description Like '%PayPal%';Shopping"/>
    <m/>
  </r>
  <r>
    <x v="19"/>
    <d v="2021-02-04T00:00:00"/>
    <s v="Cash Rewards Visa Signature"/>
    <x v="60"/>
    <n v="17.170000000000002"/>
    <x v="26"/>
    <m/>
    <m/>
    <m/>
    <n v="17.170000000000002"/>
    <b v="0"/>
    <m/>
    <m/>
    <s v="-"/>
    <x v="60"/>
    <s v="Create Rule; and Description='Home Depot';House Maintenance"/>
    <m/>
  </r>
  <r>
    <x v="19"/>
    <d v="2021-02-04T00:00:00"/>
    <s v="Joint Tenant"/>
    <x v="1089"/>
    <n v="14.86"/>
    <x v="26"/>
    <m/>
    <m/>
    <m/>
    <n v="14.86"/>
    <b v="0"/>
    <m/>
    <m/>
    <s v="-"/>
    <x v="1038"/>
    <s v="Create Rule; and Description Like '%LOWES%';House Maintenance"/>
    <m/>
  </r>
  <r>
    <x v="19"/>
    <d v="2021-02-04T00:00:00"/>
    <s v="Cash Rewards Visa Signature"/>
    <x v="2"/>
    <n v="24.91"/>
    <x v="2"/>
    <m/>
    <m/>
    <m/>
    <n v="24.91"/>
    <b v="0"/>
    <m/>
    <m/>
    <s v="-"/>
    <x v="2"/>
    <s v="Create Rule; and Description='Speedway';Transportation"/>
    <m/>
  </r>
  <r>
    <x v="19"/>
    <d v="2021-02-04T00:00:00"/>
    <s v="Cash Rewards Visa Signature"/>
    <x v="1224"/>
    <n v="31.95"/>
    <x v="26"/>
    <m/>
    <m/>
    <m/>
    <n v="31.95"/>
    <b v="0"/>
    <m/>
    <m/>
    <s v="-"/>
    <x v="1162"/>
    <s v="Manual"/>
    <m/>
  </r>
  <r>
    <x v="19"/>
    <d v="2021-02-05T00:00:00"/>
    <s v="Joint Tenant"/>
    <x v="185"/>
    <n v="-200"/>
    <x v="26"/>
    <m/>
    <m/>
    <m/>
    <n v="200"/>
    <b v="0"/>
    <m/>
    <m/>
    <s v="+"/>
    <x v="184"/>
    <s v="Create Rule; and Description='CARGILL COCOA &amp;';Roth"/>
    <m/>
  </r>
  <r>
    <x v="19"/>
    <d v="2021-02-05T00:00:00"/>
    <s v="Cash Rewards Visa Signature"/>
    <x v="1225"/>
    <n v="39.950000000000003"/>
    <x v="26"/>
    <m/>
    <m/>
    <m/>
    <n v="39.950000000000003"/>
    <b v="0"/>
    <m/>
    <m/>
    <s v="-"/>
    <x v="1163"/>
    <s v="Manual"/>
    <m/>
  </r>
  <r>
    <x v="19"/>
    <d v="2021-02-05T00:00:00"/>
    <s v="Cash Rewards Visa Signature"/>
    <x v="60"/>
    <n v="9.6300000000000008"/>
    <x v="26"/>
    <m/>
    <m/>
    <m/>
    <n v="9.6300000000000008"/>
    <b v="0"/>
    <m/>
    <m/>
    <s v="-"/>
    <x v="60"/>
    <s v="Create Rule; and Description='Home Depot';House Maintenance"/>
    <m/>
  </r>
  <r>
    <x v="19"/>
    <d v="2021-02-05T00:00:00"/>
    <s v="POWERPLUS"/>
    <x v="157"/>
    <n v="49.49"/>
    <x v="8"/>
    <m/>
    <m/>
    <m/>
    <n v="49.49"/>
    <b v="0"/>
    <m/>
    <m/>
    <s v="-"/>
    <x v="156"/>
    <s v="Create Rule; and Description Like '%PayPal%';Shopping"/>
    <m/>
  </r>
  <r>
    <x v="19"/>
    <d v="2021-02-05T00:00:00"/>
    <s v="Joint Tenant"/>
    <x v="20"/>
    <n v="200"/>
    <x v="26"/>
    <m/>
    <m/>
    <m/>
    <n v="200"/>
    <b v="0"/>
    <m/>
    <m/>
    <s v="-"/>
    <x v="20"/>
    <s v="Delete; and Description='SCHWAB TOTAL STOCK MKT INDEX' and inflowoutflow='-';0"/>
    <m/>
  </r>
  <r>
    <x v="19"/>
    <d v="2021-02-05T00:00:00"/>
    <s v="Contributory"/>
    <x v="51"/>
    <n v="-231"/>
    <x v="26"/>
    <m/>
    <m/>
    <m/>
    <n v="231"/>
    <b v="0"/>
    <m/>
    <m/>
    <s v="+"/>
    <x v="51"/>
    <s v="Create Rule; and Description='Tfr JPMORGAN CHASE BAN, CARGILL COCOA &amp;';Roth"/>
    <m/>
  </r>
  <r>
    <x v="19"/>
    <d v="2021-02-06T00:00:00"/>
    <s v="Cash Rewards Visa Signature"/>
    <x v="936"/>
    <n v="-309.63"/>
    <x v="26"/>
    <m/>
    <m/>
    <m/>
    <n v="309.63"/>
    <b v="0"/>
    <m/>
    <m/>
    <s v="+"/>
    <x v="900"/>
    <s v="Delete; and Description Like '%PAYMENT THANK YOU%';0"/>
    <m/>
  </r>
  <r>
    <x v="19"/>
    <d v="2021-02-06T00:00:00"/>
    <s v="POWERPLUS"/>
    <x v="937"/>
    <n v="309.63"/>
    <x v="26"/>
    <m/>
    <m/>
    <m/>
    <n v="309.63"/>
    <b v="0"/>
    <m/>
    <m/>
    <s v="-"/>
    <x v="901"/>
    <s v="Delete; and Description Like '%Withdrawal Home payment to card%';0"/>
    <m/>
  </r>
  <r>
    <x v="19"/>
    <d v="2021-02-06T00:00:00"/>
    <s v="Discover More Card"/>
    <x v="70"/>
    <n v="21.46"/>
    <x v="26"/>
    <m/>
    <m/>
    <m/>
    <n v="21.46"/>
    <b v="0"/>
    <m/>
    <m/>
    <s v="-"/>
    <x v="70"/>
    <s v="Create Rule; and Description like '%Byerly%';Groceries"/>
    <m/>
  </r>
  <r>
    <x v="19"/>
    <d v="2021-02-06T00:00:00"/>
    <s v="Discover More Card"/>
    <x v="70"/>
    <n v="27.45"/>
    <x v="26"/>
    <m/>
    <m/>
    <m/>
    <n v="27.45"/>
    <b v="0"/>
    <m/>
    <m/>
    <s v="-"/>
    <x v="70"/>
    <s v="Create Rule; and Description like '%Byerly%';Groceries"/>
    <m/>
  </r>
  <r>
    <x v="19"/>
    <d v="2021-02-06T00:00:00"/>
    <s v="Discover"/>
    <x v="70"/>
    <n v="21.46"/>
    <x v="26"/>
    <m/>
    <m/>
    <m/>
    <n v="21.46"/>
    <b v="0"/>
    <m/>
    <m/>
    <s v="-"/>
    <x v="70"/>
    <s v="Create Rule; and Description like '%Byerly%';Groceries"/>
    <m/>
  </r>
  <r>
    <x v="19"/>
    <d v="2021-02-06T00:00:00"/>
    <s v="Discover"/>
    <x v="70"/>
    <n v="27.45"/>
    <x v="26"/>
    <m/>
    <m/>
    <m/>
    <n v="27.45"/>
    <b v="0"/>
    <m/>
    <m/>
    <s v="-"/>
    <x v="70"/>
    <s v="Create Rule; and Description like '%Byerly%';Groceries"/>
    <m/>
  </r>
  <r>
    <x v="19"/>
    <d v="2021-02-06T00:00:00"/>
    <s v="RAINY DAY"/>
    <x v="515"/>
    <n v="-300"/>
    <x v="26"/>
    <m/>
    <m/>
    <m/>
    <n v="300"/>
    <b v="0"/>
    <m/>
    <m/>
    <s v="+"/>
    <x v="496"/>
    <s v="Create Rule; and Description='Share';Delete"/>
    <m/>
  </r>
  <r>
    <x v="19"/>
    <d v="2021-02-06T00:00:00"/>
    <s v="POWERPLUS"/>
    <x v="952"/>
    <n v="300"/>
    <x v="26"/>
    <m/>
    <m/>
    <m/>
    <n v="300"/>
    <b v="0"/>
    <m/>
    <m/>
    <s v="-"/>
    <x v="915"/>
    <s v="Create Rule; and Description='To Share 12';Delete"/>
    <m/>
  </r>
  <r>
    <x v="19"/>
    <d v="2021-02-07T00:00:00"/>
    <s v="Discover More Card"/>
    <x v="6"/>
    <n v="7.99"/>
    <x v="5"/>
    <m/>
    <m/>
    <m/>
    <n v="7.99"/>
    <b v="0"/>
    <m/>
    <m/>
    <s v="-"/>
    <x v="6"/>
    <s v="Create Rule; and Description Like '%Cub Foods%';Groceries"/>
    <m/>
  </r>
  <r>
    <x v="19"/>
    <d v="2021-02-07T00:00:00"/>
    <s v="Discover"/>
    <x v="6"/>
    <n v="7.99"/>
    <x v="5"/>
    <m/>
    <m/>
    <m/>
    <n v="7.99"/>
    <b v="0"/>
    <m/>
    <m/>
    <s v="-"/>
    <x v="6"/>
    <s v="Create Rule; and Description Like '%Cub Foods%';Groceries"/>
    <m/>
  </r>
  <r>
    <x v="19"/>
    <d v="2021-02-07T00:00:00"/>
    <s v="Cash Rewards Visa Signature"/>
    <x v="60"/>
    <n v="4.2699999999999996"/>
    <x v="26"/>
    <m/>
    <m/>
    <m/>
    <n v="4.2699999999999996"/>
    <b v="0"/>
    <m/>
    <m/>
    <s v="-"/>
    <x v="60"/>
    <s v="Create Rule; and Description='Home Depot';House Maintenance"/>
    <m/>
  </r>
  <r>
    <x v="19"/>
    <d v="2021-02-07T00:00:00"/>
    <s v="Discover More Card"/>
    <x v="661"/>
    <n v="18.91"/>
    <x v="26"/>
    <m/>
    <m/>
    <m/>
    <n v="18.91"/>
    <b v="0"/>
    <m/>
    <m/>
    <s v="-"/>
    <x v="639"/>
    <s v="Create Rule; and Description Like '%Kowalski%';Groceries"/>
    <m/>
  </r>
  <r>
    <x v="19"/>
    <d v="2021-02-07T00:00:00"/>
    <s v="Discover"/>
    <x v="661"/>
    <n v="18.91"/>
    <x v="26"/>
    <m/>
    <m/>
    <m/>
    <n v="18.91"/>
    <b v="0"/>
    <m/>
    <m/>
    <s v="-"/>
    <x v="639"/>
    <s v="Manual"/>
    <m/>
  </r>
  <r>
    <x v="19"/>
    <d v="2021-02-07T00:00:00"/>
    <s v="Cash Rewards Visa Signature"/>
    <x v="177"/>
    <n v="135.93"/>
    <x v="26"/>
    <m/>
    <m/>
    <m/>
    <n v="135.93"/>
    <b v="0"/>
    <m/>
    <m/>
    <s v="-"/>
    <x v="176"/>
    <s v="Create Rule; and Description='NORTH COOP CHAHASSEN MN';Restaurants"/>
    <m/>
  </r>
  <r>
    <x v="19"/>
    <d v="2021-02-07T00:00:00"/>
    <s v="Cash Rewards Visa Signature"/>
    <x v="1074"/>
    <n v="284.01"/>
    <x v="26"/>
    <m/>
    <m/>
    <m/>
    <n v="284.01"/>
    <b v="0"/>
    <m/>
    <m/>
    <s v="-"/>
    <x v="1024"/>
    <s v="Manual"/>
    <m/>
  </r>
  <r>
    <x v="19"/>
    <d v="2021-02-07T00:00:00"/>
    <s v="Cash Rewards Visa Signature"/>
    <x v="1226"/>
    <n v="68.2"/>
    <x v="26"/>
    <m/>
    <m/>
    <m/>
    <n v="68.2"/>
    <b v="0"/>
    <m/>
    <m/>
    <s v="-"/>
    <x v="1164"/>
    <s v="Manual"/>
    <m/>
  </r>
  <r>
    <x v="19"/>
    <d v="2021-02-08T00:00:00"/>
    <s v="Cash Rewards Visa Signature"/>
    <x v="6"/>
    <n v="155.15"/>
    <x v="5"/>
    <m/>
    <m/>
    <m/>
    <n v="155.15"/>
    <b v="0"/>
    <m/>
    <m/>
    <s v="-"/>
    <x v="6"/>
    <s v="Create Rule; and Description Like '%Cub Foods%';Groceries"/>
    <m/>
  </r>
  <r>
    <x v="19"/>
    <d v="2021-02-08T00:00:00"/>
    <s v="Cash Rewards Visa Signature"/>
    <x v="594"/>
    <n v="49"/>
    <x v="28"/>
    <m/>
    <m/>
    <m/>
    <n v="49"/>
    <b v="0"/>
    <m/>
    <m/>
    <s v="-"/>
    <x v="575"/>
    <s v="Manual"/>
    <m/>
  </r>
  <r>
    <x v="19"/>
    <d v="2021-02-08T00:00:00"/>
    <s v="POWERPLUS"/>
    <x v="157"/>
    <n v="6.98"/>
    <x v="8"/>
    <m/>
    <m/>
    <m/>
    <n v="6.98"/>
    <b v="0"/>
    <m/>
    <m/>
    <s v="-"/>
    <x v="156"/>
    <s v="Create Rule; and Description Like '%PayPal%';Shopping"/>
    <m/>
  </r>
  <r>
    <x v="19"/>
    <d v="2021-02-08T00:00:00"/>
    <s v="Cash Rewards Visa Signature"/>
    <x v="1185"/>
    <n v="56.48"/>
    <x v="26"/>
    <m/>
    <m/>
    <m/>
    <n v="56.48"/>
    <b v="0"/>
    <m/>
    <m/>
    <s v="-"/>
    <x v="1126"/>
    <s v="Manual"/>
    <m/>
  </r>
  <r>
    <x v="19"/>
    <d v="2021-02-08T00:00:00"/>
    <s v="POWERPLUS"/>
    <x v="142"/>
    <n v="127.04"/>
    <x v="26"/>
    <m/>
    <m/>
    <m/>
    <n v="127.04"/>
    <b v="0"/>
    <m/>
    <m/>
    <s v="-"/>
    <x v="141"/>
    <s v="Create Rule; and Description='Waste Management';Utilities"/>
    <m/>
  </r>
  <r>
    <x v="19"/>
    <d v="2021-02-09T00:00:00"/>
    <s v="Discover More Card"/>
    <x v="0"/>
    <n v="7.39"/>
    <x v="0"/>
    <m/>
    <m/>
    <m/>
    <n v="7.39"/>
    <b v="0"/>
    <m/>
    <m/>
    <s v="-"/>
    <x v="0"/>
    <s v="Create Rule; and Description='Amazon';Amazon"/>
    <m/>
  </r>
  <r>
    <x v="19"/>
    <d v="2021-02-09T00:00:00"/>
    <s v="Discover"/>
    <x v="0"/>
    <n v="7.39"/>
    <x v="0"/>
    <m/>
    <m/>
    <m/>
    <n v="7.39"/>
    <b v="0"/>
    <m/>
    <m/>
    <s v="-"/>
    <x v="0"/>
    <s v="Create Rule; and Description='Amazon';Amazon"/>
    <m/>
  </r>
  <r>
    <x v="19"/>
    <d v="2021-02-09T00:00:00"/>
    <s v="POWERPLUS"/>
    <x v="157"/>
    <n v="7.43"/>
    <x v="8"/>
    <m/>
    <m/>
    <m/>
    <n v="7.43"/>
    <b v="0"/>
    <m/>
    <m/>
    <s v="-"/>
    <x v="156"/>
    <s v="Create Rule; and Description Like '%PayPal%';Shopping"/>
    <m/>
  </r>
  <r>
    <x v="19"/>
    <d v="2021-02-09T00:00:00"/>
    <s v="Cash Rewards Visa Signature"/>
    <x v="1227"/>
    <n v="6.9"/>
    <x v="1"/>
    <m/>
    <m/>
    <m/>
    <n v="6.9"/>
    <b v="0"/>
    <m/>
    <m/>
    <s v="-"/>
    <x v="1165"/>
    <s v="Manual"/>
    <m/>
  </r>
  <r>
    <x v="19"/>
    <d v="2021-02-09T00:00:00"/>
    <s v="POWERPLUS"/>
    <x v="30"/>
    <n v="172.96"/>
    <x v="11"/>
    <m/>
    <m/>
    <m/>
    <n v="172.96"/>
    <b v="0"/>
    <m/>
    <m/>
    <s v="-"/>
    <x v="30"/>
    <s v="Create Rule; and Description='Xcel Energy';Utilities"/>
    <m/>
  </r>
  <r>
    <x v="19"/>
    <d v="2021-02-10T00:00:00"/>
    <s v="Cash Rewards Visa Signature"/>
    <x v="936"/>
    <n v="-759.94"/>
    <x v="26"/>
    <m/>
    <m/>
    <m/>
    <n v="759.94"/>
    <b v="0"/>
    <m/>
    <m/>
    <s v="+"/>
    <x v="900"/>
    <s v="Delete; and Description Like '%PAYMENT THANK YOU%';0"/>
    <m/>
  </r>
  <r>
    <x v="19"/>
    <d v="2021-02-10T00:00:00"/>
    <s v="POWERPLUS"/>
    <x v="937"/>
    <n v="759.94"/>
    <x v="26"/>
    <m/>
    <m/>
    <m/>
    <n v="759.94"/>
    <b v="0"/>
    <m/>
    <m/>
    <s v="-"/>
    <x v="901"/>
    <s v="Delete; and Description Like '%Withdrawal Home payment to card%';0"/>
    <m/>
  </r>
  <r>
    <x v="19"/>
    <d v="2021-02-10T00:00:00"/>
    <s v="Discover More Card"/>
    <x v="67"/>
    <n v="45"/>
    <x v="11"/>
    <m/>
    <m/>
    <m/>
    <n v="45"/>
    <b v="0"/>
    <m/>
    <m/>
    <s v="-"/>
    <x v="67"/>
    <s v="Create Rule; and Description='CenturyLink';Utilities"/>
    <m/>
  </r>
  <r>
    <x v="19"/>
    <d v="2021-02-10T00:00:00"/>
    <s v="Discover"/>
    <x v="67"/>
    <n v="45"/>
    <x v="11"/>
    <m/>
    <m/>
    <m/>
    <n v="45"/>
    <b v="0"/>
    <m/>
    <m/>
    <s v="-"/>
    <x v="67"/>
    <s v="Create Rule; and Description='CenturyLink';Utilities"/>
    <m/>
  </r>
  <r>
    <x v="19"/>
    <d v="2021-02-10T00:00:00"/>
    <s v="POWERPLUS"/>
    <x v="28"/>
    <n v="-45"/>
    <x v="26"/>
    <m/>
    <m/>
    <m/>
    <n v="45"/>
    <b v="0"/>
    <m/>
    <m/>
    <s v="+"/>
    <x v="28"/>
    <s v="Manual"/>
    <m/>
  </r>
  <r>
    <x v="19"/>
    <d v="2021-02-10T00:00:00"/>
    <s v="POWERPLUS"/>
    <x v="1228"/>
    <n v="425"/>
    <x v="26"/>
    <m/>
    <m/>
    <m/>
    <n v="425"/>
    <b v="0"/>
    <m/>
    <m/>
    <s v="-"/>
    <x v="1166"/>
    <s v="Create Rule; and Description Like '%MHCHILDCARELLC%';Day Care"/>
    <m/>
  </r>
  <r>
    <x v="19"/>
    <d v="2021-02-10T00:00:00"/>
    <s v="POWERPLUS"/>
    <x v="157"/>
    <n v="85.86"/>
    <x v="8"/>
    <m/>
    <m/>
    <m/>
    <n v="85.86"/>
    <b v="0"/>
    <m/>
    <m/>
    <s v="-"/>
    <x v="156"/>
    <s v="Create Rule; and Description Like '%PayPal%';Shopping"/>
    <m/>
  </r>
  <r>
    <x v="19"/>
    <d v="2021-02-10T00:00:00"/>
    <s v="Cash Rewards Visa Signature"/>
    <x v="2"/>
    <n v="32.36"/>
    <x v="2"/>
    <m/>
    <m/>
    <m/>
    <n v="32.36"/>
    <b v="0"/>
    <m/>
    <m/>
    <s v="-"/>
    <x v="2"/>
    <s v="Create Rule; and Description='Speedway';Transportation"/>
    <m/>
  </r>
  <r>
    <x v="19"/>
    <d v="2021-02-10T00:00:00"/>
    <s v="Cash Rewards Visa Signature"/>
    <x v="1227"/>
    <n v="21.03"/>
    <x v="1"/>
    <m/>
    <m/>
    <m/>
    <n v="21.03"/>
    <b v="0"/>
    <m/>
    <m/>
    <s v="-"/>
    <x v="1165"/>
    <s v="Manual"/>
    <m/>
  </r>
  <r>
    <x v="19"/>
    <d v="2021-02-11T00:00:00"/>
    <s v="Jeff IRA"/>
    <x v="165"/>
    <n v="-4.1399999999999997"/>
    <x v="26"/>
    <m/>
    <m/>
    <m/>
    <n v="4.1399999999999997"/>
    <b v="0"/>
    <m/>
    <m/>
    <s v="+"/>
    <x v="164"/>
    <s v="Create Rule; and Description='APPLE INC';Dividend"/>
    <m/>
  </r>
  <r>
    <x v="19"/>
    <d v="2021-02-11T00:00:00"/>
    <s v="Joint Tenant"/>
    <x v="165"/>
    <n v="-41.87"/>
    <x v="26"/>
    <m/>
    <m/>
    <m/>
    <n v="41.87"/>
    <b v="0"/>
    <m/>
    <m/>
    <s v="+"/>
    <x v="164"/>
    <s v="Create Rule; and Description='APPLE INC';Dividend"/>
    <m/>
  </r>
  <r>
    <x v="19"/>
    <d v="2021-02-11T00:00:00"/>
    <s v="Cash Rewards Visa Signature"/>
    <x v="1229"/>
    <n v="29.99"/>
    <x v="26"/>
    <m/>
    <m/>
    <m/>
    <n v="29.99"/>
    <b v="0"/>
    <m/>
    <m/>
    <s v="-"/>
    <x v="1167"/>
    <s v="Manual"/>
    <m/>
  </r>
  <r>
    <x v="19"/>
    <d v="2021-02-11T00:00:00"/>
    <s v="POWERPLUS"/>
    <x v="1230"/>
    <n v="-2276.16"/>
    <x v="26"/>
    <m/>
    <m/>
    <m/>
    <n v="2276.16"/>
    <b v="0"/>
    <m/>
    <m/>
    <s v="+"/>
    <x v="910"/>
    <s v="Create Rule; and Description Like '%CONNECTED ANALYT%';Jeff"/>
    <m/>
  </r>
  <r>
    <x v="19"/>
    <d v="2021-02-11T00:00:00"/>
    <s v="Discover More Card"/>
    <x v="6"/>
    <n v="154.81"/>
    <x v="5"/>
    <m/>
    <m/>
    <m/>
    <n v="154.81"/>
    <b v="0"/>
    <m/>
    <m/>
    <s v="-"/>
    <x v="6"/>
    <s v="Create Rule; and Description Like '%Cub Foods%';Groceries"/>
    <m/>
  </r>
  <r>
    <x v="19"/>
    <d v="2021-02-11T00:00:00"/>
    <s v="Discover"/>
    <x v="6"/>
    <n v="154.81"/>
    <x v="5"/>
    <m/>
    <m/>
    <m/>
    <n v="154.81"/>
    <b v="0"/>
    <m/>
    <m/>
    <s v="-"/>
    <x v="6"/>
    <s v="Create Rule; and Description Like '%Cub Foods%';Groceries"/>
    <m/>
  </r>
  <r>
    <x v="19"/>
    <d v="2021-02-11T00:00:00"/>
    <s v="Cash Rewards Visa Signature"/>
    <x v="838"/>
    <n v="22.12"/>
    <x v="29"/>
    <m/>
    <m/>
    <m/>
    <n v="22.12"/>
    <b v="0"/>
    <m/>
    <m/>
    <s v="-"/>
    <x v="806"/>
    <s v="Manual"/>
    <m/>
  </r>
  <r>
    <x v="19"/>
    <d v="2021-02-11T00:00:00"/>
    <s v="Cash Rewards Visa Signature"/>
    <x v="53"/>
    <n v="106.46"/>
    <x v="26"/>
    <m/>
    <m/>
    <m/>
    <n v="106.46"/>
    <b v="0"/>
    <m/>
    <m/>
    <s v="-"/>
    <x v="53"/>
    <s v="Create Rule; and Description='Total Wine and More';Groceries"/>
    <m/>
  </r>
  <r>
    <x v="19"/>
    <d v="2021-02-11T00:00:00"/>
    <s v="POWERPLUS"/>
    <x v="29"/>
    <n v="81.12"/>
    <x v="8"/>
    <m/>
    <m/>
    <m/>
    <n v="81.12"/>
    <b v="0"/>
    <m/>
    <m/>
    <s v="-"/>
    <x v="29"/>
    <s v="Manual"/>
    <m/>
  </r>
  <r>
    <x v="19"/>
    <d v="2021-02-12T00:00:00"/>
    <s v="Jeff IRA"/>
    <x v="165"/>
    <n v="4.1399999999999997"/>
    <x v="26"/>
    <m/>
    <m/>
    <m/>
    <n v="4.1399999999999997"/>
    <b v="0"/>
    <m/>
    <m/>
    <s v="-"/>
    <x v="164"/>
    <s v="Create Rule; and Description='APPLE INC';Dividend"/>
    <m/>
  </r>
  <r>
    <x v="19"/>
    <d v="2021-02-12T00:00:00"/>
    <s v="Joint Tenant"/>
    <x v="165"/>
    <n v="41.87"/>
    <x v="26"/>
    <m/>
    <m/>
    <m/>
    <n v="41.87"/>
    <b v="0"/>
    <m/>
    <m/>
    <s v="-"/>
    <x v="164"/>
    <s v="Create Rule; and Description='APPLE INC';Dividend"/>
    <m/>
  </r>
  <r>
    <x v="19"/>
    <d v="2021-02-12T00:00:00"/>
    <s v="POWERPLUS"/>
    <x v="1231"/>
    <n v="314.93"/>
    <x v="26"/>
    <m/>
    <m/>
    <m/>
    <n v="314.93"/>
    <b v="0"/>
    <m/>
    <m/>
    <s v="-"/>
    <x v="1168"/>
    <s v="Create Rule; and Description Like '%Banana Visa%';Shopping"/>
    <m/>
  </r>
  <r>
    <x v="19"/>
    <d v="2021-02-12T00:00:00"/>
    <s v="Cash Rewards Visa Signature"/>
    <x v="1055"/>
    <n v="855"/>
    <x v="26"/>
    <m/>
    <m/>
    <m/>
    <n v="855"/>
    <b v="0"/>
    <m/>
    <m/>
    <s v="-"/>
    <x v="1008"/>
    <s v="Create Rule; and Description Like '%BONFES%';House Maintenance"/>
    <m/>
  </r>
  <r>
    <x v="19"/>
    <d v="2021-02-12T00:00:00"/>
    <s v="Cash Rewards Visa Signature"/>
    <x v="1055"/>
    <n v="1143"/>
    <x v="26"/>
    <m/>
    <m/>
    <m/>
    <n v="1143"/>
    <b v="0"/>
    <m/>
    <m/>
    <s v="-"/>
    <x v="1008"/>
    <s v="Create Rule; and Description Like '%BONFES%';House Maintenance"/>
    <m/>
  </r>
  <r>
    <x v="19"/>
    <d v="2021-02-12T00:00:00"/>
    <s v="Joint Tenant"/>
    <x v="950"/>
    <n v="-250"/>
    <x v="26"/>
    <m/>
    <m/>
    <m/>
    <n v="250"/>
    <b v="0"/>
    <m/>
    <m/>
    <s v="+"/>
    <x v="913"/>
    <s v="Create Rule; and Description Like '%CONNECTED ANALYT%';Inc - Jeff"/>
    <m/>
  </r>
  <r>
    <x v="19"/>
    <d v="2021-02-12T00:00:00"/>
    <s v="Cash Rewards Visa Signature"/>
    <x v="79"/>
    <n v="12"/>
    <x v="28"/>
    <m/>
    <m/>
    <m/>
    <n v="12"/>
    <b v="0"/>
    <m/>
    <m/>
    <s v="-"/>
    <x v="79"/>
    <s v="Create Rule; and Description='Elite Nails';Entertainment"/>
    <m/>
  </r>
  <r>
    <x v="19"/>
    <d v="2021-02-12T00:00:00"/>
    <s v="Jeff IRA"/>
    <x v="951"/>
    <n v="-250"/>
    <x v="26"/>
    <m/>
    <m/>
    <m/>
    <n v="250"/>
    <b v="0"/>
    <m/>
    <m/>
    <s v="+"/>
    <x v="914"/>
    <s v="Create Rule; and Description Like '%CONNECTED ANALYT%';Inc - Jeff"/>
    <m/>
  </r>
  <r>
    <x v="19"/>
    <d v="2021-02-12T00:00:00"/>
    <s v="POWERPLUS"/>
    <x v="29"/>
    <n v="20"/>
    <x v="8"/>
    <m/>
    <m/>
    <m/>
    <n v="20"/>
    <b v="0"/>
    <m/>
    <m/>
    <s v="-"/>
    <x v="29"/>
    <s v="Manual"/>
    <m/>
  </r>
  <r>
    <x v="19"/>
    <d v="2021-02-14T00:00:00"/>
    <s v="Cash Rewards Visa Signature"/>
    <x v="152"/>
    <n v="79.569999999999993"/>
    <x v="26"/>
    <m/>
    <m/>
    <m/>
    <n v="79.569999999999993"/>
    <b v="0"/>
    <m/>
    <m/>
    <s v="-"/>
    <x v="151"/>
    <s v="Create Rule; and Description='Excelsior Brewing';Restaurants"/>
    <m/>
  </r>
  <r>
    <x v="19"/>
    <d v="2021-02-14T00:00:00"/>
    <s v="Cash Rewards Visa Signature"/>
    <x v="150"/>
    <n v="10.73"/>
    <x v="26"/>
    <m/>
    <m/>
    <m/>
    <n v="10.73"/>
    <b v="0"/>
    <m/>
    <m/>
    <s v="-"/>
    <x v="149"/>
    <s v="Create Rule; and Description='Party City';Shopping"/>
    <m/>
  </r>
  <r>
    <x v="19"/>
    <d v="2021-02-14T00:00:00"/>
    <s v="Cash Rewards Visa Signature"/>
    <x v="579"/>
    <n v="11.99"/>
    <x v="1"/>
    <m/>
    <m/>
    <m/>
    <n v="11.99"/>
    <b v="0"/>
    <m/>
    <m/>
    <s v="-"/>
    <x v="560"/>
    <s v="Create Rule; and Description='Starbucks';Restaurants"/>
    <m/>
  </r>
  <r>
    <x v="19"/>
    <d v="2021-02-14T00:00:00"/>
    <s v="Cash Rewards Visa Signature"/>
    <x v="53"/>
    <n v="184.9"/>
    <x v="26"/>
    <m/>
    <m/>
    <m/>
    <n v="184.9"/>
    <b v="0"/>
    <m/>
    <m/>
    <s v="-"/>
    <x v="53"/>
    <s v="Create Rule; and Description='Total Wine and More';Groceries"/>
    <m/>
  </r>
  <r>
    <x v="19"/>
    <d v="2021-02-15T00:00:00"/>
    <s v="Discover"/>
    <x v="56"/>
    <n v="-516.86"/>
    <x v="3"/>
    <m/>
    <m/>
    <m/>
    <n v="516.86"/>
    <b v="0"/>
    <m/>
    <m/>
    <s v="+"/>
    <x v="56"/>
    <s v="Delete; and Description='INTERNET PAYMENT - THANK YOU';0"/>
    <m/>
  </r>
  <r>
    <x v="19"/>
    <d v="2021-02-15T00:00:00"/>
    <s v="Discover More Card"/>
    <x v="56"/>
    <n v="-516.86"/>
    <x v="3"/>
    <m/>
    <m/>
    <m/>
    <n v="516.86"/>
    <b v="0"/>
    <m/>
    <m/>
    <s v="+"/>
    <x v="56"/>
    <s v="Delete; and Description='INTERNET PAYMENT - THANK YOU';0"/>
    <m/>
  </r>
  <r>
    <x v="19"/>
    <d v="2021-02-15T00:00:00"/>
    <s v="Cash Rewards Visa Signature"/>
    <x v="1232"/>
    <n v="155.86000000000001"/>
    <x v="26"/>
    <m/>
    <m/>
    <m/>
    <n v="155.86000000000001"/>
    <b v="0"/>
    <m/>
    <m/>
    <s v="-"/>
    <x v="1169"/>
    <s v="Manual"/>
    <m/>
  </r>
  <r>
    <x v="19"/>
    <d v="2021-02-15T00:00:00"/>
    <s v="Cash Rewards Visa Signature"/>
    <x v="177"/>
    <n v="47.04"/>
    <x v="26"/>
    <m/>
    <m/>
    <m/>
    <n v="47.04"/>
    <b v="0"/>
    <m/>
    <m/>
    <s v="-"/>
    <x v="176"/>
    <s v="Create Rule; and Description='NORTH COOP CHAHASSEN MN';Restaurants"/>
    <m/>
  </r>
  <r>
    <x v="19"/>
    <d v="2021-02-15T00:00:00"/>
    <s v="Cash Rewards Visa Signature"/>
    <x v="1079"/>
    <n v="1.75"/>
    <x v="26"/>
    <m/>
    <m/>
    <m/>
    <n v="1.75"/>
    <b v="0"/>
    <m/>
    <m/>
    <s v="-"/>
    <x v="1029"/>
    <s v="Manual"/>
    <m/>
  </r>
  <r>
    <x v="19"/>
    <d v="2021-02-16T00:00:00"/>
    <s v="Cash Rewards Visa Signature"/>
    <x v="936"/>
    <n v="-2715.55"/>
    <x v="26"/>
    <m/>
    <m/>
    <m/>
    <n v="2715.55"/>
    <b v="0"/>
    <m/>
    <m/>
    <s v="+"/>
    <x v="900"/>
    <s v="Delete; and Description Like '%PAYMENT THANK YOU%';0"/>
    <m/>
  </r>
  <r>
    <x v="19"/>
    <d v="2021-02-16T00:00:00"/>
    <s v="POWERPLUS"/>
    <x v="937"/>
    <n v="2715.55"/>
    <x v="26"/>
    <m/>
    <m/>
    <m/>
    <n v="2715.55"/>
    <b v="0"/>
    <m/>
    <m/>
    <s v="-"/>
    <x v="901"/>
    <s v="Delete; and Description Like '%Withdrawal Home payment to card%';0"/>
    <m/>
  </r>
  <r>
    <x v="19"/>
    <d v="2021-02-16T00:00:00"/>
    <s v="Discover"/>
    <x v="0"/>
    <n v="20.38"/>
    <x v="0"/>
    <m/>
    <m/>
    <m/>
    <n v="20.38"/>
    <b v="0"/>
    <m/>
    <m/>
    <s v="-"/>
    <x v="0"/>
    <s v="Create Rule; and Description='Amazon';Amazon"/>
    <m/>
  </r>
  <r>
    <x v="19"/>
    <d v="2021-02-16T00:00:00"/>
    <s v="Discover More Card"/>
    <x v="0"/>
    <n v="20.38"/>
    <x v="0"/>
    <m/>
    <m/>
    <m/>
    <n v="20.38"/>
    <b v="0"/>
    <m/>
    <m/>
    <s v="-"/>
    <x v="0"/>
    <s v="Create Rule; and Description='Amazon';Amazon"/>
    <m/>
  </r>
  <r>
    <x v="19"/>
    <d v="2021-02-16T00:00:00"/>
    <s v="POWERPLUS"/>
    <x v="48"/>
    <n v="96.44"/>
    <x v="16"/>
    <m/>
    <m/>
    <m/>
    <n v="96.44"/>
    <b v="0"/>
    <m/>
    <m/>
    <s v="-"/>
    <x v="48"/>
    <s v="Create Rule; and Description='American Family Insurance';Insurance"/>
    <m/>
  </r>
  <r>
    <x v="19"/>
    <d v="2021-02-16T00:00:00"/>
    <s v="Contributory"/>
    <x v="1233"/>
    <n v="-0.08"/>
    <x v="26"/>
    <m/>
    <m/>
    <m/>
    <n v="0.08"/>
    <b v="0"/>
    <m/>
    <m/>
    <s v="+"/>
    <x v="1170"/>
    <m/>
    <m/>
  </r>
  <r>
    <x v="19"/>
    <d v="2021-02-16T00:00:00"/>
    <s v="Jeff IRA"/>
    <x v="1233"/>
    <n v="-0.01"/>
    <x v="26"/>
    <m/>
    <m/>
    <m/>
    <n v="0.01"/>
    <b v="0"/>
    <m/>
    <m/>
    <s v="+"/>
    <x v="1170"/>
    <m/>
    <m/>
  </r>
  <r>
    <x v="19"/>
    <d v="2021-02-16T00:00:00"/>
    <s v="Joint Tenant"/>
    <x v="169"/>
    <n v="-31.21"/>
    <x v="26"/>
    <m/>
    <m/>
    <m/>
    <n v="31.21"/>
    <b v="0"/>
    <m/>
    <m/>
    <s v="+"/>
    <x v="168"/>
    <s v="Create Rule; and Description='PROCTER &amp; GAMBLE';Dividend"/>
    <m/>
  </r>
  <r>
    <x v="19"/>
    <d v="2021-02-16T00:00:00"/>
    <s v="Cash Rewards Visa Signature"/>
    <x v="579"/>
    <n v="35"/>
    <x v="1"/>
    <m/>
    <m/>
    <m/>
    <n v="35"/>
    <b v="0"/>
    <m/>
    <m/>
    <s v="-"/>
    <x v="560"/>
    <s v="Create Rule; and Description='Starbucks';Restaurants"/>
    <m/>
  </r>
  <r>
    <x v="19"/>
    <d v="2021-02-16T00:00:00"/>
    <s v="POWERPLUS"/>
    <x v="29"/>
    <n v="50"/>
    <x v="8"/>
    <m/>
    <m/>
    <m/>
    <n v="50"/>
    <b v="0"/>
    <m/>
    <m/>
    <s v="-"/>
    <x v="29"/>
    <s v="Manual"/>
    <m/>
  </r>
  <r>
    <x v="19"/>
    <d v="2021-02-16T00:00:00"/>
    <s v="POWERPLUS"/>
    <x v="29"/>
    <n v="100"/>
    <x v="8"/>
    <m/>
    <m/>
    <m/>
    <n v="100"/>
    <b v="0"/>
    <m/>
    <m/>
    <s v="-"/>
    <x v="29"/>
    <s v="Manual"/>
    <m/>
  </r>
  <r>
    <x v="19"/>
    <d v="2021-02-17T00:00:00"/>
    <s v="POWERPLUS"/>
    <x v="1234"/>
    <n v="516.86"/>
    <x v="26"/>
    <m/>
    <m/>
    <m/>
    <n v="516.86"/>
    <b v="0"/>
    <m/>
    <m/>
    <s v="-"/>
    <x v="1171"/>
    <s v="Delete; and Description Like '%DISCOVER TYPE EPAYMENT%';0"/>
    <m/>
  </r>
  <r>
    <x v="19"/>
    <d v="2021-02-17T00:00:00"/>
    <s v="Discover"/>
    <x v="0"/>
    <n v="6.95"/>
    <x v="0"/>
    <m/>
    <m/>
    <m/>
    <n v="6.95"/>
    <b v="0"/>
    <m/>
    <m/>
    <s v="-"/>
    <x v="0"/>
    <s v="Create Rule; and Description='Amazon';Amazon"/>
    <m/>
  </r>
  <r>
    <x v="19"/>
    <d v="2021-02-17T00:00:00"/>
    <s v="Discover More Card"/>
    <x v="0"/>
    <n v="6.95"/>
    <x v="0"/>
    <m/>
    <m/>
    <m/>
    <n v="6.95"/>
    <b v="0"/>
    <m/>
    <m/>
    <s v="-"/>
    <x v="0"/>
    <s v="Create Rule; and Description='Amazon';Amazon"/>
    <m/>
  </r>
  <r>
    <x v="19"/>
    <d v="2021-02-17T00:00:00"/>
    <s v="POWERPLUS"/>
    <x v="1235"/>
    <n v="-2167.65"/>
    <x v="26"/>
    <m/>
    <m/>
    <m/>
    <n v="2167.65"/>
    <b v="0"/>
    <m/>
    <m/>
    <s v="+"/>
    <x v="1172"/>
    <s v="Create Rule; and Description Like '%CARGILL COCOA TYPE DIR DEP ID%';Inc - Britney"/>
    <m/>
  </r>
  <r>
    <x v="19"/>
    <d v="2021-02-17T00:00:00"/>
    <s v="POWERPLUS"/>
    <x v="1236"/>
    <n v="425"/>
    <x v="26"/>
    <m/>
    <m/>
    <m/>
    <n v="425"/>
    <b v="0"/>
    <m/>
    <m/>
    <s v="-"/>
    <x v="1173"/>
    <s v="Create Rule; and Description Like '%MHCHILDCARELLC%';Day Care"/>
    <m/>
  </r>
  <r>
    <x v="19"/>
    <d v="2021-02-17T00:00:00"/>
    <s v="Joint Tenant"/>
    <x v="169"/>
    <n v="31.21"/>
    <x v="26"/>
    <m/>
    <m/>
    <m/>
    <n v="31.21"/>
    <b v="0"/>
    <m/>
    <m/>
    <s v="-"/>
    <x v="168"/>
    <s v="Create Rule; and Description='PROCTER &amp; GAMBLE';Dividend"/>
    <m/>
  </r>
  <r>
    <x v="19"/>
    <d v="2021-02-18T00:00:00"/>
    <s v="POWERPLUS"/>
    <x v="35"/>
    <n v="-75"/>
    <x v="26"/>
    <m/>
    <m/>
    <m/>
    <n v="75"/>
    <b v="0"/>
    <m/>
    <m/>
    <s v="+"/>
    <x v="35"/>
    <s v="Create Rule; and Description='Cargill Incorpor Type';Inc - Other"/>
    <m/>
  </r>
  <r>
    <x v="19"/>
    <d v="2021-02-18T00:00:00"/>
    <s v="Investor Checking"/>
    <x v="1144"/>
    <n v="-100"/>
    <x v="26"/>
    <m/>
    <m/>
    <m/>
    <n v="100"/>
    <b v="0"/>
    <m/>
    <m/>
    <s v="+"/>
    <x v="1087"/>
    <s v="Create Rule; and Description='Deposit Mobile Banking';Delete"/>
    <m/>
  </r>
  <r>
    <x v="19"/>
    <d v="2021-02-18T00:00:00"/>
    <s v="Tucker"/>
    <x v="476"/>
    <n v="-50"/>
    <x v="26"/>
    <m/>
    <m/>
    <m/>
    <n v="50"/>
    <b v="0"/>
    <m/>
    <m/>
    <s v="+"/>
    <x v="459"/>
    <m/>
    <m/>
  </r>
  <r>
    <x v="19"/>
    <d v="2021-02-18T00:00:00"/>
    <s v="Tucker"/>
    <x v="476"/>
    <n v="-100"/>
    <x v="26"/>
    <m/>
    <m/>
    <m/>
    <n v="100"/>
    <b v="0"/>
    <m/>
    <m/>
    <s v="+"/>
    <x v="459"/>
    <m/>
    <m/>
  </r>
  <r>
    <x v="19"/>
    <d v="2021-02-18T00:00:00"/>
    <s v="Investor Checking"/>
    <x v="1237"/>
    <n v="20"/>
    <x v="26"/>
    <m/>
    <m/>
    <m/>
    <n v="20"/>
    <b v="0"/>
    <m/>
    <m/>
    <s v="-"/>
    <x v="1174"/>
    <s v="Manual"/>
    <m/>
  </r>
  <r>
    <x v="19"/>
    <d v="2021-02-18T00:00:00"/>
    <s v="POWERPLUS"/>
    <x v="1238"/>
    <n v="200"/>
    <x v="26"/>
    <m/>
    <m/>
    <m/>
    <n v="200"/>
    <b v="0"/>
    <m/>
    <m/>
    <s v="-"/>
    <x v="1175"/>
    <s v="Create Rule; and Description Like '%MN DIR ACH%';College Savings"/>
    <m/>
  </r>
  <r>
    <x v="19"/>
    <d v="2021-02-18T00:00:00"/>
    <s v="Cash Rewards Visa Signature"/>
    <x v="2"/>
    <n v="42.79"/>
    <x v="2"/>
    <m/>
    <m/>
    <m/>
    <n v="42.79"/>
    <b v="0"/>
    <m/>
    <m/>
    <s v="-"/>
    <x v="2"/>
    <s v="Create Rule; and Description='Speedway';Transportation"/>
    <m/>
  </r>
  <r>
    <x v="19"/>
    <d v="2021-02-18T00:00:00"/>
    <s v="Tucker"/>
    <x v="191"/>
    <n v="-20"/>
    <x v="26"/>
    <m/>
    <m/>
    <m/>
    <n v="20"/>
    <b v="0"/>
    <m/>
    <m/>
    <s v="+"/>
    <x v="190"/>
    <m/>
    <m/>
  </r>
  <r>
    <x v="19"/>
    <d v="2021-02-19T00:00:00"/>
    <s v="Joint Tenant"/>
    <x v="185"/>
    <n v="-200"/>
    <x v="26"/>
    <m/>
    <m/>
    <m/>
    <n v="200"/>
    <b v="0"/>
    <m/>
    <m/>
    <s v="+"/>
    <x v="184"/>
    <s v="Create Rule; and Description='CARGILL COCOA &amp;';Roth"/>
    <m/>
  </r>
  <r>
    <x v="19"/>
    <d v="2021-02-19T00:00:00"/>
    <s v="Cash Rewards Visa Signature"/>
    <x v="60"/>
    <n v="26.79"/>
    <x v="26"/>
    <m/>
    <m/>
    <m/>
    <n v="26.79"/>
    <b v="0"/>
    <m/>
    <m/>
    <s v="-"/>
    <x v="60"/>
    <s v="Create Rule; and Description='Home Depot';House Maintenance"/>
    <m/>
  </r>
  <r>
    <x v="19"/>
    <d v="2021-02-19T00:00:00"/>
    <s v="Cash Rewards Visa Signature"/>
    <x v="60"/>
    <n v="32.17"/>
    <x v="26"/>
    <m/>
    <m/>
    <m/>
    <n v="32.17"/>
    <b v="0"/>
    <m/>
    <m/>
    <s v="-"/>
    <x v="60"/>
    <s v="Create Rule; and Description='Home Depot';House Maintenance"/>
    <m/>
  </r>
  <r>
    <x v="19"/>
    <d v="2021-02-19T00:00:00"/>
    <s v="Cash Rewards Visa Signature"/>
    <x v="1239"/>
    <n v="23.35"/>
    <x v="26"/>
    <m/>
    <m/>
    <m/>
    <n v="23.35"/>
    <b v="0"/>
    <m/>
    <m/>
    <s v="-"/>
    <x v="1176"/>
    <s v="Manual"/>
    <m/>
  </r>
  <r>
    <x v="19"/>
    <d v="2021-02-19T00:00:00"/>
    <s v="Investor Checking"/>
    <x v="1240"/>
    <n v="100"/>
    <x v="26"/>
    <m/>
    <m/>
    <m/>
    <n v="100"/>
    <b v="0"/>
    <m/>
    <m/>
    <s v="-"/>
    <x v="1177"/>
    <s v="Create Rule; and Description Like '%MN DIR ACH%';College Savings"/>
    <m/>
  </r>
  <r>
    <x v="19"/>
    <d v="2021-02-19T00:00:00"/>
    <s v="Contributory"/>
    <x v="51"/>
    <n v="-231"/>
    <x v="26"/>
    <m/>
    <m/>
    <m/>
    <n v="231"/>
    <b v="0"/>
    <m/>
    <m/>
    <s v="+"/>
    <x v="51"/>
    <s v="Create Rule; and Description='Tfr JPMORGAN CHASE BAN, CARGILL COCOA &amp;';Roth"/>
    <m/>
  </r>
  <r>
    <x v="19"/>
    <d v="2021-02-19T00:00:00"/>
    <s v="Joint Tenant"/>
    <x v="611"/>
    <n v="-5.55"/>
    <x v="26"/>
    <m/>
    <m/>
    <m/>
    <n v="5.55"/>
    <b v="0"/>
    <m/>
    <m/>
    <s v="+"/>
    <x v="590"/>
    <s v="Delete; and Source='Joint Tenant';0"/>
    <m/>
  </r>
  <r>
    <x v="19"/>
    <d v="2021-02-21T00:00:00"/>
    <s v="Cash Rewards Visa Signature"/>
    <x v="1096"/>
    <n v="9"/>
    <x v="26"/>
    <m/>
    <m/>
    <m/>
    <n v="9"/>
    <b v="0"/>
    <m/>
    <m/>
    <s v="-"/>
    <x v="1045"/>
    <s v="Create Rule; and Description Like '%BONFES%';House Maintenance"/>
    <m/>
  </r>
  <r>
    <x v="19"/>
    <d v="2021-02-21T00:00:00"/>
    <s v="Cash Rewards Visa Signature"/>
    <x v="1241"/>
    <n v="84.72"/>
    <x v="26"/>
    <m/>
    <m/>
    <m/>
    <n v="84.72"/>
    <b v="0"/>
    <m/>
    <m/>
    <s v="-"/>
    <x v="1178"/>
    <s v="Manual"/>
    <m/>
  </r>
  <r>
    <x v="19"/>
    <d v="2021-02-21T00:00:00"/>
    <s v="Cash Rewards Visa Signature"/>
    <x v="130"/>
    <n v="36.53"/>
    <x v="1"/>
    <m/>
    <m/>
    <m/>
    <n v="36.53"/>
    <b v="0"/>
    <m/>
    <m/>
    <s v="-"/>
    <x v="129"/>
    <s v="Create Rule; and Description='Leeann Chin';Restaurants"/>
    <m/>
  </r>
  <r>
    <x v="19"/>
    <d v="2021-02-22T00:00:00"/>
    <s v="POWERPLUS"/>
    <x v="84"/>
    <n v="256.20999999999998"/>
    <x v="26"/>
    <m/>
    <m/>
    <m/>
    <n v="256.20999999999998"/>
    <b v="0"/>
    <m/>
    <m/>
    <s v="-"/>
    <x v="84"/>
    <s v="Create Rule; and Description='City of Chanhassen';Utilities"/>
    <m/>
  </r>
  <r>
    <x v="19"/>
    <d v="2021-02-22T00:00:00"/>
    <s v="Cash Rewards Visa Signature"/>
    <x v="1242"/>
    <n v="43.18"/>
    <x v="26"/>
    <m/>
    <m/>
    <m/>
    <n v="43.18"/>
    <b v="0"/>
    <m/>
    <m/>
    <s v="-"/>
    <x v="1179"/>
    <s v="Manual"/>
    <m/>
  </r>
  <r>
    <x v="19"/>
    <d v="2021-02-22T00:00:00"/>
    <s v="Cash Rewards Visa Signature"/>
    <x v="60"/>
    <n v="34.53"/>
    <x v="26"/>
    <m/>
    <m/>
    <m/>
    <n v="34.53"/>
    <b v="0"/>
    <m/>
    <m/>
    <s v="-"/>
    <x v="60"/>
    <s v="Create Rule; and Description='Home Depot';House Maintenance"/>
    <m/>
  </r>
  <r>
    <x v="19"/>
    <d v="2021-02-22T00:00:00"/>
    <s v="POWERPLUS"/>
    <x v="157"/>
    <n v="7.99"/>
    <x v="8"/>
    <m/>
    <m/>
    <m/>
    <n v="7.99"/>
    <b v="0"/>
    <m/>
    <m/>
    <s v="-"/>
    <x v="156"/>
    <s v="Create Rule; and Description Like '%PayPal%';Shopping"/>
    <m/>
  </r>
  <r>
    <x v="19"/>
    <d v="2021-02-22T00:00:00"/>
    <s v="Joint Tenant"/>
    <x v="19"/>
    <n v="200"/>
    <x v="26"/>
    <m/>
    <m/>
    <m/>
    <n v="200"/>
    <b v="0"/>
    <m/>
    <m/>
    <s v="-"/>
    <x v="19"/>
    <s v="Delete; and Description='SCHWAB S&amp;P 500 INDEX FD' and inflowoutflow='-';0"/>
    <m/>
  </r>
  <r>
    <x v="19"/>
    <d v="2021-02-22T00:00:00"/>
    <s v="Joint Tenant"/>
    <x v="20"/>
    <n v="200"/>
    <x v="26"/>
    <m/>
    <m/>
    <m/>
    <n v="200"/>
    <b v="0"/>
    <m/>
    <m/>
    <s v="-"/>
    <x v="20"/>
    <s v="Delete; and Description='SCHWAB TOTAL STOCK MKT INDEX' and inflowoutflow='-';0"/>
    <m/>
  </r>
  <r>
    <x v="19"/>
    <d v="2021-02-23T00:00:00"/>
    <s v="Cash Rewards Visa Signature"/>
    <x v="936"/>
    <n v="-368.06"/>
    <x v="26"/>
    <m/>
    <m/>
    <m/>
    <n v="368.06"/>
    <b v="0"/>
    <m/>
    <m/>
    <s v="+"/>
    <x v="900"/>
    <s v="Delete; and Description Like '%PAYMENT THANK YOU%';0"/>
    <m/>
  </r>
  <r>
    <x v="19"/>
    <d v="2021-02-23T00:00:00"/>
    <s v="POWERPLUS"/>
    <x v="937"/>
    <n v="368.06"/>
    <x v="26"/>
    <m/>
    <m/>
    <m/>
    <n v="368.06"/>
    <b v="0"/>
    <m/>
    <m/>
    <s v="-"/>
    <x v="901"/>
    <s v="Delete; and Description Like '%Withdrawal Home payment to card%';0"/>
    <m/>
  </r>
  <r>
    <x v="19"/>
    <d v="2021-02-23T00:00:00"/>
    <s v="Cash Rewards Visa Signature"/>
    <x v="980"/>
    <n v="161.49"/>
    <x v="26"/>
    <m/>
    <m/>
    <m/>
    <n v="161.49"/>
    <b v="0"/>
    <m/>
    <m/>
    <s v="-"/>
    <x v="940"/>
    <s v="Create Rule; and Description Like '%AVOADVOCARE INTL%';Groceries"/>
    <m/>
  </r>
  <r>
    <x v="19"/>
    <d v="2021-02-23T00:00:00"/>
    <s v="Discover"/>
    <x v="6"/>
    <n v="87.03"/>
    <x v="5"/>
    <m/>
    <m/>
    <m/>
    <n v="87.03"/>
    <b v="0"/>
    <m/>
    <m/>
    <s v="-"/>
    <x v="6"/>
    <s v="Create Rule; and Description Like '%Cub Foods%';Groceries"/>
    <m/>
  </r>
  <r>
    <x v="19"/>
    <d v="2021-02-23T00:00:00"/>
    <s v="Discover More Card"/>
    <x v="6"/>
    <n v="87.03"/>
    <x v="5"/>
    <m/>
    <m/>
    <m/>
    <n v="87.03"/>
    <b v="0"/>
    <m/>
    <m/>
    <s v="-"/>
    <x v="6"/>
    <s v="Create Rule; and Description Like '%Cub Foods%';Groceries"/>
    <m/>
  </r>
  <r>
    <x v="19"/>
    <d v="2021-02-23T00:00:00"/>
    <s v="Cash Rewards Visa Signature"/>
    <x v="525"/>
    <n v="39.979999999999997"/>
    <x v="26"/>
    <m/>
    <m/>
    <m/>
    <n v="39.979999999999997"/>
    <b v="0"/>
    <m/>
    <m/>
    <s v="-"/>
    <x v="506"/>
    <s v="Manual"/>
    <m/>
  </r>
  <r>
    <x v="19"/>
    <d v="2021-02-23T00:00:00"/>
    <s v="Cash Rewards Visa Signature"/>
    <x v="525"/>
    <n v="139.72"/>
    <x v="26"/>
    <m/>
    <m/>
    <m/>
    <n v="139.72"/>
    <b v="0"/>
    <m/>
    <m/>
    <s v="-"/>
    <x v="506"/>
    <s v="Manual"/>
    <m/>
  </r>
  <r>
    <x v="19"/>
    <d v="2021-02-23T00:00:00"/>
    <s v="POWERPLUS"/>
    <x v="1243"/>
    <n v="425"/>
    <x v="26"/>
    <m/>
    <m/>
    <m/>
    <n v="425"/>
    <b v="0"/>
    <m/>
    <m/>
    <s v="-"/>
    <x v="1180"/>
    <s v="Create Rule; and Description Like '%MHCHILDCARELLC%';Day Care"/>
    <m/>
  </r>
  <r>
    <x v="19"/>
    <d v="2021-02-24T00:00:00"/>
    <s v="Cash Rewards Visa Signature"/>
    <x v="1244"/>
    <n v="14.25"/>
    <x v="26"/>
    <m/>
    <m/>
    <m/>
    <n v="14.25"/>
    <b v="0"/>
    <m/>
    <m/>
    <s v="-"/>
    <x v="1181"/>
    <s v="Manual"/>
    <m/>
  </r>
  <r>
    <x v="19"/>
    <d v="2021-02-24T00:00:00"/>
    <s v="Cash Rewards Visa Signature"/>
    <x v="1244"/>
    <n v="26.65"/>
    <x v="26"/>
    <m/>
    <m/>
    <m/>
    <n v="26.65"/>
    <b v="0"/>
    <m/>
    <m/>
    <s v="-"/>
    <x v="1181"/>
    <s v="Manual"/>
    <m/>
  </r>
  <r>
    <x v="19"/>
    <d v="2021-02-25T00:00:00"/>
    <s v="Cash Rewards Visa Signature"/>
    <x v="1245"/>
    <n v="855"/>
    <x v="26"/>
    <m/>
    <m/>
    <m/>
    <n v="-855"/>
    <b v="0"/>
    <m/>
    <m/>
    <s v="+"/>
    <x v="1182"/>
    <s v="Create Rule; and Description Like '%BONFES%';House Maintenance"/>
    <m/>
  </r>
  <r>
    <x v="19"/>
    <d v="2021-02-25T00:00:00"/>
    <s v="Cash Rewards Visa Signature"/>
    <x v="84"/>
    <n v="52"/>
    <x v="26"/>
    <m/>
    <m/>
    <m/>
    <n v="52"/>
    <b v="0"/>
    <m/>
    <m/>
    <s v="-"/>
    <x v="84"/>
    <s v="Create Rule; and Description='City of Chanhassen';Utilities"/>
    <m/>
  </r>
  <r>
    <x v="19"/>
    <d v="2021-02-25T00:00:00"/>
    <s v="POWERPLUS"/>
    <x v="1246"/>
    <n v="-2326.16"/>
    <x v="26"/>
    <m/>
    <m/>
    <m/>
    <n v="2326.16"/>
    <b v="0"/>
    <m/>
    <m/>
    <s v="+"/>
    <x v="910"/>
    <s v="Create Rule; and Description Like '%CONNECTED ANALYT%';Jeff"/>
    <m/>
  </r>
  <r>
    <x v="19"/>
    <d v="2021-02-25T00:00:00"/>
    <s v="POWERPLUS"/>
    <x v="1247"/>
    <n v="125.13"/>
    <x v="26"/>
    <m/>
    <m/>
    <m/>
    <n v="125.13"/>
    <b v="0"/>
    <m/>
    <m/>
    <s v="-"/>
    <x v="146"/>
    <s v="Create Rule; and Description Like '%CPENERGY MNGCO%';Utilities"/>
    <m/>
  </r>
  <r>
    <x v="19"/>
    <d v="2021-02-25T00:00:00"/>
    <s v="Cash Rewards Visa Signature"/>
    <x v="81"/>
    <n v="32.82"/>
    <x v="26"/>
    <m/>
    <m/>
    <m/>
    <n v="32.82"/>
    <b v="0"/>
    <m/>
    <m/>
    <s v="-"/>
    <x v="81"/>
    <s v="Create Rule; and Description='Holiday Stationstore';Transportation"/>
    <m/>
  </r>
  <r>
    <x v="19"/>
    <d v="2021-02-25T00:00:00"/>
    <s v="Cash Rewards Visa Signature"/>
    <x v="60"/>
    <n v="33.869999999999997"/>
    <x v="26"/>
    <m/>
    <m/>
    <m/>
    <n v="33.869999999999997"/>
    <b v="0"/>
    <m/>
    <m/>
    <s v="-"/>
    <x v="60"/>
    <s v="Create Rule; and Description='Home Depot';House Maintenance"/>
    <m/>
  </r>
  <r>
    <x v="19"/>
    <d v="2021-02-25T00:00:00"/>
    <s v="Cash Rewards Visa Signature"/>
    <x v="1248"/>
    <n v="22.14"/>
    <x v="26"/>
    <m/>
    <m/>
    <m/>
    <n v="22.14"/>
    <b v="0"/>
    <m/>
    <m/>
    <s v="-"/>
    <x v="1183"/>
    <s v="Manual"/>
    <m/>
  </r>
  <r>
    <x v="19"/>
    <d v="2021-02-25T00:00:00"/>
    <s v="Discover"/>
    <x v="100"/>
    <n v="114.85"/>
    <x v="5"/>
    <m/>
    <m/>
    <m/>
    <n v="114.85"/>
    <b v="0"/>
    <m/>
    <m/>
    <s v="-"/>
    <x v="100"/>
    <s v="Create Rule; and Description like '%Trader Joe%';Groceries"/>
    <m/>
  </r>
  <r>
    <x v="19"/>
    <d v="2021-02-25T00:00:00"/>
    <s v="Discover More Card"/>
    <x v="100"/>
    <n v="114.85"/>
    <x v="5"/>
    <m/>
    <m/>
    <m/>
    <n v="114.85"/>
    <b v="0"/>
    <m/>
    <m/>
    <s v="-"/>
    <x v="100"/>
    <s v="Create Rule; and Description like '%Trader Joe%';Groceries"/>
    <m/>
  </r>
  <r>
    <x v="19"/>
    <d v="2021-02-25T00:00:00"/>
    <s v="Cash Rewards Visa Signature"/>
    <x v="1249"/>
    <n v="42.02"/>
    <x v="26"/>
    <m/>
    <m/>
    <m/>
    <n v="42.02"/>
    <b v="0"/>
    <m/>
    <m/>
    <s v="-"/>
    <x v="1184"/>
    <s v="Manual"/>
    <m/>
  </r>
  <r>
    <x v="19"/>
    <d v="2021-02-26T00:00:00"/>
    <s v="Joint Tenant"/>
    <x v="950"/>
    <n v="-250"/>
    <x v="26"/>
    <m/>
    <m/>
    <m/>
    <n v="250"/>
    <b v="0"/>
    <m/>
    <m/>
    <s v="+"/>
    <x v="913"/>
    <s v="Create Rule; and Description Like '%CONNECTED ANALYT%';Inc - Jeff"/>
    <m/>
  </r>
  <r>
    <x v="19"/>
    <d v="2021-02-26T00:00:00"/>
    <s v="Cash Rewards Visa Signature"/>
    <x v="1250"/>
    <n v="53.75"/>
    <x v="26"/>
    <m/>
    <m/>
    <m/>
    <n v="53.75"/>
    <b v="0"/>
    <m/>
    <m/>
    <s v="-"/>
    <x v="1185"/>
    <s v="Manual"/>
    <m/>
  </r>
  <r>
    <x v="19"/>
    <d v="2021-02-26T00:00:00"/>
    <s v="Investor Checking"/>
    <x v="118"/>
    <n v="-0.02"/>
    <x v="26"/>
    <m/>
    <m/>
    <m/>
    <n v="0.02"/>
    <b v="0"/>
    <m/>
    <m/>
    <s v="+"/>
    <x v="118"/>
    <s v="Create Rule; and Description='Interest Paid';0"/>
    <m/>
  </r>
  <r>
    <x v="19"/>
    <d v="2021-02-26T00:00:00"/>
    <s v="Discover"/>
    <x v="99"/>
    <n v="8.99"/>
    <x v="11"/>
    <m/>
    <m/>
    <m/>
    <n v="8.99"/>
    <b v="0"/>
    <m/>
    <m/>
    <s v="-"/>
    <x v="99"/>
    <s v="Create Rule; and Description='Netflix';Utilities"/>
    <m/>
  </r>
  <r>
    <x v="19"/>
    <d v="2021-02-26T00:00:00"/>
    <s v="Discover More Card"/>
    <x v="99"/>
    <n v="8.99"/>
    <x v="11"/>
    <m/>
    <m/>
    <m/>
    <n v="8.99"/>
    <b v="0"/>
    <m/>
    <m/>
    <s v="-"/>
    <x v="99"/>
    <s v="Create Rule; and Description='Netflix';Utilities"/>
    <m/>
  </r>
  <r>
    <x v="19"/>
    <d v="2021-02-26T00:00:00"/>
    <s v="POWERPLUS"/>
    <x v="157"/>
    <n v="22.99"/>
    <x v="8"/>
    <m/>
    <m/>
    <m/>
    <n v="22.99"/>
    <b v="0"/>
    <m/>
    <m/>
    <s v="-"/>
    <x v="156"/>
    <s v="Create Rule; and Description Like '%PayPal%';Shopping"/>
    <m/>
  </r>
  <r>
    <x v="19"/>
    <d v="2021-02-26T00:00:00"/>
    <s v="Cash Rewards Visa Signature"/>
    <x v="1251"/>
    <n v="36.1"/>
    <x v="26"/>
    <m/>
    <m/>
    <m/>
    <n v="36.1"/>
    <b v="0"/>
    <m/>
    <m/>
    <s v="-"/>
    <x v="1186"/>
    <s v="Manual"/>
    <m/>
  </r>
  <r>
    <x v="19"/>
    <d v="2021-02-26T00:00:00"/>
    <s v="Cash Rewards Visa Signature"/>
    <x v="838"/>
    <n v="35.700000000000003"/>
    <x v="29"/>
    <m/>
    <m/>
    <m/>
    <n v="35.700000000000003"/>
    <b v="0"/>
    <m/>
    <m/>
    <s v="-"/>
    <x v="806"/>
    <s v="Manual"/>
    <m/>
  </r>
  <r>
    <x v="19"/>
    <d v="2021-02-26T00:00:00"/>
    <s v="Cash Rewards Visa Signature"/>
    <x v="579"/>
    <n v="4.67"/>
    <x v="1"/>
    <m/>
    <m/>
    <m/>
    <n v="4.67"/>
    <b v="0"/>
    <m/>
    <m/>
    <s v="-"/>
    <x v="560"/>
    <s v="Create Rule; and Description='Starbucks';Restaurants"/>
    <m/>
  </r>
  <r>
    <x v="19"/>
    <d v="2021-02-26T00:00:00"/>
    <s v="POWERPLUS"/>
    <x v="34"/>
    <n v="384.62"/>
    <x v="12"/>
    <m/>
    <m/>
    <m/>
    <n v="384.62"/>
    <b v="0"/>
    <m/>
    <m/>
    <s v="-"/>
    <x v="34"/>
    <s v="Create Rule; and Description='Target';Target"/>
    <m/>
  </r>
  <r>
    <x v="19"/>
    <d v="2021-02-26T00:00:00"/>
    <s v="Jeff IRA"/>
    <x v="951"/>
    <n v="-250"/>
    <x v="26"/>
    <m/>
    <m/>
    <m/>
    <n v="250"/>
    <b v="0"/>
    <m/>
    <m/>
    <s v="+"/>
    <x v="914"/>
    <s v="Create Rule; and Description Like '%CONNECTED ANALYT%';Inc - Jeff"/>
    <m/>
  </r>
  <r>
    <x v="19"/>
    <d v="2021-02-27T00:00:00"/>
    <s v="Discover"/>
    <x v="805"/>
    <n v="10.89"/>
    <x v="26"/>
    <m/>
    <m/>
    <m/>
    <n v="10.89"/>
    <b v="0"/>
    <m/>
    <m/>
    <s v="-"/>
    <x v="775"/>
    <s v="Manual"/>
    <m/>
  </r>
  <r>
    <x v="19"/>
    <d v="2021-02-27T00:00:00"/>
    <s v="Discover"/>
    <x v="805"/>
    <n v="27.02"/>
    <x v="26"/>
    <m/>
    <m/>
    <m/>
    <n v="27.02"/>
    <b v="0"/>
    <m/>
    <m/>
    <s v="-"/>
    <x v="775"/>
    <s v="Manual"/>
    <m/>
  </r>
  <r>
    <x v="19"/>
    <d v="2021-02-27T00:00:00"/>
    <s v="Discover More Card"/>
    <x v="805"/>
    <n v="10.89"/>
    <x v="26"/>
    <m/>
    <m/>
    <m/>
    <n v="10.89"/>
    <b v="0"/>
    <m/>
    <m/>
    <s v="-"/>
    <x v="775"/>
    <m/>
    <m/>
  </r>
  <r>
    <x v="19"/>
    <d v="2021-02-27T00:00:00"/>
    <s v="Discover More Card"/>
    <x v="805"/>
    <n v="27.02"/>
    <x v="26"/>
    <m/>
    <m/>
    <m/>
    <n v="27.02"/>
    <b v="0"/>
    <m/>
    <m/>
    <s v="-"/>
    <x v="775"/>
    <m/>
    <m/>
  </r>
  <r>
    <x v="19"/>
    <d v="2021-02-27T00:00:00"/>
    <s v="Discover"/>
    <x v="6"/>
    <n v="75.14"/>
    <x v="5"/>
    <m/>
    <m/>
    <m/>
    <n v="75.14"/>
    <b v="0"/>
    <m/>
    <m/>
    <s v="-"/>
    <x v="6"/>
    <s v="Create Rule; and Description Like '%Cub Foods%';Groceries"/>
    <m/>
  </r>
  <r>
    <x v="19"/>
    <d v="2021-02-27T00:00:00"/>
    <s v="Discover More Card"/>
    <x v="6"/>
    <n v="75.14"/>
    <x v="5"/>
    <m/>
    <m/>
    <m/>
    <n v="75.14"/>
    <b v="0"/>
    <m/>
    <m/>
    <s v="-"/>
    <x v="6"/>
    <s v="Create Rule; and Description Like '%Cub Foods%';Groceries"/>
    <m/>
  </r>
  <r>
    <x v="19"/>
    <d v="2021-02-28T00:00:00"/>
    <s v="Cash Rewards Visa Signature"/>
    <x v="1138"/>
    <n v="12"/>
    <x v="26"/>
    <m/>
    <m/>
    <m/>
    <n v="12"/>
    <b v="0"/>
    <m/>
    <m/>
    <s v="-"/>
    <x v="1084"/>
    <s v="Manual"/>
    <m/>
  </r>
  <r>
    <x v="19"/>
    <d v="2021-02-28T00:00:00"/>
    <s v="Cash Rewards Visa Signature"/>
    <x v="60"/>
    <n v="69.88"/>
    <x v="26"/>
    <m/>
    <m/>
    <m/>
    <n v="69.88"/>
    <b v="0"/>
    <m/>
    <m/>
    <s v="-"/>
    <x v="60"/>
    <s v="Create Rule; and Description='Home Depot';House Maintenance"/>
    <m/>
  </r>
  <r>
    <x v="19"/>
    <d v="2021-02-28T00:00:00"/>
    <s v="Cash Rewards Visa Signature"/>
    <x v="1030"/>
    <n v="33.35"/>
    <x v="26"/>
    <m/>
    <m/>
    <m/>
    <n v="33.35"/>
    <b v="0"/>
    <m/>
    <m/>
    <s v="-"/>
    <x v="985"/>
    <s v="Create Rule; and Description Like '%Maynard%';Restaurants"/>
    <m/>
  </r>
  <r>
    <x v="19"/>
    <d v="2021-02-28T00:00:00"/>
    <s v="POWERPLUS"/>
    <x v="119"/>
    <n v="-12.73"/>
    <x v="26"/>
    <m/>
    <m/>
    <m/>
    <n v="12.73"/>
    <b v="0"/>
    <m/>
    <m/>
    <s v="+"/>
    <x v="119"/>
    <s v="Create Rule; and Description='Split Rate Apy';Inc - Other"/>
    <m/>
  </r>
  <r>
    <x v="19"/>
    <d v="2021-02-28T00:00:00"/>
    <s v="RAINY DAY"/>
    <x v="119"/>
    <n v="-12.66"/>
    <x v="26"/>
    <m/>
    <m/>
    <m/>
    <n v="12.66"/>
    <b v="0"/>
    <m/>
    <m/>
    <s v="+"/>
    <x v="119"/>
    <s v="Create Rule; and Description='Split Rate Apy';Inc - Other"/>
    <m/>
  </r>
  <r>
    <x v="19"/>
    <d v="2021-02-28T00:00:00"/>
    <s v="Cash Rewards Visa Signature"/>
    <x v="1252"/>
    <n v="17.91"/>
    <x v="26"/>
    <m/>
    <m/>
    <m/>
    <n v="17.91"/>
    <b v="0"/>
    <m/>
    <m/>
    <s v="-"/>
    <x v="1187"/>
    <s v="Manual"/>
    <m/>
  </r>
  <r>
    <x v="17"/>
    <d v="2021-03-01T00:00:00"/>
    <s v="30 YR FIXED"/>
    <x v="935"/>
    <n v="-725.36"/>
    <x v="3"/>
    <m/>
    <m/>
    <m/>
    <n v="725.36"/>
    <b v="0"/>
    <m/>
    <m/>
    <s v="+"/>
    <x v="899"/>
    <s v="Create Rule; and Description='PAYMENT';Delete"/>
    <m/>
  </r>
  <r>
    <x v="17"/>
    <d v="2021-03-01T00:00:00"/>
    <s v="Discover"/>
    <x v="598"/>
    <n v="4.28"/>
    <x v="10"/>
    <m/>
    <m/>
    <m/>
    <n v="4.28"/>
    <b v="0"/>
    <m/>
    <m/>
    <s v="-"/>
    <x v="579"/>
    <s v="Create Rule; and Description='Amazon Music';Entertainment"/>
    <m/>
  </r>
  <r>
    <x v="17"/>
    <d v="2021-03-01T00:00:00"/>
    <s v="Discover More Card"/>
    <x v="598"/>
    <n v="4.28"/>
    <x v="10"/>
    <m/>
    <m/>
    <m/>
    <n v="4.28"/>
    <b v="0"/>
    <m/>
    <m/>
    <s v="-"/>
    <x v="579"/>
    <s v="Create Rule; and Description='Amazon Music';Entertainment"/>
    <m/>
  </r>
  <r>
    <x v="17"/>
    <d v="2021-03-01T00:00:00"/>
    <s v="Cash Rewards Visa Signature"/>
    <x v="805"/>
    <n v="7.48"/>
    <x v="26"/>
    <m/>
    <m/>
    <m/>
    <n v="7.48"/>
    <b v="0"/>
    <m/>
    <m/>
    <s v="-"/>
    <x v="775"/>
    <s v="Manual"/>
    <m/>
  </r>
  <r>
    <x v="17"/>
    <d v="2021-03-01T00:00:00"/>
    <s v="POWERPLUS"/>
    <x v="1253"/>
    <n v="200"/>
    <x v="26"/>
    <m/>
    <m/>
    <m/>
    <n v="200"/>
    <b v="0"/>
    <m/>
    <m/>
    <s v="-"/>
    <x v="16"/>
    <s v="Create Rule; and Description Like '%College Savings%';College Savings"/>
    <m/>
  </r>
  <r>
    <x v="17"/>
    <d v="2021-03-01T00:00:00"/>
    <s v="HIGHLANDER"/>
    <x v="976"/>
    <n v="-584.66"/>
    <x v="26"/>
    <m/>
    <m/>
    <m/>
    <n v="584.66"/>
    <b v="0"/>
    <m/>
    <m/>
    <s v="+"/>
    <x v="936"/>
    <s v="Create Rule; and Description='From Share 70';Delete"/>
    <m/>
  </r>
  <r>
    <x v="17"/>
    <d v="2021-03-01T00:00:00"/>
    <s v="Joint Tenant"/>
    <x v="187"/>
    <n v="-29.72"/>
    <x v="26"/>
    <m/>
    <m/>
    <m/>
    <n v="29.72"/>
    <b v="0"/>
    <m/>
    <m/>
    <s v="+"/>
    <x v="186"/>
    <s v="Create Rule; and Description='INTEL CORP';Dividend"/>
    <m/>
  </r>
  <r>
    <x v="17"/>
    <d v="2021-03-01T00:00:00"/>
    <s v="POWERPLUS"/>
    <x v="157"/>
    <n v="0.99"/>
    <x v="8"/>
    <m/>
    <m/>
    <m/>
    <n v="0.99"/>
    <b v="0"/>
    <m/>
    <m/>
    <s v="-"/>
    <x v="156"/>
    <s v="Create Rule; and Description Like '%PayPal%';Shopping"/>
    <m/>
  </r>
  <r>
    <x v="17"/>
    <d v="2021-03-01T00:00:00"/>
    <s v="30 YR FIXED"/>
    <x v="1085"/>
    <n v="-431"/>
    <x v="26"/>
    <m/>
    <m/>
    <m/>
    <n v="431"/>
    <b v="0"/>
    <m/>
    <m/>
    <s v="+"/>
    <x v="1034"/>
    <s v="Create Rule; and Description='Principal Curtailment';Delete"/>
    <m/>
  </r>
  <r>
    <x v="17"/>
    <d v="2021-03-01T00:00:00"/>
    <s v="POWERPLUS"/>
    <x v="979"/>
    <n v="618.65"/>
    <x v="26"/>
    <m/>
    <m/>
    <m/>
    <n v="618.65"/>
    <b v="0"/>
    <m/>
    <m/>
    <s v="-"/>
    <x v="939"/>
    <s v="Create Rule; and Description Like '%To Loan 02%';Car Loan"/>
    <m/>
  </r>
  <r>
    <x v="17"/>
    <d v="2021-03-01T00:00:00"/>
    <s v="Cash Rewards Visa Signature"/>
    <x v="1254"/>
    <n v="34.409999999999997"/>
    <x v="26"/>
    <m/>
    <m/>
    <m/>
    <n v="34.409999999999997"/>
    <b v="0"/>
    <m/>
    <m/>
    <s v="-"/>
    <x v="1188"/>
    <s v="Manual"/>
    <m/>
  </r>
  <r>
    <x v="17"/>
    <d v="2021-03-01T00:00:00"/>
    <s v="Joint Tenant"/>
    <x v="138"/>
    <n v="-26.97"/>
    <x v="26"/>
    <m/>
    <m/>
    <m/>
    <n v="26.97"/>
    <b v="0"/>
    <m/>
    <m/>
    <s v="+"/>
    <x v="137"/>
    <s v="Create Rule; and Description='VISA INC CLASS A';Dividend"/>
    <m/>
  </r>
  <r>
    <x v="26"/>
    <d v="2024-03-07T00:00:00"/>
    <s v="Powerplus - Ending in 8s30"/>
    <x v="1255"/>
    <n v="9630.94"/>
    <x v="30"/>
    <m/>
    <s v="Exp - House"/>
    <m/>
    <m/>
    <m/>
    <m/>
    <m/>
    <m/>
    <x v="1189"/>
    <m/>
    <m/>
  </r>
  <r>
    <x v="17"/>
    <d v="2021-03-02T00:00:00"/>
    <s v="Discover"/>
    <x v="0"/>
    <n v="16.86"/>
    <x v="0"/>
    <m/>
    <m/>
    <m/>
    <n v="16.86"/>
    <b v="0"/>
    <m/>
    <m/>
    <s v="-"/>
    <x v="0"/>
    <s v="Create Rule; and Description='Amazon';Amazon"/>
    <m/>
  </r>
  <r>
    <x v="17"/>
    <d v="2021-03-02T00:00:00"/>
    <s v="Discover"/>
    <x v="0"/>
    <n v="32.200000000000003"/>
    <x v="0"/>
    <m/>
    <m/>
    <m/>
    <n v="32.200000000000003"/>
    <b v="0"/>
    <m/>
    <m/>
    <s v="-"/>
    <x v="0"/>
    <s v="Create Rule; and Description='Amazon';Amazon"/>
    <m/>
  </r>
  <r>
    <x v="17"/>
    <d v="2021-03-02T00:00:00"/>
    <s v="Discover More Card"/>
    <x v="0"/>
    <n v="16.86"/>
    <x v="0"/>
    <m/>
    <m/>
    <m/>
    <n v="16.86"/>
    <b v="0"/>
    <m/>
    <m/>
    <s v="-"/>
    <x v="0"/>
    <s v="Create Rule; and Description='Amazon';Amazon"/>
    <m/>
  </r>
  <r>
    <x v="17"/>
    <d v="2021-03-02T00:00:00"/>
    <s v="Discover More Card"/>
    <x v="0"/>
    <n v="32.200000000000003"/>
    <x v="0"/>
    <m/>
    <m/>
    <m/>
    <n v="32.200000000000003"/>
    <b v="0"/>
    <m/>
    <m/>
    <s v="-"/>
    <x v="0"/>
    <s v="Create Rule; and Description='Amazon';Amazon"/>
    <m/>
  </r>
  <r>
    <x v="17"/>
    <d v="2021-03-02T00:00:00"/>
    <s v="Cash Rewards Visa Signature"/>
    <x v="1256"/>
    <n v="38"/>
    <x v="26"/>
    <m/>
    <m/>
    <m/>
    <n v="38"/>
    <b v="0"/>
    <m/>
    <m/>
    <s v="-"/>
    <x v="1190"/>
    <s v="Manual"/>
    <m/>
  </r>
  <r>
    <x v="17"/>
    <d v="2021-03-02T00:00:00"/>
    <s v="Joint Tenant"/>
    <x v="187"/>
    <n v="29.72"/>
    <x v="26"/>
    <m/>
    <m/>
    <m/>
    <n v="29.72"/>
    <b v="0"/>
    <m/>
    <m/>
    <s v="-"/>
    <x v="186"/>
    <s v="Create Rule; and Description='INTEL CORP';Dividend"/>
    <m/>
  </r>
  <r>
    <x v="17"/>
    <d v="2021-03-02T00:00:00"/>
    <s v="POWERPLUS"/>
    <x v="1257"/>
    <n v="425"/>
    <x v="26"/>
    <m/>
    <m/>
    <m/>
    <n v="425"/>
    <b v="0"/>
    <m/>
    <m/>
    <s v="-"/>
    <x v="1191"/>
    <s v="Create Rule; and Description Like '%MHCHILDCARELLC%';Day Care"/>
    <m/>
  </r>
  <r>
    <x v="17"/>
    <d v="2021-03-02T00:00:00"/>
    <s v="Cash Rewards Visa Signature"/>
    <x v="53"/>
    <n v="176.17"/>
    <x v="26"/>
    <m/>
    <m/>
    <m/>
    <n v="176.17"/>
    <b v="0"/>
    <m/>
    <m/>
    <s v="-"/>
    <x v="53"/>
    <s v="Create Rule; and Description='Total Wine and More';Groceries"/>
    <m/>
  </r>
  <r>
    <x v="17"/>
    <d v="2021-03-02T00:00:00"/>
    <s v="Joint Tenant"/>
    <x v="138"/>
    <n v="26.97"/>
    <x v="26"/>
    <m/>
    <m/>
    <m/>
    <n v="26.97"/>
    <b v="0"/>
    <m/>
    <m/>
    <s v="-"/>
    <x v="137"/>
    <s v="Create Rule; and Description='VISA INC CLASS A';Dividend"/>
    <m/>
  </r>
  <r>
    <x v="17"/>
    <d v="2021-03-03T00:00:00"/>
    <s v="Cash Rewards Visa Signature"/>
    <x v="1258"/>
    <n v="100"/>
    <x v="26"/>
    <m/>
    <m/>
    <m/>
    <n v="100"/>
    <b v="0"/>
    <m/>
    <m/>
    <s v="-"/>
    <x v="1192"/>
    <s v="Manual"/>
    <m/>
  </r>
  <r>
    <x v="17"/>
    <d v="2021-03-03T00:00:00"/>
    <s v="POWERPLUS"/>
    <x v="1259"/>
    <n v="-2167.65"/>
    <x v="26"/>
    <m/>
    <m/>
    <m/>
    <n v="2167.65"/>
    <b v="0"/>
    <m/>
    <m/>
    <s v="+"/>
    <x v="1193"/>
    <s v="Create Rule; and Description Like '%CARGILL COCOA TYPE DIR DEP ID%';Inc - Britney"/>
    <m/>
  </r>
  <r>
    <x v="17"/>
    <d v="2021-03-03T00:00:00"/>
    <s v="Cash Rewards Visa Signature"/>
    <x v="1222"/>
    <n v="18"/>
    <x v="26"/>
    <m/>
    <m/>
    <m/>
    <n v="18"/>
    <b v="0"/>
    <m/>
    <m/>
    <s v="-"/>
    <x v="1160"/>
    <s v="Manual"/>
    <m/>
  </r>
  <r>
    <x v="17"/>
    <d v="2021-03-03T00:00:00"/>
    <s v="POWERPLUS"/>
    <x v="157"/>
    <n v="10.79"/>
    <x v="8"/>
    <m/>
    <m/>
    <m/>
    <n v="10.79"/>
    <b v="0"/>
    <m/>
    <m/>
    <s v="-"/>
    <x v="156"/>
    <s v="Create Rule; and Description Like '%PayPal%';Shopping"/>
    <m/>
  </r>
  <r>
    <x v="17"/>
    <d v="2021-03-03T00:00:00"/>
    <s v="POWERPLUS"/>
    <x v="515"/>
    <n v="-1150"/>
    <x v="26"/>
    <m/>
    <m/>
    <m/>
    <n v="1150"/>
    <b v="0"/>
    <m/>
    <m/>
    <s v="+"/>
    <x v="496"/>
    <s v="Create Rule; and Description='Share';Delete"/>
    <m/>
  </r>
  <r>
    <x v="17"/>
    <d v="2021-03-03T00:00:00"/>
    <s v="Cash Rewards Visa Signature"/>
    <x v="2"/>
    <n v="9.73"/>
    <x v="2"/>
    <m/>
    <m/>
    <m/>
    <n v="9.73"/>
    <b v="0"/>
    <m/>
    <m/>
    <s v="-"/>
    <x v="2"/>
    <s v="Create Rule; and Description='Speedway';Transportation"/>
    <m/>
  </r>
  <r>
    <x v="17"/>
    <d v="2021-03-03T00:00:00"/>
    <s v="Cash Rewards Visa Signature"/>
    <x v="2"/>
    <n v="33.200000000000003"/>
    <x v="2"/>
    <m/>
    <m/>
    <m/>
    <n v="33.200000000000003"/>
    <b v="0"/>
    <m/>
    <m/>
    <s v="-"/>
    <x v="2"/>
    <s v="Create Rule; and Description='Speedway';Transportation"/>
    <m/>
  </r>
  <r>
    <x v="17"/>
    <d v="2021-03-03T00:00:00"/>
    <s v="RAINY DAY"/>
    <x v="953"/>
    <n v="1150"/>
    <x v="26"/>
    <m/>
    <m/>
    <m/>
    <n v="1150"/>
    <b v="0"/>
    <m/>
    <m/>
    <s v="-"/>
    <x v="916"/>
    <s v="Manual"/>
    <m/>
  </r>
  <r>
    <x v="17"/>
    <d v="2021-03-04T00:00:00"/>
    <s v="Cash Rewards Visa Signature"/>
    <x v="936"/>
    <n v="-390.29"/>
    <x v="26"/>
    <m/>
    <m/>
    <m/>
    <n v="390.29"/>
    <b v="0"/>
    <m/>
    <m/>
    <s v="+"/>
    <x v="900"/>
    <s v="Delete; and Description Like '%PAYMENT THANK YOU%';0"/>
    <m/>
  </r>
  <r>
    <x v="17"/>
    <d v="2021-03-04T00:00:00"/>
    <s v="POWERPLUS"/>
    <x v="937"/>
    <n v="390.29"/>
    <x v="26"/>
    <m/>
    <m/>
    <m/>
    <n v="390.29"/>
    <b v="0"/>
    <m/>
    <m/>
    <s v="-"/>
    <x v="901"/>
    <s v="Delete; and Description Like '%Withdrawal Home payment to card%';0"/>
    <m/>
  </r>
  <r>
    <x v="17"/>
    <d v="2021-03-04T00:00:00"/>
    <s v="Cash Rewards Visa Signature"/>
    <x v="55"/>
    <n v="32.56"/>
    <x v="5"/>
    <m/>
    <m/>
    <m/>
    <n v="32.56"/>
    <b v="0"/>
    <m/>
    <m/>
    <s v="-"/>
    <x v="55"/>
    <s v="Create Rule; and Description='Walgreens';Shopping"/>
    <m/>
  </r>
  <r>
    <x v="17"/>
    <d v="2021-03-05T00:00:00"/>
    <s v="Joint Tenant"/>
    <x v="185"/>
    <n v="-200"/>
    <x v="26"/>
    <m/>
    <m/>
    <m/>
    <n v="200"/>
    <b v="0"/>
    <m/>
    <m/>
    <s v="+"/>
    <x v="184"/>
    <s v="Create Rule; and Description='CARGILL COCOA &amp;';Roth"/>
    <m/>
  </r>
  <r>
    <x v="17"/>
    <d v="2021-03-05T00:00:00"/>
    <s v="Cash Rewards Visa Signature"/>
    <x v="1260"/>
    <n v="69.05"/>
    <x v="26"/>
    <m/>
    <m/>
    <m/>
    <n v="69.05"/>
    <b v="0"/>
    <m/>
    <m/>
    <s v="-"/>
    <x v="1194"/>
    <s v="Manual"/>
    <m/>
  </r>
  <r>
    <x v="17"/>
    <d v="2021-03-05T00:00:00"/>
    <s v="Joint Tenant"/>
    <x v="20"/>
    <n v="200"/>
    <x v="26"/>
    <m/>
    <m/>
    <m/>
    <n v="200"/>
    <b v="0"/>
    <m/>
    <m/>
    <s v="-"/>
    <x v="20"/>
    <s v="Delete; and Description='SCHWAB TOTAL STOCK MKT INDEX' and inflowoutflow='-';0"/>
    <m/>
  </r>
  <r>
    <x v="17"/>
    <d v="2021-03-05T00:00:00"/>
    <s v="Joint Tenant"/>
    <x v="190"/>
    <n v="-20.93"/>
    <x v="26"/>
    <m/>
    <m/>
    <m/>
    <n v="20.93"/>
    <b v="0"/>
    <m/>
    <m/>
    <s v="+"/>
    <x v="189"/>
    <s v="Create Rule; and Description='STARBUCKS CORP';Restaurants"/>
    <m/>
  </r>
  <r>
    <x v="17"/>
    <d v="2021-03-05T00:00:00"/>
    <s v="Contributory"/>
    <x v="51"/>
    <n v="-231"/>
    <x v="26"/>
    <m/>
    <m/>
    <m/>
    <n v="231"/>
    <b v="0"/>
    <m/>
    <m/>
    <s v="+"/>
    <x v="51"/>
    <s v="Create Rule; and Description='Tfr JPMORGAN CHASE BAN, CARGILL COCOA &amp;';Roth"/>
    <m/>
  </r>
  <r>
    <x v="17"/>
    <d v="2021-03-05T00:00:00"/>
    <s v="Cash Rewards Visa Signature"/>
    <x v="1261"/>
    <n v="13.27"/>
    <x v="26"/>
    <m/>
    <m/>
    <m/>
    <n v="13.27"/>
    <b v="0"/>
    <m/>
    <m/>
    <s v="-"/>
    <x v="1195"/>
    <s v="Manual"/>
    <m/>
  </r>
  <r>
    <x v="17"/>
    <d v="2021-03-06T00:00:00"/>
    <s v="Discover"/>
    <x v="1262"/>
    <n v="10"/>
    <x v="26"/>
    <m/>
    <m/>
    <m/>
    <n v="10"/>
    <b v="0"/>
    <m/>
    <m/>
    <s v="-"/>
    <x v="1196"/>
    <s v="Manual"/>
    <m/>
  </r>
  <r>
    <x v="17"/>
    <d v="2021-03-06T00:00:00"/>
    <s v="Discover More Card"/>
    <x v="1262"/>
    <n v="10"/>
    <x v="26"/>
    <m/>
    <m/>
    <m/>
    <n v="10"/>
    <b v="0"/>
    <m/>
    <m/>
    <s v="-"/>
    <x v="1196"/>
    <m/>
    <m/>
  </r>
  <r>
    <x v="17"/>
    <d v="2021-03-07T00:00:00"/>
    <s v="Cash Rewards Visa Signature"/>
    <x v="1263"/>
    <n v="33"/>
    <x v="26"/>
    <m/>
    <m/>
    <m/>
    <n v="33"/>
    <b v="0"/>
    <m/>
    <m/>
    <s v="-"/>
    <x v="1197"/>
    <s v="Manual"/>
    <m/>
  </r>
  <r>
    <x v="17"/>
    <d v="2021-03-07T00:00:00"/>
    <s v="Discover"/>
    <x v="1264"/>
    <n v="10.66"/>
    <x v="26"/>
    <m/>
    <m/>
    <m/>
    <n v="10.66"/>
    <b v="0"/>
    <m/>
    <m/>
    <s v="-"/>
    <x v="1198"/>
    <s v="Manual"/>
    <m/>
  </r>
  <r>
    <x v="17"/>
    <d v="2021-03-07T00:00:00"/>
    <s v="Discover More Card"/>
    <x v="1264"/>
    <n v="10.66"/>
    <x v="26"/>
    <m/>
    <m/>
    <m/>
    <n v="10.66"/>
    <b v="0"/>
    <m/>
    <m/>
    <s v="-"/>
    <x v="1198"/>
    <m/>
    <m/>
  </r>
  <r>
    <x v="17"/>
    <d v="2021-03-07T00:00:00"/>
    <s v="Cash Rewards Visa Signature"/>
    <x v="1265"/>
    <n v="17.87"/>
    <x v="26"/>
    <m/>
    <m/>
    <m/>
    <n v="17.87"/>
    <b v="0"/>
    <m/>
    <m/>
    <s v="-"/>
    <x v="1199"/>
    <s v="Manual"/>
    <m/>
  </r>
  <r>
    <x v="17"/>
    <d v="2021-03-07T00:00:00"/>
    <s v="Discover"/>
    <x v="1266"/>
    <n v="27.03"/>
    <x v="26"/>
    <m/>
    <m/>
    <m/>
    <n v="27.03"/>
    <b v="0"/>
    <m/>
    <m/>
    <s v="-"/>
    <x v="1200"/>
    <s v="Manual"/>
    <m/>
  </r>
  <r>
    <x v="17"/>
    <d v="2021-03-07T00:00:00"/>
    <s v="Discover More Card"/>
    <x v="1266"/>
    <n v="27.03"/>
    <x v="26"/>
    <m/>
    <m/>
    <m/>
    <n v="27.03"/>
    <b v="0"/>
    <m/>
    <m/>
    <s v="-"/>
    <x v="1200"/>
    <m/>
    <m/>
  </r>
  <r>
    <x v="17"/>
    <d v="2021-03-07T00:00:00"/>
    <s v="Cash Rewards Visa Signature"/>
    <x v="1267"/>
    <n v="52.5"/>
    <x v="26"/>
    <m/>
    <m/>
    <m/>
    <n v="52.5"/>
    <b v="0"/>
    <m/>
    <m/>
    <s v="-"/>
    <x v="1201"/>
    <s v="Manual"/>
    <m/>
  </r>
  <r>
    <x v="17"/>
    <d v="2021-03-07T00:00:00"/>
    <s v="Cash Rewards Visa Signature"/>
    <x v="1268"/>
    <n v="43.54"/>
    <x v="26"/>
    <m/>
    <m/>
    <m/>
    <n v="43.54"/>
    <b v="0"/>
    <m/>
    <m/>
    <s v="-"/>
    <x v="1202"/>
    <s v="Manual"/>
    <m/>
  </r>
  <r>
    <x v="17"/>
    <d v="2021-03-07T00:00:00"/>
    <s v="Cash Rewards Visa Signature"/>
    <x v="1268"/>
    <n v="49.42"/>
    <x v="26"/>
    <m/>
    <m/>
    <m/>
    <n v="49.42"/>
    <b v="0"/>
    <m/>
    <m/>
    <s v="-"/>
    <x v="1202"/>
    <s v="Manual"/>
    <m/>
  </r>
  <r>
    <x v="17"/>
    <d v="2021-03-08T00:00:00"/>
    <s v="Discover"/>
    <x v="0"/>
    <n v="86.93"/>
    <x v="0"/>
    <m/>
    <m/>
    <m/>
    <n v="86.93"/>
    <b v="0"/>
    <m/>
    <m/>
    <s v="-"/>
    <x v="0"/>
    <s v="Create Rule; and Description='Amazon';Amazon"/>
    <m/>
  </r>
  <r>
    <x v="17"/>
    <d v="2021-03-08T00:00:00"/>
    <s v="Discover More Card"/>
    <x v="0"/>
    <n v="86.93"/>
    <x v="0"/>
    <m/>
    <m/>
    <m/>
    <n v="86.93"/>
    <b v="0"/>
    <m/>
    <m/>
    <s v="-"/>
    <x v="0"/>
    <s v="Create Rule; and Description='Amazon';Amazon"/>
    <m/>
  </r>
  <r>
    <x v="17"/>
    <d v="2021-03-08T00:00:00"/>
    <s v="Discover"/>
    <x v="1269"/>
    <n v="18.59"/>
    <x v="26"/>
    <m/>
    <m/>
    <m/>
    <n v="18.59"/>
    <b v="0"/>
    <m/>
    <m/>
    <s v="-"/>
    <x v="1203"/>
    <s v="Manual"/>
    <m/>
  </r>
  <r>
    <x v="17"/>
    <d v="2021-03-08T00:00:00"/>
    <s v="Discover More Card"/>
    <x v="1269"/>
    <n v="18.59"/>
    <x v="26"/>
    <m/>
    <m/>
    <m/>
    <n v="18.59"/>
    <b v="0"/>
    <m/>
    <m/>
    <s v="-"/>
    <x v="1203"/>
    <m/>
    <m/>
  </r>
  <r>
    <x v="17"/>
    <d v="2021-03-08T00:00:00"/>
    <s v="Cash Rewards Visa Signature"/>
    <x v="1270"/>
    <n v="15.51"/>
    <x v="26"/>
    <m/>
    <m/>
    <m/>
    <n v="15.51"/>
    <b v="0"/>
    <m/>
    <m/>
    <s v="-"/>
    <x v="1204"/>
    <s v="Manual"/>
    <m/>
  </r>
  <r>
    <x v="17"/>
    <d v="2021-03-08T00:00:00"/>
    <s v="Joint Tenant"/>
    <x v="190"/>
    <n v="20.93"/>
    <x v="26"/>
    <m/>
    <m/>
    <m/>
    <n v="20.93"/>
    <b v="0"/>
    <m/>
    <m/>
    <s v="-"/>
    <x v="189"/>
    <s v="Create Rule; and Description='STARBUCKS CORP';Restaurants"/>
    <m/>
  </r>
  <r>
    <x v="17"/>
    <d v="2021-03-08T00:00:00"/>
    <s v="Cash Rewards Visa Signature"/>
    <x v="1271"/>
    <n v="10.11"/>
    <x v="26"/>
    <m/>
    <m/>
    <m/>
    <n v="10.11"/>
    <b v="0"/>
    <m/>
    <m/>
    <s v="-"/>
    <x v="1205"/>
    <s v="Manual"/>
    <m/>
  </r>
  <r>
    <x v="17"/>
    <d v="2021-03-08T00:00:00"/>
    <s v="POWERPLUS"/>
    <x v="29"/>
    <n v="26.96"/>
    <x v="8"/>
    <m/>
    <m/>
    <m/>
    <n v="26.96"/>
    <b v="0"/>
    <m/>
    <m/>
    <s v="-"/>
    <x v="29"/>
    <s v="Manual"/>
    <m/>
  </r>
  <r>
    <x v="17"/>
    <d v="2021-03-08T00:00:00"/>
    <s v="Cash Rewards Visa Signature"/>
    <x v="1262"/>
    <n v="10"/>
    <x v="26"/>
    <m/>
    <m/>
    <m/>
    <n v="10"/>
    <b v="0"/>
    <m/>
    <m/>
    <s v="-"/>
    <x v="1196"/>
    <s v="Manual"/>
    <m/>
  </r>
  <r>
    <x v="17"/>
    <d v="2021-03-09T00:00:00"/>
    <s v="Discover"/>
    <x v="0"/>
    <n v="20.77"/>
    <x v="0"/>
    <m/>
    <m/>
    <m/>
    <n v="20.77"/>
    <b v="0"/>
    <m/>
    <m/>
    <s v="-"/>
    <x v="0"/>
    <s v="Create Rule; and Description='Amazon';Amazon"/>
    <m/>
  </r>
  <r>
    <x v="17"/>
    <d v="2021-03-09T00:00:00"/>
    <s v="Discover More Card"/>
    <x v="0"/>
    <n v="20.77"/>
    <x v="0"/>
    <m/>
    <m/>
    <m/>
    <n v="20.77"/>
    <b v="0"/>
    <m/>
    <m/>
    <s v="-"/>
    <x v="0"/>
    <s v="Create Rule; and Description='Amazon';Amazon"/>
    <m/>
  </r>
  <r>
    <x v="17"/>
    <d v="2021-03-09T00:00:00"/>
    <s v="POWERPLUS"/>
    <x v="157"/>
    <n v="7.55"/>
    <x v="8"/>
    <m/>
    <m/>
    <m/>
    <n v="7.55"/>
    <b v="0"/>
    <m/>
    <m/>
    <s v="-"/>
    <x v="156"/>
    <s v="Create Rule; and Description Like '%PayPal%';Shopping"/>
    <m/>
  </r>
  <r>
    <x v="17"/>
    <d v="2021-03-09T00:00:00"/>
    <s v="Cash Rewards Visa Signature"/>
    <x v="838"/>
    <n v="53.33"/>
    <x v="29"/>
    <m/>
    <m/>
    <m/>
    <n v="53.33"/>
    <b v="0"/>
    <m/>
    <m/>
    <s v="-"/>
    <x v="806"/>
    <s v="Manual"/>
    <m/>
  </r>
  <r>
    <x v="17"/>
    <d v="2021-03-09T00:00:00"/>
    <s v="POWERPLUS"/>
    <x v="30"/>
    <n v="110.41"/>
    <x v="11"/>
    <m/>
    <m/>
    <m/>
    <n v="110.41"/>
    <b v="0"/>
    <m/>
    <m/>
    <s v="-"/>
    <x v="30"/>
    <s v="Create Rule; and Description='Xcel Energy';Utilities"/>
    <m/>
  </r>
  <r>
    <x v="17"/>
    <d v="2021-03-10T00:00:00"/>
    <s v="Discover"/>
    <x v="93"/>
    <n v="-21.81"/>
    <x v="26"/>
    <m/>
    <m/>
    <m/>
    <n v="21.81"/>
    <b v="0"/>
    <m/>
    <m/>
    <s v="+"/>
    <x v="93"/>
    <s v="Delete; and Description='CASHBACK BONUS REDEMPTION payment/STMT CRDT';0"/>
    <m/>
  </r>
  <r>
    <x v="17"/>
    <d v="2021-03-10T00:00:00"/>
    <s v="Discover More Card"/>
    <x v="93"/>
    <n v="-21.81"/>
    <x v="26"/>
    <m/>
    <m/>
    <m/>
    <n v="21.81"/>
    <b v="0"/>
    <m/>
    <m/>
    <s v="+"/>
    <x v="93"/>
    <s v="Delete; and Description='CASHBACK BONUS REDEMPTION payment/STMT CRDT';0"/>
    <m/>
  </r>
  <r>
    <x v="17"/>
    <d v="2021-03-10T00:00:00"/>
    <s v="Discover"/>
    <x v="56"/>
    <n v="-535.99"/>
    <x v="3"/>
    <m/>
    <m/>
    <m/>
    <n v="535.99"/>
    <b v="0"/>
    <m/>
    <m/>
    <s v="+"/>
    <x v="56"/>
    <s v="Delete; and Description='INTERNET PAYMENT - THANK YOU';0"/>
    <m/>
  </r>
  <r>
    <x v="17"/>
    <d v="2021-03-10T00:00:00"/>
    <s v="Discover More Card"/>
    <x v="56"/>
    <n v="-535.99"/>
    <x v="3"/>
    <m/>
    <m/>
    <m/>
    <n v="535.99"/>
    <b v="0"/>
    <m/>
    <m/>
    <s v="+"/>
    <x v="56"/>
    <s v="Delete; and Description='INTERNET PAYMENT - THANK YOU';0"/>
    <m/>
  </r>
  <r>
    <x v="17"/>
    <d v="2021-03-10T00:00:00"/>
    <s v="Discover"/>
    <x v="67"/>
    <n v="45"/>
    <x v="11"/>
    <m/>
    <m/>
    <m/>
    <n v="45"/>
    <b v="0"/>
    <m/>
    <m/>
    <s v="-"/>
    <x v="67"/>
    <s v="Create Rule; and Description='CenturyLink';Utilities"/>
    <m/>
  </r>
  <r>
    <x v="17"/>
    <d v="2021-03-10T00:00:00"/>
    <s v="Discover More Card"/>
    <x v="67"/>
    <n v="45"/>
    <x v="11"/>
    <m/>
    <m/>
    <m/>
    <n v="45"/>
    <b v="0"/>
    <m/>
    <m/>
    <s v="-"/>
    <x v="67"/>
    <s v="Create Rule; and Description='CenturyLink';Utilities"/>
    <m/>
  </r>
  <r>
    <x v="17"/>
    <d v="2021-03-10T00:00:00"/>
    <s v="Joint Tenant"/>
    <x v="245"/>
    <n v="-58.97"/>
    <x v="26"/>
    <m/>
    <m/>
    <m/>
    <n v="58.97"/>
    <b v="0"/>
    <m/>
    <m/>
    <s v="+"/>
    <x v="243"/>
    <s v="Create Rule; and Description='CHEVRON CORP';Dividend"/>
    <m/>
  </r>
  <r>
    <x v="17"/>
    <d v="2021-03-10T00:00:00"/>
    <s v="Cash Rewards Visa Signature"/>
    <x v="79"/>
    <n v="42"/>
    <x v="28"/>
    <m/>
    <m/>
    <m/>
    <n v="42"/>
    <b v="0"/>
    <m/>
    <m/>
    <s v="-"/>
    <x v="79"/>
    <s v="Create Rule; and Description='Elite Nails';Entertainment"/>
    <m/>
  </r>
  <r>
    <x v="17"/>
    <d v="2021-03-10T00:00:00"/>
    <s v="Joint Tenant"/>
    <x v="476"/>
    <n v="-100"/>
    <x v="26"/>
    <m/>
    <m/>
    <m/>
    <n v="100"/>
    <b v="0"/>
    <m/>
    <m/>
    <s v="+"/>
    <x v="459"/>
    <s v="Delete; and Source='Joint Tenant';0"/>
    <m/>
  </r>
  <r>
    <x v="17"/>
    <d v="2021-03-10T00:00:00"/>
    <s v="POWERPLUS"/>
    <x v="28"/>
    <n v="-31.43"/>
    <x v="26"/>
    <m/>
    <m/>
    <m/>
    <n v="31.43"/>
    <b v="0"/>
    <m/>
    <m/>
    <s v="+"/>
    <x v="28"/>
    <s v="Manual"/>
    <m/>
  </r>
  <r>
    <x v="17"/>
    <d v="2021-03-10T00:00:00"/>
    <s v="POWERPLUS"/>
    <x v="1272"/>
    <n v="425"/>
    <x v="26"/>
    <m/>
    <m/>
    <m/>
    <n v="425"/>
    <b v="0"/>
    <m/>
    <m/>
    <s v="-"/>
    <x v="1206"/>
    <s v="Create Rule; and Description Like '%MHCHILDCARELLC%';Day Care"/>
    <m/>
  </r>
  <r>
    <x v="17"/>
    <d v="2021-03-10T00:00:00"/>
    <s v="Investor Checking"/>
    <x v="361"/>
    <n v="-125"/>
    <x v="26"/>
    <m/>
    <m/>
    <m/>
    <n v="125"/>
    <b v="0"/>
    <m/>
    <m/>
    <s v="+"/>
    <x v="352"/>
    <s v="Manual"/>
    <m/>
  </r>
  <r>
    <x v="17"/>
    <d v="2021-03-11T00:00:00"/>
    <s v="POWERPLUS"/>
    <x v="1273"/>
    <n v="535.99"/>
    <x v="26"/>
    <m/>
    <m/>
    <m/>
    <n v="535.99"/>
    <b v="0"/>
    <m/>
    <m/>
    <s v="-"/>
    <x v="1207"/>
    <s v="Delete; and Description Like '%DISCOVER TYPE EPAYMENT%';0"/>
    <m/>
  </r>
  <r>
    <x v="17"/>
    <d v="2021-03-11T00:00:00"/>
    <s v="Discover"/>
    <x v="0"/>
    <n v="67.81"/>
    <x v="0"/>
    <m/>
    <m/>
    <m/>
    <n v="67.81"/>
    <b v="0"/>
    <m/>
    <m/>
    <s v="-"/>
    <x v="0"/>
    <s v="Create Rule; and Description='Amazon';Amazon"/>
    <m/>
  </r>
  <r>
    <x v="17"/>
    <d v="2021-03-11T00:00:00"/>
    <s v="Discover More Card"/>
    <x v="0"/>
    <n v="67.81"/>
    <x v="0"/>
    <m/>
    <m/>
    <m/>
    <n v="67.81"/>
    <b v="0"/>
    <m/>
    <m/>
    <s v="-"/>
    <x v="0"/>
    <s v="Create Rule; and Description='Amazon';Amazon"/>
    <m/>
  </r>
  <r>
    <x v="17"/>
    <d v="2021-03-11T00:00:00"/>
    <s v="Cash Rewards Visa Signature"/>
    <x v="980"/>
    <n v="108.66"/>
    <x v="26"/>
    <m/>
    <m/>
    <m/>
    <n v="108.66"/>
    <b v="0"/>
    <m/>
    <m/>
    <s v="-"/>
    <x v="940"/>
    <s v="Create Rule; and Description Like '%AVOADVOCARE INTL%';Groceries"/>
    <m/>
  </r>
  <r>
    <x v="17"/>
    <d v="2021-03-11T00:00:00"/>
    <s v="Joint Tenant"/>
    <x v="245"/>
    <n v="58.97"/>
    <x v="26"/>
    <m/>
    <m/>
    <m/>
    <n v="58.97"/>
    <b v="0"/>
    <m/>
    <m/>
    <s v="-"/>
    <x v="243"/>
    <s v="Create Rule; and Description='CHEVRON CORP';Dividend"/>
    <m/>
  </r>
  <r>
    <x v="17"/>
    <d v="2021-03-11T00:00:00"/>
    <s v="Cash Rewards Visa Signature"/>
    <x v="259"/>
    <n v="34.799999999999997"/>
    <x v="26"/>
    <m/>
    <m/>
    <m/>
    <n v="34.799999999999997"/>
    <b v="0"/>
    <m/>
    <m/>
    <s v="-"/>
    <x v="257"/>
    <s v="Create Rule; and Description Like '%Etsy.com%';Shopping"/>
    <m/>
  </r>
  <r>
    <x v="17"/>
    <d v="2021-03-11T00:00:00"/>
    <s v="POWERPLUS"/>
    <x v="29"/>
    <n v="36"/>
    <x v="8"/>
    <m/>
    <m/>
    <m/>
    <n v="36"/>
    <b v="0"/>
    <m/>
    <m/>
    <s v="-"/>
    <x v="29"/>
    <s v="Manual"/>
    <m/>
  </r>
  <r>
    <x v="17"/>
    <d v="2021-03-11T00:00:00"/>
    <s v="Cash Rewards Visa Signature"/>
    <x v="1274"/>
    <n v="47.32"/>
    <x v="26"/>
    <m/>
    <m/>
    <m/>
    <n v="47.32"/>
    <b v="0"/>
    <m/>
    <m/>
    <s v="-"/>
    <x v="1208"/>
    <s v="Manual"/>
    <m/>
  </r>
  <r>
    <x v="17"/>
    <d v="2021-03-12T00:00:00"/>
    <s v="Cash Rewards Visa Signature"/>
    <x v="980"/>
    <n v="146.31"/>
    <x v="26"/>
    <m/>
    <m/>
    <m/>
    <n v="146.31"/>
    <b v="0"/>
    <m/>
    <m/>
    <s v="-"/>
    <x v="940"/>
    <s v="Create Rule; and Description Like '%AVOADVOCARE INTL%';Groceries"/>
    <m/>
  </r>
  <r>
    <x v="17"/>
    <d v="2021-03-12T00:00:00"/>
    <s v="Cash Rewards Visa Signature"/>
    <x v="258"/>
    <n v="45.39"/>
    <x v="26"/>
    <m/>
    <m/>
    <m/>
    <n v="45.39"/>
    <b v="0"/>
    <m/>
    <m/>
    <s v="-"/>
    <x v="256"/>
    <s v="Create Rule; and Description Like '%Hobby Lobby%';Shopping"/>
    <m/>
  </r>
  <r>
    <x v="17"/>
    <d v="2021-03-12T00:00:00"/>
    <s v="Cash Rewards Visa Signature"/>
    <x v="53"/>
    <n v="83.01"/>
    <x v="26"/>
    <m/>
    <m/>
    <m/>
    <n v="83.01"/>
    <b v="0"/>
    <m/>
    <m/>
    <s v="-"/>
    <x v="53"/>
    <s v="Create Rule; and Description='Total Wine and More';Groceries"/>
    <m/>
  </r>
  <r>
    <x v="17"/>
    <d v="2021-03-14T00:00:00"/>
    <s v="Cash Rewards Visa Signature"/>
    <x v="936"/>
    <n v="-907.65"/>
    <x v="26"/>
    <m/>
    <m/>
    <m/>
    <n v="907.65"/>
    <b v="0"/>
    <m/>
    <m/>
    <s v="+"/>
    <x v="900"/>
    <s v="Delete; and Description Like '%PAYMENT THANK YOU%';0"/>
    <m/>
  </r>
  <r>
    <x v="17"/>
    <d v="2021-03-14T00:00:00"/>
    <s v="POWERPLUS"/>
    <x v="937"/>
    <n v="907.65"/>
    <x v="26"/>
    <m/>
    <m/>
    <m/>
    <n v="907.65"/>
    <b v="0"/>
    <m/>
    <m/>
    <s v="-"/>
    <x v="901"/>
    <s v="Delete; and Description Like '%Withdrawal Home payment to card%';0"/>
    <m/>
  </r>
  <r>
    <x v="17"/>
    <d v="2021-03-14T00:00:00"/>
    <s v="POWERPLUS"/>
    <x v="1275"/>
    <n v="-2276.16"/>
    <x v="26"/>
    <m/>
    <m/>
    <m/>
    <n v="2276.16"/>
    <b v="0"/>
    <m/>
    <m/>
    <s v="+"/>
    <x v="910"/>
    <s v="Create Rule; and Description Like '%CONNECTED ANALYT%';Jeff"/>
    <m/>
  </r>
  <r>
    <x v="17"/>
    <d v="2021-03-14T00:00:00"/>
    <s v="Cash Rewards Visa Signature"/>
    <x v="152"/>
    <n v="15.25"/>
    <x v="26"/>
    <m/>
    <m/>
    <m/>
    <n v="15.25"/>
    <b v="0"/>
    <m/>
    <m/>
    <s v="-"/>
    <x v="151"/>
    <s v="Create Rule; and Description='Excelsior Brewing';Restaurants"/>
    <m/>
  </r>
  <r>
    <x v="17"/>
    <d v="2021-03-14T00:00:00"/>
    <s v="Cash Rewards Visa Signature"/>
    <x v="53"/>
    <n v="43.94"/>
    <x v="26"/>
    <m/>
    <m/>
    <m/>
    <n v="43.94"/>
    <b v="0"/>
    <m/>
    <m/>
    <s v="-"/>
    <x v="53"/>
    <s v="Create Rule; and Description='Total Wine and More';Groceries"/>
    <m/>
  </r>
  <r>
    <x v="17"/>
    <d v="2021-03-15T00:00:00"/>
    <s v="POWERPLUS"/>
    <x v="48"/>
    <n v="96.43"/>
    <x v="16"/>
    <m/>
    <m/>
    <m/>
    <n v="96.43"/>
    <b v="0"/>
    <m/>
    <m/>
    <s v="-"/>
    <x v="48"/>
    <s v="Create Rule; and Description='American Family Insurance';Insurance"/>
    <m/>
  </r>
  <r>
    <x v="17"/>
    <d v="2021-03-15T00:00:00"/>
    <s v="Joint Tenant"/>
    <x v="950"/>
    <n v="-250"/>
    <x v="26"/>
    <m/>
    <m/>
    <m/>
    <n v="250"/>
    <b v="0"/>
    <m/>
    <m/>
    <s v="+"/>
    <x v="913"/>
    <s v="Create Rule; and Description Like '%CONNECTED ANALYT%';Inc - Jeff"/>
    <m/>
  </r>
  <r>
    <x v="17"/>
    <d v="2021-03-15T00:00:00"/>
    <s v="Joint Tenant"/>
    <x v="476"/>
    <n v="-50"/>
    <x v="26"/>
    <m/>
    <m/>
    <m/>
    <n v="50"/>
    <b v="0"/>
    <m/>
    <m/>
    <s v="+"/>
    <x v="459"/>
    <s v="Delete; and Source='Joint Tenant';0"/>
    <m/>
  </r>
  <r>
    <x v="17"/>
    <d v="2021-03-15T00:00:00"/>
    <s v="Joint Tenant"/>
    <x v="476"/>
    <n v="-100"/>
    <x v="26"/>
    <m/>
    <m/>
    <m/>
    <n v="100"/>
    <b v="0"/>
    <m/>
    <m/>
    <s v="+"/>
    <x v="459"/>
    <s v="Delete; and Source='Joint Tenant';0"/>
    <m/>
  </r>
  <r>
    <x v="17"/>
    <d v="2021-03-15T00:00:00"/>
    <s v="Jeff IRA"/>
    <x v="951"/>
    <n v="-250"/>
    <x v="26"/>
    <m/>
    <m/>
    <m/>
    <n v="250"/>
    <b v="0"/>
    <m/>
    <m/>
    <s v="+"/>
    <x v="914"/>
    <s v="Create Rule; and Description Like '%CONNECTED ANALYT%';Inc - Jeff"/>
    <m/>
  </r>
  <r>
    <x v="17"/>
    <d v="2021-03-15T00:00:00"/>
    <s v="Cash Rewards Visa Signature"/>
    <x v="1024"/>
    <n v="77.790000000000006"/>
    <x v="26"/>
    <m/>
    <m/>
    <m/>
    <n v="77.790000000000006"/>
    <b v="0"/>
    <m/>
    <m/>
    <s v="-"/>
    <x v="980"/>
    <s v="Create Rule; and Description Like '%TST OLIVE S FRESH%';Restaurants"/>
    <m/>
  </r>
  <r>
    <x v="17"/>
    <d v="2021-03-15T00:00:00"/>
    <s v="POWERPLUS"/>
    <x v="29"/>
    <n v="60"/>
    <x v="8"/>
    <m/>
    <m/>
    <m/>
    <n v="60"/>
    <b v="0"/>
    <m/>
    <m/>
    <s v="-"/>
    <x v="29"/>
    <s v="Manual"/>
    <m/>
  </r>
  <r>
    <x v="17"/>
    <d v="2021-03-15T00:00:00"/>
    <s v="POWERPLUS"/>
    <x v="29"/>
    <n v="75"/>
    <x v="8"/>
    <m/>
    <m/>
    <m/>
    <n v="75"/>
    <b v="0"/>
    <m/>
    <m/>
    <s v="-"/>
    <x v="29"/>
    <s v="Manual"/>
    <m/>
  </r>
  <r>
    <x v="17"/>
    <d v="2021-03-16T00:00:00"/>
    <s v="Discover"/>
    <x v="0"/>
    <n v="31.68"/>
    <x v="0"/>
    <m/>
    <m/>
    <m/>
    <n v="31.68"/>
    <b v="0"/>
    <m/>
    <m/>
    <s v="-"/>
    <x v="0"/>
    <s v="Create Rule; and Description='Amazon';Amazon"/>
    <m/>
  </r>
  <r>
    <x v="17"/>
    <d v="2021-03-16T00:00:00"/>
    <s v="Discover More Card"/>
    <x v="0"/>
    <n v="31.68"/>
    <x v="0"/>
    <m/>
    <m/>
    <m/>
    <n v="31.68"/>
    <b v="0"/>
    <m/>
    <m/>
    <s v="-"/>
    <x v="0"/>
    <s v="Create Rule; and Description='Amazon';Amazon"/>
    <m/>
  </r>
  <r>
    <x v="17"/>
    <d v="2021-03-16T00:00:00"/>
    <s v="Contributory"/>
    <x v="1276"/>
    <n v="-0.08"/>
    <x v="26"/>
    <m/>
    <m/>
    <m/>
    <n v="0.08"/>
    <b v="0"/>
    <m/>
    <m/>
    <s v="+"/>
    <x v="1209"/>
    <m/>
    <m/>
  </r>
  <r>
    <x v="17"/>
    <d v="2021-03-16T00:00:00"/>
    <s v="Jeff IRA"/>
    <x v="1276"/>
    <n v="-0.01"/>
    <x v="26"/>
    <m/>
    <m/>
    <m/>
    <n v="0.01"/>
    <b v="0"/>
    <m/>
    <m/>
    <s v="+"/>
    <x v="1209"/>
    <m/>
    <m/>
  </r>
  <r>
    <x v="17"/>
    <d v="2021-03-16T00:00:00"/>
    <s v="POWERPLUS"/>
    <x v="1277"/>
    <n v="425"/>
    <x v="26"/>
    <m/>
    <m/>
    <m/>
    <n v="425"/>
    <b v="0"/>
    <m/>
    <m/>
    <s v="-"/>
    <x v="1210"/>
    <s v="Create Rule; and Description Like '%MHCHILDCARELLC%';Day Care"/>
    <m/>
  </r>
  <r>
    <x v="17"/>
    <d v="2021-03-16T00:00:00"/>
    <s v="POWERPLUS"/>
    <x v="29"/>
    <n v="20"/>
    <x v="8"/>
    <m/>
    <m/>
    <m/>
    <n v="20"/>
    <b v="0"/>
    <m/>
    <m/>
    <s v="-"/>
    <x v="29"/>
    <s v="Manual"/>
    <m/>
  </r>
  <r>
    <x v="17"/>
    <d v="2021-03-17T00:00:00"/>
    <s v="POWERPLUS"/>
    <x v="1278"/>
    <n v="-2168.13"/>
    <x v="26"/>
    <m/>
    <m/>
    <m/>
    <n v="2168.13"/>
    <b v="0"/>
    <m/>
    <m/>
    <s v="+"/>
    <x v="1211"/>
    <s v="Create Rule; and Description Like '%CARGILL COCOA TYPE DIR DEP ID%';Inc - Britney"/>
    <m/>
  </r>
  <r>
    <x v="17"/>
    <d v="2021-03-17T00:00:00"/>
    <s v="Cash Rewards Visa Signature"/>
    <x v="823"/>
    <n v="43.83"/>
    <x v="2"/>
    <m/>
    <m/>
    <m/>
    <n v="43.83"/>
    <b v="0"/>
    <m/>
    <m/>
    <s v="-"/>
    <x v="792"/>
    <s v="Create Rule; and Description='Kwik Trip';Transportation"/>
    <m/>
  </r>
  <r>
    <x v="17"/>
    <d v="2021-03-17T00:00:00"/>
    <s v="POWERPLUS"/>
    <x v="157"/>
    <n v="8.58"/>
    <x v="8"/>
    <m/>
    <m/>
    <m/>
    <n v="8.58"/>
    <b v="0"/>
    <m/>
    <m/>
    <s v="-"/>
    <x v="156"/>
    <s v="Create Rule; and Description Like '%PayPal%';Shopping"/>
    <m/>
  </r>
  <r>
    <x v="17"/>
    <d v="2021-03-17T00:00:00"/>
    <s v="POWERPLUS"/>
    <x v="157"/>
    <n v="16.190000000000001"/>
    <x v="8"/>
    <m/>
    <m/>
    <m/>
    <n v="16.190000000000001"/>
    <b v="0"/>
    <m/>
    <m/>
    <s v="-"/>
    <x v="156"/>
    <s v="Create Rule; and Description Like '%PayPal%';Shopping"/>
    <m/>
  </r>
  <r>
    <x v="17"/>
    <d v="2021-03-17T00:00:00"/>
    <s v="POWERPLUS"/>
    <x v="29"/>
    <n v="260"/>
    <x v="8"/>
    <m/>
    <m/>
    <m/>
    <n v="260"/>
    <b v="0"/>
    <m/>
    <m/>
    <s v="-"/>
    <x v="29"/>
    <s v="Manual"/>
    <m/>
  </r>
  <r>
    <x v="17"/>
    <d v="2021-03-18T00:00:00"/>
    <s v="Discover"/>
    <x v="0"/>
    <n v="66.510000000000005"/>
    <x v="0"/>
    <m/>
    <m/>
    <m/>
    <n v="66.510000000000005"/>
    <b v="0"/>
    <m/>
    <m/>
    <s v="-"/>
    <x v="0"/>
    <s v="Create Rule; and Description='Amazon';Amazon"/>
    <m/>
  </r>
  <r>
    <x v="17"/>
    <d v="2021-03-18T00:00:00"/>
    <s v="Discover More Card"/>
    <x v="0"/>
    <n v="66.510000000000005"/>
    <x v="0"/>
    <m/>
    <m/>
    <m/>
    <n v="66.510000000000005"/>
    <b v="0"/>
    <m/>
    <m/>
    <s v="-"/>
    <x v="0"/>
    <s v="Create Rule; and Description='Amazon';Amazon"/>
    <m/>
  </r>
  <r>
    <x v="17"/>
    <d v="2021-03-18T00:00:00"/>
    <s v="Cash Rewards Visa Signature"/>
    <x v="240"/>
    <n v="30.28"/>
    <x v="26"/>
    <m/>
    <m/>
    <m/>
    <n v="30.28"/>
    <b v="0"/>
    <m/>
    <m/>
    <s v="-"/>
    <x v="238"/>
    <s v="Create Rule; and Description='Chipotle';Restaurants"/>
    <m/>
  </r>
  <r>
    <x v="17"/>
    <d v="2021-03-18T00:00:00"/>
    <s v="POWERPLUS"/>
    <x v="1279"/>
    <n v="200"/>
    <x v="26"/>
    <m/>
    <m/>
    <m/>
    <n v="200"/>
    <b v="0"/>
    <m/>
    <m/>
    <s v="-"/>
    <x v="1212"/>
    <s v="Create Rule; and Description Like '%MN DIR ACH%';College Savings"/>
    <m/>
  </r>
  <r>
    <x v="17"/>
    <d v="2021-03-18T00:00:00"/>
    <s v="RAINY DAY"/>
    <x v="515"/>
    <n v="-100"/>
    <x v="26"/>
    <m/>
    <m/>
    <m/>
    <n v="100"/>
    <b v="0"/>
    <m/>
    <m/>
    <s v="+"/>
    <x v="496"/>
    <s v="Create Rule; and Description='Share';Delete"/>
    <m/>
  </r>
  <r>
    <x v="17"/>
    <d v="2021-03-18T00:00:00"/>
    <s v="POWERPLUS"/>
    <x v="952"/>
    <n v="100"/>
    <x v="26"/>
    <m/>
    <m/>
    <m/>
    <n v="100"/>
    <b v="0"/>
    <m/>
    <m/>
    <s v="-"/>
    <x v="915"/>
    <s v="Create Rule; and Description='To Share 12';Delete"/>
    <m/>
  </r>
  <r>
    <x v="17"/>
    <d v="2021-03-19T00:00:00"/>
    <s v="Joint Tenant"/>
    <x v="185"/>
    <n v="-200"/>
    <x v="26"/>
    <m/>
    <m/>
    <m/>
    <n v="200"/>
    <b v="0"/>
    <m/>
    <m/>
    <s v="+"/>
    <x v="184"/>
    <s v="Create Rule; and Description='CARGILL COCOA &amp;';Roth"/>
    <m/>
  </r>
  <r>
    <x v="17"/>
    <d v="2021-03-19T00:00:00"/>
    <s v="Cash Rewards Visa Signature"/>
    <x v="255"/>
    <n v="131.71"/>
    <x v="5"/>
    <m/>
    <m/>
    <m/>
    <n v="131.71"/>
    <b v="0"/>
    <m/>
    <m/>
    <s v="-"/>
    <x v="253"/>
    <s v="Create Rule; and Description='Costco';Groceries"/>
    <m/>
  </r>
  <r>
    <x v="17"/>
    <d v="2021-03-19T00:00:00"/>
    <s v="Contributory"/>
    <x v="51"/>
    <n v="-231"/>
    <x v="26"/>
    <m/>
    <m/>
    <m/>
    <n v="231"/>
    <b v="0"/>
    <m/>
    <m/>
    <s v="+"/>
    <x v="51"/>
    <s v="Create Rule; and Description='Tfr JPMORGAN CHASE BAN, CARGILL COCOA &amp;';Roth"/>
    <m/>
  </r>
  <r>
    <x v="17"/>
    <d v="2021-03-19T00:00:00"/>
    <s v="POWERPLUS"/>
    <x v="29"/>
    <n v="81.12"/>
    <x v="8"/>
    <m/>
    <m/>
    <m/>
    <n v="81.12"/>
    <b v="0"/>
    <m/>
    <m/>
    <s v="-"/>
    <x v="29"/>
    <s v="Manual"/>
    <m/>
  </r>
  <r>
    <x v="17"/>
    <d v="2021-03-20T00:00:00"/>
    <s v="Discover"/>
    <x v="0"/>
    <n v="23.99"/>
    <x v="0"/>
    <m/>
    <m/>
    <m/>
    <n v="23.99"/>
    <b v="0"/>
    <m/>
    <m/>
    <s v="-"/>
    <x v="0"/>
    <s v="Create Rule; and Description='Amazon';Amazon"/>
    <m/>
  </r>
  <r>
    <x v="17"/>
    <d v="2021-03-20T00:00:00"/>
    <s v="Discover More Card"/>
    <x v="0"/>
    <n v="23.99"/>
    <x v="0"/>
    <m/>
    <m/>
    <m/>
    <n v="23.99"/>
    <b v="0"/>
    <m/>
    <m/>
    <s v="-"/>
    <x v="0"/>
    <s v="Create Rule; and Description='Amazon';Amazon"/>
    <m/>
  </r>
  <r>
    <x v="17"/>
    <d v="2021-03-20T00:00:00"/>
    <s v="Investor Checking"/>
    <x v="1280"/>
    <n v="102.25"/>
    <x v="26"/>
    <m/>
    <m/>
    <m/>
    <n v="102.25"/>
    <b v="0"/>
    <m/>
    <m/>
    <s v="-"/>
    <x v="1213"/>
    <s v="Manual"/>
    <m/>
  </r>
  <r>
    <x v="17"/>
    <d v="2021-03-21T00:00:00"/>
    <s v="Cash Rewards Visa Signature"/>
    <x v="60"/>
    <n v="80.09"/>
    <x v="26"/>
    <m/>
    <m/>
    <m/>
    <n v="80.09"/>
    <b v="0"/>
    <m/>
    <m/>
    <s v="-"/>
    <x v="60"/>
    <s v="Create Rule; and Description='Home Depot';House Maintenance"/>
    <m/>
  </r>
  <r>
    <x v="17"/>
    <d v="2021-03-21T00:00:00"/>
    <s v="Cash Rewards Visa Signature"/>
    <x v="1281"/>
    <n v="9.99"/>
    <x v="26"/>
    <m/>
    <m/>
    <m/>
    <n v="9.99"/>
    <b v="0"/>
    <m/>
    <m/>
    <s v="-"/>
    <x v="1214"/>
    <s v="Manual"/>
    <m/>
  </r>
  <r>
    <x v="17"/>
    <d v="2021-03-21T00:00:00"/>
    <s v="Cash Rewards Visa Signature"/>
    <x v="1281"/>
    <n v="36.49"/>
    <x v="26"/>
    <m/>
    <m/>
    <m/>
    <n v="36.49"/>
    <b v="0"/>
    <m/>
    <m/>
    <s v="-"/>
    <x v="1214"/>
    <s v="Manual"/>
    <m/>
  </r>
  <r>
    <x v="17"/>
    <d v="2021-03-22T00:00:00"/>
    <s v="Cash Rewards Visa Signature"/>
    <x v="1282"/>
    <n v="9"/>
    <x v="26"/>
    <m/>
    <m/>
    <m/>
    <n v="9"/>
    <b v="0"/>
    <m/>
    <m/>
    <s v="-"/>
    <x v="1215"/>
    <s v="Create Rule; and Description Like '%BONFES%';House Maintenance"/>
    <m/>
  </r>
  <r>
    <x v="17"/>
    <d v="2021-03-22T00:00:00"/>
    <s v="POWERPLUS"/>
    <x v="84"/>
    <n v="136.93"/>
    <x v="26"/>
    <m/>
    <m/>
    <m/>
    <n v="136.93"/>
    <b v="0"/>
    <m/>
    <m/>
    <s v="-"/>
    <x v="84"/>
    <s v="Create Rule; and Description='City of Chanhassen';Utilities"/>
    <m/>
  </r>
  <r>
    <x v="17"/>
    <d v="2021-03-22T00:00:00"/>
    <s v="POWERPLUS"/>
    <x v="157"/>
    <n v="5.39"/>
    <x v="8"/>
    <m/>
    <m/>
    <m/>
    <n v="5.39"/>
    <b v="0"/>
    <m/>
    <m/>
    <s v="-"/>
    <x v="156"/>
    <s v="Create Rule; and Description Like '%PayPal%';Shopping"/>
    <m/>
  </r>
  <r>
    <x v="17"/>
    <d v="2021-03-22T00:00:00"/>
    <s v="POWERPLUS"/>
    <x v="157"/>
    <n v="140"/>
    <x v="8"/>
    <m/>
    <m/>
    <m/>
    <n v="140"/>
    <b v="0"/>
    <m/>
    <m/>
    <s v="-"/>
    <x v="156"/>
    <s v="Create Rule; and Description Like '%PayPal%';Shopping"/>
    <m/>
  </r>
  <r>
    <x v="17"/>
    <d v="2021-03-22T00:00:00"/>
    <s v="Joint Tenant"/>
    <x v="19"/>
    <n v="200"/>
    <x v="26"/>
    <m/>
    <m/>
    <m/>
    <n v="200"/>
    <b v="0"/>
    <m/>
    <m/>
    <s v="-"/>
    <x v="19"/>
    <s v="Delete; and Description='SCHWAB S&amp;P 500 INDEX FD' and inflowoutflow='-';0"/>
    <m/>
  </r>
  <r>
    <x v="17"/>
    <d v="2021-03-22T00:00:00"/>
    <s v="Joint Tenant"/>
    <x v="20"/>
    <n v="200"/>
    <x v="26"/>
    <m/>
    <m/>
    <m/>
    <n v="200"/>
    <b v="0"/>
    <m/>
    <m/>
    <s v="-"/>
    <x v="20"/>
    <s v="Delete; and Description='SCHWAB TOTAL STOCK MKT INDEX' and inflowoutflow='-';0"/>
    <m/>
  </r>
  <r>
    <x v="17"/>
    <d v="2021-03-22T00:00:00"/>
    <s v="Cash Rewards Visa Signature"/>
    <x v="1283"/>
    <n v="10.01"/>
    <x v="2"/>
    <m/>
    <m/>
    <m/>
    <n v="10.01"/>
    <b v="0"/>
    <m/>
    <m/>
    <s v="-"/>
    <x v="1216"/>
    <s v="Manual"/>
    <m/>
  </r>
  <r>
    <x v="17"/>
    <d v="2021-03-22T00:00:00"/>
    <s v="Cash Rewards Visa Signature"/>
    <x v="1283"/>
    <n v="26.61"/>
    <x v="2"/>
    <m/>
    <m/>
    <m/>
    <n v="26.61"/>
    <b v="0"/>
    <m/>
    <m/>
    <s v="-"/>
    <x v="1216"/>
    <s v="Manual"/>
    <m/>
  </r>
  <r>
    <x v="17"/>
    <d v="2021-03-22T00:00:00"/>
    <s v="POWERPLUS"/>
    <x v="29"/>
    <n v="28"/>
    <x v="8"/>
    <m/>
    <m/>
    <m/>
    <n v="28"/>
    <b v="0"/>
    <m/>
    <m/>
    <s v="-"/>
    <x v="29"/>
    <s v="Manual"/>
    <m/>
  </r>
  <r>
    <x v="17"/>
    <d v="2021-03-22T00:00:00"/>
    <s v="POWERPLUS"/>
    <x v="29"/>
    <n v="50"/>
    <x v="8"/>
    <m/>
    <m/>
    <m/>
    <n v="50"/>
    <b v="0"/>
    <m/>
    <m/>
    <s v="-"/>
    <x v="29"/>
    <s v="Manual"/>
    <m/>
  </r>
  <r>
    <x v="17"/>
    <d v="2021-03-23T00:00:00"/>
    <s v="POWERPLUS"/>
    <x v="1284"/>
    <n v="425"/>
    <x v="26"/>
    <m/>
    <m/>
    <m/>
    <n v="425"/>
    <b v="0"/>
    <m/>
    <m/>
    <s v="-"/>
    <x v="1217"/>
    <s v="Create Rule; and Description Like '%MHCHILDCARELLC%';Day Care"/>
    <m/>
  </r>
  <r>
    <x v="17"/>
    <d v="2021-03-24T00:00:00"/>
    <s v="Discover More Card"/>
    <x v="0"/>
    <n v="7.8"/>
    <x v="0"/>
    <m/>
    <m/>
    <m/>
    <n v="7.8"/>
    <b v="0"/>
    <m/>
    <m/>
    <s v="-"/>
    <x v="0"/>
    <s v="Create Rule; and Description='Amazon';Amazon"/>
    <m/>
  </r>
  <r>
    <x v="17"/>
    <d v="2021-03-24T00:00:00"/>
    <s v="Discover More Card"/>
    <x v="0"/>
    <n v="9.61"/>
    <x v="0"/>
    <m/>
    <m/>
    <m/>
    <n v="9.61"/>
    <b v="0"/>
    <m/>
    <m/>
    <s v="-"/>
    <x v="0"/>
    <s v="Create Rule; and Description='Amazon';Amazon"/>
    <m/>
  </r>
  <r>
    <x v="17"/>
    <d v="2021-03-24T00:00:00"/>
    <s v="Discover"/>
    <x v="0"/>
    <n v="7.8"/>
    <x v="0"/>
    <m/>
    <m/>
    <m/>
    <n v="7.8"/>
    <b v="0"/>
    <m/>
    <m/>
    <s v="-"/>
    <x v="0"/>
    <s v="Create Rule; and Description='Amazon';Amazon"/>
    <m/>
  </r>
  <r>
    <x v="17"/>
    <d v="2021-03-24T00:00:00"/>
    <s v="Discover"/>
    <x v="0"/>
    <n v="9.61"/>
    <x v="0"/>
    <m/>
    <m/>
    <m/>
    <n v="9.61"/>
    <b v="0"/>
    <m/>
    <m/>
    <s v="-"/>
    <x v="0"/>
    <s v="Create Rule; and Description='Amazon';Amazon"/>
    <m/>
  </r>
  <r>
    <x v="17"/>
    <d v="2021-03-24T00:00:00"/>
    <s v="Joint Tenant"/>
    <x v="286"/>
    <n v="-0.01"/>
    <x v="26"/>
    <m/>
    <m/>
    <m/>
    <n v="0.01"/>
    <b v="0"/>
    <m/>
    <m/>
    <s v="+"/>
    <x v="279"/>
    <s v="Create Rule; and Description='HALLIBURTON CO HLDG';Dividend"/>
    <m/>
  </r>
  <r>
    <x v="17"/>
    <d v="2021-03-24T00:00:00"/>
    <s v="POWERPLUS"/>
    <x v="157"/>
    <n v="39.270000000000003"/>
    <x v="8"/>
    <m/>
    <m/>
    <m/>
    <n v="39.270000000000003"/>
    <b v="0"/>
    <m/>
    <m/>
    <s v="-"/>
    <x v="156"/>
    <s v="Create Rule; and Description Like '%PayPal%';Shopping"/>
    <m/>
  </r>
  <r>
    <x v="17"/>
    <d v="2021-03-25T00:00:00"/>
    <s v="Discover More Card"/>
    <x v="0"/>
    <n v="98.95"/>
    <x v="0"/>
    <m/>
    <m/>
    <m/>
    <n v="98.95"/>
    <b v="0"/>
    <m/>
    <m/>
    <s v="-"/>
    <x v="0"/>
    <s v="Create Rule; and Description='Amazon';Amazon"/>
    <m/>
  </r>
  <r>
    <x v="17"/>
    <d v="2021-03-25T00:00:00"/>
    <s v="Discover"/>
    <x v="0"/>
    <n v="98.95"/>
    <x v="0"/>
    <m/>
    <m/>
    <m/>
    <n v="98.95"/>
    <b v="0"/>
    <m/>
    <m/>
    <s v="-"/>
    <x v="0"/>
    <s v="Create Rule; and Description='Amazon';Amazon"/>
    <m/>
  </r>
  <r>
    <x v="17"/>
    <d v="2021-03-25T00:00:00"/>
    <s v="POWERPLUS"/>
    <x v="35"/>
    <n v="-75"/>
    <x v="26"/>
    <m/>
    <m/>
    <m/>
    <n v="75"/>
    <b v="0"/>
    <m/>
    <m/>
    <s v="+"/>
    <x v="35"/>
    <s v="Create Rule; and Description='Cargill Incorpor Type';Inc - Other"/>
    <m/>
  </r>
  <r>
    <x v="17"/>
    <d v="2021-03-25T00:00:00"/>
    <s v="Joint Tenant"/>
    <x v="286"/>
    <n v="0.01"/>
    <x v="26"/>
    <m/>
    <m/>
    <m/>
    <n v="0.01"/>
    <b v="0"/>
    <m/>
    <m/>
    <s v="-"/>
    <x v="279"/>
    <s v="Create Rule; and Description='HALLIBURTON CO HLDG';Dividend"/>
    <m/>
  </r>
  <r>
    <x v="17"/>
    <d v="2021-03-25T00:00:00"/>
    <s v="POWERPLUS"/>
    <x v="647"/>
    <n v="-284"/>
    <x v="26"/>
    <m/>
    <m/>
    <m/>
    <n v="284"/>
    <b v="0"/>
    <m/>
    <m/>
    <s v="+"/>
    <x v="625"/>
    <s v="Manual"/>
    <m/>
  </r>
  <r>
    <x v="17"/>
    <d v="2021-03-25T00:00:00"/>
    <s v="Joint Tenant"/>
    <x v="741"/>
    <n v="-70.38"/>
    <x v="26"/>
    <m/>
    <m/>
    <m/>
    <n v="70.38"/>
    <b v="0"/>
    <m/>
    <m/>
    <s v="+"/>
    <x v="714"/>
    <s v="Delete; and Source='Joint Tenant';0"/>
    <m/>
  </r>
  <r>
    <x v="17"/>
    <d v="2021-03-25T00:00:00"/>
    <s v="Discover More Card"/>
    <x v="2"/>
    <n v="44.07"/>
    <x v="2"/>
    <m/>
    <m/>
    <m/>
    <n v="44.07"/>
    <b v="0"/>
    <m/>
    <m/>
    <s v="-"/>
    <x v="2"/>
    <s v="Create Rule; and Description='Speedway';Transportation"/>
    <m/>
  </r>
  <r>
    <x v="17"/>
    <d v="2021-03-25T00:00:00"/>
    <s v="Discover"/>
    <x v="2"/>
    <n v="44.07"/>
    <x v="2"/>
    <m/>
    <m/>
    <m/>
    <n v="44.07"/>
    <b v="0"/>
    <m/>
    <m/>
    <s v="-"/>
    <x v="2"/>
    <s v="Create Rule; and Description='Speedway';Transportation"/>
    <m/>
  </r>
  <r>
    <x v="17"/>
    <d v="2021-03-25T00:00:00"/>
    <s v="POWERPLUS"/>
    <x v="29"/>
    <n v="66"/>
    <x v="8"/>
    <m/>
    <m/>
    <m/>
    <n v="66"/>
    <b v="0"/>
    <m/>
    <m/>
    <s v="-"/>
    <x v="29"/>
    <s v="Manual"/>
    <m/>
  </r>
  <r>
    <x v="17"/>
    <d v="2021-03-26T00:00:00"/>
    <s v="Cash Rewards Visa Signature"/>
    <x v="475"/>
    <n v="22"/>
    <x v="4"/>
    <m/>
    <m/>
    <m/>
    <n v="22"/>
    <b v="0"/>
    <m/>
    <m/>
    <s v="-"/>
    <x v="458"/>
    <s v="Create Rule; and Description='Foss Swim School';Day Care"/>
    <m/>
  </r>
  <r>
    <x v="17"/>
    <d v="2021-03-26T00:00:00"/>
    <s v="Discover More Card"/>
    <x v="99"/>
    <n v="8.99"/>
    <x v="11"/>
    <m/>
    <m/>
    <m/>
    <n v="8.99"/>
    <b v="0"/>
    <m/>
    <m/>
    <s v="-"/>
    <x v="99"/>
    <s v="Create Rule; and Description='Netflix';Utilities"/>
    <m/>
  </r>
  <r>
    <x v="17"/>
    <d v="2021-03-26T00:00:00"/>
    <s v="Discover"/>
    <x v="99"/>
    <n v="8.99"/>
    <x v="11"/>
    <m/>
    <m/>
    <m/>
    <n v="8.99"/>
    <b v="0"/>
    <m/>
    <m/>
    <s v="-"/>
    <x v="99"/>
    <s v="Create Rule; and Description='Netflix';Utilities"/>
    <m/>
  </r>
  <r>
    <x v="17"/>
    <d v="2021-03-26T00:00:00"/>
    <s v="Cash Rewards Visa Signature"/>
    <x v="1285"/>
    <n v="471.38"/>
    <x v="26"/>
    <m/>
    <m/>
    <m/>
    <n v="471.38"/>
    <b v="0"/>
    <m/>
    <m/>
    <s v="-"/>
    <x v="1218"/>
    <s v="Manual"/>
    <m/>
  </r>
  <r>
    <x v="17"/>
    <d v="2021-03-26T00:00:00"/>
    <s v="Joint Tenant"/>
    <x v="741"/>
    <n v="70.38"/>
    <x v="26"/>
    <m/>
    <m/>
    <m/>
    <n v="70.38"/>
    <b v="0"/>
    <m/>
    <m/>
    <s v="-"/>
    <x v="714"/>
    <s v="Delete; and Source='Joint Tenant';0"/>
    <m/>
  </r>
  <r>
    <x v="17"/>
    <d v="2021-03-26T00:00:00"/>
    <s v="POWERPLUS"/>
    <x v="34"/>
    <n v="466.95"/>
    <x v="12"/>
    <m/>
    <m/>
    <m/>
    <n v="466.95"/>
    <b v="0"/>
    <m/>
    <m/>
    <s v="-"/>
    <x v="34"/>
    <s v="Create Rule; and Description='Target';Target"/>
    <m/>
  </r>
  <r>
    <x v="17"/>
    <d v="2021-03-26T00:00:00"/>
    <s v="POWERPLUS"/>
    <x v="29"/>
    <n v="25"/>
    <x v="8"/>
    <m/>
    <m/>
    <m/>
    <n v="25"/>
    <b v="0"/>
    <m/>
    <m/>
    <s v="-"/>
    <x v="29"/>
    <s v="Manual"/>
    <m/>
  </r>
  <r>
    <x v="17"/>
    <d v="2021-03-28T00:00:00"/>
    <s v="Cash Rewards Visa Signature"/>
    <x v="1286"/>
    <n v="196.2"/>
    <x v="26"/>
    <m/>
    <m/>
    <m/>
    <n v="196.2"/>
    <b v="0"/>
    <m/>
    <m/>
    <s v="-"/>
    <x v="1219"/>
    <s v="Manual"/>
    <m/>
  </r>
  <r>
    <x v="17"/>
    <d v="2021-03-28T00:00:00"/>
    <s v="Cash Rewards Visa Signature"/>
    <x v="1287"/>
    <n v="12.12"/>
    <x v="26"/>
    <m/>
    <m/>
    <m/>
    <n v="12.12"/>
    <b v="0"/>
    <m/>
    <m/>
    <s v="-"/>
    <x v="1220"/>
    <s v="Manual"/>
    <m/>
  </r>
  <r>
    <x v="17"/>
    <d v="2021-03-28T00:00:00"/>
    <s v="Cash Rewards Visa Signature"/>
    <x v="1288"/>
    <n v="2.5"/>
    <x v="26"/>
    <m/>
    <m/>
    <m/>
    <n v="2.5"/>
    <b v="0"/>
    <m/>
    <m/>
    <s v="-"/>
    <x v="1221"/>
    <s v="Manual"/>
    <m/>
  </r>
  <r>
    <x v="17"/>
    <d v="2021-03-28T00:00:00"/>
    <s v="Cash Rewards Visa Signature"/>
    <x v="1288"/>
    <n v="4.5"/>
    <x v="26"/>
    <m/>
    <m/>
    <m/>
    <n v="4.5"/>
    <b v="0"/>
    <m/>
    <m/>
    <s v="-"/>
    <x v="1221"/>
    <s v="Manual"/>
    <m/>
  </r>
  <r>
    <x v="17"/>
    <d v="2021-03-28T00:00:00"/>
    <s v="Cash Rewards Visa Signature"/>
    <x v="1289"/>
    <n v="32.51"/>
    <x v="26"/>
    <m/>
    <m/>
    <m/>
    <n v="32.51"/>
    <b v="0"/>
    <m/>
    <m/>
    <s v="-"/>
    <x v="1222"/>
    <s v="Manual"/>
    <m/>
  </r>
  <r>
    <x v="17"/>
    <d v="2021-03-28T00:00:00"/>
    <s v="Cash Rewards Visa Signature"/>
    <x v="1290"/>
    <n v="53"/>
    <x v="26"/>
    <m/>
    <m/>
    <m/>
    <n v="53"/>
    <b v="0"/>
    <m/>
    <m/>
    <s v="-"/>
    <x v="1223"/>
    <s v="Manual"/>
    <m/>
  </r>
  <r>
    <x v="17"/>
    <d v="2021-03-28T00:00:00"/>
    <s v="Cash Rewards Visa Signature"/>
    <x v="1086"/>
    <n v="35.1"/>
    <x v="26"/>
    <m/>
    <m/>
    <m/>
    <n v="35.1"/>
    <b v="0"/>
    <m/>
    <m/>
    <s v="-"/>
    <x v="1035"/>
    <s v="Manual"/>
    <m/>
  </r>
  <r>
    <x v="17"/>
    <d v="2021-03-28T00:00:00"/>
    <s v="Cash Rewards Visa Signature"/>
    <x v="1291"/>
    <n v="105.52"/>
    <x v="26"/>
    <m/>
    <m/>
    <m/>
    <n v="105.52"/>
    <b v="0"/>
    <m/>
    <m/>
    <s v="-"/>
    <x v="1224"/>
    <s v="Manual"/>
    <m/>
  </r>
  <r>
    <x v="17"/>
    <d v="2021-03-29T00:00:00"/>
    <s v="Cash Rewards Visa Signature"/>
    <x v="70"/>
    <n v="187.87"/>
    <x v="26"/>
    <m/>
    <m/>
    <m/>
    <n v="187.87"/>
    <b v="0"/>
    <m/>
    <m/>
    <s v="-"/>
    <x v="70"/>
    <s v="Create Rule; and Description like '%Byerly%';Groceries"/>
    <m/>
  </r>
  <r>
    <x v="17"/>
    <d v="2021-03-29T00:00:00"/>
    <s v="POWERPLUS"/>
    <x v="1292"/>
    <n v="-2326.16"/>
    <x v="26"/>
    <m/>
    <m/>
    <m/>
    <n v="2326.16"/>
    <b v="0"/>
    <m/>
    <m/>
    <s v="+"/>
    <x v="910"/>
    <s v="Create Rule; and Description Like '%CONNECTED ANALYT%';Jeff"/>
    <m/>
  </r>
  <r>
    <x v="17"/>
    <d v="2021-03-29T00:00:00"/>
    <s v="POWERPLUS"/>
    <x v="656"/>
    <n v="-11357"/>
    <x v="26"/>
    <m/>
    <m/>
    <m/>
    <n v="11357"/>
    <b v="0"/>
    <m/>
    <m/>
    <s v="+"/>
    <x v="634"/>
    <s v="Manual"/>
    <m/>
  </r>
  <r>
    <x v="17"/>
    <d v="2021-03-29T00:00:00"/>
    <s v="POWERPLUS"/>
    <x v="157"/>
    <n v="0.99"/>
    <x v="8"/>
    <m/>
    <m/>
    <m/>
    <n v="0.99"/>
    <b v="0"/>
    <m/>
    <m/>
    <s v="-"/>
    <x v="156"/>
    <s v="Create Rule; and Description Like '%PayPal%';Shopping"/>
    <m/>
  </r>
  <r>
    <x v="17"/>
    <d v="2021-03-29T00:00:00"/>
    <s v="POWERPLUS"/>
    <x v="157"/>
    <n v="23.33"/>
    <x v="8"/>
    <m/>
    <m/>
    <m/>
    <n v="23.33"/>
    <b v="0"/>
    <m/>
    <m/>
    <s v="-"/>
    <x v="156"/>
    <s v="Create Rule; and Description Like '%PayPal%';Shopping"/>
    <m/>
  </r>
  <r>
    <x v="17"/>
    <d v="2021-03-29T00:00:00"/>
    <s v="Joint Tenant"/>
    <x v="300"/>
    <n v="-14.46"/>
    <x v="26"/>
    <m/>
    <m/>
    <m/>
    <n v="14.46"/>
    <b v="0"/>
    <m/>
    <m/>
    <s v="+"/>
    <x v="293"/>
    <s v="Create Rule; and Description='SCHWAB US SMALL CAP ETF';Dividend"/>
    <m/>
  </r>
  <r>
    <x v="17"/>
    <d v="2021-03-29T00:00:00"/>
    <s v="Cash Rewards Visa Signature"/>
    <x v="579"/>
    <n v="10"/>
    <x v="1"/>
    <m/>
    <m/>
    <m/>
    <n v="10"/>
    <b v="0"/>
    <m/>
    <m/>
    <s v="-"/>
    <x v="560"/>
    <s v="Create Rule; and Description='Starbucks';Restaurants"/>
    <m/>
  </r>
  <r>
    <x v="17"/>
    <d v="2021-03-29T00:00:00"/>
    <s v="POWERPLUS"/>
    <x v="29"/>
    <n v="80"/>
    <x v="8"/>
    <m/>
    <m/>
    <m/>
    <n v="80"/>
    <b v="0"/>
    <m/>
    <m/>
    <s v="-"/>
    <x v="29"/>
    <s v="Manual"/>
    <m/>
  </r>
  <r>
    <x v="17"/>
    <d v="2021-03-30T00:00:00"/>
    <s v="Cash Rewards Visa Signature"/>
    <x v="936"/>
    <n v="-1647.69"/>
    <x v="26"/>
    <m/>
    <m/>
    <m/>
    <n v="1647.69"/>
    <b v="0"/>
    <m/>
    <m/>
    <s v="+"/>
    <x v="900"/>
    <s v="Delete; and Description Like '%PAYMENT THANK YOU%';0"/>
    <m/>
  </r>
  <r>
    <x v="17"/>
    <d v="2021-03-30T00:00:00"/>
    <s v="POWERPLUS"/>
    <x v="937"/>
    <n v="1647.69"/>
    <x v="26"/>
    <m/>
    <m/>
    <m/>
    <n v="1647.69"/>
    <b v="0"/>
    <m/>
    <m/>
    <s v="-"/>
    <x v="901"/>
    <s v="Delete; and Description Like '%Withdrawal Home payment to card%';0"/>
    <m/>
  </r>
  <r>
    <x v="17"/>
    <d v="2021-03-30T00:00:00"/>
    <s v="Joint Tenant"/>
    <x v="300"/>
    <n v="14.46"/>
    <x v="26"/>
    <m/>
    <m/>
    <m/>
    <n v="14.46"/>
    <b v="0"/>
    <m/>
    <m/>
    <s v="-"/>
    <x v="293"/>
    <s v="Create Rule; and Description='SCHWAB US SMALL CAP ETF';Dividend"/>
    <m/>
  </r>
  <r>
    <x v="17"/>
    <d v="2021-03-30T00:00:00"/>
    <s v="Cash Rewards Visa Signature"/>
    <x v="1293"/>
    <n v="89.95"/>
    <x v="26"/>
    <m/>
    <m/>
    <m/>
    <n v="89.95"/>
    <b v="0"/>
    <m/>
    <m/>
    <s v="-"/>
    <x v="1225"/>
    <s v="Manual"/>
    <m/>
  </r>
  <r>
    <x v="17"/>
    <d v="2021-03-31T00:00:00"/>
    <s v="Investor Checking"/>
    <x v="298"/>
    <n v="-2.25"/>
    <x v="26"/>
    <m/>
    <m/>
    <m/>
    <n v="2.25"/>
    <b v="0"/>
    <m/>
    <m/>
    <s v="+"/>
    <x v="291"/>
    <s v="Create Rule; and Description='ATM Fee Rebate';0"/>
    <m/>
  </r>
  <r>
    <x v="17"/>
    <d v="2021-03-31T00:00:00"/>
    <s v="Joint Tenant"/>
    <x v="950"/>
    <n v="-250"/>
    <x v="26"/>
    <m/>
    <m/>
    <m/>
    <n v="250"/>
    <b v="0"/>
    <m/>
    <m/>
    <s v="+"/>
    <x v="913"/>
    <s v="Create Rule; and Description Like '%CONNECTED ANALYT%';Inc - Jeff"/>
    <m/>
  </r>
  <r>
    <x v="17"/>
    <d v="2021-03-31T00:00:00"/>
    <s v="Investor Checking"/>
    <x v="118"/>
    <n v="-0.02"/>
    <x v="26"/>
    <m/>
    <m/>
    <m/>
    <n v="0.02"/>
    <b v="0"/>
    <m/>
    <m/>
    <s v="+"/>
    <x v="118"/>
    <s v="Create Rule; and Description='Interest Paid';0"/>
    <m/>
  </r>
  <r>
    <x v="17"/>
    <d v="2021-03-31T00:00:00"/>
    <s v="POWERPLUS"/>
    <x v="1294"/>
    <n v="425"/>
    <x v="26"/>
    <m/>
    <m/>
    <m/>
    <n v="425"/>
    <b v="0"/>
    <m/>
    <m/>
    <s v="-"/>
    <x v="1226"/>
    <s v="Create Rule; and Description Like '%MHCHILDCARELLC%';Day Care"/>
    <m/>
  </r>
  <r>
    <x v="17"/>
    <d v="2021-03-31T00:00:00"/>
    <s v="POWERPLUS"/>
    <x v="119"/>
    <n v="-13.25"/>
    <x v="26"/>
    <m/>
    <m/>
    <m/>
    <n v="13.25"/>
    <b v="0"/>
    <m/>
    <m/>
    <s v="+"/>
    <x v="119"/>
    <s v="Create Rule; and Description='Split Rate Apy';Inc - Other"/>
    <m/>
  </r>
  <r>
    <x v="17"/>
    <d v="2021-03-31T00:00:00"/>
    <s v="RAINY DAY"/>
    <x v="119"/>
    <n v="-13.2"/>
    <x v="26"/>
    <m/>
    <m/>
    <m/>
    <n v="13.2"/>
    <b v="0"/>
    <m/>
    <m/>
    <s v="+"/>
    <x v="119"/>
    <s v="Create Rule; and Description='Split Rate Apy';Inc - Other"/>
    <m/>
  </r>
  <r>
    <x v="17"/>
    <d v="2021-03-31T00:00:00"/>
    <s v="Jeff IRA"/>
    <x v="951"/>
    <n v="-250"/>
    <x v="26"/>
    <m/>
    <m/>
    <m/>
    <n v="250"/>
    <b v="0"/>
    <m/>
    <m/>
    <s v="+"/>
    <x v="914"/>
    <s v="Create Rule; and Description Like '%CONNECTED ANALYT%';Inc - Jeff"/>
    <m/>
  </r>
  <r>
    <x v="16"/>
    <d v="2021-04-01T00:00:00"/>
    <s v="30 YR FIXED"/>
    <x v="935"/>
    <n v="-728.25"/>
    <x v="3"/>
    <m/>
    <m/>
    <m/>
    <n v="728.25"/>
    <b v="0"/>
    <m/>
    <m/>
    <s v="+"/>
    <x v="899"/>
    <s v="Create Rule; and Description='PAYMENT';Delete"/>
    <m/>
  </r>
  <r>
    <x v="16"/>
    <d v="2021-04-01T00:00:00"/>
    <s v="Discover"/>
    <x v="598"/>
    <n v="4.28"/>
    <x v="10"/>
    <m/>
    <m/>
    <m/>
    <n v="4.28"/>
    <b v="0"/>
    <m/>
    <m/>
    <s v="-"/>
    <x v="579"/>
    <s v="Create Rule; and Description='Amazon Music';Entertainment"/>
    <m/>
  </r>
  <r>
    <x v="16"/>
    <d v="2021-04-01T00:00:00"/>
    <s v="Discover More Card"/>
    <x v="598"/>
    <n v="4.28"/>
    <x v="10"/>
    <m/>
    <m/>
    <m/>
    <n v="4.28"/>
    <b v="0"/>
    <m/>
    <m/>
    <s v="-"/>
    <x v="579"/>
    <s v="Create Rule; and Description='Amazon Music';Entertainment"/>
    <m/>
  </r>
  <r>
    <x v="16"/>
    <d v="2021-04-01T00:00:00"/>
    <s v="POWERPLUS"/>
    <x v="1295"/>
    <n v="-2168.13"/>
    <x v="26"/>
    <m/>
    <m/>
    <m/>
    <n v="2168.13"/>
    <b v="0"/>
    <m/>
    <m/>
    <s v="+"/>
    <x v="1227"/>
    <s v="Manual"/>
    <m/>
  </r>
  <r>
    <x v="16"/>
    <d v="2021-04-01T00:00:00"/>
    <s v="POWERPLUS"/>
    <x v="1296"/>
    <n v="200"/>
    <x v="26"/>
    <m/>
    <m/>
    <m/>
    <n v="200"/>
    <b v="0"/>
    <m/>
    <m/>
    <s v="-"/>
    <x v="16"/>
    <s v="Create Rule; and Description Like '%College Savings%';College Savings"/>
    <m/>
  </r>
  <r>
    <x v="16"/>
    <d v="2021-04-01T00:00:00"/>
    <s v="Cash Rewards Visa Signature"/>
    <x v="1297"/>
    <n v="10.73"/>
    <x v="26"/>
    <m/>
    <m/>
    <m/>
    <n v="10.73"/>
    <b v="0"/>
    <m/>
    <m/>
    <s v="-"/>
    <x v="1228"/>
    <s v="Manual"/>
    <m/>
  </r>
  <r>
    <x v="16"/>
    <d v="2021-04-01T00:00:00"/>
    <s v="SHARE SAVINGS"/>
    <x v="303"/>
    <n v="-190.52"/>
    <x v="26"/>
    <m/>
    <m/>
    <m/>
    <n v="190.52"/>
    <b v="0"/>
    <m/>
    <m/>
    <s v="+"/>
    <x v="295"/>
    <s v="Create Rule; and Description='Cred Rebate';Inc - Other"/>
    <m/>
  </r>
  <r>
    <x v="16"/>
    <d v="2021-04-01T00:00:00"/>
    <s v="HIGHLANDER"/>
    <x v="976"/>
    <n v="-582.13"/>
    <x v="26"/>
    <m/>
    <m/>
    <m/>
    <n v="582.13"/>
    <b v="0"/>
    <m/>
    <m/>
    <s v="+"/>
    <x v="936"/>
    <s v="Create Rule; and Description='From Share 70';Delete"/>
    <m/>
  </r>
  <r>
    <x v="16"/>
    <d v="2021-04-01T00:00:00"/>
    <s v="30 YR FIXED"/>
    <x v="1085"/>
    <n v="-431"/>
    <x v="26"/>
    <m/>
    <m/>
    <m/>
    <n v="431"/>
    <b v="0"/>
    <m/>
    <m/>
    <s v="+"/>
    <x v="1034"/>
    <s v="Create Rule; and Description='Principal Curtailment';Delete"/>
    <m/>
  </r>
  <r>
    <x v="16"/>
    <d v="2021-04-01T00:00:00"/>
    <s v="POWERPLUS"/>
    <x v="979"/>
    <n v="618.65"/>
    <x v="26"/>
    <m/>
    <m/>
    <m/>
    <n v="618.65"/>
    <b v="0"/>
    <m/>
    <m/>
    <s v="-"/>
    <x v="939"/>
    <s v="Create Rule; and Description Like '%To Loan 02%';Car Loan"/>
    <m/>
  </r>
  <r>
    <x v="27"/>
    <d v="2024-07-22T00:00:00"/>
    <s v="Powerplus - Ending in 8s30"/>
    <x v="1298"/>
    <n v="410"/>
    <x v="19"/>
    <m/>
    <s v="Exp - House Maint"/>
    <s v="front door"/>
    <m/>
    <m/>
    <m/>
    <m/>
    <m/>
    <x v="1229"/>
    <m/>
    <m/>
  </r>
  <r>
    <x v="16"/>
    <d v="2021-04-03T00:00:00"/>
    <s v="Discover"/>
    <x v="0"/>
    <n v="106.3"/>
    <x v="0"/>
    <m/>
    <m/>
    <m/>
    <n v="106.3"/>
    <b v="0"/>
    <m/>
    <m/>
    <s v="-"/>
    <x v="0"/>
    <s v="Create Rule; and Description='Amazon';Amazon"/>
    <m/>
  </r>
  <r>
    <x v="16"/>
    <d v="2021-04-03T00:00:00"/>
    <s v="Discover More Card"/>
    <x v="0"/>
    <n v="106.3"/>
    <x v="0"/>
    <m/>
    <m/>
    <m/>
    <n v="106.3"/>
    <b v="0"/>
    <m/>
    <m/>
    <s v="-"/>
    <x v="0"/>
    <s v="Create Rule; and Description='Amazon';Amazon"/>
    <m/>
  </r>
  <r>
    <x v="16"/>
    <d v="2021-04-03T00:00:00"/>
    <s v="Discover"/>
    <x v="823"/>
    <n v="30.39"/>
    <x v="2"/>
    <m/>
    <m/>
    <m/>
    <n v="30.39"/>
    <b v="0"/>
    <m/>
    <m/>
    <s v="-"/>
    <x v="792"/>
    <s v="Create Rule; and Description='Kwik Trip';Transportation"/>
    <m/>
  </r>
  <r>
    <x v="16"/>
    <d v="2021-04-03T00:00:00"/>
    <s v="Discover More Card"/>
    <x v="823"/>
    <n v="30.39"/>
    <x v="2"/>
    <m/>
    <m/>
    <m/>
    <n v="30.39"/>
    <b v="0"/>
    <m/>
    <m/>
    <s v="-"/>
    <x v="792"/>
    <s v="Create Rule; and Description='Kwik Trip';Transportation"/>
    <m/>
  </r>
  <r>
    <x v="16"/>
    <d v="2021-04-04T00:00:00"/>
    <s v="Cash Rewards Visa Signature"/>
    <x v="1222"/>
    <n v="18"/>
    <x v="26"/>
    <m/>
    <m/>
    <m/>
    <n v="18"/>
    <b v="0"/>
    <m/>
    <m/>
    <s v="-"/>
    <x v="1160"/>
    <s v="Manual"/>
    <m/>
  </r>
  <r>
    <x v="16"/>
    <d v="2021-04-04T00:00:00"/>
    <s v="Cash Rewards Visa Signature"/>
    <x v="362"/>
    <n v="25.46"/>
    <x v="26"/>
    <m/>
    <m/>
    <m/>
    <n v="25.46"/>
    <b v="0"/>
    <m/>
    <m/>
    <s v="-"/>
    <x v="353"/>
    <s v="Create Rule; and Description='Whole Foods';Groceries"/>
    <m/>
  </r>
  <r>
    <x v="16"/>
    <d v="2021-04-05T00:00:00"/>
    <s v="Joint Tenant"/>
    <x v="1299"/>
    <n v="-200"/>
    <x v="26"/>
    <m/>
    <m/>
    <m/>
    <n v="200"/>
    <b v="0"/>
    <m/>
    <m/>
    <s v="+"/>
    <x v="1230"/>
    <s v="Delete; and Source='Joint Tenant';0"/>
    <m/>
  </r>
  <r>
    <x v="16"/>
    <d v="2021-04-05T00:00:00"/>
    <s v="POWERPLUS"/>
    <x v="308"/>
    <n v="467.74"/>
    <x v="8"/>
    <m/>
    <m/>
    <m/>
    <n v="467.74"/>
    <b v="0"/>
    <m/>
    <m/>
    <s v="-"/>
    <x v="300"/>
    <s v="Create Rule; and Description='Nordstrom';Shopping"/>
    <m/>
  </r>
  <r>
    <x v="16"/>
    <d v="2021-04-05T00:00:00"/>
    <s v="POWERPLUS"/>
    <x v="157"/>
    <n v="12.95"/>
    <x v="8"/>
    <m/>
    <m/>
    <m/>
    <n v="12.95"/>
    <b v="0"/>
    <m/>
    <m/>
    <s v="-"/>
    <x v="156"/>
    <s v="Create Rule; and Description Like '%PayPal%';Shopping"/>
    <m/>
  </r>
  <r>
    <x v="16"/>
    <d v="2021-04-05T00:00:00"/>
    <s v="Joint Tenant"/>
    <x v="20"/>
    <n v="200"/>
    <x v="26"/>
    <m/>
    <m/>
    <m/>
    <n v="200"/>
    <b v="0"/>
    <m/>
    <m/>
    <s v="-"/>
    <x v="20"/>
    <s v="Delete; and Description='SCHWAB TOTAL STOCK MKT INDEX' and inflowoutflow='-';0"/>
    <m/>
  </r>
  <r>
    <x v="16"/>
    <d v="2021-04-05T00:00:00"/>
    <s v="Contributory"/>
    <x v="1300"/>
    <n v="-231"/>
    <x v="26"/>
    <m/>
    <m/>
    <m/>
    <n v="231"/>
    <b v="0"/>
    <m/>
    <m/>
    <s v="+"/>
    <x v="1231"/>
    <m/>
    <m/>
  </r>
  <r>
    <x v="16"/>
    <d v="2021-04-05T00:00:00"/>
    <s v="Cash Rewards Visa Signature"/>
    <x v="101"/>
    <n v="86.96"/>
    <x v="26"/>
    <m/>
    <m/>
    <m/>
    <n v="86.96"/>
    <b v="0"/>
    <m/>
    <m/>
    <s v="-"/>
    <x v="101"/>
    <s v="Create Rule; and Description='WINCHESTER AND RYE VICTORIA MN';Restaurants"/>
    <m/>
  </r>
  <r>
    <x v="16"/>
    <d v="2021-04-06T00:00:00"/>
    <s v="Discover"/>
    <x v="0"/>
    <n v="6.74"/>
    <x v="0"/>
    <m/>
    <m/>
    <m/>
    <n v="6.74"/>
    <b v="0"/>
    <m/>
    <m/>
    <s v="-"/>
    <x v="0"/>
    <s v="Create Rule; and Description='Amazon';Amazon"/>
    <m/>
  </r>
  <r>
    <x v="16"/>
    <d v="2021-04-06T00:00:00"/>
    <s v="Discover"/>
    <x v="0"/>
    <n v="32.15"/>
    <x v="0"/>
    <m/>
    <m/>
    <m/>
    <n v="32.15"/>
    <b v="0"/>
    <m/>
    <m/>
    <s v="-"/>
    <x v="0"/>
    <s v="Create Rule; and Description='Amazon';Amazon"/>
    <m/>
  </r>
  <r>
    <x v="16"/>
    <d v="2021-04-06T00:00:00"/>
    <s v="Discover More Card"/>
    <x v="0"/>
    <n v="6.74"/>
    <x v="0"/>
    <m/>
    <m/>
    <m/>
    <n v="6.74"/>
    <b v="0"/>
    <m/>
    <m/>
    <s v="-"/>
    <x v="0"/>
    <s v="Create Rule; and Description='Amazon';Amazon"/>
    <m/>
  </r>
  <r>
    <x v="16"/>
    <d v="2021-04-06T00:00:00"/>
    <s v="Discover More Card"/>
    <x v="0"/>
    <n v="32.15"/>
    <x v="0"/>
    <m/>
    <m/>
    <m/>
    <n v="32.15"/>
    <b v="0"/>
    <m/>
    <m/>
    <s v="-"/>
    <x v="0"/>
    <s v="Create Rule; and Description='Amazon';Amazon"/>
    <m/>
  </r>
  <r>
    <x v="16"/>
    <d v="2021-04-06T00:00:00"/>
    <s v="Cash Rewards Visa Signature"/>
    <x v="980"/>
    <n v="172.36"/>
    <x v="26"/>
    <m/>
    <m/>
    <m/>
    <n v="172.36"/>
    <b v="0"/>
    <m/>
    <m/>
    <s v="-"/>
    <x v="940"/>
    <s v="Create Rule; and Description Like '%AVOADVOCARE INTL%';Groceries"/>
    <m/>
  </r>
  <r>
    <x v="16"/>
    <d v="2021-04-07T00:00:00"/>
    <s v="POWERPLUS"/>
    <x v="1301"/>
    <n v="425"/>
    <x v="26"/>
    <m/>
    <m/>
    <m/>
    <n v="425"/>
    <b v="0"/>
    <m/>
    <m/>
    <s v="-"/>
    <x v="1232"/>
    <s v="Create Rule; and Description Like '%MHCHILDCARELLC%';Day Care"/>
    <m/>
  </r>
  <r>
    <x v="16"/>
    <d v="2021-04-07T00:00:00"/>
    <s v="POWERPLUS"/>
    <x v="157"/>
    <n v="7.55"/>
    <x v="8"/>
    <m/>
    <m/>
    <m/>
    <n v="7.55"/>
    <b v="0"/>
    <m/>
    <m/>
    <s v="-"/>
    <x v="156"/>
    <s v="Create Rule; and Description Like '%PayPal%';Shopping"/>
    <m/>
  </r>
  <r>
    <x v="16"/>
    <d v="2021-04-07T00:00:00"/>
    <s v="Cash Rewards Visa Signature"/>
    <x v="55"/>
    <n v="25.96"/>
    <x v="5"/>
    <m/>
    <m/>
    <m/>
    <n v="25.96"/>
    <b v="0"/>
    <m/>
    <m/>
    <s v="-"/>
    <x v="55"/>
    <s v="Create Rule; and Description='Walgreens';Shopping"/>
    <m/>
  </r>
  <r>
    <x v="16"/>
    <d v="2021-04-07T00:00:00"/>
    <s v="POWERPLUS"/>
    <x v="30"/>
    <n v="144.4"/>
    <x v="11"/>
    <m/>
    <m/>
    <m/>
    <n v="144.4"/>
    <b v="0"/>
    <m/>
    <m/>
    <s v="-"/>
    <x v="30"/>
    <s v="Create Rule; and Description='Xcel Energy';Utilities"/>
    <m/>
  </r>
  <r>
    <x v="16"/>
    <d v="2021-04-08T00:00:00"/>
    <s v="Discover"/>
    <x v="0"/>
    <n v="10.73"/>
    <x v="0"/>
    <m/>
    <m/>
    <m/>
    <n v="10.73"/>
    <b v="0"/>
    <m/>
    <m/>
    <s v="-"/>
    <x v="0"/>
    <s v="Create Rule; and Description='Amazon';Amazon"/>
    <m/>
  </r>
  <r>
    <x v="16"/>
    <d v="2021-04-08T00:00:00"/>
    <s v="Discover"/>
    <x v="0"/>
    <n v="18.89"/>
    <x v="0"/>
    <m/>
    <m/>
    <m/>
    <n v="18.89"/>
    <b v="0"/>
    <m/>
    <m/>
    <s v="-"/>
    <x v="0"/>
    <s v="Create Rule; and Description='Amazon';Amazon"/>
    <m/>
  </r>
  <r>
    <x v="16"/>
    <d v="2021-04-08T00:00:00"/>
    <s v="Discover More Card"/>
    <x v="0"/>
    <n v="10.73"/>
    <x v="0"/>
    <m/>
    <m/>
    <m/>
    <n v="10.73"/>
    <b v="0"/>
    <m/>
    <m/>
    <s v="-"/>
    <x v="0"/>
    <s v="Create Rule; and Description='Amazon';Amazon"/>
    <m/>
  </r>
  <r>
    <x v="16"/>
    <d v="2021-04-08T00:00:00"/>
    <s v="Discover More Card"/>
    <x v="0"/>
    <n v="18.89"/>
    <x v="0"/>
    <m/>
    <m/>
    <m/>
    <n v="18.89"/>
    <b v="0"/>
    <m/>
    <m/>
    <s v="-"/>
    <x v="0"/>
    <s v="Create Rule; and Description='Amazon';Amazon"/>
    <m/>
  </r>
  <r>
    <x v="16"/>
    <d v="2021-04-08T00:00:00"/>
    <s v="POWERPLUS"/>
    <x v="35"/>
    <n v="-75"/>
    <x v="26"/>
    <m/>
    <m/>
    <m/>
    <n v="75"/>
    <b v="0"/>
    <m/>
    <m/>
    <s v="+"/>
    <x v="35"/>
    <s v="Create Rule; and Description='Cargill Incorpor Type';Inc - Other"/>
    <m/>
  </r>
  <r>
    <x v="16"/>
    <d v="2021-04-08T00:00:00"/>
    <s v="Cash Rewards Visa Signature"/>
    <x v="259"/>
    <n v="63.59"/>
    <x v="26"/>
    <m/>
    <m/>
    <m/>
    <n v="63.59"/>
    <b v="0"/>
    <m/>
    <m/>
    <s v="-"/>
    <x v="257"/>
    <s v="Create Rule; and Description Like '%Etsy.com%';Shopping"/>
    <m/>
  </r>
  <r>
    <x v="16"/>
    <d v="2021-04-08T00:00:00"/>
    <s v="POWERPLUS"/>
    <x v="28"/>
    <n v="-45"/>
    <x v="26"/>
    <m/>
    <m/>
    <m/>
    <n v="45"/>
    <b v="0"/>
    <m/>
    <m/>
    <s v="+"/>
    <x v="28"/>
    <s v="Manual"/>
    <m/>
  </r>
  <r>
    <x v="16"/>
    <d v="2021-04-08T00:00:00"/>
    <s v="Cash Rewards Visa Signature"/>
    <x v="1302"/>
    <n v="217.84"/>
    <x v="26"/>
    <m/>
    <m/>
    <m/>
    <n v="217.84"/>
    <b v="0"/>
    <m/>
    <m/>
    <s v="-"/>
    <x v="1233"/>
    <s v="Manual"/>
    <m/>
  </r>
  <r>
    <x v="16"/>
    <d v="2021-04-09T00:00:00"/>
    <s v="Discover"/>
    <x v="0"/>
    <n v="21.44"/>
    <x v="0"/>
    <m/>
    <m/>
    <m/>
    <n v="21.44"/>
    <b v="0"/>
    <m/>
    <m/>
    <s v="-"/>
    <x v="0"/>
    <s v="Create Rule; and Description='Amazon';Amazon"/>
    <m/>
  </r>
  <r>
    <x v="16"/>
    <d v="2021-04-09T00:00:00"/>
    <s v="Discover More Card"/>
    <x v="0"/>
    <n v="21.44"/>
    <x v="0"/>
    <m/>
    <m/>
    <m/>
    <n v="21.44"/>
    <b v="0"/>
    <m/>
    <m/>
    <s v="-"/>
    <x v="0"/>
    <s v="Create Rule; and Description='Amazon';Amazon"/>
    <m/>
  </r>
  <r>
    <x v="16"/>
    <d v="2021-04-10T00:00:00"/>
    <s v="Discover"/>
    <x v="93"/>
    <n v="-18.61"/>
    <x v="26"/>
    <m/>
    <m/>
    <m/>
    <n v="18.61"/>
    <b v="0"/>
    <m/>
    <m/>
    <s v="+"/>
    <x v="93"/>
    <s v="Delete; and Description='CASHBACK BONUS REDEMPTION payment/STMT CRDT';0"/>
    <m/>
  </r>
  <r>
    <x v="16"/>
    <d v="2021-04-10T00:00:00"/>
    <s v="Discover More Card"/>
    <x v="93"/>
    <n v="-18.61"/>
    <x v="26"/>
    <m/>
    <m/>
    <m/>
    <n v="18.61"/>
    <b v="0"/>
    <m/>
    <m/>
    <s v="+"/>
    <x v="93"/>
    <s v="Delete; and Description='CASHBACK BONUS REDEMPTION payment/STMT CRDT';0"/>
    <m/>
  </r>
  <r>
    <x v="16"/>
    <d v="2021-04-10T00:00:00"/>
    <s v="Discover"/>
    <x v="56"/>
    <n v="-616.04999999999995"/>
    <x v="3"/>
    <m/>
    <m/>
    <m/>
    <n v="616.04999999999995"/>
    <b v="0"/>
    <m/>
    <m/>
    <s v="+"/>
    <x v="56"/>
    <s v="Delete; and Description='INTERNET PAYMENT - THANK YOU';0"/>
    <m/>
  </r>
  <r>
    <x v="16"/>
    <d v="2021-04-10T00:00:00"/>
    <s v="Discover More Card"/>
    <x v="56"/>
    <n v="-616.04999999999995"/>
    <x v="3"/>
    <m/>
    <m/>
    <m/>
    <n v="616.04999999999995"/>
    <b v="0"/>
    <m/>
    <m/>
    <s v="+"/>
    <x v="56"/>
    <s v="Delete; and Description='INTERNET PAYMENT - THANK YOU';0"/>
    <m/>
  </r>
  <r>
    <x v="16"/>
    <d v="2021-04-10T00:00:00"/>
    <s v="Discover"/>
    <x v="0"/>
    <n v="-10.73"/>
    <x v="0"/>
    <m/>
    <m/>
    <m/>
    <n v="10.73"/>
    <b v="0"/>
    <m/>
    <m/>
    <s v="+"/>
    <x v="0"/>
    <s v="Create Rule; and Description='Amazon';Amazon"/>
    <m/>
  </r>
  <r>
    <x v="16"/>
    <d v="2021-04-10T00:00:00"/>
    <s v="Discover More Card"/>
    <x v="0"/>
    <n v="-10.73"/>
    <x v="0"/>
    <m/>
    <m/>
    <m/>
    <n v="10.73"/>
    <b v="0"/>
    <m/>
    <m/>
    <s v="+"/>
    <x v="0"/>
    <s v="Create Rule; and Description='Amazon';Amazon"/>
    <m/>
  </r>
  <r>
    <x v="16"/>
    <d v="2021-04-10T00:00:00"/>
    <s v="Discover"/>
    <x v="67"/>
    <n v="45"/>
    <x v="11"/>
    <m/>
    <m/>
    <m/>
    <n v="45"/>
    <b v="0"/>
    <m/>
    <m/>
    <s v="-"/>
    <x v="67"/>
    <s v="Create Rule; and Description='CenturyLink';Utilities"/>
    <m/>
  </r>
  <r>
    <x v="16"/>
    <d v="2021-04-10T00:00:00"/>
    <s v="Discover More Card"/>
    <x v="67"/>
    <n v="45"/>
    <x v="11"/>
    <m/>
    <m/>
    <m/>
    <n v="45"/>
    <b v="0"/>
    <m/>
    <m/>
    <s v="-"/>
    <x v="67"/>
    <s v="Create Rule; and Description='CenturyLink';Utilities"/>
    <m/>
  </r>
  <r>
    <x v="16"/>
    <d v="2021-04-10T00:00:00"/>
    <s v="Discover"/>
    <x v="1303"/>
    <n v="37.869999999999997"/>
    <x v="26"/>
    <m/>
    <m/>
    <m/>
    <n v="37.869999999999997"/>
    <b v="0"/>
    <m/>
    <m/>
    <s v="-"/>
    <x v="1234"/>
    <s v="Create Rule; and Description='Marathon';Transportation"/>
    <m/>
  </r>
  <r>
    <x v="16"/>
    <d v="2021-04-10T00:00:00"/>
    <s v="Discover More Card"/>
    <x v="1303"/>
    <n v="37.869999999999997"/>
    <x v="26"/>
    <m/>
    <m/>
    <m/>
    <n v="37.869999999999997"/>
    <b v="0"/>
    <m/>
    <m/>
    <s v="-"/>
    <x v="1234"/>
    <s v="Create Rule; and Description='Marathon';Transportation"/>
    <m/>
  </r>
  <r>
    <x v="16"/>
    <d v="2021-04-11T00:00:00"/>
    <s v="Cash Rewards Visa Signature"/>
    <x v="77"/>
    <n v="51.85"/>
    <x v="8"/>
    <m/>
    <m/>
    <m/>
    <n v="51.85"/>
    <b v="0"/>
    <m/>
    <m/>
    <s v="-"/>
    <x v="77"/>
    <s v="Manual"/>
    <m/>
  </r>
  <r>
    <x v="16"/>
    <d v="2021-04-11T00:00:00"/>
    <s v="Cash Rewards Visa Signature"/>
    <x v="77"/>
    <n v="98"/>
    <x v="8"/>
    <m/>
    <m/>
    <m/>
    <n v="98"/>
    <b v="0"/>
    <m/>
    <m/>
    <s v="-"/>
    <x v="77"/>
    <s v="Manual"/>
    <m/>
  </r>
  <r>
    <x v="16"/>
    <d v="2021-04-11T00:00:00"/>
    <s v="Cash Rewards Visa Signature"/>
    <x v="77"/>
    <n v="181.48"/>
    <x v="8"/>
    <m/>
    <m/>
    <m/>
    <n v="181.48"/>
    <b v="0"/>
    <m/>
    <m/>
    <s v="-"/>
    <x v="77"/>
    <s v="Manual"/>
    <m/>
  </r>
  <r>
    <x v="16"/>
    <d v="2021-04-12T00:00:00"/>
    <s v="POWERPLUS"/>
    <x v="1304"/>
    <n v="616.04999999999995"/>
    <x v="26"/>
    <m/>
    <m/>
    <m/>
    <n v="616.04999999999995"/>
    <b v="0"/>
    <m/>
    <m/>
    <s v="-"/>
    <x v="1235"/>
    <s v="Delete; and Description Like '%DISCOVER TYPE EPAYMENT%';0"/>
    <m/>
  </r>
  <r>
    <x v="16"/>
    <d v="2021-04-12T00:00:00"/>
    <s v="Cash Rewards Visa Signature"/>
    <x v="955"/>
    <n v="107.1"/>
    <x v="26"/>
    <m/>
    <m/>
    <m/>
    <n v="107.1"/>
    <b v="0"/>
    <m/>
    <m/>
    <s v="-"/>
    <x v="918"/>
    <s v="Create Rule; and Description='Birchs';Restaurants"/>
    <m/>
  </r>
  <r>
    <x v="16"/>
    <d v="2021-04-12T00:00:00"/>
    <s v="Cash Rewards Visa Signature"/>
    <x v="6"/>
    <n v="133.97"/>
    <x v="5"/>
    <m/>
    <m/>
    <m/>
    <n v="133.97"/>
    <b v="0"/>
    <m/>
    <m/>
    <s v="-"/>
    <x v="6"/>
    <s v="Create Rule; and Description Like '%Cub Foods%';Groceries"/>
    <m/>
  </r>
  <r>
    <x v="16"/>
    <d v="2021-04-12T00:00:00"/>
    <s v="POWERPLUS"/>
    <x v="157"/>
    <n v="14.03"/>
    <x v="8"/>
    <m/>
    <m/>
    <m/>
    <n v="14.03"/>
    <b v="0"/>
    <m/>
    <m/>
    <s v="-"/>
    <x v="156"/>
    <s v="Create Rule; and Description Like '%PayPal%';Shopping"/>
    <m/>
  </r>
  <r>
    <x v="16"/>
    <d v="2021-04-12T00:00:00"/>
    <s v="Cash Rewards Visa Signature"/>
    <x v="1305"/>
    <n v="66.739999999999995"/>
    <x v="1"/>
    <m/>
    <m/>
    <m/>
    <n v="66.739999999999995"/>
    <b v="0"/>
    <m/>
    <m/>
    <s v="-"/>
    <x v="1236"/>
    <s v="Manual"/>
    <m/>
  </r>
  <r>
    <x v="16"/>
    <d v="2021-04-12T00:00:00"/>
    <s v="Cash Rewards Visa Signature"/>
    <x v="34"/>
    <n v="67.89"/>
    <x v="12"/>
    <m/>
    <m/>
    <m/>
    <n v="67.89"/>
    <b v="0"/>
    <m/>
    <m/>
    <s v="-"/>
    <x v="34"/>
    <s v="Create Rule; and Description='Target';Target"/>
    <m/>
  </r>
  <r>
    <x v="16"/>
    <d v="2021-04-12T00:00:00"/>
    <s v="Cash Rewards Visa Signature"/>
    <x v="100"/>
    <n v="100.31"/>
    <x v="5"/>
    <m/>
    <m/>
    <m/>
    <n v="100.31"/>
    <b v="0"/>
    <m/>
    <m/>
    <s v="-"/>
    <x v="100"/>
    <s v="Create Rule; and Description like '%Trader Joe%';Groceries"/>
    <m/>
  </r>
  <r>
    <x v="16"/>
    <d v="2021-04-12T00:00:00"/>
    <s v="POWERPLUS"/>
    <x v="29"/>
    <n v="375"/>
    <x v="8"/>
    <m/>
    <m/>
    <m/>
    <n v="375"/>
    <b v="0"/>
    <m/>
    <m/>
    <s v="-"/>
    <x v="29"/>
    <s v="Manual"/>
    <m/>
  </r>
  <r>
    <x v="16"/>
    <d v="2021-04-13T00:00:00"/>
    <s v="Discover"/>
    <x v="0"/>
    <n v="8.58"/>
    <x v="0"/>
    <m/>
    <m/>
    <m/>
    <n v="8.58"/>
    <b v="0"/>
    <m/>
    <m/>
    <s v="-"/>
    <x v="0"/>
    <s v="Create Rule; and Description='Amazon';Amazon"/>
    <m/>
  </r>
  <r>
    <x v="16"/>
    <d v="2021-04-13T00:00:00"/>
    <s v="Discover More Card"/>
    <x v="0"/>
    <n v="8.58"/>
    <x v="0"/>
    <m/>
    <m/>
    <m/>
    <n v="8.58"/>
    <b v="0"/>
    <m/>
    <m/>
    <s v="-"/>
    <x v="0"/>
    <s v="Create Rule; and Description='Amazon';Amazon"/>
    <m/>
  </r>
  <r>
    <x v="16"/>
    <d v="2021-04-13T00:00:00"/>
    <s v="Cash Rewards Visa Signature"/>
    <x v="60"/>
    <n v="-7.28"/>
    <x v="26"/>
    <m/>
    <m/>
    <m/>
    <n v="7.28"/>
    <b v="0"/>
    <m/>
    <m/>
    <s v="+"/>
    <x v="60"/>
    <s v="Create Rule; and Description='Home Depot';House Maintenance"/>
    <m/>
  </r>
  <r>
    <x v="16"/>
    <d v="2021-04-13T00:00:00"/>
    <s v="POWERPLUS"/>
    <x v="1306"/>
    <n v="425"/>
    <x v="26"/>
    <m/>
    <m/>
    <m/>
    <n v="425"/>
    <b v="0"/>
    <m/>
    <m/>
    <s v="-"/>
    <x v="1237"/>
    <s v="Create Rule; and Description Like '%MHCHILDCARELLC%';Day Care"/>
    <m/>
  </r>
  <r>
    <x v="16"/>
    <d v="2021-04-13T00:00:00"/>
    <s v="Cash Rewards Visa Signature"/>
    <x v="177"/>
    <n v="40.33"/>
    <x v="26"/>
    <m/>
    <m/>
    <m/>
    <n v="40.33"/>
    <b v="0"/>
    <m/>
    <m/>
    <s v="-"/>
    <x v="176"/>
    <s v="Create Rule; and Description='NORTH COOP CHAHASSEN MN';Restaurants"/>
    <m/>
  </r>
  <r>
    <x v="16"/>
    <d v="2021-04-14T00:00:00"/>
    <s v="Cash Rewards Visa Signature"/>
    <x v="936"/>
    <n v="-1551.24"/>
    <x v="26"/>
    <m/>
    <m/>
    <m/>
    <n v="1551.24"/>
    <b v="0"/>
    <m/>
    <m/>
    <s v="+"/>
    <x v="900"/>
    <s v="Delete; and Description Like '%PAYMENT THANK YOU%';0"/>
    <m/>
  </r>
  <r>
    <x v="16"/>
    <d v="2021-04-14T00:00:00"/>
    <s v="POWERPLUS"/>
    <x v="937"/>
    <n v="1551.24"/>
    <x v="26"/>
    <m/>
    <m/>
    <m/>
    <n v="1551.24"/>
    <b v="0"/>
    <m/>
    <m/>
    <s v="-"/>
    <x v="901"/>
    <s v="Delete; and Description Like '%Withdrawal Home payment to card%';0"/>
    <m/>
  </r>
  <r>
    <x v="16"/>
    <d v="2021-04-14T00:00:00"/>
    <s v="POWERPLUS"/>
    <x v="48"/>
    <n v="101.78"/>
    <x v="16"/>
    <m/>
    <m/>
    <m/>
    <n v="101.78"/>
    <b v="0"/>
    <m/>
    <m/>
    <s v="-"/>
    <x v="48"/>
    <s v="Create Rule; and Description='American Family Insurance';Insurance"/>
    <m/>
  </r>
  <r>
    <x v="16"/>
    <d v="2021-04-14T00:00:00"/>
    <s v="Cash Rewards Visa Signature"/>
    <x v="174"/>
    <n v="27.65"/>
    <x v="26"/>
    <m/>
    <m/>
    <m/>
    <n v="27.65"/>
    <b v="0"/>
    <m/>
    <m/>
    <s v="-"/>
    <x v="173"/>
    <s v="Create Rule; and Description='BP';Transportation"/>
    <m/>
  </r>
  <r>
    <x v="16"/>
    <d v="2021-04-14T00:00:00"/>
    <s v="POWERPLUS"/>
    <x v="1307"/>
    <n v="-4308.17"/>
    <x v="26"/>
    <m/>
    <m/>
    <m/>
    <n v="4308.17"/>
    <b v="0"/>
    <m/>
    <m/>
    <s v="+"/>
    <x v="910"/>
    <s v="Create Rule; and Description Like '%CONNECTED ANALYT%';Jeff"/>
    <m/>
  </r>
  <r>
    <x v="16"/>
    <d v="2021-04-14T00:00:00"/>
    <s v="POWERPLUS"/>
    <x v="1308"/>
    <n v="-3052.96"/>
    <x v="26"/>
    <m/>
    <m/>
    <m/>
    <n v="3052.96"/>
    <b v="0"/>
    <m/>
    <m/>
    <s v="+"/>
    <x v="910"/>
    <s v="Create Rule; and Description Like '%CONNECTED ANALYT%';Jeff"/>
    <m/>
  </r>
  <r>
    <x v="16"/>
    <d v="2021-04-14T00:00:00"/>
    <s v="Cash Rewards Visa Signature"/>
    <x v="1309"/>
    <n v="116.73"/>
    <x v="26"/>
    <m/>
    <m/>
    <m/>
    <n v="116.73"/>
    <b v="0"/>
    <m/>
    <m/>
    <s v="-"/>
    <x v="1238"/>
    <s v="Manual"/>
    <m/>
  </r>
  <r>
    <x v="16"/>
    <d v="2021-04-15T00:00:00"/>
    <s v="POWERPLUS"/>
    <x v="1310"/>
    <n v="-2168.13"/>
    <x v="26"/>
    <m/>
    <m/>
    <m/>
    <n v="2168.13"/>
    <b v="0"/>
    <m/>
    <m/>
    <s v="+"/>
    <x v="1227"/>
    <s v="Manual"/>
    <m/>
  </r>
  <r>
    <x v="16"/>
    <d v="2021-04-15T00:00:00"/>
    <s v="Joint Tenant"/>
    <x v="950"/>
    <n v="-250"/>
    <x v="26"/>
    <m/>
    <m/>
    <m/>
    <n v="250"/>
    <b v="0"/>
    <m/>
    <m/>
    <s v="+"/>
    <x v="913"/>
    <s v="Create Rule; and Description Like '%CONNECTED ANALYT%';Inc - Jeff"/>
    <m/>
  </r>
  <r>
    <x v="16"/>
    <d v="2021-04-15T00:00:00"/>
    <s v="Jeff IRA"/>
    <x v="951"/>
    <n v="-250"/>
    <x v="26"/>
    <m/>
    <m/>
    <m/>
    <n v="250"/>
    <b v="0"/>
    <m/>
    <m/>
    <s v="+"/>
    <x v="914"/>
    <s v="Create Rule; and Description Like '%CONNECTED ANALYT%';Inc - Jeff"/>
    <m/>
  </r>
  <r>
    <x v="16"/>
    <d v="2021-04-16T00:00:00"/>
    <s v="POWERPLUS"/>
    <x v="1311"/>
    <n v="151.66999999999999"/>
    <x v="26"/>
    <m/>
    <m/>
    <m/>
    <n v="151.66999999999999"/>
    <b v="0"/>
    <m/>
    <m/>
    <s v="-"/>
    <x v="1239"/>
    <s v="Create Rule; and Description Like '%Banana Visa%';Shopping"/>
    <m/>
  </r>
  <r>
    <x v="16"/>
    <d v="2021-04-16T00:00:00"/>
    <s v="Contributory"/>
    <x v="1312"/>
    <n v="-0.09"/>
    <x v="26"/>
    <m/>
    <m/>
    <m/>
    <n v="0.09"/>
    <b v="0"/>
    <m/>
    <m/>
    <s v="+"/>
    <x v="1240"/>
    <s v="Manual"/>
    <m/>
  </r>
  <r>
    <x v="16"/>
    <d v="2021-04-16T00:00:00"/>
    <s v="Jeff IRA"/>
    <x v="1312"/>
    <n v="-0.02"/>
    <x v="26"/>
    <m/>
    <m/>
    <m/>
    <n v="0.02"/>
    <b v="0"/>
    <m/>
    <m/>
    <s v="+"/>
    <x v="1240"/>
    <s v="Manual"/>
    <m/>
  </r>
  <r>
    <x v="16"/>
    <d v="2021-04-16T00:00:00"/>
    <s v="Joint Tenant"/>
    <x v="1299"/>
    <n v="-200"/>
    <x v="26"/>
    <m/>
    <m/>
    <m/>
    <n v="200"/>
    <b v="0"/>
    <m/>
    <m/>
    <s v="+"/>
    <x v="1230"/>
    <s v="Delete; and Source='Joint Tenant';0"/>
    <m/>
  </r>
  <r>
    <x v="16"/>
    <d v="2021-04-16T00:00:00"/>
    <s v="Cash Rewards Visa Signature"/>
    <x v="579"/>
    <n v="10"/>
    <x v="1"/>
    <m/>
    <m/>
    <m/>
    <n v="10"/>
    <b v="0"/>
    <m/>
    <m/>
    <s v="-"/>
    <x v="560"/>
    <s v="Create Rule; and Description='Starbucks';Restaurants"/>
    <m/>
  </r>
  <r>
    <x v="16"/>
    <d v="2021-04-16T00:00:00"/>
    <s v="Contributory"/>
    <x v="1300"/>
    <n v="-231"/>
    <x v="26"/>
    <m/>
    <m/>
    <m/>
    <n v="231"/>
    <b v="0"/>
    <m/>
    <m/>
    <s v="+"/>
    <x v="1231"/>
    <s v="Manual"/>
    <m/>
  </r>
  <r>
    <x v="16"/>
    <d v="2021-04-16T00:00:00"/>
    <s v="Cash Rewards Visa Signature"/>
    <x v="1313"/>
    <n v="40.340000000000003"/>
    <x v="26"/>
    <m/>
    <m/>
    <m/>
    <n v="40.340000000000003"/>
    <b v="0"/>
    <m/>
    <m/>
    <s v="-"/>
    <x v="1241"/>
    <s v="Manual"/>
    <m/>
  </r>
  <r>
    <x v="16"/>
    <d v="2021-04-17T00:00:00"/>
    <s v="Discover More Card"/>
    <x v="0"/>
    <n v="23.99"/>
    <x v="0"/>
    <m/>
    <m/>
    <m/>
    <n v="23.99"/>
    <b v="0"/>
    <m/>
    <m/>
    <s v="-"/>
    <x v="0"/>
    <s v="Create Rule; and Description='Amazon';Amazon"/>
    <m/>
  </r>
  <r>
    <x v="16"/>
    <d v="2021-04-17T00:00:00"/>
    <s v="Discover"/>
    <x v="0"/>
    <n v="23.99"/>
    <x v="0"/>
    <m/>
    <m/>
    <m/>
    <n v="23.99"/>
    <b v="0"/>
    <m/>
    <m/>
    <s v="-"/>
    <x v="0"/>
    <s v="Create Rule; and Description='Amazon';Amazon"/>
    <m/>
  </r>
  <r>
    <x v="16"/>
    <d v="2021-04-17T00:00:00"/>
    <s v="Discover More Card"/>
    <x v="60"/>
    <n v="106.22"/>
    <x v="26"/>
    <m/>
    <m/>
    <m/>
    <n v="106.22"/>
    <b v="0"/>
    <m/>
    <m/>
    <s v="-"/>
    <x v="60"/>
    <s v="Create Rule; and Description='Home Depot';House Maintenance"/>
    <m/>
  </r>
  <r>
    <x v="16"/>
    <d v="2021-04-17T00:00:00"/>
    <s v="Discover"/>
    <x v="60"/>
    <n v="106.22"/>
    <x v="26"/>
    <m/>
    <m/>
    <m/>
    <n v="106.22"/>
    <b v="0"/>
    <m/>
    <m/>
    <s v="-"/>
    <x v="60"/>
    <s v="Create Rule; and Description='Home Depot';House Maintenance"/>
    <m/>
  </r>
  <r>
    <x v="16"/>
    <d v="2021-04-18T00:00:00"/>
    <s v="Discover More Card"/>
    <x v="0"/>
    <n v="7.51"/>
    <x v="0"/>
    <m/>
    <m/>
    <m/>
    <n v="7.51"/>
    <b v="0"/>
    <m/>
    <m/>
    <s v="-"/>
    <x v="0"/>
    <s v="Create Rule; and Description='Amazon';Amazon"/>
    <m/>
  </r>
  <r>
    <x v="16"/>
    <d v="2021-04-18T00:00:00"/>
    <s v="Discover"/>
    <x v="0"/>
    <n v="7.51"/>
    <x v="0"/>
    <m/>
    <m/>
    <m/>
    <n v="7.51"/>
    <b v="0"/>
    <m/>
    <m/>
    <s v="-"/>
    <x v="0"/>
    <s v="Create Rule; and Description='Amazon';Amazon"/>
    <m/>
  </r>
  <r>
    <x v="16"/>
    <d v="2021-04-18T00:00:00"/>
    <s v="Cash Rewards Visa Signature"/>
    <x v="77"/>
    <n v="-98"/>
    <x v="8"/>
    <m/>
    <m/>
    <m/>
    <n v="98"/>
    <b v="0"/>
    <m/>
    <m/>
    <s v="+"/>
    <x v="77"/>
    <s v="Manual"/>
    <m/>
  </r>
  <r>
    <x v="16"/>
    <d v="2021-04-18T00:00:00"/>
    <s v="Cash Rewards Visa Signature"/>
    <x v="1103"/>
    <n v="117.27"/>
    <x v="26"/>
    <m/>
    <m/>
    <m/>
    <n v="117.27"/>
    <b v="0"/>
    <m/>
    <m/>
    <s v="-"/>
    <x v="1050"/>
    <s v="Delete; and Description Like '%LAKEWINDS CHANHASSEN%';Restaurants"/>
    <m/>
  </r>
  <r>
    <x v="16"/>
    <d v="2021-04-18T00:00:00"/>
    <s v="Cash Rewards Visa Signature"/>
    <x v="1314"/>
    <n v="12"/>
    <x v="26"/>
    <m/>
    <m/>
    <m/>
    <n v="12"/>
    <b v="0"/>
    <m/>
    <m/>
    <s v="-"/>
    <x v="1242"/>
    <s v="Manual"/>
    <m/>
  </r>
  <r>
    <x v="16"/>
    <d v="2021-04-18T00:00:00"/>
    <s v="Cash Rewards Visa Signature"/>
    <x v="1314"/>
    <n v="16.100000000000001"/>
    <x v="26"/>
    <m/>
    <m/>
    <m/>
    <n v="16.100000000000001"/>
    <b v="0"/>
    <m/>
    <m/>
    <s v="-"/>
    <x v="1242"/>
    <s v="Manual"/>
    <m/>
  </r>
  <r>
    <x v="16"/>
    <d v="2021-04-18T00:00:00"/>
    <s v="Cash Rewards Visa Signature"/>
    <x v="1315"/>
    <n v="310.3"/>
    <x v="26"/>
    <m/>
    <m/>
    <m/>
    <n v="310.3"/>
    <b v="0"/>
    <m/>
    <m/>
    <s v="-"/>
    <x v="1243"/>
    <s v="Manual"/>
    <m/>
  </r>
  <r>
    <x v="16"/>
    <d v="2021-04-18T00:00:00"/>
    <s v="Cash Rewards Visa Signature"/>
    <x v="1316"/>
    <n v="310.3"/>
    <x v="26"/>
    <m/>
    <m/>
    <m/>
    <n v="310.3"/>
    <b v="0"/>
    <m/>
    <m/>
    <s v="-"/>
    <x v="1244"/>
    <s v="Manual"/>
    <m/>
  </r>
  <r>
    <x v="16"/>
    <d v="2021-04-19T00:00:00"/>
    <s v="CARGILL PARTNERSHIP PLAN"/>
    <x v="566"/>
    <n v="-1265.04"/>
    <x v="26"/>
    <m/>
    <m/>
    <m/>
    <n v="1265.04"/>
    <b v="0"/>
    <m/>
    <m/>
    <s v="+"/>
    <x v="547"/>
    <s v="Create Rule; and Description='Cargill ESOP Stock Fund - Plan Contribution';Delete"/>
    <m/>
  </r>
  <r>
    <x v="16"/>
    <d v="2021-04-19T00:00:00"/>
    <s v="POWERPLUS"/>
    <x v="1317"/>
    <n v="200"/>
    <x v="26"/>
    <m/>
    <m/>
    <m/>
    <n v="200"/>
    <b v="0"/>
    <m/>
    <m/>
    <s v="-"/>
    <x v="1245"/>
    <s v="Create Rule; and Description Like '%MN DIR ACH%';College Savings"/>
    <m/>
  </r>
  <r>
    <x v="16"/>
    <d v="2021-04-19T00:00:00"/>
    <s v="Contributory"/>
    <x v="19"/>
    <n v="1000"/>
    <x v="26"/>
    <m/>
    <m/>
    <m/>
    <n v="1000"/>
    <b v="0"/>
    <m/>
    <m/>
    <s v="-"/>
    <x v="19"/>
    <s v="Delete; and Description='SCHWAB S&amp;P 500 INDEX FD' and inflowoutflow='-';0"/>
    <m/>
  </r>
  <r>
    <x v="16"/>
    <d v="2021-04-20T00:00:00"/>
    <s v="Cash Rewards Visa Signature"/>
    <x v="1318"/>
    <n v="-862.69"/>
    <x v="26"/>
    <m/>
    <m/>
    <m/>
    <n v="862.69"/>
    <b v="0"/>
    <m/>
    <m/>
    <s v="+"/>
    <x v="1246"/>
    <s v="Delete; and Description Like '%PAYMENT THANK YOU%';0"/>
    <m/>
  </r>
  <r>
    <x v="16"/>
    <d v="2021-04-20T00:00:00"/>
    <s v="Discover More Card"/>
    <x v="56"/>
    <n v="-239.88"/>
    <x v="3"/>
    <m/>
    <m/>
    <m/>
    <n v="239.88"/>
    <b v="0"/>
    <m/>
    <m/>
    <s v="+"/>
    <x v="56"/>
    <s v="Delete; and Description='INTERNET PAYMENT - THANK YOU';0"/>
    <m/>
  </r>
  <r>
    <x v="16"/>
    <d v="2021-04-20T00:00:00"/>
    <s v="Discover"/>
    <x v="56"/>
    <n v="-239.88"/>
    <x v="3"/>
    <m/>
    <m/>
    <m/>
    <n v="239.88"/>
    <b v="0"/>
    <m/>
    <m/>
    <s v="+"/>
    <x v="56"/>
    <s v="Delete; and Description='INTERNET PAYMENT - THANK YOU';0"/>
    <m/>
  </r>
  <r>
    <x v="16"/>
    <d v="2021-04-20T00:00:00"/>
    <s v="POWERPLUS"/>
    <x v="1319"/>
    <n v="862.69"/>
    <x v="26"/>
    <m/>
    <m/>
    <m/>
    <n v="862.69"/>
    <b v="0"/>
    <m/>
    <m/>
    <s v="-"/>
    <x v="1247"/>
    <s v="Delete; and Description Like '%Withdrawal Home payment to card%';0"/>
    <m/>
  </r>
  <r>
    <x v="16"/>
    <d v="2021-04-20T00:00:00"/>
    <s v="Discover More Card"/>
    <x v="0"/>
    <n v="-8.58"/>
    <x v="0"/>
    <m/>
    <m/>
    <m/>
    <n v="8.58"/>
    <b v="0"/>
    <m/>
    <m/>
    <s v="+"/>
    <x v="0"/>
    <s v="Create Rule; and Description='Amazon';Amazon"/>
    <m/>
  </r>
  <r>
    <x v="16"/>
    <d v="2021-04-20T00:00:00"/>
    <s v="Discover"/>
    <x v="0"/>
    <n v="-8.58"/>
    <x v="0"/>
    <m/>
    <m/>
    <m/>
    <n v="8.58"/>
    <b v="0"/>
    <m/>
    <m/>
    <s v="+"/>
    <x v="0"/>
    <s v="Create Rule; and Description='Amazon';Amazon"/>
    <m/>
  </r>
  <r>
    <x v="16"/>
    <d v="2021-04-20T00:00:00"/>
    <s v="POWERPLUS"/>
    <x v="1320"/>
    <n v="-6.89"/>
    <x v="26"/>
    <m/>
    <m/>
    <m/>
    <n v="6.89"/>
    <b v="0"/>
    <m/>
    <m/>
    <s v="+"/>
    <x v="1248"/>
    <s v="Manual"/>
    <m/>
  </r>
  <r>
    <x v="16"/>
    <d v="2021-04-20T00:00:00"/>
    <s v="POWERPLUS"/>
    <x v="1321"/>
    <n v="425"/>
    <x v="26"/>
    <m/>
    <m/>
    <m/>
    <n v="425"/>
    <b v="0"/>
    <m/>
    <m/>
    <s v="-"/>
    <x v="1249"/>
    <s v="Create Rule; and Description Like '%MHCHILDCARELLC%';Day Care"/>
    <m/>
  </r>
  <r>
    <x v="16"/>
    <d v="2021-04-20T00:00:00"/>
    <s v="Joint Tenant"/>
    <x v="19"/>
    <n v="200"/>
    <x v="26"/>
    <m/>
    <m/>
    <m/>
    <n v="200"/>
    <b v="0"/>
    <m/>
    <m/>
    <s v="-"/>
    <x v="19"/>
    <s v="Delete; and Description='SCHWAB S&amp;P 500 INDEX FD' and inflowoutflow='-';0"/>
    <m/>
  </r>
  <r>
    <x v="16"/>
    <d v="2021-04-20T00:00:00"/>
    <s v="Joint Tenant"/>
    <x v="20"/>
    <n v="200"/>
    <x v="26"/>
    <m/>
    <m/>
    <m/>
    <n v="200"/>
    <b v="0"/>
    <m/>
    <m/>
    <s v="-"/>
    <x v="20"/>
    <s v="Delete; and Description='SCHWAB TOTAL STOCK MKT INDEX' and inflowoutflow='-';0"/>
    <m/>
  </r>
  <r>
    <x v="16"/>
    <d v="2021-04-21T00:00:00"/>
    <s v="POWERPLUS"/>
    <x v="1322"/>
    <n v="239.88"/>
    <x v="26"/>
    <m/>
    <m/>
    <m/>
    <n v="239.88"/>
    <b v="0"/>
    <m/>
    <m/>
    <s v="-"/>
    <x v="1250"/>
    <s v="Delete; and Description Like '%DISCOVER TYPE EPAYMENT%';0"/>
    <m/>
  </r>
  <r>
    <x v="16"/>
    <d v="2021-04-21T00:00:00"/>
    <s v="Discover More Card"/>
    <x v="0"/>
    <n v="19.95"/>
    <x v="0"/>
    <m/>
    <m/>
    <m/>
    <n v="19.95"/>
    <b v="0"/>
    <m/>
    <m/>
    <s v="-"/>
    <x v="0"/>
    <s v="Create Rule; and Description='Amazon';Amazon"/>
    <m/>
  </r>
  <r>
    <x v="16"/>
    <d v="2021-04-21T00:00:00"/>
    <s v="Discover More Card"/>
    <x v="0"/>
    <n v="125.69"/>
    <x v="0"/>
    <m/>
    <m/>
    <m/>
    <n v="125.69"/>
    <b v="0"/>
    <m/>
    <m/>
    <s v="-"/>
    <x v="0"/>
    <s v="Create Rule; and Description='Amazon';Amazon"/>
    <m/>
  </r>
  <r>
    <x v="16"/>
    <d v="2021-04-21T00:00:00"/>
    <s v="Discover"/>
    <x v="0"/>
    <n v="19.95"/>
    <x v="0"/>
    <m/>
    <m/>
    <m/>
    <n v="19.95"/>
    <b v="0"/>
    <m/>
    <m/>
    <s v="-"/>
    <x v="0"/>
    <s v="Create Rule; and Description='Amazon';Amazon"/>
    <m/>
  </r>
  <r>
    <x v="16"/>
    <d v="2021-04-21T00:00:00"/>
    <s v="Discover"/>
    <x v="0"/>
    <n v="125.69"/>
    <x v="0"/>
    <m/>
    <m/>
    <m/>
    <n v="125.69"/>
    <b v="0"/>
    <m/>
    <m/>
    <s v="-"/>
    <x v="0"/>
    <s v="Create Rule; and Description='Amazon';Amazon"/>
    <m/>
  </r>
  <r>
    <x v="16"/>
    <d v="2021-04-21T00:00:00"/>
    <s v="Cash Rewards Visa Signature"/>
    <x v="1282"/>
    <n v="9"/>
    <x v="26"/>
    <m/>
    <m/>
    <m/>
    <n v="9"/>
    <b v="0"/>
    <m/>
    <m/>
    <s v="-"/>
    <x v="1215"/>
    <s v="Create Rule; and Description Like '%BONFES%';House Maintenance"/>
    <m/>
  </r>
  <r>
    <x v="16"/>
    <d v="2021-04-21T00:00:00"/>
    <s v="POWERPLUS"/>
    <x v="84"/>
    <n v="107.8"/>
    <x v="26"/>
    <m/>
    <m/>
    <m/>
    <n v="107.8"/>
    <b v="0"/>
    <m/>
    <m/>
    <s v="-"/>
    <x v="84"/>
    <s v="Create Rule; and Description='City of Chanhassen';Utilities"/>
    <m/>
  </r>
  <r>
    <x v="16"/>
    <d v="2021-04-21T00:00:00"/>
    <s v="Cash Rewards Visa Signature"/>
    <x v="1323"/>
    <n v="26.85"/>
    <x v="26"/>
    <m/>
    <m/>
    <m/>
    <n v="26.85"/>
    <b v="0"/>
    <m/>
    <m/>
    <s v="-"/>
    <x v="1251"/>
    <s v="Manual"/>
    <m/>
  </r>
  <r>
    <x v="16"/>
    <d v="2021-04-22T00:00:00"/>
    <s v="Discover More Card"/>
    <x v="823"/>
    <n v="27.52"/>
    <x v="2"/>
    <m/>
    <m/>
    <m/>
    <n v="27.52"/>
    <b v="0"/>
    <m/>
    <m/>
    <s v="-"/>
    <x v="792"/>
    <s v="Create Rule; and Description='Kwik Trip';Transportation"/>
    <m/>
  </r>
  <r>
    <x v="16"/>
    <d v="2021-04-22T00:00:00"/>
    <s v="Discover"/>
    <x v="823"/>
    <n v="27.52"/>
    <x v="2"/>
    <m/>
    <m/>
    <m/>
    <n v="27.52"/>
    <b v="0"/>
    <m/>
    <m/>
    <s v="-"/>
    <x v="792"/>
    <s v="Create Rule; and Description='Kwik Trip';Transportation"/>
    <m/>
  </r>
  <r>
    <x v="16"/>
    <d v="2021-04-22T00:00:00"/>
    <s v="Cash Rewards Visa Signature"/>
    <x v="1324"/>
    <n v="217"/>
    <x v="26"/>
    <m/>
    <m/>
    <m/>
    <n v="217"/>
    <b v="0"/>
    <m/>
    <m/>
    <s v="-"/>
    <x v="1252"/>
    <s v="Manual"/>
    <m/>
  </r>
  <r>
    <x v="16"/>
    <d v="2021-04-25T00:00:00"/>
    <s v="Cash Rewards Visa Signature"/>
    <x v="6"/>
    <n v="60.7"/>
    <x v="5"/>
    <m/>
    <m/>
    <m/>
    <n v="60.7"/>
    <b v="0"/>
    <m/>
    <m/>
    <s v="-"/>
    <x v="6"/>
    <s v="Create Rule; and Description Like '%Cub Foods%';Groceries"/>
    <m/>
  </r>
  <r>
    <x v="16"/>
    <d v="2021-04-25T00:00:00"/>
    <s v="Cash Rewards Visa Signature"/>
    <x v="1226"/>
    <n v="17.399999999999999"/>
    <x v="26"/>
    <m/>
    <m/>
    <m/>
    <n v="17.399999999999999"/>
    <b v="0"/>
    <m/>
    <m/>
    <s v="-"/>
    <x v="1164"/>
    <s v="Manual"/>
    <m/>
  </r>
  <r>
    <x v="16"/>
    <d v="2021-04-26T00:00:00"/>
    <s v="Discover More Card"/>
    <x v="0"/>
    <n v="5.73"/>
    <x v="0"/>
    <m/>
    <m/>
    <m/>
    <n v="5.73"/>
    <b v="0"/>
    <m/>
    <m/>
    <s v="-"/>
    <x v="0"/>
    <s v="Create Rule; and Description='Amazon';Amazon"/>
    <m/>
  </r>
  <r>
    <x v="16"/>
    <d v="2021-04-26T00:00:00"/>
    <s v="Discover"/>
    <x v="0"/>
    <n v="5.73"/>
    <x v="0"/>
    <m/>
    <m/>
    <m/>
    <n v="5.73"/>
    <b v="0"/>
    <m/>
    <m/>
    <s v="-"/>
    <x v="0"/>
    <s v="Create Rule; and Description='Amazon';Amazon"/>
    <m/>
  </r>
  <r>
    <x v="16"/>
    <d v="2021-04-26T00:00:00"/>
    <s v="Cash Rewards Visa Signature"/>
    <x v="1325"/>
    <n v="50"/>
    <x v="26"/>
    <m/>
    <m/>
    <m/>
    <n v="50"/>
    <b v="0"/>
    <m/>
    <m/>
    <s v="-"/>
    <x v="1253"/>
    <s v="Manual"/>
    <m/>
  </r>
  <r>
    <x v="16"/>
    <d v="2021-04-26T00:00:00"/>
    <s v="Cash Rewards Visa Signature"/>
    <x v="6"/>
    <n v="93.78"/>
    <x v="5"/>
    <m/>
    <m/>
    <m/>
    <n v="93.78"/>
    <b v="0"/>
    <m/>
    <m/>
    <s v="-"/>
    <x v="6"/>
    <s v="Create Rule; and Description Like '%Cub Foods%';Groceries"/>
    <m/>
  </r>
  <r>
    <x v="16"/>
    <d v="2021-04-26T00:00:00"/>
    <s v="Discover More Card"/>
    <x v="99"/>
    <n v="8.99"/>
    <x v="11"/>
    <m/>
    <m/>
    <m/>
    <n v="8.99"/>
    <b v="0"/>
    <m/>
    <m/>
    <s v="-"/>
    <x v="99"/>
    <s v="Create Rule; and Description='Netflix';Utilities"/>
    <m/>
  </r>
  <r>
    <x v="16"/>
    <d v="2021-04-26T00:00:00"/>
    <s v="Discover"/>
    <x v="99"/>
    <n v="8.99"/>
    <x v="11"/>
    <m/>
    <m/>
    <m/>
    <n v="8.99"/>
    <b v="0"/>
    <m/>
    <m/>
    <s v="-"/>
    <x v="99"/>
    <s v="Create Rule; and Description='Netflix';Utilities"/>
    <m/>
  </r>
  <r>
    <x v="16"/>
    <d v="2021-04-26T00:00:00"/>
    <s v="POWERPLUS"/>
    <x v="34"/>
    <n v="588.12"/>
    <x v="12"/>
    <m/>
    <m/>
    <m/>
    <n v="588.12"/>
    <b v="0"/>
    <m/>
    <m/>
    <s v="-"/>
    <x v="34"/>
    <s v="Create Rule; and Description='Target';Target"/>
    <m/>
  </r>
  <r>
    <x v="16"/>
    <d v="2021-04-26T00:00:00"/>
    <s v="Cash Rewards Visa Signature"/>
    <x v="1326"/>
    <n v="54.49"/>
    <x v="26"/>
    <m/>
    <m/>
    <m/>
    <n v="54.49"/>
    <b v="0"/>
    <m/>
    <m/>
    <s v="-"/>
    <x v="1254"/>
    <s v="Create Rule; and Description Like '%TST COPPER COW%';Restaurants"/>
    <m/>
  </r>
  <r>
    <x v="16"/>
    <d v="2021-04-27T00:00:00"/>
    <s v="Cash Rewards Visa Signature"/>
    <x v="1318"/>
    <n v="-529.22"/>
    <x v="26"/>
    <m/>
    <m/>
    <m/>
    <n v="529.22"/>
    <b v="0"/>
    <m/>
    <m/>
    <s v="+"/>
    <x v="1246"/>
    <s v="Delete; and Description Like '%PAYMENT THANK YOU%';0"/>
    <m/>
  </r>
  <r>
    <x v="16"/>
    <d v="2021-04-27T00:00:00"/>
    <s v="POWERPLUS"/>
    <x v="1319"/>
    <n v="529.22"/>
    <x v="26"/>
    <m/>
    <m/>
    <m/>
    <n v="529.22"/>
    <b v="0"/>
    <m/>
    <m/>
    <s v="-"/>
    <x v="1247"/>
    <s v="Delete; and Description Like '%Withdrawal Home payment to card%';0"/>
    <m/>
  </r>
  <r>
    <x v="16"/>
    <d v="2021-04-27T00:00:00"/>
    <s v="Cash Rewards Visa Signature"/>
    <x v="60"/>
    <n v="169.16"/>
    <x v="26"/>
    <m/>
    <m/>
    <m/>
    <n v="169.16"/>
    <b v="0"/>
    <m/>
    <m/>
    <s v="-"/>
    <x v="60"/>
    <s v="Create Rule; and Description='Home Depot';House Maintenance"/>
    <m/>
  </r>
  <r>
    <x v="16"/>
    <d v="2021-04-28T00:00:00"/>
    <s v="Discover More Card"/>
    <x v="0"/>
    <n v="45.62"/>
    <x v="0"/>
    <m/>
    <m/>
    <m/>
    <n v="45.62"/>
    <b v="0"/>
    <m/>
    <m/>
    <s v="-"/>
    <x v="0"/>
    <s v="Create Rule; and Description='Amazon';Amazon"/>
    <m/>
  </r>
  <r>
    <x v="16"/>
    <d v="2021-04-28T00:00:00"/>
    <s v="Discover"/>
    <x v="0"/>
    <n v="45.62"/>
    <x v="0"/>
    <m/>
    <m/>
    <m/>
    <n v="45.62"/>
    <b v="0"/>
    <m/>
    <m/>
    <s v="-"/>
    <x v="0"/>
    <s v="Create Rule; and Description='Amazon';Amazon"/>
    <m/>
  </r>
  <r>
    <x v="16"/>
    <d v="2021-04-28T00:00:00"/>
    <s v="POWERPLUS"/>
    <x v="1327"/>
    <n v="-3102.98"/>
    <x v="26"/>
    <m/>
    <m/>
    <m/>
    <n v="3102.98"/>
    <b v="0"/>
    <m/>
    <m/>
    <s v="+"/>
    <x v="910"/>
    <s v="Create Rule; and Description Like '%CONNECTED ANALYT%';Jeff"/>
    <m/>
  </r>
  <r>
    <x v="16"/>
    <d v="2021-04-28T00:00:00"/>
    <s v="POWERPLUS"/>
    <x v="1321"/>
    <n v="425"/>
    <x v="26"/>
    <m/>
    <m/>
    <m/>
    <n v="425"/>
    <b v="0"/>
    <m/>
    <m/>
    <s v="-"/>
    <x v="1249"/>
    <s v="Create Rule; and Description Like '%MHCHILDCARELLC%';Day Care"/>
    <m/>
  </r>
  <r>
    <x v="16"/>
    <d v="2021-04-28T00:00:00"/>
    <s v="POWERPLUS"/>
    <x v="308"/>
    <n v="129.94999999999999"/>
    <x v="8"/>
    <m/>
    <m/>
    <m/>
    <n v="129.94999999999999"/>
    <b v="0"/>
    <m/>
    <m/>
    <s v="-"/>
    <x v="300"/>
    <s v="Create Rule; and Description='Nordstrom';Shopping"/>
    <m/>
  </r>
  <r>
    <x v="16"/>
    <d v="2021-04-29T00:00:00"/>
    <s v="POWERPLUS"/>
    <x v="1328"/>
    <n v="123.41"/>
    <x v="26"/>
    <m/>
    <m/>
    <m/>
    <n v="123.41"/>
    <b v="0"/>
    <m/>
    <m/>
    <s v="-"/>
    <x v="1255"/>
    <s v="Manual"/>
    <m/>
  </r>
  <r>
    <x v="16"/>
    <d v="2021-04-29T00:00:00"/>
    <s v="POWERPLUS"/>
    <x v="1329"/>
    <n v="-2168.13"/>
    <x v="26"/>
    <m/>
    <m/>
    <m/>
    <n v="2168.13"/>
    <b v="0"/>
    <m/>
    <m/>
    <s v="+"/>
    <x v="1256"/>
    <s v="Manual"/>
    <m/>
  </r>
  <r>
    <x v="16"/>
    <d v="2021-04-29T00:00:00"/>
    <s v="POWERPLUS"/>
    <x v="157"/>
    <n v="0.99"/>
    <x v="8"/>
    <m/>
    <m/>
    <m/>
    <n v="0.99"/>
    <b v="0"/>
    <m/>
    <m/>
    <s v="-"/>
    <x v="156"/>
    <s v="Create Rule; and Description Like '%PayPal%';Shopping"/>
    <m/>
  </r>
  <r>
    <x v="16"/>
    <d v="2021-04-29T00:00:00"/>
    <s v="Cash Rewards Visa Signature"/>
    <x v="1330"/>
    <n v="48"/>
    <x v="26"/>
    <m/>
    <m/>
    <m/>
    <n v="48"/>
    <b v="0"/>
    <m/>
    <m/>
    <s v="-"/>
    <x v="1257"/>
    <s v="Manual"/>
    <m/>
  </r>
  <r>
    <x v="16"/>
    <d v="2021-04-29T00:00:00"/>
    <s v="Discover More Card"/>
    <x v="2"/>
    <n v="40.36"/>
    <x v="2"/>
    <m/>
    <m/>
    <m/>
    <n v="40.36"/>
    <b v="0"/>
    <m/>
    <m/>
    <s v="-"/>
    <x v="2"/>
    <s v="Create Rule; and Description='Speedway';Transportation"/>
    <m/>
  </r>
  <r>
    <x v="16"/>
    <d v="2021-04-29T00:00:00"/>
    <s v="Discover"/>
    <x v="2"/>
    <n v="40.36"/>
    <x v="2"/>
    <m/>
    <m/>
    <m/>
    <n v="40.36"/>
    <b v="0"/>
    <m/>
    <m/>
    <s v="-"/>
    <x v="2"/>
    <s v="Create Rule; and Description='Speedway';Transportation"/>
    <m/>
  </r>
  <r>
    <x v="16"/>
    <d v="2021-04-29T00:00:00"/>
    <s v="Cash Rewards Visa Signature"/>
    <x v="1331"/>
    <n v="193.16"/>
    <x v="26"/>
    <m/>
    <m/>
    <m/>
    <n v="193.16"/>
    <b v="0"/>
    <m/>
    <m/>
    <s v="-"/>
    <x v="1258"/>
    <s v="Manual"/>
    <m/>
  </r>
  <r>
    <x v="16"/>
    <d v="2021-04-30T00:00:00"/>
    <s v="Cash Rewards Visa Signature"/>
    <x v="936"/>
    <n v="-410.32"/>
    <x v="26"/>
    <m/>
    <m/>
    <m/>
    <n v="410.32"/>
    <b v="0"/>
    <m/>
    <m/>
    <s v="+"/>
    <x v="900"/>
    <s v="Delete; and Description Like '%PAYMENT THANK YOU%';0"/>
    <m/>
  </r>
  <r>
    <x v="16"/>
    <d v="2021-04-30T00:00:00"/>
    <s v="POWERPLUS"/>
    <x v="1319"/>
    <n v="410.32"/>
    <x v="26"/>
    <m/>
    <m/>
    <m/>
    <n v="410.32"/>
    <b v="0"/>
    <m/>
    <m/>
    <s v="-"/>
    <x v="1247"/>
    <s v="Delete; and Description Like '%Withdrawal Home payment to card%';0"/>
    <m/>
  </r>
  <r>
    <x v="16"/>
    <d v="2021-04-30T00:00:00"/>
    <s v="Joint Tenant"/>
    <x v="1299"/>
    <n v="-200"/>
    <x v="26"/>
    <m/>
    <m/>
    <m/>
    <n v="200"/>
    <b v="0"/>
    <m/>
    <m/>
    <s v="+"/>
    <x v="1230"/>
    <s v="Delete; and Source='Joint Tenant';0"/>
    <m/>
  </r>
  <r>
    <x v="16"/>
    <d v="2021-04-30T00:00:00"/>
    <s v="Joint Tenant"/>
    <x v="950"/>
    <n v="-250"/>
    <x v="26"/>
    <m/>
    <m/>
    <m/>
    <n v="250"/>
    <b v="0"/>
    <m/>
    <m/>
    <s v="+"/>
    <x v="913"/>
    <s v="Create Rule; and Description Like '%CONNECTED ANALYT%';Inc - Jeff"/>
    <m/>
  </r>
  <r>
    <x v="16"/>
    <d v="2021-04-30T00:00:00"/>
    <s v="RAINY DAY"/>
    <x v="1332"/>
    <n v="-0.13"/>
    <x v="26"/>
    <m/>
    <m/>
    <m/>
    <n v="0.13"/>
    <b v="0"/>
    <m/>
    <m/>
    <s v="+"/>
    <x v="1259"/>
    <s v="Manual"/>
    <m/>
  </r>
  <r>
    <x v="16"/>
    <d v="2021-04-30T00:00:00"/>
    <s v="POWERPLUS"/>
    <x v="1333"/>
    <n v="-24.47"/>
    <x v="26"/>
    <m/>
    <m/>
    <m/>
    <n v="24.47"/>
    <b v="0"/>
    <m/>
    <m/>
    <s v="+"/>
    <x v="1260"/>
    <s v="Manual"/>
    <m/>
  </r>
  <r>
    <x v="16"/>
    <d v="2021-04-30T00:00:00"/>
    <s v="Investor Checking"/>
    <x v="118"/>
    <n v="-0.02"/>
    <x v="26"/>
    <m/>
    <m/>
    <m/>
    <n v="0.02"/>
    <b v="0"/>
    <m/>
    <m/>
    <s v="+"/>
    <x v="118"/>
    <s v="Create Rule; and Description='Interest Paid';0"/>
    <m/>
  </r>
  <r>
    <x v="16"/>
    <d v="2021-04-30T00:00:00"/>
    <s v="Joint Tenant"/>
    <x v="358"/>
    <n v="-25.46"/>
    <x v="26"/>
    <m/>
    <m/>
    <m/>
    <n v="25.46"/>
    <b v="0"/>
    <m/>
    <m/>
    <s v="+"/>
    <x v="349"/>
    <s v="Delete; and Source='Joint Tenant';0"/>
    <m/>
  </r>
  <r>
    <x v="16"/>
    <d v="2021-04-30T00:00:00"/>
    <s v="Contributory"/>
    <x v="1300"/>
    <n v="-231"/>
    <x v="26"/>
    <m/>
    <m/>
    <m/>
    <n v="231"/>
    <b v="0"/>
    <m/>
    <m/>
    <s v="+"/>
    <x v="1231"/>
    <s v="Manual"/>
    <m/>
  </r>
  <r>
    <x v="16"/>
    <d v="2021-04-30T00:00:00"/>
    <s v="Jeff IRA"/>
    <x v="951"/>
    <n v="-250"/>
    <x v="26"/>
    <m/>
    <m/>
    <m/>
    <n v="250"/>
    <b v="0"/>
    <m/>
    <m/>
    <s v="+"/>
    <x v="914"/>
    <s v="Create Rule; and Description Like '%CONNECTED ANALYT%';Inc - Jeff"/>
    <m/>
  </r>
  <r>
    <x v="28"/>
    <d v="2021-05-01T00:00:00"/>
    <s v="Discover"/>
    <x v="598"/>
    <n v="4.28"/>
    <x v="10"/>
    <m/>
    <m/>
    <m/>
    <n v="4.28"/>
    <b v="0"/>
    <m/>
    <m/>
    <s v="-"/>
    <x v="579"/>
    <s v="Create Rule; and Description='Amazon Music';Entertainment"/>
    <m/>
  </r>
  <r>
    <x v="28"/>
    <d v="2021-05-01T00:00:00"/>
    <s v="Discover More Card"/>
    <x v="598"/>
    <n v="4.28"/>
    <x v="10"/>
    <m/>
    <m/>
    <m/>
    <n v="4.28"/>
    <b v="0"/>
    <m/>
    <m/>
    <s v="-"/>
    <x v="579"/>
    <s v="Create Rule; and Description='Amazon Music';Entertainment"/>
    <m/>
  </r>
  <r>
    <x v="28"/>
    <d v="2021-05-01T00:00:00"/>
    <s v="HIGHLANDER"/>
    <x v="976"/>
    <n v="-584.38"/>
    <x v="26"/>
    <m/>
    <m/>
    <m/>
    <n v="584.38"/>
    <b v="0"/>
    <m/>
    <m/>
    <s v="+"/>
    <x v="936"/>
    <s v="Create Rule; and Description='From Share 70';Delete"/>
    <m/>
  </r>
  <r>
    <x v="28"/>
    <d v="2021-05-01T00:00:00"/>
    <s v="POWERPLUS"/>
    <x v="979"/>
    <n v="618.65"/>
    <x v="26"/>
    <m/>
    <m/>
    <m/>
    <n v="618.65"/>
    <b v="0"/>
    <m/>
    <m/>
    <s v="-"/>
    <x v="939"/>
    <s v="Create Rule; and Description Like '%To Loan 02%';Car Loan"/>
    <m/>
  </r>
  <r>
    <x v="28"/>
    <d v="2021-05-02T00:00:00"/>
    <s v="Cash Rewards Visa Signature"/>
    <x v="177"/>
    <n v="85.8"/>
    <x v="26"/>
    <m/>
    <m/>
    <m/>
    <n v="85.8"/>
    <b v="0"/>
    <m/>
    <m/>
    <s v="-"/>
    <x v="176"/>
    <s v="Create Rule; and Description='NORTH COOP CHAHASSEN MN';Restaurants"/>
    <m/>
  </r>
  <r>
    <x v="28"/>
    <d v="2021-05-03T00:00:00"/>
    <s v="30 YR FIXED"/>
    <x v="935"/>
    <n v="-731.15"/>
    <x v="3"/>
    <m/>
    <m/>
    <m/>
    <n v="731.15"/>
    <b v="0"/>
    <m/>
    <m/>
    <s v="+"/>
    <x v="899"/>
    <s v="Create Rule; and Description='PAYMENT';Delete"/>
    <m/>
  </r>
  <r>
    <x v="28"/>
    <d v="2021-05-03T00:00:00"/>
    <s v="Joint Tenant"/>
    <x v="125"/>
    <n v="-132.82"/>
    <x v="26"/>
    <m/>
    <m/>
    <m/>
    <n v="132.82"/>
    <b v="0"/>
    <m/>
    <m/>
    <s v="+"/>
    <x v="124"/>
    <s v="Create Rule; and Description='A T &amp; T INC';Dividend"/>
    <m/>
  </r>
  <r>
    <x v="28"/>
    <d v="2021-05-03T00:00:00"/>
    <s v="Discover"/>
    <x v="0"/>
    <n v="22.5"/>
    <x v="0"/>
    <m/>
    <m/>
    <m/>
    <n v="22.5"/>
    <b v="0"/>
    <m/>
    <m/>
    <s v="-"/>
    <x v="0"/>
    <s v="Create Rule; and Description='Amazon';Amazon"/>
    <m/>
  </r>
  <r>
    <x v="28"/>
    <d v="2021-05-03T00:00:00"/>
    <s v="Discover More Card"/>
    <x v="0"/>
    <n v="22.5"/>
    <x v="0"/>
    <m/>
    <m/>
    <m/>
    <n v="22.5"/>
    <b v="0"/>
    <m/>
    <m/>
    <s v="-"/>
    <x v="0"/>
    <s v="Create Rule; and Description='Amazon';Amazon"/>
    <m/>
  </r>
  <r>
    <x v="28"/>
    <d v="2021-05-03T00:00:00"/>
    <s v="POWERPLUS"/>
    <x v="1334"/>
    <n v="2832.55"/>
    <x v="6"/>
    <m/>
    <m/>
    <m/>
    <n v="2832.55"/>
    <b v="0"/>
    <m/>
    <m/>
    <s v="-"/>
    <x v="1261"/>
    <s v="Manual"/>
    <m/>
  </r>
  <r>
    <x v="28"/>
    <d v="2021-05-03T00:00:00"/>
    <s v="POWERPLUS"/>
    <x v="1335"/>
    <n v="200"/>
    <x v="26"/>
    <m/>
    <m/>
    <m/>
    <n v="200"/>
    <b v="0"/>
    <m/>
    <m/>
    <s v="-"/>
    <x v="1262"/>
    <s v="Create Rule; and Description Like '%College Savings%';College Savings"/>
    <m/>
  </r>
  <r>
    <x v="28"/>
    <d v="2021-05-03T00:00:00"/>
    <s v="Cash Rewards Visa Signature"/>
    <x v="6"/>
    <n v="232.12"/>
    <x v="5"/>
    <m/>
    <m/>
    <m/>
    <n v="232.12"/>
    <b v="0"/>
    <m/>
    <m/>
    <s v="-"/>
    <x v="6"/>
    <s v="Create Rule; and Description Like '%Cub Foods%';Groceries"/>
    <m/>
  </r>
  <r>
    <x v="28"/>
    <d v="2021-05-03T00:00:00"/>
    <s v="Cash Rewards Visa Signature"/>
    <x v="1336"/>
    <n v="5"/>
    <x v="1"/>
    <m/>
    <m/>
    <m/>
    <n v="5"/>
    <b v="0"/>
    <m/>
    <m/>
    <s v="-"/>
    <x v="1263"/>
    <s v="Manual"/>
    <m/>
  </r>
  <r>
    <x v="28"/>
    <d v="2021-05-03T00:00:00"/>
    <s v="Cash Rewards Visa Signature"/>
    <x v="1336"/>
    <n v="6.5"/>
    <x v="1"/>
    <m/>
    <m/>
    <m/>
    <n v="6.5"/>
    <b v="0"/>
    <m/>
    <m/>
    <s v="-"/>
    <x v="1263"/>
    <s v="Manual"/>
    <m/>
  </r>
  <r>
    <x v="28"/>
    <d v="2021-05-03T00:00:00"/>
    <s v="Cash Rewards Visa Signature"/>
    <x v="1336"/>
    <n v="39.6"/>
    <x v="1"/>
    <m/>
    <m/>
    <m/>
    <n v="39.6"/>
    <b v="0"/>
    <m/>
    <m/>
    <s v="-"/>
    <x v="1263"/>
    <s v="Manual"/>
    <m/>
  </r>
  <r>
    <x v="28"/>
    <d v="2021-05-03T00:00:00"/>
    <s v="Cash Rewards Visa Signature"/>
    <x v="1336"/>
    <n v="41"/>
    <x v="1"/>
    <m/>
    <m/>
    <m/>
    <n v="41"/>
    <b v="0"/>
    <m/>
    <m/>
    <s v="-"/>
    <x v="1263"/>
    <s v="Manual"/>
    <m/>
  </r>
  <r>
    <x v="28"/>
    <d v="2021-05-03T00:00:00"/>
    <s v="Cash Rewards Visa Signature"/>
    <x v="1337"/>
    <n v="18"/>
    <x v="26"/>
    <m/>
    <m/>
    <m/>
    <n v="18"/>
    <b v="0"/>
    <m/>
    <m/>
    <s v="-"/>
    <x v="1264"/>
    <s v="Manual"/>
    <m/>
  </r>
  <r>
    <x v="28"/>
    <d v="2021-05-03T00:00:00"/>
    <s v="Discover"/>
    <x v="823"/>
    <n v="24.41"/>
    <x v="2"/>
    <m/>
    <m/>
    <m/>
    <n v="24.41"/>
    <b v="0"/>
    <m/>
    <m/>
    <s v="-"/>
    <x v="792"/>
    <s v="Create Rule; and Description='Kwik Trip';Transportation"/>
    <m/>
  </r>
  <r>
    <x v="28"/>
    <d v="2021-05-03T00:00:00"/>
    <s v="Discover More Card"/>
    <x v="823"/>
    <n v="24.41"/>
    <x v="2"/>
    <m/>
    <m/>
    <m/>
    <n v="24.41"/>
    <b v="0"/>
    <m/>
    <m/>
    <s v="-"/>
    <x v="792"/>
    <s v="Create Rule; and Description='Kwik Trip';Transportation"/>
    <m/>
  </r>
  <r>
    <x v="28"/>
    <d v="2021-05-03T00:00:00"/>
    <s v="30 YR FIXED"/>
    <x v="1085"/>
    <n v="-431"/>
    <x v="26"/>
    <m/>
    <m/>
    <m/>
    <n v="431"/>
    <b v="0"/>
    <m/>
    <m/>
    <s v="+"/>
    <x v="1034"/>
    <s v="Create Rule; and Description='Principal Curtailment';Delete"/>
    <m/>
  </r>
  <r>
    <x v="28"/>
    <d v="2021-05-03T00:00:00"/>
    <s v="Joint Tenant"/>
    <x v="358"/>
    <n v="25.46"/>
    <x v="26"/>
    <m/>
    <m/>
    <m/>
    <n v="25.46"/>
    <b v="0"/>
    <m/>
    <m/>
    <s v="-"/>
    <x v="349"/>
    <s v="Delete; and Source='Joint Tenant';0"/>
    <m/>
  </r>
  <r>
    <x v="28"/>
    <d v="2021-05-04T00:00:00"/>
    <s v="Joint Tenant"/>
    <x v="125"/>
    <n v="132.82"/>
    <x v="26"/>
    <m/>
    <m/>
    <m/>
    <n v="132.82"/>
    <b v="0"/>
    <m/>
    <m/>
    <s v="-"/>
    <x v="124"/>
    <s v="Create Rule; and Description='A T &amp; T INC';Dividend"/>
    <m/>
  </r>
  <r>
    <x v="28"/>
    <d v="2021-05-04T00:00:00"/>
    <s v="POWERPLUS"/>
    <x v="1321"/>
    <n v="425"/>
    <x v="26"/>
    <m/>
    <m/>
    <m/>
    <n v="425"/>
    <b v="0"/>
    <m/>
    <m/>
    <s v="-"/>
    <x v="1249"/>
    <s v="Create Rule; and Description Like '%MHCHILDCARELLC%';Day Care"/>
    <m/>
  </r>
  <r>
    <x v="28"/>
    <d v="2021-05-04T00:00:00"/>
    <s v="Cash Rewards Visa Signature"/>
    <x v="1338"/>
    <n v="126.25"/>
    <x v="5"/>
    <m/>
    <m/>
    <m/>
    <n v="126.25"/>
    <b v="0"/>
    <m/>
    <m/>
    <s v="-"/>
    <x v="1265"/>
    <s v="Manual"/>
    <m/>
  </r>
  <r>
    <x v="28"/>
    <d v="2021-05-05T00:00:00"/>
    <s v="POWERPLUS"/>
    <x v="823"/>
    <n v="200"/>
    <x v="2"/>
    <m/>
    <m/>
    <m/>
    <n v="200"/>
    <b v="0"/>
    <m/>
    <m/>
    <s v="-"/>
    <x v="792"/>
    <s v="Create Rule; and Description='Kwik Trip';Transportation"/>
    <m/>
  </r>
  <r>
    <x v="28"/>
    <d v="2021-05-05T00:00:00"/>
    <s v="Joint Tenant"/>
    <x v="1089"/>
    <n v="-14.91"/>
    <x v="26"/>
    <m/>
    <m/>
    <m/>
    <n v="14.91"/>
    <b v="0"/>
    <m/>
    <m/>
    <s v="+"/>
    <x v="1038"/>
    <s v="Create Rule; and Description Like '%LOWES%';House Maintenance"/>
    <m/>
  </r>
  <r>
    <x v="28"/>
    <d v="2021-05-05T00:00:00"/>
    <s v="Joint Tenant"/>
    <x v="20"/>
    <n v="200"/>
    <x v="26"/>
    <m/>
    <m/>
    <m/>
    <n v="200"/>
    <b v="0"/>
    <m/>
    <m/>
    <s v="-"/>
    <x v="20"/>
    <s v="Delete; and Description='SCHWAB TOTAL STOCK MKT INDEX' and inflowoutflow='-';0"/>
    <m/>
  </r>
  <r>
    <x v="28"/>
    <d v="2021-05-05T00:00:00"/>
    <s v="Cash Rewards Visa Signature"/>
    <x v="1339"/>
    <n v="101.15"/>
    <x v="26"/>
    <m/>
    <m/>
    <m/>
    <n v="101.15"/>
    <b v="0"/>
    <m/>
    <m/>
    <s v="-"/>
    <x v="1266"/>
    <s v="Manual"/>
    <m/>
  </r>
  <r>
    <x v="28"/>
    <d v="2021-05-05T00:00:00"/>
    <s v="Investor Checking"/>
    <x v="361"/>
    <n v="-294.64"/>
    <x v="26"/>
    <m/>
    <m/>
    <m/>
    <n v="294.64"/>
    <b v="0"/>
    <m/>
    <m/>
    <s v="+"/>
    <x v="352"/>
    <s v="Manual"/>
    <m/>
  </r>
  <r>
    <x v="28"/>
    <d v="2021-05-06T00:00:00"/>
    <s v="Cash Rewards Visa Signature"/>
    <x v="240"/>
    <n v="29.21"/>
    <x v="26"/>
    <m/>
    <m/>
    <m/>
    <n v="29.21"/>
    <b v="0"/>
    <m/>
    <m/>
    <s v="-"/>
    <x v="238"/>
    <s v="Create Rule; and Description='Chipotle';Restaurants"/>
    <m/>
  </r>
  <r>
    <x v="28"/>
    <d v="2021-05-06T00:00:00"/>
    <s v="Discover"/>
    <x v="6"/>
    <n v="27.76"/>
    <x v="5"/>
    <m/>
    <m/>
    <m/>
    <n v="27.76"/>
    <b v="0"/>
    <m/>
    <m/>
    <s v="-"/>
    <x v="6"/>
    <s v="Create Rule; and Description Like '%Cub Foods%';Groceries"/>
    <m/>
  </r>
  <r>
    <x v="28"/>
    <d v="2021-05-06T00:00:00"/>
    <s v="Discover More Card"/>
    <x v="6"/>
    <n v="27.76"/>
    <x v="5"/>
    <m/>
    <m/>
    <m/>
    <n v="27.76"/>
    <b v="0"/>
    <m/>
    <m/>
    <s v="-"/>
    <x v="6"/>
    <s v="Create Rule; and Description Like '%Cub Foods%';Groceries"/>
    <m/>
  </r>
  <r>
    <x v="28"/>
    <d v="2021-05-06T00:00:00"/>
    <s v="Cash Rewards Visa Signature"/>
    <x v="1340"/>
    <n v="26.58"/>
    <x v="26"/>
    <m/>
    <m/>
    <m/>
    <n v="26.58"/>
    <b v="0"/>
    <m/>
    <m/>
    <s v="-"/>
    <x v="1267"/>
    <s v="Manual"/>
    <m/>
  </r>
  <r>
    <x v="28"/>
    <d v="2021-05-06T00:00:00"/>
    <s v="Joint Tenant"/>
    <x v="1089"/>
    <n v="14.91"/>
    <x v="26"/>
    <m/>
    <m/>
    <m/>
    <n v="14.91"/>
    <b v="0"/>
    <m/>
    <m/>
    <s v="-"/>
    <x v="1038"/>
    <s v="Create Rule; and Description Like '%LOWES%';House Maintenance"/>
    <m/>
  </r>
  <r>
    <x v="28"/>
    <d v="2021-05-06T00:00:00"/>
    <s v="POWERPLUS"/>
    <x v="142"/>
    <n v="130.41999999999999"/>
    <x v="26"/>
    <m/>
    <m/>
    <m/>
    <n v="130.41999999999999"/>
    <b v="0"/>
    <m/>
    <m/>
    <s v="-"/>
    <x v="141"/>
    <s v="Create Rule; and Description='Waste Management';Utilities"/>
    <m/>
  </r>
  <r>
    <x v="28"/>
    <d v="2021-05-06T00:00:00"/>
    <s v="POWERPLUS"/>
    <x v="30"/>
    <n v="121.59"/>
    <x v="11"/>
    <m/>
    <m/>
    <m/>
    <n v="121.59"/>
    <b v="0"/>
    <m/>
    <m/>
    <s v="-"/>
    <x v="30"/>
    <s v="Create Rule; and Description='Xcel Energy';Utilities"/>
    <m/>
  </r>
  <r>
    <x v="28"/>
    <d v="2021-05-07T00:00:00"/>
    <s v="Cash Rewards Visa Signature"/>
    <x v="77"/>
    <n v="-181.48"/>
    <x v="8"/>
    <m/>
    <m/>
    <m/>
    <n v="181.48"/>
    <b v="0"/>
    <m/>
    <m/>
    <s v="+"/>
    <x v="77"/>
    <s v="Manual"/>
    <m/>
  </r>
  <r>
    <x v="28"/>
    <d v="2021-05-07T00:00:00"/>
    <s v="Discover"/>
    <x v="6"/>
    <n v="18.37"/>
    <x v="5"/>
    <m/>
    <m/>
    <m/>
    <n v="18.37"/>
    <b v="0"/>
    <m/>
    <m/>
    <s v="-"/>
    <x v="6"/>
    <s v="Create Rule; and Description Like '%Cub Foods%';Groceries"/>
    <m/>
  </r>
  <r>
    <x v="28"/>
    <d v="2021-05-07T00:00:00"/>
    <s v="Discover More Card"/>
    <x v="6"/>
    <n v="18.37"/>
    <x v="5"/>
    <m/>
    <m/>
    <m/>
    <n v="18.37"/>
    <b v="0"/>
    <m/>
    <m/>
    <s v="-"/>
    <x v="6"/>
    <s v="Create Rule; and Description Like '%Cub Foods%';Groceries"/>
    <m/>
  </r>
  <r>
    <x v="28"/>
    <d v="2021-05-07T00:00:00"/>
    <s v="Discover"/>
    <x v="1341"/>
    <n v="35.15"/>
    <x v="26"/>
    <m/>
    <m/>
    <m/>
    <n v="35.15"/>
    <b v="0"/>
    <m/>
    <m/>
    <s v="-"/>
    <x v="1268"/>
    <s v="Manual"/>
    <m/>
  </r>
  <r>
    <x v="28"/>
    <d v="2021-05-07T00:00:00"/>
    <s v="Discover More Card"/>
    <x v="1341"/>
    <n v="35.15"/>
    <x v="26"/>
    <m/>
    <m/>
    <m/>
    <n v="35.15"/>
    <b v="0"/>
    <m/>
    <m/>
    <s v="-"/>
    <x v="1268"/>
    <s v="Manual"/>
    <m/>
  </r>
  <r>
    <x v="28"/>
    <d v="2021-05-08T00:00:00"/>
    <s v="Discover"/>
    <x v="70"/>
    <n v="26.03"/>
    <x v="26"/>
    <m/>
    <m/>
    <m/>
    <n v="26.03"/>
    <b v="0"/>
    <m/>
    <m/>
    <s v="-"/>
    <x v="70"/>
    <s v="Create Rule; and Description like '%Byerly%';Groceries"/>
    <m/>
  </r>
  <r>
    <x v="28"/>
    <d v="2021-05-08T00:00:00"/>
    <s v="Discover More Card"/>
    <x v="70"/>
    <n v="26.03"/>
    <x v="26"/>
    <m/>
    <m/>
    <m/>
    <n v="26.03"/>
    <b v="0"/>
    <m/>
    <m/>
    <s v="-"/>
    <x v="70"/>
    <s v="Create Rule; and Description like '%Byerly%';Groceries"/>
    <m/>
  </r>
  <r>
    <x v="28"/>
    <d v="2021-05-08T00:00:00"/>
    <s v="POWERPLUS"/>
    <x v="1342"/>
    <n v="303"/>
    <x v="26"/>
    <m/>
    <m/>
    <m/>
    <n v="303"/>
    <b v="0"/>
    <m/>
    <m/>
    <s v="-"/>
    <x v="1269"/>
    <s v="Manual"/>
    <m/>
  </r>
  <r>
    <x v="28"/>
    <d v="2021-05-09T00:00:00"/>
    <s v="Cash Rewards Visa Signature"/>
    <x v="60"/>
    <n v="226.99"/>
    <x v="26"/>
    <m/>
    <m/>
    <m/>
    <n v="226.99"/>
    <b v="0"/>
    <m/>
    <m/>
    <s v="-"/>
    <x v="60"/>
    <s v="Create Rule; and Description='Home Depot';House Maintenance"/>
    <m/>
  </r>
  <r>
    <x v="28"/>
    <d v="2021-05-10T00:00:00"/>
    <s v="Discover"/>
    <x v="67"/>
    <n v="45"/>
    <x v="11"/>
    <m/>
    <m/>
    <m/>
    <n v="45"/>
    <b v="0"/>
    <m/>
    <m/>
    <s v="-"/>
    <x v="67"/>
    <s v="Create Rule; and Description='CenturyLink';Utilities"/>
    <m/>
  </r>
  <r>
    <x v="28"/>
    <d v="2021-05-10T00:00:00"/>
    <s v="Discover More Card"/>
    <x v="67"/>
    <n v="45"/>
    <x v="11"/>
    <m/>
    <m/>
    <m/>
    <n v="45"/>
    <b v="0"/>
    <m/>
    <m/>
    <s v="-"/>
    <x v="67"/>
    <s v="Create Rule; and Description='CenturyLink';Utilities"/>
    <m/>
  </r>
  <r>
    <x v="28"/>
    <d v="2021-05-10T00:00:00"/>
    <s v="POWERPLUS"/>
    <x v="157"/>
    <n v="53.03"/>
    <x v="8"/>
    <m/>
    <m/>
    <m/>
    <n v="53.03"/>
    <b v="0"/>
    <m/>
    <m/>
    <s v="-"/>
    <x v="156"/>
    <s v="Create Rule; and Description Like '%PayPal%';Shopping"/>
    <m/>
  </r>
  <r>
    <x v="28"/>
    <d v="2021-05-10T00:00:00"/>
    <s v="Cash Rewards Visa Signature"/>
    <x v="1343"/>
    <n v="10.68"/>
    <x v="26"/>
    <m/>
    <m/>
    <m/>
    <n v="10.68"/>
    <b v="0"/>
    <m/>
    <m/>
    <s v="-"/>
    <x v="1270"/>
    <s v="Manual"/>
    <m/>
  </r>
  <r>
    <x v="28"/>
    <d v="2021-05-10T00:00:00"/>
    <s v="Cash Rewards Visa Signature"/>
    <x v="1343"/>
    <n v="91.53"/>
    <x v="26"/>
    <m/>
    <m/>
    <m/>
    <n v="91.53"/>
    <b v="0"/>
    <m/>
    <m/>
    <s v="-"/>
    <x v="1270"/>
    <s v="Manual"/>
    <m/>
  </r>
  <r>
    <x v="28"/>
    <d v="2021-05-11T00:00:00"/>
    <s v="Cash Rewards Visa Signature"/>
    <x v="60"/>
    <n v="-19.309999999999999"/>
    <x v="26"/>
    <m/>
    <m/>
    <m/>
    <n v="19.309999999999999"/>
    <b v="0"/>
    <m/>
    <m/>
    <s v="+"/>
    <x v="60"/>
    <s v="Create Rule; and Description='Home Depot';House Maintenance"/>
    <m/>
  </r>
  <r>
    <x v="28"/>
    <d v="2021-05-11T00:00:00"/>
    <s v="Cash Rewards Visa Signature"/>
    <x v="60"/>
    <n v="215.52"/>
    <x v="26"/>
    <m/>
    <m/>
    <m/>
    <n v="215.52"/>
    <b v="0"/>
    <m/>
    <m/>
    <s v="-"/>
    <x v="60"/>
    <s v="Create Rule; and Description='Home Depot';House Maintenance"/>
    <m/>
  </r>
  <r>
    <x v="28"/>
    <d v="2021-05-11T00:00:00"/>
    <s v="Cash Rewards Visa Signature"/>
    <x v="823"/>
    <n v="45.43"/>
    <x v="2"/>
    <m/>
    <m/>
    <m/>
    <n v="45.43"/>
    <b v="0"/>
    <m/>
    <m/>
    <s v="-"/>
    <x v="792"/>
    <s v="Create Rule; and Description='Kwik Trip';Transportation"/>
    <m/>
  </r>
  <r>
    <x v="28"/>
    <d v="2021-05-11T00:00:00"/>
    <s v="POWERPLUS"/>
    <x v="1321"/>
    <n v="425"/>
    <x v="26"/>
    <m/>
    <m/>
    <m/>
    <n v="425"/>
    <b v="0"/>
    <m/>
    <m/>
    <s v="-"/>
    <x v="1249"/>
    <s v="Create Rule; and Description Like '%MHCHILDCARELLC%';Day Care"/>
    <m/>
  </r>
  <r>
    <x v="28"/>
    <d v="2021-05-11T00:00:00"/>
    <s v="Joint Tenant"/>
    <x v="19"/>
    <n v="500"/>
    <x v="26"/>
    <m/>
    <m/>
    <m/>
    <n v="500"/>
    <b v="0"/>
    <m/>
    <m/>
    <s v="-"/>
    <x v="19"/>
    <s v="Delete; and Description='SCHWAB S&amp;P 500 INDEX FD' and inflowoutflow='-';0"/>
    <m/>
  </r>
  <r>
    <x v="28"/>
    <d v="2021-05-11T00:00:00"/>
    <s v="Joint Tenant"/>
    <x v="271"/>
    <n v="700"/>
    <x v="26"/>
    <m/>
    <m/>
    <m/>
    <n v="700"/>
    <b v="0"/>
    <m/>
    <m/>
    <s v="-"/>
    <x v="267"/>
    <s v="Delete; and Description='SCHWAB US LARGE CAP GROWTH INDEX FD' and inflowoutflow='-';0"/>
    <m/>
  </r>
  <r>
    <x v="28"/>
    <d v="2021-05-12T00:00:00"/>
    <s v="Discover"/>
    <x v="93"/>
    <n v="-10.29"/>
    <x v="26"/>
    <m/>
    <m/>
    <m/>
    <n v="10.29"/>
    <b v="0"/>
    <m/>
    <m/>
    <s v="+"/>
    <x v="93"/>
    <s v="Delete; and Description='CASHBACK BONUS REDEMPTION payment/STMT CRDT';0"/>
    <m/>
  </r>
  <r>
    <x v="28"/>
    <d v="2021-05-12T00:00:00"/>
    <s v="Discover More Card"/>
    <x v="93"/>
    <n v="-10.29"/>
    <x v="26"/>
    <m/>
    <m/>
    <m/>
    <n v="10.29"/>
    <b v="0"/>
    <m/>
    <m/>
    <s v="+"/>
    <x v="93"/>
    <s v="Delete; and Description='CASHBACK BONUS REDEMPTION payment/STMT CRDT';0"/>
    <m/>
  </r>
  <r>
    <x v="28"/>
    <d v="2021-05-12T00:00:00"/>
    <s v="Discover"/>
    <x v="56"/>
    <n v="-413.49"/>
    <x v="3"/>
    <m/>
    <m/>
    <m/>
    <n v="413.49"/>
    <b v="0"/>
    <m/>
    <m/>
    <s v="+"/>
    <x v="56"/>
    <s v="Delete; and Description='INTERNET PAYMENT - THANK YOU';0"/>
    <m/>
  </r>
  <r>
    <x v="28"/>
    <d v="2021-05-12T00:00:00"/>
    <s v="Discover More Card"/>
    <x v="56"/>
    <n v="-413.49"/>
    <x v="3"/>
    <m/>
    <m/>
    <m/>
    <n v="413.49"/>
    <b v="0"/>
    <m/>
    <m/>
    <s v="+"/>
    <x v="56"/>
    <s v="Delete; and Description='INTERNET PAYMENT - THANK YOU';0"/>
    <m/>
  </r>
  <r>
    <x v="28"/>
    <d v="2021-05-12T00:00:00"/>
    <s v="POWERPLUS"/>
    <x v="1344"/>
    <n v="81.16"/>
    <x v="26"/>
    <m/>
    <m/>
    <m/>
    <n v="81.16"/>
    <b v="0"/>
    <m/>
    <m/>
    <s v="-"/>
    <x v="1271"/>
    <s v="Manual"/>
    <m/>
  </r>
  <r>
    <x v="28"/>
    <d v="2021-05-12T00:00:00"/>
    <s v="Discover"/>
    <x v="0"/>
    <n v="25.99"/>
    <x v="0"/>
    <m/>
    <m/>
    <m/>
    <n v="25.99"/>
    <b v="0"/>
    <m/>
    <m/>
    <s v="-"/>
    <x v="0"/>
    <s v="Create Rule; and Description='Amazon';Amazon"/>
    <m/>
  </r>
  <r>
    <x v="28"/>
    <d v="2021-05-12T00:00:00"/>
    <s v="Discover More Card"/>
    <x v="0"/>
    <n v="25.99"/>
    <x v="0"/>
    <m/>
    <m/>
    <m/>
    <n v="25.99"/>
    <b v="0"/>
    <m/>
    <m/>
    <s v="-"/>
    <x v="0"/>
    <s v="Create Rule; and Description='Amazon';Amazon"/>
    <m/>
  </r>
  <r>
    <x v="28"/>
    <d v="2021-05-12T00:00:00"/>
    <s v="POWERPLUS"/>
    <x v="1320"/>
    <n v="-93.96"/>
    <x v="26"/>
    <m/>
    <m/>
    <m/>
    <n v="93.96"/>
    <b v="0"/>
    <m/>
    <m/>
    <s v="+"/>
    <x v="1248"/>
    <s v="Manual"/>
    <m/>
  </r>
  <r>
    <x v="28"/>
    <d v="2021-05-12T00:00:00"/>
    <s v="POWERPLUS"/>
    <x v="1345"/>
    <n v="-3052.96"/>
    <x v="26"/>
    <m/>
    <m/>
    <m/>
    <n v="3052.96"/>
    <b v="0"/>
    <m/>
    <m/>
    <s v="+"/>
    <x v="910"/>
    <s v="Create Rule; and Description Like '%CONNECTED ANALYT%';Inc - Jeff"/>
    <m/>
  </r>
  <r>
    <x v="28"/>
    <d v="2021-05-12T00:00:00"/>
    <s v="POWERPLUS"/>
    <x v="60"/>
    <n v="43.2"/>
    <x v="26"/>
    <m/>
    <m/>
    <m/>
    <n v="43.2"/>
    <b v="0"/>
    <m/>
    <m/>
    <s v="-"/>
    <x v="60"/>
    <s v="Create Rule; and Description='Home Depot';House Maintenance"/>
    <m/>
  </r>
  <r>
    <x v="28"/>
    <d v="2021-05-12T00:00:00"/>
    <s v="Cash Rewards Visa Signature"/>
    <x v="299"/>
    <n v="31.12"/>
    <x v="26"/>
    <m/>
    <m/>
    <m/>
    <n v="31.12"/>
    <b v="0"/>
    <m/>
    <m/>
    <s v="-"/>
    <x v="292"/>
    <s v="Manual"/>
    <m/>
  </r>
  <r>
    <x v="28"/>
    <d v="2021-05-13T00:00:00"/>
    <s v="POWERPLUS"/>
    <x v="1346"/>
    <n v="413.49"/>
    <x v="26"/>
    <m/>
    <m/>
    <m/>
    <n v="413.49"/>
    <b v="0"/>
    <m/>
    <m/>
    <s v="-"/>
    <x v="1272"/>
    <s v="Delete; and Description Like '%DISCOVER TYPE EPAYMENT%';0"/>
    <m/>
  </r>
  <r>
    <x v="28"/>
    <d v="2021-05-13T00:00:00"/>
    <s v="Jeff IRA"/>
    <x v="165"/>
    <n v="-4.4400000000000004"/>
    <x v="26"/>
    <m/>
    <m/>
    <m/>
    <n v="4.4400000000000004"/>
    <b v="0"/>
    <m/>
    <m/>
    <s v="+"/>
    <x v="164"/>
    <s v="Create Rule; and Description='APPLE INC';Dividend"/>
    <m/>
  </r>
  <r>
    <x v="28"/>
    <d v="2021-05-13T00:00:00"/>
    <s v="Joint Tenant"/>
    <x v="165"/>
    <n v="-45"/>
    <x v="26"/>
    <m/>
    <m/>
    <m/>
    <n v="45"/>
    <b v="0"/>
    <m/>
    <m/>
    <s v="+"/>
    <x v="164"/>
    <s v="Create Rule; and Description='APPLE INC';Dividend"/>
    <m/>
  </r>
  <r>
    <x v="28"/>
    <d v="2021-05-13T00:00:00"/>
    <s v="POWERPLUS"/>
    <x v="1347"/>
    <n v="-2150.1799999999998"/>
    <x v="26"/>
    <m/>
    <m/>
    <m/>
    <n v="2150.1799999999998"/>
    <b v="0"/>
    <m/>
    <m/>
    <s v="+"/>
    <x v="1256"/>
    <s v="Create Rule; and Description Like '%Cargill Inc Deposit CARGILL INCORPOR TYPE DIRECT DEP ID CO CARGILL INCORPOR ACH%';Inc - Britney"/>
    <m/>
  </r>
  <r>
    <x v="28"/>
    <d v="2021-05-13T00:00:00"/>
    <s v="Cash Rewards Visa Signature"/>
    <x v="577"/>
    <n v="9.01"/>
    <x v="1"/>
    <m/>
    <m/>
    <m/>
    <n v="9.01"/>
    <b v="0"/>
    <m/>
    <m/>
    <s v="-"/>
    <x v="558"/>
    <s v="Create Rule; and Description Like '%Jimmy John%';Restaurants"/>
    <m/>
  </r>
  <r>
    <x v="28"/>
    <d v="2021-05-13T00:00:00"/>
    <s v="POWERPLUS"/>
    <x v="30"/>
    <n v="113.83"/>
    <x v="11"/>
    <m/>
    <m/>
    <m/>
    <n v="113.83"/>
    <b v="0"/>
    <m/>
    <m/>
    <s v="-"/>
    <x v="30"/>
    <s v="Create Rule; and Description='Xcel Energy';Utilities"/>
    <m/>
  </r>
  <r>
    <x v="28"/>
    <d v="2021-05-14T00:00:00"/>
    <s v="Cash Rewards Visa Signature"/>
    <x v="1318"/>
    <n v="-1140.7"/>
    <x v="26"/>
    <m/>
    <m/>
    <m/>
    <n v="1140.7"/>
    <b v="0"/>
    <m/>
    <m/>
    <s v="+"/>
    <x v="1246"/>
    <s v="Delete; and Description Like '%PAYMENT THANK YOU%';0"/>
    <m/>
  </r>
  <r>
    <x v="28"/>
    <d v="2021-05-14T00:00:00"/>
    <s v="POWERPLUS"/>
    <x v="1319"/>
    <n v="1140.7"/>
    <x v="26"/>
    <m/>
    <m/>
    <m/>
    <n v="1140.7"/>
    <b v="0"/>
    <m/>
    <m/>
    <s v="-"/>
    <x v="1247"/>
    <s v="Delete; and Description Like '%Withdrawal Home payment to card%';0"/>
    <m/>
  </r>
  <r>
    <x v="28"/>
    <d v="2021-05-14T00:00:00"/>
    <s v="POWERPLUS"/>
    <x v="48"/>
    <n v="101.78"/>
    <x v="16"/>
    <m/>
    <m/>
    <m/>
    <n v="101.78"/>
    <b v="0"/>
    <m/>
    <m/>
    <s v="-"/>
    <x v="48"/>
    <s v="Create Rule; and Description='American Family Insurance';Insurance"/>
    <m/>
  </r>
  <r>
    <x v="28"/>
    <d v="2021-05-14T00:00:00"/>
    <s v="Jeff IRA"/>
    <x v="165"/>
    <n v="4.4400000000000004"/>
    <x v="26"/>
    <m/>
    <m/>
    <m/>
    <n v="4.4400000000000004"/>
    <b v="0"/>
    <m/>
    <m/>
    <s v="-"/>
    <x v="164"/>
    <s v="Create Rule; and Description='APPLE INC';Dividend"/>
    <m/>
  </r>
  <r>
    <x v="28"/>
    <d v="2021-05-14T00:00:00"/>
    <s v="Joint Tenant"/>
    <x v="165"/>
    <n v="45"/>
    <x v="26"/>
    <m/>
    <m/>
    <m/>
    <n v="45"/>
    <b v="0"/>
    <m/>
    <m/>
    <s v="-"/>
    <x v="164"/>
    <s v="Create Rule; and Description='APPLE INC';Dividend"/>
    <m/>
  </r>
  <r>
    <x v="28"/>
    <d v="2021-05-14T00:00:00"/>
    <s v="Joint Tenant"/>
    <x v="1299"/>
    <n v="-200"/>
    <x v="26"/>
    <m/>
    <m/>
    <m/>
    <n v="200"/>
    <b v="0"/>
    <m/>
    <m/>
    <s v="+"/>
    <x v="1230"/>
    <s v="Delete; and Source='Joint Tenant';0"/>
    <m/>
  </r>
  <r>
    <x v="28"/>
    <d v="2021-05-14T00:00:00"/>
    <s v="POWERPLUS"/>
    <x v="1348"/>
    <n v="300.32"/>
    <x v="11"/>
    <m/>
    <m/>
    <m/>
    <n v="300.32"/>
    <b v="0"/>
    <m/>
    <m/>
    <s v="-"/>
    <x v="1273"/>
    <s v="Create Rule; and Description='CenterPoint Energy';Utilities"/>
    <m/>
  </r>
  <r>
    <x v="28"/>
    <d v="2021-05-14T00:00:00"/>
    <s v="Joint Tenant"/>
    <x v="950"/>
    <n v="-250"/>
    <x v="26"/>
    <m/>
    <m/>
    <m/>
    <n v="250"/>
    <b v="0"/>
    <m/>
    <m/>
    <s v="+"/>
    <x v="913"/>
    <s v="Create Rule; and Description Like '%CONNECTED ANALYT%';Inc - Jeff"/>
    <m/>
  </r>
  <r>
    <x v="28"/>
    <d v="2021-05-14T00:00:00"/>
    <s v="Cash Rewards Visa Signature"/>
    <x v="1323"/>
    <n v="252.13"/>
    <x v="26"/>
    <m/>
    <m/>
    <m/>
    <n v="252.13"/>
    <b v="0"/>
    <m/>
    <m/>
    <s v="-"/>
    <x v="1251"/>
    <s v="Manual"/>
    <m/>
  </r>
  <r>
    <x v="28"/>
    <d v="2021-05-14T00:00:00"/>
    <s v="Cash Rewards Visa Signature"/>
    <x v="1349"/>
    <n v="142.93"/>
    <x v="26"/>
    <m/>
    <m/>
    <m/>
    <n v="142.93"/>
    <b v="0"/>
    <m/>
    <m/>
    <s v="-"/>
    <x v="1274"/>
    <s v="Manual"/>
    <m/>
  </r>
  <r>
    <x v="28"/>
    <d v="2021-05-14T00:00:00"/>
    <s v="Contributory"/>
    <x v="1300"/>
    <n v="-231"/>
    <x v="26"/>
    <m/>
    <m/>
    <m/>
    <n v="231"/>
    <b v="0"/>
    <m/>
    <m/>
    <s v="+"/>
    <x v="1231"/>
    <s v="Manual"/>
    <m/>
  </r>
  <r>
    <x v="28"/>
    <d v="2021-05-14T00:00:00"/>
    <s v="Jeff IRA"/>
    <x v="951"/>
    <n v="-250"/>
    <x v="26"/>
    <m/>
    <m/>
    <m/>
    <n v="250"/>
    <b v="0"/>
    <m/>
    <m/>
    <s v="+"/>
    <x v="914"/>
    <s v="Create Rule; and Description Like '%CONNECTED ANALYT%';Inc - Jeff"/>
    <m/>
  </r>
  <r>
    <x v="28"/>
    <d v="2021-05-14T00:00:00"/>
    <s v="Joint Tenant"/>
    <x v="611"/>
    <n v="-5.68"/>
    <x v="26"/>
    <m/>
    <m/>
    <m/>
    <n v="5.68"/>
    <b v="0"/>
    <m/>
    <m/>
    <s v="+"/>
    <x v="590"/>
    <s v="Delete; and Source='Joint Tenant';0"/>
    <m/>
  </r>
  <r>
    <x v="28"/>
    <d v="2021-05-14T00:00:00"/>
    <s v="Cash Rewards Visa Signature"/>
    <x v="1350"/>
    <n v="680.57"/>
    <x v="26"/>
    <m/>
    <m/>
    <m/>
    <n v="680.57"/>
    <b v="0"/>
    <m/>
    <m/>
    <s v="-"/>
    <x v="1275"/>
    <s v="Manual"/>
    <m/>
  </r>
  <r>
    <x v="28"/>
    <d v="2021-05-15T00:00:00"/>
    <s v="Discover"/>
    <x v="0"/>
    <n v="64.400000000000006"/>
    <x v="0"/>
    <m/>
    <m/>
    <m/>
    <n v="64.400000000000006"/>
    <b v="0"/>
    <m/>
    <m/>
    <s v="-"/>
    <x v="0"/>
    <s v="Create Rule; and Description='Amazon';Amazon"/>
    <m/>
  </r>
  <r>
    <x v="28"/>
    <d v="2021-05-15T00:00:00"/>
    <s v="Discover More Card"/>
    <x v="0"/>
    <n v="64.400000000000006"/>
    <x v="0"/>
    <m/>
    <m/>
    <m/>
    <n v="64.400000000000006"/>
    <b v="0"/>
    <m/>
    <m/>
    <s v="-"/>
    <x v="0"/>
    <s v="Create Rule; and Description='Amazon';Amazon"/>
    <m/>
  </r>
  <r>
    <x v="28"/>
    <d v="2021-05-16T00:00:00"/>
    <s v="Cash Rewards Visa Signature"/>
    <x v="431"/>
    <n v="32.200000000000003"/>
    <x v="26"/>
    <m/>
    <m/>
    <m/>
    <n v="32.200000000000003"/>
    <b v="0"/>
    <m/>
    <m/>
    <s v="-"/>
    <x v="416"/>
    <s v="Create Rule; and Description='Crate &amp; Barrel';Shopping"/>
    <m/>
  </r>
  <r>
    <x v="28"/>
    <d v="2021-05-16T00:00:00"/>
    <s v="Cash Rewards Visa Signature"/>
    <x v="152"/>
    <n v="31.61"/>
    <x v="26"/>
    <m/>
    <m/>
    <m/>
    <n v="31.61"/>
    <b v="0"/>
    <m/>
    <m/>
    <s v="-"/>
    <x v="151"/>
    <s v="Create Rule; and Description='Excelsior Brewing';Restaurants"/>
    <m/>
  </r>
  <r>
    <x v="28"/>
    <d v="2021-05-16T00:00:00"/>
    <s v="Cash Rewards Visa Signature"/>
    <x v="1351"/>
    <n v="45.83"/>
    <x v="26"/>
    <m/>
    <m/>
    <m/>
    <n v="45.83"/>
    <b v="0"/>
    <m/>
    <m/>
    <s v="-"/>
    <x v="1276"/>
    <s v="Manual"/>
    <m/>
  </r>
  <r>
    <x v="28"/>
    <d v="2021-05-17T00:00:00"/>
    <s v="Contributory"/>
    <x v="1352"/>
    <n v="-0.09"/>
    <x v="26"/>
    <m/>
    <m/>
    <m/>
    <n v="0.09"/>
    <b v="0"/>
    <m/>
    <m/>
    <s v="+"/>
    <x v="1277"/>
    <s v="Manual"/>
    <m/>
  </r>
  <r>
    <x v="28"/>
    <d v="2021-05-17T00:00:00"/>
    <s v="Jeff IRA"/>
    <x v="1352"/>
    <n v="-0.02"/>
    <x v="26"/>
    <m/>
    <m/>
    <m/>
    <n v="0.02"/>
    <b v="0"/>
    <m/>
    <m/>
    <s v="+"/>
    <x v="1277"/>
    <s v="Manual"/>
    <m/>
  </r>
  <r>
    <x v="28"/>
    <d v="2021-05-17T00:00:00"/>
    <s v="Cash Rewards Visa Signature"/>
    <x v="59"/>
    <n v="19.2"/>
    <x v="1"/>
    <m/>
    <m/>
    <m/>
    <n v="19.2"/>
    <b v="0"/>
    <m/>
    <m/>
    <s v="-"/>
    <x v="59"/>
    <s v="Create Rule; and Description Like '%Caribou Coffee%';Restaurants"/>
    <m/>
  </r>
  <r>
    <x v="28"/>
    <d v="2021-05-17T00:00:00"/>
    <s v="POWERPLUS"/>
    <x v="157"/>
    <n v="14.22"/>
    <x v="8"/>
    <m/>
    <m/>
    <m/>
    <n v="14.22"/>
    <b v="0"/>
    <m/>
    <m/>
    <s v="-"/>
    <x v="156"/>
    <s v="Create Rule; and Description Like '%PayPal%';Shopping"/>
    <m/>
  </r>
  <r>
    <x v="28"/>
    <d v="2021-05-17T00:00:00"/>
    <s v="Joint Tenant"/>
    <x v="169"/>
    <n v="-34.549999999999997"/>
    <x v="26"/>
    <m/>
    <m/>
    <m/>
    <n v="34.549999999999997"/>
    <b v="0"/>
    <m/>
    <m/>
    <s v="+"/>
    <x v="168"/>
    <s v="Create Rule; and Description='PROCTER &amp; GAMBLE';Dividend"/>
    <m/>
  </r>
  <r>
    <x v="28"/>
    <d v="2021-05-17T00:00:00"/>
    <s v="Cash Rewards Visa Signature"/>
    <x v="1353"/>
    <n v="44.25"/>
    <x v="26"/>
    <m/>
    <m/>
    <m/>
    <n v="44.25"/>
    <b v="0"/>
    <m/>
    <m/>
    <s v="-"/>
    <x v="1278"/>
    <s v="Create Rule; and Description Like '%TST RED RABBIT%';Restaurants"/>
    <m/>
  </r>
  <r>
    <x v="28"/>
    <d v="2021-05-17T00:00:00"/>
    <s v="Cash Rewards Visa Signature"/>
    <x v="1354"/>
    <n v="55.64"/>
    <x v="26"/>
    <m/>
    <m/>
    <m/>
    <n v="55.64"/>
    <b v="0"/>
    <m/>
    <m/>
    <s v="-"/>
    <x v="1279"/>
    <s v="Manual"/>
    <m/>
  </r>
  <r>
    <x v="28"/>
    <d v="2021-05-18T00:00:00"/>
    <s v="POWERPLUS"/>
    <x v="1321"/>
    <n v="425"/>
    <x v="26"/>
    <m/>
    <m/>
    <m/>
    <n v="425"/>
    <b v="0"/>
    <m/>
    <m/>
    <s v="-"/>
    <x v="1249"/>
    <s v="Create Rule; and Description Like '%MHCHILDCARELLC%';Day Care"/>
    <m/>
  </r>
  <r>
    <x v="28"/>
    <d v="2021-05-18T00:00:00"/>
    <s v="POWERPLUS"/>
    <x v="1355"/>
    <n v="200"/>
    <x v="26"/>
    <m/>
    <m/>
    <m/>
    <n v="200"/>
    <b v="0"/>
    <m/>
    <m/>
    <s v="-"/>
    <x v="1245"/>
    <s v="Create Rule; and Description Like '%MN DIR ACH%';College Savings"/>
    <m/>
  </r>
  <r>
    <x v="28"/>
    <d v="2021-05-18T00:00:00"/>
    <s v="Joint Tenant"/>
    <x v="169"/>
    <n v="34.549999999999997"/>
    <x v="26"/>
    <m/>
    <m/>
    <m/>
    <n v="34.549999999999997"/>
    <b v="0"/>
    <m/>
    <m/>
    <s v="-"/>
    <x v="168"/>
    <s v="Create Rule; and Description='PROCTER &amp; GAMBLE';Dividend"/>
    <m/>
  </r>
  <r>
    <x v="28"/>
    <d v="2021-05-19T00:00:00"/>
    <s v="Cash Rewards Visa Signature"/>
    <x v="1356"/>
    <n v="360.01"/>
    <x v="26"/>
    <m/>
    <m/>
    <m/>
    <n v="360.01"/>
    <b v="0"/>
    <m/>
    <m/>
    <s v="-"/>
    <x v="1280"/>
    <s v="Manual"/>
    <m/>
  </r>
  <r>
    <x v="28"/>
    <d v="2021-05-19T00:00:00"/>
    <s v="Cash Rewards Visa Signature"/>
    <x v="628"/>
    <n v="55.84"/>
    <x v="26"/>
    <m/>
    <m/>
    <m/>
    <n v="55.84"/>
    <b v="0"/>
    <m/>
    <m/>
    <s v="-"/>
    <x v="606"/>
    <s v="Manual"/>
    <m/>
  </r>
  <r>
    <x v="28"/>
    <d v="2021-05-19T00:00:00"/>
    <s v="Cash Rewards Visa Signature"/>
    <x v="823"/>
    <n v="26.8"/>
    <x v="2"/>
    <m/>
    <m/>
    <m/>
    <n v="26.8"/>
    <b v="0"/>
    <m/>
    <m/>
    <s v="-"/>
    <x v="792"/>
    <s v="Create Rule; and Description='Kwik Trip';Transportation"/>
    <m/>
  </r>
  <r>
    <x v="28"/>
    <d v="2021-05-19T00:00:00"/>
    <s v="Cash Rewards Visa Signature"/>
    <x v="1357"/>
    <n v="319.98"/>
    <x v="26"/>
    <m/>
    <m/>
    <m/>
    <n v="319.98"/>
    <b v="0"/>
    <m/>
    <m/>
    <s v="-"/>
    <x v="1281"/>
    <s v="Manual"/>
    <m/>
  </r>
  <r>
    <x v="28"/>
    <d v="2021-05-19T00:00:00"/>
    <s v="POWERPLUS"/>
    <x v="157"/>
    <n v="40"/>
    <x v="8"/>
    <m/>
    <m/>
    <m/>
    <n v="40"/>
    <b v="0"/>
    <m/>
    <m/>
    <s v="-"/>
    <x v="156"/>
    <s v="Create Rule; and Description Like '%PayPal%';Shopping"/>
    <m/>
  </r>
  <r>
    <x v="28"/>
    <d v="2021-05-20T00:00:00"/>
    <s v="POWERPLUS"/>
    <x v="35"/>
    <n v="-75"/>
    <x v="26"/>
    <m/>
    <m/>
    <m/>
    <n v="75"/>
    <b v="0"/>
    <m/>
    <m/>
    <s v="+"/>
    <x v="35"/>
    <s v="Create Rule; and Description='Cargill Incorpor Type';Inc - Other"/>
    <m/>
  </r>
  <r>
    <x v="28"/>
    <d v="2021-05-20T00:00:00"/>
    <s v="POWERPLUS"/>
    <x v="1320"/>
    <n v="-412.77"/>
    <x v="26"/>
    <m/>
    <m/>
    <m/>
    <n v="412.77"/>
    <b v="0"/>
    <m/>
    <m/>
    <s v="+"/>
    <x v="1248"/>
    <s v="Manual"/>
    <m/>
  </r>
  <r>
    <x v="28"/>
    <d v="2021-05-21T00:00:00"/>
    <s v="Cash Rewards Visa Signature"/>
    <x v="1318"/>
    <n v="-2066.9899999999998"/>
    <x v="26"/>
    <m/>
    <m/>
    <m/>
    <n v="2066.9899999999998"/>
    <b v="0"/>
    <m/>
    <m/>
    <s v="+"/>
    <x v="1246"/>
    <s v="Delete; and Description Like '%PAYMENT THANK YOU%';0"/>
    <m/>
  </r>
  <r>
    <x v="28"/>
    <d v="2021-05-21T00:00:00"/>
    <s v="POWERPLUS"/>
    <x v="1319"/>
    <n v="2066.9899999999998"/>
    <x v="26"/>
    <m/>
    <m/>
    <m/>
    <n v="2066.9899999999998"/>
    <b v="0"/>
    <m/>
    <m/>
    <s v="-"/>
    <x v="1247"/>
    <s v="Delete; and Description Like '%Withdrawal Home payment to card%';0"/>
    <m/>
  </r>
  <r>
    <x v="28"/>
    <d v="2021-05-21T00:00:00"/>
    <s v="Cash Rewards Visa Signature"/>
    <x v="1282"/>
    <n v="9"/>
    <x v="26"/>
    <m/>
    <m/>
    <m/>
    <n v="9"/>
    <b v="0"/>
    <m/>
    <m/>
    <s v="-"/>
    <x v="1215"/>
    <s v="Create Rule; and Description Like '%BONFES%';House Maintenance"/>
    <m/>
  </r>
  <r>
    <x v="28"/>
    <d v="2021-05-21T00:00:00"/>
    <s v="POWERPLUS"/>
    <x v="84"/>
    <n v="61.81"/>
    <x v="26"/>
    <m/>
    <m/>
    <m/>
    <n v="61.81"/>
    <b v="0"/>
    <m/>
    <m/>
    <s v="-"/>
    <x v="84"/>
    <s v="Create Rule; and Description='City of Chanhassen';Utilities"/>
    <m/>
  </r>
  <r>
    <x v="28"/>
    <d v="2021-05-21T00:00:00"/>
    <s v="Cash Rewards Visa Signature"/>
    <x v="1358"/>
    <n v="11.03"/>
    <x v="26"/>
    <m/>
    <m/>
    <m/>
    <n v="11.03"/>
    <b v="0"/>
    <m/>
    <m/>
    <s v="-"/>
    <x v="1282"/>
    <s v="Manual"/>
    <m/>
  </r>
  <r>
    <x v="28"/>
    <d v="2021-05-21T00:00:00"/>
    <s v="Joint Tenant"/>
    <x v="19"/>
    <n v="200"/>
    <x v="26"/>
    <m/>
    <m/>
    <m/>
    <n v="200"/>
    <b v="0"/>
    <m/>
    <m/>
    <s v="-"/>
    <x v="19"/>
    <s v="Delete; and Description='SCHWAB S&amp;P 500 INDEX FD' and inflowoutflow='-';0"/>
    <m/>
  </r>
  <r>
    <x v="28"/>
    <d v="2021-05-21T00:00:00"/>
    <s v="Joint Tenant"/>
    <x v="20"/>
    <n v="200"/>
    <x v="26"/>
    <m/>
    <m/>
    <m/>
    <n v="200"/>
    <b v="0"/>
    <m/>
    <m/>
    <s v="-"/>
    <x v="20"/>
    <s v="Delete; and Description='SCHWAB TOTAL STOCK MKT INDEX' and inflowoutflow='-';0"/>
    <m/>
  </r>
  <r>
    <x v="28"/>
    <d v="2021-05-22T00:00:00"/>
    <s v="Discover"/>
    <x v="81"/>
    <n v="5.44"/>
    <x v="26"/>
    <m/>
    <m/>
    <m/>
    <n v="5.44"/>
    <b v="0"/>
    <m/>
    <m/>
    <s v="-"/>
    <x v="81"/>
    <s v="Create Rule; and Description='Holiday Stationstore';Transportation"/>
    <m/>
  </r>
  <r>
    <x v="28"/>
    <d v="2021-05-22T00:00:00"/>
    <s v="Discover"/>
    <x v="81"/>
    <n v="35.67"/>
    <x v="26"/>
    <m/>
    <m/>
    <m/>
    <n v="35.67"/>
    <b v="0"/>
    <m/>
    <m/>
    <s v="-"/>
    <x v="81"/>
    <s v="Create Rule; and Description='Holiday Stationstore';Transportation"/>
    <m/>
  </r>
  <r>
    <x v="28"/>
    <d v="2021-05-22T00:00:00"/>
    <s v="Discover More Card"/>
    <x v="81"/>
    <n v="5.44"/>
    <x v="26"/>
    <m/>
    <m/>
    <m/>
    <n v="5.44"/>
    <b v="0"/>
    <m/>
    <m/>
    <s v="-"/>
    <x v="81"/>
    <s v="Create Rule; and Description='Holiday Stationstore';Transportation"/>
    <m/>
  </r>
  <r>
    <x v="28"/>
    <d v="2021-05-22T00:00:00"/>
    <s v="Discover More Card"/>
    <x v="81"/>
    <n v="35.67"/>
    <x v="26"/>
    <m/>
    <m/>
    <m/>
    <n v="35.67"/>
    <b v="0"/>
    <m/>
    <m/>
    <s v="-"/>
    <x v="81"/>
    <s v="Create Rule; and Description='Holiday Stationstore';Transportation"/>
    <m/>
  </r>
  <r>
    <x v="28"/>
    <d v="2021-05-23T00:00:00"/>
    <s v="Cash Rewards Visa Signature"/>
    <x v="6"/>
    <n v="74.8"/>
    <x v="5"/>
    <m/>
    <m/>
    <m/>
    <n v="74.8"/>
    <b v="0"/>
    <m/>
    <m/>
    <s v="-"/>
    <x v="6"/>
    <s v="Create Rule; and Description Like '%Cub Foods%';Groceries"/>
    <m/>
  </r>
  <r>
    <x v="28"/>
    <d v="2021-05-23T00:00:00"/>
    <s v="Cash Rewards Visa Signature"/>
    <x v="81"/>
    <n v="7.57"/>
    <x v="26"/>
    <m/>
    <m/>
    <m/>
    <n v="7.57"/>
    <b v="0"/>
    <m/>
    <m/>
    <s v="-"/>
    <x v="81"/>
    <s v="Create Rule; and Description='Holiday Stationstore';Transportation"/>
    <m/>
  </r>
  <r>
    <x v="28"/>
    <d v="2021-05-23T00:00:00"/>
    <s v="Cash Rewards Visa Signature"/>
    <x v="150"/>
    <n v="8.0399999999999991"/>
    <x v="26"/>
    <m/>
    <m/>
    <m/>
    <n v="8.0399999999999991"/>
    <b v="0"/>
    <m/>
    <m/>
    <s v="-"/>
    <x v="149"/>
    <s v="Create Rule; and Description='Party City';Shopping"/>
    <m/>
  </r>
  <r>
    <x v="28"/>
    <d v="2021-05-23T00:00:00"/>
    <s v="Cash Rewards Visa Signature"/>
    <x v="1359"/>
    <n v="161.07"/>
    <x v="26"/>
    <m/>
    <m/>
    <m/>
    <n v="161.07"/>
    <b v="0"/>
    <m/>
    <m/>
    <s v="-"/>
    <x v="1283"/>
    <s v="Manual"/>
    <m/>
  </r>
  <r>
    <x v="28"/>
    <d v="2021-05-24T00:00:00"/>
    <s v="Discover"/>
    <x v="0"/>
    <n v="33.130000000000003"/>
    <x v="0"/>
    <m/>
    <m/>
    <m/>
    <n v="33.130000000000003"/>
    <b v="0"/>
    <m/>
    <m/>
    <s v="-"/>
    <x v="0"/>
    <s v="Create Rule; and Description='Amazon';Amazon"/>
    <m/>
  </r>
  <r>
    <x v="28"/>
    <d v="2021-05-24T00:00:00"/>
    <s v="Discover More Card"/>
    <x v="0"/>
    <n v="33.130000000000003"/>
    <x v="0"/>
    <m/>
    <m/>
    <m/>
    <n v="33.130000000000003"/>
    <b v="0"/>
    <m/>
    <m/>
    <s v="-"/>
    <x v="0"/>
    <s v="Create Rule; and Description='Amazon';Amazon"/>
    <m/>
  </r>
  <r>
    <x v="28"/>
    <d v="2021-05-24T00:00:00"/>
    <s v="Cash Rewards Visa Signature"/>
    <x v="70"/>
    <n v="34.97"/>
    <x v="26"/>
    <m/>
    <m/>
    <m/>
    <n v="34.97"/>
    <b v="0"/>
    <m/>
    <m/>
    <s v="-"/>
    <x v="70"/>
    <s v="Create Rule; and Description like '%Byerly%';Groceries"/>
    <m/>
  </r>
  <r>
    <x v="28"/>
    <d v="2021-05-24T00:00:00"/>
    <s v="Cash Rewards Visa Signature"/>
    <x v="570"/>
    <n v="20.260000000000002"/>
    <x v="1"/>
    <m/>
    <m/>
    <m/>
    <n v="20.260000000000002"/>
    <b v="0"/>
    <m/>
    <m/>
    <s v="-"/>
    <x v="551"/>
    <s v="Create Rule; and Description Like '%Panera Bread%';Restaurants"/>
    <m/>
  </r>
  <r>
    <x v="28"/>
    <d v="2021-05-25T00:00:00"/>
    <s v="POWERPLUS"/>
    <x v="34"/>
    <n v="1214.17"/>
    <x v="12"/>
    <m/>
    <m/>
    <m/>
    <n v="1214.17"/>
    <b v="0"/>
    <m/>
    <m/>
    <s v="-"/>
    <x v="34"/>
    <s v="Create Rule; and Description='Target';Target"/>
    <m/>
  </r>
  <r>
    <x v="28"/>
    <d v="2021-05-25T00:00:00"/>
    <s v="Investor Checking"/>
    <x v="361"/>
    <n v="-186"/>
    <x v="26"/>
    <m/>
    <m/>
    <m/>
    <n v="186"/>
    <b v="0"/>
    <m/>
    <m/>
    <s v="+"/>
    <x v="352"/>
    <s v="Manual"/>
    <m/>
  </r>
  <r>
    <x v="28"/>
    <d v="2021-05-26T00:00:00"/>
    <s v="Cash Rewards Visa Signature"/>
    <x v="326"/>
    <n v="5.6"/>
    <x v="26"/>
    <m/>
    <m/>
    <m/>
    <n v="5.6"/>
    <b v="0"/>
    <m/>
    <m/>
    <s v="-"/>
    <x v="317"/>
    <s v="Create Rule; and Description='American Airlines';Travel"/>
    <m/>
  </r>
  <r>
    <x v="28"/>
    <d v="2021-05-26T00:00:00"/>
    <s v="Joint Tenant"/>
    <x v="232"/>
    <n v="-4704.58"/>
    <x v="26"/>
    <m/>
    <m/>
    <m/>
    <n v="4704.58"/>
    <b v="0"/>
    <m/>
    <m/>
    <s v="+"/>
    <x v="230"/>
    <s v="Create Rule; and Description='BOEING CO';Dividend"/>
    <m/>
  </r>
  <r>
    <x v="28"/>
    <d v="2021-05-26T00:00:00"/>
    <s v="Cash Rewards Visa Signature"/>
    <x v="60"/>
    <n v="43.07"/>
    <x v="26"/>
    <m/>
    <m/>
    <m/>
    <n v="43.07"/>
    <b v="0"/>
    <m/>
    <m/>
    <s v="-"/>
    <x v="60"/>
    <s v="Create Rule; and Description='Home Depot';House Maintenance"/>
    <m/>
  </r>
  <r>
    <x v="28"/>
    <d v="2021-05-26T00:00:00"/>
    <s v="Cash Rewards Visa Signature"/>
    <x v="577"/>
    <n v="16.45"/>
    <x v="1"/>
    <m/>
    <m/>
    <m/>
    <n v="16.45"/>
    <b v="0"/>
    <m/>
    <m/>
    <s v="-"/>
    <x v="558"/>
    <s v="Create Rule; and Description Like '%Jimmy John%';Restaurants"/>
    <m/>
  </r>
  <r>
    <x v="28"/>
    <d v="2021-05-26T00:00:00"/>
    <s v="POWERPLUS"/>
    <x v="1321"/>
    <n v="425"/>
    <x v="26"/>
    <m/>
    <m/>
    <m/>
    <n v="425"/>
    <b v="0"/>
    <m/>
    <m/>
    <s v="-"/>
    <x v="1249"/>
    <s v="Create Rule; and Description Like '%MHCHILDCARELLC%';Day Care"/>
    <m/>
  </r>
  <r>
    <x v="28"/>
    <d v="2021-05-26T00:00:00"/>
    <s v="Discover"/>
    <x v="99"/>
    <n v="8.99"/>
    <x v="11"/>
    <m/>
    <m/>
    <m/>
    <n v="8.99"/>
    <b v="0"/>
    <m/>
    <m/>
    <s v="-"/>
    <x v="99"/>
    <s v="Create Rule; and Description='Netflix';Utilities"/>
    <m/>
  </r>
  <r>
    <x v="28"/>
    <d v="2021-05-26T00:00:00"/>
    <s v="Discover More Card"/>
    <x v="99"/>
    <n v="8.99"/>
    <x v="11"/>
    <m/>
    <m/>
    <m/>
    <n v="8.99"/>
    <b v="0"/>
    <m/>
    <m/>
    <s v="-"/>
    <x v="99"/>
    <s v="Create Rule; and Description='Netflix';Utilities"/>
    <m/>
  </r>
  <r>
    <x v="28"/>
    <d v="2021-05-26T00:00:00"/>
    <s v="Joint Tenant"/>
    <x v="1360"/>
    <n v="2094"/>
    <x v="26"/>
    <m/>
    <m/>
    <m/>
    <n v="2094"/>
    <b v="0"/>
    <m/>
    <m/>
    <s v="-"/>
    <x v="1284"/>
    <s v="Delete; and Source='Joint Tenant';0"/>
    <m/>
  </r>
  <r>
    <x v="28"/>
    <d v="2021-05-27T00:00:00"/>
    <s v="Cash Rewards Visa Signature"/>
    <x v="326"/>
    <n v="-5.6"/>
    <x v="26"/>
    <m/>
    <m/>
    <m/>
    <n v="5.6"/>
    <b v="0"/>
    <m/>
    <m/>
    <s v="+"/>
    <x v="317"/>
    <s v="Create Rule; and Description='American Airlines';Travel"/>
    <m/>
  </r>
  <r>
    <x v="28"/>
    <d v="2021-05-27T00:00:00"/>
    <s v="Cash Rewards Visa Signature"/>
    <x v="980"/>
    <n v="126.53"/>
    <x v="26"/>
    <m/>
    <m/>
    <m/>
    <n v="126.53"/>
    <b v="0"/>
    <m/>
    <m/>
    <s v="-"/>
    <x v="940"/>
    <s v="Create Rule; and Description Like '%AVOADVOCARE INTL%';Groceries"/>
    <m/>
  </r>
  <r>
    <x v="28"/>
    <d v="2021-05-27T00:00:00"/>
    <s v="POWERPLUS"/>
    <x v="1361"/>
    <n v="-2132.2199999999998"/>
    <x v="26"/>
    <m/>
    <m/>
    <m/>
    <n v="2132.2199999999998"/>
    <b v="0"/>
    <m/>
    <m/>
    <s v="+"/>
    <x v="1227"/>
    <s v="Manual"/>
    <m/>
  </r>
  <r>
    <x v="28"/>
    <d v="2021-05-27T00:00:00"/>
    <s v="POWERPLUS"/>
    <x v="1362"/>
    <n v="-3102.98"/>
    <x v="26"/>
    <m/>
    <m/>
    <m/>
    <n v="3102.98"/>
    <b v="0"/>
    <m/>
    <m/>
    <s v="+"/>
    <x v="910"/>
    <s v="Create Rule; and Description Like '%CONNECTED ANALYT%';Inc - Jeff"/>
    <m/>
  </r>
  <r>
    <x v="28"/>
    <d v="2021-05-27T00:00:00"/>
    <s v="POWERPLUS"/>
    <x v="1363"/>
    <n v="-16794.2"/>
    <x v="26"/>
    <m/>
    <m/>
    <m/>
    <n v="16794.2"/>
    <b v="0"/>
    <m/>
    <m/>
    <s v="+"/>
    <x v="910"/>
    <s v="Create Rule; and Description Like '%CONNECTED ANALYT%';Inc - Jeff"/>
    <m/>
  </r>
  <r>
    <x v="28"/>
    <d v="2021-05-27T00:00:00"/>
    <s v="Cash Rewards Visa Signature"/>
    <x v="1364"/>
    <n v="13.12"/>
    <x v="26"/>
    <m/>
    <m/>
    <m/>
    <n v="13.12"/>
    <b v="0"/>
    <m/>
    <m/>
    <s v="-"/>
    <x v="1285"/>
    <s v="Manual"/>
    <m/>
  </r>
  <r>
    <x v="28"/>
    <d v="2021-05-27T00:00:00"/>
    <s v="Cash Rewards Visa Signature"/>
    <x v="1365"/>
    <n v="18.98"/>
    <x v="26"/>
    <m/>
    <m/>
    <m/>
    <n v="18.98"/>
    <b v="0"/>
    <m/>
    <m/>
    <s v="-"/>
    <x v="1286"/>
    <s v="Manual"/>
    <m/>
  </r>
  <r>
    <x v="28"/>
    <d v="2021-05-28T00:00:00"/>
    <s v="Joint Tenant"/>
    <x v="1299"/>
    <n v="-200"/>
    <x v="26"/>
    <m/>
    <m/>
    <m/>
    <n v="200"/>
    <b v="0"/>
    <m/>
    <m/>
    <s v="+"/>
    <x v="1230"/>
    <s v="Delete; and Source='Joint Tenant';0"/>
    <m/>
  </r>
  <r>
    <x v="28"/>
    <d v="2021-05-28T00:00:00"/>
    <s v="Joint Tenant"/>
    <x v="950"/>
    <n v="-250"/>
    <x v="26"/>
    <m/>
    <m/>
    <m/>
    <n v="250"/>
    <b v="0"/>
    <m/>
    <m/>
    <s v="+"/>
    <x v="913"/>
    <s v="Create Rule; and Description Like '%CONNECTED ANALYT%';Inc - Jeff"/>
    <m/>
  </r>
  <r>
    <x v="28"/>
    <d v="2021-05-28T00:00:00"/>
    <s v="Cash Rewards Visa Signature"/>
    <x v="255"/>
    <n v="149.38"/>
    <x v="5"/>
    <m/>
    <m/>
    <m/>
    <n v="149.38"/>
    <b v="0"/>
    <m/>
    <m/>
    <s v="-"/>
    <x v="253"/>
    <s v="Create Rule; and Description='Costco';Groceries"/>
    <m/>
  </r>
  <r>
    <x v="28"/>
    <d v="2021-05-28T00:00:00"/>
    <s v="Cash Rewards Visa Signature"/>
    <x v="6"/>
    <n v="44.57"/>
    <x v="5"/>
    <m/>
    <m/>
    <m/>
    <n v="44.57"/>
    <b v="0"/>
    <m/>
    <m/>
    <s v="-"/>
    <x v="6"/>
    <s v="Create Rule; and Description Like '%Cub Foods%';Groceries"/>
    <m/>
  </r>
  <r>
    <x v="28"/>
    <d v="2021-05-28T00:00:00"/>
    <s v="Discover"/>
    <x v="81"/>
    <n v="23.27"/>
    <x v="26"/>
    <m/>
    <m/>
    <m/>
    <n v="23.27"/>
    <b v="0"/>
    <m/>
    <m/>
    <s v="-"/>
    <x v="81"/>
    <s v="Create Rule; and Description='Holiday Stationstore';Transportation"/>
    <m/>
  </r>
  <r>
    <x v="28"/>
    <d v="2021-05-28T00:00:00"/>
    <s v="Discover"/>
    <x v="81"/>
    <n v="73.66"/>
    <x v="26"/>
    <m/>
    <m/>
    <m/>
    <n v="73.66"/>
    <b v="0"/>
    <m/>
    <m/>
    <s v="-"/>
    <x v="81"/>
    <s v="Create Rule; and Description='Holiday Stationstore';Transportation"/>
    <m/>
  </r>
  <r>
    <x v="28"/>
    <d v="2021-05-28T00:00:00"/>
    <s v="Discover More Card"/>
    <x v="81"/>
    <n v="23.27"/>
    <x v="26"/>
    <m/>
    <m/>
    <m/>
    <n v="23.27"/>
    <b v="0"/>
    <m/>
    <m/>
    <s v="-"/>
    <x v="81"/>
    <s v="Create Rule; and Description='Holiday Stationstore';Transportation"/>
    <m/>
  </r>
  <r>
    <x v="28"/>
    <d v="2021-05-28T00:00:00"/>
    <s v="Discover More Card"/>
    <x v="81"/>
    <n v="73.66"/>
    <x v="26"/>
    <m/>
    <m/>
    <m/>
    <n v="73.66"/>
    <b v="0"/>
    <m/>
    <m/>
    <s v="-"/>
    <x v="81"/>
    <s v="Create Rule; and Description='Holiday Stationstore';Transportation"/>
    <m/>
  </r>
  <r>
    <x v="28"/>
    <d v="2021-05-28T00:00:00"/>
    <s v="Investor Checking"/>
    <x v="118"/>
    <n v="-0.03"/>
    <x v="26"/>
    <m/>
    <m/>
    <m/>
    <n v="0.03"/>
    <b v="0"/>
    <m/>
    <m/>
    <s v="+"/>
    <x v="118"/>
    <s v="Manual"/>
    <m/>
  </r>
  <r>
    <x v="28"/>
    <d v="2021-05-28T00:00:00"/>
    <s v="Discover"/>
    <x v="823"/>
    <n v="3.98"/>
    <x v="2"/>
    <m/>
    <m/>
    <m/>
    <n v="3.98"/>
    <b v="0"/>
    <m/>
    <m/>
    <s v="-"/>
    <x v="792"/>
    <s v="Create Rule; and Description='Kwik Trip';Transportation"/>
    <m/>
  </r>
  <r>
    <x v="28"/>
    <d v="2021-05-28T00:00:00"/>
    <s v="Discover"/>
    <x v="823"/>
    <n v="29.61"/>
    <x v="2"/>
    <m/>
    <m/>
    <m/>
    <n v="29.61"/>
    <b v="0"/>
    <m/>
    <m/>
    <s v="-"/>
    <x v="792"/>
    <s v="Create Rule; and Description='Kwik Trip';Transportation"/>
    <m/>
  </r>
  <r>
    <x v="28"/>
    <d v="2021-05-28T00:00:00"/>
    <s v="Discover More Card"/>
    <x v="823"/>
    <n v="3.98"/>
    <x v="2"/>
    <m/>
    <m/>
    <m/>
    <n v="3.98"/>
    <b v="0"/>
    <m/>
    <m/>
    <s v="-"/>
    <x v="792"/>
    <s v="Create Rule; and Description='Kwik Trip';Transportation"/>
    <m/>
  </r>
  <r>
    <x v="28"/>
    <d v="2021-05-28T00:00:00"/>
    <s v="Discover More Card"/>
    <x v="823"/>
    <n v="29.61"/>
    <x v="2"/>
    <m/>
    <m/>
    <m/>
    <n v="29.61"/>
    <b v="0"/>
    <m/>
    <m/>
    <s v="-"/>
    <x v="792"/>
    <s v="Create Rule; and Description='Kwik Trip';Transportation"/>
    <m/>
  </r>
  <r>
    <x v="28"/>
    <d v="2021-05-28T00:00:00"/>
    <s v="Discover"/>
    <x v="1366"/>
    <n v="47.58"/>
    <x v="26"/>
    <m/>
    <m/>
    <m/>
    <n v="47.58"/>
    <b v="0"/>
    <m/>
    <m/>
    <s v="-"/>
    <x v="1287"/>
    <s v="Manual"/>
    <m/>
  </r>
  <r>
    <x v="28"/>
    <d v="2021-05-28T00:00:00"/>
    <s v="Discover More Card"/>
    <x v="1366"/>
    <n v="47.58"/>
    <x v="26"/>
    <m/>
    <m/>
    <m/>
    <n v="47.58"/>
    <b v="0"/>
    <m/>
    <m/>
    <s v="-"/>
    <x v="1287"/>
    <s v="Manual"/>
    <m/>
  </r>
  <r>
    <x v="28"/>
    <d v="2021-05-28T00:00:00"/>
    <s v="Joint Tenant"/>
    <x v="190"/>
    <n v="-21.02"/>
    <x v="26"/>
    <m/>
    <m/>
    <m/>
    <n v="21.02"/>
    <b v="0"/>
    <m/>
    <m/>
    <s v="+"/>
    <x v="189"/>
    <s v="Create Rule; and Description='STARBUCKS CORP';Restaurants"/>
    <m/>
  </r>
  <r>
    <x v="28"/>
    <d v="2021-05-28T00:00:00"/>
    <s v="Contributory"/>
    <x v="1300"/>
    <n v="-231"/>
    <x v="26"/>
    <m/>
    <m/>
    <m/>
    <n v="231"/>
    <b v="0"/>
    <m/>
    <m/>
    <s v="+"/>
    <x v="1231"/>
    <s v="Manual"/>
    <m/>
  </r>
  <r>
    <x v="28"/>
    <d v="2021-05-28T00:00:00"/>
    <s v="Jeff IRA"/>
    <x v="951"/>
    <n v="-250"/>
    <x v="26"/>
    <m/>
    <m/>
    <m/>
    <n v="250"/>
    <b v="0"/>
    <m/>
    <m/>
    <s v="+"/>
    <x v="914"/>
    <s v="Create Rule; and Description Like '%CONNECTED ANALYT%';Inc - Jeff"/>
    <m/>
  </r>
  <r>
    <x v="28"/>
    <d v="2021-05-28T00:00:00"/>
    <s v="Cash Rewards Visa Signature"/>
    <x v="100"/>
    <n v="8.57"/>
    <x v="5"/>
    <m/>
    <m/>
    <m/>
    <n v="8.57"/>
    <b v="0"/>
    <m/>
    <m/>
    <s v="-"/>
    <x v="100"/>
    <s v="Create Rule; and Description like '%Trader Joe%';Groceries"/>
    <m/>
  </r>
  <r>
    <x v="28"/>
    <d v="2021-05-30T00:00:00"/>
    <s v="Cash Rewards Visa Signature"/>
    <x v="1367"/>
    <n v="40.5"/>
    <x v="26"/>
    <m/>
    <m/>
    <m/>
    <n v="40.5"/>
    <b v="0"/>
    <m/>
    <m/>
    <s v="-"/>
    <x v="1288"/>
    <s v="Manual"/>
    <m/>
  </r>
  <r>
    <x v="28"/>
    <d v="2021-05-30T00:00:00"/>
    <s v="Discover"/>
    <x v="81"/>
    <n v="39.07"/>
    <x v="26"/>
    <m/>
    <m/>
    <m/>
    <n v="39.07"/>
    <b v="0"/>
    <m/>
    <m/>
    <s v="-"/>
    <x v="81"/>
    <s v="Create Rule; and Description='Holiday Stationstore';Transportation"/>
    <m/>
  </r>
  <r>
    <x v="28"/>
    <d v="2021-05-30T00:00:00"/>
    <s v="Discover More Card"/>
    <x v="81"/>
    <n v="39.07"/>
    <x v="26"/>
    <m/>
    <m/>
    <m/>
    <n v="39.07"/>
    <b v="0"/>
    <m/>
    <m/>
    <s v="-"/>
    <x v="81"/>
    <s v="Create Rule; and Description='Holiday Stationstore';Transportation"/>
    <m/>
  </r>
  <r>
    <x v="28"/>
    <d v="2021-05-30T00:00:00"/>
    <s v="Cash Rewards Visa Signature"/>
    <x v="1364"/>
    <n v="3.83"/>
    <x v="26"/>
    <m/>
    <m/>
    <m/>
    <n v="3.83"/>
    <b v="0"/>
    <m/>
    <m/>
    <s v="-"/>
    <x v="1285"/>
    <s v="Manual"/>
    <m/>
  </r>
  <r>
    <x v="28"/>
    <d v="2021-05-30T00:00:00"/>
    <s v="Cash Rewards Visa Signature"/>
    <x v="1368"/>
    <n v="183.05"/>
    <x v="26"/>
    <m/>
    <m/>
    <m/>
    <n v="183.05"/>
    <b v="0"/>
    <m/>
    <m/>
    <s v="-"/>
    <x v="1289"/>
    <s v="Manual"/>
    <m/>
  </r>
  <r>
    <x v="28"/>
    <d v="2021-05-30T00:00:00"/>
    <s v="Cash Rewards Visa Signature"/>
    <x v="1125"/>
    <n v="215.15"/>
    <x v="26"/>
    <m/>
    <m/>
    <m/>
    <n v="215.15"/>
    <b v="0"/>
    <m/>
    <m/>
    <s v="-"/>
    <x v="1071"/>
    <s v="Manual"/>
    <m/>
  </r>
  <r>
    <x v="28"/>
    <d v="2021-05-30T00:00:00"/>
    <s v="Cash Rewards Visa Signature"/>
    <x v="1369"/>
    <n v="32.35"/>
    <x v="26"/>
    <m/>
    <m/>
    <m/>
    <n v="32.35"/>
    <b v="0"/>
    <m/>
    <m/>
    <s v="-"/>
    <x v="1290"/>
    <s v="Manual"/>
    <m/>
  </r>
  <r>
    <x v="28"/>
    <d v="2021-05-30T00:00:00"/>
    <s v="Cash Rewards Visa Signature"/>
    <x v="1370"/>
    <n v="22.78"/>
    <x v="26"/>
    <m/>
    <m/>
    <m/>
    <n v="22.78"/>
    <b v="0"/>
    <m/>
    <m/>
    <s v="-"/>
    <x v="1291"/>
    <s v="Manual"/>
    <m/>
  </r>
  <r>
    <x v="28"/>
    <d v="2021-05-31T00:00:00"/>
    <s v="RAINY DAY"/>
    <x v="114"/>
    <n v="-0.14000000000000001"/>
    <x v="26"/>
    <m/>
    <m/>
    <m/>
    <n v="0.14000000000000001"/>
    <b v="0"/>
    <m/>
    <m/>
    <s v="+"/>
    <x v="114"/>
    <s v="Manual"/>
    <m/>
  </r>
  <r>
    <x v="28"/>
    <d v="2021-05-31T00:00:00"/>
    <s v="POWERPLUS"/>
    <x v="1040"/>
    <n v="-3"/>
    <x v="26"/>
    <m/>
    <m/>
    <m/>
    <n v="3"/>
    <b v="0"/>
    <m/>
    <m/>
    <s v="+"/>
    <x v="994"/>
    <s v="Manual"/>
    <m/>
  </r>
  <r>
    <x v="28"/>
    <d v="2021-05-31T00:00:00"/>
    <s v="POWERPLUS"/>
    <x v="1371"/>
    <n v="-25.33"/>
    <x v="26"/>
    <m/>
    <m/>
    <m/>
    <n v="25.33"/>
    <b v="0"/>
    <m/>
    <m/>
    <s v="+"/>
    <x v="1292"/>
    <s v="Manual"/>
    <m/>
  </r>
  <r>
    <x v="28"/>
    <d v="2021-05-31T00:00:00"/>
    <s v="Cash Rewards Visa Signature"/>
    <x v="1125"/>
    <n v="62.64"/>
    <x v="26"/>
    <m/>
    <m/>
    <m/>
    <n v="62.64"/>
    <b v="0"/>
    <m/>
    <m/>
    <s v="-"/>
    <x v="1071"/>
    <s v="Manual"/>
    <m/>
  </r>
  <r>
    <x v="28"/>
    <d v="2021-05-31T00:00:00"/>
    <s v="Cash Rewards Visa Signature"/>
    <x v="53"/>
    <n v="35.64"/>
    <x v="26"/>
    <m/>
    <m/>
    <m/>
    <n v="35.64"/>
    <b v="0"/>
    <m/>
    <m/>
    <s v="-"/>
    <x v="53"/>
    <s v="Create Rule; and Description='Total Wine and More';Groceries"/>
    <m/>
  </r>
  <r>
    <x v="28"/>
    <d v="2021-05-31T00:00:00"/>
    <s v="POWERPLUS"/>
    <x v="1372"/>
    <n v="-17"/>
    <x v="26"/>
    <m/>
    <m/>
    <m/>
    <n v="17"/>
    <b v="0"/>
    <m/>
    <m/>
    <s v="+"/>
    <x v="1293"/>
    <s v="Create Rule; and Description Like '%PayPal%';Shopping"/>
    <m/>
  </r>
  <r>
    <x v="29"/>
    <d v="2021-06-01T00:00:00"/>
    <s v="30 YR FIXED"/>
    <x v="935"/>
    <n v="-734.06"/>
    <x v="3"/>
    <m/>
    <m/>
    <m/>
    <n v="734.06"/>
    <b v="0"/>
    <m/>
    <m/>
    <s v="+"/>
    <x v="899"/>
    <s v="Create Rule; and Description='PAYMENT';Delete"/>
    <m/>
  </r>
  <r>
    <x v="29"/>
    <d v="2021-06-01T00:00:00"/>
    <s v="Discover"/>
    <x v="598"/>
    <n v="4.28"/>
    <x v="10"/>
    <m/>
    <m/>
    <m/>
    <n v="4.28"/>
    <b v="0"/>
    <m/>
    <m/>
    <s v="-"/>
    <x v="579"/>
    <s v="Create Rule; and Description='Amazon Music';Entertainment"/>
    <m/>
  </r>
  <r>
    <x v="29"/>
    <d v="2021-06-01T00:00:00"/>
    <s v="Discover More Card"/>
    <x v="598"/>
    <n v="4.28"/>
    <x v="10"/>
    <m/>
    <m/>
    <m/>
    <n v="4.28"/>
    <b v="0"/>
    <m/>
    <m/>
    <s v="-"/>
    <x v="579"/>
    <s v="Create Rule; and Description='Amazon Music';Entertainment"/>
    <m/>
  </r>
  <r>
    <x v="29"/>
    <d v="2021-06-01T00:00:00"/>
    <s v="POWERPLUS"/>
    <x v="1334"/>
    <n v="2832.55"/>
    <x v="6"/>
    <m/>
    <m/>
    <m/>
    <n v="2832.55"/>
    <b v="0"/>
    <m/>
    <m/>
    <s v="-"/>
    <x v="1261"/>
    <s v="Manual"/>
    <m/>
  </r>
  <r>
    <x v="29"/>
    <d v="2021-06-01T00:00:00"/>
    <s v="POWERPLUS"/>
    <x v="1335"/>
    <n v="200"/>
    <x v="26"/>
    <m/>
    <m/>
    <m/>
    <n v="200"/>
    <b v="0"/>
    <m/>
    <m/>
    <s v="-"/>
    <x v="1262"/>
    <s v="Create Rule; and Description Like '%College Savings%';College Savings"/>
    <m/>
  </r>
  <r>
    <x v="29"/>
    <d v="2021-06-01T00:00:00"/>
    <s v="Cash Rewards Visa Signature"/>
    <x v="6"/>
    <n v="178.12"/>
    <x v="5"/>
    <m/>
    <m/>
    <m/>
    <n v="178.12"/>
    <b v="0"/>
    <m/>
    <m/>
    <s v="-"/>
    <x v="6"/>
    <s v="Create Rule; and Description Like '%Cub Foods%';Groceries"/>
    <m/>
  </r>
  <r>
    <x v="29"/>
    <d v="2021-06-01T00:00:00"/>
    <s v="HIGHLANDER"/>
    <x v="976"/>
    <n v="-584.35"/>
    <x v="26"/>
    <m/>
    <m/>
    <m/>
    <n v="584.35"/>
    <b v="0"/>
    <m/>
    <m/>
    <s v="+"/>
    <x v="936"/>
    <s v="Create Rule; and Description='From Share 70';Delete"/>
    <m/>
  </r>
  <r>
    <x v="29"/>
    <d v="2021-06-01T00:00:00"/>
    <s v="Joint Tenant"/>
    <x v="187"/>
    <n v="-29.88"/>
    <x v="26"/>
    <m/>
    <m/>
    <m/>
    <n v="29.88"/>
    <b v="0"/>
    <m/>
    <m/>
    <s v="+"/>
    <x v="186"/>
    <s v="Create Rule; and Description='INTEL CORP';Dividend"/>
    <m/>
  </r>
  <r>
    <x v="29"/>
    <d v="2021-06-01T00:00:00"/>
    <s v="POWERPLUS"/>
    <x v="157"/>
    <n v="0.99"/>
    <x v="8"/>
    <m/>
    <m/>
    <m/>
    <n v="0.99"/>
    <b v="0"/>
    <m/>
    <m/>
    <s v="-"/>
    <x v="156"/>
    <s v="Create Rule; and Description Like '%PayPal%';Shopping"/>
    <m/>
  </r>
  <r>
    <x v="29"/>
    <d v="2021-06-01T00:00:00"/>
    <s v="POWERPLUS"/>
    <x v="157"/>
    <n v="14.03"/>
    <x v="8"/>
    <m/>
    <m/>
    <m/>
    <n v="14.03"/>
    <b v="0"/>
    <m/>
    <m/>
    <s v="-"/>
    <x v="156"/>
    <s v="Create Rule; and Description Like '%PayPal%';Shopping"/>
    <m/>
  </r>
  <r>
    <x v="29"/>
    <d v="2021-06-01T00:00:00"/>
    <s v="POWERPLUS"/>
    <x v="157"/>
    <n v="128.82"/>
    <x v="8"/>
    <m/>
    <m/>
    <m/>
    <n v="128.82"/>
    <b v="0"/>
    <m/>
    <m/>
    <s v="-"/>
    <x v="156"/>
    <s v="Create Rule; and Description Like '%PayPal%';Shopping"/>
    <m/>
  </r>
  <r>
    <x v="29"/>
    <d v="2021-06-01T00:00:00"/>
    <s v="30 YR FIXED"/>
    <x v="1085"/>
    <n v="-431"/>
    <x v="26"/>
    <m/>
    <m/>
    <m/>
    <n v="431"/>
    <b v="0"/>
    <m/>
    <m/>
    <s v="+"/>
    <x v="1034"/>
    <s v="Create Rule; and Description='Principal Curtailment';Delete"/>
    <m/>
  </r>
  <r>
    <x v="29"/>
    <d v="2021-06-01T00:00:00"/>
    <s v="Joint Tenant"/>
    <x v="190"/>
    <n v="21.02"/>
    <x v="26"/>
    <m/>
    <m/>
    <m/>
    <n v="21.02"/>
    <b v="0"/>
    <m/>
    <m/>
    <s v="-"/>
    <x v="189"/>
    <s v="Create Rule; and Description='STARBUCKS CORP';Restaurants"/>
    <m/>
  </r>
  <r>
    <x v="29"/>
    <d v="2021-06-01T00:00:00"/>
    <s v="POWERPLUS"/>
    <x v="979"/>
    <n v="618.65"/>
    <x v="26"/>
    <m/>
    <m/>
    <m/>
    <n v="618.65"/>
    <b v="0"/>
    <m/>
    <m/>
    <s v="-"/>
    <x v="939"/>
    <s v="Create Rule; and Description Like '%To Loan 02%';Car Loan"/>
    <m/>
  </r>
  <r>
    <x v="29"/>
    <d v="2021-06-01T00:00:00"/>
    <s v="Cash Rewards Visa Signature"/>
    <x v="1373"/>
    <n v="45.82"/>
    <x v="26"/>
    <m/>
    <m/>
    <m/>
    <n v="45.82"/>
    <b v="0"/>
    <m/>
    <m/>
    <s v="-"/>
    <x v="1294"/>
    <s v="Manual"/>
    <m/>
  </r>
  <r>
    <x v="29"/>
    <d v="2021-06-01T00:00:00"/>
    <s v="Joint Tenant"/>
    <x v="138"/>
    <n v="-27.01"/>
    <x v="26"/>
    <m/>
    <m/>
    <m/>
    <n v="27.01"/>
    <b v="0"/>
    <m/>
    <m/>
    <s v="+"/>
    <x v="137"/>
    <s v="Create Rule; and Description='VISA INC CLASS A';Dividend"/>
    <m/>
  </r>
  <r>
    <x v="29"/>
    <d v="2021-06-01T00:00:00"/>
    <s v="Cash Rewards Visa Signature"/>
    <x v="197"/>
    <n v="18.690000000000001"/>
    <x v="1"/>
    <m/>
    <m/>
    <m/>
    <n v="18.690000000000001"/>
    <b v="0"/>
    <m/>
    <m/>
    <s v="-"/>
    <x v="196"/>
    <s v="Create Rule; and Description like '%Wendy%';Restaurants"/>
    <m/>
  </r>
  <r>
    <x v="29"/>
    <d v="2021-06-02T00:00:00"/>
    <s v="Cash Rewards Visa Signature"/>
    <x v="1374"/>
    <n v="5.2"/>
    <x v="26"/>
    <m/>
    <m/>
    <m/>
    <n v="5.2"/>
    <b v="0"/>
    <m/>
    <m/>
    <s v="-"/>
    <x v="1295"/>
    <s v="Manual"/>
    <m/>
  </r>
  <r>
    <x v="29"/>
    <d v="2021-06-02T00:00:00"/>
    <s v="Joint Tenant"/>
    <x v="187"/>
    <n v="29.88"/>
    <x v="26"/>
    <m/>
    <m/>
    <m/>
    <n v="29.88"/>
    <b v="0"/>
    <m/>
    <m/>
    <s v="-"/>
    <x v="186"/>
    <s v="Create Rule; and Description='INTEL CORP';Dividend"/>
    <m/>
  </r>
  <r>
    <x v="29"/>
    <d v="2021-06-02T00:00:00"/>
    <s v="POWERPLUS"/>
    <x v="1321"/>
    <n v="425"/>
    <x v="26"/>
    <m/>
    <m/>
    <m/>
    <n v="425"/>
    <b v="0"/>
    <m/>
    <m/>
    <s v="-"/>
    <x v="1249"/>
    <s v="Create Rule; and Description Like '%MHCHILDCARELLC%';Day Care"/>
    <m/>
  </r>
  <r>
    <x v="29"/>
    <d v="2021-06-02T00:00:00"/>
    <s v="Cash Rewards Visa Signature"/>
    <x v="851"/>
    <n v="53.69"/>
    <x v="26"/>
    <m/>
    <m/>
    <m/>
    <n v="53.69"/>
    <b v="0"/>
    <m/>
    <m/>
    <s v="-"/>
    <x v="818"/>
    <s v="Manual"/>
    <m/>
  </r>
  <r>
    <x v="29"/>
    <d v="2021-06-02T00:00:00"/>
    <s v="Joint Tenant"/>
    <x v="138"/>
    <n v="27.01"/>
    <x v="26"/>
    <m/>
    <m/>
    <m/>
    <n v="27.01"/>
    <b v="0"/>
    <m/>
    <m/>
    <s v="-"/>
    <x v="137"/>
    <s v="Create Rule; and Description='VISA INC CLASS A';Dividend"/>
    <m/>
  </r>
  <r>
    <x v="29"/>
    <d v="2021-06-03T00:00:00"/>
    <s v="POWERPLUS"/>
    <x v="6"/>
    <n v="33.85"/>
    <x v="5"/>
    <m/>
    <m/>
    <m/>
    <n v="33.85"/>
    <b v="0"/>
    <m/>
    <m/>
    <s v="-"/>
    <x v="6"/>
    <s v="Create Rule; and Description Like '%Cub Foods%';Groceries"/>
    <m/>
  </r>
  <r>
    <x v="29"/>
    <d v="2021-06-03T00:00:00"/>
    <s v="Cash Rewards Visa Signature"/>
    <x v="79"/>
    <n v="53"/>
    <x v="28"/>
    <m/>
    <m/>
    <m/>
    <n v="53"/>
    <b v="0"/>
    <m/>
    <m/>
    <s v="-"/>
    <x v="79"/>
    <s v="Create Rule; and Description='Elite Nails';Entertainment"/>
    <m/>
  </r>
  <r>
    <x v="29"/>
    <d v="2021-06-03T00:00:00"/>
    <s v="Cash Rewards Visa Signature"/>
    <x v="1337"/>
    <n v="18"/>
    <x v="26"/>
    <m/>
    <m/>
    <m/>
    <n v="18"/>
    <b v="0"/>
    <m/>
    <m/>
    <s v="-"/>
    <x v="1264"/>
    <s v="Manual"/>
    <m/>
  </r>
  <r>
    <x v="29"/>
    <d v="2021-06-04T00:00:00"/>
    <s v="Cash Rewards Visa Signature"/>
    <x v="255"/>
    <n v="249.75"/>
    <x v="5"/>
    <m/>
    <m/>
    <m/>
    <n v="249.75"/>
    <b v="0"/>
    <m/>
    <m/>
    <s v="-"/>
    <x v="253"/>
    <s v="Create Rule; and Description='Costco';Groceries"/>
    <m/>
  </r>
  <r>
    <x v="29"/>
    <d v="2021-06-04T00:00:00"/>
    <s v="Cash Rewards Visa Signature"/>
    <x v="6"/>
    <n v="104.84"/>
    <x v="5"/>
    <m/>
    <m/>
    <m/>
    <n v="104.84"/>
    <b v="0"/>
    <m/>
    <m/>
    <s v="-"/>
    <x v="6"/>
    <s v="Create Rule; and Description Like '%Cub Foods%';Groceries"/>
    <m/>
  </r>
  <r>
    <x v="29"/>
    <d v="2021-06-04T00:00:00"/>
    <s v="Cash Rewards Visa Signature"/>
    <x v="8"/>
    <n v="3.23"/>
    <x v="5"/>
    <m/>
    <m/>
    <m/>
    <n v="3.23"/>
    <b v="0"/>
    <m/>
    <m/>
    <s v="-"/>
    <x v="8"/>
    <s v="Manual"/>
    <m/>
  </r>
  <r>
    <x v="29"/>
    <d v="2021-06-04T00:00:00"/>
    <s v="Discover"/>
    <x v="823"/>
    <n v="37.58"/>
    <x v="2"/>
    <m/>
    <m/>
    <m/>
    <n v="37.58"/>
    <b v="0"/>
    <m/>
    <m/>
    <s v="-"/>
    <x v="792"/>
    <s v="Create Rule; and Description='Kwik Trip';Transportation"/>
    <m/>
  </r>
  <r>
    <x v="29"/>
    <d v="2021-06-04T00:00:00"/>
    <s v="Discover More Card"/>
    <x v="823"/>
    <n v="37.58"/>
    <x v="2"/>
    <m/>
    <m/>
    <m/>
    <n v="37.58"/>
    <b v="0"/>
    <m/>
    <m/>
    <s v="-"/>
    <x v="792"/>
    <s v="Create Rule; and Description='Kwik Trip';Transportation"/>
    <m/>
  </r>
  <r>
    <x v="29"/>
    <d v="2021-06-04T00:00:00"/>
    <s v="Cash Rewards Visa Signature"/>
    <x v="1375"/>
    <n v="51.88"/>
    <x v="26"/>
    <m/>
    <m/>
    <m/>
    <n v="51.88"/>
    <b v="0"/>
    <m/>
    <m/>
    <s v="-"/>
    <x v="1296"/>
    <s v="Manual"/>
    <m/>
  </r>
  <r>
    <x v="29"/>
    <d v="2021-06-04T00:00:00"/>
    <s v="Cash Rewards Visa Signature"/>
    <x v="1376"/>
    <n v="12.75"/>
    <x v="26"/>
    <m/>
    <m/>
    <m/>
    <n v="12.75"/>
    <b v="0"/>
    <m/>
    <m/>
    <s v="-"/>
    <x v="1297"/>
    <s v="Manual"/>
    <m/>
  </r>
  <r>
    <x v="29"/>
    <d v="2021-06-04T00:00:00"/>
    <s v="Cash Rewards Visa Signature"/>
    <x v="448"/>
    <n v="279.54000000000002"/>
    <x v="30"/>
    <m/>
    <m/>
    <m/>
    <n v="279.54000000000002"/>
    <b v="0"/>
    <m/>
    <m/>
    <s v="-"/>
    <x v="432"/>
    <s v="Create Rule; and Description='Wayfair';Shopping"/>
    <m/>
  </r>
  <r>
    <x v="29"/>
    <d v="2021-06-05T00:00:00"/>
    <s v="Cash Rewards Visa Signature"/>
    <x v="1318"/>
    <n v="-2417.86"/>
    <x v="26"/>
    <m/>
    <m/>
    <m/>
    <n v="2417.86"/>
    <b v="0"/>
    <m/>
    <m/>
    <s v="+"/>
    <x v="1246"/>
    <s v="Delete; and Description Like '%PAYMENT THANK YOU%';0"/>
    <m/>
  </r>
  <r>
    <x v="29"/>
    <d v="2021-06-05T00:00:00"/>
    <s v="POWERPLUS"/>
    <x v="1319"/>
    <n v="2417.86"/>
    <x v="26"/>
    <m/>
    <m/>
    <m/>
    <n v="2417.86"/>
    <b v="0"/>
    <m/>
    <m/>
    <s v="-"/>
    <x v="1247"/>
    <s v="Delete; and Description Like '%Withdrawal Home payment to card%';0"/>
    <m/>
  </r>
  <r>
    <x v="29"/>
    <d v="2021-06-06T00:00:00"/>
    <s v="Cash Rewards Visa Signature"/>
    <x v="1349"/>
    <n v="142.93"/>
    <x v="26"/>
    <m/>
    <m/>
    <m/>
    <n v="142.93"/>
    <b v="0"/>
    <m/>
    <m/>
    <s v="-"/>
    <x v="1274"/>
    <s v="Manual"/>
    <m/>
  </r>
  <r>
    <x v="29"/>
    <d v="2021-06-06T00:00:00"/>
    <s v="Cash Rewards Visa Signature"/>
    <x v="150"/>
    <n v="10.17"/>
    <x v="26"/>
    <m/>
    <m/>
    <m/>
    <n v="10.17"/>
    <b v="0"/>
    <m/>
    <m/>
    <s v="-"/>
    <x v="149"/>
    <s v="Create Rule; and Description='Party City';Shopping"/>
    <m/>
  </r>
  <r>
    <x v="29"/>
    <d v="2021-06-06T00:00:00"/>
    <s v="Cash Rewards Visa Signature"/>
    <x v="1377"/>
    <n v="19.329999999999998"/>
    <x v="26"/>
    <m/>
    <m/>
    <m/>
    <n v="19.329999999999998"/>
    <b v="0"/>
    <m/>
    <m/>
    <s v="-"/>
    <x v="1298"/>
    <s v="Manual"/>
    <m/>
  </r>
  <r>
    <x v="29"/>
    <d v="2021-06-06T00:00:00"/>
    <s v="Cash Rewards Visa Signature"/>
    <x v="1378"/>
    <n v="194.21"/>
    <x v="26"/>
    <m/>
    <m/>
    <m/>
    <n v="194.21"/>
    <b v="0"/>
    <m/>
    <m/>
    <s v="-"/>
    <x v="1299"/>
    <s v="Manual"/>
    <m/>
  </r>
  <r>
    <x v="29"/>
    <d v="2021-06-06T00:00:00"/>
    <s v="Cash Rewards Visa Signature"/>
    <x v="1338"/>
    <n v="189"/>
    <x v="5"/>
    <m/>
    <m/>
    <m/>
    <n v="189"/>
    <b v="0"/>
    <m/>
    <m/>
    <s v="-"/>
    <x v="1265"/>
    <s v="Manual"/>
    <m/>
  </r>
  <r>
    <x v="29"/>
    <d v="2021-06-06T00:00:00"/>
    <s v="Cash Rewards Visa Signature"/>
    <x v="775"/>
    <n v="55.9"/>
    <x v="26"/>
    <m/>
    <m/>
    <m/>
    <n v="55.9"/>
    <b v="0"/>
    <m/>
    <m/>
    <s v="-"/>
    <x v="747"/>
    <s v="Create Rule; and Description='True Value';House Maintenance"/>
    <m/>
  </r>
  <r>
    <x v="29"/>
    <d v="2021-06-07T00:00:00"/>
    <s v="Investor Checking"/>
    <x v="1217"/>
    <n v="20"/>
    <x v="26"/>
    <m/>
    <m/>
    <m/>
    <n v="20"/>
    <b v="0"/>
    <m/>
    <m/>
    <s v="-"/>
    <x v="1156"/>
    <s v="Manual"/>
    <m/>
  </r>
  <r>
    <x v="29"/>
    <d v="2021-06-07T00:00:00"/>
    <s v="POWERPLUS"/>
    <x v="157"/>
    <n v="14.03"/>
    <x v="8"/>
    <m/>
    <m/>
    <m/>
    <n v="14.03"/>
    <b v="0"/>
    <m/>
    <m/>
    <s v="-"/>
    <x v="156"/>
    <s v="Create Rule; and Description Like '%PayPal%';Shopping"/>
    <m/>
  </r>
  <r>
    <x v="29"/>
    <d v="2021-06-07T00:00:00"/>
    <s v="POWERPLUS"/>
    <x v="157"/>
    <n v="34.99"/>
    <x v="8"/>
    <m/>
    <m/>
    <m/>
    <n v="34.99"/>
    <b v="0"/>
    <m/>
    <m/>
    <s v="-"/>
    <x v="156"/>
    <s v="Create Rule; and Description Like '%PayPal%';Shopping"/>
    <m/>
  </r>
  <r>
    <x v="29"/>
    <d v="2021-06-07T00:00:00"/>
    <s v="POWERPLUS"/>
    <x v="1379"/>
    <n v="99.25"/>
    <x v="26"/>
    <m/>
    <m/>
    <m/>
    <n v="99.25"/>
    <b v="0"/>
    <m/>
    <m/>
    <s v="-"/>
    <x v="1300"/>
    <s v="Manual"/>
    <m/>
  </r>
  <r>
    <x v="29"/>
    <d v="2021-06-07T00:00:00"/>
    <s v="Cooper"/>
    <x v="191"/>
    <n v="-20"/>
    <x v="26"/>
    <m/>
    <m/>
    <m/>
    <n v="20"/>
    <b v="0"/>
    <m/>
    <m/>
    <s v="+"/>
    <x v="190"/>
    <s v="Manual"/>
    <m/>
  </r>
  <r>
    <x v="29"/>
    <d v="2021-06-08T00:00:00"/>
    <s v="Cash Rewards Visa Signature"/>
    <x v="1116"/>
    <n v="372"/>
    <x v="26"/>
    <m/>
    <m/>
    <m/>
    <n v="372"/>
    <b v="0"/>
    <m/>
    <m/>
    <s v="-"/>
    <x v="1063"/>
    <s v="Manual"/>
    <m/>
  </r>
  <r>
    <x v="29"/>
    <d v="2021-06-08T00:00:00"/>
    <s v="Joint Tenant"/>
    <x v="20"/>
    <n v="200"/>
    <x v="26"/>
    <m/>
    <m/>
    <m/>
    <n v="200"/>
    <b v="0"/>
    <m/>
    <m/>
    <s v="-"/>
    <x v="20"/>
    <s v="Delete; and Description='SCHWAB TOTAL STOCK MKT INDEX' and inflowoutflow='-';0"/>
    <m/>
  </r>
  <r>
    <x v="29"/>
    <d v="2021-06-09T00:00:00"/>
    <s v="Cash Rewards Visa Signature"/>
    <x v="1318"/>
    <n v="-983.54"/>
    <x v="26"/>
    <m/>
    <m/>
    <m/>
    <n v="983.54"/>
    <b v="0"/>
    <m/>
    <m/>
    <s v="+"/>
    <x v="1246"/>
    <s v="Delete; and Description Like '%PAYMENT THANK YOU%';0"/>
    <m/>
  </r>
  <r>
    <x v="29"/>
    <d v="2021-06-09T00:00:00"/>
    <s v="POWERPLUS"/>
    <x v="1319"/>
    <n v="983.54"/>
    <x v="26"/>
    <m/>
    <m/>
    <m/>
    <n v="983.54"/>
    <b v="0"/>
    <m/>
    <m/>
    <s v="-"/>
    <x v="1247"/>
    <s v="Delete; and Description Like '%Withdrawal Home payment to card%';0"/>
    <m/>
  </r>
  <r>
    <x v="29"/>
    <d v="2021-06-09T00:00:00"/>
    <s v="Discover"/>
    <x v="0"/>
    <n v="91.51"/>
    <x v="0"/>
    <m/>
    <m/>
    <m/>
    <n v="91.51"/>
    <b v="0"/>
    <m/>
    <m/>
    <s v="-"/>
    <x v="0"/>
    <s v="Create Rule; and Description='Amazon';Amazon"/>
    <m/>
  </r>
  <r>
    <x v="29"/>
    <d v="2021-06-09T00:00:00"/>
    <s v="Discover More Card"/>
    <x v="0"/>
    <n v="91.51"/>
    <x v="0"/>
    <m/>
    <m/>
    <m/>
    <n v="91.51"/>
    <b v="0"/>
    <m/>
    <m/>
    <s v="-"/>
    <x v="0"/>
    <s v="Create Rule; and Description='Amazon';Amazon"/>
    <m/>
  </r>
  <r>
    <x v="29"/>
    <d v="2021-06-09T00:00:00"/>
    <s v="POWERPLUS"/>
    <x v="1380"/>
    <n v="-24963.16"/>
    <x v="26"/>
    <m/>
    <m/>
    <m/>
    <n v="24963.16"/>
    <b v="0"/>
    <m/>
    <m/>
    <s v="+"/>
    <x v="1301"/>
    <s v="Manual"/>
    <m/>
  </r>
  <r>
    <x v="29"/>
    <d v="2021-06-09T00:00:00"/>
    <s v="Cash Rewards Visa Signature"/>
    <x v="1381"/>
    <n v="41.93"/>
    <x v="26"/>
    <m/>
    <m/>
    <m/>
    <n v="41.93"/>
    <b v="0"/>
    <m/>
    <m/>
    <s v="-"/>
    <x v="1302"/>
    <s v="Manual"/>
    <m/>
  </r>
  <r>
    <x v="29"/>
    <d v="2021-06-10T00:00:00"/>
    <s v="POWERPLUS"/>
    <x v="1382"/>
    <n v="-2168.13"/>
    <x v="26"/>
    <m/>
    <m/>
    <m/>
    <n v="2168.13"/>
    <b v="0"/>
    <m/>
    <m/>
    <s v="+"/>
    <x v="1256"/>
    <s v="Create Rule; and Description Like '%Cargill Inc Deposit CARGILL INCORPOR TYPE DIRECT DEP ID CO CARGILL INCORPOR ACH%';Inc - Britney"/>
    <m/>
  </r>
  <r>
    <x v="29"/>
    <d v="2021-06-10T00:00:00"/>
    <s v="Discover"/>
    <x v="67"/>
    <n v="45"/>
    <x v="11"/>
    <m/>
    <m/>
    <m/>
    <n v="45"/>
    <b v="0"/>
    <m/>
    <m/>
    <s v="-"/>
    <x v="67"/>
    <s v="Create Rule; and Description='CenturyLink';Utilities"/>
    <m/>
  </r>
  <r>
    <x v="29"/>
    <d v="2021-06-10T00:00:00"/>
    <s v="Discover More Card"/>
    <x v="67"/>
    <n v="45"/>
    <x v="11"/>
    <m/>
    <m/>
    <m/>
    <n v="45"/>
    <b v="0"/>
    <m/>
    <m/>
    <s v="-"/>
    <x v="67"/>
    <s v="Create Rule; and Description='CenturyLink';Utilities"/>
    <m/>
  </r>
  <r>
    <x v="29"/>
    <d v="2021-06-10T00:00:00"/>
    <s v="Joint Tenant"/>
    <x v="245"/>
    <n v="-61.96"/>
    <x v="26"/>
    <m/>
    <m/>
    <m/>
    <n v="61.96"/>
    <b v="0"/>
    <m/>
    <m/>
    <s v="+"/>
    <x v="243"/>
    <s v="Create Rule; and Description='CHEVRON CORP';Dividend"/>
    <m/>
  </r>
  <r>
    <x v="29"/>
    <d v="2021-06-10T00:00:00"/>
    <s v="Cash Rewards Visa Signature"/>
    <x v="1358"/>
    <n v="29.55"/>
    <x v="26"/>
    <m/>
    <m/>
    <m/>
    <n v="29.55"/>
    <b v="0"/>
    <m/>
    <m/>
    <s v="-"/>
    <x v="1282"/>
    <s v="Manual"/>
    <m/>
  </r>
  <r>
    <x v="29"/>
    <d v="2021-06-10T00:00:00"/>
    <s v="POWERPLUS"/>
    <x v="1321"/>
    <n v="425"/>
    <x v="26"/>
    <m/>
    <m/>
    <m/>
    <n v="425"/>
    <b v="0"/>
    <m/>
    <m/>
    <s v="-"/>
    <x v="1249"/>
    <s v="Create Rule; and Description Like '%MHCHILDCARELLC%';Day Care"/>
    <m/>
  </r>
  <r>
    <x v="29"/>
    <d v="2021-06-10T00:00:00"/>
    <s v="Cash Rewards Visa Signature"/>
    <x v="579"/>
    <n v="15"/>
    <x v="1"/>
    <m/>
    <m/>
    <m/>
    <n v="15"/>
    <b v="0"/>
    <m/>
    <m/>
    <s v="-"/>
    <x v="560"/>
    <s v="Create Rule; and Description='Starbucks';Restaurants"/>
    <m/>
  </r>
  <r>
    <x v="29"/>
    <d v="2021-06-10T00:00:00"/>
    <s v="Cash Rewards Visa Signature"/>
    <x v="1353"/>
    <n v="63.9"/>
    <x v="26"/>
    <m/>
    <m/>
    <m/>
    <n v="63.9"/>
    <b v="0"/>
    <m/>
    <m/>
    <s v="-"/>
    <x v="1278"/>
    <s v="Create Rule; and Description Like '%TST RED RABBIT%';Restaurants"/>
    <m/>
  </r>
  <r>
    <x v="29"/>
    <d v="2021-06-11T00:00:00"/>
    <s v="Joint Tenant"/>
    <x v="1299"/>
    <n v="-200"/>
    <x v="26"/>
    <m/>
    <m/>
    <m/>
    <n v="200"/>
    <b v="0"/>
    <m/>
    <m/>
    <s v="+"/>
    <x v="1230"/>
    <s v="Delete; and Source='Joint Tenant';0"/>
    <m/>
  </r>
  <r>
    <x v="29"/>
    <d v="2021-06-11T00:00:00"/>
    <s v="Joint Tenant"/>
    <x v="245"/>
    <n v="61.96"/>
    <x v="26"/>
    <m/>
    <m/>
    <m/>
    <n v="61.96"/>
    <b v="0"/>
    <m/>
    <m/>
    <s v="-"/>
    <x v="243"/>
    <s v="Create Rule; and Description='CHEVRON CORP';Dividend"/>
    <m/>
  </r>
  <r>
    <x v="29"/>
    <d v="2021-06-11T00:00:00"/>
    <s v="Cash Rewards Visa Signature"/>
    <x v="585"/>
    <n v="27.53"/>
    <x v="1"/>
    <m/>
    <m/>
    <m/>
    <n v="27.53"/>
    <b v="0"/>
    <m/>
    <m/>
    <s v="-"/>
    <x v="566"/>
    <s v="Create Rule; and Description Like '%Crisp &amp; Green%';Restaurants"/>
    <m/>
  </r>
  <r>
    <x v="29"/>
    <d v="2021-06-11T00:00:00"/>
    <s v="Jeff IRA"/>
    <x v="1383"/>
    <n v="761.97"/>
    <x v="26"/>
    <m/>
    <m/>
    <m/>
    <n v="761.97"/>
    <b v="0"/>
    <m/>
    <m/>
    <s v="-"/>
    <x v="1303"/>
    <s v="Manual"/>
    <m/>
  </r>
  <r>
    <x v="29"/>
    <d v="2021-06-11T00:00:00"/>
    <s v="Cooper"/>
    <x v="476"/>
    <n v="-50"/>
    <x v="26"/>
    <m/>
    <m/>
    <m/>
    <n v="50"/>
    <b v="0"/>
    <m/>
    <m/>
    <s v="+"/>
    <x v="459"/>
    <s v="Manual"/>
    <m/>
  </r>
  <r>
    <x v="29"/>
    <d v="2021-06-11T00:00:00"/>
    <s v="Cooper"/>
    <x v="476"/>
    <n v="-100"/>
    <x v="26"/>
    <m/>
    <m/>
    <m/>
    <n v="100"/>
    <b v="0"/>
    <m/>
    <m/>
    <s v="+"/>
    <x v="459"/>
    <s v="Manual"/>
    <m/>
  </r>
  <r>
    <x v="29"/>
    <d v="2021-06-11T00:00:00"/>
    <s v="Cash Rewards Visa Signature"/>
    <x v="1384"/>
    <n v="12.3"/>
    <x v="26"/>
    <m/>
    <m/>
    <m/>
    <n v="12.3"/>
    <b v="0"/>
    <m/>
    <m/>
    <s v="-"/>
    <x v="1304"/>
    <s v="Manual"/>
    <m/>
  </r>
  <r>
    <x v="29"/>
    <d v="2021-06-11T00:00:00"/>
    <s v="Cash Rewards Visa Signature"/>
    <x v="1385"/>
    <n v="-190.46"/>
    <x v="26"/>
    <m/>
    <m/>
    <m/>
    <n v="190.46"/>
    <b v="0"/>
    <m/>
    <m/>
    <s v="+"/>
    <x v="1305"/>
    <s v="Manual"/>
    <m/>
  </r>
  <r>
    <x v="29"/>
    <d v="2021-06-11T00:00:00"/>
    <s v="Cash Rewards Visa Signature"/>
    <x v="1378"/>
    <n v="188.6"/>
    <x v="26"/>
    <m/>
    <m/>
    <m/>
    <n v="188.6"/>
    <b v="0"/>
    <m/>
    <m/>
    <s v="-"/>
    <x v="1299"/>
    <s v="Manual"/>
    <m/>
  </r>
  <r>
    <x v="29"/>
    <d v="2021-06-11T00:00:00"/>
    <s v="Contributory"/>
    <x v="1300"/>
    <n v="-231"/>
    <x v="26"/>
    <m/>
    <m/>
    <m/>
    <n v="231"/>
    <b v="0"/>
    <m/>
    <m/>
    <s v="+"/>
    <x v="1231"/>
    <s v="Manual"/>
    <m/>
  </r>
  <r>
    <x v="29"/>
    <d v="2021-06-11T00:00:00"/>
    <s v="Cash Rewards Visa Signature"/>
    <x v="1338"/>
    <n v="36.25"/>
    <x v="5"/>
    <m/>
    <m/>
    <m/>
    <n v="36.25"/>
    <b v="0"/>
    <m/>
    <m/>
    <s v="-"/>
    <x v="1265"/>
    <s v="Manual"/>
    <m/>
  </r>
  <r>
    <x v="29"/>
    <d v="2021-06-13T00:00:00"/>
    <s v="POWERPLUS"/>
    <x v="1386"/>
    <n v="-3052.97"/>
    <x v="26"/>
    <m/>
    <m/>
    <m/>
    <n v="3052.97"/>
    <b v="0"/>
    <m/>
    <m/>
    <s v="+"/>
    <x v="910"/>
    <s v="Create Rule; and Description Like '%CONNECTED ANALYT%';Inc - Jeff"/>
    <m/>
  </r>
  <r>
    <x v="29"/>
    <d v="2021-06-13T00:00:00"/>
    <s v="Cash Rewards Visa Signature"/>
    <x v="6"/>
    <n v="-9.26"/>
    <x v="5"/>
    <m/>
    <m/>
    <m/>
    <n v="9.26"/>
    <b v="0"/>
    <m/>
    <m/>
    <s v="+"/>
    <x v="6"/>
    <s v="Create Rule; and Description Like '%Cub Foods%';Groceries"/>
    <m/>
  </r>
  <r>
    <x v="29"/>
    <d v="2021-06-13T00:00:00"/>
    <s v="Cash Rewards Visa Signature"/>
    <x v="1387"/>
    <n v="10.17"/>
    <x v="26"/>
    <m/>
    <m/>
    <m/>
    <n v="10.17"/>
    <b v="0"/>
    <m/>
    <m/>
    <s v="-"/>
    <x v="1306"/>
    <s v="Manual"/>
    <m/>
  </r>
  <r>
    <x v="29"/>
    <d v="2021-06-13T00:00:00"/>
    <s v="Cash Rewards Visa Signature"/>
    <x v="1388"/>
    <n v="12.85"/>
    <x v="26"/>
    <m/>
    <m/>
    <m/>
    <n v="12.85"/>
    <b v="0"/>
    <m/>
    <m/>
    <s v="-"/>
    <x v="1307"/>
    <s v="Manual"/>
    <m/>
  </r>
  <r>
    <x v="29"/>
    <d v="2021-06-13T00:00:00"/>
    <s v="Cash Rewards Visa Signature"/>
    <x v="1389"/>
    <n v="85.67"/>
    <x v="26"/>
    <m/>
    <m/>
    <m/>
    <n v="85.67"/>
    <b v="0"/>
    <m/>
    <m/>
    <s v="-"/>
    <x v="1308"/>
    <s v="Create Rule; and Description='HAZELWOOD FOOD DRINKSTSAINT LOUIS PMN';Restaurants"/>
    <m/>
  </r>
  <r>
    <x v="29"/>
    <d v="2021-06-13T00:00:00"/>
    <s v="Cash Rewards Visa Signature"/>
    <x v="1390"/>
    <n v="13.33"/>
    <x v="26"/>
    <m/>
    <m/>
    <m/>
    <n v="13.33"/>
    <b v="0"/>
    <m/>
    <m/>
    <s v="-"/>
    <x v="1309"/>
    <s v="Manual"/>
    <m/>
  </r>
  <r>
    <x v="29"/>
    <d v="2021-06-13T00:00:00"/>
    <s v="Cash Rewards Visa Signature"/>
    <x v="661"/>
    <n v="43.19"/>
    <x v="26"/>
    <m/>
    <m/>
    <m/>
    <n v="43.19"/>
    <b v="0"/>
    <m/>
    <m/>
    <s v="-"/>
    <x v="639"/>
    <s v="Manual"/>
    <m/>
  </r>
  <r>
    <x v="29"/>
    <d v="2021-06-13T00:00:00"/>
    <s v="Cash Rewards Visa Signature"/>
    <x v="823"/>
    <n v="30.44"/>
    <x v="2"/>
    <m/>
    <m/>
    <m/>
    <n v="30.44"/>
    <b v="0"/>
    <m/>
    <m/>
    <s v="-"/>
    <x v="792"/>
    <s v="Create Rule; and Description='Kwik Trip';Transportation"/>
    <m/>
  </r>
  <r>
    <x v="29"/>
    <d v="2021-06-13T00:00:00"/>
    <s v="Cash Rewards Visa Signature"/>
    <x v="579"/>
    <n v="15"/>
    <x v="1"/>
    <m/>
    <m/>
    <m/>
    <n v="15"/>
    <b v="0"/>
    <m/>
    <m/>
    <s v="-"/>
    <x v="560"/>
    <s v="Create Rule; and Description='Starbucks';Restaurants"/>
    <m/>
  </r>
  <r>
    <x v="29"/>
    <d v="2021-06-13T00:00:00"/>
    <s v="Cash Rewards Visa Signature"/>
    <x v="1338"/>
    <n v="78.510000000000005"/>
    <x v="5"/>
    <m/>
    <m/>
    <m/>
    <n v="78.510000000000005"/>
    <b v="0"/>
    <m/>
    <m/>
    <s v="-"/>
    <x v="1265"/>
    <s v="Manual"/>
    <m/>
  </r>
  <r>
    <x v="29"/>
    <d v="2021-06-13T00:00:00"/>
    <s v="Cash Rewards Visa Signature"/>
    <x v="1391"/>
    <n v="88.1"/>
    <x v="26"/>
    <m/>
    <m/>
    <m/>
    <n v="88.1"/>
    <b v="0"/>
    <m/>
    <m/>
    <s v="-"/>
    <x v="1310"/>
    <s v="Manual"/>
    <m/>
  </r>
  <r>
    <x v="29"/>
    <d v="2021-06-14T00:00:00"/>
    <s v="POWERPLUS"/>
    <x v="48"/>
    <n v="107.14"/>
    <x v="16"/>
    <m/>
    <m/>
    <m/>
    <n v="107.14"/>
    <b v="0"/>
    <m/>
    <m/>
    <s v="-"/>
    <x v="48"/>
    <s v="Create Rule; and Description='American Family Insurance';Insurance"/>
    <m/>
  </r>
  <r>
    <x v="29"/>
    <d v="2021-06-14T00:00:00"/>
    <s v="POWERPLUS"/>
    <x v="1065"/>
    <n v="-1500"/>
    <x v="3"/>
    <m/>
    <m/>
    <m/>
    <n v="1500"/>
    <b v="0"/>
    <m/>
    <m/>
    <s v="+"/>
    <x v="1015"/>
    <s v="Manual"/>
    <m/>
  </r>
  <r>
    <x v="29"/>
    <d v="2021-06-14T00:00:00"/>
    <s v="POWERPLUS"/>
    <x v="1065"/>
    <n v="-12659.99"/>
    <x v="3"/>
    <m/>
    <m/>
    <m/>
    <n v="12659.99"/>
    <b v="0"/>
    <m/>
    <m/>
    <s v="+"/>
    <x v="1015"/>
    <s v="Manual"/>
    <m/>
  </r>
  <r>
    <x v="29"/>
    <d v="2021-06-14T00:00:00"/>
    <s v="Cash Rewards Visa Signature"/>
    <x v="81"/>
    <n v="23.99"/>
    <x v="26"/>
    <m/>
    <m/>
    <m/>
    <n v="23.99"/>
    <b v="0"/>
    <m/>
    <m/>
    <s v="-"/>
    <x v="81"/>
    <s v="Create Rule; and Description='Holiday Stationstore';Transportation"/>
    <m/>
  </r>
  <r>
    <x v="29"/>
    <d v="2021-06-14T00:00:00"/>
    <s v="Cash Rewards Visa Signature"/>
    <x v="1392"/>
    <n v="63"/>
    <x v="26"/>
    <m/>
    <m/>
    <m/>
    <n v="63"/>
    <b v="0"/>
    <m/>
    <m/>
    <s v="-"/>
    <x v="1311"/>
    <s v="Delete; and Description Like '%LAKEWINDS CHANHASSEN%';Restaurants"/>
    <m/>
  </r>
  <r>
    <x v="29"/>
    <d v="2021-06-14T00:00:00"/>
    <s v="Cash Rewards Visa Signature"/>
    <x v="1393"/>
    <n v="17.46"/>
    <x v="26"/>
    <m/>
    <m/>
    <m/>
    <n v="17.46"/>
    <b v="0"/>
    <m/>
    <m/>
    <s v="-"/>
    <x v="1312"/>
    <s v="Manual"/>
    <m/>
  </r>
  <r>
    <x v="29"/>
    <d v="2021-06-14T00:00:00"/>
    <s v="Cash Rewards Visa Signature"/>
    <x v="1394"/>
    <n v="80.02"/>
    <x v="26"/>
    <m/>
    <m/>
    <m/>
    <n v="80.02"/>
    <b v="0"/>
    <m/>
    <m/>
    <s v="-"/>
    <x v="1313"/>
    <s v="Manual"/>
    <m/>
  </r>
  <r>
    <x v="29"/>
    <d v="2021-06-15T00:00:00"/>
    <s v="POWERPLUS"/>
    <x v="1395"/>
    <n v="19338.36"/>
    <x v="26"/>
    <m/>
    <m/>
    <m/>
    <n v="19338.36"/>
    <b v="0"/>
    <m/>
    <m/>
    <s v="-"/>
    <x v="1314"/>
    <s v="Manual"/>
    <m/>
  </r>
  <r>
    <x v="29"/>
    <d v="2021-06-15T00:00:00"/>
    <s v="Joint Tenant"/>
    <x v="950"/>
    <n v="-250"/>
    <x v="26"/>
    <m/>
    <m/>
    <m/>
    <n v="250"/>
    <b v="0"/>
    <m/>
    <m/>
    <s v="+"/>
    <x v="913"/>
    <s v="Create Rule; and Description Like '%CONNECTED ANALYT%';Inc - Jeff"/>
    <m/>
  </r>
  <r>
    <x v="29"/>
    <d v="2021-06-15T00:00:00"/>
    <s v="Cash Rewards Visa Signature"/>
    <x v="6"/>
    <n v="103.56"/>
    <x v="5"/>
    <m/>
    <m/>
    <m/>
    <n v="103.56"/>
    <b v="0"/>
    <m/>
    <m/>
    <s v="-"/>
    <x v="6"/>
    <s v="Create Rule; and Description Like '%Cub Foods%';Groceries"/>
    <m/>
  </r>
  <r>
    <x v="29"/>
    <d v="2021-06-15T00:00:00"/>
    <s v="Jeff IRA"/>
    <x v="1383"/>
    <n v="761.97"/>
    <x v="26"/>
    <m/>
    <m/>
    <m/>
    <n v="761.97"/>
    <b v="0"/>
    <m/>
    <m/>
    <s v="-"/>
    <x v="1303"/>
    <s v="Manual"/>
    <m/>
  </r>
  <r>
    <x v="29"/>
    <d v="2021-06-15T00:00:00"/>
    <s v="POWERPLUS"/>
    <x v="1321"/>
    <n v="425"/>
    <x v="26"/>
    <m/>
    <m/>
    <m/>
    <n v="425"/>
    <b v="0"/>
    <m/>
    <m/>
    <s v="-"/>
    <x v="1249"/>
    <s v="Create Rule; and Description Like '%MHCHILDCARELLC%';Day Care"/>
    <m/>
  </r>
  <r>
    <x v="29"/>
    <d v="2021-06-15T00:00:00"/>
    <s v="Joint Tenant"/>
    <x v="1396"/>
    <n v="1141.5999999999999"/>
    <x v="26"/>
    <m/>
    <m/>
    <m/>
    <n v="1141.5999999999999"/>
    <b v="0"/>
    <m/>
    <m/>
    <s v="-"/>
    <x v="1315"/>
    <s v="Delete; and Source='Joint Tenant';0"/>
    <m/>
  </r>
  <r>
    <x v="29"/>
    <d v="2021-06-15T00:00:00"/>
    <s v="Jeff IRA"/>
    <x v="951"/>
    <n v="-250"/>
    <x v="26"/>
    <m/>
    <m/>
    <m/>
    <n v="250"/>
    <b v="0"/>
    <m/>
    <m/>
    <s v="+"/>
    <x v="914"/>
    <s v="Create Rule; and Description Like '%CONNECTED ANALYT%';Inc - Jeff"/>
    <m/>
  </r>
  <r>
    <x v="29"/>
    <d v="2021-06-16T00:00:00"/>
    <s v="POWERPLUS"/>
    <x v="1397"/>
    <n v="75"/>
    <x v="26"/>
    <m/>
    <m/>
    <m/>
    <n v="75"/>
    <b v="0"/>
    <m/>
    <m/>
    <s v="-"/>
    <x v="1316"/>
    <s v="Manual"/>
    <m/>
  </r>
  <r>
    <x v="29"/>
    <d v="2021-06-16T00:00:00"/>
    <s v="Contributory"/>
    <x v="1398"/>
    <n v="-0.09"/>
    <x v="26"/>
    <m/>
    <m/>
    <m/>
    <n v="0.09"/>
    <b v="0"/>
    <m/>
    <m/>
    <s v="+"/>
    <x v="1317"/>
    <s v="Manual"/>
    <m/>
  </r>
  <r>
    <x v="29"/>
    <d v="2021-06-16T00:00:00"/>
    <s v="Jeff IRA"/>
    <x v="1398"/>
    <n v="-0.03"/>
    <x v="26"/>
    <m/>
    <m/>
    <m/>
    <n v="0.03"/>
    <b v="0"/>
    <m/>
    <m/>
    <s v="+"/>
    <x v="1317"/>
    <s v="Manual"/>
    <m/>
  </r>
  <r>
    <x v="29"/>
    <d v="2021-06-16T00:00:00"/>
    <s v="Cash Rewards Visa Signature"/>
    <x v="1399"/>
    <n v="10.51"/>
    <x v="26"/>
    <m/>
    <m/>
    <m/>
    <n v="10.51"/>
    <b v="0"/>
    <m/>
    <m/>
    <s v="-"/>
    <x v="1318"/>
    <s v="Manual"/>
    <m/>
  </r>
  <r>
    <x v="29"/>
    <d v="2021-06-17T00:00:00"/>
    <s v="Cash Rewards Visa Signature"/>
    <x v="1318"/>
    <n v="-891.14"/>
    <x v="26"/>
    <m/>
    <m/>
    <m/>
    <n v="891.14"/>
    <b v="0"/>
    <m/>
    <m/>
    <s v="+"/>
    <x v="1246"/>
    <s v="Delete; and Description Like '%PAYMENT THANK YOU%';0"/>
    <m/>
  </r>
  <r>
    <x v="29"/>
    <d v="2021-06-17T00:00:00"/>
    <s v="POWERPLUS"/>
    <x v="1319"/>
    <n v="891.14"/>
    <x v="26"/>
    <m/>
    <m/>
    <m/>
    <n v="891.14"/>
    <b v="0"/>
    <m/>
    <m/>
    <s v="-"/>
    <x v="1247"/>
    <s v="Delete; and Description Like '%Withdrawal Home payment to card%';0"/>
    <m/>
  </r>
  <r>
    <x v="29"/>
    <d v="2021-06-17T00:00:00"/>
    <s v="Cash Rewards Visa Signature"/>
    <x v="6"/>
    <n v="18.28"/>
    <x v="5"/>
    <m/>
    <m/>
    <m/>
    <n v="18.28"/>
    <b v="0"/>
    <m/>
    <m/>
    <s v="-"/>
    <x v="6"/>
    <s v="Create Rule; and Description Like '%Cub Foods%';Groceries"/>
    <m/>
  </r>
  <r>
    <x v="29"/>
    <d v="2021-06-17T00:00:00"/>
    <s v="Joint Tenant"/>
    <x v="741"/>
    <n v="-76.03"/>
    <x v="26"/>
    <m/>
    <m/>
    <m/>
    <n v="76.03"/>
    <b v="0"/>
    <m/>
    <m/>
    <s v="+"/>
    <x v="714"/>
    <s v="Delete; and Source='Joint Tenant';0"/>
    <m/>
  </r>
  <r>
    <x v="29"/>
    <d v="2021-06-17T00:00:00"/>
    <s v="Cash Rewards Visa Signature"/>
    <x v="2"/>
    <n v="25.52"/>
    <x v="2"/>
    <m/>
    <m/>
    <m/>
    <n v="25.52"/>
    <b v="0"/>
    <m/>
    <m/>
    <s v="-"/>
    <x v="2"/>
    <s v="Create Rule; and Description='Speedway';Transportation"/>
    <m/>
  </r>
  <r>
    <x v="29"/>
    <d v="2021-06-18T00:00:00"/>
    <s v="Discover"/>
    <x v="1400"/>
    <n v="29"/>
    <x v="28"/>
    <m/>
    <m/>
    <m/>
    <n v="29"/>
    <b v="0"/>
    <m/>
    <m/>
    <s v="-"/>
    <x v="1319"/>
    <s v="Manual"/>
    <m/>
  </r>
  <r>
    <x v="29"/>
    <d v="2021-06-18T00:00:00"/>
    <s v="Discover More Card"/>
    <x v="1400"/>
    <n v="29"/>
    <x v="28"/>
    <m/>
    <m/>
    <m/>
    <n v="29"/>
    <b v="0"/>
    <m/>
    <m/>
    <s v="-"/>
    <x v="1319"/>
    <s v="Manual"/>
    <m/>
  </r>
  <r>
    <x v="29"/>
    <d v="2021-06-18T00:00:00"/>
    <s v="Cash Rewards Visa Signature"/>
    <x v="1030"/>
    <n v="30.49"/>
    <x v="26"/>
    <m/>
    <m/>
    <m/>
    <n v="30.49"/>
    <b v="0"/>
    <m/>
    <m/>
    <s v="-"/>
    <x v="985"/>
    <s v="Create Rule; and Description Like '%Maynard%';Restaurants"/>
    <m/>
  </r>
  <r>
    <x v="29"/>
    <d v="2021-06-18T00:00:00"/>
    <s v="POWERPLUS"/>
    <x v="1401"/>
    <n v="200"/>
    <x v="26"/>
    <m/>
    <m/>
    <m/>
    <n v="200"/>
    <b v="0"/>
    <m/>
    <m/>
    <s v="-"/>
    <x v="1245"/>
    <s v="Create Rule; and Description Like '%MN DIR ACH%';College Savings"/>
    <m/>
  </r>
  <r>
    <x v="29"/>
    <d v="2021-06-18T00:00:00"/>
    <s v="POWERPLUS"/>
    <x v="157"/>
    <n v="6.03"/>
    <x v="8"/>
    <m/>
    <m/>
    <m/>
    <n v="6.03"/>
    <b v="0"/>
    <m/>
    <m/>
    <s v="-"/>
    <x v="156"/>
    <s v="Create Rule; and Description Like '%PayPal%';Shopping"/>
    <m/>
  </r>
  <r>
    <x v="29"/>
    <d v="2021-06-18T00:00:00"/>
    <s v="POWERPLUS"/>
    <x v="157"/>
    <n v="30.18"/>
    <x v="8"/>
    <m/>
    <m/>
    <m/>
    <n v="30.18"/>
    <b v="0"/>
    <m/>
    <m/>
    <s v="-"/>
    <x v="156"/>
    <s v="Create Rule; and Description Like '%PayPal%';Shopping"/>
    <m/>
  </r>
  <r>
    <x v="29"/>
    <d v="2021-06-18T00:00:00"/>
    <s v="Joint Tenant"/>
    <x v="741"/>
    <n v="76.03"/>
    <x v="26"/>
    <m/>
    <m/>
    <m/>
    <n v="76.03"/>
    <b v="0"/>
    <m/>
    <m/>
    <s v="-"/>
    <x v="714"/>
    <s v="Delete; and Source='Joint Tenant';0"/>
    <m/>
  </r>
  <r>
    <x v="29"/>
    <d v="2021-06-18T00:00:00"/>
    <s v="Cash Rewards Visa Signature"/>
    <x v="1338"/>
    <n v="65.87"/>
    <x v="5"/>
    <m/>
    <m/>
    <m/>
    <n v="65.87"/>
    <b v="0"/>
    <m/>
    <m/>
    <s v="-"/>
    <x v="1265"/>
    <s v="Manual"/>
    <m/>
  </r>
  <r>
    <x v="29"/>
    <d v="2021-06-20T00:00:00"/>
    <s v="Cash Rewards Visa Signature"/>
    <x v="980"/>
    <n v="126.05"/>
    <x v="26"/>
    <m/>
    <m/>
    <m/>
    <n v="126.05"/>
    <b v="0"/>
    <m/>
    <m/>
    <s v="-"/>
    <x v="940"/>
    <s v="Create Rule; and Description Like '%AVOADVOCARE INTL%';Groceries"/>
    <m/>
  </r>
  <r>
    <x v="29"/>
    <d v="2021-06-20T00:00:00"/>
    <s v="Cash Rewards Visa Signature"/>
    <x v="1402"/>
    <n v="12.24"/>
    <x v="26"/>
    <m/>
    <m/>
    <m/>
    <n v="12.24"/>
    <b v="0"/>
    <m/>
    <m/>
    <s v="-"/>
    <x v="1320"/>
    <s v="Manual"/>
    <m/>
  </r>
  <r>
    <x v="29"/>
    <d v="2021-06-20T00:00:00"/>
    <s v="Cash Rewards Visa Signature"/>
    <x v="473"/>
    <n v="61.21"/>
    <x v="1"/>
    <m/>
    <m/>
    <m/>
    <n v="61.21"/>
    <b v="0"/>
    <m/>
    <m/>
    <s v="-"/>
    <x v="456"/>
    <s v="Create Rule; and Description Like '%Domino%';Restaurants"/>
    <m/>
  </r>
  <r>
    <x v="29"/>
    <d v="2021-06-20T00:00:00"/>
    <s v="Cash Rewards Visa Signature"/>
    <x v="1403"/>
    <n v="39.57"/>
    <x v="26"/>
    <m/>
    <m/>
    <m/>
    <n v="39.57"/>
    <b v="0"/>
    <m/>
    <m/>
    <s v="-"/>
    <x v="1321"/>
    <s v="Manual"/>
    <m/>
  </r>
  <r>
    <x v="29"/>
    <d v="2021-06-20T00:00:00"/>
    <s v="Cash Rewards Visa Signature"/>
    <x v="214"/>
    <n v="8.99"/>
    <x v="2"/>
    <m/>
    <m/>
    <m/>
    <n v="8.99"/>
    <b v="0"/>
    <m/>
    <m/>
    <s v="-"/>
    <x v="213"/>
    <s v="Create Rule; and Description='Lyft';Transportation"/>
    <m/>
  </r>
  <r>
    <x v="29"/>
    <d v="2021-06-20T00:00:00"/>
    <s v="Cash Rewards Visa Signature"/>
    <x v="1404"/>
    <n v="9.99"/>
    <x v="26"/>
    <m/>
    <m/>
    <m/>
    <n v="9.99"/>
    <b v="0"/>
    <m/>
    <m/>
    <s v="-"/>
    <x v="1322"/>
    <s v="Manual"/>
    <m/>
  </r>
  <r>
    <x v="29"/>
    <d v="2021-06-20T00:00:00"/>
    <s v="Cash Rewards Visa Signature"/>
    <x v="851"/>
    <n v="20.7"/>
    <x v="26"/>
    <m/>
    <m/>
    <m/>
    <n v="20.7"/>
    <b v="0"/>
    <m/>
    <m/>
    <s v="-"/>
    <x v="818"/>
    <s v="Manual"/>
    <m/>
  </r>
  <r>
    <x v="29"/>
    <d v="2021-06-20T00:00:00"/>
    <s v="Cash Rewards Visa Signature"/>
    <x v="1405"/>
    <n v="14"/>
    <x v="26"/>
    <m/>
    <m/>
    <m/>
    <n v="14"/>
    <b v="0"/>
    <m/>
    <m/>
    <s v="-"/>
    <x v="1323"/>
    <s v="Manual"/>
    <m/>
  </r>
  <r>
    <x v="29"/>
    <d v="2021-06-20T00:00:00"/>
    <s v="Cash Rewards Visa Signature"/>
    <x v="1406"/>
    <n v="213.68"/>
    <x v="26"/>
    <m/>
    <m/>
    <m/>
    <n v="213.68"/>
    <b v="0"/>
    <m/>
    <m/>
    <s v="-"/>
    <x v="1324"/>
    <s v="Manual"/>
    <m/>
  </r>
  <r>
    <x v="29"/>
    <d v="2021-06-21T00:00:00"/>
    <s v="Discover"/>
    <x v="0"/>
    <n v="18.940000000000001"/>
    <x v="0"/>
    <m/>
    <m/>
    <m/>
    <n v="18.940000000000001"/>
    <b v="0"/>
    <m/>
    <m/>
    <s v="-"/>
    <x v="0"/>
    <s v="Create Rule; and Description='Amazon';Amazon"/>
    <m/>
  </r>
  <r>
    <x v="29"/>
    <d v="2021-06-21T00:00:00"/>
    <s v="Discover"/>
    <x v="0"/>
    <n v="32.159999999999997"/>
    <x v="0"/>
    <m/>
    <m/>
    <m/>
    <n v="32.159999999999997"/>
    <b v="0"/>
    <m/>
    <m/>
    <s v="-"/>
    <x v="0"/>
    <s v="Create Rule; and Description='Amazon';Amazon"/>
    <m/>
  </r>
  <r>
    <x v="29"/>
    <d v="2021-06-21T00:00:00"/>
    <s v="Discover"/>
    <x v="0"/>
    <n v="60"/>
    <x v="0"/>
    <m/>
    <m/>
    <m/>
    <n v="60"/>
    <b v="0"/>
    <m/>
    <m/>
    <s v="-"/>
    <x v="0"/>
    <s v="Create Rule; and Description='Amazon';Amazon"/>
    <m/>
  </r>
  <r>
    <x v="29"/>
    <d v="2021-06-21T00:00:00"/>
    <s v="Discover More Card"/>
    <x v="0"/>
    <n v="18.940000000000001"/>
    <x v="0"/>
    <m/>
    <m/>
    <m/>
    <n v="18.940000000000001"/>
    <b v="0"/>
    <m/>
    <m/>
    <s v="-"/>
    <x v="0"/>
    <s v="Create Rule; and Description='Amazon';Amazon"/>
    <m/>
  </r>
  <r>
    <x v="29"/>
    <d v="2021-06-21T00:00:00"/>
    <s v="Discover More Card"/>
    <x v="0"/>
    <n v="32.159999999999997"/>
    <x v="0"/>
    <m/>
    <m/>
    <m/>
    <n v="32.159999999999997"/>
    <b v="0"/>
    <m/>
    <m/>
    <s v="-"/>
    <x v="0"/>
    <s v="Create Rule; and Description='Amazon';Amazon"/>
    <m/>
  </r>
  <r>
    <x v="29"/>
    <d v="2021-06-21T00:00:00"/>
    <s v="Discover More Card"/>
    <x v="0"/>
    <n v="60"/>
    <x v="0"/>
    <m/>
    <m/>
    <m/>
    <n v="60"/>
    <b v="0"/>
    <m/>
    <m/>
    <s v="-"/>
    <x v="0"/>
    <s v="Create Rule; and Description='Amazon';Amazon"/>
    <m/>
  </r>
  <r>
    <x v="29"/>
    <d v="2021-06-21T00:00:00"/>
    <s v="Cash Rewards Visa Signature"/>
    <x v="1282"/>
    <n v="9"/>
    <x v="26"/>
    <m/>
    <m/>
    <m/>
    <n v="9"/>
    <b v="0"/>
    <m/>
    <m/>
    <s v="-"/>
    <x v="1215"/>
    <s v="Create Rule; and Description Like '%BONFES%';House Maintenance"/>
    <m/>
  </r>
  <r>
    <x v="29"/>
    <d v="2021-06-21T00:00:00"/>
    <s v="POWERPLUS"/>
    <x v="1407"/>
    <n v="102.5"/>
    <x v="26"/>
    <m/>
    <m/>
    <m/>
    <n v="102.5"/>
    <b v="0"/>
    <m/>
    <m/>
    <s v="-"/>
    <x v="1325"/>
    <s v="Manual"/>
    <m/>
  </r>
  <r>
    <x v="29"/>
    <d v="2021-06-21T00:00:00"/>
    <s v="POWERPLUS"/>
    <x v="84"/>
    <n v="79.95"/>
    <x v="26"/>
    <m/>
    <m/>
    <m/>
    <n v="79.95"/>
    <b v="0"/>
    <m/>
    <m/>
    <s v="-"/>
    <x v="84"/>
    <s v="Create Rule; and Description='City of Chanhassen';Utilities"/>
    <m/>
  </r>
  <r>
    <x v="29"/>
    <d v="2021-06-21T00:00:00"/>
    <s v="POWERPLUS"/>
    <x v="1408"/>
    <n v="-102.5"/>
    <x v="26"/>
    <m/>
    <m/>
    <m/>
    <n v="102.5"/>
    <b v="0"/>
    <m/>
    <m/>
    <s v="+"/>
    <x v="1326"/>
    <s v="Manual"/>
    <m/>
  </r>
  <r>
    <x v="29"/>
    <d v="2021-06-21T00:00:00"/>
    <s v="POWERPLUS"/>
    <x v="157"/>
    <n v="67.8"/>
    <x v="8"/>
    <m/>
    <m/>
    <m/>
    <n v="67.8"/>
    <b v="0"/>
    <m/>
    <m/>
    <s v="-"/>
    <x v="156"/>
    <s v="Create Rule; and Description Like '%PayPal%';Shopping"/>
    <m/>
  </r>
  <r>
    <x v="29"/>
    <d v="2021-06-21T00:00:00"/>
    <s v="POWERPLUS"/>
    <x v="157"/>
    <n v="267.36"/>
    <x v="8"/>
    <m/>
    <m/>
    <m/>
    <n v="267.36"/>
    <b v="0"/>
    <m/>
    <m/>
    <s v="-"/>
    <x v="156"/>
    <s v="Create Rule; and Description Like '%PayPal%';Shopping"/>
    <m/>
  </r>
  <r>
    <x v="29"/>
    <d v="2021-06-21T00:00:00"/>
    <s v="Cash Rewards Visa Signature"/>
    <x v="1409"/>
    <n v="54.03"/>
    <x v="26"/>
    <m/>
    <m/>
    <m/>
    <n v="54.03"/>
    <b v="0"/>
    <m/>
    <m/>
    <s v="-"/>
    <x v="1327"/>
    <s v="Manual"/>
    <m/>
  </r>
  <r>
    <x v="29"/>
    <d v="2021-06-21T00:00:00"/>
    <s v="Cash Rewards Visa Signature"/>
    <x v="1410"/>
    <n v="10.039999999999999"/>
    <x v="26"/>
    <m/>
    <m/>
    <m/>
    <n v="10.039999999999999"/>
    <b v="0"/>
    <m/>
    <m/>
    <s v="-"/>
    <x v="1328"/>
    <s v="Manual"/>
    <m/>
  </r>
  <r>
    <x v="29"/>
    <d v="2021-06-21T00:00:00"/>
    <s v="Cash Rewards Visa Signature"/>
    <x v="1410"/>
    <n v="30.96"/>
    <x v="26"/>
    <m/>
    <m/>
    <m/>
    <n v="30.96"/>
    <b v="0"/>
    <m/>
    <m/>
    <s v="-"/>
    <x v="1328"/>
    <s v="Manual"/>
    <m/>
  </r>
  <r>
    <x v="29"/>
    <d v="2021-06-21T00:00:00"/>
    <s v="POWERPLUS"/>
    <x v="1411"/>
    <n v="204"/>
    <x v="26"/>
    <m/>
    <m/>
    <m/>
    <n v="204"/>
    <b v="0"/>
    <m/>
    <m/>
    <s v="-"/>
    <x v="1329"/>
    <s v="Manual"/>
    <m/>
  </r>
  <r>
    <x v="29"/>
    <d v="2021-06-22T00:00:00"/>
    <s v="Discover"/>
    <x v="0"/>
    <n v="103.85"/>
    <x v="0"/>
    <m/>
    <m/>
    <m/>
    <n v="103.85"/>
    <b v="0"/>
    <m/>
    <m/>
    <s v="-"/>
    <x v="0"/>
    <s v="Create Rule; and Description='Amazon';Amazon"/>
    <m/>
  </r>
  <r>
    <x v="29"/>
    <d v="2021-06-22T00:00:00"/>
    <s v="Discover More Card"/>
    <x v="0"/>
    <n v="103.85"/>
    <x v="0"/>
    <m/>
    <m/>
    <m/>
    <n v="103.85"/>
    <b v="0"/>
    <m/>
    <m/>
    <s v="-"/>
    <x v="0"/>
    <s v="Create Rule; and Description='Amazon';Amazon"/>
    <m/>
  </r>
  <r>
    <x v="29"/>
    <d v="2021-06-22T00:00:00"/>
    <s v="Cash Rewards Visa Signature"/>
    <x v="79"/>
    <n v="30"/>
    <x v="28"/>
    <m/>
    <m/>
    <m/>
    <n v="30"/>
    <b v="0"/>
    <m/>
    <m/>
    <s v="-"/>
    <x v="79"/>
    <s v="Create Rule; and Description='Elite Nails';Entertainment"/>
    <m/>
  </r>
  <r>
    <x v="29"/>
    <d v="2021-06-22T00:00:00"/>
    <s v="POWERPLUS"/>
    <x v="1321"/>
    <n v="528.79999999999995"/>
    <x v="26"/>
    <m/>
    <m/>
    <m/>
    <n v="528.79999999999995"/>
    <b v="0"/>
    <m/>
    <m/>
    <s v="-"/>
    <x v="1249"/>
    <s v="Create Rule; and Description Like '%MHCHILDCARELLC%';Day Care"/>
    <m/>
  </r>
  <r>
    <x v="29"/>
    <d v="2021-06-22T00:00:00"/>
    <s v="Joint Tenant"/>
    <x v="19"/>
    <n v="200"/>
    <x v="26"/>
    <m/>
    <m/>
    <m/>
    <n v="200"/>
    <b v="0"/>
    <m/>
    <m/>
    <s v="-"/>
    <x v="19"/>
    <s v="Delete; and Description='SCHWAB S&amp;P 500 INDEX FD' and inflowoutflow='-';0"/>
    <m/>
  </r>
  <r>
    <x v="29"/>
    <d v="2021-06-22T00:00:00"/>
    <s v="Joint Tenant"/>
    <x v="20"/>
    <n v="200"/>
    <x v="26"/>
    <m/>
    <m/>
    <m/>
    <n v="200"/>
    <b v="0"/>
    <m/>
    <m/>
    <s v="-"/>
    <x v="20"/>
    <s v="Delete; and Description='SCHWAB TOTAL STOCK MKT INDEX' and inflowoutflow='-';0"/>
    <m/>
  </r>
  <r>
    <x v="29"/>
    <d v="2021-06-23T00:00:00"/>
    <s v="Joint Tenant"/>
    <x v="286"/>
    <n v="-0.01"/>
    <x v="26"/>
    <m/>
    <m/>
    <m/>
    <n v="0.01"/>
    <b v="0"/>
    <m/>
    <m/>
    <s v="+"/>
    <x v="279"/>
    <s v="Create Rule; and Description='HALLIBURTON CO HLDG';Dividend"/>
    <m/>
  </r>
  <r>
    <x v="29"/>
    <d v="2021-06-23T00:00:00"/>
    <s v="Discover"/>
    <x v="1412"/>
    <n v="6.14"/>
    <x v="28"/>
    <m/>
    <m/>
    <m/>
    <n v="6.14"/>
    <b v="0"/>
    <m/>
    <m/>
    <s v="-"/>
    <x v="1330"/>
    <s v="Manual"/>
    <m/>
  </r>
  <r>
    <x v="29"/>
    <d v="2021-06-23T00:00:00"/>
    <s v="Discover More Card"/>
    <x v="1412"/>
    <n v="6.14"/>
    <x v="28"/>
    <m/>
    <m/>
    <m/>
    <n v="6.14"/>
    <b v="0"/>
    <m/>
    <m/>
    <s v="-"/>
    <x v="1330"/>
    <s v="Manual"/>
    <m/>
  </r>
  <r>
    <x v="29"/>
    <d v="2021-06-23T00:00:00"/>
    <s v="RAINY DAY"/>
    <x v="515"/>
    <n v="-200"/>
    <x v="26"/>
    <m/>
    <m/>
    <m/>
    <n v="200"/>
    <b v="0"/>
    <m/>
    <m/>
    <s v="+"/>
    <x v="496"/>
    <s v="Create Rule; and Description='Share';Delete"/>
    <m/>
  </r>
  <r>
    <x v="29"/>
    <d v="2021-06-23T00:00:00"/>
    <s v="POWERPLUS"/>
    <x v="952"/>
    <n v="200"/>
    <x v="26"/>
    <m/>
    <m/>
    <m/>
    <n v="200"/>
    <b v="0"/>
    <m/>
    <m/>
    <s v="-"/>
    <x v="915"/>
    <s v="Create Rule; and Description='To Share 12';Delete"/>
    <m/>
  </r>
  <r>
    <x v="29"/>
    <d v="2021-06-24T00:00:00"/>
    <s v="POWERPLUS"/>
    <x v="1413"/>
    <n v="-2060.4299999999998"/>
    <x v="26"/>
    <m/>
    <m/>
    <m/>
    <n v="2060.4299999999998"/>
    <b v="0"/>
    <m/>
    <m/>
    <s v="+"/>
    <x v="1256"/>
    <s v="Create Rule; and Description Like '%Cargill Inc Deposit CARGILL INCORPOR TYPE DIRECT DEP ID CO CARGILL INCORPOR ACH%';Inc - Britney"/>
    <m/>
  </r>
  <r>
    <x v="29"/>
    <d v="2021-06-24T00:00:00"/>
    <s v="Joint Tenant"/>
    <x v="286"/>
    <n v="0.01"/>
    <x v="26"/>
    <m/>
    <m/>
    <m/>
    <n v="0.01"/>
    <b v="0"/>
    <m/>
    <m/>
    <s v="-"/>
    <x v="279"/>
    <s v="Create Rule; and Description='HALLIBURTON CO HLDG';Dividend"/>
    <m/>
  </r>
  <r>
    <x v="29"/>
    <d v="2021-06-25T00:00:00"/>
    <s v="Cash Rewards Visa Signature"/>
    <x v="1356"/>
    <n v="628"/>
    <x v="26"/>
    <m/>
    <m/>
    <m/>
    <n v="628"/>
    <b v="0"/>
    <m/>
    <m/>
    <s v="-"/>
    <x v="1280"/>
    <s v="Manual"/>
    <m/>
  </r>
  <r>
    <x v="29"/>
    <d v="2021-06-25T00:00:00"/>
    <s v="Discover"/>
    <x v="0"/>
    <n v="16.77"/>
    <x v="0"/>
    <m/>
    <m/>
    <m/>
    <n v="16.77"/>
    <b v="0"/>
    <m/>
    <m/>
    <s v="-"/>
    <x v="0"/>
    <s v="Create Rule; and Description='Amazon';Amazon"/>
    <m/>
  </r>
  <r>
    <x v="29"/>
    <d v="2021-06-25T00:00:00"/>
    <s v="Discover More Card"/>
    <x v="0"/>
    <n v="16.77"/>
    <x v="0"/>
    <m/>
    <m/>
    <m/>
    <n v="16.77"/>
    <b v="0"/>
    <m/>
    <m/>
    <s v="-"/>
    <x v="0"/>
    <s v="Create Rule; and Description='Amazon';Amazon"/>
    <m/>
  </r>
  <r>
    <x v="29"/>
    <d v="2021-06-25T00:00:00"/>
    <s v="Joint Tenant"/>
    <x v="1299"/>
    <n v="-200"/>
    <x v="26"/>
    <m/>
    <m/>
    <m/>
    <n v="200"/>
    <b v="0"/>
    <m/>
    <m/>
    <s v="+"/>
    <x v="1230"/>
    <s v="Delete; and Source='Joint Tenant';0"/>
    <m/>
  </r>
  <r>
    <x v="29"/>
    <d v="2021-06-25T00:00:00"/>
    <s v="Cash Rewards Visa Signature"/>
    <x v="1414"/>
    <n v="-248"/>
    <x v="26"/>
    <m/>
    <m/>
    <m/>
    <n v="248"/>
    <b v="0"/>
    <m/>
    <m/>
    <s v="+"/>
    <x v="1331"/>
    <s v="Manual"/>
    <m/>
  </r>
  <r>
    <x v="29"/>
    <d v="2021-06-25T00:00:00"/>
    <s v="POWERPLUS"/>
    <x v="34"/>
    <n v="558.13"/>
    <x v="12"/>
    <m/>
    <m/>
    <m/>
    <n v="558.13"/>
    <b v="0"/>
    <m/>
    <m/>
    <s v="-"/>
    <x v="34"/>
    <s v="Create Rule; and Description='Target';Target"/>
    <m/>
  </r>
  <r>
    <x v="29"/>
    <d v="2021-06-25T00:00:00"/>
    <s v="Contributory"/>
    <x v="1300"/>
    <n v="-231"/>
    <x v="26"/>
    <m/>
    <m/>
    <m/>
    <n v="231"/>
    <b v="0"/>
    <m/>
    <m/>
    <s v="+"/>
    <x v="1231"/>
    <s v="Manual"/>
    <m/>
  </r>
  <r>
    <x v="29"/>
    <d v="2021-06-26T00:00:00"/>
    <s v="Discover"/>
    <x v="0"/>
    <n v="39.99"/>
    <x v="0"/>
    <m/>
    <m/>
    <m/>
    <n v="39.99"/>
    <b v="0"/>
    <m/>
    <m/>
    <s v="-"/>
    <x v="0"/>
    <s v="Create Rule; and Description='Amazon';Amazon"/>
    <m/>
  </r>
  <r>
    <x v="29"/>
    <d v="2021-06-26T00:00:00"/>
    <s v="Discover More Card"/>
    <x v="0"/>
    <n v="39.99"/>
    <x v="0"/>
    <m/>
    <m/>
    <m/>
    <n v="39.99"/>
    <b v="0"/>
    <m/>
    <m/>
    <s v="-"/>
    <x v="0"/>
    <s v="Create Rule; and Description='Amazon';Amazon"/>
    <m/>
  </r>
  <r>
    <x v="29"/>
    <d v="2021-06-26T00:00:00"/>
    <s v="Discover"/>
    <x v="81"/>
    <n v="47.64"/>
    <x v="26"/>
    <m/>
    <m/>
    <m/>
    <n v="47.64"/>
    <b v="0"/>
    <m/>
    <m/>
    <s v="-"/>
    <x v="81"/>
    <s v="Create Rule; and Description='Holiday Stationstore';Transportation"/>
    <m/>
  </r>
  <r>
    <x v="29"/>
    <d v="2021-06-26T00:00:00"/>
    <s v="Discover More Card"/>
    <x v="81"/>
    <n v="47.64"/>
    <x v="26"/>
    <m/>
    <m/>
    <m/>
    <n v="47.64"/>
    <b v="0"/>
    <m/>
    <m/>
    <s v="-"/>
    <x v="81"/>
    <s v="Create Rule; and Description='Holiday Stationstore';Transportation"/>
    <m/>
  </r>
  <r>
    <x v="29"/>
    <d v="2021-06-26T00:00:00"/>
    <s v="Discover"/>
    <x v="99"/>
    <n v="8.99"/>
    <x v="11"/>
    <m/>
    <m/>
    <m/>
    <n v="8.99"/>
    <b v="0"/>
    <m/>
    <m/>
    <s v="-"/>
    <x v="99"/>
    <s v="Create Rule; and Description='Netflix';Utilities"/>
    <m/>
  </r>
  <r>
    <x v="29"/>
    <d v="2021-06-26T00:00:00"/>
    <s v="Discover More Card"/>
    <x v="99"/>
    <n v="8.99"/>
    <x v="11"/>
    <m/>
    <m/>
    <m/>
    <n v="8.99"/>
    <b v="0"/>
    <m/>
    <m/>
    <s v="-"/>
    <x v="99"/>
    <s v="Create Rule; and Description='Netflix';Utilities"/>
    <m/>
  </r>
  <r>
    <x v="29"/>
    <d v="2021-06-26T00:00:00"/>
    <s v="Discover"/>
    <x v="100"/>
    <n v="174.11"/>
    <x v="5"/>
    <m/>
    <m/>
    <m/>
    <n v="174.11"/>
    <b v="0"/>
    <m/>
    <m/>
    <s v="-"/>
    <x v="100"/>
    <s v="Create Rule; and Description like '%Trader Joe%';Groceries"/>
    <m/>
  </r>
  <r>
    <x v="29"/>
    <d v="2021-06-26T00:00:00"/>
    <s v="Discover More Card"/>
    <x v="100"/>
    <n v="174.11"/>
    <x v="5"/>
    <m/>
    <m/>
    <m/>
    <n v="174.11"/>
    <b v="0"/>
    <m/>
    <m/>
    <s v="-"/>
    <x v="100"/>
    <s v="Create Rule; and Description like '%Trader Joe%';Groceries"/>
    <m/>
  </r>
  <r>
    <x v="29"/>
    <d v="2021-06-27T00:00:00"/>
    <s v="POWERPLUS"/>
    <x v="1320"/>
    <n v="-628"/>
    <x v="26"/>
    <m/>
    <m/>
    <m/>
    <n v="628"/>
    <b v="0"/>
    <m/>
    <m/>
    <s v="+"/>
    <x v="1248"/>
    <s v="Manual"/>
    <m/>
  </r>
  <r>
    <x v="29"/>
    <d v="2021-06-27T00:00:00"/>
    <s v="Cash Rewards Visa Signature"/>
    <x v="130"/>
    <n v="28.4"/>
    <x v="1"/>
    <m/>
    <m/>
    <m/>
    <n v="28.4"/>
    <b v="0"/>
    <m/>
    <m/>
    <s v="-"/>
    <x v="129"/>
    <s v="Create Rule; and Description='Leeann Chin';Restaurants"/>
    <m/>
  </r>
  <r>
    <x v="29"/>
    <d v="2021-06-27T00:00:00"/>
    <s v="Cash Rewards Visa Signature"/>
    <x v="1364"/>
    <n v="4.42"/>
    <x v="26"/>
    <m/>
    <m/>
    <m/>
    <n v="4.42"/>
    <b v="0"/>
    <m/>
    <m/>
    <s v="-"/>
    <x v="1285"/>
    <s v="Create Rule; and Description Like '%LOWES%';House Maintenance"/>
    <m/>
  </r>
  <r>
    <x v="29"/>
    <d v="2021-06-27T00:00:00"/>
    <s v="Cash Rewards Visa Signature"/>
    <x v="1364"/>
    <n v="5.93"/>
    <x v="26"/>
    <m/>
    <m/>
    <m/>
    <n v="5.93"/>
    <b v="0"/>
    <m/>
    <m/>
    <s v="-"/>
    <x v="1285"/>
    <s v="Manual"/>
    <m/>
  </r>
  <r>
    <x v="29"/>
    <d v="2021-06-27T00:00:00"/>
    <s v="Cash Rewards Visa Signature"/>
    <x v="1415"/>
    <n v="149.59"/>
    <x v="26"/>
    <m/>
    <m/>
    <m/>
    <n v="149.59"/>
    <b v="0"/>
    <m/>
    <m/>
    <s v="-"/>
    <x v="1332"/>
    <s v="Manual"/>
    <m/>
  </r>
  <r>
    <x v="29"/>
    <d v="2021-06-27T00:00:00"/>
    <s v="Cash Rewards Visa Signature"/>
    <x v="1416"/>
    <n v="89"/>
    <x v="26"/>
    <m/>
    <m/>
    <m/>
    <n v="89"/>
    <b v="0"/>
    <m/>
    <m/>
    <s v="-"/>
    <x v="1333"/>
    <s v="Create Rule; and Description Like '%SOTA CLOTHING%';Shopping"/>
    <m/>
  </r>
  <r>
    <x v="29"/>
    <d v="2021-06-27T00:00:00"/>
    <s v="Cash Rewards Visa Signature"/>
    <x v="1314"/>
    <n v="16.100000000000001"/>
    <x v="26"/>
    <m/>
    <m/>
    <m/>
    <n v="16.100000000000001"/>
    <b v="0"/>
    <m/>
    <m/>
    <s v="-"/>
    <x v="1242"/>
    <s v="Create Rule; and Description='SQ CHANHASSEN BREWING COChanhassen MN';Restaurants"/>
    <m/>
  </r>
  <r>
    <x v="29"/>
    <d v="2021-06-27T00:00:00"/>
    <s v="Cash Rewards Visa Signature"/>
    <x v="1417"/>
    <n v="12"/>
    <x v="26"/>
    <m/>
    <m/>
    <m/>
    <n v="12"/>
    <b v="0"/>
    <m/>
    <m/>
    <s v="-"/>
    <x v="1334"/>
    <s v="Manual"/>
    <m/>
  </r>
  <r>
    <x v="29"/>
    <d v="2021-06-27T00:00:00"/>
    <s v="Cash Rewards Visa Signature"/>
    <x v="1418"/>
    <n v="31.94"/>
    <x v="26"/>
    <m/>
    <m/>
    <m/>
    <n v="31.94"/>
    <b v="0"/>
    <m/>
    <m/>
    <s v="-"/>
    <x v="1335"/>
    <s v="Manual"/>
    <m/>
  </r>
  <r>
    <x v="29"/>
    <d v="2021-06-27T00:00:00"/>
    <s v="Cash Rewards Visa Signature"/>
    <x v="1419"/>
    <n v="29.99"/>
    <x v="26"/>
    <m/>
    <m/>
    <m/>
    <n v="29.99"/>
    <b v="0"/>
    <m/>
    <m/>
    <s v="-"/>
    <x v="1336"/>
    <s v="Manual"/>
    <m/>
  </r>
  <r>
    <x v="29"/>
    <d v="2021-06-28T00:00:00"/>
    <s v="POWERPLUS"/>
    <x v="1420"/>
    <n v="-3102.97"/>
    <x v="26"/>
    <m/>
    <m/>
    <m/>
    <n v="3102.97"/>
    <b v="0"/>
    <m/>
    <m/>
    <s v="+"/>
    <x v="910"/>
    <s v="Create Rule; and Description Like '%CONNECTED ANALYT%';Inc - Jeff"/>
    <m/>
  </r>
  <r>
    <x v="29"/>
    <d v="2021-06-28T00:00:00"/>
    <s v="Cash Rewards Visa Signature"/>
    <x v="1421"/>
    <n v="37.31"/>
    <x v="26"/>
    <m/>
    <m/>
    <m/>
    <n v="37.31"/>
    <b v="0"/>
    <m/>
    <m/>
    <s v="-"/>
    <x v="1337"/>
    <s v="Create Rule; and Description='Freight House, Inc';Restaurants"/>
    <m/>
  </r>
  <r>
    <x v="29"/>
    <d v="2021-06-28T00:00:00"/>
    <s v="Cash Rewards Visa Signature"/>
    <x v="1364"/>
    <n v="4.79"/>
    <x v="26"/>
    <m/>
    <m/>
    <m/>
    <n v="4.79"/>
    <b v="0"/>
    <m/>
    <m/>
    <s v="-"/>
    <x v="1285"/>
    <s v="Manual"/>
    <m/>
  </r>
  <r>
    <x v="29"/>
    <d v="2021-06-28T00:00:00"/>
    <s v="Cash Rewards Visa Signature"/>
    <x v="1422"/>
    <n v="19.18"/>
    <x v="26"/>
    <m/>
    <m/>
    <m/>
    <n v="19.18"/>
    <b v="0"/>
    <m/>
    <m/>
    <s v="-"/>
    <x v="1338"/>
    <s v="Manual"/>
    <m/>
  </r>
  <r>
    <x v="29"/>
    <d v="2021-06-28T00:00:00"/>
    <s v="Joint Tenant"/>
    <x v="300"/>
    <n v="-14.87"/>
    <x v="26"/>
    <m/>
    <m/>
    <m/>
    <n v="14.87"/>
    <b v="0"/>
    <m/>
    <m/>
    <s v="+"/>
    <x v="293"/>
    <s v="Create Rule; and Description='SCHWAB US SMALL CAP ETF';Dividend"/>
    <m/>
  </r>
  <r>
    <x v="29"/>
    <d v="2021-06-28T00:00:00"/>
    <s v="Discover"/>
    <x v="693"/>
    <n v="71.33"/>
    <x v="26"/>
    <m/>
    <m/>
    <m/>
    <n v="71.33"/>
    <b v="0"/>
    <m/>
    <m/>
    <s v="-"/>
    <x v="669"/>
    <s v="Create Rule; and Description='SHOREWOODLIQUOR SHOREWOOD MN';Groceries"/>
    <m/>
  </r>
  <r>
    <x v="29"/>
    <d v="2021-06-28T00:00:00"/>
    <s v="Discover More Card"/>
    <x v="693"/>
    <n v="71.33"/>
    <x v="26"/>
    <m/>
    <m/>
    <m/>
    <n v="71.33"/>
    <b v="0"/>
    <m/>
    <m/>
    <s v="-"/>
    <x v="669"/>
    <s v="Create Rule; and Description='SHOREWOODLIQUOR SHOREWOOD MN';Groceries"/>
    <m/>
  </r>
  <r>
    <x v="29"/>
    <d v="2021-06-28T00:00:00"/>
    <s v="Cash Rewards Visa Signature"/>
    <x v="1305"/>
    <n v="40.46"/>
    <x v="1"/>
    <m/>
    <m/>
    <m/>
    <n v="40.46"/>
    <b v="0"/>
    <m/>
    <m/>
    <s v="-"/>
    <x v="1236"/>
    <s v="Create Rule; and Description='Station Pizzeria';Restaurants"/>
    <m/>
  </r>
  <r>
    <x v="29"/>
    <d v="2021-06-28T00:00:00"/>
    <s v="Cash Rewards Visa Signature"/>
    <x v="1423"/>
    <n v="99.12"/>
    <x v="26"/>
    <m/>
    <m/>
    <m/>
    <n v="99.12"/>
    <b v="0"/>
    <m/>
    <m/>
    <s v="-"/>
    <x v="1339"/>
    <s v="Create Rule; and Description='Surly Brewing Company TST SURLY BREWING COMPANMINNEAPOLIS MN';Restaurants"/>
    <m/>
  </r>
  <r>
    <x v="29"/>
    <d v="2021-06-28T00:00:00"/>
    <s v="Cash Rewards Visa Signature"/>
    <x v="1184"/>
    <n v="-65.87"/>
    <x v="26"/>
    <m/>
    <m/>
    <m/>
    <n v="65.87"/>
    <b v="0"/>
    <m/>
    <m/>
    <s v="+"/>
    <x v="1125"/>
    <s v="Create Rule; and Description='Total Wine More';Groceries"/>
    <m/>
  </r>
  <r>
    <x v="29"/>
    <d v="2021-06-28T00:00:00"/>
    <s v="Discover"/>
    <x v="1184"/>
    <n v="-130"/>
    <x v="26"/>
    <m/>
    <m/>
    <m/>
    <n v="130"/>
    <b v="0"/>
    <m/>
    <m/>
    <s v="+"/>
    <x v="1125"/>
    <s v="Create Rule; and Description='Total Wine More';Groceries"/>
    <m/>
  </r>
  <r>
    <x v="29"/>
    <d v="2021-06-28T00:00:00"/>
    <s v="Discover More Card"/>
    <x v="1184"/>
    <n v="-130"/>
    <x v="26"/>
    <m/>
    <m/>
    <m/>
    <n v="130"/>
    <b v="0"/>
    <m/>
    <m/>
    <s v="+"/>
    <x v="1125"/>
    <s v="Create Rule; and Description='Total Wine More';Groceries"/>
    <m/>
  </r>
  <r>
    <x v="29"/>
    <d v="2021-06-29T00:00:00"/>
    <s v="POWERPLUS"/>
    <x v="1424"/>
    <n v="81.62"/>
    <x v="26"/>
    <m/>
    <m/>
    <m/>
    <n v="81.62"/>
    <b v="0"/>
    <m/>
    <m/>
    <s v="-"/>
    <x v="1340"/>
    <s v="Manual"/>
    <m/>
  </r>
  <r>
    <x v="29"/>
    <d v="2021-06-29T00:00:00"/>
    <s v="Discover"/>
    <x v="0"/>
    <n v="18.2"/>
    <x v="0"/>
    <m/>
    <m/>
    <m/>
    <n v="18.2"/>
    <b v="0"/>
    <m/>
    <m/>
    <s v="-"/>
    <x v="0"/>
    <s v="Create Rule; and Description='Amazon';Amazon"/>
    <m/>
  </r>
  <r>
    <x v="29"/>
    <d v="2021-06-29T00:00:00"/>
    <s v="Discover More Card"/>
    <x v="0"/>
    <n v="18.2"/>
    <x v="0"/>
    <m/>
    <m/>
    <m/>
    <n v="18.2"/>
    <b v="0"/>
    <m/>
    <m/>
    <s v="-"/>
    <x v="0"/>
    <s v="Create Rule; and Description='Amazon';Amazon"/>
    <m/>
  </r>
  <r>
    <x v="29"/>
    <d v="2021-06-29T00:00:00"/>
    <s v="Cash Rewards Visa Signature"/>
    <x v="176"/>
    <n v="11.2"/>
    <x v="26"/>
    <m/>
    <m/>
    <m/>
    <n v="11.2"/>
    <b v="0"/>
    <m/>
    <m/>
    <s v="-"/>
    <x v="175"/>
    <s v="Create Rule; and Description='Delta';Travel"/>
    <m/>
  </r>
  <r>
    <x v="29"/>
    <d v="2021-06-29T00:00:00"/>
    <s v="Cash Rewards Visa Signature"/>
    <x v="1425"/>
    <n v="-11.48"/>
    <x v="26"/>
    <m/>
    <m/>
    <m/>
    <n v="11.48"/>
    <b v="0"/>
    <m/>
    <m/>
    <s v="+"/>
    <x v="1341"/>
    <s v="Create Rule; and Description like '%Lowe%';House Maintenance"/>
    <m/>
  </r>
  <r>
    <x v="29"/>
    <d v="2021-06-29T00:00:00"/>
    <s v="POWERPLUS"/>
    <x v="1321"/>
    <n v="528.79999999999995"/>
    <x v="26"/>
    <m/>
    <m/>
    <m/>
    <n v="528.79999999999995"/>
    <b v="0"/>
    <m/>
    <m/>
    <s v="-"/>
    <x v="1249"/>
    <s v="Create Rule; and Description Like '%MHCHILDCARELLC%';Day Care"/>
    <m/>
  </r>
  <r>
    <x v="29"/>
    <d v="2021-06-29T00:00:00"/>
    <s v="POWERPLUS"/>
    <x v="157"/>
    <n v="0.99"/>
    <x v="8"/>
    <m/>
    <m/>
    <m/>
    <n v="0.99"/>
    <b v="0"/>
    <m/>
    <m/>
    <s v="-"/>
    <x v="156"/>
    <s v="Create Rule; and Description Like '%PayPal%';Shopping"/>
    <m/>
  </r>
  <r>
    <x v="29"/>
    <d v="2021-06-29T00:00:00"/>
    <s v="Joint Tenant"/>
    <x v="300"/>
    <n v="14.87"/>
    <x v="26"/>
    <m/>
    <m/>
    <m/>
    <n v="14.87"/>
    <b v="0"/>
    <m/>
    <m/>
    <s v="-"/>
    <x v="293"/>
    <s v="Create Rule; and Description='SCHWAB US SMALL CAP ETF';Dividend"/>
    <m/>
  </r>
  <r>
    <x v="29"/>
    <d v="2021-06-30T00:00:00"/>
    <s v="Discover"/>
    <x v="0"/>
    <n v="17.84"/>
    <x v="0"/>
    <m/>
    <m/>
    <m/>
    <n v="17.84"/>
    <b v="0"/>
    <m/>
    <m/>
    <s v="-"/>
    <x v="0"/>
    <s v="Create Rule; and Description='Amazon';Amazon"/>
    <m/>
  </r>
  <r>
    <x v="29"/>
    <d v="2021-06-30T00:00:00"/>
    <s v="Discover More Card"/>
    <x v="0"/>
    <n v="17.84"/>
    <x v="0"/>
    <m/>
    <m/>
    <m/>
    <n v="17.84"/>
    <b v="0"/>
    <m/>
    <m/>
    <s v="-"/>
    <x v="0"/>
    <s v="Create Rule; and Description='Amazon';Amazon"/>
    <m/>
  </r>
  <r>
    <x v="29"/>
    <d v="2021-06-30T00:00:00"/>
    <s v="POWERPLUS"/>
    <x v="1040"/>
    <n v="-4"/>
    <x v="26"/>
    <m/>
    <m/>
    <m/>
    <n v="4"/>
    <b v="0"/>
    <m/>
    <m/>
    <s v="+"/>
    <x v="994"/>
    <s v="Manual"/>
    <m/>
  </r>
  <r>
    <x v="29"/>
    <d v="2021-06-30T00:00:00"/>
    <s v="POWERPLUS"/>
    <x v="1348"/>
    <n v="21.23"/>
    <x v="11"/>
    <m/>
    <m/>
    <m/>
    <n v="21.23"/>
    <b v="0"/>
    <m/>
    <m/>
    <s v="-"/>
    <x v="1273"/>
    <s v="Manual"/>
    <m/>
  </r>
  <r>
    <x v="29"/>
    <d v="2021-06-30T00:00:00"/>
    <s v="Joint Tenant"/>
    <x v="950"/>
    <n v="-250"/>
    <x v="26"/>
    <m/>
    <m/>
    <m/>
    <n v="250"/>
    <b v="0"/>
    <m/>
    <m/>
    <s v="+"/>
    <x v="913"/>
    <s v="Create Rule; and Description Like '%CONNECTED ANALYT%';Inc - Jeff"/>
    <m/>
  </r>
  <r>
    <x v="29"/>
    <d v="2021-06-30T00:00:00"/>
    <s v="POWERPLUS"/>
    <x v="1426"/>
    <n v="-24.74"/>
    <x v="26"/>
    <m/>
    <m/>
    <m/>
    <n v="24.74"/>
    <b v="0"/>
    <m/>
    <m/>
    <s v="+"/>
    <x v="1342"/>
    <s v="Manual"/>
    <m/>
  </r>
  <r>
    <x v="29"/>
    <d v="2021-06-30T00:00:00"/>
    <s v="RAINY DAY"/>
    <x v="1427"/>
    <n v="-12.81"/>
    <x v="26"/>
    <m/>
    <m/>
    <m/>
    <n v="12.81"/>
    <b v="0"/>
    <m/>
    <m/>
    <s v="+"/>
    <x v="1343"/>
    <s v="Manual"/>
    <m/>
  </r>
  <r>
    <x v="29"/>
    <d v="2021-06-30T00:00:00"/>
    <s v="Investor Checking"/>
    <x v="118"/>
    <n v="-0.04"/>
    <x v="26"/>
    <m/>
    <m/>
    <m/>
    <n v="0.04"/>
    <b v="0"/>
    <m/>
    <m/>
    <s v="+"/>
    <x v="118"/>
    <s v="Manual"/>
    <m/>
  </r>
  <r>
    <x v="29"/>
    <d v="2021-06-30T00:00:00"/>
    <s v="Jeff IRA"/>
    <x v="951"/>
    <n v="-250"/>
    <x v="26"/>
    <m/>
    <m/>
    <m/>
    <n v="250"/>
    <b v="0"/>
    <m/>
    <m/>
    <s v="+"/>
    <x v="914"/>
    <s v="Create Rule; and Description Like '%CONNECTED ANALYT%';Inc - Jeff"/>
    <m/>
  </r>
  <r>
    <x v="30"/>
    <d v="2021-07-01T00:00:00"/>
    <s v="30 YR FIXED"/>
    <x v="935"/>
    <n v="-736.97"/>
    <x v="3"/>
    <m/>
    <m/>
    <m/>
    <n v="736.97"/>
    <b v="0"/>
    <m/>
    <m/>
    <s v="+"/>
    <x v="899"/>
    <s v="Create Rule; and Description='PAYMENT';Delete"/>
    <m/>
  </r>
  <r>
    <x v="30"/>
    <d v="2021-07-01T00:00:00"/>
    <s v="Discover"/>
    <x v="598"/>
    <n v="4.28"/>
    <x v="10"/>
    <m/>
    <m/>
    <m/>
    <n v="4.28"/>
    <b v="0"/>
    <m/>
    <m/>
    <s v="-"/>
    <x v="579"/>
    <s v="Create Rule; and Description='Amazon Music';Entertainment"/>
    <m/>
  </r>
  <r>
    <x v="30"/>
    <d v="2021-07-01T00:00:00"/>
    <s v="Discover More Card"/>
    <x v="598"/>
    <n v="4.28"/>
    <x v="10"/>
    <m/>
    <m/>
    <m/>
    <n v="4.28"/>
    <b v="0"/>
    <m/>
    <m/>
    <s v="-"/>
    <x v="579"/>
    <s v="Create Rule; and Description='Amazon Music';Entertainment"/>
    <m/>
  </r>
  <r>
    <x v="30"/>
    <d v="2021-07-01T00:00:00"/>
    <s v="POWERPLUS"/>
    <x v="1334"/>
    <n v="2832.55"/>
    <x v="6"/>
    <m/>
    <m/>
    <m/>
    <n v="2832.55"/>
    <b v="0"/>
    <m/>
    <m/>
    <s v="-"/>
    <x v="1261"/>
    <s v="Create Rule; and Description='Baxter Credit Union';Rent"/>
    <m/>
  </r>
  <r>
    <x v="30"/>
    <d v="2021-07-01T00:00:00"/>
    <s v="POWERPLUS"/>
    <x v="1335"/>
    <n v="200"/>
    <x v="26"/>
    <m/>
    <m/>
    <m/>
    <n v="200"/>
    <b v="0"/>
    <m/>
    <m/>
    <s v="-"/>
    <x v="1262"/>
    <s v="Create Rule; and Description Like '%College Savings%';College Savings"/>
    <m/>
  </r>
  <r>
    <x v="30"/>
    <d v="2021-07-01T00:00:00"/>
    <s v="SHARE SAVINGS"/>
    <x v="303"/>
    <n v="-184.48"/>
    <x v="26"/>
    <m/>
    <m/>
    <m/>
    <n v="184.48"/>
    <b v="0"/>
    <m/>
    <m/>
    <s v="+"/>
    <x v="295"/>
    <s v="Create Rule; and Description='Cred Rebate';Inc - Other"/>
    <m/>
  </r>
  <r>
    <x v="30"/>
    <d v="2021-07-01T00:00:00"/>
    <s v="Cash Rewards Visa Signature"/>
    <x v="1428"/>
    <n v="183.74"/>
    <x v="26"/>
    <m/>
    <m/>
    <m/>
    <n v="183.74"/>
    <b v="0"/>
    <m/>
    <m/>
    <s v="-"/>
    <x v="1344"/>
    <s v="Manual"/>
    <m/>
  </r>
  <r>
    <x v="30"/>
    <d v="2021-07-01T00:00:00"/>
    <s v="HIGHLANDER"/>
    <x v="976"/>
    <n v="-586.53"/>
    <x v="26"/>
    <m/>
    <m/>
    <m/>
    <n v="586.53"/>
    <b v="0"/>
    <m/>
    <m/>
    <s v="+"/>
    <x v="936"/>
    <s v="Manual"/>
    <m/>
  </r>
  <r>
    <x v="30"/>
    <d v="2021-07-01T00:00:00"/>
    <s v="Cash Rewards Visa Signature"/>
    <x v="487"/>
    <n v="373"/>
    <x v="8"/>
    <m/>
    <m/>
    <m/>
    <n v="373"/>
    <b v="0"/>
    <m/>
    <m/>
    <s v="-"/>
    <x v="470"/>
    <s v="Create Rule; and Description='Patagonia';Shopping"/>
    <m/>
  </r>
  <r>
    <x v="30"/>
    <d v="2021-07-01T00:00:00"/>
    <s v="30 YR FIXED"/>
    <x v="1085"/>
    <n v="-431"/>
    <x v="26"/>
    <m/>
    <m/>
    <m/>
    <n v="431"/>
    <b v="0"/>
    <m/>
    <m/>
    <s v="+"/>
    <x v="1034"/>
    <s v="Create Rule; and Description='Principal Curtailment';Delete"/>
    <m/>
  </r>
  <r>
    <x v="30"/>
    <d v="2021-07-01T00:00:00"/>
    <s v="POWERPLUS"/>
    <x v="979"/>
    <n v="618.65"/>
    <x v="26"/>
    <m/>
    <m/>
    <m/>
    <n v="618.65"/>
    <b v="0"/>
    <m/>
    <m/>
    <s v="-"/>
    <x v="939"/>
    <s v="Create Rule; and Description Like '%To Loan 02%';Car Loan"/>
    <m/>
  </r>
  <r>
    <x v="30"/>
    <d v="2021-07-02T00:00:00"/>
    <s v="POWERPLUS"/>
    <x v="1429"/>
    <n v="2375"/>
    <x v="26"/>
    <m/>
    <m/>
    <m/>
    <n v="2375"/>
    <b v="0"/>
    <m/>
    <m/>
    <s v="-"/>
    <x v="1345"/>
    <s v="Manual"/>
    <m/>
  </r>
  <r>
    <x v="30"/>
    <d v="2021-07-02T00:00:00"/>
    <s v="POWERPLUS"/>
    <x v="823"/>
    <n v="31.07"/>
    <x v="2"/>
    <m/>
    <m/>
    <m/>
    <n v="31.07"/>
    <b v="0"/>
    <m/>
    <m/>
    <s v="-"/>
    <x v="792"/>
    <s v="Create Rule; and Description='Kwik Trip';Transportation"/>
    <m/>
  </r>
  <r>
    <x v="30"/>
    <d v="2021-07-02T00:00:00"/>
    <s v="Cash Rewards Visa Signature"/>
    <x v="1430"/>
    <n v="19.420000000000002"/>
    <x v="26"/>
    <m/>
    <m/>
    <m/>
    <n v="19.420000000000002"/>
    <b v="0"/>
    <m/>
    <m/>
    <s v="-"/>
    <x v="1346"/>
    <s v="Manual"/>
    <m/>
  </r>
  <r>
    <x v="30"/>
    <d v="2021-07-02T00:00:00"/>
    <s v="Cash Rewards Visa Signature"/>
    <x v="1431"/>
    <n v="36.83"/>
    <x v="26"/>
    <m/>
    <m/>
    <m/>
    <n v="36.83"/>
    <b v="0"/>
    <m/>
    <m/>
    <s v="-"/>
    <x v="1347"/>
    <s v="Manual"/>
    <m/>
  </r>
  <r>
    <x v="30"/>
    <d v="2021-07-02T00:00:00"/>
    <s v="Cash Rewards Visa Signature"/>
    <x v="1431"/>
    <n v="75.77"/>
    <x v="26"/>
    <m/>
    <m/>
    <m/>
    <n v="75.77"/>
    <b v="0"/>
    <m/>
    <m/>
    <s v="-"/>
    <x v="1347"/>
    <s v="Manual"/>
    <m/>
  </r>
  <r>
    <x v="30"/>
    <d v="2021-07-02T00:00:00"/>
    <s v="Cash Rewards Visa Signature"/>
    <x v="1391"/>
    <n v="62.91"/>
    <x v="26"/>
    <m/>
    <m/>
    <m/>
    <n v="62.91"/>
    <b v="0"/>
    <m/>
    <m/>
    <s v="-"/>
    <x v="1310"/>
    <s v="Manual"/>
    <m/>
  </r>
  <r>
    <x v="30"/>
    <d v="2021-07-04T00:00:00"/>
    <s v="Cash Rewards Visa Signature"/>
    <x v="174"/>
    <n v="4.67"/>
    <x v="26"/>
    <m/>
    <m/>
    <m/>
    <n v="4.67"/>
    <b v="0"/>
    <m/>
    <m/>
    <s v="-"/>
    <x v="173"/>
    <s v="Create Rule; and Description='BP';Transportation"/>
    <m/>
  </r>
  <r>
    <x v="30"/>
    <d v="2021-07-04T00:00:00"/>
    <s v="Cash Rewards Visa Signature"/>
    <x v="174"/>
    <n v="36.86"/>
    <x v="26"/>
    <m/>
    <m/>
    <m/>
    <n v="36.86"/>
    <b v="0"/>
    <m/>
    <m/>
    <s v="-"/>
    <x v="173"/>
    <s v="Create Rule; and Description='BP';Transportation"/>
    <m/>
  </r>
  <r>
    <x v="30"/>
    <d v="2021-07-04T00:00:00"/>
    <s v="Cash Rewards Visa Signature"/>
    <x v="1432"/>
    <n v="20.66"/>
    <x v="26"/>
    <m/>
    <m/>
    <m/>
    <n v="20.66"/>
    <b v="0"/>
    <m/>
    <m/>
    <s v="-"/>
    <x v="1348"/>
    <s v="Manual"/>
    <m/>
  </r>
  <r>
    <x v="30"/>
    <d v="2021-07-04T00:00:00"/>
    <s v="Cash Rewards Visa Signature"/>
    <x v="1222"/>
    <n v="18"/>
    <x v="26"/>
    <m/>
    <m/>
    <m/>
    <n v="18"/>
    <b v="0"/>
    <m/>
    <m/>
    <s v="-"/>
    <x v="1160"/>
    <s v="Manual"/>
    <m/>
  </r>
  <r>
    <x v="30"/>
    <d v="2021-07-04T00:00:00"/>
    <s v="Cash Rewards Visa Signature"/>
    <x v="1433"/>
    <n v="25.89"/>
    <x v="26"/>
    <m/>
    <m/>
    <m/>
    <n v="25.89"/>
    <b v="0"/>
    <m/>
    <m/>
    <s v="-"/>
    <x v="1349"/>
    <s v="Manual"/>
    <m/>
  </r>
  <r>
    <x v="30"/>
    <d v="2021-07-04T00:00:00"/>
    <s v="Cash Rewards Visa Signature"/>
    <x v="799"/>
    <n v="98.72"/>
    <x v="26"/>
    <m/>
    <m/>
    <m/>
    <n v="98.72"/>
    <b v="0"/>
    <m/>
    <m/>
    <s v="-"/>
    <x v="769"/>
    <s v="Manual"/>
    <m/>
  </r>
  <r>
    <x v="30"/>
    <d v="2021-07-04T00:00:00"/>
    <s v="Cash Rewards Visa Signature"/>
    <x v="1364"/>
    <n v="78.77"/>
    <x v="26"/>
    <m/>
    <m/>
    <m/>
    <n v="78.77"/>
    <b v="0"/>
    <m/>
    <m/>
    <s v="-"/>
    <x v="1285"/>
    <s v="Manual"/>
    <m/>
  </r>
  <r>
    <x v="30"/>
    <d v="2021-07-04T00:00:00"/>
    <s v="Cash Rewards Visa Signature"/>
    <x v="1283"/>
    <n v="23.25"/>
    <x v="2"/>
    <m/>
    <m/>
    <m/>
    <n v="23.25"/>
    <b v="0"/>
    <m/>
    <m/>
    <s v="-"/>
    <x v="1216"/>
    <s v="Manual"/>
    <m/>
  </r>
  <r>
    <x v="30"/>
    <d v="2021-07-04T00:00:00"/>
    <s v="POWERPLUS"/>
    <x v="1434"/>
    <n v="-267.36"/>
    <x v="26"/>
    <m/>
    <m/>
    <m/>
    <n v="267.36"/>
    <b v="0"/>
    <m/>
    <m/>
    <s v="+"/>
    <x v="1293"/>
    <s v="Create Rule; and Description Like '%PayPal%';Shopping"/>
    <m/>
  </r>
  <r>
    <x v="30"/>
    <d v="2021-07-04T00:00:00"/>
    <s v="Cash Rewards Visa Signature"/>
    <x v="55"/>
    <n v="10.67"/>
    <x v="5"/>
    <m/>
    <m/>
    <m/>
    <n v="10.67"/>
    <b v="0"/>
    <m/>
    <m/>
    <s v="-"/>
    <x v="55"/>
    <s v="Create Rule; and Description='Walgreens';Shopping"/>
    <m/>
  </r>
  <r>
    <x v="30"/>
    <d v="2021-07-04T00:00:00"/>
    <s v="Cash Rewards Visa Signature"/>
    <x v="197"/>
    <n v="31.23"/>
    <x v="1"/>
    <m/>
    <m/>
    <m/>
    <n v="31.23"/>
    <b v="0"/>
    <m/>
    <m/>
    <s v="-"/>
    <x v="196"/>
    <s v="Create Rule; and Description like '%Wendy%';Restaurants"/>
    <m/>
  </r>
  <r>
    <x v="30"/>
    <d v="2021-07-05T00:00:00"/>
    <s v="Cash Rewards Visa Signature"/>
    <x v="936"/>
    <n v="-2763.09"/>
    <x v="26"/>
    <m/>
    <m/>
    <m/>
    <n v="2763.09"/>
    <b v="0"/>
    <m/>
    <m/>
    <s v="+"/>
    <x v="900"/>
    <s v="Delete; and Description Like '%PAYMENT THANK YOU%';0"/>
    <m/>
  </r>
  <r>
    <x v="30"/>
    <d v="2021-07-05T00:00:00"/>
    <s v="POWERPLUS"/>
    <x v="1319"/>
    <n v="2763.09"/>
    <x v="26"/>
    <m/>
    <m/>
    <m/>
    <n v="2763.09"/>
    <b v="0"/>
    <m/>
    <m/>
    <s v="-"/>
    <x v="1247"/>
    <s v="Create Rule; and Description='Withdrawal Home payment to card XX91 Withdrawal Home payment to card 979181';Delete"/>
    <m/>
  </r>
  <r>
    <x v="30"/>
    <d v="2021-07-05T00:00:00"/>
    <s v="Cash Rewards Visa Signature"/>
    <x v="1435"/>
    <n v="34.96"/>
    <x v="26"/>
    <m/>
    <m/>
    <m/>
    <n v="34.96"/>
    <b v="0"/>
    <m/>
    <m/>
    <s v="-"/>
    <x v="1350"/>
    <s v="Manual"/>
    <m/>
  </r>
  <r>
    <x v="30"/>
    <d v="2021-07-05T00:00:00"/>
    <s v="Cash Rewards Visa Signature"/>
    <x v="0"/>
    <n v="79.19"/>
    <x v="0"/>
    <m/>
    <m/>
    <m/>
    <n v="79.19"/>
    <b v="0"/>
    <m/>
    <m/>
    <s v="-"/>
    <x v="0"/>
    <s v="Create Rule; and Description='Amazon';Amazon"/>
    <m/>
  </r>
  <r>
    <x v="30"/>
    <d v="2021-07-05T00:00:00"/>
    <s v="Cash Rewards Visa Signature"/>
    <x v="1436"/>
    <n v="12"/>
    <x v="26"/>
    <m/>
    <m/>
    <m/>
    <n v="12"/>
    <b v="0"/>
    <m/>
    <m/>
    <s v="-"/>
    <x v="1351"/>
    <s v="Manual"/>
    <m/>
  </r>
  <r>
    <x v="30"/>
    <d v="2021-07-05T00:00:00"/>
    <s v="Cash Rewards Visa Signature"/>
    <x v="1436"/>
    <n v="13.5"/>
    <x v="26"/>
    <m/>
    <m/>
    <m/>
    <n v="13.5"/>
    <b v="0"/>
    <m/>
    <m/>
    <s v="-"/>
    <x v="1351"/>
    <s v="Manual"/>
    <m/>
  </r>
  <r>
    <x v="30"/>
    <d v="2021-07-06T00:00:00"/>
    <s v="POWERPLUS"/>
    <x v="1437"/>
    <n v="97.17"/>
    <x v="26"/>
    <m/>
    <m/>
    <m/>
    <n v="97.17"/>
    <b v="0"/>
    <m/>
    <m/>
    <s v="-"/>
    <x v="1352"/>
    <s v="Manual"/>
    <m/>
  </r>
  <r>
    <x v="30"/>
    <d v="2021-07-06T00:00:00"/>
    <s v="Discover"/>
    <x v="0"/>
    <n v="-18.2"/>
    <x v="0"/>
    <m/>
    <m/>
    <m/>
    <n v="18.2"/>
    <b v="0"/>
    <m/>
    <m/>
    <s v="+"/>
    <x v="0"/>
    <s v="Create Rule; and Description='Amazon';Amazon"/>
    <m/>
  </r>
  <r>
    <x v="30"/>
    <d v="2021-07-06T00:00:00"/>
    <s v="Discover More Card"/>
    <x v="0"/>
    <n v="-18.2"/>
    <x v="0"/>
    <m/>
    <m/>
    <m/>
    <n v="18.2"/>
    <b v="0"/>
    <m/>
    <m/>
    <s v="+"/>
    <x v="0"/>
    <s v="Create Rule; and Description='Amazon';Amazon"/>
    <m/>
  </r>
  <r>
    <x v="30"/>
    <d v="2021-07-06T00:00:00"/>
    <s v="Cash Rewards Visa Signature"/>
    <x v="1179"/>
    <n v="58"/>
    <x v="26"/>
    <m/>
    <m/>
    <m/>
    <n v="58"/>
    <b v="0"/>
    <m/>
    <m/>
    <s v="-"/>
    <x v="1121"/>
    <s v="Manual"/>
    <m/>
  </r>
  <r>
    <x v="30"/>
    <d v="2021-07-06T00:00:00"/>
    <s v="Cash Rewards Visa Signature"/>
    <x v="943"/>
    <n v="38.01"/>
    <x v="26"/>
    <m/>
    <m/>
    <m/>
    <n v="38.01"/>
    <b v="0"/>
    <m/>
    <m/>
    <s v="-"/>
    <x v="906"/>
    <s v="Create Rule; and Description Like '%NORTH COOP NORTH COOP%';Restaurants"/>
    <m/>
  </r>
  <r>
    <x v="30"/>
    <d v="2021-07-06T00:00:00"/>
    <s v="Cash Rewards Visa Signature"/>
    <x v="1438"/>
    <n v="5.34"/>
    <x v="26"/>
    <m/>
    <m/>
    <m/>
    <n v="5.34"/>
    <b v="0"/>
    <m/>
    <m/>
    <s v="-"/>
    <x v="1353"/>
    <s v="Manual"/>
    <m/>
  </r>
  <r>
    <x v="30"/>
    <d v="2021-07-06T00:00:00"/>
    <s v="Cash Rewards Visa Signature"/>
    <x v="1438"/>
    <n v="30.31"/>
    <x v="26"/>
    <m/>
    <m/>
    <m/>
    <n v="30.31"/>
    <b v="0"/>
    <m/>
    <m/>
    <s v="-"/>
    <x v="1353"/>
    <s v="Manual"/>
    <m/>
  </r>
  <r>
    <x v="30"/>
    <d v="2021-07-06T00:00:00"/>
    <s v="Cash Rewards Visa Signature"/>
    <x v="1439"/>
    <n v="53.75"/>
    <x v="26"/>
    <m/>
    <m/>
    <m/>
    <n v="53.75"/>
    <b v="0"/>
    <m/>
    <m/>
    <s v="-"/>
    <x v="1354"/>
    <s v="Manual"/>
    <m/>
  </r>
  <r>
    <x v="30"/>
    <d v="2021-07-07T00:00:00"/>
    <s v="Discover"/>
    <x v="176"/>
    <n v="2"/>
    <x v="26"/>
    <m/>
    <m/>
    <m/>
    <n v="2"/>
    <b v="0"/>
    <m/>
    <m/>
    <s v="-"/>
    <x v="175"/>
    <s v="Create Rule; and Description='Delta';Travel"/>
    <m/>
  </r>
  <r>
    <x v="30"/>
    <d v="2021-07-07T00:00:00"/>
    <s v="Discover More Card"/>
    <x v="176"/>
    <n v="2"/>
    <x v="26"/>
    <m/>
    <m/>
    <m/>
    <n v="2"/>
    <b v="0"/>
    <m/>
    <m/>
    <s v="-"/>
    <x v="175"/>
    <s v="Create Rule; and Description='Delta';Travel"/>
    <m/>
  </r>
  <r>
    <x v="30"/>
    <d v="2021-07-07T00:00:00"/>
    <s v="Cash Rewards Visa Signature"/>
    <x v="188"/>
    <n v="27.54"/>
    <x v="1"/>
    <m/>
    <m/>
    <m/>
    <n v="27.54"/>
    <b v="0"/>
    <m/>
    <m/>
    <s v="-"/>
    <x v="187"/>
    <s v="Create Rule; and Description='Noodles &amp; Company';Restaurants"/>
    <m/>
  </r>
  <r>
    <x v="30"/>
    <d v="2021-07-07T00:00:00"/>
    <s v="Brokerage"/>
    <x v="20"/>
    <n v="200"/>
    <x v="26"/>
    <m/>
    <m/>
    <m/>
    <n v="200"/>
    <b v="0"/>
    <m/>
    <m/>
    <s v="-"/>
    <x v="20"/>
    <s v="Delete; and Description='SCHWAB TOTAL STOCK MKT INDEX' and inflowoutflow='-';0"/>
    <m/>
  </r>
  <r>
    <x v="30"/>
    <d v="2021-07-07T00:00:00"/>
    <s v="Joint Tenant"/>
    <x v="20"/>
    <n v="200"/>
    <x v="26"/>
    <m/>
    <m/>
    <m/>
    <n v="200"/>
    <b v="0"/>
    <m/>
    <m/>
    <s v="-"/>
    <x v="20"/>
    <s v="Delete; and Description='SCHWAB TOTAL STOCK MKT INDEX' and inflowoutflow='-';0"/>
    <m/>
  </r>
  <r>
    <x v="30"/>
    <d v="2021-07-07T00:00:00"/>
    <s v="Cash Rewards Visa Signature"/>
    <x v="1283"/>
    <n v="32.17"/>
    <x v="2"/>
    <m/>
    <m/>
    <m/>
    <n v="32.17"/>
    <b v="0"/>
    <m/>
    <m/>
    <s v="-"/>
    <x v="1216"/>
    <s v="Manual"/>
    <m/>
  </r>
  <r>
    <x v="30"/>
    <d v="2021-07-07T00:00:00"/>
    <s v="Cash Rewards Visa Signature"/>
    <x v="448"/>
    <n v="-27.95"/>
    <x v="30"/>
    <m/>
    <m/>
    <m/>
    <n v="27.95"/>
    <b v="0"/>
    <m/>
    <m/>
    <s v="+"/>
    <x v="432"/>
    <s v="Create Rule; and Description='Wayfair';Shopping"/>
    <m/>
  </r>
  <r>
    <x v="30"/>
    <d v="2021-07-07T00:00:00"/>
    <s v="POWERPLUS"/>
    <x v="30"/>
    <n v="174.36"/>
    <x v="11"/>
    <m/>
    <m/>
    <m/>
    <n v="174.36"/>
    <b v="0"/>
    <m/>
    <m/>
    <s v="-"/>
    <x v="30"/>
    <s v="Create Rule; and Description='Xcel Energy';Utilities"/>
    <m/>
  </r>
  <r>
    <x v="30"/>
    <d v="2021-07-08T00:00:00"/>
    <s v="Cash Rewards Visa Signature"/>
    <x v="326"/>
    <n v="5.6"/>
    <x v="26"/>
    <m/>
    <m/>
    <m/>
    <n v="5.6"/>
    <b v="0"/>
    <m/>
    <m/>
    <s v="-"/>
    <x v="317"/>
    <s v="Create Rule; and Description='American Airlines';Travel"/>
    <m/>
  </r>
  <r>
    <x v="30"/>
    <d v="2021-07-08T00:00:00"/>
    <s v="POWERPLUS"/>
    <x v="1440"/>
    <n v="-2168.13"/>
    <x v="26"/>
    <m/>
    <m/>
    <m/>
    <n v="2168.13"/>
    <b v="0"/>
    <m/>
    <m/>
    <s v="+"/>
    <x v="1256"/>
    <s v="Create Rule; and Description Like '%Cargill Inc Deposit CARGILL INCORPOR TYPE DIRECT DEP ID CO CARGILL INCORPOR ACH%';Inc - Britney"/>
    <m/>
  </r>
  <r>
    <x v="30"/>
    <d v="2021-07-08T00:00:00"/>
    <s v="POWERPLUS"/>
    <x v="35"/>
    <n v="-105.74"/>
    <x v="26"/>
    <m/>
    <m/>
    <m/>
    <n v="105.74"/>
    <b v="0"/>
    <m/>
    <m/>
    <s v="+"/>
    <x v="35"/>
    <s v="Create Rule; and Description='Cargill Incorpor Type';Inc - Other"/>
    <m/>
  </r>
  <r>
    <x v="30"/>
    <d v="2021-07-08T00:00:00"/>
    <s v="Cash Rewards Visa Signature"/>
    <x v="487"/>
    <n v="249"/>
    <x v="8"/>
    <m/>
    <m/>
    <m/>
    <n v="249"/>
    <b v="0"/>
    <m/>
    <m/>
    <s v="-"/>
    <x v="470"/>
    <s v="Create Rule; and Description='Patagonia';Shopping"/>
    <m/>
  </r>
  <r>
    <x v="30"/>
    <d v="2021-07-08T00:00:00"/>
    <s v="Brokerage"/>
    <x v="1396"/>
    <n v="-0.89"/>
    <x v="26"/>
    <m/>
    <m/>
    <m/>
    <n v="0.89"/>
    <b v="0"/>
    <m/>
    <m/>
    <s v="+"/>
    <x v="1315"/>
    <s v="Manual"/>
    <m/>
  </r>
  <r>
    <x v="30"/>
    <d v="2021-07-08T00:00:00"/>
    <s v="Joint Tenant"/>
    <x v="1396"/>
    <n v="-0.89"/>
    <x v="26"/>
    <m/>
    <m/>
    <m/>
    <n v="0.89"/>
    <b v="0"/>
    <m/>
    <m/>
    <s v="+"/>
    <x v="1315"/>
    <s v="Delete; and Source='Joint Tenant';0"/>
    <m/>
  </r>
  <r>
    <x v="30"/>
    <d v="2021-07-08T00:00:00"/>
    <s v="Cash Rewards Visa Signature"/>
    <x v="839"/>
    <n v="5.6"/>
    <x v="26"/>
    <m/>
    <m/>
    <m/>
    <n v="5.6"/>
    <b v="0"/>
    <m/>
    <m/>
    <s v="-"/>
    <x v="807"/>
    <s v="Manual"/>
    <m/>
  </r>
  <r>
    <x v="30"/>
    <d v="2021-07-09T00:00:00"/>
    <s v="Cash Rewards Visa Signature"/>
    <x v="980"/>
    <n v="113.84"/>
    <x v="26"/>
    <m/>
    <m/>
    <m/>
    <n v="113.84"/>
    <b v="0"/>
    <m/>
    <m/>
    <s v="-"/>
    <x v="940"/>
    <s v="Create Rule; and Description Like '%AVOADVOCARE INTL%';Groceries"/>
    <m/>
  </r>
  <r>
    <x v="30"/>
    <d v="2021-07-09T00:00:00"/>
    <s v="Brokerage"/>
    <x v="1299"/>
    <n v="-200"/>
    <x v="26"/>
    <m/>
    <m/>
    <m/>
    <n v="200"/>
    <b v="0"/>
    <m/>
    <m/>
    <s v="+"/>
    <x v="1230"/>
    <s v="Manual"/>
    <m/>
  </r>
  <r>
    <x v="30"/>
    <d v="2021-07-09T00:00:00"/>
    <s v="Joint Tenant"/>
    <x v="1299"/>
    <n v="-200"/>
    <x v="26"/>
    <m/>
    <m/>
    <m/>
    <n v="200"/>
    <b v="0"/>
    <m/>
    <m/>
    <s v="+"/>
    <x v="1230"/>
    <s v="Delete; and Source='Joint Tenant';0"/>
    <m/>
  </r>
  <r>
    <x v="30"/>
    <d v="2021-07-09T00:00:00"/>
    <s v="Cash Rewards Visa Signature"/>
    <x v="839"/>
    <n v="5.6"/>
    <x v="26"/>
    <m/>
    <m/>
    <m/>
    <n v="5.6"/>
    <b v="0"/>
    <m/>
    <m/>
    <s v="-"/>
    <x v="807"/>
    <s v="Manual"/>
    <m/>
  </r>
  <r>
    <x v="30"/>
    <d v="2021-07-09T00:00:00"/>
    <s v="CARGILL PARTNERSHIP PLAN"/>
    <x v="235"/>
    <n v="-784.4"/>
    <x v="26"/>
    <m/>
    <m/>
    <m/>
    <n v="784.4"/>
    <b v="0"/>
    <m/>
    <m/>
    <s v="+"/>
    <x v="233"/>
    <s v="Create Rule; and Description='Target Retire 2055 Tr P - Plan Contribution';401K"/>
    <m/>
  </r>
  <r>
    <x v="30"/>
    <d v="2021-07-09T00:00:00"/>
    <s v="Contributory"/>
    <x v="1300"/>
    <n v="-231"/>
    <x v="26"/>
    <m/>
    <m/>
    <m/>
    <n v="231"/>
    <b v="0"/>
    <m/>
    <m/>
    <s v="+"/>
    <x v="1231"/>
    <s v="Manual"/>
    <m/>
  </r>
  <r>
    <x v="30"/>
    <d v="2021-07-11T00:00:00"/>
    <s v="Cash Rewards Visa Signature"/>
    <x v="1441"/>
    <n v="20"/>
    <x v="26"/>
    <m/>
    <m/>
    <m/>
    <n v="20"/>
    <b v="0"/>
    <m/>
    <m/>
    <s v="-"/>
    <x v="1355"/>
    <s v="Manual"/>
    <m/>
  </r>
  <r>
    <x v="30"/>
    <d v="2021-07-11T00:00:00"/>
    <s v="Cash Rewards Visa Signature"/>
    <x v="579"/>
    <n v="15"/>
    <x v="1"/>
    <m/>
    <m/>
    <m/>
    <n v="15"/>
    <b v="0"/>
    <m/>
    <m/>
    <s v="-"/>
    <x v="560"/>
    <s v="Create Rule; and Description='Starbucks';Restaurants"/>
    <m/>
  </r>
  <r>
    <x v="30"/>
    <d v="2021-07-11T00:00:00"/>
    <s v="Cash Rewards Visa Signature"/>
    <x v="965"/>
    <n v="46.98"/>
    <x v="26"/>
    <m/>
    <m/>
    <m/>
    <n v="46.98"/>
    <b v="0"/>
    <m/>
    <m/>
    <s v="-"/>
    <x v="927"/>
    <s v="Create Rule; and Description Like '%RED COW%';Restaurants"/>
    <m/>
  </r>
  <r>
    <x v="30"/>
    <d v="2021-07-12T00:00:00"/>
    <s v="Discover"/>
    <x v="93"/>
    <n v="-25.84"/>
    <x v="26"/>
    <m/>
    <m/>
    <m/>
    <n v="25.84"/>
    <b v="0"/>
    <m/>
    <m/>
    <s v="+"/>
    <x v="93"/>
    <s v="Delete; and Description='CASHBACK BONUS REDEMPTION payment/STMT CRDT';0"/>
    <m/>
  </r>
  <r>
    <x v="30"/>
    <d v="2021-07-12T00:00:00"/>
    <s v="Discover More Card"/>
    <x v="93"/>
    <n v="-25.84"/>
    <x v="26"/>
    <m/>
    <m/>
    <m/>
    <n v="25.84"/>
    <b v="0"/>
    <m/>
    <m/>
    <s v="+"/>
    <x v="93"/>
    <s v="Delete; and Description='CASHBACK BONUS REDEMPTION payment/STMT CRDT';0"/>
    <m/>
  </r>
  <r>
    <x v="30"/>
    <d v="2021-07-12T00:00:00"/>
    <s v="Discover"/>
    <x v="56"/>
    <n v="-1091.3599999999999"/>
    <x v="3"/>
    <m/>
    <m/>
    <m/>
    <n v="1091.3599999999999"/>
    <b v="0"/>
    <m/>
    <m/>
    <s v="+"/>
    <x v="56"/>
    <s v="Delete; and Description='INTERNET PAYMENT - THANK YOU';0"/>
    <m/>
  </r>
  <r>
    <x v="30"/>
    <d v="2021-07-12T00:00:00"/>
    <s v="Discover More Card"/>
    <x v="56"/>
    <n v="-1091.3599999999999"/>
    <x v="3"/>
    <m/>
    <m/>
    <m/>
    <n v="1091.3599999999999"/>
    <b v="0"/>
    <m/>
    <m/>
    <s v="+"/>
    <x v="56"/>
    <s v="Delete; and Description='INTERNET PAYMENT - THANK YOU';0"/>
    <m/>
  </r>
  <r>
    <x v="30"/>
    <d v="2021-07-12T00:00:00"/>
    <s v="Cash Rewards Visa Signature"/>
    <x v="59"/>
    <n v="13.19"/>
    <x v="1"/>
    <m/>
    <m/>
    <m/>
    <n v="13.19"/>
    <b v="0"/>
    <m/>
    <m/>
    <s v="-"/>
    <x v="59"/>
    <s v="Create Rule; and Description Like '%Caribou Coffee%';Restaurants"/>
    <m/>
  </r>
  <r>
    <x v="30"/>
    <d v="2021-07-12T00:00:00"/>
    <s v="Cash Rewards Visa Signature"/>
    <x v="6"/>
    <n v="142.08000000000001"/>
    <x v="5"/>
    <m/>
    <m/>
    <m/>
    <n v="142.08000000000001"/>
    <b v="0"/>
    <m/>
    <m/>
    <s v="-"/>
    <x v="6"/>
    <s v="Create Rule; and Description Like '%Cub Foods%';Groceries"/>
    <m/>
  </r>
  <r>
    <x v="30"/>
    <d v="2021-07-12T00:00:00"/>
    <s v="Cash Rewards Visa Signature"/>
    <x v="230"/>
    <n v="235.59"/>
    <x v="26"/>
    <m/>
    <m/>
    <m/>
    <n v="235.59"/>
    <b v="0"/>
    <m/>
    <m/>
    <s v="-"/>
    <x v="228"/>
    <s v="Manual"/>
    <m/>
  </r>
  <r>
    <x v="30"/>
    <d v="2021-07-12T00:00:00"/>
    <s v="Cash Rewards Visa Signature"/>
    <x v="1442"/>
    <n v="143.35"/>
    <x v="26"/>
    <m/>
    <m/>
    <m/>
    <n v="143.35"/>
    <b v="0"/>
    <m/>
    <m/>
    <s v="-"/>
    <x v="1356"/>
    <s v="Manual"/>
    <m/>
  </r>
  <r>
    <x v="30"/>
    <d v="2021-07-12T00:00:00"/>
    <s v="Cash Rewards Visa Signature"/>
    <x v="1443"/>
    <n v="39.36"/>
    <x v="26"/>
    <m/>
    <m/>
    <m/>
    <n v="39.36"/>
    <b v="0"/>
    <m/>
    <m/>
    <s v="-"/>
    <x v="1357"/>
    <s v="Manual"/>
    <m/>
  </r>
  <r>
    <x v="30"/>
    <d v="2021-07-12T00:00:00"/>
    <s v="Cash Rewards Visa Signature"/>
    <x v="1444"/>
    <n v="33.869999999999997"/>
    <x v="26"/>
    <m/>
    <m/>
    <m/>
    <n v="33.869999999999997"/>
    <b v="0"/>
    <m/>
    <m/>
    <s v="-"/>
    <x v="1358"/>
    <s v="Manual"/>
    <m/>
  </r>
  <r>
    <x v="30"/>
    <d v="2021-07-12T00:00:00"/>
    <s v="POWERPLUS"/>
    <x v="157"/>
    <n v="6.47"/>
    <x v="8"/>
    <m/>
    <m/>
    <m/>
    <n v="6.47"/>
    <b v="0"/>
    <m/>
    <m/>
    <s v="-"/>
    <x v="156"/>
    <s v="Create Rule; and Description Like '%PayPal%';Shopping"/>
    <m/>
  </r>
  <r>
    <x v="30"/>
    <d v="2021-07-12T00:00:00"/>
    <s v="Cash Rewards Visa Signature"/>
    <x v="1445"/>
    <n v="22.21"/>
    <x v="26"/>
    <m/>
    <m/>
    <m/>
    <n v="22.21"/>
    <b v="0"/>
    <m/>
    <m/>
    <s v="-"/>
    <x v="1359"/>
    <s v="Manual"/>
    <m/>
  </r>
  <r>
    <x v="30"/>
    <d v="2021-07-13T00:00:00"/>
    <s v="POWERPLUS"/>
    <x v="1446"/>
    <n v="1091.3599999999999"/>
    <x v="26"/>
    <m/>
    <m/>
    <m/>
    <n v="1091.3599999999999"/>
    <b v="0"/>
    <m/>
    <m/>
    <s v="-"/>
    <x v="1360"/>
    <s v="Delete; and Description Like '%DISCOVER TYPE EPAYMENT%';0"/>
    <m/>
  </r>
  <r>
    <x v="30"/>
    <d v="2021-07-13T00:00:00"/>
    <s v="POWERPLUS"/>
    <x v="1447"/>
    <n v="360"/>
    <x v="26"/>
    <m/>
    <m/>
    <m/>
    <n v="360"/>
    <b v="0"/>
    <m/>
    <m/>
    <s v="-"/>
    <x v="1361"/>
    <s v="Manual"/>
    <m/>
  </r>
  <r>
    <x v="30"/>
    <d v="2021-07-13T00:00:00"/>
    <s v="Cash Rewards Visa Signature"/>
    <x v="240"/>
    <n v="8.17"/>
    <x v="26"/>
    <m/>
    <m/>
    <m/>
    <n v="8.17"/>
    <b v="0"/>
    <m/>
    <m/>
    <s v="-"/>
    <x v="238"/>
    <s v="Create Rule; and Description='Chipotle';Restaurants"/>
    <m/>
  </r>
  <r>
    <x v="30"/>
    <d v="2021-07-13T00:00:00"/>
    <s v="POWERPLUS"/>
    <x v="1448"/>
    <n v="-3052.97"/>
    <x v="26"/>
    <m/>
    <m/>
    <m/>
    <n v="3052.97"/>
    <b v="0"/>
    <m/>
    <m/>
    <s v="+"/>
    <x v="910"/>
    <s v="Create Rule; and Description Like '%CONNECTED ANALYT%';Inc - Jeff"/>
    <m/>
  </r>
  <r>
    <x v="30"/>
    <d v="2021-07-13T00:00:00"/>
    <s v="Cash Rewards Visa Signature"/>
    <x v="1449"/>
    <n v="183.58"/>
    <x v="26"/>
    <m/>
    <m/>
    <m/>
    <n v="183.58"/>
    <b v="0"/>
    <m/>
    <m/>
    <s v="-"/>
    <x v="1362"/>
    <s v="Manual"/>
    <m/>
  </r>
  <r>
    <x v="30"/>
    <d v="2021-07-13T00:00:00"/>
    <s v="Cash Rewards Visa Signature"/>
    <x v="60"/>
    <n v="24.65"/>
    <x v="26"/>
    <m/>
    <m/>
    <m/>
    <n v="24.65"/>
    <b v="0"/>
    <m/>
    <m/>
    <s v="-"/>
    <x v="60"/>
    <s v="Create Rule; and Description='Home Depot';House Maintenance"/>
    <m/>
  </r>
  <r>
    <x v="30"/>
    <d v="2021-07-13T00:00:00"/>
    <s v="Cash Rewards Visa Signature"/>
    <x v="823"/>
    <n v="51.86"/>
    <x v="2"/>
    <m/>
    <m/>
    <m/>
    <n v="51.86"/>
    <b v="0"/>
    <m/>
    <m/>
    <s v="-"/>
    <x v="792"/>
    <s v="Create Rule; and Description='Kwik Trip';Transportation"/>
    <m/>
  </r>
  <r>
    <x v="30"/>
    <d v="2021-07-13T00:00:00"/>
    <s v="Discover"/>
    <x v="1450"/>
    <n v="24.28"/>
    <x v="26"/>
    <m/>
    <m/>
    <m/>
    <n v="24.28"/>
    <b v="0"/>
    <m/>
    <m/>
    <s v="-"/>
    <x v="1363"/>
    <s v="Manual"/>
    <m/>
  </r>
  <r>
    <x v="30"/>
    <d v="2021-07-13T00:00:00"/>
    <s v="Discover More Card"/>
    <x v="1450"/>
    <n v="24.28"/>
    <x v="26"/>
    <m/>
    <m/>
    <m/>
    <n v="24.28"/>
    <b v="0"/>
    <m/>
    <m/>
    <s v="-"/>
    <x v="1363"/>
    <s v="Manual"/>
    <m/>
  </r>
  <r>
    <x v="30"/>
    <d v="2021-07-14T00:00:00"/>
    <s v="Cash Rewards Visa Signature"/>
    <x v="0"/>
    <n v="21.45"/>
    <x v="0"/>
    <m/>
    <m/>
    <m/>
    <n v="21.45"/>
    <b v="0"/>
    <m/>
    <m/>
    <s v="-"/>
    <x v="0"/>
    <s v="Create Rule; and Description='Amazon';Amazon"/>
    <m/>
  </r>
  <r>
    <x v="30"/>
    <d v="2021-07-14T00:00:00"/>
    <s v="POWERPLUS"/>
    <x v="48"/>
    <n v="167.95"/>
    <x v="16"/>
    <m/>
    <m/>
    <m/>
    <n v="167.95"/>
    <b v="0"/>
    <m/>
    <m/>
    <s v="-"/>
    <x v="48"/>
    <s v="Create Rule; and Description='American Family Insurance';Insurance"/>
    <m/>
  </r>
  <r>
    <x v="30"/>
    <d v="2021-07-14T00:00:00"/>
    <s v="POWERPLUS"/>
    <x v="1348"/>
    <n v="33.200000000000003"/>
    <x v="11"/>
    <m/>
    <m/>
    <m/>
    <n v="33.200000000000003"/>
    <b v="0"/>
    <m/>
    <m/>
    <s v="-"/>
    <x v="1273"/>
    <s v="Create Rule; and Description='CenterPoint Energy';Utilities"/>
    <m/>
  </r>
  <r>
    <x v="30"/>
    <d v="2021-07-14T00:00:00"/>
    <s v="Cash Rewards Visa Signature"/>
    <x v="67"/>
    <n v="45"/>
    <x v="11"/>
    <m/>
    <m/>
    <m/>
    <n v="45"/>
    <b v="0"/>
    <m/>
    <m/>
    <s v="-"/>
    <x v="67"/>
    <s v="Create Rule; and Description='CenturyLink';Utilities"/>
    <m/>
  </r>
  <r>
    <x v="30"/>
    <d v="2021-07-14T00:00:00"/>
    <s v="Cash Rewards Visa Signature"/>
    <x v="823"/>
    <n v="24.49"/>
    <x v="2"/>
    <m/>
    <m/>
    <m/>
    <n v="24.49"/>
    <b v="0"/>
    <m/>
    <m/>
    <s v="-"/>
    <x v="792"/>
    <s v="Create Rule; and Description='Kwik Trip';Transportation"/>
    <m/>
  </r>
  <r>
    <x v="30"/>
    <d v="2021-07-14T00:00:00"/>
    <s v="POWERPLUS"/>
    <x v="1321"/>
    <n v="953.8"/>
    <x v="26"/>
    <m/>
    <m/>
    <m/>
    <n v="953.8"/>
    <b v="0"/>
    <m/>
    <m/>
    <s v="-"/>
    <x v="1249"/>
    <s v="Create Rule; and Description Like '%MHCHILDCARELLC%';Day Care"/>
    <m/>
  </r>
  <r>
    <x v="30"/>
    <d v="2021-07-14T00:00:00"/>
    <s v="POWERPLUS"/>
    <x v="1451"/>
    <n v="-333"/>
    <x v="26"/>
    <m/>
    <m/>
    <m/>
    <n v="333"/>
    <b v="0"/>
    <m/>
    <m/>
    <s v="+"/>
    <x v="1364"/>
    <s v="Manual"/>
    <m/>
  </r>
  <r>
    <x v="30"/>
    <d v="2021-07-15T00:00:00"/>
    <s v="Cash Rewards Visa Signature"/>
    <x v="104"/>
    <n v="71.7"/>
    <x v="26"/>
    <m/>
    <m/>
    <m/>
    <n v="71.7"/>
    <b v="0"/>
    <m/>
    <m/>
    <s v="-"/>
    <x v="104"/>
    <s v="Manual"/>
    <m/>
  </r>
  <r>
    <x v="30"/>
    <d v="2021-07-15T00:00:00"/>
    <s v="Brokerage"/>
    <x v="950"/>
    <n v="-250"/>
    <x v="26"/>
    <m/>
    <m/>
    <m/>
    <n v="250"/>
    <b v="0"/>
    <m/>
    <m/>
    <s v="+"/>
    <x v="913"/>
    <s v="Create Rule; and Description Like '%CONNECTED ANALYT%';Inc - Jeff"/>
    <m/>
  </r>
  <r>
    <x v="30"/>
    <d v="2021-07-15T00:00:00"/>
    <s v="Joint Tenant"/>
    <x v="950"/>
    <n v="-250"/>
    <x v="26"/>
    <m/>
    <m/>
    <m/>
    <n v="250"/>
    <b v="0"/>
    <m/>
    <m/>
    <s v="+"/>
    <x v="913"/>
    <s v="Create Rule; and Description Like '%CONNECTED ANALYT%';Inc - Jeff"/>
    <m/>
  </r>
  <r>
    <x v="30"/>
    <d v="2021-07-15T00:00:00"/>
    <s v="POWERPLUS"/>
    <x v="1452"/>
    <n v="2000"/>
    <x v="26"/>
    <m/>
    <m/>
    <m/>
    <n v="2000"/>
    <b v="0"/>
    <m/>
    <m/>
    <s v="-"/>
    <x v="1365"/>
    <s v="Manual"/>
    <m/>
  </r>
  <r>
    <x v="30"/>
    <d v="2021-07-15T00:00:00"/>
    <s v="Cash Rewards Visa Signature"/>
    <x v="1453"/>
    <n v="131.29"/>
    <x v="26"/>
    <m/>
    <m/>
    <m/>
    <n v="131.29"/>
    <b v="0"/>
    <m/>
    <m/>
    <s v="-"/>
    <x v="1366"/>
    <s v="Manual"/>
    <m/>
  </r>
  <r>
    <x v="30"/>
    <d v="2021-07-15T00:00:00"/>
    <s v="Cash Rewards Visa Signature"/>
    <x v="1454"/>
    <n v="46.45"/>
    <x v="26"/>
    <m/>
    <m/>
    <m/>
    <n v="46.45"/>
    <b v="0"/>
    <m/>
    <m/>
    <s v="-"/>
    <x v="1367"/>
    <s v="Manual"/>
    <m/>
  </r>
  <r>
    <x v="30"/>
    <d v="2021-07-15T00:00:00"/>
    <s v="Cash Rewards Visa Signature"/>
    <x v="1455"/>
    <n v="25.73"/>
    <x v="26"/>
    <m/>
    <m/>
    <m/>
    <n v="25.73"/>
    <b v="0"/>
    <m/>
    <m/>
    <s v="-"/>
    <x v="1368"/>
    <s v="Manual"/>
    <m/>
  </r>
  <r>
    <x v="30"/>
    <d v="2021-07-15T00:00:00"/>
    <s v="Jeff IRA"/>
    <x v="951"/>
    <n v="-250"/>
    <x v="26"/>
    <m/>
    <m/>
    <m/>
    <n v="250"/>
    <b v="0"/>
    <m/>
    <m/>
    <s v="+"/>
    <x v="914"/>
    <s v="Create Rule; and Description Like '%CONNECTED ANALYT%';Inc - Jeff"/>
    <m/>
  </r>
  <r>
    <x v="30"/>
    <d v="2021-07-15T00:00:00"/>
    <s v="Cash Rewards Visa Signature"/>
    <x v="1456"/>
    <n v="35"/>
    <x v="26"/>
    <m/>
    <m/>
    <m/>
    <n v="35"/>
    <b v="0"/>
    <m/>
    <m/>
    <s v="-"/>
    <x v="1369"/>
    <s v="Manual"/>
    <m/>
  </r>
  <r>
    <x v="30"/>
    <d v="2021-07-16T00:00:00"/>
    <s v="Contributory"/>
    <x v="1457"/>
    <n v="-0.09"/>
    <x v="26"/>
    <m/>
    <m/>
    <m/>
    <n v="0.09"/>
    <b v="0"/>
    <m/>
    <m/>
    <s v="+"/>
    <x v="1370"/>
    <s v="Manual"/>
    <m/>
  </r>
  <r>
    <x v="30"/>
    <d v="2021-07-16T00:00:00"/>
    <s v="Cooper"/>
    <x v="1457"/>
    <n v="-0.01"/>
    <x v="26"/>
    <m/>
    <m/>
    <m/>
    <n v="0.01"/>
    <b v="0"/>
    <m/>
    <m/>
    <s v="+"/>
    <x v="1370"/>
    <s v="Manual"/>
    <m/>
  </r>
  <r>
    <x v="30"/>
    <d v="2021-07-16T00:00:00"/>
    <s v="Jeff IRA"/>
    <x v="1457"/>
    <n v="-0.03"/>
    <x v="26"/>
    <m/>
    <m/>
    <m/>
    <n v="0.03"/>
    <b v="0"/>
    <m/>
    <m/>
    <s v="+"/>
    <x v="1370"/>
    <s v="Manual"/>
    <m/>
  </r>
  <r>
    <x v="30"/>
    <d v="2021-07-16T00:00:00"/>
    <s v="Cash Rewards Visa Signature"/>
    <x v="1458"/>
    <n v="41.65"/>
    <x v="26"/>
    <m/>
    <m/>
    <m/>
    <n v="41.65"/>
    <b v="0"/>
    <m/>
    <m/>
    <s v="-"/>
    <x v="1371"/>
    <s v="Manual"/>
    <m/>
  </r>
  <r>
    <x v="30"/>
    <d v="2021-07-16T00:00:00"/>
    <s v="Cash Rewards Visa Signature"/>
    <x v="1458"/>
    <n v="95.85"/>
    <x v="26"/>
    <m/>
    <m/>
    <m/>
    <n v="95.85"/>
    <b v="0"/>
    <m/>
    <m/>
    <s v="-"/>
    <x v="1371"/>
    <s v="Manual"/>
    <m/>
  </r>
  <r>
    <x v="30"/>
    <d v="2021-07-16T00:00:00"/>
    <s v="Cash Rewards Visa Signature"/>
    <x v="1459"/>
    <n v="196.99"/>
    <x v="26"/>
    <m/>
    <m/>
    <m/>
    <n v="196.99"/>
    <b v="0"/>
    <m/>
    <m/>
    <s v="-"/>
    <x v="1372"/>
    <s v="Manual"/>
    <m/>
  </r>
  <r>
    <x v="30"/>
    <d v="2021-07-16T00:00:00"/>
    <s v="Cash Rewards Visa Signature"/>
    <x v="1460"/>
    <n v="10.41"/>
    <x v="26"/>
    <m/>
    <m/>
    <m/>
    <n v="10.41"/>
    <b v="0"/>
    <m/>
    <m/>
    <s v="-"/>
    <x v="1373"/>
    <s v="Manual"/>
    <m/>
  </r>
  <r>
    <x v="30"/>
    <d v="2021-07-16T00:00:00"/>
    <s v="POWERPLUS"/>
    <x v="157"/>
    <n v="15.11"/>
    <x v="8"/>
    <m/>
    <m/>
    <m/>
    <n v="15.11"/>
    <b v="0"/>
    <m/>
    <m/>
    <s v="-"/>
    <x v="156"/>
    <s v="Create Rule; and Description Like '%PayPal%';Shopping"/>
    <m/>
  </r>
  <r>
    <x v="30"/>
    <d v="2021-07-16T00:00:00"/>
    <s v="Cash Rewards Visa Signature"/>
    <x v="1461"/>
    <n v="22.61"/>
    <x v="26"/>
    <m/>
    <m/>
    <m/>
    <n v="22.61"/>
    <b v="0"/>
    <m/>
    <m/>
    <s v="-"/>
    <x v="1374"/>
    <s v="Manual"/>
    <m/>
  </r>
  <r>
    <x v="30"/>
    <d v="2021-07-16T00:00:00"/>
    <s v="Cash Rewards Visa Signature"/>
    <x v="579"/>
    <n v="15"/>
    <x v="1"/>
    <m/>
    <m/>
    <m/>
    <n v="15"/>
    <b v="0"/>
    <m/>
    <m/>
    <s v="-"/>
    <x v="560"/>
    <s v="Create Rule; and Description='Starbucks';Restaurants"/>
    <m/>
  </r>
  <r>
    <x v="30"/>
    <d v="2021-07-19T00:00:00"/>
    <s v="POWERPLUS"/>
    <x v="1462"/>
    <n v="200"/>
    <x v="26"/>
    <m/>
    <m/>
    <m/>
    <n v="200"/>
    <b v="0"/>
    <m/>
    <m/>
    <s v="-"/>
    <x v="1245"/>
    <s v="Create Rule; and Description Like '%MN DIR ACH%';College Savings"/>
    <m/>
  </r>
  <r>
    <x v="30"/>
    <d v="2021-07-20T00:00:00"/>
    <s v="POWERPLUS"/>
    <x v="1065"/>
    <n v="-40.58"/>
    <x v="3"/>
    <m/>
    <m/>
    <m/>
    <n v="40.58"/>
    <b v="0"/>
    <m/>
    <m/>
    <s v="+"/>
    <x v="1015"/>
    <s v="Manual"/>
    <m/>
  </r>
  <r>
    <x v="30"/>
    <d v="2021-07-20T00:00:00"/>
    <s v="Cash Rewards Visa Signature"/>
    <x v="1463"/>
    <n v="20.100000000000001"/>
    <x v="26"/>
    <m/>
    <m/>
    <m/>
    <n v="20.100000000000001"/>
    <b v="0"/>
    <m/>
    <m/>
    <s v="-"/>
    <x v="1375"/>
    <s v="Manual"/>
    <m/>
  </r>
  <r>
    <x v="30"/>
    <d v="2021-07-20T00:00:00"/>
    <s v="Cash Rewards Visa Signature"/>
    <x v="1464"/>
    <n v="32.840000000000003"/>
    <x v="26"/>
    <m/>
    <m/>
    <m/>
    <n v="32.840000000000003"/>
    <b v="0"/>
    <m/>
    <m/>
    <s v="-"/>
    <x v="1376"/>
    <s v="Manual"/>
    <m/>
  </r>
  <r>
    <x v="30"/>
    <d v="2021-07-21T00:00:00"/>
    <s v="POWERPLUS"/>
    <x v="1465"/>
    <n v="249"/>
    <x v="26"/>
    <m/>
    <m/>
    <m/>
    <n v="249"/>
    <b v="0"/>
    <m/>
    <m/>
    <s v="-"/>
    <x v="1377"/>
    <s v="Manual"/>
    <m/>
  </r>
  <r>
    <x v="30"/>
    <d v="2021-07-21T00:00:00"/>
    <s v="Cash Rewards Visa Signature"/>
    <x v="1466"/>
    <n v="35.479999999999997"/>
    <x v="26"/>
    <m/>
    <m/>
    <m/>
    <n v="35.479999999999997"/>
    <b v="0"/>
    <m/>
    <m/>
    <s v="-"/>
    <x v="1378"/>
    <s v="Manual"/>
    <m/>
  </r>
  <r>
    <x v="30"/>
    <d v="2021-07-21T00:00:00"/>
    <s v="Cash Rewards Visa Signature"/>
    <x v="1282"/>
    <n v="9"/>
    <x v="26"/>
    <m/>
    <m/>
    <m/>
    <n v="9"/>
    <b v="0"/>
    <m/>
    <m/>
    <s v="-"/>
    <x v="1215"/>
    <s v="Create Rule; and Description Like '%BONFES%';House Maintenance"/>
    <m/>
  </r>
  <r>
    <x v="30"/>
    <d v="2021-07-21T00:00:00"/>
    <s v="POWERPLUS"/>
    <x v="84"/>
    <n v="127.22"/>
    <x v="26"/>
    <m/>
    <m/>
    <m/>
    <n v="127.22"/>
    <b v="0"/>
    <m/>
    <m/>
    <s v="-"/>
    <x v="84"/>
    <s v="Create Rule; and Description='City of Chanhassen';Utilities"/>
    <m/>
  </r>
  <r>
    <x v="30"/>
    <d v="2021-07-21T00:00:00"/>
    <s v="POWERPLUS"/>
    <x v="176"/>
    <n v="2"/>
    <x v="26"/>
    <m/>
    <m/>
    <m/>
    <n v="2"/>
    <b v="0"/>
    <m/>
    <m/>
    <s v="-"/>
    <x v="175"/>
    <s v="Create Rule; and Description='Delta';Travel"/>
    <m/>
  </r>
  <r>
    <x v="30"/>
    <d v="2021-07-21T00:00:00"/>
    <s v="Cash Rewards Visa Signature"/>
    <x v="1467"/>
    <n v="68.87"/>
    <x v="26"/>
    <m/>
    <m/>
    <m/>
    <n v="68.87"/>
    <b v="0"/>
    <m/>
    <m/>
    <s v="-"/>
    <x v="1379"/>
    <s v="Create Rule; and Description Like '%DOORDASH%';Shopping"/>
    <m/>
  </r>
  <r>
    <x v="30"/>
    <d v="2021-07-21T00:00:00"/>
    <s v="Cash Rewards Visa Signature"/>
    <x v="1468"/>
    <n v="49.81"/>
    <x v="26"/>
    <m/>
    <m/>
    <m/>
    <n v="49.81"/>
    <b v="0"/>
    <m/>
    <m/>
    <s v="-"/>
    <x v="1380"/>
    <s v="Manual"/>
    <m/>
  </r>
  <r>
    <x v="30"/>
    <d v="2021-07-21T00:00:00"/>
    <s v="Brokerage"/>
    <x v="19"/>
    <n v="200"/>
    <x v="26"/>
    <m/>
    <m/>
    <m/>
    <n v="200"/>
    <b v="0"/>
    <m/>
    <m/>
    <s v="-"/>
    <x v="19"/>
    <s v="Delete; and Description='SCHWAB S&amp;P 500 INDEX FD' and inflowoutflow='-';0"/>
    <m/>
  </r>
  <r>
    <x v="30"/>
    <d v="2021-07-21T00:00:00"/>
    <s v="Joint Tenant"/>
    <x v="19"/>
    <n v="200"/>
    <x v="26"/>
    <m/>
    <m/>
    <m/>
    <n v="200"/>
    <b v="0"/>
    <m/>
    <m/>
    <s v="-"/>
    <x v="19"/>
    <s v="Delete; and Description='SCHWAB S&amp;P 500 INDEX FD' and inflowoutflow='-';0"/>
    <m/>
  </r>
  <r>
    <x v="30"/>
    <d v="2021-07-21T00:00:00"/>
    <s v="Brokerage"/>
    <x v="20"/>
    <n v="200"/>
    <x v="26"/>
    <m/>
    <m/>
    <m/>
    <n v="200"/>
    <b v="0"/>
    <m/>
    <m/>
    <s v="-"/>
    <x v="20"/>
    <s v="Delete; and Description='SCHWAB TOTAL STOCK MKT INDEX' and inflowoutflow='-';0"/>
    <m/>
  </r>
  <r>
    <x v="30"/>
    <d v="2021-07-21T00:00:00"/>
    <s v="Joint Tenant"/>
    <x v="20"/>
    <n v="200"/>
    <x v="26"/>
    <m/>
    <m/>
    <m/>
    <n v="200"/>
    <b v="0"/>
    <m/>
    <m/>
    <s v="-"/>
    <x v="20"/>
    <s v="Delete; and Description='SCHWAB TOTAL STOCK MKT INDEX' and inflowoutflow='-';0"/>
    <m/>
  </r>
  <r>
    <x v="30"/>
    <d v="2021-07-21T00:00:00"/>
    <s v="Cash Rewards Visa Signature"/>
    <x v="1469"/>
    <n v="17.43"/>
    <x v="26"/>
    <m/>
    <m/>
    <m/>
    <n v="17.43"/>
    <b v="0"/>
    <m/>
    <m/>
    <s v="-"/>
    <x v="1381"/>
    <s v="Manual"/>
    <m/>
  </r>
  <r>
    <x v="30"/>
    <d v="2021-07-21T00:00:00"/>
    <s v="Cash Rewards Visa Signature"/>
    <x v="1470"/>
    <n v="35"/>
    <x v="26"/>
    <m/>
    <m/>
    <m/>
    <n v="35"/>
    <b v="0"/>
    <m/>
    <m/>
    <s v="-"/>
    <x v="1382"/>
    <s v="Manual"/>
    <m/>
  </r>
  <r>
    <x v="30"/>
    <d v="2021-07-22T00:00:00"/>
    <s v="Cash Rewards Visa Signature"/>
    <x v="0"/>
    <n v="26.82"/>
    <x v="0"/>
    <m/>
    <m/>
    <m/>
    <n v="26.82"/>
    <b v="0"/>
    <m/>
    <m/>
    <s v="-"/>
    <x v="0"/>
    <s v="Create Rule; and Description='Amazon';Amazon"/>
    <m/>
  </r>
  <r>
    <x v="30"/>
    <d v="2021-07-22T00:00:00"/>
    <s v="Cash Rewards Visa Signature"/>
    <x v="139"/>
    <n v="150.49"/>
    <x v="24"/>
    <m/>
    <m/>
    <m/>
    <n v="150.49"/>
    <b v="0"/>
    <m/>
    <m/>
    <s v="-"/>
    <x v="138"/>
    <s v="Create Rule; and Description='Best Western';Travel"/>
    <m/>
  </r>
  <r>
    <x v="30"/>
    <d v="2021-07-22T00:00:00"/>
    <s v="POWERPLUS"/>
    <x v="1471"/>
    <n v="-2168.14"/>
    <x v="26"/>
    <m/>
    <m/>
    <m/>
    <n v="2168.14"/>
    <b v="0"/>
    <m/>
    <m/>
    <s v="+"/>
    <x v="1256"/>
    <s v="Create Rule; and Description Like '%Cargill Inc Deposit CARGILL INCORPOR TYPE DIRECT DEP ID CO CARGILL INCORPOR ACH%';Inc - Britney"/>
    <m/>
  </r>
  <r>
    <x v="30"/>
    <d v="2021-07-22T00:00:00"/>
    <s v="POWERPLUS"/>
    <x v="1321"/>
    <n v="528.79999999999995"/>
    <x v="26"/>
    <m/>
    <m/>
    <m/>
    <n v="528.79999999999995"/>
    <b v="0"/>
    <m/>
    <m/>
    <s v="-"/>
    <x v="1249"/>
    <s v="Create Rule; and Description Like '%MHCHILDCARELLC%';Day Care"/>
    <m/>
  </r>
  <r>
    <x v="30"/>
    <d v="2021-07-22T00:00:00"/>
    <s v="Cash Rewards Visa Signature"/>
    <x v="1472"/>
    <n v="17.899999999999999"/>
    <x v="26"/>
    <m/>
    <m/>
    <m/>
    <n v="17.899999999999999"/>
    <b v="0"/>
    <m/>
    <m/>
    <s v="-"/>
    <x v="1383"/>
    <s v="Create Rule; and Description Like '%RED COW%';Restaurants"/>
    <m/>
  </r>
  <r>
    <x v="30"/>
    <d v="2021-07-23T00:00:00"/>
    <s v="Brokerage"/>
    <x v="1299"/>
    <n v="-200"/>
    <x v="26"/>
    <m/>
    <m/>
    <m/>
    <n v="200"/>
    <b v="0"/>
    <m/>
    <m/>
    <s v="+"/>
    <x v="1230"/>
    <s v="Manual"/>
    <m/>
  </r>
  <r>
    <x v="30"/>
    <d v="2021-07-23T00:00:00"/>
    <s v="Joint Tenant"/>
    <x v="1299"/>
    <n v="-200"/>
    <x v="26"/>
    <m/>
    <m/>
    <m/>
    <n v="200"/>
    <b v="0"/>
    <m/>
    <m/>
    <s v="+"/>
    <x v="1230"/>
    <s v="Delete; and Source='Joint Tenant';0"/>
    <m/>
  </r>
  <r>
    <x v="30"/>
    <d v="2021-07-23T00:00:00"/>
    <s v="RAINY DAY"/>
    <x v="515"/>
    <n v="-200"/>
    <x v="26"/>
    <m/>
    <m/>
    <m/>
    <n v="200"/>
    <b v="0"/>
    <m/>
    <m/>
    <s v="+"/>
    <x v="496"/>
    <s v="Create Rule; and Description='Share';Delete"/>
    <m/>
  </r>
  <r>
    <x v="30"/>
    <d v="2021-07-23T00:00:00"/>
    <s v="Cash Rewards Visa Signature"/>
    <x v="1473"/>
    <n v="119.9"/>
    <x v="26"/>
    <m/>
    <m/>
    <m/>
    <n v="119.9"/>
    <b v="0"/>
    <m/>
    <m/>
    <s v="-"/>
    <x v="1384"/>
    <s v="Manual"/>
    <m/>
  </r>
  <r>
    <x v="30"/>
    <d v="2021-07-23T00:00:00"/>
    <s v="CARGILL PARTNERSHIP PLAN"/>
    <x v="235"/>
    <n v="-784.4"/>
    <x v="26"/>
    <m/>
    <m/>
    <m/>
    <n v="784.4"/>
    <b v="0"/>
    <m/>
    <m/>
    <s v="+"/>
    <x v="233"/>
    <s v="Create Rule; and Description='Target Retire 2055 Tr P - Plan Contribution';401K"/>
    <m/>
  </r>
  <r>
    <x v="30"/>
    <d v="2021-07-23T00:00:00"/>
    <s v="Contributory"/>
    <x v="1300"/>
    <n v="-231"/>
    <x v="26"/>
    <m/>
    <m/>
    <m/>
    <n v="231"/>
    <b v="0"/>
    <m/>
    <m/>
    <s v="+"/>
    <x v="1231"/>
    <s v="Manual"/>
    <m/>
  </r>
  <r>
    <x v="30"/>
    <d v="2021-07-23T00:00:00"/>
    <s v="POWERPLUS"/>
    <x v="952"/>
    <n v="200"/>
    <x v="26"/>
    <m/>
    <m/>
    <m/>
    <n v="200"/>
    <b v="0"/>
    <m/>
    <m/>
    <s v="-"/>
    <x v="915"/>
    <s v="Create Rule; and Description='To Share 12';Delete"/>
    <m/>
  </r>
  <r>
    <x v="30"/>
    <d v="2021-07-25T00:00:00"/>
    <s v="Cash Rewards Visa Signature"/>
    <x v="1474"/>
    <n v="6"/>
    <x v="26"/>
    <m/>
    <m/>
    <m/>
    <n v="6"/>
    <b v="0"/>
    <m/>
    <m/>
    <s v="-"/>
    <x v="1385"/>
    <s v="Manual"/>
    <m/>
  </r>
  <r>
    <x v="30"/>
    <d v="2021-07-25T00:00:00"/>
    <s v="Cash Rewards Visa Signature"/>
    <x v="1475"/>
    <n v="9.61"/>
    <x v="26"/>
    <m/>
    <m/>
    <m/>
    <n v="9.61"/>
    <b v="0"/>
    <m/>
    <m/>
    <s v="-"/>
    <x v="1386"/>
    <s v="Manual"/>
    <m/>
  </r>
  <r>
    <x v="30"/>
    <d v="2021-07-25T00:00:00"/>
    <s v="Cash Rewards Visa Signature"/>
    <x v="969"/>
    <n v="10.5"/>
    <x v="26"/>
    <m/>
    <m/>
    <m/>
    <n v="10.5"/>
    <b v="0"/>
    <m/>
    <m/>
    <s v="-"/>
    <x v="931"/>
    <s v="Manual"/>
    <m/>
  </r>
  <r>
    <x v="30"/>
    <d v="2021-07-25T00:00:00"/>
    <s v="Cash Rewards Visa Signature"/>
    <x v="705"/>
    <n v="99.2"/>
    <x v="26"/>
    <m/>
    <m/>
    <m/>
    <n v="99.2"/>
    <b v="0"/>
    <m/>
    <m/>
    <s v="-"/>
    <x v="681"/>
    <s v="Manual"/>
    <m/>
  </r>
  <r>
    <x v="30"/>
    <d v="2021-07-25T00:00:00"/>
    <s v="Cash Rewards Visa Signature"/>
    <x v="382"/>
    <n v="5.85"/>
    <x v="28"/>
    <m/>
    <m/>
    <m/>
    <n v="5.85"/>
    <b v="0"/>
    <m/>
    <m/>
    <s v="-"/>
    <x v="369"/>
    <s v="Manual"/>
    <m/>
  </r>
  <r>
    <x v="30"/>
    <d v="2021-07-26T00:00:00"/>
    <s v="POWERPLUS"/>
    <x v="1476"/>
    <n v="81.099999999999994"/>
    <x v="26"/>
    <m/>
    <m/>
    <m/>
    <n v="81.099999999999994"/>
    <b v="0"/>
    <m/>
    <m/>
    <s v="-"/>
    <x v="1387"/>
    <s v="Manual"/>
    <m/>
  </r>
  <r>
    <x v="30"/>
    <d v="2021-07-26T00:00:00"/>
    <s v="POWERPLUS"/>
    <x v="1320"/>
    <n v="-17.170000000000002"/>
    <x v="26"/>
    <m/>
    <m/>
    <m/>
    <n v="17.170000000000002"/>
    <b v="0"/>
    <m/>
    <m/>
    <s v="+"/>
    <x v="1248"/>
    <s v="Manual"/>
    <m/>
  </r>
  <r>
    <x v="30"/>
    <d v="2021-07-26T00:00:00"/>
    <s v="POWERPLUS"/>
    <x v="1477"/>
    <n v="8.34"/>
    <x v="26"/>
    <m/>
    <m/>
    <m/>
    <n v="8.34"/>
    <b v="0"/>
    <m/>
    <m/>
    <s v="-"/>
    <x v="1388"/>
    <s v="Manual"/>
    <m/>
  </r>
  <r>
    <x v="30"/>
    <d v="2021-07-26T00:00:00"/>
    <s v="Discover"/>
    <x v="99"/>
    <n v="8.99"/>
    <x v="11"/>
    <m/>
    <m/>
    <m/>
    <n v="8.99"/>
    <b v="0"/>
    <m/>
    <m/>
    <s v="-"/>
    <x v="99"/>
    <s v="Create Rule; and Description='Netflix';Utilities"/>
    <m/>
  </r>
  <r>
    <x v="30"/>
    <d v="2021-07-26T00:00:00"/>
    <s v="Discover More Card"/>
    <x v="99"/>
    <n v="8.99"/>
    <x v="11"/>
    <m/>
    <m/>
    <m/>
    <n v="8.99"/>
    <b v="0"/>
    <m/>
    <m/>
    <s v="-"/>
    <x v="99"/>
    <s v="Create Rule; and Description='Netflix';Utilities"/>
    <m/>
  </r>
  <r>
    <x v="30"/>
    <d v="2021-07-26T00:00:00"/>
    <s v="Cash Rewards Visa Signature"/>
    <x v="487"/>
    <n v="-249"/>
    <x v="8"/>
    <m/>
    <m/>
    <m/>
    <n v="249"/>
    <b v="0"/>
    <m/>
    <m/>
    <s v="+"/>
    <x v="470"/>
    <s v="Create Rule; and Description='Patagonia';Shopping"/>
    <m/>
  </r>
  <r>
    <x v="30"/>
    <d v="2021-07-26T00:00:00"/>
    <s v="Cash Rewards Visa Signature"/>
    <x v="487"/>
    <n v="-258"/>
    <x v="8"/>
    <m/>
    <m/>
    <m/>
    <n v="258"/>
    <b v="0"/>
    <m/>
    <m/>
    <s v="+"/>
    <x v="470"/>
    <s v="Create Rule; and Description='Patagonia';Shopping"/>
    <m/>
  </r>
  <r>
    <x v="30"/>
    <d v="2021-07-26T00:00:00"/>
    <s v="Cash Rewards Visa Signature"/>
    <x v="2"/>
    <n v="12.9"/>
    <x v="2"/>
    <m/>
    <m/>
    <m/>
    <n v="12.9"/>
    <b v="0"/>
    <m/>
    <m/>
    <s v="-"/>
    <x v="2"/>
    <s v="Create Rule; and Description='Speedway';Transportation"/>
    <m/>
  </r>
  <r>
    <x v="30"/>
    <d v="2021-07-26T00:00:00"/>
    <s v="Cash Rewards Visa Signature"/>
    <x v="2"/>
    <n v="32.299999999999997"/>
    <x v="2"/>
    <m/>
    <m/>
    <m/>
    <n v="32.299999999999997"/>
    <b v="0"/>
    <m/>
    <m/>
    <s v="-"/>
    <x v="2"/>
    <s v="Create Rule; and Description='Speedway';Transportation"/>
    <m/>
  </r>
  <r>
    <x v="30"/>
    <d v="2021-07-26T00:00:00"/>
    <s v="POWERPLUS"/>
    <x v="34"/>
    <n v="705.38"/>
    <x v="12"/>
    <m/>
    <m/>
    <m/>
    <n v="705.38"/>
    <b v="0"/>
    <m/>
    <m/>
    <s v="-"/>
    <x v="34"/>
    <s v="Create Rule; and Description='Target';Target"/>
    <m/>
  </r>
  <r>
    <x v="30"/>
    <d v="2021-07-27T00:00:00"/>
    <s v="Cash Rewards Visa Signature"/>
    <x v="1318"/>
    <n v="-2793.57"/>
    <x v="26"/>
    <m/>
    <m/>
    <m/>
    <n v="2793.57"/>
    <b v="0"/>
    <m/>
    <m/>
    <s v="+"/>
    <x v="1246"/>
    <s v="Manual"/>
    <m/>
  </r>
  <r>
    <x v="30"/>
    <d v="2021-07-27T00:00:00"/>
    <s v="POWERPLUS"/>
    <x v="1319"/>
    <n v="2793.57"/>
    <x v="26"/>
    <m/>
    <m/>
    <m/>
    <n v="2793.57"/>
    <b v="0"/>
    <m/>
    <m/>
    <s v="-"/>
    <x v="1247"/>
    <s v="Manual"/>
    <m/>
  </r>
  <r>
    <x v="30"/>
    <d v="2021-07-27T00:00:00"/>
    <s v="Cash Rewards Visa Signature"/>
    <x v="0"/>
    <n v="13.95"/>
    <x v="0"/>
    <m/>
    <m/>
    <m/>
    <n v="13.95"/>
    <b v="0"/>
    <m/>
    <m/>
    <s v="-"/>
    <x v="0"/>
    <s v="Create Rule; and Description='Amazon';Amazon"/>
    <m/>
  </r>
  <r>
    <x v="30"/>
    <d v="2021-07-27T00:00:00"/>
    <s v="Cash Rewards Visa Signature"/>
    <x v="0"/>
    <n v="20.39"/>
    <x v="0"/>
    <m/>
    <m/>
    <m/>
    <n v="20.39"/>
    <b v="0"/>
    <m/>
    <m/>
    <s v="-"/>
    <x v="0"/>
    <s v="Create Rule; and Description='Amazon';Amazon"/>
    <m/>
  </r>
  <r>
    <x v="30"/>
    <d v="2021-07-27T00:00:00"/>
    <s v="Cash Rewards Visa Signature"/>
    <x v="0"/>
    <n v="27.03"/>
    <x v="0"/>
    <m/>
    <m/>
    <m/>
    <n v="27.03"/>
    <b v="0"/>
    <m/>
    <m/>
    <s v="-"/>
    <x v="0"/>
    <s v="Create Rule; and Description='Amazon';Amazon"/>
    <m/>
  </r>
  <r>
    <x v="30"/>
    <d v="2021-07-27T00:00:00"/>
    <s v="CARGILL PARTNERSHIP PLAN"/>
    <x v="566"/>
    <n v="-1464.23"/>
    <x v="26"/>
    <m/>
    <m/>
    <m/>
    <n v="1464.23"/>
    <b v="0"/>
    <m/>
    <m/>
    <s v="+"/>
    <x v="547"/>
    <s v="Manual"/>
    <m/>
  </r>
  <r>
    <x v="30"/>
    <d v="2021-07-27T00:00:00"/>
    <s v="Cash Rewards Visa Signature"/>
    <x v="1030"/>
    <n v="104.14"/>
    <x v="26"/>
    <m/>
    <m/>
    <m/>
    <n v="104.14"/>
    <b v="0"/>
    <m/>
    <m/>
    <s v="-"/>
    <x v="985"/>
    <s v="Create Rule; and Description Like '%Maynard%';Restaurants"/>
    <m/>
  </r>
  <r>
    <x v="30"/>
    <d v="2021-07-27T00:00:00"/>
    <s v="POWERPLUS"/>
    <x v="1321"/>
    <n v="528.79999999999995"/>
    <x v="26"/>
    <m/>
    <m/>
    <m/>
    <n v="528.79999999999995"/>
    <b v="0"/>
    <m/>
    <m/>
    <s v="-"/>
    <x v="1249"/>
    <s v="Create Rule; and Description Like '%MHCHILDCARELLC%';Day Care"/>
    <m/>
  </r>
  <r>
    <x v="30"/>
    <d v="2021-07-27T00:00:00"/>
    <s v="Cash Rewards Visa Signature"/>
    <x v="1478"/>
    <n v="13.76"/>
    <x v="26"/>
    <m/>
    <m/>
    <m/>
    <n v="13.76"/>
    <b v="0"/>
    <m/>
    <m/>
    <s v="-"/>
    <x v="1389"/>
    <s v="Manual"/>
    <m/>
  </r>
  <r>
    <x v="30"/>
    <d v="2021-07-27T00:00:00"/>
    <s v="Cash Rewards Visa Signature"/>
    <x v="1479"/>
    <n v="21.46"/>
    <x v="26"/>
    <m/>
    <m/>
    <m/>
    <n v="21.46"/>
    <b v="0"/>
    <m/>
    <m/>
    <s v="-"/>
    <x v="1390"/>
    <s v="Create Rule; and Description Like '%PRIME VIDEO%';Entertainment"/>
    <m/>
  </r>
  <r>
    <x v="30"/>
    <d v="2021-07-27T00:00:00"/>
    <s v="Cash Rewards Visa Signature"/>
    <x v="579"/>
    <n v="25"/>
    <x v="1"/>
    <m/>
    <m/>
    <m/>
    <n v="25"/>
    <b v="0"/>
    <m/>
    <m/>
    <s v="-"/>
    <x v="560"/>
    <s v="Create Rule; and Description='Starbucks';Restaurants"/>
    <m/>
  </r>
  <r>
    <x v="30"/>
    <d v="2021-07-27T00:00:00"/>
    <s v="Cash Rewards Visa Signature"/>
    <x v="1480"/>
    <n v="20.38"/>
    <x v="26"/>
    <m/>
    <m/>
    <m/>
    <n v="20.38"/>
    <b v="0"/>
    <m/>
    <m/>
    <s v="-"/>
    <x v="1391"/>
    <s v="Manual"/>
    <m/>
  </r>
  <r>
    <x v="30"/>
    <d v="2021-07-28T00:00:00"/>
    <s v="POWERPLUS"/>
    <x v="1481"/>
    <n v="203"/>
    <x v="26"/>
    <m/>
    <m/>
    <m/>
    <n v="203"/>
    <b v="0"/>
    <m/>
    <m/>
    <s v="-"/>
    <x v="1392"/>
    <s v="Manual"/>
    <m/>
  </r>
  <r>
    <x v="30"/>
    <d v="2021-07-28T00:00:00"/>
    <s v="POWERPLUS"/>
    <x v="1482"/>
    <n v="203"/>
    <x v="26"/>
    <m/>
    <m/>
    <m/>
    <n v="203"/>
    <b v="0"/>
    <m/>
    <m/>
    <s v="-"/>
    <x v="1393"/>
    <s v="Manual"/>
    <m/>
  </r>
  <r>
    <x v="30"/>
    <d v="2021-07-28T00:00:00"/>
    <s v="POWERPLUS"/>
    <x v="1483"/>
    <n v="203"/>
    <x v="26"/>
    <m/>
    <m/>
    <m/>
    <n v="203"/>
    <b v="0"/>
    <m/>
    <m/>
    <s v="-"/>
    <x v="1394"/>
    <s v="Manual"/>
    <m/>
  </r>
  <r>
    <x v="30"/>
    <d v="2021-07-28T00:00:00"/>
    <s v="Cash Rewards Visa Signature"/>
    <x v="0"/>
    <n v="37.86"/>
    <x v="0"/>
    <m/>
    <m/>
    <m/>
    <n v="37.86"/>
    <b v="0"/>
    <m/>
    <m/>
    <s v="-"/>
    <x v="0"/>
    <s v="Create Rule; and Description='Amazon';Amazon"/>
    <m/>
  </r>
  <r>
    <x v="30"/>
    <d v="2021-07-28T00:00:00"/>
    <s v="POWERPLUS"/>
    <x v="1484"/>
    <n v="-3102.96"/>
    <x v="26"/>
    <m/>
    <m/>
    <m/>
    <n v="3102.96"/>
    <b v="0"/>
    <m/>
    <m/>
    <s v="+"/>
    <x v="910"/>
    <s v="Create Rule; and Description Like '%CONNECTED ANALYT%';Inc - Jeff"/>
    <m/>
  </r>
  <r>
    <x v="30"/>
    <d v="2021-07-28T00:00:00"/>
    <s v="Cash Rewards Visa Signature"/>
    <x v="1485"/>
    <n v="333"/>
    <x v="26"/>
    <m/>
    <m/>
    <m/>
    <n v="333"/>
    <b v="0"/>
    <m/>
    <m/>
    <s v="-"/>
    <x v="1395"/>
    <s v="Manual"/>
    <m/>
  </r>
  <r>
    <x v="30"/>
    <d v="2021-07-29T00:00:00"/>
    <s v="POWERPLUS"/>
    <x v="35"/>
    <n v="-190"/>
    <x v="26"/>
    <m/>
    <m/>
    <m/>
    <n v="190"/>
    <b v="0"/>
    <m/>
    <m/>
    <s v="+"/>
    <x v="35"/>
    <s v="Create Rule; and Description='Cargill Incorpor Type';Inc - Other"/>
    <m/>
  </r>
  <r>
    <x v="30"/>
    <d v="2021-07-29T00:00:00"/>
    <s v="POWERPLUS"/>
    <x v="1486"/>
    <n v="-22630"/>
    <x v="26"/>
    <m/>
    <m/>
    <m/>
    <n v="22630"/>
    <b v="0"/>
    <m/>
    <m/>
    <s v="+"/>
    <x v="1227"/>
    <s v="Manual"/>
    <m/>
  </r>
  <r>
    <x v="30"/>
    <d v="2021-07-29T00:00:00"/>
    <s v="Cash Rewards Visa Signature"/>
    <x v="1487"/>
    <n v="4"/>
    <x v="3"/>
    <m/>
    <m/>
    <m/>
    <n v="4"/>
    <b v="0"/>
    <m/>
    <m/>
    <s v="-"/>
    <x v="1396"/>
    <s v="Manual"/>
    <m/>
  </r>
  <r>
    <x v="30"/>
    <d v="2021-07-29T00:00:00"/>
    <s v="Cash Rewards Visa Signature"/>
    <x v="1488"/>
    <n v="15.74"/>
    <x v="26"/>
    <m/>
    <m/>
    <m/>
    <n v="15.74"/>
    <b v="0"/>
    <m/>
    <m/>
    <s v="-"/>
    <x v="1397"/>
    <s v="Manual"/>
    <m/>
  </r>
  <r>
    <x v="30"/>
    <d v="2021-07-29T00:00:00"/>
    <s v="POWERPLUS"/>
    <x v="157"/>
    <n v="0.99"/>
    <x v="8"/>
    <m/>
    <m/>
    <m/>
    <n v="0.99"/>
    <b v="0"/>
    <m/>
    <m/>
    <s v="-"/>
    <x v="156"/>
    <s v="Create Rule; and Description Like '%PayPal%';Shopping"/>
    <m/>
  </r>
  <r>
    <x v="30"/>
    <d v="2021-07-30T00:00:00"/>
    <s v="Brokerage"/>
    <x v="1299"/>
    <n v="-200"/>
    <x v="26"/>
    <m/>
    <m/>
    <m/>
    <n v="200"/>
    <b v="0"/>
    <m/>
    <m/>
    <s v="+"/>
    <x v="1230"/>
    <s v="Manual"/>
    <m/>
  </r>
  <r>
    <x v="30"/>
    <d v="2021-07-30T00:00:00"/>
    <s v="Joint Tenant"/>
    <x v="1299"/>
    <n v="-200"/>
    <x v="26"/>
    <m/>
    <m/>
    <m/>
    <n v="200"/>
    <b v="0"/>
    <m/>
    <m/>
    <s v="+"/>
    <x v="1230"/>
    <s v="Delete; and Source='Joint Tenant';0"/>
    <m/>
  </r>
  <r>
    <x v="30"/>
    <d v="2021-07-30T00:00:00"/>
    <s v="Brokerage"/>
    <x v="950"/>
    <n v="-250"/>
    <x v="26"/>
    <m/>
    <m/>
    <m/>
    <n v="250"/>
    <b v="0"/>
    <m/>
    <m/>
    <s v="+"/>
    <x v="913"/>
    <s v="Create Rule; and Description Like '%CONNECTED ANALYT%';Inc - Jeff"/>
    <m/>
  </r>
  <r>
    <x v="30"/>
    <d v="2021-07-30T00:00:00"/>
    <s v="Joint Tenant"/>
    <x v="950"/>
    <n v="-250"/>
    <x v="26"/>
    <m/>
    <m/>
    <m/>
    <n v="250"/>
    <b v="0"/>
    <m/>
    <m/>
    <s v="+"/>
    <x v="913"/>
    <s v="Create Rule; and Description Like '%CONNECTED ANALYT%';Inc - Jeff"/>
    <m/>
  </r>
  <r>
    <x v="30"/>
    <d v="2021-07-30T00:00:00"/>
    <s v="Investor Checking"/>
    <x v="118"/>
    <n v="-0.03"/>
    <x v="26"/>
    <m/>
    <m/>
    <m/>
    <n v="0.03"/>
    <b v="0"/>
    <m/>
    <m/>
    <s v="+"/>
    <x v="118"/>
    <s v="Manual"/>
    <m/>
  </r>
  <r>
    <x v="30"/>
    <d v="2021-07-30T00:00:00"/>
    <s v="Brokerage"/>
    <x v="358"/>
    <n v="-25.52"/>
    <x v="26"/>
    <m/>
    <m/>
    <m/>
    <n v="25.52"/>
    <b v="0"/>
    <m/>
    <m/>
    <s v="+"/>
    <x v="349"/>
    <s v="Manual"/>
    <m/>
  </r>
  <r>
    <x v="30"/>
    <d v="2021-07-30T00:00:00"/>
    <s v="Joint Tenant"/>
    <x v="358"/>
    <n v="-25.52"/>
    <x v="26"/>
    <m/>
    <m/>
    <m/>
    <n v="25.52"/>
    <b v="0"/>
    <m/>
    <m/>
    <s v="+"/>
    <x v="349"/>
    <s v="Delete; and Source='Joint Tenant';0"/>
    <m/>
  </r>
  <r>
    <x v="30"/>
    <d v="2021-07-30T00:00:00"/>
    <s v="CARGILL EMPLOYEE RETIREMENT ACCOUNT"/>
    <x v="318"/>
    <n v="0.18"/>
    <x v="26"/>
    <m/>
    <m/>
    <m/>
    <n v="0.18"/>
    <b v="0"/>
    <m/>
    <m/>
    <s v="-"/>
    <x v="309"/>
    <s v="Manual"/>
    <m/>
  </r>
  <r>
    <x v="30"/>
    <d v="2021-07-30T00:00:00"/>
    <s v="CARGILL PARTNERSHIP PLAN"/>
    <x v="318"/>
    <n v="4.3099999999999996"/>
    <x v="26"/>
    <m/>
    <m/>
    <m/>
    <n v="4.3099999999999996"/>
    <b v="0"/>
    <m/>
    <m/>
    <s v="-"/>
    <x v="309"/>
    <s v="Manual"/>
    <m/>
  </r>
  <r>
    <x v="30"/>
    <d v="2021-07-30T00:00:00"/>
    <s v="CARGILL PARTNERSHIP PLAN"/>
    <x v="235"/>
    <n v="-6485.4"/>
    <x v="26"/>
    <m/>
    <m/>
    <m/>
    <n v="6485.4"/>
    <b v="0"/>
    <m/>
    <m/>
    <s v="+"/>
    <x v="233"/>
    <s v="Create Rule; and Description='Target Retire 2055 Tr P - Plan Contribution';401K"/>
    <m/>
  </r>
  <r>
    <x v="30"/>
    <d v="2021-07-30T00:00:00"/>
    <s v="Contributory"/>
    <x v="1300"/>
    <n v="-231"/>
    <x v="26"/>
    <m/>
    <m/>
    <m/>
    <n v="231"/>
    <b v="0"/>
    <m/>
    <m/>
    <s v="+"/>
    <x v="1231"/>
    <s v="Manual"/>
    <m/>
  </r>
  <r>
    <x v="30"/>
    <d v="2021-07-30T00:00:00"/>
    <s v="Jeff IRA"/>
    <x v="951"/>
    <n v="-250"/>
    <x v="26"/>
    <m/>
    <m/>
    <m/>
    <n v="250"/>
    <b v="0"/>
    <m/>
    <m/>
    <s v="+"/>
    <x v="914"/>
    <s v="Create Rule; and Description Like '%CONNECTED ANALYT%';Inc - Jeff"/>
    <m/>
  </r>
  <r>
    <x v="30"/>
    <d v="2021-07-31T00:00:00"/>
    <s v="POWERPLUS"/>
    <x v="1040"/>
    <n v="-9"/>
    <x v="26"/>
    <m/>
    <m/>
    <m/>
    <n v="9"/>
    <b v="0"/>
    <m/>
    <m/>
    <s v="+"/>
    <x v="994"/>
    <s v="Manual"/>
    <m/>
  </r>
  <r>
    <x v="30"/>
    <d v="2021-07-31T00:00:00"/>
    <s v="POWERPLUS"/>
    <x v="1489"/>
    <n v="-25.58"/>
    <x v="26"/>
    <m/>
    <m/>
    <m/>
    <n v="25.58"/>
    <b v="0"/>
    <m/>
    <m/>
    <s v="+"/>
    <x v="1398"/>
    <s v="Manual"/>
    <m/>
  </r>
  <r>
    <x v="30"/>
    <d v="2021-07-31T00:00:00"/>
    <s v="RAINY DAY"/>
    <x v="1490"/>
    <n v="-13.42"/>
    <x v="26"/>
    <m/>
    <m/>
    <m/>
    <n v="13.42"/>
    <b v="0"/>
    <m/>
    <m/>
    <s v="+"/>
    <x v="1399"/>
    <s v="Manual"/>
    <m/>
  </r>
  <r>
    <x v="30"/>
    <d v="2021-07-31T00:00:00"/>
    <s v="Cash Rewards Visa Signature"/>
    <x v="1491"/>
    <n v="63.97"/>
    <x v="26"/>
    <m/>
    <m/>
    <m/>
    <n v="63.97"/>
    <b v="0"/>
    <m/>
    <m/>
    <s v="-"/>
    <x v="1400"/>
    <s v="Manual"/>
    <m/>
  </r>
  <r>
    <x v="30"/>
    <d v="2021-07-31T00:00:00"/>
    <s v="Cash Rewards Visa Signature"/>
    <x v="1492"/>
    <n v="31.05"/>
    <x v="26"/>
    <m/>
    <m/>
    <m/>
    <n v="31.05"/>
    <b v="0"/>
    <m/>
    <m/>
    <s v="-"/>
    <x v="1401"/>
    <s v="Manual"/>
    <m/>
  </r>
  <r>
    <x v="31"/>
    <d v="2021-08-01T00:00:00"/>
    <s v="Discover"/>
    <x v="598"/>
    <n v="4.28"/>
    <x v="10"/>
    <m/>
    <m/>
    <m/>
    <n v="4.28"/>
    <b v="0"/>
    <m/>
    <m/>
    <s v="-"/>
    <x v="579"/>
    <s v="Create Rule; and Description='Amazon Music';Entertainment"/>
    <m/>
  </r>
  <r>
    <x v="31"/>
    <d v="2021-08-01T00:00:00"/>
    <s v="Discover More Card"/>
    <x v="598"/>
    <n v="4.28"/>
    <x v="10"/>
    <m/>
    <m/>
    <m/>
    <n v="4.28"/>
    <b v="0"/>
    <m/>
    <m/>
    <s v="-"/>
    <x v="579"/>
    <s v="Create Rule; and Description='Amazon Music';Entertainment"/>
    <m/>
  </r>
  <r>
    <x v="31"/>
    <d v="2021-08-01T00:00:00"/>
    <s v="HIGHLANDER"/>
    <x v="976"/>
    <n v="-586.57000000000005"/>
    <x v="26"/>
    <m/>
    <m/>
    <m/>
    <n v="586.57000000000005"/>
    <b v="0"/>
    <m/>
    <m/>
    <s v="+"/>
    <x v="936"/>
    <s v="Manual"/>
    <m/>
  </r>
  <r>
    <x v="31"/>
    <d v="2021-08-01T00:00:00"/>
    <s v="POWERPLUS"/>
    <x v="979"/>
    <n v="618.65"/>
    <x v="26"/>
    <m/>
    <m/>
    <m/>
    <n v="618.65"/>
    <b v="0"/>
    <m/>
    <m/>
    <s v="-"/>
    <x v="939"/>
    <s v="Create Rule; and Description Like '%To Loan 02%';Car Loan"/>
    <m/>
  </r>
  <r>
    <x v="31"/>
    <d v="2021-08-02T00:00:00"/>
    <s v="30 YR FIXED"/>
    <x v="935"/>
    <n v="-739.89"/>
    <x v="3"/>
    <m/>
    <m/>
    <m/>
    <n v="739.89"/>
    <b v="0"/>
    <m/>
    <m/>
    <s v="+"/>
    <x v="899"/>
    <s v="Manual"/>
    <m/>
  </r>
  <r>
    <x v="31"/>
    <d v="2021-08-02T00:00:00"/>
    <s v="Brokerage"/>
    <x v="125"/>
    <n v="-134.99"/>
    <x v="26"/>
    <m/>
    <m/>
    <m/>
    <n v="134.99"/>
    <b v="0"/>
    <m/>
    <m/>
    <s v="+"/>
    <x v="124"/>
    <s v="Manual"/>
    <m/>
  </r>
  <r>
    <x v="31"/>
    <d v="2021-08-02T00:00:00"/>
    <s v="Joint Tenant"/>
    <x v="125"/>
    <n v="-134.99"/>
    <x v="26"/>
    <m/>
    <m/>
    <m/>
    <n v="134.99"/>
    <b v="0"/>
    <m/>
    <m/>
    <s v="+"/>
    <x v="124"/>
    <s v="Create Rule; and Description='A T &amp; T INC';Dividend"/>
    <m/>
  </r>
  <r>
    <x v="31"/>
    <d v="2021-08-02T00:00:00"/>
    <s v="POWERPLUS"/>
    <x v="1334"/>
    <n v="2832.55"/>
    <x v="6"/>
    <m/>
    <m/>
    <m/>
    <n v="2832.55"/>
    <b v="0"/>
    <m/>
    <m/>
    <s v="-"/>
    <x v="1261"/>
    <s v="Manual"/>
    <m/>
  </r>
  <r>
    <x v="31"/>
    <d v="2021-08-02T00:00:00"/>
    <s v="POWERPLUS"/>
    <x v="1335"/>
    <n v="200"/>
    <x v="26"/>
    <m/>
    <m/>
    <m/>
    <n v="200"/>
    <b v="0"/>
    <m/>
    <m/>
    <s v="-"/>
    <x v="1262"/>
    <s v="Create Rule; and Description Like '%College Savings%';College Savings"/>
    <m/>
  </r>
  <r>
    <x v="31"/>
    <d v="2021-08-02T00:00:00"/>
    <s v="Cash Rewards Visa Signature"/>
    <x v="6"/>
    <n v="69.099999999999994"/>
    <x v="5"/>
    <m/>
    <m/>
    <m/>
    <n v="69.099999999999994"/>
    <b v="0"/>
    <m/>
    <m/>
    <s v="-"/>
    <x v="6"/>
    <s v="Create Rule; and Description Like '%Cub Foods%';Groceries"/>
    <m/>
  </r>
  <r>
    <x v="31"/>
    <d v="2021-08-02T00:00:00"/>
    <s v="Cash Rewards Visa Signature"/>
    <x v="1493"/>
    <n v="15.53"/>
    <x v="26"/>
    <m/>
    <m/>
    <m/>
    <n v="15.53"/>
    <b v="0"/>
    <m/>
    <m/>
    <s v="-"/>
    <x v="1402"/>
    <s v="Manual"/>
    <m/>
  </r>
  <r>
    <x v="31"/>
    <d v="2021-08-02T00:00:00"/>
    <s v="Cash Rewards Visa Signature"/>
    <x v="81"/>
    <n v="44.93"/>
    <x v="26"/>
    <m/>
    <m/>
    <m/>
    <n v="44.93"/>
    <b v="0"/>
    <m/>
    <m/>
    <s v="-"/>
    <x v="81"/>
    <s v="Create Rule; and Description='Holiday Stationstore';Transportation"/>
    <m/>
  </r>
  <r>
    <x v="31"/>
    <d v="2021-08-02T00:00:00"/>
    <s v="Cash Rewards Visa Signature"/>
    <x v="1443"/>
    <n v="83.71"/>
    <x v="26"/>
    <m/>
    <m/>
    <m/>
    <n v="83.71"/>
    <b v="0"/>
    <m/>
    <m/>
    <s v="-"/>
    <x v="1357"/>
    <s v="Manual"/>
    <m/>
  </r>
  <r>
    <x v="31"/>
    <d v="2021-08-02T00:00:00"/>
    <s v="Cash Rewards Visa Signature"/>
    <x v="1425"/>
    <n v="-4.42"/>
    <x v="26"/>
    <m/>
    <m/>
    <m/>
    <n v="4.42"/>
    <b v="0"/>
    <m/>
    <m/>
    <s v="+"/>
    <x v="1341"/>
    <s v="Manual"/>
    <m/>
  </r>
  <r>
    <x v="31"/>
    <d v="2021-08-02T00:00:00"/>
    <s v="Cash Rewards Visa Signature"/>
    <x v="1425"/>
    <n v="-4.79"/>
    <x v="26"/>
    <m/>
    <m/>
    <m/>
    <n v="4.79"/>
    <b v="0"/>
    <m/>
    <m/>
    <s v="+"/>
    <x v="1341"/>
    <s v="Manual"/>
    <m/>
  </r>
  <r>
    <x v="31"/>
    <d v="2021-08-02T00:00:00"/>
    <s v="Cash Rewards Visa Signature"/>
    <x v="1425"/>
    <n v="-5.63"/>
    <x v="26"/>
    <m/>
    <m/>
    <m/>
    <n v="5.63"/>
    <b v="0"/>
    <m/>
    <m/>
    <s v="+"/>
    <x v="1341"/>
    <s v="Manual"/>
    <m/>
  </r>
  <r>
    <x v="31"/>
    <d v="2021-08-02T00:00:00"/>
    <s v="Cash Rewards Visa Signature"/>
    <x v="1425"/>
    <n v="26.11"/>
    <x v="26"/>
    <m/>
    <m/>
    <m/>
    <n v="26.11"/>
    <b v="0"/>
    <m/>
    <m/>
    <s v="-"/>
    <x v="1341"/>
    <s v="Manual"/>
    <m/>
  </r>
  <r>
    <x v="31"/>
    <d v="2021-08-02T00:00:00"/>
    <s v="30 YR FIXED"/>
    <x v="1085"/>
    <n v="-431"/>
    <x v="26"/>
    <m/>
    <m/>
    <m/>
    <n v="431"/>
    <b v="0"/>
    <m/>
    <m/>
    <s v="+"/>
    <x v="1034"/>
    <s v="Manual"/>
    <m/>
  </r>
  <r>
    <x v="31"/>
    <d v="2021-08-02T00:00:00"/>
    <s v="Brokerage"/>
    <x v="358"/>
    <n v="25.52"/>
    <x v="26"/>
    <m/>
    <m/>
    <m/>
    <n v="25.52"/>
    <b v="0"/>
    <m/>
    <m/>
    <s v="-"/>
    <x v="349"/>
    <s v="Manual"/>
    <m/>
  </r>
  <r>
    <x v="31"/>
    <d v="2021-08-02T00:00:00"/>
    <s v="Joint Tenant"/>
    <x v="358"/>
    <n v="25.52"/>
    <x v="26"/>
    <m/>
    <m/>
    <m/>
    <n v="25.52"/>
    <b v="0"/>
    <m/>
    <m/>
    <s v="-"/>
    <x v="349"/>
    <s v="Delete; and Source='Joint Tenant';0"/>
    <m/>
  </r>
  <r>
    <x v="31"/>
    <d v="2021-08-02T00:00:00"/>
    <s v="Cash Rewards Visa Signature"/>
    <x v="1494"/>
    <n v="9.86"/>
    <x v="26"/>
    <m/>
    <m/>
    <m/>
    <n v="9.86"/>
    <b v="0"/>
    <m/>
    <m/>
    <s v="-"/>
    <x v="1403"/>
    <s v="Manual"/>
    <m/>
  </r>
  <r>
    <x v="31"/>
    <d v="2021-08-03T00:00:00"/>
    <s v="Brokerage"/>
    <x v="125"/>
    <n v="134.99"/>
    <x v="26"/>
    <m/>
    <m/>
    <m/>
    <n v="134.99"/>
    <b v="0"/>
    <m/>
    <m/>
    <s v="-"/>
    <x v="124"/>
    <s v="Manual"/>
    <m/>
  </r>
  <r>
    <x v="31"/>
    <d v="2021-08-03T00:00:00"/>
    <s v="Joint Tenant"/>
    <x v="125"/>
    <n v="134.99"/>
    <x v="26"/>
    <m/>
    <m/>
    <m/>
    <n v="134.99"/>
    <b v="0"/>
    <m/>
    <m/>
    <s v="-"/>
    <x v="124"/>
    <s v="Create Rule; and Description='A T &amp; T INC';Dividend"/>
    <m/>
  </r>
  <r>
    <x v="31"/>
    <d v="2021-08-03T00:00:00"/>
    <s v="Cash Rewards Visa Signature"/>
    <x v="0"/>
    <n v="12.87"/>
    <x v="0"/>
    <m/>
    <m/>
    <m/>
    <n v="12.87"/>
    <b v="0"/>
    <m/>
    <m/>
    <s v="-"/>
    <x v="0"/>
    <s v="Create Rule; and Description='Amazon';Amazon"/>
    <m/>
  </r>
  <r>
    <x v="31"/>
    <d v="2021-08-03T00:00:00"/>
    <s v="Cash Rewards Visa Signature"/>
    <x v="0"/>
    <n v="17.98"/>
    <x v="0"/>
    <m/>
    <m/>
    <m/>
    <n v="17.98"/>
    <b v="0"/>
    <m/>
    <m/>
    <s v="-"/>
    <x v="0"/>
    <s v="Create Rule; and Description='Amazon';Amazon"/>
    <m/>
  </r>
  <r>
    <x v="31"/>
    <d v="2021-08-03T00:00:00"/>
    <s v="Cash Rewards Visa Signature"/>
    <x v="0"/>
    <n v="51.95"/>
    <x v="0"/>
    <m/>
    <m/>
    <m/>
    <n v="51.95"/>
    <b v="0"/>
    <m/>
    <m/>
    <s v="-"/>
    <x v="0"/>
    <s v="Create Rule; and Description='Amazon';Amazon"/>
    <m/>
  </r>
  <r>
    <x v="31"/>
    <d v="2021-08-03T00:00:00"/>
    <s v="Cash Rewards Visa Signature"/>
    <x v="1337"/>
    <n v="18"/>
    <x v="26"/>
    <m/>
    <m/>
    <m/>
    <n v="18"/>
    <b v="0"/>
    <m/>
    <m/>
    <s v="-"/>
    <x v="1264"/>
    <s v="Manual"/>
    <m/>
  </r>
  <r>
    <x v="31"/>
    <d v="2021-08-03T00:00:00"/>
    <s v="Cash Rewards Visa Signature"/>
    <x v="60"/>
    <n v="22.45"/>
    <x v="26"/>
    <m/>
    <m/>
    <m/>
    <n v="22.45"/>
    <b v="0"/>
    <m/>
    <m/>
    <s v="-"/>
    <x v="60"/>
    <s v="Create Rule; and Description='Home Depot';House Maintenance"/>
    <m/>
  </r>
  <r>
    <x v="31"/>
    <d v="2021-08-03T00:00:00"/>
    <s v="POWERPLUS"/>
    <x v="1321"/>
    <n v="528.79999999999995"/>
    <x v="26"/>
    <m/>
    <m/>
    <m/>
    <n v="528.79999999999995"/>
    <b v="0"/>
    <m/>
    <m/>
    <s v="-"/>
    <x v="1249"/>
    <s v="Create Rule; and Description Like '%MHCHILDCARELLC%';Day Care"/>
    <m/>
  </r>
  <r>
    <x v="31"/>
    <d v="2021-08-03T00:00:00"/>
    <s v="Cash Rewards Visa Signature"/>
    <x v="1495"/>
    <n v="140"/>
    <x v="26"/>
    <m/>
    <m/>
    <m/>
    <n v="140"/>
    <b v="0"/>
    <m/>
    <m/>
    <s v="-"/>
    <x v="1404"/>
    <s v="Manual"/>
    <m/>
  </r>
  <r>
    <x v="31"/>
    <d v="2021-08-03T00:00:00"/>
    <s v="POWERPLUS"/>
    <x v="157"/>
    <n v="19.43"/>
    <x v="8"/>
    <m/>
    <m/>
    <m/>
    <n v="19.43"/>
    <b v="0"/>
    <m/>
    <m/>
    <s v="-"/>
    <x v="156"/>
    <s v="Create Rule; and Description Like '%PayPal%';Shopping"/>
    <m/>
  </r>
  <r>
    <x v="31"/>
    <d v="2021-08-03T00:00:00"/>
    <s v="POWERPLUS"/>
    <x v="1496"/>
    <n v="158.25"/>
    <x v="26"/>
    <m/>
    <m/>
    <m/>
    <n v="158.25"/>
    <b v="0"/>
    <m/>
    <m/>
    <s v="-"/>
    <x v="1405"/>
    <s v="Manual"/>
    <m/>
  </r>
  <r>
    <x v="31"/>
    <d v="2021-08-04T00:00:00"/>
    <s v="Cash Rewards Visa Signature"/>
    <x v="0"/>
    <n v="-9.65"/>
    <x v="0"/>
    <m/>
    <m/>
    <m/>
    <n v="9.65"/>
    <b v="0"/>
    <m/>
    <m/>
    <s v="+"/>
    <x v="0"/>
    <s v="Create Rule; and Description='Amazon';Amazon"/>
    <m/>
  </r>
  <r>
    <x v="31"/>
    <d v="2021-08-04T00:00:00"/>
    <s v="Cash Rewards Visa Signature"/>
    <x v="255"/>
    <n v="59.36"/>
    <x v="5"/>
    <m/>
    <m/>
    <m/>
    <n v="59.36"/>
    <b v="0"/>
    <m/>
    <m/>
    <s v="-"/>
    <x v="253"/>
    <s v="Create Rule; and Description='Costco';Groceries"/>
    <m/>
  </r>
  <r>
    <x v="31"/>
    <d v="2021-08-04T00:00:00"/>
    <s v="Cash Rewards Visa Signature"/>
    <x v="255"/>
    <n v="78.69"/>
    <x v="5"/>
    <m/>
    <m/>
    <m/>
    <n v="78.69"/>
    <b v="0"/>
    <m/>
    <m/>
    <s v="-"/>
    <x v="253"/>
    <s v="Create Rule; and Description='Costco';Groceries"/>
    <m/>
  </r>
  <r>
    <x v="31"/>
    <d v="2021-08-04T00:00:00"/>
    <s v="Cash Rewards Visa Signature"/>
    <x v="255"/>
    <n v="171.02"/>
    <x v="5"/>
    <m/>
    <m/>
    <m/>
    <n v="171.02"/>
    <b v="0"/>
    <m/>
    <m/>
    <s v="-"/>
    <x v="253"/>
    <s v="Create Rule; and Description='Costco';Groceries"/>
    <m/>
  </r>
  <r>
    <x v="31"/>
    <d v="2021-08-04T00:00:00"/>
    <s v="Cash Rewards Visa Signature"/>
    <x v="475"/>
    <n v="405"/>
    <x v="4"/>
    <m/>
    <m/>
    <m/>
    <n v="405"/>
    <b v="0"/>
    <m/>
    <m/>
    <s v="-"/>
    <x v="458"/>
    <s v="Create Rule; and Description='Foss Swim School';Day Care"/>
    <m/>
  </r>
  <r>
    <x v="31"/>
    <d v="2021-08-04T00:00:00"/>
    <s v="Brokerage"/>
    <x v="1089"/>
    <n v="-19.940000000000001"/>
    <x v="26"/>
    <m/>
    <m/>
    <m/>
    <n v="19.940000000000001"/>
    <b v="0"/>
    <m/>
    <m/>
    <s v="+"/>
    <x v="1038"/>
    <s v="Manual"/>
    <m/>
  </r>
  <r>
    <x v="31"/>
    <d v="2021-08-04T00:00:00"/>
    <s v="Joint Tenant"/>
    <x v="1089"/>
    <n v="-19.940000000000001"/>
    <x v="26"/>
    <m/>
    <m/>
    <m/>
    <n v="19.940000000000001"/>
    <b v="0"/>
    <m/>
    <m/>
    <s v="+"/>
    <x v="1038"/>
    <s v="Create Rule; and Description Like '%LOWES%';House Maintenance"/>
    <m/>
  </r>
  <r>
    <x v="31"/>
    <d v="2021-08-04T00:00:00"/>
    <s v="Cash Rewards Visa Signature"/>
    <x v="1497"/>
    <n v="2.34"/>
    <x v="26"/>
    <m/>
    <m/>
    <m/>
    <n v="2.34"/>
    <b v="0"/>
    <m/>
    <m/>
    <s v="-"/>
    <x v="1406"/>
    <s v="Manual"/>
    <m/>
  </r>
  <r>
    <x v="31"/>
    <d v="2021-08-05T00:00:00"/>
    <s v="Cash Rewards Visa Signature"/>
    <x v="0"/>
    <n v="8.82"/>
    <x v="0"/>
    <m/>
    <m/>
    <m/>
    <n v="8.82"/>
    <b v="0"/>
    <m/>
    <m/>
    <s v="-"/>
    <x v="0"/>
    <s v="Create Rule; and Description='Amazon';Amazon"/>
    <m/>
  </r>
  <r>
    <x v="31"/>
    <d v="2021-08-05T00:00:00"/>
    <s v="POWERPLUS"/>
    <x v="1498"/>
    <n v="-2168.13"/>
    <x v="26"/>
    <m/>
    <m/>
    <m/>
    <n v="2168.13"/>
    <b v="0"/>
    <m/>
    <m/>
    <s v="+"/>
    <x v="1256"/>
    <s v="Create Rule; and Description Like '%Cargill Inc Deposit CARGILL INCORPOR TYPE DIRECT DEP ID CO CARGILL INCORPOR ACH%';Inc - Britney"/>
    <m/>
  </r>
  <r>
    <x v="31"/>
    <d v="2021-08-05T00:00:00"/>
    <s v="Cash Rewards Visa Signature"/>
    <x v="60"/>
    <n v="70.88"/>
    <x v="26"/>
    <m/>
    <m/>
    <m/>
    <n v="70.88"/>
    <b v="0"/>
    <m/>
    <m/>
    <s v="-"/>
    <x v="60"/>
    <s v="Create Rule; and Description='Home Depot';House Maintenance"/>
    <m/>
  </r>
  <r>
    <x v="31"/>
    <d v="2021-08-05T00:00:00"/>
    <s v="Brokerage"/>
    <x v="1089"/>
    <n v="19.940000000000001"/>
    <x v="26"/>
    <m/>
    <m/>
    <m/>
    <n v="19.940000000000001"/>
    <b v="0"/>
    <m/>
    <m/>
    <s v="-"/>
    <x v="1038"/>
    <s v="Manual"/>
    <m/>
  </r>
  <r>
    <x v="31"/>
    <d v="2021-08-05T00:00:00"/>
    <s v="Joint Tenant"/>
    <x v="1089"/>
    <n v="19.940000000000001"/>
    <x v="26"/>
    <m/>
    <m/>
    <m/>
    <n v="19.940000000000001"/>
    <b v="0"/>
    <m/>
    <m/>
    <s v="-"/>
    <x v="1038"/>
    <s v="Create Rule; and Description Like '%LOWES%';House Maintenance"/>
    <m/>
  </r>
  <r>
    <x v="31"/>
    <d v="2021-08-05T00:00:00"/>
    <s v="POWERPLUS"/>
    <x v="157"/>
    <n v="10"/>
    <x v="8"/>
    <m/>
    <m/>
    <m/>
    <n v="10"/>
    <b v="0"/>
    <m/>
    <m/>
    <s v="-"/>
    <x v="156"/>
    <s v="Create Rule; and Description Like '%PayPal%';Shopping"/>
    <m/>
  </r>
  <r>
    <x v="31"/>
    <d v="2021-08-05T00:00:00"/>
    <s v="Cash Rewards Visa Signature"/>
    <x v="1499"/>
    <n v="-283"/>
    <x v="26"/>
    <m/>
    <m/>
    <m/>
    <n v="283"/>
    <b v="0"/>
    <m/>
    <m/>
    <s v="+"/>
    <x v="1407"/>
    <s v="Manual"/>
    <m/>
  </r>
  <r>
    <x v="31"/>
    <d v="2021-08-05T00:00:00"/>
    <s v="Cash Rewards Visa Signature"/>
    <x v="579"/>
    <n v="15"/>
    <x v="1"/>
    <m/>
    <m/>
    <m/>
    <n v="15"/>
    <b v="0"/>
    <m/>
    <m/>
    <s v="-"/>
    <x v="560"/>
    <s v="Create Rule; and Description='Starbucks';Restaurants"/>
    <m/>
  </r>
  <r>
    <x v="31"/>
    <d v="2021-08-05T00:00:00"/>
    <s v="POWERPLUS"/>
    <x v="30"/>
    <n v="203.25"/>
    <x v="11"/>
    <m/>
    <m/>
    <m/>
    <n v="203.25"/>
    <b v="0"/>
    <m/>
    <m/>
    <s v="-"/>
    <x v="30"/>
    <s v="Create Rule; and Description='Xcel Energy';Utilities"/>
    <m/>
  </r>
  <r>
    <x v="31"/>
    <d v="2021-08-06T00:00:00"/>
    <s v="Brokerage"/>
    <x v="1299"/>
    <n v="-200"/>
    <x v="26"/>
    <m/>
    <m/>
    <m/>
    <n v="200"/>
    <b v="0"/>
    <m/>
    <m/>
    <s v="+"/>
    <x v="1230"/>
    <s v="Manual"/>
    <m/>
  </r>
  <r>
    <x v="31"/>
    <d v="2021-08-06T00:00:00"/>
    <s v="Joint Tenant"/>
    <x v="1299"/>
    <n v="-200"/>
    <x v="26"/>
    <m/>
    <m/>
    <m/>
    <n v="200"/>
    <b v="0"/>
    <m/>
    <m/>
    <s v="+"/>
    <x v="1230"/>
    <s v="Delete; and Source='Joint Tenant';0"/>
    <m/>
  </r>
  <r>
    <x v="31"/>
    <d v="2021-08-06T00:00:00"/>
    <s v="Cash Rewards Visa Signature"/>
    <x v="600"/>
    <n v="78.23"/>
    <x v="26"/>
    <m/>
    <m/>
    <m/>
    <n v="78.23"/>
    <b v="0"/>
    <m/>
    <m/>
    <s v="-"/>
    <x v="581"/>
    <s v="Create Rule; and Description Like '%RED SAUCE REBELLION%';Restaurants"/>
    <m/>
  </r>
  <r>
    <x v="31"/>
    <d v="2021-08-06T00:00:00"/>
    <s v="Brokerage"/>
    <x v="1396"/>
    <n v="-0.89"/>
    <x v="26"/>
    <m/>
    <m/>
    <m/>
    <n v="0.89"/>
    <b v="0"/>
    <m/>
    <m/>
    <s v="+"/>
    <x v="1315"/>
    <s v="Manual"/>
    <m/>
  </r>
  <r>
    <x v="31"/>
    <d v="2021-08-06T00:00:00"/>
    <s v="Joint Tenant"/>
    <x v="1396"/>
    <n v="-0.89"/>
    <x v="26"/>
    <m/>
    <m/>
    <m/>
    <n v="0.89"/>
    <b v="0"/>
    <m/>
    <m/>
    <s v="+"/>
    <x v="1315"/>
    <s v="Delete; and Source='Joint Tenant';0"/>
    <m/>
  </r>
  <r>
    <x v="31"/>
    <d v="2021-08-06T00:00:00"/>
    <s v="Brokerage"/>
    <x v="20"/>
    <n v="200"/>
    <x v="26"/>
    <m/>
    <m/>
    <m/>
    <n v="200"/>
    <b v="0"/>
    <m/>
    <m/>
    <s v="-"/>
    <x v="20"/>
    <s v="Manual"/>
    <m/>
  </r>
  <r>
    <x v="31"/>
    <d v="2021-08-06T00:00:00"/>
    <s v="Joint Tenant"/>
    <x v="20"/>
    <n v="200"/>
    <x v="26"/>
    <m/>
    <m/>
    <m/>
    <n v="200"/>
    <b v="0"/>
    <m/>
    <m/>
    <s v="-"/>
    <x v="20"/>
    <s v="Delete; and Description='SCHWAB TOTAL STOCK MKT INDEX' and inflowoutflow='-';0"/>
    <m/>
  </r>
  <r>
    <x v="31"/>
    <d v="2021-08-06T00:00:00"/>
    <s v="Cash Rewards Visa Signature"/>
    <x v="2"/>
    <n v="51.75"/>
    <x v="2"/>
    <m/>
    <m/>
    <m/>
    <n v="51.75"/>
    <b v="0"/>
    <m/>
    <m/>
    <s v="-"/>
    <x v="2"/>
    <s v="Create Rule; and Description='Speedway';Transportation"/>
    <m/>
  </r>
  <r>
    <x v="31"/>
    <d v="2021-08-06T00:00:00"/>
    <s v="CARGILL PARTNERSHIP PLAN"/>
    <x v="235"/>
    <n v="-784.4"/>
    <x v="26"/>
    <m/>
    <m/>
    <m/>
    <n v="784.4"/>
    <b v="0"/>
    <m/>
    <m/>
    <s v="+"/>
    <x v="233"/>
    <s v="Create Rule; and Description='Target Retire 2055 Tr P - Plan Contribution';401K"/>
    <m/>
  </r>
  <r>
    <x v="31"/>
    <d v="2021-08-06T00:00:00"/>
    <s v="Contributory"/>
    <x v="1300"/>
    <n v="-231"/>
    <x v="26"/>
    <m/>
    <m/>
    <m/>
    <n v="231"/>
    <b v="0"/>
    <m/>
    <m/>
    <s v="+"/>
    <x v="1231"/>
    <s v="Manual"/>
    <m/>
  </r>
  <r>
    <x v="31"/>
    <d v="2021-08-08T00:00:00"/>
    <s v="Cash Rewards Visa Signature"/>
    <x v="955"/>
    <n v="20.7"/>
    <x v="26"/>
    <m/>
    <m/>
    <m/>
    <n v="20.7"/>
    <b v="0"/>
    <m/>
    <m/>
    <s v="-"/>
    <x v="918"/>
    <s v="Create Rule; and Description='Birchs';Restaurants"/>
    <m/>
  </r>
  <r>
    <x v="31"/>
    <d v="2021-08-08T00:00:00"/>
    <s v="Cash Rewards Visa Signature"/>
    <x v="955"/>
    <n v="119.8"/>
    <x v="26"/>
    <m/>
    <m/>
    <m/>
    <n v="119.8"/>
    <b v="0"/>
    <m/>
    <m/>
    <s v="-"/>
    <x v="918"/>
    <s v="Create Rule; and Description='Birchs';Restaurants"/>
    <m/>
  </r>
  <r>
    <x v="31"/>
    <d v="2021-08-08T00:00:00"/>
    <s v="Cash Rewards Visa Signature"/>
    <x v="6"/>
    <n v="62.79"/>
    <x v="5"/>
    <m/>
    <m/>
    <m/>
    <n v="62.79"/>
    <b v="0"/>
    <m/>
    <m/>
    <s v="-"/>
    <x v="6"/>
    <s v="Create Rule; and Description Like '%Cub Foods%';Groceries"/>
    <m/>
  </r>
  <r>
    <x v="31"/>
    <d v="2021-08-08T00:00:00"/>
    <s v="Cash Rewards Visa Signature"/>
    <x v="1500"/>
    <n v="146.12"/>
    <x v="26"/>
    <m/>
    <m/>
    <m/>
    <n v="146.12"/>
    <b v="0"/>
    <m/>
    <m/>
    <s v="-"/>
    <x v="1408"/>
    <s v="Manual"/>
    <m/>
  </r>
  <r>
    <x v="31"/>
    <d v="2021-08-08T00:00:00"/>
    <s v="Cash Rewards Visa Signature"/>
    <x v="775"/>
    <n v="5.36"/>
    <x v="26"/>
    <m/>
    <m/>
    <m/>
    <n v="5.36"/>
    <b v="0"/>
    <m/>
    <m/>
    <s v="-"/>
    <x v="747"/>
    <s v="Create Rule; and Description='True Value';House Maintenance"/>
    <m/>
  </r>
  <r>
    <x v="31"/>
    <d v="2021-08-09T00:00:00"/>
    <s v="Discover"/>
    <x v="93"/>
    <n v="-6"/>
    <x v="26"/>
    <m/>
    <m/>
    <m/>
    <n v="6"/>
    <b v="0"/>
    <m/>
    <m/>
    <s v="+"/>
    <x v="93"/>
    <s v="Manual"/>
    <m/>
  </r>
  <r>
    <x v="31"/>
    <d v="2021-08-09T00:00:00"/>
    <s v="Discover More Card"/>
    <x v="93"/>
    <n v="-6"/>
    <x v="26"/>
    <m/>
    <m/>
    <m/>
    <n v="6"/>
    <b v="0"/>
    <m/>
    <m/>
    <s v="+"/>
    <x v="93"/>
    <s v="Delete; and Description='CASHBACK BONUS REDEMPTION payment/STMT CRDT';0"/>
    <m/>
  </r>
  <r>
    <x v="31"/>
    <d v="2021-08-09T00:00:00"/>
    <s v="Discover"/>
    <x v="56"/>
    <n v="-31.55"/>
    <x v="3"/>
    <m/>
    <m/>
    <m/>
    <n v="31.55"/>
    <b v="0"/>
    <m/>
    <m/>
    <s v="+"/>
    <x v="56"/>
    <s v="Manual"/>
    <m/>
  </r>
  <r>
    <x v="31"/>
    <d v="2021-08-09T00:00:00"/>
    <s v="Discover More Card"/>
    <x v="56"/>
    <n v="-31.55"/>
    <x v="3"/>
    <m/>
    <m/>
    <m/>
    <n v="31.55"/>
    <b v="0"/>
    <m/>
    <m/>
    <s v="+"/>
    <x v="56"/>
    <s v="Delete; and Description='INTERNET PAYMENT - THANK YOU';0"/>
    <m/>
  </r>
  <r>
    <x v="31"/>
    <d v="2021-08-09T00:00:00"/>
    <s v="Cash Rewards Visa Signature"/>
    <x v="936"/>
    <n v="-2378.71"/>
    <x v="26"/>
    <m/>
    <m/>
    <m/>
    <n v="2378.71"/>
    <b v="0"/>
    <m/>
    <m/>
    <s v="+"/>
    <x v="900"/>
    <s v="Manual"/>
    <m/>
  </r>
  <r>
    <x v="31"/>
    <d v="2021-08-09T00:00:00"/>
    <s v="POWERPLUS"/>
    <x v="1501"/>
    <n v="225"/>
    <x v="26"/>
    <m/>
    <m/>
    <m/>
    <n v="225"/>
    <b v="0"/>
    <m/>
    <m/>
    <s v="-"/>
    <x v="1409"/>
    <s v="Manual"/>
    <m/>
  </r>
  <r>
    <x v="31"/>
    <d v="2021-08-09T00:00:00"/>
    <s v="POWERPLUS"/>
    <x v="1319"/>
    <n v="2378.71"/>
    <x v="26"/>
    <m/>
    <m/>
    <m/>
    <n v="2378.71"/>
    <b v="0"/>
    <m/>
    <m/>
    <s v="-"/>
    <x v="1247"/>
    <s v="Manual"/>
    <m/>
  </r>
  <r>
    <x v="31"/>
    <d v="2021-08-09T00:00:00"/>
    <s v="Cash Rewards Visa Signature"/>
    <x v="570"/>
    <n v="41.38"/>
    <x v="1"/>
    <m/>
    <m/>
    <m/>
    <n v="41.38"/>
    <b v="0"/>
    <m/>
    <m/>
    <s v="-"/>
    <x v="551"/>
    <s v="Create Rule; and Description Like '%Panera Bread%';Restaurants"/>
    <m/>
  </r>
  <r>
    <x v="31"/>
    <d v="2021-08-09T00:00:00"/>
    <s v="Cash Rewards Visa Signature"/>
    <x v="1024"/>
    <n v="61.19"/>
    <x v="26"/>
    <m/>
    <m/>
    <m/>
    <n v="61.19"/>
    <b v="0"/>
    <m/>
    <m/>
    <s v="-"/>
    <x v="980"/>
    <s v="Create Rule; and Description Like '%TST OLIVE S FRESH%';Restaurants"/>
    <m/>
  </r>
  <r>
    <x v="31"/>
    <d v="2021-08-09T00:00:00"/>
    <s v="POWERPLUS"/>
    <x v="142"/>
    <n v="130.44"/>
    <x v="26"/>
    <m/>
    <m/>
    <m/>
    <n v="130.44"/>
    <b v="0"/>
    <m/>
    <m/>
    <s v="-"/>
    <x v="141"/>
    <s v="Create Rule; and Description='Waste Management';Utilities"/>
    <m/>
  </r>
  <r>
    <x v="31"/>
    <d v="2021-08-10T00:00:00"/>
    <s v="POWERPLUS"/>
    <x v="1502"/>
    <n v="31.55"/>
    <x v="26"/>
    <m/>
    <m/>
    <m/>
    <n v="31.55"/>
    <b v="0"/>
    <m/>
    <m/>
    <s v="-"/>
    <x v="1410"/>
    <s v="Manual"/>
    <m/>
  </r>
  <r>
    <x v="31"/>
    <d v="2021-08-10T00:00:00"/>
    <s v="Cash Rewards Visa Signature"/>
    <x v="177"/>
    <n v="85.15"/>
    <x v="26"/>
    <m/>
    <m/>
    <m/>
    <n v="85.15"/>
    <b v="0"/>
    <m/>
    <m/>
    <s v="-"/>
    <x v="176"/>
    <s v="Create Rule; and Description='NORTH COOP CHAHASSEN MN';Restaurants"/>
    <m/>
  </r>
  <r>
    <x v="31"/>
    <d v="2021-08-10T00:00:00"/>
    <s v="Cash Rewards Visa Signature"/>
    <x v="579"/>
    <n v="5.0999999999999996"/>
    <x v="1"/>
    <m/>
    <m/>
    <m/>
    <n v="5.0999999999999996"/>
    <b v="0"/>
    <m/>
    <m/>
    <s v="-"/>
    <x v="560"/>
    <s v="Create Rule; and Description='Starbucks';Restaurants"/>
    <m/>
  </r>
  <r>
    <x v="31"/>
    <d v="2021-08-10T00:00:00"/>
    <s v="Investor Checking"/>
    <x v="361"/>
    <n v="-165.79"/>
    <x v="26"/>
    <m/>
    <m/>
    <m/>
    <n v="165.79"/>
    <b v="0"/>
    <m/>
    <m/>
    <s v="+"/>
    <x v="352"/>
    <s v="Manual"/>
    <m/>
  </r>
  <r>
    <x v="31"/>
    <d v="2021-08-11T00:00:00"/>
    <s v="Cash Rewards Visa Signature"/>
    <x v="980"/>
    <n v="134.34"/>
    <x v="26"/>
    <m/>
    <m/>
    <m/>
    <n v="134.34"/>
    <b v="0"/>
    <m/>
    <m/>
    <s v="-"/>
    <x v="940"/>
    <s v="Create Rule; and Description Like '%AVOADVOCARE INTL%';Groceries"/>
    <m/>
  </r>
  <r>
    <x v="31"/>
    <d v="2021-08-11T00:00:00"/>
    <s v="Discover"/>
    <x v="240"/>
    <n v="16.7"/>
    <x v="26"/>
    <m/>
    <m/>
    <m/>
    <n v="16.7"/>
    <b v="0"/>
    <m/>
    <m/>
    <s v="-"/>
    <x v="238"/>
    <s v="Create Rule; and Description='Chipotle';Restaurants"/>
    <m/>
  </r>
  <r>
    <x v="31"/>
    <d v="2021-08-11T00:00:00"/>
    <s v="Discover More Card"/>
    <x v="240"/>
    <n v="16.7"/>
    <x v="26"/>
    <m/>
    <m/>
    <m/>
    <n v="16.7"/>
    <b v="0"/>
    <m/>
    <m/>
    <s v="-"/>
    <x v="238"/>
    <s v="Create Rule; and Description='Chipotle';Restaurants"/>
    <m/>
  </r>
  <r>
    <x v="31"/>
    <d v="2021-08-11T00:00:00"/>
    <s v="POWERPLUS"/>
    <x v="1503"/>
    <n v="-3052.98"/>
    <x v="26"/>
    <m/>
    <m/>
    <m/>
    <n v="3052.98"/>
    <b v="0"/>
    <m/>
    <m/>
    <s v="+"/>
    <x v="910"/>
    <s v="Create Rule; and Description Like '%CONNECTED ANALYT%';Inc - Jeff"/>
    <m/>
  </r>
  <r>
    <x v="31"/>
    <d v="2021-08-11T00:00:00"/>
    <s v="Cash Rewards Visa Signature"/>
    <x v="577"/>
    <n v="7.52"/>
    <x v="1"/>
    <m/>
    <m/>
    <m/>
    <n v="7.52"/>
    <b v="0"/>
    <m/>
    <m/>
    <s v="-"/>
    <x v="558"/>
    <s v="Create Rule; and Description Like '%Jimmy John%';Restaurants"/>
    <m/>
  </r>
  <r>
    <x v="31"/>
    <d v="2021-08-11T00:00:00"/>
    <s v="Discover"/>
    <x v="823"/>
    <n v="23.72"/>
    <x v="2"/>
    <m/>
    <m/>
    <m/>
    <n v="23.72"/>
    <b v="0"/>
    <m/>
    <m/>
    <s v="-"/>
    <x v="792"/>
    <s v="Create Rule; and Description='Kwik Trip';Transportation"/>
    <m/>
  </r>
  <r>
    <x v="31"/>
    <d v="2021-08-11T00:00:00"/>
    <s v="Discover More Card"/>
    <x v="823"/>
    <n v="23.72"/>
    <x v="2"/>
    <m/>
    <m/>
    <m/>
    <n v="23.72"/>
    <b v="0"/>
    <m/>
    <m/>
    <s v="-"/>
    <x v="792"/>
    <s v="Create Rule; and Description='Kwik Trip';Transportation"/>
    <m/>
  </r>
  <r>
    <x v="31"/>
    <d v="2021-08-11T00:00:00"/>
    <s v="Cash Rewards Visa Signature"/>
    <x v="1392"/>
    <n v="42.16"/>
    <x v="26"/>
    <m/>
    <m/>
    <m/>
    <n v="42.16"/>
    <b v="0"/>
    <m/>
    <m/>
    <s v="-"/>
    <x v="1311"/>
    <s v="Manual"/>
    <m/>
  </r>
  <r>
    <x v="31"/>
    <d v="2021-08-11T00:00:00"/>
    <s v="Cash Rewards Visa Signature"/>
    <x v="1384"/>
    <n v="11.9"/>
    <x v="26"/>
    <m/>
    <m/>
    <m/>
    <n v="11.9"/>
    <b v="0"/>
    <m/>
    <m/>
    <s v="-"/>
    <x v="1304"/>
    <s v="Manual"/>
    <m/>
  </r>
  <r>
    <x v="31"/>
    <d v="2021-08-11T00:00:00"/>
    <s v="POWERPLUS"/>
    <x v="1321"/>
    <n v="528.79999999999995"/>
    <x v="26"/>
    <m/>
    <m/>
    <m/>
    <n v="528.79999999999995"/>
    <b v="0"/>
    <m/>
    <m/>
    <s v="-"/>
    <x v="1249"/>
    <s v="Create Rule; and Description Like '%MHCHILDCARELLC%';Day Care"/>
    <m/>
  </r>
  <r>
    <x v="31"/>
    <d v="2021-08-11T00:00:00"/>
    <s v="POWERPLUS"/>
    <x v="308"/>
    <n v="320.72000000000003"/>
    <x v="8"/>
    <m/>
    <m/>
    <m/>
    <n v="320.72000000000003"/>
    <b v="0"/>
    <m/>
    <m/>
    <s v="-"/>
    <x v="300"/>
    <s v="Create Rule; and Description='Nordstrom';Shopping"/>
    <m/>
  </r>
  <r>
    <x v="31"/>
    <d v="2021-08-12T00:00:00"/>
    <s v="Jeff IRA"/>
    <x v="165"/>
    <n v="-4.45"/>
    <x v="26"/>
    <m/>
    <m/>
    <m/>
    <n v="4.45"/>
    <b v="0"/>
    <m/>
    <m/>
    <s v="+"/>
    <x v="164"/>
    <s v="Manual"/>
    <m/>
  </r>
  <r>
    <x v="31"/>
    <d v="2021-08-12T00:00:00"/>
    <s v="Brokerage"/>
    <x v="165"/>
    <n v="-45.08"/>
    <x v="26"/>
    <m/>
    <m/>
    <m/>
    <n v="45.08"/>
    <b v="0"/>
    <m/>
    <m/>
    <s v="+"/>
    <x v="164"/>
    <s v="Manual"/>
    <m/>
  </r>
  <r>
    <x v="31"/>
    <d v="2021-08-12T00:00:00"/>
    <s v="Joint Tenant"/>
    <x v="165"/>
    <n v="-45.08"/>
    <x v="26"/>
    <m/>
    <m/>
    <m/>
    <n v="45.08"/>
    <b v="0"/>
    <m/>
    <m/>
    <s v="+"/>
    <x v="164"/>
    <s v="Create Rule; and Description='APPLE INC';Dividend"/>
    <m/>
  </r>
  <r>
    <x v="31"/>
    <d v="2021-08-12T00:00:00"/>
    <s v="POWERPLUS"/>
    <x v="1328"/>
    <n v="91"/>
    <x v="26"/>
    <m/>
    <m/>
    <m/>
    <n v="91"/>
    <b v="0"/>
    <m/>
    <m/>
    <s v="-"/>
    <x v="1255"/>
    <s v="Manual"/>
    <m/>
  </r>
  <r>
    <x v="31"/>
    <d v="2021-08-12T00:00:00"/>
    <s v="POWERPLUS"/>
    <x v="1504"/>
    <n v="5502.61"/>
    <x v="26"/>
    <m/>
    <m/>
    <m/>
    <n v="5502.61"/>
    <b v="0"/>
    <m/>
    <m/>
    <s v="-"/>
    <x v="1411"/>
    <s v="Manual"/>
    <m/>
  </r>
  <r>
    <x v="31"/>
    <d v="2021-08-12T00:00:00"/>
    <s v="POWERPLUS"/>
    <x v="656"/>
    <n v="-333"/>
    <x v="26"/>
    <m/>
    <m/>
    <m/>
    <n v="333"/>
    <b v="0"/>
    <m/>
    <m/>
    <s v="+"/>
    <x v="634"/>
    <s v="Manual"/>
    <m/>
  </r>
  <r>
    <x v="31"/>
    <d v="2021-08-12T00:00:00"/>
    <s v="Cash Rewards Visa Signature"/>
    <x v="1505"/>
    <n v="-146.12"/>
    <x v="26"/>
    <m/>
    <m/>
    <m/>
    <n v="146.12"/>
    <b v="0"/>
    <m/>
    <m/>
    <s v="+"/>
    <x v="1412"/>
    <s v="Manual"/>
    <m/>
  </r>
  <r>
    <x v="31"/>
    <d v="2021-08-12T00:00:00"/>
    <s v="POWERPLUS"/>
    <x v="1506"/>
    <n v="-7.06"/>
    <x v="26"/>
    <m/>
    <m/>
    <m/>
    <n v="7.06"/>
    <b v="0"/>
    <m/>
    <m/>
    <s v="+"/>
    <x v="1413"/>
    <s v="Create Rule; and Description Like '%PayPal%';Shopping"/>
    <m/>
  </r>
  <r>
    <x v="31"/>
    <d v="2021-08-13T00:00:00"/>
    <s v="POWERPLUS"/>
    <x v="1507"/>
    <n v="15"/>
    <x v="26"/>
    <m/>
    <m/>
    <m/>
    <n v="15"/>
    <b v="0"/>
    <m/>
    <m/>
    <s v="-"/>
    <x v="1414"/>
    <s v="Manual"/>
    <m/>
  </r>
  <r>
    <x v="31"/>
    <d v="2021-08-13T00:00:00"/>
    <s v="Jeff IRA"/>
    <x v="165"/>
    <n v="4.45"/>
    <x v="26"/>
    <m/>
    <m/>
    <m/>
    <n v="4.45"/>
    <b v="0"/>
    <m/>
    <m/>
    <s v="-"/>
    <x v="164"/>
    <s v="Manual"/>
    <m/>
  </r>
  <r>
    <x v="31"/>
    <d v="2021-08-13T00:00:00"/>
    <s v="Brokerage"/>
    <x v="165"/>
    <n v="45.08"/>
    <x v="26"/>
    <m/>
    <m/>
    <m/>
    <n v="45.08"/>
    <b v="0"/>
    <m/>
    <m/>
    <s v="-"/>
    <x v="164"/>
    <s v="Manual"/>
    <m/>
  </r>
  <r>
    <x v="31"/>
    <d v="2021-08-13T00:00:00"/>
    <s v="Joint Tenant"/>
    <x v="165"/>
    <n v="45.08"/>
    <x v="26"/>
    <m/>
    <m/>
    <m/>
    <n v="45.08"/>
    <b v="0"/>
    <m/>
    <m/>
    <s v="-"/>
    <x v="164"/>
    <s v="Create Rule; and Description='APPLE INC';Dividend"/>
    <m/>
  </r>
  <r>
    <x v="31"/>
    <d v="2021-08-13T00:00:00"/>
    <s v="Cash Rewards Visa Signature"/>
    <x v="1508"/>
    <n v="300.54000000000002"/>
    <x v="26"/>
    <m/>
    <m/>
    <m/>
    <n v="300.54000000000002"/>
    <b v="0"/>
    <m/>
    <m/>
    <s v="-"/>
    <x v="1415"/>
    <s v="Manual"/>
    <m/>
  </r>
  <r>
    <x v="31"/>
    <d v="2021-08-13T00:00:00"/>
    <s v="Brokerage"/>
    <x v="950"/>
    <n v="-250"/>
    <x v="26"/>
    <m/>
    <m/>
    <m/>
    <n v="250"/>
    <b v="0"/>
    <m/>
    <m/>
    <s v="+"/>
    <x v="913"/>
    <s v="Create Rule; and Description Like '%CONNECTED ANALYT%';Inc - Jeff"/>
    <m/>
  </r>
  <r>
    <x v="31"/>
    <d v="2021-08-13T00:00:00"/>
    <s v="Joint Tenant"/>
    <x v="950"/>
    <n v="-250"/>
    <x v="26"/>
    <m/>
    <m/>
    <m/>
    <n v="250"/>
    <b v="0"/>
    <m/>
    <m/>
    <s v="+"/>
    <x v="913"/>
    <s v="Create Rule; and Description Like '%CONNECTED ANALYT%';Inc - Jeff"/>
    <m/>
  </r>
  <r>
    <x v="31"/>
    <d v="2021-08-13T00:00:00"/>
    <s v="Jeff IRA"/>
    <x v="951"/>
    <n v="-250"/>
    <x v="26"/>
    <m/>
    <m/>
    <m/>
    <n v="250"/>
    <b v="0"/>
    <m/>
    <m/>
    <s v="+"/>
    <x v="914"/>
    <s v="Create Rule; and Description Like '%CONNECTED ANALYT%';Inc - Jeff"/>
    <m/>
  </r>
  <r>
    <x v="31"/>
    <d v="2021-08-13T00:00:00"/>
    <s v="Brokerage"/>
    <x v="611"/>
    <n v="-5.8"/>
    <x v="26"/>
    <m/>
    <m/>
    <m/>
    <n v="5.8"/>
    <b v="0"/>
    <m/>
    <m/>
    <s v="+"/>
    <x v="590"/>
    <s v="Manual"/>
    <m/>
  </r>
  <r>
    <x v="31"/>
    <d v="2021-08-13T00:00:00"/>
    <s v="Joint Tenant"/>
    <x v="611"/>
    <n v="-5.8"/>
    <x v="26"/>
    <m/>
    <m/>
    <m/>
    <n v="5.8"/>
    <b v="0"/>
    <m/>
    <m/>
    <s v="+"/>
    <x v="590"/>
    <s v="Delete; and Source='Joint Tenant';0"/>
    <m/>
  </r>
  <r>
    <x v="31"/>
    <d v="2021-08-14T00:00:00"/>
    <s v="Discover"/>
    <x v="2"/>
    <n v="10.029999999999999"/>
    <x v="2"/>
    <m/>
    <m/>
    <m/>
    <n v="10.029999999999999"/>
    <b v="0"/>
    <m/>
    <m/>
    <s v="-"/>
    <x v="2"/>
    <s v="Create Rule; and Description='Speedway';Transportation"/>
    <m/>
  </r>
  <r>
    <x v="31"/>
    <d v="2021-08-14T00:00:00"/>
    <s v="Discover More Card"/>
    <x v="2"/>
    <n v="10.029999999999999"/>
    <x v="2"/>
    <m/>
    <m/>
    <m/>
    <n v="10.029999999999999"/>
    <b v="0"/>
    <m/>
    <m/>
    <s v="-"/>
    <x v="2"/>
    <s v="Create Rule; and Description='Speedway';Transportation"/>
    <m/>
  </r>
  <r>
    <x v="31"/>
    <d v="2021-08-15T00:00:00"/>
    <s v="Cash Rewards Visa Signature"/>
    <x v="67"/>
    <n v="45"/>
    <x v="11"/>
    <m/>
    <m/>
    <m/>
    <n v="45"/>
    <b v="0"/>
    <m/>
    <m/>
    <s v="-"/>
    <x v="67"/>
    <s v="Create Rule; and Description='CenturyLink';Utilities"/>
    <m/>
  </r>
  <r>
    <x v="31"/>
    <d v="2021-08-15T00:00:00"/>
    <s v="Cash Rewards Visa Signature"/>
    <x v="2"/>
    <n v="1.59"/>
    <x v="2"/>
    <m/>
    <m/>
    <m/>
    <n v="1.59"/>
    <b v="0"/>
    <m/>
    <m/>
    <s v="-"/>
    <x v="2"/>
    <s v="Create Rule; and Description='Speedway';Transportation"/>
    <m/>
  </r>
  <r>
    <x v="31"/>
    <d v="2021-08-15T00:00:00"/>
    <s v="Cash Rewards Visa Signature"/>
    <x v="2"/>
    <n v="48.16"/>
    <x v="2"/>
    <m/>
    <m/>
    <m/>
    <n v="48.16"/>
    <b v="0"/>
    <m/>
    <m/>
    <s v="-"/>
    <x v="2"/>
    <s v="Create Rule; and Description='Speedway';Transportation"/>
    <m/>
  </r>
  <r>
    <x v="31"/>
    <d v="2021-08-15T00:00:00"/>
    <s v="Cash Rewards Visa Signature"/>
    <x v="1509"/>
    <n v="89.75"/>
    <x v="26"/>
    <m/>
    <m/>
    <m/>
    <n v="89.75"/>
    <b v="0"/>
    <m/>
    <m/>
    <s v="-"/>
    <x v="1416"/>
    <s v="Create Rule; and Description Like '%TST COPPER COW%';Restaurants"/>
    <m/>
  </r>
  <r>
    <x v="31"/>
    <d v="2021-08-16T00:00:00"/>
    <s v="POWERPLUS"/>
    <x v="1510"/>
    <n v="-45"/>
    <x v="26"/>
    <m/>
    <m/>
    <m/>
    <n v="45"/>
    <b v="0"/>
    <m/>
    <m/>
    <s v="+"/>
    <x v="1417"/>
    <s v="Manual"/>
    <m/>
  </r>
  <r>
    <x v="31"/>
    <d v="2021-08-16T00:00:00"/>
    <s v="Cash Rewards Visa Signature"/>
    <x v="0"/>
    <n v="-17.38"/>
    <x v="0"/>
    <m/>
    <m/>
    <m/>
    <n v="17.38"/>
    <b v="0"/>
    <m/>
    <m/>
    <s v="+"/>
    <x v="0"/>
    <s v="Create Rule; and Description='Amazon';Amazon"/>
    <m/>
  </r>
  <r>
    <x v="31"/>
    <d v="2021-08-16T00:00:00"/>
    <s v="POWERPLUS"/>
    <x v="48"/>
    <n v="94.98"/>
    <x v="16"/>
    <m/>
    <m/>
    <m/>
    <n v="94.98"/>
    <b v="0"/>
    <m/>
    <m/>
    <s v="-"/>
    <x v="48"/>
    <s v="Create Rule; and Description='American Family Insurance';Insurance"/>
    <m/>
  </r>
  <r>
    <x v="31"/>
    <d v="2021-08-16T00:00:00"/>
    <s v="Contributory"/>
    <x v="1511"/>
    <n v="-0.1"/>
    <x v="26"/>
    <m/>
    <m/>
    <m/>
    <n v="0.1"/>
    <b v="0"/>
    <m/>
    <m/>
    <s v="+"/>
    <x v="1418"/>
    <s v="Manual"/>
    <m/>
  </r>
  <r>
    <x v="31"/>
    <d v="2021-08-16T00:00:00"/>
    <s v="Cooper"/>
    <x v="1511"/>
    <n v="-0.01"/>
    <x v="26"/>
    <m/>
    <m/>
    <m/>
    <n v="0.01"/>
    <b v="0"/>
    <m/>
    <m/>
    <s v="+"/>
    <x v="1418"/>
    <s v="Manual"/>
    <m/>
  </r>
  <r>
    <x v="31"/>
    <d v="2021-08-16T00:00:00"/>
    <s v="Jeff IRA"/>
    <x v="1511"/>
    <n v="-0.03"/>
    <x v="26"/>
    <m/>
    <m/>
    <m/>
    <n v="0.03"/>
    <b v="0"/>
    <m/>
    <m/>
    <s v="+"/>
    <x v="1418"/>
    <s v="Manual"/>
    <m/>
  </r>
  <r>
    <x v="31"/>
    <d v="2021-08-16T00:00:00"/>
    <s v="Cash Rewards Visa Signature"/>
    <x v="1512"/>
    <n v="6.32"/>
    <x v="26"/>
    <m/>
    <m/>
    <m/>
    <n v="6.32"/>
    <b v="0"/>
    <m/>
    <m/>
    <s v="-"/>
    <x v="1419"/>
    <s v="Manual"/>
    <m/>
  </r>
  <r>
    <x v="31"/>
    <d v="2021-08-16T00:00:00"/>
    <s v="Cash Rewards Visa Signature"/>
    <x v="6"/>
    <n v="58.7"/>
    <x v="5"/>
    <m/>
    <m/>
    <m/>
    <n v="58.7"/>
    <b v="0"/>
    <m/>
    <m/>
    <s v="-"/>
    <x v="6"/>
    <s v="Create Rule; and Description Like '%Cub Foods%';Groceries"/>
    <m/>
  </r>
  <r>
    <x v="31"/>
    <d v="2021-08-16T00:00:00"/>
    <s v="Cash Rewards Visa Signature"/>
    <x v="1513"/>
    <n v="21.6"/>
    <x v="26"/>
    <m/>
    <m/>
    <m/>
    <n v="21.6"/>
    <b v="0"/>
    <m/>
    <m/>
    <s v="-"/>
    <x v="1420"/>
    <s v="Manual"/>
    <m/>
  </r>
  <r>
    <x v="31"/>
    <d v="2021-08-16T00:00:00"/>
    <s v="Cash Rewards Visa Signature"/>
    <x v="214"/>
    <n v="27.12"/>
    <x v="2"/>
    <m/>
    <m/>
    <m/>
    <n v="27.12"/>
    <b v="0"/>
    <m/>
    <m/>
    <s v="-"/>
    <x v="213"/>
    <s v="Create Rule; and Description='Lyft';Transportation"/>
    <m/>
  </r>
  <r>
    <x v="31"/>
    <d v="2021-08-16T00:00:00"/>
    <s v="Brokerage"/>
    <x v="169"/>
    <n v="-34.76"/>
    <x v="26"/>
    <m/>
    <m/>
    <m/>
    <n v="34.76"/>
    <b v="0"/>
    <m/>
    <m/>
    <s v="+"/>
    <x v="168"/>
    <s v="Manual"/>
    <m/>
  </r>
  <r>
    <x v="31"/>
    <d v="2021-08-16T00:00:00"/>
    <s v="Joint Tenant"/>
    <x v="169"/>
    <n v="-34.76"/>
    <x v="26"/>
    <m/>
    <m/>
    <m/>
    <n v="34.76"/>
    <b v="0"/>
    <m/>
    <m/>
    <s v="+"/>
    <x v="168"/>
    <s v="Create Rule; and Description='PROCTER &amp; GAMBLE';Dividend"/>
    <m/>
  </r>
  <r>
    <x v="31"/>
    <d v="2021-08-16T00:00:00"/>
    <s v="Cash Rewards Visa Signature"/>
    <x v="1514"/>
    <n v="20.5"/>
    <x v="26"/>
    <m/>
    <m/>
    <m/>
    <n v="20.5"/>
    <b v="0"/>
    <m/>
    <m/>
    <s v="-"/>
    <x v="1421"/>
    <s v="Manual"/>
    <m/>
  </r>
  <r>
    <x v="31"/>
    <d v="2021-08-17T00:00:00"/>
    <s v="POWERPLUS"/>
    <x v="1515"/>
    <n v="97.75"/>
    <x v="26"/>
    <m/>
    <m/>
    <m/>
    <n v="97.75"/>
    <b v="0"/>
    <m/>
    <m/>
    <s v="-"/>
    <x v="1422"/>
    <s v="Manual"/>
    <m/>
  </r>
  <r>
    <x v="31"/>
    <d v="2021-08-17T00:00:00"/>
    <s v="Cash Rewards Visa Signature"/>
    <x v="81"/>
    <n v="5.85"/>
    <x v="26"/>
    <m/>
    <m/>
    <m/>
    <n v="5.85"/>
    <b v="0"/>
    <m/>
    <m/>
    <s v="-"/>
    <x v="81"/>
    <s v="Create Rule; and Description='Holiday Stationstore';Transportation"/>
    <m/>
  </r>
  <r>
    <x v="31"/>
    <d v="2021-08-17T00:00:00"/>
    <s v="Cash Rewards Visa Signature"/>
    <x v="81"/>
    <n v="53.77"/>
    <x v="26"/>
    <m/>
    <m/>
    <m/>
    <n v="53.77"/>
    <b v="0"/>
    <m/>
    <m/>
    <s v="-"/>
    <x v="81"/>
    <s v="Create Rule; and Description='Holiday Stationstore';Transportation"/>
    <m/>
  </r>
  <r>
    <x v="31"/>
    <d v="2021-08-17T00:00:00"/>
    <s v="Cash Rewards Visa Signature"/>
    <x v="214"/>
    <n v="9.3699999999999992"/>
    <x v="2"/>
    <m/>
    <m/>
    <m/>
    <n v="9.3699999999999992"/>
    <b v="0"/>
    <m/>
    <m/>
    <s v="-"/>
    <x v="213"/>
    <s v="Create Rule; and Description='Lyft';Transportation"/>
    <m/>
  </r>
  <r>
    <x v="31"/>
    <d v="2021-08-17T00:00:00"/>
    <s v="Brokerage"/>
    <x v="169"/>
    <n v="34.76"/>
    <x v="26"/>
    <m/>
    <m/>
    <m/>
    <n v="34.76"/>
    <b v="0"/>
    <m/>
    <m/>
    <s v="-"/>
    <x v="168"/>
    <s v="Manual"/>
    <m/>
  </r>
  <r>
    <x v="31"/>
    <d v="2021-08-17T00:00:00"/>
    <s v="Joint Tenant"/>
    <x v="169"/>
    <n v="34.76"/>
    <x v="26"/>
    <m/>
    <m/>
    <m/>
    <n v="34.76"/>
    <b v="0"/>
    <m/>
    <m/>
    <s v="-"/>
    <x v="168"/>
    <s v="Create Rule; and Description='PROCTER &amp; GAMBLE';Dividend"/>
    <m/>
  </r>
  <r>
    <x v="31"/>
    <d v="2021-08-18T00:00:00"/>
    <s v="POWERPLUS"/>
    <x v="1516"/>
    <n v="5"/>
    <x v="26"/>
    <m/>
    <m/>
    <m/>
    <n v="5"/>
    <b v="0"/>
    <m/>
    <m/>
    <s v="-"/>
    <x v="1423"/>
    <s v="Manual"/>
    <m/>
  </r>
  <r>
    <x v="31"/>
    <d v="2021-08-18T00:00:00"/>
    <s v="Cash Rewards Visa Signature"/>
    <x v="0"/>
    <n v="297.18"/>
    <x v="0"/>
    <m/>
    <m/>
    <m/>
    <n v="297.18"/>
    <b v="0"/>
    <m/>
    <m/>
    <s v="-"/>
    <x v="0"/>
    <s v="Create Rule; and Description='Amazon';Amazon"/>
    <m/>
  </r>
  <r>
    <x v="31"/>
    <d v="2021-08-18T00:00:00"/>
    <s v="Cash Rewards Visa Signature"/>
    <x v="1517"/>
    <n v="-300.54000000000002"/>
    <x v="26"/>
    <m/>
    <m/>
    <m/>
    <n v="300.54000000000002"/>
    <b v="0"/>
    <m/>
    <m/>
    <s v="+"/>
    <x v="1424"/>
    <s v="Manual"/>
    <m/>
  </r>
  <r>
    <x v="31"/>
    <d v="2021-08-18T00:00:00"/>
    <s v="Cash Rewards Visa Signature"/>
    <x v="890"/>
    <n v="4.92"/>
    <x v="1"/>
    <m/>
    <m/>
    <m/>
    <n v="4.92"/>
    <b v="0"/>
    <m/>
    <m/>
    <s v="-"/>
    <x v="855"/>
    <s v="Manual"/>
    <m/>
  </r>
  <r>
    <x v="31"/>
    <d v="2021-08-18T00:00:00"/>
    <s v="POWERPLUS"/>
    <x v="1518"/>
    <n v="200"/>
    <x v="26"/>
    <m/>
    <m/>
    <m/>
    <n v="200"/>
    <b v="0"/>
    <m/>
    <m/>
    <s v="-"/>
    <x v="1245"/>
    <s v="Create Rule; and Description Like '%MN DIR ACH%';College Savings"/>
    <m/>
  </r>
  <r>
    <x v="31"/>
    <d v="2021-08-18T00:00:00"/>
    <s v="Cash Rewards Visa Signature"/>
    <x v="188"/>
    <n v="34.36"/>
    <x v="1"/>
    <m/>
    <m/>
    <m/>
    <n v="34.36"/>
    <b v="0"/>
    <m/>
    <m/>
    <s v="-"/>
    <x v="187"/>
    <s v="Create Rule; and Description='Noodles &amp; Company';Restaurants"/>
    <m/>
  </r>
  <r>
    <x v="31"/>
    <d v="2021-08-19T00:00:00"/>
    <s v="Cash Rewards Visa Signature"/>
    <x v="0"/>
    <n v="63.33"/>
    <x v="0"/>
    <m/>
    <m/>
    <m/>
    <n v="63.33"/>
    <b v="0"/>
    <m/>
    <m/>
    <s v="-"/>
    <x v="0"/>
    <s v="Create Rule; and Description='Amazon';Amazon"/>
    <m/>
  </r>
  <r>
    <x v="31"/>
    <d v="2021-08-19T00:00:00"/>
    <s v="POWERPLUS"/>
    <x v="1519"/>
    <n v="-2498.42"/>
    <x v="26"/>
    <m/>
    <m/>
    <m/>
    <n v="2498.42"/>
    <b v="0"/>
    <m/>
    <m/>
    <s v="+"/>
    <x v="1256"/>
    <s v="Create Rule; and Description Like '%Cargill Inc Deposit CARGILL INCORPOR TYPE DIRECT DEP ID CO CARGILL INCORPOR ACH%';Inc - Britney"/>
    <m/>
  </r>
  <r>
    <x v="31"/>
    <d v="2021-08-19T00:00:00"/>
    <s v="Cash Rewards Visa Signature"/>
    <x v="6"/>
    <n v="1.69"/>
    <x v="5"/>
    <m/>
    <m/>
    <m/>
    <n v="1.69"/>
    <b v="0"/>
    <m/>
    <m/>
    <s v="-"/>
    <x v="6"/>
    <s v="Create Rule; and Description Like '%Cub Foods%';Groceries"/>
    <m/>
  </r>
  <r>
    <x v="31"/>
    <d v="2021-08-19T00:00:00"/>
    <s v="Cash Rewards Visa Signature"/>
    <x v="1520"/>
    <n v="2239.67"/>
    <x v="26"/>
    <m/>
    <m/>
    <m/>
    <n v="2239.67"/>
    <b v="0"/>
    <m/>
    <m/>
    <s v="-"/>
    <x v="1425"/>
    <s v="Manual"/>
    <m/>
  </r>
  <r>
    <x v="31"/>
    <d v="2021-08-20T00:00:00"/>
    <s v="Cash Rewards Visa Signature"/>
    <x v="0"/>
    <n v="61.48"/>
    <x v="0"/>
    <m/>
    <m/>
    <m/>
    <n v="61.48"/>
    <b v="0"/>
    <m/>
    <m/>
    <s v="-"/>
    <x v="0"/>
    <s v="Create Rule; and Description='Amazon';Amazon"/>
    <m/>
  </r>
  <r>
    <x v="31"/>
    <d v="2021-08-20T00:00:00"/>
    <s v="Brokerage"/>
    <x v="1299"/>
    <n v="-200"/>
    <x v="26"/>
    <m/>
    <m/>
    <m/>
    <n v="200"/>
    <b v="0"/>
    <m/>
    <m/>
    <s v="+"/>
    <x v="1230"/>
    <s v="Manual"/>
    <m/>
  </r>
  <r>
    <x v="31"/>
    <d v="2021-08-20T00:00:00"/>
    <s v="Joint Tenant"/>
    <x v="1299"/>
    <n v="-200"/>
    <x v="26"/>
    <m/>
    <m/>
    <m/>
    <n v="200"/>
    <b v="0"/>
    <m/>
    <m/>
    <s v="+"/>
    <x v="1230"/>
    <s v="Delete; and Source='Joint Tenant';0"/>
    <m/>
  </r>
  <r>
    <x v="31"/>
    <d v="2021-08-20T00:00:00"/>
    <s v="POWERPLUS"/>
    <x v="1321"/>
    <n v="528.79999999999995"/>
    <x v="26"/>
    <m/>
    <m/>
    <m/>
    <n v="528.79999999999995"/>
    <b v="0"/>
    <m/>
    <m/>
    <s v="-"/>
    <x v="1249"/>
    <s v="Create Rule; and Description Like '%MHCHILDCARELLC%';Day Care"/>
    <m/>
  </r>
  <r>
    <x v="31"/>
    <d v="2021-08-20T00:00:00"/>
    <s v="POWERPLUS"/>
    <x v="157"/>
    <n v="20.51"/>
    <x v="8"/>
    <m/>
    <m/>
    <m/>
    <n v="20.51"/>
    <b v="0"/>
    <m/>
    <m/>
    <s v="-"/>
    <x v="156"/>
    <s v="Create Rule; and Description Like '%PayPal%';Shopping"/>
    <m/>
  </r>
  <r>
    <x v="31"/>
    <d v="2021-08-20T00:00:00"/>
    <s v="CARGILL PARTNERSHIP PLAN"/>
    <x v="235"/>
    <n v="-426.7"/>
    <x v="26"/>
    <m/>
    <m/>
    <m/>
    <n v="426.7"/>
    <b v="0"/>
    <m/>
    <m/>
    <s v="+"/>
    <x v="233"/>
    <s v="Create Rule; and Description='Target Retire 2055 Tr P - Plan Contribution';401K"/>
    <m/>
  </r>
  <r>
    <x v="31"/>
    <d v="2021-08-20T00:00:00"/>
    <s v="Contributory"/>
    <x v="1300"/>
    <n v="-231"/>
    <x v="26"/>
    <m/>
    <m/>
    <m/>
    <n v="231"/>
    <b v="0"/>
    <m/>
    <m/>
    <s v="+"/>
    <x v="1231"/>
    <s v="Manual"/>
    <m/>
  </r>
  <r>
    <x v="31"/>
    <d v="2021-08-22T00:00:00"/>
    <s v="Cash Rewards Visa Signature"/>
    <x v="0"/>
    <n v="7.24"/>
    <x v="0"/>
    <m/>
    <m/>
    <m/>
    <n v="7.24"/>
    <b v="0"/>
    <m/>
    <m/>
    <s v="-"/>
    <x v="0"/>
    <s v="Create Rule; and Description='Amazon';Amazon"/>
    <m/>
  </r>
  <r>
    <x v="31"/>
    <d v="2021-08-22T00:00:00"/>
    <s v="Cash Rewards Visa Signature"/>
    <x v="0"/>
    <n v="14.97"/>
    <x v="0"/>
    <m/>
    <m/>
    <m/>
    <n v="14.97"/>
    <b v="0"/>
    <m/>
    <m/>
    <s v="-"/>
    <x v="0"/>
    <s v="Create Rule; and Description='Amazon';Amazon"/>
    <m/>
  </r>
  <r>
    <x v="31"/>
    <d v="2021-08-22T00:00:00"/>
    <s v="Cash Rewards Visa Signature"/>
    <x v="1282"/>
    <n v="9"/>
    <x v="26"/>
    <m/>
    <m/>
    <m/>
    <n v="9"/>
    <b v="0"/>
    <m/>
    <m/>
    <s v="-"/>
    <x v="1215"/>
    <s v="Create Rule; and Description Like '%BONFES%';House Maintenance"/>
    <m/>
  </r>
  <r>
    <x v="31"/>
    <d v="2021-08-22T00:00:00"/>
    <s v="Cash Rewards Visa Signature"/>
    <x v="531"/>
    <n v="42.89"/>
    <x v="26"/>
    <m/>
    <m/>
    <m/>
    <n v="42.89"/>
    <b v="0"/>
    <m/>
    <m/>
    <s v="-"/>
    <x v="512"/>
    <s v="Create Rule; and Description='Coalition';Restaurants"/>
    <m/>
  </r>
  <r>
    <x v="31"/>
    <d v="2021-08-22T00:00:00"/>
    <s v="Cash Rewards Visa Signature"/>
    <x v="1521"/>
    <n v="17.920000000000002"/>
    <x v="26"/>
    <m/>
    <m/>
    <m/>
    <n v="17.920000000000002"/>
    <b v="0"/>
    <m/>
    <m/>
    <s v="-"/>
    <x v="1426"/>
    <s v="Manual"/>
    <m/>
  </r>
  <r>
    <x v="31"/>
    <d v="2021-08-22T00:00:00"/>
    <s v="Cash Rewards Visa Signature"/>
    <x v="1521"/>
    <n v="50.74"/>
    <x v="26"/>
    <m/>
    <m/>
    <m/>
    <n v="50.74"/>
    <b v="0"/>
    <m/>
    <m/>
    <s v="-"/>
    <x v="1426"/>
    <s v="Manual"/>
    <m/>
  </r>
  <r>
    <x v="31"/>
    <d v="2021-08-23T00:00:00"/>
    <s v="Cash Rewards Visa Signature"/>
    <x v="1318"/>
    <n v="-3458.36"/>
    <x v="26"/>
    <m/>
    <m/>
    <m/>
    <n v="3458.36"/>
    <b v="0"/>
    <m/>
    <m/>
    <s v="+"/>
    <x v="1246"/>
    <s v="Create Rule; and Description='Credit Card Payment Received PAYMENT THANK YOU';Delete"/>
    <m/>
  </r>
  <r>
    <x v="31"/>
    <d v="2021-08-23T00:00:00"/>
    <s v="POWERPLUS"/>
    <x v="1522"/>
    <n v="48"/>
    <x v="26"/>
    <m/>
    <m/>
    <m/>
    <n v="48"/>
    <b v="0"/>
    <m/>
    <m/>
    <s v="-"/>
    <x v="1427"/>
    <s v="Manual"/>
    <m/>
  </r>
  <r>
    <x v="31"/>
    <d v="2021-08-23T00:00:00"/>
    <s v="POWERPLUS"/>
    <x v="1319"/>
    <n v="3458.36"/>
    <x v="26"/>
    <m/>
    <m/>
    <m/>
    <n v="3458.36"/>
    <b v="0"/>
    <m/>
    <m/>
    <s v="-"/>
    <x v="1247"/>
    <s v="Manual"/>
    <m/>
  </r>
  <r>
    <x v="31"/>
    <d v="2021-08-23T00:00:00"/>
    <s v="Cash Rewards Visa Signature"/>
    <x v="1"/>
    <n v="60.62"/>
    <x v="26"/>
    <m/>
    <m/>
    <m/>
    <n v="60.62"/>
    <b v="0"/>
    <m/>
    <m/>
    <s v="-"/>
    <x v="1"/>
    <s v="Create Rule; and Description='Borough';Restaurants"/>
    <m/>
  </r>
  <r>
    <x v="31"/>
    <d v="2021-08-23T00:00:00"/>
    <s v="POWERPLUS"/>
    <x v="84"/>
    <n v="117.51"/>
    <x v="26"/>
    <m/>
    <m/>
    <m/>
    <n v="117.51"/>
    <b v="0"/>
    <m/>
    <m/>
    <s v="-"/>
    <x v="84"/>
    <s v="Create Rule; and Description='City of Chanhassen';Utilities"/>
    <m/>
  </r>
  <r>
    <x v="31"/>
    <d v="2021-08-23T00:00:00"/>
    <s v="Cash Rewards Visa Signature"/>
    <x v="1523"/>
    <n v="34.65"/>
    <x v="26"/>
    <m/>
    <m/>
    <m/>
    <n v="34.65"/>
    <b v="0"/>
    <m/>
    <m/>
    <s v="-"/>
    <x v="1428"/>
    <s v="Create Rule; and Description='COOKS O CROCUS HILL NORTMINNEAPOLIS MN';Restaurants"/>
    <m/>
  </r>
  <r>
    <x v="31"/>
    <d v="2021-08-23T00:00:00"/>
    <s v="Cash Rewards Visa Signature"/>
    <x v="1524"/>
    <n v="53.95"/>
    <x v="26"/>
    <m/>
    <m/>
    <m/>
    <n v="53.95"/>
    <b v="0"/>
    <m/>
    <m/>
    <s v="-"/>
    <x v="1429"/>
    <s v="Create Rule; and Description='FULTON LLC MINNEAPOLIS MN FULTON LLC MINNEAPOLIS MN';Restaurants"/>
    <m/>
  </r>
  <r>
    <x v="31"/>
    <d v="2021-08-23T00:00:00"/>
    <s v="Brokerage"/>
    <x v="19"/>
    <n v="200"/>
    <x v="26"/>
    <m/>
    <m/>
    <m/>
    <n v="200"/>
    <b v="0"/>
    <m/>
    <m/>
    <s v="-"/>
    <x v="19"/>
    <s v="Manual"/>
    <m/>
  </r>
  <r>
    <x v="31"/>
    <d v="2021-08-23T00:00:00"/>
    <s v="Joint Tenant"/>
    <x v="19"/>
    <n v="200"/>
    <x v="26"/>
    <m/>
    <m/>
    <m/>
    <n v="200"/>
    <b v="0"/>
    <m/>
    <m/>
    <s v="-"/>
    <x v="19"/>
    <s v="Delete; and Description='SCHWAB S&amp;P 500 INDEX FD' and inflowoutflow='-';0"/>
    <m/>
  </r>
  <r>
    <x v="31"/>
    <d v="2021-08-23T00:00:00"/>
    <s v="Brokerage"/>
    <x v="20"/>
    <n v="200"/>
    <x v="26"/>
    <m/>
    <m/>
    <m/>
    <n v="200"/>
    <b v="0"/>
    <m/>
    <m/>
    <s v="-"/>
    <x v="20"/>
    <s v="Manual"/>
    <m/>
  </r>
  <r>
    <x v="31"/>
    <d v="2021-08-23T00:00:00"/>
    <s v="Joint Tenant"/>
    <x v="20"/>
    <n v="200"/>
    <x v="26"/>
    <m/>
    <m/>
    <m/>
    <n v="200"/>
    <b v="0"/>
    <m/>
    <m/>
    <s v="-"/>
    <x v="20"/>
    <s v="Delete; and Description='SCHWAB TOTAL STOCK MKT INDEX' and inflowoutflow='-';0"/>
    <m/>
  </r>
  <r>
    <x v="31"/>
    <d v="2021-08-23T00:00:00"/>
    <s v="RAINY DAY"/>
    <x v="515"/>
    <n v="-200"/>
    <x v="26"/>
    <m/>
    <m/>
    <m/>
    <n v="200"/>
    <b v="0"/>
    <m/>
    <m/>
    <s v="+"/>
    <x v="496"/>
    <s v="Create Rule; and Description='Share';Delete"/>
    <m/>
  </r>
  <r>
    <x v="31"/>
    <d v="2021-08-23T00:00:00"/>
    <s v="POWERPLUS"/>
    <x v="952"/>
    <n v="200"/>
    <x v="26"/>
    <m/>
    <m/>
    <m/>
    <n v="200"/>
    <b v="0"/>
    <m/>
    <m/>
    <s v="-"/>
    <x v="915"/>
    <s v="Create Rule; and Description='To Share 12';Delete"/>
    <m/>
  </r>
  <r>
    <x v="31"/>
    <d v="2021-08-23T00:00:00"/>
    <s v="Cash Rewards Visa Signature"/>
    <x v="100"/>
    <n v="132.38999999999999"/>
    <x v="5"/>
    <m/>
    <m/>
    <m/>
    <n v="132.38999999999999"/>
    <b v="0"/>
    <m/>
    <m/>
    <s v="-"/>
    <x v="100"/>
    <s v="Create Rule; and Description like '%Trader Joe%';Groceries"/>
    <m/>
  </r>
  <r>
    <x v="31"/>
    <d v="2021-08-23T00:00:00"/>
    <s v="Cash Rewards Visa Signature"/>
    <x v="1525"/>
    <n v="112"/>
    <x v="26"/>
    <m/>
    <m/>
    <m/>
    <n v="112"/>
    <b v="0"/>
    <m/>
    <m/>
    <s v="-"/>
    <x v="1430"/>
    <s v="Manual"/>
    <m/>
  </r>
  <r>
    <x v="31"/>
    <d v="2021-08-24T00:00:00"/>
    <s v="Cash Rewards Visa Signature"/>
    <x v="1318"/>
    <n v="-400"/>
    <x v="26"/>
    <m/>
    <m/>
    <m/>
    <n v="400"/>
    <b v="0"/>
    <m/>
    <m/>
    <s v="+"/>
    <x v="1246"/>
    <s v="Create Rule; and Description='Credit Card Payment Received PAYMENT THANK YOU';Delete"/>
    <m/>
  </r>
  <r>
    <x v="31"/>
    <d v="2021-08-24T00:00:00"/>
    <s v="POWERPLUS"/>
    <x v="1319"/>
    <n v="400"/>
    <x v="26"/>
    <m/>
    <m/>
    <m/>
    <n v="400"/>
    <b v="0"/>
    <m/>
    <m/>
    <s v="-"/>
    <x v="1247"/>
    <s v="Manual"/>
    <m/>
  </r>
  <r>
    <x v="31"/>
    <d v="2021-08-24T00:00:00"/>
    <s v="Cash Rewards Visa Signature"/>
    <x v="6"/>
    <n v="15.99"/>
    <x v="5"/>
    <m/>
    <m/>
    <m/>
    <n v="15.99"/>
    <b v="0"/>
    <m/>
    <m/>
    <s v="-"/>
    <x v="6"/>
    <s v="Create Rule; and Description Like '%Cub Foods%';Groceries"/>
    <m/>
  </r>
  <r>
    <x v="31"/>
    <d v="2021-08-24T00:00:00"/>
    <s v="Cash Rewards Visa Signature"/>
    <x v="1526"/>
    <n v="31.63"/>
    <x v="26"/>
    <m/>
    <m/>
    <m/>
    <n v="31.63"/>
    <b v="0"/>
    <m/>
    <m/>
    <s v="-"/>
    <x v="1431"/>
    <s v="Create Rule; and Description='INBOUND BREWCO MINNEAPOLIS MN';Restaurants"/>
    <m/>
  </r>
  <r>
    <x v="31"/>
    <d v="2021-08-24T00:00:00"/>
    <s v="Cash Rewards Visa Signature"/>
    <x v="722"/>
    <n v="19.77"/>
    <x v="5"/>
    <m/>
    <m/>
    <m/>
    <n v="19.77"/>
    <b v="0"/>
    <m/>
    <m/>
    <s v="-"/>
    <x v="697"/>
    <s v="Create Rule; and Description='MGM Liquor Warehouse';Groceries"/>
    <m/>
  </r>
  <r>
    <x v="31"/>
    <d v="2021-08-24T00:00:00"/>
    <s v="Cash Rewards Visa Signature"/>
    <x v="1527"/>
    <n v="29.99"/>
    <x v="26"/>
    <m/>
    <m/>
    <m/>
    <n v="29.99"/>
    <b v="0"/>
    <m/>
    <m/>
    <s v="-"/>
    <x v="1432"/>
    <s v="Manual"/>
    <m/>
  </r>
  <r>
    <x v="31"/>
    <d v="2021-08-24T00:00:00"/>
    <s v="Cash Rewards Visa Signature"/>
    <x v="34"/>
    <n v="73.28"/>
    <x v="12"/>
    <m/>
    <m/>
    <m/>
    <n v="73.28"/>
    <b v="0"/>
    <m/>
    <m/>
    <s v="-"/>
    <x v="34"/>
    <s v="Create Rule; and Description='Target';Target"/>
    <m/>
  </r>
  <r>
    <x v="31"/>
    <d v="2021-08-25T00:00:00"/>
    <s v="Discover"/>
    <x v="1340"/>
    <n v="24.16"/>
    <x v="26"/>
    <m/>
    <m/>
    <m/>
    <n v="24.16"/>
    <b v="0"/>
    <m/>
    <m/>
    <s v="-"/>
    <x v="1267"/>
    <s v="Manual"/>
    <m/>
  </r>
  <r>
    <x v="31"/>
    <d v="2021-08-25T00:00:00"/>
    <s v="Discover More Card"/>
    <x v="1340"/>
    <n v="24.16"/>
    <x v="26"/>
    <m/>
    <m/>
    <m/>
    <n v="24.16"/>
    <b v="0"/>
    <m/>
    <m/>
    <s v="-"/>
    <x v="1267"/>
    <s v="Manual"/>
    <m/>
  </r>
  <r>
    <x v="31"/>
    <d v="2021-08-25T00:00:00"/>
    <s v="Cash Rewards Visa Signature"/>
    <x v="823"/>
    <n v="51.56"/>
    <x v="2"/>
    <m/>
    <m/>
    <m/>
    <n v="51.56"/>
    <b v="0"/>
    <m/>
    <m/>
    <s v="-"/>
    <x v="792"/>
    <s v="Create Rule; and Description='Kwik Trip';Transportation"/>
    <m/>
  </r>
  <r>
    <x v="31"/>
    <d v="2021-08-25T00:00:00"/>
    <s v="Discover"/>
    <x v="1528"/>
    <n v="41.66"/>
    <x v="26"/>
    <m/>
    <m/>
    <m/>
    <n v="41.66"/>
    <b v="0"/>
    <m/>
    <m/>
    <s v="-"/>
    <x v="1433"/>
    <s v="Manual"/>
    <m/>
  </r>
  <r>
    <x v="31"/>
    <d v="2021-08-25T00:00:00"/>
    <s v="Discover More Card"/>
    <x v="1528"/>
    <n v="41.66"/>
    <x v="26"/>
    <m/>
    <m/>
    <m/>
    <n v="41.66"/>
    <b v="0"/>
    <m/>
    <m/>
    <s v="-"/>
    <x v="1433"/>
    <s v="Manual"/>
    <m/>
  </r>
  <r>
    <x v="31"/>
    <d v="2021-08-25T00:00:00"/>
    <s v="POWERPLUS"/>
    <x v="34"/>
    <n v="373.5"/>
    <x v="12"/>
    <m/>
    <m/>
    <m/>
    <n v="373.5"/>
    <b v="0"/>
    <m/>
    <m/>
    <s v="-"/>
    <x v="34"/>
    <s v="Create Rule; and Description='Target';Target"/>
    <m/>
  </r>
  <r>
    <x v="31"/>
    <d v="2021-08-26T00:00:00"/>
    <s v="Cash Rewards Visa Signature"/>
    <x v="1529"/>
    <n v="422.56"/>
    <x v="26"/>
    <m/>
    <m/>
    <m/>
    <n v="422.56"/>
    <b v="0"/>
    <m/>
    <m/>
    <s v="-"/>
    <x v="1434"/>
    <s v="Manual"/>
    <m/>
  </r>
  <r>
    <x v="31"/>
    <d v="2021-08-26T00:00:00"/>
    <s v="POWERPLUS"/>
    <x v="1321"/>
    <n v="528.79999999999995"/>
    <x v="26"/>
    <m/>
    <m/>
    <m/>
    <n v="528.79999999999995"/>
    <b v="0"/>
    <m/>
    <m/>
    <s v="-"/>
    <x v="1249"/>
    <s v="Create Rule; and Description Like '%MHCHILDCARELLC%';Day Care"/>
    <m/>
  </r>
  <r>
    <x v="31"/>
    <d v="2021-08-26T00:00:00"/>
    <s v="Discover"/>
    <x v="99"/>
    <n v="8.99"/>
    <x v="11"/>
    <m/>
    <m/>
    <m/>
    <n v="8.99"/>
    <b v="0"/>
    <m/>
    <m/>
    <s v="-"/>
    <x v="99"/>
    <s v="Create Rule; and Description='Netflix';Utilities"/>
    <m/>
  </r>
  <r>
    <x v="31"/>
    <d v="2021-08-26T00:00:00"/>
    <s v="Discover More Card"/>
    <x v="99"/>
    <n v="8.99"/>
    <x v="11"/>
    <m/>
    <m/>
    <m/>
    <n v="8.99"/>
    <b v="0"/>
    <m/>
    <m/>
    <s v="-"/>
    <x v="99"/>
    <s v="Create Rule; and Description='Netflix';Utilities"/>
    <m/>
  </r>
  <r>
    <x v="31"/>
    <d v="2021-08-27T00:00:00"/>
    <s v="Cash Rewards Visa Signature"/>
    <x v="1530"/>
    <n v="2290.67"/>
    <x v="2"/>
    <m/>
    <m/>
    <m/>
    <n v="2290.67"/>
    <b v="0"/>
    <m/>
    <m/>
    <s v="-"/>
    <x v="1435"/>
    <s v="Manual"/>
    <m/>
  </r>
  <r>
    <x v="31"/>
    <d v="2021-08-27T00:00:00"/>
    <s v="POWERPLUS"/>
    <x v="1531"/>
    <n v="18284.79"/>
    <x v="26"/>
    <m/>
    <m/>
    <m/>
    <n v="18284.79"/>
    <b v="0"/>
    <m/>
    <m/>
    <s v="-"/>
    <x v="1436"/>
    <s v="Manual"/>
    <m/>
  </r>
  <r>
    <x v="31"/>
    <d v="2021-08-27T00:00:00"/>
    <s v="Brokerage"/>
    <x v="190"/>
    <n v="-21.1"/>
    <x v="26"/>
    <m/>
    <m/>
    <m/>
    <n v="21.1"/>
    <b v="0"/>
    <m/>
    <m/>
    <s v="+"/>
    <x v="189"/>
    <s v="Manual"/>
    <m/>
  </r>
  <r>
    <x v="31"/>
    <d v="2021-08-27T00:00:00"/>
    <s v="Joint Tenant"/>
    <x v="190"/>
    <n v="-21.1"/>
    <x v="26"/>
    <m/>
    <m/>
    <m/>
    <n v="21.1"/>
    <b v="0"/>
    <m/>
    <m/>
    <s v="+"/>
    <x v="189"/>
    <s v="Create Rule; and Description='STARBUCKS CORP';Restaurants"/>
    <m/>
  </r>
  <r>
    <x v="31"/>
    <d v="2021-08-27T00:00:00"/>
    <s v="Cash Rewards Visa Signature"/>
    <x v="1532"/>
    <n v="49.07"/>
    <x v="26"/>
    <m/>
    <m/>
    <m/>
    <n v="49.07"/>
    <b v="0"/>
    <m/>
    <m/>
    <s v="-"/>
    <x v="1437"/>
    <s v="Manual"/>
    <m/>
  </r>
  <r>
    <x v="31"/>
    <d v="2021-08-29T00:00:00"/>
    <s v="Cash Rewards Visa Signature"/>
    <x v="0"/>
    <n v="36.090000000000003"/>
    <x v="0"/>
    <m/>
    <m/>
    <m/>
    <n v="36.090000000000003"/>
    <b v="0"/>
    <m/>
    <m/>
    <s v="-"/>
    <x v="0"/>
    <s v="Create Rule; and Description='Amazon';Amazon"/>
    <m/>
  </r>
  <r>
    <x v="31"/>
    <d v="2021-08-29T00:00:00"/>
    <s v="Cash Rewards Visa Signature"/>
    <x v="1533"/>
    <n v="73.739999999999995"/>
    <x v="26"/>
    <m/>
    <m/>
    <m/>
    <n v="73.739999999999995"/>
    <b v="0"/>
    <m/>
    <m/>
    <s v="-"/>
    <x v="1438"/>
    <s v="Manual"/>
    <m/>
  </r>
  <r>
    <x v="31"/>
    <d v="2021-08-29T00:00:00"/>
    <s v="Discover"/>
    <x v="1534"/>
    <n v="69.36"/>
    <x v="26"/>
    <m/>
    <m/>
    <m/>
    <n v="69.36"/>
    <b v="0"/>
    <m/>
    <m/>
    <s v="-"/>
    <x v="1439"/>
    <s v="Manual"/>
    <m/>
  </r>
  <r>
    <x v="31"/>
    <d v="2021-08-29T00:00:00"/>
    <s v="Discover More Card"/>
    <x v="1534"/>
    <n v="69.36"/>
    <x v="26"/>
    <m/>
    <m/>
    <m/>
    <n v="69.36"/>
    <b v="0"/>
    <m/>
    <m/>
    <s v="-"/>
    <x v="1439"/>
    <s v="Manual"/>
    <m/>
  </r>
  <r>
    <x v="31"/>
    <d v="2021-08-29T00:00:00"/>
    <s v="POWERPLUS"/>
    <x v="1535"/>
    <n v="-3102.97"/>
    <x v="26"/>
    <m/>
    <m/>
    <m/>
    <n v="3102.97"/>
    <b v="0"/>
    <m/>
    <m/>
    <s v="+"/>
    <x v="910"/>
    <s v="Create Rule; and Description Like '%CONNECTED ANALYT%';Inc - Jeff"/>
    <m/>
  </r>
  <r>
    <x v="31"/>
    <d v="2021-08-29T00:00:00"/>
    <s v="Cash Rewards Visa Signature"/>
    <x v="1536"/>
    <n v="67.81"/>
    <x v="26"/>
    <m/>
    <m/>
    <m/>
    <n v="67.81"/>
    <b v="0"/>
    <m/>
    <m/>
    <s v="-"/>
    <x v="1440"/>
    <s v="Create Rule; and Description Like '%MACKENTHUNSMEATS%';Groceries"/>
    <m/>
  </r>
  <r>
    <x v="31"/>
    <d v="2021-08-29T00:00:00"/>
    <s v="Cash Rewards Visa Signature"/>
    <x v="1537"/>
    <n v="25.79"/>
    <x v="26"/>
    <m/>
    <m/>
    <m/>
    <n v="25.79"/>
    <b v="0"/>
    <m/>
    <m/>
    <s v="-"/>
    <x v="1441"/>
    <s v="Manual"/>
    <m/>
  </r>
  <r>
    <x v="31"/>
    <d v="2021-08-30T00:00:00"/>
    <s v="Cash Rewards Visa Signature"/>
    <x v="1318"/>
    <n v="-3181.56"/>
    <x v="26"/>
    <m/>
    <m/>
    <m/>
    <n v="3181.56"/>
    <b v="0"/>
    <m/>
    <m/>
    <s v="+"/>
    <x v="1246"/>
    <s v="Manual"/>
    <m/>
  </r>
  <r>
    <x v="31"/>
    <d v="2021-08-30T00:00:00"/>
    <s v="POWERPLUS"/>
    <x v="1319"/>
    <n v="3181.56"/>
    <x v="26"/>
    <m/>
    <m/>
    <m/>
    <n v="3181.56"/>
    <b v="0"/>
    <m/>
    <m/>
    <s v="-"/>
    <x v="1247"/>
    <s v="Manual"/>
    <m/>
  </r>
  <r>
    <x v="31"/>
    <d v="2021-08-30T00:00:00"/>
    <s v="Cash Rewards Visa Signature"/>
    <x v="1538"/>
    <n v="6"/>
    <x v="26"/>
    <m/>
    <m/>
    <m/>
    <n v="6"/>
    <b v="0"/>
    <m/>
    <m/>
    <s v="-"/>
    <x v="1442"/>
    <s v="Manual"/>
    <m/>
  </r>
  <r>
    <x v="31"/>
    <d v="2021-08-30T00:00:00"/>
    <s v="Cash Rewards Visa Signature"/>
    <x v="1533"/>
    <n v="84.43"/>
    <x v="26"/>
    <m/>
    <m/>
    <m/>
    <n v="84.43"/>
    <b v="0"/>
    <m/>
    <m/>
    <s v="-"/>
    <x v="1438"/>
    <s v="Manual"/>
    <m/>
  </r>
  <r>
    <x v="31"/>
    <d v="2021-08-30T00:00:00"/>
    <s v="Cash Rewards Visa Signature"/>
    <x v="577"/>
    <n v="19.75"/>
    <x v="1"/>
    <m/>
    <m/>
    <m/>
    <n v="19.75"/>
    <b v="0"/>
    <m/>
    <m/>
    <s v="-"/>
    <x v="558"/>
    <s v="Create Rule; and Description Like '%Jimmy John%';Restaurants"/>
    <m/>
  </r>
  <r>
    <x v="31"/>
    <d v="2021-08-30T00:00:00"/>
    <s v="Cash Rewards Visa Signature"/>
    <x v="1539"/>
    <n v="43"/>
    <x v="26"/>
    <m/>
    <m/>
    <m/>
    <n v="43"/>
    <b v="0"/>
    <m/>
    <m/>
    <s v="-"/>
    <x v="1443"/>
    <s v="Manual"/>
    <m/>
  </r>
  <r>
    <x v="31"/>
    <d v="2021-08-30T00:00:00"/>
    <s v="POWERPLUS"/>
    <x v="157"/>
    <n v="0.99"/>
    <x v="8"/>
    <m/>
    <m/>
    <m/>
    <n v="0.99"/>
    <b v="0"/>
    <m/>
    <m/>
    <s v="-"/>
    <x v="156"/>
    <s v="Create Rule; and Description Like '%PayPal%';Shopping"/>
    <m/>
  </r>
  <r>
    <x v="31"/>
    <d v="2021-08-30T00:00:00"/>
    <s v="Cash Rewards Visa Signature"/>
    <x v="1540"/>
    <n v="152.41999999999999"/>
    <x v="26"/>
    <m/>
    <m/>
    <m/>
    <n v="152.41999999999999"/>
    <b v="0"/>
    <m/>
    <m/>
    <s v="-"/>
    <x v="1444"/>
    <s v="Manual"/>
    <m/>
  </r>
  <r>
    <x v="31"/>
    <d v="2021-08-30T00:00:00"/>
    <s v="Brokerage"/>
    <x v="190"/>
    <n v="21.1"/>
    <x v="26"/>
    <m/>
    <m/>
    <m/>
    <n v="21.1"/>
    <b v="0"/>
    <m/>
    <m/>
    <s v="-"/>
    <x v="189"/>
    <s v="Manual"/>
    <m/>
  </r>
  <r>
    <x v="31"/>
    <d v="2021-08-30T00:00:00"/>
    <s v="Joint Tenant"/>
    <x v="190"/>
    <n v="21.1"/>
    <x v="26"/>
    <m/>
    <m/>
    <m/>
    <n v="21.1"/>
    <b v="0"/>
    <m/>
    <m/>
    <s v="-"/>
    <x v="189"/>
    <s v="Create Rule; and Description='STARBUCKS CORP';Restaurants"/>
    <m/>
  </r>
  <r>
    <x v="31"/>
    <d v="2021-08-30T00:00:00"/>
    <s v="Cash Rewards Visa Signature"/>
    <x v="1117"/>
    <n v="55.85"/>
    <x v="26"/>
    <m/>
    <m/>
    <m/>
    <n v="55.85"/>
    <b v="0"/>
    <m/>
    <m/>
    <s v="-"/>
    <x v="1064"/>
    <s v="Manual"/>
    <m/>
  </r>
  <r>
    <x v="31"/>
    <d v="2021-08-31T00:00:00"/>
    <s v="Brokerage"/>
    <x v="950"/>
    <n v="-250"/>
    <x v="26"/>
    <m/>
    <m/>
    <m/>
    <n v="250"/>
    <b v="0"/>
    <m/>
    <m/>
    <s v="+"/>
    <x v="913"/>
    <s v="Create Rule; and Description Like '%CONNECTED ANALYT%';Inc - Jeff"/>
    <m/>
  </r>
  <r>
    <x v="31"/>
    <d v="2021-08-31T00:00:00"/>
    <s v="Joint Tenant"/>
    <x v="950"/>
    <n v="-250"/>
    <x v="26"/>
    <m/>
    <m/>
    <m/>
    <n v="250"/>
    <b v="0"/>
    <m/>
    <m/>
    <s v="+"/>
    <x v="913"/>
    <s v="Create Rule; and Description Like '%CONNECTED ANALYT%';Inc - Jeff"/>
    <m/>
  </r>
  <r>
    <x v="31"/>
    <d v="2021-08-31T00:00:00"/>
    <s v="POWERPLUS"/>
    <x v="1065"/>
    <n v="-12515.54"/>
    <x v="3"/>
    <m/>
    <m/>
    <m/>
    <n v="12515.54"/>
    <b v="0"/>
    <m/>
    <m/>
    <s v="+"/>
    <x v="1015"/>
    <s v="Manual"/>
    <m/>
  </r>
  <r>
    <x v="31"/>
    <d v="2021-08-31T00:00:00"/>
    <s v="POWERPLUS"/>
    <x v="1541"/>
    <n v="-25.66"/>
    <x v="26"/>
    <m/>
    <m/>
    <m/>
    <n v="25.66"/>
    <b v="0"/>
    <m/>
    <m/>
    <s v="+"/>
    <x v="1445"/>
    <s v="Manual"/>
    <m/>
  </r>
  <r>
    <x v="31"/>
    <d v="2021-08-31T00:00:00"/>
    <s v="RAINY DAY"/>
    <x v="1542"/>
    <n v="-13.61"/>
    <x v="26"/>
    <m/>
    <m/>
    <m/>
    <n v="13.61"/>
    <b v="0"/>
    <m/>
    <m/>
    <s v="+"/>
    <x v="1446"/>
    <s v="Manual"/>
    <m/>
  </r>
  <r>
    <x v="31"/>
    <d v="2021-08-31T00:00:00"/>
    <s v="Investor Checking"/>
    <x v="118"/>
    <n v="-0.04"/>
    <x v="26"/>
    <m/>
    <m/>
    <m/>
    <n v="0.04"/>
    <b v="0"/>
    <m/>
    <m/>
    <s v="+"/>
    <x v="118"/>
    <s v="Manual"/>
    <m/>
  </r>
  <r>
    <x v="31"/>
    <d v="2021-08-31T00:00:00"/>
    <s v="Cash Rewards Visa Signature"/>
    <x v="1392"/>
    <n v="72.58"/>
    <x v="26"/>
    <m/>
    <m/>
    <m/>
    <n v="72.58"/>
    <b v="0"/>
    <m/>
    <m/>
    <s v="-"/>
    <x v="1311"/>
    <s v="Manual"/>
    <m/>
  </r>
  <r>
    <x v="31"/>
    <d v="2021-08-31T00:00:00"/>
    <s v="Jeff IRA"/>
    <x v="951"/>
    <n v="-250"/>
    <x v="26"/>
    <m/>
    <m/>
    <m/>
    <n v="250"/>
    <b v="0"/>
    <m/>
    <m/>
    <s v="+"/>
    <x v="914"/>
    <s v="Create Rule; and Description Like '%CONNECTED ANALYT%';Inc - Jeff"/>
    <m/>
  </r>
  <r>
    <x v="32"/>
    <d v="2021-09-01T00:00:00"/>
    <s v="30 YR FIXED"/>
    <x v="935"/>
    <n v="-742.82"/>
    <x v="3"/>
    <m/>
    <m/>
    <m/>
    <n v="742.82"/>
    <b v="0"/>
    <m/>
    <m/>
    <s v="+"/>
    <x v="899"/>
    <s v="Create Rule; and Description='PAYMENT';Delete"/>
    <m/>
  </r>
  <r>
    <x v="32"/>
    <d v="2021-09-01T00:00:00"/>
    <s v="Discover"/>
    <x v="0"/>
    <n v="6.43"/>
    <x v="0"/>
    <m/>
    <m/>
    <m/>
    <n v="6.43"/>
    <b v="0"/>
    <m/>
    <m/>
    <s v="-"/>
    <x v="0"/>
    <s v="Create Rule; and Description='Amazon';Amazon"/>
    <m/>
  </r>
  <r>
    <x v="32"/>
    <d v="2021-09-01T00:00:00"/>
    <s v="Discover More Card"/>
    <x v="0"/>
    <n v="6.43"/>
    <x v="0"/>
    <m/>
    <m/>
    <m/>
    <n v="6.43"/>
    <b v="0"/>
    <m/>
    <m/>
    <s v="-"/>
    <x v="0"/>
    <s v="Create Rule; and Description='Amazon';Amazon"/>
    <m/>
  </r>
  <r>
    <x v="32"/>
    <d v="2021-09-01T00:00:00"/>
    <s v="Discover"/>
    <x v="598"/>
    <n v="4.28"/>
    <x v="10"/>
    <m/>
    <m/>
    <m/>
    <n v="4.28"/>
    <b v="0"/>
    <m/>
    <m/>
    <s v="-"/>
    <x v="579"/>
    <s v="Create Rule; and Description='Amazon Music';Entertainment"/>
    <m/>
  </r>
  <r>
    <x v="32"/>
    <d v="2021-09-01T00:00:00"/>
    <s v="Discover More Card"/>
    <x v="598"/>
    <n v="4.28"/>
    <x v="10"/>
    <m/>
    <m/>
    <m/>
    <n v="4.28"/>
    <b v="0"/>
    <m/>
    <m/>
    <s v="-"/>
    <x v="579"/>
    <s v="Create Rule; and Description='Amazon Music';Entertainment"/>
    <m/>
  </r>
  <r>
    <x v="32"/>
    <d v="2021-09-01T00:00:00"/>
    <s v="POWERPLUS"/>
    <x v="1334"/>
    <n v="3003.94"/>
    <x v="6"/>
    <m/>
    <m/>
    <m/>
    <n v="3003.94"/>
    <b v="0"/>
    <m/>
    <m/>
    <s v="-"/>
    <x v="1261"/>
    <s v="Create Rule; and Description='Baxter Credit Union';Rent"/>
    <m/>
  </r>
  <r>
    <x v="32"/>
    <d v="2021-09-01T00:00:00"/>
    <s v="POWERPLUS"/>
    <x v="1335"/>
    <n v="200"/>
    <x v="26"/>
    <m/>
    <m/>
    <m/>
    <n v="200"/>
    <b v="0"/>
    <m/>
    <m/>
    <s v="-"/>
    <x v="1262"/>
    <s v="Create Rule; and Description Like '%College Savings%';College Savings"/>
    <m/>
  </r>
  <r>
    <x v="32"/>
    <d v="2021-09-01T00:00:00"/>
    <s v="HIGHLANDER"/>
    <x v="976"/>
    <n v="-587.69000000000005"/>
    <x v="26"/>
    <m/>
    <m/>
    <m/>
    <n v="587.69000000000005"/>
    <b v="0"/>
    <m/>
    <m/>
    <s v="+"/>
    <x v="936"/>
    <s v="Create Rule; and Description='From Share 70';Delete"/>
    <m/>
  </r>
  <r>
    <x v="32"/>
    <d v="2021-09-01T00:00:00"/>
    <s v="Joint Tenant"/>
    <x v="187"/>
    <n v="-30.07"/>
    <x v="26"/>
    <m/>
    <m/>
    <m/>
    <n v="30.07"/>
    <b v="0"/>
    <m/>
    <m/>
    <s v="+"/>
    <x v="186"/>
    <s v="Create Rule; and Description='INTEL CORP';Dividend"/>
    <m/>
  </r>
  <r>
    <x v="32"/>
    <d v="2021-09-01T00:00:00"/>
    <s v="Cash Rewards Visa Signature"/>
    <x v="823"/>
    <n v="41.1"/>
    <x v="2"/>
    <m/>
    <m/>
    <m/>
    <n v="41.1"/>
    <b v="0"/>
    <m/>
    <m/>
    <s v="-"/>
    <x v="792"/>
    <s v="Create Rule; and Description='Kwik Trip';Transportation"/>
    <m/>
  </r>
  <r>
    <x v="32"/>
    <d v="2021-09-01T00:00:00"/>
    <s v="Cash Rewards Visa Signature"/>
    <x v="1543"/>
    <n v="52.33"/>
    <x v="26"/>
    <m/>
    <m/>
    <m/>
    <n v="52.33"/>
    <b v="0"/>
    <m/>
    <m/>
    <s v="-"/>
    <x v="1447"/>
    <s v="Create Rule; and Description Like '%LIONS TAP%';Restaurants"/>
    <m/>
  </r>
  <r>
    <x v="32"/>
    <d v="2021-09-01T00:00:00"/>
    <s v="30 YR FIXED"/>
    <x v="1085"/>
    <n v="-431"/>
    <x v="26"/>
    <m/>
    <m/>
    <m/>
    <n v="431"/>
    <b v="0"/>
    <m/>
    <m/>
    <s v="+"/>
    <x v="1034"/>
    <s v="Create Rule; and Description='Principal Curtailment';Delete"/>
    <m/>
  </r>
  <r>
    <x v="32"/>
    <d v="2021-09-01T00:00:00"/>
    <s v="Cash Rewards Visa Signature"/>
    <x v="2"/>
    <n v="55.97"/>
    <x v="2"/>
    <m/>
    <m/>
    <m/>
    <n v="55.97"/>
    <b v="0"/>
    <m/>
    <m/>
    <s v="-"/>
    <x v="2"/>
    <s v="Create Rule; and Description='Speedway';Transportation"/>
    <m/>
  </r>
  <r>
    <x v="32"/>
    <d v="2021-09-01T00:00:00"/>
    <s v="POWERPLUS"/>
    <x v="979"/>
    <n v="618.65"/>
    <x v="26"/>
    <m/>
    <m/>
    <m/>
    <n v="618.65"/>
    <b v="0"/>
    <m/>
    <m/>
    <s v="-"/>
    <x v="939"/>
    <s v="Create Rule; and Description Like '%To Loan 02%';Car Loan"/>
    <m/>
  </r>
  <r>
    <x v="32"/>
    <d v="2021-09-01T00:00:00"/>
    <s v="Joint Tenant"/>
    <x v="138"/>
    <n v="-27.05"/>
    <x v="26"/>
    <m/>
    <m/>
    <m/>
    <n v="27.05"/>
    <b v="0"/>
    <m/>
    <m/>
    <s v="+"/>
    <x v="137"/>
    <s v="Create Rule; and Description='VISA INC CLASS A';Dividend"/>
    <m/>
  </r>
  <r>
    <x v="32"/>
    <d v="2021-09-02T00:00:00"/>
    <s v="Cash Rewards Visa Signature"/>
    <x v="936"/>
    <n v="583.42999999999995"/>
    <x v="26"/>
    <m/>
    <m/>
    <m/>
    <n v="-583.42999999999995"/>
    <b v="0"/>
    <m/>
    <m/>
    <s v="+"/>
    <x v="900"/>
    <s v="Delete; and Description Like '%PAYMENT THANK YOU%';0"/>
    <m/>
  </r>
  <r>
    <x v="32"/>
    <d v="2021-09-02T00:00:00"/>
    <s v="POWERPLUS"/>
    <x v="1319"/>
    <n v="583.42999999999995"/>
    <x v="26"/>
    <m/>
    <m/>
    <m/>
    <n v="583.42999999999995"/>
    <b v="0"/>
    <m/>
    <m/>
    <s v="-"/>
    <x v="1247"/>
    <s v="Create Rule; and Description='Withdrawal Home payment to card XX91 Withdrawal Home payment to card 979181';Delete"/>
    <m/>
  </r>
  <r>
    <x v="32"/>
    <d v="2021-09-02T00:00:00"/>
    <s v="Cash Rewards Visa Signature"/>
    <x v="0"/>
    <n v="35"/>
    <x v="0"/>
    <m/>
    <m/>
    <m/>
    <n v="35"/>
    <b v="0"/>
    <m/>
    <m/>
    <s v="-"/>
    <x v="0"/>
    <s v="Create Rule; and Description='Amazon';Amazon"/>
    <m/>
  </r>
  <r>
    <x v="32"/>
    <d v="2021-09-02T00:00:00"/>
    <s v="POWERPLUS"/>
    <x v="1544"/>
    <n v="2793.6"/>
    <x v="26"/>
    <m/>
    <m/>
    <m/>
    <n v="-2793.6"/>
    <b v="0"/>
    <m/>
    <m/>
    <s v="+"/>
    <x v="1227"/>
    <s v="Manual"/>
    <m/>
  </r>
  <r>
    <x v="32"/>
    <d v="2021-09-02T00:00:00"/>
    <s v="Joint Tenant"/>
    <x v="187"/>
    <n v="30.07"/>
    <x v="26"/>
    <m/>
    <m/>
    <m/>
    <n v="30.07"/>
    <b v="0"/>
    <m/>
    <m/>
    <s v="-"/>
    <x v="186"/>
    <s v="Create Rule; and Description='INTEL CORP';Dividend"/>
    <m/>
  </r>
  <r>
    <x v="32"/>
    <d v="2021-09-02T00:00:00"/>
    <s v="POWERPLUS"/>
    <x v="1321"/>
    <n v="528.79999999999995"/>
    <x v="26"/>
    <m/>
    <m/>
    <m/>
    <n v="528.79999999999995"/>
    <b v="0"/>
    <m/>
    <m/>
    <s v="-"/>
    <x v="1249"/>
    <s v="Create Rule; and Description Like '%MHCHILDCARELLC%';Day Care"/>
    <m/>
  </r>
  <r>
    <x v="32"/>
    <d v="2021-09-02T00:00:00"/>
    <s v="POWERPLUS"/>
    <x v="515"/>
    <n v="375"/>
    <x v="26"/>
    <m/>
    <m/>
    <m/>
    <n v="-375"/>
    <b v="0"/>
    <m/>
    <m/>
    <s v="+"/>
    <x v="496"/>
    <s v="Create Rule; and Description='Share';Delete"/>
    <m/>
  </r>
  <r>
    <x v="32"/>
    <d v="2021-09-02T00:00:00"/>
    <s v="SHARE SAVINGS"/>
    <x v="953"/>
    <n v="375"/>
    <x v="26"/>
    <m/>
    <m/>
    <m/>
    <n v="375"/>
    <b v="0"/>
    <m/>
    <m/>
    <s v="-"/>
    <x v="916"/>
    <s v="Manual"/>
    <m/>
  </r>
  <r>
    <x v="32"/>
    <d v="2021-09-02T00:00:00"/>
    <s v="Joint Tenant"/>
    <x v="138"/>
    <n v="27.05"/>
    <x v="26"/>
    <m/>
    <m/>
    <m/>
    <n v="27.05"/>
    <b v="0"/>
    <m/>
    <m/>
    <s v="-"/>
    <x v="137"/>
    <s v="Create Rule; and Description='VISA INC CLASS A';Dividend"/>
    <m/>
  </r>
  <r>
    <x v="32"/>
    <d v="2021-09-03T00:00:00"/>
    <s v="Joint Tenant"/>
    <x v="1299"/>
    <n v="-200"/>
    <x v="26"/>
    <m/>
    <m/>
    <m/>
    <n v="200"/>
    <b v="0"/>
    <m/>
    <m/>
    <s v="+"/>
    <x v="1230"/>
    <s v="Delete; and Source='Joint Tenant';0"/>
    <m/>
  </r>
  <r>
    <x v="32"/>
    <d v="2021-09-03T00:00:00"/>
    <s v="Cash Rewards Visa Signature"/>
    <x v="1545"/>
    <n v="230"/>
    <x v="26"/>
    <m/>
    <m/>
    <m/>
    <n v="230"/>
    <b v="0"/>
    <m/>
    <m/>
    <s v="-"/>
    <x v="1448"/>
    <s v="Manual"/>
    <m/>
  </r>
  <r>
    <x v="32"/>
    <d v="2021-09-03T00:00:00"/>
    <s v="Cash Rewards Visa Signature"/>
    <x v="1222"/>
    <n v="18"/>
    <x v="26"/>
    <m/>
    <m/>
    <m/>
    <n v="18"/>
    <b v="0"/>
    <m/>
    <m/>
    <s v="-"/>
    <x v="1160"/>
    <s v="Create Rule; and Description Like '%HBRSUBSCRIPTION%';Entertainment"/>
    <m/>
  </r>
  <r>
    <x v="32"/>
    <d v="2021-09-03T00:00:00"/>
    <s v="Cash Rewards Visa Signature"/>
    <x v="1030"/>
    <n v="42.62"/>
    <x v="26"/>
    <m/>
    <m/>
    <m/>
    <n v="42.62"/>
    <b v="0"/>
    <m/>
    <m/>
    <s v="-"/>
    <x v="985"/>
    <s v="Create Rule; and Description Like '%Maynard%';Restaurants"/>
    <m/>
  </r>
  <r>
    <x v="32"/>
    <d v="2021-09-03T00:00:00"/>
    <s v="Cash Rewards Visa Signature"/>
    <x v="188"/>
    <n v="24.64"/>
    <x v="1"/>
    <m/>
    <m/>
    <m/>
    <n v="24.64"/>
    <b v="0"/>
    <m/>
    <m/>
    <s v="-"/>
    <x v="187"/>
    <s v="Create Rule; and Description='Noodles &amp; Company';Restaurants"/>
    <m/>
  </r>
  <r>
    <x v="32"/>
    <d v="2021-09-03T00:00:00"/>
    <s v="POWERPLUS"/>
    <x v="157"/>
    <n v="99"/>
    <x v="8"/>
    <m/>
    <m/>
    <m/>
    <n v="99"/>
    <b v="0"/>
    <m/>
    <m/>
    <s v="-"/>
    <x v="156"/>
    <s v="Create Rule; and Description Like '%PayPal%';Shopping"/>
    <m/>
  </r>
  <r>
    <x v="32"/>
    <d v="2021-09-03T00:00:00"/>
    <s v="Contributory"/>
    <x v="1300"/>
    <n v="-231"/>
    <x v="26"/>
    <m/>
    <m/>
    <m/>
    <n v="231"/>
    <b v="0"/>
    <m/>
    <m/>
    <s v="+"/>
    <x v="1231"/>
    <s v="Manual"/>
    <m/>
  </r>
  <r>
    <x v="32"/>
    <d v="2021-09-03T00:00:00"/>
    <s v="POWERPLUS"/>
    <x v="29"/>
    <n v="81.099999999999994"/>
    <x v="8"/>
    <m/>
    <m/>
    <m/>
    <n v="81.099999999999994"/>
    <b v="0"/>
    <m/>
    <m/>
    <s v="-"/>
    <x v="29"/>
    <s v="Manual"/>
    <m/>
  </r>
  <r>
    <x v="32"/>
    <d v="2021-09-05T00:00:00"/>
    <s v="Cash Rewards Visa Signature"/>
    <x v="1546"/>
    <n v="60.56"/>
    <x v="26"/>
    <m/>
    <m/>
    <m/>
    <n v="60.56"/>
    <b v="0"/>
    <m/>
    <m/>
    <s v="-"/>
    <x v="1449"/>
    <s v="Manual"/>
    <m/>
  </r>
  <r>
    <x v="32"/>
    <d v="2021-09-05T00:00:00"/>
    <s v="Cash Rewards Visa Signature"/>
    <x v="1547"/>
    <n v="474.75"/>
    <x v="26"/>
    <m/>
    <m/>
    <m/>
    <n v="474.75"/>
    <b v="0"/>
    <m/>
    <m/>
    <s v="-"/>
    <x v="1450"/>
    <s v="Manual"/>
    <m/>
  </r>
  <r>
    <x v="32"/>
    <d v="2021-09-06T00:00:00"/>
    <s v="Cash Rewards Visa Signature"/>
    <x v="1547"/>
    <n v="23.6"/>
    <x v="26"/>
    <m/>
    <m/>
    <m/>
    <n v="23.6"/>
    <b v="0"/>
    <m/>
    <m/>
    <s v="-"/>
    <x v="1450"/>
    <s v="Manual"/>
    <m/>
  </r>
  <r>
    <x v="32"/>
    <d v="2021-09-06T00:00:00"/>
    <s v="Cash Rewards Visa Signature"/>
    <x v="1548"/>
    <n v="100"/>
    <x v="26"/>
    <m/>
    <m/>
    <m/>
    <n v="-100"/>
    <b v="0"/>
    <m/>
    <m/>
    <s v="+"/>
    <x v="1451"/>
    <s v="Manual"/>
    <m/>
  </r>
  <r>
    <x v="32"/>
    <d v="2021-09-06T00:00:00"/>
    <s v="Cash Rewards Visa Signature"/>
    <x v="1549"/>
    <n v="68.14"/>
    <x v="26"/>
    <m/>
    <m/>
    <m/>
    <n v="68.14"/>
    <b v="0"/>
    <m/>
    <m/>
    <s v="-"/>
    <x v="1452"/>
    <s v="Manual"/>
    <m/>
  </r>
  <r>
    <x v="32"/>
    <d v="2021-09-07T00:00:00"/>
    <s v="Cash Rewards Visa Signature"/>
    <x v="1318"/>
    <n v="877.31"/>
    <x v="26"/>
    <m/>
    <m/>
    <m/>
    <n v="-877.31"/>
    <b v="0"/>
    <m/>
    <m/>
    <s v="+"/>
    <x v="1246"/>
    <s v="Create Rule; and Description='Credit Card Payment Received PAYMENT THANK YOU';Delete"/>
    <m/>
  </r>
  <r>
    <x v="32"/>
    <d v="2021-09-07T00:00:00"/>
    <s v="POWERPLUS"/>
    <x v="1319"/>
    <n v="877.31"/>
    <x v="26"/>
    <m/>
    <m/>
    <m/>
    <n v="877.31"/>
    <b v="0"/>
    <m/>
    <m/>
    <s v="-"/>
    <x v="1247"/>
    <s v="Create Rule; and Description='Withdrawal Home payment to card XX91 Withdrawal Home payment to card 979181';Delete"/>
    <m/>
  </r>
  <r>
    <x v="32"/>
    <d v="2021-09-07T00:00:00"/>
    <s v="CARGILL PARTNERSHIP PLAN"/>
    <x v="684"/>
    <n v="-48.81"/>
    <x v="26"/>
    <m/>
    <m/>
    <m/>
    <n v="48.81"/>
    <b v="0"/>
    <m/>
    <m/>
    <s v="+"/>
    <x v="660"/>
    <s v="Manual"/>
    <m/>
  </r>
  <r>
    <x v="32"/>
    <d v="2021-09-07T00:00:00"/>
    <s v="CARGILL PARTNERSHIP PLAN"/>
    <x v="685"/>
    <n v="-48.81"/>
    <x v="26"/>
    <m/>
    <m/>
    <m/>
    <n v="48.81"/>
    <b v="0"/>
    <m/>
    <m/>
    <s v="+"/>
    <x v="661"/>
    <s v="Manual"/>
    <m/>
  </r>
  <r>
    <x v="32"/>
    <d v="2021-09-07T00:00:00"/>
    <s v="CARGILL PARTNERSHIP PLAN"/>
    <x v="686"/>
    <n v="-48.81"/>
    <x v="26"/>
    <m/>
    <m/>
    <m/>
    <n v="48.81"/>
    <b v="0"/>
    <m/>
    <m/>
    <s v="+"/>
    <x v="662"/>
    <s v="Manual"/>
    <m/>
  </r>
  <r>
    <x v="32"/>
    <d v="2021-09-07T00:00:00"/>
    <s v="POWERPLUS"/>
    <x v="1550"/>
    <n v="15015.54"/>
    <x v="26"/>
    <m/>
    <m/>
    <m/>
    <n v="15015.54"/>
    <b v="0"/>
    <m/>
    <m/>
    <s v="-"/>
    <x v="1453"/>
    <s v="Manual"/>
    <m/>
  </r>
  <r>
    <x v="32"/>
    <d v="2021-09-07T00:00:00"/>
    <s v="POWERPLUS"/>
    <x v="157"/>
    <n v="10"/>
    <x v="8"/>
    <m/>
    <m/>
    <m/>
    <n v="10"/>
    <b v="0"/>
    <m/>
    <m/>
    <s v="-"/>
    <x v="156"/>
    <s v="Create Rule; and Description Like '%PayPal%';Shopping"/>
    <m/>
  </r>
  <r>
    <x v="32"/>
    <d v="2021-09-08T00:00:00"/>
    <s v="POWERPLUS"/>
    <x v="1321"/>
    <n v="528.79999999999995"/>
    <x v="26"/>
    <m/>
    <m/>
    <m/>
    <n v="528.79999999999995"/>
    <b v="0"/>
    <m/>
    <m/>
    <s v="-"/>
    <x v="1249"/>
    <s v="Create Rule; and Description Like '%MHCHILDCARELLC%';Day Care"/>
    <m/>
  </r>
  <r>
    <x v="32"/>
    <d v="2021-09-08T00:00:00"/>
    <s v="Joint Tenant"/>
    <x v="1396"/>
    <n v="-0.88"/>
    <x v="26"/>
    <m/>
    <m/>
    <m/>
    <n v="0.88"/>
    <b v="0"/>
    <m/>
    <m/>
    <s v="+"/>
    <x v="1315"/>
    <s v="Delete; and Source='Joint Tenant';0"/>
    <m/>
  </r>
  <r>
    <x v="32"/>
    <d v="2021-09-08T00:00:00"/>
    <s v="Joint Tenant"/>
    <x v="20"/>
    <n v="200"/>
    <x v="26"/>
    <m/>
    <m/>
    <m/>
    <n v="200"/>
    <b v="0"/>
    <m/>
    <m/>
    <s v="-"/>
    <x v="20"/>
    <s v="Delete; and Description='SCHWAB TOTAL STOCK MKT INDEX' and inflowoutflow='-';0"/>
    <m/>
  </r>
  <r>
    <x v="32"/>
    <d v="2021-09-08T00:00:00"/>
    <s v="POWERPLUS"/>
    <x v="30"/>
    <n v="185.5"/>
    <x v="11"/>
    <m/>
    <m/>
    <m/>
    <n v="185.5"/>
    <b v="0"/>
    <m/>
    <m/>
    <s v="-"/>
    <x v="30"/>
    <s v="Create Rule; and Description='Xcel Energy';Utilities"/>
    <m/>
  </r>
  <r>
    <x v="32"/>
    <d v="2021-09-09T00:00:00"/>
    <s v="POWERPLUS"/>
    <x v="35"/>
    <n v="89.08"/>
    <x v="26"/>
    <m/>
    <m/>
    <m/>
    <n v="-89.08"/>
    <b v="0"/>
    <m/>
    <m/>
    <s v="+"/>
    <x v="35"/>
    <s v="Create Rule; and Description='Cargill Incorpor Type';Inc - Other"/>
    <m/>
  </r>
  <r>
    <x v="32"/>
    <d v="2021-09-09T00:00:00"/>
    <s v="Joint Tenant"/>
    <x v="741"/>
    <n v="-76.48"/>
    <x v="26"/>
    <m/>
    <m/>
    <m/>
    <n v="76.48"/>
    <b v="0"/>
    <m/>
    <m/>
    <s v="+"/>
    <x v="714"/>
    <s v="Delete; and Source='Joint Tenant';0"/>
    <m/>
  </r>
  <r>
    <x v="32"/>
    <d v="2021-09-09T00:00:00"/>
    <s v="POWERPLUS"/>
    <x v="1551"/>
    <n v="4.43"/>
    <x v="26"/>
    <m/>
    <m/>
    <m/>
    <n v="-4.43"/>
    <b v="0"/>
    <m/>
    <m/>
    <s v="+"/>
    <x v="1293"/>
    <s v="Create Rule; and Description Like '%PayPal%';Shopping"/>
    <m/>
  </r>
  <r>
    <x v="32"/>
    <d v="2021-09-10T00:00:00"/>
    <s v="Cash Rewards Visa Signature"/>
    <x v="980"/>
    <n v="122.38"/>
    <x v="26"/>
    <m/>
    <m/>
    <m/>
    <n v="122.38"/>
    <b v="0"/>
    <m/>
    <m/>
    <s v="-"/>
    <x v="940"/>
    <s v="Create Rule; and Description Like '%AVOADVOCARE INTL%';Groceries"/>
    <m/>
  </r>
  <r>
    <x v="32"/>
    <d v="2021-09-10T00:00:00"/>
    <s v="Discover"/>
    <x v="1552"/>
    <n v="53.04"/>
    <x v="26"/>
    <m/>
    <m/>
    <m/>
    <n v="53.04"/>
    <b v="0"/>
    <m/>
    <m/>
    <s v="-"/>
    <x v="1454"/>
    <s v="Manual"/>
    <m/>
  </r>
  <r>
    <x v="32"/>
    <d v="2021-09-10T00:00:00"/>
    <s v="Discover More Card"/>
    <x v="1552"/>
    <n v="53.04"/>
    <x v="26"/>
    <m/>
    <m/>
    <m/>
    <n v="53.04"/>
    <b v="0"/>
    <m/>
    <m/>
    <s v="-"/>
    <x v="1454"/>
    <s v="Manual"/>
    <m/>
  </r>
  <r>
    <x v="32"/>
    <d v="2021-09-10T00:00:00"/>
    <s v="Joint Tenant"/>
    <x v="245"/>
    <n v="-62.72"/>
    <x v="26"/>
    <m/>
    <m/>
    <m/>
    <n v="62.72"/>
    <b v="0"/>
    <m/>
    <m/>
    <s v="+"/>
    <x v="243"/>
    <s v="Create Rule; and Description='CHEVRON CORP';Dividend"/>
    <m/>
  </r>
  <r>
    <x v="32"/>
    <d v="2021-09-10T00:00:00"/>
    <s v="Discover"/>
    <x v="1553"/>
    <n v="34.18"/>
    <x v="26"/>
    <m/>
    <m/>
    <m/>
    <n v="34.18"/>
    <b v="0"/>
    <m/>
    <m/>
    <s v="-"/>
    <x v="1455"/>
    <s v="Manual"/>
    <m/>
  </r>
  <r>
    <x v="32"/>
    <d v="2021-09-10T00:00:00"/>
    <s v="Discover More Card"/>
    <x v="1553"/>
    <n v="34.18"/>
    <x v="26"/>
    <m/>
    <m/>
    <m/>
    <n v="34.18"/>
    <b v="0"/>
    <m/>
    <m/>
    <s v="-"/>
    <x v="1455"/>
    <s v="Manual"/>
    <m/>
  </r>
  <r>
    <x v="32"/>
    <d v="2021-09-10T00:00:00"/>
    <s v="Joint Tenant"/>
    <x v="741"/>
    <n v="76.48"/>
    <x v="26"/>
    <m/>
    <m/>
    <m/>
    <n v="76.48"/>
    <b v="0"/>
    <m/>
    <m/>
    <s v="-"/>
    <x v="714"/>
    <s v="Delete; and Source='Joint Tenant';0"/>
    <m/>
  </r>
  <r>
    <x v="32"/>
    <d v="2021-09-10T00:00:00"/>
    <s v="Cash Rewards Visa Signature"/>
    <x v="34"/>
    <n v="51.2"/>
    <x v="12"/>
    <m/>
    <m/>
    <m/>
    <n v="51.2"/>
    <b v="0"/>
    <m/>
    <m/>
    <s v="-"/>
    <x v="34"/>
    <s v="Create Rule; and Description='Target';Target"/>
    <m/>
  </r>
  <r>
    <x v="32"/>
    <d v="2021-09-10T00:00:00"/>
    <s v="Cash Rewards Visa Signature"/>
    <x v="1554"/>
    <n v="80.94"/>
    <x v="26"/>
    <m/>
    <m/>
    <m/>
    <n v="80.94"/>
    <b v="0"/>
    <m/>
    <m/>
    <s v="-"/>
    <x v="1456"/>
    <s v="Manual"/>
    <m/>
  </r>
  <r>
    <x v="32"/>
    <d v="2021-09-10T00:00:00"/>
    <s v="Discover"/>
    <x v="1555"/>
    <n v="30.84"/>
    <x v="26"/>
    <m/>
    <m/>
    <m/>
    <n v="30.84"/>
    <b v="0"/>
    <m/>
    <m/>
    <s v="-"/>
    <x v="1457"/>
    <s v="Manual"/>
    <m/>
  </r>
  <r>
    <x v="32"/>
    <d v="2021-09-10T00:00:00"/>
    <s v="Discover More Card"/>
    <x v="1555"/>
    <n v="30.84"/>
    <x v="26"/>
    <m/>
    <m/>
    <m/>
    <n v="30.84"/>
    <b v="0"/>
    <m/>
    <m/>
    <s v="-"/>
    <x v="1457"/>
    <s v="Manual"/>
    <m/>
  </r>
  <r>
    <x v="32"/>
    <d v="2021-09-12T00:00:00"/>
    <s v="Cash Rewards Visa Signature"/>
    <x v="1556"/>
    <n v="8.6"/>
    <x v="26"/>
    <m/>
    <m/>
    <m/>
    <n v="8.6"/>
    <b v="0"/>
    <m/>
    <m/>
    <s v="-"/>
    <x v="1458"/>
    <s v="Manual"/>
    <m/>
  </r>
  <r>
    <x v="32"/>
    <d v="2021-09-12T00:00:00"/>
    <s v="Cash Rewards Visa Signature"/>
    <x v="1557"/>
    <n v="33.340000000000003"/>
    <x v="26"/>
    <m/>
    <m/>
    <m/>
    <n v="33.340000000000003"/>
    <b v="0"/>
    <m/>
    <m/>
    <s v="-"/>
    <x v="1459"/>
    <s v="Create Rule; and Description='Chateau St. Jean';Travel"/>
    <m/>
  </r>
  <r>
    <x v="32"/>
    <d v="2021-09-12T00:00:00"/>
    <s v="Cash Rewards Visa Signature"/>
    <x v="1558"/>
    <n v="20.059999999999999"/>
    <x v="26"/>
    <m/>
    <m/>
    <m/>
    <n v="20.059999999999999"/>
    <b v="0"/>
    <m/>
    <m/>
    <s v="-"/>
    <x v="1460"/>
    <s v="Manual"/>
    <m/>
  </r>
  <r>
    <x v="32"/>
    <d v="2021-09-12T00:00:00"/>
    <s v="Cash Rewards Visa Signature"/>
    <x v="823"/>
    <n v="48.4"/>
    <x v="2"/>
    <m/>
    <m/>
    <m/>
    <n v="48.4"/>
    <b v="0"/>
    <m/>
    <m/>
    <s v="-"/>
    <x v="792"/>
    <s v="Create Rule; and Description='Kwik Trip';Transportation"/>
    <m/>
  </r>
  <r>
    <x v="32"/>
    <d v="2021-09-12T00:00:00"/>
    <s v="Cash Rewards Visa Signature"/>
    <x v="1559"/>
    <n v="33.54"/>
    <x v="26"/>
    <m/>
    <m/>
    <m/>
    <n v="33.54"/>
    <b v="0"/>
    <m/>
    <m/>
    <s v="-"/>
    <x v="1461"/>
    <s v="Manual"/>
    <m/>
  </r>
  <r>
    <x v="32"/>
    <d v="2021-09-12T00:00:00"/>
    <s v="Discover"/>
    <x v="1560"/>
    <n v="545.19000000000005"/>
    <x v="26"/>
    <m/>
    <m/>
    <m/>
    <n v="545.19000000000005"/>
    <b v="0"/>
    <m/>
    <m/>
    <s v="-"/>
    <x v="1462"/>
    <s v="Manual"/>
    <m/>
  </r>
  <r>
    <x v="32"/>
    <d v="2021-09-12T00:00:00"/>
    <s v="Discover More Card"/>
    <x v="1560"/>
    <n v="545.19000000000005"/>
    <x v="26"/>
    <m/>
    <m/>
    <m/>
    <n v="545.19000000000005"/>
    <b v="0"/>
    <m/>
    <m/>
    <s v="-"/>
    <x v="1462"/>
    <s v="Manual"/>
    <m/>
  </r>
  <r>
    <x v="32"/>
    <d v="2021-09-12T00:00:00"/>
    <s v="Discover"/>
    <x v="1561"/>
    <n v="24.43"/>
    <x v="26"/>
    <m/>
    <m/>
    <m/>
    <n v="24.43"/>
    <b v="0"/>
    <m/>
    <m/>
    <s v="-"/>
    <x v="1463"/>
    <s v="Manual"/>
    <m/>
  </r>
  <r>
    <x v="32"/>
    <d v="2021-09-12T00:00:00"/>
    <s v="Discover More Card"/>
    <x v="1561"/>
    <n v="24.43"/>
    <x v="26"/>
    <m/>
    <m/>
    <m/>
    <n v="24.43"/>
    <b v="0"/>
    <m/>
    <m/>
    <s v="-"/>
    <x v="1463"/>
    <s v="Manual"/>
    <m/>
  </r>
  <r>
    <x v="32"/>
    <d v="2021-09-12T00:00:00"/>
    <s v="Cash Rewards Visa Signature"/>
    <x v="55"/>
    <n v="7.29"/>
    <x v="5"/>
    <m/>
    <m/>
    <m/>
    <n v="7.29"/>
    <b v="0"/>
    <m/>
    <m/>
    <s v="-"/>
    <x v="55"/>
    <s v="Create Rule; and Description='Walgreens';Shopping"/>
    <m/>
  </r>
  <r>
    <x v="32"/>
    <d v="2021-09-12T00:00:00"/>
    <s v="Cash Rewards Visa Signature"/>
    <x v="55"/>
    <n v="21.28"/>
    <x v="5"/>
    <m/>
    <m/>
    <m/>
    <n v="21.28"/>
    <b v="0"/>
    <m/>
    <m/>
    <s v="-"/>
    <x v="55"/>
    <s v="Create Rule; and Description='Walgreens';Shopping"/>
    <m/>
  </r>
  <r>
    <x v="32"/>
    <d v="2021-09-13T00:00:00"/>
    <s v="Cash Rewards Visa Signature"/>
    <x v="67"/>
    <n v="45"/>
    <x v="11"/>
    <m/>
    <m/>
    <m/>
    <n v="45"/>
    <b v="0"/>
    <m/>
    <m/>
    <s v="-"/>
    <x v="67"/>
    <s v="Create Rule; and Description='CenturyLink';Utilities"/>
    <m/>
  </r>
  <r>
    <x v="32"/>
    <d v="2021-09-13T00:00:00"/>
    <s v="Joint Tenant"/>
    <x v="245"/>
    <n v="62.72"/>
    <x v="26"/>
    <m/>
    <m/>
    <m/>
    <n v="62.72"/>
    <b v="0"/>
    <m/>
    <m/>
    <s v="-"/>
    <x v="243"/>
    <s v="Create Rule; and Description='CHEVRON CORP';Dividend"/>
    <m/>
  </r>
  <r>
    <x v="32"/>
    <d v="2021-09-13T00:00:00"/>
    <s v="POWERPLUS"/>
    <x v="1562"/>
    <n v="3052.97"/>
    <x v="26"/>
    <m/>
    <m/>
    <m/>
    <n v="-3052.97"/>
    <b v="0"/>
    <m/>
    <m/>
    <s v="+"/>
    <x v="910"/>
    <s v="Create Rule; and Description Like '%CONNECTED ANALYT%';Inc - Jeff"/>
    <m/>
  </r>
  <r>
    <x v="32"/>
    <d v="2021-09-13T00:00:00"/>
    <s v="Cash Rewards Visa Signature"/>
    <x v="36"/>
    <n v="5.19"/>
    <x v="26"/>
    <m/>
    <m/>
    <m/>
    <n v="5.19"/>
    <b v="0"/>
    <m/>
    <m/>
    <s v="-"/>
    <x v="36"/>
    <s v="Create Rule; and Description='Hudson News';Transportation"/>
    <m/>
  </r>
  <r>
    <x v="32"/>
    <d v="2021-09-13T00:00:00"/>
    <s v="POWERPLUS"/>
    <x v="157"/>
    <n v="14.03"/>
    <x v="8"/>
    <m/>
    <m/>
    <m/>
    <n v="14.03"/>
    <b v="0"/>
    <m/>
    <m/>
    <s v="-"/>
    <x v="156"/>
    <s v="Create Rule; and Description Like '%PayPal%';Shopping"/>
    <m/>
  </r>
  <r>
    <x v="32"/>
    <d v="2021-09-13T00:00:00"/>
    <s v="Cash Rewards Visa Signature"/>
    <x v="1563"/>
    <n v="38.06"/>
    <x v="26"/>
    <m/>
    <m/>
    <m/>
    <n v="38.06"/>
    <b v="0"/>
    <m/>
    <m/>
    <s v="-"/>
    <x v="1464"/>
    <s v="Create Rule; and Description='San Francisco Ca.';Travel"/>
    <m/>
  </r>
  <r>
    <x v="32"/>
    <d v="2021-09-13T00:00:00"/>
    <s v="Discover"/>
    <x v="1564"/>
    <n v="50.28"/>
    <x v="26"/>
    <m/>
    <m/>
    <m/>
    <n v="50.28"/>
    <b v="0"/>
    <m/>
    <m/>
    <s v="-"/>
    <x v="1465"/>
    <s v="Create Rule; and Description='TST* RED RABBIT - MINNEA MINNEAPOLIS MNAPPLE PAY E';Restaurants"/>
    <m/>
  </r>
  <r>
    <x v="32"/>
    <d v="2021-09-13T00:00:00"/>
    <s v="Discover More Card"/>
    <x v="1564"/>
    <n v="50.28"/>
    <x v="26"/>
    <m/>
    <m/>
    <m/>
    <n v="50.28"/>
    <b v="0"/>
    <m/>
    <m/>
    <s v="-"/>
    <x v="1465"/>
    <s v="Create Rule; and Description='TST* RED RABBIT - MINNEA MINNEAPOLIS MNAPPLE PAY E';Restaurants"/>
    <m/>
  </r>
  <r>
    <x v="32"/>
    <d v="2021-09-13T00:00:00"/>
    <s v="Cash Rewards Visa Signature"/>
    <x v="55"/>
    <n v="11.97"/>
    <x v="5"/>
    <m/>
    <m/>
    <m/>
    <n v="11.97"/>
    <b v="0"/>
    <m/>
    <m/>
    <s v="-"/>
    <x v="55"/>
    <s v="Create Rule; and Description='Walgreens';Shopping"/>
    <m/>
  </r>
  <r>
    <x v="32"/>
    <d v="2021-09-14T00:00:00"/>
    <s v="Discover"/>
    <x v="56"/>
    <n v="893.01"/>
    <x v="3"/>
    <m/>
    <m/>
    <m/>
    <n v="-893.01"/>
    <b v="0"/>
    <m/>
    <m/>
    <s v="+"/>
    <x v="56"/>
    <s v="Delete; and Description='INTERNET PAYMENT - THANK YOU';0"/>
    <m/>
  </r>
  <r>
    <x v="32"/>
    <d v="2021-09-14T00:00:00"/>
    <s v="Discover More Card"/>
    <x v="56"/>
    <n v="-893.01"/>
    <x v="3"/>
    <m/>
    <m/>
    <m/>
    <n v="893.01"/>
    <b v="0"/>
    <m/>
    <m/>
    <s v="+"/>
    <x v="56"/>
    <s v="Delete; and Description='INTERNET PAYMENT - THANK YOU';0"/>
    <m/>
  </r>
  <r>
    <x v="32"/>
    <d v="2021-09-14T00:00:00"/>
    <s v="Cash Rewards Visa Signature"/>
    <x v="0"/>
    <n v="18.989999999999998"/>
    <x v="0"/>
    <m/>
    <m/>
    <m/>
    <n v="18.989999999999998"/>
    <b v="0"/>
    <m/>
    <m/>
    <s v="-"/>
    <x v="0"/>
    <s v="Create Rule; and Description='Amazon';Amazon"/>
    <m/>
  </r>
  <r>
    <x v="32"/>
    <d v="2021-09-14T00:00:00"/>
    <s v="Cash Rewards Visa Signature"/>
    <x v="0"/>
    <n v="77.760000000000005"/>
    <x v="0"/>
    <m/>
    <m/>
    <m/>
    <n v="77.760000000000005"/>
    <b v="0"/>
    <m/>
    <m/>
    <s v="-"/>
    <x v="0"/>
    <s v="Create Rule; and Description='Amazon';Amazon"/>
    <m/>
  </r>
  <r>
    <x v="32"/>
    <d v="2021-09-14T00:00:00"/>
    <s v="POWERPLUS"/>
    <x v="48"/>
    <n v="95.51"/>
    <x v="16"/>
    <m/>
    <m/>
    <m/>
    <n v="95.51"/>
    <b v="0"/>
    <m/>
    <m/>
    <s v="-"/>
    <x v="48"/>
    <s v="Create Rule; and Description='American Family Insurance';Insurance"/>
    <m/>
  </r>
  <r>
    <x v="32"/>
    <d v="2021-09-14T00:00:00"/>
    <s v="Cash Rewards Visa Signature"/>
    <x v="1565"/>
    <n v="5.46"/>
    <x v="26"/>
    <m/>
    <m/>
    <m/>
    <n v="5.46"/>
    <b v="0"/>
    <m/>
    <m/>
    <s v="-"/>
    <x v="1466"/>
    <s v="Manual"/>
    <m/>
  </r>
  <r>
    <x v="32"/>
    <d v="2021-09-14T00:00:00"/>
    <s v="POWERPLUS"/>
    <x v="656"/>
    <n v="334"/>
    <x v="26"/>
    <m/>
    <m/>
    <m/>
    <n v="-334"/>
    <b v="0"/>
    <m/>
    <m/>
    <s v="+"/>
    <x v="634"/>
    <s v="Manual"/>
    <m/>
  </r>
  <r>
    <x v="32"/>
    <d v="2021-09-14T00:00:00"/>
    <s v="Cash Rewards Visa Signature"/>
    <x v="1566"/>
    <n v="17"/>
    <x v="26"/>
    <m/>
    <m/>
    <m/>
    <n v="17"/>
    <b v="0"/>
    <m/>
    <m/>
    <s v="-"/>
    <x v="1467"/>
    <s v="Create Rule; and Description='MSP AIRPORT PARKING SAINT PAUL MN';Transportation"/>
    <m/>
  </r>
  <r>
    <x v="32"/>
    <d v="2021-09-15T00:00:00"/>
    <s v="POWERPLUS"/>
    <x v="1567"/>
    <n v="893.01"/>
    <x v="26"/>
    <m/>
    <m/>
    <m/>
    <n v="893.01"/>
    <b v="0"/>
    <m/>
    <m/>
    <s v="-"/>
    <x v="1468"/>
    <s v="Delete; and Description Like '%DISCOVER TYPE EPAYMENT%';0"/>
    <m/>
  </r>
  <r>
    <x v="32"/>
    <d v="2021-09-15T00:00:00"/>
    <s v="POWERPLUS"/>
    <x v="1568"/>
    <n v="136.5"/>
    <x v="26"/>
    <m/>
    <m/>
    <m/>
    <n v="136.5"/>
    <b v="0"/>
    <m/>
    <m/>
    <s v="-"/>
    <x v="1469"/>
    <s v="Manual"/>
    <m/>
  </r>
  <r>
    <x v="32"/>
    <d v="2021-09-15T00:00:00"/>
    <s v="Joint Tenant"/>
    <x v="950"/>
    <n v="-250"/>
    <x v="26"/>
    <m/>
    <m/>
    <m/>
    <n v="250"/>
    <b v="0"/>
    <m/>
    <m/>
    <s v="+"/>
    <x v="913"/>
    <s v="Create Rule; and Description Like '%CONNECTED ANALYT%';Inc - Jeff"/>
    <m/>
  </r>
  <r>
    <x v="32"/>
    <d v="2021-09-15T00:00:00"/>
    <s v="Investor Checking"/>
    <x v="276"/>
    <n v="600"/>
    <x v="26"/>
    <m/>
    <m/>
    <m/>
    <n v="-600"/>
    <b v="0"/>
    <m/>
    <m/>
    <s v="+"/>
    <x v="271"/>
    <s v="Create Rule; and Description='Funds Transfer from Brokerage -5308';Delete"/>
    <m/>
  </r>
  <r>
    <x v="32"/>
    <d v="2021-09-15T00:00:00"/>
    <s v="Cash Rewards Visa Signature"/>
    <x v="1569"/>
    <n v="2"/>
    <x v="26"/>
    <m/>
    <m/>
    <m/>
    <n v="2"/>
    <b v="0"/>
    <m/>
    <m/>
    <s v="-"/>
    <x v="1470"/>
    <s v="Create Rule; and Description='Hilton';Travel"/>
    <m/>
  </r>
  <r>
    <x v="32"/>
    <d v="2021-09-15T00:00:00"/>
    <s v="Cash Rewards Visa Signature"/>
    <x v="130"/>
    <n v="6.64"/>
    <x v="1"/>
    <m/>
    <m/>
    <m/>
    <n v="6.64"/>
    <b v="0"/>
    <m/>
    <m/>
    <s v="-"/>
    <x v="129"/>
    <s v="Create Rule; and Description='Leeann Chin';Restaurants"/>
    <m/>
  </r>
  <r>
    <x v="32"/>
    <d v="2021-09-15T00:00:00"/>
    <s v="POWERPLUS"/>
    <x v="1321"/>
    <n v="528.79999999999995"/>
    <x v="26"/>
    <m/>
    <m/>
    <m/>
    <n v="528.79999999999995"/>
    <b v="0"/>
    <m/>
    <m/>
    <s v="-"/>
    <x v="1249"/>
    <s v="Create Rule; and Description Like '%MHCHILDCARELLC%';Day Care"/>
    <m/>
  </r>
  <r>
    <x v="32"/>
    <d v="2021-09-15T00:00:00"/>
    <s v="Jeff IRA"/>
    <x v="951"/>
    <n v="-250"/>
    <x v="26"/>
    <m/>
    <m/>
    <m/>
    <n v="250"/>
    <b v="0"/>
    <m/>
    <m/>
    <s v="+"/>
    <x v="914"/>
    <s v="Create Rule; and Description Like '%CONNECTED ANALYT%';Inc - Jeff"/>
    <m/>
  </r>
  <r>
    <x v="32"/>
    <d v="2021-09-15T00:00:00"/>
    <s v="Joint Tenant"/>
    <x v="279"/>
    <n v="600"/>
    <x v="26"/>
    <m/>
    <m/>
    <m/>
    <n v="600"/>
    <b v="0"/>
    <m/>
    <m/>
    <s v="-"/>
    <x v="272"/>
    <s v="Delete; and Source='Joint Tenant';0"/>
    <m/>
  </r>
  <r>
    <x v="32"/>
    <d v="2021-09-15T00:00:00"/>
    <s v="Discover"/>
    <x v="1570"/>
    <n v="47.03"/>
    <x v="26"/>
    <m/>
    <m/>
    <m/>
    <n v="47.03"/>
    <b v="0"/>
    <m/>
    <m/>
    <s v="-"/>
    <x v="1471"/>
    <s v="Create Rule; and Description='TST* OLIVE S FRESH EXCEL EXCELSIOR MN';Restaurants"/>
    <m/>
  </r>
  <r>
    <x v="32"/>
    <d v="2021-09-15T00:00:00"/>
    <s v="Discover More Card"/>
    <x v="1570"/>
    <n v="47.03"/>
    <x v="26"/>
    <m/>
    <m/>
    <m/>
    <n v="47.03"/>
    <b v="0"/>
    <m/>
    <m/>
    <s v="-"/>
    <x v="1471"/>
    <s v="Create Rule; and Description='TST* OLIVE S FRESH EXCEL EXCELSIOR MN';Restaurants"/>
    <m/>
  </r>
  <r>
    <x v="32"/>
    <d v="2021-09-16T00:00:00"/>
    <s v="Contributory"/>
    <x v="1571"/>
    <n v="-0.11"/>
    <x v="26"/>
    <m/>
    <m/>
    <m/>
    <n v="0.11"/>
    <b v="0"/>
    <m/>
    <m/>
    <s v="+"/>
    <x v="1472"/>
    <s v="Manual"/>
    <m/>
  </r>
  <r>
    <x v="32"/>
    <d v="2021-09-16T00:00:00"/>
    <s v="Cooper"/>
    <x v="1571"/>
    <n v="-0.01"/>
    <x v="26"/>
    <m/>
    <m/>
    <m/>
    <n v="0.01"/>
    <b v="0"/>
    <m/>
    <m/>
    <s v="+"/>
    <x v="1472"/>
    <s v="Manual"/>
    <m/>
  </r>
  <r>
    <x v="32"/>
    <d v="2021-09-16T00:00:00"/>
    <s v="Jeff IRA"/>
    <x v="1571"/>
    <n v="-0.04"/>
    <x v="26"/>
    <m/>
    <m/>
    <m/>
    <n v="0.04"/>
    <b v="0"/>
    <m/>
    <m/>
    <s v="+"/>
    <x v="1472"/>
    <s v="Manual"/>
    <m/>
  </r>
  <r>
    <x v="32"/>
    <d v="2021-09-16T00:00:00"/>
    <s v="POWERPLUS"/>
    <x v="1572"/>
    <n v="2775.74"/>
    <x v="26"/>
    <m/>
    <m/>
    <m/>
    <n v="-2775.74"/>
    <b v="0"/>
    <m/>
    <m/>
    <s v="+"/>
    <x v="1256"/>
    <s v="Create Rule; and Description Like '%Cargill Inc Deposit CARGILL INCORPOR TYPE DIRECT DEP ID CO CARGILL INCORPOR ACH%';Inc - Britney"/>
    <m/>
  </r>
  <r>
    <x v="32"/>
    <d v="2021-09-16T00:00:00"/>
    <s v="Discover"/>
    <x v="585"/>
    <n v="27.31"/>
    <x v="1"/>
    <m/>
    <m/>
    <m/>
    <n v="27.31"/>
    <b v="0"/>
    <m/>
    <m/>
    <s v="-"/>
    <x v="566"/>
    <s v="Create Rule; and Description Like '%Crisp &amp; Green%';Restaurants"/>
    <m/>
  </r>
  <r>
    <x v="32"/>
    <d v="2021-09-16T00:00:00"/>
    <s v="Discover More Card"/>
    <x v="585"/>
    <n v="27.31"/>
    <x v="1"/>
    <m/>
    <m/>
    <m/>
    <n v="27.31"/>
    <b v="0"/>
    <m/>
    <m/>
    <s v="-"/>
    <x v="566"/>
    <s v="Create Rule; and Description Like '%Crisp &amp; Green%';Restaurants"/>
    <m/>
  </r>
  <r>
    <x v="32"/>
    <d v="2021-09-16T00:00:00"/>
    <s v="Cash Rewards Visa Signature"/>
    <x v="1529"/>
    <n v="244.63"/>
    <x v="26"/>
    <m/>
    <m/>
    <m/>
    <n v="-244.63"/>
    <b v="0"/>
    <m/>
    <m/>
    <s v="+"/>
    <x v="1434"/>
    <s v="Create Rule; and Description='Luluscom Httpswwwluluca';Shopping"/>
    <m/>
  </r>
  <r>
    <x v="32"/>
    <d v="2021-09-16T00:00:00"/>
    <s v="Cash Rewards Visa Signature"/>
    <x v="1573"/>
    <n v="26.89"/>
    <x v="8"/>
    <m/>
    <m/>
    <m/>
    <n v="26.89"/>
    <b v="0"/>
    <m/>
    <m/>
    <s v="-"/>
    <x v="1473"/>
    <s v="Create Rule; and Description='Mall of America';Shopping"/>
    <m/>
  </r>
  <r>
    <x v="32"/>
    <d v="2021-09-17T00:00:00"/>
    <s v="Cash Rewards Visa Signature"/>
    <x v="1574"/>
    <n v="97.12"/>
    <x v="26"/>
    <m/>
    <m/>
    <m/>
    <n v="97.12"/>
    <b v="0"/>
    <m/>
    <m/>
    <s v="-"/>
    <x v="1474"/>
    <s v="Manual"/>
    <m/>
  </r>
  <r>
    <x v="32"/>
    <d v="2021-09-17T00:00:00"/>
    <s v="Joint Tenant"/>
    <x v="1299"/>
    <n v="-200"/>
    <x v="26"/>
    <m/>
    <m/>
    <m/>
    <n v="200"/>
    <b v="0"/>
    <m/>
    <m/>
    <s v="+"/>
    <x v="1230"/>
    <s v="Delete; and Source='Joint Tenant';0"/>
    <m/>
  </r>
  <r>
    <x v="32"/>
    <d v="2021-09-17T00:00:00"/>
    <s v="Cash Rewards Visa Signature"/>
    <x v="890"/>
    <n v="12.09"/>
    <x v="1"/>
    <m/>
    <m/>
    <m/>
    <n v="12.09"/>
    <b v="0"/>
    <m/>
    <m/>
    <s v="-"/>
    <x v="855"/>
    <s v="Create Rule; and Description='Dairy Queen';Restaurants"/>
    <m/>
  </r>
  <r>
    <x v="32"/>
    <d v="2021-09-17T00:00:00"/>
    <s v="Cash Rewards Visa Signature"/>
    <x v="81"/>
    <n v="52.87"/>
    <x v="26"/>
    <m/>
    <m/>
    <m/>
    <n v="52.87"/>
    <b v="0"/>
    <m/>
    <m/>
    <s v="-"/>
    <x v="81"/>
    <s v="Create Rule; and Description='Holiday Stationstore';Transportation"/>
    <m/>
  </r>
  <r>
    <x v="32"/>
    <d v="2021-09-17T00:00:00"/>
    <s v="Contributory"/>
    <x v="1300"/>
    <n v="-231"/>
    <x v="26"/>
    <m/>
    <m/>
    <m/>
    <n v="231"/>
    <b v="0"/>
    <m/>
    <m/>
    <s v="+"/>
    <x v="1231"/>
    <s v="Manual"/>
    <m/>
  </r>
  <r>
    <x v="32"/>
    <d v="2021-09-17T00:00:00"/>
    <s v="Discover"/>
    <x v="101"/>
    <n v="87.17"/>
    <x v="26"/>
    <m/>
    <m/>
    <m/>
    <n v="87.17"/>
    <b v="0"/>
    <m/>
    <m/>
    <s v="-"/>
    <x v="101"/>
    <s v="Create Rule; and Description='WINCHESTER AND RYE VICTORIA MN';Restaurants"/>
    <m/>
  </r>
  <r>
    <x v="32"/>
    <d v="2021-09-17T00:00:00"/>
    <s v="Discover More Card"/>
    <x v="101"/>
    <n v="87.17"/>
    <x v="26"/>
    <m/>
    <m/>
    <m/>
    <n v="87.17"/>
    <b v="0"/>
    <m/>
    <m/>
    <s v="-"/>
    <x v="101"/>
    <s v="Create Rule; and Description='WINCHESTER AND RYE VICTORIA MN';Restaurants"/>
    <m/>
  </r>
  <r>
    <x v="32"/>
    <d v="2021-09-19T00:00:00"/>
    <s v="Discover"/>
    <x v="0"/>
    <n v="96.52"/>
    <x v="0"/>
    <m/>
    <m/>
    <m/>
    <n v="96.52"/>
    <b v="0"/>
    <m/>
    <m/>
    <s v="-"/>
    <x v="0"/>
    <s v="Create Rule; and Description='Amazon';Amazon"/>
    <m/>
  </r>
  <r>
    <x v="32"/>
    <d v="2021-09-19T00:00:00"/>
    <s v="Discover More Card"/>
    <x v="0"/>
    <n v="96.52"/>
    <x v="0"/>
    <m/>
    <m/>
    <m/>
    <n v="96.52"/>
    <b v="0"/>
    <m/>
    <m/>
    <s v="-"/>
    <x v="0"/>
    <s v="Create Rule; and Description='Amazon';Amazon"/>
    <m/>
  </r>
  <r>
    <x v="32"/>
    <d v="2021-09-19T00:00:00"/>
    <s v="Cash Rewards Visa Signature"/>
    <x v="259"/>
    <n v="24.12"/>
    <x v="26"/>
    <m/>
    <m/>
    <m/>
    <n v="24.12"/>
    <b v="0"/>
    <m/>
    <m/>
    <s v="-"/>
    <x v="257"/>
    <s v="Create Rule; and Description Like '%Etsy.com%';Shopping"/>
    <m/>
  </r>
  <r>
    <x v="32"/>
    <d v="2021-09-19T00:00:00"/>
    <s v="Cash Rewards Visa Signature"/>
    <x v="259"/>
    <n v="110.15"/>
    <x v="26"/>
    <m/>
    <m/>
    <m/>
    <n v="110.15"/>
    <b v="0"/>
    <m/>
    <m/>
    <s v="-"/>
    <x v="257"/>
    <s v="Create Rule; and Description Like '%Etsy.com%';Shopping"/>
    <m/>
  </r>
  <r>
    <x v="32"/>
    <d v="2021-09-19T00:00:00"/>
    <s v="Cash Rewards Visa Signature"/>
    <x v="1545"/>
    <n v="230"/>
    <x v="26"/>
    <m/>
    <m/>
    <m/>
    <n v="-230"/>
    <b v="0"/>
    <m/>
    <m/>
    <s v="+"/>
    <x v="1448"/>
    <s v="Manual"/>
    <m/>
  </r>
  <r>
    <x v="32"/>
    <d v="2021-09-19T00:00:00"/>
    <s v="Discover"/>
    <x v="136"/>
    <n v="197.78"/>
    <x v="26"/>
    <m/>
    <m/>
    <m/>
    <n v="197.78"/>
    <b v="0"/>
    <m/>
    <m/>
    <s v="-"/>
    <x v="135"/>
    <s v="Create Rule; and Description='Red Wagon Pizza Co';Restaurants"/>
    <m/>
  </r>
  <r>
    <x v="32"/>
    <d v="2021-09-19T00:00:00"/>
    <s v="Discover More Card"/>
    <x v="136"/>
    <n v="197.78"/>
    <x v="26"/>
    <m/>
    <m/>
    <m/>
    <n v="197.78"/>
    <b v="0"/>
    <m/>
    <m/>
    <s v="-"/>
    <x v="135"/>
    <s v="Create Rule; and Description='Red Wagon Pizza Co';Restaurants"/>
    <m/>
  </r>
  <r>
    <x v="32"/>
    <d v="2021-09-20T00:00:00"/>
    <s v="Discover"/>
    <x v="0"/>
    <n v="21.98"/>
    <x v="0"/>
    <m/>
    <m/>
    <m/>
    <n v="21.98"/>
    <b v="0"/>
    <m/>
    <m/>
    <s v="-"/>
    <x v="0"/>
    <s v="Create Rule; and Description='Amazon';Amazon"/>
    <m/>
  </r>
  <r>
    <x v="32"/>
    <d v="2021-09-20T00:00:00"/>
    <s v="Discover More Card"/>
    <x v="0"/>
    <n v="21.98"/>
    <x v="0"/>
    <m/>
    <m/>
    <m/>
    <n v="21.98"/>
    <b v="0"/>
    <m/>
    <m/>
    <s v="-"/>
    <x v="0"/>
    <s v="Create Rule; and Description='Amazon';Amazon"/>
    <m/>
  </r>
  <r>
    <x v="32"/>
    <d v="2021-09-20T00:00:00"/>
    <s v="Investor Checking"/>
    <x v="1575"/>
    <n v="2000"/>
    <x v="26"/>
    <m/>
    <m/>
    <m/>
    <n v="2000"/>
    <b v="0"/>
    <m/>
    <m/>
    <s v="-"/>
    <x v="1475"/>
    <s v="Manual"/>
    <m/>
  </r>
  <r>
    <x v="32"/>
    <d v="2021-09-20T00:00:00"/>
    <s v="Cash Rewards Visa Signature"/>
    <x v="259"/>
    <n v="24.12"/>
    <x v="26"/>
    <m/>
    <m/>
    <m/>
    <n v="-24.12"/>
    <b v="0"/>
    <m/>
    <m/>
    <s v="+"/>
    <x v="257"/>
    <s v="Create Rule; and Description Like '%Etsy.com%';Shopping"/>
    <m/>
  </r>
  <r>
    <x v="32"/>
    <d v="2021-09-20T00:00:00"/>
    <s v="Cash Rewards Visa Signature"/>
    <x v="1545"/>
    <n v="60"/>
    <x v="26"/>
    <m/>
    <m/>
    <m/>
    <n v="60"/>
    <b v="0"/>
    <m/>
    <m/>
    <s v="-"/>
    <x v="1448"/>
    <s v="Create Rule; and Description='Free People';Shopping"/>
    <m/>
  </r>
  <r>
    <x v="32"/>
    <d v="2021-09-20T00:00:00"/>
    <s v="Cash Rewards Visa Signature"/>
    <x v="1545"/>
    <n v="216"/>
    <x v="26"/>
    <m/>
    <m/>
    <m/>
    <n v="216"/>
    <b v="0"/>
    <m/>
    <m/>
    <s v="-"/>
    <x v="1448"/>
    <s v="Manual"/>
    <m/>
  </r>
  <r>
    <x v="32"/>
    <d v="2021-09-20T00:00:00"/>
    <s v="Cash Rewards Visa Signature"/>
    <x v="1576"/>
    <n v="60.21"/>
    <x v="26"/>
    <m/>
    <m/>
    <m/>
    <n v="60.21"/>
    <b v="0"/>
    <m/>
    <m/>
    <s v="-"/>
    <x v="1476"/>
    <s v="Create Rule; and Description='Jac &amp; Violet';Shopping"/>
    <m/>
  </r>
  <r>
    <x v="32"/>
    <d v="2021-09-20T00:00:00"/>
    <s v="POWERPLUS"/>
    <x v="1577"/>
    <n v="200"/>
    <x v="26"/>
    <m/>
    <m/>
    <m/>
    <n v="200"/>
    <b v="0"/>
    <m/>
    <m/>
    <s v="-"/>
    <x v="1245"/>
    <s v="Create Rule; and Description Like '%MN DIR ACH%';College Savings"/>
    <m/>
  </r>
  <r>
    <x v="32"/>
    <d v="2021-09-20T00:00:00"/>
    <s v="Cash Rewards Visa Signature"/>
    <x v="1578"/>
    <n v="7"/>
    <x v="26"/>
    <m/>
    <m/>
    <m/>
    <n v="7"/>
    <b v="0"/>
    <m/>
    <m/>
    <s v="-"/>
    <x v="1477"/>
    <s v="Manual"/>
    <m/>
  </r>
  <r>
    <x v="32"/>
    <d v="2021-09-20T00:00:00"/>
    <s v="Cash Rewards Visa Signature"/>
    <x v="1579"/>
    <n v="10"/>
    <x v="26"/>
    <m/>
    <m/>
    <m/>
    <n v="10"/>
    <b v="0"/>
    <m/>
    <m/>
    <s v="-"/>
    <x v="1478"/>
    <s v="Manual"/>
    <m/>
  </r>
  <r>
    <x v="32"/>
    <d v="2021-09-20T00:00:00"/>
    <s v="Cash Rewards Visa Signature"/>
    <x v="1580"/>
    <n v="12.36"/>
    <x v="26"/>
    <m/>
    <m/>
    <m/>
    <n v="12.36"/>
    <b v="0"/>
    <m/>
    <m/>
    <s v="-"/>
    <x v="1479"/>
    <s v="Manual"/>
    <m/>
  </r>
  <r>
    <x v="32"/>
    <d v="2021-09-20T00:00:00"/>
    <s v="Discover"/>
    <x v="1581"/>
    <n v="11.16"/>
    <x v="26"/>
    <m/>
    <m/>
    <m/>
    <n v="11.16"/>
    <b v="0"/>
    <m/>
    <m/>
    <s v="-"/>
    <x v="1480"/>
    <s v="Manual"/>
    <m/>
  </r>
  <r>
    <x v="32"/>
    <d v="2021-09-20T00:00:00"/>
    <s v="Discover More Card"/>
    <x v="1581"/>
    <n v="11.16"/>
    <x v="26"/>
    <m/>
    <m/>
    <m/>
    <n v="11.16"/>
    <b v="0"/>
    <m/>
    <m/>
    <s v="-"/>
    <x v="1480"/>
    <s v="Manual"/>
    <m/>
  </r>
  <r>
    <x v="32"/>
    <d v="2021-09-21T00:00:00"/>
    <s v="Discover"/>
    <x v="56"/>
    <n v="506.09"/>
    <x v="3"/>
    <m/>
    <m/>
    <m/>
    <n v="-506.09"/>
    <b v="0"/>
    <m/>
    <m/>
    <s v="+"/>
    <x v="56"/>
    <s v="Delete; and Description='INTERNET PAYMENT - THANK YOU';0"/>
    <m/>
  </r>
  <r>
    <x v="32"/>
    <d v="2021-09-21T00:00:00"/>
    <s v="Discover More Card"/>
    <x v="56"/>
    <n v="-506.09"/>
    <x v="3"/>
    <m/>
    <m/>
    <m/>
    <n v="506.09"/>
    <b v="0"/>
    <m/>
    <m/>
    <s v="+"/>
    <x v="56"/>
    <s v="Delete; and Description='INTERNET PAYMENT - THANK YOU';0"/>
    <m/>
  </r>
  <r>
    <x v="32"/>
    <d v="2021-09-21T00:00:00"/>
    <s v="Cash Rewards Visa Signature"/>
    <x v="936"/>
    <n v="845.16"/>
    <x v="26"/>
    <m/>
    <m/>
    <m/>
    <n v="-845.16"/>
    <b v="0"/>
    <m/>
    <m/>
    <s v="+"/>
    <x v="900"/>
    <s v="Delete; and Description Like '%PAYMENT THANK YOU%';0"/>
    <m/>
  </r>
  <r>
    <x v="32"/>
    <d v="2021-09-21T00:00:00"/>
    <s v="POWERPLUS"/>
    <x v="1319"/>
    <n v="845.16"/>
    <x v="26"/>
    <m/>
    <m/>
    <m/>
    <n v="845.16"/>
    <b v="0"/>
    <m/>
    <m/>
    <s v="-"/>
    <x v="1247"/>
    <s v="Create Rule; and Description='Withdrawal Home payment to card XX91 Withdrawal Home payment to card 979181';Delete"/>
    <m/>
  </r>
  <r>
    <x v="32"/>
    <d v="2021-09-21T00:00:00"/>
    <s v="Cash Rewards Visa Signature"/>
    <x v="1282"/>
    <n v="9"/>
    <x v="26"/>
    <m/>
    <m/>
    <m/>
    <n v="9"/>
    <b v="0"/>
    <m/>
    <m/>
    <s v="-"/>
    <x v="1215"/>
    <s v="Create Rule; and Description Like '%BONFES%';House Maintenance"/>
    <m/>
  </r>
  <r>
    <x v="32"/>
    <d v="2021-09-21T00:00:00"/>
    <s v="POWERPLUS"/>
    <x v="84"/>
    <n v="107.8"/>
    <x v="26"/>
    <m/>
    <m/>
    <m/>
    <n v="107.8"/>
    <b v="0"/>
    <m/>
    <m/>
    <s v="-"/>
    <x v="84"/>
    <s v="Create Rule; and Description='City of Chanhassen';Utilities"/>
    <m/>
  </r>
  <r>
    <x v="32"/>
    <d v="2021-09-21T00:00:00"/>
    <s v="Cash Rewards Visa Signature"/>
    <x v="6"/>
    <n v="129.36000000000001"/>
    <x v="5"/>
    <m/>
    <m/>
    <m/>
    <n v="129.36000000000001"/>
    <b v="0"/>
    <m/>
    <m/>
    <s v="-"/>
    <x v="6"/>
    <s v="Create Rule; and Description Like '%Cub Foods%';Groceries"/>
    <m/>
  </r>
  <r>
    <x v="32"/>
    <d v="2021-09-21T00:00:00"/>
    <s v="Joint Tenant"/>
    <x v="19"/>
    <n v="200"/>
    <x v="26"/>
    <m/>
    <m/>
    <m/>
    <n v="200"/>
    <b v="0"/>
    <m/>
    <m/>
    <s v="-"/>
    <x v="19"/>
    <s v="Delete; and Description='SCHWAB S&amp;P 500 INDEX FD' and inflowoutflow='-';0"/>
    <m/>
  </r>
  <r>
    <x v="32"/>
    <d v="2021-09-21T00:00:00"/>
    <s v="Joint Tenant"/>
    <x v="20"/>
    <n v="200"/>
    <x v="26"/>
    <m/>
    <m/>
    <m/>
    <n v="200"/>
    <b v="0"/>
    <m/>
    <m/>
    <s v="-"/>
    <x v="20"/>
    <s v="Delete; and Description='SCHWAB TOTAL STOCK MKT INDEX' and inflowoutflow='-';0"/>
    <m/>
  </r>
  <r>
    <x v="32"/>
    <d v="2021-09-22T00:00:00"/>
    <s v="POWERPLUS"/>
    <x v="1582"/>
    <n v="506.09"/>
    <x v="26"/>
    <m/>
    <m/>
    <m/>
    <n v="506.09"/>
    <b v="0"/>
    <m/>
    <m/>
    <s v="-"/>
    <x v="1410"/>
    <s v="Delete; and Description Like '%DISCOVER TYPE EPAYMENT%';0"/>
    <m/>
  </r>
  <r>
    <x v="32"/>
    <d v="2021-09-22T00:00:00"/>
    <s v="Discover"/>
    <x v="1583"/>
    <n v="41.17"/>
    <x v="1"/>
    <m/>
    <m/>
    <m/>
    <n v="41.17"/>
    <b v="0"/>
    <m/>
    <m/>
    <s v="-"/>
    <x v="1481"/>
    <s v="Manual"/>
    <m/>
  </r>
  <r>
    <x v="32"/>
    <d v="2021-09-22T00:00:00"/>
    <s v="Discover More Card"/>
    <x v="1583"/>
    <n v="41.17"/>
    <x v="1"/>
    <m/>
    <m/>
    <m/>
    <n v="41.17"/>
    <b v="0"/>
    <m/>
    <m/>
    <s v="-"/>
    <x v="1481"/>
    <s v="Manual"/>
    <m/>
  </r>
  <r>
    <x v="32"/>
    <d v="2021-09-22T00:00:00"/>
    <s v="Joint Tenant"/>
    <x v="286"/>
    <n v="-0.01"/>
    <x v="26"/>
    <m/>
    <m/>
    <m/>
    <n v="0.01"/>
    <b v="0"/>
    <m/>
    <m/>
    <s v="+"/>
    <x v="279"/>
    <s v="Create Rule; and Description='HALLIBURTON CO HLDG';Dividend"/>
    <m/>
  </r>
  <r>
    <x v="32"/>
    <d v="2021-09-22T00:00:00"/>
    <s v="Cash Rewards Visa Signature"/>
    <x v="1584"/>
    <n v="21.46"/>
    <x v="26"/>
    <m/>
    <m/>
    <m/>
    <n v="21.46"/>
    <b v="0"/>
    <m/>
    <m/>
    <s v="-"/>
    <x v="1482"/>
    <s v="Create Rule; and Description Like '%PRIME VIDEO%';Entertainment"/>
    <m/>
  </r>
  <r>
    <x v="32"/>
    <d v="2021-09-22T00:00:00"/>
    <s v="Joint Tenant"/>
    <x v="1585"/>
    <n v="229.43"/>
    <x v="26"/>
    <m/>
    <m/>
    <m/>
    <n v="229.43"/>
    <b v="0"/>
    <m/>
    <m/>
    <s v="-"/>
    <x v="1483"/>
    <s v="Delete; and Source='Joint Tenant';0"/>
    <m/>
  </r>
  <r>
    <x v="32"/>
    <d v="2021-09-22T00:00:00"/>
    <s v="Cash Rewards Visa Signature"/>
    <x v="1586"/>
    <n v="86.64"/>
    <x v="26"/>
    <m/>
    <m/>
    <m/>
    <n v="86.64"/>
    <b v="0"/>
    <m/>
    <m/>
    <s v="-"/>
    <x v="1484"/>
    <s v="Manual"/>
    <m/>
  </r>
  <r>
    <x v="32"/>
    <d v="2021-09-22T00:00:00"/>
    <s v="Cash Rewards Visa Signature"/>
    <x v="53"/>
    <n v="46.07"/>
    <x v="26"/>
    <m/>
    <m/>
    <m/>
    <n v="46.07"/>
    <b v="0"/>
    <m/>
    <m/>
    <s v="-"/>
    <x v="53"/>
    <s v="Create Rule; and Description='Total Wine and More';Groceries"/>
    <m/>
  </r>
  <r>
    <x v="32"/>
    <d v="2021-09-22T00:00:00"/>
    <s v="Joint Tenant"/>
    <x v="138"/>
    <n v="877.47"/>
    <x v="26"/>
    <m/>
    <m/>
    <m/>
    <n v="877.47"/>
    <b v="0"/>
    <m/>
    <m/>
    <s v="-"/>
    <x v="137"/>
    <s v="Create Rule; and Description='VISA INC CLASS A';Dividend"/>
    <m/>
  </r>
  <r>
    <x v="32"/>
    <d v="2021-09-23T00:00:00"/>
    <s v="Discover"/>
    <x v="0"/>
    <n v="170.27"/>
    <x v="0"/>
    <m/>
    <m/>
    <m/>
    <n v="170.27"/>
    <b v="0"/>
    <m/>
    <m/>
    <s v="-"/>
    <x v="0"/>
    <s v="Create Rule; and Description='Amazon';Amazon"/>
    <m/>
  </r>
  <r>
    <x v="32"/>
    <d v="2021-09-23T00:00:00"/>
    <s v="Discover More Card"/>
    <x v="0"/>
    <n v="170.27"/>
    <x v="0"/>
    <m/>
    <m/>
    <m/>
    <n v="170.27"/>
    <b v="0"/>
    <m/>
    <m/>
    <s v="-"/>
    <x v="0"/>
    <s v="Create Rule; and Description='Amazon';Amazon"/>
    <m/>
  </r>
  <r>
    <x v="32"/>
    <d v="2021-09-23T00:00:00"/>
    <s v="Joint Tenant"/>
    <x v="286"/>
    <n v="0.01"/>
    <x v="26"/>
    <m/>
    <m/>
    <m/>
    <n v="0.01"/>
    <b v="0"/>
    <m/>
    <m/>
    <s v="-"/>
    <x v="279"/>
    <s v="Create Rule; and Description='HALLIBURTON CO HLDG';Dividend"/>
    <m/>
  </r>
  <r>
    <x v="32"/>
    <d v="2021-09-23T00:00:00"/>
    <s v="Cash Rewards Visa Signature"/>
    <x v="1520"/>
    <n v="2239.66"/>
    <x v="26"/>
    <m/>
    <m/>
    <m/>
    <n v="2239.66"/>
    <b v="0"/>
    <m/>
    <m/>
    <s v="-"/>
    <x v="1425"/>
    <s v="Manual"/>
    <m/>
  </r>
  <r>
    <x v="32"/>
    <d v="2021-09-23T00:00:00"/>
    <s v="POWERPLUS"/>
    <x v="1379"/>
    <n v="326.25"/>
    <x v="26"/>
    <m/>
    <m/>
    <m/>
    <n v="326.25"/>
    <b v="0"/>
    <m/>
    <m/>
    <s v="-"/>
    <x v="1300"/>
    <s v="Manual"/>
    <m/>
  </r>
  <r>
    <x v="32"/>
    <d v="2021-09-23T00:00:00"/>
    <s v="RAINY DAY"/>
    <x v="515"/>
    <n v="200"/>
    <x v="26"/>
    <m/>
    <m/>
    <m/>
    <n v="-200"/>
    <b v="0"/>
    <m/>
    <m/>
    <s v="+"/>
    <x v="496"/>
    <s v="Create Rule; and Description='Share';Delete"/>
    <m/>
  </r>
  <r>
    <x v="32"/>
    <d v="2021-09-23T00:00:00"/>
    <s v="POWERPLUS"/>
    <x v="952"/>
    <n v="200"/>
    <x v="26"/>
    <m/>
    <m/>
    <m/>
    <n v="200"/>
    <b v="0"/>
    <m/>
    <m/>
    <s v="-"/>
    <x v="915"/>
    <s v="Create Rule; and Description='To Share 12';Delete"/>
    <m/>
  </r>
  <r>
    <x v="32"/>
    <d v="2021-09-24T00:00:00"/>
    <s v="Cash Rewards Visa Signature"/>
    <x v="70"/>
    <n v="26.8"/>
    <x v="26"/>
    <m/>
    <m/>
    <m/>
    <n v="26.8"/>
    <b v="0"/>
    <m/>
    <m/>
    <s v="-"/>
    <x v="70"/>
    <s v="Create Rule; and Description like '%Byerly%';Groceries"/>
    <m/>
  </r>
  <r>
    <x v="32"/>
    <d v="2021-09-24T00:00:00"/>
    <s v="Cash Rewards Visa Signature"/>
    <x v="1587"/>
    <n v="40.5"/>
    <x v="26"/>
    <m/>
    <m/>
    <m/>
    <n v="40.5"/>
    <b v="0"/>
    <m/>
    <m/>
    <s v="-"/>
    <x v="1485"/>
    <s v="Manual"/>
    <m/>
  </r>
  <r>
    <x v="32"/>
    <d v="2021-09-24T00:00:00"/>
    <s v="Discover"/>
    <x v="1588"/>
    <n v="131.88999999999999"/>
    <x v="26"/>
    <m/>
    <m/>
    <m/>
    <n v="131.88999999999999"/>
    <b v="0"/>
    <m/>
    <m/>
    <s v="-"/>
    <x v="1486"/>
    <s v="Create Rule; and Description='LAT14 MINNEAPOLIS MN';Restaurants"/>
    <m/>
  </r>
  <r>
    <x v="32"/>
    <d v="2021-09-24T00:00:00"/>
    <s v="Discover More Card"/>
    <x v="1588"/>
    <n v="131.88999999999999"/>
    <x v="26"/>
    <m/>
    <m/>
    <m/>
    <n v="131.88999999999999"/>
    <b v="0"/>
    <m/>
    <m/>
    <s v="-"/>
    <x v="1486"/>
    <s v="Create Rule; and Description='LAT14 MINNEAPOLIS MN';Restaurants"/>
    <m/>
  </r>
  <r>
    <x v="32"/>
    <d v="2021-09-24T00:00:00"/>
    <s v="Cash Rewards Visa Signature"/>
    <x v="49"/>
    <n v="41.05"/>
    <x v="26"/>
    <m/>
    <m/>
    <m/>
    <n v="41.05"/>
    <b v="0"/>
    <m/>
    <m/>
    <s v="-"/>
    <x v="49"/>
    <s v="Create Rule; and Description='Lululemon';Shopping"/>
    <m/>
  </r>
  <r>
    <x v="32"/>
    <d v="2021-09-24T00:00:00"/>
    <s v="Cash Rewards Visa Signature"/>
    <x v="1044"/>
    <n v="161.07"/>
    <x v="26"/>
    <m/>
    <m/>
    <m/>
    <n v="161.07"/>
    <b v="0"/>
    <m/>
    <m/>
    <s v="-"/>
    <x v="997"/>
    <s v="Manual"/>
    <m/>
  </r>
  <r>
    <x v="32"/>
    <d v="2021-09-25T00:00:00"/>
    <s v="Cash Rewards Visa Signature"/>
    <x v="1318"/>
    <n v="2801.61"/>
    <x v="26"/>
    <m/>
    <m/>
    <m/>
    <n v="-2801.61"/>
    <b v="0"/>
    <m/>
    <m/>
    <s v="+"/>
    <x v="1246"/>
    <s v="Create Rule; and Description='Credit Card Payment Received PAYMENT THANK YOU';Delete"/>
    <m/>
  </r>
  <r>
    <x v="32"/>
    <d v="2021-09-25T00:00:00"/>
    <s v="POWERPLUS"/>
    <x v="1319"/>
    <n v="2801.61"/>
    <x v="26"/>
    <m/>
    <m/>
    <m/>
    <n v="2801.61"/>
    <b v="0"/>
    <m/>
    <m/>
    <s v="-"/>
    <x v="1247"/>
    <s v="Create Rule; and Description='Withdrawal Home payment to card XX91 Withdrawal Home payment to card 979181';Delete"/>
    <m/>
  </r>
  <r>
    <x v="32"/>
    <d v="2021-09-26T00:00:00"/>
    <s v="Cash Rewards Visa Signature"/>
    <x v="1589"/>
    <n v="5.56"/>
    <x v="26"/>
    <m/>
    <m/>
    <m/>
    <n v="5.56"/>
    <b v="0"/>
    <m/>
    <m/>
    <s v="-"/>
    <x v="1487"/>
    <s v="Create Rule; and Description='Ace Hardware';House Maintenance"/>
    <m/>
  </r>
  <r>
    <x v="32"/>
    <d v="2021-09-26T00:00:00"/>
    <s v="Discover"/>
    <x v="1590"/>
    <n v="31.26"/>
    <x v="26"/>
    <m/>
    <m/>
    <m/>
    <n v="31.26"/>
    <b v="0"/>
    <m/>
    <m/>
    <s v="-"/>
    <x v="1488"/>
    <s v="Manual"/>
    <m/>
  </r>
  <r>
    <x v="32"/>
    <d v="2021-09-26T00:00:00"/>
    <s v="Discover More Card"/>
    <x v="1590"/>
    <n v="31.26"/>
    <x v="26"/>
    <m/>
    <m/>
    <m/>
    <n v="31.26"/>
    <b v="0"/>
    <m/>
    <m/>
    <s v="-"/>
    <x v="1488"/>
    <s v="Manual"/>
    <m/>
  </r>
  <r>
    <x v="32"/>
    <d v="2021-09-26T00:00:00"/>
    <s v="Cash Rewards Visa Signature"/>
    <x v="70"/>
    <n v="123.73"/>
    <x v="26"/>
    <m/>
    <m/>
    <m/>
    <n v="123.73"/>
    <b v="0"/>
    <m/>
    <m/>
    <s v="-"/>
    <x v="70"/>
    <s v="Create Rule; and Description like '%Byerly%';Groceries"/>
    <m/>
  </r>
  <r>
    <x v="32"/>
    <d v="2021-09-26T00:00:00"/>
    <s v="Cash Rewards Visa Signature"/>
    <x v="823"/>
    <n v="46.78"/>
    <x v="2"/>
    <m/>
    <m/>
    <m/>
    <n v="46.78"/>
    <b v="0"/>
    <m/>
    <m/>
    <s v="-"/>
    <x v="792"/>
    <s v="Create Rule; and Description='Kwik Trip';Transportation"/>
    <m/>
  </r>
  <r>
    <x v="32"/>
    <d v="2021-09-26T00:00:00"/>
    <s v="Discover"/>
    <x v="99"/>
    <n v="8.99"/>
    <x v="11"/>
    <m/>
    <m/>
    <m/>
    <n v="8.99"/>
    <b v="0"/>
    <m/>
    <m/>
    <s v="-"/>
    <x v="99"/>
    <s v="Create Rule; and Description='Netflix';Utilities"/>
    <m/>
  </r>
  <r>
    <x v="32"/>
    <d v="2021-09-26T00:00:00"/>
    <s v="Discover More Card"/>
    <x v="99"/>
    <n v="8.99"/>
    <x v="11"/>
    <m/>
    <m/>
    <m/>
    <n v="8.99"/>
    <b v="0"/>
    <m/>
    <m/>
    <s v="-"/>
    <x v="99"/>
    <s v="Create Rule; and Description='Netflix';Utilities"/>
    <m/>
  </r>
  <r>
    <x v="32"/>
    <d v="2021-09-26T00:00:00"/>
    <s v="Cash Rewards Visa Signature"/>
    <x v="1591"/>
    <n v="138"/>
    <x v="26"/>
    <m/>
    <m/>
    <m/>
    <n v="138"/>
    <b v="0"/>
    <m/>
    <m/>
    <s v="-"/>
    <x v="1489"/>
    <s v="Manual"/>
    <m/>
  </r>
  <r>
    <x v="32"/>
    <d v="2021-09-26T00:00:00"/>
    <s v="Cash Rewards Visa Signature"/>
    <x v="1592"/>
    <n v="20.239999999999998"/>
    <x v="26"/>
    <m/>
    <m/>
    <m/>
    <n v="20.239999999999998"/>
    <b v="0"/>
    <m/>
    <m/>
    <s v="-"/>
    <x v="1490"/>
    <s v="Manual"/>
    <m/>
  </r>
  <r>
    <x v="32"/>
    <d v="2021-09-27T00:00:00"/>
    <s v="Cash Rewards Visa Signature"/>
    <x v="1590"/>
    <n v="28.36"/>
    <x v="26"/>
    <m/>
    <m/>
    <m/>
    <n v="28.36"/>
    <b v="0"/>
    <m/>
    <m/>
    <s v="-"/>
    <x v="1488"/>
    <s v="Manual"/>
    <m/>
  </r>
  <r>
    <x v="32"/>
    <d v="2021-09-27T00:00:00"/>
    <s v="Cash Rewards Visa Signature"/>
    <x v="1590"/>
    <n v="43.47"/>
    <x v="26"/>
    <m/>
    <m/>
    <m/>
    <n v="43.47"/>
    <b v="0"/>
    <m/>
    <m/>
    <s v="-"/>
    <x v="1488"/>
    <s v="Manual"/>
    <m/>
  </r>
  <r>
    <x v="32"/>
    <d v="2021-09-27T00:00:00"/>
    <s v="Discover"/>
    <x v="240"/>
    <n v="23.19"/>
    <x v="26"/>
    <m/>
    <m/>
    <m/>
    <n v="23.19"/>
    <b v="0"/>
    <m/>
    <m/>
    <s v="-"/>
    <x v="238"/>
    <s v="Create Rule; and Description='Chipotle';Restaurants"/>
    <m/>
  </r>
  <r>
    <x v="32"/>
    <d v="2021-09-27T00:00:00"/>
    <s v="Discover More Card"/>
    <x v="240"/>
    <n v="23.19"/>
    <x v="26"/>
    <m/>
    <m/>
    <m/>
    <n v="23.19"/>
    <b v="0"/>
    <m/>
    <m/>
    <s v="-"/>
    <x v="238"/>
    <s v="Create Rule; and Description='Chipotle';Restaurants"/>
    <m/>
  </r>
  <r>
    <x v="32"/>
    <d v="2021-09-27T00:00:00"/>
    <s v="POWERPLUS"/>
    <x v="157"/>
    <n v="65.44"/>
    <x v="8"/>
    <m/>
    <m/>
    <m/>
    <n v="65.44"/>
    <b v="0"/>
    <m/>
    <m/>
    <s v="-"/>
    <x v="156"/>
    <s v="Create Rule; and Description Like '%PayPal%';Shopping"/>
    <m/>
  </r>
  <r>
    <x v="32"/>
    <d v="2021-09-27T00:00:00"/>
    <s v="Cash Rewards Visa Signature"/>
    <x v="1491"/>
    <n v="86.01"/>
    <x v="26"/>
    <m/>
    <m/>
    <m/>
    <n v="86.01"/>
    <b v="0"/>
    <m/>
    <m/>
    <s v="-"/>
    <x v="1400"/>
    <s v="Create Rule; and Description='REDSTONE AMERICAN GRILL EDEN PRAIRIE MN';Restaurants"/>
    <m/>
  </r>
  <r>
    <x v="32"/>
    <d v="2021-09-27T00:00:00"/>
    <s v="Joint Tenant"/>
    <x v="300"/>
    <n v="-19.52"/>
    <x v="26"/>
    <m/>
    <m/>
    <m/>
    <n v="19.52"/>
    <b v="0"/>
    <m/>
    <m/>
    <s v="+"/>
    <x v="293"/>
    <s v="Create Rule; and Description='SCHWAB US SMALL CAP ETF';Dividend"/>
    <m/>
  </r>
  <r>
    <x v="32"/>
    <d v="2021-09-27T00:00:00"/>
    <s v="POWERPLUS"/>
    <x v="34"/>
    <n v="205.56"/>
    <x v="12"/>
    <m/>
    <m/>
    <m/>
    <n v="205.56"/>
    <b v="0"/>
    <m/>
    <m/>
    <s v="-"/>
    <x v="34"/>
    <s v="Create Rule; and Description='Target';Target"/>
    <m/>
  </r>
  <r>
    <x v="32"/>
    <d v="2021-09-27T00:00:00"/>
    <s v="Cash Rewards Visa Signature"/>
    <x v="1593"/>
    <n v="26.5"/>
    <x v="26"/>
    <m/>
    <m/>
    <m/>
    <n v="26.5"/>
    <b v="0"/>
    <m/>
    <m/>
    <s v="-"/>
    <x v="1491"/>
    <s v="Create Rule; and Description='U.S. Bank Stadium';Entertainment"/>
    <m/>
  </r>
  <r>
    <x v="32"/>
    <d v="2021-09-27T00:00:00"/>
    <s v="Cash Rewards Visa Signature"/>
    <x v="1593"/>
    <n v="28.82"/>
    <x v="26"/>
    <m/>
    <m/>
    <m/>
    <n v="28.82"/>
    <b v="0"/>
    <m/>
    <m/>
    <s v="-"/>
    <x v="1491"/>
    <s v="Create Rule; and Description='U.S. Bank Stadium';Entertainment"/>
    <m/>
  </r>
  <r>
    <x v="32"/>
    <d v="2021-09-27T00:00:00"/>
    <s v="Cash Rewards Visa Signature"/>
    <x v="1594"/>
    <n v="29.12"/>
    <x v="26"/>
    <m/>
    <m/>
    <m/>
    <n v="29.12"/>
    <b v="0"/>
    <m/>
    <m/>
    <s v="-"/>
    <x v="1492"/>
    <s v="Create Rule; and Description='WPYRise Bagel Co 8554693729 MN';Restaurants"/>
    <m/>
  </r>
  <r>
    <x v="32"/>
    <d v="2021-09-28T00:00:00"/>
    <s v="Cash Rewards Visa Signature"/>
    <x v="0"/>
    <n v="110.41"/>
    <x v="0"/>
    <m/>
    <m/>
    <m/>
    <n v="110.41"/>
    <b v="0"/>
    <m/>
    <m/>
    <s v="-"/>
    <x v="0"/>
    <s v="Create Rule; and Description='Amazon';Amazon"/>
    <m/>
  </r>
  <r>
    <x v="32"/>
    <d v="2021-09-28T00:00:00"/>
    <s v="POWERPLUS"/>
    <x v="1595"/>
    <n v="3800"/>
    <x v="26"/>
    <m/>
    <m/>
    <m/>
    <n v="3800"/>
    <b v="0"/>
    <m/>
    <m/>
    <s v="-"/>
    <x v="1493"/>
    <s v="Manual"/>
    <m/>
  </r>
  <r>
    <x v="32"/>
    <d v="2021-09-28T00:00:00"/>
    <s v="POWERPLUS"/>
    <x v="1596"/>
    <n v="3102.97"/>
    <x v="26"/>
    <m/>
    <m/>
    <m/>
    <n v="-3102.97"/>
    <b v="0"/>
    <m/>
    <m/>
    <s v="+"/>
    <x v="910"/>
    <s v="Create Rule; and Description Like '%CONNECTED ANALYT%';Inc - Jeff"/>
    <m/>
  </r>
  <r>
    <x v="32"/>
    <d v="2021-09-28T00:00:00"/>
    <s v="POWERPLUS"/>
    <x v="308"/>
    <n v="158.97"/>
    <x v="8"/>
    <m/>
    <m/>
    <m/>
    <n v="158.97"/>
    <b v="0"/>
    <m/>
    <m/>
    <s v="-"/>
    <x v="300"/>
    <s v="Create Rule; and Description='Nordstrom';Shopping"/>
    <m/>
  </r>
  <r>
    <x v="32"/>
    <d v="2021-09-28T00:00:00"/>
    <s v="Cash Rewards Visa Signature"/>
    <x v="570"/>
    <n v="7.71"/>
    <x v="1"/>
    <m/>
    <m/>
    <m/>
    <n v="7.71"/>
    <b v="0"/>
    <m/>
    <m/>
    <s v="-"/>
    <x v="551"/>
    <s v="Create Rule; and Description Like '%Panera Bread%';Restaurants"/>
    <m/>
  </r>
  <r>
    <x v="32"/>
    <d v="2021-09-28T00:00:00"/>
    <s v="Cash Rewards Visa Signature"/>
    <x v="570"/>
    <n v="30.67"/>
    <x v="1"/>
    <m/>
    <m/>
    <m/>
    <n v="30.67"/>
    <b v="0"/>
    <m/>
    <m/>
    <s v="-"/>
    <x v="551"/>
    <s v="Create Rule; and Description Like '%Panera Bread%';Restaurants"/>
    <m/>
  </r>
  <r>
    <x v="32"/>
    <d v="2021-09-28T00:00:00"/>
    <s v="POWERPLUS"/>
    <x v="157"/>
    <n v="0.99"/>
    <x v="8"/>
    <m/>
    <m/>
    <m/>
    <n v="0.99"/>
    <b v="0"/>
    <m/>
    <m/>
    <s v="-"/>
    <x v="156"/>
    <s v="Create Rule; and Description Like '%PayPal%';Shopping"/>
    <m/>
  </r>
  <r>
    <x v="32"/>
    <d v="2021-09-28T00:00:00"/>
    <s v="Joint Tenant"/>
    <x v="300"/>
    <n v="19.52"/>
    <x v="26"/>
    <m/>
    <m/>
    <m/>
    <n v="19.52"/>
    <b v="0"/>
    <m/>
    <m/>
    <s v="-"/>
    <x v="293"/>
    <s v="Create Rule; and Description='SCHWAB US SMALL CAP ETF';Dividend"/>
    <m/>
  </r>
  <r>
    <x v="32"/>
    <d v="2021-09-29T00:00:00"/>
    <s v="Joint Tenant"/>
    <x v="165"/>
    <n v="-1449.81"/>
    <x v="26"/>
    <m/>
    <m/>
    <m/>
    <n v="1449.81"/>
    <b v="0"/>
    <m/>
    <m/>
    <s v="+"/>
    <x v="164"/>
    <s v="Create Rule; and Description='APPLE INC';Dividend"/>
    <m/>
  </r>
  <r>
    <x v="32"/>
    <d v="2021-09-29T00:00:00"/>
    <s v="Joint Tenant"/>
    <x v="232"/>
    <n v="-1132.05"/>
    <x v="26"/>
    <m/>
    <m/>
    <m/>
    <n v="1132.05"/>
    <b v="0"/>
    <m/>
    <m/>
    <s v="+"/>
    <x v="230"/>
    <s v="Create Rule; and Description='BOEING CO';Dividend"/>
    <m/>
  </r>
  <r>
    <x v="32"/>
    <d v="2021-09-29T00:00:00"/>
    <s v="Cash Rewards Visa Signature"/>
    <x v="1597"/>
    <n v="100"/>
    <x v="26"/>
    <m/>
    <m/>
    <m/>
    <n v="100"/>
    <b v="0"/>
    <m/>
    <m/>
    <s v="-"/>
    <x v="1494"/>
    <s v="Manual"/>
    <m/>
  </r>
  <r>
    <x v="32"/>
    <d v="2021-09-29T00:00:00"/>
    <s v="Cash Rewards Visa Signature"/>
    <x v="1587"/>
    <n v="59.98"/>
    <x v="26"/>
    <m/>
    <m/>
    <m/>
    <n v="59.98"/>
    <b v="0"/>
    <m/>
    <m/>
    <s v="-"/>
    <x v="1485"/>
    <s v="Manual"/>
    <m/>
  </r>
  <r>
    <x v="32"/>
    <d v="2021-09-29T00:00:00"/>
    <s v="Cash Rewards Visa Signature"/>
    <x v="823"/>
    <n v="63.97"/>
    <x v="2"/>
    <m/>
    <m/>
    <m/>
    <n v="63.97"/>
    <b v="0"/>
    <m/>
    <m/>
    <s v="-"/>
    <x v="792"/>
    <s v="Create Rule; and Description='Kwik Trip';Transportation"/>
    <m/>
  </r>
  <r>
    <x v="32"/>
    <d v="2021-09-29T00:00:00"/>
    <s v="Discover"/>
    <x v="1030"/>
    <n v="21.31"/>
    <x v="26"/>
    <m/>
    <m/>
    <m/>
    <n v="21.31"/>
    <b v="0"/>
    <m/>
    <m/>
    <s v="-"/>
    <x v="985"/>
    <s v="Create Rule; and Description Like '%Maynard%';Restaurants"/>
    <m/>
  </r>
  <r>
    <x v="32"/>
    <d v="2021-09-29T00:00:00"/>
    <s v="Discover More Card"/>
    <x v="1030"/>
    <n v="21.31"/>
    <x v="26"/>
    <m/>
    <m/>
    <m/>
    <n v="21.31"/>
    <b v="0"/>
    <m/>
    <m/>
    <s v="-"/>
    <x v="985"/>
    <s v="Create Rule; and Description Like '%Maynard%';Restaurants"/>
    <m/>
  </r>
  <r>
    <x v="32"/>
    <d v="2021-09-29T00:00:00"/>
    <s v="POWERPLUS"/>
    <x v="1321"/>
    <n v="1316"/>
    <x v="26"/>
    <m/>
    <m/>
    <m/>
    <n v="1316"/>
    <b v="0"/>
    <m/>
    <m/>
    <s v="-"/>
    <x v="1249"/>
    <s v="Create Rule; and Description Like '%MHCHILDCARELLC%';Day Care"/>
    <m/>
  </r>
  <r>
    <x v="32"/>
    <d v="2021-09-29T00:00:00"/>
    <s v="POWERPLUS"/>
    <x v="157"/>
    <n v="0.99"/>
    <x v="8"/>
    <m/>
    <m/>
    <m/>
    <n v="0.99"/>
    <b v="0"/>
    <m/>
    <m/>
    <s v="-"/>
    <x v="156"/>
    <s v="Create Rule; and Description Like '%PayPal%';Shopping"/>
    <m/>
  </r>
  <r>
    <x v="32"/>
    <d v="2021-09-29T00:00:00"/>
    <s v="POWERPLUS"/>
    <x v="1598"/>
    <n v="9.25"/>
    <x v="26"/>
    <m/>
    <m/>
    <m/>
    <n v="-9.25"/>
    <b v="0"/>
    <m/>
    <m/>
    <s v="+"/>
    <x v="1293"/>
    <s v="Create Rule; and Description Like '%PayPal%';Shopping"/>
    <m/>
  </r>
  <r>
    <x v="32"/>
    <d v="2021-09-30T00:00:00"/>
    <s v="Discover"/>
    <x v="0"/>
    <n v="7.51"/>
    <x v="0"/>
    <m/>
    <m/>
    <m/>
    <n v="7.51"/>
    <b v="0"/>
    <m/>
    <m/>
    <s v="-"/>
    <x v="0"/>
    <s v="Create Rule; and Description='Amazon';Amazon"/>
    <m/>
  </r>
  <r>
    <x v="32"/>
    <d v="2021-09-30T00:00:00"/>
    <s v="Discover"/>
    <x v="0"/>
    <n v="60.57"/>
    <x v="0"/>
    <m/>
    <m/>
    <m/>
    <n v="60.57"/>
    <b v="0"/>
    <m/>
    <m/>
    <s v="-"/>
    <x v="0"/>
    <s v="Create Rule; and Description='Amazon';Amazon"/>
    <m/>
  </r>
  <r>
    <x v="32"/>
    <d v="2021-09-30T00:00:00"/>
    <s v="Discover More Card"/>
    <x v="0"/>
    <n v="7.51"/>
    <x v="0"/>
    <m/>
    <m/>
    <m/>
    <n v="7.51"/>
    <b v="0"/>
    <m/>
    <m/>
    <s v="-"/>
    <x v="0"/>
    <s v="Create Rule; and Description='Amazon';Amazon"/>
    <m/>
  </r>
  <r>
    <x v="32"/>
    <d v="2021-09-30T00:00:00"/>
    <s v="Discover More Card"/>
    <x v="0"/>
    <n v="60.57"/>
    <x v="0"/>
    <m/>
    <m/>
    <m/>
    <n v="60.57"/>
    <b v="0"/>
    <m/>
    <m/>
    <s v="-"/>
    <x v="0"/>
    <s v="Create Rule; and Description='Amazon';Amazon"/>
    <m/>
  </r>
  <r>
    <x v="32"/>
    <d v="2021-09-30T00:00:00"/>
    <s v="POWERPLUS"/>
    <x v="1599"/>
    <n v="2793.7"/>
    <x v="26"/>
    <m/>
    <m/>
    <m/>
    <n v="-2793.7"/>
    <b v="0"/>
    <m/>
    <m/>
    <s v="+"/>
    <x v="1256"/>
    <s v="Create Rule; and Description Like '%Cargill Inc Deposit CARGILL INCORPOR TYPE DIRECT DEP ID CO CARGILL INCORPOR ACH%';Inc - Britney"/>
    <m/>
  </r>
  <r>
    <x v="32"/>
    <d v="2021-09-30T00:00:00"/>
    <s v="POWERPLUS"/>
    <x v="35"/>
    <n v="75"/>
    <x v="26"/>
    <m/>
    <m/>
    <m/>
    <n v="-75"/>
    <b v="0"/>
    <m/>
    <m/>
    <s v="+"/>
    <x v="35"/>
    <s v="Create Rule; and Description='Cargill Incorpor Type';Inc - Other"/>
    <m/>
  </r>
  <r>
    <x v="32"/>
    <d v="2021-09-30T00:00:00"/>
    <s v="POWERPLUS"/>
    <x v="1600"/>
    <n v="3290"/>
    <x v="26"/>
    <m/>
    <m/>
    <m/>
    <n v="3290"/>
    <b v="0"/>
    <m/>
    <m/>
    <s v="-"/>
    <x v="1495"/>
    <s v="Manual"/>
    <m/>
  </r>
  <r>
    <x v="32"/>
    <d v="2021-09-30T00:00:00"/>
    <s v="Joint Tenant"/>
    <x v="950"/>
    <n v="-250"/>
    <x v="26"/>
    <m/>
    <m/>
    <m/>
    <n v="250"/>
    <b v="0"/>
    <m/>
    <m/>
    <s v="+"/>
    <x v="913"/>
    <s v="Create Rule; and Description Like '%CONNECTED ANALYT%';Inc - Jeff"/>
    <m/>
  </r>
  <r>
    <x v="32"/>
    <d v="2021-09-30T00:00:00"/>
    <s v="POWERPLUS"/>
    <x v="1601"/>
    <n v="24.65"/>
    <x v="26"/>
    <m/>
    <m/>
    <m/>
    <n v="-24.65"/>
    <b v="0"/>
    <m/>
    <m/>
    <s v="+"/>
    <x v="1496"/>
    <s v="Manual"/>
    <m/>
  </r>
  <r>
    <x v="32"/>
    <d v="2021-09-30T00:00:00"/>
    <s v="Investor Checking"/>
    <x v="118"/>
    <n v="0.03"/>
    <x v="26"/>
    <m/>
    <m/>
    <m/>
    <n v="-0.03"/>
    <b v="0"/>
    <m/>
    <m/>
    <s v="+"/>
    <x v="118"/>
    <s v="Manual"/>
    <m/>
  </r>
  <r>
    <x v="32"/>
    <d v="2021-09-30T00:00:00"/>
    <s v="Discover"/>
    <x v="130"/>
    <n v="24.86"/>
    <x v="1"/>
    <m/>
    <m/>
    <m/>
    <n v="24.86"/>
    <b v="0"/>
    <m/>
    <m/>
    <s v="-"/>
    <x v="129"/>
    <s v="Create Rule; and Description='Leeann Chin';Restaurants"/>
    <m/>
  </r>
  <r>
    <x v="32"/>
    <d v="2021-09-30T00:00:00"/>
    <s v="Discover More Card"/>
    <x v="130"/>
    <n v="24.86"/>
    <x v="1"/>
    <m/>
    <m/>
    <m/>
    <n v="24.86"/>
    <b v="0"/>
    <m/>
    <m/>
    <s v="-"/>
    <x v="129"/>
    <s v="Create Rule; and Description='Leeann Chin';Restaurants"/>
    <m/>
  </r>
  <r>
    <x v="32"/>
    <d v="2021-09-30T00:00:00"/>
    <s v="Cash Rewards Visa Signature"/>
    <x v="1032"/>
    <n v="104.45"/>
    <x v="26"/>
    <m/>
    <m/>
    <m/>
    <n v="104.45"/>
    <b v="0"/>
    <m/>
    <m/>
    <s v="-"/>
    <x v="987"/>
    <s v="Manual"/>
    <m/>
  </r>
  <r>
    <x v="32"/>
    <d v="2021-09-30T00:00:00"/>
    <s v="RAINY DAY"/>
    <x v="119"/>
    <n v="13.34"/>
    <x v="26"/>
    <m/>
    <m/>
    <m/>
    <n v="-13.34"/>
    <b v="0"/>
    <m/>
    <m/>
    <s v="+"/>
    <x v="119"/>
    <s v="Create Rule; and Description='Split Rate Apy';Inc - Other"/>
    <m/>
  </r>
  <r>
    <x v="32"/>
    <d v="2021-09-30T00:00:00"/>
    <s v="Jeff IRA"/>
    <x v="951"/>
    <n v="-250"/>
    <x v="26"/>
    <m/>
    <m/>
    <m/>
    <n v="250"/>
    <b v="0"/>
    <m/>
    <m/>
    <s v="+"/>
    <x v="914"/>
    <s v="Create Rule; and Description Like '%CONNECTED ANALYT%';Inc - Jeff"/>
    <m/>
  </r>
  <r>
    <x v="33"/>
    <d v="2021-10-01T00:00:00"/>
    <s v="30 YR FIXED"/>
    <x v="935"/>
    <n v="-745.75"/>
    <x v="3"/>
    <m/>
    <m/>
    <m/>
    <n v="745.75"/>
    <b v="0"/>
    <m/>
    <m/>
    <s v="+"/>
    <x v="899"/>
    <s v="Create Rule; and Description='PAYMENT';Delete"/>
    <m/>
  </r>
  <r>
    <x v="33"/>
    <d v="2021-10-01T00:00:00"/>
    <s v="Cash Rewards Visa Signature"/>
    <x v="0"/>
    <n v="10.73"/>
    <x v="0"/>
    <m/>
    <m/>
    <m/>
    <n v="10.73"/>
    <b v="0"/>
    <m/>
    <m/>
    <s v="-"/>
    <x v="0"/>
    <s v="Create Rule; and Description='Amazon';Amazon"/>
    <m/>
  </r>
  <r>
    <x v="33"/>
    <d v="2021-10-01T00:00:00"/>
    <s v="Discover"/>
    <x v="598"/>
    <n v="4.28"/>
    <x v="10"/>
    <m/>
    <m/>
    <m/>
    <n v="4.28"/>
    <b v="0"/>
    <m/>
    <m/>
    <s v="-"/>
    <x v="579"/>
    <s v="Create Rule; and Description='Amazon Music';Entertainment"/>
    <m/>
  </r>
  <r>
    <x v="33"/>
    <d v="2021-10-01T00:00:00"/>
    <s v="Discover More Card"/>
    <x v="598"/>
    <n v="4.28"/>
    <x v="10"/>
    <m/>
    <m/>
    <m/>
    <n v="4.28"/>
    <b v="0"/>
    <m/>
    <m/>
    <s v="-"/>
    <x v="579"/>
    <s v="Create Rule; and Description='Amazon Music';Entertainment"/>
    <m/>
  </r>
  <r>
    <x v="33"/>
    <d v="2021-10-01T00:00:00"/>
    <s v="POWERPLUS"/>
    <x v="1334"/>
    <n v="3003.94"/>
    <x v="6"/>
    <m/>
    <m/>
    <m/>
    <n v="3003.94"/>
    <b v="0"/>
    <m/>
    <m/>
    <s v="-"/>
    <x v="1261"/>
    <s v="Create Rule; and Description='Baxter Credit Union';Rent"/>
    <m/>
  </r>
  <r>
    <x v="33"/>
    <d v="2021-10-01T00:00:00"/>
    <s v="Joint Tenant"/>
    <x v="1299"/>
    <n v="-200"/>
    <x v="26"/>
    <m/>
    <m/>
    <m/>
    <n v="200"/>
    <b v="0"/>
    <m/>
    <m/>
    <s v="+"/>
    <x v="1230"/>
    <s v="Delete; and Source='Joint Tenant';0"/>
    <m/>
  </r>
  <r>
    <x v="33"/>
    <d v="2021-10-01T00:00:00"/>
    <s v="POWERPLUS"/>
    <x v="1335"/>
    <n v="200"/>
    <x v="26"/>
    <m/>
    <m/>
    <m/>
    <n v="200"/>
    <b v="0"/>
    <m/>
    <m/>
    <s v="-"/>
    <x v="1262"/>
    <s v="Create Rule; and Description Like '%College Savings%';College Savings"/>
    <m/>
  </r>
  <r>
    <x v="33"/>
    <d v="2021-10-01T00:00:00"/>
    <s v="SHARE SAVINGS"/>
    <x v="303"/>
    <n v="-253.43"/>
    <x v="26"/>
    <m/>
    <m/>
    <m/>
    <n v="253.43"/>
    <b v="0"/>
    <m/>
    <m/>
    <s v="+"/>
    <x v="295"/>
    <s v="Create Rule; and Description='Cred Rebate';Inc - Other"/>
    <m/>
  </r>
  <r>
    <x v="33"/>
    <d v="2021-10-01T00:00:00"/>
    <s v="HIGHLANDER"/>
    <x v="976"/>
    <n v="-589.77"/>
    <x v="26"/>
    <m/>
    <m/>
    <m/>
    <n v="589.77"/>
    <b v="0"/>
    <m/>
    <m/>
    <s v="+"/>
    <x v="936"/>
    <s v="Create Rule; and Description='From Share 70';Delete"/>
    <m/>
  </r>
  <r>
    <x v="33"/>
    <d v="2021-10-01T00:00:00"/>
    <s v="30 YR FIXED"/>
    <x v="1085"/>
    <n v="-431"/>
    <x v="26"/>
    <m/>
    <m/>
    <m/>
    <n v="431"/>
    <b v="0"/>
    <m/>
    <m/>
    <s v="+"/>
    <x v="1034"/>
    <s v="Create Rule; and Description='Principal Curtailment';Delete"/>
    <m/>
  </r>
  <r>
    <x v="33"/>
    <d v="2021-10-01T00:00:00"/>
    <s v="Contributory"/>
    <x v="1300"/>
    <n v="-231"/>
    <x v="26"/>
    <m/>
    <m/>
    <m/>
    <n v="231"/>
    <b v="0"/>
    <m/>
    <m/>
    <s v="+"/>
    <x v="1231"/>
    <s v="Manual"/>
    <m/>
  </r>
  <r>
    <x v="33"/>
    <d v="2021-10-01T00:00:00"/>
    <s v="POWERPLUS"/>
    <x v="979"/>
    <n v="618.65"/>
    <x v="26"/>
    <m/>
    <m/>
    <m/>
    <n v="618.65"/>
    <b v="0"/>
    <m/>
    <m/>
    <s v="-"/>
    <x v="939"/>
    <s v="Create Rule; and Description Like '%To Loan 02%';Car Loan"/>
    <m/>
  </r>
  <r>
    <x v="33"/>
    <d v="2021-10-02T00:00:00"/>
    <s v="Discover"/>
    <x v="0"/>
    <n v="-7.51"/>
    <x v="0"/>
    <m/>
    <m/>
    <m/>
    <n v="7.51"/>
    <b v="0"/>
    <m/>
    <m/>
    <s v="+"/>
    <x v="0"/>
    <s v="Create Rule; and Description='Amazon';Amazon"/>
    <m/>
  </r>
  <r>
    <x v="33"/>
    <d v="2021-10-02T00:00:00"/>
    <s v="Discover"/>
    <x v="0"/>
    <n v="-14.94"/>
    <x v="0"/>
    <m/>
    <m/>
    <m/>
    <n v="14.94"/>
    <b v="0"/>
    <m/>
    <m/>
    <s v="+"/>
    <x v="0"/>
    <s v="Create Rule; and Description='Amazon';Amazon"/>
    <m/>
  </r>
  <r>
    <x v="33"/>
    <d v="2021-10-02T00:00:00"/>
    <s v="Discover"/>
    <x v="0"/>
    <n v="-16.010000000000002"/>
    <x v="0"/>
    <m/>
    <m/>
    <m/>
    <n v="16.010000000000002"/>
    <b v="0"/>
    <m/>
    <m/>
    <s v="+"/>
    <x v="0"/>
    <s v="Create Rule; and Description='Amazon';Amazon"/>
    <m/>
  </r>
  <r>
    <x v="33"/>
    <d v="2021-10-02T00:00:00"/>
    <s v="Discover"/>
    <x v="0"/>
    <n v="-16.989999999999998"/>
    <x v="0"/>
    <m/>
    <m/>
    <m/>
    <n v="16.989999999999998"/>
    <b v="0"/>
    <m/>
    <m/>
    <s v="+"/>
    <x v="0"/>
    <s v="Create Rule; and Description='Amazon';Amazon"/>
    <m/>
  </r>
  <r>
    <x v="33"/>
    <d v="2021-10-02T00:00:00"/>
    <s v="Discover"/>
    <x v="0"/>
    <n v="-19.97"/>
    <x v="0"/>
    <m/>
    <m/>
    <m/>
    <n v="19.97"/>
    <b v="0"/>
    <m/>
    <m/>
    <s v="+"/>
    <x v="0"/>
    <s v="Create Rule; and Description='Amazon';Amazon"/>
    <m/>
  </r>
  <r>
    <x v="33"/>
    <d v="2021-10-02T00:00:00"/>
    <s v="Discover"/>
    <x v="0"/>
    <n v="-22.99"/>
    <x v="0"/>
    <m/>
    <m/>
    <m/>
    <n v="22.99"/>
    <b v="0"/>
    <m/>
    <m/>
    <s v="+"/>
    <x v="0"/>
    <s v="Create Rule; and Description='Amazon';Amazon"/>
    <m/>
  </r>
  <r>
    <x v="33"/>
    <d v="2021-10-02T00:00:00"/>
    <s v="Discover"/>
    <x v="0"/>
    <n v="-26.52"/>
    <x v="0"/>
    <m/>
    <m/>
    <m/>
    <n v="26.52"/>
    <b v="0"/>
    <m/>
    <m/>
    <s v="+"/>
    <x v="0"/>
    <s v="Create Rule; and Description='Amazon';Amazon"/>
    <m/>
  </r>
  <r>
    <x v="33"/>
    <d v="2021-10-02T00:00:00"/>
    <s v="Discover More Card"/>
    <x v="0"/>
    <n v="-7.51"/>
    <x v="0"/>
    <m/>
    <m/>
    <m/>
    <n v="7.51"/>
    <b v="0"/>
    <m/>
    <m/>
    <s v="+"/>
    <x v="0"/>
    <s v="Create Rule; and Description='Amazon';Amazon"/>
    <m/>
  </r>
  <r>
    <x v="33"/>
    <d v="2021-10-02T00:00:00"/>
    <s v="Discover More Card"/>
    <x v="0"/>
    <n v="-14.94"/>
    <x v="0"/>
    <m/>
    <m/>
    <m/>
    <n v="14.94"/>
    <b v="0"/>
    <m/>
    <m/>
    <s v="+"/>
    <x v="0"/>
    <s v="Create Rule; and Description='Amazon';Amazon"/>
    <m/>
  </r>
  <r>
    <x v="33"/>
    <d v="2021-10-02T00:00:00"/>
    <s v="Discover More Card"/>
    <x v="0"/>
    <n v="-16.010000000000002"/>
    <x v="0"/>
    <m/>
    <m/>
    <m/>
    <n v="16.010000000000002"/>
    <b v="0"/>
    <m/>
    <m/>
    <s v="+"/>
    <x v="0"/>
    <s v="Create Rule; and Description='Amazon';Amazon"/>
    <m/>
  </r>
  <r>
    <x v="33"/>
    <d v="2021-10-02T00:00:00"/>
    <s v="Discover More Card"/>
    <x v="0"/>
    <n v="-16.989999999999998"/>
    <x v="0"/>
    <m/>
    <m/>
    <m/>
    <n v="16.989999999999998"/>
    <b v="0"/>
    <m/>
    <m/>
    <s v="+"/>
    <x v="0"/>
    <s v="Create Rule; and Description='Amazon';Amazon"/>
    <m/>
  </r>
  <r>
    <x v="33"/>
    <d v="2021-10-02T00:00:00"/>
    <s v="Discover More Card"/>
    <x v="0"/>
    <n v="-19.97"/>
    <x v="0"/>
    <m/>
    <m/>
    <m/>
    <n v="19.97"/>
    <b v="0"/>
    <m/>
    <m/>
    <s v="+"/>
    <x v="0"/>
    <s v="Create Rule; and Description='Amazon';Amazon"/>
    <m/>
  </r>
  <r>
    <x v="33"/>
    <d v="2021-10-02T00:00:00"/>
    <s v="Discover More Card"/>
    <x v="0"/>
    <n v="-22.99"/>
    <x v="0"/>
    <m/>
    <m/>
    <m/>
    <n v="22.99"/>
    <b v="0"/>
    <m/>
    <m/>
    <s v="+"/>
    <x v="0"/>
    <s v="Create Rule; and Description='Amazon';Amazon"/>
    <m/>
  </r>
  <r>
    <x v="33"/>
    <d v="2021-10-02T00:00:00"/>
    <s v="Discover More Card"/>
    <x v="0"/>
    <n v="-26.52"/>
    <x v="0"/>
    <m/>
    <m/>
    <m/>
    <n v="26.52"/>
    <b v="0"/>
    <m/>
    <m/>
    <s v="+"/>
    <x v="0"/>
    <s v="Create Rule; and Description='Amazon';Amazon"/>
    <m/>
  </r>
  <r>
    <x v="33"/>
    <d v="2021-10-03T00:00:00"/>
    <s v="Discover"/>
    <x v="0"/>
    <n v="22.33"/>
    <x v="0"/>
    <m/>
    <m/>
    <m/>
    <n v="22.33"/>
    <b v="0"/>
    <m/>
    <m/>
    <s v="-"/>
    <x v="0"/>
    <s v="Create Rule; and Description='Amazon';Amazon"/>
    <m/>
  </r>
  <r>
    <x v="33"/>
    <d v="2021-10-03T00:00:00"/>
    <s v="Discover More Card"/>
    <x v="0"/>
    <n v="22.33"/>
    <x v="0"/>
    <m/>
    <m/>
    <m/>
    <n v="22.33"/>
    <b v="0"/>
    <m/>
    <m/>
    <s v="-"/>
    <x v="0"/>
    <s v="Create Rule; and Description='Amazon';Amazon"/>
    <m/>
  </r>
  <r>
    <x v="33"/>
    <d v="2021-10-03T00:00:00"/>
    <s v="Cash Rewards Visa Signature"/>
    <x v="79"/>
    <n v="123"/>
    <x v="28"/>
    <m/>
    <m/>
    <m/>
    <n v="123"/>
    <b v="0"/>
    <m/>
    <m/>
    <s v="-"/>
    <x v="79"/>
    <s v="Create Rule; and Description='Elite Nails';Entertainment"/>
    <m/>
  </r>
  <r>
    <x v="33"/>
    <d v="2021-10-03T00:00:00"/>
    <s v="Cash Rewards Visa Signature"/>
    <x v="152"/>
    <n v="32.08"/>
    <x v="26"/>
    <m/>
    <m/>
    <m/>
    <n v="32.08"/>
    <b v="0"/>
    <m/>
    <m/>
    <s v="-"/>
    <x v="151"/>
    <s v="Create Rule; and Description='Excelsior Brewing';Restaurants"/>
    <m/>
  </r>
  <r>
    <x v="33"/>
    <d v="2021-10-03T00:00:00"/>
    <s v="Cash Rewards Visa Signature"/>
    <x v="1337"/>
    <n v="18"/>
    <x v="26"/>
    <m/>
    <m/>
    <m/>
    <n v="18"/>
    <b v="0"/>
    <m/>
    <m/>
    <s v="-"/>
    <x v="1264"/>
    <s v="Create Rule; and Description Like '%HBRSUBSCRIPTION%';Entertainment"/>
    <m/>
  </r>
  <r>
    <x v="33"/>
    <d v="2021-10-03T00:00:00"/>
    <s v="Cash Rewards Visa Signature"/>
    <x v="577"/>
    <n v="12.22"/>
    <x v="1"/>
    <m/>
    <m/>
    <m/>
    <n v="12.22"/>
    <b v="0"/>
    <m/>
    <m/>
    <s v="-"/>
    <x v="558"/>
    <s v="Create Rule; and Description Like '%Jimmy John%';Restaurants"/>
    <m/>
  </r>
  <r>
    <x v="33"/>
    <d v="2021-10-03T00:00:00"/>
    <s v="Cash Rewards Visa Signature"/>
    <x v="1602"/>
    <n v="61.5"/>
    <x v="26"/>
    <m/>
    <m/>
    <m/>
    <n v="61.5"/>
    <b v="0"/>
    <m/>
    <m/>
    <s v="-"/>
    <x v="1497"/>
    <s v="Manual"/>
    <m/>
  </r>
  <r>
    <x v="33"/>
    <d v="2021-10-03T00:00:00"/>
    <s v="Cash Rewards Visa Signature"/>
    <x v="309"/>
    <n v="47.87"/>
    <x v="26"/>
    <m/>
    <m/>
    <m/>
    <n v="47.87"/>
    <b v="0"/>
    <m/>
    <m/>
    <s v="-"/>
    <x v="301"/>
    <s v="Create Rule; and Description='Sherwin Williams';House Maintenance"/>
    <m/>
  </r>
  <r>
    <x v="33"/>
    <d v="2021-10-03T00:00:00"/>
    <s v="Cash Rewards Visa Signature"/>
    <x v="1603"/>
    <n v="13.8"/>
    <x v="26"/>
    <m/>
    <m/>
    <m/>
    <n v="13.8"/>
    <b v="0"/>
    <m/>
    <m/>
    <s v="-"/>
    <x v="1498"/>
    <s v="Manual"/>
    <m/>
  </r>
  <r>
    <x v="33"/>
    <d v="2021-10-03T00:00:00"/>
    <s v="Cash Rewards Visa Signature"/>
    <x v="579"/>
    <n v="20"/>
    <x v="1"/>
    <m/>
    <m/>
    <m/>
    <n v="20"/>
    <b v="0"/>
    <m/>
    <m/>
    <s v="-"/>
    <x v="560"/>
    <s v="Create Rule; and Description='Starbucks';Restaurants"/>
    <m/>
  </r>
  <r>
    <x v="33"/>
    <d v="2021-10-03T00:00:00"/>
    <s v="Cash Rewards Visa Signature"/>
    <x v="1227"/>
    <n v="49.74"/>
    <x v="1"/>
    <m/>
    <m/>
    <m/>
    <n v="49.74"/>
    <b v="0"/>
    <m/>
    <m/>
    <s v="-"/>
    <x v="1165"/>
    <s v="Create Rule; and Description='Uber Eats';Restaurants"/>
    <m/>
  </r>
  <r>
    <x v="33"/>
    <d v="2021-10-04T00:00:00"/>
    <s v="Discover"/>
    <x v="0"/>
    <n v="34.31"/>
    <x v="0"/>
    <m/>
    <m/>
    <m/>
    <n v="34.31"/>
    <b v="0"/>
    <m/>
    <m/>
    <s v="-"/>
    <x v="0"/>
    <s v="Create Rule; and Description='Amazon';Amazon"/>
    <m/>
  </r>
  <r>
    <x v="33"/>
    <d v="2021-10-04T00:00:00"/>
    <s v="Discover More Card"/>
    <x v="0"/>
    <n v="34.31"/>
    <x v="0"/>
    <m/>
    <m/>
    <m/>
    <n v="34.31"/>
    <b v="0"/>
    <m/>
    <m/>
    <s v="-"/>
    <x v="0"/>
    <s v="Create Rule; and Description='Amazon';Amazon"/>
    <m/>
  </r>
  <r>
    <x v="33"/>
    <d v="2021-10-04T00:00:00"/>
    <s v="Cash Rewards Visa Signature"/>
    <x v="176"/>
    <n v="11.2"/>
    <x v="26"/>
    <m/>
    <m/>
    <m/>
    <n v="11.2"/>
    <b v="0"/>
    <m/>
    <m/>
    <s v="-"/>
    <x v="175"/>
    <s v="Create Rule; and Description='Delta';Travel"/>
    <m/>
  </r>
  <r>
    <x v="33"/>
    <d v="2021-10-04T00:00:00"/>
    <s v="Cash Rewards Visa Signature"/>
    <x v="473"/>
    <n v="32.04"/>
    <x v="1"/>
    <m/>
    <m/>
    <m/>
    <n v="32.04"/>
    <b v="0"/>
    <m/>
    <m/>
    <s v="-"/>
    <x v="456"/>
    <s v="Create Rule; and Description Like '%Domino%';Restaurants"/>
    <m/>
  </r>
  <r>
    <x v="33"/>
    <d v="2021-10-04T00:00:00"/>
    <s v="POWERPLUS"/>
    <x v="1604"/>
    <n v="375"/>
    <x v="26"/>
    <m/>
    <m/>
    <m/>
    <n v="375"/>
    <b v="0"/>
    <m/>
    <m/>
    <s v="-"/>
    <x v="1499"/>
    <s v="Manual"/>
    <m/>
  </r>
  <r>
    <x v="33"/>
    <d v="2021-10-04T00:00:00"/>
    <s v="Cash Rewards Visa Signature"/>
    <x v="1605"/>
    <n v="48.32"/>
    <x v="26"/>
    <m/>
    <m/>
    <m/>
    <n v="48.32"/>
    <b v="0"/>
    <m/>
    <m/>
    <s v="-"/>
    <x v="1500"/>
    <s v="Manual"/>
    <m/>
  </r>
  <r>
    <x v="33"/>
    <d v="2021-10-04T00:00:00"/>
    <s v="Cash Rewards Visa Signature"/>
    <x v="693"/>
    <n v="7.86"/>
    <x v="26"/>
    <m/>
    <m/>
    <m/>
    <n v="7.86"/>
    <b v="0"/>
    <m/>
    <m/>
    <s v="-"/>
    <x v="669"/>
    <s v="Create Rule; and Description='SHOREWOODLIQUOR SHOREWOOD MN';Groceries"/>
    <m/>
  </r>
  <r>
    <x v="33"/>
    <d v="2021-10-04T00:00:00"/>
    <s v="POWERPLUS"/>
    <x v="1606"/>
    <n v="-13.9"/>
    <x v="26"/>
    <m/>
    <m/>
    <m/>
    <n v="13.9"/>
    <b v="0"/>
    <m/>
    <m/>
    <s v="+"/>
    <x v="1501"/>
    <s v="Create Rule; and Description Like '%PayPal%';Shopping"/>
    <m/>
  </r>
  <r>
    <x v="33"/>
    <d v="2021-10-04T00:00:00"/>
    <s v="POWERPLUS"/>
    <x v="29"/>
    <n v="100"/>
    <x v="8"/>
    <m/>
    <m/>
    <m/>
    <n v="100"/>
    <b v="0"/>
    <m/>
    <m/>
    <s v="-"/>
    <x v="29"/>
    <s v="Manual"/>
    <m/>
  </r>
  <r>
    <x v="33"/>
    <d v="2021-10-05T00:00:00"/>
    <s v="Cash Rewards Visa Signature"/>
    <x v="1318"/>
    <n v="-1542.14"/>
    <x v="26"/>
    <m/>
    <m/>
    <m/>
    <n v="1542.14"/>
    <b v="0"/>
    <m/>
    <m/>
    <s v="+"/>
    <x v="1246"/>
    <s v="Create Rule; and Description='Credit Card Payment Received PAYMENT THANK YOU';Delete"/>
    <m/>
  </r>
  <r>
    <x v="33"/>
    <d v="2021-10-05T00:00:00"/>
    <s v="POWERPLUS"/>
    <x v="1319"/>
    <n v="1542.14"/>
    <x v="26"/>
    <m/>
    <m/>
    <m/>
    <n v="1542.14"/>
    <b v="0"/>
    <m/>
    <m/>
    <s v="-"/>
    <x v="1247"/>
    <s v="Create Rule; and Description='Withdrawal Home payment to card XX91 Withdrawal Home payment to card 979181';Delete"/>
    <m/>
  </r>
  <r>
    <x v="33"/>
    <d v="2021-10-05T00:00:00"/>
    <s v="Discover"/>
    <x v="0"/>
    <n v="9.99"/>
    <x v="0"/>
    <m/>
    <m/>
    <m/>
    <n v="9.99"/>
    <b v="0"/>
    <m/>
    <m/>
    <s v="-"/>
    <x v="0"/>
    <s v="Create Rule; and Description='Amazon';Amazon"/>
    <m/>
  </r>
  <r>
    <x v="33"/>
    <d v="2021-10-05T00:00:00"/>
    <s v="Cash Rewards Visa Signature"/>
    <x v="59"/>
    <n v="23.69"/>
    <x v="1"/>
    <m/>
    <m/>
    <m/>
    <n v="23.69"/>
    <b v="0"/>
    <m/>
    <m/>
    <s v="-"/>
    <x v="59"/>
    <s v="Create Rule; and Description Like '%Caribou Coffee%';Restaurants"/>
    <m/>
  </r>
  <r>
    <x v="33"/>
    <d v="2021-10-05T00:00:00"/>
    <s v="POWERPLUS"/>
    <x v="1321"/>
    <n v="528.79999999999995"/>
    <x v="26"/>
    <m/>
    <m/>
    <m/>
    <n v="528.79999999999995"/>
    <b v="0"/>
    <m/>
    <m/>
    <s v="-"/>
    <x v="1249"/>
    <s v="Create Rule; and Description Like '%MHCHILDCARELLC%';Day Care"/>
    <m/>
  </r>
  <r>
    <x v="33"/>
    <d v="2021-10-05T00:00:00"/>
    <s v="POWERPLUS"/>
    <x v="157"/>
    <n v="10"/>
    <x v="8"/>
    <m/>
    <m/>
    <m/>
    <n v="10"/>
    <b v="0"/>
    <m/>
    <m/>
    <s v="-"/>
    <x v="156"/>
    <s v="Create Rule; and Description Like '%PayPal%';Shopping"/>
    <m/>
  </r>
  <r>
    <x v="33"/>
    <d v="2021-10-05T00:00:00"/>
    <s v="Cash Rewards Visa Signature"/>
    <x v="750"/>
    <n v="152.61000000000001"/>
    <x v="25"/>
    <m/>
    <m/>
    <m/>
    <n v="152.61000000000001"/>
    <b v="0"/>
    <m/>
    <m/>
    <s v="-"/>
    <x v="723"/>
    <s v="Manual"/>
    <m/>
  </r>
  <r>
    <x v="33"/>
    <d v="2021-10-05T00:00:00"/>
    <s v="Cash Rewards Visa Signature"/>
    <x v="1607"/>
    <n v="109.76"/>
    <x v="26"/>
    <m/>
    <m/>
    <m/>
    <n v="109.76"/>
    <b v="0"/>
    <m/>
    <m/>
    <s v="-"/>
    <x v="1502"/>
    <s v="Create Rule; and Description Like '%RED COW%';Restaurants"/>
    <m/>
  </r>
  <r>
    <x v="33"/>
    <d v="2021-10-05T00:00:00"/>
    <s v="Cash Rewards Visa Signature"/>
    <x v="55"/>
    <n v="51.83"/>
    <x v="5"/>
    <m/>
    <m/>
    <m/>
    <n v="51.83"/>
    <b v="0"/>
    <m/>
    <m/>
    <s v="-"/>
    <x v="55"/>
    <s v="Create Rule; and Description='Walgreens';Shopping"/>
    <m/>
  </r>
  <r>
    <x v="33"/>
    <d v="2021-10-05T00:00:00"/>
    <s v="POWERPLUS"/>
    <x v="30"/>
    <n v="170.18"/>
    <x v="11"/>
    <m/>
    <m/>
    <m/>
    <n v="170.18"/>
    <b v="0"/>
    <m/>
    <m/>
    <s v="-"/>
    <x v="30"/>
    <s v="Create Rule; and Description='Xcel Energy';Utilities"/>
    <m/>
  </r>
  <r>
    <x v="33"/>
    <d v="2021-10-06T00:00:00"/>
    <s v="Discover More Card"/>
    <x v="56"/>
    <n v="-455.84"/>
    <x v="3"/>
    <m/>
    <m/>
    <m/>
    <n v="455.84"/>
    <b v="0"/>
    <m/>
    <m/>
    <s v="+"/>
    <x v="56"/>
    <s v="Delete; and Description='INTERNET PAYMENT - THANK YOU';0"/>
    <m/>
  </r>
  <r>
    <x v="33"/>
    <d v="2021-10-06T00:00:00"/>
    <s v="Discover More Card"/>
    <x v="0"/>
    <n v="9.99"/>
    <x v="0"/>
    <m/>
    <m/>
    <m/>
    <n v="9.99"/>
    <b v="0"/>
    <m/>
    <m/>
    <s v="-"/>
    <x v="0"/>
    <s v="Create Rule; and Description='Amazon';Amazon"/>
    <m/>
  </r>
  <r>
    <x v="33"/>
    <d v="2021-10-06T00:00:00"/>
    <s v="Discover More Card"/>
    <x v="0"/>
    <n v="-21.98"/>
    <x v="0"/>
    <m/>
    <m/>
    <m/>
    <n v="21.98"/>
    <b v="0"/>
    <m/>
    <m/>
    <s v="+"/>
    <x v="0"/>
    <s v="Create Rule; and Description='Amazon';Amazon"/>
    <m/>
  </r>
  <r>
    <x v="33"/>
    <d v="2021-10-06T00:00:00"/>
    <s v="Cash Rewards Visa Signature"/>
    <x v="823"/>
    <n v="7.93"/>
    <x v="2"/>
    <m/>
    <m/>
    <m/>
    <n v="7.93"/>
    <b v="0"/>
    <m/>
    <m/>
    <s v="-"/>
    <x v="792"/>
    <s v="Create Rule; and Description='Kwik Trip';Transportation"/>
    <m/>
  </r>
  <r>
    <x v="33"/>
    <d v="2021-10-06T00:00:00"/>
    <s v="Cash Rewards Visa Signature"/>
    <x v="823"/>
    <n v="47.7"/>
    <x v="2"/>
    <m/>
    <m/>
    <m/>
    <n v="47.7"/>
    <b v="0"/>
    <m/>
    <m/>
    <s v="-"/>
    <x v="792"/>
    <s v="Create Rule; and Description='Kwik Trip';Transportation"/>
    <m/>
  </r>
  <r>
    <x v="33"/>
    <d v="2021-10-06T00:00:00"/>
    <s v="Cash Rewards Visa Signature"/>
    <x v="1608"/>
    <n v="145.12"/>
    <x v="26"/>
    <m/>
    <m/>
    <m/>
    <n v="145.12"/>
    <b v="0"/>
    <m/>
    <m/>
    <s v="-"/>
    <x v="1503"/>
    <s v="Manual"/>
    <m/>
  </r>
  <r>
    <x v="33"/>
    <d v="2021-10-06T00:00:00"/>
    <s v="Joint Tenant"/>
    <x v="20"/>
    <n v="200"/>
    <x v="26"/>
    <m/>
    <m/>
    <m/>
    <n v="200"/>
    <b v="0"/>
    <m/>
    <m/>
    <s v="-"/>
    <x v="20"/>
    <s v="Delete; and Description='SCHWAB TOTAL STOCK MKT INDEX' and inflowoutflow='-';0"/>
    <m/>
  </r>
  <r>
    <x v="33"/>
    <d v="2021-10-06T00:00:00"/>
    <s v="POWERPLUS"/>
    <x v="1609"/>
    <n v="-6.33"/>
    <x v="26"/>
    <m/>
    <m/>
    <m/>
    <n v="6.33"/>
    <b v="0"/>
    <m/>
    <m/>
    <s v="+"/>
    <x v="1293"/>
    <s v="Create Rule; and Description Like '%PayPal%';Shopping"/>
    <m/>
  </r>
  <r>
    <x v="33"/>
    <d v="2021-10-07T00:00:00"/>
    <s v="POWERPLUS"/>
    <x v="1610"/>
    <n v="455.84"/>
    <x v="26"/>
    <m/>
    <m/>
    <m/>
    <n v="455.84"/>
    <b v="0"/>
    <m/>
    <m/>
    <s v="-"/>
    <x v="1504"/>
    <s v="Delete; and Description Like '%DISCOVER TYPE EPAYMENT%';0"/>
    <m/>
  </r>
  <r>
    <x v="33"/>
    <d v="2021-10-07T00:00:00"/>
    <s v="Discover More Card"/>
    <x v="0"/>
    <n v="3.54"/>
    <x v="0"/>
    <m/>
    <m/>
    <m/>
    <n v="3.54"/>
    <b v="0"/>
    <m/>
    <m/>
    <s v="-"/>
    <x v="0"/>
    <s v="Create Rule; and Description='Amazon';Amazon"/>
    <m/>
  </r>
  <r>
    <x v="33"/>
    <d v="2021-10-07T00:00:00"/>
    <s v="Discover More Card"/>
    <x v="0"/>
    <n v="-34.31"/>
    <x v="0"/>
    <m/>
    <m/>
    <m/>
    <n v="34.31"/>
    <b v="0"/>
    <m/>
    <m/>
    <s v="+"/>
    <x v="0"/>
    <s v="Create Rule; and Description='Amazon';Amazon"/>
    <m/>
  </r>
  <r>
    <x v="33"/>
    <d v="2021-10-07T00:00:00"/>
    <s v="POWERPLUS"/>
    <x v="1328"/>
    <n v="500"/>
    <x v="26"/>
    <m/>
    <m/>
    <m/>
    <n v="500"/>
    <b v="0"/>
    <m/>
    <m/>
    <s v="-"/>
    <x v="1255"/>
    <s v="Manual"/>
    <m/>
  </r>
  <r>
    <x v="33"/>
    <d v="2021-10-07T00:00:00"/>
    <s v="Joint Tenant"/>
    <x v="1396"/>
    <n v="-0.87"/>
    <x v="26"/>
    <m/>
    <m/>
    <m/>
    <n v="0.87"/>
    <b v="0"/>
    <m/>
    <m/>
    <s v="+"/>
    <x v="1315"/>
    <s v="Delete; and Source='Joint Tenant';0"/>
    <m/>
  </r>
  <r>
    <x v="33"/>
    <d v="2021-10-08T00:00:00"/>
    <s v="Discover More Card"/>
    <x v="0"/>
    <n v="16.100000000000001"/>
    <x v="0"/>
    <m/>
    <m/>
    <m/>
    <n v="16.100000000000001"/>
    <b v="0"/>
    <m/>
    <m/>
    <s v="-"/>
    <x v="0"/>
    <s v="Create Rule; and Description='Amazon';Amazon"/>
    <m/>
  </r>
  <r>
    <x v="33"/>
    <d v="2021-10-08T00:00:00"/>
    <s v="Cash Rewards Visa Signature"/>
    <x v="1611"/>
    <n v="70.81"/>
    <x v="26"/>
    <m/>
    <m/>
    <m/>
    <n v="70.81"/>
    <b v="0"/>
    <m/>
    <m/>
    <s v="-"/>
    <x v="1505"/>
    <s v="Manual"/>
    <m/>
  </r>
  <r>
    <x v="33"/>
    <d v="2021-10-08T00:00:00"/>
    <s v="Cash Rewards Visa Signature"/>
    <x v="59"/>
    <n v="8.4700000000000006"/>
    <x v="1"/>
    <m/>
    <m/>
    <m/>
    <n v="8.4700000000000006"/>
    <b v="0"/>
    <m/>
    <m/>
    <s v="-"/>
    <x v="59"/>
    <s v="Create Rule; and Description Like '%Caribou Coffee%';Restaurants"/>
    <m/>
  </r>
  <r>
    <x v="33"/>
    <d v="2021-10-08T00:00:00"/>
    <s v="Cash Rewards Visa Signature"/>
    <x v="1612"/>
    <n v="193.28"/>
    <x v="26"/>
    <m/>
    <m/>
    <m/>
    <n v="193.28"/>
    <b v="0"/>
    <m/>
    <m/>
    <s v="-"/>
    <x v="1506"/>
    <s v="Manual"/>
    <m/>
  </r>
  <r>
    <x v="33"/>
    <d v="2021-10-08T00:00:00"/>
    <s v="Cash Rewards Visa Signature"/>
    <x v="1613"/>
    <n v="10"/>
    <x v="26"/>
    <m/>
    <m/>
    <m/>
    <n v="10"/>
    <b v="0"/>
    <m/>
    <m/>
    <s v="-"/>
    <x v="1507"/>
    <s v="Manual"/>
    <m/>
  </r>
  <r>
    <x v="33"/>
    <d v="2021-10-08T00:00:00"/>
    <s v="Cash Rewards Visa Signature"/>
    <x v="1338"/>
    <n v="68.62"/>
    <x v="5"/>
    <m/>
    <m/>
    <m/>
    <n v="68.62"/>
    <b v="0"/>
    <m/>
    <m/>
    <s v="-"/>
    <x v="1265"/>
    <s v="Manual"/>
    <m/>
  </r>
  <r>
    <x v="33"/>
    <d v="2021-10-09T00:00:00"/>
    <s v="Cash Rewards Visa Signature"/>
    <x v="1318"/>
    <n v="-889.82"/>
    <x v="26"/>
    <m/>
    <m/>
    <m/>
    <n v="889.82"/>
    <b v="0"/>
    <m/>
    <m/>
    <s v="+"/>
    <x v="1246"/>
    <s v="Create Rule; and Description='Credit Card Payment Received PAYMENT THANK YOU';Delete"/>
    <m/>
  </r>
  <r>
    <x v="33"/>
    <d v="2021-10-09T00:00:00"/>
    <s v="POWERPLUS"/>
    <x v="1319"/>
    <n v="889.82"/>
    <x v="26"/>
    <m/>
    <m/>
    <m/>
    <n v="889.82"/>
    <b v="0"/>
    <m/>
    <m/>
    <s v="-"/>
    <x v="1247"/>
    <s v="Create Rule; and Description='Withdrawal Home payment to card XX91 Withdrawal Home payment to card 979181';Delete"/>
    <m/>
  </r>
  <r>
    <x v="33"/>
    <d v="2021-10-30T00:00:00"/>
    <s v="Cash Rewards Visa Signature"/>
    <x v="0"/>
    <n v="35"/>
    <x v="0"/>
    <m/>
    <m/>
    <m/>
    <n v="35"/>
    <b v="0"/>
    <m/>
    <m/>
    <s v="-"/>
    <x v="0"/>
    <s v="Create Rule; and Description='Amazon';Amazon"/>
    <m/>
  </r>
  <r>
    <x v="33"/>
    <d v="2021-10-30T00:00:00"/>
    <s v="Discover More Card"/>
    <x v="0"/>
    <n v="45"/>
    <x v="0"/>
    <m/>
    <m/>
    <m/>
    <n v="45"/>
    <b v="0"/>
    <m/>
    <m/>
    <s v="-"/>
    <x v="0"/>
    <s v="Create Rule; and Description='Amazon';Amazon"/>
    <m/>
  </r>
  <r>
    <x v="33"/>
    <d v="2021-10-30T00:00:00"/>
    <s v="Discover More Card"/>
    <x v="0"/>
    <n v="17.989999999999998"/>
    <x v="0"/>
    <m/>
    <m/>
    <m/>
    <n v="17.989999999999998"/>
    <b v="0"/>
    <m/>
    <m/>
    <s v="-"/>
    <x v="0"/>
    <s v="Create Rule; and Description='Amazon';Amazon"/>
    <m/>
  </r>
  <r>
    <x v="33"/>
    <d v="2021-10-30T00:00:00"/>
    <s v="Cash Rewards Visa Signature"/>
    <x v="0"/>
    <n v="215.93"/>
    <x v="0"/>
    <m/>
    <m/>
    <m/>
    <n v="215.93"/>
    <b v="0"/>
    <m/>
    <m/>
    <s v="-"/>
    <x v="0"/>
    <s v="Create Rule; and Description='Amazon';Amazon"/>
    <m/>
  </r>
  <r>
    <x v="33"/>
    <d v="2021-10-30T00:00:00"/>
    <s v="Cash Rewards Visa Signature"/>
    <x v="0"/>
    <n v="9.65"/>
    <x v="0"/>
    <m/>
    <m/>
    <m/>
    <n v="9.65"/>
    <b v="0"/>
    <m/>
    <m/>
    <s v="-"/>
    <x v="0"/>
    <s v="Create Rule; and Description='Amazon';Amazon"/>
    <m/>
  </r>
  <r>
    <x v="33"/>
    <d v="2021-10-30T00:00:00"/>
    <s v="Discover More Card"/>
    <x v="0"/>
    <n v="-17.989999999999998"/>
    <x v="0"/>
    <m/>
    <m/>
    <m/>
    <n v="17.989999999999998"/>
    <b v="0"/>
    <m/>
    <m/>
    <s v="+"/>
    <x v="0"/>
    <s v="Create Rule; and Description='Amazon';Amazon"/>
    <m/>
  </r>
  <r>
    <x v="33"/>
    <d v="2021-10-30T00:00:00"/>
    <s v="Discover More Card"/>
    <x v="0"/>
    <n v="13.29"/>
    <x v="0"/>
    <m/>
    <m/>
    <m/>
    <n v="13.29"/>
    <b v="0"/>
    <m/>
    <m/>
    <s v="-"/>
    <x v="0"/>
    <s v="Create Rule; and Description='Amazon';Amazon"/>
    <m/>
  </r>
  <r>
    <x v="33"/>
    <d v="2021-10-30T00:00:00"/>
    <s v="Discover More Card"/>
    <x v="0"/>
    <n v="16.489999999999998"/>
    <x v="0"/>
    <m/>
    <m/>
    <m/>
    <n v="16.489999999999998"/>
    <b v="0"/>
    <m/>
    <m/>
    <s v="-"/>
    <x v="0"/>
    <s v="Create Rule; and Description='Amazon';Amazon"/>
    <m/>
  </r>
  <r>
    <x v="33"/>
    <d v="2021-10-30T00:00:00"/>
    <s v="Discover More Card"/>
    <x v="0"/>
    <n v="16.489999999999998"/>
    <x v="0"/>
    <m/>
    <m/>
    <m/>
    <n v="16.489999999999998"/>
    <b v="0"/>
    <m/>
    <m/>
    <s v="-"/>
    <x v="0"/>
    <s v="Create Rule; and Description='Amazon';Amazon"/>
    <m/>
  </r>
  <r>
    <x v="33"/>
    <d v="2021-10-30T00:00:00"/>
    <s v="Discover More Card"/>
    <x v="0"/>
    <n v="112.39"/>
    <x v="0"/>
    <m/>
    <m/>
    <m/>
    <n v="112.39"/>
    <b v="0"/>
    <m/>
    <m/>
    <s v="-"/>
    <x v="0"/>
    <s v="Create Rule; and Description='Amazon';Amazon"/>
    <m/>
  </r>
  <r>
    <x v="33"/>
    <d v="2021-10-30T00:00:00"/>
    <s v="Discover More Card"/>
    <x v="0"/>
    <n v="-16.489999999999998"/>
    <x v="0"/>
    <m/>
    <m/>
    <m/>
    <n v="16.489999999999998"/>
    <b v="0"/>
    <m/>
    <m/>
    <s v="+"/>
    <x v="0"/>
    <s v="Create Rule; and Description='Amazon';Amazon"/>
    <m/>
  </r>
  <r>
    <x v="33"/>
    <d v="2021-10-30T00:00:00"/>
    <s v="Cash Rewards Visa Signature"/>
    <x v="0"/>
    <n v="12.99"/>
    <x v="0"/>
    <m/>
    <m/>
    <m/>
    <n v="12.99"/>
    <b v="0"/>
    <m/>
    <m/>
    <s v="-"/>
    <x v="0"/>
    <s v="Create Rule; and Description='Amazon';Amazon"/>
    <m/>
  </r>
  <r>
    <x v="33"/>
    <d v="2021-10-30T00:00:00"/>
    <s v="POWERPLUS"/>
    <x v="48"/>
    <n v="95.51"/>
    <x v="16"/>
    <m/>
    <m/>
    <m/>
    <n v="95.51"/>
    <b v="0"/>
    <m/>
    <m/>
    <s v="-"/>
    <x v="48"/>
    <s v="Create Rule; and Description='American Family Insurance';Insurance"/>
    <m/>
  </r>
  <r>
    <x v="33"/>
    <d v="2021-10-30T00:00:00"/>
    <s v="Cash Rewards Visa Signature"/>
    <x v="1556"/>
    <n v="10.49"/>
    <x v="26"/>
    <m/>
    <m/>
    <m/>
    <n v="10.49"/>
    <b v="0"/>
    <m/>
    <m/>
    <s v="-"/>
    <x v="1458"/>
    <s v="Manual"/>
    <m/>
  </r>
  <r>
    <x v="33"/>
    <d v="2021-10-30T00:00:00"/>
    <s v="POWERPLUS"/>
    <x v="1040"/>
    <n v="-3"/>
    <x v="26"/>
    <m/>
    <m/>
    <m/>
    <n v="3"/>
    <b v="0"/>
    <m/>
    <m/>
    <s v="+"/>
    <x v="994"/>
    <s v="Manual"/>
    <m/>
  </r>
  <r>
    <x v="33"/>
    <d v="2021-10-30T00:00:00"/>
    <s v="POWERPLUS"/>
    <x v="1328"/>
    <n v="354.49"/>
    <x v="26"/>
    <m/>
    <m/>
    <m/>
    <n v="354.49"/>
    <b v="0"/>
    <m/>
    <m/>
    <s v="-"/>
    <x v="1255"/>
    <s v="Manual"/>
    <m/>
  </r>
  <r>
    <x v="33"/>
    <d v="2021-10-30T00:00:00"/>
    <s v="Contributory"/>
    <x v="1614"/>
    <n v="-0.11"/>
    <x v="26"/>
    <m/>
    <m/>
    <m/>
    <n v="0.11"/>
    <b v="0"/>
    <m/>
    <m/>
    <s v="+"/>
    <x v="1508"/>
    <s v="Manual"/>
    <m/>
  </r>
  <r>
    <x v="33"/>
    <d v="2021-10-30T00:00:00"/>
    <s v="Cooper"/>
    <x v="1614"/>
    <n v="-0.01"/>
    <x v="26"/>
    <m/>
    <m/>
    <m/>
    <n v="0.01"/>
    <b v="0"/>
    <m/>
    <m/>
    <s v="+"/>
    <x v="1508"/>
    <s v="Manual"/>
    <m/>
  </r>
  <r>
    <x v="33"/>
    <d v="2021-10-30T00:00:00"/>
    <s v="Jeff IRA"/>
    <x v="1614"/>
    <n v="-0.04"/>
    <x v="26"/>
    <m/>
    <m/>
    <m/>
    <n v="0.04"/>
    <b v="0"/>
    <m/>
    <m/>
    <s v="+"/>
    <x v="1508"/>
    <s v="Manual"/>
    <m/>
  </r>
  <r>
    <x v="33"/>
    <d v="2021-10-30T00:00:00"/>
    <s v="Cash Rewards Visa Signature"/>
    <x v="1615"/>
    <n v="7"/>
    <x v="26"/>
    <m/>
    <m/>
    <m/>
    <n v="7"/>
    <b v="0"/>
    <m/>
    <m/>
    <s v="-"/>
    <x v="1509"/>
    <s v="Manual"/>
    <m/>
  </r>
  <r>
    <x v="33"/>
    <d v="2021-10-30T00:00:00"/>
    <s v="Cash Rewards Visa Signature"/>
    <x v="1282"/>
    <n v="9"/>
    <x v="26"/>
    <m/>
    <m/>
    <m/>
    <n v="9"/>
    <b v="0"/>
    <m/>
    <m/>
    <s v="-"/>
    <x v="1215"/>
    <s v="Create Rule; and Description Like '%BONFES%';House Maintenance"/>
    <m/>
  </r>
  <r>
    <x v="33"/>
    <d v="2021-10-30T00:00:00"/>
    <s v="Cash Rewards Visa Signature"/>
    <x v="174"/>
    <n v="45.67"/>
    <x v="26"/>
    <m/>
    <m/>
    <m/>
    <n v="45.67"/>
    <b v="0"/>
    <m/>
    <m/>
    <s v="-"/>
    <x v="173"/>
    <s v="Create Rule; and Description='BP';Transportation"/>
    <m/>
  </r>
  <r>
    <x v="33"/>
    <d v="2021-10-30T00:00:00"/>
    <s v="CARGILL PARTNERSHIP PLAN"/>
    <x v="684"/>
    <n v="-204.01"/>
    <x v="26"/>
    <m/>
    <m/>
    <m/>
    <n v="204.01"/>
    <b v="0"/>
    <m/>
    <m/>
    <s v="+"/>
    <x v="660"/>
    <s v="Manual"/>
    <m/>
  </r>
  <r>
    <x v="33"/>
    <d v="2021-10-30T00:00:00"/>
    <s v="CARGILL PARTNERSHIP PLAN"/>
    <x v="566"/>
    <n v="-3000.64"/>
    <x v="26"/>
    <m/>
    <m/>
    <m/>
    <n v="3000.64"/>
    <b v="0"/>
    <m/>
    <m/>
    <s v="+"/>
    <x v="547"/>
    <s v="Create Rule; and Description='Cargill ESOP Stock Fund - Plan Contribution';Delete"/>
    <m/>
  </r>
  <r>
    <x v="33"/>
    <d v="2021-10-30T00:00:00"/>
    <s v="POWERPLUS"/>
    <x v="1616"/>
    <n v="-3025.18"/>
    <x v="26"/>
    <m/>
    <m/>
    <m/>
    <n v="3025.18"/>
    <b v="0"/>
    <m/>
    <m/>
    <s v="+"/>
    <x v="1256"/>
    <s v="Create Rule; and Description Like '%Cargill Inc Deposit CARGILL INCORPOR TYPE DIRECT DEP ID CO CARGILL INCORPOR ACH%';Inc - Britney"/>
    <m/>
  </r>
  <r>
    <x v="33"/>
    <d v="2021-10-30T00:00:00"/>
    <s v="POWERPLUS"/>
    <x v="1617"/>
    <n v="-3042.55"/>
    <x v="26"/>
    <m/>
    <m/>
    <m/>
    <n v="3042.55"/>
    <b v="0"/>
    <m/>
    <m/>
    <s v="+"/>
    <x v="1256"/>
    <s v="Create Rule; and Description Like '%Cargill Inc Deposit CARGILL INCORPOR TYPE DIRECT DEP ID CO CARGILL INCORPOR ACH%';Inc - Britney"/>
    <m/>
  </r>
  <r>
    <x v="33"/>
    <d v="2021-10-30T00:00:00"/>
    <s v="Joint Tenant"/>
    <x v="1299"/>
    <n v="-200"/>
    <x v="26"/>
    <m/>
    <m/>
    <m/>
    <n v="200"/>
    <b v="0"/>
    <m/>
    <m/>
    <s v="+"/>
    <x v="1230"/>
    <s v="Delete; and Source='Joint Tenant';0"/>
    <m/>
  </r>
  <r>
    <x v="33"/>
    <d v="2021-10-30T00:00:00"/>
    <s v="Joint Tenant"/>
    <x v="1299"/>
    <n v="-200"/>
    <x v="26"/>
    <m/>
    <m/>
    <m/>
    <n v="200"/>
    <b v="0"/>
    <m/>
    <m/>
    <s v="+"/>
    <x v="1230"/>
    <s v="Delete; and Source='Joint Tenant';0"/>
    <m/>
  </r>
  <r>
    <x v="33"/>
    <d v="2021-10-30T00:00:00"/>
    <s v="POWERPLUS"/>
    <x v="35"/>
    <n v="-75"/>
    <x v="26"/>
    <m/>
    <m/>
    <m/>
    <n v="75"/>
    <b v="0"/>
    <m/>
    <m/>
    <s v="+"/>
    <x v="35"/>
    <s v="Create Rule; and Description='Cargill Incorpor Type';Inc - Other"/>
    <m/>
  </r>
  <r>
    <x v="33"/>
    <d v="2021-10-30T00:00:00"/>
    <s v="CARGILL PARTNERSHIP PLAN"/>
    <x v="685"/>
    <n v="-204.01"/>
    <x v="26"/>
    <m/>
    <m/>
    <m/>
    <n v="204.01"/>
    <b v="0"/>
    <m/>
    <m/>
    <s v="+"/>
    <x v="661"/>
    <s v="Manual"/>
    <m/>
  </r>
  <r>
    <x v="33"/>
    <d v="2021-10-30T00:00:00"/>
    <s v="CARGILL PARTNERSHIP PLAN"/>
    <x v="686"/>
    <n v="-204.01"/>
    <x v="26"/>
    <m/>
    <m/>
    <m/>
    <n v="204.01"/>
    <b v="0"/>
    <m/>
    <m/>
    <s v="+"/>
    <x v="662"/>
    <s v="Manual"/>
    <m/>
  </r>
  <r>
    <x v="33"/>
    <d v="2021-10-30T00:00:00"/>
    <s v="POWERPLUS"/>
    <x v="1348"/>
    <n v="97.83"/>
    <x v="11"/>
    <m/>
    <m/>
    <m/>
    <n v="97.83"/>
    <b v="0"/>
    <m/>
    <m/>
    <s v="-"/>
    <x v="1273"/>
    <s v="Create Rule; and Description='CenterPoint Energy';Utilities"/>
    <m/>
  </r>
  <r>
    <x v="33"/>
    <d v="2021-10-30T00:00:00"/>
    <s v="Cash Rewards Visa Signature"/>
    <x v="1407"/>
    <n v="26"/>
    <x v="26"/>
    <m/>
    <m/>
    <m/>
    <n v="26"/>
    <b v="0"/>
    <m/>
    <m/>
    <s v="-"/>
    <x v="1325"/>
    <s v="Manual"/>
    <m/>
  </r>
  <r>
    <x v="33"/>
    <d v="2021-10-30T00:00:00"/>
    <s v="Cash Rewards Visa Signature"/>
    <x v="67"/>
    <n v="45"/>
    <x v="11"/>
    <m/>
    <m/>
    <m/>
    <n v="45"/>
    <b v="0"/>
    <m/>
    <m/>
    <s v="-"/>
    <x v="67"/>
    <s v="Create Rule; and Description='CenturyLink';Utilities"/>
    <m/>
  </r>
  <r>
    <x v="33"/>
    <d v="2021-10-30T00:00:00"/>
    <s v="POWERPLUS"/>
    <x v="1618"/>
    <n v="500"/>
    <x v="26"/>
    <m/>
    <m/>
    <m/>
    <n v="500"/>
    <b v="0"/>
    <m/>
    <m/>
    <s v="-"/>
    <x v="1510"/>
    <s v="Manual"/>
    <m/>
  </r>
  <r>
    <x v="33"/>
    <d v="2021-10-30T00:00:00"/>
    <s v="POWERPLUS"/>
    <x v="1619"/>
    <n v="32"/>
    <x v="26"/>
    <m/>
    <m/>
    <m/>
    <n v="32"/>
    <b v="0"/>
    <m/>
    <m/>
    <s v="-"/>
    <x v="1511"/>
    <s v="Manual"/>
    <m/>
  </r>
  <r>
    <x v="33"/>
    <d v="2021-10-30T00:00:00"/>
    <s v="Cash Rewards Visa Signature"/>
    <x v="240"/>
    <n v="30.66"/>
    <x v="26"/>
    <m/>
    <m/>
    <m/>
    <n v="30.66"/>
    <b v="0"/>
    <m/>
    <m/>
    <s v="-"/>
    <x v="238"/>
    <s v="Create Rule; and Description='Chipotle';Restaurants"/>
    <m/>
  </r>
  <r>
    <x v="33"/>
    <d v="2021-10-30T00:00:00"/>
    <s v="POWERPLUS"/>
    <x v="84"/>
    <n v="70.88"/>
    <x v="26"/>
    <m/>
    <m/>
    <m/>
    <n v="70.88"/>
    <b v="0"/>
    <m/>
    <m/>
    <s v="-"/>
    <x v="84"/>
    <s v="Create Rule; and Description='City of Chanhassen';Utilities"/>
    <m/>
  </r>
  <r>
    <x v="33"/>
    <d v="2021-10-30T00:00:00"/>
    <s v="Cash Rewards Visa Signature"/>
    <x v="1036"/>
    <n v="13"/>
    <x v="26"/>
    <m/>
    <m/>
    <m/>
    <n v="13"/>
    <b v="0"/>
    <m/>
    <m/>
    <s v="-"/>
    <x v="991"/>
    <s v="Create Rule; and Description Like '%Clutch Brewing Co LLC%';Restaurants"/>
    <m/>
  </r>
  <r>
    <x v="33"/>
    <d v="2021-10-30T00:00:00"/>
    <s v="Cash Rewards Visa Signature"/>
    <x v="1036"/>
    <n v="14.16"/>
    <x v="26"/>
    <m/>
    <m/>
    <m/>
    <n v="14.16"/>
    <b v="0"/>
    <m/>
    <m/>
    <s v="-"/>
    <x v="991"/>
    <s v="Create Rule; and Description Like '%Clutch Brewing Co LLC%';Restaurants"/>
    <m/>
  </r>
  <r>
    <x v="33"/>
    <d v="2021-10-30T00:00:00"/>
    <s v="Cash Rewards Visa Signature"/>
    <x v="1036"/>
    <n v="16.100000000000001"/>
    <x v="26"/>
    <m/>
    <m/>
    <m/>
    <n v="16.100000000000001"/>
    <b v="0"/>
    <m/>
    <m/>
    <s v="-"/>
    <x v="991"/>
    <s v="Create Rule; and Description Like '%Clutch Brewing Co LLC%';Restaurants"/>
    <m/>
  </r>
  <r>
    <x v="33"/>
    <d v="2021-10-30T00:00:00"/>
    <s v="POWERPLUS"/>
    <x v="1320"/>
    <n v="-51.83"/>
    <x v="26"/>
    <m/>
    <m/>
    <m/>
    <n v="51.83"/>
    <b v="0"/>
    <m/>
    <m/>
    <s v="+"/>
    <x v="1248"/>
    <s v="Manual"/>
    <m/>
  </r>
  <r>
    <x v="33"/>
    <d v="2021-10-30T00:00:00"/>
    <s v="POWERPLUS"/>
    <x v="1320"/>
    <n v="-152.61000000000001"/>
    <x v="26"/>
    <m/>
    <m/>
    <m/>
    <n v="152.61000000000001"/>
    <b v="0"/>
    <m/>
    <m/>
    <s v="+"/>
    <x v="1248"/>
    <s v="Manual"/>
    <m/>
  </r>
  <r>
    <x v="33"/>
    <d v="2021-10-30T00:00:00"/>
    <s v="Joint Tenant"/>
    <x v="950"/>
    <n v="-250"/>
    <x v="26"/>
    <m/>
    <m/>
    <m/>
    <n v="250"/>
    <b v="0"/>
    <m/>
    <m/>
    <s v="+"/>
    <x v="913"/>
    <s v="Create Rule; and Description Like '%CONNECTED ANALYT%';Inc - Jeff"/>
    <m/>
  </r>
  <r>
    <x v="33"/>
    <d v="2021-10-30T00:00:00"/>
    <s v="POWERPLUS"/>
    <x v="1620"/>
    <n v="-3442.91"/>
    <x v="26"/>
    <m/>
    <m/>
    <m/>
    <n v="3442.91"/>
    <b v="0"/>
    <m/>
    <m/>
    <s v="+"/>
    <x v="910"/>
    <s v="Create Rule; and Description Like '%CONNECTED ANALYT%';Inc - Jeff"/>
    <m/>
  </r>
  <r>
    <x v="33"/>
    <d v="2021-10-30T00:00:00"/>
    <s v="Cash Rewards Visa Signature"/>
    <x v="431"/>
    <n v="23.65"/>
    <x v="26"/>
    <m/>
    <m/>
    <m/>
    <n v="23.65"/>
    <b v="0"/>
    <m/>
    <m/>
    <s v="-"/>
    <x v="416"/>
    <s v="Create Rule; and Description='Crate &amp; Barrel';Shopping"/>
    <m/>
  </r>
  <r>
    <x v="33"/>
    <d v="2021-10-30T00:00:00"/>
    <s v="Cash Rewards Visa Signature"/>
    <x v="6"/>
    <n v="61.65"/>
    <x v="5"/>
    <m/>
    <m/>
    <m/>
    <n v="61.65"/>
    <b v="0"/>
    <m/>
    <m/>
    <s v="-"/>
    <x v="6"/>
    <s v="Create Rule; and Description Like '%Cub Foods%';Groceries"/>
    <m/>
  </r>
  <r>
    <x v="33"/>
    <d v="2021-10-30T00:00:00"/>
    <s v="Cash Rewards Visa Signature"/>
    <x v="6"/>
    <n v="49.11"/>
    <x v="5"/>
    <m/>
    <m/>
    <m/>
    <n v="49.11"/>
    <b v="0"/>
    <m/>
    <m/>
    <s v="-"/>
    <x v="6"/>
    <s v="Create Rule; and Description Like '%Cub Foods%';Groceries"/>
    <m/>
  </r>
  <r>
    <x v="33"/>
    <d v="2021-10-30T00:00:00"/>
    <s v="Cash Rewards Visa Signature"/>
    <x v="6"/>
    <n v="55.88"/>
    <x v="5"/>
    <m/>
    <m/>
    <m/>
    <n v="55.88"/>
    <b v="0"/>
    <m/>
    <m/>
    <s v="-"/>
    <x v="6"/>
    <s v="Create Rule; and Description Like '%Cub Foods%';Groceries"/>
    <m/>
  </r>
  <r>
    <x v="33"/>
    <d v="2021-10-30T00:00:00"/>
    <s v="Cash Rewards Visa Signature"/>
    <x v="152"/>
    <n v="32.64"/>
    <x v="26"/>
    <m/>
    <m/>
    <m/>
    <n v="32.64"/>
    <b v="0"/>
    <m/>
    <m/>
    <s v="-"/>
    <x v="151"/>
    <s v="Create Rule; and Description='Excelsior Brewing';Restaurants"/>
    <m/>
  </r>
  <r>
    <x v="33"/>
    <d v="2021-10-30T00:00:00"/>
    <s v="Cash Rewards Visa Signature"/>
    <x v="1545"/>
    <n v="-276"/>
    <x v="26"/>
    <m/>
    <m/>
    <m/>
    <n v="276"/>
    <b v="0"/>
    <m/>
    <m/>
    <s v="+"/>
    <x v="1448"/>
    <s v="Create Rule; and Description='Free People';Shopping"/>
    <m/>
  </r>
  <r>
    <x v="33"/>
    <d v="2021-10-30T00:00:00"/>
    <s v="Cash Rewards Visa Signature"/>
    <x v="1387"/>
    <n v="9.14"/>
    <x v="26"/>
    <m/>
    <m/>
    <m/>
    <n v="9.14"/>
    <b v="0"/>
    <m/>
    <m/>
    <s v="-"/>
    <x v="1306"/>
    <s v="Manual"/>
    <m/>
  </r>
  <r>
    <x v="33"/>
    <d v="2021-10-30T00:00:00"/>
    <s v="Cash Rewards Visa Signature"/>
    <x v="1621"/>
    <n v="20"/>
    <x v="26"/>
    <m/>
    <m/>
    <m/>
    <n v="20"/>
    <b v="0"/>
    <m/>
    <m/>
    <s v="-"/>
    <x v="1512"/>
    <s v="Manual"/>
    <m/>
  </r>
  <r>
    <x v="33"/>
    <d v="2021-10-30T00:00:00"/>
    <s v="Cash Rewards Visa Signature"/>
    <x v="1622"/>
    <n v="-27"/>
    <x v="26"/>
    <m/>
    <m/>
    <m/>
    <n v="27"/>
    <b v="0"/>
    <m/>
    <m/>
    <s v="+"/>
    <x v="1513"/>
    <s v="Manual"/>
    <m/>
  </r>
  <r>
    <x v="33"/>
    <d v="2021-10-30T00:00:00"/>
    <s v="Cash Rewards Visa Signature"/>
    <x v="81"/>
    <n v="40.340000000000003"/>
    <x v="26"/>
    <m/>
    <m/>
    <m/>
    <n v="40.340000000000003"/>
    <b v="0"/>
    <m/>
    <m/>
    <s v="-"/>
    <x v="81"/>
    <s v="Create Rule; and Description='Holiday Stationstore';Transportation"/>
    <m/>
  </r>
  <r>
    <x v="33"/>
    <d v="2021-10-30T00:00:00"/>
    <s v="Cash Rewards Visa Signature"/>
    <x v="81"/>
    <n v="47.8"/>
    <x v="26"/>
    <m/>
    <m/>
    <m/>
    <n v="47.8"/>
    <b v="0"/>
    <m/>
    <m/>
    <s v="-"/>
    <x v="81"/>
    <s v="Create Rule; and Description='Holiday Stationstore';Transportation"/>
    <m/>
  </r>
  <r>
    <x v="33"/>
    <d v="2021-10-30T00:00:00"/>
    <s v="RAINY DAY"/>
    <x v="1623"/>
    <n v="-13.94"/>
    <x v="26"/>
    <m/>
    <m/>
    <m/>
    <n v="13.94"/>
    <b v="0"/>
    <m/>
    <m/>
    <s v="+"/>
    <x v="1514"/>
    <s v="Manual"/>
    <m/>
  </r>
  <r>
    <x v="33"/>
    <d v="2021-10-30T00:00:00"/>
    <s v="POWERPLUS"/>
    <x v="1624"/>
    <n v="-25.37"/>
    <x v="26"/>
    <m/>
    <m/>
    <m/>
    <n v="25.37"/>
    <b v="0"/>
    <m/>
    <m/>
    <s v="+"/>
    <x v="1515"/>
    <s v="Manual"/>
    <m/>
  </r>
  <r>
    <x v="33"/>
    <d v="2021-10-30T00:00:00"/>
    <s v="Investor Checking"/>
    <x v="118"/>
    <n v="0"/>
    <x v="26"/>
    <m/>
    <m/>
    <m/>
    <n v="0"/>
    <b v="0"/>
    <m/>
    <m/>
    <s v="+"/>
    <x v="118"/>
    <s v="Manual"/>
    <m/>
  </r>
  <r>
    <x v="33"/>
    <d v="2021-10-30T00:00:00"/>
    <s v="POWERPLUS"/>
    <x v="656"/>
    <n v="-333"/>
    <x v="26"/>
    <m/>
    <m/>
    <m/>
    <n v="333"/>
    <b v="0"/>
    <m/>
    <m/>
    <s v="+"/>
    <x v="634"/>
    <s v="Manual"/>
    <m/>
  </r>
  <r>
    <x v="33"/>
    <d v="2021-10-30T00:00:00"/>
    <s v="Cash Rewards Visa Signature"/>
    <x v="577"/>
    <n v="8.36"/>
    <x v="1"/>
    <m/>
    <m/>
    <m/>
    <n v="8.36"/>
    <b v="0"/>
    <m/>
    <m/>
    <s v="-"/>
    <x v="558"/>
    <s v="Create Rule; and Description Like '%Jimmy John%';Restaurants"/>
    <m/>
  </r>
  <r>
    <x v="33"/>
    <d v="2021-10-30T00:00:00"/>
    <s v="Cash Rewards Visa Signature"/>
    <x v="577"/>
    <n v="10.93"/>
    <x v="1"/>
    <m/>
    <m/>
    <m/>
    <n v="10.93"/>
    <b v="0"/>
    <m/>
    <m/>
    <s v="-"/>
    <x v="558"/>
    <s v="Create Rule; and Description Like '%Jimmy John%';Restaurants"/>
    <m/>
  </r>
  <r>
    <x v="33"/>
    <d v="2021-10-30T00:00:00"/>
    <s v="Cash Rewards Visa Signature"/>
    <x v="1625"/>
    <n v="76.680000000000007"/>
    <x v="26"/>
    <m/>
    <m/>
    <m/>
    <n v="76.680000000000007"/>
    <b v="0"/>
    <m/>
    <m/>
    <s v="-"/>
    <x v="1516"/>
    <s v="Manual"/>
    <m/>
  </r>
  <r>
    <x v="33"/>
    <d v="2021-10-30T00:00:00"/>
    <s v="Discover More Card"/>
    <x v="661"/>
    <n v="34.130000000000003"/>
    <x v="26"/>
    <m/>
    <m/>
    <m/>
    <n v="34.130000000000003"/>
    <b v="0"/>
    <m/>
    <m/>
    <s v="-"/>
    <x v="639"/>
    <s v="Create Rule; and Description Like '%Kowalski%';Groceries"/>
    <m/>
  </r>
  <r>
    <x v="33"/>
    <d v="2021-10-30T00:00:00"/>
    <s v="Cash Rewards Visa Signature"/>
    <x v="823"/>
    <n v="10"/>
    <x v="2"/>
    <m/>
    <m/>
    <m/>
    <n v="10"/>
    <b v="0"/>
    <m/>
    <m/>
    <s v="-"/>
    <x v="792"/>
    <s v="Create Rule; and Description='Kwik Trip';Transportation"/>
    <m/>
  </r>
  <r>
    <x v="33"/>
    <d v="2021-10-30T00:00:00"/>
    <s v="Cash Rewards Visa Signature"/>
    <x v="1392"/>
    <n v="59.76"/>
    <x v="26"/>
    <m/>
    <m/>
    <m/>
    <n v="59.76"/>
    <b v="0"/>
    <m/>
    <m/>
    <s v="-"/>
    <x v="1311"/>
    <s v="Create Rule; and Description='Lakewinds Food Coop LAKEWINDS CHANHASSEN CHANHASSEN MN';Groceries"/>
    <m/>
  </r>
  <r>
    <x v="33"/>
    <d v="2021-10-30T00:00:00"/>
    <s v="Cash Rewards Visa Signature"/>
    <x v="130"/>
    <n v="22.92"/>
    <x v="1"/>
    <m/>
    <m/>
    <m/>
    <n v="22.92"/>
    <b v="0"/>
    <m/>
    <m/>
    <s v="-"/>
    <x v="129"/>
    <s v="Create Rule; and Description='Leeann Chin';Restaurants"/>
    <m/>
  </r>
  <r>
    <x v="33"/>
    <d v="2021-10-30T00:00:00"/>
    <s v="Cash Rewards Visa Signature"/>
    <x v="1546"/>
    <n v="39.53"/>
    <x v="26"/>
    <m/>
    <m/>
    <m/>
    <n v="39.53"/>
    <b v="0"/>
    <m/>
    <m/>
    <s v="-"/>
    <x v="1449"/>
    <s v="Manual"/>
    <m/>
  </r>
  <r>
    <x v="33"/>
    <d v="2021-10-30T00:00:00"/>
    <s v="Cash Rewards Visa Signature"/>
    <x v="1030"/>
    <n v="18.850000000000001"/>
    <x v="26"/>
    <m/>
    <m/>
    <m/>
    <n v="18.850000000000001"/>
    <b v="0"/>
    <m/>
    <m/>
    <s v="-"/>
    <x v="985"/>
    <s v="Create Rule; and Description Like '%Maynard%';Restaurants"/>
    <m/>
  </r>
  <r>
    <x v="33"/>
    <d v="2021-10-30T00:00:00"/>
    <s v="Cash Rewards Visa Signature"/>
    <x v="1030"/>
    <n v="46.02"/>
    <x v="26"/>
    <m/>
    <m/>
    <m/>
    <n v="46.02"/>
    <b v="0"/>
    <m/>
    <m/>
    <s v="-"/>
    <x v="985"/>
    <s v="Create Rule; and Description Like '%Maynard%';Restaurants"/>
    <m/>
  </r>
  <r>
    <x v="33"/>
    <d v="2021-10-30T00:00:00"/>
    <s v="Cash Rewards Visa Signature"/>
    <x v="1030"/>
    <n v="35.25"/>
    <x v="26"/>
    <m/>
    <m/>
    <m/>
    <n v="35.25"/>
    <b v="0"/>
    <m/>
    <m/>
    <s v="-"/>
    <x v="985"/>
    <s v="Create Rule; and Description Like '%Maynard%';Restaurants"/>
    <m/>
  </r>
  <r>
    <x v="33"/>
    <d v="2021-10-30T00:00:00"/>
    <s v="Cash Rewards Visa Signature"/>
    <x v="1032"/>
    <n v="12.89"/>
    <x v="26"/>
    <m/>
    <m/>
    <m/>
    <n v="12.89"/>
    <b v="0"/>
    <m/>
    <m/>
    <s v="-"/>
    <x v="987"/>
    <s v="Manual"/>
    <m/>
  </r>
  <r>
    <x v="33"/>
    <d v="2021-10-30T00:00:00"/>
    <s v="POWERPLUS"/>
    <x v="1321"/>
    <n v="270.39999999999998"/>
    <x v="26"/>
    <m/>
    <m/>
    <m/>
    <n v="270.39999999999998"/>
    <b v="0"/>
    <m/>
    <m/>
    <s v="-"/>
    <x v="1249"/>
    <s v="Create Rule; and Description Like '%MHCHILDCARELLC%';Day Care"/>
    <m/>
  </r>
  <r>
    <x v="33"/>
    <d v="2021-10-30T00:00:00"/>
    <s v="POWERPLUS"/>
    <x v="1321"/>
    <n v="270.39999999999998"/>
    <x v="26"/>
    <m/>
    <m/>
    <m/>
    <n v="270.39999999999998"/>
    <b v="0"/>
    <m/>
    <m/>
    <s v="-"/>
    <x v="1249"/>
    <s v="Create Rule; and Description Like '%MHCHILDCARELLC%';Day Care"/>
    <m/>
  </r>
  <r>
    <x v="33"/>
    <d v="2021-10-30T00:00:00"/>
    <s v="POWERPLUS"/>
    <x v="1321"/>
    <n v="528.79999999999995"/>
    <x v="26"/>
    <m/>
    <m/>
    <m/>
    <n v="528.79999999999995"/>
    <b v="0"/>
    <m/>
    <m/>
    <s v="-"/>
    <x v="1249"/>
    <s v="Create Rule; and Description Like '%MHCHILDCARELLC%';Day Care"/>
    <m/>
  </r>
  <r>
    <x v="33"/>
    <d v="2021-10-30T00:00:00"/>
    <s v="POWERPLUS"/>
    <x v="1626"/>
    <n v="200"/>
    <x v="26"/>
    <m/>
    <m/>
    <m/>
    <n v="200"/>
    <b v="0"/>
    <m/>
    <m/>
    <s v="-"/>
    <x v="1245"/>
    <s v="Create Rule; and Description Like '%MN DIR ACH%';College Savings"/>
    <m/>
  </r>
  <r>
    <x v="33"/>
    <d v="2021-10-30T00:00:00"/>
    <s v="Cash Rewards Visa Signature"/>
    <x v="1627"/>
    <n v="43"/>
    <x v="26"/>
    <m/>
    <m/>
    <m/>
    <n v="43"/>
    <b v="0"/>
    <m/>
    <m/>
    <s v="-"/>
    <x v="1517"/>
    <s v="Manual"/>
    <m/>
  </r>
  <r>
    <x v="33"/>
    <d v="2021-10-30T00:00:00"/>
    <s v="Discover More Card"/>
    <x v="99"/>
    <n v="8.99"/>
    <x v="11"/>
    <m/>
    <m/>
    <m/>
    <n v="8.99"/>
    <b v="0"/>
    <m/>
    <m/>
    <s v="-"/>
    <x v="99"/>
    <s v="Create Rule; and Description='Netflix';Utilities"/>
    <m/>
  </r>
  <r>
    <x v="33"/>
    <d v="2021-10-30T00:00:00"/>
    <s v="Cash Rewards Visa Signature"/>
    <x v="177"/>
    <n v="77.78"/>
    <x v="26"/>
    <m/>
    <m/>
    <m/>
    <n v="77.78"/>
    <b v="0"/>
    <m/>
    <m/>
    <s v="-"/>
    <x v="176"/>
    <s v="Create Rule; and Description='NORTH COOP CHAHASSEN MN';Restaurants"/>
    <m/>
  </r>
  <r>
    <x v="33"/>
    <d v="2021-10-30T00:00:00"/>
    <s v="Cash Rewards Visa Signature"/>
    <x v="451"/>
    <n v="37.67"/>
    <x v="1"/>
    <m/>
    <m/>
    <m/>
    <n v="37.67"/>
    <b v="0"/>
    <m/>
    <m/>
    <s v="-"/>
    <x v="435"/>
    <s v="Create Rule; and Description Like '%Papa Murphy%';Restaurants"/>
    <m/>
  </r>
  <r>
    <x v="33"/>
    <d v="2021-10-30T00:00:00"/>
    <s v="POWERPLUS"/>
    <x v="157"/>
    <n v="6.47"/>
    <x v="8"/>
    <m/>
    <m/>
    <m/>
    <n v="6.47"/>
    <b v="0"/>
    <m/>
    <m/>
    <s v="-"/>
    <x v="156"/>
    <s v="Create Rule; and Description Like '%PayPal%';Shopping"/>
    <m/>
  </r>
  <r>
    <x v="33"/>
    <d v="2021-10-30T00:00:00"/>
    <s v="POWERPLUS"/>
    <x v="157"/>
    <n v="115"/>
    <x v="8"/>
    <m/>
    <m/>
    <m/>
    <n v="115"/>
    <b v="0"/>
    <m/>
    <m/>
    <s v="-"/>
    <x v="156"/>
    <s v="Create Rule; and Description Like '%PayPal%';Shopping"/>
    <m/>
  </r>
  <r>
    <x v="33"/>
    <d v="2021-10-30T00:00:00"/>
    <s v="POWERPLUS"/>
    <x v="157"/>
    <n v="201.48"/>
    <x v="8"/>
    <m/>
    <m/>
    <m/>
    <n v="201.48"/>
    <b v="0"/>
    <m/>
    <m/>
    <s v="-"/>
    <x v="156"/>
    <s v="Create Rule; and Description Like '%PayPal%';Shopping"/>
    <m/>
  </r>
  <r>
    <x v="33"/>
    <d v="2021-10-30T00:00:00"/>
    <s v="POWERPLUS"/>
    <x v="157"/>
    <n v="0.99"/>
    <x v="8"/>
    <m/>
    <m/>
    <m/>
    <n v="0.99"/>
    <b v="0"/>
    <m/>
    <m/>
    <s v="-"/>
    <x v="156"/>
    <s v="Create Rule; and Description Like '%PayPal%';Shopping"/>
    <m/>
  </r>
  <r>
    <x v="33"/>
    <d v="2021-10-30T00:00:00"/>
    <s v="POWERPLUS"/>
    <x v="157"/>
    <n v="0.99"/>
    <x v="8"/>
    <m/>
    <m/>
    <m/>
    <n v="0.99"/>
    <b v="0"/>
    <m/>
    <m/>
    <s v="-"/>
    <x v="156"/>
    <s v="Create Rule; and Description Like '%PayPal%';Shopping"/>
    <m/>
  </r>
  <r>
    <x v="33"/>
    <d v="2021-10-30T00:00:00"/>
    <s v="Cash Rewards Visa Signature"/>
    <x v="1628"/>
    <n v="41.94"/>
    <x v="26"/>
    <m/>
    <m/>
    <m/>
    <n v="41.94"/>
    <b v="0"/>
    <m/>
    <m/>
    <s v="-"/>
    <x v="1518"/>
    <s v="Create Rule; and Description='Peloton Cycles PELOTON MEMBERSHIP HTTPSWWWONEPNY';Entertainment"/>
    <m/>
  </r>
  <r>
    <x v="33"/>
    <d v="2021-10-30T00:00:00"/>
    <s v="Cash Rewards Visa Signature"/>
    <x v="1629"/>
    <n v="47.73"/>
    <x v="26"/>
    <m/>
    <m/>
    <m/>
    <n v="47.73"/>
    <b v="0"/>
    <m/>
    <m/>
    <s v="-"/>
    <x v="1519"/>
    <s v="Manual"/>
    <m/>
  </r>
  <r>
    <x v="33"/>
    <d v="2021-10-30T00:00:00"/>
    <s v="Cash Rewards Visa Signature"/>
    <x v="1630"/>
    <n v="99.5"/>
    <x v="26"/>
    <m/>
    <m/>
    <m/>
    <n v="99.5"/>
    <b v="0"/>
    <m/>
    <m/>
    <s v="-"/>
    <x v="1520"/>
    <s v="Manual"/>
    <m/>
  </r>
  <r>
    <x v="33"/>
    <d v="2021-10-30T00:00:00"/>
    <s v="Cash Rewards Visa Signature"/>
    <x v="1631"/>
    <n v="10.74"/>
    <x v="26"/>
    <m/>
    <m/>
    <m/>
    <n v="10.74"/>
    <b v="0"/>
    <m/>
    <m/>
    <s v="-"/>
    <x v="1521"/>
    <s v="Manual"/>
    <m/>
  </r>
  <r>
    <x v="33"/>
    <d v="2021-10-30T00:00:00"/>
    <s v="Cash Rewards Visa Signature"/>
    <x v="1631"/>
    <n v="18.79"/>
    <x v="26"/>
    <m/>
    <m/>
    <m/>
    <n v="18.79"/>
    <b v="0"/>
    <m/>
    <m/>
    <s v="-"/>
    <x v="1521"/>
    <s v="Manual"/>
    <m/>
  </r>
  <r>
    <x v="33"/>
    <d v="2021-10-30T00:00:00"/>
    <s v="Joint Tenant"/>
    <x v="19"/>
    <n v="200"/>
    <x v="26"/>
    <m/>
    <m/>
    <m/>
    <n v="200"/>
    <b v="0"/>
    <m/>
    <m/>
    <s v="-"/>
    <x v="19"/>
    <s v="Delete; and Description='SCHWAB S&amp;P 500 INDEX FD' and inflowoutflow='-';0"/>
    <m/>
  </r>
  <r>
    <x v="33"/>
    <d v="2021-10-30T00:00:00"/>
    <s v="Joint Tenant"/>
    <x v="20"/>
    <n v="200"/>
    <x v="26"/>
    <m/>
    <m/>
    <m/>
    <n v="200"/>
    <b v="0"/>
    <m/>
    <m/>
    <s v="-"/>
    <x v="20"/>
    <s v="Delete; and Description='SCHWAB TOTAL STOCK MKT INDEX' and inflowoutflow='-';0"/>
    <m/>
  </r>
  <r>
    <x v="33"/>
    <d v="2021-10-30T00:00:00"/>
    <s v="RAINY DAY"/>
    <x v="515"/>
    <n v="-100"/>
    <x v="26"/>
    <m/>
    <m/>
    <m/>
    <n v="100"/>
    <b v="0"/>
    <m/>
    <m/>
    <s v="+"/>
    <x v="496"/>
    <s v="Create Rule; and Description='Share';Delete"/>
    <m/>
  </r>
  <r>
    <x v="33"/>
    <d v="2021-10-30T00:00:00"/>
    <s v="Cash Rewards Visa Signature"/>
    <x v="309"/>
    <n v="82.57"/>
    <x v="26"/>
    <m/>
    <m/>
    <m/>
    <n v="82.57"/>
    <b v="0"/>
    <m/>
    <m/>
    <s v="-"/>
    <x v="301"/>
    <s v="Create Rule; and Description='Sherwin Williams';House Maintenance"/>
    <m/>
  </r>
  <r>
    <x v="33"/>
    <d v="2021-10-30T00:00:00"/>
    <s v="Cash Rewards Visa Signature"/>
    <x v="1632"/>
    <n v="66.650000000000006"/>
    <x v="26"/>
    <m/>
    <m/>
    <m/>
    <n v="66.650000000000006"/>
    <b v="0"/>
    <m/>
    <m/>
    <s v="-"/>
    <x v="1522"/>
    <s v="Manual"/>
    <m/>
  </r>
  <r>
    <x v="33"/>
    <d v="2021-10-30T00:00:00"/>
    <s v="Cash Rewards Visa Signature"/>
    <x v="1633"/>
    <n v="-130"/>
    <x v="26"/>
    <m/>
    <m/>
    <m/>
    <n v="130"/>
    <b v="0"/>
    <m/>
    <m/>
    <s v="+"/>
    <x v="1523"/>
    <s v="Manual"/>
    <m/>
  </r>
  <r>
    <x v="33"/>
    <d v="2021-10-30T00:00:00"/>
    <s v="Cash Rewards Visa Signature"/>
    <x v="2"/>
    <n v="19.04"/>
    <x v="2"/>
    <m/>
    <m/>
    <m/>
    <n v="19.04"/>
    <b v="0"/>
    <m/>
    <m/>
    <s v="-"/>
    <x v="2"/>
    <s v="Create Rule; and Description='Speedway';Transportation"/>
    <m/>
  </r>
  <r>
    <x v="33"/>
    <d v="2021-10-30T00:00:00"/>
    <s v="Cash Rewards Visa Signature"/>
    <x v="2"/>
    <n v="47.19"/>
    <x v="2"/>
    <m/>
    <m/>
    <m/>
    <n v="47.19"/>
    <b v="0"/>
    <m/>
    <m/>
    <s v="-"/>
    <x v="2"/>
    <s v="Create Rule; and Description='Speedway';Transportation"/>
    <m/>
  </r>
  <r>
    <x v="33"/>
    <d v="2021-10-30T00:00:00"/>
    <s v="Cash Rewards Visa Signature"/>
    <x v="1634"/>
    <n v="15.03"/>
    <x v="26"/>
    <m/>
    <m/>
    <m/>
    <n v="15.03"/>
    <b v="0"/>
    <m/>
    <m/>
    <s v="-"/>
    <x v="1524"/>
    <s v="Manual"/>
    <m/>
  </r>
  <r>
    <x v="33"/>
    <d v="2021-10-30T00:00:00"/>
    <s v="Joint Tenant"/>
    <x v="358"/>
    <n v="-25.58"/>
    <x v="26"/>
    <m/>
    <m/>
    <m/>
    <n v="25.58"/>
    <b v="0"/>
    <m/>
    <m/>
    <s v="+"/>
    <x v="349"/>
    <s v="Delete; and Source='Joint Tenant';0"/>
    <m/>
  </r>
  <r>
    <x v="33"/>
    <d v="2021-10-30T00:00:00"/>
    <s v="Joint Tenant"/>
    <x v="1635"/>
    <n v="-250"/>
    <x v="26"/>
    <m/>
    <m/>
    <m/>
    <n v="250"/>
    <b v="0"/>
    <m/>
    <m/>
    <s v="+"/>
    <x v="1525"/>
    <s v="Delete; and Source='Joint Tenant';0"/>
    <m/>
  </r>
  <r>
    <x v="33"/>
    <d v="2021-10-30T00:00:00"/>
    <s v="POWERPLUS"/>
    <x v="1636"/>
    <n v="-3506.75"/>
    <x v="26"/>
    <m/>
    <m/>
    <m/>
    <n v="3506.75"/>
    <b v="0"/>
    <m/>
    <m/>
    <s v="+"/>
    <x v="1526"/>
    <s v="Manual"/>
    <m/>
  </r>
  <r>
    <x v="33"/>
    <d v="2021-10-30T00:00:00"/>
    <s v="POWERPLUS"/>
    <x v="34"/>
    <n v="208.57"/>
    <x v="12"/>
    <m/>
    <m/>
    <m/>
    <n v="208.57"/>
    <b v="0"/>
    <m/>
    <m/>
    <s v="-"/>
    <x v="34"/>
    <s v="Create Rule; and Description='Target';Target"/>
    <m/>
  </r>
  <r>
    <x v="33"/>
    <d v="2021-10-30T00:00:00"/>
    <s v="CARGILL EMPLOYEE RETIREMENT ACCOUNT"/>
    <x v="318"/>
    <n v="0.17"/>
    <x v="26"/>
    <m/>
    <m/>
    <m/>
    <n v="0.17"/>
    <b v="0"/>
    <m/>
    <m/>
    <s v="-"/>
    <x v="309"/>
    <s v="Create Rule; and Description='Target Retire 2055 Tr P - Fee';Delete"/>
    <m/>
  </r>
  <r>
    <x v="33"/>
    <d v="2021-10-30T00:00:00"/>
    <s v="CARGILL PARTNERSHIP PLAN"/>
    <x v="318"/>
    <n v="4.13"/>
    <x v="26"/>
    <m/>
    <m/>
    <m/>
    <n v="4.13"/>
    <b v="0"/>
    <m/>
    <m/>
    <s v="-"/>
    <x v="309"/>
    <s v="Create Rule; and Description='Target Retire 2055 Tr P - Fee';Delete"/>
    <m/>
  </r>
  <r>
    <x v="33"/>
    <d v="2021-10-30T00:00:00"/>
    <s v="Contributory"/>
    <x v="1300"/>
    <n v="-231"/>
    <x v="26"/>
    <m/>
    <m/>
    <m/>
    <n v="231"/>
    <b v="0"/>
    <m/>
    <m/>
    <s v="+"/>
    <x v="1231"/>
    <s v="Manual"/>
    <m/>
  </r>
  <r>
    <x v="33"/>
    <d v="2021-10-30T00:00:00"/>
    <s v="Contributory"/>
    <x v="1300"/>
    <n v="-231"/>
    <x v="26"/>
    <m/>
    <m/>
    <m/>
    <n v="231"/>
    <b v="0"/>
    <m/>
    <m/>
    <s v="+"/>
    <x v="1231"/>
    <s v="Manual"/>
    <m/>
  </r>
  <r>
    <x v="33"/>
    <d v="2021-10-30T00:00:00"/>
    <s v="Jeff IRA"/>
    <x v="951"/>
    <n v="-250"/>
    <x v="26"/>
    <m/>
    <m/>
    <m/>
    <n v="250"/>
    <b v="0"/>
    <m/>
    <m/>
    <s v="+"/>
    <x v="914"/>
    <s v="Create Rule; and Description Like '%CONNECTED ANALYT%';Inc - Jeff"/>
    <m/>
  </r>
  <r>
    <x v="33"/>
    <d v="2021-10-30T00:00:00"/>
    <s v="Jeff IRA"/>
    <x v="1637"/>
    <n v="-250"/>
    <x v="26"/>
    <m/>
    <m/>
    <m/>
    <n v="250"/>
    <b v="0"/>
    <m/>
    <m/>
    <s v="+"/>
    <x v="1527"/>
    <s v="Manual"/>
    <m/>
  </r>
  <r>
    <x v="33"/>
    <d v="2021-10-30T00:00:00"/>
    <s v="POWERPLUS"/>
    <x v="952"/>
    <n v="100"/>
    <x v="26"/>
    <m/>
    <m/>
    <m/>
    <n v="100"/>
    <b v="0"/>
    <m/>
    <m/>
    <s v="-"/>
    <x v="915"/>
    <s v="Create Rule; and Description='To Share 12';Delete"/>
    <m/>
  </r>
  <r>
    <x v="33"/>
    <d v="2021-10-30T00:00:00"/>
    <s v="Cash Rewards Visa Signature"/>
    <x v="1638"/>
    <n v="390.32"/>
    <x v="26"/>
    <m/>
    <m/>
    <m/>
    <n v="390.32"/>
    <b v="0"/>
    <m/>
    <m/>
    <s v="-"/>
    <x v="1528"/>
    <s v="Manual"/>
    <m/>
  </r>
  <r>
    <x v="33"/>
    <d v="2021-10-30T00:00:00"/>
    <s v="Cash Rewards Visa Signature"/>
    <x v="627"/>
    <n v="880.72"/>
    <x v="2"/>
    <m/>
    <m/>
    <m/>
    <n v="880.72"/>
    <b v="0"/>
    <m/>
    <m/>
    <s v="-"/>
    <x v="605"/>
    <s v="Manual"/>
    <m/>
  </r>
  <r>
    <x v="33"/>
    <d v="2021-10-30T00:00:00"/>
    <s v="POWERPLUS"/>
    <x v="1639"/>
    <n v="-4.5999999999999996"/>
    <x v="26"/>
    <m/>
    <m/>
    <m/>
    <n v="4.5999999999999996"/>
    <b v="0"/>
    <m/>
    <m/>
    <s v="+"/>
    <x v="1293"/>
    <s v="Create Rule; and Description Like '%PayPal%';Shopping"/>
    <m/>
  </r>
  <r>
    <x v="33"/>
    <d v="2021-10-30T00:00:00"/>
    <s v="Cash Rewards Visa Signature"/>
    <x v="1640"/>
    <n v="100.24"/>
    <x v="26"/>
    <m/>
    <m/>
    <m/>
    <n v="100.24"/>
    <b v="0"/>
    <m/>
    <m/>
    <s v="-"/>
    <x v="1529"/>
    <s v="Manual"/>
    <m/>
  </r>
  <r>
    <x v="33"/>
    <d v="2021-10-30T00:00:00"/>
    <s v="Cash Rewards Visa Signature"/>
    <x v="775"/>
    <n v="21.07"/>
    <x v="26"/>
    <m/>
    <m/>
    <m/>
    <n v="21.07"/>
    <b v="0"/>
    <m/>
    <m/>
    <s v="-"/>
    <x v="747"/>
    <s v="Create Rule; and Description='True Value';House Maintenance"/>
    <m/>
  </r>
  <r>
    <x v="33"/>
    <d v="2021-10-30T00:00:00"/>
    <s v="Cash Rewards Visa Signature"/>
    <x v="1641"/>
    <n v="18.48"/>
    <x v="26"/>
    <m/>
    <m/>
    <m/>
    <n v="18.48"/>
    <b v="0"/>
    <m/>
    <m/>
    <s v="-"/>
    <x v="1530"/>
    <s v="Manual"/>
    <m/>
  </r>
  <r>
    <x v="33"/>
    <d v="2021-10-30T00:00:00"/>
    <s v="Cash Rewards Visa Signature"/>
    <x v="1351"/>
    <n v="33.08"/>
    <x v="26"/>
    <m/>
    <m/>
    <m/>
    <n v="33.08"/>
    <b v="0"/>
    <m/>
    <m/>
    <s v="-"/>
    <x v="1276"/>
    <s v="Manual"/>
    <m/>
  </r>
  <r>
    <x v="33"/>
    <d v="2021-10-30T00:00:00"/>
    <s v="Cash Rewards Visa Signature"/>
    <x v="1642"/>
    <n v="51"/>
    <x v="26"/>
    <m/>
    <m/>
    <m/>
    <n v="51"/>
    <b v="0"/>
    <m/>
    <m/>
    <s v="-"/>
    <x v="1531"/>
    <s v="Manual"/>
    <m/>
  </r>
  <r>
    <x v="33"/>
    <d v="2021-10-30T00:00:00"/>
    <s v="Cash Rewards Visa Signature"/>
    <x v="82"/>
    <n v="38.270000000000003"/>
    <x v="26"/>
    <m/>
    <m/>
    <m/>
    <n v="38.270000000000003"/>
    <b v="0"/>
    <m/>
    <m/>
    <s v="-"/>
    <x v="82"/>
    <s v="Create Rule; and Description='Wal-Mart';Shopping"/>
    <m/>
  </r>
  <r>
    <x v="33"/>
    <d v="2021-10-30T00:00:00"/>
    <s v="POWERPLUS"/>
    <x v="845"/>
    <n v="253"/>
    <x v="26"/>
    <m/>
    <m/>
    <m/>
    <n v="253"/>
    <b v="0"/>
    <m/>
    <m/>
    <s v="-"/>
    <x v="812"/>
    <s v="Manual"/>
    <m/>
  </r>
  <r>
    <x v="33"/>
    <d v="2021-10-30T00:00:00"/>
    <s v="Discover More Card"/>
    <x v="93"/>
    <n v="-79.27"/>
    <x v="26"/>
    <m/>
    <m/>
    <m/>
    <n v="79.27"/>
    <b v="0"/>
    <m/>
    <m/>
    <s v="+"/>
    <x v="93"/>
    <s v="Delete; and Description='CASHBACK BONUS REDEMPTION payment/STMT CRDT';0"/>
    <m/>
  </r>
  <r>
    <x v="33"/>
    <d v="2021-10-30T00:00:00"/>
    <s v="Cash Rewards Visa Signature"/>
    <x v="1318"/>
    <n v="-1651.38"/>
    <x v="26"/>
    <m/>
    <m/>
    <m/>
    <n v="1651.38"/>
    <b v="0"/>
    <m/>
    <m/>
    <s v="+"/>
    <x v="1246"/>
    <s v="Create Rule; and Description='Credit Card Payment Received PAYMENT THANK YOU';Delete"/>
    <m/>
  </r>
  <r>
    <x v="33"/>
    <d v="2021-10-30T00:00:00"/>
    <s v="Discover More Card"/>
    <x v="56"/>
    <n v="-158.66999999999999"/>
    <x v="3"/>
    <m/>
    <m/>
    <m/>
    <n v="158.66999999999999"/>
    <b v="0"/>
    <m/>
    <m/>
    <s v="+"/>
    <x v="56"/>
    <s v="Delete; and Description='INTERNET PAYMENT - THANK YOU';0"/>
    <m/>
  </r>
  <r>
    <x v="33"/>
    <d v="2021-10-30T00:00:00"/>
    <s v="Cash Rewards Visa Signature"/>
    <x v="936"/>
    <n v="-1076.55"/>
    <x v="26"/>
    <m/>
    <m/>
    <m/>
    <n v="1076.55"/>
    <b v="0"/>
    <m/>
    <m/>
    <s v="+"/>
    <x v="900"/>
    <s v="Delete; and Description Like '%PAYMENT THANK YOU%';0"/>
    <m/>
  </r>
  <r>
    <x v="33"/>
    <d v="2021-10-30T00:00:00"/>
    <s v="POWERPLUS"/>
    <x v="1643"/>
    <n v="-90"/>
    <x v="26"/>
    <m/>
    <m/>
    <m/>
    <n v="90"/>
    <b v="0"/>
    <m/>
    <m/>
    <s v="+"/>
    <x v="1417"/>
    <s v="Manual"/>
    <m/>
  </r>
  <r>
    <x v="33"/>
    <d v="2021-10-30T00:00:00"/>
    <s v="POWERPLUS"/>
    <x v="1644"/>
    <n v="82"/>
    <x v="26"/>
    <m/>
    <m/>
    <m/>
    <n v="82"/>
    <b v="0"/>
    <m/>
    <m/>
    <s v="-"/>
    <x v="1532"/>
    <s v="Manual"/>
    <m/>
  </r>
  <r>
    <x v="33"/>
    <d v="2021-10-30T00:00:00"/>
    <s v="POWERPLUS"/>
    <x v="1645"/>
    <n v="150"/>
    <x v="26"/>
    <m/>
    <m/>
    <m/>
    <n v="150"/>
    <b v="0"/>
    <m/>
    <m/>
    <s v="-"/>
    <x v="1533"/>
    <s v="Manual"/>
    <m/>
  </r>
  <r>
    <x v="33"/>
    <d v="2021-10-30T00:00:00"/>
    <s v="POWERPLUS"/>
    <x v="1319"/>
    <n v="1076.55"/>
    <x v="26"/>
    <m/>
    <m/>
    <m/>
    <n v="1076.55"/>
    <b v="0"/>
    <m/>
    <m/>
    <s v="-"/>
    <x v="1247"/>
    <s v="Create Rule; and Description='Withdrawal Home payment to card XX91 Withdrawal Home payment to card 979181';Delete"/>
    <m/>
  </r>
  <r>
    <x v="33"/>
    <d v="2021-10-30T00:00:00"/>
    <s v="POWERPLUS"/>
    <x v="1319"/>
    <n v="1651.38"/>
    <x v="26"/>
    <m/>
    <m/>
    <m/>
    <n v="1651.38"/>
    <b v="0"/>
    <m/>
    <m/>
    <s v="-"/>
    <x v="1247"/>
    <s v="Create Rule; and Description='Withdrawal Home payment to card XX91 Withdrawal Home payment to card 979181';Delete"/>
    <m/>
  </r>
  <r>
    <x v="34"/>
    <d v="2021-11-01T00:00:00"/>
    <s v="POWERPLUS"/>
    <x v="1646"/>
    <n v="158.66999999999999"/>
    <x v="26"/>
    <m/>
    <m/>
    <m/>
    <n v="158.66999999999999"/>
    <b v="0"/>
    <m/>
    <m/>
    <s v="-"/>
    <x v="1468"/>
    <s v="Delete; and Description Like '%DISCOVER TYPE EPAYMENT%';0"/>
    <m/>
  </r>
  <r>
    <x v="34"/>
    <d v="2021-11-01T00:00:00"/>
    <s v="30 YR FIXED"/>
    <x v="935"/>
    <n v="-748.69"/>
    <x v="3"/>
    <m/>
    <m/>
    <m/>
    <n v="748.69"/>
    <b v="0"/>
    <m/>
    <m/>
    <s v="+"/>
    <x v="899"/>
    <s v="Create Rule; and Description='PAYMENT';Delete"/>
    <m/>
  </r>
  <r>
    <x v="34"/>
    <d v="2021-11-01T00:00:00"/>
    <s v="Joint Tenant"/>
    <x v="125"/>
    <n v="-137.47999999999999"/>
    <x v="26"/>
    <m/>
    <m/>
    <m/>
    <n v="137.47999999999999"/>
    <b v="0"/>
    <m/>
    <m/>
    <s v="+"/>
    <x v="124"/>
    <s v="Create Rule; and Description='A T &amp; T INC';Dividend"/>
    <m/>
  </r>
  <r>
    <x v="34"/>
    <d v="2021-11-01T00:00:00"/>
    <s v="Discover More Card"/>
    <x v="598"/>
    <n v="4.28"/>
    <x v="10"/>
    <m/>
    <m/>
    <m/>
    <n v="4.28"/>
    <b v="0"/>
    <m/>
    <m/>
    <s v="-"/>
    <x v="579"/>
    <s v="Create Rule; and Description='Amazon Music';Entertainment"/>
    <m/>
  </r>
  <r>
    <x v="34"/>
    <d v="2021-11-01T00:00:00"/>
    <s v="POWERPLUS"/>
    <x v="1334"/>
    <n v="3003.94"/>
    <x v="6"/>
    <m/>
    <m/>
    <m/>
    <n v="3003.94"/>
    <b v="0"/>
    <m/>
    <m/>
    <s v="-"/>
    <x v="1261"/>
    <s v="Create Rule; and Description='Baxter Credit Union';Rent"/>
    <m/>
  </r>
  <r>
    <x v="34"/>
    <d v="2021-11-01T00:00:00"/>
    <s v="POWERPLUS"/>
    <x v="1335"/>
    <n v="200"/>
    <x v="26"/>
    <m/>
    <m/>
    <m/>
    <n v="200"/>
    <b v="0"/>
    <m/>
    <m/>
    <s v="-"/>
    <x v="1262"/>
    <s v="Create Rule; and Description Like '%College Savings%';College Savings"/>
    <m/>
  </r>
  <r>
    <x v="34"/>
    <d v="2021-11-01T00:00:00"/>
    <s v="HIGHLANDER"/>
    <x v="976"/>
    <n v="-589.92999999999995"/>
    <x v="26"/>
    <m/>
    <m/>
    <m/>
    <n v="589.92999999999995"/>
    <b v="0"/>
    <m/>
    <m/>
    <s v="+"/>
    <x v="936"/>
    <s v="Create Rule; and Description='From Share 70';Delete"/>
    <m/>
  </r>
  <r>
    <x v="34"/>
    <d v="2021-11-01T00:00:00"/>
    <s v="Cash Rewards Visa Signature"/>
    <x v="1647"/>
    <n v="60.64"/>
    <x v="26"/>
    <m/>
    <m/>
    <m/>
    <n v="60.64"/>
    <b v="0"/>
    <m/>
    <m/>
    <s v="-"/>
    <x v="1534"/>
    <s v="Manual"/>
    <m/>
  </r>
  <r>
    <x v="34"/>
    <d v="2021-11-01T00:00:00"/>
    <s v="30 YR FIXED"/>
    <x v="1085"/>
    <n v="-431"/>
    <x v="26"/>
    <m/>
    <m/>
    <m/>
    <n v="431"/>
    <b v="0"/>
    <m/>
    <m/>
    <s v="+"/>
    <x v="1034"/>
    <s v="Create Rule; and Description='Principal Curtailment';Delete"/>
    <m/>
  </r>
  <r>
    <x v="34"/>
    <d v="2021-11-01T00:00:00"/>
    <s v="Joint Tenant"/>
    <x v="358"/>
    <n v="25.58"/>
    <x v="26"/>
    <m/>
    <m/>
    <m/>
    <n v="25.58"/>
    <b v="0"/>
    <m/>
    <m/>
    <s v="-"/>
    <x v="349"/>
    <s v="Delete; and Source='Joint Tenant';0"/>
    <m/>
  </r>
  <r>
    <x v="34"/>
    <d v="2021-11-01T00:00:00"/>
    <s v="POWERPLUS"/>
    <x v="979"/>
    <n v="618.65"/>
    <x v="26"/>
    <m/>
    <m/>
    <m/>
    <n v="618.65"/>
    <b v="0"/>
    <m/>
    <m/>
    <s v="-"/>
    <x v="939"/>
    <s v="Create Rule; and Description Like '%To Loan 02%';Car Loan"/>
    <m/>
  </r>
  <r>
    <x v="34"/>
    <d v="2021-11-01T00:00:00"/>
    <s v="POWERPLUS"/>
    <x v="1648"/>
    <n v="100"/>
    <x v="26"/>
    <m/>
    <m/>
    <m/>
    <n v="100"/>
    <b v="0"/>
    <m/>
    <m/>
    <s v="-"/>
    <x v="1535"/>
    <s v="Manual"/>
    <m/>
  </r>
  <r>
    <x v="34"/>
    <d v="2021-11-01T00:00:00"/>
    <s v="Investor Checking"/>
    <x v="361"/>
    <n v="-495.87"/>
    <x v="26"/>
    <m/>
    <m/>
    <m/>
    <n v="495.87"/>
    <b v="0"/>
    <m/>
    <m/>
    <s v="+"/>
    <x v="352"/>
    <s v="Manual"/>
    <m/>
  </r>
  <r>
    <x v="34"/>
    <d v="2021-11-02T00:00:00"/>
    <s v="Joint Tenant"/>
    <x v="125"/>
    <n v="137.47999999999999"/>
    <x v="26"/>
    <m/>
    <m/>
    <m/>
    <n v="137.47999999999999"/>
    <b v="0"/>
    <m/>
    <m/>
    <s v="-"/>
    <x v="124"/>
    <s v="Create Rule; and Description='A T &amp; T INC';Dividend"/>
    <m/>
  </r>
  <r>
    <x v="34"/>
    <d v="2021-11-02T00:00:00"/>
    <s v="Cash Rewards Visa Signature"/>
    <x v="0"/>
    <n v="31.03"/>
    <x v="0"/>
    <m/>
    <m/>
    <m/>
    <n v="31.03"/>
    <b v="0"/>
    <m/>
    <m/>
    <s v="-"/>
    <x v="0"/>
    <s v="Create Rule; and Description='Amazon';Amazon"/>
    <m/>
  </r>
  <r>
    <x v="34"/>
    <d v="2021-11-02T00:00:00"/>
    <s v="Cash Rewards Visa Signature"/>
    <x v="1649"/>
    <n v="20"/>
    <x v="26"/>
    <m/>
    <m/>
    <m/>
    <n v="20"/>
    <b v="0"/>
    <m/>
    <m/>
    <s v="-"/>
    <x v="1536"/>
    <s v="Manual"/>
    <m/>
  </r>
  <r>
    <x v="34"/>
    <d v="2021-11-02T00:00:00"/>
    <s v="Cash Rewards Visa Signature"/>
    <x v="1650"/>
    <n v="202.5"/>
    <x v="26"/>
    <m/>
    <m/>
    <m/>
    <n v="202.5"/>
    <b v="0"/>
    <m/>
    <m/>
    <s v="-"/>
    <x v="1537"/>
    <s v="Manual"/>
    <m/>
  </r>
  <r>
    <x v="34"/>
    <d v="2021-11-02T00:00:00"/>
    <s v="Joint Tenant"/>
    <x v="358"/>
    <n v="-1328.38"/>
    <x v="26"/>
    <m/>
    <m/>
    <m/>
    <n v="1328.38"/>
    <b v="0"/>
    <m/>
    <m/>
    <s v="+"/>
    <x v="349"/>
    <s v="Delete; and Source='Joint Tenant';0"/>
    <m/>
  </r>
  <r>
    <x v="34"/>
    <d v="2021-11-03T00:00:00"/>
    <s v="Cash Rewards Visa Signature"/>
    <x v="1337"/>
    <n v="18"/>
    <x v="26"/>
    <m/>
    <m/>
    <m/>
    <n v="18"/>
    <b v="0"/>
    <m/>
    <m/>
    <s v="-"/>
    <x v="1264"/>
    <s v="Create Rule; and Description Like '%HBRSUBSCRIPTION%';Entertainment"/>
    <m/>
  </r>
  <r>
    <x v="34"/>
    <d v="2021-11-03T00:00:00"/>
    <s v="Cash Rewards Visa Signature"/>
    <x v="1651"/>
    <n v="858.8"/>
    <x v="26"/>
    <m/>
    <m/>
    <m/>
    <n v="858.8"/>
    <b v="0"/>
    <m/>
    <m/>
    <s v="-"/>
    <x v="1538"/>
    <s v="Manual"/>
    <m/>
  </r>
  <r>
    <x v="34"/>
    <d v="2021-11-03T00:00:00"/>
    <s v="Joint Tenant"/>
    <x v="148"/>
    <n v="-20.02"/>
    <x v="26"/>
    <m/>
    <m/>
    <m/>
    <n v="20.02"/>
    <b v="0"/>
    <m/>
    <m/>
    <s v="+"/>
    <x v="147"/>
    <s v="Create Rule; and Description='LOWES COMPANIES INC';House Maintenance"/>
    <m/>
  </r>
  <r>
    <x v="34"/>
    <d v="2021-11-03T00:00:00"/>
    <s v="POWERPLUS"/>
    <x v="1321"/>
    <n v="528.79999999999995"/>
    <x v="26"/>
    <m/>
    <m/>
    <m/>
    <n v="528.79999999999995"/>
    <b v="0"/>
    <m/>
    <m/>
    <s v="-"/>
    <x v="1249"/>
    <s v="Create Rule; and Description Like '%MHCHILDCARELLC%';Day Care"/>
    <m/>
  </r>
  <r>
    <x v="34"/>
    <d v="2021-11-03T00:00:00"/>
    <s v="POWERPLUS"/>
    <x v="1652"/>
    <n v="-18.920000000000002"/>
    <x v="26"/>
    <m/>
    <m/>
    <m/>
    <n v="18.920000000000002"/>
    <b v="0"/>
    <m/>
    <m/>
    <s v="+"/>
    <x v="1293"/>
    <s v="Create Rule; and Description Like '%PayPal%';Shopping"/>
    <m/>
  </r>
  <r>
    <x v="34"/>
    <d v="2021-11-03T00:00:00"/>
    <s v="POWERPLUS"/>
    <x v="30"/>
    <n v="133.96"/>
    <x v="11"/>
    <m/>
    <m/>
    <m/>
    <n v="133.96"/>
    <b v="0"/>
    <m/>
    <m/>
    <s v="-"/>
    <x v="30"/>
    <s v="Create Rule; and Description='Xcel Energy';Utilities"/>
    <m/>
  </r>
  <r>
    <x v="34"/>
    <d v="2021-11-04T00:00:00"/>
    <s v="Cash Rewards Visa Signature"/>
    <x v="980"/>
    <n v="166.08"/>
    <x v="26"/>
    <m/>
    <m/>
    <m/>
    <n v="166.08"/>
    <b v="0"/>
    <m/>
    <m/>
    <s v="-"/>
    <x v="940"/>
    <s v="Create Rule; and Description Like '%AVOADVOCARE INTL%';Groceries"/>
    <m/>
  </r>
  <r>
    <x v="34"/>
    <d v="2021-11-04T00:00:00"/>
    <s v="Joint Tenant"/>
    <x v="148"/>
    <n v="20.02"/>
    <x v="26"/>
    <m/>
    <m/>
    <m/>
    <n v="20.02"/>
    <b v="0"/>
    <m/>
    <m/>
    <s v="-"/>
    <x v="147"/>
    <s v="Create Rule; and Description='LOWES COMPANIES INC';House Maintenance"/>
    <m/>
  </r>
  <r>
    <x v="34"/>
    <d v="2021-11-05T00:00:00"/>
    <s v="Cash Rewards Visa Signature"/>
    <x v="1318"/>
    <n v="-1528.98"/>
    <x v="26"/>
    <m/>
    <m/>
    <m/>
    <n v="1528.98"/>
    <b v="0"/>
    <m/>
    <m/>
    <s v="+"/>
    <x v="1246"/>
    <s v="Create Rule; and Description='Credit Card Payment Received PAYMENT THANK YOU';Delete"/>
    <m/>
  </r>
  <r>
    <x v="34"/>
    <d v="2021-11-05T00:00:00"/>
    <s v="POWERPLUS"/>
    <x v="1653"/>
    <n v="708.43"/>
    <x v="26"/>
    <m/>
    <m/>
    <m/>
    <n v="708.43"/>
    <b v="0"/>
    <m/>
    <m/>
    <s v="-"/>
    <x v="1539"/>
    <s v="Manual"/>
    <m/>
  </r>
  <r>
    <x v="34"/>
    <d v="2021-11-05T00:00:00"/>
    <s v="POWERPLUS"/>
    <x v="1319"/>
    <n v="1528.98"/>
    <x v="26"/>
    <m/>
    <m/>
    <m/>
    <n v="1528.98"/>
    <b v="0"/>
    <m/>
    <m/>
    <s v="-"/>
    <x v="1247"/>
    <s v="Create Rule; and Description='Withdrawal Home payment to card XX91 Withdrawal Home payment to card 979181';Delete"/>
    <m/>
  </r>
  <r>
    <x v="34"/>
    <d v="2021-11-05T00:00:00"/>
    <s v="Cash Rewards Visa Signature"/>
    <x v="1530"/>
    <n v="5403.68"/>
    <x v="2"/>
    <m/>
    <m/>
    <m/>
    <n v="5403.68"/>
    <b v="0"/>
    <m/>
    <m/>
    <s v="-"/>
    <x v="1435"/>
    <s v="Manual"/>
    <m/>
  </r>
  <r>
    <x v="34"/>
    <d v="2021-11-05T00:00:00"/>
    <s v="Cash Rewards Visa Signature"/>
    <x v="174"/>
    <n v="4.9800000000000004"/>
    <x v="26"/>
    <m/>
    <m/>
    <m/>
    <n v="4.9800000000000004"/>
    <b v="0"/>
    <m/>
    <m/>
    <s v="-"/>
    <x v="173"/>
    <s v="Create Rule; and Description='BP';Transportation"/>
    <m/>
  </r>
  <r>
    <x v="34"/>
    <d v="2021-11-05T00:00:00"/>
    <s v="Cash Rewards Visa Signature"/>
    <x v="1654"/>
    <n v="34.909999999999997"/>
    <x v="26"/>
    <m/>
    <m/>
    <m/>
    <n v="34.909999999999997"/>
    <b v="0"/>
    <m/>
    <m/>
    <s v="-"/>
    <x v="1540"/>
    <s v="Manual"/>
    <m/>
  </r>
  <r>
    <x v="34"/>
    <d v="2021-11-05T00:00:00"/>
    <s v="POWERPLUS"/>
    <x v="157"/>
    <n v="10"/>
    <x v="8"/>
    <m/>
    <m/>
    <m/>
    <n v="10"/>
    <b v="0"/>
    <m/>
    <m/>
    <s v="-"/>
    <x v="156"/>
    <s v="Create Rule; and Description Like '%PayPal%';Shopping"/>
    <m/>
  </r>
  <r>
    <x v="34"/>
    <d v="2021-11-05T00:00:00"/>
    <s v="Joint Tenant"/>
    <x v="1396"/>
    <n v="-0.9"/>
    <x v="26"/>
    <m/>
    <m/>
    <m/>
    <n v="0.9"/>
    <b v="0"/>
    <m/>
    <m/>
    <s v="+"/>
    <x v="1315"/>
    <s v="Delete; and Source='Joint Tenant';0"/>
    <m/>
  </r>
  <r>
    <x v="34"/>
    <d v="2021-11-06T00:00:00"/>
    <s v="Cash Rewards Visa Signature"/>
    <x v="1318"/>
    <n v="-6972.55"/>
    <x v="26"/>
    <m/>
    <m/>
    <m/>
    <n v="6972.55"/>
    <b v="0"/>
    <m/>
    <m/>
    <s v="+"/>
    <x v="1246"/>
    <s v="Create Rule; and Description='Credit Card Payment Received PAYMENT THANK YOU';Delete"/>
    <m/>
  </r>
  <r>
    <x v="34"/>
    <d v="2021-11-06T00:00:00"/>
    <s v="POWERPLUS"/>
    <x v="1319"/>
    <n v="6972.55"/>
    <x v="26"/>
    <m/>
    <m/>
    <m/>
    <n v="6972.55"/>
    <b v="0"/>
    <m/>
    <m/>
    <s v="-"/>
    <x v="1247"/>
    <s v="Create Rule; and Description='Withdrawal Home payment to card XX91 Withdrawal Home payment to card 979181';Delete"/>
    <m/>
  </r>
  <r>
    <x v="34"/>
    <d v="2021-11-07T00:00:00"/>
    <s v="Cash Rewards Visa Signature"/>
    <x v="0"/>
    <n v="25.76"/>
    <x v="0"/>
    <m/>
    <m/>
    <m/>
    <n v="25.76"/>
    <b v="0"/>
    <m/>
    <m/>
    <s v="-"/>
    <x v="0"/>
    <s v="Create Rule; and Description='Amazon';Amazon"/>
    <m/>
  </r>
  <r>
    <x v="34"/>
    <d v="2021-11-07T00:00:00"/>
    <s v="Cash Rewards Visa Signature"/>
    <x v="1615"/>
    <n v="40"/>
    <x v="26"/>
    <m/>
    <m/>
    <m/>
    <n v="40"/>
    <b v="0"/>
    <m/>
    <m/>
    <s v="-"/>
    <x v="1509"/>
    <s v="Manual"/>
    <m/>
  </r>
  <r>
    <x v="34"/>
    <d v="2021-11-07T00:00:00"/>
    <s v="Cash Rewards Visa Signature"/>
    <x v="6"/>
    <n v="0.01"/>
    <x v="5"/>
    <m/>
    <m/>
    <m/>
    <n v="0.01"/>
    <b v="0"/>
    <m/>
    <m/>
    <s v="-"/>
    <x v="6"/>
    <s v="Create Rule; and Description Like '%Cub Foods%';Groceries"/>
    <m/>
  </r>
  <r>
    <x v="34"/>
    <d v="2021-11-07T00:00:00"/>
    <s v="Cash Rewards Visa Signature"/>
    <x v="6"/>
    <n v="50.79"/>
    <x v="5"/>
    <m/>
    <m/>
    <m/>
    <n v="50.79"/>
    <b v="0"/>
    <m/>
    <m/>
    <s v="-"/>
    <x v="6"/>
    <s v="Create Rule; and Description Like '%Cub Foods%';Groceries"/>
    <m/>
  </r>
  <r>
    <x v="34"/>
    <d v="2021-11-07T00:00:00"/>
    <s v="Cash Rewards Visa Signature"/>
    <x v="1655"/>
    <n v="524.95000000000005"/>
    <x v="26"/>
    <m/>
    <m/>
    <m/>
    <n v="524.95000000000005"/>
    <b v="0"/>
    <m/>
    <m/>
    <s v="-"/>
    <x v="1541"/>
    <s v="Manual"/>
    <m/>
  </r>
  <r>
    <x v="34"/>
    <d v="2021-11-07T00:00:00"/>
    <s v="Cash Rewards Visa Signature"/>
    <x v="775"/>
    <n v="21.48"/>
    <x v="26"/>
    <m/>
    <m/>
    <m/>
    <n v="21.48"/>
    <b v="0"/>
    <m/>
    <m/>
    <s v="-"/>
    <x v="747"/>
    <s v="Create Rule; and Description='True Value';House Maintenance"/>
    <m/>
  </r>
  <r>
    <x v="34"/>
    <d v="2021-11-08T00:00:00"/>
    <s v="Cash Rewards Visa Signature"/>
    <x v="176"/>
    <n v="547.79999999999995"/>
    <x v="26"/>
    <m/>
    <m/>
    <m/>
    <n v="547.79999999999995"/>
    <b v="0"/>
    <m/>
    <m/>
    <s v="-"/>
    <x v="175"/>
    <s v="Create Rule; and Description='Delta';Travel"/>
    <m/>
  </r>
  <r>
    <x v="34"/>
    <d v="2021-11-08T00:00:00"/>
    <s v="POWERPLUS"/>
    <x v="157"/>
    <n v="15.11"/>
    <x v="8"/>
    <m/>
    <m/>
    <m/>
    <n v="15.11"/>
    <b v="0"/>
    <m/>
    <m/>
    <s v="-"/>
    <x v="156"/>
    <s v="Create Rule; and Description Like '%PayPal%';Shopping"/>
    <m/>
  </r>
  <r>
    <x v="34"/>
    <d v="2021-11-08T00:00:00"/>
    <s v="Joint Tenant"/>
    <x v="20"/>
    <n v="200"/>
    <x v="26"/>
    <m/>
    <m/>
    <m/>
    <n v="200"/>
    <b v="0"/>
    <m/>
    <m/>
    <s v="-"/>
    <x v="20"/>
    <s v="Delete; and Description='SCHWAB TOTAL STOCK MKT INDEX' and inflowoutflow='-';0"/>
    <m/>
  </r>
  <r>
    <x v="34"/>
    <d v="2021-11-08T00:00:00"/>
    <s v="POWERPLUS"/>
    <x v="1656"/>
    <n v="-115"/>
    <x v="26"/>
    <m/>
    <m/>
    <m/>
    <n v="115"/>
    <b v="0"/>
    <m/>
    <m/>
    <s v="+"/>
    <x v="1293"/>
    <s v="Create Rule; and Description Like '%PayPal%';Shopping"/>
    <m/>
  </r>
  <r>
    <x v="34"/>
    <d v="2021-11-08T00:00:00"/>
    <s v="POWERPLUS"/>
    <x v="142"/>
    <n v="131.22"/>
    <x v="26"/>
    <m/>
    <m/>
    <m/>
    <n v="131.22"/>
    <b v="0"/>
    <m/>
    <m/>
    <s v="-"/>
    <x v="141"/>
    <s v="Create Rule; and Description='Waste Management';Utilities"/>
    <m/>
  </r>
  <r>
    <x v="34"/>
    <d v="2021-11-09T00:00:00"/>
    <s v="Joint Tenant"/>
    <x v="232"/>
    <n v="-1092.24"/>
    <x v="26"/>
    <m/>
    <m/>
    <m/>
    <n v="1092.24"/>
    <b v="0"/>
    <m/>
    <m/>
    <s v="+"/>
    <x v="230"/>
    <s v="Create Rule; and Description='BOEING CO';Dividend"/>
    <m/>
  </r>
  <r>
    <x v="34"/>
    <d v="2021-11-09T00:00:00"/>
    <s v="POWERPLUS"/>
    <x v="1321"/>
    <n v="528.79999999999995"/>
    <x v="26"/>
    <m/>
    <m/>
    <m/>
    <n v="528.79999999999995"/>
    <b v="0"/>
    <m/>
    <m/>
    <s v="-"/>
    <x v="1249"/>
    <s v="Create Rule; and Description Like '%MHCHILDCARELLC%';Day Care"/>
    <m/>
  </r>
  <r>
    <x v="34"/>
    <d v="2021-11-09T00:00:00"/>
    <s v="Cash Rewards Visa Signature"/>
    <x v="1628"/>
    <n v="41.94"/>
    <x v="26"/>
    <m/>
    <m/>
    <m/>
    <n v="41.94"/>
    <b v="0"/>
    <m/>
    <m/>
    <s v="-"/>
    <x v="1518"/>
    <s v="Create Rule; and Description='Peloton Cycles PELOTON MEMBERSHIP HTTPSWWWONEPNY';Entertainment"/>
    <m/>
  </r>
  <r>
    <x v="34"/>
    <d v="2021-11-30T00:00:00"/>
    <s v="Discover More Card"/>
    <x v="0"/>
    <n v="-29.99"/>
    <x v="0"/>
    <m/>
    <m/>
    <m/>
    <n v="29.99"/>
    <b v="0"/>
    <m/>
    <m/>
    <s v="+"/>
    <x v="0"/>
    <s v="Create Rule; and Description='Amazon';Amazon"/>
    <m/>
  </r>
  <r>
    <x v="34"/>
    <d v="2021-11-30T00:00:00"/>
    <s v="Cash Rewards Visa Signature"/>
    <x v="0"/>
    <n v="10.73"/>
    <x v="0"/>
    <m/>
    <m/>
    <m/>
    <n v="10.73"/>
    <b v="0"/>
    <m/>
    <m/>
    <s v="-"/>
    <x v="0"/>
    <s v="Create Rule; and Description='Amazon';Amazon"/>
    <m/>
  </r>
  <r>
    <x v="34"/>
    <d v="2021-11-30T00:00:00"/>
    <s v="Cash Rewards Visa Signature"/>
    <x v="0"/>
    <n v="48.28"/>
    <x v="0"/>
    <m/>
    <m/>
    <m/>
    <n v="48.28"/>
    <b v="0"/>
    <m/>
    <m/>
    <s v="-"/>
    <x v="0"/>
    <s v="Create Rule; and Description='Amazon';Amazon"/>
    <m/>
  </r>
  <r>
    <x v="34"/>
    <d v="2021-11-30T00:00:00"/>
    <s v="Cash Rewards Visa Signature"/>
    <x v="0"/>
    <n v="8.99"/>
    <x v="0"/>
    <m/>
    <m/>
    <m/>
    <n v="8.99"/>
    <b v="0"/>
    <m/>
    <m/>
    <s v="-"/>
    <x v="0"/>
    <s v="Create Rule; and Description='Amazon';Amazon"/>
    <m/>
  </r>
  <r>
    <x v="34"/>
    <d v="2021-11-30T00:00:00"/>
    <s v="Cash Rewards Visa Signature"/>
    <x v="0"/>
    <n v="19.989999999999998"/>
    <x v="0"/>
    <m/>
    <m/>
    <m/>
    <n v="19.989999999999998"/>
    <b v="0"/>
    <m/>
    <m/>
    <s v="-"/>
    <x v="0"/>
    <s v="Create Rule; and Description='Amazon';Amazon"/>
    <m/>
  </r>
  <r>
    <x v="34"/>
    <d v="2021-11-30T00:00:00"/>
    <s v="Cash Rewards Visa Signature"/>
    <x v="0"/>
    <n v="62.26"/>
    <x v="0"/>
    <m/>
    <m/>
    <m/>
    <n v="62.26"/>
    <b v="0"/>
    <m/>
    <m/>
    <s v="-"/>
    <x v="0"/>
    <s v="Create Rule; and Description='Amazon';Amazon"/>
    <m/>
  </r>
  <r>
    <x v="34"/>
    <d v="2021-11-30T00:00:00"/>
    <s v="POWERPLUS"/>
    <x v="48"/>
    <n v="95.49"/>
    <x v="16"/>
    <m/>
    <m/>
    <m/>
    <n v="95.49"/>
    <b v="0"/>
    <m/>
    <m/>
    <s v="-"/>
    <x v="48"/>
    <s v="Create Rule; and Description='American Family Insurance';Insurance"/>
    <m/>
  </r>
  <r>
    <x v="34"/>
    <d v="2021-11-30T00:00:00"/>
    <s v="Jeff IRA"/>
    <x v="165"/>
    <n v="-4.46"/>
    <x v="26"/>
    <m/>
    <m/>
    <m/>
    <n v="4.46"/>
    <b v="0"/>
    <m/>
    <m/>
    <s v="+"/>
    <x v="164"/>
    <s v="Create Rule; and Description='APPLE INC';Dividend"/>
    <m/>
  </r>
  <r>
    <x v="34"/>
    <d v="2021-11-30T00:00:00"/>
    <s v="Joint Tenant"/>
    <x v="165"/>
    <n v="-42.95"/>
    <x v="26"/>
    <m/>
    <m/>
    <m/>
    <n v="42.95"/>
    <b v="0"/>
    <m/>
    <m/>
    <s v="+"/>
    <x v="164"/>
    <s v="Create Rule; and Description='APPLE INC';Dividend"/>
    <m/>
  </r>
  <r>
    <x v="34"/>
    <d v="2021-11-30T00:00:00"/>
    <s v="Jeff IRA"/>
    <x v="165"/>
    <n v="4.46"/>
    <x v="26"/>
    <m/>
    <m/>
    <m/>
    <n v="4.46"/>
    <b v="0"/>
    <m/>
    <m/>
    <s v="-"/>
    <x v="164"/>
    <s v="Create Rule; and Description='APPLE INC';Dividend"/>
    <m/>
  </r>
  <r>
    <x v="34"/>
    <d v="2021-11-30T00:00:00"/>
    <s v="Joint Tenant"/>
    <x v="165"/>
    <n v="42.95"/>
    <x v="26"/>
    <m/>
    <m/>
    <m/>
    <n v="42.95"/>
    <b v="0"/>
    <m/>
    <m/>
    <s v="-"/>
    <x v="164"/>
    <s v="Create Rule; and Description='APPLE INC';Dividend"/>
    <m/>
  </r>
  <r>
    <x v="34"/>
    <d v="2021-11-30T00:00:00"/>
    <s v="Cash Rewards Visa Signature"/>
    <x v="1657"/>
    <n v="72"/>
    <x v="26"/>
    <m/>
    <m/>
    <m/>
    <n v="72"/>
    <b v="0"/>
    <m/>
    <m/>
    <s v="-"/>
    <x v="1542"/>
    <s v="Manual"/>
    <m/>
  </r>
  <r>
    <x v="34"/>
    <d v="2021-11-30T00:00:00"/>
    <s v="Contributory"/>
    <x v="1658"/>
    <n v="-0.11"/>
    <x v="26"/>
    <m/>
    <m/>
    <m/>
    <n v="0.11"/>
    <b v="0"/>
    <m/>
    <m/>
    <s v="+"/>
    <x v="1543"/>
    <s v="Manual"/>
    <m/>
  </r>
  <r>
    <x v="34"/>
    <d v="2021-11-30T00:00:00"/>
    <s v="Cooper"/>
    <x v="1658"/>
    <n v="-0.01"/>
    <x v="26"/>
    <m/>
    <m/>
    <m/>
    <n v="0.01"/>
    <b v="0"/>
    <m/>
    <m/>
    <s v="+"/>
    <x v="1543"/>
    <s v="Manual"/>
    <m/>
  </r>
  <r>
    <x v="34"/>
    <d v="2021-11-30T00:00:00"/>
    <s v="Jeff IRA"/>
    <x v="1658"/>
    <n v="-0.04"/>
    <x v="26"/>
    <m/>
    <m/>
    <m/>
    <n v="0.04"/>
    <b v="0"/>
    <m/>
    <m/>
    <s v="+"/>
    <x v="1543"/>
    <s v="Manual"/>
    <m/>
  </r>
  <r>
    <x v="34"/>
    <d v="2021-11-30T00:00:00"/>
    <s v="Joint Tenant"/>
    <x v="232"/>
    <n v="-660.28"/>
    <x v="26"/>
    <m/>
    <m/>
    <m/>
    <n v="660.28"/>
    <b v="0"/>
    <m/>
    <m/>
    <s v="+"/>
    <x v="230"/>
    <s v="Create Rule; and Description='BOEING CO';Dividend"/>
    <m/>
  </r>
  <r>
    <x v="34"/>
    <d v="2021-11-30T00:00:00"/>
    <s v="Cash Rewards Visa Signature"/>
    <x v="1282"/>
    <n v="9"/>
    <x v="26"/>
    <m/>
    <m/>
    <m/>
    <n v="9"/>
    <b v="0"/>
    <m/>
    <m/>
    <s v="-"/>
    <x v="1215"/>
    <s v="Create Rule; and Description Like '%BONFES%';House Maintenance"/>
    <m/>
  </r>
  <r>
    <x v="34"/>
    <d v="2021-11-30T00:00:00"/>
    <s v="Cash Rewards Visa Signature"/>
    <x v="70"/>
    <n v="33.93"/>
    <x v="26"/>
    <m/>
    <m/>
    <m/>
    <n v="33.93"/>
    <b v="0"/>
    <m/>
    <m/>
    <s v="-"/>
    <x v="70"/>
    <s v="Create Rule; and Description like '%Byerly%';Groceries"/>
    <m/>
  </r>
  <r>
    <x v="34"/>
    <d v="2021-11-30T00:00:00"/>
    <s v="POWERPLUS"/>
    <x v="1659"/>
    <n v="-3042.82"/>
    <x v="26"/>
    <m/>
    <m/>
    <m/>
    <n v="3042.82"/>
    <b v="0"/>
    <m/>
    <m/>
    <s v="+"/>
    <x v="1256"/>
    <s v="Create Rule; and Description Like '%Cargill Inc Deposit CARGILL INCORPOR TYPE DIRECT DEP ID CO CARGILL INCORPOR ACH%';Inc - Britney"/>
    <m/>
  </r>
  <r>
    <x v="34"/>
    <d v="2021-11-30T00:00:00"/>
    <s v="POWERPLUS"/>
    <x v="1660"/>
    <n v="-2971.03"/>
    <x v="26"/>
    <m/>
    <m/>
    <m/>
    <n v="2971.03"/>
    <b v="0"/>
    <m/>
    <m/>
    <s v="+"/>
    <x v="1256"/>
    <s v="Create Rule; and Description Like '%Cargill Inc Deposit CARGILL INCORPOR TYPE DIRECT DEP ID CO CARGILL INCORPOR ACH%';Inc - Britney"/>
    <m/>
  </r>
  <r>
    <x v="34"/>
    <d v="2021-11-30T00:00:00"/>
    <s v="Joint Tenant"/>
    <x v="1299"/>
    <n v="-200"/>
    <x v="26"/>
    <m/>
    <m/>
    <m/>
    <n v="200"/>
    <b v="0"/>
    <m/>
    <m/>
    <s v="+"/>
    <x v="1230"/>
    <s v="Delete; and Source='Joint Tenant';0"/>
    <m/>
  </r>
  <r>
    <x v="34"/>
    <d v="2021-11-30T00:00:00"/>
    <s v="Joint Tenant"/>
    <x v="1299"/>
    <n v="-200"/>
    <x v="26"/>
    <m/>
    <m/>
    <m/>
    <n v="200"/>
    <b v="0"/>
    <m/>
    <m/>
    <s v="+"/>
    <x v="1230"/>
    <s v="Delete; and Source='Joint Tenant';0"/>
    <m/>
  </r>
  <r>
    <x v="34"/>
    <d v="2021-11-30T00:00:00"/>
    <s v="POWERPLUS"/>
    <x v="35"/>
    <n v="-75"/>
    <x v="26"/>
    <m/>
    <m/>
    <m/>
    <n v="75"/>
    <b v="0"/>
    <m/>
    <m/>
    <s v="+"/>
    <x v="35"/>
    <s v="Create Rule; and Description='Cargill Incorpor Type';Inc - Other"/>
    <m/>
  </r>
  <r>
    <x v="34"/>
    <d v="2021-11-30T00:00:00"/>
    <s v="Cash Rewards Visa Signature"/>
    <x v="67"/>
    <n v="45"/>
    <x v="11"/>
    <m/>
    <m/>
    <m/>
    <n v="45"/>
    <b v="0"/>
    <m/>
    <m/>
    <s v="-"/>
    <x v="67"/>
    <s v="Create Rule; and Description='CenturyLink';Utilities"/>
    <m/>
  </r>
  <r>
    <x v="34"/>
    <d v="2021-11-30T00:00:00"/>
    <s v="Cash Rewards Visa Signature"/>
    <x v="240"/>
    <n v="25.72"/>
    <x v="26"/>
    <m/>
    <m/>
    <m/>
    <n v="25.72"/>
    <b v="0"/>
    <m/>
    <m/>
    <s v="-"/>
    <x v="238"/>
    <s v="Create Rule; and Description='Chipotle';Restaurants"/>
    <m/>
  </r>
  <r>
    <x v="34"/>
    <d v="2021-11-30T00:00:00"/>
    <s v="POWERPLUS"/>
    <x v="84"/>
    <n v="70.88"/>
    <x v="26"/>
    <m/>
    <m/>
    <m/>
    <n v="70.88"/>
    <b v="0"/>
    <m/>
    <m/>
    <s v="-"/>
    <x v="84"/>
    <s v="Create Rule; and Description='City of Chanhassen';Utilities"/>
    <m/>
  </r>
  <r>
    <x v="34"/>
    <d v="2021-11-30T00:00:00"/>
    <s v="Cash Rewards Visa Signature"/>
    <x v="531"/>
    <n v="140.63"/>
    <x v="26"/>
    <m/>
    <m/>
    <m/>
    <n v="140.63"/>
    <b v="0"/>
    <m/>
    <m/>
    <s v="-"/>
    <x v="512"/>
    <s v="Create Rule; and Description='Coalition';Restaurants"/>
    <m/>
  </r>
  <r>
    <x v="34"/>
    <d v="2021-11-30T00:00:00"/>
    <s v="Cash Rewards Visa Signature"/>
    <x v="1661"/>
    <n v="17.5"/>
    <x v="26"/>
    <m/>
    <m/>
    <m/>
    <n v="17.5"/>
    <b v="0"/>
    <m/>
    <m/>
    <s v="-"/>
    <x v="1544"/>
    <s v="Manual"/>
    <m/>
  </r>
  <r>
    <x v="34"/>
    <d v="2021-11-30T00:00:00"/>
    <s v="Cash Rewards Visa Signature"/>
    <x v="255"/>
    <n v="53.68"/>
    <x v="5"/>
    <m/>
    <m/>
    <m/>
    <n v="53.68"/>
    <b v="0"/>
    <m/>
    <m/>
    <s v="-"/>
    <x v="253"/>
    <s v="Create Rule; and Description='Costco';Groceries"/>
    <m/>
  </r>
  <r>
    <x v="34"/>
    <d v="2021-11-30T00:00:00"/>
    <s v="Cash Rewards Visa Signature"/>
    <x v="1232"/>
    <n v="159.21"/>
    <x v="26"/>
    <m/>
    <m/>
    <m/>
    <n v="159.21"/>
    <b v="0"/>
    <m/>
    <m/>
    <s v="-"/>
    <x v="1169"/>
    <s v="Manual"/>
    <m/>
  </r>
  <r>
    <x v="34"/>
    <d v="2021-11-30T00:00:00"/>
    <s v="Cash Rewards Visa Signature"/>
    <x v="431"/>
    <n v="260.08"/>
    <x v="26"/>
    <m/>
    <m/>
    <m/>
    <n v="260.08"/>
    <b v="0"/>
    <m/>
    <m/>
    <s v="-"/>
    <x v="416"/>
    <s v="Create Rule; and Description='Crate &amp; Barrel';Shopping"/>
    <m/>
  </r>
  <r>
    <x v="34"/>
    <d v="2021-11-30T00:00:00"/>
    <s v="Cash Rewards Visa Signature"/>
    <x v="6"/>
    <n v="47"/>
    <x v="5"/>
    <m/>
    <m/>
    <m/>
    <n v="47"/>
    <b v="0"/>
    <m/>
    <m/>
    <s v="-"/>
    <x v="6"/>
    <s v="Create Rule; and Description Like '%Cub Foods%';Groceries"/>
    <m/>
  </r>
  <r>
    <x v="34"/>
    <d v="2021-11-30T00:00:00"/>
    <s v="Cash Rewards Visa Signature"/>
    <x v="152"/>
    <n v="29.53"/>
    <x v="26"/>
    <m/>
    <m/>
    <m/>
    <n v="29.53"/>
    <b v="0"/>
    <m/>
    <m/>
    <s v="-"/>
    <x v="151"/>
    <s v="Create Rule; and Description='Excelsior Brewing';Restaurants"/>
    <m/>
  </r>
  <r>
    <x v="34"/>
    <d v="2021-11-30T00:00:00"/>
    <s v="Cash Rewards Visa Signature"/>
    <x v="1662"/>
    <n v="6.14"/>
    <x v="26"/>
    <m/>
    <m/>
    <m/>
    <n v="6.14"/>
    <b v="0"/>
    <m/>
    <m/>
    <s v="-"/>
    <x v="1545"/>
    <s v="Manual"/>
    <m/>
  </r>
  <r>
    <x v="34"/>
    <d v="2021-11-30T00:00:00"/>
    <s v="Cash Rewards Visa Signature"/>
    <x v="1663"/>
    <n v="43.27"/>
    <x v="26"/>
    <m/>
    <m/>
    <m/>
    <n v="43.27"/>
    <b v="0"/>
    <m/>
    <m/>
    <s v="-"/>
    <x v="1546"/>
    <s v="Manual"/>
    <m/>
  </r>
  <r>
    <x v="34"/>
    <d v="2021-11-30T00:00:00"/>
    <s v="Cash Rewards Visa Signature"/>
    <x v="1664"/>
    <n v="110.18"/>
    <x v="26"/>
    <m/>
    <m/>
    <m/>
    <n v="110.18"/>
    <b v="0"/>
    <m/>
    <m/>
    <s v="-"/>
    <x v="1547"/>
    <s v="Manual"/>
    <m/>
  </r>
  <r>
    <x v="34"/>
    <d v="2021-11-30T00:00:00"/>
    <s v="Cash Rewards Visa Signature"/>
    <x v="1665"/>
    <n v="44.79"/>
    <x v="26"/>
    <m/>
    <m/>
    <m/>
    <n v="44.79"/>
    <b v="0"/>
    <m/>
    <m/>
    <s v="-"/>
    <x v="1548"/>
    <s v="Manual"/>
    <m/>
  </r>
  <r>
    <x v="34"/>
    <d v="2021-11-30T00:00:00"/>
    <s v="Cash Rewards Visa Signature"/>
    <x v="1147"/>
    <n v="14.75"/>
    <x v="26"/>
    <m/>
    <m/>
    <m/>
    <n v="14.75"/>
    <b v="0"/>
    <m/>
    <m/>
    <s v="-"/>
    <x v="1090"/>
    <s v="Create Rule; and Description='Haskells';Groceries"/>
    <m/>
  </r>
  <r>
    <x v="34"/>
    <d v="2021-11-30T00:00:00"/>
    <s v="Cash Rewards Visa Signature"/>
    <x v="1147"/>
    <n v="50"/>
    <x v="26"/>
    <m/>
    <m/>
    <m/>
    <n v="50"/>
    <b v="0"/>
    <m/>
    <m/>
    <s v="-"/>
    <x v="1090"/>
    <s v="Create Rule; and Description='Haskells';Groceries"/>
    <m/>
  </r>
  <r>
    <x v="34"/>
    <d v="2021-11-30T00:00:00"/>
    <s v="Cash Rewards Visa Signature"/>
    <x v="1666"/>
    <n v="514.22"/>
    <x v="26"/>
    <m/>
    <m/>
    <m/>
    <n v="514.22"/>
    <b v="0"/>
    <m/>
    <m/>
    <s v="-"/>
    <x v="1549"/>
    <s v="Manual"/>
    <m/>
  </r>
  <r>
    <x v="34"/>
    <d v="2021-11-30T00:00:00"/>
    <s v="Cash Rewards Visa Signature"/>
    <x v="1667"/>
    <n v="223.49"/>
    <x v="26"/>
    <m/>
    <m/>
    <m/>
    <n v="223.49"/>
    <b v="0"/>
    <m/>
    <m/>
    <s v="-"/>
    <x v="1550"/>
    <s v="Manual"/>
    <m/>
  </r>
  <r>
    <x v="34"/>
    <d v="2021-11-30T00:00:00"/>
    <s v="Cash Rewards Visa Signature"/>
    <x v="1668"/>
    <n v="70"/>
    <x v="26"/>
    <m/>
    <m/>
    <m/>
    <n v="70"/>
    <b v="0"/>
    <m/>
    <m/>
    <s v="-"/>
    <x v="1551"/>
    <s v="Manual"/>
    <m/>
  </r>
  <r>
    <x v="34"/>
    <d v="2021-11-30T00:00:00"/>
    <s v="Cash Rewards Visa Signature"/>
    <x v="1669"/>
    <n v="142.76"/>
    <x v="26"/>
    <m/>
    <m/>
    <m/>
    <n v="142.76"/>
    <b v="0"/>
    <m/>
    <m/>
    <s v="-"/>
    <x v="1552"/>
    <s v="Manual"/>
    <m/>
  </r>
  <r>
    <x v="34"/>
    <d v="2021-11-30T00:00:00"/>
    <s v="Investor Checking"/>
    <x v="118"/>
    <n v="-0.02"/>
    <x v="26"/>
    <m/>
    <m/>
    <m/>
    <n v="0.02"/>
    <b v="0"/>
    <m/>
    <m/>
    <s v="+"/>
    <x v="118"/>
    <s v="Manual"/>
    <m/>
  </r>
  <r>
    <x v="34"/>
    <d v="2021-11-30T00:00:00"/>
    <s v="POWERPLUS"/>
    <x v="656"/>
    <n v="-334"/>
    <x v="26"/>
    <m/>
    <m/>
    <m/>
    <n v="334"/>
    <b v="0"/>
    <m/>
    <m/>
    <s v="+"/>
    <x v="634"/>
    <s v="Manual"/>
    <m/>
  </r>
  <r>
    <x v="34"/>
    <d v="2021-11-30T00:00:00"/>
    <s v="Cash Rewards Visa Signature"/>
    <x v="823"/>
    <n v="58.78"/>
    <x v="2"/>
    <m/>
    <m/>
    <m/>
    <n v="58.78"/>
    <b v="0"/>
    <m/>
    <m/>
    <s v="-"/>
    <x v="792"/>
    <s v="Create Rule; and Description='Kwik Trip';Transportation"/>
    <m/>
  </r>
  <r>
    <x v="34"/>
    <d v="2021-11-30T00:00:00"/>
    <s v="Cash Rewards Visa Signature"/>
    <x v="823"/>
    <n v="49.28"/>
    <x v="2"/>
    <m/>
    <m/>
    <m/>
    <n v="49.28"/>
    <b v="0"/>
    <m/>
    <m/>
    <s v="-"/>
    <x v="792"/>
    <s v="Create Rule; and Description='Kwik Trip';Transportation"/>
    <m/>
  </r>
  <r>
    <x v="34"/>
    <d v="2021-11-30T00:00:00"/>
    <s v="Cash Rewards Visa Signature"/>
    <x v="823"/>
    <n v="49.7"/>
    <x v="2"/>
    <m/>
    <m/>
    <m/>
    <n v="49.7"/>
    <b v="0"/>
    <m/>
    <m/>
    <s v="-"/>
    <x v="792"/>
    <s v="Create Rule; and Description='Kwik Trip';Transportation"/>
    <m/>
  </r>
  <r>
    <x v="34"/>
    <d v="2021-11-30T00:00:00"/>
    <s v="Cash Rewards Visa Signature"/>
    <x v="1103"/>
    <n v="37.46"/>
    <x v="26"/>
    <m/>
    <m/>
    <m/>
    <n v="37.46"/>
    <b v="0"/>
    <m/>
    <m/>
    <s v="-"/>
    <x v="1050"/>
    <s v="Delete; and Description Like '%LAKEWINDS CHANHASSEN%';Restaurants"/>
    <m/>
  </r>
  <r>
    <x v="34"/>
    <d v="2021-11-30T00:00:00"/>
    <s v="Cash Rewards Visa Signature"/>
    <x v="49"/>
    <n v="78"/>
    <x v="26"/>
    <m/>
    <m/>
    <m/>
    <n v="78"/>
    <b v="0"/>
    <m/>
    <m/>
    <s v="-"/>
    <x v="49"/>
    <s v="Create Rule; and Description='Lululemon';Shopping"/>
    <m/>
  </r>
  <r>
    <x v="34"/>
    <d v="2021-11-30T00:00:00"/>
    <s v="Cash Rewards Visa Signature"/>
    <x v="49"/>
    <n v="198"/>
    <x v="26"/>
    <m/>
    <m/>
    <m/>
    <n v="198"/>
    <b v="0"/>
    <m/>
    <m/>
    <s v="-"/>
    <x v="49"/>
    <s v="Create Rule; and Description='Lululemon';Shopping"/>
    <m/>
  </r>
  <r>
    <x v="34"/>
    <d v="2021-11-30T00:00:00"/>
    <s v="Cash Rewards Visa Signature"/>
    <x v="49"/>
    <n v="98"/>
    <x v="26"/>
    <m/>
    <m/>
    <m/>
    <n v="98"/>
    <b v="0"/>
    <m/>
    <m/>
    <s v="-"/>
    <x v="49"/>
    <s v="Create Rule; and Description='Lululemon';Shopping"/>
    <m/>
  </r>
  <r>
    <x v="34"/>
    <d v="2021-11-30T00:00:00"/>
    <s v="Cash Rewards Visa Signature"/>
    <x v="214"/>
    <n v="63.99"/>
    <x v="2"/>
    <m/>
    <m/>
    <m/>
    <n v="63.99"/>
    <b v="0"/>
    <m/>
    <m/>
    <s v="-"/>
    <x v="213"/>
    <s v="Create Rule; and Description='Lyft';Transportation"/>
    <m/>
  </r>
  <r>
    <x v="34"/>
    <d v="2021-11-30T00:00:00"/>
    <s v="Cash Rewards Visa Signature"/>
    <x v="1067"/>
    <n v="164.18"/>
    <x v="26"/>
    <m/>
    <m/>
    <m/>
    <n v="164.18"/>
    <b v="0"/>
    <m/>
    <m/>
    <s v="-"/>
    <x v="1017"/>
    <s v="Create Rule; and Description Like '%MACKENTHUNSMEATS%';Groceries"/>
    <m/>
  </r>
  <r>
    <x v="34"/>
    <d v="2021-11-30T00:00:00"/>
    <s v="Cash Rewards Visa Signature"/>
    <x v="1670"/>
    <n v="70.5"/>
    <x v="26"/>
    <m/>
    <m/>
    <m/>
    <n v="70.5"/>
    <b v="0"/>
    <m/>
    <m/>
    <s v="-"/>
    <x v="1553"/>
    <s v="Manual"/>
    <m/>
  </r>
  <r>
    <x v="34"/>
    <d v="2021-11-30T00:00:00"/>
    <s v="POWERPLUS"/>
    <x v="1321"/>
    <n v="528.79999999999995"/>
    <x v="26"/>
    <m/>
    <m/>
    <m/>
    <n v="528.79999999999995"/>
    <b v="0"/>
    <m/>
    <m/>
    <s v="-"/>
    <x v="1249"/>
    <s v="Create Rule; and Description Like '%MHCHILDCARELLC%';Day Care"/>
    <m/>
  </r>
  <r>
    <x v="34"/>
    <d v="2021-11-30T00:00:00"/>
    <s v="POWERPLUS"/>
    <x v="1321"/>
    <n v="528.79999999999995"/>
    <x v="26"/>
    <m/>
    <m/>
    <m/>
    <n v="528.79999999999995"/>
    <b v="0"/>
    <m/>
    <m/>
    <s v="-"/>
    <x v="1249"/>
    <s v="Create Rule; and Description Like '%MHCHILDCARELLC%';Day Care"/>
    <m/>
  </r>
  <r>
    <x v="34"/>
    <d v="2021-11-30T00:00:00"/>
    <s v="POWERPLUS"/>
    <x v="1321"/>
    <n v="528.79999999999995"/>
    <x v="26"/>
    <m/>
    <m/>
    <m/>
    <n v="528.79999999999995"/>
    <b v="0"/>
    <m/>
    <m/>
    <s v="-"/>
    <x v="1249"/>
    <s v="Create Rule; and Description Like '%MHCHILDCARELLC%';Day Care"/>
    <m/>
  </r>
  <r>
    <x v="34"/>
    <d v="2021-11-30T00:00:00"/>
    <s v="Cash Rewards Visa Signature"/>
    <x v="1671"/>
    <n v="174.2"/>
    <x v="26"/>
    <m/>
    <m/>
    <m/>
    <n v="174.2"/>
    <b v="0"/>
    <m/>
    <m/>
    <s v="-"/>
    <x v="1554"/>
    <s v="Manual"/>
    <m/>
  </r>
  <r>
    <x v="34"/>
    <d v="2021-11-30T00:00:00"/>
    <s v="POWERPLUS"/>
    <x v="1672"/>
    <n v="200"/>
    <x v="26"/>
    <m/>
    <m/>
    <m/>
    <n v="200"/>
    <b v="0"/>
    <m/>
    <m/>
    <s v="-"/>
    <x v="1245"/>
    <s v="Create Rule; and Description Like '%MN DIR ACH%';College Savings"/>
    <m/>
  </r>
  <r>
    <x v="34"/>
    <d v="2021-11-30T00:00:00"/>
    <s v="Cash Rewards Visa Signature"/>
    <x v="1673"/>
    <n v="1806.62"/>
    <x v="26"/>
    <m/>
    <m/>
    <m/>
    <n v="1806.62"/>
    <b v="0"/>
    <m/>
    <m/>
    <s v="-"/>
    <x v="1555"/>
    <s v="Manual"/>
    <m/>
  </r>
  <r>
    <x v="34"/>
    <d v="2021-11-30T00:00:00"/>
    <s v="Discover More Card"/>
    <x v="99"/>
    <n v="8.99"/>
    <x v="11"/>
    <m/>
    <m/>
    <m/>
    <n v="8.99"/>
    <b v="0"/>
    <m/>
    <m/>
    <s v="-"/>
    <x v="99"/>
    <s v="Create Rule; and Description='Netflix';Utilities"/>
    <m/>
  </r>
  <r>
    <x v="34"/>
    <d v="2021-11-30T00:00:00"/>
    <s v="Cash Rewards Visa Signature"/>
    <x v="177"/>
    <n v="44.19"/>
    <x v="26"/>
    <m/>
    <m/>
    <m/>
    <n v="44.19"/>
    <b v="0"/>
    <m/>
    <m/>
    <s v="-"/>
    <x v="176"/>
    <s v="Create Rule; and Description='NORTH COOP CHAHASSEN MN';Restaurants"/>
    <m/>
  </r>
  <r>
    <x v="34"/>
    <d v="2021-11-30T00:00:00"/>
    <s v="Cash Rewards Visa Signature"/>
    <x v="943"/>
    <n v="12.35"/>
    <x v="26"/>
    <m/>
    <m/>
    <m/>
    <n v="12.35"/>
    <b v="0"/>
    <m/>
    <m/>
    <s v="-"/>
    <x v="906"/>
    <s v="Create Rule; and Description Like '%NORTH COOP NORTH COOP%';Restaurants"/>
    <m/>
  </r>
  <r>
    <x v="34"/>
    <d v="2021-11-30T00:00:00"/>
    <s v="Cash Rewards Visa Signature"/>
    <x v="1674"/>
    <n v="67.11"/>
    <x v="1"/>
    <m/>
    <m/>
    <m/>
    <n v="67.11"/>
    <b v="0"/>
    <m/>
    <m/>
    <s v="-"/>
    <x v="1556"/>
    <s v="Manual"/>
    <m/>
  </r>
  <r>
    <x v="34"/>
    <d v="2021-11-30T00:00:00"/>
    <s v="Cash Rewards Visa Signature"/>
    <x v="1675"/>
    <n v="96.93"/>
    <x v="26"/>
    <m/>
    <m/>
    <m/>
    <n v="96.93"/>
    <b v="0"/>
    <m/>
    <m/>
    <s v="-"/>
    <x v="1557"/>
    <s v="Manual"/>
    <m/>
  </r>
  <r>
    <x v="34"/>
    <d v="2021-11-30T00:00:00"/>
    <s v="POWERPLUS"/>
    <x v="157"/>
    <n v="31.19"/>
    <x v="8"/>
    <m/>
    <m/>
    <m/>
    <n v="31.19"/>
    <b v="0"/>
    <m/>
    <m/>
    <s v="-"/>
    <x v="156"/>
    <s v="Create Rule; and Description Like '%PayPal%';Shopping"/>
    <m/>
  </r>
  <r>
    <x v="34"/>
    <d v="2021-11-30T00:00:00"/>
    <s v="POWERPLUS"/>
    <x v="157"/>
    <n v="65"/>
    <x v="8"/>
    <m/>
    <m/>
    <m/>
    <n v="65"/>
    <b v="0"/>
    <m/>
    <m/>
    <s v="-"/>
    <x v="156"/>
    <s v="Create Rule; and Description Like '%PayPal%';Shopping"/>
    <m/>
  </r>
  <r>
    <x v="34"/>
    <d v="2021-11-30T00:00:00"/>
    <s v="POWERPLUS"/>
    <x v="157"/>
    <n v="11.87"/>
    <x v="8"/>
    <m/>
    <m/>
    <m/>
    <n v="11.87"/>
    <b v="0"/>
    <m/>
    <m/>
    <s v="-"/>
    <x v="156"/>
    <s v="Create Rule; and Description Like '%PayPal%';Shopping"/>
    <m/>
  </r>
  <r>
    <x v="34"/>
    <d v="2021-11-30T00:00:00"/>
    <s v="POWERPLUS"/>
    <x v="157"/>
    <n v="22.23"/>
    <x v="8"/>
    <m/>
    <m/>
    <m/>
    <n v="22.23"/>
    <b v="0"/>
    <m/>
    <m/>
    <s v="-"/>
    <x v="156"/>
    <s v="Create Rule; and Description Like '%PayPal%';Shopping"/>
    <m/>
  </r>
  <r>
    <x v="34"/>
    <d v="2021-11-30T00:00:00"/>
    <s v="POWERPLUS"/>
    <x v="157"/>
    <n v="0.99"/>
    <x v="8"/>
    <m/>
    <m/>
    <m/>
    <n v="0.99"/>
    <b v="0"/>
    <m/>
    <m/>
    <s v="-"/>
    <x v="156"/>
    <s v="Create Rule; and Description Like '%PayPal%';Shopping"/>
    <m/>
  </r>
  <r>
    <x v="34"/>
    <d v="2021-11-30T00:00:00"/>
    <s v="POWERPLUS"/>
    <x v="157"/>
    <n v="30.06"/>
    <x v="8"/>
    <m/>
    <m/>
    <m/>
    <n v="30.06"/>
    <b v="0"/>
    <m/>
    <m/>
    <s v="-"/>
    <x v="156"/>
    <s v="Create Rule; and Description Like '%PayPal%';Shopping"/>
    <m/>
  </r>
  <r>
    <x v="34"/>
    <d v="2021-11-30T00:00:00"/>
    <s v="POWERPLUS"/>
    <x v="157"/>
    <n v="52.32"/>
    <x v="8"/>
    <m/>
    <m/>
    <m/>
    <n v="52.32"/>
    <b v="0"/>
    <m/>
    <m/>
    <s v="-"/>
    <x v="156"/>
    <s v="Create Rule; and Description Like '%PayPal%';Shopping"/>
    <m/>
  </r>
  <r>
    <x v="34"/>
    <d v="2021-11-30T00:00:00"/>
    <s v="POWERPLUS"/>
    <x v="157"/>
    <n v="78.75"/>
    <x v="8"/>
    <m/>
    <m/>
    <m/>
    <n v="78.75"/>
    <b v="0"/>
    <m/>
    <m/>
    <s v="-"/>
    <x v="156"/>
    <s v="Create Rule; and Description Like '%PayPal%';Shopping"/>
    <m/>
  </r>
  <r>
    <x v="34"/>
    <d v="2021-11-30T00:00:00"/>
    <s v="POWERPLUS"/>
    <x v="157"/>
    <n v="362.38"/>
    <x v="8"/>
    <m/>
    <m/>
    <m/>
    <n v="362.38"/>
    <b v="0"/>
    <m/>
    <m/>
    <s v="-"/>
    <x v="156"/>
    <s v="Create Rule; and Description Like '%PayPal%';Shopping"/>
    <m/>
  </r>
  <r>
    <x v="34"/>
    <d v="2021-11-30T00:00:00"/>
    <s v="Joint Tenant"/>
    <x v="169"/>
    <n v="-34.97"/>
    <x v="26"/>
    <m/>
    <m/>
    <m/>
    <n v="34.97"/>
    <b v="0"/>
    <m/>
    <m/>
    <s v="+"/>
    <x v="168"/>
    <s v="Create Rule; and Description='PROCTER &amp; GAMBLE';Dividend"/>
    <m/>
  </r>
  <r>
    <x v="34"/>
    <d v="2021-11-30T00:00:00"/>
    <s v="Joint Tenant"/>
    <x v="169"/>
    <n v="34.97"/>
    <x v="26"/>
    <m/>
    <m/>
    <m/>
    <n v="34.97"/>
    <b v="0"/>
    <m/>
    <m/>
    <s v="-"/>
    <x v="168"/>
    <s v="Create Rule; and Description='PROCTER &amp; GAMBLE';Dividend"/>
    <m/>
  </r>
  <r>
    <x v="34"/>
    <d v="2021-11-30T00:00:00"/>
    <s v="Cash Rewards Visa Signature"/>
    <x v="1115"/>
    <n v="66.989999999999995"/>
    <x v="26"/>
    <m/>
    <m/>
    <m/>
    <n v="66.989999999999995"/>
    <b v="0"/>
    <m/>
    <m/>
    <s v="-"/>
    <x v="1062"/>
    <s v="Create Rule; and Description Like '%Rally House%';Shopping"/>
    <m/>
  </r>
  <r>
    <x v="34"/>
    <d v="2021-11-30T00:00:00"/>
    <s v="Cash Rewards Visa Signature"/>
    <x v="1676"/>
    <n v="104.95"/>
    <x v="26"/>
    <m/>
    <m/>
    <m/>
    <n v="104.95"/>
    <b v="0"/>
    <m/>
    <m/>
    <s v="-"/>
    <x v="1558"/>
    <s v="Create Rule; and Description Like '%REDCOWMNCOM%';Restaurants"/>
    <m/>
  </r>
  <r>
    <x v="34"/>
    <d v="2021-11-30T00:00:00"/>
    <s v="Cash Rewards Visa Signature"/>
    <x v="1677"/>
    <n v="41.19"/>
    <x v="26"/>
    <m/>
    <m/>
    <m/>
    <n v="41.19"/>
    <b v="0"/>
    <m/>
    <m/>
    <s v="-"/>
    <x v="1559"/>
    <s v="Manual"/>
    <m/>
  </r>
  <r>
    <x v="34"/>
    <d v="2021-11-30T00:00:00"/>
    <s v="Cash Rewards Visa Signature"/>
    <x v="1678"/>
    <n v="57.23"/>
    <x v="26"/>
    <m/>
    <m/>
    <m/>
    <n v="57.23"/>
    <b v="0"/>
    <m/>
    <m/>
    <s v="-"/>
    <x v="1560"/>
    <s v="Manual"/>
    <m/>
  </r>
  <r>
    <x v="34"/>
    <d v="2021-11-30T00:00:00"/>
    <s v="Cash Rewards Visa Signature"/>
    <x v="1074"/>
    <n v="840.61"/>
    <x v="26"/>
    <m/>
    <m/>
    <m/>
    <n v="840.61"/>
    <b v="0"/>
    <m/>
    <m/>
    <s v="-"/>
    <x v="1024"/>
    <s v="Manual"/>
    <m/>
  </r>
  <r>
    <x v="34"/>
    <d v="2021-11-30T00:00:00"/>
    <s v="Joint Tenant"/>
    <x v="1679"/>
    <n v="500"/>
    <x v="26"/>
    <m/>
    <m/>
    <m/>
    <n v="500"/>
    <b v="0"/>
    <m/>
    <m/>
    <s v="-"/>
    <x v="1561"/>
    <s v="Delete; and Source='Joint Tenant';0"/>
    <m/>
  </r>
  <r>
    <x v="34"/>
    <d v="2021-11-30T00:00:00"/>
    <s v="Joint Tenant"/>
    <x v="1680"/>
    <n v="200"/>
    <x v="26"/>
    <m/>
    <m/>
    <m/>
    <n v="200"/>
    <b v="0"/>
    <m/>
    <m/>
    <s v="-"/>
    <x v="1562"/>
    <s v="Delete; and Source='Joint Tenant';0"/>
    <m/>
  </r>
  <r>
    <x v="34"/>
    <d v="2021-11-30T00:00:00"/>
    <s v="Joint Tenant"/>
    <x v="1681"/>
    <n v="200"/>
    <x v="26"/>
    <m/>
    <m/>
    <m/>
    <n v="200"/>
    <b v="0"/>
    <m/>
    <m/>
    <s v="-"/>
    <x v="1563"/>
    <s v="Delete; and Source='Joint Tenant';0"/>
    <m/>
  </r>
  <r>
    <x v="34"/>
    <d v="2021-11-30T00:00:00"/>
    <s v="Joint Tenant"/>
    <x v="300"/>
    <n v="548.9"/>
    <x v="26"/>
    <m/>
    <m/>
    <m/>
    <n v="548.9"/>
    <b v="0"/>
    <m/>
    <m/>
    <s v="-"/>
    <x v="293"/>
    <s v="Create Rule; and Description='SCHWAB US SMALL CAP ETF';Dividend"/>
    <m/>
  </r>
  <r>
    <x v="34"/>
    <d v="2021-11-30T00:00:00"/>
    <s v="Joint Tenant"/>
    <x v="300"/>
    <n v="646.95000000000005"/>
    <x v="26"/>
    <m/>
    <m/>
    <m/>
    <n v="646.95000000000005"/>
    <b v="0"/>
    <m/>
    <m/>
    <s v="-"/>
    <x v="293"/>
    <s v="Create Rule; and Description='SCHWAB US SMALL CAP ETF';Dividend"/>
    <m/>
  </r>
  <r>
    <x v="34"/>
    <d v="2021-11-30T00:00:00"/>
    <s v="RAINY DAY"/>
    <x v="515"/>
    <n v="-100"/>
    <x v="26"/>
    <m/>
    <m/>
    <m/>
    <n v="100"/>
    <b v="0"/>
    <m/>
    <m/>
    <s v="+"/>
    <x v="496"/>
    <s v="Create Rule; and Description='Share';Delete"/>
    <m/>
  </r>
  <r>
    <x v="34"/>
    <d v="2021-11-30T00:00:00"/>
    <s v="Cash Rewards Visa Signature"/>
    <x v="1682"/>
    <n v="2.87"/>
    <x v="26"/>
    <m/>
    <m/>
    <m/>
    <n v="2.87"/>
    <b v="0"/>
    <m/>
    <m/>
    <s v="-"/>
    <x v="1564"/>
    <s v="Manual"/>
    <m/>
  </r>
  <r>
    <x v="34"/>
    <d v="2021-11-30T00:00:00"/>
    <s v="Cash Rewards Visa Signature"/>
    <x v="1514"/>
    <n v="32.39"/>
    <x v="26"/>
    <m/>
    <m/>
    <m/>
    <n v="32.39"/>
    <b v="0"/>
    <m/>
    <m/>
    <s v="-"/>
    <x v="1421"/>
    <s v="Manual"/>
    <m/>
  </r>
  <r>
    <x v="34"/>
    <d v="2021-11-30T00:00:00"/>
    <s v="Cash Rewards Visa Signature"/>
    <x v="1683"/>
    <n v="207.57"/>
    <x v="26"/>
    <m/>
    <m/>
    <m/>
    <n v="207.57"/>
    <b v="0"/>
    <m/>
    <m/>
    <s v="-"/>
    <x v="1565"/>
    <s v="Manual"/>
    <m/>
  </r>
  <r>
    <x v="34"/>
    <d v="2021-11-30T00:00:00"/>
    <s v="Cash Rewards Visa Signature"/>
    <x v="1684"/>
    <n v="31"/>
    <x v="26"/>
    <m/>
    <m/>
    <m/>
    <n v="31"/>
    <b v="0"/>
    <m/>
    <m/>
    <s v="-"/>
    <x v="1566"/>
    <s v="Manual"/>
    <m/>
  </r>
  <r>
    <x v="34"/>
    <d v="2021-11-30T00:00:00"/>
    <s v="Cash Rewards Visa Signature"/>
    <x v="1684"/>
    <n v="83"/>
    <x v="26"/>
    <m/>
    <m/>
    <m/>
    <n v="83"/>
    <b v="0"/>
    <m/>
    <m/>
    <s v="-"/>
    <x v="1566"/>
    <s v="Manual"/>
    <m/>
  </r>
  <r>
    <x v="34"/>
    <d v="2021-11-30T00:00:00"/>
    <s v="RAINY DAY"/>
    <x v="119"/>
    <n v="-13.58"/>
    <x v="26"/>
    <m/>
    <m/>
    <m/>
    <n v="13.58"/>
    <b v="0"/>
    <m/>
    <m/>
    <s v="+"/>
    <x v="119"/>
    <s v="Create Rule; and Description='Split Rate Apy';Inc - Other"/>
    <m/>
  </r>
  <r>
    <x v="34"/>
    <d v="2021-11-30T00:00:00"/>
    <s v="POWERPLUS"/>
    <x v="119"/>
    <n v="-24.31"/>
    <x v="26"/>
    <m/>
    <m/>
    <m/>
    <n v="24.31"/>
    <b v="0"/>
    <m/>
    <m/>
    <s v="+"/>
    <x v="119"/>
    <s v="Create Rule; and Description='Split Rate Apy';Inc - Other"/>
    <m/>
  </r>
  <r>
    <x v="34"/>
    <d v="2021-11-30T00:00:00"/>
    <s v="Cash Rewards Visa Signature"/>
    <x v="1685"/>
    <n v="3.24"/>
    <x v="26"/>
    <m/>
    <m/>
    <m/>
    <n v="3.24"/>
    <b v="0"/>
    <m/>
    <m/>
    <s v="-"/>
    <x v="1567"/>
    <s v="Manual"/>
    <m/>
  </r>
  <r>
    <x v="34"/>
    <d v="2021-11-30T00:00:00"/>
    <s v="Cash Rewards Visa Signature"/>
    <x v="1375"/>
    <n v="195.03"/>
    <x v="26"/>
    <m/>
    <m/>
    <m/>
    <n v="195.03"/>
    <b v="0"/>
    <m/>
    <m/>
    <s v="-"/>
    <x v="1296"/>
    <s v="Manual"/>
    <m/>
  </r>
  <r>
    <x v="34"/>
    <d v="2021-11-30T00:00:00"/>
    <s v="Cash Rewards Visa Signature"/>
    <x v="1475"/>
    <n v="8.2799999999999994"/>
    <x v="26"/>
    <m/>
    <m/>
    <m/>
    <n v="8.2799999999999994"/>
    <b v="0"/>
    <m/>
    <m/>
    <s v="-"/>
    <x v="1386"/>
    <s v="Manual"/>
    <m/>
  </r>
  <r>
    <x v="34"/>
    <d v="2021-11-30T00:00:00"/>
    <s v="Cash Rewards Visa Signature"/>
    <x v="1686"/>
    <n v="13.8"/>
    <x v="26"/>
    <m/>
    <m/>
    <m/>
    <n v="13.8"/>
    <b v="0"/>
    <m/>
    <m/>
    <s v="-"/>
    <x v="1568"/>
    <s v="Manual"/>
    <m/>
  </r>
  <r>
    <x v="34"/>
    <d v="2021-11-30T00:00:00"/>
    <s v="Joint Tenant"/>
    <x v="190"/>
    <n v="-23.07"/>
    <x v="26"/>
    <m/>
    <m/>
    <m/>
    <n v="23.07"/>
    <b v="0"/>
    <m/>
    <m/>
    <s v="+"/>
    <x v="189"/>
    <s v="Create Rule; and Description='STARBUCKS CORP';Restaurants"/>
    <m/>
  </r>
  <r>
    <x v="34"/>
    <d v="2021-11-30T00:00:00"/>
    <s v="Joint Tenant"/>
    <x v="190"/>
    <n v="23.07"/>
    <x v="26"/>
    <m/>
    <m/>
    <m/>
    <n v="23.07"/>
    <b v="0"/>
    <m/>
    <m/>
    <s v="-"/>
    <x v="189"/>
    <s v="Create Rule; and Description='STARBUCKS CORP';Restaurants"/>
    <m/>
  </r>
  <r>
    <x v="34"/>
    <d v="2021-11-30T00:00:00"/>
    <s v="Joint Tenant"/>
    <x v="1635"/>
    <n v="-250"/>
    <x v="26"/>
    <m/>
    <m/>
    <m/>
    <n v="250"/>
    <b v="0"/>
    <m/>
    <m/>
    <s v="+"/>
    <x v="1525"/>
    <s v="Delete; and Source='Joint Tenant';0"/>
    <m/>
  </r>
  <r>
    <x v="34"/>
    <d v="2021-11-30T00:00:00"/>
    <s v="Joint Tenant"/>
    <x v="1635"/>
    <n v="-250"/>
    <x v="26"/>
    <m/>
    <m/>
    <m/>
    <n v="250"/>
    <b v="0"/>
    <m/>
    <m/>
    <s v="+"/>
    <x v="1525"/>
    <s v="Delete; and Source='Joint Tenant';0"/>
    <m/>
  </r>
  <r>
    <x v="34"/>
    <d v="2021-11-30T00:00:00"/>
    <s v="POWERPLUS"/>
    <x v="1687"/>
    <n v="-3506.75"/>
    <x v="26"/>
    <m/>
    <m/>
    <m/>
    <n v="3506.75"/>
    <b v="0"/>
    <m/>
    <m/>
    <s v="+"/>
    <x v="1526"/>
    <s v="Manual"/>
    <m/>
  </r>
  <r>
    <x v="34"/>
    <d v="2021-11-30T00:00:00"/>
    <s v="POWERPLUS"/>
    <x v="1688"/>
    <n v="-3456.76"/>
    <x v="26"/>
    <m/>
    <m/>
    <m/>
    <n v="3456.76"/>
    <b v="0"/>
    <m/>
    <m/>
    <s v="+"/>
    <x v="1526"/>
    <s v="Manual"/>
    <m/>
  </r>
  <r>
    <x v="34"/>
    <d v="2021-11-30T00:00:00"/>
    <s v="POWERPLUS"/>
    <x v="34"/>
    <n v="558.64"/>
    <x v="12"/>
    <m/>
    <m/>
    <m/>
    <n v="558.64"/>
    <b v="0"/>
    <m/>
    <m/>
    <s v="-"/>
    <x v="34"/>
    <s v="Create Rule; and Description='Target';Target"/>
    <m/>
  </r>
  <r>
    <x v="34"/>
    <d v="2021-11-30T00:00:00"/>
    <s v="Contributory"/>
    <x v="1300"/>
    <n v="-231"/>
    <x v="26"/>
    <m/>
    <m/>
    <m/>
    <n v="231"/>
    <b v="0"/>
    <m/>
    <m/>
    <s v="+"/>
    <x v="1231"/>
    <s v="Manual"/>
    <m/>
  </r>
  <r>
    <x v="34"/>
    <d v="2021-11-30T00:00:00"/>
    <s v="Contributory"/>
    <x v="1300"/>
    <n v="-231"/>
    <x v="26"/>
    <m/>
    <m/>
    <m/>
    <n v="231"/>
    <b v="0"/>
    <m/>
    <m/>
    <s v="+"/>
    <x v="1231"/>
    <s v="Manual"/>
    <m/>
  </r>
  <r>
    <x v="34"/>
    <d v="2021-11-30T00:00:00"/>
    <s v="Jeff IRA"/>
    <x v="1637"/>
    <n v="-250"/>
    <x v="26"/>
    <m/>
    <m/>
    <m/>
    <n v="250"/>
    <b v="0"/>
    <m/>
    <m/>
    <s v="+"/>
    <x v="1527"/>
    <s v="Manual"/>
    <m/>
  </r>
  <r>
    <x v="34"/>
    <d v="2021-11-30T00:00:00"/>
    <s v="Jeff IRA"/>
    <x v="1637"/>
    <n v="-250"/>
    <x v="26"/>
    <m/>
    <m/>
    <m/>
    <n v="250"/>
    <b v="0"/>
    <m/>
    <m/>
    <s v="+"/>
    <x v="1527"/>
    <s v="Manual"/>
    <m/>
  </r>
  <r>
    <x v="34"/>
    <d v="2021-11-30T00:00:00"/>
    <s v="Cash Rewards Visa Signature"/>
    <x v="1689"/>
    <n v="20.65"/>
    <x v="26"/>
    <m/>
    <m/>
    <m/>
    <n v="20.65"/>
    <b v="0"/>
    <m/>
    <m/>
    <s v="-"/>
    <x v="1569"/>
    <s v="Manual"/>
    <m/>
  </r>
  <r>
    <x v="34"/>
    <d v="2021-11-30T00:00:00"/>
    <s v="POWERPLUS"/>
    <x v="952"/>
    <n v="100"/>
    <x v="26"/>
    <m/>
    <m/>
    <m/>
    <n v="100"/>
    <b v="0"/>
    <m/>
    <m/>
    <s v="-"/>
    <x v="915"/>
    <s v="Create Rule; and Description='To Share 12';Delete"/>
    <m/>
  </r>
  <r>
    <x v="34"/>
    <d v="2021-11-30T00:00:00"/>
    <s v="Cash Rewards Visa Signature"/>
    <x v="1690"/>
    <n v="69.28"/>
    <x v="10"/>
    <m/>
    <m/>
    <m/>
    <n v="69.28"/>
    <b v="0"/>
    <m/>
    <m/>
    <s v="-"/>
    <x v="1570"/>
    <s v="Manual"/>
    <m/>
  </r>
  <r>
    <x v="34"/>
    <d v="2021-11-30T00:00:00"/>
    <s v="Cash Rewards Visa Signature"/>
    <x v="1338"/>
    <n v="129.24"/>
    <x v="5"/>
    <m/>
    <m/>
    <m/>
    <n v="129.24"/>
    <b v="0"/>
    <m/>
    <m/>
    <s v="-"/>
    <x v="1265"/>
    <s v="Manual"/>
    <m/>
  </r>
  <r>
    <x v="34"/>
    <d v="2021-11-30T00:00:00"/>
    <s v="Cash Rewards Visa Signature"/>
    <x v="53"/>
    <n v="124"/>
    <x v="26"/>
    <m/>
    <m/>
    <m/>
    <n v="124"/>
    <b v="0"/>
    <m/>
    <m/>
    <s v="-"/>
    <x v="53"/>
    <s v="Create Rule; and Description='Total Wine and More';Groceries"/>
    <m/>
  </r>
  <r>
    <x v="34"/>
    <d v="2021-11-30T00:00:00"/>
    <s v="Cash Rewards Visa Signature"/>
    <x v="100"/>
    <n v="160.08000000000001"/>
    <x v="5"/>
    <m/>
    <m/>
    <m/>
    <n v="160.08000000000001"/>
    <b v="0"/>
    <m/>
    <m/>
    <s v="-"/>
    <x v="100"/>
    <s v="Create Rule; and Description like '%Trader Joe%';Groceries"/>
    <m/>
  </r>
  <r>
    <x v="34"/>
    <d v="2021-11-30T00:00:00"/>
    <s v="POWERPLUS"/>
    <x v="1691"/>
    <n v="5000"/>
    <x v="26"/>
    <m/>
    <m/>
    <m/>
    <n v="5000"/>
    <b v="0"/>
    <m/>
    <m/>
    <s v="-"/>
    <x v="1535"/>
    <s v="Manual"/>
    <m/>
  </r>
  <r>
    <x v="34"/>
    <d v="2021-11-30T00:00:00"/>
    <s v="Cash Rewards Visa Signature"/>
    <x v="1692"/>
    <n v="26.37"/>
    <x v="26"/>
    <m/>
    <m/>
    <m/>
    <n v="26.37"/>
    <b v="0"/>
    <m/>
    <m/>
    <s v="-"/>
    <x v="1571"/>
    <s v="Manual"/>
    <m/>
  </r>
  <r>
    <x v="34"/>
    <d v="2021-11-30T00:00:00"/>
    <s v="Cash Rewards Visa Signature"/>
    <x v="1693"/>
    <n v="9.9600000000000009"/>
    <x v="26"/>
    <m/>
    <m/>
    <m/>
    <n v="9.9600000000000009"/>
    <b v="0"/>
    <m/>
    <m/>
    <s v="-"/>
    <x v="1572"/>
    <s v="Manual"/>
    <m/>
  </r>
  <r>
    <x v="34"/>
    <d v="2021-11-30T00:00:00"/>
    <s v="Cash Rewards Visa Signature"/>
    <x v="1693"/>
    <n v="11.96"/>
    <x v="26"/>
    <m/>
    <m/>
    <m/>
    <n v="11.96"/>
    <b v="0"/>
    <m/>
    <m/>
    <s v="-"/>
    <x v="1572"/>
    <s v="Manual"/>
    <m/>
  </r>
  <r>
    <x v="34"/>
    <d v="2021-11-30T00:00:00"/>
    <s v="Joint Tenant"/>
    <x v="611"/>
    <n v="-5.93"/>
    <x v="26"/>
    <m/>
    <m/>
    <m/>
    <n v="5.93"/>
    <b v="0"/>
    <m/>
    <m/>
    <s v="+"/>
    <x v="590"/>
    <s v="Delete; and Source='Joint Tenant';0"/>
    <m/>
  </r>
  <r>
    <x v="34"/>
    <d v="2021-11-30T00:00:00"/>
    <s v="Cash Rewards Visa Signature"/>
    <x v="382"/>
    <n v="54.99"/>
    <x v="28"/>
    <m/>
    <m/>
    <m/>
    <n v="54.99"/>
    <b v="0"/>
    <m/>
    <m/>
    <s v="-"/>
    <x v="369"/>
    <s v="Manual"/>
    <m/>
  </r>
  <r>
    <x v="34"/>
    <d v="2021-11-30T00:00:00"/>
    <s v="Cash Rewards Visa Signature"/>
    <x v="1694"/>
    <n v="6"/>
    <x v="26"/>
    <m/>
    <m/>
    <m/>
    <n v="6"/>
    <b v="0"/>
    <m/>
    <m/>
    <s v="-"/>
    <x v="1573"/>
    <s v="Create Rule; and Description Like '%VENTRA VENDING%';Transportation"/>
    <m/>
  </r>
  <r>
    <x v="34"/>
    <d v="2021-11-30T00:00:00"/>
    <s v="Cash Rewards Visa Signature"/>
    <x v="1695"/>
    <n v="6"/>
    <x v="26"/>
    <m/>
    <m/>
    <m/>
    <n v="6"/>
    <b v="0"/>
    <m/>
    <m/>
    <s v="-"/>
    <x v="1574"/>
    <s v="Create Rule; and Description Like '%VENTRA VENDING%';Transportation"/>
    <m/>
  </r>
  <r>
    <x v="34"/>
    <d v="2021-11-30T00:00:00"/>
    <s v="Cash Rewards Visa Signature"/>
    <x v="55"/>
    <n v="17.98"/>
    <x v="5"/>
    <m/>
    <m/>
    <m/>
    <n v="17.98"/>
    <b v="0"/>
    <m/>
    <m/>
    <s v="-"/>
    <x v="55"/>
    <s v="Create Rule; and Description='Walgreens';Shopping"/>
    <m/>
  </r>
  <r>
    <x v="34"/>
    <d v="2021-11-30T00:00:00"/>
    <s v="Cash Rewards Visa Signature"/>
    <x v="55"/>
    <n v="8.81"/>
    <x v="5"/>
    <m/>
    <m/>
    <m/>
    <n v="8.81"/>
    <b v="0"/>
    <m/>
    <m/>
    <s v="-"/>
    <x v="55"/>
    <s v="Create Rule; and Description='Walgreens';Shopping"/>
    <m/>
  </r>
  <r>
    <x v="34"/>
    <d v="2021-11-30T00:00:00"/>
    <s v="Cash Rewards Visa Signature"/>
    <x v="1696"/>
    <n v="7.52"/>
    <x v="26"/>
    <m/>
    <m/>
    <m/>
    <n v="7.52"/>
    <b v="0"/>
    <m/>
    <m/>
    <s v="-"/>
    <x v="1575"/>
    <s v="Manual"/>
    <m/>
  </r>
  <r>
    <x v="34"/>
    <d v="2021-11-30T00:00:00"/>
    <s v="Cash Rewards Visa Signature"/>
    <x v="1697"/>
    <n v="5.14"/>
    <x v="26"/>
    <m/>
    <m/>
    <m/>
    <n v="5.14"/>
    <b v="0"/>
    <m/>
    <m/>
    <s v="-"/>
    <x v="1576"/>
    <s v="Manual"/>
    <m/>
  </r>
  <r>
    <x v="34"/>
    <d v="2021-11-30T00:00:00"/>
    <s v="Cash Rewards Visa Signature"/>
    <x v="1698"/>
    <n v="725.72"/>
    <x v="26"/>
    <m/>
    <m/>
    <m/>
    <n v="725.72"/>
    <b v="0"/>
    <m/>
    <m/>
    <s v="-"/>
    <x v="1577"/>
    <s v="Manual"/>
    <m/>
  </r>
  <r>
    <x v="34"/>
    <d v="2021-11-30T00:00:00"/>
    <s v="Cash Rewards Visa Signature"/>
    <x v="1318"/>
    <n v="-4314"/>
    <x v="26"/>
    <m/>
    <m/>
    <m/>
    <n v="4314"/>
    <b v="0"/>
    <m/>
    <m/>
    <s v="+"/>
    <x v="1246"/>
    <s v="Create Rule; and Description='Credit Card Payment Received PAYMENT THANK YOU';Delete"/>
    <m/>
  </r>
  <r>
    <x v="34"/>
    <d v="2021-11-30T00:00:00"/>
    <s v="Cash Rewards Visa Signature"/>
    <x v="936"/>
    <n v="-3701.46"/>
    <x v="26"/>
    <m/>
    <m/>
    <m/>
    <n v="3701.46"/>
    <b v="0"/>
    <m/>
    <m/>
    <s v="+"/>
    <x v="900"/>
    <s v="Delete; and Description Like '%PAYMENT THANK YOU%';0"/>
    <m/>
  </r>
  <r>
    <x v="34"/>
    <d v="2021-11-30T00:00:00"/>
    <s v="POWERPLUS"/>
    <x v="1319"/>
    <n v="4314"/>
    <x v="26"/>
    <m/>
    <m/>
    <m/>
    <n v="4314"/>
    <b v="0"/>
    <m/>
    <m/>
    <s v="-"/>
    <x v="1247"/>
    <s v="Create Rule; and Description='Withdrawal Home payment to card XX91 Withdrawal Home payment to card 979181';Delete"/>
    <m/>
  </r>
  <r>
    <x v="34"/>
    <d v="2021-11-30T00:00:00"/>
    <s v="POWERPLUS"/>
    <x v="1319"/>
    <n v="3701.46"/>
    <x v="26"/>
    <m/>
    <m/>
    <m/>
    <n v="3701.46"/>
    <b v="0"/>
    <m/>
    <m/>
    <s v="-"/>
    <x v="1247"/>
    <s v="Create Rule; and Description='Withdrawal Home payment to card XX91 Withdrawal Home payment to card 979181';Delete"/>
    <m/>
  </r>
  <r>
    <x v="35"/>
    <d v="2021-12-01T00:00:00"/>
    <s v="30 YR FIXED"/>
    <x v="935"/>
    <n v="-751.64"/>
    <x v="3"/>
    <m/>
    <m/>
    <m/>
    <n v="751.64"/>
    <b v="0"/>
    <m/>
    <m/>
    <s v="+"/>
    <x v="899"/>
    <s v="Create Rule; and Description='PAYMENT';Delete"/>
    <m/>
  </r>
  <r>
    <x v="35"/>
    <d v="2021-12-01T00:00:00"/>
    <s v="Discover More Card"/>
    <x v="598"/>
    <n v="4.28"/>
    <x v="10"/>
    <m/>
    <m/>
    <m/>
    <n v="4.28"/>
    <b v="0"/>
    <m/>
    <m/>
    <s v="-"/>
    <x v="579"/>
    <s v="Create Rule; and Description='Amazon Music';Entertainment"/>
    <m/>
  </r>
  <r>
    <x v="35"/>
    <d v="2021-12-01T00:00:00"/>
    <s v="POWERPLUS"/>
    <x v="455"/>
    <n v="9.99"/>
    <x v="3"/>
    <m/>
    <m/>
    <m/>
    <n v="9.99"/>
    <b v="0"/>
    <m/>
    <m/>
    <s v="-"/>
    <x v="439"/>
    <s v="Manual"/>
    <m/>
  </r>
  <r>
    <x v="35"/>
    <d v="2021-12-01T00:00:00"/>
    <s v="POWERPLUS"/>
    <x v="1334"/>
    <n v="3003.94"/>
    <x v="6"/>
    <m/>
    <m/>
    <m/>
    <n v="3003.94"/>
    <b v="0"/>
    <m/>
    <m/>
    <s v="-"/>
    <x v="1261"/>
    <s v="Create Rule; and Description='Baxter Credit Union';Rent"/>
    <m/>
  </r>
  <r>
    <x v="35"/>
    <d v="2021-12-01T00:00:00"/>
    <s v="POWERPLUS"/>
    <x v="1335"/>
    <n v="200"/>
    <x v="26"/>
    <m/>
    <m/>
    <m/>
    <n v="200"/>
    <b v="0"/>
    <m/>
    <m/>
    <s v="-"/>
    <x v="1262"/>
    <s v="Create Rule; and Description Like '%College Savings%';College Savings"/>
    <m/>
  </r>
  <r>
    <x v="35"/>
    <d v="2021-12-01T00:00:00"/>
    <s v="Cash Rewards Visa Signature"/>
    <x v="1225"/>
    <n v="33.75"/>
    <x v="26"/>
    <m/>
    <m/>
    <m/>
    <n v="33.75"/>
    <b v="0"/>
    <m/>
    <m/>
    <s v="-"/>
    <x v="1163"/>
    <s v="Manual"/>
    <m/>
  </r>
  <r>
    <x v="35"/>
    <d v="2021-12-01T00:00:00"/>
    <s v="Jeff IRA"/>
    <x v="1383"/>
    <n v="-5"/>
    <x v="26"/>
    <m/>
    <m/>
    <m/>
    <n v="5"/>
    <b v="0"/>
    <m/>
    <m/>
    <s v="+"/>
    <x v="1303"/>
    <s v="Manual"/>
    <m/>
  </r>
  <r>
    <x v="35"/>
    <d v="2021-12-01T00:00:00"/>
    <s v="HIGHLANDER"/>
    <x v="976"/>
    <n v="-591.94000000000005"/>
    <x v="26"/>
    <m/>
    <m/>
    <m/>
    <n v="591.94000000000005"/>
    <b v="0"/>
    <m/>
    <m/>
    <s v="+"/>
    <x v="936"/>
    <s v="Create Rule; and Description='From Share 70';Delete"/>
    <m/>
  </r>
  <r>
    <x v="35"/>
    <d v="2021-12-01T00:00:00"/>
    <s v="Joint Tenant"/>
    <x v="187"/>
    <n v="-30.26"/>
    <x v="26"/>
    <m/>
    <m/>
    <m/>
    <n v="30.26"/>
    <b v="0"/>
    <m/>
    <m/>
    <s v="+"/>
    <x v="186"/>
    <s v="Create Rule; and Description='INTEL CORP';Dividend"/>
    <m/>
  </r>
  <r>
    <x v="35"/>
    <d v="2021-12-01T00:00:00"/>
    <s v="POWERPLUS"/>
    <x v="157"/>
    <n v="16.190000000000001"/>
    <x v="8"/>
    <m/>
    <m/>
    <m/>
    <n v="16.190000000000001"/>
    <b v="0"/>
    <m/>
    <m/>
    <s v="-"/>
    <x v="156"/>
    <s v="Create Rule; and Description Like '%PayPal%';Shopping"/>
    <m/>
  </r>
  <r>
    <x v="35"/>
    <d v="2021-12-01T00:00:00"/>
    <s v="Cash Rewards Visa Signature"/>
    <x v="414"/>
    <n v="39.97"/>
    <x v="8"/>
    <m/>
    <m/>
    <m/>
    <n v="39.97"/>
    <b v="0"/>
    <m/>
    <m/>
    <s v="-"/>
    <x v="400"/>
    <s v="Create Rule; and Description='Pottery Barn';Shopping"/>
    <m/>
  </r>
  <r>
    <x v="35"/>
    <d v="2021-12-01T00:00:00"/>
    <s v="Cash Rewards Visa Signature"/>
    <x v="414"/>
    <n v="241.98"/>
    <x v="8"/>
    <m/>
    <m/>
    <m/>
    <n v="241.98"/>
    <b v="0"/>
    <m/>
    <m/>
    <s v="-"/>
    <x v="400"/>
    <s v="Create Rule; and Description='Pottery Barn';Shopping"/>
    <m/>
  </r>
  <r>
    <x v="35"/>
    <d v="2021-12-01T00:00:00"/>
    <s v="30 YR FIXED"/>
    <x v="1085"/>
    <n v="-431"/>
    <x v="26"/>
    <m/>
    <m/>
    <m/>
    <n v="431"/>
    <b v="0"/>
    <m/>
    <m/>
    <s v="+"/>
    <x v="1034"/>
    <s v="Create Rule; and Description='Principal Curtailment';Delete"/>
    <m/>
  </r>
  <r>
    <x v="35"/>
    <d v="2021-12-01T00:00:00"/>
    <s v="Joint Tenant"/>
    <x v="741"/>
    <n v="-831.95"/>
    <x v="26"/>
    <m/>
    <m/>
    <m/>
    <n v="831.95"/>
    <b v="0"/>
    <m/>
    <m/>
    <s v="+"/>
    <x v="714"/>
    <s v="Delete; and Source='Joint Tenant';0"/>
    <m/>
  </r>
  <r>
    <x v="35"/>
    <d v="2021-12-01T00:00:00"/>
    <s v="POWERPLUS"/>
    <x v="979"/>
    <n v="618.65"/>
    <x v="26"/>
    <m/>
    <m/>
    <m/>
    <n v="618.65"/>
    <b v="0"/>
    <m/>
    <m/>
    <s v="-"/>
    <x v="939"/>
    <s v="Create Rule; and Description Like '%To Loan 02%';Car Loan"/>
    <m/>
  </r>
  <r>
    <x v="35"/>
    <d v="2021-12-02T00:00:00"/>
    <s v="Cash Rewards Visa Signature"/>
    <x v="936"/>
    <n v="-976.06"/>
    <x v="26"/>
    <m/>
    <m/>
    <m/>
    <n v="976.06"/>
    <b v="0"/>
    <m/>
    <m/>
    <s v="+"/>
    <x v="900"/>
    <s v="Delete; and Description Like '%PAYMENT THANK YOU%';0"/>
    <m/>
  </r>
  <r>
    <x v="35"/>
    <d v="2021-12-02T00:00:00"/>
    <s v="POWERPLUS"/>
    <x v="1319"/>
    <n v="976.06"/>
    <x v="26"/>
    <m/>
    <m/>
    <m/>
    <n v="976.06"/>
    <b v="0"/>
    <m/>
    <m/>
    <s v="-"/>
    <x v="1247"/>
    <s v="Create Rule; and Description='Withdrawal Home payment to card XX91 Withdrawal Home payment to card 979181';Delete"/>
    <m/>
  </r>
  <r>
    <x v="35"/>
    <d v="2021-12-02T00:00:00"/>
    <s v="Cash Rewards Visa Signature"/>
    <x v="0"/>
    <n v="16.100000000000001"/>
    <x v="0"/>
    <m/>
    <m/>
    <m/>
    <n v="16.100000000000001"/>
    <b v="0"/>
    <m/>
    <m/>
    <s v="-"/>
    <x v="0"/>
    <s v="Create Rule; and Description='Amazon';Amazon"/>
    <m/>
  </r>
  <r>
    <x v="35"/>
    <d v="2021-12-02T00:00:00"/>
    <s v="Cash Rewards Visa Signature"/>
    <x v="0"/>
    <n v="30.05"/>
    <x v="0"/>
    <m/>
    <m/>
    <m/>
    <n v="30.05"/>
    <b v="0"/>
    <m/>
    <m/>
    <s v="-"/>
    <x v="0"/>
    <s v="Create Rule; and Description='Amazon';Amazon"/>
    <m/>
  </r>
  <r>
    <x v="35"/>
    <d v="2021-12-02T00:00:00"/>
    <s v="Joint Tenant"/>
    <x v="187"/>
    <n v="30.26"/>
    <x v="26"/>
    <m/>
    <m/>
    <m/>
    <n v="30.26"/>
    <b v="0"/>
    <m/>
    <m/>
    <s v="-"/>
    <x v="186"/>
    <s v="Create Rule; and Description='INTEL CORP';Dividend"/>
    <m/>
  </r>
  <r>
    <x v="35"/>
    <d v="2021-12-02T00:00:00"/>
    <s v="Cash Rewards Visa Signature"/>
    <x v="1699"/>
    <n v="97.19"/>
    <x v="26"/>
    <m/>
    <m/>
    <m/>
    <n v="97.19"/>
    <b v="0"/>
    <m/>
    <m/>
    <s v="-"/>
    <x v="1578"/>
    <s v="Manual"/>
    <m/>
  </r>
  <r>
    <x v="35"/>
    <d v="2021-12-02T00:00:00"/>
    <s v="Discover More Card"/>
    <x v="1293"/>
    <n v="119.95"/>
    <x v="26"/>
    <m/>
    <m/>
    <m/>
    <n v="119.95"/>
    <b v="0"/>
    <m/>
    <m/>
    <s v="-"/>
    <x v="1225"/>
    <s v="Manual"/>
    <m/>
  </r>
  <r>
    <x v="35"/>
    <d v="2021-12-03T00:00:00"/>
    <s v="Cash Rewards Visa Signature"/>
    <x v="1222"/>
    <n v="18"/>
    <x v="26"/>
    <m/>
    <m/>
    <m/>
    <n v="18"/>
    <b v="0"/>
    <m/>
    <m/>
    <s v="-"/>
    <x v="1160"/>
    <s v="Create Rule; and Description Like '%HBRSUBSCRIPTION%';Entertainment"/>
    <m/>
  </r>
  <r>
    <x v="35"/>
    <d v="2021-12-03T00:00:00"/>
    <s v="Cash Rewards Visa Signature"/>
    <x v="823"/>
    <n v="47.48"/>
    <x v="2"/>
    <m/>
    <m/>
    <m/>
    <n v="47.48"/>
    <b v="0"/>
    <m/>
    <m/>
    <s v="-"/>
    <x v="792"/>
    <s v="Create Rule; and Description='Kwik Trip';Transportation"/>
    <m/>
  </r>
  <r>
    <x v="35"/>
    <d v="2021-12-03T00:00:00"/>
    <s v="Cash Rewards Visa Signature"/>
    <x v="55"/>
    <n v="28.39"/>
    <x v="5"/>
    <m/>
    <m/>
    <m/>
    <n v="28.39"/>
    <b v="0"/>
    <m/>
    <m/>
    <s v="-"/>
    <x v="55"/>
    <s v="Create Rule; and Description='Walgreens';Shopping"/>
    <m/>
  </r>
  <r>
    <x v="35"/>
    <d v="2021-12-04T00:00:00"/>
    <s v="Discover More Card"/>
    <x v="0"/>
    <n v="18.899999999999999"/>
    <x v="0"/>
    <m/>
    <m/>
    <m/>
    <n v="18.899999999999999"/>
    <b v="0"/>
    <m/>
    <m/>
    <s v="-"/>
    <x v="0"/>
    <s v="Create Rule; and Description='Amazon';Amazon"/>
    <m/>
  </r>
  <r>
    <x v="35"/>
    <d v="2021-12-04T00:00:00"/>
    <s v="Discover More Card"/>
    <x v="0"/>
    <n v="24.64"/>
    <x v="0"/>
    <m/>
    <m/>
    <m/>
    <n v="24.64"/>
    <b v="0"/>
    <m/>
    <m/>
    <s v="-"/>
    <x v="0"/>
    <s v="Create Rule; and Description='Amazon';Amazon"/>
    <m/>
  </r>
  <r>
    <x v="35"/>
    <d v="2021-12-05T00:00:00"/>
    <s v="Cash Rewards Visa Signature"/>
    <x v="1597"/>
    <n v="25.5"/>
    <x v="26"/>
    <m/>
    <m/>
    <m/>
    <n v="25.5"/>
    <b v="0"/>
    <m/>
    <m/>
    <s v="-"/>
    <x v="1494"/>
    <s v="Manual"/>
    <m/>
  </r>
  <r>
    <x v="35"/>
    <d v="2021-12-05T00:00:00"/>
    <s v="Cash Rewards Visa Signature"/>
    <x v="1700"/>
    <n v="91.82"/>
    <x v="26"/>
    <m/>
    <m/>
    <m/>
    <n v="91.82"/>
    <b v="0"/>
    <m/>
    <m/>
    <s v="-"/>
    <x v="1579"/>
    <s v="Manual"/>
    <m/>
  </r>
  <r>
    <x v="35"/>
    <d v="2021-12-05T00:00:00"/>
    <s v="Cash Rewards Visa Signature"/>
    <x v="486"/>
    <n v="21.46"/>
    <x v="26"/>
    <m/>
    <m/>
    <m/>
    <n v="21.46"/>
    <b v="0"/>
    <m/>
    <m/>
    <s v="-"/>
    <x v="469"/>
    <s v="Manual"/>
    <m/>
  </r>
  <r>
    <x v="35"/>
    <d v="2021-12-06T00:00:00"/>
    <s v="POWERPLUS"/>
    <x v="1328"/>
    <n v="276.86"/>
    <x v="26"/>
    <m/>
    <m/>
    <m/>
    <n v="276.86"/>
    <b v="0"/>
    <m/>
    <m/>
    <s v="-"/>
    <x v="1255"/>
    <s v="Manual"/>
    <m/>
  </r>
  <r>
    <x v="35"/>
    <d v="2021-12-06T00:00:00"/>
    <s v="Cash Rewards Visa Signature"/>
    <x v="176"/>
    <n v="478.8"/>
    <x v="26"/>
    <m/>
    <m/>
    <m/>
    <n v="478.8"/>
    <b v="0"/>
    <m/>
    <m/>
    <s v="-"/>
    <x v="175"/>
    <s v="Create Rule; and Description='Delta';Travel"/>
    <m/>
  </r>
  <r>
    <x v="35"/>
    <d v="2021-12-06T00:00:00"/>
    <s v="POWERPLUS"/>
    <x v="308"/>
    <n v="255"/>
    <x v="8"/>
    <m/>
    <m/>
    <m/>
    <n v="255"/>
    <b v="0"/>
    <m/>
    <m/>
    <s v="-"/>
    <x v="300"/>
    <s v="Create Rule; and Description='Nordstrom';Shopping"/>
    <m/>
  </r>
  <r>
    <x v="35"/>
    <d v="2021-12-06T00:00:00"/>
    <s v="POWERPLUS"/>
    <x v="157"/>
    <n v="10"/>
    <x v="8"/>
    <m/>
    <m/>
    <m/>
    <n v="10"/>
    <b v="0"/>
    <m/>
    <m/>
    <s v="-"/>
    <x v="156"/>
    <s v="Create Rule; and Description Like '%PayPal%';Shopping"/>
    <m/>
  </r>
  <r>
    <x v="35"/>
    <d v="2021-12-07T00:00:00"/>
    <s v="Joint Tenant"/>
    <x v="165"/>
    <n v="-1622.1"/>
    <x v="26"/>
    <m/>
    <m/>
    <m/>
    <n v="1622.1"/>
    <b v="0"/>
    <m/>
    <m/>
    <s v="+"/>
    <x v="164"/>
    <s v="Create Rule; and Description='APPLE INC';Dividend"/>
    <m/>
  </r>
  <r>
    <x v="35"/>
    <d v="2021-12-07T00:00:00"/>
    <s v="Cash Rewards Visa Signature"/>
    <x v="60"/>
    <n v="5.34"/>
    <x v="26"/>
    <m/>
    <m/>
    <m/>
    <n v="5.34"/>
    <b v="0"/>
    <m/>
    <m/>
    <s v="-"/>
    <x v="60"/>
    <s v="Create Rule; and Description='Home Depot';House Maintenance"/>
    <m/>
  </r>
  <r>
    <x v="35"/>
    <d v="2021-12-07T00:00:00"/>
    <s v="POWERPLUS"/>
    <x v="1321"/>
    <n v="528.79999999999995"/>
    <x v="26"/>
    <m/>
    <m/>
    <m/>
    <n v="528.79999999999995"/>
    <b v="0"/>
    <m/>
    <m/>
    <s v="-"/>
    <x v="1249"/>
    <s v="Create Rule; and Description Like '%MHCHILDCARELLC%';Day Care"/>
    <m/>
  </r>
  <r>
    <x v="35"/>
    <d v="2021-12-07T00:00:00"/>
    <s v="Joint Tenant"/>
    <x v="1396"/>
    <n v="-1.05"/>
    <x v="26"/>
    <m/>
    <m/>
    <m/>
    <n v="1.05"/>
    <b v="0"/>
    <m/>
    <m/>
    <s v="+"/>
    <x v="1315"/>
    <s v="Delete; and Source='Joint Tenant';0"/>
    <m/>
  </r>
  <r>
    <x v="35"/>
    <d v="2021-12-07T00:00:00"/>
    <s v="Joint Tenant"/>
    <x v="1681"/>
    <n v="200"/>
    <x v="26"/>
    <m/>
    <m/>
    <m/>
    <n v="200"/>
    <b v="0"/>
    <m/>
    <m/>
    <s v="-"/>
    <x v="1563"/>
    <s v="Delete; and Source='Joint Tenant';0"/>
    <m/>
  </r>
  <r>
    <x v="35"/>
    <d v="2021-12-07T00:00:00"/>
    <s v="Joint Tenant"/>
    <x v="138"/>
    <n v="-33.25"/>
    <x v="26"/>
    <m/>
    <m/>
    <m/>
    <n v="33.25"/>
    <b v="0"/>
    <m/>
    <m/>
    <s v="+"/>
    <x v="137"/>
    <s v="Create Rule; and Description='VISA INC CLASS A';Dividend"/>
    <m/>
  </r>
  <r>
    <x v="35"/>
    <d v="2021-12-07T00:00:00"/>
    <s v="POWERPLUS"/>
    <x v="30"/>
    <n v="129.68"/>
    <x v="11"/>
    <m/>
    <m/>
    <m/>
    <n v="129.68"/>
    <b v="0"/>
    <m/>
    <m/>
    <s v="-"/>
    <x v="30"/>
    <s v="Create Rule; and Description='Xcel Energy';Utilities"/>
    <m/>
  </r>
  <r>
    <x v="35"/>
    <d v="2021-12-08T00:00:00"/>
    <s v="POWERPLUS"/>
    <x v="1328"/>
    <n v="2.79"/>
    <x v="26"/>
    <m/>
    <m/>
    <m/>
    <n v="2.79"/>
    <b v="0"/>
    <m/>
    <m/>
    <s v="-"/>
    <x v="1255"/>
    <s v="Manual"/>
    <m/>
  </r>
  <r>
    <x v="35"/>
    <d v="2021-12-08T00:00:00"/>
    <s v="Cash Rewards Visa Signature"/>
    <x v="1121"/>
    <n v="28"/>
    <x v="8"/>
    <m/>
    <m/>
    <m/>
    <n v="28"/>
    <b v="0"/>
    <m/>
    <m/>
    <s v="-"/>
    <x v="1067"/>
    <s v="Create Rule; and Description Like '%Kohl%';Shopping"/>
    <m/>
  </r>
  <r>
    <x v="35"/>
    <d v="2021-12-08T00:00:00"/>
    <s v="Joint Tenant"/>
    <x v="138"/>
    <n v="33.25"/>
    <x v="26"/>
    <m/>
    <m/>
    <m/>
    <n v="33.25"/>
    <b v="0"/>
    <m/>
    <m/>
    <s v="-"/>
    <x v="137"/>
    <s v="Create Rule; and Description='VISA INC CLASS A';Dividend"/>
    <m/>
  </r>
  <r>
    <x v="35"/>
    <d v="2021-12-09T00:00:00"/>
    <s v="Cash Rewards Visa Signature"/>
    <x v="936"/>
    <n v="-1845.73"/>
    <x v="26"/>
    <m/>
    <m/>
    <m/>
    <n v="1845.73"/>
    <b v="0"/>
    <m/>
    <m/>
    <s v="+"/>
    <x v="900"/>
    <s v="Delete; and Description Like '%PAYMENT THANK YOU%';0"/>
    <m/>
  </r>
  <r>
    <x v="35"/>
    <d v="2021-12-09T00:00:00"/>
    <s v="POWERPLUS"/>
    <x v="1701"/>
    <n v="80.61"/>
    <x v="26"/>
    <m/>
    <m/>
    <m/>
    <n v="80.61"/>
    <b v="0"/>
    <m/>
    <m/>
    <s v="-"/>
    <x v="1580"/>
    <s v="Manual"/>
    <m/>
  </r>
  <r>
    <x v="35"/>
    <d v="2021-12-09T00:00:00"/>
    <s v="POWERPLUS"/>
    <x v="1702"/>
    <n v="125"/>
    <x v="26"/>
    <m/>
    <m/>
    <m/>
    <n v="125"/>
    <b v="0"/>
    <m/>
    <m/>
    <s v="-"/>
    <x v="1581"/>
    <s v="Manual"/>
    <m/>
  </r>
  <r>
    <x v="35"/>
    <d v="2021-12-09T00:00:00"/>
    <s v="POWERPLUS"/>
    <x v="1319"/>
    <n v="1845.73"/>
    <x v="26"/>
    <m/>
    <m/>
    <m/>
    <n v="1845.73"/>
    <b v="0"/>
    <m/>
    <m/>
    <s v="-"/>
    <x v="1247"/>
    <s v="Create Rule; and Description='Withdrawal Home payment to card XX91 Withdrawal Home payment to card 979181';Delete"/>
    <m/>
  </r>
  <r>
    <x v="35"/>
    <d v="2021-12-09T00:00:00"/>
    <s v="POWERPLUS"/>
    <x v="1703"/>
    <n v="-3042.84"/>
    <x v="26"/>
    <m/>
    <m/>
    <m/>
    <n v="3042.84"/>
    <b v="0"/>
    <m/>
    <m/>
    <s v="+"/>
    <x v="1256"/>
    <s v="Create Rule; and Description Like '%Cargill Inc Deposit CARGILL INCORPOR TYPE DIRECT DEP ID CO CARGILL INCORPOR ACH%';Inc - Britney"/>
    <m/>
  </r>
  <r>
    <x v="35"/>
    <d v="2021-12-09T00:00:00"/>
    <s v="POWERPLUS"/>
    <x v="35"/>
    <n v="-75"/>
    <x v="26"/>
    <m/>
    <m/>
    <m/>
    <n v="75"/>
    <b v="0"/>
    <m/>
    <m/>
    <s v="+"/>
    <x v="35"/>
    <s v="Create Rule; and Description='Cargill Incorpor Type';Inc - Other"/>
    <m/>
  </r>
  <r>
    <x v="35"/>
    <d v="2021-12-09T00:00:00"/>
    <s v="Cash Rewards Visa Signature"/>
    <x v="594"/>
    <n v="47"/>
    <x v="28"/>
    <m/>
    <m/>
    <m/>
    <n v="47"/>
    <b v="0"/>
    <m/>
    <m/>
    <s v="-"/>
    <x v="575"/>
    <s v="Manual"/>
    <m/>
  </r>
  <r>
    <x v="35"/>
    <d v="2021-12-09T00:00:00"/>
    <s v="POWERPLUS"/>
    <x v="157"/>
    <n v="322.11"/>
    <x v="8"/>
    <m/>
    <m/>
    <m/>
    <n v="322.11"/>
    <b v="0"/>
    <m/>
    <m/>
    <s v="-"/>
    <x v="156"/>
    <s v="Create Rule; and Description Like '%PayPal%';Shopping"/>
    <m/>
  </r>
  <r>
    <x v="35"/>
    <d v="2021-12-09T00:00:00"/>
    <s v="Cash Rewards Visa Signature"/>
    <x v="1704"/>
    <n v="41.94"/>
    <x v="26"/>
    <m/>
    <m/>
    <m/>
    <n v="41.94"/>
    <b v="0"/>
    <m/>
    <m/>
    <s v="-"/>
    <x v="1582"/>
    <s v="Manual"/>
    <m/>
  </r>
  <r>
    <x v="35"/>
    <d v="2021-12-09T00:00:00"/>
    <s v="POWERPLUS"/>
    <x v="1705"/>
    <n v="-65"/>
    <x v="26"/>
    <m/>
    <m/>
    <m/>
    <n v="65"/>
    <b v="0"/>
    <m/>
    <m/>
    <s v="+"/>
    <x v="1293"/>
    <s v="Create Rule; and Description Like '%PayPal%';Shopping"/>
    <m/>
  </r>
  <r>
    <x v="35"/>
    <d v="2021-12-30T00:00:00"/>
    <s v="POWERPLUS"/>
    <x v="1706"/>
    <n v="302"/>
    <x v="26"/>
    <m/>
    <m/>
    <m/>
    <n v="302"/>
    <b v="0"/>
    <m/>
    <m/>
    <s v="-"/>
    <x v="1583"/>
    <s v="Manual"/>
    <m/>
  </r>
  <r>
    <x v="35"/>
    <d v="2021-12-30T00:00:00"/>
    <s v="Cash Rewards Visa Signature"/>
    <x v="1707"/>
    <n v="95"/>
    <x v="26"/>
    <m/>
    <m/>
    <m/>
    <n v="95"/>
    <b v="0"/>
    <m/>
    <m/>
    <s v="-"/>
    <x v="1584"/>
    <s v="Manual"/>
    <m/>
  </r>
  <r>
    <x v="35"/>
    <d v="2021-12-30T00:00:00"/>
    <s v="Discover More Card"/>
    <x v="0"/>
    <n v="69.95"/>
    <x v="0"/>
    <m/>
    <m/>
    <m/>
    <n v="69.95"/>
    <b v="0"/>
    <m/>
    <m/>
    <s v="-"/>
    <x v="0"/>
    <s v="Create Rule; and Description='Amazon';Amazon"/>
    <m/>
  </r>
  <r>
    <x v="35"/>
    <d v="2021-12-30T00:00:00"/>
    <s v="Cash Rewards Visa Signature"/>
    <x v="0"/>
    <n v="30.9"/>
    <x v="0"/>
    <m/>
    <m/>
    <m/>
    <n v="30.9"/>
    <b v="0"/>
    <m/>
    <m/>
    <s v="-"/>
    <x v="0"/>
    <s v="Create Rule; and Description='Amazon';Amazon"/>
    <m/>
  </r>
  <r>
    <x v="35"/>
    <d v="2021-12-30T00:00:00"/>
    <s v="Discover More Card"/>
    <x v="0"/>
    <n v="9.65"/>
    <x v="0"/>
    <m/>
    <m/>
    <m/>
    <n v="9.65"/>
    <b v="0"/>
    <m/>
    <m/>
    <s v="-"/>
    <x v="0"/>
    <s v="Create Rule; and Description='Amazon';Amazon"/>
    <m/>
  </r>
  <r>
    <x v="35"/>
    <d v="2021-12-30T00:00:00"/>
    <s v="Cash Rewards Visa Signature"/>
    <x v="0"/>
    <n v="32.200000000000003"/>
    <x v="0"/>
    <m/>
    <m/>
    <m/>
    <n v="32.200000000000003"/>
    <b v="0"/>
    <m/>
    <m/>
    <s v="-"/>
    <x v="0"/>
    <s v="Create Rule; and Description='Amazon';Amazon"/>
    <m/>
  </r>
  <r>
    <x v="35"/>
    <d v="2021-12-30T00:00:00"/>
    <s v="Cash Rewards Visa Signature"/>
    <x v="0"/>
    <n v="34.950000000000003"/>
    <x v="0"/>
    <m/>
    <m/>
    <m/>
    <n v="34.950000000000003"/>
    <b v="0"/>
    <m/>
    <m/>
    <s v="-"/>
    <x v="0"/>
    <s v="Create Rule; and Description='Amazon';Amazon"/>
    <m/>
  </r>
  <r>
    <x v="35"/>
    <d v="2021-12-30T00:00:00"/>
    <s v="Discover More Card"/>
    <x v="0"/>
    <n v="20.23"/>
    <x v="0"/>
    <m/>
    <m/>
    <m/>
    <n v="20.23"/>
    <b v="0"/>
    <m/>
    <m/>
    <s v="-"/>
    <x v="0"/>
    <s v="Create Rule; and Description='Amazon';Amazon"/>
    <m/>
  </r>
  <r>
    <x v="35"/>
    <d v="2021-12-30T00:00:00"/>
    <s v="Discover More Card"/>
    <x v="0"/>
    <n v="27.91"/>
    <x v="0"/>
    <m/>
    <m/>
    <m/>
    <n v="27.91"/>
    <b v="0"/>
    <m/>
    <m/>
    <s v="-"/>
    <x v="0"/>
    <s v="Create Rule; and Description='Amazon';Amazon"/>
    <m/>
  </r>
  <r>
    <x v="35"/>
    <d v="2021-12-30T00:00:00"/>
    <s v="Discover More Card"/>
    <x v="0"/>
    <n v="32.97"/>
    <x v="0"/>
    <m/>
    <m/>
    <m/>
    <n v="32.97"/>
    <b v="0"/>
    <m/>
    <m/>
    <s v="-"/>
    <x v="0"/>
    <s v="Create Rule; and Description='Amazon';Amazon"/>
    <m/>
  </r>
  <r>
    <x v="35"/>
    <d v="2021-12-30T00:00:00"/>
    <s v="Cash Rewards Visa Signature"/>
    <x v="0"/>
    <n v="27.89"/>
    <x v="0"/>
    <m/>
    <m/>
    <m/>
    <n v="27.89"/>
    <b v="0"/>
    <m/>
    <m/>
    <s v="-"/>
    <x v="0"/>
    <s v="Create Rule; and Description='Amazon';Amazon"/>
    <m/>
  </r>
  <r>
    <x v="35"/>
    <d v="2021-12-30T00:00:00"/>
    <s v="Discover More Card"/>
    <x v="0"/>
    <n v="80.09"/>
    <x v="0"/>
    <m/>
    <m/>
    <m/>
    <n v="80.09"/>
    <b v="0"/>
    <m/>
    <m/>
    <s v="-"/>
    <x v="0"/>
    <s v="Create Rule; and Description='Amazon';Amazon"/>
    <m/>
  </r>
  <r>
    <x v="35"/>
    <d v="2021-12-30T00:00:00"/>
    <s v="Discover More Card"/>
    <x v="0"/>
    <n v="24.69"/>
    <x v="0"/>
    <m/>
    <m/>
    <m/>
    <n v="24.69"/>
    <b v="0"/>
    <m/>
    <m/>
    <s v="-"/>
    <x v="0"/>
    <s v="Create Rule; and Description='Amazon';Amazon"/>
    <m/>
  </r>
  <r>
    <x v="35"/>
    <d v="2021-12-30T00:00:00"/>
    <s v="Discover More Card"/>
    <x v="0"/>
    <n v="7.4"/>
    <x v="0"/>
    <m/>
    <m/>
    <m/>
    <n v="7.4"/>
    <b v="0"/>
    <m/>
    <m/>
    <s v="-"/>
    <x v="0"/>
    <s v="Create Rule; and Description='Amazon';Amazon"/>
    <m/>
  </r>
  <r>
    <x v="35"/>
    <d v="2021-12-30T00:00:00"/>
    <s v="Discover More Card"/>
    <x v="0"/>
    <n v="48.97"/>
    <x v="0"/>
    <m/>
    <m/>
    <m/>
    <n v="48.97"/>
    <b v="0"/>
    <m/>
    <m/>
    <s v="-"/>
    <x v="0"/>
    <s v="Create Rule; and Description='Amazon';Amazon"/>
    <m/>
  </r>
  <r>
    <x v="35"/>
    <d v="2021-12-30T00:00:00"/>
    <s v="Discover More Card"/>
    <x v="0"/>
    <n v="-26.41"/>
    <x v="0"/>
    <m/>
    <m/>
    <m/>
    <n v="26.41"/>
    <b v="0"/>
    <m/>
    <m/>
    <s v="+"/>
    <x v="0"/>
    <s v="Create Rule; and Description='Amazon';Amazon"/>
    <m/>
  </r>
  <r>
    <x v="35"/>
    <d v="2021-12-30T00:00:00"/>
    <s v="Cash Rewards Visa Signature"/>
    <x v="0"/>
    <n v="42.94"/>
    <x v="0"/>
    <m/>
    <m/>
    <m/>
    <n v="42.94"/>
    <b v="0"/>
    <m/>
    <m/>
    <s v="-"/>
    <x v="0"/>
    <s v="Create Rule; and Description='Amazon';Amazon"/>
    <m/>
  </r>
  <r>
    <x v="35"/>
    <d v="2021-12-30T00:00:00"/>
    <s v="Cash Rewards Visa Signature"/>
    <x v="0"/>
    <n v="8.56"/>
    <x v="0"/>
    <m/>
    <m/>
    <m/>
    <n v="8.56"/>
    <b v="0"/>
    <m/>
    <m/>
    <s v="-"/>
    <x v="0"/>
    <s v="Create Rule; and Description='Amazon';Amazon"/>
    <m/>
  </r>
  <r>
    <x v="35"/>
    <d v="2021-12-30T00:00:00"/>
    <s v="Cash Rewards Visa Signature"/>
    <x v="0"/>
    <n v="15.02"/>
    <x v="0"/>
    <m/>
    <m/>
    <m/>
    <n v="15.02"/>
    <b v="0"/>
    <m/>
    <m/>
    <s v="-"/>
    <x v="0"/>
    <s v="Create Rule; and Description='Amazon';Amazon"/>
    <m/>
  </r>
  <r>
    <x v="35"/>
    <d v="2021-12-30T00:00:00"/>
    <s v="POWERPLUS"/>
    <x v="48"/>
    <n v="95.5"/>
    <x v="16"/>
    <m/>
    <m/>
    <m/>
    <n v="95.5"/>
    <b v="0"/>
    <m/>
    <m/>
    <s v="-"/>
    <x v="48"/>
    <s v="Create Rule; and Description='American Family Insurance';Insurance"/>
    <m/>
  </r>
  <r>
    <x v="35"/>
    <d v="2021-12-30T00:00:00"/>
    <s v="Investor Checking"/>
    <x v="298"/>
    <n v="-3"/>
    <x v="26"/>
    <m/>
    <m/>
    <m/>
    <n v="3"/>
    <b v="0"/>
    <m/>
    <m/>
    <s v="+"/>
    <x v="291"/>
    <s v="Manual"/>
    <m/>
  </r>
  <r>
    <x v="35"/>
    <d v="2021-12-30T00:00:00"/>
    <s v="POWERPLUS"/>
    <x v="1040"/>
    <n v="-2"/>
    <x v="26"/>
    <m/>
    <m/>
    <m/>
    <n v="2"/>
    <b v="0"/>
    <m/>
    <m/>
    <s v="+"/>
    <x v="994"/>
    <s v="Manual"/>
    <m/>
  </r>
  <r>
    <x v="35"/>
    <d v="2021-12-30T00:00:00"/>
    <s v="Cash Rewards Visa Signature"/>
    <x v="980"/>
    <n v="146.74"/>
    <x v="26"/>
    <m/>
    <m/>
    <m/>
    <n v="146.74"/>
    <b v="0"/>
    <m/>
    <m/>
    <s v="-"/>
    <x v="940"/>
    <s v="Create Rule; and Description Like '%AVOADVOCARE INTL%';Groceries"/>
    <m/>
  </r>
  <r>
    <x v="35"/>
    <d v="2021-12-30T00:00:00"/>
    <s v="Contributory"/>
    <x v="1708"/>
    <n v="-0.12"/>
    <x v="26"/>
    <m/>
    <m/>
    <m/>
    <n v="0.12"/>
    <b v="0"/>
    <m/>
    <m/>
    <s v="+"/>
    <x v="1585"/>
    <s v="Manual"/>
    <m/>
  </r>
  <r>
    <x v="35"/>
    <d v="2021-12-30T00:00:00"/>
    <s v="Cash Rewards Visa Signature"/>
    <x v="1709"/>
    <n v="161.4"/>
    <x v="26"/>
    <m/>
    <m/>
    <m/>
    <n v="161.4"/>
    <b v="0"/>
    <m/>
    <m/>
    <s v="-"/>
    <x v="1586"/>
    <s v="Create Rule; and Description Like '%BEST CLEANERS%';Dry Cleaning"/>
    <m/>
  </r>
  <r>
    <x v="35"/>
    <d v="2021-12-30T00:00:00"/>
    <s v="Cash Rewards Visa Signature"/>
    <x v="1710"/>
    <n v="9"/>
    <x v="26"/>
    <m/>
    <m/>
    <m/>
    <n v="9"/>
    <b v="0"/>
    <m/>
    <m/>
    <s v="-"/>
    <x v="1587"/>
    <s v="Create Rule; and Description Like '%BONFES%';House Maintenance"/>
    <m/>
  </r>
  <r>
    <x v="35"/>
    <d v="2021-12-30T00:00:00"/>
    <s v="Cash Rewards Visa Signature"/>
    <x v="174"/>
    <n v="51.22"/>
    <x v="26"/>
    <m/>
    <m/>
    <m/>
    <n v="51.22"/>
    <b v="0"/>
    <m/>
    <m/>
    <s v="-"/>
    <x v="173"/>
    <s v="Create Rule; and Description='BP';Transportation"/>
    <m/>
  </r>
  <r>
    <x v="35"/>
    <d v="2021-12-30T00:00:00"/>
    <s v="Cash Rewards Visa Signature"/>
    <x v="1711"/>
    <n v="293.52"/>
    <x v="26"/>
    <m/>
    <m/>
    <m/>
    <n v="293.52"/>
    <b v="0"/>
    <m/>
    <m/>
    <s v="-"/>
    <x v="1588"/>
    <s v="Manual"/>
    <m/>
  </r>
  <r>
    <x v="35"/>
    <d v="2021-12-30T00:00:00"/>
    <s v="Cash Rewards Visa Signature"/>
    <x v="1712"/>
    <n v="159.62"/>
    <x v="26"/>
    <m/>
    <m/>
    <m/>
    <n v="159.62"/>
    <b v="0"/>
    <m/>
    <m/>
    <s v="-"/>
    <x v="1589"/>
    <s v="Manual"/>
    <m/>
  </r>
  <r>
    <x v="35"/>
    <d v="2021-12-30T00:00:00"/>
    <s v="Cash Rewards Visa Signature"/>
    <x v="1713"/>
    <n v="6.2"/>
    <x v="26"/>
    <m/>
    <m/>
    <m/>
    <n v="6.2"/>
    <b v="0"/>
    <m/>
    <m/>
    <s v="-"/>
    <x v="1590"/>
    <s v="Manual"/>
    <m/>
  </r>
  <r>
    <x v="35"/>
    <d v="2021-12-30T00:00:00"/>
    <s v="POWERPLUS"/>
    <x v="1498"/>
    <n v="-3024.87"/>
    <x v="26"/>
    <m/>
    <m/>
    <m/>
    <n v="3024.87"/>
    <b v="0"/>
    <m/>
    <m/>
    <s v="+"/>
    <x v="1256"/>
    <s v="Create Rule; and Description Like '%Cargill Inc Deposit CARGILL INCORPOR TYPE DIRECT DEP ID CO CARGILL INCORPOR ACH%';Inc - Britney"/>
    <m/>
  </r>
  <r>
    <x v="35"/>
    <d v="2021-12-30T00:00:00"/>
    <s v="Joint Tenant"/>
    <x v="1299"/>
    <n v="-200"/>
    <x v="26"/>
    <m/>
    <m/>
    <m/>
    <n v="200"/>
    <b v="0"/>
    <m/>
    <m/>
    <s v="+"/>
    <x v="1230"/>
    <s v="Delete; and Source='Joint Tenant';0"/>
    <m/>
  </r>
  <r>
    <x v="35"/>
    <d v="2021-12-30T00:00:00"/>
    <s v="Cash Rewards Visa Signature"/>
    <x v="805"/>
    <n v="28.44"/>
    <x v="26"/>
    <m/>
    <m/>
    <m/>
    <n v="28.44"/>
    <b v="0"/>
    <m/>
    <m/>
    <s v="-"/>
    <x v="775"/>
    <s v="Manual"/>
    <m/>
  </r>
  <r>
    <x v="35"/>
    <d v="2021-12-30T00:00:00"/>
    <s v="POWERPLUS"/>
    <x v="1348"/>
    <n v="175.25"/>
    <x v="11"/>
    <m/>
    <m/>
    <m/>
    <n v="175.25"/>
    <b v="0"/>
    <m/>
    <m/>
    <s v="-"/>
    <x v="1273"/>
    <s v="Create Rule; and Description='CenterPoint Energy';Utilities"/>
    <m/>
  </r>
  <r>
    <x v="35"/>
    <d v="2021-12-30T00:00:00"/>
    <s v="Cash Rewards Visa Signature"/>
    <x v="67"/>
    <n v="45"/>
    <x v="11"/>
    <m/>
    <m/>
    <m/>
    <n v="45"/>
    <b v="0"/>
    <m/>
    <m/>
    <s v="-"/>
    <x v="67"/>
    <s v="Create Rule; and Description='CenturyLink';Utilities"/>
    <m/>
  </r>
  <r>
    <x v="35"/>
    <d v="2021-12-30T00:00:00"/>
    <s v="Joint Tenant"/>
    <x v="245"/>
    <n v="-63.58"/>
    <x v="26"/>
    <m/>
    <m/>
    <m/>
    <n v="63.58"/>
    <b v="0"/>
    <m/>
    <m/>
    <s v="+"/>
    <x v="243"/>
    <s v="Create Rule; and Description='CHEVRON CORP';Dividend"/>
    <m/>
  </r>
  <r>
    <x v="35"/>
    <d v="2021-12-30T00:00:00"/>
    <s v="Cash Rewards Visa Signature"/>
    <x v="240"/>
    <n v="33.29"/>
    <x v="26"/>
    <m/>
    <m/>
    <m/>
    <n v="33.29"/>
    <b v="0"/>
    <m/>
    <m/>
    <s v="-"/>
    <x v="238"/>
    <s v="Create Rule; and Description='Chipotle';Restaurants"/>
    <m/>
  </r>
  <r>
    <x v="35"/>
    <d v="2021-12-30T00:00:00"/>
    <s v="POWERPLUS"/>
    <x v="84"/>
    <n v="44.87"/>
    <x v="26"/>
    <m/>
    <m/>
    <m/>
    <n v="44.87"/>
    <b v="0"/>
    <m/>
    <m/>
    <s v="-"/>
    <x v="84"/>
    <s v="Create Rule; and Description='City of Chanhassen';Utilities"/>
    <m/>
  </r>
  <r>
    <x v="35"/>
    <d v="2021-12-30T00:00:00"/>
    <s v="Cash Rewards Visa Signature"/>
    <x v="1138"/>
    <n v="120"/>
    <x v="26"/>
    <m/>
    <m/>
    <m/>
    <n v="120"/>
    <b v="0"/>
    <m/>
    <m/>
    <s v="-"/>
    <x v="1084"/>
    <s v="Manual"/>
    <m/>
  </r>
  <r>
    <x v="35"/>
    <d v="2021-12-30T00:00:00"/>
    <s v="Cash Rewards Visa Signature"/>
    <x v="1714"/>
    <n v="48.12"/>
    <x v="26"/>
    <m/>
    <m/>
    <m/>
    <n v="48.12"/>
    <b v="0"/>
    <m/>
    <m/>
    <s v="-"/>
    <x v="1591"/>
    <s v="Manual"/>
    <m/>
  </r>
  <r>
    <x v="35"/>
    <d v="2021-12-30T00:00:00"/>
    <s v="Cash Rewards Visa Signature"/>
    <x v="6"/>
    <n v="168.32"/>
    <x v="5"/>
    <m/>
    <m/>
    <m/>
    <n v="168.32"/>
    <b v="0"/>
    <m/>
    <m/>
    <s v="-"/>
    <x v="6"/>
    <s v="Create Rule; and Description Like '%Cub Foods%';Groceries"/>
    <m/>
  </r>
  <r>
    <x v="35"/>
    <d v="2021-12-30T00:00:00"/>
    <s v="Cash Rewards Visa Signature"/>
    <x v="6"/>
    <n v="32.840000000000003"/>
    <x v="5"/>
    <m/>
    <m/>
    <m/>
    <n v="32.840000000000003"/>
    <b v="0"/>
    <m/>
    <m/>
    <s v="-"/>
    <x v="6"/>
    <s v="Create Rule; and Description Like '%Cub Foods%';Groceries"/>
    <m/>
  </r>
  <r>
    <x v="35"/>
    <d v="2021-12-30T00:00:00"/>
    <s v="Cash Rewards Visa Signature"/>
    <x v="6"/>
    <n v="128.51"/>
    <x v="5"/>
    <m/>
    <m/>
    <m/>
    <n v="128.51"/>
    <b v="0"/>
    <m/>
    <m/>
    <s v="-"/>
    <x v="6"/>
    <s v="Create Rule; and Description Like '%Cub Foods%';Groceries"/>
    <m/>
  </r>
  <r>
    <x v="35"/>
    <d v="2021-12-30T00:00:00"/>
    <s v="Cash Rewards Visa Signature"/>
    <x v="6"/>
    <n v="25.46"/>
    <x v="5"/>
    <m/>
    <m/>
    <m/>
    <n v="25.46"/>
    <b v="0"/>
    <m/>
    <m/>
    <s v="-"/>
    <x v="6"/>
    <s v="Create Rule; and Description Like '%Cub Foods%';Groceries"/>
    <m/>
  </r>
  <r>
    <x v="35"/>
    <d v="2021-12-30T00:00:00"/>
    <s v="POWERPLUS"/>
    <x v="1065"/>
    <n v="-1000"/>
    <x v="3"/>
    <m/>
    <m/>
    <m/>
    <n v="1000"/>
    <b v="0"/>
    <m/>
    <m/>
    <s v="+"/>
    <x v="1015"/>
    <s v="Manual"/>
    <m/>
  </r>
  <r>
    <x v="35"/>
    <d v="2021-12-30T00:00:00"/>
    <s v="POWERPLUS"/>
    <x v="1065"/>
    <n v="-500"/>
    <x v="3"/>
    <m/>
    <m/>
    <m/>
    <n v="500"/>
    <b v="0"/>
    <m/>
    <m/>
    <s v="+"/>
    <x v="1015"/>
    <s v="Manual"/>
    <m/>
  </r>
  <r>
    <x v="35"/>
    <d v="2021-12-30T00:00:00"/>
    <s v="POWERPLUS"/>
    <x v="1065"/>
    <n v="-1000"/>
    <x v="3"/>
    <m/>
    <m/>
    <m/>
    <n v="1000"/>
    <b v="0"/>
    <m/>
    <m/>
    <s v="+"/>
    <x v="1015"/>
    <s v="Manual"/>
    <m/>
  </r>
  <r>
    <x v="35"/>
    <d v="2021-12-30T00:00:00"/>
    <s v="Cash Rewards Visa Signature"/>
    <x v="230"/>
    <n v="295.95"/>
    <x v="26"/>
    <m/>
    <m/>
    <m/>
    <n v="295.95"/>
    <b v="0"/>
    <m/>
    <m/>
    <s v="-"/>
    <x v="228"/>
    <s v="Manual"/>
    <m/>
  </r>
  <r>
    <x v="35"/>
    <d v="2021-12-30T00:00:00"/>
    <s v="Cash Rewards Visa Signature"/>
    <x v="1211"/>
    <n v="8"/>
    <x v="26"/>
    <m/>
    <m/>
    <m/>
    <n v="8"/>
    <b v="0"/>
    <m/>
    <m/>
    <s v="-"/>
    <x v="1151"/>
    <s v="Manual"/>
    <m/>
  </r>
  <r>
    <x v="35"/>
    <d v="2021-12-30T00:00:00"/>
    <s v="Cash Rewards Visa Signature"/>
    <x v="1715"/>
    <n v="73.94"/>
    <x v="26"/>
    <m/>
    <m/>
    <m/>
    <n v="73.94"/>
    <b v="0"/>
    <m/>
    <m/>
    <s v="-"/>
    <x v="1592"/>
    <s v="Manual"/>
    <m/>
  </r>
  <r>
    <x v="35"/>
    <d v="2021-12-30T00:00:00"/>
    <s v="Cash Rewards Visa Signature"/>
    <x v="1715"/>
    <n v="61.16"/>
    <x v="26"/>
    <m/>
    <m/>
    <m/>
    <n v="61.16"/>
    <b v="0"/>
    <m/>
    <m/>
    <s v="-"/>
    <x v="1592"/>
    <s v="Manual"/>
    <m/>
  </r>
  <r>
    <x v="35"/>
    <d v="2021-12-30T00:00:00"/>
    <s v="Investor Checking"/>
    <x v="276"/>
    <n v="-300"/>
    <x v="26"/>
    <m/>
    <m/>
    <m/>
    <n v="300"/>
    <b v="0"/>
    <m/>
    <m/>
    <s v="+"/>
    <x v="271"/>
    <s v="Create Rule; and Description='Funds Transfer from Brokerage -5308';Delete"/>
    <m/>
  </r>
  <r>
    <x v="35"/>
    <d v="2021-12-30T00:00:00"/>
    <s v="Investor Checking"/>
    <x v="276"/>
    <n v="-1000"/>
    <x v="26"/>
    <m/>
    <m/>
    <m/>
    <n v="1000"/>
    <b v="0"/>
    <m/>
    <m/>
    <s v="+"/>
    <x v="271"/>
    <s v="Create Rule; and Description='Funds Transfer from Brokerage -5308';Delete"/>
    <m/>
  </r>
  <r>
    <x v="35"/>
    <d v="2021-12-30T00:00:00"/>
    <s v="Cash Rewards Visa Signature"/>
    <x v="1388"/>
    <n v="35.21"/>
    <x v="26"/>
    <m/>
    <m/>
    <m/>
    <n v="35.21"/>
    <b v="0"/>
    <m/>
    <m/>
    <s v="-"/>
    <x v="1307"/>
    <s v="Manual"/>
    <m/>
  </r>
  <r>
    <x v="35"/>
    <d v="2021-12-30T00:00:00"/>
    <s v="Cash Rewards Visa Signature"/>
    <x v="1716"/>
    <n v="38.119999999999997"/>
    <x v="26"/>
    <m/>
    <m/>
    <m/>
    <n v="38.119999999999997"/>
    <b v="0"/>
    <m/>
    <m/>
    <s v="-"/>
    <x v="1593"/>
    <s v="Create Rule; and Description like '%Lowe%';House Maintenance"/>
    <m/>
  </r>
  <r>
    <x v="35"/>
    <d v="2021-12-30T00:00:00"/>
    <s v="Cash Rewards Visa Signature"/>
    <x v="1716"/>
    <n v="73.790000000000006"/>
    <x v="26"/>
    <m/>
    <m/>
    <m/>
    <n v="73.790000000000006"/>
    <b v="0"/>
    <m/>
    <m/>
    <s v="-"/>
    <x v="1593"/>
    <s v="Create Rule; and Description like '%Lowe%';House Maintenance"/>
    <m/>
  </r>
  <r>
    <x v="35"/>
    <d v="2021-12-30T00:00:00"/>
    <s v="Cash Rewards Visa Signature"/>
    <x v="60"/>
    <n v="5.13"/>
    <x v="26"/>
    <m/>
    <m/>
    <m/>
    <n v="5.13"/>
    <b v="0"/>
    <m/>
    <m/>
    <s v="-"/>
    <x v="60"/>
    <s v="Create Rule; and Description='Home Depot';House Maintenance"/>
    <m/>
  </r>
  <r>
    <x v="35"/>
    <d v="2021-12-30T00:00:00"/>
    <s v="Cash Rewards Visa Signature"/>
    <x v="60"/>
    <n v="6.24"/>
    <x v="26"/>
    <m/>
    <m/>
    <m/>
    <n v="6.24"/>
    <b v="0"/>
    <m/>
    <m/>
    <s v="-"/>
    <x v="60"/>
    <s v="Create Rule; and Description='Home Depot';House Maintenance"/>
    <m/>
  </r>
  <r>
    <x v="35"/>
    <d v="2021-12-30T00:00:00"/>
    <s v="Cash Rewards Visa Signature"/>
    <x v="60"/>
    <n v="10.71"/>
    <x v="26"/>
    <m/>
    <m/>
    <m/>
    <n v="10.71"/>
    <b v="0"/>
    <m/>
    <m/>
    <s v="-"/>
    <x v="60"/>
    <s v="Create Rule; and Description='Home Depot';House Maintenance"/>
    <m/>
  </r>
  <r>
    <x v="35"/>
    <d v="2021-12-30T00:00:00"/>
    <s v="Cash Rewards Visa Signature"/>
    <x v="60"/>
    <n v="11.53"/>
    <x v="26"/>
    <m/>
    <m/>
    <m/>
    <n v="11.53"/>
    <b v="0"/>
    <m/>
    <m/>
    <s v="-"/>
    <x v="60"/>
    <s v="Create Rule; and Description='Home Depot';House Maintenance"/>
    <m/>
  </r>
  <r>
    <x v="35"/>
    <d v="2021-12-30T00:00:00"/>
    <s v="Cash Rewards Visa Signature"/>
    <x v="60"/>
    <n v="19.32"/>
    <x v="26"/>
    <m/>
    <m/>
    <m/>
    <n v="19.32"/>
    <b v="0"/>
    <m/>
    <m/>
    <s v="-"/>
    <x v="60"/>
    <s v="Create Rule; and Description='Home Depot';House Maintenance"/>
    <m/>
  </r>
  <r>
    <x v="35"/>
    <d v="2021-12-30T00:00:00"/>
    <s v="Cash Rewards Visa Signature"/>
    <x v="60"/>
    <n v="40.79"/>
    <x v="26"/>
    <m/>
    <m/>
    <m/>
    <n v="40.79"/>
    <b v="0"/>
    <m/>
    <m/>
    <s v="-"/>
    <x v="60"/>
    <s v="Create Rule; and Description='Home Depot';House Maintenance"/>
    <m/>
  </r>
  <r>
    <x v="35"/>
    <d v="2021-12-30T00:00:00"/>
    <s v="Cash Rewards Visa Signature"/>
    <x v="1669"/>
    <n v="53"/>
    <x v="26"/>
    <m/>
    <m/>
    <m/>
    <n v="53"/>
    <b v="0"/>
    <m/>
    <m/>
    <s v="-"/>
    <x v="1552"/>
    <s v="Manual"/>
    <m/>
  </r>
  <r>
    <x v="35"/>
    <d v="2021-12-30T00:00:00"/>
    <s v="Investor Checking"/>
    <x v="118"/>
    <n v="-0.01"/>
    <x v="26"/>
    <m/>
    <m/>
    <m/>
    <n v="0.01"/>
    <b v="0"/>
    <m/>
    <m/>
    <s v="+"/>
    <x v="118"/>
    <s v="Manual"/>
    <m/>
  </r>
  <r>
    <x v="35"/>
    <d v="2021-12-30T00:00:00"/>
    <s v="POWERPLUS"/>
    <x v="656"/>
    <n v="-333"/>
    <x v="26"/>
    <m/>
    <m/>
    <m/>
    <n v="333"/>
    <b v="0"/>
    <m/>
    <m/>
    <s v="+"/>
    <x v="634"/>
    <s v="Manual"/>
    <m/>
  </r>
  <r>
    <x v="35"/>
    <d v="2021-12-30T00:00:00"/>
    <s v="Cash Rewards Visa Signature"/>
    <x v="1717"/>
    <n v="5.49"/>
    <x v="26"/>
    <m/>
    <m/>
    <m/>
    <n v="5.49"/>
    <b v="0"/>
    <m/>
    <m/>
    <s v="-"/>
    <x v="1594"/>
    <s v="Create Rule; and Description='JOEY NOVAS EXCELSIOR MN JOEY NOVAS EXCELSIOR MN';Restaurants"/>
    <m/>
  </r>
  <r>
    <x v="35"/>
    <d v="2021-12-30T00:00:00"/>
    <s v="Cash Rewards Visa Signature"/>
    <x v="1717"/>
    <n v="65.709999999999994"/>
    <x v="26"/>
    <m/>
    <m/>
    <m/>
    <n v="65.709999999999994"/>
    <b v="0"/>
    <m/>
    <m/>
    <s v="-"/>
    <x v="1594"/>
    <s v="Create Rule; and Description='JOEY NOVAS EXCELSIOR MN JOEY NOVAS EXCELSIOR MN';Restaurants"/>
    <m/>
  </r>
  <r>
    <x v="35"/>
    <d v="2021-12-30T00:00:00"/>
    <s v="Cash Rewards Visa Signature"/>
    <x v="661"/>
    <n v="21.97"/>
    <x v="26"/>
    <m/>
    <m/>
    <m/>
    <n v="21.97"/>
    <b v="0"/>
    <m/>
    <m/>
    <s v="-"/>
    <x v="639"/>
    <s v="Manual"/>
    <m/>
  </r>
  <r>
    <x v="35"/>
    <d v="2021-12-30T00:00:00"/>
    <s v="Cash Rewards Visa Signature"/>
    <x v="823"/>
    <n v="47.46"/>
    <x v="2"/>
    <m/>
    <m/>
    <m/>
    <n v="47.46"/>
    <b v="0"/>
    <m/>
    <m/>
    <s v="-"/>
    <x v="792"/>
    <s v="Create Rule; and Description='Kwik Trip';Transportation"/>
    <m/>
  </r>
  <r>
    <x v="35"/>
    <d v="2021-12-30T00:00:00"/>
    <s v="Cash Rewards Visa Signature"/>
    <x v="823"/>
    <n v="45.74"/>
    <x v="2"/>
    <m/>
    <m/>
    <m/>
    <n v="45.74"/>
    <b v="0"/>
    <m/>
    <m/>
    <s v="-"/>
    <x v="792"/>
    <s v="Create Rule; and Description='Kwik Trip';Transportation"/>
    <m/>
  </r>
  <r>
    <x v="35"/>
    <d v="2021-12-30T00:00:00"/>
    <s v="Cash Rewards Visa Signature"/>
    <x v="1392"/>
    <n v="26.52"/>
    <x v="26"/>
    <m/>
    <m/>
    <m/>
    <n v="26.52"/>
    <b v="0"/>
    <m/>
    <m/>
    <s v="-"/>
    <x v="1311"/>
    <s v="Create Rule; and Description='Lakewinds Food Coop LAKEWINDS CHANHASSEN CHANHASSEN MN';Groceries"/>
    <m/>
  </r>
  <r>
    <x v="35"/>
    <d v="2021-12-30T00:00:00"/>
    <s v="Cash Rewards Visa Signature"/>
    <x v="1067"/>
    <n v="97.14"/>
    <x v="26"/>
    <m/>
    <m/>
    <m/>
    <n v="97.14"/>
    <b v="0"/>
    <m/>
    <m/>
    <s v="-"/>
    <x v="1017"/>
    <s v="Create Rule; and Description Like '%MACKENTHUNSMEATS%';Groceries"/>
    <m/>
  </r>
  <r>
    <x v="35"/>
    <d v="2021-12-30T00:00:00"/>
    <s v="Cash Rewards Visa Signature"/>
    <x v="1670"/>
    <n v="-41.13"/>
    <x v="26"/>
    <m/>
    <m/>
    <m/>
    <n v="41.13"/>
    <b v="0"/>
    <m/>
    <m/>
    <s v="+"/>
    <x v="1553"/>
    <s v="Manual"/>
    <m/>
  </r>
  <r>
    <x v="35"/>
    <d v="2021-12-30T00:00:00"/>
    <s v="Cash Rewards Visa Signature"/>
    <x v="722"/>
    <n v="30.75"/>
    <x v="5"/>
    <m/>
    <m/>
    <m/>
    <n v="30.75"/>
    <b v="0"/>
    <m/>
    <m/>
    <s v="-"/>
    <x v="697"/>
    <s v="Create Rule; and Description='MGM Liquor Warehouse';Groceries"/>
    <m/>
  </r>
  <r>
    <x v="35"/>
    <d v="2021-12-30T00:00:00"/>
    <s v="POWERPLUS"/>
    <x v="1321"/>
    <n v="528.79999999999995"/>
    <x v="26"/>
    <m/>
    <m/>
    <m/>
    <n v="528.79999999999995"/>
    <b v="0"/>
    <m/>
    <m/>
    <s v="-"/>
    <x v="1249"/>
    <s v="Create Rule; and Description Like '%MHCHILDCARELLC%';Day Care"/>
    <m/>
  </r>
  <r>
    <x v="35"/>
    <d v="2021-12-30T00:00:00"/>
    <s v="POWERPLUS"/>
    <x v="1321"/>
    <n v="528.79999999999995"/>
    <x v="26"/>
    <m/>
    <m/>
    <m/>
    <n v="528.79999999999995"/>
    <b v="0"/>
    <m/>
    <m/>
    <s v="-"/>
    <x v="1249"/>
    <s v="Create Rule; and Description Like '%MHCHILDCARELLC%';Day Care"/>
    <m/>
  </r>
  <r>
    <x v="35"/>
    <d v="2021-12-30T00:00:00"/>
    <s v="POWERPLUS"/>
    <x v="1321"/>
    <n v="528.79999999999995"/>
    <x v="26"/>
    <m/>
    <m/>
    <m/>
    <n v="528.79999999999995"/>
    <b v="0"/>
    <m/>
    <m/>
    <s v="-"/>
    <x v="1249"/>
    <s v="Create Rule; and Description Like '%MHCHILDCARELLC%';Day Care"/>
    <m/>
  </r>
  <r>
    <x v="35"/>
    <d v="2021-12-30T00:00:00"/>
    <s v="Cash Rewards Visa Signature"/>
    <x v="1718"/>
    <n v="46.47"/>
    <x v="26"/>
    <m/>
    <m/>
    <m/>
    <n v="46.47"/>
    <b v="0"/>
    <m/>
    <m/>
    <s v="-"/>
    <x v="1595"/>
    <s v="Manual"/>
    <m/>
  </r>
  <r>
    <x v="35"/>
    <d v="2021-12-30T00:00:00"/>
    <s v="Cash Rewards Visa Signature"/>
    <x v="1719"/>
    <n v="26.86"/>
    <x v="26"/>
    <m/>
    <m/>
    <m/>
    <n v="26.86"/>
    <b v="0"/>
    <m/>
    <m/>
    <s v="-"/>
    <x v="1596"/>
    <s v="Manual"/>
    <m/>
  </r>
  <r>
    <x v="35"/>
    <d v="2021-12-30T00:00:00"/>
    <s v="Cash Rewards Visa Signature"/>
    <x v="1720"/>
    <n v="64.2"/>
    <x v="26"/>
    <m/>
    <m/>
    <m/>
    <n v="64.2"/>
    <b v="0"/>
    <m/>
    <m/>
    <s v="-"/>
    <x v="1597"/>
    <s v="Manual"/>
    <m/>
  </r>
  <r>
    <x v="35"/>
    <d v="2021-12-30T00:00:00"/>
    <s v="POWERPLUS"/>
    <x v="1721"/>
    <n v="200"/>
    <x v="26"/>
    <m/>
    <m/>
    <m/>
    <n v="200"/>
    <b v="0"/>
    <m/>
    <m/>
    <s v="-"/>
    <x v="1598"/>
    <s v="Create Rule; and Description Like '%MN DIR ACH%';College Savings"/>
    <m/>
  </r>
  <r>
    <x v="35"/>
    <d v="2021-12-30T00:00:00"/>
    <s v="Cash Rewards Visa Signature"/>
    <x v="1722"/>
    <n v="20"/>
    <x v="26"/>
    <m/>
    <m/>
    <m/>
    <n v="20"/>
    <b v="0"/>
    <m/>
    <m/>
    <s v="-"/>
    <x v="1599"/>
    <s v="Manual"/>
    <m/>
  </r>
  <r>
    <x v="35"/>
    <d v="2021-12-30T00:00:00"/>
    <s v="Cash Rewards Visa Signature"/>
    <x v="1673"/>
    <n v="-35.81"/>
    <x v="26"/>
    <m/>
    <m/>
    <m/>
    <n v="35.81"/>
    <b v="0"/>
    <m/>
    <m/>
    <s v="+"/>
    <x v="1555"/>
    <s v="Manual"/>
    <m/>
  </r>
  <r>
    <x v="35"/>
    <d v="2021-12-30T00:00:00"/>
    <s v="Cash Rewards Visa Signature"/>
    <x v="1723"/>
    <n v="-50.21"/>
    <x v="26"/>
    <m/>
    <m/>
    <m/>
    <n v="50.21"/>
    <b v="0"/>
    <m/>
    <m/>
    <s v="+"/>
    <x v="1600"/>
    <s v="Manual"/>
    <m/>
  </r>
  <r>
    <x v="35"/>
    <d v="2021-12-30T00:00:00"/>
    <s v="Cash Rewards Visa Signature"/>
    <x v="1723"/>
    <n v="-86.7"/>
    <x v="26"/>
    <m/>
    <m/>
    <m/>
    <n v="86.7"/>
    <b v="0"/>
    <m/>
    <m/>
    <s v="+"/>
    <x v="1600"/>
    <s v="Manual"/>
    <m/>
  </r>
  <r>
    <x v="35"/>
    <d v="2021-12-30T00:00:00"/>
    <s v="Cash Rewards Visa Signature"/>
    <x v="1724"/>
    <n v="257.39999999999998"/>
    <x v="26"/>
    <m/>
    <m/>
    <m/>
    <n v="257.39999999999998"/>
    <b v="0"/>
    <m/>
    <m/>
    <s v="-"/>
    <x v="1601"/>
    <s v="Manual"/>
    <m/>
  </r>
  <r>
    <x v="35"/>
    <d v="2021-12-30T00:00:00"/>
    <s v="Cash Rewards Visa Signature"/>
    <x v="1627"/>
    <n v="105"/>
    <x v="26"/>
    <m/>
    <m/>
    <m/>
    <n v="105"/>
    <b v="0"/>
    <m/>
    <m/>
    <s v="-"/>
    <x v="1517"/>
    <s v="Manual"/>
    <m/>
  </r>
  <r>
    <x v="35"/>
    <d v="2021-12-30T00:00:00"/>
    <s v="Discover More Card"/>
    <x v="99"/>
    <n v="8.99"/>
    <x v="11"/>
    <m/>
    <m/>
    <m/>
    <n v="8.99"/>
    <b v="0"/>
    <m/>
    <m/>
    <s v="-"/>
    <x v="99"/>
    <s v="Create Rule; and Description='Netflix';Utilities"/>
    <m/>
  </r>
  <r>
    <x v="35"/>
    <d v="2021-12-30T00:00:00"/>
    <s v="Cash Rewards Visa Signature"/>
    <x v="1725"/>
    <n v="44.66"/>
    <x v="26"/>
    <m/>
    <m/>
    <m/>
    <n v="44.66"/>
    <b v="0"/>
    <m/>
    <m/>
    <s v="-"/>
    <x v="1602"/>
    <s v="Create Rule; and Description Like '%NORTH COOP NORTH COOP%';Restaurants"/>
    <m/>
  </r>
  <r>
    <x v="35"/>
    <d v="2021-12-30T00:00:00"/>
    <s v="Cash Rewards Visa Signature"/>
    <x v="183"/>
    <n v="49"/>
    <x v="26"/>
    <m/>
    <m/>
    <m/>
    <n v="49"/>
    <b v="0"/>
    <m/>
    <m/>
    <s v="-"/>
    <x v="182"/>
    <s v="Create Rule; and Description='North Face';Shopping"/>
    <m/>
  </r>
  <r>
    <x v="35"/>
    <d v="2021-12-30T00:00:00"/>
    <s v="Cash Rewards Visa Signature"/>
    <x v="1726"/>
    <n v="60.01"/>
    <x v="26"/>
    <m/>
    <m/>
    <m/>
    <n v="60.01"/>
    <b v="0"/>
    <m/>
    <m/>
    <s v="-"/>
    <x v="1603"/>
    <s v="Manual"/>
    <m/>
  </r>
  <r>
    <x v="35"/>
    <d v="2021-12-30T00:00:00"/>
    <s v="Cash Rewards Visa Signature"/>
    <x v="451"/>
    <n v="23.62"/>
    <x v="1"/>
    <m/>
    <m/>
    <m/>
    <n v="23.62"/>
    <b v="0"/>
    <m/>
    <m/>
    <s v="-"/>
    <x v="435"/>
    <s v="Create Rule; and Description Like '%Papa Murphy%';Restaurants"/>
    <m/>
  </r>
  <r>
    <x v="35"/>
    <d v="2021-12-30T00:00:00"/>
    <s v="Cash Rewards Visa Signature"/>
    <x v="1727"/>
    <n v="44.2"/>
    <x v="26"/>
    <m/>
    <m/>
    <m/>
    <n v="44.2"/>
    <b v="0"/>
    <m/>
    <m/>
    <s v="-"/>
    <x v="1604"/>
    <s v="Manual"/>
    <m/>
  </r>
  <r>
    <x v="35"/>
    <d v="2021-12-30T00:00:00"/>
    <s v="Cash Rewards Visa Signature"/>
    <x v="1727"/>
    <n v="44.2"/>
    <x v="26"/>
    <m/>
    <m/>
    <m/>
    <n v="44.2"/>
    <b v="0"/>
    <m/>
    <m/>
    <s v="-"/>
    <x v="1604"/>
    <s v="Manual"/>
    <m/>
  </r>
  <r>
    <x v="35"/>
    <d v="2021-12-30T00:00:00"/>
    <s v="POWERPLUS"/>
    <x v="157"/>
    <n v="43.2"/>
    <x v="8"/>
    <m/>
    <m/>
    <m/>
    <n v="43.2"/>
    <b v="0"/>
    <m/>
    <m/>
    <s v="-"/>
    <x v="156"/>
    <s v="Create Rule; and Description Like '%PayPal%';Shopping"/>
    <m/>
  </r>
  <r>
    <x v="35"/>
    <d v="2021-12-30T00:00:00"/>
    <s v="POWERPLUS"/>
    <x v="157"/>
    <n v="0.99"/>
    <x v="8"/>
    <m/>
    <m/>
    <m/>
    <n v="0.99"/>
    <b v="0"/>
    <m/>
    <m/>
    <s v="-"/>
    <x v="156"/>
    <s v="Create Rule; and Description Like '%PayPal%';Shopping"/>
    <m/>
  </r>
  <r>
    <x v="35"/>
    <d v="2021-12-30T00:00:00"/>
    <s v="POWERPLUS"/>
    <x v="157"/>
    <n v="0.99"/>
    <x v="8"/>
    <m/>
    <m/>
    <m/>
    <n v="0.99"/>
    <b v="0"/>
    <m/>
    <m/>
    <s v="-"/>
    <x v="156"/>
    <s v="Create Rule; and Description Like '%PayPal%';Shopping"/>
    <m/>
  </r>
  <r>
    <x v="35"/>
    <d v="2021-12-30T00:00:00"/>
    <s v="Cash Rewards Visa Signature"/>
    <x v="1728"/>
    <n v="57.98"/>
    <x v="26"/>
    <m/>
    <m/>
    <m/>
    <n v="57.98"/>
    <b v="0"/>
    <m/>
    <m/>
    <s v="-"/>
    <x v="1605"/>
    <s v="Manual"/>
    <m/>
  </r>
  <r>
    <x v="35"/>
    <d v="2021-12-30T00:00:00"/>
    <s v="Discover More Card"/>
    <x v="1729"/>
    <n v="28.95"/>
    <x v="26"/>
    <m/>
    <m/>
    <m/>
    <n v="28.95"/>
    <b v="0"/>
    <m/>
    <m/>
    <s v="-"/>
    <x v="1606"/>
    <s v="Manual"/>
    <m/>
  </r>
  <r>
    <x v="35"/>
    <d v="2021-12-30T00:00:00"/>
    <s v="Cash Rewards Visa Signature"/>
    <x v="1730"/>
    <n v="84.03"/>
    <x v="26"/>
    <m/>
    <m/>
    <m/>
    <n v="84.03"/>
    <b v="0"/>
    <m/>
    <m/>
    <s v="-"/>
    <x v="1607"/>
    <s v="Manual"/>
    <m/>
  </r>
  <r>
    <x v="35"/>
    <d v="2021-12-30T00:00:00"/>
    <s v="Joint Tenant"/>
    <x v="1680"/>
    <n v="-0.19"/>
    <x v="26"/>
    <m/>
    <m/>
    <m/>
    <n v="0.19"/>
    <b v="0"/>
    <m/>
    <m/>
    <s v="+"/>
    <x v="1562"/>
    <s v="Delete; and Source='Joint Tenant';0"/>
    <m/>
  </r>
  <r>
    <x v="35"/>
    <d v="2021-12-30T00:00:00"/>
    <s v="Joint Tenant"/>
    <x v="1680"/>
    <n v="0.19"/>
    <x v="26"/>
    <m/>
    <m/>
    <m/>
    <n v="0.19"/>
    <b v="0"/>
    <m/>
    <m/>
    <s v="-"/>
    <x v="1562"/>
    <s v="Delete; and Source='Joint Tenant';0"/>
    <m/>
  </r>
  <r>
    <x v="35"/>
    <d v="2021-12-30T00:00:00"/>
    <s v="Contributory"/>
    <x v="1680"/>
    <n v="-1.06"/>
    <x v="26"/>
    <m/>
    <m/>
    <m/>
    <n v="1.06"/>
    <b v="0"/>
    <m/>
    <m/>
    <s v="+"/>
    <x v="1562"/>
    <s v="Manual"/>
    <m/>
  </r>
  <r>
    <x v="35"/>
    <d v="2021-12-30T00:00:00"/>
    <s v="Contributory"/>
    <x v="1680"/>
    <n v="1.06"/>
    <x v="26"/>
    <m/>
    <m/>
    <m/>
    <n v="1.06"/>
    <b v="0"/>
    <m/>
    <m/>
    <s v="-"/>
    <x v="1562"/>
    <s v="Manual"/>
    <m/>
  </r>
  <r>
    <x v="35"/>
    <d v="2021-12-30T00:00:00"/>
    <s v="Joint Tenant"/>
    <x v="1680"/>
    <n v="-2.36"/>
    <x v="26"/>
    <m/>
    <m/>
    <m/>
    <n v="2.36"/>
    <b v="0"/>
    <m/>
    <m/>
    <s v="+"/>
    <x v="1562"/>
    <s v="Delete; and Source='Joint Tenant';0"/>
    <m/>
  </r>
  <r>
    <x v="35"/>
    <d v="2021-12-30T00:00:00"/>
    <s v="Joint Tenant"/>
    <x v="1680"/>
    <n v="2.36"/>
    <x v="26"/>
    <m/>
    <m/>
    <m/>
    <n v="2.36"/>
    <b v="0"/>
    <m/>
    <m/>
    <s v="-"/>
    <x v="1562"/>
    <s v="Delete; and Source='Joint Tenant';0"/>
    <m/>
  </r>
  <r>
    <x v="35"/>
    <d v="2021-12-30T00:00:00"/>
    <s v="Jeff IRA"/>
    <x v="1680"/>
    <n v="-5.49"/>
    <x v="26"/>
    <m/>
    <m/>
    <m/>
    <n v="5.49"/>
    <b v="0"/>
    <m/>
    <m/>
    <s v="+"/>
    <x v="1562"/>
    <s v="Manual"/>
    <m/>
  </r>
  <r>
    <x v="35"/>
    <d v="2021-12-30T00:00:00"/>
    <s v="Jeff IRA"/>
    <x v="1680"/>
    <n v="5.49"/>
    <x v="26"/>
    <m/>
    <m/>
    <m/>
    <n v="5.49"/>
    <b v="0"/>
    <m/>
    <m/>
    <s v="-"/>
    <x v="1562"/>
    <s v="Manual"/>
    <m/>
  </r>
  <r>
    <x v="35"/>
    <d v="2021-12-30T00:00:00"/>
    <s v="Britney Roth"/>
    <x v="1680"/>
    <n v="-9.42"/>
    <x v="26"/>
    <m/>
    <m/>
    <m/>
    <n v="9.42"/>
    <b v="0"/>
    <m/>
    <m/>
    <s v="+"/>
    <x v="1562"/>
    <s v="Manual"/>
    <m/>
  </r>
  <r>
    <x v="35"/>
    <d v="2021-12-30T00:00:00"/>
    <s v="Jeff Roth"/>
    <x v="1680"/>
    <n v="-9.3000000000000007"/>
    <x v="26"/>
    <m/>
    <m/>
    <m/>
    <n v="9.3000000000000007"/>
    <b v="0"/>
    <m/>
    <m/>
    <s v="+"/>
    <x v="1562"/>
    <s v="Manual"/>
    <m/>
  </r>
  <r>
    <x v="35"/>
    <d v="2021-12-30T00:00:00"/>
    <s v="Roth Contributory IRA"/>
    <x v="1680"/>
    <n v="-18.72"/>
    <x v="26"/>
    <m/>
    <m/>
    <m/>
    <n v="18.72"/>
    <b v="0"/>
    <m/>
    <m/>
    <s v="+"/>
    <x v="1562"/>
    <s v="Manual"/>
    <m/>
  </r>
  <r>
    <x v="35"/>
    <d v="2021-12-30T00:00:00"/>
    <s v="Britney Roth"/>
    <x v="1680"/>
    <n v="9.42"/>
    <x v="26"/>
    <m/>
    <m/>
    <m/>
    <n v="9.42"/>
    <b v="0"/>
    <m/>
    <m/>
    <s v="-"/>
    <x v="1562"/>
    <s v="Manual"/>
    <m/>
  </r>
  <r>
    <x v="35"/>
    <d v="2021-12-30T00:00:00"/>
    <s v="Jeff Roth"/>
    <x v="1680"/>
    <n v="9.3000000000000007"/>
    <x v="26"/>
    <m/>
    <m/>
    <m/>
    <n v="9.3000000000000007"/>
    <b v="0"/>
    <m/>
    <m/>
    <s v="-"/>
    <x v="1562"/>
    <s v="Manual"/>
    <m/>
  </r>
  <r>
    <x v="35"/>
    <d v="2021-12-30T00:00:00"/>
    <s v="Roth Contributory IRA"/>
    <x v="1680"/>
    <n v="18.72"/>
    <x v="26"/>
    <m/>
    <m/>
    <m/>
    <n v="18.72"/>
    <b v="0"/>
    <m/>
    <m/>
    <s v="-"/>
    <x v="1562"/>
    <s v="Manual"/>
    <m/>
  </r>
  <r>
    <x v="35"/>
    <d v="2021-12-30T00:00:00"/>
    <s v="Contributory"/>
    <x v="1680"/>
    <n v="-13.39"/>
    <x v="26"/>
    <m/>
    <m/>
    <m/>
    <n v="13.39"/>
    <b v="0"/>
    <m/>
    <m/>
    <s v="+"/>
    <x v="1562"/>
    <s v="Manual"/>
    <m/>
  </r>
  <r>
    <x v="35"/>
    <d v="2021-12-30T00:00:00"/>
    <s v="Contributory"/>
    <x v="1680"/>
    <n v="13.39"/>
    <x v="26"/>
    <m/>
    <m/>
    <m/>
    <n v="13.39"/>
    <b v="0"/>
    <m/>
    <m/>
    <s v="-"/>
    <x v="1562"/>
    <s v="Manual"/>
    <m/>
  </r>
  <r>
    <x v="35"/>
    <d v="2021-12-30T00:00:00"/>
    <s v="Joint Tenant"/>
    <x v="1680"/>
    <n v="-42.04"/>
    <x v="26"/>
    <m/>
    <m/>
    <m/>
    <n v="42.04"/>
    <b v="0"/>
    <m/>
    <m/>
    <s v="+"/>
    <x v="1562"/>
    <s v="Delete; and Source='Joint Tenant';0"/>
    <m/>
  </r>
  <r>
    <x v="35"/>
    <d v="2021-12-30T00:00:00"/>
    <s v="Joint Tenant"/>
    <x v="1680"/>
    <n v="42.04"/>
    <x v="26"/>
    <m/>
    <m/>
    <m/>
    <n v="42.04"/>
    <b v="0"/>
    <m/>
    <m/>
    <s v="-"/>
    <x v="1562"/>
    <s v="Delete; and Source='Joint Tenant';0"/>
    <m/>
  </r>
  <r>
    <x v="35"/>
    <d v="2021-12-30T00:00:00"/>
    <s v="Jeff IRA"/>
    <x v="1680"/>
    <n v="-69.27"/>
    <x v="26"/>
    <m/>
    <m/>
    <m/>
    <n v="69.27"/>
    <b v="0"/>
    <m/>
    <m/>
    <s v="+"/>
    <x v="1562"/>
    <s v="Manual"/>
    <m/>
  </r>
  <r>
    <x v="35"/>
    <d v="2021-12-30T00:00:00"/>
    <s v="Jeff IRA"/>
    <x v="1680"/>
    <n v="69.27"/>
    <x v="26"/>
    <m/>
    <m/>
    <m/>
    <n v="69.27"/>
    <b v="0"/>
    <m/>
    <m/>
    <s v="-"/>
    <x v="1562"/>
    <s v="Manual"/>
    <m/>
  </r>
  <r>
    <x v="35"/>
    <d v="2021-12-30T00:00:00"/>
    <s v="Jeff Roth"/>
    <x v="1680"/>
    <n v="-117.41"/>
    <x v="26"/>
    <m/>
    <m/>
    <m/>
    <n v="117.41"/>
    <b v="0"/>
    <m/>
    <m/>
    <s v="+"/>
    <x v="1562"/>
    <s v="Manual"/>
    <m/>
  </r>
  <r>
    <x v="35"/>
    <d v="2021-12-30T00:00:00"/>
    <s v="Roth Contributory IRA"/>
    <x v="1680"/>
    <n v="-117.41"/>
    <x v="26"/>
    <m/>
    <m/>
    <m/>
    <n v="117.41"/>
    <b v="0"/>
    <m/>
    <m/>
    <s v="+"/>
    <x v="1562"/>
    <s v="Manual"/>
    <m/>
  </r>
  <r>
    <x v="35"/>
    <d v="2021-12-30T00:00:00"/>
    <s v="Jeff Roth"/>
    <x v="1680"/>
    <n v="117.41"/>
    <x v="26"/>
    <m/>
    <m/>
    <m/>
    <n v="117.41"/>
    <b v="0"/>
    <m/>
    <m/>
    <s v="-"/>
    <x v="1562"/>
    <s v="Manual"/>
    <m/>
  </r>
  <r>
    <x v="35"/>
    <d v="2021-12-30T00:00:00"/>
    <s v="Roth Contributory IRA"/>
    <x v="1680"/>
    <n v="117.41"/>
    <x v="26"/>
    <m/>
    <m/>
    <m/>
    <n v="117.41"/>
    <b v="0"/>
    <m/>
    <m/>
    <s v="-"/>
    <x v="1562"/>
    <s v="Manual"/>
    <m/>
  </r>
  <r>
    <x v="35"/>
    <d v="2021-12-30T00:00:00"/>
    <s v="Britney Roth"/>
    <x v="1680"/>
    <n v="-118.93"/>
    <x v="26"/>
    <m/>
    <m/>
    <m/>
    <n v="118.93"/>
    <b v="0"/>
    <m/>
    <m/>
    <s v="+"/>
    <x v="1562"/>
    <s v="Manual"/>
    <m/>
  </r>
  <r>
    <x v="35"/>
    <d v="2021-12-30T00:00:00"/>
    <s v="Roth Contributory IRA"/>
    <x v="1680"/>
    <n v="-118.93"/>
    <x v="26"/>
    <m/>
    <m/>
    <m/>
    <n v="118.93"/>
    <b v="0"/>
    <m/>
    <m/>
    <s v="+"/>
    <x v="1562"/>
    <s v="Manual"/>
    <m/>
  </r>
  <r>
    <x v="35"/>
    <d v="2021-12-30T00:00:00"/>
    <s v="Britney Roth"/>
    <x v="1680"/>
    <n v="118.93"/>
    <x v="26"/>
    <m/>
    <m/>
    <m/>
    <n v="118.93"/>
    <b v="0"/>
    <m/>
    <m/>
    <s v="-"/>
    <x v="1562"/>
    <s v="Manual"/>
    <m/>
  </r>
  <r>
    <x v="35"/>
    <d v="2021-12-30T00:00:00"/>
    <s v="Roth Contributory IRA"/>
    <x v="1680"/>
    <n v="118.93"/>
    <x v="26"/>
    <m/>
    <m/>
    <m/>
    <n v="118.93"/>
    <b v="0"/>
    <m/>
    <m/>
    <s v="-"/>
    <x v="1562"/>
    <s v="Manual"/>
    <m/>
  </r>
  <r>
    <x v="35"/>
    <d v="2021-12-30T00:00:00"/>
    <s v="Joint Tenant"/>
    <x v="1680"/>
    <n v="-530.80999999999995"/>
    <x v="26"/>
    <m/>
    <m/>
    <m/>
    <n v="530.80999999999995"/>
    <b v="0"/>
    <m/>
    <m/>
    <s v="+"/>
    <x v="1562"/>
    <s v="Delete; and Source='Joint Tenant';0"/>
    <m/>
  </r>
  <r>
    <x v="35"/>
    <d v="2021-12-30T00:00:00"/>
    <s v="Joint Tenant"/>
    <x v="1680"/>
    <n v="530.80999999999995"/>
    <x v="26"/>
    <m/>
    <m/>
    <m/>
    <n v="530.80999999999995"/>
    <b v="0"/>
    <m/>
    <m/>
    <s v="-"/>
    <x v="1562"/>
    <s v="Delete; and Source='Joint Tenant';0"/>
    <m/>
  </r>
  <r>
    <x v="35"/>
    <d v="2021-12-30T00:00:00"/>
    <s v="Cooper"/>
    <x v="1681"/>
    <n v="-0.37"/>
    <x v="26"/>
    <m/>
    <m/>
    <m/>
    <n v="0.37"/>
    <b v="0"/>
    <m/>
    <m/>
    <s v="+"/>
    <x v="1563"/>
    <s v="Manual"/>
    <m/>
  </r>
  <r>
    <x v="35"/>
    <d v="2021-12-30T00:00:00"/>
    <s v="Joint Tenant"/>
    <x v="1681"/>
    <n v="-0.26"/>
    <x v="26"/>
    <m/>
    <m/>
    <m/>
    <n v="0.26"/>
    <b v="0"/>
    <m/>
    <m/>
    <s v="+"/>
    <x v="1563"/>
    <s v="Delete; and Source='Joint Tenant';0"/>
    <m/>
  </r>
  <r>
    <x v="35"/>
    <d v="2021-12-30T00:00:00"/>
    <s v="Tucker"/>
    <x v="1681"/>
    <n v="-0.32"/>
    <x v="26"/>
    <m/>
    <m/>
    <m/>
    <n v="0.32"/>
    <b v="0"/>
    <m/>
    <m/>
    <s v="+"/>
    <x v="1563"/>
    <s v="Manual"/>
    <m/>
  </r>
  <r>
    <x v="35"/>
    <d v="2021-12-30T00:00:00"/>
    <s v="Cooper"/>
    <x v="1681"/>
    <n v="0.37"/>
    <x v="26"/>
    <m/>
    <m/>
    <m/>
    <n v="0.37"/>
    <b v="0"/>
    <m/>
    <m/>
    <s v="-"/>
    <x v="1563"/>
    <s v="Manual"/>
    <m/>
  </r>
  <r>
    <x v="35"/>
    <d v="2021-12-30T00:00:00"/>
    <s v="Joint Tenant"/>
    <x v="1681"/>
    <n v="0.26"/>
    <x v="26"/>
    <m/>
    <m/>
    <m/>
    <n v="0.26"/>
    <b v="0"/>
    <m/>
    <m/>
    <s v="-"/>
    <x v="1563"/>
    <s v="Delete; and Source='Joint Tenant';0"/>
    <m/>
  </r>
  <r>
    <x v="35"/>
    <d v="2021-12-30T00:00:00"/>
    <s v="Tucker"/>
    <x v="1681"/>
    <n v="0.32"/>
    <x v="26"/>
    <m/>
    <m/>
    <m/>
    <n v="0.32"/>
    <b v="0"/>
    <m/>
    <m/>
    <s v="-"/>
    <x v="1563"/>
    <s v="Manual"/>
    <m/>
  </r>
  <r>
    <x v="35"/>
    <d v="2021-12-30T00:00:00"/>
    <s v="Contributory"/>
    <x v="1681"/>
    <n v="-0.53"/>
    <x v="26"/>
    <m/>
    <m/>
    <m/>
    <n v="0.53"/>
    <b v="0"/>
    <m/>
    <m/>
    <s v="+"/>
    <x v="1563"/>
    <s v="Manual"/>
    <m/>
  </r>
  <r>
    <x v="35"/>
    <d v="2021-12-30T00:00:00"/>
    <s v="Jeff IRA"/>
    <x v="1681"/>
    <n v="-0.66"/>
    <x v="26"/>
    <m/>
    <m/>
    <m/>
    <n v="0.66"/>
    <b v="0"/>
    <m/>
    <m/>
    <s v="+"/>
    <x v="1563"/>
    <s v="Manual"/>
    <m/>
  </r>
  <r>
    <x v="35"/>
    <d v="2021-12-30T00:00:00"/>
    <s v="Jeff Roth"/>
    <x v="1681"/>
    <n v="-0.91"/>
    <x v="26"/>
    <m/>
    <m/>
    <m/>
    <n v="0.91"/>
    <b v="0"/>
    <m/>
    <m/>
    <s v="+"/>
    <x v="1563"/>
    <s v="Manual"/>
    <m/>
  </r>
  <r>
    <x v="35"/>
    <d v="2021-12-30T00:00:00"/>
    <s v="Joint Tenant"/>
    <x v="1681"/>
    <n v="-1.47"/>
    <x v="26"/>
    <m/>
    <m/>
    <m/>
    <n v="1.47"/>
    <b v="0"/>
    <m/>
    <m/>
    <s v="+"/>
    <x v="1563"/>
    <s v="Delete; and Source='Joint Tenant';0"/>
    <m/>
  </r>
  <r>
    <x v="35"/>
    <d v="2021-12-30T00:00:00"/>
    <s v="Roth Contributory IRA"/>
    <x v="1681"/>
    <n v="-0.91"/>
    <x v="26"/>
    <m/>
    <m/>
    <m/>
    <n v="0.91"/>
    <b v="0"/>
    <m/>
    <m/>
    <s v="+"/>
    <x v="1563"/>
    <s v="Manual"/>
    <m/>
  </r>
  <r>
    <x v="35"/>
    <d v="2021-12-30T00:00:00"/>
    <s v="Contributory"/>
    <x v="1681"/>
    <n v="0.53"/>
    <x v="26"/>
    <m/>
    <m/>
    <m/>
    <n v="0.53"/>
    <b v="0"/>
    <m/>
    <m/>
    <s v="-"/>
    <x v="1563"/>
    <s v="Manual"/>
    <m/>
  </r>
  <r>
    <x v="35"/>
    <d v="2021-12-30T00:00:00"/>
    <s v="Jeff IRA"/>
    <x v="1681"/>
    <n v="0.66"/>
    <x v="26"/>
    <m/>
    <m/>
    <m/>
    <n v="0.66"/>
    <b v="0"/>
    <m/>
    <m/>
    <s v="-"/>
    <x v="1563"/>
    <s v="Manual"/>
    <m/>
  </r>
  <r>
    <x v="35"/>
    <d v="2021-12-30T00:00:00"/>
    <s v="Jeff Roth"/>
    <x v="1681"/>
    <n v="0.91"/>
    <x v="26"/>
    <m/>
    <m/>
    <m/>
    <n v="0.91"/>
    <b v="0"/>
    <m/>
    <m/>
    <s v="-"/>
    <x v="1563"/>
    <s v="Manual"/>
    <m/>
  </r>
  <r>
    <x v="35"/>
    <d v="2021-12-30T00:00:00"/>
    <s v="Joint Tenant"/>
    <x v="1681"/>
    <n v="1.47"/>
    <x v="26"/>
    <m/>
    <m/>
    <m/>
    <n v="1.47"/>
    <b v="0"/>
    <m/>
    <m/>
    <s v="-"/>
    <x v="1563"/>
    <s v="Delete; and Source='Joint Tenant';0"/>
    <m/>
  </r>
  <r>
    <x v="35"/>
    <d v="2021-12-30T00:00:00"/>
    <s v="Roth Contributory IRA"/>
    <x v="1681"/>
    <n v="0.91"/>
    <x v="26"/>
    <m/>
    <m/>
    <m/>
    <n v="0.91"/>
    <b v="0"/>
    <m/>
    <m/>
    <s v="-"/>
    <x v="1563"/>
    <s v="Manual"/>
    <m/>
  </r>
  <r>
    <x v="35"/>
    <d v="2021-12-30T00:00:00"/>
    <s v="Britney Roth"/>
    <x v="1681"/>
    <n v="-2.29"/>
    <x v="26"/>
    <m/>
    <m/>
    <m/>
    <n v="2.29"/>
    <b v="0"/>
    <m/>
    <m/>
    <s v="+"/>
    <x v="1563"/>
    <s v="Manual"/>
    <m/>
  </r>
  <r>
    <x v="35"/>
    <d v="2021-12-30T00:00:00"/>
    <s v="Cooper"/>
    <x v="1681"/>
    <n v="-2.14"/>
    <x v="26"/>
    <m/>
    <m/>
    <m/>
    <n v="2.14"/>
    <b v="0"/>
    <m/>
    <m/>
    <s v="+"/>
    <x v="1563"/>
    <s v="Manual"/>
    <m/>
  </r>
  <r>
    <x v="35"/>
    <d v="2021-12-30T00:00:00"/>
    <s v="Roth Contributory IRA"/>
    <x v="1681"/>
    <n v="-2.29"/>
    <x v="26"/>
    <m/>
    <m/>
    <m/>
    <n v="2.29"/>
    <b v="0"/>
    <m/>
    <m/>
    <s v="+"/>
    <x v="1563"/>
    <s v="Manual"/>
    <m/>
  </r>
  <r>
    <x v="35"/>
    <d v="2021-12-30T00:00:00"/>
    <s v="Tucker"/>
    <x v="1681"/>
    <n v="-1.83"/>
    <x v="26"/>
    <m/>
    <m/>
    <m/>
    <n v="1.83"/>
    <b v="0"/>
    <m/>
    <m/>
    <s v="+"/>
    <x v="1563"/>
    <s v="Manual"/>
    <m/>
  </r>
  <r>
    <x v="35"/>
    <d v="2021-12-30T00:00:00"/>
    <s v="Britney Roth"/>
    <x v="1681"/>
    <n v="2.29"/>
    <x v="26"/>
    <m/>
    <m/>
    <m/>
    <n v="2.29"/>
    <b v="0"/>
    <m/>
    <m/>
    <s v="-"/>
    <x v="1563"/>
    <s v="Manual"/>
    <m/>
  </r>
  <r>
    <x v="35"/>
    <d v="2021-12-30T00:00:00"/>
    <s v="Cooper"/>
    <x v="1681"/>
    <n v="2.14"/>
    <x v="26"/>
    <m/>
    <m/>
    <m/>
    <n v="2.14"/>
    <b v="0"/>
    <m/>
    <m/>
    <s v="-"/>
    <x v="1563"/>
    <s v="Manual"/>
    <m/>
  </r>
  <r>
    <x v="35"/>
    <d v="2021-12-30T00:00:00"/>
    <s v="Roth Contributory IRA"/>
    <x v="1681"/>
    <n v="2.29"/>
    <x v="26"/>
    <m/>
    <m/>
    <m/>
    <n v="2.29"/>
    <b v="0"/>
    <m/>
    <m/>
    <s v="-"/>
    <x v="1563"/>
    <s v="Manual"/>
    <m/>
  </r>
  <r>
    <x v="35"/>
    <d v="2021-12-30T00:00:00"/>
    <s v="Tucker"/>
    <x v="1681"/>
    <n v="1.83"/>
    <x v="26"/>
    <m/>
    <m/>
    <m/>
    <n v="1.83"/>
    <b v="0"/>
    <m/>
    <m/>
    <s v="-"/>
    <x v="1563"/>
    <s v="Manual"/>
    <m/>
  </r>
  <r>
    <x v="35"/>
    <d v="2021-12-30T00:00:00"/>
    <s v="Contributory"/>
    <x v="1681"/>
    <n v="-3.07"/>
    <x v="26"/>
    <m/>
    <m/>
    <m/>
    <n v="3.07"/>
    <b v="0"/>
    <m/>
    <m/>
    <s v="+"/>
    <x v="1563"/>
    <s v="Manual"/>
    <m/>
  </r>
  <r>
    <x v="35"/>
    <d v="2021-12-30T00:00:00"/>
    <s v="Contributory"/>
    <x v="1681"/>
    <n v="3.07"/>
    <x v="26"/>
    <m/>
    <m/>
    <m/>
    <n v="3.07"/>
    <b v="0"/>
    <m/>
    <m/>
    <s v="-"/>
    <x v="1563"/>
    <s v="Manual"/>
    <m/>
  </r>
  <r>
    <x v="35"/>
    <d v="2021-12-30T00:00:00"/>
    <s v="Jeff IRA"/>
    <x v="1681"/>
    <n v="-3.82"/>
    <x v="26"/>
    <m/>
    <m/>
    <m/>
    <n v="3.82"/>
    <b v="0"/>
    <m/>
    <m/>
    <s v="+"/>
    <x v="1563"/>
    <s v="Manual"/>
    <m/>
  </r>
  <r>
    <x v="35"/>
    <d v="2021-12-30T00:00:00"/>
    <s v="Jeff IRA"/>
    <x v="1681"/>
    <n v="3.82"/>
    <x v="26"/>
    <m/>
    <m/>
    <m/>
    <n v="3.82"/>
    <b v="0"/>
    <m/>
    <m/>
    <s v="-"/>
    <x v="1563"/>
    <s v="Manual"/>
    <m/>
  </r>
  <r>
    <x v="35"/>
    <d v="2021-12-30T00:00:00"/>
    <s v="Jeff Roth"/>
    <x v="1681"/>
    <n v="-5.25"/>
    <x v="26"/>
    <m/>
    <m/>
    <m/>
    <n v="5.25"/>
    <b v="0"/>
    <m/>
    <m/>
    <s v="+"/>
    <x v="1563"/>
    <s v="Manual"/>
    <m/>
  </r>
  <r>
    <x v="35"/>
    <d v="2021-12-30T00:00:00"/>
    <s v="Roth Contributory IRA"/>
    <x v="1681"/>
    <n v="-5.25"/>
    <x v="26"/>
    <m/>
    <m/>
    <m/>
    <n v="5.25"/>
    <b v="0"/>
    <m/>
    <m/>
    <s v="+"/>
    <x v="1563"/>
    <s v="Manual"/>
    <m/>
  </r>
  <r>
    <x v="35"/>
    <d v="2021-12-30T00:00:00"/>
    <s v="Jeff Roth"/>
    <x v="1681"/>
    <n v="5.25"/>
    <x v="26"/>
    <m/>
    <m/>
    <m/>
    <n v="5.25"/>
    <b v="0"/>
    <m/>
    <m/>
    <s v="-"/>
    <x v="1563"/>
    <s v="Manual"/>
    <m/>
  </r>
  <r>
    <x v="35"/>
    <d v="2021-12-30T00:00:00"/>
    <s v="Roth Contributory IRA"/>
    <x v="1681"/>
    <n v="5.25"/>
    <x v="26"/>
    <m/>
    <m/>
    <m/>
    <n v="5.25"/>
    <b v="0"/>
    <m/>
    <m/>
    <s v="-"/>
    <x v="1563"/>
    <s v="Manual"/>
    <m/>
  </r>
  <r>
    <x v="35"/>
    <d v="2021-12-30T00:00:00"/>
    <s v="Joint Tenant"/>
    <x v="1681"/>
    <n v="-7.04"/>
    <x v="26"/>
    <m/>
    <m/>
    <m/>
    <n v="7.04"/>
    <b v="0"/>
    <m/>
    <m/>
    <s v="+"/>
    <x v="1563"/>
    <s v="Delete; and Source='Joint Tenant';0"/>
    <m/>
  </r>
  <r>
    <x v="35"/>
    <d v="2021-12-30T00:00:00"/>
    <s v="Joint Tenant"/>
    <x v="1681"/>
    <n v="7.04"/>
    <x v="26"/>
    <m/>
    <m/>
    <m/>
    <n v="7.04"/>
    <b v="0"/>
    <m/>
    <m/>
    <s v="-"/>
    <x v="1563"/>
    <s v="Delete; and Source='Joint Tenant';0"/>
    <m/>
  </r>
  <r>
    <x v="35"/>
    <d v="2021-12-30T00:00:00"/>
    <s v="Tucker"/>
    <x v="1681"/>
    <n v="-8.74"/>
    <x v="26"/>
    <m/>
    <m/>
    <m/>
    <n v="8.74"/>
    <b v="0"/>
    <m/>
    <m/>
    <s v="+"/>
    <x v="1563"/>
    <s v="Manual"/>
    <m/>
  </r>
  <r>
    <x v="35"/>
    <d v="2021-12-30T00:00:00"/>
    <s v="Tucker"/>
    <x v="1681"/>
    <n v="8.74"/>
    <x v="26"/>
    <m/>
    <m/>
    <m/>
    <n v="8.74"/>
    <b v="0"/>
    <m/>
    <m/>
    <s v="-"/>
    <x v="1563"/>
    <s v="Manual"/>
    <m/>
  </r>
  <r>
    <x v="35"/>
    <d v="2021-12-30T00:00:00"/>
    <s v="Cooper"/>
    <x v="1681"/>
    <n v="-10.199999999999999"/>
    <x v="26"/>
    <m/>
    <m/>
    <m/>
    <n v="10.199999999999999"/>
    <b v="0"/>
    <m/>
    <m/>
    <s v="+"/>
    <x v="1563"/>
    <s v="Manual"/>
    <m/>
  </r>
  <r>
    <x v="35"/>
    <d v="2021-12-30T00:00:00"/>
    <s v="Cooper"/>
    <x v="1681"/>
    <n v="10.199999999999999"/>
    <x v="26"/>
    <m/>
    <m/>
    <m/>
    <n v="10.199999999999999"/>
    <b v="0"/>
    <m/>
    <m/>
    <s v="-"/>
    <x v="1563"/>
    <s v="Manual"/>
    <m/>
  </r>
  <r>
    <x v="35"/>
    <d v="2021-12-30T00:00:00"/>
    <s v="Britney Roth"/>
    <x v="1681"/>
    <n v="-13.16"/>
    <x v="26"/>
    <m/>
    <m/>
    <m/>
    <n v="13.16"/>
    <b v="0"/>
    <m/>
    <m/>
    <s v="+"/>
    <x v="1563"/>
    <s v="Manual"/>
    <m/>
  </r>
  <r>
    <x v="35"/>
    <d v="2021-12-30T00:00:00"/>
    <s v="Roth Contributory IRA"/>
    <x v="1681"/>
    <n v="-13.16"/>
    <x v="26"/>
    <m/>
    <m/>
    <m/>
    <n v="13.16"/>
    <b v="0"/>
    <m/>
    <m/>
    <s v="+"/>
    <x v="1563"/>
    <s v="Manual"/>
    <m/>
  </r>
  <r>
    <x v="35"/>
    <d v="2021-12-30T00:00:00"/>
    <s v="Britney Roth"/>
    <x v="1681"/>
    <n v="13.16"/>
    <x v="26"/>
    <m/>
    <m/>
    <m/>
    <n v="13.16"/>
    <b v="0"/>
    <m/>
    <m/>
    <s v="-"/>
    <x v="1563"/>
    <s v="Manual"/>
    <m/>
  </r>
  <r>
    <x v="35"/>
    <d v="2021-12-30T00:00:00"/>
    <s v="Roth Contributory IRA"/>
    <x v="1681"/>
    <n v="13.16"/>
    <x v="26"/>
    <m/>
    <m/>
    <m/>
    <n v="13.16"/>
    <b v="0"/>
    <m/>
    <m/>
    <s v="-"/>
    <x v="1563"/>
    <s v="Manual"/>
    <m/>
  </r>
  <r>
    <x v="35"/>
    <d v="2021-12-30T00:00:00"/>
    <s v="Joint Tenant"/>
    <x v="1681"/>
    <n v="-14.13"/>
    <x v="26"/>
    <m/>
    <m/>
    <m/>
    <n v="14.13"/>
    <b v="0"/>
    <m/>
    <m/>
    <s v="+"/>
    <x v="1563"/>
    <s v="Delete; and Source='Joint Tenant';0"/>
    <m/>
  </r>
  <r>
    <x v="35"/>
    <d v="2021-12-30T00:00:00"/>
    <s v="Joint Tenant"/>
    <x v="1681"/>
    <n v="14.13"/>
    <x v="26"/>
    <m/>
    <m/>
    <m/>
    <n v="14.13"/>
    <b v="0"/>
    <m/>
    <m/>
    <s v="-"/>
    <x v="1563"/>
    <s v="Delete; and Source='Joint Tenant';0"/>
    <m/>
  </r>
  <r>
    <x v="35"/>
    <d v="2021-12-30T00:00:00"/>
    <s v="Contributory"/>
    <x v="1681"/>
    <n v="-14.66"/>
    <x v="26"/>
    <m/>
    <m/>
    <m/>
    <n v="14.66"/>
    <b v="0"/>
    <m/>
    <m/>
    <s v="+"/>
    <x v="1563"/>
    <s v="Manual"/>
    <m/>
  </r>
  <r>
    <x v="35"/>
    <d v="2021-12-30T00:00:00"/>
    <s v="Contributory"/>
    <x v="1681"/>
    <n v="14.66"/>
    <x v="26"/>
    <m/>
    <m/>
    <m/>
    <n v="14.66"/>
    <b v="0"/>
    <m/>
    <m/>
    <s v="-"/>
    <x v="1563"/>
    <s v="Manual"/>
    <m/>
  </r>
  <r>
    <x v="35"/>
    <d v="2021-12-30T00:00:00"/>
    <s v="Jeff IRA"/>
    <x v="1681"/>
    <n v="-18.22"/>
    <x v="26"/>
    <m/>
    <m/>
    <m/>
    <n v="18.22"/>
    <b v="0"/>
    <m/>
    <m/>
    <s v="+"/>
    <x v="1563"/>
    <s v="Manual"/>
    <m/>
  </r>
  <r>
    <x v="35"/>
    <d v="2021-12-30T00:00:00"/>
    <s v="Jeff IRA"/>
    <x v="1681"/>
    <n v="18.22"/>
    <x v="26"/>
    <m/>
    <m/>
    <m/>
    <n v="18.22"/>
    <b v="0"/>
    <m/>
    <m/>
    <s v="-"/>
    <x v="1563"/>
    <s v="Manual"/>
    <m/>
  </r>
  <r>
    <x v="35"/>
    <d v="2021-12-30T00:00:00"/>
    <s v="Jeff Roth"/>
    <x v="1681"/>
    <n v="-25.05"/>
    <x v="26"/>
    <m/>
    <m/>
    <m/>
    <n v="25.05"/>
    <b v="0"/>
    <m/>
    <m/>
    <s v="+"/>
    <x v="1563"/>
    <s v="Manual"/>
    <m/>
  </r>
  <r>
    <x v="35"/>
    <d v="2021-12-30T00:00:00"/>
    <s v="Roth Contributory IRA"/>
    <x v="1681"/>
    <n v="-25.05"/>
    <x v="26"/>
    <m/>
    <m/>
    <m/>
    <n v="25.05"/>
    <b v="0"/>
    <m/>
    <m/>
    <s v="+"/>
    <x v="1563"/>
    <s v="Manual"/>
    <m/>
  </r>
  <r>
    <x v="35"/>
    <d v="2021-12-30T00:00:00"/>
    <s v="Jeff Roth"/>
    <x v="1681"/>
    <n v="25.05"/>
    <x v="26"/>
    <m/>
    <m/>
    <m/>
    <n v="25.05"/>
    <b v="0"/>
    <m/>
    <m/>
    <s v="-"/>
    <x v="1563"/>
    <s v="Manual"/>
    <m/>
  </r>
  <r>
    <x v="35"/>
    <d v="2021-12-30T00:00:00"/>
    <s v="Roth Contributory IRA"/>
    <x v="1681"/>
    <n v="25.05"/>
    <x v="26"/>
    <m/>
    <m/>
    <m/>
    <n v="25.05"/>
    <b v="0"/>
    <m/>
    <m/>
    <s v="-"/>
    <x v="1563"/>
    <s v="Manual"/>
    <m/>
  </r>
  <r>
    <x v="35"/>
    <d v="2021-12-30T00:00:00"/>
    <s v="Britney Roth"/>
    <x v="1681"/>
    <n v="-62.79"/>
    <x v="26"/>
    <m/>
    <m/>
    <m/>
    <n v="62.79"/>
    <b v="0"/>
    <m/>
    <m/>
    <s v="+"/>
    <x v="1563"/>
    <s v="Manual"/>
    <m/>
  </r>
  <r>
    <x v="35"/>
    <d v="2021-12-30T00:00:00"/>
    <s v="Roth Contributory IRA"/>
    <x v="1681"/>
    <n v="-62.79"/>
    <x v="26"/>
    <m/>
    <m/>
    <m/>
    <n v="62.79"/>
    <b v="0"/>
    <m/>
    <m/>
    <s v="+"/>
    <x v="1563"/>
    <s v="Manual"/>
    <m/>
  </r>
  <r>
    <x v="35"/>
    <d v="2021-12-30T00:00:00"/>
    <s v="Britney Roth"/>
    <x v="1681"/>
    <n v="62.79"/>
    <x v="26"/>
    <m/>
    <m/>
    <m/>
    <n v="62.79"/>
    <b v="0"/>
    <m/>
    <m/>
    <s v="-"/>
    <x v="1563"/>
    <s v="Manual"/>
    <m/>
  </r>
  <r>
    <x v="35"/>
    <d v="2021-12-30T00:00:00"/>
    <s v="Roth Contributory IRA"/>
    <x v="1681"/>
    <n v="62.79"/>
    <x v="26"/>
    <m/>
    <m/>
    <m/>
    <n v="62.79"/>
    <b v="0"/>
    <m/>
    <m/>
    <s v="-"/>
    <x v="1563"/>
    <s v="Manual"/>
    <m/>
  </r>
  <r>
    <x v="35"/>
    <d v="2021-12-30T00:00:00"/>
    <s v="Joint Tenant"/>
    <x v="1681"/>
    <n v="-81.19"/>
    <x v="26"/>
    <m/>
    <m/>
    <m/>
    <n v="81.19"/>
    <b v="0"/>
    <m/>
    <m/>
    <s v="+"/>
    <x v="1563"/>
    <s v="Delete; and Source='Joint Tenant';0"/>
    <m/>
  </r>
  <r>
    <x v="35"/>
    <d v="2021-12-30T00:00:00"/>
    <s v="Joint Tenant"/>
    <x v="1681"/>
    <n v="81.19"/>
    <x v="26"/>
    <m/>
    <m/>
    <m/>
    <n v="81.19"/>
    <b v="0"/>
    <m/>
    <m/>
    <s v="-"/>
    <x v="1563"/>
    <s v="Delete; and Source='Joint Tenant';0"/>
    <m/>
  </r>
  <r>
    <x v="35"/>
    <d v="2021-12-30T00:00:00"/>
    <s v="Joint Tenant"/>
    <x v="1681"/>
    <n v="-387.42"/>
    <x v="26"/>
    <m/>
    <m/>
    <m/>
    <n v="387.42"/>
    <b v="0"/>
    <m/>
    <m/>
    <s v="+"/>
    <x v="1563"/>
    <s v="Delete; and Source='Joint Tenant';0"/>
    <m/>
  </r>
  <r>
    <x v="35"/>
    <d v="2021-12-30T00:00:00"/>
    <s v="Joint Tenant"/>
    <x v="1681"/>
    <n v="387.42"/>
    <x v="26"/>
    <m/>
    <m/>
    <m/>
    <n v="387.42"/>
    <b v="0"/>
    <m/>
    <m/>
    <s v="-"/>
    <x v="1563"/>
    <s v="Delete; and Source='Joint Tenant';0"/>
    <m/>
  </r>
  <r>
    <x v="35"/>
    <d v="2021-12-30T00:00:00"/>
    <s v="Jeff Roth"/>
    <x v="1731"/>
    <n v="-3.04"/>
    <x v="26"/>
    <m/>
    <m/>
    <m/>
    <n v="3.04"/>
    <b v="0"/>
    <m/>
    <m/>
    <s v="+"/>
    <x v="1608"/>
    <s v="Manual"/>
    <m/>
  </r>
  <r>
    <x v="35"/>
    <d v="2021-12-30T00:00:00"/>
    <s v="Joint Tenant"/>
    <x v="1731"/>
    <n v="-3.4"/>
    <x v="26"/>
    <m/>
    <m/>
    <m/>
    <n v="3.4"/>
    <b v="0"/>
    <m/>
    <m/>
    <s v="+"/>
    <x v="1608"/>
    <s v="Delete; and Source='Joint Tenant';0"/>
    <m/>
  </r>
  <r>
    <x v="35"/>
    <d v="2021-12-30T00:00:00"/>
    <s v="Roth Contributory IRA"/>
    <x v="1731"/>
    <n v="-3.04"/>
    <x v="26"/>
    <m/>
    <m/>
    <m/>
    <n v="3.04"/>
    <b v="0"/>
    <m/>
    <m/>
    <s v="+"/>
    <x v="1608"/>
    <s v="Manual"/>
    <m/>
  </r>
  <r>
    <x v="35"/>
    <d v="2021-12-30T00:00:00"/>
    <s v="Jeff Roth"/>
    <x v="1731"/>
    <n v="3.04"/>
    <x v="26"/>
    <m/>
    <m/>
    <m/>
    <n v="3.04"/>
    <b v="0"/>
    <m/>
    <m/>
    <s v="-"/>
    <x v="1608"/>
    <s v="Manual"/>
    <m/>
  </r>
  <r>
    <x v="35"/>
    <d v="2021-12-30T00:00:00"/>
    <s v="Joint Tenant"/>
    <x v="1731"/>
    <n v="3.4"/>
    <x v="26"/>
    <m/>
    <m/>
    <m/>
    <n v="3.4"/>
    <b v="0"/>
    <m/>
    <m/>
    <s v="-"/>
    <x v="1608"/>
    <s v="Delete; and Source='Joint Tenant';0"/>
    <m/>
  </r>
  <r>
    <x v="35"/>
    <d v="2021-12-30T00:00:00"/>
    <s v="Roth Contributory IRA"/>
    <x v="1731"/>
    <n v="3.04"/>
    <x v="26"/>
    <m/>
    <m/>
    <m/>
    <n v="3.04"/>
    <b v="0"/>
    <m/>
    <m/>
    <s v="-"/>
    <x v="1608"/>
    <s v="Manual"/>
    <m/>
  </r>
  <r>
    <x v="35"/>
    <d v="2021-12-30T00:00:00"/>
    <s v="Jeff Roth"/>
    <x v="1731"/>
    <n v="-14.45"/>
    <x v="26"/>
    <m/>
    <m/>
    <m/>
    <n v="14.45"/>
    <b v="0"/>
    <m/>
    <m/>
    <s v="+"/>
    <x v="1608"/>
    <s v="Manual"/>
    <m/>
  </r>
  <r>
    <x v="35"/>
    <d v="2021-12-30T00:00:00"/>
    <s v="Roth Contributory IRA"/>
    <x v="1731"/>
    <n v="-14.45"/>
    <x v="26"/>
    <m/>
    <m/>
    <m/>
    <n v="14.45"/>
    <b v="0"/>
    <m/>
    <m/>
    <s v="+"/>
    <x v="1608"/>
    <s v="Manual"/>
    <m/>
  </r>
  <r>
    <x v="35"/>
    <d v="2021-12-30T00:00:00"/>
    <s v="Jeff Roth"/>
    <x v="1731"/>
    <n v="14.45"/>
    <x v="26"/>
    <m/>
    <m/>
    <m/>
    <n v="14.45"/>
    <b v="0"/>
    <m/>
    <m/>
    <s v="-"/>
    <x v="1608"/>
    <s v="Manual"/>
    <m/>
  </r>
  <r>
    <x v="35"/>
    <d v="2021-12-30T00:00:00"/>
    <s v="Roth Contributory IRA"/>
    <x v="1731"/>
    <n v="14.45"/>
    <x v="26"/>
    <m/>
    <m/>
    <m/>
    <n v="14.45"/>
    <b v="0"/>
    <m/>
    <m/>
    <s v="-"/>
    <x v="1608"/>
    <s v="Manual"/>
    <m/>
  </r>
  <r>
    <x v="35"/>
    <d v="2021-12-30T00:00:00"/>
    <s v="Joint Tenant"/>
    <x v="1731"/>
    <n v="-16.170000000000002"/>
    <x v="26"/>
    <m/>
    <m/>
    <m/>
    <n v="16.170000000000002"/>
    <b v="0"/>
    <m/>
    <m/>
    <s v="+"/>
    <x v="1608"/>
    <s v="Delete; and Source='Joint Tenant';0"/>
    <m/>
  </r>
  <r>
    <x v="35"/>
    <d v="2021-12-30T00:00:00"/>
    <s v="Joint Tenant"/>
    <x v="1731"/>
    <n v="16.170000000000002"/>
    <x v="26"/>
    <m/>
    <m/>
    <m/>
    <n v="16.170000000000002"/>
    <b v="0"/>
    <m/>
    <m/>
    <s v="-"/>
    <x v="1608"/>
    <s v="Delete; and Source='Joint Tenant';0"/>
    <m/>
  </r>
  <r>
    <x v="35"/>
    <d v="2021-12-30T00:00:00"/>
    <s v="Jeff Roth"/>
    <x v="1731"/>
    <n v="-27.19"/>
    <x v="26"/>
    <m/>
    <m/>
    <m/>
    <n v="27.19"/>
    <b v="0"/>
    <m/>
    <m/>
    <s v="+"/>
    <x v="1608"/>
    <s v="Manual"/>
    <m/>
  </r>
  <r>
    <x v="35"/>
    <d v="2021-12-30T00:00:00"/>
    <s v="Roth Contributory IRA"/>
    <x v="1731"/>
    <n v="-27.19"/>
    <x v="26"/>
    <m/>
    <m/>
    <m/>
    <n v="27.19"/>
    <b v="0"/>
    <m/>
    <m/>
    <s v="+"/>
    <x v="1608"/>
    <s v="Manual"/>
    <m/>
  </r>
  <r>
    <x v="35"/>
    <d v="2021-12-30T00:00:00"/>
    <s v="Jeff Roth"/>
    <x v="1731"/>
    <n v="27.19"/>
    <x v="26"/>
    <m/>
    <m/>
    <m/>
    <n v="27.19"/>
    <b v="0"/>
    <m/>
    <m/>
    <s v="-"/>
    <x v="1608"/>
    <s v="Manual"/>
    <m/>
  </r>
  <r>
    <x v="35"/>
    <d v="2021-12-30T00:00:00"/>
    <s v="Roth Contributory IRA"/>
    <x v="1731"/>
    <n v="27.19"/>
    <x v="26"/>
    <m/>
    <m/>
    <m/>
    <n v="27.19"/>
    <b v="0"/>
    <m/>
    <m/>
    <s v="-"/>
    <x v="1608"/>
    <s v="Manual"/>
    <m/>
  </r>
  <r>
    <x v="35"/>
    <d v="2021-12-30T00:00:00"/>
    <s v="Joint Tenant"/>
    <x v="1731"/>
    <n v="-30.42"/>
    <x v="26"/>
    <m/>
    <m/>
    <m/>
    <n v="30.42"/>
    <b v="0"/>
    <m/>
    <m/>
    <s v="+"/>
    <x v="1608"/>
    <s v="Delete; and Source='Joint Tenant';0"/>
    <m/>
  </r>
  <r>
    <x v="35"/>
    <d v="2021-12-30T00:00:00"/>
    <s v="Joint Tenant"/>
    <x v="1731"/>
    <n v="30.42"/>
    <x v="26"/>
    <m/>
    <m/>
    <m/>
    <n v="30.42"/>
    <b v="0"/>
    <m/>
    <m/>
    <s v="-"/>
    <x v="1608"/>
    <s v="Delete; and Source='Joint Tenant';0"/>
    <m/>
  </r>
  <r>
    <x v="35"/>
    <d v="2021-12-30T00:00:00"/>
    <s v="POWERPLUS"/>
    <x v="515"/>
    <n v="-253"/>
    <x v="26"/>
    <m/>
    <m/>
    <m/>
    <n v="253"/>
    <b v="0"/>
    <m/>
    <m/>
    <s v="+"/>
    <x v="496"/>
    <s v="Create Rule; and Description='Share';Delete"/>
    <m/>
  </r>
  <r>
    <x v="35"/>
    <d v="2021-12-30T00:00:00"/>
    <s v="RAINY DAY"/>
    <x v="515"/>
    <n v="-100"/>
    <x v="26"/>
    <m/>
    <m/>
    <m/>
    <n v="100"/>
    <b v="0"/>
    <m/>
    <m/>
    <s v="+"/>
    <x v="496"/>
    <s v="Create Rule; and Description='Share';Delete"/>
    <m/>
  </r>
  <r>
    <x v="35"/>
    <d v="2021-12-30T00:00:00"/>
    <s v="Cash Rewards Visa Signature"/>
    <x v="1377"/>
    <n v="29.63"/>
    <x v="26"/>
    <m/>
    <m/>
    <m/>
    <n v="29.63"/>
    <b v="0"/>
    <m/>
    <m/>
    <s v="-"/>
    <x v="1298"/>
    <s v="Manual"/>
    <m/>
  </r>
  <r>
    <x v="35"/>
    <d v="2021-12-30T00:00:00"/>
    <s v="Cash Rewards Visa Signature"/>
    <x v="838"/>
    <n v="286.44"/>
    <x v="29"/>
    <m/>
    <m/>
    <m/>
    <n v="286.44"/>
    <b v="0"/>
    <m/>
    <m/>
    <s v="-"/>
    <x v="806"/>
    <s v="Manual"/>
    <m/>
  </r>
  <r>
    <x v="35"/>
    <d v="2021-12-30T00:00:00"/>
    <s v="Cash Rewards Visa Signature"/>
    <x v="1732"/>
    <n v="39.9"/>
    <x v="26"/>
    <m/>
    <m/>
    <m/>
    <n v="39.9"/>
    <b v="0"/>
    <m/>
    <m/>
    <s v="-"/>
    <x v="1609"/>
    <s v="Manual"/>
    <m/>
  </r>
  <r>
    <x v="35"/>
    <d v="2021-12-30T00:00:00"/>
    <s v="Cash Rewards Visa Signature"/>
    <x v="1684"/>
    <n v="-83"/>
    <x v="26"/>
    <m/>
    <m/>
    <m/>
    <n v="83"/>
    <b v="0"/>
    <m/>
    <m/>
    <s v="+"/>
    <x v="1566"/>
    <s v="Manual"/>
    <m/>
  </r>
  <r>
    <x v="35"/>
    <d v="2021-12-30T00:00:00"/>
    <s v="Cash Rewards Visa Signature"/>
    <x v="2"/>
    <n v="47.05"/>
    <x v="2"/>
    <m/>
    <m/>
    <m/>
    <n v="47.05"/>
    <b v="0"/>
    <m/>
    <m/>
    <s v="-"/>
    <x v="2"/>
    <s v="Create Rule; and Description='Speedway';Transportation"/>
    <m/>
  </r>
  <r>
    <x v="35"/>
    <d v="2021-12-30T00:00:00"/>
    <s v="Cash Rewards Visa Signature"/>
    <x v="2"/>
    <n v="54.58"/>
    <x v="2"/>
    <m/>
    <m/>
    <m/>
    <n v="54.58"/>
    <b v="0"/>
    <m/>
    <m/>
    <s v="-"/>
    <x v="2"/>
    <s v="Create Rule; and Description='Speedway';Transportation"/>
    <m/>
  </r>
  <r>
    <x v="35"/>
    <d v="2021-12-30T00:00:00"/>
    <s v="RAINY DAY"/>
    <x v="119"/>
    <n v="-14.13"/>
    <x v="26"/>
    <m/>
    <m/>
    <m/>
    <n v="14.13"/>
    <b v="0"/>
    <m/>
    <m/>
    <s v="+"/>
    <x v="119"/>
    <s v="Create Rule; and Description='Split Rate Apy';Inc - Other"/>
    <m/>
  </r>
  <r>
    <x v="35"/>
    <d v="2021-12-30T00:00:00"/>
    <s v="POWERPLUS"/>
    <x v="119"/>
    <n v="-18.71"/>
    <x v="26"/>
    <m/>
    <m/>
    <m/>
    <n v="18.71"/>
    <b v="0"/>
    <m/>
    <m/>
    <s v="+"/>
    <x v="119"/>
    <s v="Create Rule; and Description='Split Rate Apy';Inc - Other"/>
    <m/>
  </r>
  <r>
    <x v="35"/>
    <d v="2021-12-30T00:00:00"/>
    <s v="Cash Rewards Visa Signature"/>
    <x v="1733"/>
    <n v="7.14"/>
    <x v="26"/>
    <m/>
    <m/>
    <m/>
    <n v="7.14"/>
    <b v="0"/>
    <m/>
    <m/>
    <s v="-"/>
    <x v="1610"/>
    <s v="Manual"/>
    <m/>
  </r>
  <r>
    <x v="35"/>
    <d v="2021-12-30T00:00:00"/>
    <s v="Cash Rewards Visa Signature"/>
    <x v="579"/>
    <n v="10"/>
    <x v="1"/>
    <m/>
    <m/>
    <m/>
    <n v="10"/>
    <b v="0"/>
    <m/>
    <m/>
    <s v="-"/>
    <x v="560"/>
    <s v="Create Rule; and Description='Starbucks';Restaurants"/>
    <m/>
  </r>
  <r>
    <x v="35"/>
    <d v="2021-12-30T00:00:00"/>
    <s v="Cash Rewards Visa Signature"/>
    <x v="579"/>
    <n v="30"/>
    <x v="1"/>
    <m/>
    <m/>
    <m/>
    <n v="30"/>
    <b v="0"/>
    <m/>
    <m/>
    <s v="-"/>
    <x v="560"/>
    <s v="Create Rule; and Description='Starbucks';Restaurants"/>
    <m/>
  </r>
  <r>
    <x v="35"/>
    <d v="2021-12-30T00:00:00"/>
    <s v="Cash Rewards Visa Signature"/>
    <x v="579"/>
    <n v="20"/>
    <x v="1"/>
    <m/>
    <m/>
    <m/>
    <n v="20"/>
    <b v="0"/>
    <m/>
    <m/>
    <s v="-"/>
    <x v="560"/>
    <s v="Create Rule; and Description='Starbucks';Restaurants"/>
    <m/>
  </r>
  <r>
    <x v="35"/>
    <d v="2021-12-30T00:00:00"/>
    <s v="Cash Rewards Visa Signature"/>
    <x v="579"/>
    <n v="10"/>
    <x v="1"/>
    <m/>
    <m/>
    <m/>
    <n v="10"/>
    <b v="0"/>
    <m/>
    <m/>
    <s v="-"/>
    <x v="560"/>
    <s v="Create Rule; and Description='Starbucks';Restaurants"/>
    <m/>
  </r>
  <r>
    <x v="35"/>
    <d v="2021-12-30T00:00:00"/>
    <s v="POWERPLUS"/>
    <x v="1734"/>
    <n v="-3506.76"/>
    <x v="26"/>
    <m/>
    <m/>
    <m/>
    <n v="3506.76"/>
    <b v="0"/>
    <m/>
    <m/>
    <s v="+"/>
    <x v="1526"/>
    <s v="Manual"/>
    <m/>
  </r>
  <r>
    <x v="35"/>
    <d v="2021-12-30T00:00:00"/>
    <s v="POWERPLUS"/>
    <x v="1735"/>
    <n v="-3456.76"/>
    <x v="26"/>
    <m/>
    <m/>
    <m/>
    <n v="3456.76"/>
    <b v="0"/>
    <m/>
    <m/>
    <s v="+"/>
    <x v="1526"/>
    <s v="Manual"/>
    <m/>
  </r>
  <r>
    <x v="35"/>
    <d v="2021-12-30T00:00:00"/>
    <s v="POWERPLUS"/>
    <x v="34"/>
    <n v="729.07"/>
    <x v="12"/>
    <m/>
    <m/>
    <m/>
    <n v="729.07"/>
    <b v="0"/>
    <m/>
    <m/>
    <s v="-"/>
    <x v="34"/>
    <s v="Create Rule; and Description='Target';Target"/>
    <m/>
  </r>
  <r>
    <x v="35"/>
    <d v="2021-12-30T00:00:00"/>
    <s v="Cash Rewards Visa Signature"/>
    <x v="34"/>
    <n v="105.02"/>
    <x v="12"/>
    <m/>
    <m/>
    <m/>
    <n v="105.02"/>
    <b v="0"/>
    <m/>
    <m/>
    <s v="-"/>
    <x v="34"/>
    <s v="Create Rule; and Description='Target';Target"/>
    <m/>
  </r>
  <r>
    <x v="35"/>
    <d v="2021-12-30T00:00:00"/>
    <s v="Contributory"/>
    <x v="1300"/>
    <n v="-231"/>
    <x v="26"/>
    <m/>
    <m/>
    <m/>
    <n v="231"/>
    <b v="0"/>
    <m/>
    <m/>
    <s v="+"/>
    <x v="1231"/>
    <s v="Manual"/>
    <m/>
  </r>
  <r>
    <x v="35"/>
    <d v="2021-12-30T00:00:00"/>
    <s v="Contributory"/>
    <x v="1300"/>
    <n v="-231"/>
    <x v="26"/>
    <m/>
    <m/>
    <m/>
    <n v="231"/>
    <b v="0"/>
    <m/>
    <m/>
    <s v="+"/>
    <x v="1231"/>
    <s v="Manual"/>
    <m/>
  </r>
  <r>
    <x v="35"/>
    <d v="2021-12-30T00:00:00"/>
    <s v="Cash Rewards Visa Signature"/>
    <x v="1376"/>
    <n v="65.67"/>
    <x v="26"/>
    <m/>
    <m/>
    <m/>
    <n v="65.67"/>
    <b v="0"/>
    <m/>
    <m/>
    <s v="-"/>
    <x v="1297"/>
    <s v="Manual"/>
    <m/>
  </r>
  <r>
    <x v="35"/>
    <d v="2021-12-30T00:00:00"/>
    <s v="Cash Rewards Visa Signature"/>
    <x v="1736"/>
    <n v="5.22"/>
    <x v="26"/>
    <m/>
    <m/>
    <m/>
    <n v="5.22"/>
    <b v="0"/>
    <m/>
    <m/>
    <s v="-"/>
    <x v="1611"/>
    <s v="Manual"/>
    <m/>
  </r>
  <r>
    <x v="35"/>
    <d v="2021-12-30T00:00:00"/>
    <s v="POWERPLUS"/>
    <x v="952"/>
    <n v="100"/>
    <x v="26"/>
    <m/>
    <m/>
    <m/>
    <n v="100"/>
    <b v="0"/>
    <m/>
    <m/>
    <s v="-"/>
    <x v="915"/>
    <s v="Create Rule; and Description='To Share 12';Delete"/>
    <m/>
  </r>
  <r>
    <x v="35"/>
    <d v="2021-12-30T00:00:00"/>
    <s v="SHARE SAVINGS"/>
    <x v="953"/>
    <n v="253"/>
    <x v="26"/>
    <m/>
    <m/>
    <m/>
    <n v="253"/>
    <b v="0"/>
    <m/>
    <m/>
    <s v="-"/>
    <x v="916"/>
    <s v="Manual"/>
    <m/>
  </r>
  <r>
    <x v="35"/>
    <d v="2021-12-30T00:00:00"/>
    <s v="Cash Rewards Visa Signature"/>
    <x v="1184"/>
    <n v="137.79"/>
    <x v="26"/>
    <m/>
    <m/>
    <m/>
    <n v="137.79"/>
    <b v="0"/>
    <m/>
    <m/>
    <s v="-"/>
    <x v="1125"/>
    <s v="Create Rule; and Description='Total Wine More';Groceries"/>
    <m/>
  </r>
  <r>
    <x v="35"/>
    <d v="2021-12-30T00:00:00"/>
    <s v="POWERPLUS"/>
    <x v="1737"/>
    <n v="-45.33"/>
    <x v="26"/>
    <m/>
    <m/>
    <m/>
    <n v="45.33"/>
    <b v="0"/>
    <m/>
    <m/>
    <s v="+"/>
    <x v="1293"/>
    <s v="Create Rule; and Description Like '%PayPal%';Shopping"/>
    <m/>
  </r>
  <r>
    <x v="35"/>
    <d v="2021-12-30T00:00:00"/>
    <s v="POWERPLUS"/>
    <x v="1738"/>
    <n v="-362.38"/>
    <x v="26"/>
    <m/>
    <m/>
    <m/>
    <n v="362.38"/>
    <b v="0"/>
    <m/>
    <m/>
    <s v="+"/>
    <x v="1293"/>
    <s v="Create Rule; and Description Like '%PayPal%';Shopping"/>
    <m/>
  </r>
  <r>
    <x v="35"/>
    <d v="2021-12-30T00:00:00"/>
    <s v="POWERPLUS"/>
    <x v="1739"/>
    <n v="-4.5999999999999996"/>
    <x v="26"/>
    <m/>
    <m/>
    <m/>
    <n v="4.5999999999999996"/>
    <b v="0"/>
    <m/>
    <m/>
    <s v="+"/>
    <x v="1293"/>
    <s v="Create Rule; and Description Like '%PayPal%';Shopping"/>
    <m/>
  </r>
  <r>
    <x v="35"/>
    <d v="2021-12-30T00:00:00"/>
    <s v="POWERPLUS"/>
    <x v="1740"/>
    <n v="1000"/>
    <x v="26"/>
    <m/>
    <m/>
    <m/>
    <n v="1000"/>
    <b v="0"/>
    <m/>
    <m/>
    <s v="-"/>
    <x v="1535"/>
    <s v="Manual"/>
    <m/>
  </r>
  <r>
    <x v="35"/>
    <d v="2021-12-30T00:00:00"/>
    <s v="Cash Rewards Visa Signature"/>
    <x v="1741"/>
    <n v="2.14"/>
    <x v="26"/>
    <m/>
    <m/>
    <m/>
    <n v="2.14"/>
    <b v="0"/>
    <m/>
    <m/>
    <s v="-"/>
    <x v="1612"/>
    <s v="Manual"/>
    <m/>
  </r>
  <r>
    <x v="35"/>
    <d v="2021-12-30T00:00:00"/>
    <s v="Cash Rewards Visa Signature"/>
    <x v="1741"/>
    <n v="51.4"/>
    <x v="26"/>
    <m/>
    <m/>
    <m/>
    <n v="51.4"/>
    <b v="0"/>
    <m/>
    <m/>
    <s v="-"/>
    <x v="1612"/>
    <s v="Manual"/>
    <m/>
  </r>
  <r>
    <x v="35"/>
    <d v="2021-12-30T00:00:00"/>
    <s v="Investor Checking"/>
    <x v="1742"/>
    <n v="300"/>
    <x v="26"/>
    <m/>
    <m/>
    <m/>
    <n v="300"/>
    <b v="0"/>
    <m/>
    <m/>
    <s v="-"/>
    <x v="1613"/>
    <s v="Manual"/>
    <m/>
  </r>
  <r>
    <x v="35"/>
    <d v="2021-12-30T00:00:00"/>
    <s v="POWERPLUS"/>
    <x v="26"/>
    <n v="-1859.27"/>
    <x v="26"/>
    <m/>
    <m/>
    <m/>
    <n v="1859.27"/>
    <b v="0"/>
    <m/>
    <m/>
    <s v="+"/>
    <x v="26"/>
    <s v="Delete; and Description='Venmo Type Cashout';0"/>
    <m/>
  </r>
  <r>
    <x v="35"/>
    <d v="2021-12-30T00:00:00"/>
    <s v="Investor Checking"/>
    <x v="845"/>
    <n v="603"/>
    <x v="26"/>
    <m/>
    <m/>
    <m/>
    <n v="603"/>
    <b v="0"/>
    <m/>
    <m/>
    <s v="-"/>
    <x v="812"/>
    <s v="Manual"/>
    <m/>
  </r>
  <r>
    <x v="35"/>
    <d v="2021-12-30T00:00:00"/>
    <s v="POWERPLUS"/>
    <x v="1743"/>
    <n v="200"/>
    <x v="26"/>
    <m/>
    <m/>
    <m/>
    <n v="200"/>
    <b v="0"/>
    <m/>
    <m/>
    <s v="-"/>
    <x v="1614"/>
    <s v="Manual"/>
    <m/>
  </r>
  <r>
    <x v="35"/>
    <d v="2021-12-30T00:00:00"/>
    <s v="Discover More Card"/>
    <x v="93"/>
    <n v="-8"/>
    <x v="26"/>
    <m/>
    <m/>
    <m/>
    <n v="8"/>
    <b v="0"/>
    <m/>
    <m/>
    <s v="+"/>
    <x v="93"/>
    <s v="Delete; and Description='CASHBACK BONUS REDEMPTION payment/STMT CRDT';0"/>
    <m/>
  </r>
  <r>
    <x v="35"/>
    <d v="2021-12-30T00:00:00"/>
    <s v="Cash Rewards Visa Signature"/>
    <x v="1318"/>
    <n v="-891.11"/>
    <x v="26"/>
    <m/>
    <m/>
    <m/>
    <n v="891.11"/>
    <b v="0"/>
    <m/>
    <m/>
    <s v="+"/>
    <x v="1246"/>
    <s v="Create Rule; and Description='Credit Card Payment Received PAYMENT THANK YOU';Delete"/>
    <m/>
  </r>
  <r>
    <x v="35"/>
    <d v="2021-12-30T00:00:00"/>
    <s v="Cash Rewards Visa Signature"/>
    <x v="1318"/>
    <n v="-1104.81"/>
    <x v="26"/>
    <m/>
    <m/>
    <m/>
    <n v="1104.81"/>
    <b v="0"/>
    <m/>
    <m/>
    <s v="+"/>
    <x v="1246"/>
    <s v="Create Rule; and Description='Credit Card Payment Received PAYMENT THANK YOU';Delete"/>
    <m/>
  </r>
  <r>
    <x v="35"/>
    <d v="2021-12-30T00:00:00"/>
    <s v="Cash Rewards Visa Signature"/>
    <x v="1318"/>
    <n v="-1357.64"/>
    <x v="26"/>
    <m/>
    <m/>
    <m/>
    <n v="1357.64"/>
    <b v="0"/>
    <m/>
    <m/>
    <s v="+"/>
    <x v="1246"/>
    <s v="Create Rule; and Description='Credit Card Payment Received PAYMENT THANK YOU';Delete"/>
    <m/>
  </r>
  <r>
    <x v="35"/>
    <d v="2021-12-30T00:00:00"/>
    <s v="POWERPLUS"/>
    <x v="1744"/>
    <n v="493.86"/>
    <x v="26"/>
    <m/>
    <m/>
    <m/>
    <n v="493.86"/>
    <b v="0"/>
    <m/>
    <m/>
    <s v="-"/>
    <x v="1615"/>
    <s v="Delete; and Description Like '%DISCOVER TYPE EPAYMENT%';0"/>
    <m/>
  </r>
  <r>
    <x v="35"/>
    <d v="2021-12-30T00:00:00"/>
    <s v="Discover More Card"/>
    <x v="56"/>
    <n v="-493.86"/>
    <x v="3"/>
    <m/>
    <m/>
    <m/>
    <n v="493.86"/>
    <b v="0"/>
    <m/>
    <m/>
    <s v="+"/>
    <x v="56"/>
    <s v="Delete; and Description='INTERNET PAYMENT - THANK YOU';0"/>
    <m/>
  </r>
  <r>
    <x v="35"/>
    <d v="2021-12-30T00:00:00"/>
    <s v="POWERPLUS"/>
    <x v="1745"/>
    <n v="319"/>
    <x v="26"/>
    <m/>
    <m/>
    <m/>
    <n v="319"/>
    <b v="0"/>
    <m/>
    <m/>
    <s v="-"/>
    <x v="1616"/>
    <s v="Manual"/>
    <m/>
  </r>
  <r>
    <x v="35"/>
    <d v="2021-12-30T00:00:00"/>
    <s v="POWERPLUS"/>
    <x v="1746"/>
    <n v="60"/>
    <x v="26"/>
    <m/>
    <m/>
    <m/>
    <n v="60"/>
    <b v="0"/>
    <m/>
    <m/>
    <s v="-"/>
    <x v="1617"/>
    <s v="Manual"/>
    <m/>
  </r>
  <r>
    <x v="35"/>
    <d v="2021-12-30T00:00:00"/>
    <s v="POWERPLUS"/>
    <x v="1747"/>
    <n v="980.94"/>
    <x v="26"/>
    <m/>
    <m/>
    <m/>
    <n v="980.94"/>
    <b v="0"/>
    <m/>
    <m/>
    <s v="-"/>
    <x v="1618"/>
    <s v="Manual"/>
    <m/>
  </r>
  <r>
    <x v="35"/>
    <d v="2021-12-30T00:00:00"/>
    <s v="POWERPLUS"/>
    <x v="1748"/>
    <n v="35"/>
    <x v="26"/>
    <m/>
    <m/>
    <m/>
    <n v="35"/>
    <b v="0"/>
    <m/>
    <m/>
    <s v="-"/>
    <x v="1619"/>
    <s v="Manual"/>
    <m/>
  </r>
  <r>
    <x v="35"/>
    <d v="2021-12-30T00:00:00"/>
    <s v="POWERPLUS"/>
    <x v="1749"/>
    <n v="125"/>
    <x v="26"/>
    <m/>
    <m/>
    <m/>
    <n v="125"/>
    <b v="0"/>
    <m/>
    <m/>
    <s v="-"/>
    <x v="1619"/>
    <s v="Manual"/>
    <m/>
  </r>
  <r>
    <x v="35"/>
    <d v="2021-12-30T00:00:00"/>
    <s v="POWERPLUS"/>
    <x v="1319"/>
    <n v="891.11"/>
    <x v="26"/>
    <m/>
    <m/>
    <m/>
    <n v="891.11"/>
    <b v="0"/>
    <m/>
    <m/>
    <s v="-"/>
    <x v="1247"/>
    <s v="Create Rule; and Description='Withdrawal Home payment to card XX91 Withdrawal Home payment to card 979181';Delete"/>
    <m/>
  </r>
  <r>
    <x v="35"/>
    <d v="2021-12-30T00:00:00"/>
    <s v="POWERPLUS"/>
    <x v="1319"/>
    <n v="1104.81"/>
    <x v="26"/>
    <m/>
    <m/>
    <m/>
    <n v="1104.81"/>
    <b v="0"/>
    <m/>
    <m/>
    <s v="-"/>
    <x v="1247"/>
    <s v="Create Rule; and Description='Withdrawal Home payment to card XX91 Withdrawal Home payment to card 979181';Delete"/>
    <m/>
  </r>
  <r>
    <x v="35"/>
    <d v="2021-12-30T00:00:00"/>
    <s v="POWERPLUS"/>
    <x v="1319"/>
    <n v="1357.64"/>
    <x v="26"/>
    <m/>
    <m/>
    <m/>
    <n v="1357.64"/>
    <b v="0"/>
    <m/>
    <m/>
    <s v="-"/>
    <x v="1247"/>
    <s v="Create Rule; and Description='Withdrawal Home payment to card XX91 Withdrawal Home payment to card 979181';Delete"/>
    <m/>
  </r>
  <r>
    <x v="36"/>
    <d v="2022-01-01T00:00:00"/>
    <s v="Discover More Card"/>
    <x v="598"/>
    <n v="4.28"/>
    <x v="10"/>
    <m/>
    <m/>
    <m/>
    <n v="4.28"/>
    <b v="0"/>
    <m/>
    <m/>
    <s v="-"/>
    <x v="579"/>
    <s v="Create Rule; and Description='Amazon Music';Entertainment"/>
    <m/>
  </r>
  <r>
    <x v="36"/>
    <d v="2022-01-01T00:00:00"/>
    <s v="HIGHLANDER"/>
    <x v="976"/>
    <n v="592.17999999999995"/>
    <x v="26"/>
    <m/>
    <m/>
    <m/>
    <n v="-592.17999999999995"/>
    <b v="0"/>
    <m/>
    <m/>
    <s v="+"/>
    <x v="936"/>
    <s v="Create Rule; and Description='From Share 70';Delete"/>
    <m/>
  </r>
  <r>
    <x v="36"/>
    <d v="2022-01-01T00:00:00"/>
    <s v="POWERPLUS"/>
    <x v="979"/>
    <n v="618.65"/>
    <x v="26"/>
    <m/>
    <m/>
    <m/>
    <n v="618.65"/>
    <b v="0"/>
    <m/>
    <m/>
    <s v="-"/>
    <x v="939"/>
    <s v="Create Rule; and Description Like '%To Loan 02%';Car Loan"/>
    <m/>
  </r>
  <r>
    <x v="36"/>
    <d v="2022-01-02T00:00:00"/>
    <s v="Cash Rewards Visa Signature"/>
    <x v="1750"/>
    <n v="16.350000000000001"/>
    <x v="26"/>
    <m/>
    <m/>
    <m/>
    <n v="16.350000000000001"/>
    <b v="0"/>
    <m/>
    <m/>
    <s v="-"/>
    <x v="1620"/>
    <s v="Manual"/>
    <m/>
  </r>
  <r>
    <x v="36"/>
    <d v="2022-01-02T00:00:00"/>
    <s v="Cash Rewards Visa Signature"/>
    <x v="1751"/>
    <n v="24.77"/>
    <x v="26"/>
    <m/>
    <m/>
    <m/>
    <n v="24.77"/>
    <b v="0"/>
    <m/>
    <m/>
    <s v="-"/>
    <x v="1621"/>
    <s v="Manual"/>
    <m/>
  </r>
  <r>
    <x v="36"/>
    <d v="2022-01-02T00:00:00"/>
    <s v="Cash Rewards Visa Signature"/>
    <x v="1752"/>
    <n v="14.12"/>
    <x v="26"/>
    <m/>
    <m/>
    <m/>
    <n v="14.12"/>
    <b v="0"/>
    <m/>
    <m/>
    <s v="-"/>
    <x v="1622"/>
    <s v="Manual"/>
    <m/>
  </r>
  <r>
    <x v="36"/>
    <d v="2022-01-02T00:00:00"/>
    <s v="Cash Rewards Visa Signature"/>
    <x v="1753"/>
    <n v="5"/>
    <x v="26"/>
    <m/>
    <m/>
    <m/>
    <n v="5"/>
    <b v="0"/>
    <m/>
    <m/>
    <s v="-"/>
    <x v="1623"/>
    <s v="Manual"/>
    <m/>
  </r>
  <r>
    <x v="36"/>
    <d v="2022-01-02T00:00:00"/>
    <s v="Cash Rewards Visa Signature"/>
    <x v="579"/>
    <n v="10"/>
    <x v="1"/>
    <m/>
    <m/>
    <m/>
    <n v="10"/>
    <b v="0"/>
    <m/>
    <m/>
    <s v="-"/>
    <x v="560"/>
    <s v="Create Rule; and Description='Starbucks';Restaurants"/>
    <m/>
  </r>
  <r>
    <x v="36"/>
    <d v="2022-01-02T00:00:00"/>
    <s v="Cash Rewards Visa Signature"/>
    <x v="1754"/>
    <n v="173.26"/>
    <x v="26"/>
    <m/>
    <m/>
    <m/>
    <n v="173.26"/>
    <b v="0"/>
    <m/>
    <m/>
    <s v="-"/>
    <x v="1624"/>
    <s v="Manual"/>
    <m/>
  </r>
  <r>
    <x v="36"/>
    <d v="2022-01-02T00:00:00"/>
    <s v="Cash Rewards Visa Signature"/>
    <x v="1755"/>
    <n v="22.66"/>
    <x v="26"/>
    <m/>
    <m/>
    <m/>
    <n v="22.66"/>
    <b v="0"/>
    <m/>
    <m/>
    <s v="-"/>
    <x v="1625"/>
    <s v="Manual"/>
    <m/>
  </r>
  <r>
    <x v="36"/>
    <d v="2022-01-03T00:00:00"/>
    <s v="Cash Rewards Visa Signature"/>
    <x v="1318"/>
    <n v="1174.06"/>
    <x v="26"/>
    <m/>
    <m/>
    <m/>
    <n v="-1174.06"/>
    <b v="0"/>
    <m/>
    <m/>
    <s v="+"/>
    <x v="1246"/>
    <s v="Create Rule; and Description='Credit Card Payment Received PAYMENT THANK YOU';Delete"/>
    <m/>
  </r>
  <r>
    <x v="36"/>
    <d v="2022-01-03T00:00:00"/>
    <s v="30 YR FIXED"/>
    <x v="935"/>
    <n v="754.6"/>
    <x v="3"/>
    <m/>
    <m/>
    <m/>
    <n v="-754.6"/>
    <b v="0"/>
    <m/>
    <m/>
    <s v="+"/>
    <x v="899"/>
    <s v="Create Rule; and Description='PAYMENT';Delete"/>
    <m/>
  </r>
  <r>
    <x v="36"/>
    <d v="2022-01-03T00:00:00"/>
    <s v="POWERPLUS"/>
    <x v="1319"/>
    <n v="1174.06"/>
    <x v="26"/>
    <m/>
    <m/>
    <m/>
    <n v="1174.06"/>
    <b v="0"/>
    <m/>
    <m/>
    <s v="-"/>
    <x v="1247"/>
    <s v="Create Rule; and Description='Withdrawal Home payment to card XX91 Withdrawal Home payment to card 979181';Delete"/>
    <m/>
  </r>
  <r>
    <x v="36"/>
    <d v="2022-01-03T00:00:00"/>
    <s v="POWERPLUS"/>
    <x v="1334"/>
    <n v="3003.94"/>
    <x v="6"/>
    <m/>
    <m/>
    <m/>
    <n v="3003.94"/>
    <b v="0"/>
    <m/>
    <m/>
    <s v="-"/>
    <x v="1261"/>
    <s v="Create Rule; and Description='Baxter Credit Union';Rent"/>
    <m/>
  </r>
  <r>
    <x v="36"/>
    <d v="2022-01-03T00:00:00"/>
    <s v="POWERPLUS"/>
    <x v="1335"/>
    <n v="200"/>
    <x v="26"/>
    <m/>
    <m/>
    <m/>
    <n v="200"/>
    <b v="0"/>
    <m/>
    <m/>
    <s v="-"/>
    <x v="1262"/>
    <s v="Create Rule; and Description Like '%College Savings%';College Savings"/>
    <m/>
  </r>
  <r>
    <x v="36"/>
    <d v="2022-01-03T00:00:00"/>
    <s v="POWERPLUS"/>
    <x v="1756"/>
    <n v="250"/>
    <x v="26"/>
    <m/>
    <m/>
    <m/>
    <n v="250"/>
    <b v="0"/>
    <m/>
    <m/>
    <s v="-"/>
    <x v="1262"/>
    <s v="Create Rule; and Description Like '%College Savings%';College Savings"/>
    <m/>
  </r>
  <r>
    <x v="36"/>
    <d v="2022-01-03T00:00:00"/>
    <s v="Cash Rewards Visa Signature"/>
    <x v="1757"/>
    <n v="123.18"/>
    <x v="26"/>
    <m/>
    <m/>
    <m/>
    <n v="123.18"/>
    <b v="0"/>
    <m/>
    <m/>
    <s v="-"/>
    <x v="1626"/>
    <s v="Manual"/>
    <m/>
  </r>
  <r>
    <x v="36"/>
    <d v="2022-01-03T00:00:00"/>
    <s v="Cash Rewards Visa Signature"/>
    <x v="1758"/>
    <n v="273.04000000000002"/>
    <x v="26"/>
    <m/>
    <m/>
    <m/>
    <n v="273.04000000000002"/>
    <b v="0"/>
    <m/>
    <m/>
    <s v="-"/>
    <x v="1627"/>
    <s v="Manual"/>
    <m/>
  </r>
  <r>
    <x v="36"/>
    <d v="2022-01-03T00:00:00"/>
    <s v="Cash Rewards Visa Signature"/>
    <x v="1337"/>
    <n v="18"/>
    <x v="26"/>
    <m/>
    <m/>
    <m/>
    <n v="18"/>
    <b v="0"/>
    <m/>
    <m/>
    <s v="-"/>
    <x v="1264"/>
    <s v="Create Rule; and Description Like '%HBRSUBSCRIPTION%';Entertainment"/>
    <m/>
  </r>
  <r>
    <x v="36"/>
    <d v="2022-01-03T00:00:00"/>
    <s v="Cash Rewards Visa Signature"/>
    <x v="1759"/>
    <n v="32.729999999999997"/>
    <x v="26"/>
    <m/>
    <m/>
    <m/>
    <n v="32.729999999999997"/>
    <b v="0"/>
    <m/>
    <m/>
    <s v="-"/>
    <x v="1628"/>
    <s v="Manual"/>
    <m/>
  </r>
  <r>
    <x v="36"/>
    <d v="2022-01-03T00:00:00"/>
    <s v="POWERPLUS"/>
    <x v="1760"/>
    <n v="250"/>
    <x v="26"/>
    <m/>
    <m/>
    <m/>
    <n v="250"/>
    <b v="0"/>
    <m/>
    <m/>
    <s v="-"/>
    <x v="1598"/>
    <s v="Create Rule; and Description Like '%MN DIR ACH%';College Savings"/>
    <m/>
  </r>
  <r>
    <x v="36"/>
    <d v="2022-01-03T00:00:00"/>
    <s v="Cash Rewards Visa Signature"/>
    <x v="1761"/>
    <n v="74.16"/>
    <x v="26"/>
    <m/>
    <m/>
    <m/>
    <n v="74.16"/>
    <b v="0"/>
    <m/>
    <m/>
    <s v="-"/>
    <x v="1629"/>
    <s v="Manual"/>
    <m/>
  </r>
  <r>
    <x v="36"/>
    <d v="2022-01-03T00:00:00"/>
    <s v="Cash Rewards Visa Signature"/>
    <x v="1762"/>
    <n v="42.09"/>
    <x v="26"/>
    <m/>
    <m/>
    <m/>
    <n v="42.09"/>
    <b v="0"/>
    <m/>
    <m/>
    <s v="-"/>
    <x v="1630"/>
    <s v="Manual"/>
    <m/>
  </r>
  <r>
    <x v="36"/>
    <d v="2022-01-03T00:00:00"/>
    <s v="30 YR FIXED"/>
    <x v="1085"/>
    <n v="431"/>
    <x v="26"/>
    <m/>
    <m/>
    <m/>
    <n v="-431"/>
    <b v="0"/>
    <m/>
    <m/>
    <s v="+"/>
    <x v="1034"/>
    <s v="Create Rule; and Description='Principal Curtailment';Delete"/>
    <m/>
  </r>
  <r>
    <x v="36"/>
    <d v="2022-01-04T00:00:00"/>
    <s v="Cash Rewards Visa Signature"/>
    <x v="1759"/>
    <n v="32.729999999999997"/>
    <x v="26"/>
    <m/>
    <m/>
    <m/>
    <n v="32.729999999999997"/>
    <b v="0"/>
    <m/>
    <m/>
    <s v="-"/>
    <x v="1628"/>
    <s v="Manual"/>
    <m/>
  </r>
  <r>
    <x v="36"/>
    <d v="2022-01-04T00:00:00"/>
    <s v="Cash Rewards Visa Signature"/>
    <x v="1762"/>
    <n v="21.46"/>
    <x v="26"/>
    <m/>
    <m/>
    <m/>
    <n v="21.46"/>
    <b v="0"/>
    <m/>
    <m/>
    <s v="-"/>
    <x v="1630"/>
    <s v="Manual"/>
    <m/>
  </r>
  <r>
    <x v="36"/>
    <d v="2022-01-04T00:00:00"/>
    <s v="Cash Rewards Visa Signature"/>
    <x v="1762"/>
    <n v="45.01"/>
    <x v="26"/>
    <m/>
    <m/>
    <m/>
    <n v="45.01"/>
    <b v="0"/>
    <m/>
    <m/>
    <s v="-"/>
    <x v="1630"/>
    <s v="Manual"/>
    <m/>
  </r>
  <r>
    <x v="36"/>
    <d v="2022-01-04T00:00:00"/>
    <s v="Cash Rewards Visa Signature"/>
    <x v="1763"/>
    <n v="51.78"/>
    <x v="26"/>
    <m/>
    <m/>
    <m/>
    <n v="51.78"/>
    <b v="0"/>
    <m/>
    <m/>
    <s v="-"/>
    <x v="1631"/>
    <s v="Manual"/>
    <m/>
  </r>
  <r>
    <x v="36"/>
    <d v="2022-01-05T00:00:00"/>
    <s v="POWERPLUS"/>
    <x v="1764"/>
    <n v="20"/>
    <x v="26"/>
    <m/>
    <m/>
    <m/>
    <n v="20"/>
    <b v="0"/>
    <m/>
    <m/>
    <s v="-"/>
    <x v="1632"/>
    <s v="Manual"/>
    <m/>
  </r>
  <r>
    <x v="36"/>
    <d v="2022-01-05T00:00:00"/>
    <s v="Cash Rewards Visa Signature"/>
    <x v="174"/>
    <n v="37.04"/>
    <x v="26"/>
    <m/>
    <m/>
    <m/>
    <n v="37.04"/>
    <b v="0"/>
    <m/>
    <m/>
    <s v="-"/>
    <x v="173"/>
    <s v="Create Rule; and Description='BP';Transportation"/>
    <m/>
  </r>
  <r>
    <x v="36"/>
    <d v="2022-01-05T00:00:00"/>
    <s v="POWERPLUS"/>
    <x v="1321"/>
    <n v="536.29999999999995"/>
    <x v="26"/>
    <m/>
    <m/>
    <m/>
    <n v="536.29999999999995"/>
    <b v="0"/>
    <m/>
    <m/>
    <s v="-"/>
    <x v="1249"/>
    <s v="Create Rule; and Description Like '%MHCHILDCARELLC%';Day Care"/>
    <m/>
  </r>
  <r>
    <x v="36"/>
    <d v="2022-01-05T00:00:00"/>
    <s v="Cash Rewards Visa Signature"/>
    <x v="1724"/>
    <n v="213.13"/>
    <x v="26"/>
    <m/>
    <m/>
    <m/>
    <n v="213.13"/>
    <b v="0"/>
    <m/>
    <m/>
    <s v="-"/>
    <x v="1601"/>
    <s v="Manual"/>
    <m/>
  </r>
  <r>
    <x v="36"/>
    <d v="2022-01-05T00:00:00"/>
    <s v="Cash Rewards Visa Signature"/>
    <x v="1762"/>
    <n v="9.9"/>
    <x v="26"/>
    <m/>
    <m/>
    <m/>
    <n v="9.9"/>
    <b v="0"/>
    <m/>
    <m/>
    <s v="-"/>
    <x v="1630"/>
    <s v="Manual"/>
    <m/>
  </r>
  <r>
    <x v="36"/>
    <d v="2022-01-05T00:00:00"/>
    <s v="Cash Rewards Visa Signature"/>
    <x v="1762"/>
    <n v="25.26"/>
    <x v="26"/>
    <m/>
    <m/>
    <m/>
    <n v="25.26"/>
    <b v="0"/>
    <m/>
    <m/>
    <s v="-"/>
    <x v="1630"/>
    <s v="Manual"/>
    <m/>
  </r>
  <r>
    <x v="36"/>
    <d v="2022-01-05T00:00:00"/>
    <s v="Cash Rewards Visa Signature"/>
    <x v="1752"/>
    <n v="191.83"/>
    <x v="26"/>
    <m/>
    <m/>
    <m/>
    <n v="191.83"/>
    <b v="0"/>
    <m/>
    <m/>
    <s v="-"/>
    <x v="1622"/>
    <s v="Manual"/>
    <m/>
  </r>
  <r>
    <x v="36"/>
    <d v="2022-01-05T00:00:00"/>
    <s v="POWERPLUS"/>
    <x v="157"/>
    <n v="10"/>
    <x v="8"/>
    <m/>
    <m/>
    <m/>
    <n v="10"/>
    <b v="0"/>
    <m/>
    <m/>
    <s v="-"/>
    <x v="156"/>
    <s v="Create Rule; and Description Like '%PayPal%';Shopping"/>
    <m/>
  </r>
  <r>
    <x v="36"/>
    <d v="2022-01-05T00:00:00"/>
    <s v="Cash Rewards Visa Signature"/>
    <x v="1248"/>
    <n v="10.43"/>
    <x v="26"/>
    <m/>
    <m/>
    <m/>
    <n v="10.43"/>
    <b v="0"/>
    <m/>
    <m/>
    <s v="-"/>
    <x v="1183"/>
    <s v="Manual"/>
    <m/>
  </r>
  <r>
    <x v="36"/>
    <d v="2022-01-05T00:00:00"/>
    <s v="Cash Rewards Visa Signature"/>
    <x v="579"/>
    <n v="10"/>
    <x v="1"/>
    <m/>
    <m/>
    <m/>
    <n v="10"/>
    <b v="0"/>
    <m/>
    <m/>
    <s v="-"/>
    <x v="560"/>
    <s v="Create Rule; and Description='Starbucks';Restaurants"/>
    <m/>
  </r>
  <r>
    <x v="36"/>
    <d v="2022-01-06T00:00:00"/>
    <s v="POWERPLUS"/>
    <x v="1765"/>
    <n v="232.37"/>
    <x v="26"/>
    <m/>
    <m/>
    <m/>
    <n v="232.37"/>
    <b v="0"/>
    <m/>
    <m/>
    <s v="-"/>
    <x v="1619"/>
    <s v="Manual"/>
    <m/>
  </r>
  <r>
    <x v="36"/>
    <d v="2022-01-06T00:00:00"/>
    <s v="POWERPLUS"/>
    <x v="1766"/>
    <n v="125"/>
    <x v="26"/>
    <m/>
    <m/>
    <m/>
    <n v="125"/>
    <b v="0"/>
    <m/>
    <m/>
    <s v="-"/>
    <x v="1619"/>
    <s v="Manual"/>
    <m/>
  </r>
  <r>
    <x v="36"/>
    <d v="2022-01-06T00:00:00"/>
    <s v="POWERPLUS"/>
    <x v="1767"/>
    <n v="54.57"/>
    <x v="26"/>
    <m/>
    <m/>
    <m/>
    <n v="54.57"/>
    <b v="0"/>
    <m/>
    <m/>
    <s v="-"/>
    <x v="1632"/>
    <s v="Manual"/>
    <m/>
  </r>
  <r>
    <x v="36"/>
    <d v="2022-01-06T00:00:00"/>
    <s v="POWERPLUS"/>
    <x v="1768"/>
    <n v="234.12"/>
    <x v="26"/>
    <m/>
    <m/>
    <m/>
    <n v="234.12"/>
    <b v="0"/>
    <m/>
    <m/>
    <s v="-"/>
    <x v="1632"/>
    <s v="Manual"/>
    <m/>
  </r>
  <r>
    <x v="36"/>
    <d v="2022-01-06T00:00:00"/>
    <s v="POWERPLUS"/>
    <x v="1769"/>
    <n v="2565.59"/>
    <x v="26"/>
    <m/>
    <m/>
    <m/>
    <n v="-2565.59"/>
    <b v="0"/>
    <m/>
    <m/>
    <s v="+"/>
    <x v="1256"/>
    <s v="Create Rule; and Description Like '%Cargill Inc Deposit CARGILL INCORPOR TYPE DIRECT DEP ID CO CARGILL INCORPOR ACH%';Inc - Britney"/>
    <m/>
  </r>
  <r>
    <x v="36"/>
    <d v="2022-01-06T00:00:00"/>
    <s v="Cash Rewards Visa Signature"/>
    <x v="1770"/>
    <n v="21.96"/>
    <x v="26"/>
    <m/>
    <m/>
    <m/>
    <n v="21.96"/>
    <b v="0"/>
    <m/>
    <m/>
    <s v="-"/>
    <x v="1633"/>
    <s v="Manual"/>
    <m/>
  </r>
  <r>
    <x v="36"/>
    <d v="2022-01-06T00:00:00"/>
    <s v="POWERPLUS"/>
    <x v="30"/>
    <n v="135.31"/>
    <x v="11"/>
    <m/>
    <m/>
    <m/>
    <n v="135.31"/>
    <b v="0"/>
    <m/>
    <m/>
    <s v="-"/>
    <x v="30"/>
    <s v="Create Rule; and Description='Xcel Energy';Utilities"/>
    <m/>
  </r>
  <r>
    <x v="36"/>
    <d v="2022-01-07T00:00:00"/>
    <s v="Cash Rewards Visa Signature"/>
    <x v="77"/>
    <n v="15.6"/>
    <x v="8"/>
    <m/>
    <m/>
    <m/>
    <n v="15.6"/>
    <b v="0"/>
    <m/>
    <m/>
    <s v="-"/>
    <x v="77"/>
    <s v="Create Rule; and Description='Anthropologie';Shopping"/>
    <m/>
  </r>
  <r>
    <x v="36"/>
    <d v="2022-01-07T00:00:00"/>
    <s v="Cash Rewards Visa Signature"/>
    <x v="77"/>
    <n v="298"/>
    <x v="8"/>
    <m/>
    <m/>
    <m/>
    <n v="298"/>
    <b v="0"/>
    <m/>
    <m/>
    <s v="-"/>
    <x v="77"/>
    <s v="Create Rule; and Description='Anthropologie';Shopping"/>
    <m/>
  </r>
  <r>
    <x v="36"/>
    <d v="2022-01-07T00:00:00"/>
    <s v="Investor Checking"/>
    <x v="1771"/>
    <n v="400"/>
    <x v="26"/>
    <m/>
    <m/>
    <m/>
    <n v="400"/>
    <b v="0"/>
    <m/>
    <m/>
    <s v="-"/>
    <x v="1634"/>
    <s v="Manual"/>
    <m/>
  </r>
  <r>
    <x v="36"/>
    <d v="2022-01-07T00:00:00"/>
    <s v="Investor Checking"/>
    <x v="1772"/>
    <n v="18.86"/>
    <x v="26"/>
    <m/>
    <m/>
    <m/>
    <n v="-18.86"/>
    <b v="0"/>
    <m/>
    <m/>
    <s v="+"/>
    <x v="1635"/>
    <s v="Manual"/>
    <m/>
  </r>
  <r>
    <x v="36"/>
    <d v="2022-01-07T00:00:00"/>
    <s v="Cash Rewards Visa Signature"/>
    <x v="1773"/>
    <n v="12.8"/>
    <x v="26"/>
    <m/>
    <m/>
    <m/>
    <n v="-12.8"/>
    <b v="0"/>
    <m/>
    <m/>
    <s v="+"/>
    <x v="1636"/>
    <s v="Manual"/>
    <m/>
  </r>
  <r>
    <x v="36"/>
    <d v="2022-01-07T00:00:00"/>
    <s v="CARGILL PARTNERSHIP PLAN"/>
    <x v="235"/>
    <n v="865.38"/>
    <x v="26"/>
    <m/>
    <m/>
    <m/>
    <n v="-865.38"/>
    <b v="0"/>
    <m/>
    <m/>
    <s v="+"/>
    <x v="233"/>
    <s v="Create Rule; and Description='Target Retire 2055 Tr P - Plan Contribution';401K"/>
    <m/>
  </r>
  <r>
    <x v="36"/>
    <d v="2022-01-07T00:00:00"/>
    <s v="Contributory"/>
    <x v="1300"/>
    <n v="231"/>
    <x v="26"/>
    <m/>
    <m/>
    <m/>
    <n v="-231"/>
    <b v="0"/>
    <m/>
    <m/>
    <s v="+"/>
    <x v="1231"/>
    <s v="Manual"/>
    <m/>
  </r>
  <r>
    <x v="36"/>
    <d v="2022-01-09T00:00:00"/>
    <s v="Cash Rewards Visa Signature"/>
    <x v="0"/>
    <n v="127.78"/>
    <x v="0"/>
    <m/>
    <m/>
    <m/>
    <n v="127.78"/>
    <b v="0"/>
    <m/>
    <m/>
    <s v="-"/>
    <x v="0"/>
    <s v="Create Rule; and Description='Amazon';Amazon"/>
    <m/>
  </r>
  <r>
    <x v="36"/>
    <d v="2022-01-09T00:00:00"/>
    <s v="Cash Rewards Visa Signature"/>
    <x v="0"/>
    <n v="163.52000000000001"/>
    <x v="0"/>
    <m/>
    <m/>
    <m/>
    <n v="163.52000000000001"/>
    <b v="0"/>
    <m/>
    <m/>
    <s v="-"/>
    <x v="0"/>
    <s v="Create Rule; and Description='Amazon';Amazon"/>
    <m/>
  </r>
  <r>
    <x v="36"/>
    <d v="2022-01-09T00:00:00"/>
    <s v="Cash Rewards Visa Signature"/>
    <x v="823"/>
    <n v="17.97"/>
    <x v="2"/>
    <m/>
    <m/>
    <m/>
    <n v="17.97"/>
    <b v="0"/>
    <m/>
    <m/>
    <s v="-"/>
    <x v="792"/>
    <s v="Create Rule; and Description='Kwik Trip';Transportation"/>
    <m/>
  </r>
  <r>
    <x v="36"/>
    <d v="2022-01-09T00:00:00"/>
    <s v="Investor Checking"/>
    <x v="1774"/>
    <n v="460"/>
    <x v="26"/>
    <m/>
    <m/>
    <m/>
    <n v="460"/>
    <b v="0"/>
    <m/>
    <m/>
    <s v="-"/>
    <x v="1637"/>
    <s v="Manual"/>
    <m/>
  </r>
  <r>
    <x v="36"/>
    <d v="2022-01-09T00:00:00"/>
    <s v="Cash Rewards Visa Signature"/>
    <x v="1628"/>
    <n v="41.94"/>
    <x v="26"/>
    <m/>
    <m/>
    <m/>
    <n v="41.94"/>
    <b v="0"/>
    <m/>
    <m/>
    <s v="-"/>
    <x v="1518"/>
    <s v="Manual"/>
    <m/>
  </r>
  <r>
    <x v="36"/>
    <d v="2022-01-09T00:00:00"/>
    <s v="Cash Rewards Visa Signature"/>
    <x v="1775"/>
    <n v="207.57"/>
    <x v="26"/>
    <m/>
    <m/>
    <m/>
    <n v="-207.57"/>
    <b v="0"/>
    <m/>
    <m/>
    <s v="+"/>
    <x v="1638"/>
    <s v="Manual"/>
    <m/>
  </r>
  <r>
    <x v="36"/>
    <d v="2022-01-10T00:00:00"/>
    <s v="Cash Rewards Visa Signature"/>
    <x v="1318"/>
    <n v="1678.17"/>
    <x v="26"/>
    <m/>
    <m/>
    <m/>
    <n v="-1678.17"/>
    <b v="0"/>
    <m/>
    <m/>
    <s v="+"/>
    <x v="1246"/>
    <s v="Create Rule; and Description='Credit Card Payment Received PAYMENT THANK YOU';Delete"/>
    <m/>
  </r>
  <r>
    <x v="36"/>
    <d v="2022-01-10T00:00:00"/>
    <s v="POWERPLUS"/>
    <x v="1319"/>
    <n v="1678.17"/>
    <x v="26"/>
    <m/>
    <m/>
    <m/>
    <n v="1678.17"/>
    <b v="0"/>
    <m/>
    <m/>
    <s v="-"/>
    <x v="1247"/>
    <s v="Create Rule; and Description='Withdrawal Home payment to card XX91 Withdrawal Home payment to card 979181';Delete"/>
    <m/>
  </r>
  <r>
    <x v="36"/>
    <d v="2022-01-10T00:00:00"/>
    <s v="Cash Rewards Visa Signature"/>
    <x v="0"/>
    <n v="10.19"/>
    <x v="0"/>
    <m/>
    <m/>
    <m/>
    <n v="10.19"/>
    <b v="0"/>
    <m/>
    <m/>
    <s v="-"/>
    <x v="0"/>
    <s v="Create Rule; and Description='Amazon';Amazon"/>
    <m/>
  </r>
  <r>
    <x v="36"/>
    <d v="2022-01-10T00:00:00"/>
    <s v="Cash Rewards Visa Signature"/>
    <x v="77"/>
    <n v="41.97"/>
    <x v="8"/>
    <m/>
    <m/>
    <m/>
    <n v="41.97"/>
    <b v="0"/>
    <m/>
    <m/>
    <s v="-"/>
    <x v="77"/>
    <s v="Create Rule; and Description='Anthropologie';Shopping"/>
    <m/>
  </r>
  <r>
    <x v="36"/>
    <d v="2022-01-10T00:00:00"/>
    <s v="Cash Rewards Visa Signature"/>
    <x v="1717"/>
    <n v="45.31"/>
    <x v="26"/>
    <m/>
    <m/>
    <m/>
    <n v="45.31"/>
    <b v="0"/>
    <m/>
    <m/>
    <s v="-"/>
    <x v="1594"/>
    <s v="Create Rule; and Description='JOEY NOVAS EXCELSIOR MN JOEY NOVAS EXCELSIOR MN';Restaurants"/>
    <m/>
  </r>
  <r>
    <x v="36"/>
    <d v="2022-01-10T00:00:00"/>
    <s v="Cash Rewards Visa Signature"/>
    <x v="1184"/>
    <n v="131.24"/>
    <x v="26"/>
    <m/>
    <m/>
    <m/>
    <n v="131.24"/>
    <b v="0"/>
    <m/>
    <m/>
    <s v="-"/>
    <x v="1125"/>
    <s v="Create Rule; and Description='Total Wine More';Groceries"/>
    <m/>
  </r>
  <r>
    <x v="36"/>
    <d v="2022-01-10T00:00:00"/>
    <s v="Investor Checking"/>
    <x v="361"/>
    <n v="107.28"/>
    <x v="26"/>
    <m/>
    <m/>
    <m/>
    <n v="-107.28"/>
    <b v="0"/>
    <m/>
    <m/>
    <s v="+"/>
    <x v="352"/>
    <s v="Manual"/>
    <m/>
  </r>
  <r>
    <x v="36"/>
    <d v="2022-01-11T00:00:00"/>
    <s v="Cash Rewards Visa Signature"/>
    <x v="60"/>
    <n v="46.15"/>
    <x v="26"/>
    <m/>
    <m/>
    <m/>
    <n v="-46.15"/>
    <b v="0"/>
    <m/>
    <m/>
    <s v="+"/>
    <x v="60"/>
    <s v="Create Rule; and Description='Home Depot';House Maintenance"/>
    <m/>
  </r>
  <r>
    <x v="36"/>
    <d v="2022-01-11T00:00:00"/>
    <s v="Cash Rewards Visa Signature"/>
    <x v="237"/>
    <n v="3.74"/>
    <x v="1"/>
    <m/>
    <m/>
    <m/>
    <n v="3.74"/>
    <b v="0"/>
    <m/>
    <m/>
    <s v="-"/>
    <x v="235"/>
    <s v="Create Rule; and Description like '%McDonald%';Restaurants"/>
    <m/>
  </r>
  <r>
    <x v="36"/>
    <d v="2022-01-11T00:00:00"/>
    <s v="Cash Rewards Visa Signature"/>
    <x v="1776"/>
    <n v="108.09"/>
    <x v="26"/>
    <m/>
    <m/>
    <m/>
    <n v="108.09"/>
    <b v="0"/>
    <m/>
    <m/>
    <s v="-"/>
    <x v="1639"/>
    <s v="Manual"/>
    <m/>
  </r>
  <r>
    <x v="36"/>
    <d v="2022-01-12T00:00:00"/>
    <s v="Cash Rewards Visa Signature"/>
    <x v="0"/>
    <n v="225.48"/>
    <x v="0"/>
    <m/>
    <m/>
    <m/>
    <n v="225.48"/>
    <b v="0"/>
    <m/>
    <m/>
    <s v="-"/>
    <x v="0"/>
    <s v="Create Rule; and Description='Amazon';Amazon"/>
    <m/>
  </r>
  <r>
    <x v="36"/>
    <d v="2022-01-12T00:00:00"/>
    <s v="Cash Rewards Visa Signature"/>
    <x v="6"/>
    <n v="98.82"/>
    <x v="5"/>
    <m/>
    <m/>
    <m/>
    <n v="98.82"/>
    <b v="0"/>
    <m/>
    <m/>
    <s v="-"/>
    <x v="6"/>
    <s v="Create Rule; and Description Like '%Cub Foods%';Groceries"/>
    <m/>
  </r>
  <r>
    <x v="36"/>
    <d v="2022-01-12T00:00:00"/>
    <s v="Cash Rewards Visa Signature"/>
    <x v="579"/>
    <n v="15"/>
    <x v="1"/>
    <m/>
    <m/>
    <m/>
    <n v="15"/>
    <b v="0"/>
    <m/>
    <m/>
    <s v="-"/>
    <x v="560"/>
    <s v="Create Rule; and Description='Starbucks';Restaurants"/>
    <m/>
  </r>
  <r>
    <x v="36"/>
    <d v="2022-01-12T00:00:00"/>
    <s v="Cash Rewards Visa Signature"/>
    <x v="55"/>
    <n v="23.98"/>
    <x v="5"/>
    <m/>
    <m/>
    <m/>
    <n v="23.98"/>
    <b v="0"/>
    <m/>
    <m/>
    <s v="-"/>
    <x v="55"/>
    <s v="Create Rule; and Description='Walgreens';Shopping"/>
    <m/>
  </r>
  <r>
    <x v="36"/>
    <d v="2022-01-13T00:00:00"/>
    <s v="Cash Rewards Visa Signature"/>
    <x v="0"/>
    <n v="18.100000000000001"/>
    <x v="0"/>
    <m/>
    <m/>
    <m/>
    <n v="18.100000000000001"/>
    <b v="0"/>
    <m/>
    <m/>
    <s v="-"/>
    <x v="0"/>
    <s v="Create Rule; and Description='Amazon';Amazon"/>
    <m/>
  </r>
  <r>
    <x v="36"/>
    <d v="2022-01-13T00:00:00"/>
    <s v="Cash Rewards Visa Signature"/>
    <x v="67"/>
    <n v="45"/>
    <x v="11"/>
    <m/>
    <m/>
    <m/>
    <n v="45"/>
    <b v="0"/>
    <m/>
    <m/>
    <s v="-"/>
    <x v="67"/>
    <s v="Create Rule; and Description='CenturyLink';Utilities"/>
    <m/>
  </r>
  <r>
    <x v="36"/>
    <d v="2022-01-13T00:00:00"/>
    <s v="POWERPLUS"/>
    <x v="1777"/>
    <n v="3037.89"/>
    <x v="26"/>
    <m/>
    <m/>
    <m/>
    <n v="-3037.89"/>
    <b v="0"/>
    <m/>
    <m/>
    <s v="+"/>
    <x v="1526"/>
    <s v="Manual"/>
    <m/>
  </r>
  <r>
    <x v="36"/>
    <d v="2022-01-14T00:00:00"/>
    <s v="POWERPLUS"/>
    <x v="48"/>
    <n v="102.49"/>
    <x v="16"/>
    <m/>
    <m/>
    <m/>
    <n v="102.49"/>
    <b v="0"/>
    <m/>
    <m/>
    <s v="-"/>
    <x v="48"/>
    <s v="Create Rule; and Description='American Family Insurance';Insurance"/>
    <m/>
  </r>
  <r>
    <x v="36"/>
    <d v="2022-01-14T00:00:00"/>
    <s v="Cash Rewards Visa Signature"/>
    <x v="661"/>
    <n v="3"/>
    <x v="26"/>
    <m/>
    <m/>
    <m/>
    <n v="3"/>
    <b v="0"/>
    <m/>
    <m/>
    <s v="-"/>
    <x v="639"/>
    <s v="Manual"/>
    <m/>
  </r>
  <r>
    <x v="36"/>
    <d v="2022-01-14T00:00:00"/>
    <s v="Cash Rewards Visa Signature"/>
    <x v="1375"/>
    <n v="35.11"/>
    <x v="26"/>
    <m/>
    <m/>
    <m/>
    <n v="35.11"/>
    <b v="0"/>
    <m/>
    <m/>
    <s v="-"/>
    <x v="1296"/>
    <s v="Manual"/>
    <m/>
  </r>
  <r>
    <x v="36"/>
    <d v="2022-01-16T00:00:00"/>
    <s v="Cash Rewards Visa Signature"/>
    <x v="523"/>
    <n v="25.54"/>
    <x v="1"/>
    <m/>
    <m/>
    <m/>
    <n v="25.54"/>
    <b v="0"/>
    <m/>
    <m/>
    <s v="-"/>
    <x v="504"/>
    <s v="Create Rule; and Description='Chick-Fil-A';Restaurants"/>
    <m/>
  </r>
  <r>
    <x v="36"/>
    <d v="2022-01-16T00:00:00"/>
    <s v="Cash Rewards Visa Signature"/>
    <x v="823"/>
    <n v="35.58"/>
    <x v="2"/>
    <m/>
    <m/>
    <m/>
    <n v="35.58"/>
    <b v="0"/>
    <m/>
    <m/>
    <s v="-"/>
    <x v="792"/>
    <s v="Create Rule; and Description='Kwik Trip';Transportation"/>
    <m/>
  </r>
  <r>
    <x v="36"/>
    <d v="2022-01-16T00:00:00"/>
    <s v="Cash Rewards Visa Signature"/>
    <x v="1460"/>
    <n v="3.12"/>
    <x v="26"/>
    <m/>
    <m/>
    <m/>
    <n v="3.12"/>
    <b v="0"/>
    <m/>
    <m/>
    <s v="-"/>
    <x v="1373"/>
    <s v="Manual"/>
    <m/>
  </r>
  <r>
    <x v="36"/>
    <d v="2022-01-16T00:00:00"/>
    <s v="Cash Rewards Visa Signature"/>
    <x v="579"/>
    <n v="6.1"/>
    <x v="1"/>
    <m/>
    <m/>
    <m/>
    <n v="6.1"/>
    <b v="0"/>
    <m/>
    <m/>
    <s v="-"/>
    <x v="560"/>
    <s v="Create Rule; and Description='Starbucks';Restaurants"/>
    <m/>
  </r>
  <r>
    <x v="36"/>
    <d v="2022-01-18T00:00:00"/>
    <s v="Cash Rewards Visa Signature"/>
    <x v="1392"/>
    <n v="20.55"/>
    <x v="26"/>
    <m/>
    <m/>
    <m/>
    <n v="20.55"/>
    <b v="0"/>
    <m/>
    <m/>
    <s v="-"/>
    <x v="1311"/>
    <s v="Create Rule; and Description='Lakewinds Food Coop LAKEWINDS CHANHASSEN CHANHASSEN MN';Groceries"/>
    <m/>
  </r>
  <r>
    <x v="36"/>
    <d v="2022-01-18T00:00:00"/>
    <s v="POWERPLUS"/>
    <x v="1778"/>
    <n v="200"/>
    <x v="26"/>
    <m/>
    <m/>
    <m/>
    <n v="200"/>
    <b v="0"/>
    <m/>
    <m/>
    <s v="-"/>
    <x v="1598"/>
    <s v="Create Rule; and Description Like '%MN DIR ACH%';College Savings"/>
    <m/>
  </r>
  <r>
    <x v="36"/>
    <d v="2022-01-18T00:00:00"/>
    <s v="Cash Rewards Visa Signature"/>
    <x v="1779"/>
    <n v="133.32"/>
    <x v="26"/>
    <m/>
    <m/>
    <m/>
    <n v="133.32"/>
    <b v="0"/>
    <m/>
    <m/>
    <s v="-"/>
    <x v="1640"/>
    <s v="Manual"/>
    <m/>
  </r>
  <r>
    <x v="36"/>
    <d v="2022-01-19T00:00:00"/>
    <s v="POWERPLUS"/>
    <x v="1321"/>
    <n v="836.35"/>
    <x v="26"/>
    <m/>
    <m/>
    <m/>
    <n v="836.35"/>
    <b v="0"/>
    <m/>
    <m/>
    <s v="-"/>
    <x v="1249"/>
    <s v="Create Rule; and Description Like '%MHCHILDCARELLC%';Day Care"/>
    <m/>
  </r>
  <r>
    <x v="36"/>
    <d v="2022-01-19T00:00:00"/>
    <s v="Cash Rewards Visa Signature"/>
    <x v="1115"/>
    <n v="147.97"/>
    <x v="26"/>
    <m/>
    <m/>
    <m/>
    <n v="147.97"/>
    <b v="0"/>
    <m/>
    <m/>
    <s v="-"/>
    <x v="1062"/>
    <s v="Create Rule; and Description Like '%Rally House%';Shopping"/>
    <m/>
  </r>
  <r>
    <x v="36"/>
    <d v="2022-01-19T00:00:00"/>
    <s v="Cash Rewards Visa Signature"/>
    <x v="1780"/>
    <n v="30.3"/>
    <x v="26"/>
    <m/>
    <m/>
    <m/>
    <n v="30.3"/>
    <b v="0"/>
    <m/>
    <m/>
    <s v="-"/>
    <x v="1641"/>
    <s v="Manual"/>
    <m/>
  </r>
  <r>
    <x v="36"/>
    <d v="2022-01-19T00:00:00"/>
    <s v="Cash Rewards Visa Signature"/>
    <x v="1781"/>
    <n v="83"/>
    <x v="26"/>
    <m/>
    <m/>
    <m/>
    <n v="83"/>
    <b v="0"/>
    <m/>
    <m/>
    <s v="-"/>
    <x v="1642"/>
    <s v="Manual"/>
    <m/>
  </r>
  <r>
    <x v="36"/>
    <d v="2022-01-20T00:00:00"/>
    <s v="POWERPLUS"/>
    <x v="1782"/>
    <n v="125"/>
    <x v="26"/>
    <m/>
    <m/>
    <m/>
    <n v="125"/>
    <b v="0"/>
    <m/>
    <m/>
    <s v="-"/>
    <x v="1619"/>
    <s v="Manual"/>
    <m/>
  </r>
  <r>
    <x v="36"/>
    <d v="2022-01-20T00:00:00"/>
    <s v="POWERPLUS"/>
    <x v="1783"/>
    <n v="2578.2600000000002"/>
    <x v="26"/>
    <m/>
    <m/>
    <m/>
    <n v="-2578.2600000000002"/>
    <b v="0"/>
    <m/>
    <m/>
    <s v="+"/>
    <x v="1256"/>
    <s v="Create Rule; and Description Like '%Cargill Inc Deposit CARGILL INCORPOR TYPE DIRECT DEP ID CO CARGILL INCORPOR ACH%';Inc - Britney"/>
    <m/>
  </r>
  <r>
    <x v="36"/>
    <d v="2022-01-21T00:00:00"/>
    <s v="Cash Rewards Visa Signature"/>
    <x v="1710"/>
    <n v="9"/>
    <x v="26"/>
    <m/>
    <m/>
    <m/>
    <n v="9"/>
    <b v="0"/>
    <m/>
    <m/>
    <s v="-"/>
    <x v="1587"/>
    <s v="Create Rule; and Description Like '%BONFES%';House Maintenance"/>
    <m/>
  </r>
  <r>
    <x v="36"/>
    <d v="2022-01-21T00:00:00"/>
    <s v="Cash Rewards Visa Signature"/>
    <x v="240"/>
    <n v="31.78"/>
    <x v="26"/>
    <m/>
    <m/>
    <m/>
    <n v="31.78"/>
    <b v="0"/>
    <m/>
    <m/>
    <s v="-"/>
    <x v="238"/>
    <s v="Create Rule; and Description='Chipotle';Restaurants"/>
    <m/>
  </r>
  <r>
    <x v="36"/>
    <d v="2022-01-21T00:00:00"/>
    <s v="POWERPLUS"/>
    <x v="84"/>
    <n v="52.74"/>
    <x v="26"/>
    <m/>
    <m/>
    <m/>
    <n v="52.74"/>
    <b v="0"/>
    <m/>
    <m/>
    <s v="-"/>
    <x v="84"/>
    <s v="Create Rule; and Description='City of Chanhassen';Utilities"/>
    <m/>
  </r>
  <r>
    <x v="36"/>
    <d v="2022-01-21T00:00:00"/>
    <s v="POWERPLUS"/>
    <x v="157"/>
    <n v="15.11"/>
    <x v="8"/>
    <m/>
    <m/>
    <m/>
    <n v="15.11"/>
    <b v="0"/>
    <m/>
    <m/>
    <s v="-"/>
    <x v="156"/>
    <s v="Create Rule; and Description Like '%PayPal%';Shopping"/>
    <m/>
  </r>
  <r>
    <x v="36"/>
    <d v="2022-01-21T00:00:00"/>
    <s v="CARGILL PARTNERSHIP PLAN"/>
    <x v="235"/>
    <n v="865.38"/>
    <x v="26"/>
    <m/>
    <m/>
    <m/>
    <n v="-865.38"/>
    <b v="0"/>
    <m/>
    <m/>
    <s v="+"/>
    <x v="233"/>
    <s v="Create Rule; and Description='Target Retire 2055 Tr P - Plan Contribution';401K"/>
    <m/>
  </r>
  <r>
    <x v="36"/>
    <d v="2022-01-23T00:00:00"/>
    <s v="Cash Rewards Visa Signature"/>
    <x v="255"/>
    <n v="418.44"/>
    <x v="5"/>
    <m/>
    <m/>
    <m/>
    <n v="418.44"/>
    <b v="0"/>
    <m/>
    <m/>
    <s v="-"/>
    <x v="253"/>
    <s v="Create Rule; and Description='Costco';Groceries"/>
    <m/>
  </r>
  <r>
    <x v="36"/>
    <d v="2022-01-23T00:00:00"/>
    <s v="Cash Rewards Visa Signature"/>
    <x v="60"/>
    <n v="19.309999999999999"/>
    <x v="26"/>
    <m/>
    <m/>
    <m/>
    <n v="19.309999999999999"/>
    <b v="0"/>
    <m/>
    <m/>
    <s v="-"/>
    <x v="60"/>
    <s v="Create Rule; and Description='Home Depot';House Maintenance"/>
    <m/>
  </r>
  <r>
    <x v="36"/>
    <d v="2022-01-23T00:00:00"/>
    <s v="Cash Rewards Visa Signature"/>
    <x v="823"/>
    <n v="48.95"/>
    <x v="2"/>
    <m/>
    <m/>
    <m/>
    <n v="48.95"/>
    <b v="0"/>
    <m/>
    <m/>
    <s v="-"/>
    <x v="792"/>
    <s v="Create Rule; and Description='Kwik Trip';Transportation"/>
    <m/>
  </r>
  <r>
    <x v="36"/>
    <d v="2022-01-23T00:00:00"/>
    <s v="Cash Rewards Visa Signature"/>
    <x v="451"/>
    <n v="30.88"/>
    <x v="1"/>
    <m/>
    <m/>
    <m/>
    <n v="30.88"/>
    <b v="0"/>
    <m/>
    <m/>
    <s v="-"/>
    <x v="435"/>
    <s v="Create Rule; and Description Like '%Papa Murphy%';Restaurants"/>
    <m/>
  </r>
  <r>
    <x v="36"/>
    <d v="2022-01-23T00:00:00"/>
    <s v="RAINY DAY"/>
    <x v="515"/>
    <n v="100"/>
    <x v="26"/>
    <m/>
    <m/>
    <m/>
    <n v="-100"/>
    <b v="0"/>
    <m/>
    <m/>
    <s v="+"/>
    <x v="496"/>
    <s v="Create Rule; and Description='Share';Delete"/>
    <m/>
  </r>
  <r>
    <x v="36"/>
    <d v="2022-01-23T00:00:00"/>
    <s v="POWERPLUS"/>
    <x v="952"/>
    <n v="100"/>
    <x v="26"/>
    <m/>
    <m/>
    <m/>
    <n v="100"/>
    <b v="0"/>
    <m/>
    <m/>
    <s v="-"/>
    <x v="915"/>
    <s v="Create Rule; and Description='To Share 12';Delete"/>
    <m/>
  </r>
  <r>
    <x v="36"/>
    <d v="2022-01-23T00:00:00"/>
    <s v="Cash Rewards Visa Signature"/>
    <x v="55"/>
    <n v="47.98"/>
    <x v="5"/>
    <m/>
    <m/>
    <m/>
    <n v="47.98"/>
    <b v="0"/>
    <m/>
    <m/>
    <s v="-"/>
    <x v="55"/>
    <s v="Create Rule; and Description='Walgreens';Shopping"/>
    <m/>
  </r>
  <r>
    <x v="36"/>
    <d v="2022-01-23T00:00:00"/>
    <s v="Cash Rewards Visa Signature"/>
    <x v="55"/>
    <n v="95.96"/>
    <x v="5"/>
    <m/>
    <m/>
    <m/>
    <n v="95.96"/>
    <b v="0"/>
    <m/>
    <m/>
    <s v="-"/>
    <x v="55"/>
    <s v="Create Rule; and Description='Walgreens';Shopping"/>
    <m/>
  </r>
  <r>
    <x v="36"/>
    <d v="2022-01-24T00:00:00"/>
    <s v="Cash Rewards Visa Signature"/>
    <x v="1318"/>
    <n v="1946.66"/>
    <x v="26"/>
    <m/>
    <m/>
    <m/>
    <n v="-1946.66"/>
    <b v="0"/>
    <m/>
    <m/>
    <s v="+"/>
    <x v="1246"/>
    <s v="Create Rule; and Description='Credit Card Payment Received PAYMENT THANK YOU';Delete"/>
    <m/>
  </r>
  <r>
    <x v="36"/>
    <d v="2022-01-24T00:00:00"/>
    <s v="POWERPLUS"/>
    <x v="1319"/>
    <n v="1946.66"/>
    <x v="26"/>
    <m/>
    <m/>
    <m/>
    <n v="1946.66"/>
    <b v="0"/>
    <m/>
    <m/>
    <s v="-"/>
    <x v="1247"/>
    <s v="Create Rule; and Description='Withdrawal Home payment to card XX91 Withdrawal Home payment to card 979181';Delete"/>
    <m/>
  </r>
  <r>
    <x v="36"/>
    <d v="2022-01-24T00:00:00"/>
    <s v="Cash Rewards Visa Signature"/>
    <x v="1138"/>
    <n v="32"/>
    <x v="26"/>
    <m/>
    <m/>
    <m/>
    <n v="32"/>
    <b v="0"/>
    <m/>
    <m/>
    <s v="-"/>
    <x v="1084"/>
    <s v="Manual"/>
    <m/>
  </r>
  <r>
    <x v="36"/>
    <d v="2022-01-24T00:00:00"/>
    <s v="Cash Rewards Visa Signature"/>
    <x v="60"/>
    <n v="4.24"/>
    <x v="26"/>
    <m/>
    <m/>
    <m/>
    <n v="4.24"/>
    <b v="0"/>
    <m/>
    <m/>
    <s v="-"/>
    <x v="60"/>
    <s v="Create Rule; and Description='Home Depot';House Maintenance"/>
    <m/>
  </r>
  <r>
    <x v="36"/>
    <d v="2022-01-24T00:00:00"/>
    <s v="Cash Rewards Visa Signature"/>
    <x v="1784"/>
    <n v="7.63"/>
    <x v="26"/>
    <m/>
    <m/>
    <m/>
    <n v="7.63"/>
    <b v="0"/>
    <m/>
    <m/>
    <s v="-"/>
    <x v="1643"/>
    <s v="Create Rule; and Description Like '%Maynard%';Restaurants"/>
    <m/>
  </r>
  <r>
    <x v="36"/>
    <d v="2022-01-24T00:00:00"/>
    <s v="Cash Rewards Visa Signature"/>
    <x v="1784"/>
    <n v="59.03"/>
    <x v="26"/>
    <m/>
    <m/>
    <m/>
    <n v="59.03"/>
    <b v="0"/>
    <m/>
    <m/>
    <s v="-"/>
    <x v="1643"/>
    <s v="Create Rule; and Description Like '%Maynard%';Restaurants"/>
    <m/>
  </r>
  <r>
    <x v="36"/>
    <d v="2022-01-25T00:00:00"/>
    <s v="POWERPLUS"/>
    <x v="1785"/>
    <n v="50"/>
    <x v="26"/>
    <m/>
    <m/>
    <m/>
    <n v="50"/>
    <b v="0"/>
    <m/>
    <m/>
    <s v="-"/>
    <x v="1619"/>
    <s v="Manual"/>
    <m/>
  </r>
  <r>
    <x v="36"/>
    <d v="2022-01-25T00:00:00"/>
    <s v="POWERPLUS"/>
    <x v="34"/>
    <n v="579.54"/>
    <x v="12"/>
    <m/>
    <m/>
    <m/>
    <n v="579.54"/>
    <b v="0"/>
    <m/>
    <m/>
    <s v="-"/>
    <x v="34"/>
    <s v="Create Rule; and Description='Target';Target"/>
    <m/>
  </r>
  <r>
    <x v="36"/>
    <d v="2022-01-26T00:00:00"/>
    <s v="POWERPLUS"/>
    <x v="1348"/>
    <n v="163.71"/>
    <x v="11"/>
    <m/>
    <m/>
    <m/>
    <n v="163.71"/>
    <b v="0"/>
    <m/>
    <m/>
    <s v="-"/>
    <x v="1273"/>
    <s v="Create Rule; and Description='CenterPoint Energy';Utilities"/>
    <m/>
  </r>
  <r>
    <x v="36"/>
    <d v="2022-01-26T00:00:00"/>
    <s v="POWERPLUS"/>
    <x v="1321"/>
    <n v="536.29999999999995"/>
    <x v="26"/>
    <m/>
    <m/>
    <m/>
    <n v="536.29999999999995"/>
    <b v="0"/>
    <m/>
    <m/>
    <s v="-"/>
    <x v="1249"/>
    <s v="Create Rule; and Description Like '%MHCHILDCARELLC%';Day Care"/>
    <m/>
  </r>
  <r>
    <x v="36"/>
    <d v="2022-01-26T00:00:00"/>
    <s v="Discover More Card"/>
    <x v="99"/>
    <n v="8.99"/>
    <x v="11"/>
    <m/>
    <m/>
    <m/>
    <n v="8.99"/>
    <b v="0"/>
    <m/>
    <m/>
    <s v="-"/>
    <x v="99"/>
    <s v="Create Rule; and Description='Netflix';Utilities"/>
    <m/>
  </r>
  <r>
    <x v="36"/>
    <d v="2022-01-26T00:00:00"/>
    <s v="CARGILL EMPLOYEE RETIREMENT ACCOUNT"/>
    <x v="318"/>
    <n v="0.17"/>
    <x v="26"/>
    <m/>
    <m/>
    <m/>
    <n v="0.17"/>
    <b v="0"/>
    <m/>
    <m/>
    <s v="-"/>
    <x v="309"/>
    <s v="Create Rule; and Description='Target Retire 2055 Tr P - Fee';Delete"/>
    <m/>
  </r>
  <r>
    <x v="36"/>
    <d v="2022-01-26T00:00:00"/>
    <s v="CARGILL PARTNERSHIP PLAN"/>
    <x v="318"/>
    <n v="4.17"/>
    <x v="26"/>
    <m/>
    <m/>
    <m/>
    <n v="4.17"/>
    <b v="0"/>
    <m/>
    <m/>
    <s v="-"/>
    <x v="309"/>
    <s v="Create Rule; and Description='Target Retire 2055 Tr P - Fee';Delete"/>
    <m/>
  </r>
  <r>
    <x v="36"/>
    <d v="2022-01-27T00:00:00"/>
    <s v="Cash Rewards Visa Signature"/>
    <x v="0"/>
    <n v="66.180000000000007"/>
    <x v="0"/>
    <m/>
    <m/>
    <m/>
    <n v="66.180000000000007"/>
    <b v="0"/>
    <m/>
    <m/>
    <s v="-"/>
    <x v="0"/>
    <s v="Create Rule; and Description='Amazon';Amazon"/>
    <m/>
  </r>
  <r>
    <x v="36"/>
    <d v="2022-01-27T00:00:00"/>
    <s v="Cash Rewards Visa Signature"/>
    <x v="980"/>
    <n v="141.69"/>
    <x v="26"/>
    <m/>
    <m/>
    <m/>
    <n v="141.69"/>
    <b v="0"/>
    <m/>
    <m/>
    <s v="-"/>
    <x v="940"/>
    <s v="Create Rule; and Description Like '%AVOADVOCARE INTL%';Groceries"/>
    <m/>
  </r>
  <r>
    <x v="36"/>
    <d v="2022-01-27T00:00:00"/>
    <s v="CARGILL PARTNERSHIP PLAN"/>
    <x v="566"/>
    <n v="1599.17"/>
    <x v="26"/>
    <m/>
    <m/>
    <m/>
    <n v="-1599.17"/>
    <b v="0"/>
    <m/>
    <m/>
    <s v="+"/>
    <x v="547"/>
    <s v="Create Rule; and Description='Cargill ESOP Stock Fund - Plan Contribution';Delete"/>
    <m/>
  </r>
  <r>
    <x v="36"/>
    <d v="2022-01-27T00:00:00"/>
    <s v="Cash Rewards Visa Signature"/>
    <x v="60"/>
    <n v="38.630000000000003"/>
    <x v="26"/>
    <m/>
    <m/>
    <m/>
    <n v="38.630000000000003"/>
    <b v="0"/>
    <m/>
    <m/>
    <s v="-"/>
    <x v="60"/>
    <s v="Create Rule; and Description='Home Depot';House Maintenance"/>
    <m/>
  </r>
  <r>
    <x v="36"/>
    <d v="2022-01-28T00:00:00"/>
    <s v="POWERPLUS"/>
    <x v="157"/>
    <n v="0.99"/>
    <x v="8"/>
    <m/>
    <m/>
    <m/>
    <n v="0.99"/>
    <b v="0"/>
    <m/>
    <m/>
    <s v="-"/>
    <x v="156"/>
    <s v="Create Rule; and Description Like '%PayPal%';Shopping"/>
    <m/>
  </r>
  <r>
    <x v="36"/>
    <d v="2022-01-30T00:00:00"/>
    <s v="Cash Rewards Visa Signature"/>
    <x v="0"/>
    <n v="22.53"/>
    <x v="0"/>
    <m/>
    <m/>
    <m/>
    <n v="22.53"/>
    <b v="0"/>
    <m/>
    <m/>
    <s v="-"/>
    <x v="0"/>
    <s v="Create Rule; and Description='Amazon';Amazon"/>
    <m/>
  </r>
  <r>
    <x v="36"/>
    <d v="2022-01-30T00:00:00"/>
    <s v="Cash Rewards Visa Signature"/>
    <x v="1786"/>
    <n v="119.87"/>
    <x v="26"/>
    <m/>
    <m/>
    <m/>
    <n v="119.87"/>
    <b v="0"/>
    <m/>
    <m/>
    <s v="-"/>
    <x v="1644"/>
    <s v="Manual"/>
    <m/>
  </r>
  <r>
    <x v="36"/>
    <d v="2022-01-30T00:00:00"/>
    <s v="POWERPLUS"/>
    <x v="35"/>
    <n v="75"/>
    <x v="26"/>
    <m/>
    <m/>
    <m/>
    <n v="-75"/>
    <b v="0"/>
    <m/>
    <m/>
    <s v="+"/>
    <x v="35"/>
    <s v="Create Rule; and Description='Cargill Incorpor Type';Inc - Other"/>
    <m/>
  </r>
  <r>
    <x v="36"/>
    <d v="2022-01-30T00:00:00"/>
    <s v="Cash Rewards Visa Signature"/>
    <x v="1787"/>
    <n v="60.04"/>
    <x v="26"/>
    <m/>
    <m/>
    <m/>
    <n v="60.04"/>
    <b v="0"/>
    <m/>
    <m/>
    <s v="-"/>
    <x v="1645"/>
    <s v="Manual"/>
    <m/>
  </r>
  <r>
    <x v="36"/>
    <d v="2022-01-30T00:00:00"/>
    <s v="Cash Rewards Visa Signature"/>
    <x v="1788"/>
    <n v="26.82"/>
    <x v="26"/>
    <m/>
    <m/>
    <m/>
    <n v="26.82"/>
    <b v="0"/>
    <m/>
    <m/>
    <s v="-"/>
    <x v="1646"/>
    <s v="Create Rule; and Description='KAIS SUSHI AND GRILL MINNETONKA KAIS SUSHI AND GRILL MINNETONKA MN';Restaurants"/>
    <m/>
  </r>
  <r>
    <x v="36"/>
    <d v="2022-01-30T00:00:00"/>
    <s v="Cash Rewards Visa Signature"/>
    <x v="661"/>
    <n v="27.59"/>
    <x v="26"/>
    <m/>
    <m/>
    <m/>
    <n v="27.59"/>
    <b v="0"/>
    <m/>
    <m/>
    <s v="-"/>
    <x v="639"/>
    <s v="Manual"/>
    <m/>
  </r>
  <r>
    <x v="36"/>
    <d v="2022-01-30T00:00:00"/>
    <s v="Cash Rewards Visa Signature"/>
    <x v="823"/>
    <n v="47.45"/>
    <x v="2"/>
    <m/>
    <m/>
    <m/>
    <n v="47.45"/>
    <b v="0"/>
    <m/>
    <m/>
    <s v="-"/>
    <x v="792"/>
    <s v="Create Rule; and Description='Kwik Trip';Transportation"/>
    <m/>
  </r>
  <r>
    <x v="36"/>
    <d v="2022-01-30T00:00:00"/>
    <s v="Cash Rewards Visa Signature"/>
    <x v="1789"/>
    <n v="106.29"/>
    <x v="26"/>
    <m/>
    <m/>
    <m/>
    <n v="106.29"/>
    <b v="0"/>
    <m/>
    <m/>
    <s v="-"/>
    <x v="1647"/>
    <s v="Manual"/>
    <m/>
  </r>
  <r>
    <x v="36"/>
    <d v="2022-01-30T00:00:00"/>
    <s v="POWERPLUS"/>
    <x v="1790"/>
    <n v="2956.33"/>
    <x v="26"/>
    <m/>
    <m/>
    <m/>
    <n v="-2956.33"/>
    <b v="0"/>
    <m/>
    <m/>
    <s v="+"/>
    <x v="1526"/>
    <s v="Manual"/>
    <m/>
  </r>
  <r>
    <x v="36"/>
    <d v="2022-01-30T00:00:00"/>
    <s v="Cash Rewards Visa Signature"/>
    <x v="1791"/>
    <n v="27.71"/>
    <x v="26"/>
    <m/>
    <m/>
    <m/>
    <n v="27.71"/>
    <b v="0"/>
    <m/>
    <m/>
    <s v="-"/>
    <x v="1648"/>
    <s v="Create Rule; and Description='Tavern 4&amp;5';Restaurants"/>
    <m/>
  </r>
  <r>
    <x v="36"/>
    <d v="2022-01-31T00:00:00"/>
    <s v="Cash Rewards Visa Signature"/>
    <x v="1792"/>
    <n v="25.45"/>
    <x v="26"/>
    <m/>
    <m/>
    <m/>
    <n v="25.45"/>
    <b v="0"/>
    <m/>
    <m/>
    <s v="-"/>
    <x v="1649"/>
    <s v="Manual"/>
    <m/>
  </r>
  <r>
    <x v="36"/>
    <d v="2022-01-31T00:00:00"/>
    <s v="Cash Rewards Visa Signature"/>
    <x v="79"/>
    <n v="69"/>
    <x v="28"/>
    <m/>
    <m/>
    <m/>
    <n v="69"/>
    <b v="0"/>
    <m/>
    <m/>
    <s v="-"/>
    <x v="79"/>
    <s v="Create Rule; and Description='Elite Nails';Entertainment"/>
    <m/>
  </r>
  <r>
    <x v="36"/>
    <d v="2022-01-31T00:00:00"/>
    <s v="Cash Rewards Visa Signature"/>
    <x v="1793"/>
    <n v="42.39"/>
    <x v="26"/>
    <m/>
    <m/>
    <m/>
    <n v="42.39"/>
    <b v="0"/>
    <m/>
    <m/>
    <s v="-"/>
    <x v="1650"/>
    <s v="Manual"/>
    <m/>
  </r>
  <r>
    <x v="36"/>
    <d v="2022-01-31T00:00:00"/>
    <s v="POWERPLUS"/>
    <x v="157"/>
    <n v="0.99"/>
    <x v="8"/>
    <m/>
    <m/>
    <m/>
    <n v="0.99"/>
    <b v="0"/>
    <m/>
    <m/>
    <s v="-"/>
    <x v="156"/>
    <s v="Create Rule; and Description Like '%PayPal%';Shopping"/>
    <m/>
  </r>
  <r>
    <x v="36"/>
    <d v="2022-01-31T00:00:00"/>
    <s v="POWERPLUS"/>
    <x v="157"/>
    <n v="2.25"/>
    <x v="8"/>
    <m/>
    <m/>
    <m/>
    <n v="2.25"/>
    <b v="0"/>
    <m/>
    <m/>
    <s v="-"/>
    <x v="156"/>
    <s v="Create Rule; and Description Like '%PayPal%';Shopping"/>
    <m/>
  </r>
  <r>
    <x v="36"/>
    <d v="2022-01-31T00:00:00"/>
    <s v="POWERPLUS"/>
    <x v="157"/>
    <n v="5.39"/>
    <x v="8"/>
    <m/>
    <m/>
    <m/>
    <n v="5.39"/>
    <b v="0"/>
    <m/>
    <m/>
    <s v="-"/>
    <x v="156"/>
    <s v="Create Rule; and Description Like '%PayPal%';Shopping"/>
    <m/>
  </r>
  <r>
    <x v="36"/>
    <d v="2022-01-31T00:00:00"/>
    <s v="POWERPLUS"/>
    <x v="157"/>
    <n v="6.47"/>
    <x v="8"/>
    <m/>
    <m/>
    <m/>
    <n v="6.47"/>
    <b v="0"/>
    <m/>
    <m/>
    <s v="-"/>
    <x v="156"/>
    <s v="Create Rule; and Description Like '%PayPal%';Shopping"/>
    <m/>
  </r>
  <r>
    <x v="36"/>
    <d v="2022-01-31T00:00:00"/>
    <s v="POWERPLUS"/>
    <x v="157"/>
    <n v="97.12"/>
    <x v="8"/>
    <m/>
    <m/>
    <m/>
    <n v="97.12"/>
    <b v="0"/>
    <m/>
    <m/>
    <s v="-"/>
    <x v="156"/>
    <s v="Create Rule; and Description Like '%PayPal%';Shopping"/>
    <m/>
  </r>
  <r>
    <x v="36"/>
    <d v="2022-01-31T00:00:00"/>
    <s v="RAINY DAY"/>
    <x v="119"/>
    <n v="14.23"/>
    <x v="26"/>
    <m/>
    <m/>
    <m/>
    <n v="-14.23"/>
    <b v="0"/>
    <m/>
    <m/>
    <s v="+"/>
    <x v="119"/>
    <s v="Create Rule; and Description='Split Rate Apy';Inc - Other"/>
    <m/>
  </r>
  <r>
    <x v="36"/>
    <d v="2022-01-31T00:00:00"/>
    <s v="POWERPLUS"/>
    <x v="119"/>
    <n v="19.21"/>
    <x v="26"/>
    <m/>
    <m/>
    <m/>
    <n v="-19.21"/>
    <b v="0"/>
    <m/>
    <m/>
    <s v="+"/>
    <x v="119"/>
    <s v="Create Rule; and Description='Split Rate Apy';Inc - Other"/>
    <m/>
  </r>
  <r>
    <x v="37"/>
    <d v="2022-02-01T00:00:00"/>
    <s v="Cash Rewards Visa Signature"/>
    <x v="1318"/>
    <n v="924.54"/>
    <x v="26"/>
    <m/>
    <m/>
    <m/>
    <n v="-924.54"/>
    <b v="0"/>
    <m/>
    <m/>
    <s v="+"/>
    <x v="1246"/>
    <s v="Create Rule; and Description='Credit Card Payment Received PAYMENT THANK YOU';Delete"/>
    <m/>
  </r>
  <r>
    <x v="37"/>
    <d v="2022-02-01T00:00:00"/>
    <s v="30 YR FIXED"/>
    <x v="935"/>
    <n v="757.56"/>
    <x v="3"/>
    <m/>
    <m/>
    <m/>
    <n v="-757.56"/>
    <b v="0"/>
    <m/>
    <m/>
    <s v="+"/>
    <x v="899"/>
    <s v="Create Rule; and Description='PAYMENT';Delete"/>
    <m/>
  </r>
  <r>
    <x v="37"/>
    <d v="2022-02-01T00:00:00"/>
    <s v="POWERPLUS"/>
    <x v="1319"/>
    <n v="924.54"/>
    <x v="26"/>
    <m/>
    <m/>
    <m/>
    <n v="924.54"/>
    <b v="0"/>
    <m/>
    <m/>
    <s v="-"/>
    <x v="1247"/>
    <s v="Create Rule; and Description='Withdrawal Home payment to card XX91 Withdrawal Home payment to card 979181';Delete"/>
    <m/>
  </r>
  <r>
    <x v="37"/>
    <d v="2022-02-01T00:00:00"/>
    <s v="Discover More Card"/>
    <x v="598"/>
    <n v="4.28"/>
    <x v="10"/>
    <m/>
    <m/>
    <m/>
    <n v="4.28"/>
    <b v="0"/>
    <m/>
    <m/>
    <s v="-"/>
    <x v="579"/>
    <s v="Create Rule; and Description='Amazon Music';Entertainment"/>
    <m/>
  </r>
  <r>
    <x v="37"/>
    <d v="2022-02-01T00:00:00"/>
    <s v="POWERPLUS"/>
    <x v="1334"/>
    <n v="3003.94"/>
    <x v="6"/>
    <m/>
    <m/>
    <m/>
    <n v="3003.94"/>
    <b v="0"/>
    <m/>
    <m/>
    <s v="-"/>
    <x v="1261"/>
    <s v="Create Rule; and Description='Baxter Credit Union';Rent"/>
    <m/>
  </r>
  <r>
    <x v="37"/>
    <d v="2022-02-01T00:00:00"/>
    <s v="Cash Rewards Visa Signature"/>
    <x v="1794"/>
    <n v="10"/>
    <x v="2"/>
    <m/>
    <m/>
    <m/>
    <n v="10"/>
    <b v="0"/>
    <m/>
    <m/>
    <s v="-"/>
    <x v="1651"/>
    <s v="Manual"/>
    <m/>
  </r>
  <r>
    <x v="37"/>
    <d v="2022-02-01T00:00:00"/>
    <s v="POWERPLUS"/>
    <x v="1335"/>
    <n v="200"/>
    <x v="26"/>
    <m/>
    <m/>
    <m/>
    <n v="200"/>
    <b v="0"/>
    <m/>
    <m/>
    <s v="-"/>
    <x v="1262"/>
    <s v="Create Rule; and Description Like '%College Savings%';College Savings"/>
    <m/>
  </r>
  <r>
    <x v="37"/>
    <d v="2022-02-01T00:00:00"/>
    <s v="HIGHLANDER"/>
    <x v="976"/>
    <n v="593.29999999999995"/>
    <x v="26"/>
    <m/>
    <m/>
    <m/>
    <n v="-593.29999999999995"/>
    <b v="0"/>
    <m/>
    <m/>
    <s v="+"/>
    <x v="936"/>
    <s v="Create Rule; and Description='From Share 70';Delete"/>
    <m/>
  </r>
  <r>
    <x v="37"/>
    <d v="2022-02-01T00:00:00"/>
    <s v="POWERPLUS"/>
    <x v="1321"/>
    <n v="536.29999999999995"/>
    <x v="26"/>
    <m/>
    <m/>
    <m/>
    <n v="536.29999999999995"/>
    <b v="0"/>
    <m/>
    <m/>
    <s v="-"/>
    <x v="1249"/>
    <s v="Create Rule; and Description Like '%MHCHILDCARELLC%';Day Care"/>
    <m/>
  </r>
  <r>
    <x v="37"/>
    <d v="2022-02-01T00:00:00"/>
    <s v="30 YR FIXED"/>
    <x v="1085"/>
    <n v="431"/>
    <x v="26"/>
    <m/>
    <m/>
    <m/>
    <n v="-431"/>
    <b v="0"/>
    <m/>
    <m/>
    <s v="+"/>
    <x v="1034"/>
    <s v="Create Rule; and Description='Principal Curtailment';Delete"/>
    <m/>
  </r>
  <r>
    <x v="37"/>
    <d v="2022-02-01T00:00:00"/>
    <s v="Cash Rewards Visa Signature"/>
    <x v="1795"/>
    <n v="71.19"/>
    <x v="26"/>
    <m/>
    <m/>
    <m/>
    <n v="-71.19"/>
    <b v="0"/>
    <m/>
    <m/>
    <s v="+"/>
    <x v="1652"/>
    <s v="Create Rule; and Description Like '%Rally House%';Shopping"/>
    <m/>
  </r>
  <r>
    <x v="37"/>
    <d v="2022-02-01T00:00:00"/>
    <s v="Cash Rewards Visa Signature"/>
    <x v="1796"/>
    <n v="4"/>
    <x v="26"/>
    <m/>
    <m/>
    <m/>
    <n v="4"/>
    <b v="0"/>
    <m/>
    <m/>
    <s v="-"/>
    <x v="1653"/>
    <s v="Manual"/>
    <m/>
  </r>
  <r>
    <x v="37"/>
    <d v="2022-02-01T00:00:00"/>
    <s v="POWERPLUS"/>
    <x v="979"/>
    <n v="618.65"/>
    <x v="26"/>
    <m/>
    <m/>
    <m/>
    <n v="618.65"/>
    <b v="0"/>
    <m/>
    <m/>
    <s v="-"/>
    <x v="939"/>
    <s v="Create Rule; and Description Like '%To Loan 02%';Car Loan"/>
    <m/>
  </r>
  <r>
    <x v="37"/>
    <d v="2022-02-02T00:00:00"/>
    <s v="Discover More Card"/>
    <x v="0"/>
    <n v="50.02"/>
    <x v="0"/>
    <m/>
    <m/>
    <m/>
    <n v="50.02"/>
    <b v="0"/>
    <m/>
    <m/>
    <s v="-"/>
    <x v="0"/>
    <s v="Create Rule; and Description='Amazon';Amazon"/>
    <m/>
  </r>
  <r>
    <x v="37"/>
    <d v="2022-02-03T00:00:00"/>
    <s v="Cash Rewards Visa Signature"/>
    <x v="0"/>
    <n v="127.78"/>
    <x v="0"/>
    <m/>
    <m/>
    <m/>
    <n v="127.78"/>
    <b v="0"/>
    <m/>
    <m/>
    <s v="-"/>
    <x v="0"/>
    <s v="Create Rule; and Description='Amazon';Amazon"/>
    <m/>
  </r>
  <r>
    <x v="37"/>
    <d v="2022-02-03T00:00:00"/>
    <s v="POWERPLUS"/>
    <x v="1347"/>
    <n v="2493.8200000000002"/>
    <x v="26"/>
    <m/>
    <m/>
    <m/>
    <n v="-2493.8200000000002"/>
    <b v="0"/>
    <m/>
    <m/>
    <s v="+"/>
    <x v="1256"/>
    <s v="Create Rule; and Description Like '%Cargill Inc Deposit CARGILL INCORPOR TYPE DIRECT DEP ID CO CARGILL INCORPOR ACH%';Inc - Britney"/>
    <m/>
  </r>
  <r>
    <x v="37"/>
    <d v="2022-02-03T00:00:00"/>
    <s v="Cash Rewards Visa Signature"/>
    <x v="1337"/>
    <n v="18"/>
    <x v="26"/>
    <m/>
    <m/>
    <m/>
    <n v="18"/>
    <b v="0"/>
    <m/>
    <m/>
    <s v="-"/>
    <x v="1264"/>
    <s v="Create Rule; and Description Like '%HBRSUBSCRIPTION%';Entertainment"/>
    <m/>
  </r>
  <r>
    <x v="37"/>
    <d v="2022-02-03T00:00:00"/>
    <s v="Cash Rewards Visa Signature"/>
    <x v="1795"/>
    <n v="72.19"/>
    <x v="26"/>
    <m/>
    <m/>
    <m/>
    <n v="-72.19"/>
    <b v="0"/>
    <m/>
    <m/>
    <s v="+"/>
    <x v="1652"/>
    <s v="Create Rule; and Description Like '%Rally House%';Shopping"/>
    <m/>
  </r>
  <r>
    <x v="37"/>
    <d v="2022-02-04T00:00:00"/>
    <s v="Cash Rewards Visa Signature"/>
    <x v="70"/>
    <n v="65.72"/>
    <x v="26"/>
    <m/>
    <m/>
    <m/>
    <n v="65.72"/>
    <b v="0"/>
    <m/>
    <m/>
    <s v="-"/>
    <x v="70"/>
    <s v="Create Rule; and Description like '%Byerly%';Groceries"/>
    <m/>
  </r>
  <r>
    <x v="37"/>
    <d v="2022-02-04T00:00:00"/>
    <s v="Cash Rewards Visa Signature"/>
    <x v="1184"/>
    <n v="81.8"/>
    <x v="26"/>
    <m/>
    <m/>
    <m/>
    <n v="81.8"/>
    <b v="0"/>
    <m/>
    <m/>
    <s v="-"/>
    <x v="1125"/>
    <s v="Create Rule; and Description='Total Wine More';Groceries"/>
    <m/>
  </r>
  <r>
    <x v="37"/>
    <d v="2022-02-05T00:00:00"/>
    <s v="Discover More Card"/>
    <x v="0"/>
    <n v="19.63"/>
    <x v="0"/>
    <m/>
    <m/>
    <m/>
    <n v="19.63"/>
    <b v="0"/>
    <m/>
    <m/>
    <s v="-"/>
    <x v="0"/>
    <s v="Create Rule; and Description='Amazon';Amazon"/>
    <m/>
  </r>
  <r>
    <x v="37"/>
    <d v="2022-02-06T00:00:00"/>
    <s v="Discover More Card"/>
    <x v="0"/>
    <n v="19.63"/>
    <x v="0"/>
    <m/>
    <m/>
    <m/>
    <n v="19.63"/>
    <b v="0"/>
    <m/>
    <m/>
    <s v="-"/>
    <x v="0"/>
    <s v="Create Rule; and Description='Amazon';Amazon"/>
    <m/>
  </r>
  <r>
    <x v="37"/>
    <d v="2022-02-06T00:00:00"/>
    <s v="Cash Rewards Visa Signature"/>
    <x v="1"/>
    <n v="143.49"/>
    <x v="26"/>
    <m/>
    <m/>
    <m/>
    <n v="143.49"/>
    <b v="0"/>
    <m/>
    <m/>
    <s v="-"/>
    <x v="1"/>
    <s v="Create Rule; and Description='Borough';Restaurants"/>
    <m/>
  </r>
  <r>
    <x v="37"/>
    <d v="2022-02-06T00:00:00"/>
    <s v="Cash Rewards Visa Signature"/>
    <x v="1602"/>
    <n v="47"/>
    <x v="26"/>
    <m/>
    <m/>
    <m/>
    <n v="47"/>
    <b v="0"/>
    <m/>
    <m/>
    <s v="-"/>
    <x v="1497"/>
    <s v="Manual"/>
    <m/>
  </r>
  <r>
    <x v="37"/>
    <d v="2022-02-06T00:00:00"/>
    <s v="Cash Rewards Visa Signature"/>
    <x v="823"/>
    <n v="48.92"/>
    <x v="2"/>
    <m/>
    <m/>
    <m/>
    <n v="48.92"/>
    <b v="0"/>
    <m/>
    <m/>
    <s v="-"/>
    <x v="792"/>
    <s v="Create Rule; and Description='Kwik Trip';Transportation"/>
    <m/>
  </r>
  <r>
    <x v="37"/>
    <d v="2022-02-06T00:00:00"/>
    <s v="Cash Rewards Visa Signature"/>
    <x v="1797"/>
    <n v="36.130000000000003"/>
    <x v="26"/>
    <m/>
    <m/>
    <m/>
    <n v="36.130000000000003"/>
    <b v="0"/>
    <m/>
    <m/>
    <s v="-"/>
    <x v="1654"/>
    <s v="Create Rule; and Description='MONTE CARLO MINNEAPOLIS MN';Restaurants"/>
    <m/>
  </r>
  <r>
    <x v="37"/>
    <d v="2022-02-06T00:00:00"/>
    <s v="Cash Rewards Visa Signature"/>
    <x v="1798"/>
    <n v="6.37"/>
    <x v="26"/>
    <m/>
    <m/>
    <m/>
    <n v="6.37"/>
    <b v="0"/>
    <m/>
    <m/>
    <s v="-"/>
    <x v="1655"/>
    <s v="Create Rule; and Description='SQ RUBYS ROOST VICTORIAVictoria MN';Restaurants"/>
    <m/>
  </r>
  <r>
    <x v="37"/>
    <d v="2022-02-06T00:00:00"/>
    <s v="Cash Rewards Visa Signature"/>
    <x v="1354"/>
    <n v="39.06"/>
    <x v="26"/>
    <m/>
    <m/>
    <m/>
    <n v="39.06"/>
    <b v="0"/>
    <m/>
    <m/>
    <s v="-"/>
    <x v="1279"/>
    <s v="Manual"/>
    <m/>
  </r>
  <r>
    <x v="37"/>
    <d v="2022-02-06T00:00:00"/>
    <s v="Cash Rewards Visa Signature"/>
    <x v="1227"/>
    <n v="42.17"/>
    <x v="1"/>
    <m/>
    <m/>
    <m/>
    <n v="42.17"/>
    <b v="0"/>
    <m/>
    <m/>
    <s v="-"/>
    <x v="1165"/>
    <s v="Create Rule; and Description='Uber Eats';Restaurants"/>
    <m/>
  </r>
  <r>
    <x v="37"/>
    <d v="2022-02-07T00:00:00"/>
    <s v="Cash Rewards Visa Signature"/>
    <x v="1318"/>
    <n v="527.05999999999995"/>
    <x v="26"/>
    <m/>
    <m/>
    <m/>
    <n v="-527.05999999999995"/>
    <b v="0"/>
    <m/>
    <m/>
    <s v="+"/>
    <x v="1246"/>
    <s v="Create Rule; and Description='Credit Card Payment Received PAYMENT THANK YOU';Delete"/>
    <m/>
  </r>
  <r>
    <x v="37"/>
    <d v="2022-02-07T00:00:00"/>
    <s v="POWERPLUS"/>
    <x v="1319"/>
    <n v="527.05999999999995"/>
    <x v="26"/>
    <m/>
    <m/>
    <m/>
    <n v="527.05999999999995"/>
    <b v="0"/>
    <m/>
    <m/>
    <s v="-"/>
    <x v="1247"/>
    <s v="Create Rule; and Description='Withdrawal Home payment to card XX91 Withdrawal Home payment to card 979181';Delete"/>
    <m/>
  </r>
  <r>
    <x v="37"/>
    <d v="2022-02-07T00:00:00"/>
    <s v="Cash Rewards Visa Signature"/>
    <x v="1536"/>
    <n v="60.68"/>
    <x v="26"/>
    <m/>
    <m/>
    <m/>
    <n v="60.68"/>
    <b v="0"/>
    <m/>
    <m/>
    <s v="-"/>
    <x v="1440"/>
    <s v="Create Rule; and Description Like '%MACKENTHUNSMEATS%';Groceries"/>
    <m/>
  </r>
  <r>
    <x v="37"/>
    <d v="2022-02-07T00:00:00"/>
    <s v="POWERPLUS"/>
    <x v="157"/>
    <n v="4.3099999999999996"/>
    <x v="8"/>
    <m/>
    <m/>
    <m/>
    <n v="4.3099999999999996"/>
    <b v="0"/>
    <m/>
    <m/>
    <s v="-"/>
    <x v="156"/>
    <s v="Create Rule; and Description Like '%PayPal%';Shopping"/>
    <m/>
  </r>
  <r>
    <x v="37"/>
    <d v="2022-02-07T00:00:00"/>
    <s v="POWERPLUS"/>
    <x v="157"/>
    <n v="10"/>
    <x v="8"/>
    <m/>
    <m/>
    <m/>
    <n v="10"/>
    <b v="0"/>
    <m/>
    <m/>
    <s v="-"/>
    <x v="156"/>
    <s v="Create Rule; and Description Like '%PayPal%';Shopping"/>
    <m/>
  </r>
  <r>
    <x v="37"/>
    <d v="2022-02-07T00:00:00"/>
    <s v="CARGILL PARTNERSHIP PLAN"/>
    <x v="235"/>
    <n v="807.7"/>
    <x v="26"/>
    <m/>
    <m/>
    <m/>
    <n v="-807.7"/>
    <b v="0"/>
    <m/>
    <m/>
    <s v="+"/>
    <x v="233"/>
    <s v="Create Rule; and Description='Target Retire 2055 Tr P - Plan Contribution';401K"/>
    <m/>
  </r>
  <r>
    <x v="37"/>
    <d v="2022-02-08T00:00:00"/>
    <s v="Discover More Card"/>
    <x v="0"/>
    <n v="39.700000000000003"/>
    <x v="0"/>
    <m/>
    <m/>
    <m/>
    <n v="39.700000000000003"/>
    <b v="0"/>
    <m/>
    <m/>
    <s v="-"/>
    <x v="0"/>
    <s v="Create Rule; and Description='Amazon';Amazon"/>
    <m/>
  </r>
  <r>
    <x v="37"/>
    <d v="2022-02-08T00:00:00"/>
    <s v="Cash Rewards Visa Signature"/>
    <x v="1799"/>
    <n v="125"/>
    <x v="26"/>
    <m/>
    <m/>
    <m/>
    <n v="125"/>
    <b v="0"/>
    <m/>
    <m/>
    <s v="-"/>
    <x v="1656"/>
    <s v="Manual"/>
    <m/>
  </r>
  <r>
    <x v="37"/>
    <d v="2022-02-08T00:00:00"/>
    <s v="POWERPLUS"/>
    <x v="1321"/>
    <n v="536.29999999999995"/>
    <x v="26"/>
    <m/>
    <m/>
    <m/>
    <n v="536.29999999999995"/>
    <b v="0"/>
    <m/>
    <m/>
    <s v="-"/>
    <x v="1249"/>
    <s v="Create Rule; and Description Like '%MHCHILDCARELLC%';Day Care"/>
    <m/>
  </r>
  <r>
    <x v="37"/>
    <d v="2022-02-08T00:00:00"/>
    <s v="Cash Rewards Visa Signature"/>
    <x v="177"/>
    <n v="21.84"/>
    <x v="26"/>
    <m/>
    <m/>
    <m/>
    <n v="21.84"/>
    <b v="0"/>
    <m/>
    <m/>
    <s v="-"/>
    <x v="176"/>
    <s v="Create Rule; and Description='NORTH COOP CHAHASSEN MN';Restaurants"/>
    <m/>
  </r>
  <r>
    <x v="37"/>
    <d v="2022-02-08T00:00:00"/>
    <s v="Cash Rewards Visa Signature"/>
    <x v="177"/>
    <n v="72.95"/>
    <x v="26"/>
    <m/>
    <m/>
    <m/>
    <n v="72.95"/>
    <b v="0"/>
    <m/>
    <m/>
    <s v="-"/>
    <x v="176"/>
    <s v="Create Rule; and Description='NORTH COOP CHAHASSEN MN';Restaurants"/>
    <m/>
  </r>
  <r>
    <x v="37"/>
    <d v="2022-02-08T00:00:00"/>
    <s v="Cash Rewards Visa Signature"/>
    <x v="1800"/>
    <n v="12"/>
    <x v="26"/>
    <m/>
    <m/>
    <m/>
    <n v="12"/>
    <b v="0"/>
    <m/>
    <m/>
    <s v="-"/>
    <x v="1657"/>
    <s v="Manual"/>
    <m/>
  </r>
  <r>
    <x v="37"/>
    <d v="2022-02-08T00:00:00"/>
    <s v="Cash Rewards Visa Signature"/>
    <x v="1801"/>
    <n v="15"/>
    <x v="26"/>
    <m/>
    <m/>
    <m/>
    <n v="15"/>
    <b v="0"/>
    <m/>
    <m/>
    <s v="-"/>
    <x v="1658"/>
    <s v="Manual"/>
    <m/>
  </r>
  <r>
    <x v="37"/>
    <d v="2022-02-08T00:00:00"/>
    <s v="POWERPLUS"/>
    <x v="142"/>
    <n v="150.38"/>
    <x v="26"/>
    <m/>
    <m/>
    <m/>
    <n v="150.38"/>
    <b v="0"/>
    <m/>
    <m/>
    <s v="-"/>
    <x v="141"/>
    <s v="Create Rule; and Description='Waste Management';Utilities"/>
    <m/>
  </r>
  <r>
    <x v="37"/>
    <d v="2022-02-08T00:00:00"/>
    <s v="POWERPLUS"/>
    <x v="30"/>
    <n v="175.38"/>
    <x v="11"/>
    <m/>
    <m/>
    <m/>
    <n v="175.38"/>
    <b v="0"/>
    <m/>
    <m/>
    <s v="-"/>
    <x v="30"/>
    <s v="Create Rule; and Description='Xcel Energy';Utilities"/>
    <m/>
  </r>
  <r>
    <x v="37"/>
    <d v="2022-02-09T00:00:00"/>
    <s v="Cash Rewards Visa Signature"/>
    <x v="577"/>
    <n v="13.08"/>
    <x v="1"/>
    <m/>
    <m/>
    <m/>
    <n v="13.08"/>
    <b v="0"/>
    <m/>
    <m/>
    <s v="-"/>
    <x v="558"/>
    <s v="Create Rule; and Description Like '%Jimmy John%';Restaurants"/>
    <m/>
  </r>
  <r>
    <x v="37"/>
    <d v="2022-02-09T00:00:00"/>
    <s v="Discover More Card"/>
    <x v="1108"/>
    <n v="10.75"/>
    <x v="2"/>
    <m/>
    <m/>
    <m/>
    <n v="10.75"/>
    <b v="0"/>
    <m/>
    <m/>
    <s v="-"/>
    <x v="1055"/>
    <s v="Manual"/>
    <m/>
  </r>
  <r>
    <x v="37"/>
    <d v="2022-02-09T00:00:00"/>
    <s v="POWERPLUS"/>
    <x v="157"/>
    <n v="87.91"/>
    <x v="8"/>
    <m/>
    <m/>
    <m/>
    <n v="87.91"/>
    <b v="0"/>
    <m/>
    <m/>
    <s v="-"/>
    <x v="156"/>
    <s v="Create Rule; and Description Like '%PayPal%';Shopping"/>
    <m/>
  </r>
  <r>
    <x v="37"/>
    <d v="2022-02-09T00:00:00"/>
    <s v="Cash Rewards Visa Signature"/>
    <x v="1628"/>
    <n v="41.94"/>
    <x v="26"/>
    <m/>
    <m/>
    <m/>
    <n v="41.94"/>
    <b v="0"/>
    <m/>
    <m/>
    <s v="-"/>
    <x v="1518"/>
    <s v="Create Rule; and Description='Peloton Cycles PELOTON MEMBERSHIP HTTPSWWWONEPNY';Entertainment"/>
    <m/>
  </r>
  <r>
    <x v="37"/>
    <d v="2022-02-10T00:00:00"/>
    <s v="POWERPLUS"/>
    <x v="157"/>
    <n v="35.950000000000003"/>
    <x v="8"/>
    <m/>
    <m/>
    <m/>
    <n v="35.950000000000003"/>
    <b v="0"/>
    <m/>
    <m/>
    <s v="-"/>
    <x v="156"/>
    <s v="Create Rule; and Description Like '%PayPal%';Shopping"/>
    <m/>
  </r>
  <r>
    <x v="37"/>
    <d v="2022-02-11T00:00:00"/>
    <s v="Discover More Card"/>
    <x v="1802"/>
    <n v="16.95"/>
    <x v="26"/>
    <m/>
    <m/>
    <m/>
    <n v="16.95"/>
    <b v="0"/>
    <m/>
    <m/>
    <s v="-"/>
    <x v="1659"/>
    <s v="Manual"/>
    <m/>
  </r>
  <r>
    <x v="37"/>
    <d v="2022-02-11T00:00:00"/>
    <s v="Cash Rewards Visa Signature"/>
    <x v="77"/>
    <n v="25.81"/>
    <x v="8"/>
    <m/>
    <m/>
    <m/>
    <n v="25.81"/>
    <b v="0"/>
    <m/>
    <m/>
    <s v="-"/>
    <x v="77"/>
    <s v="Create Rule; and Description='Anthropologie';Shopping"/>
    <m/>
  </r>
  <r>
    <x v="37"/>
    <d v="2022-02-11T00:00:00"/>
    <s v="Cash Rewards Visa Signature"/>
    <x v="240"/>
    <n v="34.15"/>
    <x v="26"/>
    <m/>
    <m/>
    <m/>
    <n v="34.15"/>
    <b v="0"/>
    <m/>
    <m/>
    <s v="-"/>
    <x v="238"/>
    <s v="Create Rule; and Description='Chipotle';Restaurants"/>
    <m/>
  </r>
  <r>
    <x v="37"/>
    <d v="2022-02-11T00:00:00"/>
    <s v="Discover More Card"/>
    <x v="1803"/>
    <n v="25.6"/>
    <x v="26"/>
    <m/>
    <m/>
    <m/>
    <n v="25.6"/>
    <b v="0"/>
    <m/>
    <m/>
    <s v="-"/>
    <x v="1660"/>
    <s v="Manual"/>
    <m/>
  </r>
  <r>
    <x v="37"/>
    <d v="2022-02-13T00:00:00"/>
    <s v="Discover More Card"/>
    <x v="1804"/>
    <n v="48.31"/>
    <x v="26"/>
    <m/>
    <m/>
    <m/>
    <n v="48.31"/>
    <b v="0"/>
    <m/>
    <m/>
    <s v="-"/>
    <x v="1661"/>
    <s v="Manual"/>
    <m/>
  </r>
  <r>
    <x v="37"/>
    <d v="2022-02-13T00:00:00"/>
    <s v="Cash Rewards Visa Signature"/>
    <x v="77"/>
    <n v="225.57"/>
    <x v="8"/>
    <m/>
    <m/>
    <m/>
    <n v="-225.57"/>
    <b v="0"/>
    <m/>
    <m/>
    <s v="+"/>
    <x v="77"/>
    <s v="Create Rule; and Description='Anthropologie';Shopping"/>
    <m/>
  </r>
  <r>
    <x v="37"/>
    <d v="2022-02-13T00:00:00"/>
    <s v="Cash Rewards Visa Signature"/>
    <x v="1805"/>
    <n v="12.99"/>
    <x v="26"/>
    <m/>
    <m/>
    <m/>
    <n v="12.99"/>
    <b v="0"/>
    <m/>
    <m/>
    <s v="-"/>
    <x v="1662"/>
    <s v="Manual"/>
    <m/>
  </r>
  <r>
    <x v="37"/>
    <d v="2022-02-13T00:00:00"/>
    <s v="Cash Rewards Visa Signature"/>
    <x v="70"/>
    <n v="18.88"/>
    <x v="26"/>
    <m/>
    <m/>
    <m/>
    <n v="18.88"/>
    <b v="0"/>
    <m/>
    <m/>
    <s v="-"/>
    <x v="70"/>
    <s v="Create Rule; and Description like '%Byerly%';Groceries"/>
    <m/>
  </r>
  <r>
    <x v="37"/>
    <d v="2022-02-13T00:00:00"/>
    <s v="Cash Rewards Visa Signature"/>
    <x v="70"/>
    <n v="23.93"/>
    <x v="26"/>
    <m/>
    <m/>
    <m/>
    <n v="23.93"/>
    <b v="0"/>
    <m/>
    <m/>
    <s v="-"/>
    <x v="70"/>
    <s v="Create Rule; and Description like '%Byerly%';Groceries"/>
    <m/>
  </r>
  <r>
    <x v="37"/>
    <d v="2022-02-13T00:00:00"/>
    <s v="Cash Rewards Visa Signature"/>
    <x v="70"/>
    <n v="44.77"/>
    <x v="26"/>
    <m/>
    <m/>
    <m/>
    <n v="44.77"/>
    <b v="0"/>
    <m/>
    <m/>
    <s v="-"/>
    <x v="70"/>
    <s v="Create Rule; and Description like '%Byerly%';Groceries"/>
    <m/>
  </r>
  <r>
    <x v="37"/>
    <d v="2022-02-13T00:00:00"/>
    <s v="Cash Rewards Visa Signature"/>
    <x v="59"/>
    <n v="9.9"/>
    <x v="1"/>
    <m/>
    <m/>
    <m/>
    <n v="9.9"/>
    <b v="0"/>
    <m/>
    <m/>
    <s v="-"/>
    <x v="59"/>
    <s v="Create Rule; and Description Like '%Caribou Coffee%';Restaurants"/>
    <m/>
  </r>
  <r>
    <x v="37"/>
    <d v="2022-02-13T00:00:00"/>
    <s v="Cash Rewards Visa Signature"/>
    <x v="67"/>
    <n v="45"/>
    <x v="11"/>
    <m/>
    <m/>
    <m/>
    <n v="45"/>
    <b v="0"/>
    <m/>
    <m/>
    <s v="-"/>
    <x v="67"/>
    <s v="Create Rule; and Description='CenturyLink';Utilities"/>
    <m/>
  </r>
  <r>
    <x v="37"/>
    <d v="2022-02-13T00:00:00"/>
    <s v="Cash Rewards Visa Signature"/>
    <x v="1806"/>
    <n v="25.24"/>
    <x v="26"/>
    <m/>
    <m/>
    <m/>
    <n v="25.24"/>
    <b v="0"/>
    <m/>
    <m/>
    <s v="-"/>
    <x v="1663"/>
    <s v="Manual"/>
    <m/>
  </r>
  <r>
    <x v="37"/>
    <d v="2022-02-13T00:00:00"/>
    <s v="Cash Rewards Visa Signature"/>
    <x v="890"/>
    <n v="3.86"/>
    <x v="1"/>
    <m/>
    <m/>
    <m/>
    <n v="3.86"/>
    <b v="0"/>
    <m/>
    <m/>
    <s v="-"/>
    <x v="855"/>
    <s v="Create Rule; and Description='Dairy Queen';Restaurants"/>
    <m/>
  </r>
  <r>
    <x v="37"/>
    <d v="2022-02-13T00:00:00"/>
    <s v="Cash Rewards Visa Signature"/>
    <x v="1807"/>
    <n v="38.68"/>
    <x v="26"/>
    <m/>
    <m/>
    <m/>
    <n v="38.68"/>
    <b v="0"/>
    <m/>
    <m/>
    <s v="-"/>
    <x v="1664"/>
    <s v="Manual"/>
    <m/>
  </r>
  <r>
    <x v="37"/>
    <d v="2022-02-13T00:00:00"/>
    <s v="Cash Rewards Visa Signature"/>
    <x v="823"/>
    <n v="51.79"/>
    <x v="2"/>
    <m/>
    <m/>
    <m/>
    <n v="51.79"/>
    <b v="0"/>
    <m/>
    <m/>
    <s v="-"/>
    <x v="792"/>
    <s v="Create Rule; and Description='Kwik Trip';Transportation"/>
    <m/>
  </r>
  <r>
    <x v="37"/>
    <d v="2022-02-13T00:00:00"/>
    <s v="Cash Rewards Visa Signature"/>
    <x v="150"/>
    <n v="25.32"/>
    <x v="26"/>
    <m/>
    <m/>
    <m/>
    <n v="25.32"/>
    <b v="0"/>
    <m/>
    <m/>
    <s v="-"/>
    <x v="149"/>
    <s v="Create Rule; and Description='Party City';Shopping"/>
    <m/>
  </r>
  <r>
    <x v="37"/>
    <d v="2022-02-13T00:00:00"/>
    <s v="POWERPLUS"/>
    <x v="1808"/>
    <n v="2906.33"/>
    <x v="26"/>
    <m/>
    <m/>
    <m/>
    <n v="-2906.33"/>
    <b v="0"/>
    <m/>
    <m/>
    <s v="+"/>
    <x v="1526"/>
    <s v="Manual"/>
    <m/>
  </r>
  <r>
    <x v="37"/>
    <d v="2022-02-13T00:00:00"/>
    <s v="Cash Rewards Visa Signature"/>
    <x v="100"/>
    <n v="19.309999999999999"/>
    <x v="5"/>
    <m/>
    <m/>
    <m/>
    <n v="19.309999999999999"/>
    <b v="0"/>
    <m/>
    <m/>
    <s v="-"/>
    <x v="100"/>
    <s v="Create Rule; and Description like '%Trader Joe%';Groceries"/>
    <m/>
  </r>
  <r>
    <x v="37"/>
    <d v="2022-02-13T00:00:00"/>
    <s v="Cash Rewards Visa Signature"/>
    <x v="1781"/>
    <n v="83"/>
    <x v="26"/>
    <m/>
    <m/>
    <m/>
    <n v="83"/>
    <b v="0"/>
    <m/>
    <m/>
    <s v="-"/>
    <x v="1642"/>
    <s v="Manual"/>
    <m/>
  </r>
  <r>
    <x v="37"/>
    <d v="2022-02-14T00:00:00"/>
    <s v="POWERPLUS"/>
    <x v="48"/>
    <n v="102.49"/>
    <x v="16"/>
    <m/>
    <m/>
    <m/>
    <n v="102.49"/>
    <b v="0"/>
    <m/>
    <m/>
    <s v="-"/>
    <x v="48"/>
    <s v="Create Rule; and Description='American Family Insurance';Insurance"/>
    <m/>
  </r>
  <r>
    <x v="37"/>
    <d v="2022-02-14T00:00:00"/>
    <s v="Discover More Card"/>
    <x v="1809"/>
    <n v="39.72"/>
    <x v="26"/>
    <m/>
    <m/>
    <m/>
    <n v="39.72"/>
    <b v="0"/>
    <m/>
    <m/>
    <s v="-"/>
    <x v="1665"/>
    <s v="Manual"/>
    <m/>
  </r>
  <r>
    <x v="37"/>
    <d v="2022-02-14T00:00:00"/>
    <s v="POWERPLUS"/>
    <x v="157"/>
    <n v="6.84"/>
    <x v="8"/>
    <m/>
    <m/>
    <m/>
    <n v="6.84"/>
    <b v="0"/>
    <m/>
    <m/>
    <s v="-"/>
    <x v="156"/>
    <s v="Create Rule; and Description Like '%PayPal%';Shopping"/>
    <m/>
  </r>
  <r>
    <x v="37"/>
    <d v="2022-02-14T00:00:00"/>
    <s v="POWERPLUS"/>
    <x v="157"/>
    <n v="7.55"/>
    <x v="8"/>
    <m/>
    <m/>
    <m/>
    <n v="7.55"/>
    <b v="0"/>
    <m/>
    <m/>
    <s v="-"/>
    <x v="156"/>
    <s v="Create Rule; and Description Like '%PayPal%';Shopping"/>
    <m/>
  </r>
  <r>
    <x v="37"/>
    <d v="2022-02-15T00:00:00"/>
    <s v="Cash Rewards Visa Signature"/>
    <x v="6"/>
    <n v="100.51"/>
    <x v="5"/>
    <m/>
    <m/>
    <m/>
    <n v="100.51"/>
    <b v="0"/>
    <m/>
    <m/>
    <s v="-"/>
    <x v="6"/>
    <s v="Create Rule; and Description Like '%Cub Foods%';Groceries"/>
    <m/>
  </r>
  <r>
    <x v="37"/>
    <d v="2022-02-15T00:00:00"/>
    <s v="Cash Rewards Visa Signature"/>
    <x v="1810"/>
    <n v="25"/>
    <x v="26"/>
    <m/>
    <m/>
    <m/>
    <n v="25"/>
    <b v="0"/>
    <m/>
    <m/>
    <s v="-"/>
    <x v="1666"/>
    <s v="Manual"/>
    <m/>
  </r>
  <r>
    <x v="37"/>
    <d v="2022-02-15T00:00:00"/>
    <s v="Cash Rewards Visa Signature"/>
    <x v="646"/>
    <n v="79"/>
    <x v="26"/>
    <m/>
    <m/>
    <m/>
    <n v="79"/>
    <b v="0"/>
    <m/>
    <m/>
    <s v="-"/>
    <x v="624"/>
    <s v="Manual"/>
    <m/>
  </r>
  <r>
    <x v="37"/>
    <d v="2022-02-15T00:00:00"/>
    <s v="POWERPLUS"/>
    <x v="157"/>
    <n v="8.6300000000000008"/>
    <x v="8"/>
    <m/>
    <m/>
    <m/>
    <n v="8.6300000000000008"/>
    <b v="0"/>
    <m/>
    <m/>
    <s v="-"/>
    <x v="156"/>
    <s v="Create Rule; and Description Like '%PayPal%';Shopping"/>
    <m/>
  </r>
  <r>
    <x v="37"/>
    <d v="2022-02-16T00:00:00"/>
    <s v="Discover More Card"/>
    <x v="1811"/>
    <n v="8.7100000000000009"/>
    <x v="26"/>
    <m/>
    <m/>
    <m/>
    <n v="8.7100000000000009"/>
    <b v="0"/>
    <m/>
    <m/>
    <s v="-"/>
    <x v="1667"/>
    <s v="Manual"/>
    <m/>
  </r>
  <r>
    <x v="37"/>
    <d v="2022-02-16T00:00:00"/>
    <s v="POWERPLUS"/>
    <x v="1321"/>
    <n v="536.29999999999995"/>
    <x v="26"/>
    <m/>
    <m/>
    <m/>
    <n v="536.29999999999995"/>
    <b v="0"/>
    <m/>
    <m/>
    <s v="-"/>
    <x v="1249"/>
    <s v="Create Rule; and Description Like '%MHCHILDCARELLC%';Day Care"/>
    <m/>
  </r>
  <r>
    <x v="37"/>
    <d v="2022-02-17T00:00:00"/>
    <s v="Cash Rewards Visa Signature"/>
    <x v="1812"/>
    <n v="95"/>
    <x v="26"/>
    <m/>
    <m/>
    <m/>
    <n v="95"/>
    <b v="0"/>
    <m/>
    <m/>
    <s v="-"/>
    <x v="1668"/>
    <s v="Manual"/>
    <m/>
  </r>
  <r>
    <x v="37"/>
    <d v="2022-02-17T00:00:00"/>
    <s v="POWERPLUS"/>
    <x v="1813"/>
    <n v="2493.8000000000002"/>
    <x v="26"/>
    <m/>
    <m/>
    <m/>
    <n v="-2493.8000000000002"/>
    <b v="0"/>
    <m/>
    <m/>
    <s v="+"/>
    <x v="1227"/>
    <s v="Manual"/>
    <m/>
  </r>
  <r>
    <x v="37"/>
    <d v="2022-02-18T00:00:00"/>
    <s v="Cash Rewards Visa Signature"/>
    <x v="1318"/>
    <n v="899.06"/>
    <x v="26"/>
    <m/>
    <m/>
    <m/>
    <n v="-899.06"/>
    <b v="0"/>
    <m/>
    <m/>
    <s v="+"/>
    <x v="1246"/>
    <s v="Create Rule; and Description='Credit Card Payment Received PAYMENT THANK YOU';Delete"/>
    <m/>
  </r>
  <r>
    <x v="37"/>
    <d v="2022-02-18T00:00:00"/>
    <s v="POWERPLUS"/>
    <x v="1814"/>
    <n v="647.65"/>
    <x v="26"/>
    <m/>
    <m/>
    <m/>
    <n v="647.65"/>
    <b v="0"/>
    <m/>
    <m/>
    <s v="-"/>
    <x v="1669"/>
    <s v="Manual"/>
    <m/>
  </r>
  <r>
    <x v="37"/>
    <d v="2022-02-18T00:00:00"/>
    <s v="POWERPLUS"/>
    <x v="1815"/>
    <n v="5000"/>
    <x v="26"/>
    <m/>
    <m/>
    <m/>
    <n v="-5000"/>
    <b v="0"/>
    <m/>
    <m/>
    <s v="+"/>
    <x v="1670"/>
    <s v="Manual"/>
    <m/>
  </r>
  <r>
    <x v="37"/>
    <d v="2022-02-18T00:00:00"/>
    <s v="POWERPLUS"/>
    <x v="1816"/>
    <n v="200"/>
    <x v="26"/>
    <m/>
    <m/>
    <m/>
    <n v="200"/>
    <b v="0"/>
    <m/>
    <m/>
    <s v="-"/>
    <x v="1671"/>
    <s v="Create Rule; and Description Like '%MN DIR ACH%';Delete"/>
    <m/>
  </r>
  <r>
    <x v="37"/>
    <d v="2022-02-18T00:00:00"/>
    <s v="CARGILL PARTNERSHIP PLAN"/>
    <x v="235"/>
    <n v="807.7"/>
    <x v="26"/>
    <m/>
    <m/>
    <m/>
    <n v="-807.7"/>
    <b v="0"/>
    <m/>
    <m/>
    <s v="+"/>
    <x v="233"/>
    <s v="Create Rule; and Description='Target Retire 2055 Tr P - Plan Contribution';401K"/>
    <m/>
  </r>
  <r>
    <x v="37"/>
    <d v="2022-02-18T00:00:00"/>
    <s v="POWERPLUS"/>
    <x v="1817"/>
    <n v="899.06"/>
    <x v="26"/>
    <m/>
    <m/>
    <m/>
    <n v="899.06"/>
    <b v="0"/>
    <m/>
    <m/>
    <s v="-"/>
    <x v="1672"/>
    <s v="Manual"/>
    <m/>
  </r>
  <r>
    <x v="37"/>
    <d v="2022-02-20T00:00:00"/>
    <s v="Cash Rewards Visa Signature"/>
    <x v="81"/>
    <n v="50.77"/>
    <x v="26"/>
    <m/>
    <m/>
    <m/>
    <n v="50.77"/>
    <b v="0"/>
    <m/>
    <m/>
    <s v="-"/>
    <x v="81"/>
    <s v="Create Rule; and Description='Holiday Stationstore';Transportation"/>
    <m/>
  </r>
  <r>
    <x v="37"/>
    <d v="2022-02-20T00:00:00"/>
    <s v="Cash Rewards Visa Signature"/>
    <x v="1818"/>
    <n v="9.48"/>
    <x v="26"/>
    <m/>
    <m/>
    <m/>
    <n v="9.48"/>
    <b v="0"/>
    <m/>
    <m/>
    <s v="-"/>
    <x v="1673"/>
    <s v="Manual"/>
    <m/>
  </r>
  <r>
    <x v="37"/>
    <d v="2022-02-20T00:00:00"/>
    <s v="Cash Rewards Visa Signature"/>
    <x v="1818"/>
    <n v="33.74"/>
    <x v="26"/>
    <m/>
    <m/>
    <m/>
    <n v="33.74"/>
    <b v="0"/>
    <m/>
    <m/>
    <s v="-"/>
    <x v="1673"/>
    <s v="Manual"/>
    <m/>
  </r>
  <r>
    <x v="37"/>
    <d v="2022-02-21T00:00:00"/>
    <s v="Cash Rewards Visa Signature"/>
    <x v="1819"/>
    <n v="15.81"/>
    <x v="26"/>
    <m/>
    <m/>
    <m/>
    <n v="15.81"/>
    <b v="0"/>
    <m/>
    <m/>
    <s v="-"/>
    <x v="1674"/>
    <s v="Manual"/>
    <m/>
  </r>
  <r>
    <x v="37"/>
    <d v="2022-02-21T00:00:00"/>
    <s v="Cash Rewards Visa Signature"/>
    <x v="1819"/>
    <n v="80.3"/>
    <x v="26"/>
    <m/>
    <m/>
    <m/>
    <n v="80.3"/>
    <b v="0"/>
    <m/>
    <m/>
    <s v="-"/>
    <x v="1674"/>
    <s v="Manual"/>
    <m/>
  </r>
  <r>
    <x v="37"/>
    <d v="2022-02-21T00:00:00"/>
    <s v="Cash Rewards Visa Signature"/>
    <x v="1710"/>
    <n v="9"/>
    <x v="26"/>
    <m/>
    <m/>
    <m/>
    <n v="9"/>
    <b v="0"/>
    <m/>
    <m/>
    <s v="-"/>
    <x v="1587"/>
    <s v="Create Rule; and Description Like '%BONFES%';House Maintenance"/>
    <m/>
  </r>
  <r>
    <x v="37"/>
    <d v="2022-02-21T00:00:00"/>
    <s v="POWERPLUS"/>
    <x v="446"/>
    <n v="195.77"/>
    <x v="26"/>
    <m/>
    <m/>
    <m/>
    <n v="-195.77"/>
    <b v="0"/>
    <m/>
    <m/>
    <s v="+"/>
    <x v="430"/>
    <s v="Manual"/>
    <m/>
  </r>
  <r>
    <x v="37"/>
    <d v="2022-02-21T00:00:00"/>
    <s v="Cash Rewards Visa Signature"/>
    <x v="150"/>
    <n v="21.71"/>
    <x v="26"/>
    <m/>
    <m/>
    <m/>
    <n v="21.71"/>
    <b v="0"/>
    <m/>
    <m/>
    <s v="-"/>
    <x v="149"/>
    <s v="Create Rule; and Description='Party City';Shopping"/>
    <m/>
  </r>
  <r>
    <x v="37"/>
    <d v="2022-02-21T00:00:00"/>
    <s v="Cash Rewards Visa Signature"/>
    <x v="1820"/>
    <n v="52.11"/>
    <x v="26"/>
    <m/>
    <m/>
    <m/>
    <n v="52.11"/>
    <b v="0"/>
    <m/>
    <m/>
    <s v="-"/>
    <x v="1675"/>
    <s v="Manual"/>
    <m/>
  </r>
  <r>
    <x v="37"/>
    <d v="2022-02-21T00:00:00"/>
    <s v="Cash Rewards Visa Signature"/>
    <x v="579"/>
    <n v="10"/>
    <x v="1"/>
    <m/>
    <m/>
    <m/>
    <n v="10"/>
    <b v="0"/>
    <m/>
    <m/>
    <s v="-"/>
    <x v="560"/>
    <s v="Create Rule; and Description='Starbucks';Restaurants"/>
    <m/>
  </r>
  <r>
    <x v="37"/>
    <d v="2022-02-21T00:00:00"/>
    <s v="POWERPLUS"/>
    <x v="1821"/>
    <n v="15"/>
    <x v="26"/>
    <m/>
    <m/>
    <m/>
    <n v="-15"/>
    <b v="0"/>
    <m/>
    <m/>
    <s v="+"/>
    <x v="1676"/>
    <s v="Create Rule; and Description Like '%PayPal%';Shopping"/>
    <m/>
  </r>
  <r>
    <x v="37"/>
    <d v="2022-02-22T00:00:00"/>
    <s v="POWERPLUS"/>
    <x v="1822"/>
    <n v="140.22999999999999"/>
    <x v="26"/>
    <m/>
    <m/>
    <m/>
    <n v="140.22999999999999"/>
    <b v="0"/>
    <m/>
    <m/>
    <s v="-"/>
    <x v="1677"/>
    <s v="Manual"/>
    <m/>
  </r>
  <r>
    <x v="37"/>
    <d v="2022-02-22T00:00:00"/>
    <s v="POWERPLUS"/>
    <x v="1823"/>
    <n v="135"/>
    <x v="26"/>
    <m/>
    <m/>
    <m/>
    <n v="-135"/>
    <b v="0"/>
    <m/>
    <m/>
    <s v="+"/>
    <x v="1678"/>
    <s v="Manual"/>
    <m/>
  </r>
  <r>
    <x v="37"/>
    <d v="2022-02-22T00:00:00"/>
    <s v="Discover More Card"/>
    <x v="1824"/>
    <n v="89.08"/>
    <x v="26"/>
    <m/>
    <m/>
    <m/>
    <n v="89.08"/>
    <b v="0"/>
    <m/>
    <m/>
    <s v="-"/>
    <x v="1679"/>
    <s v="Manual"/>
    <m/>
  </r>
  <r>
    <x v="37"/>
    <d v="2022-02-22T00:00:00"/>
    <s v="Cash Rewards Visa Signature"/>
    <x v="1825"/>
    <n v="55.8"/>
    <x v="26"/>
    <m/>
    <m/>
    <m/>
    <n v="55.8"/>
    <b v="0"/>
    <m/>
    <m/>
    <s v="-"/>
    <x v="1680"/>
    <s v="Manual"/>
    <m/>
  </r>
  <r>
    <x v="37"/>
    <d v="2022-02-22T00:00:00"/>
    <s v="POWERPLUS"/>
    <x v="1826"/>
    <n v="55.5"/>
    <x v="26"/>
    <m/>
    <m/>
    <m/>
    <n v="55.5"/>
    <b v="0"/>
    <m/>
    <m/>
    <s v="-"/>
    <x v="1681"/>
    <s v="Manual"/>
    <m/>
  </r>
  <r>
    <x v="37"/>
    <d v="2022-02-22T00:00:00"/>
    <s v="Cash Rewards Visa Signature"/>
    <x v="2"/>
    <n v="53.61"/>
    <x v="2"/>
    <m/>
    <m/>
    <m/>
    <n v="53.61"/>
    <b v="0"/>
    <m/>
    <m/>
    <s v="-"/>
    <x v="2"/>
    <s v="Create Rule; and Description='Speedway';Transportation"/>
    <m/>
  </r>
  <r>
    <x v="37"/>
    <d v="2022-02-22T00:00:00"/>
    <s v="POWERPLUS"/>
    <x v="1827"/>
    <n v="338"/>
    <x v="8"/>
    <m/>
    <m/>
    <m/>
    <n v="338"/>
    <b v="0"/>
    <m/>
    <m/>
    <s v="-"/>
    <x v="1682"/>
    <s v="Manual"/>
    <m/>
  </r>
  <r>
    <x v="37"/>
    <d v="2022-02-23T00:00:00"/>
    <s v="RAINY DAY"/>
    <x v="976"/>
    <n v="100"/>
    <x v="26"/>
    <m/>
    <m/>
    <m/>
    <n v="-100"/>
    <b v="0"/>
    <m/>
    <m/>
    <s v="+"/>
    <x v="936"/>
    <s v="Create Rule; and Description='From Share 70';Delete"/>
    <m/>
  </r>
  <r>
    <x v="37"/>
    <d v="2022-02-23T00:00:00"/>
    <s v="Cash Rewards Visa Signature"/>
    <x v="1828"/>
    <n v="22.6"/>
    <x v="26"/>
    <m/>
    <m/>
    <m/>
    <n v="22.6"/>
    <b v="0"/>
    <m/>
    <m/>
    <s v="-"/>
    <x v="1683"/>
    <s v="Manual"/>
    <m/>
  </r>
  <r>
    <x v="37"/>
    <d v="2022-02-23T00:00:00"/>
    <s v="POWERPLUS"/>
    <x v="1829"/>
    <n v="536.29999999999995"/>
    <x v="26"/>
    <m/>
    <m/>
    <m/>
    <n v="536.29999999999995"/>
    <b v="0"/>
    <m/>
    <m/>
    <s v="-"/>
    <x v="1684"/>
    <s v="Create Rule; and Description Like '%MHCHILDCARELLC%';Day Care"/>
    <m/>
  </r>
  <r>
    <x v="37"/>
    <d v="2022-02-23T00:00:00"/>
    <s v="POWERPLUS"/>
    <x v="952"/>
    <n v="100"/>
    <x v="26"/>
    <m/>
    <m/>
    <m/>
    <n v="100"/>
    <b v="0"/>
    <m/>
    <m/>
    <s v="-"/>
    <x v="915"/>
    <s v="Create Rule; and Description='To Share 12';Delete"/>
    <m/>
  </r>
  <r>
    <x v="37"/>
    <d v="2022-02-24T00:00:00"/>
    <s v="CARGILL EMPLOYEE RETIREMENT ACCOUNT"/>
    <x v="235"/>
    <n v="3493.52"/>
    <x v="26"/>
    <m/>
    <m/>
    <m/>
    <n v="-3493.52"/>
    <b v="0"/>
    <m/>
    <m/>
    <s v="+"/>
    <x v="233"/>
    <s v="Create Rule; and Description='Target Retire 2055 Tr P - Plan Contribution';401K"/>
    <m/>
  </r>
  <r>
    <x v="37"/>
    <d v="2022-02-24T00:00:00"/>
    <s v="POWERPLUS"/>
    <x v="1827"/>
    <n v="125"/>
    <x v="8"/>
    <m/>
    <m/>
    <m/>
    <n v="125"/>
    <b v="0"/>
    <m/>
    <m/>
    <s v="-"/>
    <x v="1682"/>
    <s v="Manual"/>
    <m/>
  </r>
  <r>
    <x v="37"/>
    <d v="2022-02-25T00:00:00"/>
    <s v="POWERPLUS"/>
    <x v="1830"/>
    <n v="47"/>
    <x v="26"/>
    <m/>
    <m/>
    <m/>
    <n v="47"/>
    <b v="0"/>
    <m/>
    <m/>
    <s v="-"/>
    <x v="1685"/>
    <s v="Manual"/>
    <m/>
  </r>
  <r>
    <x v="37"/>
    <d v="2022-02-25T00:00:00"/>
    <s v="Discover More Card"/>
    <x v="1831"/>
    <n v="31.61"/>
    <x v="26"/>
    <m/>
    <m/>
    <m/>
    <n v="31.61"/>
    <b v="0"/>
    <m/>
    <m/>
    <s v="-"/>
    <x v="1686"/>
    <s v="Manual"/>
    <m/>
  </r>
  <r>
    <x v="37"/>
    <d v="2022-02-25T00:00:00"/>
    <s v="Cash Rewards Visa Signature"/>
    <x v="1832"/>
    <n v="515.20000000000005"/>
    <x v="26"/>
    <m/>
    <m/>
    <m/>
    <n v="515.20000000000005"/>
    <b v="0"/>
    <m/>
    <m/>
    <s v="-"/>
    <x v="1687"/>
    <s v="Manual"/>
    <m/>
  </r>
  <r>
    <x v="37"/>
    <d v="2022-02-26T00:00:00"/>
    <s v="Discover More Card"/>
    <x v="1833"/>
    <n v="8.99"/>
    <x v="26"/>
    <m/>
    <m/>
    <m/>
    <n v="8.99"/>
    <b v="0"/>
    <m/>
    <m/>
    <s v="-"/>
    <x v="1688"/>
    <s v="Manual"/>
    <m/>
  </r>
  <r>
    <x v="37"/>
    <d v="2022-02-27T00:00:00"/>
    <s v="Discover More Card"/>
    <x v="1834"/>
    <n v="10.73"/>
    <x v="26"/>
    <m/>
    <m/>
    <m/>
    <n v="10.73"/>
    <b v="0"/>
    <m/>
    <m/>
    <s v="-"/>
    <x v="1689"/>
    <s v="Manual"/>
    <m/>
  </r>
  <r>
    <x v="37"/>
    <d v="2022-02-27T00:00:00"/>
    <s v="Cash Rewards Visa Signature"/>
    <x v="1835"/>
    <n v="59.91"/>
    <x v="26"/>
    <m/>
    <m/>
    <m/>
    <n v="59.91"/>
    <b v="0"/>
    <m/>
    <m/>
    <s v="-"/>
    <x v="1690"/>
    <s v="Manual"/>
    <m/>
  </r>
  <r>
    <x v="37"/>
    <d v="2022-02-27T00:00:00"/>
    <s v="Cash Rewards Visa Signature"/>
    <x v="579"/>
    <n v="25"/>
    <x v="1"/>
    <m/>
    <m/>
    <m/>
    <n v="25"/>
    <b v="0"/>
    <m/>
    <m/>
    <s v="-"/>
    <x v="560"/>
    <s v="Create Rule; and Description='Starbucks';Restaurants"/>
    <m/>
  </r>
  <r>
    <x v="37"/>
    <d v="2022-02-27T00:00:00"/>
    <s v="POWERPLUS"/>
    <x v="1836"/>
    <n v="2956.34"/>
    <x v="26"/>
    <m/>
    <m/>
    <m/>
    <n v="-2956.34"/>
    <b v="0"/>
    <m/>
    <m/>
    <s v="+"/>
    <x v="1691"/>
    <s v="Manual"/>
    <m/>
  </r>
  <r>
    <x v="37"/>
    <d v="2022-02-27T00:00:00"/>
    <s v="Cash Rewards Visa Signature"/>
    <x v="1837"/>
    <n v="15.02"/>
    <x v="19"/>
    <m/>
    <m/>
    <m/>
    <n v="15.02"/>
    <b v="0"/>
    <m/>
    <m/>
    <s v="-"/>
    <x v="1692"/>
    <s v="Manual"/>
    <m/>
  </r>
  <r>
    <x v="37"/>
    <d v="2022-02-27T00:00:00"/>
    <s v="Cash Rewards Visa Signature"/>
    <x v="1837"/>
    <n v="38.630000000000003"/>
    <x v="19"/>
    <m/>
    <m/>
    <m/>
    <n v="38.630000000000003"/>
    <b v="0"/>
    <m/>
    <m/>
    <s v="-"/>
    <x v="1692"/>
    <s v="Manual"/>
    <m/>
  </r>
  <r>
    <x v="37"/>
    <d v="2022-02-27T00:00:00"/>
    <s v="Cash Rewards Visa Signature"/>
    <x v="775"/>
    <n v="0.82"/>
    <x v="26"/>
    <m/>
    <m/>
    <m/>
    <n v="0.82"/>
    <b v="0"/>
    <m/>
    <m/>
    <s v="-"/>
    <x v="747"/>
    <s v="Create Rule; and Description='True Value';House Maintenance"/>
    <m/>
  </r>
  <r>
    <x v="37"/>
    <d v="2022-02-27T00:00:00"/>
    <s v="Cash Rewards Visa Signature"/>
    <x v="382"/>
    <n v="8.9499999999999993"/>
    <x v="28"/>
    <m/>
    <m/>
    <m/>
    <n v="8.9499999999999993"/>
    <b v="0"/>
    <m/>
    <m/>
    <s v="-"/>
    <x v="369"/>
    <s v="Manual"/>
    <m/>
  </r>
  <r>
    <x v="37"/>
    <d v="2022-02-28T00:00:00"/>
    <s v="Cash Rewards Visa Signature"/>
    <x v="1838"/>
    <n v="3139.26"/>
    <x v="26"/>
    <m/>
    <m/>
    <m/>
    <n v="-3139.26"/>
    <b v="0"/>
    <m/>
    <m/>
    <s v="+"/>
    <x v="1693"/>
    <s v="Manual"/>
    <m/>
  </r>
  <r>
    <x v="37"/>
    <d v="2022-02-28T00:00:00"/>
    <s v="POWERPLUS"/>
    <x v="1319"/>
    <n v="3139.26"/>
    <x v="26"/>
    <m/>
    <m/>
    <m/>
    <n v="3139.26"/>
    <b v="0"/>
    <m/>
    <m/>
    <s v="-"/>
    <x v="1247"/>
    <s v="Create Rule; and Description='Withdrawal Home payment to card XX91 Withdrawal Home payment to card 979181';Delete"/>
    <m/>
  </r>
  <r>
    <x v="37"/>
    <d v="2022-02-28T00:00:00"/>
    <s v="Discover More Card"/>
    <x v="1839"/>
    <n v="53.66"/>
    <x v="26"/>
    <m/>
    <m/>
    <m/>
    <n v="53.66"/>
    <b v="0"/>
    <m/>
    <m/>
    <s v="-"/>
    <x v="1694"/>
    <s v="Manual"/>
    <m/>
  </r>
  <r>
    <x v="37"/>
    <d v="2022-02-28T00:00:00"/>
    <s v="Cash Rewards Visa Signature"/>
    <x v="1712"/>
    <n v="4"/>
    <x v="26"/>
    <m/>
    <m/>
    <m/>
    <n v="4"/>
    <b v="0"/>
    <m/>
    <m/>
    <s v="-"/>
    <x v="1589"/>
    <s v="Manual"/>
    <m/>
  </r>
  <r>
    <x v="37"/>
    <d v="2022-02-28T00:00:00"/>
    <s v="Cash Rewards Visa Signature"/>
    <x v="1712"/>
    <n v="42.85"/>
    <x v="26"/>
    <m/>
    <m/>
    <m/>
    <n v="42.85"/>
    <b v="0"/>
    <m/>
    <m/>
    <s v="-"/>
    <x v="1589"/>
    <s v="Manual"/>
    <m/>
  </r>
  <r>
    <x v="37"/>
    <d v="2022-02-28T00:00:00"/>
    <s v="Cash Rewards Visa Signature"/>
    <x v="1840"/>
    <n v="89.99"/>
    <x v="26"/>
    <m/>
    <m/>
    <m/>
    <n v="89.99"/>
    <b v="0"/>
    <m/>
    <m/>
    <s v="-"/>
    <x v="1695"/>
    <s v="Manual"/>
    <m/>
  </r>
  <r>
    <x v="37"/>
    <d v="2022-02-28T00:00:00"/>
    <s v="Cash Rewards Visa Signature"/>
    <x v="1841"/>
    <n v="99.56"/>
    <x v="26"/>
    <m/>
    <m/>
    <m/>
    <n v="99.56"/>
    <b v="0"/>
    <m/>
    <m/>
    <s v="-"/>
    <x v="1696"/>
    <s v="Manual"/>
    <m/>
  </r>
  <r>
    <x v="37"/>
    <d v="2022-02-28T00:00:00"/>
    <s v="Cash Rewards Visa Signature"/>
    <x v="1842"/>
    <n v="77.33"/>
    <x v="26"/>
    <m/>
    <m/>
    <m/>
    <n v="77.33"/>
    <b v="0"/>
    <m/>
    <m/>
    <s v="-"/>
    <x v="1697"/>
    <s v="Manual"/>
    <m/>
  </r>
  <r>
    <x v="37"/>
    <d v="2022-02-28T00:00:00"/>
    <s v="POWERPLUS"/>
    <x v="157"/>
    <n v="0.99"/>
    <x v="8"/>
    <m/>
    <m/>
    <m/>
    <n v="0.99"/>
    <b v="0"/>
    <m/>
    <m/>
    <s v="-"/>
    <x v="156"/>
    <s v="Create Rule; and Description Like '%PayPal%';Shopping"/>
    <m/>
  </r>
  <r>
    <x v="37"/>
    <d v="2022-02-28T00:00:00"/>
    <s v="RAINY DAY"/>
    <x v="119"/>
    <n v="12.94"/>
    <x v="26"/>
    <m/>
    <m/>
    <m/>
    <n v="-12.94"/>
    <b v="0"/>
    <m/>
    <m/>
    <s v="+"/>
    <x v="119"/>
    <s v="Create Rule; and Description='Split Rate Apy';Inc - Other"/>
    <m/>
  </r>
  <r>
    <x v="37"/>
    <d v="2022-02-28T00:00:00"/>
    <s v="POWERPLUS"/>
    <x v="119"/>
    <n v="18.11"/>
    <x v="26"/>
    <m/>
    <m/>
    <m/>
    <n v="-18.11"/>
    <b v="0"/>
    <m/>
    <m/>
    <s v="+"/>
    <x v="119"/>
    <s v="Create Rule; and Description='Split Rate Apy';Inc - Other"/>
    <m/>
  </r>
  <r>
    <x v="37"/>
    <d v="2022-02-28T00:00:00"/>
    <s v="POWERPLUS"/>
    <x v="34"/>
    <n v="559.28"/>
    <x v="12"/>
    <m/>
    <m/>
    <m/>
    <n v="559.28"/>
    <b v="0"/>
    <m/>
    <m/>
    <s v="-"/>
    <x v="34"/>
    <s v="Create Rule; and Description='Target';Target"/>
    <m/>
  </r>
  <r>
    <x v="37"/>
    <d v="2022-02-28T00:00:00"/>
    <s v="Cash Rewards Visa Signature"/>
    <x v="1227"/>
    <n v="47.01"/>
    <x v="1"/>
    <m/>
    <m/>
    <m/>
    <n v="47.01"/>
    <b v="0"/>
    <m/>
    <m/>
    <s v="-"/>
    <x v="1165"/>
    <s v="Create Rule; and Description='Uber Eats';Restaurants"/>
    <m/>
  </r>
  <r>
    <x v="37"/>
    <d v="2022-02-28T00:00:00"/>
    <s v="Cash Rewards Visa Signature"/>
    <x v="1843"/>
    <n v="49.95"/>
    <x v="26"/>
    <m/>
    <m/>
    <m/>
    <n v="49.95"/>
    <b v="0"/>
    <m/>
    <m/>
    <s v="-"/>
    <x v="1698"/>
    <s v="Manual"/>
    <m/>
  </r>
  <r>
    <x v="38"/>
    <d v="2022-03-01T00:00:00"/>
    <s v="Cash Rewards Visa Signature"/>
    <x v="1318"/>
    <n v="-3549.95"/>
    <x v="26"/>
    <m/>
    <m/>
    <m/>
    <n v="3549.95"/>
    <b v="0"/>
    <m/>
    <m/>
    <s v="+"/>
    <x v="1246"/>
    <s v="Create Rule; and Description='Credit Card Payment Received PAYMENT THANK YOU';Delete"/>
    <m/>
  </r>
  <r>
    <x v="38"/>
    <d v="2022-03-01T00:00:00"/>
    <s v="POWERPLUS"/>
    <x v="1844"/>
    <n v="3003.94"/>
    <x v="6"/>
    <m/>
    <m/>
    <m/>
    <n v="3003.94"/>
    <b v="0"/>
    <m/>
    <m/>
    <s v="-"/>
    <x v="1699"/>
    <s v="Manual"/>
    <m/>
  </r>
  <r>
    <x v="38"/>
    <d v="2022-03-01T00:00:00"/>
    <s v="Discover More Card"/>
    <x v="1845"/>
    <n v="4.28"/>
    <x v="26"/>
    <m/>
    <m/>
    <m/>
    <n v="4.28"/>
    <b v="0"/>
    <m/>
    <m/>
    <s v="-"/>
    <x v="1700"/>
    <s v="Manual"/>
    <m/>
  </r>
  <r>
    <x v="38"/>
    <d v="2022-03-01T00:00:00"/>
    <s v="Cash Rewards Visa Signature"/>
    <x v="1846"/>
    <n v="-130"/>
    <x v="26"/>
    <m/>
    <m/>
    <m/>
    <n v="130"/>
    <b v="0"/>
    <m/>
    <m/>
    <s v="+"/>
    <x v="1701"/>
    <s v="Manual"/>
    <m/>
  </r>
  <r>
    <x v="38"/>
    <d v="2022-03-01T00:00:00"/>
    <s v="POWERPLUS"/>
    <x v="1847"/>
    <n v="15"/>
    <x v="26"/>
    <m/>
    <m/>
    <m/>
    <n v="15"/>
    <b v="0"/>
    <m/>
    <m/>
    <s v="-"/>
    <x v="1702"/>
    <s v="Manual"/>
    <m/>
  </r>
  <r>
    <x v="38"/>
    <d v="2022-03-01T00:00:00"/>
    <s v="POWERPLUS"/>
    <x v="1848"/>
    <n v="200"/>
    <x v="26"/>
    <m/>
    <m/>
    <m/>
    <n v="200"/>
    <b v="0"/>
    <m/>
    <m/>
    <s v="-"/>
    <x v="1703"/>
    <s v="Create Rule; and Description Like '%College Savings%';Delete"/>
    <m/>
  </r>
  <r>
    <x v="38"/>
    <d v="2022-03-01T00:00:00"/>
    <s v="POWERPLUS"/>
    <x v="979"/>
    <n v="618.65"/>
    <x v="26"/>
    <m/>
    <m/>
    <m/>
    <n v="618.65"/>
    <b v="0"/>
    <m/>
    <m/>
    <s v="-"/>
    <x v="939"/>
    <s v="Create Rule; and Description Like '%To Loan 02%';Car Loan"/>
    <m/>
  </r>
  <r>
    <x v="38"/>
    <d v="2022-03-01T00:00:00"/>
    <s v="POWERPLUS"/>
    <x v="1849"/>
    <n v="0.99"/>
    <x v="8"/>
    <m/>
    <m/>
    <m/>
    <n v="0.99"/>
    <b v="0"/>
    <m/>
    <m/>
    <s v="-"/>
    <x v="1704"/>
    <s v="Create Rule; and Description Like '%PayPal%';Shopping"/>
    <m/>
  </r>
  <r>
    <x v="38"/>
    <d v="2022-03-01T00:00:00"/>
    <s v="POWERPLUS"/>
    <x v="1849"/>
    <n v="5.39"/>
    <x v="8"/>
    <m/>
    <m/>
    <m/>
    <n v="5.39"/>
    <b v="0"/>
    <m/>
    <m/>
    <s v="-"/>
    <x v="1704"/>
    <s v="Create Rule; and Description Like '%PayPal%';Shopping"/>
    <m/>
  </r>
  <r>
    <x v="38"/>
    <d v="2022-03-01T00:00:00"/>
    <s v="POWERPLUS"/>
    <x v="1817"/>
    <n v="3549.95"/>
    <x v="26"/>
    <m/>
    <m/>
    <m/>
    <n v="3549.95"/>
    <b v="0"/>
    <m/>
    <m/>
    <s v="-"/>
    <x v="1672"/>
    <s v="Create Rule; and Description='Withdrawal Home Pmt to card XX91';Delete"/>
    <m/>
  </r>
  <r>
    <x v="38"/>
    <d v="2022-03-02T00:00:00"/>
    <s v="Cash Rewards Visa Signature"/>
    <x v="823"/>
    <n v="55.43"/>
    <x v="2"/>
    <m/>
    <m/>
    <m/>
    <n v="55.43"/>
    <b v="0"/>
    <m/>
    <m/>
    <s v="-"/>
    <x v="792"/>
    <s v="Create Rule; and Description='Kwik Trip';Transportation"/>
    <m/>
  </r>
  <r>
    <x v="38"/>
    <d v="2022-03-02T00:00:00"/>
    <s v="POWERPLUS"/>
    <x v="157"/>
    <n v="8.6300000000000008"/>
    <x v="8"/>
    <m/>
    <m/>
    <m/>
    <n v="8.6300000000000008"/>
    <b v="0"/>
    <m/>
    <m/>
    <s v="-"/>
    <x v="156"/>
    <s v="Create Rule; and Description Like '%PayPal%';Shopping"/>
    <m/>
  </r>
  <r>
    <x v="37"/>
    <d v="2022-03-02T00:00:00"/>
    <s v="Manual"/>
    <x v="1850"/>
    <n v="250"/>
    <x v="33"/>
    <e v="#N/A"/>
    <s v="Exp - Cleaning"/>
    <m/>
    <m/>
    <m/>
    <m/>
    <m/>
    <m/>
    <x v="1705"/>
    <m/>
    <m/>
  </r>
  <r>
    <x v="38"/>
    <d v="2022-03-03T00:00:00"/>
    <s v="POWERPLUS"/>
    <x v="1851"/>
    <n v="-2493.81"/>
    <x v="26"/>
    <m/>
    <m/>
    <m/>
    <n v="2493.81"/>
    <b v="0"/>
    <m/>
    <m/>
    <s v="+"/>
    <x v="1256"/>
    <s v="Create Rule; and Description Like '%Cargill Inc Deposit CARGILL INCORPOR TYPE DIRECT DEP ID CO CARGILL INCORPOR ACH%';Inc - Britney"/>
    <m/>
  </r>
  <r>
    <x v="38"/>
    <d v="2022-03-03T00:00:00"/>
    <s v="Cash Rewards Visa Signature"/>
    <x v="1337"/>
    <n v="18"/>
    <x v="26"/>
    <m/>
    <m/>
    <m/>
    <n v="18"/>
    <b v="0"/>
    <m/>
    <m/>
    <s v="-"/>
    <x v="1264"/>
    <s v="Create Rule; and Description Like '%HBRSUBSCRIPTION%';Entertainment"/>
    <m/>
  </r>
  <r>
    <x v="38"/>
    <d v="2022-03-03T00:00:00"/>
    <s v="POWERPLUS"/>
    <x v="1321"/>
    <n v="536.29999999999995"/>
    <x v="26"/>
    <m/>
    <m/>
    <m/>
    <n v="536.29999999999995"/>
    <b v="0"/>
    <m/>
    <m/>
    <s v="-"/>
    <x v="1249"/>
    <s v="Create Rule; and Description Like '%MHCHILDCARELLC%';Day Care"/>
    <m/>
  </r>
  <r>
    <x v="38"/>
    <d v="2022-03-04T00:00:00"/>
    <s v="Cash Rewards Visa Signature"/>
    <x v="6"/>
    <n v="5.51"/>
    <x v="5"/>
    <m/>
    <m/>
    <m/>
    <n v="5.51"/>
    <b v="0"/>
    <m/>
    <m/>
    <s v="-"/>
    <x v="6"/>
    <s v="Create Rule; and Description Like '%Cub Foods%';Groceries"/>
    <m/>
  </r>
  <r>
    <x v="38"/>
    <d v="2022-03-04T00:00:00"/>
    <s v="Cash Rewards Visa Signature"/>
    <x v="1305"/>
    <n v="94.37"/>
    <x v="1"/>
    <m/>
    <m/>
    <m/>
    <n v="94.37"/>
    <b v="0"/>
    <m/>
    <m/>
    <s v="-"/>
    <x v="1236"/>
    <s v="Create Rule; and Description='Station Pizzeria';Restaurants"/>
    <m/>
  </r>
  <r>
    <x v="38"/>
    <d v="2022-03-05T00:00:00"/>
    <s v="DISCOVER MORE CARD"/>
    <x v="1852"/>
    <n v="-9.98"/>
    <x v="26"/>
    <m/>
    <m/>
    <m/>
    <n v="9.98"/>
    <b v="0"/>
    <m/>
    <m/>
    <s v="+"/>
    <x v="1706"/>
    <s v="Manual"/>
    <m/>
  </r>
  <r>
    <x v="38"/>
    <d v="2022-03-05T00:00:00"/>
    <s v="DISCOVER MORE CARD"/>
    <x v="1853"/>
    <n v="48.14"/>
    <x v="26"/>
    <m/>
    <m/>
    <m/>
    <n v="48.14"/>
    <b v="0"/>
    <m/>
    <m/>
    <s v="-"/>
    <x v="1707"/>
    <s v="Manual"/>
    <m/>
  </r>
  <r>
    <x v="38"/>
    <d v="2022-03-05T00:00:00"/>
    <s v="DISCOVER MORE CARD"/>
    <x v="1854"/>
    <n v="561.97"/>
    <x v="26"/>
    <m/>
    <m/>
    <m/>
    <n v="561.97"/>
    <b v="0"/>
    <m/>
    <m/>
    <s v="-"/>
    <x v="1708"/>
    <s v="Manual"/>
    <m/>
  </r>
  <r>
    <x v="38"/>
    <d v="2022-03-05T00:00:00"/>
    <s v="DISCOVER MORE CARD"/>
    <x v="1855"/>
    <n v="22.9"/>
    <x v="26"/>
    <m/>
    <m/>
    <m/>
    <n v="22.9"/>
    <b v="0"/>
    <m/>
    <m/>
    <s v="-"/>
    <x v="1709"/>
    <s v="Manual"/>
    <m/>
  </r>
  <r>
    <x v="38"/>
    <d v="2022-03-06T00:00:00"/>
    <s v="DISCOVER MORE CARD"/>
    <x v="1856"/>
    <n v="41.78"/>
    <x v="26"/>
    <m/>
    <m/>
    <m/>
    <n v="41.78"/>
    <b v="0"/>
    <m/>
    <m/>
    <s v="-"/>
    <x v="1710"/>
    <s v="Manual"/>
    <m/>
  </r>
  <r>
    <x v="38"/>
    <d v="2022-03-06T00:00:00"/>
    <s v="Cash Rewards Visa Signature"/>
    <x v="57"/>
    <n v="126.04"/>
    <x v="25"/>
    <m/>
    <m/>
    <m/>
    <n v="126.04"/>
    <b v="0"/>
    <m/>
    <m/>
    <s v="-"/>
    <x v="57"/>
    <s v="Create Rule; and Description='Advocare';Groceries"/>
    <m/>
  </r>
  <r>
    <x v="38"/>
    <d v="2022-03-06T00:00:00"/>
    <s v="Cash Rewards Visa Signature"/>
    <x v="1857"/>
    <n v="10"/>
    <x v="26"/>
    <m/>
    <m/>
    <m/>
    <n v="10"/>
    <b v="0"/>
    <m/>
    <m/>
    <s v="-"/>
    <x v="1711"/>
    <s v="Manual"/>
    <m/>
  </r>
  <r>
    <x v="38"/>
    <d v="2022-03-06T00:00:00"/>
    <s v="DISCOVER MORE CARD"/>
    <x v="1858"/>
    <n v="25.22"/>
    <x v="26"/>
    <m/>
    <m/>
    <m/>
    <n v="25.22"/>
    <b v="0"/>
    <m/>
    <m/>
    <s v="-"/>
    <x v="1712"/>
    <s v="Create Rule; and Description Like '%PRIME VIDEO%';Entertainment"/>
    <m/>
  </r>
  <r>
    <x v="38"/>
    <d v="2022-03-06T00:00:00"/>
    <s v="Cash Rewards Visa Signature"/>
    <x v="1859"/>
    <n v="87.84"/>
    <x v="26"/>
    <m/>
    <m/>
    <m/>
    <n v="87.84"/>
    <b v="0"/>
    <m/>
    <m/>
    <s v="-"/>
    <x v="1713"/>
    <s v="Create Rule; and Description='Total Wine  More';Groceries"/>
    <m/>
  </r>
  <r>
    <x v="38"/>
    <d v="2022-03-06T00:00:00"/>
    <s v="DISCOVER MORE CARD"/>
    <x v="1860"/>
    <n v="37.26"/>
    <x v="26"/>
    <m/>
    <m/>
    <m/>
    <n v="37.26"/>
    <b v="0"/>
    <m/>
    <m/>
    <s v="-"/>
    <x v="1714"/>
    <s v="Manual"/>
    <m/>
  </r>
  <r>
    <x v="38"/>
    <d v="2022-03-06T00:00:00"/>
    <s v="DISCOVER MORE CARD"/>
    <x v="1860"/>
    <n v="66.27"/>
    <x v="26"/>
    <m/>
    <m/>
    <m/>
    <n v="66.27"/>
    <b v="0"/>
    <m/>
    <m/>
    <s v="-"/>
    <x v="1714"/>
    <s v="Manual"/>
    <m/>
  </r>
  <r>
    <x v="38"/>
    <d v="2022-03-07T00:00:00"/>
    <s v="Cash Rewards Visa Signature"/>
    <x v="6"/>
    <n v="45.98"/>
    <x v="5"/>
    <m/>
    <m/>
    <m/>
    <n v="45.98"/>
    <b v="0"/>
    <m/>
    <m/>
    <s v="-"/>
    <x v="6"/>
    <s v="Create Rule; and Description Like '%Cub Foods%';Groceries"/>
    <m/>
  </r>
  <r>
    <x v="38"/>
    <d v="2022-03-07T00:00:00"/>
    <s v="Cash Rewards Visa Signature"/>
    <x v="1861"/>
    <n v="11.2"/>
    <x v="3"/>
    <m/>
    <m/>
    <m/>
    <n v="11.2"/>
    <b v="0"/>
    <m/>
    <m/>
    <s v="-"/>
    <x v="1715"/>
    <s v="Manual"/>
    <m/>
  </r>
  <r>
    <x v="38"/>
    <d v="2022-03-07T00:00:00"/>
    <s v="Cash Rewards Visa Signature"/>
    <x v="1861"/>
    <n v="180"/>
    <x v="3"/>
    <m/>
    <m/>
    <m/>
    <n v="180"/>
    <b v="0"/>
    <m/>
    <m/>
    <s v="-"/>
    <x v="1715"/>
    <s v="Manual"/>
    <m/>
  </r>
  <r>
    <x v="38"/>
    <d v="2022-03-07T00:00:00"/>
    <s v="Cash Rewards Visa Signature"/>
    <x v="1862"/>
    <n v="12.5"/>
    <x v="26"/>
    <m/>
    <m/>
    <m/>
    <n v="12.5"/>
    <b v="0"/>
    <m/>
    <m/>
    <s v="-"/>
    <x v="1716"/>
    <s v="Manual"/>
    <m/>
  </r>
  <r>
    <x v="38"/>
    <d v="2022-03-07T00:00:00"/>
    <s v="Cash Rewards Visa Signature"/>
    <x v="1862"/>
    <n v="148.5"/>
    <x v="26"/>
    <m/>
    <m/>
    <m/>
    <n v="148.5"/>
    <b v="0"/>
    <m/>
    <m/>
    <s v="-"/>
    <x v="1716"/>
    <s v="Manual"/>
    <m/>
  </r>
  <r>
    <x v="38"/>
    <d v="2022-03-07T00:00:00"/>
    <s v="Cash Rewards Visa Signature"/>
    <x v="1863"/>
    <n v="95.7"/>
    <x v="26"/>
    <m/>
    <m/>
    <m/>
    <n v="95.7"/>
    <b v="0"/>
    <m/>
    <m/>
    <s v="-"/>
    <x v="1717"/>
    <s v="Manual"/>
    <m/>
  </r>
  <r>
    <x v="38"/>
    <d v="2022-03-07T00:00:00"/>
    <s v="Cash Rewards Visa Signature"/>
    <x v="2"/>
    <n v="7.23"/>
    <x v="2"/>
    <m/>
    <m/>
    <m/>
    <n v="7.23"/>
    <b v="0"/>
    <m/>
    <m/>
    <s v="-"/>
    <x v="2"/>
    <s v="Create Rule; and Description='Speedway';Transportation"/>
    <m/>
  </r>
  <r>
    <x v="38"/>
    <d v="2022-03-07T00:00:00"/>
    <s v="Cash Rewards Visa Signature"/>
    <x v="2"/>
    <n v="42.49"/>
    <x v="2"/>
    <m/>
    <m/>
    <m/>
    <n v="42.49"/>
    <b v="0"/>
    <m/>
    <m/>
    <s v="-"/>
    <x v="2"/>
    <s v="Create Rule; and Description='Speedway';Transportation"/>
    <m/>
  </r>
  <r>
    <x v="38"/>
    <d v="2022-03-07T00:00:00"/>
    <s v="Cash Rewards Visa Signature"/>
    <x v="1186"/>
    <n v="100.63"/>
    <x v="26"/>
    <m/>
    <m/>
    <m/>
    <n v="100.63"/>
    <b v="0"/>
    <m/>
    <m/>
    <s v="-"/>
    <x v="1127"/>
    <s v="Create Rule; and Description Like '%TEQUILA BUTCHER CHANHASSEN MN%';Restaurants"/>
    <m/>
  </r>
  <r>
    <x v="38"/>
    <d v="2022-03-07T00:00:00"/>
    <s v="Cash Rewards Visa Signature"/>
    <x v="1864"/>
    <n v="98.04"/>
    <x v="26"/>
    <m/>
    <m/>
    <m/>
    <n v="98.04"/>
    <b v="0"/>
    <m/>
    <m/>
    <s v="-"/>
    <x v="1718"/>
    <s v="Create Rule; and Description like '%Trader Joe%';Groceries"/>
    <m/>
  </r>
  <r>
    <x v="38"/>
    <d v="2022-03-07T00:00:00"/>
    <s v="POWERPLUS"/>
    <x v="1827"/>
    <n v="7"/>
    <x v="8"/>
    <m/>
    <m/>
    <m/>
    <n v="7"/>
    <b v="0"/>
    <m/>
    <m/>
    <s v="-"/>
    <x v="1682"/>
    <s v="Manual"/>
    <m/>
  </r>
  <r>
    <x v="38"/>
    <d v="2022-03-08T00:00:00"/>
    <s v="Cash Rewards Visa Signature"/>
    <x v="77"/>
    <n v="52.8"/>
    <x v="8"/>
    <m/>
    <m/>
    <m/>
    <n v="52.8"/>
    <b v="0"/>
    <m/>
    <m/>
    <s v="-"/>
    <x v="77"/>
    <s v="Create Rule; and Description='Anthropologie';Shopping"/>
    <m/>
  </r>
  <r>
    <x v="38"/>
    <d v="2022-03-08T00:00:00"/>
    <s v="POWERPLUS"/>
    <x v="1865"/>
    <n v="160"/>
    <x v="26"/>
    <m/>
    <m/>
    <m/>
    <n v="160"/>
    <b v="0"/>
    <m/>
    <m/>
    <s v="-"/>
    <x v="1719"/>
    <s v="Manual"/>
    <m/>
  </r>
  <r>
    <x v="38"/>
    <d v="2022-03-08T00:00:00"/>
    <s v="Cash Rewards Visa Signature"/>
    <x v="1866"/>
    <n v="401.71"/>
    <x v="24"/>
    <m/>
    <m/>
    <m/>
    <n v="401.71"/>
    <b v="0"/>
    <m/>
    <m/>
    <s v="-"/>
    <x v="1720"/>
    <s v="Manual"/>
    <m/>
  </r>
  <r>
    <x v="38"/>
    <d v="2022-03-08T00:00:00"/>
    <s v="POWERPLUS"/>
    <x v="1829"/>
    <n v="536.29999999999995"/>
    <x v="26"/>
    <m/>
    <m/>
    <m/>
    <n v="536.29999999999995"/>
    <b v="0"/>
    <m/>
    <m/>
    <s v="-"/>
    <x v="1684"/>
    <s v="Create Rule; and Description Like '%MHCHILDCARELLC%';Day Care"/>
    <m/>
  </r>
  <r>
    <x v="38"/>
    <d v="2022-03-08T00:00:00"/>
    <s v="Cash Rewards Visa Signature"/>
    <x v="1867"/>
    <n v="-18.36"/>
    <x v="27"/>
    <m/>
    <m/>
    <m/>
    <n v="18.36"/>
    <b v="0"/>
    <m/>
    <m/>
    <s v="+"/>
    <x v="1721"/>
    <s v="Manual"/>
    <m/>
  </r>
  <r>
    <x v="38"/>
    <d v="2022-03-08T00:00:00"/>
    <s v="Cash Rewards Visa Signature"/>
    <x v="1867"/>
    <n v="-34.64"/>
    <x v="27"/>
    <m/>
    <m/>
    <m/>
    <n v="34.64"/>
    <b v="0"/>
    <m/>
    <m/>
    <s v="+"/>
    <x v="1721"/>
    <s v="Manual"/>
    <m/>
  </r>
  <r>
    <x v="38"/>
    <d v="2022-03-08T00:00:00"/>
    <s v="Cash Rewards Visa Signature"/>
    <x v="1868"/>
    <n v="247.62"/>
    <x v="26"/>
    <m/>
    <m/>
    <m/>
    <n v="247.62"/>
    <b v="0"/>
    <m/>
    <m/>
    <s v="-"/>
    <x v="1722"/>
    <s v="Manual"/>
    <m/>
  </r>
  <r>
    <x v="38"/>
    <d v="2022-03-08T00:00:00"/>
    <s v="Cash Rewards Visa Signature"/>
    <x v="1227"/>
    <n v="6.96"/>
    <x v="1"/>
    <m/>
    <m/>
    <m/>
    <n v="6.96"/>
    <b v="0"/>
    <m/>
    <m/>
    <s v="-"/>
    <x v="1165"/>
    <s v="Create Rule; and Description='Uber Eats';Restaurants"/>
    <m/>
  </r>
  <r>
    <x v="38"/>
    <d v="2022-03-08T00:00:00"/>
    <s v="Cash Rewards Visa Signature"/>
    <x v="1227"/>
    <n v="34.840000000000003"/>
    <x v="1"/>
    <m/>
    <m/>
    <m/>
    <n v="34.840000000000003"/>
    <b v="0"/>
    <m/>
    <m/>
    <s v="-"/>
    <x v="1165"/>
    <s v="Create Rule; and Description='Uber Eats';Restaurants"/>
    <m/>
  </r>
  <r>
    <x v="38"/>
    <d v="2022-03-09T00:00:00"/>
    <s v="POWERPLUS"/>
    <x v="1869"/>
    <n v="205.87"/>
    <x v="11"/>
    <m/>
    <m/>
    <m/>
    <n v="205.87"/>
    <b v="0"/>
    <m/>
    <m/>
    <s v="-"/>
    <x v="1723"/>
    <s v="Create Rule; and Description='Payment to Xcel Energy';Utilities"/>
    <m/>
  </r>
  <r>
    <x v="38"/>
    <d v="2022-03-09T00:00:00"/>
    <s v="Cash Rewards Visa Signature"/>
    <x v="255"/>
    <n v="30.8"/>
    <x v="5"/>
    <m/>
    <m/>
    <m/>
    <n v="30.8"/>
    <b v="0"/>
    <m/>
    <m/>
    <s v="-"/>
    <x v="253"/>
    <s v="Create Rule; and Description='Costco';Groceries"/>
    <m/>
  </r>
  <r>
    <x v="38"/>
    <d v="2022-03-09T00:00:00"/>
    <s v="Cash Rewards Visa Signature"/>
    <x v="255"/>
    <n v="126.56"/>
    <x v="5"/>
    <m/>
    <m/>
    <m/>
    <n v="126.56"/>
    <b v="0"/>
    <m/>
    <m/>
    <s v="-"/>
    <x v="253"/>
    <s v="Create Rule; and Description='Costco';Groceries"/>
    <m/>
  </r>
  <r>
    <x v="38"/>
    <d v="2022-03-09T00:00:00"/>
    <s v="Cash Rewards Visa Signature"/>
    <x v="823"/>
    <n v="70.48"/>
    <x v="2"/>
    <m/>
    <m/>
    <m/>
    <n v="70.48"/>
    <b v="0"/>
    <m/>
    <m/>
    <s v="-"/>
    <x v="792"/>
    <s v="Create Rule; and Description='Kwik Trip';Transportation"/>
    <m/>
  </r>
  <r>
    <x v="38"/>
    <d v="2022-03-09T00:00:00"/>
    <s v="Cash Rewards Visa Signature"/>
    <x v="130"/>
    <n v="20.73"/>
    <x v="1"/>
    <m/>
    <m/>
    <m/>
    <n v="20.73"/>
    <b v="0"/>
    <m/>
    <m/>
    <s v="-"/>
    <x v="129"/>
    <s v="Create Rule; and Description='Leeann Chin';Restaurants"/>
    <m/>
  </r>
  <r>
    <x v="38"/>
    <d v="2022-03-09T00:00:00"/>
    <s v="Cash Rewards Visa Signature"/>
    <x v="1870"/>
    <n v="16.28"/>
    <x v="26"/>
    <m/>
    <m/>
    <m/>
    <n v="16.28"/>
    <b v="0"/>
    <m/>
    <m/>
    <s v="-"/>
    <x v="1724"/>
    <s v="Manual"/>
    <m/>
  </r>
  <r>
    <x v="38"/>
    <d v="2022-03-09T00:00:00"/>
    <s v="Cash Rewards Visa Signature"/>
    <x v="1867"/>
    <n v="41.94"/>
    <x v="27"/>
    <m/>
    <m/>
    <m/>
    <n v="41.94"/>
    <b v="0"/>
    <m/>
    <m/>
    <s v="-"/>
    <x v="1721"/>
    <s v="Manual"/>
    <m/>
  </r>
  <r>
    <x v="38"/>
    <d v="2022-03-10T00:00:00"/>
    <s v="POWERPLUS"/>
    <x v="1871"/>
    <n v="125"/>
    <x v="26"/>
    <m/>
    <m/>
    <m/>
    <n v="125"/>
    <b v="0"/>
    <m/>
    <m/>
    <s v="-"/>
    <x v="1619"/>
    <s v="Manual"/>
    <m/>
  </r>
  <r>
    <x v="38"/>
    <d v="2022-03-10T00:00:00"/>
    <s v="Cash Rewards Visa Signature"/>
    <x v="1597"/>
    <n v="22.28"/>
    <x v="26"/>
    <m/>
    <m/>
    <m/>
    <n v="22.28"/>
    <b v="0"/>
    <m/>
    <m/>
    <s v="-"/>
    <x v="1494"/>
    <s v="Manual"/>
    <m/>
  </r>
  <r>
    <x v="38"/>
    <d v="2022-03-10T00:00:00"/>
    <s v="Cash Rewards Visa Signature"/>
    <x v="577"/>
    <n v="22.85"/>
    <x v="1"/>
    <m/>
    <m/>
    <m/>
    <n v="22.85"/>
    <b v="0"/>
    <m/>
    <m/>
    <s v="-"/>
    <x v="558"/>
    <s v="Create Rule; and Description Like '%Jimmy John%';Restaurants"/>
    <m/>
  </r>
  <r>
    <x v="38"/>
    <d v="2022-03-10T00:00:00"/>
    <s v="Cash Rewards Visa Signature"/>
    <x v="2"/>
    <n v="7.29"/>
    <x v="2"/>
    <m/>
    <m/>
    <m/>
    <n v="7.29"/>
    <b v="0"/>
    <m/>
    <m/>
    <s v="-"/>
    <x v="2"/>
    <s v="Create Rule; and Description='Speedway';Transportation"/>
    <m/>
  </r>
  <r>
    <x v="38"/>
    <d v="2022-03-10T00:00:00"/>
    <s v="Cash Rewards Visa Signature"/>
    <x v="627"/>
    <n v="1592.7"/>
    <x v="2"/>
    <m/>
    <m/>
    <m/>
    <n v="1592.7"/>
    <b v="0"/>
    <m/>
    <m/>
    <s v="-"/>
    <x v="605"/>
    <s v="Manual"/>
    <m/>
  </r>
  <r>
    <x v="38"/>
    <d v="2022-03-11T00:00:00"/>
    <s v="Cash Rewards Visa Signature"/>
    <x v="1872"/>
    <n v="9.7899999999999991"/>
    <x v="26"/>
    <m/>
    <m/>
    <m/>
    <n v="9.7899999999999991"/>
    <b v="0"/>
    <m/>
    <m/>
    <s v="-"/>
    <x v="1725"/>
    <s v="Manual"/>
    <m/>
  </r>
  <r>
    <x v="38"/>
    <d v="2022-03-11T00:00:00"/>
    <s v="DISCOVER MORE CARD"/>
    <x v="1267"/>
    <n v="16.5"/>
    <x v="26"/>
    <m/>
    <m/>
    <m/>
    <n v="16.5"/>
    <b v="0"/>
    <m/>
    <m/>
    <s v="-"/>
    <x v="1201"/>
    <s v="Manual"/>
    <m/>
  </r>
  <r>
    <x v="38"/>
    <d v="2022-03-11T00:00:00"/>
    <s v="POWERPLUS"/>
    <x v="1827"/>
    <n v="160.86000000000001"/>
    <x v="8"/>
    <m/>
    <m/>
    <m/>
    <n v="160.86000000000001"/>
    <b v="0"/>
    <m/>
    <m/>
    <s v="-"/>
    <x v="1682"/>
    <s v="Manual"/>
    <m/>
  </r>
  <r>
    <x v="38"/>
    <d v="2022-03-13T00:00:00"/>
    <s v="Cash Rewards Visa Signature"/>
    <x v="1873"/>
    <n v="3.88"/>
    <x v="26"/>
    <m/>
    <m/>
    <m/>
    <n v="3.88"/>
    <b v="0"/>
    <m/>
    <m/>
    <s v="-"/>
    <x v="1726"/>
    <s v="Manual"/>
    <m/>
  </r>
  <r>
    <x v="38"/>
    <d v="2022-03-13T00:00:00"/>
    <s v="Cash Rewards Visa Signature"/>
    <x v="1874"/>
    <n v="51.77"/>
    <x v="26"/>
    <m/>
    <m/>
    <m/>
    <n v="51.77"/>
    <b v="0"/>
    <m/>
    <m/>
    <s v="-"/>
    <x v="1727"/>
    <s v="Manual"/>
    <m/>
  </r>
  <r>
    <x v="38"/>
    <d v="2022-03-13T00:00:00"/>
    <s v="Cash Rewards Visa Signature"/>
    <x v="59"/>
    <n v="4.55"/>
    <x v="1"/>
    <m/>
    <m/>
    <m/>
    <n v="4.55"/>
    <b v="0"/>
    <m/>
    <m/>
    <s v="-"/>
    <x v="59"/>
    <s v="Create Rule; and Description Like '%Caribou Coffee%';Restaurants"/>
    <m/>
  </r>
  <r>
    <x v="38"/>
    <d v="2022-03-13T00:00:00"/>
    <s v="Cash Rewards Visa Signature"/>
    <x v="1875"/>
    <n v="45"/>
    <x v="26"/>
    <m/>
    <m/>
    <m/>
    <n v="45"/>
    <b v="0"/>
    <m/>
    <m/>
    <s v="-"/>
    <x v="1728"/>
    <s v="Manual"/>
    <m/>
  </r>
  <r>
    <x v="38"/>
    <d v="2022-03-13T00:00:00"/>
    <s v="Cash Rewards Visa Signature"/>
    <x v="823"/>
    <n v="21.63"/>
    <x v="2"/>
    <m/>
    <m/>
    <m/>
    <n v="21.63"/>
    <b v="0"/>
    <m/>
    <m/>
    <s v="-"/>
    <x v="792"/>
    <s v="Create Rule; and Description='Kwik Trip';Transportation"/>
    <m/>
  </r>
  <r>
    <x v="38"/>
    <d v="2022-03-13T00:00:00"/>
    <s v="POWERPLUS"/>
    <x v="1836"/>
    <n v="-2906.32"/>
    <x v="26"/>
    <m/>
    <m/>
    <m/>
    <n v="2906.32"/>
    <b v="0"/>
    <m/>
    <m/>
    <s v="+"/>
    <x v="1691"/>
    <s v="Manual"/>
    <m/>
  </r>
  <r>
    <x v="38"/>
    <d v="2022-03-13T00:00:00"/>
    <s v="Cash Rewards Visa Signature"/>
    <x v="1876"/>
    <n v="18.77"/>
    <x v="26"/>
    <m/>
    <m/>
    <m/>
    <n v="18.77"/>
    <b v="0"/>
    <m/>
    <m/>
    <s v="-"/>
    <x v="1729"/>
    <s v="Manual"/>
    <m/>
  </r>
  <r>
    <x v="38"/>
    <d v="2022-03-13T00:00:00"/>
    <s v="Cash Rewards Visa Signature"/>
    <x v="1877"/>
    <n v="28.33"/>
    <x v="26"/>
    <m/>
    <m/>
    <m/>
    <n v="28.33"/>
    <b v="0"/>
    <m/>
    <m/>
    <s v="-"/>
    <x v="1730"/>
    <s v="Manual"/>
    <m/>
  </r>
  <r>
    <x v="38"/>
    <d v="2022-03-13T00:00:00"/>
    <s v="Cash Rewards Visa Signature"/>
    <x v="1878"/>
    <n v="58.03"/>
    <x v="26"/>
    <m/>
    <m/>
    <m/>
    <n v="58.03"/>
    <b v="0"/>
    <m/>
    <m/>
    <s v="-"/>
    <x v="1731"/>
    <s v="Manual"/>
    <m/>
  </r>
  <r>
    <x v="38"/>
    <d v="2022-03-14T00:00:00"/>
    <s v="Cash Rewards Visa Signature"/>
    <x v="1879"/>
    <n v="-764.79"/>
    <x v="3"/>
    <m/>
    <m/>
    <m/>
    <n v="764.79"/>
    <b v="0"/>
    <m/>
    <m/>
    <s v="+"/>
    <x v="1732"/>
    <s v="Create Rule; and Description='Credit Card Payment Received';Delete"/>
    <m/>
  </r>
  <r>
    <x v="38"/>
    <d v="2022-03-14T00:00:00"/>
    <s v="POWERPLUS"/>
    <x v="1880"/>
    <n v="-0.1"/>
    <x v="26"/>
    <m/>
    <m/>
    <m/>
    <n v="0.1"/>
    <b v="0"/>
    <m/>
    <m/>
    <s v="+"/>
    <x v="1733"/>
    <s v="Manual"/>
    <m/>
  </r>
  <r>
    <x v="38"/>
    <d v="2022-03-14T00:00:00"/>
    <s v="POWERPLUS"/>
    <x v="48"/>
    <n v="102.49"/>
    <x v="16"/>
    <m/>
    <m/>
    <m/>
    <n v="102.49"/>
    <b v="0"/>
    <m/>
    <m/>
    <s v="-"/>
    <x v="48"/>
    <s v="Create Rule; and Description='American Family Insurance';Insurance"/>
    <m/>
  </r>
  <r>
    <x v="38"/>
    <d v="2022-03-14T00:00:00"/>
    <s v="Cash Rewards Visa Signature"/>
    <x v="1881"/>
    <n v="60.53"/>
    <x v="5"/>
    <m/>
    <m/>
    <m/>
    <n v="60.53"/>
    <b v="0"/>
    <m/>
    <m/>
    <s v="-"/>
    <x v="1734"/>
    <s v="Manual"/>
    <m/>
  </r>
  <r>
    <x v="38"/>
    <d v="2022-03-14T00:00:00"/>
    <s v="Cash Rewards Visa Signature"/>
    <x v="1882"/>
    <n v="100.22"/>
    <x v="26"/>
    <m/>
    <m/>
    <m/>
    <n v="100.22"/>
    <b v="0"/>
    <m/>
    <m/>
    <s v="-"/>
    <x v="1735"/>
    <s v="Manual"/>
    <m/>
  </r>
  <r>
    <x v="38"/>
    <d v="2022-03-14T00:00:00"/>
    <s v="Cash Rewards Visa Signature"/>
    <x v="1268"/>
    <n v="16.5"/>
    <x v="26"/>
    <m/>
    <m/>
    <m/>
    <n v="16.5"/>
    <b v="0"/>
    <m/>
    <m/>
    <s v="-"/>
    <x v="1202"/>
    <s v="Manual"/>
    <m/>
  </r>
  <r>
    <x v="38"/>
    <d v="2022-03-14T00:00:00"/>
    <s v="Cash Rewards Visa Signature"/>
    <x v="1268"/>
    <n v="22.81"/>
    <x v="26"/>
    <m/>
    <m/>
    <m/>
    <n v="22.81"/>
    <b v="0"/>
    <m/>
    <m/>
    <s v="-"/>
    <x v="1202"/>
    <s v="Manual"/>
    <m/>
  </r>
  <r>
    <x v="38"/>
    <d v="2022-03-14T00:00:00"/>
    <s v="Cash Rewards Visa Signature"/>
    <x v="1268"/>
    <n v="36.14"/>
    <x v="26"/>
    <m/>
    <m/>
    <m/>
    <n v="36.14"/>
    <b v="0"/>
    <m/>
    <m/>
    <s v="-"/>
    <x v="1202"/>
    <s v="Manual"/>
    <m/>
  </r>
  <r>
    <x v="38"/>
    <d v="2022-03-14T00:00:00"/>
    <s v="Cash Rewards Visa Signature"/>
    <x v="1268"/>
    <n v="38.08"/>
    <x v="26"/>
    <m/>
    <m/>
    <m/>
    <n v="38.08"/>
    <b v="0"/>
    <m/>
    <m/>
    <s v="-"/>
    <x v="1202"/>
    <s v="Manual"/>
    <m/>
  </r>
  <r>
    <x v="38"/>
    <d v="2022-03-14T00:00:00"/>
    <s v="Cash Rewards Visa Signature"/>
    <x v="1883"/>
    <n v="2.67"/>
    <x v="26"/>
    <m/>
    <m/>
    <m/>
    <n v="2.67"/>
    <b v="0"/>
    <m/>
    <m/>
    <s v="-"/>
    <x v="1736"/>
    <s v="Manual"/>
    <m/>
  </r>
  <r>
    <x v="38"/>
    <d v="2022-03-14T00:00:00"/>
    <s v="POWERPLUS"/>
    <x v="1827"/>
    <n v="60"/>
    <x v="8"/>
    <m/>
    <m/>
    <m/>
    <n v="60"/>
    <b v="0"/>
    <m/>
    <m/>
    <s v="-"/>
    <x v="1682"/>
    <s v="Manual"/>
    <m/>
  </r>
  <r>
    <x v="38"/>
    <d v="2022-03-14T00:00:00"/>
    <s v="POWERPLUS"/>
    <x v="1817"/>
    <n v="764.79"/>
    <x v="26"/>
    <m/>
    <m/>
    <m/>
    <n v="764.79"/>
    <b v="0"/>
    <m/>
    <m/>
    <s v="-"/>
    <x v="1672"/>
    <s v="Create Rule; and Description='Withdrawal Home Pmt to card XX91';Delete"/>
    <m/>
  </r>
  <r>
    <x v="38"/>
    <d v="2022-03-15T00:00:00"/>
    <s v="Cash Rewards Visa Signature"/>
    <x v="1879"/>
    <n v="-300"/>
    <x v="3"/>
    <m/>
    <m/>
    <m/>
    <n v="300"/>
    <b v="0"/>
    <m/>
    <m/>
    <s v="+"/>
    <x v="1732"/>
    <s v="Create Rule; and Description='Credit Card Payment Received';Delete"/>
    <m/>
  </r>
  <r>
    <x v="38"/>
    <d v="2022-03-15T00:00:00"/>
    <s v="DISCOVER MORE CARD"/>
    <x v="56"/>
    <n v="-1248.17"/>
    <x v="3"/>
    <m/>
    <m/>
    <m/>
    <n v="1248.17"/>
    <b v="0"/>
    <m/>
    <m/>
    <s v="+"/>
    <x v="56"/>
    <s v="Delete; and Description='INTERNET PAYMENT - THANK YOU';0"/>
    <m/>
  </r>
  <r>
    <x v="38"/>
    <d v="2022-03-15T00:00:00"/>
    <s v="Cash Rewards Visa Signature"/>
    <x v="1884"/>
    <n v="125.7"/>
    <x v="26"/>
    <m/>
    <m/>
    <m/>
    <n v="125.7"/>
    <b v="0"/>
    <m/>
    <m/>
    <s v="-"/>
    <x v="1737"/>
    <s v="Manual"/>
    <m/>
  </r>
  <r>
    <x v="38"/>
    <d v="2022-03-15T00:00:00"/>
    <s v="DISCOVER MORE CARD"/>
    <x v="1885"/>
    <n v="-19.760000000000002"/>
    <x v="23"/>
    <m/>
    <m/>
    <m/>
    <n v="19.760000000000002"/>
    <b v="0"/>
    <m/>
    <m/>
    <s v="+"/>
    <x v="1738"/>
    <s v="Delete; and Description Like '%CASHBACK BONUS REDEMPTION%';0"/>
    <m/>
  </r>
  <r>
    <x v="38"/>
    <d v="2022-03-15T00:00:00"/>
    <s v="Cash Rewards Visa Signature"/>
    <x v="1886"/>
    <n v="28.35"/>
    <x v="26"/>
    <m/>
    <m/>
    <m/>
    <n v="28.35"/>
    <b v="0"/>
    <m/>
    <m/>
    <s v="-"/>
    <x v="1739"/>
    <s v="Manual"/>
    <m/>
  </r>
  <r>
    <x v="38"/>
    <d v="2022-03-15T00:00:00"/>
    <s v="Cash Rewards Visa Signature"/>
    <x v="1887"/>
    <n v="67.55"/>
    <x v="26"/>
    <m/>
    <m/>
    <m/>
    <n v="67.55"/>
    <b v="0"/>
    <m/>
    <m/>
    <s v="-"/>
    <x v="1740"/>
    <s v="Manual"/>
    <m/>
  </r>
  <r>
    <x v="38"/>
    <d v="2022-03-15T00:00:00"/>
    <s v="Cash Rewards Visa Signature"/>
    <x v="1876"/>
    <n v="26.1"/>
    <x v="26"/>
    <m/>
    <m/>
    <m/>
    <n v="26.1"/>
    <b v="0"/>
    <m/>
    <m/>
    <s v="-"/>
    <x v="1729"/>
    <s v="Manual"/>
    <m/>
  </r>
  <r>
    <x v="38"/>
    <d v="2022-03-15T00:00:00"/>
    <s v="POWERPLUS"/>
    <x v="1817"/>
    <n v="300"/>
    <x v="26"/>
    <m/>
    <m/>
    <m/>
    <n v="300"/>
    <b v="0"/>
    <m/>
    <m/>
    <s v="-"/>
    <x v="1672"/>
    <s v="Create Rule; and Description='Withdrawal Home Pmt to card XX91';Delete"/>
    <m/>
  </r>
  <r>
    <x v="38"/>
    <d v="2022-03-16T00:00:00"/>
    <s v="POWERPLUS"/>
    <x v="1888"/>
    <n v="1248.17"/>
    <x v="3"/>
    <m/>
    <m/>
    <m/>
    <n v="1248.17"/>
    <b v="0"/>
    <m/>
    <m/>
    <s v="-"/>
    <x v="1741"/>
    <s v="Manual"/>
    <m/>
  </r>
  <r>
    <x v="38"/>
    <d v="2022-03-16T00:00:00"/>
    <s v="DISCOVER MORE CARD"/>
    <x v="1889"/>
    <n v="53.11"/>
    <x v="26"/>
    <m/>
    <m/>
    <m/>
    <n v="53.11"/>
    <b v="0"/>
    <m/>
    <m/>
    <s v="-"/>
    <x v="1742"/>
    <s v="Manual"/>
    <m/>
  </r>
  <r>
    <x v="38"/>
    <d v="2022-03-16T00:00:00"/>
    <s v="POWERPLUS"/>
    <x v="1829"/>
    <n v="536.29999999999995"/>
    <x v="26"/>
    <m/>
    <m/>
    <m/>
    <n v="536.29999999999995"/>
    <b v="0"/>
    <m/>
    <m/>
    <s v="-"/>
    <x v="1684"/>
    <s v="Create Rule; and Description Like '%MHCHILDCARELLC%';Day Care"/>
    <m/>
  </r>
  <r>
    <x v="38"/>
    <d v="2022-03-16T00:00:00"/>
    <s v="Cash Rewards Visa Signature"/>
    <x v="1883"/>
    <n v="5.14"/>
    <x v="26"/>
    <m/>
    <m/>
    <m/>
    <n v="5.14"/>
    <b v="0"/>
    <m/>
    <m/>
    <s v="-"/>
    <x v="1736"/>
    <s v="Manual"/>
    <m/>
  </r>
  <r>
    <x v="38"/>
    <d v="2022-03-16T00:00:00"/>
    <s v="POWERPLUS"/>
    <x v="1849"/>
    <n v="711.09"/>
    <x v="8"/>
    <m/>
    <m/>
    <m/>
    <n v="711.09"/>
    <b v="0"/>
    <m/>
    <m/>
    <s v="-"/>
    <x v="1704"/>
    <s v="Create Rule; and Description Like '%PayPal%';Shopping"/>
    <m/>
  </r>
  <r>
    <x v="38"/>
    <d v="2022-03-17T00:00:00"/>
    <s v="POWERPLUS"/>
    <x v="1890"/>
    <n v="474.22"/>
    <x v="3"/>
    <m/>
    <m/>
    <m/>
    <n v="474.22"/>
    <b v="0"/>
    <m/>
    <m/>
    <s v="-"/>
    <x v="1743"/>
    <s v="Manual"/>
    <m/>
  </r>
  <r>
    <x v="38"/>
    <d v="2022-03-17T00:00:00"/>
    <s v="Cash Rewards Visa Signature"/>
    <x v="1891"/>
    <n v="246.28"/>
    <x v="26"/>
    <m/>
    <m/>
    <m/>
    <n v="246.28"/>
    <b v="0"/>
    <m/>
    <m/>
    <s v="-"/>
    <x v="1744"/>
    <s v="Manual"/>
    <m/>
  </r>
  <r>
    <x v="38"/>
    <d v="2022-03-17T00:00:00"/>
    <s v="Cash Rewards Visa Signature"/>
    <x v="1892"/>
    <n v="487.94"/>
    <x v="26"/>
    <m/>
    <m/>
    <m/>
    <n v="487.94"/>
    <b v="0"/>
    <m/>
    <m/>
    <s v="-"/>
    <x v="1745"/>
    <s v="Manual"/>
    <m/>
  </r>
  <r>
    <x v="38"/>
    <d v="2022-03-17T00:00:00"/>
    <s v="POWERPLUS"/>
    <x v="1893"/>
    <n v="-2493.8000000000002"/>
    <x v="34"/>
    <m/>
    <m/>
    <m/>
    <n v="2493.8000000000002"/>
    <b v="0"/>
    <m/>
    <m/>
    <s v="+"/>
    <x v="1746"/>
    <s v="Manual"/>
    <m/>
  </r>
  <r>
    <x v="38"/>
    <d v="2022-03-17T00:00:00"/>
    <s v="POWERPLUS"/>
    <x v="1827"/>
    <n v="15"/>
    <x v="8"/>
    <m/>
    <m/>
    <m/>
    <n v="15"/>
    <b v="0"/>
    <m/>
    <m/>
    <s v="-"/>
    <x v="1682"/>
    <s v="Manual"/>
    <m/>
  </r>
  <r>
    <x v="38"/>
    <d v="2022-03-17T00:00:00"/>
    <s v="POWERPLUS"/>
    <x v="1827"/>
    <n v="20"/>
    <x v="8"/>
    <m/>
    <m/>
    <m/>
    <n v="20"/>
    <b v="0"/>
    <m/>
    <m/>
    <s v="-"/>
    <x v="1682"/>
    <s v="Manual"/>
    <m/>
  </r>
  <r>
    <x v="38"/>
    <d v="2022-03-18T00:00:00"/>
    <s v="POWERPLUS"/>
    <x v="1894"/>
    <n v="0.1"/>
    <x v="26"/>
    <m/>
    <m/>
    <m/>
    <n v="0.1"/>
    <b v="0"/>
    <m/>
    <m/>
    <s v="-"/>
    <x v="1747"/>
    <s v="Manual"/>
    <m/>
  </r>
  <r>
    <x v="38"/>
    <d v="2022-03-18T00:00:00"/>
    <s v="POWERPLUS"/>
    <x v="1816"/>
    <n v="200"/>
    <x v="26"/>
    <m/>
    <m/>
    <m/>
    <n v="200"/>
    <b v="0"/>
    <m/>
    <m/>
    <s v="-"/>
    <x v="1671"/>
    <s v="Create Rule; and Description Like '%MN DIR ACH%';Delete"/>
    <m/>
  </r>
  <r>
    <x v="38"/>
    <d v="2022-03-18T00:00:00"/>
    <s v="POWERPLUS"/>
    <x v="1827"/>
    <n v="90"/>
    <x v="8"/>
    <m/>
    <m/>
    <m/>
    <n v="90"/>
    <b v="0"/>
    <m/>
    <m/>
    <s v="-"/>
    <x v="1682"/>
    <s v="Manual"/>
    <m/>
  </r>
  <r>
    <x v="38"/>
    <d v="2022-03-20T00:00:00"/>
    <s v="Cash Rewards Visa Signature"/>
    <x v="1895"/>
    <n v="-487.94"/>
    <x v="0"/>
    <m/>
    <m/>
    <m/>
    <n v="487.94"/>
    <b v="0"/>
    <m/>
    <m/>
    <s v="+"/>
    <x v="1748"/>
    <s v="Manual"/>
    <m/>
  </r>
  <r>
    <x v="38"/>
    <d v="2022-03-20T00:00:00"/>
    <s v="Cash Rewards Visa Signature"/>
    <x v="1674"/>
    <n v="31.86"/>
    <x v="1"/>
    <m/>
    <m/>
    <m/>
    <n v="31.86"/>
    <b v="0"/>
    <m/>
    <m/>
    <s v="-"/>
    <x v="1556"/>
    <s v="Manual"/>
    <m/>
  </r>
  <r>
    <x v="38"/>
    <d v="2022-03-21T00:00:00"/>
    <s v="Cash Rewards Visa Signature"/>
    <x v="1896"/>
    <n v="9"/>
    <x v="26"/>
    <m/>
    <m/>
    <m/>
    <n v="9"/>
    <b v="0"/>
    <m/>
    <m/>
    <s v="-"/>
    <x v="1749"/>
    <s v="Create Rule; and Description Like '%BONFES%';House Maintenance"/>
    <m/>
  </r>
  <r>
    <x v="38"/>
    <d v="2022-03-21T00:00:00"/>
    <s v="POWERPLUS"/>
    <x v="1826"/>
    <n v="55.5"/>
    <x v="26"/>
    <m/>
    <m/>
    <m/>
    <n v="55.5"/>
    <b v="0"/>
    <m/>
    <m/>
    <s v="-"/>
    <x v="1681"/>
    <s v="Manual"/>
    <m/>
  </r>
  <r>
    <x v="38"/>
    <d v="2022-03-21T00:00:00"/>
    <s v="Cash Rewards Visa Signature"/>
    <x v="6"/>
    <n v="220.65"/>
    <x v="5"/>
    <m/>
    <m/>
    <m/>
    <n v="220.65"/>
    <b v="0"/>
    <m/>
    <m/>
    <s v="-"/>
    <x v="6"/>
    <s v="Create Rule; and Description Like '%Cub Foods%';Groceries"/>
    <m/>
  </r>
  <r>
    <x v="38"/>
    <d v="2022-03-21T00:00:00"/>
    <s v="Cash Rewards Visa Signature"/>
    <x v="1897"/>
    <n v="85.6"/>
    <x v="26"/>
    <m/>
    <m/>
    <m/>
    <n v="85.6"/>
    <b v="0"/>
    <m/>
    <m/>
    <s v="-"/>
    <x v="1750"/>
    <s v="Create Rule; and Description Like '%Maynard%';Restaurants"/>
    <m/>
  </r>
  <r>
    <x v="38"/>
    <d v="2022-03-21T00:00:00"/>
    <s v="Cash Rewards Visa Signature"/>
    <x v="1898"/>
    <n v="55.35"/>
    <x v="1"/>
    <m/>
    <m/>
    <m/>
    <n v="55.35"/>
    <b v="0"/>
    <m/>
    <m/>
    <s v="-"/>
    <x v="1751"/>
    <s v="Manual"/>
    <m/>
  </r>
  <r>
    <x v="38"/>
    <d v="2022-03-21T00:00:00"/>
    <s v="POWERPLUS"/>
    <x v="1849"/>
    <n v="9.7100000000000009"/>
    <x v="8"/>
    <m/>
    <m/>
    <m/>
    <n v="9.7100000000000009"/>
    <b v="0"/>
    <m/>
    <m/>
    <s v="-"/>
    <x v="1704"/>
    <s v="Create Rule; and Description Like '%PayPal%';Shopping"/>
    <m/>
  </r>
  <r>
    <x v="38"/>
    <d v="2022-03-21T00:00:00"/>
    <s v="POWERPLUS"/>
    <x v="1827"/>
    <n v="15"/>
    <x v="8"/>
    <m/>
    <m/>
    <m/>
    <n v="15"/>
    <b v="0"/>
    <m/>
    <m/>
    <s v="-"/>
    <x v="1682"/>
    <s v="Manual"/>
    <m/>
  </r>
  <r>
    <x v="38"/>
    <d v="2022-03-21T00:00:00"/>
    <s v="POWERPLUS"/>
    <x v="1827"/>
    <n v="20"/>
    <x v="8"/>
    <m/>
    <m/>
    <m/>
    <n v="20"/>
    <b v="0"/>
    <m/>
    <m/>
    <s v="-"/>
    <x v="1682"/>
    <s v="Manual"/>
    <m/>
  </r>
  <r>
    <x v="38"/>
    <d v="2022-03-21T00:00:00"/>
    <s v="Cash Rewards Visa Signature"/>
    <x v="775"/>
    <n v="109.95"/>
    <x v="26"/>
    <m/>
    <m/>
    <m/>
    <n v="109.95"/>
    <b v="0"/>
    <m/>
    <m/>
    <s v="-"/>
    <x v="747"/>
    <s v="Create Rule; and Description='True Value';House Maintenance"/>
    <m/>
  </r>
  <r>
    <x v="38"/>
    <d v="2022-03-22T00:00:00"/>
    <s v="Cash Rewards Visa Signature"/>
    <x v="823"/>
    <n v="47.19"/>
    <x v="2"/>
    <m/>
    <m/>
    <m/>
    <n v="47.19"/>
    <b v="0"/>
    <m/>
    <m/>
    <s v="-"/>
    <x v="792"/>
    <s v="Create Rule; and Description='Kwik Trip';Transportation"/>
    <m/>
  </r>
  <r>
    <x v="38"/>
    <d v="2022-03-22T00:00:00"/>
    <s v="POWERPLUS"/>
    <x v="1829"/>
    <n v="536.29999999999995"/>
    <x v="26"/>
    <m/>
    <m/>
    <m/>
    <n v="536.29999999999995"/>
    <b v="0"/>
    <m/>
    <m/>
    <s v="-"/>
    <x v="1684"/>
    <s v="Create Rule; and Description Like '%MHCHILDCARELLC%';Day Care"/>
    <m/>
  </r>
  <r>
    <x v="38"/>
    <d v="2022-03-22T00:00:00"/>
    <s v="Cash Rewards Visa Signature"/>
    <x v="1899"/>
    <n v="83.32"/>
    <x v="26"/>
    <m/>
    <m/>
    <m/>
    <n v="83.32"/>
    <b v="0"/>
    <m/>
    <m/>
    <s v="-"/>
    <x v="1752"/>
    <s v="Manual"/>
    <m/>
  </r>
  <r>
    <x v="38"/>
    <d v="2022-03-23T00:00:00"/>
    <s v="DISCOVER MORE CARD"/>
    <x v="1900"/>
    <n v="38.11"/>
    <x v="26"/>
    <m/>
    <m/>
    <m/>
    <n v="38.11"/>
    <b v="0"/>
    <m/>
    <m/>
    <s v="-"/>
    <x v="1753"/>
    <s v="Manual"/>
    <m/>
  </r>
  <r>
    <x v="38"/>
    <d v="2022-03-23T00:00:00"/>
    <s v="RAINY DAY"/>
    <x v="976"/>
    <n v="-100"/>
    <x v="26"/>
    <m/>
    <m/>
    <m/>
    <n v="100"/>
    <b v="0"/>
    <m/>
    <m/>
    <s v="+"/>
    <x v="936"/>
    <s v="Create Rule; and Description='From Share 70';Delete"/>
    <m/>
  </r>
  <r>
    <x v="38"/>
    <d v="2022-03-23T00:00:00"/>
    <s v="POWERPLUS"/>
    <x v="952"/>
    <n v="100"/>
    <x v="26"/>
    <m/>
    <m/>
    <m/>
    <n v="100"/>
    <b v="0"/>
    <m/>
    <m/>
    <s v="-"/>
    <x v="915"/>
    <s v="Create Rule; and Description='To Share 12';Delete"/>
    <m/>
  </r>
  <r>
    <x v="38"/>
    <d v="2022-03-24T00:00:00"/>
    <s v="POWERPLUS"/>
    <x v="1901"/>
    <n v="-150"/>
    <x v="26"/>
    <m/>
    <m/>
    <m/>
    <n v="150"/>
    <b v="0"/>
    <m/>
    <m/>
    <s v="+"/>
    <x v="1754"/>
    <s v="Manual"/>
    <m/>
  </r>
  <r>
    <x v="38"/>
    <d v="2022-03-24T00:00:00"/>
    <s v="Cash Rewards Visa Signature"/>
    <x v="631"/>
    <n v="395.49"/>
    <x v="26"/>
    <m/>
    <m/>
    <m/>
    <n v="395.49"/>
    <b v="0"/>
    <m/>
    <m/>
    <s v="-"/>
    <x v="609"/>
    <s v="Manual"/>
    <m/>
  </r>
  <r>
    <x v="38"/>
    <d v="2022-03-24T00:00:00"/>
    <s v="POWERPLUS"/>
    <x v="1827"/>
    <n v="125"/>
    <x v="8"/>
    <m/>
    <m/>
    <m/>
    <n v="125"/>
    <b v="0"/>
    <m/>
    <m/>
    <s v="-"/>
    <x v="1682"/>
    <s v="Manual"/>
    <m/>
  </r>
  <r>
    <x v="38"/>
    <d v="2022-03-25T00:00:00"/>
    <s v="Cash Rewards Visa Signature"/>
    <x v="1859"/>
    <n v="60.94"/>
    <x v="26"/>
    <m/>
    <m/>
    <m/>
    <n v="60.94"/>
    <b v="0"/>
    <m/>
    <m/>
    <s v="-"/>
    <x v="1713"/>
    <s v="Create Rule; and Description='Total Wine  More';Groceries"/>
    <m/>
  </r>
  <r>
    <x v="38"/>
    <d v="2022-03-25T00:00:00"/>
    <s v="POWERPLUS"/>
    <x v="1849"/>
    <n v="8.49"/>
    <x v="8"/>
    <m/>
    <m/>
    <m/>
    <n v="8.49"/>
    <b v="0"/>
    <m/>
    <m/>
    <s v="-"/>
    <x v="1704"/>
    <s v="Create Rule; and Description Like '%PayPal%';Shopping"/>
    <m/>
  </r>
  <r>
    <x v="38"/>
    <d v="2022-03-26T00:00:00"/>
    <s v="DISCOVER MORE CARD"/>
    <x v="1833"/>
    <n v="9.99"/>
    <x v="26"/>
    <m/>
    <m/>
    <m/>
    <n v="9.99"/>
    <b v="0"/>
    <m/>
    <m/>
    <s v="-"/>
    <x v="1688"/>
    <s v="Create Rule; and Description Like '%Netflix%';Utilities"/>
    <m/>
  </r>
  <r>
    <x v="38"/>
    <d v="2022-03-27T00:00:00"/>
    <s v="Cash Rewards Visa Signature"/>
    <x v="1902"/>
    <n v="110.8"/>
    <x v="26"/>
    <m/>
    <m/>
    <m/>
    <n v="110.8"/>
    <b v="0"/>
    <m/>
    <m/>
    <s v="-"/>
    <x v="1755"/>
    <s v="Manual"/>
    <m/>
  </r>
  <r>
    <x v="38"/>
    <d v="2022-03-27T00:00:00"/>
    <s v="Cash Rewards Visa Signature"/>
    <x v="1903"/>
    <n v="36.43"/>
    <x v="26"/>
    <m/>
    <m/>
    <m/>
    <n v="36.43"/>
    <b v="0"/>
    <m/>
    <m/>
    <s v="-"/>
    <x v="1756"/>
    <s v="Manual"/>
    <m/>
  </r>
  <r>
    <x v="38"/>
    <d v="2022-03-27T00:00:00"/>
    <s v="Cash Rewards Visa Signature"/>
    <x v="1904"/>
    <n v="8.68"/>
    <x v="26"/>
    <m/>
    <m/>
    <m/>
    <n v="8.68"/>
    <b v="0"/>
    <m/>
    <m/>
    <s v="-"/>
    <x v="1757"/>
    <s v="Manual"/>
    <m/>
  </r>
  <r>
    <x v="38"/>
    <d v="2022-03-27T00:00:00"/>
    <s v="Cash Rewards Visa Signature"/>
    <x v="1905"/>
    <n v="7.78"/>
    <x v="26"/>
    <m/>
    <m/>
    <m/>
    <n v="7.78"/>
    <b v="0"/>
    <m/>
    <m/>
    <s v="-"/>
    <x v="1758"/>
    <s v="Manual"/>
    <m/>
  </r>
  <r>
    <x v="38"/>
    <d v="2022-03-27T00:00:00"/>
    <s v="Cash Rewards Visa Signature"/>
    <x v="1906"/>
    <n v="51.54"/>
    <x v="26"/>
    <m/>
    <m/>
    <m/>
    <n v="51.54"/>
    <b v="0"/>
    <m/>
    <m/>
    <s v="-"/>
    <x v="1759"/>
    <s v="Manual"/>
    <m/>
  </r>
  <r>
    <x v="38"/>
    <d v="2022-03-27T00:00:00"/>
    <s v="Cash Rewards Visa Signature"/>
    <x v="1907"/>
    <n v="54.19"/>
    <x v="26"/>
    <m/>
    <m/>
    <m/>
    <n v="54.19"/>
    <b v="0"/>
    <m/>
    <m/>
    <s v="-"/>
    <x v="1760"/>
    <s v="Create Rule; and Description='TST RED WAGON PIZZA CO XX7147 MN';Restaurants"/>
    <m/>
  </r>
  <r>
    <x v="38"/>
    <d v="2022-03-28T00:00:00"/>
    <s v="POWERPLUS"/>
    <x v="1908"/>
    <n v="705.6"/>
    <x v="26"/>
    <m/>
    <m/>
    <m/>
    <n v="705.6"/>
    <b v="0"/>
    <m/>
    <m/>
    <s v="-"/>
    <x v="1761"/>
    <s v="Create Rule; and Description='Payment to Target';Target"/>
    <m/>
  </r>
  <r>
    <x v="38"/>
    <d v="2022-03-28T00:00:00"/>
    <s v="Cash Rewards Visa Signature"/>
    <x v="1909"/>
    <n v="49"/>
    <x v="26"/>
    <m/>
    <m/>
    <m/>
    <n v="49"/>
    <b v="0"/>
    <m/>
    <m/>
    <s v="-"/>
    <x v="1762"/>
    <s v="Manual"/>
    <m/>
  </r>
  <r>
    <x v="38"/>
    <d v="2022-03-28T00:00:00"/>
    <s v="Cash Rewards Visa Signature"/>
    <x v="6"/>
    <n v="218.19"/>
    <x v="5"/>
    <m/>
    <m/>
    <m/>
    <n v="218.19"/>
    <b v="0"/>
    <m/>
    <m/>
    <s v="-"/>
    <x v="6"/>
    <s v="Create Rule; and Description Like '%Cub Foods%';Groceries"/>
    <m/>
  </r>
  <r>
    <x v="38"/>
    <d v="2022-03-28T00:00:00"/>
    <s v="Cash Rewards Visa Signature"/>
    <x v="1910"/>
    <n v="39.99"/>
    <x v="8"/>
    <m/>
    <m/>
    <m/>
    <n v="39.99"/>
    <b v="0"/>
    <m/>
    <m/>
    <s v="-"/>
    <x v="1763"/>
    <s v="Create Rule; and Description='DSW';Shopping"/>
    <m/>
  </r>
  <r>
    <x v="38"/>
    <d v="2022-03-28T00:00:00"/>
    <s v="POWERPLUS"/>
    <x v="1849"/>
    <n v="0.99"/>
    <x v="8"/>
    <m/>
    <m/>
    <m/>
    <n v="0.99"/>
    <b v="0"/>
    <m/>
    <m/>
    <s v="-"/>
    <x v="1704"/>
    <s v="Create Rule; and Description Like '%PayPal%';Shopping"/>
    <m/>
  </r>
  <r>
    <x v="38"/>
    <d v="2022-03-28T00:00:00"/>
    <s v="POWERPLUS"/>
    <x v="1849"/>
    <n v="5.81"/>
    <x v="8"/>
    <m/>
    <m/>
    <m/>
    <n v="5.81"/>
    <b v="0"/>
    <m/>
    <m/>
    <s v="-"/>
    <x v="1704"/>
    <s v="Create Rule; and Description Like '%PayPal%';Shopping"/>
    <m/>
  </r>
  <r>
    <x v="38"/>
    <d v="2022-03-28T00:00:00"/>
    <s v="POWERPLUS"/>
    <x v="1849"/>
    <n v="8.98"/>
    <x v="8"/>
    <m/>
    <m/>
    <m/>
    <n v="8.98"/>
    <b v="0"/>
    <m/>
    <m/>
    <s v="-"/>
    <x v="1704"/>
    <s v="Create Rule; and Description Like '%PayPal%';Shopping"/>
    <m/>
  </r>
  <r>
    <x v="38"/>
    <d v="2022-03-29T00:00:00"/>
    <s v="Cash Rewards Visa Signature"/>
    <x v="1910"/>
    <n v="54.99"/>
    <x v="8"/>
    <m/>
    <m/>
    <m/>
    <n v="54.99"/>
    <b v="0"/>
    <m/>
    <m/>
    <s v="-"/>
    <x v="1763"/>
    <s v="Create Rule; and Description='DSW';Shopping"/>
    <m/>
  </r>
  <r>
    <x v="38"/>
    <d v="2022-03-29T00:00:00"/>
    <s v="POWERPLUS"/>
    <x v="1911"/>
    <n v="-209.68"/>
    <x v="26"/>
    <m/>
    <m/>
    <m/>
    <n v="209.68"/>
    <b v="0"/>
    <m/>
    <m/>
    <s v="+"/>
    <x v="1764"/>
    <s v="Manual"/>
    <m/>
  </r>
  <r>
    <x v="38"/>
    <d v="2022-03-29T00:00:00"/>
    <s v="POWERPLUS"/>
    <x v="1829"/>
    <n v="536.29999999999995"/>
    <x v="26"/>
    <m/>
    <m/>
    <m/>
    <n v="536.29999999999995"/>
    <b v="0"/>
    <m/>
    <m/>
    <s v="-"/>
    <x v="1684"/>
    <s v="Create Rule; and Description Like '%MHCHILDCARELLC%';Day Care"/>
    <m/>
  </r>
  <r>
    <x v="38"/>
    <d v="2022-03-29T00:00:00"/>
    <s v="Cash Rewards Visa Signature"/>
    <x v="1719"/>
    <n v="21.42"/>
    <x v="26"/>
    <m/>
    <m/>
    <m/>
    <n v="21.42"/>
    <b v="0"/>
    <m/>
    <m/>
    <s v="-"/>
    <x v="1596"/>
    <s v="Create Rule; and Description='Michaels';Shopping"/>
    <m/>
  </r>
  <r>
    <x v="38"/>
    <d v="2022-03-29T00:00:00"/>
    <s v="Cash Rewards Visa Signature"/>
    <x v="308"/>
    <n v="5.88"/>
    <x v="8"/>
    <m/>
    <m/>
    <m/>
    <n v="5.88"/>
    <b v="0"/>
    <m/>
    <m/>
    <s v="-"/>
    <x v="300"/>
    <s v="Create Rule; and Description='Nordstrom';Shopping"/>
    <m/>
  </r>
  <r>
    <x v="38"/>
    <d v="2022-03-29T00:00:00"/>
    <s v="POWERPLUS"/>
    <x v="1836"/>
    <n v="-2956.34"/>
    <x v="26"/>
    <m/>
    <m/>
    <m/>
    <n v="2956.34"/>
    <b v="0"/>
    <m/>
    <m/>
    <s v="+"/>
    <x v="1691"/>
    <s v="Manual"/>
    <m/>
  </r>
  <r>
    <x v="38"/>
    <d v="2022-03-29T00:00:00"/>
    <s v="POWERPLUS"/>
    <x v="1849"/>
    <n v="0.99"/>
    <x v="8"/>
    <m/>
    <m/>
    <m/>
    <n v="0.99"/>
    <b v="0"/>
    <m/>
    <m/>
    <s v="-"/>
    <x v="1704"/>
    <s v="Create Rule; and Description Like '%PayPal%';Shopping"/>
    <m/>
  </r>
  <r>
    <x v="38"/>
    <d v="2022-03-30T00:00:00"/>
    <s v="Cash Rewards Visa Signature"/>
    <x v="1879"/>
    <n v="-2234.31"/>
    <x v="3"/>
    <m/>
    <m/>
    <m/>
    <n v="2234.31"/>
    <b v="0"/>
    <m/>
    <m/>
    <s v="+"/>
    <x v="1732"/>
    <s v="Create Rule; and Description='Credit Card Payment Received';Delete"/>
    <m/>
  </r>
  <r>
    <x v="38"/>
    <d v="2022-03-30T00:00:00"/>
    <s v="POWERPLUS"/>
    <x v="1912"/>
    <n v="1477"/>
    <x v="26"/>
    <m/>
    <m/>
    <m/>
    <n v="1477"/>
    <b v="0"/>
    <m/>
    <m/>
    <s v="-"/>
    <x v="1765"/>
    <s v="Create Rule; and Description='Tax Payment to Minnesota Departm';Delete"/>
    <m/>
  </r>
  <r>
    <x v="38"/>
    <d v="2022-03-30T00:00:00"/>
    <s v="Cash Rewards Visa Signature"/>
    <x v="823"/>
    <n v="47"/>
    <x v="2"/>
    <m/>
    <m/>
    <m/>
    <n v="47"/>
    <b v="0"/>
    <m/>
    <m/>
    <s v="-"/>
    <x v="792"/>
    <s v="Create Rule; and Description='Kwik Trip';Transportation"/>
    <m/>
  </r>
  <r>
    <x v="38"/>
    <d v="2022-03-30T00:00:00"/>
    <s v="POWERPLUS"/>
    <x v="1817"/>
    <n v="2234.31"/>
    <x v="26"/>
    <m/>
    <m/>
    <m/>
    <n v="2234.31"/>
    <b v="0"/>
    <m/>
    <m/>
    <s v="-"/>
    <x v="1672"/>
    <s v="Create Rule; and Description='Withdrawal Home Pmt to card XX91';Delete"/>
    <m/>
  </r>
  <r>
    <x v="38"/>
    <d v="2022-03-30T00:00:00"/>
    <s v="Manual"/>
    <x v="1850"/>
    <n v="250"/>
    <x v="33"/>
    <e v="#N/A"/>
    <s v="Exp - Cleaning"/>
    <m/>
    <m/>
    <m/>
    <m/>
    <m/>
    <m/>
    <x v="1705"/>
    <m/>
    <m/>
  </r>
  <r>
    <x v="38"/>
    <d v="2022-03-31T00:00:00"/>
    <s v="POWERPLUS"/>
    <x v="1869"/>
    <n v="221.8"/>
    <x v="11"/>
    <m/>
    <m/>
    <m/>
    <n v="221.8"/>
    <b v="0"/>
    <m/>
    <m/>
    <s v="-"/>
    <x v="1723"/>
    <s v="Manual"/>
    <m/>
  </r>
  <r>
    <x v="38"/>
    <d v="2022-03-31T00:00:00"/>
    <s v="POWERPLUS"/>
    <x v="1913"/>
    <n v="-2743.82"/>
    <x v="26"/>
    <m/>
    <m/>
    <m/>
    <n v="2743.82"/>
    <b v="0"/>
    <m/>
    <m/>
    <s v="+"/>
    <x v="1766"/>
    <s v="Manual"/>
    <m/>
  </r>
  <r>
    <x v="38"/>
    <d v="2022-03-31T00:00:00"/>
    <s v="POWERPLUS"/>
    <x v="1914"/>
    <n v="-238.53"/>
    <x v="26"/>
    <m/>
    <m/>
    <m/>
    <n v="238.53"/>
    <b v="0"/>
    <m/>
    <m/>
    <s v="+"/>
    <x v="1767"/>
    <s v="Manual"/>
    <m/>
  </r>
  <r>
    <x v="38"/>
    <d v="2022-03-31T00:00:00"/>
    <s v="Cash Rewards Visa Signature"/>
    <x v="1915"/>
    <n v="-293.39999999999998"/>
    <x v="8"/>
    <m/>
    <m/>
    <m/>
    <n v="293.39999999999998"/>
    <b v="0"/>
    <m/>
    <m/>
    <s v="+"/>
    <x v="1768"/>
    <s v="Manual"/>
    <m/>
  </r>
  <r>
    <x v="38"/>
    <d v="2022-03-31T00:00:00"/>
    <s v="RAINY DAY"/>
    <x v="1916"/>
    <n v="-14.42"/>
    <x v="26"/>
    <m/>
    <m/>
    <m/>
    <n v="14.42"/>
    <b v="0"/>
    <m/>
    <m/>
    <s v="+"/>
    <x v="1769"/>
    <s v="Manual"/>
    <m/>
  </r>
  <r>
    <x v="38"/>
    <d v="2022-03-31T00:00:00"/>
    <s v="POWERPLUS"/>
    <x v="1916"/>
    <n v="-14.95"/>
    <x v="26"/>
    <m/>
    <m/>
    <m/>
    <n v="14.95"/>
    <b v="0"/>
    <m/>
    <m/>
    <s v="+"/>
    <x v="1769"/>
    <s v="Manual"/>
    <m/>
  </r>
  <r>
    <x v="39"/>
    <d v="2022-04-01T00:00:00"/>
    <s v="Cash Rewards Visa Signature"/>
    <x v="1895"/>
    <n v="-246.28"/>
    <x v="0"/>
    <m/>
    <m/>
    <m/>
    <n v="-246.28"/>
    <b v="0"/>
    <m/>
    <m/>
    <s v="+"/>
    <x v="1748"/>
    <s v="Manual"/>
    <m/>
  </r>
  <r>
    <x v="39"/>
    <d v="2022-04-01T00:00:00"/>
    <s v="DISCOVER MORE CARD"/>
    <x v="1917"/>
    <n v="4.28"/>
    <x v="26"/>
    <m/>
    <m/>
    <m/>
    <n v="4.28"/>
    <b v="0"/>
    <m/>
    <m/>
    <s v="-"/>
    <x v="1770"/>
    <s v="Manual"/>
    <m/>
  </r>
  <r>
    <x v="39"/>
    <d v="2022-04-01T00:00:00"/>
    <s v="POWERPLUS"/>
    <x v="1848"/>
    <n v="200"/>
    <x v="26"/>
    <m/>
    <m/>
    <m/>
    <n v="200"/>
    <b v="0"/>
    <m/>
    <m/>
    <s v="-"/>
    <x v="1703"/>
    <s v="Create Rule; and Description Like '%College Savings%';Delete"/>
    <m/>
  </r>
  <r>
    <x v="39"/>
    <d v="2022-04-01T00:00:00"/>
    <s v="HIGHLANDER"/>
    <x v="976"/>
    <n v="-595.57000000000005"/>
    <x v="26"/>
    <m/>
    <m/>
    <m/>
    <n v="-595.57000000000005"/>
    <b v="0"/>
    <m/>
    <m/>
    <s v="+"/>
    <x v="936"/>
    <s v="Create Rule; and Description='From Share 70';Delete"/>
    <m/>
  </r>
  <r>
    <x v="39"/>
    <d v="2022-04-01T00:00:00"/>
    <s v="Cash Rewards Visa Signature"/>
    <x v="1881"/>
    <n v="20.66"/>
    <x v="5"/>
    <m/>
    <m/>
    <m/>
    <n v="20.66"/>
    <b v="0"/>
    <m/>
    <m/>
    <s v="-"/>
    <x v="1734"/>
    <s v="Create Rule; and Description='Holiday Stationstores';Transportation"/>
    <m/>
  </r>
  <r>
    <x v="39"/>
    <d v="2022-04-01T00:00:00"/>
    <s v="Cash Rewards Visa Signature"/>
    <x v="1881"/>
    <n v="56.45"/>
    <x v="5"/>
    <m/>
    <m/>
    <m/>
    <n v="56.45"/>
    <b v="0"/>
    <m/>
    <m/>
    <s v="-"/>
    <x v="1734"/>
    <s v="Create Rule; and Description='Holiday Stationstores';Transportation"/>
    <m/>
  </r>
  <r>
    <x v="39"/>
    <d v="2022-04-01T00:00:00"/>
    <s v="30 YR FIXED"/>
    <x v="1085"/>
    <n v="-431"/>
    <x v="26"/>
    <m/>
    <m/>
    <m/>
    <n v="-431"/>
    <b v="0"/>
    <m/>
    <m/>
    <s v="+"/>
    <x v="1034"/>
    <s v="Create Rule; and Description='Principal Curtailment';Delete"/>
    <m/>
  </r>
  <r>
    <x v="39"/>
    <d v="2022-04-01T00:00:00"/>
    <s v="POWERPLUS"/>
    <x v="979"/>
    <n v="618.65"/>
    <x v="26"/>
    <m/>
    <m/>
    <m/>
    <n v="618.65"/>
    <b v="0"/>
    <m/>
    <m/>
    <s v="-"/>
    <x v="939"/>
    <s v="Create Rule; and Description Like '%To Loan 02%';Car Loan"/>
    <m/>
  </r>
  <r>
    <x v="39"/>
    <d v="2022-04-01T00:00:00"/>
    <s v="30 YR FIXED"/>
    <x v="935"/>
    <n v="-763.51"/>
    <x v="3"/>
    <m/>
    <m/>
    <m/>
    <n v="-763.51"/>
    <b v="0"/>
    <m/>
    <m/>
    <s v="+"/>
    <x v="899"/>
    <s v="Create Rule; and Description='PAYMENT';Delete"/>
    <m/>
  </r>
  <r>
    <x v="39"/>
    <d v="2022-04-01T00:00:00"/>
    <s v="POWERPLUS"/>
    <x v="1844"/>
    <n v="3003.94"/>
    <x v="6"/>
    <m/>
    <m/>
    <m/>
    <n v="3003.94"/>
    <b v="0"/>
    <m/>
    <m/>
    <s v="-"/>
    <x v="1699"/>
    <s v="Manual"/>
    <m/>
  </r>
  <r>
    <x v="39"/>
    <d v="2022-04-02T00:00:00"/>
    <s v="DISCOVER MORE CARD"/>
    <x v="1918"/>
    <n v="10.87"/>
    <x v="26"/>
    <m/>
    <m/>
    <m/>
    <n v="10.87"/>
    <b v="0"/>
    <m/>
    <m/>
    <s v="-"/>
    <x v="1771"/>
    <s v="Manual"/>
    <m/>
  </r>
  <r>
    <x v="39"/>
    <d v="2022-04-02T00:00:00"/>
    <s v="DISCOVER MORE CARD"/>
    <x v="1919"/>
    <n v="71.62"/>
    <x v="26"/>
    <m/>
    <m/>
    <m/>
    <n v="71.62"/>
    <b v="0"/>
    <m/>
    <m/>
    <s v="-"/>
    <x v="1772"/>
    <s v="Manual"/>
    <m/>
  </r>
  <r>
    <x v="39"/>
    <d v="2022-04-03T00:00:00"/>
    <s v="Cash Rewards Visa Signature"/>
    <x v="1920"/>
    <n v="18"/>
    <x v="26"/>
    <m/>
    <m/>
    <m/>
    <n v="18"/>
    <b v="0"/>
    <m/>
    <m/>
    <s v="-"/>
    <x v="1773"/>
    <s v="Create Rule; and Description Like '%HBRSUBSCRIPTION%';Entertainment"/>
    <m/>
  </r>
  <r>
    <x v="39"/>
    <d v="2022-04-03T00:00:00"/>
    <s v="Cash Rewards Visa Signature"/>
    <x v="1921"/>
    <n v="25"/>
    <x v="26"/>
    <m/>
    <m/>
    <m/>
    <n v="25"/>
    <b v="0"/>
    <m/>
    <m/>
    <s v="-"/>
    <x v="1774"/>
    <s v="Manual"/>
    <m/>
  </r>
  <r>
    <x v="39"/>
    <d v="2022-04-03T00:00:00"/>
    <s v="Cash Rewards Visa Signature"/>
    <x v="1922"/>
    <n v="107"/>
    <x v="10"/>
    <m/>
    <m/>
    <m/>
    <n v="107"/>
    <b v="0"/>
    <m/>
    <m/>
    <s v="-"/>
    <x v="1775"/>
    <s v="Manual"/>
    <m/>
  </r>
  <r>
    <x v="39"/>
    <d v="2022-04-03T00:00:00"/>
    <s v="Cash Rewards Visa Signature"/>
    <x v="1922"/>
    <n v="157"/>
    <x v="10"/>
    <m/>
    <m/>
    <m/>
    <n v="157"/>
    <b v="0"/>
    <m/>
    <m/>
    <s v="-"/>
    <x v="1775"/>
    <s v="Manual"/>
    <m/>
  </r>
  <r>
    <x v="39"/>
    <d v="2022-04-04T00:00:00"/>
    <s v="POWERPLUS"/>
    <x v="1923"/>
    <n v="-13083"/>
    <x v="26"/>
    <m/>
    <m/>
    <m/>
    <n v="-13083"/>
    <b v="0"/>
    <m/>
    <m/>
    <s v="+"/>
    <x v="1776"/>
    <s v="Manual"/>
    <m/>
  </r>
  <r>
    <x v="39"/>
    <d v="2022-04-04T00:00:00"/>
    <s v="Cash Rewards Visa Signature"/>
    <x v="1924"/>
    <n v="143.08000000000001"/>
    <x v="26"/>
    <m/>
    <m/>
    <m/>
    <n v="143.08000000000001"/>
    <b v="0"/>
    <m/>
    <m/>
    <s v="-"/>
    <x v="1777"/>
    <s v="Create Rule; and Description like '%Byerly%';Groceries"/>
    <m/>
  </r>
  <r>
    <x v="39"/>
    <d v="2022-04-04T00:00:00"/>
    <s v="Cash Rewards Visa Signature"/>
    <x v="1925"/>
    <n v="27"/>
    <x v="26"/>
    <m/>
    <m/>
    <m/>
    <n v="27"/>
    <b v="0"/>
    <m/>
    <m/>
    <s v="-"/>
    <x v="1778"/>
    <s v="Manual"/>
    <m/>
  </r>
  <r>
    <x v="39"/>
    <d v="2022-04-04T00:00:00"/>
    <s v="Cash Rewards Visa Signature"/>
    <x v="1859"/>
    <n v="50.5"/>
    <x v="26"/>
    <m/>
    <m/>
    <m/>
    <n v="50.5"/>
    <b v="0"/>
    <m/>
    <m/>
    <s v="-"/>
    <x v="1713"/>
    <s v="Create Rule; and Description='Total Wine  More';Groceries"/>
    <m/>
  </r>
  <r>
    <x v="39"/>
    <d v="2022-04-05T00:00:00"/>
    <s v="Cash Rewards Visa Signature"/>
    <x v="1926"/>
    <n v="64.959999999999994"/>
    <x v="26"/>
    <m/>
    <m/>
    <m/>
    <n v="64.959999999999994"/>
    <b v="0"/>
    <m/>
    <m/>
    <s v="-"/>
    <x v="1779"/>
    <s v="Manual"/>
    <m/>
  </r>
  <r>
    <x v="39"/>
    <d v="2022-04-06T00:00:00"/>
    <s v="Cash Rewards Visa Signature"/>
    <x v="57"/>
    <n v="126.04"/>
    <x v="25"/>
    <m/>
    <m/>
    <m/>
    <n v="126.04"/>
    <b v="0"/>
    <m/>
    <m/>
    <s v="-"/>
    <x v="57"/>
    <s v="Create Rule; and Description='Advocare';Groceries"/>
    <m/>
  </r>
  <r>
    <x v="39"/>
    <d v="2022-04-06T00:00:00"/>
    <s v="Cash Rewards Visa Signature"/>
    <x v="1927"/>
    <n v="4.99"/>
    <x v="26"/>
    <m/>
    <m/>
    <m/>
    <n v="4.99"/>
    <b v="0"/>
    <m/>
    <m/>
    <s v="-"/>
    <x v="1780"/>
    <s v="Manual"/>
    <m/>
  </r>
  <r>
    <x v="39"/>
    <d v="2022-04-06T00:00:00"/>
    <s v="Cash Rewards Visa Signature"/>
    <x v="1928"/>
    <n v="25.77"/>
    <x v="26"/>
    <m/>
    <m/>
    <m/>
    <n v="25.77"/>
    <b v="0"/>
    <m/>
    <m/>
    <s v="-"/>
    <x v="1781"/>
    <s v="Create Rule; and Description='Noodles  Company';Restaurants"/>
    <m/>
  </r>
  <r>
    <x v="39"/>
    <d v="2022-04-06T00:00:00"/>
    <s v="Cash Rewards Visa Signature"/>
    <x v="1929"/>
    <n v="228.77"/>
    <x v="26"/>
    <m/>
    <m/>
    <m/>
    <n v="228.77"/>
    <b v="0"/>
    <m/>
    <m/>
    <s v="-"/>
    <x v="1782"/>
    <s v="Manual"/>
    <m/>
  </r>
  <r>
    <x v="39"/>
    <d v="2022-04-06T00:00:00"/>
    <s v="Cash Rewards Visa Signature"/>
    <x v="1930"/>
    <n v="80.959999999999994"/>
    <x v="26"/>
    <m/>
    <m/>
    <m/>
    <n v="80.959999999999994"/>
    <b v="0"/>
    <m/>
    <m/>
    <s v="-"/>
    <x v="1783"/>
    <s v="Manual"/>
    <m/>
  </r>
  <r>
    <x v="39"/>
    <d v="2022-04-07T00:00:00"/>
    <s v="Cash Rewards Visa Signature"/>
    <x v="1931"/>
    <n v="3.34"/>
    <x v="26"/>
    <m/>
    <m/>
    <m/>
    <n v="3.34"/>
    <b v="0"/>
    <m/>
    <m/>
    <s v="-"/>
    <x v="1784"/>
    <s v="Manual"/>
    <m/>
  </r>
  <r>
    <x v="39"/>
    <d v="2022-04-07T00:00:00"/>
    <s v="Cash Rewards Visa Signature"/>
    <x v="1932"/>
    <n v="19.510000000000002"/>
    <x v="26"/>
    <m/>
    <m/>
    <m/>
    <n v="19.510000000000002"/>
    <b v="0"/>
    <m/>
    <m/>
    <s v="-"/>
    <x v="1785"/>
    <s v="Create Rule; and Description Like '%Jimmy John%';Restaurants"/>
    <m/>
  </r>
  <r>
    <x v="39"/>
    <d v="2022-04-07T00:00:00"/>
    <s v="Cash Rewards Visa Signature"/>
    <x v="381"/>
    <n v="52"/>
    <x v="26"/>
    <m/>
    <m/>
    <m/>
    <n v="52"/>
    <b v="0"/>
    <m/>
    <m/>
    <s v="-"/>
    <x v="368"/>
    <s v="Manual"/>
    <m/>
  </r>
  <r>
    <x v="39"/>
    <d v="2022-04-07T00:00:00"/>
    <s v="POWERPLUS"/>
    <x v="1829"/>
    <n v="536.29999999999995"/>
    <x v="26"/>
    <m/>
    <m/>
    <m/>
    <n v="536.29999999999995"/>
    <b v="0"/>
    <m/>
    <m/>
    <s v="-"/>
    <x v="1684"/>
    <s v="Create Rule; and Description Like '%MHCHILDCARELLC%';Day Care"/>
    <m/>
  </r>
  <r>
    <x v="39"/>
    <d v="2022-04-07T00:00:00"/>
    <s v="Cash Rewards Visa Signature"/>
    <x v="1933"/>
    <n v="35"/>
    <x v="5"/>
    <m/>
    <m/>
    <m/>
    <n v="35"/>
    <b v="0"/>
    <m/>
    <m/>
    <s v="-"/>
    <x v="1786"/>
    <s v="Manual"/>
    <m/>
  </r>
  <r>
    <x v="39"/>
    <d v="2022-04-07T00:00:00"/>
    <s v="Cash Rewards Visa Signature"/>
    <x v="1934"/>
    <n v="15.01"/>
    <x v="8"/>
    <m/>
    <m/>
    <m/>
    <n v="15.01"/>
    <b v="0"/>
    <m/>
    <m/>
    <s v="-"/>
    <x v="1787"/>
    <s v="Manual"/>
    <m/>
  </r>
  <r>
    <x v="39"/>
    <d v="2022-04-07T00:00:00"/>
    <s v="Cash Rewards Visa Signature"/>
    <x v="1935"/>
    <n v="122"/>
    <x v="26"/>
    <m/>
    <m/>
    <m/>
    <n v="122"/>
    <b v="0"/>
    <m/>
    <m/>
    <s v="-"/>
    <x v="1788"/>
    <s v="Manual"/>
    <m/>
  </r>
  <r>
    <x v="39"/>
    <d v="2022-04-07T00:00:00"/>
    <s v="POWERPLUS"/>
    <x v="1827"/>
    <n v="125"/>
    <x v="8"/>
    <m/>
    <m/>
    <m/>
    <n v="125"/>
    <b v="0"/>
    <m/>
    <m/>
    <s v="-"/>
    <x v="1682"/>
    <s v="Manual"/>
    <m/>
  </r>
  <r>
    <x v="39"/>
    <d v="2022-04-07T00:00:00"/>
    <s v="POWERPLUS"/>
    <x v="1869"/>
    <n v="221.8"/>
    <x v="11"/>
    <m/>
    <m/>
    <m/>
    <n v="221.8"/>
    <b v="0"/>
    <m/>
    <m/>
    <s v="-"/>
    <x v="1723"/>
    <s v="Create Rule; and Description='Payment to Xcel Energy';Utilities"/>
    <m/>
  </r>
  <r>
    <x v="39"/>
    <d v="2022-04-08T00:00:00"/>
    <s v="Cash Rewards Visa Signature"/>
    <x v="1936"/>
    <n v="50.24"/>
    <x v="26"/>
    <m/>
    <m/>
    <m/>
    <n v="50.24"/>
    <b v="0"/>
    <m/>
    <m/>
    <s v="-"/>
    <x v="1789"/>
    <s v="Manual"/>
    <m/>
  </r>
  <r>
    <x v="39"/>
    <d v="2022-04-08T00:00:00"/>
    <s v="POWERPLUS"/>
    <x v="1817"/>
    <n v="890.36"/>
    <x v="26"/>
    <m/>
    <m/>
    <m/>
    <n v="890.36"/>
    <b v="0"/>
    <m/>
    <m/>
    <s v="-"/>
    <x v="1672"/>
    <s v="Create Rule; and Description='Withdrawal Home Pmt to card XX91';Delete"/>
    <m/>
  </r>
  <r>
    <x v="39"/>
    <d v="2022-04-08T00:00:00"/>
    <s v="Cash Rewards Visa Signature"/>
    <x v="1879"/>
    <n v="-890.36"/>
    <x v="3"/>
    <m/>
    <m/>
    <m/>
    <n v="-890.36"/>
    <b v="0"/>
    <m/>
    <m/>
    <s v="+"/>
    <x v="1732"/>
    <s v="Create Rule; and Description='Credit Card Payment Received';Delete"/>
    <m/>
  </r>
  <r>
    <x v="39"/>
    <d v="2022-04-10T00:00:00"/>
    <s v="Cash Rewards Visa Signature"/>
    <x v="1937"/>
    <n v="60.3"/>
    <x v="26"/>
    <m/>
    <m/>
    <m/>
    <n v="60.3"/>
    <b v="0"/>
    <m/>
    <m/>
    <s v="-"/>
    <x v="1790"/>
    <s v="Manual"/>
    <m/>
  </r>
  <r>
    <x v="39"/>
    <d v="2022-04-10T00:00:00"/>
    <s v="Cash Rewards Visa Signature"/>
    <x v="1881"/>
    <n v="61.46"/>
    <x v="5"/>
    <m/>
    <m/>
    <m/>
    <n v="61.46"/>
    <b v="0"/>
    <m/>
    <m/>
    <s v="-"/>
    <x v="1734"/>
    <s v="Create Rule; and Description='Holiday Stationstores';Transportation"/>
    <m/>
  </r>
  <r>
    <x v="39"/>
    <d v="2022-04-10T00:00:00"/>
    <s v="Cash Rewards Visa Signature"/>
    <x v="1536"/>
    <n v="115.5"/>
    <x v="26"/>
    <m/>
    <m/>
    <m/>
    <n v="115.5"/>
    <b v="0"/>
    <m/>
    <m/>
    <s v="-"/>
    <x v="1440"/>
    <s v="Create Rule; and Description Like '%MACKENTHUNSMEATS%';Groceries"/>
    <m/>
  </r>
  <r>
    <x v="39"/>
    <d v="2022-04-10T00:00:00"/>
    <s v="Cash Rewards Visa Signature"/>
    <x v="1938"/>
    <n v="63.48"/>
    <x v="26"/>
    <m/>
    <m/>
    <m/>
    <n v="63.48"/>
    <b v="0"/>
    <m/>
    <m/>
    <s v="-"/>
    <x v="1791"/>
    <s v="Manual"/>
    <m/>
  </r>
  <r>
    <x v="39"/>
    <d v="2022-04-10T00:00:00"/>
    <s v="Cash Rewards Visa Signature"/>
    <x v="1867"/>
    <n v="41.94"/>
    <x v="27"/>
    <m/>
    <m/>
    <m/>
    <n v="41.94"/>
    <b v="0"/>
    <m/>
    <m/>
    <s v="-"/>
    <x v="1721"/>
    <s v="Manual"/>
    <m/>
  </r>
  <r>
    <x v="39"/>
    <d v="2022-04-10T00:00:00"/>
    <s v="Cash Rewards Visa Signature"/>
    <x v="1934"/>
    <n v="20.38"/>
    <x v="8"/>
    <m/>
    <m/>
    <m/>
    <n v="20.38"/>
    <b v="0"/>
    <m/>
    <m/>
    <s v="-"/>
    <x v="1787"/>
    <s v="Manual"/>
    <m/>
  </r>
  <r>
    <x v="39"/>
    <d v="2022-04-10T00:00:00"/>
    <s v="Cash Rewards Visa Signature"/>
    <x v="1939"/>
    <n v="16.48"/>
    <x v="26"/>
    <m/>
    <m/>
    <m/>
    <n v="16.48"/>
    <b v="0"/>
    <m/>
    <m/>
    <s v="-"/>
    <x v="1792"/>
    <s v="Manual"/>
    <m/>
  </r>
  <r>
    <x v="39"/>
    <d v="2022-04-10T00:00:00"/>
    <s v="Cash Rewards Visa Signature"/>
    <x v="579"/>
    <n v="3.52"/>
    <x v="1"/>
    <m/>
    <m/>
    <m/>
    <n v="3.52"/>
    <b v="0"/>
    <m/>
    <m/>
    <s v="-"/>
    <x v="560"/>
    <s v="Create Rule; and Description='Starbucks';Restaurants"/>
    <m/>
  </r>
  <r>
    <x v="39"/>
    <d v="2022-04-10T00:00:00"/>
    <s v="Cash Rewards Visa Signature"/>
    <x v="1940"/>
    <n v="13"/>
    <x v="26"/>
    <m/>
    <m/>
    <m/>
    <n v="13"/>
    <b v="0"/>
    <m/>
    <m/>
    <s v="-"/>
    <x v="1793"/>
    <s v="Manual"/>
    <m/>
  </r>
  <r>
    <x v="39"/>
    <d v="2022-04-10T00:00:00"/>
    <s v="Cash Rewards Visa Signature"/>
    <x v="1941"/>
    <n v="31.91"/>
    <x v="2"/>
    <m/>
    <m/>
    <m/>
    <n v="31.91"/>
    <b v="0"/>
    <m/>
    <m/>
    <s v="-"/>
    <x v="1794"/>
    <s v="Manual"/>
    <m/>
  </r>
  <r>
    <x v="39"/>
    <d v="2022-04-11T00:00:00"/>
    <s v="Cash Rewards Visa Signature"/>
    <x v="1589"/>
    <n v="177.34"/>
    <x v="26"/>
    <m/>
    <m/>
    <m/>
    <n v="177.34"/>
    <b v="0"/>
    <m/>
    <m/>
    <s v="-"/>
    <x v="1487"/>
    <s v="Create Rule; and Description='Ace Hardware';House Maintenance"/>
    <m/>
  </r>
  <r>
    <x v="39"/>
    <d v="2022-04-11T00:00:00"/>
    <s v="Cash Rewards Visa Signature"/>
    <x v="1825"/>
    <n v="41.85"/>
    <x v="26"/>
    <m/>
    <m/>
    <m/>
    <n v="41.85"/>
    <b v="0"/>
    <m/>
    <m/>
    <s v="-"/>
    <x v="1680"/>
    <s v="Manual"/>
    <m/>
  </r>
  <r>
    <x v="39"/>
    <d v="2022-04-11T00:00:00"/>
    <s v="Cash Rewards Visa Signature"/>
    <x v="1942"/>
    <n v="1477.49"/>
    <x v="26"/>
    <m/>
    <m/>
    <m/>
    <n v="1477.49"/>
    <b v="0"/>
    <m/>
    <m/>
    <s v="-"/>
    <x v="1795"/>
    <s v="Manual"/>
    <m/>
  </r>
  <r>
    <x v="39"/>
    <d v="2022-04-11T00:00:00"/>
    <s v="Cash Rewards Visa Signature"/>
    <x v="1943"/>
    <n v="42.9"/>
    <x v="26"/>
    <m/>
    <m/>
    <m/>
    <n v="42.9"/>
    <b v="0"/>
    <m/>
    <m/>
    <s v="-"/>
    <x v="1796"/>
    <s v="Manual"/>
    <m/>
  </r>
  <r>
    <x v="39"/>
    <d v="2022-04-12T00:00:00"/>
    <s v="Cash Rewards Visa Signature"/>
    <x v="1719"/>
    <n v="10.7"/>
    <x v="26"/>
    <m/>
    <m/>
    <m/>
    <n v="10.7"/>
    <b v="0"/>
    <m/>
    <m/>
    <s v="-"/>
    <x v="1596"/>
    <s v="Create Rule; and Description='Michaels';Shopping"/>
    <m/>
  </r>
  <r>
    <x v="39"/>
    <d v="2022-04-12T00:00:00"/>
    <s v="Cash Rewards Visa Signature"/>
    <x v="1944"/>
    <n v="10.75"/>
    <x v="26"/>
    <m/>
    <m/>
    <m/>
    <n v="10.75"/>
    <b v="0"/>
    <m/>
    <m/>
    <s v="-"/>
    <x v="1797"/>
    <s v="Manual"/>
    <m/>
  </r>
  <r>
    <x v="39"/>
    <d v="2022-04-12T00:00:00"/>
    <s v="Cash Rewards Visa Signature"/>
    <x v="1945"/>
    <n v="706.59"/>
    <x v="26"/>
    <m/>
    <m/>
    <m/>
    <n v="706.59"/>
    <b v="0"/>
    <m/>
    <m/>
    <s v="-"/>
    <x v="1798"/>
    <s v="Manual"/>
    <m/>
  </r>
  <r>
    <x v="39"/>
    <d v="2022-04-12T00:00:00"/>
    <s v="POWERPLUS"/>
    <x v="1946"/>
    <n v="150"/>
    <x v="26"/>
    <m/>
    <m/>
    <m/>
    <n v="150"/>
    <b v="0"/>
    <m/>
    <m/>
    <s v="-"/>
    <x v="1619"/>
    <s v="Manual"/>
    <m/>
  </r>
  <r>
    <x v="39"/>
    <d v="2022-04-13T00:00:00"/>
    <s v="Cash Rewards Visa Signature"/>
    <x v="59"/>
    <n v="5.19"/>
    <x v="1"/>
    <m/>
    <m/>
    <m/>
    <n v="5.19"/>
    <b v="0"/>
    <m/>
    <m/>
    <s v="-"/>
    <x v="59"/>
    <s v="Create Rule; and Description Like '%Caribou Coffee%';Restaurants"/>
    <m/>
  </r>
  <r>
    <x v="39"/>
    <d v="2022-04-13T00:00:00"/>
    <s v="Cash Rewards Visa Signature"/>
    <x v="1875"/>
    <n v="45"/>
    <x v="26"/>
    <m/>
    <m/>
    <m/>
    <n v="45"/>
    <b v="0"/>
    <m/>
    <m/>
    <s v="-"/>
    <x v="1728"/>
    <s v="Manual"/>
    <m/>
  </r>
  <r>
    <x v="39"/>
    <d v="2022-04-13T00:00:00"/>
    <s v="Cash Rewards Visa Signature"/>
    <x v="1947"/>
    <n v="31.75"/>
    <x v="26"/>
    <m/>
    <m/>
    <m/>
    <n v="31.75"/>
    <b v="0"/>
    <m/>
    <m/>
    <s v="-"/>
    <x v="1799"/>
    <s v="Create Rule; and Description Like '%Domino%';Restaurants"/>
    <m/>
  </r>
  <r>
    <x v="39"/>
    <d v="2022-04-13T00:00:00"/>
    <s v="Cash Rewards Visa Signature"/>
    <x v="1948"/>
    <n v="702"/>
    <x v="26"/>
    <m/>
    <m/>
    <m/>
    <n v="702"/>
    <b v="0"/>
    <m/>
    <m/>
    <s v="-"/>
    <x v="1800"/>
    <s v="Create Rule; and Description Like '%EVEREVE%';Shopping"/>
    <m/>
  </r>
  <r>
    <x v="39"/>
    <d v="2022-04-13T00:00:00"/>
    <s v="POWERPLUS"/>
    <x v="1829"/>
    <n v="536.29999999999995"/>
    <x v="26"/>
    <m/>
    <m/>
    <m/>
    <n v="536.29999999999995"/>
    <b v="0"/>
    <m/>
    <m/>
    <s v="-"/>
    <x v="1684"/>
    <s v="Create Rule; and Description Like '%MHCHILDCARELLC%';Day Care"/>
    <m/>
  </r>
  <r>
    <x v="39"/>
    <d v="2022-04-13T00:00:00"/>
    <s v="POWERPLUS"/>
    <x v="1836"/>
    <n v="-3441.21"/>
    <x v="26"/>
    <m/>
    <m/>
    <m/>
    <n v="-3441.21"/>
    <b v="0"/>
    <m/>
    <m/>
    <s v="+"/>
    <x v="1691"/>
    <s v="Manual"/>
    <m/>
  </r>
  <r>
    <x v="39"/>
    <d v="2022-04-13T00:00:00"/>
    <s v="POWERPLUS"/>
    <x v="1817"/>
    <n v="2945.83"/>
    <x v="26"/>
    <m/>
    <m/>
    <m/>
    <n v="2945.83"/>
    <b v="0"/>
    <m/>
    <m/>
    <s v="-"/>
    <x v="1672"/>
    <s v="Create Rule; and Description='Withdrawal Home Pmt to card XX91';Delete"/>
    <m/>
  </r>
  <r>
    <x v="39"/>
    <d v="2022-04-13T00:00:00"/>
    <s v="Cash Rewards Visa Signature"/>
    <x v="1879"/>
    <n v="-2945.83"/>
    <x v="3"/>
    <m/>
    <m/>
    <m/>
    <n v="-2945.83"/>
    <b v="0"/>
    <m/>
    <m/>
    <s v="+"/>
    <x v="1732"/>
    <s v="Create Rule; and Description='Credit Card Payment Received';Delete"/>
    <m/>
  </r>
  <r>
    <x v="39"/>
    <d v="2022-04-14T00:00:00"/>
    <s v="POWERPLUS"/>
    <x v="48"/>
    <n v="102.49"/>
    <x v="16"/>
    <m/>
    <m/>
    <m/>
    <n v="102.49"/>
    <b v="0"/>
    <m/>
    <m/>
    <s v="-"/>
    <x v="48"/>
    <s v="Create Rule; and Description='American Family Insurance';Insurance"/>
    <m/>
  </r>
  <r>
    <x v="39"/>
    <d v="2022-04-14T00:00:00"/>
    <s v="POWERPLUS"/>
    <x v="1893"/>
    <n v="-2448.73"/>
    <x v="34"/>
    <m/>
    <m/>
    <m/>
    <n v="-2448.73"/>
    <b v="0"/>
    <m/>
    <m/>
    <s v="+"/>
    <x v="1746"/>
    <s v="Manual"/>
    <m/>
  </r>
  <r>
    <x v="39"/>
    <d v="2022-04-14T00:00:00"/>
    <s v="POWERPLUS"/>
    <x v="1949"/>
    <n v="2000"/>
    <x v="26"/>
    <m/>
    <m/>
    <m/>
    <n v="2000"/>
    <b v="0"/>
    <m/>
    <m/>
    <s v="-"/>
    <x v="1801"/>
    <s v="Manual"/>
    <m/>
  </r>
  <r>
    <x v="39"/>
    <d v="2022-04-15T00:00:00"/>
    <s v="DISCOVER MORE CARD"/>
    <x v="1950"/>
    <n v="8.5"/>
    <x v="26"/>
    <m/>
    <m/>
    <m/>
    <n v="8.5"/>
    <b v="0"/>
    <m/>
    <m/>
    <s v="-"/>
    <x v="1802"/>
    <s v="Manual"/>
    <m/>
  </r>
  <r>
    <x v="39"/>
    <d v="2022-04-15T00:00:00"/>
    <s v="POWERPLUS"/>
    <x v="1817"/>
    <n v="783.94"/>
    <x v="26"/>
    <m/>
    <m/>
    <m/>
    <n v="783.94"/>
    <b v="0"/>
    <m/>
    <m/>
    <s v="-"/>
    <x v="1672"/>
    <s v="Create Rule; and Description='Withdrawal Home Pmt to card XX91';Delete"/>
    <m/>
  </r>
  <r>
    <x v="39"/>
    <d v="2022-04-15T00:00:00"/>
    <s v="Cash Rewards Visa Signature"/>
    <x v="1879"/>
    <n v="-783.94"/>
    <x v="3"/>
    <m/>
    <m/>
    <m/>
    <n v="-783.94"/>
    <b v="0"/>
    <m/>
    <m/>
    <s v="+"/>
    <x v="1732"/>
    <s v="Create Rule; and Description='Credit Card Payment Received';Delete"/>
    <m/>
  </r>
  <r>
    <x v="39"/>
    <d v="2022-04-17T00:00:00"/>
    <s v="Cash Rewards Visa Signature"/>
    <x v="6"/>
    <n v="66.09"/>
    <x v="5"/>
    <m/>
    <m/>
    <m/>
    <n v="66.09"/>
    <b v="0"/>
    <m/>
    <m/>
    <s v="-"/>
    <x v="6"/>
    <s v="Create Rule; and Description Like '%Cub Foods%';Groceries"/>
    <m/>
  </r>
  <r>
    <x v="39"/>
    <d v="2022-04-17T00:00:00"/>
    <s v="Cash Rewards Visa Signature"/>
    <x v="823"/>
    <n v="53.11"/>
    <x v="2"/>
    <m/>
    <m/>
    <m/>
    <n v="53.11"/>
    <b v="0"/>
    <m/>
    <m/>
    <s v="-"/>
    <x v="792"/>
    <s v="Create Rule; and Description='Kwik Trip';Transportation"/>
    <m/>
  </r>
  <r>
    <x v="39"/>
    <d v="2022-04-17T00:00:00"/>
    <s v="Cash Rewards Visa Signature"/>
    <x v="1828"/>
    <n v="7.1"/>
    <x v="26"/>
    <m/>
    <m/>
    <m/>
    <n v="7.1"/>
    <b v="0"/>
    <m/>
    <m/>
    <s v="-"/>
    <x v="1683"/>
    <s v="Manual"/>
    <m/>
  </r>
  <r>
    <x v="39"/>
    <d v="2022-04-17T00:00:00"/>
    <s v="Cash Rewards Visa Signature"/>
    <x v="1828"/>
    <n v="26.61"/>
    <x v="26"/>
    <m/>
    <m/>
    <m/>
    <n v="26.61"/>
    <b v="0"/>
    <m/>
    <m/>
    <s v="-"/>
    <x v="1683"/>
    <s v="Manual"/>
    <m/>
  </r>
  <r>
    <x v="39"/>
    <d v="2022-04-17T00:00:00"/>
    <s v="Cash Rewards Visa Signature"/>
    <x v="1719"/>
    <n v="-4.68"/>
    <x v="26"/>
    <m/>
    <m/>
    <m/>
    <n v="-4.68"/>
    <b v="0"/>
    <m/>
    <m/>
    <s v="+"/>
    <x v="1596"/>
    <s v="Create Rule; and Description='Michaels';Shopping"/>
    <m/>
  </r>
  <r>
    <x v="39"/>
    <d v="2022-04-17T00:00:00"/>
    <s v="Cash Rewards Visa Signature"/>
    <x v="1898"/>
    <n v="74.56"/>
    <x v="1"/>
    <m/>
    <m/>
    <m/>
    <n v="74.56"/>
    <b v="0"/>
    <m/>
    <m/>
    <s v="-"/>
    <x v="1751"/>
    <s v="Create Rule; and Description='North Coop';Restaurants"/>
    <m/>
  </r>
  <r>
    <x v="39"/>
    <d v="2022-04-17T00:00:00"/>
    <s v="Cash Rewards Visa Signature"/>
    <x v="1674"/>
    <n v="96.86"/>
    <x v="1"/>
    <m/>
    <m/>
    <m/>
    <n v="96.86"/>
    <b v="0"/>
    <m/>
    <m/>
    <s v="-"/>
    <x v="1556"/>
    <s v="Create Rule; and Description='Olives';Restaurants"/>
    <m/>
  </r>
  <r>
    <x v="39"/>
    <d v="2022-04-18T00:00:00"/>
    <s v="DISCOVER MORE CARD"/>
    <x v="1400"/>
    <n v="29"/>
    <x v="28"/>
    <m/>
    <m/>
    <m/>
    <n v="29"/>
    <b v="0"/>
    <m/>
    <m/>
    <s v="-"/>
    <x v="1319"/>
    <s v="Manual"/>
    <m/>
  </r>
  <r>
    <x v="39"/>
    <d v="2022-04-18T00:00:00"/>
    <s v="POWERPLUS"/>
    <x v="1816"/>
    <n v="200"/>
    <x v="26"/>
    <m/>
    <m/>
    <m/>
    <n v="200"/>
    <b v="0"/>
    <m/>
    <m/>
    <s v="-"/>
    <x v="1671"/>
    <s v="Create Rule; and Description Like '%MN DIR ACH%';Delete"/>
    <m/>
  </r>
  <r>
    <x v="39"/>
    <d v="2022-04-18T00:00:00"/>
    <s v="Cash Rewards Visa Signature"/>
    <x v="1951"/>
    <n v="19.989999999999998"/>
    <x v="26"/>
    <m/>
    <m/>
    <m/>
    <n v="19.989999999999998"/>
    <b v="0"/>
    <m/>
    <m/>
    <s v="-"/>
    <x v="1803"/>
    <s v="Create Rule; and Description='Reservationscom';Restaurants"/>
    <m/>
  </r>
  <r>
    <x v="39"/>
    <d v="2022-04-18T00:00:00"/>
    <s v="Cash Rewards Visa Signature"/>
    <x v="1951"/>
    <n v="216.96"/>
    <x v="26"/>
    <m/>
    <m/>
    <m/>
    <n v="216.96"/>
    <b v="0"/>
    <m/>
    <m/>
    <s v="-"/>
    <x v="1803"/>
    <s v="Create Rule; and Description='Reservationscom';Restaurants"/>
    <m/>
  </r>
  <r>
    <x v="39"/>
    <d v="2022-04-18T00:00:00"/>
    <s v="Cash Rewards Visa Signature"/>
    <x v="1952"/>
    <n v="50"/>
    <x v="26"/>
    <m/>
    <m/>
    <m/>
    <n v="50"/>
    <b v="0"/>
    <m/>
    <m/>
    <s v="-"/>
    <x v="1804"/>
    <s v="Manual"/>
    <m/>
  </r>
  <r>
    <x v="39"/>
    <d v="2022-04-18T00:00:00"/>
    <s v="POWERPLUS"/>
    <x v="1849"/>
    <n v="6.47"/>
    <x v="8"/>
    <m/>
    <m/>
    <m/>
    <n v="6.47"/>
    <b v="0"/>
    <m/>
    <m/>
    <s v="-"/>
    <x v="1704"/>
    <s v="Create Rule; and Description Like '%PayPal%';Shopping"/>
    <m/>
  </r>
  <r>
    <x v="39"/>
    <d v="2022-04-19T00:00:00"/>
    <s v="Cash Rewards Visa Signature"/>
    <x v="1953"/>
    <n v="256.97000000000003"/>
    <x v="26"/>
    <m/>
    <m/>
    <m/>
    <n v="256.97000000000003"/>
    <b v="0"/>
    <m/>
    <m/>
    <s v="-"/>
    <x v="1805"/>
    <s v="Manual"/>
    <m/>
  </r>
  <r>
    <x v="39"/>
    <d v="2022-04-19T00:00:00"/>
    <s v="POWERPLUS"/>
    <x v="1827"/>
    <n v="46.62"/>
    <x v="8"/>
    <m/>
    <m/>
    <m/>
    <n v="46.62"/>
    <b v="0"/>
    <m/>
    <m/>
    <s v="-"/>
    <x v="1682"/>
    <s v="Manual"/>
    <m/>
  </r>
  <r>
    <x v="39"/>
    <d v="2022-04-19T00:00:00"/>
    <s v="Cash Rewards Visa Signature"/>
    <x v="1954"/>
    <n v="36"/>
    <x v="26"/>
    <m/>
    <m/>
    <m/>
    <n v="36"/>
    <b v="0"/>
    <m/>
    <m/>
    <s v="-"/>
    <x v="1806"/>
    <s v="Create Rule; and Description='Vineyards';Shopping"/>
    <m/>
  </r>
  <r>
    <x v="39"/>
    <d v="2022-04-20T00:00:00"/>
    <s v="POWERPLUS"/>
    <x v="1827"/>
    <n v="80.37"/>
    <x v="8"/>
    <m/>
    <m/>
    <m/>
    <n v="80.37"/>
    <b v="0"/>
    <m/>
    <m/>
    <s v="-"/>
    <x v="1682"/>
    <s v="Manual"/>
    <m/>
  </r>
  <r>
    <x v="39"/>
    <d v="2022-04-21T00:00:00"/>
    <s v="Cash Rewards Visa Signature"/>
    <x v="1896"/>
    <n v="9"/>
    <x v="26"/>
    <m/>
    <m/>
    <m/>
    <n v="9"/>
    <b v="0"/>
    <m/>
    <m/>
    <s v="-"/>
    <x v="1749"/>
    <s v="Create Rule; and Description Like '%BONFES%';House Maintenance"/>
    <m/>
  </r>
  <r>
    <x v="39"/>
    <d v="2022-04-21T00:00:00"/>
    <s v="POWERPLUS"/>
    <x v="1826"/>
    <n v="47.22"/>
    <x v="26"/>
    <m/>
    <m/>
    <m/>
    <n v="47.22"/>
    <b v="0"/>
    <m/>
    <m/>
    <s v="-"/>
    <x v="1681"/>
    <s v="Manual"/>
    <m/>
  </r>
  <r>
    <x v="39"/>
    <d v="2022-04-21T00:00:00"/>
    <s v="POWERPLUS"/>
    <x v="1829"/>
    <n v="536.29999999999995"/>
    <x v="26"/>
    <m/>
    <m/>
    <m/>
    <n v="536.29999999999995"/>
    <b v="0"/>
    <m/>
    <m/>
    <s v="-"/>
    <x v="1684"/>
    <s v="Create Rule; and Description Like '%MHCHILDCARELLC%';Day Care"/>
    <m/>
  </r>
  <r>
    <x v="39"/>
    <d v="2022-04-21T00:00:00"/>
    <s v="Cash Rewards Visa Signature"/>
    <x v="1928"/>
    <n v="27.65"/>
    <x v="26"/>
    <m/>
    <m/>
    <m/>
    <n v="27.65"/>
    <b v="0"/>
    <m/>
    <m/>
    <s v="-"/>
    <x v="1781"/>
    <s v="Create Rule; and Description='Noodles  Company';Restaurants"/>
    <m/>
  </r>
  <r>
    <x v="39"/>
    <d v="2022-04-21T00:00:00"/>
    <s v="POWERPLUS"/>
    <x v="1849"/>
    <n v="14.03"/>
    <x v="8"/>
    <m/>
    <m/>
    <m/>
    <n v="14.03"/>
    <b v="0"/>
    <m/>
    <m/>
    <s v="-"/>
    <x v="1704"/>
    <s v="Create Rule; and Description Like '%PayPal%';Shopping"/>
    <m/>
  </r>
  <r>
    <x v="39"/>
    <d v="2022-04-22T00:00:00"/>
    <s v="Cash Rewards Visa Signature"/>
    <x v="1955"/>
    <n v="5.26"/>
    <x v="1"/>
    <m/>
    <m/>
    <m/>
    <n v="5.26"/>
    <b v="0"/>
    <m/>
    <m/>
    <s v="-"/>
    <x v="1807"/>
    <s v="Create Rule; and Description='Chipotle Mexican Grill';Restaurants"/>
    <m/>
  </r>
  <r>
    <x v="39"/>
    <d v="2022-04-22T00:00:00"/>
    <s v="Cash Rewards Visa Signature"/>
    <x v="1922"/>
    <n v="-150"/>
    <x v="10"/>
    <m/>
    <m/>
    <m/>
    <n v="-150"/>
    <b v="0"/>
    <m/>
    <m/>
    <s v="+"/>
    <x v="1775"/>
    <s v="Manual"/>
    <m/>
  </r>
  <r>
    <x v="39"/>
    <d v="2022-04-22T00:00:00"/>
    <s v="POWERPLUS"/>
    <x v="1827"/>
    <n v="125"/>
    <x v="8"/>
    <m/>
    <m/>
    <m/>
    <n v="125"/>
    <b v="0"/>
    <m/>
    <m/>
    <s v="-"/>
    <x v="1682"/>
    <s v="Manual"/>
    <m/>
  </r>
  <r>
    <x v="39"/>
    <d v="2022-04-23T00:00:00"/>
    <s v="DISCOVER MORE CARD"/>
    <x v="1956"/>
    <n v="60.49"/>
    <x v="26"/>
    <m/>
    <m/>
    <m/>
    <n v="60.49"/>
    <b v="0"/>
    <m/>
    <m/>
    <s v="-"/>
    <x v="1808"/>
    <s v="Manual"/>
    <m/>
  </r>
  <r>
    <x v="39"/>
    <d v="2022-04-23T00:00:00"/>
    <s v="RAINY DAY"/>
    <x v="976"/>
    <n v="-100"/>
    <x v="26"/>
    <m/>
    <m/>
    <m/>
    <n v="-100"/>
    <b v="0"/>
    <m/>
    <m/>
    <s v="+"/>
    <x v="936"/>
    <s v="Create Rule; and Description='From Share 70';Delete"/>
    <m/>
  </r>
  <r>
    <x v="39"/>
    <d v="2022-04-23T00:00:00"/>
    <s v="DISCOVER MORE CARD"/>
    <x v="1412"/>
    <n v="2.0099999999999998"/>
    <x v="28"/>
    <m/>
    <m/>
    <m/>
    <n v="2.0099999999999998"/>
    <b v="0"/>
    <m/>
    <m/>
    <s v="-"/>
    <x v="1330"/>
    <s v="Manual"/>
    <m/>
  </r>
  <r>
    <x v="39"/>
    <d v="2022-04-23T00:00:00"/>
    <s v="POWERPLUS"/>
    <x v="952"/>
    <n v="100"/>
    <x v="26"/>
    <m/>
    <m/>
    <m/>
    <n v="100"/>
    <b v="0"/>
    <m/>
    <m/>
    <s v="-"/>
    <x v="915"/>
    <s v="Create Rule; and Description='To Share 12';Delete"/>
    <m/>
  </r>
  <r>
    <x v="39"/>
    <d v="2022-04-24T00:00:00"/>
    <s v="Cash Rewards Visa Signature"/>
    <x v="1336"/>
    <n v="14.69"/>
    <x v="1"/>
    <m/>
    <m/>
    <m/>
    <n v="14.69"/>
    <b v="0"/>
    <m/>
    <m/>
    <s v="-"/>
    <x v="1263"/>
    <s v="Manual"/>
    <m/>
  </r>
  <r>
    <x v="39"/>
    <d v="2022-04-24T00:00:00"/>
    <s v="Cash Rewards Visa Signature"/>
    <x v="1336"/>
    <n v="15.76"/>
    <x v="1"/>
    <m/>
    <m/>
    <m/>
    <n v="15.76"/>
    <b v="0"/>
    <m/>
    <m/>
    <s v="-"/>
    <x v="1263"/>
    <s v="Manual"/>
    <m/>
  </r>
  <r>
    <x v="39"/>
    <d v="2022-04-24T00:00:00"/>
    <s v="Cash Rewards Visa Signature"/>
    <x v="1881"/>
    <n v="62.85"/>
    <x v="5"/>
    <m/>
    <m/>
    <m/>
    <n v="62.85"/>
    <b v="0"/>
    <m/>
    <m/>
    <s v="-"/>
    <x v="1734"/>
    <s v="Create Rule; and Description='Holiday Stationstores';Transportation"/>
    <m/>
  </r>
  <r>
    <x v="39"/>
    <d v="2022-04-24T00:00:00"/>
    <s v="Cash Rewards Visa Signature"/>
    <x v="1770"/>
    <n v="21.96"/>
    <x v="26"/>
    <m/>
    <m/>
    <m/>
    <n v="21.96"/>
    <b v="0"/>
    <m/>
    <m/>
    <s v="-"/>
    <x v="1633"/>
    <s v="Create Rule; and Description='TAZA CHANHASSEN MN TAZA CHANHASSEN MN';Restaurants"/>
    <m/>
  </r>
  <r>
    <x v="39"/>
    <d v="2022-04-24T00:00:00"/>
    <s v="DISCOVER MORE CARD"/>
    <x v="1957"/>
    <n v="38.6"/>
    <x v="26"/>
    <m/>
    <m/>
    <m/>
    <n v="38.6"/>
    <b v="0"/>
    <m/>
    <m/>
    <s v="-"/>
    <x v="1809"/>
    <s v="Manual"/>
    <m/>
  </r>
  <r>
    <x v="39"/>
    <d v="2022-04-25T00:00:00"/>
    <s v="POWERPLUS"/>
    <x v="1328"/>
    <n v="699.34"/>
    <x v="26"/>
    <m/>
    <m/>
    <m/>
    <n v="699.34"/>
    <b v="0"/>
    <m/>
    <m/>
    <s v="-"/>
    <x v="1255"/>
    <s v="Create Rule; and Description='Banana Republic';Shopping"/>
    <m/>
  </r>
  <r>
    <x v="39"/>
    <d v="2022-04-25T00:00:00"/>
    <s v="Cash Rewards Visa Signature"/>
    <x v="1958"/>
    <n v="39.5"/>
    <x v="26"/>
    <m/>
    <m/>
    <m/>
    <n v="39.5"/>
    <b v="0"/>
    <m/>
    <m/>
    <s v="-"/>
    <x v="1810"/>
    <s v="Create Rule; and Description='Country Club Lanes';Entertainment"/>
    <m/>
  </r>
  <r>
    <x v="39"/>
    <d v="2022-04-25T00:00:00"/>
    <s v="Cash Rewards Visa Signature"/>
    <x v="6"/>
    <n v="71.2"/>
    <x v="5"/>
    <m/>
    <m/>
    <m/>
    <n v="71.2"/>
    <b v="0"/>
    <m/>
    <m/>
    <s v="-"/>
    <x v="6"/>
    <s v="Create Rule; and Description Like '%Cub Foods%';Groceries"/>
    <m/>
  </r>
  <r>
    <x v="39"/>
    <d v="2022-04-25T00:00:00"/>
    <s v="POWERPLUS"/>
    <x v="308"/>
    <n v="200"/>
    <x v="8"/>
    <m/>
    <m/>
    <m/>
    <n v="200"/>
    <b v="0"/>
    <m/>
    <m/>
    <s v="-"/>
    <x v="300"/>
    <s v="Create Rule; and Description='Nordstrom';Shopping"/>
    <m/>
  </r>
  <r>
    <x v="39"/>
    <d v="2022-04-25T00:00:00"/>
    <s v="Cash Rewards Visa Signature"/>
    <x v="1677"/>
    <n v="71.099999999999994"/>
    <x v="26"/>
    <m/>
    <m/>
    <m/>
    <n v="71.099999999999994"/>
    <b v="0"/>
    <m/>
    <m/>
    <s v="-"/>
    <x v="1559"/>
    <s v="Create Rule; and Description='Rey Azteca Mexican Restaurant';Restaurants"/>
    <m/>
  </r>
  <r>
    <x v="39"/>
    <d v="2022-04-25T00:00:00"/>
    <s v="POWERPLUS"/>
    <x v="34"/>
    <n v="164.51"/>
    <x v="12"/>
    <m/>
    <m/>
    <m/>
    <n v="164.51"/>
    <b v="0"/>
    <m/>
    <m/>
    <s v="-"/>
    <x v="34"/>
    <s v="Create Rule; and Description='Target';Target"/>
    <m/>
  </r>
  <r>
    <x v="39"/>
    <d v="2022-04-25T00:00:00"/>
    <s v="POWERPLUS"/>
    <x v="1959"/>
    <n v="-8000"/>
    <x v="26"/>
    <m/>
    <m/>
    <m/>
    <n v="-8000"/>
    <b v="0"/>
    <m/>
    <m/>
    <s v="+"/>
    <x v="1811"/>
    <s v="Manual"/>
    <m/>
  </r>
  <r>
    <x v="39"/>
    <d v="2022-04-26T00:00:00"/>
    <s v="Cash Rewards Visa Signature"/>
    <x v="0"/>
    <n v="29.35"/>
    <x v="0"/>
    <m/>
    <m/>
    <m/>
    <n v="29.35"/>
    <b v="0"/>
    <m/>
    <m/>
    <s v="-"/>
    <x v="0"/>
    <s v="Create Rule; and Description='Amazon';Amazon"/>
    <m/>
  </r>
  <r>
    <x v="39"/>
    <d v="2022-04-26T00:00:00"/>
    <s v="POWERPLUS"/>
    <x v="35"/>
    <n v="-93"/>
    <x v="26"/>
    <m/>
    <m/>
    <m/>
    <n v="-93"/>
    <b v="0"/>
    <m/>
    <m/>
    <s v="+"/>
    <x v="35"/>
    <s v="Create Rule; and Description='Cargill Incorpor Type';Inc - Other"/>
    <m/>
  </r>
  <r>
    <x v="39"/>
    <d v="2022-04-26T00:00:00"/>
    <s v="Cash Rewards Visa Signature"/>
    <x v="1960"/>
    <n v="23"/>
    <x v="26"/>
    <m/>
    <m/>
    <m/>
    <n v="23"/>
    <b v="0"/>
    <m/>
    <m/>
    <s v="-"/>
    <x v="1812"/>
    <s v="Manual"/>
    <m/>
  </r>
  <r>
    <x v="39"/>
    <d v="2022-04-26T00:00:00"/>
    <s v="POWERPLUS CHECKING"/>
    <x v="1065"/>
    <n v="-150"/>
    <x v="3"/>
    <m/>
    <m/>
    <m/>
    <n v="-150"/>
    <b v="0"/>
    <m/>
    <m/>
    <s v="+"/>
    <x v="1015"/>
    <s v="Manual"/>
    <m/>
  </r>
  <r>
    <x v="39"/>
    <d v="2022-04-26T00:00:00"/>
    <s v="POWERPLUS"/>
    <x v="1321"/>
    <n v="536.29999999999995"/>
    <x v="26"/>
    <m/>
    <m/>
    <m/>
    <n v="536.29999999999995"/>
    <b v="0"/>
    <m/>
    <m/>
    <s v="-"/>
    <x v="1249"/>
    <s v="Create Rule; and Description Like '%MHCHILDCARELLC%';Day Care"/>
    <m/>
  </r>
  <r>
    <x v="39"/>
    <d v="2022-04-26T00:00:00"/>
    <s v="DISCOVER MORE CARD"/>
    <x v="1833"/>
    <n v="9.99"/>
    <x v="26"/>
    <m/>
    <m/>
    <m/>
    <n v="9.99"/>
    <b v="0"/>
    <m/>
    <m/>
    <s v="-"/>
    <x v="1688"/>
    <s v="Create Rule; and Description Like '%Netflix%';Utilities"/>
    <m/>
  </r>
  <r>
    <x v="39"/>
    <d v="2022-04-27T00:00:00"/>
    <s v="Cash Rewards Visa Signature"/>
    <x v="750"/>
    <n v="122.09"/>
    <x v="25"/>
    <m/>
    <m/>
    <m/>
    <n v="122.09"/>
    <b v="0"/>
    <m/>
    <m/>
    <s v="-"/>
    <x v="723"/>
    <s v="Create Rule; and Description='South Lake Pediatrics';Healthcare"/>
    <m/>
  </r>
  <r>
    <x v="39"/>
    <d v="2022-04-27T00:00:00"/>
    <s v="POWERPLUS"/>
    <x v="1961"/>
    <n v="-3491.21"/>
    <x v="26"/>
    <m/>
    <m/>
    <m/>
    <n v="-3491.21"/>
    <b v="0"/>
    <m/>
    <m/>
    <s v="+"/>
    <x v="1526"/>
    <s v="Manual"/>
    <m/>
  </r>
  <r>
    <x v="39"/>
    <d v="2022-04-28T00:00:00"/>
    <s v="POWERPLUS"/>
    <x v="1962"/>
    <n v="-2448.7199999999998"/>
    <x v="26"/>
    <m/>
    <m/>
    <m/>
    <n v="-2448.7199999999998"/>
    <b v="0"/>
    <m/>
    <m/>
    <s v="+"/>
    <x v="1256"/>
    <s v="Create Rule; and Description Like '%Cargill Inc Deposit CARGILL INCORPOR TYPE DIRECT DEP ID CO CARGILL INCORPOR ACH%';Inc - Britney"/>
    <m/>
  </r>
  <r>
    <x v="39"/>
    <d v="2022-04-28T00:00:00"/>
    <s v="Cash Rewards Visa Signature"/>
    <x v="1963"/>
    <n v="23.42"/>
    <x v="26"/>
    <m/>
    <m/>
    <m/>
    <n v="23.42"/>
    <b v="0"/>
    <m/>
    <m/>
    <s v="-"/>
    <x v="1813"/>
    <s v="Manual"/>
    <m/>
  </r>
  <r>
    <x v="39"/>
    <d v="2022-04-28T00:00:00"/>
    <s v="POWERPLUS"/>
    <x v="157"/>
    <n v="0.99"/>
    <x v="8"/>
    <m/>
    <m/>
    <m/>
    <n v="0.99"/>
    <b v="0"/>
    <m/>
    <m/>
    <s v="-"/>
    <x v="156"/>
    <s v="Create Rule; and Description Like '%PayPal%';Shopping"/>
    <m/>
  </r>
  <r>
    <x v="39"/>
    <d v="2022-04-28T00:00:00"/>
    <s v="POWERPLUS"/>
    <x v="1964"/>
    <n v="8000"/>
    <x v="26"/>
    <m/>
    <m/>
    <m/>
    <n v="8000"/>
    <b v="0"/>
    <m/>
    <m/>
    <s v="-"/>
    <x v="1814"/>
    <s v="Manual"/>
    <m/>
  </r>
  <r>
    <x v="39"/>
    <d v="2022-04-29T00:00:00"/>
    <s v="Cash Rewards Visa Signature"/>
    <x v="1965"/>
    <n v="257.99"/>
    <x v="26"/>
    <m/>
    <m/>
    <m/>
    <n v="257.99"/>
    <b v="0"/>
    <m/>
    <m/>
    <s v="-"/>
    <x v="1815"/>
    <s v="Create Rule; and Description Like '%EVEREVE%';Shopping"/>
    <m/>
  </r>
  <r>
    <x v="39"/>
    <d v="2022-04-29T00:00:00"/>
    <s v="Cash Rewards Visa Signature"/>
    <x v="1966"/>
    <n v="137.79"/>
    <x v="26"/>
    <m/>
    <m/>
    <m/>
    <n v="137.79"/>
    <b v="0"/>
    <m/>
    <m/>
    <s v="-"/>
    <x v="1816"/>
    <s v="Create Rule; and Description like '%Byerly%';Groceries"/>
    <m/>
  </r>
  <r>
    <x v="39"/>
    <d v="2022-04-29T00:00:00"/>
    <s v="POWERPLUS"/>
    <x v="1849"/>
    <n v="0.99"/>
    <x v="8"/>
    <m/>
    <m/>
    <m/>
    <n v="0.99"/>
    <b v="0"/>
    <m/>
    <m/>
    <s v="-"/>
    <x v="1704"/>
    <s v="Create Rule; and Description Like '%PayPal%';Shopping"/>
    <m/>
  </r>
  <r>
    <x v="39"/>
    <d v="2022-04-29T00:00:00"/>
    <s v="POWERPLUS"/>
    <x v="1817"/>
    <n v="1302.1600000000001"/>
    <x v="26"/>
    <m/>
    <m/>
    <m/>
    <n v="1302.1600000000001"/>
    <b v="0"/>
    <m/>
    <m/>
    <s v="-"/>
    <x v="1672"/>
    <s v="Create Rule; and Description='Withdrawal Home Pmt to card XX91';Delete"/>
    <m/>
  </r>
  <r>
    <x v="39"/>
    <d v="2022-04-29T00:00:00"/>
    <s v="Cash Rewards Visa Signature"/>
    <x v="1879"/>
    <n v="-1302.1600000000001"/>
    <x v="3"/>
    <m/>
    <m/>
    <m/>
    <n v="-1302.1600000000001"/>
    <b v="0"/>
    <m/>
    <m/>
    <s v="+"/>
    <x v="1732"/>
    <s v="Create Rule; and Description='Credit Card Payment Received';Delete"/>
    <m/>
  </r>
  <r>
    <x v="39"/>
    <d v="2022-04-29T00:00:00"/>
    <s v="POWERPLUS"/>
    <x v="1814"/>
    <n v="253.41"/>
    <x v="26"/>
    <m/>
    <m/>
    <m/>
    <n v="253.41"/>
    <b v="0"/>
    <m/>
    <m/>
    <s v="-"/>
    <x v="1669"/>
    <s v="Create Rule; and Description Like '%Payment to Nordstrom%';Shopping"/>
    <m/>
  </r>
  <r>
    <x v="39"/>
    <d v="2022-04-30T00:00:00"/>
    <s v="Cash Rewards Visa Signature"/>
    <x v="1967"/>
    <n v="17.170000000000002"/>
    <x v="26"/>
    <m/>
    <m/>
    <m/>
    <n v="17.170000000000002"/>
    <b v="0"/>
    <m/>
    <m/>
    <s v="-"/>
    <x v="1817"/>
    <s v="Create Rule; and Description Like '%AMZN Mktp%';Amazon"/>
    <m/>
  </r>
  <r>
    <x v="39"/>
    <d v="2022-04-30T00:00:00"/>
    <s v="Cash Rewards Visa Signature"/>
    <x v="1915"/>
    <n v="-457"/>
    <x v="8"/>
    <m/>
    <m/>
    <m/>
    <n v="-457"/>
    <b v="0"/>
    <m/>
    <m/>
    <s v="+"/>
    <x v="1768"/>
    <s v="Create Rule; and Description='Evereve';Shopping"/>
    <m/>
  </r>
  <r>
    <x v="39"/>
    <d v="2022-04-30T00:00:00"/>
    <s v="RAINY DAY"/>
    <x v="1916"/>
    <n v="-14.05"/>
    <x v="26"/>
    <m/>
    <m/>
    <m/>
    <n v="-14.05"/>
    <b v="0"/>
    <m/>
    <m/>
    <s v="+"/>
    <x v="1769"/>
    <s v="Manual"/>
    <m/>
  </r>
  <r>
    <x v="39"/>
    <d v="2022-04-30T00:00:00"/>
    <s v="POWERPLUS"/>
    <x v="1916"/>
    <n v="-22.93"/>
    <x v="26"/>
    <m/>
    <m/>
    <m/>
    <n v="-22.93"/>
    <b v="0"/>
    <m/>
    <m/>
    <s v="+"/>
    <x v="1769"/>
    <s v="Manual"/>
    <m/>
  </r>
  <r>
    <x v="39"/>
    <d v="2022-04-30T00:00:00"/>
    <s v="Manual"/>
    <x v="1850"/>
    <n v="250"/>
    <x v="33"/>
    <e v="#N/A"/>
    <s v="Exp - Cleaning"/>
    <m/>
    <m/>
    <m/>
    <m/>
    <m/>
    <m/>
    <x v="1705"/>
    <m/>
    <m/>
  </r>
  <r>
    <x v="40"/>
    <d v="2022-05-01T00:00:00"/>
    <s v="DISCOVER MORE CARD"/>
    <x v="1968"/>
    <n v="4.28"/>
    <x v="35"/>
    <s v="Entertainment"/>
    <s v="Exp - Entertainment"/>
    <m/>
    <n v="4.28"/>
    <m/>
    <m/>
    <s v="debit"/>
    <m/>
    <x v="1818"/>
    <m/>
    <m/>
  </r>
  <r>
    <x v="40"/>
    <d v="2022-05-01T00:00:00"/>
    <s v="HIGHLANDER"/>
    <x v="976"/>
    <n v="-597.41"/>
    <x v="3"/>
    <s v="Car Loan"/>
    <s v="Delete"/>
    <m/>
    <n v="597.41"/>
    <m/>
    <m/>
    <s v="credit"/>
    <m/>
    <x v="936"/>
    <m/>
    <m/>
  </r>
  <r>
    <x v="40"/>
    <d v="2022-05-01T00:00:00"/>
    <s v="POWERPLUS"/>
    <x v="979"/>
    <n v="618.65"/>
    <x v="26"/>
    <s v="Car Loan"/>
    <m/>
    <m/>
    <n v="618.65"/>
    <m/>
    <m/>
    <s v="debit"/>
    <m/>
    <x v="939"/>
    <m/>
    <m/>
  </r>
  <r>
    <x v="40"/>
    <d v="2022-05-02T00:00:00"/>
    <s v="Cash Rewards Visa Signature"/>
    <x v="1589"/>
    <n v="44.22"/>
    <x v="26"/>
    <s v="House Maintenance"/>
    <m/>
    <m/>
    <n v="44.22"/>
    <m/>
    <m/>
    <s v="debit"/>
    <m/>
    <x v="1487"/>
    <m/>
    <m/>
  </r>
  <r>
    <x v="40"/>
    <d v="2022-05-02T00:00:00"/>
    <s v="Cash Rewards Visa Signature"/>
    <x v="1969"/>
    <n v="27"/>
    <x v="26"/>
    <s v="Transportation"/>
    <m/>
    <m/>
    <n v="27"/>
    <m/>
    <m/>
    <s v="debit"/>
    <m/>
    <x v="1819"/>
    <m/>
    <m/>
  </r>
  <r>
    <x v="40"/>
    <d v="2022-05-02T00:00:00"/>
    <s v="POWERPLUS"/>
    <x v="1848"/>
    <n v="200"/>
    <x v="26"/>
    <s v="Delete"/>
    <m/>
    <m/>
    <n v="200"/>
    <m/>
    <m/>
    <s v="debit"/>
    <m/>
    <x v="1703"/>
    <m/>
    <m/>
  </r>
  <r>
    <x v="40"/>
    <d v="2022-05-02T00:00:00"/>
    <s v="Cash Rewards Visa Signature"/>
    <x v="1926"/>
    <n v="-29.99"/>
    <x v="26"/>
    <s v="Shopping"/>
    <m/>
    <m/>
    <n v="29.99"/>
    <m/>
    <m/>
    <s v="credit"/>
    <m/>
    <x v="1779"/>
    <m/>
    <m/>
  </r>
  <r>
    <x v="40"/>
    <d v="2022-05-02T00:00:00"/>
    <s v="Cash Rewards Visa Signature"/>
    <x v="1970"/>
    <n v="142.97"/>
    <x v="26"/>
    <s v="Restaurants"/>
    <m/>
    <m/>
    <n v="142.97"/>
    <m/>
    <m/>
    <s v="debit"/>
    <m/>
    <x v="1820"/>
    <m/>
    <m/>
  </r>
  <r>
    <x v="40"/>
    <d v="2022-05-02T00:00:00"/>
    <s v="Cash Rewards Visa Signature"/>
    <x v="1971"/>
    <n v="168"/>
    <x v="8"/>
    <s v="Shopping"/>
    <m/>
    <m/>
    <n v="168"/>
    <m/>
    <m/>
    <s v="debit"/>
    <m/>
    <x v="1821"/>
    <m/>
    <m/>
  </r>
  <r>
    <x v="40"/>
    <d v="2022-05-02T00:00:00"/>
    <s v="Cash Rewards Visa Signature"/>
    <x v="1898"/>
    <n v="49.5"/>
    <x v="1"/>
    <s v="Restaurants"/>
    <m/>
    <m/>
    <n v="49.5"/>
    <m/>
    <m/>
    <s v="debit"/>
    <m/>
    <x v="1751"/>
    <m/>
    <m/>
  </r>
  <r>
    <x v="40"/>
    <d v="2022-05-02T00:00:00"/>
    <s v="Cash Rewards Visa Signature"/>
    <x v="1867"/>
    <n v="32"/>
    <x v="27"/>
    <s v="Gym"/>
    <m/>
    <m/>
    <n v="32"/>
    <m/>
    <m/>
    <s v="debit"/>
    <m/>
    <x v="1721"/>
    <m/>
    <m/>
  </r>
  <r>
    <x v="40"/>
    <d v="2022-05-02T00:00:00"/>
    <s v="30 YR FIXED"/>
    <x v="1085"/>
    <n v="-431"/>
    <x v="26"/>
    <s v="Delete"/>
    <m/>
    <m/>
    <n v="431"/>
    <m/>
    <m/>
    <s v="credit"/>
    <m/>
    <x v="1034"/>
    <m/>
    <m/>
  </r>
  <r>
    <x v="40"/>
    <d v="2022-05-02T00:00:00"/>
    <s v="Cash Rewards Visa Signature"/>
    <x v="2"/>
    <n v="66.39"/>
    <x v="2"/>
    <s v="Transportation"/>
    <m/>
    <m/>
    <n v="66.39"/>
    <m/>
    <m/>
    <s v="debit"/>
    <m/>
    <x v="2"/>
    <m/>
    <m/>
  </r>
  <r>
    <x v="40"/>
    <d v="2022-05-02T00:00:00"/>
    <s v="Cash Rewards Visa Signature"/>
    <x v="1972"/>
    <n v="18.399999999999999"/>
    <x v="26"/>
    <s v="Restaurants"/>
    <m/>
    <m/>
    <n v="18.399999999999999"/>
    <m/>
    <m/>
    <s v="debit"/>
    <m/>
    <x v="1822"/>
    <m/>
    <m/>
  </r>
  <r>
    <x v="40"/>
    <d v="2022-05-02T00:00:00"/>
    <s v="Cash Rewards Visa Signature"/>
    <x v="34"/>
    <n v="29.99"/>
    <x v="12"/>
    <s v="Target"/>
    <m/>
    <m/>
    <n v="29.99"/>
    <m/>
    <m/>
    <s v="debit"/>
    <m/>
    <x v="34"/>
    <m/>
    <m/>
  </r>
  <r>
    <x v="40"/>
    <d v="2022-05-02T00:00:00"/>
    <s v="Cash Rewards Visa Signature"/>
    <x v="1973"/>
    <n v="429.5"/>
    <x v="26"/>
    <s v="Shopping"/>
    <m/>
    <m/>
    <n v="429.5"/>
    <m/>
    <m/>
    <s v="debit"/>
    <m/>
    <x v="1823"/>
    <m/>
    <m/>
  </r>
  <r>
    <x v="40"/>
    <d v="2022-05-02T00:00:00"/>
    <s v="DISCOVER MORE CARD"/>
    <x v="56"/>
    <n v="-336.57"/>
    <x v="3"/>
    <s v="Delete"/>
    <m/>
    <m/>
    <n v="336.57"/>
    <m/>
    <m/>
    <s v="credit"/>
    <m/>
    <x v="56"/>
    <m/>
    <m/>
  </r>
  <r>
    <x v="40"/>
    <d v="2022-05-02T00:00:00"/>
    <s v="30 YR FIXED"/>
    <x v="935"/>
    <n v="-766.5"/>
    <x v="3"/>
    <s v="Delete"/>
    <m/>
    <m/>
    <n v="766.5"/>
    <m/>
    <m/>
    <s v="credit"/>
    <m/>
    <x v="899"/>
    <m/>
    <m/>
  </r>
  <r>
    <x v="40"/>
    <d v="2022-05-02T00:00:00"/>
    <s v="POWERPLUS"/>
    <x v="1844"/>
    <n v="3003.94"/>
    <x v="6"/>
    <s v="Rent"/>
    <m/>
    <m/>
    <n v="3003.94"/>
    <m/>
    <m/>
    <s v="debit"/>
    <m/>
    <x v="1699"/>
    <m/>
    <m/>
  </r>
  <r>
    <x v="40"/>
    <d v="2022-05-03T00:00:00"/>
    <s v="Cash Rewards Visa Signature"/>
    <x v="1974"/>
    <n v="66.59"/>
    <x v="26"/>
    <s v="Dry Cleaning"/>
    <m/>
    <m/>
    <n v="66.59"/>
    <m/>
    <m/>
    <s v="debit"/>
    <m/>
    <x v="1824"/>
    <m/>
    <m/>
  </r>
  <r>
    <x v="40"/>
    <d v="2022-05-03T00:00:00"/>
    <s v="Cash Rewards Visa Signature"/>
    <x v="6"/>
    <n v="24.13"/>
    <x v="5"/>
    <s v="Groceries"/>
    <m/>
    <m/>
    <n v="24.13"/>
    <m/>
    <m/>
    <s v="debit"/>
    <m/>
    <x v="6"/>
    <m/>
    <m/>
  </r>
  <r>
    <x v="40"/>
    <d v="2022-05-03T00:00:00"/>
    <s v="Cash Rewards Visa Signature"/>
    <x v="1920"/>
    <n v="18"/>
    <x v="26"/>
    <s v="Entertainment"/>
    <m/>
    <m/>
    <n v="18"/>
    <m/>
    <m/>
    <s v="debit"/>
    <m/>
    <x v="1773"/>
    <m/>
    <m/>
  </r>
  <r>
    <x v="40"/>
    <d v="2022-05-03T00:00:00"/>
    <s v="POWERPLUS"/>
    <x v="1829"/>
    <n v="536.29999999999995"/>
    <x v="26"/>
    <s v="Day Care"/>
    <m/>
    <m/>
    <n v="536.29999999999995"/>
    <m/>
    <m/>
    <s v="debit"/>
    <m/>
    <x v="1684"/>
    <m/>
    <m/>
  </r>
  <r>
    <x v="40"/>
    <d v="2022-05-03T00:00:00"/>
    <s v="Cash Rewards Visa Signature"/>
    <x v="1975"/>
    <n v="75"/>
    <x v="26"/>
    <s v="Gifts"/>
    <m/>
    <m/>
    <n v="75"/>
    <m/>
    <m/>
    <s v="debit"/>
    <m/>
    <x v="1825"/>
    <m/>
    <m/>
  </r>
  <r>
    <x v="40"/>
    <d v="2022-05-03T00:00:00"/>
    <s v="Cash Rewards Visa Signature"/>
    <x v="1976"/>
    <n v="97.2"/>
    <x v="26"/>
    <s v="Shopping"/>
    <m/>
    <m/>
    <n v="97.2"/>
    <m/>
    <m/>
    <s v="debit"/>
    <m/>
    <x v="1826"/>
    <m/>
    <m/>
  </r>
  <r>
    <x v="40"/>
    <d v="2022-05-03T00:00:00"/>
    <s v="Cash Rewards Visa Signature"/>
    <x v="1976"/>
    <n v="182.7"/>
    <x v="26"/>
    <s v="Shopping"/>
    <m/>
    <m/>
    <n v="182.7"/>
    <m/>
    <m/>
    <s v="debit"/>
    <m/>
    <x v="1826"/>
    <m/>
    <m/>
  </r>
  <r>
    <x v="40"/>
    <d v="2022-05-03T00:00:00"/>
    <s v="Cash Rewards Visa Signature"/>
    <x v="55"/>
    <n v="40.06"/>
    <x v="5"/>
    <s v="Shopping"/>
    <m/>
    <m/>
    <n v="40.06"/>
    <m/>
    <m/>
    <s v="debit"/>
    <m/>
    <x v="55"/>
    <m/>
    <m/>
  </r>
  <r>
    <x v="40"/>
    <d v="2022-05-03T00:00:00"/>
    <s v="POWERPLUS"/>
    <x v="1817"/>
    <n v="933.93"/>
    <x v="26"/>
    <s v="Delete"/>
    <m/>
    <m/>
    <n v="933.93"/>
    <m/>
    <m/>
    <s v="debit"/>
    <m/>
    <x v="1672"/>
    <m/>
    <m/>
  </r>
  <r>
    <x v="40"/>
    <d v="2022-05-03T00:00:00"/>
    <s v="Cash Rewards Visa Signature"/>
    <x v="1318"/>
    <n v="-933.93"/>
    <x v="26"/>
    <s v="Delete"/>
    <m/>
    <m/>
    <n v="933.93"/>
    <m/>
    <m/>
    <s v="credit"/>
    <m/>
    <x v="1246"/>
    <m/>
    <m/>
  </r>
  <r>
    <x v="40"/>
    <d v="2022-05-03T00:00:00"/>
    <s v="POWERPLUS"/>
    <x v="1888"/>
    <n v="336.57"/>
    <x v="3"/>
    <s v="Delete"/>
    <m/>
    <m/>
    <n v="336.57"/>
    <m/>
    <m/>
    <s v="debit"/>
    <m/>
    <x v="1741"/>
    <m/>
    <m/>
  </r>
  <r>
    <x v="40"/>
    <d v="2022-05-04T00:00:00"/>
    <s v="Cash Rewards Visa Signature"/>
    <x v="1717"/>
    <n v="22.37"/>
    <x v="26"/>
    <s v="Restaurants"/>
    <m/>
    <m/>
    <n v="22.37"/>
    <m/>
    <m/>
    <s v="debit"/>
    <m/>
    <x v="1594"/>
    <m/>
    <m/>
  </r>
  <r>
    <x v="40"/>
    <d v="2022-05-05T00:00:00"/>
    <s v="Cash Rewards Visa Signature"/>
    <x v="1977"/>
    <n v="9.6999999999999993"/>
    <x v="26"/>
    <s v="Groceries"/>
    <m/>
    <m/>
    <n v="9.6999999999999993"/>
    <m/>
    <m/>
    <s v="debit"/>
    <m/>
    <x v="1827"/>
    <m/>
    <m/>
  </r>
  <r>
    <x v="40"/>
    <d v="2022-05-05T00:00:00"/>
    <s v="DISCOVER MORE CARD"/>
    <x v="1978"/>
    <n v="110.25"/>
    <x v="19"/>
    <s v="House Maintenance"/>
    <m/>
    <m/>
    <n v="110.25"/>
    <m/>
    <m/>
    <s v="debit"/>
    <m/>
    <x v="1828"/>
    <m/>
    <m/>
  </r>
  <r>
    <x v="40"/>
    <d v="2022-05-06T00:00:00"/>
    <s v="DISCOVER MORE CARD"/>
    <x v="1979"/>
    <n v="18.579999999999998"/>
    <x v="26"/>
    <s v="Restaurants"/>
    <m/>
    <m/>
    <n v="18.579999999999998"/>
    <m/>
    <m/>
    <s v="debit"/>
    <m/>
    <x v="1829"/>
    <m/>
    <m/>
  </r>
  <r>
    <x v="40"/>
    <d v="2022-05-06T00:00:00"/>
    <s v="Cash Rewards Visa Signature"/>
    <x v="1980"/>
    <n v="49.99"/>
    <x v="26"/>
    <s v="Shopping"/>
    <m/>
    <m/>
    <n v="49.99"/>
    <m/>
    <m/>
    <s v="debit"/>
    <m/>
    <x v="1830"/>
    <m/>
    <m/>
  </r>
  <r>
    <x v="40"/>
    <d v="2022-05-06T00:00:00"/>
    <s v="POWERPLUS"/>
    <x v="1827"/>
    <n v="125"/>
    <x v="8"/>
    <s v="Travel"/>
    <m/>
    <m/>
    <n v="125"/>
    <m/>
    <m/>
    <s v="debit"/>
    <m/>
    <x v="1682"/>
    <m/>
    <m/>
  </r>
  <r>
    <x v="40"/>
    <d v="2022-05-07T00:00:00"/>
    <s v="DISCOVER MORE CARD"/>
    <x v="1981"/>
    <n v="54"/>
    <x v="26"/>
    <s v="Restaurants"/>
    <m/>
    <m/>
    <n v="54"/>
    <m/>
    <m/>
    <s v="debit"/>
    <m/>
    <x v="1831"/>
    <m/>
    <m/>
  </r>
  <r>
    <x v="40"/>
    <d v="2022-05-07T00:00:00"/>
    <s v="DISCOVER MORE CARD"/>
    <x v="705"/>
    <n v="122.18"/>
    <x v="26"/>
    <s v="Restaurants"/>
    <m/>
    <m/>
    <n v="122.18"/>
    <m/>
    <m/>
    <s v="debit"/>
    <m/>
    <x v="681"/>
    <m/>
    <m/>
  </r>
  <r>
    <x v="40"/>
    <d v="2022-05-08T00:00:00"/>
    <s v="DISCOVER MORE CARD"/>
    <x v="1982"/>
    <n v="62.65"/>
    <x v="26"/>
    <s v="Transportation"/>
    <m/>
    <m/>
    <n v="62.65"/>
    <m/>
    <m/>
    <s v="debit"/>
    <m/>
    <x v="1832"/>
    <m/>
    <m/>
  </r>
  <r>
    <x v="40"/>
    <d v="2022-05-08T00:00:00"/>
    <s v="Cash Rewards Visa Signature"/>
    <x v="6"/>
    <n v="113"/>
    <x v="5"/>
    <s v="Groceries"/>
    <m/>
    <m/>
    <n v="113"/>
    <m/>
    <m/>
    <s v="debit"/>
    <m/>
    <x v="6"/>
    <m/>
    <m/>
  </r>
  <r>
    <x v="40"/>
    <d v="2022-05-08T00:00:00"/>
    <s v="DISCOVER MORE CARD"/>
    <x v="1857"/>
    <n v="10"/>
    <x v="26"/>
    <s v="Entertainment"/>
    <m/>
    <m/>
    <n v="10"/>
    <m/>
    <m/>
    <s v="debit"/>
    <m/>
    <x v="1711"/>
    <m/>
    <m/>
  </r>
  <r>
    <x v="40"/>
    <d v="2022-05-08T00:00:00"/>
    <s v="DISCOVER MORE CARD"/>
    <x v="1857"/>
    <n v="10"/>
    <x v="26"/>
    <s v="Entertainment"/>
    <m/>
    <m/>
    <n v="10"/>
    <m/>
    <m/>
    <s v="debit"/>
    <m/>
    <x v="1711"/>
    <m/>
    <m/>
  </r>
  <r>
    <x v="40"/>
    <d v="2022-05-08T00:00:00"/>
    <s v="Cash Rewards Visa Signature"/>
    <x v="1983"/>
    <n v="63.04"/>
    <x v="26"/>
    <s v="Restaurants"/>
    <m/>
    <m/>
    <n v="63.04"/>
    <m/>
    <m/>
    <s v="debit"/>
    <m/>
    <x v="1833"/>
    <m/>
    <m/>
  </r>
  <r>
    <x v="40"/>
    <d v="2022-05-09T00:00:00"/>
    <s v="Cash Rewards Visa Signature"/>
    <x v="1984"/>
    <n v="44.23"/>
    <x v="26"/>
    <s v="Restaurants"/>
    <m/>
    <m/>
    <n v="44.23"/>
    <m/>
    <m/>
    <s v="debit"/>
    <m/>
    <x v="1834"/>
    <m/>
    <m/>
  </r>
  <r>
    <x v="40"/>
    <d v="2022-05-09T00:00:00"/>
    <s v="Cash Rewards Visa Signature"/>
    <x v="1867"/>
    <n v="41.94"/>
    <x v="27"/>
    <s v="Gym"/>
    <m/>
    <m/>
    <n v="41.94"/>
    <m/>
    <m/>
    <s v="debit"/>
    <m/>
    <x v="1721"/>
    <m/>
    <m/>
  </r>
  <r>
    <x v="40"/>
    <d v="2022-05-09T00:00:00"/>
    <s v="Cash Rewards Visa Signature"/>
    <x v="1985"/>
    <n v="97.39"/>
    <x v="26"/>
    <s v="Restaurants"/>
    <m/>
    <m/>
    <n v="97.39"/>
    <m/>
    <m/>
    <s v="debit"/>
    <m/>
    <x v="1835"/>
    <m/>
    <m/>
  </r>
  <r>
    <x v="40"/>
    <d v="2022-05-09T00:00:00"/>
    <s v="POWERPLUS"/>
    <x v="1890"/>
    <n v="222.66"/>
    <x v="3"/>
    <s v="Utilities"/>
    <m/>
    <m/>
    <n v="222.66"/>
    <m/>
    <m/>
    <s v="debit"/>
    <m/>
    <x v="1743"/>
    <m/>
    <m/>
  </r>
  <r>
    <x v="40"/>
    <d v="2022-05-10T00:00:00"/>
    <s v="DISCOVER MORE CARD"/>
    <x v="1885"/>
    <n v="-10.36"/>
    <x v="23"/>
    <s v="Delete"/>
    <m/>
    <m/>
    <n v="10.36"/>
    <m/>
    <m/>
    <s v="credit"/>
    <m/>
    <x v="1738"/>
    <m/>
    <m/>
  </r>
  <r>
    <x v="40"/>
    <d v="2022-05-10T00:00:00"/>
    <s v="Cash Rewards Visa Signature"/>
    <x v="255"/>
    <n v="44.99"/>
    <x v="5"/>
    <s v="Groceries"/>
    <m/>
    <m/>
    <n v="44.99"/>
    <m/>
    <m/>
    <s v="debit"/>
    <m/>
    <x v="253"/>
    <m/>
    <m/>
  </r>
  <r>
    <x v="40"/>
    <d v="2022-05-10T00:00:00"/>
    <s v="Cash Rewards Visa Signature"/>
    <x v="255"/>
    <n v="75.89"/>
    <x v="5"/>
    <s v="Groceries"/>
    <m/>
    <m/>
    <n v="75.89"/>
    <m/>
    <m/>
    <s v="debit"/>
    <m/>
    <x v="253"/>
    <m/>
    <m/>
  </r>
  <r>
    <x v="40"/>
    <d v="2022-05-10T00:00:00"/>
    <s v="POWERPLUS CHECKING"/>
    <x v="1986"/>
    <n v="-5000"/>
    <x v="26"/>
    <s v="Delete"/>
    <m/>
    <m/>
    <n v="5000"/>
    <m/>
    <m/>
    <s v="credit"/>
    <m/>
    <x v="1836"/>
    <m/>
    <m/>
  </r>
  <r>
    <x v="40"/>
    <d v="2022-05-10T00:00:00"/>
    <s v="Cash Rewards Visa Signature"/>
    <x v="1932"/>
    <n v="18.329999999999998"/>
    <x v="26"/>
    <s v="Restaurants"/>
    <m/>
    <m/>
    <n v="18.329999999999998"/>
    <m/>
    <m/>
    <s v="debit"/>
    <m/>
    <x v="1785"/>
    <m/>
    <m/>
  </r>
  <r>
    <x v="40"/>
    <d v="2022-05-10T00:00:00"/>
    <s v="POWERPLUS"/>
    <x v="1829"/>
    <n v="536.29999999999995"/>
    <x v="26"/>
    <s v="Day Care"/>
    <m/>
    <m/>
    <n v="536.29999999999995"/>
    <m/>
    <m/>
    <s v="debit"/>
    <m/>
    <x v="1684"/>
    <m/>
    <m/>
  </r>
  <r>
    <x v="40"/>
    <d v="2022-05-10T00:00:00"/>
    <s v="Cash Rewards Visa Signature"/>
    <x v="1922"/>
    <n v="-100"/>
    <x v="10"/>
    <s v="Delete"/>
    <m/>
    <m/>
    <n v="100"/>
    <m/>
    <m/>
    <s v="credit"/>
    <m/>
    <x v="1775"/>
    <m/>
    <m/>
  </r>
  <r>
    <x v="40"/>
    <d v="2022-05-10T00:00:00"/>
    <s v="Cash Rewards Visa Signature"/>
    <x v="34"/>
    <n v="9.65"/>
    <x v="12"/>
    <s v="Target"/>
    <m/>
    <m/>
    <n v="9.65"/>
    <m/>
    <m/>
    <s v="debit"/>
    <m/>
    <x v="34"/>
    <m/>
    <m/>
  </r>
  <r>
    <x v="40"/>
    <d v="2022-05-10T00:00:00"/>
    <s v="Cash Rewards Visa Signature"/>
    <x v="1837"/>
    <n v="53.74"/>
    <x v="19"/>
    <s v="House Maintenance"/>
    <m/>
    <m/>
    <n v="53.74"/>
    <m/>
    <m/>
    <s v="debit"/>
    <m/>
    <x v="1692"/>
    <m/>
    <m/>
  </r>
  <r>
    <x v="40"/>
    <d v="2022-05-10T00:00:00"/>
    <s v="Cash Rewards Visa Signature"/>
    <x v="1837"/>
    <n v="26.85"/>
    <x v="19"/>
    <s v="House Maintenance"/>
    <m/>
    <m/>
    <n v="26.85"/>
    <m/>
    <m/>
    <s v="debit"/>
    <m/>
    <x v="1692"/>
    <m/>
    <m/>
  </r>
  <r>
    <x v="40"/>
    <d v="2022-05-10T00:00:00"/>
    <s v="Cash Rewards Visa Signature"/>
    <x v="1864"/>
    <n v="152.11000000000001"/>
    <x v="26"/>
    <s v="Groceries"/>
    <m/>
    <m/>
    <n v="152.11000000000001"/>
    <m/>
    <m/>
    <s v="debit"/>
    <m/>
    <x v="1718"/>
    <m/>
    <m/>
  </r>
  <r>
    <x v="40"/>
    <d v="2022-05-10T00:00:00"/>
    <s v="POWERPLUS"/>
    <x v="1827"/>
    <n v="80.37"/>
    <x v="8"/>
    <s v="Travel"/>
    <m/>
    <m/>
    <n v="80.37"/>
    <m/>
    <m/>
    <s v="debit"/>
    <m/>
    <x v="1682"/>
    <m/>
    <m/>
  </r>
  <r>
    <x v="40"/>
    <d v="2022-05-10T00:00:00"/>
    <s v="DISCOVER MORE CARD"/>
    <x v="56"/>
    <n v="-318.93"/>
    <x v="3"/>
    <s v="Delete"/>
    <m/>
    <m/>
    <n v="318.93"/>
    <m/>
    <m/>
    <s v="credit"/>
    <m/>
    <x v="56"/>
    <m/>
    <m/>
  </r>
  <r>
    <x v="40"/>
    <d v="2022-05-10T00:00:00"/>
    <s v="POWERPLUS"/>
    <x v="1987"/>
    <n v="163.44"/>
    <x v="11"/>
    <s v="Utilities"/>
    <m/>
    <m/>
    <n v="163.44"/>
    <m/>
    <m/>
    <s v="debit"/>
    <m/>
    <x v="1837"/>
    <m/>
    <m/>
  </r>
  <r>
    <x v="40"/>
    <d v="2022-05-11T00:00:00"/>
    <s v="Cash Rewards Visa Signature"/>
    <x v="1915"/>
    <n v="-187"/>
    <x v="8"/>
    <s v="Shopping"/>
    <m/>
    <m/>
    <n v="187"/>
    <m/>
    <m/>
    <s v="credit"/>
    <m/>
    <x v="1768"/>
    <m/>
    <m/>
  </r>
  <r>
    <x v="40"/>
    <d v="2022-05-11T00:00:00"/>
    <s v="Cash Rewards Visa Signature"/>
    <x v="823"/>
    <n v="74.290000000000006"/>
    <x v="2"/>
    <s v="Transportation"/>
    <m/>
    <m/>
    <n v="74.290000000000006"/>
    <m/>
    <m/>
    <s v="debit"/>
    <m/>
    <x v="792"/>
    <m/>
    <m/>
  </r>
  <r>
    <x v="40"/>
    <d v="2022-05-11T00:00:00"/>
    <s v="Cash Rewards Visa Signature"/>
    <x v="1988"/>
    <n v="467"/>
    <x v="26"/>
    <s v="House Maintenance"/>
    <m/>
    <m/>
    <n v="467"/>
    <m/>
    <m/>
    <s v="debit"/>
    <m/>
    <x v="1838"/>
    <m/>
    <m/>
  </r>
  <r>
    <x v="40"/>
    <d v="2022-05-11T00:00:00"/>
    <s v="Cash Rewards Visa Signature"/>
    <x v="1989"/>
    <n v="14.5"/>
    <x v="26"/>
    <s v="misc"/>
    <m/>
    <m/>
    <n v="14.5"/>
    <m/>
    <m/>
    <s v="debit"/>
    <m/>
    <x v="1839"/>
    <m/>
    <m/>
  </r>
  <r>
    <x v="40"/>
    <d v="2022-05-11T00:00:00"/>
    <s v="POWERPLUS"/>
    <x v="1836"/>
    <n v="-3441.21"/>
    <x v="26"/>
    <s v="Delete"/>
    <m/>
    <m/>
    <n v="3441.21"/>
    <m/>
    <m/>
    <s v="credit"/>
    <m/>
    <x v="1691"/>
    <m/>
    <m/>
  </r>
  <r>
    <x v="40"/>
    <d v="2022-05-11T00:00:00"/>
    <s v="POWERPLUS"/>
    <x v="1888"/>
    <n v="318.93"/>
    <x v="3"/>
    <s v="Delete"/>
    <m/>
    <m/>
    <n v="318.93"/>
    <m/>
    <m/>
    <s v="debit"/>
    <m/>
    <x v="1741"/>
    <m/>
    <m/>
  </r>
  <r>
    <x v="40"/>
    <d v="2022-05-12T00:00:00"/>
    <s v="POWERPLUS"/>
    <x v="1893"/>
    <n v="-2479.5"/>
    <x v="34"/>
    <s v="Inc - Britney"/>
    <m/>
    <m/>
    <n v="2479.5"/>
    <m/>
    <m/>
    <s v="credit"/>
    <m/>
    <x v="1746"/>
    <m/>
    <m/>
  </r>
  <r>
    <x v="40"/>
    <d v="2022-05-12T00:00:00"/>
    <s v="Cash Rewards Visa Signature"/>
    <x v="1990"/>
    <n v="125"/>
    <x v="26"/>
    <s v="Gifts"/>
    <m/>
    <m/>
    <n v="125"/>
    <m/>
    <m/>
    <s v="debit"/>
    <m/>
    <x v="1840"/>
    <m/>
    <m/>
  </r>
  <r>
    <x v="40"/>
    <d v="2022-05-12T00:00:00"/>
    <s v="POWERPLUS"/>
    <x v="1827"/>
    <n v="150"/>
    <x v="8"/>
    <s v="Travel"/>
    <m/>
    <m/>
    <n v="150"/>
    <m/>
    <m/>
    <s v="debit"/>
    <m/>
    <x v="1682"/>
    <m/>
    <m/>
  </r>
  <r>
    <x v="40"/>
    <d v="2022-05-12T00:00:00"/>
    <s v="POWERPLUS"/>
    <x v="1817"/>
    <n v="1595.69"/>
    <x v="26"/>
    <s v="Delete"/>
    <m/>
    <m/>
    <n v="1595.69"/>
    <m/>
    <m/>
    <s v="debit"/>
    <m/>
    <x v="1672"/>
    <m/>
    <m/>
  </r>
  <r>
    <x v="40"/>
    <d v="2022-05-12T00:00:00"/>
    <s v="Cash Rewards Visa Signature"/>
    <x v="1879"/>
    <n v="-1595.69"/>
    <x v="3"/>
    <s v="Delete"/>
    <m/>
    <m/>
    <n v="1595.69"/>
    <m/>
    <m/>
    <s v="credit"/>
    <m/>
    <x v="1732"/>
    <m/>
    <m/>
  </r>
  <r>
    <x v="40"/>
    <d v="2022-05-13T00:00:00"/>
    <s v="DISCOVER MORE CARD"/>
    <x v="1991"/>
    <n v="106"/>
    <x v="26"/>
    <s v="Shopping"/>
    <m/>
    <m/>
    <n v="106"/>
    <m/>
    <m/>
    <s v="debit"/>
    <m/>
    <x v="1841"/>
    <m/>
    <m/>
  </r>
  <r>
    <x v="40"/>
    <d v="2022-05-13T00:00:00"/>
    <s v="Cash Rewards Visa Signature"/>
    <x v="1992"/>
    <n v="18.170000000000002"/>
    <x v="26"/>
    <s v="Restaurants"/>
    <m/>
    <m/>
    <n v="18.170000000000002"/>
    <m/>
    <m/>
    <s v="debit"/>
    <m/>
    <x v="1842"/>
    <m/>
    <m/>
  </r>
  <r>
    <x v="40"/>
    <d v="2022-05-13T00:00:00"/>
    <s v="Cash Rewards Visa Signature"/>
    <x v="1993"/>
    <n v="45"/>
    <x v="11"/>
    <s v="Utilities"/>
    <m/>
    <m/>
    <n v="45"/>
    <m/>
    <m/>
    <s v="debit"/>
    <m/>
    <x v="1843"/>
    <m/>
    <m/>
  </r>
  <r>
    <x v="40"/>
    <d v="2022-05-14T00:00:00"/>
    <s v="DISCOVER MORE CARD"/>
    <x v="1994"/>
    <n v="5.47"/>
    <x v="26"/>
    <s v="Groceries"/>
    <m/>
    <m/>
    <n v="5.47"/>
    <m/>
    <m/>
    <s v="debit"/>
    <m/>
    <x v="1844"/>
    <m/>
    <m/>
  </r>
  <r>
    <x v="40"/>
    <d v="2022-05-14T00:00:00"/>
    <s v="DISCOVER MORE CARD"/>
    <x v="1994"/>
    <n v="22.19"/>
    <x v="26"/>
    <s v="Groceries"/>
    <m/>
    <m/>
    <n v="22.19"/>
    <m/>
    <m/>
    <s v="debit"/>
    <m/>
    <x v="1844"/>
    <m/>
    <m/>
  </r>
  <r>
    <x v="40"/>
    <d v="2022-05-15T00:00:00"/>
    <s v="Cash Rewards Visa Signature"/>
    <x v="1995"/>
    <n v="26.83"/>
    <x v="26"/>
    <s v="Amazon"/>
    <m/>
    <m/>
    <n v="26.83"/>
    <m/>
    <m/>
    <s v="debit"/>
    <m/>
    <x v="1845"/>
    <m/>
    <m/>
  </r>
  <r>
    <x v="40"/>
    <d v="2022-05-15T00:00:00"/>
    <s v="Cash Rewards Visa Signature"/>
    <x v="1530"/>
    <n v="1264.93"/>
    <x v="2"/>
    <s v="Transportation"/>
    <m/>
    <m/>
    <n v="1264.93"/>
    <m/>
    <m/>
    <s v="debit"/>
    <m/>
    <x v="1435"/>
    <m/>
    <m/>
  </r>
  <r>
    <x v="40"/>
    <d v="2022-05-15T00:00:00"/>
    <s v="Cash Rewards Visa Signature"/>
    <x v="1996"/>
    <n v="18.559999999999999"/>
    <x v="26"/>
    <s v="Restaurants"/>
    <m/>
    <m/>
    <n v="18.559999999999999"/>
    <m/>
    <m/>
    <s v="debit"/>
    <m/>
    <x v="1846"/>
    <m/>
    <m/>
  </r>
  <r>
    <x v="40"/>
    <d v="2022-05-15T00:00:00"/>
    <s v="Cash Rewards Visa Signature"/>
    <x v="1996"/>
    <n v="18.559999999999999"/>
    <x v="26"/>
    <s v="Restaurants"/>
    <m/>
    <m/>
    <n v="18.559999999999999"/>
    <m/>
    <m/>
    <s v="debit"/>
    <m/>
    <x v="1846"/>
    <m/>
    <m/>
  </r>
  <r>
    <x v="40"/>
    <d v="2022-05-15T00:00:00"/>
    <s v="Cash Rewards Visa Signature"/>
    <x v="1996"/>
    <n v="16.47"/>
    <x v="26"/>
    <s v="Restaurants"/>
    <m/>
    <m/>
    <n v="16.47"/>
    <m/>
    <m/>
    <s v="debit"/>
    <m/>
    <x v="1846"/>
    <m/>
    <m/>
  </r>
  <r>
    <x v="40"/>
    <d v="2022-05-15T00:00:00"/>
    <s v="Cash Rewards Visa Signature"/>
    <x v="1997"/>
    <n v="503.17"/>
    <x v="26"/>
    <s v="Shopping"/>
    <m/>
    <m/>
    <n v="503.17"/>
    <m/>
    <m/>
    <s v="debit"/>
    <m/>
    <x v="1847"/>
    <m/>
    <m/>
  </r>
  <r>
    <x v="40"/>
    <d v="2022-05-15T00:00:00"/>
    <s v="Cash Rewards Visa Signature"/>
    <x v="1998"/>
    <n v="55"/>
    <x v="4"/>
    <s v="Delete"/>
    <m/>
    <m/>
    <n v="55"/>
    <m/>
    <m/>
    <s v="debit"/>
    <m/>
    <x v="1848"/>
    <m/>
    <m/>
  </r>
  <r>
    <x v="40"/>
    <d v="2022-05-16T00:00:00"/>
    <s v="POWERPLUS"/>
    <x v="48"/>
    <n v="102.48"/>
    <x v="16"/>
    <s v="Insurance"/>
    <m/>
    <m/>
    <n v="102.48"/>
    <m/>
    <m/>
    <s v="debit"/>
    <m/>
    <x v="48"/>
    <m/>
    <m/>
  </r>
  <r>
    <x v="40"/>
    <d v="2022-05-16T00:00:00"/>
    <s v="Cash Rewards Visa Signature"/>
    <x v="1384"/>
    <n v="8.5"/>
    <x v="26"/>
    <s v="Restaurants"/>
    <m/>
    <m/>
    <n v="8.5"/>
    <m/>
    <m/>
    <s v="debit"/>
    <m/>
    <x v="1304"/>
    <m/>
    <m/>
  </r>
  <r>
    <x v="40"/>
    <d v="2022-05-16T00:00:00"/>
    <s v="Cash Rewards Visa Signature"/>
    <x v="1898"/>
    <n v="47.84"/>
    <x v="1"/>
    <s v="Restaurants"/>
    <m/>
    <m/>
    <n v="47.84"/>
    <m/>
    <m/>
    <s v="debit"/>
    <m/>
    <x v="1751"/>
    <m/>
    <m/>
  </r>
  <r>
    <x v="40"/>
    <d v="2022-05-16T00:00:00"/>
    <s v="Cash Rewards Visa Signature"/>
    <x v="1999"/>
    <n v="203.96"/>
    <x v="26"/>
    <s v="Restaurants"/>
    <m/>
    <m/>
    <n v="203.96"/>
    <m/>
    <m/>
    <s v="debit"/>
    <m/>
    <x v="1849"/>
    <m/>
    <m/>
  </r>
  <r>
    <x v="40"/>
    <d v="2022-05-16T00:00:00"/>
    <s v="Cash Rewards Visa Signature"/>
    <x v="2"/>
    <n v="63.19"/>
    <x v="2"/>
    <s v="Transportation"/>
    <m/>
    <m/>
    <n v="63.19"/>
    <m/>
    <m/>
    <s v="debit"/>
    <m/>
    <x v="2"/>
    <m/>
    <m/>
  </r>
  <r>
    <x v="40"/>
    <d v="2022-05-16T00:00:00"/>
    <s v="Cash Rewards Visa Signature"/>
    <x v="1864"/>
    <n v="19.899999999999999"/>
    <x v="26"/>
    <s v="Groceries"/>
    <m/>
    <m/>
    <n v="19.899999999999999"/>
    <m/>
    <m/>
    <s v="debit"/>
    <m/>
    <x v="1718"/>
    <m/>
    <m/>
  </r>
  <r>
    <x v="40"/>
    <d v="2022-05-16T00:00:00"/>
    <s v="Cash Rewards Visa Signature"/>
    <x v="1864"/>
    <n v="18.68"/>
    <x v="26"/>
    <s v="Groceries"/>
    <m/>
    <m/>
    <n v="18.68"/>
    <m/>
    <m/>
    <s v="debit"/>
    <m/>
    <x v="1718"/>
    <m/>
    <m/>
  </r>
  <r>
    <x v="40"/>
    <d v="2022-05-16T00:00:00"/>
    <s v="POWERPLUS"/>
    <x v="1849"/>
    <n v="34.51"/>
    <x v="8"/>
    <s v="Shopping"/>
    <m/>
    <m/>
    <n v="34.51"/>
    <m/>
    <m/>
    <s v="debit"/>
    <m/>
    <x v="1704"/>
    <m/>
    <m/>
  </r>
  <r>
    <x v="40"/>
    <d v="2022-05-17T00:00:00"/>
    <s v="Cash Rewards Visa Signature"/>
    <x v="2000"/>
    <n v="6.74"/>
    <x v="26"/>
    <s v="Restaurants"/>
    <m/>
    <m/>
    <n v="6.74"/>
    <m/>
    <m/>
    <s v="debit"/>
    <m/>
    <x v="1850"/>
    <m/>
    <m/>
  </r>
  <r>
    <x v="40"/>
    <d v="2022-05-17T00:00:00"/>
    <s v="POWERPLUS"/>
    <x v="1829"/>
    <n v="536.29999999999995"/>
    <x v="26"/>
    <s v="Day Care"/>
    <m/>
    <m/>
    <n v="536.29999999999995"/>
    <m/>
    <m/>
    <s v="debit"/>
    <m/>
    <x v="1684"/>
    <m/>
    <m/>
  </r>
  <r>
    <x v="40"/>
    <d v="2022-05-17T00:00:00"/>
    <s v="Cash Rewards Visa Signature"/>
    <x v="2001"/>
    <n v="-451.58"/>
    <x v="26"/>
    <s v="Shopping"/>
    <m/>
    <m/>
    <n v="451.58"/>
    <m/>
    <m/>
    <s v="credit"/>
    <m/>
    <x v="1851"/>
    <m/>
    <m/>
  </r>
  <r>
    <x v="40"/>
    <d v="2022-05-18T00:00:00"/>
    <s v="DISCOVER MORE CARD"/>
    <x v="2002"/>
    <n v="-4.72"/>
    <x v="26"/>
    <s v="Restaurants"/>
    <m/>
    <m/>
    <n v="4.72"/>
    <m/>
    <m/>
    <s v="credit"/>
    <m/>
    <x v="1852"/>
    <m/>
    <m/>
  </r>
  <r>
    <x v="40"/>
    <d v="2022-05-18T00:00:00"/>
    <s v="Cash Rewards Visa Signature"/>
    <x v="6"/>
    <n v="28.76"/>
    <x v="5"/>
    <s v="Groceries"/>
    <m/>
    <m/>
    <n v="28.76"/>
    <m/>
    <m/>
    <s v="debit"/>
    <m/>
    <x v="6"/>
    <m/>
    <m/>
  </r>
  <r>
    <x v="40"/>
    <d v="2022-05-18T00:00:00"/>
    <s v="Cash Rewards Visa Signature"/>
    <x v="1861"/>
    <n v="392.2"/>
    <x v="3"/>
    <s v="Travel"/>
    <m/>
    <m/>
    <n v="392.2"/>
    <m/>
    <m/>
    <s v="debit"/>
    <m/>
    <x v="1715"/>
    <m/>
    <m/>
  </r>
  <r>
    <x v="40"/>
    <d v="2022-05-18T00:00:00"/>
    <s v="Cash Rewards Visa Signature"/>
    <x v="1861"/>
    <n v="392.2"/>
    <x v="3"/>
    <s v="Travel"/>
    <m/>
    <m/>
    <n v="392.2"/>
    <m/>
    <m/>
    <s v="debit"/>
    <m/>
    <x v="1715"/>
    <m/>
    <m/>
  </r>
  <r>
    <x v="40"/>
    <d v="2022-05-18T00:00:00"/>
    <s v="Cash Rewards Visa Signature"/>
    <x v="1861"/>
    <n v="307.2"/>
    <x v="3"/>
    <s v="Travel"/>
    <m/>
    <m/>
    <n v="307.2"/>
    <m/>
    <m/>
    <s v="debit"/>
    <m/>
    <x v="1715"/>
    <m/>
    <m/>
  </r>
  <r>
    <x v="40"/>
    <d v="2022-05-18T00:00:00"/>
    <s v="POWERPLUS"/>
    <x v="1816"/>
    <n v="200"/>
    <x v="26"/>
    <s v="Delete"/>
    <m/>
    <m/>
    <n v="200"/>
    <m/>
    <m/>
    <s v="debit"/>
    <m/>
    <x v="1671"/>
    <m/>
    <m/>
  </r>
  <r>
    <x v="40"/>
    <d v="2022-05-18T00:00:00"/>
    <s v="Cash Rewards Visa Signature"/>
    <x v="2003"/>
    <n v="119.98"/>
    <x v="26"/>
    <s v="Healthcare"/>
    <m/>
    <m/>
    <n v="119.98"/>
    <m/>
    <m/>
    <s v="debit"/>
    <m/>
    <x v="1853"/>
    <m/>
    <m/>
  </r>
  <r>
    <x v="40"/>
    <d v="2022-05-18T00:00:00"/>
    <s v="Cash Rewards Visa Signature"/>
    <x v="2004"/>
    <n v="20"/>
    <x v="26"/>
    <s v="Shopping"/>
    <m/>
    <m/>
    <n v="20"/>
    <m/>
    <m/>
    <s v="debit"/>
    <m/>
    <x v="1854"/>
    <m/>
    <m/>
  </r>
  <r>
    <x v="40"/>
    <d v="2022-05-19T00:00:00"/>
    <s v="Cash Rewards Visa Signature"/>
    <x v="2005"/>
    <n v="32.1"/>
    <x v="26"/>
    <s v="Amazon"/>
    <m/>
    <m/>
    <n v="32.1"/>
    <m/>
    <m/>
    <s v="debit"/>
    <m/>
    <x v="1855"/>
    <m/>
    <m/>
  </r>
  <r>
    <x v="40"/>
    <d v="2022-05-19T00:00:00"/>
    <s v="Cash Rewards Visa Signature"/>
    <x v="2004"/>
    <n v="20"/>
    <x v="26"/>
    <s v="Shopping"/>
    <m/>
    <m/>
    <n v="20"/>
    <m/>
    <m/>
    <s v="debit"/>
    <m/>
    <x v="1854"/>
    <m/>
    <m/>
  </r>
  <r>
    <x v="40"/>
    <d v="2022-05-20T00:00:00"/>
    <s v="Cash Rewards Visa Signature"/>
    <x v="2006"/>
    <n v="83.9"/>
    <x v="26"/>
    <s v="Restaurants"/>
    <m/>
    <m/>
    <n v="83.9"/>
    <m/>
    <m/>
    <s v="debit"/>
    <m/>
    <x v="1856"/>
    <m/>
    <m/>
  </r>
  <r>
    <x v="40"/>
    <d v="2022-05-20T00:00:00"/>
    <s v="POWERPLUS"/>
    <x v="1827"/>
    <n v="125"/>
    <x v="8"/>
    <s v="Travel"/>
    <m/>
    <m/>
    <n v="125"/>
    <m/>
    <m/>
    <s v="debit"/>
    <m/>
    <x v="1682"/>
    <m/>
    <m/>
  </r>
  <r>
    <x v="40"/>
    <d v="2022-05-21T00:00:00"/>
    <s v="POWERPLUS"/>
    <x v="2007"/>
    <n v="82.95"/>
    <x v="26"/>
    <s v="Delete"/>
    <m/>
    <m/>
    <n v="82.95"/>
    <m/>
    <m/>
    <s v="debit"/>
    <m/>
    <x v="1857"/>
    <m/>
    <m/>
  </r>
  <r>
    <x v="40"/>
    <d v="2022-05-22T00:00:00"/>
    <s v="Cash Rewards Visa Signature"/>
    <x v="2008"/>
    <n v="22.5"/>
    <x v="26"/>
    <s v="Amazon"/>
    <m/>
    <m/>
    <n v="22.5"/>
    <m/>
    <m/>
    <s v="debit"/>
    <m/>
    <x v="1858"/>
    <m/>
    <m/>
  </r>
  <r>
    <x v="40"/>
    <d v="2022-05-22T00:00:00"/>
    <s v="Cash Rewards Visa Signature"/>
    <x v="1896"/>
    <n v="9"/>
    <x v="26"/>
    <s v="House Maintenance"/>
    <m/>
    <m/>
    <n v="9"/>
    <m/>
    <m/>
    <s v="debit"/>
    <m/>
    <x v="1749"/>
    <m/>
    <m/>
  </r>
  <r>
    <x v="40"/>
    <d v="2022-05-22T00:00:00"/>
    <s v="Cash Rewards Visa Signature"/>
    <x v="2009"/>
    <n v="7.39"/>
    <x v="26"/>
    <s v="Transportation"/>
    <m/>
    <m/>
    <n v="7.39"/>
    <m/>
    <m/>
    <s v="debit"/>
    <m/>
    <x v="1859"/>
    <m/>
    <m/>
  </r>
  <r>
    <x v="40"/>
    <d v="2022-05-22T00:00:00"/>
    <s v="Cash Rewards Visa Signature"/>
    <x v="2009"/>
    <n v="55.28"/>
    <x v="26"/>
    <s v="Transportation"/>
    <m/>
    <m/>
    <n v="55.28"/>
    <m/>
    <m/>
    <s v="debit"/>
    <m/>
    <x v="1859"/>
    <m/>
    <m/>
  </r>
  <r>
    <x v="40"/>
    <d v="2022-05-22T00:00:00"/>
    <s v="DISCOVER MORE CARD"/>
    <x v="1833"/>
    <n v="15.49"/>
    <x v="26"/>
    <s v="Entertainment"/>
    <m/>
    <m/>
    <n v="15.49"/>
    <m/>
    <m/>
    <s v="debit"/>
    <m/>
    <x v="1688"/>
    <m/>
    <m/>
  </r>
  <r>
    <x v="40"/>
    <d v="2022-05-22T00:00:00"/>
    <s v="Cash Rewards Visa Signature"/>
    <x v="2010"/>
    <n v="-39.979999999999997"/>
    <x v="26"/>
    <s v="Healthcare"/>
    <m/>
    <m/>
    <n v="39.979999999999997"/>
    <m/>
    <m/>
    <s v="credit"/>
    <m/>
    <x v="1860"/>
    <m/>
    <m/>
  </r>
  <r>
    <x v="40"/>
    <d v="2022-05-22T00:00:00"/>
    <s v="Cash Rewards Visa Signature"/>
    <x v="2010"/>
    <n v="-11.99"/>
    <x v="26"/>
    <s v="Healthcare"/>
    <m/>
    <m/>
    <n v="11.99"/>
    <m/>
    <m/>
    <s v="credit"/>
    <m/>
    <x v="1860"/>
    <m/>
    <m/>
  </r>
  <r>
    <x v="40"/>
    <d v="2022-05-22T00:00:00"/>
    <s v="Cash Rewards Visa Signature"/>
    <x v="2011"/>
    <n v="61.37"/>
    <x v="26"/>
    <s v="Shopping"/>
    <m/>
    <m/>
    <n v="61.37"/>
    <m/>
    <m/>
    <s v="debit"/>
    <m/>
    <x v="1861"/>
    <m/>
    <m/>
  </r>
  <r>
    <x v="40"/>
    <d v="2022-05-22T00:00:00"/>
    <s v="Cash Rewards Visa Signature"/>
    <x v="2012"/>
    <n v="85.62"/>
    <x v="8"/>
    <s v="Shopping"/>
    <m/>
    <m/>
    <n v="85.62"/>
    <m/>
    <m/>
    <s v="debit"/>
    <m/>
    <x v="1862"/>
    <m/>
    <m/>
  </r>
  <r>
    <x v="40"/>
    <d v="2022-05-22T00:00:00"/>
    <s v="Cash Rewards Visa Signature"/>
    <x v="2013"/>
    <n v="61.52"/>
    <x v="26"/>
    <s v="misc"/>
    <m/>
    <m/>
    <n v="61.52"/>
    <m/>
    <m/>
    <s v="debit"/>
    <m/>
    <x v="1863"/>
    <m/>
    <m/>
  </r>
  <r>
    <x v="40"/>
    <d v="2022-05-22T00:00:00"/>
    <s v="Cash Rewards Visa Signature"/>
    <x v="2014"/>
    <n v="16.5"/>
    <x v="26"/>
    <s v="Restaurants"/>
    <m/>
    <m/>
    <n v="16.5"/>
    <m/>
    <m/>
    <s v="debit"/>
    <m/>
    <x v="1864"/>
    <m/>
    <m/>
  </r>
  <r>
    <x v="40"/>
    <d v="2022-05-22T00:00:00"/>
    <s v="Cash Rewards Visa Signature"/>
    <x v="419"/>
    <n v="21.96"/>
    <x v="26"/>
    <s v="Groceries"/>
    <m/>
    <m/>
    <n v="21.96"/>
    <m/>
    <m/>
    <s v="debit"/>
    <m/>
    <x v="405"/>
    <m/>
    <m/>
  </r>
  <r>
    <x v="40"/>
    <d v="2022-05-22T00:00:00"/>
    <s v="DISCOVER MORE CARD"/>
    <x v="2015"/>
    <n v="128.47"/>
    <x v="26"/>
    <s v="Restaurants"/>
    <m/>
    <m/>
    <n v="128.47"/>
    <m/>
    <m/>
    <s v="debit"/>
    <m/>
    <x v="1865"/>
    <m/>
    <m/>
  </r>
  <r>
    <x v="40"/>
    <d v="2022-05-22T00:00:00"/>
    <s v="Cash Rewards Visa Signature"/>
    <x v="382"/>
    <n v="9.4499999999999993"/>
    <x v="28"/>
    <s v="misc"/>
    <m/>
    <m/>
    <n v="9.4499999999999993"/>
    <m/>
    <m/>
    <s v="debit"/>
    <m/>
    <x v="369"/>
    <m/>
    <m/>
  </r>
  <r>
    <x v="40"/>
    <d v="2022-05-23T00:00:00"/>
    <s v="Cash Rewards Visa Signature"/>
    <x v="1589"/>
    <n v="36"/>
    <x v="26"/>
    <s v="House Maintenance"/>
    <m/>
    <m/>
    <n v="36"/>
    <m/>
    <m/>
    <s v="debit"/>
    <m/>
    <x v="1487"/>
    <m/>
    <m/>
  </r>
  <r>
    <x v="40"/>
    <d v="2022-05-23T00:00:00"/>
    <s v="POWERPLUS"/>
    <x v="1826"/>
    <n v="55.5"/>
    <x v="26"/>
    <s v="Utilities"/>
    <m/>
    <m/>
    <n v="55.5"/>
    <m/>
    <m/>
    <s v="debit"/>
    <m/>
    <x v="1681"/>
    <m/>
    <m/>
  </r>
  <r>
    <x v="40"/>
    <d v="2022-05-23T00:00:00"/>
    <s v="Cash Rewards Visa Signature"/>
    <x v="2000"/>
    <n v="8.4600000000000009"/>
    <x v="26"/>
    <s v="Restaurants"/>
    <m/>
    <m/>
    <n v="8.4600000000000009"/>
    <m/>
    <m/>
    <s v="debit"/>
    <m/>
    <x v="1850"/>
    <m/>
    <m/>
  </r>
  <r>
    <x v="40"/>
    <d v="2022-05-23T00:00:00"/>
    <s v="RAINY DAY"/>
    <x v="976"/>
    <n v="-100"/>
    <x v="26"/>
    <s v="Car Loan"/>
    <m/>
    <m/>
    <n v="100"/>
    <m/>
    <m/>
    <s v="credit"/>
    <m/>
    <x v="936"/>
    <m/>
    <m/>
  </r>
  <r>
    <x v="40"/>
    <d v="2022-05-23T00:00:00"/>
    <s v="Cash Rewards Visa Signature"/>
    <x v="1881"/>
    <n v="65.83"/>
    <x v="5"/>
    <s v="Transportation"/>
    <m/>
    <m/>
    <n v="65.83"/>
    <m/>
    <m/>
    <s v="debit"/>
    <m/>
    <x v="1734"/>
    <m/>
    <m/>
  </r>
  <r>
    <x v="40"/>
    <d v="2022-05-23T00:00:00"/>
    <s v="Cash Rewards Visa Signature"/>
    <x v="2016"/>
    <n v="14.74"/>
    <x v="26"/>
    <s v="Restaurants"/>
    <m/>
    <m/>
    <n v="14.74"/>
    <m/>
    <m/>
    <s v="debit"/>
    <m/>
    <x v="1866"/>
    <m/>
    <m/>
  </r>
  <r>
    <x v="40"/>
    <d v="2022-05-23T00:00:00"/>
    <s v="Cash Rewards Visa Signature"/>
    <x v="2017"/>
    <n v="14.4"/>
    <x v="26"/>
    <s v="Restaurants"/>
    <m/>
    <m/>
    <n v="14.4"/>
    <m/>
    <m/>
    <s v="debit"/>
    <m/>
    <x v="1867"/>
    <m/>
    <m/>
  </r>
  <r>
    <x v="40"/>
    <d v="2022-05-23T00:00:00"/>
    <s v="POWERPLUS"/>
    <x v="952"/>
    <n v="100"/>
    <x v="26"/>
    <s v="Delete"/>
    <m/>
    <m/>
    <n v="100"/>
    <m/>
    <m/>
    <s v="debit"/>
    <m/>
    <x v="915"/>
    <m/>
    <m/>
  </r>
  <r>
    <x v="40"/>
    <d v="2022-05-24T00:00:00"/>
    <s v="POWERPLUS"/>
    <x v="2018"/>
    <n v="-5150"/>
    <x v="26"/>
    <s v="Delete"/>
    <m/>
    <m/>
    <n v="5150"/>
    <m/>
    <m/>
    <s v="credit"/>
    <m/>
    <x v="1868"/>
    <m/>
    <m/>
  </r>
  <r>
    <x v="40"/>
    <d v="2022-05-24T00:00:00"/>
    <s v="POWERPLUS"/>
    <x v="1829"/>
    <n v="536.29999999999995"/>
    <x v="26"/>
    <s v="Day Care"/>
    <m/>
    <m/>
    <n v="536.29999999999995"/>
    <m/>
    <m/>
    <s v="debit"/>
    <m/>
    <x v="1684"/>
    <m/>
    <m/>
  </r>
  <r>
    <x v="40"/>
    <d v="2022-05-24T00:00:00"/>
    <s v="Cash Rewards Visa Signature"/>
    <x v="2004"/>
    <n v="6"/>
    <x v="26"/>
    <s v="Shopping"/>
    <m/>
    <m/>
    <n v="6"/>
    <m/>
    <m/>
    <s v="debit"/>
    <m/>
    <x v="1854"/>
    <m/>
    <m/>
  </r>
  <r>
    <x v="40"/>
    <d v="2022-05-24T00:00:00"/>
    <s v="POWERPLUS"/>
    <x v="1849"/>
    <n v="180"/>
    <x v="8"/>
    <s v="Shopping"/>
    <m/>
    <m/>
    <n v="180"/>
    <m/>
    <m/>
    <s v="debit"/>
    <m/>
    <x v="1704"/>
    <m/>
    <m/>
  </r>
  <r>
    <x v="40"/>
    <d v="2022-05-24T00:00:00"/>
    <s v="Cash Rewards Visa Signature"/>
    <x v="55"/>
    <n v="26.18"/>
    <x v="5"/>
    <s v="Shopping"/>
    <m/>
    <m/>
    <n v="26.18"/>
    <m/>
    <m/>
    <s v="debit"/>
    <m/>
    <x v="55"/>
    <m/>
    <m/>
  </r>
  <r>
    <x v="40"/>
    <d v="2022-05-24T00:00:00"/>
    <s v="POWERPLUS"/>
    <x v="1817"/>
    <n v="3843.31"/>
    <x v="26"/>
    <s v="Delete"/>
    <m/>
    <m/>
    <n v="3843.31"/>
    <m/>
    <m/>
    <s v="debit"/>
    <m/>
    <x v="1672"/>
    <m/>
    <m/>
  </r>
  <r>
    <x v="40"/>
    <d v="2022-05-24T00:00:00"/>
    <s v="POWERPLUS CHECKING"/>
    <x v="2019"/>
    <n v="5150"/>
    <x v="26"/>
    <s v="Delete"/>
    <m/>
    <m/>
    <n v="5150"/>
    <m/>
    <m/>
    <s v="debit"/>
    <m/>
    <x v="1869"/>
    <m/>
    <m/>
  </r>
  <r>
    <x v="40"/>
    <d v="2022-05-24T00:00:00"/>
    <s v="Cash Rewards Visa Signature"/>
    <x v="1879"/>
    <n v="-3843.31"/>
    <x v="3"/>
    <s v="Delete"/>
    <m/>
    <m/>
    <n v="3843.31"/>
    <m/>
    <m/>
    <s v="credit"/>
    <m/>
    <x v="1732"/>
    <m/>
    <m/>
  </r>
  <r>
    <x v="40"/>
    <d v="2022-05-24T00:00:00"/>
    <s v="POWERPLUS"/>
    <x v="2020"/>
    <n v="18.02"/>
    <x v="3"/>
    <s v="Delete"/>
    <m/>
    <m/>
    <n v="18.02"/>
    <m/>
    <m/>
    <s v="debit"/>
    <m/>
    <x v="1870"/>
    <m/>
    <m/>
  </r>
  <r>
    <x v="40"/>
    <d v="2022-05-25T00:00:00"/>
    <s v="Cash Rewards Visa Signature"/>
    <x v="1955"/>
    <n v="10.42"/>
    <x v="1"/>
    <s v="Restaurants"/>
    <m/>
    <m/>
    <n v="10.42"/>
    <m/>
    <m/>
    <s v="debit"/>
    <m/>
    <x v="1807"/>
    <m/>
    <m/>
  </r>
  <r>
    <x v="40"/>
    <d v="2022-05-25T00:00:00"/>
    <s v="Cash Rewards Visa Signature"/>
    <x v="1955"/>
    <n v="5.32"/>
    <x v="1"/>
    <s v="Restaurants"/>
    <m/>
    <m/>
    <n v="5.32"/>
    <m/>
    <m/>
    <s v="debit"/>
    <m/>
    <x v="1807"/>
    <m/>
    <m/>
  </r>
  <r>
    <x v="40"/>
    <d v="2022-05-25T00:00:00"/>
    <s v="Cash Rewards Visa Signature"/>
    <x v="1955"/>
    <n v="8.6999999999999993"/>
    <x v="1"/>
    <s v="Restaurants"/>
    <m/>
    <m/>
    <n v="8.6999999999999993"/>
    <m/>
    <m/>
    <s v="debit"/>
    <m/>
    <x v="1807"/>
    <m/>
    <m/>
  </r>
  <r>
    <x v="40"/>
    <d v="2022-05-25T00:00:00"/>
    <s v="POWERPLUS"/>
    <x v="446"/>
    <n v="-391.72"/>
    <x v="26"/>
    <s v="Delete"/>
    <m/>
    <m/>
    <n v="391.72"/>
    <m/>
    <m/>
    <s v="credit"/>
    <m/>
    <x v="430"/>
    <m/>
    <m/>
  </r>
  <r>
    <x v="40"/>
    <d v="2022-05-25T00:00:00"/>
    <s v="POWERPLUS"/>
    <x v="1849"/>
    <n v="28.08"/>
    <x v="8"/>
    <s v="Shopping"/>
    <m/>
    <m/>
    <n v="28.08"/>
    <m/>
    <m/>
    <s v="debit"/>
    <m/>
    <x v="1704"/>
    <m/>
    <m/>
  </r>
  <r>
    <x v="40"/>
    <d v="2022-05-26T00:00:00"/>
    <s v="POWERPLUS"/>
    <x v="1901"/>
    <n v="-149.16"/>
    <x v="26"/>
    <s v="Inc - Britney"/>
    <m/>
    <m/>
    <n v="149.16"/>
    <m/>
    <m/>
    <s v="credit"/>
    <m/>
    <x v="1754"/>
    <m/>
    <m/>
  </r>
  <r>
    <x v="40"/>
    <d v="2022-05-26T00:00:00"/>
    <s v="POWERPLUS"/>
    <x v="1913"/>
    <n v="-2448.7199999999998"/>
    <x v="26"/>
    <s v="Inc - Britney"/>
    <m/>
    <m/>
    <n v="2448.7199999999998"/>
    <m/>
    <m/>
    <s v="credit"/>
    <m/>
    <x v="1766"/>
    <m/>
    <m/>
  </r>
  <r>
    <x v="40"/>
    <d v="2022-05-26T00:00:00"/>
    <s v="POWERPLUS"/>
    <x v="1849"/>
    <n v="42.98"/>
    <x v="8"/>
    <s v="Shopping"/>
    <m/>
    <m/>
    <n v="42.98"/>
    <m/>
    <m/>
    <s v="debit"/>
    <m/>
    <x v="1704"/>
    <m/>
    <m/>
  </r>
  <r>
    <x v="40"/>
    <d v="2022-05-26T00:00:00"/>
    <s v="POWERPLUS"/>
    <x v="1908"/>
    <n v="461.55"/>
    <x v="26"/>
    <s v="Target"/>
    <m/>
    <m/>
    <n v="461.55"/>
    <m/>
    <m/>
    <s v="debit"/>
    <m/>
    <x v="1761"/>
    <m/>
    <m/>
  </r>
  <r>
    <x v="40"/>
    <d v="2022-05-27T00:00:00"/>
    <s v="Cash Rewards Visa Signature"/>
    <x v="1881"/>
    <n v="29"/>
    <x v="5"/>
    <s v="Transportation"/>
    <m/>
    <m/>
    <n v="29"/>
    <m/>
    <m/>
    <s v="debit"/>
    <m/>
    <x v="1734"/>
    <m/>
    <m/>
  </r>
  <r>
    <x v="40"/>
    <d v="2022-05-27T00:00:00"/>
    <s v="Cash Rewards Visa Signature"/>
    <x v="2021"/>
    <n v="14.17"/>
    <x v="26"/>
    <s v="Restaurants"/>
    <m/>
    <m/>
    <n v="14.17"/>
    <m/>
    <m/>
    <s v="debit"/>
    <m/>
    <x v="1871"/>
    <m/>
    <m/>
  </r>
  <r>
    <x v="40"/>
    <d v="2022-05-27T00:00:00"/>
    <s v="Cash Rewards Visa Signature"/>
    <x v="2022"/>
    <n v="27.24"/>
    <x v="26"/>
    <s v="Shopping"/>
    <m/>
    <m/>
    <n v="27.24"/>
    <m/>
    <m/>
    <s v="debit"/>
    <m/>
    <x v="1872"/>
    <m/>
    <m/>
  </r>
  <r>
    <x v="40"/>
    <d v="2022-05-27T00:00:00"/>
    <s v="DISCOVER MORE CARD"/>
    <x v="2023"/>
    <n v="23.56"/>
    <x v="26"/>
    <s v="Restaurants"/>
    <m/>
    <m/>
    <n v="23.56"/>
    <m/>
    <m/>
    <s v="debit"/>
    <m/>
    <x v="1873"/>
    <m/>
    <m/>
  </r>
  <r>
    <x v="40"/>
    <d v="2022-05-28T00:00:00"/>
    <s v="DISCOVER MORE CARD"/>
    <x v="2024"/>
    <n v="20.68"/>
    <x v="26"/>
    <s v="Restaurants"/>
    <m/>
    <m/>
    <n v="20.68"/>
    <m/>
    <m/>
    <s v="debit"/>
    <m/>
    <x v="1874"/>
    <m/>
    <m/>
  </r>
  <r>
    <x v="40"/>
    <d v="2022-05-29T00:00:00"/>
    <s v="DISCOVER MORE CARD"/>
    <x v="2025"/>
    <n v="65.67"/>
    <x v="26"/>
    <s v="Restaurants"/>
    <m/>
    <m/>
    <n v="65.67"/>
    <m/>
    <m/>
    <s v="debit"/>
    <m/>
    <x v="1875"/>
    <m/>
    <m/>
  </r>
  <r>
    <x v="40"/>
    <d v="2022-05-29T00:00:00"/>
    <s v="Cash Rewards Visa Signature"/>
    <x v="2026"/>
    <n v="100"/>
    <x v="26"/>
    <s v="misc"/>
    <m/>
    <m/>
    <n v="100"/>
    <m/>
    <m/>
    <s v="debit"/>
    <m/>
    <x v="1876"/>
    <m/>
    <m/>
  </r>
  <r>
    <x v="40"/>
    <d v="2022-05-29T00:00:00"/>
    <s v="DISCOVER MORE CARD"/>
    <x v="2027"/>
    <n v="99.51"/>
    <x v="26"/>
    <s v="Travel"/>
    <m/>
    <m/>
    <n v="99.51"/>
    <m/>
    <m/>
    <s v="debit"/>
    <m/>
    <x v="1877"/>
    <m/>
    <m/>
  </r>
  <r>
    <x v="40"/>
    <d v="2022-05-29T00:00:00"/>
    <s v="DISCOVER MORE CARD"/>
    <x v="2028"/>
    <n v="45.19"/>
    <x v="26"/>
    <s v="Travel"/>
    <m/>
    <m/>
    <n v="45.19"/>
    <m/>
    <m/>
    <s v="debit"/>
    <m/>
    <x v="1878"/>
    <m/>
    <m/>
  </r>
  <r>
    <x v="40"/>
    <d v="2022-05-29T00:00:00"/>
    <s v="Cash Rewards Visa Signature"/>
    <x v="823"/>
    <n v="61.46"/>
    <x v="2"/>
    <s v="Transportation"/>
    <m/>
    <m/>
    <n v="61.46"/>
    <m/>
    <m/>
    <s v="debit"/>
    <m/>
    <x v="792"/>
    <m/>
    <m/>
  </r>
  <r>
    <x v="40"/>
    <d v="2022-05-29T00:00:00"/>
    <s v="POWERPLUS"/>
    <x v="1836"/>
    <n v="-3291.22"/>
    <x v="26"/>
    <s v="Delete"/>
    <m/>
    <m/>
    <n v="3291.22"/>
    <m/>
    <m/>
    <s v="credit"/>
    <m/>
    <x v="1691"/>
    <m/>
    <m/>
  </r>
  <r>
    <x v="40"/>
    <d v="2022-05-29T00:00:00"/>
    <s v="Cash Rewards Visa Signature"/>
    <x v="34"/>
    <n v="8.35"/>
    <x v="12"/>
    <s v="Target"/>
    <m/>
    <m/>
    <n v="8.35"/>
    <m/>
    <m/>
    <s v="debit"/>
    <m/>
    <x v="34"/>
    <m/>
    <m/>
  </r>
  <r>
    <x v="40"/>
    <d v="2022-05-29T00:00:00"/>
    <s v="Cash Rewards Visa Signature"/>
    <x v="2029"/>
    <n v="22.05"/>
    <x v="26"/>
    <s v="Groceries"/>
    <m/>
    <m/>
    <n v="22.05"/>
    <m/>
    <m/>
    <s v="debit"/>
    <m/>
    <x v="1879"/>
    <m/>
    <m/>
  </r>
  <r>
    <x v="40"/>
    <d v="2022-05-30T00:00:00"/>
    <s v="DISCOVER MORE CARD"/>
    <x v="2030"/>
    <n v="47.81"/>
    <x v="26"/>
    <s v="Transportation"/>
    <m/>
    <m/>
    <n v="47.81"/>
    <m/>
    <m/>
    <s v="debit"/>
    <m/>
    <x v="1880"/>
    <m/>
    <m/>
  </r>
  <r>
    <x v="40"/>
    <d v="2022-05-30T00:00:00"/>
    <s v="DISCOVER MORE CARD"/>
    <x v="2024"/>
    <n v="61.23"/>
    <x v="26"/>
    <s v="Restaurants"/>
    <m/>
    <m/>
    <n v="61.23"/>
    <m/>
    <m/>
    <s v="debit"/>
    <m/>
    <x v="1874"/>
    <m/>
    <m/>
  </r>
  <r>
    <x v="40"/>
    <d v="2022-05-30T00:00:00"/>
    <s v="Manual"/>
    <x v="1850"/>
    <n v="250"/>
    <x v="33"/>
    <e v="#N/A"/>
    <s v="Exp - Cleaning"/>
    <m/>
    <m/>
    <m/>
    <m/>
    <m/>
    <m/>
    <x v="1705"/>
    <m/>
    <m/>
  </r>
  <r>
    <x v="40"/>
    <d v="2022-05-31T00:00:00"/>
    <s v="Cash Rewards Visa Signature"/>
    <x v="2031"/>
    <n v="83.89"/>
    <x v="26"/>
    <s v="Amazon"/>
    <m/>
    <m/>
    <n v="83.89"/>
    <m/>
    <m/>
    <s v="debit"/>
    <m/>
    <x v="1881"/>
    <m/>
    <m/>
  </r>
  <r>
    <x v="40"/>
    <d v="2022-05-31T00:00:00"/>
    <s v="POWERPLUS"/>
    <x v="1040"/>
    <n v="-2.95"/>
    <x v="26"/>
    <s v="Delete"/>
    <m/>
    <m/>
    <n v="2.95"/>
    <m/>
    <m/>
    <s v="credit"/>
    <m/>
    <x v="994"/>
    <m/>
    <m/>
  </r>
  <r>
    <x v="40"/>
    <d v="2022-05-31T00:00:00"/>
    <s v="POWERPLUS"/>
    <x v="1916"/>
    <n v="-23.6"/>
    <x v="26"/>
    <s v="Dividend"/>
    <m/>
    <m/>
    <n v="23.6"/>
    <m/>
    <m/>
    <s v="credit"/>
    <m/>
    <x v="1769"/>
    <m/>
    <m/>
  </r>
  <r>
    <x v="40"/>
    <d v="2022-05-31T00:00:00"/>
    <s v="RAINY DAY"/>
    <x v="2032"/>
    <n v="-14.62"/>
    <x v="26"/>
    <s v="Delete"/>
    <m/>
    <m/>
    <n v="14.62"/>
    <m/>
    <m/>
    <s v="credit"/>
    <m/>
    <x v="1882"/>
    <m/>
    <m/>
  </r>
  <r>
    <x v="40"/>
    <d v="2022-05-31T00:00:00"/>
    <s v="Cash Rewards Visa Signature"/>
    <x v="2004"/>
    <n v="20"/>
    <x v="26"/>
    <s v="Shopping"/>
    <m/>
    <m/>
    <n v="20"/>
    <m/>
    <m/>
    <s v="debit"/>
    <m/>
    <x v="1854"/>
    <m/>
    <m/>
  </r>
  <r>
    <x v="40"/>
    <d v="2022-05-31T00:00:00"/>
    <s v="POWERPLUS"/>
    <x v="1849"/>
    <n v="571.24"/>
    <x v="8"/>
    <s v="Shopping"/>
    <m/>
    <m/>
    <n v="571.24"/>
    <m/>
    <m/>
    <s v="debit"/>
    <m/>
    <x v="1704"/>
    <m/>
    <m/>
  </r>
  <r>
    <x v="40"/>
    <d v="2022-05-31T00:00:00"/>
    <s v="POWERPLUS"/>
    <x v="1849"/>
    <n v="467.08"/>
    <x v="8"/>
    <s v="Shopping"/>
    <m/>
    <m/>
    <n v="467.08"/>
    <m/>
    <m/>
    <s v="debit"/>
    <m/>
    <x v="1704"/>
    <m/>
    <m/>
  </r>
  <r>
    <x v="40"/>
    <d v="2022-05-31T00:00:00"/>
    <s v="POWERPLUS"/>
    <x v="1849"/>
    <n v="95.19"/>
    <x v="8"/>
    <s v="Shopping"/>
    <m/>
    <m/>
    <n v="95.19"/>
    <m/>
    <m/>
    <s v="debit"/>
    <m/>
    <x v="1704"/>
    <m/>
    <m/>
  </r>
  <r>
    <x v="40"/>
    <d v="2022-05-31T00:00:00"/>
    <s v="POWERPLUS"/>
    <x v="1849"/>
    <n v="0.99"/>
    <x v="8"/>
    <s v="Shopping"/>
    <m/>
    <m/>
    <n v="0.99"/>
    <m/>
    <m/>
    <s v="debit"/>
    <m/>
    <x v="1704"/>
    <m/>
    <m/>
  </r>
  <r>
    <x v="40"/>
    <d v="2022-05-31T00:00:00"/>
    <s v="POWERPLUS"/>
    <x v="1849"/>
    <n v="0.99"/>
    <x v="8"/>
    <s v="Shopping"/>
    <m/>
    <m/>
    <n v="0.99"/>
    <m/>
    <m/>
    <s v="debit"/>
    <m/>
    <x v="1704"/>
    <m/>
    <m/>
  </r>
  <r>
    <x v="40"/>
    <d v="2022-05-31T00:00:00"/>
    <s v="POWERPLUS"/>
    <x v="1827"/>
    <n v="38"/>
    <x v="8"/>
    <s v="Travel"/>
    <m/>
    <m/>
    <n v="38"/>
    <m/>
    <m/>
    <s v="debit"/>
    <m/>
    <x v="1682"/>
    <m/>
    <m/>
  </r>
  <r>
    <x v="40"/>
    <d v="2022-05-31T00:00:00"/>
    <s v="POWERPLUS"/>
    <x v="1814"/>
    <n v="26.88"/>
    <x v="26"/>
    <s v="Shopping"/>
    <m/>
    <m/>
    <n v="26.88"/>
    <m/>
    <m/>
    <s v="debit"/>
    <m/>
    <x v="1669"/>
    <m/>
    <m/>
  </r>
  <r>
    <x v="41"/>
    <d v="2022-06-01T00:00:00"/>
    <s v="DISCOVER MORE CARD"/>
    <x v="2033"/>
    <n v="5.36"/>
    <x v="26"/>
    <s v="Entertainment"/>
    <m/>
    <m/>
    <n v="5.36"/>
    <m/>
    <m/>
    <s v="debit"/>
    <m/>
    <x v="1883"/>
    <m/>
    <m/>
  </r>
  <r>
    <x v="41"/>
    <d v="2022-06-01T00:00:00"/>
    <s v="Cash Rewards Visa Signature"/>
    <x v="2034"/>
    <n v="18.2"/>
    <x v="26"/>
    <s v="Shopping"/>
    <m/>
    <m/>
    <n v="18.2"/>
    <m/>
    <m/>
    <s v="debit"/>
    <m/>
    <x v="1884"/>
    <m/>
    <m/>
  </r>
  <r>
    <x v="41"/>
    <d v="2022-06-01T00:00:00"/>
    <s v="Cash Rewards Visa Signature"/>
    <x v="2034"/>
    <n v="39.200000000000003"/>
    <x v="26"/>
    <s v="Shopping"/>
    <m/>
    <m/>
    <n v="39.200000000000003"/>
    <m/>
    <m/>
    <s v="debit"/>
    <m/>
    <x v="1884"/>
    <m/>
    <m/>
  </r>
  <r>
    <x v="41"/>
    <d v="2022-06-01T00:00:00"/>
    <s v="Cash Rewards Visa Signature"/>
    <x v="2035"/>
    <n v="31.66"/>
    <x v="26"/>
    <s v="Restaurants"/>
    <m/>
    <m/>
    <n v="31.66"/>
    <m/>
    <m/>
    <s v="debit"/>
    <m/>
    <x v="1885"/>
    <m/>
    <m/>
  </r>
  <r>
    <x v="41"/>
    <d v="2022-06-01T00:00:00"/>
    <s v="POWERPLUS"/>
    <x v="1848"/>
    <n v="200"/>
    <x v="26"/>
    <s v="Delete"/>
    <m/>
    <m/>
    <n v="200"/>
    <m/>
    <m/>
    <s v="debit"/>
    <m/>
    <x v="1703"/>
    <m/>
    <m/>
  </r>
  <r>
    <x v="41"/>
    <d v="2022-06-01T00:00:00"/>
    <s v="HIGHLANDER"/>
    <x v="976"/>
    <n v="-597.84"/>
    <x v="3"/>
    <s v="Car Loan"/>
    <s v="Delete"/>
    <m/>
    <n v="597.84"/>
    <m/>
    <m/>
    <s v="credit"/>
    <m/>
    <x v="936"/>
    <m/>
    <m/>
  </r>
  <r>
    <x v="41"/>
    <d v="2022-06-01T00:00:00"/>
    <s v="POWERPLUS"/>
    <x v="2036"/>
    <n v="-1250"/>
    <x v="26"/>
    <s v="Delete"/>
    <m/>
    <m/>
    <n v="1250"/>
    <m/>
    <m/>
    <s v="credit"/>
    <m/>
    <x v="1886"/>
    <m/>
    <m/>
  </r>
  <r>
    <x v="41"/>
    <d v="2022-06-01T00:00:00"/>
    <s v="POWERPLUS"/>
    <x v="1829"/>
    <n v="536.29999999999995"/>
    <x v="26"/>
    <s v="Day Care"/>
    <m/>
    <m/>
    <n v="536.29999999999995"/>
    <m/>
    <m/>
    <s v="debit"/>
    <m/>
    <x v="1684"/>
    <m/>
    <m/>
  </r>
  <r>
    <x v="41"/>
    <d v="2022-06-01T00:00:00"/>
    <s v="Cash Rewards Visa Signature"/>
    <x v="2037"/>
    <n v="152"/>
    <x v="26"/>
    <s v="Shopping"/>
    <m/>
    <m/>
    <n v="152"/>
    <m/>
    <m/>
    <s v="debit"/>
    <m/>
    <x v="1887"/>
    <m/>
    <m/>
  </r>
  <r>
    <x v="41"/>
    <d v="2022-06-01T00:00:00"/>
    <s v="Cash Rewards Visa Signature"/>
    <x v="2037"/>
    <n v="226"/>
    <x v="26"/>
    <s v="Shopping"/>
    <m/>
    <m/>
    <n v="226"/>
    <m/>
    <m/>
    <s v="debit"/>
    <m/>
    <x v="1887"/>
    <m/>
    <m/>
  </r>
  <r>
    <x v="41"/>
    <d v="2022-06-01T00:00:00"/>
    <s v="POWERPLUS"/>
    <x v="979"/>
    <n v="618.65"/>
    <x v="26"/>
    <s v="Car Loan"/>
    <m/>
    <m/>
    <n v="618.65"/>
    <m/>
    <m/>
    <s v="debit"/>
    <m/>
    <x v="939"/>
    <m/>
    <m/>
  </r>
  <r>
    <x v="41"/>
    <d v="2022-06-01T00:00:00"/>
    <s v="Cash Rewards Visa Signature"/>
    <x v="2038"/>
    <n v="32.409999999999997"/>
    <x v="26"/>
    <s v="Shopping"/>
    <m/>
    <m/>
    <n v="32.409999999999997"/>
    <m/>
    <m/>
    <s v="debit"/>
    <m/>
    <x v="1888"/>
    <m/>
    <m/>
  </r>
  <r>
    <x v="41"/>
    <d v="2022-06-01T00:00:00"/>
    <s v="Cash Rewards Visa Signature"/>
    <x v="2038"/>
    <n v="136.11000000000001"/>
    <x v="26"/>
    <s v="Shopping"/>
    <m/>
    <m/>
    <n v="136.11000000000001"/>
    <m/>
    <m/>
    <s v="debit"/>
    <m/>
    <x v="1888"/>
    <m/>
    <m/>
  </r>
  <r>
    <x v="41"/>
    <d v="2022-06-01T00:00:00"/>
    <s v="30 YR FIXED"/>
    <x v="935"/>
    <n v="-769.49"/>
    <x v="3"/>
    <s v="Delete"/>
    <m/>
    <m/>
    <n v="769.49"/>
    <m/>
    <m/>
    <s v="credit"/>
    <m/>
    <x v="899"/>
    <m/>
    <m/>
  </r>
  <r>
    <x v="41"/>
    <d v="2022-06-01T00:00:00"/>
    <s v="POWERPLUS"/>
    <x v="1844"/>
    <n v="3003.94"/>
    <x v="6"/>
    <s v="Rent"/>
    <m/>
    <m/>
    <n v="2572.94"/>
    <m/>
    <m/>
    <s v="debit"/>
    <m/>
    <x v="1699"/>
    <m/>
    <m/>
  </r>
  <r>
    <x v="41"/>
    <d v="2022-06-01T00:00:00"/>
    <s v="POWERPLUS"/>
    <x v="1823"/>
    <n v="-130.24"/>
    <x v="26"/>
    <s v="Delete"/>
    <m/>
    <m/>
    <n v="130.24"/>
    <m/>
    <m/>
    <s v="credit"/>
    <m/>
    <x v="1678"/>
    <m/>
    <m/>
  </r>
  <r>
    <x v="41"/>
    <d v="2022-06-02T00:00:00"/>
    <s v="Cash Rewards Visa Signature"/>
    <x v="2034"/>
    <n v="16.8"/>
    <x v="26"/>
    <s v="Shopping"/>
    <m/>
    <m/>
    <n v="16.8"/>
    <m/>
    <m/>
    <s v="debit"/>
    <m/>
    <x v="1884"/>
    <m/>
    <m/>
  </r>
  <r>
    <x v="41"/>
    <d v="2022-06-02T00:00:00"/>
    <s v="Cash Rewards Visa Signature"/>
    <x v="2039"/>
    <n v="93.37"/>
    <x v="26"/>
    <s v="Groceries"/>
    <m/>
    <m/>
    <n v="93.37"/>
    <m/>
    <m/>
    <s v="debit"/>
    <m/>
    <x v="1889"/>
    <m/>
    <m/>
  </r>
  <r>
    <x v="41"/>
    <d v="2022-06-02T00:00:00"/>
    <s v="Cash Rewards Visa Signature"/>
    <x v="2040"/>
    <n v="52"/>
    <x v="26"/>
    <s v="misc"/>
    <m/>
    <m/>
    <n v="52"/>
    <m/>
    <m/>
    <s v="debit"/>
    <m/>
    <x v="1890"/>
    <m/>
    <m/>
  </r>
  <r>
    <x v="41"/>
    <d v="2022-06-02T00:00:00"/>
    <s v="POWERPLUS"/>
    <x v="2041"/>
    <n v="15.11"/>
    <x v="26"/>
    <s v="Shopping"/>
    <m/>
    <m/>
    <n v="15.11"/>
    <m/>
    <m/>
    <s v="debit"/>
    <m/>
    <x v="1891"/>
    <m/>
    <m/>
  </r>
  <r>
    <x v="41"/>
    <d v="2022-06-02T00:00:00"/>
    <s v="POWERPLUS"/>
    <x v="2042"/>
    <n v="200"/>
    <x v="26"/>
    <s v="Shopping"/>
    <m/>
    <m/>
    <n v="200"/>
    <m/>
    <m/>
    <s v="debit"/>
    <m/>
    <x v="1892"/>
    <m/>
    <m/>
  </r>
  <r>
    <x v="41"/>
    <d v="2022-06-03T00:00:00"/>
    <s v="Cash Rewards Visa Signature"/>
    <x v="1328"/>
    <n v="21.43"/>
    <x v="26"/>
    <s v="Shopping"/>
    <m/>
    <m/>
    <n v="21.43"/>
    <m/>
    <m/>
    <s v="debit"/>
    <m/>
    <x v="1255"/>
    <m/>
    <m/>
  </r>
  <r>
    <x v="41"/>
    <d v="2022-06-03T00:00:00"/>
    <s v="Cash Rewards Visa Signature"/>
    <x v="1328"/>
    <n v="5"/>
    <x v="26"/>
    <s v="Shopping"/>
    <m/>
    <m/>
    <n v="5"/>
    <m/>
    <m/>
    <s v="debit"/>
    <m/>
    <x v="1255"/>
    <m/>
    <m/>
  </r>
  <r>
    <x v="41"/>
    <d v="2022-06-03T00:00:00"/>
    <s v="Cash Rewards Visa Signature"/>
    <x v="255"/>
    <n v="94.62"/>
    <x v="5"/>
    <s v="Groceries"/>
    <m/>
    <m/>
    <n v="94.62"/>
    <m/>
    <m/>
    <s v="debit"/>
    <m/>
    <x v="253"/>
    <m/>
    <m/>
  </r>
  <r>
    <x v="41"/>
    <d v="2022-06-03T00:00:00"/>
    <s v="Cash Rewards Visa Signature"/>
    <x v="1920"/>
    <n v="18"/>
    <x v="26"/>
    <s v="Entertainment"/>
    <m/>
    <m/>
    <n v="18"/>
    <m/>
    <m/>
    <s v="debit"/>
    <m/>
    <x v="1773"/>
    <m/>
    <m/>
  </r>
  <r>
    <x v="41"/>
    <d v="2022-06-03T00:00:00"/>
    <s v="Cash Rewards Visa Signature"/>
    <x v="487"/>
    <n v="39"/>
    <x v="8"/>
    <s v="Shopping"/>
    <m/>
    <m/>
    <n v="39"/>
    <m/>
    <m/>
    <s v="debit"/>
    <m/>
    <x v="470"/>
    <m/>
    <m/>
  </r>
  <r>
    <x v="41"/>
    <d v="2022-06-03T00:00:00"/>
    <s v="POWERPLUS"/>
    <x v="1849"/>
    <n v="65.44"/>
    <x v="8"/>
    <s v="Shopping"/>
    <m/>
    <m/>
    <n v="65.44"/>
    <m/>
    <m/>
    <s v="debit"/>
    <m/>
    <x v="1704"/>
    <m/>
    <m/>
  </r>
  <r>
    <x v="41"/>
    <d v="2022-06-03T00:00:00"/>
    <s v="POWERPLUS"/>
    <x v="1827"/>
    <n v="30"/>
    <x v="8"/>
    <s v="Travel"/>
    <m/>
    <m/>
    <n v="30"/>
    <m/>
    <m/>
    <s v="debit"/>
    <m/>
    <x v="1682"/>
    <m/>
    <m/>
  </r>
  <r>
    <x v="41"/>
    <d v="2022-06-03T00:00:00"/>
    <s v="POWERPLUS"/>
    <x v="1827"/>
    <n v="29"/>
    <x v="8"/>
    <s v="Travel"/>
    <m/>
    <m/>
    <n v="29"/>
    <m/>
    <m/>
    <s v="debit"/>
    <m/>
    <x v="1682"/>
    <m/>
    <m/>
  </r>
  <r>
    <x v="41"/>
    <d v="2022-06-05T00:00:00"/>
    <s v="Cash Rewards Visa Signature"/>
    <x v="1328"/>
    <n v="12.8"/>
    <x v="26"/>
    <s v="Shopping"/>
    <m/>
    <m/>
    <n v="12.8"/>
    <m/>
    <m/>
    <s v="debit"/>
    <m/>
    <x v="1255"/>
    <m/>
    <m/>
  </r>
  <r>
    <x v="41"/>
    <d v="2022-06-05T00:00:00"/>
    <s v="Cash Rewards Visa Signature"/>
    <x v="1328"/>
    <n v="122.39"/>
    <x v="26"/>
    <s v="Shopping"/>
    <m/>
    <m/>
    <n v="122.39"/>
    <m/>
    <m/>
    <s v="debit"/>
    <m/>
    <x v="1255"/>
    <m/>
    <m/>
  </r>
  <r>
    <x v="41"/>
    <d v="2022-06-05T00:00:00"/>
    <s v="Cash Rewards Visa Signature"/>
    <x v="6"/>
    <n v="34.950000000000003"/>
    <x v="5"/>
    <s v="Groceries"/>
    <m/>
    <m/>
    <n v="34.950000000000003"/>
    <m/>
    <m/>
    <s v="debit"/>
    <m/>
    <x v="6"/>
    <m/>
    <m/>
  </r>
  <r>
    <x v="41"/>
    <d v="2022-06-05T00:00:00"/>
    <s v="Cash Rewards Visa Signature"/>
    <x v="34"/>
    <n v="13.95"/>
    <x v="12"/>
    <s v="Target"/>
    <m/>
    <m/>
    <n v="13.95"/>
    <m/>
    <m/>
    <s v="debit"/>
    <m/>
    <x v="34"/>
    <m/>
    <m/>
  </r>
  <r>
    <x v="41"/>
    <d v="2022-06-05T00:00:00"/>
    <s v="Cash Rewards Visa Signature"/>
    <x v="1859"/>
    <n v="103.17"/>
    <x v="26"/>
    <s v="Groceries"/>
    <m/>
    <m/>
    <n v="103.17"/>
    <m/>
    <m/>
    <s v="debit"/>
    <m/>
    <x v="1713"/>
    <m/>
    <m/>
  </r>
  <r>
    <x v="41"/>
    <d v="2022-06-05T00:00:00"/>
    <s v="Cash Rewards Visa Signature"/>
    <x v="2043"/>
    <n v="77.680000000000007"/>
    <x v="26"/>
    <s v="Restaurants"/>
    <m/>
    <m/>
    <n v="77.680000000000007"/>
    <m/>
    <m/>
    <s v="debit"/>
    <m/>
    <x v="1893"/>
    <m/>
    <m/>
  </r>
  <r>
    <x v="41"/>
    <d v="2022-06-06T00:00:00"/>
    <s v="SHARE SAVINGS"/>
    <x v="1986"/>
    <n v="-55"/>
    <x v="26"/>
    <s v="Delete"/>
    <m/>
    <m/>
    <n v="55"/>
    <m/>
    <m/>
    <s v="credit"/>
    <m/>
    <x v="1836"/>
    <m/>
    <m/>
  </r>
  <r>
    <x v="41"/>
    <d v="2022-06-06T00:00:00"/>
    <s v="Cash Rewards Visa Signature"/>
    <x v="2044"/>
    <n v="98.75"/>
    <x v="8"/>
    <s v="Shopping"/>
    <m/>
    <m/>
    <n v="98.75"/>
    <m/>
    <m/>
    <s v="debit"/>
    <m/>
    <x v="1894"/>
    <m/>
    <m/>
  </r>
  <r>
    <x v="41"/>
    <d v="2022-06-06T00:00:00"/>
    <s v="Cash Rewards Visa Signature"/>
    <x v="150"/>
    <n v="17.600000000000001"/>
    <x v="26"/>
    <s v="Shopping"/>
    <m/>
    <m/>
    <n v="17.600000000000001"/>
    <m/>
    <m/>
    <s v="debit"/>
    <m/>
    <x v="149"/>
    <m/>
    <m/>
  </r>
  <r>
    <x v="41"/>
    <d v="2022-06-06T00:00:00"/>
    <s v="POWERPLUS"/>
    <x v="1849"/>
    <n v="61.9"/>
    <x v="8"/>
    <s v="Shopping"/>
    <m/>
    <m/>
    <n v="61.9"/>
    <m/>
    <m/>
    <s v="debit"/>
    <m/>
    <x v="1704"/>
    <m/>
    <m/>
  </r>
  <r>
    <x v="41"/>
    <d v="2022-06-07T00:00:00"/>
    <s v="Cash Rewards Visa Signature"/>
    <x v="1328"/>
    <n v="39.200000000000003"/>
    <x v="26"/>
    <s v="Shopping"/>
    <m/>
    <m/>
    <n v="39.200000000000003"/>
    <m/>
    <m/>
    <s v="debit"/>
    <m/>
    <x v="1255"/>
    <m/>
    <m/>
  </r>
  <r>
    <x v="41"/>
    <d v="2022-06-07T00:00:00"/>
    <s v="Cash Rewards Visa Signature"/>
    <x v="1973"/>
    <n v="285"/>
    <x v="26"/>
    <s v="Shopping"/>
    <m/>
    <m/>
    <n v="285"/>
    <m/>
    <m/>
    <s v="debit"/>
    <m/>
    <x v="1823"/>
    <m/>
    <m/>
  </r>
  <r>
    <x v="41"/>
    <d v="2022-06-07T00:00:00"/>
    <s v="POWERPLUS"/>
    <x v="1869"/>
    <n v="151.80000000000001"/>
    <x v="11"/>
    <s v="Utilities"/>
    <m/>
    <m/>
    <n v="151.80000000000001"/>
    <m/>
    <m/>
    <s v="debit"/>
    <m/>
    <x v="1723"/>
    <m/>
    <m/>
  </r>
  <r>
    <x v="41"/>
    <d v="2022-06-08T00:00:00"/>
    <s v="POWERPLUS"/>
    <x v="1848"/>
    <n v="220"/>
    <x v="26"/>
    <s v="Delete"/>
    <m/>
    <m/>
    <n v="220"/>
    <m/>
    <m/>
    <s v="debit"/>
    <m/>
    <x v="1703"/>
    <m/>
    <m/>
  </r>
  <r>
    <x v="41"/>
    <d v="2022-06-08T00:00:00"/>
    <s v="Cash Rewards Visa Signature"/>
    <x v="1932"/>
    <n v="13.83"/>
    <x v="26"/>
    <s v="Restaurants"/>
    <m/>
    <m/>
    <n v="13.83"/>
    <m/>
    <m/>
    <s v="debit"/>
    <m/>
    <x v="1785"/>
    <m/>
    <m/>
  </r>
  <r>
    <x v="41"/>
    <d v="2022-06-08T00:00:00"/>
    <s v="Cash Rewards Visa Signature"/>
    <x v="823"/>
    <n v="73.92"/>
    <x v="2"/>
    <s v="Transportation"/>
    <m/>
    <m/>
    <n v="73.92"/>
    <m/>
    <m/>
    <s v="debit"/>
    <m/>
    <x v="792"/>
    <m/>
    <m/>
  </r>
  <r>
    <x v="41"/>
    <d v="2022-06-08T00:00:00"/>
    <s v="DISCOVER MORE CARD"/>
    <x v="2045"/>
    <n v="75.680000000000007"/>
    <x v="26"/>
    <s v="Restaurants"/>
    <m/>
    <m/>
    <n v="75.680000000000007"/>
    <m/>
    <m/>
    <s v="debit"/>
    <m/>
    <x v="1895"/>
    <m/>
    <m/>
  </r>
  <r>
    <x v="41"/>
    <d v="2022-06-08T00:00:00"/>
    <s v="DISCOVER MORE CARD"/>
    <x v="1696"/>
    <n v="9.6999999999999993"/>
    <x v="26"/>
    <s v="Restaurants"/>
    <m/>
    <m/>
    <n v="9.6999999999999993"/>
    <m/>
    <m/>
    <s v="debit"/>
    <m/>
    <x v="1575"/>
    <m/>
    <m/>
  </r>
  <r>
    <x v="41"/>
    <d v="2022-06-08T00:00:00"/>
    <s v="Cash Rewards Visa Signature"/>
    <x v="2046"/>
    <n v="11.85"/>
    <x v="26"/>
    <s v="Restaurants"/>
    <m/>
    <m/>
    <n v="11.85"/>
    <m/>
    <m/>
    <s v="debit"/>
    <m/>
    <x v="1896"/>
    <m/>
    <m/>
  </r>
  <r>
    <x v="41"/>
    <d v="2022-06-09T00:00:00"/>
    <s v="POWERPLUS"/>
    <x v="1913"/>
    <n v="-2448.73"/>
    <x v="26"/>
    <s v="Inc - Britney"/>
    <m/>
    <m/>
    <n v="2448.73"/>
    <m/>
    <m/>
    <s v="credit"/>
    <m/>
    <x v="1766"/>
    <m/>
    <m/>
  </r>
  <r>
    <x v="41"/>
    <d v="2022-06-09T00:00:00"/>
    <s v="Cash Rewards Visa Signature"/>
    <x v="1867"/>
    <n v="47.32"/>
    <x v="27"/>
    <s v="Gym"/>
    <m/>
    <m/>
    <n v="47.32"/>
    <m/>
    <m/>
    <s v="debit"/>
    <m/>
    <x v="1721"/>
    <m/>
    <m/>
  </r>
  <r>
    <x v="41"/>
    <d v="2022-06-09T00:00:00"/>
    <s v="Cash Rewards Visa Signature"/>
    <x v="1697"/>
    <n v="7.71"/>
    <x v="26"/>
    <s v="Restaurants"/>
    <m/>
    <m/>
    <n v="7.71"/>
    <m/>
    <m/>
    <s v="debit"/>
    <m/>
    <x v="1576"/>
    <m/>
    <m/>
  </r>
  <r>
    <x v="41"/>
    <d v="2022-06-10T00:00:00"/>
    <s v="POWERPLUS"/>
    <x v="2047"/>
    <n v="-571.24"/>
    <x v="8"/>
    <s v="Delete"/>
    <m/>
    <m/>
    <n v="571.24"/>
    <m/>
    <m/>
    <s v="credit"/>
    <m/>
    <x v="1897"/>
    <m/>
    <m/>
  </r>
  <r>
    <x v="41"/>
    <d v="2022-06-10T00:00:00"/>
    <s v="POWERPLUS"/>
    <x v="1827"/>
    <n v="170.06"/>
    <x v="8"/>
    <s v="Travel"/>
    <m/>
    <m/>
    <n v="170.06"/>
    <m/>
    <m/>
    <s v="debit"/>
    <m/>
    <x v="1682"/>
    <m/>
    <m/>
  </r>
  <r>
    <x v="41"/>
    <d v="2022-06-10T00:00:00"/>
    <s v="POWERPLUS"/>
    <x v="1827"/>
    <n v="80.34"/>
    <x v="8"/>
    <s v="Travel"/>
    <m/>
    <m/>
    <n v="80.34"/>
    <m/>
    <m/>
    <s v="debit"/>
    <m/>
    <x v="1682"/>
    <m/>
    <m/>
  </r>
  <r>
    <x v="41"/>
    <d v="2022-06-12T00:00:00"/>
    <s v="Cash Rewards Visa Signature"/>
    <x v="1328"/>
    <n v="-7"/>
    <x v="26"/>
    <s v="Shopping"/>
    <m/>
    <m/>
    <n v="7"/>
    <m/>
    <m/>
    <s v="credit"/>
    <m/>
    <x v="1255"/>
    <m/>
    <m/>
  </r>
  <r>
    <x v="41"/>
    <d v="2022-06-12T00:00:00"/>
    <s v="Cash Rewards Visa Signature"/>
    <x v="2048"/>
    <n v="6.4"/>
    <x v="1"/>
    <s v="Restaurants"/>
    <m/>
    <m/>
    <n v="6.4"/>
    <m/>
    <m/>
    <s v="debit"/>
    <m/>
    <x v="1898"/>
    <m/>
    <m/>
  </r>
  <r>
    <x v="41"/>
    <d v="2022-06-12T00:00:00"/>
    <s v="DISCOVER MORE CARD"/>
    <x v="2049"/>
    <n v="78.66"/>
    <x v="26"/>
    <s v="Transportation"/>
    <m/>
    <m/>
    <n v="78.66"/>
    <m/>
    <m/>
    <s v="debit"/>
    <m/>
    <x v="1899"/>
    <m/>
    <m/>
  </r>
  <r>
    <x v="41"/>
    <d v="2022-06-13T00:00:00"/>
    <s v="Cash Rewards Visa Signature"/>
    <x v="1915"/>
    <n v="149.97"/>
    <x v="8"/>
    <s v="Shopping"/>
    <m/>
    <m/>
    <n v="149.97"/>
    <m/>
    <m/>
    <s v="debit"/>
    <m/>
    <x v="1768"/>
    <m/>
    <m/>
  </r>
  <r>
    <x v="41"/>
    <d v="2022-06-13T00:00:00"/>
    <s v="POWERPLUS"/>
    <x v="1836"/>
    <n v="-3241.21"/>
    <x v="26"/>
    <s v="Delete"/>
    <m/>
    <m/>
    <n v="3241.21"/>
    <m/>
    <m/>
    <s v="credit"/>
    <m/>
    <x v="1691"/>
    <m/>
    <m/>
  </r>
  <r>
    <x v="41"/>
    <d v="2022-06-13T00:00:00"/>
    <s v="POWERPLUS"/>
    <x v="1849"/>
    <n v="218.18"/>
    <x v="3"/>
    <s v="Shopping"/>
    <s v="Delete"/>
    <s v="1660 ti (investment)"/>
    <n v="218.18"/>
    <m/>
    <m/>
    <s v="debit"/>
    <m/>
    <x v="1704"/>
    <m/>
    <m/>
  </r>
  <r>
    <x v="41"/>
    <d v="2022-06-13T00:00:00"/>
    <s v="POWERPLUS"/>
    <x v="1849"/>
    <n v="227.42"/>
    <x v="3"/>
    <s v="Shopping"/>
    <s v="Delete"/>
    <s v="1660 ti (investment)"/>
    <n v="227.42"/>
    <m/>
    <m/>
    <s v="debit"/>
    <m/>
    <x v="1704"/>
    <m/>
    <m/>
  </r>
  <r>
    <x v="41"/>
    <d v="2022-06-13T00:00:00"/>
    <s v="Cash Rewards Visa Signature"/>
    <x v="2050"/>
    <n v="65"/>
    <x v="26"/>
    <s v="Travel"/>
    <m/>
    <m/>
    <n v="65"/>
    <m/>
    <m/>
    <s v="debit"/>
    <m/>
    <x v="1900"/>
    <m/>
    <m/>
  </r>
  <r>
    <x v="41"/>
    <d v="2022-06-13T00:00:00"/>
    <s v="Cash Rewards Visa Signature"/>
    <x v="2051"/>
    <n v="1.3"/>
    <x v="26"/>
    <s v="Travel"/>
    <m/>
    <m/>
    <n v="1.3"/>
    <m/>
    <m/>
    <s v="debit"/>
    <m/>
    <x v="1901"/>
    <m/>
    <m/>
  </r>
  <r>
    <x v="41"/>
    <d v="2022-06-13T00:00:00"/>
    <s v="Cash Rewards Visa Signature"/>
    <x v="1993"/>
    <n v="45"/>
    <x v="11"/>
    <s v="Utilities"/>
    <m/>
    <m/>
    <n v="45"/>
    <m/>
    <m/>
    <s v="debit"/>
    <m/>
    <x v="1843"/>
    <m/>
    <m/>
  </r>
  <r>
    <x v="41"/>
    <d v="2022-06-14T00:00:00"/>
    <s v="POWERPLUS"/>
    <x v="48"/>
    <n v="102.48"/>
    <x v="16"/>
    <s v="Insurance"/>
    <m/>
    <m/>
    <n v="102.48"/>
    <m/>
    <m/>
    <s v="debit"/>
    <m/>
    <x v="48"/>
    <m/>
    <m/>
  </r>
  <r>
    <x v="41"/>
    <d v="2022-06-14T00:00:00"/>
    <s v="Cash Rewards Visa Signature"/>
    <x v="2052"/>
    <n v="124.11"/>
    <x v="26"/>
    <s v="Restaurants"/>
    <m/>
    <m/>
    <n v="124.11"/>
    <m/>
    <m/>
    <s v="debit"/>
    <m/>
    <x v="1902"/>
    <m/>
    <m/>
  </r>
  <r>
    <x v="41"/>
    <d v="2022-06-14T00:00:00"/>
    <s v="POWERPLUS"/>
    <x v="446"/>
    <n v="-159.99"/>
    <x v="26"/>
    <s v="Delete"/>
    <m/>
    <m/>
    <n v="159.99"/>
    <m/>
    <m/>
    <s v="credit"/>
    <m/>
    <x v="430"/>
    <m/>
    <m/>
  </r>
  <r>
    <x v="41"/>
    <d v="2022-06-14T00:00:00"/>
    <s v="POWERPLUS"/>
    <x v="1829"/>
    <n v="536.5"/>
    <x v="26"/>
    <s v="Day Care"/>
    <m/>
    <m/>
    <n v="536.5"/>
    <m/>
    <m/>
    <s v="debit"/>
    <m/>
    <x v="1684"/>
    <m/>
    <m/>
  </r>
  <r>
    <x v="41"/>
    <d v="2022-06-14T00:00:00"/>
    <s v="POWERPLUS"/>
    <x v="1817"/>
    <n v="2619.37"/>
    <x v="26"/>
    <s v="Delete"/>
    <m/>
    <m/>
    <n v="2619.37"/>
    <m/>
    <m/>
    <s v="debit"/>
    <m/>
    <x v="1672"/>
    <m/>
    <m/>
  </r>
  <r>
    <x v="41"/>
    <d v="2022-06-14T00:00:00"/>
    <s v="Cash Rewards Visa Signature"/>
    <x v="1879"/>
    <n v="-2619.37"/>
    <x v="3"/>
    <s v="Delete"/>
    <m/>
    <m/>
    <n v="2619.37"/>
    <m/>
    <m/>
    <s v="credit"/>
    <m/>
    <x v="1732"/>
    <m/>
    <m/>
  </r>
  <r>
    <x v="41"/>
    <d v="2022-06-15T00:00:00"/>
    <s v="Cash Rewards Visa Signature"/>
    <x v="2053"/>
    <n v="50"/>
    <x v="26"/>
    <s v="Delete"/>
    <m/>
    <m/>
    <n v="50"/>
    <m/>
    <m/>
    <s v="debit"/>
    <m/>
    <x v="1903"/>
    <m/>
    <m/>
  </r>
  <r>
    <x v="41"/>
    <d v="2022-06-15T00:00:00"/>
    <s v="Cash Rewards Visa Signature"/>
    <x v="2053"/>
    <n v="119"/>
    <x v="26"/>
    <s v="Delete"/>
    <m/>
    <m/>
    <n v="119"/>
    <m/>
    <m/>
    <s v="debit"/>
    <m/>
    <x v="1903"/>
    <m/>
    <m/>
  </r>
  <r>
    <x v="41"/>
    <d v="2022-06-15T00:00:00"/>
    <s v="Cash Rewards Visa Signature"/>
    <x v="2054"/>
    <n v="150"/>
    <x v="26"/>
    <s v="Healthcare"/>
    <m/>
    <m/>
    <n v="150"/>
    <m/>
    <m/>
    <s v="debit"/>
    <m/>
    <x v="1904"/>
    <m/>
    <m/>
  </r>
  <r>
    <x v="41"/>
    <d v="2022-06-16T00:00:00"/>
    <s v="POWERPLUS"/>
    <x v="1901"/>
    <n v="-80"/>
    <x v="26"/>
    <s v="Inc - Britney"/>
    <m/>
    <m/>
    <n v="80"/>
    <m/>
    <m/>
    <s v="credit"/>
    <m/>
    <x v="1754"/>
    <m/>
    <m/>
  </r>
  <r>
    <x v="41"/>
    <d v="2022-06-16T00:00:00"/>
    <s v="Cash Rewards Visa Signature"/>
    <x v="2055"/>
    <n v="27"/>
    <x v="26"/>
    <s v="Restaurants"/>
    <m/>
    <m/>
    <n v="27"/>
    <m/>
    <m/>
    <s v="debit"/>
    <m/>
    <x v="1905"/>
    <m/>
    <m/>
  </r>
  <r>
    <x v="41"/>
    <d v="2022-06-16T00:00:00"/>
    <s v="Cash Rewards Visa Signature"/>
    <x v="2056"/>
    <n v="46.8"/>
    <x v="26"/>
    <s v="Restaurants"/>
    <m/>
    <m/>
    <n v="46.8"/>
    <m/>
    <m/>
    <s v="debit"/>
    <m/>
    <x v="1906"/>
    <m/>
    <m/>
  </r>
  <r>
    <x v="41"/>
    <d v="2022-06-16T00:00:00"/>
    <s v="POWERPLUS"/>
    <x v="1849"/>
    <n v="61.77"/>
    <x v="8"/>
    <s v="Shopping"/>
    <m/>
    <m/>
    <n v="61.77"/>
    <m/>
    <m/>
    <s v="debit"/>
    <m/>
    <x v="1704"/>
    <m/>
    <m/>
  </r>
  <r>
    <x v="41"/>
    <d v="2022-06-17T00:00:00"/>
    <s v="Cash Rewards Visa Signature"/>
    <x v="1861"/>
    <n v="105"/>
    <x v="3"/>
    <s v="Travel"/>
    <m/>
    <m/>
    <n v="105"/>
    <m/>
    <m/>
    <s v="debit"/>
    <m/>
    <x v="1715"/>
    <m/>
    <m/>
  </r>
  <r>
    <x v="41"/>
    <d v="2022-06-17T00:00:00"/>
    <s v="Cash Rewards Visa Signature"/>
    <x v="1861"/>
    <n v="607.20000000000005"/>
    <x v="3"/>
    <s v="Travel"/>
    <m/>
    <m/>
    <n v="607.20000000000005"/>
    <m/>
    <m/>
    <s v="debit"/>
    <m/>
    <x v="1715"/>
    <m/>
    <m/>
  </r>
  <r>
    <x v="41"/>
    <d v="2022-06-17T00:00:00"/>
    <s v="POWERPLUS"/>
    <x v="1827"/>
    <n v="125"/>
    <x v="8"/>
    <s v="Travel"/>
    <m/>
    <m/>
    <n v="125"/>
    <m/>
    <m/>
    <s v="debit"/>
    <m/>
    <x v="1682"/>
    <m/>
    <m/>
  </r>
  <r>
    <x v="41"/>
    <d v="2022-06-18T00:00:00"/>
    <s v="DISCOVER MORE CARD"/>
    <x v="2057"/>
    <n v="-335.55"/>
    <x v="3"/>
    <s v="Delete"/>
    <m/>
    <m/>
    <n v="335.55"/>
    <m/>
    <m/>
    <s v="credit"/>
    <m/>
    <x v="1907"/>
    <m/>
    <m/>
  </r>
  <r>
    <x v="41"/>
    <d v="2022-06-19T00:00:00"/>
    <s v="Cash Rewards Visa Signature"/>
    <x v="2048"/>
    <n v="7.06"/>
    <x v="1"/>
    <s v="Restaurants"/>
    <m/>
    <m/>
    <n v="7.06"/>
    <m/>
    <m/>
    <s v="debit"/>
    <m/>
    <x v="1898"/>
    <m/>
    <m/>
  </r>
  <r>
    <x v="41"/>
    <d v="2022-06-19T00:00:00"/>
    <s v="Cash Rewards Visa Signature"/>
    <x v="2048"/>
    <n v="34"/>
    <x v="1"/>
    <s v="Restaurants"/>
    <m/>
    <m/>
    <n v="34"/>
    <m/>
    <m/>
    <s v="debit"/>
    <m/>
    <x v="1898"/>
    <m/>
    <m/>
  </r>
  <r>
    <x v="41"/>
    <d v="2022-06-19T00:00:00"/>
    <s v="Cash Rewards Visa Signature"/>
    <x v="2058"/>
    <n v="52.25"/>
    <x v="26"/>
    <s v="Restaurants"/>
    <m/>
    <m/>
    <n v="52.25"/>
    <m/>
    <m/>
    <s v="debit"/>
    <m/>
    <x v="1908"/>
    <m/>
    <m/>
  </r>
  <r>
    <x v="41"/>
    <d v="2022-06-20T00:00:00"/>
    <s v="DISCOVER MORE CARD"/>
    <x v="2059"/>
    <n v="86.72"/>
    <x v="26"/>
    <s v="Transportation"/>
    <m/>
    <m/>
    <n v="86.72"/>
    <m/>
    <m/>
    <s v="debit"/>
    <m/>
    <x v="1909"/>
    <m/>
    <m/>
  </r>
  <r>
    <x v="41"/>
    <d v="2022-06-21T00:00:00"/>
    <s v="DISCOVER MORE CARD"/>
    <x v="2060"/>
    <n v="0.56000000000000005"/>
    <x v="26"/>
    <s v="Amazon"/>
    <m/>
    <m/>
    <n v="0.56000000000000005"/>
    <m/>
    <m/>
    <s v="debit"/>
    <m/>
    <x v="1910"/>
    <m/>
    <m/>
  </r>
  <r>
    <x v="41"/>
    <d v="2022-06-21T00:00:00"/>
    <s v="Cash Rewards Visa Signature"/>
    <x v="2061"/>
    <n v="21.44"/>
    <x v="26"/>
    <s v="Amazon"/>
    <m/>
    <m/>
    <n v="21.44"/>
    <m/>
    <m/>
    <s v="debit"/>
    <m/>
    <x v="1911"/>
    <m/>
    <m/>
  </r>
  <r>
    <x v="41"/>
    <d v="2022-06-21T00:00:00"/>
    <s v="Cash Rewards Visa Signature"/>
    <x v="1896"/>
    <n v="9"/>
    <x v="26"/>
    <s v="House Maintenance"/>
    <m/>
    <m/>
    <n v="9"/>
    <m/>
    <m/>
    <s v="debit"/>
    <m/>
    <x v="1749"/>
    <m/>
    <m/>
  </r>
  <r>
    <x v="41"/>
    <d v="2022-06-21T00:00:00"/>
    <s v="POWERPLUS"/>
    <x v="1826"/>
    <n v="55.5"/>
    <x v="26"/>
    <s v="Utilities"/>
    <m/>
    <m/>
    <n v="55.5"/>
    <m/>
    <m/>
    <s v="debit"/>
    <m/>
    <x v="1681"/>
    <m/>
    <m/>
  </r>
  <r>
    <x v="41"/>
    <d v="2022-06-21T00:00:00"/>
    <s v="Cash Rewards Visa Signature"/>
    <x v="2062"/>
    <n v="80"/>
    <x v="26"/>
    <s v="Shopping"/>
    <m/>
    <m/>
    <n v="80"/>
    <m/>
    <m/>
    <s v="debit"/>
    <m/>
    <x v="1912"/>
    <m/>
    <m/>
  </r>
  <r>
    <x v="41"/>
    <d v="2022-06-21T00:00:00"/>
    <s v="POWERPLUS"/>
    <x v="1816"/>
    <n v="200"/>
    <x v="26"/>
    <s v="Delete"/>
    <m/>
    <m/>
    <n v="200"/>
    <m/>
    <m/>
    <s v="debit"/>
    <m/>
    <x v="1671"/>
    <m/>
    <m/>
  </r>
  <r>
    <x v="41"/>
    <d v="2022-06-21T00:00:00"/>
    <s v="Cash Rewards Visa Signature"/>
    <x v="2037"/>
    <n v="-135"/>
    <x v="26"/>
    <s v="Shopping"/>
    <m/>
    <m/>
    <n v="135"/>
    <m/>
    <m/>
    <s v="credit"/>
    <m/>
    <x v="1887"/>
    <m/>
    <m/>
  </r>
  <r>
    <x v="41"/>
    <d v="2022-06-21T00:00:00"/>
    <s v="Cash Rewards Visa Signature"/>
    <x v="2037"/>
    <n v="-39"/>
    <x v="26"/>
    <s v="Shopping"/>
    <m/>
    <m/>
    <n v="39"/>
    <m/>
    <m/>
    <s v="credit"/>
    <m/>
    <x v="1887"/>
    <m/>
    <m/>
  </r>
  <r>
    <x v="41"/>
    <d v="2022-06-21T00:00:00"/>
    <s v="Cash Rewards Visa Signature"/>
    <x v="2037"/>
    <n v="-93"/>
    <x v="26"/>
    <s v="Shopping"/>
    <m/>
    <m/>
    <n v="93"/>
    <m/>
    <m/>
    <s v="credit"/>
    <m/>
    <x v="1887"/>
    <m/>
    <m/>
  </r>
  <r>
    <x v="41"/>
    <d v="2022-06-21T00:00:00"/>
    <s v="POWERPLUS"/>
    <x v="1849"/>
    <n v="108.95"/>
    <x v="8"/>
    <s v="Shopping"/>
    <m/>
    <m/>
    <n v="108.95"/>
    <m/>
    <m/>
    <s v="debit"/>
    <m/>
    <x v="1704"/>
    <m/>
    <m/>
  </r>
  <r>
    <x v="41"/>
    <d v="2022-06-21T00:00:00"/>
    <s v="POWERPLUS"/>
    <x v="1888"/>
    <n v="335.55"/>
    <x v="3"/>
    <s v="Delete"/>
    <m/>
    <m/>
    <n v="335.55"/>
    <m/>
    <m/>
    <s v="debit"/>
    <m/>
    <x v="1741"/>
    <m/>
    <m/>
  </r>
  <r>
    <x v="41"/>
    <d v="2022-06-22T00:00:00"/>
    <s v="Cash Rewards Visa Signature"/>
    <x v="2063"/>
    <n v="19.98"/>
    <x v="26"/>
    <s v="Amazon"/>
    <m/>
    <m/>
    <n v="19.98"/>
    <m/>
    <m/>
    <s v="debit"/>
    <m/>
    <x v="1913"/>
    <m/>
    <m/>
  </r>
  <r>
    <x v="41"/>
    <d v="2022-06-22T00:00:00"/>
    <s v="Cash Rewards Visa Signature"/>
    <x v="2064"/>
    <n v="16.989999999999998"/>
    <x v="26"/>
    <s v="Amazon"/>
    <m/>
    <m/>
    <n v="16.989999999999998"/>
    <m/>
    <m/>
    <s v="debit"/>
    <m/>
    <x v="1914"/>
    <m/>
    <m/>
  </r>
  <r>
    <x v="41"/>
    <d v="2022-06-22T00:00:00"/>
    <s v="POWERPLUS"/>
    <x v="1829"/>
    <n v="536.5"/>
    <x v="26"/>
    <s v="Day Care"/>
    <m/>
    <m/>
    <n v="536.5"/>
    <m/>
    <m/>
    <s v="debit"/>
    <m/>
    <x v="1684"/>
    <m/>
    <m/>
  </r>
  <r>
    <x v="41"/>
    <d v="2022-06-22T00:00:00"/>
    <s v="POWERPLUS"/>
    <x v="1817"/>
    <n v="1165.8599999999999"/>
    <x v="26"/>
    <s v="Delete"/>
    <m/>
    <m/>
    <n v="1165.8599999999999"/>
    <m/>
    <m/>
    <s v="debit"/>
    <m/>
    <x v="1672"/>
    <m/>
    <m/>
  </r>
  <r>
    <x v="41"/>
    <d v="2022-06-22T00:00:00"/>
    <s v="Cash Rewards Visa Signature"/>
    <x v="1879"/>
    <n v="-1165.8599999999999"/>
    <x v="3"/>
    <s v="Delete"/>
    <m/>
    <m/>
    <n v="1165.8599999999999"/>
    <m/>
    <m/>
    <s v="credit"/>
    <m/>
    <x v="1732"/>
    <m/>
    <m/>
  </r>
  <r>
    <x v="41"/>
    <d v="2022-06-23T00:00:00"/>
    <s v="Cash Rewards Visa Signature"/>
    <x v="2065"/>
    <n v="9.4"/>
    <x v="26"/>
    <s v="Amazon"/>
    <m/>
    <m/>
    <n v="9.4"/>
    <m/>
    <m/>
    <s v="debit"/>
    <m/>
    <x v="1915"/>
    <m/>
    <m/>
  </r>
  <r>
    <x v="41"/>
    <d v="2022-06-23T00:00:00"/>
    <s v="POWERPLUS"/>
    <x v="1913"/>
    <n v="-2448.7199999999998"/>
    <x v="26"/>
    <s v="Inc - Britney"/>
    <m/>
    <m/>
    <n v="2448.7199999999998"/>
    <m/>
    <m/>
    <s v="credit"/>
    <m/>
    <x v="1766"/>
    <m/>
    <m/>
  </r>
  <r>
    <x v="41"/>
    <d v="2022-06-23T00:00:00"/>
    <s v="Cash Rewards Visa Signature"/>
    <x v="6"/>
    <n v="47.03"/>
    <x v="5"/>
    <s v="Groceries"/>
    <m/>
    <m/>
    <n v="47.03"/>
    <m/>
    <m/>
    <s v="debit"/>
    <m/>
    <x v="6"/>
    <m/>
    <m/>
  </r>
  <r>
    <x v="41"/>
    <d v="2022-06-23T00:00:00"/>
    <s v="RAINY DAY"/>
    <x v="976"/>
    <n v="-100"/>
    <x v="3"/>
    <s v="Car Loan"/>
    <s v="Delete"/>
    <m/>
    <n v="100"/>
    <m/>
    <m/>
    <s v="credit"/>
    <m/>
    <x v="936"/>
    <m/>
    <m/>
  </r>
  <r>
    <x v="41"/>
    <d v="2022-06-23T00:00:00"/>
    <s v="Cash Rewards Visa Signature"/>
    <x v="1922"/>
    <n v="47"/>
    <x v="10"/>
    <s v="Delete"/>
    <m/>
    <m/>
    <n v="47"/>
    <m/>
    <m/>
    <s v="debit"/>
    <m/>
    <x v="1775"/>
    <m/>
    <m/>
  </r>
  <r>
    <x v="41"/>
    <d v="2022-06-23T00:00:00"/>
    <s v="Cash Rewards Visa Signature"/>
    <x v="2066"/>
    <n v="87.44"/>
    <x v="26"/>
    <s v="Restaurants"/>
    <m/>
    <m/>
    <n v="87.44"/>
    <m/>
    <m/>
    <s v="debit"/>
    <m/>
    <x v="1916"/>
    <m/>
    <m/>
  </r>
  <r>
    <x v="41"/>
    <d v="2022-06-23T00:00:00"/>
    <s v="Cash Rewards Visa Signature"/>
    <x v="2067"/>
    <n v="31.66"/>
    <x v="8"/>
    <s v="Shopping"/>
    <m/>
    <m/>
    <n v="31.66"/>
    <m/>
    <m/>
    <s v="debit"/>
    <m/>
    <x v="1917"/>
    <m/>
    <m/>
  </r>
  <r>
    <x v="41"/>
    <d v="2022-06-23T00:00:00"/>
    <s v="Cash Rewards Visa Signature"/>
    <x v="2068"/>
    <n v="220.29"/>
    <x v="36"/>
    <s v="Shopping"/>
    <s v="Exp - House Maint"/>
    <m/>
    <n v="220.29"/>
    <m/>
    <m/>
    <s v="debit"/>
    <m/>
    <x v="1918"/>
    <m/>
    <m/>
  </r>
  <r>
    <x v="41"/>
    <d v="2022-06-23T00:00:00"/>
    <s v="POWERPLUS"/>
    <x v="952"/>
    <n v="100"/>
    <x v="26"/>
    <s v="Delete"/>
    <m/>
    <m/>
    <n v="100"/>
    <m/>
    <m/>
    <s v="debit"/>
    <m/>
    <x v="915"/>
    <m/>
    <m/>
  </r>
  <r>
    <x v="41"/>
    <d v="2022-06-23T00:00:00"/>
    <s v="Cash Rewards Visa Signature"/>
    <x v="1864"/>
    <n v="41.39"/>
    <x v="26"/>
    <s v="Groceries"/>
    <m/>
    <m/>
    <n v="41.39"/>
    <m/>
    <m/>
    <s v="debit"/>
    <m/>
    <x v="1718"/>
    <m/>
    <m/>
  </r>
  <r>
    <x v="41"/>
    <d v="2022-06-23T00:00:00"/>
    <s v="Cash Rewards Visa Signature"/>
    <x v="1696"/>
    <n v="7.95"/>
    <x v="26"/>
    <s v="Restaurants"/>
    <m/>
    <m/>
    <n v="7.95"/>
    <m/>
    <m/>
    <s v="debit"/>
    <m/>
    <x v="1575"/>
    <m/>
    <m/>
  </r>
  <r>
    <x v="41"/>
    <d v="2022-06-23T00:00:00"/>
    <s v="POWERPLUS"/>
    <x v="1823"/>
    <n v="-96.66"/>
    <x v="26"/>
    <s v="Delete"/>
    <m/>
    <m/>
    <n v="96.66"/>
    <m/>
    <m/>
    <s v="credit"/>
    <m/>
    <x v="1678"/>
    <m/>
    <m/>
  </r>
  <r>
    <x v="41"/>
    <d v="2022-06-24T00:00:00"/>
    <s v="DISCOVER MORE CARD"/>
    <x v="2069"/>
    <n v="21.95"/>
    <x v="26"/>
    <s v="Amazon"/>
    <m/>
    <m/>
    <n v="21.95"/>
    <m/>
    <m/>
    <s v="debit"/>
    <m/>
    <x v="1919"/>
    <m/>
    <m/>
  </r>
  <r>
    <x v="41"/>
    <d v="2022-06-24T00:00:00"/>
    <s v="Cash Rewards Visa Signature"/>
    <x v="2070"/>
    <n v="50"/>
    <x v="26"/>
    <s v="Gifts"/>
    <m/>
    <m/>
    <n v="50"/>
    <m/>
    <m/>
    <s v="debit"/>
    <m/>
    <x v="1920"/>
    <m/>
    <m/>
  </r>
  <r>
    <x v="41"/>
    <d v="2022-06-24T00:00:00"/>
    <s v="Cash Rewards Visa Signature"/>
    <x v="2071"/>
    <n v="245"/>
    <x v="26"/>
    <s v="Shopping"/>
    <m/>
    <m/>
    <n v="245"/>
    <m/>
    <m/>
    <s v="debit"/>
    <m/>
    <x v="1921"/>
    <m/>
    <m/>
  </r>
  <r>
    <x v="41"/>
    <d v="2022-06-24T00:00:00"/>
    <s v="POWERPLUS"/>
    <x v="1827"/>
    <n v="150"/>
    <x v="8"/>
    <s v="Travel"/>
    <m/>
    <m/>
    <n v="150"/>
    <m/>
    <m/>
    <s v="debit"/>
    <m/>
    <x v="1682"/>
    <m/>
    <m/>
  </r>
  <r>
    <x v="41"/>
    <d v="2022-06-25T00:00:00"/>
    <s v="DISCOVER MORE CARD"/>
    <x v="2072"/>
    <n v="59.21"/>
    <x v="26"/>
    <s v="Amazon"/>
    <m/>
    <m/>
    <n v="59.21"/>
    <m/>
    <m/>
    <s v="debit"/>
    <m/>
    <x v="1922"/>
    <m/>
    <m/>
  </r>
  <r>
    <x v="41"/>
    <d v="2022-06-26T00:00:00"/>
    <s v="Cash Rewards Visa Signature"/>
    <x v="2073"/>
    <n v="8.5399999999999991"/>
    <x v="26"/>
    <s v="Amazon"/>
    <m/>
    <m/>
    <n v="8.5399999999999991"/>
    <m/>
    <m/>
    <s v="debit"/>
    <m/>
    <x v="1923"/>
    <m/>
    <m/>
  </r>
  <r>
    <x v="41"/>
    <d v="2022-06-26T00:00:00"/>
    <s v="Cash Rewards Visa Signature"/>
    <x v="1328"/>
    <n v="20.43"/>
    <x v="26"/>
    <s v="Shopping"/>
    <m/>
    <m/>
    <n v="20.43"/>
    <m/>
    <m/>
    <s v="debit"/>
    <m/>
    <x v="1255"/>
    <m/>
    <m/>
  </r>
  <r>
    <x v="41"/>
    <d v="2022-06-26T00:00:00"/>
    <s v="Cash Rewards Visa Signature"/>
    <x v="1328"/>
    <n v="24.71"/>
    <x v="26"/>
    <s v="Shopping"/>
    <m/>
    <m/>
    <n v="24.71"/>
    <m/>
    <m/>
    <s v="debit"/>
    <m/>
    <x v="1255"/>
    <m/>
    <m/>
  </r>
  <r>
    <x v="41"/>
    <d v="2022-06-26T00:00:00"/>
    <s v="Cash Rewards Visa Signature"/>
    <x v="6"/>
    <n v="106.16"/>
    <x v="5"/>
    <s v="Groceries"/>
    <m/>
    <m/>
    <n v="106.16"/>
    <m/>
    <m/>
    <s v="debit"/>
    <m/>
    <x v="6"/>
    <m/>
    <m/>
  </r>
  <r>
    <x v="41"/>
    <d v="2022-06-26T00:00:00"/>
    <s v="Cash Rewards Visa Signature"/>
    <x v="2044"/>
    <n v="-45.9"/>
    <x v="8"/>
    <s v="Shopping"/>
    <m/>
    <m/>
    <n v="45.9"/>
    <m/>
    <m/>
    <s v="credit"/>
    <m/>
    <x v="1894"/>
    <m/>
    <m/>
  </r>
  <r>
    <x v="41"/>
    <d v="2022-06-26T00:00:00"/>
    <s v="Cash Rewards Visa Signature"/>
    <x v="2074"/>
    <n v="149.29"/>
    <x v="26"/>
    <s v="Shopping"/>
    <m/>
    <m/>
    <n v="149.29"/>
    <m/>
    <m/>
    <s v="debit"/>
    <m/>
    <x v="1924"/>
    <m/>
    <m/>
  </r>
  <r>
    <x v="41"/>
    <d v="2022-06-26T00:00:00"/>
    <s v="Cash Rewards Visa Signature"/>
    <x v="2075"/>
    <n v="1.38"/>
    <x v="26"/>
    <s v="misc"/>
    <m/>
    <m/>
    <n v="1.38"/>
    <m/>
    <m/>
    <s v="debit"/>
    <m/>
    <x v="1925"/>
    <m/>
    <m/>
  </r>
  <r>
    <x v="41"/>
    <d v="2022-06-26T00:00:00"/>
    <s v="Cash Rewards Visa Signature"/>
    <x v="2075"/>
    <n v="64.25"/>
    <x v="26"/>
    <s v="misc"/>
    <m/>
    <m/>
    <n v="64.25"/>
    <m/>
    <m/>
    <s v="debit"/>
    <m/>
    <x v="1925"/>
    <m/>
    <m/>
  </r>
  <r>
    <x v="41"/>
    <d v="2022-06-26T00:00:00"/>
    <s v="Cash Rewards Visa Signature"/>
    <x v="2076"/>
    <n v="48.38"/>
    <x v="26"/>
    <s v="Restaurants"/>
    <m/>
    <m/>
    <n v="48.38"/>
    <m/>
    <m/>
    <s v="debit"/>
    <m/>
    <x v="1926"/>
    <m/>
    <m/>
  </r>
  <r>
    <x v="41"/>
    <d v="2022-06-26T00:00:00"/>
    <s v="Cash Rewards Visa Signature"/>
    <x v="99"/>
    <n v="10.79"/>
    <x v="11"/>
    <s v="Utilities"/>
    <m/>
    <m/>
    <n v="10.79"/>
    <m/>
    <m/>
    <s v="debit"/>
    <m/>
    <x v="99"/>
    <m/>
    <m/>
  </r>
  <r>
    <x v="41"/>
    <d v="2022-06-26T00:00:00"/>
    <s v="Cash Rewards Visa Signature"/>
    <x v="1859"/>
    <n v="64.78"/>
    <x v="26"/>
    <s v="Groceries"/>
    <m/>
    <m/>
    <n v="64.78"/>
    <m/>
    <m/>
    <s v="debit"/>
    <m/>
    <x v="1713"/>
    <m/>
    <m/>
  </r>
  <r>
    <x v="41"/>
    <d v="2022-06-26T00:00:00"/>
    <s v="Cash Rewards Visa Signature"/>
    <x v="965"/>
    <n v="40"/>
    <x v="26"/>
    <s v="Restaurants"/>
    <m/>
    <m/>
    <n v="40"/>
    <m/>
    <m/>
    <s v="debit"/>
    <m/>
    <x v="927"/>
    <m/>
    <m/>
  </r>
  <r>
    <x v="41"/>
    <d v="2022-06-26T00:00:00"/>
    <s v="DISCOVER MORE CARD"/>
    <x v="2077"/>
    <n v="29.07"/>
    <x v="26"/>
    <s v="Restaurants"/>
    <m/>
    <m/>
    <n v="29.07"/>
    <m/>
    <m/>
    <s v="debit"/>
    <m/>
    <x v="1927"/>
    <m/>
    <m/>
  </r>
  <r>
    <x v="41"/>
    <d v="2022-06-26T00:00:00"/>
    <s v="Cash Rewards Visa Signature"/>
    <x v="2078"/>
    <n v="10"/>
    <x v="26"/>
    <s v="Transportation"/>
    <m/>
    <m/>
    <n v="10"/>
    <m/>
    <m/>
    <s v="debit"/>
    <m/>
    <x v="1928"/>
    <m/>
    <m/>
  </r>
  <r>
    <x v="41"/>
    <d v="2022-06-27T00:00:00"/>
    <s v="Cash Rewards Visa Signature"/>
    <x v="2079"/>
    <n v="15"/>
    <x v="26"/>
    <s v="Transportation"/>
    <m/>
    <m/>
    <n v="15"/>
    <m/>
    <m/>
    <s v="debit"/>
    <m/>
    <x v="1929"/>
    <m/>
    <m/>
  </r>
  <r>
    <x v="41"/>
    <d v="2022-06-27T00:00:00"/>
    <s v="Cash Rewards Visa Signature"/>
    <x v="2080"/>
    <n v="394.81"/>
    <x v="26"/>
    <s v="Restaurants"/>
    <m/>
    <m/>
    <n v="394.81"/>
    <m/>
    <m/>
    <s v="debit"/>
    <m/>
    <x v="1930"/>
    <m/>
    <m/>
  </r>
  <r>
    <x v="41"/>
    <d v="2022-06-27T00:00:00"/>
    <s v="Cash Rewards Visa Signature"/>
    <x v="2081"/>
    <n v="76.45"/>
    <x v="26"/>
    <s v="Transportation"/>
    <m/>
    <m/>
    <n v="76.45"/>
    <m/>
    <m/>
    <s v="debit"/>
    <m/>
    <x v="1931"/>
    <m/>
    <m/>
  </r>
  <r>
    <x v="41"/>
    <d v="2022-06-27T00:00:00"/>
    <s v="Cash Rewards Visa Signature"/>
    <x v="2082"/>
    <n v="30.54"/>
    <x v="26"/>
    <s v="Restaurants"/>
    <m/>
    <m/>
    <n v="30.54"/>
    <m/>
    <m/>
    <s v="debit"/>
    <m/>
    <x v="1932"/>
    <m/>
    <m/>
  </r>
  <r>
    <x v="41"/>
    <d v="2022-06-27T00:00:00"/>
    <s v="POWERPLUS"/>
    <x v="2083"/>
    <n v="-28.52"/>
    <x v="26"/>
    <s v="Shopping"/>
    <m/>
    <m/>
    <n v="28.52"/>
    <m/>
    <m/>
    <s v="credit"/>
    <m/>
    <x v="1933"/>
    <m/>
    <m/>
  </r>
  <r>
    <x v="41"/>
    <d v="2022-06-27T00:00:00"/>
    <s v="Cash Rewards Visa Signature"/>
    <x v="2084"/>
    <n v="80.8"/>
    <x v="26"/>
    <s v="Transportation"/>
    <m/>
    <m/>
    <n v="80.8"/>
    <m/>
    <m/>
    <s v="debit"/>
    <m/>
    <x v="1934"/>
    <m/>
    <m/>
  </r>
  <r>
    <x v="41"/>
    <d v="2022-06-27T00:00:00"/>
    <s v="Cash Rewards Visa Signature"/>
    <x v="2085"/>
    <n v="298"/>
    <x v="26"/>
    <s v="House Maintenance"/>
    <m/>
    <m/>
    <n v="298"/>
    <m/>
    <m/>
    <s v="debit"/>
    <m/>
    <x v="1935"/>
    <m/>
    <m/>
  </r>
  <r>
    <x v="41"/>
    <d v="2022-06-27T00:00:00"/>
    <s v="Cash Rewards Visa Signature"/>
    <x v="2086"/>
    <n v="65.33"/>
    <x v="26"/>
    <s v="Groceries"/>
    <m/>
    <m/>
    <n v="65.33"/>
    <m/>
    <m/>
    <s v="debit"/>
    <m/>
    <x v="1936"/>
    <m/>
    <m/>
  </r>
  <r>
    <x v="41"/>
    <d v="2022-06-27T00:00:00"/>
    <s v="POWERPLUS"/>
    <x v="1908"/>
    <n v="393.63"/>
    <x v="26"/>
    <s v="Target"/>
    <m/>
    <m/>
    <n v="393.63"/>
    <m/>
    <m/>
    <s v="debit"/>
    <m/>
    <x v="1761"/>
    <m/>
    <m/>
  </r>
  <r>
    <x v="41"/>
    <d v="2022-06-28T00:00:00"/>
    <s v="DISCOVER MORE CARD"/>
    <x v="2087"/>
    <n v="26.99"/>
    <x v="26"/>
    <s v="Amazon"/>
    <m/>
    <m/>
    <n v="26.99"/>
    <m/>
    <m/>
    <s v="debit"/>
    <m/>
    <x v="1937"/>
    <m/>
    <m/>
  </r>
  <r>
    <x v="41"/>
    <d v="2022-06-28T00:00:00"/>
    <s v="Cash Rewards Visa Signature"/>
    <x v="1328"/>
    <n v="19.309999999999999"/>
    <x v="26"/>
    <s v="Shopping"/>
    <m/>
    <m/>
    <n v="19.309999999999999"/>
    <m/>
    <m/>
    <s v="debit"/>
    <m/>
    <x v="1255"/>
    <m/>
    <m/>
  </r>
  <r>
    <x v="41"/>
    <d v="2022-06-28T00:00:00"/>
    <s v="POWERPLUS"/>
    <x v="1829"/>
    <n v="536.5"/>
    <x v="26"/>
    <s v="Day Care"/>
    <m/>
    <m/>
    <n v="536.5"/>
    <m/>
    <m/>
    <s v="debit"/>
    <m/>
    <x v="1684"/>
    <m/>
    <m/>
  </r>
  <r>
    <x v="41"/>
    <d v="2022-06-28T00:00:00"/>
    <s v="Cash Rewards Visa Signature"/>
    <x v="2088"/>
    <n v="62.8"/>
    <x v="26"/>
    <s v="Restaurants"/>
    <m/>
    <m/>
    <n v="62.8"/>
    <m/>
    <m/>
    <s v="debit"/>
    <m/>
    <x v="1938"/>
    <m/>
    <m/>
  </r>
  <r>
    <x v="41"/>
    <d v="2022-06-28T00:00:00"/>
    <s v="Cash Rewards Visa Signature"/>
    <x v="2089"/>
    <n v="48.28"/>
    <x v="26"/>
    <s v="Shopping"/>
    <m/>
    <m/>
    <n v="48.28"/>
    <m/>
    <m/>
    <s v="debit"/>
    <m/>
    <x v="1939"/>
    <m/>
    <m/>
  </r>
  <r>
    <x v="41"/>
    <d v="2022-06-28T00:00:00"/>
    <s v="POWERPLUS"/>
    <x v="1836"/>
    <n v="-5584.02"/>
    <x v="26"/>
    <s v="Delete"/>
    <m/>
    <m/>
    <n v="5584.02"/>
    <m/>
    <m/>
    <s v="credit"/>
    <m/>
    <x v="1691"/>
    <m/>
    <m/>
  </r>
  <r>
    <x v="41"/>
    <d v="2022-06-28T00:00:00"/>
    <s v="POWERPLUS"/>
    <x v="1849"/>
    <n v="21.59"/>
    <x v="8"/>
    <s v="Shopping"/>
    <m/>
    <m/>
    <n v="21.59"/>
    <m/>
    <m/>
    <s v="debit"/>
    <m/>
    <x v="1704"/>
    <m/>
    <m/>
  </r>
  <r>
    <x v="41"/>
    <d v="2022-06-28T00:00:00"/>
    <s v="POWERPLUS"/>
    <x v="1849"/>
    <n v="0.99"/>
    <x v="8"/>
    <s v="Shopping"/>
    <m/>
    <m/>
    <n v="0.99"/>
    <m/>
    <m/>
    <s v="debit"/>
    <m/>
    <x v="1704"/>
    <m/>
    <m/>
  </r>
  <r>
    <x v="41"/>
    <d v="2022-06-28T00:00:00"/>
    <s v="DISCOVER MORE CARD"/>
    <x v="2090"/>
    <n v="219.13"/>
    <x v="26"/>
    <s v="Restaurants"/>
    <m/>
    <m/>
    <n v="219.13"/>
    <m/>
    <m/>
    <s v="debit"/>
    <m/>
    <x v="1940"/>
    <m/>
    <m/>
  </r>
  <r>
    <x v="41"/>
    <d v="2022-06-29T00:00:00"/>
    <s v="Cash Rewards Visa Signature"/>
    <x v="2091"/>
    <n v="9.65"/>
    <x v="26"/>
    <s v="Amazon"/>
    <m/>
    <m/>
    <n v="9.65"/>
    <m/>
    <m/>
    <s v="debit"/>
    <m/>
    <x v="1941"/>
    <m/>
    <m/>
  </r>
  <r>
    <x v="41"/>
    <d v="2022-06-29T00:00:00"/>
    <s v="Cash Rewards Visa Signature"/>
    <x v="1837"/>
    <n v="29.18"/>
    <x v="19"/>
    <s v="House Maintenance"/>
    <m/>
    <m/>
    <n v="29.18"/>
    <m/>
    <m/>
    <s v="debit"/>
    <m/>
    <x v="1692"/>
    <m/>
    <m/>
  </r>
  <r>
    <x v="41"/>
    <d v="2022-06-29T00:00:00"/>
    <s v="Cash Rewards Visa Signature"/>
    <x v="1837"/>
    <n v="-39.15"/>
    <x v="19"/>
    <s v="House Maintenance"/>
    <m/>
    <m/>
    <n v="39.15"/>
    <m/>
    <m/>
    <s v="credit"/>
    <m/>
    <x v="1692"/>
    <m/>
    <m/>
  </r>
  <r>
    <x v="41"/>
    <d v="2022-06-29T00:00:00"/>
    <s v="POWERPLUS"/>
    <x v="1849"/>
    <n v="0.99"/>
    <x v="8"/>
    <s v="Shopping"/>
    <m/>
    <m/>
    <n v="0.99"/>
    <m/>
    <m/>
    <s v="debit"/>
    <m/>
    <x v="1704"/>
    <m/>
    <m/>
  </r>
  <r>
    <x v="41"/>
    <d v="2022-06-29T00:00:00"/>
    <s v="Cash Rewards Visa Signature"/>
    <x v="775"/>
    <n v="26.87"/>
    <x v="26"/>
    <s v="House Maintenance"/>
    <m/>
    <m/>
    <n v="26.87"/>
    <m/>
    <m/>
    <s v="debit"/>
    <m/>
    <x v="747"/>
    <m/>
    <m/>
  </r>
  <r>
    <x v="41"/>
    <d v="2022-06-29T00:00:00"/>
    <s v="Cash Rewards Visa Signature"/>
    <x v="1391"/>
    <n v="133.44"/>
    <x v="26"/>
    <s v="Transportation"/>
    <m/>
    <m/>
    <n v="133.44"/>
    <m/>
    <m/>
    <s v="debit"/>
    <m/>
    <x v="1310"/>
    <m/>
    <m/>
  </r>
  <r>
    <x v="41"/>
    <d v="2022-06-30T00:00:00"/>
    <s v="Cash Rewards Visa Signature"/>
    <x v="2092"/>
    <n v="21.95"/>
    <x v="26"/>
    <s v="Amazon"/>
    <m/>
    <m/>
    <n v="21.95"/>
    <m/>
    <m/>
    <s v="debit"/>
    <m/>
    <x v="1942"/>
    <m/>
    <m/>
  </r>
  <r>
    <x v="41"/>
    <d v="2022-06-30T00:00:00"/>
    <s v="Cash Rewards Visa Signature"/>
    <x v="2093"/>
    <n v="15"/>
    <x v="26"/>
    <s v="Entertainment"/>
    <m/>
    <m/>
    <n v="15"/>
    <m/>
    <m/>
    <s v="debit"/>
    <m/>
    <x v="1943"/>
    <m/>
    <m/>
  </r>
  <r>
    <x v="41"/>
    <d v="2022-06-30T00:00:00"/>
    <s v="RAINY DAY"/>
    <x v="1916"/>
    <n v="-14.24"/>
    <x v="26"/>
    <s v="Dividend"/>
    <m/>
    <m/>
    <n v="14.24"/>
    <m/>
    <m/>
    <s v="credit"/>
    <m/>
    <x v="1769"/>
    <m/>
    <m/>
  </r>
  <r>
    <x v="41"/>
    <d v="2022-06-30T00:00:00"/>
    <s v="POWERPLUS"/>
    <x v="1916"/>
    <n v="-24.47"/>
    <x v="26"/>
    <s v="Dividend"/>
    <m/>
    <m/>
    <n v="24.47"/>
    <m/>
    <m/>
    <s v="credit"/>
    <m/>
    <x v="1769"/>
    <m/>
    <m/>
  </r>
  <r>
    <x v="41"/>
    <d v="2022-06-30T00:00:00"/>
    <s v="Cash Rewards Visa Signature"/>
    <x v="2094"/>
    <n v="31.07"/>
    <x v="26"/>
    <s v="Restaurants"/>
    <m/>
    <m/>
    <n v="31.07"/>
    <m/>
    <m/>
    <s v="debit"/>
    <m/>
    <x v="1944"/>
    <m/>
    <m/>
  </r>
  <r>
    <x v="41"/>
    <d v="2022-06-30T00:00:00"/>
    <s v="POWERPLUS"/>
    <x v="1849"/>
    <n v="125.58"/>
    <x v="8"/>
    <s v="Shopping"/>
    <m/>
    <m/>
    <n v="125.58"/>
    <m/>
    <m/>
    <s v="debit"/>
    <m/>
    <x v="1704"/>
    <m/>
    <m/>
  </r>
  <r>
    <x v="41"/>
    <d v="2022-06-30T00:00:00"/>
    <s v="Manual"/>
    <x v="1850"/>
    <n v="250"/>
    <x v="33"/>
    <e v="#N/A"/>
    <s v="Exp - Cleaning"/>
    <m/>
    <m/>
    <m/>
    <m/>
    <m/>
    <m/>
    <x v="1705"/>
    <m/>
    <m/>
  </r>
  <r>
    <x v="42"/>
    <d v="2022-07-01T00:00:00"/>
    <s v="DISCOVER MORE CARD"/>
    <x v="2095"/>
    <n v="5.36"/>
    <x v="26"/>
    <s v="Entertainment"/>
    <m/>
    <m/>
    <n v="5.36"/>
    <m/>
    <m/>
    <s v="debit"/>
    <m/>
    <x v="1945"/>
    <m/>
    <m/>
  </r>
  <r>
    <x v="42"/>
    <d v="2022-07-01T00:00:00"/>
    <s v="Cash Rewards Visa Signature"/>
    <x v="2096"/>
    <n v="7.51"/>
    <x v="26"/>
    <s v="Amazon"/>
    <m/>
    <m/>
    <n v="7.51"/>
    <m/>
    <m/>
    <s v="debit"/>
    <m/>
    <x v="1946"/>
    <m/>
    <m/>
  </r>
  <r>
    <x v="42"/>
    <d v="2022-07-01T00:00:00"/>
    <s v="Cash Rewards Visa Signature"/>
    <x v="2097"/>
    <n v="38"/>
    <x v="26"/>
    <s v="misc"/>
    <m/>
    <m/>
    <n v="38"/>
    <m/>
    <m/>
    <s v="debit"/>
    <m/>
    <x v="1947"/>
    <m/>
    <m/>
  </r>
  <r>
    <x v="42"/>
    <d v="2022-07-01T00:00:00"/>
    <s v="Cash Rewards Visa Signature"/>
    <x v="2098"/>
    <n v="23.46"/>
    <x v="26"/>
    <s v="Restaurants"/>
    <m/>
    <m/>
    <n v="23.46"/>
    <m/>
    <m/>
    <s v="debit"/>
    <m/>
    <x v="1948"/>
    <m/>
    <m/>
  </r>
  <r>
    <x v="42"/>
    <d v="2022-07-01T00:00:00"/>
    <s v="POWERPLUS"/>
    <x v="1848"/>
    <n v="200"/>
    <x v="26"/>
    <s v="Delete"/>
    <m/>
    <m/>
    <n v="200"/>
    <m/>
    <m/>
    <s v="debit"/>
    <m/>
    <x v="1703"/>
    <m/>
    <m/>
  </r>
  <r>
    <x v="42"/>
    <d v="2022-07-01T00:00:00"/>
    <s v="HIGHLANDER"/>
    <x v="976"/>
    <n v="-599.61"/>
    <x v="3"/>
    <s v="Car Loan"/>
    <s v="Delete"/>
    <m/>
    <n v="599.61"/>
    <m/>
    <m/>
    <s v="credit"/>
    <m/>
    <x v="936"/>
    <m/>
    <m/>
  </r>
  <r>
    <x v="42"/>
    <d v="2022-07-01T00:00:00"/>
    <s v="HIGHLANDER"/>
    <x v="976"/>
    <n v="-599.61"/>
    <x v="3"/>
    <s v="Car Loan"/>
    <s v="Delete"/>
    <m/>
    <n v="599.61"/>
    <m/>
    <m/>
    <s v="credit"/>
    <m/>
    <x v="936"/>
    <m/>
    <m/>
  </r>
  <r>
    <x v="42"/>
    <d v="2022-07-01T00:00:00"/>
    <s v="Cash Rewards Visa Signature"/>
    <x v="2099"/>
    <n v="4.59"/>
    <x v="26"/>
    <s v="Groceries"/>
    <m/>
    <m/>
    <n v="4.59"/>
    <m/>
    <m/>
    <s v="debit"/>
    <m/>
    <x v="1949"/>
    <m/>
    <m/>
  </r>
  <r>
    <x v="42"/>
    <d v="2022-07-01T00:00:00"/>
    <s v="Cash Rewards Visa Signature"/>
    <x v="2100"/>
    <n v="68"/>
    <x v="26"/>
    <s v="Shopping"/>
    <m/>
    <m/>
    <n v="68"/>
    <m/>
    <m/>
    <s v="debit"/>
    <m/>
    <x v="1950"/>
    <m/>
    <m/>
  </r>
  <r>
    <x v="42"/>
    <d v="2022-07-01T00:00:00"/>
    <s v="Cash Rewards Visa Signature"/>
    <x v="2101"/>
    <n v="5.97"/>
    <x v="26"/>
    <s v="Target"/>
    <m/>
    <m/>
    <n v="5.97"/>
    <m/>
    <m/>
    <s v="debit"/>
    <m/>
    <x v="1951"/>
    <m/>
    <m/>
  </r>
  <r>
    <x v="42"/>
    <d v="2022-07-01T00:00:00"/>
    <s v="Cash Rewards Visa Signature"/>
    <x v="2101"/>
    <n v="108.43"/>
    <x v="26"/>
    <s v="Target"/>
    <m/>
    <m/>
    <n v="108.43"/>
    <m/>
    <m/>
    <s v="debit"/>
    <m/>
    <x v="1951"/>
    <m/>
    <m/>
  </r>
  <r>
    <x v="42"/>
    <d v="2022-07-01T00:00:00"/>
    <s v="POWERPLUS"/>
    <x v="979"/>
    <n v="618.65"/>
    <x v="26"/>
    <s v="Car Loan"/>
    <m/>
    <m/>
    <n v="618.65"/>
    <m/>
    <m/>
    <s v="debit"/>
    <m/>
    <x v="939"/>
    <m/>
    <m/>
  </r>
  <r>
    <x v="42"/>
    <d v="2022-07-01T00:00:00"/>
    <s v="Cash Rewards Visa Signature"/>
    <x v="2102"/>
    <n v="60.43"/>
    <x v="26"/>
    <s v="Groceries"/>
    <m/>
    <m/>
    <n v="60.43"/>
    <m/>
    <m/>
    <s v="debit"/>
    <m/>
    <x v="1952"/>
    <m/>
    <m/>
  </r>
  <r>
    <x v="42"/>
    <d v="2022-07-01T00:00:00"/>
    <s v="Cash Rewards Visa Signature"/>
    <x v="2103"/>
    <n v="41.82"/>
    <x v="26"/>
    <s v="Shopping"/>
    <m/>
    <m/>
    <n v="41.82"/>
    <m/>
    <m/>
    <s v="debit"/>
    <m/>
    <x v="1953"/>
    <m/>
    <m/>
  </r>
  <r>
    <x v="42"/>
    <d v="2022-07-01T00:00:00"/>
    <s v="30 YR FIXED"/>
    <x v="935"/>
    <n v="-771.42"/>
    <x v="3"/>
    <s v="Delete"/>
    <m/>
    <m/>
    <n v="771.42"/>
    <m/>
    <m/>
    <s v="credit"/>
    <m/>
    <x v="899"/>
    <m/>
    <m/>
  </r>
  <r>
    <x v="42"/>
    <d v="2022-07-01T00:00:00"/>
    <s v="30 YR FIXED"/>
    <x v="935"/>
    <n v="-771.42"/>
    <x v="3"/>
    <s v="Delete"/>
    <s v="Delete"/>
    <m/>
    <n v="771.42"/>
    <m/>
    <m/>
    <s v="credit"/>
    <m/>
    <x v="899"/>
    <m/>
    <m/>
  </r>
  <r>
    <x v="42"/>
    <d v="2022-07-01T00:00:00"/>
    <s v="30 YR FIXED"/>
    <x v="935"/>
    <n v="2572.94"/>
    <x v="3"/>
    <s v="Delete"/>
    <s v="Delete"/>
    <m/>
    <n v="2572.94"/>
    <m/>
    <m/>
    <s v="debit"/>
    <m/>
    <x v="899"/>
    <m/>
    <m/>
  </r>
  <r>
    <x v="42"/>
    <d v="2022-07-01T00:00:00"/>
    <s v="POWERPLUS"/>
    <x v="1844"/>
    <n v="2572.94"/>
    <x v="6"/>
    <s v="Rent"/>
    <m/>
    <m/>
    <n v="2572.94"/>
    <m/>
    <m/>
    <s v="debit"/>
    <m/>
    <x v="1699"/>
    <m/>
    <m/>
  </r>
  <r>
    <x v="42"/>
    <d v="2022-07-03T00:00:00"/>
    <s v="Cash Rewards Visa Signature"/>
    <x v="2048"/>
    <n v="3.52"/>
    <x v="1"/>
    <s v="Restaurants"/>
    <m/>
    <m/>
    <n v="3.52"/>
    <m/>
    <m/>
    <s v="debit"/>
    <m/>
    <x v="1898"/>
    <m/>
    <m/>
  </r>
  <r>
    <x v="42"/>
    <d v="2022-07-03T00:00:00"/>
    <s v="Cash Rewards Visa Signature"/>
    <x v="1920"/>
    <n v="18"/>
    <x v="26"/>
    <s v="Entertainment"/>
    <m/>
    <m/>
    <n v="18"/>
    <m/>
    <m/>
    <s v="debit"/>
    <m/>
    <x v="1773"/>
    <m/>
    <m/>
  </r>
  <r>
    <x v="42"/>
    <d v="2022-07-03T00:00:00"/>
    <s v="Cash Rewards Visa Signature"/>
    <x v="1881"/>
    <n v="7.88"/>
    <x v="5"/>
    <s v="Transportation"/>
    <m/>
    <m/>
    <n v="7.88"/>
    <m/>
    <m/>
    <s v="debit"/>
    <m/>
    <x v="1734"/>
    <m/>
    <m/>
  </r>
  <r>
    <x v="42"/>
    <d v="2022-07-03T00:00:00"/>
    <s v="Cash Rewards Visa Signature"/>
    <x v="1881"/>
    <n v="69.89"/>
    <x v="5"/>
    <s v="Transportation"/>
    <m/>
    <m/>
    <n v="69.89"/>
    <m/>
    <m/>
    <s v="debit"/>
    <m/>
    <x v="1734"/>
    <m/>
    <m/>
  </r>
  <r>
    <x v="42"/>
    <d v="2022-07-03T00:00:00"/>
    <s v="Cash Rewards Visa Signature"/>
    <x v="2104"/>
    <n v="11.38"/>
    <x v="26"/>
    <s v="Shopping"/>
    <m/>
    <m/>
    <n v="11.38"/>
    <m/>
    <m/>
    <s v="debit"/>
    <m/>
    <x v="1954"/>
    <m/>
    <m/>
  </r>
  <r>
    <x v="42"/>
    <d v="2022-07-03T00:00:00"/>
    <s v="Cash Rewards Visa Signature"/>
    <x v="1971"/>
    <n v="-80"/>
    <x v="3"/>
    <s v="Shopping"/>
    <s v="Delete"/>
    <m/>
    <n v="80"/>
    <m/>
    <m/>
    <s v="credit"/>
    <m/>
    <x v="1821"/>
    <m/>
    <m/>
  </r>
  <r>
    <x v="42"/>
    <d v="2022-07-03T00:00:00"/>
    <s v="Cash Rewards Visa Signature"/>
    <x v="1971"/>
    <n v="-80"/>
    <x v="32"/>
    <s v="Shopping"/>
    <s v="Exp - Shopping"/>
    <m/>
    <n v="80"/>
    <m/>
    <m/>
    <s v="credit"/>
    <m/>
    <x v="1821"/>
    <m/>
    <m/>
  </r>
  <r>
    <x v="42"/>
    <d v="2022-07-05T00:00:00"/>
    <s v="DISCOVER MORE CARD"/>
    <x v="2105"/>
    <n v="22.43"/>
    <x v="26"/>
    <s v="Amazon"/>
    <m/>
    <m/>
    <n v="22.43"/>
    <m/>
    <m/>
    <s v="debit"/>
    <m/>
    <x v="1955"/>
    <m/>
    <m/>
  </r>
  <r>
    <x v="42"/>
    <d v="2022-07-05T00:00:00"/>
    <s v="Cash Rewards Visa Signature"/>
    <x v="2106"/>
    <n v="127.35"/>
    <x v="26"/>
    <s v="Groceries"/>
    <m/>
    <m/>
    <n v="127.35"/>
    <m/>
    <m/>
    <s v="debit"/>
    <m/>
    <x v="1956"/>
    <m/>
    <m/>
  </r>
  <r>
    <x v="42"/>
    <d v="2022-07-05T00:00:00"/>
    <s v="POWERPLUS"/>
    <x v="2107"/>
    <n v="523.62"/>
    <x v="26"/>
    <n v="0"/>
    <m/>
    <m/>
    <n v="523.62"/>
    <m/>
    <m/>
    <s v="debit"/>
    <m/>
    <x v="1957"/>
    <m/>
    <m/>
  </r>
  <r>
    <x v="42"/>
    <d v="2022-07-05T00:00:00"/>
    <s v="Cash Rewards Visa Signature"/>
    <x v="2108"/>
    <n v="11.37"/>
    <x v="26"/>
    <s v="Restaurants"/>
    <m/>
    <m/>
    <n v="11.37"/>
    <m/>
    <m/>
    <s v="debit"/>
    <m/>
    <x v="1958"/>
    <m/>
    <m/>
  </r>
  <r>
    <x v="42"/>
    <d v="2022-07-05T00:00:00"/>
    <s v="POWERPLUS"/>
    <x v="1849"/>
    <n v="45.35"/>
    <x v="8"/>
    <s v="Shopping"/>
    <m/>
    <m/>
    <n v="45.35"/>
    <m/>
    <m/>
    <s v="debit"/>
    <m/>
    <x v="1704"/>
    <m/>
    <m/>
  </r>
  <r>
    <x v="42"/>
    <d v="2022-07-05T00:00:00"/>
    <s v="POWERPLUS"/>
    <x v="1817"/>
    <n v="3035.15"/>
    <x v="26"/>
    <s v="Delete"/>
    <m/>
    <m/>
    <n v="3035.15"/>
    <m/>
    <m/>
    <s v="debit"/>
    <m/>
    <x v="1672"/>
    <m/>
    <m/>
  </r>
  <r>
    <x v="42"/>
    <d v="2022-07-05T00:00:00"/>
    <s v="Cash Rewards Visa Signature"/>
    <x v="1838"/>
    <n v="-3035.15"/>
    <x v="26"/>
    <s v="Delete"/>
    <m/>
    <m/>
    <n v="3035.15"/>
    <m/>
    <m/>
    <s v="credit"/>
    <m/>
    <x v="1693"/>
    <m/>
    <m/>
  </r>
  <r>
    <x v="42"/>
    <d v="2022-07-05T00:00:00"/>
    <s v="Cash Rewards Visa Signature"/>
    <x v="1838"/>
    <n v="-3035.15"/>
    <x v="3"/>
    <s v="Delete"/>
    <s v="Delete"/>
    <m/>
    <n v="3035.15"/>
    <m/>
    <m/>
    <s v="credit"/>
    <m/>
    <x v="1693"/>
    <m/>
    <m/>
  </r>
  <r>
    <x v="42"/>
    <d v="2022-07-06T00:00:00"/>
    <s v="DISCOVER MORE CARD"/>
    <x v="2109"/>
    <n v="21.85"/>
    <x v="26"/>
    <s v="Amazon"/>
    <m/>
    <m/>
    <n v="21.85"/>
    <m/>
    <m/>
    <s v="debit"/>
    <m/>
    <x v="1959"/>
    <m/>
    <m/>
  </r>
  <r>
    <x v="42"/>
    <d v="2022-07-06T00:00:00"/>
    <s v="Cash Rewards Visa Signature"/>
    <x v="2034"/>
    <n v="63.2"/>
    <x v="26"/>
    <s v="Shopping"/>
    <m/>
    <m/>
    <n v="63.2"/>
    <m/>
    <m/>
    <s v="debit"/>
    <m/>
    <x v="1884"/>
    <m/>
    <m/>
  </r>
  <r>
    <x v="42"/>
    <d v="2022-07-06T00:00:00"/>
    <s v="DISCOVER MORE CARD"/>
    <x v="2052"/>
    <n v="128.22999999999999"/>
    <x v="26"/>
    <s v="Restaurants"/>
    <m/>
    <m/>
    <n v="128.22999999999999"/>
    <m/>
    <m/>
    <s v="debit"/>
    <m/>
    <x v="1902"/>
    <m/>
    <m/>
  </r>
  <r>
    <x v="42"/>
    <d v="2022-07-06T00:00:00"/>
    <s v="POWERPLUS"/>
    <x v="1829"/>
    <n v="536.5"/>
    <x v="26"/>
    <s v="Day Care"/>
    <m/>
    <m/>
    <n v="536.5"/>
    <m/>
    <m/>
    <s v="debit"/>
    <m/>
    <x v="1684"/>
    <m/>
    <m/>
  </r>
  <r>
    <x v="42"/>
    <d v="2022-07-06T00:00:00"/>
    <s v="Cash Rewards Visa Signature"/>
    <x v="2037"/>
    <n v="138"/>
    <x v="26"/>
    <s v="Shopping"/>
    <m/>
    <m/>
    <n v="138"/>
    <m/>
    <m/>
    <s v="debit"/>
    <m/>
    <x v="1887"/>
    <m/>
    <m/>
  </r>
  <r>
    <x v="42"/>
    <d v="2022-07-06T00:00:00"/>
    <s v="Cash Rewards Visa Signature"/>
    <x v="2110"/>
    <n v="25"/>
    <x v="26"/>
    <s v="Entertainment"/>
    <m/>
    <m/>
    <n v="25"/>
    <m/>
    <m/>
    <s v="debit"/>
    <m/>
    <x v="1960"/>
    <m/>
    <m/>
  </r>
  <r>
    <x v="42"/>
    <d v="2022-07-06T00:00:00"/>
    <s v="Cash Rewards Visa Signature"/>
    <x v="2102"/>
    <n v="128.41999999999999"/>
    <x v="26"/>
    <s v="Groceries"/>
    <m/>
    <m/>
    <n v="128.41999999999999"/>
    <m/>
    <m/>
    <s v="debit"/>
    <m/>
    <x v="1952"/>
    <m/>
    <m/>
  </r>
  <r>
    <x v="42"/>
    <d v="2022-07-06T00:00:00"/>
    <s v="DISCOVER MORE CARD"/>
    <x v="56"/>
    <n v="-982.04"/>
    <x v="3"/>
    <s v="Delete"/>
    <m/>
    <m/>
    <n v="982.04"/>
    <m/>
    <m/>
    <s v="credit"/>
    <m/>
    <x v="56"/>
    <m/>
    <m/>
  </r>
  <r>
    <x v="42"/>
    <d v="2022-07-06T00:00:00"/>
    <s v="DISCOVER MORE CARD"/>
    <x v="56"/>
    <n v="-982.04"/>
    <x v="3"/>
    <s v="Delete"/>
    <s v="Delete"/>
    <m/>
    <n v="982.04"/>
    <m/>
    <m/>
    <s v="credit"/>
    <m/>
    <x v="56"/>
    <m/>
    <m/>
  </r>
  <r>
    <x v="42"/>
    <d v="2022-07-07T00:00:00"/>
    <s v="Cash Rewards Visa Signature"/>
    <x v="2111"/>
    <n v="167.08"/>
    <x v="26"/>
    <s v="Shopping"/>
    <m/>
    <m/>
    <n v="167.08"/>
    <m/>
    <m/>
    <s v="debit"/>
    <m/>
    <x v="1961"/>
    <m/>
    <m/>
  </r>
  <r>
    <x v="42"/>
    <d v="2022-07-07T00:00:00"/>
    <s v="Cash Rewards Visa Signature"/>
    <x v="2112"/>
    <n v="10"/>
    <x v="26"/>
    <s v="Transportation"/>
    <m/>
    <m/>
    <n v="10"/>
    <m/>
    <m/>
    <s v="debit"/>
    <m/>
    <x v="1962"/>
    <m/>
    <m/>
  </r>
  <r>
    <x v="42"/>
    <d v="2022-07-07T00:00:00"/>
    <s v="POWERPLUS"/>
    <x v="1901"/>
    <n v="-75"/>
    <x v="26"/>
    <s v="Inc - Britney"/>
    <m/>
    <m/>
    <n v="75"/>
    <m/>
    <m/>
    <s v="credit"/>
    <m/>
    <x v="1754"/>
    <m/>
    <m/>
  </r>
  <r>
    <x v="42"/>
    <d v="2022-07-07T00:00:00"/>
    <s v="POWERPLUS"/>
    <x v="1901"/>
    <n v="-75"/>
    <x v="14"/>
    <s v="Inc - Britney"/>
    <s v="Inc - Britney"/>
    <m/>
    <n v="75"/>
    <m/>
    <m/>
    <s v="credit"/>
    <m/>
    <x v="1754"/>
    <m/>
    <m/>
  </r>
  <r>
    <x v="42"/>
    <d v="2022-07-07T00:00:00"/>
    <s v="POWERPLUS"/>
    <x v="1913"/>
    <n v="-2448.7399999999998"/>
    <x v="26"/>
    <s v="Inc - Britney"/>
    <m/>
    <m/>
    <n v="2448.7399999999998"/>
    <m/>
    <m/>
    <s v="credit"/>
    <m/>
    <x v="1766"/>
    <m/>
    <m/>
  </r>
  <r>
    <x v="42"/>
    <d v="2022-07-07T00:00:00"/>
    <s v="POWERPLUS"/>
    <x v="1913"/>
    <n v="-2448.7399999999998"/>
    <x v="14"/>
    <s v="Inc - Britney"/>
    <s v="Inc - Britney"/>
    <m/>
    <n v="2448.7399999999998"/>
    <m/>
    <m/>
    <s v="credit"/>
    <m/>
    <x v="1766"/>
    <m/>
    <m/>
  </r>
  <r>
    <x v="42"/>
    <d v="2022-07-07T00:00:00"/>
    <s v="Cash Rewards Visa Signature"/>
    <x v="2113"/>
    <n v="77.72"/>
    <x v="26"/>
    <s v="Shopping"/>
    <m/>
    <m/>
    <n v="77.72"/>
    <m/>
    <m/>
    <s v="debit"/>
    <m/>
    <x v="1963"/>
    <m/>
    <m/>
  </r>
  <r>
    <x v="42"/>
    <d v="2022-07-07T00:00:00"/>
    <s v="POWERPLUS"/>
    <x v="1888"/>
    <n v="982.04"/>
    <x v="3"/>
    <s v="Delete"/>
    <m/>
    <m/>
    <n v="982.04"/>
    <m/>
    <m/>
    <s v="debit"/>
    <m/>
    <x v="1741"/>
    <m/>
    <m/>
  </r>
  <r>
    <x v="42"/>
    <d v="2022-07-07T00:00:00"/>
    <s v="POWERPLUS"/>
    <x v="1869"/>
    <n v="168.62"/>
    <x v="11"/>
    <s v="Utilities"/>
    <m/>
    <m/>
    <n v="168.62"/>
    <m/>
    <m/>
    <s v="debit"/>
    <m/>
    <x v="1723"/>
    <m/>
    <m/>
  </r>
  <r>
    <x v="42"/>
    <d v="2022-07-08T00:00:00"/>
    <s v="POWERPLUS"/>
    <x v="2114"/>
    <n v="34.630000000000003"/>
    <x v="26"/>
    <s v="Groceries"/>
    <m/>
    <m/>
    <n v="34.630000000000003"/>
    <m/>
    <m/>
    <s v="debit"/>
    <m/>
    <x v="1964"/>
    <m/>
    <m/>
  </r>
  <r>
    <x v="42"/>
    <d v="2022-07-08T00:00:00"/>
    <s v="Cash Rewards Visa Signature"/>
    <x v="2115"/>
    <n v="283"/>
    <x v="26"/>
    <s v="House Maintenance"/>
    <m/>
    <m/>
    <n v="283"/>
    <m/>
    <m/>
    <s v="debit"/>
    <m/>
    <x v="1965"/>
    <m/>
    <m/>
  </r>
  <r>
    <x v="42"/>
    <d v="2022-07-08T00:00:00"/>
    <s v="Cash Rewards Visa Signature"/>
    <x v="2116"/>
    <n v="60.36"/>
    <x v="26"/>
    <s v="Transportation"/>
    <m/>
    <m/>
    <n v="60.36"/>
    <m/>
    <m/>
    <s v="debit"/>
    <m/>
    <x v="1966"/>
    <m/>
    <m/>
  </r>
  <r>
    <x v="42"/>
    <d v="2022-07-08T00:00:00"/>
    <s v="Cash Rewards Visa Signature"/>
    <x v="2084"/>
    <n v="52.62"/>
    <x v="26"/>
    <s v="Transportation"/>
    <m/>
    <m/>
    <n v="52.62"/>
    <m/>
    <m/>
    <s v="debit"/>
    <m/>
    <x v="1934"/>
    <m/>
    <m/>
  </r>
  <r>
    <x v="42"/>
    <d v="2022-07-08T00:00:00"/>
    <s v="Cash Rewards Visa Signature"/>
    <x v="2117"/>
    <n v="75.17"/>
    <x v="26"/>
    <s v="Shopping"/>
    <m/>
    <m/>
    <n v="75.17"/>
    <m/>
    <m/>
    <s v="debit"/>
    <m/>
    <x v="1967"/>
    <m/>
    <m/>
  </r>
  <r>
    <x v="42"/>
    <d v="2022-07-09T00:00:00"/>
    <s v="DISCOVER MORE CARD"/>
    <x v="2118"/>
    <n v="49.53"/>
    <x v="26"/>
    <s v="Restaurants"/>
    <m/>
    <m/>
    <n v="49.53"/>
    <m/>
    <m/>
    <s v="debit"/>
    <m/>
    <x v="1968"/>
    <m/>
    <m/>
  </r>
  <r>
    <x v="42"/>
    <d v="2022-07-10T00:00:00"/>
    <s v="Cash Rewards Visa Signature"/>
    <x v="2119"/>
    <n v="84.77"/>
    <x v="26"/>
    <s v="Shopping"/>
    <m/>
    <m/>
    <n v="84.77"/>
    <m/>
    <m/>
    <s v="debit"/>
    <m/>
    <x v="1969"/>
    <m/>
    <m/>
  </r>
  <r>
    <x v="42"/>
    <d v="2022-07-10T00:00:00"/>
    <s v="Cash Rewards Visa Signature"/>
    <x v="2120"/>
    <n v="29.21"/>
    <x v="26"/>
    <s v="Groceries"/>
    <m/>
    <m/>
    <n v="29.21"/>
    <m/>
    <m/>
    <s v="debit"/>
    <m/>
    <x v="1970"/>
    <m/>
    <m/>
  </r>
  <r>
    <x v="42"/>
    <d v="2022-07-10T00:00:00"/>
    <s v="Cash Rewards Visa Signature"/>
    <x v="2121"/>
    <n v="50.86"/>
    <x v="26"/>
    <s v="Transportation"/>
    <m/>
    <m/>
    <n v="50.86"/>
    <m/>
    <m/>
    <s v="debit"/>
    <m/>
    <x v="1971"/>
    <m/>
    <m/>
  </r>
  <r>
    <x v="42"/>
    <d v="2022-07-10T00:00:00"/>
    <s v="Cash Rewards Visa Signature"/>
    <x v="2122"/>
    <n v="5.85"/>
    <x v="26"/>
    <s v="misc"/>
    <m/>
    <m/>
    <n v="5.85"/>
    <m/>
    <m/>
    <s v="debit"/>
    <m/>
    <x v="1972"/>
    <m/>
    <m/>
  </r>
  <r>
    <x v="42"/>
    <d v="2022-07-10T00:00:00"/>
    <s v="Cash Rewards Visa Signature"/>
    <x v="2122"/>
    <n v="272.25"/>
    <x v="37"/>
    <s v="misc"/>
    <s v="Exp - Transportation"/>
    <m/>
    <n v="272.25"/>
    <m/>
    <m/>
    <s v="debit"/>
    <m/>
    <x v="1972"/>
    <m/>
    <m/>
  </r>
  <r>
    <x v="42"/>
    <d v="2022-07-10T00:00:00"/>
    <s v="Cash Rewards Visa Signature"/>
    <x v="2123"/>
    <n v="6.35"/>
    <x v="26"/>
    <s v="Travel"/>
    <m/>
    <m/>
    <n v="6.35"/>
    <m/>
    <m/>
    <s v="debit"/>
    <m/>
    <x v="1973"/>
    <m/>
    <m/>
  </r>
  <r>
    <x v="42"/>
    <d v="2022-07-10T00:00:00"/>
    <s v="Cash Rewards Visa Signature"/>
    <x v="2124"/>
    <n v="23.01"/>
    <x v="26"/>
    <s v="Restaurants"/>
    <m/>
    <m/>
    <n v="23.01"/>
    <m/>
    <m/>
    <s v="debit"/>
    <m/>
    <x v="1974"/>
    <m/>
    <m/>
  </r>
  <r>
    <x v="42"/>
    <d v="2022-07-10T00:00:00"/>
    <s v="Cash Rewards Visa Signature"/>
    <x v="2125"/>
    <n v="47.32"/>
    <x v="26"/>
    <s v="Gym"/>
    <m/>
    <m/>
    <n v="47.32"/>
    <m/>
    <m/>
    <s v="debit"/>
    <m/>
    <x v="1975"/>
    <m/>
    <m/>
  </r>
  <r>
    <x v="42"/>
    <d v="2022-07-10T00:00:00"/>
    <s v="Cash Rewards Visa Signature"/>
    <x v="2126"/>
    <n v="11"/>
    <x v="26"/>
    <s v="Shopping"/>
    <m/>
    <m/>
    <n v="11"/>
    <m/>
    <m/>
    <s v="debit"/>
    <m/>
    <x v="1976"/>
    <m/>
    <m/>
  </r>
  <r>
    <x v="42"/>
    <d v="2022-07-10T00:00:00"/>
    <s v="Cash Rewards Visa Signature"/>
    <x v="2126"/>
    <n v="19.25"/>
    <x v="26"/>
    <s v="Shopping"/>
    <m/>
    <m/>
    <n v="19.25"/>
    <m/>
    <m/>
    <s v="debit"/>
    <m/>
    <x v="1976"/>
    <m/>
    <m/>
  </r>
  <r>
    <x v="42"/>
    <d v="2022-07-10T00:00:00"/>
    <s v="Cash Rewards Visa Signature"/>
    <x v="2085"/>
    <n v="8.9700000000000006"/>
    <x v="26"/>
    <s v="House Maintenance"/>
    <m/>
    <m/>
    <n v="8.9700000000000006"/>
    <m/>
    <m/>
    <s v="debit"/>
    <m/>
    <x v="1935"/>
    <m/>
    <m/>
  </r>
  <r>
    <x v="42"/>
    <d v="2022-07-11T00:00:00"/>
    <s v="DISCOVER MORE CARD"/>
    <x v="2127"/>
    <n v="15.02"/>
    <x v="26"/>
    <s v="Amazon"/>
    <m/>
    <m/>
    <n v="15.02"/>
    <m/>
    <m/>
    <s v="debit"/>
    <m/>
    <x v="1977"/>
    <m/>
    <m/>
  </r>
  <r>
    <x v="42"/>
    <d v="2022-07-11T00:00:00"/>
    <s v="DISCOVER MORE CARD"/>
    <x v="2128"/>
    <n v="45.1"/>
    <x v="26"/>
    <s v="Amazon"/>
    <m/>
    <m/>
    <n v="45.1"/>
    <m/>
    <m/>
    <s v="debit"/>
    <m/>
    <x v="1978"/>
    <m/>
    <m/>
  </r>
  <r>
    <x v="42"/>
    <d v="2022-07-11T00:00:00"/>
    <s v="Cash Rewards Visa Signature"/>
    <x v="2115"/>
    <n v="287.10000000000002"/>
    <x v="26"/>
    <s v="House Maintenance"/>
    <m/>
    <m/>
    <n v="287.10000000000002"/>
    <m/>
    <m/>
    <s v="debit"/>
    <m/>
    <x v="1965"/>
    <m/>
    <m/>
  </r>
  <r>
    <x v="42"/>
    <d v="2022-07-11T00:00:00"/>
    <s v="Cash Rewards Visa Signature"/>
    <x v="2129"/>
    <n v="37.5"/>
    <x v="26"/>
    <s v="Restaurants"/>
    <m/>
    <m/>
    <n v="37.5"/>
    <m/>
    <m/>
    <s v="debit"/>
    <m/>
    <x v="1979"/>
    <m/>
    <m/>
  </r>
  <r>
    <x v="42"/>
    <d v="2022-07-11T00:00:00"/>
    <s v="Cash Rewards Visa Signature"/>
    <x v="2130"/>
    <n v="35.450000000000003"/>
    <x v="26"/>
    <s v="Shopping"/>
    <m/>
    <m/>
    <n v="35.450000000000003"/>
    <m/>
    <m/>
    <s v="debit"/>
    <m/>
    <x v="1980"/>
    <m/>
    <m/>
  </r>
  <r>
    <x v="42"/>
    <d v="2022-07-11T00:00:00"/>
    <s v="POWERPLUS"/>
    <x v="1827"/>
    <n v="125"/>
    <x v="8"/>
    <s v="Travel"/>
    <m/>
    <m/>
    <n v="125"/>
    <m/>
    <m/>
    <s v="debit"/>
    <m/>
    <x v="1682"/>
    <m/>
    <m/>
  </r>
  <r>
    <x v="42"/>
    <d v="2022-07-12T00:00:00"/>
    <s v="DISCOVER MORE CARD"/>
    <x v="2131"/>
    <n v="31.27"/>
    <x v="26"/>
    <s v="Amazon"/>
    <m/>
    <m/>
    <n v="31.27"/>
    <m/>
    <m/>
    <s v="debit"/>
    <m/>
    <x v="1981"/>
    <m/>
    <m/>
  </r>
  <r>
    <x v="42"/>
    <d v="2022-07-12T00:00:00"/>
    <s v="Cash Rewards Visa Signature"/>
    <x v="2132"/>
    <n v="40.15"/>
    <x v="26"/>
    <s v="Groceries"/>
    <m/>
    <m/>
    <n v="40.15"/>
    <m/>
    <m/>
    <s v="debit"/>
    <m/>
    <x v="1982"/>
    <m/>
    <m/>
  </r>
  <r>
    <x v="42"/>
    <d v="2022-07-13T00:00:00"/>
    <s v="Cash Rewards Visa Signature"/>
    <x v="2133"/>
    <n v="45"/>
    <x v="26"/>
    <s v="Utilities"/>
    <m/>
    <m/>
    <n v="45"/>
    <m/>
    <m/>
    <s v="debit"/>
    <m/>
    <x v="1983"/>
    <m/>
    <m/>
  </r>
  <r>
    <x v="42"/>
    <d v="2022-07-13T00:00:00"/>
    <s v="Cash Rewards Visa Signature"/>
    <x v="2134"/>
    <n v="84.14"/>
    <x v="26"/>
    <s v="Groceries"/>
    <m/>
    <m/>
    <n v="84.14"/>
    <m/>
    <m/>
    <s v="debit"/>
    <m/>
    <x v="1984"/>
    <m/>
    <m/>
  </r>
  <r>
    <x v="42"/>
    <d v="2022-07-13T00:00:00"/>
    <s v="Cash Rewards Visa Signature"/>
    <x v="2135"/>
    <n v="41.98"/>
    <x v="26"/>
    <s v="Shopping"/>
    <m/>
    <m/>
    <n v="41.98"/>
    <m/>
    <m/>
    <s v="debit"/>
    <m/>
    <x v="1985"/>
    <m/>
    <m/>
  </r>
  <r>
    <x v="42"/>
    <d v="2022-07-13T00:00:00"/>
    <s v="Cash Rewards Visa Signature"/>
    <x v="2136"/>
    <n v="97.2"/>
    <x v="26"/>
    <s v="Shopping"/>
    <m/>
    <m/>
    <n v="97.2"/>
    <m/>
    <m/>
    <s v="debit"/>
    <m/>
    <x v="1986"/>
    <m/>
    <m/>
  </r>
  <r>
    <x v="42"/>
    <d v="2022-07-13T00:00:00"/>
    <s v="Cash Rewards Visa Signature"/>
    <x v="2137"/>
    <n v="2.79"/>
    <x v="26"/>
    <s v="Transportation"/>
    <m/>
    <m/>
    <n v="2.79"/>
    <m/>
    <m/>
    <s v="debit"/>
    <m/>
    <x v="1987"/>
    <m/>
    <m/>
  </r>
  <r>
    <x v="42"/>
    <d v="2022-07-13T00:00:00"/>
    <s v="POWERPLUS"/>
    <x v="1829"/>
    <n v="536.5"/>
    <x v="26"/>
    <s v="Day Care"/>
    <m/>
    <m/>
    <n v="536.5"/>
    <m/>
    <m/>
    <s v="debit"/>
    <m/>
    <x v="1684"/>
    <m/>
    <m/>
  </r>
  <r>
    <x v="42"/>
    <d v="2022-07-13T00:00:00"/>
    <s v="Cash Rewards Visa Signature"/>
    <x v="2138"/>
    <n v="2.4900000000000002"/>
    <x v="26"/>
    <s v="Shopping"/>
    <m/>
    <m/>
    <n v="2.4900000000000002"/>
    <m/>
    <m/>
    <s v="debit"/>
    <m/>
    <x v="1988"/>
    <m/>
    <m/>
  </r>
  <r>
    <x v="42"/>
    <d v="2022-07-13T00:00:00"/>
    <s v="Cash Rewards Visa Signature"/>
    <x v="2138"/>
    <n v="48.79"/>
    <x v="26"/>
    <s v="Shopping"/>
    <m/>
    <m/>
    <n v="48.79"/>
    <m/>
    <m/>
    <s v="debit"/>
    <m/>
    <x v="1988"/>
    <m/>
    <m/>
  </r>
  <r>
    <x v="42"/>
    <d v="2022-07-13T00:00:00"/>
    <s v="Cash Rewards Visa Signature"/>
    <x v="2139"/>
    <n v="11.82"/>
    <x v="26"/>
    <s v="Shopping"/>
    <m/>
    <m/>
    <n v="11.82"/>
    <m/>
    <m/>
    <s v="debit"/>
    <m/>
    <x v="1989"/>
    <m/>
    <m/>
  </r>
  <r>
    <x v="42"/>
    <d v="2022-07-13T00:00:00"/>
    <s v="Cash Rewards Visa Signature"/>
    <x v="2139"/>
    <n v="54.95"/>
    <x v="26"/>
    <s v="Shopping"/>
    <m/>
    <m/>
    <n v="54.95"/>
    <m/>
    <m/>
    <s v="debit"/>
    <m/>
    <x v="1989"/>
    <m/>
    <m/>
  </r>
  <r>
    <x v="42"/>
    <d v="2022-07-14T00:00:00"/>
    <s v="POWERPLUS"/>
    <x v="48"/>
    <n v="102.48"/>
    <x v="16"/>
    <s v="Insurance"/>
    <m/>
    <m/>
    <n v="102.48"/>
    <m/>
    <m/>
    <s v="debit"/>
    <m/>
    <x v="48"/>
    <m/>
    <m/>
  </r>
  <r>
    <x v="42"/>
    <d v="2022-07-14T00:00:00"/>
    <s v="Cash Rewards Visa Signature"/>
    <x v="2034"/>
    <n v="-150.38999999999999"/>
    <x v="3"/>
    <s v="Shopping"/>
    <s v="Delete"/>
    <m/>
    <n v="150.38999999999999"/>
    <m/>
    <m/>
    <s v="credit"/>
    <m/>
    <x v="1884"/>
    <m/>
    <m/>
  </r>
  <r>
    <x v="42"/>
    <d v="2022-07-14T00:00:00"/>
    <s v="Cash Rewards Visa Signature"/>
    <x v="2034"/>
    <n v="-150.38999999999999"/>
    <x v="32"/>
    <s v="Shopping"/>
    <s v="Exp - Shopping"/>
    <m/>
    <n v="150.38999999999999"/>
    <m/>
    <m/>
    <s v="credit"/>
    <m/>
    <x v="1884"/>
    <m/>
    <m/>
  </r>
  <r>
    <x v="42"/>
    <d v="2022-07-14T00:00:00"/>
    <s v="Cash Rewards Visa Signature"/>
    <x v="2140"/>
    <n v="17.64"/>
    <x v="26"/>
    <s v="Transportation"/>
    <m/>
    <m/>
    <n v="17.64"/>
    <m/>
    <m/>
    <s v="debit"/>
    <m/>
    <x v="1990"/>
    <m/>
    <m/>
  </r>
  <r>
    <x v="42"/>
    <d v="2022-07-14T00:00:00"/>
    <s v="Cash Rewards Visa Signature"/>
    <x v="2140"/>
    <n v="38.81"/>
    <x v="26"/>
    <s v="Transportation"/>
    <m/>
    <m/>
    <n v="38.81"/>
    <m/>
    <m/>
    <s v="debit"/>
    <m/>
    <x v="1990"/>
    <m/>
    <m/>
  </r>
  <r>
    <x v="42"/>
    <d v="2022-07-14T00:00:00"/>
    <s v="Cash Rewards Visa Signature"/>
    <x v="2141"/>
    <n v="4.8600000000000003"/>
    <x v="26"/>
    <s v="Transportation"/>
    <m/>
    <m/>
    <n v="4.8600000000000003"/>
    <m/>
    <m/>
    <s v="debit"/>
    <m/>
    <x v="1991"/>
    <m/>
    <m/>
  </r>
  <r>
    <x v="42"/>
    <d v="2022-07-14T00:00:00"/>
    <s v="Cash Rewards Visa Signature"/>
    <x v="2142"/>
    <n v="89.41"/>
    <x v="26"/>
    <s v="Restaurants"/>
    <m/>
    <m/>
    <n v="89.41"/>
    <m/>
    <m/>
    <s v="debit"/>
    <m/>
    <x v="1992"/>
    <m/>
    <m/>
  </r>
  <r>
    <x v="42"/>
    <d v="2022-07-14T00:00:00"/>
    <s v="Cash Rewards Visa Signature"/>
    <x v="2143"/>
    <n v="45.22"/>
    <x v="26"/>
    <s v="Shopping"/>
    <m/>
    <m/>
    <n v="45.22"/>
    <m/>
    <m/>
    <s v="debit"/>
    <m/>
    <x v="1993"/>
    <m/>
    <m/>
  </r>
  <r>
    <x v="42"/>
    <d v="2022-07-14T00:00:00"/>
    <s v="Cash Rewards Visa Signature"/>
    <x v="2144"/>
    <n v="66.739999999999995"/>
    <x v="26"/>
    <s v="Shopping"/>
    <m/>
    <m/>
    <n v="66.739999999999995"/>
    <m/>
    <m/>
    <s v="debit"/>
    <m/>
    <x v="1994"/>
    <m/>
    <m/>
  </r>
  <r>
    <x v="42"/>
    <d v="2022-07-14T00:00:00"/>
    <s v="Cash Rewards Visa Signature"/>
    <x v="2145"/>
    <n v="44.12"/>
    <x v="26"/>
    <s v="Travel"/>
    <m/>
    <m/>
    <n v="44.12"/>
    <m/>
    <m/>
    <s v="debit"/>
    <m/>
    <x v="1995"/>
    <m/>
    <m/>
  </r>
  <r>
    <x v="42"/>
    <d v="2022-07-14T00:00:00"/>
    <s v="Cash Rewards Visa Signature"/>
    <x v="2146"/>
    <n v="78.260000000000005"/>
    <x v="26"/>
    <s v="Shopping"/>
    <m/>
    <m/>
    <n v="78.260000000000005"/>
    <m/>
    <m/>
    <s v="debit"/>
    <m/>
    <x v="1996"/>
    <m/>
    <m/>
  </r>
  <r>
    <x v="42"/>
    <d v="2022-07-14T00:00:00"/>
    <s v="Cash Rewards Visa Signature"/>
    <x v="2147"/>
    <n v="93.84"/>
    <x v="26"/>
    <s v="Travel"/>
    <m/>
    <m/>
    <n v="93.84"/>
    <m/>
    <m/>
    <s v="debit"/>
    <m/>
    <x v="1997"/>
    <m/>
    <m/>
  </r>
  <r>
    <x v="42"/>
    <d v="2022-07-14T00:00:00"/>
    <s v="Cash Rewards Visa Signature"/>
    <x v="2148"/>
    <n v="56.83"/>
    <x v="26"/>
    <s v="Target"/>
    <m/>
    <m/>
    <n v="56.83"/>
    <m/>
    <m/>
    <s v="debit"/>
    <m/>
    <x v="1998"/>
    <m/>
    <m/>
  </r>
  <r>
    <x v="42"/>
    <d v="2022-07-15T00:00:00"/>
    <s v="Cash Rewards Visa Signature"/>
    <x v="2149"/>
    <n v="2.99"/>
    <x v="26"/>
    <s v="Transportation"/>
    <m/>
    <m/>
    <n v="2.99"/>
    <m/>
    <m/>
    <s v="debit"/>
    <m/>
    <x v="1999"/>
    <m/>
    <m/>
  </r>
  <r>
    <x v="42"/>
    <d v="2022-07-15T00:00:00"/>
    <s v="Cash Rewards Visa Signature"/>
    <x v="2149"/>
    <n v="44.67"/>
    <x v="26"/>
    <s v="Transportation"/>
    <m/>
    <m/>
    <n v="44.67"/>
    <m/>
    <m/>
    <s v="debit"/>
    <m/>
    <x v="1999"/>
    <m/>
    <m/>
  </r>
  <r>
    <x v="42"/>
    <d v="2022-07-15T00:00:00"/>
    <s v="Cash Rewards Visa Signature"/>
    <x v="2150"/>
    <n v="64.06"/>
    <x v="26"/>
    <s v="Shopping"/>
    <m/>
    <m/>
    <n v="64.06"/>
    <m/>
    <m/>
    <s v="debit"/>
    <m/>
    <x v="2000"/>
    <m/>
    <m/>
  </r>
  <r>
    <x v="42"/>
    <d v="2022-07-15T00:00:00"/>
    <s v="Cash Rewards Visa Signature"/>
    <x v="2145"/>
    <n v="44.12"/>
    <x v="26"/>
    <s v="Travel"/>
    <m/>
    <m/>
    <n v="44.12"/>
    <m/>
    <m/>
    <s v="debit"/>
    <m/>
    <x v="1995"/>
    <m/>
    <m/>
  </r>
  <r>
    <x v="42"/>
    <d v="2022-07-18T00:00:00"/>
    <s v="POWERPLUS"/>
    <x v="1816"/>
    <n v="200"/>
    <x v="26"/>
    <s v="Delete"/>
    <m/>
    <m/>
    <n v="200"/>
    <m/>
    <m/>
    <s v="debit"/>
    <m/>
    <x v="1671"/>
    <m/>
    <m/>
  </r>
  <r>
    <x v="42"/>
    <d v="2022-07-18T00:00:00"/>
    <s v="DISCOVER MORE CARD"/>
    <x v="2151"/>
    <n v="41.4"/>
    <x v="3"/>
    <s v="Groceries"/>
    <s v="Delete"/>
    <m/>
    <n v="41.4"/>
    <m/>
    <m/>
    <s v="debit"/>
    <m/>
    <x v="2001"/>
    <m/>
    <m/>
  </r>
  <r>
    <x v="42"/>
    <d v="2022-07-18T00:00:00"/>
    <s v="DISCOVER MORE CARD"/>
    <x v="2152"/>
    <n v="41.4"/>
    <x v="38"/>
    <e v="#N/A"/>
    <s v="Exp - Groceries"/>
    <m/>
    <n v="41.4"/>
    <m/>
    <m/>
    <s v="debit"/>
    <m/>
    <x v="2002"/>
    <m/>
    <m/>
  </r>
  <r>
    <x v="42"/>
    <d v="2022-07-18T00:00:00"/>
    <s v="DISCOVER MORE CARD"/>
    <x v="2153"/>
    <n v="36.75"/>
    <x v="26"/>
    <s v="Restaurants"/>
    <m/>
    <m/>
    <n v="36.75"/>
    <m/>
    <m/>
    <s v="debit"/>
    <m/>
    <x v="2003"/>
    <m/>
    <m/>
  </r>
  <r>
    <x v="42"/>
    <d v="2022-07-18T00:00:00"/>
    <s v="POWERPLUS"/>
    <x v="1849"/>
    <n v="21.59"/>
    <x v="8"/>
    <s v="Shopping"/>
    <m/>
    <m/>
    <n v="21.59"/>
    <m/>
    <m/>
    <s v="debit"/>
    <m/>
    <x v="1704"/>
    <m/>
    <m/>
  </r>
  <r>
    <x v="42"/>
    <d v="2022-07-19T00:00:00"/>
    <s v="Cash Rewards Visa Signature"/>
    <x v="2154"/>
    <n v="31.53"/>
    <x v="37"/>
    <e v="#N/A"/>
    <s v="Exp - Transportation"/>
    <m/>
    <n v="31.53"/>
    <m/>
    <m/>
    <s v="debit"/>
    <m/>
    <x v="2004"/>
    <m/>
    <m/>
  </r>
  <r>
    <x v="42"/>
    <d v="2022-07-19T00:00:00"/>
    <s v="DISCOVER MORE CARD"/>
    <x v="2155"/>
    <n v="11.86"/>
    <x v="26"/>
    <s v="Restaurants"/>
    <m/>
    <m/>
    <n v="11.86"/>
    <m/>
    <m/>
    <s v="debit"/>
    <m/>
    <x v="2005"/>
    <m/>
    <m/>
  </r>
  <r>
    <x v="42"/>
    <d v="2022-07-19T00:00:00"/>
    <s v="DISCOVER MORE CARD"/>
    <x v="2156"/>
    <n v="11.86"/>
    <x v="39"/>
    <e v="#N/A"/>
    <s v="Exp - Restaurants"/>
    <m/>
    <n v="11.86"/>
    <m/>
    <m/>
    <s v="debit"/>
    <m/>
    <x v="2006"/>
    <m/>
    <m/>
  </r>
  <r>
    <x v="42"/>
    <d v="2022-07-19T00:00:00"/>
    <s v="POWERPLUS"/>
    <x v="2157"/>
    <n v="536.5"/>
    <x v="40"/>
    <e v="#N/A"/>
    <s v="Exp - Day Care"/>
    <m/>
    <n v="536.5"/>
    <m/>
    <m/>
    <s v="debit"/>
    <m/>
    <x v="2007"/>
    <m/>
    <m/>
  </r>
  <r>
    <x v="42"/>
    <d v="2022-07-20T00:00:00"/>
    <s v="DISCOVER MORE CARD"/>
    <x v="2158"/>
    <n v="12.87"/>
    <x v="26"/>
    <s v="Amazon"/>
    <m/>
    <m/>
    <n v="12.87"/>
    <m/>
    <m/>
    <s v="debit"/>
    <m/>
    <x v="2008"/>
    <m/>
    <m/>
  </r>
  <r>
    <x v="42"/>
    <d v="2022-07-20T00:00:00"/>
    <s v="DISCOVER MORE CARD"/>
    <x v="2158"/>
    <n v="20.39"/>
    <x v="26"/>
    <s v="Amazon"/>
    <m/>
    <m/>
    <n v="20.39"/>
    <m/>
    <m/>
    <s v="debit"/>
    <m/>
    <x v="2008"/>
    <m/>
    <m/>
  </r>
  <r>
    <x v="42"/>
    <d v="2022-07-20T00:00:00"/>
    <s v="DISCOVER MORE CARD"/>
    <x v="2159"/>
    <n v="54"/>
    <x v="26"/>
    <s v="Shopping"/>
    <m/>
    <m/>
    <n v="54"/>
    <m/>
    <m/>
    <s v="debit"/>
    <m/>
    <x v="2009"/>
    <m/>
    <m/>
  </r>
  <r>
    <x v="42"/>
    <d v="2022-07-20T00:00:00"/>
    <s v="DISCOVER MORE CARD"/>
    <x v="1991"/>
    <n v="54"/>
    <x v="32"/>
    <s v="Shopping"/>
    <s v="Exp - Shopping"/>
    <m/>
    <n v="54"/>
    <m/>
    <m/>
    <s v="debit"/>
    <m/>
    <x v="1841"/>
    <m/>
    <m/>
  </r>
  <r>
    <x v="42"/>
    <d v="2022-07-21T00:00:00"/>
    <s v="DISCOVER MORE CARD"/>
    <x v="2160"/>
    <n v="12.87"/>
    <x v="41"/>
    <e v="#N/A"/>
    <s v="Exp - Amazon"/>
    <m/>
    <n v="12.87"/>
    <m/>
    <m/>
    <s v="debit"/>
    <m/>
    <x v="2010"/>
    <m/>
    <m/>
  </r>
  <r>
    <x v="42"/>
    <d v="2022-07-21T00:00:00"/>
    <s v="DISCOVER MORE CARD"/>
    <x v="2161"/>
    <n v="20.39"/>
    <x v="41"/>
    <e v="#N/A"/>
    <s v="Exp - Amazon"/>
    <m/>
    <n v="20.39"/>
    <m/>
    <m/>
    <s v="debit"/>
    <m/>
    <x v="2011"/>
    <m/>
    <m/>
  </r>
  <r>
    <x v="42"/>
    <d v="2022-07-21T00:00:00"/>
    <s v="Cash Rewards Visa Signature"/>
    <x v="2162"/>
    <n v="9"/>
    <x v="42"/>
    <e v="#N/A"/>
    <s v="Exp - Utilities"/>
    <m/>
    <n v="9"/>
    <m/>
    <m/>
    <s v="debit"/>
    <m/>
    <x v="2012"/>
    <m/>
    <m/>
  </r>
  <r>
    <x v="42"/>
    <d v="2022-07-21T00:00:00"/>
    <s v="Cash Rewards Visa Signature"/>
    <x v="2163"/>
    <n v="657.2"/>
    <x v="3"/>
    <e v="#N/A"/>
    <s v="Delete"/>
    <s v="empyrean flight to boston"/>
    <n v="657.2"/>
    <m/>
    <m/>
    <s v="debit"/>
    <m/>
    <x v="2013"/>
    <m/>
    <m/>
  </r>
  <r>
    <x v="42"/>
    <d v="2022-07-21T00:00:00"/>
    <s v="POWERPLUS"/>
    <x v="2164"/>
    <n v="-2448.73"/>
    <x v="14"/>
    <e v="#N/A"/>
    <s v="Inc - Britney"/>
    <m/>
    <n v="2448.73"/>
    <m/>
    <m/>
    <s v="credit"/>
    <m/>
    <x v="2014"/>
    <m/>
    <m/>
  </r>
  <r>
    <x v="42"/>
    <d v="2022-07-21T00:00:00"/>
    <s v="Cash Rewards Visa Signature"/>
    <x v="2165"/>
    <n v="451.18"/>
    <x v="3"/>
    <e v="#N/A"/>
    <s v="Delete"/>
    <s v="will be reimbursed, cam batch party"/>
    <n v="451.18"/>
    <m/>
    <m/>
    <s v="debit"/>
    <m/>
    <x v="2015"/>
    <m/>
    <m/>
  </r>
  <r>
    <x v="42"/>
    <d v="2022-07-21T00:00:00"/>
    <s v="Cash Rewards Visa Signature"/>
    <x v="2166"/>
    <n v="100"/>
    <x v="43"/>
    <e v="#N/A"/>
    <s v="Exp - Travel"/>
    <m/>
    <n v="100"/>
    <m/>
    <m/>
    <s v="debit"/>
    <m/>
    <x v="2016"/>
    <m/>
    <m/>
  </r>
  <r>
    <x v="42"/>
    <d v="2022-07-21T00:00:00"/>
    <s v="Cash Rewards Visa Signature"/>
    <x v="2167"/>
    <n v="36.409999999999997"/>
    <x v="39"/>
    <e v="#N/A"/>
    <s v="Exp - Restaurants"/>
    <m/>
    <n v="36.409999999999997"/>
    <m/>
    <m/>
    <s v="debit"/>
    <m/>
    <x v="2017"/>
    <m/>
    <m/>
  </r>
  <r>
    <x v="42"/>
    <d v="2022-07-21T00:00:00"/>
    <s v="Cash Rewards Visa Signature"/>
    <x v="2168"/>
    <n v="16.73"/>
    <x v="42"/>
    <e v="#N/A"/>
    <s v="Exp - Utilities"/>
    <m/>
    <n v="16.73"/>
    <m/>
    <m/>
    <s v="debit"/>
    <m/>
    <x v="2018"/>
    <m/>
    <m/>
  </r>
  <r>
    <x v="42"/>
    <d v="2022-07-21T00:00:00"/>
    <s v="Cash Rewards Visa Signature"/>
    <x v="2169"/>
    <n v="157.13"/>
    <x v="39"/>
    <e v="#N/A"/>
    <s v="Exp - Restaurants"/>
    <m/>
    <n v="157.13"/>
    <m/>
    <m/>
    <s v="debit"/>
    <m/>
    <x v="2019"/>
    <m/>
    <m/>
  </r>
  <r>
    <x v="42"/>
    <d v="2022-07-21T00:00:00"/>
    <s v="POWERPLUS"/>
    <x v="2170"/>
    <n v="30.66"/>
    <x v="42"/>
    <e v="#N/A"/>
    <s v="Exp - Utilities"/>
    <m/>
    <n v="30.66"/>
    <m/>
    <m/>
    <s v="debit"/>
    <m/>
    <x v="2020"/>
    <m/>
    <m/>
  </r>
  <r>
    <x v="42"/>
    <d v="2022-07-21T00:00:00"/>
    <s v="POWERPLUS"/>
    <x v="2171"/>
    <n v="3140.2"/>
    <x v="3"/>
    <e v="#N/A"/>
    <s v="Delete"/>
    <m/>
    <n v="3140.2"/>
    <m/>
    <m/>
    <s v="debit"/>
    <m/>
    <x v="2021"/>
    <m/>
    <m/>
  </r>
  <r>
    <x v="42"/>
    <d v="2022-07-21T00:00:00"/>
    <s v="Cash Rewards Visa Signature"/>
    <x v="2172"/>
    <n v="-3140.2"/>
    <x v="3"/>
    <e v="#N/A"/>
    <s v="Delete"/>
    <m/>
    <n v="3140.2"/>
    <m/>
    <m/>
    <s v="credit"/>
    <m/>
    <x v="2022"/>
    <m/>
    <m/>
  </r>
  <r>
    <x v="42"/>
    <d v="2022-07-22T00:00:00"/>
    <s v="Cash Rewards Visa Signature"/>
    <x v="2173"/>
    <n v="8.7899999999999991"/>
    <x v="39"/>
    <e v="#N/A"/>
    <s v="Exp - Restaurants"/>
    <m/>
    <n v="8.7899999999999991"/>
    <m/>
    <m/>
    <s v="debit"/>
    <m/>
    <x v="2023"/>
    <m/>
    <m/>
  </r>
  <r>
    <x v="42"/>
    <d v="2022-07-22T00:00:00"/>
    <s v="Cash Rewards Visa Signature"/>
    <x v="2174"/>
    <n v="74.08"/>
    <x v="37"/>
    <e v="#N/A"/>
    <s v="Exp - Transportation"/>
    <m/>
    <n v="74.08"/>
    <m/>
    <m/>
    <s v="debit"/>
    <m/>
    <x v="2024"/>
    <m/>
    <m/>
  </r>
  <r>
    <x v="42"/>
    <d v="2022-07-22T00:00:00"/>
    <s v="Cash Rewards Visa Signature"/>
    <x v="2175"/>
    <n v="80.33"/>
    <x v="38"/>
    <e v="#N/A"/>
    <s v="Exp - Groceries"/>
    <m/>
    <n v="80.33"/>
    <m/>
    <m/>
    <s v="debit"/>
    <m/>
    <x v="2025"/>
    <m/>
    <m/>
  </r>
  <r>
    <x v="42"/>
    <d v="2022-07-22T00:00:00"/>
    <s v="Cash Rewards Visa Signature"/>
    <x v="2176"/>
    <n v="60"/>
    <x v="35"/>
    <e v="#N/A"/>
    <s v="Exp - Entertainment"/>
    <m/>
    <n v="60"/>
    <m/>
    <m/>
    <s v="debit"/>
    <m/>
    <x v="2026"/>
    <m/>
    <m/>
  </r>
  <r>
    <x v="42"/>
    <d v="2022-07-23T00:00:00"/>
    <s v="DISCOVER MORE CARD"/>
    <x v="2177"/>
    <n v="70.25"/>
    <x v="39"/>
    <e v="#N/A"/>
    <s v="Exp - Restaurants"/>
    <m/>
    <n v="70.25"/>
    <m/>
    <m/>
    <s v="debit"/>
    <m/>
    <x v="2027"/>
    <m/>
    <m/>
  </r>
  <r>
    <x v="42"/>
    <d v="2022-07-23T00:00:00"/>
    <s v="DISCOVER MORE CARD"/>
    <x v="2178"/>
    <n v="55.69"/>
    <x v="39"/>
    <e v="#N/A"/>
    <s v="Exp - Restaurants"/>
    <m/>
    <n v="55.69"/>
    <m/>
    <m/>
    <s v="debit"/>
    <m/>
    <x v="2028"/>
    <m/>
    <m/>
  </r>
  <r>
    <x v="42"/>
    <d v="2022-07-23T00:00:00"/>
    <s v="POWERPLUS"/>
    <x v="2179"/>
    <n v="100"/>
    <x v="3"/>
    <e v="#N/A"/>
    <s v="Delete"/>
    <m/>
    <n v="100"/>
    <m/>
    <m/>
    <s v="debit"/>
    <m/>
    <x v="2029"/>
    <m/>
    <m/>
  </r>
  <r>
    <x v="42"/>
    <d v="2022-07-24T00:00:00"/>
    <s v="Cash Rewards Visa Signature"/>
    <x v="2180"/>
    <n v="88"/>
    <x v="39"/>
    <e v="#N/A"/>
    <s v="Exp - Restaurants"/>
    <m/>
    <n v="88"/>
    <m/>
    <m/>
    <s v="debit"/>
    <m/>
    <x v="2030"/>
    <m/>
    <m/>
  </r>
  <r>
    <x v="42"/>
    <d v="2022-07-24T00:00:00"/>
    <s v="Cash Rewards Visa Signature"/>
    <x v="2181"/>
    <n v="45.35"/>
    <x v="32"/>
    <e v="#N/A"/>
    <s v="Exp - Shopping"/>
    <m/>
    <n v="45.35"/>
    <m/>
    <m/>
    <s v="debit"/>
    <m/>
    <x v="2031"/>
    <m/>
    <m/>
  </r>
  <r>
    <x v="42"/>
    <d v="2022-07-24T00:00:00"/>
    <s v="Cash Rewards Visa Signature"/>
    <x v="2182"/>
    <n v="6.34"/>
    <x v="39"/>
    <e v="#N/A"/>
    <s v="Exp - Restaurants"/>
    <m/>
    <n v="6.34"/>
    <m/>
    <m/>
    <s v="debit"/>
    <m/>
    <x v="2032"/>
    <m/>
    <m/>
  </r>
  <r>
    <x v="42"/>
    <d v="2022-07-24T00:00:00"/>
    <s v="Cash Rewards Visa Signature"/>
    <x v="2183"/>
    <n v="60"/>
    <x v="32"/>
    <e v="#N/A"/>
    <s v="Exp - Shopping"/>
    <m/>
    <n v="60"/>
    <m/>
    <m/>
    <s v="debit"/>
    <m/>
    <x v="2033"/>
    <m/>
    <m/>
  </r>
  <r>
    <x v="42"/>
    <d v="2022-07-24T00:00:00"/>
    <s v="Cash Rewards Visa Signature"/>
    <x v="2184"/>
    <n v="29.8"/>
    <x v="44"/>
    <e v="#N/A"/>
    <s v="Exp - Misc"/>
    <m/>
    <n v="29.8"/>
    <m/>
    <m/>
    <s v="debit"/>
    <m/>
    <x v="2034"/>
    <m/>
    <m/>
  </r>
  <r>
    <x v="42"/>
    <d v="2022-07-25T00:00:00"/>
    <s v="Cash Rewards Visa Signature"/>
    <x v="2185"/>
    <n v="344.93"/>
    <x v="32"/>
    <e v="#N/A"/>
    <s v="Exp - Shopping"/>
    <m/>
    <n v="344.93"/>
    <m/>
    <m/>
    <s v="debit"/>
    <m/>
    <x v="2035"/>
    <m/>
    <m/>
  </r>
  <r>
    <x v="42"/>
    <d v="2022-07-25T00:00:00"/>
    <s v="Cash Rewards Visa Signature"/>
    <x v="2186"/>
    <n v="43.81"/>
    <x v="37"/>
    <e v="#N/A"/>
    <s v="Exp - Transportation"/>
    <m/>
    <n v="43.81"/>
    <m/>
    <m/>
    <s v="debit"/>
    <m/>
    <x v="2036"/>
    <m/>
    <m/>
  </r>
  <r>
    <x v="42"/>
    <d v="2022-07-25T00:00:00"/>
    <s v="Cash Rewards Visa Signature"/>
    <x v="2187"/>
    <n v="5.41"/>
    <x v="37"/>
    <e v="#N/A"/>
    <s v="Exp - Transportation"/>
    <m/>
    <n v="5.41"/>
    <m/>
    <m/>
    <s v="debit"/>
    <m/>
    <x v="2037"/>
    <m/>
    <m/>
  </r>
  <r>
    <x v="42"/>
    <d v="2022-07-25T00:00:00"/>
    <s v="Cash Rewards Visa Signature"/>
    <x v="2188"/>
    <n v="27.64"/>
    <x v="37"/>
    <e v="#N/A"/>
    <s v="Exp - Transportation"/>
    <m/>
    <n v="27.64"/>
    <m/>
    <m/>
    <s v="debit"/>
    <m/>
    <x v="2038"/>
    <m/>
    <m/>
  </r>
  <r>
    <x v="42"/>
    <d v="2022-07-25T00:00:00"/>
    <s v="Cash Rewards Visa Signature"/>
    <x v="2189"/>
    <n v="10"/>
    <x v="39"/>
    <e v="#N/A"/>
    <s v="Exp - Restaurants"/>
    <m/>
    <n v="10"/>
    <m/>
    <m/>
    <s v="debit"/>
    <m/>
    <x v="2039"/>
    <m/>
    <m/>
  </r>
  <r>
    <x v="42"/>
    <d v="2022-07-25T00:00:00"/>
    <s v="POWERPLUS"/>
    <x v="2190"/>
    <n v="441.39"/>
    <x v="45"/>
    <e v="#N/A"/>
    <s v="Exp - Target"/>
    <m/>
    <n v="441.39"/>
    <m/>
    <m/>
    <s v="debit"/>
    <m/>
    <x v="2040"/>
    <m/>
    <m/>
  </r>
  <r>
    <x v="42"/>
    <d v="2022-07-26T00:00:00"/>
    <s v="Cash Rewards Visa Signature"/>
    <x v="2191"/>
    <n v="-24.71"/>
    <x v="32"/>
    <e v="#N/A"/>
    <s v="Exp - Shopping"/>
    <m/>
    <n v="24.71"/>
    <m/>
    <m/>
    <s v="credit"/>
    <m/>
    <x v="2041"/>
    <m/>
    <m/>
  </r>
  <r>
    <x v="42"/>
    <d v="2022-07-26T00:00:00"/>
    <s v="Cash Rewards Visa Signature"/>
    <x v="2192"/>
    <n v="-63.2"/>
    <x v="32"/>
    <e v="#N/A"/>
    <s v="Exp - Shopping"/>
    <m/>
    <n v="63.2"/>
    <m/>
    <m/>
    <s v="credit"/>
    <m/>
    <x v="2042"/>
    <m/>
    <m/>
  </r>
  <r>
    <x v="42"/>
    <d v="2022-07-26T00:00:00"/>
    <s v="Cash Rewards Visa Signature"/>
    <x v="2193"/>
    <n v="-40"/>
    <x v="35"/>
    <e v="#N/A"/>
    <s v="Exp - Entertainment"/>
    <m/>
    <n v="40"/>
    <m/>
    <m/>
    <s v="credit"/>
    <m/>
    <x v="2043"/>
    <m/>
    <m/>
  </r>
  <r>
    <x v="42"/>
    <d v="2022-07-26T00:00:00"/>
    <s v="DISCOVER MORE CARD"/>
    <x v="2194"/>
    <n v="0.5"/>
    <x v="44"/>
    <e v="#N/A"/>
    <s v="Exp - Misc"/>
    <m/>
    <n v="0.5"/>
    <m/>
    <m/>
    <s v="debit"/>
    <m/>
    <x v="2044"/>
    <m/>
    <m/>
  </r>
  <r>
    <x v="42"/>
    <d v="2022-07-26T00:00:00"/>
    <s v="POWERPLUS"/>
    <x v="2195"/>
    <n v="201.34"/>
    <x v="3"/>
    <e v="#N/A"/>
    <s v="Delete"/>
    <s v="1660 ti"/>
    <n v="201.34"/>
    <m/>
    <m/>
    <s v="debit"/>
    <m/>
    <x v="2045"/>
    <m/>
    <m/>
  </r>
  <r>
    <x v="42"/>
    <d v="2022-07-27T00:00:00"/>
    <s v="Cash Rewards Visa Signature"/>
    <x v="2196"/>
    <n v="92.42"/>
    <x v="38"/>
    <e v="#N/A"/>
    <s v="Exp - Groceries"/>
    <m/>
    <n v="92.42"/>
    <m/>
    <m/>
    <s v="debit"/>
    <m/>
    <x v="2046"/>
    <m/>
    <m/>
  </r>
  <r>
    <x v="42"/>
    <d v="2022-07-27T00:00:00"/>
    <s v="Cash Rewards Visa Signature"/>
    <x v="2197"/>
    <n v="21.48"/>
    <x v="26"/>
    <e v="#N/A"/>
    <m/>
    <s v="what is this transaction?"/>
    <n v="21.48"/>
    <m/>
    <m/>
    <s v="debit"/>
    <m/>
    <x v="2047"/>
    <m/>
    <m/>
  </r>
  <r>
    <x v="42"/>
    <d v="2022-07-27T00:00:00"/>
    <s v="Cash Rewards Visa Signature"/>
    <x v="2198"/>
    <n v="21.25"/>
    <x v="46"/>
    <e v="#N/A"/>
    <s v="Exp - Healthcare"/>
    <m/>
    <n v="21.25"/>
    <m/>
    <m/>
    <s v="debit"/>
    <m/>
    <x v="2048"/>
    <m/>
    <m/>
  </r>
  <r>
    <x v="42"/>
    <d v="2022-07-27T00:00:00"/>
    <s v="POWERPLUS"/>
    <x v="2199"/>
    <n v="536.5"/>
    <x v="40"/>
    <e v="#N/A"/>
    <s v="Exp - Day Care"/>
    <m/>
    <n v="536.5"/>
    <m/>
    <m/>
    <s v="debit"/>
    <m/>
    <x v="2007"/>
    <m/>
    <m/>
  </r>
  <r>
    <x v="42"/>
    <d v="2022-07-27T00:00:00"/>
    <s v="POWERPLUS"/>
    <x v="2200"/>
    <n v="74"/>
    <x v="32"/>
    <e v="#N/A"/>
    <s v="Exp - Shopping"/>
    <s v="fair harbor swimsuit"/>
    <n v="74"/>
    <m/>
    <m/>
    <s v="debit"/>
    <m/>
    <x v="2045"/>
    <m/>
    <m/>
  </r>
  <r>
    <x v="42"/>
    <d v="2022-07-28T00:00:00"/>
    <s v="Cash Rewards Visa Signature"/>
    <x v="2201"/>
    <n v="42.92"/>
    <x v="41"/>
    <e v="#N/A"/>
    <s v="Exp - Amazon"/>
    <m/>
    <n v="42.92"/>
    <m/>
    <m/>
    <s v="debit"/>
    <m/>
    <x v="2049"/>
    <m/>
    <m/>
  </r>
  <r>
    <x v="42"/>
    <d v="2022-07-28T00:00:00"/>
    <s v="POWERPLUS"/>
    <x v="2202"/>
    <n v="-91.22"/>
    <x v="14"/>
    <e v="#N/A"/>
    <s v="Inc - Britney"/>
    <m/>
    <n v="91.22"/>
    <m/>
    <m/>
    <s v="credit"/>
    <m/>
    <x v="2050"/>
    <m/>
    <m/>
  </r>
  <r>
    <x v="42"/>
    <d v="2022-07-28T00:00:00"/>
    <s v="POWERPLUS"/>
    <x v="2203"/>
    <n v="-33672.04"/>
    <x v="14"/>
    <e v="#N/A"/>
    <s v="Inc - Britney"/>
    <m/>
    <n v="33672.04"/>
    <m/>
    <m/>
    <s v="credit"/>
    <m/>
    <x v="2014"/>
    <m/>
    <m/>
  </r>
  <r>
    <x v="42"/>
    <d v="2022-07-28T00:00:00"/>
    <s v="Cash Rewards Visa Signature"/>
    <x v="2204"/>
    <n v="450"/>
    <x v="35"/>
    <e v="#N/A"/>
    <s v="Exp - Entertainment"/>
    <m/>
    <n v="450"/>
    <m/>
    <m/>
    <s v="debit"/>
    <m/>
    <x v="2051"/>
    <m/>
    <m/>
  </r>
  <r>
    <x v="42"/>
    <d v="2022-07-28T00:00:00"/>
    <s v="Cash Rewards Visa Signature"/>
    <x v="2205"/>
    <n v="413"/>
    <x v="46"/>
    <e v="#N/A"/>
    <s v="Exp - Healthcare"/>
    <m/>
    <n v="413"/>
    <m/>
    <m/>
    <s v="debit"/>
    <m/>
    <x v="2052"/>
    <m/>
    <m/>
  </r>
  <r>
    <x v="42"/>
    <d v="2022-07-28T00:00:00"/>
    <s v="DISCOVER MORE CARD"/>
    <x v="2194"/>
    <n v="-0.5"/>
    <x v="44"/>
    <e v="#N/A"/>
    <s v="Exp - Misc"/>
    <m/>
    <n v="0.5"/>
    <m/>
    <m/>
    <s v="credit"/>
    <m/>
    <x v="2044"/>
    <m/>
    <m/>
  </r>
  <r>
    <x v="42"/>
    <d v="2022-07-28T00:00:00"/>
    <s v="POWERPLUS"/>
    <x v="2206"/>
    <n v="0.99"/>
    <x v="35"/>
    <e v="#N/A"/>
    <s v="Exp - Entertainment"/>
    <m/>
    <n v="0.99"/>
    <m/>
    <m/>
    <s v="debit"/>
    <m/>
    <x v="2045"/>
    <m/>
    <m/>
  </r>
  <r>
    <x v="42"/>
    <d v="2022-07-28T00:00:00"/>
    <s v="DISCOVER MORE CARD"/>
    <x v="56"/>
    <n v="-617.14"/>
    <x v="3"/>
    <s v="Delete"/>
    <m/>
    <m/>
    <n v="617.14"/>
    <m/>
    <m/>
    <s v="credit"/>
    <m/>
    <x v="56"/>
    <m/>
    <m/>
  </r>
  <r>
    <x v="42"/>
    <d v="2022-07-28T00:00:00"/>
    <s v="POWERPLUS"/>
    <x v="2207"/>
    <n v="125"/>
    <x v="32"/>
    <e v="#N/A"/>
    <s v="Exp - Shopping"/>
    <m/>
    <n v="125"/>
    <m/>
    <m/>
    <s v="debit"/>
    <m/>
    <x v="2053"/>
    <m/>
    <m/>
  </r>
  <r>
    <x v="42"/>
    <d v="2022-07-29T00:00:00"/>
    <s v="Cash Rewards Visa Signature"/>
    <x v="2208"/>
    <n v="13.83"/>
    <x v="41"/>
    <e v="#N/A"/>
    <s v="Exp - Amazon"/>
    <m/>
    <n v="13.83"/>
    <m/>
    <m/>
    <s v="debit"/>
    <m/>
    <x v="2054"/>
    <m/>
    <m/>
  </r>
  <r>
    <x v="42"/>
    <d v="2022-07-29T00:00:00"/>
    <s v="POWERPLUS"/>
    <x v="2209"/>
    <n v="-429.69"/>
    <x v="46"/>
    <e v="#N/A"/>
    <s v="Exp - Healthcare"/>
    <m/>
    <n v="429.69"/>
    <m/>
    <m/>
    <s v="credit"/>
    <m/>
    <x v="2055"/>
    <m/>
    <m/>
  </r>
  <r>
    <x v="42"/>
    <d v="2022-07-29T00:00:00"/>
    <s v="Cash Rewards Visa Signature"/>
    <x v="2210"/>
    <n v="148.75"/>
    <x v="46"/>
    <e v="#N/A"/>
    <s v="Exp - Healthcare"/>
    <m/>
    <n v="148.75"/>
    <m/>
    <m/>
    <s v="debit"/>
    <m/>
    <x v="2056"/>
    <m/>
    <m/>
  </r>
  <r>
    <x v="42"/>
    <d v="2022-07-29T00:00:00"/>
    <s v="Cash Rewards Visa Signature"/>
    <x v="2211"/>
    <n v="51.85"/>
    <x v="37"/>
    <e v="#N/A"/>
    <s v="Exp - Transportation"/>
    <m/>
    <n v="51.85"/>
    <m/>
    <m/>
    <s v="debit"/>
    <m/>
    <x v="2057"/>
    <m/>
    <m/>
  </r>
  <r>
    <x v="42"/>
    <d v="2022-07-29T00:00:00"/>
    <s v="Cash Rewards Visa Signature"/>
    <x v="2212"/>
    <n v="25.45"/>
    <x v="36"/>
    <e v="#N/A"/>
    <s v="Exp - House Maint"/>
    <m/>
    <n v="25.45"/>
    <m/>
    <m/>
    <s v="debit"/>
    <m/>
    <x v="2058"/>
    <m/>
    <m/>
  </r>
  <r>
    <x v="42"/>
    <d v="2022-07-29T00:00:00"/>
    <s v="POWERPLUS"/>
    <x v="2213"/>
    <n v="0.99"/>
    <x v="35"/>
    <e v="#N/A"/>
    <s v="Exp - Entertainment"/>
    <m/>
    <n v="0.99"/>
    <m/>
    <m/>
    <s v="debit"/>
    <m/>
    <x v="2045"/>
    <m/>
    <m/>
  </r>
  <r>
    <x v="42"/>
    <d v="2022-07-29T00:00:00"/>
    <s v="POWERPLUS"/>
    <x v="2214"/>
    <n v="617.14"/>
    <x v="3"/>
    <e v="#N/A"/>
    <s v="Delete"/>
    <m/>
    <n v="617.14"/>
    <m/>
    <m/>
    <s v="debit"/>
    <m/>
    <x v="2059"/>
    <m/>
    <m/>
  </r>
  <r>
    <x v="42"/>
    <d v="2022-07-30T00:00:00"/>
    <s v="DISCOVER MORE CARD"/>
    <x v="2215"/>
    <n v="61.86"/>
    <x v="39"/>
    <e v="#N/A"/>
    <s v="Exp - Restaurants"/>
    <m/>
    <n v="61.86"/>
    <m/>
    <m/>
    <s v="debit"/>
    <m/>
    <x v="2060"/>
    <m/>
    <m/>
  </r>
  <r>
    <x v="42"/>
    <d v="2022-07-30T00:00:00"/>
    <s v="DISCOVER MORE CARD"/>
    <x v="1491"/>
    <n v="51.75"/>
    <x v="39"/>
    <s v="Restaurants"/>
    <s v="Exp - Restaurants"/>
    <m/>
    <n v="51.75"/>
    <m/>
    <m/>
    <s v="debit"/>
    <m/>
    <x v="1400"/>
    <m/>
    <m/>
  </r>
  <r>
    <x v="42"/>
    <d v="2022-07-31T00:00:00"/>
    <s v="Cash Rewards Visa Signature"/>
    <x v="2216"/>
    <n v="8.59"/>
    <x v="32"/>
    <e v="#N/A"/>
    <s v="Exp - Shopping"/>
    <m/>
    <n v="8.59"/>
    <m/>
    <m/>
    <s v="debit"/>
    <m/>
    <x v="2061"/>
    <m/>
    <m/>
  </r>
  <r>
    <x v="42"/>
    <d v="2022-07-31T00:00:00"/>
    <s v="Manual"/>
    <x v="1850"/>
    <n v="250"/>
    <x v="33"/>
    <e v="#N/A"/>
    <s v="Exp - Cleaning"/>
    <m/>
    <n v="250"/>
    <m/>
    <m/>
    <s v="debit"/>
    <m/>
    <x v="1705"/>
    <m/>
    <m/>
  </r>
  <r>
    <x v="42"/>
    <d v="2022-07-31T00:00:00"/>
    <s v="Cash Rewards Visa Signature"/>
    <x v="2217"/>
    <n v="243.19"/>
    <x v="38"/>
    <e v="#N/A"/>
    <s v="Exp - Groceries"/>
    <m/>
    <n v="243.19"/>
    <m/>
    <m/>
    <s v="debit"/>
    <m/>
    <x v="2062"/>
    <m/>
    <m/>
  </r>
  <r>
    <x v="42"/>
    <d v="2022-07-31T00:00:00"/>
    <s v="POWERPLUS"/>
    <x v="2218"/>
    <n v="-24.78"/>
    <x v="3"/>
    <e v="#N/A"/>
    <s v="Delete"/>
    <m/>
    <n v="24.78"/>
    <m/>
    <m/>
    <s v="credit"/>
    <m/>
    <x v="2063"/>
    <m/>
    <m/>
  </r>
  <r>
    <x v="42"/>
    <d v="2022-07-31T00:00:00"/>
    <s v="Cash Rewards Visa Signature"/>
    <x v="2219"/>
    <n v="-75.2"/>
    <x v="43"/>
    <e v="#N/A"/>
    <s v="Exp - Travel"/>
    <m/>
    <n v="75.2"/>
    <m/>
    <m/>
    <s v="credit"/>
    <m/>
    <x v="2064"/>
    <m/>
    <m/>
  </r>
  <r>
    <x v="42"/>
    <d v="2022-07-31T00:00:00"/>
    <s v="Cash Rewards Visa Signature"/>
    <x v="2220"/>
    <n v="8.66"/>
    <x v="37"/>
    <e v="#N/A"/>
    <s v="Exp - Transportation"/>
    <m/>
    <n v="8.66"/>
    <m/>
    <m/>
    <s v="debit"/>
    <m/>
    <x v="2065"/>
    <m/>
    <m/>
  </r>
  <r>
    <x v="42"/>
    <d v="2022-07-31T00:00:00"/>
    <s v="Cash Rewards Visa Signature"/>
    <x v="2221"/>
    <n v="5.29"/>
    <x v="37"/>
    <e v="#N/A"/>
    <s v="Exp - Transportation"/>
    <m/>
    <n v="5.29"/>
    <m/>
    <m/>
    <s v="debit"/>
    <m/>
    <x v="2066"/>
    <m/>
    <m/>
  </r>
  <r>
    <x v="42"/>
    <d v="2022-07-31T00:00:00"/>
    <s v="Cash Rewards Visa Signature"/>
    <x v="2222"/>
    <n v="2.77"/>
    <x v="37"/>
    <e v="#N/A"/>
    <s v="Exp - Transportation"/>
    <m/>
    <n v="2.77"/>
    <m/>
    <m/>
    <s v="debit"/>
    <m/>
    <x v="2067"/>
    <m/>
    <m/>
  </r>
  <r>
    <x v="42"/>
    <d v="2022-07-31T00:00:00"/>
    <s v="Cash Rewards Visa Signature"/>
    <x v="2223"/>
    <n v="62.1"/>
    <x v="39"/>
    <e v="#N/A"/>
    <s v="Exp - Restaurants"/>
    <m/>
    <n v="62.1"/>
    <m/>
    <m/>
    <s v="debit"/>
    <m/>
    <x v="2068"/>
    <m/>
    <m/>
  </r>
  <r>
    <x v="42"/>
    <d v="2022-07-31T00:00:00"/>
    <s v="Cash Rewards Visa Signature"/>
    <x v="2224"/>
    <n v="112.69"/>
    <x v="39"/>
    <e v="#N/A"/>
    <s v="Exp - Restaurants"/>
    <m/>
    <n v="112.69"/>
    <m/>
    <m/>
    <s v="debit"/>
    <m/>
    <x v="2069"/>
    <m/>
    <m/>
  </r>
  <r>
    <x v="42"/>
    <d v="2022-07-31T00:00:00"/>
    <s v="Cash Rewards Visa Signature"/>
    <x v="2225"/>
    <n v="6.58"/>
    <x v="45"/>
    <e v="#N/A"/>
    <s v="Exp - Target"/>
    <m/>
    <n v="6.58"/>
    <m/>
    <m/>
    <s v="debit"/>
    <m/>
    <x v="2070"/>
    <m/>
    <m/>
  </r>
  <r>
    <x v="42"/>
    <d v="2022-07-31T00:00:00"/>
    <s v="DISCOVER MORE CARD"/>
    <x v="2226"/>
    <n v="36.799999999999997"/>
    <x v="39"/>
    <e v="#N/A"/>
    <s v="Exp - Restaurants"/>
    <m/>
    <n v="36.799999999999997"/>
    <m/>
    <m/>
    <s v="debit"/>
    <m/>
    <x v="2071"/>
    <m/>
    <m/>
  </r>
  <r>
    <x v="43"/>
    <d v="2022-08-01T00:00:00"/>
    <s v="DISCOVER MORE CARD"/>
    <x v="2227"/>
    <n v="5.36"/>
    <x v="32"/>
    <e v="#N/A"/>
    <s v="Exp - Shopping"/>
    <m/>
    <n v="5.36"/>
    <m/>
    <m/>
    <s v="debit"/>
    <m/>
    <x v="2072"/>
    <m/>
    <m/>
  </r>
  <r>
    <x v="43"/>
    <d v="2022-08-01T00:00:00"/>
    <s v="Manual"/>
    <x v="1850"/>
    <n v="250"/>
    <x v="33"/>
    <e v="#N/A"/>
    <s v="Exp - Cleaning"/>
    <m/>
    <n v="250"/>
    <m/>
    <m/>
    <s v="debit"/>
    <m/>
    <x v="1705"/>
    <m/>
    <m/>
  </r>
  <r>
    <x v="43"/>
    <d v="2022-08-01T00:00:00"/>
    <s v="Cash Rewards Visa Signature"/>
    <x v="2228"/>
    <n v="25.74"/>
    <x v="37"/>
    <e v="#N/A"/>
    <s v="Exp - Transportation"/>
    <m/>
    <n v="25.74"/>
    <m/>
    <m/>
    <s v="debit"/>
    <m/>
    <x v="2073"/>
    <m/>
    <m/>
  </r>
  <r>
    <x v="43"/>
    <d v="2022-08-01T00:00:00"/>
    <s v="Cash Rewards Visa Signature"/>
    <x v="2229"/>
    <n v="41.13"/>
    <x v="39"/>
    <e v="#N/A"/>
    <s v="Exp - Restaurants"/>
    <m/>
    <n v="41.13"/>
    <m/>
    <m/>
    <s v="debit"/>
    <m/>
    <x v="2074"/>
    <m/>
    <m/>
  </r>
  <r>
    <x v="43"/>
    <d v="2022-08-01T00:00:00"/>
    <s v="Cash Rewards Visa Signature"/>
    <x v="2230"/>
    <n v="20.16"/>
    <x v="39"/>
    <e v="#N/A"/>
    <s v="Exp - Restaurants"/>
    <m/>
    <n v="20.16"/>
    <m/>
    <m/>
    <s v="debit"/>
    <m/>
    <x v="2075"/>
    <m/>
    <m/>
  </r>
  <r>
    <x v="43"/>
    <d v="2022-08-01T00:00:00"/>
    <s v="Cash Rewards Visa Signature"/>
    <x v="2231"/>
    <n v="8.17"/>
    <x v="37"/>
    <e v="#N/A"/>
    <s v="Exp - Transportation"/>
    <m/>
    <n v="8.17"/>
    <m/>
    <m/>
    <s v="debit"/>
    <m/>
    <x v="2076"/>
    <m/>
    <m/>
  </r>
  <r>
    <x v="43"/>
    <d v="2022-08-01T00:00:00"/>
    <s v="POWERPLUS"/>
    <x v="2232"/>
    <n v="200"/>
    <x v="47"/>
    <e v="#N/A"/>
    <s v="Sav - College Savings"/>
    <m/>
    <n v="200"/>
    <m/>
    <m/>
    <s v="debit"/>
    <m/>
    <x v="2077"/>
    <m/>
    <m/>
  </r>
  <r>
    <x v="43"/>
    <d v="2022-08-01T00:00:00"/>
    <s v="POWERPLUS"/>
    <x v="2233"/>
    <n v="107.86"/>
    <x v="42"/>
    <e v="#N/A"/>
    <s v="Exp - Utilities"/>
    <m/>
    <n v="107.86"/>
    <m/>
    <m/>
    <s v="debit"/>
    <m/>
    <x v="2078"/>
    <m/>
    <m/>
  </r>
  <r>
    <x v="43"/>
    <d v="2022-08-01T00:00:00"/>
    <s v="POWERPLUS"/>
    <x v="2234"/>
    <n v="280.76"/>
    <x v="46"/>
    <e v="#N/A"/>
    <s v="Exp - Healthcare"/>
    <m/>
    <n v="280.76"/>
    <m/>
    <m/>
    <s v="debit"/>
    <m/>
    <x v="2079"/>
    <m/>
    <m/>
  </r>
  <r>
    <x v="43"/>
    <d v="2022-08-01T00:00:00"/>
    <s v="POWERPLUS"/>
    <x v="2235"/>
    <n v="10"/>
    <x v="32"/>
    <e v="#N/A"/>
    <s v="Exp - Shopping"/>
    <m/>
    <n v="10"/>
    <m/>
    <m/>
    <s v="debit"/>
    <m/>
    <x v="2045"/>
    <m/>
    <m/>
  </r>
  <r>
    <x v="43"/>
    <d v="2022-08-01T00:00:00"/>
    <s v="POWERPLUS"/>
    <x v="2236"/>
    <n v="0.5"/>
    <x v="32"/>
    <e v="#N/A"/>
    <s v="Exp - Shopping"/>
    <m/>
    <n v="0.5"/>
    <m/>
    <m/>
    <s v="debit"/>
    <m/>
    <x v="2045"/>
    <m/>
    <m/>
  </r>
  <r>
    <x v="43"/>
    <d v="2022-08-01T00:00:00"/>
    <s v="POWERPLUS"/>
    <x v="2237"/>
    <n v="618.65"/>
    <x v="48"/>
    <e v="#N/A"/>
    <s v="Exp - Car Loan"/>
    <m/>
    <n v="618.65"/>
    <m/>
    <m/>
    <s v="debit"/>
    <m/>
    <x v="2080"/>
    <m/>
    <m/>
  </r>
  <r>
    <x v="43"/>
    <d v="2022-08-01T00:00:00"/>
    <s v="4017 Hallgren"/>
    <x v="935"/>
    <n v="2572.94"/>
    <x v="3"/>
    <s v="Delete"/>
    <s v="Delete"/>
    <m/>
    <n v="2572.94"/>
    <m/>
    <m/>
    <s v="debit"/>
    <m/>
    <x v="899"/>
    <m/>
    <m/>
  </r>
  <r>
    <x v="43"/>
    <d v="2022-08-01T00:00:00"/>
    <s v="HIGHLANDER"/>
    <x v="2238"/>
    <n v="-618.65"/>
    <x v="3"/>
    <e v="#N/A"/>
    <s v="Delete"/>
    <m/>
    <n v="618.65"/>
    <m/>
    <m/>
    <s v="credit"/>
    <m/>
    <x v="2081"/>
    <m/>
    <m/>
  </r>
  <r>
    <x v="44"/>
    <d v="2024-01-03T00:00:00"/>
    <s v="Powerplus - Ending in 8s50"/>
    <x v="2239"/>
    <n v="7433.71"/>
    <x v="3"/>
    <m/>
    <s v="Delete"/>
    <m/>
    <m/>
    <m/>
    <m/>
    <m/>
    <m/>
    <x v="2082"/>
    <m/>
    <m/>
  </r>
  <r>
    <x v="43"/>
    <d v="2022-08-02T00:00:00"/>
    <s v="DISCOVER MORE CARD"/>
    <x v="2240"/>
    <n v="41.73"/>
    <x v="41"/>
    <e v="#N/A"/>
    <s v="Exp - Amazon"/>
    <m/>
    <n v="41.73"/>
    <m/>
    <m/>
    <s v="debit"/>
    <m/>
    <x v="2083"/>
    <m/>
    <m/>
  </r>
  <r>
    <x v="43"/>
    <d v="2022-08-02T00:00:00"/>
    <s v="DISCOVER MORE CARD"/>
    <x v="2241"/>
    <n v="83.67"/>
    <x v="41"/>
    <e v="#N/A"/>
    <s v="Exp - Amazon"/>
    <m/>
    <n v="83.67"/>
    <m/>
    <m/>
    <s v="debit"/>
    <m/>
    <x v="2084"/>
    <m/>
    <m/>
  </r>
  <r>
    <x v="43"/>
    <d v="2022-08-02T00:00:00"/>
    <s v="Cash Rewards Visa Signature"/>
    <x v="2242"/>
    <n v="115"/>
    <x v="44"/>
    <e v="#N/A"/>
    <s v="Exp - Misc"/>
    <m/>
    <n v="115"/>
    <m/>
    <m/>
    <s v="debit"/>
    <m/>
    <x v="2085"/>
    <m/>
    <m/>
  </r>
  <r>
    <x v="43"/>
    <d v="2022-08-02T00:00:00"/>
    <s v="Cash Rewards Visa Signature"/>
    <x v="2243"/>
    <n v="-224.96"/>
    <x v="32"/>
    <e v="#N/A"/>
    <s v="Exp - Shopping"/>
    <m/>
    <n v="224.96"/>
    <m/>
    <m/>
    <s v="credit"/>
    <m/>
    <x v="2086"/>
    <m/>
    <m/>
  </r>
  <r>
    <x v="43"/>
    <d v="2022-08-02T00:00:00"/>
    <s v="POWERPLUS"/>
    <x v="2244"/>
    <n v="536.5"/>
    <x v="40"/>
    <e v="#N/A"/>
    <s v="Exp - Day Care"/>
    <m/>
    <n v="536.5"/>
    <m/>
    <m/>
    <s v="debit"/>
    <m/>
    <x v="2007"/>
    <m/>
    <m/>
  </r>
  <r>
    <x v="43"/>
    <d v="2022-08-03T00:00:00"/>
    <s v="Cash Rewards Visa Signature"/>
    <x v="2245"/>
    <n v="18"/>
    <x v="42"/>
    <e v="#N/A"/>
    <s v="Exp - Utilities"/>
    <m/>
    <n v="18"/>
    <m/>
    <m/>
    <s v="debit"/>
    <m/>
    <x v="2087"/>
    <m/>
    <m/>
  </r>
  <r>
    <x v="43"/>
    <d v="2022-08-03T00:00:00"/>
    <s v="DISCOVER MORE CARD"/>
    <x v="1978"/>
    <n v="18.100000000000001"/>
    <x v="36"/>
    <s v="House Maintenance"/>
    <s v="Exp - House Maint"/>
    <m/>
    <n v="18.100000000000001"/>
    <m/>
    <m/>
    <s v="debit"/>
    <m/>
    <x v="1828"/>
    <m/>
    <m/>
  </r>
  <r>
    <x v="43"/>
    <d v="2022-08-03T00:00:00"/>
    <s v="POWERPLUS"/>
    <x v="2246"/>
    <n v="57.12"/>
    <x v="32"/>
    <e v="#N/A"/>
    <s v="Exp - Shopping"/>
    <s v="vineyard vines"/>
    <n v="57.12"/>
    <m/>
    <m/>
    <s v="debit"/>
    <m/>
    <x v="2045"/>
    <m/>
    <m/>
  </r>
  <r>
    <x v="43"/>
    <d v="2022-08-04T00:00:00"/>
    <s v="DISCOVER MORE CARD"/>
    <x v="2247"/>
    <n v="39.99"/>
    <x v="41"/>
    <e v="#N/A"/>
    <s v="Exp - Amazon"/>
    <m/>
    <n v="39.99"/>
    <m/>
    <m/>
    <s v="debit"/>
    <m/>
    <x v="2088"/>
    <m/>
    <m/>
  </r>
  <r>
    <x v="43"/>
    <d v="2022-08-04T00:00:00"/>
    <s v="Cash Rewards Visa Signature"/>
    <x v="2248"/>
    <n v="64.02"/>
    <x v="37"/>
    <e v="#N/A"/>
    <s v="Exp - Transportation"/>
    <m/>
    <n v="64.02"/>
    <m/>
    <m/>
    <s v="debit"/>
    <m/>
    <x v="2089"/>
    <m/>
    <m/>
  </r>
  <r>
    <x v="43"/>
    <d v="2022-08-04T00:00:00"/>
    <s v="Cash Rewards Visa Signature"/>
    <x v="2249"/>
    <n v="5.69"/>
    <x v="37"/>
    <e v="#N/A"/>
    <s v="Exp - Transportation"/>
    <m/>
    <n v="5.69"/>
    <m/>
    <m/>
    <s v="debit"/>
    <m/>
    <x v="2090"/>
    <m/>
    <m/>
  </r>
  <r>
    <x v="43"/>
    <d v="2022-08-04T00:00:00"/>
    <s v="Cash Rewards Visa Signature"/>
    <x v="2250"/>
    <n v="7.48"/>
    <x v="39"/>
    <e v="#N/A"/>
    <s v="Exp - Restaurants"/>
    <m/>
    <n v="7.48"/>
    <m/>
    <m/>
    <s v="debit"/>
    <m/>
    <x v="2091"/>
    <m/>
    <m/>
  </r>
  <r>
    <x v="43"/>
    <d v="2022-08-04T00:00:00"/>
    <s v="DISCOVER MORE CARD"/>
    <x v="2251"/>
    <n v="21.99"/>
    <x v="39"/>
    <e v="#N/A"/>
    <s v="Exp - Restaurants"/>
    <m/>
    <n v="21.99"/>
    <m/>
    <m/>
    <s v="debit"/>
    <m/>
    <x v="2092"/>
    <m/>
    <m/>
  </r>
  <r>
    <x v="43"/>
    <d v="2022-08-04T00:00:00"/>
    <s v="POWERPLUS"/>
    <x v="2252"/>
    <n v="-3835.19"/>
    <x v="3"/>
    <e v="#N/A"/>
    <s v="Delete"/>
    <m/>
    <n v="3835.19"/>
    <m/>
    <m/>
    <s v="credit"/>
    <m/>
    <x v="2014"/>
    <m/>
    <m/>
  </r>
  <r>
    <x v="43"/>
    <d v="2022-08-04T00:00:00"/>
    <s v="Cash Rewards Visa Signature"/>
    <x v="2253"/>
    <n v="71.75"/>
    <x v="38"/>
    <e v="#N/A"/>
    <s v="Exp - Groceries"/>
    <m/>
    <n v="71.75"/>
    <m/>
    <m/>
    <s v="debit"/>
    <m/>
    <x v="2093"/>
    <m/>
    <m/>
  </r>
  <r>
    <x v="43"/>
    <d v="2022-08-04T00:00:00"/>
    <s v="Cash Rewards Visa Signature"/>
    <x v="2254"/>
    <n v="81.99"/>
    <x v="37"/>
    <e v="#N/A"/>
    <s v="Exp - Transportation"/>
    <m/>
    <n v="81.99"/>
    <m/>
    <m/>
    <s v="debit"/>
    <m/>
    <x v="2094"/>
    <m/>
    <m/>
  </r>
  <r>
    <x v="43"/>
    <d v="2022-08-04T00:00:00"/>
    <s v="Cash Rewards Visa Signature"/>
    <x v="2255"/>
    <n v="32.39"/>
    <x v="32"/>
    <e v="#N/A"/>
    <s v="Exp - Shopping"/>
    <m/>
    <n v="32.39"/>
    <m/>
    <m/>
    <s v="debit"/>
    <m/>
    <x v="2095"/>
    <m/>
    <m/>
  </r>
  <r>
    <x v="43"/>
    <d v="2022-08-04T00:00:00"/>
    <s v="DISCOVER MORE CARD"/>
    <x v="2256"/>
    <n v="40.5"/>
    <x v="38"/>
    <e v="#N/A"/>
    <s v="Exp - Groceries"/>
    <m/>
    <n v="40.5"/>
    <m/>
    <m/>
    <s v="debit"/>
    <m/>
    <x v="2096"/>
    <m/>
    <m/>
  </r>
  <r>
    <x v="43"/>
    <d v="2022-08-04T00:00:00"/>
    <s v="POWERPLUS"/>
    <x v="2257"/>
    <n v="273.14"/>
    <x v="32"/>
    <e v="#N/A"/>
    <s v="Exp - Shopping"/>
    <m/>
    <n v="273.14"/>
    <m/>
    <m/>
    <s v="debit"/>
    <m/>
    <x v="2053"/>
    <m/>
    <m/>
  </r>
  <r>
    <x v="43"/>
    <d v="2022-08-05T00:00:00"/>
    <s v="Cash Rewards Visa Signature"/>
    <x v="2258"/>
    <n v="-450"/>
    <x v="35"/>
    <e v="#N/A"/>
    <s v="Exp - Entertainment"/>
    <m/>
    <n v="450"/>
    <m/>
    <m/>
    <s v="credit"/>
    <m/>
    <x v="2097"/>
    <m/>
    <m/>
  </r>
  <r>
    <x v="43"/>
    <d v="2022-08-05T00:00:00"/>
    <s v="Cash Rewards Visa Signature"/>
    <x v="2259"/>
    <n v="9.8699999999999992"/>
    <x v="3"/>
    <e v="#N/A"/>
    <s v="Delete"/>
    <m/>
    <n v="9.8699999999999992"/>
    <m/>
    <m/>
    <s v="debit"/>
    <m/>
    <x v="2098"/>
    <m/>
    <m/>
  </r>
  <r>
    <x v="43"/>
    <d v="2022-08-05T00:00:00"/>
    <s v="Cash Rewards Visa Signature"/>
    <x v="2260"/>
    <n v="29.99"/>
    <x v="37"/>
    <e v="#N/A"/>
    <s v="Exp - Transportation"/>
    <m/>
    <n v="29.99"/>
    <m/>
    <m/>
    <s v="debit"/>
    <m/>
    <x v="2099"/>
    <m/>
    <m/>
  </r>
  <r>
    <x v="43"/>
    <d v="2022-08-05T00:00:00"/>
    <s v="Cash Rewards Visa Signature"/>
    <x v="2261"/>
    <n v="-70"/>
    <x v="32"/>
    <e v="#N/A"/>
    <s v="Exp - Shopping"/>
    <m/>
    <n v="70"/>
    <m/>
    <m/>
    <s v="credit"/>
    <m/>
    <x v="2100"/>
    <m/>
    <m/>
  </r>
  <r>
    <x v="43"/>
    <d v="2022-08-05T00:00:00"/>
    <s v="Cash Rewards Visa Signature"/>
    <x v="2262"/>
    <n v="25.75"/>
    <x v="38"/>
    <e v="#N/A"/>
    <s v="Exp - Groceries"/>
    <m/>
    <n v="25.75"/>
    <m/>
    <m/>
    <s v="debit"/>
    <m/>
    <x v="2101"/>
    <m/>
    <m/>
  </r>
  <r>
    <x v="43"/>
    <d v="2022-08-05T00:00:00"/>
    <s v="Cash Rewards Visa Signature"/>
    <x v="2263"/>
    <n v="14.11"/>
    <x v="39"/>
    <e v="#N/A"/>
    <s v="Exp - Restaurants"/>
    <m/>
    <n v="14.11"/>
    <m/>
    <m/>
    <s v="debit"/>
    <m/>
    <x v="2102"/>
    <m/>
    <m/>
  </r>
  <r>
    <x v="43"/>
    <d v="2022-08-05T00:00:00"/>
    <s v="POWERPLUS"/>
    <x v="2264"/>
    <n v="353.55"/>
    <x v="42"/>
    <e v="#N/A"/>
    <s v="Exp - Utilities"/>
    <m/>
    <n v="353.55"/>
    <m/>
    <m/>
    <s v="debit"/>
    <m/>
    <x v="2103"/>
    <m/>
    <m/>
  </r>
  <r>
    <x v="43"/>
    <d v="2022-08-07T00:00:00"/>
    <s v="Cash Rewards Visa Signature"/>
    <x v="2265"/>
    <n v="435.45"/>
    <x v="3"/>
    <e v="#N/A"/>
    <s v="Delete"/>
    <m/>
    <n v="435.45"/>
    <m/>
    <m/>
    <s v="debit"/>
    <m/>
    <x v="2104"/>
    <m/>
    <m/>
  </r>
  <r>
    <x v="43"/>
    <d v="2022-08-07T00:00:00"/>
    <s v="Cash Rewards Visa Signature"/>
    <x v="2266"/>
    <n v="3.21"/>
    <x v="39"/>
    <e v="#N/A"/>
    <s v="Exp - Restaurants"/>
    <m/>
    <n v="3.21"/>
    <m/>
    <m/>
    <s v="debit"/>
    <m/>
    <x v="2105"/>
    <m/>
    <m/>
  </r>
  <r>
    <x v="43"/>
    <d v="2022-08-07T00:00:00"/>
    <s v="Cash Rewards Visa Signature"/>
    <x v="2267"/>
    <n v="655.66"/>
    <x v="3"/>
    <e v="#N/A"/>
    <s v="Delete"/>
    <m/>
    <n v="655.66"/>
    <m/>
    <m/>
    <s v="debit"/>
    <m/>
    <x v="2106"/>
    <m/>
    <m/>
  </r>
  <r>
    <x v="43"/>
    <d v="2022-08-07T00:00:00"/>
    <s v="Cash Rewards Visa Signature"/>
    <x v="2268"/>
    <n v="32.18"/>
    <x v="39"/>
    <e v="#N/A"/>
    <s v="Exp - Restaurants"/>
    <m/>
    <n v="32.18"/>
    <m/>
    <m/>
    <s v="debit"/>
    <m/>
    <x v="2107"/>
    <m/>
    <m/>
  </r>
  <r>
    <x v="43"/>
    <d v="2022-08-07T00:00:00"/>
    <s v="Cash Rewards Visa Signature"/>
    <x v="2269"/>
    <n v="23.42"/>
    <x v="39"/>
    <e v="#N/A"/>
    <s v="Exp - Restaurants"/>
    <m/>
    <n v="23.42"/>
    <m/>
    <m/>
    <s v="debit"/>
    <m/>
    <x v="2108"/>
    <m/>
    <m/>
  </r>
  <r>
    <x v="43"/>
    <d v="2022-08-07T00:00:00"/>
    <s v="Cash Rewards Visa Signature"/>
    <x v="2270"/>
    <n v="93.36"/>
    <x v="39"/>
    <e v="#N/A"/>
    <s v="Exp - Restaurants"/>
    <m/>
    <n v="93.36"/>
    <m/>
    <m/>
    <s v="debit"/>
    <m/>
    <x v="2109"/>
    <m/>
    <m/>
  </r>
  <r>
    <x v="43"/>
    <d v="2022-08-08T00:00:00"/>
    <s v="Cash Rewards Visa Signature"/>
    <x v="2271"/>
    <n v="21.46"/>
    <x v="41"/>
    <e v="#N/A"/>
    <s v="Exp - Amazon"/>
    <m/>
    <n v="21.46"/>
    <m/>
    <m/>
    <s v="debit"/>
    <m/>
    <x v="2110"/>
    <m/>
    <m/>
  </r>
  <r>
    <x v="43"/>
    <d v="2022-08-08T00:00:00"/>
    <s v="Cash Rewards Visa Signature"/>
    <x v="2272"/>
    <n v="149.33000000000001"/>
    <x v="38"/>
    <e v="#N/A"/>
    <s v="Exp - Groceries"/>
    <m/>
    <n v="149.33000000000001"/>
    <m/>
    <m/>
    <s v="debit"/>
    <m/>
    <x v="2111"/>
    <m/>
    <m/>
  </r>
  <r>
    <x v="43"/>
    <d v="2022-08-08T00:00:00"/>
    <s v="Cash Rewards Visa Signature"/>
    <x v="2273"/>
    <n v="3.21"/>
    <x v="32"/>
    <e v="#N/A"/>
    <s v="Exp - Shopping"/>
    <m/>
    <n v="3.21"/>
    <m/>
    <m/>
    <s v="debit"/>
    <m/>
    <x v="2112"/>
    <m/>
    <m/>
  </r>
  <r>
    <x v="43"/>
    <d v="2022-08-08T00:00:00"/>
    <s v="Cash Rewards Visa Signature"/>
    <x v="2274"/>
    <n v="8"/>
    <x v="35"/>
    <e v="#N/A"/>
    <s v="Exp - Entertainment"/>
    <m/>
    <n v="8"/>
    <m/>
    <m/>
    <s v="debit"/>
    <m/>
    <x v="2113"/>
    <m/>
    <m/>
  </r>
  <r>
    <x v="43"/>
    <d v="2022-08-08T00:00:00"/>
    <s v="DISCOVER MORE CARD"/>
    <x v="2275"/>
    <n v="15.91"/>
    <x v="36"/>
    <e v="#N/A"/>
    <s v="Exp - House Maint"/>
    <m/>
    <n v="15.91"/>
    <m/>
    <m/>
    <s v="debit"/>
    <m/>
    <x v="2114"/>
    <m/>
    <m/>
  </r>
  <r>
    <x v="43"/>
    <d v="2022-08-08T00:00:00"/>
    <s v="POWERPLUS"/>
    <x v="2171"/>
    <n v="4909.3999999999996"/>
    <x v="3"/>
    <e v="#N/A"/>
    <s v="Delete"/>
    <m/>
    <n v="4909.3999999999996"/>
    <m/>
    <m/>
    <s v="debit"/>
    <m/>
    <x v="2021"/>
    <m/>
    <m/>
  </r>
  <r>
    <x v="43"/>
    <d v="2022-08-08T00:00:00"/>
    <s v="Cash Rewards Visa Signature"/>
    <x v="2276"/>
    <n v="-4909.3999999999996"/>
    <x v="3"/>
    <e v="#N/A"/>
    <s v="Delete"/>
    <m/>
    <n v="4909.3999999999996"/>
    <m/>
    <m/>
    <s v="credit"/>
    <m/>
    <x v="2115"/>
    <m/>
    <m/>
  </r>
  <r>
    <x v="43"/>
    <d v="2022-08-09T00:00:00"/>
    <s v="Cash Rewards Visa Signature"/>
    <x v="2277"/>
    <n v="3.22"/>
    <x v="32"/>
    <e v="#N/A"/>
    <s v="Exp - Shopping"/>
    <m/>
    <n v="3.22"/>
    <m/>
    <m/>
    <s v="debit"/>
    <m/>
    <x v="2116"/>
    <m/>
    <m/>
  </r>
  <r>
    <x v="43"/>
    <d v="2022-08-09T00:00:00"/>
    <s v="Cash Rewards Visa Signature"/>
    <x v="2278"/>
    <n v="8.8800000000000008"/>
    <x v="39"/>
    <e v="#N/A"/>
    <s v="Exp - Restaurants"/>
    <m/>
    <n v="8.8800000000000008"/>
    <m/>
    <m/>
    <s v="debit"/>
    <m/>
    <x v="2117"/>
    <m/>
    <m/>
  </r>
  <r>
    <x v="43"/>
    <d v="2022-08-09T00:00:00"/>
    <s v="Cash Rewards Visa Signature"/>
    <x v="2279"/>
    <n v="39.07"/>
    <x v="39"/>
    <e v="#N/A"/>
    <s v="Exp - Restaurants"/>
    <m/>
    <n v="39.07"/>
    <m/>
    <m/>
    <s v="debit"/>
    <m/>
    <x v="2118"/>
    <m/>
    <m/>
  </r>
  <r>
    <x v="43"/>
    <d v="2022-08-09T00:00:00"/>
    <s v="Cash Rewards Visa Signature"/>
    <x v="2280"/>
    <n v="16.38"/>
    <x v="39"/>
    <e v="#N/A"/>
    <s v="Exp - Restaurants"/>
    <m/>
    <n v="16.38"/>
    <m/>
    <m/>
    <s v="debit"/>
    <m/>
    <x v="2119"/>
    <m/>
    <m/>
  </r>
  <r>
    <x v="43"/>
    <d v="2022-08-09T00:00:00"/>
    <s v="Cash Rewards Visa Signature"/>
    <x v="2281"/>
    <n v="47.32"/>
    <x v="49"/>
    <e v="#N/A"/>
    <s v="Exp - Gym"/>
    <m/>
    <n v="47.32"/>
    <m/>
    <m/>
    <s v="debit"/>
    <m/>
    <x v="2120"/>
    <m/>
    <m/>
  </r>
  <r>
    <x v="43"/>
    <d v="2022-08-09T00:00:00"/>
    <s v="POWERPLUS"/>
    <x v="2282"/>
    <n v="536.5"/>
    <x v="40"/>
    <e v="#N/A"/>
    <s v="Exp - Day Care"/>
    <m/>
    <n v="536.5"/>
    <m/>
    <m/>
    <s v="debit"/>
    <m/>
    <x v="2007"/>
    <m/>
    <m/>
  </r>
  <r>
    <x v="43"/>
    <d v="2022-08-09T00:00:00"/>
    <s v="POWERPLUS"/>
    <x v="2283"/>
    <n v="168.58"/>
    <x v="42"/>
    <e v="#N/A"/>
    <s v="Exp - Utilities"/>
    <m/>
    <n v="168.58"/>
    <m/>
    <m/>
    <s v="debit"/>
    <m/>
    <x v="2121"/>
    <m/>
    <m/>
  </r>
  <r>
    <x v="43"/>
    <d v="2022-08-09T00:00:00"/>
    <s v="Cash Rewards Visa Signature"/>
    <x v="2284"/>
    <n v="88.75"/>
    <x v="39"/>
    <e v="#N/A"/>
    <s v="Exp - Restaurants"/>
    <m/>
    <n v="88.75"/>
    <m/>
    <m/>
    <s v="debit"/>
    <m/>
    <x v="2122"/>
    <m/>
    <m/>
  </r>
  <r>
    <x v="43"/>
    <d v="2022-08-10T00:00:00"/>
    <s v="DISCOVER MORE CARD"/>
    <x v="2285"/>
    <n v="65.42"/>
    <x v="41"/>
    <e v="#N/A"/>
    <s v="Exp - Amazon"/>
    <m/>
    <n v="65.42"/>
    <m/>
    <m/>
    <s v="debit"/>
    <m/>
    <x v="2123"/>
    <m/>
    <m/>
  </r>
  <r>
    <x v="43"/>
    <d v="2022-08-10T00:00:00"/>
    <s v="DISCOVER MORE CARD"/>
    <x v="2286"/>
    <n v="27.8"/>
    <x v="41"/>
    <e v="#N/A"/>
    <s v="Exp - Amazon"/>
    <m/>
    <n v="27.8"/>
    <m/>
    <m/>
    <s v="debit"/>
    <m/>
    <x v="2124"/>
    <m/>
    <m/>
  </r>
  <r>
    <x v="43"/>
    <d v="2022-08-10T00:00:00"/>
    <s v="POWERPLUS"/>
    <x v="2287"/>
    <n v="4"/>
    <x v="3"/>
    <e v="#N/A"/>
    <s v="Delete"/>
    <m/>
    <n v="4"/>
    <m/>
    <m/>
    <s v="debit"/>
    <m/>
    <x v="2125"/>
    <m/>
    <m/>
  </r>
  <r>
    <x v="43"/>
    <d v="2022-08-10T00:00:00"/>
    <s v="Cash Rewards Visa Signature"/>
    <x v="2288"/>
    <n v="388"/>
    <x v="38"/>
    <e v="#N/A"/>
    <s v="Exp - Groceries"/>
    <m/>
    <n v="388"/>
    <m/>
    <m/>
    <s v="debit"/>
    <m/>
    <x v="2126"/>
    <m/>
    <m/>
  </r>
  <r>
    <x v="43"/>
    <d v="2022-08-10T00:00:00"/>
    <s v="POWERPLUS"/>
    <x v="2289"/>
    <n v="400"/>
    <x v="3"/>
    <e v="#N/A"/>
    <s v="Delete"/>
    <m/>
    <n v="400"/>
    <m/>
    <m/>
    <s v="debit"/>
    <m/>
    <x v="2127"/>
    <m/>
    <m/>
  </r>
  <r>
    <x v="43"/>
    <d v="2022-08-11T00:00:00"/>
    <s v="Cash Rewards Visa Signature"/>
    <x v="2290"/>
    <n v="450"/>
    <x v="35"/>
    <e v="#N/A"/>
    <s v="Exp - Entertainment"/>
    <m/>
    <n v="450"/>
    <m/>
    <m/>
    <s v="debit"/>
    <m/>
    <x v="2128"/>
    <m/>
    <m/>
  </r>
  <r>
    <x v="43"/>
    <d v="2022-08-11T00:00:00"/>
    <s v="POWERPLUS"/>
    <x v="2291"/>
    <n v="24.83"/>
    <x v="32"/>
    <e v="#N/A"/>
    <s v="Exp - Shopping"/>
    <m/>
    <n v="24.83"/>
    <m/>
    <m/>
    <s v="debit"/>
    <m/>
    <x v="2045"/>
    <m/>
    <m/>
  </r>
  <r>
    <x v="43"/>
    <d v="2022-08-11T00:00:00"/>
    <s v="POWERPLUS"/>
    <x v="2292"/>
    <n v="142.16999999999999"/>
    <x v="46"/>
    <e v="#N/A"/>
    <s v="Exp - Healthcare"/>
    <m/>
    <n v="142.16999999999999"/>
    <m/>
    <m/>
    <s v="debit"/>
    <m/>
    <x v="2129"/>
    <m/>
    <m/>
  </r>
  <r>
    <x v="43"/>
    <d v="2022-08-12T00:00:00"/>
    <s v="Cash Rewards Visa Signature"/>
    <x v="2293"/>
    <n v="45.73"/>
    <x v="43"/>
    <e v="#N/A"/>
    <s v="Exp - Travel"/>
    <m/>
    <n v="45.73"/>
    <m/>
    <m/>
    <s v="debit"/>
    <m/>
    <x v="2130"/>
    <m/>
    <m/>
  </r>
  <r>
    <x v="43"/>
    <d v="2022-08-12T00:00:00"/>
    <s v="Cash Rewards Visa Signature"/>
    <x v="2294"/>
    <n v="4.1900000000000004"/>
    <x v="39"/>
    <e v="#N/A"/>
    <s v="Exp - Restaurants"/>
    <m/>
    <n v="4.1900000000000004"/>
    <m/>
    <m/>
    <s v="debit"/>
    <m/>
    <x v="2131"/>
    <m/>
    <m/>
  </r>
  <r>
    <x v="43"/>
    <d v="2022-08-12T00:00:00"/>
    <s v="Cash Rewards Visa Signature"/>
    <x v="2295"/>
    <n v="464.38"/>
    <x v="3"/>
    <e v="#N/A"/>
    <s v="Delete"/>
    <m/>
    <n v="464.38"/>
    <m/>
    <m/>
    <s v="debit"/>
    <m/>
    <x v="2132"/>
    <m/>
    <m/>
  </r>
  <r>
    <x v="43"/>
    <d v="2022-08-12T00:00:00"/>
    <s v="Cash Rewards Visa Signature"/>
    <x v="2296"/>
    <n v="10.79"/>
    <x v="43"/>
    <e v="#N/A"/>
    <s v="Exp - Travel"/>
    <m/>
    <n v="10.79"/>
    <m/>
    <m/>
    <s v="debit"/>
    <m/>
    <x v="2133"/>
    <m/>
    <m/>
  </r>
  <r>
    <x v="43"/>
    <d v="2022-08-13T00:00:00"/>
    <s v="DISCOVER MORE CARD"/>
    <x v="2297"/>
    <n v="78"/>
    <x v="32"/>
    <e v="#N/A"/>
    <s v="Exp - Shopping"/>
    <m/>
    <n v="78"/>
    <m/>
    <m/>
    <s v="debit"/>
    <m/>
    <x v="2134"/>
    <m/>
    <m/>
  </r>
  <r>
    <x v="43"/>
    <d v="2022-08-14T00:00:00"/>
    <s v="Cash Rewards Visa Signature"/>
    <x v="2298"/>
    <n v="45"/>
    <x v="42"/>
    <e v="#N/A"/>
    <s v="Exp - Utilities"/>
    <m/>
    <n v="45"/>
    <m/>
    <m/>
    <s v="debit"/>
    <m/>
    <x v="2135"/>
    <m/>
    <m/>
  </r>
  <r>
    <x v="43"/>
    <d v="2022-08-14T00:00:00"/>
    <s v="Cash Rewards Visa Signature"/>
    <x v="2299"/>
    <n v="164.05"/>
    <x v="43"/>
    <e v="#N/A"/>
    <s v="Exp - Travel"/>
    <m/>
    <n v="164.05"/>
    <m/>
    <m/>
    <s v="debit"/>
    <m/>
    <x v="2136"/>
    <m/>
    <m/>
  </r>
  <r>
    <x v="43"/>
    <d v="2022-08-14T00:00:00"/>
    <s v="Cash Rewards Visa Signature"/>
    <x v="2300"/>
    <n v="6.81"/>
    <x v="43"/>
    <e v="#N/A"/>
    <s v="Exp - Travel"/>
    <m/>
    <n v="6.81"/>
    <m/>
    <m/>
    <s v="debit"/>
    <m/>
    <x v="2137"/>
    <m/>
    <m/>
  </r>
  <r>
    <x v="43"/>
    <d v="2022-08-14T00:00:00"/>
    <s v="POWERPLUS"/>
    <x v="2301"/>
    <n v="-1961.13"/>
    <x v="15"/>
    <e v="#N/A"/>
    <s v="Inc - Jeff"/>
    <m/>
    <n v="1961.13"/>
    <m/>
    <m/>
    <s v="credit"/>
    <m/>
    <x v="2138"/>
    <m/>
    <m/>
  </r>
  <r>
    <x v="43"/>
    <d v="2022-08-14T00:00:00"/>
    <s v="POWERPLUS"/>
    <x v="2302"/>
    <n v="-3265.43"/>
    <x v="15"/>
    <e v="#N/A"/>
    <s v="Inc - Jeff"/>
    <m/>
    <n v="3265.43"/>
    <m/>
    <m/>
    <s v="credit"/>
    <m/>
    <x v="2139"/>
    <m/>
    <m/>
  </r>
  <r>
    <x v="43"/>
    <d v="2022-08-14T00:00:00"/>
    <s v="Cash Rewards Visa Signature"/>
    <x v="2303"/>
    <n v="68.05"/>
    <x v="37"/>
    <e v="#N/A"/>
    <s v="Exp - Transportation"/>
    <m/>
    <n v="68.05"/>
    <m/>
    <m/>
    <s v="debit"/>
    <m/>
    <x v="2140"/>
    <m/>
    <m/>
  </r>
  <r>
    <x v="43"/>
    <d v="2022-08-14T00:00:00"/>
    <s v="Cash Rewards Visa Signature"/>
    <x v="2304"/>
    <n v="5.05"/>
    <x v="37"/>
    <e v="#N/A"/>
    <s v="Exp - Transportation"/>
    <m/>
    <n v="5.05"/>
    <m/>
    <m/>
    <s v="debit"/>
    <m/>
    <x v="2141"/>
    <m/>
    <m/>
  </r>
  <r>
    <x v="43"/>
    <d v="2022-08-14T00:00:00"/>
    <s v="Cash Rewards Visa Signature"/>
    <x v="2305"/>
    <n v="68.37"/>
    <x v="38"/>
    <e v="#N/A"/>
    <s v="Exp - Groceries"/>
    <m/>
    <n v="68.37"/>
    <m/>
    <m/>
    <s v="debit"/>
    <m/>
    <x v="2142"/>
    <m/>
    <m/>
  </r>
  <r>
    <x v="43"/>
    <d v="2022-08-14T00:00:00"/>
    <s v="Cash Rewards Visa Signature"/>
    <x v="2306"/>
    <n v="32"/>
    <x v="43"/>
    <e v="#N/A"/>
    <s v="Exp - Travel"/>
    <m/>
    <n v="32"/>
    <m/>
    <m/>
    <s v="debit"/>
    <m/>
    <x v="2143"/>
    <m/>
    <m/>
  </r>
  <r>
    <x v="43"/>
    <d v="2022-08-14T00:00:00"/>
    <s v="Cash Rewards Visa Signature"/>
    <x v="2307"/>
    <n v="39.950000000000003"/>
    <x v="37"/>
    <e v="#N/A"/>
    <s v="Exp - Transportation"/>
    <m/>
    <n v="39.950000000000003"/>
    <m/>
    <m/>
    <s v="debit"/>
    <m/>
    <x v="2144"/>
    <m/>
    <m/>
  </r>
  <r>
    <x v="43"/>
    <d v="2022-08-14T00:00:00"/>
    <s v="Cash Rewards Visa Signature"/>
    <x v="2308"/>
    <n v="5.21"/>
    <x v="39"/>
    <e v="#N/A"/>
    <s v="Exp - Restaurants"/>
    <m/>
    <n v="5.21"/>
    <m/>
    <m/>
    <s v="debit"/>
    <m/>
    <x v="2145"/>
    <m/>
    <m/>
  </r>
  <r>
    <x v="43"/>
    <d v="2022-08-14T00:00:00"/>
    <s v="Cash Rewards Visa Signature"/>
    <x v="2309"/>
    <n v="164.41"/>
    <x v="36"/>
    <e v="#N/A"/>
    <s v="Exp - House Maint"/>
    <m/>
    <n v="164.41"/>
    <m/>
    <m/>
    <s v="debit"/>
    <m/>
    <x v="2146"/>
    <m/>
    <m/>
  </r>
  <r>
    <x v="43"/>
    <d v="2022-08-14T00:00:00"/>
    <s v="Cash Rewards Visa Signature"/>
    <x v="2310"/>
    <n v="32.36"/>
    <x v="26"/>
    <e v="#N/A"/>
    <m/>
    <m/>
    <n v="32.36"/>
    <m/>
    <m/>
    <s v="debit"/>
    <m/>
    <x v="2147"/>
    <m/>
    <m/>
  </r>
  <r>
    <x v="43"/>
    <d v="2022-08-14T00:00:00"/>
    <s v="Cash Rewards Visa Signature"/>
    <x v="2311"/>
    <n v="8.2100000000000009"/>
    <x v="43"/>
    <e v="#N/A"/>
    <s v="Exp - Travel"/>
    <m/>
    <n v="8.2100000000000009"/>
    <m/>
    <m/>
    <s v="debit"/>
    <m/>
    <x v="2148"/>
    <m/>
    <m/>
  </r>
  <r>
    <x v="43"/>
    <d v="2022-08-14T00:00:00"/>
    <s v="Cash Rewards Visa Signature"/>
    <x v="2312"/>
    <n v="29"/>
    <x v="43"/>
    <e v="#N/A"/>
    <s v="Exp - Travel"/>
    <m/>
    <n v="29"/>
    <m/>
    <m/>
    <s v="debit"/>
    <m/>
    <x v="2149"/>
    <m/>
    <m/>
  </r>
  <r>
    <x v="43"/>
    <d v="2022-08-14T00:00:00"/>
    <s v="Cash Rewards Visa Signature"/>
    <x v="2313"/>
    <n v="37.61"/>
    <x v="43"/>
    <e v="#N/A"/>
    <s v="Exp - Travel"/>
    <m/>
    <n v="37.61"/>
    <m/>
    <m/>
    <s v="debit"/>
    <m/>
    <x v="2150"/>
    <m/>
    <m/>
  </r>
  <r>
    <x v="43"/>
    <d v="2022-08-14T00:00:00"/>
    <s v="Cash Rewards Visa Signature"/>
    <x v="2314"/>
    <n v="-515.20000000000005"/>
    <x v="3"/>
    <e v="#N/A"/>
    <s v="Delete"/>
    <m/>
    <n v="515.20000000000005"/>
    <m/>
    <m/>
    <s v="credit"/>
    <m/>
    <x v="2151"/>
    <m/>
    <m/>
  </r>
  <r>
    <x v="43"/>
    <d v="2022-08-14T00:00:00"/>
    <s v="Cash Rewards Visa Signature"/>
    <x v="2315"/>
    <n v="-515.20000000000005"/>
    <x v="3"/>
    <e v="#N/A"/>
    <s v="Delete"/>
    <m/>
    <n v="515.20000000000005"/>
    <m/>
    <m/>
    <s v="credit"/>
    <m/>
    <x v="2152"/>
    <m/>
    <m/>
  </r>
  <r>
    <x v="43"/>
    <d v="2022-08-14T00:00:00"/>
    <s v="Cash Rewards Visa Signature"/>
    <x v="2316"/>
    <n v="8.48"/>
    <x v="39"/>
    <e v="#N/A"/>
    <s v="Exp - Restaurants"/>
    <m/>
    <n v="8.48"/>
    <m/>
    <m/>
    <s v="debit"/>
    <m/>
    <x v="2153"/>
    <m/>
    <m/>
  </r>
  <r>
    <x v="43"/>
    <d v="2022-08-14T00:00:00"/>
    <s v="Cash Rewards Visa Signature"/>
    <x v="2317"/>
    <n v="171.58"/>
    <x v="43"/>
    <e v="#N/A"/>
    <s v="Exp - Travel"/>
    <m/>
    <n v="171.58"/>
    <m/>
    <m/>
    <s v="debit"/>
    <m/>
    <x v="2154"/>
    <m/>
    <m/>
  </r>
  <r>
    <x v="43"/>
    <d v="2022-08-14T00:00:00"/>
    <s v="Cash Rewards Visa Signature"/>
    <x v="2318"/>
    <n v="15.4"/>
    <x v="37"/>
    <e v="#N/A"/>
    <s v="Exp - Transportation"/>
    <m/>
    <n v="15.4"/>
    <m/>
    <m/>
    <s v="debit"/>
    <m/>
    <x v="2155"/>
    <m/>
    <m/>
  </r>
  <r>
    <x v="43"/>
    <d v="2022-08-15T00:00:00"/>
    <s v="Cash Rewards Visa Signature"/>
    <x v="2319"/>
    <n v="74.11"/>
    <x v="43"/>
    <e v="#N/A"/>
    <s v="Exp - Travel"/>
    <m/>
    <n v="74.11"/>
    <m/>
    <m/>
    <s v="debit"/>
    <m/>
    <x v="2156"/>
    <m/>
    <m/>
  </r>
  <r>
    <x v="43"/>
    <d v="2022-08-15T00:00:00"/>
    <s v="Cash Rewards Visa Signature"/>
    <x v="2320"/>
    <n v="64.489999999999995"/>
    <x v="43"/>
    <e v="#N/A"/>
    <s v="Exp - Travel"/>
    <m/>
    <n v="64.489999999999995"/>
    <m/>
    <m/>
    <s v="debit"/>
    <m/>
    <x v="2157"/>
    <m/>
    <m/>
  </r>
  <r>
    <x v="43"/>
    <d v="2022-08-15T00:00:00"/>
    <s v="Cash Rewards Visa Signature"/>
    <x v="2321"/>
    <n v="20.64"/>
    <x v="43"/>
    <e v="#N/A"/>
    <s v="Exp - Travel"/>
    <m/>
    <n v="20.64"/>
    <m/>
    <m/>
    <s v="debit"/>
    <m/>
    <x v="2158"/>
    <m/>
    <m/>
  </r>
  <r>
    <x v="43"/>
    <d v="2022-08-15T00:00:00"/>
    <s v="Cash Rewards Visa Signature"/>
    <x v="2322"/>
    <n v="11.74"/>
    <x v="39"/>
    <e v="#N/A"/>
    <s v="Exp - Restaurants"/>
    <m/>
    <n v="11.74"/>
    <m/>
    <m/>
    <s v="debit"/>
    <m/>
    <x v="2159"/>
    <m/>
    <m/>
  </r>
  <r>
    <x v="43"/>
    <d v="2022-08-15T00:00:00"/>
    <s v="Cash Rewards Visa Signature"/>
    <x v="2323"/>
    <n v="29.72"/>
    <x v="39"/>
    <e v="#N/A"/>
    <s v="Exp - Restaurants"/>
    <m/>
    <n v="29.72"/>
    <m/>
    <m/>
    <s v="debit"/>
    <m/>
    <x v="2160"/>
    <m/>
    <m/>
  </r>
  <r>
    <x v="43"/>
    <d v="2022-08-15T00:00:00"/>
    <s v="POWERPLUS"/>
    <x v="2324"/>
    <n v="30.45"/>
    <x v="32"/>
    <e v="#N/A"/>
    <s v="Exp - Shopping"/>
    <s v="tucker jc penny suit"/>
    <n v="30.45"/>
    <m/>
    <m/>
    <s v="debit"/>
    <m/>
    <x v="2045"/>
    <m/>
    <m/>
  </r>
  <r>
    <x v="43"/>
    <d v="2022-08-15T00:00:00"/>
    <s v="POWERPLUS"/>
    <x v="2325"/>
    <n v="102.48"/>
    <x v="42"/>
    <e v="#N/A"/>
    <s v="Exp - Utilities"/>
    <m/>
    <n v="102.48"/>
    <m/>
    <m/>
    <s v="debit"/>
    <m/>
    <x v="2161"/>
    <m/>
    <m/>
  </r>
  <r>
    <x v="43"/>
    <d v="2022-08-16T00:00:00"/>
    <s v="Cash Rewards Visa Signature"/>
    <x v="2326"/>
    <n v="66.3"/>
    <x v="50"/>
    <e v="#N/A"/>
    <s v="Exp - Dry Cleaning"/>
    <m/>
    <n v="66.3"/>
    <m/>
    <m/>
    <s v="debit"/>
    <m/>
    <x v="2162"/>
    <m/>
    <m/>
  </r>
  <r>
    <x v="43"/>
    <d v="2022-08-16T00:00:00"/>
    <s v="DISCOVER MORE CARD"/>
    <x v="2327"/>
    <n v="62.66"/>
    <x v="38"/>
    <e v="#N/A"/>
    <s v="Exp - Groceries"/>
    <m/>
    <n v="62.66"/>
    <m/>
    <m/>
    <s v="debit"/>
    <m/>
    <x v="2163"/>
    <m/>
    <m/>
  </r>
  <r>
    <x v="43"/>
    <d v="2022-08-16T00:00:00"/>
    <s v="Cash Rewards Visa Signature"/>
    <x v="2328"/>
    <n v="91.87"/>
    <x v="38"/>
    <e v="#N/A"/>
    <s v="Exp - Groceries"/>
    <m/>
    <n v="91.87"/>
    <m/>
    <m/>
    <s v="debit"/>
    <m/>
    <x v="2164"/>
    <m/>
    <m/>
  </r>
  <r>
    <x v="43"/>
    <d v="2022-08-16T00:00:00"/>
    <s v="Cash Rewards Visa Signature"/>
    <x v="2329"/>
    <n v="56"/>
    <x v="37"/>
    <e v="#N/A"/>
    <s v="Exp - Transportation"/>
    <m/>
    <n v="56"/>
    <m/>
    <m/>
    <s v="debit"/>
    <m/>
    <x v="2165"/>
    <m/>
    <m/>
  </r>
  <r>
    <x v="43"/>
    <d v="2022-08-16T00:00:00"/>
    <s v="Cash Rewards Visa Signature"/>
    <x v="2330"/>
    <n v="1131.1500000000001"/>
    <x v="3"/>
    <e v="#N/A"/>
    <s v="Delete"/>
    <m/>
    <n v="1131.1500000000001"/>
    <m/>
    <m/>
    <s v="debit"/>
    <m/>
    <x v="2166"/>
    <m/>
    <m/>
  </r>
  <r>
    <x v="43"/>
    <d v="2022-08-16T00:00:00"/>
    <s v="POWERPLUS"/>
    <x v="2331"/>
    <n v="536.5"/>
    <x v="40"/>
    <e v="#N/A"/>
    <s v="Exp - Day Care"/>
    <m/>
    <n v="536.5"/>
    <m/>
    <m/>
    <s v="debit"/>
    <m/>
    <x v="2007"/>
    <m/>
    <m/>
  </r>
  <r>
    <x v="43"/>
    <d v="2022-08-17T00:00:00"/>
    <s v="DISCOVER MORE CARD"/>
    <x v="2332"/>
    <n v="13.95"/>
    <x v="41"/>
    <e v="#N/A"/>
    <s v="Exp - Amazon"/>
    <m/>
    <n v="13.95"/>
    <m/>
    <m/>
    <s v="debit"/>
    <m/>
    <x v="2167"/>
    <m/>
    <m/>
  </r>
  <r>
    <x v="43"/>
    <d v="2022-08-17T00:00:00"/>
    <s v="DISCOVER MORE CARD"/>
    <x v="2333"/>
    <n v="76.459999999999994"/>
    <x v="41"/>
    <e v="#N/A"/>
    <s v="Exp - Amazon"/>
    <m/>
    <n v="76.459999999999994"/>
    <m/>
    <m/>
    <s v="debit"/>
    <m/>
    <x v="2168"/>
    <m/>
    <m/>
  </r>
  <r>
    <x v="43"/>
    <d v="2022-08-17T00:00:00"/>
    <s v="Cash Rewards Visa Signature"/>
    <x v="2334"/>
    <n v="497.2"/>
    <x v="3"/>
    <e v="#N/A"/>
    <s v="Delete"/>
    <m/>
    <n v="497.2"/>
    <m/>
    <m/>
    <s v="debit"/>
    <m/>
    <x v="2169"/>
    <m/>
    <m/>
  </r>
  <r>
    <x v="43"/>
    <d v="2022-08-17T00:00:00"/>
    <s v="Cash Rewards Visa Signature"/>
    <x v="2335"/>
    <n v="38.799999999999997"/>
    <x v="37"/>
    <e v="#N/A"/>
    <s v="Exp - Transportation"/>
    <m/>
    <n v="38.799999999999997"/>
    <m/>
    <m/>
    <s v="debit"/>
    <m/>
    <x v="2170"/>
    <m/>
    <m/>
  </r>
  <r>
    <x v="43"/>
    <d v="2022-08-17T00:00:00"/>
    <s v="Cash Rewards Visa Signature"/>
    <x v="2336"/>
    <n v="6.43"/>
    <x v="42"/>
    <e v="#N/A"/>
    <s v="Exp - Utilities"/>
    <m/>
    <n v="6.43"/>
    <m/>
    <m/>
    <s v="debit"/>
    <m/>
    <x v="2171"/>
    <m/>
    <m/>
  </r>
  <r>
    <x v="43"/>
    <d v="2022-08-17T00:00:00"/>
    <s v="POWERPLUS"/>
    <x v="2337"/>
    <n v="82.32"/>
    <x v="32"/>
    <e v="#N/A"/>
    <s v="Exp - Shopping"/>
    <m/>
    <n v="82.32"/>
    <m/>
    <m/>
    <s v="debit"/>
    <m/>
    <x v="2053"/>
    <m/>
    <m/>
  </r>
  <r>
    <x v="43"/>
    <d v="2022-08-18T00:00:00"/>
    <s v="Cash Rewards Visa Signature"/>
    <x v="2338"/>
    <n v="31"/>
    <x v="32"/>
    <e v="#N/A"/>
    <s v="Exp - Shopping"/>
    <m/>
    <n v="31"/>
    <m/>
    <m/>
    <s v="debit"/>
    <m/>
    <x v="2172"/>
    <m/>
    <m/>
  </r>
  <r>
    <x v="43"/>
    <d v="2022-08-18T00:00:00"/>
    <s v="POWERPLUS"/>
    <x v="2339"/>
    <n v="-3654.36"/>
    <x v="14"/>
    <e v="#N/A"/>
    <s v="Inc - Britney"/>
    <m/>
    <n v="3654.36"/>
    <m/>
    <m/>
    <s v="credit"/>
    <m/>
    <x v="2014"/>
    <m/>
    <m/>
  </r>
  <r>
    <x v="43"/>
    <d v="2022-08-18T00:00:00"/>
    <s v="POWERPLUS"/>
    <x v="2340"/>
    <n v="-1838"/>
    <x v="3"/>
    <e v="#N/A"/>
    <s v="Delete"/>
    <m/>
    <n v="1838"/>
    <m/>
    <m/>
    <s v="credit"/>
    <m/>
    <x v="2173"/>
    <m/>
    <m/>
  </r>
  <r>
    <x v="43"/>
    <d v="2022-08-18T00:00:00"/>
    <s v="POWERPLUS"/>
    <x v="2341"/>
    <n v="200"/>
    <x v="40"/>
    <e v="#N/A"/>
    <s v="Exp - Day Care"/>
    <m/>
    <n v="200"/>
    <m/>
    <m/>
    <s v="debit"/>
    <m/>
    <x v="2174"/>
    <m/>
    <m/>
  </r>
  <r>
    <x v="43"/>
    <d v="2022-08-19T00:00:00"/>
    <s v="DISCOVER MORE CARD"/>
    <x v="2342"/>
    <n v="-11.99"/>
    <x v="41"/>
    <e v="#N/A"/>
    <s v="Exp - Amazon"/>
    <m/>
    <n v="11.99"/>
    <m/>
    <m/>
    <s v="credit"/>
    <m/>
    <x v="2175"/>
    <m/>
    <m/>
  </r>
  <r>
    <x v="43"/>
    <d v="2022-08-19T00:00:00"/>
    <s v="DISCOVER MORE CARD"/>
    <x v="2343"/>
    <n v="-24.98"/>
    <x v="41"/>
    <e v="#N/A"/>
    <s v="Exp - Amazon"/>
    <m/>
    <n v="24.98"/>
    <m/>
    <m/>
    <s v="credit"/>
    <m/>
    <x v="2176"/>
    <m/>
    <m/>
  </r>
  <r>
    <x v="43"/>
    <d v="2022-08-19T00:00:00"/>
    <s v="DISCOVER MORE CARD"/>
    <x v="2344"/>
    <n v="-39.99"/>
    <x v="41"/>
    <e v="#N/A"/>
    <s v="Exp - Amazon"/>
    <m/>
    <n v="39.99"/>
    <m/>
    <m/>
    <s v="credit"/>
    <m/>
    <x v="2177"/>
    <m/>
    <m/>
  </r>
  <r>
    <x v="43"/>
    <d v="2022-08-19T00:00:00"/>
    <s v="DISCOVER MORE CARD"/>
    <x v="2345"/>
    <n v="33"/>
    <x v="32"/>
    <e v="#N/A"/>
    <s v="Exp - Shopping"/>
    <m/>
    <n v="33"/>
    <m/>
    <m/>
    <s v="debit"/>
    <m/>
    <x v="2178"/>
    <m/>
    <m/>
  </r>
  <r>
    <x v="43"/>
    <d v="2022-08-19T00:00:00"/>
    <s v="POWERPLUS"/>
    <x v="2346"/>
    <n v="65"/>
    <x v="32"/>
    <e v="#N/A"/>
    <s v="Exp - Shopping"/>
    <m/>
    <n v="65"/>
    <m/>
    <m/>
    <s v="debit"/>
    <m/>
    <x v="2045"/>
    <m/>
    <m/>
  </r>
  <r>
    <x v="43"/>
    <d v="2022-08-20T00:00:00"/>
    <s v="DISCOVER MORE CARD"/>
    <x v="2347"/>
    <n v="-21.99"/>
    <x v="41"/>
    <e v="#N/A"/>
    <s v="Exp - Amazon"/>
    <m/>
    <n v="21.99"/>
    <m/>
    <m/>
    <s v="credit"/>
    <m/>
    <x v="2179"/>
    <m/>
    <m/>
  </r>
  <r>
    <x v="43"/>
    <d v="2022-08-20T00:00:00"/>
    <s v="DISCOVER MORE CARD"/>
    <x v="1885"/>
    <n v="-17"/>
    <x v="3"/>
    <s v="Delete"/>
    <s v="Delete"/>
    <m/>
    <n v="17"/>
    <m/>
    <m/>
    <s v="credit"/>
    <m/>
    <x v="1738"/>
    <m/>
    <m/>
  </r>
  <r>
    <x v="43"/>
    <d v="2022-08-20T00:00:00"/>
    <s v="DISCOVER MORE CARD"/>
    <x v="2348"/>
    <n v="139.51"/>
    <x v="39"/>
    <e v="#N/A"/>
    <s v="Exp - Restaurants"/>
    <m/>
    <n v="139.51"/>
    <m/>
    <m/>
    <s v="debit"/>
    <m/>
    <x v="2180"/>
    <m/>
    <m/>
  </r>
  <r>
    <x v="43"/>
    <d v="2022-08-20T00:00:00"/>
    <s v="POWERPLUS"/>
    <x v="2171"/>
    <n v="3739.3"/>
    <x v="3"/>
    <e v="#N/A"/>
    <s v="Delete"/>
    <m/>
    <n v="3739.3"/>
    <m/>
    <m/>
    <s v="debit"/>
    <m/>
    <x v="2021"/>
    <m/>
    <m/>
  </r>
  <r>
    <x v="43"/>
    <d v="2022-08-20T00:00:00"/>
    <s v="DISCOVER MORE CARD"/>
    <x v="56"/>
    <n v="-724.45"/>
    <x v="3"/>
    <s v="Delete"/>
    <s v="Delete"/>
    <m/>
    <n v="724.45"/>
    <m/>
    <m/>
    <s v="credit"/>
    <m/>
    <x v="56"/>
    <m/>
    <m/>
  </r>
  <r>
    <x v="43"/>
    <d v="2022-08-20T00:00:00"/>
    <s v="Cash Rewards Visa Signature"/>
    <x v="2349"/>
    <n v="-3739.3"/>
    <x v="3"/>
    <e v="#N/A"/>
    <s v="Delete"/>
    <m/>
    <n v="3739.3"/>
    <m/>
    <m/>
    <s v="credit"/>
    <m/>
    <x v="2181"/>
    <m/>
    <m/>
  </r>
  <r>
    <x v="43"/>
    <d v="2022-08-21T00:00:00"/>
    <s v="DISCOVER MORE CARD"/>
    <x v="2350"/>
    <n v="27.09"/>
    <x v="41"/>
    <e v="#N/A"/>
    <s v="Exp - Amazon"/>
    <m/>
    <n v="27.09"/>
    <m/>
    <m/>
    <s v="debit"/>
    <m/>
    <x v="2182"/>
    <m/>
    <m/>
  </r>
  <r>
    <x v="43"/>
    <d v="2022-08-21T00:00:00"/>
    <s v="Cash Rewards Visa Signature"/>
    <x v="2351"/>
    <n v="171.78"/>
    <x v="35"/>
    <e v="#N/A"/>
    <s v="Exp - Entertainment"/>
    <m/>
    <n v="171.78"/>
    <m/>
    <m/>
    <s v="debit"/>
    <m/>
    <x v="2183"/>
    <m/>
    <m/>
  </r>
  <r>
    <x v="43"/>
    <d v="2022-08-21T00:00:00"/>
    <s v="Cash Rewards Visa Signature"/>
    <x v="2352"/>
    <n v="26"/>
    <x v="44"/>
    <e v="#N/A"/>
    <s v="Exp - Misc"/>
    <m/>
    <n v="26"/>
    <m/>
    <m/>
    <s v="debit"/>
    <m/>
    <x v="2184"/>
    <m/>
    <m/>
  </r>
  <r>
    <x v="43"/>
    <d v="2022-08-21T00:00:00"/>
    <s v="Cash Rewards Visa Signature"/>
    <x v="2353"/>
    <n v="65.59"/>
    <x v="39"/>
    <e v="#N/A"/>
    <s v="Exp - Restaurants"/>
    <m/>
    <n v="65.59"/>
    <m/>
    <m/>
    <s v="debit"/>
    <m/>
    <x v="2185"/>
    <m/>
    <m/>
  </r>
  <r>
    <x v="43"/>
    <d v="2022-08-21T00:00:00"/>
    <s v="Cash Rewards Visa Signature"/>
    <x v="2354"/>
    <n v="11.81"/>
    <x v="39"/>
    <e v="#N/A"/>
    <s v="Exp - Restaurants"/>
    <m/>
    <n v="11.81"/>
    <m/>
    <m/>
    <s v="debit"/>
    <m/>
    <x v="2186"/>
    <m/>
    <m/>
  </r>
  <r>
    <x v="43"/>
    <d v="2022-08-21T00:00:00"/>
    <s v="Cash Rewards Visa Signature"/>
    <x v="2355"/>
    <n v="206.73"/>
    <x v="51"/>
    <e v="#N/A"/>
    <s v="Exp - Gifts"/>
    <m/>
    <n v="206.73"/>
    <m/>
    <m/>
    <s v="debit"/>
    <m/>
    <x v="2187"/>
    <m/>
    <m/>
  </r>
  <r>
    <x v="43"/>
    <d v="2022-08-21T00:00:00"/>
    <s v="Cash Rewards Visa Signature"/>
    <x v="2356"/>
    <n v="16.73"/>
    <x v="42"/>
    <e v="#N/A"/>
    <s v="Exp - Utilities"/>
    <m/>
    <n v="16.73"/>
    <m/>
    <m/>
    <s v="debit"/>
    <m/>
    <x v="2188"/>
    <m/>
    <m/>
  </r>
  <r>
    <x v="43"/>
    <d v="2022-08-21T00:00:00"/>
    <s v="Cash Rewards Visa Signature"/>
    <x v="2357"/>
    <n v="8.6"/>
    <x v="35"/>
    <e v="#N/A"/>
    <s v="Exp - Entertainment"/>
    <m/>
    <n v="8.6"/>
    <m/>
    <m/>
    <s v="debit"/>
    <m/>
    <x v="2189"/>
    <m/>
    <m/>
  </r>
  <r>
    <x v="43"/>
    <d v="2022-08-22T00:00:00"/>
    <s v="Cash Rewards Visa Signature"/>
    <x v="2358"/>
    <n v="9"/>
    <x v="36"/>
    <e v="#N/A"/>
    <s v="Exp - House Maint"/>
    <m/>
    <n v="9"/>
    <m/>
    <m/>
    <s v="debit"/>
    <m/>
    <x v="2190"/>
    <m/>
    <m/>
  </r>
  <r>
    <x v="43"/>
    <d v="2022-08-22T00:00:00"/>
    <s v="Cash Rewards Visa Signature"/>
    <x v="2359"/>
    <n v="21.51"/>
    <x v="38"/>
    <e v="#N/A"/>
    <s v="Exp - Groceries"/>
    <m/>
    <n v="21.51"/>
    <m/>
    <m/>
    <s v="debit"/>
    <m/>
    <x v="2191"/>
    <m/>
    <m/>
  </r>
  <r>
    <x v="43"/>
    <d v="2022-08-22T00:00:00"/>
    <s v="Cash Rewards Visa Signature"/>
    <x v="2360"/>
    <n v="36.799999999999997"/>
    <x v="37"/>
    <e v="#N/A"/>
    <s v="Exp - Transportation"/>
    <m/>
    <n v="36.799999999999997"/>
    <m/>
    <m/>
    <s v="debit"/>
    <m/>
    <x v="2192"/>
    <m/>
    <m/>
  </r>
  <r>
    <x v="43"/>
    <d v="2022-08-22T00:00:00"/>
    <s v="Cash Rewards Visa Signature"/>
    <x v="2361"/>
    <n v="3.78"/>
    <x v="37"/>
    <e v="#N/A"/>
    <s v="Exp - Transportation"/>
    <m/>
    <n v="3.78"/>
    <m/>
    <m/>
    <s v="debit"/>
    <m/>
    <x v="2193"/>
    <m/>
    <m/>
  </r>
  <r>
    <x v="43"/>
    <d v="2022-08-22T00:00:00"/>
    <s v="POWERPLUS"/>
    <x v="2362"/>
    <n v="94.55"/>
    <x v="42"/>
    <e v="#N/A"/>
    <s v="Exp - Utilities"/>
    <m/>
    <n v="94.55"/>
    <m/>
    <m/>
    <s v="debit"/>
    <m/>
    <x v="2020"/>
    <m/>
    <m/>
  </r>
  <r>
    <x v="43"/>
    <d v="2022-08-22T00:00:00"/>
    <s v="POWERPLUS"/>
    <x v="2363"/>
    <n v="724.45"/>
    <x v="3"/>
    <e v="#N/A"/>
    <s v="Delete"/>
    <m/>
    <n v="724.45"/>
    <m/>
    <m/>
    <s v="debit"/>
    <m/>
    <x v="2059"/>
    <m/>
    <m/>
  </r>
  <r>
    <x v="43"/>
    <d v="2022-08-23T00:00:00"/>
    <s v="Cash Rewards Visa Signature"/>
    <x v="2364"/>
    <n v="32.159999999999997"/>
    <x v="41"/>
    <e v="#N/A"/>
    <s v="Exp - Amazon"/>
    <m/>
    <n v="32.159999999999997"/>
    <m/>
    <m/>
    <s v="debit"/>
    <m/>
    <x v="2194"/>
    <m/>
    <m/>
  </r>
  <r>
    <x v="43"/>
    <d v="2022-08-23T00:00:00"/>
    <s v="DISCOVER MORE CARD"/>
    <x v="2365"/>
    <n v="27.04"/>
    <x v="41"/>
    <e v="#N/A"/>
    <s v="Exp - Amazon"/>
    <m/>
    <n v="27.04"/>
    <m/>
    <m/>
    <s v="debit"/>
    <m/>
    <x v="2195"/>
    <m/>
    <m/>
  </r>
  <r>
    <x v="43"/>
    <d v="2022-08-23T00:00:00"/>
    <s v="Cash Rewards Visa Signature"/>
    <x v="2366"/>
    <n v="129.35"/>
    <x v="38"/>
    <e v="#N/A"/>
    <s v="Exp - Groceries"/>
    <m/>
    <n v="129.35"/>
    <m/>
    <m/>
    <s v="debit"/>
    <m/>
    <x v="2196"/>
    <m/>
    <m/>
  </r>
  <r>
    <x v="43"/>
    <d v="2022-08-23T00:00:00"/>
    <s v="RAINY DAY"/>
    <x v="2367"/>
    <n v="-100"/>
    <x v="52"/>
    <e v="#N/A"/>
    <s v="Sav - Savings"/>
    <m/>
    <n v="100"/>
    <m/>
    <m/>
    <s v="credit"/>
    <m/>
    <x v="2197"/>
    <m/>
    <m/>
  </r>
  <r>
    <x v="43"/>
    <d v="2022-08-23T00:00:00"/>
    <s v="POWERPLUS"/>
    <x v="2368"/>
    <n v="536.5"/>
    <x v="40"/>
    <e v="#N/A"/>
    <s v="Exp - Day Care"/>
    <m/>
    <n v="536.5"/>
    <m/>
    <m/>
    <s v="debit"/>
    <m/>
    <x v="2007"/>
    <m/>
    <m/>
  </r>
  <r>
    <x v="43"/>
    <d v="2022-08-23T00:00:00"/>
    <s v="POWERPLUS"/>
    <x v="2369"/>
    <n v="52.9"/>
    <x v="32"/>
    <e v="#N/A"/>
    <s v="Exp - Shopping"/>
    <s v="sunglasses from dicks"/>
    <n v="52.9"/>
    <m/>
    <m/>
    <s v="debit"/>
    <m/>
    <x v="2045"/>
    <m/>
    <m/>
  </r>
  <r>
    <x v="43"/>
    <d v="2022-08-23T00:00:00"/>
    <s v="POWERPLUS"/>
    <x v="2370"/>
    <n v="100"/>
    <x v="52"/>
    <e v="#N/A"/>
    <s v="Sav - Savings"/>
    <m/>
    <n v="100"/>
    <m/>
    <m/>
    <s v="debit"/>
    <m/>
    <x v="2198"/>
    <m/>
    <m/>
  </r>
  <r>
    <x v="43"/>
    <d v="2022-08-23T00:00:00"/>
    <s v="POWERPLUS"/>
    <x v="2371"/>
    <n v="165.61"/>
    <x v="32"/>
    <e v="#N/A"/>
    <s v="Exp - Shopping"/>
    <m/>
    <n v="165.61"/>
    <m/>
    <m/>
    <s v="debit"/>
    <m/>
    <x v="2053"/>
    <m/>
    <m/>
  </r>
  <r>
    <x v="43"/>
    <d v="2022-08-24T00:00:00"/>
    <s v="Cash Rewards Visa Signature"/>
    <x v="2372"/>
    <n v="520.91999999999996"/>
    <x v="3"/>
    <e v="#N/A"/>
    <s v="Delete"/>
    <s v="empyrean expense"/>
    <n v="520.91999999999996"/>
    <m/>
    <m/>
    <s v="debit"/>
    <m/>
    <x v="2199"/>
    <m/>
    <m/>
  </r>
  <r>
    <x v="43"/>
    <d v="2022-08-24T00:00:00"/>
    <s v="POWERPLUS"/>
    <x v="2373"/>
    <n v="43"/>
    <x v="32"/>
    <e v="#N/A"/>
    <s v="Exp - Shopping"/>
    <s v="tucker converse"/>
    <n v="43"/>
    <m/>
    <m/>
    <s v="debit"/>
    <m/>
    <x v="2045"/>
    <m/>
    <m/>
  </r>
  <r>
    <x v="43"/>
    <d v="2022-08-25T00:00:00"/>
    <s v="Cash Rewards Visa Signature"/>
    <x v="2374"/>
    <n v="6.42"/>
    <x v="41"/>
    <e v="#N/A"/>
    <s v="Exp - Amazon"/>
    <m/>
    <n v="6.42"/>
    <m/>
    <m/>
    <s v="debit"/>
    <m/>
    <x v="2200"/>
    <m/>
    <m/>
  </r>
  <r>
    <x v="43"/>
    <d v="2022-08-25T00:00:00"/>
    <s v="Cash Rewards Visa Signature"/>
    <x v="2375"/>
    <n v="72.27"/>
    <x v="41"/>
    <e v="#N/A"/>
    <s v="Exp - Amazon"/>
    <m/>
    <n v="72.27"/>
    <m/>
    <m/>
    <s v="debit"/>
    <m/>
    <x v="2201"/>
    <m/>
    <m/>
  </r>
  <r>
    <x v="43"/>
    <d v="2022-08-25T00:00:00"/>
    <s v="Cash Rewards Visa Signature"/>
    <x v="2376"/>
    <n v="60"/>
    <x v="3"/>
    <e v="#N/A"/>
    <s v="Delete"/>
    <m/>
    <n v="60"/>
    <m/>
    <m/>
    <s v="debit"/>
    <m/>
    <x v="2202"/>
    <m/>
    <m/>
  </r>
  <r>
    <x v="43"/>
    <d v="2022-08-25T00:00:00"/>
    <s v="POWERPLUS"/>
    <x v="2377"/>
    <n v="-132.01"/>
    <x v="14"/>
    <e v="#N/A"/>
    <s v="Inc - Britney"/>
    <m/>
    <n v="132.01"/>
    <m/>
    <m/>
    <s v="credit"/>
    <m/>
    <x v="2050"/>
    <m/>
    <m/>
  </r>
  <r>
    <x v="43"/>
    <d v="2022-08-25T00:00:00"/>
    <s v="Cash Rewards Visa Signature"/>
    <x v="2378"/>
    <n v="7.05"/>
    <x v="39"/>
    <e v="#N/A"/>
    <s v="Exp - Restaurants"/>
    <m/>
    <n v="7.05"/>
    <m/>
    <m/>
    <s v="debit"/>
    <m/>
    <x v="2203"/>
    <m/>
    <m/>
  </r>
  <r>
    <x v="43"/>
    <d v="2022-08-25T00:00:00"/>
    <s v="POWERPLUS"/>
    <x v="2379"/>
    <n v="42.1"/>
    <x v="32"/>
    <e v="#N/A"/>
    <s v="Exp - Shopping"/>
    <s v="sunglasses from dicks"/>
    <n v="42.1"/>
    <m/>
    <m/>
    <s v="debit"/>
    <m/>
    <x v="2045"/>
    <m/>
    <m/>
  </r>
  <r>
    <x v="43"/>
    <d v="2022-08-25T00:00:00"/>
    <s v="POWERPLUS"/>
    <x v="2380"/>
    <n v="288.69"/>
    <x v="45"/>
    <e v="#N/A"/>
    <s v="Exp - Target"/>
    <m/>
    <n v="288.69"/>
    <m/>
    <m/>
    <s v="debit"/>
    <m/>
    <x v="2040"/>
    <m/>
    <m/>
  </r>
  <r>
    <x v="43"/>
    <d v="2022-08-25T00:00:00"/>
    <s v="POWERPLUS"/>
    <x v="2381"/>
    <n v="30"/>
    <x v="41"/>
    <e v="#N/A"/>
    <s v="Exp - Amazon"/>
    <m/>
    <n v="30"/>
    <m/>
    <m/>
    <s v="debit"/>
    <m/>
    <x v="2204"/>
    <m/>
    <m/>
  </r>
  <r>
    <x v="43"/>
    <d v="2022-08-25T00:00:00"/>
    <s v="POWERPLUS"/>
    <x v="2382"/>
    <n v="824.53"/>
    <x v="32"/>
    <e v="#N/A"/>
    <s v="Exp - Shopping"/>
    <m/>
    <n v="824.53"/>
    <m/>
    <m/>
    <s v="debit"/>
    <m/>
    <x v="2205"/>
    <m/>
    <m/>
  </r>
  <r>
    <x v="43"/>
    <d v="2022-08-26T00:00:00"/>
    <s v="Cash Rewards Visa Signature"/>
    <x v="2383"/>
    <n v="17.97"/>
    <x v="38"/>
    <e v="#N/A"/>
    <s v="Exp - Groceries"/>
    <m/>
    <n v="17.97"/>
    <m/>
    <m/>
    <s v="debit"/>
    <m/>
    <x v="2206"/>
    <m/>
    <m/>
  </r>
  <r>
    <x v="43"/>
    <d v="2022-08-26T00:00:00"/>
    <s v="POWERPLUS"/>
    <x v="2384"/>
    <n v="25"/>
    <x v="32"/>
    <e v="#N/A"/>
    <s v="Exp - Shopping"/>
    <m/>
    <n v="25"/>
    <m/>
    <m/>
    <s v="debit"/>
    <m/>
    <x v="2053"/>
    <m/>
    <m/>
  </r>
  <r>
    <x v="43"/>
    <d v="2022-08-27T00:00:00"/>
    <s v="DISCOVER MORE CARD"/>
    <x v="2385"/>
    <n v="58.51"/>
    <x v="38"/>
    <e v="#N/A"/>
    <s v="Exp - Groceries"/>
    <m/>
    <n v="58.51"/>
    <m/>
    <m/>
    <s v="debit"/>
    <m/>
    <x v="2207"/>
    <m/>
    <m/>
  </r>
  <r>
    <x v="43"/>
    <d v="2022-08-28T00:00:00"/>
    <s v="Cash Rewards Visa Signature"/>
    <x v="2386"/>
    <n v="59.27"/>
    <x v="37"/>
    <e v="#N/A"/>
    <s v="Exp - Transportation"/>
    <m/>
    <n v="59.27"/>
    <m/>
    <m/>
    <s v="debit"/>
    <m/>
    <x v="2208"/>
    <m/>
    <m/>
  </r>
  <r>
    <x v="43"/>
    <d v="2022-08-28T00:00:00"/>
    <s v="Cash Rewards Visa Signature"/>
    <x v="2387"/>
    <n v="142.16999999999999"/>
    <x v="46"/>
    <e v="#N/A"/>
    <s v="Exp - Healthcare"/>
    <m/>
    <n v="142.16999999999999"/>
    <m/>
    <m/>
    <s v="debit"/>
    <m/>
    <x v="2209"/>
    <m/>
    <m/>
  </r>
  <r>
    <x v="43"/>
    <d v="2022-08-28T00:00:00"/>
    <s v="DISCOVER MORE CARD"/>
    <x v="2388"/>
    <n v="12.29"/>
    <x v="39"/>
    <e v="#N/A"/>
    <s v="Exp - Restaurants"/>
    <m/>
    <n v="12.29"/>
    <m/>
    <m/>
    <s v="debit"/>
    <m/>
    <x v="2210"/>
    <m/>
    <m/>
  </r>
  <r>
    <x v="43"/>
    <d v="2022-08-29T00:00:00"/>
    <s v="DISCOVER MORE CARD"/>
    <x v="2389"/>
    <n v="-58.68"/>
    <x v="41"/>
    <e v="#N/A"/>
    <s v="Exp - Amazon"/>
    <m/>
    <n v="58.68"/>
    <m/>
    <m/>
    <s v="credit"/>
    <m/>
    <x v="2211"/>
    <m/>
    <m/>
  </r>
  <r>
    <x v="43"/>
    <d v="2022-08-29T00:00:00"/>
    <s v="POWERPLUS"/>
    <x v="2390"/>
    <n v="-47512.57"/>
    <x v="3"/>
    <e v="#N/A"/>
    <s v="Delete"/>
    <s v="syntellis investment cash out"/>
    <n v="47512.57"/>
    <m/>
    <m/>
    <s v="credit"/>
    <m/>
    <x v="2212"/>
    <m/>
    <m/>
  </r>
  <r>
    <x v="43"/>
    <d v="2022-08-29T00:00:00"/>
    <s v="Cash Rewards Visa Signature"/>
    <x v="2391"/>
    <n v="37.56"/>
    <x v="32"/>
    <e v="#N/A"/>
    <s v="Exp - Shopping"/>
    <m/>
    <n v="37.56"/>
    <m/>
    <m/>
    <s v="debit"/>
    <m/>
    <x v="2213"/>
    <m/>
    <m/>
  </r>
  <r>
    <x v="43"/>
    <d v="2022-08-29T00:00:00"/>
    <s v="Cash Rewards Visa Signature"/>
    <x v="2392"/>
    <n v="60.32"/>
    <x v="39"/>
    <e v="#N/A"/>
    <s v="Exp - Restaurants"/>
    <m/>
    <n v="60.32"/>
    <m/>
    <m/>
    <s v="debit"/>
    <m/>
    <x v="2214"/>
    <m/>
    <m/>
  </r>
  <r>
    <x v="43"/>
    <d v="2022-08-29T00:00:00"/>
    <s v="POWERPLUS"/>
    <x v="2393"/>
    <n v="21.59"/>
    <x v="32"/>
    <e v="#N/A"/>
    <s v="Exp - Shopping"/>
    <s v="book"/>
    <n v="21.59"/>
    <m/>
    <m/>
    <s v="debit"/>
    <m/>
    <x v="2045"/>
    <m/>
    <m/>
  </r>
  <r>
    <x v="43"/>
    <d v="2022-08-29T00:00:00"/>
    <s v="POWERPLUS"/>
    <x v="2394"/>
    <n v="0.99"/>
    <x v="32"/>
    <e v="#N/A"/>
    <s v="Exp - Shopping"/>
    <m/>
    <n v="0.99"/>
    <m/>
    <m/>
    <s v="debit"/>
    <m/>
    <x v="2045"/>
    <m/>
    <m/>
  </r>
  <r>
    <x v="43"/>
    <d v="2022-08-29T00:00:00"/>
    <s v="POWERPLUS"/>
    <x v="2395"/>
    <n v="0.99"/>
    <x v="32"/>
    <e v="#N/A"/>
    <s v="Exp - Shopping"/>
    <m/>
    <n v="0.99"/>
    <m/>
    <m/>
    <s v="debit"/>
    <m/>
    <x v="2045"/>
    <m/>
    <m/>
  </r>
  <r>
    <x v="43"/>
    <d v="2022-08-29T00:00:00"/>
    <s v="POWERPLUS"/>
    <x v="2396"/>
    <n v="20"/>
    <x v="35"/>
    <e v="#N/A"/>
    <s v="Exp - Entertainment"/>
    <s v="pull tabs"/>
    <n v="20"/>
    <m/>
    <m/>
    <s v="debit"/>
    <m/>
    <x v="2215"/>
    <m/>
    <m/>
  </r>
  <r>
    <x v="43"/>
    <d v="2022-08-29T00:00:00"/>
    <s v="POWERPLUS"/>
    <x v="2397"/>
    <n v="100"/>
    <x v="35"/>
    <e v="#N/A"/>
    <s v="Exp - Entertainment"/>
    <s v="FF"/>
    <n v="100"/>
    <m/>
    <m/>
    <s v="debit"/>
    <m/>
    <x v="2215"/>
    <m/>
    <m/>
  </r>
  <r>
    <x v="43"/>
    <d v="2022-08-30T00:00:00"/>
    <s v="Cash Rewards Visa Signature"/>
    <x v="2398"/>
    <n v="154.34"/>
    <x v="41"/>
    <e v="#N/A"/>
    <s v="Exp - Amazon"/>
    <m/>
    <n v="154.34"/>
    <m/>
    <m/>
    <s v="debit"/>
    <m/>
    <x v="2216"/>
    <m/>
    <m/>
  </r>
  <r>
    <x v="43"/>
    <d v="2022-08-30T00:00:00"/>
    <s v="POWERPLUS"/>
    <x v="2287"/>
    <n v="3"/>
    <x v="3"/>
    <e v="#N/A"/>
    <s v="Delete"/>
    <m/>
    <n v="3"/>
    <m/>
    <m/>
    <s v="debit"/>
    <m/>
    <x v="2125"/>
    <m/>
    <m/>
  </r>
  <r>
    <x v="43"/>
    <d v="2022-08-30T00:00:00"/>
    <s v="Cash Rewards Visa Signature"/>
    <x v="2399"/>
    <n v="31.22"/>
    <x v="37"/>
    <e v="#N/A"/>
    <s v="Exp - Transportation"/>
    <m/>
    <n v="31.22"/>
    <m/>
    <m/>
    <s v="debit"/>
    <m/>
    <x v="2217"/>
    <m/>
    <m/>
  </r>
  <r>
    <x v="43"/>
    <d v="2022-08-30T00:00:00"/>
    <s v="POWERPLUS"/>
    <x v="2400"/>
    <n v="-3265.44"/>
    <x v="15"/>
    <e v="#N/A"/>
    <s v="Inc - Jeff"/>
    <m/>
    <n v="3265.44"/>
    <m/>
    <m/>
    <s v="credit"/>
    <m/>
    <x v="2139"/>
    <m/>
    <m/>
  </r>
  <r>
    <x v="43"/>
    <d v="2022-08-30T00:00:00"/>
    <s v="Cash Rewards Visa Signature"/>
    <x v="2401"/>
    <n v="11.8"/>
    <x v="38"/>
    <e v="#N/A"/>
    <s v="Exp - Groceries"/>
    <m/>
    <n v="11.8"/>
    <m/>
    <m/>
    <s v="debit"/>
    <m/>
    <x v="2218"/>
    <m/>
    <m/>
  </r>
  <r>
    <x v="43"/>
    <d v="2022-08-30T00:00:00"/>
    <s v="POWERPLUS"/>
    <x v="2402"/>
    <n v="25000"/>
    <x v="3"/>
    <e v="#N/A"/>
    <s v="Delete"/>
    <s v="syntellis investment move to schwab"/>
    <n v="25000"/>
    <m/>
    <m/>
    <s v="debit"/>
    <m/>
    <x v="2219"/>
    <m/>
    <m/>
  </r>
  <r>
    <x v="43"/>
    <d v="2022-08-30T00:00:00"/>
    <s v="POWERPLUS"/>
    <x v="2403"/>
    <n v="400"/>
    <x v="3"/>
    <e v="#N/A"/>
    <s v="Delete"/>
    <m/>
    <n v="400"/>
    <m/>
    <m/>
    <s v="debit"/>
    <m/>
    <x v="2220"/>
    <m/>
    <m/>
  </r>
  <r>
    <x v="43"/>
    <d v="2022-08-30T00:00:00"/>
    <s v="POWERPLUS"/>
    <x v="2171"/>
    <n v="1723.79"/>
    <x v="3"/>
    <e v="#N/A"/>
    <s v="Delete"/>
    <m/>
    <n v="1723.79"/>
    <m/>
    <m/>
    <s v="debit"/>
    <m/>
    <x v="2021"/>
    <m/>
    <m/>
  </r>
  <r>
    <x v="43"/>
    <d v="2022-08-30T00:00:00"/>
    <s v="Cash Rewards Visa Signature"/>
    <x v="2404"/>
    <n v="-1723.79"/>
    <x v="3"/>
    <e v="#N/A"/>
    <s v="Delete"/>
    <m/>
    <n v="1723.79"/>
    <m/>
    <m/>
    <s v="credit"/>
    <m/>
    <x v="2221"/>
    <m/>
    <m/>
  </r>
  <r>
    <x v="43"/>
    <d v="2022-08-31T00:00:00"/>
    <s v="POWERPLUS"/>
    <x v="2405"/>
    <n v="0"/>
    <x v="3"/>
    <e v="#N/A"/>
    <s v="Delete"/>
    <m/>
    <n v="0"/>
    <m/>
    <m/>
    <s v="credit"/>
    <m/>
    <x v="2222"/>
    <m/>
    <m/>
  </r>
  <r>
    <x v="43"/>
    <d v="2022-08-31T00:00:00"/>
    <s v="Cash Rewards Visa Signature"/>
    <x v="2406"/>
    <n v="36.020000000000003"/>
    <x v="37"/>
    <e v="#N/A"/>
    <s v="Exp - Transportation"/>
    <m/>
    <n v="36.020000000000003"/>
    <m/>
    <m/>
    <s v="debit"/>
    <m/>
    <x v="2223"/>
    <m/>
    <m/>
  </r>
  <r>
    <x v="43"/>
    <d v="2022-08-31T00:00:00"/>
    <s v="Cash Rewards Visa Signature"/>
    <x v="2407"/>
    <n v="8.8000000000000007"/>
    <x v="37"/>
    <e v="#N/A"/>
    <s v="Exp - Transportation"/>
    <m/>
    <n v="8.8000000000000007"/>
    <m/>
    <m/>
    <s v="debit"/>
    <m/>
    <x v="2224"/>
    <m/>
    <m/>
  </r>
  <r>
    <x v="43"/>
    <d v="2022-08-31T00:00:00"/>
    <s v="Cash Rewards Visa Signature"/>
    <x v="2408"/>
    <n v="45.97"/>
    <x v="38"/>
    <e v="#N/A"/>
    <s v="Exp - Groceries"/>
    <m/>
    <n v="45.97"/>
    <m/>
    <m/>
    <s v="debit"/>
    <m/>
    <x v="2225"/>
    <m/>
    <m/>
  </r>
  <r>
    <x v="43"/>
    <d v="2022-08-31T00:00:00"/>
    <s v="POWERPLUS"/>
    <x v="2409"/>
    <n v="-0.25"/>
    <x v="3"/>
    <e v="#N/A"/>
    <s v="Delete"/>
    <m/>
    <n v="0.25"/>
    <m/>
    <m/>
    <s v="credit"/>
    <m/>
    <x v="2226"/>
    <m/>
    <m/>
  </r>
  <r>
    <x v="43"/>
    <d v="2022-08-31T00:00:00"/>
    <s v="POWERPLUS"/>
    <x v="2410"/>
    <n v="-0.36"/>
    <x v="3"/>
    <e v="#N/A"/>
    <s v="Delete"/>
    <m/>
    <n v="0.36"/>
    <m/>
    <m/>
    <s v="credit"/>
    <m/>
    <x v="2226"/>
    <m/>
    <m/>
  </r>
  <r>
    <x v="43"/>
    <d v="2022-08-31T00:00:00"/>
    <s v="POWERPLUS"/>
    <x v="2411"/>
    <n v="-5.41"/>
    <x v="32"/>
    <e v="#N/A"/>
    <s v="Exp - Shopping"/>
    <m/>
    <n v="5.41"/>
    <m/>
    <m/>
    <s v="credit"/>
    <m/>
    <x v="2227"/>
    <m/>
    <m/>
  </r>
  <r>
    <x v="43"/>
    <d v="2022-08-31T00:00:00"/>
    <s v="POWERPLUS"/>
    <x v="2412"/>
    <n v="-7"/>
    <x v="3"/>
    <e v="#N/A"/>
    <s v="Delete"/>
    <m/>
    <n v="7"/>
    <m/>
    <m/>
    <s v="credit"/>
    <m/>
    <x v="2228"/>
    <m/>
    <m/>
  </r>
  <r>
    <x v="43"/>
    <d v="2022-08-31T00:00:00"/>
    <s v="POWERPLUS"/>
    <x v="2413"/>
    <n v="-25.52"/>
    <x v="3"/>
    <e v="#N/A"/>
    <s v="Delete"/>
    <m/>
    <n v="25.52"/>
    <m/>
    <m/>
    <s v="credit"/>
    <m/>
    <x v="2229"/>
    <m/>
    <m/>
  </r>
  <r>
    <x v="43"/>
    <d v="2022-08-31T00:00:00"/>
    <s v="RAINY DAY"/>
    <x v="2414"/>
    <n v="-14.91"/>
    <x v="3"/>
    <e v="#N/A"/>
    <s v="Delete"/>
    <m/>
    <n v="14.91"/>
    <m/>
    <m/>
    <s v="credit"/>
    <m/>
    <x v="2230"/>
    <m/>
    <m/>
  </r>
  <r>
    <x v="43"/>
    <d v="2022-08-31T00:00:00"/>
    <s v="POWERPLUS"/>
    <x v="2415"/>
    <n v="0.61"/>
    <x v="3"/>
    <e v="#N/A"/>
    <s v="Delete"/>
    <m/>
    <n v="0.61"/>
    <m/>
    <m/>
    <s v="debit"/>
    <m/>
    <x v="2231"/>
    <m/>
    <m/>
  </r>
  <r>
    <x v="43"/>
    <d v="2022-08-31T00:00:00"/>
    <s v="POWERPLUS"/>
    <x v="2416"/>
    <n v="370"/>
    <x v="40"/>
    <e v="#N/A"/>
    <s v="Exp - Day Care"/>
    <m/>
    <n v="370"/>
    <m/>
    <m/>
    <s v="debit"/>
    <m/>
    <x v="2007"/>
    <m/>
    <m/>
  </r>
  <r>
    <x v="43"/>
    <d v="2022-08-31T00:00:00"/>
    <s v="POWERPLUS"/>
    <x v="2417"/>
    <n v="4.99"/>
    <x v="43"/>
    <e v="#N/A"/>
    <s v="Exp - Travel"/>
    <m/>
    <n v="4.99"/>
    <m/>
    <m/>
    <s v="debit"/>
    <m/>
    <x v="2215"/>
    <m/>
    <m/>
  </r>
  <r>
    <x v="43"/>
    <d v="2022-08-31T00:00:00"/>
    <s v="POWERPLUS"/>
    <x v="2418"/>
    <n v="257.64999999999998"/>
    <x v="43"/>
    <e v="#N/A"/>
    <s v="Exp - Travel"/>
    <s v="trip to ohio"/>
    <n v="257.64999999999998"/>
    <m/>
    <m/>
    <s v="debit"/>
    <m/>
    <x v="2215"/>
    <m/>
    <m/>
  </r>
  <r>
    <x v="45"/>
    <d v="2022-09-01T00:00:00"/>
    <s v="DISCOVER MORE CARD"/>
    <x v="2419"/>
    <n v="5.36"/>
    <x v="41"/>
    <e v="#N/A"/>
    <s v="Exp - Amazon"/>
    <m/>
    <n v="5.36"/>
    <m/>
    <m/>
    <s v="debit"/>
    <m/>
    <x v="2232"/>
    <m/>
    <m/>
  </r>
  <r>
    <x v="45"/>
    <d v="2022-09-01T00:00:00"/>
    <s v="POWERPLUS"/>
    <x v="2420"/>
    <n v="-1338.87"/>
    <x v="3"/>
    <e v="#N/A"/>
    <s v="Delete"/>
    <m/>
    <n v="1338.87"/>
    <m/>
    <m/>
    <s v="credit"/>
    <m/>
    <x v="2233"/>
    <m/>
    <m/>
  </r>
  <r>
    <x v="45"/>
    <d v="2022-09-01T00:00:00"/>
    <s v="POWERPLUS"/>
    <x v="2421"/>
    <n v="-3654.36"/>
    <x v="14"/>
    <e v="#N/A"/>
    <s v="Inc - Britney"/>
    <m/>
    <n v="3654.36"/>
    <m/>
    <m/>
    <s v="credit"/>
    <m/>
    <x v="2014"/>
    <m/>
    <m/>
  </r>
  <r>
    <x v="45"/>
    <d v="2022-09-01T00:00:00"/>
    <s v="POWERPLUS"/>
    <x v="2422"/>
    <n v="-632.20000000000005"/>
    <x v="15"/>
    <e v="#N/A"/>
    <s v="Inc - Jeff"/>
    <m/>
    <n v="632.20000000000005"/>
    <m/>
    <m/>
    <s v="credit"/>
    <m/>
    <x v="2138"/>
    <m/>
    <m/>
  </r>
  <r>
    <x v="45"/>
    <d v="2022-09-01T00:00:00"/>
    <s v="Cash Rewards Visa Signature"/>
    <x v="2423"/>
    <n v="41.65"/>
    <x v="39"/>
    <e v="#N/A"/>
    <s v="Exp - Restaurants"/>
    <m/>
    <n v="41.65"/>
    <m/>
    <m/>
    <s v="debit"/>
    <m/>
    <x v="2234"/>
    <m/>
    <m/>
  </r>
  <r>
    <x v="45"/>
    <d v="2022-09-01T00:00:00"/>
    <s v="DISCOVER MORE CARD"/>
    <x v="2424"/>
    <n v="79.36"/>
    <x v="39"/>
    <e v="#N/A"/>
    <s v="Exp - Restaurants"/>
    <m/>
    <n v="79.36"/>
    <m/>
    <m/>
    <s v="debit"/>
    <m/>
    <x v="2235"/>
    <m/>
    <m/>
  </r>
  <r>
    <x v="45"/>
    <d v="2022-09-01T00:00:00"/>
    <s v="POWERPLUS"/>
    <x v="2425"/>
    <n v="200"/>
    <x v="47"/>
    <e v="#N/A"/>
    <s v="Sav - College Savings"/>
    <m/>
    <n v="200"/>
    <m/>
    <m/>
    <s v="debit"/>
    <m/>
    <x v="2077"/>
    <m/>
    <m/>
  </r>
  <r>
    <x v="45"/>
    <d v="2022-09-01T00:00:00"/>
    <s v="POWERPLUS"/>
    <x v="2426"/>
    <n v="15000"/>
    <x v="3"/>
    <e v="#N/A"/>
    <s v="Delete"/>
    <m/>
    <n v="15000"/>
    <m/>
    <m/>
    <s v="debit"/>
    <m/>
    <x v="2236"/>
    <m/>
    <m/>
  </r>
  <r>
    <x v="45"/>
    <d v="2022-09-01T00:00:00"/>
    <s v="POWERPLUS"/>
    <x v="2427"/>
    <n v="164.28"/>
    <x v="32"/>
    <e v="#N/A"/>
    <s v="Exp - Shopping"/>
    <m/>
    <n v="164.28"/>
    <m/>
    <m/>
    <s v="debit"/>
    <m/>
    <x v="2045"/>
    <m/>
    <m/>
  </r>
  <r>
    <x v="45"/>
    <d v="2022-09-01T00:00:00"/>
    <s v="POWERPLUS"/>
    <x v="2428"/>
    <n v="618.65"/>
    <x v="48"/>
    <e v="#N/A"/>
    <s v="Exp - Car Loan"/>
    <m/>
    <n v="618.65"/>
    <m/>
    <m/>
    <s v="debit"/>
    <m/>
    <x v="2237"/>
    <m/>
    <m/>
  </r>
  <r>
    <x v="45"/>
    <d v="2022-09-01T00:00:00"/>
    <s v="4017 Hallgren"/>
    <x v="935"/>
    <n v="2606.27"/>
    <x v="53"/>
    <s v="Delete"/>
    <s v="Exp - Rent"/>
    <m/>
    <n v="2606.27"/>
    <m/>
    <m/>
    <s v="debit"/>
    <m/>
    <x v="899"/>
    <m/>
    <m/>
  </r>
  <r>
    <x v="45"/>
    <d v="2022-09-01T00:00:00"/>
    <s v="HIGHLANDER"/>
    <x v="2429"/>
    <n v="-618.65"/>
    <x v="3"/>
    <e v="#N/A"/>
    <s v="Delete"/>
    <m/>
    <n v="618.65"/>
    <m/>
    <m/>
    <s v="credit"/>
    <m/>
    <x v="2238"/>
    <m/>
    <m/>
  </r>
  <r>
    <x v="45"/>
    <d v="2022-09-01T00:00:00"/>
    <s v="POWERPLUS"/>
    <x v="2430"/>
    <n v="20"/>
    <x v="32"/>
    <e v="#N/A"/>
    <s v="Exp - Shopping"/>
    <m/>
    <n v="20"/>
    <m/>
    <m/>
    <s v="debit"/>
    <m/>
    <x v="2053"/>
    <m/>
    <m/>
  </r>
  <r>
    <x v="46"/>
    <d v="2023-06-20T00:00:00"/>
    <s v="PowerPlus"/>
    <x v="2431"/>
    <n v="50"/>
    <x v="3"/>
    <m/>
    <s v="Delete"/>
    <m/>
    <m/>
    <m/>
    <m/>
    <m/>
    <m/>
    <x v="2239"/>
    <m/>
    <m/>
  </r>
  <r>
    <x v="45"/>
    <d v="2022-09-02T00:00:00"/>
    <s v="POWERPLUS"/>
    <x v="2432"/>
    <n v="-12000"/>
    <x v="3"/>
    <e v="#N/A"/>
    <s v="Delete"/>
    <m/>
    <n v="12000"/>
    <m/>
    <m/>
    <s v="credit"/>
    <m/>
    <x v="2240"/>
    <m/>
    <m/>
  </r>
  <r>
    <x v="45"/>
    <d v="2022-09-02T00:00:00"/>
    <s v="DISCOVER MORE CARD"/>
    <x v="2433"/>
    <n v="13.64"/>
    <x v="39"/>
    <e v="#N/A"/>
    <s v="Exp - Restaurants"/>
    <m/>
    <n v="13.64"/>
    <m/>
    <m/>
    <s v="debit"/>
    <m/>
    <x v="2241"/>
    <m/>
    <m/>
  </r>
  <r>
    <x v="45"/>
    <d v="2022-09-02T00:00:00"/>
    <s v="Cash Rewards Visa Signature"/>
    <x v="2434"/>
    <n v="54.18"/>
    <x v="32"/>
    <e v="#N/A"/>
    <s v="Exp - Shopping"/>
    <m/>
    <n v="54.18"/>
    <m/>
    <m/>
    <s v="debit"/>
    <m/>
    <x v="2242"/>
    <m/>
    <m/>
  </r>
  <r>
    <x v="45"/>
    <d v="2022-09-02T00:00:00"/>
    <s v="Cash Rewards Visa Signature"/>
    <x v="2435"/>
    <n v="76.819999999999993"/>
    <x v="32"/>
    <e v="#N/A"/>
    <s v="Exp - Shopping"/>
    <m/>
    <n v="76.819999999999993"/>
    <m/>
    <m/>
    <s v="debit"/>
    <m/>
    <x v="2243"/>
    <m/>
    <m/>
  </r>
  <r>
    <x v="45"/>
    <d v="2022-09-02T00:00:00"/>
    <s v="Cash Rewards Visa Signature"/>
    <x v="2436"/>
    <n v="254.5"/>
    <x v="46"/>
    <e v="#N/A"/>
    <s v="Exp - Healthcare"/>
    <m/>
    <n v="254.5"/>
    <m/>
    <m/>
    <s v="debit"/>
    <m/>
    <x v="2244"/>
    <m/>
    <m/>
  </r>
  <r>
    <x v="45"/>
    <d v="2022-09-02T00:00:00"/>
    <s v="RAINY DAY"/>
    <x v="2437"/>
    <n v="12000"/>
    <x v="3"/>
    <e v="#N/A"/>
    <s v="Delete"/>
    <m/>
    <n v="12000"/>
    <m/>
    <m/>
    <s v="debit"/>
    <m/>
    <x v="2245"/>
    <m/>
    <m/>
  </r>
  <r>
    <x v="45"/>
    <d v="2022-09-04T00:00:00"/>
    <s v="Cash Rewards Visa Signature"/>
    <x v="2438"/>
    <n v="8"/>
    <x v="42"/>
    <e v="#N/A"/>
    <s v="Exp - Utilities"/>
    <m/>
    <n v="8"/>
    <m/>
    <m/>
    <s v="debit"/>
    <m/>
    <x v="2246"/>
    <m/>
    <m/>
  </r>
  <r>
    <x v="45"/>
    <d v="2022-09-04T00:00:00"/>
    <s v="Cash Rewards Visa Signature"/>
    <x v="2439"/>
    <n v="18"/>
    <x v="42"/>
    <e v="#N/A"/>
    <s v="Exp - Utilities"/>
    <m/>
    <n v="18"/>
    <m/>
    <m/>
    <s v="debit"/>
    <m/>
    <x v="2247"/>
    <m/>
    <m/>
  </r>
  <r>
    <x v="45"/>
    <d v="2022-09-04T00:00:00"/>
    <s v="Cash Rewards Visa Signature"/>
    <x v="2440"/>
    <n v="43.45"/>
    <x v="39"/>
    <e v="#N/A"/>
    <s v="Exp - Restaurants"/>
    <m/>
    <n v="43.45"/>
    <m/>
    <m/>
    <s v="debit"/>
    <m/>
    <x v="2248"/>
    <m/>
    <m/>
  </r>
  <r>
    <x v="45"/>
    <d v="2022-09-05T00:00:00"/>
    <s v="Cash Rewards Visa Signature"/>
    <x v="2441"/>
    <n v="68"/>
    <x v="39"/>
    <e v="#N/A"/>
    <s v="Exp - Restaurants"/>
    <m/>
    <n v="68"/>
    <m/>
    <m/>
    <s v="debit"/>
    <m/>
    <x v="2249"/>
    <m/>
    <m/>
  </r>
  <r>
    <x v="45"/>
    <d v="2022-09-06T00:00:00"/>
    <s v="Cash Rewards Visa Signature"/>
    <x v="2442"/>
    <n v="33.74"/>
    <x v="37"/>
    <e v="#N/A"/>
    <s v="Exp - Transportation"/>
    <m/>
    <n v="33.74"/>
    <m/>
    <m/>
    <s v="debit"/>
    <m/>
    <x v="2250"/>
    <m/>
    <m/>
  </r>
  <r>
    <x v="45"/>
    <d v="2022-09-06T00:00:00"/>
    <s v="DISCOVER MORE CARD"/>
    <x v="2443"/>
    <n v="40.46"/>
    <x v="39"/>
    <e v="#N/A"/>
    <s v="Exp - Restaurants"/>
    <m/>
    <n v="40.46"/>
    <m/>
    <m/>
    <s v="debit"/>
    <m/>
    <x v="2251"/>
    <m/>
    <m/>
  </r>
  <r>
    <x v="45"/>
    <d v="2022-09-06T00:00:00"/>
    <s v="Cash Rewards Visa Signature"/>
    <x v="2444"/>
    <n v="70"/>
    <x v="40"/>
    <e v="#N/A"/>
    <s v="Exp - Day Care"/>
    <m/>
    <n v="70"/>
    <m/>
    <m/>
    <s v="debit"/>
    <m/>
    <x v="2252"/>
    <m/>
    <m/>
  </r>
  <r>
    <x v="45"/>
    <d v="2022-09-06T00:00:00"/>
    <s v="POWERPLUS"/>
    <x v="2445"/>
    <n v="12000"/>
    <x v="3"/>
    <e v="#N/A"/>
    <s v="Delete"/>
    <m/>
    <n v="12000"/>
    <m/>
    <m/>
    <s v="debit"/>
    <m/>
    <x v="2253"/>
    <m/>
    <m/>
  </r>
  <r>
    <x v="45"/>
    <d v="2022-09-06T00:00:00"/>
    <s v="POWERPLUS"/>
    <x v="2446"/>
    <n v="99"/>
    <x v="32"/>
    <e v="#N/A"/>
    <s v="Exp - Shopping"/>
    <m/>
    <n v="99"/>
    <m/>
    <m/>
    <s v="debit"/>
    <m/>
    <x v="2045"/>
    <m/>
    <m/>
  </r>
  <r>
    <x v="45"/>
    <d v="2022-09-06T00:00:00"/>
    <s v="POWERPLUS"/>
    <x v="2447"/>
    <n v="301.10000000000002"/>
    <x v="42"/>
    <e v="#N/A"/>
    <s v="Exp - Utilities"/>
    <m/>
    <n v="301.10000000000002"/>
    <m/>
    <m/>
    <s v="debit"/>
    <m/>
    <x v="2103"/>
    <m/>
    <m/>
  </r>
  <r>
    <x v="45"/>
    <d v="2022-09-07T00:00:00"/>
    <s v="DISCOVER MORE CARD"/>
    <x v="2448"/>
    <n v="35.94"/>
    <x v="41"/>
    <e v="#N/A"/>
    <s v="Exp - Amazon"/>
    <m/>
    <n v="35.94"/>
    <m/>
    <m/>
    <s v="debit"/>
    <m/>
    <x v="2254"/>
    <m/>
    <m/>
  </r>
  <r>
    <x v="45"/>
    <d v="2022-09-07T00:00:00"/>
    <s v="Cash Rewards Visa Signature"/>
    <x v="2449"/>
    <n v="80.72"/>
    <x v="38"/>
    <e v="#N/A"/>
    <s v="Exp - Groceries"/>
    <m/>
    <n v="80.72"/>
    <m/>
    <m/>
    <s v="debit"/>
    <m/>
    <x v="2255"/>
    <m/>
    <m/>
  </r>
  <r>
    <x v="45"/>
    <d v="2022-09-07T00:00:00"/>
    <s v="Cash Rewards Visa Signature"/>
    <x v="2450"/>
    <n v="30"/>
    <x v="35"/>
    <e v="#N/A"/>
    <s v="Exp - Entertainment"/>
    <m/>
    <n v="30"/>
    <m/>
    <m/>
    <s v="debit"/>
    <m/>
    <x v="2256"/>
    <m/>
    <m/>
  </r>
  <r>
    <x v="45"/>
    <d v="2022-09-08T00:00:00"/>
    <s v="DISCOVER MORE CARD"/>
    <x v="2451"/>
    <n v="23.72"/>
    <x v="39"/>
    <e v="#N/A"/>
    <s v="Exp - Restaurants"/>
    <m/>
    <n v="23.72"/>
    <m/>
    <m/>
    <s v="debit"/>
    <m/>
    <x v="2257"/>
    <m/>
    <m/>
  </r>
  <r>
    <x v="45"/>
    <d v="2022-09-08T00:00:00"/>
    <s v="Cash Rewards Visa Signature"/>
    <x v="2452"/>
    <n v="86.15"/>
    <x v="42"/>
    <e v="#N/A"/>
    <s v="Exp - Utilities"/>
    <m/>
    <n v="86.15"/>
    <m/>
    <m/>
    <s v="debit"/>
    <m/>
    <x v="2258"/>
    <m/>
    <m/>
  </r>
  <r>
    <x v="45"/>
    <d v="2022-09-08T00:00:00"/>
    <s v="Cash Rewards Visa Signature"/>
    <x v="2453"/>
    <n v="102.59"/>
    <x v="39"/>
    <e v="#N/A"/>
    <s v="Exp - Restaurants"/>
    <m/>
    <n v="102.59"/>
    <m/>
    <m/>
    <s v="debit"/>
    <m/>
    <x v="2259"/>
    <m/>
    <m/>
  </r>
  <r>
    <x v="45"/>
    <d v="2022-09-08T00:00:00"/>
    <s v="Cash Rewards Visa Signature"/>
    <x v="2454"/>
    <n v="119.42"/>
    <x v="46"/>
    <e v="#N/A"/>
    <s v="Exp - Healthcare"/>
    <m/>
    <n v="119.42"/>
    <m/>
    <m/>
    <s v="debit"/>
    <m/>
    <x v="2260"/>
    <m/>
    <m/>
  </r>
  <r>
    <x v="45"/>
    <d v="2022-09-08T00:00:00"/>
    <s v="POWERPLUS"/>
    <x v="2455"/>
    <n v="370"/>
    <x v="40"/>
    <e v="#N/A"/>
    <s v="Exp - Day Care"/>
    <m/>
    <n v="370"/>
    <m/>
    <m/>
    <s v="debit"/>
    <m/>
    <x v="2007"/>
    <m/>
    <m/>
  </r>
  <r>
    <x v="45"/>
    <d v="2022-09-09T00:00:00"/>
    <s v="DISCOVER MORE CARD"/>
    <x v="2456"/>
    <n v="10"/>
    <x v="39"/>
    <e v="#N/A"/>
    <s v="Exp - Restaurants"/>
    <m/>
    <n v="10"/>
    <m/>
    <m/>
    <s v="debit"/>
    <m/>
    <x v="2261"/>
    <m/>
    <m/>
  </r>
  <r>
    <x v="45"/>
    <d v="2022-09-09T00:00:00"/>
    <s v="Cash Rewards Visa Signature"/>
    <x v="2457"/>
    <n v="47.32"/>
    <x v="49"/>
    <e v="#N/A"/>
    <s v="Exp - Gym"/>
    <m/>
    <n v="47.32"/>
    <m/>
    <m/>
    <s v="debit"/>
    <m/>
    <x v="2262"/>
    <m/>
    <m/>
  </r>
  <r>
    <x v="45"/>
    <d v="2022-09-10T00:00:00"/>
    <s v="DISCOVER MORE CARD"/>
    <x v="2458"/>
    <n v="107.05"/>
    <x v="35"/>
    <e v="#N/A"/>
    <s v="Exp - Entertainment"/>
    <m/>
    <n v="107.05"/>
    <m/>
    <m/>
    <s v="debit"/>
    <m/>
    <x v="2263"/>
    <m/>
    <m/>
  </r>
  <r>
    <x v="45"/>
    <d v="2022-09-10T00:00:00"/>
    <s v="DISCOVER MORE CARD"/>
    <x v="2459"/>
    <n v="15"/>
    <x v="39"/>
    <e v="#N/A"/>
    <s v="Exp - Restaurants"/>
    <m/>
    <n v="15"/>
    <m/>
    <m/>
    <s v="debit"/>
    <m/>
    <x v="2264"/>
    <m/>
    <m/>
  </r>
  <r>
    <x v="45"/>
    <d v="2022-09-10T00:00:00"/>
    <s v="DISCOVER MORE CARD"/>
    <x v="2460"/>
    <n v="12"/>
    <x v="39"/>
    <e v="#N/A"/>
    <s v="Exp - Restaurants"/>
    <m/>
    <n v="12"/>
    <m/>
    <m/>
    <s v="debit"/>
    <m/>
    <x v="2265"/>
    <m/>
    <m/>
  </r>
  <r>
    <x v="45"/>
    <d v="2022-09-11T00:00:00"/>
    <s v="Cash Rewards Visa Signature"/>
    <x v="2461"/>
    <n v="64.989999999999995"/>
    <x v="32"/>
    <e v="#N/A"/>
    <s v="Exp - Shopping"/>
    <m/>
    <n v="64.989999999999995"/>
    <m/>
    <m/>
    <s v="debit"/>
    <m/>
    <x v="2266"/>
    <m/>
    <m/>
  </r>
  <r>
    <x v="45"/>
    <d v="2022-09-11T00:00:00"/>
    <s v="DISCOVER MORE CARD"/>
    <x v="2462"/>
    <n v="22.85"/>
    <x v="39"/>
    <e v="#N/A"/>
    <s v="Exp - Restaurants"/>
    <m/>
    <n v="22.85"/>
    <m/>
    <m/>
    <s v="debit"/>
    <m/>
    <x v="2267"/>
    <m/>
    <m/>
  </r>
  <r>
    <x v="45"/>
    <d v="2022-09-11T00:00:00"/>
    <s v="Cash Rewards Visa Signature"/>
    <x v="2463"/>
    <n v="50.05"/>
    <x v="39"/>
    <e v="#N/A"/>
    <s v="Exp - Restaurants"/>
    <m/>
    <n v="50.05"/>
    <m/>
    <m/>
    <s v="debit"/>
    <m/>
    <x v="2268"/>
    <m/>
    <m/>
  </r>
  <r>
    <x v="45"/>
    <d v="2022-09-11T00:00:00"/>
    <s v="Cash Rewards Visa Signature"/>
    <x v="2464"/>
    <n v="56.12"/>
    <x v="37"/>
    <e v="#N/A"/>
    <s v="Exp - Transportation"/>
    <m/>
    <n v="56.12"/>
    <m/>
    <m/>
    <s v="debit"/>
    <m/>
    <x v="2269"/>
    <m/>
    <m/>
  </r>
  <r>
    <x v="45"/>
    <d v="2022-09-11T00:00:00"/>
    <s v="Cash Rewards Visa Signature"/>
    <x v="2465"/>
    <n v="41.99"/>
    <x v="32"/>
    <e v="#N/A"/>
    <s v="Exp - Shopping"/>
    <m/>
    <n v="41.99"/>
    <m/>
    <m/>
    <s v="debit"/>
    <m/>
    <x v="2270"/>
    <m/>
    <m/>
  </r>
  <r>
    <x v="45"/>
    <d v="2022-09-12T00:00:00"/>
    <s v="DISCOVER MORE CARD"/>
    <x v="2466"/>
    <n v="34.94"/>
    <x v="41"/>
    <e v="#N/A"/>
    <s v="Exp - Amazon"/>
    <m/>
    <n v="34.94"/>
    <m/>
    <m/>
    <s v="debit"/>
    <m/>
    <x v="2271"/>
    <m/>
    <m/>
  </r>
  <r>
    <x v="45"/>
    <d v="2022-09-12T00:00:00"/>
    <s v="Cash Rewards Visa Signature"/>
    <x v="2467"/>
    <n v="230.7"/>
    <x v="38"/>
    <e v="#N/A"/>
    <s v="Exp - Groceries"/>
    <m/>
    <n v="230.7"/>
    <m/>
    <m/>
    <s v="debit"/>
    <m/>
    <x v="2272"/>
    <m/>
    <m/>
  </r>
  <r>
    <x v="45"/>
    <d v="2022-09-12T00:00:00"/>
    <s v="POWERPLUS"/>
    <x v="2468"/>
    <n v="280.85000000000002"/>
    <x v="43"/>
    <e v="#N/A"/>
    <s v="Exp - Travel"/>
    <s v="Cedar point pass"/>
    <n v="280.85000000000002"/>
    <m/>
    <m/>
    <s v="debit"/>
    <m/>
    <x v="2215"/>
    <m/>
    <m/>
  </r>
  <r>
    <x v="45"/>
    <d v="2022-09-13T00:00:00"/>
    <s v="DISCOVER MORE CARD"/>
    <x v="1885"/>
    <n v="-29.08"/>
    <x v="23"/>
    <s v="Delete"/>
    <m/>
    <m/>
    <n v="29.08"/>
    <m/>
    <m/>
    <s v="credit"/>
    <m/>
    <x v="1738"/>
    <m/>
    <m/>
  </r>
  <r>
    <x v="45"/>
    <d v="2022-09-13T00:00:00"/>
    <s v="Cash Rewards Visa Signature"/>
    <x v="2469"/>
    <n v="45"/>
    <x v="42"/>
    <e v="#N/A"/>
    <s v="Exp - Utilities"/>
    <m/>
    <n v="45"/>
    <m/>
    <m/>
    <s v="debit"/>
    <m/>
    <x v="2273"/>
    <m/>
    <m/>
  </r>
  <r>
    <x v="45"/>
    <d v="2022-09-13T00:00:00"/>
    <s v="Cash Rewards Visa Signature"/>
    <x v="2470"/>
    <n v="-520.91999999999996"/>
    <x v="3"/>
    <e v="#N/A"/>
    <s v="Delete"/>
    <m/>
    <n v="520.91999999999996"/>
    <m/>
    <m/>
    <s v="credit"/>
    <m/>
    <x v="2274"/>
    <m/>
    <m/>
  </r>
  <r>
    <x v="45"/>
    <d v="2022-09-13T00:00:00"/>
    <s v="DISCOVER MORE CARD"/>
    <x v="2471"/>
    <n v="38.590000000000003"/>
    <x v="39"/>
    <e v="#N/A"/>
    <s v="Exp - Restaurants"/>
    <m/>
    <n v="38.590000000000003"/>
    <m/>
    <m/>
    <s v="debit"/>
    <m/>
    <x v="2275"/>
    <m/>
    <m/>
  </r>
  <r>
    <x v="45"/>
    <d v="2022-09-13T00:00:00"/>
    <s v="POWERPLUS"/>
    <x v="2472"/>
    <n v="370"/>
    <x v="40"/>
    <e v="#N/A"/>
    <s v="Exp - Day Care"/>
    <m/>
    <n v="370"/>
    <m/>
    <m/>
    <s v="debit"/>
    <m/>
    <x v="2007"/>
    <m/>
    <m/>
  </r>
  <r>
    <x v="45"/>
    <d v="2022-09-13T00:00:00"/>
    <s v="DISCOVER MORE CARD"/>
    <x v="56"/>
    <n v="-476.11"/>
    <x v="3"/>
    <s v="Delete"/>
    <m/>
    <m/>
    <n v="476.11"/>
    <m/>
    <m/>
    <s v="credit"/>
    <m/>
    <x v="56"/>
    <m/>
    <m/>
  </r>
  <r>
    <x v="45"/>
    <d v="2022-09-13T00:00:00"/>
    <s v="POWERPLUS"/>
    <x v="2473"/>
    <n v="150"/>
    <x v="32"/>
    <e v="#N/A"/>
    <s v="Exp - Shopping"/>
    <m/>
    <n v="150"/>
    <m/>
    <m/>
    <s v="debit"/>
    <m/>
    <x v="2053"/>
    <m/>
    <m/>
  </r>
  <r>
    <x v="45"/>
    <d v="2022-09-14T00:00:00"/>
    <s v="POWERPLUS"/>
    <x v="2474"/>
    <n v="-3265.42"/>
    <x v="15"/>
    <e v="#N/A"/>
    <s v="Inc - Jeff"/>
    <m/>
    <n v="3265.42"/>
    <m/>
    <m/>
    <s v="credit"/>
    <m/>
    <x v="2139"/>
    <m/>
    <m/>
  </r>
  <r>
    <x v="45"/>
    <d v="2022-09-14T00:00:00"/>
    <s v="DISCOVER MORE CARD"/>
    <x v="2475"/>
    <n v="61.95"/>
    <x v="32"/>
    <e v="#N/A"/>
    <s v="Exp - Shopping"/>
    <m/>
    <n v="61.95"/>
    <m/>
    <m/>
    <s v="debit"/>
    <m/>
    <x v="2276"/>
    <m/>
    <m/>
  </r>
  <r>
    <x v="45"/>
    <d v="2022-09-14T00:00:00"/>
    <s v="DISCOVER MORE CARD"/>
    <x v="2476"/>
    <n v="66.989999999999995"/>
    <x v="39"/>
    <e v="#N/A"/>
    <s v="Exp - Restaurants"/>
    <m/>
    <n v="66.989999999999995"/>
    <m/>
    <m/>
    <s v="debit"/>
    <m/>
    <x v="2277"/>
    <m/>
    <m/>
  </r>
  <r>
    <x v="45"/>
    <d v="2022-09-14T00:00:00"/>
    <s v="Cash Rewards Visa Signature"/>
    <x v="2477"/>
    <n v="61.77"/>
    <x v="37"/>
    <e v="#N/A"/>
    <s v="Exp - Transportation"/>
    <m/>
    <n v="61.77"/>
    <m/>
    <m/>
    <s v="debit"/>
    <m/>
    <x v="2278"/>
    <m/>
    <m/>
  </r>
  <r>
    <x v="45"/>
    <d v="2022-09-14T00:00:00"/>
    <s v="POWERPLUS"/>
    <x v="2478"/>
    <n v="102.48"/>
    <x v="54"/>
    <e v="#N/A"/>
    <s v="Exp - Insurance"/>
    <m/>
    <n v="102.48"/>
    <m/>
    <m/>
    <s v="debit"/>
    <m/>
    <x v="2161"/>
    <m/>
    <m/>
  </r>
  <r>
    <x v="45"/>
    <d v="2022-09-14T00:00:00"/>
    <s v="POWERPLUS"/>
    <x v="2479"/>
    <n v="476.11"/>
    <x v="3"/>
    <e v="#N/A"/>
    <s v="Delete"/>
    <m/>
    <n v="476.11"/>
    <m/>
    <m/>
    <s v="debit"/>
    <m/>
    <x v="2059"/>
    <m/>
    <m/>
  </r>
  <r>
    <x v="45"/>
    <d v="2022-09-15T00:00:00"/>
    <s v="DISCOVER MORE CARD"/>
    <x v="2480"/>
    <n v="13.95"/>
    <x v="41"/>
    <e v="#N/A"/>
    <s v="Exp - Amazon"/>
    <m/>
    <n v="13.95"/>
    <m/>
    <m/>
    <s v="debit"/>
    <m/>
    <x v="2279"/>
    <m/>
    <m/>
  </r>
  <r>
    <x v="45"/>
    <d v="2022-09-15T00:00:00"/>
    <s v="POWERPLUS"/>
    <x v="2481"/>
    <n v="-3654.36"/>
    <x v="14"/>
    <e v="#N/A"/>
    <s v="Inc - Britney"/>
    <m/>
    <n v="3654.36"/>
    <m/>
    <m/>
    <s v="credit"/>
    <m/>
    <x v="2014"/>
    <m/>
    <m/>
  </r>
  <r>
    <x v="45"/>
    <d v="2022-09-15T00:00:00"/>
    <s v="POWERPLUS"/>
    <x v="2482"/>
    <n v="-82.32"/>
    <x v="32"/>
    <e v="#N/A"/>
    <s v="Exp - Shopping"/>
    <m/>
    <n v="82.32"/>
    <m/>
    <m/>
    <s v="credit"/>
    <m/>
    <x v="2280"/>
    <m/>
    <m/>
  </r>
  <r>
    <x v="45"/>
    <d v="2022-09-15T00:00:00"/>
    <s v="Cash Rewards Visa Signature"/>
    <x v="2483"/>
    <n v="62.9"/>
    <x v="38"/>
    <e v="#N/A"/>
    <s v="Exp - Groceries"/>
    <m/>
    <n v="62.9"/>
    <m/>
    <m/>
    <s v="debit"/>
    <m/>
    <x v="2281"/>
    <m/>
    <m/>
  </r>
  <r>
    <x v="45"/>
    <d v="2022-09-15T00:00:00"/>
    <s v="DISCOVER MORE CARD"/>
    <x v="2484"/>
    <n v="179.9"/>
    <x v="32"/>
    <e v="#N/A"/>
    <s v="Exp - Shopping"/>
    <m/>
    <n v="179.9"/>
    <m/>
    <m/>
    <s v="debit"/>
    <m/>
    <x v="2282"/>
    <m/>
    <m/>
  </r>
  <r>
    <x v="45"/>
    <d v="2022-09-15T00:00:00"/>
    <s v="Cash Rewards Visa Signature"/>
    <x v="2485"/>
    <n v="365.58"/>
    <x v="36"/>
    <e v="#N/A"/>
    <s v="Exp - House Maint"/>
    <s v="Window cleaning"/>
    <n v="365.58"/>
    <m/>
    <m/>
    <s v="debit"/>
    <m/>
    <x v="2283"/>
    <m/>
    <m/>
  </r>
  <r>
    <x v="45"/>
    <d v="2022-09-15T00:00:00"/>
    <s v="POWERPLUS"/>
    <x v="2171"/>
    <n v="1452.39"/>
    <x v="3"/>
    <e v="#N/A"/>
    <s v="Delete"/>
    <m/>
    <n v="1452.39"/>
    <m/>
    <m/>
    <s v="debit"/>
    <m/>
    <x v="2021"/>
    <m/>
    <m/>
  </r>
  <r>
    <x v="45"/>
    <d v="2022-09-15T00:00:00"/>
    <s v="Cash Rewards Visa Signature"/>
    <x v="2486"/>
    <n v="-1452.39"/>
    <x v="3"/>
    <e v="#N/A"/>
    <s v="Delete"/>
    <m/>
    <n v="1452.39"/>
    <m/>
    <m/>
    <s v="credit"/>
    <m/>
    <x v="2284"/>
    <m/>
    <m/>
  </r>
  <r>
    <x v="45"/>
    <d v="2022-09-15T00:00:00"/>
    <s v="POWERPLUS"/>
    <x v="2487"/>
    <n v="125"/>
    <x v="32"/>
    <e v="#N/A"/>
    <s v="Exp - Shopping"/>
    <m/>
    <n v="125"/>
    <m/>
    <m/>
    <s v="debit"/>
    <m/>
    <x v="2053"/>
    <m/>
    <m/>
  </r>
  <r>
    <x v="45"/>
    <d v="2022-09-15T00:00:00"/>
    <s v="POWERPLUS"/>
    <x v="2488"/>
    <n v="111.81"/>
    <x v="32"/>
    <e v="#N/A"/>
    <s v="Exp - Shopping"/>
    <m/>
    <n v="111.81"/>
    <m/>
    <m/>
    <s v="debit"/>
    <m/>
    <x v="2053"/>
    <m/>
    <m/>
  </r>
  <r>
    <x v="45"/>
    <d v="2022-09-16T00:00:00"/>
    <s v="Cash Rewards Visa Signature"/>
    <x v="2489"/>
    <n v="141.52000000000001"/>
    <x v="43"/>
    <e v="#N/A"/>
    <s v="Exp - Travel"/>
    <m/>
    <n v="141.52000000000001"/>
    <m/>
    <m/>
    <s v="debit"/>
    <m/>
    <x v="2285"/>
    <m/>
    <m/>
  </r>
  <r>
    <x v="45"/>
    <d v="2022-09-16T00:00:00"/>
    <s v="Cash Rewards Visa Signature"/>
    <x v="2490"/>
    <n v="446.7"/>
    <x v="43"/>
    <e v="#N/A"/>
    <s v="Exp - Travel"/>
    <s v="FL friends trip"/>
    <n v="446.7"/>
    <m/>
    <m/>
    <s v="debit"/>
    <m/>
    <x v="2286"/>
    <m/>
    <m/>
  </r>
  <r>
    <x v="45"/>
    <d v="2022-09-16T00:00:00"/>
    <s v="Cash Rewards Visa Signature"/>
    <x v="2491"/>
    <n v="446.7"/>
    <x v="43"/>
    <e v="#N/A"/>
    <s v="Exp - Travel"/>
    <s v="FL friends trip"/>
    <n v="446.7"/>
    <m/>
    <m/>
    <s v="debit"/>
    <m/>
    <x v="2287"/>
    <m/>
    <m/>
  </r>
  <r>
    <x v="45"/>
    <d v="2022-09-16T00:00:00"/>
    <s v="Cash Rewards Visa Signature"/>
    <x v="2492"/>
    <n v="446.7"/>
    <x v="43"/>
    <e v="#N/A"/>
    <s v="Exp - Travel"/>
    <s v="FL friends trip"/>
    <n v="446.7"/>
    <m/>
    <m/>
    <s v="debit"/>
    <m/>
    <x v="2288"/>
    <m/>
    <m/>
  </r>
  <r>
    <x v="45"/>
    <d v="2022-09-16T00:00:00"/>
    <s v="Cash Rewards Visa Signature"/>
    <x v="2493"/>
    <n v="446.7"/>
    <x v="43"/>
    <e v="#N/A"/>
    <s v="Exp - Travel"/>
    <s v="FL friends trip"/>
    <n v="446.7"/>
    <m/>
    <m/>
    <s v="debit"/>
    <m/>
    <x v="2289"/>
    <m/>
    <m/>
  </r>
  <r>
    <x v="45"/>
    <d v="2022-09-16T00:00:00"/>
    <s v="DISCOVER MORE CARD"/>
    <x v="2494"/>
    <n v="53.54"/>
    <x v="39"/>
    <e v="#N/A"/>
    <s v="Exp - Restaurants"/>
    <m/>
    <n v="53.54"/>
    <m/>
    <m/>
    <s v="debit"/>
    <m/>
    <x v="2290"/>
    <m/>
    <m/>
  </r>
  <r>
    <x v="45"/>
    <d v="2022-09-17T00:00:00"/>
    <s v="DISCOVER MORE CARD"/>
    <x v="252"/>
    <n v="51.93"/>
    <x v="26"/>
    <s v="Restaurants"/>
    <m/>
    <m/>
    <n v="51.93"/>
    <m/>
    <m/>
    <s v="debit"/>
    <m/>
    <x v="250"/>
    <m/>
    <m/>
  </r>
  <r>
    <x v="45"/>
    <d v="2022-09-17T00:00:00"/>
    <s v="DISCOVER MORE CARD"/>
    <x v="2495"/>
    <n v="73.150000000000006"/>
    <x v="32"/>
    <e v="#N/A"/>
    <s v="Exp - Shopping"/>
    <m/>
    <n v="73.150000000000006"/>
    <m/>
    <m/>
    <s v="debit"/>
    <m/>
    <x v="2291"/>
    <m/>
    <m/>
  </r>
  <r>
    <x v="45"/>
    <d v="2022-09-18T00:00:00"/>
    <s v="DISCOVER MORE CARD"/>
    <x v="2496"/>
    <n v="6.11"/>
    <x v="39"/>
    <e v="#N/A"/>
    <s v="Exp - Restaurants"/>
    <m/>
    <n v="6.11"/>
    <m/>
    <m/>
    <s v="debit"/>
    <m/>
    <x v="2292"/>
    <m/>
    <m/>
  </r>
  <r>
    <x v="45"/>
    <d v="2022-09-18T00:00:00"/>
    <s v="Cash Rewards Visa Signature"/>
    <x v="2497"/>
    <n v="6.43"/>
    <x v="42"/>
    <e v="#N/A"/>
    <s v="Exp - Utilities"/>
    <m/>
    <n v="6.43"/>
    <m/>
    <m/>
    <s v="debit"/>
    <m/>
    <x v="2293"/>
    <m/>
    <m/>
  </r>
  <r>
    <x v="45"/>
    <d v="2022-09-18T00:00:00"/>
    <s v="Cash Rewards Visa Signature"/>
    <x v="2498"/>
    <n v="62.97"/>
    <x v="32"/>
    <e v="#N/A"/>
    <s v="Exp - Shopping"/>
    <m/>
    <n v="62.97"/>
    <m/>
    <m/>
    <s v="debit"/>
    <m/>
    <x v="2294"/>
    <m/>
    <m/>
  </r>
  <r>
    <x v="45"/>
    <d v="2022-09-18T00:00:00"/>
    <s v="Cash Rewards Visa Signature"/>
    <x v="2499"/>
    <n v="6"/>
    <x v="39"/>
    <e v="#N/A"/>
    <s v="Exp - Restaurants"/>
    <m/>
    <n v="6"/>
    <m/>
    <m/>
    <s v="debit"/>
    <m/>
    <x v="2295"/>
    <m/>
    <m/>
  </r>
  <r>
    <x v="45"/>
    <d v="2022-09-19T00:00:00"/>
    <s v="Cash Rewards Visa Signature"/>
    <x v="2500"/>
    <n v="105.35"/>
    <x v="51"/>
    <e v="#N/A"/>
    <s v="Exp - Gifts"/>
    <m/>
    <n v="105.35"/>
    <m/>
    <m/>
    <s v="debit"/>
    <m/>
    <x v="2296"/>
    <m/>
    <m/>
  </r>
  <r>
    <x v="45"/>
    <d v="2022-09-19T00:00:00"/>
    <s v="Cash Rewards Visa Signature"/>
    <x v="2501"/>
    <n v="1172.1400000000001"/>
    <x v="43"/>
    <e v="#N/A"/>
    <s v="Exp - Travel"/>
    <s v="Panama Trip"/>
    <n v="1172.1400000000001"/>
    <m/>
    <m/>
    <s v="debit"/>
    <m/>
    <x v="2297"/>
    <m/>
    <m/>
  </r>
  <r>
    <x v="45"/>
    <d v="2022-09-19T00:00:00"/>
    <s v="Cash Rewards Visa Signature"/>
    <x v="2502"/>
    <n v="176.6"/>
    <x v="3"/>
    <e v="#N/A"/>
    <s v="Delete"/>
    <s v="Gina paid for"/>
    <n v="176.6"/>
    <m/>
    <m/>
    <s v="debit"/>
    <m/>
    <x v="2298"/>
    <m/>
    <m/>
  </r>
  <r>
    <x v="45"/>
    <d v="2022-09-19T00:00:00"/>
    <s v="Cash Rewards Visa Signature"/>
    <x v="2503"/>
    <n v="932.2"/>
    <x v="3"/>
    <e v="#N/A"/>
    <s v="Delete"/>
    <s v="Gina paid for"/>
    <n v="932.2"/>
    <m/>
    <m/>
    <s v="debit"/>
    <m/>
    <x v="2299"/>
    <m/>
    <m/>
  </r>
  <r>
    <x v="45"/>
    <d v="2022-09-19T00:00:00"/>
    <s v="Cash Rewards Visa Signature"/>
    <x v="2504"/>
    <n v="932.2"/>
    <x v="3"/>
    <e v="#N/A"/>
    <s v="Delete"/>
    <s v="Gina paid for"/>
    <n v="932.2"/>
    <m/>
    <m/>
    <s v="debit"/>
    <m/>
    <x v="2300"/>
    <m/>
    <m/>
  </r>
  <r>
    <x v="45"/>
    <d v="2022-09-19T00:00:00"/>
    <s v="Cash Rewards Visa Signature"/>
    <x v="2505"/>
    <n v="932.2"/>
    <x v="3"/>
    <e v="#N/A"/>
    <s v="Delete"/>
    <s v="Gina paid for"/>
    <n v="932.2"/>
    <m/>
    <m/>
    <s v="debit"/>
    <m/>
    <x v="2301"/>
    <m/>
    <m/>
  </r>
  <r>
    <x v="45"/>
    <d v="2022-09-19T00:00:00"/>
    <s v="Cash Rewards Visa Signature"/>
    <x v="2506"/>
    <n v="-64.989999999999995"/>
    <x v="32"/>
    <e v="#N/A"/>
    <s v="Exp - Shopping"/>
    <m/>
    <n v="64.989999999999995"/>
    <m/>
    <m/>
    <s v="credit"/>
    <m/>
    <x v="2302"/>
    <m/>
    <m/>
  </r>
  <r>
    <x v="45"/>
    <d v="2022-09-19T00:00:00"/>
    <s v="Cash Rewards Visa Signature"/>
    <x v="2507"/>
    <n v="88.91"/>
    <x v="38"/>
    <e v="#N/A"/>
    <s v="Exp - Groceries"/>
    <m/>
    <n v="88.91"/>
    <m/>
    <m/>
    <s v="debit"/>
    <m/>
    <x v="2303"/>
    <m/>
    <m/>
  </r>
  <r>
    <x v="45"/>
    <d v="2022-09-19T00:00:00"/>
    <s v="Cash Rewards Visa Signature"/>
    <x v="2508"/>
    <n v="20.329999999999998"/>
    <x v="36"/>
    <e v="#N/A"/>
    <s v="Exp - House Maint"/>
    <m/>
    <n v="20.329999999999998"/>
    <m/>
    <m/>
    <s v="debit"/>
    <m/>
    <x v="2304"/>
    <m/>
    <m/>
  </r>
  <r>
    <x v="45"/>
    <d v="2022-09-19T00:00:00"/>
    <s v="Cash Rewards Visa Signature"/>
    <x v="2509"/>
    <n v="366.39"/>
    <x v="39"/>
    <e v="#N/A"/>
    <s v="Exp - Restaurants"/>
    <m/>
    <n v="366.39"/>
    <m/>
    <m/>
    <s v="debit"/>
    <m/>
    <x v="2305"/>
    <m/>
    <m/>
  </r>
  <r>
    <x v="45"/>
    <d v="2022-09-19T00:00:00"/>
    <s v="POWERPLUS"/>
    <x v="2510"/>
    <n v="200"/>
    <x v="40"/>
    <e v="#N/A"/>
    <s v="Exp - Day Care"/>
    <m/>
    <n v="200"/>
    <m/>
    <m/>
    <s v="debit"/>
    <m/>
    <x v="2174"/>
    <m/>
    <m/>
  </r>
  <r>
    <x v="45"/>
    <d v="2022-09-19T00:00:00"/>
    <s v="POWERPLUS"/>
    <x v="2511"/>
    <n v="21.8"/>
    <x v="32"/>
    <e v="#N/A"/>
    <s v="Exp - Shopping"/>
    <m/>
    <n v="21.8"/>
    <m/>
    <m/>
    <s v="debit"/>
    <m/>
    <x v="2045"/>
    <m/>
    <m/>
  </r>
  <r>
    <x v="45"/>
    <d v="2022-09-19T00:00:00"/>
    <s v="POWERPLUS"/>
    <x v="2512"/>
    <n v="65.44"/>
    <x v="32"/>
    <e v="#N/A"/>
    <s v="Exp - Shopping"/>
    <m/>
    <n v="65.44"/>
    <m/>
    <m/>
    <s v="debit"/>
    <m/>
    <x v="2045"/>
    <m/>
    <m/>
  </r>
  <r>
    <x v="45"/>
    <d v="2022-09-19T00:00:00"/>
    <s v="DISCOVER MORE CARD"/>
    <x v="56"/>
    <n v="-574.94000000000005"/>
    <x v="3"/>
    <s v="Delete"/>
    <m/>
    <m/>
    <n v="574.94000000000005"/>
    <m/>
    <m/>
    <s v="credit"/>
    <m/>
    <x v="56"/>
    <m/>
    <m/>
  </r>
  <r>
    <x v="45"/>
    <d v="2022-09-19T00:00:00"/>
    <s v="POWERPLUS"/>
    <x v="2513"/>
    <n v="15"/>
    <x v="32"/>
    <e v="#N/A"/>
    <s v="Exp - Shopping"/>
    <m/>
    <n v="15"/>
    <m/>
    <m/>
    <s v="debit"/>
    <m/>
    <x v="2053"/>
    <m/>
    <m/>
  </r>
  <r>
    <x v="45"/>
    <d v="2022-09-20T00:00:00"/>
    <s v="DISCOVER MORE CARD"/>
    <x v="2514"/>
    <n v="8.27"/>
    <x v="41"/>
    <e v="#N/A"/>
    <s v="Exp - Amazon"/>
    <m/>
    <n v="8.27"/>
    <m/>
    <m/>
    <s v="debit"/>
    <m/>
    <x v="2306"/>
    <m/>
    <m/>
  </r>
  <r>
    <x v="45"/>
    <d v="2022-09-20T00:00:00"/>
    <s v="Cash Rewards Visa Signature"/>
    <x v="2515"/>
    <n v="44.84"/>
    <x v="38"/>
    <e v="#N/A"/>
    <s v="Exp - Groceries"/>
    <m/>
    <n v="44.84"/>
    <m/>
    <m/>
    <s v="debit"/>
    <m/>
    <x v="2307"/>
    <m/>
    <m/>
  </r>
  <r>
    <x v="45"/>
    <d v="2022-09-20T00:00:00"/>
    <s v="Cash Rewards Visa Signature"/>
    <x v="2516"/>
    <n v="-2.99"/>
    <x v="38"/>
    <e v="#N/A"/>
    <s v="Exp - Groceries"/>
    <m/>
    <n v="2.99"/>
    <m/>
    <m/>
    <s v="credit"/>
    <m/>
    <x v="2308"/>
    <m/>
    <m/>
  </r>
  <r>
    <x v="45"/>
    <d v="2022-09-20T00:00:00"/>
    <s v="POWERPLUS"/>
    <x v="2517"/>
    <n v="-3728.8"/>
    <x v="3"/>
    <e v="#N/A"/>
    <s v="Delete"/>
    <m/>
    <n v="3728.8"/>
    <m/>
    <m/>
    <s v="credit"/>
    <m/>
    <x v="2173"/>
    <m/>
    <m/>
  </r>
  <r>
    <x v="45"/>
    <d v="2022-09-20T00:00:00"/>
    <s v="Cash Rewards Visa Signature"/>
    <x v="2518"/>
    <n v="179.9"/>
    <x v="32"/>
    <e v="#N/A"/>
    <s v="Exp - Shopping"/>
    <m/>
    <n v="179.9"/>
    <m/>
    <m/>
    <s v="debit"/>
    <m/>
    <x v="2309"/>
    <m/>
    <m/>
  </r>
  <r>
    <x v="45"/>
    <d v="2022-09-20T00:00:00"/>
    <s v="POWERPLUS"/>
    <x v="2519"/>
    <n v="370"/>
    <x v="40"/>
    <e v="#N/A"/>
    <s v="Exp - Day Care"/>
    <m/>
    <n v="370"/>
    <m/>
    <m/>
    <s v="debit"/>
    <m/>
    <x v="2007"/>
    <m/>
    <m/>
  </r>
  <r>
    <x v="45"/>
    <d v="2022-09-20T00:00:00"/>
    <s v="POWERPLUS"/>
    <x v="2171"/>
    <n v="7093.53"/>
    <x v="3"/>
    <e v="#N/A"/>
    <s v="Delete"/>
    <m/>
    <n v="7093.53"/>
    <m/>
    <m/>
    <s v="debit"/>
    <m/>
    <x v="2021"/>
    <m/>
    <m/>
  </r>
  <r>
    <x v="45"/>
    <d v="2022-09-20T00:00:00"/>
    <s v="Cash Rewards Visa Signature"/>
    <x v="2520"/>
    <n v="-7093.53"/>
    <x v="3"/>
    <e v="#N/A"/>
    <s v="Delete"/>
    <m/>
    <n v="7093.53"/>
    <m/>
    <m/>
    <s v="credit"/>
    <m/>
    <x v="2310"/>
    <m/>
    <m/>
  </r>
  <r>
    <x v="45"/>
    <d v="2022-09-20T00:00:00"/>
    <s v="POWERPLUS"/>
    <x v="2521"/>
    <n v="574.94000000000005"/>
    <x v="3"/>
    <e v="#N/A"/>
    <s v="Delete"/>
    <m/>
    <n v="574.94000000000005"/>
    <m/>
    <m/>
    <s v="debit"/>
    <m/>
    <x v="2059"/>
    <m/>
    <m/>
  </r>
  <r>
    <x v="45"/>
    <d v="2022-09-21T00:00:00"/>
    <s v="Cash Rewards Visa Signature"/>
    <x v="2522"/>
    <n v="11"/>
    <x v="36"/>
    <e v="#N/A"/>
    <s v="Exp - House Maint"/>
    <m/>
    <n v="11"/>
    <m/>
    <m/>
    <s v="debit"/>
    <m/>
    <x v="2311"/>
    <m/>
    <m/>
  </r>
  <r>
    <x v="45"/>
    <d v="2022-09-21T00:00:00"/>
    <s v="Cash Rewards Visa Signature"/>
    <x v="2523"/>
    <n v="16.73"/>
    <x v="42"/>
    <e v="#N/A"/>
    <s v="Exp - Utilities"/>
    <m/>
    <n v="16.73"/>
    <m/>
    <m/>
    <s v="debit"/>
    <m/>
    <x v="2312"/>
    <m/>
    <m/>
  </r>
  <r>
    <x v="45"/>
    <d v="2022-09-21T00:00:00"/>
    <s v="POWERPLUS"/>
    <x v="2524"/>
    <n v="66.209999999999994"/>
    <x v="42"/>
    <e v="#N/A"/>
    <s v="Exp - Utilities"/>
    <m/>
    <n v="66.209999999999994"/>
    <m/>
    <m/>
    <s v="debit"/>
    <m/>
    <x v="2020"/>
    <m/>
    <m/>
  </r>
  <r>
    <x v="45"/>
    <d v="2022-09-22T00:00:00"/>
    <s v="Cash Rewards Visa Signature"/>
    <x v="2525"/>
    <n v="125"/>
    <x v="40"/>
    <e v="#N/A"/>
    <s v="Exp - Day Care"/>
    <m/>
    <n v="125"/>
    <m/>
    <m/>
    <s v="debit"/>
    <m/>
    <x v="2313"/>
    <m/>
    <m/>
  </r>
  <r>
    <x v="45"/>
    <d v="2022-09-22T00:00:00"/>
    <s v="Cash Rewards Visa Signature"/>
    <x v="2526"/>
    <n v="184.68"/>
    <x v="40"/>
    <e v="#N/A"/>
    <s v="Exp - Day Care"/>
    <m/>
    <n v="184.68"/>
    <m/>
    <m/>
    <s v="debit"/>
    <m/>
    <x v="2314"/>
    <m/>
    <m/>
  </r>
  <r>
    <x v="45"/>
    <d v="2022-09-22T00:00:00"/>
    <s v="DISCOVER MORE CARD"/>
    <x v="2527"/>
    <n v="28.67"/>
    <x v="39"/>
    <e v="#N/A"/>
    <s v="Exp - Restaurants"/>
    <m/>
    <n v="28.67"/>
    <m/>
    <m/>
    <s v="debit"/>
    <m/>
    <x v="2315"/>
    <m/>
    <m/>
  </r>
  <r>
    <x v="45"/>
    <d v="2022-09-22T00:00:00"/>
    <s v="Cash Rewards Visa Signature"/>
    <x v="2528"/>
    <n v="157.71"/>
    <x v="36"/>
    <e v="#N/A"/>
    <s v="Exp - House Maint"/>
    <m/>
    <n v="157.71"/>
    <m/>
    <m/>
    <s v="debit"/>
    <m/>
    <x v="2316"/>
    <m/>
    <m/>
  </r>
  <r>
    <x v="45"/>
    <d v="2022-09-22T00:00:00"/>
    <s v="Cash Rewards Visa Signature"/>
    <x v="2529"/>
    <n v="1538.04"/>
    <x v="37"/>
    <e v="#N/A"/>
    <s v="Exp - Transportation"/>
    <m/>
    <n v="1538.04"/>
    <m/>
    <m/>
    <s v="debit"/>
    <m/>
    <x v="2317"/>
    <m/>
    <m/>
  </r>
  <r>
    <x v="45"/>
    <d v="2022-09-22T00:00:00"/>
    <s v="Cash Rewards Visa Signature"/>
    <x v="2530"/>
    <n v="100"/>
    <x v="40"/>
    <e v="#N/A"/>
    <s v="Exp - Day Care"/>
    <m/>
    <n v="100"/>
    <m/>
    <m/>
    <s v="debit"/>
    <m/>
    <x v="2318"/>
    <m/>
    <m/>
  </r>
  <r>
    <x v="45"/>
    <d v="2022-09-22T00:00:00"/>
    <s v="Cash Rewards Visa Signature"/>
    <x v="2531"/>
    <n v="14.95"/>
    <x v="39"/>
    <e v="#N/A"/>
    <s v="Exp - Restaurants"/>
    <m/>
    <n v="14.95"/>
    <m/>
    <m/>
    <s v="debit"/>
    <m/>
    <x v="2319"/>
    <m/>
    <m/>
  </r>
  <r>
    <x v="45"/>
    <d v="2022-09-23T00:00:00"/>
    <s v="4017 Hallgren"/>
    <x v="2532"/>
    <n v="2952"/>
    <x v="3"/>
    <e v="#N/A"/>
    <s v="Delete"/>
    <m/>
    <n v="2952"/>
    <m/>
    <m/>
    <s v="debit"/>
    <m/>
    <x v="2320"/>
    <m/>
    <m/>
  </r>
  <r>
    <x v="45"/>
    <d v="2022-09-23T00:00:00"/>
    <s v="RAINY DAY"/>
    <x v="2533"/>
    <n v="-100"/>
    <x v="3"/>
    <e v="#N/A"/>
    <s v="Delete"/>
    <m/>
    <n v="100"/>
    <m/>
    <m/>
    <s v="credit"/>
    <m/>
    <x v="2321"/>
    <m/>
    <m/>
  </r>
  <r>
    <x v="45"/>
    <d v="2022-09-23T00:00:00"/>
    <s v="Cash Rewards Visa Signature"/>
    <x v="2534"/>
    <n v="57.28"/>
    <x v="37"/>
    <e v="#N/A"/>
    <s v="Exp - Transportation"/>
    <m/>
    <n v="57.28"/>
    <m/>
    <m/>
    <s v="debit"/>
    <m/>
    <x v="2322"/>
    <m/>
    <m/>
  </r>
  <r>
    <x v="45"/>
    <d v="2022-09-23T00:00:00"/>
    <s v="POWERPLUS"/>
    <x v="2535"/>
    <n v="9.93"/>
    <x v="32"/>
    <e v="#N/A"/>
    <s v="Exp - Shopping"/>
    <m/>
    <n v="9.93"/>
    <m/>
    <m/>
    <s v="debit"/>
    <m/>
    <x v="2045"/>
    <m/>
    <m/>
  </r>
  <r>
    <x v="45"/>
    <d v="2022-09-23T00:00:00"/>
    <s v="POWERPLUS"/>
    <x v="2536"/>
    <n v="100"/>
    <x v="3"/>
    <e v="#N/A"/>
    <s v="Delete"/>
    <m/>
    <n v="100"/>
    <m/>
    <m/>
    <s v="debit"/>
    <m/>
    <x v="2323"/>
    <m/>
    <m/>
  </r>
  <r>
    <x v="45"/>
    <d v="2022-09-24T00:00:00"/>
    <s v="DISCOVER MORE CARD"/>
    <x v="2537"/>
    <n v="69.97"/>
    <x v="41"/>
    <e v="#N/A"/>
    <s v="Exp - Amazon"/>
    <m/>
    <n v="69.97"/>
    <m/>
    <m/>
    <s v="debit"/>
    <m/>
    <x v="2324"/>
    <m/>
    <m/>
  </r>
  <r>
    <x v="45"/>
    <d v="2022-09-24T00:00:00"/>
    <s v="DISCOVER MORE CARD"/>
    <x v="2538"/>
    <n v="44"/>
    <x v="35"/>
    <e v="#N/A"/>
    <s v="Exp - Entertainment"/>
    <m/>
    <n v="44"/>
    <m/>
    <m/>
    <s v="debit"/>
    <m/>
    <x v="2325"/>
    <m/>
    <m/>
  </r>
  <r>
    <x v="45"/>
    <d v="2022-09-25T00:00:00"/>
    <s v="POWERPLUS"/>
    <x v="2539"/>
    <n v="-75"/>
    <x v="14"/>
    <e v="#N/A"/>
    <s v="Inc - Britney"/>
    <m/>
    <n v="75"/>
    <m/>
    <m/>
    <s v="credit"/>
    <m/>
    <x v="2050"/>
    <m/>
    <m/>
  </r>
  <r>
    <x v="45"/>
    <d v="2022-09-26T00:00:00"/>
    <s v="DISCOVER MORE CARD"/>
    <x v="1991"/>
    <n v="181"/>
    <x v="26"/>
    <s v="Shopping"/>
    <m/>
    <m/>
    <n v="181"/>
    <m/>
    <m/>
    <s v="debit"/>
    <m/>
    <x v="1841"/>
    <m/>
    <m/>
  </r>
  <r>
    <x v="45"/>
    <d v="2022-09-26T00:00:00"/>
    <s v="DISCOVER MORE CARD"/>
    <x v="2540"/>
    <n v="18.989999999999998"/>
    <x v="35"/>
    <e v="#N/A"/>
    <s v="Exp - Entertainment"/>
    <m/>
    <n v="18.989999999999998"/>
    <m/>
    <m/>
    <s v="debit"/>
    <m/>
    <x v="2326"/>
    <m/>
    <m/>
  </r>
  <r>
    <x v="45"/>
    <d v="2022-09-26T00:00:00"/>
    <s v="Cash Rewards Visa Signature"/>
    <x v="2541"/>
    <n v="161.05000000000001"/>
    <x v="36"/>
    <e v="#N/A"/>
    <s v="Exp - House Maint"/>
    <m/>
    <n v="161.05000000000001"/>
    <m/>
    <m/>
    <s v="debit"/>
    <m/>
    <x v="2327"/>
    <m/>
    <m/>
  </r>
  <r>
    <x v="45"/>
    <d v="2022-09-26T00:00:00"/>
    <s v="DISCOVER MORE CARD"/>
    <x v="2542"/>
    <n v="39.700000000000003"/>
    <x v="36"/>
    <e v="#N/A"/>
    <s v="Exp - House Maint"/>
    <m/>
    <n v="39.700000000000003"/>
    <m/>
    <m/>
    <s v="debit"/>
    <m/>
    <x v="2328"/>
    <m/>
    <m/>
  </r>
  <r>
    <x v="45"/>
    <d v="2022-09-26T00:00:00"/>
    <s v="POWERPLUS"/>
    <x v="2543"/>
    <n v="360.24"/>
    <x v="45"/>
    <e v="#N/A"/>
    <s v="Exp - Target"/>
    <m/>
    <n v="360.24"/>
    <m/>
    <m/>
    <s v="debit"/>
    <m/>
    <x v="2040"/>
    <m/>
    <m/>
  </r>
  <r>
    <x v="45"/>
    <d v="2022-09-26T00:00:00"/>
    <s v="POWERPLUS"/>
    <x v="2544"/>
    <n v="88"/>
    <x v="32"/>
    <e v="#N/A"/>
    <s v="Exp - Shopping"/>
    <m/>
    <n v="88"/>
    <m/>
    <m/>
    <s v="debit"/>
    <m/>
    <x v="2053"/>
    <m/>
    <m/>
  </r>
  <r>
    <x v="45"/>
    <d v="2022-09-27T00:00:00"/>
    <s v="Cash Rewards Visa Signature"/>
    <x v="2545"/>
    <n v="60.85"/>
    <x v="35"/>
    <e v="#N/A"/>
    <s v="Exp - Entertainment"/>
    <m/>
    <n v="60.85"/>
    <m/>
    <m/>
    <s v="debit"/>
    <m/>
    <x v="2329"/>
    <m/>
    <m/>
  </r>
  <r>
    <x v="45"/>
    <d v="2022-09-27T00:00:00"/>
    <s v="DISCOVER MORE CARD"/>
    <x v="2546"/>
    <n v="166.21"/>
    <x v="39"/>
    <e v="#N/A"/>
    <s v="Exp - Restaurants"/>
    <m/>
    <n v="166.21"/>
    <m/>
    <m/>
    <s v="debit"/>
    <m/>
    <x v="2330"/>
    <m/>
    <m/>
  </r>
  <r>
    <x v="45"/>
    <d v="2022-09-27T00:00:00"/>
    <s v="POWERPLUS"/>
    <x v="2547"/>
    <n v="370"/>
    <x v="40"/>
    <e v="#N/A"/>
    <s v="Exp - Day Care"/>
    <m/>
    <n v="370"/>
    <m/>
    <m/>
    <s v="debit"/>
    <m/>
    <x v="2007"/>
    <m/>
    <m/>
  </r>
  <r>
    <x v="45"/>
    <d v="2022-09-27T00:00:00"/>
    <s v="POWERPLUS"/>
    <x v="2548"/>
    <n v="45.1"/>
    <x v="32"/>
    <e v="#N/A"/>
    <s v="Exp - Shopping"/>
    <m/>
    <n v="45.1"/>
    <m/>
    <m/>
    <s v="debit"/>
    <m/>
    <x v="2045"/>
    <m/>
    <m/>
  </r>
  <r>
    <x v="45"/>
    <d v="2022-09-28T00:00:00"/>
    <s v="Cash Rewards Visa Signature"/>
    <x v="2549"/>
    <n v="75.92"/>
    <x v="37"/>
    <e v="#N/A"/>
    <s v="Exp - Transportation"/>
    <m/>
    <n v="75.92"/>
    <m/>
    <m/>
    <s v="debit"/>
    <m/>
    <x v="2331"/>
    <m/>
    <m/>
  </r>
  <r>
    <x v="45"/>
    <d v="2022-09-28T00:00:00"/>
    <s v="DISCOVER MORE CARD"/>
    <x v="2550"/>
    <n v="54.01"/>
    <x v="51"/>
    <e v="#N/A"/>
    <s v="Exp - Gifts"/>
    <m/>
    <n v="54.01"/>
    <m/>
    <m/>
    <s v="debit"/>
    <m/>
    <x v="2332"/>
    <m/>
    <m/>
  </r>
  <r>
    <x v="45"/>
    <d v="2022-09-28T00:00:00"/>
    <s v="POWERPLUS"/>
    <x v="2551"/>
    <n v="0.99"/>
    <x v="32"/>
    <e v="#N/A"/>
    <s v="Exp - Shopping"/>
    <m/>
    <n v="0.99"/>
    <m/>
    <m/>
    <s v="debit"/>
    <m/>
    <x v="2045"/>
    <m/>
    <m/>
  </r>
  <r>
    <x v="45"/>
    <d v="2022-09-28T00:00:00"/>
    <s v="POWERPLUS"/>
    <x v="2552"/>
    <n v="125"/>
    <x v="33"/>
    <e v="#N/A"/>
    <s v="Exp - Cleaning"/>
    <m/>
    <n v="125"/>
    <m/>
    <m/>
    <s v="debit"/>
    <m/>
    <x v="2053"/>
    <m/>
    <m/>
  </r>
  <r>
    <x v="45"/>
    <d v="2022-09-29T00:00:00"/>
    <s v="DISCOVER MORE CARD"/>
    <x v="1885"/>
    <n v="-40.01"/>
    <x v="3"/>
    <s v="Delete"/>
    <s v="Delete"/>
    <m/>
    <n v="40.01"/>
    <m/>
    <m/>
    <s v="credit"/>
    <m/>
    <x v="1738"/>
    <m/>
    <m/>
  </r>
  <r>
    <x v="45"/>
    <d v="2022-09-29T00:00:00"/>
    <s v="POWERPLUS"/>
    <x v="2553"/>
    <n v="-3654.36"/>
    <x v="14"/>
    <e v="#N/A"/>
    <s v="Inc - Britney"/>
    <m/>
    <n v="3654.36"/>
    <m/>
    <m/>
    <s v="credit"/>
    <m/>
    <x v="2014"/>
    <m/>
    <m/>
  </r>
  <r>
    <x v="45"/>
    <d v="2022-09-29T00:00:00"/>
    <s v="POWERPLUS"/>
    <x v="2554"/>
    <n v="-3265.43"/>
    <x v="15"/>
    <e v="#N/A"/>
    <s v="Inc - Jeff"/>
    <m/>
    <n v="3265.43"/>
    <m/>
    <m/>
    <s v="credit"/>
    <m/>
    <x v="2139"/>
    <m/>
    <m/>
  </r>
  <r>
    <x v="45"/>
    <d v="2022-09-29T00:00:00"/>
    <s v="POWERPLUS"/>
    <x v="2555"/>
    <n v="8.09"/>
    <x v="32"/>
    <e v="#N/A"/>
    <s v="Exp - Shopping"/>
    <m/>
    <n v="8.09"/>
    <m/>
    <m/>
    <s v="debit"/>
    <m/>
    <x v="2045"/>
    <m/>
    <m/>
  </r>
  <r>
    <x v="45"/>
    <d v="2022-09-29T00:00:00"/>
    <s v="POWERPLUS"/>
    <x v="2556"/>
    <n v="0.99"/>
    <x v="32"/>
    <e v="#N/A"/>
    <s v="Exp - Shopping"/>
    <m/>
    <n v="0.99"/>
    <m/>
    <m/>
    <s v="debit"/>
    <m/>
    <x v="2045"/>
    <m/>
    <m/>
  </r>
  <r>
    <x v="45"/>
    <d v="2022-09-29T00:00:00"/>
    <s v="POWERPLUS"/>
    <x v="2171"/>
    <n v="2724.96"/>
    <x v="3"/>
    <e v="#N/A"/>
    <s v="Delete"/>
    <m/>
    <n v="2724.96"/>
    <m/>
    <m/>
    <s v="debit"/>
    <m/>
    <x v="2021"/>
    <m/>
    <m/>
  </r>
  <r>
    <x v="45"/>
    <d v="2022-09-29T00:00:00"/>
    <s v="DISCOVER MORE CARD"/>
    <x v="56"/>
    <n v="-522.91"/>
    <x v="3"/>
    <s v="Delete"/>
    <s v="Delete"/>
    <m/>
    <n v="522.91"/>
    <m/>
    <m/>
    <s v="credit"/>
    <m/>
    <x v="56"/>
    <m/>
    <m/>
  </r>
  <r>
    <x v="45"/>
    <d v="2022-09-29T00:00:00"/>
    <s v="Cash Rewards Visa Signature"/>
    <x v="2557"/>
    <n v="-2724.96"/>
    <x v="3"/>
    <e v="#N/A"/>
    <s v="Delete"/>
    <m/>
    <n v="2724.96"/>
    <m/>
    <m/>
    <s v="credit"/>
    <m/>
    <x v="2333"/>
    <m/>
    <m/>
  </r>
  <r>
    <x v="45"/>
    <d v="2022-09-30T00:00:00"/>
    <s v="POWERPLUS"/>
    <x v="2558"/>
    <n v="-24.76"/>
    <x v="13"/>
    <e v="#N/A"/>
    <s v="Inc - Other"/>
    <m/>
    <n v="24.76"/>
    <m/>
    <m/>
    <s v="credit"/>
    <m/>
    <x v="2334"/>
    <m/>
    <m/>
  </r>
  <r>
    <x v="45"/>
    <d v="2022-09-30T00:00:00"/>
    <s v="RAINY DAY"/>
    <x v="2559"/>
    <n v="-7.53"/>
    <x v="13"/>
    <e v="#N/A"/>
    <s v="Inc - Other"/>
    <m/>
    <n v="7.53"/>
    <m/>
    <m/>
    <s v="credit"/>
    <m/>
    <x v="2335"/>
    <m/>
    <m/>
  </r>
  <r>
    <x v="45"/>
    <d v="2022-09-30T00:00:00"/>
    <s v="Cash Rewards Visa Signature"/>
    <x v="2560"/>
    <n v="41"/>
    <x v="38"/>
    <e v="#N/A"/>
    <s v="Exp - Groceries"/>
    <m/>
    <n v="41"/>
    <m/>
    <m/>
    <s v="debit"/>
    <m/>
    <x v="2336"/>
    <m/>
    <m/>
  </r>
  <r>
    <x v="45"/>
    <d v="2022-09-30T00:00:00"/>
    <s v="Cash Rewards Visa Signature"/>
    <x v="2561"/>
    <n v="20.63"/>
    <x v="38"/>
    <e v="#N/A"/>
    <s v="Exp - Groceries"/>
    <m/>
    <n v="20.63"/>
    <m/>
    <m/>
    <s v="debit"/>
    <m/>
    <x v="2337"/>
    <m/>
    <m/>
  </r>
  <r>
    <x v="45"/>
    <d v="2022-09-30T00:00:00"/>
    <s v="POWERPLUS"/>
    <x v="2562"/>
    <n v="522.91"/>
    <x v="3"/>
    <e v="#N/A"/>
    <s v="Delete"/>
    <m/>
    <n v="522.91"/>
    <m/>
    <m/>
    <s v="debit"/>
    <m/>
    <x v="2059"/>
    <m/>
    <m/>
  </r>
  <r>
    <x v="24"/>
    <d v="2022-10-01T00:00:00"/>
    <s v="DISCOVER MORE CARD"/>
    <x v="2563"/>
    <n v="5.36"/>
    <x v="32"/>
    <e v="#N/A"/>
    <s v="Exp - Shopping"/>
    <m/>
    <n v="5.36"/>
    <m/>
    <m/>
    <s v="debit"/>
    <m/>
    <x v="2338"/>
    <m/>
    <m/>
  </r>
  <r>
    <x v="24"/>
    <d v="2022-10-01T00:00:00"/>
    <s v="DISCOVER MORE CARD"/>
    <x v="2327"/>
    <n v="54.42"/>
    <x v="38"/>
    <e v="#N/A"/>
    <s v="Exp - Groceries"/>
    <m/>
    <n v="54.42"/>
    <m/>
    <m/>
    <s v="debit"/>
    <m/>
    <x v="2163"/>
    <m/>
    <m/>
  </r>
  <r>
    <x v="24"/>
    <d v="2022-10-01T00:00:00"/>
    <s v="DISCOVER MORE CARD"/>
    <x v="2564"/>
    <n v="21.24"/>
    <x v="37"/>
    <e v="#N/A"/>
    <s v="Exp - Transportation"/>
    <m/>
    <n v="21.24"/>
    <m/>
    <m/>
    <s v="debit"/>
    <m/>
    <x v="2339"/>
    <m/>
    <m/>
  </r>
  <r>
    <x v="24"/>
    <d v="2022-10-01T00:00:00"/>
    <s v="POWERPLUS"/>
    <x v="2565"/>
    <n v="618.65"/>
    <x v="48"/>
    <e v="#N/A"/>
    <s v="Exp - Car Loan"/>
    <m/>
    <n v="618.65"/>
    <m/>
    <m/>
    <s v="debit"/>
    <m/>
    <x v="2340"/>
    <m/>
    <m/>
  </r>
  <r>
    <x v="24"/>
    <d v="2022-10-01T00:00:00"/>
    <s v="HIGHLANDER"/>
    <x v="2566"/>
    <n v="-618.65"/>
    <x v="3"/>
    <e v="#N/A"/>
    <s v="Delete"/>
    <m/>
    <n v="618.65"/>
    <m/>
    <m/>
    <s v="credit"/>
    <m/>
    <x v="2341"/>
    <m/>
    <m/>
  </r>
  <r>
    <x v="24"/>
    <d v="2022-10-02T00:00:00"/>
    <s v="Cash Rewards Visa Signature"/>
    <x v="2567"/>
    <n v="72.14"/>
    <x v="50"/>
    <e v="#N/A"/>
    <s v="Exp - Dry Cleaning"/>
    <m/>
    <n v="72.14"/>
    <m/>
    <m/>
    <s v="debit"/>
    <m/>
    <x v="2342"/>
    <m/>
    <m/>
  </r>
  <r>
    <x v="24"/>
    <d v="2022-10-02T00:00:00"/>
    <s v="DISCOVER MORE CARD"/>
    <x v="2568"/>
    <n v="15.12"/>
    <x v="41"/>
    <e v="#N/A"/>
    <s v="Exp - Amazon"/>
    <m/>
    <n v="15.12"/>
    <m/>
    <m/>
    <s v="debit"/>
    <m/>
    <x v="2343"/>
    <m/>
    <m/>
  </r>
  <r>
    <x v="24"/>
    <d v="2022-10-02T00:00:00"/>
    <s v="DISCOVER MORE CARD"/>
    <x v="2569"/>
    <n v="600.22"/>
    <x v="41"/>
    <e v="#N/A"/>
    <s v="Exp - Amazon"/>
    <m/>
    <n v="600.22"/>
    <m/>
    <m/>
    <s v="debit"/>
    <m/>
    <x v="2344"/>
    <m/>
    <m/>
  </r>
  <r>
    <x v="24"/>
    <d v="2022-10-02T00:00:00"/>
    <s v="Cash Rewards Visa Signature"/>
    <x v="2570"/>
    <n v="61.69"/>
    <x v="38"/>
    <e v="#N/A"/>
    <s v="Exp - Groceries"/>
    <m/>
    <n v="61.69"/>
    <m/>
    <m/>
    <s v="debit"/>
    <m/>
    <x v="2345"/>
    <m/>
    <m/>
  </r>
  <r>
    <x v="24"/>
    <d v="2022-10-02T00:00:00"/>
    <s v="Cash Rewards Visa Signature"/>
    <x v="2571"/>
    <n v="8"/>
    <x v="32"/>
    <e v="#N/A"/>
    <s v="Exp - Shopping"/>
    <m/>
    <n v="8"/>
    <m/>
    <m/>
    <s v="debit"/>
    <m/>
    <x v="2346"/>
    <m/>
    <m/>
  </r>
  <r>
    <x v="24"/>
    <d v="2022-10-02T00:00:00"/>
    <s v="Cash Rewards Visa Signature"/>
    <x v="2572"/>
    <n v="31.86"/>
    <x v="39"/>
    <e v="#N/A"/>
    <s v="Exp - Restaurants"/>
    <m/>
    <n v="31.86"/>
    <m/>
    <m/>
    <s v="debit"/>
    <m/>
    <x v="2347"/>
    <m/>
    <m/>
  </r>
  <r>
    <x v="24"/>
    <d v="2022-10-02T00:00:00"/>
    <s v="Cash Rewards Visa Signature"/>
    <x v="2573"/>
    <n v="22.58"/>
    <x v="37"/>
    <e v="#N/A"/>
    <s v="Exp - Transportation"/>
    <m/>
    <n v="22.58"/>
    <m/>
    <m/>
    <s v="debit"/>
    <m/>
    <x v="2348"/>
    <m/>
    <m/>
  </r>
  <r>
    <x v="24"/>
    <d v="2022-10-02T00:00:00"/>
    <s v="Cash Rewards Visa Signature"/>
    <x v="2574"/>
    <n v="226.61"/>
    <x v="38"/>
    <e v="#N/A"/>
    <s v="Exp - Groceries"/>
    <m/>
    <n v="226.61"/>
    <m/>
    <m/>
    <s v="debit"/>
    <m/>
    <x v="2349"/>
    <m/>
    <m/>
  </r>
  <r>
    <x v="24"/>
    <d v="2022-10-03T00:00:00"/>
    <s v="DISCOVER MORE CARD"/>
    <x v="2575"/>
    <n v="26.83"/>
    <x v="41"/>
    <e v="#N/A"/>
    <s v="Exp - Amazon"/>
    <m/>
    <n v="26.83"/>
    <m/>
    <m/>
    <s v="debit"/>
    <m/>
    <x v="2350"/>
    <m/>
    <m/>
  </r>
  <r>
    <x v="24"/>
    <d v="2022-10-03T00:00:00"/>
    <s v="DISCOVER MORE CARD"/>
    <x v="2576"/>
    <n v="110.53"/>
    <x v="41"/>
    <e v="#N/A"/>
    <s v="Exp - Amazon"/>
    <m/>
    <n v="110.53"/>
    <m/>
    <m/>
    <s v="debit"/>
    <m/>
    <x v="2351"/>
    <m/>
    <m/>
  </r>
  <r>
    <x v="24"/>
    <d v="2022-10-03T00:00:00"/>
    <s v="Cash Rewards Visa Signature"/>
    <x v="2577"/>
    <n v="18"/>
    <x v="32"/>
    <e v="#N/A"/>
    <s v="Exp - Shopping"/>
    <m/>
    <n v="18"/>
    <m/>
    <m/>
    <s v="debit"/>
    <m/>
    <x v="2352"/>
    <m/>
    <m/>
  </r>
  <r>
    <x v="24"/>
    <d v="2022-10-03T00:00:00"/>
    <s v="Cash Rewards Visa Signature"/>
    <x v="2578"/>
    <n v="190.86"/>
    <x v="46"/>
    <e v="#N/A"/>
    <s v="Exp - Healthcare"/>
    <m/>
    <n v="190.86"/>
    <m/>
    <m/>
    <s v="debit"/>
    <m/>
    <x v="2353"/>
    <m/>
    <m/>
  </r>
  <r>
    <x v="24"/>
    <d v="2022-10-03T00:00:00"/>
    <s v="POWERPLUS"/>
    <x v="2579"/>
    <n v="300"/>
    <x v="47"/>
    <e v="#N/A"/>
    <s v="Sav - College Savings"/>
    <m/>
    <n v="300"/>
    <m/>
    <m/>
    <s v="debit"/>
    <m/>
    <x v="2077"/>
    <m/>
    <m/>
  </r>
  <r>
    <x v="24"/>
    <d v="2022-10-03T00:00:00"/>
    <s v="POWERPLUS"/>
    <x v="2580"/>
    <n v="28.99"/>
    <x v="3"/>
    <e v="#N/A"/>
    <s v="Delete"/>
    <m/>
    <n v="28.99"/>
    <m/>
    <m/>
    <s v="debit"/>
    <m/>
    <x v="2045"/>
    <m/>
    <m/>
  </r>
  <r>
    <x v="24"/>
    <d v="2022-10-03T00:00:00"/>
    <s v="4017 Hallgren"/>
    <x v="935"/>
    <n v="2606.27"/>
    <x v="3"/>
    <s v="Delete"/>
    <m/>
    <m/>
    <n v="2606.27"/>
    <m/>
    <m/>
    <s v="debit"/>
    <m/>
    <x v="899"/>
    <m/>
    <m/>
  </r>
  <r>
    <x v="46"/>
    <d v="2023-06-29T00:00:00"/>
    <s v="PowerPlus"/>
    <x v="2581"/>
    <n v="3480"/>
    <x v="3"/>
    <m/>
    <s v="Delete"/>
    <m/>
    <m/>
    <m/>
    <m/>
    <m/>
    <m/>
    <x v="2354"/>
    <m/>
    <m/>
  </r>
  <r>
    <x v="24"/>
    <d v="2022-10-04T00:00:00"/>
    <s v="POWERPLUS"/>
    <x v="2582"/>
    <n v="11.19"/>
    <x v="32"/>
    <e v="#N/A"/>
    <s v="Exp - Shopping"/>
    <m/>
    <n v="11.19"/>
    <m/>
    <m/>
    <m/>
    <s v="Credit"/>
    <x v="2227"/>
    <m/>
    <m/>
  </r>
  <r>
    <x v="24"/>
    <d v="2022-10-04T00:00:00"/>
    <s v="POWERPLUS"/>
    <x v="2583"/>
    <n v="48"/>
    <x v="32"/>
    <e v="#N/A"/>
    <s v="Exp - Shopping"/>
    <m/>
    <n v="48"/>
    <m/>
    <m/>
    <m/>
    <s v="Credit"/>
    <x v="2227"/>
    <m/>
    <m/>
  </r>
  <r>
    <x v="24"/>
    <d v="2022-10-04T00:00:00"/>
    <s v="POWERPLUS"/>
    <x v="2584"/>
    <n v="370"/>
    <x v="40"/>
    <e v="#N/A"/>
    <s v="Exp - Day Care"/>
    <m/>
    <n v="370"/>
    <m/>
    <m/>
    <s v="debit"/>
    <m/>
    <x v="2007"/>
    <m/>
    <m/>
  </r>
  <r>
    <x v="24"/>
    <d v="2022-10-05T00:00:00"/>
    <s v="DISCOVER MORE CARD"/>
    <x v="2585"/>
    <n v="23.61"/>
    <x v="41"/>
    <e v="#N/A"/>
    <s v="Exp - Amazon"/>
    <m/>
    <n v="23.61"/>
    <m/>
    <m/>
    <s v="debit"/>
    <m/>
    <x v="2355"/>
    <m/>
    <m/>
  </r>
  <r>
    <x v="24"/>
    <d v="2022-10-05T00:00:00"/>
    <s v="DISCOVER MORE CARD"/>
    <x v="2586"/>
    <n v="25.39"/>
    <x v="41"/>
    <e v="#N/A"/>
    <s v="Exp - Amazon"/>
    <m/>
    <n v="25.39"/>
    <m/>
    <m/>
    <s v="debit"/>
    <m/>
    <x v="2356"/>
    <m/>
    <m/>
  </r>
  <r>
    <x v="24"/>
    <d v="2022-10-05T00:00:00"/>
    <s v="Cash Rewards Visa Signature"/>
    <x v="2587"/>
    <n v="11.6"/>
    <x v="38"/>
    <e v="#N/A"/>
    <s v="Exp - Groceries"/>
    <m/>
    <n v="11.6"/>
    <m/>
    <m/>
    <s v="debit"/>
    <m/>
    <x v="2357"/>
    <m/>
    <m/>
  </r>
  <r>
    <x v="24"/>
    <d v="2022-10-05T00:00:00"/>
    <s v="POWERPLUS"/>
    <x v="2588"/>
    <n v="206.46"/>
    <x v="3"/>
    <e v="#N/A"/>
    <s v="Delete"/>
    <m/>
    <n v="206.46"/>
    <m/>
    <m/>
    <m/>
    <s v="Credit"/>
    <x v="2358"/>
    <m/>
    <m/>
  </r>
  <r>
    <x v="24"/>
    <d v="2022-10-05T00:00:00"/>
    <s v="DISCOVER MORE CARD"/>
    <x v="1696"/>
    <n v="7.59"/>
    <x v="26"/>
    <s v="Restaurants"/>
    <m/>
    <m/>
    <n v="7.59"/>
    <m/>
    <m/>
    <s v="debit"/>
    <m/>
    <x v="1575"/>
    <m/>
    <m/>
  </r>
  <r>
    <x v="24"/>
    <d v="2022-10-05T00:00:00"/>
    <s v="POWERPLUS"/>
    <x v="2589"/>
    <n v="66.569999999999993"/>
    <x v="32"/>
    <e v="#N/A"/>
    <s v="Exp - Shopping"/>
    <m/>
    <n v="66.569999999999993"/>
    <m/>
    <m/>
    <m/>
    <s v="Debit"/>
    <x v="2045"/>
    <m/>
    <m/>
  </r>
  <r>
    <x v="24"/>
    <d v="2022-10-05T00:00:00"/>
    <s v="POWERPLUS"/>
    <x v="2590"/>
    <n v="274.63"/>
    <x v="42"/>
    <e v="#N/A"/>
    <s v="Exp - Utilities"/>
    <m/>
    <n v="274.63"/>
    <m/>
    <m/>
    <m/>
    <s v="Debit"/>
    <x v="2103"/>
    <m/>
    <m/>
  </r>
  <r>
    <x v="24"/>
    <d v="2022-10-06T00:00:00"/>
    <s v="POWERPLUS"/>
    <x v="2591"/>
    <n v="75"/>
    <x v="3"/>
    <e v="#N/A"/>
    <s v="Delete"/>
    <m/>
    <n v="75"/>
    <m/>
    <m/>
    <m/>
    <s v="Credit"/>
    <x v="2138"/>
    <m/>
    <m/>
  </r>
  <r>
    <x v="24"/>
    <d v="2022-10-06T00:00:00"/>
    <s v="POWERPLUS"/>
    <x v="2592"/>
    <n v="28.99"/>
    <x v="32"/>
    <e v="#N/A"/>
    <s v="Exp - Shopping"/>
    <m/>
    <n v="28.99"/>
    <m/>
    <m/>
    <m/>
    <s v="Credit"/>
    <x v="2227"/>
    <m/>
    <m/>
  </r>
  <r>
    <x v="24"/>
    <d v="2022-10-06T00:00:00"/>
    <s v="DISCOVER MORE CARD"/>
    <x v="2593"/>
    <n v="62.53"/>
    <x v="32"/>
    <e v="#N/A"/>
    <s v="Exp - Shopping"/>
    <m/>
    <n v="62.53"/>
    <m/>
    <m/>
    <s v="debit"/>
    <m/>
    <x v="2359"/>
    <m/>
    <m/>
  </r>
  <r>
    <x v="24"/>
    <d v="2022-10-06T00:00:00"/>
    <s v="POWERPLUS"/>
    <x v="2594"/>
    <n v="6.47"/>
    <x v="32"/>
    <e v="#N/A"/>
    <s v="Exp - Shopping"/>
    <m/>
    <n v="6.47"/>
    <m/>
    <m/>
    <m/>
    <s v="Debit"/>
    <x v="2045"/>
    <m/>
    <m/>
  </r>
  <r>
    <x v="24"/>
    <d v="2022-10-07T00:00:00"/>
    <s v="Cash Rewards Visa Signature"/>
    <x v="2595"/>
    <n v="193.43"/>
    <x v="38"/>
    <e v="#N/A"/>
    <s v="Exp - Groceries"/>
    <m/>
    <n v="193.43"/>
    <m/>
    <m/>
    <s v="debit"/>
    <m/>
    <x v="2360"/>
    <m/>
    <m/>
  </r>
  <r>
    <x v="24"/>
    <d v="2022-10-24T00:00:00"/>
    <s v="POWERPLUS"/>
    <x v="2596"/>
    <n v="38.700000000000003"/>
    <x v="32"/>
    <e v="#N/A"/>
    <s v="Exp - Shopping"/>
    <s v="Check"/>
    <n v="38.700000000000003"/>
    <m/>
    <m/>
    <m/>
    <s v="Debit"/>
    <x v="2361"/>
    <m/>
    <m/>
  </r>
  <r>
    <x v="24"/>
    <d v="2022-10-07T00:00:00"/>
    <s v="POWERPLUS"/>
    <x v="2597"/>
    <n v="8.49"/>
    <x v="32"/>
    <e v="#N/A"/>
    <s v="Exp - Shopping"/>
    <m/>
    <n v="8.49"/>
    <m/>
    <m/>
    <m/>
    <s v="Debit"/>
    <x v="2045"/>
    <m/>
    <m/>
  </r>
  <r>
    <x v="24"/>
    <d v="2022-10-07T00:00:00"/>
    <s v="POWERPLUS"/>
    <x v="2598"/>
    <n v="9.01"/>
    <x v="32"/>
    <e v="#N/A"/>
    <s v="Exp - Shopping"/>
    <m/>
    <n v="9.01"/>
    <m/>
    <m/>
    <m/>
    <s v="Debit"/>
    <x v="2045"/>
    <m/>
    <m/>
  </r>
  <r>
    <x v="24"/>
    <d v="2022-10-07T00:00:00"/>
    <s v="POWERPLUS"/>
    <x v="2599"/>
    <n v="3.1"/>
    <x v="32"/>
    <e v="#N/A"/>
    <s v="Exp - Shopping"/>
    <m/>
    <n v="3.1"/>
    <m/>
    <m/>
    <m/>
    <s v="Debit"/>
    <x v="2045"/>
    <m/>
    <m/>
  </r>
  <r>
    <x v="24"/>
    <d v="2022-10-08T00:00:00"/>
    <s v="DISCOVER MORE CARD"/>
    <x v="2600"/>
    <n v="24.69"/>
    <x v="41"/>
    <e v="#N/A"/>
    <s v="Exp - Amazon"/>
    <m/>
    <n v="24.69"/>
    <m/>
    <m/>
    <s v="debit"/>
    <m/>
    <x v="2362"/>
    <m/>
    <m/>
  </r>
  <r>
    <x v="24"/>
    <d v="2022-10-08T00:00:00"/>
    <s v="DISCOVER MORE CARD"/>
    <x v="56"/>
    <n v="-944.32"/>
    <x v="3"/>
    <s v="Delete"/>
    <m/>
    <m/>
    <n v="944.32"/>
    <m/>
    <m/>
    <s v="credit"/>
    <m/>
    <x v="56"/>
    <m/>
    <m/>
  </r>
  <r>
    <x v="24"/>
    <d v="2022-10-09T00:00:00"/>
    <s v="DISCOVER MORE CARD"/>
    <x v="2601"/>
    <n v="13.95"/>
    <x v="41"/>
    <e v="#N/A"/>
    <s v="Exp - Amazon"/>
    <m/>
    <n v="13.95"/>
    <m/>
    <m/>
    <s v="debit"/>
    <m/>
    <x v="2363"/>
    <m/>
    <m/>
  </r>
  <r>
    <x v="24"/>
    <d v="2022-10-09T00:00:00"/>
    <s v="DISCOVER MORE CARD"/>
    <x v="2602"/>
    <n v="20.28"/>
    <x v="39"/>
    <e v="#N/A"/>
    <s v="Exp - Restaurants"/>
    <m/>
    <n v="20.28"/>
    <m/>
    <m/>
    <s v="debit"/>
    <m/>
    <x v="2364"/>
    <m/>
    <m/>
  </r>
  <r>
    <x v="24"/>
    <d v="2022-10-09T00:00:00"/>
    <s v="DISCOVER MORE CARD"/>
    <x v="2602"/>
    <n v="34.28"/>
    <x v="39"/>
    <e v="#N/A"/>
    <s v="Exp - Restaurants"/>
    <m/>
    <n v="34.28"/>
    <m/>
    <m/>
    <s v="debit"/>
    <m/>
    <x v="2364"/>
    <m/>
    <m/>
  </r>
  <r>
    <x v="24"/>
    <d v="2022-10-09T00:00:00"/>
    <s v="Cash Rewards Visa Signature"/>
    <x v="2603"/>
    <n v="52.53"/>
    <x v="38"/>
    <e v="#N/A"/>
    <s v="Exp - Groceries"/>
    <m/>
    <n v="52.53"/>
    <m/>
    <m/>
    <s v="debit"/>
    <m/>
    <x v="2365"/>
    <m/>
    <m/>
  </r>
  <r>
    <x v="24"/>
    <d v="2022-10-09T00:00:00"/>
    <s v="Cash Rewards Visa Signature"/>
    <x v="2604"/>
    <n v="40.96"/>
    <x v="38"/>
    <e v="#N/A"/>
    <s v="Exp - Groceries"/>
    <m/>
    <n v="40.96"/>
    <m/>
    <m/>
    <s v="debit"/>
    <m/>
    <x v="2366"/>
    <m/>
    <m/>
  </r>
  <r>
    <x v="24"/>
    <d v="2022-10-09T00:00:00"/>
    <s v="Cash Rewards Visa Signature"/>
    <x v="2605"/>
    <n v="47.32"/>
    <x v="49"/>
    <e v="#N/A"/>
    <s v="Exp - Gym"/>
    <m/>
    <n v="47.32"/>
    <m/>
    <m/>
    <s v="debit"/>
    <m/>
    <x v="2367"/>
    <m/>
    <m/>
  </r>
  <r>
    <x v="24"/>
    <d v="2022-10-09T00:00:00"/>
    <s v="Cash Rewards Visa Signature"/>
    <x v="2606"/>
    <n v="67.819999999999993"/>
    <x v="39"/>
    <e v="#N/A"/>
    <s v="Exp - Restaurants"/>
    <m/>
    <n v="67.819999999999993"/>
    <m/>
    <m/>
    <s v="debit"/>
    <m/>
    <x v="2368"/>
    <m/>
    <m/>
  </r>
  <r>
    <x v="24"/>
    <d v="2022-10-09T00:00:00"/>
    <s v="Cash Rewards Visa Signature"/>
    <x v="2607"/>
    <n v="56.74"/>
    <x v="39"/>
    <e v="#N/A"/>
    <s v="Exp - Restaurants"/>
    <m/>
    <n v="56.74"/>
    <m/>
    <m/>
    <s v="debit"/>
    <m/>
    <x v="2369"/>
    <m/>
    <m/>
  </r>
  <r>
    <x v="24"/>
    <d v="2022-10-10T00:00:00"/>
    <s v="Cash Rewards Visa Signature"/>
    <x v="2608"/>
    <n v="26.9"/>
    <x v="39"/>
    <e v="#N/A"/>
    <s v="Exp - Restaurants"/>
    <m/>
    <n v="26.9"/>
    <m/>
    <m/>
    <s v="debit"/>
    <m/>
    <x v="2370"/>
    <m/>
    <m/>
  </r>
  <r>
    <x v="24"/>
    <d v="2022-10-10T00:00:00"/>
    <s v="DISCOVER MORE CARD"/>
    <x v="2609"/>
    <n v="9.4"/>
    <x v="32"/>
    <e v="#N/A"/>
    <s v="Exp - Shopping"/>
    <m/>
    <n v="9.4"/>
    <m/>
    <m/>
    <s v="debit"/>
    <m/>
    <x v="2371"/>
    <m/>
    <m/>
  </r>
  <r>
    <x v="24"/>
    <d v="2022-10-10T00:00:00"/>
    <s v="DISCOVER MORE CARD"/>
    <x v="2610"/>
    <n v="-179.9"/>
    <x v="32"/>
    <e v="#N/A"/>
    <s v="Exp - Shopping"/>
    <m/>
    <n v="179.9"/>
    <m/>
    <m/>
    <s v="credit"/>
    <m/>
    <x v="2372"/>
    <m/>
    <m/>
  </r>
  <r>
    <x v="24"/>
    <d v="2022-10-11T00:00:00"/>
    <s v="DISCOVER MORE CARD"/>
    <x v="2611"/>
    <n v="-600.22"/>
    <x v="41"/>
    <e v="#N/A"/>
    <s v="Exp - Amazon"/>
    <m/>
    <n v="600.22"/>
    <m/>
    <m/>
    <s v="credit"/>
    <m/>
    <x v="2373"/>
    <m/>
    <m/>
  </r>
  <r>
    <x v="24"/>
    <d v="2022-10-11T00:00:00"/>
    <s v="DISCOVER MORE CARD"/>
    <x v="2612"/>
    <n v="-25.76"/>
    <x v="41"/>
    <e v="#N/A"/>
    <s v="Exp - Amazon"/>
    <m/>
    <n v="25.76"/>
    <m/>
    <m/>
    <s v="credit"/>
    <m/>
    <x v="2374"/>
    <m/>
    <m/>
  </r>
  <r>
    <x v="24"/>
    <d v="2022-10-11T00:00:00"/>
    <s v="DISCOVER MORE CARD"/>
    <x v="2613"/>
    <n v="-23.39"/>
    <x v="41"/>
    <e v="#N/A"/>
    <s v="Exp - Amazon"/>
    <m/>
    <n v="23.39"/>
    <m/>
    <m/>
    <s v="credit"/>
    <m/>
    <x v="2375"/>
    <m/>
    <m/>
  </r>
  <r>
    <x v="24"/>
    <d v="2022-10-11T00:00:00"/>
    <s v="DISCOVER MORE CARD"/>
    <x v="2614"/>
    <n v="-9.65"/>
    <x v="41"/>
    <e v="#N/A"/>
    <s v="Exp - Amazon"/>
    <m/>
    <n v="9.65"/>
    <m/>
    <m/>
    <s v="credit"/>
    <m/>
    <x v="2376"/>
    <m/>
    <m/>
  </r>
  <r>
    <x v="24"/>
    <d v="2022-10-11T00:00:00"/>
    <s v="DISCOVER MORE CARD"/>
    <x v="2615"/>
    <n v="28.98"/>
    <x v="41"/>
    <e v="#N/A"/>
    <s v="Exp - Amazon"/>
    <m/>
    <n v="28.98"/>
    <m/>
    <m/>
    <s v="debit"/>
    <m/>
    <x v="2377"/>
    <m/>
    <m/>
  </r>
  <r>
    <x v="24"/>
    <d v="2022-10-11T00:00:00"/>
    <s v="Cash Rewards Visa Signature"/>
    <x v="2616"/>
    <n v="-89.95"/>
    <x v="32"/>
    <e v="#N/A"/>
    <s v="Exp - Shopping"/>
    <m/>
    <n v="89.95"/>
    <m/>
    <m/>
    <s v="credit"/>
    <m/>
    <x v="2378"/>
    <m/>
    <m/>
  </r>
  <r>
    <x v="24"/>
    <d v="2022-10-11T00:00:00"/>
    <s v="Cash Rewards Visa Signature"/>
    <x v="2617"/>
    <n v="46.86"/>
    <x v="39"/>
    <e v="#N/A"/>
    <s v="Exp - Restaurants"/>
    <m/>
    <n v="46.86"/>
    <m/>
    <m/>
    <s v="debit"/>
    <m/>
    <x v="2379"/>
    <m/>
    <m/>
  </r>
  <r>
    <x v="24"/>
    <d v="2022-10-11T00:00:00"/>
    <s v="POWERPLUS"/>
    <x v="2618"/>
    <n v="14.14"/>
    <x v="32"/>
    <e v="#N/A"/>
    <s v="Exp - Shopping"/>
    <m/>
    <n v="14.14"/>
    <m/>
    <m/>
    <m/>
    <s v="Debit"/>
    <x v="2045"/>
    <m/>
    <m/>
  </r>
  <r>
    <x v="24"/>
    <d v="2022-10-11T00:00:00"/>
    <s v="POWERPLUS"/>
    <x v="2619"/>
    <n v="944.32"/>
    <x v="3"/>
    <e v="#N/A"/>
    <s v="Delete"/>
    <m/>
    <n v="944.32"/>
    <m/>
    <m/>
    <m/>
    <s v="Debit"/>
    <x v="2059"/>
    <m/>
    <m/>
  </r>
  <r>
    <x v="24"/>
    <d v="2022-10-12T00:00:00"/>
    <s v="DISCOVER MORE CARD"/>
    <x v="2620"/>
    <n v="9.65"/>
    <x v="41"/>
    <e v="#N/A"/>
    <s v="Exp - Amazon"/>
    <m/>
    <n v="9.65"/>
    <m/>
    <m/>
    <s v="debit"/>
    <m/>
    <x v="2380"/>
    <m/>
    <m/>
  </r>
  <r>
    <x v="24"/>
    <d v="2022-10-12T00:00:00"/>
    <s v="DISCOVER MORE CARD"/>
    <x v="2621"/>
    <n v="133.86000000000001"/>
    <x v="41"/>
    <e v="#N/A"/>
    <s v="Exp - Amazon"/>
    <m/>
    <n v="133.86000000000001"/>
    <m/>
    <m/>
    <s v="debit"/>
    <m/>
    <x v="2381"/>
    <m/>
    <m/>
  </r>
  <r>
    <x v="24"/>
    <d v="2022-10-12T00:00:00"/>
    <s v="DISCOVER MORE CARD"/>
    <x v="2622"/>
    <n v="19.28"/>
    <x v="41"/>
    <e v="#N/A"/>
    <s v="Exp - Amazon"/>
    <m/>
    <n v="19.28"/>
    <m/>
    <m/>
    <s v="debit"/>
    <m/>
    <x v="2382"/>
    <m/>
    <m/>
  </r>
  <r>
    <x v="24"/>
    <d v="2022-10-12T00:00:00"/>
    <s v="DISCOVER MORE CARD"/>
    <x v="2623"/>
    <n v="21.46"/>
    <x v="41"/>
    <e v="#N/A"/>
    <s v="Exp - Amazon"/>
    <m/>
    <n v="21.46"/>
    <m/>
    <m/>
    <s v="debit"/>
    <m/>
    <x v="2383"/>
    <m/>
    <m/>
  </r>
  <r>
    <x v="24"/>
    <d v="2022-10-12T00:00:00"/>
    <s v="POWERPLUS"/>
    <x v="2624"/>
    <n v="143.13"/>
    <x v="3"/>
    <e v="#N/A"/>
    <s v="Delete"/>
    <m/>
    <n v="143.13"/>
    <m/>
    <m/>
    <m/>
    <s v="Credit"/>
    <x v="2358"/>
    <m/>
    <m/>
  </r>
  <r>
    <x v="24"/>
    <d v="2022-10-12T00:00:00"/>
    <s v="Cash Rewards Visa Signature"/>
    <x v="2625"/>
    <n v="15"/>
    <x v="39"/>
    <e v="#N/A"/>
    <s v="Exp - Restaurants"/>
    <m/>
    <n v="15"/>
    <m/>
    <m/>
    <s v="debit"/>
    <m/>
    <x v="2384"/>
    <m/>
    <m/>
  </r>
  <r>
    <x v="24"/>
    <d v="2022-10-12T00:00:00"/>
    <s v="Cash Rewards Visa Signature"/>
    <x v="2626"/>
    <n v="38.43"/>
    <x v="36"/>
    <e v="#N/A"/>
    <s v="Exp - House Maint"/>
    <m/>
    <n v="38.43"/>
    <m/>
    <m/>
    <s v="debit"/>
    <m/>
    <x v="2385"/>
    <m/>
    <m/>
  </r>
  <r>
    <x v="24"/>
    <d v="2022-10-12T00:00:00"/>
    <s v="POWERPLUS"/>
    <x v="2627"/>
    <n v="315"/>
    <x v="40"/>
    <e v="#N/A"/>
    <s v="Exp - Day Care"/>
    <m/>
    <n v="315"/>
    <m/>
    <m/>
    <m/>
    <s v="Debit"/>
    <x v="2007"/>
    <m/>
    <m/>
  </r>
  <r>
    <x v="24"/>
    <d v="2022-10-12T00:00:00"/>
    <s v="POWERPLUS"/>
    <x v="2628"/>
    <n v="14.14"/>
    <x v="32"/>
    <e v="#N/A"/>
    <s v="Exp - Shopping"/>
    <m/>
    <n v="14.14"/>
    <m/>
    <m/>
    <m/>
    <s v="Debit"/>
    <x v="2045"/>
    <m/>
    <m/>
  </r>
  <r>
    <x v="24"/>
    <d v="2022-10-13T00:00:00"/>
    <s v="Cash Rewards Visa Signature"/>
    <x v="2629"/>
    <n v="45"/>
    <x v="42"/>
    <e v="#N/A"/>
    <s v="Exp - Utilities"/>
    <m/>
    <n v="45"/>
    <m/>
    <m/>
    <s v="debit"/>
    <m/>
    <x v="2386"/>
    <m/>
    <m/>
  </r>
  <r>
    <x v="24"/>
    <d v="2022-10-13T00:00:00"/>
    <s v="POWERPLUS"/>
    <x v="2630"/>
    <n v="3654.36"/>
    <x v="14"/>
    <e v="#N/A"/>
    <s v="Inc - Britney"/>
    <m/>
    <n v="3654.36"/>
    <m/>
    <m/>
    <m/>
    <s v="Credit"/>
    <x v="2014"/>
    <m/>
    <m/>
  </r>
  <r>
    <x v="24"/>
    <d v="2022-10-13T00:00:00"/>
    <s v="POWERPLUS"/>
    <x v="2631"/>
    <n v="86.8"/>
    <x v="3"/>
    <e v="#N/A"/>
    <s v="Delete"/>
    <m/>
    <n v="86.8"/>
    <m/>
    <m/>
    <m/>
    <s v="Credit"/>
    <x v="2358"/>
    <m/>
    <m/>
  </r>
  <r>
    <x v="24"/>
    <d v="2022-10-13T00:00:00"/>
    <s v="POWERPLUS"/>
    <x v="2632"/>
    <n v="3265.44"/>
    <x v="15"/>
    <e v="#N/A"/>
    <s v="Inc - Jeff"/>
    <m/>
    <n v="3265.44"/>
    <m/>
    <m/>
    <m/>
    <s v="Credit"/>
    <x v="2139"/>
    <m/>
    <m/>
  </r>
  <r>
    <x v="24"/>
    <d v="2022-10-13T00:00:00"/>
    <s v="Cash Rewards Visa Signature"/>
    <x v="2633"/>
    <n v="70.569999999999993"/>
    <x v="39"/>
    <e v="#N/A"/>
    <s v="Exp - Restaurants"/>
    <m/>
    <n v="70.569999999999993"/>
    <m/>
    <m/>
    <s v="debit"/>
    <m/>
    <x v="2387"/>
    <m/>
    <m/>
  </r>
  <r>
    <x v="24"/>
    <d v="2022-10-13T00:00:00"/>
    <s v="Cash Rewards Visa Signature"/>
    <x v="2634"/>
    <n v="35.97"/>
    <x v="38"/>
    <e v="#N/A"/>
    <s v="Exp - Groceries"/>
    <m/>
    <n v="35.97"/>
    <m/>
    <m/>
    <s v="debit"/>
    <m/>
    <x v="2388"/>
    <m/>
    <m/>
  </r>
  <r>
    <x v="24"/>
    <d v="2022-10-13T00:00:00"/>
    <s v="Cash Rewards Visa Signature"/>
    <x v="2635"/>
    <n v="119.35"/>
    <x v="37"/>
    <e v="#N/A"/>
    <s v="Exp - Transportation"/>
    <m/>
    <n v="119.35"/>
    <m/>
    <m/>
    <s v="debit"/>
    <m/>
    <x v="2389"/>
    <m/>
    <m/>
  </r>
  <r>
    <x v="24"/>
    <d v="2022-10-13T00:00:00"/>
    <s v="POWERPLUS"/>
    <x v="2171"/>
    <n v="1201.01"/>
    <x v="3"/>
    <e v="#N/A"/>
    <s v="Delete"/>
    <m/>
    <n v="1201.01"/>
    <m/>
    <m/>
    <m/>
    <s v="Debit"/>
    <x v="2021"/>
    <m/>
    <m/>
  </r>
  <r>
    <x v="24"/>
    <d v="2022-10-13T00:00:00"/>
    <s v="Cash Rewards Visa Signature"/>
    <x v="2636"/>
    <n v="-1201.01"/>
    <x v="3"/>
    <e v="#N/A"/>
    <s v="Delete"/>
    <m/>
    <n v="1201.01"/>
    <m/>
    <m/>
    <s v="credit"/>
    <m/>
    <x v="2390"/>
    <m/>
    <m/>
  </r>
  <r>
    <x v="24"/>
    <d v="2022-10-14T00:00:00"/>
    <s v="DISCOVER MORE CARD"/>
    <x v="2637"/>
    <n v="606.65"/>
    <x v="41"/>
    <e v="#N/A"/>
    <s v="Exp - Amazon"/>
    <m/>
    <n v="606.65"/>
    <m/>
    <m/>
    <s v="debit"/>
    <m/>
    <x v="2391"/>
    <m/>
    <m/>
  </r>
  <r>
    <x v="24"/>
    <d v="2022-10-14T00:00:00"/>
    <s v="DISCOVER MORE CARD"/>
    <x v="2638"/>
    <n v="73.8"/>
    <x v="41"/>
    <e v="#N/A"/>
    <s v="Exp - Amazon"/>
    <m/>
    <n v="73.8"/>
    <m/>
    <m/>
    <s v="debit"/>
    <m/>
    <x v="2392"/>
    <m/>
    <m/>
  </r>
  <r>
    <x v="24"/>
    <d v="2022-10-14T00:00:00"/>
    <s v="POWERPLUS"/>
    <x v="2639"/>
    <n v="335.17"/>
    <x v="32"/>
    <e v="#N/A"/>
    <s v="Exp - Shopping"/>
    <m/>
    <n v="335.17"/>
    <m/>
    <m/>
    <m/>
    <s v="Debit"/>
    <x v="2393"/>
    <m/>
    <m/>
  </r>
  <r>
    <x v="24"/>
    <d v="2022-10-14T00:00:00"/>
    <s v="POWERPLUS"/>
    <x v="2640"/>
    <n v="58"/>
    <x v="32"/>
    <e v="#N/A"/>
    <s v="Exp - Shopping"/>
    <m/>
    <n v="58"/>
    <m/>
    <m/>
    <m/>
    <s v="Debit"/>
    <x v="2045"/>
    <m/>
    <m/>
  </r>
  <r>
    <x v="24"/>
    <d v="2022-10-14T00:00:00"/>
    <s v="POWERPLUS"/>
    <x v="2641"/>
    <n v="102.48"/>
    <x v="54"/>
    <e v="#N/A"/>
    <s v="Exp - Insurance"/>
    <m/>
    <n v="102.48"/>
    <m/>
    <m/>
    <m/>
    <s v="Debit"/>
    <x v="2161"/>
    <m/>
    <m/>
  </r>
  <r>
    <x v="24"/>
    <d v="2022-10-15T00:00:00"/>
    <s v="DISCOVER MORE CARD"/>
    <x v="2642"/>
    <n v="44.09"/>
    <x v="41"/>
    <e v="#N/A"/>
    <s v="Exp - Amazon"/>
    <m/>
    <n v="44.09"/>
    <m/>
    <m/>
    <s v="debit"/>
    <m/>
    <x v="2394"/>
    <m/>
    <m/>
  </r>
  <r>
    <x v="24"/>
    <d v="2022-10-15T00:00:00"/>
    <s v="DISCOVER MORE CARD"/>
    <x v="2643"/>
    <n v="51.92"/>
    <x v="39"/>
    <e v="#N/A"/>
    <s v="Exp - Restaurants"/>
    <m/>
    <n v="51.92"/>
    <m/>
    <m/>
    <s v="debit"/>
    <m/>
    <x v="2395"/>
    <m/>
    <m/>
  </r>
  <r>
    <x v="24"/>
    <d v="2022-10-16T00:00:00"/>
    <s v="DISCOVER MORE CARD"/>
    <x v="2644"/>
    <n v="-24.69"/>
    <x v="41"/>
    <e v="#N/A"/>
    <s v="Exp - Amazon"/>
    <m/>
    <n v="24.69"/>
    <m/>
    <m/>
    <s v="credit"/>
    <m/>
    <x v="2396"/>
    <m/>
    <m/>
  </r>
  <r>
    <x v="24"/>
    <d v="2022-10-16T00:00:00"/>
    <s v="DISCOVER MORE CARD"/>
    <x v="2645"/>
    <n v="-17.170000000000002"/>
    <x v="41"/>
    <e v="#N/A"/>
    <s v="Exp - Amazon"/>
    <m/>
    <n v="17.170000000000002"/>
    <m/>
    <m/>
    <s v="credit"/>
    <m/>
    <x v="2397"/>
    <m/>
    <m/>
  </r>
  <r>
    <x v="24"/>
    <d v="2022-10-16T00:00:00"/>
    <s v="DISCOVER MORE CARD"/>
    <x v="2646"/>
    <n v="-28.99"/>
    <x v="41"/>
    <e v="#N/A"/>
    <s v="Exp - Amazon"/>
    <m/>
    <n v="28.99"/>
    <m/>
    <m/>
    <s v="credit"/>
    <m/>
    <x v="2398"/>
    <m/>
    <m/>
  </r>
  <r>
    <x v="24"/>
    <d v="2022-10-16T00:00:00"/>
    <s v="Cash Rewards Visa Signature"/>
    <x v="2647"/>
    <n v="51"/>
    <x v="35"/>
    <e v="#N/A"/>
    <s v="Exp - Entertainment"/>
    <m/>
    <n v="51"/>
    <m/>
    <m/>
    <s v="debit"/>
    <m/>
    <x v="2399"/>
    <m/>
    <m/>
  </r>
  <r>
    <x v="24"/>
    <d v="2022-10-16T00:00:00"/>
    <s v="Cash Rewards Visa Signature"/>
    <x v="2648"/>
    <n v="337.2"/>
    <x v="43"/>
    <e v="#N/A"/>
    <s v="Exp - Travel"/>
    <m/>
    <n v="337.2"/>
    <m/>
    <m/>
    <s v="debit"/>
    <m/>
    <x v="2400"/>
    <m/>
    <m/>
  </r>
  <r>
    <x v="24"/>
    <d v="2022-10-16T00:00:00"/>
    <s v="POWERPLUS"/>
    <x v="2649"/>
    <n v="292.79000000000002"/>
    <x v="3"/>
    <e v="#N/A"/>
    <s v="Delete"/>
    <m/>
    <n v="292.79000000000002"/>
    <m/>
    <m/>
    <m/>
    <s v="Credit"/>
    <x v="2358"/>
    <m/>
    <m/>
  </r>
  <r>
    <x v="24"/>
    <d v="2022-10-16T00:00:00"/>
    <s v="Cash Rewards Visa Signature"/>
    <x v="2650"/>
    <n v="527.99"/>
    <x v="43"/>
    <e v="#N/A"/>
    <s v="Exp - Travel"/>
    <m/>
    <n v="527.99"/>
    <m/>
    <m/>
    <s v="debit"/>
    <m/>
    <x v="2401"/>
    <m/>
    <m/>
  </r>
  <r>
    <x v="24"/>
    <d v="2022-10-16T00:00:00"/>
    <s v="Cash Rewards Visa Signature"/>
    <x v="2651"/>
    <n v="25.12"/>
    <x v="37"/>
    <e v="#N/A"/>
    <s v="Exp - Transportation"/>
    <m/>
    <n v="25.12"/>
    <m/>
    <m/>
    <s v="debit"/>
    <m/>
    <x v="2402"/>
    <m/>
    <m/>
  </r>
  <r>
    <x v="24"/>
    <d v="2022-10-17T00:00:00"/>
    <s v="POWERPLUS"/>
    <x v="2652"/>
    <n v="89.78"/>
    <x v="3"/>
    <e v="#N/A"/>
    <s v="Delete"/>
    <m/>
    <n v="89.78"/>
    <m/>
    <m/>
    <m/>
    <s v="Credit"/>
    <x v="2358"/>
    <m/>
    <m/>
  </r>
  <r>
    <x v="24"/>
    <d v="2022-10-17T00:00:00"/>
    <s v="Cash Rewards Visa Signature"/>
    <x v="2653"/>
    <n v="42.55"/>
    <x v="38"/>
    <e v="#N/A"/>
    <s v="Exp - Groceries"/>
    <m/>
    <n v="42.55"/>
    <m/>
    <m/>
    <s v="debit"/>
    <m/>
    <x v="2403"/>
    <m/>
    <m/>
  </r>
  <r>
    <x v="24"/>
    <d v="2022-10-17T00:00:00"/>
    <s v="Cash Rewards Visa Signature"/>
    <x v="2654"/>
    <n v="8.58"/>
    <x v="42"/>
    <e v="#N/A"/>
    <s v="Exp - Utilities"/>
    <m/>
    <n v="8.58"/>
    <m/>
    <m/>
    <s v="debit"/>
    <m/>
    <x v="2404"/>
    <m/>
    <m/>
  </r>
  <r>
    <x v="24"/>
    <d v="2022-10-17T00:00:00"/>
    <s v="POWERPLUS"/>
    <x v="2655"/>
    <n v="0.31"/>
    <x v="32"/>
    <e v="#N/A"/>
    <s v="Exp - Shopping"/>
    <m/>
    <n v="0.31"/>
    <m/>
    <m/>
    <m/>
    <s v="Debit"/>
    <x v="2045"/>
    <m/>
    <m/>
  </r>
  <r>
    <x v="24"/>
    <d v="2022-10-17T00:00:00"/>
    <s v="POWERPLUS"/>
    <x v="2656"/>
    <n v="29.2"/>
    <x v="3"/>
    <e v="#N/A"/>
    <s v="Delete"/>
    <m/>
    <n v="29.2"/>
    <m/>
    <m/>
    <m/>
    <s v="Debit"/>
    <x v="2405"/>
    <m/>
    <m/>
  </r>
  <r>
    <x v="24"/>
    <d v="2022-10-17T00:00:00"/>
    <s v="POWERPLUS"/>
    <x v="2657"/>
    <n v="1.5"/>
    <x v="32"/>
    <e v="#N/A"/>
    <s v="Exp - Shopping"/>
    <m/>
    <n v="1.5"/>
    <m/>
    <m/>
    <m/>
    <s v="Debit"/>
    <x v="2205"/>
    <m/>
    <m/>
  </r>
  <r>
    <x v="24"/>
    <d v="2022-10-17T00:00:00"/>
    <s v="POWERPLUS"/>
    <x v="2658"/>
    <n v="128"/>
    <x v="32"/>
    <e v="#N/A"/>
    <s v="Exp - Shopping"/>
    <m/>
    <n v="128"/>
    <m/>
    <m/>
    <m/>
    <s v="Debit"/>
    <x v="2053"/>
    <m/>
    <m/>
  </r>
  <r>
    <x v="24"/>
    <d v="2022-10-18T00:00:00"/>
    <s v="Cash Rewards Visa Signature"/>
    <x v="2659"/>
    <n v="103.39"/>
    <x v="38"/>
    <e v="#N/A"/>
    <s v="Exp - Groceries"/>
    <m/>
    <n v="103.39"/>
    <m/>
    <m/>
    <s v="debit"/>
    <m/>
    <x v="2406"/>
    <m/>
    <m/>
  </r>
  <r>
    <x v="24"/>
    <d v="2022-10-18T00:00:00"/>
    <s v="Cash Rewards Visa Signature"/>
    <x v="2660"/>
    <n v="46.38"/>
    <x v="39"/>
    <e v="#N/A"/>
    <s v="Exp - Restaurants"/>
    <m/>
    <n v="46.38"/>
    <m/>
    <m/>
    <s v="debit"/>
    <m/>
    <x v="2407"/>
    <m/>
    <m/>
  </r>
  <r>
    <x v="24"/>
    <d v="2022-10-18T00:00:00"/>
    <s v="Cash Rewards Visa Signature"/>
    <x v="2661"/>
    <n v="73.75"/>
    <x v="32"/>
    <e v="#N/A"/>
    <s v="Exp - Shopping"/>
    <m/>
    <n v="73.75"/>
    <m/>
    <m/>
    <s v="debit"/>
    <m/>
    <x v="2408"/>
    <m/>
    <m/>
  </r>
  <r>
    <x v="24"/>
    <d v="2022-10-18T00:00:00"/>
    <s v="Cash Rewards Visa Signature"/>
    <x v="2662"/>
    <n v="20"/>
    <x v="39"/>
    <e v="#N/A"/>
    <s v="Exp - Restaurants"/>
    <m/>
    <n v="20"/>
    <m/>
    <m/>
    <s v="debit"/>
    <m/>
    <x v="2409"/>
    <m/>
    <m/>
  </r>
  <r>
    <x v="24"/>
    <d v="2022-10-18T00:00:00"/>
    <s v="Cash Rewards Visa Signature"/>
    <x v="2663"/>
    <n v="35.69"/>
    <x v="39"/>
    <e v="#N/A"/>
    <s v="Exp - Restaurants"/>
    <m/>
    <n v="35.69"/>
    <m/>
    <m/>
    <s v="debit"/>
    <m/>
    <x v="2410"/>
    <m/>
    <m/>
  </r>
  <r>
    <x v="24"/>
    <d v="2022-10-18T00:00:00"/>
    <s v="POWERPLUS"/>
    <x v="2664"/>
    <n v="315"/>
    <x v="40"/>
    <e v="#N/A"/>
    <s v="Exp - Day Care"/>
    <m/>
    <n v="315"/>
    <m/>
    <m/>
    <m/>
    <s v="Debit"/>
    <x v="2007"/>
    <m/>
    <m/>
  </r>
  <r>
    <x v="24"/>
    <d v="2022-10-18T00:00:00"/>
    <s v="POWERPLUS"/>
    <x v="2665"/>
    <n v="200"/>
    <x v="32"/>
    <e v="#N/A"/>
    <s v="Exp - Shopping"/>
    <m/>
    <n v="200"/>
    <m/>
    <m/>
    <m/>
    <s v="Debit"/>
    <x v="2174"/>
    <m/>
    <m/>
  </r>
  <r>
    <x v="24"/>
    <d v="2022-10-18T00:00:00"/>
    <s v="POWERPLUS"/>
    <x v="2666"/>
    <n v="174"/>
    <x v="46"/>
    <e v="#N/A"/>
    <s v="Exp - Healthcare"/>
    <m/>
    <n v="174"/>
    <m/>
    <m/>
    <m/>
    <s v="Debit"/>
    <x v="2129"/>
    <m/>
    <m/>
  </r>
  <r>
    <x v="24"/>
    <d v="2022-10-19T00:00:00"/>
    <s v="DISCOVER MORE CARD"/>
    <x v="2667"/>
    <n v="41.51"/>
    <x v="41"/>
    <e v="#N/A"/>
    <s v="Exp - Amazon"/>
    <m/>
    <n v="41.51"/>
    <m/>
    <m/>
    <s v="debit"/>
    <m/>
    <x v="2411"/>
    <m/>
    <m/>
  </r>
  <r>
    <x v="24"/>
    <d v="2022-10-20T00:00:00"/>
    <s v="DISCOVER MORE CARD"/>
    <x v="2668"/>
    <n v="54.32"/>
    <x v="41"/>
    <e v="#N/A"/>
    <s v="Exp - Amazon"/>
    <m/>
    <n v="54.32"/>
    <m/>
    <m/>
    <s v="debit"/>
    <m/>
    <x v="2412"/>
    <m/>
    <m/>
  </r>
  <r>
    <x v="24"/>
    <d v="2022-10-27T00:00:00"/>
    <s v="POWERPLUS"/>
    <x v="2669"/>
    <n v="279.39999999999998"/>
    <x v="32"/>
    <e v="#N/A"/>
    <s v="Exp - Shopping"/>
    <s v="Check"/>
    <n v="279.39999999999998"/>
    <m/>
    <m/>
    <m/>
    <s v="Debit"/>
    <x v="2413"/>
    <m/>
    <m/>
  </r>
  <r>
    <x v="24"/>
    <d v="2022-10-20T00:00:00"/>
    <s v="Cash Rewards Visa Signature"/>
    <x v="2670"/>
    <n v="52.86"/>
    <x v="37"/>
    <e v="#N/A"/>
    <s v="Exp - Transportation"/>
    <m/>
    <n v="52.86"/>
    <m/>
    <m/>
    <s v="debit"/>
    <m/>
    <x v="2414"/>
    <m/>
    <m/>
  </r>
  <r>
    <x v="24"/>
    <d v="2022-10-20T00:00:00"/>
    <s v="Cash Rewards Visa Signature"/>
    <x v="2671"/>
    <n v="65.540000000000006"/>
    <x v="37"/>
    <e v="#N/A"/>
    <s v="Exp - Transportation"/>
    <m/>
    <n v="65.540000000000006"/>
    <m/>
    <m/>
    <s v="debit"/>
    <m/>
    <x v="2415"/>
    <m/>
    <m/>
  </r>
  <r>
    <x v="24"/>
    <d v="2022-10-20T00:00:00"/>
    <s v="Cash Rewards Visa Signature"/>
    <x v="2672"/>
    <n v="31.63"/>
    <x v="32"/>
    <e v="#N/A"/>
    <s v="Exp - Shopping"/>
    <m/>
    <n v="31.63"/>
    <m/>
    <m/>
    <s v="debit"/>
    <m/>
    <x v="2416"/>
    <m/>
    <m/>
  </r>
  <r>
    <x v="24"/>
    <d v="2022-10-21T00:00:00"/>
    <s v="Cash Rewards Visa Signature"/>
    <x v="2673"/>
    <n v="11"/>
    <x v="36"/>
    <e v="#N/A"/>
    <s v="Exp - House Maint"/>
    <m/>
    <n v="11"/>
    <m/>
    <m/>
    <s v="debit"/>
    <m/>
    <x v="2417"/>
    <m/>
    <m/>
  </r>
  <r>
    <x v="24"/>
    <d v="2022-10-21T00:00:00"/>
    <s v="Cash Rewards Visa Signature"/>
    <x v="2674"/>
    <n v="16.73"/>
    <x v="42"/>
    <e v="#N/A"/>
    <s v="Exp - Utilities"/>
    <m/>
    <n v="16.73"/>
    <m/>
    <m/>
    <s v="debit"/>
    <m/>
    <x v="2418"/>
    <m/>
    <m/>
  </r>
  <r>
    <x v="24"/>
    <d v="2022-10-21T00:00:00"/>
    <s v="POWERPLUS"/>
    <x v="2675"/>
    <n v="59.07"/>
    <x v="42"/>
    <e v="#N/A"/>
    <s v="Exp - Utilities"/>
    <m/>
    <n v="59.07"/>
    <m/>
    <m/>
    <m/>
    <s v="Debit"/>
    <x v="2020"/>
    <m/>
    <m/>
  </r>
  <r>
    <x v="24"/>
    <d v="2022-10-21T00:00:00"/>
    <s v="POWERPLUS"/>
    <x v="2676"/>
    <n v="5.39"/>
    <x v="32"/>
    <e v="#N/A"/>
    <s v="Exp - Shopping"/>
    <m/>
    <n v="5.39"/>
    <m/>
    <m/>
    <m/>
    <s v="Debit"/>
    <x v="2045"/>
    <m/>
    <m/>
  </r>
  <r>
    <x v="24"/>
    <d v="2022-10-21T00:00:00"/>
    <s v="POWERPLUS"/>
    <x v="2677"/>
    <n v="125"/>
    <x v="32"/>
    <e v="#N/A"/>
    <s v="Exp - Shopping"/>
    <m/>
    <n v="125"/>
    <m/>
    <m/>
    <m/>
    <s v="Debit"/>
    <x v="2053"/>
    <m/>
    <m/>
  </r>
  <r>
    <x v="24"/>
    <d v="2022-10-22T00:00:00"/>
    <s v="DISCOVER MORE CARD"/>
    <x v="2678"/>
    <n v="21.46"/>
    <x v="41"/>
    <e v="#N/A"/>
    <s v="Exp - Amazon"/>
    <m/>
    <n v="21.46"/>
    <m/>
    <m/>
    <s v="debit"/>
    <m/>
    <x v="2419"/>
    <m/>
    <m/>
  </r>
  <r>
    <x v="24"/>
    <d v="2022-10-23T00:00:00"/>
    <s v="DISCOVER MORE CARD"/>
    <x v="2679"/>
    <n v="39.89"/>
    <x v="41"/>
    <e v="#N/A"/>
    <s v="Exp - Amazon"/>
    <m/>
    <n v="39.89"/>
    <m/>
    <m/>
    <s v="debit"/>
    <m/>
    <x v="2420"/>
    <m/>
    <m/>
  </r>
  <r>
    <x v="24"/>
    <d v="2022-10-23T00:00:00"/>
    <s v="DISCOVER MORE CARD"/>
    <x v="2680"/>
    <n v="36.5"/>
    <x v="41"/>
    <e v="#N/A"/>
    <s v="Exp - Amazon"/>
    <m/>
    <n v="36.5"/>
    <m/>
    <m/>
    <s v="debit"/>
    <m/>
    <x v="2421"/>
    <m/>
    <m/>
  </r>
  <r>
    <x v="24"/>
    <d v="2022-10-23T00:00:00"/>
    <s v="Cash Rewards Visa Signature"/>
    <x v="2681"/>
    <n v="82.92"/>
    <x v="38"/>
    <e v="#N/A"/>
    <s v="Exp - Groceries"/>
    <m/>
    <n v="82.92"/>
    <m/>
    <m/>
    <s v="debit"/>
    <m/>
    <x v="2422"/>
    <m/>
    <m/>
  </r>
  <r>
    <x v="24"/>
    <d v="2022-10-23T00:00:00"/>
    <s v="Cash Rewards Visa Signature"/>
    <x v="2682"/>
    <n v="11.69"/>
    <x v="38"/>
    <e v="#N/A"/>
    <s v="Exp - Groceries"/>
    <m/>
    <n v="11.69"/>
    <m/>
    <m/>
    <s v="debit"/>
    <m/>
    <x v="2423"/>
    <m/>
    <m/>
  </r>
  <r>
    <x v="24"/>
    <d v="2022-10-23T00:00:00"/>
    <s v="Cash Rewards Visa Signature"/>
    <x v="2683"/>
    <n v="30.09"/>
    <x v="38"/>
    <e v="#N/A"/>
    <s v="Exp - Groceries"/>
    <m/>
    <n v="30.09"/>
    <m/>
    <m/>
    <s v="debit"/>
    <m/>
    <x v="2424"/>
    <m/>
    <m/>
  </r>
  <r>
    <x v="24"/>
    <d v="2022-10-23T00:00:00"/>
    <s v="POWERPLUS"/>
    <x v="2684"/>
    <n v="67.930000000000007"/>
    <x v="14"/>
    <e v="#N/A"/>
    <s v="Inc - Britney"/>
    <m/>
    <n v="67.930000000000007"/>
    <m/>
    <m/>
    <m/>
    <s v="Credit"/>
    <x v="2050"/>
    <m/>
    <m/>
  </r>
  <r>
    <x v="24"/>
    <d v="2022-10-23T00:00:00"/>
    <s v="Cash Rewards Visa Signature"/>
    <x v="2685"/>
    <n v="3.23"/>
    <x v="38"/>
    <e v="#N/A"/>
    <s v="Exp - Groceries"/>
    <m/>
    <n v="3.23"/>
    <m/>
    <m/>
    <s v="debit"/>
    <m/>
    <x v="2425"/>
    <m/>
    <m/>
  </r>
  <r>
    <x v="24"/>
    <d v="2022-10-23T00:00:00"/>
    <s v="Cash Rewards Visa Signature"/>
    <x v="2686"/>
    <n v="16.63"/>
    <x v="37"/>
    <e v="#N/A"/>
    <s v="Exp - Transportation"/>
    <m/>
    <n v="16.63"/>
    <m/>
    <m/>
    <s v="debit"/>
    <m/>
    <x v="2426"/>
    <m/>
    <m/>
  </r>
  <r>
    <x v="24"/>
    <d v="2022-10-23T00:00:00"/>
    <s v="Cash Rewards Visa Signature"/>
    <x v="2687"/>
    <n v="25.93"/>
    <x v="38"/>
    <e v="#N/A"/>
    <s v="Exp - Groceries"/>
    <m/>
    <n v="25.93"/>
    <m/>
    <m/>
    <s v="debit"/>
    <m/>
    <x v="2427"/>
    <m/>
    <m/>
  </r>
  <r>
    <x v="24"/>
    <d v="2022-10-23T00:00:00"/>
    <s v="POWERPLUS"/>
    <x v="2688"/>
    <n v="100"/>
    <x v="3"/>
    <e v="#N/A"/>
    <s v="Delete"/>
    <m/>
    <n v="100"/>
    <m/>
    <m/>
    <m/>
    <s v="Debit"/>
    <x v="2428"/>
    <m/>
    <m/>
  </r>
  <r>
    <x v="24"/>
    <d v="2022-10-24T00:00:00"/>
    <s v="Cash Rewards Visa Signature"/>
    <x v="2689"/>
    <n v="107.51"/>
    <x v="38"/>
    <e v="#N/A"/>
    <s v="Exp - Groceries"/>
    <m/>
    <n v="107.51"/>
    <m/>
    <m/>
    <s v="debit"/>
    <m/>
    <x v="2429"/>
    <m/>
    <m/>
  </r>
  <r>
    <x v="24"/>
    <d v="2022-10-20T00:00:00"/>
    <s v="POWERPLUS"/>
    <x v="2690"/>
    <n v="250"/>
    <x v="51"/>
    <e v="#N/A"/>
    <s v="Exp - Gifts"/>
    <s v="check for lily college"/>
    <n v="250"/>
    <m/>
    <m/>
    <m/>
    <s v="Debit"/>
    <x v="2430"/>
    <m/>
    <m/>
  </r>
  <r>
    <x v="24"/>
    <d v="2022-10-24T00:00:00"/>
    <s v="DISCOVER MORE CARD"/>
    <x v="2691"/>
    <n v="56"/>
    <x v="32"/>
    <e v="#N/A"/>
    <s v="Exp - Shopping"/>
    <m/>
    <n v="56"/>
    <m/>
    <m/>
    <s v="debit"/>
    <m/>
    <x v="2431"/>
    <m/>
    <m/>
  </r>
  <r>
    <x v="24"/>
    <d v="2022-10-24T00:00:00"/>
    <s v="Cash Rewards Visa Signature"/>
    <x v="2692"/>
    <n v="33.880000000000003"/>
    <x v="39"/>
    <e v="#N/A"/>
    <s v="Exp - Restaurants"/>
    <m/>
    <n v="33.880000000000003"/>
    <m/>
    <m/>
    <s v="debit"/>
    <m/>
    <x v="2432"/>
    <m/>
    <m/>
  </r>
  <r>
    <x v="24"/>
    <d v="2022-10-24T00:00:00"/>
    <s v="POWERPLUS"/>
    <x v="2693"/>
    <n v="18.350000000000001"/>
    <x v="32"/>
    <e v="#N/A"/>
    <s v="Exp - Shopping"/>
    <m/>
    <n v="18.350000000000001"/>
    <m/>
    <m/>
    <m/>
    <s v="Debit"/>
    <x v="2045"/>
    <m/>
    <m/>
  </r>
  <r>
    <x v="24"/>
    <d v="2022-10-25T00:00:00"/>
    <s v="Cash Rewards Visa Signature"/>
    <x v="2694"/>
    <n v="204.35"/>
    <x v="44"/>
    <e v="#N/A"/>
    <s v="Exp - Misc"/>
    <m/>
    <n v="204.35"/>
    <m/>
    <m/>
    <s v="debit"/>
    <m/>
    <x v="2433"/>
    <m/>
    <m/>
  </r>
  <r>
    <x v="24"/>
    <d v="2022-10-25T00:00:00"/>
    <s v="DISCOVER MORE CARD"/>
    <x v="1885"/>
    <n v="-76.52"/>
    <x v="23"/>
    <s v="Delete"/>
    <m/>
    <m/>
    <n v="76.52"/>
    <m/>
    <m/>
    <s v="credit"/>
    <m/>
    <x v="1738"/>
    <m/>
    <m/>
  </r>
  <r>
    <x v="24"/>
    <d v="2022-10-25T00:00:00"/>
    <s v="DISCOVER MORE CARD"/>
    <x v="2695"/>
    <n v="68.05"/>
    <x v="39"/>
    <e v="#N/A"/>
    <s v="Exp - Restaurants"/>
    <m/>
    <n v="68.05"/>
    <m/>
    <m/>
    <s v="debit"/>
    <m/>
    <x v="2434"/>
    <m/>
    <m/>
  </r>
  <r>
    <x v="24"/>
    <d v="2022-10-25T00:00:00"/>
    <s v="DISCOVER MORE CARD"/>
    <x v="2695"/>
    <n v="53.72"/>
    <x v="39"/>
    <e v="#N/A"/>
    <s v="Exp - Restaurants"/>
    <m/>
    <n v="53.72"/>
    <m/>
    <m/>
    <s v="debit"/>
    <m/>
    <x v="2434"/>
    <m/>
    <m/>
  </r>
  <r>
    <x v="24"/>
    <d v="2022-10-25T00:00:00"/>
    <s v="POWERPLUS"/>
    <x v="2696"/>
    <n v="315"/>
    <x v="40"/>
    <e v="#N/A"/>
    <s v="Exp - Day Care"/>
    <m/>
    <n v="315"/>
    <m/>
    <m/>
    <m/>
    <s v="Debit"/>
    <x v="2007"/>
    <m/>
    <m/>
  </r>
  <r>
    <x v="24"/>
    <d v="2022-10-25T00:00:00"/>
    <s v="POWERPLUS"/>
    <x v="2697"/>
    <n v="174"/>
    <x v="46"/>
    <e v="#N/A"/>
    <s v="Exp - Healthcare"/>
    <m/>
    <n v="174"/>
    <m/>
    <m/>
    <m/>
    <s v="Debit"/>
    <x v="2129"/>
    <m/>
    <m/>
  </r>
  <r>
    <x v="24"/>
    <d v="2022-10-25T00:00:00"/>
    <s v="POWERPLUS"/>
    <x v="2698"/>
    <n v="905.52"/>
    <x v="45"/>
    <e v="#N/A"/>
    <s v="Exp - Target"/>
    <m/>
    <n v="905.52"/>
    <m/>
    <m/>
    <m/>
    <s v="Debit"/>
    <x v="2040"/>
    <m/>
    <m/>
  </r>
  <r>
    <x v="24"/>
    <d v="2022-10-25T00:00:00"/>
    <s v="DISCOVER MORE CARD"/>
    <x v="56"/>
    <n v="-285.82"/>
    <x v="3"/>
    <s v="Delete"/>
    <m/>
    <m/>
    <n v="285.82"/>
    <m/>
    <m/>
    <s v="credit"/>
    <m/>
    <x v="56"/>
    <m/>
    <m/>
  </r>
  <r>
    <x v="24"/>
    <d v="2022-10-26T00:00:00"/>
    <s v="DISCOVER MORE CARD"/>
    <x v="2699"/>
    <n v="5.25"/>
    <x v="41"/>
    <e v="#N/A"/>
    <s v="Exp - Amazon"/>
    <m/>
    <n v="5.25"/>
    <m/>
    <m/>
    <s v="debit"/>
    <m/>
    <x v="2435"/>
    <m/>
    <m/>
  </r>
  <r>
    <x v="24"/>
    <d v="2022-10-26T00:00:00"/>
    <s v="DISCOVER MORE CARD"/>
    <x v="2700"/>
    <n v="1.25"/>
    <x v="37"/>
    <e v="#N/A"/>
    <s v="Exp - Transportation"/>
    <m/>
    <n v="1.25"/>
    <m/>
    <m/>
    <s v="debit"/>
    <m/>
    <x v="2436"/>
    <m/>
    <m/>
  </r>
  <r>
    <x v="24"/>
    <d v="2022-10-26T00:00:00"/>
    <s v="DISCOVER MORE CARD"/>
    <x v="2700"/>
    <n v="4.25"/>
    <x v="37"/>
    <e v="#N/A"/>
    <s v="Exp - Transportation"/>
    <m/>
    <n v="4.25"/>
    <m/>
    <m/>
    <s v="debit"/>
    <m/>
    <x v="2436"/>
    <m/>
    <m/>
  </r>
  <r>
    <x v="24"/>
    <d v="2022-10-26T00:00:00"/>
    <s v="Cash Rewards Visa Signature"/>
    <x v="2701"/>
    <n v="10"/>
    <x v="39"/>
    <e v="#N/A"/>
    <s v="Exp - Restaurants"/>
    <m/>
    <n v="10"/>
    <m/>
    <m/>
    <s v="debit"/>
    <m/>
    <x v="2437"/>
    <m/>
    <m/>
  </r>
  <r>
    <x v="24"/>
    <d v="2022-10-26T00:00:00"/>
    <s v="POWERPLUS"/>
    <x v="2702"/>
    <n v="285.82"/>
    <x v="3"/>
    <e v="#N/A"/>
    <s v="Delete"/>
    <m/>
    <n v="285.82"/>
    <m/>
    <m/>
    <m/>
    <s v="Debit"/>
    <x v="2059"/>
    <m/>
    <m/>
  </r>
  <r>
    <x v="24"/>
    <d v="2022-10-27T00:00:00"/>
    <s v="DISCOVER MORE CARD"/>
    <x v="2703"/>
    <n v="35.979999999999997"/>
    <x v="41"/>
    <e v="#N/A"/>
    <s v="Exp - Amazon"/>
    <m/>
    <n v="35.979999999999997"/>
    <m/>
    <m/>
    <s v="debit"/>
    <m/>
    <x v="2438"/>
    <m/>
    <m/>
  </r>
  <r>
    <x v="24"/>
    <d v="2022-10-27T00:00:00"/>
    <s v="DISCOVER MORE CARD"/>
    <x v="2704"/>
    <n v="6.42"/>
    <x v="41"/>
    <e v="#N/A"/>
    <s v="Exp - Amazon"/>
    <m/>
    <n v="6.42"/>
    <m/>
    <m/>
    <s v="debit"/>
    <m/>
    <x v="2439"/>
    <m/>
    <m/>
  </r>
  <r>
    <x v="24"/>
    <d v="2022-10-27T00:00:00"/>
    <s v="POWERPLUS"/>
    <x v="2705"/>
    <n v="3654.36"/>
    <x v="14"/>
    <e v="#N/A"/>
    <s v="Inc - Britney"/>
    <m/>
    <n v="3654.36"/>
    <m/>
    <m/>
    <m/>
    <s v="Credit"/>
    <x v="2014"/>
    <m/>
    <m/>
  </r>
  <r>
    <x v="24"/>
    <d v="2022-10-27T00:00:00"/>
    <s v="POWERPLUS"/>
    <x v="1065"/>
    <n v="100"/>
    <x v="3"/>
    <s v="Delete"/>
    <m/>
    <m/>
    <n v="100"/>
    <m/>
    <m/>
    <m/>
    <s v="Credit"/>
    <x v="1015"/>
    <m/>
    <m/>
  </r>
  <r>
    <x v="47"/>
    <d v="2023-09-19T00:00:00"/>
    <s v="Powerplus - Ending in 8s46"/>
    <x v="2706"/>
    <n v="53"/>
    <x v="32"/>
    <m/>
    <s v="Exp - Shopping"/>
    <m/>
    <m/>
    <m/>
    <m/>
    <m/>
    <m/>
    <x v="2440"/>
    <m/>
    <m/>
  </r>
  <r>
    <x v="24"/>
    <d v="2022-10-27T00:00:00"/>
    <s v="Cash Rewards Visa Signature"/>
    <x v="2707"/>
    <n v="56.04"/>
    <x v="37"/>
    <e v="#N/A"/>
    <s v="Exp - Transportation"/>
    <m/>
    <n v="56.04"/>
    <m/>
    <m/>
    <s v="debit"/>
    <m/>
    <x v="2441"/>
    <m/>
    <m/>
  </r>
  <r>
    <x v="24"/>
    <d v="2022-10-27T00:00:00"/>
    <s v="DISCOVER MORE CARD"/>
    <x v="2708"/>
    <n v="99.85"/>
    <x v="32"/>
    <e v="#N/A"/>
    <s v="Exp - Shopping"/>
    <m/>
    <n v="99.85"/>
    <m/>
    <m/>
    <s v="debit"/>
    <m/>
    <x v="2442"/>
    <m/>
    <m/>
  </r>
  <r>
    <x v="24"/>
    <d v="2022-10-27T00:00:00"/>
    <s v="POWERPLUS"/>
    <x v="2709"/>
    <n v="10.79"/>
    <x v="32"/>
    <e v="#N/A"/>
    <s v="Exp - Shopping"/>
    <m/>
    <n v="10.79"/>
    <m/>
    <m/>
    <m/>
    <s v="Debit"/>
    <x v="2045"/>
    <m/>
    <m/>
  </r>
  <r>
    <x v="24"/>
    <d v="2022-10-28T00:00:00"/>
    <s v="Cash Rewards Visa Signature"/>
    <x v="2710"/>
    <n v="37.36"/>
    <x v="38"/>
    <e v="#N/A"/>
    <s v="Exp - Groceries"/>
    <m/>
    <n v="37.36"/>
    <m/>
    <m/>
    <s v="debit"/>
    <m/>
    <x v="2443"/>
    <m/>
    <m/>
  </r>
  <r>
    <x v="24"/>
    <d v="2022-10-28T00:00:00"/>
    <s v="Cash Rewards Visa Signature"/>
    <x v="2711"/>
    <n v="224.91"/>
    <x v="39"/>
    <e v="#N/A"/>
    <s v="Exp - Restaurants"/>
    <m/>
    <n v="224.91"/>
    <m/>
    <m/>
    <s v="debit"/>
    <m/>
    <x v="2444"/>
    <m/>
    <m/>
  </r>
  <r>
    <x v="24"/>
    <d v="2022-10-28T00:00:00"/>
    <s v="POWERPLUS"/>
    <x v="2712"/>
    <n v="0.99"/>
    <x v="32"/>
    <e v="#N/A"/>
    <s v="Exp - Shopping"/>
    <m/>
    <n v="0.99"/>
    <m/>
    <m/>
    <m/>
    <s v="Debit"/>
    <x v="2045"/>
    <m/>
    <m/>
  </r>
  <r>
    <x v="24"/>
    <d v="2022-10-30T00:00:00"/>
    <s v="DISCOVER MORE CARD"/>
    <x v="2158"/>
    <n v="10.36"/>
    <x v="26"/>
    <s v="Amazon"/>
    <m/>
    <m/>
    <n v="10.36"/>
    <m/>
    <m/>
    <s v="debit"/>
    <m/>
    <x v="2008"/>
    <m/>
    <m/>
  </r>
  <r>
    <x v="24"/>
    <d v="2022-10-30T00:00:00"/>
    <s v="DISCOVER MORE CARD"/>
    <x v="2158"/>
    <n v="10.72"/>
    <x v="26"/>
    <s v="Amazon"/>
    <m/>
    <m/>
    <n v="10.72"/>
    <m/>
    <m/>
    <s v="debit"/>
    <m/>
    <x v="2008"/>
    <m/>
    <m/>
  </r>
  <r>
    <x v="24"/>
    <d v="2022-10-30T00:00:00"/>
    <s v="DISCOVER MORE CARD"/>
    <x v="2158"/>
    <n v="44.53"/>
    <x v="26"/>
    <s v="Amazon"/>
    <m/>
    <m/>
    <n v="44.53"/>
    <m/>
    <m/>
    <s v="debit"/>
    <m/>
    <x v="2008"/>
    <m/>
    <m/>
  </r>
  <r>
    <x v="24"/>
    <d v="2022-10-30T00:00:00"/>
    <s v="Cash Rewards Visa Signature"/>
    <x v="2713"/>
    <n v="8"/>
    <x v="42"/>
    <e v="#N/A"/>
    <s v="Exp - Utilities"/>
    <m/>
    <n v="8"/>
    <m/>
    <m/>
    <s v="debit"/>
    <m/>
    <x v="2445"/>
    <m/>
    <m/>
  </r>
  <r>
    <x v="24"/>
    <d v="2022-10-30T00:00:00"/>
    <s v="POWERPLUS"/>
    <x v="2714"/>
    <n v="2922.31"/>
    <x v="15"/>
    <e v="#N/A"/>
    <s v="Inc - Jeff"/>
    <m/>
    <n v="2922.31"/>
    <m/>
    <m/>
    <m/>
    <s v="Credit"/>
    <x v="2139"/>
    <m/>
    <m/>
  </r>
  <r>
    <x v="24"/>
    <d v="2022-10-30T00:00:00"/>
    <s v="Cash Rewards Visa Signature"/>
    <x v="2715"/>
    <n v="11.8"/>
    <x v="37"/>
    <e v="#N/A"/>
    <s v="Exp - Transportation"/>
    <m/>
    <n v="11.8"/>
    <m/>
    <m/>
    <s v="debit"/>
    <m/>
    <x v="2446"/>
    <m/>
    <m/>
  </r>
  <r>
    <x v="24"/>
    <d v="2022-10-30T00:00:00"/>
    <s v="Cash Rewards Visa Signature"/>
    <x v="2716"/>
    <n v="29.4"/>
    <x v="39"/>
    <e v="#N/A"/>
    <s v="Exp - Restaurants"/>
    <m/>
    <n v="29.4"/>
    <m/>
    <m/>
    <s v="debit"/>
    <m/>
    <x v="2447"/>
    <m/>
    <m/>
  </r>
  <r>
    <x v="24"/>
    <d v="2022-10-31T00:00:00"/>
    <s v="DISCOVER MORE CARD"/>
    <x v="598"/>
    <n v="5.36"/>
    <x v="10"/>
    <s v="Shopping"/>
    <m/>
    <m/>
    <n v="5.36"/>
    <m/>
    <m/>
    <s v="debit"/>
    <m/>
    <x v="579"/>
    <m/>
    <m/>
  </r>
  <r>
    <x v="24"/>
    <d v="2022-10-31T00:00:00"/>
    <s v="DISCOVER MORE CARD"/>
    <x v="2158"/>
    <n v="8.99"/>
    <x v="26"/>
    <s v="Amazon"/>
    <m/>
    <m/>
    <n v="8.99"/>
    <m/>
    <m/>
    <s v="debit"/>
    <m/>
    <x v="2008"/>
    <m/>
    <m/>
  </r>
  <r>
    <x v="24"/>
    <d v="2022-10-31T00:00:00"/>
    <s v="DISCOVER MORE CARD"/>
    <x v="2717"/>
    <n v="10.36"/>
    <x v="41"/>
    <e v="#N/A"/>
    <s v="Exp - Amazon"/>
    <m/>
    <n v="10.36"/>
    <m/>
    <m/>
    <m/>
    <s v="Debit"/>
    <x v="2448"/>
    <m/>
    <m/>
  </r>
  <r>
    <x v="24"/>
    <d v="2022-10-31T00:00:00"/>
    <s v="Manual"/>
    <x v="1850"/>
    <n v="250"/>
    <x v="33"/>
    <e v="#N/A"/>
    <s v="Exp - Cleaning"/>
    <m/>
    <n v="250"/>
    <m/>
    <m/>
    <m/>
    <m/>
    <x v="1705"/>
    <m/>
    <m/>
  </r>
  <r>
    <x v="24"/>
    <d v="2022-10-31T00:00:00"/>
    <s v="POWERPLUS"/>
    <x v="2718"/>
    <n v="25.57"/>
    <x v="13"/>
    <e v="#N/A"/>
    <s v="Inc - Other"/>
    <m/>
    <n v="25.57"/>
    <m/>
    <m/>
    <m/>
    <s v="Credit"/>
    <x v="2449"/>
    <m/>
    <m/>
  </r>
  <r>
    <x v="24"/>
    <d v="2022-10-31T00:00:00"/>
    <s v="Cash Rewards Visa Signature"/>
    <x v="2719"/>
    <n v="82.64"/>
    <x v="38"/>
    <e v="#N/A"/>
    <s v="Exp - Groceries"/>
    <m/>
    <n v="82.64"/>
    <m/>
    <m/>
    <s v="debit"/>
    <m/>
    <x v="2450"/>
    <m/>
    <m/>
  </r>
  <r>
    <x v="24"/>
    <d v="2022-10-31T00:00:00"/>
    <s v="DISCOVER MORE CARD"/>
    <x v="2720"/>
    <n v="99.85"/>
    <x v="32"/>
    <e v="#N/A"/>
    <s v="Exp - Shopping"/>
    <m/>
    <n v="99.85"/>
    <m/>
    <m/>
    <m/>
    <s v="Debit"/>
    <x v="2451"/>
    <m/>
    <m/>
  </r>
  <r>
    <x v="24"/>
    <d v="2022-10-31T00:00:00"/>
    <s v="Cash Rewards Visa Signature"/>
    <x v="2721"/>
    <n v="30.05"/>
    <x v="40"/>
    <e v="#N/A"/>
    <s v="Exp - Day Care"/>
    <m/>
    <n v="30.05"/>
    <m/>
    <m/>
    <s v="debit"/>
    <m/>
    <x v="2452"/>
    <m/>
    <m/>
  </r>
  <r>
    <x v="24"/>
    <d v="2022-10-31T00:00:00"/>
    <s v="Cash Rewards Visa Signature"/>
    <x v="2722"/>
    <n v="60.2"/>
    <x v="36"/>
    <e v="#N/A"/>
    <s v="Exp - House Maint"/>
    <m/>
    <n v="60.2"/>
    <m/>
    <m/>
    <s v="debit"/>
    <m/>
    <x v="2453"/>
    <m/>
    <m/>
  </r>
  <r>
    <x v="24"/>
    <d v="2022-10-31T00:00:00"/>
    <s v="POWERPLUS"/>
    <x v="2723"/>
    <n v="0.99"/>
    <x v="32"/>
    <e v="#N/A"/>
    <s v="Exp - Shopping"/>
    <m/>
    <n v="0.99"/>
    <m/>
    <m/>
    <m/>
    <s v="Debit"/>
    <x v="2045"/>
    <m/>
    <m/>
  </r>
  <r>
    <x v="24"/>
    <d v="2022-10-31T00:00:00"/>
    <s v="POWERPLUS"/>
    <x v="2171"/>
    <n v="2614.04"/>
    <x v="3"/>
    <e v="#N/A"/>
    <s v="Delete"/>
    <m/>
    <n v="2614.04"/>
    <m/>
    <m/>
    <m/>
    <s v="Debit"/>
    <x v="2021"/>
    <m/>
    <m/>
  </r>
  <r>
    <x v="24"/>
    <d v="2022-10-31T00:00:00"/>
    <s v="Cash Rewards Visa Signature"/>
    <x v="2724"/>
    <n v="-2614.04"/>
    <x v="3"/>
    <e v="#N/A"/>
    <s v="Delete"/>
    <m/>
    <n v="2614.04"/>
    <m/>
    <m/>
    <s v="credit"/>
    <m/>
    <x v="2454"/>
    <m/>
    <m/>
  </r>
  <r>
    <x v="24"/>
    <d v="2022-10-31T00:00:00"/>
    <s v="POWERPLUS"/>
    <x v="2725"/>
    <n v="112"/>
    <x v="32"/>
    <e v="#N/A"/>
    <s v="Exp - Shopping"/>
    <m/>
    <n v="112"/>
    <m/>
    <m/>
    <m/>
    <s v="Debit"/>
    <x v="2053"/>
    <m/>
    <m/>
  </r>
  <r>
    <x v="48"/>
    <d v="2022-11-01T00:00:00"/>
    <s v="DISCOVER MORE CARD"/>
    <x v="2726"/>
    <n v="5.36"/>
    <x v="41"/>
    <e v="#N/A"/>
    <s v="Exp - Amazon"/>
    <m/>
    <n v="5.36"/>
    <m/>
    <m/>
    <s v="debit"/>
    <m/>
    <x v="2455"/>
    <m/>
    <m/>
  </r>
  <r>
    <x v="48"/>
    <d v="2022-11-01T00:00:00"/>
    <s v="DISCOVER MORE CARD"/>
    <x v="2727"/>
    <n v="35.979999999999997"/>
    <x v="41"/>
    <e v="#N/A"/>
    <s v="Exp - Amazon"/>
    <m/>
    <n v="35.979999999999997"/>
    <m/>
    <m/>
    <s v="debit"/>
    <m/>
    <x v="2456"/>
    <m/>
    <m/>
  </r>
  <r>
    <x v="48"/>
    <d v="2022-11-01T00:00:00"/>
    <s v="Cash Rewards Visa Signature"/>
    <x v="2728"/>
    <n v="48.13"/>
    <x v="37"/>
    <e v="#N/A"/>
    <s v="Exp - Transportation"/>
    <m/>
    <n v="48.13"/>
    <m/>
    <m/>
    <s v="debit"/>
    <m/>
    <x v="2457"/>
    <m/>
    <m/>
  </r>
  <r>
    <x v="48"/>
    <d v="2022-11-01T00:00:00"/>
    <s v="Cash Rewards Visa Signature"/>
    <x v="2729"/>
    <n v="60.85"/>
    <x v="38"/>
    <e v="#N/A"/>
    <s v="Exp - Groceries"/>
    <m/>
    <n v="60.85"/>
    <m/>
    <m/>
    <s v="debit"/>
    <m/>
    <x v="2458"/>
    <m/>
    <m/>
  </r>
  <r>
    <x v="48"/>
    <d v="2022-11-01T00:00:00"/>
    <s v="POWERPLUS"/>
    <x v="2730"/>
    <n v="300"/>
    <x v="47"/>
    <e v="#N/A"/>
    <s v="Sav - College Savings"/>
    <m/>
    <n v="300"/>
    <m/>
    <m/>
    <s v="debit"/>
    <m/>
    <x v="2077"/>
    <m/>
    <m/>
  </r>
  <r>
    <x v="48"/>
    <d v="2022-11-01T00:00:00"/>
    <s v="POWERPLUS"/>
    <x v="2731"/>
    <n v="315"/>
    <x v="40"/>
    <e v="#N/A"/>
    <s v="Exp - Day Care"/>
    <m/>
    <n v="315"/>
    <m/>
    <m/>
    <s v="debit"/>
    <m/>
    <x v="2007"/>
    <m/>
    <m/>
  </r>
  <r>
    <x v="48"/>
    <d v="2022-11-01T00:00:00"/>
    <s v="POWERPLUS"/>
    <x v="2732"/>
    <n v="618.65"/>
    <x v="48"/>
    <e v="#N/A"/>
    <s v="Exp - Car Loan"/>
    <m/>
    <n v="618.65"/>
    <m/>
    <m/>
    <s v="debit"/>
    <m/>
    <x v="2459"/>
    <m/>
    <m/>
  </r>
  <r>
    <x v="48"/>
    <d v="2022-11-01T00:00:00"/>
    <s v="4017 Hallgren"/>
    <x v="935"/>
    <n v="2606.27"/>
    <x v="3"/>
    <s v="Delete"/>
    <s v="Delete"/>
    <m/>
    <n v="2606.27"/>
    <m/>
    <m/>
    <s v="debit"/>
    <m/>
    <x v="899"/>
    <m/>
    <m/>
  </r>
  <r>
    <x v="48"/>
    <d v="2022-11-01T00:00:00"/>
    <s v="HIGHLANDER"/>
    <x v="2733"/>
    <n v="-618.65"/>
    <x v="3"/>
    <e v="#N/A"/>
    <s v="Delete"/>
    <m/>
    <n v="618.65"/>
    <m/>
    <m/>
    <s v="credit"/>
    <m/>
    <x v="2460"/>
    <m/>
    <m/>
  </r>
  <r>
    <x v="49"/>
    <d v="2024-10-21T00:00:00"/>
    <s v="Powerplus - Ending in 8s30"/>
    <x v="2734"/>
    <n v="17"/>
    <x v="8"/>
    <m/>
    <s v="Exp - Shopping"/>
    <m/>
    <m/>
    <m/>
    <m/>
    <m/>
    <m/>
    <x v="2461"/>
    <m/>
    <m/>
  </r>
  <r>
    <x v="48"/>
    <d v="2022-11-02T00:00:00"/>
    <s v="DISCOVER MORE CARD"/>
    <x v="2735"/>
    <n v="8.58"/>
    <x v="41"/>
    <e v="#N/A"/>
    <s v="Exp - Amazon"/>
    <m/>
    <n v="8.58"/>
    <m/>
    <m/>
    <s v="debit"/>
    <m/>
    <x v="2462"/>
    <m/>
    <m/>
  </r>
  <r>
    <x v="48"/>
    <d v="2022-11-02T00:00:00"/>
    <s v="DISCOVER MORE CARD"/>
    <x v="2736"/>
    <n v="37.979999999999997"/>
    <x v="41"/>
    <e v="#N/A"/>
    <s v="Exp - Amazon"/>
    <m/>
    <n v="37.979999999999997"/>
    <m/>
    <m/>
    <s v="debit"/>
    <m/>
    <x v="2463"/>
    <m/>
    <m/>
  </r>
  <r>
    <x v="48"/>
    <d v="2022-11-02T00:00:00"/>
    <s v="Cash Rewards Visa Signature"/>
    <x v="2737"/>
    <n v="5.04"/>
    <x v="39"/>
    <e v="#N/A"/>
    <s v="Exp - Restaurants"/>
    <m/>
    <n v="5.04"/>
    <m/>
    <m/>
    <s v="debit"/>
    <m/>
    <x v="2464"/>
    <m/>
    <m/>
  </r>
  <r>
    <x v="48"/>
    <d v="2022-11-02T00:00:00"/>
    <s v="Cash Rewards Visa Signature"/>
    <x v="2738"/>
    <n v="12.99"/>
    <x v="32"/>
    <e v="#N/A"/>
    <s v="Exp - Shopping"/>
    <m/>
    <n v="12.99"/>
    <m/>
    <m/>
    <s v="debit"/>
    <m/>
    <x v="2465"/>
    <m/>
    <m/>
  </r>
  <r>
    <x v="48"/>
    <d v="2022-11-03T00:00:00"/>
    <s v="DISCOVER MORE CARD"/>
    <x v="2739"/>
    <n v="-21.46"/>
    <x v="41"/>
    <e v="#N/A"/>
    <s v="Exp - Amazon"/>
    <m/>
    <n v="21.46"/>
    <m/>
    <m/>
    <s v="credit"/>
    <m/>
    <x v="2466"/>
    <m/>
    <m/>
  </r>
  <r>
    <x v="48"/>
    <d v="2022-11-03T00:00:00"/>
    <s v="DISCOVER MORE CARD"/>
    <x v="2740"/>
    <n v="-35.979999999999997"/>
    <x v="41"/>
    <e v="#N/A"/>
    <s v="Exp - Amazon"/>
    <m/>
    <n v="35.979999999999997"/>
    <m/>
    <m/>
    <s v="credit"/>
    <m/>
    <x v="2467"/>
    <m/>
    <m/>
  </r>
  <r>
    <x v="48"/>
    <d v="2022-11-03T00:00:00"/>
    <s v="DISCOVER MORE CARD"/>
    <x v="2741"/>
    <n v="-37.979999999999997"/>
    <x v="41"/>
    <e v="#N/A"/>
    <s v="Exp - Amazon"/>
    <m/>
    <n v="37.979999999999997"/>
    <m/>
    <m/>
    <s v="credit"/>
    <m/>
    <x v="2468"/>
    <m/>
    <m/>
  </r>
  <r>
    <x v="48"/>
    <d v="2022-11-03T00:00:00"/>
    <s v="POWERPLUS"/>
    <x v="2742"/>
    <n v="-116.86"/>
    <x v="14"/>
    <e v="#N/A"/>
    <s v="Inc - Britney"/>
    <m/>
    <n v="116.86"/>
    <m/>
    <m/>
    <s v="credit"/>
    <m/>
    <x v="2050"/>
    <m/>
    <m/>
  </r>
  <r>
    <x v="48"/>
    <d v="2022-11-03T00:00:00"/>
    <s v="Cash Rewards Visa Signature"/>
    <x v="2743"/>
    <n v="18"/>
    <x v="42"/>
    <e v="#N/A"/>
    <s v="Exp - Utilities"/>
    <m/>
    <n v="18"/>
    <m/>
    <m/>
    <s v="debit"/>
    <m/>
    <x v="2469"/>
    <m/>
    <m/>
  </r>
  <r>
    <x v="48"/>
    <d v="2022-11-03T00:00:00"/>
    <s v="POWERPLUS"/>
    <x v="2744"/>
    <n v="125"/>
    <x v="32"/>
    <e v="#N/A"/>
    <s v="Exp - Shopping"/>
    <m/>
    <n v="125"/>
    <m/>
    <m/>
    <s v="debit"/>
    <m/>
    <x v="2053"/>
    <m/>
    <m/>
  </r>
  <r>
    <x v="48"/>
    <d v="2022-11-03T00:00:00"/>
    <s v="POWERPLUS"/>
    <x v="2745"/>
    <n v="186.12"/>
    <x v="42"/>
    <e v="#N/A"/>
    <s v="Exp - Utilities"/>
    <m/>
    <n v="186.12"/>
    <m/>
    <m/>
    <s v="debit"/>
    <m/>
    <x v="2103"/>
    <m/>
    <m/>
  </r>
  <r>
    <x v="48"/>
    <d v="2022-11-04T00:00:00"/>
    <s v="Cash Rewards Visa Signature"/>
    <x v="2746"/>
    <n v="133.24"/>
    <x v="32"/>
    <e v="#N/A"/>
    <s v="Exp - Shopping"/>
    <m/>
    <n v="133.24"/>
    <m/>
    <m/>
    <s v="debit"/>
    <m/>
    <x v="2470"/>
    <m/>
    <m/>
  </r>
  <r>
    <x v="48"/>
    <d v="2022-11-04T00:00:00"/>
    <s v="Cash Rewards Visa Signature"/>
    <x v="2747"/>
    <n v="26.06"/>
    <x v="39"/>
    <e v="#N/A"/>
    <s v="Exp - Restaurants"/>
    <m/>
    <n v="26.06"/>
    <m/>
    <m/>
    <s v="debit"/>
    <m/>
    <x v="2471"/>
    <m/>
    <m/>
  </r>
  <r>
    <x v="48"/>
    <d v="2022-11-05T00:00:00"/>
    <s v="DISCOVER MORE CARD"/>
    <x v="2748"/>
    <n v="23.98"/>
    <x v="41"/>
    <e v="#N/A"/>
    <s v="Exp - Amazon"/>
    <m/>
    <n v="23.98"/>
    <m/>
    <m/>
    <s v="debit"/>
    <m/>
    <x v="2472"/>
    <m/>
    <m/>
  </r>
  <r>
    <x v="48"/>
    <d v="2022-11-05T00:00:00"/>
    <s v="DISCOVER MORE CARD"/>
    <x v="2749"/>
    <n v="66.290000000000006"/>
    <x v="41"/>
    <e v="#N/A"/>
    <s v="Exp - Amazon"/>
    <m/>
    <n v="66.290000000000006"/>
    <m/>
    <m/>
    <s v="debit"/>
    <m/>
    <x v="2473"/>
    <m/>
    <m/>
  </r>
  <r>
    <x v="48"/>
    <d v="2022-11-06T00:00:00"/>
    <s v="DISCOVER MORE CARD"/>
    <x v="2750"/>
    <n v="58.83"/>
    <x v="41"/>
    <e v="#N/A"/>
    <s v="Exp - Amazon"/>
    <m/>
    <n v="58.83"/>
    <m/>
    <m/>
    <s v="debit"/>
    <m/>
    <x v="2474"/>
    <m/>
    <m/>
  </r>
  <r>
    <x v="48"/>
    <d v="2022-11-06T00:00:00"/>
    <s v="Cash Rewards Visa Signature"/>
    <x v="2751"/>
    <n v="1.23"/>
    <x v="38"/>
    <e v="#N/A"/>
    <s v="Exp - Groceries"/>
    <m/>
    <n v="1.23"/>
    <m/>
    <m/>
    <s v="debit"/>
    <m/>
    <x v="2475"/>
    <m/>
    <m/>
  </r>
  <r>
    <x v="48"/>
    <d v="2022-11-06T00:00:00"/>
    <s v="Cash Rewards Visa Signature"/>
    <x v="2752"/>
    <n v="39.979999999999997"/>
    <x v="38"/>
    <e v="#N/A"/>
    <s v="Exp - Groceries"/>
    <m/>
    <n v="39.979999999999997"/>
    <m/>
    <m/>
    <s v="debit"/>
    <m/>
    <x v="2476"/>
    <m/>
    <m/>
  </r>
  <r>
    <x v="48"/>
    <d v="2022-11-06T00:00:00"/>
    <s v="Cash Rewards Visa Signature"/>
    <x v="2753"/>
    <n v="35.869999999999997"/>
    <x v="37"/>
    <e v="#N/A"/>
    <s v="Exp - Transportation"/>
    <m/>
    <n v="35.869999999999997"/>
    <m/>
    <m/>
    <s v="debit"/>
    <m/>
    <x v="2477"/>
    <m/>
    <m/>
  </r>
  <r>
    <x v="48"/>
    <d v="2022-11-07T00:00:00"/>
    <s v="Cash Rewards Visa Signature"/>
    <x v="2754"/>
    <n v="21.49"/>
    <x v="32"/>
    <e v="#N/A"/>
    <s v="Exp - Shopping"/>
    <m/>
    <n v="21.49"/>
    <m/>
    <m/>
    <s v="debit"/>
    <m/>
    <x v="2478"/>
    <m/>
    <m/>
  </r>
  <r>
    <x v="48"/>
    <d v="2022-11-07T00:00:00"/>
    <s v="Cash Rewards Visa Signature"/>
    <x v="2755"/>
    <n v="99.77"/>
    <x v="32"/>
    <e v="#N/A"/>
    <s v="Exp - Shopping"/>
    <m/>
    <n v="99.77"/>
    <m/>
    <m/>
    <s v="debit"/>
    <m/>
    <x v="2479"/>
    <m/>
    <m/>
  </r>
  <r>
    <x v="48"/>
    <d v="2022-11-07T00:00:00"/>
    <s v="Cash Rewards Visa Signature"/>
    <x v="2756"/>
    <n v="170"/>
    <x v="35"/>
    <e v="#N/A"/>
    <s v="Exp - Entertainment"/>
    <m/>
    <n v="170"/>
    <m/>
    <m/>
    <s v="debit"/>
    <m/>
    <x v="2480"/>
    <m/>
    <m/>
  </r>
  <r>
    <x v="48"/>
    <d v="2022-11-07T00:00:00"/>
    <s v="Cash Rewards Visa Signature"/>
    <x v="2757"/>
    <n v="11.79"/>
    <x v="39"/>
    <e v="#N/A"/>
    <s v="Exp - Restaurants"/>
    <m/>
    <n v="11.79"/>
    <m/>
    <m/>
    <s v="debit"/>
    <m/>
    <x v="2481"/>
    <m/>
    <m/>
  </r>
  <r>
    <x v="48"/>
    <d v="2022-11-07T00:00:00"/>
    <s v="DISCOVER MORE CARD"/>
    <x v="56"/>
    <n v="-511.91"/>
    <x v="3"/>
    <s v="Delete"/>
    <m/>
    <m/>
    <n v="511.91"/>
    <m/>
    <m/>
    <s v="credit"/>
    <m/>
    <x v="56"/>
    <m/>
    <m/>
  </r>
  <r>
    <x v="48"/>
    <d v="2022-11-07T00:00:00"/>
    <s v="POWERPLUS"/>
    <x v="2758"/>
    <n v="42"/>
    <x v="32"/>
    <e v="#N/A"/>
    <s v="Exp - Shopping"/>
    <m/>
    <n v="42"/>
    <m/>
    <m/>
    <s v="debit"/>
    <m/>
    <x v="2053"/>
    <m/>
    <m/>
  </r>
  <r>
    <x v="48"/>
    <d v="2022-11-08T00:00:00"/>
    <s v="Cash Rewards Visa Signature"/>
    <x v="2759"/>
    <n v="1.75"/>
    <x v="3"/>
    <e v="#N/A"/>
    <s v="Delete"/>
    <m/>
    <n v="1.75"/>
    <m/>
    <m/>
    <s v="debit"/>
    <m/>
    <x v="2482"/>
    <m/>
    <m/>
  </r>
  <r>
    <x v="48"/>
    <d v="2022-11-08T00:00:00"/>
    <s v="Cash Rewards Visa Signature"/>
    <x v="2760"/>
    <n v="-19.309999999999999"/>
    <x v="38"/>
    <e v="#N/A"/>
    <s v="Exp - Groceries"/>
    <m/>
    <n v="19.309999999999999"/>
    <m/>
    <m/>
    <s v="credit"/>
    <m/>
    <x v="2483"/>
    <m/>
    <m/>
  </r>
  <r>
    <x v="48"/>
    <d v="2022-11-08T00:00:00"/>
    <s v="DISCOVER MORE CARD"/>
    <x v="2761"/>
    <n v="3.53"/>
    <x v="39"/>
    <e v="#N/A"/>
    <s v="Exp - Restaurants"/>
    <m/>
    <n v="3.53"/>
    <m/>
    <m/>
    <s v="debit"/>
    <m/>
    <x v="2484"/>
    <m/>
    <m/>
  </r>
  <r>
    <x v="48"/>
    <d v="2022-11-08T00:00:00"/>
    <s v="DISCOVER MORE CARD"/>
    <x v="2762"/>
    <n v="3.53"/>
    <x v="39"/>
    <e v="#N/A"/>
    <s v="Exp - Restaurants"/>
    <m/>
    <n v="3.53"/>
    <m/>
    <m/>
    <s v="debit"/>
    <m/>
    <x v="2485"/>
    <m/>
    <m/>
  </r>
  <r>
    <x v="48"/>
    <d v="2022-11-08T00:00:00"/>
    <s v="DISCOVER MORE CARD"/>
    <x v="1478"/>
    <n v="3.12"/>
    <x v="26"/>
    <s v="Restaurants"/>
    <m/>
    <m/>
    <n v="3.12"/>
    <m/>
    <m/>
    <s v="debit"/>
    <m/>
    <x v="1389"/>
    <m/>
    <m/>
  </r>
  <r>
    <x v="48"/>
    <d v="2022-11-08T00:00:00"/>
    <s v="Cash Rewards Visa Signature"/>
    <x v="2763"/>
    <n v="42.31"/>
    <x v="37"/>
    <e v="#N/A"/>
    <s v="Exp - Transportation"/>
    <m/>
    <n v="42.31"/>
    <m/>
    <m/>
    <s v="debit"/>
    <m/>
    <x v="2486"/>
    <m/>
    <m/>
  </r>
  <r>
    <x v="48"/>
    <d v="2022-11-08T00:00:00"/>
    <s v="POWERPLUS"/>
    <x v="2764"/>
    <n v="315"/>
    <x v="40"/>
    <e v="#N/A"/>
    <s v="Exp - Day Care"/>
    <m/>
    <n v="315"/>
    <m/>
    <m/>
    <s v="debit"/>
    <m/>
    <x v="2007"/>
    <m/>
    <m/>
  </r>
  <r>
    <x v="48"/>
    <d v="2022-11-08T00:00:00"/>
    <s v="Cash Rewards Visa Signature"/>
    <x v="2765"/>
    <n v="55.02"/>
    <x v="39"/>
    <e v="#N/A"/>
    <s v="Exp - Restaurants"/>
    <m/>
    <n v="55.02"/>
    <m/>
    <m/>
    <s v="debit"/>
    <m/>
    <x v="2487"/>
    <m/>
    <m/>
  </r>
  <r>
    <x v="48"/>
    <d v="2022-11-08T00:00:00"/>
    <s v="POWERPLUS"/>
    <x v="2766"/>
    <n v="511.91"/>
    <x v="3"/>
    <e v="#N/A"/>
    <s v="Delete"/>
    <m/>
    <n v="511.91"/>
    <m/>
    <m/>
    <s v="debit"/>
    <m/>
    <x v="2059"/>
    <m/>
    <m/>
  </r>
  <r>
    <x v="48"/>
    <d v="2022-11-09T00:00:00"/>
    <s v="POWERPLUS"/>
    <x v="2767"/>
    <n v="-3614.36"/>
    <x v="14"/>
    <e v="#N/A"/>
    <s v="Inc - Britney"/>
    <m/>
    <n v="3614.36"/>
    <m/>
    <m/>
    <s v="credit"/>
    <m/>
    <x v="2014"/>
    <m/>
    <m/>
  </r>
  <r>
    <x v="48"/>
    <d v="2022-11-09T00:00:00"/>
    <s v="DISCOVER MORE CARD"/>
    <x v="2768"/>
    <n v="23.69"/>
    <x v="32"/>
    <e v="#N/A"/>
    <s v="Exp - Shopping"/>
    <m/>
    <n v="23.69"/>
    <m/>
    <m/>
    <s v="debit"/>
    <m/>
    <x v="2488"/>
    <m/>
    <m/>
  </r>
  <r>
    <x v="48"/>
    <d v="2022-11-09T00:00:00"/>
    <s v="Cash Rewards Visa Signature"/>
    <x v="2769"/>
    <n v="47.25"/>
    <x v="49"/>
    <e v="#N/A"/>
    <s v="Exp - Gym"/>
    <m/>
    <n v="47.25"/>
    <m/>
    <m/>
    <s v="debit"/>
    <m/>
    <x v="2489"/>
    <m/>
    <m/>
  </r>
  <r>
    <x v="48"/>
    <d v="2022-11-09T00:00:00"/>
    <s v="Cash Rewards Visa Signature"/>
    <x v="2770"/>
    <n v="200"/>
    <x v="40"/>
    <e v="#N/A"/>
    <s v="Exp - Day Care"/>
    <m/>
    <n v="200"/>
    <m/>
    <m/>
    <s v="debit"/>
    <m/>
    <x v="2490"/>
    <m/>
    <m/>
  </r>
  <r>
    <x v="48"/>
    <d v="2022-11-09T00:00:00"/>
    <s v="DISCOVER MORE CARD"/>
    <x v="2771"/>
    <n v="28.33"/>
    <x v="38"/>
    <e v="#N/A"/>
    <s v="Exp - Groceries"/>
    <m/>
    <n v="28.33"/>
    <m/>
    <m/>
    <s v="debit"/>
    <m/>
    <x v="2491"/>
    <m/>
    <m/>
  </r>
  <r>
    <x v="48"/>
    <d v="2022-11-10T00:00:00"/>
    <s v="Cash Rewards Visa Signature"/>
    <x v="2772"/>
    <n v="194.68"/>
    <x v="40"/>
    <e v="#N/A"/>
    <s v="Exp - Day Care"/>
    <m/>
    <n v="194.68"/>
    <m/>
    <m/>
    <s v="debit"/>
    <m/>
    <x v="2492"/>
    <m/>
    <m/>
  </r>
  <r>
    <x v="48"/>
    <d v="2022-11-10T00:00:00"/>
    <s v="Cash Rewards Visa Signature"/>
    <x v="2773"/>
    <n v="89.77"/>
    <x v="38"/>
    <e v="#N/A"/>
    <s v="Exp - Groceries"/>
    <m/>
    <n v="89.77"/>
    <m/>
    <m/>
    <s v="debit"/>
    <m/>
    <x v="2493"/>
    <m/>
    <m/>
  </r>
  <r>
    <x v="48"/>
    <d v="2022-11-10T00:00:00"/>
    <s v="Cash Rewards Visa Signature"/>
    <x v="2774"/>
    <n v="5.95"/>
    <x v="38"/>
    <e v="#N/A"/>
    <s v="Exp - Groceries"/>
    <m/>
    <n v="5.95"/>
    <m/>
    <m/>
    <s v="debit"/>
    <m/>
    <x v="2494"/>
    <m/>
    <m/>
  </r>
  <r>
    <x v="48"/>
    <d v="2022-11-11T00:00:00"/>
    <s v="Cash Rewards Visa Signature"/>
    <x v="2775"/>
    <n v="171.31"/>
    <x v="32"/>
    <e v="#N/A"/>
    <s v="Exp - Shopping"/>
    <m/>
    <n v="171.31"/>
    <m/>
    <m/>
    <s v="debit"/>
    <m/>
    <x v="2495"/>
    <m/>
    <m/>
  </r>
  <r>
    <x v="48"/>
    <d v="2022-11-11T00:00:00"/>
    <s v="DISCOVER MORE CARD"/>
    <x v="2776"/>
    <n v="3.21"/>
    <x v="3"/>
    <e v="#N/A"/>
    <s v="Delete"/>
    <m/>
    <n v="3.21"/>
    <m/>
    <m/>
    <s v="debit"/>
    <m/>
    <x v="2496"/>
    <m/>
    <m/>
  </r>
  <r>
    <x v="48"/>
    <d v="2022-11-11T00:00:00"/>
    <s v="DISCOVER MORE CARD"/>
    <x v="1566"/>
    <n v="99"/>
    <x v="26"/>
    <s v="Transportation"/>
    <m/>
    <m/>
    <n v="99"/>
    <m/>
    <m/>
    <s v="debit"/>
    <m/>
    <x v="1467"/>
    <m/>
    <m/>
  </r>
  <r>
    <x v="48"/>
    <d v="2022-11-12T00:00:00"/>
    <s v="DISCOVER MORE CARD"/>
    <x v="2777"/>
    <n v="66.599999999999994"/>
    <x v="39"/>
    <e v="#N/A"/>
    <s v="Exp - Restaurants"/>
    <m/>
    <n v="66.599999999999994"/>
    <m/>
    <m/>
    <s v="debit"/>
    <m/>
    <x v="2497"/>
    <m/>
    <m/>
  </r>
  <r>
    <x v="48"/>
    <d v="2022-11-13T00:00:00"/>
    <s v="DISCOVER MORE CARD"/>
    <x v="2778"/>
    <n v="28.28"/>
    <x v="41"/>
    <e v="#N/A"/>
    <s v="Exp - Amazon"/>
    <m/>
    <n v="28.28"/>
    <m/>
    <m/>
    <s v="debit"/>
    <m/>
    <x v="2498"/>
    <m/>
    <m/>
  </r>
  <r>
    <x v="48"/>
    <d v="2022-11-13T00:00:00"/>
    <s v="Cash Rewards Visa Signature"/>
    <x v="2779"/>
    <n v="45"/>
    <x v="42"/>
    <e v="#N/A"/>
    <s v="Exp - Utilities"/>
    <m/>
    <n v="45"/>
    <m/>
    <m/>
    <s v="debit"/>
    <m/>
    <x v="2499"/>
    <m/>
    <m/>
  </r>
  <r>
    <x v="48"/>
    <d v="2022-11-13T00:00:00"/>
    <s v="POWERPLUS"/>
    <x v="2780"/>
    <n v="-2922.31"/>
    <x v="15"/>
    <e v="#N/A"/>
    <s v="Inc - Jeff"/>
    <m/>
    <n v="2922.31"/>
    <m/>
    <m/>
    <s v="credit"/>
    <m/>
    <x v="2139"/>
    <m/>
    <m/>
  </r>
  <r>
    <x v="48"/>
    <d v="2022-11-13T00:00:00"/>
    <s v="Cash Rewards Visa Signature"/>
    <x v="2781"/>
    <n v="-58.44"/>
    <x v="32"/>
    <e v="#N/A"/>
    <s v="Exp - Shopping"/>
    <m/>
    <n v="58.44"/>
    <m/>
    <m/>
    <s v="credit"/>
    <m/>
    <x v="2500"/>
    <m/>
    <m/>
  </r>
  <r>
    <x v="48"/>
    <d v="2022-11-13T00:00:00"/>
    <s v="Cash Rewards Visa Signature"/>
    <x v="2782"/>
    <n v="10"/>
    <x v="44"/>
    <e v="#N/A"/>
    <s v="Exp - Misc"/>
    <m/>
    <n v="10"/>
    <m/>
    <m/>
    <s v="debit"/>
    <m/>
    <x v="2501"/>
    <m/>
    <m/>
  </r>
  <r>
    <x v="48"/>
    <d v="2022-11-13T00:00:00"/>
    <s v="Cash Rewards Visa Signature"/>
    <x v="2783"/>
    <n v="10"/>
    <x v="44"/>
    <e v="#N/A"/>
    <s v="Exp - Misc"/>
    <m/>
    <n v="10"/>
    <m/>
    <m/>
    <s v="debit"/>
    <m/>
    <x v="2502"/>
    <m/>
    <m/>
  </r>
  <r>
    <x v="48"/>
    <d v="2022-11-13T00:00:00"/>
    <s v="Cash Rewards Visa Signature"/>
    <x v="2784"/>
    <n v="128"/>
    <x v="32"/>
    <e v="#N/A"/>
    <s v="Exp - Shopping"/>
    <m/>
    <n v="128"/>
    <m/>
    <m/>
    <s v="debit"/>
    <m/>
    <x v="2503"/>
    <m/>
    <m/>
  </r>
  <r>
    <x v="48"/>
    <d v="2022-11-13T00:00:00"/>
    <s v="Cash Rewards Visa Signature"/>
    <x v="2785"/>
    <n v="5.36"/>
    <x v="42"/>
    <e v="#N/A"/>
    <s v="Exp - Utilities"/>
    <m/>
    <n v="5.36"/>
    <m/>
    <m/>
    <s v="debit"/>
    <m/>
    <x v="2504"/>
    <m/>
    <m/>
  </r>
  <r>
    <x v="48"/>
    <d v="2022-11-14T00:00:00"/>
    <s v="DISCOVER MORE CARD"/>
    <x v="2786"/>
    <n v="-39.89"/>
    <x v="41"/>
    <e v="#N/A"/>
    <s v="Exp - Amazon"/>
    <m/>
    <n v="39.89"/>
    <m/>
    <m/>
    <s v="credit"/>
    <m/>
    <x v="2505"/>
    <m/>
    <m/>
  </r>
  <r>
    <x v="48"/>
    <d v="2022-11-14T00:00:00"/>
    <s v="Cash Rewards Visa Signature"/>
    <x v="2787"/>
    <n v="1051.21"/>
    <x v="51"/>
    <e v="#N/A"/>
    <s v="Exp - Gifts"/>
    <m/>
    <n v="1051.21"/>
    <m/>
    <m/>
    <s v="debit"/>
    <m/>
    <x v="2506"/>
    <m/>
    <m/>
  </r>
  <r>
    <x v="48"/>
    <d v="2022-11-14T00:00:00"/>
    <s v="Cash Rewards Visa Signature"/>
    <x v="2788"/>
    <n v="68.5"/>
    <x v="39"/>
    <e v="#N/A"/>
    <s v="Exp - Restaurants"/>
    <m/>
    <n v="68.5"/>
    <m/>
    <m/>
    <s v="debit"/>
    <m/>
    <x v="2507"/>
    <m/>
    <m/>
  </r>
  <r>
    <x v="48"/>
    <d v="2022-11-14T00:00:00"/>
    <s v="POWERPLUS"/>
    <x v="2789"/>
    <n v="-210.9"/>
    <x v="46"/>
    <e v="#N/A"/>
    <s v="Exp - Healthcare"/>
    <m/>
    <n v="210.9"/>
    <m/>
    <m/>
    <s v="credit"/>
    <m/>
    <x v="2055"/>
    <m/>
    <m/>
  </r>
  <r>
    <x v="48"/>
    <d v="2022-11-14T00:00:00"/>
    <s v="Cash Rewards Visa Signature"/>
    <x v="2790"/>
    <n v="215.41"/>
    <x v="3"/>
    <e v="#N/A"/>
    <s v="Delete"/>
    <m/>
    <n v="215.41"/>
    <m/>
    <m/>
    <s v="debit"/>
    <m/>
    <x v="2508"/>
    <m/>
    <m/>
  </r>
  <r>
    <x v="48"/>
    <d v="2022-11-14T00:00:00"/>
    <s v="Cash Rewards Visa Signature"/>
    <x v="2791"/>
    <n v="14.16"/>
    <x v="39"/>
    <e v="#N/A"/>
    <s v="Exp - Restaurants"/>
    <m/>
    <n v="14.16"/>
    <m/>
    <m/>
    <s v="debit"/>
    <m/>
    <x v="2509"/>
    <m/>
    <m/>
  </r>
  <r>
    <x v="48"/>
    <d v="2022-11-14T00:00:00"/>
    <s v="POWERPLUS"/>
    <x v="2792"/>
    <n v="15.83"/>
    <x v="32"/>
    <e v="#N/A"/>
    <s v="Exp - Shopping"/>
    <m/>
    <n v="15.83"/>
    <m/>
    <m/>
    <s v="debit"/>
    <m/>
    <x v="2045"/>
    <m/>
    <m/>
  </r>
  <r>
    <x v="48"/>
    <d v="2022-11-14T00:00:00"/>
    <s v="POWERPLUS"/>
    <x v="2793"/>
    <n v="102.48"/>
    <x v="54"/>
    <e v="#N/A"/>
    <s v="Exp - Insurance"/>
    <m/>
    <n v="102.48"/>
    <m/>
    <m/>
    <s v="debit"/>
    <m/>
    <x v="2161"/>
    <m/>
    <m/>
  </r>
  <r>
    <x v="48"/>
    <d v="2022-11-15T00:00:00"/>
    <s v="Cash Rewards Visa Signature"/>
    <x v="2794"/>
    <n v="11.38"/>
    <x v="39"/>
    <e v="#N/A"/>
    <s v="Exp - Restaurants"/>
    <m/>
    <n v="11.38"/>
    <m/>
    <m/>
    <s v="debit"/>
    <m/>
    <x v="2510"/>
    <m/>
    <m/>
  </r>
  <r>
    <x v="48"/>
    <d v="2022-11-15T00:00:00"/>
    <s v="Cash Rewards Visa Signature"/>
    <x v="2795"/>
    <n v="10.039999999999999"/>
    <x v="39"/>
    <e v="#N/A"/>
    <s v="Exp - Restaurants"/>
    <m/>
    <n v="10.039999999999999"/>
    <m/>
    <m/>
    <s v="debit"/>
    <m/>
    <x v="2511"/>
    <m/>
    <m/>
  </r>
  <r>
    <x v="48"/>
    <d v="2022-11-15T00:00:00"/>
    <s v="Cash Rewards Visa Signature"/>
    <x v="2796"/>
    <n v="128"/>
    <x v="32"/>
    <e v="#N/A"/>
    <s v="Exp - Shopping"/>
    <m/>
    <n v="128"/>
    <m/>
    <m/>
    <s v="debit"/>
    <m/>
    <x v="2512"/>
    <m/>
    <m/>
  </r>
  <r>
    <x v="48"/>
    <d v="2022-11-15T00:00:00"/>
    <s v="POWERPLUS"/>
    <x v="2797"/>
    <n v="315"/>
    <x v="40"/>
    <e v="#N/A"/>
    <s v="Exp - Day Care"/>
    <m/>
    <n v="315"/>
    <m/>
    <m/>
    <s v="debit"/>
    <m/>
    <x v="2007"/>
    <m/>
    <m/>
  </r>
  <r>
    <x v="48"/>
    <d v="2022-11-15T00:00:00"/>
    <s v="POWERPLUS"/>
    <x v="2798"/>
    <n v="128"/>
    <x v="32"/>
    <e v="#N/A"/>
    <s v="Exp - Shopping"/>
    <m/>
    <n v="128"/>
    <m/>
    <m/>
    <s v="debit"/>
    <m/>
    <x v="2045"/>
    <m/>
    <m/>
  </r>
  <r>
    <x v="48"/>
    <d v="2022-11-15T00:00:00"/>
    <s v="POWERPLUS"/>
    <x v="2171"/>
    <n v="3135.26"/>
    <x v="3"/>
    <e v="#N/A"/>
    <s v="Delete"/>
    <m/>
    <n v="3135.26"/>
    <m/>
    <m/>
    <s v="debit"/>
    <m/>
    <x v="2021"/>
    <m/>
    <m/>
  </r>
  <r>
    <x v="48"/>
    <d v="2022-11-15T00:00:00"/>
    <s v="Cash Rewards Visa Signature"/>
    <x v="2799"/>
    <n v="-3135.26"/>
    <x v="3"/>
    <e v="#N/A"/>
    <s v="Delete"/>
    <m/>
    <n v="3135.26"/>
    <m/>
    <m/>
    <s v="credit"/>
    <m/>
    <x v="2513"/>
    <m/>
    <m/>
  </r>
  <r>
    <x v="48"/>
    <d v="2022-11-16T00:00:00"/>
    <s v="Cash Rewards Visa Signature"/>
    <x v="2800"/>
    <n v="36.81"/>
    <x v="41"/>
    <e v="#N/A"/>
    <s v="Exp - Amazon"/>
    <m/>
    <n v="36.81"/>
    <m/>
    <m/>
    <s v="debit"/>
    <m/>
    <x v="2514"/>
    <m/>
    <m/>
  </r>
  <r>
    <x v="48"/>
    <d v="2022-11-16T00:00:00"/>
    <s v="Cash Rewards Visa Signature"/>
    <x v="2801"/>
    <n v="522"/>
    <x v="40"/>
    <e v="#N/A"/>
    <s v="Exp - Day Care"/>
    <m/>
    <n v="522"/>
    <m/>
    <m/>
    <s v="debit"/>
    <m/>
    <x v="2515"/>
    <m/>
    <m/>
  </r>
  <r>
    <x v="48"/>
    <d v="2022-11-16T00:00:00"/>
    <s v="DISCOVER MORE CARD"/>
    <x v="2802"/>
    <n v="13.5"/>
    <x v="39"/>
    <e v="#N/A"/>
    <s v="Exp - Restaurants"/>
    <m/>
    <n v="13.5"/>
    <m/>
    <m/>
    <s v="debit"/>
    <m/>
    <x v="2516"/>
    <m/>
    <m/>
  </r>
  <r>
    <x v="48"/>
    <d v="2022-11-17T00:00:00"/>
    <s v="Cash Rewards Visa Signature"/>
    <x v="2803"/>
    <n v="105.7"/>
    <x v="41"/>
    <e v="#N/A"/>
    <s v="Exp - Amazon"/>
    <m/>
    <n v="105.7"/>
    <m/>
    <m/>
    <s v="debit"/>
    <m/>
    <x v="2517"/>
    <m/>
    <m/>
  </r>
  <r>
    <x v="48"/>
    <d v="2022-11-17T00:00:00"/>
    <s v="Cash Rewards Visa Signature"/>
    <x v="2804"/>
    <n v="8.58"/>
    <x v="42"/>
    <e v="#N/A"/>
    <s v="Exp - Utilities"/>
    <m/>
    <n v="8.58"/>
    <m/>
    <m/>
    <s v="debit"/>
    <m/>
    <x v="2518"/>
    <m/>
    <m/>
  </r>
  <r>
    <x v="48"/>
    <d v="2022-11-17T00:00:00"/>
    <s v="POWERPLUS"/>
    <x v="2805"/>
    <n v="41.99"/>
    <x v="32"/>
    <e v="#N/A"/>
    <s v="Exp - Shopping"/>
    <m/>
    <n v="41.99"/>
    <m/>
    <m/>
    <s v="debit"/>
    <m/>
    <x v="2045"/>
    <m/>
    <m/>
  </r>
  <r>
    <x v="48"/>
    <d v="2022-11-18T00:00:00"/>
    <s v="POWERPLUS"/>
    <x v="2287"/>
    <n v="3"/>
    <x v="3"/>
    <e v="#N/A"/>
    <s v="Delete"/>
    <m/>
    <n v="3"/>
    <m/>
    <m/>
    <s v="debit"/>
    <m/>
    <x v="2125"/>
    <m/>
    <m/>
  </r>
  <r>
    <x v="48"/>
    <d v="2022-11-18T00:00:00"/>
    <s v="Cash Rewards Visa Signature"/>
    <x v="2806"/>
    <n v="53.95"/>
    <x v="37"/>
    <e v="#N/A"/>
    <s v="Exp - Transportation"/>
    <m/>
    <n v="53.95"/>
    <m/>
    <m/>
    <s v="debit"/>
    <m/>
    <x v="2519"/>
    <m/>
    <m/>
  </r>
  <r>
    <x v="48"/>
    <d v="2022-11-18T00:00:00"/>
    <s v="Cash Rewards Visa Signature"/>
    <x v="2807"/>
    <n v="-8.58"/>
    <x v="42"/>
    <e v="#N/A"/>
    <s v="Exp - Utilities"/>
    <m/>
    <n v="8.58"/>
    <m/>
    <m/>
    <s v="credit"/>
    <m/>
    <x v="2520"/>
    <m/>
    <m/>
  </r>
  <r>
    <x v="48"/>
    <d v="2022-11-18T00:00:00"/>
    <s v="Cash Rewards Visa Signature"/>
    <x v="2808"/>
    <n v="-5.36"/>
    <x v="42"/>
    <e v="#N/A"/>
    <s v="Exp - Utilities"/>
    <m/>
    <n v="5.36"/>
    <m/>
    <m/>
    <s v="credit"/>
    <m/>
    <x v="2521"/>
    <m/>
    <m/>
  </r>
  <r>
    <x v="48"/>
    <d v="2022-11-18T00:00:00"/>
    <s v="POWERPLUS"/>
    <x v="2809"/>
    <n v="124.88"/>
    <x v="42"/>
    <e v="#N/A"/>
    <s v="Exp - Utilities"/>
    <m/>
    <n v="124.88"/>
    <m/>
    <m/>
    <s v="debit"/>
    <m/>
    <x v="2078"/>
    <m/>
    <m/>
  </r>
  <r>
    <x v="48"/>
    <d v="2022-11-18T00:00:00"/>
    <s v="POWERPLUS"/>
    <x v="2810"/>
    <n v="200"/>
    <x v="40"/>
    <e v="#N/A"/>
    <s v="Exp - Day Care"/>
    <m/>
    <n v="200"/>
    <m/>
    <m/>
    <s v="debit"/>
    <m/>
    <x v="2174"/>
    <m/>
    <m/>
  </r>
  <r>
    <x v="48"/>
    <d v="2022-11-18T00:00:00"/>
    <s v="POWERPLUS"/>
    <x v="2811"/>
    <n v="21.59"/>
    <x v="32"/>
    <e v="#N/A"/>
    <s v="Exp - Shopping"/>
    <m/>
    <n v="21.59"/>
    <m/>
    <m/>
    <s v="debit"/>
    <m/>
    <x v="2045"/>
    <m/>
    <m/>
  </r>
  <r>
    <x v="48"/>
    <d v="2022-11-18T00:00:00"/>
    <s v="POWERPLUS"/>
    <x v="2812"/>
    <n v="27.69"/>
    <x v="32"/>
    <e v="#N/A"/>
    <s v="Exp - Shopping"/>
    <m/>
    <n v="27.69"/>
    <m/>
    <m/>
    <s v="debit"/>
    <m/>
    <x v="2045"/>
    <m/>
    <m/>
  </r>
  <r>
    <x v="48"/>
    <d v="2022-11-18T00:00:00"/>
    <s v="POWERPLUS"/>
    <x v="2813"/>
    <n v="300"/>
    <x v="3"/>
    <e v="#N/A"/>
    <s v="Delete"/>
    <m/>
    <n v="300"/>
    <m/>
    <m/>
    <s v="debit"/>
    <m/>
    <x v="2522"/>
    <m/>
    <m/>
  </r>
  <r>
    <x v="48"/>
    <d v="2022-11-19T00:00:00"/>
    <s v="DISCOVER MORE CARD"/>
    <x v="2814"/>
    <n v="11.8"/>
    <x v="41"/>
    <e v="#N/A"/>
    <s v="Exp - Amazon"/>
    <m/>
    <n v="11.8"/>
    <m/>
    <m/>
    <s v="debit"/>
    <m/>
    <x v="2523"/>
    <m/>
    <m/>
  </r>
  <r>
    <x v="48"/>
    <d v="2022-11-20T00:00:00"/>
    <s v="Cash Rewards Visa Signature"/>
    <x v="2815"/>
    <n v="577.20000000000005"/>
    <x v="3"/>
    <e v="#N/A"/>
    <s v="Delete"/>
    <m/>
    <n v="577.20000000000005"/>
    <m/>
    <m/>
    <s v="debit"/>
    <m/>
    <x v="2524"/>
    <m/>
    <m/>
  </r>
  <r>
    <x v="48"/>
    <d v="2022-11-20T00:00:00"/>
    <s v="POWERPLUS"/>
    <x v="2816"/>
    <n v="-92.41"/>
    <x v="32"/>
    <e v="#N/A"/>
    <s v="Exp - Shopping"/>
    <m/>
    <n v="92.41"/>
    <m/>
    <m/>
    <s v="credit"/>
    <m/>
    <x v="2358"/>
    <m/>
    <m/>
  </r>
  <r>
    <x v="48"/>
    <d v="2022-11-20T00:00:00"/>
    <s v="Cash Rewards Visa Signature"/>
    <x v="2817"/>
    <n v="86.84"/>
    <x v="38"/>
    <e v="#N/A"/>
    <s v="Exp - Groceries"/>
    <m/>
    <n v="86.84"/>
    <m/>
    <m/>
    <s v="debit"/>
    <m/>
    <x v="2525"/>
    <m/>
    <m/>
  </r>
  <r>
    <x v="48"/>
    <d v="2022-11-20T00:00:00"/>
    <s v="Cash Rewards Visa Signature"/>
    <x v="2818"/>
    <n v="49.19"/>
    <x v="37"/>
    <e v="#N/A"/>
    <s v="Exp - Transportation"/>
    <m/>
    <n v="49.19"/>
    <m/>
    <m/>
    <s v="debit"/>
    <m/>
    <x v="2526"/>
    <m/>
    <m/>
  </r>
  <r>
    <x v="48"/>
    <d v="2022-11-20T00:00:00"/>
    <s v="Cash Rewards Visa Signature"/>
    <x v="2819"/>
    <n v="33.24"/>
    <x v="39"/>
    <e v="#N/A"/>
    <s v="Exp - Restaurants"/>
    <m/>
    <n v="33.24"/>
    <m/>
    <m/>
    <s v="debit"/>
    <m/>
    <x v="2527"/>
    <m/>
    <m/>
  </r>
  <r>
    <x v="48"/>
    <d v="2022-11-21T00:00:00"/>
    <s v="Cash Rewards Visa Signature"/>
    <x v="2820"/>
    <n v="18.829999999999998"/>
    <x v="45"/>
    <e v="#N/A"/>
    <s v="Exp - Target"/>
    <m/>
    <n v="18.829999999999998"/>
    <m/>
    <m/>
    <s v="debit"/>
    <m/>
    <x v="2528"/>
    <m/>
    <m/>
  </r>
  <r>
    <x v="48"/>
    <d v="2022-11-21T00:00:00"/>
    <s v="Cash Rewards Visa Signature"/>
    <x v="2821"/>
    <n v="11"/>
    <x v="36"/>
    <e v="#N/A"/>
    <s v="Exp - House Maint"/>
    <m/>
    <n v="11"/>
    <m/>
    <m/>
    <s v="debit"/>
    <m/>
    <x v="2529"/>
    <m/>
    <m/>
  </r>
  <r>
    <x v="48"/>
    <d v="2022-11-21T00:00:00"/>
    <s v="Cash Rewards Visa Signature"/>
    <x v="2822"/>
    <n v="10"/>
    <x v="35"/>
    <e v="#N/A"/>
    <s v="Exp - Entertainment"/>
    <m/>
    <n v="10"/>
    <m/>
    <m/>
    <s v="debit"/>
    <m/>
    <x v="2530"/>
    <m/>
    <m/>
  </r>
  <r>
    <x v="48"/>
    <d v="2022-11-21T00:00:00"/>
    <s v="DISCOVER MORE CARD"/>
    <x v="2823"/>
    <n v="38.56"/>
    <x v="37"/>
    <e v="#N/A"/>
    <s v="Exp - Transportation"/>
    <m/>
    <n v="38.56"/>
    <m/>
    <m/>
    <s v="debit"/>
    <m/>
    <x v="2531"/>
    <m/>
    <m/>
  </r>
  <r>
    <x v="48"/>
    <d v="2022-11-21T00:00:00"/>
    <s v="Cash Rewards Visa Signature"/>
    <x v="2824"/>
    <n v="16.73"/>
    <x v="42"/>
    <e v="#N/A"/>
    <s v="Exp - Utilities"/>
    <m/>
    <n v="16.73"/>
    <m/>
    <m/>
    <s v="debit"/>
    <m/>
    <x v="2532"/>
    <m/>
    <m/>
  </r>
  <r>
    <x v="48"/>
    <d v="2022-11-21T00:00:00"/>
    <s v="Cash Rewards Visa Signature"/>
    <x v="2825"/>
    <n v="102.63"/>
    <x v="37"/>
    <e v="#N/A"/>
    <s v="Exp - Transportation"/>
    <m/>
    <n v="102.63"/>
    <m/>
    <m/>
    <s v="debit"/>
    <m/>
    <x v="2533"/>
    <m/>
    <m/>
  </r>
  <r>
    <x v="48"/>
    <d v="2022-11-21T00:00:00"/>
    <s v="DISCOVER MORE CARD"/>
    <x v="2826"/>
    <n v="43.18"/>
    <x v="39"/>
    <e v="#N/A"/>
    <s v="Exp - Restaurants"/>
    <m/>
    <n v="43.18"/>
    <m/>
    <m/>
    <s v="debit"/>
    <m/>
    <x v="2534"/>
    <m/>
    <m/>
  </r>
  <r>
    <x v="48"/>
    <d v="2022-11-21T00:00:00"/>
    <s v="Cash Rewards Visa Signature"/>
    <x v="2827"/>
    <n v="102.96"/>
    <x v="39"/>
    <e v="#N/A"/>
    <s v="Exp - Restaurants"/>
    <m/>
    <n v="102.96"/>
    <m/>
    <m/>
    <s v="debit"/>
    <m/>
    <x v="2535"/>
    <m/>
    <m/>
  </r>
  <r>
    <x v="48"/>
    <d v="2022-11-21T00:00:00"/>
    <s v="POWERPLUS"/>
    <x v="2828"/>
    <n v="59.07"/>
    <x v="42"/>
    <e v="#N/A"/>
    <s v="Exp - Utilities"/>
    <m/>
    <n v="59.07"/>
    <m/>
    <m/>
    <s v="debit"/>
    <m/>
    <x v="2020"/>
    <m/>
    <m/>
  </r>
  <r>
    <x v="48"/>
    <d v="2022-11-22T00:00:00"/>
    <s v="Cash Rewards Visa Signature"/>
    <x v="2829"/>
    <n v="-20.9"/>
    <x v="41"/>
    <e v="#N/A"/>
    <s v="Exp - Amazon"/>
    <m/>
    <n v="20.9"/>
    <m/>
    <m/>
    <s v="credit"/>
    <m/>
    <x v="2536"/>
    <m/>
    <m/>
  </r>
  <r>
    <x v="48"/>
    <d v="2022-11-22T00:00:00"/>
    <s v="DISCOVER MORE CARD"/>
    <x v="2830"/>
    <n v="57.88"/>
    <x v="41"/>
    <e v="#N/A"/>
    <s v="Exp - Amazon"/>
    <m/>
    <n v="57.88"/>
    <m/>
    <m/>
    <s v="debit"/>
    <m/>
    <x v="2537"/>
    <m/>
    <m/>
  </r>
  <r>
    <x v="48"/>
    <d v="2022-11-22T00:00:00"/>
    <s v="DISCOVER MORE CARD"/>
    <x v="2831"/>
    <n v="20.98"/>
    <x v="41"/>
    <e v="#N/A"/>
    <s v="Exp - Amazon"/>
    <m/>
    <n v="20.98"/>
    <m/>
    <m/>
    <s v="debit"/>
    <m/>
    <x v="2538"/>
    <m/>
    <m/>
  </r>
  <r>
    <x v="48"/>
    <d v="2022-11-22T00:00:00"/>
    <s v="Cash Rewards Visa Signature"/>
    <x v="2832"/>
    <n v="157.4"/>
    <x v="38"/>
    <e v="#N/A"/>
    <s v="Exp - Groceries"/>
    <m/>
    <n v="157.4"/>
    <m/>
    <m/>
    <s v="debit"/>
    <m/>
    <x v="2539"/>
    <m/>
    <m/>
  </r>
  <r>
    <x v="48"/>
    <d v="2022-11-22T00:00:00"/>
    <s v="Cash Rewards Visa Signature"/>
    <x v="2833"/>
    <n v="14"/>
    <x v="37"/>
    <e v="#N/A"/>
    <s v="Exp - Transportation"/>
    <m/>
    <n v="14"/>
    <m/>
    <m/>
    <s v="debit"/>
    <m/>
    <x v="2540"/>
    <m/>
    <m/>
  </r>
  <r>
    <x v="48"/>
    <d v="2022-11-22T00:00:00"/>
    <s v="DISCOVER MORE CARD"/>
    <x v="1991"/>
    <n v="82"/>
    <x v="26"/>
    <s v="Shopping"/>
    <m/>
    <m/>
    <n v="82"/>
    <m/>
    <m/>
    <s v="debit"/>
    <m/>
    <x v="1841"/>
    <m/>
    <m/>
  </r>
  <r>
    <x v="48"/>
    <d v="2022-11-22T00:00:00"/>
    <s v="Cash Rewards Visa Signature"/>
    <x v="2834"/>
    <n v="96.81"/>
    <x v="32"/>
    <e v="#N/A"/>
    <s v="Exp - Shopping"/>
    <m/>
    <n v="96.81"/>
    <m/>
    <m/>
    <s v="debit"/>
    <m/>
    <x v="2541"/>
    <m/>
    <m/>
  </r>
  <r>
    <x v="48"/>
    <d v="2022-11-22T00:00:00"/>
    <s v="Cash Rewards Visa Signature"/>
    <x v="2835"/>
    <n v="55.41"/>
    <x v="36"/>
    <e v="#N/A"/>
    <s v="Exp - House Maint"/>
    <m/>
    <n v="55.41"/>
    <m/>
    <m/>
    <s v="debit"/>
    <m/>
    <x v="2542"/>
    <m/>
    <m/>
  </r>
  <r>
    <x v="48"/>
    <d v="2022-11-23T00:00:00"/>
    <s v="Cash Rewards Visa Signature"/>
    <x v="2836"/>
    <n v="45.96"/>
    <x v="41"/>
    <e v="#N/A"/>
    <s v="Exp - Amazon"/>
    <m/>
    <n v="45.96"/>
    <m/>
    <m/>
    <s v="debit"/>
    <m/>
    <x v="2543"/>
    <m/>
    <m/>
  </r>
  <r>
    <x v="48"/>
    <d v="2022-11-23T00:00:00"/>
    <s v="Cash Rewards Visa Signature"/>
    <x v="2837"/>
    <n v="95"/>
    <x v="40"/>
    <e v="#N/A"/>
    <s v="Exp - Day Care"/>
    <m/>
    <n v="95"/>
    <m/>
    <m/>
    <s v="debit"/>
    <m/>
    <x v="2544"/>
    <m/>
    <m/>
  </r>
  <r>
    <x v="48"/>
    <d v="2022-11-23T00:00:00"/>
    <s v="Cash Rewards Visa Signature"/>
    <x v="2838"/>
    <n v="537"/>
    <x v="40"/>
    <e v="#N/A"/>
    <s v="Exp - Day Care"/>
    <m/>
    <n v="537"/>
    <m/>
    <m/>
    <s v="debit"/>
    <m/>
    <x v="2545"/>
    <m/>
    <m/>
  </r>
  <r>
    <x v="48"/>
    <d v="2022-11-23T00:00:00"/>
    <s v="Cash Rewards Visa Signature"/>
    <x v="2839"/>
    <n v="419"/>
    <x v="40"/>
    <e v="#N/A"/>
    <s v="Exp - Day Care"/>
    <m/>
    <n v="419"/>
    <m/>
    <m/>
    <s v="debit"/>
    <m/>
    <x v="2546"/>
    <m/>
    <m/>
  </r>
  <r>
    <x v="48"/>
    <d v="2022-11-23T00:00:00"/>
    <s v="POWERPLUS"/>
    <x v="2840"/>
    <n v="-45.1"/>
    <x v="32"/>
    <e v="#N/A"/>
    <s v="Exp - Shopping"/>
    <m/>
    <n v="45.1"/>
    <m/>
    <m/>
    <s v="credit"/>
    <m/>
    <x v="2227"/>
    <m/>
    <m/>
  </r>
  <r>
    <x v="48"/>
    <d v="2022-11-23T00:00:00"/>
    <s v="RAINY DAY"/>
    <x v="2841"/>
    <n v="-100"/>
    <x v="3"/>
    <e v="#N/A"/>
    <s v="Delete"/>
    <m/>
    <n v="100"/>
    <m/>
    <m/>
    <s v="credit"/>
    <m/>
    <x v="2547"/>
    <m/>
    <m/>
  </r>
  <r>
    <x v="48"/>
    <d v="2022-11-23T00:00:00"/>
    <s v="Cash Rewards Visa Signature"/>
    <x v="2842"/>
    <n v="64.92"/>
    <x v="38"/>
    <e v="#N/A"/>
    <s v="Exp - Groceries"/>
    <m/>
    <n v="64.92"/>
    <m/>
    <m/>
    <s v="debit"/>
    <m/>
    <x v="2548"/>
    <m/>
    <m/>
  </r>
  <r>
    <x v="48"/>
    <d v="2022-11-23T00:00:00"/>
    <s v="Cash Rewards Visa Signature"/>
    <x v="2843"/>
    <n v="29"/>
    <x v="38"/>
    <e v="#N/A"/>
    <s v="Exp - Groceries"/>
    <m/>
    <n v="29"/>
    <m/>
    <m/>
    <s v="debit"/>
    <m/>
    <x v="2549"/>
    <m/>
    <m/>
  </r>
  <r>
    <x v="48"/>
    <d v="2022-11-23T00:00:00"/>
    <s v="Cash Rewards Visa Signature"/>
    <x v="2844"/>
    <n v="44.94"/>
    <x v="45"/>
    <e v="#N/A"/>
    <s v="Exp - Target"/>
    <m/>
    <n v="44.94"/>
    <m/>
    <m/>
    <s v="debit"/>
    <m/>
    <x v="2550"/>
    <m/>
    <m/>
  </r>
  <r>
    <x v="48"/>
    <d v="2022-11-23T00:00:00"/>
    <s v="Cash Rewards Visa Signature"/>
    <x v="2845"/>
    <n v="45.62"/>
    <x v="32"/>
    <e v="#N/A"/>
    <s v="Exp - Shopping"/>
    <m/>
    <n v="45.62"/>
    <m/>
    <m/>
    <s v="debit"/>
    <m/>
    <x v="2551"/>
    <m/>
    <m/>
  </r>
  <r>
    <x v="48"/>
    <d v="2022-11-23T00:00:00"/>
    <s v="POWERPLUS"/>
    <x v="2846"/>
    <n v="315"/>
    <x v="40"/>
    <e v="#N/A"/>
    <s v="Exp - Day Care"/>
    <m/>
    <n v="315"/>
    <m/>
    <m/>
    <s v="debit"/>
    <m/>
    <x v="2007"/>
    <m/>
    <m/>
  </r>
  <r>
    <x v="48"/>
    <d v="2022-11-23T00:00:00"/>
    <s v="POWERPLUS"/>
    <x v="2847"/>
    <n v="24.38"/>
    <x v="32"/>
    <e v="#N/A"/>
    <s v="Exp - Shopping"/>
    <m/>
    <n v="24.38"/>
    <m/>
    <m/>
    <s v="debit"/>
    <m/>
    <x v="2045"/>
    <m/>
    <m/>
  </r>
  <r>
    <x v="48"/>
    <d v="2022-11-23T00:00:00"/>
    <s v="POWERPLUS"/>
    <x v="2848"/>
    <n v="100"/>
    <x v="52"/>
    <e v="#N/A"/>
    <s v="Sav - Savings"/>
    <m/>
    <n v="100"/>
    <m/>
    <m/>
    <s v="debit"/>
    <m/>
    <x v="2552"/>
    <m/>
    <m/>
  </r>
  <r>
    <x v="48"/>
    <d v="2022-11-24T00:00:00"/>
    <s v="Cash Rewards Visa Signature"/>
    <x v="2849"/>
    <n v="42.39"/>
    <x v="50"/>
    <e v="#N/A"/>
    <s v="Exp - Dry Cleaning"/>
    <m/>
    <n v="42.39"/>
    <m/>
    <m/>
    <s v="debit"/>
    <m/>
    <x v="2553"/>
    <m/>
    <m/>
  </r>
  <r>
    <x v="48"/>
    <d v="2022-11-24T00:00:00"/>
    <s v="Cash Rewards Visa Signature"/>
    <x v="2850"/>
    <n v="329.22"/>
    <x v="32"/>
    <e v="#N/A"/>
    <s v="Exp - Shopping"/>
    <m/>
    <n v="329.22"/>
    <m/>
    <m/>
    <s v="debit"/>
    <m/>
    <x v="2554"/>
    <m/>
    <m/>
  </r>
  <r>
    <x v="48"/>
    <d v="2022-11-24T00:00:00"/>
    <s v="Cash Rewards Visa Signature"/>
    <x v="2851"/>
    <n v="215.07"/>
    <x v="40"/>
    <e v="#N/A"/>
    <s v="Exp - Day Care"/>
    <m/>
    <n v="215.07"/>
    <m/>
    <m/>
    <s v="debit"/>
    <m/>
    <x v="2555"/>
    <m/>
    <m/>
  </r>
  <r>
    <x v="48"/>
    <d v="2022-11-24T00:00:00"/>
    <s v="Cash Rewards Visa Signature"/>
    <x v="2852"/>
    <n v="-129"/>
    <x v="40"/>
    <e v="#N/A"/>
    <s v="Exp - Day Care"/>
    <m/>
    <n v="129"/>
    <m/>
    <m/>
    <s v="credit"/>
    <m/>
    <x v="2556"/>
    <m/>
    <m/>
  </r>
  <r>
    <x v="48"/>
    <d v="2022-11-24T00:00:00"/>
    <s v="POWERPLUS"/>
    <x v="2853"/>
    <n v="-3501.24"/>
    <x v="14"/>
    <e v="#N/A"/>
    <s v="Inc - Britney"/>
    <m/>
    <n v="3501.24"/>
    <m/>
    <m/>
    <s v="credit"/>
    <m/>
    <x v="2014"/>
    <m/>
    <m/>
  </r>
  <r>
    <x v="48"/>
    <d v="2022-11-24T00:00:00"/>
    <s v="POWERPLUS"/>
    <x v="2854"/>
    <n v="-1027.6500000000001"/>
    <x v="3"/>
    <e v="#N/A"/>
    <s v="Delete"/>
    <m/>
    <n v="1027.6500000000001"/>
    <m/>
    <m/>
    <s v="credit"/>
    <m/>
    <x v="2138"/>
    <m/>
    <m/>
  </r>
  <r>
    <x v="48"/>
    <d v="2022-11-24T00:00:00"/>
    <s v="Cash Rewards Visa Signature"/>
    <x v="2855"/>
    <n v="47.4"/>
    <x v="44"/>
    <e v="#N/A"/>
    <s v="Exp - Misc"/>
    <m/>
    <n v="47.4"/>
    <m/>
    <m/>
    <s v="debit"/>
    <m/>
    <x v="2557"/>
    <m/>
    <m/>
  </r>
  <r>
    <x v="48"/>
    <d v="2022-11-24T00:00:00"/>
    <s v="Cash Rewards Visa Signature"/>
    <x v="2856"/>
    <n v="175.5"/>
    <x v="32"/>
    <e v="#N/A"/>
    <s v="Exp - Shopping"/>
    <m/>
    <n v="175.5"/>
    <m/>
    <m/>
    <s v="debit"/>
    <m/>
    <x v="2558"/>
    <m/>
    <m/>
  </r>
  <r>
    <x v="48"/>
    <d v="2022-11-24T00:00:00"/>
    <s v="Cash Rewards Visa Signature"/>
    <x v="2857"/>
    <n v="56.48"/>
    <x v="37"/>
    <e v="#N/A"/>
    <s v="Exp - Transportation"/>
    <m/>
    <n v="56.48"/>
    <m/>
    <m/>
    <s v="debit"/>
    <m/>
    <x v="2559"/>
    <m/>
    <m/>
  </r>
  <r>
    <x v="48"/>
    <d v="2022-11-24T00:00:00"/>
    <s v="Cash Rewards Visa Signature"/>
    <x v="2858"/>
    <n v="194.4"/>
    <x v="32"/>
    <e v="#N/A"/>
    <s v="Exp - Shopping"/>
    <m/>
    <n v="194.4"/>
    <m/>
    <m/>
    <s v="debit"/>
    <m/>
    <x v="2560"/>
    <m/>
    <m/>
  </r>
  <r>
    <x v="48"/>
    <d v="2022-11-25T00:00:00"/>
    <s v="DISCOVER MORE CARD"/>
    <x v="2859"/>
    <n v="60.39"/>
    <x v="39"/>
    <e v="#N/A"/>
    <s v="Exp - Restaurants"/>
    <m/>
    <n v="60.39"/>
    <m/>
    <m/>
    <s v="debit"/>
    <m/>
    <x v="2561"/>
    <m/>
    <m/>
  </r>
  <r>
    <x v="48"/>
    <d v="2022-11-25T00:00:00"/>
    <s v="Cash Rewards Visa Signature"/>
    <x v="2860"/>
    <n v="15"/>
    <x v="39"/>
    <e v="#N/A"/>
    <s v="Exp - Restaurants"/>
    <m/>
    <n v="15"/>
    <m/>
    <m/>
    <s v="debit"/>
    <m/>
    <x v="2562"/>
    <m/>
    <m/>
  </r>
  <r>
    <x v="48"/>
    <d v="2022-11-25T00:00:00"/>
    <s v="Cash Rewards Visa Signature"/>
    <x v="2861"/>
    <n v="117.88"/>
    <x v="39"/>
    <e v="#N/A"/>
    <s v="Exp - Restaurants"/>
    <m/>
    <n v="117.88"/>
    <m/>
    <m/>
    <s v="debit"/>
    <m/>
    <x v="2563"/>
    <m/>
    <m/>
  </r>
  <r>
    <x v="48"/>
    <d v="2022-11-25T00:00:00"/>
    <s v="Cash Rewards Visa Signature"/>
    <x v="2862"/>
    <n v="20.6"/>
    <x v="37"/>
    <e v="#N/A"/>
    <s v="Exp - Transportation"/>
    <m/>
    <n v="20.6"/>
    <m/>
    <m/>
    <s v="debit"/>
    <m/>
    <x v="2564"/>
    <m/>
    <m/>
  </r>
  <r>
    <x v="48"/>
    <d v="2022-11-25T00:00:00"/>
    <s v="Cash Rewards Visa Signature"/>
    <x v="2863"/>
    <n v="8.4700000000000006"/>
    <x v="37"/>
    <e v="#N/A"/>
    <s v="Exp - Transportation"/>
    <m/>
    <n v="8.4700000000000006"/>
    <m/>
    <m/>
    <s v="debit"/>
    <m/>
    <x v="2565"/>
    <m/>
    <m/>
  </r>
  <r>
    <x v="48"/>
    <d v="2022-11-25T00:00:00"/>
    <s v="Cash Rewards Visa Signature"/>
    <x v="2864"/>
    <n v="13.97"/>
    <x v="37"/>
    <e v="#N/A"/>
    <s v="Exp - Transportation"/>
    <m/>
    <n v="13.97"/>
    <m/>
    <m/>
    <s v="debit"/>
    <m/>
    <x v="2566"/>
    <m/>
    <m/>
  </r>
  <r>
    <x v="48"/>
    <d v="2022-11-25T00:00:00"/>
    <s v="POWERPLUS"/>
    <x v="2865"/>
    <n v="221"/>
    <x v="32"/>
    <e v="#N/A"/>
    <s v="Exp - Shopping"/>
    <m/>
    <n v="221"/>
    <m/>
    <m/>
    <s v="debit"/>
    <m/>
    <x v="2045"/>
    <m/>
    <m/>
  </r>
  <r>
    <x v="48"/>
    <d v="2022-11-25T00:00:00"/>
    <s v="POWERPLUS"/>
    <x v="2866"/>
    <n v="142.71"/>
    <x v="32"/>
    <e v="#N/A"/>
    <s v="Exp - Shopping"/>
    <m/>
    <n v="142.71"/>
    <m/>
    <m/>
    <s v="debit"/>
    <m/>
    <x v="2045"/>
    <m/>
    <m/>
  </r>
  <r>
    <x v="48"/>
    <d v="2022-11-25T00:00:00"/>
    <s v="POWERPLUS"/>
    <x v="2867"/>
    <n v="744.15"/>
    <x v="45"/>
    <e v="#N/A"/>
    <s v="Exp - Target"/>
    <m/>
    <n v="744.15"/>
    <m/>
    <m/>
    <s v="debit"/>
    <m/>
    <x v="2040"/>
    <m/>
    <m/>
  </r>
  <r>
    <x v="48"/>
    <d v="2022-11-25T00:00:00"/>
    <s v="POWERPLUS"/>
    <x v="2868"/>
    <n v="150"/>
    <x v="32"/>
    <e v="#N/A"/>
    <s v="Exp - Shopping"/>
    <m/>
    <n v="150"/>
    <m/>
    <m/>
    <s v="debit"/>
    <m/>
    <x v="2053"/>
    <m/>
    <m/>
  </r>
  <r>
    <x v="48"/>
    <d v="2022-11-25T00:00:00"/>
    <s v="POWERPLUS"/>
    <x v="2869"/>
    <n v="111.81"/>
    <x v="32"/>
    <e v="#N/A"/>
    <s v="Exp - Shopping"/>
    <m/>
    <n v="111.81"/>
    <m/>
    <m/>
    <s v="debit"/>
    <m/>
    <x v="2053"/>
    <m/>
    <m/>
  </r>
  <r>
    <x v="48"/>
    <d v="2022-11-26T00:00:00"/>
    <s v="DISCOVER MORE CARD"/>
    <x v="2870"/>
    <n v="67.64"/>
    <x v="41"/>
    <e v="#N/A"/>
    <s v="Exp - Amazon"/>
    <m/>
    <n v="67.64"/>
    <m/>
    <m/>
    <s v="debit"/>
    <m/>
    <x v="2567"/>
    <m/>
    <m/>
  </r>
  <r>
    <x v="48"/>
    <d v="2022-11-26T00:00:00"/>
    <s v="DISCOVER MORE CARD"/>
    <x v="2871"/>
    <n v="23.07"/>
    <x v="41"/>
    <e v="#N/A"/>
    <s v="Exp - Amazon"/>
    <m/>
    <n v="23.07"/>
    <m/>
    <m/>
    <s v="debit"/>
    <m/>
    <x v="2568"/>
    <m/>
    <m/>
  </r>
  <r>
    <x v="48"/>
    <d v="2022-11-27T00:00:00"/>
    <s v="Cash Rewards Visa Signature"/>
    <x v="2872"/>
    <n v="9.65"/>
    <x v="41"/>
    <e v="#N/A"/>
    <s v="Exp - Amazon"/>
    <m/>
    <n v="9.65"/>
    <m/>
    <m/>
    <s v="debit"/>
    <m/>
    <x v="2569"/>
    <m/>
    <m/>
  </r>
  <r>
    <x v="48"/>
    <d v="2022-11-27T00:00:00"/>
    <s v="Cash Rewards Visa Signature"/>
    <x v="2873"/>
    <n v="8"/>
    <x v="35"/>
    <e v="#N/A"/>
    <s v="Exp - Entertainment"/>
    <m/>
    <n v="8"/>
    <m/>
    <m/>
    <s v="debit"/>
    <m/>
    <x v="2570"/>
    <m/>
    <m/>
  </r>
  <r>
    <x v="48"/>
    <d v="2022-11-27T00:00:00"/>
    <s v="Cash Rewards Visa Signature"/>
    <x v="2874"/>
    <n v="227.63"/>
    <x v="38"/>
    <e v="#N/A"/>
    <s v="Exp - Groceries"/>
    <m/>
    <n v="227.63"/>
    <m/>
    <m/>
    <s v="debit"/>
    <m/>
    <x v="2571"/>
    <m/>
    <m/>
  </r>
  <r>
    <x v="48"/>
    <d v="2022-11-27T00:00:00"/>
    <s v="Cash Rewards Visa Signature"/>
    <x v="2875"/>
    <n v="33.18"/>
    <x v="32"/>
    <e v="#N/A"/>
    <s v="Exp - Shopping"/>
    <m/>
    <n v="33.18"/>
    <m/>
    <m/>
    <s v="debit"/>
    <m/>
    <x v="2572"/>
    <m/>
    <m/>
  </r>
  <r>
    <x v="48"/>
    <d v="2022-11-27T00:00:00"/>
    <s v="Cash Rewards Visa Signature"/>
    <x v="2876"/>
    <n v="60.6"/>
    <x v="39"/>
    <e v="#N/A"/>
    <s v="Exp - Restaurants"/>
    <m/>
    <n v="60.6"/>
    <m/>
    <m/>
    <s v="debit"/>
    <m/>
    <x v="2573"/>
    <m/>
    <m/>
  </r>
  <r>
    <x v="48"/>
    <d v="2022-11-27T00:00:00"/>
    <s v="Cash Rewards Visa Signature"/>
    <x v="2877"/>
    <n v="10.28"/>
    <x v="37"/>
    <e v="#N/A"/>
    <s v="Exp - Transportation"/>
    <m/>
    <n v="10.28"/>
    <m/>
    <m/>
    <s v="debit"/>
    <m/>
    <x v="2574"/>
    <m/>
    <m/>
  </r>
  <r>
    <x v="48"/>
    <d v="2022-11-27T00:00:00"/>
    <s v="Cash Rewards Visa Signature"/>
    <x v="2878"/>
    <n v="46.36"/>
    <x v="37"/>
    <e v="#N/A"/>
    <s v="Exp - Transportation"/>
    <m/>
    <n v="46.36"/>
    <m/>
    <m/>
    <s v="debit"/>
    <m/>
    <x v="2575"/>
    <m/>
    <m/>
  </r>
  <r>
    <x v="48"/>
    <d v="2022-11-27T00:00:00"/>
    <s v="Cash Rewards Visa Signature"/>
    <x v="2879"/>
    <n v="31"/>
    <x v="37"/>
    <e v="#N/A"/>
    <s v="Exp - Transportation"/>
    <m/>
    <n v="31"/>
    <m/>
    <m/>
    <s v="debit"/>
    <m/>
    <x v="2576"/>
    <m/>
    <m/>
  </r>
  <r>
    <x v="48"/>
    <d v="2022-11-27T00:00:00"/>
    <s v="Cash Rewards Visa Signature"/>
    <x v="2880"/>
    <n v="78.209999999999994"/>
    <x v="32"/>
    <e v="#N/A"/>
    <s v="Exp - Shopping"/>
    <m/>
    <n v="78.209999999999994"/>
    <m/>
    <m/>
    <s v="debit"/>
    <m/>
    <x v="2577"/>
    <m/>
    <m/>
  </r>
  <r>
    <x v="48"/>
    <d v="2022-11-27T00:00:00"/>
    <s v="Cash Rewards Visa Signature"/>
    <x v="2881"/>
    <n v="107.98"/>
    <x v="51"/>
    <e v="#N/A"/>
    <s v="Exp - Gifts"/>
    <m/>
    <n v="107.98"/>
    <m/>
    <m/>
    <s v="debit"/>
    <m/>
    <x v="2578"/>
    <m/>
    <m/>
  </r>
  <r>
    <x v="48"/>
    <d v="2022-11-27T00:00:00"/>
    <s v="Cash Rewards Visa Signature"/>
    <x v="2882"/>
    <n v="46.75"/>
    <x v="32"/>
    <e v="#N/A"/>
    <s v="Exp - Shopping"/>
    <m/>
    <n v="46.75"/>
    <m/>
    <m/>
    <s v="debit"/>
    <m/>
    <x v="2579"/>
    <m/>
    <m/>
  </r>
  <r>
    <x v="48"/>
    <d v="2022-11-28T00:00:00"/>
    <s v="Cash Rewards Visa Signature"/>
    <x v="2883"/>
    <n v="24.99"/>
    <x v="41"/>
    <e v="#N/A"/>
    <s v="Exp - Amazon"/>
    <m/>
    <n v="24.99"/>
    <m/>
    <m/>
    <s v="debit"/>
    <m/>
    <x v="2580"/>
    <m/>
    <m/>
  </r>
  <r>
    <x v="48"/>
    <d v="2022-11-28T00:00:00"/>
    <s v="DISCOVER MORE CARD"/>
    <x v="2884"/>
    <n v="24.42"/>
    <x v="41"/>
    <e v="#N/A"/>
    <s v="Exp - Amazon"/>
    <m/>
    <n v="24.42"/>
    <m/>
    <m/>
    <s v="debit"/>
    <m/>
    <x v="2581"/>
    <m/>
    <m/>
  </r>
  <r>
    <x v="48"/>
    <d v="2022-11-28T00:00:00"/>
    <s v="DISCOVER MORE CARD"/>
    <x v="2885"/>
    <n v="30.61"/>
    <x v="39"/>
    <e v="#N/A"/>
    <s v="Exp - Restaurants"/>
    <m/>
    <n v="30.61"/>
    <m/>
    <m/>
    <s v="debit"/>
    <m/>
    <x v="2582"/>
    <m/>
    <m/>
  </r>
  <r>
    <x v="48"/>
    <d v="2022-11-28T00:00:00"/>
    <s v="Cash Rewards Visa Signature"/>
    <x v="2886"/>
    <n v="101.98"/>
    <x v="32"/>
    <e v="#N/A"/>
    <s v="Exp - Shopping"/>
    <m/>
    <n v="101.98"/>
    <m/>
    <m/>
    <s v="debit"/>
    <m/>
    <x v="2583"/>
    <m/>
    <m/>
  </r>
  <r>
    <x v="48"/>
    <d v="2022-11-28T00:00:00"/>
    <s v="POWERPLUS"/>
    <x v="2887"/>
    <n v="74.53"/>
    <x v="32"/>
    <e v="#N/A"/>
    <s v="Exp - Shopping"/>
    <m/>
    <n v="74.53"/>
    <m/>
    <m/>
    <s v="debit"/>
    <m/>
    <x v="2045"/>
    <m/>
    <m/>
  </r>
  <r>
    <x v="48"/>
    <d v="2022-11-28T00:00:00"/>
    <s v="POWERPLUS"/>
    <x v="2888"/>
    <n v="0.99"/>
    <x v="35"/>
    <e v="#N/A"/>
    <s v="Exp - Entertainment"/>
    <m/>
    <n v="0.99"/>
    <m/>
    <m/>
    <s v="debit"/>
    <m/>
    <x v="2045"/>
    <m/>
    <m/>
  </r>
  <r>
    <x v="48"/>
    <d v="2022-11-28T00:00:00"/>
    <s v="POWERPLUS"/>
    <x v="2889"/>
    <n v="94.39"/>
    <x v="32"/>
    <e v="#N/A"/>
    <s v="Exp - Shopping"/>
    <m/>
    <n v="94.39"/>
    <m/>
    <m/>
    <s v="debit"/>
    <m/>
    <x v="2045"/>
    <m/>
    <m/>
  </r>
  <r>
    <x v="48"/>
    <d v="2022-11-29T00:00:00"/>
    <s v="Cash Rewards Visa Signature"/>
    <x v="2890"/>
    <n v="-44.9"/>
    <x v="41"/>
    <e v="#N/A"/>
    <s v="Exp - Amazon"/>
    <m/>
    <n v="44.9"/>
    <m/>
    <m/>
    <s v="credit"/>
    <m/>
    <x v="2584"/>
    <m/>
    <m/>
  </r>
  <r>
    <x v="48"/>
    <d v="2022-11-29T00:00:00"/>
    <s v="DISCOVER MORE CARD"/>
    <x v="2891"/>
    <n v="-20.98"/>
    <x v="41"/>
    <e v="#N/A"/>
    <s v="Exp - Amazon"/>
    <m/>
    <n v="20.98"/>
    <m/>
    <m/>
    <s v="credit"/>
    <m/>
    <x v="2585"/>
    <m/>
    <m/>
  </r>
  <r>
    <x v="48"/>
    <d v="2022-11-29T00:00:00"/>
    <s v="DISCOVER MORE CARD"/>
    <x v="2892"/>
    <n v="-27.89"/>
    <x v="41"/>
    <e v="#N/A"/>
    <s v="Exp - Amazon"/>
    <m/>
    <n v="27.89"/>
    <m/>
    <m/>
    <s v="credit"/>
    <m/>
    <x v="2586"/>
    <m/>
    <m/>
  </r>
  <r>
    <x v="48"/>
    <d v="2022-11-29T00:00:00"/>
    <s v="DISCOVER MORE CARD"/>
    <x v="2893"/>
    <n v="-29.99"/>
    <x v="41"/>
    <e v="#N/A"/>
    <s v="Exp - Amazon"/>
    <m/>
    <n v="29.99"/>
    <m/>
    <m/>
    <s v="credit"/>
    <m/>
    <x v="2587"/>
    <m/>
    <m/>
  </r>
  <r>
    <x v="48"/>
    <d v="2022-11-29T00:00:00"/>
    <s v="Cash Rewards Visa Signature"/>
    <x v="2894"/>
    <n v="40"/>
    <x v="37"/>
    <e v="#N/A"/>
    <s v="Exp - Transportation"/>
    <m/>
    <n v="40"/>
    <m/>
    <m/>
    <s v="debit"/>
    <m/>
    <x v="2588"/>
    <m/>
    <m/>
  </r>
  <r>
    <x v="48"/>
    <d v="2022-11-29T00:00:00"/>
    <s v="POWERPLUS"/>
    <x v="2895"/>
    <n v="-128"/>
    <x v="32"/>
    <e v="#N/A"/>
    <s v="Exp - Shopping"/>
    <m/>
    <n v="128"/>
    <m/>
    <m/>
    <s v="credit"/>
    <m/>
    <x v="2227"/>
    <m/>
    <m/>
  </r>
  <r>
    <x v="48"/>
    <d v="2022-11-29T00:00:00"/>
    <s v="POWERPLUS"/>
    <x v="2896"/>
    <n v="-2922.31"/>
    <x v="15"/>
    <e v="#N/A"/>
    <s v="Inc - Jeff"/>
    <m/>
    <n v="2922.31"/>
    <m/>
    <m/>
    <s v="credit"/>
    <m/>
    <x v="2139"/>
    <m/>
    <m/>
  </r>
  <r>
    <x v="48"/>
    <d v="2022-11-29T00:00:00"/>
    <s v="Cash Rewards Visa Signature"/>
    <x v="2897"/>
    <n v="386.19"/>
    <x v="43"/>
    <e v="#N/A"/>
    <s v="Exp - Travel"/>
    <m/>
    <n v="386.19"/>
    <m/>
    <m/>
    <s v="debit"/>
    <m/>
    <x v="2589"/>
    <m/>
    <m/>
  </r>
  <r>
    <x v="48"/>
    <d v="2022-11-29T00:00:00"/>
    <s v="Cash Rewards Visa Signature"/>
    <x v="2898"/>
    <n v="34.31"/>
    <x v="37"/>
    <e v="#N/A"/>
    <s v="Exp - Transportation"/>
    <m/>
    <n v="34.31"/>
    <m/>
    <m/>
    <s v="debit"/>
    <m/>
    <x v="2590"/>
    <m/>
    <m/>
  </r>
  <r>
    <x v="48"/>
    <d v="2022-11-29T00:00:00"/>
    <s v="DISCOVER MORE CARD"/>
    <x v="2720"/>
    <n v="-23.45"/>
    <x v="32"/>
    <e v="#N/A"/>
    <s v="Exp - Shopping"/>
    <m/>
    <n v="23.45"/>
    <m/>
    <m/>
    <s v="credit"/>
    <m/>
    <x v="2451"/>
    <m/>
    <m/>
  </r>
  <r>
    <x v="48"/>
    <d v="2022-11-29T00:00:00"/>
    <s v="Cash Rewards Visa Signature"/>
    <x v="2899"/>
    <n v="50.15"/>
    <x v="39"/>
    <e v="#N/A"/>
    <s v="Exp - Restaurants"/>
    <m/>
    <n v="50.15"/>
    <m/>
    <m/>
    <s v="debit"/>
    <m/>
    <x v="2591"/>
    <m/>
    <m/>
  </r>
  <r>
    <x v="48"/>
    <d v="2022-11-29T00:00:00"/>
    <s v="POWERPLUS"/>
    <x v="2900"/>
    <n v="315"/>
    <x v="40"/>
    <e v="#N/A"/>
    <s v="Exp - Day Care"/>
    <m/>
    <n v="315"/>
    <m/>
    <m/>
    <s v="debit"/>
    <m/>
    <x v="2007"/>
    <m/>
    <m/>
  </r>
  <r>
    <x v="48"/>
    <d v="2022-11-29T00:00:00"/>
    <s v="POWERPLUS"/>
    <x v="2901"/>
    <n v="33.22"/>
    <x v="32"/>
    <e v="#N/A"/>
    <s v="Exp - Shopping"/>
    <m/>
    <n v="33.22"/>
    <m/>
    <m/>
    <s v="debit"/>
    <m/>
    <x v="2045"/>
    <m/>
    <m/>
  </r>
  <r>
    <x v="48"/>
    <d v="2022-11-29T00:00:00"/>
    <s v="POWERPLUS"/>
    <x v="2902"/>
    <n v="0.99"/>
    <x v="35"/>
    <e v="#N/A"/>
    <s v="Exp - Entertainment"/>
    <m/>
    <n v="0.99"/>
    <m/>
    <m/>
    <s v="debit"/>
    <m/>
    <x v="2045"/>
    <m/>
    <m/>
  </r>
  <r>
    <x v="48"/>
    <d v="2022-11-29T00:00:00"/>
    <s v="POWERPLUS"/>
    <x v="2171"/>
    <n v="5349.29"/>
    <x v="3"/>
    <e v="#N/A"/>
    <s v="Delete"/>
    <m/>
    <n v="5349.29"/>
    <m/>
    <m/>
    <s v="debit"/>
    <m/>
    <x v="2021"/>
    <m/>
    <m/>
  </r>
  <r>
    <x v="48"/>
    <d v="2022-11-29T00:00:00"/>
    <s v="DISCOVER MORE CARD"/>
    <x v="56"/>
    <n v="-697.23"/>
    <x v="3"/>
    <s v="Delete"/>
    <s v="Delete"/>
    <m/>
    <n v="697.23"/>
    <m/>
    <m/>
    <s v="credit"/>
    <m/>
    <x v="56"/>
    <m/>
    <m/>
  </r>
  <r>
    <x v="48"/>
    <d v="2022-11-29T00:00:00"/>
    <s v="Cash Rewards Visa Signature"/>
    <x v="2903"/>
    <n v="-5349.29"/>
    <x v="3"/>
    <e v="#N/A"/>
    <s v="Delete"/>
    <m/>
    <n v="5349.29"/>
    <m/>
    <m/>
    <s v="credit"/>
    <m/>
    <x v="2592"/>
    <m/>
    <m/>
  </r>
  <r>
    <x v="48"/>
    <d v="2022-11-30T00:00:00"/>
    <s v="Cash Rewards Visa Signature"/>
    <x v="2904"/>
    <n v="-9.99"/>
    <x v="41"/>
    <e v="#N/A"/>
    <s v="Exp - Amazon"/>
    <m/>
    <n v="9.99"/>
    <m/>
    <m/>
    <s v="credit"/>
    <m/>
    <x v="2593"/>
    <m/>
    <m/>
  </r>
  <r>
    <x v="48"/>
    <d v="2022-11-30T00:00:00"/>
    <s v="Cash Rewards Visa Signature"/>
    <x v="2905"/>
    <n v="-12.98"/>
    <x v="41"/>
    <e v="#N/A"/>
    <s v="Exp - Amazon"/>
    <m/>
    <n v="12.98"/>
    <m/>
    <m/>
    <s v="credit"/>
    <m/>
    <x v="2594"/>
    <m/>
    <m/>
  </r>
  <r>
    <x v="48"/>
    <d v="2022-11-30T00:00:00"/>
    <s v="Cash Rewards Visa Signature"/>
    <x v="2906"/>
    <n v="283.73"/>
    <x v="32"/>
    <e v="#N/A"/>
    <s v="Exp - Shopping"/>
    <m/>
    <n v="283.73"/>
    <m/>
    <m/>
    <s v="debit"/>
    <m/>
    <x v="2595"/>
    <m/>
    <m/>
  </r>
  <r>
    <x v="48"/>
    <d v="2022-11-30T00:00:00"/>
    <s v="POWERPLUS"/>
    <x v="2405"/>
    <n v="0"/>
    <x v="13"/>
    <e v="#N/A"/>
    <s v="Inc - Other"/>
    <m/>
    <n v="0"/>
    <m/>
    <m/>
    <s v="credit"/>
    <m/>
    <x v="2222"/>
    <m/>
    <m/>
  </r>
  <r>
    <x v="48"/>
    <d v="2022-11-30T00:00:00"/>
    <s v="Cash Rewards Visa Signature"/>
    <x v="2907"/>
    <n v="598.22"/>
    <x v="43"/>
    <e v="#N/A"/>
    <s v="Exp - Travel"/>
    <m/>
    <n v="598.22"/>
    <m/>
    <m/>
    <s v="debit"/>
    <m/>
    <x v="2596"/>
    <m/>
    <m/>
  </r>
  <r>
    <x v="48"/>
    <d v="2022-11-30T00:00:00"/>
    <s v="POWERPLUS"/>
    <x v="2908"/>
    <n v="-150"/>
    <x v="3"/>
    <e v="#N/A"/>
    <s v="Delete"/>
    <m/>
    <n v="150"/>
    <m/>
    <m/>
    <s v="credit"/>
    <m/>
    <x v="2138"/>
    <m/>
    <m/>
  </r>
  <r>
    <x v="48"/>
    <d v="2022-11-30T00:00:00"/>
    <s v="POWERPLUS"/>
    <x v="2412"/>
    <n v="-3"/>
    <x v="13"/>
    <e v="#N/A"/>
    <s v="Inc - Other"/>
    <m/>
    <n v="3"/>
    <m/>
    <m/>
    <s v="credit"/>
    <m/>
    <x v="2228"/>
    <m/>
    <m/>
  </r>
  <r>
    <x v="48"/>
    <d v="2022-11-30T00:00:00"/>
    <s v="POWERPLUS"/>
    <x v="2909"/>
    <n v="-24.74"/>
    <x v="13"/>
    <e v="#N/A"/>
    <s v="Inc - Other"/>
    <m/>
    <n v="24.74"/>
    <m/>
    <m/>
    <s v="credit"/>
    <m/>
    <x v="2597"/>
    <m/>
    <m/>
  </r>
  <r>
    <x v="48"/>
    <d v="2022-11-30T00:00:00"/>
    <s v="RAINY DAY"/>
    <x v="2910"/>
    <n v="-7.3"/>
    <x v="13"/>
    <e v="#N/A"/>
    <s v="Inc - Other"/>
    <m/>
    <n v="7.3"/>
    <m/>
    <m/>
    <s v="credit"/>
    <m/>
    <x v="2598"/>
    <m/>
    <m/>
  </r>
  <r>
    <x v="48"/>
    <d v="2022-11-30T00:00:00"/>
    <s v="DISCOVER MORE CARD"/>
    <x v="2911"/>
    <n v="75"/>
    <x v="32"/>
    <e v="#N/A"/>
    <s v="Exp - Shopping"/>
    <m/>
    <n v="75"/>
    <m/>
    <m/>
    <s v="debit"/>
    <m/>
    <x v="2599"/>
    <m/>
    <m/>
  </r>
  <r>
    <x v="48"/>
    <d v="2022-11-30T00:00:00"/>
    <s v="Cash Rewards Visa Signature"/>
    <x v="2912"/>
    <n v="48.29"/>
    <x v="45"/>
    <e v="#N/A"/>
    <s v="Exp - Target"/>
    <m/>
    <n v="48.29"/>
    <m/>
    <m/>
    <s v="debit"/>
    <m/>
    <x v="2600"/>
    <m/>
    <m/>
  </r>
  <r>
    <x v="48"/>
    <d v="2022-11-30T00:00:00"/>
    <s v="POWERPLUS"/>
    <x v="2913"/>
    <n v="168.35"/>
    <x v="42"/>
    <e v="#N/A"/>
    <s v="Exp - Utilities"/>
    <m/>
    <n v="168.35"/>
    <m/>
    <m/>
    <s v="debit"/>
    <m/>
    <x v="2121"/>
    <m/>
    <m/>
  </r>
  <r>
    <x v="48"/>
    <d v="2022-11-30T00:00:00"/>
    <s v="POWERPLUS"/>
    <x v="2914"/>
    <n v="697.23"/>
    <x v="3"/>
    <e v="#N/A"/>
    <s v="Delete"/>
    <m/>
    <n v="697.23"/>
    <m/>
    <m/>
    <s v="debit"/>
    <m/>
    <x v="2059"/>
    <m/>
    <m/>
  </r>
  <r>
    <x v="22"/>
    <d v="2022-12-01T00:00:00"/>
    <s v="DISCOVER MORE CARD"/>
    <x v="2915"/>
    <n v="5.36"/>
    <x v="35"/>
    <e v="#N/A"/>
    <s v="Exp - Entertainment"/>
    <m/>
    <n v="5.36"/>
    <m/>
    <m/>
    <s v="debit"/>
    <m/>
    <x v="2601"/>
    <m/>
    <m/>
  </r>
  <r>
    <x v="22"/>
    <d v="2022-12-01T00:00:00"/>
    <s v="DISCOVER MORE CARD"/>
    <x v="2916"/>
    <n v="22.48"/>
    <x v="41"/>
    <e v="#N/A"/>
    <s v="Exp - Amazon"/>
    <m/>
    <n v="22.48"/>
    <m/>
    <m/>
    <s v="debit"/>
    <m/>
    <x v="2602"/>
    <m/>
    <m/>
  </r>
  <r>
    <x v="22"/>
    <d v="2022-12-01T00:00:00"/>
    <s v="POWERPLUS"/>
    <x v="2917"/>
    <n v="-101.74"/>
    <x v="14"/>
    <e v="#N/A"/>
    <s v="Inc - Britney"/>
    <m/>
    <n v="101.74"/>
    <m/>
    <m/>
    <s v="credit"/>
    <m/>
    <x v="2603"/>
    <m/>
    <m/>
  </r>
  <r>
    <x v="22"/>
    <d v="2022-12-01T00:00:00"/>
    <s v="Cash Rewards Visa Signature"/>
    <x v="2918"/>
    <n v="91"/>
    <x v="35"/>
    <e v="#N/A"/>
    <s v="Exp - Entertainment"/>
    <m/>
    <n v="91"/>
    <m/>
    <m/>
    <s v="debit"/>
    <m/>
    <x v="2604"/>
    <m/>
    <m/>
  </r>
  <r>
    <x v="22"/>
    <d v="2022-12-01T00:00:00"/>
    <s v="DISCOVER MORE CARD"/>
    <x v="2911"/>
    <n v="37.5"/>
    <x v="32"/>
    <e v="#N/A"/>
    <s v="Exp - Shopping"/>
    <m/>
    <n v="37.5"/>
    <m/>
    <m/>
    <s v="debit"/>
    <m/>
    <x v="2599"/>
    <m/>
    <m/>
  </r>
  <r>
    <x v="22"/>
    <d v="2022-12-01T00:00:00"/>
    <s v="Cash Rewards Visa Signature"/>
    <x v="2919"/>
    <n v="46.38"/>
    <x v="37"/>
    <e v="#N/A"/>
    <s v="Exp - Transportation"/>
    <m/>
    <n v="46.38"/>
    <m/>
    <m/>
    <s v="debit"/>
    <m/>
    <x v="2605"/>
    <m/>
    <m/>
  </r>
  <r>
    <x v="22"/>
    <d v="2022-12-01T00:00:00"/>
    <s v="POWERPLUS"/>
    <x v="2920"/>
    <n v="300"/>
    <x v="47"/>
    <e v="#N/A"/>
    <s v="Sav - College Savings"/>
    <m/>
    <n v="300"/>
    <m/>
    <m/>
    <s v="debit"/>
    <m/>
    <x v="2077"/>
    <m/>
    <m/>
  </r>
  <r>
    <x v="22"/>
    <d v="2022-12-01T00:00:00"/>
    <s v="POWERPLUS"/>
    <x v="2921"/>
    <n v="618.65"/>
    <x v="48"/>
    <e v="#N/A"/>
    <s v="Exp - Car Loan"/>
    <m/>
    <n v="618.65"/>
    <m/>
    <m/>
    <s v="debit"/>
    <m/>
    <x v="2606"/>
    <m/>
    <m/>
  </r>
  <r>
    <x v="22"/>
    <d v="2022-12-01T00:00:00"/>
    <s v="4017 Hallgren"/>
    <x v="935"/>
    <n v="2606.27"/>
    <x v="3"/>
    <s v="Delete"/>
    <s v="Delete"/>
    <m/>
    <n v="2606.27"/>
    <m/>
    <m/>
    <s v="debit"/>
    <m/>
    <x v="899"/>
    <m/>
    <m/>
  </r>
  <r>
    <x v="22"/>
    <d v="2022-12-01T00:00:00"/>
    <s v="HIGHLANDER"/>
    <x v="2922"/>
    <n v="-618.65"/>
    <x v="3"/>
    <e v="#N/A"/>
    <s v="Delete"/>
    <m/>
    <n v="618.65"/>
    <m/>
    <m/>
    <s v="credit"/>
    <m/>
    <x v="2607"/>
    <m/>
    <m/>
  </r>
  <r>
    <x v="49"/>
    <d v="2024-10-21T00:00:00"/>
    <s v="Powerplus - Ending in 8s30"/>
    <x v="2923"/>
    <n v="35"/>
    <x v="8"/>
    <m/>
    <s v="Exp - Shopping"/>
    <m/>
    <m/>
    <m/>
    <m/>
    <m/>
    <m/>
    <x v="2608"/>
    <m/>
    <m/>
  </r>
  <r>
    <x v="22"/>
    <d v="2022-12-02T00:00:00"/>
    <s v="DISCOVER MORE CARD"/>
    <x v="2924"/>
    <n v="17.16"/>
    <x v="41"/>
    <e v="#N/A"/>
    <s v="Exp - Amazon"/>
    <m/>
    <n v="17.16"/>
    <m/>
    <m/>
    <s v="debit"/>
    <m/>
    <x v="2609"/>
    <m/>
    <m/>
  </r>
  <r>
    <x v="22"/>
    <d v="2022-12-02T00:00:00"/>
    <s v="Cash Rewards Visa Signature"/>
    <x v="2925"/>
    <n v="105.59"/>
    <x v="38"/>
    <e v="#N/A"/>
    <s v="Exp - Groceries"/>
    <m/>
    <n v="105.59"/>
    <m/>
    <m/>
    <s v="debit"/>
    <m/>
    <x v="2610"/>
    <m/>
    <m/>
  </r>
  <r>
    <x v="22"/>
    <d v="2022-12-02T00:00:00"/>
    <s v="Cash Rewards Visa Signature"/>
    <x v="2926"/>
    <n v="65.569999999999993"/>
    <x v="38"/>
    <e v="#N/A"/>
    <s v="Exp - Groceries"/>
    <m/>
    <n v="65.569999999999993"/>
    <m/>
    <m/>
    <s v="debit"/>
    <m/>
    <x v="2611"/>
    <m/>
    <m/>
  </r>
  <r>
    <x v="22"/>
    <d v="2022-12-02T00:00:00"/>
    <s v="DISCOVER MORE CARD"/>
    <x v="2768"/>
    <n v="-7.74"/>
    <x v="32"/>
    <e v="#N/A"/>
    <s v="Exp - Shopping"/>
    <m/>
    <n v="7.74"/>
    <m/>
    <m/>
    <s v="credit"/>
    <m/>
    <x v="2488"/>
    <m/>
    <m/>
  </r>
  <r>
    <x v="22"/>
    <d v="2022-12-02T00:00:00"/>
    <s v="Cash Rewards Visa Signature"/>
    <x v="2927"/>
    <n v="189.58"/>
    <x v="35"/>
    <e v="#N/A"/>
    <s v="Exp - Entertainment"/>
    <m/>
    <n v="189.58"/>
    <m/>
    <m/>
    <s v="debit"/>
    <m/>
    <x v="2612"/>
    <m/>
    <m/>
  </r>
  <r>
    <x v="22"/>
    <d v="2022-12-02T00:00:00"/>
    <s v="Cash Rewards Visa Signature"/>
    <x v="2928"/>
    <n v="60"/>
    <x v="44"/>
    <e v="#N/A"/>
    <s v="Exp - Misc"/>
    <m/>
    <n v="60"/>
    <m/>
    <m/>
    <s v="debit"/>
    <m/>
    <x v="2613"/>
    <m/>
    <m/>
  </r>
  <r>
    <x v="22"/>
    <d v="2022-12-04T00:00:00"/>
    <s v="Cash Rewards Visa Signature"/>
    <x v="2929"/>
    <n v="643.17999999999995"/>
    <x v="32"/>
    <e v="#N/A"/>
    <s v="Exp - Shopping"/>
    <m/>
    <n v="643.17999999999995"/>
    <m/>
    <m/>
    <s v="debit"/>
    <m/>
    <x v="2614"/>
    <m/>
    <m/>
  </r>
  <r>
    <x v="22"/>
    <d v="2022-12-04T00:00:00"/>
    <s v="DISCOVER MORE CARD"/>
    <x v="2930"/>
    <n v="6.87"/>
    <x v="41"/>
    <e v="#N/A"/>
    <s v="Exp - Amazon"/>
    <m/>
    <n v="6.87"/>
    <m/>
    <m/>
    <s v="debit"/>
    <m/>
    <x v="2615"/>
    <m/>
    <m/>
  </r>
  <r>
    <x v="22"/>
    <d v="2022-12-04T00:00:00"/>
    <s v="Cash Rewards Visa Signature"/>
    <x v="2931"/>
    <n v="6.72"/>
    <x v="39"/>
    <e v="#N/A"/>
    <s v="Exp - Restaurants"/>
    <m/>
    <n v="6.72"/>
    <m/>
    <m/>
    <s v="debit"/>
    <m/>
    <x v="2616"/>
    <m/>
    <m/>
  </r>
  <r>
    <x v="22"/>
    <d v="2022-12-04T00:00:00"/>
    <s v="Cash Rewards Visa Signature"/>
    <x v="2932"/>
    <n v="84.15"/>
    <x v="35"/>
    <e v="#N/A"/>
    <s v="Exp - Entertainment"/>
    <m/>
    <n v="84.15"/>
    <m/>
    <m/>
    <s v="debit"/>
    <m/>
    <x v="2617"/>
    <m/>
    <m/>
  </r>
  <r>
    <x v="22"/>
    <d v="2022-12-04T00:00:00"/>
    <s v="Cash Rewards Visa Signature"/>
    <x v="2933"/>
    <n v="4.49"/>
    <x v="38"/>
    <e v="#N/A"/>
    <s v="Exp - Groceries"/>
    <m/>
    <n v="4.49"/>
    <m/>
    <m/>
    <s v="debit"/>
    <m/>
    <x v="2618"/>
    <m/>
    <m/>
  </r>
  <r>
    <x v="22"/>
    <d v="2022-12-04T00:00:00"/>
    <s v="POWERPLUS"/>
    <x v="2934"/>
    <n v="-20.21"/>
    <x v="32"/>
    <e v="#N/A"/>
    <s v="Exp - Shopping"/>
    <m/>
    <n v="20.21"/>
    <m/>
    <m/>
    <s v="credit"/>
    <m/>
    <x v="2227"/>
    <m/>
    <m/>
  </r>
  <r>
    <x v="22"/>
    <d v="2022-12-04T00:00:00"/>
    <s v="Cash Rewards Visa Signature"/>
    <x v="2935"/>
    <n v="58"/>
    <x v="32"/>
    <e v="#N/A"/>
    <s v="Exp - Shopping"/>
    <m/>
    <n v="58"/>
    <m/>
    <m/>
    <s v="debit"/>
    <m/>
    <x v="2619"/>
    <m/>
    <m/>
  </r>
  <r>
    <x v="22"/>
    <d v="2022-12-04T00:00:00"/>
    <s v="Cash Rewards Visa Signature"/>
    <x v="2936"/>
    <n v="20"/>
    <x v="42"/>
    <e v="#N/A"/>
    <s v="Exp - Utilities"/>
    <m/>
    <n v="20"/>
    <m/>
    <m/>
    <s v="debit"/>
    <m/>
    <x v="2620"/>
    <m/>
    <m/>
  </r>
  <r>
    <x v="22"/>
    <d v="2022-12-04T00:00:00"/>
    <s v="Cash Rewards Visa Signature"/>
    <x v="2937"/>
    <n v="-578.47"/>
    <x v="32"/>
    <e v="#N/A"/>
    <s v="Exp - Shopping"/>
    <m/>
    <n v="578.47"/>
    <m/>
    <m/>
    <s v="credit"/>
    <m/>
    <x v="2621"/>
    <m/>
    <m/>
  </r>
  <r>
    <x v="22"/>
    <d v="2022-12-04T00:00:00"/>
    <s v="Cash Rewards Visa Signature"/>
    <x v="2938"/>
    <n v="40.729999999999997"/>
    <x v="39"/>
    <e v="#N/A"/>
    <s v="Exp - Restaurants"/>
    <m/>
    <n v="40.729999999999997"/>
    <m/>
    <m/>
    <s v="debit"/>
    <m/>
    <x v="2622"/>
    <m/>
    <m/>
  </r>
  <r>
    <x v="22"/>
    <d v="2022-12-04T00:00:00"/>
    <s v="DISCOVER MORE CARD"/>
    <x v="2475"/>
    <n v="268.8"/>
    <x v="32"/>
    <e v="#N/A"/>
    <s v="Exp - Shopping"/>
    <m/>
    <n v="268.8"/>
    <m/>
    <m/>
    <s v="debit"/>
    <m/>
    <x v="2276"/>
    <m/>
    <m/>
  </r>
  <r>
    <x v="22"/>
    <d v="2022-12-04T00:00:00"/>
    <s v="Cash Rewards Visa Signature"/>
    <x v="2939"/>
    <n v="197.23"/>
    <x v="32"/>
    <e v="#N/A"/>
    <s v="Exp - Shopping"/>
    <m/>
    <n v="197.23"/>
    <m/>
    <m/>
    <s v="debit"/>
    <m/>
    <x v="2623"/>
    <m/>
    <m/>
  </r>
  <r>
    <x v="22"/>
    <d v="2022-12-05T00:00:00"/>
    <s v="DISCOVER MORE CARD"/>
    <x v="2940"/>
    <n v="39.880000000000003"/>
    <x v="41"/>
    <e v="#N/A"/>
    <s v="Exp - Amazon"/>
    <m/>
    <n v="39.880000000000003"/>
    <m/>
    <m/>
    <s v="debit"/>
    <m/>
    <x v="2624"/>
    <m/>
    <m/>
  </r>
  <r>
    <x v="22"/>
    <d v="2022-12-05T00:00:00"/>
    <s v="Cash Rewards Visa Signature"/>
    <x v="2941"/>
    <n v="19.28"/>
    <x v="45"/>
    <e v="#N/A"/>
    <s v="Exp - Target"/>
    <m/>
    <n v="19.28"/>
    <m/>
    <m/>
    <s v="debit"/>
    <m/>
    <x v="2625"/>
    <m/>
    <m/>
  </r>
  <r>
    <x v="22"/>
    <d v="2022-12-06T00:00:00"/>
    <s v="Cash Rewards Visa Signature"/>
    <x v="2942"/>
    <n v="27.52"/>
    <x v="32"/>
    <e v="#N/A"/>
    <s v="Exp - Shopping"/>
    <m/>
    <n v="27.52"/>
    <m/>
    <m/>
    <s v="debit"/>
    <m/>
    <x v="2626"/>
    <m/>
    <m/>
  </r>
  <r>
    <x v="22"/>
    <d v="2022-12-06T00:00:00"/>
    <s v="Cash Rewards Visa Signature"/>
    <x v="2943"/>
    <n v="108.82"/>
    <x v="39"/>
    <e v="#N/A"/>
    <s v="Exp - Restaurants"/>
    <m/>
    <n v="108.82"/>
    <m/>
    <m/>
    <s v="debit"/>
    <m/>
    <x v="2627"/>
    <m/>
    <m/>
  </r>
  <r>
    <x v="22"/>
    <d v="2022-12-06T00:00:00"/>
    <s v="POWERPLUS"/>
    <x v="2944"/>
    <n v="100"/>
    <x v="3"/>
    <e v="#N/A"/>
    <s v="Delete"/>
    <m/>
    <n v="100"/>
    <m/>
    <m/>
    <s v="debit"/>
    <m/>
    <x v="2628"/>
    <m/>
    <m/>
  </r>
  <r>
    <x v="22"/>
    <d v="2022-12-06T00:00:00"/>
    <s v="POWERPLUS"/>
    <x v="2945"/>
    <n v="315"/>
    <x v="40"/>
    <e v="#N/A"/>
    <s v="Exp - Day Care"/>
    <m/>
    <n v="315"/>
    <m/>
    <m/>
    <s v="debit"/>
    <m/>
    <x v="2007"/>
    <m/>
    <m/>
  </r>
  <r>
    <x v="22"/>
    <d v="2022-12-06T00:00:00"/>
    <s v="POWERPLUS"/>
    <x v="2946"/>
    <n v="141.49"/>
    <x v="42"/>
    <e v="#N/A"/>
    <s v="Exp - Utilities"/>
    <m/>
    <n v="141.49"/>
    <m/>
    <m/>
    <s v="debit"/>
    <m/>
    <x v="2103"/>
    <m/>
    <m/>
  </r>
  <r>
    <x v="22"/>
    <d v="2022-12-07T00:00:00"/>
    <s v="DISCOVER MORE CARD"/>
    <x v="2947"/>
    <n v="79.86"/>
    <x v="41"/>
    <e v="#N/A"/>
    <s v="Exp - Amazon"/>
    <m/>
    <n v="79.86"/>
    <m/>
    <m/>
    <s v="debit"/>
    <m/>
    <x v="2629"/>
    <m/>
    <m/>
  </r>
  <r>
    <x v="22"/>
    <d v="2022-12-07T00:00:00"/>
    <s v="Cash Rewards Visa Signature"/>
    <x v="2948"/>
    <n v="109"/>
    <x v="32"/>
    <e v="#N/A"/>
    <s v="Exp - Shopping"/>
    <m/>
    <n v="109"/>
    <m/>
    <m/>
    <s v="debit"/>
    <m/>
    <x v="2630"/>
    <m/>
    <m/>
  </r>
  <r>
    <x v="22"/>
    <d v="2022-12-08T00:00:00"/>
    <s v="DISCOVER MORE CARD"/>
    <x v="2949"/>
    <n v="47.19"/>
    <x v="41"/>
    <e v="#N/A"/>
    <s v="Exp - Amazon"/>
    <m/>
    <n v="47.19"/>
    <m/>
    <m/>
    <s v="debit"/>
    <m/>
    <x v="2631"/>
    <m/>
    <m/>
  </r>
  <r>
    <x v="22"/>
    <d v="2022-12-08T00:00:00"/>
    <s v="DISCOVER MORE CARD"/>
    <x v="2950"/>
    <n v="51.49"/>
    <x v="41"/>
    <e v="#N/A"/>
    <s v="Exp - Amazon"/>
    <m/>
    <n v="51.49"/>
    <m/>
    <m/>
    <s v="debit"/>
    <m/>
    <x v="2632"/>
    <m/>
    <m/>
  </r>
  <r>
    <x v="22"/>
    <d v="2022-12-08T00:00:00"/>
    <s v="DISCOVER MORE CARD"/>
    <x v="2951"/>
    <n v="34.99"/>
    <x v="41"/>
    <e v="#N/A"/>
    <s v="Exp - Amazon"/>
    <m/>
    <n v="34.99"/>
    <m/>
    <m/>
    <s v="debit"/>
    <m/>
    <x v="2633"/>
    <m/>
    <m/>
  </r>
  <r>
    <x v="22"/>
    <d v="2022-12-08T00:00:00"/>
    <s v="DISCOVER MORE CARD"/>
    <x v="2952"/>
    <n v="11.81"/>
    <x v="41"/>
    <e v="#N/A"/>
    <s v="Exp - Amazon"/>
    <m/>
    <n v="11.81"/>
    <m/>
    <m/>
    <s v="debit"/>
    <m/>
    <x v="2634"/>
    <m/>
    <m/>
  </r>
  <r>
    <x v="22"/>
    <d v="2022-12-08T00:00:00"/>
    <s v="POWERPLUS"/>
    <x v="2953"/>
    <n v="-3611.81"/>
    <x v="14"/>
    <e v="#N/A"/>
    <s v="Inc - Britney"/>
    <m/>
    <n v="3611.81"/>
    <m/>
    <m/>
    <s v="credit"/>
    <m/>
    <x v="2014"/>
    <m/>
    <m/>
  </r>
  <r>
    <x v="22"/>
    <d v="2022-12-08T00:00:00"/>
    <s v="Cash Rewards Visa Signature"/>
    <x v="2954"/>
    <n v="40.090000000000003"/>
    <x v="37"/>
    <e v="#N/A"/>
    <s v="Exp - Transportation"/>
    <m/>
    <n v="40.090000000000003"/>
    <m/>
    <m/>
    <s v="debit"/>
    <m/>
    <x v="2635"/>
    <m/>
    <m/>
  </r>
  <r>
    <x v="22"/>
    <d v="2022-12-08T00:00:00"/>
    <s v="Cash Rewards Visa Signature"/>
    <x v="2955"/>
    <n v="10"/>
    <x v="37"/>
    <e v="#N/A"/>
    <s v="Exp - Transportation"/>
    <m/>
    <n v="10"/>
    <m/>
    <m/>
    <s v="debit"/>
    <m/>
    <x v="2636"/>
    <m/>
    <m/>
  </r>
  <r>
    <x v="22"/>
    <d v="2022-12-08T00:00:00"/>
    <s v="Cash Rewards Visa Signature"/>
    <x v="2956"/>
    <n v="25"/>
    <x v="32"/>
    <e v="#N/A"/>
    <s v="Exp - Shopping"/>
    <m/>
    <n v="25"/>
    <m/>
    <m/>
    <s v="debit"/>
    <m/>
    <x v="2637"/>
    <m/>
    <m/>
  </r>
  <r>
    <x v="22"/>
    <d v="2022-12-08T00:00:00"/>
    <s v="POWERPLUS"/>
    <x v="2957"/>
    <n v="89.5"/>
    <x v="32"/>
    <e v="#N/A"/>
    <s v="Exp - Shopping"/>
    <m/>
    <n v="89.5"/>
    <m/>
    <m/>
    <s v="debit"/>
    <m/>
    <x v="2045"/>
    <m/>
    <m/>
  </r>
  <r>
    <x v="22"/>
    <d v="2022-12-09T00:00:00"/>
    <s v="Cash Rewards Visa Signature"/>
    <x v="2958"/>
    <n v="23.95"/>
    <x v="50"/>
    <e v="#N/A"/>
    <s v="Exp - Dry Cleaning"/>
    <m/>
    <n v="23.95"/>
    <m/>
    <m/>
    <s v="debit"/>
    <m/>
    <x v="2638"/>
    <m/>
    <m/>
  </r>
  <r>
    <x v="22"/>
    <d v="2022-12-09T00:00:00"/>
    <s v="DISCOVER MORE CARD"/>
    <x v="2959"/>
    <n v="45"/>
    <x v="41"/>
    <e v="#N/A"/>
    <s v="Exp - Amazon"/>
    <m/>
    <n v="45"/>
    <m/>
    <m/>
    <s v="debit"/>
    <m/>
    <x v="2639"/>
    <m/>
    <m/>
  </r>
  <r>
    <x v="22"/>
    <d v="2022-12-09T00:00:00"/>
    <s v="Cash Rewards Visa Signature"/>
    <x v="2960"/>
    <n v="41.93"/>
    <x v="37"/>
    <e v="#N/A"/>
    <s v="Exp - Transportation"/>
    <m/>
    <n v="41.93"/>
    <m/>
    <m/>
    <s v="debit"/>
    <m/>
    <x v="2640"/>
    <m/>
    <m/>
  </r>
  <r>
    <x v="22"/>
    <d v="2022-12-09T00:00:00"/>
    <s v="Cash Rewards Visa Signature"/>
    <x v="2961"/>
    <n v="47.25"/>
    <x v="49"/>
    <e v="#N/A"/>
    <s v="Exp - Gym"/>
    <m/>
    <n v="47.25"/>
    <m/>
    <m/>
    <s v="debit"/>
    <m/>
    <x v="2641"/>
    <m/>
    <m/>
  </r>
  <r>
    <x v="22"/>
    <d v="2022-12-09T00:00:00"/>
    <s v="Cash Rewards Visa Signature"/>
    <x v="2962"/>
    <n v="223.51"/>
    <x v="46"/>
    <e v="#N/A"/>
    <s v="Exp - Healthcare"/>
    <m/>
    <n v="223.51"/>
    <m/>
    <m/>
    <s v="debit"/>
    <m/>
    <x v="2642"/>
    <m/>
    <m/>
  </r>
  <r>
    <x v="22"/>
    <d v="2022-12-09T00:00:00"/>
    <s v="Cash Rewards Visa Signature"/>
    <x v="2963"/>
    <n v="7"/>
    <x v="35"/>
    <e v="#N/A"/>
    <s v="Exp - Entertainment"/>
    <m/>
    <n v="7"/>
    <m/>
    <m/>
    <s v="debit"/>
    <m/>
    <x v="2643"/>
    <m/>
    <m/>
  </r>
  <r>
    <x v="22"/>
    <d v="2022-12-09T00:00:00"/>
    <s v="POWERPLUS"/>
    <x v="2964"/>
    <n v="130.12"/>
    <x v="42"/>
    <e v="#N/A"/>
    <s v="Exp - Utilities"/>
    <m/>
    <n v="130.12"/>
    <m/>
    <m/>
    <s v="debit"/>
    <m/>
    <x v="2078"/>
    <m/>
    <m/>
  </r>
  <r>
    <x v="22"/>
    <d v="2022-12-09T00:00:00"/>
    <s v="POWERPLUS"/>
    <x v="2965"/>
    <n v="208.87"/>
    <x v="32"/>
    <e v="#N/A"/>
    <s v="Exp - Shopping"/>
    <m/>
    <n v="208.87"/>
    <m/>
    <m/>
    <s v="debit"/>
    <m/>
    <x v="2205"/>
    <m/>
    <m/>
  </r>
  <r>
    <x v="22"/>
    <d v="2022-12-10T00:00:00"/>
    <s v="DISCOVER MORE CARD"/>
    <x v="2966"/>
    <n v="81.97"/>
    <x v="41"/>
    <e v="#N/A"/>
    <s v="Exp - Amazon"/>
    <m/>
    <n v="81.97"/>
    <m/>
    <m/>
    <s v="debit"/>
    <m/>
    <x v="2644"/>
    <m/>
    <m/>
  </r>
  <r>
    <x v="22"/>
    <d v="2022-12-10T00:00:00"/>
    <s v="DISCOVER MORE CARD"/>
    <x v="56"/>
    <n v="-643.37"/>
    <x v="3"/>
    <s v="Delete"/>
    <m/>
    <m/>
    <n v="643.37"/>
    <m/>
    <m/>
    <s v="credit"/>
    <m/>
    <x v="56"/>
    <m/>
    <m/>
  </r>
  <r>
    <x v="22"/>
    <d v="2022-12-11T00:00:00"/>
    <s v="Cash Rewards Visa Signature"/>
    <x v="2967"/>
    <n v="31.52"/>
    <x v="38"/>
    <e v="#N/A"/>
    <s v="Exp - Groceries"/>
    <m/>
    <n v="31.52"/>
    <m/>
    <m/>
    <s v="debit"/>
    <m/>
    <x v="2645"/>
    <m/>
    <m/>
  </r>
  <r>
    <x v="22"/>
    <d v="2022-12-11T00:00:00"/>
    <s v="Cash Rewards Visa Signature"/>
    <x v="2968"/>
    <n v="29"/>
    <x v="44"/>
    <e v="#N/A"/>
    <s v="Exp - Misc"/>
    <m/>
    <n v="29"/>
    <m/>
    <m/>
    <s v="debit"/>
    <m/>
    <x v="2646"/>
    <m/>
    <m/>
  </r>
  <r>
    <x v="22"/>
    <d v="2022-12-11T00:00:00"/>
    <s v="Cash Rewards Visa Signature"/>
    <x v="2969"/>
    <n v="88.88"/>
    <x v="32"/>
    <e v="#N/A"/>
    <s v="Exp - Shopping"/>
    <m/>
    <n v="88.88"/>
    <m/>
    <m/>
    <s v="debit"/>
    <m/>
    <x v="2647"/>
    <m/>
    <m/>
  </r>
  <r>
    <x v="22"/>
    <d v="2022-12-11T00:00:00"/>
    <s v="Cash Rewards Visa Signature"/>
    <x v="2970"/>
    <n v="73.16"/>
    <x v="39"/>
    <e v="#N/A"/>
    <s v="Exp - Restaurants"/>
    <m/>
    <n v="73.16"/>
    <m/>
    <m/>
    <s v="debit"/>
    <m/>
    <x v="2648"/>
    <m/>
    <m/>
  </r>
  <r>
    <x v="22"/>
    <d v="2022-12-11T00:00:00"/>
    <s v="Cash Rewards Visa Signature"/>
    <x v="2971"/>
    <n v="125"/>
    <x v="32"/>
    <e v="#N/A"/>
    <s v="Exp - Shopping"/>
    <m/>
    <n v="125"/>
    <m/>
    <m/>
    <s v="debit"/>
    <m/>
    <x v="2649"/>
    <m/>
    <m/>
  </r>
  <r>
    <x v="22"/>
    <d v="2022-12-11T00:00:00"/>
    <s v="Cash Rewards Visa Signature"/>
    <x v="2972"/>
    <n v="51.3"/>
    <x v="32"/>
    <e v="#N/A"/>
    <s v="Exp - Shopping"/>
    <m/>
    <n v="51.3"/>
    <m/>
    <m/>
    <s v="debit"/>
    <m/>
    <x v="2650"/>
    <m/>
    <m/>
  </r>
  <r>
    <x v="22"/>
    <d v="2022-12-11T00:00:00"/>
    <s v="Cash Rewards Visa Signature"/>
    <x v="2973"/>
    <n v="58.76"/>
    <x v="38"/>
    <e v="#N/A"/>
    <s v="Exp - Groceries"/>
    <m/>
    <n v="58.76"/>
    <m/>
    <m/>
    <s v="debit"/>
    <m/>
    <x v="2651"/>
    <m/>
    <m/>
  </r>
  <r>
    <x v="22"/>
    <d v="2022-12-12T00:00:00"/>
    <s v="Cash Rewards Visa Signature"/>
    <x v="2974"/>
    <n v="22.45"/>
    <x v="38"/>
    <e v="#N/A"/>
    <s v="Exp - Groceries"/>
    <m/>
    <n v="22.45"/>
    <m/>
    <m/>
    <s v="debit"/>
    <m/>
    <x v="2652"/>
    <m/>
    <m/>
  </r>
  <r>
    <x v="22"/>
    <d v="2022-12-12T00:00:00"/>
    <s v="Cash Rewards Visa Signature"/>
    <x v="2975"/>
    <n v="245.16"/>
    <x v="39"/>
    <e v="#N/A"/>
    <s v="Exp - Restaurants"/>
    <m/>
    <n v="245.16"/>
    <m/>
    <m/>
    <s v="debit"/>
    <m/>
    <x v="2653"/>
    <m/>
    <m/>
  </r>
  <r>
    <x v="22"/>
    <d v="2022-12-12T00:00:00"/>
    <s v="Cash Rewards Visa Signature"/>
    <x v="2976"/>
    <n v="17.25"/>
    <x v="39"/>
    <e v="#N/A"/>
    <s v="Exp - Restaurants"/>
    <m/>
    <n v="17.25"/>
    <m/>
    <m/>
    <s v="debit"/>
    <m/>
    <x v="2654"/>
    <m/>
    <m/>
  </r>
  <r>
    <x v="22"/>
    <d v="2022-12-12T00:00:00"/>
    <s v="Cash Rewards Visa Signature"/>
    <x v="2977"/>
    <n v="49.34"/>
    <x v="37"/>
    <e v="#N/A"/>
    <s v="Exp - Transportation"/>
    <m/>
    <n v="49.34"/>
    <m/>
    <m/>
    <s v="debit"/>
    <m/>
    <x v="2655"/>
    <m/>
    <m/>
  </r>
  <r>
    <x v="22"/>
    <d v="2022-12-12T00:00:00"/>
    <s v="Cash Rewards Visa Signature"/>
    <x v="2978"/>
    <n v="55.15"/>
    <x v="39"/>
    <e v="#N/A"/>
    <s v="Exp - Restaurants"/>
    <m/>
    <n v="55.15"/>
    <m/>
    <m/>
    <s v="debit"/>
    <m/>
    <x v="2656"/>
    <m/>
    <m/>
  </r>
  <r>
    <x v="22"/>
    <d v="2022-12-12T00:00:00"/>
    <s v="Cash Rewards Visa Signature"/>
    <x v="2979"/>
    <n v="4.53"/>
    <x v="37"/>
    <e v="#N/A"/>
    <s v="Exp - Transportation"/>
    <m/>
    <n v="4.53"/>
    <m/>
    <m/>
    <s v="debit"/>
    <m/>
    <x v="2657"/>
    <m/>
    <m/>
  </r>
  <r>
    <x v="22"/>
    <d v="2022-12-12T00:00:00"/>
    <s v="Cash Rewards Visa Signature"/>
    <x v="2980"/>
    <n v="44.98"/>
    <x v="39"/>
    <e v="#N/A"/>
    <s v="Exp - Restaurants"/>
    <m/>
    <n v="44.98"/>
    <m/>
    <m/>
    <s v="debit"/>
    <m/>
    <x v="2658"/>
    <m/>
    <m/>
  </r>
  <r>
    <x v="22"/>
    <d v="2022-12-12T00:00:00"/>
    <s v="POWERPLUS"/>
    <x v="2171"/>
    <n v="3548.14"/>
    <x v="3"/>
    <e v="#N/A"/>
    <s v="Delete"/>
    <m/>
    <n v="3548.14"/>
    <m/>
    <m/>
    <s v="debit"/>
    <m/>
    <x v="2021"/>
    <m/>
    <m/>
  </r>
  <r>
    <x v="22"/>
    <d v="2022-12-12T00:00:00"/>
    <s v="Cash Rewards Visa Signature"/>
    <x v="2981"/>
    <n v="-3548.14"/>
    <x v="3"/>
    <e v="#N/A"/>
    <s v="Delete"/>
    <m/>
    <n v="3548.14"/>
    <m/>
    <m/>
    <s v="credit"/>
    <m/>
    <x v="2659"/>
    <m/>
    <m/>
  </r>
  <r>
    <x v="22"/>
    <d v="2022-12-12T00:00:00"/>
    <s v="POWERPLUS"/>
    <x v="2982"/>
    <n v="643.37"/>
    <x v="3"/>
    <e v="#N/A"/>
    <s v="Delete"/>
    <m/>
    <n v="643.37"/>
    <m/>
    <m/>
    <s v="debit"/>
    <m/>
    <x v="2059"/>
    <m/>
    <m/>
  </r>
  <r>
    <x v="22"/>
    <d v="2022-12-13T00:00:00"/>
    <s v="Cash Rewards Visa Signature"/>
    <x v="2983"/>
    <n v="47.77"/>
    <x v="39"/>
    <e v="#N/A"/>
    <s v="Exp - Restaurants"/>
    <m/>
    <n v="47.77"/>
    <m/>
    <m/>
    <s v="debit"/>
    <m/>
    <x v="2660"/>
    <m/>
    <m/>
  </r>
  <r>
    <x v="22"/>
    <d v="2022-12-13T00:00:00"/>
    <s v="Cash Rewards Visa Signature"/>
    <x v="2984"/>
    <n v="45"/>
    <x v="42"/>
    <e v="#N/A"/>
    <s v="Exp - Utilities"/>
    <m/>
    <n v="45"/>
    <m/>
    <m/>
    <s v="debit"/>
    <m/>
    <x v="2661"/>
    <m/>
    <m/>
  </r>
  <r>
    <x v="22"/>
    <d v="2022-12-13T00:00:00"/>
    <s v="Cash Rewards Visa Signature"/>
    <x v="2985"/>
    <n v="605.96"/>
    <x v="43"/>
    <e v="#N/A"/>
    <s v="Exp - Travel"/>
    <m/>
    <n v="605.96"/>
    <m/>
    <m/>
    <s v="debit"/>
    <m/>
    <x v="2662"/>
    <m/>
    <m/>
  </r>
  <r>
    <x v="22"/>
    <d v="2022-12-13T00:00:00"/>
    <s v="Cash Rewards Visa Signature"/>
    <x v="2986"/>
    <n v="20.73"/>
    <x v="45"/>
    <e v="#N/A"/>
    <s v="Exp - Target"/>
    <m/>
    <n v="20.73"/>
    <m/>
    <m/>
    <s v="debit"/>
    <m/>
    <x v="2663"/>
    <m/>
    <m/>
  </r>
  <r>
    <x v="22"/>
    <d v="2022-12-13T00:00:00"/>
    <s v="POWERPLUS"/>
    <x v="2987"/>
    <n v="376.83"/>
    <x v="32"/>
    <e v="#N/A"/>
    <s v="Exp - Shopping"/>
    <m/>
    <n v="376.83"/>
    <m/>
    <m/>
    <s v="debit"/>
    <m/>
    <x v="2393"/>
    <m/>
    <m/>
  </r>
  <r>
    <x v="22"/>
    <d v="2022-12-13T00:00:00"/>
    <s v="POWERPLUS"/>
    <x v="2988"/>
    <n v="315"/>
    <x v="40"/>
    <e v="#N/A"/>
    <s v="Exp - Day Care"/>
    <m/>
    <n v="315"/>
    <m/>
    <m/>
    <s v="debit"/>
    <m/>
    <x v="2007"/>
    <m/>
    <m/>
  </r>
  <r>
    <x v="22"/>
    <d v="2022-12-14T00:00:00"/>
    <s v="DISCOVER MORE CARD"/>
    <x v="2989"/>
    <n v="29.99"/>
    <x v="41"/>
    <e v="#N/A"/>
    <s v="Exp - Amazon"/>
    <m/>
    <n v="29.99"/>
    <m/>
    <m/>
    <s v="debit"/>
    <m/>
    <x v="2664"/>
    <m/>
    <m/>
  </r>
  <r>
    <x v="22"/>
    <d v="2022-12-14T00:00:00"/>
    <s v="Cash Rewards Visa Signature"/>
    <x v="2990"/>
    <n v="37.840000000000003"/>
    <x v="38"/>
    <e v="#N/A"/>
    <s v="Exp - Groceries"/>
    <m/>
    <n v="37.840000000000003"/>
    <m/>
    <m/>
    <s v="debit"/>
    <m/>
    <x v="2665"/>
    <m/>
    <m/>
  </r>
  <r>
    <x v="22"/>
    <d v="2022-12-14T00:00:00"/>
    <s v="POWERPLUS"/>
    <x v="2991"/>
    <n v="-2922.31"/>
    <x v="15"/>
    <e v="#N/A"/>
    <s v="Inc - Jeff"/>
    <m/>
    <n v="2922.31"/>
    <m/>
    <m/>
    <s v="credit"/>
    <m/>
    <x v="2139"/>
    <m/>
    <m/>
  </r>
  <r>
    <x v="22"/>
    <d v="2022-12-14T00:00:00"/>
    <s v="DISCOVER MORE CARD"/>
    <x v="2992"/>
    <n v="27.58"/>
    <x v="32"/>
    <e v="#N/A"/>
    <s v="Exp - Shopping"/>
    <m/>
    <n v="27.58"/>
    <m/>
    <m/>
    <s v="debit"/>
    <m/>
    <x v="2666"/>
    <m/>
    <m/>
  </r>
  <r>
    <x v="22"/>
    <d v="2022-12-14T00:00:00"/>
    <s v="Cash Rewards Visa Signature"/>
    <x v="2993"/>
    <n v="89.03"/>
    <x v="44"/>
    <e v="#N/A"/>
    <s v="Exp - Misc"/>
    <m/>
    <n v="89.03"/>
    <m/>
    <m/>
    <s v="debit"/>
    <m/>
    <x v="2667"/>
    <m/>
    <m/>
  </r>
  <r>
    <x v="22"/>
    <d v="2022-12-14T00:00:00"/>
    <s v="POWERPLUS"/>
    <x v="2994"/>
    <n v="414.32"/>
    <x v="46"/>
    <e v="#N/A"/>
    <s v="Exp - Healthcare"/>
    <m/>
    <n v="414.32"/>
    <m/>
    <m/>
    <s v="debit"/>
    <m/>
    <x v="2129"/>
    <m/>
    <m/>
  </r>
  <r>
    <x v="22"/>
    <d v="2022-12-14T00:00:00"/>
    <s v="POWERPLUS"/>
    <x v="2995"/>
    <n v="54.95"/>
    <x v="54"/>
    <e v="#N/A"/>
    <s v="Exp - Insurance"/>
    <m/>
    <n v="54.95"/>
    <m/>
    <m/>
    <s v="debit"/>
    <m/>
    <x v="2161"/>
    <m/>
    <m/>
  </r>
  <r>
    <x v="22"/>
    <d v="2022-12-15T00:00:00"/>
    <s v="POWERPLUS"/>
    <x v="2996"/>
    <n v="-75"/>
    <x v="14"/>
    <e v="#N/A"/>
    <s v="Inc - Britney"/>
    <m/>
    <n v="75"/>
    <m/>
    <m/>
    <s v="credit"/>
    <m/>
    <x v="2603"/>
    <m/>
    <m/>
  </r>
  <r>
    <x v="22"/>
    <d v="2022-12-15T00:00:00"/>
    <s v="Cash Rewards Visa Signature"/>
    <x v="2997"/>
    <n v="15.26"/>
    <x v="39"/>
    <e v="#N/A"/>
    <s v="Exp - Restaurants"/>
    <m/>
    <n v="15.26"/>
    <m/>
    <m/>
    <s v="debit"/>
    <m/>
    <x v="2668"/>
    <m/>
    <m/>
  </r>
  <r>
    <x v="22"/>
    <d v="2022-12-15T00:00:00"/>
    <s v="Cash Rewards Visa Signature"/>
    <x v="2998"/>
    <n v="64.290000000000006"/>
    <x v="39"/>
    <e v="#N/A"/>
    <s v="Exp - Restaurants"/>
    <m/>
    <n v="64.290000000000006"/>
    <m/>
    <m/>
    <s v="debit"/>
    <m/>
    <x v="2669"/>
    <m/>
    <m/>
  </r>
  <r>
    <x v="22"/>
    <d v="2022-12-15T00:00:00"/>
    <s v="Cash Rewards Visa Signature"/>
    <x v="2999"/>
    <n v="-70.209999999999994"/>
    <x v="32"/>
    <e v="#N/A"/>
    <s v="Exp - Shopping"/>
    <m/>
    <n v="70.209999999999994"/>
    <m/>
    <m/>
    <s v="credit"/>
    <m/>
    <x v="2670"/>
    <m/>
    <m/>
  </r>
  <r>
    <x v="50"/>
    <d v="2024-12-27T00:00:00"/>
    <s v="Powerplus - Ending in 8s30"/>
    <x v="3000"/>
    <n v="150"/>
    <x v="8"/>
    <m/>
    <s v="Exp - Shopping"/>
    <s v="changed to reflect actual spend on wreaths"/>
    <m/>
    <m/>
    <m/>
    <m/>
    <m/>
    <x v="2671"/>
    <m/>
    <m/>
  </r>
  <r>
    <x v="22"/>
    <d v="2022-12-16T00:00:00"/>
    <s v="DISCOVER MORE CARD"/>
    <x v="2911"/>
    <n v="-68"/>
    <x v="32"/>
    <e v="#N/A"/>
    <s v="Exp - Shopping"/>
    <m/>
    <n v="68"/>
    <m/>
    <m/>
    <s v="credit"/>
    <m/>
    <x v="2599"/>
    <m/>
    <m/>
  </r>
  <r>
    <x v="22"/>
    <d v="2022-12-16T00:00:00"/>
    <s v="DISCOVER MORE CARD"/>
    <x v="2911"/>
    <n v="-30.5"/>
    <x v="32"/>
    <e v="#N/A"/>
    <s v="Exp - Shopping"/>
    <m/>
    <n v="30.5"/>
    <m/>
    <m/>
    <s v="credit"/>
    <m/>
    <x v="2599"/>
    <m/>
    <m/>
  </r>
  <r>
    <x v="22"/>
    <d v="2022-12-17T00:00:00"/>
    <s v="DISCOVER MORE CARD"/>
    <x v="3001"/>
    <n v="33.21"/>
    <x v="41"/>
    <e v="#N/A"/>
    <s v="Exp - Amazon"/>
    <m/>
    <n v="33.21"/>
    <m/>
    <m/>
    <s v="debit"/>
    <m/>
    <x v="2672"/>
    <m/>
    <m/>
  </r>
  <r>
    <x v="22"/>
    <d v="2022-12-18T00:00:00"/>
    <s v="Cash Rewards Visa Signature"/>
    <x v="3002"/>
    <n v="22.46"/>
    <x v="50"/>
    <e v="#N/A"/>
    <s v="Exp - Dry Cleaning"/>
    <m/>
    <n v="22.46"/>
    <m/>
    <m/>
    <s v="debit"/>
    <m/>
    <x v="2673"/>
    <m/>
    <m/>
  </r>
  <r>
    <x v="22"/>
    <d v="2022-12-18T00:00:00"/>
    <s v="Cash Rewards Visa Signature"/>
    <x v="3003"/>
    <n v="73.98"/>
    <x v="39"/>
    <e v="#N/A"/>
    <s v="Exp - Restaurants"/>
    <m/>
    <n v="73.98"/>
    <m/>
    <m/>
    <s v="debit"/>
    <m/>
    <x v="2674"/>
    <m/>
    <m/>
  </r>
  <r>
    <x v="22"/>
    <d v="2022-12-18T00:00:00"/>
    <s v="DISCOVER MORE CARD"/>
    <x v="3004"/>
    <n v="35"/>
    <x v="37"/>
    <e v="#N/A"/>
    <s v="Exp - Transportation"/>
    <m/>
    <n v="35"/>
    <m/>
    <m/>
    <s v="debit"/>
    <m/>
    <x v="2675"/>
    <m/>
    <m/>
  </r>
  <r>
    <x v="22"/>
    <d v="2022-12-18T00:00:00"/>
    <s v="Cash Rewards Visa Signature"/>
    <x v="3005"/>
    <n v="12.9"/>
    <x v="36"/>
    <e v="#N/A"/>
    <s v="Exp - House Maint"/>
    <m/>
    <n v="12.9"/>
    <m/>
    <m/>
    <s v="debit"/>
    <m/>
    <x v="2676"/>
    <m/>
    <m/>
  </r>
  <r>
    <x v="22"/>
    <d v="2022-12-18T00:00:00"/>
    <s v="Cash Rewards Visa Signature"/>
    <x v="3006"/>
    <n v="18.04"/>
    <x v="39"/>
    <e v="#N/A"/>
    <s v="Exp - Restaurants"/>
    <m/>
    <n v="18.04"/>
    <m/>
    <m/>
    <s v="debit"/>
    <m/>
    <x v="2677"/>
    <m/>
    <m/>
  </r>
  <r>
    <x v="22"/>
    <d v="2022-12-18T00:00:00"/>
    <s v="Cash Rewards Visa Signature"/>
    <x v="3007"/>
    <n v="27.72"/>
    <x v="39"/>
    <e v="#N/A"/>
    <s v="Exp - Restaurants"/>
    <m/>
    <n v="27.72"/>
    <m/>
    <m/>
    <s v="debit"/>
    <m/>
    <x v="2678"/>
    <m/>
    <m/>
  </r>
  <r>
    <x v="22"/>
    <d v="2022-12-19T00:00:00"/>
    <s v="DISCOVER MORE CARD"/>
    <x v="3008"/>
    <n v="6.88"/>
    <x v="41"/>
    <e v="#N/A"/>
    <s v="Exp - Amazon"/>
    <m/>
    <n v="6.88"/>
    <m/>
    <m/>
    <s v="debit"/>
    <m/>
    <x v="2679"/>
    <m/>
    <m/>
  </r>
  <r>
    <x v="22"/>
    <d v="2022-12-19T00:00:00"/>
    <s v="DISCOVER MORE CARD"/>
    <x v="3009"/>
    <n v="10.73"/>
    <x v="35"/>
    <e v="#N/A"/>
    <s v="Exp - Entertainment"/>
    <m/>
    <n v="10.73"/>
    <m/>
    <m/>
    <s v="debit"/>
    <m/>
    <x v="2680"/>
    <m/>
    <m/>
  </r>
  <r>
    <x v="22"/>
    <d v="2022-12-19T00:00:00"/>
    <s v="DISCOVER MORE CARD"/>
    <x v="101"/>
    <n v="65.28"/>
    <x v="26"/>
    <s v="Restaurants"/>
    <m/>
    <m/>
    <n v="65.28"/>
    <m/>
    <m/>
    <s v="debit"/>
    <m/>
    <x v="101"/>
    <m/>
    <m/>
  </r>
  <r>
    <x v="22"/>
    <d v="2022-12-19T00:00:00"/>
    <s v="POWERPLUS"/>
    <x v="3010"/>
    <n v="200"/>
    <x v="40"/>
    <e v="#N/A"/>
    <s v="Exp - Day Care"/>
    <m/>
    <n v="200"/>
    <m/>
    <m/>
    <s v="debit"/>
    <m/>
    <x v="2174"/>
    <m/>
    <m/>
  </r>
  <r>
    <x v="22"/>
    <d v="2022-12-20T00:00:00"/>
    <s v="Cash Rewards Visa Signature"/>
    <x v="3011"/>
    <n v="84.62"/>
    <x v="3"/>
    <e v="#N/A"/>
    <s v="Delete"/>
    <m/>
    <n v="84.62"/>
    <m/>
    <m/>
    <s v="debit"/>
    <m/>
    <x v="2681"/>
    <m/>
    <m/>
  </r>
  <r>
    <x v="22"/>
    <d v="2022-12-20T00:00:00"/>
    <s v="Cash Rewards Visa Signature"/>
    <x v="3012"/>
    <n v="183.81"/>
    <x v="38"/>
    <e v="#N/A"/>
    <s v="Exp - Groceries"/>
    <m/>
    <n v="183.81"/>
    <m/>
    <m/>
    <s v="debit"/>
    <m/>
    <x v="2682"/>
    <m/>
    <m/>
  </r>
  <r>
    <x v="22"/>
    <d v="2022-12-20T00:00:00"/>
    <s v="Cash Rewards Visa Signature"/>
    <x v="3013"/>
    <n v="46.1"/>
    <x v="3"/>
    <e v="#N/A"/>
    <s v="Delete"/>
    <m/>
    <n v="46.1"/>
    <m/>
    <m/>
    <s v="debit"/>
    <m/>
    <x v="2683"/>
    <m/>
    <m/>
  </r>
  <r>
    <x v="22"/>
    <d v="2022-12-20T00:00:00"/>
    <s v="DISCOVER MORE CARD"/>
    <x v="3014"/>
    <n v="86.18"/>
    <x v="38"/>
    <e v="#N/A"/>
    <s v="Exp - Groceries"/>
    <m/>
    <n v="86.18"/>
    <m/>
    <m/>
    <s v="debit"/>
    <m/>
    <x v="2684"/>
    <m/>
    <m/>
  </r>
  <r>
    <x v="22"/>
    <d v="2022-12-20T00:00:00"/>
    <s v="Cash Rewards Visa Signature"/>
    <x v="3015"/>
    <n v="-197.23"/>
    <x v="32"/>
    <e v="#N/A"/>
    <s v="Exp - Shopping"/>
    <m/>
    <n v="197.23"/>
    <m/>
    <m/>
    <s v="credit"/>
    <m/>
    <x v="2685"/>
    <m/>
    <m/>
  </r>
  <r>
    <x v="22"/>
    <d v="2022-12-20T00:00:00"/>
    <s v="Cash Rewards Visa Signature"/>
    <x v="3016"/>
    <n v="35.24"/>
    <x v="38"/>
    <e v="#N/A"/>
    <s v="Exp - Groceries"/>
    <m/>
    <n v="35.24"/>
    <m/>
    <m/>
    <s v="debit"/>
    <m/>
    <x v="2686"/>
    <m/>
    <m/>
  </r>
  <r>
    <x v="22"/>
    <d v="2022-12-20T00:00:00"/>
    <s v="Cash Rewards Visa Signature"/>
    <x v="3017"/>
    <n v="30.1"/>
    <x v="3"/>
    <e v="#N/A"/>
    <s v="Delete"/>
    <m/>
    <n v="30.1"/>
    <m/>
    <m/>
    <s v="debit"/>
    <m/>
    <x v="2687"/>
    <m/>
    <m/>
  </r>
  <r>
    <x v="22"/>
    <d v="2022-12-20T00:00:00"/>
    <s v="Cash Rewards Visa Signature"/>
    <x v="3018"/>
    <n v="2.2799999999999998"/>
    <x v="38"/>
    <e v="#N/A"/>
    <s v="Exp - Groceries"/>
    <m/>
    <n v="2.2799999999999998"/>
    <m/>
    <m/>
    <s v="debit"/>
    <m/>
    <x v="2688"/>
    <m/>
    <m/>
  </r>
  <r>
    <x v="22"/>
    <d v="2022-12-20T00:00:00"/>
    <s v="POWERPLUS"/>
    <x v="3019"/>
    <n v="315"/>
    <x v="40"/>
    <e v="#N/A"/>
    <s v="Exp - Day Care"/>
    <m/>
    <n v="315"/>
    <m/>
    <m/>
    <s v="debit"/>
    <m/>
    <x v="2007"/>
    <m/>
    <m/>
  </r>
  <r>
    <x v="22"/>
    <d v="2022-12-21T00:00:00"/>
    <s v="Cash Rewards Visa Signature"/>
    <x v="3020"/>
    <n v="10.73"/>
    <x v="41"/>
    <e v="#N/A"/>
    <s v="Exp - Amazon"/>
    <m/>
    <n v="10.73"/>
    <m/>
    <m/>
    <s v="debit"/>
    <m/>
    <x v="2689"/>
    <m/>
    <m/>
  </r>
  <r>
    <x v="22"/>
    <d v="2022-12-21T00:00:00"/>
    <s v="Cash Rewards Visa Signature"/>
    <x v="3021"/>
    <n v="76.05"/>
    <x v="41"/>
    <e v="#N/A"/>
    <s v="Exp - Amazon"/>
    <m/>
    <n v="76.05"/>
    <m/>
    <m/>
    <s v="debit"/>
    <m/>
    <x v="2690"/>
    <m/>
    <m/>
  </r>
  <r>
    <x v="22"/>
    <d v="2022-12-21T00:00:00"/>
    <s v="DISCOVER MORE CARD"/>
    <x v="3022"/>
    <n v="8.8800000000000008"/>
    <x v="41"/>
    <e v="#N/A"/>
    <s v="Exp - Amazon"/>
    <m/>
    <n v="8.8800000000000008"/>
    <m/>
    <m/>
    <s v="debit"/>
    <m/>
    <x v="2691"/>
    <m/>
    <m/>
  </r>
  <r>
    <x v="22"/>
    <d v="2022-12-21T00:00:00"/>
    <s v="Cash Rewards Visa Signature"/>
    <x v="3023"/>
    <n v="11"/>
    <x v="42"/>
    <e v="#N/A"/>
    <s v="Exp - Utilities"/>
    <m/>
    <n v="11"/>
    <m/>
    <m/>
    <s v="debit"/>
    <m/>
    <x v="2692"/>
    <m/>
    <m/>
  </r>
  <r>
    <x v="22"/>
    <d v="2022-12-21T00:00:00"/>
    <s v="Cash Rewards Visa Signature"/>
    <x v="3024"/>
    <n v="26.13"/>
    <x v="38"/>
    <e v="#N/A"/>
    <s v="Exp - Groceries"/>
    <m/>
    <n v="26.13"/>
    <m/>
    <m/>
    <s v="debit"/>
    <m/>
    <x v="2693"/>
    <m/>
    <m/>
  </r>
  <r>
    <x v="22"/>
    <d v="2022-12-21T00:00:00"/>
    <s v="Cash Rewards Visa Signature"/>
    <x v="3025"/>
    <n v="16.73"/>
    <x v="42"/>
    <e v="#N/A"/>
    <s v="Exp - Utilities"/>
    <m/>
    <n v="16.73"/>
    <m/>
    <m/>
    <s v="debit"/>
    <m/>
    <x v="2694"/>
    <m/>
    <m/>
  </r>
  <r>
    <x v="22"/>
    <d v="2022-12-21T00:00:00"/>
    <s v="Cash Rewards Visa Signature"/>
    <x v="3026"/>
    <n v="144.24"/>
    <x v="51"/>
    <e v="#N/A"/>
    <s v="Exp - Gifts"/>
    <m/>
    <n v="144.24"/>
    <m/>
    <m/>
    <s v="debit"/>
    <m/>
    <x v="2695"/>
    <m/>
    <m/>
  </r>
  <r>
    <x v="22"/>
    <d v="2022-12-21T00:00:00"/>
    <s v="POWERPLUS"/>
    <x v="3027"/>
    <n v="62.64"/>
    <x v="42"/>
    <e v="#N/A"/>
    <s v="Exp - Utilities"/>
    <m/>
    <n v="62.64"/>
    <m/>
    <m/>
    <s v="debit"/>
    <m/>
    <x v="2020"/>
    <m/>
    <m/>
  </r>
  <r>
    <x v="22"/>
    <d v="2022-12-22T00:00:00"/>
    <s v="DISCOVER MORE CARD"/>
    <x v="3028"/>
    <n v="-588.23"/>
    <x v="32"/>
    <e v="#N/A"/>
    <s v="Exp - Shopping"/>
    <m/>
    <n v="588.23"/>
    <m/>
    <m/>
    <s v="credit"/>
    <m/>
    <x v="2696"/>
    <m/>
    <m/>
  </r>
  <r>
    <x v="22"/>
    <d v="2022-12-22T00:00:00"/>
    <s v="Cash Rewards Visa Signature"/>
    <x v="3029"/>
    <n v="123.12"/>
    <x v="40"/>
    <e v="#N/A"/>
    <s v="Exp - Day Care"/>
    <m/>
    <n v="123.12"/>
    <m/>
    <m/>
    <s v="debit"/>
    <m/>
    <x v="2697"/>
    <m/>
    <m/>
  </r>
  <r>
    <x v="22"/>
    <d v="2022-12-22T00:00:00"/>
    <s v="Cash Rewards Visa Signature"/>
    <x v="3030"/>
    <n v="186.94"/>
    <x v="38"/>
    <e v="#N/A"/>
    <s v="Exp - Groceries"/>
    <m/>
    <n v="186.94"/>
    <m/>
    <m/>
    <s v="debit"/>
    <m/>
    <x v="2698"/>
    <m/>
    <m/>
  </r>
  <r>
    <x v="22"/>
    <d v="2022-12-22T00:00:00"/>
    <s v="POWERPLUS"/>
    <x v="3031"/>
    <n v="-3602.57"/>
    <x v="14"/>
    <e v="#N/A"/>
    <s v="Inc - Britney"/>
    <m/>
    <n v="3602.57"/>
    <m/>
    <m/>
    <s v="credit"/>
    <m/>
    <x v="2014"/>
    <m/>
    <m/>
  </r>
  <r>
    <x v="22"/>
    <d v="2022-12-22T00:00:00"/>
    <s v="Cash Rewards Visa Signature"/>
    <x v="3032"/>
    <n v="3.53"/>
    <x v="39"/>
    <e v="#N/A"/>
    <s v="Exp - Restaurants"/>
    <m/>
    <n v="3.53"/>
    <m/>
    <m/>
    <s v="debit"/>
    <m/>
    <x v="2699"/>
    <m/>
    <m/>
  </r>
  <r>
    <x v="22"/>
    <d v="2022-12-22T00:00:00"/>
    <s v="Cash Rewards Visa Signature"/>
    <x v="3033"/>
    <n v="98"/>
    <x v="32"/>
    <e v="#N/A"/>
    <s v="Exp - Shopping"/>
    <m/>
    <n v="98"/>
    <m/>
    <m/>
    <s v="debit"/>
    <m/>
    <x v="2700"/>
    <m/>
    <m/>
  </r>
  <r>
    <x v="22"/>
    <d v="2022-12-22T00:00:00"/>
    <s v="Cash Rewards Visa Signature"/>
    <x v="3034"/>
    <n v="39.35"/>
    <x v="3"/>
    <e v="#N/A"/>
    <s v="Delete"/>
    <m/>
    <n v="39.35"/>
    <m/>
    <m/>
    <s v="debit"/>
    <m/>
    <x v="2701"/>
    <m/>
    <m/>
  </r>
  <r>
    <x v="22"/>
    <d v="2022-12-23T00:00:00"/>
    <s v="RAINY DAY"/>
    <x v="3035"/>
    <n v="-100"/>
    <x v="3"/>
    <e v="#N/A"/>
    <s v="Delete"/>
    <m/>
    <n v="100"/>
    <m/>
    <m/>
    <s v="credit"/>
    <m/>
    <x v="2702"/>
    <m/>
    <m/>
  </r>
  <r>
    <x v="22"/>
    <d v="2022-12-23T00:00:00"/>
    <s v="Cash Rewards Visa Signature"/>
    <x v="3036"/>
    <n v="523.86"/>
    <x v="3"/>
    <e v="#N/A"/>
    <s v="Delete"/>
    <m/>
    <n v="523.86"/>
    <m/>
    <m/>
    <s v="debit"/>
    <m/>
    <x v="2703"/>
    <m/>
    <m/>
  </r>
  <r>
    <x v="22"/>
    <d v="2022-12-23T00:00:00"/>
    <s v="Cash Rewards Visa Signature"/>
    <x v="3037"/>
    <n v="84"/>
    <x v="3"/>
    <e v="#N/A"/>
    <s v="Delete"/>
    <m/>
    <n v="84"/>
    <m/>
    <m/>
    <s v="debit"/>
    <m/>
    <x v="2704"/>
    <m/>
    <m/>
  </r>
  <r>
    <x v="22"/>
    <d v="2022-12-23T00:00:00"/>
    <s v="Cash Rewards Visa Signature"/>
    <x v="3038"/>
    <n v="138.5"/>
    <x v="38"/>
    <e v="#N/A"/>
    <s v="Exp - Groceries"/>
    <m/>
    <n v="138.5"/>
    <m/>
    <m/>
    <s v="debit"/>
    <m/>
    <x v="2705"/>
    <m/>
    <m/>
  </r>
  <r>
    <x v="22"/>
    <d v="2022-12-23T00:00:00"/>
    <s v="POWERPLUS"/>
    <x v="3039"/>
    <n v="200"/>
    <x v="3"/>
    <e v="#N/A"/>
    <s v="Delete"/>
    <m/>
    <n v="200"/>
    <m/>
    <m/>
    <s v="debit"/>
    <m/>
    <x v="2706"/>
    <m/>
    <m/>
  </r>
  <r>
    <x v="22"/>
    <d v="2022-12-23T00:00:00"/>
    <s v="POWERPLUS"/>
    <x v="3040"/>
    <n v="100"/>
    <x v="3"/>
    <e v="#N/A"/>
    <s v="Delete"/>
    <m/>
    <n v="100"/>
    <m/>
    <m/>
    <s v="debit"/>
    <m/>
    <x v="2707"/>
    <m/>
    <m/>
  </r>
  <r>
    <x v="22"/>
    <d v="2022-12-25T00:00:00"/>
    <s v="Cash Rewards Visa Signature"/>
    <x v="3041"/>
    <n v="18.440000000000001"/>
    <x v="50"/>
    <e v="#N/A"/>
    <s v="Exp - Dry Cleaning"/>
    <m/>
    <n v="18.440000000000001"/>
    <m/>
    <m/>
    <s v="debit"/>
    <m/>
    <x v="2708"/>
    <m/>
    <m/>
  </r>
  <r>
    <x v="22"/>
    <d v="2022-12-25T00:00:00"/>
    <s v="Cash Rewards Visa Signature"/>
    <x v="3042"/>
    <n v="516"/>
    <x v="3"/>
    <e v="#N/A"/>
    <s v="Delete"/>
    <m/>
    <n v="516"/>
    <m/>
    <m/>
    <s v="debit"/>
    <m/>
    <x v="2709"/>
    <m/>
    <m/>
  </r>
  <r>
    <x v="22"/>
    <d v="2022-12-25T00:00:00"/>
    <s v="Cash Rewards Visa Signature"/>
    <x v="3043"/>
    <n v="-446.7"/>
    <x v="3"/>
    <e v="#N/A"/>
    <s v="Delete"/>
    <m/>
    <n v="446.7"/>
    <m/>
    <m/>
    <s v="credit"/>
    <m/>
    <x v="2710"/>
    <m/>
    <m/>
  </r>
  <r>
    <x v="22"/>
    <d v="2022-12-25T00:00:00"/>
    <s v="Cash Rewards Visa Signature"/>
    <x v="3044"/>
    <n v="-446.7"/>
    <x v="3"/>
    <e v="#N/A"/>
    <s v="Delete"/>
    <m/>
    <n v="446.7"/>
    <m/>
    <m/>
    <s v="credit"/>
    <m/>
    <x v="2711"/>
    <m/>
    <m/>
  </r>
  <r>
    <x v="22"/>
    <d v="2022-12-25T00:00:00"/>
    <s v="Cash Rewards Visa Signature"/>
    <x v="3045"/>
    <n v="-446.7"/>
    <x v="3"/>
    <e v="#N/A"/>
    <s v="Delete"/>
    <m/>
    <n v="446.7"/>
    <m/>
    <m/>
    <s v="credit"/>
    <m/>
    <x v="2712"/>
    <m/>
    <m/>
  </r>
  <r>
    <x v="22"/>
    <d v="2022-12-25T00:00:00"/>
    <s v="Cash Rewards Visa Signature"/>
    <x v="3046"/>
    <n v="-446.7"/>
    <x v="3"/>
    <e v="#N/A"/>
    <s v="Delete"/>
    <m/>
    <n v="446.7"/>
    <m/>
    <m/>
    <s v="credit"/>
    <m/>
    <x v="2713"/>
    <m/>
    <m/>
  </r>
  <r>
    <x v="22"/>
    <d v="2022-12-25T00:00:00"/>
    <s v="Cash Rewards Visa Signature"/>
    <x v="3047"/>
    <n v="27.55"/>
    <x v="38"/>
    <e v="#N/A"/>
    <s v="Exp - Groceries"/>
    <m/>
    <n v="27.55"/>
    <m/>
    <m/>
    <s v="debit"/>
    <m/>
    <x v="2714"/>
    <m/>
    <m/>
  </r>
  <r>
    <x v="22"/>
    <d v="2022-12-25T00:00:00"/>
    <s v="Cash Rewards Visa Signature"/>
    <x v="3048"/>
    <n v="47.11"/>
    <x v="39"/>
    <e v="#N/A"/>
    <s v="Exp - Restaurants"/>
    <m/>
    <n v="47.11"/>
    <m/>
    <m/>
    <s v="debit"/>
    <m/>
    <x v="2715"/>
    <m/>
    <m/>
  </r>
  <r>
    <x v="22"/>
    <d v="2022-12-25T00:00:00"/>
    <s v="Cash Rewards Visa Signature"/>
    <x v="3049"/>
    <n v="8"/>
    <x v="42"/>
    <e v="#N/A"/>
    <s v="Exp - Utilities"/>
    <m/>
    <n v="8"/>
    <m/>
    <m/>
    <s v="debit"/>
    <m/>
    <x v="2716"/>
    <m/>
    <m/>
  </r>
  <r>
    <x v="22"/>
    <d v="2022-12-25T00:00:00"/>
    <s v="Cash Rewards Visa Signature"/>
    <x v="3050"/>
    <n v="5.6"/>
    <x v="43"/>
    <e v="#N/A"/>
    <s v="Exp - Travel"/>
    <m/>
    <n v="5.6"/>
    <m/>
    <m/>
    <s v="debit"/>
    <m/>
    <x v="2717"/>
    <m/>
    <m/>
  </r>
  <r>
    <x v="22"/>
    <d v="2022-12-25T00:00:00"/>
    <s v="Cash Rewards Visa Signature"/>
    <x v="3051"/>
    <n v="5.6"/>
    <x v="43"/>
    <e v="#N/A"/>
    <s v="Exp - Travel"/>
    <m/>
    <n v="5.6"/>
    <m/>
    <m/>
    <s v="debit"/>
    <m/>
    <x v="2718"/>
    <m/>
    <m/>
  </r>
  <r>
    <x v="22"/>
    <d v="2022-12-25T00:00:00"/>
    <s v="Cash Rewards Visa Signature"/>
    <x v="3052"/>
    <n v="22.94"/>
    <x v="39"/>
    <e v="#N/A"/>
    <s v="Exp - Restaurants"/>
    <m/>
    <n v="22.94"/>
    <m/>
    <m/>
    <s v="debit"/>
    <m/>
    <x v="2719"/>
    <m/>
    <m/>
  </r>
  <r>
    <x v="22"/>
    <d v="2022-12-25T00:00:00"/>
    <s v="DISCOVER MORE CARD"/>
    <x v="3053"/>
    <n v="10.73"/>
    <x v="35"/>
    <e v="#N/A"/>
    <s v="Exp - Entertainment"/>
    <m/>
    <n v="10.73"/>
    <m/>
    <m/>
    <s v="debit"/>
    <m/>
    <x v="2720"/>
    <m/>
    <m/>
  </r>
  <r>
    <x v="22"/>
    <d v="2022-12-25T00:00:00"/>
    <s v="Cash Rewards Visa Signature"/>
    <x v="3054"/>
    <n v="112.29"/>
    <x v="38"/>
    <e v="#N/A"/>
    <s v="Exp - Groceries"/>
    <s v="Total wine"/>
    <n v="112.29"/>
    <m/>
    <m/>
    <s v="debit"/>
    <m/>
    <x v="2721"/>
    <m/>
    <m/>
  </r>
  <r>
    <x v="22"/>
    <d v="2022-12-26T00:00:00"/>
    <s v="Cash Rewards Visa Signature"/>
    <x v="3055"/>
    <n v="71.98"/>
    <x v="32"/>
    <e v="#N/A"/>
    <s v="Exp - Shopping"/>
    <m/>
    <n v="71.98"/>
    <m/>
    <m/>
    <s v="debit"/>
    <m/>
    <x v="2722"/>
    <m/>
    <m/>
  </r>
  <r>
    <x v="22"/>
    <d v="2022-12-26T00:00:00"/>
    <s v="Cash Rewards Visa Signature"/>
    <x v="3056"/>
    <n v="33.85"/>
    <x v="37"/>
    <e v="#N/A"/>
    <s v="Exp - Transportation"/>
    <m/>
    <n v="33.85"/>
    <m/>
    <m/>
    <s v="debit"/>
    <m/>
    <x v="2723"/>
    <m/>
    <m/>
  </r>
  <r>
    <x v="22"/>
    <d v="2022-12-26T00:00:00"/>
    <s v="Cash Rewards Visa Signature"/>
    <x v="3057"/>
    <n v="56.94"/>
    <x v="32"/>
    <e v="#N/A"/>
    <s v="Exp - Shopping"/>
    <m/>
    <n v="56.94"/>
    <m/>
    <m/>
    <s v="debit"/>
    <m/>
    <x v="2724"/>
    <m/>
    <m/>
  </r>
  <r>
    <x v="22"/>
    <d v="2022-12-27T00:00:00"/>
    <s v="DISCOVER MORE CARD"/>
    <x v="3058"/>
    <n v="12.14"/>
    <x v="41"/>
    <e v="#N/A"/>
    <s v="Exp - Amazon"/>
    <m/>
    <n v="12.14"/>
    <m/>
    <m/>
    <s v="debit"/>
    <m/>
    <x v="2725"/>
    <m/>
    <m/>
  </r>
  <r>
    <x v="22"/>
    <d v="2022-12-27T00:00:00"/>
    <s v="DISCOVER MORE CARD"/>
    <x v="3059"/>
    <n v="16.100000000000001"/>
    <x v="41"/>
    <e v="#N/A"/>
    <s v="Exp - Amazon"/>
    <m/>
    <n v="16.100000000000001"/>
    <m/>
    <m/>
    <s v="debit"/>
    <m/>
    <x v="2726"/>
    <m/>
    <m/>
  </r>
  <r>
    <x v="22"/>
    <d v="2022-12-27T00:00:00"/>
    <s v="Cash Rewards Visa Signature"/>
    <x v="3060"/>
    <n v="25.99"/>
    <x v="41"/>
    <e v="#N/A"/>
    <s v="Exp - Amazon"/>
    <m/>
    <n v="25.99"/>
    <m/>
    <m/>
    <s v="debit"/>
    <m/>
    <x v="2727"/>
    <m/>
    <m/>
  </r>
  <r>
    <x v="22"/>
    <d v="2022-12-27T00:00:00"/>
    <s v="POWERPLUS"/>
    <x v="3061"/>
    <n v="765.37"/>
    <x v="45"/>
    <e v="#N/A"/>
    <s v="Exp - Target"/>
    <m/>
    <n v="765.37"/>
    <m/>
    <m/>
    <s v="debit"/>
    <m/>
    <x v="2040"/>
    <m/>
    <m/>
  </r>
  <r>
    <x v="22"/>
    <d v="2022-12-27T00:00:00"/>
    <s v="POWERPLUS"/>
    <x v="2171"/>
    <n v="2256.23"/>
    <x v="3"/>
    <e v="#N/A"/>
    <s v="Delete"/>
    <m/>
    <n v="2256.23"/>
    <m/>
    <m/>
    <s v="debit"/>
    <m/>
    <x v="2021"/>
    <m/>
    <m/>
  </r>
  <r>
    <x v="22"/>
    <d v="2022-12-27T00:00:00"/>
    <s v="Cash Rewards Visa Signature"/>
    <x v="3062"/>
    <n v="-2256.23"/>
    <x v="3"/>
    <e v="#N/A"/>
    <s v="Delete"/>
    <m/>
    <n v="2256.23"/>
    <m/>
    <m/>
    <s v="credit"/>
    <m/>
    <x v="2728"/>
    <m/>
    <m/>
  </r>
  <r>
    <x v="22"/>
    <d v="2022-12-28T00:00:00"/>
    <s v="Cash Rewards Visa Signature"/>
    <x v="3063"/>
    <n v="39.28"/>
    <x v="39"/>
    <e v="#N/A"/>
    <s v="Exp - Restaurants"/>
    <m/>
    <n v="39.28"/>
    <m/>
    <m/>
    <s v="debit"/>
    <m/>
    <x v="2729"/>
    <m/>
    <m/>
  </r>
  <r>
    <x v="22"/>
    <d v="2022-12-28T00:00:00"/>
    <s v="DISCOVER MORE CARD"/>
    <x v="2456"/>
    <n v="24.62"/>
    <x v="39"/>
    <e v="#N/A"/>
    <s v="Exp - Restaurants"/>
    <m/>
    <n v="24.62"/>
    <m/>
    <m/>
    <s v="debit"/>
    <m/>
    <x v="2261"/>
    <m/>
    <m/>
  </r>
  <r>
    <x v="22"/>
    <d v="2022-12-28T00:00:00"/>
    <s v="POWERPLUS"/>
    <x v="3064"/>
    <n v="315"/>
    <x v="40"/>
    <e v="#N/A"/>
    <s v="Exp - Day Care"/>
    <m/>
    <n v="315"/>
    <m/>
    <m/>
    <s v="debit"/>
    <m/>
    <x v="2007"/>
    <m/>
    <m/>
  </r>
  <r>
    <x v="22"/>
    <d v="2022-12-28T00:00:00"/>
    <s v="POWERPLUS"/>
    <x v="3065"/>
    <n v="0.99"/>
    <x v="32"/>
    <e v="#N/A"/>
    <s v="Exp - Shopping"/>
    <m/>
    <n v="0.99"/>
    <m/>
    <m/>
    <s v="debit"/>
    <m/>
    <x v="2045"/>
    <m/>
    <m/>
  </r>
  <r>
    <x v="22"/>
    <d v="2022-12-28T00:00:00"/>
    <s v="POWERPLUS"/>
    <x v="3066"/>
    <n v="111.81"/>
    <x v="32"/>
    <e v="#N/A"/>
    <s v="Exp - Shopping"/>
    <m/>
    <n v="111.81"/>
    <m/>
    <m/>
    <s v="debit"/>
    <m/>
    <x v="2053"/>
    <m/>
    <m/>
  </r>
  <r>
    <x v="22"/>
    <d v="2022-12-29T00:00:00"/>
    <s v="Cash Rewards Visa Signature"/>
    <x v="3067"/>
    <n v="21.99"/>
    <x v="41"/>
    <e v="#N/A"/>
    <s v="Exp - Amazon"/>
    <m/>
    <n v="21.99"/>
    <m/>
    <m/>
    <s v="debit"/>
    <m/>
    <x v="2730"/>
    <m/>
    <m/>
  </r>
  <r>
    <x v="22"/>
    <d v="2022-12-29T00:00:00"/>
    <s v="Cash Rewards Visa Signature"/>
    <x v="3068"/>
    <n v="94.12"/>
    <x v="41"/>
    <e v="#N/A"/>
    <s v="Exp - Amazon"/>
    <m/>
    <n v="94.12"/>
    <m/>
    <m/>
    <s v="debit"/>
    <m/>
    <x v="2731"/>
    <m/>
    <m/>
  </r>
  <r>
    <x v="22"/>
    <d v="2022-12-29T00:00:00"/>
    <s v="Cash Rewards Visa Signature"/>
    <x v="3069"/>
    <n v="5.05"/>
    <x v="38"/>
    <e v="#N/A"/>
    <s v="Exp - Groceries"/>
    <m/>
    <n v="5.05"/>
    <m/>
    <m/>
    <s v="debit"/>
    <m/>
    <x v="2732"/>
    <m/>
    <m/>
  </r>
  <r>
    <x v="22"/>
    <d v="2022-12-29T00:00:00"/>
    <s v="POWERPLUS"/>
    <x v="3070"/>
    <n v="-2922.32"/>
    <x v="15"/>
    <e v="#N/A"/>
    <s v="Inc - Jeff"/>
    <m/>
    <n v="2922.32"/>
    <m/>
    <m/>
    <s v="credit"/>
    <m/>
    <x v="2139"/>
    <m/>
    <m/>
  </r>
  <r>
    <x v="22"/>
    <d v="2022-12-29T00:00:00"/>
    <s v="DISCOVER MORE CARD"/>
    <x v="3071"/>
    <n v="92.09"/>
    <x v="37"/>
    <e v="#N/A"/>
    <s v="Exp - Transportation"/>
    <m/>
    <n v="92.09"/>
    <m/>
    <m/>
    <s v="debit"/>
    <m/>
    <x v="2733"/>
    <m/>
    <m/>
  </r>
  <r>
    <x v="22"/>
    <d v="2022-12-29T00:00:00"/>
    <s v="POWERPLUS"/>
    <x v="3072"/>
    <n v="0.99"/>
    <x v="32"/>
    <e v="#N/A"/>
    <s v="Exp - Shopping"/>
    <m/>
    <n v="0.99"/>
    <m/>
    <m/>
    <s v="debit"/>
    <m/>
    <x v="2045"/>
    <m/>
    <m/>
  </r>
  <r>
    <x v="22"/>
    <d v="2022-12-29T00:00:00"/>
    <s v="POWERPLUS"/>
    <x v="3073"/>
    <n v="125"/>
    <x v="32"/>
    <e v="#N/A"/>
    <s v="Exp - Shopping"/>
    <m/>
    <n v="125"/>
    <m/>
    <m/>
    <s v="debit"/>
    <m/>
    <x v="2053"/>
    <m/>
    <m/>
  </r>
  <r>
    <x v="22"/>
    <d v="2022-12-30T00:00:00"/>
    <s v="Cash Rewards Visa Signature"/>
    <x v="3074"/>
    <n v="157.19"/>
    <x v="32"/>
    <e v="#N/A"/>
    <s v="Exp - Shopping"/>
    <m/>
    <n v="157.19"/>
    <m/>
    <m/>
    <s v="debit"/>
    <m/>
    <x v="2734"/>
    <m/>
    <m/>
  </r>
  <r>
    <x v="22"/>
    <d v="2022-12-30T00:00:00"/>
    <s v="Cash Rewards Visa Signature"/>
    <x v="3075"/>
    <n v="52.49"/>
    <x v="35"/>
    <e v="#N/A"/>
    <s v="Exp - Entertainment"/>
    <m/>
    <n v="52.49"/>
    <m/>
    <m/>
    <s v="debit"/>
    <m/>
    <x v="2735"/>
    <m/>
    <m/>
  </r>
  <r>
    <x v="22"/>
    <d v="2022-12-30T00:00:00"/>
    <s v="Cash Rewards Visa Signature"/>
    <x v="3076"/>
    <n v="52.49"/>
    <x v="35"/>
    <e v="#N/A"/>
    <s v="Exp - Entertainment"/>
    <m/>
    <n v="52.49"/>
    <m/>
    <m/>
    <s v="debit"/>
    <m/>
    <x v="2736"/>
    <m/>
    <m/>
  </r>
  <r>
    <x v="22"/>
    <d v="2022-12-30T00:00:00"/>
    <s v="Cash Rewards Visa Signature"/>
    <x v="3077"/>
    <n v="352.2"/>
    <x v="43"/>
    <e v="#N/A"/>
    <s v="Exp - Travel"/>
    <m/>
    <n v="352.2"/>
    <m/>
    <m/>
    <s v="debit"/>
    <m/>
    <x v="2737"/>
    <m/>
    <m/>
  </r>
  <r>
    <x v="22"/>
    <d v="2022-12-30T00:00:00"/>
    <s v="DISCOVER MORE CARD"/>
    <x v="3078"/>
    <n v="96.91"/>
    <x v="39"/>
    <e v="#N/A"/>
    <s v="Exp - Restaurants"/>
    <m/>
    <n v="96.91"/>
    <m/>
    <m/>
    <s v="debit"/>
    <m/>
    <x v="2738"/>
    <m/>
    <m/>
  </r>
  <r>
    <x v="22"/>
    <d v="2022-12-30T00:00:00"/>
    <s v="DISCOVER MORE CARD"/>
    <x v="3079"/>
    <n v="-134.4"/>
    <x v="32"/>
    <e v="#N/A"/>
    <s v="Exp - Shopping"/>
    <m/>
    <n v="134.4"/>
    <m/>
    <m/>
    <s v="credit"/>
    <m/>
    <x v="2739"/>
    <m/>
    <m/>
  </r>
  <r>
    <x v="22"/>
    <d v="2022-12-30T00:00:00"/>
    <s v="Cash Rewards Visa Signature"/>
    <x v="3080"/>
    <n v="6.82"/>
    <x v="46"/>
    <e v="#N/A"/>
    <s v="Exp - Healthcare"/>
    <m/>
    <n v="6.82"/>
    <m/>
    <m/>
    <s v="debit"/>
    <m/>
    <x v="2740"/>
    <m/>
    <m/>
  </r>
  <r>
    <x v="22"/>
    <d v="2022-12-30T00:00:00"/>
    <s v="POWERPLUS"/>
    <x v="3081"/>
    <n v="70.81"/>
    <x v="32"/>
    <e v="#N/A"/>
    <s v="Exp - Shopping"/>
    <m/>
    <n v="70.81"/>
    <m/>
    <m/>
    <s v="debit"/>
    <m/>
    <x v="2045"/>
    <m/>
    <m/>
  </r>
  <r>
    <x v="22"/>
    <d v="2022-12-31T00:00:00"/>
    <s v="DISCOVER MORE CARD"/>
    <x v="598"/>
    <n v="5.36"/>
    <x v="10"/>
    <s v="Shopping"/>
    <m/>
    <m/>
    <n v="5.36"/>
    <m/>
    <m/>
    <s v="debit"/>
    <m/>
    <x v="579"/>
    <m/>
    <m/>
  </r>
  <r>
    <x v="22"/>
    <d v="2022-12-31T00:00:00"/>
    <s v="DISCOVER MORE CARD"/>
    <x v="2158"/>
    <n v="32.200000000000003"/>
    <x v="26"/>
    <s v="Amazon"/>
    <m/>
    <m/>
    <n v="32.200000000000003"/>
    <m/>
    <m/>
    <s v="debit"/>
    <m/>
    <x v="2008"/>
    <m/>
    <m/>
  </r>
  <r>
    <x v="22"/>
    <d v="2022-12-31T00:00:00"/>
    <s v="Cash Rewards Visa Signature"/>
    <x v="3082"/>
    <n v="-30.99"/>
    <x v="41"/>
    <e v="#N/A"/>
    <s v="Exp - Amazon"/>
    <m/>
    <n v="30.99"/>
    <m/>
    <m/>
    <s v="credit"/>
    <m/>
    <x v="2741"/>
    <m/>
    <m/>
  </r>
  <r>
    <x v="22"/>
    <d v="2022-12-31T00:00:00"/>
    <s v="Cash Rewards Visa Signature"/>
    <x v="3083"/>
    <n v="-30.59"/>
    <x v="41"/>
    <e v="#N/A"/>
    <s v="Exp - Amazon"/>
    <m/>
    <n v="30.59"/>
    <m/>
    <m/>
    <s v="credit"/>
    <m/>
    <x v="2742"/>
    <m/>
    <m/>
  </r>
  <r>
    <x v="22"/>
    <d v="2022-12-31T00:00:00"/>
    <s v="Cash Rewards Visa Signature"/>
    <x v="3084"/>
    <n v="-32.54"/>
    <x v="41"/>
    <e v="#N/A"/>
    <s v="Exp - Amazon"/>
    <m/>
    <n v="32.54"/>
    <m/>
    <m/>
    <s v="credit"/>
    <m/>
    <x v="2743"/>
    <m/>
    <m/>
  </r>
  <r>
    <x v="22"/>
    <d v="2022-12-31T00:00:00"/>
    <s v="Cash Rewards Visa Signature"/>
    <x v="3085"/>
    <n v="9.65"/>
    <x v="41"/>
    <e v="#N/A"/>
    <s v="Exp - Amazon"/>
    <m/>
    <n v="9.65"/>
    <m/>
    <m/>
    <s v="debit"/>
    <m/>
    <x v="2744"/>
    <m/>
    <m/>
  </r>
  <r>
    <x v="22"/>
    <d v="2022-12-31T00:00:00"/>
    <s v="DISCOVER MORE CARD"/>
    <x v="3086"/>
    <n v="11.58"/>
    <x v="39"/>
    <e v="#N/A"/>
    <s v="Exp - Restaurants"/>
    <m/>
    <n v="11.58"/>
    <m/>
    <m/>
    <s v="debit"/>
    <m/>
    <x v="2745"/>
    <m/>
    <m/>
  </r>
  <r>
    <x v="22"/>
    <d v="2022-12-31T00:00:00"/>
    <s v="Cash Rewards Visa Signature"/>
    <x v="3087"/>
    <n v="194"/>
    <x v="38"/>
    <e v="#N/A"/>
    <s v="Exp - Groceries"/>
    <m/>
    <n v="194"/>
    <m/>
    <m/>
    <s v="debit"/>
    <m/>
    <x v="2746"/>
    <m/>
    <m/>
  </r>
  <r>
    <x v="22"/>
    <d v="2022-12-31T00:00:00"/>
    <s v="Cash Rewards Visa Signature"/>
    <x v="3088"/>
    <n v="63.97"/>
    <x v="38"/>
    <e v="#N/A"/>
    <s v="Exp - Groceries"/>
    <m/>
    <n v="63.97"/>
    <m/>
    <m/>
    <s v="debit"/>
    <m/>
    <x v="2747"/>
    <m/>
    <m/>
  </r>
  <r>
    <x v="22"/>
    <d v="2022-12-31T00:00:00"/>
    <s v="POWERPLUS"/>
    <x v="3089"/>
    <n v="-25.49"/>
    <x v="13"/>
    <e v="#N/A"/>
    <s v="Inc - Other"/>
    <m/>
    <n v="25.49"/>
    <m/>
    <m/>
    <s v="credit"/>
    <m/>
    <x v="2748"/>
    <m/>
    <m/>
  </r>
  <r>
    <x v="22"/>
    <d v="2022-12-31T00:00:00"/>
    <s v="RAINY DAY"/>
    <x v="3090"/>
    <n v="-10.220000000000001"/>
    <x v="55"/>
    <e v="#N/A"/>
    <s v="Inc - Dividend"/>
    <m/>
    <n v="10.220000000000001"/>
    <m/>
    <m/>
    <s v="credit"/>
    <m/>
    <x v="2749"/>
    <m/>
    <m/>
  </r>
  <r>
    <x v="22"/>
    <d v="2022-12-31T00:00:00"/>
    <s v="Cash Rewards Visa Signature"/>
    <x v="3091"/>
    <n v="43.15"/>
    <x v="39"/>
    <e v="#N/A"/>
    <s v="Exp - Restaurants"/>
    <m/>
    <n v="43.15"/>
    <m/>
    <m/>
    <s v="debit"/>
    <m/>
    <x v="2750"/>
    <m/>
    <m/>
  </r>
  <r>
    <x v="22"/>
    <d v="2022-12-31T00:00:00"/>
    <s v="Cash Rewards Visa Signature"/>
    <x v="3092"/>
    <n v="91.4"/>
    <x v="35"/>
    <e v="#N/A"/>
    <s v="Exp - Entertainment"/>
    <m/>
    <n v="91.4"/>
    <m/>
    <m/>
    <s v="debit"/>
    <m/>
    <x v="2751"/>
    <m/>
    <m/>
  </r>
  <r>
    <x v="22"/>
    <d v="2022-12-31T00:00:00"/>
    <s v="DISCOVER MORE CARD"/>
    <x v="3093"/>
    <n v="1"/>
    <x v="37"/>
    <e v="#N/A"/>
    <s v="Exp - Transportation"/>
    <m/>
    <n v="1"/>
    <m/>
    <m/>
    <s v="debit"/>
    <m/>
    <x v="2752"/>
    <m/>
    <m/>
  </r>
  <r>
    <x v="22"/>
    <d v="2022-12-31T00:00:00"/>
    <s v="Cash Rewards Visa Signature"/>
    <x v="3094"/>
    <n v="-25"/>
    <x v="43"/>
    <e v="#N/A"/>
    <s v="Exp - Travel"/>
    <m/>
    <n v="25"/>
    <m/>
    <m/>
    <s v="credit"/>
    <m/>
    <x v="2753"/>
    <m/>
    <m/>
  </r>
  <r>
    <x v="22"/>
    <d v="2022-12-31T00:00:00"/>
    <s v="Cash Rewards Visa Signature"/>
    <x v="3095"/>
    <n v="11"/>
    <x v="37"/>
    <e v="#N/A"/>
    <s v="Exp - Transportation"/>
    <m/>
    <n v="11"/>
    <m/>
    <m/>
    <s v="debit"/>
    <m/>
    <x v="2754"/>
    <m/>
    <m/>
  </r>
  <r>
    <x v="22"/>
    <d v="2022-12-31T00:00:00"/>
    <s v="Cash Rewards Visa Signature"/>
    <x v="3096"/>
    <n v="249"/>
    <x v="32"/>
    <e v="#N/A"/>
    <s v="Exp - Shopping"/>
    <m/>
    <n v="249"/>
    <m/>
    <m/>
    <s v="debit"/>
    <m/>
    <x v="2755"/>
    <m/>
    <m/>
  </r>
  <r>
    <x v="22"/>
    <d v="2022-12-31T00:00:00"/>
    <s v="Cash Rewards Visa Signature"/>
    <x v="3097"/>
    <n v="57.01"/>
    <x v="39"/>
    <e v="#N/A"/>
    <s v="Exp - Restaurants"/>
    <m/>
    <n v="57.01"/>
    <m/>
    <m/>
    <s v="debit"/>
    <m/>
    <x v="2756"/>
    <m/>
    <m/>
  </r>
  <r>
    <x v="22"/>
    <d v="2022-12-31T00:00:00"/>
    <s v="Cash Rewards Visa Signature"/>
    <x v="3098"/>
    <n v="6.82"/>
    <x v="46"/>
    <e v="#N/A"/>
    <s v="Exp - Healthcare"/>
    <m/>
    <n v="6.82"/>
    <m/>
    <m/>
    <s v="debit"/>
    <m/>
    <x v="2757"/>
    <m/>
    <m/>
  </r>
  <r>
    <x v="22"/>
    <d v="2022-12-31T00:00:00"/>
    <s v="Cash Rewards Visa Signature"/>
    <x v="3099"/>
    <n v="79.900000000000006"/>
    <x v="36"/>
    <e v="#N/A"/>
    <s v="Exp - House Maint"/>
    <m/>
    <n v="79.900000000000006"/>
    <m/>
    <m/>
    <s v="debit"/>
    <m/>
    <x v="2758"/>
    <m/>
    <m/>
  </r>
  <r>
    <x v="22"/>
    <d v="2022-12-31T00:00:00"/>
    <s v="Cash Rewards Visa Signature"/>
    <x v="3100"/>
    <n v="17.7"/>
    <x v="36"/>
    <e v="#N/A"/>
    <s v="Exp - House Maint"/>
    <m/>
    <n v="17.7"/>
    <m/>
    <m/>
    <s v="debit"/>
    <m/>
    <x v="2759"/>
    <m/>
    <m/>
  </r>
  <r>
    <x v="22"/>
    <d v="2022-12-31T00:00:00"/>
    <s v="Cash Rewards Visa Signature"/>
    <x v="3101"/>
    <n v="17.7"/>
    <x v="36"/>
    <e v="#N/A"/>
    <s v="Exp - House Maint"/>
    <m/>
    <n v="17.7"/>
    <m/>
    <m/>
    <s v="debit"/>
    <m/>
    <x v="2760"/>
    <m/>
    <m/>
  </r>
  <r>
    <x v="22"/>
    <d v="2022-12-31T00:00:00"/>
    <s v="Cash Rewards Visa Signature"/>
    <x v="3102"/>
    <n v="21.46"/>
    <x v="32"/>
    <e v="#N/A"/>
    <s v="Exp - Shopping"/>
    <m/>
    <n v="21.46"/>
    <m/>
    <m/>
    <s v="debit"/>
    <m/>
    <x v="2761"/>
    <m/>
    <m/>
  </r>
  <r>
    <x v="22"/>
    <d v="2022-12-31T00:00:00"/>
    <s v="Cash Rewards Visa Signature"/>
    <x v="3103"/>
    <n v="21.46"/>
    <x v="32"/>
    <e v="#N/A"/>
    <s v="Exp - Shopping"/>
    <m/>
    <n v="21.46"/>
    <m/>
    <m/>
    <s v="debit"/>
    <m/>
    <x v="2762"/>
    <m/>
    <m/>
  </r>
  <r>
    <x v="51"/>
    <d v="2023-01-01T00:00:00"/>
    <s v="DISCOVER MORE CARD"/>
    <x v="3104"/>
    <n v="5.36"/>
    <x v="41"/>
    <e v="#N/A"/>
    <s v="Exp - Amazon"/>
    <m/>
    <n v="5.36"/>
    <m/>
    <m/>
    <s v="debit"/>
    <m/>
    <x v="2763"/>
    <m/>
    <m/>
  </r>
  <r>
    <x v="51"/>
    <d v="2023-01-01T00:00:00"/>
    <s v="Cash Rewards Visa Signature"/>
    <x v="3105"/>
    <n v="-6.43"/>
    <x v="39"/>
    <e v="#N/A"/>
    <s v="Exp - Restaurants"/>
    <m/>
    <n v="6.43"/>
    <m/>
    <m/>
    <s v="credit"/>
    <m/>
    <x v="2764"/>
    <m/>
    <m/>
  </r>
  <r>
    <x v="51"/>
    <d v="2023-01-01T00:00:00"/>
    <s v="Cash Rewards Visa Signature"/>
    <x v="3094"/>
    <n v="-25"/>
    <x v="43"/>
    <e v="#N/A"/>
    <s v="Exp - Travel"/>
    <m/>
    <n v="25"/>
    <m/>
    <m/>
    <s v="credit"/>
    <m/>
    <x v="2753"/>
    <m/>
    <m/>
  </r>
  <r>
    <x v="51"/>
    <d v="2023-01-01T00:00:00"/>
    <s v="DISCOVER MORE CARD"/>
    <x v="3106"/>
    <n v="194.66"/>
    <x v="38"/>
    <e v="#N/A"/>
    <s v="Exp - Groceries"/>
    <m/>
    <n v="194.66"/>
    <m/>
    <m/>
    <s v="debit"/>
    <m/>
    <x v="2765"/>
    <m/>
    <m/>
  </r>
  <r>
    <x v="51"/>
    <d v="2023-01-01T00:00:00"/>
    <s v="Cash Rewards Visa Signature"/>
    <x v="3107"/>
    <n v="57.01"/>
    <x v="39"/>
    <e v="#N/A"/>
    <s v="Exp - Restaurants"/>
    <m/>
    <n v="57.01"/>
    <m/>
    <m/>
    <s v="debit"/>
    <m/>
    <x v="2766"/>
    <m/>
    <m/>
  </r>
  <r>
    <x v="51"/>
    <d v="2023-01-01T00:00:00"/>
    <s v="POWERPLUS"/>
    <x v="2921"/>
    <n v="618.65"/>
    <x v="48"/>
    <e v="#N/A"/>
    <s v="Exp - Car Loan"/>
    <m/>
    <n v="618.65"/>
    <m/>
    <m/>
    <s v="debit"/>
    <m/>
    <x v="2606"/>
    <m/>
    <m/>
  </r>
  <r>
    <x v="51"/>
    <d v="2023-01-01T00:00:00"/>
    <s v="POWERPLUS"/>
    <x v="3108"/>
    <n v="618.65"/>
    <x v="3"/>
    <e v="#N/A"/>
    <s v="Delete"/>
    <m/>
    <n v="618.65"/>
    <m/>
    <m/>
    <s v="debit"/>
    <m/>
    <x v="2767"/>
    <m/>
    <m/>
  </r>
  <r>
    <x v="51"/>
    <d v="2023-01-01T00:00:00"/>
    <s v="HIGHLANDER"/>
    <x v="3109"/>
    <n v="-618.65"/>
    <x v="3"/>
    <e v="#N/A"/>
    <s v="Delete"/>
    <m/>
    <n v="618.65"/>
    <m/>
    <m/>
    <s v="credit"/>
    <m/>
    <x v="2768"/>
    <m/>
    <m/>
  </r>
  <r>
    <x v="51"/>
    <d v="2023-01-02T00:00:00"/>
    <s v="Cash Rewards Visa Signature"/>
    <x v="3110"/>
    <n v="15.66"/>
    <x v="39"/>
    <e v="#N/A"/>
    <s v="Exp - Restaurants"/>
    <m/>
    <n v="15.66"/>
    <m/>
    <m/>
    <s v="debit"/>
    <m/>
    <x v="2769"/>
    <m/>
    <m/>
  </r>
  <r>
    <x v="51"/>
    <d v="2023-01-02T00:00:00"/>
    <s v="Cash Rewards Visa Signature"/>
    <x v="3111"/>
    <n v="20"/>
    <x v="42"/>
    <e v="#N/A"/>
    <s v="Exp - Utilities"/>
    <m/>
    <n v="20"/>
    <m/>
    <m/>
    <s v="debit"/>
    <m/>
    <x v="2770"/>
    <m/>
    <m/>
  </r>
  <r>
    <x v="51"/>
    <d v="2023-01-02T00:00:00"/>
    <s v="Cash Rewards Visa Signature"/>
    <x v="3112"/>
    <n v="84.2"/>
    <x v="35"/>
    <e v="#N/A"/>
    <s v="Exp - Entertainment"/>
    <m/>
    <n v="84.2"/>
    <m/>
    <m/>
    <s v="debit"/>
    <m/>
    <x v="2771"/>
    <m/>
    <m/>
  </r>
  <r>
    <x v="51"/>
    <d v="2023-01-03T00:00:00"/>
    <s v="DISCOVER MORE CARD"/>
    <x v="3113"/>
    <n v="32.200000000000003"/>
    <x v="41"/>
    <e v="#N/A"/>
    <s v="Exp - Amazon"/>
    <m/>
    <n v="32.200000000000003"/>
    <m/>
    <m/>
    <s v="debit"/>
    <m/>
    <x v="2772"/>
    <m/>
    <m/>
  </r>
  <r>
    <x v="51"/>
    <d v="2023-01-03T00:00:00"/>
    <s v="Cash Rewards Visa Signature"/>
    <x v="3110"/>
    <n v="48.05"/>
    <x v="38"/>
    <e v="#N/A"/>
    <s v="Exp - Groceries"/>
    <m/>
    <n v="48.05"/>
    <m/>
    <m/>
    <s v="debit"/>
    <m/>
    <x v="2769"/>
    <m/>
    <m/>
  </r>
  <r>
    <x v="51"/>
    <d v="2023-01-03T00:00:00"/>
    <s v="Cash Rewards Visa Signature"/>
    <x v="3110"/>
    <n v="13.4"/>
    <x v="38"/>
    <e v="#N/A"/>
    <s v="Exp - Groceries"/>
    <m/>
    <n v="13.4"/>
    <m/>
    <m/>
    <s v="debit"/>
    <m/>
    <x v="2769"/>
    <m/>
    <m/>
  </r>
  <r>
    <x v="51"/>
    <d v="2023-01-03T00:00:00"/>
    <s v="POWERPLUS"/>
    <x v="3114"/>
    <n v="-24.79"/>
    <x v="55"/>
    <e v="#N/A"/>
    <s v="Inc - Dividend"/>
    <m/>
    <n v="24.79"/>
    <m/>
    <m/>
    <s v="credit"/>
    <m/>
    <x v="2773"/>
    <m/>
    <m/>
  </r>
  <r>
    <x v="51"/>
    <d v="2023-01-03T00:00:00"/>
    <s v="4017 Hallgren"/>
    <x v="3115"/>
    <n v="4219"/>
    <x v="3"/>
    <e v="#N/A"/>
    <s v="Delete"/>
    <m/>
    <n v="4219"/>
    <m/>
    <m/>
    <s v="debit"/>
    <m/>
    <x v="2774"/>
    <m/>
    <m/>
  </r>
  <r>
    <x v="51"/>
    <d v="2023-01-03T00:00:00"/>
    <s v="Cash Rewards Visa Signature"/>
    <x v="3116"/>
    <n v="75"/>
    <x v="32"/>
    <e v="#N/A"/>
    <s v="Exp - Shopping"/>
    <m/>
    <n v="75"/>
    <m/>
    <m/>
    <s v="debit"/>
    <m/>
    <x v="2775"/>
    <m/>
    <m/>
  </r>
  <r>
    <x v="51"/>
    <d v="2023-01-03T00:00:00"/>
    <s v="Cash Rewards Visa Signature"/>
    <x v="3117"/>
    <n v="63.36"/>
    <x v="38"/>
    <e v="#N/A"/>
    <s v="Exp - Groceries"/>
    <m/>
    <n v="63.36"/>
    <m/>
    <m/>
    <s v="debit"/>
    <m/>
    <x v="2776"/>
    <m/>
    <m/>
  </r>
  <r>
    <x v="51"/>
    <d v="2023-01-03T00:00:00"/>
    <s v="POWERPLUS"/>
    <x v="3118"/>
    <n v="300"/>
    <x v="3"/>
    <e v="#N/A"/>
    <s v="Delete"/>
    <m/>
    <n v="300"/>
    <m/>
    <m/>
    <s v="debit"/>
    <m/>
    <x v="2077"/>
    <m/>
    <m/>
  </r>
  <r>
    <x v="51"/>
    <d v="2023-01-03T00:00:00"/>
    <s v="POWERPLUS"/>
    <x v="3119"/>
    <n v="58"/>
    <x v="32"/>
    <e v="#N/A"/>
    <s v="Exp - Shopping"/>
    <m/>
    <n v="58"/>
    <m/>
    <m/>
    <s v="debit"/>
    <m/>
    <x v="2045"/>
    <m/>
    <m/>
  </r>
  <r>
    <x v="51"/>
    <d v="2023-01-03T00:00:00"/>
    <s v="4017 Hallgren"/>
    <x v="935"/>
    <n v="2606.27"/>
    <x v="3"/>
    <s v="Delete"/>
    <s v="Delete"/>
    <m/>
    <n v="2606.27"/>
    <m/>
    <m/>
    <s v="debit"/>
    <m/>
    <x v="899"/>
    <m/>
    <m/>
  </r>
  <r>
    <x v="51"/>
    <d v="2023-01-03T00:00:00"/>
    <s v="POWERPLUS"/>
    <x v="3120"/>
    <n v="55"/>
    <x v="32"/>
    <e v="#N/A"/>
    <s v="Exp - Shopping"/>
    <m/>
    <n v="55"/>
    <m/>
    <m/>
    <s v="debit"/>
    <m/>
    <x v="2053"/>
    <m/>
    <m/>
  </r>
  <r>
    <x v="2"/>
    <d v="2019-09-19T00:00:00"/>
    <s v="Jeff"/>
    <x v="3121"/>
    <n v="95.54"/>
    <x v="3"/>
    <m/>
    <m/>
    <m/>
    <n v="95.54"/>
    <b v="0"/>
    <m/>
    <m/>
    <s v="-"/>
    <x v="2777"/>
    <m/>
    <m/>
  </r>
  <r>
    <x v="51"/>
    <d v="2023-01-04T00:00:00"/>
    <s v="POWERPLUS"/>
    <x v="3122"/>
    <n v="330"/>
    <x v="40"/>
    <e v="#N/A"/>
    <s v="Exp - Day Care"/>
    <m/>
    <n v="330"/>
    <m/>
    <m/>
    <s v="debit"/>
    <m/>
    <x v="2007"/>
    <m/>
    <m/>
  </r>
  <r>
    <x v="51"/>
    <d v="2023-01-04T00:00:00"/>
    <s v="POWERPLUS"/>
    <x v="2171"/>
    <n v="1626.54"/>
    <x v="3"/>
    <e v="#N/A"/>
    <s v="Delete"/>
    <m/>
    <n v="1626.54"/>
    <m/>
    <m/>
    <s v="debit"/>
    <m/>
    <x v="2021"/>
    <m/>
    <m/>
  </r>
  <r>
    <x v="51"/>
    <d v="2023-01-04T00:00:00"/>
    <s v="Cash Rewards Visa Signature"/>
    <x v="3123"/>
    <n v="-1626.54"/>
    <x v="3"/>
    <e v="#N/A"/>
    <s v="Delete"/>
    <m/>
    <n v="1626.54"/>
    <m/>
    <m/>
    <s v="credit"/>
    <m/>
    <x v="2778"/>
    <m/>
    <m/>
  </r>
  <r>
    <x v="51"/>
    <d v="2023-01-05T00:00:00"/>
    <s v="DISCOVER MORE CARD"/>
    <x v="3124"/>
    <n v="12.98"/>
    <x v="41"/>
    <e v="#N/A"/>
    <s v="Exp - Amazon"/>
    <m/>
    <n v="12.98"/>
    <m/>
    <m/>
    <s v="debit"/>
    <m/>
    <x v="2779"/>
    <m/>
    <m/>
  </r>
  <r>
    <x v="51"/>
    <d v="2023-01-05T00:00:00"/>
    <s v="Cash Rewards Visa Signature"/>
    <x v="3110"/>
    <n v="157.38999999999999"/>
    <x v="38"/>
    <e v="#N/A"/>
    <s v="Exp - Groceries"/>
    <m/>
    <n v="157.38999999999999"/>
    <m/>
    <m/>
    <s v="debit"/>
    <m/>
    <x v="2769"/>
    <m/>
    <m/>
  </r>
  <r>
    <x v="51"/>
    <d v="2023-01-05T00:00:00"/>
    <s v="Cash Rewards Visa Signature"/>
    <x v="3110"/>
    <n v="0.86"/>
    <x v="38"/>
    <e v="#N/A"/>
    <s v="Exp - Groceries"/>
    <m/>
    <n v="0.86"/>
    <m/>
    <m/>
    <s v="debit"/>
    <m/>
    <x v="2769"/>
    <m/>
    <m/>
  </r>
  <r>
    <x v="51"/>
    <d v="2023-01-05T00:00:00"/>
    <s v="POWERPLUS"/>
    <x v="3125"/>
    <n v="-2453.23"/>
    <x v="14"/>
    <e v="#N/A"/>
    <s v="Inc - Britney"/>
    <m/>
    <n v="2453.23"/>
    <m/>
    <m/>
    <s v="credit"/>
    <m/>
    <x v="2014"/>
    <m/>
    <m/>
  </r>
  <r>
    <x v="51"/>
    <d v="2023-01-05T00:00:00"/>
    <s v="POWERPLUS"/>
    <x v="3126"/>
    <n v="-694.2"/>
    <x v="3"/>
    <e v="#N/A"/>
    <s v="Delete"/>
    <m/>
    <n v="694.2"/>
    <m/>
    <m/>
    <s v="credit"/>
    <m/>
    <x v="2055"/>
    <m/>
    <m/>
  </r>
  <r>
    <x v="51"/>
    <d v="2023-01-05T00:00:00"/>
    <s v="POWERPLUS"/>
    <x v="3127"/>
    <n v="-7.4"/>
    <x v="32"/>
    <e v="#N/A"/>
    <s v="Exp - Shopping"/>
    <m/>
    <n v="7.4"/>
    <m/>
    <m/>
    <s v="credit"/>
    <m/>
    <x v="2227"/>
    <m/>
    <m/>
  </r>
  <r>
    <x v="51"/>
    <d v="2023-01-05T00:00:00"/>
    <s v="Cash Rewards Visa Signature"/>
    <x v="3128"/>
    <n v="22.36"/>
    <x v="37"/>
    <e v="#N/A"/>
    <s v="Exp - Transportation"/>
    <m/>
    <n v="22.36"/>
    <m/>
    <m/>
    <s v="debit"/>
    <m/>
    <x v="2780"/>
    <m/>
    <m/>
  </r>
  <r>
    <x v="51"/>
    <d v="2023-01-05T00:00:00"/>
    <s v="Cash Rewards Visa Signature"/>
    <x v="3128"/>
    <n v="5.29"/>
    <x v="37"/>
    <e v="#N/A"/>
    <s v="Exp - Transportation"/>
    <m/>
    <n v="5.29"/>
    <m/>
    <m/>
    <s v="debit"/>
    <m/>
    <x v="2780"/>
    <m/>
    <m/>
  </r>
  <r>
    <x v="51"/>
    <d v="2023-01-05T00:00:00"/>
    <s v="Cash Rewards Visa Signature"/>
    <x v="3129"/>
    <n v="-64.8"/>
    <x v="32"/>
    <e v="#N/A"/>
    <s v="Exp - Shopping"/>
    <m/>
    <n v="64.8"/>
    <m/>
    <m/>
    <s v="credit"/>
    <m/>
    <x v="2781"/>
    <m/>
    <m/>
  </r>
  <r>
    <x v="51"/>
    <d v="2023-01-06T00:00:00"/>
    <s v="Cash Rewards Visa Signature"/>
    <x v="3130"/>
    <n v="-21.99"/>
    <x v="41"/>
    <e v="#N/A"/>
    <s v="Exp - Amazon"/>
    <m/>
    <n v="21.99"/>
    <m/>
    <m/>
    <s v="credit"/>
    <m/>
    <x v="2782"/>
    <m/>
    <m/>
  </r>
  <r>
    <x v="51"/>
    <d v="2023-01-06T00:00:00"/>
    <s v="Cash Rewards Visa Signature"/>
    <x v="3130"/>
    <n v="-25.99"/>
    <x v="41"/>
    <e v="#N/A"/>
    <s v="Exp - Amazon"/>
    <m/>
    <n v="25.99"/>
    <m/>
    <m/>
    <s v="credit"/>
    <m/>
    <x v="2782"/>
    <m/>
    <m/>
  </r>
  <r>
    <x v="51"/>
    <d v="2023-01-06T00:00:00"/>
    <s v="Cash Rewards Visa Signature"/>
    <x v="3131"/>
    <n v="55.15"/>
    <x v="41"/>
    <e v="#N/A"/>
    <s v="Exp - Amazon"/>
    <m/>
    <n v="55.15"/>
    <m/>
    <m/>
    <s v="debit"/>
    <m/>
    <x v="2783"/>
    <m/>
    <m/>
  </r>
  <r>
    <x v="51"/>
    <d v="2023-01-06T00:00:00"/>
    <s v="POWERPLUS"/>
    <x v="3132"/>
    <n v="-6150"/>
    <x v="3"/>
    <e v="#N/A"/>
    <s v="Delete"/>
    <m/>
    <n v="6150"/>
    <m/>
    <m/>
    <s v="credit"/>
    <m/>
    <x v="2784"/>
    <m/>
    <m/>
  </r>
  <r>
    <x v="51"/>
    <d v="2023-01-06T00:00:00"/>
    <s v="Cash Rewards Visa Signature"/>
    <x v="3133"/>
    <n v="48"/>
    <x v="32"/>
    <e v="#N/A"/>
    <s v="Exp - Shopping"/>
    <m/>
    <n v="48"/>
    <m/>
    <m/>
    <s v="debit"/>
    <m/>
    <x v="2785"/>
    <m/>
    <m/>
  </r>
  <r>
    <x v="51"/>
    <d v="2023-01-06T00:00:00"/>
    <s v="Cash Rewards Visa Signature"/>
    <x v="3134"/>
    <n v="9.6"/>
    <x v="39"/>
    <e v="#N/A"/>
    <s v="Exp - Restaurants"/>
    <m/>
    <n v="9.6"/>
    <m/>
    <m/>
    <s v="debit"/>
    <m/>
    <x v="2786"/>
    <m/>
    <m/>
  </r>
  <r>
    <x v="51"/>
    <d v="2023-01-06T00:00:00"/>
    <s v="Cash Rewards Visa Signature"/>
    <x v="3135"/>
    <n v="96.58"/>
    <x v="32"/>
    <e v="#N/A"/>
    <s v="Exp - Shopping"/>
    <m/>
    <n v="96.58"/>
    <m/>
    <m/>
    <s v="debit"/>
    <m/>
    <x v="2787"/>
    <m/>
    <m/>
  </r>
  <r>
    <x v="51"/>
    <d v="2023-01-06T00:00:00"/>
    <s v="RAINY DAY"/>
    <x v="3136"/>
    <n v="6150"/>
    <x v="3"/>
    <e v="#N/A"/>
    <s v="Delete"/>
    <m/>
    <n v="6150"/>
    <m/>
    <m/>
    <s v="debit"/>
    <m/>
    <x v="2788"/>
    <m/>
    <m/>
  </r>
  <r>
    <x v="51"/>
    <d v="2023-01-06T00:00:00"/>
    <s v="POWERPLUS"/>
    <x v="3137"/>
    <n v="151.6"/>
    <x v="42"/>
    <e v="#N/A"/>
    <s v="Exp - Utilities"/>
    <m/>
    <n v="151.6"/>
    <m/>
    <m/>
    <s v="debit"/>
    <m/>
    <x v="2103"/>
    <m/>
    <m/>
  </r>
  <r>
    <x v="51"/>
    <d v="2023-01-07T00:00:00"/>
    <s v="Cash Rewards Visa Signature"/>
    <x v="3138"/>
    <n v="13.17"/>
    <x v="32"/>
    <e v="#N/A"/>
    <s v="Exp - Shopping"/>
    <m/>
    <n v="13.17"/>
    <m/>
    <m/>
    <s v="debit"/>
    <m/>
    <x v="2789"/>
    <m/>
    <m/>
  </r>
  <r>
    <x v="51"/>
    <d v="2023-01-07T00:00:00"/>
    <s v="Cash Rewards Visa Signature"/>
    <x v="3139"/>
    <n v="149.25"/>
    <x v="41"/>
    <e v="#N/A"/>
    <s v="Exp - Amazon"/>
    <m/>
    <n v="149.25"/>
    <m/>
    <m/>
    <s v="debit"/>
    <m/>
    <x v="2790"/>
    <m/>
    <m/>
  </r>
  <r>
    <x v="51"/>
    <d v="2023-01-07T00:00:00"/>
    <s v="DISCOVER MORE CARD"/>
    <x v="3140"/>
    <n v="67.62"/>
    <x v="41"/>
    <e v="#N/A"/>
    <s v="Exp - Amazon"/>
    <m/>
    <n v="67.62"/>
    <m/>
    <m/>
    <s v="debit"/>
    <m/>
    <x v="2791"/>
    <m/>
    <m/>
  </r>
  <r>
    <x v="51"/>
    <d v="2023-01-07T00:00:00"/>
    <s v="DISCOVER MORE CARD"/>
    <x v="3141"/>
    <n v="59.98"/>
    <x v="41"/>
    <e v="#N/A"/>
    <s v="Exp - Amazon"/>
    <m/>
    <n v="59.98"/>
    <m/>
    <m/>
    <s v="debit"/>
    <m/>
    <x v="2792"/>
    <m/>
    <m/>
  </r>
  <r>
    <x v="51"/>
    <d v="2023-01-07T00:00:00"/>
    <s v="Cash Rewards Visa Signature"/>
    <x v="3142"/>
    <n v="-47.99"/>
    <x v="32"/>
    <e v="#N/A"/>
    <s v="Exp - Shopping"/>
    <m/>
    <n v="47.99"/>
    <m/>
    <m/>
    <s v="credit"/>
    <m/>
    <x v="2793"/>
    <m/>
    <m/>
  </r>
  <r>
    <x v="51"/>
    <d v="2023-01-07T00:00:00"/>
    <s v="Cash Rewards Visa Signature"/>
    <x v="3143"/>
    <n v="2.4500000000000002"/>
    <x v="39"/>
    <e v="#N/A"/>
    <s v="Exp - Restaurants"/>
    <m/>
    <n v="2.4500000000000002"/>
    <m/>
    <m/>
    <s v="debit"/>
    <m/>
    <x v="2794"/>
    <m/>
    <m/>
  </r>
  <r>
    <x v="51"/>
    <d v="2023-01-07T00:00:00"/>
    <s v="Cash Rewards Visa Signature"/>
    <x v="3143"/>
    <n v="10.26"/>
    <x v="39"/>
    <e v="#N/A"/>
    <s v="Exp - Restaurants"/>
    <m/>
    <n v="10.26"/>
    <m/>
    <m/>
    <s v="debit"/>
    <m/>
    <x v="2794"/>
    <m/>
    <m/>
  </r>
  <r>
    <x v="51"/>
    <d v="2023-01-08T00:00:00"/>
    <s v="POWERPLUS"/>
    <x v="3144"/>
    <n v="-13.96"/>
    <x v="32"/>
    <e v="#N/A"/>
    <s v="Exp - Shopping"/>
    <m/>
    <n v="13.96"/>
    <m/>
    <m/>
    <s v="credit"/>
    <m/>
    <x v="2227"/>
    <m/>
    <m/>
  </r>
  <r>
    <x v="51"/>
    <d v="2023-01-08T00:00:00"/>
    <s v="Cash Rewards Visa Signature"/>
    <x v="3145"/>
    <n v="47.25"/>
    <x v="49"/>
    <e v="#N/A"/>
    <s v="Exp - Gym"/>
    <m/>
    <n v="47.25"/>
    <m/>
    <m/>
    <s v="debit"/>
    <m/>
    <x v="2795"/>
    <m/>
    <m/>
  </r>
  <r>
    <x v="51"/>
    <d v="2023-01-08T00:00:00"/>
    <s v="Cash Rewards Visa Signature"/>
    <x v="3146"/>
    <n v="156.06"/>
    <x v="46"/>
    <e v="#N/A"/>
    <s v="Exp - Healthcare"/>
    <m/>
    <n v="156.06"/>
    <m/>
    <m/>
    <s v="debit"/>
    <m/>
    <x v="2796"/>
    <m/>
    <m/>
  </r>
  <r>
    <x v="51"/>
    <d v="2023-01-09T00:00:00"/>
    <s v="DISCOVER MORE CARD"/>
    <x v="3147"/>
    <n v="16.100000000000001"/>
    <x v="41"/>
    <e v="#N/A"/>
    <s v="Exp - Amazon"/>
    <m/>
    <n v="16.100000000000001"/>
    <m/>
    <m/>
    <s v="debit"/>
    <m/>
    <x v="2797"/>
    <m/>
    <m/>
  </r>
  <r>
    <x v="51"/>
    <d v="2023-01-09T00:00:00"/>
    <s v="DISCOVER MORE CARD"/>
    <x v="3148"/>
    <n v="21.46"/>
    <x v="41"/>
    <e v="#N/A"/>
    <s v="Exp - Amazon"/>
    <m/>
    <n v="21.46"/>
    <m/>
    <m/>
    <s v="debit"/>
    <m/>
    <x v="2798"/>
    <m/>
    <m/>
  </r>
  <r>
    <x v="51"/>
    <d v="2023-01-09T00:00:00"/>
    <s v="POWERPLUS"/>
    <x v="3149"/>
    <n v="-156.91999999999999"/>
    <x v="3"/>
    <e v="#N/A"/>
    <s v="Delete"/>
    <m/>
    <n v="156.91999999999999"/>
    <m/>
    <m/>
    <s v="credit"/>
    <m/>
    <x v="2055"/>
    <m/>
    <m/>
  </r>
  <r>
    <x v="51"/>
    <d v="2023-01-09T00:00:00"/>
    <s v="Cash Rewards Visa Signature"/>
    <x v="3150"/>
    <n v="13.5"/>
    <x v="32"/>
    <e v="#N/A"/>
    <s v="Exp - Shopping"/>
    <m/>
    <n v="13.5"/>
    <m/>
    <m/>
    <s v="debit"/>
    <m/>
    <x v="2799"/>
    <m/>
    <m/>
  </r>
  <r>
    <x v="51"/>
    <d v="2023-01-09T00:00:00"/>
    <s v="DISCOVER MORE CARD"/>
    <x v="3151"/>
    <n v="38.9"/>
    <x v="38"/>
    <e v="#N/A"/>
    <s v="Exp - Groceries"/>
    <m/>
    <n v="38.9"/>
    <m/>
    <m/>
    <s v="debit"/>
    <m/>
    <x v="2800"/>
    <m/>
    <m/>
  </r>
  <r>
    <x v="51"/>
    <d v="2023-01-09T00:00:00"/>
    <s v="POWERPLUS"/>
    <x v="3152"/>
    <n v="25.94"/>
    <x v="32"/>
    <e v="#N/A"/>
    <s v="Exp - Shopping"/>
    <m/>
    <n v="25.94"/>
    <m/>
    <m/>
    <s v="debit"/>
    <m/>
    <x v="2045"/>
    <m/>
    <m/>
  </r>
  <r>
    <x v="51"/>
    <d v="2023-01-10T00:00:00"/>
    <s v="Cash Rewards Visa Signature"/>
    <x v="3153"/>
    <n v="-116.54"/>
    <x v="32"/>
    <e v="#N/A"/>
    <s v="Exp - Shopping"/>
    <m/>
    <n v="116.54"/>
    <m/>
    <m/>
    <s v="credit"/>
    <m/>
    <x v="2801"/>
    <m/>
    <m/>
  </r>
  <r>
    <x v="51"/>
    <d v="2023-01-10T00:00:00"/>
    <s v="DISCOVER MORE CARD"/>
    <x v="3154"/>
    <n v="45.2"/>
    <x v="38"/>
    <e v="#N/A"/>
    <s v="Exp - Groceries"/>
    <m/>
    <n v="45.2"/>
    <m/>
    <m/>
    <s v="debit"/>
    <m/>
    <x v="2802"/>
    <m/>
    <m/>
  </r>
  <r>
    <x v="51"/>
    <d v="2023-01-10T00:00:00"/>
    <s v="DISCOVER MORE CARD"/>
    <x v="3155"/>
    <n v="75.849999999999994"/>
    <x v="38"/>
    <e v="#N/A"/>
    <s v="Exp - Groceries"/>
    <m/>
    <n v="75.849999999999994"/>
    <m/>
    <m/>
    <s v="debit"/>
    <m/>
    <x v="2803"/>
    <m/>
    <m/>
  </r>
  <r>
    <x v="51"/>
    <d v="2023-01-10T00:00:00"/>
    <s v="POWERPLUS"/>
    <x v="3156"/>
    <n v="-27.68"/>
    <x v="3"/>
    <e v="#N/A"/>
    <s v="Delete"/>
    <m/>
    <n v="27.68"/>
    <m/>
    <m/>
    <s v="credit"/>
    <m/>
    <x v="2055"/>
    <m/>
    <m/>
  </r>
  <r>
    <x v="51"/>
    <d v="2023-01-10T00:00:00"/>
    <s v="SHARE SAVINGS"/>
    <x v="1065"/>
    <n v="-400"/>
    <x v="3"/>
    <s v="Delete"/>
    <s v="Delete"/>
    <m/>
    <n v="400"/>
    <m/>
    <m/>
    <s v="credit"/>
    <m/>
    <x v="1015"/>
    <m/>
    <m/>
  </r>
  <r>
    <x v="51"/>
    <d v="2023-01-10T00:00:00"/>
    <s v="Cash Rewards Visa Signature"/>
    <x v="3157"/>
    <n v="1.82"/>
    <x v="39"/>
    <e v="#N/A"/>
    <s v="Exp - Restaurants"/>
    <m/>
    <n v="1.82"/>
    <m/>
    <m/>
    <s v="debit"/>
    <m/>
    <x v="2804"/>
    <m/>
    <m/>
  </r>
  <r>
    <x v="51"/>
    <d v="2023-01-10T00:00:00"/>
    <s v="Cash Rewards Visa Signature"/>
    <x v="3158"/>
    <n v="4.72"/>
    <x v="39"/>
    <e v="#N/A"/>
    <s v="Exp - Restaurants"/>
    <m/>
    <n v="4.72"/>
    <m/>
    <m/>
    <s v="debit"/>
    <m/>
    <x v="2805"/>
    <m/>
    <m/>
  </r>
  <r>
    <x v="51"/>
    <d v="2023-01-10T00:00:00"/>
    <s v="Cash Rewards Visa Signature"/>
    <x v="3159"/>
    <n v="13.33"/>
    <x v="35"/>
    <e v="#N/A"/>
    <s v="Exp - Entertainment"/>
    <m/>
    <n v="13.33"/>
    <m/>
    <m/>
    <s v="debit"/>
    <m/>
    <x v="2806"/>
    <m/>
    <m/>
  </r>
  <r>
    <x v="51"/>
    <d v="2023-01-10T00:00:00"/>
    <s v="POWERPLUS"/>
    <x v="3160"/>
    <n v="6150"/>
    <x v="3"/>
    <e v="#N/A"/>
    <s v="Delete"/>
    <m/>
    <n v="6150"/>
    <m/>
    <m/>
    <s v="debit"/>
    <m/>
    <x v="2253"/>
    <m/>
    <m/>
  </r>
  <r>
    <x v="51"/>
    <d v="2023-01-11T00:00:00"/>
    <s v="Cash Rewards Visa Signature"/>
    <x v="3161"/>
    <n v="820"/>
    <x v="40"/>
    <e v="#N/A"/>
    <s v="Exp - Day Care"/>
    <m/>
    <n v="820"/>
    <m/>
    <m/>
    <s v="debit"/>
    <m/>
    <x v="2807"/>
    <m/>
    <m/>
  </r>
  <r>
    <x v="51"/>
    <d v="2023-01-11T00:00:00"/>
    <s v="DISCOVER MORE CARD"/>
    <x v="3162"/>
    <n v="47.98"/>
    <x v="41"/>
    <e v="#N/A"/>
    <s v="Exp - Amazon"/>
    <m/>
    <n v="47.98"/>
    <m/>
    <m/>
    <s v="debit"/>
    <m/>
    <x v="2808"/>
    <m/>
    <m/>
  </r>
  <r>
    <x v="51"/>
    <d v="2023-01-11T00:00:00"/>
    <s v="POWERPLUS"/>
    <x v="3163"/>
    <n v="-455"/>
    <x v="3"/>
    <e v="#N/A"/>
    <s v="Delete"/>
    <m/>
    <n v="455"/>
    <m/>
    <m/>
    <s v="credit"/>
    <m/>
    <x v="2809"/>
    <m/>
    <m/>
  </r>
  <r>
    <x v="51"/>
    <d v="2023-01-11T00:00:00"/>
    <s v="Cash Rewards Visa Signature"/>
    <x v="3164"/>
    <n v="100"/>
    <x v="40"/>
    <e v="#N/A"/>
    <s v="Exp - Day Care"/>
    <m/>
    <n v="100"/>
    <m/>
    <m/>
    <s v="debit"/>
    <m/>
    <x v="2810"/>
    <m/>
    <m/>
  </r>
  <r>
    <x v="51"/>
    <d v="2023-01-11T00:00:00"/>
    <s v="DISCOVER MORE CARD"/>
    <x v="3165"/>
    <n v="66.510000000000005"/>
    <x v="37"/>
    <e v="#N/A"/>
    <s v="Exp - Transportation"/>
    <m/>
    <n v="66.510000000000005"/>
    <m/>
    <m/>
    <s v="debit"/>
    <m/>
    <x v="2811"/>
    <m/>
    <m/>
  </r>
  <r>
    <x v="51"/>
    <d v="2023-01-11T00:00:00"/>
    <s v="Cash Rewards Visa Signature"/>
    <x v="3166"/>
    <n v="44.48"/>
    <x v="37"/>
    <e v="#N/A"/>
    <s v="Exp - Transportation"/>
    <m/>
    <n v="44.48"/>
    <m/>
    <m/>
    <s v="debit"/>
    <m/>
    <x v="2812"/>
    <m/>
    <m/>
  </r>
  <r>
    <x v="51"/>
    <d v="2023-01-11T00:00:00"/>
    <s v="DISCOVER MORE CARD"/>
    <x v="1978"/>
    <n v="6.42"/>
    <x v="19"/>
    <s v="House Maintenance"/>
    <m/>
    <m/>
    <n v="6.42"/>
    <m/>
    <m/>
    <s v="debit"/>
    <m/>
    <x v="1828"/>
    <m/>
    <m/>
  </r>
  <r>
    <x v="51"/>
    <d v="2023-01-11T00:00:00"/>
    <s v="POWERPLUS"/>
    <x v="3167"/>
    <n v="330"/>
    <x v="40"/>
    <e v="#N/A"/>
    <s v="Exp - Day Care"/>
    <m/>
    <n v="330"/>
    <m/>
    <m/>
    <s v="debit"/>
    <m/>
    <x v="2007"/>
    <m/>
    <m/>
  </r>
  <r>
    <x v="51"/>
    <d v="2023-01-11T00:00:00"/>
    <s v="POWERPLUS"/>
    <x v="3168"/>
    <n v="200"/>
    <x v="3"/>
    <e v="#N/A"/>
    <s v="Delete"/>
    <m/>
    <n v="200"/>
    <m/>
    <m/>
    <s v="debit"/>
    <m/>
    <x v="2813"/>
    <m/>
    <m/>
  </r>
  <r>
    <x v="51"/>
    <d v="2023-01-11T00:00:00"/>
    <s v="SHARE SAVINGS"/>
    <x v="3169"/>
    <n v="455"/>
    <x v="3"/>
    <e v="#N/A"/>
    <s v="Delete"/>
    <m/>
    <n v="455"/>
    <m/>
    <m/>
    <s v="debit"/>
    <m/>
    <x v="2814"/>
    <m/>
    <m/>
  </r>
  <r>
    <x v="51"/>
    <d v="2023-01-12T00:00:00"/>
    <s v="Cash Rewards Visa Signature"/>
    <x v="3170"/>
    <n v="45"/>
    <x v="42"/>
    <e v="#N/A"/>
    <s v="Exp - Utilities"/>
    <m/>
    <n v="45"/>
    <m/>
    <m/>
    <s v="debit"/>
    <m/>
    <x v="2815"/>
    <m/>
    <m/>
  </r>
  <r>
    <x v="51"/>
    <d v="2023-01-12T00:00:00"/>
    <s v="POWERPLUS"/>
    <x v="3171"/>
    <n v="-2922.79"/>
    <x v="15"/>
    <e v="#N/A"/>
    <s v="Inc - Jeff"/>
    <m/>
    <n v="2922.79"/>
    <m/>
    <m/>
    <s v="credit"/>
    <m/>
    <x v="2139"/>
    <m/>
    <m/>
  </r>
  <r>
    <x v="51"/>
    <d v="2023-01-13T00:00:00"/>
    <s v="Cash Rewards Visa Signature"/>
    <x v="3172"/>
    <n v="-52.79"/>
    <x v="32"/>
    <e v="#N/A"/>
    <s v="Exp - Shopping"/>
    <m/>
    <n v="52.79"/>
    <m/>
    <m/>
    <s v="credit"/>
    <m/>
    <x v="2816"/>
    <m/>
    <m/>
  </r>
  <r>
    <x v="51"/>
    <d v="2023-01-13T00:00:00"/>
    <s v="Cash Rewards Visa Signature"/>
    <x v="3172"/>
    <n v="-95.39"/>
    <x v="32"/>
    <e v="#N/A"/>
    <s v="Exp - Shopping"/>
    <m/>
    <n v="95.39"/>
    <m/>
    <m/>
    <s v="credit"/>
    <m/>
    <x v="2816"/>
    <m/>
    <m/>
  </r>
  <r>
    <x v="51"/>
    <d v="2023-01-13T00:00:00"/>
    <s v="POWERPLUS"/>
    <x v="3173"/>
    <n v="100"/>
    <x v="3"/>
    <e v="#N/A"/>
    <s v="Delete"/>
    <m/>
    <n v="100"/>
    <m/>
    <m/>
    <s v="debit"/>
    <m/>
    <x v="2817"/>
    <m/>
    <m/>
  </r>
  <r>
    <x v="51"/>
    <d v="2023-01-14T00:00:00"/>
    <s v="DISCOVER MORE CARD"/>
    <x v="3174"/>
    <n v="-31.99"/>
    <x v="41"/>
    <e v="#N/A"/>
    <s v="Exp - Amazon"/>
    <m/>
    <n v="31.99"/>
    <m/>
    <m/>
    <s v="credit"/>
    <m/>
    <x v="2818"/>
    <m/>
    <m/>
  </r>
  <r>
    <x v="51"/>
    <d v="2023-01-14T00:00:00"/>
    <s v="DISCOVER MORE CARD"/>
    <x v="3175"/>
    <n v="-27.99"/>
    <x v="41"/>
    <e v="#N/A"/>
    <s v="Exp - Amazon"/>
    <m/>
    <n v="27.99"/>
    <m/>
    <m/>
    <s v="credit"/>
    <m/>
    <x v="2819"/>
    <m/>
    <m/>
  </r>
  <r>
    <x v="51"/>
    <d v="2023-01-14T00:00:00"/>
    <s v="Cash Rewards Visa Signature"/>
    <x v="3176"/>
    <n v="146.19999999999999"/>
    <x v="32"/>
    <e v="#N/A"/>
    <s v="Exp - Shopping"/>
    <m/>
    <n v="146.19999999999999"/>
    <m/>
    <m/>
    <s v="debit"/>
    <m/>
    <x v="2820"/>
    <m/>
    <m/>
  </r>
  <r>
    <x v="51"/>
    <d v="2023-01-14T00:00:00"/>
    <s v="Cash Rewards Visa Signature"/>
    <x v="3177"/>
    <n v="2903.18"/>
    <x v="32"/>
    <e v="#N/A"/>
    <s v="Exp - Shopping"/>
    <m/>
    <n v="2903.18"/>
    <m/>
    <m/>
    <s v="debit"/>
    <m/>
    <x v="2821"/>
    <m/>
    <m/>
  </r>
  <r>
    <x v="51"/>
    <d v="2023-01-14T00:00:00"/>
    <s v="Cash Rewards Visa Signature"/>
    <x v="3178"/>
    <n v="36.56"/>
    <x v="37"/>
    <e v="#N/A"/>
    <s v="Exp - Transportation"/>
    <m/>
    <n v="36.56"/>
    <m/>
    <m/>
    <s v="debit"/>
    <m/>
    <x v="2822"/>
    <m/>
    <m/>
  </r>
  <r>
    <x v="51"/>
    <d v="2023-01-14T00:00:00"/>
    <s v="Cash Rewards Visa Signature"/>
    <x v="3179"/>
    <n v="7.51"/>
    <x v="35"/>
    <e v="#N/A"/>
    <s v="Exp - Entertainment"/>
    <m/>
    <n v="7.51"/>
    <m/>
    <m/>
    <s v="debit"/>
    <m/>
    <x v="2823"/>
    <m/>
    <m/>
  </r>
  <r>
    <x v="51"/>
    <d v="2023-01-14T00:00:00"/>
    <s v="Cash Rewards Visa Signature"/>
    <x v="3180"/>
    <n v="57.85"/>
    <x v="39"/>
    <e v="#N/A"/>
    <s v="Exp - Restaurants"/>
    <m/>
    <n v="57.85"/>
    <m/>
    <m/>
    <s v="debit"/>
    <m/>
    <x v="2824"/>
    <m/>
    <m/>
  </r>
  <r>
    <x v="51"/>
    <d v="2023-01-14T00:00:00"/>
    <s v="Cash Rewards Visa Signature"/>
    <x v="3181"/>
    <n v="9.09"/>
    <x v="36"/>
    <e v="#N/A"/>
    <s v="Exp - House Maint"/>
    <m/>
    <n v="9.09"/>
    <m/>
    <m/>
    <s v="debit"/>
    <m/>
    <x v="2825"/>
    <m/>
    <m/>
  </r>
  <r>
    <x v="51"/>
    <d v="2023-01-14T00:00:00"/>
    <s v="DISCOVER MORE CARD"/>
    <x v="3182"/>
    <n v="184.59"/>
    <x v="38"/>
    <e v="#N/A"/>
    <s v="Exp - Groceries"/>
    <m/>
    <n v="184.59"/>
    <m/>
    <m/>
    <s v="debit"/>
    <m/>
    <x v="2826"/>
    <m/>
    <m/>
  </r>
  <r>
    <x v="51"/>
    <d v="2023-01-15T00:00:00"/>
    <s v="DISCOVER MORE CARD"/>
    <x v="3183"/>
    <n v="6.41"/>
    <x v="41"/>
    <e v="#N/A"/>
    <s v="Exp - Amazon"/>
    <m/>
    <n v="6.41"/>
    <m/>
    <m/>
    <s v="debit"/>
    <m/>
    <x v="2827"/>
    <m/>
    <m/>
  </r>
  <r>
    <x v="51"/>
    <d v="2023-01-15T00:00:00"/>
    <s v="Cash Rewards Visa Signature"/>
    <x v="3184"/>
    <n v="267.36"/>
    <x v="32"/>
    <e v="#N/A"/>
    <s v="Exp - Shopping"/>
    <m/>
    <n v="267.36"/>
    <m/>
    <m/>
    <s v="debit"/>
    <m/>
    <x v="2828"/>
    <m/>
    <m/>
  </r>
  <r>
    <x v="51"/>
    <d v="2023-01-15T00:00:00"/>
    <s v="Cash Rewards Visa Signature"/>
    <x v="3110"/>
    <n v="61.9"/>
    <x v="38"/>
    <e v="#N/A"/>
    <s v="Exp - Groceries"/>
    <m/>
    <n v="61.9"/>
    <m/>
    <m/>
    <s v="debit"/>
    <m/>
    <x v="2769"/>
    <m/>
    <m/>
  </r>
  <r>
    <x v="51"/>
    <d v="2023-01-15T00:00:00"/>
    <s v="Cash Rewards Visa Signature"/>
    <x v="3185"/>
    <n v="54"/>
    <x v="44"/>
    <e v="#N/A"/>
    <s v="Exp - Misc"/>
    <m/>
    <n v="54"/>
    <m/>
    <m/>
    <s v="debit"/>
    <m/>
    <x v="2829"/>
    <m/>
    <m/>
  </r>
  <r>
    <x v="51"/>
    <d v="2023-01-15T00:00:00"/>
    <s v="Cash Rewards Visa Signature"/>
    <x v="3186"/>
    <n v="7.3"/>
    <x v="36"/>
    <e v="#N/A"/>
    <s v="Exp - House Maint"/>
    <m/>
    <n v="7.3"/>
    <m/>
    <m/>
    <s v="debit"/>
    <m/>
    <x v="2830"/>
    <m/>
    <m/>
  </r>
  <r>
    <x v="51"/>
    <d v="2023-01-16T00:00:00"/>
    <s v="DISCOVER MORE CARD"/>
    <x v="3187"/>
    <n v="19.12"/>
    <x v="41"/>
    <e v="#N/A"/>
    <s v="Exp - Amazon"/>
    <m/>
    <n v="19.12"/>
    <m/>
    <m/>
    <s v="debit"/>
    <m/>
    <x v="2831"/>
    <m/>
    <m/>
  </r>
  <r>
    <x v="51"/>
    <d v="2023-01-16T00:00:00"/>
    <s v="Cash Rewards Visa Signature"/>
    <x v="3188"/>
    <n v="9"/>
    <x v="42"/>
    <e v="#N/A"/>
    <s v="Exp - Utilities"/>
    <m/>
    <n v="9"/>
    <m/>
    <m/>
    <s v="debit"/>
    <m/>
    <x v="2832"/>
    <m/>
    <m/>
  </r>
  <r>
    <x v="51"/>
    <d v="2023-01-16T00:00:00"/>
    <s v="Cash Rewards Visa Signature"/>
    <x v="3110"/>
    <n v="11.98"/>
    <x v="38"/>
    <e v="#N/A"/>
    <s v="Exp - Groceries"/>
    <m/>
    <n v="11.98"/>
    <m/>
    <m/>
    <s v="debit"/>
    <m/>
    <x v="2769"/>
    <m/>
    <m/>
  </r>
  <r>
    <x v="51"/>
    <d v="2023-01-16T00:00:00"/>
    <s v="Cash Rewards Visa Signature"/>
    <x v="3189"/>
    <n v="27.34"/>
    <x v="39"/>
    <e v="#N/A"/>
    <s v="Exp - Restaurants"/>
    <m/>
    <n v="27.34"/>
    <m/>
    <m/>
    <s v="debit"/>
    <m/>
    <x v="2833"/>
    <m/>
    <m/>
  </r>
  <r>
    <x v="51"/>
    <d v="2023-01-16T00:00:00"/>
    <s v="Cash Rewards Visa Signature"/>
    <x v="3190"/>
    <n v="129"/>
    <x v="32"/>
    <e v="#N/A"/>
    <s v="Exp - Shopping"/>
    <m/>
    <n v="129"/>
    <m/>
    <m/>
    <s v="debit"/>
    <m/>
    <x v="2834"/>
    <m/>
    <m/>
  </r>
  <r>
    <x v="51"/>
    <d v="2023-01-16T00:00:00"/>
    <s v="Cash Rewards Visa Signature"/>
    <x v="3191"/>
    <n v="8.99"/>
    <x v="39"/>
    <e v="#N/A"/>
    <s v="Exp - Restaurants"/>
    <m/>
    <n v="8.99"/>
    <m/>
    <m/>
    <s v="debit"/>
    <m/>
    <x v="2835"/>
    <m/>
    <m/>
  </r>
  <r>
    <x v="51"/>
    <d v="2023-01-16T00:00:00"/>
    <s v="POWERPLUS"/>
    <x v="2171"/>
    <n v="2402.6799999999998"/>
    <x v="3"/>
    <e v="#N/A"/>
    <s v="Delete"/>
    <m/>
    <n v="2402.6799999999998"/>
    <m/>
    <m/>
    <s v="debit"/>
    <m/>
    <x v="2021"/>
    <m/>
    <m/>
  </r>
  <r>
    <x v="51"/>
    <d v="2023-01-16T00:00:00"/>
    <s v="Cash Rewards Visa Signature"/>
    <x v="3123"/>
    <n v="-2402.6799999999998"/>
    <x v="3"/>
    <e v="#N/A"/>
    <s v="Delete"/>
    <m/>
    <n v="2402.6799999999998"/>
    <m/>
    <m/>
    <s v="credit"/>
    <m/>
    <x v="2778"/>
    <m/>
    <m/>
  </r>
  <r>
    <x v="51"/>
    <d v="2023-01-17T00:00:00"/>
    <s v="DISCOVER MORE CARD"/>
    <x v="3192"/>
    <n v="36.51"/>
    <x v="41"/>
    <e v="#N/A"/>
    <s v="Exp - Amazon"/>
    <m/>
    <n v="36.51"/>
    <m/>
    <m/>
    <s v="debit"/>
    <m/>
    <x v="2836"/>
    <m/>
    <m/>
  </r>
  <r>
    <x v="51"/>
    <d v="2023-01-17T00:00:00"/>
    <s v="DISCOVER MORE CARD"/>
    <x v="3193"/>
    <n v="40.79"/>
    <x v="41"/>
    <e v="#N/A"/>
    <s v="Exp - Amazon"/>
    <m/>
    <n v="40.79"/>
    <m/>
    <m/>
    <s v="debit"/>
    <m/>
    <x v="2837"/>
    <m/>
    <m/>
  </r>
  <r>
    <x v="51"/>
    <d v="2023-01-17T00:00:00"/>
    <s v="DISCOVER MORE CARD"/>
    <x v="3194"/>
    <n v="21.99"/>
    <x v="41"/>
    <e v="#N/A"/>
    <s v="Exp - Amazon"/>
    <m/>
    <n v="21.99"/>
    <m/>
    <m/>
    <s v="debit"/>
    <m/>
    <x v="2838"/>
    <m/>
    <m/>
  </r>
  <r>
    <x v="51"/>
    <d v="2023-01-17T00:00:00"/>
    <s v="DISCOVER MORE CARD"/>
    <x v="3195"/>
    <n v="33.29"/>
    <x v="41"/>
    <e v="#N/A"/>
    <s v="Exp - Amazon"/>
    <m/>
    <n v="33.29"/>
    <m/>
    <m/>
    <s v="debit"/>
    <m/>
    <x v="2839"/>
    <m/>
    <m/>
  </r>
  <r>
    <x v="51"/>
    <d v="2023-01-17T00:00:00"/>
    <s v="DISCOVER MORE CARD"/>
    <x v="1885"/>
    <n v="-14.84"/>
    <x v="55"/>
    <s v="Delete"/>
    <s v="Inc - Dividend"/>
    <m/>
    <n v="14.84"/>
    <m/>
    <m/>
    <s v="credit"/>
    <m/>
    <x v="1738"/>
    <m/>
    <m/>
  </r>
  <r>
    <x v="51"/>
    <d v="2023-01-17T00:00:00"/>
    <s v="DISCOVER MORE CARD"/>
    <x v="56"/>
    <n v="-572.97"/>
    <x v="3"/>
    <s v="Delete"/>
    <s v="Delete"/>
    <m/>
    <n v="572.97"/>
    <m/>
    <m/>
    <s v="credit"/>
    <m/>
    <x v="56"/>
    <m/>
    <m/>
  </r>
  <r>
    <x v="51"/>
    <d v="2023-01-17T00:00:00"/>
    <s v="POWERPLUS"/>
    <x v="3196"/>
    <n v="90.4"/>
    <x v="54"/>
    <e v="#N/A"/>
    <s v="Exp - Insurance"/>
    <m/>
    <n v="90.4"/>
    <m/>
    <m/>
    <s v="debit"/>
    <m/>
    <x v="2161"/>
    <m/>
    <m/>
  </r>
  <r>
    <x v="51"/>
    <d v="2023-01-17T00:00:00"/>
    <s v="POWERPLUS"/>
    <x v="3197"/>
    <n v="351.62"/>
    <x v="54"/>
    <e v="#N/A"/>
    <s v="Exp - Insurance"/>
    <m/>
    <n v="351.62"/>
    <m/>
    <m/>
    <s v="debit"/>
    <m/>
    <x v="2161"/>
    <m/>
    <m/>
  </r>
  <r>
    <x v="51"/>
    <d v="2023-01-18T00:00:00"/>
    <s v="Cash Rewards Visa Signature"/>
    <x v="3198"/>
    <n v="7.08"/>
    <x v="41"/>
    <e v="#N/A"/>
    <s v="Exp - Amazon"/>
    <m/>
    <n v="7.08"/>
    <m/>
    <m/>
    <s v="debit"/>
    <m/>
    <x v="2840"/>
    <m/>
    <m/>
  </r>
  <r>
    <x v="51"/>
    <d v="2023-01-18T00:00:00"/>
    <s v="DISCOVER MORE CARD"/>
    <x v="3199"/>
    <n v="21.46"/>
    <x v="41"/>
    <e v="#N/A"/>
    <s v="Exp - Amazon"/>
    <m/>
    <n v="21.46"/>
    <m/>
    <m/>
    <s v="debit"/>
    <m/>
    <x v="2841"/>
    <m/>
    <m/>
  </r>
  <r>
    <x v="51"/>
    <d v="2023-01-18T00:00:00"/>
    <s v="Cash Rewards Visa Signature"/>
    <x v="3200"/>
    <n v="149.97999999999999"/>
    <x v="32"/>
    <e v="#N/A"/>
    <s v="Exp - Shopping"/>
    <m/>
    <n v="149.97999999999999"/>
    <m/>
    <m/>
    <s v="debit"/>
    <m/>
    <x v="2842"/>
    <m/>
    <m/>
  </r>
  <r>
    <x v="51"/>
    <d v="2023-01-18T00:00:00"/>
    <s v="Cash Rewards Visa Signature"/>
    <x v="3146"/>
    <n v="156.06"/>
    <x v="46"/>
    <e v="#N/A"/>
    <s v="Exp - Healthcare"/>
    <m/>
    <n v="156.06"/>
    <m/>
    <m/>
    <s v="debit"/>
    <m/>
    <x v="2796"/>
    <m/>
    <m/>
  </r>
  <r>
    <x v="51"/>
    <d v="2023-01-18T00:00:00"/>
    <s v="POWERPLUS"/>
    <x v="3201"/>
    <n v="330"/>
    <x v="40"/>
    <e v="#N/A"/>
    <s v="Exp - Day Care"/>
    <m/>
    <n v="330"/>
    <m/>
    <m/>
    <s v="debit"/>
    <m/>
    <x v="2007"/>
    <m/>
    <m/>
  </r>
  <r>
    <x v="51"/>
    <d v="2023-01-18T00:00:00"/>
    <s v="POWERPLUS"/>
    <x v="3202"/>
    <n v="200"/>
    <x v="40"/>
    <e v="#N/A"/>
    <s v="Exp - Day Care"/>
    <m/>
    <n v="200"/>
    <m/>
    <m/>
    <s v="debit"/>
    <m/>
    <x v="2174"/>
    <m/>
    <m/>
  </r>
  <r>
    <x v="51"/>
    <d v="2023-01-18T00:00:00"/>
    <s v="POWERPLUS"/>
    <x v="3203"/>
    <n v="572.97"/>
    <x v="3"/>
    <e v="#N/A"/>
    <s v="Delete"/>
    <m/>
    <n v="572.97"/>
    <m/>
    <m/>
    <s v="debit"/>
    <m/>
    <x v="2059"/>
    <m/>
    <m/>
  </r>
  <r>
    <x v="51"/>
    <d v="2023-01-19T00:00:00"/>
    <s v="Cash Rewards Visa Signature"/>
    <x v="3204"/>
    <n v="22.53"/>
    <x v="41"/>
    <e v="#N/A"/>
    <s v="Exp - Amazon"/>
    <m/>
    <n v="22.53"/>
    <m/>
    <m/>
    <s v="debit"/>
    <m/>
    <x v="2843"/>
    <m/>
    <m/>
  </r>
  <r>
    <x v="51"/>
    <d v="2023-01-19T00:00:00"/>
    <s v="DISCOVER MORE CARD"/>
    <x v="3154"/>
    <n v="67.27"/>
    <x v="38"/>
    <e v="#N/A"/>
    <s v="Exp - Groceries"/>
    <m/>
    <n v="67.27"/>
    <m/>
    <m/>
    <s v="debit"/>
    <m/>
    <x v="2802"/>
    <m/>
    <m/>
  </r>
  <r>
    <x v="51"/>
    <d v="2023-01-19T00:00:00"/>
    <s v="POWERPLUS"/>
    <x v="3205"/>
    <n v="-2453.2199999999998"/>
    <x v="14"/>
    <e v="#N/A"/>
    <s v="Inc - Britney"/>
    <m/>
    <n v="2453.2199999999998"/>
    <m/>
    <m/>
    <s v="credit"/>
    <m/>
    <x v="2014"/>
    <m/>
    <m/>
  </r>
  <r>
    <x v="51"/>
    <d v="2023-01-20T00:00:00"/>
    <s v="Cash Rewards Visa Signature"/>
    <x v="3206"/>
    <n v="149.97999999999999"/>
    <x v="32"/>
    <e v="#N/A"/>
    <s v="Exp - Shopping"/>
    <m/>
    <n v="149.97999999999999"/>
    <m/>
    <m/>
    <s v="debit"/>
    <m/>
    <x v="2844"/>
    <m/>
    <m/>
  </r>
  <r>
    <x v="51"/>
    <d v="2023-01-20T00:00:00"/>
    <s v="Cash Rewards Visa Signature"/>
    <x v="3207"/>
    <n v="53"/>
    <x v="32"/>
    <e v="#N/A"/>
    <s v="Exp - Shopping"/>
    <m/>
    <n v="53"/>
    <m/>
    <m/>
    <s v="debit"/>
    <m/>
    <x v="2845"/>
    <m/>
    <m/>
  </r>
  <r>
    <x v="51"/>
    <d v="2023-01-20T00:00:00"/>
    <s v="Cash Rewards Visa Signature"/>
    <x v="3208"/>
    <n v="36.159999999999997"/>
    <x v="39"/>
    <e v="#N/A"/>
    <s v="Exp - Restaurants"/>
    <m/>
    <n v="36.159999999999997"/>
    <m/>
    <m/>
    <s v="debit"/>
    <m/>
    <x v="2846"/>
    <m/>
    <m/>
  </r>
  <r>
    <x v="51"/>
    <d v="2023-01-20T00:00:00"/>
    <s v="Cash Rewards Visa Signature"/>
    <x v="3209"/>
    <n v="56.94"/>
    <x v="32"/>
    <e v="#N/A"/>
    <s v="Exp - Shopping"/>
    <m/>
    <n v="56.94"/>
    <m/>
    <m/>
    <s v="debit"/>
    <m/>
    <x v="2847"/>
    <m/>
    <m/>
  </r>
  <r>
    <x v="51"/>
    <d v="2023-01-20T00:00:00"/>
    <s v="POWERPLUS"/>
    <x v="2171"/>
    <n v="3557.43"/>
    <x v="3"/>
    <e v="#N/A"/>
    <s v="Delete"/>
    <m/>
    <n v="3557.43"/>
    <m/>
    <m/>
    <s v="debit"/>
    <m/>
    <x v="2021"/>
    <m/>
    <m/>
  </r>
  <r>
    <x v="51"/>
    <d v="2023-01-20T00:00:00"/>
    <s v="Cash Rewards Visa Signature"/>
    <x v="3210"/>
    <n v="3557.43"/>
    <x v="3"/>
    <e v="#N/A"/>
    <s v="Delete"/>
    <m/>
    <n v="3557.43"/>
    <m/>
    <m/>
    <s v="debit"/>
    <m/>
    <x v="2848"/>
    <m/>
    <m/>
  </r>
  <r>
    <x v="51"/>
    <d v="2023-01-20T00:00:00"/>
    <s v="POWERPLUS"/>
    <x v="3211"/>
    <n v="125"/>
    <x v="32"/>
    <e v="#N/A"/>
    <s v="Exp - Shopping"/>
    <m/>
    <n v="125"/>
    <m/>
    <m/>
    <s v="debit"/>
    <m/>
    <x v="2053"/>
    <m/>
    <m/>
  </r>
  <r>
    <x v="51"/>
    <d v="2023-01-22T00:00:00"/>
    <s v="Cash Rewards Visa Signature"/>
    <x v="3212"/>
    <n v="11"/>
    <x v="36"/>
    <e v="#N/A"/>
    <s v="Exp - House Maint"/>
    <m/>
    <n v="11"/>
    <m/>
    <m/>
    <s v="debit"/>
    <m/>
    <x v="2849"/>
    <m/>
    <m/>
  </r>
  <r>
    <x v="51"/>
    <d v="2023-01-22T00:00:00"/>
    <s v="Cash Rewards Visa Signature"/>
    <x v="3213"/>
    <n v="8"/>
    <x v="42"/>
    <e v="#N/A"/>
    <s v="Exp - Utilities"/>
    <m/>
    <n v="8"/>
    <m/>
    <m/>
    <s v="debit"/>
    <m/>
    <x v="2850"/>
    <m/>
    <m/>
  </r>
  <r>
    <x v="51"/>
    <d v="2023-01-22T00:00:00"/>
    <s v="Cash Rewards Visa Signature"/>
    <x v="3214"/>
    <n v="43.68"/>
    <x v="37"/>
    <e v="#N/A"/>
    <s v="Exp - Transportation"/>
    <m/>
    <n v="43.68"/>
    <m/>
    <m/>
    <s v="debit"/>
    <m/>
    <x v="2851"/>
    <m/>
    <m/>
  </r>
  <r>
    <x v="51"/>
    <d v="2023-01-22T00:00:00"/>
    <s v="Cash Rewards Visa Signature"/>
    <x v="3215"/>
    <n v="71.790000000000006"/>
    <x v="39"/>
    <e v="#N/A"/>
    <s v="Exp - Restaurants"/>
    <m/>
    <n v="71.790000000000006"/>
    <m/>
    <m/>
    <s v="debit"/>
    <m/>
    <x v="2852"/>
    <m/>
    <m/>
  </r>
  <r>
    <x v="51"/>
    <d v="2023-01-22T00:00:00"/>
    <s v="Cash Rewards Visa Signature"/>
    <x v="3216"/>
    <n v="16.73"/>
    <x v="42"/>
    <e v="#N/A"/>
    <s v="Exp - Utilities"/>
    <m/>
    <n v="16.73"/>
    <m/>
    <m/>
    <s v="debit"/>
    <m/>
    <x v="2853"/>
    <m/>
    <m/>
  </r>
  <r>
    <x v="51"/>
    <d v="2023-01-22T00:00:00"/>
    <s v="Cash Rewards Visa Signature"/>
    <x v="3217"/>
    <n v="-156.06"/>
    <x v="46"/>
    <e v="#N/A"/>
    <s v="Exp - Healthcare"/>
    <m/>
    <n v="156.06"/>
    <m/>
    <m/>
    <s v="credit"/>
    <m/>
    <x v="2854"/>
    <m/>
    <m/>
  </r>
  <r>
    <x v="51"/>
    <d v="2023-01-23T00:00:00"/>
    <s v="Cash Rewards Visa Signature"/>
    <x v="3218"/>
    <n v="40.79"/>
    <x v="39"/>
    <e v="#N/A"/>
    <s v="Exp - Restaurants"/>
    <m/>
    <n v="40.79"/>
    <m/>
    <m/>
    <s v="debit"/>
    <m/>
    <x v="2855"/>
    <m/>
    <m/>
  </r>
  <r>
    <x v="51"/>
    <d v="2023-01-23T00:00:00"/>
    <s v="POWERPLUS"/>
    <x v="3219"/>
    <n v="55.5"/>
    <x v="42"/>
    <e v="#N/A"/>
    <s v="Exp - Utilities"/>
    <m/>
    <n v="55.5"/>
    <m/>
    <m/>
    <s v="debit"/>
    <m/>
    <x v="2020"/>
    <m/>
    <m/>
  </r>
  <r>
    <x v="51"/>
    <d v="2023-01-23T00:00:00"/>
    <s v="POWERPLUS"/>
    <x v="3220"/>
    <n v="165"/>
    <x v="32"/>
    <e v="#N/A"/>
    <s v="Exp - Shopping"/>
    <m/>
    <n v="165"/>
    <m/>
    <m/>
    <s v="debit"/>
    <m/>
    <x v="2053"/>
    <m/>
    <m/>
  </r>
  <r>
    <x v="51"/>
    <d v="2023-01-24T00:00:00"/>
    <s v="Cash Rewards Visa Signature"/>
    <x v="3221"/>
    <n v="52.49"/>
    <x v="35"/>
    <e v="#N/A"/>
    <s v="Exp - Entertainment"/>
    <m/>
    <n v="52.49"/>
    <m/>
    <m/>
    <s v="debit"/>
    <m/>
    <x v="2856"/>
    <m/>
    <m/>
  </r>
  <r>
    <x v="51"/>
    <d v="2023-01-24T00:00:00"/>
    <s v="Cash Rewards Visa Signature"/>
    <x v="3222"/>
    <n v="1.99"/>
    <x v="40"/>
    <e v="#N/A"/>
    <s v="Exp - Day Care"/>
    <m/>
    <n v="1.99"/>
    <m/>
    <m/>
    <s v="debit"/>
    <m/>
    <x v="2857"/>
    <m/>
    <m/>
  </r>
  <r>
    <x v="51"/>
    <d v="2023-01-24T00:00:00"/>
    <s v="Cash Rewards Visa Signature"/>
    <x v="3223"/>
    <n v="210"/>
    <x v="40"/>
    <e v="#N/A"/>
    <s v="Exp - Day Care"/>
    <m/>
    <n v="210"/>
    <m/>
    <m/>
    <s v="debit"/>
    <m/>
    <x v="2858"/>
    <m/>
    <m/>
  </r>
  <r>
    <x v="51"/>
    <d v="2023-01-24T00:00:00"/>
    <s v="POWERPLUS"/>
    <x v="3224"/>
    <n v="330"/>
    <x v="40"/>
    <e v="#N/A"/>
    <s v="Exp - Day Care"/>
    <m/>
    <n v="330"/>
    <m/>
    <m/>
    <s v="debit"/>
    <m/>
    <x v="2007"/>
    <m/>
    <m/>
  </r>
  <r>
    <x v="51"/>
    <d v="2023-01-25T00:00:00"/>
    <s v="DISCOVER MORE CARD"/>
    <x v="3225"/>
    <n v="-21.99"/>
    <x v="41"/>
    <e v="#N/A"/>
    <s v="Exp - Amazon"/>
    <m/>
    <n v="21.99"/>
    <m/>
    <m/>
    <s v="credit"/>
    <m/>
    <x v="2859"/>
    <m/>
    <m/>
  </r>
  <r>
    <x v="51"/>
    <d v="2023-01-25T00:00:00"/>
    <s v="DISCOVER MORE CARD"/>
    <x v="3226"/>
    <n v="21.99"/>
    <x v="41"/>
    <e v="#N/A"/>
    <s v="Exp - Amazon"/>
    <m/>
    <n v="21.99"/>
    <m/>
    <m/>
    <s v="debit"/>
    <m/>
    <x v="2860"/>
    <m/>
    <m/>
  </r>
  <r>
    <x v="51"/>
    <d v="2023-01-25T00:00:00"/>
    <s v="DISCOVER MORE CARD"/>
    <x v="3227"/>
    <n v="13.95"/>
    <x v="41"/>
    <e v="#N/A"/>
    <s v="Exp - Amazon"/>
    <m/>
    <n v="13.95"/>
    <m/>
    <m/>
    <s v="debit"/>
    <m/>
    <x v="2861"/>
    <m/>
    <m/>
  </r>
  <r>
    <x v="51"/>
    <d v="2023-01-25T00:00:00"/>
    <s v="DISCOVER MORE CARD"/>
    <x v="3228"/>
    <n v="183.05"/>
    <x v="41"/>
    <e v="#N/A"/>
    <s v="Exp - Amazon"/>
    <m/>
    <n v="183.05"/>
    <m/>
    <m/>
    <s v="debit"/>
    <m/>
    <x v="2862"/>
    <m/>
    <m/>
  </r>
  <r>
    <x v="51"/>
    <d v="2023-01-25T00:00:00"/>
    <s v="DISCOVER MORE CARD"/>
    <x v="3229"/>
    <n v="24.43"/>
    <x v="39"/>
    <e v="#N/A"/>
    <s v="Exp - Restaurants"/>
    <m/>
    <n v="24.43"/>
    <m/>
    <m/>
    <s v="debit"/>
    <m/>
    <x v="2863"/>
    <m/>
    <m/>
  </r>
  <r>
    <x v="51"/>
    <d v="2023-01-25T00:00:00"/>
    <s v="POWERPLUS"/>
    <x v="3230"/>
    <n v="36.5"/>
    <x v="32"/>
    <e v="#N/A"/>
    <s v="Exp - Shopping"/>
    <m/>
    <n v="36.5"/>
    <m/>
    <m/>
    <s v="debit"/>
    <m/>
    <x v="2045"/>
    <m/>
    <m/>
  </r>
  <r>
    <x v="51"/>
    <d v="2023-01-25T00:00:00"/>
    <s v="POWERPLUS"/>
    <x v="3231"/>
    <n v="1310.3499999999999"/>
    <x v="45"/>
    <e v="#N/A"/>
    <s v="Exp - Target"/>
    <m/>
    <n v="1310.3499999999999"/>
    <m/>
    <m/>
    <s v="debit"/>
    <m/>
    <x v="2040"/>
    <m/>
    <m/>
  </r>
  <r>
    <x v="51"/>
    <d v="2023-01-26T00:00:00"/>
    <s v="Cash Rewards Visa Signature"/>
    <x v="3232"/>
    <n v="-9.65"/>
    <x v="41"/>
    <e v="#N/A"/>
    <s v="Exp - Amazon"/>
    <m/>
    <n v="9.65"/>
    <m/>
    <m/>
    <s v="credit"/>
    <m/>
    <x v="2864"/>
    <m/>
    <m/>
  </r>
  <r>
    <x v="51"/>
    <d v="2023-01-26T00:00:00"/>
    <s v="Cash Rewards Visa Signature"/>
    <x v="3233"/>
    <n v="-22.53"/>
    <x v="41"/>
    <e v="#N/A"/>
    <s v="Exp - Amazon"/>
    <m/>
    <n v="22.53"/>
    <m/>
    <m/>
    <s v="credit"/>
    <m/>
    <x v="2865"/>
    <m/>
    <m/>
  </r>
  <r>
    <x v="51"/>
    <d v="2023-01-26T00:00:00"/>
    <s v="DISCOVER MORE CARD"/>
    <x v="3234"/>
    <n v="103.41"/>
    <x v="41"/>
    <e v="#N/A"/>
    <s v="Exp - Amazon"/>
    <m/>
    <n v="103.41"/>
    <m/>
    <m/>
    <s v="debit"/>
    <m/>
    <x v="2866"/>
    <m/>
    <m/>
  </r>
  <r>
    <x v="51"/>
    <d v="2023-01-26T00:00:00"/>
    <s v="Cash Rewards Visa Signature"/>
    <x v="3235"/>
    <n v="45.23"/>
    <x v="39"/>
    <e v="#N/A"/>
    <s v="Exp - Restaurants"/>
    <m/>
    <n v="45.23"/>
    <m/>
    <m/>
    <s v="debit"/>
    <m/>
    <x v="2867"/>
    <m/>
    <m/>
  </r>
  <r>
    <x v="51"/>
    <d v="2023-01-26T00:00:00"/>
    <s v="DISCOVER MORE CARD"/>
    <x v="3236"/>
    <n v="5.1100000000000003"/>
    <x v="39"/>
    <e v="#N/A"/>
    <s v="Exp - Restaurants"/>
    <m/>
    <n v="5.1100000000000003"/>
    <m/>
    <m/>
    <s v="debit"/>
    <m/>
    <x v="2868"/>
    <m/>
    <m/>
  </r>
  <r>
    <x v="51"/>
    <d v="2023-01-26T00:00:00"/>
    <s v="Cash Rewards Visa Signature"/>
    <x v="3237"/>
    <n v="5.25"/>
    <x v="39"/>
    <e v="#N/A"/>
    <s v="Exp - Restaurants"/>
    <m/>
    <n v="5.25"/>
    <m/>
    <m/>
    <s v="debit"/>
    <m/>
    <x v="2869"/>
    <m/>
    <m/>
  </r>
  <r>
    <x v="51"/>
    <d v="2023-01-26T00:00:00"/>
    <s v="POWERPLUS"/>
    <x v="3238"/>
    <n v="500"/>
    <x v="3"/>
    <e v="#N/A"/>
    <s v="Delete"/>
    <m/>
    <n v="500"/>
    <m/>
    <m/>
    <s v="debit"/>
    <m/>
    <x v="2870"/>
    <m/>
    <m/>
  </r>
  <r>
    <x v="51"/>
    <d v="2023-01-27T00:00:00"/>
    <s v="DISCOVER MORE CARD"/>
    <x v="3239"/>
    <n v="6.97"/>
    <x v="41"/>
    <e v="#N/A"/>
    <s v="Exp - Amazon"/>
    <m/>
    <n v="6.97"/>
    <m/>
    <m/>
    <s v="debit"/>
    <m/>
    <x v="2871"/>
    <m/>
    <m/>
  </r>
  <r>
    <x v="51"/>
    <d v="2023-01-27T00:00:00"/>
    <s v="Cash Rewards Visa Signature"/>
    <x v="3240"/>
    <n v="49.88"/>
    <x v="37"/>
    <e v="#N/A"/>
    <s v="Exp - Transportation"/>
    <m/>
    <n v="49.88"/>
    <m/>
    <m/>
    <s v="debit"/>
    <m/>
    <x v="2872"/>
    <m/>
    <m/>
  </r>
  <r>
    <x v="51"/>
    <d v="2023-01-27T00:00:00"/>
    <s v="Cash Rewards Visa Signature"/>
    <x v="3241"/>
    <n v="9.42"/>
    <x v="39"/>
    <e v="#N/A"/>
    <s v="Exp - Restaurants"/>
    <m/>
    <n v="9.42"/>
    <m/>
    <m/>
    <s v="debit"/>
    <m/>
    <x v="2873"/>
    <m/>
    <m/>
  </r>
  <r>
    <x v="51"/>
    <d v="2023-01-28T00:00:00"/>
    <s v="DISCOVER MORE CARD"/>
    <x v="3242"/>
    <n v="19.32"/>
    <x v="41"/>
    <e v="#N/A"/>
    <s v="Exp - Amazon"/>
    <m/>
    <n v="19.32"/>
    <m/>
    <m/>
    <s v="debit"/>
    <m/>
    <x v="2874"/>
    <m/>
    <m/>
  </r>
  <r>
    <x v="51"/>
    <d v="2023-01-28T00:00:00"/>
    <s v="DISCOVER MORE CARD"/>
    <x v="1885"/>
    <n v="-35.299999999999997"/>
    <x v="23"/>
    <s v="Delete"/>
    <m/>
    <m/>
    <n v="35.299999999999997"/>
    <m/>
    <m/>
    <s v="credit"/>
    <m/>
    <x v="1738"/>
    <m/>
    <m/>
  </r>
  <r>
    <x v="51"/>
    <d v="2023-01-28T00:00:00"/>
    <s v="DISCOVER MORE CARD"/>
    <x v="3243"/>
    <n v="43.17"/>
    <x v="38"/>
    <e v="#N/A"/>
    <s v="Exp - Groceries"/>
    <m/>
    <n v="43.17"/>
    <m/>
    <m/>
    <s v="debit"/>
    <m/>
    <x v="2875"/>
    <m/>
    <m/>
  </r>
  <r>
    <x v="51"/>
    <d v="2023-01-28T00:00:00"/>
    <s v="DISCOVER MORE CARD"/>
    <x v="56"/>
    <n v="-535.08000000000004"/>
    <x v="3"/>
    <s v="Delete"/>
    <s v="Delete"/>
    <m/>
    <n v="535.08000000000004"/>
    <m/>
    <m/>
    <s v="credit"/>
    <m/>
    <x v="56"/>
    <m/>
    <m/>
  </r>
  <r>
    <x v="51"/>
    <d v="2023-01-29T00:00:00"/>
    <s v="POWERPLUS"/>
    <x v="3244"/>
    <n v="-2922.8"/>
    <x v="15"/>
    <e v="#N/A"/>
    <s v="Inc - Jeff"/>
    <m/>
    <n v="2922.8"/>
    <m/>
    <m/>
    <s v="credit"/>
    <m/>
    <x v="2139"/>
    <m/>
    <m/>
  </r>
  <r>
    <x v="51"/>
    <d v="2023-01-29T00:00:00"/>
    <s v="Cash Rewards Visa Signature"/>
    <x v="3245"/>
    <n v="27.43"/>
    <x v="39"/>
    <e v="#N/A"/>
    <s v="Exp - Restaurants"/>
    <m/>
    <n v="27.43"/>
    <m/>
    <m/>
    <s v="debit"/>
    <m/>
    <x v="2876"/>
    <m/>
    <m/>
  </r>
  <r>
    <x v="51"/>
    <d v="2023-01-29T00:00:00"/>
    <s v="Cash Rewards Visa Signature"/>
    <x v="3246"/>
    <n v="82.68"/>
    <x v="39"/>
    <e v="#N/A"/>
    <s v="Exp - Restaurants"/>
    <m/>
    <n v="82.68"/>
    <m/>
    <m/>
    <s v="debit"/>
    <m/>
    <x v="2877"/>
    <m/>
    <m/>
  </r>
  <r>
    <x v="51"/>
    <d v="2023-01-30T00:00:00"/>
    <s v="DISCOVER MORE CARD"/>
    <x v="3247"/>
    <n v="24.64"/>
    <x v="41"/>
    <e v="#N/A"/>
    <s v="Exp - Amazon"/>
    <m/>
    <n v="24.64"/>
    <m/>
    <m/>
    <s v="debit"/>
    <m/>
    <x v="2878"/>
    <m/>
    <m/>
  </r>
  <r>
    <x v="51"/>
    <d v="2023-01-30T00:00:00"/>
    <s v="DISCOVER MORE CARD"/>
    <x v="3248"/>
    <n v="6.58"/>
    <x v="41"/>
    <e v="#N/A"/>
    <s v="Exp - Amazon"/>
    <m/>
    <n v="6.58"/>
    <m/>
    <m/>
    <s v="debit"/>
    <m/>
    <x v="2879"/>
    <m/>
    <m/>
  </r>
  <r>
    <x v="51"/>
    <d v="2023-01-30T00:00:00"/>
    <s v="DISCOVER MORE CARD"/>
    <x v="3249"/>
    <n v="18.64"/>
    <x v="41"/>
    <e v="#N/A"/>
    <s v="Exp - Amazon"/>
    <m/>
    <n v="18.64"/>
    <m/>
    <m/>
    <s v="debit"/>
    <m/>
    <x v="2880"/>
    <m/>
    <m/>
  </r>
  <r>
    <x v="51"/>
    <d v="2023-01-30T00:00:00"/>
    <s v="Cash Rewards Visa Signature"/>
    <x v="3250"/>
    <n v="58.5"/>
    <x v="32"/>
    <e v="#N/A"/>
    <s v="Exp - Shopping"/>
    <m/>
    <n v="58.5"/>
    <m/>
    <m/>
    <s v="debit"/>
    <m/>
    <x v="2881"/>
    <m/>
    <m/>
  </r>
  <r>
    <x v="51"/>
    <d v="2023-01-30T00:00:00"/>
    <s v="Cash Rewards Visa Signature"/>
    <x v="3251"/>
    <n v="24.31"/>
    <x v="32"/>
    <e v="#N/A"/>
    <s v="Exp - Shopping"/>
    <m/>
    <n v="24.31"/>
    <m/>
    <m/>
    <s v="debit"/>
    <m/>
    <x v="2882"/>
    <m/>
    <m/>
  </r>
  <r>
    <x v="51"/>
    <d v="2023-01-30T00:00:00"/>
    <s v="Cash Rewards Visa Signature"/>
    <x v="3252"/>
    <n v="150"/>
    <x v="40"/>
    <e v="#N/A"/>
    <s v="Exp - Day Care"/>
    <m/>
    <n v="150"/>
    <m/>
    <m/>
    <s v="debit"/>
    <m/>
    <x v="2883"/>
    <m/>
    <m/>
  </r>
  <r>
    <x v="51"/>
    <d v="2023-01-30T00:00:00"/>
    <s v="Cash Rewards Visa Signature"/>
    <x v="3253"/>
    <n v="27.09"/>
    <x v="39"/>
    <e v="#N/A"/>
    <s v="Exp - Restaurants"/>
    <m/>
    <n v="27.09"/>
    <m/>
    <m/>
    <s v="debit"/>
    <m/>
    <x v="2884"/>
    <m/>
    <m/>
  </r>
  <r>
    <x v="51"/>
    <d v="2023-01-30T00:00:00"/>
    <s v="POWERPLUS"/>
    <x v="3254"/>
    <n v="0.99"/>
    <x v="32"/>
    <e v="#N/A"/>
    <s v="Exp - Shopping"/>
    <m/>
    <n v="0.99"/>
    <m/>
    <m/>
    <s v="debit"/>
    <m/>
    <x v="2045"/>
    <m/>
    <m/>
  </r>
  <r>
    <x v="51"/>
    <d v="2023-01-30T00:00:00"/>
    <s v="POWERPLUS"/>
    <x v="3255"/>
    <n v="0.99"/>
    <x v="32"/>
    <e v="#N/A"/>
    <s v="Exp - Shopping"/>
    <m/>
    <n v="0.99"/>
    <m/>
    <m/>
    <s v="debit"/>
    <m/>
    <x v="2045"/>
    <m/>
    <m/>
  </r>
  <r>
    <x v="51"/>
    <d v="2023-01-30T00:00:00"/>
    <s v="POWERPLUS"/>
    <x v="3256"/>
    <n v="535.08000000000004"/>
    <x v="3"/>
    <e v="#N/A"/>
    <s v="Delete"/>
    <m/>
    <n v="535.08000000000004"/>
    <m/>
    <m/>
    <s v="debit"/>
    <m/>
    <x v="2059"/>
    <m/>
    <m/>
  </r>
  <r>
    <x v="51"/>
    <d v="2023-01-31T00:00:00"/>
    <s v="DISCOVER MORE CARD"/>
    <x v="3257"/>
    <n v="-31.01"/>
    <x v="41"/>
    <e v="#N/A"/>
    <s v="Exp - Amazon"/>
    <m/>
    <n v="31.01"/>
    <m/>
    <m/>
    <s v="credit"/>
    <m/>
    <x v="2885"/>
    <m/>
    <m/>
  </r>
  <r>
    <x v="51"/>
    <d v="2023-01-31T00:00:00"/>
    <s v="DISCOVER MORE CARD"/>
    <x v="3258"/>
    <n v="-25.99"/>
    <x v="41"/>
    <e v="#N/A"/>
    <s v="Exp - Amazon"/>
    <m/>
    <n v="25.99"/>
    <m/>
    <m/>
    <s v="credit"/>
    <m/>
    <x v="2886"/>
    <m/>
    <m/>
  </r>
  <r>
    <x v="51"/>
    <d v="2023-01-31T00:00:00"/>
    <s v="DISCOVER MORE CARD"/>
    <x v="3259"/>
    <n v="-13.95"/>
    <x v="41"/>
    <e v="#N/A"/>
    <s v="Exp - Amazon"/>
    <m/>
    <n v="13.95"/>
    <m/>
    <m/>
    <s v="credit"/>
    <m/>
    <x v="2887"/>
    <m/>
    <m/>
  </r>
  <r>
    <x v="51"/>
    <d v="2023-01-31T00:00:00"/>
    <s v="DISCOVER MORE CARD"/>
    <x v="3260"/>
    <n v="1.46"/>
    <x v="41"/>
    <e v="#N/A"/>
    <s v="Exp - Amazon"/>
    <m/>
    <n v="1.46"/>
    <m/>
    <m/>
    <s v="debit"/>
    <m/>
    <x v="2888"/>
    <m/>
    <m/>
  </r>
  <r>
    <x v="51"/>
    <d v="2023-01-31T00:00:00"/>
    <s v="DISCOVER MORE CARD"/>
    <x v="3261"/>
    <n v="12.87"/>
    <x v="41"/>
    <e v="#N/A"/>
    <s v="Exp - Amazon"/>
    <m/>
    <n v="12.87"/>
    <m/>
    <m/>
    <s v="debit"/>
    <m/>
    <x v="2889"/>
    <m/>
    <m/>
  </r>
  <r>
    <x v="51"/>
    <d v="2023-01-31T00:00:00"/>
    <s v="DISCOVER MORE CARD"/>
    <x v="3262"/>
    <n v="24.69"/>
    <x v="41"/>
    <e v="#N/A"/>
    <s v="Exp - Amazon"/>
    <m/>
    <n v="24.69"/>
    <m/>
    <m/>
    <s v="debit"/>
    <m/>
    <x v="2890"/>
    <m/>
    <m/>
  </r>
  <r>
    <x v="51"/>
    <d v="2023-01-31T00:00:00"/>
    <s v="DISCOVER MORE CARD"/>
    <x v="3263"/>
    <n v="51.14"/>
    <x v="41"/>
    <e v="#N/A"/>
    <s v="Exp - Amazon"/>
    <m/>
    <n v="51.14"/>
    <m/>
    <m/>
    <s v="debit"/>
    <m/>
    <x v="2891"/>
    <m/>
    <m/>
  </r>
  <r>
    <x v="51"/>
    <d v="2023-01-31T00:00:00"/>
    <s v="POWERPLUS"/>
    <x v="3264"/>
    <n v="-4076.82"/>
    <x v="3"/>
    <e v="#N/A"/>
    <s v="Delete"/>
    <m/>
    <n v="4076.82"/>
    <m/>
    <m/>
    <s v="credit"/>
    <m/>
    <x v="2055"/>
    <m/>
    <m/>
  </r>
  <r>
    <x v="51"/>
    <d v="2023-01-31T00:00:00"/>
    <s v="RAINY DAY"/>
    <x v="3265"/>
    <n v="-0.01"/>
    <x v="3"/>
    <e v="#N/A"/>
    <s v="Delete"/>
    <m/>
    <n v="0.01"/>
    <m/>
    <m/>
    <s v="credit"/>
    <m/>
    <x v="2892"/>
    <m/>
    <m/>
  </r>
  <r>
    <x v="51"/>
    <d v="2023-01-31T00:00:00"/>
    <s v="POWERPLUS"/>
    <x v="3266"/>
    <n v="-50.23"/>
    <x v="3"/>
    <e v="#N/A"/>
    <s v="Delete"/>
    <m/>
    <n v="50.23"/>
    <m/>
    <m/>
    <s v="credit"/>
    <m/>
    <x v="2893"/>
    <m/>
    <m/>
  </r>
  <r>
    <x v="51"/>
    <d v="2023-01-31T00:00:00"/>
    <s v="Cash Rewards Visa Signature"/>
    <x v="3267"/>
    <n v="3.43"/>
    <x v="39"/>
    <e v="#N/A"/>
    <s v="Exp - Restaurants"/>
    <m/>
    <n v="3.43"/>
    <m/>
    <m/>
    <s v="debit"/>
    <m/>
    <x v="2894"/>
    <m/>
    <m/>
  </r>
  <r>
    <x v="51"/>
    <d v="2023-01-31T00:00:00"/>
    <s v="Cash Rewards Visa Signature"/>
    <x v="3268"/>
    <n v="41"/>
    <x v="39"/>
    <e v="#N/A"/>
    <s v="Exp - Restaurants"/>
    <m/>
    <n v="41"/>
    <m/>
    <m/>
    <s v="debit"/>
    <m/>
    <x v="2895"/>
    <m/>
    <m/>
  </r>
  <r>
    <x v="51"/>
    <d v="2023-01-31T00:00:00"/>
    <s v="Cash Rewards Visa Signature"/>
    <x v="3269"/>
    <n v="28.38"/>
    <x v="3"/>
    <e v="#N/A"/>
    <s v="Delete"/>
    <m/>
    <n v="28.38"/>
    <m/>
    <m/>
    <s v="debit"/>
    <m/>
    <x v="2896"/>
    <m/>
    <m/>
  </r>
  <r>
    <x v="51"/>
    <d v="2023-01-31T00:00:00"/>
    <s v="Cash Rewards Visa Signature"/>
    <x v="3270"/>
    <n v="258.11"/>
    <x v="32"/>
    <e v="#N/A"/>
    <s v="Exp - Shopping"/>
    <m/>
    <n v="258.11"/>
    <m/>
    <m/>
    <s v="debit"/>
    <m/>
    <x v="2897"/>
    <m/>
    <m/>
  </r>
  <r>
    <x v="51"/>
    <d v="2023-01-31T00:00:00"/>
    <s v="Cash Rewards Visa Signature"/>
    <x v="3271"/>
    <n v="14.21"/>
    <x v="37"/>
    <e v="#N/A"/>
    <s v="Exp - Transportation"/>
    <m/>
    <n v="14.21"/>
    <m/>
    <m/>
    <s v="debit"/>
    <m/>
    <x v="2898"/>
    <m/>
    <m/>
  </r>
  <r>
    <x v="52"/>
    <d v="2023-02-01T00:00:00"/>
    <s v="DISCOVER MORE CARD"/>
    <x v="3272"/>
    <n v="5.36"/>
    <x v="41"/>
    <e v="#N/A"/>
    <s v="Exp - Amazon"/>
    <m/>
    <n v="5.36"/>
    <m/>
    <m/>
    <s v="debit"/>
    <m/>
    <x v="2899"/>
    <m/>
    <m/>
  </r>
  <r>
    <x v="52"/>
    <d v="2023-02-01T00:00:00"/>
    <s v="DISCOVER MORE CARD"/>
    <x v="3273"/>
    <n v="-20.86"/>
    <x v="41"/>
    <e v="#N/A"/>
    <s v="Exp - Amazon"/>
    <m/>
    <n v="20.86"/>
    <m/>
    <m/>
    <s v="credit"/>
    <m/>
    <x v="2900"/>
    <m/>
    <m/>
  </r>
  <r>
    <x v="52"/>
    <d v="2023-02-01T00:00:00"/>
    <s v="DISCOVER MORE CARD"/>
    <x v="3274"/>
    <n v="-25.99"/>
    <x v="41"/>
    <e v="#N/A"/>
    <s v="Exp - Amazon"/>
    <m/>
    <n v="25.99"/>
    <m/>
    <m/>
    <s v="credit"/>
    <m/>
    <x v="2901"/>
    <m/>
    <m/>
  </r>
  <r>
    <x v="52"/>
    <d v="2023-02-01T00:00:00"/>
    <s v="DISCOVER MORE CARD"/>
    <x v="3275"/>
    <n v="-35.99"/>
    <x v="41"/>
    <e v="#N/A"/>
    <s v="Exp - Amazon"/>
    <m/>
    <n v="35.99"/>
    <m/>
    <m/>
    <s v="credit"/>
    <m/>
    <x v="2902"/>
    <m/>
    <m/>
  </r>
  <r>
    <x v="52"/>
    <d v="2023-02-01T00:00:00"/>
    <s v="DISCOVER MORE CARD"/>
    <x v="3276"/>
    <n v="-18.239999999999998"/>
    <x v="41"/>
    <e v="#N/A"/>
    <s v="Exp - Amazon"/>
    <m/>
    <n v="18.239999999999998"/>
    <m/>
    <m/>
    <s v="credit"/>
    <m/>
    <x v="2903"/>
    <m/>
    <m/>
  </r>
  <r>
    <x v="52"/>
    <d v="2023-02-01T00:00:00"/>
    <s v="DISCOVER MORE CARD"/>
    <x v="3277"/>
    <n v="65.98"/>
    <x v="41"/>
    <e v="#N/A"/>
    <s v="Exp - Amazon"/>
    <m/>
    <n v="65.98"/>
    <m/>
    <m/>
    <s v="debit"/>
    <m/>
    <x v="2904"/>
    <m/>
    <m/>
  </r>
  <r>
    <x v="52"/>
    <d v="2023-02-01T00:00:00"/>
    <s v="Cash Rewards Visa Signature"/>
    <x v="1850"/>
    <n v="250"/>
    <x v="33"/>
    <e v="#N/A"/>
    <s v="Exp - Cleaning"/>
    <m/>
    <m/>
    <m/>
    <m/>
    <m/>
    <m/>
    <x v="1705"/>
    <m/>
    <m/>
  </r>
  <r>
    <x v="52"/>
    <d v="2023-02-01T00:00:00"/>
    <s v="Cash Rewards Visa Signature"/>
    <x v="3278"/>
    <n v="40.85"/>
    <x v="3"/>
    <e v="#N/A"/>
    <s v="Delete"/>
    <m/>
    <n v="-40.85"/>
    <m/>
    <m/>
    <s v="debit"/>
    <m/>
    <x v="2905"/>
    <m/>
    <m/>
  </r>
  <r>
    <x v="52"/>
    <d v="2023-02-01T00:00:00"/>
    <s v="Cash Rewards Visa Signature"/>
    <x v="3279"/>
    <n v="135.75"/>
    <x v="46"/>
    <e v="#N/A"/>
    <s v="Exp - Healthcare"/>
    <m/>
    <n v="-135.75"/>
    <m/>
    <m/>
    <s v="debit"/>
    <m/>
    <x v="2906"/>
    <m/>
    <m/>
  </r>
  <r>
    <x v="52"/>
    <d v="2023-02-01T00:00:00"/>
    <s v="Cash Rewards Visa Signature"/>
    <x v="3280"/>
    <n v="3881.07"/>
    <x v="46"/>
    <e v="#N/A"/>
    <s v="Exp - Healthcare"/>
    <m/>
    <n v="-3881.07"/>
    <m/>
    <m/>
    <s v="debit"/>
    <m/>
    <x v="2907"/>
    <m/>
    <m/>
  </r>
  <r>
    <x v="52"/>
    <d v="2023-02-01T00:00:00"/>
    <s v="Cash Rewards Visa Signature"/>
    <x v="3281"/>
    <n v="60"/>
    <x v="46"/>
    <e v="#N/A"/>
    <s v="Exp - Healthcare"/>
    <m/>
    <n v="-60"/>
    <m/>
    <m/>
    <s v="debit"/>
    <m/>
    <x v="2908"/>
    <m/>
    <m/>
  </r>
  <r>
    <x v="52"/>
    <d v="2023-02-01T00:00:00"/>
    <s v="Cash Rewards Visa Signature"/>
    <x v="3282"/>
    <n v="21.97"/>
    <x v="3"/>
    <e v="#N/A"/>
    <s v="Delete"/>
    <m/>
    <n v="-21.97"/>
    <m/>
    <m/>
    <s v="debit"/>
    <m/>
    <x v="2909"/>
    <m/>
    <m/>
  </r>
  <r>
    <x v="52"/>
    <d v="2023-02-01T00:00:00"/>
    <s v="Cash Rewards Visa Signature"/>
    <x v="3283"/>
    <n v="18.54"/>
    <x v="3"/>
    <e v="#N/A"/>
    <s v="Delete"/>
    <m/>
    <n v="-18.54"/>
    <m/>
    <m/>
    <s v="debit"/>
    <m/>
    <x v="2910"/>
    <m/>
    <m/>
  </r>
  <r>
    <x v="52"/>
    <d v="2023-02-01T00:00:00"/>
    <s v="Cash Rewards Visa Signature"/>
    <x v="3284"/>
    <n v="15"/>
    <x v="40"/>
    <e v="#N/A"/>
    <s v="Exp - Day Care"/>
    <m/>
    <n v="-15"/>
    <m/>
    <m/>
    <s v="debit"/>
    <m/>
    <x v="2911"/>
    <m/>
    <m/>
  </r>
  <r>
    <x v="52"/>
    <d v="2023-02-01T00:00:00"/>
    <s v="Cash Rewards Visa Signature"/>
    <x v="3285"/>
    <n v="52.79"/>
    <x v="32"/>
    <e v="#N/A"/>
    <s v="Exp - Shopping"/>
    <m/>
    <n v="52.79"/>
    <m/>
    <m/>
    <s v="credit"/>
    <m/>
    <x v="2912"/>
    <m/>
    <m/>
  </r>
  <r>
    <x v="52"/>
    <d v="2023-02-01T00:00:00"/>
    <s v="Cash Rewards Visa Signature"/>
    <x v="3286"/>
    <n v="49.8"/>
    <x v="32"/>
    <e v="#N/A"/>
    <s v="Exp - Shopping"/>
    <m/>
    <n v="49.8"/>
    <m/>
    <m/>
    <s v="credit"/>
    <m/>
    <x v="2913"/>
    <m/>
    <m/>
  </r>
  <r>
    <x v="52"/>
    <d v="2023-02-01T00:00:00"/>
    <s v="POWERPLUS"/>
    <x v="3287"/>
    <n v="300"/>
    <x v="47"/>
    <e v="#N/A"/>
    <s v="Sav - College Savings"/>
    <m/>
    <n v="-300"/>
    <m/>
    <m/>
    <s v="debit"/>
    <m/>
    <x v="2077"/>
    <m/>
    <m/>
  </r>
  <r>
    <x v="52"/>
    <d v="2023-02-01T00:00:00"/>
    <s v="POWERPLUS"/>
    <x v="3288"/>
    <n v="330"/>
    <x v="40"/>
    <e v="#N/A"/>
    <s v="Exp - Day Care"/>
    <m/>
    <n v="-330"/>
    <m/>
    <m/>
    <s v="debit"/>
    <m/>
    <x v="2007"/>
    <m/>
    <m/>
  </r>
  <r>
    <x v="52"/>
    <d v="2023-02-01T00:00:00"/>
    <s v="POWERPLUS"/>
    <x v="3289"/>
    <n v="618.65"/>
    <x v="48"/>
    <e v="#N/A"/>
    <s v="Exp - Car Loan"/>
    <m/>
    <n v="-618.65"/>
    <m/>
    <m/>
    <s v="debit"/>
    <m/>
    <x v="2914"/>
    <m/>
    <m/>
  </r>
  <r>
    <x v="2"/>
    <d v="2019-09-19T00:00:00"/>
    <s v="Joint Tenant"/>
    <x v="3121"/>
    <n v="95.54"/>
    <x v="3"/>
    <m/>
    <m/>
    <m/>
    <n v="95.54"/>
    <b v="0"/>
    <m/>
    <m/>
    <s v="-"/>
    <x v="2777"/>
    <m/>
    <m/>
  </r>
  <r>
    <x v="52"/>
    <d v="2023-02-02T00:00:00"/>
    <s v="POWERPLUS"/>
    <x v="3290"/>
    <n v="75"/>
    <x v="14"/>
    <e v="#N/A"/>
    <s v="Inc - Britney"/>
    <m/>
    <n v="75"/>
    <m/>
    <m/>
    <s v="credit"/>
    <m/>
    <x v="2603"/>
    <m/>
    <m/>
  </r>
  <r>
    <x v="52"/>
    <d v="2023-02-02T00:00:00"/>
    <s v="POWERPLUS"/>
    <x v="3291"/>
    <n v="2465"/>
    <x v="14"/>
    <e v="#N/A"/>
    <s v="Inc - Britney"/>
    <m/>
    <n v="2465"/>
    <m/>
    <m/>
    <s v="credit"/>
    <m/>
    <x v="2014"/>
    <m/>
    <m/>
  </r>
  <r>
    <x v="52"/>
    <d v="2023-02-02T00:00:00"/>
    <s v="Cash Rewards Visa Signature"/>
    <x v="3292"/>
    <n v="59.98"/>
    <x v="51"/>
    <e v="#N/A"/>
    <s v="Exp - Gifts"/>
    <m/>
    <n v="-59.98"/>
    <m/>
    <m/>
    <s v="debit"/>
    <m/>
    <x v="2915"/>
    <m/>
    <m/>
  </r>
  <r>
    <x v="52"/>
    <d v="2023-02-02T00:00:00"/>
    <s v="Cash Rewards Visa Signature"/>
    <x v="3293"/>
    <n v="185.01"/>
    <x v="3"/>
    <e v="#N/A"/>
    <s v="Delete"/>
    <m/>
    <n v="-185.01"/>
    <m/>
    <m/>
    <s v="debit"/>
    <m/>
    <x v="2916"/>
    <m/>
    <m/>
  </r>
  <r>
    <x v="52"/>
    <d v="2023-02-02T00:00:00"/>
    <s v="Cash Rewards Visa Signature"/>
    <x v="3294"/>
    <n v="396.68"/>
    <x v="3"/>
    <e v="#N/A"/>
    <s v="Delete"/>
    <m/>
    <n v="-396.68"/>
    <m/>
    <m/>
    <s v="debit"/>
    <m/>
    <x v="2917"/>
    <m/>
    <m/>
  </r>
  <r>
    <x v="52"/>
    <d v="2023-02-02T00:00:00"/>
    <s v="Cash Rewards Visa Signature"/>
    <x v="3295"/>
    <n v="45.99"/>
    <x v="3"/>
    <e v="#N/A"/>
    <s v="Delete"/>
    <m/>
    <n v="-45.99"/>
    <m/>
    <m/>
    <s v="debit"/>
    <m/>
    <x v="2918"/>
    <m/>
    <m/>
  </r>
  <r>
    <x v="52"/>
    <d v="2023-02-02T00:00:00"/>
    <s v="Cash Rewards Visa Signature"/>
    <x v="3296"/>
    <n v="6.89"/>
    <x v="37"/>
    <e v="#N/A"/>
    <s v="Exp - Transportation"/>
    <m/>
    <n v="-6.89"/>
    <m/>
    <m/>
    <s v="debit"/>
    <m/>
    <x v="2919"/>
    <m/>
    <m/>
  </r>
  <r>
    <x v="52"/>
    <d v="2023-02-02T00:00:00"/>
    <s v="POWERPLUS"/>
    <x v="2171"/>
    <n v="5045.9799999999996"/>
    <x v="3"/>
    <e v="#N/A"/>
    <s v="Delete"/>
    <m/>
    <n v="-5045.9799999999996"/>
    <m/>
    <m/>
    <s v="debit"/>
    <m/>
    <x v="2021"/>
    <m/>
    <m/>
  </r>
  <r>
    <x v="52"/>
    <d v="2023-02-02T00:00:00"/>
    <s v="Cash Rewards Visa Signature"/>
    <x v="3297"/>
    <n v="5045.9799999999996"/>
    <x v="3"/>
    <e v="#N/A"/>
    <s v="Delete"/>
    <m/>
    <n v="5045.9799999999996"/>
    <m/>
    <m/>
    <s v="credit"/>
    <m/>
    <x v="2920"/>
    <m/>
    <m/>
  </r>
  <r>
    <x v="52"/>
    <d v="2023-02-02T00:00:00"/>
    <s v="POWERPLUS"/>
    <x v="3298"/>
    <n v="136"/>
    <x v="32"/>
    <e v="#N/A"/>
    <s v="Exp - Shopping"/>
    <m/>
    <n v="-136"/>
    <m/>
    <m/>
    <s v="debit"/>
    <m/>
    <x v="2053"/>
    <m/>
    <m/>
  </r>
  <r>
    <x v="52"/>
    <d v="2023-02-02T00:00:00"/>
    <s v="POWERPLUS"/>
    <x v="3299"/>
    <n v="125"/>
    <x v="32"/>
    <e v="#N/A"/>
    <s v="Exp - Shopping"/>
    <m/>
    <n v="-125"/>
    <m/>
    <m/>
    <s v="debit"/>
    <m/>
    <x v="2053"/>
    <m/>
    <m/>
  </r>
  <r>
    <x v="52"/>
    <d v="2023-02-03T00:00:00"/>
    <s v="Cash Rewards Visa Signature"/>
    <x v="3300"/>
    <n v="20"/>
    <x v="42"/>
    <e v="#N/A"/>
    <s v="Exp - Utilities"/>
    <m/>
    <n v="-20"/>
    <m/>
    <m/>
    <s v="debit"/>
    <m/>
    <x v="2921"/>
    <m/>
    <m/>
  </r>
  <r>
    <x v="52"/>
    <d v="2023-02-03T00:00:00"/>
    <s v="Cash Rewards Visa Signature"/>
    <x v="3301"/>
    <n v="48.24"/>
    <x v="3"/>
    <e v="#N/A"/>
    <s v="Delete"/>
    <m/>
    <n v="-48.24"/>
    <m/>
    <m/>
    <s v="debit"/>
    <m/>
    <x v="2922"/>
    <m/>
    <m/>
  </r>
  <r>
    <x v="52"/>
    <d v="2023-02-03T00:00:00"/>
    <s v="Cash Rewards Visa Signature"/>
    <x v="3302"/>
    <n v="10.73"/>
    <x v="39"/>
    <e v="#N/A"/>
    <s v="Exp - Restaurants"/>
    <m/>
    <n v="-10.73"/>
    <m/>
    <m/>
    <s v="debit"/>
    <m/>
    <x v="2923"/>
    <m/>
    <m/>
  </r>
  <r>
    <x v="52"/>
    <d v="2023-02-03T00:00:00"/>
    <s v="DISCOVER MORE CARD"/>
    <x v="3303"/>
    <n v="55.3"/>
    <x v="39"/>
    <e v="#N/A"/>
    <s v="Exp - Restaurants"/>
    <m/>
    <n v="55.3"/>
    <m/>
    <m/>
    <s v="debit"/>
    <m/>
    <x v="2924"/>
    <m/>
    <m/>
  </r>
  <r>
    <x v="52"/>
    <d v="2023-02-03T00:00:00"/>
    <s v="Cash Rewards Visa Signature"/>
    <x v="3304"/>
    <n v="4840"/>
    <x v="43"/>
    <e v="#N/A"/>
    <s v="Exp - Travel"/>
    <m/>
    <n v="-4840"/>
    <m/>
    <m/>
    <s v="debit"/>
    <m/>
    <x v="2925"/>
    <m/>
    <m/>
  </r>
  <r>
    <x v="52"/>
    <d v="2023-02-03T00:00:00"/>
    <s v="DISCOVER MORE CARD"/>
    <x v="3305"/>
    <n v="170.53"/>
    <x v="36"/>
    <e v="#N/A"/>
    <s v="Exp - House Maint"/>
    <m/>
    <n v="170.53"/>
    <m/>
    <m/>
    <s v="debit"/>
    <m/>
    <x v="2926"/>
    <m/>
    <m/>
  </r>
  <r>
    <x v="52"/>
    <d v="2023-02-03T00:00:00"/>
    <s v="POWERPLUS"/>
    <x v="3306"/>
    <n v="1330.99"/>
    <x v="43"/>
    <e v="#N/A"/>
    <s v="Exp - Travel"/>
    <m/>
    <n v="-1330.99"/>
    <m/>
    <m/>
    <s v="debit"/>
    <m/>
    <x v="2053"/>
    <m/>
    <m/>
  </r>
  <r>
    <x v="52"/>
    <d v="2023-02-04T00:00:00"/>
    <s v="DISCOVER MORE CARD"/>
    <x v="3307"/>
    <n v="1.49"/>
    <x v="39"/>
    <e v="#N/A"/>
    <s v="Exp - Restaurants"/>
    <m/>
    <n v="1.49"/>
    <m/>
    <m/>
    <s v="debit"/>
    <m/>
    <x v="2927"/>
    <m/>
    <m/>
  </r>
  <r>
    <x v="52"/>
    <d v="2023-02-04T00:00:00"/>
    <s v="DISCOVER MORE CARD"/>
    <x v="3308"/>
    <n v="0.79"/>
    <x v="41"/>
    <e v="#N/A"/>
    <s v="Exp - Amazon"/>
    <m/>
    <n v="0.79"/>
    <m/>
    <m/>
    <s v="debit"/>
    <m/>
    <x v="2928"/>
    <m/>
    <m/>
  </r>
  <r>
    <x v="52"/>
    <d v="2023-02-04T00:00:00"/>
    <s v="DISCOVER MORE CARD"/>
    <x v="3309"/>
    <n v="37.4"/>
    <x v="38"/>
    <e v="#N/A"/>
    <s v="Exp - Groceries"/>
    <m/>
    <n v="37.4"/>
    <m/>
    <m/>
    <s v="debit"/>
    <m/>
    <x v="2929"/>
    <m/>
    <m/>
  </r>
  <r>
    <x v="52"/>
    <d v="2023-02-04T00:00:00"/>
    <s v="DISCOVER MORE CARD"/>
    <x v="3310"/>
    <n v="36.119999999999997"/>
    <x v="39"/>
    <e v="#N/A"/>
    <s v="Exp - Restaurants"/>
    <m/>
    <n v="36.119999999999997"/>
    <m/>
    <m/>
    <s v="debit"/>
    <m/>
    <x v="2930"/>
    <m/>
    <m/>
  </r>
  <r>
    <x v="52"/>
    <d v="2023-02-05T00:00:00"/>
    <s v="Cash Rewards Visa Signature"/>
    <x v="3311"/>
    <n v="3557.43"/>
    <x v="3"/>
    <e v="#N/A"/>
    <s v="Delete"/>
    <m/>
    <n v="-3557.43"/>
    <m/>
    <m/>
    <s v="debit"/>
    <m/>
    <x v="2931"/>
    <m/>
    <m/>
  </r>
  <r>
    <x v="52"/>
    <d v="2023-02-05T00:00:00"/>
    <s v="DISCOVER MORE CARD"/>
    <x v="3312"/>
    <n v="45.7"/>
    <x v="39"/>
    <e v="#N/A"/>
    <s v="Exp - Restaurants"/>
    <m/>
    <n v="45.7"/>
    <m/>
    <m/>
    <s v="debit"/>
    <m/>
    <x v="2932"/>
    <m/>
    <m/>
  </r>
  <r>
    <x v="52"/>
    <d v="2023-02-06T00:00:00"/>
    <s v="Cash Rewards Visa Signature"/>
    <x v="3313"/>
    <n v="149.25"/>
    <x v="41"/>
    <e v="#N/A"/>
    <s v="Exp - Amazon"/>
    <m/>
    <n v="-149.25"/>
    <m/>
    <m/>
    <s v="debit"/>
    <m/>
    <x v="2933"/>
    <m/>
    <m/>
  </r>
  <r>
    <x v="52"/>
    <d v="2023-02-06T00:00:00"/>
    <s v="DISCOVER MORE CARD"/>
    <x v="3314"/>
    <n v="12.83"/>
    <x v="41"/>
    <e v="#N/A"/>
    <s v="Exp - Amazon"/>
    <m/>
    <n v="12.83"/>
    <m/>
    <m/>
    <s v="debit"/>
    <m/>
    <x v="2934"/>
    <m/>
    <m/>
  </r>
  <r>
    <x v="52"/>
    <d v="2023-02-06T00:00:00"/>
    <s v="POWERPLUS"/>
    <x v="3315"/>
    <n v="333"/>
    <x v="13"/>
    <e v="#N/A"/>
    <s v="Inc - Other"/>
    <m/>
    <n v="333"/>
    <m/>
    <m/>
    <s v="credit"/>
    <m/>
    <x v="2173"/>
    <m/>
    <m/>
  </r>
  <r>
    <x v="52"/>
    <d v="2023-02-06T00:00:00"/>
    <s v="Cash Rewards Visa Signature"/>
    <x v="3316"/>
    <n v="129"/>
    <x v="3"/>
    <e v="#N/A"/>
    <s v="Delete"/>
    <m/>
    <n v="-129"/>
    <m/>
    <m/>
    <s v="debit"/>
    <m/>
    <x v="2935"/>
    <m/>
    <m/>
  </r>
  <r>
    <x v="52"/>
    <d v="2023-02-06T00:00:00"/>
    <s v="Cash Rewards Visa Signature"/>
    <x v="3317"/>
    <n v="695.22"/>
    <x v="3"/>
    <e v="#N/A"/>
    <s v="Delete"/>
    <m/>
    <n v="-695.22"/>
    <m/>
    <m/>
    <s v="debit"/>
    <m/>
    <x v="2936"/>
    <m/>
    <m/>
  </r>
  <r>
    <x v="52"/>
    <d v="2023-02-06T00:00:00"/>
    <s v="Cash Rewards Visa Signature"/>
    <x v="3318"/>
    <n v="95.25"/>
    <x v="51"/>
    <e v="#N/A"/>
    <s v="Exp - Gifts"/>
    <m/>
    <n v="-95.25"/>
    <m/>
    <m/>
    <s v="debit"/>
    <m/>
    <x v="2937"/>
    <m/>
    <m/>
  </r>
  <r>
    <x v="52"/>
    <d v="2023-02-06T00:00:00"/>
    <s v="POWERPLUS"/>
    <x v="3319"/>
    <n v="47.94"/>
    <x v="37"/>
    <e v="#N/A"/>
    <s v="Exp - Transportation"/>
    <m/>
    <n v="-47.94"/>
    <m/>
    <m/>
    <s v="debit"/>
    <m/>
    <x v="2938"/>
    <m/>
    <m/>
  </r>
  <r>
    <x v="52"/>
    <d v="2023-02-06T00:00:00"/>
    <s v="POWERPLUS"/>
    <x v="3320"/>
    <n v="5613.52"/>
    <x v="3"/>
    <e v="#N/A"/>
    <s v="Delete"/>
    <m/>
    <n v="-5613.52"/>
    <m/>
    <m/>
    <s v="debit"/>
    <m/>
    <x v="2939"/>
    <m/>
    <m/>
  </r>
  <r>
    <x v="52"/>
    <d v="2023-02-06T00:00:00"/>
    <s v="Cash Rewards Visa Signature"/>
    <x v="3321"/>
    <n v="5613.52"/>
    <x v="3"/>
    <e v="#N/A"/>
    <s v="Delete"/>
    <m/>
    <n v="5613.52"/>
    <m/>
    <m/>
    <s v="credit"/>
    <m/>
    <x v="2940"/>
    <m/>
    <m/>
  </r>
  <r>
    <x v="52"/>
    <d v="2023-02-06T00:00:00"/>
    <s v="POWERPLUS"/>
    <x v="3322"/>
    <n v="315.69"/>
    <x v="43"/>
    <e v="#N/A"/>
    <s v="Exp - Travel"/>
    <m/>
    <n v="-315.69"/>
    <m/>
    <m/>
    <s v="debit"/>
    <m/>
    <x v="2053"/>
    <m/>
    <m/>
  </r>
  <r>
    <x v="52"/>
    <d v="2023-02-07T00:00:00"/>
    <s v="DISCOVER MORE CARD"/>
    <x v="3323"/>
    <n v="27.91"/>
    <x v="41"/>
    <e v="#N/A"/>
    <s v="Exp - Amazon"/>
    <m/>
    <n v="27.91"/>
    <m/>
    <m/>
    <s v="debit"/>
    <m/>
    <x v="2941"/>
    <m/>
    <m/>
  </r>
  <r>
    <x v="52"/>
    <d v="2023-02-07T00:00:00"/>
    <s v="DISCOVER MORE CARD"/>
    <x v="3324"/>
    <n v="59.54"/>
    <x v="41"/>
    <e v="#N/A"/>
    <s v="Exp - Amazon"/>
    <m/>
    <n v="59.54"/>
    <m/>
    <m/>
    <s v="debit"/>
    <m/>
    <x v="2942"/>
    <m/>
    <m/>
  </r>
  <r>
    <x v="52"/>
    <d v="2023-02-07T00:00:00"/>
    <s v="DISCOVER MORE CARD"/>
    <x v="3325"/>
    <n v="16.100000000000001"/>
    <x v="41"/>
    <e v="#N/A"/>
    <s v="Exp - Amazon"/>
    <m/>
    <n v="16.100000000000001"/>
    <m/>
    <m/>
    <s v="debit"/>
    <m/>
    <x v="2943"/>
    <m/>
    <m/>
  </r>
  <r>
    <x v="52"/>
    <d v="2023-02-07T00:00:00"/>
    <s v="DISCOVER MORE CARD"/>
    <x v="3326"/>
    <n v="94.98"/>
    <x v="41"/>
    <e v="#N/A"/>
    <s v="Exp - Amazon"/>
    <m/>
    <n v="94.98"/>
    <m/>
    <m/>
    <s v="debit"/>
    <m/>
    <x v="2944"/>
    <m/>
    <m/>
  </r>
  <r>
    <x v="52"/>
    <d v="2023-02-07T00:00:00"/>
    <s v="DISCOVER MORE CARD"/>
    <x v="3327"/>
    <n v="80.34"/>
    <x v="46"/>
    <e v="#N/A"/>
    <s v="Exp - Healthcare"/>
    <m/>
    <n v="80.34"/>
    <m/>
    <m/>
    <s v="debit"/>
    <m/>
    <x v="2945"/>
    <m/>
    <m/>
  </r>
  <r>
    <x v="52"/>
    <d v="2023-02-07T00:00:00"/>
    <s v="DISCOVER MORE CARD"/>
    <x v="3328"/>
    <n v="16.21"/>
    <x v="32"/>
    <e v="#N/A"/>
    <s v="Exp - Shopping"/>
    <m/>
    <n v="16.21"/>
    <m/>
    <m/>
    <s v="debit"/>
    <m/>
    <x v="2946"/>
    <m/>
    <m/>
  </r>
  <r>
    <x v="52"/>
    <d v="2023-02-07T00:00:00"/>
    <s v="DISCOVER MORE CARD"/>
    <x v="3329"/>
    <n v="29"/>
    <x v="32"/>
    <e v="#N/A"/>
    <s v="Exp - Shopping"/>
    <m/>
    <n v="29"/>
    <m/>
    <m/>
    <s v="debit"/>
    <m/>
    <x v="2947"/>
    <m/>
    <m/>
  </r>
  <r>
    <x v="52"/>
    <d v="2023-02-07T00:00:00"/>
    <s v="POWERPLUS"/>
    <x v="3330"/>
    <n v="330"/>
    <x v="40"/>
    <e v="#N/A"/>
    <s v="Exp - Day Care"/>
    <m/>
    <n v="-330"/>
    <m/>
    <m/>
    <s v="debit"/>
    <m/>
    <x v="2007"/>
    <m/>
    <m/>
  </r>
  <r>
    <x v="52"/>
    <d v="2023-02-07T00:00:00"/>
    <s v="POWERPLUS"/>
    <x v="3331"/>
    <n v="181.86"/>
    <x v="42"/>
    <e v="#N/A"/>
    <s v="Exp - Utilities"/>
    <m/>
    <n v="-181.86"/>
    <m/>
    <m/>
    <s v="debit"/>
    <m/>
    <x v="2121"/>
    <m/>
    <m/>
  </r>
  <r>
    <x v="52"/>
    <d v="2023-02-08T00:00:00"/>
    <s v="DISCOVER MORE CARD"/>
    <x v="3332"/>
    <n v="-24.69"/>
    <x v="41"/>
    <e v="#N/A"/>
    <s v="Exp - Amazon"/>
    <m/>
    <n v="24.69"/>
    <m/>
    <m/>
    <s v="credit"/>
    <m/>
    <x v="2948"/>
    <m/>
    <m/>
  </r>
  <r>
    <x v="52"/>
    <d v="2023-02-08T00:00:00"/>
    <s v="DISCOVER MORE CARD"/>
    <x v="3333"/>
    <n v="-18.64"/>
    <x v="41"/>
    <e v="#N/A"/>
    <s v="Exp - Amazon"/>
    <m/>
    <n v="18.64"/>
    <m/>
    <m/>
    <s v="credit"/>
    <m/>
    <x v="2949"/>
    <m/>
    <m/>
  </r>
  <r>
    <x v="52"/>
    <d v="2023-02-08T00:00:00"/>
    <s v="DISCOVER MORE CARD"/>
    <x v="3334"/>
    <n v="-13.15"/>
    <x v="41"/>
    <e v="#N/A"/>
    <s v="Exp - Amazon"/>
    <m/>
    <n v="13.15"/>
    <m/>
    <m/>
    <s v="credit"/>
    <m/>
    <x v="2950"/>
    <m/>
    <m/>
  </r>
  <r>
    <x v="52"/>
    <d v="2023-02-08T00:00:00"/>
    <s v="DISCOVER MORE CARD"/>
    <x v="3335"/>
    <n v="-29.99"/>
    <x v="41"/>
    <e v="#N/A"/>
    <s v="Exp - Amazon"/>
    <m/>
    <n v="29.99"/>
    <m/>
    <m/>
    <s v="credit"/>
    <m/>
    <x v="2951"/>
    <m/>
    <m/>
  </r>
  <r>
    <x v="52"/>
    <d v="2023-02-08T00:00:00"/>
    <s v="DISCOVER MORE CARD"/>
    <x v="3336"/>
    <n v="-29.99"/>
    <x v="41"/>
    <e v="#N/A"/>
    <s v="Exp - Amazon"/>
    <m/>
    <n v="29.99"/>
    <m/>
    <m/>
    <s v="credit"/>
    <m/>
    <x v="2952"/>
    <m/>
    <m/>
  </r>
  <r>
    <x v="52"/>
    <d v="2023-02-08T00:00:00"/>
    <s v="DISCOVER MORE CARD"/>
    <x v="3337"/>
    <n v="-35.99"/>
    <x v="41"/>
    <e v="#N/A"/>
    <s v="Exp - Amazon"/>
    <m/>
    <n v="35.99"/>
    <m/>
    <m/>
    <s v="credit"/>
    <m/>
    <x v="2953"/>
    <m/>
    <m/>
  </r>
  <r>
    <x v="52"/>
    <d v="2023-02-08T00:00:00"/>
    <s v="DISCOVER MORE CARD"/>
    <x v="3338"/>
    <n v="11.8"/>
    <x v="41"/>
    <e v="#N/A"/>
    <s v="Exp - Amazon"/>
    <m/>
    <n v="11.8"/>
    <m/>
    <m/>
    <s v="debit"/>
    <m/>
    <x v="2954"/>
    <m/>
    <m/>
  </r>
  <r>
    <x v="52"/>
    <d v="2023-02-08T00:00:00"/>
    <s v="DISCOVER MORE CARD"/>
    <x v="3339"/>
    <n v="33.26"/>
    <x v="41"/>
    <e v="#N/A"/>
    <s v="Exp - Amazon"/>
    <m/>
    <n v="33.26"/>
    <m/>
    <m/>
    <s v="debit"/>
    <m/>
    <x v="2955"/>
    <m/>
    <m/>
  </r>
  <r>
    <x v="52"/>
    <d v="2023-02-08T00:00:00"/>
    <s v="DISCOVER MORE CARD"/>
    <x v="3340"/>
    <n v="21.99"/>
    <x v="41"/>
    <e v="#N/A"/>
    <s v="Exp - Amazon"/>
    <m/>
    <n v="21.99"/>
    <m/>
    <m/>
    <s v="debit"/>
    <m/>
    <x v="2956"/>
    <m/>
    <m/>
  </r>
  <r>
    <x v="52"/>
    <d v="2023-02-08T00:00:00"/>
    <s v="POWERPLUS"/>
    <x v="3341"/>
    <n v="80.34"/>
    <x v="46"/>
    <e v="#N/A"/>
    <s v="Exp - Healthcare"/>
    <m/>
    <n v="80.34"/>
    <m/>
    <m/>
    <s v="credit"/>
    <m/>
    <x v="2055"/>
    <m/>
    <m/>
  </r>
  <r>
    <x v="52"/>
    <d v="2023-02-08T00:00:00"/>
    <s v="DISCOVER MORE CARD"/>
    <x v="3342"/>
    <n v="69.92"/>
    <x v="39"/>
    <e v="#N/A"/>
    <s v="Exp - Restaurants"/>
    <m/>
    <n v="69.92"/>
    <m/>
    <m/>
    <s v="debit"/>
    <m/>
    <x v="2957"/>
    <m/>
    <m/>
  </r>
  <r>
    <x v="52"/>
    <d v="2023-02-08T00:00:00"/>
    <s v="POWERPLUS"/>
    <x v="3343"/>
    <n v="492.07"/>
    <x v="42"/>
    <e v="#N/A"/>
    <s v="Exp - Utilities"/>
    <m/>
    <n v="-492.07"/>
    <m/>
    <m/>
    <s v="debit"/>
    <m/>
    <x v="2078"/>
    <m/>
    <m/>
  </r>
  <r>
    <x v="52"/>
    <d v="2023-02-08T00:00:00"/>
    <s v="POWERPLUS"/>
    <x v="3344"/>
    <n v="14.03"/>
    <x v="32"/>
    <e v="#N/A"/>
    <s v="Exp - Shopping"/>
    <m/>
    <n v="-14.03"/>
    <m/>
    <m/>
    <s v="debit"/>
    <m/>
    <x v="2045"/>
    <m/>
    <m/>
  </r>
  <r>
    <x v="52"/>
    <d v="2023-02-08T00:00:00"/>
    <s v="POWERPLUS"/>
    <x v="3320"/>
    <n v="1068.72"/>
    <x v="3"/>
    <e v="#N/A"/>
    <s v="Delete"/>
    <m/>
    <n v="-1068.72"/>
    <m/>
    <m/>
    <s v="debit"/>
    <m/>
    <x v="2939"/>
    <m/>
    <m/>
  </r>
  <r>
    <x v="52"/>
    <d v="2023-02-08T00:00:00"/>
    <s v="Cash Rewards Visa Signature"/>
    <x v="3345"/>
    <n v="1068.72"/>
    <x v="3"/>
    <e v="#N/A"/>
    <s v="Delete"/>
    <m/>
    <n v="1068.72"/>
    <m/>
    <m/>
    <s v="credit"/>
    <m/>
    <x v="2958"/>
    <m/>
    <m/>
  </r>
  <r>
    <x v="52"/>
    <d v="2023-02-08T00:00:00"/>
    <s v="POWERPLUS"/>
    <x v="3346"/>
    <n v="111.81"/>
    <x v="32"/>
    <e v="#N/A"/>
    <s v="Exp - Shopping"/>
    <m/>
    <n v="-111.81"/>
    <m/>
    <m/>
    <s v="debit"/>
    <m/>
    <x v="2053"/>
    <m/>
    <m/>
  </r>
  <r>
    <x v="52"/>
    <d v="2023-02-08T00:00:00"/>
    <s v="POWERPLUS"/>
    <x v="3347"/>
    <n v="153.55000000000001"/>
    <x v="42"/>
    <e v="#N/A"/>
    <s v="Exp - Utilities"/>
    <m/>
    <n v="-153.55000000000001"/>
    <m/>
    <m/>
    <s v="debit"/>
    <m/>
    <x v="2103"/>
    <m/>
    <m/>
  </r>
  <r>
    <x v="52"/>
    <d v="2023-02-09T00:00:00"/>
    <s v="DISCOVER MORE CARD"/>
    <x v="3348"/>
    <n v="25"/>
    <x v="50"/>
    <e v="#N/A"/>
    <s v="Exp - Dry Cleaning"/>
    <m/>
    <n v="25"/>
    <m/>
    <m/>
    <s v="debit"/>
    <m/>
    <x v="2959"/>
    <m/>
    <m/>
  </r>
  <r>
    <x v="52"/>
    <d v="2023-02-10T00:00:00"/>
    <s v="DISCOVER MORE CARD"/>
    <x v="3349"/>
    <n v="178.37"/>
    <x v="38"/>
    <e v="#N/A"/>
    <s v="Exp - Groceries"/>
    <m/>
    <n v="178.37"/>
    <m/>
    <m/>
    <s v="debit"/>
    <m/>
    <x v="2960"/>
    <m/>
    <m/>
  </r>
  <r>
    <x v="52"/>
    <d v="2023-02-10T00:00:00"/>
    <s v="DISCOVER MORE CARD"/>
    <x v="3350"/>
    <n v="38.89"/>
    <x v="38"/>
    <e v="#N/A"/>
    <s v="Exp - Groceries"/>
    <m/>
    <n v="38.89"/>
    <m/>
    <m/>
    <s v="debit"/>
    <m/>
    <x v="2961"/>
    <m/>
    <m/>
  </r>
  <r>
    <x v="52"/>
    <d v="2023-02-10T00:00:00"/>
    <s v="Cash Rewards Visa Signature"/>
    <x v="3351"/>
    <n v="47.25"/>
    <x v="49"/>
    <e v="#N/A"/>
    <s v="Exp - Gym"/>
    <m/>
    <n v="-47.25"/>
    <m/>
    <m/>
    <s v="debit"/>
    <m/>
    <x v="2962"/>
    <m/>
    <m/>
  </r>
  <r>
    <x v="52"/>
    <d v="2023-02-12T00:00:00"/>
    <s v="Cash Rewards Visa Signature"/>
    <x v="3352"/>
    <n v="55.92"/>
    <x v="39"/>
    <e v="#N/A"/>
    <s v="Exp - Restaurants"/>
    <m/>
    <n v="-55.92"/>
    <m/>
    <m/>
    <s v="debit"/>
    <m/>
    <x v="2963"/>
    <m/>
    <m/>
  </r>
  <r>
    <x v="52"/>
    <d v="2023-02-12T00:00:00"/>
    <s v="Cash Rewards Visa Signature"/>
    <x v="3353"/>
    <n v="19"/>
    <x v="35"/>
    <e v="#N/A"/>
    <s v="Exp - Entertainment"/>
    <m/>
    <n v="-19"/>
    <m/>
    <m/>
    <s v="debit"/>
    <m/>
    <x v="2964"/>
    <m/>
    <m/>
  </r>
  <r>
    <x v="52"/>
    <d v="2023-02-12T00:00:00"/>
    <s v="Cash Rewards Visa Signature"/>
    <x v="3354"/>
    <n v="42.22"/>
    <x v="38"/>
    <e v="#N/A"/>
    <s v="Exp - Groceries"/>
    <m/>
    <n v="-42.22"/>
    <m/>
    <m/>
    <s v="debit"/>
    <m/>
    <x v="2965"/>
    <m/>
    <m/>
  </r>
  <r>
    <x v="52"/>
    <d v="2023-02-12T00:00:00"/>
    <s v="Cash Rewards Visa Signature"/>
    <x v="3355"/>
    <n v="104.5"/>
    <x v="40"/>
    <e v="#N/A"/>
    <s v="Exp - Day Care"/>
    <m/>
    <n v="-104.5"/>
    <m/>
    <m/>
    <s v="debit"/>
    <m/>
    <x v="2966"/>
    <m/>
    <m/>
  </r>
  <r>
    <x v="52"/>
    <d v="2023-02-12T00:00:00"/>
    <s v="Cash Rewards Visa Signature"/>
    <x v="3356"/>
    <n v="19.11"/>
    <x v="51"/>
    <e v="#N/A"/>
    <s v="Exp - Gifts"/>
    <m/>
    <n v="-19.11"/>
    <m/>
    <m/>
    <s v="debit"/>
    <m/>
    <x v="2967"/>
    <m/>
    <m/>
  </r>
  <r>
    <x v="52"/>
    <d v="2023-02-12T00:00:00"/>
    <s v="Cash Rewards Visa Signature"/>
    <x v="3357"/>
    <n v="46.48"/>
    <x v="37"/>
    <e v="#N/A"/>
    <s v="Exp - Transportation"/>
    <m/>
    <n v="-46.48"/>
    <m/>
    <m/>
    <s v="debit"/>
    <m/>
    <x v="2968"/>
    <m/>
    <m/>
  </r>
  <r>
    <x v="52"/>
    <d v="2023-02-12T00:00:00"/>
    <s v="Cash Rewards Visa Signature"/>
    <x v="3358"/>
    <n v="29.14"/>
    <x v="39"/>
    <e v="#N/A"/>
    <s v="Exp - Restaurants"/>
    <m/>
    <n v="-29.14"/>
    <m/>
    <m/>
    <s v="debit"/>
    <m/>
    <x v="2969"/>
    <m/>
    <m/>
  </r>
  <r>
    <x v="52"/>
    <d v="2023-02-13T00:00:00"/>
    <s v="DISCOVER MORE CARD"/>
    <x v="3359"/>
    <n v="86.96"/>
    <x v="41"/>
    <e v="#N/A"/>
    <s v="Exp - Amazon"/>
    <m/>
    <n v="86.96"/>
    <m/>
    <m/>
    <s v="debit"/>
    <m/>
    <x v="2970"/>
    <m/>
    <m/>
  </r>
  <r>
    <x v="52"/>
    <d v="2023-02-13T00:00:00"/>
    <s v="DISCOVER MORE CARD"/>
    <x v="3360"/>
    <n v="5"/>
    <x v="39"/>
    <e v="#N/A"/>
    <s v="Exp - Restaurants"/>
    <m/>
    <n v="5"/>
    <m/>
    <m/>
    <s v="debit"/>
    <m/>
    <x v="2971"/>
    <m/>
    <m/>
  </r>
  <r>
    <x v="52"/>
    <d v="2023-02-13T00:00:00"/>
    <s v="Cash Rewards Visa Signature"/>
    <x v="3361"/>
    <n v="36.47"/>
    <x v="32"/>
    <e v="#N/A"/>
    <s v="Exp - Shopping"/>
    <m/>
    <n v="-36.47"/>
    <m/>
    <m/>
    <s v="debit"/>
    <m/>
    <x v="2972"/>
    <m/>
    <m/>
  </r>
  <r>
    <x v="52"/>
    <d v="2023-02-13T00:00:00"/>
    <s v="Cash Rewards Visa Signature"/>
    <x v="3362"/>
    <n v="48.24"/>
    <x v="3"/>
    <e v="#N/A"/>
    <s v="Delete"/>
    <m/>
    <n v="48.24"/>
    <m/>
    <m/>
    <s v="credit"/>
    <m/>
    <x v="2973"/>
    <m/>
    <m/>
  </r>
  <r>
    <x v="52"/>
    <d v="2023-02-13T00:00:00"/>
    <s v="DISCOVER MORE CARD"/>
    <x v="56"/>
    <n v="-1019.81"/>
    <x v="3"/>
    <s v="Delete"/>
    <s v="Delete"/>
    <m/>
    <n v="1019.81"/>
    <m/>
    <m/>
    <s v="credit"/>
    <m/>
    <x v="56"/>
    <m/>
    <m/>
  </r>
  <r>
    <x v="52"/>
    <d v="2023-02-14T00:00:00"/>
    <s v="POWERPLUS"/>
    <x v="3363"/>
    <n v="2922.78"/>
    <x v="15"/>
    <e v="#N/A"/>
    <s v="Inc - Jeff"/>
    <m/>
    <n v="2922.78"/>
    <m/>
    <m/>
    <s v="credit"/>
    <m/>
    <x v="2139"/>
    <m/>
    <m/>
  </r>
  <r>
    <x v="52"/>
    <d v="2023-02-14T00:00:00"/>
    <s v="DISCOVER MORE CARD"/>
    <x v="3364"/>
    <n v="17.989999999999998"/>
    <x v="39"/>
    <e v="#N/A"/>
    <s v="Exp - Restaurants"/>
    <m/>
    <n v="17.989999999999998"/>
    <m/>
    <m/>
    <s v="debit"/>
    <m/>
    <x v="2974"/>
    <m/>
    <m/>
  </r>
  <r>
    <x v="52"/>
    <d v="2023-02-14T00:00:00"/>
    <s v="Cash Rewards Visa Signature"/>
    <x v="3365"/>
    <n v="115.4"/>
    <x v="46"/>
    <e v="#N/A"/>
    <s v="Exp - Healthcare"/>
    <m/>
    <n v="-115.4"/>
    <m/>
    <m/>
    <s v="debit"/>
    <m/>
    <x v="2975"/>
    <m/>
    <m/>
  </r>
  <r>
    <x v="52"/>
    <d v="2023-02-14T00:00:00"/>
    <s v="POWERPLUS"/>
    <x v="3366"/>
    <n v="330"/>
    <x v="40"/>
    <e v="#N/A"/>
    <s v="Exp - Day Care"/>
    <m/>
    <n v="-330"/>
    <m/>
    <m/>
    <s v="debit"/>
    <m/>
    <x v="2007"/>
    <m/>
    <m/>
  </r>
  <r>
    <x v="52"/>
    <d v="2023-02-14T00:00:00"/>
    <s v="POWERPLUS"/>
    <x v="3367"/>
    <n v="90.4"/>
    <x v="54"/>
    <e v="#N/A"/>
    <s v="Exp - Insurance"/>
    <m/>
    <n v="-90.4"/>
    <m/>
    <m/>
    <s v="debit"/>
    <m/>
    <x v="2161"/>
    <m/>
    <m/>
  </r>
  <r>
    <x v="52"/>
    <d v="2023-02-14T00:00:00"/>
    <s v="POWERPLUS"/>
    <x v="3368"/>
    <n v="1019.81"/>
    <x v="3"/>
    <e v="#N/A"/>
    <s v="Delete"/>
    <m/>
    <n v="-1019.81"/>
    <m/>
    <m/>
    <s v="debit"/>
    <m/>
    <x v="2059"/>
    <m/>
    <m/>
  </r>
  <r>
    <x v="52"/>
    <d v="2023-02-15T00:00:00"/>
    <s v="DISCOVER MORE CARD"/>
    <x v="3369"/>
    <n v="-14.87"/>
    <x v="41"/>
    <e v="#N/A"/>
    <s v="Exp - Amazon"/>
    <m/>
    <n v="14.87"/>
    <m/>
    <m/>
    <s v="credit"/>
    <m/>
    <x v="2976"/>
    <m/>
    <m/>
  </r>
  <r>
    <x v="52"/>
    <d v="2023-02-15T00:00:00"/>
    <s v="Cash Rewards Visa Signature"/>
    <x v="3370"/>
    <n v="45"/>
    <x v="42"/>
    <e v="#N/A"/>
    <s v="Exp - Utilities"/>
    <m/>
    <n v="-45"/>
    <m/>
    <m/>
    <s v="debit"/>
    <m/>
    <x v="2977"/>
    <m/>
    <m/>
  </r>
  <r>
    <x v="52"/>
    <d v="2023-02-15T00:00:00"/>
    <s v="POWERPLUS"/>
    <x v="3371"/>
    <n v="31.5"/>
    <x v="32"/>
    <e v="#N/A"/>
    <s v="Exp - Shopping"/>
    <m/>
    <n v="31.5"/>
    <m/>
    <m/>
    <s v="credit"/>
    <m/>
    <x v="2227"/>
    <m/>
    <m/>
  </r>
  <r>
    <x v="52"/>
    <d v="2023-02-15T00:00:00"/>
    <s v="Cash Rewards Visa Signature"/>
    <x v="3372"/>
    <n v="46.67"/>
    <x v="39"/>
    <e v="#N/A"/>
    <s v="Exp - Restaurants"/>
    <m/>
    <n v="-46.67"/>
    <m/>
    <m/>
    <s v="debit"/>
    <m/>
    <x v="2978"/>
    <m/>
    <m/>
  </r>
  <r>
    <x v="52"/>
    <d v="2023-02-16T00:00:00"/>
    <s v="DISCOVER MORE CARD"/>
    <x v="3373"/>
    <n v="300.56"/>
    <x v="39"/>
    <e v="#N/A"/>
    <s v="Exp - Restaurants"/>
    <m/>
    <n v="300.56"/>
    <m/>
    <m/>
    <s v="debit"/>
    <m/>
    <x v="2979"/>
    <m/>
    <m/>
  </r>
  <r>
    <x v="52"/>
    <d v="2023-02-16T00:00:00"/>
    <s v="POWERPLUS"/>
    <x v="3374"/>
    <n v="91.74"/>
    <x v="14"/>
    <e v="#N/A"/>
    <s v="Inc - Britney"/>
    <m/>
    <n v="91.74"/>
    <m/>
    <m/>
    <s v="credit"/>
    <m/>
    <x v="2603"/>
    <m/>
    <m/>
  </r>
  <r>
    <x v="52"/>
    <d v="2023-02-16T00:00:00"/>
    <s v="POWERPLUS"/>
    <x v="3375"/>
    <n v="2434.23"/>
    <x v="14"/>
    <e v="#N/A"/>
    <s v="Inc - Britney"/>
    <m/>
    <n v="2434.23"/>
    <m/>
    <m/>
    <s v="credit"/>
    <m/>
    <x v="2014"/>
    <m/>
    <m/>
  </r>
  <r>
    <x v="52"/>
    <d v="2023-02-16T00:00:00"/>
    <s v="POWERPLUS"/>
    <x v="3376"/>
    <n v="1990.12"/>
    <x v="3"/>
    <e v="#N/A"/>
    <s v="Delete"/>
    <m/>
    <n v="1990.12"/>
    <m/>
    <m/>
    <s v="credit"/>
    <m/>
    <x v="2138"/>
    <m/>
    <m/>
  </r>
  <r>
    <x v="52"/>
    <d v="2023-02-16T00:00:00"/>
    <s v="Cash Rewards Visa Signature"/>
    <x v="3377"/>
    <n v="34.25"/>
    <x v="38"/>
    <e v="#N/A"/>
    <s v="Exp - Groceries"/>
    <m/>
    <n v="-34.25"/>
    <m/>
    <m/>
    <s v="debit"/>
    <m/>
    <x v="2980"/>
    <m/>
    <m/>
  </r>
  <r>
    <x v="52"/>
    <d v="2023-02-16T00:00:00"/>
    <s v="Cash Rewards Visa Signature"/>
    <x v="3378"/>
    <n v="109.06"/>
    <x v="38"/>
    <e v="#N/A"/>
    <s v="Exp - Groceries"/>
    <m/>
    <n v="-109.06"/>
    <m/>
    <m/>
    <s v="debit"/>
    <m/>
    <x v="2981"/>
    <m/>
    <m/>
  </r>
  <r>
    <x v="52"/>
    <d v="2023-02-16T00:00:00"/>
    <s v="Cash Rewards Visa Signature"/>
    <x v="3379"/>
    <n v="37.799999999999997"/>
    <x v="37"/>
    <e v="#N/A"/>
    <s v="Exp - Transportation"/>
    <m/>
    <n v="-37.799999999999997"/>
    <m/>
    <m/>
    <s v="debit"/>
    <m/>
    <x v="2982"/>
    <m/>
    <m/>
  </r>
  <r>
    <x v="52"/>
    <d v="2023-02-16T00:00:00"/>
    <s v="Cash Rewards Visa Signature"/>
    <x v="3380"/>
    <n v="12"/>
    <x v="37"/>
    <e v="#N/A"/>
    <s v="Exp - Transportation"/>
    <m/>
    <n v="-12"/>
    <m/>
    <m/>
    <s v="debit"/>
    <m/>
    <x v="2983"/>
    <m/>
    <m/>
  </r>
  <r>
    <x v="52"/>
    <d v="2023-02-16T00:00:00"/>
    <s v="Cash Rewards Visa Signature"/>
    <x v="3381"/>
    <n v="7.89"/>
    <x v="39"/>
    <e v="#N/A"/>
    <s v="Exp - Restaurants"/>
    <m/>
    <n v="-7.89"/>
    <m/>
    <m/>
    <s v="debit"/>
    <m/>
    <x v="2984"/>
    <m/>
    <m/>
  </r>
  <r>
    <x v="52"/>
    <d v="2023-02-17T00:00:00"/>
    <s v="Cash Rewards Visa Signature"/>
    <x v="3382"/>
    <n v="696"/>
    <x v="40"/>
    <e v="#N/A"/>
    <s v="Exp - Day Care"/>
    <m/>
    <n v="-696"/>
    <m/>
    <m/>
    <s v="debit"/>
    <m/>
    <x v="2985"/>
    <m/>
    <m/>
  </r>
  <r>
    <x v="52"/>
    <d v="2023-02-17T00:00:00"/>
    <s v="Cash Rewards Visa Signature"/>
    <x v="3383"/>
    <n v="414.52"/>
    <x v="43"/>
    <e v="#N/A"/>
    <s v="Exp - Travel"/>
    <m/>
    <n v="-414.52"/>
    <m/>
    <m/>
    <s v="debit"/>
    <m/>
    <x v="2986"/>
    <m/>
    <m/>
  </r>
  <r>
    <x v="52"/>
    <d v="2023-02-17T00:00:00"/>
    <s v="Cash Rewards Visa Signature"/>
    <x v="3384"/>
    <n v="23.34"/>
    <x v="38"/>
    <e v="#N/A"/>
    <s v="Exp - Groceries"/>
    <m/>
    <n v="-23.34"/>
    <m/>
    <m/>
    <s v="debit"/>
    <m/>
    <x v="2987"/>
    <m/>
    <m/>
  </r>
  <r>
    <x v="52"/>
    <d v="2023-02-17T00:00:00"/>
    <s v="Cash Rewards Visa Signature"/>
    <x v="3385"/>
    <n v="59.88"/>
    <x v="38"/>
    <e v="#N/A"/>
    <s v="Exp - Groceries"/>
    <m/>
    <n v="-59.88"/>
    <m/>
    <m/>
    <s v="debit"/>
    <m/>
    <x v="2988"/>
    <m/>
    <m/>
  </r>
  <r>
    <x v="52"/>
    <d v="2023-02-19T00:00:00"/>
    <s v="Cash Rewards Visa Signature"/>
    <x v="3386"/>
    <n v="50"/>
    <x v="40"/>
    <e v="#N/A"/>
    <s v="Exp - Day Care"/>
    <m/>
    <n v="-50"/>
    <m/>
    <m/>
    <s v="debit"/>
    <m/>
    <x v="2989"/>
    <m/>
    <m/>
  </r>
  <r>
    <x v="52"/>
    <d v="2023-02-19T00:00:00"/>
    <s v="Cash Rewards Visa Signature"/>
    <x v="3387"/>
    <n v="45"/>
    <x v="39"/>
    <e v="#N/A"/>
    <s v="Exp - Restaurants"/>
    <m/>
    <n v="-45"/>
    <m/>
    <m/>
    <s v="debit"/>
    <m/>
    <x v="2990"/>
    <m/>
    <m/>
  </r>
  <r>
    <x v="52"/>
    <d v="2023-02-19T00:00:00"/>
    <s v="Cash Rewards Visa Signature"/>
    <x v="3388"/>
    <n v="54.13"/>
    <x v="32"/>
    <e v="#N/A"/>
    <s v="Exp - Shopping"/>
    <m/>
    <n v="-54.13"/>
    <m/>
    <m/>
    <s v="debit"/>
    <m/>
    <x v="2991"/>
    <m/>
    <m/>
  </r>
  <r>
    <x v="52"/>
    <d v="2023-02-19T00:00:00"/>
    <s v="Cash Rewards Visa Signature"/>
    <x v="3389"/>
    <n v="97.53"/>
    <x v="32"/>
    <e v="#N/A"/>
    <s v="Exp - Shopping"/>
    <m/>
    <n v="-97.53"/>
    <m/>
    <m/>
    <s v="debit"/>
    <m/>
    <x v="2992"/>
    <m/>
    <m/>
  </r>
  <r>
    <x v="52"/>
    <d v="2023-02-19T00:00:00"/>
    <s v="Cash Rewards Visa Signature"/>
    <x v="3390"/>
    <n v="27"/>
    <x v="39"/>
    <e v="#N/A"/>
    <s v="Exp - Restaurants"/>
    <m/>
    <n v="-27"/>
    <m/>
    <m/>
    <s v="debit"/>
    <m/>
    <x v="2993"/>
    <m/>
    <m/>
  </r>
  <r>
    <x v="52"/>
    <d v="2023-02-20T00:00:00"/>
    <s v="Cash Rewards Visa Signature"/>
    <x v="3391"/>
    <n v="2001.92"/>
    <x v="43"/>
    <e v="#N/A"/>
    <s v="Exp - Travel"/>
    <m/>
    <n v="-2001.92"/>
    <m/>
    <m/>
    <s v="debit"/>
    <m/>
    <x v="2994"/>
    <m/>
    <m/>
  </r>
  <r>
    <x v="52"/>
    <d v="2023-02-20T00:00:00"/>
    <s v="Cash Rewards Visa Signature"/>
    <x v="3392"/>
    <n v="21.85"/>
    <x v="39"/>
    <e v="#N/A"/>
    <s v="Exp - Restaurants"/>
    <m/>
    <n v="-21.85"/>
    <m/>
    <m/>
    <s v="debit"/>
    <m/>
    <x v="2995"/>
    <m/>
    <m/>
  </r>
  <r>
    <x v="52"/>
    <d v="2023-02-20T00:00:00"/>
    <s v="Cash Rewards Visa Signature"/>
    <x v="3393"/>
    <n v="43.2"/>
    <x v="39"/>
    <e v="#N/A"/>
    <s v="Exp - Restaurants"/>
    <m/>
    <n v="-43.2"/>
    <m/>
    <m/>
    <s v="debit"/>
    <m/>
    <x v="2996"/>
    <m/>
    <m/>
  </r>
  <r>
    <x v="52"/>
    <d v="2023-02-20T00:00:00"/>
    <s v="Cash Rewards Visa Signature"/>
    <x v="3394"/>
    <n v="7"/>
    <x v="39"/>
    <e v="#N/A"/>
    <s v="Exp - Restaurants"/>
    <m/>
    <n v="-7"/>
    <m/>
    <m/>
    <s v="debit"/>
    <m/>
    <x v="2997"/>
    <m/>
    <m/>
  </r>
  <r>
    <x v="52"/>
    <d v="2023-02-20T00:00:00"/>
    <s v="Cash Rewards Visa Signature"/>
    <x v="3395"/>
    <n v="42.21"/>
    <x v="39"/>
    <e v="#N/A"/>
    <s v="Exp - Restaurants"/>
    <m/>
    <n v="-42.21"/>
    <m/>
    <m/>
    <s v="debit"/>
    <m/>
    <x v="2998"/>
    <m/>
    <m/>
  </r>
  <r>
    <x v="52"/>
    <d v="2023-02-20T00:00:00"/>
    <s v="POWERPLUS"/>
    <x v="3396"/>
    <n v="205"/>
    <x v="3"/>
    <e v="#N/A"/>
    <s v="Delete"/>
    <m/>
    <n v="-205"/>
    <m/>
    <m/>
    <s v="debit"/>
    <m/>
    <x v="2999"/>
    <m/>
    <m/>
  </r>
  <r>
    <x v="52"/>
    <d v="2023-02-21T00:00:00"/>
    <s v="Cash Rewards Visa Signature"/>
    <x v="3397"/>
    <n v="47.02"/>
    <x v="37"/>
    <e v="#N/A"/>
    <s v="Exp - Transportation"/>
    <m/>
    <n v="-47.02"/>
    <m/>
    <m/>
    <s v="debit"/>
    <m/>
    <x v="3000"/>
    <m/>
    <m/>
  </r>
  <r>
    <x v="52"/>
    <d v="2023-02-21T00:00:00"/>
    <s v="Cash Rewards Visa Signature"/>
    <x v="3398"/>
    <n v="256"/>
    <x v="32"/>
    <e v="#N/A"/>
    <s v="Exp - Shopping"/>
    <m/>
    <n v="-256"/>
    <m/>
    <m/>
    <s v="debit"/>
    <m/>
    <x v="3001"/>
    <m/>
    <m/>
  </r>
  <r>
    <x v="52"/>
    <d v="2023-02-21T00:00:00"/>
    <s v="Cash Rewards Visa Signature"/>
    <x v="3399"/>
    <n v="13.62"/>
    <x v="39"/>
    <e v="#N/A"/>
    <s v="Exp - Restaurants"/>
    <m/>
    <n v="-13.62"/>
    <m/>
    <m/>
    <s v="debit"/>
    <m/>
    <x v="3002"/>
    <m/>
    <m/>
  </r>
  <r>
    <x v="52"/>
    <d v="2023-02-21T00:00:00"/>
    <s v="Cash Rewards Visa Signature"/>
    <x v="3400"/>
    <n v="30"/>
    <x v="46"/>
    <e v="#N/A"/>
    <s v="Exp - Healthcare"/>
    <m/>
    <n v="-30"/>
    <m/>
    <m/>
    <s v="debit"/>
    <m/>
    <x v="3003"/>
    <m/>
    <m/>
  </r>
  <r>
    <x v="52"/>
    <d v="2023-02-21T00:00:00"/>
    <s v="POWERPLUS"/>
    <x v="3401"/>
    <n v="53.43"/>
    <x v="32"/>
    <e v="#N/A"/>
    <s v="Exp - Shopping"/>
    <m/>
    <n v="-53.43"/>
    <m/>
    <m/>
    <s v="debit"/>
    <m/>
    <x v="2393"/>
    <m/>
    <m/>
  </r>
  <r>
    <x v="52"/>
    <d v="2023-02-21T00:00:00"/>
    <s v="POWERPLUS"/>
    <x v="3402"/>
    <n v="70.349999999999994"/>
    <x v="42"/>
    <e v="#N/A"/>
    <s v="Exp - Utilities"/>
    <m/>
    <n v="-70.349999999999994"/>
    <m/>
    <m/>
    <s v="debit"/>
    <m/>
    <x v="2020"/>
    <m/>
    <m/>
  </r>
  <r>
    <x v="52"/>
    <d v="2023-02-21T00:00:00"/>
    <s v="POWERPLUS"/>
    <x v="3403"/>
    <n v="100"/>
    <x v="3"/>
    <e v="#N/A"/>
    <s v="Delete"/>
    <m/>
    <n v="-100"/>
    <m/>
    <m/>
    <s v="debit"/>
    <m/>
    <x v="3004"/>
    <m/>
    <m/>
  </r>
  <r>
    <x v="52"/>
    <d v="2023-02-21T00:00:00"/>
    <s v="POWERPLUS"/>
    <x v="3404"/>
    <n v="500"/>
    <x v="47"/>
    <e v="#N/A"/>
    <s v="Sav - College Savings"/>
    <m/>
    <n v="-500"/>
    <m/>
    <m/>
    <s v="debit"/>
    <m/>
    <x v="2174"/>
    <m/>
    <m/>
  </r>
  <r>
    <x v="52"/>
    <d v="2023-02-21T00:00:00"/>
    <s v="POWERPLUS"/>
    <x v="3405"/>
    <n v="18.350000000000001"/>
    <x v="32"/>
    <e v="#N/A"/>
    <s v="Exp - Shopping"/>
    <m/>
    <n v="-18.350000000000001"/>
    <m/>
    <m/>
    <s v="debit"/>
    <m/>
    <x v="2045"/>
    <m/>
    <m/>
  </r>
  <r>
    <x v="52"/>
    <d v="2023-02-21T00:00:00"/>
    <s v="POWERPLUS"/>
    <x v="3406"/>
    <n v="403.57"/>
    <x v="32"/>
    <e v="#N/A"/>
    <s v="Exp - Shopping"/>
    <m/>
    <n v="-403.57"/>
    <m/>
    <m/>
    <s v="debit"/>
    <m/>
    <x v="2205"/>
    <m/>
    <m/>
  </r>
  <r>
    <x v="52"/>
    <d v="2023-02-22T00:00:00"/>
    <s v="DISCOVER MORE CARD"/>
    <x v="3407"/>
    <n v="14.99"/>
    <x v="41"/>
    <e v="#N/A"/>
    <s v="Exp - Amazon"/>
    <m/>
    <n v="14.99"/>
    <m/>
    <m/>
    <s v="debit"/>
    <m/>
    <x v="3005"/>
    <m/>
    <m/>
  </r>
  <r>
    <x v="52"/>
    <d v="2023-02-22T00:00:00"/>
    <s v="Cash Rewards Visa Signature"/>
    <x v="3408"/>
    <n v="8"/>
    <x v="42"/>
    <e v="#N/A"/>
    <s v="Exp - Utilities"/>
    <m/>
    <n v="-8"/>
    <m/>
    <m/>
    <s v="debit"/>
    <m/>
    <x v="3006"/>
    <m/>
    <m/>
  </r>
  <r>
    <x v="52"/>
    <d v="2023-02-22T00:00:00"/>
    <s v="POWERPLUS"/>
    <x v="3409"/>
    <n v="38.19"/>
    <x v="46"/>
    <e v="#N/A"/>
    <s v="Exp - Healthcare"/>
    <m/>
    <n v="38.19"/>
    <m/>
    <m/>
    <s v="credit"/>
    <m/>
    <x v="2055"/>
    <m/>
    <m/>
  </r>
  <r>
    <x v="52"/>
    <d v="2023-02-22T00:00:00"/>
    <s v="POWERPLUS"/>
    <x v="3410"/>
    <n v="330"/>
    <x v="40"/>
    <e v="#N/A"/>
    <s v="Exp - Day Care"/>
    <m/>
    <n v="-330"/>
    <m/>
    <m/>
    <s v="debit"/>
    <m/>
    <x v="2007"/>
    <m/>
    <m/>
  </r>
  <r>
    <x v="52"/>
    <d v="2023-02-23T00:00:00"/>
    <s v="Cash Rewards Visa Signature"/>
    <x v="3411"/>
    <n v="57.57"/>
    <x v="41"/>
    <e v="#N/A"/>
    <s v="Exp - Amazon"/>
    <m/>
    <n v="-57.57"/>
    <m/>
    <m/>
    <s v="debit"/>
    <m/>
    <x v="3007"/>
    <m/>
    <m/>
  </r>
  <r>
    <x v="52"/>
    <d v="2023-02-23T00:00:00"/>
    <s v="Cash Rewards Visa Signature"/>
    <x v="3412"/>
    <n v="16.73"/>
    <x v="42"/>
    <e v="#N/A"/>
    <s v="Exp - Utilities"/>
    <m/>
    <n v="-16.73"/>
    <m/>
    <m/>
    <s v="debit"/>
    <m/>
    <x v="3008"/>
    <m/>
    <m/>
  </r>
  <r>
    <x v="52"/>
    <d v="2023-02-23T00:00:00"/>
    <s v="Cash Rewards Visa Signature"/>
    <x v="3413"/>
    <n v="76.599999999999994"/>
    <x v="32"/>
    <e v="#N/A"/>
    <s v="Exp - Shopping"/>
    <m/>
    <n v="-76.599999999999994"/>
    <m/>
    <m/>
    <s v="debit"/>
    <m/>
    <x v="3009"/>
    <m/>
    <m/>
  </r>
  <r>
    <x v="52"/>
    <d v="2023-02-24T00:00:00"/>
    <s v="Cash Rewards Visa Signature"/>
    <x v="3414"/>
    <n v="128"/>
    <x v="32"/>
    <e v="#N/A"/>
    <s v="Exp - Shopping"/>
    <m/>
    <n v="-128"/>
    <m/>
    <m/>
    <s v="debit"/>
    <m/>
    <x v="3010"/>
    <m/>
    <m/>
  </r>
  <r>
    <x v="52"/>
    <d v="2023-02-24T00:00:00"/>
    <s v="Cash Rewards Visa Signature"/>
    <x v="3415"/>
    <n v="95.83"/>
    <x v="43"/>
    <e v="#N/A"/>
    <s v="Exp - Travel"/>
    <m/>
    <n v="-95.83"/>
    <m/>
    <m/>
    <s v="debit"/>
    <m/>
    <x v="3011"/>
    <m/>
    <m/>
  </r>
  <r>
    <x v="52"/>
    <d v="2023-02-24T00:00:00"/>
    <s v="Cash Rewards Visa Signature"/>
    <x v="3416"/>
    <n v="4.78"/>
    <x v="44"/>
    <e v="#N/A"/>
    <s v="Exp - Misc"/>
    <m/>
    <n v="-4.78"/>
    <m/>
    <m/>
    <s v="debit"/>
    <m/>
    <x v="3012"/>
    <m/>
    <m/>
  </r>
  <r>
    <x v="52"/>
    <d v="2023-02-26T00:00:00"/>
    <s v="Cash Rewards Visa Signature"/>
    <x v="3417"/>
    <n v="56.9"/>
    <x v="41"/>
    <e v="#N/A"/>
    <s v="Exp - Amazon"/>
    <m/>
    <n v="-56.9"/>
    <m/>
    <m/>
    <s v="debit"/>
    <m/>
    <x v="3013"/>
    <m/>
    <m/>
  </r>
  <r>
    <x v="52"/>
    <d v="2023-02-26T00:00:00"/>
    <s v="POWERPLUS"/>
    <x v="3418"/>
    <n v="3402.84"/>
    <x v="15"/>
    <e v="#N/A"/>
    <s v="Inc - Jeff"/>
    <m/>
    <n v="3402.84"/>
    <m/>
    <m/>
    <s v="credit"/>
    <m/>
    <x v="2139"/>
    <m/>
    <m/>
  </r>
  <r>
    <x v="52"/>
    <d v="2023-02-26T00:00:00"/>
    <s v="Cash Rewards Visa Signature"/>
    <x v="3419"/>
    <n v="27"/>
    <x v="40"/>
    <e v="#N/A"/>
    <s v="Exp - Day Care"/>
    <m/>
    <n v="-27"/>
    <m/>
    <m/>
    <s v="debit"/>
    <m/>
    <x v="3014"/>
    <m/>
    <m/>
  </r>
  <r>
    <x v="52"/>
    <d v="2023-02-26T00:00:00"/>
    <s v="Cash Rewards Visa Signature"/>
    <x v="3420"/>
    <n v="42.55"/>
    <x v="38"/>
    <e v="#N/A"/>
    <s v="Exp - Groceries"/>
    <m/>
    <n v="-42.55"/>
    <m/>
    <m/>
    <s v="debit"/>
    <m/>
    <x v="3015"/>
    <m/>
    <m/>
  </r>
  <r>
    <x v="52"/>
    <d v="2023-02-26T00:00:00"/>
    <s v="Cash Rewards Visa Signature"/>
    <x v="3421"/>
    <n v="84.31"/>
    <x v="38"/>
    <e v="#N/A"/>
    <s v="Exp - Groceries"/>
    <m/>
    <n v="-84.31"/>
    <m/>
    <m/>
    <s v="debit"/>
    <m/>
    <x v="3016"/>
    <m/>
    <m/>
  </r>
  <r>
    <x v="52"/>
    <d v="2023-02-26T00:00:00"/>
    <s v="Cash Rewards Visa Signature"/>
    <x v="3422"/>
    <n v="175.03"/>
    <x v="35"/>
    <e v="#N/A"/>
    <s v="Exp - Entertainment"/>
    <m/>
    <n v="-175.03"/>
    <m/>
    <m/>
    <s v="debit"/>
    <m/>
    <x v="3017"/>
    <m/>
    <m/>
  </r>
  <r>
    <x v="52"/>
    <d v="2023-02-27T00:00:00"/>
    <s v="Cash Rewards Visa Signature"/>
    <x v="3423"/>
    <n v="11.34"/>
    <x v="35"/>
    <e v="#N/A"/>
    <s v="Exp - Entertainment"/>
    <m/>
    <n v="-11.34"/>
    <m/>
    <m/>
    <s v="debit"/>
    <m/>
    <x v="3018"/>
    <m/>
    <m/>
  </r>
  <r>
    <x v="52"/>
    <d v="2023-02-27T00:00:00"/>
    <s v="Cash Rewards Visa Signature"/>
    <x v="3424"/>
    <n v="22.88"/>
    <x v="35"/>
    <e v="#N/A"/>
    <s v="Exp - Entertainment"/>
    <m/>
    <n v="-22.88"/>
    <m/>
    <m/>
    <s v="debit"/>
    <m/>
    <x v="3019"/>
    <m/>
    <m/>
  </r>
  <r>
    <x v="52"/>
    <d v="2023-02-27T00:00:00"/>
    <s v="Cash Rewards Visa Signature"/>
    <x v="3425"/>
    <n v="76.36"/>
    <x v="41"/>
    <e v="#N/A"/>
    <s v="Exp - Amazon"/>
    <m/>
    <n v="-76.36"/>
    <m/>
    <m/>
    <s v="debit"/>
    <m/>
    <x v="3020"/>
    <m/>
    <m/>
  </r>
  <r>
    <x v="52"/>
    <d v="2023-02-27T00:00:00"/>
    <s v="Cash Rewards Visa Signature"/>
    <x v="3426"/>
    <n v="97.65"/>
    <x v="38"/>
    <e v="#N/A"/>
    <s v="Exp - Groceries"/>
    <m/>
    <n v="-97.65"/>
    <m/>
    <m/>
    <s v="debit"/>
    <m/>
    <x v="3021"/>
    <m/>
    <m/>
  </r>
  <r>
    <x v="52"/>
    <d v="2023-02-27T00:00:00"/>
    <s v="Cash Rewards Visa Signature"/>
    <x v="3427"/>
    <n v="256"/>
    <x v="32"/>
    <e v="#N/A"/>
    <s v="Exp - Shopping"/>
    <m/>
    <n v="-256"/>
    <m/>
    <m/>
    <s v="debit"/>
    <m/>
    <x v="3022"/>
    <m/>
    <m/>
  </r>
  <r>
    <x v="52"/>
    <d v="2023-02-27T00:00:00"/>
    <s v="Cash Rewards Visa Signature"/>
    <x v="3428"/>
    <n v="90.2"/>
    <x v="3"/>
    <e v="#N/A"/>
    <s v="Delete"/>
    <m/>
    <n v="-90.2"/>
    <m/>
    <m/>
    <s v="debit"/>
    <m/>
    <x v="3023"/>
    <m/>
    <m/>
  </r>
  <r>
    <x v="52"/>
    <d v="2023-02-27T00:00:00"/>
    <s v="POWERPLUS"/>
    <x v="3429"/>
    <n v="630.07000000000005"/>
    <x v="45"/>
    <e v="#N/A"/>
    <s v="Exp - Target"/>
    <m/>
    <n v="-630.07000000000005"/>
    <m/>
    <m/>
    <s v="debit"/>
    <m/>
    <x v="2040"/>
    <m/>
    <m/>
  </r>
  <r>
    <x v="52"/>
    <d v="2023-02-28T00:00:00"/>
    <s v="POWERPLUS"/>
    <x v="2412"/>
    <n v="5"/>
    <x v="13"/>
    <e v="#N/A"/>
    <s v="Inc - Other"/>
    <m/>
    <n v="5"/>
    <m/>
    <m/>
    <s v="credit"/>
    <m/>
    <x v="2228"/>
    <m/>
    <m/>
  </r>
  <r>
    <x v="52"/>
    <d v="2023-02-28T00:00:00"/>
    <s v="POWERPLUS"/>
    <x v="3430"/>
    <n v="45.29"/>
    <x v="13"/>
    <e v="#N/A"/>
    <s v="Inc - Other"/>
    <m/>
    <n v="45.29"/>
    <m/>
    <m/>
    <s v="credit"/>
    <m/>
    <x v="3024"/>
    <m/>
    <m/>
  </r>
  <r>
    <x v="52"/>
    <d v="2023-02-28T00:00:00"/>
    <s v="Cash Rewards Visa Signature"/>
    <x v="3431"/>
    <n v="40.479999999999997"/>
    <x v="37"/>
    <e v="#N/A"/>
    <s v="Exp - Transportation"/>
    <m/>
    <n v="-40.479999999999997"/>
    <m/>
    <m/>
    <s v="debit"/>
    <m/>
    <x v="3025"/>
    <m/>
    <m/>
  </r>
  <r>
    <x v="52"/>
    <d v="2023-02-28T00:00:00"/>
    <s v="Cash Rewards Visa Signature"/>
    <x v="3432"/>
    <n v="256"/>
    <x v="32"/>
    <e v="#N/A"/>
    <s v="Exp - Shopping"/>
    <m/>
    <n v="256"/>
    <m/>
    <m/>
    <s v="credit"/>
    <m/>
    <x v="3026"/>
    <m/>
    <m/>
  </r>
  <r>
    <x v="52"/>
    <d v="2023-02-28T00:00:00"/>
    <s v="Cash Rewards Visa Signature"/>
    <x v="3433"/>
    <n v="2"/>
    <x v="38"/>
    <e v="#N/A"/>
    <s v="Exp - Groceries"/>
    <m/>
    <n v="-2"/>
    <m/>
    <m/>
    <s v="debit"/>
    <m/>
    <x v="3027"/>
    <m/>
    <m/>
  </r>
  <r>
    <x v="52"/>
    <d v="2023-02-28T00:00:00"/>
    <s v="POWERPLUS"/>
    <x v="3434"/>
    <n v="330"/>
    <x v="40"/>
    <e v="#N/A"/>
    <s v="Exp - Day Care"/>
    <m/>
    <n v="-330"/>
    <m/>
    <m/>
    <s v="debit"/>
    <m/>
    <x v="2007"/>
    <m/>
    <m/>
  </r>
  <r>
    <x v="52"/>
    <d v="2023-02-28T00:00:00"/>
    <s v="POWERPLUS"/>
    <x v="3435"/>
    <n v="0.99"/>
    <x v="32"/>
    <e v="#N/A"/>
    <s v="Exp - Shopping"/>
    <m/>
    <n v="-0.99"/>
    <m/>
    <m/>
    <s v="debit"/>
    <m/>
    <x v="2045"/>
    <m/>
    <m/>
  </r>
  <r>
    <x v="52"/>
    <d v="2023-02-28T00:00:00"/>
    <s v="POWERPLUS"/>
    <x v="3436"/>
    <n v="0.99"/>
    <x v="32"/>
    <e v="#N/A"/>
    <s v="Exp - Shopping"/>
    <m/>
    <n v="-0.99"/>
    <m/>
    <m/>
    <s v="debit"/>
    <m/>
    <x v="2045"/>
    <m/>
    <m/>
  </r>
  <r>
    <x v="53"/>
    <d v="2023-03-01T00:00:00"/>
    <s v="Discover More Card - Ending in 7779"/>
    <x v="0"/>
    <n v="121.8"/>
    <x v="0"/>
    <s v="Amazon"/>
    <m/>
    <m/>
    <m/>
    <m/>
    <m/>
    <m/>
    <m/>
    <x v="0"/>
    <m/>
    <m/>
  </r>
  <r>
    <x v="53"/>
    <d v="2023-03-01T00:00:00"/>
    <s v="Powerplus - Ending in 8s01"/>
    <x v="1334"/>
    <n v="2606.27"/>
    <x v="6"/>
    <s v="Rent"/>
    <m/>
    <m/>
    <m/>
    <m/>
    <m/>
    <m/>
    <m/>
    <x v="1261"/>
    <m/>
    <m/>
  </r>
  <r>
    <x v="53"/>
    <d v="2023-03-01T00:00:00"/>
    <s v="Manual"/>
    <x v="3437"/>
    <n v="250"/>
    <x v="33"/>
    <m/>
    <s v="Exp - Cleaning"/>
    <m/>
    <m/>
    <m/>
    <m/>
    <m/>
    <m/>
    <x v="3028"/>
    <m/>
    <m/>
  </r>
  <r>
    <x v="53"/>
    <d v="2023-03-01T00:00:00"/>
    <s v="Powerplus - Ending in 8s01"/>
    <x v="3438"/>
    <n v="500"/>
    <x v="21"/>
    <s v="Savings"/>
    <m/>
    <m/>
    <m/>
    <m/>
    <m/>
    <m/>
    <m/>
    <x v="3029"/>
    <m/>
    <m/>
  </r>
  <r>
    <x v="53"/>
    <d v="2023-03-01T00:00:00"/>
    <s v="Powerplus - Ending in 8s01"/>
    <x v="3320"/>
    <n v="5804.35"/>
    <x v="3"/>
    <s v="Credit Card Payments"/>
    <m/>
    <m/>
    <m/>
    <m/>
    <m/>
    <m/>
    <m/>
    <x v="2939"/>
    <m/>
    <m/>
  </r>
  <r>
    <x v="53"/>
    <d v="2023-03-01T00:00:00"/>
    <s v="Powerplus - Ending in 8s01"/>
    <x v="3439"/>
    <n v="618.65"/>
    <x v="22"/>
    <s v="Car Loan"/>
    <m/>
    <m/>
    <m/>
    <m/>
    <m/>
    <m/>
    <m/>
    <x v="3030"/>
    <m/>
    <m/>
  </r>
  <r>
    <x v="53"/>
    <d v="2023-03-01T00:00:00"/>
    <s v="Cash Rewards Visa Signature - Ending in 5913"/>
    <x v="3440"/>
    <n v="-5804.35"/>
    <x v="3"/>
    <s v="Credit Card Payments"/>
    <m/>
    <m/>
    <m/>
    <m/>
    <m/>
    <m/>
    <m/>
    <x v="3031"/>
    <m/>
    <m/>
  </r>
  <r>
    <x v="53"/>
    <d v="2023-03-02T00:00:00"/>
    <s v="Cash Rewards Visa Signature - Ending in 5913"/>
    <x v="3441"/>
    <n v="74"/>
    <x v="11"/>
    <s v="Utilities"/>
    <m/>
    <m/>
    <m/>
    <m/>
    <m/>
    <m/>
    <m/>
    <x v="3032"/>
    <m/>
    <m/>
  </r>
  <r>
    <x v="53"/>
    <d v="2023-03-02T00:00:00"/>
    <s v="Cash Rewards Visa Signature - Ending in 5913"/>
    <x v="3442"/>
    <n v="74"/>
    <x v="11"/>
    <s v="Utilities"/>
    <m/>
    <m/>
    <m/>
    <m/>
    <m/>
    <m/>
    <m/>
    <x v="3033"/>
    <m/>
    <m/>
  </r>
  <r>
    <x v="53"/>
    <d v="2023-03-02T00:00:00"/>
    <s v="Cash Rewards Visa Signature - Ending in 5913"/>
    <x v="598"/>
    <n v="5.36"/>
    <x v="10"/>
    <s v="Entertainment"/>
    <m/>
    <m/>
    <m/>
    <m/>
    <m/>
    <m/>
    <m/>
    <x v="579"/>
    <m/>
    <m/>
  </r>
  <r>
    <x v="53"/>
    <d v="2023-03-02T00:00:00"/>
    <s v="Powerplus - Ending in 8s01"/>
    <x v="3443"/>
    <n v="-2434.23"/>
    <x v="3"/>
    <s v="Deposits"/>
    <m/>
    <m/>
    <m/>
    <m/>
    <m/>
    <m/>
    <m/>
    <x v="3034"/>
    <m/>
    <m/>
  </r>
  <r>
    <x v="53"/>
    <d v="2023-03-02T00:00:00"/>
    <s v="Cash Rewards Visa Signature - Ending in 5913"/>
    <x v="3444"/>
    <n v="5.55"/>
    <x v="8"/>
    <s v="Shopping"/>
    <m/>
    <m/>
    <m/>
    <m/>
    <m/>
    <m/>
    <m/>
    <x v="3035"/>
    <m/>
    <m/>
  </r>
  <r>
    <x v="53"/>
    <d v="2023-03-02T00:00:00"/>
    <s v="Cash Rewards Visa Signature - Ending in 5913"/>
    <x v="1971"/>
    <n v="128"/>
    <x v="8"/>
    <s v="Shopping"/>
    <m/>
    <m/>
    <m/>
    <m/>
    <m/>
    <m/>
    <m/>
    <x v="1821"/>
    <m/>
    <m/>
  </r>
  <r>
    <x v="53"/>
    <d v="2023-03-03T00:00:00"/>
    <s v="Cash Rewards Visa Signature - Ending in 5913"/>
    <x v="3445"/>
    <n v="3.36"/>
    <x v="24"/>
    <s v="Travel"/>
    <m/>
    <m/>
    <m/>
    <m/>
    <m/>
    <m/>
    <m/>
    <x v="3036"/>
    <m/>
    <m/>
  </r>
  <r>
    <x v="53"/>
    <d v="2023-03-03T00:00:00"/>
    <s v="Cash Rewards Visa Signature - Ending in 5913"/>
    <x v="3446"/>
    <n v="26.02"/>
    <x v="1"/>
    <s v="Restaurants"/>
    <m/>
    <m/>
    <m/>
    <m/>
    <m/>
    <m/>
    <m/>
    <x v="3037"/>
    <m/>
    <m/>
  </r>
  <r>
    <x v="53"/>
    <d v="2023-03-05T00:00:00"/>
    <s v="Cash Rewards Visa Signature - Ending in 5913"/>
    <x v="3447"/>
    <n v="80.599999999999994"/>
    <x v="1"/>
    <s v="Restaurants"/>
    <m/>
    <m/>
    <m/>
    <m/>
    <m/>
    <m/>
    <m/>
    <x v="3038"/>
    <m/>
    <m/>
  </r>
  <r>
    <x v="53"/>
    <d v="2023-03-05T00:00:00"/>
    <s v="Cash Rewards Visa Signature - Ending in 5913"/>
    <x v="3448"/>
    <n v="127.44"/>
    <x v="8"/>
    <s v="Shopping"/>
    <m/>
    <m/>
    <m/>
    <m/>
    <m/>
    <m/>
    <m/>
    <x v="3039"/>
    <m/>
    <m/>
  </r>
  <r>
    <x v="53"/>
    <d v="2023-03-05T00:00:00"/>
    <s v="Cash Rewards Visa Signature - Ending in 5913"/>
    <x v="3449"/>
    <n v="34.450000000000003"/>
    <x v="1"/>
    <s v="Restaurants"/>
    <m/>
    <m/>
    <m/>
    <m/>
    <m/>
    <m/>
    <m/>
    <x v="3040"/>
    <m/>
    <m/>
  </r>
  <r>
    <x v="53"/>
    <d v="2023-03-05T00:00:00"/>
    <s v="Cash Rewards Visa Signature - Ending in 5913"/>
    <x v="3450"/>
    <n v="20.23"/>
    <x v="1"/>
    <s v="Restaurants"/>
    <m/>
    <m/>
    <m/>
    <m/>
    <m/>
    <m/>
    <m/>
    <x v="3041"/>
    <m/>
    <m/>
  </r>
  <r>
    <x v="53"/>
    <d v="2023-03-05T00:00:00"/>
    <s v="Cash Rewards Visa Signature - Ending in 5913"/>
    <x v="3451"/>
    <n v="-83.3"/>
    <x v="8"/>
    <s v="Shopping"/>
    <m/>
    <m/>
    <m/>
    <m/>
    <m/>
    <m/>
    <m/>
    <x v="3042"/>
    <m/>
    <m/>
  </r>
  <r>
    <x v="53"/>
    <d v="2023-03-05T00:00:00"/>
    <s v="Cash Rewards Visa Signature - Ending in 5913"/>
    <x v="3452"/>
    <n v="10.27"/>
    <x v="1"/>
    <s v="Restaurants"/>
    <m/>
    <m/>
    <m/>
    <m/>
    <m/>
    <m/>
    <m/>
    <x v="3043"/>
    <m/>
    <m/>
  </r>
  <r>
    <x v="53"/>
    <d v="2023-03-05T00:00:00"/>
    <s v="Cash Rewards Visa Signature - Ending in 5913"/>
    <x v="3452"/>
    <n v="35.619999999999997"/>
    <x v="1"/>
    <s v="Restaurants"/>
    <m/>
    <m/>
    <m/>
    <m/>
    <m/>
    <m/>
    <m/>
    <x v="3043"/>
    <m/>
    <m/>
  </r>
  <r>
    <x v="53"/>
    <d v="2023-03-05T00:00:00"/>
    <s v="Cash Rewards Visa Signature - Ending in 5913"/>
    <x v="3446"/>
    <n v="49.2"/>
    <x v="1"/>
    <s v="Restaurants"/>
    <m/>
    <m/>
    <m/>
    <m/>
    <m/>
    <m/>
    <m/>
    <x v="3037"/>
    <m/>
    <m/>
  </r>
  <r>
    <x v="53"/>
    <d v="2023-03-05T00:00:00"/>
    <s v="Cash Rewards Visa Signature - Ending in 5913"/>
    <x v="3453"/>
    <n v="-68.599999999999994"/>
    <x v="8"/>
    <s v="Shopping"/>
    <m/>
    <m/>
    <m/>
    <m/>
    <m/>
    <m/>
    <m/>
    <x v="3044"/>
    <m/>
    <m/>
  </r>
  <r>
    <x v="53"/>
    <d v="2023-03-05T00:00:00"/>
    <s v="Cash Rewards Visa Signature - Ending in 5913"/>
    <x v="3454"/>
    <n v="9.07"/>
    <x v="1"/>
    <s v="Restaurants"/>
    <m/>
    <m/>
    <m/>
    <m/>
    <m/>
    <m/>
    <m/>
    <x v="3045"/>
    <m/>
    <m/>
  </r>
  <r>
    <x v="53"/>
    <d v="2023-03-06T00:00:00"/>
    <s v="Cash Rewards Visa Signature - Ending in 5913"/>
    <x v="3455"/>
    <n v="31.46"/>
    <x v="1"/>
    <s v="Restaurants"/>
    <m/>
    <m/>
    <m/>
    <m/>
    <m/>
    <m/>
    <m/>
    <x v="3046"/>
    <m/>
    <m/>
  </r>
  <r>
    <x v="53"/>
    <d v="2023-03-06T00:00:00"/>
    <s v="Cash Rewards Visa Signature - Ending in 5913"/>
    <x v="3456"/>
    <n v="27.15"/>
    <x v="1"/>
    <s v="Restaurants"/>
    <m/>
    <m/>
    <m/>
    <m/>
    <m/>
    <m/>
    <m/>
    <x v="3047"/>
    <m/>
    <m/>
  </r>
  <r>
    <x v="53"/>
    <d v="2023-03-06T00:00:00"/>
    <s v="Cash Rewards Visa Signature - Ending in 5913"/>
    <x v="3446"/>
    <n v="38.840000000000003"/>
    <x v="1"/>
    <s v="Restaurants"/>
    <m/>
    <m/>
    <m/>
    <m/>
    <m/>
    <m/>
    <m/>
    <x v="3037"/>
    <m/>
    <m/>
  </r>
  <r>
    <x v="53"/>
    <d v="2023-03-06T00:00:00"/>
    <s v="Cash Rewards Visa Signature - Ending in 5913"/>
    <x v="3457"/>
    <n v="78.88"/>
    <x v="1"/>
    <s v="Restaurants"/>
    <m/>
    <m/>
    <m/>
    <m/>
    <m/>
    <m/>
    <m/>
    <x v="3048"/>
    <m/>
    <m/>
  </r>
  <r>
    <x v="53"/>
    <d v="2023-03-06T00:00:00"/>
    <s v="Cash Rewards Visa Signature - Ending in 5913"/>
    <x v="3458"/>
    <n v="16.91"/>
    <x v="1"/>
    <s v="Restaurants"/>
    <m/>
    <m/>
    <m/>
    <m/>
    <m/>
    <m/>
    <m/>
    <x v="3049"/>
    <m/>
    <m/>
  </r>
  <r>
    <x v="53"/>
    <d v="2023-03-06T00:00:00"/>
    <s v="Cash Rewards Visa Signature - Ending in 5913"/>
    <x v="3459"/>
    <n v="8.56"/>
    <x v="1"/>
    <s v="Restaurants"/>
    <m/>
    <m/>
    <m/>
    <m/>
    <m/>
    <m/>
    <m/>
    <x v="3050"/>
    <m/>
    <m/>
  </r>
  <r>
    <x v="53"/>
    <d v="2023-03-06T00:00:00"/>
    <s v="Cash Rewards Visa Signature - Ending in 5913"/>
    <x v="3460"/>
    <n v="42.77"/>
    <x v="8"/>
    <s v="Shopping"/>
    <m/>
    <m/>
    <m/>
    <m/>
    <m/>
    <m/>
    <m/>
    <x v="3051"/>
    <m/>
    <m/>
  </r>
  <r>
    <x v="53"/>
    <d v="2023-03-06T00:00:00"/>
    <s v="Cash Rewards Visa Signature - Ending in 5913"/>
    <x v="3461"/>
    <n v="18.45"/>
    <x v="1"/>
    <s v="Restaurants"/>
    <m/>
    <m/>
    <m/>
    <m/>
    <m/>
    <m/>
    <m/>
    <x v="3052"/>
    <m/>
    <m/>
  </r>
  <r>
    <x v="53"/>
    <d v="2023-03-06T00:00:00"/>
    <s v="Powerplus - Ending in 8s01"/>
    <x v="29"/>
    <n v="2"/>
    <x v="8"/>
    <s v="Shopping"/>
    <m/>
    <m/>
    <m/>
    <m/>
    <m/>
    <m/>
    <m/>
    <x v="29"/>
    <m/>
    <m/>
  </r>
  <r>
    <x v="53"/>
    <d v="2023-03-06T00:00:00"/>
    <s v="Cash Rewards Visa Signature - Ending in 5913"/>
    <x v="3462"/>
    <n v="25.94"/>
    <x v="8"/>
    <s v="Shopping"/>
    <m/>
    <m/>
    <m/>
    <m/>
    <m/>
    <m/>
    <m/>
    <x v="3053"/>
    <m/>
    <m/>
  </r>
  <r>
    <x v="53"/>
    <d v="2023-03-07T00:00:00"/>
    <s v="Cash Rewards Visa Signature - Ending in 5913"/>
    <x v="3463"/>
    <n v="48.11"/>
    <x v="1"/>
    <s v="Restaurants"/>
    <m/>
    <m/>
    <m/>
    <m/>
    <m/>
    <m/>
    <m/>
    <x v="3054"/>
    <m/>
    <m/>
  </r>
  <r>
    <x v="53"/>
    <d v="2023-03-07T00:00:00"/>
    <s v="Cash Rewards Visa Signature - Ending in 5913"/>
    <x v="3464"/>
    <n v="108.88"/>
    <x v="1"/>
    <s v="Restaurants"/>
    <m/>
    <m/>
    <m/>
    <m/>
    <m/>
    <m/>
    <m/>
    <x v="3055"/>
    <m/>
    <m/>
  </r>
  <r>
    <x v="53"/>
    <d v="2023-03-07T00:00:00"/>
    <s v="Cash Rewards Visa Signature - Ending in 5913"/>
    <x v="3465"/>
    <n v="10.69"/>
    <x v="8"/>
    <s v="Shopping"/>
    <m/>
    <m/>
    <m/>
    <m/>
    <m/>
    <m/>
    <m/>
    <x v="3056"/>
    <m/>
    <m/>
  </r>
  <r>
    <x v="53"/>
    <d v="2023-03-07T00:00:00"/>
    <s v="Cash Rewards Visa Signature - Ending in 5913"/>
    <x v="3460"/>
    <n v="163.65"/>
    <x v="8"/>
    <s v="Shopping"/>
    <m/>
    <m/>
    <m/>
    <m/>
    <m/>
    <m/>
    <m/>
    <x v="3051"/>
    <m/>
    <m/>
  </r>
  <r>
    <x v="53"/>
    <d v="2023-03-07T00:00:00"/>
    <s v="Powerplus - Ending in 8s01"/>
    <x v="29"/>
    <n v="25"/>
    <x v="8"/>
    <s v="Shopping"/>
    <m/>
    <m/>
    <m/>
    <m/>
    <m/>
    <m/>
    <m/>
    <x v="29"/>
    <m/>
    <m/>
  </r>
  <r>
    <x v="53"/>
    <d v="2023-03-07T00:00:00"/>
    <s v="Powerplus - Ending in 8s01"/>
    <x v="29"/>
    <n v="19"/>
    <x v="8"/>
    <s v="Shopping"/>
    <m/>
    <m/>
    <m/>
    <m/>
    <m/>
    <m/>
    <m/>
    <x v="29"/>
    <m/>
    <m/>
  </r>
  <r>
    <x v="53"/>
    <d v="2023-03-07T00:00:00"/>
    <s v="Powerplus - Ending in 8s01"/>
    <x v="29"/>
    <n v="125"/>
    <x v="8"/>
    <s v="Shopping"/>
    <m/>
    <m/>
    <m/>
    <m/>
    <m/>
    <m/>
    <m/>
    <x v="29"/>
    <m/>
    <m/>
  </r>
  <r>
    <x v="53"/>
    <d v="2023-03-07T00:00:00"/>
    <s v="Powerplus - Ending in 8s01"/>
    <x v="3466"/>
    <n v="330"/>
    <x v="4"/>
    <s v="Day Care"/>
    <m/>
    <m/>
    <m/>
    <m/>
    <m/>
    <m/>
    <m/>
    <x v="3057"/>
    <m/>
    <m/>
  </r>
  <r>
    <x v="53"/>
    <d v="2023-03-08T00:00:00"/>
    <s v="Cash Rewards Visa Signature - Ending in 5913"/>
    <x v="3467"/>
    <n v="9.59"/>
    <x v="2"/>
    <s v="Transportation"/>
    <m/>
    <m/>
    <m/>
    <m/>
    <m/>
    <m/>
    <m/>
    <x v="3058"/>
    <m/>
    <m/>
  </r>
  <r>
    <x v="53"/>
    <d v="2023-03-08T00:00:00"/>
    <s v="Cash Rewards Visa Signature - Ending in 5913"/>
    <x v="523"/>
    <n v="33.049999999999997"/>
    <x v="1"/>
    <s v="Restaurants"/>
    <m/>
    <m/>
    <m/>
    <m/>
    <m/>
    <m/>
    <m/>
    <x v="504"/>
    <m/>
    <m/>
  </r>
  <r>
    <x v="53"/>
    <d v="2023-03-08T00:00:00"/>
    <s v="Cash Rewards Visa Signature - Ending in 5913"/>
    <x v="3468"/>
    <n v="59.61"/>
    <x v="1"/>
    <s v="Restaurants"/>
    <m/>
    <m/>
    <m/>
    <m/>
    <m/>
    <m/>
    <m/>
    <x v="3059"/>
    <m/>
    <m/>
  </r>
  <r>
    <x v="53"/>
    <d v="2023-03-08T00:00:00"/>
    <s v="Cash Rewards Visa Signature - Ending in 5913"/>
    <x v="3469"/>
    <n v="272.52999999999997"/>
    <x v="24"/>
    <s v="Travel"/>
    <m/>
    <m/>
    <m/>
    <m/>
    <m/>
    <m/>
    <m/>
    <x v="3060"/>
    <m/>
    <m/>
  </r>
  <r>
    <x v="53"/>
    <d v="2023-03-08T00:00:00"/>
    <s v="Cash Rewards Visa Signature - Ending in 5913"/>
    <x v="3470"/>
    <n v="8.98"/>
    <x v="1"/>
    <s v="Restaurants"/>
    <m/>
    <m/>
    <m/>
    <m/>
    <m/>
    <m/>
    <m/>
    <x v="3061"/>
    <m/>
    <m/>
  </r>
  <r>
    <x v="53"/>
    <d v="2023-03-08T00:00:00"/>
    <s v="Cash Rewards Visa Signature - Ending in 5913"/>
    <x v="3471"/>
    <n v="4.43"/>
    <x v="1"/>
    <s v="Restaurants"/>
    <m/>
    <m/>
    <m/>
    <m/>
    <m/>
    <m/>
    <m/>
    <x v="3062"/>
    <m/>
    <m/>
  </r>
  <r>
    <x v="53"/>
    <d v="2023-03-09T00:00:00"/>
    <s v="Cash Rewards Visa Signature - Ending in 5913"/>
    <x v="0"/>
    <n v="31.14"/>
    <x v="0"/>
    <s v="Amazon"/>
    <m/>
    <m/>
    <m/>
    <m/>
    <m/>
    <m/>
    <m/>
    <x v="0"/>
    <m/>
    <m/>
  </r>
  <r>
    <x v="53"/>
    <d v="2023-03-09T00:00:00"/>
    <s v="Cash Rewards Visa Signature - Ending in 5913"/>
    <x v="1348"/>
    <n v="210.59"/>
    <x v="11"/>
    <s v="Utilities"/>
    <m/>
    <m/>
    <m/>
    <m/>
    <m/>
    <m/>
    <m/>
    <x v="1273"/>
    <m/>
    <m/>
  </r>
  <r>
    <x v="53"/>
    <d v="2023-03-09T00:00:00"/>
    <s v="Cash Rewards Visa Signature - Ending in 5913"/>
    <x v="3472"/>
    <n v="50"/>
    <x v="4"/>
    <s v="Day Care"/>
    <m/>
    <m/>
    <m/>
    <m/>
    <m/>
    <m/>
    <m/>
    <x v="3063"/>
    <m/>
    <m/>
  </r>
  <r>
    <x v="53"/>
    <d v="2023-03-09T00:00:00"/>
    <s v="Cash Rewards Visa Signature - Ending in 5913"/>
    <x v="188"/>
    <n v="45.63"/>
    <x v="1"/>
    <s v="Restaurants"/>
    <m/>
    <m/>
    <m/>
    <m/>
    <m/>
    <m/>
    <m/>
    <x v="187"/>
    <m/>
    <m/>
  </r>
  <r>
    <x v="53"/>
    <d v="2023-03-09T00:00:00"/>
    <s v="Cash Rewards Visa Signature - Ending in 5913"/>
    <x v="1867"/>
    <n v="47.25"/>
    <x v="27"/>
    <s v="Gym"/>
    <m/>
    <m/>
    <m/>
    <m/>
    <m/>
    <m/>
    <m/>
    <x v="1721"/>
    <m/>
    <m/>
  </r>
  <r>
    <x v="53"/>
    <d v="2023-03-10T00:00:00"/>
    <s v="Cash Rewards Visa Signature - Ending in 5913"/>
    <x v="3473"/>
    <n v="10.99"/>
    <x v="24"/>
    <s v="Travel"/>
    <m/>
    <m/>
    <m/>
    <m/>
    <m/>
    <m/>
    <m/>
    <x v="3064"/>
    <m/>
    <m/>
  </r>
  <r>
    <x v="53"/>
    <d v="2023-03-10T00:00:00"/>
    <s v="Cash Rewards Visa Signature - Ending in 5913"/>
    <x v="1861"/>
    <n v="527.79999999999995"/>
    <x v="3"/>
    <s v="Empyrean Travel"/>
    <m/>
    <m/>
    <m/>
    <m/>
    <m/>
    <m/>
    <m/>
    <x v="1715"/>
    <m/>
    <m/>
  </r>
  <r>
    <x v="53"/>
    <d v="2023-03-10T00:00:00"/>
    <s v="Cash Rewards Visa Signature - Ending in 5913"/>
    <x v="487"/>
    <n v="129"/>
    <x v="8"/>
    <s v="Shopping"/>
    <m/>
    <m/>
    <m/>
    <m/>
    <m/>
    <m/>
    <m/>
    <x v="470"/>
    <m/>
    <m/>
  </r>
  <r>
    <x v="53"/>
    <d v="2023-03-11T00:00:00"/>
    <s v="Discover More Card - Ending in 7779"/>
    <x v="6"/>
    <n v="62.88"/>
    <x v="5"/>
    <s v="Groceries"/>
    <m/>
    <m/>
    <m/>
    <m/>
    <m/>
    <m/>
    <m/>
    <x v="6"/>
    <m/>
    <m/>
  </r>
  <r>
    <x v="53"/>
    <d v="2023-03-12T00:00:00"/>
    <s v="Cash Rewards Visa Signature - Ending in 5913"/>
    <x v="3474"/>
    <n v="11.32"/>
    <x v="20"/>
    <s v="Dry Cleaning"/>
    <m/>
    <m/>
    <m/>
    <m/>
    <m/>
    <m/>
    <m/>
    <x v="3065"/>
    <m/>
    <m/>
  </r>
  <r>
    <x v="53"/>
    <d v="2023-03-12T00:00:00"/>
    <s v="Cash Rewards Visa Signature - Ending in 5913"/>
    <x v="3475"/>
    <n v="7"/>
    <x v="24"/>
    <s v="Travel"/>
    <m/>
    <m/>
    <m/>
    <m/>
    <m/>
    <m/>
    <m/>
    <x v="3066"/>
    <m/>
    <m/>
  </r>
  <r>
    <x v="53"/>
    <d v="2023-03-12T00:00:00"/>
    <s v="Cash Rewards Visa Signature - Ending in 5913"/>
    <x v="0"/>
    <n v="292.89999999999998"/>
    <x v="0"/>
    <s v="Amazon"/>
    <m/>
    <m/>
    <m/>
    <m/>
    <m/>
    <m/>
    <m/>
    <x v="0"/>
    <m/>
    <m/>
  </r>
  <r>
    <x v="53"/>
    <d v="2023-03-12T00:00:00"/>
    <s v="Cash Rewards Visa Signature - Ending in 5913"/>
    <x v="3476"/>
    <n v="42.39"/>
    <x v="1"/>
    <s v="Restaurants"/>
    <m/>
    <m/>
    <m/>
    <m/>
    <m/>
    <m/>
    <m/>
    <x v="3067"/>
    <m/>
    <m/>
  </r>
  <r>
    <x v="53"/>
    <d v="2023-03-12T00:00:00"/>
    <s v="Cash Rewards Visa Signature - Ending in 5913"/>
    <x v="3477"/>
    <n v="101.38"/>
    <x v="24"/>
    <s v="Travel"/>
    <m/>
    <m/>
    <m/>
    <m/>
    <m/>
    <m/>
    <m/>
    <x v="3068"/>
    <m/>
    <m/>
  </r>
  <r>
    <x v="53"/>
    <d v="2023-03-12T00:00:00"/>
    <s v="Cash Rewards Visa Signature - Ending in 5913"/>
    <x v="1305"/>
    <n v="108.54"/>
    <x v="1"/>
    <s v="Restaurants"/>
    <m/>
    <m/>
    <m/>
    <m/>
    <m/>
    <m/>
    <m/>
    <x v="1236"/>
    <m/>
    <m/>
  </r>
  <r>
    <x v="53"/>
    <d v="2023-03-12T00:00:00"/>
    <s v="Cash Rewards Visa Signature - Ending in 5913"/>
    <x v="3478"/>
    <n v="26.7"/>
    <x v="1"/>
    <s v="Restaurants"/>
    <m/>
    <m/>
    <m/>
    <m/>
    <m/>
    <m/>
    <m/>
    <x v="3069"/>
    <m/>
    <m/>
  </r>
  <r>
    <x v="53"/>
    <d v="2023-03-13T00:00:00"/>
    <s v="Cash Rewards Visa Signature - Ending in 5913"/>
    <x v="3479"/>
    <n v="25"/>
    <x v="10"/>
    <s v="Entertainment"/>
    <m/>
    <m/>
    <m/>
    <m/>
    <m/>
    <m/>
    <m/>
    <x v="3070"/>
    <m/>
    <m/>
  </r>
  <r>
    <x v="53"/>
    <d v="2023-03-13T00:00:00"/>
    <s v="Powerplus - Ending in 8s01"/>
    <x v="455"/>
    <n v="10.73"/>
    <x v="3"/>
    <s v="Credit Card Payments"/>
    <m/>
    <m/>
    <m/>
    <m/>
    <m/>
    <m/>
    <m/>
    <x v="439"/>
    <m/>
    <m/>
  </r>
  <r>
    <x v="53"/>
    <d v="2023-03-13T00:00:00"/>
    <s v="Cash Rewards Visa Signature - Ending in 5913"/>
    <x v="3480"/>
    <n v="146"/>
    <x v="1"/>
    <s v="Restaurants"/>
    <m/>
    <m/>
    <m/>
    <m/>
    <m/>
    <m/>
    <m/>
    <x v="3071"/>
    <m/>
    <m/>
  </r>
  <r>
    <x v="53"/>
    <d v="2023-03-13T00:00:00"/>
    <s v="Cash Rewards Visa Signature - Ending in 5913"/>
    <x v="3481"/>
    <n v="204.4"/>
    <x v="1"/>
    <s v="Restaurants"/>
    <m/>
    <m/>
    <m/>
    <m/>
    <m/>
    <m/>
    <m/>
    <x v="3072"/>
    <m/>
    <m/>
  </r>
  <r>
    <x v="53"/>
    <d v="2023-03-13T00:00:00"/>
    <s v="Cash Rewards Visa Signature - Ending in 5913"/>
    <x v="3482"/>
    <n v="8.15"/>
    <x v="5"/>
    <s v="Groceries"/>
    <m/>
    <m/>
    <m/>
    <m/>
    <m/>
    <m/>
    <m/>
    <x v="3073"/>
    <m/>
    <m/>
  </r>
  <r>
    <x v="53"/>
    <d v="2023-03-13T00:00:00"/>
    <s v="Cash Rewards Visa Signature - Ending in 5913"/>
    <x v="67"/>
    <n v="45"/>
    <x v="11"/>
    <s v="Utilities"/>
    <m/>
    <m/>
    <m/>
    <m/>
    <m/>
    <m/>
    <m/>
    <x v="67"/>
    <m/>
    <m/>
  </r>
  <r>
    <x v="53"/>
    <d v="2023-03-13T00:00:00"/>
    <s v="Cash Rewards Visa Signature - Ending in 5913"/>
    <x v="3483"/>
    <n v="156"/>
    <x v="8"/>
    <s v="Shopping"/>
    <m/>
    <m/>
    <m/>
    <m/>
    <m/>
    <m/>
    <m/>
    <x v="3074"/>
    <m/>
    <m/>
  </r>
  <r>
    <x v="53"/>
    <d v="2023-03-13T00:00:00"/>
    <s v="Cash Rewards Visa Signature - Ending in 5913"/>
    <x v="3484"/>
    <n v="18.739999999999998"/>
    <x v="1"/>
    <s v="Restaurants"/>
    <m/>
    <m/>
    <m/>
    <m/>
    <m/>
    <m/>
    <m/>
    <x v="3075"/>
    <m/>
    <m/>
  </r>
  <r>
    <x v="53"/>
    <d v="2023-03-13T00:00:00"/>
    <s v="Powerplus - Ending in 8s01"/>
    <x v="29"/>
    <n v="111.81"/>
    <x v="8"/>
    <s v="Shopping"/>
    <m/>
    <m/>
    <m/>
    <m/>
    <m/>
    <m/>
    <m/>
    <x v="29"/>
    <m/>
    <m/>
  </r>
  <r>
    <x v="53"/>
    <d v="2023-03-13T00:00:00"/>
    <s v="Powerplus - Ending in 8s01"/>
    <x v="30"/>
    <n v="149.46"/>
    <x v="11"/>
    <s v="Utilities"/>
    <m/>
    <m/>
    <m/>
    <m/>
    <m/>
    <m/>
    <m/>
    <x v="30"/>
    <m/>
    <m/>
  </r>
  <r>
    <x v="53"/>
    <d v="2023-03-14T00:00:00"/>
    <s v="Cash Rewards Visa Signature - Ending in 5913"/>
    <x v="1895"/>
    <n v="-39.99"/>
    <x v="0"/>
    <s v="Amazon"/>
    <m/>
    <m/>
    <m/>
    <m/>
    <m/>
    <m/>
    <m/>
    <x v="1748"/>
    <m/>
    <m/>
  </r>
  <r>
    <x v="53"/>
    <d v="2023-03-14T00:00:00"/>
    <s v="Cash Rewards Visa Signature - Ending in 5913"/>
    <x v="1895"/>
    <n v="-63.34"/>
    <x v="0"/>
    <s v="Amazon"/>
    <m/>
    <m/>
    <m/>
    <m/>
    <m/>
    <m/>
    <m/>
    <x v="1748"/>
    <m/>
    <m/>
  </r>
  <r>
    <x v="53"/>
    <d v="2023-03-14T00:00:00"/>
    <s v="Cash Rewards Visa Signature - Ending in 5913"/>
    <x v="1895"/>
    <n v="-56.9"/>
    <x v="0"/>
    <s v="Amazon"/>
    <m/>
    <m/>
    <m/>
    <m/>
    <m/>
    <m/>
    <m/>
    <x v="1748"/>
    <m/>
    <m/>
  </r>
  <r>
    <x v="53"/>
    <d v="2023-03-14T00:00:00"/>
    <s v="Cash Rewards Visa Signature - Ending in 5913"/>
    <x v="1895"/>
    <n v="-32.99"/>
    <x v="0"/>
    <s v="Amazon"/>
    <m/>
    <m/>
    <m/>
    <m/>
    <m/>
    <m/>
    <m/>
    <x v="1748"/>
    <m/>
    <m/>
  </r>
  <r>
    <x v="53"/>
    <d v="2023-03-14T00:00:00"/>
    <s v="Cash Rewards Visa Signature - Ending in 5913"/>
    <x v="1895"/>
    <n v="-55.96"/>
    <x v="0"/>
    <s v="Amazon"/>
    <m/>
    <m/>
    <m/>
    <m/>
    <m/>
    <m/>
    <m/>
    <x v="1748"/>
    <m/>
    <m/>
  </r>
  <r>
    <x v="53"/>
    <d v="2023-03-14T00:00:00"/>
    <s v="Cash Rewards Visa Signature - Ending in 5913"/>
    <x v="1895"/>
    <n v="-28.78"/>
    <x v="0"/>
    <s v="Amazon"/>
    <m/>
    <m/>
    <m/>
    <m/>
    <m/>
    <m/>
    <m/>
    <x v="1748"/>
    <m/>
    <m/>
  </r>
  <r>
    <x v="53"/>
    <d v="2023-03-14T00:00:00"/>
    <s v="Powerplus - Ending in 8s01"/>
    <x v="48"/>
    <n v="90.39"/>
    <x v="54"/>
    <s v="Utilities"/>
    <s v="Exp - Insurance"/>
    <m/>
    <m/>
    <m/>
    <m/>
    <m/>
    <m/>
    <x v="48"/>
    <m/>
    <m/>
  </r>
  <r>
    <x v="53"/>
    <d v="2023-03-14T00:00:00"/>
    <s v="Cash Rewards Visa Signature - Ending in 5913"/>
    <x v="1955"/>
    <n v="31.51"/>
    <x v="1"/>
    <s v="Restaurants"/>
    <m/>
    <m/>
    <m/>
    <m/>
    <m/>
    <m/>
    <m/>
    <x v="1807"/>
    <m/>
    <m/>
  </r>
  <r>
    <x v="53"/>
    <d v="2023-03-14T00:00:00"/>
    <s v="Powerplus - Ending in 8s01"/>
    <x v="3485"/>
    <n v="-8733.2800000000007"/>
    <x v="13"/>
    <s v="Paychecks/Salary"/>
    <m/>
    <m/>
    <m/>
    <m/>
    <m/>
    <m/>
    <m/>
    <x v="3076"/>
    <m/>
    <m/>
  </r>
  <r>
    <x v="53"/>
    <d v="2023-03-14T00:00:00"/>
    <s v="Powerplus - Ending in 8s01"/>
    <x v="3320"/>
    <n v="3785.67"/>
    <x v="3"/>
    <s v="Credit Card Payments"/>
    <m/>
    <m/>
    <m/>
    <m/>
    <m/>
    <m/>
    <m/>
    <x v="2939"/>
    <m/>
    <m/>
  </r>
  <r>
    <x v="53"/>
    <d v="2023-03-14T00:00:00"/>
    <s v="Discover More Card - Ending in 7779"/>
    <x v="56"/>
    <n v="-557.91999999999996"/>
    <x v="3"/>
    <s v="Credit Card Payments"/>
    <m/>
    <m/>
    <m/>
    <m/>
    <m/>
    <m/>
    <m/>
    <x v="56"/>
    <m/>
    <m/>
  </r>
  <r>
    <x v="53"/>
    <d v="2023-03-14T00:00:00"/>
    <s v="Cash Rewards Visa Signature - Ending in 5913"/>
    <x v="3486"/>
    <n v="-3785.67"/>
    <x v="3"/>
    <s v="Credit Card Payments"/>
    <m/>
    <m/>
    <m/>
    <m/>
    <m/>
    <m/>
    <m/>
    <x v="3077"/>
    <m/>
    <m/>
  </r>
  <r>
    <x v="53"/>
    <d v="2023-03-15T00:00:00"/>
    <s v="Cash Rewards Visa Signature - Ending in 5913"/>
    <x v="0"/>
    <n v="14.16"/>
    <x v="0"/>
    <s v="Amazon"/>
    <m/>
    <m/>
    <m/>
    <m/>
    <m/>
    <m/>
    <m/>
    <x v="0"/>
    <m/>
    <m/>
  </r>
  <r>
    <x v="53"/>
    <d v="2023-03-15T00:00:00"/>
    <s v="Discover More Card - Ending in 7779"/>
    <x v="0"/>
    <n v="19.28"/>
    <x v="0"/>
    <s v="Amazon"/>
    <m/>
    <m/>
    <m/>
    <m/>
    <m/>
    <m/>
    <m/>
    <x v="0"/>
    <m/>
    <m/>
  </r>
  <r>
    <x v="53"/>
    <d v="2023-03-15T00:00:00"/>
    <s v="Powerplus - Ending in 8s01"/>
    <x v="3487"/>
    <n v="65.900000000000006"/>
    <x v="8"/>
    <s v="Shopping"/>
    <m/>
    <m/>
    <m/>
    <m/>
    <m/>
    <m/>
    <m/>
    <x v="3078"/>
    <m/>
    <m/>
  </r>
  <r>
    <x v="53"/>
    <d v="2023-03-15T00:00:00"/>
    <s v="Powerplus - Ending in 8s01"/>
    <x v="3488"/>
    <n v="557.91999999999996"/>
    <x v="3"/>
    <s v="Credit Card Payments"/>
    <m/>
    <m/>
    <m/>
    <m/>
    <m/>
    <m/>
    <m/>
    <x v="3079"/>
    <m/>
    <m/>
  </r>
  <r>
    <x v="53"/>
    <d v="2023-03-15T00:00:00"/>
    <s v="Cash Rewards Visa Signature - Ending in 5913"/>
    <x v="823"/>
    <n v="51.32"/>
    <x v="2"/>
    <s v="Transportation"/>
    <m/>
    <m/>
    <m/>
    <m/>
    <m/>
    <m/>
    <m/>
    <x v="792"/>
    <m/>
    <m/>
  </r>
  <r>
    <x v="53"/>
    <d v="2023-03-15T00:00:00"/>
    <s v="Powerplus - Ending in 8s01"/>
    <x v="308"/>
    <n v="96"/>
    <x v="8"/>
    <s v="Shopping"/>
    <m/>
    <m/>
    <m/>
    <m/>
    <m/>
    <m/>
    <m/>
    <x v="300"/>
    <m/>
    <m/>
  </r>
  <r>
    <x v="53"/>
    <d v="2023-03-15T00:00:00"/>
    <s v="Discover More Card - Ending in 7779"/>
    <x v="157"/>
    <n v="34.43"/>
    <x v="8"/>
    <s v="Shopping"/>
    <m/>
    <m/>
    <m/>
    <m/>
    <m/>
    <m/>
    <m/>
    <x v="156"/>
    <m/>
    <m/>
  </r>
  <r>
    <x v="53"/>
    <d v="2023-03-15T00:00:00"/>
    <s v="Powerplus - Ending in 8s01"/>
    <x v="29"/>
    <n v="20"/>
    <x v="8"/>
    <s v="Shopping"/>
    <m/>
    <m/>
    <m/>
    <m/>
    <m/>
    <m/>
    <m/>
    <x v="29"/>
    <m/>
    <m/>
  </r>
  <r>
    <x v="53"/>
    <d v="2023-03-15T00:00:00"/>
    <s v="Powerplus - Ending in 8s01"/>
    <x v="29"/>
    <n v="20"/>
    <x v="8"/>
    <s v="Entertainment"/>
    <m/>
    <m/>
    <m/>
    <m/>
    <m/>
    <m/>
    <m/>
    <x v="29"/>
    <m/>
    <m/>
  </r>
  <r>
    <x v="53"/>
    <d v="2023-03-15T00:00:00"/>
    <s v="Powerplus - Ending in 8s01"/>
    <x v="29"/>
    <n v="20"/>
    <x v="8"/>
    <s v="Entertainment"/>
    <m/>
    <m/>
    <m/>
    <m/>
    <m/>
    <m/>
    <m/>
    <x v="29"/>
    <m/>
    <m/>
  </r>
  <r>
    <x v="53"/>
    <d v="2023-03-15T00:00:00"/>
    <s v="Powerplus - Ending in 8s01"/>
    <x v="29"/>
    <n v="335.03"/>
    <x v="8"/>
    <s v="Shopping"/>
    <m/>
    <m/>
    <m/>
    <m/>
    <m/>
    <m/>
    <m/>
    <x v="29"/>
    <m/>
    <m/>
  </r>
  <r>
    <x v="53"/>
    <d v="2023-03-15T00:00:00"/>
    <s v="Powerplus - Ending in 8s01"/>
    <x v="3489"/>
    <n v="330"/>
    <x v="4"/>
    <s v="Day Care"/>
    <m/>
    <m/>
    <m/>
    <m/>
    <m/>
    <m/>
    <m/>
    <x v="3057"/>
    <m/>
    <m/>
  </r>
  <r>
    <x v="53"/>
    <d v="2023-03-16T00:00:00"/>
    <s v="Cash Rewards Visa Signature - Ending in 5913"/>
    <x v="0"/>
    <n v="32.99"/>
    <x v="0"/>
    <s v="Amazon"/>
    <m/>
    <m/>
    <m/>
    <m/>
    <m/>
    <m/>
    <m/>
    <x v="0"/>
    <m/>
    <m/>
  </r>
  <r>
    <x v="53"/>
    <d v="2023-03-16T00:00:00"/>
    <s v="Cash Rewards Visa Signature - Ending in 5913"/>
    <x v="0"/>
    <n v="44.99"/>
    <x v="0"/>
    <s v="Amazon"/>
    <m/>
    <m/>
    <m/>
    <m/>
    <m/>
    <m/>
    <m/>
    <x v="0"/>
    <m/>
    <m/>
  </r>
  <r>
    <x v="53"/>
    <d v="2023-03-16T00:00:00"/>
    <s v="Discover More Card - Ending in 7779"/>
    <x v="0"/>
    <n v="4.5999999999999996"/>
    <x v="0"/>
    <s v="Amazon"/>
    <m/>
    <m/>
    <m/>
    <m/>
    <m/>
    <m/>
    <m/>
    <x v="0"/>
    <m/>
    <m/>
  </r>
  <r>
    <x v="53"/>
    <d v="2023-03-16T00:00:00"/>
    <s v="Discover More Card - Ending in 7779"/>
    <x v="3490"/>
    <n v="19.32"/>
    <x v="0"/>
    <s v="Amazon"/>
    <m/>
    <m/>
    <m/>
    <m/>
    <m/>
    <m/>
    <m/>
    <x v="3080"/>
    <m/>
    <m/>
  </r>
  <r>
    <x v="53"/>
    <d v="2023-03-16T00:00:00"/>
    <s v="Powerplus - Ending in 8s01"/>
    <x v="3443"/>
    <n v="-2434.2199999999998"/>
    <x v="3"/>
    <s v="Deposits"/>
    <m/>
    <m/>
    <m/>
    <m/>
    <m/>
    <m/>
    <m/>
    <x v="3034"/>
    <m/>
    <m/>
  </r>
  <r>
    <x v="53"/>
    <d v="2023-03-16T00:00:00"/>
    <s v="Powerplus - Ending in 8s01"/>
    <x v="3491"/>
    <n v="100"/>
    <x v="3"/>
    <s v="Delete - Online Services"/>
    <m/>
    <m/>
    <m/>
    <m/>
    <m/>
    <m/>
    <m/>
    <x v="3081"/>
    <m/>
    <m/>
  </r>
  <r>
    <x v="53"/>
    <d v="2023-03-16T00:00:00"/>
    <s v="Discover More Card - Ending in 7779"/>
    <x v="577"/>
    <n v="25.7"/>
    <x v="1"/>
    <s v="Restaurants"/>
    <m/>
    <m/>
    <m/>
    <m/>
    <m/>
    <m/>
    <m/>
    <x v="558"/>
    <m/>
    <m/>
  </r>
  <r>
    <x v="53"/>
    <d v="2023-03-16T00:00:00"/>
    <s v="Cash Rewards Visa Signature - Ending in 5913"/>
    <x v="1837"/>
    <n v="75.33"/>
    <x v="19"/>
    <s v="House Maintenance"/>
    <m/>
    <m/>
    <m/>
    <m/>
    <m/>
    <m/>
    <m/>
    <x v="1692"/>
    <m/>
    <m/>
  </r>
  <r>
    <x v="53"/>
    <d v="2023-03-17T00:00:00"/>
    <s v="Cash Rewards Visa Signature - Ending in 5913"/>
    <x v="0"/>
    <n v="54.08"/>
    <x v="0"/>
    <s v="Amazon"/>
    <m/>
    <m/>
    <m/>
    <m/>
    <m/>
    <m/>
    <m/>
    <x v="0"/>
    <m/>
    <m/>
  </r>
  <r>
    <x v="53"/>
    <d v="2023-03-17T00:00:00"/>
    <s v="Cash Rewards Visa Signature - Ending in 5913"/>
    <x v="1971"/>
    <n v="-128"/>
    <x v="8"/>
    <s v="Shopping"/>
    <m/>
    <m/>
    <m/>
    <m/>
    <m/>
    <m/>
    <m/>
    <x v="1821"/>
    <m/>
    <m/>
  </r>
  <r>
    <x v="53"/>
    <d v="2023-03-17T00:00:00"/>
    <s v="Powerplus - Ending in 8s01"/>
    <x v="29"/>
    <n v="30"/>
    <x v="8"/>
    <s v="Shopping"/>
    <m/>
    <m/>
    <m/>
    <m/>
    <m/>
    <m/>
    <m/>
    <x v="29"/>
    <m/>
    <m/>
  </r>
  <r>
    <x v="53"/>
    <d v="2023-03-17T00:00:00"/>
    <s v="Powerplus - Ending in 8s01"/>
    <x v="29"/>
    <n v="125"/>
    <x v="8"/>
    <s v="Shopping"/>
    <m/>
    <m/>
    <m/>
    <m/>
    <m/>
    <m/>
    <m/>
    <x v="29"/>
    <m/>
    <m/>
  </r>
  <r>
    <x v="53"/>
    <d v="2023-03-19T00:00:00"/>
    <s v="Cash Rewards Visa Signature - Ending in 5913"/>
    <x v="0"/>
    <n v="37.1"/>
    <x v="0"/>
    <s v="Amazon"/>
    <m/>
    <m/>
    <m/>
    <m/>
    <m/>
    <m/>
    <m/>
    <x v="0"/>
    <m/>
    <m/>
  </r>
  <r>
    <x v="53"/>
    <d v="2023-03-19T00:00:00"/>
    <s v="Cash Rewards Visa Signature - Ending in 5913"/>
    <x v="0"/>
    <n v="18.989999999999998"/>
    <x v="0"/>
    <s v="Amazon"/>
    <m/>
    <m/>
    <m/>
    <m/>
    <m/>
    <m/>
    <m/>
    <x v="0"/>
    <m/>
    <m/>
  </r>
  <r>
    <x v="53"/>
    <d v="2023-03-19T00:00:00"/>
    <s v="Cash Rewards Visa Signature - Ending in 5913"/>
    <x v="0"/>
    <n v="29.99"/>
    <x v="0"/>
    <s v="Amazon"/>
    <m/>
    <m/>
    <m/>
    <m/>
    <m/>
    <m/>
    <m/>
    <x v="0"/>
    <m/>
    <m/>
  </r>
  <r>
    <x v="53"/>
    <d v="2023-03-19T00:00:00"/>
    <s v="Cash Rewards Visa Signature - Ending in 5913"/>
    <x v="1895"/>
    <n v="-14.16"/>
    <x v="0"/>
    <s v="Amazon"/>
    <m/>
    <m/>
    <m/>
    <m/>
    <m/>
    <m/>
    <m/>
    <x v="1748"/>
    <m/>
    <m/>
  </r>
  <r>
    <x v="53"/>
    <d v="2023-03-19T00:00:00"/>
    <s v="Cash Rewards Visa Signature - Ending in 5913"/>
    <x v="1895"/>
    <n v="-40.99"/>
    <x v="0"/>
    <s v="Amazon"/>
    <m/>
    <m/>
    <m/>
    <m/>
    <m/>
    <m/>
    <m/>
    <x v="1748"/>
    <m/>
    <m/>
  </r>
  <r>
    <x v="53"/>
    <d v="2023-03-19T00:00:00"/>
    <s v="Powerplus - Ending in 8s01"/>
    <x v="3492"/>
    <n v="-121.87"/>
    <x v="3"/>
    <s v="Deposits"/>
    <m/>
    <m/>
    <m/>
    <m/>
    <m/>
    <m/>
    <m/>
    <x v="3082"/>
    <m/>
    <m/>
  </r>
  <r>
    <x v="53"/>
    <d v="2023-03-19T00:00:00"/>
    <s v="Cash Rewards Visa Signature - Ending in 5913"/>
    <x v="3493"/>
    <n v="588"/>
    <x v="8"/>
    <s v="Shopping"/>
    <m/>
    <m/>
    <m/>
    <m/>
    <m/>
    <m/>
    <m/>
    <x v="3083"/>
    <m/>
    <m/>
  </r>
  <r>
    <x v="53"/>
    <d v="2023-03-19T00:00:00"/>
    <s v="Cash Rewards Visa Signature - Ending in 5913"/>
    <x v="722"/>
    <n v="32.99"/>
    <x v="5"/>
    <s v="Groceries"/>
    <m/>
    <m/>
    <m/>
    <m/>
    <m/>
    <m/>
    <m/>
    <x v="697"/>
    <m/>
    <m/>
  </r>
  <r>
    <x v="53"/>
    <d v="2023-03-19T00:00:00"/>
    <s v="Cash Rewards Visa Signature - Ending in 5913"/>
    <x v="3494"/>
    <n v="-58"/>
    <x v="8"/>
    <s v="Shopping"/>
    <m/>
    <m/>
    <m/>
    <m/>
    <m/>
    <m/>
    <m/>
    <x v="3084"/>
    <m/>
    <m/>
  </r>
  <r>
    <x v="53"/>
    <d v="2023-03-19T00:00:00"/>
    <s v="Cash Rewards Visa Signature - Ending in 5913"/>
    <x v="1338"/>
    <n v="9.8800000000000008"/>
    <x v="5"/>
    <s v="Groceries"/>
    <m/>
    <m/>
    <m/>
    <m/>
    <m/>
    <m/>
    <m/>
    <x v="1265"/>
    <m/>
    <m/>
  </r>
  <r>
    <x v="53"/>
    <d v="2023-03-20T00:00:00"/>
    <s v="Cash Rewards Visa Signature - Ending in 5913"/>
    <x v="0"/>
    <n v="34.99"/>
    <x v="0"/>
    <s v="Amazon"/>
    <m/>
    <m/>
    <m/>
    <m/>
    <m/>
    <m/>
    <m/>
    <x v="0"/>
    <m/>
    <m/>
  </r>
  <r>
    <x v="53"/>
    <d v="2023-03-20T00:00:00"/>
    <s v="Cash Rewards Visa Signature - Ending in 5913"/>
    <x v="0"/>
    <n v="19.989999999999998"/>
    <x v="0"/>
    <s v="Amazon"/>
    <m/>
    <m/>
    <m/>
    <m/>
    <m/>
    <m/>
    <m/>
    <x v="0"/>
    <m/>
    <m/>
  </r>
  <r>
    <x v="53"/>
    <d v="2023-03-20T00:00:00"/>
    <s v="Cash Rewards Visa Signature - Ending in 5913"/>
    <x v="3495"/>
    <n v="33.049999999999997"/>
    <x v="1"/>
    <s v="Restaurants"/>
    <m/>
    <m/>
    <m/>
    <m/>
    <m/>
    <m/>
    <m/>
    <x v="3085"/>
    <m/>
    <m/>
  </r>
  <r>
    <x v="53"/>
    <d v="2023-03-20T00:00:00"/>
    <s v="Powerplus - Ending in 8s01"/>
    <x v="29"/>
    <n v="38"/>
    <x v="8"/>
    <s v="Shopping"/>
    <m/>
    <m/>
    <m/>
    <m/>
    <m/>
    <m/>
    <m/>
    <x v="29"/>
    <m/>
    <m/>
  </r>
  <r>
    <x v="53"/>
    <d v="2023-03-20T00:00:00"/>
    <s v="Powerplus - Ending in 8s01"/>
    <x v="3496"/>
    <n v="500"/>
    <x v="21"/>
    <s v="Savings"/>
    <m/>
    <m/>
    <m/>
    <m/>
    <m/>
    <m/>
    <m/>
    <x v="3086"/>
    <m/>
    <m/>
  </r>
  <r>
    <x v="53"/>
    <d v="2023-03-21T00:00:00"/>
    <s v="Cash Rewards Visa Signature - Ending in 5913"/>
    <x v="99"/>
    <n v="16.73"/>
    <x v="11"/>
    <s v="Utilities"/>
    <m/>
    <m/>
    <m/>
    <m/>
    <m/>
    <m/>
    <m/>
    <x v="99"/>
    <m/>
    <m/>
  </r>
  <r>
    <x v="53"/>
    <d v="2023-03-21T00:00:00"/>
    <s v="Cash Rewards Visa Signature - Ending in 5913"/>
    <x v="3497"/>
    <n v="8"/>
    <x v="11"/>
    <s v="Utilities"/>
    <m/>
    <m/>
    <m/>
    <m/>
    <m/>
    <m/>
    <m/>
    <x v="3087"/>
    <m/>
    <m/>
  </r>
  <r>
    <x v="53"/>
    <d v="2023-03-21T00:00:00"/>
    <s v="Powerplus - Ending in 8s01"/>
    <x v="3498"/>
    <n v="80.58"/>
    <x v="11"/>
    <s v="Utilities"/>
    <m/>
    <m/>
    <m/>
    <m/>
    <m/>
    <m/>
    <m/>
    <x v="3088"/>
    <m/>
    <m/>
  </r>
  <r>
    <x v="53"/>
    <d v="2023-03-21T00:00:00"/>
    <s v="Powerplus - Ending in 8s01"/>
    <x v="3499"/>
    <n v="330"/>
    <x v="4"/>
    <s v="Day Care"/>
    <m/>
    <m/>
    <m/>
    <m/>
    <m/>
    <m/>
    <m/>
    <x v="3057"/>
    <m/>
    <m/>
  </r>
  <r>
    <x v="53"/>
    <d v="2023-03-22T00:00:00"/>
    <s v="Cash Rewards Visa Signature - Ending in 5913"/>
    <x v="0"/>
    <n v="51.06"/>
    <x v="0"/>
    <s v="Amazon"/>
    <m/>
    <m/>
    <m/>
    <m/>
    <m/>
    <m/>
    <m/>
    <x v="0"/>
    <m/>
    <m/>
  </r>
  <r>
    <x v="53"/>
    <d v="2023-03-22T00:00:00"/>
    <s v="Cash Rewards Visa Signature - Ending in 5913"/>
    <x v="3500"/>
    <n v="22"/>
    <x v="19"/>
    <s v="House Maintenance"/>
    <m/>
    <m/>
    <m/>
    <m/>
    <m/>
    <m/>
    <m/>
    <x v="3089"/>
    <m/>
    <m/>
  </r>
  <r>
    <x v="53"/>
    <d v="2023-03-22T00:00:00"/>
    <s v="Delta Skymiles Platinum - Ending in 1007"/>
    <x v="1861"/>
    <n v="734.6"/>
    <x v="3"/>
    <s v="Travel"/>
    <m/>
    <m/>
    <m/>
    <m/>
    <m/>
    <m/>
    <m/>
    <x v="1715"/>
    <m/>
    <m/>
  </r>
  <r>
    <x v="53"/>
    <d v="2023-03-22T00:00:00"/>
    <s v="Delta Skymiles Platinum - Ending in 1007"/>
    <x v="1861"/>
    <n v="734.6"/>
    <x v="3"/>
    <s v="Travel"/>
    <m/>
    <m/>
    <m/>
    <m/>
    <m/>
    <m/>
    <m/>
    <x v="1715"/>
    <m/>
    <m/>
  </r>
  <r>
    <x v="53"/>
    <d v="2023-03-22T00:00:00"/>
    <s v="Delta Skymiles Platinum - Ending in 1007"/>
    <x v="1861"/>
    <n v="734.6"/>
    <x v="3"/>
    <s v="Travel"/>
    <m/>
    <m/>
    <m/>
    <m/>
    <m/>
    <m/>
    <m/>
    <x v="1715"/>
    <m/>
    <m/>
  </r>
  <r>
    <x v="53"/>
    <d v="2023-03-22T00:00:00"/>
    <s v="Delta Skymiles Platinum - Ending in 1007"/>
    <x v="1861"/>
    <n v="734.6"/>
    <x v="3"/>
    <s v="Travel"/>
    <m/>
    <m/>
    <m/>
    <m/>
    <m/>
    <m/>
    <m/>
    <x v="1715"/>
    <m/>
    <m/>
  </r>
  <r>
    <x v="53"/>
    <d v="2023-03-22T00:00:00"/>
    <s v="Cash Rewards Visa Signature - Ending in 5913"/>
    <x v="3501"/>
    <n v="98"/>
    <x v="8"/>
    <s v="Shopping"/>
    <m/>
    <m/>
    <m/>
    <m/>
    <m/>
    <m/>
    <m/>
    <x v="3090"/>
    <m/>
    <m/>
  </r>
  <r>
    <x v="53"/>
    <d v="2023-03-23T00:00:00"/>
    <s v="Cash Rewards Visa Signature - Ending in 5913"/>
    <x v="0"/>
    <n v="16.989999999999998"/>
    <x v="0"/>
    <s v="Amazon"/>
    <m/>
    <m/>
    <m/>
    <m/>
    <m/>
    <m/>
    <m/>
    <x v="0"/>
    <m/>
    <m/>
  </r>
  <r>
    <x v="53"/>
    <d v="2023-03-23T00:00:00"/>
    <s v="Cash Rewards Visa Signature - Ending in 5913"/>
    <x v="0"/>
    <n v="9.65"/>
    <x v="0"/>
    <s v="Amazon"/>
    <m/>
    <m/>
    <m/>
    <m/>
    <m/>
    <m/>
    <m/>
    <x v="0"/>
    <m/>
    <m/>
  </r>
  <r>
    <x v="53"/>
    <d v="2023-03-23T00:00:00"/>
    <s v="Powerplus - Ending in 8s01"/>
    <x v="1334"/>
    <n v="-1014.84"/>
    <x v="6"/>
    <s v="Rewards"/>
    <m/>
    <m/>
    <m/>
    <m/>
    <m/>
    <m/>
    <m/>
    <x v="1261"/>
    <m/>
    <m/>
  </r>
  <r>
    <x v="53"/>
    <d v="2023-03-24T00:00:00"/>
    <s v="Cash Rewards Visa Signature - Ending in 5913"/>
    <x v="0"/>
    <n v="17.989999999999998"/>
    <x v="0"/>
    <s v="Amazon"/>
    <m/>
    <m/>
    <m/>
    <m/>
    <m/>
    <m/>
    <m/>
    <x v="0"/>
    <m/>
    <m/>
  </r>
  <r>
    <x v="53"/>
    <d v="2023-03-24T00:00:00"/>
    <s v="Cash Rewards Visa Signature - Ending in 5913"/>
    <x v="1895"/>
    <n v="-17.09"/>
    <x v="0"/>
    <s v="Amazon"/>
    <m/>
    <m/>
    <m/>
    <m/>
    <m/>
    <m/>
    <m/>
    <x v="1748"/>
    <m/>
    <m/>
  </r>
  <r>
    <x v="53"/>
    <d v="2023-03-24T00:00:00"/>
    <s v="Cash Rewards Visa Signature - Ending in 5913"/>
    <x v="1895"/>
    <n v="-44.99"/>
    <x v="0"/>
    <s v="Amazon"/>
    <m/>
    <m/>
    <m/>
    <m/>
    <m/>
    <m/>
    <m/>
    <x v="1748"/>
    <m/>
    <m/>
  </r>
  <r>
    <x v="53"/>
    <d v="2023-03-24T00:00:00"/>
    <s v="Cash Rewards Visa Signature - Ending in 5913"/>
    <x v="1895"/>
    <n v="-18.989999999999998"/>
    <x v="0"/>
    <s v="Amazon"/>
    <m/>
    <m/>
    <m/>
    <m/>
    <m/>
    <m/>
    <m/>
    <x v="1748"/>
    <m/>
    <m/>
  </r>
  <r>
    <x v="53"/>
    <d v="2023-03-24T00:00:00"/>
    <s v="Cash Rewards Visa Signature - Ending in 5913"/>
    <x v="1895"/>
    <n v="-23.98"/>
    <x v="0"/>
    <s v="Amazon"/>
    <m/>
    <m/>
    <m/>
    <m/>
    <m/>
    <m/>
    <m/>
    <x v="1748"/>
    <m/>
    <m/>
  </r>
  <r>
    <x v="53"/>
    <d v="2023-03-24T00:00:00"/>
    <s v="Cash Rewards Visa Signature - Ending in 5913"/>
    <x v="1895"/>
    <n v="-36.99"/>
    <x v="0"/>
    <s v="Amazon"/>
    <m/>
    <m/>
    <m/>
    <m/>
    <m/>
    <m/>
    <m/>
    <x v="1748"/>
    <m/>
    <m/>
  </r>
  <r>
    <x v="53"/>
    <d v="2023-03-24T00:00:00"/>
    <s v="Cash Rewards Visa Signature - Ending in 5913"/>
    <x v="1895"/>
    <n v="-34.99"/>
    <x v="0"/>
    <s v="Amazon"/>
    <m/>
    <m/>
    <m/>
    <m/>
    <m/>
    <m/>
    <m/>
    <x v="1748"/>
    <m/>
    <m/>
  </r>
  <r>
    <x v="53"/>
    <d v="2023-03-24T00:00:00"/>
    <s v="Cash Rewards Visa Signature - Ending in 5913"/>
    <x v="1895"/>
    <n v="-29.99"/>
    <x v="0"/>
    <s v="Amazon"/>
    <m/>
    <m/>
    <m/>
    <m/>
    <m/>
    <m/>
    <m/>
    <x v="1748"/>
    <m/>
    <m/>
  </r>
  <r>
    <x v="53"/>
    <d v="2023-03-24T00:00:00"/>
    <s v="Cash Rewards Visa Signature - Ending in 5913"/>
    <x v="1895"/>
    <n v="-19.989999999999998"/>
    <x v="0"/>
    <s v="Amazon"/>
    <m/>
    <m/>
    <m/>
    <m/>
    <m/>
    <m/>
    <m/>
    <x v="1748"/>
    <m/>
    <m/>
  </r>
  <r>
    <x v="53"/>
    <d v="2023-03-24T00:00:00"/>
    <s v="Delta Skymiles Platinum - Ending in 1007"/>
    <x v="3502"/>
    <n v="13.29"/>
    <x v="5"/>
    <s v="Groceries"/>
    <m/>
    <m/>
    <m/>
    <m/>
    <m/>
    <m/>
    <m/>
    <x v="3091"/>
    <m/>
    <m/>
  </r>
  <r>
    <x v="53"/>
    <d v="2023-03-24T00:00:00"/>
    <s v="Powerplus - Ending in 8s01"/>
    <x v="3488"/>
    <n v="500"/>
    <x v="3"/>
    <s v="Transfers"/>
    <m/>
    <m/>
    <m/>
    <m/>
    <m/>
    <m/>
    <m/>
    <x v="3079"/>
    <m/>
    <m/>
  </r>
  <r>
    <x v="53"/>
    <d v="2023-03-24T00:00:00"/>
    <s v="Cash Rewards Visa Signature - Ending in 5913"/>
    <x v="2044"/>
    <n v="75.95"/>
    <x v="8"/>
    <s v="Shopping"/>
    <m/>
    <m/>
    <m/>
    <m/>
    <m/>
    <m/>
    <m/>
    <x v="1894"/>
    <m/>
    <m/>
  </r>
  <r>
    <x v="53"/>
    <d v="2023-03-24T00:00:00"/>
    <s v="Cash Rewards Visa Signature - Ending in 5913"/>
    <x v="823"/>
    <n v="50.11"/>
    <x v="2"/>
    <s v="Transportation"/>
    <m/>
    <m/>
    <m/>
    <m/>
    <m/>
    <m/>
    <m/>
    <x v="792"/>
    <m/>
    <m/>
  </r>
  <r>
    <x v="53"/>
    <d v="2023-03-24T00:00:00"/>
    <s v="Cash Rewards Visa Signature - Ending in 5913"/>
    <x v="1108"/>
    <n v="38.56"/>
    <x v="2"/>
    <s v="Transportation"/>
    <m/>
    <m/>
    <m/>
    <m/>
    <m/>
    <m/>
    <m/>
    <x v="1055"/>
    <m/>
    <m/>
  </r>
  <r>
    <x v="53"/>
    <d v="2023-03-24T00:00:00"/>
    <s v="Delta Skymiles Platinum - Ending in 1007"/>
    <x v="3503"/>
    <n v="29.43"/>
    <x v="1"/>
    <s v="Restaurants"/>
    <m/>
    <m/>
    <m/>
    <m/>
    <m/>
    <m/>
    <m/>
    <x v="3092"/>
    <m/>
    <m/>
  </r>
  <r>
    <x v="53"/>
    <d v="2023-03-24T00:00:00"/>
    <s v="Cash Rewards Visa Signature - Ending in 5913"/>
    <x v="627"/>
    <n v="168.39"/>
    <x v="2"/>
    <s v="Transportation"/>
    <m/>
    <m/>
    <m/>
    <m/>
    <m/>
    <m/>
    <m/>
    <x v="605"/>
    <m/>
    <m/>
  </r>
  <r>
    <x v="53"/>
    <d v="2023-03-24T00:00:00"/>
    <s v="Powerplus - Ending in 8s01"/>
    <x v="29"/>
    <n v="92.5"/>
    <x v="8"/>
    <s v="Shopping"/>
    <m/>
    <m/>
    <m/>
    <m/>
    <m/>
    <m/>
    <m/>
    <x v="29"/>
    <m/>
    <m/>
  </r>
  <r>
    <x v="53"/>
    <d v="2023-03-26T00:00:00"/>
    <s v="Cash Rewards Visa Signature - Ending in 5913"/>
    <x v="3504"/>
    <n v="111.82"/>
    <x v="42"/>
    <s v="Delete - Telephone"/>
    <s v="Exp - Utilities"/>
    <m/>
    <m/>
    <m/>
    <m/>
    <m/>
    <m/>
    <x v="3093"/>
    <m/>
    <m/>
  </r>
  <r>
    <x v="53"/>
    <d v="2023-03-26T00:00:00"/>
    <s v="Cash Rewards Visa Signature - Ending in 5913"/>
    <x v="3504"/>
    <n v="82.83"/>
    <x v="42"/>
    <s v="Delete - Telephone"/>
    <s v="Exp - Utilities"/>
    <m/>
    <m/>
    <m/>
    <m/>
    <m/>
    <m/>
    <x v="3093"/>
    <m/>
    <m/>
  </r>
  <r>
    <x v="53"/>
    <d v="2023-03-26T00:00:00"/>
    <s v="Cash Rewards Visa Signature - Ending in 5913"/>
    <x v="1971"/>
    <n v="-128"/>
    <x v="8"/>
    <s v="Shopping"/>
    <m/>
    <m/>
    <m/>
    <m/>
    <m/>
    <m/>
    <m/>
    <x v="1821"/>
    <m/>
    <m/>
  </r>
  <r>
    <x v="53"/>
    <d v="2023-03-26T00:00:00"/>
    <s v="Delta Skymiles Platinum - Ending in 1007"/>
    <x v="3505"/>
    <n v="112.18"/>
    <x v="1"/>
    <s v="Restaurants"/>
    <m/>
    <m/>
    <m/>
    <m/>
    <m/>
    <m/>
    <m/>
    <x v="3094"/>
    <m/>
    <m/>
  </r>
  <r>
    <x v="53"/>
    <d v="2023-03-26T00:00:00"/>
    <s v="Delta Skymiles Platinum - Ending in 1007"/>
    <x v="3506"/>
    <n v="-2938.4"/>
    <x v="3"/>
    <s v="Transfers"/>
    <m/>
    <m/>
    <m/>
    <m/>
    <m/>
    <m/>
    <m/>
    <x v="3095"/>
    <m/>
    <m/>
  </r>
  <r>
    <x v="53"/>
    <d v="2023-03-27T00:00:00"/>
    <s v="Discover More Card - Ending in 7779"/>
    <x v="0"/>
    <n v="10.69"/>
    <x v="0"/>
    <s v="Amazon"/>
    <m/>
    <m/>
    <m/>
    <m/>
    <m/>
    <m/>
    <m/>
    <x v="0"/>
    <m/>
    <m/>
  </r>
  <r>
    <x v="53"/>
    <d v="2023-03-27T00:00:00"/>
    <s v="Powerplus - Ending in 8s01"/>
    <x v="455"/>
    <n v="2938.4"/>
    <x v="3"/>
    <s v="Transfers"/>
    <m/>
    <m/>
    <m/>
    <m/>
    <m/>
    <m/>
    <m/>
    <x v="439"/>
    <m/>
    <m/>
  </r>
  <r>
    <x v="53"/>
    <d v="2023-03-27T00:00:00"/>
    <s v="Cash Rewards Visa Signature - Ending in 5913"/>
    <x v="77"/>
    <n v="293.44"/>
    <x v="8"/>
    <s v="Shopping"/>
    <m/>
    <m/>
    <m/>
    <m/>
    <m/>
    <m/>
    <m/>
    <x v="77"/>
    <m/>
    <m/>
  </r>
  <r>
    <x v="53"/>
    <d v="2023-03-27T00:00:00"/>
    <s v="Delta Skymiles Platinum - Ending in 1007"/>
    <x v="585"/>
    <n v="30.98"/>
    <x v="1"/>
    <s v="Restaurants"/>
    <m/>
    <m/>
    <m/>
    <m/>
    <m/>
    <m/>
    <m/>
    <x v="566"/>
    <m/>
    <m/>
  </r>
  <r>
    <x v="53"/>
    <d v="2023-03-27T00:00:00"/>
    <s v="Powerplus - Ending in 8s01"/>
    <x v="3488"/>
    <n v="500"/>
    <x v="3"/>
    <s v="Transfers"/>
    <m/>
    <m/>
    <m/>
    <m/>
    <m/>
    <m/>
    <m/>
    <x v="3079"/>
    <m/>
    <m/>
  </r>
  <r>
    <x v="53"/>
    <d v="2023-03-27T00:00:00"/>
    <s v="Delta Skymiles Platinum - Ending in 1007"/>
    <x v="577"/>
    <n v="15.56"/>
    <x v="1"/>
    <s v="Restaurants"/>
    <m/>
    <m/>
    <m/>
    <m/>
    <m/>
    <m/>
    <m/>
    <x v="558"/>
    <m/>
    <m/>
  </r>
  <r>
    <x v="53"/>
    <d v="2023-03-27T00:00:00"/>
    <s v="Powerplus - Ending in 8s01"/>
    <x v="34"/>
    <n v="678.28"/>
    <x v="45"/>
    <s v="Credit Card Payments"/>
    <s v="Exp - Target"/>
    <m/>
    <m/>
    <m/>
    <m/>
    <m/>
    <m/>
    <x v="34"/>
    <m/>
    <m/>
  </r>
  <r>
    <x v="53"/>
    <d v="2023-03-27T00:00:00"/>
    <s v="Cash Rewards Visa Signature - Ending in 5913"/>
    <x v="1837"/>
    <n v="-5.62"/>
    <x v="19"/>
    <s v="House Maintenance"/>
    <m/>
    <m/>
    <m/>
    <m/>
    <m/>
    <m/>
    <m/>
    <x v="1692"/>
    <m/>
    <m/>
  </r>
  <r>
    <x v="53"/>
    <d v="2023-03-27T00:00:00"/>
    <s v="Cash Rewards Visa Signature - Ending in 5913"/>
    <x v="3507"/>
    <n v="44.31"/>
    <x v="1"/>
    <s v="Restaurants"/>
    <m/>
    <m/>
    <m/>
    <m/>
    <m/>
    <m/>
    <m/>
    <x v="3096"/>
    <m/>
    <m/>
  </r>
  <r>
    <x v="53"/>
    <d v="2023-03-28T00:00:00"/>
    <s v="Cash Rewards Visa Signature - Ending in 5913"/>
    <x v="0"/>
    <n v="25.99"/>
    <x v="0"/>
    <s v="Dry Cleaning"/>
    <m/>
    <m/>
    <m/>
    <m/>
    <m/>
    <m/>
    <m/>
    <x v="0"/>
    <m/>
    <m/>
  </r>
  <r>
    <x v="53"/>
    <d v="2023-03-28T00:00:00"/>
    <s v="Cash Rewards Visa Signature - Ending in 5913"/>
    <x v="1895"/>
    <n v="-17.989999999999998"/>
    <x v="0"/>
    <s v="Dry Cleaning"/>
    <m/>
    <m/>
    <m/>
    <m/>
    <m/>
    <m/>
    <m/>
    <x v="1748"/>
    <m/>
    <m/>
  </r>
  <r>
    <x v="53"/>
    <d v="2023-03-28T00:00:00"/>
    <s v="Delta Skymiles Platinum - Ending in 1007"/>
    <x v="3508"/>
    <n v="964.92"/>
    <x v="24"/>
    <s v="Travel"/>
    <m/>
    <m/>
    <m/>
    <m/>
    <m/>
    <m/>
    <m/>
    <x v="3097"/>
    <m/>
    <m/>
  </r>
  <r>
    <x v="53"/>
    <d v="2023-03-28T00:00:00"/>
    <s v="Powerplus - Ending in 8s01"/>
    <x v="157"/>
    <n v="77.459999999999994"/>
    <x v="8"/>
    <s v="Shopping"/>
    <m/>
    <m/>
    <m/>
    <m/>
    <m/>
    <m/>
    <m/>
    <x v="156"/>
    <m/>
    <m/>
  </r>
  <r>
    <x v="53"/>
    <d v="2023-03-28T00:00:00"/>
    <s v="Powerplus - Ending in 8s01"/>
    <x v="157"/>
    <n v="0.99"/>
    <x v="8"/>
    <s v="Shopping"/>
    <m/>
    <m/>
    <m/>
    <m/>
    <m/>
    <m/>
    <m/>
    <x v="156"/>
    <m/>
    <m/>
  </r>
  <r>
    <x v="53"/>
    <d v="2023-03-28T00:00:00"/>
    <s v="Powerplus - Ending in 8s01"/>
    <x v="3509"/>
    <n v="330"/>
    <x v="4"/>
    <s v="Day Care"/>
    <m/>
    <m/>
    <m/>
    <m/>
    <m/>
    <m/>
    <m/>
    <x v="3057"/>
    <m/>
    <m/>
  </r>
  <r>
    <x v="53"/>
    <d v="2023-03-29T00:00:00"/>
    <s v="Discover More Card - Ending in 7779"/>
    <x v="0"/>
    <n v="28.99"/>
    <x v="0"/>
    <s v="Dry Cleaning"/>
    <m/>
    <m/>
    <m/>
    <m/>
    <m/>
    <m/>
    <m/>
    <x v="0"/>
    <m/>
    <m/>
  </r>
  <r>
    <x v="53"/>
    <d v="2023-03-29T00:00:00"/>
    <s v="Powerplus - Ending in 8s01"/>
    <x v="3487"/>
    <n v="60.18"/>
    <x v="8"/>
    <s v="Shopping"/>
    <m/>
    <m/>
    <m/>
    <m/>
    <m/>
    <m/>
    <m/>
    <x v="3078"/>
    <m/>
    <m/>
  </r>
  <r>
    <x v="53"/>
    <d v="2023-03-29T00:00:00"/>
    <s v="Delta Skymiles Platinum - Ending in 1007"/>
    <x v="3510"/>
    <n v="15.35"/>
    <x v="1"/>
    <s v="Restaurants"/>
    <m/>
    <m/>
    <m/>
    <m/>
    <m/>
    <m/>
    <m/>
    <x v="3098"/>
    <m/>
    <m/>
  </r>
  <r>
    <x v="53"/>
    <d v="2023-03-29T00:00:00"/>
    <s v="Discover More Card - Ending in 7779"/>
    <x v="3511"/>
    <n v="58.49"/>
    <x v="5"/>
    <s v="Groceries"/>
    <m/>
    <m/>
    <m/>
    <m/>
    <m/>
    <m/>
    <m/>
    <x v="3099"/>
    <m/>
    <m/>
  </r>
  <r>
    <x v="53"/>
    <d v="2023-03-29T00:00:00"/>
    <s v="Powerplus - Ending in 8s01"/>
    <x v="157"/>
    <n v="0.99"/>
    <x v="8"/>
    <s v="Shopping"/>
    <m/>
    <m/>
    <m/>
    <m/>
    <m/>
    <m/>
    <m/>
    <x v="156"/>
    <m/>
    <m/>
  </r>
  <r>
    <x v="53"/>
    <d v="2023-03-29T00:00:00"/>
    <s v="Delta Skymiles Platinum - Ending in 1007"/>
    <x v="3512"/>
    <n v="19.18"/>
    <x v="1"/>
    <s v="Restaurants"/>
    <m/>
    <m/>
    <m/>
    <m/>
    <m/>
    <m/>
    <m/>
    <x v="3100"/>
    <m/>
    <m/>
  </r>
  <r>
    <x v="53"/>
    <d v="2023-03-30T00:00:00"/>
    <s v="Powerplus - Ending in 8s01"/>
    <x v="3443"/>
    <n v="-2434.23"/>
    <x v="3"/>
    <s v="Deposits"/>
    <m/>
    <m/>
    <m/>
    <m/>
    <m/>
    <m/>
    <m/>
    <x v="3034"/>
    <m/>
    <m/>
  </r>
  <r>
    <x v="53"/>
    <d v="2023-03-30T00:00:00"/>
    <s v="Delta Skymiles Platinum - Ending in 1007"/>
    <x v="3513"/>
    <n v="38.619999999999997"/>
    <x v="39"/>
    <s v="Delete - Other Expenses"/>
    <s v="Exp - Restaurants"/>
    <m/>
    <m/>
    <m/>
    <m/>
    <m/>
    <m/>
    <x v="3101"/>
    <m/>
    <m/>
  </r>
  <r>
    <x v="53"/>
    <d v="2023-03-30T00:00:00"/>
    <s v="Powerplus - Ending in 8s01"/>
    <x v="308"/>
    <n v="453.8"/>
    <x v="8"/>
    <s v="Shopping"/>
    <m/>
    <m/>
    <m/>
    <m/>
    <m/>
    <m/>
    <m/>
    <x v="300"/>
    <m/>
    <m/>
  </r>
  <r>
    <x v="53"/>
    <d v="2023-03-30T00:00:00"/>
    <s v="Powerplus - Ending in 8s01"/>
    <x v="3485"/>
    <n v="-3171.34"/>
    <x v="13"/>
    <s v="Paychecks/Salary"/>
    <m/>
    <m/>
    <m/>
    <m/>
    <m/>
    <m/>
    <m/>
    <x v="3076"/>
    <m/>
    <m/>
  </r>
  <r>
    <x v="53"/>
    <d v="2023-03-30T00:00:00"/>
    <s v="Powerplus - Ending in 8s01"/>
    <x v="29"/>
    <n v="215"/>
    <x v="8"/>
    <s v="Shopping"/>
    <m/>
    <m/>
    <m/>
    <m/>
    <m/>
    <m/>
    <m/>
    <x v="29"/>
    <m/>
    <m/>
  </r>
  <r>
    <x v="53"/>
    <d v="2023-03-30T00:00:00"/>
    <s v="Powerplus - Ending in 8s01"/>
    <x v="3514"/>
    <n v="104"/>
    <x v="28"/>
    <s v="Misc"/>
    <m/>
    <m/>
    <m/>
    <m/>
    <m/>
    <m/>
    <m/>
    <x v="3102"/>
    <m/>
    <m/>
  </r>
  <r>
    <x v="53"/>
    <d v="2023-03-30T00:00:00"/>
    <s v="Powerplus - Ending in 8s01"/>
    <x v="3320"/>
    <n v="1343.45"/>
    <x v="3"/>
    <s v="Credit Card Payments"/>
    <m/>
    <m/>
    <m/>
    <m/>
    <m/>
    <m/>
    <m/>
    <x v="2939"/>
    <m/>
    <m/>
  </r>
  <r>
    <x v="53"/>
    <d v="2023-03-30T00:00:00"/>
    <s v="Delta Skymiles Platinum - Ending in 1007"/>
    <x v="3506"/>
    <n v="-1185.54"/>
    <x v="3"/>
    <s v="Transfers"/>
    <m/>
    <m/>
    <m/>
    <m/>
    <m/>
    <m/>
    <m/>
    <x v="3095"/>
    <m/>
    <m/>
  </r>
  <r>
    <x v="53"/>
    <d v="2023-03-31T00:00:00"/>
    <s v="Powerplus - Ending in 8s01"/>
    <x v="455"/>
    <n v="1185.54"/>
    <x v="3"/>
    <s v="Credit Card Payments"/>
    <m/>
    <m/>
    <m/>
    <m/>
    <m/>
    <m/>
    <m/>
    <x v="439"/>
    <m/>
    <m/>
  </r>
  <r>
    <x v="53"/>
    <d v="2023-03-31T00:00:00"/>
    <s v="Powerplus - Ending in 8s01"/>
    <x v="2412"/>
    <n v="-4"/>
    <x v="13"/>
    <s v="Delete"/>
    <m/>
    <m/>
    <m/>
    <m/>
    <m/>
    <m/>
    <m/>
    <x v="2228"/>
    <m/>
    <m/>
  </r>
  <r>
    <x v="53"/>
    <d v="2023-03-31T00:00:00"/>
    <s v="Powerplus - Ending in 8s01"/>
    <x v="3515"/>
    <n v="-50.13"/>
    <x v="13"/>
    <s v="Investment Income"/>
    <m/>
    <m/>
    <m/>
    <m/>
    <m/>
    <m/>
    <m/>
    <x v="3103"/>
    <m/>
    <m/>
  </r>
  <r>
    <x v="53"/>
    <d v="2023-03-31T00:00:00"/>
    <s v="Powerplus - Ending in 8s01"/>
    <x v="3488"/>
    <n v="-11500"/>
    <x v="3"/>
    <s v="Deposits"/>
    <m/>
    <m/>
    <m/>
    <m/>
    <m/>
    <m/>
    <m/>
    <x v="3079"/>
    <m/>
    <m/>
  </r>
  <r>
    <x v="54"/>
    <d v="2023-04-01T00:00:00"/>
    <m/>
    <x v="1850"/>
    <n v="250"/>
    <x v="33"/>
    <m/>
    <s v="Exp - Cleaning"/>
    <m/>
    <m/>
    <m/>
    <m/>
    <m/>
    <m/>
    <x v="1705"/>
    <m/>
    <m/>
  </r>
  <r>
    <x v="54"/>
    <d v="2023-04-01T00:00:00"/>
    <s v="Delta Skymiles Platinum - Ending in 1007"/>
    <x v="3516"/>
    <n v="45.41"/>
    <x v="1"/>
    <s v="Restaurants"/>
    <m/>
    <m/>
    <m/>
    <m/>
    <m/>
    <m/>
    <m/>
    <x v="3104"/>
    <m/>
    <m/>
  </r>
  <r>
    <x v="54"/>
    <d v="2023-04-01T00:00:00"/>
    <s v="Delta Skymiles Platinum - Ending in 1007"/>
    <x v="3516"/>
    <n v="-45.41"/>
    <x v="1"/>
    <s v="Restaurants"/>
    <m/>
    <m/>
    <m/>
    <m/>
    <m/>
    <m/>
    <m/>
    <x v="3104"/>
    <m/>
    <m/>
  </r>
  <r>
    <x v="54"/>
    <d v="2023-04-01T00:00:00"/>
    <s v="Discover More Card - Ending in 7779"/>
    <x v="3517"/>
    <n v="267.01"/>
    <x v="5"/>
    <s v="Groceries"/>
    <m/>
    <m/>
    <m/>
    <m/>
    <m/>
    <m/>
    <m/>
    <x v="3105"/>
    <m/>
    <m/>
  </r>
  <r>
    <x v="54"/>
    <d v="2023-04-01T00:00:00"/>
    <s v="Discover More Card - Ending in 7779"/>
    <x v="3517"/>
    <n v="-267.01"/>
    <x v="5"/>
    <s v="Groceries"/>
    <m/>
    <m/>
    <m/>
    <m/>
    <m/>
    <m/>
    <m/>
    <x v="3105"/>
    <m/>
    <m/>
  </r>
  <r>
    <x v="54"/>
    <d v="2023-04-01T00:00:00"/>
    <s v="Delta Skymiles Platinum - Ending in 1007"/>
    <x v="3518"/>
    <n v="41.5"/>
    <x v="1"/>
    <s v="Restaurants"/>
    <m/>
    <m/>
    <m/>
    <m/>
    <m/>
    <m/>
    <m/>
    <x v="3106"/>
    <m/>
    <m/>
  </r>
  <r>
    <x v="54"/>
    <d v="2023-04-01T00:00:00"/>
    <s v="Delta Skymiles Platinum - Ending in 1007"/>
    <x v="3518"/>
    <n v="-41.5"/>
    <x v="1"/>
    <s v="Restaurants"/>
    <m/>
    <m/>
    <m/>
    <m/>
    <m/>
    <m/>
    <m/>
    <x v="3106"/>
    <m/>
    <m/>
  </r>
  <r>
    <x v="54"/>
    <d v="2023-04-01T00:00:00"/>
    <s v="Powerplus - Ending in 8s36"/>
    <x v="3519"/>
    <n v="618.65"/>
    <x v="48"/>
    <m/>
    <s v="Exp - Car Loan"/>
    <m/>
    <m/>
    <m/>
    <m/>
    <m/>
    <m/>
    <x v="3107"/>
    <m/>
    <m/>
  </r>
  <r>
    <x v="54"/>
    <d v="2023-04-02T00:00:00"/>
    <s v="Cash Rewards Visa Signature - Ending in 5977"/>
    <x v="3520"/>
    <n v="5.36"/>
    <x v="32"/>
    <m/>
    <s v="Exp - Shopping"/>
    <m/>
    <m/>
    <m/>
    <m/>
    <m/>
    <m/>
    <x v="3108"/>
    <m/>
    <m/>
  </r>
  <r>
    <x v="54"/>
    <d v="2023-04-02T00:00:00"/>
    <s v="Cash Rewards Visa Signature - Ending in 5976"/>
    <x v="3521"/>
    <n v="15.96"/>
    <x v="41"/>
    <m/>
    <s v="Exp - Amazon"/>
    <m/>
    <m/>
    <m/>
    <m/>
    <m/>
    <m/>
    <x v="3109"/>
    <m/>
    <m/>
  </r>
  <r>
    <x v="54"/>
    <d v="2023-04-02T00:00:00"/>
    <s v="Delta Skymiles Platinum - Ending in 1007"/>
    <x v="237"/>
    <n v="15.85"/>
    <x v="1"/>
    <s v="Restaurants"/>
    <m/>
    <m/>
    <m/>
    <m/>
    <m/>
    <m/>
    <m/>
    <x v="235"/>
    <m/>
    <m/>
  </r>
  <r>
    <x v="54"/>
    <d v="2023-04-02T00:00:00"/>
    <s v="Delta Skymiles Platinum - Ending in 1007"/>
    <x v="237"/>
    <n v="-15.85"/>
    <x v="1"/>
    <s v="Restaurants"/>
    <m/>
    <m/>
    <m/>
    <m/>
    <m/>
    <m/>
    <m/>
    <x v="235"/>
    <m/>
    <m/>
  </r>
  <r>
    <x v="54"/>
    <d v="2023-04-02T00:00:00"/>
    <s v="Cash Rewards Visa Signature - Ending in 5978"/>
    <x v="3522"/>
    <n v="-89"/>
    <x v="35"/>
    <m/>
    <s v="Exp - Entertainment"/>
    <m/>
    <m/>
    <m/>
    <m/>
    <m/>
    <m/>
    <x v="3110"/>
    <m/>
    <m/>
  </r>
  <r>
    <x v="54"/>
    <d v="2023-04-03T00:00:00"/>
    <s v="Delta Skymiles Platinum - Ending in 1007"/>
    <x v="3523"/>
    <n v="73.36"/>
    <x v="1"/>
    <s v="Restaurants"/>
    <m/>
    <m/>
    <m/>
    <m/>
    <m/>
    <m/>
    <m/>
    <x v="3111"/>
    <m/>
    <m/>
  </r>
  <r>
    <x v="54"/>
    <d v="2023-04-03T00:00:00"/>
    <s v="Delta Skymiles Platinum - Ending in 1007"/>
    <x v="3523"/>
    <n v="-73.36"/>
    <x v="1"/>
    <s v="Restaurants"/>
    <m/>
    <m/>
    <m/>
    <m/>
    <m/>
    <m/>
    <m/>
    <x v="3111"/>
    <m/>
    <m/>
  </r>
  <r>
    <x v="54"/>
    <d v="2023-04-03T00:00:00"/>
    <s v="Powerplus - Ending in 8s35"/>
    <x v="3524"/>
    <n v="500"/>
    <x v="47"/>
    <m/>
    <s v="Sav - College Savings"/>
    <m/>
    <m/>
    <m/>
    <m/>
    <m/>
    <m/>
    <x v="2077"/>
    <m/>
    <m/>
  </r>
  <r>
    <x v="2"/>
    <d v="2019-09-23T00:00:00"/>
    <s v="Jeff"/>
    <x v="3121"/>
    <n v="614.66999999999996"/>
    <x v="3"/>
    <m/>
    <m/>
    <m/>
    <n v="614.66999999999996"/>
    <b v="0"/>
    <m/>
    <m/>
    <s v="-"/>
    <x v="2777"/>
    <m/>
    <m/>
  </r>
  <r>
    <x v="54"/>
    <d v="2023-04-04T00:00:00"/>
    <s v="Cash Rewards Visa Signature - Ending in 5975"/>
    <x v="3525"/>
    <n v="75.27"/>
    <x v="43"/>
    <m/>
    <s v="Exp - Travel"/>
    <m/>
    <m/>
    <m/>
    <m/>
    <m/>
    <m/>
    <x v="3112"/>
    <m/>
    <m/>
  </r>
  <r>
    <x v="54"/>
    <d v="2023-04-05T00:00:00"/>
    <s v="Cash Rewards Visa Signature - Ending in 5974"/>
    <x v="3526"/>
    <n v="42.5"/>
    <x v="37"/>
    <m/>
    <s v="Exp - Transportation"/>
    <m/>
    <m/>
    <m/>
    <m/>
    <m/>
    <m/>
    <x v="3113"/>
    <m/>
    <m/>
  </r>
  <r>
    <x v="54"/>
    <d v="2023-04-05T00:00:00"/>
    <s v="Cash Rewards Visa Signature - Ending in 5973"/>
    <x v="3527"/>
    <n v="198"/>
    <x v="43"/>
    <m/>
    <s v="Exp - Travel"/>
    <m/>
    <m/>
    <m/>
    <m/>
    <m/>
    <m/>
    <x v="3114"/>
    <m/>
    <m/>
  </r>
  <r>
    <x v="54"/>
    <d v="2023-04-06T00:00:00"/>
    <s v="Powerplus - Ending in 8s33"/>
    <x v="3528"/>
    <n v="-602.79999999999995"/>
    <x v="3"/>
    <m/>
    <s v="Delete"/>
    <m/>
    <m/>
    <m/>
    <m/>
    <m/>
    <m/>
    <x v="2138"/>
    <m/>
    <m/>
  </r>
  <r>
    <x v="54"/>
    <d v="2023-04-07T00:00:00"/>
    <s v="Delta Skymiles Platinum - Ending in 1007"/>
    <x v="3529"/>
    <n v="1171.8900000000001"/>
    <x v="24"/>
    <s v="Travel"/>
    <m/>
    <m/>
    <m/>
    <m/>
    <m/>
    <m/>
    <m/>
    <x v="3115"/>
    <m/>
    <m/>
  </r>
  <r>
    <x v="54"/>
    <d v="2023-04-07T00:00:00"/>
    <s v="Delta Skymiles Platinum - Ending in 1007"/>
    <x v="3529"/>
    <n v="-1171.8900000000001"/>
    <x v="24"/>
    <s v="Travel"/>
    <m/>
    <m/>
    <m/>
    <m/>
    <m/>
    <m/>
    <m/>
    <x v="3115"/>
    <m/>
    <m/>
  </r>
  <r>
    <x v="54"/>
    <d v="2023-04-09T00:00:00"/>
    <s v="Cash Rewards Visa Signature - Ending in 5969"/>
    <x v="3530"/>
    <n v="36"/>
    <x v="39"/>
    <m/>
    <s v="Exp - Restaurants"/>
    <m/>
    <m/>
    <m/>
    <m/>
    <m/>
    <m/>
    <x v="3116"/>
    <m/>
    <m/>
  </r>
  <r>
    <x v="54"/>
    <d v="2023-04-09T00:00:00"/>
    <s v="Cash Rewards Visa Signature - Ending in 5968"/>
    <x v="3531"/>
    <n v="34.75"/>
    <x v="39"/>
    <m/>
    <s v="Exp - Restaurants"/>
    <m/>
    <m/>
    <m/>
    <m/>
    <m/>
    <m/>
    <x v="3117"/>
    <m/>
    <m/>
  </r>
  <r>
    <x v="54"/>
    <d v="2023-04-09T00:00:00"/>
    <s v="Cash Rewards Visa Signature - Ending in 5970"/>
    <x v="3532"/>
    <n v="47.25"/>
    <x v="49"/>
    <m/>
    <s v="Exp - Gym"/>
    <m/>
    <m/>
    <m/>
    <m/>
    <m/>
    <m/>
    <x v="3118"/>
    <m/>
    <m/>
  </r>
  <r>
    <x v="54"/>
    <d v="2023-04-09T00:00:00"/>
    <s v="Cash Rewards Visa Signature - Ending in 5972"/>
    <x v="3533"/>
    <n v="33.42"/>
    <x v="37"/>
    <m/>
    <s v="Exp - Transportation"/>
    <m/>
    <m/>
    <m/>
    <m/>
    <m/>
    <m/>
    <x v="3119"/>
    <m/>
    <m/>
  </r>
  <r>
    <x v="54"/>
    <d v="2023-04-09T00:00:00"/>
    <s v="Cash Rewards Visa Signature - Ending in 5971"/>
    <x v="3534"/>
    <n v="8.67"/>
    <x v="37"/>
    <m/>
    <s v="Exp - Transportation"/>
    <m/>
    <m/>
    <m/>
    <m/>
    <m/>
    <m/>
    <x v="3120"/>
    <m/>
    <m/>
  </r>
  <r>
    <x v="54"/>
    <d v="2023-04-11T00:00:00"/>
    <s v="Cash Rewards Visa Signature - Ending in 5967"/>
    <x v="3535"/>
    <n v="54.28"/>
    <x v="37"/>
    <m/>
    <s v="Exp - Transportation"/>
    <m/>
    <m/>
    <m/>
    <m/>
    <m/>
    <m/>
    <x v="3121"/>
    <m/>
    <m/>
  </r>
  <r>
    <x v="54"/>
    <d v="2023-04-11T00:00:00"/>
    <s v="Powerplus - Ending in 8s31"/>
    <x v="3536"/>
    <n v="-1601"/>
    <x v="3"/>
    <m/>
    <s v="Delete"/>
    <m/>
    <m/>
    <m/>
    <m/>
    <m/>
    <m/>
    <x v="3122"/>
    <m/>
    <m/>
  </r>
  <r>
    <x v="54"/>
    <d v="2023-04-11T00:00:00"/>
    <s v="Delta Skymiles Platinum - Ending in 1007"/>
    <x v="3537"/>
    <n v="1.78"/>
    <x v="1"/>
    <s v="Restaurants"/>
    <m/>
    <m/>
    <m/>
    <m/>
    <m/>
    <m/>
    <m/>
    <x v="3123"/>
    <m/>
    <m/>
  </r>
  <r>
    <x v="54"/>
    <d v="2023-04-11T00:00:00"/>
    <s v="Delta Skymiles Platinum - Ending in 1007"/>
    <x v="3537"/>
    <n v="-1.78"/>
    <x v="1"/>
    <s v="Restaurants"/>
    <m/>
    <m/>
    <m/>
    <m/>
    <m/>
    <m/>
    <m/>
    <x v="3123"/>
    <m/>
    <m/>
  </r>
  <r>
    <x v="54"/>
    <d v="2023-04-11T00:00:00"/>
    <s v="Delta Skymiles Platinum - Ending in 1007"/>
    <x v="2"/>
    <n v="52.82"/>
    <x v="2"/>
    <s v="Transportation"/>
    <m/>
    <m/>
    <m/>
    <m/>
    <m/>
    <m/>
    <m/>
    <x v="2"/>
    <m/>
    <m/>
  </r>
  <r>
    <x v="54"/>
    <d v="2023-04-11T00:00:00"/>
    <s v="Delta Skymiles Platinum - Ending in 1007"/>
    <x v="2"/>
    <n v="-52.82"/>
    <x v="2"/>
    <s v="Transportation"/>
    <m/>
    <m/>
    <m/>
    <m/>
    <m/>
    <m/>
    <m/>
    <x v="2"/>
    <m/>
    <m/>
  </r>
  <r>
    <x v="54"/>
    <d v="2023-04-11T00:00:00"/>
    <s v="Powerplus - Ending in 8s32"/>
    <x v="3538"/>
    <n v="116.21"/>
    <x v="42"/>
    <m/>
    <s v="Exp - Utilities"/>
    <m/>
    <m/>
    <m/>
    <m/>
    <m/>
    <m/>
    <x v="2103"/>
    <m/>
    <m/>
  </r>
  <r>
    <x v="54"/>
    <d v="2023-04-12T00:00:00"/>
    <s v="Discover More Card - Ending in 7779"/>
    <x v="57"/>
    <n v="192.93"/>
    <x v="25"/>
    <s v="Healthcare"/>
    <m/>
    <m/>
    <m/>
    <m/>
    <m/>
    <m/>
    <m/>
    <x v="57"/>
    <m/>
    <m/>
  </r>
  <r>
    <x v="54"/>
    <d v="2023-04-12T00:00:00"/>
    <s v="Discover More Card - Ending in 7779"/>
    <x v="57"/>
    <n v="-192.93"/>
    <x v="25"/>
    <s v="Healthcare"/>
    <m/>
    <m/>
    <m/>
    <m/>
    <m/>
    <m/>
    <m/>
    <x v="57"/>
    <m/>
    <m/>
  </r>
  <r>
    <x v="54"/>
    <d v="2023-04-12T00:00:00"/>
    <s v="Cash Rewards Visa Signature - Ending in 5966"/>
    <x v="3539"/>
    <n v="148"/>
    <x v="44"/>
    <m/>
    <s v="Exp - Misc"/>
    <m/>
    <m/>
    <m/>
    <m/>
    <m/>
    <m/>
    <x v="3124"/>
    <m/>
    <m/>
  </r>
  <r>
    <x v="54"/>
    <d v="2023-04-12T00:00:00"/>
    <s v="Powerplus - Ending in 8s30"/>
    <x v="3540"/>
    <n v="330"/>
    <x v="40"/>
    <m/>
    <s v="Exp - Day Care"/>
    <m/>
    <m/>
    <m/>
    <m/>
    <m/>
    <m/>
    <x v="2007"/>
    <m/>
    <m/>
  </r>
  <r>
    <x v="54"/>
    <d v="2023-04-13T00:00:00"/>
    <s v="Cash Rewards Visa Signature - Ending in 5965"/>
    <x v="3541"/>
    <n v="45"/>
    <x v="42"/>
    <m/>
    <s v="Exp - Utilities"/>
    <m/>
    <m/>
    <m/>
    <m/>
    <m/>
    <m/>
    <x v="3125"/>
    <m/>
    <m/>
  </r>
  <r>
    <x v="54"/>
    <d v="2023-04-13T00:00:00"/>
    <s v="Powerplus - Ending in 8s27"/>
    <x v="3542"/>
    <n v="-2484.2199999999998"/>
    <x v="14"/>
    <m/>
    <s v="Inc - Britney"/>
    <m/>
    <m/>
    <m/>
    <m/>
    <m/>
    <m/>
    <x v="2014"/>
    <m/>
    <m/>
  </r>
  <r>
    <x v="54"/>
    <d v="2023-04-13T00:00:00"/>
    <s v="Powerplus - Ending in 8s29"/>
    <x v="3543"/>
    <n v="-3180.72"/>
    <x v="15"/>
    <m/>
    <s v="Inc - Jeff"/>
    <m/>
    <m/>
    <m/>
    <m/>
    <m/>
    <m/>
    <x v="2139"/>
    <m/>
    <m/>
  </r>
  <r>
    <x v="54"/>
    <d v="2023-04-13T00:00:00"/>
    <s v="Cash Rewards Visa Signature - Ending in 5964"/>
    <x v="3544"/>
    <n v="52.25"/>
    <x v="36"/>
    <m/>
    <s v="Exp - House Maint"/>
    <m/>
    <m/>
    <m/>
    <m/>
    <m/>
    <m/>
    <x v="3126"/>
    <m/>
    <m/>
  </r>
  <r>
    <x v="54"/>
    <d v="2023-04-13T00:00:00"/>
    <s v="Cash Rewards Visa Signature - Ending in 5963"/>
    <x v="3545"/>
    <n v="42.59"/>
    <x v="36"/>
    <m/>
    <s v="Exp - House Maint"/>
    <m/>
    <m/>
    <m/>
    <m/>
    <m/>
    <m/>
    <x v="3127"/>
    <m/>
    <m/>
  </r>
  <r>
    <x v="54"/>
    <d v="2023-04-13T00:00:00"/>
    <s v="Powerplus - Ending in 8s28"/>
    <x v="3546"/>
    <n v="3424"/>
    <x v="3"/>
    <m/>
    <s v="Delete"/>
    <m/>
    <m/>
    <m/>
    <m/>
    <m/>
    <m/>
    <x v="3128"/>
    <m/>
    <m/>
  </r>
  <r>
    <x v="54"/>
    <d v="2023-04-14T00:00:00"/>
    <s v="Discover More Card - Ending in 7779"/>
    <x v="1885"/>
    <n v="-8.48"/>
    <x v="23"/>
    <s v="Rewards"/>
    <m/>
    <m/>
    <m/>
    <m/>
    <m/>
    <m/>
    <m/>
    <x v="1738"/>
    <m/>
    <m/>
  </r>
  <r>
    <x v="54"/>
    <d v="2023-04-14T00:00:00"/>
    <s v="Discover More Card - Ending in 7779"/>
    <x v="1885"/>
    <n v="8.48"/>
    <x v="23"/>
    <s v="Rewards"/>
    <m/>
    <m/>
    <m/>
    <m/>
    <m/>
    <m/>
    <m/>
    <x v="1738"/>
    <m/>
    <m/>
  </r>
  <r>
    <x v="54"/>
    <d v="2023-04-14T00:00:00"/>
    <s v="Delta Skymiles Platinum - Ending in 1007"/>
    <x v="3547"/>
    <n v="63.32"/>
    <x v="5"/>
    <s v="Groceries"/>
    <m/>
    <m/>
    <m/>
    <m/>
    <m/>
    <m/>
    <m/>
    <x v="3129"/>
    <m/>
    <m/>
  </r>
  <r>
    <x v="54"/>
    <d v="2023-04-14T00:00:00"/>
    <s v="Delta Skymiles Platinum - Ending in 1007"/>
    <x v="3547"/>
    <n v="-63.32"/>
    <x v="5"/>
    <s v="Groceries"/>
    <m/>
    <m/>
    <m/>
    <m/>
    <m/>
    <m/>
    <m/>
    <x v="3129"/>
    <m/>
    <m/>
  </r>
  <r>
    <x v="54"/>
    <d v="2023-04-14T00:00:00"/>
    <s v="Powerplus - Ending in 8s25"/>
    <x v="3548"/>
    <n v="140.52000000000001"/>
    <x v="42"/>
    <m/>
    <s v="Exp - Utilities"/>
    <m/>
    <m/>
    <m/>
    <m/>
    <m/>
    <m/>
    <x v="2078"/>
    <m/>
    <m/>
  </r>
  <r>
    <x v="54"/>
    <d v="2023-04-14T00:00:00"/>
    <s v="Discover More Card - Ending in 7779"/>
    <x v="56"/>
    <n v="-652.96"/>
    <x v="3"/>
    <s v="Credit Card Payments"/>
    <m/>
    <m/>
    <m/>
    <m/>
    <m/>
    <m/>
    <m/>
    <x v="56"/>
    <m/>
    <m/>
  </r>
  <r>
    <x v="54"/>
    <d v="2023-04-14T00:00:00"/>
    <s v="Discover More Card - Ending in 7779"/>
    <x v="56"/>
    <n v="652.96"/>
    <x v="3"/>
    <s v="Credit Card Payments"/>
    <m/>
    <m/>
    <m/>
    <m/>
    <m/>
    <m/>
    <m/>
    <x v="56"/>
    <m/>
    <m/>
  </r>
  <r>
    <x v="54"/>
    <d v="2023-04-14T00:00:00"/>
    <s v="Powerplus - Ending in 8s26"/>
    <x v="3549"/>
    <n v="90.39"/>
    <x v="54"/>
    <m/>
    <s v="Exp - Insurance"/>
    <m/>
    <m/>
    <m/>
    <m/>
    <m/>
    <m/>
    <x v="2161"/>
    <m/>
    <m/>
  </r>
  <r>
    <x v="54"/>
    <d v="2023-04-15T00:00:00"/>
    <s v="Delta Skymiles Platinum - Ending in 1007"/>
    <x v="3550"/>
    <n v="50"/>
    <x v="24"/>
    <s v="Travel"/>
    <m/>
    <m/>
    <m/>
    <m/>
    <m/>
    <m/>
    <m/>
    <x v="3130"/>
    <m/>
    <m/>
  </r>
  <r>
    <x v="54"/>
    <d v="2023-04-15T00:00:00"/>
    <s v="Delta Skymiles Platinum - Ending in 1007"/>
    <x v="3550"/>
    <n v="-50"/>
    <x v="24"/>
    <s v="Travel"/>
    <m/>
    <m/>
    <m/>
    <m/>
    <m/>
    <m/>
    <m/>
    <x v="3130"/>
    <m/>
    <m/>
  </r>
  <r>
    <x v="54"/>
    <d v="2023-04-15T00:00:00"/>
    <s v="Delta Skymiles Platinum - Ending in 1007"/>
    <x v="3551"/>
    <n v="71.739999999999995"/>
    <x v="1"/>
    <s v="Restaurants"/>
    <m/>
    <m/>
    <m/>
    <m/>
    <m/>
    <m/>
    <m/>
    <x v="3131"/>
    <m/>
    <m/>
  </r>
  <r>
    <x v="54"/>
    <d v="2023-04-15T00:00:00"/>
    <s v="Delta Skymiles Platinum - Ending in 1007"/>
    <x v="3551"/>
    <n v="-71.739999999999995"/>
    <x v="1"/>
    <s v="Restaurants"/>
    <m/>
    <m/>
    <m/>
    <m/>
    <m/>
    <m/>
    <m/>
    <x v="3131"/>
    <m/>
    <m/>
  </r>
  <r>
    <x v="54"/>
    <d v="2023-04-15T00:00:00"/>
    <s v="Delta Skymiles Platinum - Ending in 1007"/>
    <x v="3552"/>
    <n v="20.63"/>
    <x v="1"/>
    <s v="Restaurants"/>
    <m/>
    <m/>
    <m/>
    <m/>
    <m/>
    <m/>
    <m/>
    <x v="3132"/>
    <m/>
    <m/>
  </r>
  <r>
    <x v="54"/>
    <d v="2023-04-15T00:00:00"/>
    <s v="Delta Skymiles Platinum - Ending in 1007"/>
    <x v="3552"/>
    <n v="-20.63"/>
    <x v="1"/>
    <s v="Restaurants"/>
    <m/>
    <m/>
    <m/>
    <m/>
    <m/>
    <m/>
    <m/>
    <x v="3132"/>
    <m/>
    <m/>
  </r>
  <r>
    <x v="54"/>
    <d v="2023-04-15T00:00:00"/>
    <s v="Delta Skymiles Platinum - Ending in 1007"/>
    <x v="3553"/>
    <n v="44.56"/>
    <x v="1"/>
    <s v="Restaurants"/>
    <m/>
    <m/>
    <m/>
    <m/>
    <m/>
    <m/>
    <m/>
    <x v="3133"/>
    <m/>
    <m/>
  </r>
  <r>
    <x v="54"/>
    <d v="2023-04-15T00:00:00"/>
    <s v="Delta Skymiles Platinum - Ending in 1007"/>
    <x v="3553"/>
    <n v="-44.56"/>
    <x v="1"/>
    <s v="Restaurants"/>
    <m/>
    <m/>
    <m/>
    <m/>
    <m/>
    <m/>
    <m/>
    <x v="3133"/>
    <m/>
    <m/>
  </r>
  <r>
    <x v="54"/>
    <d v="2023-04-16T00:00:00"/>
    <s v="Cash Rewards Visa Signature - Ending in 5959"/>
    <x v="3554"/>
    <n v="100.98"/>
    <x v="41"/>
    <m/>
    <s v="Exp - Amazon"/>
    <m/>
    <m/>
    <m/>
    <m/>
    <m/>
    <m/>
    <x v="3134"/>
    <m/>
    <m/>
  </r>
  <r>
    <x v="54"/>
    <d v="2023-04-16T00:00:00"/>
    <s v="Cash Rewards Visa Signature - Ending in 5961"/>
    <x v="3555"/>
    <n v="83.96"/>
    <x v="38"/>
    <m/>
    <s v="Exp - Groceries"/>
    <m/>
    <m/>
    <m/>
    <m/>
    <m/>
    <m/>
    <x v="3135"/>
    <m/>
    <m/>
  </r>
  <r>
    <x v="54"/>
    <d v="2023-04-16T00:00:00"/>
    <s v="Delta Skymiles Platinum - Ending in 1007"/>
    <x v="1861"/>
    <n v="132"/>
    <x v="3"/>
    <s v="Travel"/>
    <m/>
    <m/>
    <m/>
    <m/>
    <m/>
    <m/>
    <m/>
    <x v="1715"/>
    <m/>
    <m/>
  </r>
  <r>
    <x v="54"/>
    <d v="2023-04-16T00:00:00"/>
    <s v="Delta Skymiles Platinum - Ending in 1007"/>
    <x v="1861"/>
    <n v="-132"/>
    <x v="3"/>
    <s v="Travel"/>
    <m/>
    <m/>
    <m/>
    <m/>
    <m/>
    <m/>
    <m/>
    <x v="1715"/>
    <m/>
    <m/>
  </r>
  <r>
    <x v="54"/>
    <d v="2023-04-16T00:00:00"/>
    <s v="Delta Skymiles Platinum - Ending in 1007"/>
    <x v="3556"/>
    <n v="55.46"/>
    <x v="5"/>
    <s v="Groceries"/>
    <m/>
    <m/>
    <m/>
    <m/>
    <m/>
    <m/>
    <m/>
    <x v="3136"/>
    <m/>
    <m/>
  </r>
  <r>
    <x v="54"/>
    <d v="2023-04-16T00:00:00"/>
    <s v="Delta Skymiles Platinum - Ending in 1007"/>
    <x v="3556"/>
    <n v="-55.46"/>
    <x v="5"/>
    <s v="Groceries"/>
    <m/>
    <m/>
    <m/>
    <m/>
    <m/>
    <m/>
    <m/>
    <x v="3136"/>
    <m/>
    <m/>
  </r>
  <r>
    <x v="54"/>
    <d v="2023-04-16T00:00:00"/>
    <s v="Cash Rewards Visa Signature - Ending in 5962"/>
    <x v="3557"/>
    <n v="23.6"/>
    <x v="40"/>
    <m/>
    <s v="Exp - Day Care"/>
    <m/>
    <m/>
    <m/>
    <m/>
    <m/>
    <m/>
    <x v="3137"/>
    <m/>
    <m/>
  </r>
  <r>
    <x v="54"/>
    <d v="2023-04-16T00:00:00"/>
    <s v="Cash Rewards Visa Signature - Ending in 5960"/>
    <x v="3558"/>
    <n v="-68"/>
    <x v="32"/>
    <m/>
    <s v="Exp - Shopping"/>
    <m/>
    <m/>
    <m/>
    <m/>
    <m/>
    <m/>
    <x v="3138"/>
    <m/>
    <m/>
  </r>
  <r>
    <x v="54"/>
    <d v="2023-04-17T00:00:00"/>
    <s v="Cash Rewards Visa Signature - Ending in 5957"/>
    <x v="3559"/>
    <n v="-75.7"/>
    <x v="32"/>
    <m/>
    <s v="Exp - Shopping"/>
    <m/>
    <m/>
    <m/>
    <m/>
    <m/>
    <m/>
    <x v="3139"/>
    <m/>
    <m/>
  </r>
  <r>
    <x v="54"/>
    <d v="2023-04-17T00:00:00"/>
    <s v="Cash Rewards Visa Signature - Ending in 5958"/>
    <x v="3560"/>
    <n v="89.04"/>
    <x v="35"/>
    <m/>
    <s v="Exp - Entertainment"/>
    <m/>
    <m/>
    <m/>
    <m/>
    <m/>
    <m/>
    <x v="3140"/>
    <m/>
    <m/>
  </r>
  <r>
    <x v="54"/>
    <d v="2023-04-17T00:00:00"/>
    <s v="Discover More Card - Ending in 7779"/>
    <x v="79"/>
    <n v="29"/>
    <x v="28"/>
    <s v="Misc"/>
    <m/>
    <m/>
    <m/>
    <m/>
    <m/>
    <m/>
    <m/>
    <x v="79"/>
    <m/>
    <m/>
  </r>
  <r>
    <x v="54"/>
    <d v="2023-04-17T00:00:00"/>
    <s v="Discover More Card - Ending in 7779"/>
    <x v="79"/>
    <n v="-29"/>
    <x v="28"/>
    <s v="Misc"/>
    <m/>
    <m/>
    <m/>
    <m/>
    <m/>
    <m/>
    <m/>
    <x v="79"/>
    <m/>
    <m/>
  </r>
  <r>
    <x v="54"/>
    <d v="2023-04-17T00:00:00"/>
    <s v="Powerplus - Ending in 8s21"/>
    <x v="3561"/>
    <n v="4.75"/>
    <x v="32"/>
    <m/>
    <s v="Exp - Shopping"/>
    <m/>
    <m/>
    <m/>
    <m/>
    <m/>
    <m/>
    <x v="2045"/>
    <m/>
    <m/>
  </r>
  <r>
    <x v="54"/>
    <d v="2023-04-17T00:00:00"/>
    <s v="Powerplus - Ending in 8s22"/>
    <x v="3562"/>
    <n v="3.25"/>
    <x v="32"/>
    <m/>
    <s v="Exp - Shopping"/>
    <m/>
    <m/>
    <m/>
    <m/>
    <m/>
    <m/>
    <x v="2045"/>
    <m/>
    <m/>
  </r>
  <r>
    <x v="54"/>
    <d v="2023-04-17T00:00:00"/>
    <s v="Powerplus - Ending in 8s24"/>
    <x v="3563"/>
    <n v="1.75"/>
    <x v="32"/>
    <m/>
    <s v="Exp - Shopping"/>
    <m/>
    <m/>
    <m/>
    <m/>
    <m/>
    <m/>
    <x v="2045"/>
    <m/>
    <m/>
  </r>
  <r>
    <x v="54"/>
    <d v="2023-04-17T00:00:00"/>
    <s v="Powerplus - Ending in 8s23"/>
    <x v="3564"/>
    <n v="1.75"/>
    <x v="32"/>
    <m/>
    <s v="Exp - Shopping"/>
    <m/>
    <m/>
    <m/>
    <m/>
    <m/>
    <m/>
    <x v="2045"/>
    <m/>
    <m/>
  </r>
  <r>
    <x v="54"/>
    <d v="2023-04-17T00:00:00"/>
    <s v="Powerplus - Ending in 8s20"/>
    <x v="3565"/>
    <n v="652.96"/>
    <x v="3"/>
    <m/>
    <s v="Delete"/>
    <m/>
    <m/>
    <m/>
    <m/>
    <m/>
    <m/>
    <x v="2059"/>
    <m/>
    <m/>
  </r>
  <r>
    <x v="54"/>
    <d v="2023-04-18T00:00:00"/>
    <s v="Discover More Card - Ending in 7779"/>
    <x v="57"/>
    <n v="139.38"/>
    <x v="25"/>
    <s v="Groceries"/>
    <m/>
    <m/>
    <m/>
    <m/>
    <m/>
    <m/>
    <m/>
    <x v="57"/>
    <m/>
    <m/>
  </r>
  <r>
    <x v="54"/>
    <d v="2023-04-18T00:00:00"/>
    <s v="Discover More Card - Ending in 7779"/>
    <x v="57"/>
    <n v="-139.38"/>
    <x v="25"/>
    <s v="Groceries"/>
    <m/>
    <m/>
    <m/>
    <m/>
    <m/>
    <m/>
    <m/>
    <x v="57"/>
    <m/>
    <m/>
  </r>
  <r>
    <x v="54"/>
    <d v="2023-04-18T00:00:00"/>
    <s v="Cash Rewards Visa Signature - Ending in 5956"/>
    <x v="3566"/>
    <n v="9.77"/>
    <x v="41"/>
    <m/>
    <s v="Exp - Amazon"/>
    <m/>
    <m/>
    <m/>
    <m/>
    <m/>
    <m/>
    <x v="3141"/>
    <m/>
    <m/>
  </r>
  <r>
    <x v="54"/>
    <d v="2023-04-18T00:00:00"/>
    <s v="Powerplus - Ending in 8s17"/>
    <x v="3567"/>
    <n v="-161.15"/>
    <x v="46"/>
    <m/>
    <s v="Exp - Healthcare"/>
    <m/>
    <m/>
    <m/>
    <m/>
    <m/>
    <m/>
    <x v="3142"/>
    <m/>
    <m/>
  </r>
  <r>
    <x v="54"/>
    <d v="2023-04-18T00:00:00"/>
    <s v="Powerplus - Ending in 8s16"/>
    <x v="3568"/>
    <n v="-3636.35"/>
    <x v="13"/>
    <m/>
    <s v="Inc - Other"/>
    <m/>
    <m/>
    <m/>
    <m/>
    <m/>
    <m/>
    <x v="3143"/>
    <m/>
    <m/>
  </r>
  <r>
    <x v="54"/>
    <d v="2023-04-18T00:00:00"/>
    <s v="Powerplus - Ending in 8s19"/>
    <x v="3569"/>
    <n v="500"/>
    <x v="3"/>
    <m/>
    <s v="Delete"/>
    <m/>
    <m/>
    <m/>
    <m/>
    <m/>
    <m/>
    <x v="2174"/>
    <m/>
    <m/>
  </r>
  <r>
    <x v="54"/>
    <d v="2023-04-18T00:00:00"/>
    <s v="Powerplus - Ending in 8s18"/>
    <x v="3320"/>
    <n v="1306.32"/>
    <x v="3"/>
    <m/>
    <s v="Delete"/>
    <m/>
    <m/>
    <m/>
    <m/>
    <m/>
    <m/>
    <x v="2939"/>
    <m/>
    <m/>
  </r>
  <r>
    <x v="54"/>
    <d v="2023-04-18T00:00:00"/>
    <s v="Cash Rewards Visa Signature - Ending in 5955"/>
    <x v="3570"/>
    <n v="8"/>
    <x v="42"/>
    <m/>
    <s v="Exp - Utilities"/>
    <m/>
    <m/>
    <m/>
    <m/>
    <m/>
    <m/>
    <x v="3144"/>
    <m/>
    <m/>
  </r>
  <r>
    <x v="54"/>
    <d v="2023-04-18T00:00:00"/>
    <s v="Delta Skymiles Platinum - Ending in 1007"/>
    <x v="3506"/>
    <n v="-1838.83"/>
    <x v="3"/>
    <s v="Delete"/>
    <m/>
    <m/>
    <m/>
    <m/>
    <m/>
    <m/>
    <m/>
    <x v="3095"/>
    <m/>
    <m/>
  </r>
  <r>
    <x v="54"/>
    <d v="2023-04-18T00:00:00"/>
    <s v="Delta Skymiles Platinum - Ending in 1007"/>
    <x v="3506"/>
    <n v="1838.83"/>
    <x v="3"/>
    <s v="Delete"/>
    <m/>
    <m/>
    <m/>
    <m/>
    <m/>
    <m/>
    <m/>
    <x v="3095"/>
    <m/>
    <m/>
  </r>
  <r>
    <x v="54"/>
    <d v="2023-04-18T00:00:00"/>
    <s v="Cash Rewards Visa Signature - Ending in 5954"/>
    <x v="3571"/>
    <n v="-1306.32"/>
    <x v="3"/>
    <m/>
    <s v="Delete"/>
    <m/>
    <m/>
    <m/>
    <m/>
    <m/>
    <m/>
    <x v="3145"/>
    <m/>
    <m/>
  </r>
  <r>
    <x v="54"/>
    <d v="2023-04-19T00:00:00"/>
    <s v="Cash Rewards Visa Signature - Ending in 5953"/>
    <x v="3572"/>
    <n v="22.64"/>
    <x v="50"/>
    <m/>
    <s v="Exp - Dry Cleaning"/>
    <m/>
    <m/>
    <m/>
    <m/>
    <m/>
    <m/>
    <x v="3146"/>
    <m/>
    <m/>
  </r>
  <r>
    <x v="54"/>
    <d v="2023-04-19T00:00:00"/>
    <s v="Discover More Card - Ending in 7779"/>
    <x v="0"/>
    <n v="45.61"/>
    <x v="0"/>
    <s v="Dry Cleaning"/>
    <m/>
    <m/>
    <m/>
    <m/>
    <m/>
    <m/>
    <m/>
    <x v="0"/>
    <m/>
    <m/>
  </r>
  <r>
    <x v="54"/>
    <d v="2023-04-19T00:00:00"/>
    <s v="Discover More Card - Ending in 7779"/>
    <x v="0"/>
    <n v="-45.61"/>
    <x v="0"/>
    <s v="Dry Cleaning"/>
    <m/>
    <m/>
    <m/>
    <m/>
    <m/>
    <m/>
    <m/>
    <x v="0"/>
    <m/>
    <m/>
  </r>
  <r>
    <x v="54"/>
    <d v="2023-04-19T00:00:00"/>
    <s v="Cash Rewards Visa Signature - Ending in 5951"/>
    <x v="3573"/>
    <n v="18.2"/>
    <x v="41"/>
    <m/>
    <s v="Exp - Amazon"/>
    <m/>
    <m/>
    <m/>
    <m/>
    <m/>
    <m/>
    <x v="3147"/>
    <m/>
    <m/>
  </r>
  <r>
    <x v="54"/>
    <d v="2023-04-19T00:00:00"/>
    <s v="Cash Rewards Visa Signature - Ending in 5952"/>
    <x v="3574"/>
    <n v="-98"/>
    <x v="32"/>
    <m/>
    <s v="Exp - Shopping"/>
    <m/>
    <m/>
    <m/>
    <m/>
    <m/>
    <m/>
    <x v="3148"/>
    <m/>
    <m/>
  </r>
  <r>
    <x v="54"/>
    <d v="2023-04-19T00:00:00"/>
    <s v="Powerplus - Ending in 8s15"/>
    <x v="3575"/>
    <n v="330"/>
    <x v="40"/>
    <m/>
    <s v="Exp - Day Care"/>
    <m/>
    <m/>
    <m/>
    <m/>
    <m/>
    <m/>
    <x v="2007"/>
    <m/>
    <m/>
  </r>
  <r>
    <x v="54"/>
    <d v="2023-04-19T00:00:00"/>
    <s v="Powerplus - Ending in 8s14"/>
    <x v="3576"/>
    <n v="1838.83"/>
    <x v="3"/>
    <m/>
    <s v="Delete"/>
    <m/>
    <m/>
    <m/>
    <m/>
    <m/>
    <m/>
    <x v="2405"/>
    <m/>
    <m/>
  </r>
  <r>
    <x v="54"/>
    <d v="2023-04-20T00:00:00"/>
    <s v="Cash Rewards Visa Signature - Ending in 5949"/>
    <x v="3577"/>
    <n v="20.69"/>
    <x v="41"/>
    <m/>
    <s v="Exp - Amazon"/>
    <m/>
    <m/>
    <m/>
    <m/>
    <m/>
    <m/>
    <x v="3149"/>
    <m/>
    <m/>
  </r>
  <r>
    <x v="54"/>
    <d v="2023-04-20T00:00:00"/>
    <s v="Cash Rewards Visa Signature - Ending in 5950"/>
    <x v="3578"/>
    <n v="22.38"/>
    <x v="41"/>
    <m/>
    <s v="Exp - Amazon"/>
    <m/>
    <m/>
    <m/>
    <m/>
    <m/>
    <m/>
    <x v="3150"/>
    <m/>
    <m/>
  </r>
  <r>
    <x v="54"/>
    <d v="2023-04-20T00:00:00"/>
    <s v="Powerplus - Ending in 8s13"/>
    <x v="3579"/>
    <n v="2.67"/>
    <x v="32"/>
    <m/>
    <s v="Exp - Shopping"/>
    <m/>
    <m/>
    <m/>
    <m/>
    <m/>
    <m/>
    <x v="2045"/>
    <m/>
    <m/>
  </r>
  <r>
    <x v="54"/>
    <d v="2023-04-21T00:00:00"/>
    <s v="Cash Rewards Visa Signature - Ending in 5945"/>
    <x v="3580"/>
    <n v="74.63"/>
    <x v="41"/>
    <m/>
    <s v="Exp - Amazon"/>
    <m/>
    <m/>
    <m/>
    <m/>
    <m/>
    <m/>
    <x v="3151"/>
    <m/>
    <m/>
  </r>
  <r>
    <x v="54"/>
    <d v="2023-04-21T00:00:00"/>
    <s v="Cash Rewards Visa Signature - Ending in 5946"/>
    <x v="3581"/>
    <n v="11"/>
    <x v="42"/>
    <m/>
    <s v="Exp - Utilities"/>
    <m/>
    <m/>
    <m/>
    <m/>
    <m/>
    <m/>
    <x v="3152"/>
    <m/>
    <m/>
  </r>
  <r>
    <x v="54"/>
    <d v="2023-04-21T00:00:00"/>
    <s v="Cash Rewards Visa Signature - Ending in 5948"/>
    <x v="3582"/>
    <n v="54.03"/>
    <x v="37"/>
    <m/>
    <s v="Exp - Transportation"/>
    <m/>
    <m/>
    <m/>
    <m/>
    <m/>
    <m/>
    <x v="3153"/>
    <m/>
    <m/>
  </r>
  <r>
    <x v="54"/>
    <d v="2023-04-21T00:00:00"/>
    <s v="Delta Skymiles Platinum - Ending in 1007"/>
    <x v="3583"/>
    <n v="250"/>
    <x v="28"/>
    <s v="Misc"/>
    <m/>
    <m/>
    <m/>
    <m/>
    <m/>
    <m/>
    <m/>
    <x v="3154"/>
    <m/>
    <m/>
  </r>
  <r>
    <x v="54"/>
    <d v="2023-04-21T00:00:00"/>
    <s v="Delta Skymiles Platinum - Ending in 1007"/>
    <x v="3583"/>
    <n v="-250"/>
    <x v="28"/>
    <s v="Misc"/>
    <m/>
    <m/>
    <m/>
    <m/>
    <m/>
    <m/>
    <m/>
    <x v="3154"/>
    <m/>
    <m/>
  </r>
  <r>
    <x v="54"/>
    <d v="2023-04-21T00:00:00"/>
    <s v="Cash Rewards Visa Signature - Ending in 5943"/>
    <x v="3584"/>
    <n v="16.73"/>
    <x v="42"/>
    <m/>
    <s v="Exp - Utilities"/>
    <m/>
    <m/>
    <m/>
    <m/>
    <m/>
    <m/>
    <x v="3155"/>
    <m/>
    <m/>
  </r>
  <r>
    <x v="54"/>
    <d v="2023-04-21T00:00:00"/>
    <s v="Cash Rewards Visa Signature - Ending in 5944"/>
    <x v="3585"/>
    <n v="83"/>
    <x v="32"/>
    <m/>
    <s v="Exp - Shopping"/>
    <m/>
    <m/>
    <m/>
    <m/>
    <m/>
    <m/>
    <x v="3156"/>
    <m/>
    <m/>
  </r>
  <r>
    <x v="54"/>
    <d v="2023-04-21T00:00:00"/>
    <s v="Cash Rewards Visa Signature - Ending in 5947"/>
    <x v="3586"/>
    <n v="116.42"/>
    <x v="45"/>
    <m/>
    <s v="Exp - Target"/>
    <m/>
    <m/>
    <m/>
    <m/>
    <m/>
    <m/>
    <x v="3157"/>
    <m/>
    <m/>
  </r>
  <r>
    <x v="54"/>
    <d v="2023-04-21T00:00:00"/>
    <s v="Powerplus - Ending in 8s12"/>
    <x v="3587"/>
    <n v="51.21"/>
    <x v="42"/>
    <m/>
    <s v="Exp - Utilities"/>
    <m/>
    <m/>
    <m/>
    <m/>
    <m/>
    <m/>
    <x v="2020"/>
    <m/>
    <m/>
  </r>
  <r>
    <x v="54"/>
    <d v="2023-04-22T00:00:00"/>
    <s v="Delta Skymiles Platinum - Ending in 1007"/>
    <x v="451"/>
    <n v="24.49"/>
    <x v="1"/>
    <s v="Restaurants"/>
    <m/>
    <m/>
    <m/>
    <m/>
    <m/>
    <m/>
    <m/>
    <x v="435"/>
    <m/>
    <m/>
  </r>
  <r>
    <x v="54"/>
    <d v="2023-04-22T00:00:00"/>
    <s v="Delta Skymiles Platinum - Ending in 1007"/>
    <x v="451"/>
    <n v="-24.49"/>
    <x v="1"/>
    <s v="Restaurants"/>
    <m/>
    <m/>
    <m/>
    <m/>
    <m/>
    <m/>
    <m/>
    <x v="435"/>
    <m/>
    <m/>
  </r>
  <r>
    <x v="54"/>
    <d v="2023-04-23T00:00:00"/>
    <s v="Cash Rewards Visa Signature - Ending in 5941"/>
    <x v="3588"/>
    <n v="47.62"/>
    <x v="50"/>
    <m/>
    <s v="Exp - Dry Cleaning"/>
    <m/>
    <m/>
    <m/>
    <m/>
    <m/>
    <m/>
    <x v="3158"/>
    <m/>
    <m/>
  </r>
  <r>
    <x v="54"/>
    <d v="2023-04-23T00:00:00"/>
    <s v="Discover More Card - Ending in 7779"/>
    <x v="0"/>
    <n v="4.28"/>
    <x v="0"/>
    <s v="Dry Cleaning"/>
    <m/>
    <m/>
    <m/>
    <m/>
    <m/>
    <m/>
    <m/>
    <x v="0"/>
    <m/>
    <m/>
  </r>
  <r>
    <x v="54"/>
    <d v="2023-04-23T00:00:00"/>
    <s v="Discover More Card - Ending in 7779"/>
    <x v="0"/>
    <n v="-4.28"/>
    <x v="0"/>
    <s v="Dry Cleaning"/>
    <m/>
    <m/>
    <m/>
    <m/>
    <m/>
    <m/>
    <m/>
    <x v="0"/>
    <m/>
    <m/>
  </r>
  <r>
    <x v="54"/>
    <d v="2023-04-23T00:00:00"/>
    <s v="Cash Rewards Visa Signature - Ending in 5940"/>
    <x v="3589"/>
    <n v="17.940000000000001"/>
    <x v="35"/>
    <m/>
    <s v="Exp - Entertainment"/>
    <m/>
    <m/>
    <m/>
    <m/>
    <m/>
    <m/>
    <x v="3159"/>
    <m/>
    <m/>
  </r>
  <r>
    <x v="54"/>
    <d v="2023-04-23T00:00:00"/>
    <s v="Cash Rewards Visa Signature - Ending in 5939"/>
    <x v="3590"/>
    <n v="64.47"/>
    <x v="35"/>
    <m/>
    <s v="Exp - Entertainment"/>
    <m/>
    <m/>
    <m/>
    <m/>
    <m/>
    <m/>
    <x v="3160"/>
    <m/>
    <m/>
  </r>
  <r>
    <x v="54"/>
    <d v="2023-04-23T00:00:00"/>
    <s v="Powerplus - Ending in 8s11"/>
    <x v="3591"/>
    <n v="-1823"/>
    <x v="13"/>
    <m/>
    <s v="Inc - Other"/>
    <m/>
    <m/>
    <m/>
    <m/>
    <m/>
    <m/>
    <x v="3161"/>
    <m/>
    <m/>
  </r>
  <r>
    <x v="54"/>
    <d v="2023-04-23T00:00:00"/>
    <s v="Cash Rewards Visa Signature - Ending in 5938"/>
    <x v="3592"/>
    <n v="9.99"/>
    <x v="39"/>
    <m/>
    <s v="Exp - Restaurants"/>
    <m/>
    <m/>
    <m/>
    <m/>
    <m/>
    <m/>
    <x v="3162"/>
    <m/>
    <m/>
  </r>
  <r>
    <x v="54"/>
    <d v="2023-04-23T00:00:00"/>
    <s v="Delta Skymiles Platinum - Ending in 1007"/>
    <x v="3593"/>
    <n v="145.69999999999999"/>
    <x v="1"/>
    <s v="Restaurants"/>
    <m/>
    <m/>
    <m/>
    <m/>
    <m/>
    <m/>
    <m/>
    <x v="3163"/>
    <m/>
    <m/>
  </r>
  <r>
    <x v="54"/>
    <d v="2023-04-23T00:00:00"/>
    <s v="Delta Skymiles Platinum - Ending in 1007"/>
    <x v="3593"/>
    <n v="-145.69999999999999"/>
    <x v="1"/>
    <s v="Restaurants"/>
    <m/>
    <m/>
    <m/>
    <m/>
    <m/>
    <m/>
    <m/>
    <x v="3163"/>
    <m/>
    <m/>
  </r>
  <r>
    <x v="54"/>
    <d v="2023-04-23T00:00:00"/>
    <s v="Cash Rewards Visa Signature - Ending in 5937"/>
    <x v="3594"/>
    <n v="50"/>
    <x v="32"/>
    <m/>
    <s v="Exp - Shopping"/>
    <m/>
    <m/>
    <m/>
    <m/>
    <m/>
    <m/>
    <x v="3164"/>
    <m/>
    <m/>
  </r>
  <r>
    <x v="54"/>
    <d v="2023-04-23T00:00:00"/>
    <s v="Cash Rewards Visa Signature - Ending in 5942"/>
    <x v="3595"/>
    <n v="59.29"/>
    <x v="38"/>
    <m/>
    <s v="Exp - Groceries"/>
    <m/>
    <m/>
    <m/>
    <m/>
    <m/>
    <m/>
    <x v="3165"/>
    <m/>
    <m/>
  </r>
  <r>
    <x v="54"/>
    <d v="2023-04-24T00:00:00"/>
    <s v="Delta Skymiles Platinum - Ending in 1007"/>
    <x v="3596"/>
    <n v="26.92"/>
    <x v="1"/>
    <s v="Restaurants"/>
    <m/>
    <m/>
    <m/>
    <m/>
    <m/>
    <m/>
    <m/>
    <x v="3166"/>
    <m/>
    <m/>
  </r>
  <r>
    <x v="54"/>
    <d v="2023-04-24T00:00:00"/>
    <s v="Delta Skymiles Platinum - Ending in 1007"/>
    <x v="3596"/>
    <n v="-26.92"/>
    <x v="1"/>
    <s v="Restaurants"/>
    <m/>
    <m/>
    <m/>
    <m/>
    <m/>
    <m/>
    <m/>
    <x v="3166"/>
    <m/>
    <m/>
  </r>
  <r>
    <x v="54"/>
    <d v="2023-04-25T00:00:00"/>
    <s v="Cash Rewards Visa Signature - Ending in 5936"/>
    <x v="3597"/>
    <n v="136.5"/>
    <x v="32"/>
    <m/>
    <s v="Exp - Shopping"/>
    <m/>
    <m/>
    <m/>
    <m/>
    <m/>
    <m/>
    <x v="3167"/>
    <m/>
    <m/>
  </r>
  <r>
    <x v="54"/>
    <d v="2023-04-25T00:00:00"/>
    <s v="Cash Rewards Visa Signature - Ending in 5935"/>
    <x v="3598"/>
    <n v="19.600000000000001"/>
    <x v="32"/>
    <m/>
    <s v="Exp - Shopping"/>
    <m/>
    <m/>
    <m/>
    <m/>
    <m/>
    <m/>
    <x v="3168"/>
    <m/>
    <m/>
  </r>
  <r>
    <x v="54"/>
    <d v="2023-04-25T00:00:00"/>
    <s v="Cash Rewards Visa Signature - Ending in 5933"/>
    <x v="3599"/>
    <n v="96.63"/>
    <x v="41"/>
    <m/>
    <s v="Exp - Amazon"/>
    <m/>
    <m/>
    <m/>
    <m/>
    <m/>
    <m/>
    <x v="3169"/>
    <m/>
    <m/>
  </r>
  <r>
    <x v="54"/>
    <d v="2023-04-25T00:00:00"/>
    <s v="Cash Rewards Visa Signature - Ending in 5932"/>
    <x v="3600"/>
    <n v="50.8"/>
    <x v="41"/>
    <m/>
    <s v="Exp - Amazon"/>
    <m/>
    <m/>
    <m/>
    <m/>
    <m/>
    <m/>
    <x v="3170"/>
    <m/>
    <m/>
  </r>
  <r>
    <x v="54"/>
    <d v="2023-04-25T00:00:00"/>
    <s v="Cash Rewards Visa Signature - Ending in 5934"/>
    <x v="3601"/>
    <n v="60.8"/>
    <x v="32"/>
    <m/>
    <s v="Exp - Shopping"/>
    <m/>
    <m/>
    <m/>
    <m/>
    <m/>
    <m/>
    <x v="3171"/>
    <m/>
    <m/>
  </r>
  <r>
    <x v="54"/>
    <d v="2023-04-25T00:00:00"/>
    <s v="Powerplus - Ending in 8s10"/>
    <x v="3602"/>
    <n v="500"/>
    <x v="3"/>
    <m/>
    <s v="Delete"/>
    <m/>
    <m/>
    <m/>
    <m/>
    <m/>
    <m/>
    <x v="2870"/>
    <m/>
    <m/>
  </r>
  <r>
    <x v="54"/>
    <d v="2023-04-25T00:00:00"/>
    <s v="Powerplus - Ending in 8s09"/>
    <x v="3603"/>
    <n v="512.04999999999995"/>
    <x v="45"/>
    <m/>
    <s v="Exp - Target"/>
    <m/>
    <m/>
    <m/>
    <m/>
    <m/>
    <m/>
    <x v="2040"/>
    <m/>
    <m/>
  </r>
  <r>
    <x v="54"/>
    <d v="2023-04-26T00:00:00"/>
    <s v="Cash Rewards Visa Signature - Ending in 5930"/>
    <x v="3604"/>
    <n v="36.99"/>
    <x v="41"/>
    <m/>
    <s v="Exp - Amazon"/>
    <m/>
    <m/>
    <m/>
    <m/>
    <m/>
    <m/>
    <x v="3172"/>
    <m/>
    <m/>
  </r>
  <r>
    <x v="54"/>
    <d v="2023-04-26T00:00:00"/>
    <s v="Cash Rewards Visa Signature - Ending in 5931"/>
    <x v="3605"/>
    <n v="73.89"/>
    <x v="41"/>
    <m/>
    <s v="Exp - Amazon"/>
    <m/>
    <m/>
    <m/>
    <m/>
    <m/>
    <m/>
    <x v="3173"/>
    <m/>
    <m/>
  </r>
  <r>
    <x v="54"/>
    <d v="2023-04-26T00:00:00"/>
    <s v="Cash Rewards Visa Signature - Ending in 5927"/>
    <x v="3606"/>
    <n v="65"/>
    <x v="41"/>
    <m/>
    <s v="Exp - Amazon"/>
    <m/>
    <m/>
    <m/>
    <m/>
    <m/>
    <m/>
    <x v="3174"/>
    <m/>
    <m/>
  </r>
  <r>
    <x v="54"/>
    <d v="2023-04-26T00:00:00"/>
    <s v="Cash Rewards Visa Signature - Ending in 5929"/>
    <x v="3607"/>
    <n v="14.79"/>
    <x v="41"/>
    <m/>
    <s v="Exp - Amazon"/>
    <m/>
    <m/>
    <m/>
    <m/>
    <m/>
    <m/>
    <x v="3175"/>
    <m/>
    <m/>
  </r>
  <r>
    <x v="54"/>
    <d v="2023-04-26T00:00:00"/>
    <s v="Cash Rewards Visa Signature - Ending in 5928"/>
    <x v="3608"/>
    <n v="36.909999999999997"/>
    <x v="41"/>
    <m/>
    <s v="Exp - Amazon"/>
    <m/>
    <m/>
    <m/>
    <m/>
    <m/>
    <m/>
    <x v="3176"/>
    <m/>
    <m/>
  </r>
  <r>
    <x v="54"/>
    <d v="2023-04-26T00:00:00"/>
    <s v="Cash Rewards Visa Signature - Ending in 5926"/>
    <x v="3609"/>
    <n v="56.52"/>
    <x v="3"/>
    <m/>
    <s v="Delete"/>
    <m/>
    <m/>
    <m/>
    <m/>
    <m/>
    <m/>
    <x v="3177"/>
    <m/>
    <m/>
  </r>
  <r>
    <x v="54"/>
    <d v="2023-04-26T00:00:00"/>
    <s v="Powerplus - Ending in 8s07"/>
    <x v="3610"/>
    <n v="330"/>
    <x v="40"/>
    <m/>
    <s v="Exp - Day Care"/>
    <m/>
    <m/>
    <m/>
    <m/>
    <m/>
    <m/>
    <x v="2007"/>
    <m/>
    <m/>
  </r>
  <r>
    <x v="54"/>
    <d v="2023-04-26T00:00:00"/>
    <s v="Powerplus - Ending in 8s08"/>
    <x v="3611"/>
    <n v="30"/>
    <x v="32"/>
    <m/>
    <s v="Exp - Shopping"/>
    <m/>
    <m/>
    <m/>
    <m/>
    <m/>
    <m/>
    <x v="2053"/>
    <m/>
    <m/>
  </r>
  <r>
    <x v="54"/>
    <d v="2023-04-27T00:00:00"/>
    <s v="Delta Skymiles Platinum - Ending in 1007"/>
    <x v="1336"/>
    <n v="15.88"/>
    <x v="1"/>
    <s v="Restaurants"/>
    <m/>
    <m/>
    <m/>
    <m/>
    <m/>
    <m/>
    <m/>
    <x v="1263"/>
    <m/>
    <m/>
  </r>
  <r>
    <x v="54"/>
    <d v="2023-04-27T00:00:00"/>
    <s v="Delta Skymiles Platinum - Ending in 1007"/>
    <x v="1336"/>
    <n v="-15.88"/>
    <x v="1"/>
    <s v="Restaurants"/>
    <m/>
    <m/>
    <m/>
    <m/>
    <m/>
    <m/>
    <m/>
    <x v="1263"/>
    <m/>
    <m/>
  </r>
  <r>
    <x v="54"/>
    <d v="2023-04-27T00:00:00"/>
    <s v="Powerplus - Ending in 8s05"/>
    <x v="3612"/>
    <n v="-2434.23"/>
    <x v="14"/>
    <m/>
    <s v="Inc - Britney"/>
    <m/>
    <m/>
    <m/>
    <m/>
    <m/>
    <m/>
    <x v="2014"/>
    <m/>
    <m/>
  </r>
  <r>
    <x v="54"/>
    <d v="2023-04-27T00:00:00"/>
    <s v="Powerplus - Ending in 8s06"/>
    <x v="3613"/>
    <n v="-3180.73"/>
    <x v="15"/>
    <m/>
    <s v="Inc - Jeff"/>
    <m/>
    <m/>
    <m/>
    <m/>
    <m/>
    <m/>
    <x v="2139"/>
    <m/>
    <m/>
  </r>
  <r>
    <x v="54"/>
    <d v="2023-04-27T00:00:00"/>
    <s v="Delta Skymiles Platinum - Ending in 1007"/>
    <x v="3614"/>
    <n v="16"/>
    <x v="24"/>
    <s v="Travel"/>
    <m/>
    <m/>
    <m/>
    <m/>
    <m/>
    <m/>
    <m/>
    <x v="3178"/>
    <m/>
    <m/>
  </r>
  <r>
    <x v="54"/>
    <d v="2023-04-27T00:00:00"/>
    <s v="Delta Skymiles Platinum - Ending in 1007"/>
    <x v="3614"/>
    <n v="-16"/>
    <x v="24"/>
    <s v="Travel"/>
    <m/>
    <m/>
    <m/>
    <m/>
    <m/>
    <m/>
    <m/>
    <x v="3178"/>
    <m/>
    <m/>
  </r>
  <r>
    <x v="54"/>
    <d v="2023-04-28T00:00:00"/>
    <s v="Cash Rewards Visa Signature - Ending in 5925"/>
    <x v="3615"/>
    <n v="209.14"/>
    <x v="3"/>
    <m/>
    <s v="Delete"/>
    <m/>
    <m/>
    <m/>
    <m/>
    <m/>
    <m/>
    <x v="3179"/>
    <m/>
    <m/>
  </r>
  <r>
    <x v="54"/>
    <d v="2023-04-28T00:00:00"/>
    <s v="Delta Skymiles Platinum - Ending in 1007"/>
    <x v="3616"/>
    <n v="182.49"/>
    <x v="1"/>
    <s v="Restaurants"/>
    <m/>
    <m/>
    <m/>
    <m/>
    <m/>
    <m/>
    <m/>
    <x v="3180"/>
    <m/>
    <m/>
  </r>
  <r>
    <x v="54"/>
    <d v="2023-04-28T00:00:00"/>
    <s v="Delta Skymiles Platinum - Ending in 1007"/>
    <x v="3616"/>
    <n v="-182.49"/>
    <x v="1"/>
    <s v="Restaurants"/>
    <m/>
    <m/>
    <m/>
    <m/>
    <m/>
    <m/>
    <m/>
    <x v="3180"/>
    <m/>
    <m/>
  </r>
  <r>
    <x v="54"/>
    <d v="2023-04-28T00:00:00"/>
    <s v="Powerplus - Ending in 8s04"/>
    <x v="3617"/>
    <n v="0.99"/>
    <x v="32"/>
    <m/>
    <s v="Exp - Shopping"/>
    <m/>
    <m/>
    <m/>
    <m/>
    <m/>
    <m/>
    <x v="2045"/>
    <m/>
    <m/>
  </r>
  <r>
    <x v="54"/>
    <d v="2023-04-28T00:00:00"/>
    <s v="Powerplus - Ending in 8s03"/>
    <x v="3618"/>
    <n v="125"/>
    <x v="32"/>
    <m/>
    <s v="Exp - Shopping"/>
    <m/>
    <m/>
    <m/>
    <m/>
    <m/>
    <m/>
    <x v="2053"/>
    <m/>
    <m/>
  </r>
  <r>
    <x v="54"/>
    <d v="2023-04-29T00:00:00"/>
    <s v="Delta Skymiles Platinum - Ending in 1007"/>
    <x v="1861"/>
    <n v="1914.85"/>
    <x v="3"/>
    <s v="Empyrean Travel"/>
    <m/>
    <m/>
    <m/>
    <m/>
    <m/>
    <m/>
    <m/>
    <x v="1715"/>
    <m/>
    <m/>
  </r>
  <r>
    <x v="54"/>
    <d v="2023-04-29T00:00:00"/>
    <s v="Delta Skymiles Platinum - Ending in 1007"/>
    <x v="1861"/>
    <n v="-1914.85"/>
    <x v="3"/>
    <s v="Empyrean Travel"/>
    <m/>
    <m/>
    <m/>
    <m/>
    <m/>
    <m/>
    <m/>
    <x v="1715"/>
    <m/>
    <m/>
  </r>
  <r>
    <x v="54"/>
    <d v="2023-04-29T00:00:00"/>
    <s v="Delta Skymiles Platinum - Ending in 1007"/>
    <x v="3619"/>
    <n v="80.33"/>
    <x v="1"/>
    <s v="Restaurants"/>
    <m/>
    <m/>
    <m/>
    <m/>
    <m/>
    <m/>
    <m/>
    <x v="3181"/>
    <m/>
    <m/>
  </r>
  <r>
    <x v="54"/>
    <d v="2023-04-29T00:00:00"/>
    <s v="Delta Skymiles Platinum - Ending in 1007"/>
    <x v="3619"/>
    <n v="-80.33"/>
    <x v="1"/>
    <s v="Restaurants"/>
    <m/>
    <m/>
    <m/>
    <m/>
    <m/>
    <m/>
    <m/>
    <x v="3181"/>
    <m/>
    <m/>
  </r>
  <r>
    <x v="54"/>
    <d v="2023-04-30T00:00:00"/>
    <s v="Discover More Card - Ending in 7779"/>
    <x v="0"/>
    <n v="29.26"/>
    <x v="0"/>
    <s v="Amazon"/>
    <m/>
    <m/>
    <m/>
    <m/>
    <m/>
    <m/>
    <m/>
    <x v="0"/>
    <m/>
    <m/>
  </r>
  <r>
    <x v="54"/>
    <d v="2023-04-30T00:00:00"/>
    <s v="Discover More Card - Ending in 7779"/>
    <x v="0"/>
    <n v="-29.26"/>
    <x v="0"/>
    <s v="Amazon"/>
    <m/>
    <m/>
    <m/>
    <m/>
    <m/>
    <m/>
    <m/>
    <x v="0"/>
    <m/>
    <m/>
  </r>
  <r>
    <x v="54"/>
    <d v="2023-04-30T00:00:00"/>
    <s v="Delta Skymiles Platinum - Ending in 1007"/>
    <x v="3620"/>
    <n v="29.03"/>
    <x v="1"/>
    <s v="Restaurants"/>
    <m/>
    <m/>
    <m/>
    <m/>
    <m/>
    <m/>
    <m/>
    <x v="3182"/>
    <m/>
    <m/>
  </r>
  <r>
    <x v="54"/>
    <d v="2023-04-30T00:00:00"/>
    <s v="Delta Skymiles Platinum - Ending in 1007"/>
    <x v="3620"/>
    <n v="-29.03"/>
    <x v="1"/>
    <s v="Restaurants"/>
    <m/>
    <m/>
    <m/>
    <m/>
    <m/>
    <m/>
    <m/>
    <x v="3182"/>
    <m/>
    <m/>
  </r>
  <r>
    <x v="54"/>
    <d v="2023-04-30T00:00:00"/>
    <s v="Cash Rewards Visa Signature - Ending in 5918"/>
    <x v="3621"/>
    <n v="3.21"/>
    <x v="3"/>
    <m/>
    <s v="Delete"/>
    <m/>
    <m/>
    <m/>
    <m/>
    <m/>
    <m/>
    <x v="3183"/>
    <m/>
    <m/>
  </r>
  <r>
    <x v="54"/>
    <d v="2023-04-30T00:00:00"/>
    <s v="Cash Rewards Visa Signature - Ending in 5917"/>
    <x v="3622"/>
    <n v="7.92"/>
    <x v="3"/>
    <m/>
    <s v="Delete"/>
    <m/>
    <m/>
    <m/>
    <m/>
    <m/>
    <m/>
    <x v="3184"/>
    <m/>
    <m/>
  </r>
  <r>
    <x v="54"/>
    <d v="2023-04-30T00:00:00"/>
    <s v="Powerplus - Ending in 8s01"/>
    <x v="3623"/>
    <n v="-48.6"/>
    <x v="13"/>
    <m/>
    <s v="Inc - Other"/>
    <m/>
    <m/>
    <m/>
    <m/>
    <m/>
    <m/>
    <x v="3185"/>
    <m/>
    <m/>
  </r>
  <r>
    <x v="54"/>
    <d v="2023-04-30T00:00:00"/>
    <s v="Cash Rewards Visa Signature - Ending in 5923"/>
    <x v="3624"/>
    <n v="687.04"/>
    <x v="3"/>
    <m/>
    <s v="Delete"/>
    <m/>
    <m/>
    <m/>
    <m/>
    <m/>
    <m/>
    <x v="3186"/>
    <m/>
    <m/>
  </r>
  <r>
    <x v="54"/>
    <d v="2023-04-30T00:00:00"/>
    <s v="Cash Rewards Visa Signature - Ending in 5920"/>
    <x v="3625"/>
    <n v="55.83"/>
    <x v="37"/>
    <m/>
    <s v="Exp - Transportation"/>
    <m/>
    <m/>
    <m/>
    <m/>
    <m/>
    <m/>
    <x v="3187"/>
    <m/>
    <m/>
  </r>
  <r>
    <x v="54"/>
    <d v="2023-04-30T00:00:00"/>
    <s v="Cash Rewards Visa Signature - Ending in 5924"/>
    <x v="3626"/>
    <n v="126"/>
    <x v="3"/>
    <m/>
    <s v="Delete"/>
    <m/>
    <m/>
    <m/>
    <m/>
    <m/>
    <m/>
    <x v="3188"/>
    <m/>
    <m/>
  </r>
  <r>
    <x v="54"/>
    <d v="2023-04-30T00:00:00"/>
    <s v="Cash Rewards Visa Signature - Ending in 5921"/>
    <x v="3627"/>
    <n v="567.28"/>
    <x v="32"/>
    <m/>
    <s v="Exp - Shopping"/>
    <m/>
    <m/>
    <m/>
    <m/>
    <m/>
    <m/>
    <x v="3189"/>
    <m/>
    <m/>
  </r>
  <r>
    <x v="54"/>
    <d v="2023-04-30T00:00:00"/>
    <s v="Cash Rewards Visa Signature - Ending in 5919"/>
    <x v="3628"/>
    <n v="11.63"/>
    <x v="37"/>
    <m/>
    <s v="Exp - Transportation"/>
    <m/>
    <m/>
    <m/>
    <m/>
    <m/>
    <m/>
    <x v="3190"/>
    <m/>
    <m/>
  </r>
  <r>
    <x v="54"/>
    <d v="2023-04-30T00:00:00"/>
    <s v="Cash Rewards Visa Signature - Ending in 5916"/>
    <x v="3629"/>
    <n v="110"/>
    <x v="32"/>
    <m/>
    <s v="Exp - Shopping"/>
    <m/>
    <m/>
    <m/>
    <m/>
    <m/>
    <m/>
    <x v="3191"/>
    <m/>
    <m/>
  </r>
  <r>
    <x v="54"/>
    <d v="2023-04-30T00:00:00"/>
    <s v="Cash Rewards Visa Signature - Ending in 5915"/>
    <x v="3630"/>
    <n v="236.8"/>
    <x v="32"/>
    <m/>
    <s v="Exp - Shopping"/>
    <m/>
    <m/>
    <m/>
    <m/>
    <m/>
    <m/>
    <x v="3192"/>
    <m/>
    <m/>
  </r>
  <r>
    <x v="54"/>
    <d v="2023-04-30T00:00:00"/>
    <s v="Cash Rewards Visa Signature - Ending in 5914"/>
    <x v="3631"/>
    <n v="60"/>
    <x v="32"/>
    <m/>
    <s v="Exp - Shopping"/>
    <m/>
    <m/>
    <m/>
    <m/>
    <m/>
    <m/>
    <x v="3193"/>
    <m/>
    <m/>
  </r>
  <r>
    <x v="54"/>
    <d v="2023-04-30T00:00:00"/>
    <s v="Cash Rewards Visa Signature - Ending in 5922"/>
    <x v="3632"/>
    <n v="17.12"/>
    <x v="3"/>
    <m/>
    <s v="Delete"/>
    <m/>
    <m/>
    <m/>
    <m/>
    <m/>
    <m/>
    <x v="3194"/>
    <m/>
    <m/>
  </r>
  <r>
    <x v="54"/>
    <d v="2023-04-30T00:00:00"/>
    <s v="Powerplus - Ending in 8s02"/>
    <x v="3320"/>
    <n v="1466.37"/>
    <x v="3"/>
    <m/>
    <s v="Delete"/>
    <m/>
    <m/>
    <m/>
    <m/>
    <m/>
    <m/>
    <x v="2939"/>
    <m/>
    <m/>
  </r>
  <r>
    <x v="54"/>
    <d v="2023-04-30T00:00:00"/>
    <s v="Delta Skymiles Platinum - Ending in 1007"/>
    <x v="3633"/>
    <n v="-2631.79"/>
    <x v="3"/>
    <s v="Delete"/>
    <m/>
    <m/>
    <m/>
    <m/>
    <m/>
    <m/>
    <m/>
    <x v="3195"/>
    <m/>
    <m/>
  </r>
  <r>
    <x v="54"/>
    <d v="2023-04-30T00:00:00"/>
    <s v="Delta Skymiles Platinum - Ending in 1007"/>
    <x v="3633"/>
    <n v="2631.79"/>
    <x v="3"/>
    <s v="Delete"/>
    <m/>
    <m/>
    <m/>
    <m/>
    <m/>
    <m/>
    <m/>
    <x v="3195"/>
    <m/>
    <m/>
  </r>
  <r>
    <x v="54"/>
    <d v="2023-04-30T00:00:00"/>
    <s v="Cash Rewards Visa Signature - Ending in 5913"/>
    <x v="3634"/>
    <n v="-1466.37"/>
    <x v="3"/>
    <m/>
    <s v="Delete"/>
    <m/>
    <m/>
    <m/>
    <m/>
    <m/>
    <m/>
    <x v="3196"/>
    <m/>
    <m/>
  </r>
  <r>
    <x v="55"/>
    <d v="2023-05-01T00:00:00"/>
    <s v="Cash Rewards Visa Signature - Ending in 6006"/>
    <x v="3635"/>
    <n v="5.36"/>
    <x v="32"/>
    <m/>
    <s v="Exp - Shopping"/>
    <m/>
    <m/>
    <m/>
    <m/>
    <m/>
    <m/>
    <x v="3197"/>
    <m/>
    <m/>
  </r>
  <r>
    <x v="55"/>
    <d v="2023-05-01T00:00:00"/>
    <s v="Cash Rewards Visa Signature - Ending in 6003"/>
    <x v="3636"/>
    <n v="-37.99"/>
    <x v="41"/>
    <m/>
    <s v="Exp - Amazon"/>
    <m/>
    <m/>
    <m/>
    <m/>
    <m/>
    <m/>
    <x v="3198"/>
    <m/>
    <m/>
  </r>
  <r>
    <x v="55"/>
    <d v="2023-05-01T00:00:00"/>
    <s v="Cash Rewards Visa Signature - Ending in 6002"/>
    <x v="3637"/>
    <n v="-65"/>
    <x v="41"/>
    <m/>
    <s v="Exp - Amazon"/>
    <m/>
    <m/>
    <m/>
    <m/>
    <m/>
    <m/>
    <x v="3199"/>
    <m/>
    <m/>
  </r>
  <r>
    <x v="55"/>
    <d v="2023-05-01T00:00:00"/>
    <s v="Cash Rewards Visa Signature - Ending in 6001"/>
    <x v="3638"/>
    <n v="-21.46"/>
    <x v="41"/>
    <m/>
    <s v="Exp - Amazon"/>
    <m/>
    <m/>
    <m/>
    <m/>
    <m/>
    <m/>
    <x v="3200"/>
    <m/>
    <m/>
  </r>
  <r>
    <x v="55"/>
    <d v="2023-05-01T00:00:00"/>
    <s v="Cash Rewards Visa Signature - Ending in 6000"/>
    <x v="3639"/>
    <n v="-50.8"/>
    <x v="41"/>
    <m/>
    <s v="Exp - Amazon"/>
    <m/>
    <m/>
    <m/>
    <m/>
    <m/>
    <m/>
    <x v="3201"/>
    <m/>
    <m/>
  </r>
  <r>
    <x v="55"/>
    <d v="2023-05-01T00:00:00"/>
    <s v="Cash Rewards Visa Signature - Ending in 6005"/>
    <x v="3640"/>
    <n v="77.98"/>
    <x v="41"/>
    <m/>
    <s v="Exp - Amazon"/>
    <m/>
    <m/>
    <m/>
    <m/>
    <m/>
    <m/>
    <x v="3202"/>
    <m/>
    <m/>
  </r>
  <r>
    <x v="55"/>
    <d v="2023-05-01T00:00:00"/>
    <m/>
    <x v="1850"/>
    <n v="250"/>
    <x v="33"/>
    <m/>
    <s v="Exp - Cleaning"/>
    <m/>
    <m/>
    <m/>
    <m/>
    <m/>
    <m/>
    <x v="1705"/>
    <m/>
    <m/>
  </r>
  <r>
    <x v="55"/>
    <d v="2023-05-01T00:00:00"/>
    <s v="Cash Rewards Visa Signature - Ending in 6008"/>
    <x v="3641"/>
    <n v="301.14999999999998"/>
    <x v="3"/>
    <m/>
    <s v="Delete"/>
    <m/>
    <m/>
    <m/>
    <m/>
    <m/>
    <m/>
    <x v="3203"/>
    <m/>
    <m/>
  </r>
  <r>
    <x v="55"/>
    <d v="2023-05-01T00:00:00"/>
    <s v="Cash Rewards Visa Signature - Ending in 6009"/>
    <x v="3642"/>
    <n v="392"/>
    <x v="32"/>
    <m/>
    <s v="Exp - Shopping"/>
    <m/>
    <m/>
    <m/>
    <m/>
    <m/>
    <m/>
    <x v="3204"/>
    <m/>
    <m/>
  </r>
  <r>
    <x v="55"/>
    <d v="2023-05-01T00:00:00"/>
    <s v="Cash Rewards Visa Signature - Ending in 6004"/>
    <x v="3643"/>
    <n v="-54"/>
    <x v="32"/>
    <m/>
    <s v="Exp - Shopping"/>
    <m/>
    <m/>
    <m/>
    <m/>
    <m/>
    <m/>
    <x v="3205"/>
    <m/>
    <m/>
  </r>
  <r>
    <x v="55"/>
    <d v="2023-05-01T00:00:00"/>
    <s v="Powerplus - Ending in 8s82"/>
    <x v="1849"/>
    <n v="6.47"/>
    <x v="32"/>
    <m/>
    <s v="Exp - Shopping"/>
    <m/>
    <m/>
    <m/>
    <m/>
    <m/>
    <m/>
    <x v="1704"/>
    <m/>
    <m/>
  </r>
  <r>
    <x v="55"/>
    <d v="2023-05-01T00:00:00"/>
    <s v="Powerplus - Ending in 8s81"/>
    <x v="1827"/>
    <n v="35"/>
    <x v="32"/>
    <m/>
    <s v="Exp - Shopping"/>
    <m/>
    <m/>
    <m/>
    <m/>
    <m/>
    <m/>
    <x v="1682"/>
    <m/>
    <m/>
  </r>
  <r>
    <x v="55"/>
    <d v="2023-05-01T00:00:00"/>
    <s v="Cash Rewards Visa Signature - Ending in 6007"/>
    <x v="3644"/>
    <n v="58.81"/>
    <x v="39"/>
    <m/>
    <s v="Exp - Restaurants"/>
    <m/>
    <m/>
    <m/>
    <m/>
    <m/>
    <m/>
    <x v="3206"/>
    <m/>
    <m/>
  </r>
  <r>
    <x v="55"/>
    <d v="2023-05-01T00:00:00"/>
    <s v="Powerplus - Ending in 8s80"/>
    <x v="3645"/>
    <n v="500"/>
    <x v="3"/>
    <m/>
    <s v="Delete"/>
    <m/>
    <m/>
    <m/>
    <m/>
    <m/>
    <m/>
    <x v="3207"/>
    <m/>
    <m/>
  </r>
  <r>
    <x v="55"/>
    <d v="2023-05-01T00:00:00"/>
    <s v="Powerplus - Ending in 8s77"/>
    <x v="3646"/>
    <n v="618.65"/>
    <x v="48"/>
    <m/>
    <s v="Exp - Car Loan"/>
    <m/>
    <m/>
    <m/>
    <m/>
    <m/>
    <m/>
    <x v="3208"/>
    <m/>
    <m/>
  </r>
  <r>
    <x v="55"/>
    <d v="2023-05-01T00:00:00"/>
    <s v="Powerplus - Ending in 8s78"/>
    <x v="2020"/>
    <n v="2631.79"/>
    <x v="3"/>
    <m/>
    <s v="Delete"/>
    <m/>
    <m/>
    <m/>
    <m/>
    <m/>
    <m/>
    <x v="1870"/>
    <m/>
    <m/>
  </r>
  <r>
    <x v="55"/>
    <d v="2023-05-01T00:00:00"/>
    <s v="Powerplus - Ending in 8s79"/>
    <x v="1844"/>
    <n v="2606.27"/>
    <x v="53"/>
    <m/>
    <s v="Exp - Rent"/>
    <m/>
    <m/>
    <m/>
    <m/>
    <m/>
    <m/>
    <x v="1699"/>
    <m/>
    <m/>
  </r>
  <r>
    <x v="55"/>
    <d v="2023-05-02T00:00:00"/>
    <s v="Cash Rewards Visa Signature - Ending in 5997"/>
    <x v="3647"/>
    <n v="82.64"/>
    <x v="41"/>
    <m/>
    <s v="Exp - Amazon"/>
    <m/>
    <m/>
    <m/>
    <m/>
    <m/>
    <m/>
    <x v="3209"/>
    <m/>
    <m/>
  </r>
  <r>
    <x v="55"/>
    <d v="2023-05-02T00:00:00"/>
    <s v="Cash Rewards Visa Signature - Ending in 5999"/>
    <x v="3648"/>
    <n v="68"/>
    <x v="32"/>
    <m/>
    <s v="Exp - Shopping"/>
    <m/>
    <m/>
    <m/>
    <m/>
    <m/>
    <m/>
    <x v="3210"/>
    <m/>
    <m/>
  </r>
  <r>
    <x v="55"/>
    <d v="2023-05-02T00:00:00"/>
    <s v="Cash Rewards Visa Signature - Ending in 5998"/>
    <x v="3649"/>
    <n v="74"/>
    <x v="32"/>
    <m/>
    <s v="Exp - Shopping"/>
    <m/>
    <m/>
    <m/>
    <m/>
    <m/>
    <m/>
    <x v="3211"/>
    <m/>
    <m/>
  </r>
  <r>
    <x v="55"/>
    <d v="2023-05-02T00:00:00"/>
    <s v="Powerplus - Ending in 8s76"/>
    <x v="1827"/>
    <n v="171.45"/>
    <x v="32"/>
    <m/>
    <s v="Exp - Shopping"/>
    <m/>
    <m/>
    <m/>
    <m/>
    <m/>
    <m/>
    <x v="1682"/>
    <m/>
    <m/>
  </r>
  <r>
    <x v="55"/>
    <d v="2023-05-02T00:00:00"/>
    <s v="Powerplus - Ending in 8s75"/>
    <x v="1888"/>
    <n v="218.27"/>
    <x v="3"/>
    <m/>
    <s v="Delete"/>
    <m/>
    <m/>
    <m/>
    <m/>
    <m/>
    <m/>
    <x v="1741"/>
    <m/>
    <m/>
  </r>
  <r>
    <x v="55"/>
    <d v="2023-05-03T00:00:00"/>
    <s v="Cash Rewards Visa Signature - Ending in 5994"/>
    <x v="3650"/>
    <n v="-47.6"/>
    <x v="32"/>
    <m/>
    <s v="Exp - Shopping"/>
    <m/>
    <m/>
    <m/>
    <m/>
    <m/>
    <m/>
    <x v="3212"/>
    <m/>
    <m/>
  </r>
  <r>
    <x v="55"/>
    <d v="2023-05-03T00:00:00"/>
    <s v="Cash Rewards Visa Signature - Ending in 5996"/>
    <x v="3651"/>
    <n v="42.54"/>
    <x v="41"/>
    <m/>
    <s v="Exp - Amazon"/>
    <m/>
    <m/>
    <m/>
    <m/>
    <m/>
    <m/>
    <x v="3213"/>
    <m/>
    <m/>
  </r>
  <r>
    <x v="55"/>
    <d v="2023-05-03T00:00:00"/>
    <s v="Powerplus - Ending in 8s73"/>
    <x v="3652"/>
    <n v="-130.02000000000001"/>
    <x v="14"/>
    <m/>
    <s v="Inc - Britney"/>
    <m/>
    <m/>
    <m/>
    <m/>
    <m/>
    <m/>
    <x v="3214"/>
    <m/>
    <m/>
  </r>
  <r>
    <x v="55"/>
    <d v="2023-05-03T00:00:00"/>
    <s v="Cash Rewards Visa Signature - Ending in 5995"/>
    <x v="3653"/>
    <n v="6.58"/>
    <x v="39"/>
    <m/>
    <s v="Exp - Restaurants"/>
    <m/>
    <m/>
    <m/>
    <m/>
    <m/>
    <m/>
    <x v="3215"/>
    <m/>
    <m/>
  </r>
  <r>
    <x v="55"/>
    <d v="2023-05-03T00:00:00"/>
    <s v="Powerplus - Ending in 8s74"/>
    <x v="3654"/>
    <n v="330"/>
    <x v="40"/>
    <m/>
    <s v="Exp - Day Care"/>
    <m/>
    <m/>
    <m/>
    <m/>
    <m/>
    <m/>
    <x v="3216"/>
    <m/>
    <m/>
  </r>
  <r>
    <x v="55"/>
    <d v="2023-05-05T00:00:00"/>
    <s v="Cash Rewards Visa Signature - Ending in 5992"/>
    <x v="3655"/>
    <n v="98.1"/>
    <x v="38"/>
    <m/>
    <s v="Exp - Groceries"/>
    <m/>
    <m/>
    <m/>
    <m/>
    <m/>
    <m/>
    <x v="3217"/>
    <m/>
    <m/>
  </r>
  <r>
    <x v="55"/>
    <d v="2023-05-05T00:00:00"/>
    <s v="Cash Rewards Visa Signature - Ending in 5993"/>
    <x v="3656"/>
    <n v="75.23"/>
    <x v="38"/>
    <m/>
    <s v="Exp - Groceries"/>
    <m/>
    <m/>
    <m/>
    <m/>
    <m/>
    <m/>
    <x v="3218"/>
    <m/>
    <m/>
  </r>
  <r>
    <x v="55"/>
    <d v="2023-05-05T00:00:00"/>
    <s v="Powerplus - Ending in 8s72"/>
    <x v="3657"/>
    <n v="2715.04"/>
    <x v="3"/>
    <m/>
    <s v="Delete"/>
    <m/>
    <m/>
    <m/>
    <m/>
    <m/>
    <m/>
    <x v="3219"/>
    <m/>
    <m/>
  </r>
  <r>
    <x v="55"/>
    <d v="2023-05-05T00:00:00"/>
    <s v="Cash Rewards Visa Signature - Ending in 5991"/>
    <x v="3658"/>
    <n v="-2715.04"/>
    <x v="3"/>
    <m/>
    <s v="Delete"/>
    <m/>
    <m/>
    <m/>
    <m/>
    <m/>
    <m/>
    <x v="3220"/>
    <m/>
    <m/>
  </r>
  <r>
    <x v="55"/>
    <d v="2023-05-07T00:00:00"/>
    <s v="Cash Rewards Visa Signature - Ending in 5985"/>
    <x v="3659"/>
    <n v="-36.99"/>
    <x v="41"/>
    <m/>
    <s v="Exp - Amazon"/>
    <m/>
    <m/>
    <m/>
    <m/>
    <m/>
    <m/>
    <x v="3221"/>
    <m/>
    <m/>
  </r>
  <r>
    <x v="55"/>
    <d v="2023-05-07T00:00:00"/>
    <s v="Cash Rewards Visa Signature - Ending in 5984"/>
    <x v="3660"/>
    <n v="-25.99"/>
    <x v="41"/>
    <m/>
    <s v="Exp - Amazon"/>
    <m/>
    <m/>
    <m/>
    <m/>
    <m/>
    <m/>
    <x v="3222"/>
    <m/>
    <m/>
  </r>
  <r>
    <x v="55"/>
    <d v="2023-05-07T00:00:00"/>
    <s v="Cash Rewards Visa Signature - Ending in 5983"/>
    <x v="3661"/>
    <n v="-89.99"/>
    <x v="41"/>
    <m/>
    <s v="Exp - Amazon"/>
    <m/>
    <m/>
    <m/>
    <m/>
    <m/>
    <m/>
    <x v="3223"/>
    <m/>
    <m/>
  </r>
  <r>
    <x v="55"/>
    <d v="2023-05-07T00:00:00"/>
    <s v="Cash Rewards Visa Signature - Ending in 5982"/>
    <x v="3662"/>
    <n v="-8.1999999999999993"/>
    <x v="41"/>
    <m/>
    <s v="Exp - Amazon"/>
    <m/>
    <m/>
    <m/>
    <m/>
    <m/>
    <m/>
    <x v="3224"/>
    <m/>
    <m/>
  </r>
  <r>
    <x v="55"/>
    <d v="2023-05-07T00:00:00"/>
    <s v="Cash Rewards Visa Signature - Ending in 5986"/>
    <x v="3663"/>
    <n v="9.9499999999999993"/>
    <x v="32"/>
    <m/>
    <s v="Exp - Shopping"/>
    <m/>
    <m/>
    <m/>
    <m/>
    <m/>
    <m/>
    <x v="3225"/>
    <m/>
    <m/>
  </r>
  <r>
    <x v="55"/>
    <d v="2023-05-07T00:00:00"/>
    <s v="Cash Rewards Visa Signature - Ending in 5988"/>
    <x v="3664"/>
    <n v="40.86"/>
    <x v="32"/>
    <m/>
    <s v="Exp - Shopping"/>
    <m/>
    <m/>
    <m/>
    <m/>
    <m/>
    <m/>
    <x v="3226"/>
    <m/>
    <m/>
  </r>
  <r>
    <x v="55"/>
    <d v="2023-05-07T00:00:00"/>
    <s v="Cash Rewards Visa Signature - Ending in 5990"/>
    <x v="3665"/>
    <n v="49.79"/>
    <x v="37"/>
    <m/>
    <s v="Exp - Transportation"/>
    <m/>
    <m/>
    <m/>
    <m/>
    <m/>
    <m/>
    <x v="3227"/>
    <m/>
    <m/>
  </r>
  <r>
    <x v="55"/>
    <d v="2023-05-07T00:00:00"/>
    <s v="Cash Rewards Visa Signature - Ending in 5989"/>
    <x v="3666"/>
    <n v="2.79"/>
    <x v="37"/>
    <m/>
    <s v="Exp - Transportation"/>
    <m/>
    <m/>
    <m/>
    <m/>
    <m/>
    <m/>
    <x v="3228"/>
    <m/>
    <m/>
  </r>
  <r>
    <x v="55"/>
    <d v="2023-05-07T00:00:00"/>
    <s v="Cash Rewards Visa Signature - Ending in 5987"/>
    <x v="3667"/>
    <n v="15"/>
    <x v="3"/>
    <m/>
    <s v="Delete"/>
    <m/>
    <m/>
    <m/>
    <m/>
    <m/>
    <m/>
    <x v="3229"/>
    <m/>
    <m/>
  </r>
  <r>
    <x v="55"/>
    <d v="2023-05-08T00:00:00"/>
    <s v="Cash Rewards Visa Signature - Ending in 5981"/>
    <x v="3668"/>
    <n v="2"/>
    <x v="3"/>
    <m/>
    <s v="Delete"/>
    <m/>
    <m/>
    <m/>
    <m/>
    <m/>
    <m/>
    <x v="3230"/>
    <m/>
    <m/>
  </r>
  <r>
    <x v="55"/>
    <d v="2023-05-08T00:00:00"/>
    <s v="Cash Rewards Visa Signature - Ending in 5978"/>
    <x v="3669"/>
    <n v="270.92"/>
    <x v="36"/>
    <m/>
    <s v="Exp - House Maint"/>
    <m/>
    <m/>
    <m/>
    <m/>
    <m/>
    <m/>
    <x v="3231"/>
    <m/>
    <m/>
  </r>
  <r>
    <x v="55"/>
    <d v="2023-05-08T00:00:00"/>
    <s v="Cash Rewards Visa Signature - Ending in 5980"/>
    <x v="3670"/>
    <n v="61.88"/>
    <x v="37"/>
    <m/>
    <s v="Exp - Transportation"/>
    <m/>
    <m/>
    <m/>
    <m/>
    <m/>
    <m/>
    <x v="3232"/>
    <m/>
    <m/>
  </r>
  <r>
    <x v="55"/>
    <d v="2023-05-08T00:00:00"/>
    <s v="Cash Rewards Visa Signature - Ending in 5979"/>
    <x v="3671"/>
    <n v="10"/>
    <x v="37"/>
    <m/>
    <s v="Exp - Transportation"/>
    <m/>
    <m/>
    <m/>
    <m/>
    <m/>
    <m/>
    <x v="3233"/>
    <m/>
    <m/>
  </r>
  <r>
    <x v="55"/>
    <d v="2023-05-08T00:00:00"/>
    <s v="Powerplus - Ending in 8s71"/>
    <x v="1869"/>
    <n v="112.94"/>
    <x v="42"/>
    <m/>
    <s v="Exp - Utilities"/>
    <m/>
    <m/>
    <m/>
    <m/>
    <m/>
    <m/>
    <x v="1723"/>
    <m/>
    <m/>
  </r>
  <r>
    <x v="55"/>
    <d v="2023-05-09T00:00:00"/>
    <s v="Cash Rewards Visa Signature - Ending in 5977"/>
    <x v="3672"/>
    <n v="47.25"/>
    <x v="49"/>
    <m/>
    <s v="Exp - Gym"/>
    <m/>
    <m/>
    <m/>
    <m/>
    <m/>
    <m/>
    <x v="3234"/>
    <m/>
    <m/>
  </r>
  <r>
    <x v="55"/>
    <d v="2023-05-09T00:00:00"/>
    <s v="Cash Rewards Visa Signature - Ending in 5976"/>
    <x v="3673"/>
    <n v="109.75"/>
    <x v="45"/>
    <m/>
    <s v="Exp - Target"/>
    <m/>
    <m/>
    <m/>
    <m/>
    <m/>
    <m/>
    <x v="3235"/>
    <m/>
    <m/>
  </r>
  <r>
    <x v="55"/>
    <d v="2023-05-09T00:00:00"/>
    <s v="Cash Rewards Visa Signature - Ending in 5975"/>
    <x v="3674"/>
    <n v="20.51"/>
    <x v="39"/>
    <m/>
    <s v="Exp - Restaurants"/>
    <m/>
    <m/>
    <m/>
    <m/>
    <m/>
    <m/>
    <x v="3236"/>
    <m/>
    <m/>
  </r>
  <r>
    <x v="55"/>
    <d v="2023-05-09T00:00:00"/>
    <s v="Powerplus - Ending in 8s68"/>
    <x v="3675"/>
    <n v="330"/>
    <x v="40"/>
    <m/>
    <s v="Exp - Day Care"/>
    <m/>
    <m/>
    <m/>
    <m/>
    <m/>
    <m/>
    <x v="3216"/>
    <m/>
    <m/>
  </r>
  <r>
    <x v="55"/>
    <d v="2023-05-09T00:00:00"/>
    <s v="Powerplus - Ending in 8s70"/>
    <x v="1890"/>
    <n v="84.64"/>
    <x v="3"/>
    <m/>
    <s v="Delete"/>
    <m/>
    <m/>
    <m/>
    <m/>
    <m/>
    <m/>
    <x v="1743"/>
    <m/>
    <m/>
  </r>
  <r>
    <x v="55"/>
    <d v="2023-05-09T00:00:00"/>
    <s v="Powerplus - Ending in 8s69"/>
    <x v="1987"/>
    <n v="177.67"/>
    <x v="42"/>
    <m/>
    <s v="Exp - Utilities"/>
    <m/>
    <m/>
    <m/>
    <m/>
    <m/>
    <m/>
    <x v="1837"/>
    <m/>
    <m/>
  </r>
  <r>
    <x v="55"/>
    <d v="2023-05-11T00:00:00"/>
    <s v="Cash Rewards Visa Signature - Ending in 5974"/>
    <x v="3676"/>
    <n v="32.049999999999997"/>
    <x v="41"/>
    <m/>
    <s v="Exp - Amazon"/>
    <m/>
    <m/>
    <m/>
    <m/>
    <m/>
    <m/>
    <x v="3237"/>
    <m/>
    <m/>
  </r>
  <r>
    <x v="55"/>
    <d v="2023-05-11T00:00:00"/>
    <s v="Powerplus - Ending in 8s65"/>
    <x v="1893"/>
    <n v="-2465"/>
    <x v="14"/>
    <m/>
    <s v="Inc - Britney"/>
    <m/>
    <m/>
    <m/>
    <m/>
    <m/>
    <m/>
    <x v="1746"/>
    <m/>
    <m/>
  </r>
  <r>
    <x v="55"/>
    <d v="2023-05-11T00:00:00"/>
    <s v="Cash Rewards Visa Signature - Ending in 5973"/>
    <x v="3677"/>
    <n v="149.29"/>
    <x v="36"/>
    <m/>
    <s v="Exp - House Maint"/>
    <m/>
    <m/>
    <m/>
    <m/>
    <m/>
    <m/>
    <x v="3238"/>
    <m/>
    <m/>
  </r>
  <r>
    <x v="55"/>
    <d v="2023-05-11T00:00:00"/>
    <s v="Powerplus - Ending in 8s67"/>
    <x v="1849"/>
    <n v="6.47"/>
    <x v="32"/>
    <m/>
    <s v="Exp - Shopping"/>
    <m/>
    <m/>
    <m/>
    <m/>
    <m/>
    <m/>
    <x v="1704"/>
    <m/>
    <m/>
  </r>
  <r>
    <x v="55"/>
    <d v="2023-05-11T00:00:00"/>
    <s v="Powerplus - Ending in 8s66"/>
    <x v="1827"/>
    <n v="125"/>
    <x v="32"/>
    <m/>
    <s v="Exp - Shopping"/>
    <m/>
    <m/>
    <m/>
    <m/>
    <m/>
    <m/>
    <x v="1682"/>
    <m/>
    <m/>
  </r>
  <r>
    <x v="55"/>
    <d v="2023-05-12T00:00:00"/>
    <s v="Cash Rewards Visa Signature - Ending in 5971"/>
    <x v="3678"/>
    <n v="5.99"/>
    <x v="35"/>
    <m/>
    <s v="Exp - Entertainment"/>
    <m/>
    <m/>
    <m/>
    <m/>
    <m/>
    <m/>
    <x v="3239"/>
    <m/>
    <m/>
  </r>
  <r>
    <x v="55"/>
    <d v="2023-05-12T00:00:00"/>
    <s v="Cash Rewards Visa Signature - Ending in 5972"/>
    <x v="3679"/>
    <n v="60"/>
    <x v="32"/>
    <m/>
    <s v="Exp - Shopping"/>
    <m/>
    <m/>
    <m/>
    <m/>
    <m/>
    <m/>
    <x v="3240"/>
    <m/>
    <m/>
  </r>
  <r>
    <x v="55"/>
    <d v="2023-05-12T00:00:00"/>
    <s v="Powerplus - Ending in 8s64"/>
    <x v="1849"/>
    <n v="6.47"/>
    <x v="32"/>
    <m/>
    <s v="Exp - Shopping"/>
    <m/>
    <m/>
    <m/>
    <m/>
    <m/>
    <m/>
    <x v="1704"/>
    <m/>
    <m/>
  </r>
  <r>
    <x v="55"/>
    <d v="2023-05-12T00:00:00"/>
    <s v="Powerplus - Ending in 8s63"/>
    <x v="3657"/>
    <n v="834.2"/>
    <x v="3"/>
    <m/>
    <s v="Delete"/>
    <m/>
    <m/>
    <m/>
    <m/>
    <m/>
    <m/>
    <x v="3219"/>
    <m/>
    <m/>
  </r>
  <r>
    <x v="55"/>
    <d v="2023-05-12T00:00:00"/>
    <s v="Cash Rewards Visa Signature - Ending in 5970"/>
    <x v="3680"/>
    <n v="-834.2"/>
    <x v="3"/>
    <m/>
    <s v="Delete"/>
    <m/>
    <m/>
    <m/>
    <m/>
    <m/>
    <m/>
    <x v="3241"/>
    <m/>
    <m/>
  </r>
  <r>
    <x v="55"/>
    <d v="2023-05-14T00:00:00"/>
    <s v="Cash Rewards Visa Signature - Ending in 5964"/>
    <x v="3681"/>
    <n v="-15.45"/>
    <x v="41"/>
    <m/>
    <s v="Exp - Amazon"/>
    <m/>
    <m/>
    <m/>
    <m/>
    <m/>
    <m/>
    <x v="3242"/>
    <m/>
    <m/>
  </r>
  <r>
    <x v="55"/>
    <d v="2023-05-14T00:00:00"/>
    <s v="Cash Rewards Visa Signature - Ending in 5965"/>
    <x v="3682"/>
    <n v="45"/>
    <x v="42"/>
    <m/>
    <s v="Exp - Utilities"/>
    <m/>
    <m/>
    <m/>
    <m/>
    <m/>
    <m/>
    <x v="3243"/>
    <m/>
    <m/>
  </r>
  <r>
    <x v="55"/>
    <d v="2023-05-14T00:00:00"/>
    <s v="Cash Rewards Visa Signature - Ending in 5968"/>
    <x v="3683"/>
    <n v="30.26"/>
    <x v="32"/>
    <m/>
    <s v="Exp - Shopping"/>
    <m/>
    <m/>
    <m/>
    <m/>
    <m/>
    <m/>
    <x v="3244"/>
    <m/>
    <m/>
  </r>
  <r>
    <x v="55"/>
    <d v="2023-05-14T00:00:00"/>
    <s v="Powerplus - Ending in 8s62"/>
    <x v="3684"/>
    <n v="-3180.71"/>
    <x v="15"/>
    <m/>
    <s v="Inc - Jeff"/>
    <m/>
    <m/>
    <m/>
    <m/>
    <m/>
    <m/>
    <x v="3245"/>
    <m/>
    <m/>
  </r>
  <r>
    <x v="55"/>
    <d v="2023-05-14T00:00:00"/>
    <s v="Cash Rewards Visa Signature - Ending in 5969"/>
    <x v="3685"/>
    <n v="267.8"/>
    <x v="39"/>
    <m/>
    <s v="Exp - Restaurants"/>
    <m/>
    <m/>
    <m/>
    <m/>
    <m/>
    <m/>
    <x v="3246"/>
    <m/>
    <m/>
  </r>
  <r>
    <x v="55"/>
    <d v="2023-05-14T00:00:00"/>
    <s v="Cash Rewards Visa Signature - Ending in 5967"/>
    <x v="3686"/>
    <n v="12.5"/>
    <x v="39"/>
    <m/>
    <s v="Exp - Restaurants"/>
    <m/>
    <m/>
    <m/>
    <m/>
    <m/>
    <m/>
    <x v="3247"/>
    <m/>
    <m/>
  </r>
  <r>
    <x v="55"/>
    <d v="2023-05-14T00:00:00"/>
    <s v="Cash Rewards Visa Signature - Ending in 5966"/>
    <x v="3687"/>
    <n v="12.5"/>
    <x v="39"/>
    <m/>
    <s v="Exp - Restaurants"/>
    <m/>
    <m/>
    <m/>
    <m/>
    <m/>
    <m/>
    <x v="3248"/>
    <m/>
    <m/>
  </r>
  <r>
    <x v="55"/>
    <d v="2023-05-15T00:00:00"/>
    <s v="Cash Rewards Visa Signature - Ending in 5961"/>
    <x v="3688"/>
    <n v="217.8"/>
    <x v="39"/>
    <m/>
    <s v="Exp - Restaurants"/>
    <m/>
    <m/>
    <m/>
    <m/>
    <m/>
    <m/>
    <x v="3249"/>
    <m/>
    <m/>
  </r>
  <r>
    <x v="55"/>
    <d v="2023-05-15T00:00:00"/>
    <s v="Cash Rewards Visa Signature - Ending in 5963"/>
    <x v="3689"/>
    <n v="63"/>
    <x v="32"/>
    <m/>
    <s v="Exp - Shopping"/>
    <m/>
    <m/>
    <m/>
    <m/>
    <m/>
    <m/>
    <x v="3250"/>
    <m/>
    <m/>
  </r>
  <r>
    <x v="55"/>
    <d v="2023-05-15T00:00:00"/>
    <s v="Cash Rewards Visa Signature - Ending in 5962"/>
    <x v="3690"/>
    <n v="686"/>
    <x v="32"/>
    <m/>
    <s v="Exp - Shopping"/>
    <m/>
    <m/>
    <m/>
    <m/>
    <m/>
    <m/>
    <x v="3251"/>
    <m/>
    <m/>
  </r>
  <r>
    <x v="55"/>
    <d v="2023-05-15T00:00:00"/>
    <s v="Powerplus - Ending in 8s60"/>
    <x v="1849"/>
    <n v="43.2"/>
    <x v="32"/>
    <m/>
    <s v="Exp - Shopping"/>
    <m/>
    <m/>
    <m/>
    <m/>
    <m/>
    <m/>
    <x v="1704"/>
    <m/>
    <m/>
  </r>
  <r>
    <x v="55"/>
    <d v="2023-05-15T00:00:00"/>
    <s v="Powerplus - Ending in 8s61"/>
    <x v="1827"/>
    <n v="30"/>
    <x v="32"/>
    <m/>
    <s v="Exp - Shopping"/>
    <m/>
    <m/>
    <m/>
    <m/>
    <m/>
    <m/>
    <x v="1682"/>
    <m/>
    <m/>
  </r>
  <r>
    <x v="55"/>
    <d v="2023-05-15T00:00:00"/>
    <s v="Powerplus - Ending in 8s58"/>
    <x v="1827"/>
    <n v="105"/>
    <x v="32"/>
    <m/>
    <s v="Exp - Shopping"/>
    <m/>
    <m/>
    <m/>
    <m/>
    <m/>
    <m/>
    <x v="1682"/>
    <m/>
    <m/>
  </r>
  <r>
    <x v="55"/>
    <d v="2023-05-15T00:00:00"/>
    <s v="Cash Rewards Visa Signature - Ending in 5959"/>
    <x v="3691"/>
    <n v="65.81"/>
    <x v="39"/>
    <m/>
    <s v="Exp - Restaurants"/>
    <m/>
    <m/>
    <m/>
    <m/>
    <m/>
    <m/>
    <x v="3252"/>
    <m/>
    <m/>
  </r>
  <r>
    <x v="55"/>
    <d v="2023-05-15T00:00:00"/>
    <s v="Cash Rewards Visa Signature - Ending in 5960"/>
    <x v="3692"/>
    <n v="42.74"/>
    <x v="3"/>
    <m/>
    <s v="Delete"/>
    <m/>
    <m/>
    <m/>
    <m/>
    <m/>
    <m/>
    <x v="3253"/>
    <m/>
    <m/>
  </r>
  <r>
    <x v="55"/>
    <d v="2023-05-15T00:00:00"/>
    <s v="Powerplus - Ending in 8s59"/>
    <x v="3693"/>
    <n v="90.39"/>
    <x v="54"/>
    <m/>
    <s v="Exp - Insurance"/>
    <m/>
    <m/>
    <m/>
    <m/>
    <m/>
    <m/>
    <x v="3254"/>
    <m/>
    <m/>
  </r>
  <r>
    <x v="55"/>
    <d v="2023-05-16T00:00:00"/>
    <s v="Cash Rewards Visa Signature - Ending in 5955"/>
    <x v="3694"/>
    <n v="6.6"/>
    <x v="3"/>
    <m/>
    <s v="Delete"/>
    <m/>
    <m/>
    <m/>
    <m/>
    <m/>
    <m/>
    <x v="3255"/>
    <m/>
    <m/>
  </r>
  <r>
    <x v="55"/>
    <d v="2023-05-16T00:00:00"/>
    <s v="Cash Rewards Visa Signature - Ending in 5958"/>
    <x v="3695"/>
    <n v="42.23"/>
    <x v="35"/>
    <m/>
    <s v="Exp - Entertainment"/>
    <m/>
    <m/>
    <m/>
    <m/>
    <m/>
    <m/>
    <x v="3256"/>
    <m/>
    <m/>
  </r>
  <r>
    <x v="55"/>
    <d v="2023-05-16T00:00:00"/>
    <s v="Cash Rewards Visa Signature - Ending in 5956"/>
    <x v="3696"/>
    <n v="34.15"/>
    <x v="39"/>
    <m/>
    <s v="Exp - Restaurants"/>
    <m/>
    <m/>
    <m/>
    <m/>
    <m/>
    <m/>
    <x v="3257"/>
    <m/>
    <m/>
  </r>
  <r>
    <x v="55"/>
    <d v="2023-05-16T00:00:00"/>
    <s v="Powerplus - Ending in 8s57"/>
    <x v="2047"/>
    <n v="-6.47"/>
    <x v="32"/>
    <m/>
    <s v="Exp - Shopping"/>
    <m/>
    <m/>
    <m/>
    <m/>
    <m/>
    <m/>
    <x v="1897"/>
    <m/>
    <m/>
  </r>
  <r>
    <x v="55"/>
    <d v="2023-05-16T00:00:00"/>
    <s v="Cash Rewards Visa Signature - Ending in 5957"/>
    <x v="3697"/>
    <n v="8"/>
    <x v="42"/>
    <m/>
    <s v="Exp - Utilities"/>
    <m/>
    <m/>
    <m/>
    <m/>
    <m/>
    <m/>
    <x v="3258"/>
    <m/>
    <m/>
  </r>
  <r>
    <x v="55"/>
    <d v="2023-05-17T00:00:00"/>
    <s v="Cash Rewards Visa Signature - Ending in 5954"/>
    <x v="3698"/>
    <n v="17.170000000000002"/>
    <x v="41"/>
    <m/>
    <s v="Exp - Amazon"/>
    <m/>
    <m/>
    <m/>
    <m/>
    <m/>
    <m/>
    <x v="3259"/>
    <m/>
    <m/>
  </r>
  <r>
    <x v="55"/>
    <d v="2023-05-17T00:00:00"/>
    <s v="Powerplus - Ending in 8s56"/>
    <x v="3699"/>
    <n v="-3334.58"/>
    <x v="15"/>
    <m/>
    <s v="Inc - Jeff"/>
    <m/>
    <m/>
    <m/>
    <m/>
    <m/>
    <m/>
    <x v="3260"/>
    <m/>
    <m/>
  </r>
  <r>
    <x v="55"/>
    <d v="2023-05-17T00:00:00"/>
    <s v="Cash Rewards Visa Signature - Ending in 5951"/>
    <x v="3700"/>
    <n v="-35.799999999999997"/>
    <x v="32"/>
    <m/>
    <s v="Exp - Shopping"/>
    <m/>
    <m/>
    <m/>
    <m/>
    <m/>
    <m/>
    <x v="3261"/>
    <m/>
    <m/>
  </r>
  <r>
    <x v="55"/>
    <d v="2023-05-17T00:00:00"/>
    <s v="Cash Rewards Visa Signature - Ending in 5953"/>
    <x v="3701"/>
    <n v="46.5"/>
    <x v="40"/>
    <m/>
    <s v="Exp - Day Care"/>
    <m/>
    <m/>
    <m/>
    <m/>
    <m/>
    <m/>
    <x v="3262"/>
    <m/>
    <m/>
  </r>
  <r>
    <x v="55"/>
    <d v="2023-05-17T00:00:00"/>
    <s v="Cash Rewards Visa Signature - Ending in 5952"/>
    <x v="3702"/>
    <n v="12.84"/>
    <x v="42"/>
    <m/>
    <s v="Exp - Utilities"/>
    <m/>
    <m/>
    <m/>
    <m/>
    <m/>
    <m/>
    <x v="3263"/>
    <m/>
    <m/>
  </r>
  <r>
    <x v="55"/>
    <d v="2023-05-17T00:00:00"/>
    <s v="Powerplus - Ending in 8s55"/>
    <x v="1849"/>
    <n v="12.95"/>
    <x v="32"/>
    <m/>
    <s v="Exp - Shopping"/>
    <m/>
    <m/>
    <m/>
    <m/>
    <m/>
    <m/>
    <x v="1704"/>
    <m/>
    <m/>
  </r>
  <r>
    <x v="55"/>
    <d v="2023-05-17T00:00:00"/>
    <s v="Powerplus - Ending in 8s54"/>
    <x v="1827"/>
    <n v="30"/>
    <x v="32"/>
    <m/>
    <s v="Exp - Shopping"/>
    <m/>
    <m/>
    <m/>
    <m/>
    <m/>
    <m/>
    <x v="1682"/>
    <m/>
    <m/>
  </r>
  <r>
    <x v="55"/>
    <d v="2023-05-17T00:00:00"/>
    <s v="Powerplus - Ending in 8s52"/>
    <x v="2020"/>
    <n v="1315.63"/>
    <x v="3"/>
    <m/>
    <s v="Delete"/>
    <m/>
    <m/>
    <m/>
    <m/>
    <m/>
    <m/>
    <x v="1870"/>
    <m/>
    <m/>
  </r>
  <r>
    <x v="55"/>
    <d v="2023-05-17T00:00:00"/>
    <s v="Powerplus - Ending in 8s53"/>
    <x v="1888"/>
    <n v="369.12"/>
    <x v="3"/>
    <m/>
    <s v="Delete"/>
    <m/>
    <m/>
    <m/>
    <m/>
    <m/>
    <m/>
    <x v="1741"/>
    <m/>
    <m/>
  </r>
  <r>
    <x v="55"/>
    <d v="2023-05-18T00:00:00"/>
    <s v="Powerplus - Ending in 8s50"/>
    <x v="3652"/>
    <n v="-156.22"/>
    <x v="14"/>
    <m/>
    <s v="Inc - Britney"/>
    <m/>
    <m/>
    <m/>
    <m/>
    <m/>
    <m/>
    <x v="3214"/>
    <m/>
    <m/>
  </r>
  <r>
    <x v="55"/>
    <d v="2023-05-18T00:00:00"/>
    <s v="Cash Rewards Visa Signature - Ending in 5948"/>
    <x v="3703"/>
    <n v="16.36"/>
    <x v="3"/>
    <m/>
    <s v="Delete"/>
    <m/>
    <m/>
    <m/>
    <m/>
    <m/>
    <m/>
    <x v="3264"/>
    <m/>
    <m/>
  </r>
  <r>
    <x v="55"/>
    <d v="2023-05-18T00:00:00"/>
    <s v="Cash Rewards Visa Signature - Ending in 5949"/>
    <x v="3704"/>
    <n v="63.86"/>
    <x v="51"/>
    <m/>
    <s v="Exp - Gifts"/>
    <m/>
    <m/>
    <m/>
    <m/>
    <m/>
    <m/>
    <x v="3265"/>
    <m/>
    <m/>
  </r>
  <r>
    <x v="55"/>
    <d v="2023-05-18T00:00:00"/>
    <s v="Cash Rewards Visa Signature - Ending in 5950"/>
    <x v="3705"/>
    <n v="10.14"/>
    <x v="3"/>
    <m/>
    <s v="Delete"/>
    <m/>
    <m/>
    <m/>
    <m/>
    <m/>
    <m/>
    <x v="3266"/>
    <m/>
    <m/>
  </r>
  <r>
    <x v="55"/>
    <d v="2023-05-18T00:00:00"/>
    <s v="Powerplus - Ending in 8s51"/>
    <x v="3706"/>
    <n v="500"/>
    <x v="3"/>
    <m/>
    <s v="Delete"/>
    <m/>
    <m/>
    <m/>
    <m/>
    <m/>
    <m/>
    <x v="3267"/>
    <m/>
    <m/>
  </r>
  <r>
    <x v="55"/>
    <d v="2023-05-19T00:00:00"/>
    <s v="Cash Rewards Visa Signature - Ending in 5947"/>
    <x v="3707"/>
    <n v="21.05"/>
    <x v="3"/>
    <m/>
    <s v="Delete"/>
    <m/>
    <m/>
    <m/>
    <m/>
    <m/>
    <m/>
    <x v="3268"/>
    <m/>
    <m/>
  </r>
  <r>
    <x v="55"/>
    <d v="2023-05-19T00:00:00"/>
    <s v="Cash Rewards Visa Signature - Ending in 5945"/>
    <x v="3708"/>
    <n v="84.22"/>
    <x v="32"/>
    <m/>
    <s v="Exp - Shopping"/>
    <m/>
    <m/>
    <m/>
    <m/>
    <m/>
    <m/>
    <x v="3269"/>
    <m/>
    <m/>
  </r>
  <r>
    <x v="55"/>
    <d v="2023-05-19T00:00:00"/>
    <s v="Cash Rewards Visa Signature - Ending in 5946"/>
    <x v="3709"/>
    <n v="66.81"/>
    <x v="32"/>
    <m/>
    <s v="Exp - Shopping"/>
    <m/>
    <m/>
    <m/>
    <m/>
    <m/>
    <m/>
    <x v="3270"/>
    <m/>
    <m/>
  </r>
  <r>
    <x v="55"/>
    <d v="2023-05-19T00:00:00"/>
    <s v="Powerplus - Ending in 8s49"/>
    <x v="1849"/>
    <n v="2.99"/>
    <x v="32"/>
    <m/>
    <s v="Exp - Shopping"/>
    <m/>
    <m/>
    <m/>
    <m/>
    <m/>
    <m/>
    <x v="1704"/>
    <m/>
    <m/>
  </r>
  <r>
    <x v="55"/>
    <d v="2023-05-19T00:00:00"/>
    <s v="Powerplus - Ending in 8s47"/>
    <x v="1827"/>
    <n v="550"/>
    <x v="32"/>
    <m/>
    <s v="Exp - Shopping"/>
    <m/>
    <m/>
    <m/>
    <m/>
    <m/>
    <m/>
    <x v="1682"/>
    <m/>
    <m/>
  </r>
  <r>
    <x v="55"/>
    <d v="2023-05-19T00:00:00"/>
    <s v="Powerplus - Ending in 8s48"/>
    <x v="3710"/>
    <n v="330"/>
    <x v="40"/>
    <m/>
    <s v="Exp - Day Care"/>
    <m/>
    <m/>
    <m/>
    <m/>
    <m/>
    <m/>
    <x v="3216"/>
    <m/>
    <m/>
  </r>
  <r>
    <x v="55"/>
    <d v="2023-05-19T00:00:00"/>
    <s v="Cash Rewards Visa Signature - Ending in 5944"/>
    <x v="3711"/>
    <n v="259.75"/>
    <x v="51"/>
    <m/>
    <s v="Exp - Gifts"/>
    <m/>
    <m/>
    <m/>
    <m/>
    <m/>
    <m/>
    <x v="3271"/>
    <m/>
    <m/>
  </r>
  <r>
    <x v="55"/>
    <d v="2023-05-21T00:00:00"/>
    <s v="Cash Rewards Visa Signature - Ending in 5941"/>
    <x v="3712"/>
    <n v="31.8"/>
    <x v="41"/>
    <m/>
    <s v="Exp - Amazon"/>
    <m/>
    <m/>
    <m/>
    <m/>
    <m/>
    <m/>
    <x v="3272"/>
    <m/>
    <m/>
  </r>
  <r>
    <x v="55"/>
    <d v="2023-05-21T00:00:00"/>
    <s v="Cash Rewards Visa Signature - Ending in 5937"/>
    <x v="3713"/>
    <n v="23.64"/>
    <x v="38"/>
    <m/>
    <s v="Exp - Groceries"/>
    <m/>
    <m/>
    <m/>
    <m/>
    <m/>
    <m/>
    <x v="3273"/>
    <m/>
    <m/>
  </r>
  <r>
    <x v="55"/>
    <d v="2023-05-21T00:00:00"/>
    <s v="Cash Rewards Visa Signature - Ending in 5935"/>
    <x v="3714"/>
    <n v="-322.2"/>
    <x v="32"/>
    <m/>
    <s v="Exp - Shopping"/>
    <m/>
    <m/>
    <m/>
    <m/>
    <m/>
    <m/>
    <x v="3274"/>
    <m/>
    <m/>
  </r>
  <r>
    <x v="55"/>
    <d v="2023-05-21T00:00:00"/>
    <s v="Cash Rewards Visa Signature - Ending in 5934"/>
    <x v="3715"/>
    <n v="-63"/>
    <x v="32"/>
    <m/>
    <s v="Exp - Shopping"/>
    <m/>
    <m/>
    <m/>
    <m/>
    <m/>
    <m/>
    <x v="3275"/>
    <m/>
    <m/>
  </r>
  <r>
    <x v="55"/>
    <d v="2023-05-21T00:00:00"/>
    <s v="Cash Rewards Visa Signature - Ending in 5938"/>
    <x v="3716"/>
    <n v="26"/>
    <x v="40"/>
    <m/>
    <s v="Exp - Day Care"/>
    <m/>
    <m/>
    <m/>
    <m/>
    <m/>
    <m/>
    <x v="3276"/>
    <m/>
    <m/>
  </r>
  <r>
    <x v="55"/>
    <d v="2023-05-21T00:00:00"/>
    <s v="Cash Rewards Visa Signature - Ending in 5942"/>
    <x v="3717"/>
    <n v="48.71"/>
    <x v="37"/>
    <m/>
    <s v="Exp - Transportation"/>
    <m/>
    <m/>
    <m/>
    <m/>
    <m/>
    <m/>
    <x v="3277"/>
    <m/>
    <m/>
  </r>
  <r>
    <x v="55"/>
    <d v="2023-05-21T00:00:00"/>
    <s v="Cash Rewards Visa Signature - Ending in 5943"/>
    <x v="3718"/>
    <n v="16.73"/>
    <x v="42"/>
    <m/>
    <s v="Exp - Utilities"/>
    <m/>
    <m/>
    <m/>
    <m/>
    <m/>
    <m/>
    <x v="3278"/>
    <m/>
    <m/>
  </r>
  <r>
    <x v="55"/>
    <d v="2023-05-21T00:00:00"/>
    <s v="Cash Rewards Visa Signature - Ending in 5940"/>
    <x v="3719"/>
    <n v="85.04"/>
    <x v="3"/>
    <m/>
    <s v="Delete"/>
    <m/>
    <m/>
    <m/>
    <m/>
    <m/>
    <m/>
    <x v="3279"/>
    <m/>
    <m/>
  </r>
  <r>
    <x v="55"/>
    <d v="2023-05-21T00:00:00"/>
    <s v="Cash Rewards Visa Signature - Ending in 5933"/>
    <x v="3720"/>
    <n v="21.48"/>
    <x v="3"/>
    <m/>
    <s v="Delete"/>
    <m/>
    <m/>
    <m/>
    <m/>
    <m/>
    <m/>
    <x v="3280"/>
    <m/>
    <m/>
  </r>
  <r>
    <x v="55"/>
    <d v="2023-05-21T00:00:00"/>
    <s v="Cash Rewards Visa Signature - Ending in 5936"/>
    <x v="3721"/>
    <n v="13.02"/>
    <x v="3"/>
    <m/>
    <s v="Delete"/>
    <m/>
    <m/>
    <m/>
    <m/>
    <m/>
    <m/>
    <x v="3281"/>
    <m/>
    <m/>
  </r>
  <r>
    <x v="55"/>
    <d v="2023-05-21T00:00:00"/>
    <s v="Cash Rewards Visa Signature - Ending in 5939"/>
    <x v="3722"/>
    <n v="47.19"/>
    <x v="39"/>
    <m/>
    <s v="Exp - Restaurants"/>
    <m/>
    <m/>
    <m/>
    <m/>
    <m/>
    <m/>
    <x v="3282"/>
    <m/>
    <m/>
  </r>
  <r>
    <x v="55"/>
    <d v="2023-05-22T00:00:00"/>
    <s v="Cash Rewards Visa Signature - Ending in 5932"/>
    <x v="3723"/>
    <n v="11"/>
    <x v="42"/>
    <m/>
    <s v="Exp - Utilities"/>
    <m/>
    <m/>
    <m/>
    <m/>
    <m/>
    <m/>
    <x v="3283"/>
    <m/>
    <m/>
  </r>
  <r>
    <x v="55"/>
    <d v="2023-05-22T00:00:00"/>
    <s v="Cash Rewards Visa Signature - Ending in 5931"/>
    <x v="3724"/>
    <n v="31.99"/>
    <x v="32"/>
    <m/>
    <s v="Exp - Shopping"/>
    <m/>
    <m/>
    <m/>
    <m/>
    <m/>
    <m/>
    <x v="3284"/>
    <m/>
    <m/>
  </r>
  <r>
    <x v="55"/>
    <d v="2023-05-22T00:00:00"/>
    <s v="Cash Rewards Visa Signature - Ending in 5930"/>
    <x v="3725"/>
    <n v="48.24"/>
    <x v="36"/>
    <m/>
    <s v="Exp - House Maint"/>
    <m/>
    <m/>
    <m/>
    <m/>
    <m/>
    <m/>
    <x v="3285"/>
    <m/>
    <m/>
  </r>
  <r>
    <x v="55"/>
    <d v="2023-05-22T00:00:00"/>
    <s v="Cash Rewards Visa Signature - Ending in 5929"/>
    <x v="3726"/>
    <n v="21.46"/>
    <x v="36"/>
    <m/>
    <s v="Exp - House Maint"/>
    <m/>
    <m/>
    <m/>
    <m/>
    <m/>
    <m/>
    <x v="3286"/>
    <m/>
    <m/>
  </r>
  <r>
    <x v="55"/>
    <d v="2023-05-22T00:00:00"/>
    <s v="Powerplus - Ending in 8s45"/>
    <x v="1827"/>
    <n v="57.9"/>
    <x v="32"/>
    <m/>
    <s v="Exp - Shopping"/>
    <m/>
    <m/>
    <m/>
    <m/>
    <m/>
    <m/>
    <x v="1682"/>
    <m/>
    <m/>
  </r>
  <r>
    <x v="55"/>
    <d v="2023-05-22T00:00:00"/>
    <s v="Powerplus - Ending in 8s46"/>
    <x v="3727"/>
    <n v="51.21"/>
    <x v="3"/>
    <m/>
    <s v="Delete"/>
    <m/>
    <m/>
    <m/>
    <m/>
    <m/>
    <m/>
    <x v="3287"/>
    <m/>
    <m/>
  </r>
  <r>
    <x v="55"/>
    <d v="2023-05-23T00:00:00"/>
    <s v="Cash Rewards Visa Signature - Ending in 5928"/>
    <x v="3728"/>
    <n v="136"/>
    <x v="32"/>
    <m/>
    <s v="Exp - Shopping"/>
    <m/>
    <m/>
    <m/>
    <m/>
    <m/>
    <m/>
    <x v="3288"/>
    <m/>
    <m/>
  </r>
  <r>
    <x v="55"/>
    <d v="2023-05-23T00:00:00"/>
    <s v="Powerplus - Ending in 8s44"/>
    <x v="3729"/>
    <n v="1200"/>
    <x v="3"/>
    <m/>
    <s v="Delete"/>
    <m/>
    <m/>
    <m/>
    <m/>
    <m/>
    <m/>
    <x v="3289"/>
    <m/>
    <m/>
  </r>
  <r>
    <x v="55"/>
    <d v="2023-05-24T00:00:00"/>
    <s v="Powerplus - Ending in 8s43"/>
    <x v="1827"/>
    <n v="42.5"/>
    <x v="32"/>
    <m/>
    <s v="Exp - Shopping"/>
    <m/>
    <m/>
    <m/>
    <m/>
    <m/>
    <m/>
    <x v="1682"/>
    <m/>
    <m/>
  </r>
  <r>
    <x v="55"/>
    <d v="2023-05-24T00:00:00"/>
    <s v="Powerplus - Ending in 8s42"/>
    <x v="3730"/>
    <n v="330"/>
    <x v="40"/>
    <m/>
    <s v="Exp - Day Care"/>
    <m/>
    <m/>
    <m/>
    <m/>
    <m/>
    <m/>
    <x v="3216"/>
    <m/>
    <m/>
  </r>
  <r>
    <x v="55"/>
    <d v="2023-05-25T00:00:00"/>
    <s v="Powerplus - Ending in 8s38"/>
    <x v="1893"/>
    <n v="-2434.23"/>
    <x v="14"/>
    <m/>
    <s v="Inc - Britney"/>
    <m/>
    <m/>
    <m/>
    <m/>
    <m/>
    <m/>
    <x v="1746"/>
    <m/>
    <m/>
  </r>
  <r>
    <x v="55"/>
    <d v="2023-05-25T00:00:00"/>
    <s v="Cash Rewards Visa Signature - Ending in 5925"/>
    <x v="3731"/>
    <n v="9.92"/>
    <x v="39"/>
    <m/>
    <s v="Exp - Restaurants"/>
    <m/>
    <m/>
    <m/>
    <m/>
    <m/>
    <m/>
    <x v="3290"/>
    <m/>
    <m/>
  </r>
  <r>
    <x v="55"/>
    <d v="2023-05-25T00:00:00"/>
    <s v="Cash Rewards Visa Signature - Ending in 5927"/>
    <x v="3732"/>
    <n v="33.590000000000003"/>
    <x v="38"/>
    <m/>
    <s v="Exp - Groceries"/>
    <m/>
    <m/>
    <m/>
    <m/>
    <m/>
    <m/>
    <x v="3291"/>
    <m/>
    <m/>
  </r>
  <r>
    <x v="55"/>
    <d v="2023-05-25T00:00:00"/>
    <s v="Cash Rewards Visa Signature - Ending in 5926"/>
    <x v="3733"/>
    <n v="420.92"/>
    <x v="37"/>
    <m/>
    <s v="Exp - Transportation"/>
    <m/>
    <m/>
    <m/>
    <m/>
    <m/>
    <m/>
    <x v="3292"/>
    <m/>
    <m/>
  </r>
  <r>
    <x v="55"/>
    <d v="2023-05-25T00:00:00"/>
    <s v="Powerplus - Ending in 8s39"/>
    <x v="3729"/>
    <n v="500"/>
    <x v="3"/>
    <m/>
    <s v="Delete"/>
    <m/>
    <m/>
    <m/>
    <m/>
    <m/>
    <m/>
    <x v="3289"/>
    <m/>
    <m/>
  </r>
  <r>
    <x v="55"/>
    <d v="2023-05-25T00:00:00"/>
    <s v="Powerplus - Ending in 8s41"/>
    <x v="1827"/>
    <n v="125"/>
    <x v="32"/>
    <m/>
    <s v="Exp - Shopping"/>
    <m/>
    <m/>
    <m/>
    <m/>
    <m/>
    <m/>
    <x v="1682"/>
    <m/>
    <m/>
  </r>
  <r>
    <x v="55"/>
    <d v="2023-05-25T00:00:00"/>
    <s v="Powerplus - Ending in 8s40"/>
    <x v="3734"/>
    <n v="475.58"/>
    <x v="45"/>
    <m/>
    <s v="Exp - Target"/>
    <m/>
    <m/>
    <m/>
    <m/>
    <m/>
    <m/>
    <x v="3293"/>
    <m/>
    <m/>
  </r>
  <r>
    <x v="55"/>
    <d v="2023-05-26T00:00:00"/>
    <s v="Cash Rewards Visa Signature - Ending in 5923"/>
    <x v="3735"/>
    <n v="3.32"/>
    <x v="39"/>
    <m/>
    <s v="Exp - Restaurants"/>
    <m/>
    <m/>
    <m/>
    <m/>
    <m/>
    <m/>
    <x v="3294"/>
    <m/>
    <m/>
  </r>
  <r>
    <x v="55"/>
    <d v="2023-05-26T00:00:00"/>
    <s v="Cash Rewards Visa Signature - Ending in 5921"/>
    <x v="3736"/>
    <n v="31.91"/>
    <x v="51"/>
    <m/>
    <s v="Exp - Gifts"/>
    <m/>
    <m/>
    <m/>
    <m/>
    <m/>
    <m/>
    <x v="3295"/>
    <m/>
    <m/>
  </r>
  <r>
    <x v="55"/>
    <d v="2023-05-26T00:00:00"/>
    <s v="Cash Rewards Visa Signature - Ending in 5922"/>
    <x v="3737"/>
    <n v="126"/>
    <x v="32"/>
    <m/>
    <s v="Exp - Shopping"/>
    <m/>
    <m/>
    <m/>
    <m/>
    <m/>
    <m/>
    <x v="3296"/>
    <m/>
    <m/>
  </r>
  <r>
    <x v="55"/>
    <d v="2023-05-26T00:00:00"/>
    <s v="Cash Rewards Visa Signature - Ending in 5924"/>
    <x v="3738"/>
    <n v="74.62"/>
    <x v="38"/>
    <m/>
    <s v="Exp - Groceries"/>
    <m/>
    <m/>
    <m/>
    <m/>
    <m/>
    <m/>
    <x v="3297"/>
    <m/>
    <m/>
  </r>
  <r>
    <x v="55"/>
    <d v="2023-05-26T00:00:00"/>
    <s v="Powerplus - Ending in 8s37"/>
    <x v="3657"/>
    <n v="2789.36"/>
    <x v="3"/>
    <m/>
    <s v="Delete"/>
    <m/>
    <m/>
    <m/>
    <m/>
    <m/>
    <m/>
    <x v="3219"/>
    <m/>
    <m/>
  </r>
  <r>
    <x v="55"/>
    <d v="2023-05-26T00:00:00"/>
    <s v="Cash Rewards Visa Signature - Ending in 5920"/>
    <x v="3739"/>
    <n v="-2789.36"/>
    <x v="3"/>
    <m/>
    <s v="Delete"/>
    <m/>
    <m/>
    <m/>
    <m/>
    <m/>
    <m/>
    <x v="3298"/>
    <m/>
    <m/>
  </r>
  <r>
    <x v="55"/>
    <d v="2023-05-28T00:00:00"/>
    <s v="Cash Rewards Visa Signature - Ending in 5915"/>
    <x v="3740"/>
    <n v="65"/>
    <x v="35"/>
    <m/>
    <s v="Exp - Entertainment"/>
    <m/>
    <m/>
    <m/>
    <m/>
    <m/>
    <m/>
    <x v="3299"/>
    <m/>
    <m/>
  </r>
  <r>
    <x v="55"/>
    <d v="2023-05-28T00:00:00"/>
    <s v="Cash Rewards Visa Signature - Ending in 5916"/>
    <x v="3741"/>
    <n v="1.3"/>
    <x v="35"/>
    <m/>
    <s v="Exp - Entertainment"/>
    <m/>
    <m/>
    <m/>
    <m/>
    <m/>
    <m/>
    <x v="3300"/>
    <m/>
    <m/>
  </r>
  <r>
    <x v="55"/>
    <d v="2023-05-28T00:00:00"/>
    <s v="Cash Rewards Visa Signature - Ending in 5914"/>
    <x v="3742"/>
    <n v="47"/>
    <x v="32"/>
    <m/>
    <s v="Exp - Shopping"/>
    <m/>
    <m/>
    <m/>
    <m/>
    <m/>
    <m/>
    <x v="3301"/>
    <m/>
    <m/>
  </r>
  <r>
    <x v="55"/>
    <d v="2023-05-28T00:00:00"/>
    <s v="Cash Rewards Visa Signature - Ending in 5919"/>
    <x v="3743"/>
    <n v="161.06"/>
    <x v="36"/>
    <m/>
    <s v="Exp - House Maint"/>
    <m/>
    <m/>
    <m/>
    <m/>
    <m/>
    <m/>
    <x v="3302"/>
    <m/>
    <m/>
  </r>
  <r>
    <x v="55"/>
    <d v="2023-05-28T00:00:00"/>
    <s v="Cash Rewards Visa Signature - Ending in 5913"/>
    <x v="3744"/>
    <n v="12.46"/>
    <x v="36"/>
    <m/>
    <s v="Exp - House Maint"/>
    <m/>
    <m/>
    <m/>
    <m/>
    <m/>
    <m/>
    <x v="3303"/>
    <m/>
    <m/>
  </r>
  <r>
    <x v="55"/>
    <d v="2023-05-28T00:00:00"/>
    <s v="Cash Rewards Visa Signature - Ending in 5918"/>
    <x v="3745"/>
    <n v="102"/>
    <x v="32"/>
    <m/>
    <s v="Exp - Shopping"/>
    <m/>
    <m/>
    <m/>
    <m/>
    <m/>
    <m/>
    <x v="3304"/>
    <m/>
    <m/>
  </r>
  <r>
    <x v="55"/>
    <d v="2023-05-28T00:00:00"/>
    <s v="Cash Rewards Visa Signature - Ending in 5917"/>
    <x v="3746"/>
    <n v="14.21"/>
    <x v="39"/>
    <m/>
    <s v="Exp - Restaurants"/>
    <m/>
    <m/>
    <m/>
    <m/>
    <m/>
    <m/>
    <x v="3305"/>
    <m/>
    <m/>
  </r>
  <r>
    <x v="55"/>
    <d v="2023-05-29T00:00:00"/>
    <s v="Powerplus - Ending in 8s36"/>
    <x v="3684"/>
    <n v="-3180.72"/>
    <x v="15"/>
    <m/>
    <s v="Inc - Jeff"/>
    <m/>
    <m/>
    <m/>
    <m/>
    <m/>
    <m/>
    <x v="3245"/>
    <m/>
    <m/>
  </r>
  <r>
    <x v="55"/>
    <d v="2023-05-30T00:00:00"/>
    <s v="Powerplus - Ending in 8s35"/>
    <x v="1849"/>
    <n v="0.99"/>
    <x v="32"/>
    <m/>
    <s v="Exp - Shopping"/>
    <m/>
    <m/>
    <m/>
    <m/>
    <m/>
    <m/>
    <x v="1704"/>
    <m/>
    <m/>
  </r>
  <r>
    <x v="55"/>
    <d v="2023-05-30T00:00:00"/>
    <s v="Powerplus - Ending in 8s34"/>
    <x v="1827"/>
    <n v="32"/>
    <x v="32"/>
    <m/>
    <s v="Exp - Shopping"/>
    <m/>
    <m/>
    <m/>
    <m/>
    <m/>
    <m/>
    <x v="1682"/>
    <m/>
    <m/>
  </r>
  <r>
    <x v="55"/>
    <d v="2023-05-30T00:00:00"/>
    <s v="Powerplus - Ending in 8s32"/>
    <x v="2020"/>
    <n v="1304.5"/>
    <x v="3"/>
    <m/>
    <s v="Delete"/>
    <m/>
    <m/>
    <m/>
    <m/>
    <m/>
    <m/>
    <x v="1870"/>
    <m/>
    <m/>
  </r>
  <r>
    <x v="55"/>
    <d v="2023-05-30T00:00:00"/>
    <s v="Powerplus - Ending in 8s33"/>
    <x v="1888"/>
    <n v="42.94"/>
    <x v="3"/>
    <m/>
    <s v="Delete"/>
    <m/>
    <m/>
    <m/>
    <m/>
    <m/>
    <m/>
    <x v="1741"/>
    <m/>
    <m/>
  </r>
  <r>
    <x v="55"/>
    <d v="2023-05-31T00:00:00"/>
    <s v="Powerplus - Ending in 8s30"/>
    <x v="3747"/>
    <n v="-50.19"/>
    <x v="13"/>
    <m/>
    <s v="Inc - Other"/>
    <m/>
    <m/>
    <m/>
    <m/>
    <m/>
    <m/>
    <x v="3306"/>
    <m/>
    <m/>
  </r>
  <r>
    <x v="55"/>
    <d v="2023-05-31T00:00:00"/>
    <s v="Powerplus - Ending in 8s31"/>
    <x v="3748"/>
    <n v="330"/>
    <x v="40"/>
    <m/>
    <s v="Exp - Day Care"/>
    <m/>
    <m/>
    <m/>
    <m/>
    <m/>
    <m/>
    <x v="3216"/>
    <m/>
    <m/>
  </r>
  <r>
    <x v="46"/>
    <d v="2023-06-01T00:00:00"/>
    <s v="PowerPlus"/>
    <x v="3749"/>
    <n v="5.36"/>
    <x v="41"/>
    <m/>
    <s v="Exp - Amazon"/>
    <m/>
    <m/>
    <m/>
    <m/>
    <m/>
    <m/>
    <x v="3307"/>
    <m/>
    <m/>
  </r>
  <r>
    <x v="46"/>
    <d v="2023-06-01T00:00:00"/>
    <s v="PowerPlus"/>
    <x v="3750"/>
    <n v="29.62"/>
    <x v="51"/>
    <m/>
    <s v="Exp - Gifts"/>
    <m/>
    <m/>
    <m/>
    <m/>
    <m/>
    <m/>
    <x v="3308"/>
    <m/>
    <m/>
  </r>
  <r>
    <x v="46"/>
    <d v="2023-06-01T00:00:00"/>
    <s v="PowerPlus"/>
    <x v="3751"/>
    <n v="60"/>
    <x v="32"/>
    <m/>
    <s v="Exp - Shopping"/>
    <m/>
    <m/>
    <m/>
    <m/>
    <m/>
    <m/>
    <x v="3309"/>
    <m/>
    <m/>
  </r>
  <r>
    <x v="46"/>
    <d v="2023-06-01T00:00:00"/>
    <s v="PowerPlus"/>
    <x v="3752"/>
    <n v="60"/>
    <x v="32"/>
    <m/>
    <s v="Exp - Shopping"/>
    <m/>
    <m/>
    <m/>
    <m/>
    <m/>
    <m/>
    <x v="3310"/>
    <m/>
    <m/>
  </r>
  <r>
    <x v="46"/>
    <d v="2023-06-01T00:00:00"/>
    <s v="PowerPlus"/>
    <x v="1827"/>
    <n v="63.36"/>
    <x v="32"/>
    <m/>
    <s v="Exp - Shopping"/>
    <m/>
    <m/>
    <m/>
    <m/>
    <m/>
    <m/>
    <x v="1682"/>
    <m/>
    <m/>
  </r>
  <r>
    <x v="46"/>
    <d v="2023-06-01T00:00:00"/>
    <s v="PowerPlus"/>
    <x v="3753"/>
    <n v="6.12"/>
    <x v="39"/>
    <m/>
    <s v="Exp - Restaurants"/>
    <m/>
    <m/>
    <m/>
    <m/>
    <m/>
    <m/>
    <x v="3311"/>
    <m/>
    <m/>
  </r>
  <r>
    <x v="46"/>
    <d v="2023-06-01T00:00:00"/>
    <s v="PowerPlus"/>
    <x v="3754"/>
    <n v="500"/>
    <x v="47"/>
    <m/>
    <s v="Sav - College Savings"/>
    <m/>
    <m/>
    <m/>
    <m/>
    <m/>
    <m/>
    <x v="3207"/>
    <m/>
    <m/>
  </r>
  <r>
    <x v="46"/>
    <d v="2023-06-01T00:00:00"/>
    <s v="PowerPlus"/>
    <x v="3755"/>
    <n v="618.65"/>
    <x v="48"/>
    <m/>
    <s v="Exp - Car Loan"/>
    <m/>
    <m/>
    <m/>
    <m/>
    <m/>
    <m/>
    <x v="3312"/>
    <m/>
    <m/>
  </r>
  <r>
    <x v="46"/>
    <d v="2023-06-01T00:00:00"/>
    <s v="PowerPlus"/>
    <x v="1844"/>
    <n v="2606.27"/>
    <x v="53"/>
    <m/>
    <s v="Exp - Rent"/>
    <m/>
    <m/>
    <m/>
    <m/>
    <m/>
    <m/>
    <x v="1699"/>
    <m/>
    <m/>
  </r>
  <r>
    <x v="46"/>
    <d v="2023-06-02T00:00:00"/>
    <s v="PowerPlus"/>
    <x v="3756"/>
    <n v="-1142.3900000000001"/>
    <x v="15"/>
    <m/>
    <s v="Inc - Jeff"/>
    <m/>
    <m/>
    <m/>
    <m/>
    <m/>
    <m/>
    <x v="3260"/>
    <m/>
    <m/>
  </r>
  <r>
    <x v="46"/>
    <d v="2023-06-02T00:00:00"/>
    <s v="Delta Skymiles Platinum - Ending in 1007"/>
    <x v="3757"/>
    <n v="131.63999999999999"/>
    <x v="5"/>
    <s v="Groceries"/>
    <m/>
    <m/>
    <m/>
    <m/>
    <m/>
    <m/>
    <m/>
    <x v="3313"/>
    <m/>
    <m/>
  </r>
  <r>
    <x v="46"/>
    <d v="2023-06-02T00:00:00"/>
    <s v="PowerPlus"/>
    <x v="3758"/>
    <n v="212.4"/>
    <x v="32"/>
    <m/>
    <s v="Exp - Shopping"/>
    <m/>
    <m/>
    <m/>
    <m/>
    <m/>
    <m/>
    <x v="3314"/>
    <m/>
    <m/>
  </r>
  <r>
    <x v="46"/>
    <d v="2023-06-03T00:00:00"/>
    <s v="Delta Skymiles Platinum - Ending in 1007"/>
    <x v="3759"/>
    <n v="372.42"/>
    <x v="1"/>
    <s v="Restaurants"/>
    <m/>
    <m/>
    <m/>
    <m/>
    <m/>
    <m/>
    <m/>
    <x v="3315"/>
    <m/>
    <m/>
  </r>
  <r>
    <x v="46"/>
    <d v="2023-06-03T00:00:00"/>
    <s v="Discover More Card - Ending in 7779"/>
    <x v="3760"/>
    <n v="11.83"/>
    <x v="37"/>
    <s v="Delete - Other Expenses"/>
    <s v="Exp - Transportation"/>
    <m/>
    <m/>
    <m/>
    <m/>
    <m/>
    <m/>
    <x v="3316"/>
    <m/>
    <m/>
  </r>
  <r>
    <x v="46"/>
    <d v="2023-06-04T00:00:00"/>
    <s v="Delta Skymiles Platinum - Ending in 1007"/>
    <x v="1336"/>
    <n v="7.93"/>
    <x v="3"/>
    <s v="Delete - Online Services"/>
    <s v="Delete"/>
    <m/>
    <m/>
    <m/>
    <m/>
    <m/>
    <m/>
    <x v="1263"/>
    <m/>
    <m/>
  </r>
  <r>
    <x v="46"/>
    <d v="2023-06-04T00:00:00"/>
    <s v="Delta Skymiles Platinum - Ending in 1007"/>
    <x v="1336"/>
    <n v="15.85"/>
    <x v="3"/>
    <s v="Delete - Online Services"/>
    <s v="Delete"/>
    <m/>
    <m/>
    <m/>
    <m/>
    <m/>
    <m/>
    <x v="1263"/>
    <m/>
    <m/>
  </r>
  <r>
    <x v="46"/>
    <d v="2023-06-04T00:00:00"/>
    <s v="PowerPlus"/>
    <x v="3761"/>
    <n v="35"/>
    <x v="32"/>
    <m/>
    <s v="Exp - Shopping"/>
    <m/>
    <m/>
    <m/>
    <m/>
    <m/>
    <m/>
    <x v="3317"/>
    <m/>
    <m/>
  </r>
  <r>
    <x v="46"/>
    <d v="2023-06-04T00:00:00"/>
    <s v="PowerPlus"/>
    <x v="3762"/>
    <n v="62.73"/>
    <x v="37"/>
    <m/>
    <s v="Exp - Transportation"/>
    <m/>
    <m/>
    <m/>
    <m/>
    <m/>
    <m/>
    <x v="3318"/>
    <m/>
    <m/>
  </r>
  <r>
    <x v="46"/>
    <d v="2023-06-04T00:00:00"/>
    <s v="PowerPlus"/>
    <x v="3763"/>
    <n v="25"/>
    <x v="37"/>
    <m/>
    <s v="Exp - Transportation"/>
    <m/>
    <m/>
    <m/>
    <m/>
    <m/>
    <m/>
    <x v="3319"/>
    <m/>
    <m/>
  </r>
  <r>
    <x v="46"/>
    <d v="2023-06-04T00:00:00"/>
    <s v="PowerPlus"/>
    <x v="3764"/>
    <n v="161.05000000000001"/>
    <x v="32"/>
    <m/>
    <s v="Exp - Shopping"/>
    <m/>
    <m/>
    <m/>
    <m/>
    <m/>
    <m/>
    <x v="3320"/>
    <m/>
    <m/>
  </r>
  <r>
    <x v="46"/>
    <d v="2023-06-04T00:00:00"/>
    <s v="PowerPlus"/>
    <x v="3765"/>
    <n v="11.17"/>
    <x v="35"/>
    <m/>
    <s v="Exp - Entertainment"/>
    <m/>
    <m/>
    <m/>
    <m/>
    <m/>
    <m/>
    <x v="3321"/>
    <m/>
    <m/>
  </r>
  <r>
    <x v="46"/>
    <d v="2023-06-04T00:00:00"/>
    <s v="PowerPlus"/>
    <x v="3766"/>
    <n v="3.85"/>
    <x v="37"/>
    <m/>
    <s v="Exp - Transportation"/>
    <m/>
    <m/>
    <m/>
    <m/>
    <m/>
    <m/>
    <x v="3322"/>
    <m/>
    <m/>
  </r>
  <r>
    <x v="46"/>
    <d v="2023-06-04T00:00:00"/>
    <s v="Delta Skymiles Platinum - Ending in 1007"/>
    <x v="3614"/>
    <n v="16"/>
    <x v="24"/>
    <s v="Travel"/>
    <m/>
    <m/>
    <m/>
    <m/>
    <m/>
    <m/>
    <m/>
    <x v="3178"/>
    <m/>
    <m/>
  </r>
  <r>
    <x v="46"/>
    <d v="2023-06-04T00:00:00"/>
    <s v="Delta Skymiles Platinum - Ending in 1007"/>
    <x v="2"/>
    <n v="15.45"/>
    <x v="2"/>
    <s v="Transportation"/>
    <m/>
    <m/>
    <m/>
    <m/>
    <m/>
    <m/>
    <m/>
    <x v="2"/>
    <m/>
    <m/>
  </r>
  <r>
    <x v="46"/>
    <d v="2023-06-04T00:00:00"/>
    <s v="PowerPlus"/>
    <x v="3767"/>
    <n v="-60"/>
    <x v="32"/>
    <m/>
    <s v="Exp - Shopping"/>
    <m/>
    <m/>
    <m/>
    <m/>
    <m/>
    <m/>
    <x v="3323"/>
    <m/>
    <m/>
  </r>
  <r>
    <x v="46"/>
    <d v="2023-06-05T00:00:00"/>
    <s v="Discover More Card - Ending in 7779"/>
    <x v="0"/>
    <n v="6.42"/>
    <x v="41"/>
    <s v="Dry Cleaning"/>
    <s v="Exp - Amazon"/>
    <m/>
    <m/>
    <m/>
    <m/>
    <m/>
    <m/>
    <x v="0"/>
    <m/>
    <m/>
  </r>
  <r>
    <x v="46"/>
    <d v="2023-06-05T00:00:00"/>
    <s v="Delta Skymiles Platinum - Ending in 1007"/>
    <x v="6"/>
    <n v="36.619999999999997"/>
    <x v="5"/>
    <s v="Groceries"/>
    <m/>
    <m/>
    <m/>
    <m/>
    <m/>
    <m/>
    <m/>
    <x v="6"/>
    <m/>
    <m/>
  </r>
  <r>
    <x v="46"/>
    <d v="2023-06-05T00:00:00"/>
    <s v="Delta Skymiles Platinum - Ending in 1007"/>
    <x v="1583"/>
    <n v="12.64"/>
    <x v="1"/>
    <s v="Restaurants"/>
    <m/>
    <m/>
    <m/>
    <m/>
    <m/>
    <m/>
    <m/>
    <x v="1481"/>
    <m/>
    <m/>
  </r>
  <r>
    <x v="46"/>
    <d v="2023-06-06T00:00:00"/>
    <s v="PowerPlus"/>
    <x v="3768"/>
    <n v="63.01"/>
    <x v="32"/>
    <m/>
    <s v="Exp - Shopping"/>
    <m/>
    <m/>
    <m/>
    <m/>
    <m/>
    <m/>
    <x v="3324"/>
    <m/>
    <m/>
  </r>
  <r>
    <x v="46"/>
    <d v="2023-06-06T00:00:00"/>
    <s v="PowerPlus"/>
    <x v="3769"/>
    <n v="16"/>
    <x v="35"/>
    <m/>
    <s v="Exp - Entertainment"/>
    <m/>
    <m/>
    <m/>
    <m/>
    <m/>
    <m/>
    <x v="3325"/>
    <m/>
    <m/>
  </r>
  <r>
    <x v="46"/>
    <d v="2023-06-06T00:00:00"/>
    <s v="PowerPlus"/>
    <x v="3770"/>
    <n v="100"/>
    <x v="47"/>
    <m/>
    <s v="Sav - College Savings"/>
    <m/>
    <m/>
    <m/>
    <m/>
    <m/>
    <m/>
    <x v="3326"/>
    <m/>
    <m/>
  </r>
  <r>
    <x v="46"/>
    <d v="2023-06-06T00:00:00"/>
    <s v="PowerPlus"/>
    <x v="3771"/>
    <n v="330"/>
    <x v="40"/>
    <m/>
    <s v="Exp - Day Care"/>
    <m/>
    <m/>
    <m/>
    <m/>
    <m/>
    <m/>
    <x v="3216"/>
    <m/>
    <m/>
  </r>
  <r>
    <x v="46"/>
    <d v="2023-06-07T00:00:00"/>
    <s v="PowerPlus"/>
    <x v="3772"/>
    <n v="208.62"/>
    <x v="38"/>
    <m/>
    <s v="Exp - Groceries"/>
    <m/>
    <m/>
    <m/>
    <m/>
    <m/>
    <m/>
    <x v="3327"/>
    <m/>
    <m/>
  </r>
  <r>
    <x v="46"/>
    <d v="2023-06-07T00:00:00"/>
    <s v="PowerPlus"/>
    <x v="3773"/>
    <n v="193.22"/>
    <x v="32"/>
    <m/>
    <s v="Exp - Shopping"/>
    <m/>
    <m/>
    <m/>
    <m/>
    <m/>
    <m/>
    <x v="3328"/>
    <m/>
    <m/>
  </r>
  <r>
    <x v="46"/>
    <d v="2023-06-07T00:00:00"/>
    <s v="PowerPlus"/>
    <x v="3774"/>
    <n v="550.11"/>
    <x v="43"/>
    <m/>
    <s v="Exp - Travel"/>
    <m/>
    <m/>
    <m/>
    <m/>
    <m/>
    <m/>
    <x v="3329"/>
    <m/>
    <m/>
  </r>
  <r>
    <x v="46"/>
    <d v="2023-06-07T00:00:00"/>
    <s v="PowerPlus"/>
    <x v="1869"/>
    <n v="137.22999999999999"/>
    <x v="42"/>
    <m/>
    <s v="Exp - Utilities"/>
    <m/>
    <m/>
    <m/>
    <m/>
    <m/>
    <m/>
    <x v="1723"/>
    <m/>
    <m/>
  </r>
  <r>
    <x v="46"/>
    <d v="2023-06-08T00:00:00"/>
    <s v="Discover More Card - Ending in 7779"/>
    <x v="0"/>
    <n v="11.8"/>
    <x v="41"/>
    <s v="Dry Cleaning"/>
    <s v="Exp - Amazon"/>
    <m/>
    <m/>
    <m/>
    <m/>
    <m/>
    <m/>
    <x v="0"/>
    <m/>
    <m/>
  </r>
  <r>
    <x v="46"/>
    <d v="2023-06-08T00:00:00"/>
    <s v="Discover More Card - Ending in 7779"/>
    <x v="0"/>
    <n v="35.76"/>
    <x v="41"/>
    <s v="Dry Cleaning"/>
    <s v="Exp - Amazon"/>
    <m/>
    <m/>
    <m/>
    <m/>
    <m/>
    <m/>
    <x v="0"/>
    <m/>
    <m/>
  </r>
  <r>
    <x v="46"/>
    <d v="2023-06-08T00:00:00"/>
    <s v="Discover More Card - Ending in 7779"/>
    <x v="0"/>
    <n v="42.94"/>
    <x v="41"/>
    <s v="Dry Cleaning"/>
    <s v="Exp - Amazon"/>
    <m/>
    <m/>
    <m/>
    <m/>
    <m/>
    <m/>
    <x v="0"/>
    <m/>
    <m/>
  </r>
  <r>
    <x v="46"/>
    <d v="2023-06-08T00:00:00"/>
    <s v="PowerPlus"/>
    <x v="1893"/>
    <n v="-2434.2199999999998"/>
    <x v="14"/>
    <m/>
    <s v="Inc - Britney"/>
    <m/>
    <m/>
    <m/>
    <m/>
    <m/>
    <m/>
    <x v="1746"/>
    <m/>
    <m/>
  </r>
  <r>
    <x v="46"/>
    <d v="2023-06-08T00:00:00"/>
    <s v="PowerPlus"/>
    <x v="1827"/>
    <n v="59.67"/>
    <x v="32"/>
    <m/>
    <s v="Exp - Shopping"/>
    <m/>
    <m/>
    <m/>
    <m/>
    <m/>
    <m/>
    <x v="1682"/>
    <m/>
    <m/>
  </r>
  <r>
    <x v="46"/>
    <d v="2023-06-08T00:00:00"/>
    <s v="PowerPlus"/>
    <x v="1827"/>
    <n v="20"/>
    <x v="32"/>
    <m/>
    <s v="Exp - Shopping"/>
    <m/>
    <m/>
    <m/>
    <m/>
    <m/>
    <m/>
    <x v="1682"/>
    <m/>
    <m/>
  </r>
  <r>
    <x v="46"/>
    <d v="2023-06-09T00:00:00"/>
    <s v="Delta Skymiles Platinum - Ending in 1007"/>
    <x v="3775"/>
    <n v="33.71"/>
    <x v="1"/>
    <s v="Restaurants"/>
    <m/>
    <m/>
    <m/>
    <m/>
    <m/>
    <m/>
    <m/>
    <x v="3330"/>
    <m/>
    <m/>
  </r>
  <r>
    <x v="46"/>
    <d v="2023-06-09T00:00:00"/>
    <s v="Delta Skymiles Platinum - Ending in 1007"/>
    <x v="3775"/>
    <n v="84.62"/>
    <x v="1"/>
    <s v="Restaurants"/>
    <m/>
    <m/>
    <m/>
    <m/>
    <m/>
    <m/>
    <m/>
    <x v="3330"/>
    <m/>
    <m/>
  </r>
  <r>
    <x v="46"/>
    <d v="2023-06-09T00:00:00"/>
    <s v="PowerPlus"/>
    <x v="3776"/>
    <n v="-130"/>
    <x v="32"/>
    <m/>
    <s v="Exp - Shopping"/>
    <m/>
    <m/>
    <m/>
    <m/>
    <m/>
    <m/>
    <x v="3331"/>
    <m/>
    <m/>
  </r>
  <r>
    <x v="46"/>
    <d v="2023-06-09T00:00:00"/>
    <s v="PowerPlus"/>
    <x v="3777"/>
    <n v="47.25"/>
    <x v="49"/>
    <m/>
    <s v="Exp - Gym"/>
    <m/>
    <m/>
    <m/>
    <m/>
    <m/>
    <m/>
    <x v="3332"/>
    <m/>
    <m/>
  </r>
  <r>
    <x v="46"/>
    <d v="2023-06-09T00:00:00"/>
    <s v="PowerPlus"/>
    <x v="1827"/>
    <n v="125"/>
    <x v="32"/>
    <m/>
    <s v="Exp - Shopping"/>
    <m/>
    <m/>
    <m/>
    <m/>
    <m/>
    <m/>
    <x v="1682"/>
    <m/>
    <m/>
  </r>
  <r>
    <x v="46"/>
    <d v="2023-06-10T00:00:00"/>
    <s v="Delta Skymiles Platinum - Ending in 1007"/>
    <x v="3778"/>
    <n v="33.229999999999997"/>
    <x v="1"/>
    <s v="Restaurants"/>
    <m/>
    <m/>
    <m/>
    <m/>
    <m/>
    <m/>
    <m/>
    <x v="3333"/>
    <m/>
    <m/>
  </r>
  <r>
    <x v="46"/>
    <d v="2023-06-10T00:00:00"/>
    <s v="Delta Skymiles Platinum - Ending in 1007"/>
    <x v="2"/>
    <n v="54.02"/>
    <x v="2"/>
    <s v="Transportation"/>
    <m/>
    <m/>
    <m/>
    <m/>
    <m/>
    <m/>
    <m/>
    <x v="2"/>
    <m/>
    <m/>
  </r>
  <r>
    <x v="46"/>
    <d v="2023-06-11T00:00:00"/>
    <s v="Delta Skymiles Platinum - Ending in 1007"/>
    <x v="3779"/>
    <n v="101.58"/>
    <x v="1"/>
    <s v="Restaurants"/>
    <m/>
    <m/>
    <m/>
    <m/>
    <m/>
    <m/>
    <m/>
    <x v="3334"/>
    <m/>
    <m/>
  </r>
  <r>
    <x v="46"/>
    <d v="2023-06-11T00:00:00"/>
    <s v="PowerPlus"/>
    <x v="3780"/>
    <n v="128"/>
    <x v="32"/>
    <m/>
    <s v="Exp - Shopping"/>
    <m/>
    <m/>
    <m/>
    <m/>
    <m/>
    <m/>
    <x v="3335"/>
    <m/>
    <m/>
  </r>
  <r>
    <x v="46"/>
    <d v="2023-06-12T00:00:00"/>
    <s v="Discover More Card - Ending in 7779"/>
    <x v="0"/>
    <n v="26.42"/>
    <x v="41"/>
    <s v="Amazon"/>
    <s v="Exp - Amazon"/>
    <m/>
    <m/>
    <m/>
    <m/>
    <m/>
    <m/>
    <x v="0"/>
    <m/>
    <m/>
  </r>
  <r>
    <x v="46"/>
    <d v="2023-06-12T00:00:00"/>
    <s v="Delta Skymiles Platinum - Ending in 1007"/>
    <x v="3781"/>
    <n v="8.7899999999999991"/>
    <x v="3"/>
    <s v="Restaurants"/>
    <s v="Delete"/>
    <m/>
    <m/>
    <m/>
    <m/>
    <m/>
    <m/>
    <x v="3336"/>
    <m/>
    <m/>
  </r>
  <r>
    <x v="46"/>
    <d v="2023-06-12T00:00:00"/>
    <s v="PowerPlus"/>
    <x v="3782"/>
    <n v="188.12"/>
    <x v="38"/>
    <m/>
    <s v="Exp - Groceries"/>
    <m/>
    <m/>
    <m/>
    <m/>
    <m/>
    <m/>
    <x v="3337"/>
    <m/>
    <m/>
  </r>
  <r>
    <x v="46"/>
    <d v="2023-06-12T00:00:00"/>
    <s v="PowerPlus"/>
    <x v="3783"/>
    <n v="5.99"/>
    <x v="35"/>
    <m/>
    <s v="Exp - Entertainment"/>
    <m/>
    <m/>
    <m/>
    <m/>
    <m/>
    <m/>
    <x v="3338"/>
    <m/>
    <m/>
  </r>
  <r>
    <x v="46"/>
    <d v="2023-06-12T00:00:00"/>
    <s v="PowerPlus"/>
    <x v="3784"/>
    <n v="51.01"/>
    <x v="43"/>
    <m/>
    <s v="Exp - Travel"/>
    <m/>
    <m/>
    <m/>
    <m/>
    <m/>
    <m/>
    <x v="3339"/>
    <m/>
    <m/>
  </r>
  <r>
    <x v="46"/>
    <d v="2023-06-12T00:00:00"/>
    <s v="Delta Skymiles Platinum - Ending in 1007"/>
    <x v="100"/>
    <n v="30.42"/>
    <x v="38"/>
    <s v="Groceries"/>
    <s v="Exp - Groceries"/>
    <m/>
    <m/>
    <m/>
    <m/>
    <m/>
    <m/>
    <x v="100"/>
    <m/>
    <m/>
  </r>
  <r>
    <x v="46"/>
    <d v="2023-06-13T00:00:00"/>
    <s v="PowerPlus"/>
    <x v="3785"/>
    <n v="560.57000000000005"/>
    <x v="43"/>
    <m/>
    <s v="Exp - Travel"/>
    <m/>
    <m/>
    <m/>
    <m/>
    <m/>
    <m/>
    <x v="3340"/>
    <m/>
    <m/>
  </r>
  <r>
    <x v="46"/>
    <d v="2023-06-13T00:00:00"/>
    <s v="PowerPlus"/>
    <x v="3786"/>
    <n v="45"/>
    <x v="42"/>
    <m/>
    <s v="Exp - Utilities"/>
    <m/>
    <m/>
    <m/>
    <m/>
    <m/>
    <m/>
    <x v="3341"/>
    <m/>
    <m/>
  </r>
  <r>
    <x v="46"/>
    <d v="2023-06-13T00:00:00"/>
    <s v="PowerPlus"/>
    <x v="3787"/>
    <n v="-67.14"/>
    <x v="3"/>
    <m/>
    <s v="Delete"/>
    <m/>
    <m/>
    <m/>
    <m/>
    <m/>
    <m/>
    <x v="3342"/>
    <m/>
    <m/>
  </r>
  <r>
    <x v="46"/>
    <d v="2023-06-13T00:00:00"/>
    <s v="PowerPlus"/>
    <x v="3788"/>
    <n v="258.05"/>
    <x v="38"/>
    <m/>
    <s v="Exp - Groceries"/>
    <m/>
    <m/>
    <m/>
    <m/>
    <m/>
    <m/>
    <x v="3343"/>
    <m/>
    <m/>
  </r>
  <r>
    <x v="46"/>
    <d v="2023-06-13T00:00:00"/>
    <s v="PowerPlus"/>
    <x v="3789"/>
    <n v="80.930000000000007"/>
    <x v="38"/>
    <m/>
    <s v="Exp - Groceries"/>
    <m/>
    <m/>
    <m/>
    <m/>
    <m/>
    <m/>
    <x v="3344"/>
    <m/>
    <m/>
  </r>
  <r>
    <x v="46"/>
    <d v="2023-06-13T00:00:00"/>
    <s v="PowerPlus"/>
    <x v="3790"/>
    <n v="52.96"/>
    <x v="46"/>
    <m/>
    <s v="Exp - Healthcare"/>
    <m/>
    <m/>
    <m/>
    <m/>
    <m/>
    <m/>
    <x v="3345"/>
    <m/>
    <m/>
  </r>
  <r>
    <x v="46"/>
    <d v="2023-06-13T00:00:00"/>
    <s v="PowerPlus"/>
    <x v="1849"/>
    <n v="6.47"/>
    <x v="32"/>
    <m/>
    <s v="Exp - Shopping"/>
    <m/>
    <m/>
    <m/>
    <m/>
    <m/>
    <m/>
    <x v="1704"/>
    <m/>
    <m/>
  </r>
  <r>
    <x v="46"/>
    <d v="2023-06-13T00:00:00"/>
    <s v="PowerPlus"/>
    <x v="1827"/>
    <n v="147.38"/>
    <x v="32"/>
    <m/>
    <s v="Exp - Shopping"/>
    <m/>
    <m/>
    <m/>
    <m/>
    <m/>
    <m/>
    <x v="1682"/>
    <m/>
    <m/>
  </r>
  <r>
    <x v="46"/>
    <d v="2023-06-13T00:00:00"/>
    <s v="PowerPlus"/>
    <x v="3791"/>
    <n v="265"/>
    <x v="40"/>
    <m/>
    <s v="Exp - Day Care"/>
    <m/>
    <m/>
    <m/>
    <m/>
    <m/>
    <m/>
    <x v="3216"/>
    <m/>
    <m/>
  </r>
  <r>
    <x v="46"/>
    <d v="2023-06-13T00:00:00"/>
    <s v="PowerPlus"/>
    <x v="3657"/>
    <n v="2572.5100000000002"/>
    <x v="3"/>
    <m/>
    <s v="Delete"/>
    <m/>
    <m/>
    <m/>
    <m/>
    <m/>
    <m/>
    <x v="3219"/>
    <m/>
    <m/>
  </r>
  <r>
    <x v="46"/>
    <d v="2023-06-13T00:00:00"/>
    <s v="PowerPlus"/>
    <x v="3792"/>
    <n v="8"/>
    <x v="42"/>
    <m/>
    <s v="Exp - Utilities"/>
    <m/>
    <m/>
    <m/>
    <m/>
    <m/>
    <m/>
    <x v="3346"/>
    <m/>
    <m/>
  </r>
  <r>
    <x v="46"/>
    <d v="2023-06-13T00:00:00"/>
    <s v="PowerPlus"/>
    <x v="3793"/>
    <n v="-2572.5100000000002"/>
    <x v="3"/>
    <m/>
    <s v="Delete"/>
    <m/>
    <m/>
    <m/>
    <m/>
    <m/>
    <m/>
    <x v="3347"/>
    <m/>
    <m/>
  </r>
  <r>
    <x v="46"/>
    <d v="2023-06-14T00:00:00"/>
    <s v="PowerPlus"/>
    <x v="3794"/>
    <n v="260.26"/>
    <x v="41"/>
    <m/>
    <s v="Exp - Amazon"/>
    <m/>
    <m/>
    <m/>
    <m/>
    <m/>
    <m/>
    <x v="3348"/>
    <m/>
    <m/>
  </r>
  <r>
    <x v="46"/>
    <d v="2023-06-14T00:00:00"/>
    <s v="PowerPlus"/>
    <x v="3652"/>
    <n v="-114.72"/>
    <x v="14"/>
    <m/>
    <s v="Inc - Britney"/>
    <m/>
    <m/>
    <m/>
    <m/>
    <m/>
    <m/>
    <x v="3214"/>
    <m/>
    <m/>
  </r>
  <r>
    <x v="46"/>
    <d v="2023-06-14T00:00:00"/>
    <s v="PowerPlus"/>
    <x v="3684"/>
    <n v="-3180.72"/>
    <x v="15"/>
    <m/>
    <s v="Inc - Jeff"/>
    <m/>
    <m/>
    <m/>
    <m/>
    <m/>
    <m/>
    <x v="3245"/>
    <m/>
    <m/>
  </r>
  <r>
    <x v="46"/>
    <d v="2023-06-14T00:00:00"/>
    <s v="PowerPlus"/>
    <x v="3795"/>
    <n v="108.95"/>
    <x v="32"/>
    <m/>
    <s v="Exp - Shopping"/>
    <m/>
    <m/>
    <m/>
    <m/>
    <m/>
    <m/>
    <x v="3349"/>
    <m/>
    <m/>
  </r>
  <r>
    <x v="46"/>
    <d v="2023-06-14T00:00:00"/>
    <s v="PowerPlus"/>
    <x v="1827"/>
    <n v="20"/>
    <x v="32"/>
    <m/>
    <s v="Exp - Shopping"/>
    <m/>
    <m/>
    <m/>
    <m/>
    <m/>
    <m/>
    <x v="1682"/>
    <m/>
    <m/>
  </r>
  <r>
    <x v="46"/>
    <d v="2023-06-14T00:00:00"/>
    <s v="PowerPlus"/>
    <x v="1827"/>
    <n v="20"/>
    <x v="32"/>
    <m/>
    <s v="Exp - Shopping"/>
    <m/>
    <m/>
    <m/>
    <m/>
    <m/>
    <m/>
    <x v="1682"/>
    <m/>
    <m/>
  </r>
  <r>
    <x v="46"/>
    <d v="2023-06-14T00:00:00"/>
    <s v="PowerPlus"/>
    <x v="1827"/>
    <n v="20"/>
    <x v="32"/>
    <m/>
    <s v="Exp - Shopping"/>
    <m/>
    <m/>
    <m/>
    <m/>
    <m/>
    <m/>
    <x v="1682"/>
    <m/>
    <m/>
  </r>
  <r>
    <x v="46"/>
    <d v="2023-06-14T00:00:00"/>
    <s v="PowerPlus"/>
    <x v="3693"/>
    <n v="116.77"/>
    <x v="54"/>
    <m/>
    <s v="Exp - Insurance"/>
    <m/>
    <m/>
    <m/>
    <m/>
    <m/>
    <m/>
    <x v="3254"/>
    <m/>
    <m/>
  </r>
  <r>
    <x v="46"/>
    <d v="2023-06-15T00:00:00"/>
    <s v="PowerPlus"/>
    <x v="3796"/>
    <n v="62.16"/>
    <x v="38"/>
    <m/>
    <s v="Exp - Groceries"/>
    <m/>
    <m/>
    <m/>
    <m/>
    <m/>
    <m/>
    <x v="3350"/>
    <m/>
    <m/>
  </r>
  <r>
    <x v="46"/>
    <d v="2023-06-16T00:00:00"/>
    <s v="Discover More Card - Ending in 7779"/>
    <x v="3797"/>
    <n v="15"/>
    <x v="1"/>
    <s v="Restaurants"/>
    <m/>
    <m/>
    <m/>
    <m/>
    <m/>
    <m/>
    <m/>
    <x v="3351"/>
    <m/>
    <m/>
  </r>
  <r>
    <x v="46"/>
    <d v="2023-06-16T00:00:00"/>
    <s v="Delta Skymiles Platinum - Ending in 1007"/>
    <x v="577"/>
    <n v="19.350000000000001"/>
    <x v="1"/>
    <s v="Restaurants"/>
    <m/>
    <m/>
    <m/>
    <m/>
    <m/>
    <m/>
    <m/>
    <x v="558"/>
    <m/>
    <m/>
  </r>
  <r>
    <x v="46"/>
    <d v="2023-06-16T00:00:00"/>
    <s v="PowerPlus"/>
    <x v="3798"/>
    <n v="-126"/>
    <x v="32"/>
    <m/>
    <s v="Exp - Shopping"/>
    <m/>
    <m/>
    <m/>
    <m/>
    <m/>
    <m/>
    <x v="3352"/>
    <m/>
    <m/>
  </r>
  <r>
    <x v="46"/>
    <d v="2023-06-18T00:00:00"/>
    <s v="Delta Skymiles Platinum - Ending in 1007"/>
    <x v="3799"/>
    <n v="34.92"/>
    <x v="3"/>
    <s v="Delete - Online Services"/>
    <s v="Delete"/>
    <m/>
    <m/>
    <m/>
    <m/>
    <m/>
    <m/>
    <x v="3353"/>
    <m/>
    <m/>
  </r>
  <r>
    <x v="46"/>
    <d v="2023-06-18T00:00:00"/>
    <s v="PowerPlus"/>
    <x v="3800"/>
    <n v="4.62"/>
    <x v="43"/>
    <m/>
    <s v="Exp - Travel"/>
    <m/>
    <m/>
    <m/>
    <m/>
    <m/>
    <m/>
    <x v="3354"/>
    <m/>
    <m/>
  </r>
  <r>
    <x v="46"/>
    <d v="2023-06-18T00:00:00"/>
    <s v="Delta Skymiles Platinum - Ending in 1007"/>
    <x v="59"/>
    <n v="21.63"/>
    <x v="1"/>
    <s v="Restaurants"/>
    <m/>
    <m/>
    <m/>
    <m/>
    <m/>
    <m/>
    <m/>
    <x v="59"/>
    <m/>
    <m/>
  </r>
  <r>
    <x v="46"/>
    <d v="2023-06-18T00:00:00"/>
    <s v="Delta Skymiles Platinum - Ending in 1007"/>
    <x v="59"/>
    <n v="4.87"/>
    <x v="1"/>
    <s v="Restaurants"/>
    <m/>
    <m/>
    <m/>
    <m/>
    <m/>
    <m/>
    <m/>
    <x v="59"/>
    <m/>
    <m/>
  </r>
  <r>
    <x v="46"/>
    <d v="2023-06-18T00:00:00"/>
    <s v="PowerPlus"/>
    <x v="3801"/>
    <n v="18.59"/>
    <x v="32"/>
    <m/>
    <s v="Exp - Shopping"/>
    <m/>
    <m/>
    <m/>
    <m/>
    <m/>
    <m/>
    <x v="3355"/>
    <m/>
    <m/>
  </r>
  <r>
    <x v="46"/>
    <d v="2023-06-18T00:00:00"/>
    <s v="Delta Skymiles Platinum - Ending in 1007"/>
    <x v="3802"/>
    <n v="914.98"/>
    <x v="24"/>
    <s v="Travel"/>
    <m/>
    <m/>
    <m/>
    <m/>
    <m/>
    <m/>
    <m/>
    <x v="3356"/>
    <m/>
    <m/>
  </r>
  <r>
    <x v="46"/>
    <d v="2023-06-18T00:00:00"/>
    <s v="PowerPlus"/>
    <x v="3803"/>
    <n v="63.5"/>
    <x v="32"/>
    <m/>
    <s v="Exp - Shopping"/>
    <m/>
    <m/>
    <m/>
    <m/>
    <m/>
    <m/>
    <x v="3357"/>
    <m/>
    <m/>
  </r>
  <r>
    <x v="46"/>
    <d v="2023-06-18T00:00:00"/>
    <s v="Delta Skymiles Platinum - Ending in 1007"/>
    <x v="3804"/>
    <n v="5.88"/>
    <x v="10"/>
    <s v="Entertainment"/>
    <m/>
    <m/>
    <m/>
    <m/>
    <m/>
    <m/>
    <m/>
    <x v="3358"/>
    <m/>
    <m/>
  </r>
  <r>
    <x v="46"/>
    <d v="2023-06-18T00:00:00"/>
    <s v="PowerPlus"/>
    <x v="3805"/>
    <n v="38.869999999999997"/>
    <x v="37"/>
    <m/>
    <s v="Exp - Transportation"/>
    <m/>
    <m/>
    <m/>
    <m/>
    <m/>
    <m/>
    <x v="3359"/>
    <m/>
    <m/>
  </r>
  <r>
    <x v="46"/>
    <d v="2023-06-18T00:00:00"/>
    <s v="PowerPlus"/>
    <x v="3806"/>
    <n v="4.1900000000000004"/>
    <x v="37"/>
    <m/>
    <s v="Exp - Transportation"/>
    <m/>
    <m/>
    <m/>
    <m/>
    <m/>
    <m/>
    <x v="3360"/>
    <m/>
    <m/>
  </r>
  <r>
    <x v="46"/>
    <d v="2023-06-18T00:00:00"/>
    <s v="Delta Skymiles Platinum - Ending in 1007"/>
    <x v="3807"/>
    <n v="42.42"/>
    <x v="1"/>
    <s v="Restaurants"/>
    <m/>
    <m/>
    <m/>
    <m/>
    <m/>
    <m/>
    <m/>
    <x v="3361"/>
    <m/>
    <m/>
  </r>
  <r>
    <x v="46"/>
    <d v="2023-06-18T00:00:00"/>
    <s v="Delta Skymiles Platinum - Ending in 1007"/>
    <x v="3808"/>
    <n v="56.52"/>
    <x v="1"/>
    <s v="Restaurants"/>
    <m/>
    <m/>
    <m/>
    <m/>
    <m/>
    <m/>
    <m/>
    <x v="3362"/>
    <m/>
    <m/>
  </r>
  <r>
    <x v="46"/>
    <d v="2023-06-18T00:00:00"/>
    <s v="PowerPlus"/>
    <x v="3809"/>
    <n v="44.45"/>
    <x v="35"/>
    <m/>
    <s v="Exp - Entertainment"/>
    <m/>
    <m/>
    <m/>
    <m/>
    <m/>
    <m/>
    <x v="3363"/>
    <m/>
    <m/>
  </r>
  <r>
    <x v="46"/>
    <d v="2023-06-18T00:00:00"/>
    <s v="PowerPlus"/>
    <x v="3810"/>
    <n v="9.99"/>
    <x v="32"/>
    <m/>
    <s v="Exp - Shopping"/>
    <m/>
    <m/>
    <m/>
    <m/>
    <m/>
    <m/>
    <x v="3364"/>
    <m/>
    <m/>
  </r>
  <r>
    <x v="46"/>
    <d v="2023-06-18T00:00:00"/>
    <s v="PowerPlus"/>
    <x v="3811"/>
    <n v="32.97"/>
    <x v="32"/>
    <m/>
    <s v="Exp - Shopping"/>
    <m/>
    <m/>
    <m/>
    <m/>
    <m/>
    <m/>
    <x v="3365"/>
    <m/>
    <m/>
  </r>
  <r>
    <x v="46"/>
    <d v="2023-06-18T00:00:00"/>
    <s v="Delta Skymiles Platinum - Ending in 1007"/>
    <x v="3633"/>
    <n v="-1720.89"/>
    <x v="3"/>
    <s v="Delete"/>
    <m/>
    <m/>
    <m/>
    <m/>
    <m/>
    <m/>
    <m/>
    <x v="3195"/>
    <m/>
    <m/>
  </r>
  <r>
    <x v="46"/>
    <d v="2023-06-19T00:00:00"/>
    <s v="PowerPlus"/>
    <x v="3812"/>
    <n v="4.34"/>
    <x v="38"/>
    <m/>
    <s v="Exp - Groceries"/>
    <m/>
    <m/>
    <m/>
    <m/>
    <m/>
    <m/>
    <x v="3366"/>
    <m/>
    <m/>
  </r>
  <r>
    <x v="46"/>
    <d v="2023-06-19T00:00:00"/>
    <s v="Delta Skymiles Platinum - Ending in 1007"/>
    <x v="3813"/>
    <n v="31.34"/>
    <x v="5"/>
    <s v="Groceries"/>
    <m/>
    <m/>
    <m/>
    <m/>
    <m/>
    <m/>
    <m/>
    <x v="3367"/>
    <m/>
    <m/>
  </r>
  <r>
    <x v="46"/>
    <d v="2023-06-19T00:00:00"/>
    <s v="Delta Skymiles Platinum - Ending in 1007"/>
    <x v="1866"/>
    <n v="127.54"/>
    <x v="24"/>
    <s v="Travel"/>
    <m/>
    <m/>
    <m/>
    <m/>
    <m/>
    <m/>
    <m/>
    <x v="1720"/>
    <m/>
    <m/>
  </r>
  <r>
    <x v="46"/>
    <d v="2023-06-19T00:00:00"/>
    <s v="Delta Skymiles Platinum - Ending in 1007"/>
    <x v="3814"/>
    <n v="23.66"/>
    <x v="1"/>
    <s v="Restaurants"/>
    <m/>
    <m/>
    <m/>
    <m/>
    <m/>
    <m/>
    <m/>
    <x v="3368"/>
    <m/>
    <m/>
  </r>
  <r>
    <x v="46"/>
    <d v="2023-06-19T00:00:00"/>
    <s v="PowerPlus"/>
    <x v="3815"/>
    <n v="27.58"/>
    <x v="32"/>
    <m/>
    <s v="Exp - Shopping"/>
    <m/>
    <m/>
    <m/>
    <m/>
    <m/>
    <m/>
    <x v="3369"/>
    <m/>
    <m/>
  </r>
  <r>
    <x v="46"/>
    <d v="2023-06-20T00:00:00"/>
    <s v="PowerPlus"/>
    <x v="3816"/>
    <n v="21.46"/>
    <x v="41"/>
    <m/>
    <s v="Exp - Amazon"/>
    <m/>
    <m/>
    <m/>
    <m/>
    <m/>
    <m/>
    <x v="3370"/>
    <m/>
    <m/>
  </r>
  <r>
    <x v="46"/>
    <d v="2023-06-20T00:00:00"/>
    <s v="PowerPlus"/>
    <x v="3817"/>
    <n v="560.57000000000005"/>
    <x v="43"/>
    <m/>
    <s v="Exp - Travel"/>
    <m/>
    <m/>
    <m/>
    <m/>
    <m/>
    <m/>
    <x v="3371"/>
    <m/>
    <m/>
  </r>
  <r>
    <x v="46"/>
    <d v="2023-06-20T00:00:00"/>
    <s v="PowerPlus"/>
    <x v="3818"/>
    <n v="11.81"/>
    <x v="38"/>
    <m/>
    <s v="Exp - Groceries"/>
    <m/>
    <m/>
    <m/>
    <m/>
    <m/>
    <m/>
    <x v="3372"/>
    <m/>
    <m/>
  </r>
  <r>
    <x v="46"/>
    <d v="2023-06-20T00:00:00"/>
    <s v="Delta Skymiles Platinum - Ending in 1007"/>
    <x v="890"/>
    <n v="4.07"/>
    <x v="1"/>
    <s v="Restaurants"/>
    <m/>
    <m/>
    <m/>
    <m/>
    <m/>
    <m/>
    <m/>
    <x v="855"/>
    <m/>
    <m/>
  </r>
  <r>
    <x v="46"/>
    <d v="2023-06-20T00:00:00"/>
    <s v="Delta Skymiles Platinum - Ending in 1007"/>
    <x v="890"/>
    <n v="28.53"/>
    <x v="1"/>
    <s v="Restaurants"/>
    <m/>
    <m/>
    <m/>
    <m/>
    <m/>
    <m/>
    <m/>
    <x v="855"/>
    <m/>
    <m/>
  </r>
  <r>
    <x v="46"/>
    <d v="2023-06-20T00:00:00"/>
    <s v="Discover More Card - Ending in 7779"/>
    <x v="890"/>
    <n v="18.86"/>
    <x v="1"/>
    <s v="Restaurants"/>
    <m/>
    <m/>
    <m/>
    <m/>
    <m/>
    <m/>
    <m/>
    <x v="855"/>
    <m/>
    <m/>
  </r>
  <r>
    <x v="2"/>
    <d v="2019-09-23T00:00:00"/>
    <s v="Joint Tenant"/>
    <x v="3121"/>
    <n v="614.66999999999996"/>
    <x v="3"/>
    <m/>
    <m/>
    <m/>
    <n v="614.66999999999996"/>
    <b v="0"/>
    <m/>
    <m/>
    <s v="-"/>
    <x v="2777"/>
    <m/>
    <m/>
  </r>
  <r>
    <x v="46"/>
    <d v="2023-06-20T00:00:00"/>
    <s v="PowerPlus"/>
    <x v="3819"/>
    <n v="10.69"/>
    <x v="37"/>
    <m/>
    <s v="Exp - Transportation"/>
    <m/>
    <m/>
    <m/>
    <m/>
    <m/>
    <m/>
    <x v="3373"/>
    <m/>
    <m/>
  </r>
  <r>
    <x v="46"/>
    <d v="2023-06-20T00:00:00"/>
    <s v="Delta Skymiles Platinum - Ending in 1007"/>
    <x v="1881"/>
    <n v="35.33"/>
    <x v="5"/>
    <s v="Groceries"/>
    <m/>
    <m/>
    <m/>
    <m/>
    <m/>
    <m/>
    <m/>
    <x v="1734"/>
    <m/>
    <m/>
  </r>
  <r>
    <x v="46"/>
    <d v="2023-06-20T00:00:00"/>
    <s v="Delta Skymiles Platinum - Ending in 1007"/>
    <x v="3820"/>
    <n v="77.78"/>
    <x v="1"/>
    <s v="Restaurants"/>
    <m/>
    <m/>
    <m/>
    <m/>
    <m/>
    <m/>
    <m/>
    <x v="3374"/>
    <m/>
    <m/>
  </r>
  <r>
    <x v="46"/>
    <d v="2023-06-20T00:00:00"/>
    <s v="Discover More Card - Ending in 7779"/>
    <x v="1922"/>
    <n v="76.11"/>
    <x v="10"/>
    <s v="Entertainment"/>
    <m/>
    <m/>
    <m/>
    <m/>
    <m/>
    <m/>
    <m/>
    <x v="1775"/>
    <m/>
    <m/>
  </r>
  <r>
    <x v="46"/>
    <d v="2023-06-20T00:00:00"/>
    <s v="PowerPlus"/>
    <x v="3821"/>
    <n v="44"/>
    <x v="32"/>
    <m/>
    <s v="Exp - Shopping"/>
    <m/>
    <m/>
    <m/>
    <m/>
    <m/>
    <m/>
    <x v="3375"/>
    <m/>
    <m/>
  </r>
  <r>
    <x v="46"/>
    <d v="2023-06-20T00:00:00"/>
    <s v="PowerPlus"/>
    <x v="1849"/>
    <n v="2.99"/>
    <x v="32"/>
    <m/>
    <s v="Exp - Shopping"/>
    <m/>
    <m/>
    <m/>
    <m/>
    <m/>
    <m/>
    <x v="1704"/>
    <m/>
    <m/>
  </r>
  <r>
    <x v="46"/>
    <d v="2023-06-20T00:00:00"/>
    <s v="PowerPlus"/>
    <x v="3822"/>
    <n v="500"/>
    <x v="40"/>
    <m/>
    <s v="Exp - Day Care"/>
    <m/>
    <m/>
    <m/>
    <m/>
    <m/>
    <m/>
    <x v="3267"/>
    <m/>
    <m/>
  </r>
  <r>
    <x v="46"/>
    <d v="2023-06-20T00:00:00"/>
    <s v="PowerPlus"/>
    <x v="2020"/>
    <n v="1720.89"/>
    <x v="3"/>
    <m/>
    <s v="Delete"/>
    <m/>
    <m/>
    <m/>
    <m/>
    <m/>
    <m/>
    <x v="1870"/>
    <m/>
    <m/>
  </r>
  <r>
    <x v="46"/>
    <d v="2023-06-21T00:00:00"/>
    <s v="PowerPlus"/>
    <x v="3823"/>
    <n v="-21.46"/>
    <x v="41"/>
    <m/>
    <s v="Exp - Amazon"/>
    <m/>
    <m/>
    <m/>
    <m/>
    <m/>
    <m/>
    <x v="3376"/>
    <m/>
    <m/>
  </r>
  <r>
    <x v="46"/>
    <d v="2023-06-21T00:00:00"/>
    <s v="PowerPlus"/>
    <x v="3824"/>
    <n v="11"/>
    <x v="42"/>
    <m/>
    <s v="Exp - Utilities"/>
    <m/>
    <m/>
    <m/>
    <m/>
    <m/>
    <m/>
    <x v="3377"/>
    <m/>
    <m/>
  </r>
  <r>
    <x v="46"/>
    <d v="2023-06-21T00:00:00"/>
    <s v="PowerPlus"/>
    <x v="3825"/>
    <n v="8.2899999999999991"/>
    <x v="38"/>
    <m/>
    <s v="Exp - Groceries"/>
    <m/>
    <m/>
    <m/>
    <m/>
    <m/>
    <m/>
    <x v="3378"/>
    <m/>
    <m/>
  </r>
  <r>
    <x v="46"/>
    <d v="2023-06-21T00:00:00"/>
    <s v="PowerPlus"/>
    <x v="3826"/>
    <n v="44.73"/>
    <x v="38"/>
    <m/>
    <s v="Exp - Groceries"/>
    <m/>
    <m/>
    <m/>
    <m/>
    <m/>
    <m/>
    <x v="3379"/>
    <m/>
    <m/>
  </r>
  <r>
    <x v="46"/>
    <d v="2023-06-21T00:00:00"/>
    <s v="Delta Skymiles Platinum - Ending in 1007"/>
    <x v="577"/>
    <n v="34.33"/>
    <x v="1"/>
    <s v="Restaurants"/>
    <m/>
    <m/>
    <m/>
    <m/>
    <m/>
    <m/>
    <m/>
    <x v="558"/>
    <m/>
    <m/>
  </r>
  <r>
    <x v="46"/>
    <d v="2023-06-21T00:00:00"/>
    <s v="PowerPlus"/>
    <x v="3827"/>
    <n v="16.73"/>
    <x v="42"/>
    <m/>
    <s v="Exp - Utilities"/>
    <m/>
    <m/>
    <m/>
    <m/>
    <m/>
    <m/>
    <x v="3380"/>
    <m/>
    <m/>
  </r>
  <r>
    <x v="46"/>
    <d v="2023-06-21T00:00:00"/>
    <s v="PowerPlus"/>
    <x v="3828"/>
    <n v="25.98"/>
    <x v="39"/>
    <m/>
    <s v="Exp - Restaurants"/>
    <m/>
    <m/>
    <m/>
    <m/>
    <m/>
    <m/>
    <x v="3381"/>
    <m/>
    <m/>
  </r>
  <r>
    <x v="46"/>
    <d v="2023-06-21T00:00:00"/>
    <s v="PowerPlus"/>
    <x v="1827"/>
    <n v="154.63"/>
    <x v="32"/>
    <m/>
    <s v="Exp - Shopping"/>
    <m/>
    <m/>
    <m/>
    <m/>
    <m/>
    <m/>
    <x v="1682"/>
    <m/>
    <m/>
  </r>
  <r>
    <x v="46"/>
    <d v="2023-06-21T00:00:00"/>
    <s v="PowerPlus"/>
    <x v="3829"/>
    <n v="70.349999999999994"/>
    <x v="42"/>
    <m/>
    <s v="Exp - Utilities"/>
    <m/>
    <m/>
    <m/>
    <m/>
    <m/>
    <m/>
    <x v="3287"/>
    <m/>
    <m/>
  </r>
  <r>
    <x v="46"/>
    <d v="2023-06-21T00:00:00"/>
    <s v="PowerPlus"/>
    <x v="3830"/>
    <n v="200"/>
    <x v="40"/>
    <m/>
    <s v="Exp - Day Care"/>
    <m/>
    <m/>
    <m/>
    <m/>
    <m/>
    <m/>
    <x v="3216"/>
    <m/>
    <m/>
  </r>
  <r>
    <x v="46"/>
    <d v="2023-06-22T00:00:00"/>
    <s v="PowerPlus"/>
    <x v="1893"/>
    <n v="-2434.23"/>
    <x v="14"/>
    <m/>
    <s v="Inc - Britney"/>
    <m/>
    <m/>
    <m/>
    <m/>
    <m/>
    <m/>
    <x v="1746"/>
    <m/>
    <m/>
  </r>
  <r>
    <x v="46"/>
    <d v="2023-06-22T00:00:00"/>
    <s v="PowerPlus"/>
    <x v="3831"/>
    <n v="5.66"/>
    <x v="38"/>
    <m/>
    <s v="Exp - Groceries"/>
    <m/>
    <m/>
    <m/>
    <m/>
    <m/>
    <m/>
    <x v="3382"/>
    <m/>
    <m/>
  </r>
  <r>
    <x v="46"/>
    <d v="2023-06-22T00:00:00"/>
    <s v="Delta Skymiles Platinum - Ending in 1007"/>
    <x v="3832"/>
    <n v="37.01"/>
    <x v="1"/>
    <s v="Restaurants"/>
    <m/>
    <m/>
    <m/>
    <m/>
    <m/>
    <m/>
    <m/>
    <x v="3383"/>
    <m/>
    <m/>
  </r>
  <r>
    <x v="46"/>
    <d v="2023-06-22T00:00:00"/>
    <s v="Delta Skymiles Platinum - Ending in 1007"/>
    <x v="3511"/>
    <n v="94.59"/>
    <x v="5"/>
    <s v="Groceries"/>
    <m/>
    <m/>
    <m/>
    <m/>
    <m/>
    <m/>
    <m/>
    <x v="3099"/>
    <m/>
    <m/>
  </r>
  <r>
    <x v="46"/>
    <d v="2023-06-22T00:00:00"/>
    <s v="PowerPlus"/>
    <x v="3833"/>
    <n v="10.74"/>
    <x v="39"/>
    <m/>
    <s v="Exp - Restaurants"/>
    <m/>
    <m/>
    <m/>
    <m/>
    <m/>
    <m/>
    <x v="3384"/>
    <m/>
    <m/>
  </r>
  <r>
    <x v="46"/>
    <d v="2023-06-22T00:00:00"/>
    <s v="PowerPlus"/>
    <x v="3834"/>
    <n v="5.34"/>
    <x v="35"/>
    <m/>
    <s v="Exp - Entertainment"/>
    <m/>
    <m/>
    <m/>
    <m/>
    <m/>
    <m/>
    <x v="3385"/>
    <m/>
    <m/>
  </r>
  <r>
    <x v="46"/>
    <d v="2023-06-22T00:00:00"/>
    <s v="PowerPlus"/>
    <x v="3835"/>
    <n v="-106.2"/>
    <x v="32"/>
    <m/>
    <s v="Exp - Shopping"/>
    <m/>
    <m/>
    <m/>
    <m/>
    <m/>
    <m/>
    <x v="3386"/>
    <m/>
    <m/>
  </r>
  <r>
    <x v="46"/>
    <d v="2023-06-22T00:00:00"/>
    <s v="PowerPlus"/>
    <x v="3836"/>
    <n v="64.5"/>
    <x v="35"/>
    <m/>
    <s v="Exp - Entertainment"/>
    <m/>
    <m/>
    <m/>
    <m/>
    <m/>
    <m/>
    <x v="3387"/>
    <m/>
    <m/>
  </r>
  <r>
    <x v="46"/>
    <d v="2023-06-23T00:00:00"/>
    <s v="PowerPlus"/>
    <x v="3837"/>
    <n v="125.07"/>
    <x v="43"/>
    <m/>
    <s v="Exp - Travel"/>
    <m/>
    <m/>
    <m/>
    <m/>
    <m/>
    <m/>
    <x v="3388"/>
    <m/>
    <m/>
  </r>
  <r>
    <x v="46"/>
    <d v="2023-06-23T00:00:00"/>
    <s v="PowerPlus"/>
    <x v="3838"/>
    <n v="451.5"/>
    <x v="32"/>
    <m/>
    <s v="Exp - Shopping"/>
    <m/>
    <m/>
    <m/>
    <m/>
    <m/>
    <m/>
    <x v="3389"/>
    <m/>
    <m/>
  </r>
  <r>
    <x v="46"/>
    <d v="2023-06-23T00:00:00"/>
    <s v="PowerPlus"/>
    <x v="3839"/>
    <n v="130"/>
    <x v="32"/>
    <m/>
    <s v="Exp - Shopping"/>
    <m/>
    <m/>
    <m/>
    <m/>
    <m/>
    <m/>
    <x v="3390"/>
    <m/>
    <m/>
  </r>
  <r>
    <x v="46"/>
    <d v="2023-06-23T00:00:00"/>
    <s v="PowerPlus"/>
    <x v="3840"/>
    <n v="56.87"/>
    <x v="32"/>
    <m/>
    <s v="Exp - Shopping"/>
    <m/>
    <m/>
    <m/>
    <m/>
    <m/>
    <m/>
    <x v="3391"/>
    <m/>
    <m/>
  </r>
  <r>
    <x v="46"/>
    <d v="2023-06-24T00:00:00"/>
    <s v="Delta Skymiles Platinum - Ending in 1007"/>
    <x v="3841"/>
    <n v="15.81"/>
    <x v="1"/>
    <s v="Restaurants"/>
    <m/>
    <m/>
    <m/>
    <m/>
    <m/>
    <m/>
    <m/>
    <x v="3392"/>
    <m/>
    <m/>
  </r>
  <r>
    <x v="46"/>
    <d v="2023-06-24T00:00:00"/>
    <s v="Delta Skymiles Platinum - Ending in 1007"/>
    <x v="3842"/>
    <n v="106.94"/>
    <x v="39"/>
    <s v="Restaurants"/>
    <s v="Exp - Restaurants"/>
    <m/>
    <m/>
    <m/>
    <m/>
    <m/>
    <m/>
    <x v="3393"/>
    <m/>
    <m/>
  </r>
  <r>
    <x v="46"/>
    <d v="2023-06-25T00:00:00"/>
    <s v="PowerPlus"/>
    <x v="3843"/>
    <n v="268"/>
    <x v="32"/>
    <m/>
    <s v="Exp - Shopping"/>
    <m/>
    <m/>
    <m/>
    <m/>
    <m/>
    <m/>
    <x v="3394"/>
    <m/>
    <m/>
  </r>
  <r>
    <x v="46"/>
    <d v="2023-06-25T00:00:00"/>
    <s v="PowerPlus"/>
    <x v="3844"/>
    <n v="238"/>
    <x v="40"/>
    <m/>
    <s v="Exp - Day Care"/>
    <m/>
    <m/>
    <m/>
    <m/>
    <m/>
    <m/>
    <x v="3395"/>
    <m/>
    <m/>
  </r>
  <r>
    <x v="46"/>
    <d v="2023-06-25T00:00:00"/>
    <s v="PowerPlus"/>
    <x v="3845"/>
    <n v="26.3"/>
    <x v="43"/>
    <m/>
    <s v="Exp - Travel"/>
    <m/>
    <m/>
    <m/>
    <m/>
    <m/>
    <m/>
    <x v="3396"/>
    <m/>
    <m/>
  </r>
  <r>
    <x v="46"/>
    <d v="2023-06-25T00:00:00"/>
    <s v="Delta Skymiles Platinum - Ending in 1007"/>
    <x v="3846"/>
    <n v="110.74"/>
    <x v="5"/>
    <s v="Groceries"/>
    <m/>
    <m/>
    <m/>
    <m/>
    <m/>
    <m/>
    <m/>
    <x v="3397"/>
    <m/>
    <m/>
  </r>
  <r>
    <x v="46"/>
    <d v="2023-06-25T00:00:00"/>
    <s v="PowerPlus"/>
    <x v="3847"/>
    <n v="-193.22"/>
    <x v="32"/>
    <m/>
    <s v="Exp - Shopping"/>
    <m/>
    <m/>
    <m/>
    <m/>
    <m/>
    <m/>
    <x v="3398"/>
    <m/>
    <m/>
  </r>
  <r>
    <x v="46"/>
    <d v="2023-06-25T00:00:00"/>
    <s v="PowerPlus"/>
    <x v="3848"/>
    <n v="7"/>
    <x v="39"/>
    <m/>
    <s v="Exp - Restaurants"/>
    <m/>
    <m/>
    <m/>
    <m/>
    <m/>
    <m/>
    <x v="3399"/>
    <m/>
    <m/>
  </r>
  <r>
    <x v="46"/>
    <d v="2023-06-26T00:00:00"/>
    <s v="Discover More Card - Ending in 7779"/>
    <x v="0"/>
    <n v="6.97"/>
    <x v="41"/>
    <s v="Dry Cleaning"/>
    <s v="Exp - Amazon"/>
    <m/>
    <m/>
    <m/>
    <m/>
    <m/>
    <m/>
    <x v="0"/>
    <m/>
    <m/>
  </r>
  <r>
    <x v="46"/>
    <d v="2023-06-26T00:00:00"/>
    <s v="PowerPlus"/>
    <x v="3849"/>
    <n v="360.34"/>
    <x v="38"/>
    <m/>
    <s v="Exp - Groceries"/>
    <m/>
    <m/>
    <m/>
    <m/>
    <m/>
    <m/>
    <x v="3400"/>
    <m/>
    <m/>
  </r>
  <r>
    <x v="46"/>
    <d v="2023-06-26T00:00:00"/>
    <s v="Delta Skymiles Platinum - Ending in 1007"/>
    <x v="188"/>
    <n v="26.24"/>
    <x v="1"/>
    <s v="Restaurants"/>
    <m/>
    <m/>
    <m/>
    <m/>
    <m/>
    <m/>
    <m/>
    <x v="187"/>
    <m/>
    <m/>
  </r>
  <r>
    <x v="46"/>
    <d v="2023-06-26T00:00:00"/>
    <s v="PowerPlus"/>
    <x v="308"/>
    <n v="50"/>
    <x v="32"/>
    <m/>
    <s v="Exp - Shopping"/>
    <m/>
    <m/>
    <m/>
    <m/>
    <m/>
    <m/>
    <x v="300"/>
    <m/>
    <m/>
  </r>
  <r>
    <x v="46"/>
    <d v="2023-06-26T00:00:00"/>
    <s v="Delta Skymiles Platinum - Ending in 1007"/>
    <x v="1690"/>
    <n v="65.97"/>
    <x v="10"/>
    <s v="Entertainment"/>
    <m/>
    <m/>
    <m/>
    <m/>
    <m/>
    <m/>
    <m/>
    <x v="1570"/>
    <m/>
    <m/>
  </r>
  <r>
    <x v="46"/>
    <d v="2023-06-26T00:00:00"/>
    <s v="PowerPlus"/>
    <x v="3729"/>
    <n v="500"/>
    <x v="3"/>
    <m/>
    <s v="Delete"/>
    <m/>
    <m/>
    <m/>
    <m/>
    <m/>
    <m/>
    <x v="3289"/>
    <m/>
    <m/>
  </r>
  <r>
    <x v="46"/>
    <d v="2023-06-26T00:00:00"/>
    <s v="PowerPlus"/>
    <x v="3734"/>
    <n v="738.03"/>
    <x v="45"/>
    <m/>
    <s v="Exp - Target"/>
    <m/>
    <m/>
    <m/>
    <m/>
    <m/>
    <m/>
    <x v="3293"/>
    <m/>
    <m/>
  </r>
  <r>
    <x v="46"/>
    <d v="2023-06-27T00:00:00"/>
    <s v="PowerPlus"/>
    <x v="3850"/>
    <n v="51.8"/>
    <x v="41"/>
    <m/>
    <s v="Exp - Amazon"/>
    <m/>
    <m/>
    <m/>
    <m/>
    <m/>
    <m/>
    <x v="3401"/>
    <m/>
    <m/>
  </r>
  <r>
    <x v="46"/>
    <d v="2023-06-27T00:00:00"/>
    <s v="PowerPlus"/>
    <x v="3851"/>
    <n v="74.959999999999994"/>
    <x v="41"/>
    <m/>
    <s v="Exp - Amazon"/>
    <m/>
    <m/>
    <m/>
    <m/>
    <m/>
    <m/>
    <x v="3402"/>
    <m/>
    <m/>
  </r>
  <r>
    <x v="46"/>
    <d v="2023-06-27T00:00:00"/>
    <s v="PowerPlus"/>
    <x v="3852"/>
    <n v="21.99"/>
    <x v="41"/>
    <m/>
    <s v="Exp - Amazon"/>
    <m/>
    <m/>
    <m/>
    <m/>
    <m/>
    <m/>
    <x v="3403"/>
    <m/>
    <m/>
  </r>
  <r>
    <x v="46"/>
    <d v="2023-06-27T00:00:00"/>
    <s v="PowerPlus"/>
    <x v="3853"/>
    <n v="129.07"/>
    <x v="38"/>
    <m/>
    <s v="Exp - Groceries"/>
    <m/>
    <m/>
    <m/>
    <m/>
    <m/>
    <m/>
    <x v="3404"/>
    <m/>
    <m/>
  </r>
  <r>
    <x v="46"/>
    <d v="2023-06-27T00:00:00"/>
    <s v="PowerPlus"/>
    <x v="3787"/>
    <n v="-29.8"/>
    <x v="3"/>
    <m/>
    <s v="Delete"/>
    <m/>
    <m/>
    <m/>
    <m/>
    <m/>
    <m/>
    <x v="3342"/>
    <m/>
    <m/>
  </r>
  <r>
    <x v="46"/>
    <d v="2023-06-27T00:00:00"/>
    <s v="PowerPlus"/>
    <x v="3854"/>
    <n v="52"/>
    <x v="40"/>
    <m/>
    <s v="Exp - Day Care"/>
    <m/>
    <m/>
    <m/>
    <m/>
    <m/>
    <m/>
    <x v="3405"/>
    <m/>
    <m/>
  </r>
  <r>
    <x v="46"/>
    <d v="2023-06-27T00:00:00"/>
    <s v="PowerPlus"/>
    <x v="3855"/>
    <n v="1609.45"/>
    <x v="37"/>
    <m/>
    <s v="Exp - Transportation"/>
    <m/>
    <m/>
    <m/>
    <m/>
    <m/>
    <m/>
    <x v="3406"/>
    <m/>
    <m/>
  </r>
  <r>
    <x v="46"/>
    <d v="2023-06-28T00:00:00"/>
    <s v="PowerPlus"/>
    <x v="3856"/>
    <n v="144.69999999999999"/>
    <x v="41"/>
    <m/>
    <s v="Exp - Amazon"/>
    <m/>
    <m/>
    <m/>
    <m/>
    <m/>
    <m/>
    <x v="3407"/>
    <m/>
    <m/>
  </r>
  <r>
    <x v="46"/>
    <d v="2023-06-28T00:00:00"/>
    <s v="Delta Skymiles Platinum - Ending in 1007"/>
    <x v="3857"/>
    <n v="70.8"/>
    <x v="1"/>
    <s v="Restaurants"/>
    <m/>
    <m/>
    <m/>
    <m/>
    <m/>
    <m/>
    <m/>
    <x v="3408"/>
    <m/>
    <m/>
  </r>
  <r>
    <x v="46"/>
    <d v="2023-06-28T00:00:00"/>
    <s v="Delta Skymiles Platinum - Ending in 1007"/>
    <x v="3858"/>
    <n v="27.81"/>
    <x v="1"/>
    <s v="Restaurants"/>
    <m/>
    <m/>
    <m/>
    <m/>
    <m/>
    <m/>
    <m/>
    <x v="3409"/>
    <m/>
    <m/>
  </r>
  <r>
    <x v="46"/>
    <d v="2023-06-28T00:00:00"/>
    <s v="PowerPlus"/>
    <x v="3859"/>
    <n v="274"/>
    <x v="32"/>
    <m/>
    <s v="Exp - Shopping"/>
    <m/>
    <m/>
    <m/>
    <m/>
    <m/>
    <m/>
    <x v="3410"/>
    <m/>
    <m/>
  </r>
  <r>
    <x v="46"/>
    <d v="2023-06-28T00:00:00"/>
    <s v="Delta Skymiles Platinum - Ending in 1007"/>
    <x v="3860"/>
    <n v="36"/>
    <x v="3"/>
    <s v="Delete - Online Services"/>
    <m/>
    <m/>
    <m/>
    <m/>
    <m/>
    <m/>
    <m/>
    <x v="3411"/>
    <m/>
    <m/>
  </r>
  <r>
    <x v="46"/>
    <d v="2023-06-28T00:00:00"/>
    <s v="PowerPlus"/>
    <x v="1849"/>
    <n v="0.99"/>
    <x v="32"/>
    <m/>
    <s v="Exp - Shopping"/>
    <m/>
    <m/>
    <m/>
    <m/>
    <m/>
    <m/>
    <x v="1704"/>
    <m/>
    <m/>
  </r>
  <r>
    <x v="46"/>
    <d v="2023-06-28T00:00:00"/>
    <s v="PowerPlus"/>
    <x v="3861"/>
    <n v="10.41"/>
    <x v="39"/>
    <m/>
    <s v="Exp - Restaurants"/>
    <m/>
    <m/>
    <m/>
    <m/>
    <m/>
    <m/>
    <x v="3412"/>
    <m/>
    <m/>
  </r>
  <r>
    <x v="46"/>
    <d v="2023-06-28T00:00:00"/>
    <s v="Delta Skymiles Platinum - Ending in 1007"/>
    <x v="3862"/>
    <n v="20.03"/>
    <x v="1"/>
    <s v="Restaurants"/>
    <m/>
    <m/>
    <m/>
    <m/>
    <m/>
    <m/>
    <m/>
    <x v="3413"/>
    <m/>
    <m/>
  </r>
  <r>
    <x v="46"/>
    <d v="2023-06-29T00:00:00"/>
    <s v="Discover More Card - Ending in 7779"/>
    <x v="0"/>
    <n v="85.52"/>
    <x v="41"/>
    <s v="Dry Cleaning"/>
    <s v="Exp - Amazon"/>
    <m/>
    <m/>
    <m/>
    <m/>
    <m/>
    <m/>
    <x v="0"/>
    <m/>
    <m/>
  </r>
  <r>
    <x v="46"/>
    <d v="2023-06-29T00:00:00"/>
    <s v="Discover More Card - Ending in 7779"/>
    <x v="0"/>
    <n v="118.62"/>
    <x v="41"/>
    <s v="Dry Cleaning"/>
    <s v="Exp - Amazon"/>
    <m/>
    <m/>
    <m/>
    <m/>
    <m/>
    <m/>
    <x v="0"/>
    <m/>
    <m/>
  </r>
  <r>
    <x v="46"/>
    <d v="2023-06-29T00:00:00"/>
    <s v="Discover More Card - Ending in 7779"/>
    <x v="0"/>
    <n v="56.02"/>
    <x v="41"/>
    <s v="Amazon"/>
    <s v="Exp - Amazon"/>
    <m/>
    <m/>
    <m/>
    <m/>
    <m/>
    <m/>
    <x v="0"/>
    <m/>
    <m/>
  </r>
  <r>
    <x v="46"/>
    <d v="2023-06-29T00:00:00"/>
    <s v="PowerPlus"/>
    <x v="3863"/>
    <n v="-9.36"/>
    <x v="3"/>
    <m/>
    <s v="Delete"/>
    <m/>
    <m/>
    <m/>
    <m/>
    <m/>
    <m/>
    <x v="3414"/>
    <m/>
    <m/>
  </r>
  <r>
    <x v="2"/>
    <d v="2019-09-19T00:00:00"/>
    <s v="Investor Checking"/>
    <x v="3864"/>
    <n v="-95.54"/>
    <x v="3"/>
    <m/>
    <m/>
    <m/>
    <n v="95.54"/>
    <b v="0"/>
    <m/>
    <m/>
    <s v=".+"/>
    <x v="3415"/>
    <m/>
    <m/>
  </r>
  <r>
    <x v="46"/>
    <d v="2023-06-29T00:00:00"/>
    <s v="Delta Skymiles Platinum - Ending in 1007"/>
    <x v="3865"/>
    <n v="312.82"/>
    <x v="3"/>
    <s v="Travel"/>
    <s v="Delete"/>
    <m/>
    <m/>
    <m/>
    <m/>
    <m/>
    <m/>
    <x v="3416"/>
    <m/>
    <m/>
  </r>
  <r>
    <x v="46"/>
    <d v="2023-06-29T00:00:00"/>
    <s v="Delta Skymiles Platinum - Ending in 1007"/>
    <x v="3865"/>
    <n v="4.79"/>
    <x v="3"/>
    <s v="Travel"/>
    <s v="Delete"/>
    <m/>
    <m/>
    <m/>
    <m/>
    <m/>
    <m/>
    <x v="3416"/>
    <m/>
    <m/>
  </r>
  <r>
    <x v="46"/>
    <d v="2023-06-29T00:00:00"/>
    <s v="PowerPlus"/>
    <x v="3866"/>
    <n v="217.41"/>
    <x v="32"/>
    <m/>
    <s v="Exp - Shopping"/>
    <m/>
    <m/>
    <m/>
    <m/>
    <m/>
    <m/>
    <x v="3417"/>
    <m/>
    <m/>
  </r>
  <r>
    <x v="46"/>
    <d v="2023-06-29T00:00:00"/>
    <s v="PowerPlus"/>
    <x v="3684"/>
    <n v="-3180.72"/>
    <x v="15"/>
    <m/>
    <s v="Inc - Jeff"/>
    <m/>
    <m/>
    <m/>
    <m/>
    <m/>
    <m/>
    <x v="3245"/>
    <m/>
    <m/>
  </r>
  <r>
    <x v="46"/>
    <d v="2023-06-29T00:00:00"/>
    <s v="PowerPlus"/>
    <x v="3867"/>
    <n v="49.16"/>
    <x v="32"/>
    <m/>
    <s v="Exp - Shopping"/>
    <m/>
    <m/>
    <m/>
    <m/>
    <m/>
    <m/>
    <x v="3418"/>
    <m/>
    <m/>
  </r>
  <r>
    <x v="46"/>
    <d v="2023-06-29T00:00:00"/>
    <s v="Delta Skymiles Platinum - Ending in 1007"/>
    <x v="3868"/>
    <n v="55.75"/>
    <x v="1"/>
    <s v="Restaurants"/>
    <m/>
    <m/>
    <m/>
    <m/>
    <m/>
    <m/>
    <m/>
    <x v="3419"/>
    <m/>
    <m/>
  </r>
  <r>
    <x v="46"/>
    <d v="2023-06-29T00:00:00"/>
    <s v="Delta Skymiles Platinum - Ending in 1007"/>
    <x v="3869"/>
    <n v="35.06"/>
    <x v="1"/>
    <s v="Restaurants"/>
    <m/>
    <m/>
    <m/>
    <m/>
    <m/>
    <m/>
    <m/>
    <x v="3420"/>
    <m/>
    <m/>
  </r>
  <r>
    <x v="46"/>
    <d v="2023-06-29T00:00:00"/>
    <s v="Delta Skymiles Platinum - Ending in 1007"/>
    <x v="3870"/>
    <n v="104.78"/>
    <x v="3"/>
    <s v="Restaurants"/>
    <s v="Delete"/>
    <m/>
    <m/>
    <m/>
    <m/>
    <m/>
    <m/>
    <x v="3421"/>
    <m/>
    <m/>
  </r>
  <r>
    <x v="46"/>
    <d v="2023-06-29T00:00:00"/>
    <s v="PowerPlus"/>
    <x v="3871"/>
    <n v="265"/>
    <x v="40"/>
    <m/>
    <s v="Exp - Day Care"/>
    <m/>
    <m/>
    <m/>
    <m/>
    <m/>
    <m/>
    <x v="3216"/>
    <m/>
    <m/>
  </r>
  <r>
    <x v="46"/>
    <d v="2023-06-30T00:00:00"/>
    <s v="Discover More Card - Ending in 7779"/>
    <x v="0"/>
    <n v="37.65"/>
    <x v="41"/>
    <s v="Dry Cleaning"/>
    <s v="Exp - Amazon"/>
    <m/>
    <m/>
    <m/>
    <m/>
    <m/>
    <m/>
    <x v="0"/>
    <m/>
    <m/>
  </r>
  <r>
    <x v="46"/>
    <d v="2023-06-30T00:00:00"/>
    <s v="Discover More Card - Ending in 7779"/>
    <x v="3490"/>
    <n v="3.21"/>
    <x v="0"/>
    <s v="Entertainment"/>
    <m/>
    <m/>
    <m/>
    <m/>
    <m/>
    <m/>
    <m/>
    <x v="3080"/>
    <m/>
    <m/>
  </r>
  <r>
    <x v="46"/>
    <d v="2023-06-30T00:00:00"/>
    <s v="Discover More Card - Ending in 7779"/>
    <x v="3490"/>
    <n v="3.2"/>
    <x v="0"/>
    <s v="Entertainment"/>
    <m/>
    <m/>
    <m/>
    <m/>
    <m/>
    <m/>
    <m/>
    <x v="3080"/>
    <m/>
    <m/>
  </r>
  <r>
    <x v="46"/>
    <d v="2023-06-30T00:00:00"/>
    <s v="PowerPlus"/>
    <x v="3872"/>
    <n v="-48.56"/>
    <x v="13"/>
    <m/>
    <s v="Inc - Other"/>
    <m/>
    <m/>
    <m/>
    <m/>
    <m/>
    <m/>
    <x v="3422"/>
    <m/>
    <m/>
  </r>
  <r>
    <x v="46"/>
    <d v="2023-06-30T00:00:00"/>
    <s v="Delta Skymiles Platinum - Ending in 1007"/>
    <x v="3873"/>
    <n v="20.57"/>
    <x v="1"/>
    <s v="Restaurants"/>
    <m/>
    <m/>
    <m/>
    <m/>
    <m/>
    <m/>
    <m/>
    <x v="3423"/>
    <m/>
    <m/>
  </r>
  <r>
    <x v="46"/>
    <d v="2023-06-30T00:00:00"/>
    <s v="Delta Skymiles Platinum - Ending in 1007"/>
    <x v="1487"/>
    <n v="277.95"/>
    <x v="3"/>
    <s v="Travel"/>
    <s v="Delete"/>
    <m/>
    <m/>
    <m/>
    <m/>
    <m/>
    <m/>
    <x v="1396"/>
    <m/>
    <m/>
  </r>
  <r>
    <x v="46"/>
    <d v="2023-06-30T00:00:00"/>
    <s v="Delta Skymiles Platinum - Ending in 1007"/>
    <x v="3874"/>
    <n v="3.82"/>
    <x v="1"/>
    <s v="Restaurants"/>
    <m/>
    <m/>
    <m/>
    <m/>
    <m/>
    <m/>
    <m/>
    <x v="3424"/>
    <m/>
    <m/>
  </r>
  <r>
    <x v="46"/>
    <d v="2023-06-30T00:00:00"/>
    <s v="PowerPlus"/>
    <x v="3875"/>
    <n v="5.91"/>
    <x v="32"/>
    <m/>
    <s v="Exp - Shopping"/>
    <m/>
    <m/>
    <m/>
    <m/>
    <m/>
    <m/>
    <x v="3425"/>
    <m/>
    <m/>
  </r>
  <r>
    <x v="46"/>
    <d v="2023-06-30T00:00:00"/>
    <s v="PowerPlus"/>
    <x v="1827"/>
    <n v="57.47"/>
    <x v="32"/>
    <m/>
    <s v="Exp - Shopping"/>
    <m/>
    <m/>
    <m/>
    <m/>
    <m/>
    <m/>
    <x v="1682"/>
    <m/>
    <m/>
  </r>
  <r>
    <x v="46"/>
    <d v="2023-06-30T00:00:00"/>
    <s v="Delta Skymiles Platinum - Ending in 1007"/>
    <x v="3876"/>
    <n v="44.42"/>
    <x v="3"/>
    <s v="Restaurants"/>
    <s v="Delete"/>
    <m/>
    <m/>
    <m/>
    <m/>
    <m/>
    <m/>
    <x v="3426"/>
    <m/>
    <m/>
  </r>
  <r>
    <x v="46"/>
    <d v="2023-06-30T00:00:00"/>
    <s v="Delta Skymiles Platinum - Ending in 1007"/>
    <x v="3877"/>
    <n v="28.42"/>
    <x v="1"/>
    <s v="Restaurants"/>
    <m/>
    <m/>
    <m/>
    <m/>
    <m/>
    <m/>
    <m/>
    <x v="3427"/>
    <m/>
    <m/>
  </r>
  <r>
    <x v="46"/>
    <d v="2023-06-30T00:00:00"/>
    <s v="PowerPlus"/>
    <x v="3878"/>
    <n v="203.95"/>
    <x v="3"/>
    <m/>
    <s v="Delete"/>
    <m/>
    <m/>
    <m/>
    <m/>
    <m/>
    <m/>
    <x v="3428"/>
    <m/>
    <m/>
  </r>
  <r>
    <x v="46"/>
    <d v="2023-06-30T00:00:00"/>
    <s v="PowerPlus"/>
    <x v="3657"/>
    <n v="6321.76"/>
    <x v="3"/>
    <m/>
    <s v="Delete"/>
    <m/>
    <m/>
    <m/>
    <m/>
    <m/>
    <m/>
    <x v="3219"/>
    <m/>
    <m/>
  </r>
  <r>
    <x v="46"/>
    <d v="2023-06-30T00:00:00"/>
    <s v="Discover More Card - Ending in 7779"/>
    <x v="56"/>
    <n v="-366.15"/>
    <x v="3"/>
    <s v="Credit Card Payments"/>
    <s v="Delete"/>
    <m/>
    <m/>
    <m/>
    <m/>
    <m/>
    <m/>
    <x v="56"/>
    <m/>
    <m/>
  </r>
  <r>
    <x v="46"/>
    <d v="2023-06-30T00:00:00"/>
    <s v="Delta Skymiles Platinum - Ending in 1007"/>
    <x v="3633"/>
    <n v="-1948.26"/>
    <x v="3"/>
    <s v="Delete"/>
    <m/>
    <m/>
    <m/>
    <m/>
    <m/>
    <m/>
    <m/>
    <x v="3195"/>
    <m/>
    <m/>
  </r>
  <r>
    <x v="46"/>
    <d v="2023-06-30T00:00:00"/>
    <s v="PowerPlus"/>
    <x v="3879"/>
    <n v="-6321.76"/>
    <x v="3"/>
    <m/>
    <s v="Delete"/>
    <m/>
    <m/>
    <m/>
    <m/>
    <m/>
    <m/>
    <x v="3429"/>
    <m/>
    <m/>
  </r>
  <r>
    <x v="56"/>
    <d v="2023-07-01T00:00:00"/>
    <s v="Delta Skymiles Platinum - Ending in 1007"/>
    <x v="1861"/>
    <n v="368.8"/>
    <x v="43"/>
    <s v="Empyrean Travel"/>
    <s v="Exp - Travel"/>
    <m/>
    <m/>
    <m/>
    <m/>
    <m/>
    <m/>
    <x v="1715"/>
    <m/>
    <m/>
  </r>
  <r>
    <x v="56"/>
    <d v="2023-07-01T00:00:00"/>
    <s v="Delta Skymiles Platinum - Ending in 1007"/>
    <x v="3880"/>
    <n v="72.47"/>
    <x v="1"/>
    <s v="Restaurants"/>
    <m/>
    <m/>
    <m/>
    <m/>
    <m/>
    <m/>
    <m/>
    <x v="3430"/>
    <m/>
    <m/>
  </r>
  <r>
    <x v="56"/>
    <d v="2023-07-01T00:00:00"/>
    <s v="PowerPlus"/>
    <x v="3881"/>
    <n v="618.65"/>
    <x v="48"/>
    <m/>
    <s v="Exp - Car Loan"/>
    <m/>
    <m/>
    <m/>
    <m/>
    <m/>
    <m/>
    <x v="3431"/>
    <m/>
    <m/>
  </r>
  <r>
    <x v="56"/>
    <d v="2023-07-02T00:00:00"/>
    <s v="Powerplus - Ending in 8s115"/>
    <x v="3882"/>
    <n v="5.36"/>
    <x v="41"/>
    <m/>
    <s v="Exp - Amazon"/>
    <m/>
    <m/>
    <m/>
    <m/>
    <m/>
    <m/>
    <x v="3432"/>
    <m/>
    <m/>
  </r>
  <r>
    <x v="56"/>
    <d v="2023-07-02T00:00:00"/>
    <s v="Powerplus - Ending in 8s114"/>
    <x v="3883"/>
    <n v="-268"/>
    <x v="41"/>
    <m/>
    <s v="Exp - Amazon"/>
    <m/>
    <m/>
    <m/>
    <m/>
    <m/>
    <m/>
    <x v="3433"/>
    <m/>
    <m/>
  </r>
  <r>
    <x v="56"/>
    <d v="2023-07-02T00:00:00"/>
    <s v="Powerplus - Ending in 8s113"/>
    <x v="3884"/>
    <n v="-128"/>
    <x v="32"/>
    <m/>
    <s v="Exp - Shopping"/>
    <m/>
    <m/>
    <m/>
    <m/>
    <m/>
    <m/>
    <x v="3434"/>
    <m/>
    <m/>
  </r>
  <r>
    <x v="56"/>
    <d v="2023-07-02T00:00:00"/>
    <s v="Powerplus - Ending in 8s117"/>
    <x v="3885"/>
    <n v="11.34"/>
    <x v="32"/>
    <m/>
    <s v="Exp - Shopping"/>
    <m/>
    <m/>
    <m/>
    <m/>
    <m/>
    <m/>
    <x v="3435"/>
    <m/>
    <m/>
  </r>
  <r>
    <x v="56"/>
    <d v="2023-07-02T00:00:00"/>
    <s v="Powerplus - Ending in 8s116"/>
    <x v="3886"/>
    <n v="41.25"/>
    <x v="37"/>
    <m/>
    <s v="Exp - Transportation"/>
    <m/>
    <m/>
    <m/>
    <m/>
    <m/>
    <m/>
    <x v="3436"/>
    <m/>
    <m/>
  </r>
  <r>
    <x v="56"/>
    <d v="2023-07-03T00:00:00"/>
    <s v="Delta Skymiles Platinum - Ending in 1007"/>
    <x v="3887"/>
    <n v="24.74"/>
    <x v="39"/>
    <s v="Shopping"/>
    <s v="Exp - Restaurants"/>
    <m/>
    <m/>
    <m/>
    <m/>
    <m/>
    <m/>
    <x v="3437"/>
    <m/>
    <m/>
  </r>
  <r>
    <x v="56"/>
    <d v="2023-07-03T00:00:00"/>
    <s v="Powerplus - Ending in 8s112"/>
    <x v="3888"/>
    <n v="9.31"/>
    <x v="38"/>
    <m/>
    <s v="Exp - Groceries"/>
    <m/>
    <m/>
    <m/>
    <m/>
    <m/>
    <m/>
    <x v="3438"/>
    <m/>
    <m/>
  </r>
  <r>
    <x v="56"/>
    <d v="2023-07-03T00:00:00"/>
    <s v="PowerPlus"/>
    <x v="3889"/>
    <n v="500"/>
    <x v="47"/>
    <m/>
    <s v="Sav - College Savings"/>
    <m/>
    <m/>
    <m/>
    <m/>
    <m/>
    <m/>
    <x v="3207"/>
    <m/>
    <m/>
  </r>
  <r>
    <x v="56"/>
    <d v="2023-07-03T00:00:00"/>
    <s v="PowerPlus"/>
    <x v="2020"/>
    <n v="1948.26"/>
    <x v="3"/>
    <m/>
    <s v="Delete"/>
    <m/>
    <m/>
    <m/>
    <m/>
    <m/>
    <m/>
    <x v="1870"/>
    <m/>
    <m/>
  </r>
  <r>
    <x v="56"/>
    <d v="2023-07-03T00:00:00"/>
    <s v="PowerPlus"/>
    <x v="1844"/>
    <n v="2606.27"/>
    <x v="53"/>
    <m/>
    <s v="Exp - Rent"/>
    <m/>
    <m/>
    <m/>
    <m/>
    <m/>
    <m/>
    <x v="1699"/>
    <m/>
    <m/>
  </r>
  <r>
    <x v="56"/>
    <d v="2023-07-03T00:00:00"/>
    <s v="PowerPlus"/>
    <x v="1888"/>
    <n v="366.15"/>
    <x v="3"/>
    <m/>
    <s v="Delete"/>
    <m/>
    <m/>
    <m/>
    <m/>
    <m/>
    <m/>
    <x v="1741"/>
    <m/>
    <m/>
  </r>
  <r>
    <x v="56"/>
    <d v="2023-07-05T00:00:00"/>
    <s v="Discover More Card - Ending in 7779"/>
    <x v="0"/>
    <n v="29.25"/>
    <x v="0"/>
    <s v="Amazon"/>
    <m/>
    <m/>
    <m/>
    <m/>
    <m/>
    <m/>
    <m/>
    <x v="0"/>
    <m/>
    <m/>
  </r>
  <r>
    <x v="56"/>
    <d v="2023-07-05T00:00:00"/>
    <s v="Discover More Card - Ending in 7779"/>
    <x v="0"/>
    <n v="48.86"/>
    <x v="0"/>
    <s v="Dry Cleaning"/>
    <m/>
    <m/>
    <m/>
    <m/>
    <m/>
    <m/>
    <m/>
    <x v="0"/>
    <m/>
    <m/>
  </r>
  <r>
    <x v="56"/>
    <d v="2023-07-05T00:00:00"/>
    <s v="Powerplus - Ending in 8s108"/>
    <x v="3890"/>
    <n v="143.79"/>
    <x v="41"/>
    <m/>
    <s v="Exp - Amazon"/>
    <m/>
    <m/>
    <m/>
    <m/>
    <m/>
    <m/>
    <x v="3439"/>
    <m/>
    <m/>
  </r>
  <r>
    <x v="56"/>
    <d v="2023-07-05T00:00:00"/>
    <s v="Powerplus - Ending in 8s111"/>
    <x v="3891"/>
    <n v="-91.5"/>
    <x v="32"/>
    <m/>
    <s v="Exp - Shopping"/>
    <m/>
    <m/>
    <m/>
    <m/>
    <m/>
    <m/>
    <x v="3440"/>
    <m/>
    <m/>
  </r>
  <r>
    <x v="56"/>
    <d v="2023-07-05T00:00:00"/>
    <s v="Powerplus - Ending in 8s109"/>
    <x v="3892"/>
    <n v="60"/>
    <x v="32"/>
    <m/>
    <s v="Exp - Shopping"/>
    <m/>
    <m/>
    <m/>
    <m/>
    <m/>
    <m/>
    <x v="3441"/>
    <m/>
    <m/>
  </r>
  <r>
    <x v="56"/>
    <d v="2023-07-05T00:00:00"/>
    <s v="Powerplus - Ending in 8s110"/>
    <x v="3893"/>
    <n v="140.07"/>
    <x v="38"/>
    <m/>
    <s v="Exp - Groceries"/>
    <m/>
    <m/>
    <m/>
    <m/>
    <m/>
    <m/>
    <x v="3442"/>
    <m/>
    <m/>
  </r>
  <r>
    <x v="56"/>
    <d v="2023-07-06T00:00:00"/>
    <s v="Powerplus - Ending in 8s104"/>
    <x v="3894"/>
    <n v="161.01"/>
    <x v="32"/>
    <m/>
    <s v="Exp - Shopping"/>
    <m/>
    <m/>
    <m/>
    <m/>
    <m/>
    <m/>
    <x v="3443"/>
    <m/>
    <m/>
  </r>
  <r>
    <x v="56"/>
    <d v="2023-07-06T00:00:00"/>
    <s v="Powerplus - Ending in 8s107"/>
    <x v="3895"/>
    <n v="59.62"/>
    <x v="37"/>
    <m/>
    <s v="Exp - Transportation"/>
    <m/>
    <m/>
    <m/>
    <m/>
    <m/>
    <m/>
    <x v="3444"/>
    <m/>
    <m/>
  </r>
  <r>
    <x v="56"/>
    <d v="2023-07-06T00:00:00"/>
    <s v="Powerplus - Ending in 8s106"/>
    <x v="3896"/>
    <n v="1.89"/>
    <x v="37"/>
    <m/>
    <s v="Exp - Transportation"/>
    <m/>
    <m/>
    <m/>
    <m/>
    <m/>
    <m/>
    <x v="3445"/>
    <m/>
    <m/>
  </r>
  <r>
    <x v="56"/>
    <d v="2023-07-06T00:00:00"/>
    <s v="Powerplus - Ending in 8s105"/>
    <x v="3897"/>
    <n v="92.72"/>
    <x v="32"/>
    <m/>
    <s v="Exp - Shopping"/>
    <m/>
    <m/>
    <m/>
    <m/>
    <m/>
    <m/>
    <x v="3446"/>
    <m/>
    <m/>
  </r>
  <r>
    <x v="56"/>
    <d v="2023-07-06T00:00:00"/>
    <s v="PowerPlus"/>
    <x v="1827"/>
    <n v="125"/>
    <x v="32"/>
    <m/>
    <s v="Exp - Shopping"/>
    <m/>
    <m/>
    <m/>
    <m/>
    <m/>
    <m/>
    <x v="1682"/>
    <m/>
    <m/>
  </r>
  <r>
    <x v="56"/>
    <d v="2023-07-06T00:00:00"/>
    <s v="PowerPlus"/>
    <x v="3898"/>
    <n v="330"/>
    <x v="40"/>
    <m/>
    <s v="Exp - Day Care"/>
    <m/>
    <m/>
    <m/>
    <m/>
    <m/>
    <m/>
    <x v="3216"/>
    <m/>
    <m/>
  </r>
  <r>
    <x v="56"/>
    <d v="2023-07-07T00:00:00"/>
    <s v="PowerPlus"/>
    <x v="1893"/>
    <n v="-2434.23"/>
    <x v="14"/>
    <m/>
    <s v="Inc - Britney"/>
    <m/>
    <m/>
    <m/>
    <m/>
    <m/>
    <m/>
    <x v="1746"/>
    <m/>
    <m/>
  </r>
  <r>
    <x v="56"/>
    <d v="2023-07-07T00:00:00"/>
    <s v="Delta Skymiles Platinum - Ending in 1007"/>
    <x v="6"/>
    <n v="128.58000000000001"/>
    <x v="5"/>
    <s v="Groceries"/>
    <m/>
    <m/>
    <m/>
    <m/>
    <m/>
    <m/>
    <m/>
    <x v="6"/>
    <m/>
    <m/>
  </r>
  <r>
    <x v="56"/>
    <d v="2023-07-07T00:00:00"/>
    <s v="PowerPlus"/>
    <x v="3899"/>
    <n v="-1201.23"/>
    <x v="15"/>
    <m/>
    <s v="Inc - Jeff"/>
    <m/>
    <m/>
    <m/>
    <m/>
    <m/>
    <m/>
    <x v="3260"/>
    <m/>
    <m/>
  </r>
  <r>
    <x v="56"/>
    <d v="2023-07-07T00:00:00"/>
    <s v="Powerplus - Ending in 8s103"/>
    <x v="3900"/>
    <n v="-340"/>
    <x v="32"/>
    <m/>
    <s v="Exp - Shopping"/>
    <m/>
    <m/>
    <m/>
    <m/>
    <m/>
    <m/>
    <x v="3447"/>
    <m/>
    <m/>
  </r>
  <r>
    <x v="56"/>
    <d v="2023-07-07T00:00:00"/>
    <s v="Delta Skymiles Platinum - Ending in 1007"/>
    <x v="3901"/>
    <n v="234.92"/>
    <x v="1"/>
    <s v="Restaurants"/>
    <m/>
    <m/>
    <m/>
    <m/>
    <m/>
    <m/>
    <m/>
    <x v="3448"/>
    <m/>
    <m/>
  </r>
  <r>
    <x v="56"/>
    <d v="2023-07-08T00:00:00"/>
    <s v="Discover More Card - Ending in 7779"/>
    <x v="0"/>
    <n v="10.73"/>
    <x v="0"/>
    <s v="Dry Cleaning"/>
    <m/>
    <m/>
    <m/>
    <m/>
    <m/>
    <m/>
    <m/>
    <x v="0"/>
    <m/>
    <m/>
  </r>
  <r>
    <x v="56"/>
    <d v="2023-07-09T00:00:00"/>
    <s v="Powerplus - Ending in 8s101"/>
    <x v="3902"/>
    <n v="12.87"/>
    <x v="41"/>
    <m/>
    <s v="Exp - Amazon"/>
    <m/>
    <m/>
    <m/>
    <m/>
    <m/>
    <m/>
    <x v="3449"/>
    <m/>
    <m/>
  </r>
  <r>
    <x v="56"/>
    <d v="2023-07-09T00:00:00"/>
    <s v="Delta Skymiles Platinum - Ending in 1007"/>
    <x v="473"/>
    <n v="52.82"/>
    <x v="39"/>
    <s v="Restaurants"/>
    <s v="Exp - Restaurants"/>
    <m/>
    <m/>
    <m/>
    <m/>
    <m/>
    <m/>
    <x v="456"/>
    <m/>
    <m/>
  </r>
  <r>
    <x v="56"/>
    <d v="2023-07-09T00:00:00"/>
    <s v="Powerplus - Ending in 8s100"/>
    <x v="3903"/>
    <n v="28.98"/>
    <x v="37"/>
    <m/>
    <s v="Exp - Transportation"/>
    <m/>
    <m/>
    <m/>
    <m/>
    <m/>
    <m/>
    <x v="3450"/>
    <m/>
    <m/>
  </r>
  <r>
    <x v="56"/>
    <d v="2023-07-09T00:00:00"/>
    <s v="Powerplus - Ending in 8s102"/>
    <x v="3904"/>
    <n v="47.25"/>
    <x v="49"/>
    <m/>
    <s v="Exp - Gym"/>
    <m/>
    <m/>
    <m/>
    <m/>
    <m/>
    <m/>
    <x v="3451"/>
    <m/>
    <m/>
  </r>
  <r>
    <x v="56"/>
    <d v="2023-07-10T00:00:00"/>
    <s v="Powerplus - Ending in 8s98"/>
    <x v="3905"/>
    <n v="48.54"/>
    <x v="38"/>
    <m/>
    <s v="Exp - Groceries"/>
    <m/>
    <m/>
    <m/>
    <m/>
    <m/>
    <m/>
    <x v="3452"/>
    <m/>
    <m/>
  </r>
  <r>
    <x v="56"/>
    <d v="2023-07-10T00:00:00"/>
    <s v="Powerplus - Ending in 8s97"/>
    <x v="3906"/>
    <n v="60.4"/>
    <x v="38"/>
    <m/>
    <s v="Exp - Groceries"/>
    <m/>
    <m/>
    <m/>
    <m/>
    <m/>
    <m/>
    <x v="3453"/>
    <m/>
    <m/>
  </r>
  <r>
    <x v="56"/>
    <d v="2023-07-10T00:00:00"/>
    <s v="Powerplus - Ending in 8s99"/>
    <x v="3907"/>
    <n v="70.86"/>
    <x v="45"/>
    <m/>
    <s v="Exp - Target"/>
    <m/>
    <m/>
    <m/>
    <m/>
    <m/>
    <m/>
    <x v="3454"/>
    <m/>
    <m/>
  </r>
  <r>
    <x v="56"/>
    <d v="2023-07-11T00:00:00"/>
    <s v="Powerplus - Ending in 8s96"/>
    <x v="3908"/>
    <n v="74.92"/>
    <x v="41"/>
    <m/>
    <s v="Exp - Amazon"/>
    <m/>
    <m/>
    <m/>
    <m/>
    <m/>
    <m/>
    <x v="3455"/>
    <m/>
    <m/>
  </r>
  <r>
    <x v="56"/>
    <d v="2023-07-11T00:00:00"/>
    <s v="Delta Skymiles Platinum - Ending in 1007"/>
    <x v="3909"/>
    <n v="748"/>
    <x v="32"/>
    <s v="Delete - Other Expenses"/>
    <s v="Exp - Shopping"/>
    <m/>
    <m/>
    <m/>
    <m/>
    <m/>
    <m/>
    <x v="3456"/>
    <m/>
    <m/>
  </r>
  <r>
    <x v="56"/>
    <d v="2023-07-11T00:00:00"/>
    <s v="PowerPlus"/>
    <x v="3910"/>
    <n v="265"/>
    <x v="40"/>
    <m/>
    <s v="Exp - Day Care"/>
    <m/>
    <m/>
    <m/>
    <m/>
    <m/>
    <m/>
    <x v="3216"/>
    <m/>
    <m/>
  </r>
  <r>
    <x v="56"/>
    <d v="2023-07-11T00:00:00"/>
    <s v="Powerplus - Ending in 8s95"/>
    <x v="3911"/>
    <n v="8"/>
    <x v="42"/>
    <m/>
    <s v="Exp - Utilities"/>
    <m/>
    <m/>
    <m/>
    <m/>
    <m/>
    <m/>
    <x v="3457"/>
    <m/>
    <m/>
  </r>
  <r>
    <x v="56"/>
    <d v="2023-07-12T00:00:00"/>
    <s v="PowerPlus"/>
    <x v="3787"/>
    <n v="-141.88999999999999"/>
    <x v="46"/>
    <m/>
    <s v="Exp - Healthcare"/>
    <m/>
    <m/>
    <m/>
    <m/>
    <m/>
    <m/>
    <x v="3342"/>
    <m/>
    <m/>
  </r>
  <r>
    <x v="56"/>
    <d v="2023-07-12T00:00:00"/>
    <s v="Delta Skymiles Platinum - Ending in 1007"/>
    <x v="1861"/>
    <n v="582.79999999999995"/>
    <x v="3"/>
    <s v="Empyrean Travel"/>
    <m/>
    <s v="Boston trip for work"/>
    <m/>
    <m/>
    <m/>
    <m/>
    <m/>
    <x v="1715"/>
    <m/>
    <m/>
  </r>
  <r>
    <x v="56"/>
    <d v="2023-07-12T00:00:00"/>
    <s v="Powerplus - Ending in 8s94"/>
    <x v="3912"/>
    <n v="55"/>
    <x v="32"/>
    <m/>
    <s v="Exp - Shopping"/>
    <m/>
    <m/>
    <m/>
    <m/>
    <m/>
    <m/>
    <x v="3458"/>
    <m/>
    <m/>
  </r>
  <r>
    <x v="56"/>
    <d v="2023-07-12T00:00:00"/>
    <s v="Powerplus - Ending in 8s91"/>
    <x v="3913"/>
    <n v="5.99"/>
    <x v="32"/>
    <m/>
    <s v="Exp - Shopping"/>
    <m/>
    <m/>
    <m/>
    <m/>
    <m/>
    <m/>
    <x v="3459"/>
    <m/>
    <m/>
  </r>
  <r>
    <x v="56"/>
    <d v="2023-07-12T00:00:00"/>
    <s v="Powerplus - Ending in 8s92"/>
    <x v="3914"/>
    <n v="4.08"/>
    <x v="32"/>
    <m/>
    <s v="Exp - Shopping"/>
    <m/>
    <m/>
    <m/>
    <m/>
    <m/>
    <m/>
    <x v="3460"/>
    <m/>
    <m/>
  </r>
  <r>
    <x v="56"/>
    <d v="2023-07-12T00:00:00"/>
    <s v="Delta Skymiles Platinum - Ending in 1007"/>
    <x v="1338"/>
    <n v="41.73"/>
    <x v="5"/>
    <s v="Groceries"/>
    <m/>
    <m/>
    <m/>
    <m/>
    <m/>
    <m/>
    <m/>
    <x v="1265"/>
    <m/>
    <m/>
  </r>
  <r>
    <x v="56"/>
    <d v="2023-07-12T00:00:00"/>
    <s v="Powerplus - Ending in 8s93"/>
    <x v="3915"/>
    <n v="141.88999999999999"/>
    <x v="46"/>
    <m/>
    <s v="Exp - Healthcare"/>
    <m/>
    <m/>
    <m/>
    <m/>
    <m/>
    <m/>
    <x v="3461"/>
    <m/>
    <m/>
  </r>
  <r>
    <x v="56"/>
    <d v="2023-07-12T00:00:00"/>
    <s v="PowerPlus"/>
    <x v="1869"/>
    <n v="201.25"/>
    <x v="42"/>
    <m/>
    <s v="Exp - Utilities"/>
    <m/>
    <m/>
    <m/>
    <m/>
    <m/>
    <m/>
    <x v="1723"/>
    <m/>
    <m/>
  </r>
  <r>
    <x v="56"/>
    <d v="2023-07-13T00:00:00"/>
    <s v="Powerplus - Ending in 8s89"/>
    <x v="3916"/>
    <n v="-31.33"/>
    <x v="41"/>
    <m/>
    <s v="Exp - Amazon"/>
    <m/>
    <m/>
    <m/>
    <m/>
    <m/>
    <m/>
    <x v="3462"/>
    <m/>
    <m/>
  </r>
  <r>
    <x v="56"/>
    <d v="2023-07-13T00:00:00"/>
    <s v="Powerplus - Ending in 8s88"/>
    <x v="3917"/>
    <n v="-14.99"/>
    <x v="41"/>
    <m/>
    <s v="Exp - Amazon"/>
    <m/>
    <m/>
    <m/>
    <m/>
    <m/>
    <m/>
    <x v="3463"/>
    <m/>
    <m/>
  </r>
  <r>
    <x v="56"/>
    <d v="2023-07-13T00:00:00"/>
    <s v="Powerplus - Ending in 8s87"/>
    <x v="3918"/>
    <n v="-32.979999999999997"/>
    <x v="41"/>
    <m/>
    <s v="Exp - Amazon"/>
    <m/>
    <m/>
    <m/>
    <m/>
    <m/>
    <m/>
    <x v="3464"/>
    <m/>
    <m/>
  </r>
  <r>
    <x v="56"/>
    <d v="2023-07-13T00:00:00"/>
    <s v="Powerplus - Ending in 8s86"/>
    <x v="3919"/>
    <n v="-21.99"/>
    <x v="41"/>
    <m/>
    <s v="Exp - Amazon"/>
    <m/>
    <m/>
    <m/>
    <m/>
    <m/>
    <m/>
    <x v="3465"/>
    <m/>
    <m/>
  </r>
  <r>
    <x v="56"/>
    <d v="2023-07-13T00:00:00"/>
    <s v="Powerplus - Ending in 8s85"/>
    <x v="3920"/>
    <n v="-31.33"/>
    <x v="41"/>
    <m/>
    <s v="Exp - Amazon"/>
    <m/>
    <m/>
    <m/>
    <m/>
    <m/>
    <m/>
    <x v="3466"/>
    <m/>
    <m/>
  </r>
  <r>
    <x v="56"/>
    <d v="2023-07-13T00:00:00"/>
    <s v="Powerplus - Ending in 8s84"/>
    <x v="3921"/>
    <n v="-17.170000000000002"/>
    <x v="41"/>
    <m/>
    <s v="Exp - Amazon"/>
    <m/>
    <m/>
    <m/>
    <m/>
    <m/>
    <m/>
    <x v="3467"/>
    <m/>
    <m/>
  </r>
  <r>
    <x v="56"/>
    <d v="2023-07-13T00:00:00"/>
    <s v="Powerplus - Ending in 8s83"/>
    <x v="3922"/>
    <n v="-39.99"/>
    <x v="41"/>
    <m/>
    <s v="Exp - Amazon"/>
    <m/>
    <m/>
    <m/>
    <m/>
    <m/>
    <m/>
    <x v="3468"/>
    <m/>
    <m/>
  </r>
  <r>
    <x v="56"/>
    <d v="2023-07-13T00:00:00"/>
    <s v="Powerplus - Ending in 8s90"/>
    <x v="3923"/>
    <n v="45"/>
    <x v="42"/>
    <m/>
    <s v="Exp - Utilities"/>
    <m/>
    <m/>
    <m/>
    <m/>
    <m/>
    <m/>
    <x v="3469"/>
    <m/>
    <m/>
  </r>
  <r>
    <x v="56"/>
    <d v="2023-07-13T00:00:00"/>
    <s v="PowerPlus"/>
    <x v="3924"/>
    <n v="64.25"/>
    <x v="43"/>
    <m/>
    <s v="Exp - Travel"/>
    <m/>
    <m/>
    <m/>
    <m/>
    <m/>
    <m/>
    <x v="3470"/>
    <m/>
    <m/>
  </r>
  <r>
    <x v="56"/>
    <d v="2023-07-13T00:00:00"/>
    <s v="Delta Skymiles Platinum - Ending in 1007"/>
    <x v="3550"/>
    <n v="116.14"/>
    <x v="43"/>
    <s v="Shopping"/>
    <s v="Exp - Travel"/>
    <m/>
    <m/>
    <m/>
    <m/>
    <m/>
    <m/>
    <x v="3130"/>
    <m/>
    <m/>
  </r>
  <r>
    <x v="56"/>
    <d v="2023-07-13T00:00:00"/>
    <s v="PowerPlus"/>
    <x v="3684"/>
    <n v="-3342.8"/>
    <x v="15"/>
    <m/>
    <s v="Inc - Jeff"/>
    <m/>
    <m/>
    <m/>
    <m/>
    <m/>
    <m/>
    <x v="3245"/>
    <m/>
    <m/>
  </r>
  <r>
    <x v="56"/>
    <d v="2023-07-13T00:00:00"/>
    <s v="Delta Skymiles Platinum - Ending in 1007"/>
    <x v="3925"/>
    <n v="7"/>
    <x v="1"/>
    <s v="Restaurants"/>
    <m/>
    <m/>
    <m/>
    <m/>
    <m/>
    <m/>
    <m/>
    <x v="3471"/>
    <m/>
    <m/>
  </r>
  <r>
    <x v="56"/>
    <d v="2023-07-13T00:00:00"/>
    <s v="PowerPlus"/>
    <x v="1849"/>
    <n v="6.47"/>
    <x v="32"/>
    <m/>
    <s v="Exp - Shopping"/>
    <m/>
    <m/>
    <m/>
    <m/>
    <m/>
    <m/>
    <x v="1704"/>
    <m/>
    <m/>
  </r>
  <r>
    <x v="56"/>
    <d v="2023-07-13T00:00:00"/>
    <s v="PowerPlus"/>
    <x v="1827"/>
    <n v="45"/>
    <x v="32"/>
    <m/>
    <s v="Exp - Shopping"/>
    <m/>
    <m/>
    <m/>
    <m/>
    <m/>
    <m/>
    <x v="1682"/>
    <m/>
    <m/>
  </r>
  <r>
    <x v="56"/>
    <d v="2023-07-13T00:00:00"/>
    <s v="PowerPlus"/>
    <x v="1827"/>
    <n v="60.89"/>
    <x v="32"/>
    <m/>
    <s v="Exp - Shopping"/>
    <m/>
    <m/>
    <m/>
    <m/>
    <m/>
    <m/>
    <x v="1682"/>
    <m/>
    <m/>
  </r>
  <r>
    <x v="56"/>
    <d v="2023-07-14T00:00:00"/>
    <s v="Powerplus - Ending in 8s74"/>
    <x v="3926"/>
    <n v="-18.98"/>
    <x v="41"/>
    <m/>
    <s v="Exp - Amazon"/>
    <m/>
    <m/>
    <m/>
    <m/>
    <m/>
    <m/>
    <x v="3472"/>
    <m/>
    <m/>
  </r>
  <r>
    <x v="56"/>
    <d v="2023-07-14T00:00:00"/>
    <s v="Delta Skymiles Platinum - Ending in 1007"/>
    <x v="3927"/>
    <n v="7.61"/>
    <x v="1"/>
    <s v="Restaurants"/>
    <m/>
    <m/>
    <m/>
    <m/>
    <m/>
    <m/>
    <m/>
    <x v="3473"/>
    <m/>
    <m/>
  </r>
  <r>
    <x v="56"/>
    <d v="2023-07-14T00:00:00"/>
    <s v="Powerplus - Ending in 8s82"/>
    <x v="3928"/>
    <n v="30.05"/>
    <x v="37"/>
    <m/>
    <s v="Exp - Transportation"/>
    <m/>
    <m/>
    <m/>
    <m/>
    <m/>
    <m/>
    <x v="3474"/>
    <m/>
    <m/>
  </r>
  <r>
    <x v="56"/>
    <d v="2023-07-14T00:00:00"/>
    <s v="Powerplus - Ending in 8s81"/>
    <x v="3929"/>
    <n v="4.9800000000000004"/>
    <x v="37"/>
    <m/>
    <s v="Exp - Transportation"/>
    <m/>
    <m/>
    <m/>
    <m/>
    <m/>
    <m/>
    <x v="3475"/>
    <m/>
    <m/>
  </r>
  <r>
    <x v="56"/>
    <d v="2023-07-14T00:00:00"/>
    <s v="Powerplus - Ending in 8s76"/>
    <x v="3930"/>
    <n v="40.89"/>
    <x v="37"/>
    <m/>
    <s v="Exp - Transportation"/>
    <m/>
    <m/>
    <m/>
    <m/>
    <m/>
    <m/>
    <x v="3476"/>
    <m/>
    <m/>
  </r>
  <r>
    <x v="56"/>
    <d v="2023-07-14T00:00:00"/>
    <s v="Powerplus - Ending in 8s77"/>
    <x v="3931"/>
    <n v="218.7"/>
    <x v="38"/>
    <m/>
    <s v="Exp - Groceries"/>
    <m/>
    <m/>
    <m/>
    <m/>
    <m/>
    <m/>
    <x v="3477"/>
    <m/>
    <m/>
  </r>
  <r>
    <x v="56"/>
    <d v="2023-07-14T00:00:00"/>
    <s v="Powerplus - Ending in 8s80"/>
    <x v="3932"/>
    <n v="72"/>
    <x v="39"/>
    <m/>
    <s v="Exp - Restaurants"/>
    <m/>
    <m/>
    <m/>
    <m/>
    <m/>
    <m/>
    <x v="3478"/>
    <m/>
    <m/>
  </r>
  <r>
    <x v="56"/>
    <d v="2023-07-14T00:00:00"/>
    <s v="Powerplus - Ending in 8s79"/>
    <x v="3933"/>
    <n v="67.62"/>
    <x v="32"/>
    <m/>
    <s v="Exp - Shopping"/>
    <m/>
    <m/>
    <m/>
    <m/>
    <m/>
    <m/>
    <x v="3479"/>
    <m/>
    <m/>
  </r>
  <r>
    <x v="56"/>
    <d v="2023-07-14T00:00:00"/>
    <s v="Delta Skymiles Platinum - Ending in 1007"/>
    <x v="237"/>
    <n v="10.5"/>
    <x v="1"/>
    <s v="Restaurants"/>
    <m/>
    <m/>
    <m/>
    <m/>
    <m/>
    <m/>
    <m/>
    <x v="235"/>
    <m/>
    <m/>
  </r>
  <r>
    <x v="56"/>
    <d v="2023-07-14T00:00:00"/>
    <s v="Powerplus - Ending in 8s75"/>
    <x v="3934"/>
    <n v="-130"/>
    <x v="32"/>
    <m/>
    <s v="Exp - Shopping"/>
    <m/>
    <m/>
    <m/>
    <m/>
    <m/>
    <m/>
    <x v="3480"/>
    <m/>
    <m/>
  </r>
  <r>
    <x v="56"/>
    <d v="2023-07-14T00:00:00"/>
    <s v="Powerplus - Ending in 8s78"/>
    <x v="3935"/>
    <n v="35.549999999999997"/>
    <x v="39"/>
    <m/>
    <s v="Exp - Restaurants"/>
    <m/>
    <m/>
    <m/>
    <m/>
    <m/>
    <m/>
    <x v="3481"/>
    <m/>
    <m/>
  </r>
  <r>
    <x v="56"/>
    <d v="2023-07-14T00:00:00"/>
    <s v="PowerPlus"/>
    <x v="1827"/>
    <n v="42"/>
    <x v="32"/>
    <m/>
    <s v="Exp - Shopping"/>
    <m/>
    <m/>
    <m/>
    <m/>
    <m/>
    <m/>
    <x v="1682"/>
    <m/>
    <m/>
  </r>
  <r>
    <x v="56"/>
    <d v="2023-07-14T00:00:00"/>
    <s v="PowerPlus"/>
    <x v="1827"/>
    <n v="342"/>
    <x v="32"/>
    <m/>
    <s v="Exp - Shopping"/>
    <m/>
    <m/>
    <m/>
    <m/>
    <m/>
    <m/>
    <x v="1682"/>
    <m/>
    <m/>
  </r>
  <r>
    <x v="56"/>
    <d v="2023-07-14T00:00:00"/>
    <s v="PowerPlus"/>
    <x v="3693"/>
    <n v="116.77"/>
    <x v="54"/>
    <m/>
    <s v="Exp - Insurance"/>
    <m/>
    <m/>
    <m/>
    <m/>
    <m/>
    <m/>
    <x v="3254"/>
    <m/>
    <m/>
  </r>
  <r>
    <x v="56"/>
    <d v="2023-07-16T00:00:00"/>
    <s v="Powerplus - Ending in 8s71"/>
    <x v="3936"/>
    <n v="7.15"/>
    <x v="38"/>
    <m/>
    <s v="Exp - Groceries"/>
    <m/>
    <m/>
    <m/>
    <m/>
    <m/>
    <m/>
    <x v="3482"/>
    <m/>
    <m/>
  </r>
  <r>
    <x v="56"/>
    <d v="2023-07-16T00:00:00"/>
    <s v="Powerplus - Ending in 8s72"/>
    <x v="3937"/>
    <n v="45.51"/>
    <x v="43"/>
    <m/>
    <s v="Exp - Travel"/>
    <m/>
    <m/>
    <m/>
    <m/>
    <m/>
    <m/>
    <x v="3483"/>
    <m/>
    <m/>
  </r>
  <r>
    <x v="56"/>
    <d v="2023-07-16T00:00:00"/>
    <s v="Powerplus - Ending in 8s73"/>
    <x v="3938"/>
    <n v="8.93"/>
    <x v="38"/>
    <m/>
    <s v="Exp - Groceries"/>
    <m/>
    <m/>
    <m/>
    <m/>
    <m/>
    <m/>
    <x v="3484"/>
    <m/>
    <m/>
  </r>
  <r>
    <x v="56"/>
    <d v="2023-07-17T00:00:00"/>
    <s v="Powerplus - Ending in 8s70"/>
    <x v="3939"/>
    <n v="45.93"/>
    <x v="41"/>
    <m/>
    <s v="Exp - Amazon"/>
    <m/>
    <m/>
    <m/>
    <m/>
    <m/>
    <m/>
    <x v="3485"/>
    <m/>
    <m/>
  </r>
  <r>
    <x v="56"/>
    <d v="2023-07-18T00:00:00"/>
    <s v="Delta Skymiles Platinum - Ending in 1007"/>
    <x v="3940"/>
    <n v="189.85"/>
    <x v="1"/>
    <s v="Restaurants"/>
    <m/>
    <m/>
    <m/>
    <m/>
    <m/>
    <m/>
    <m/>
    <x v="3486"/>
    <m/>
    <m/>
  </r>
  <r>
    <x v="56"/>
    <d v="2023-07-18T00:00:00"/>
    <s v="PowerPlus"/>
    <x v="3941"/>
    <n v="500"/>
    <x v="40"/>
    <m/>
    <s v="Exp - Day Care"/>
    <m/>
    <m/>
    <m/>
    <m/>
    <m/>
    <m/>
    <x v="3267"/>
    <m/>
    <m/>
  </r>
  <r>
    <x v="56"/>
    <d v="2023-07-19T00:00:00"/>
    <s v="Powerplus - Ending in 8s68"/>
    <x v="3942"/>
    <n v="951"/>
    <x v="40"/>
    <m/>
    <s v="Exp - Day Care"/>
    <m/>
    <m/>
    <m/>
    <m/>
    <m/>
    <m/>
    <x v="3487"/>
    <m/>
    <m/>
  </r>
  <r>
    <x v="56"/>
    <d v="2023-07-19T00:00:00"/>
    <s v="Delta Skymiles Platinum - Ending in 1007"/>
    <x v="139"/>
    <n v="161.24"/>
    <x v="24"/>
    <s v="Travel"/>
    <m/>
    <m/>
    <m/>
    <m/>
    <m/>
    <m/>
    <m/>
    <x v="138"/>
    <m/>
    <m/>
  </r>
  <r>
    <x v="56"/>
    <d v="2023-07-19T00:00:00"/>
    <s v="Delta Skymiles Platinum - Ending in 1007"/>
    <x v="3943"/>
    <n v="12.42"/>
    <x v="1"/>
    <s v="Restaurants"/>
    <m/>
    <m/>
    <m/>
    <m/>
    <m/>
    <m/>
    <m/>
    <x v="3488"/>
    <m/>
    <m/>
  </r>
  <r>
    <x v="56"/>
    <d v="2023-07-19T00:00:00"/>
    <s v="Delta Skymiles Platinum - Ending in 1007"/>
    <x v="3943"/>
    <n v="21.75"/>
    <x v="1"/>
    <s v="Travel"/>
    <m/>
    <m/>
    <m/>
    <m/>
    <m/>
    <m/>
    <m/>
    <x v="3488"/>
    <m/>
    <m/>
  </r>
  <r>
    <x v="56"/>
    <d v="2023-07-19T00:00:00"/>
    <s v="Powerplus - Ending in 8s69"/>
    <x v="3944"/>
    <n v="-59.5"/>
    <x v="32"/>
    <m/>
    <s v="Exp - Shopping"/>
    <m/>
    <m/>
    <m/>
    <m/>
    <m/>
    <m/>
    <x v="3489"/>
    <m/>
    <m/>
  </r>
  <r>
    <x v="56"/>
    <d v="2023-07-19T00:00:00"/>
    <s v="Delta Skymiles Platinum - Ending in 1007"/>
    <x v="3945"/>
    <n v="79.73"/>
    <x v="1"/>
    <s v="Restaurants"/>
    <m/>
    <m/>
    <m/>
    <m/>
    <m/>
    <m/>
    <m/>
    <x v="3490"/>
    <m/>
    <m/>
  </r>
  <r>
    <x v="56"/>
    <d v="2023-07-19T00:00:00"/>
    <s v="PowerPlus"/>
    <x v="1849"/>
    <n v="2.99"/>
    <x v="32"/>
    <m/>
    <s v="Exp - Shopping"/>
    <m/>
    <m/>
    <m/>
    <m/>
    <m/>
    <m/>
    <x v="1704"/>
    <m/>
    <m/>
  </r>
  <r>
    <x v="56"/>
    <d v="2023-07-19T00:00:00"/>
    <s v="PowerPlus"/>
    <x v="1827"/>
    <n v="30"/>
    <x v="32"/>
    <m/>
    <s v="Exp - Shopping"/>
    <m/>
    <m/>
    <m/>
    <m/>
    <m/>
    <m/>
    <x v="1682"/>
    <m/>
    <m/>
  </r>
  <r>
    <x v="56"/>
    <d v="2023-07-20T00:00:00"/>
    <s v="Discover More Card - Ending in 7779"/>
    <x v="0"/>
    <n v="10.73"/>
    <x v="0"/>
    <s v="Dry Cleaning"/>
    <m/>
    <m/>
    <m/>
    <m/>
    <m/>
    <m/>
    <m/>
    <x v="0"/>
    <m/>
    <m/>
  </r>
  <r>
    <x v="56"/>
    <d v="2023-07-20T00:00:00"/>
    <s v="Discover More Card - Ending in 7779"/>
    <x v="0"/>
    <n v="23.07"/>
    <x v="0"/>
    <s v="Dry Cleaning"/>
    <m/>
    <m/>
    <m/>
    <m/>
    <m/>
    <m/>
    <m/>
    <x v="0"/>
    <m/>
    <m/>
  </r>
  <r>
    <x v="56"/>
    <d v="2023-07-20T00:00:00"/>
    <s v="PowerPlus"/>
    <x v="1893"/>
    <n v="-2434.2199999999998"/>
    <x v="14"/>
    <m/>
    <s v="Inc - Britney"/>
    <m/>
    <m/>
    <m/>
    <m/>
    <m/>
    <m/>
    <x v="1746"/>
    <m/>
    <m/>
  </r>
  <r>
    <x v="56"/>
    <d v="2023-07-20T00:00:00"/>
    <s v="Powerplus - Ending in 8s67"/>
    <x v="3946"/>
    <n v="52"/>
    <x v="51"/>
    <m/>
    <s v="Exp - Gifts"/>
    <m/>
    <m/>
    <m/>
    <m/>
    <m/>
    <m/>
    <x v="3491"/>
    <m/>
    <m/>
  </r>
  <r>
    <x v="56"/>
    <d v="2023-07-20T00:00:00"/>
    <s v="Delta Skymiles Platinum - Ending in 1007"/>
    <x v="3947"/>
    <n v="74.36"/>
    <x v="1"/>
    <s v="Restaurants"/>
    <m/>
    <m/>
    <m/>
    <m/>
    <m/>
    <m/>
    <m/>
    <x v="3492"/>
    <m/>
    <m/>
  </r>
  <r>
    <x v="56"/>
    <d v="2023-07-20T00:00:00"/>
    <s v="Powerplus - Ending in 8s66"/>
    <x v="3948"/>
    <n v="4.25"/>
    <x v="39"/>
    <m/>
    <s v="Exp - Restaurants"/>
    <m/>
    <m/>
    <m/>
    <m/>
    <m/>
    <m/>
    <x v="3493"/>
    <m/>
    <m/>
  </r>
  <r>
    <x v="56"/>
    <d v="2023-07-20T00:00:00"/>
    <s v="Delta Skymiles Platinum - Ending in 1007"/>
    <x v="3949"/>
    <n v="70"/>
    <x v="32"/>
    <s v="Travel"/>
    <s v="Exp - Shopping"/>
    <m/>
    <m/>
    <m/>
    <m/>
    <m/>
    <m/>
    <x v="3494"/>
    <m/>
    <m/>
  </r>
  <r>
    <x v="56"/>
    <d v="2023-07-20T00:00:00"/>
    <s v="PowerPlus"/>
    <x v="1827"/>
    <n v="125"/>
    <x v="32"/>
    <m/>
    <s v="Exp - Shopping"/>
    <m/>
    <m/>
    <m/>
    <m/>
    <m/>
    <m/>
    <x v="1682"/>
    <m/>
    <m/>
  </r>
  <r>
    <x v="56"/>
    <d v="2023-07-20T00:00:00"/>
    <s v="Delta Skymiles Platinum - Ending in 1007"/>
    <x v="3506"/>
    <n v="-3411.32"/>
    <x v="3"/>
    <s v="Delete"/>
    <m/>
    <m/>
    <m/>
    <m/>
    <m/>
    <m/>
    <m/>
    <x v="3095"/>
    <m/>
    <m/>
  </r>
  <r>
    <x v="56"/>
    <d v="2023-07-21T00:00:00"/>
    <s v="Powerplus - Ending in 8s65"/>
    <x v="3950"/>
    <n v="11"/>
    <x v="42"/>
    <m/>
    <s v="Exp - Utilities"/>
    <m/>
    <m/>
    <m/>
    <m/>
    <m/>
    <m/>
    <x v="3495"/>
    <m/>
    <m/>
  </r>
  <r>
    <x v="56"/>
    <d v="2023-07-21T00:00:00"/>
    <s v="Powerplus - Ending in 8s64"/>
    <x v="3951"/>
    <n v="16.73"/>
    <x v="42"/>
    <m/>
    <s v="Exp - Utilities"/>
    <m/>
    <m/>
    <m/>
    <m/>
    <m/>
    <m/>
    <x v="3496"/>
    <m/>
    <m/>
  </r>
  <r>
    <x v="56"/>
    <d v="2023-07-21T00:00:00"/>
    <s v="PowerPlus"/>
    <x v="3952"/>
    <n v="77.849999999999994"/>
    <x v="42"/>
    <m/>
    <s v="Exp - Utilities"/>
    <m/>
    <m/>
    <m/>
    <m/>
    <m/>
    <m/>
    <x v="3287"/>
    <m/>
    <m/>
  </r>
  <r>
    <x v="56"/>
    <d v="2023-07-21T00:00:00"/>
    <s v="PowerPlus"/>
    <x v="3657"/>
    <n v="1638.6"/>
    <x v="3"/>
    <m/>
    <s v="Delete"/>
    <m/>
    <m/>
    <m/>
    <m/>
    <m/>
    <m/>
    <x v="3219"/>
    <m/>
    <m/>
  </r>
  <r>
    <x v="56"/>
    <d v="2023-07-21T00:00:00"/>
    <s v="Powerplus - Ending in 8s63"/>
    <x v="3953"/>
    <n v="-1638.6"/>
    <x v="3"/>
    <m/>
    <s v="Delete"/>
    <m/>
    <m/>
    <m/>
    <m/>
    <m/>
    <m/>
    <x v="3497"/>
    <m/>
    <m/>
  </r>
  <r>
    <x v="56"/>
    <d v="2023-07-21T00:00:00"/>
    <s v="PowerPlus"/>
    <x v="2020"/>
    <n v="3411.32"/>
    <x v="3"/>
    <m/>
    <s v="Delete"/>
    <m/>
    <m/>
    <m/>
    <m/>
    <m/>
    <m/>
    <x v="1870"/>
    <m/>
    <m/>
  </r>
  <r>
    <x v="56"/>
    <d v="2023-07-22T00:00:00"/>
    <s v="Discover More Card - Ending in 7779"/>
    <x v="1885"/>
    <n v="-8.6"/>
    <x v="23"/>
    <s v="Rewards"/>
    <m/>
    <m/>
    <m/>
    <m/>
    <m/>
    <m/>
    <m/>
    <x v="1738"/>
    <m/>
    <m/>
  </r>
  <r>
    <x v="56"/>
    <d v="2023-07-22T00:00:00"/>
    <s v="Delta Skymiles Platinum - Ending in 1007"/>
    <x v="3954"/>
    <n v="16.86"/>
    <x v="5"/>
    <s v="Groceries"/>
    <m/>
    <m/>
    <m/>
    <m/>
    <m/>
    <m/>
    <m/>
    <x v="3498"/>
    <m/>
    <m/>
  </r>
  <r>
    <x v="56"/>
    <d v="2023-07-22T00:00:00"/>
    <s v="Discover More Card - Ending in 7779"/>
    <x v="56"/>
    <n v="-384.46"/>
    <x v="3"/>
    <s v="Credit Card Payments"/>
    <m/>
    <m/>
    <m/>
    <m/>
    <m/>
    <m/>
    <m/>
    <x v="56"/>
    <m/>
    <m/>
  </r>
  <r>
    <x v="56"/>
    <d v="2023-07-23T00:00:00"/>
    <s v="Powerplus - Ending in 8s61"/>
    <x v="3955"/>
    <n v="476"/>
    <x v="40"/>
    <m/>
    <s v="Exp - Day Care"/>
    <m/>
    <m/>
    <m/>
    <m/>
    <m/>
    <m/>
    <x v="3499"/>
    <m/>
    <m/>
  </r>
  <r>
    <x v="56"/>
    <d v="2023-07-23T00:00:00"/>
    <s v="Powerplus - Ending in 8s60"/>
    <x v="3956"/>
    <n v="44.29"/>
    <x v="37"/>
    <m/>
    <s v="Exp - Transportation"/>
    <m/>
    <m/>
    <m/>
    <m/>
    <m/>
    <m/>
    <x v="3500"/>
    <m/>
    <m/>
  </r>
  <r>
    <x v="56"/>
    <d v="2023-07-23T00:00:00"/>
    <s v="Powerplus - Ending in 8s59"/>
    <x v="3957"/>
    <n v="5.37"/>
    <x v="37"/>
    <m/>
    <s v="Exp - Transportation"/>
    <m/>
    <m/>
    <m/>
    <m/>
    <m/>
    <m/>
    <x v="3501"/>
    <m/>
    <m/>
  </r>
  <r>
    <x v="56"/>
    <d v="2023-07-23T00:00:00"/>
    <s v="Powerplus - Ending in 8s62"/>
    <x v="3958"/>
    <n v="35.47"/>
    <x v="40"/>
    <m/>
    <s v="Exp - Day Care"/>
    <m/>
    <m/>
    <m/>
    <m/>
    <m/>
    <m/>
    <x v="3502"/>
    <m/>
    <m/>
  </r>
  <r>
    <x v="56"/>
    <d v="2023-07-24T00:00:00"/>
    <s v="Powerplus - Ending in 8s57"/>
    <x v="3959"/>
    <n v="20.38"/>
    <x v="41"/>
    <m/>
    <s v="Exp - Amazon"/>
    <m/>
    <m/>
    <m/>
    <m/>
    <m/>
    <m/>
    <x v="3503"/>
    <m/>
    <m/>
  </r>
  <r>
    <x v="56"/>
    <d v="2023-07-24T00:00:00"/>
    <s v="Powerplus - Ending in 8s55"/>
    <x v="3960"/>
    <n v="135.87"/>
    <x v="41"/>
    <m/>
    <s v="Exp - Amazon"/>
    <m/>
    <m/>
    <m/>
    <m/>
    <m/>
    <m/>
    <x v="3504"/>
    <m/>
    <m/>
  </r>
  <r>
    <x v="56"/>
    <d v="2023-07-24T00:00:00"/>
    <s v="Powerplus - Ending in 8s56"/>
    <x v="3961"/>
    <n v="33.979999999999997"/>
    <x v="41"/>
    <m/>
    <s v="Exp - Amazon"/>
    <m/>
    <m/>
    <m/>
    <m/>
    <m/>
    <m/>
    <x v="3505"/>
    <m/>
    <m/>
  </r>
  <r>
    <x v="56"/>
    <d v="2023-07-24T00:00:00"/>
    <s v="Powerplus - Ending in 8s54"/>
    <x v="3962"/>
    <n v="17.170000000000002"/>
    <x v="41"/>
    <m/>
    <s v="Exp - Amazon"/>
    <m/>
    <m/>
    <m/>
    <m/>
    <m/>
    <m/>
    <x v="3506"/>
    <m/>
    <m/>
  </r>
  <r>
    <x v="56"/>
    <d v="2023-07-24T00:00:00"/>
    <s v="Powerplus - Ending in 8s58"/>
    <x v="3963"/>
    <n v="11.26"/>
    <x v="41"/>
    <m/>
    <s v="Exp - Amazon"/>
    <m/>
    <m/>
    <m/>
    <m/>
    <m/>
    <m/>
    <x v="3507"/>
    <m/>
    <m/>
  </r>
  <r>
    <x v="56"/>
    <d v="2023-07-24T00:00:00"/>
    <s v="Delta Skymiles Platinum - Ending in 1007"/>
    <x v="3511"/>
    <n v="59.5"/>
    <x v="5"/>
    <s v="Groceries"/>
    <m/>
    <m/>
    <m/>
    <m/>
    <m/>
    <m/>
    <m/>
    <x v="3099"/>
    <m/>
    <m/>
  </r>
  <r>
    <x v="56"/>
    <d v="2023-07-24T00:00:00"/>
    <s v="Delta Skymiles Platinum - Ending in 1007"/>
    <x v="1338"/>
    <n v="147.13999999999999"/>
    <x v="5"/>
    <s v="Groceries"/>
    <m/>
    <m/>
    <m/>
    <m/>
    <m/>
    <m/>
    <m/>
    <x v="1265"/>
    <m/>
    <m/>
  </r>
  <r>
    <x v="56"/>
    <d v="2023-07-24T00:00:00"/>
    <s v="PowerPlus"/>
    <x v="1849"/>
    <n v="177"/>
    <x v="32"/>
    <m/>
    <s v="Exp - Shopping"/>
    <m/>
    <m/>
    <m/>
    <m/>
    <m/>
    <m/>
    <x v="1704"/>
    <m/>
    <m/>
  </r>
  <r>
    <x v="56"/>
    <d v="2023-07-24T00:00:00"/>
    <s v="PowerPlus"/>
    <x v="1827"/>
    <n v="100"/>
    <x v="32"/>
    <m/>
    <s v="Exp - Shopping"/>
    <m/>
    <m/>
    <m/>
    <m/>
    <m/>
    <m/>
    <x v="1682"/>
    <m/>
    <m/>
  </r>
  <r>
    <x v="56"/>
    <d v="2023-07-24T00:00:00"/>
    <s v="PowerPlus"/>
    <x v="1888"/>
    <n v="384.46"/>
    <x v="3"/>
    <m/>
    <s v="Delete"/>
    <m/>
    <m/>
    <m/>
    <m/>
    <m/>
    <m/>
    <x v="1741"/>
    <m/>
    <m/>
  </r>
  <r>
    <x v="56"/>
    <d v="2023-07-25T00:00:00"/>
    <s v="Discover More Card - Ending in 7779"/>
    <x v="1895"/>
    <n v="-118.62"/>
    <x v="0"/>
    <s v="Dry Cleaning"/>
    <m/>
    <m/>
    <m/>
    <m/>
    <m/>
    <m/>
    <m/>
    <x v="1748"/>
    <m/>
    <m/>
  </r>
  <r>
    <x v="56"/>
    <d v="2023-07-25T00:00:00"/>
    <s v="Powerplus - Ending in 8s53"/>
    <x v="3964"/>
    <n v="32.619999999999997"/>
    <x v="38"/>
    <m/>
    <s v="Exp - Groceries"/>
    <m/>
    <m/>
    <m/>
    <m/>
    <m/>
    <m/>
    <x v="3508"/>
    <m/>
    <m/>
  </r>
  <r>
    <x v="56"/>
    <d v="2023-07-25T00:00:00"/>
    <s v="Powerplus - Ending in 8s51"/>
    <x v="3965"/>
    <n v="17.010000000000002"/>
    <x v="32"/>
    <m/>
    <s v="Exp - Shopping"/>
    <m/>
    <m/>
    <m/>
    <m/>
    <m/>
    <m/>
    <x v="3509"/>
    <m/>
    <m/>
  </r>
  <r>
    <x v="56"/>
    <d v="2023-07-25T00:00:00"/>
    <s v="Delta Skymiles Platinum - Ending in 1007"/>
    <x v="627"/>
    <n v="84.02"/>
    <x v="2"/>
    <s v="Transportation"/>
    <m/>
    <m/>
    <m/>
    <m/>
    <m/>
    <m/>
    <m/>
    <x v="605"/>
    <m/>
    <m/>
  </r>
  <r>
    <x v="56"/>
    <d v="2023-07-25T00:00:00"/>
    <s v="PowerPlus"/>
    <x v="3729"/>
    <n v="500"/>
    <x v="52"/>
    <m/>
    <s v="Sav - Savings"/>
    <m/>
    <m/>
    <m/>
    <m/>
    <m/>
    <m/>
    <x v="3289"/>
    <m/>
    <m/>
  </r>
  <r>
    <x v="56"/>
    <d v="2023-07-25T00:00:00"/>
    <s v="Delta Skymiles Platinum - Ending in 1007"/>
    <x v="3966"/>
    <n v="-70"/>
    <x v="13"/>
    <s v="Delete"/>
    <s v="Inc - Other"/>
    <m/>
    <m/>
    <m/>
    <m/>
    <m/>
    <m/>
    <x v="3510"/>
    <m/>
    <m/>
  </r>
  <r>
    <x v="56"/>
    <d v="2023-07-25T00:00:00"/>
    <s v="Powerplus - Ending in 8s52"/>
    <x v="3967"/>
    <n v="16.96"/>
    <x v="37"/>
    <m/>
    <s v="Exp - Transportation"/>
    <m/>
    <m/>
    <m/>
    <m/>
    <m/>
    <m/>
    <x v="3511"/>
    <m/>
    <m/>
  </r>
  <r>
    <x v="56"/>
    <d v="2023-07-25T00:00:00"/>
    <s v="PowerPlus"/>
    <x v="3968"/>
    <n v="530"/>
    <x v="40"/>
    <m/>
    <s v="Exp - Day Care"/>
    <m/>
    <m/>
    <m/>
    <m/>
    <m/>
    <m/>
    <x v="3216"/>
    <m/>
    <m/>
  </r>
  <r>
    <x v="56"/>
    <d v="2023-07-25T00:00:00"/>
    <s v="PowerPlus"/>
    <x v="3734"/>
    <n v="665.76"/>
    <x v="3"/>
    <m/>
    <s v="Delete"/>
    <m/>
    <m/>
    <m/>
    <m/>
    <m/>
    <m/>
    <x v="3293"/>
    <m/>
    <m/>
  </r>
  <r>
    <x v="56"/>
    <d v="2023-07-26T00:00:00"/>
    <s v="Discover More Card - Ending in 7779"/>
    <x v="0"/>
    <n v="32.15"/>
    <x v="0"/>
    <s v="Amazon"/>
    <m/>
    <m/>
    <m/>
    <m/>
    <m/>
    <m/>
    <m/>
    <x v="0"/>
    <m/>
    <m/>
  </r>
  <r>
    <x v="56"/>
    <d v="2023-07-26T00:00:00"/>
    <s v="Powerplus - Ending in 8s50"/>
    <x v="3969"/>
    <n v="23.99"/>
    <x v="41"/>
    <m/>
    <s v="Exp - Amazon"/>
    <m/>
    <m/>
    <m/>
    <m/>
    <m/>
    <m/>
    <x v="3512"/>
    <m/>
    <m/>
  </r>
  <r>
    <x v="56"/>
    <d v="2023-07-26T00:00:00"/>
    <s v="Powerplus - Ending in 8s48"/>
    <x v="3970"/>
    <n v="544.63"/>
    <x v="38"/>
    <m/>
    <s v="Exp - Groceries"/>
    <m/>
    <m/>
    <m/>
    <m/>
    <m/>
    <m/>
    <x v="3513"/>
    <m/>
    <m/>
  </r>
  <r>
    <x v="56"/>
    <d v="2023-07-26T00:00:00"/>
    <s v="Powerplus - Ending in 8s47"/>
    <x v="3971"/>
    <n v="39.03"/>
    <x v="38"/>
    <m/>
    <s v="Exp - Groceries"/>
    <m/>
    <m/>
    <m/>
    <m/>
    <m/>
    <m/>
    <x v="3514"/>
    <m/>
    <m/>
  </r>
  <r>
    <x v="56"/>
    <d v="2023-07-26T00:00:00"/>
    <s v="Powerplus - Ending in 8s49"/>
    <x v="3972"/>
    <n v="57.5"/>
    <x v="37"/>
    <m/>
    <s v="Exp - Transportation"/>
    <m/>
    <m/>
    <m/>
    <m/>
    <m/>
    <m/>
    <x v="3515"/>
    <m/>
    <m/>
  </r>
  <r>
    <x v="56"/>
    <d v="2023-07-26T00:00:00"/>
    <s v="PowerPlus"/>
    <x v="1827"/>
    <n v="125"/>
    <x v="32"/>
    <m/>
    <s v="Exp - Shopping"/>
    <m/>
    <m/>
    <m/>
    <m/>
    <m/>
    <m/>
    <x v="1682"/>
    <m/>
    <m/>
  </r>
  <r>
    <x v="56"/>
    <d v="2023-07-26T00:00:00"/>
    <s v="PowerPlus"/>
    <x v="1827"/>
    <n v="125"/>
    <x v="32"/>
    <m/>
    <s v="Exp - Shopping"/>
    <m/>
    <m/>
    <m/>
    <m/>
    <m/>
    <m/>
    <x v="1682"/>
    <m/>
    <m/>
  </r>
  <r>
    <x v="56"/>
    <d v="2023-07-27T00:00:00"/>
    <s v="Powerplus - Ending in 8s44"/>
    <x v="3973"/>
    <n v="58.98"/>
    <x v="41"/>
    <m/>
    <s v="Exp - Amazon"/>
    <m/>
    <m/>
    <m/>
    <m/>
    <m/>
    <m/>
    <x v="3516"/>
    <m/>
    <m/>
  </r>
  <r>
    <x v="56"/>
    <d v="2023-07-27T00:00:00"/>
    <s v="Powerplus - Ending in 8s43"/>
    <x v="3974"/>
    <n v="26.81"/>
    <x v="41"/>
    <m/>
    <s v="Exp - Amazon"/>
    <m/>
    <m/>
    <m/>
    <m/>
    <m/>
    <m/>
    <x v="3517"/>
    <m/>
    <m/>
  </r>
  <r>
    <x v="56"/>
    <d v="2023-07-27T00:00:00"/>
    <s v="PowerPlus"/>
    <x v="1893"/>
    <n v="-60362.77"/>
    <x v="14"/>
    <m/>
    <s v="Inc - Britney"/>
    <m/>
    <m/>
    <m/>
    <m/>
    <m/>
    <m/>
    <x v="1746"/>
    <m/>
    <m/>
  </r>
  <r>
    <x v="56"/>
    <d v="2023-07-27T00:00:00"/>
    <s v="Powerplus - Ending in 8s45"/>
    <x v="3975"/>
    <n v="24.35"/>
    <x v="38"/>
    <m/>
    <s v="Exp - Groceries"/>
    <m/>
    <m/>
    <m/>
    <m/>
    <m/>
    <m/>
    <x v="3518"/>
    <m/>
    <m/>
  </r>
  <r>
    <x v="56"/>
    <d v="2023-07-27T00:00:00"/>
    <s v="Powerplus - Ending in 8s46"/>
    <x v="3976"/>
    <n v="10.74"/>
    <x v="40"/>
    <m/>
    <s v="Exp - Day Care"/>
    <m/>
    <m/>
    <m/>
    <m/>
    <m/>
    <m/>
    <x v="3519"/>
    <m/>
    <m/>
  </r>
  <r>
    <x v="56"/>
    <d v="2023-07-27T00:00:00"/>
    <s v="PowerPlus"/>
    <x v="1827"/>
    <n v="40.28"/>
    <x v="32"/>
    <m/>
    <s v="Exp - Shopping"/>
    <m/>
    <m/>
    <m/>
    <m/>
    <m/>
    <m/>
    <x v="1682"/>
    <m/>
    <m/>
  </r>
  <r>
    <x v="56"/>
    <d v="2023-07-27T00:00:00"/>
    <s v="Delta Skymiles Platinum - Ending in 1007"/>
    <x v="3977"/>
    <n v="100"/>
    <x v="24"/>
    <s v="Travel"/>
    <m/>
    <m/>
    <m/>
    <m/>
    <m/>
    <m/>
    <m/>
    <x v="3520"/>
    <m/>
    <m/>
  </r>
  <r>
    <x v="56"/>
    <d v="2023-07-28T00:00:00"/>
    <s v="Powerplus - Ending in 8s39"/>
    <x v="3978"/>
    <n v="-45.93"/>
    <x v="41"/>
    <m/>
    <s v="Exp - Amazon"/>
    <m/>
    <m/>
    <m/>
    <m/>
    <m/>
    <m/>
    <x v="3521"/>
    <m/>
    <m/>
  </r>
  <r>
    <x v="56"/>
    <d v="2023-07-28T00:00:00"/>
    <s v="Powerplus - Ending in 8s37"/>
    <x v="3979"/>
    <n v="-33.979999999999997"/>
    <x v="41"/>
    <m/>
    <s v="Exp - Amazon"/>
    <m/>
    <m/>
    <m/>
    <m/>
    <m/>
    <m/>
    <x v="3522"/>
    <m/>
    <m/>
  </r>
  <r>
    <x v="56"/>
    <d v="2023-07-28T00:00:00"/>
    <s v="Powerplus - Ending in 8s36"/>
    <x v="3980"/>
    <n v="-28"/>
    <x v="41"/>
    <m/>
    <s v="Exp - Amazon"/>
    <m/>
    <m/>
    <m/>
    <m/>
    <m/>
    <m/>
    <x v="3523"/>
    <m/>
    <m/>
  </r>
  <r>
    <x v="56"/>
    <d v="2023-07-28T00:00:00"/>
    <s v="Powerplus - Ending in 8s35"/>
    <x v="3981"/>
    <n v="-16.91"/>
    <x v="41"/>
    <m/>
    <s v="Exp - Amazon"/>
    <m/>
    <m/>
    <m/>
    <m/>
    <m/>
    <m/>
    <x v="3524"/>
    <m/>
    <m/>
  </r>
  <r>
    <x v="56"/>
    <d v="2023-07-28T00:00:00"/>
    <s v="Powerplus - Ending in 8s38"/>
    <x v="3982"/>
    <n v="-29.99"/>
    <x v="41"/>
    <m/>
    <s v="Exp - Amazon"/>
    <m/>
    <m/>
    <m/>
    <m/>
    <m/>
    <m/>
    <x v="3525"/>
    <m/>
    <m/>
  </r>
  <r>
    <x v="56"/>
    <d v="2023-07-28T00:00:00"/>
    <s v="Powerplus - Ending in 8s40"/>
    <x v="3983"/>
    <n v="71.97"/>
    <x v="41"/>
    <m/>
    <s v="Exp - Amazon"/>
    <m/>
    <m/>
    <m/>
    <m/>
    <m/>
    <m/>
    <x v="3526"/>
    <m/>
    <m/>
  </r>
  <r>
    <x v="56"/>
    <d v="2023-07-28T00:00:00"/>
    <s v="Powerplus - Ending in 8s41"/>
    <x v="3984"/>
    <n v="28.96"/>
    <x v="41"/>
    <m/>
    <s v="Exp - Amazon"/>
    <m/>
    <m/>
    <m/>
    <m/>
    <m/>
    <m/>
    <x v="3527"/>
    <m/>
    <m/>
  </r>
  <r>
    <x v="56"/>
    <d v="2023-07-28T00:00:00"/>
    <s v="Powerplus - Ending in 8s42"/>
    <x v="3985"/>
    <n v="14.02"/>
    <x v="38"/>
    <m/>
    <s v="Exp - Groceries"/>
    <m/>
    <m/>
    <m/>
    <m/>
    <m/>
    <m/>
    <x v="3528"/>
    <m/>
    <m/>
  </r>
  <r>
    <x v="56"/>
    <d v="2023-07-28T00:00:00"/>
    <s v="Delta Skymiles Platinum - Ending in 1007"/>
    <x v="3556"/>
    <n v="20.97"/>
    <x v="5"/>
    <s v="Groceries"/>
    <m/>
    <m/>
    <m/>
    <m/>
    <m/>
    <m/>
    <m/>
    <x v="3136"/>
    <m/>
    <m/>
  </r>
  <r>
    <x v="56"/>
    <d v="2023-07-28T00:00:00"/>
    <s v="Delta Skymiles Platinum - Ending in 1007"/>
    <x v="3556"/>
    <n v="27.56"/>
    <x v="5"/>
    <s v="Groceries"/>
    <m/>
    <m/>
    <m/>
    <m/>
    <m/>
    <m/>
    <m/>
    <x v="3136"/>
    <m/>
    <m/>
  </r>
  <r>
    <x v="56"/>
    <d v="2023-07-28T00:00:00"/>
    <s v="Delta Skymiles Platinum - Ending in 1007"/>
    <x v="1674"/>
    <n v="75.930000000000007"/>
    <x v="1"/>
    <s v="Restaurants"/>
    <m/>
    <m/>
    <m/>
    <m/>
    <m/>
    <m/>
    <m/>
    <x v="1556"/>
    <m/>
    <m/>
  </r>
  <r>
    <x v="56"/>
    <d v="2023-07-28T00:00:00"/>
    <s v="PowerPlus"/>
    <x v="1849"/>
    <n v="0.99"/>
    <x v="32"/>
    <m/>
    <s v="Exp - Shopping"/>
    <m/>
    <m/>
    <m/>
    <m/>
    <m/>
    <m/>
    <x v="1704"/>
    <m/>
    <m/>
  </r>
  <r>
    <x v="56"/>
    <d v="2023-07-28T00:00:00"/>
    <s v="PowerPlus"/>
    <x v="3657"/>
    <n v="1638.6"/>
    <x v="3"/>
    <m/>
    <s v="Delete"/>
    <m/>
    <m/>
    <m/>
    <m/>
    <m/>
    <m/>
    <x v="3219"/>
    <m/>
    <m/>
  </r>
  <r>
    <x v="56"/>
    <d v="2023-07-28T00:00:00"/>
    <s v="Powerplus - Ending in 8s34"/>
    <x v="3986"/>
    <n v="-1638.6"/>
    <x v="3"/>
    <m/>
    <s v="Delete"/>
    <m/>
    <m/>
    <m/>
    <m/>
    <m/>
    <m/>
    <x v="3529"/>
    <m/>
    <m/>
  </r>
  <r>
    <x v="56"/>
    <d v="2023-07-29T00:00:00"/>
    <s v="Delta Skymiles Platinum - Ending in 1007"/>
    <x v="3987"/>
    <n v="37.85"/>
    <x v="5"/>
    <s v="Groceries"/>
    <m/>
    <m/>
    <m/>
    <m/>
    <m/>
    <m/>
    <m/>
    <x v="3530"/>
    <m/>
    <m/>
  </r>
  <r>
    <x v="56"/>
    <d v="2023-07-29T00:00:00"/>
    <s v="Delta Skymiles Platinum - Ending in 1007"/>
    <x v="1861"/>
    <n v="1835.05"/>
    <x v="3"/>
    <s v="Empyrean Travel"/>
    <m/>
    <s v="Ireland trip for work"/>
    <m/>
    <m/>
    <m/>
    <m/>
    <m/>
    <x v="1715"/>
    <m/>
    <m/>
  </r>
  <r>
    <x v="56"/>
    <d v="2023-07-30T00:00:00"/>
    <s v="Discover More Card - Ending in 7779"/>
    <x v="0"/>
    <n v="18.239999999999998"/>
    <x v="0"/>
    <s v="Dry Cleaning"/>
    <m/>
    <m/>
    <m/>
    <m/>
    <m/>
    <m/>
    <m/>
    <x v="0"/>
    <m/>
    <m/>
  </r>
  <r>
    <x v="56"/>
    <d v="2023-07-30T00:00:00"/>
    <s v="Powerplus - Ending in 8s31"/>
    <x v="3988"/>
    <n v="7.18"/>
    <x v="41"/>
    <m/>
    <s v="Exp - Amazon"/>
    <m/>
    <m/>
    <m/>
    <m/>
    <m/>
    <m/>
    <x v="3531"/>
    <m/>
    <m/>
  </r>
  <r>
    <x v="56"/>
    <d v="2023-07-30T00:00:00"/>
    <s v="Delta Skymiles Platinum - Ending in 1007"/>
    <x v="2048"/>
    <n v="46.75"/>
    <x v="1"/>
    <s v="Restaurants"/>
    <m/>
    <m/>
    <m/>
    <m/>
    <m/>
    <m/>
    <m/>
    <x v="1898"/>
    <m/>
    <m/>
  </r>
  <r>
    <x v="56"/>
    <d v="2023-07-30T00:00:00"/>
    <s v="Powerplus - Ending in 8s30"/>
    <x v="3989"/>
    <n v="6.29"/>
    <x v="37"/>
    <m/>
    <s v="Exp - Transportation"/>
    <m/>
    <m/>
    <m/>
    <m/>
    <m/>
    <m/>
    <x v="3532"/>
    <m/>
    <m/>
  </r>
  <r>
    <x v="56"/>
    <d v="2023-07-30T00:00:00"/>
    <s v="Powerplus - Ending in 8s33"/>
    <x v="3990"/>
    <n v="78"/>
    <x v="32"/>
    <m/>
    <s v="Exp - Shopping"/>
    <m/>
    <m/>
    <m/>
    <m/>
    <m/>
    <m/>
    <x v="3533"/>
    <m/>
    <m/>
  </r>
  <r>
    <x v="56"/>
    <d v="2023-07-30T00:00:00"/>
    <s v="PowerPlus"/>
    <x v="3684"/>
    <n v="-3342.8"/>
    <x v="15"/>
    <m/>
    <s v="Inc - Jeff"/>
    <m/>
    <m/>
    <m/>
    <m/>
    <m/>
    <m/>
    <x v="3245"/>
    <m/>
    <m/>
  </r>
  <r>
    <x v="56"/>
    <d v="2023-07-30T00:00:00"/>
    <s v="Powerplus - Ending in 8s32"/>
    <x v="3991"/>
    <n v="10.73"/>
    <x v="35"/>
    <m/>
    <s v="Exp - Entertainment"/>
    <m/>
    <m/>
    <m/>
    <m/>
    <m/>
    <m/>
    <x v="3534"/>
    <m/>
    <m/>
  </r>
  <r>
    <x v="56"/>
    <d v="2023-07-31T00:00:00"/>
    <s v="Delta Skymiles Platinum - Ending in 1007"/>
    <x v="3992"/>
    <n v="8.1199999999999992"/>
    <x v="39"/>
    <s v="Delete - Other Expenses"/>
    <s v="Exp - Restaurants"/>
    <m/>
    <m/>
    <m/>
    <m/>
    <m/>
    <m/>
    <x v="3535"/>
    <m/>
    <m/>
  </r>
  <r>
    <x v="56"/>
    <d v="2023-07-31T00:00:00"/>
    <s v="Cash"/>
    <x v="1850"/>
    <n v="250"/>
    <x v="33"/>
    <m/>
    <s v="Exp - Cleaning"/>
    <m/>
    <m/>
    <m/>
    <m/>
    <m/>
    <m/>
    <x v="1705"/>
    <m/>
    <m/>
  </r>
  <r>
    <x v="56"/>
    <d v="2023-07-31T00:00:00"/>
    <s v="PowerPlus"/>
    <x v="2412"/>
    <n v="-3.95"/>
    <x v="13"/>
    <m/>
    <s v="Inc - Other"/>
    <m/>
    <m/>
    <m/>
    <m/>
    <m/>
    <m/>
    <x v="2228"/>
    <m/>
    <m/>
  </r>
  <r>
    <x v="56"/>
    <d v="2023-07-31T00:00:00"/>
    <s v="PowerPlus"/>
    <x v="3993"/>
    <n v="-50.17"/>
    <x v="13"/>
    <m/>
    <s v="Inc - Other"/>
    <m/>
    <m/>
    <m/>
    <m/>
    <m/>
    <m/>
    <x v="3536"/>
    <m/>
    <m/>
  </r>
  <r>
    <x v="57"/>
    <d v="2023-08-01T00:00:00"/>
    <s v="Discover More Card - Ending in 7779"/>
    <x v="0"/>
    <n v="21.42"/>
    <x v="41"/>
    <s v="Dry Cleaning"/>
    <s v="Exp - Amazon"/>
    <m/>
    <m/>
    <m/>
    <m/>
    <m/>
    <m/>
    <x v="0"/>
    <m/>
    <m/>
  </r>
  <r>
    <x v="57"/>
    <d v="2023-08-01T00:00:00"/>
    <s v="Powerplus - Ending in 8s97"/>
    <x v="3994"/>
    <n v="5.36"/>
    <x v="41"/>
    <m/>
    <s v="Exp - Amazon"/>
    <m/>
    <m/>
    <m/>
    <m/>
    <m/>
    <m/>
    <x v="3537"/>
    <m/>
    <m/>
  </r>
  <r>
    <x v="57"/>
    <d v="2023-08-01T00:00:00"/>
    <s v="Powerplus - Ending in 8s96"/>
    <x v="3995"/>
    <n v="40"/>
    <x v="35"/>
    <m/>
    <s v="Exp - Entertainment"/>
    <m/>
    <m/>
    <m/>
    <m/>
    <m/>
    <m/>
    <x v="3538"/>
    <m/>
    <m/>
  </r>
  <r>
    <x v="57"/>
    <d v="2023-08-01T00:00:00"/>
    <s v="Delta Skymiles Platinum - Ending in 1007"/>
    <x v="34"/>
    <n v="102.55"/>
    <x v="45"/>
    <s v="Target"/>
    <s v="Exp - Target"/>
    <m/>
    <m/>
    <m/>
    <m/>
    <m/>
    <m/>
    <x v="34"/>
    <m/>
    <m/>
  </r>
  <r>
    <x v="57"/>
    <d v="2023-08-01T00:00:00"/>
    <s v="Powerplus - Ending in 8s67"/>
    <x v="3996"/>
    <n v="500"/>
    <x v="3"/>
    <m/>
    <s v="Delete"/>
    <m/>
    <m/>
    <m/>
    <m/>
    <m/>
    <m/>
    <x v="3539"/>
    <m/>
    <m/>
  </r>
  <r>
    <x v="57"/>
    <d v="2023-08-01T00:00:00"/>
    <s v="Powerplus - Ending in 8s68"/>
    <x v="3997"/>
    <n v="265"/>
    <x v="40"/>
    <m/>
    <s v="Exp - Day Care"/>
    <m/>
    <m/>
    <m/>
    <m/>
    <m/>
    <m/>
    <x v="3216"/>
    <m/>
    <m/>
  </r>
  <r>
    <x v="57"/>
    <d v="2023-08-01T00:00:00"/>
    <s v="Powerplus - Ending in 8s69"/>
    <x v="3998"/>
    <n v="618.65"/>
    <x v="48"/>
    <m/>
    <s v="Exp - Car Loan"/>
    <m/>
    <m/>
    <m/>
    <m/>
    <m/>
    <m/>
    <x v="3540"/>
    <m/>
    <m/>
  </r>
  <r>
    <x v="57"/>
    <d v="2023-08-01T00:00:00"/>
    <s v="Powerplus - Ending in 8s66"/>
    <x v="1844"/>
    <n v="2606.27"/>
    <x v="53"/>
    <m/>
    <s v="Exp - Rent"/>
    <m/>
    <m/>
    <m/>
    <m/>
    <m/>
    <m/>
    <x v="1699"/>
    <m/>
    <m/>
  </r>
  <r>
    <x v="57"/>
    <d v="2023-08-02T00:00:00"/>
    <s v="Powerplus - Ending in 8s94"/>
    <x v="3999"/>
    <n v="-154.02000000000001"/>
    <x v="32"/>
    <m/>
    <s v="Exp - Shopping"/>
    <m/>
    <m/>
    <m/>
    <m/>
    <m/>
    <m/>
    <x v="3541"/>
    <m/>
    <m/>
  </r>
  <r>
    <x v="57"/>
    <d v="2023-08-02T00:00:00"/>
    <s v="Powerplus - Ending in 8s95"/>
    <x v="4000"/>
    <n v="37.840000000000003"/>
    <x v="38"/>
    <m/>
    <s v="Exp - Groceries"/>
    <m/>
    <m/>
    <m/>
    <m/>
    <m/>
    <m/>
    <x v="3542"/>
    <m/>
    <m/>
  </r>
  <r>
    <x v="57"/>
    <d v="2023-08-02T00:00:00"/>
    <s v="Delta Skymiles Platinum - Ending in 1007"/>
    <x v="4001"/>
    <n v="-216"/>
    <x v="32"/>
    <s v="Refunds &amp; Reimbursements"/>
    <s v="Exp - Shopping"/>
    <m/>
    <m/>
    <m/>
    <m/>
    <m/>
    <m/>
    <x v="3543"/>
    <m/>
    <m/>
  </r>
  <r>
    <x v="57"/>
    <d v="2023-08-02T00:00:00"/>
    <s v="Powerplus - Ending in 8s65"/>
    <x v="3729"/>
    <n v="40000"/>
    <x v="3"/>
    <m/>
    <s v="Delete"/>
    <m/>
    <m/>
    <m/>
    <m/>
    <m/>
    <m/>
    <x v="3289"/>
    <m/>
    <m/>
  </r>
  <r>
    <x v="57"/>
    <d v="2023-08-02T00:00:00"/>
    <s v="Delta Skymiles Platinum - Ending in 1007"/>
    <x v="4002"/>
    <n v="127.78"/>
    <x v="32"/>
    <s v="Restaurants"/>
    <s v="Exp - Shopping"/>
    <m/>
    <m/>
    <m/>
    <m/>
    <m/>
    <m/>
    <x v="3544"/>
    <m/>
    <m/>
  </r>
  <r>
    <x v="57"/>
    <d v="2023-08-03T00:00:00"/>
    <s v="Powerplus - Ending in 8s92"/>
    <x v="4003"/>
    <n v="24.99"/>
    <x v="41"/>
    <m/>
    <s v="Exp - Amazon"/>
    <m/>
    <m/>
    <m/>
    <m/>
    <m/>
    <m/>
    <x v="3545"/>
    <m/>
    <m/>
  </r>
  <r>
    <x v="57"/>
    <d v="2023-08-03T00:00:00"/>
    <s v="Powerplus - Ending in 8s91"/>
    <x v="4004"/>
    <n v="10.19"/>
    <x v="41"/>
    <m/>
    <s v="Exp - Amazon"/>
    <m/>
    <m/>
    <m/>
    <m/>
    <m/>
    <m/>
    <x v="3546"/>
    <m/>
    <m/>
  </r>
  <r>
    <x v="57"/>
    <d v="2023-08-03T00:00:00"/>
    <s v="Delta Skymiles Platinum - Ending in 1007"/>
    <x v="1530"/>
    <n v="766.62"/>
    <x v="37"/>
    <s v="Transportation"/>
    <s v="Exp - Transportation"/>
    <m/>
    <m/>
    <m/>
    <m/>
    <m/>
    <m/>
    <x v="1435"/>
    <m/>
    <m/>
  </r>
  <r>
    <x v="57"/>
    <d v="2023-08-03T00:00:00"/>
    <s v="Powerplus - Ending in 8s64"/>
    <x v="1893"/>
    <n v="-3524.05"/>
    <x v="14"/>
    <m/>
    <s v="Inc - Britney"/>
    <m/>
    <m/>
    <m/>
    <m/>
    <m/>
    <m/>
    <x v="1746"/>
    <m/>
    <m/>
  </r>
  <r>
    <x v="57"/>
    <d v="2023-08-03T00:00:00"/>
    <s v="Delta Skymiles Platinum - Ending in 1007"/>
    <x v="4005"/>
    <n v="15.55"/>
    <x v="39"/>
    <s v="Restaurants"/>
    <s v="Exp - Restaurants"/>
    <m/>
    <m/>
    <m/>
    <m/>
    <m/>
    <m/>
    <x v="3547"/>
    <m/>
    <m/>
  </r>
  <r>
    <x v="57"/>
    <d v="2023-08-03T00:00:00"/>
    <s v="Delta Skymiles Platinum - Ending in 1007"/>
    <x v="1955"/>
    <n v="17.309999999999999"/>
    <x v="39"/>
    <s v="Restaurants"/>
    <s v="Exp - Restaurants"/>
    <m/>
    <m/>
    <m/>
    <m/>
    <m/>
    <m/>
    <x v="1807"/>
    <m/>
    <m/>
  </r>
  <r>
    <x v="57"/>
    <d v="2023-08-03T00:00:00"/>
    <s v="Powerplus - Ending in 8s93"/>
    <x v="4006"/>
    <n v="892.5"/>
    <x v="40"/>
    <m/>
    <s v="Exp - Day Care"/>
    <m/>
    <m/>
    <m/>
    <m/>
    <m/>
    <m/>
    <x v="3548"/>
    <m/>
    <m/>
  </r>
  <r>
    <x v="57"/>
    <d v="2023-08-03T00:00:00"/>
    <s v="Delta Skymiles Platinum - Ending in 1007"/>
    <x v="1837"/>
    <n v="40"/>
    <x v="19"/>
    <s v="House Maintenance"/>
    <m/>
    <m/>
    <m/>
    <m/>
    <m/>
    <m/>
    <m/>
    <x v="1692"/>
    <m/>
    <m/>
  </r>
  <r>
    <x v="57"/>
    <d v="2023-08-04T00:00:00"/>
    <s v="Delta Skymiles Platinum - Ending in 1007"/>
    <x v="4007"/>
    <n v="21.14"/>
    <x v="39"/>
    <s v="Groceries"/>
    <s v="Exp - Restaurants"/>
    <m/>
    <m/>
    <m/>
    <m/>
    <m/>
    <m/>
    <x v="3549"/>
    <m/>
    <m/>
  </r>
  <r>
    <x v="57"/>
    <d v="2023-08-04T00:00:00"/>
    <s v="Delta Skymiles Platinum - Ending in 1007"/>
    <x v="59"/>
    <n v="20.57"/>
    <x v="39"/>
    <s v="Restaurants"/>
    <s v="Exp - Restaurants"/>
    <m/>
    <m/>
    <m/>
    <m/>
    <m/>
    <m/>
    <x v="59"/>
    <m/>
    <m/>
  </r>
  <r>
    <x v="57"/>
    <d v="2023-08-04T00:00:00"/>
    <s v="Delta Skymiles Platinum - Ending in 1007"/>
    <x v="577"/>
    <n v="10.199999999999999"/>
    <x v="1"/>
    <s v="Restaurants"/>
    <m/>
    <m/>
    <m/>
    <m/>
    <m/>
    <m/>
    <m/>
    <x v="558"/>
    <m/>
    <m/>
  </r>
  <r>
    <x v="57"/>
    <d v="2023-08-04T00:00:00"/>
    <s v="Delta Skymiles Platinum - Ending in 1007"/>
    <x v="2"/>
    <n v="61.33"/>
    <x v="2"/>
    <s v="Transportation"/>
    <m/>
    <m/>
    <m/>
    <m/>
    <m/>
    <m/>
    <m/>
    <x v="2"/>
    <m/>
    <m/>
  </r>
  <r>
    <x v="57"/>
    <d v="2023-08-04T00:00:00"/>
    <s v="Delta Skymiles Platinum - Ending in 1007"/>
    <x v="4008"/>
    <n v="73.94"/>
    <x v="1"/>
    <s v="Restaurants"/>
    <m/>
    <m/>
    <m/>
    <m/>
    <m/>
    <m/>
    <m/>
    <x v="3550"/>
    <m/>
    <m/>
  </r>
  <r>
    <x v="57"/>
    <d v="2023-08-05T00:00:00"/>
    <s v="Delta Skymiles Platinum - Ending in 1007"/>
    <x v="4009"/>
    <n v="4.99"/>
    <x v="37"/>
    <s v="Car Loan"/>
    <s v="Exp - Transportation"/>
    <m/>
    <m/>
    <m/>
    <m/>
    <m/>
    <m/>
    <x v="3551"/>
    <m/>
    <m/>
  </r>
  <r>
    <x v="57"/>
    <d v="2023-08-05T00:00:00"/>
    <s v="Delta Skymiles Platinum - Ending in 1007"/>
    <x v="4009"/>
    <n v="57.44"/>
    <x v="37"/>
    <s v="Car Loan"/>
    <s v="Exp - Transportation"/>
    <m/>
    <m/>
    <m/>
    <m/>
    <m/>
    <m/>
    <x v="3551"/>
    <m/>
    <m/>
  </r>
  <r>
    <x v="57"/>
    <d v="2023-08-05T00:00:00"/>
    <s v="Delta Skymiles Platinum - Ending in 1007"/>
    <x v="6"/>
    <n v="38.090000000000003"/>
    <x v="5"/>
    <s v="Groceries"/>
    <m/>
    <m/>
    <m/>
    <m/>
    <m/>
    <m/>
    <m/>
    <x v="6"/>
    <m/>
    <m/>
  </r>
  <r>
    <x v="57"/>
    <d v="2023-08-06T00:00:00"/>
    <s v="Delta Skymiles Platinum - Ending in 1007"/>
    <x v="57"/>
    <n v="307.47000000000003"/>
    <x v="25"/>
    <s v="Groceries"/>
    <m/>
    <m/>
    <m/>
    <m/>
    <m/>
    <m/>
    <m/>
    <x v="57"/>
    <m/>
    <m/>
  </r>
  <r>
    <x v="57"/>
    <d v="2023-08-06T00:00:00"/>
    <s v="Powerplus - Ending in 8s89"/>
    <x v="4010"/>
    <n v="18.77"/>
    <x v="35"/>
    <m/>
    <s v="Exp - Entertainment"/>
    <m/>
    <m/>
    <m/>
    <m/>
    <m/>
    <m/>
    <x v="3552"/>
    <m/>
    <m/>
  </r>
  <r>
    <x v="57"/>
    <d v="2023-08-06T00:00:00"/>
    <s v="Delta Skymiles Platinum - Ending in 1007"/>
    <x v="59"/>
    <n v="23.31"/>
    <x v="39"/>
    <s v="Restaurants"/>
    <s v="Exp - Restaurants"/>
    <m/>
    <m/>
    <m/>
    <m/>
    <m/>
    <m/>
    <x v="59"/>
    <m/>
    <m/>
  </r>
  <r>
    <x v="57"/>
    <d v="2023-08-06T00:00:00"/>
    <s v="Powerplus - Ending in 8s90"/>
    <x v="4011"/>
    <n v="17.61"/>
    <x v="37"/>
    <m/>
    <s v="Exp - Transportation"/>
    <m/>
    <m/>
    <m/>
    <m/>
    <m/>
    <m/>
    <x v="3553"/>
    <m/>
    <m/>
  </r>
  <r>
    <x v="57"/>
    <d v="2023-08-06T00:00:00"/>
    <s v="Powerplus - Ending in 8s87"/>
    <x v="4012"/>
    <n v="93.96"/>
    <x v="32"/>
    <m/>
    <s v="Exp - Shopping"/>
    <m/>
    <m/>
    <m/>
    <m/>
    <m/>
    <m/>
    <x v="3554"/>
    <m/>
    <m/>
  </r>
  <r>
    <x v="57"/>
    <d v="2023-08-06T00:00:00"/>
    <s v="Powerplus - Ending in 8s84"/>
    <x v="4013"/>
    <n v="15.37"/>
    <x v="39"/>
    <m/>
    <s v="Exp - Restaurants"/>
    <m/>
    <m/>
    <m/>
    <m/>
    <m/>
    <m/>
    <x v="3555"/>
    <m/>
    <m/>
  </r>
  <r>
    <x v="57"/>
    <d v="2023-08-06T00:00:00"/>
    <s v="Powerplus - Ending in 8s86"/>
    <x v="4014"/>
    <n v="227.95"/>
    <x v="32"/>
    <m/>
    <s v="Exp - Shopping"/>
    <m/>
    <m/>
    <m/>
    <m/>
    <m/>
    <m/>
    <x v="3556"/>
    <m/>
    <m/>
  </r>
  <r>
    <x v="57"/>
    <d v="2023-08-06T00:00:00"/>
    <s v="Delta Skymiles Platinum - Ending in 1007"/>
    <x v="1338"/>
    <n v="105.97"/>
    <x v="5"/>
    <s v="Groceries"/>
    <m/>
    <m/>
    <m/>
    <m/>
    <m/>
    <m/>
    <m/>
    <x v="1265"/>
    <m/>
    <m/>
  </r>
  <r>
    <x v="57"/>
    <d v="2023-08-06T00:00:00"/>
    <s v="Powerplus - Ending in 8s85"/>
    <x v="4015"/>
    <n v="9"/>
    <x v="39"/>
    <m/>
    <s v="Exp - Restaurants"/>
    <m/>
    <m/>
    <m/>
    <m/>
    <m/>
    <m/>
    <x v="3557"/>
    <m/>
    <m/>
  </r>
  <r>
    <x v="57"/>
    <d v="2023-08-06T00:00:00"/>
    <s v="Powerplus - Ending in 8s88"/>
    <x v="4016"/>
    <n v="31.94"/>
    <x v="3"/>
    <m/>
    <s v="Delete"/>
    <m/>
    <m/>
    <m/>
    <m/>
    <m/>
    <m/>
    <x v="3558"/>
    <m/>
    <m/>
  </r>
  <r>
    <x v="57"/>
    <d v="2023-08-07T00:00:00"/>
    <s v="Discover More Card - Ending in 7779"/>
    <x v="0"/>
    <n v="19.27"/>
    <x v="41"/>
    <s v="Dry Cleaning"/>
    <s v="Exp - Amazon"/>
    <m/>
    <m/>
    <m/>
    <m/>
    <m/>
    <m/>
    <x v="0"/>
    <m/>
    <m/>
  </r>
  <r>
    <x v="57"/>
    <d v="2023-08-07T00:00:00"/>
    <s v="Delta Skymiles Platinum - Ending in 1007"/>
    <x v="4017"/>
    <n v="59.85"/>
    <x v="38"/>
    <s v="Restaurants"/>
    <s v="Exp - Groceries"/>
    <m/>
    <m/>
    <m/>
    <m/>
    <m/>
    <m/>
    <x v="3559"/>
    <m/>
    <m/>
  </r>
  <r>
    <x v="57"/>
    <d v="2023-08-07T00:00:00"/>
    <s v="Delta Skymiles Platinum - Ending in 1007"/>
    <x v="1338"/>
    <n v="60.4"/>
    <x v="5"/>
    <s v="Groceries"/>
    <m/>
    <m/>
    <m/>
    <m/>
    <m/>
    <m/>
    <m/>
    <x v="1265"/>
    <m/>
    <m/>
  </r>
  <r>
    <x v="57"/>
    <d v="2023-08-08T00:00:00"/>
    <s v="Discover More Card - Ending in 7779"/>
    <x v="0"/>
    <n v="139.58000000000001"/>
    <x v="41"/>
    <s v="Amazon"/>
    <s v="Exp - Amazon"/>
    <m/>
    <m/>
    <m/>
    <m/>
    <m/>
    <m/>
    <x v="0"/>
    <m/>
    <m/>
  </r>
  <r>
    <x v="57"/>
    <d v="2023-08-08T00:00:00"/>
    <s v="Powerplus - Ending in 8s80"/>
    <x v="4018"/>
    <n v="13.42"/>
    <x v="41"/>
    <m/>
    <s v="Exp - Amazon"/>
    <m/>
    <m/>
    <m/>
    <m/>
    <m/>
    <m/>
    <x v="3560"/>
    <m/>
    <m/>
  </r>
  <r>
    <x v="57"/>
    <d v="2023-08-08T00:00:00"/>
    <s v="Powerplus - Ending in 8s82"/>
    <x v="4019"/>
    <n v="37.56"/>
    <x v="41"/>
    <m/>
    <s v="Exp - Amazon"/>
    <m/>
    <m/>
    <m/>
    <m/>
    <m/>
    <m/>
    <x v="3561"/>
    <m/>
    <m/>
  </r>
  <r>
    <x v="57"/>
    <d v="2023-08-08T00:00:00"/>
    <s v="Powerplus - Ending in 8s79"/>
    <x v="4020"/>
    <n v="11.8"/>
    <x v="41"/>
    <m/>
    <s v="Exp - Amazon"/>
    <m/>
    <m/>
    <m/>
    <m/>
    <m/>
    <m/>
    <x v="3562"/>
    <m/>
    <m/>
  </r>
  <r>
    <x v="57"/>
    <d v="2023-08-08T00:00:00"/>
    <s v="Powerplus - Ending in 8s81"/>
    <x v="4021"/>
    <n v="36.99"/>
    <x v="41"/>
    <m/>
    <s v="Exp - Amazon"/>
    <m/>
    <m/>
    <m/>
    <m/>
    <m/>
    <m/>
    <x v="3563"/>
    <m/>
    <m/>
  </r>
  <r>
    <x v="57"/>
    <d v="2023-08-08T00:00:00"/>
    <s v="Delta Skymiles Platinum - Ending in 1007"/>
    <x v="4022"/>
    <n v="27"/>
    <x v="40"/>
    <s v="Delete - Personal Care"/>
    <s v="Exp - Day Care"/>
    <m/>
    <m/>
    <m/>
    <m/>
    <m/>
    <m/>
    <x v="3564"/>
    <m/>
    <m/>
  </r>
  <r>
    <x v="57"/>
    <d v="2023-08-08T00:00:00"/>
    <s v="Powerplus - Ending in 8s83"/>
    <x v="4023"/>
    <n v="8.09"/>
    <x v="37"/>
    <m/>
    <s v="Exp - Transportation"/>
    <m/>
    <m/>
    <m/>
    <m/>
    <m/>
    <m/>
    <x v="3565"/>
    <m/>
    <m/>
  </r>
  <r>
    <x v="57"/>
    <d v="2023-08-08T00:00:00"/>
    <s v="Delta Skymiles Platinum - Ending in 1007"/>
    <x v="188"/>
    <n v="36.24"/>
    <x v="39"/>
    <s v="Restaurants"/>
    <s v="Exp - Restaurants"/>
    <m/>
    <m/>
    <m/>
    <m/>
    <m/>
    <m/>
    <x v="187"/>
    <m/>
    <m/>
  </r>
  <r>
    <x v="57"/>
    <d v="2023-08-08T00:00:00"/>
    <s v="Delta Skymiles Platinum - Ending in 1007"/>
    <x v="4024"/>
    <n v="22.44"/>
    <x v="1"/>
    <s v="Restaurants"/>
    <m/>
    <m/>
    <m/>
    <m/>
    <m/>
    <m/>
    <m/>
    <x v="3566"/>
    <m/>
    <m/>
  </r>
  <r>
    <x v="57"/>
    <d v="2023-08-08T00:00:00"/>
    <s v="Powerplus - Ending in 8s62"/>
    <x v="4025"/>
    <n v="265"/>
    <x v="40"/>
    <m/>
    <s v="Exp - Day Care"/>
    <m/>
    <m/>
    <m/>
    <m/>
    <m/>
    <m/>
    <x v="3216"/>
    <m/>
    <m/>
  </r>
  <r>
    <x v="57"/>
    <d v="2023-08-08T00:00:00"/>
    <s v="Powerplus - Ending in 8s78"/>
    <x v="4026"/>
    <n v="38.99"/>
    <x v="42"/>
    <m/>
    <s v="Exp - Utilities"/>
    <m/>
    <m/>
    <m/>
    <m/>
    <m/>
    <m/>
    <x v="3567"/>
    <m/>
    <m/>
  </r>
  <r>
    <x v="57"/>
    <d v="2023-08-08T00:00:00"/>
    <s v="Powerplus - Ending in 8s63"/>
    <x v="1987"/>
    <n v="174.78"/>
    <x v="42"/>
    <m/>
    <s v="Exp - Utilities"/>
    <m/>
    <m/>
    <m/>
    <m/>
    <m/>
    <m/>
    <x v="1837"/>
    <m/>
    <m/>
  </r>
  <r>
    <x v="57"/>
    <d v="2023-08-09T00:00:00"/>
    <s v="Powerplus - Ending in 8s76"/>
    <x v="4027"/>
    <n v="12"/>
    <x v="35"/>
    <m/>
    <s v="Exp - Entertainment"/>
    <m/>
    <m/>
    <m/>
    <m/>
    <m/>
    <m/>
    <x v="3568"/>
    <m/>
    <m/>
  </r>
  <r>
    <x v="57"/>
    <d v="2023-08-09T00:00:00"/>
    <s v="Delta Skymiles Platinum - Ending in 1007"/>
    <x v="3511"/>
    <n v="49.98"/>
    <x v="5"/>
    <s v="Groceries"/>
    <m/>
    <m/>
    <m/>
    <m/>
    <m/>
    <m/>
    <m/>
    <x v="3099"/>
    <m/>
    <m/>
  </r>
  <r>
    <x v="57"/>
    <d v="2023-08-09T00:00:00"/>
    <s v="Powerplus - Ending in 8s77"/>
    <x v="4028"/>
    <n v="47.25"/>
    <x v="49"/>
    <m/>
    <s v="Exp - Gym"/>
    <m/>
    <m/>
    <m/>
    <m/>
    <m/>
    <m/>
    <x v="3569"/>
    <m/>
    <m/>
  </r>
  <r>
    <x v="57"/>
    <d v="2023-08-09T00:00:00"/>
    <s v="Delta Skymiles Platinum - Ending in 1007"/>
    <x v="34"/>
    <n v="47.74"/>
    <x v="45"/>
    <s v="Target"/>
    <s v="Exp - Target"/>
    <m/>
    <m/>
    <m/>
    <m/>
    <m/>
    <m/>
    <x v="34"/>
    <m/>
    <m/>
  </r>
  <r>
    <x v="57"/>
    <d v="2023-08-09T00:00:00"/>
    <s v="Powerplus - Ending in 8s75"/>
    <x v="4029"/>
    <n v="6.18"/>
    <x v="36"/>
    <m/>
    <s v="Exp - House Maint"/>
    <m/>
    <m/>
    <m/>
    <m/>
    <m/>
    <m/>
    <x v="3570"/>
    <m/>
    <m/>
  </r>
  <r>
    <x v="57"/>
    <d v="2023-08-09T00:00:00"/>
    <s v="Powerplus - Ending in 8s61"/>
    <x v="1890"/>
    <n v="116.84"/>
    <x v="42"/>
    <m/>
    <s v="Exp - Utilities"/>
    <m/>
    <m/>
    <m/>
    <m/>
    <m/>
    <m/>
    <x v="1743"/>
    <m/>
    <m/>
  </r>
  <r>
    <x v="57"/>
    <d v="2023-08-09T00:00:00"/>
    <s v="Powerplus - Ending in 8s60"/>
    <x v="1869"/>
    <n v="193.55"/>
    <x v="42"/>
    <m/>
    <s v="Exp - Utilities"/>
    <m/>
    <m/>
    <m/>
    <m/>
    <m/>
    <m/>
    <x v="1723"/>
    <m/>
    <m/>
  </r>
  <r>
    <x v="57"/>
    <d v="2023-08-10T00:00:00"/>
    <s v="Powerplus - Ending in 8s72"/>
    <x v="4030"/>
    <n v="33.54"/>
    <x v="37"/>
    <m/>
    <s v="Exp - Transportation"/>
    <m/>
    <m/>
    <m/>
    <m/>
    <m/>
    <m/>
    <x v="3571"/>
    <m/>
    <m/>
  </r>
  <r>
    <x v="57"/>
    <d v="2023-08-10T00:00:00"/>
    <s v="Powerplus - Ending in 8s73"/>
    <x v="4031"/>
    <n v="130"/>
    <x v="32"/>
    <m/>
    <s v="Exp - Shopping"/>
    <m/>
    <m/>
    <m/>
    <m/>
    <m/>
    <m/>
    <x v="3572"/>
    <m/>
    <m/>
  </r>
  <r>
    <x v="57"/>
    <d v="2023-08-10T00:00:00"/>
    <s v="Powerplus - Ending in 8s74"/>
    <x v="4032"/>
    <n v="123.36"/>
    <x v="39"/>
    <m/>
    <s v="Exp - Restaurants"/>
    <m/>
    <m/>
    <m/>
    <m/>
    <m/>
    <m/>
    <x v="3573"/>
    <m/>
    <m/>
  </r>
  <r>
    <x v="57"/>
    <d v="2023-08-10T00:00:00"/>
    <s v="Delta Skymiles Platinum - Ending in 1007"/>
    <x v="1338"/>
    <n v="51.6"/>
    <x v="5"/>
    <s v="Groceries"/>
    <m/>
    <m/>
    <m/>
    <m/>
    <m/>
    <m/>
    <m/>
    <x v="1265"/>
    <m/>
    <m/>
  </r>
  <r>
    <x v="57"/>
    <d v="2023-08-11T00:00:00"/>
    <s v="Delta Skymiles Platinum - Ending in 1007"/>
    <x v="4033"/>
    <n v="3.46"/>
    <x v="37"/>
    <s v="Restaurants"/>
    <s v="Exp - Transportation"/>
    <m/>
    <m/>
    <m/>
    <m/>
    <m/>
    <m/>
    <x v="3574"/>
    <m/>
    <m/>
  </r>
  <r>
    <x v="57"/>
    <d v="2023-08-11T00:00:00"/>
    <s v="Powerplus - Ending in 8s70"/>
    <x v="4034"/>
    <n v="3.75"/>
    <x v="38"/>
    <m/>
    <s v="Exp - Groceries"/>
    <m/>
    <m/>
    <m/>
    <m/>
    <m/>
    <m/>
    <x v="3575"/>
    <m/>
    <m/>
  </r>
  <r>
    <x v="57"/>
    <d v="2023-08-11T00:00:00"/>
    <s v="Powerplus - Ending in 8s69"/>
    <x v="4035"/>
    <n v="122.46"/>
    <x v="38"/>
    <m/>
    <s v="Exp - Groceries"/>
    <m/>
    <m/>
    <m/>
    <m/>
    <m/>
    <m/>
    <x v="3576"/>
    <m/>
    <m/>
  </r>
  <r>
    <x v="57"/>
    <d v="2023-08-11T00:00:00"/>
    <s v="Delta Skymiles Platinum - Ending in 1007"/>
    <x v="6"/>
    <n v="43.61"/>
    <x v="5"/>
    <s v="Groceries"/>
    <m/>
    <m/>
    <m/>
    <m/>
    <m/>
    <m/>
    <m/>
    <x v="6"/>
    <m/>
    <m/>
  </r>
  <r>
    <x v="57"/>
    <d v="2023-08-11T00:00:00"/>
    <s v="Delta Skymiles Platinum - Ending in 1007"/>
    <x v="3556"/>
    <n v="7.13"/>
    <x v="5"/>
    <s v="Groceries"/>
    <m/>
    <m/>
    <m/>
    <m/>
    <m/>
    <m/>
    <m/>
    <x v="3136"/>
    <m/>
    <m/>
  </r>
  <r>
    <x v="57"/>
    <d v="2023-08-11T00:00:00"/>
    <s v="Delta Skymiles Platinum - Ending in 1007"/>
    <x v="977"/>
    <n v="49.61"/>
    <x v="1"/>
    <s v="Restaurants"/>
    <m/>
    <m/>
    <m/>
    <m/>
    <m/>
    <m/>
    <m/>
    <x v="937"/>
    <m/>
    <m/>
  </r>
  <r>
    <x v="57"/>
    <d v="2023-08-11T00:00:00"/>
    <s v="Delta Skymiles Platinum - Ending in 1007"/>
    <x v="4036"/>
    <n v="57.98"/>
    <x v="11"/>
    <s v="Car Loan"/>
    <m/>
    <m/>
    <m/>
    <m/>
    <m/>
    <m/>
    <m/>
    <x v="3577"/>
    <m/>
    <m/>
  </r>
  <r>
    <x v="57"/>
    <d v="2023-08-11T00:00:00"/>
    <s v="Powerplus - Ending in 8s71"/>
    <x v="4037"/>
    <n v="25.36"/>
    <x v="42"/>
    <m/>
    <s v="Exp - Utilities"/>
    <m/>
    <m/>
    <m/>
    <m/>
    <m/>
    <m/>
    <x v="3578"/>
    <m/>
    <m/>
  </r>
  <r>
    <x v="57"/>
    <d v="2023-08-11T00:00:00"/>
    <s v="Powerplus - Ending in 8s68"/>
    <x v="4038"/>
    <n v="-57.68"/>
    <x v="32"/>
    <m/>
    <s v="Exp - Shopping"/>
    <m/>
    <m/>
    <m/>
    <m/>
    <m/>
    <m/>
    <x v="3579"/>
    <m/>
    <m/>
  </r>
  <r>
    <x v="57"/>
    <d v="2023-08-11T00:00:00"/>
    <s v="Delta Skymiles Platinum - Ending in 1007"/>
    <x v="4039"/>
    <n v="28"/>
    <x v="35"/>
    <s v="Car Loan"/>
    <s v="Exp - Entertainment"/>
    <m/>
    <m/>
    <m/>
    <m/>
    <m/>
    <m/>
    <x v="3580"/>
    <m/>
    <m/>
  </r>
  <r>
    <x v="57"/>
    <d v="2023-08-11T00:00:00"/>
    <s v="Delta Skymiles Platinum - Ending in 1007"/>
    <x v="4039"/>
    <n v="48"/>
    <x v="35"/>
    <s v="Car Loan"/>
    <s v="Exp - Entertainment"/>
    <m/>
    <m/>
    <m/>
    <m/>
    <m/>
    <m/>
    <x v="3580"/>
    <m/>
    <m/>
  </r>
  <r>
    <x v="57"/>
    <d v="2023-08-11T00:00:00"/>
    <s v="Powerplus - Ending in 8s59"/>
    <x v="1827"/>
    <n v="125"/>
    <x v="32"/>
    <m/>
    <s v="Exp - Shopping"/>
    <m/>
    <m/>
    <m/>
    <m/>
    <m/>
    <m/>
    <x v="1682"/>
    <m/>
    <m/>
  </r>
  <r>
    <x v="57"/>
    <d v="2023-08-11T00:00:00"/>
    <s v="Delta Skymiles Platinum - Ending in 1007"/>
    <x v="4040"/>
    <n v="23.83"/>
    <x v="1"/>
    <s v="Restaurants"/>
    <m/>
    <m/>
    <m/>
    <m/>
    <m/>
    <m/>
    <m/>
    <x v="3581"/>
    <m/>
    <m/>
  </r>
  <r>
    <x v="57"/>
    <d v="2023-08-12T00:00:00"/>
    <s v="Delta Skymiles Platinum - Ending in 1007"/>
    <x v="6"/>
    <n v="68.62"/>
    <x v="5"/>
    <s v="Groceries"/>
    <m/>
    <m/>
    <m/>
    <m/>
    <m/>
    <m/>
    <m/>
    <x v="6"/>
    <m/>
    <m/>
  </r>
  <r>
    <x v="57"/>
    <d v="2023-08-13T00:00:00"/>
    <s v="Delta Skymiles Platinum - Ending in 1007"/>
    <x v="4041"/>
    <n v="23.67"/>
    <x v="37"/>
    <s v="Delete - Other Expenses"/>
    <s v="Exp - Transportation"/>
    <m/>
    <m/>
    <m/>
    <m/>
    <m/>
    <m/>
    <x v="3582"/>
    <m/>
    <m/>
  </r>
  <r>
    <x v="57"/>
    <d v="2023-08-13T00:00:00"/>
    <s v="Delta Skymiles Platinum - Ending in 1007"/>
    <x v="4042"/>
    <n v="5.68"/>
    <x v="37"/>
    <s v="Delete - Other Expenses"/>
    <s v="Exp - Transportation"/>
    <m/>
    <m/>
    <m/>
    <m/>
    <m/>
    <m/>
    <x v="3583"/>
    <m/>
    <m/>
  </r>
  <r>
    <x v="57"/>
    <d v="2023-08-13T00:00:00"/>
    <s v="Powerplus - Ending in 8s66"/>
    <x v="4043"/>
    <n v="45"/>
    <x v="42"/>
    <m/>
    <s v="Exp - Utilities"/>
    <m/>
    <m/>
    <m/>
    <m/>
    <m/>
    <m/>
    <x v="3584"/>
    <m/>
    <m/>
  </r>
  <r>
    <x v="57"/>
    <d v="2023-08-13T00:00:00"/>
    <s v="Powerplus - Ending in 8s65"/>
    <x v="4044"/>
    <n v="5.99"/>
    <x v="35"/>
    <m/>
    <s v="Exp - Entertainment"/>
    <m/>
    <m/>
    <m/>
    <m/>
    <m/>
    <m/>
    <x v="3585"/>
    <m/>
    <m/>
  </r>
  <r>
    <x v="57"/>
    <d v="2023-08-13T00:00:00"/>
    <s v="Delta Skymiles Platinum - Ending in 1007"/>
    <x v="4045"/>
    <n v="36.92"/>
    <x v="39"/>
    <s v="Delete - Office Maintenance"/>
    <s v="Exp - Restaurants"/>
    <m/>
    <m/>
    <m/>
    <m/>
    <m/>
    <m/>
    <x v="3586"/>
    <m/>
    <m/>
  </r>
  <r>
    <x v="57"/>
    <d v="2023-08-13T00:00:00"/>
    <s v="Powerplus - Ending in 8s58"/>
    <x v="3684"/>
    <n v="-3342.8"/>
    <x v="15"/>
    <m/>
    <s v="Inc - Jeff"/>
    <m/>
    <m/>
    <m/>
    <m/>
    <m/>
    <m/>
    <x v="3245"/>
    <m/>
    <m/>
  </r>
  <r>
    <x v="57"/>
    <d v="2023-08-13T00:00:00"/>
    <s v="Powerplus - Ending in 8s67"/>
    <x v="4046"/>
    <n v="19.440000000000001"/>
    <x v="46"/>
    <m/>
    <s v="Exp - Healthcare"/>
    <m/>
    <m/>
    <m/>
    <m/>
    <m/>
    <m/>
    <x v="3587"/>
    <m/>
    <m/>
  </r>
  <r>
    <x v="57"/>
    <d v="2023-08-14T00:00:00"/>
    <s v="Powerplus - Ending in 8s55"/>
    <x v="3787"/>
    <n v="-61.97"/>
    <x v="15"/>
    <m/>
    <s v="Inc - Jeff"/>
    <m/>
    <m/>
    <m/>
    <m/>
    <m/>
    <m/>
    <x v="3342"/>
    <m/>
    <m/>
  </r>
  <r>
    <x v="57"/>
    <d v="2023-08-14T00:00:00"/>
    <s v="Powerplus - Ending in 8s63"/>
    <x v="4047"/>
    <n v="35.950000000000003"/>
    <x v="31"/>
    <m/>
    <s v="Exp - House"/>
    <m/>
    <m/>
    <m/>
    <m/>
    <m/>
    <m/>
    <x v="3588"/>
    <m/>
    <m/>
  </r>
  <r>
    <x v="57"/>
    <d v="2023-08-14T00:00:00"/>
    <s v="Powerplus - Ending in 8s64"/>
    <x v="4048"/>
    <n v="11.76"/>
    <x v="3"/>
    <m/>
    <s v="Delete"/>
    <m/>
    <m/>
    <m/>
    <m/>
    <m/>
    <m/>
    <x v="3589"/>
    <m/>
    <m/>
  </r>
  <r>
    <x v="57"/>
    <d v="2023-08-14T00:00:00"/>
    <s v="Powerplus - Ending in 8s56"/>
    <x v="3657"/>
    <n v="2075.09"/>
    <x v="3"/>
    <m/>
    <s v="Delete"/>
    <m/>
    <m/>
    <m/>
    <m/>
    <m/>
    <m/>
    <x v="3219"/>
    <m/>
    <m/>
  </r>
  <r>
    <x v="57"/>
    <d v="2023-08-14T00:00:00"/>
    <s v="Delta Skymiles Platinum - Ending in 1007"/>
    <x v="3506"/>
    <n v="-5262.85"/>
    <x v="3"/>
    <s v="Delete"/>
    <s v="Delete"/>
    <m/>
    <m/>
    <m/>
    <m/>
    <m/>
    <m/>
    <x v="3095"/>
    <m/>
    <m/>
  </r>
  <r>
    <x v="57"/>
    <d v="2023-08-14T00:00:00"/>
    <s v="Powerplus - Ending in 8s62"/>
    <x v="4049"/>
    <n v="-2075.09"/>
    <x v="3"/>
    <m/>
    <s v="Delete"/>
    <m/>
    <m/>
    <m/>
    <m/>
    <m/>
    <m/>
    <x v="3590"/>
    <m/>
    <m/>
  </r>
  <r>
    <x v="57"/>
    <d v="2023-08-14T00:00:00"/>
    <s v="Powerplus - Ending in 8s57"/>
    <x v="3693"/>
    <n v="116.77"/>
    <x v="54"/>
    <m/>
    <s v="Exp - Insurance"/>
    <m/>
    <m/>
    <m/>
    <m/>
    <m/>
    <m/>
    <x v="3254"/>
    <m/>
    <m/>
  </r>
  <r>
    <x v="57"/>
    <d v="2023-08-15T00:00:00"/>
    <s v="Discover More Card - Ending in 7779"/>
    <x v="0"/>
    <n v="15.02"/>
    <x v="41"/>
    <s v="Dry Cleaning"/>
    <s v="Exp - Amazon"/>
    <m/>
    <m/>
    <m/>
    <m/>
    <m/>
    <m/>
    <x v="0"/>
    <m/>
    <m/>
  </r>
  <r>
    <x v="57"/>
    <d v="2023-08-15T00:00:00"/>
    <s v="Powerplus - Ending in 8s54"/>
    <x v="4050"/>
    <n v="265"/>
    <x v="40"/>
    <m/>
    <s v="Exp - Day Care"/>
    <m/>
    <m/>
    <m/>
    <m/>
    <m/>
    <m/>
    <x v="3216"/>
    <m/>
    <m/>
  </r>
  <r>
    <x v="57"/>
    <d v="2023-08-15T00:00:00"/>
    <s v="Powerplus - Ending in 8s53"/>
    <x v="2020"/>
    <n v="5262.85"/>
    <x v="3"/>
    <m/>
    <s v="Delete"/>
    <m/>
    <m/>
    <m/>
    <m/>
    <m/>
    <m/>
    <x v="1870"/>
    <m/>
    <m/>
  </r>
  <r>
    <x v="57"/>
    <d v="2023-08-16T00:00:00"/>
    <s v="Discover More Card - Ending in 7779"/>
    <x v="0"/>
    <n v="32.200000000000003"/>
    <x v="41"/>
    <s v="Dry Cleaning"/>
    <s v="Exp - Amazon"/>
    <m/>
    <m/>
    <m/>
    <m/>
    <m/>
    <m/>
    <x v="0"/>
    <m/>
    <m/>
  </r>
  <r>
    <x v="57"/>
    <d v="2023-08-16T00:00:00"/>
    <s v="Powerplus - Ending in 8s61"/>
    <x v="4051"/>
    <n v="7.74"/>
    <x v="39"/>
    <m/>
    <s v="Exp - Restaurants"/>
    <m/>
    <m/>
    <m/>
    <m/>
    <m/>
    <m/>
    <x v="3591"/>
    <m/>
    <m/>
  </r>
  <r>
    <x v="57"/>
    <d v="2023-08-16T00:00:00"/>
    <s v="Powerplus - Ending in 8s52"/>
    <x v="4052"/>
    <n v="205"/>
    <x v="26"/>
    <m/>
    <m/>
    <m/>
    <m/>
    <m/>
    <m/>
    <m/>
    <m/>
    <x v="3592"/>
    <m/>
    <m/>
  </r>
  <r>
    <x v="57"/>
    <d v="2023-08-17T00:00:00"/>
    <s v="Powerplus - Ending in 8s50"/>
    <x v="1893"/>
    <n v="-3630.74"/>
    <x v="14"/>
    <m/>
    <s v="Inc - Britney"/>
    <m/>
    <m/>
    <m/>
    <m/>
    <m/>
    <m/>
    <x v="1746"/>
    <m/>
    <m/>
  </r>
  <r>
    <x v="57"/>
    <d v="2023-08-17T00:00:00"/>
    <s v="Powerplus - Ending in 8s51"/>
    <x v="4053"/>
    <n v="-2417.85"/>
    <x v="15"/>
    <m/>
    <s v="Inc - Jeff"/>
    <m/>
    <m/>
    <m/>
    <m/>
    <m/>
    <m/>
    <x v="3260"/>
    <m/>
    <m/>
  </r>
  <r>
    <x v="57"/>
    <d v="2023-08-17T00:00:00"/>
    <s v="Delta Skymiles Platinum - Ending in 1007"/>
    <x v="4054"/>
    <n v="39.159999999999997"/>
    <x v="39"/>
    <s v="Restaurants"/>
    <s v="Exp - Restaurants"/>
    <m/>
    <m/>
    <m/>
    <m/>
    <m/>
    <m/>
    <x v="3593"/>
    <m/>
    <m/>
  </r>
  <r>
    <x v="57"/>
    <d v="2023-08-18T00:00:00"/>
    <s v="Discover More Card - Ending in 7779"/>
    <x v="2057"/>
    <n v="-33.799999999999997"/>
    <x v="3"/>
    <s v="Credit Card Payments"/>
    <s v="Delete"/>
    <m/>
    <m/>
    <m/>
    <m/>
    <m/>
    <m/>
    <x v="1907"/>
    <m/>
    <m/>
  </r>
  <r>
    <x v="57"/>
    <d v="2023-08-18T00:00:00"/>
    <s v="Delta Skymiles Platinum - Ending in 1007"/>
    <x v="4055"/>
    <n v="14.96"/>
    <x v="10"/>
    <s v="Entertainment"/>
    <m/>
    <m/>
    <m/>
    <m/>
    <m/>
    <m/>
    <m/>
    <x v="3594"/>
    <m/>
    <m/>
  </r>
  <r>
    <x v="57"/>
    <d v="2023-08-18T00:00:00"/>
    <s v="Delta Skymiles Platinum - Ending in 1007"/>
    <x v="1881"/>
    <n v="56.25"/>
    <x v="5"/>
    <s v="Groceries"/>
    <m/>
    <m/>
    <m/>
    <m/>
    <m/>
    <m/>
    <m/>
    <x v="1734"/>
    <m/>
    <m/>
  </r>
  <r>
    <x v="57"/>
    <d v="2023-08-18T00:00:00"/>
    <s v="Powerplus - Ending in 8s49"/>
    <x v="4056"/>
    <n v="650"/>
    <x v="40"/>
    <m/>
    <s v="Exp - Day Care"/>
    <m/>
    <m/>
    <m/>
    <m/>
    <m/>
    <m/>
    <x v="3267"/>
    <m/>
    <m/>
  </r>
  <r>
    <x v="57"/>
    <d v="2023-08-20T00:00:00"/>
    <s v="Powerplus - Ending in 8s60"/>
    <x v="4057"/>
    <n v="178.5"/>
    <x v="40"/>
    <m/>
    <s v="Exp - Day Care"/>
    <m/>
    <m/>
    <m/>
    <m/>
    <m/>
    <m/>
    <x v="3595"/>
    <m/>
    <m/>
  </r>
  <r>
    <x v="57"/>
    <d v="2023-08-20T00:00:00"/>
    <s v="Delta Skymiles Platinum - Ending in 1007"/>
    <x v="4058"/>
    <n v="116.2"/>
    <x v="39"/>
    <s v="Restaurants"/>
    <s v="Exp - Restaurants"/>
    <m/>
    <m/>
    <m/>
    <m/>
    <m/>
    <m/>
    <x v="3596"/>
    <m/>
    <m/>
  </r>
  <r>
    <x v="57"/>
    <d v="2023-08-21T00:00:00"/>
    <s v="Powerplus - Ending in 8s59"/>
    <x v="4059"/>
    <n v="11"/>
    <x v="42"/>
    <m/>
    <s v="Exp - Utilities"/>
    <m/>
    <m/>
    <m/>
    <m/>
    <m/>
    <m/>
    <x v="3597"/>
    <m/>
    <m/>
  </r>
  <r>
    <x v="57"/>
    <d v="2023-08-21T00:00:00"/>
    <s v="Delta Skymiles Platinum - Ending in 1007"/>
    <x v="59"/>
    <n v="12.24"/>
    <x v="39"/>
    <s v="Restaurants"/>
    <s v="Exp - Restaurants"/>
    <m/>
    <m/>
    <m/>
    <m/>
    <m/>
    <m/>
    <x v="59"/>
    <m/>
    <m/>
  </r>
  <r>
    <x v="57"/>
    <d v="2023-08-21T00:00:00"/>
    <s v="Powerplus - Ending in 8s45"/>
    <x v="4060"/>
    <n v="-3000"/>
    <x v="3"/>
    <m/>
    <s v="Delete"/>
    <m/>
    <m/>
    <m/>
    <m/>
    <m/>
    <m/>
    <x v="3598"/>
    <m/>
    <m/>
  </r>
  <r>
    <x v="57"/>
    <d v="2023-08-21T00:00:00"/>
    <s v="Delta Skymiles Platinum - Ending in 1007"/>
    <x v="4061"/>
    <n v="518"/>
    <x v="10"/>
    <s v="Entertainment"/>
    <m/>
    <m/>
    <m/>
    <m/>
    <m/>
    <m/>
    <m/>
    <x v="3599"/>
    <m/>
    <m/>
  </r>
  <r>
    <x v="57"/>
    <d v="2023-08-21T00:00:00"/>
    <s v="Delta Skymiles Platinum - Ending in 1007"/>
    <x v="823"/>
    <n v="69.39"/>
    <x v="2"/>
    <s v="Transportation"/>
    <m/>
    <m/>
    <m/>
    <m/>
    <m/>
    <m/>
    <m/>
    <x v="792"/>
    <m/>
    <m/>
  </r>
  <r>
    <x v="57"/>
    <d v="2023-08-21T00:00:00"/>
    <s v="Delta Skymiles Platinum - Ending in 1007"/>
    <x v="1898"/>
    <n v="123.38"/>
    <x v="1"/>
    <s v="Restaurants"/>
    <m/>
    <m/>
    <m/>
    <m/>
    <m/>
    <m/>
    <m/>
    <x v="1751"/>
    <m/>
    <m/>
  </r>
  <r>
    <x v="57"/>
    <d v="2023-08-21T00:00:00"/>
    <s v="Powerplus - Ending in 8s48"/>
    <x v="1849"/>
    <n v="2.99"/>
    <x v="32"/>
    <m/>
    <s v="Exp - Shopping"/>
    <m/>
    <m/>
    <m/>
    <m/>
    <m/>
    <m/>
    <x v="1704"/>
    <m/>
    <m/>
  </r>
  <r>
    <x v="57"/>
    <d v="2023-08-21T00:00:00"/>
    <s v="Powerplus - Ending in 8s46"/>
    <x v="4062"/>
    <n v="89.8"/>
    <x v="42"/>
    <m/>
    <s v="Exp - Utilities"/>
    <m/>
    <m/>
    <m/>
    <m/>
    <m/>
    <m/>
    <x v="3287"/>
    <m/>
    <m/>
  </r>
  <r>
    <x v="57"/>
    <d v="2023-08-21T00:00:00"/>
    <s v="Powerplus - Ending in 8s47"/>
    <x v="1888"/>
    <n v="33.799999999999997"/>
    <x v="3"/>
    <m/>
    <s v="Delete"/>
    <m/>
    <m/>
    <m/>
    <m/>
    <m/>
    <m/>
    <x v="1741"/>
    <m/>
    <m/>
  </r>
  <r>
    <x v="57"/>
    <d v="2023-08-22T00:00:00"/>
    <s v="Delta Skymiles Platinum - Ending in 1007"/>
    <x v="4063"/>
    <n v="47.65"/>
    <x v="35"/>
    <s v="Delete - Other Expenses"/>
    <s v="Exp - Entertainment"/>
    <m/>
    <m/>
    <m/>
    <m/>
    <m/>
    <m/>
    <x v="3600"/>
    <m/>
    <m/>
  </r>
  <r>
    <x v="57"/>
    <d v="2023-08-22T00:00:00"/>
    <s v="Powerplus - Ending in 8s58"/>
    <x v="4064"/>
    <n v="35.47"/>
    <x v="40"/>
    <m/>
    <s v="Exp - Day Care"/>
    <m/>
    <m/>
    <m/>
    <m/>
    <m/>
    <m/>
    <x v="3601"/>
    <m/>
    <m/>
  </r>
  <r>
    <x v="57"/>
    <d v="2023-08-22T00:00:00"/>
    <s v="Powerplus - Ending in 8s44"/>
    <x v="4065"/>
    <n v="265"/>
    <x v="40"/>
    <m/>
    <s v="Exp - Day Care"/>
    <m/>
    <m/>
    <m/>
    <m/>
    <m/>
    <m/>
    <x v="3216"/>
    <m/>
    <m/>
  </r>
  <r>
    <x v="57"/>
    <d v="2023-08-23T00:00:00"/>
    <s v="Delta Skymiles Platinum - Ending in 1007"/>
    <x v="4066"/>
    <n v="240.42"/>
    <x v="8"/>
    <s v="Shopping"/>
    <m/>
    <m/>
    <m/>
    <m/>
    <m/>
    <m/>
    <m/>
    <x v="3602"/>
    <m/>
    <m/>
  </r>
  <r>
    <x v="57"/>
    <d v="2023-08-23T00:00:00"/>
    <s v="Powerplus - Ending in 8s57"/>
    <x v="4067"/>
    <n v="115.95"/>
    <x v="32"/>
    <m/>
    <s v="Exp - Shopping"/>
    <m/>
    <m/>
    <m/>
    <m/>
    <m/>
    <m/>
    <x v="3603"/>
    <m/>
    <m/>
  </r>
  <r>
    <x v="57"/>
    <d v="2023-08-23T00:00:00"/>
    <s v="Powerplus - Ending in 8s56"/>
    <x v="4068"/>
    <n v="146"/>
    <x v="32"/>
    <m/>
    <s v="Exp - Shopping"/>
    <m/>
    <m/>
    <m/>
    <m/>
    <m/>
    <m/>
    <x v="3604"/>
    <m/>
    <m/>
  </r>
  <r>
    <x v="57"/>
    <d v="2023-08-24T00:00:00"/>
    <s v="Powerplus - Ending in 8s55"/>
    <x v="4069"/>
    <n v="78.98"/>
    <x v="41"/>
    <m/>
    <s v="Exp - Amazon"/>
    <m/>
    <m/>
    <m/>
    <m/>
    <m/>
    <m/>
    <x v="3605"/>
    <m/>
    <m/>
  </r>
  <r>
    <x v="57"/>
    <d v="2023-08-25T00:00:00"/>
    <s v="Powerplus - Ending in 8s54"/>
    <x v="4070"/>
    <n v="17.170000000000002"/>
    <x v="41"/>
    <m/>
    <s v="Exp - Amazon"/>
    <m/>
    <m/>
    <m/>
    <m/>
    <m/>
    <m/>
    <x v="3606"/>
    <m/>
    <m/>
  </r>
  <r>
    <x v="57"/>
    <d v="2023-08-25T00:00:00"/>
    <s v="Powerplus - Ending in 8s41"/>
    <x v="308"/>
    <n v="466.57"/>
    <x v="32"/>
    <m/>
    <s v="Exp - Shopping"/>
    <m/>
    <m/>
    <m/>
    <m/>
    <m/>
    <m/>
    <x v="300"/>
    <m/>
    <m/>
  </r>
  <r>
    <x v="57"/>
    <d v="2023-08-25T00:00:00"/>
    <s v="Powerplus - Ending in 8s39"/>
    <x v="3729"/>
    <n v="500"/>
    <x v="3"/>
    <m/>
    <s v="Delete"/>
    <m/>
    <m/>
    <m/>
    <m/>
    <m/>
    <m/>
    <x v="3289"/>
    <m/>
    <m/>
  </r>
  <r>
    <x v="57"/>
    <d v="2023-08-25T00:00:00"/>
    <s v="Powerplus - Ending in 8s42"/>
    <x v="1827"/>
    <n v="100"/>
    <x v="32"/>
    <m/>
    <s v="Exp - Shopping"/>
    <m/>
    <m/>
    <m/>
    <m/>
    <m/>
    <m/>
    <x v="1682"/>
    <m/>
    <m/>
  </r>
  <r>
    <x v="57"/>
    <d v="2023-08-25T00:00:00"/>
    <s v="Delta Skymiles Platinum - Ending in 1007"/>
    <x v="4071"/>
    <n v="30.03"/>
    <x v="1"/>
    <s v="Restaurants"/>
    <m/>
    <m/>
    <m/>
    <m/>
    <m/>
    <m/>
    <m/>
    <x v="3607"/>
    <m/>
    <m/>
  </r>
  <r>
    <x v="57"/>
    <d v="2023-08-25T00:00:00"/>
    <s v="Powerplus - Ending in 8s43"/>
    <x v="3840"/>
    <n v="67.03"/>
    <x v="32"/>
    <m/>
    <s v="Exp - Shopping"/>
    <m/>
    <m/>
    <m/>
    <m/>
    <m/>
    <m/>
    <x v="3391"/>
    <m/>
    <m/>
  </r>
  <r>
    <x v="57"/>
    <d v="2023-08-25T00:00:00"/>
    <s v="Powerplus - Ending in 8s40"/>
    <x v="3734"/>
    <n v="479.24"/>
    <x v="3"/>
    <m/>
    <s v="Delete"/>
    <m/>
    <m/>
    <m/>
    <m/>
    <m/>
    <m/>
    <x v="3293"/>
    <m/>
    <m/>
  </r>
  <r>
    <x v="57"/>
    <d v="2023-08-26T00:00:00"/>
    <s v="Discover More Card - Ending in 7779"/>
    <x v="0"/>
    <n v="158.25"/>
    <x v="41"/>
    <s v="Dry Cleaning"/>
    <s v="Exp - Amazon"/>
    <m/>
    <m/>
    <m/>
    <m/>
    <m/>
    <m/>
    <x v="0"/>
    <m/>
    <m/>
  </r>
  <r>
    <x v="57"/>
    <d v="2023-08-26T00:00:00"/>
    <s v="Delta Skymiles Platinum - Ending in 1007"/>
    <x v="4072"/>
    <n v="37.69"/>
    <x v="32"/>
    <s v="Restaurants"/>
    <s v="Exp - Shopping"/>
    <m/>
    <m/>
    <m/>
    <m/>
    <m/>
    <m/>
    <x v="3608"/>
    <m/>
    <m/>
  </r>
  <r>
    <x v="57"/>
    <d v="2023-08-26T00:00:00"/>
    <s v="Delta Skymiles Platinum - Ending in 1007"/>
    <x v="4073"/>
    <n v="34"/>
    <x v="35"/>
    <s v="Entertainment"/>
    <s v="Exp - Entertainment"/>
    <m/>
    <m/>
    <m/>
    <m/>
    <m/>
    <m/>
    <x v="3609"/>
    <m/>
    <m/>
  </r>
  <r>
    <x v="57"/>
    <d v="2023-08-27T00:00:00"/>
    <s v="Powerplus - Ending in 8s45"/>
    <x v="4074"/>
    <n v="-13.42"/>
    <x v="41"/>
    <m/>
    <s v="Exp - Amazon"/>
    <m/>
    <m/>
    <m/>
    <m/>
    <m/>
    <m/>
    <x v="3610"/>
    <m/>
    <m/>
  </r>
  <r>
    <x v="57"/>
    <d v="2023-08-27T00:00:00"/>
    <s v="Powerplus - Ending in 8s44"/>
    <x v="4075"/>
    <n v="-17.989999999999998"/>
    <x v="41"/>
    <m/>
    <s v="Exp - Amazon"/>
    <m/>
    <m/>
    <m/>
    <m/>
    <m/>
    <m/>
    <x v="3611"/>
    <m/>
    <m/>
  </r>
  <r>
    <x v="57"/>
    <d v="2023-08-27T00:00:00"/>
    <s v="Powerplus - Ending in 8s43"/>
    <x v="4076"/>
    <n v="-36.99"/>
    <x v="41"/>
    <m/>
    <s v="Exp - Amazon"/>
    <m/>
    <m/>
    <m/>
    <m/>
    <m/>
    <m/>
    <x v="3612"/>
    <m/>
    <m/>
  </r>
  <r>
    <x v="57"/>
    <d v="2023-08-27T00:00:00"/>
    <s v="Powerplus - Ending in 8s42"/>
    <x v="4077"/>
    <n v="-7.18"/>
    <x v="41"/>
    <m/>
    <s v="Exp - Amazon"/>
    <m/>
    <m/>
    <m/>
    <m/>
    <m/>
    <m/>
    <x v="3613"/>
    <m/>
    <m/>
  </r>
  <r>
    <x v="57"/>
    <d v="2023-08-27T00:00:00"/>
    <s v="Powerplus - Ending in 8s41"/>
    <x v="4078"/>
    <n v="-10.19"/>
    <x v="41"/>
    <m/>
    <s v="Exp - Amazon"/>
    <m/>
    <m/>
    <m/>
    <m/>
    <m/>
    <m/>
    <x v="3614"/>
    <m/>
    <m/>
  </r>
  <r>
    <x v="57"/>
    <d v="2023-08-27T00:00:00"/>
    <s v="Powerplus - Ending in 8s40"/>
    <x v="4079"/>
    <n v="-13.99"/>
    <x v="41"/>
    <m/>
    <s v="Exp - Amazon"/>
    <m/>
    <m/>
    <m/>
    <m/>
    <m/>
    <m/>
    <x v="3615"/>
    <m/>
    <m/>
  </r>
  <r>
    <x v="57"/>
    <d v="2023-08-27T00:00:00"/>
    <s v="Powerplus - Ending in 8s39"/>
    <x v="4080"/>
    <n v="-24.99"/>
    <x v="41"/>
    <m/>
    <s v="Exp - Amazon"/>
    <m/>
    <m/>
    <m/>
    <m/>
    <m/>
    <m/>
    <x v="3616"/>
    <m/>
    <m/>
  </r>
  <r>
    <x v="57"/>
    <d v="2023-08-27T00:00:00"/>
    <s v="Powerplus - Ending in 8s49"/>
    <x v="4081"/>
    <n v="50.49"/>
    <x v="41"/>
    <m/>
    <s v="Exp - Amazon"/>
    <m/>
    <m/>
    <m/>
    <m/>
    <m/>
    <m/>
    <x v="3617"/>
    <m/>
    <m/>
  </r>
  <r>
    <x v="57"/>
    <d v="2023-08-27T00:00:00"/>
    <s v="Powerplus - Ending in 8s47"/>
    <x v="4082"/>
    <n v="38.49"/>
    <x v="41"/>
    <m/>
    <s v="Exp - Amazon"/>
    <m/>
    <m/>
    <m/>
    <m/>
    <m/>
    <m/>
    <x v="3618"/>
    <m/>
    <m/>
  </r>
  <r>
    <x v="57"/>
    <d v="2023-08-27T00:00:00"/>
    <s v="Powerplus - Ending in 8s38"/>
    <x v="3652"/>
    <n v="-210.26"/>
    <x v="14"/>
    <m/>
    <s v="Inc - Britney"/>
    <m/>
    <m/>
    <m/>
    <m/>
    <m/>
    <m/>
    <x v="3214"/>
    <m/>
    <m/>
  </r>
  <r>
    <x v="57"/>
    <d v="2023-08-27T00:00:00"/>
    <s v="Powerplus - Ending in 8s53"/>
    <x v="4083"/>
    <n v="3.22"/>
    <x v="37"/>
    <m/>
    <s v="Exp - Transportation"/>
    <m/>
    <m/>
    <m/>
    <m/>
    <m/>
    <m/>
    <x v="3619"/>
    <m/>
    <m/>
  </r>
  <r>
    <x v="57"/>
    <d v="2023-08-27T00:00:00"/>
    <s v="Powerplus - Ending in 8s50"/>
    <x v="4084"/>
    <n v="35.47"/>
    <x v="40"/>
    <m/>
    <s v="Exp - Day Care"/>
    <m/>
    <m/>
    <m/>
    <m/>
    <m/>
    <m/>
    <x v="3620"/>
    <m/>
    <m/>
  </r>
  <r>
    <x v="57"/>
    <d v="2023-08-27T00:00:00"/>
    <s v="Delta Skymiles Platinum - Ending in 1007"/>
    <x v="4085"/>
    <n v="89.78"/>
    <x v="32"/>
    <s v="Dry Cleaning"/>
    <s v="Exp - Shopping"/>
    <m/>
    <m/>
    <m/>
    <m/>
    <m/>
    <m/>
    <x v="3621"/>
    <m/>
    <m/>
  </r>
  <r>
    <x v="57"/>
    <d v="2023-08-27T00:00:00"/>
    <s v="Powerplus - Ending in 8s52"/>
    <x v="4086"/>
    <n v="57.03"/>
    <x v="39"/>
    <m/>
    <s v="Exp - Restaurants"/>
    <m/>
    <m/>
    <m/>
    <m/>
    <m/>
    <m/>
    <x v="3622"/>
    <m/>
    <m/>
  </r>
  <r>
    <x v="57"/>
    <d v="2023-08-27T00:00:00"/>
    <s v="Powerplus - Ending in 8s46"/>
    <x v="4087"/>
    <n v="16.100000000000001"/>
    <x v="39"/>
    <m/>
    <s v="Exp - Restaurants"/>
    <m/>
    <m/>
    <m/>
    <m/>
    <m/>
    <m/>
    <x v="3623"/>
    <m/>
    <m/>
  </r>
  <r>
    <x v="57"/>
    <d v="2023-08-27T00:00:00"/>
    <s v="Powerplus - Ending in 8s48"/>
    <x v="4088"/>
    <n v="12"/>
    <x v="39"/>
    <m/>
    <s v="Exp - Restaurants"/>
    <m/>
    <m/>
    <m/>
    <m/>
    <m/>
    <m/>
    <x v="3624"/>
    <m/>
    <m/>
  </r>
  <r>
    <x v="57"/>
    <d v="2023-08-27T00:00:00"/>
    <s v="Powerplus - Ending in 8s51"/>
    <x v="4089"/>
    <n v="19.61"/>
    <x v="39"/>
    <m/>
    <s v="Exp - Restaurants"/>
    <m/>
    <m/>
    <m/>
    <m/>
    <m/>
    <m/>
    <x v="3625"/>
    <m/>
    <m/>
  </r>
  <r>
    <x v="57"/>
    <d v="2023-08-28T00:00:00"/>
    <s v="Discover More Card - Ending in 7779"/>
    <x v="0"/>
    <n v="31.99"/>
    <x v="41"/>
    <s v="Amazon"/>
    <s v="Exp - Amazon"/>
    <m/>
    <m/>
    <m/>
    <m/>
    <m/>
    <m/>
    <x v="0"/>
    <m/>
    <m/>
  </r>
  <r>
    <x v="57"/>
    <d v="2023-08-28T00:00:00"/>
    <s v="Powerplus - Ending in 8s35"/>
    <x v="4090"/>
    <n v="11.8"/>
    <x v="41"/>
    <m/>
    <s v="Exp - Amazon"/>
    <m/>
    <m/>
    <m/>
    <m/>
    <m/>
    <m/>
    <x v="3626"/>
    <m/>
    <m/>
  </r>
  <r>
    <x v="57"/>
    <d v="2023-08-28T00:00:00"/>
    <s v="Powerplus - Ending in 8s36"/>
    <x v="4091"/>
    <n v="26.98"/>
    <x v="38"/>
    <m/>
    <s v="Exp - Groceries"/>
    <m/>
    <m/>
    <m/>
    <m/>
    <m/>
    <m/>
    <x v="3627"/>
    <m/>
    <m/>
  </r>
  <r>
    <x v="57"/>
    <d v="2023-08-28T00:00:00"/>
    <s v="Powerplus - Ending in 8s36"/>
    <x v="3924"/>
    <n v="219.25"/>
    <x v="37"/>
    <m/>
    <s v="Exp - Transportation"/>
    <m/>
    <m/>
    <m/>
    <m/>
    <m/>
    <m/>
    <x v="3470"/>
    <m/>
    <m/>
  </r>
  <r>
    <x v="57"/>
    <d v="2023-08-28T00:00:00"/>
    <s v="Delta Skymiles Platinum - Ending in 1007"/>
    <x v="823"/>
    <n v="56.62"/>
    <x v="2"/>
    <s v="Transportation"/>
    <m/>
    <m/>
    <m/>
    <m/>
    <m/>
    <m/>
    <m/>
    <x v="792"/>
    <m/>
    <m/>
  </r>
  <r>
    <x v="57"/>
    <d v="2023-08-28T00:00:00"/>
    <s v="Delta Skymiles Platinum - Ending in 1007"/>
    <x v="4092"/>
    <n v="69.33"/>
    <x v="10"/>
    <s v="Entertainment"/>
    <m/>
    <m/>
    <m/>
    <m/>
    <m/>
    <m/>
    <m/>
    <x v="3628"/>
    <m/>
    <m/>
  </r>
  <r>
    <x v="57"/>
    <d v="2023-08-28T00:00:00"/>
    <s v="Powerplus - Ending in 8s37"/>
    <x v="4093"/>
    <n v="1.5"/>
    <x v="37"/>
    <m/>
    <s v="Exp - Transportation"/>
    <m/>
    <m/>
    <m/>
    <m/>
    <m/>
    <m/>
    <x v="3629"/>
    <m/>
    <m/>
  </r>
  <r>
    <x v="57"/>
    <d v="2023-08-28T00:00:00"/>
    <s v="Powerplus - Ending in 8s38"/>
    <x v="4094"/>
    <n v="7.99"/>
    <x v="37"/>
    <m/>
    <s v="Exp - Transportation"/>
    <m/>
    <m/>
    <m/>
    <m/>
    <m/>
    <m/>
    <x v="3630"/>
    <m/>
    <m/>
  </r>
  <r>
    <x v="57"/>
    <d v="2023-08-28T00:00:00"/>
    <s v="Powerplus - Ending in 8s34"/>
    <x v="4095"/>
    <n v="97.98"/>
    <x v="32"/>
    <m/>
    <s v="Exp - Shopping"/>
    <m/>
    <m/>
    <m/>
    <m/>
    <m/>
    <m/>
    <x v="3631"/>
    <m/>
    <m/>
  </r>
  <r>
    <x v="57"/>
    <d v="2023-08-28T00:00:00"/>
    <s v="Powerplus - Ending in 8s33"/>
    <x v="4096"/>
    <n v="14.71"/>
    <x v="39"/>
    <m/>
    <s v="Exp - Restaurants"/>
    <m/>
    <m/>
    <m/>
    <m/>
    <m/>
    <m/>
    <x v="3632"/>
    <m/>
    <m/>
  </r>
  <r>
    <x v="57"/>
    <d v="2023-08-28T00:00:00"/>
    <s v="Powerplus - Ending in 8s37"/>
    <x v="1849"/>
    <n v="0.99"/>
    <x v="3"/>
    <m/>
    <s v="Delete"/>
    <m/>
    <m/>
    <m/>
    <m/>
    <m/>
    <m/>
    <x v="1704"/>
    <m/>
    <m/>
  </r>
  <r>
    <x v="57"/>
    <d v="2023-08-29T00:00:00"/>
    <s v="Discover More Card - Ending in 7779"/>
    <x v="0"/>
    <n v="80.14"/>
    <x v="41"/>
    <s v="Amazon"/>
    <s v="Exp - Amazon"/>
    <m/>
    <m/>
    <m/>
    <m/>
    <m/>
    <m/>
    <x v="0"/>
    <m/>
    <m/>
  </r>
  <r>
    <x v="57"/>
    <d v="2023-08-29T00:00:00"/>
    <s v="Delta Skymiles Platinum - Ending in 1007"/>
    <x v="4097"/>
    <n v="40.9"/>
    <x v="37"/>
    <s v="Delete - Online Services"/>
    <s v="Exp - Transportation"/>
    <m/>
    <m/>
    <m/>
    <m/>
    <m/>
    <m/>
    <x v="3633"/>
    <m/>
    <m/>
  </r>
  <r>
    <x v="57"/>
    <d v="2023-08-29T00:00:00"/>
    <s v="Delta Skymiles Platinum - Ending in 1007"/>
    <x v="3511"/>
    <n v="84.63"/>
    <x v="5"/>
    <s v="Groceries"/>
    <m/>
    <m/>
    <m/>
    <m/>
    <m/>
    <m/>
    <m/>
    <x v="3099"/>
    <m/>
    <m/>
  </r>
  <r>
    <x v="57"/>
    <d v="2023-08-29T00:00:00"/>
    <s v="Delta Skymiles Platinum - Ending in 1007"/>
    <x v="3523"/>
    <n v="3.36"/>
    <x v="1"/>
    <s v="Restaurants"/>
    <m/>
    <m/>
    <m/>
    <m/>
    <m/>
    <m/>
    <m/>
    <x v="3111"/>
    <m/>
    <m/>
  </r>
  <r>
    <x v="57"/>
    <d v="2023-08-29T00:00:00"/>
    <s v="Powerplus - Ending in 8s35"/>
    <x v="4098"/>
    <n v="265"/>
    <x v="40"/>
    <m/>
    <s v="Exp - Day Care"/>
    <m/>
    <m/>
    <m/>
    <m/>
    <m/>
    <m/>
    <x v="3216"/>
    <m/>
    <m/>
  </r>
  <r>
    <x v="57"/>
    <d v="2023-08-30T00:00:00"/>
    <s v="Powerplus - Ending in 8s34"/>
    <x v="3684"/>
    <n v="-3342.79"/>
    <x v="15"/>
    <m/>
    <s v="Inc - Jeff"/>
    <m/>
    <m/>
    <m/>
    <m/>
    <m/>
    <m/>
    <x v="3245"/>
    <m/>
    <m/>
  </r>
  <r>
    <x v="57"/>
    <d v="2023-08-30T00:00:00"/>
    <s v="Delta Skymiles Platinum - Ending in 1007"/>
    <x v="4099"/>
    <n v="28.47"/>
    <x v="1"/>
    <s v="Restaurants"/>
    <m/>
    <m/>
    <m/>
    <m/>
    <m/>
    <m/>
    <m/>
    <x v="3634"/>
    <m/>
    <m/>
  </r>
  <r>
    <x v="57"/>
    <d v="2023-08-31T00:00:00"/>
    <s v="Powerplus - Ending in 8s32"/>
    <x v="4100"/>
    <n v="27.76"/>
    <x v="41"/>
    <m/>
    <s v="Exp - Amazon"/>
    <m/>
    <m/>
    <m/>
    <m/>
    <m/>
    <m/>
    <x v="3635"/>
    <m/>
    <m/>
  </r>
  <r>
    <x v="57"/>
    <d v="2023-08-31T00:00:00"/>
    <s v="Powerplus - Ending in 8s31"/>
    <x v="4101"/>
    <n v="71.81"/>
    <x v="41"/>
    <m/>
    <s v="Exp - Amazon"/>
    <m/>
    <m/>
    <m/>
    <m/>
    <m/>
    <m/>
    <x v="3636"/>
    <m/>
    <m/>
  </r>
  <r>
    <x v="57"/>
    <d v="2023-08-31T00:00:00"/>
    <s v="Powerplus - Ending in 8s31"/>
    <x v="1893"/>
    <n v="-3611.22"/>
    <x v="14"/>
    <m/>
    <s v="Inc - Britney"/>
    <m/>
    <m/>
    <m/>
    <m/>
    <m/>
    <m/>
    <x v="1746"/>
    <m/>
    <m/>
  </r>
  <r>
    <x v="57"/>
    <d v="2023-08-31T00:00:00"/>
    <s v="Powerplus - Ending in 8s30"/>
    <x v="4102"/>
    <n v="49.52"/>
    <x v="37"/>
    <m/>
    <s v="Exp - Transportation"/>
    <m/>
    <m/>
    <m/>
    <m/>
    <m/>
    <m/>
    <x v="3637"/>
    <m/>
    <m/>
  </r>
  <r>
    <x v="57"/>
    <d v="2023-08-31T00:00:00"/>
    <s v="Powerplus - Ending in 8s30"/>
    <x v="4103"/>
    <n v="-50.25"/>
    <x v="13"/>
    <m/>
    <s v="Inc - Other"/>
    <m/>
    <m/>
    <m/>
    <m/>
    <m/>
    <m/>
    <x v="3638"/>
    <m/>
    <m/>
  </r>
  <r>
    <x v="57"/>
    <d v="2023-08-31T00:00:00"/>
    <s v="Delta Skymiles Platinum - Ending in 1007"/>
    <x v="3865"/>
    <n v="228.78"/>
    <x v="3"/>
    <s v="Travel"/>
    <s v="Delete"/>
    <m/>
    <m/>
    <m/>
    <m/>
    <m/>
    <m/>
    <x v="3416"/>
    <m/>
    <m/>
  </r>
  <r>
    <x v="57"/>
    <d v="2023-08-31T00:00:00"/>
    <s v="Delta Skymiles Platinum - Ending in 1007"/>
    <x v="4104"/>
    <n v="90"/>
    <x v="3"/>
    <s v="Travel"/>
    <s v="Delete"/>
    <m/>
    <m/>
    <m/>
    <m/>
    <m/>
    <m/>
    <x v="3639"/>
    <m/>
    <m/>
  </r>
  <r>
    <x v="57"/>
    <d v="2023-08-31T00:00:00"/>
    <s v="Powerplus - Ending in 8s32"/>
    <x v="1827"/>
    <n v="409.89"/>
    <x v="32"/>
    <m/>
    <s v="Exp - Shopping"/>
    <m/>
    <m/>
    <m/>
    <m/>
    <m/>
    <m/>
    <x v="1682"/>
    <m/>
    <m/>
  </r>
  <r>
    <x v="57"/>
    <d v="2023-08-31T00:00:00"/>
    <s v="Powerplus - Ending in 8s33"/>
    <x v="1827"/>
    <n v="88.89"/>
    <x v="32"/>
    <m/>
    <s v="Exp - Shopping"/>
    <m/>
    <m/>
    <m/>
    <m/>
    <m/>
    <m/>
    <x v="1682"/>
    <m/>
    <m/>
  </r>
  <r>
    <x v="57"/>
    <d v="2023-08-31T00:00:00"/>
    <s v="Delta Skymiles Platinum - Ending in 1007"/>
    <x v="4105"/>
    <n v="31.75"/>
    <x v="3"/>
    <s v="Restaurants"/>
    <s v="Delete"/>
    <m/>
    <m/>
    <m/>
    <m/>
    <m/>
    <m/>
    <x v="3640"/>
    <m/>
    <m/>
  </r>
  <r>
    <x v="47"/>
    <d v="2023-09-01T00:00:00"/>
    <s v="Delta Skymiles Platinum - Ending in 1007"/>
    <x v="4106"/>
    <n v="243.39"/>
    <x v="3"/>
    <s v="Travel"/>
    <s v="Delete"/>
    <m/>
    <m/>
    <m/>
    <m/>
    <m/>
    <m/>
    <x v="3641"/>
    <m/>
    <m/>
  </r>
  <r>
    <x v="47"/>
    <d v="2023-09-01T00:00:00"/>
    <s v="Cash Rewards Visa Signature - Ending in 5978"/>
    <x v="598"/>
    <n v="5.36"/>
    <x v="41"/>
    <m/>
    <s v="Exp - Amazon"/>
    <m/>
    <m/>
    <m/>
    <m/>
    <m/>
    <m/>
    <x v="579"/>
    <m/>
    <m/>
  </r>
  <r>
    <x v="47"/>
    <d v="2023-09-01T00:00:00"/>
    <s v="Powerplus - Ending in 8s69"/>
    <x v="3996"/>
    <n v="650"/>
    <x v="47"/>
    <m/>
    <s v="Sav - College Savings"/>
    <m/>
    <m/>
    <m/>
    <m/>
    <m/>
    <m/>
    <x v="3539"/>
    <m/>
    <m/>
  </r>
  <r>
    <x v="47"/>
    <d v="2023-09-01T00:00:00"/>
    <s v="Powerplus - Ending in 8s67"/>
    <x v="4107"/>
    <n v="618.65"/>
    <x v="48"/>
    <m/>
    <s v="Exp - Car Loan"/>
    <m/>
    <m/>
    <m/>
    <m/>
    <m/>
    <m/>
    <x v="3642"/>
    <m/>
    <m/>
  </r>
  <r>
    <x v="47"/>
    <d v="2023-09-01T00:00:00"/>
    <s v="Powerplus - Ending in 8s68"/>
    <x v="1844"/>
    <n v="2741.74"/>
    <x v="53"/>
    <m/>
    <s v="Exp - Rent"/>
    <m/>
    <m/>
    <m/>
    <m/>
    <m/>
    <m/>
    <x v="1699"/>
    <m/>
    <m/>
  </r>
  <r>
    <x v="47"/>
    <d v="2023-09-02T00:00:00"/>
    <s v="Delta Skymiles Platinum - Ending in 1007"/>
    <x v="4108"/>
    <n v="5.58"/>
    <x v="1"/>
    <s v="Restaurants"/>
    <m/>
    <m/>
    <m/>
    <m/>
    <m/>
    <m/>
    <m/>
    <x v="3643"/>
    <m/>
    <m/>
  </r>
  <r>
    <x v="47"/>
    <d v="2023-09-02T00:00:00"/>
    <s v="Delta Skymiles Platinum - Ending in 1007"/>
    <x v="4109"/>
    <n v="12.08"/>
    <x v="8"/>
    <s v="Shopping"/>
    <m/>
    <m/>
    <m/>
    <m/>
    <m/>
    <m/>
    <m/>
    <x v="3644"/>
    <m/>
    <m/>
  </r>
  <r>
    <x v="47"/>
    <d v="2023-09-02T00:00:00"/>
    <s v="Delta Skymiles Platinum - Ending in 1007"/>
    <x v="4110"/>
    <n v="247.13"/>
    <x v="32"/>
    <s v="Delete - Personal Care"/>
    <s v="Exp - Shopping"/>
    <m/>
    <m/>
    <m/>
    <m/>
    <m/>
    <m/>
    <x v="3645"/>
    <m/>
    <m/>
  </r>
  <r>
    <x v="47"/>
    <d v="2023-09-02T00:00:00"/>
    <s v="Delta Skymiles Platinum - Ending in 1007"/>
    <x v="4111"/>
    <n v="5.65"/>
    <x v="1"/>
    <s v="Restaurants"/>
    <m/>
    <m/>
    <m/>
    <m/>
    <m/>
    <m/>
    <m/>
    <x v="3646"/>
    <m/>
    <m/>
  </r>
  <r>
    <x v="47"/>
    <d v="2023-09-03T00:00:00"/>
    <s v="Discover More Card - Ending in 7779"/>
    <x v="0"/>
    <n v="55.23"/>
    <x v="41"/>
    <s v="Amazon"/>
    <s v="Exp - Amazon"/>
    <m/>
    <m/>
    <m/>
    <m/>
    <m/>
    <m/>
    <x v="0"/>
    <m/>
    <m/>
  </r>
  <r>
    <x v="47"/>
    <d v="2023-09-03T00:00:00"/>
    <s v="Delta Skymiles Platinum - Ending in 1007"/>
    <x v="4112"/>
    <n v="60.79"/>
    <x v="10"/>
    <s v="Entertainment"/>
    <m/>
    <m/>
    <m/>
    <m/>
    <m/>
    <m/>
    <m/>
    <x v="3647"/>
    <m/>
    <m/>
  </r>
  <r>
    <x v="47"/>
    <d v="2023-09-03T00:00:00"/>
    <s v="Delta Skymiles Platinum - Ending in 1007"/>
    <x v="4113"/>
    <n v="26.47"/>
    <x v="5"/>
    <s v="Groceries"/>
    <m/>
    <m/>
    <m/>
    <m/>
    <m/>
    <m/>
    <m/>
    <x v="3648"/>
    <m/>
    <m/>
  </r>
  <r>
    <x v="47"/>
    <d v="2023-09-03T00:00:00"/>
    <s v="Delta Skymiles Platinum - Ending in 1007"/>
    <x v="4113"/>
    <n v="94.31"/>
    <x v="5"/>
    <s v="Groceries"/>
    <m/>
    <m/>
    <m/>
    <m/>
    <m/>
    <m/>
    <m/>
    <x v="3648"/>
    <m/>
    <m/>
  </r>
  <r>
    <x v="47"/>
    <d v="2023-09-04T00:00:00"/>
    <s v="Delta Skymiles Platinum - Ending in 1007"/>
    <x v="823"/>
    <n v="1.98"/>
    <x v="2"/>
    <s v="Transportation"/>
    <m/>
    <m/>
    <m/>
    <m/>
    <m/>
    <m/>
    <m/>
    <x v="792"/>
    <m/>
    <m/>
  </r>
  <r>
    <x v="47"/>
    <d v="2023-09-04T00:00:00"/>
    <s v="Delta Skymiles Platinum - Ending in 1007"/>
    <x v="823"/>
    <n v="48.12"/>
    <x v="2"/>
    <s v="Transportation"/>
    <m/>
    <m/>
    <m/>
    <m/>
    <m/>
    <m/>
    <m/>
    <x v="792"/>
    <m/>
    <m/>
  </r>
  <r>
    <x v="47"/>
    <d v="2023-09-04T00:00:00"/>
    <s v="Delta Skymiles Platinum - Ending in 1007"/>
    <x v="4114"/>
    <n v="26.35"/>
    <x v="36"/>
    <s v="Delete - Home Improvement"/>
    <s v="Exp - House Maint"/>
    <m/>
    <m/>
    <m/>
    <m/>
    <m/>
    <m/>
    <x v="3649"/>
    <m/>
    <m/>
  </r>
  <r>
    <x v="47"/>
    <d v="2023-09-05T00:00:00"/>
    <s v="Delta Skymiles Platinum - Ending in 1007"/>
    <x v="4115"/>
    <n v="27.9"/>
    <x v="10"/>
    <s v="Entertainment"/>
    <m/>
    <m/>
    <m/>
    <m/>
    <m/>
    <m/>
    <m/>
    <x v="3650"/>
    <m/>
    <m/>
  </r>
  <r>
    <x v="47"/>
    <d v="2023-09-05T00:00:00"/>
    <s v="Delta Skymiles Platinum - Ending in 1007"/>
    <x v="577"/>
    <n v="27.01"/>
    <x v="1"/>
    <s v="Restaurants"/>
    <m/>
    <m/>
    <m/>
    <m/>
    <m/>
    <m/>
    <m/>
    <x v="558"/>
    <m/>
    <m/>
  </r>
  <r>
    <x v="47"/>
    <d v="2023-09-05T00:00:00"/>
    <s v="Delta Skymiles Platinum - Ending in 1007"/>
    <x v="1898"/>
    <n v="55.6"/>
    <x v="39"/>
    <s v="Restaurants"/>
    <s v="Exp - Restaurants"/>
    <m/>
    <m/>
    <m/>
    <m/>
    <m/>
    <m/>
    <x v="1751"/>
    <m/>
    <m/>
  </r>
  <r>
    <x v="47"/>
    <d v="2023-09-05T00:00:00"/>
    <s v="Delta Skymiles Platinum - Ending in 1007"/>
    <x v="34"/>
    <n v="23.23"/>
    <x v="45"/>
    <s v="Target"/>
    <s v="Exp - Target"/>
    <m/>
    <m/>
    <m/>
    <m/>
    <m/>
    <m/>
    <x v="34"/>
    <m/>
    <m/>
  </r>
  <r>
    <x v="47"/>
    <d v="2023-09-05T00:00:00"/>
    <s v="Powerplus - Ending in 8s66"/>
    <x v="1849"/>
    <n v="52.45"/>
    <x v="32"/>
    <m/>
    <s v="Exp - Shopping"/>
    <m/>
    <m/>
    <m/>
    <m/>
    <m/>
    <m/>
    <x v="1704"/>
    <m/>
    <m/>
  </r>
  <r>
    <x v="47"/>
    <d v="2023-09-05T00:00:00"/>
    <s v="Powerplus - Ending in 8s65"/>
    <x v="1827"/>
    <n v="1598"/>
    <x v="43"/>
    <m/>
    <s v="Exp - Travel"/>
    <s v="AirBnb"/>
    <m/>
    <m/>
    <m/>
    <m/>
    <m/>
    <x v="1682"/>
    <m/>
    <m/>
  </r>
  <r>
    <x v="47"/>
    <d v="2023-09-05T00:00:00"/>
    <s v="Cash Rewards Visa Signature - Ending in 5977"/>
    <x v="3497"/>
    <n v="38.99"/>
    <x v="42"/>
    <m/>
    <s v="Exp - Utilities"/>
    <m/>
    <m/>
    <m/>
    <m/>
    <m/>
    <m/>
    <x v="3087"/>
    <m/>
    <m/>
  </r>
  <r>
    <x v="47"/>
    <d v="2023-09-06T00:00:00"/>
    <s v="Delta Skymiles Platinum - Ending in 1007"/>
    <x v="1861"/>
    <n v="792.8"/>
    <x v="3"/>
    <s v="Empyrean Travel"/>
    <s v="Delete"/>
    <m/>
    <m/>
    <m/>
    <m/>
    <m/>
    <m/>
    <x v="1715"/>
    <m/>
    <m/>
  </r>
  <r>
    <x v="47"/>
    <d v="2023-09-06T00:00:00"/>
    <s v="Delta Skymiles Platinum - Ending in 1007"/>
    <x v="1861"/>
    <n v="792.8"/>
    <x v="3"/>
    <s v="Empyrean Travel"/>
    <s v="Delete"/>
    <m/>
    <m/>
    <m/>
    <m/>
    <m/>
    <m/>
    <x v="1715"/>
    <m/>
    <m/>
  </r>
  <r>
    <x v="47"/>
    <d v="2023-09-06T00:00:00"/>
    <s v="Delta Skymiles Platinum - Ending in 1007"/>
    <x v="1861"/>
    <n v="792.8"/>
    <x v="3"/>
    <s v="Empyrean Travel"/>
    <s v="Delete"/>
    <m/>
    <m/>
    <m/>
    <m/>
    <m/>
    <m/>
    <x v="1715"/>
    <m/>
    <m/>
  </r>
  <r>
    <x v="47"/>
    <d v="2023-09-06T00:00:00"/>
    <s v="Delta Skymiles Platinum - Ending in 1007"/>
    <x v="1861"/>
    <n v="792.8"/>
    <x v="3"/>
    <s v="Empyrean Travel"/>
    <s v="Delete"/>
    <m/>
    <m/>
    <m/>
    <m/>
    <m/>
    <m/>
    <x v="1715"/>
    <m/>
    <m/>
  </r>
  <r>
    <x v="47"/>
    <d v="2023-09-06T00:00:00"/>
    <s v="Cash Rewards Visa Signature - Ending in 5976"/>
    <x v="79"/>
    <n v="42"/>
    <x v="32"/>
    <m/>
    <s v="Exp - Shopping"/>
    <m/>
    <m/>
    <m/>
    <m/>
    <m/>
    <m/>
    <x v="79"/>
    <m/>
    <m/>
  </r>
  <r>
    <x v="47"/>
    <d v="2023-09-06T00:00:00"/>
    <s v="Cash Rewards Visa Signature - Ending in 5975"/>
    <x v="594"/>
    <n v="27"/>
    <x v="44"/>
    <m/>
    <s v="Exp - Misc"/>
    <m/>
    <m/>
    <m/>
    <m/>
    <m/>
    <m/>
    <x v="575"/>
    <m/>
    <m/>
  </r>
  <r>
    <x v="47"/>
    <d v="2023-09-06T00:00:00"/>
    <s v="Powerplus - Ending in 8s64"/>
    <x v="1849"/>
    <n v="44.97"/>
    <x v="32"/>
    <m/>
    <s v="Exp - Shopping"/>
    <m/>
    <m/>
    <m/>
    <m/>
    <m/>
    <m/>
    <x v="1704"/>
    <m/>
    <m/>
  </r>
  <r>
    <x v="47"/>
    <d v="2023-09-06T00:00:00"/>
    <s v="Powerplus - Ending in 8s62"/>
    <x v="4116"/>
    <n v="330"/>
    <x v="40"/>
    <m/>
    <s v="Exp - Day Care"/>
    <m/>
    <m/>
    <m/>
    <m/>
    <m/>
    <m/>
    <x v="3216"/>
    <m/>
    <m/>
  </r>
  <r>
    <x v="47"/>
    <d v="2023-09-06T00:00:00"/>
    <s v="Powerplus - Ending in 8s63"/>
    <x v="1869"/>
    <n v="248.17"/>
    <x v="42"/>
    <m/>
    <s v="Exp - Utilities"/>
    <m/>
    <m/>
    <m/>
    <m/>
    <m/>
    <m/>
    <x v="1723"/>
    <m/>
    <m/>
  </r>
  <r>
    <x v="47"/>
    <d v="2023-09-07T00:00:00"/>
    <s v="Cash Rewards Visa Signature - Ending in 5974"/>
    <x v="4117"/>
    <n v="22.52"/>
    <x v="32"/>
    <m/>
    <s v="Exp - Shopping"/>
    <m/>
    <m/>
    <m/>
    <m/>
    <m/>
    <m/>
    <x v="3651"/>
    <m/>
    <m/>
  </r>
  <r>
    <x v="47"/>
    <d v="2023-09-08T00:00:00"/>
    <s v="Delta Skymiles Platinum - Ending in 1007"/>
    <x v="4118"/>
    <n v="-71.989999999999995"/>
    <x v="35"/>
    <s v="Refunds &amp; Reimbursements"/>
    <s v="Exp - Entertainment"/>
    <m/>
    <m/>
    <m/>
    <m/>
    <m/>
    <m/>
    <x v="3652"/>
    <m/>
    <m/>
  </r>
  <r>
    <x v="47"/>
    <d v="2023-09-08T00:00:00"/>
    <s v="Delta Skymiles Platinum - Ending in 1007"/>
    <x v="4119"/>
    <n v="35.659999999999997"/>
    <x v="32"/>
    <s v="Delete - Other Expenses"/>
    <s v="Exp - Shopping"/>
    <m/>
    <m/>
    <m/>
    <m/>
    <m/>
    <m/>
    <x v="3653"/>
    <m/>
    <m/>
  </r>
  <r>
    <x v="47"/>
    <d v="2023-09-08T00:00:00"/>
    <s v="Delta Skymiles Platinum - Ending in 1007"/>
    <x v="4120"/>
    <n v="34.58"/>
    <x v="32"/>
    <s v="Delete - Other Expenses"/>
    <s v="Exp - Shopping"/>
    <m/>
    <m/>
    <m/>
    <m/>
    <m/>
    <m/>
    <x v="3654"/>
    <m/>
    <m/>
  </r>
  <r>
    <x v="47"/>
    <d v="2023-09-08T00:00:00"/>
    <s v="Delta Skymiles Platinum - Ending in 1007"/>
    <x v="4121"/>
    <n v="20.69"/>
    <x v="38"/>
    <s v="Groceries"/>
    <s v="Exp - Groceries"/>
    <m/>
    <m/>
    <m/>
    <m/>
    <m/>
    <m/>
    <x v="3655"/>
    <m/>
    <m/>
  </r>
  <r>
    <x v="47"/>
    <d v="2023-09-08T00:00:00"/>
    <s v="Delta Skymiles Platinum - Ending in 1007"/>
    <x v="4122"/>
    <n v="43.29"/>
    <x v="1"/>
    <s v="Restaurants"/>
    <m/>
    <m/>
    <m/>
    <m/>
    <m/>
    <m/>
    <m/>
    <x v="3656"/>
    <m/>
    <m/>
  </r>
  <r>
    <x v="47"/>
    <d v="2023-09-08T00:00:00"/>
    <s v="Delta Skymiles Platinum - Ending in 1007"/>
    <x v="4123"/>
    <n v="22"/>
    <x v="32"/>
    <s v="Delete - Online Services"/>
    <s v="Exp - Shopping"/>
    <m/>
    <m/>
    <m/>
    <m/>
    <m/>
    <m/>
    <x v="3657"/>
    <m/>
    <m/>
  </r>
  <r>
    <x v="47"/>
    <d v="2023-09-08T00:00:00"/>
    <s v="Delta Skymiles Platinum - Ending in 1007"/>
    <x v="4123"/>
    <n v="15.3"/>
    <x v="32"/>
    <s v="Delete - Online Services"/>
    <s v="Exp - Shopping"/>
    <m/>
    <m/>
    <m/>
    <m/>
    <m/>
    <m/>
    <x v="3657"/>
    <m/>
    <m/>
  </r>
  <r>
    <x v="47"/>
    <d v="2023-09-08T00:00:00"/>
    <s v="Delta Skymiles Platinum - Ending in 1007"/>
    <x v="3477"/>
    <n v="36.64"/>
    <x v="24"/>
    <s v="Travel"/>
    <m/>
    <m/>
    <m/>
    <m/>
    <m/>
    <m/>
    <m/>
    <x v="3068"/>
    <m/>
    <m/>
  </r>
  <r>
    <x v="47"/>
    <d v="2023-09-08T00:00:00"/>
    <s v="Delta Skymiles Platinum - Ending in 1007"/>
    <x v="4124"/>
    <n v="32.72"/>
    <x v="39"/>
    <s v="Restaurants"/>
    <s v="Exp - Restaurants"/>
    <m/>
    <m/>
    <m/>
    <m/>
    <m/>
    <m/>
    <x v="3658"/>
    <m/>
    <m/>
  </r>
  <r>
    <x v="47"/>
    <d v="2023-09-08T00:00:00"/>
    <s v="Delta Skymiles Platinum - Ending in 1007"/>
    <x v="4125"/>
    <n v="13.99"/>
    <x v="24"/>
    <s v="Travel"/>
    <m/>
    <m/>
    <m/>
    <m/>
    <m/>
    <m/>
    <m/>
    <x v="3659"/>
    <m/>
    <m/>
  </r>
  <r>
    <x v="47"/>
    <d v="2023-09-08T00:00:00"/>
    <s v="Powerplus - Ending in 8s61"/>
    <x v="1827"/>
    <n v="1064.2"/>
    <x v="43"/>
    <m/>
    <s v="Exp - Travel"/>
    <s v="Airbnb?"/>
    <m/>
    <m/>
    <m/>
    <m/>
    <m/>
    <x v="1682"/>
    <m/>
    <m/>
  </r>
  <r>
    <x v="47"/>
    <d v="2023-09-08T00:00:00"/>
    <s v="Powerplus - Ending in 8s60"/>
    <x v="4126"/>
    <n v="204"/>
    <x v="43"/>
    <m/>
    <s v="Exp - Travel"/>
    <m/>
    <m/>
    <m/>
    <m/>
    <m/>
    <m/>
    <x v="3660"/>
    <m/>
    <m/>
  </r>
  <r>
    <x v="47"/>
    <d v="2023-09-09T00:00:00"/>
    <s v="Delta Skymiles Platinum - Ending in 1007"/>
    <x v="4127"/>
    <n v="17.649999999999999"/>
    <x v="1"/>
    <s v="Restaurants"/>
    <m/>
    <m/>
    <m/>
    <m/>
    <m/>
    <m/>
    <m/>
    <x v="3661"/>
    <m/>
    <m/>
  </r>
  <r>
    <x v="47"/>
    <d v="2023-09-09T00:00:00"/>
    <s v="Delta Skymiles Platinum - Ending in 1007"/>
    <x v="4128"/>
    <n v="56.62"/>
    <x v="39"/>
    <s v="Restaurants"/>
    <s v="Exp - Restaurants"/>
    <m/>
    <m/>
    <m/>
    <m/>
    <m/>
    <m/>
    <x v="3662"/>
    <m/>
    <m/>
  </r>
  <r>
    <x v="47"/>
    <d v="2023-09-09T00:00:00"/>
    <s v="Delta Skymiles Platinum - Ending in 1007"/>
    <x v="4129"/>
    <n v="14"/>
    <x v="1"/>
    <s v="Restaurants"/>
    <m/>
    <m/>
    <m/>
    <m/>
    <m/>
    <m/>
    <m/>
    <x v="3663"/>
    <m/>
    <m/>
  </r>
  <r>
    <x v="47"/>
    <d v="2023-09-09T00:00:00"/>
    <s v="Delta Skymiles Platinum - Ending in 1007"/>
    <x v="4130"/>
    <n v="18"/>
    <x v="1"/>
    <s v="Restaurants"/>
    <m/>
    <m/>
    <m/>
    <m/>
    <m/>
    <m/>
    <m/>
    <x v="3664"/>
    <m/>
    <m/>
  </r>
  <r>
    <x v="47"/>
    <d v="2023-09-09T00:00:00"/>
    <s v="Delta Skymiles Platinum - Ending in 1007"/>
    <x v="4131"/>
    <n v="36.06"/>
    <x v="1"/>
    <s v="Restaurants"/>
    <m/>
    <m/>
    <m/>
    <m/>
    <m/>
    <m/>
    <m/>
    <x v="3665"/>
    <m/>
    <m/>
  </r>
  <r>
    <x v="47"/>
    <d v="2023-09-10T00:00:00"/>
    <s v="Delta Skymiles Platinum - Ending in 1007"/>
    <x v="4132"/>
    <n v="60.32"/>
    <x v="32"/>
    <s v="Delete - Other Expenses"/>
    <s v="Exp - Shopping"/>
    <m/>
    <m/>
    <m/>
    <m/>
    <m/>
    <m/>
    <x v="3666"/>
    <m/>
    <m/>
  </r>
  <r>
    <x v="47"/>
    <d v="2023-09-10T00:00:00"/>
    <s v="Cash Rewards Visa Signature - Ending in 5972"/>
    <x v="4133"/>
    <n v="20"/>
    <x v="32"/>
    <m/>
    <s v="Exp - Shopping"/>
    <m/>
    <m/>
    <m/>
    <m/>
    <m/>
    <m/>
    <x v="3667"/>
    <m/>
    <m/>
  </r>
  <r>
    <x v="47"/>
    <d v="2023-09-10T00:00:00"/>
    <s v="Delta Skymiles Platinum - Ending in 1007"/>
    <x v="4134"/>
    <n v="7.28"/>
    <x v="1"/>
    <s v="Restaurants"/>
    <m/>
    <m/>
    <m/>
    <m/>
    <m/>
    <m/>
    <m/>
    <x v="3668"/>
    <m/>
    <m/>
  </r>
  <r>
    <x v="47"/>
    <d v="2023-09-10T00:00:00"/>
    <s v="Delta Skymiles Platinum - Ending in 1007"/>
    <x v="1794"/>
    <n v="10.08"/>
    <x v="37"/>
    <s v="Groceries"/>
    <s v="Exp - Transportation"/>
    <m/>
    <m/>
    <m/>
    <m/>
    <m/>
    <m/>
    <x v="1651"/>
    <m/>
    <m/>
  </r>
  <r>
    <x v="47"/>
    <d v="2023-09-10T00:00:00"/>
    <s v="Delta Skymiles Platinum - Ending in 1007"/>
    <x v="1881"/>
    <n v="59.88"/>
    <x v="37"/>
    <s v="Groceries"/>
    <s v="Exp - Transportation"/>
    <m/>
    <m/>
    <m/>
    <m/>
    <m/>
    <m/>
    <x v="1734"/>
    <m/>
    <m/>
  </r>
  <r>
    <x v="47"/>
    <d v="2023-09-10T00:00:00"/>
    <s v="Delta Skymiles Platinum - Ending in 1007"/>
    <x v="4135"/>
    <n v="68.08"/>
    <x v="1"/>
    <s v="Restaurants"/>
    <m/>
    <m/>
    <m/>
    <m/>
    <m/>
    <m/>
    <m/>
    <x v="3669"/>
    <m/>
    <m/>
  </r>
  <r>
    <x v="47"/>
    <d v="2023-09-10T00:00:00"/>
    <s v="Delta Skymiles Platinum - Ending in 1007"/>
    <x v="4136"/>
    <n v="114.1"/>
    <x v="43"/>
    <s v="Travel"/>
    <s v="Exp - Travel"/>
    <m/>
    <m/>
    <m/>
    <m/>
    <m/>
    <m/>
    <x v="3670"/>
    <m/>
    <m/>
  </r>
  <r>
    <x v="47"/>
    <d v="2023-09-10T00:00:00"/>
    <s v="Delta Skymiles Platinum - Ending in 1007"/>
    <x v="3477"/>
    <n v="18.27"/>
    <x v="24"/>
    <s v="Travel"/>
    <m/>
    <m/>
    <m/>
    <m/>
    <m/>
    <m/>
    <m/>
    <x v="3068"/>
    <m/>
    <m/>
  </r>
  <r>
    <x v="47"/>
    <d v="2023-09-10T00:00:00"/>
    <s v="Cash Rewards Visa Signature - Ending in 5969"/>
    <x v="4137"/>
    <n v="2.1"/>
    <x v="43"/>
    <m/>
    <s v="Exp - Travel"/>
    <m/>
    <m/>
    <m/>
    <m/>
    <m/>
    <m/>
    <x v="3671"/>
    <m/>
    <m/>
  </r>
  <r>
    <x v="47"/>
    <d v="2023-09-10T00:00:00"/>
    <s v="Cash Rewards Visa Signature - Ending in 5970"/>
    <x v="4137"/>
    <n v="1.6"/>
    <x v="43"/>
    <m/>
    <s v="Exp - Travel"/>
    <m/>
    <m/>
    <m/>
    <m/>
    <m/>
    <m/>
    <x v="3671"/>
    <m/>
    <m/>
  </r>
  <r>
    <x v="47"/>
    <d v="2023-09-10T00:00:00"/>
    <s v="Cash Rewards Visa Signature - Ending in 5973"/>
    <x v="1867"/>
    <n v="47.25"/>
    <x v="49"/>
    <m/>
    <s v="Exp - Gym"/>
    <m/>
    <m/>
    <m/>
    <m/>
    <m/>
    <m/>
    <x v="1721"/>
    <m/>
    <m/>
  </r>
  <r>
    <x v="47"/>
    <d v="2023-09-10T00:00:00"/>
    <s v="Cash Rewards Visa Signature - Ending in 5968"/>
    <x v="4138"/>
    <n v="37.590000000000003"/>
    <x v="32"/>
    <m/>
    <s v="Exp - Shopping"/>
    <m/>
    <m/>
    <m/>
    <m/>
    <m/>
    <m/>
    <x v="3672"/>
    <m/>
    <m/>
  </r>
  <r>
    <x v="47"/>
    <d v="2023-09-10T00:00:00"/>
    <s v="Cash Rewards Visa Signature - Ending in 5971"/>
    <x v="1941"/>
    <n v="7.9"/>
    <x v="37"/>
    <m/>
    <s v="Exp - Transportation"/>
    <m/>
    <m/>
    <m/>
    <m/>
    <m/>
    <m/>
    <x v="1794"/>
    <m/>
    <m/>
  </r>
  <r>
    <x v="47"/>
    <d v="2023-09-11T00:00:00"/>
    <s v="Cash Rewards Visa Signature - Ending in 5966"/>
    <x v="0"/>
    <n v="36.590000000000003"/>
    <x v="41"/>
    <m/>
    <s v="Exp - Amazon"/>
    <m/>
    <m/>
    <m/>
    <m/>
    <m/>
    <m/>
    <x v="0"/>
    <m/>
    <m/>
  </r>
  <r>
    <x v="47"/>
    <d v="2023-09-11T00:00:00"/>
    <s v="Delta Skymiles Platinum - Ending in 1007"/>
    <x v="585"/>
    <n v="50.57"/>
    <x v="1"/>
    <s v="Restaurants"/>
    <m/>
    <m/>
    <m/>
    <m/>
    <m/>
    <m/>
    <m/>
    <x v="566"/>
    <m/>
    <m/>
  </r>
  <r>
    <x v="47"/>
    <d v="2023-09-11T00:00:00"/>
    <s v="Cash Rewards Visa Signature - Ending in 5967"/>
    <x v="99"/>
    <n v="25.36"/>
    <x v="42"/>
    <m/>
    <s v="Exp - Utilities"/>
    <m/>
    <m/>
    <m/>
    <m/>
    <m/>
    <m/>
    <x v="99"/>
    <m/>
    <m/>
  </r>
  <r>
    <x v="47"/>
    <d v="2023-09-11T00:00:00"/>
    <s v="Delta Skymiles Platinum - Ending in 1007"/>
    <x v="4125"/>
    <n v="509.4"/>
    <x v="24"/>
    <s v="Travel"/>
    <m/>
    <m/>
    <m/>
    <m/>
    <m/>
    <m/>
    <m/>
    <x v="3659"/>
    <m/>
    <m/>
  </r>
  <r>
    <x v="47"/>
    <d v="2023-09-12T00:00:00"/>
    <s v="Delta Skymiles Platinum - Ending in 1007"/>
    <x v="4139"/>
    <n v="66.180000000000007"/>
    <x v="3"/>
    <s v="Travel"/>
    <s v="Delete"/>
    <m/>
    <m/>
    <m/>
    <m/>
    <m/>
    <m/>
    <x v="3673"/>
    <m/>
    <m/>
  </r>
  <r>
    <x v="47"/>
    <d v="2023-09-12T00:00:00"/>
    <s v="Cash Rewards Visa Signature - Ending in 5965"/>
    <x v="0"/>
    <n v="10.73"/>
    <x v="41"/>
    <m/>
    <s v="Exp - Amazon"/>
    <m/>
    <m/>
    <m/>
    <m/>
    <m/>
    <m/>
    <x v="0"/>
    <m/>
    <m/>
  </r>
  <r>
    <x v="47"/>
    <d v="2023-09-12T00:00:00"/>
    <s v="Discover More Card - Ending in 7779"/>
    <x v="0"/>
    <n v="13.92"/>
    <x v="41"/>
    <s v="Amazon"/>
    <s v="Exp - Amazon"/>
    <m/>
    <m/>
    <m/>
    <m/>
    <m/>
    <m/>
    <x v="0"/>
    <m/>
    <m/>
  </r>
  <r>
    <x v="47"/>
    <d v="2023-09-12T00:00:00"/>
    <s v="Cash Rewards Visa Signature - Ending in 5964"/>
    <x v="4140"/>
    <n v="5.99"/>
    <x v="35"/>
    <m/>
    <s v="Exp - Entertainment"/>
    <m/>
    <m/>
    <m/>
    <m/>
    <m/>
    <m/>
    <x v="3674"/>
    <m/>
    <m/>
  </r>
  <r>
    <x v="47"/>
    <d v="2023-09-12T00:00:00"/>
    <s v="Powerplus - Ending in 8s59"/>
    <x v="1849"/>
    <n v="51.74"/>
    <x v="32"/>
    <m/>
    <s v="Exp - Shopping"/>
    <m/>
    <m/>
    <m/>
    <m/>
    <m/>
    <m/>
    <x v="1704"/>
    <m/>
    <m/>
  </r>
  <r>
    <x v="47"/>
    <d v="2023-09-13T00:00:00"/>
    <s v="Delta Skymiles Platinum - Ending in 1007"/>
    <x v="4141"/>
    <n v="80.5"/>
    <x v="10"/>
    <s v="Entertainment"/>
    <m/>
    <m/>
    <m/>
    <m/>
    <m/>
    <m/>
    <m/>
    <x v="3675"/>
    <m/>
    <m/>
  </r>
  <r>
    <x v="47"/>
    <d v="2023-09-13T00:00:00"/>
    <s v="Delta Skymiles Platinum - Ending in 1007"/>
    <x v="4142"/>
    <n v="9.9600000000000009"/>
    <x v="1"/>
    <s v="Restaurants"/>
    <m/>
    <m/>
    <m/>
    <m/>
    <m/>
    <m/>
    <m/>
    <x v="3676"/>
    <m/>
    <m/>
  </r>
  <r>
    <x v="47"/>
    <d v="2023-09-13T00:00:00"/>
    <s v="Powerplus - Ending in 8s58"/>
    <x v="4143"/>
    <n v="330"/>
    <x v="40"/>
    <m/>
    <s v="Exp - Day Care"/>
    <m/>
    <m/>
    <m/>
    <m/>
    <m/>
    <m/>
    <x v="3216"/>
    <m/>
    <m/>
  </r>
  <r>
    <x v="47"/>
    <d v="2023-09-13T00:00:00"/>
    <s v="Cash Rewards Visa Signature - Ending in 5963"/>
    <x v="1993"/>
    <n v="45"/>
    <x v="42"/>
    <m/>
    <s v="Exp - Utilities"/>
    <m/>
    <m/>
    <m/>
    <m/>
    <m/>
    <m/>
    <x v="1843"/>
    <m/>
    <m/>
  </r>
  <r>
    <x v="47"/>
    <d v="2023-09-14T00:00:00"/>
    <s v="Powerplus - Ending in 8s54"/>
    <x v="1893"/>
    <n v="-3594.81"/>
    <x v="14"/>
    <m/>
    <s v="Inc - Britney"/>
    <m/>
    <m/>
    <m/>
    <m/>
    <m/>
    <m/>
    <x v="1746"/>
    <m/>
    <m/>
  </r>
  <r>
    <x v="47"/>
    <d v="2023-09-14T00:00:00"/>
    <s v="Powerplus - Ending in 8s56"/>
    <x v="4144"/>
    <n v="-658.29"/>
    <x v="3"/>
    <m/>
    <s v="Delete"/>
    <m/>
    <m/>
    <m/>
    <m/>
    <m/>
    <m/>
    <x v="3260"/>
    <m/>
    <m/>
  </r>
  <r>
    <x v="47"/>
    <d v="2023-09-14T00:00:00"/>
    <s v="Delta Skymiles Platinum - Ending in 1007"/>
    <x v="4145"/>
    <n v="61.68"/>
    <x v="39"/>
    <s v="Travel"/>
    <s v="Exp - Restaurants"/>
    <m/>
    <m/>
    <m/>
    <m/>
    <m/>
    <m/>
    <x v="3677"/>
    <m/>
    <m/>
  </r>
  <r>
    <x v="47"/>
    <d v="2023-09-14T00:00:00"/>
    <s v="Delta Skymiles Platinum - Ending in 1007"/>
    <x v="4145"/>
    <n v="1232.99"/>
    <x v="3"/>
    <s v="Travel"/>
    <s v="Delete"/>
    <m/>
    <m/>
    <m/>
    <m/>
    <m/>
    <m/>
    <x v="3677"/>
    <m/>
    <m/>
  </r>
  <r>
    <x v="47"/>
    <d v="2023-09-14T00:00:00"/>
    <s v="Delta Skymiles Platinum - Ending in 1007"/>
    <x v="4104"/>
    <n v="90"/>
    <x v="3"/>
    <s v="Travel"/>
    <s v="Delete"/>
    <m/>
    <m/>
    <m/>
    <m/>
    <m/>
    <m/>
    <x v="3639"/>
    <m/>
    <m/>
  </r>
  <r>
    <x v="47"/>
    <d v="2023-09-14T00:00:00"/>
    <s v="Delta Skymiles Platinum - Ending in 1007"/>
    <x v="4146"/>
    <n v="41.54"/>
    <x v="39"/>
    <s v="Groceries"/>
    <s v="Exp - Restaurants"/>
    <m/>
    <m/>
    <m/>
    <m/>
    <m/>
    <m/>
    <x v="3678"/>
    <m/>
    <m/>
  </r>
  <r>
    <x v="47"/>
    <d v="2023-09-14T00:00:00"/>
    <s v="Powerplus - Ending in 8s57"/>
    <x v="3684"/>
    <n v="-3342.81"/>
    <x v="15"/>
    <m/>
    <s v="Inc - Jeff"/>
    <m/>
    <m/>
    <m/>
    <m/>
    <m/>
    <m/>
    <x v="3245"/>
    <m/>
    <m/>
  </r>
  <r>
    <x v="47"/>
    <d v="2023-09-14T00:00:00"/>
    <s v="Delta Skymiles Platinum - Ending in 1007"/>
    <x v="579"/>
    <n v="13.93"/>
    <x v="1"/>
    <s v="Restaurants"/>
    <m/>
    <m/>
    <m/>
    <m/>
    <m/>
    <m/>
    <m/>
    <x v="560"/>
    <m/>
    <m/>
  </r>
  <r>
    <x v="47"/>
    <d v="2023-09-14T00:00:00"/>
    <s v="Powerplus - Ending in 8s53"/>
    <x v="3657"/>
    <n v="1432.21"/>
    <x v="3"/>
    <m/>
    <s v="Delete"/>
    <m/>
    <m/>
    <m/>
    <m/>
    <m/>
    <m/>
    <x v="3219"/>
    <m/>
    <m/>
  </r>
  <r>
    <x v="47"/>
    <d v="2023-09-14T00:00:00"/>
    <s v="Cash Rewards Visa Signature - Ending in 5962"/>
    <x v="1879"/>
    <n v="-1432.21"/>
    <x v="3"/>
    <m/>
    <s v="Delete"/>
    <m/>
    <m/>
    <m/>
    <m/>
    <m/>
    <m/>
    <x v="1732"/>
    <m/>
    <m/>
  </r>
  <r>
    <x v="47"/>
    <d v="2023-09-14T00:00:00"/>
    <s v="Powerplus - Ending in 8s55"/>
    <x v="3693"/>
    <n v="116.77"/>
    <x v="54"/>
    <m/>
    <s v="Exp - Insurance"/>
    <m/>
    <m/>
    <m/>
    <m/>
    <m/>
    <m/>
    <x v="3254"/>
    <m/>
    <m/>
  </r>
  <r>
    <x v="47"/>
    <d v="2023-09-15T00:00:00"/>
    <s v="Cash Rewards Visa Signature - Ending in 5960"/>
    <x v="0"/>
    <n v="36.99"/>
    <x v="41"/>
    <m/>
    <s v="Exp - Amazon"/>
    <m/>
    <m/>
    <m/>
    <m/>
    <m/>
    <m/>
    <x v="0"/>
    <m/>
    <m/>
  </r>
  <r>
    <x v="47"/>
    <d v="2023-09-15T00:00:00"/>
    <s v="Delta Skymiles Platinum - Ending in 1007"/>
    <x v="4147"/>
    <n v="32.729999999999997"/>
    <x v="35"/>
    <s v="Delete - Other Expenses"/>
    <s v="Exp - Entertainment"/>
    <m/>
    <m/>
    <m/>
    <m/>
    <m/>
    <m/>
    <x v="3679"/>
    <m/>
    <m/>
  </r>
  <r>
    <x v="47"/>
    <d v="2023-09-15T00:00:00"/>
    <s v="Delta Skymiles Platinum - Ending in 1007"/>
    <x v="4148"/>
    <n v="92.6"/>
    <x v="5"/>
    <s v="Groceries"/>
    <m/>
    <m/>
    <m/>
    <m/>
    <m/>
    <m/>
    <m/>
    <x v="3680"/>
    <m/>
    <m/>
  </r>
  <r>
    <x v="47"/>
    <d v="2023-09-15T00:00:00"/>
    <s v="Delta Skymiles Platinum - Ending in 1007"/>
    <x v="4145"/>
    <n v="84.28"/>
    <x v="32"/>
    <s v="Travel"/>
    <s v="Exp - Shopping"/>
    <m/>
    <m/>
    <m/>
    <m/>
    <m/>
    <m/>
    <x v="3677"/>
    <m/>
    <m/>
  </r>
  <r>
    <x v="47"/>
    <d v="2023-09-15T00:00:00"/>
    <s v="Delta Skymiles Platinum - Ending in 1007"/>
    <x v="4149"/>
    <n v="428.6"/>
    <x v="10"/>
    <s v="Entertainment"/>
    <m/>
    <m/>
    <m/>
    <m/>
    <m/>
    <m/>
    <m/>
    <x v="3681"/>
    <m/>
    <m/>
  </r>
  <r>
    <x v="47"/>
    <d v="2023-09-15T00:00:00"/>
    <s v="Cash Rewards Visa Signature - Ending in 5961"/>
    <x v="1941"/>
    <n v="43.94"/>
    <x v="37"/>
    <m/>
    <s v="Exp - Transportation"/>
    <m/>
    <m/>
    <m/>
    <m/>
    <m/>
    <m/>
    <x v="1794"/>
    <m/>
    <m/>
  </r>
  <r>
    <x v="47"/>
    <d v="2023-09-16T00:00:00"/>
    <s v="Delta Skymiles Platinum - Ending in 1007"/>
    <x v="4150"/>
    <n v="182.79"/>
    <x v="36"/>
    <s v="Delete - Home Improvement"/>
    <s v="Exp - House Maint"/>
    <m/>
    <m/>
    <m/>
    <m/>
    <m/>
    <m/>
    <x v="3682"/>
    <m/>
    <m/>
  </r>
  <r>
    <x v="47"/>
    <d v="2023-09-16T00:00:00"/>
    <s v="Delta Skymiles Platinum - Ending in 1007"/>
    <x v="823"/>
    <n v="54.67"/>
    <x v="2"/>
    <s v="Transportation"/>
    <m/>
    <m/>
    <m/>
    <m/>
    <m/>
    <m/>
    <m/>
    <x v="792"/>
    <m/>
    <m/>
  </r>
  <r>
    <x v="47"/>
    <d v="2023-09-16T00:00:00"/>
    <s v="Delta Skymiles Platinum - Ending in 1007"/>
    <x v="1400"/>
    <n v="29"/>
    <x v="44"/>
    <s v="Delete"/>
    <s v="Exp - Misc"/>
    <m/>
    <m/>
    <m/>
    <m/>
    <m/>
    <m/>
    <x v="1319"/>
    <m/>
    <m/>
  </r>
  <r>
    <x v="47"/>
    <d v="2023-09-17T00:00:00"/>
    <s v="Cash Rewards Visa Signature - Ending in 5959"/>
    <x v="0"/>
    <n v="65.98"/>
    <x v="41"/>
    <m/>
    <s v="Exp - Amazon"/>
    <m/>
    <m/>
    <m/>
    <m/>
    <m/>
    <m/>
    <x v="0"/>
    <m/>
    <m/>
  </r>
  <r>
    <x v="47"/>
    <d v="2023-09-17T00:00:00"/>
    <s v="Delta Skymiles Platinum - Ending in 1007"/>
    <x v="4151"/>
    <n v="20"/>
    <x v="10"/>
    <s v="Entertainment"/>
    <m/>
    <m/>
    <m/>
    <m/>
    <m/>
    <m/>
    <m/>
    <x v="3683"/>
    <m/>
    <m/>
  </r>
  <r>
    <x v="47"/>
    <d v="2023-09-17T00:00:00"/>
    <s v="Delta Skymiles Platinum - Ending in 1007"/>
    <x v="3857"/>
    <n v="63"/>
    <x v="1"/>
    <s v="Restaurants"/>
    <m/>
    <m/>
    <m/>
    <m/>
    <m/>
    <m/>
    <m/>
    <x v="3408"/>
    <m/>
    <m/>
  </r>
  <r>
    <x v="47"/>
    <d v="2023-09-17T00:00:00"/>
    <s v="Cash Rewards Visa Signature - Ending in 5956"/>
    <x v="4152"/>
    <n v="12"/>
    <x v="39"/>
    <m/>
    <s v="Exp - Restaurants"/>
    <m/>
    <m/>
    <m/>
    <m/>
    <m/>
    <m/>
    <x v="3684"/>
    <m/>
    <m/>
  </r>
  <r>
    <x v="47"/>
    <d v="2023-09-17T00:00:00"/>
    <s v="Cash Rewards Visa Signature - Ending in 5958"/>
    <x v="4153"/>
    <n v="15"/>
    <x v="35"/>
    <m/>
    <s v="Exp - Entertainment"/>
    <m/>
    <m/>
    <m/>
    <m/>
    <m/>
    <m/>
    <x v="3685"/>
    <m/>
    <m/>
  </r>
  <r>
    <x v="47"/>
    <d v="2023-09-17T00:00:00"/>
    <s v="Cash Rewards Visa Signature - Ending in 5957"/>
    <x v="4154"/>
    <n v="9"/>
    <x v="39"/>
    <m/>
    <s v="Exp - Restaurants"/>
    <m/>
    <m/>
    <m/>
    <m/>
    <m/>
    <m/>
    <x v="3686"/>
    <m/>
    <m/>
  </r>
  <r>
    <x v="47"/>
    <d v="2023-09-17T00:00:00"/>
    <s v="Delta Skymiles Platinum - Ending in 1007"/>
    <x v="4155"/>
    <n v="147.19"/>
    <x v="8"/>
    <s v="Shopping"/>
    <m/>
    <m/>
    <m/>
    <m/>
    <m/>
    <m/>
    <m/>
    <x v="3687"/>
    <m/>
    <m/>
  </r>
  <r>
    <x v="47"/>
    <d v="2023-09-18T00:00:00"/>
    <s v="Delta Skymiles Platinum - Ending in 1007"/>
    <x v="57"/>
    <n v="148.76"/>
    <x v="25"/>
    <s v="Groceries"/>
    <m/>
    <m/>
    <m/>
    <m/>
    <m/>
    <m/>
    <m/>
    <x v="57"/>
    <m/>
    <m/>
  </r>
  <r>
    <x v="47"/>
    <d v="2023-09-18T00:00:00"/>
    <s v="Cash Rewards Visa Signature - Ending in 5947"/>
    <x v="1895"/>
    <n v="-26.79"/>
    <x v="41"/>
    <m/>
    <s v="Exp - Amazon"/>
    <m/>
    <m/>
    <m/>
    <m/>
    <m/>
    <m/>
    <x v="1748"/>
    <m/>
    <m/>
  </r>
  <r>
    <x v="47"/>
    <d v="2023-09-18T00:00:00"/>
    <s v="Cash Rewards Visa Signature - Ending in 5948"/>
    <x v="1895"/>
    <n v="-29.57"/>
    <x v="41"/>
    <m/>
    <s v="Exp - Amazon"/>
    <m/>
    <m/>
    <m/>
    <m/>
    <m/>
    <m/>
    <x v="1748"/>
    <m/>
    <m/>
  </r>
  <r>
    <x v="47"/>
    <d v="2023-09-18T00:00:00"/>
    <s v="Cash Rewards Visa Signature - Ending in 5949"/>
    <x v="1895"/>
    <n v="-36.99"/>
    <x v="41"/>
    <m/>
    <s v="Exp - Amazon"/>
    <m/>
    <m/>
    <m/>
    <m/>
    <m/>
    <m/>
    <x v="1748"/>
    <m/>
    <m/>
  </r>
  <r>
    <x v="47"/>
    <d v="2023-09-18T00:00:00"/>
    <s v="Cash Rewards Visa Signature - Ending in 5950"/>
    <x v="1895"/>
    <n v="-36.590000000000003"/>
    <x v="41"/>
    <m/>
    <s v="Exp - Amazon"/>
    <m/>
    <m/>
    <m/>
    <m/>
    <m/>
    <m/>
    <x v="1748"/>
    <m/>
    <m/>
  </r>
  <r>
    <x v="47"/>
    <d v="2023-09-18T00:00:00"/>
    <s v="Cash Rewards Visa Signature - Ending in 5951"/>
    <x v="1895"/>
    <n v="-15.45"/>
    <x v="41"/>
    <m/>
    <s v="Exp - Amazon"/>
    <m/>
    <m/>
    <m/>
    <m/>
    <m/>
    <m/>
    <x v="1748"/>
    <m/>
    <m/>
  </r>
  <r>
    <x v="47"/>
    <d v="2023-09-18T00:00:00"/>
    <s v="Cash Rewards Visa Signature - Ending in 5952"/>
    <x v="1895"/>
    <n v="-38.49"/>
    <x v="41"/>
    <m/>
    <s v="Exp - Amazon"/>
    <m/>
    <m/>
    <m/>
    <m/>
    <m/>
    <m/>
    <x v="1748"/>
    <m/>
    <m/>
  </r>
  <r>
    <x v="47"/>
    <d v="2023-09-18T00:00:00"/>
    <s v="Cash Rewards Visa Signature - Ending in 5953"/>
    <x v="1895"/>
    <n v="-44.99"/>
    <x v="41"/>
    <m/>
    <s v="Exp - Amazon"/>
    <m/>
    <m/>
    <m/>
    <m/>
    <m/>
    <m/>
    <x v="1748"/>
    <m/>
    <m/>
  </r>
  <r>
    <x v="47"/>
    <d v="2023-09-18T00:00:00"/>
    <s v="Powerplus - Ending in 8s49"/>
    <x v="3652"/>
    <n v="-75"/>
    <x v="14"/>
    <m/>
    <s v="Inc - Britney"/>
    <m/>
    <m/>
    <m/>
    <m/>
    <m/>
    <m/>
    <x v="3214"/>
    <m/>
    <m/>
  </r>
  <r>
    <x v="47"/>
    <d v="2023-09-18T00:00:00"/>
    <s v="Delta Skymiles Platinum - Ending in 1007"/>
    <x v="4156"/>
    <n v="957.5"/>
    <x v="3"/>
    <s v="Travel"/>
    <s v="Delete"/>
    <m/>
    <m/>
    <m/>
    <m/>
    <m/>
    <m/>
    <x v="3688"/>
    <m/>
    <m/>
  </r>
  <r>
    <x v="47"/>
    <d v="2023-09-18T00:00:00"/>
    <s v="Delta Skymiles Platinum - Ending in 1007"/>
    <x v="4157"/>
    <n v="16.02"/>
    <x v="3"/>
    <s v="Travel"/>
    <s v="Delete"/>
    <m/>
    <m/>
    <m/>
    <m/>
    <m/>
    <m/>
    <x v="3689"/>
    <m/>
    <m/>
  </r>
  <r>
    <x v="47"/>
    <d v="2023-09-18T00:00:00"/>
    <s v="Cash Rewards Visa Signature - Ending in 5955"/>
    <x v="255"/>
    <n v="172.77"/>
    <x v="38"/>
    <m/>
    <s v="Exp - Groceries"/>
    <m/>
    <m/>
    <m/>
    <m/>
    <m/>
    <m/>
    <x v="253"/>
    <m/>
    <m/>
  </r>
  <r>
    <x v="47"/>
    <d v="2023-09-18T00:00:00"/>
    <s v="Cash Rewards Visa Signature - Ending in 5954"/>
    <x v="4158"/>
    <n v="48.94"/>
    <x v="38"/>
    <m/>
    <s v="Exp - Groceries"/>
    <m/>
    <m/>
    <m/>
    <m/>
    <m/>
    <m/>
    <x v="3690"/>
    <m/>
    <m/>
  </r>
  <r>
    <x v="47"/>
    <d v="2023-09-18T00:00:00"/>
    <s v="Discover More Card - Ending in 7779"/>
    <x v="2057"/>
    <n v="-159.26"/>
    <x v="3"/>
    <s v="Credit Card Payments"/>
    <s v="Delete"/>
    <m/>
    <m/>
    <m/>
    <m/>
    <m/>
    <m/>
    <x v="1907"/>
    <m/>
    <m/>
  </r>
  <r>
    <x v="47"/>
    <d v="2023-09-18T00:00:00"/>
    <s v="Delta Skymiles Platinum - Ending in 1007"/>
    <x v="4159"/>
    <n v="12.4"/>
    <x v="39"/>
    <s v="Restaurants"/>
    <s v="Exp - Restaurants"/>
    <m/>
    <m/>
    <m/>
    <m/>
    <m/>
    <m/>
    <x v="3691"/>
    <m/>
    <m/>
  </r>
  <r>
    <x v="47"/>
    <d v="2023-09-18T00:00:00"/>
    <s v="Powerplus - Ending in 8s51"/>
    <x v="1849"/>
    <n v="59.97"/>
    <x v="32"/>
    <m/>
    <s v="Exp - Shopping"/>
    <m/>
    <m/>
    <m/>
    <m/>
    <m/>
    <m/>
    <x v="1704"/>
    <m/>
    <m/>
  </r>
  <r>
    <x v="47"/>
    <d v="2023-09-18T00:00:00"/>
    <s v="Powerplus - Ending in 8s52"/>
    <x v="1849"/>
    <n v="7.79"/>
    <x v="32"/>
    <m/>
    <s v="Exp - Shopping"/>
    <m/>
    <m/>
    <m/>
    <m/>
    <m/>
    <m/>
    <x v="1704"/>
    <m/>
    <m/>
  </r>
  <r>
    <x v="47"/>
    <d v="2023-09-18T00:00:00"/>
    <s v="Powerplus - Ending in 8s50"/>
    <x v="4160"/>
    <n v="650"/>
    <x v="47"/>
    <m/>
    <s v="Sav - College Savings"/>
    <m/>
    <m/>
    <m/>
    <m/>
    <m/>
    <m/>
    <x v="3267"/>
    <m/>
    <m/>
  </r>
  <r>
    <x v="47"/>
    <d v="2023-09-18T00:00:00"/>
    <s v="Delta Skymiles Platinum - Ending in 1007"/>
    <x v="3506"/>
    <n v="-9950.69"/>
    <x v="3"/>
    <s v="Delete"/>
    <m/>
    <m/>
    <m/>
    <m/>
    <m/>
    <m/>
    <m/>
    <x v="3095"/>
    <m/>
    <m/>
  </r>
  <r>
    <x v="47"/>
    <d v="2023-09-19T00:00:00"/>
    <s v="Cash Rewards Visa Signature - Ending in 5946"/>
    <x v="0"/>
    <n v="47.35"/>
    <x v="41"/>
    <m/>
    <s v="Exp - Amazon"/>
    <m/>
    <m/>
    <m/>
    <m/>
    <m/>
    <m/>
    <x v="0"/>
    <m/>
    <m/>
  </r>
  <r>
    <x v="47"/>
    <d v="2023-09-19T00:00:00"/>
    <s v="Discover More Card - Ending in 7779"/>
    <x v="3490"/>
    <n v="1.06"/>
    <x v="41"/>
    <s v="Entertainment"/>
    <s v="Exp - Amazon"/>
    <m/>
    <m/>
    <m/>
    <m/>
    <m/>
    <m/>
    <x v="3080"/>
    <m/>
    <m/>
  </r>
  <r>
    <x v="47"/>
    <d v="2023-09-19T00:00:00"/>
    <s v="Delta Skymiles Platinum - Ending in 1007"/>
    <x v="4161"/>
    <n v="1437.36"/>
    <x v="43"/>
    <s v="Restaurants"/>
    <s v="Exp - Travel"/>
    <s v="Helicopter ride"/>
    <m/>
    <m/>
    <m/>
    <m/>
    <m/>
    <x v="3692"/>
    <m/>
    <m/>
  </r>
  <r>
    <x v="47"/>
    <d v="2023-09-19T00:00:00"/>
    <s v="Delta Skymiles Platinum - Ending in 1007"/>
    <x v="4162"/>
    <n v="32.479999999999997"/>
    <x v="1"/>
    <s v="Restaurants"/>
    <m/>
    <m/>
    <m/>
    <m/>
    <m/>
    <m/>
    <m/>
    <x v="3693"/>
    <m/>
    <m/>
  </r>
  <r>
    <x v="47"/>
    <d v="2023-09-19T00:00:00"/>
    <s v="Delta Skymiles Platinum - Ending in 1007"/>
    <x v="4163"/>
    <n v="10.68"/>
    <x v="26"/>
    <s v="Gifts"/>
    <m/>
    <m/>
    <m/>
    <m/>
    <m/>
    <m/>
    <m/>
    <x v="3694"/>
    <m/>
    <m/>
  </r>
  <r>
    <x v="2"/>
    <d v="2019-09-21T00:00:00"/>
    <s v="Investor Checking"/>
    <x v="3864"/>
    <n v="-614.66999999999996"/>
    <x v="3"/>
    <m/>
    <m/>
    <m/>
    <n v="614.66999999999996"/>
    <b v="0"/>
    <m/>
    <m/>
    <s v=".+"/>
    <x v="3415"/>
    <m/>
    <m/>
  </r>
  <r>
    <x v="47"/>
    <d v="2023-09-19T00:00:00"/>
    <s v="Cash Rewards Visa Signature - Ending in 5944"/>
    <x v="4159"/>
    <n v="3.53"/>
    <x v="39"/>
    <m/>
    <s v="Exp - Restaurants"/>
    <m/>
    <m/>
    <m/>
    <m/>
    <m/>
    <m/>
    <x v="3691"/>
    <m/>
    <m/>
  </r>
  <r>
    <x v="47"/>
    <d v="2023-09-19T00:00:00"/>
    <s v="Cash Rewards Visa Signature - Ending in 5945"/>
    <x v="4164"/>
    <n v="29.93"/>
    <x v="3"/>
    <m/>
    <s v="Delete"/>
    <m/>
    <m/>
    <m/>
    <m/>
    <m/>
    <m/>
    <x v="3695"/>
    <m/>
    <m/>
  </r>
  <r>
    <x v="47"/>
    <d v="2023-09-19T00:00:00"/>
    <s v="Powerplus - Ending in 8s45"/>
    <x v="4165"/>
    <n v="-3173.88"/>
    <x v="3"/>
    <m/>
    <s v="Delete"/>
    <m/>
    <m/>
    <m/>
    <m/>
    <m/>
    <m/>
    <x v="3696"/>
    <m/>
    <m/>
  </r>
  <r>
    <x v="47"/>
    <d v="2023-09-19T00:00:00"/>
    <s v="Powerplus - Ending in 8s48"/>
    <x v="1849"/>
    <n v="2.99"/>
    <x v="32"/>
    <m/>
    <s v="Exp - Shopping"/>
    <m/>
    <m/>
    <m/>
    <m/>
    <m/>
    <m/>
    <x v="1704"/>
    <m/>
    <m/>
  </r>
  <r>
    <x v="47"/>
    <d v="2023-09-19T00:00:00"/>
    <s v="Powerplus - Ending in 8s47"/>
    <x v="1888"/>
    <n v="159.26"/>
    <x v="3"/>
    <m/>
    <s v="Delete"/>
    <m/>
    <m/>
    <m/>
    <m/>
    <m/>
    <m/>
    <x v="1741"/>
    <m/>
    <m/>
  </r>
  <r>
    <x v="47"/>
    <d v="2023-09-20T00:00:00"/>
    <s v="Cash Rewards Visa Signature - Ending in 5939"/>
    <x v="4166"/>
    <n v="45.27"/>
    <x v="3"/>
    <m/>
    <s v="Delete"/>
    <m/>
    <m/>
    <m/>
    <m/>
    <m/>
    <m/>
    <x v="3697"/>
    <m/>
    <m/>
  </r>
  <r>
    <x v="47"/>
    <d v="2023-09-20T00:00:00"/>
    <s v="Cash Rewards Visa Signature - Ending in 5937"/>
    <x v="4167"/>
    <n v="45.48"/>
    <x v="3"/>
    <m/>
    <s v="Delete"/>
    <m/>
    <m/>
    <m/>
    <m/>
    <m/>
    <m/>
    <x v="3698"/>
    <m/>
    <m/>
  </r>
  <r>
    <x v="47"/>
    <d v="2023-09-20T00:00:00"/>
    <s v="Cash Rewards Visa Signature - Ending in 5942"/>
    <x v="4168"/>
    <n v="0.49"/>
    <x v="42"/>
    <m/>
    <s v="Exp - Utilities"/>
    <m/>
    <m/>
    <m/>
    <m/>
    <m/>
    <m/>
    <x v="3699"/>
    <m/>
    <m/>
  </r>
  <r>
    <x v="47"/>
    <d v="2023-09-20T00:00:00"/>
    <s v="Cash Rewards Visa Signature - Ending in 5940"/>
    <x v="4169"/>
    <n v="-0.7"/>
    <x v="40"/>
    <m/>
    <s v="Exp - Day Care"/>
    <m/>
    <m/>
    <m/>
    <m/>
    <m/>
    <m/>
    <x v="3700"/>
    <m/>
    <m/>
  </r>
  <r>
    <x v="47"/>
    <d v="2023-09-20T00:00:00"/>
    <s v="Cash Rewards Visa Signature - Ending in 5943"/>
    <x v="188"/>
    <n v="3.76"/>
    <x v="39"/>
    <m/>
    <s v="Exp - Restaurants"/>
    <m/>
    <m/>
    <m/>
    <m/>
    <m/>
    <m/>
    <x v="187"/>
    <m/>
    <m/>
  </r>
  <r>
    <x v="47"/>
    <d v="2023-09-20T00:00:00"/>
    <s v="Cash Rewards Visa Signature - Ending in 5941"/>
    <x v="4170"/>
    <n v="7.48"/>
    <x v="39"/>
    <m/>
    <s v="Exp - Restaurants"/>
    <m/>
    <m/>
    <m/>
    <m/>
    <m/>
    <m/>
    <x v="3701"/>
    <m/>
    <m/>
  </r>
  <r>
    <x v="47"/>
    <d v="2023-09-20T00:00:00"/>
    <s v="Cash Rewards Visa Signature - Ending in 5938"/>
    <x v="4171"/>
    <n v="3.9"/>
    <x v="32"/>
    <m/>
    <s v="Exp - Shopping"/>
    <m/>
    <m/>
    <m/>
    <m/>
    <m/>
    <m/>
    <x v="3702"/>
    <m/>
    <m/>
  </r>
  <r>
    <x v="47"/>
    <d v="2023-09-20T00:00:00"/>
    <s v="Powerplus - Ending in 8s44"/>
    <x v="4172"/>
    <n v="330"/>
    <x v="40"/>
    <m/>
    <s v="Exp - Day Care"/>
    <m/>
    <m/>
    <m/>
    <m/>
    <m/>
    <m/>
    <x v="3216"/>
    <m/>
    <m/>
  </r>
  <r>
    <x v="47"/>
    <d v="2023-09-20T00:00:00"/>
    <s v="Powerplus - Ending in 8s43"/>
    <x v="2020"/>
    <n v="9950.69"/>
    <x v="3"/>
    <m/>
    <s v="Delete"/>
    <m/>
    <m/>
    <m/>
    <m/>
    <m/>
    <m/>
    <x v="1870"/>
    <m/>
    <m/>
  </r>
  <r>
    <x v="47"/>
    <d v="2023-09-21T00:00:00"/>
    <s v="Cash Rewards Visa Signature - Ending in 5936"/>
    <x v="4173"/>
    <n v="11"/>
    <x v="36"/>
    <m/>
    <s v="Exp - House Maint"/>
    <m/>
    <m/>
    <m/>
    <m/>
    <m/>
    <m/>
    <x v="3703"/>
    <m/>
    <m/>
  </r>
  <r>
    <x v="47"/>
    <d v="2023-09-21T00:00:00"/>
    <s v="Cash Rewards Visa Signature - Ending in 5933"/>
    <x v="4174"/>
    <n v="13.61"/>
    <x v="39"/>
    <m/>
    <s v="Exp - Restaurants"/>
    <m/>
    <m/>
    <m/>
    <m/>
    <m/>
    <m/>
    <x v="3704"/>
    <m/>
    <m/>
  </r>
  <r>
    <x v="47"/>
    <d v="2023-09-21T00:00:00"/>
    <s v="Delta Skymiles Platinum - Ending in 1007"/>
    <x v="1412"/>
    <n v="75.239999999999995"/>
    <x v="44"/>
    <s v="Delete"/>
    <s v="Exp - Misc"/>
    <m/>
    <m/>
    <m/>
    <m/>
    <m/>
    <m/>
    <x v="1330"/>
    <m/>
    <m/>
  </r>
  <r>
    <x v="47"/>
    <d v="2023-09-21T00:00:00"/>
    <s v="Cash Rewards Visa Signature - Ending in 5931"/>
    <x v="4175"/>
    <n v="17.690000000000001"/>
    <x v="3"/>
    <m/>
    <s v="Delete"/>
    <m/>
    <m/>
    <m/>
    <m/>
    <m/>
    <m/>
    <x v="3705"/>
    <m/>
    <m/>
  </r>
  <r>
    <x v="47"/>
    <d v="2023-09-21T00:00:00"/>
    <s v="Cash Rewards Visa Signature - Ending in 5932"/>
    <x v="4176"/>
    <n v="13.72"/>
    <x v="3"/>
    <m/>
    <s v="Delete"/>
    <m/>
    <m/>
    <m/>
    <m/>
    <m/>
    <m/>
    <x v="3706"/>
    <m/>
    <m/>
  </r>
  <r>
    <x v="47"/>
    <d v="2023-09-21T00:00:00"/>
    <s v="Cash Rewards Visa Signature - Ending in 5935"/>
    <x v="4177"/>
    <n v="10.61"/>
    <x v="38"/>
    <m/>
    <s v="Exp - Groceries"/>
    <m/>
    <m/>
    <m/>
    <m/>
    <m/>
    <m/>
    <x v="3707"/>
    <m/>
    <m/>
  </r>
  <r>
    <x v="47"/>
    <d v="2023-09-21T00:00:00"/>
    <s v="Cash Rewards Visa Signature - Ending in 5934"/>
    <x v="4178"/>
    <n v="21.44"/>
    <x v="38"/>
    <m/>
    <s v="Exp - Groceries"/>
    <m/>
    <m/>
    <m/>
    <m/>
    <m/>
    <m/>
    <x v="3708"/>
    <m/>
    <m/>
  </r>
  <r>
    <x v="47"/>
    <d v="2023-09-21T00:00:00"/>
    <s v="Powerplus - Ending in 8s42"/>
    <x v="4179"/>
    <n v="85.35"/>
    <x v="42"/>
    <m/>
    <s v="Exp - Utilities"/>
    <m/>
    <m/>
    <m/>
    <m/>
    <m/>
    <m/>
    <x v="3287"/>
    <m/>
    <m/>
  </r>
  <r>
    <x v="47"/>
    <d v="2023-09-22T00:00:00"/>
    <s v="Delta Skymiles Platinum - Ending in 1007"/>
    <x v="3857"/>
    <n v="63"/>
    <x v="1"/>
    <s v="Restaurants"/>
    <m/>
    <m/>
    <m/>
    <m/>
    <m/>
    <m/>
    <m/>
    <x v="3408"/>
    <m/>
    <m/>
  </r>
  <r>
    <x v="47"/>
    <d v="2023-09-22T00:00:00"/>
    <s v="Cash Rewards Visa Signature - Ending in 5930"/>
    <x v="4180"/>
    <n v="24.72"/>
    <x v="40"/>
    <m/>
    <s v="Exp - Day Care"/>
    <m/>
    <m/>
    <m/>
    <m/>
    <m/>
    <m/>
    <x v="3709"/>
    <m/>
    <m/>
  </r>
  <r>
    <x v="47"/>
    <d v="2023-09-22T00:00:00"/>
    <s v="Delta Skymiles Platinum - Ending in 1007"/>
    <x v="1898"/>
    <n v="112.94"/>
    <x v="39"/>
    <s v="Restaurants"/>
    <s v="Exp - Restaurants"/>
    <m/>
    <m/>
    <m/>
    <m/>
    <m/>
    <m/>
    <x v="1751"/>
    <m/>
    <m/>
  </r>
  <r>
    <x v="47"/>
    <d v="2023-09-22T00:00:00"/>
    <s v="Cash Rewards Visa Signature - Ending in 5929"/>
    <x v="579"/>
    <n v="3.76"/>
    <x v="39"/>
    <m/>
    <s v="Exp - Restaurants"/>
    <m/>
    <m/>
    <m/>
    <m/>
    <m/>
    <m/>
    <x v="560"/>
    <m/>
    <m/>
  </r>
  <r>
    <x v="47"/>
    <d v="2023-09-22T00:00:00"/>
    <s v="Cash Rewards Visa Signature - Ending in 5928"/>
    <x v="4181"/>
    <n v="25.61"/>
    <x v="39"/>
    <m/>
    <s v="Exp - Restaurants"/>
    <m/>
    <m/>
    <m/>
    <m/>
    <m/>
    <m/>
    <x v="3710"/>
    <m/>
    <m/>
  </r>
  <r>
    <x v="47"/>
    <d v="2023-09-22T00:00:00"/>
    <s v="Cash Rewards Visa Signature - Ending in 5927"/>
    <x v="4182"/>
    <n v="24.54"/>
    <x v="3"/>
    <m/>
    <s v="Delete"/>
    <m/>
    <m/>
    <m/>
    <m/>
    <m/>
    <m/>
    <x v="3711"/>
    <m/>
    <m/>
  </r>
  <r>
    <x v="47"/>
    <d v="2023-09-22T00:00:00"/>
    <s v="Powerplus - Ending in 8s41"/>
    <x v="1827"/>
    <n v="125"/>
    <x v="32"/>
    <m/>
    <s v="Exp - Shopping"/>
    <m/>
    <m/>
    <m/>
    <m/>
    <m/>
    <m/>
    <x v="1682"/>
    <m/>
    <m/>
  </r>
  <r>
    <x v="47"/>
    <d v="2023-09-22T00:00:00"/>
    <s v="Delta Skymiles Platinum - Ending in 1007"/>
    <x v="197"/>
    <n v="13.08"/>
    <x v="1"/>
    <s v="Restaurants"/>
    <m/>
    <m/>
    <m/>
    <m/>
    <m/>
    <m/>
    <m/>
    <x v="196"/>
    <m/>
    <m/>
  </r>
  <r>
    <x v="47"/>
    <d v="2023-09-23T00:00:00"/>
    <s v="Delta Skymiles Platinum - Ending in 1007"/>
    <x v="77"/>
    <n v="145.5"/>
    <x v="8"/>
    <s v="Shopping"/>
    <m/>
    <m/>
    <m/>
    <m/>
    <m/>
    <m/>
    <m/>
    <x v="77"/>
    <m/>
    <m/>
  </r>
  <r>
    <x v="47"/>
    <d v="2023-09-23T00:00:00"/>
    <s v="Delta Skymiles Platinum - Ending in 1007"/>
    <x v="4183"/>
    <n v="59.43"/>
    <x v="1"/>
    <s v="Restaurants"/>
    <m/>
    <m/>
    <m/>
    <m/>
    <m/>
    <m/>
    <m/>
    <x v="3712"/>
    <m/>
    <m/>
  </r>
  <r>
    <x v="47"/>
    <d v="2023-09-23T00:00:00"/>
    <s v="Delta Skymiles Platinum - Ending in 1007"/>
    <x v="4184"/>
    <n v="2.16"/>
    <x v="1"/>
    <s v="Restaurants"/>
    <m/>
    <m/>
    <m/>
    <m/>
    <m/>
    <m/>
    <m/>
    <x v="3713"/>
    <m/>
    <m/>
  </r>
  <r>
    <x v="47"/>
    <d v="2023-09-23T00:00:00"/>
    <s v="Delta Skymiles Platinum - Ending in 1007"/>
    <x v="4185"/>
    <n v="161.91"/>
    <x v="5"/>
    <s v="Groceries"/>
    <m/>
    <m/>
    <m/>
    <m/>
    <m/>
    <m/>
    <m/>
    <x v="3714"/>
    <m/>
    <m/>
  </r>
  <r>
    <x v="47"/>
    <d v="2023-09-23T00:00:00"/>
    <s v="Delta Skymiles Platinum - Ending in 1007"/>
    <x v="4186"/>
    <n v="130.05000000000001"/>
    <x v="32"/>
    <s v="Shopping"/>
    <s v="Exp - Shopping"/>
    <m/>
    <m/>
    <m/>
    <m/>
    <m/>
    <m/>
    <x v="3715"/>
    <m/>
    <m/>
  </r>
  <r>
    <x v="47"/>
    <d v="2023-09-23T00:00:00"/>
    <s v="Delta Skymiles Platinum - Ending in 1007"/>
    <x v="4187"/>
    <n v="8.32"/>
    <x v="1"/>
    <s v="Restaurants"/>
    <m/>
    <m/>
    <m/>
    <m/>
    <m/>
    <m/>
    <m/>
    <x v="3716"/>
    <m/>
    <m/>
  </r>
  <r>
    <x v="47"/>
    <d v="2023-09-23T00:00:00"/>
    <s v="Delta Skymiles Platinum - Ending in 1007"/>
    <x v="4188"/>
    <n v="704"/>
    <x v="32"/>
    <s v="Shopping"/>
    <s v="Exp - Shopping"/>
    <m/>
    <m/>
    <m/>
    <m/>
    <m/>
    <m/>
    <x v="3717"/>
    <m/>
    <m/>
  </r>
  <r>
    <x v="47"/>
    <d v="2023-09-24T00:00:00"/>
    <s v="Cash Rewards Visa Signature - Ending in 5926"/>
    <x v="4189"/>
    <n v="178.89"/>
    <x v="32"/>
    <m/>
    <s v="Exp - Shopping"/>
    <m/>
    <m/>
    <m/>
    <m/>
    <m/>
    <m/>
    <x v="3718"/>
    <m/>
    <m/>
  </r>
  <r>
    <x v="47"/>
    <d v="2023-09-24T00:00:00"/>
    <s v="Delta Skymiles Platinum - Ending in 1007"/>
    <x v="1881"/>
    <n v="41.27"/>
    <x v="37"/>
    <s v="Groceries"/>
    <s v="Exp - Transportation"/>
    <m/>
    <m/>
    <m/>
    <m/>
    <m/>
    <m/>
    <x v="1734"/>
    <m/>
    <m/>
  </r>
  <r>
    <x v="47"/>
    <d v="2023-09-24T00:00:00"/>
    <s v="Delta Skymiles Platinum - Ending in 1007"/>
    <x v="1881"/>
    <n v="22.56"/>
    <x v="37"/>
    <s v="Groceries"/>
    <s v="Exp - Transportation"/>
    <m/>
    <m/>
    <m/>
    <m/>
    <m/>
    <m/>
    <x v="1734"/>
    <m/>
    <m/>
  </r>
  <r>
    <x v="47"/>
    <d v="2023-09-24T00:00:00"/>
    <s v="Cash Rewards Visa Signature - Ending in 5918"/>
    <x v="3860"/>
    <n v="21.14"/>
    <x v="32"/>
    <m/>
    <s v="Exp - Shopping"/>
    <m/>
    <m/>
    <m/>
    <m/>
    <m/>
    <m/>
    <x v="3411"/>
    <m/>
    <m/>
  </r>
  <r>
    <x v="47"/>
    <d v="2023-09-24T00:00:00"/>
    <s v="Cash Rewards Visa Signature - Ending in 5925"/>
    <x v="4190"/>
    <n v="6.34"/>
    <x v="39"/>
    <m/>
    <s v="Exp - Restaurants"/>
    <m/>
    <m/>
    <m/>
    <m/>
    <m/>
    <m/>
    <x v="3719"/>
    <m/>
    <m/>
  </r>
  <r>
    <x v="47"/>
    <d v="2023-09-24T00:00:00"/>
    <s v="Cash Rewards Visa Signature - Ending in 5924"/>
    <x v="4191"/>
    <n v="25.24"/>
    <x v="3"/>
    <m/>
    <s v="Delete"/>
    <m/>
    <m/>
    <m/>
    <m/>
    <m/>
    <m/>
    <x v="3720"/>
    <m/>
    <m/>
  </r>
  <r>
    <x v="47"/>
    <d v="2023-09-24T00:00:00"/>
    <s v="Cash Rewards Visa Signature - Ending in 5923"/>
    <x v="4192"/>
    <n v="6.34"/>
    <x v="39"/>
    <m/>
    <s v="Exp - Restaurants"/>
    <m/>
    <m/>
    <m/>
    <m/>
    <m/>
    <m/>
    <x v="3721"/>
    <m/>
    <m/>
  </r>
  <r>
    <x v="47"/>
    <d v="2023-09-24T00:00:00"/>
    <s v="Cash Rewards Visa Signature - Ending in 5922"/>
    <x v="4193"/>
    <n v="14.28"/>
    <x v="39"/>
    <m/>
    <s v="Exp - Restaurants"/>
    <m/>
    <m/>
    <m/>
    <m/>
    <m/>
    <m/>
    <x v="3722"/>
    <m/>
    <m/>
  </r>
  <r>
    <x v="47"/>
    <d v="2023-09-24T00:00:00"/>
    <s v="Cash Rewards Visa Signature - Ending in 5921"/>
    <x v="4194"/>
    <n v="16.12"/>
    <x v="39"/>
    <m/>
    <s v="Exp - Restaurants"/>
    <m/>
    <m/>
    <m/>
    <m/>
    <m/>
    <m/>
    <x v="3723"/>
    <m/>
    <m/>
  </r>
  <r>
    <x v="47"/>
    <d v="2023-09-24T00:00:00"/>
    <s v="Cash Rewards Visa Signature - Ending in 5920"/>
    <x v="4195"/>
    <n v="16.12"/>
    <x v="39"/>
    <m/>
    <s v="Exp - Restaurants"/>
    <m/>
    <m/>
    <m/>
    <m/>
    <m/>
    <m/>
    <x v="3724"/>
    <m/>
    <m/>
  </r>
  <r>
    <x v="47"/>
    <d v="2023-09-24T00:00:00"/>
    <s v="Cash Rewards Visa Signature - Ending in 5919"/>
    <x v="4196"/>
    <n v="5.66"/>
    <x v="39"/>
    <m/>
    <s v="Exp - Restaurants"/>
    <m/>
    <m/>
    <m/>
    <m/>
    <m/>
    <m/>
    <x v="3725"/>
    <m/>
    <m/>
  </r>
  <r>
    <x v="47"/>
    <d v="2023-09-25T00:00:00"/>
    <s v="Powerplus - Ending in 8s39"/>
    <x v="3729"/>
    <n v="500"/>
    <x v="52"/>
    <m/>
    <s v="Sav - Savings"/>
    <m/>
    <m/>
    <m/>
    <m/>
    <m/>
    <m/>
    <x v="3289"/>
    <m/>
    <m/>
  </r>
  <r>
    <x v="47"/>
    <d v="2023-09-25T00:00:00"/>
    <s v="Powerplus - Ending in 8s40"/>
    <x v="1827"/>
    <n v="144"/>
    <x v="32"/>
    <m/>
    <s v="Exp - Shopping"/>
    <m/>
    <m/>
    <m/>
    <m/>
    <m/>
    <m/>
    <x v="1682"/>
    <m/>
    <m/>
  </r>
  <r>
    <x v="47"/>
    <d v="2023-09-25T00:00:00"/>
    <s v="Powerplus - Ending in 8s37"/>
    <x v="3657"/>
    <n v="819.07"/>
    <x v="3"/>
    <m/>
    <s v="Delete"/>
    <m/>
    <m/>
    <m/>
    <m/>
    <m/>
    <m/>
    <x v="3219"/>
    <m/>
    <m/>
  </r>
  <r>
    <x v="47"/>
    <d v="2023-09-25T00:00:00"/>
    <s v="Cash Rewards Visa Signature - Ending in 5917"/>
    <x v="1879"/>
    <n v="-819.07"/>
    <x v="3"/>
    <m/>
    <s v="Delete"/>
    <m/>
    <m/>
    <m/>
    <m/>
    <m/>
    <m/>
    <x v="1732"/>
    <m/>
    <m/>
  </r>
  <r>
    <x v="47"/>
    <d v="2023-09-25T00:00:00"/>
    <s v="Powerplus - Ending in 8s38"/>
    <x v="3734"/>
    <n v="588.4"/>
    <x v="3"/>
    <m/>
    <s v="Delete"/>
    <m/>
    <m/>
    <m/>
    <m/>
    <m/>
    <m/>
    <x v="3293"/>
    <m/>
    <m/>
  </r>
  <r>
    <x v="47"/>
    <d v="2023-09-26T00:00:00"/>
    <s v="Delta Skymiles Platinum - Ending in 1007"/>
    <x v="4197"/>
    <n v="195"/>
    <x v="32"/>
    <s v="Delete - Other Expenses"/>
    <s v="Exp - Shopping"/>
    <m/>
    <m/>
    <m/>
    <m/>
    <m/>
    <m/>
    <x v="3726"/>
    <m/>
    <m/>
  </r>
  <r>
    <x v="47"/>
    <d v="2023-09-26T00:00:00"/>
    <s v="Delta Skymiles Platinum - Ending in 1007"/>
    <x v="4198"/>
    <n v="82.66"/>
    <x v="5"/>
    <s v="Groceries"/>
    <m/>
    <m/>
    <m/>
    <m/>
    <m/>
    <m/>
    <m/>
    <x v="3727"/>
    <m/>
    <m/>
  </r>
  <r>
    <x v="47"/>
    <d v="2023-09-26T00:00:00"/>
    <s v="Powerplus - Ending in 8s36"/>
    <x v="4199"/>
    <n v="330"/>
    <x v="40"/>
    <m/>
    <s v="Exp - Day Care"/>
    <m/>
    <m/>
    <m/>
    <m/>
    <m/>
    <m/>
    <x v="3216"/>
    <m/>
    <m/>
  </r>
  <r>
    <x v="47"/>
    <d v="2023-09-27T00:00:00"/>
    <s v="Discover More Card - Ending in 7779"/>
    <x v="0"/>
    <n v="47.23"/>
    <x v="41"/>
    <s v="Dry Cleaning"/>
    <s v="Exp - Amazon"/>
    <m/>
    <m/>
    <m/>
    <m/>
    <m/>
    <m/>
    <x v="0"/>
    <m/>
    <m/>
  </r>
  <r>
    <x v="47"/>
    <d v="2023-09-27T00:00:00"/>
    <s v="Delta Skymiles Platinum - Ending in 1007"/>
    <x v="4151"/>
    <n v="122.41"/>
    <x v="10"/>
    <s v="Entertainment"/>
    <m/>
    <m/>
    <m/>
    <m/>
    <m/>
    <m/>
    <m/>
    <x v="3683"/>
    <m/>
    <m/>
  </r>
  <r>
    <x v="47"/>
    <d v="2023-09-27T00:00:00"/>
    <s v="Powerplus - Ending in 8s35"/>
    <x v="1827"/>
    <n v="85"/>
    <x v="32"/>
    <m/>
    <s v="Exp - Shopping"/>
    <m/>
    <m/>
    <m/>
    <m/>
    <m/>
    <m/>
    <x v="1682"/>
    <m/>
    <m/>
  </r>
  <r>
    <x v="47"/>
    <d v="2023-09-28T00:00:00"/>
    <s v="Delta Skymiles Platinum - Ending in 1007"/>
    <x v="4200"/>
    <n v="5.99"/>
    <x v="8"/>
    <s v="Shopping"/>
    <m/>
    <m/>
    <m/>
    <m/>
    <m/>
    <m/>
    <m/>
    <x v="3728"/>
    <m/>
    <m/>
  </r>
  <r>
    <x v="47"/>
    <d v="2023-09-28T00:00:00"/>
    <s v="Powerplus - Ending in 8s32"/>
    <x v="1893"/>
    <n v="-3594.81"/>
    <x v="14"/>
    <m/>
    <s v="Inc - Britney"/>
    <m/>
    <m/>
    <m/>
    <m/>
    <m/>
    <m/>
    <x v="1746"/>
    <m/>
    <m/>
  </r>
  <r>
    <x v="47"/>
    <d v="2023-09-28T00:00:00"/>
    <s v="Cash Rewards Visa Signature - Ending in 5916"/>
    <x v="804"/>
    <n v="10.72"/>
    <x v="38"/>
    <m/>
    <s v="Exp - Groceries"/>
    <m/>
    <m/>
    <m/>
    <m/>
    <m/>
    <m/>
    <x v="774"/>
    <m/>
    <m/>
  </r>
  <r>
    <x v="47"/>
    <d v="2023-09-28T00:00:00"/>
    <s v="Delta Skymiles Platinum - Ending in 1007"/>
    <x v="4201"/>
    <n v="50.7"/>
    <x v="1"/>
    <s v="Restaurants"/>
    <m/>
    <m/>
    <m/>
    <m/>
    <m/>
    <m/>
    <m/>
    <x v="3729"/>
    <m/>
    <m/>
  </r>
  <r>
    <x v="47"/>
    <d v="2023-09-28T00:00:00"/>
    <s v="Powerplus - Ending in 8s34"/>
    <x v="3684"/>
    <n v="-3342.79"/>
    <x v="15"/>
    <m/>
    <s v="Inc - Jeff"/>
    <m/>
    <m/>
    <m/>
    <m/>
    <m/>
    <m/>
    <x v="3245"/>
    <m/>
    <m/>
  </r>
  <r>
    <x v="47"/>
    <d v="2023-09-28T00:00:00"/>
    <s v="Delta Skymiles Platinum - Ending in 1007"/>
    <x v="34"/>
    <n v="35.78"/>
    <x v="45"/>
    <s v="Target"/>
    <s v="Exp - Target"/>
    <m/>
    <m/>
    <m/>
    <m/>
    <m/>
    <m/>
    <x v="34"/>
    <m/>
    <m/>
  </r>
  <r>
    <x v="47"/>
    <d v="2023-09-28T00:00:00"/>
    <s v="Powerplus - Ending in 8s33"/>
    <x v="1849"/>
    <n v="0.99"/>
    <x v="32"/>
    <m/>
    <s v="Exp - Shopping"/>
    <m/>
    <m/>
    <m/>
    <m/>
    <m/>
    <m/>
    <x v="1704"/>
    <m/>
    <m/>
  </r>
  <r>
    <x v="47"/>
    <d v="2023-09-29T00:00:00"/>
    <s v="Delta Skymiles Platinum - Ending in 1007"/>
    <x v="4202"/>
    <n v="14.95"/>
    <x v="39"/>
    <s v="Restaurants"/>
    <s v="Exp - Restaurants"/>
    <m/>
    <m/>
    <m/>
    <m/>
    <m/>
    <m/>
    <x v="3730"/>
    <m/>
    <m/>
  </r>
  <r>
    <x v="47"/>
    <d v="2023-09-29T00:00:00"/>
    <s v="Delta Skymiles Platinum - Ending in 1007"/>
    <x v="823"/>
    <n v="107.21"/>
    <x v="2"/>
    <s v="Transportation"/>
    <m/>
    <m/>
    <m/>
    <m/>
    <m/>
    <m/>
    <m/>
    <x v="792"/>
    <m/>
    <m/>
  </r>
  <r>
    <x v="47"/>
    <d v="2023-09-29T00:00:00"/>
    <s v="Cash Rewards Visa Signature - Ending in 5915"/>
    <x v="2"/>
    <n v="40.22"/>
    <x v="37"/>
    <m/>
    <s v="Exp - Transportation"/>
    <m/>
    <m/>
    <m/>
    <m/>
    <m/>
    <m/>
    <x v="2"/>
    <m/>
    <m/>
  </r>
  <r>
    <x v="47"/>
    <d v="2023-09-29T00:00:00"/>
    <s v="Delta Skymiles Platinum - Ending in 1007"/>
    <x v="4203"/>
    <n v="40.93"/>
    <x v="39"/>
    <s v="Restaurants"/>
    <s v="Exp - Restaurants"/>
    <m/>
    <m/>
    <m/>
    <m/>
    <m/>
    <m/>
    <x v="3731"/>
    <m/>
    <m/>
  </r>
  <r>
    <x v="47"/>
    <d v="2023-09-29T00:00:00"/>
    <s v="Delta Skymiles Platinum - Ending in 1007"/>
    <x v="1837"/>
    <n v="122.41"/>
    <x v="19"/>
    <s v="House Maintenance"/>
    <m/>
    <m/>
    <m/>
    <m/>
    <m/>
    <m/>
    <m/>
    <x v="1692"/>
    <m/>
    <m/>
  </r>
  <r>
    <x v="47"/>
    <d v="2023-09-30T00:00:00"/>
    <s v="Delta Skymiles Platinum - Ending in 1007"/>
    <x v="4204"/>
    <n v="55.82"/>
    <x v="1"/>
    <s v="Restaurants"/>
    <m/>
    <m/>
    <m/>
    <m/>
    <m/>
    <m/>
    <m/>
    <x v="3732"/>
    <m/>
    <m/>
  </r>
  <r>
    <x v="47"/>
    <d v="2023-09-30T00:00:00"/>
    <s v="Powerplus - Ending in 8s31"/>
    <x v="2412"/>
    <n v="-4"/>
    <x v="3"/>
    <m/>
    <s v="Delete"/>
    <m/>
    <m/>
    <m/>
    <m/>
    <m/>
    <m/>
    <x v="2228"/>
    <m/>
    <m/>
  </r>
  <r>
    <x v="47"/>
    <d v="2023-09-30T00:00:00"/>
    <s v="Powerplus - Ending in 8s30"/>
    <x v="4205"/>
    <n v="-48.63"/>
    <x v="13"/>
    <m/>
    <s v="Inc - Other"/>
    <m/>
    <m/>
    <m/>
    <m/>
    <m/>
    <m/>
    <x v="3733"/>
    <m/>
    <m/>
  </r>
  <r>
    <x v="47"/>
    <d v="2023-09-30T00:00:00"/>
    <s v="Cash Rewards Visa Signature - Ending in 5913"/>
    <x v="1881"/>
    <n v="2.25"/>
    <x v="37"/>
    <m/>
    <s v="Exp - Transportation"/>
    <m/>
    <m/>
    <m/>
    <m/>
    <m/>
    <m/>
    <x v="1734"/>
    <m/>
    <m/>
  </r>
  <r>
    <x v="47"/>
    <d v="2023-09-30T00:00:00"/>
    <s v="Delta Skymiles Platinum - Ending in 1007"/>
    <x v="1881"/>
    <n v="9.66"/>
    <x v="37"/>
    <s v="Groceries"/>
    <s v="Exp - Transportation"/>
    <m/>
    <m/>
    <m/>
    <m/>
    <m/>
    <m/>
    <x v="1734"/>
    <m/>
    <m/>
  </r>
  <r>
    <x v="47"/>
    <d v="2023-09-30T00:00:00"/>
    <s v="Cash Rewards Visa Signature - Ending in 5914"/>
    <x v="4206"/>
    <n v="39.67"/>
    <x v="32"/>
    <m/>
    <s v="Exp - Shopping"/>
    <m/>
    <m/>
    <m/>
    <m/>
    <m/>
    <m/>
    <x v="3734"/>
    <m/>
    <m/>
  </r>
  <r>
    <x v="58"/>
    <d v="2023-10-01T00:00:00"/>
    <s v="Delta Skymiles Platinum - Ending in 1007"/>
    <x v="6"/>
    <n v="95.34"/>
    <x v="5"/>
    <s v="Groceries"/>
    <m/>
    <m/>
    <m/>
    <m/>
    <m/>
    <m/>
    <m/>
    <x v="6"/>
    <m/>
    <m/>
  </r>
  <r>
    <x v="58"/>
    <d v="2023-10-01T00:00:00"/>
    <s v="Discover More Card - Ending in 7779"/>
    <x v="79"/>
    <n v="108"/>
    <x v="32"/>
    <s v="Misc"/>
    <s v="Exp - Shopping"/>
    <m/>
    <m/>
    <m/>
    <m/>
    <m/>
    <m/>
    <x v="79"/>
    <m/>
    <m/>
  </r>
  <r>
    <x v="58"/>
    <d v="2023-10-01T00:00:00"/>
    <s v="Delta Skymiles Platinum - Ending in 1007"/>
    <x v="1837"/>
    <n v="247.1"/>
    <x v="19"/>
    <s v="House Maintenance"/>
    <m/>
    <m/>
    <m/>
    <m/>
    <m/>
    <m/>
    <m/>
    <x v="1692"/>
    <m/>
    <m/>
  </r>
  <r>
    <x v="58"/>
    <d v="2023-10-01T00:00:00"/>
    <s v="Powerplus - Ending in 8s30"/>
    <x v="4207"/>
    <n v="618.65"/>
    <x v="48"/>
    <m/>
    <s v="Exp - Car Loan"/>
    <m/>
    <m/>
    <m/>
    <m/>
    <m/>
    <m/>
    <x v="3735"/>
    <m/>
    <m/>
  </r>
  <r>
    <x v="58"/>
    <d v="2023-10-02T00:00:00"/>
    <s v="Cash Rewards Visa Signature - Ending in 5913"/>
    <x v="598"/>
    <n v="5.36"/>
    <x v="41"/>
    <m/>
    <s v="Exp - Amazon"/>
    <m/>
    <m/>
    <m/>
    <m/>
    <m/>
    <m/>
    <x v="579"/>
    <m/>
    <m/>
  </r>
  <r>
    <x v="58"/>
    <d v="2023-10-02T00:00:00"/>
    <s v="Cash Rewards Visa Signature - Ending in 5913"/>
    <x v="4208"/>
    <n v="43.16"/>
    <x v="39"/>
    <m/>
    <s v="Exp - Restaurants"/>
    <m/>
    <m/>
    <m/>
    <m/>
    <m/>
    <m/>
    <x v="3736"/>
    <m/>
    <m/>
  </r>
  <r>
    <x v="58"/>
    <d v="2023-10-02T00:00:00"/>
    <s v="Cash Rewards Visa Signature - Ending in 5913"/>
    <x v="1910"/>
    <n v="107.98"/>
    <x v="32"/>
    <m/>
    <s v="Exp - Shopping"/>
    <m/>
    <m/>
    <m/>
    <m/>
    <m/>
    <m/>
    <x v="1763"/>
    <m/>
    <m/>
  </r>
  <r>
    <x v="58"/>
    <d v="2023-10-02T00:00:00"/>
    <s v="Powerplus - Ending in 8s30"/>
    <x v="4209"/>
    <n v="-5636"/>
    <x v="3"/>
    <m/>
    <s v="Delete"/>
    <m/>
    <m/>
    <m/>
    <m/>
    <m/>
    <m/>
    <x v="3737"/>
    <m/>
    <m/>
  </r>
  <r>
    <x v="58"/>
    <d v="2023-10-02T00:00:00"/>
    <s v="Powerplus - Ending in 8s30"/>
    <x v="4209"/>
    <n v="-1124"/>
    <x v="3"/>
    <m/>
    <s v="Delete"/>
    <m/>
    <m/>
    <m/>
    <m/>
    <m/>
    <m/>
    <x v="3737"/>
    <m/>
    <m/>
  </r>
  <r>
    <x v="58"/>
    <d v="2023-10-02T00:00:00"/>
    <s v="Powerplus - Ending in 8s30"/>
    <x v="4209"/>
    <n v="-112.72"/>
    <x v="3"/>
    <m/>
    <s v="Delete"/>
    <m/>
    <m/>
    <m/>
    <m/>
    <m/>
    <m/>
    <x v="3737"/>
    <m/>
    <m/>
  </r>
  <r>
    <x v="58"/>
    <d v="2023-10-02T00:00:00"/>
    <s v="Cash Rewards Visa Signature - Ending in 5913"/>
    <x v="4210"/>
    <n v="9"/>
    <x v="39"/>
    <m/>
    <s v="Exp - Restaurants"/>
    <m/>
    <m/>
    <m/>
    <m/>
    <m/>
    <m/>
    <x v="3738"/>
    <m/>
    <m/>
  </r>
  <r>
    <x v="58"/>
    <d v="2023-10-02T00:00:00"/>
    <s v="Powerplus - Ending in 8s30"/>
    <x v="3996"/>
    <n v="650"/>
    <x v="47"/>
    <m/>
    <s v="Sav - College Savings"/>
    <m/>
    <m/>
    <m/>
    <m/>
    <m/>
    <m/>
    <x v="3539"/>
    <m/>
    <m/>
  </r>
  <r>
    <x v="58"/>
    <d v="2023-10-02T00:00:00"/>
    <s v="Powerplus - Ending in 8s30"/>
    <x v="1844"/>
    <n v="2741.74"/>
    <x v="53"/>
    <m/>
    <s v="Exp - Rent"/>
    <m/>
    <m/>
    <m/>
    <m/>
    <m/>
    <m/>
    <x v="1699"/>
    <m/>
    <m/>
  </r>
  <r>
    <x v="58"/>
    <d v="2023-10-03T00:00:00"/>
    <s v="Delta Skymiles Platinum - Ending in 1007"/>
    <x v="1861"/>
    <n v="572.79999999999995"/>
    <x v="43"/>
    <s v="Empyrean Travel"/>
    <s v="Exp - Travel"/>
    <s v="Hunt trip"/>
    <m/>
    <m/>
    <m/>
    <m/>
    <m/>
    <x v="1715"/>
    <m/>
    <m/>
  </r>
  <r>
    <x v="58"/>
    <d v="2023-10-03T00:00:00"/>
    <s v="Cash Rewards Visa Signature - Ending in 5913"/>
    <x v="4211"/>
    <n v="44.72"/>
    <x v="51"/>
    <m/>
    <s v="Exp - Gifts"/>
    <m/>
    <m/>
    <m/>
    <m/>
    <m/>
    <m/>
    <x v="3739"/>
    <m/>
    <m/>
  </r>
  <r>
    <x v="58"/>
    <d v="2023-10-03T00:00:00"/>
    <s v="Powerplus - Ending in 8s30"/>
    <x v="4212"/>
    <n v="330"/>
    <x v="40"/>
    <m/>
    <s v="Exp - Day Care"/>
    <m/>
    <m/>
    <m/>
    <m/>
    <m/>
    <m/>
    <x v="3216"/>
    <m/>
    <m/>
  </r>
  <r>
    <x v="58"/>
    <d v="2023-10-03T00:00:00"/>
    <s v="Delta Skymiles Platinum - Ending in 1007"/>
    <x v="3506"/>
    <n v="-2900.63"/>
    <x v="3"/>
    <s v="Delete"/>
    <m/>
    <m/>
    <m/>
    <m/>
    <m/>
    <m/>
    <m/>
    <x v="3095"/>
    <m/>
    <m/>
  </r>
  <r>
    <x v="58"/>
    <d v="2023-10-04T00:00:00"/>
    <s v="Delta Skymiles Platinum - Ending in 1007"/>
    <x v="4213"/>
    <n v="200.67"/>
    <x v="35"/>
    <s v="Delete - Other Expenses"/>
    <s v="Exp - Entertainment"/>
    <m/>
    <m/>
    <m/>
    <m/>
    <m/>
    <m/>
    <x v="3740"/>
    <m/>
    <m/>
  </r>
  <r>
    <x v="58"/>
    <d v="2023-10-04T00:00:00"/>
    <s v="Cash Rewards Visa Signature - Ending in 5913"/>
    <x v="1121"/>
    <n v="74.989999999999995"/>
    <x v="32"/>
    <m/>
    <s v="Exp - Shopping"/>
    <m/>
    <m/>
    <m/>
    <m/>
    <m/>
    <m/>
    <x v="1067"/>
    <m/>
    <m/>
  </r>
  <r>
    <x v="58"/>
    <d v="2023-10-04T00:00:00"/>
    <s v="Powerplus - Ending in 8s30"/>
    <x v="3729"/>
    <n v="6872.72"/>
    <x v="3"/>
    <m/>
    <s v="Delete"/>
    <m/>
    <m/>
    <m/>
    <m/>
    <m/>
    <m/>
    <x v="3289"/>
    <m/>
    <m/>
  </r>
  <r>
    <x v="58"/>
    <d v="2023-10-04T00:00:00"/>
    <s v="Cash Rewards Visa Signature - Ending in 5913"/>
    <x v="55"/>
    <n v="18.39"/>
    <x v="38"/>
    <m/>
    <s v="Exp - Groceries"/>
    <m/>
    <m/>
    <m/>
    <m/>
    <m/>
    <m/>
    <x v="55"/>
    <m/>
    <m/>
  </r>
  <r>
    <x v="58"/>
    <d v="2023-10-04T00:00:00"/>
    <s v="Powerplus - Ending in 8s30"/>
    <x v="2020"/>
    <n v="2900.63"/>
    <x v="3"/>
    <m/>
    <s v="Delete"/>
    <m/>
    <m/>
    <m/>
    <m/>
    <m/>
    <m/>
    <x v="1870"/>
    <m/>
    <m/>
  </r>
  <r>
    <x v="58"/>
    <d v="2023-10-05T00:00:00"/>
    <s v="Powerplus - Ending in 8s30"/>
    <x v="1869"/>
    <n v="229.41"/>
    <x v="42"/>
    <m/>
    <s v="Exp - Utilities"/>
    <m/>
    <m/>
    <m/>
    <m/>
    <m/>
    <m/>
    <x v="1723"/>
    <m/>
    <m/>
  </r>
  <r>
    <x v="58"/>
    <d v="2023-10-06T00:00:00"/>
    <s v="Powerplus - Ending in 8s30"/>
    <x v="1849"/>
    <n v="65.400000000000006"/>
    <x v="32"/>
    <m/>
    <s v="Exp - Shopping"/>
    <m/>
    <m/>
    <m/>
    <m/>
    <m/>
    <m/>
    <x v="1704"/>
    <m/>
    <m/>
  </r>
  <r>
    <x v="58"/>
    <d v="2023-10-06T00:00:00"/>
    <s v="Powerplus - Ending in 8s30"/>
    <x v="1827"/>
    <n v="60"/>
    <x v="32"/>
    <m/>
    <s v="Exp - Shopping"/>
    <m/>
    <m/>
    <m/>
    <m/>
    <m/>
    <m/>
    <x v="1682"/>
    <m/>
    <m/>
  </r>
  <r>
    <x v="58"/>
    <d v="2023-10-07T00:00:00"/>
    <s v="Delta Skymiles Platinum - Ending in 1007"/>
    <x v="4214"/>
    <n v="87.83"/>
    <x v="50"/>
    <s v="Shopping"/>
    <s v="Exp - Dry Cleaning"/>
    <m/>
    <m/>
    <m/>
    <m/>
    <m/>
    <m/>
    <x v="3741"/>
    <m/>
    <m/>
  </r>
  <r>
    <x v="58"/>
    <d v="2023-10-07T00:00:00"/>
    <s v="Delta Skymiles Platinum - Ending in 1007"/>
    <x v="4215"/>
    <n v="59.47"/>
    <x v="37"/>
    <s v="Car Loan"/>
    <s v="Exp - Transportation"/>
    <m/>
    <m/>
    <m/>
    <m/>
    <m/>
    <m/>
    <x v="3742"/>
    <m/>
    <m/>
  </r>
  <r>
    <x v="58"/>
    <d v="2023-10-07T00:00:00"/>
    <s v="Delta Skymiles Platinum - Ending in 1007"/>
    <x v="4216"/>
    <n v="211.58"/>
    <x v="51"/>
    <s v="Dry Cleaning"/>
    <s v="Exp - Gifts"/>
    <m/>
    <m/>
    <m/>
    <m/>
    <m/>
    <m/>
    <x v="3743"/>
    <m/>
    <m/>
  </r>
  <r>
    <x v="58"/>
    <d v="2023-10-07T00:00:00"/>
    <s v="Delta Skymiles Platinum - Ending in 1007"/>
    <x v="4188"/>
    <n v="-147.19999999999999"/>
    <x v="32"/>
    <s v="Shopping"/>
    <s v="Exp - Shopping"/>
    <m/>
    <m/>
    <m/>
    <m/>
    <m/>
    <m/>
    <x v="3717"/>
    <m/>
    <m/>
  </r>
  <r>
    <x v="58"/>
    <d v="2023-10-08T00:00:00"/>
    <s v="Cash Rewards Visa Signature - Ending in 5913"/>
    <x v="1910"/>
    <n v="-32.68"/>
    <x v="32"/>
    <m/>
    <s v="Exp - Shopping"/>
    <m/>
    <m/>
    <m/>
    <m/>
    <m/>
    <m/>
    <x v="1763"/>
    <m/>
    <m/>
  </r>
  <r>
    <x v="58"/>
    <d v="2023-10-08T00:00:00"/>
    <s v="Cash Rewards Visa Signature - Ending in 5913"/>
    <x v="4217"/>
    <n v="-138.91"/>
    <x v="32"/>
    <m/>
    <s v="Exp - Shopping"/>
    <m/>
    <m/>
    <m/>
    <m/>
    <m/>
    <m/>
    <x v="3744"/>
    <m/>
    <m/>
  </r>
  <r>
    <x v="58"/>
    <d v="2023-10-08T00:00:00"/>
    <s v="Cash Rewards Visa Signature - Ending in 5913"/>
    <x v="451"/>
    <n v="28.73"/>
    <x v="39"/>
    <m/>
    <s v="Exp - Restaurants"/>
    <m/>
    <m/>
    <m/>
    <m/>
    <m/>
    <m/>
    <x v="435"/>
    <m/>
    <m/>
  </r>
  <r>
    <x v="58"/>
    <d v="2023-10-08T00:00:00"/>
    <s v="Discover More Card - Ending in 7779"/>
    <x v="157"/>
    <n v="76.3"/>
    <x v="8"/>
    <s v="Shopping"/>
    <m/>
    <m/>
    <m/>
    <m/>
    <m/>
    <m/>
    <m/>
    <x v="156"/>
    <m/>
    <m/>
  </r>
  <r>
    <x v="58"/>
    <d v="2023-10-08T00:00:00"/>
    <s v="Cash Rewards Visa Signature - Ending in 5913"/>
    <x v="4218"/>
    <n v="169.12"/>
    <x v="42"/>
    <m/>
    <s v="Exp - Utilities"/>
    <m/>
    <m/>
    <m/>
    <m/>
    <m/>
    <m/>
    <x v="3745"/>
    <m/>
    <m/>
  </r>
  <r>
    <x v="58"/>
    <d v="2023-10-08T00:00:00"/>
    <s v="Cash Rewards Visa Signature - Ending in 5913"/>
    <x v="4219"/>
    <n v="4.3499999999999996"/>
    <x v="39"/>
    <m/>
    <s v="Exp - Restaurants"/>
    <m/>
    <m/>
    <m/>
    <m/>
    <m/>
    <m/>
    <x v="3746"/>
    <m/>
    <m/>
  </r>
  <r>
    <x v="58"/>
    <d v="2023-10-09T00:00:00"/>
    <s v="Cash Rewards Visa Signature - Ending in 5913"/>
    <x v="0"/>
    <n v="5.95"/>
    <x v="41"/>
    <m/>
    <s v="Exp - Amazon"/>
    <m/>
    <m/>
    <m/>
    <m/>
    <m/>
    <m/>
    <x v="0"/>
    <m/>
    <m/>
  </r>
  <r>
    <x v="58"/>
    <d v="2023-10-09T00:00:00"/>
    <s v="Cash Rewards Visa Signature - Ending in 5913"/>
    <x v="0"/>
    <n v="12.99"/>
    <x v="41"/>
    <m/>
    <s v="Exp - Amazon"/>
    <m/>
    <m/>
    <m/>
    <m/>
    <m/>
    <m/>
    <x v="0"/>
    <m/>
    <m/>
  </r>
  <r>
    <x v="58"/>
    <d v="2023-10-09T00:00:00"/>
    <s v="Cash Rewards Visa Signature - Ending in 5913"/>
    <x v="4220"/>
    <n v="134"/>
    <x v="39"/>
    <m/>
    <s v="Exp - Restaurants"/>
    <m/>
    <m/>
    <m/>
    <m/>
    <m/>
    <m/>
    <x v="3747"/>
    <m/>
    <m/>
  </r>
  <r>
    <x v="58"/>
    <d v="2023-10-09T00:00:00"/>
    <s v="Cash Rewards Visa Signature - Ending in 5913"/>
    <x v="4221"/>
    <n v="98.48"/>
    <x v="38"/>
    <m/>
    <s v="Exp - Groceries"/>
    <m/>
    <m/>
    <m/>
    <m/>
    <m/>
    <m/>
    <x v="3748"/>
    <m/>
    <m/>
  </r>
  <r>
    <x v="58"/>
    <d v="2023-10-09T00:00:00"/>
    <s v="Cash Rewards Visa Signature - Ending in 5913"/>
    <x v="1573"/>
    <n v="8.48"/>
    <x v="32"/>
    <m/>
    <s v="Exp - Shopping"/>
    <m/>
    <m/>
    <m/>
    <m/>
    <m/>
    <m/>
    <x v="1473"/>
    <m/>
    <m/>
  </r>
  <r>
    <x v="58"/>
    <d v="2023-10-09T00:00:00"/>
    <s v="Cash Rewards Visa Signature - Ending in 5913"/>
    <x v="1867"/>
    <n v="47.69"/>
    <x v="49"/>
    <m/>
    <s v="Exp - Gym"/>
    <m/>
    <m/>
    <m/>
    <m/>
    <m/>
    <m/>
    <x v="1721"/>
    <m/>
    <m/>
  </r>
  <r>
    <x v="58"/>
    <d v="2023-10-09T00:00:00"/>
    <s v="Discover More Card - Ending in 7779"/>
    <x v="4222"/>
    <n v="27.86"/>
    <x v="32"/>
    <s v="Shopping"/>
    <s v="Exp - Shopping"/>
    <m/>
    <m/>
    <m/>
    <m/>
    <m/>
    <m/>
    <x v="3749"/>
    <m/>
    <m/>
  </r>
  <r>
    <x v="58"/>
    <d v="2023-10-09T00:00:00"/>
    <s v="Cash Rewards Visa Signature - Ending in 5913"/>
    <x v="4188"/>
    <n v="174"/>
    <x v="32"/>
    <m/>
    <s v="Exp - Shopping"/>
    <m/>
    <m/>
    <m/>
    <m/>
    <m/>
    <m/>
    <x v="3717"/>
    <m/>
    <m/>
  </r>
  <r>
    <x v="58"/>
    <d v="2023-10-10T00:00:00"/>
    <s v="Delta Skymiles Platinum - Ending in 1007"/>
    <x v="4223"/>
    <n v="55"/>
    <x v="8"/>
    <s v="Shopping"/>
    <m/>
    <m/>
    <m/>
    <m/>
    <m/>
    <m/>
    <m/>
    <x v="3750"/>
    <m/>
    <m/>
  </r>
  <r>
    <x v="58"/>
    <d v="2023-10-10T00:00:00"/>
    <s v="Cash Rewards Visa Signature - Ending in 5913"/>
    <x v="99"/>
    <n v="25.6"/>
    <x v="42"/>
    <m/>
    <s v="Exp - Utilities"/>
    <m/>
    <m/>
    <m/>
    <m/>
    <m/>
    <m/>
    <x v="99"/>
    <m/>
    <m/>
  </r>
  <r>
    <x v="58"/>
    <d v="2023-10-10T00:00:00"/>
    <s v="Delta Skymiles Platinum - Ending in 1007"/>
    <x v="570"/>
    <n v="3.03"/>
    <x v="1"/>
    <s v="Restaurants"/>
    <m/>
    <m/>
    <m/>
    <m/>
    <m/>
    <m/>
    <m/>
    <x v="551"/>
    <m/>
    <m/>
  </r>
  <r>
    <x v="58"/>
    <d v="2023-10-10T00:00:00"/>
    <s v="Delta Skymiles Platinum - Ending in 1007"/>
    <x v="4224"/>
    <n v="9.99"/>
    <x v="8"/>
    <s v="Shopping"/>
    <m/>
    <m/>
    <m/>
    <m/>
    <m/>
    <m/>
    <m/>
    <x v="3751"/>
    <m/>
    <m/>
  </r>
  <r>
    <x v="58"/>
    <d v="2023-10-10T00:00:00"/>
    <s v="Delta Skymiles Platinum - Ending in 1007"/>
    <x v="1837"/>
    <n v="814.7"/>
    <x v="19"/>
    <s v="House Maintenance"/>
    <m/>
    <m/>
    <m/>
    <m/>
    <m/>
    <m/>
    <m/>
    <x v="1692"/>
    <m/>
    <m/>
  </r>
  <r>
    <x v="58"/>
    <d v="2023-10-10T00:00:00"/>
    <s v="Powerplus - Ending in 8s30"/>
    <x v="3729"/>
    <n v="1500"/>
    <x v="52"/>
    <m/>
    <s v="Sav - Savings"/>
    <m/>
    <m/>
    <m/>
    <m/>
    <m/>
    <m/>
    <x v="3289"/>
    <m/>
    <m/>
  </r>
  <r>
    <x v="58"/>
    <d v="2023-10-10T00:00:00"/>
    <s v="Powerplus - Ending in 8s30"/>
    <x v="1849"/>
    <n v="55.4"/>
    <x v="32"/>
    <m/>
    <s v="Exp - Shopping"/>
    <m/>
    <m/>
    <m/>
    <m/>
    <m/>
    <m/>
    <x v="1704"/>
    <m/>
    <m/>
  </r>
  <r>
    <x v="58"/>
    <d v="2023-10-10T00:00:00"/>
    <s v="Powerplus - Ending in 8s30"/>
    <x v="1827"/>
    <n v="360"/>
    <x v="32"/>
    <m/>
    <s v="Exp - Shopping"/>
    <m/>
    <m/>
    <m/>
    <m/>
    <m/>
    <m/>
    <x v="1682"/>
    <m/>
    <m/>
  </r>
  <r>
    <x v="58"/>
    <d v="2023-10-10T00:00:00"/>
    <s v="Powerplus - Ending in 8s30"/>
    <x v="1827"/>
    <n v="134"/>
    <x v="32"/>
    <m/>
    <s v="Exp - Shopping"/>
    <m/>
    <m/>
    <m/>
    <m/>
    <m/>
    <m/>
    <x v="1682"/>
    <m/>
    <m/>
  </r>
  <r>
    <x v="58"/>
    <d v="2023-10-10T00:00:00"/>
    <s v="Powerplus - Ending in 8s30"/>
    <x v="1827"/>
    <n v="75"/>
    <x v="32"/>
    <m/>
    <s v="Exp - Shopping"/>
    <m/>
    <m/>
    <m/>
    <m/>
    <m/>
    <m/>
    <x v="1682"/>
    <m/>
    <m/>
  </r>
  <r>
    <x v="58"/>
    <d v="2023-10-10T00:00:00"/>
    <s v="Delta Skymiles Platinum - Ending in 1007"/>
    <x v="4188"/>
    <n v="98"/>
    <x v="32"/>
    <s v="Shopping"/>
    <s v="Exp - Shopping"/>
    <m/>
    <m/>
    <m/>
    <m/>
    <m/>
    <m/>
    <x v="3717"/>
    <m/>
    <m/>
  </r>
  <r>
    <x v="58"/>
    <d v="2023-10-10T00:00:00"/>
    <s v="Discover More Card - Ending in 7779"/>
    <x v="56"/>
    <n v="-572.12"/>
    <x v="3"/>
    <s v="Credit Card Payments"/>
    <m/>
    <m/>
    <m/>
    <m/>
    <m/>
    <m/>
    <m/>
    <x v="56"/>
    <m/>
    <m/>
  </r>
  <r>
    <x v="58"/>
    <d v="2023-10-11T00:00:00"/>
    <s v="Cash Rewards Visa Signature - Ending in 5913"/>
    <x v="0"/>
    <n v="49.79"/>
    <x v="41"/>
    <m/>
    <s v="Exp - Amazon"/>
    <m/>
    <m/>
    <m/>
    <m/>
    <m/>
    <m/>
    <x v="0"/>
    <m/>
    <m/>
  </r>
  <r>
    <x v="58"/>
    <d v="2023-10-11T00:00:00"/>
    <s v="Cash Rewards Visa Signature - Ending in 5913"/>
    <x v="3556"/>
    <n v="14.1"/>
    <x v="38"/>
    <m/>
    <s v="Exp - Groceries"/>
    <m/>
    <m/>
    <m/>
    <m/>
    <m/>
    <m/>
    <x v="3136"/>
    <m/>
    <m/>
  </r>
  <r>
    <x v="58"/>
    <d v="2023-10-11T00:00:00"/>
    <s v="Delta Skymiles Platinum - Ending in 1007"/>
    <x v="4225"/>
    <n v="23.16"/>
    <x v="1"/>
    <s v="Restaurants"/>
    <m/>
    <m/>
    <m/>
    <m/>
    <m/>
    <m/>
    <m/>
    <x v="3752"/>
    <m/>
    <m/>
  </r>
  <r>
    <x v="58"/>
    <d v="2023-10-11T00:00:00"/>
    <s v="Powerplus - Ending in 8s30"/>
    <x v="4226"/>
    <n v="330"/>
    <x v="40"/>
    <m/>
    <s v="Exp - Day Care"/>
    <m/>
    <m/>
    <m/>
    <m/>
    <m/>
    <m/>
    <x v="3216"/>
    <m/>
    <m/>
  </r>
  <r>
    <x v="58"/>
    <d v="2023-10-11T00:00:00"/>
    <s v="Delta Skymiles Platinum - Ending in 1007"/>
    <x v="3506"/>
    <n v="-3803.14"/>
    <x v="3"/>
    <s v="Delete"/>
    <m/>
    <m/>
    <m/>
    <m/>
    <m/>
    <m/>
    <m/>
    <x v="3095"/>
    <m/>
    <m/>
  </r>
  <r>
    <x v="58"/>
    <d v="2023-10-11T00:00:00"/>
    <s v="Powerplus - Ending in 8s30"/>
    <x v="1888"/>
    <n v="572.12"/>
    <x v="3"/>
    <m/>
    <s v="Delete"/>
    <m/>
    <m/>
    <m/>
    <m/>
    <m/>
    <m/>
    <x v="1741"/>
    <m/>
    <m/>
  </r>
  <r>
    <x v="58"/>
    <d v="2023-10-12T00:00:00"/>
    <s v="Delta Skymiles Platinum - Ending in 1007"/>
    <x v="1530"/>
    <n v="2029.28"/>
    <x v="2"/>
    <s v="Transportation"/>
    <m/>
    <m/>
    <m/>
    <m/>
    <m/>
    <m/>
    <m/>
    <x v="1435"/>
    <m/>
    <m/>
  </r>
  <r>
    <x v="58"/>
    <d v="2023-10-12T00:00:00"/>
    <s v="Powerplus - Ending in 8s30"/>
    <x v="1893"/>
    <n v="-3594.83"/>
    <x v="14"/>
    <m/>
    <s v="Inc - Britney"/>
    <m/>
    <m/>
    <m/>
    <m/>
    <m/>
    <m/>
    <x v="1746"/>
    <m/>
    <m/>
  </r>
  <r>
    <x v="58"/>
    <d v="2023-10-12T00:00:00"/>
    <s v="Delta Skymiles Platinum - Ending in 1007"/>
    <x v="3857"/>
    <n v="79.989999999999995"/>
    <x v="1"/>
    <s v="Restaurants"/>
    <m/>
    <m/>
    <m/>
    <m/>
    <m/>
    <m/>
    <m/>
    <x v="3408"/>
    <m/>
    <m/>
  </r>
  <r>
    <x v="58"/>
    <d v="2023-10-12T00:00:00"/>
    <s v="Cash Rewards Visa Signature - Ending in 5913"/>
    <x v="4140"/>
    <n v="5.99"/>
    <x v="35"/>
    <m/>
    <s v="Exp - Entertainment"/>
    <m/>
    <m/>
    <m/>
    <m/>
    <m/>
    <m/>
    <x v="3674"/>
    <m/>
    <m/>
  </r>
  <r>
    <x v="58"/>
    <d v="2023-10-12T00:00:00"/>
    <s v="Delta Skymiles Platinum - Ending in 1007"/>
    <x v="4227"/>
    <n v="45.31"/>
    <x v="1"/>
    <s v="Restaurants"/>
    <m/>
    <m/>
    <m/>
    <m/>
    <m/>
    <m/>
    <m/>
    <x v="3753"/>
    <m/>
    <m/>
  </r>
  <r>
    <x v="58"/>
    <d v="2023-10-12T00:00:00"/>
    <s v="Discover More Card - Ending in 7779"/>
    <x v="157"/>
    <n v="-76.3"/>
    <x v="8"/>
    <s v="Shopping"/>
    <m/>
    <m/>
    <m/>
    <m/>
    <m/>
    <m/>
    <m/>
    <x v="156"/>
    <m/>
    <m/>
  </r>
  <r>
    <x v="58"/>
    <d v="2023-10-12T00:00:00"/>
    <s v="Powerplus - Ending in 8s30"/>
    <x v="3684"/>
    <n v="-3342.8"/>
    <x v="15"/>
    <m/>
    <s v="Inc - Jeff"/>
    <m/>
    <m/>
    <m/>
    <m/>
    <m/>
    <m/>
    <x v="3245"/>
    <m/>
    <m/>
  </r>
  <r>
    <x v="58"/>
    <d v="2023-10-12T00:00:00"/>
    <s v="Powerplus - Ending in 8s30"/>
    <x v="1827"/>
    <n v="266.66000000000003"/>
    <x v="32"/>
    <m/>
    <s v="Exp - Shopping"/>
    <m/>
    <m/>
    <m/>
    <m/>
    <m/>
    <m/>
    <x v="1682"/>
    <m/>
    <m/>
  </r>
  <r>
    <x v="58"/>
    <d v="2023-10-12T00:00:00"/>
    <s v="Powerplus - Ending in 8s30"/>
    <x v="1827"/>
    <n v="22"/>
    <x v="32"/>
    <m/>
    <s v="Exp - Shopping"/>
    <m/>
    <m/>
    <m/>
    <m/>
    <m/>
    <m/>
    <x v="1682"/>
    <m/>
    <m/>
  </r>
  <r>
    <x v="58"/>
    <d v="2023-10-12T00:00:00"/>
    <s v="Delta Skymiles Platinum - Ending in 1007"/>
    <x v="4228"/>
    <n v="525.66"/>
    <x v="1"/>
    <s v="Restaurants"/>
    <m/>
    <m/>
    <m/>
    <m/>
    <m/>
    <m/>
    <m/>
    <x v="3754"/>
    <m/>
    <m/>
  </r>
  <r>
    <x v="58"/>
    <d v="2023-10-12T00:00:00"/>
    <s v="Powerplus - Ending in 8s30"/>
    <x v="3657"/>
    <n v="998.15"/>
    <x v="3"/>
    <m/>
    <s v="Delete"/>
    <m/>
    <m/>
    <m/>
    <m/>
    <m/>
    <m/>
    <x v="3219"/>
    <m/>
    <m/>
  </r>
  <r>
    <x v="58"/>
    <d v="2023-10-12T00:00:00"/>
    <s v="Cash Rewards Visa Signature - Ending in 5913"/>
    <x v="1879"/>
    <n v="-998.15"/>
    <x v="3"/>
    <m/>
    <s v="Delete"/>
    <m/>
    <m/>
    <m/>
    <m/>
    <m/>
    <m/>
    <x v="1732"/>
    <m/>
    <m/>
  </r>
  <r>
    <x v="58"/>
    <d v="2023-10-12T00:00:00"/>
    <s v="Powerplus - Ending in 8s30"/>
    <x v="2020"/>
    <n v="3803.14"/>
    <x v="3"/>
    <m/>
    <s v="Delete"/>
    <m/>
    <m/>
    <m/>
    <m/>
    <m/>
    <m/>
    <x v="1870"/>
    <m/>
    <m/>
  </r>
  <r>
    <x v="58"/>
    <d v="2023-10-13T00:00:00"/>
    <s v="Powerplus - Ending in 8s30"/>
    <x v="4229"/>
    <n v="-2828.63"/>
    <x v="15"/>
    <m/>
    <s v="Inc - Jeff"/>
    <m/>
    <m/>
    <m/>
    <m/>
    <m/>
    <m/>
    <x v="3260"/>
    <m/>
    <m/>
  </r>
  <r>
    <x v="58"/>
    <d v="2023-10-13T00:00:00"/>
    <s v="Delta Skymiles Platinum - Ending in 1007"/>
    <x v="4085"/>
    <n v="57.22"/>
    <x v="32"/>
    <s v="Dry Cleaning"/>
    <s v="Exp - Shopping"/>
    <m/>
    <m/>
    <m/>
    <m/>
    <m/>
    <m/>
    <x v="3621"/>
    <m/>
    <m/>
  </r>
  <r>
    <x v="58"/>
    <d v="2023-10-13T00:00:00"/>
    <s v="Cash Rewards Visa Signature - Ending in 5913"/>
    <x v="3472"/>
    <n v="70"/>
    <x v="40"/>
    <m/>
    <s v="Exp - Day Care"/>
    <m/>
    <m/>
    <m/>
    <m/>
    <m/>
    <m/>
    <x v="3063"/>
    <m/>
    <m/>
  </r>
  <r>
    <x v="58"/>
    <d v="2023-10-13T00:00:00"/>
    <s v="Powerplus - Ending in 8s30"/>
    <x v="308"/>
    <n v="497.23"/>
    <x v="32"/>
    <m/>
    <s v="Exp - Shopping"/>
    <m/>
    <m/>
    <m/>
    <m/>
    <m/>
    <m/>
    <x v="300"/>
    <m/>
    <m/>
  </r>
  <r>
    <x v="58"/>
    <d v="2023-10-13T00:00:00"/>
    <s v="Delta Skymiles Platinum - Ending in 1007"/>
    <x v="1837"/>
    <n v="11.68"/>
    <x v="19"/>
    <s v="House Maintenance"/>
    <m/>
    <m/>
    <m/>
    <m/>
    <m/>
    <m/>
    <m/>
    <x v="1692"/>
    <m/>
    <m/>
  </r>
  <r>
    <x v="58"/>
    <d v="2023-10-13T00:00:00"/>
    <s v="Delta Skymiles Platinum - Ending in 1007"/>
    <x v="4230"/>
    <n v="65.489999999999995"/>
    <x v="1"/>
    <s v="Restaurants"/>
    <m/>
    <m/>
    <m/>
    <m/>
    <m/>
    <m/>
    <m/>
    <x v="3755"/>
    <m/>
    <m/>
  </r>
  <r>
    <x v="58"/>
    <d v="2023-10-13T00:00:00"/>
    <s v="Powerplus - Ending in 8s30"/>
    <x v="1890"/>
    <n v="65.349999999999994"/>
    <x v="42"/>
    <m/>
    <s v="Exp - Utilities"/>
    <m/>
    <m/>
    <m/>
    <m/>
    <m/>
    <m/>
    <x v="1743"/>
    <m/>
    <m/>
  </r>
  <r>
    <x v="58"/>
    <d v="2023-10-13T00:00:00"/>
    <s v="Cash Rewards Visa Signature - Ending in 5913"/>
    <x v="1993"/>
    <n v="45"/>
    <x v="42"/>
    <m/>
    <s v="Exp - Utilities"/>
    <m/>
    <m/>
    <m/>
    <m/>
    <m/>
    <m/>
    <x v="1843"/>
    <m/>
    <m/>
  </r>
  <r>
    <x v="58"/>
    <d v="2023-10-14T00:00:00"/>
    <s v="Delta Skymiles Platinum - Ending in 1007"/>
    <x v="4231"/>
    <n v="17"/>
    <x v="39"/>
    <s v="Delete - Other Expenses"/>
    <s v="Exp - Restaurants"/>
    <m/>
    <m/>
    <m/>
    <m/>
    <m/>
    <m/>
    <x v="3756"/>
    <m/>
    <m/>
  </r>
  <r>
    <x v="58"/>
    <d v="2023-10-14T00:00:00"/>
    <s v="Delta Skymiles Platinum - Ending in 1007"/>
    <x v="1955"/>
    <n v="19.559999999999999"/>
    <x v="1"/>
    <s v="Restaurants"/>
    <m/>
    <m/>
    <m/>
    <m/>
    <m/>
    <m/>
    <m/>
    <x v="1807"/>
    <m/>
    <m/>
  </r>
  <r>
    <x v="58"/>
    <d v="2023-10-14T00:00:00"/>
    <s v="Delta Skymiles Platinum - Ending in 1007"/>
    <x v="2"/>
    <n v="39.96"/>
    <x v="2"/>
    <s v="Transportation"/>
    <m/>
    <m/>
    <m/>
    <m/>
    <m/>
    <m/>
    <m/>
    <x v="2"/>
    <m/>
    <m/>
  </r>
  <r>
    <x v="58"/>
    <d v="2023-10-15T00:00:00"/>
    <s v="Delta Skymiles Platinum - Ending in 1007"/>
    <x v="1135"/>
    <n v="13.26"/>
    <x v="1"/>
    <s v="Restaurants"/>
    <m/>
    <m/>
    <m/>
    <m/>
    <m/>
    <m/>
    <m/>
    <x v="1081"/>
    <m/>
    <m/>
  </r>
  <r>
    <x v="58"/>
    <d v="2023-10-15T00:00:00"/>
    <s v="Delta Skymiles Platinum - Ending in 1007"/>
    <x v="59"/>
    <n v="3.53"/>
    <x v="1"/>
    <s v="Restaurants"/>
    <m/>
    <m/>
    <m/>
    <m/>
    <m/>
    <m/>
    <m/>
    <x v="59"/>
    <m/>
    <m/>
  </r>
  <r>
    <x v="58"/>
    <d v="2023-10-15T00:00:00"/>
    <s v="Delta Skymiles Platinum - Ending in 1007"/>
    <x v="6"/>
    <n v="70.98"/>
    <x v="5"/>
    <s v="Groceries"/>
    <m/>
    <m/>
    <m/>
    <m/>
    <m/>
    <m/>
    <m/>
    <x v="6"/>
    <m/>
    <m/>
  </r>
  <r>
    <x v="58"/>
    <d v="2023-10-15T00:00:00"/>
    <s v="Delta Skymiles Platinum - Ending in 1007"/>
    <x v="4136"/>
    <n v="369.57"/>
    <x v="24"/>
    <s v="Travel"/>
    <m/>
    <m/>
    <m/>
    <m/>
    <m/>
    <m/>
    <m/>
    <x v="3670"/>
    <m/>
    <m/>
  </r>
  <r>
    <x v="58"/>
    <d v="2023-10-15T00:00:00"/>
    <s v="Cash Rewards Visa Signature - Ending in 5913"/>
    <x v="4232"/>
    <n v="43"/>
    <x v="37"/>
    <m/>
    <s v="Exp - Transportation"/>
    <m/>
    <m/>
    <m/>
    <m/>
    <m/>
    <m/>
    <x v="3757"/>
    <m/>
    <m/>
  </r>
  <r>
    <x v="58"/>
    <d v="2023-10-16T00:00:00"/>
    <s v="Discover More Card - Ending in 7779"/>
    <x v="0"/>
    <n v="32.46"/>
    <x v="41"/>
    <s v="Amazon"/>
    <s v="Exp - Amazon"/>
    <m/>
    <m/>
    <m/>
    <m/>
    <m/>
    <m/>
    <x v="0"/>
    <m/>
    <m/>
  </r>
  <r>
    <x v="58"/>
    <d v="2023-10-16T00:00:00"/>
    <s v="Powerplus - Ending in 8s30"/>
    <x v="3652"/>
    <n v="-107.75"/>
    <x v="14"/>
    <m/>
    <s v="Inc - Britney"/>
    <m/>
    <m/>
    <m/>
    <m/>
    <m/>
    <m/>
    <x v="3214"/>
    <m/>
    <m/>
  </r>
  <r>
    <x v="58"/>
    <d v="2023-10-16T00:00:00"/>
    <s v="Cash Rewards Visa Signature - Ending in 5913"/>
    <x v="4233"/>
    <n v="256.45999999999998"/>
    <x v="3"/>
    <m/>
    <s v="Delete"/>
    <m/>
    <m/>
    <m/>
    <m/>
    <m/>
    <m/>
    <x v="3758"/>
    <m/>
    <m/>
  </r>
  <r>
    <x v="58"/>
    <d v="2023-10-16T00:00:00"/>
    <s v="Powerplus - Ending in 8s30"/>
    <x v="3693"/>
    <n v="116.77"/>
    <x v="54"/>
    <m/>
    <s v="Exp - Insurance"/>
    <m/>
    <m/>
    <m/>
    <m/>
    <m/>
    <m/>
    <x v="3254"/>
    <m/>
    <m/>
  </r>
  <r>
    <x v="58"/>
    <d v="2023-10-17T00:00:00"/>
    <s v="Delta Skymiles Platinum - Ending in 1007"/>
    <x v="4142"/>
    <n v="8.77"/>
    <x v="1"/>
    <s v="Restaurants"/>
    <m/>
    <m/>
    <m/>
    <m/>
    <m/>
    <m/>
    <m/>
    <x v="3676"/>
    <m/>
    <m/>
  </r>
  <r>
    <x v="58"/>
    <d v="2023-10-17T00:00:00"/>
    <s v="Cash Rewards Visa Signature - Ending in 5913"/>
    <x v="4234"/>
    <n v="-256.45999999999998"/>
    <x v="3"/>
    <m/>
    <s v="Delete"/>
    <m/>
    <m/>
    <m/>
    <m/>
    <m/>
    <m/>
    <x v="3759"/>
    <m/>
    <m/>
  </r>
  <r>
    <x v="58"/>
    <d v="2023-10-17T00:00:00"/>
    <s v="Delta Skymiles Platinum - Ending in 1007"/>
    <x v="2"/>
    <n v="62.44"/>
    <x v="2"/>
    <s v="Transportation"/>
    <m/>
    <m/>
    <m/>
    <m/>
    <m/>
    <m/>
    <m/>
    <x v="2"/>
    <m/>
    <m/>
  </r>
  <r>
    <x v="58"/>
    <d v="2023-10-17T00:00:00"/>
    <s v="Delta Skymiles Platinum - Ending in 1007"/>
    <x v="34"/>
    <n v="34.93"/>
    <x v="12"/>
    <s v="Target"/>
    <m/>
    <m/>
    <m/>
    <m/>
    <m/>
    <m/>
    <m/>
    <x v="34"/>
    <m/>
    <m/>
  </r>
  <r>
    <x v="58"/>
    <d v="2023-10-17T00:00:00"/>
    <s v="Powerplus - Ending in 8s30"/>
    <x v="1827"/>
    <n v="132"/>
    <x v="32"/>
    <m/>
    <s v="Exp - Shopping"/>
    <m/>
    <m/>
    <m/>
    <m/>
    <m/>
    <m/>
    <x v="1682"/>
    <m/>
    <m/>
  </r>
  <r>
    <x v="58"/>
    <d v="2023-10-17T00:00:00"/>
    <s v="Powerplus - Ending in 8s30"/>
    <x v="4235"/>
    <n v="330"/>
    <x v="40"/>
    <m/>
    <s v="Exp - Day Care"/>
    <m/>
    <m/>
    <m/>
    <m/>
    <m/>
    <m/>
    <x v="3216"/>
    <m/>
    <m/>
  </r>
  <r>
    <x v="58"/>
    <d v="2023-10-18T00:00:00"/>
    <s v="Delta Skymiles Platinum - Ending in 1007"/>
    <x v="1530"/>
    <n v="507.63"/>
    <x v="2"/>
    <s v="Transportation"/>
    <m/>
    <m/>
    <m/>
    <m/>
    <m/>
    <m/>
    <m/>
    <x v="1435"/>
    <m/>
    <m/>
  </r>
  <r>
    <x v="58"/>
    <d v="2023-10-18T00:00:00"/>
    <s v="Delta Skymiles Platinum - Ending in 1007"/>
    <x v="1861"/>
    <n v="562.79999999999995"/>
    <x v="3"/>
    <s v="Empyrean Travel"/>
    <m/>
    <s v="Boston"/>
    <m/>
    <m/>
    <m/>
    <m/>
    <m/>
    <x v="1715"/>
    <m/>
    <m/>
  </r>
  <r>
    <x v="58"/>
    <d v="2023-10-18T00:00:00"/>
    <s v="Delta Skymiles Platinum - Ending in 1007"/>
    <x v="3511"/>
    <n v="29.25"/>
    <x v="5"/>
    <s v="Groceries"/>
    <m/>
    <m/>
    <m/>
    <m/>
    <m/>
    <m/>
    <m/>
    <x v="3099"/>
    <m/>
    <m/>
  </r>
  <r>
    <x v="58"/>
    <d v="2023-10-18T00:00:00"/>
    <s v="Powerplus - Ending in 8s30"/>
    <x v="4236"/>
    <n v="650"/>
    <x v="47"/>
    <m/>
    <s v="Sav - College Savings"/>
    <m/>
    <m/>
    <m/>
    <m/>
    <m/>
    <m/>
    <x v="3267"/>
    <m/>
    <m/>
  </r>
  <r>
    <x v="58"/>
    <d v="2023-10-19T00:00:00"/>
    <s v="Cash Rewards Visa Signature - Ending in 5913"/>
    <x v="0"/>
    <n v="8.64"/>
    <x v="41"/>
    <m/>
    <s v="Exp - Amazon"/>
    <m/>
    <m/>
    <m/>
    <m/>
    <m/>
    <m/>
    <x v="0"/>
    <m/>
    <m/>
  </r>
  <r>
    <x v="58"/>
    <d v="2023-10-19T00:00:00"/>
    <s v="Delta Skymiles Platinum - Ending in 1007"/>
    <x v="3987"/>
    <n v="52.45"/>
    <x v="37"/>
    <s v="Groceries"/>
    <s v="Exp - Transportation"/>
    <m/>
    <m/>
    <m/>
    <m/>
    <m/>
    <m/>
    <x v="3530"/>
    <m/>
    <m/>
  </r>
  <r>
    <x v="58"/>
    <d v="2023-10-19T00:00:00"/>
    <s v="Delta Skymiles Platinum - Ending in 1007"/>
    <x v="4237"/>
    <n v="51"/>
    <x v="44"/>
    <s v="Delete - Personal Care"/>
    <s v="Exp - Misc"/>
    <m/>
    <m/>
    <m/>
    <m/>
    <m/>
    <m/>
    <x v="3760"/>
    <m/>
    <m/>
  </r>
  <r>
    <x v="58"/>
    <d v="2023-10-19T00:00:00"/>
    <s v="Delta Skymiles Platinum - Ending in 1007"/>
    <x v="130"/>
    <n v="46.59"/>
    <x v="1"/>
    <s v="Restaurants"/>
    <m/>
    <m/>
    <m/>
    <m/>
    <m/>
    <m/>
    <m/>
    <x v="129"/>
    <m/>
    <m/>
  </r>
  <r>
    <x v="58"/>
    <d v="2023-10-19T00:00:00"/>
    <s v="Powerplus - Ending in 8s30"/>
    <x v="1849"/>
    <n v="2.99"/>
    <x v="32"/>
    <m/>
    <s v="Exp - Shopping"/>
    <m/>
    <m/>
    <m/>
    <m/>
    <m/>
    <m/>
    <x v="1704"/>
    <m/>
    <m/>
  </r>
  <r>
    <x v="58"/>
    <d v="2023-10-19T00:00:00"/>
    <s v="Delta Skymiles Platinum - Ending in 1007"/>
    <x v="3506"/>
    <n v="-4923.3100000000004"/>
    <x v="3"/>
    <s v="Delete"/>
    <m/>
    <m/>
    <m/>
    <m/>
    <m/>
    <m/>
    <m/>
    <x v="3095"/>
    <m/>
    <m/>
  </r>
  <r>
    <x v="58"/>
    <d v="2023-10-20T00:00:00"/>
    <s v="Cash Rewards Visa Signature - Ending in 5913"/>
    <x v="0"/>
    <n v="54.52"/>
    <x v="41"/>
    <m/>
    <s v="Exp - Amazon"/>
    <m/>
    <m/>
    <m/>
    <m/>
    <m/>
    <m/>
    <x v="0"/>
    <m/>
    <m/>
  </r>
  <r>
    <x v="58"/>
    <d v="2023-10-20T00:00:00"/>
    <s v="Cash Rewards Visa Signature - Ending in 5913"/>
    <x v="0"/>
    <n v="28.87"/>
    <x v="41"/>
    <m/>
    <s v="Exp - Amazon"/>
    <m/>
    <m/>
    <m/>
    <m/>
    <m/>
    <m/>
    <x v="0"/>
    <m/>
    <m/>
  </r>
  <r>
    <x v="58"/>
    <d v="2023-10-20T00:00:00"/>
    <s v="Delta Skymiles Platinum - Ending in 1007"/>
    <x v="4238"/>
    <n v="22.79"/>
    <x v="1"/>
    <s v="Restaurants"/>
    <m/>
    <m/>
    <m/>
    <m/>
    <m/>
    <m/>
    <m/>
    <x v="3761"/>
    <m/>
    <m/>
  </r>
  <r>
    <x v="58"/>
    <d v="2023-10-20T00:00:00"/>
    <s v="Delta Skymiles Platinum - Ending in 1007"/>
    <x v="4238"/>
    <n v="40.97"/>
    <x v="1"/>
    <s v="Restaurants"/>
    <m/>
    <m/>
    <m/>
    <m/>
    <m/>
    <m/>
    <m/>
    <x v="3761"/>
    <m/>
    <m/>
  </r>
  <r>
    <x v="58"/>
    <d v="2023-10-20T00:00:00"/>
    <s v="Powerplus - Ending in 8s30"/>
    <x v="4239"/>
    <n v="-1363.65"/>
    <x v="15"/>
    <m/>
    <s v="Inc - Jeff"/>
    <m/>
    <m/>
    <m/>
    <m/>
    <m/>
    <m/>
    <x v="3762"/>
    <m/>
    <m/>
  </r>
  <r>
    <x v="58"/>
    <d v="2023-10-20T00:00:00"/>
    <s v="Delta Skymiles Platinum - Ending in 1007"/>
    <x v="79"/>
    <n v="56"/>
    <x v="32"/>
    <s v="Misc"/>
    <s v="Exp - Shopping"/>
    <m/>
    <m/>
    <m/>
    <m/>
    <m/>
    <m/>
    <x v="79"/>
    <m/>
    <m/>
  </r>
  <r>
    <x v="58"/>
    <d v="2023-10-20T00:00:00"/>
    <s v="Delta Skymiles Platinum - Ending in 1007"/>
    <x v="4240"/>
    <n v="4"/>
    <x v="42"/>
    <s v="Delete - Online Services"/>
    <s v="Exp - Utilities"/>
    <m/>
    <m/>
    <m/>
    <m/>
    <m/>
    <m/>
    <x v="3763"/>
    <m/>
    <m/>
  </r>
  <r>
    <x v="58"/>
    <d v="2023-10-20T00:00:00"/>
    <s v="Cash Rewards Visa Signature - Ending in 5913"/>
    <x v="4168"/>
    <n v="0.49"/>
    <x v="42"/>
    <m/>
    <s v="Exp - Utilities"/>
    <m/>
    <m/>
    <m/>
    <m/>
    <m/>
    <m/>
    <x v="3699"/>
    <m/>
    <m/>
  </r>
  <r>
    <x v="58"/>
    <d v="2023-10-20T00:00:00"/>
    <s v="Delta Skymiles Platinum - Ending in 1007"/>
    <x v="34"/>
    <n v="24.67"/>
    <x v="12"/>
    <s v="Target"/>
    <m/>
    <m/>
    <m/>
    <m/>
    <m/>
    <m/>
    <m/>
    <x v="34"/>
    <m/>
    <m/>
  </r>
  <r>
    <x v="58"/>
    <d v="2023-10-20T00:00:00"/>
    <s v="Delta Skymiles Platinum - Ending in 1007"/>
    <x v="4241"/>
    <n v="101"/>
    <x v="32"/>
    <s v="Delete - Personal Care"/>
    <s v="Exp - Shopping"/>
    <m/>
    <m/>
    <m/>
    <m/>
    <m/>
    <m/>
    <x v="3764"/>
    <m/>
    <m/>
  </r>
  <r>
    <x v="58"/>
    <d v="2023-10-20T00:00:00"/>
    <s v="Powerplus - Ending in 8s30"/>
    <x v="2020"/>
    <n v="4923.3100000000004"/>
    <x v="3"/>
    <m/>
    <s v="Delete"/>
    <m/>
    <m/>
    <m/>
    <m/>
    <m/>
    <m/>
    <x v="1870"/>
    <m/>
    <m/>
  </r>
  <r>
    <x v="58"/>
    <d v="2023-10-21T00:00:00"/>
    <s v="Delta Skymiles Platinum - Ending in 1007"/>
    <x v="4242"/>
    <n v="34.43"/>
    <x v="1"/>
    <s v="Restaurants"/>
    <m/>
    <m/>
    <m/>
    <m/>
    <m/>
    <m/>
    <m/>
    <x v="3765"/>
    <m/>
    <m/>
  </r>
  <r>
    <x v="58"/>
    <d v="2023-10-21T00:00:00"/>
    <s v="Delta Skymiles Platinum - Ending in 1007"/>
    <x v="4243"/>
    <n v="1.1599999999999999"/>
    <x v="1"/>
    <s v="Restaurants"/>
    <m/>
    <m/>
    <m/>
    <m/>
    <m/>
    <m/>
    <m/>
    <x v="3766"/>
    <m/>
    <m/>
  </r>
  <r>
    <x v="58"/>
    <d v="2023-10-21T00:00:00"/>
    <s v="Delta Skymiles Platinum - Ending in 1007"/>
    <x v="4243"/>
    <n v="31.05"/>
    <x v="1"/>
    <s v="Restaurants"/>
    <m/>
    <m/>
    <m/>
    <m/>
    <m/>
    <m/>
    <m/>
    <x v="3766"/>
    <m/>
    <m/>
  </r>
  <r>
    <x v="58"/>
    <d v="2023-10-21T00:00:00"/>
    <s v="Delta Skymiles Platinum - Ending in 1007"/>
    <x v="4244"/>
    <n v="45.44"/>
    <x v="1"/>
    <s v="Restaurants"/>
    <m/>
    <m/>
    <m/>
    <m/>
    <m/>
    <m/>
    <m/>
    <x v="3767"/>
    <m/>
    <m/>
  </r>
  <r>
    <x v="58"/>
    <d v="2023-10-22T00:00:00"/>
    <s v="Delta Skymiles Platinum - Ending in 1007"/>
    <x v="4245"/>
    <n v="161.29"/>
    <x v="24"/>
    <s v="Travel"/>
    <m/>
    <m/>
    <m/>
    <m/>
    <m/>
    <m/>
    <m/>
    <x v="3768"/>
    <m/>
    <m/>
  </r>
  <r>
    <x v="58"/>
    <d v="2023-10-22T00:00:00"/>
    <s v="Cash Rewards Visa Signature - Ending in 5913"/>
    <x v="4246"/>
    <n v="11"/>
    <x v="36"/>
    <m/>
    <s v="Exp - House Maint"/>
    <m/>
    <m/>
    <m/>
    <m/>
    <m/>
    <m/>
    <x v="3769"/>
    <m/>
    <m/>
  </r>
  <r>
    <x v="58"/>
    <d v="2023-10-22T00:00:00"/>
    <s v="Delta Skymiles Platinum - Ending in 1007"/>
    <x v="4247"/>
    <n v="55.5"/>
    <x v="32"/>
    <s v="Delete - Other Expenses"/>
    <s v="Exp - Shopping"/>
    <m/>
    <m/>
    <m/>
    <m/>
    <m/>
    <m/>
    <x v="3770"/>
    <m/>
    <m/>
  </r>
  <r>
    <x v="58"/>
    <d v="2023-10-22T00:00:00"/>
    <s v="Cash Rewards Visa Signature - Ending in 5913"/>
    <x v="4248"/>
    <n v="402.07"/>
    <x v="43"/>
    <m/>
    <s v="Exp - Travel"/>
    <m/>
    <m/>
    <m/>
    <m/>
    <m/>
    <m/>
    <x v="3771"/>
    <m/>
    <m/>
  </r>
  <r>
    <x v="58"/>
    <d v="2023-10-22T00:00:00"/>
    <s v="Delta Skymiles Platinum - Ending in 1007"/>
    <x v="1412"/>
    <n v="30.06"/>
    <x v="44"/>
    <s v="Delete"/>
    <s v="Exp - Misc"/>
    <m/>
    <m/>
    <m/>
    <m/>
    <m/>
    <m/>
    <x v="1330"/>
    <m/>
    <m/>
  </r>
  <r>
    <x v="58"/>
    <d v="2023-10-22T00:00:00"/>
    <s v="Delta Skymiles Platinum - Ending in 1007"/>
    <x v="4249"/>
    <n v="52.51"/>
    <x v="1"/>
    <s v="Restaurants"/>
    <m/>
    <m/>
    <m/>
    <m/>
    <m/>
    <m/>
    <m/>
    <x v="3772"/>
    <m/>
    <m/>
  </r>
  <r>
    <x v="58"/>
    <d v="2023-10-22T00:00:00"/>
    <s v="Delta Skymiles Platinum - Ending in 1007"/>
    <x v="4250"/>
    <n v="50.91"/>
    <x v="38"/>
    <s v="Healthcare"/>
    <s v="Exp - Groceries"/>
    <m/>
    <m/>
    <m/>
    <m/>
    <m/>
    <m/>
    <x v="3773"/>
    <m/>
    <m/>
  </r>
  <r>
    <x v="58"/>
    <d v="2023-10-22T00:00:00"/>
    <s v="Cash Rewards Visa Signature - Ending in 5913"/>
    <x v="4251"/>
    <n v="24.72"/>
    <x v="40"/>
    <m/>
    <s v="Exp - Day Care"/>
    <m/>
    <m/>
    <m/>
    <m/>
    <m/>
    <m/>
    <x v="3774"/>
    <m/>
    <m/>
  </r>
  <r>
    <x v="58"/>
    <d v="2023-10-22T00:00:00"/>
    <s v="Delta Skymiles Platinum - Ending in 1007"/>
    <x v="4252"/>
    <n v="109.36"/>
    <x v="1"/>
    <s v="Restaurants"/>
    <m/>
    <m/>
    <m/>
    <m/>
    <m/>
    <m/>
    <m/>
    <x v="3775"/>
    <m/>
    <m/>
  </r>
  <r>
    <x v="58"/>
    <d v="2023-10-22T00:00:00"/>
    <s v="Powerplus - Ending in 8s30"/>
    <x v="4253"/>
    <n v="204.25"/>
    <x v="3"/>
    <m/>
    <s v="Delete"/>
    <m/>
    <m/>
    <m/>
    <m/>
    <m/>
    <m/>
    <x v="3776"/>
    <m/>
    <m/>
  </r>
  <r>
    <x v="58"/>
    <d v="2023-10-23T00:00:00"/>
    <s v="Delta Skymiles Platinum - Ending in 1007"/>
    <x v="4161"/>
    <n v="-1437.36"/>
    <x v="24"/>
    <s v="Refunds &amp; Reimbursements"/>
    <m/>
    <m/>
    <m/>
    <m/>
    <m/>
    <m/>
    <m/>
    <x v="3692"/>
    <m/>
    <m/>
  </r>
  <r>
    <x v="58"/>
    <d v="2023-10-23T00:00:00"/>
    <s v="Delta Skymiles Platinum - Ending in 1007"/>
    <x v="1861"/>
    <n v="1097.5"/>
    <x v="3"/>
    <s v="Empyrean Travel"/>
    <m/>
    <s v="Ireland"/>
    <m/>
    <m/>
    <m/>
    <m/>
    <m/>
    <x v="1715"/>
    <m/>
    <m/>
  </r>
  <r>
    <x v="58"/>
    <d v="2023-10-23T00:00:00"/>
    <s v="Delta Skymiles Platinum - Ending in 1007"/>
    <x v="4254"/>
    <n v="1437.36"/>
    <x v="43"/>
    <s v="Delete - Other Expenses"/>
    <s v="Exp - Travel"/>
    <m/>
    <m/>
    <m/>
    <m/>
    <m/>
    <m/>
    <x v="3777"/>
    <m/>
    <m/>
  </r>
  <r>
    <x v="58"/>
    <d v="2023-10-23T00:00:00"/>
    <s v="Powerplus - Ending in 8s30"/>
    <x v="1849"/>
    <n v="32.700000000000003"/>
    <x v="32"/>
    <m/>
    <s v="Exp - Shopping"/>
    <m/>
    <m/>
    <m/>
    <m/>
    <m/>
    <m/>
    <x v="1704"/>
    <m/>
    <m/>
  </r>
  <r>
    <x v="58"/>
    <d v="2023-10-23T00:00:00"/>
    <s v="Powerplus - Ending in 8s30"/>
    <x v="1827"/>
    <n v="20"/>
    <x v="32"/>
    <m/>
    <s v="Exp - Shopping"/>
    <m/>
    <m/>
    <m/>
    <m/>
    <m/>
    <m/>
    <x v="1682"/>
    <m/>
    <m/>
  </r>
  <r>
    <x v="58"/>
    <d v="2023-10-23T00:00:00"/>
    <s v="Powerplus - Ending in 8s30"/>
    <x v="4255"/>
    <n v="81.599999999999994"/>
    <x v="42"/>
    <m/>
    <s v="Exp - Utilities"/>
    <m/>
    <m/>
    <m/>
    <m/>
    <m/>
    <m/>
    <x v="3287"/>
    <m/>
    <m/>
  </r>
  <r>
    <x v="58"/>
    <d v="2023-10-24T00:00:00"/>
    <s v="Delta Skymiles Platinum - Ending in 1007"/>
    <x v="4256"/>
    <n v="22.44"/>
    <x v="1"/>
    <s v="Restaurants"/>
    <m/>
    <m/>
    <m/>
    <m/>
    <m/>
    <m/>
    <m/>
    <x v="3778"/>
    <m/>
    <m/>
  </r>
  <r>
    <x v="58"/>
    <d v="2023-10-24T00:00:00"/>
    <s v="Cash Rewards Visa Signature - Ending in 5913"/>
    <x v="4257"/>
    <n v="109.84"/>
    <x v="32"/>
    <m/>
    <s v="Exp - Shopping"/>
    <m/>
    <m/>
    <m/>
    <m/>
    <m/>
    <m/>
    <x v="3779"/>
    <m/>
    <m/>
  </r>
  <r>
    <x v="58"/>
    <d v="2023-10-24T00:00:00"/>
    <s v="Delta Skymiles Platinum - Ending in 1007"/>
    <x v="4258"/>
    <n v="456.39"/>
    <x v="39"/>
    <s v="Restaurants"/>
    <s v="Exp - Restaurants"/>
    <m/>
    <m/>
    <m/>
    <m/>
    <m/>
    <m/>
    <x v="3780"/>
    <m/>
    <m/>
  </r>
  <r>
    <x v="58"/>
    <d v="2023-10-24T00:00:00"/>
    <s v="Delta Skymiles Platinum - Ending in 1007"/>
    <x v="4254"/>
    <n v="248.64"/>
    <x v="43"/>
    <s v="Delete - Other Expenses"/>
    <s v="Exp - Travel"/>
    <m/>
    <m/>
    <m/>
    <m/>
    <m/>
    <m/>
    <x v="3777"/>
    <m/>
    <m/>
  </r>
  <r>
    <x v="58"/>
    <d v="2023-10-24T00:00:00"/>
    <s v="Cash Rewards Visa Signature - Ending in 5913"/>
    <x v="4259"/>
    <n v="41.83"/>
    <x v="32"/>
    <m/>
    <s v="Exp - Shopping"/>
    <m/>
    <m/>
    <m/>
    <m/>
    <m/>
    <m/>
    <x v="3781"/>
    <m/>
    <m/>
  </r>
  <r>
    <x v="58"/>
    <d v="2023-10-24T00:00:00"/>
    <s v="Delta Skymiles Platinum - Ending in 1007"/>
    <x v="4260"/>
    <n v="67.44"/>
    <x v="1"/>
    <s v="Restaurants"/>
    <m/>
    <m/>
    <m/>
    <m/>
    <m/>
    <m/>
    <m/>
    <x v="3782"/>
    <m/>
    <m/>
  </r>
  <r>
    <x v="58"/>
    <d v="2023-10-24T00:00:00"/>
    <s v="Delta Skymiles Platinum - Ending in 1007"/>
    <x v="4250"/>
    <n v="73.03"/>
    <x v="38"/>
    <s v="Healthcare"/>
    <s v="Exp - Groceries"/>
    <m/>
    <m/>
    <m/>
    <m/>
    <m/>
    <m/>
    <x v="3773"/>
    <m/>
    <m/>
  </r>
  <r>
    <x v="58"/>
    <d v="2023-10-25T00:00:00"/>
    <s v="Delta Skymiles Platinum - Ending in 1007"/>
    <x v="4261"/>
    <n v="40.840000000000003"/>
    <x v="43"/>
    <s v="Entertainment"/>
    <s v="Exp - Travel"/>
    <m/>
    <m/>
    <m/>
    <m/>
    <m/>
    <m/>
    <x v="3783"/>
    <m/>
    <m/>
  </r>
  <r>
    <x v="58"/>
    <d v="2023-10-25T00:00:00"/>
    <s v="Delta Skymiles Platinum - Ending in 1007"/>
    <x v="4261"/>
    <n v="455.5"/>
    <x v="43"/>
    <s v="Entertainment"/>
    <s v="Exp - Travel"/>
    <m/>
    <m/>
    <m/>
    <m/>
    <m/>
    <m/>
    <x v="3783"/>
    <m/>
    <m/>
  </r>
  <r>
    <x v="58"/>
    <d v="2023-10-25T00:00:00"/>
    <s v="Cash Rewards Visa Signature - Ending in 5913"/>
    <x v="4262"/>
    <n v="55.26"/>
    <x v="43"/>
    <m/>
    <s v="Exp - Travel"/>
    <m/>
    <m/>
    <m/>
    <m/>
    <m/>
    <m/>
    <x v="3784"/>
    <m/>
    <m/>
  </r>
  <r>
    <x v="58"/>
    <d v="2023-10-25T00:00:00"/>
    <s v="Delta Skymiles Platinum - Ending in 1007"/>
    <x v="3508"/>
    <n v="85.5"/>
    <x v="24"/>
    <s v="Travel"/>
    <m/>
    <m/>
    <m/>
    <m/>
    <m/>
    <m/>
    <m/>
    <x v="3097"/>
    <m/>
    <m/>
  </r>
  <r>
    <x v="58"/>
    <d v="2023-10-25T00:00:00"/>
    <s v="Delta Skymiles Platinum - Ending in 1007"/>
    <x v="3508"/>
    <n v="60.21"/>
    <x v="24"/>
    <s v="Travel"/>
    <m/>
    <m/>
    <m/>
    <m/>
    <m/>
    <m/>
    <m/>
    <x v="3097"/>
    <m/>
    <m/>
  </r>
  <r>
    <x v="58"/>
    <d v="2023-10-25T00:00:00"/>
    <s v="Delta Skymiles Platinum - Ending in 1007"/>
    <x v="4263"/>
    <n v="82.68"/>
    <x v="32"/>
    <s v="Delete - Other Expenses"/>
    <s v="Exp - Shopping"/>
    <m/>
    <m/>
    <m/>
    <m/>
    <m/>
    <m/>
    <x v="3785"/>
    <m/>
    <m/>
  </r>
  <r>
    <x v="58"/>
    <d v="2023-10-25T00:00:00"/>
    <s v="Powerplus - Ending in 8s30"/>
    <x v="308"/>
    <n v="654.61"/>
    <x v="32"/>
    <m/>
    <s v="Exp - Shopping"/>
    <m/>
    <m/>
    <m/>
    <m/>
    <m/>
    <m/>
    <x v="300"/>
    <m/>
    <m/>
  </r>
  <r>
    <x v="58"/>
    <d v="2023-10-25T00:00:00"/>
    <s v="Powerplus - Ending in 8s30"/>
    <x v="2047"/>
    <n v="-15.95"/>
    <x v="32"/>
    <m/>
    <s v="Exp - Shopping"/>
    <m/>
    <m/>
    <m/>
    <m/>
    <m/>
    <m/>
    <x v="1897"/>
    <m/>
    <m/>
  </r>
  <r>
    <x v="58"/>
    <d v="2023-10-25T00:00:00"/>
    <s v="Cash Rewards Visa Signature - Ending in 5913"/>
    <x v="1941"/>
    <n v="15.91"/>
    <x v="37"/>
    <m/>
    <s v="Exp - Transportation"/>
    <m/>
    <m/>
    <m/>
    <m/>
    <m/>
    <m/>
    <x v="1794"/>
    <m/>
    <m/>
  </r>
  <r>
    <x v="58"/>
    <d v="2023-10-25T00:00:00"/>
    <s v="Cash Rewards Visa Signature - Ending in 5913"/>
    <x v="1941"/>
    <n v="55.91"/>
    <x v="37"/>
    <m/>
    <s v="Exp - Transportation"/>
    <m/>
    <m/>
    <m/>
    <m/>
    <m/>
    <m/>
    <x v="1794"/>
    <m/>
    <m/>
  </r>
  <r>
    <x v="58"/>
    <d v="2023-10-25T00:00:00"/>
    <s v="Powerplus - Ending in 8s30"/>
    <x v="4264"/>
    <n v="330"/>
    <x v="40"/>
    <m/>
    <s v="Exp - Day Care"/>
    <m/>
    <m/>
    <m/>
    <m/>
    <m/>
    <m/>
    <x v="3216"/>
    <m/>
    <m/>
  </r>
  <r>
    <x v="58"/>
    <d v="2023-10-25T00:00:00"/>
    <s v="Powerplus - Ending in 8s30"/>
    <x v="3734"/>
    <n v="678.87"/>
    <x v="3"/>
    <m/>
    <s v="Delete"/>
    <m/>
    <m/>
    <m/>
    <m/>
    <m/>
    <m/>
    <x v="3293"/>
    <m/>
    <m/>
  </r>
  <r>
    <x v="58"/>
    <d v="2023-10-26T00:00:00"/>
    <s v="Powerplus - Ending in 8s30"/>
    <x v="1893"/>
    <n v="-3594.82"/>
    <x v="14"/>
    <m/>
    <s v="Inc - Britney"/>
    <m/>
    <m/>
    <m/>
    <m/>
    <m/>
    <m/>
    <x v="1746"/>
    <m/>
    <m/>
  </r>
  <r>
    <x v="58"/>
    <d v="2023-10-26T00:00:00"/>
    <s v="Powerplus - Ending in 8s30"/>
    <x v="4265"/>
    <n v="-562.79999999999995"/>
    <x v="15"/>
    <m/>
    <s v="Inc - Jeff"/>
    <m/>
    <m/>
    <m/>
    <m/>
    <m/>
    <m/>
    <x v="3260"/>
    <m/>
    <m/>
  </r>
  <r>
    <x v="58"/>
    <d v="2023-10-26T00:00:00"/>
    <s v="Powerplus - Ending in 8s30"/>
    <x v="3729"/>
    <n v="800"/>
    <x v="3"/>
    <m/>
    <s v="Delete"/>
    <m/>
    <m/>
    <m/>
    <m/>
    <m/>
    <m/>
    <x v="3289"/>
    <m/>
    <m/>
  </r>
  <r>
    <x v="58"/>
    <d v="2023-10-27T00:00:00"/>
    <s v="Delta Skymiles Platinum - Ending in 1007"/>
    <x v="4261"/>
    <n v="188.48"/>
    <x v="43"/>
    <s v="Entertainment"/>
    <s v="Exp - Travel"/>
    <m/>
    <m/>
    <m/>
    <m/>
    <m/>
    <m/>
    <x v="3783"/>
    <m/>
    <m/>
  </r>
  <r>
    <x v="58"/>
    <d v="2023-10-27T00:00:00"/>
    <s v="Delta Skymiles Platinum - Ending in 1007"/>
    <x v="3506"/>
    <n v="-4198.2299999999996"/>
    <x v="3"/>
    <s v="Delete"/>
    <m/>
    <m/>
    <m/>
    <m/>
    <m/>
    <m/>
    <m/>
    <x v="3095"/>
    <m/>
    <m/>
  </r>
  <r>
    <x v="58"/>
    <d v="2023-10-28T00:00:00"/>
    <s v="Delta Skymiles Platinum - Ending in 1007"/>
    <x v="4266"/>
    <n v="6.28"/>
    <x v="39"/>
    <s v="Delete - Personal Care"/>
    <s v="Exp - Restaurants"/>
    <m/>
    <m/>
    <m/>
    <m/>
    <m/>
    <m/>
    <x v="3786"/>
    <m/>
    <m/>
  </r>
  <r>
    <x v="58"/>
    <d v="2023-10-29T00:00:00"/>
    <s v="Delta Skymiles Platinum - Ending in 1007"/>
    <x v="4267"/>
    <n v="10.45"/>
    <x v="1"/>
    <s v="Restaurants"/>
    <m/>
    <m/>
    <m/>
    <m/>
    <m/>
    <m/>
    <m/>
    <x v="3787"/>
    <m/>
    <m/>
  </r>
  <r>
    <x v="58"/>
    <d v="2023-10-29T00:00:00"/>
    <s v="Delta Skymiles Platinum - Ending in 1007"/>
    <x v="4268"/>
    <n v="87.18"/>
    <x v="1"/>
    <s v="Restaurants"/>
    <m/>
    <m/>
    <m/>
    <m/>
    <m/>
    <m/>
    <m/>
    <x v="3788"/>
    <m/>
    <m/>
  </r>
  <r>
    <x v="58"/>
    <d v="2023-10-29T00:00:00"/>
    <s v="Delta Skymiles Platinum - Ending in 1007"/>
    <x v="3508"/>
    <n v="1276.02"/>
    <x v="24"/>
    <s v="Travel"/>
    <m/>
    <m/>
    <m/>
    <m/>
    <m/>
    <m/>
    <m/>
    <x v="3097"/>
    <m/>
    <m/>
  </r>
  <r>
    <x v="58"/>
    <d v="2023-10-29T00:00:00"/>
    <s v="Cash Rewards Visa Signature - Ending in 5913"/>
    <x v="4250"/>
    <n v="5.23"/>
    <x v="38"/>
    <m/>
    <s v="Exp - Groceries"/>
    <m/>
    <m/>
    <m/>
    <m/>
    <m/>
    <m/>
    <x v="3773"/>
    <m/>
    <m/>
  </r>
  <r>
    <x v="58"/>
    <d v="2023-10-29T00:00:00"/>
    <s v="Powerplus - Ending in 8s30"/>
    <x v="3684"/>
    <n v="-3342.8"/>
    <x v="15"/>
    <m/>
    <s v="Inc - Jeff"/>
    <m/>
    <m/>
    <m/>
    <m/>
    <m/>
    <m/>
    <x v="3245"/>
    <m/>
    <m/>
  </r>
  <r>
    <x v="58"/>
    <d v="2023-10-29T00:00:00"/>
    <s v="Delta Skymiles Platinum - Ending in 1007"/>
    <x v="1283"/>
    <n v="41.88"/>
    <x v="37"/>
    <s v="Car Loan"/>
    <s v="Exp - Transportation"/>
    <m/>
    <m/>
    <m/>
    <m/>
    <m/>
    <m/>
    <x v="1216"/>
    <m/>
    <m/>
  </r>
  <r>
    <x v="58"/>
    <d v="2023-10-29T00:00:00"/>
    <s v="Powerplus - Ending in 8s30"/>
    <x v="3657"/>
    <n v="978.28"/>
    <x v="3"/>
    <m/>
    <s v="Delete"/>
    <m/>
    <m/>
    <m/>
    <m/>
    <m/>
    <m/>
    <x v="3219"/>
    <m/>
    <m/>
  </r>
  <r>
    <x v="58"/>
    <d v="2023-10-29T00:00:00"/>
    <s v="Cash Rewards Visa Signature - Ending in 5913"/>
    <x v="1879"/>
    <n v="-978.28"/>
    <x v="3"/>
    <m/>
    <s v="Delete"/>
    <m/>
    <m/>
    <m/>
    <m/>
    <m/>
    <m/>
    <x v="1732"/>
    <m/>
    <m/>
  </r>
  <r>
    <x v="58"/>
    <d v="2023-10-30T00:00:00"/>
    <s v="Cash Rewards Visa Signature - Ending in 5913"/>
    <x v="4269"/>
    <n v="36.46"/>
    <x v="43"/>
    <m/>
    <s v="Exp - Travel"/>
    <m/>
    <m/>
    <m/>
    <m/>
    <m/>
    <m/>
    <x v="3789"/>
    <m/>
    <m/>
  </r>
  <r>
    <x v="58"/>
    <d v="2023-10-30T00:00:00"/>
    <s v="Delta Skymiles Platinum - Ending in 1007"/>
    <x v="214"/>
    <n v="82.09"/>
    <x v="37"/>
    <s v="Travel"/>
    <s v="Exp - Transportation"/>
    <m/>
    <m/>
    <m/>
    <m/>
    <m/>
    <m/>
    <x v="213"/>
    <m/>
    <m/>
  </r>
  <r>
    <x v="58"/>
    <d v="2023-10-30T00:00:00"/>
    <s v="Delta Skymiles Platinum - Ending in 1007"/>
    <x v="4136"/>
    <n v="525.71"/>
    <x v="24"/>
    <s v="Travel"/>
    <m/>
    <m/>
    <m/>
    <m/>
    <m/>
    <m/>
    <m/>
    <x v="3670"/>
    <m/>
    <m/>
  </r>
  <r>
    <x v="58"/>
    <d v="2023-10-30T00:00:00"/>
    <s v="Delta Skymiles Platinum - Ending in 1007"/>
    <x v="4270"/>
    <n v="570"/>
    <x v="8"/>
    <s v="Shopping"/>
    <m/>
    <m/>
    <m/>
    <m/>
    <m/>
    <m/>
    <m/>
    <x v="3790"/>
    <m/>
    <m/>
  </r>
  <r>
    <x v="58"/>
    <d v="2023-10-30T00:00:00"/>
    <s v="Powerplus - Ending in 8s30"/>
    <x v="1849"/>
    <n v="0.99"/>
    <x v="32"/>
    <m/>
    <s v="Exp - Shopping"/>
    <m/>
    <m/>
    <m/>
    <m/>
    <m/>
    <m/>
    <x v="1704"/>
    <m/>
    <m/>
  </r>
  <r>
    <x v="58"/>
    <d v="2023-10-30T00:00:00"/>
    <s v="Powerplus - Ending in 8s30"/>
    <x v="2020"/>
    <n v="4198.2299999999996"/>
    <x v="3"/>
    <m/>
    <s v="Delete"/>
    <m/>
    <m/>
    <m/>
    <m/>
    <m/>
    <m/>
    <x v="1870"/>
    <m/>
    <m/>
  </r>
  <r>
    <x v="58"/>
    <d v="2023-10-31T00:00:00"/>
    <s v="Delta Skymiles Platinum - Ending in 1007"/>
    <x v="6"/>
    <n v="144.41"/>
    <x v="5"/>
    <s v="Groceries"/>
    <m/>
    <m/>
    <m/>
    <m/>
    <m/>
    <m/>
    <m/>
    <x v="6"/>
    <m/>
    <m/>
  </r>
  <r>
    <x v="58"/>
    <d v="2023-10-31T00:00:00"/>
    <s v="Powerplus - Ending in 8s30"/>
    <x v="2412"/>
    <n v="-4.25"/>
    <x v="13"/>
    <m/>
    <s v="Inc - Other"/>
    <m/>
    <m/>
    <m/>
    <m/>
    <m/>
    <m/>
    <x v="2228"/>
    <m/>
    <m/>
  </r>
  <r>
    <x v="58"/>
    <d v="2023-10-31T00:00:00"/>
    <s v="Powerplus - Ending in 8s30"/>
    <x v="4271"/>
    <n v="-50.19"/>
    <x v="13"/>
    <m/>
    <s v="Inc - Other"/>
    <m/>
    <m/>
    <m/>
    <m/>
    <m/>
    <m/>
    <x v="3791"/>
    <m/>
    <m/>
  </r>
  <r>
    <x v="58"/>
    <d v="2023-10-31T00:00:00"/>
    <s v="Delta Skymiles Platinum - Ending in 1007"/>
    <x v="34"/>
    <n v="24.27"/>
    <x v="12"/>
    <s v="Target"/>
    <m/>
    <m/>
    <m/>
    <m/>
    <m/>
    <m/>
    <m/>
    <x v="34"/>
    <m/>
    <m/>
  </r>
  <r>
    <x v="58"/>
    <d v="2023-10-31T00:00:00"/>
    <s v="Powerplus - Ending in 8s30"/>
    <x v="4272"/>
    <n v="330"/>
    <x v="40"/>
    <m/>
    <s v="Exp - Day Care"/>
    <m/>
    <m/>
    <m/>
    <m/>
    <m/>
    <m/>
    <x v="3216"/>
    <m/>
    <m/>
  </r>
  <r>
    <x v="59"/>
    <d v="2023-11-01T00:00:00"/>
    <s v="Discover More Card - Ending in 7779"/>
    <x v="0"/>
    <n v="77"/>
    <x v="41"/>
    <s v="Dry Cleaning"/>
    <s v="Exp - Amazon"/>
    <m/>
    <m/>
    <m/>
    <m/>
    <m/>
    <m/>
    <x v="0"/>
    <m/>
    <m/>
  </r>
  <r>
    <x v="59"/>
    <d v="2023-11-01T00:00:00"/>
    <s v="Discover More Card - Ending in 7779"/>
    <x v="0"/>
    <n v="69.989999999999995"/>
    <x v="41"/>
    <s v="Amazon"/>
    <s v="Exp - Amazon"/>
    <m/>
    <m/>
    <m/>
    <m/>
    <m/>
    <m/>
    <x v="0"/>
    <m/>
    <m/>
  </r>
  <r>
    <x v="59"/>
    <d v="2023-11-01T00:00:00"/>
    <s v="Discover More Card - Ending in 7779"/>
    <x v="0"/>
    <n v="90.83"/>
    <x v="41"/>
    <s v="Dry Cleaning"/>
    <s v="Exp - Amazon"/>
    <m/>
    <m/>
    <m/>
    <m/>
    <m/>
    <m/>
    <x v="0"/>
    <m/>
    <m/>
  </r>
  <r>
    <x v="59"/>
    <d v="2023-11-01T00:00:00"/>
    <s v="Cash Rewards Visa Signature - Ending in 5952"/>
    <x v="1895"/>
    <n v="-8.66"/>
    <x v="41"/>
    <m/>
    <s v="Exp - Amazon"/>
    <m/>
    <m/>
    <m/>
    <m/>
    <m/>
    <m/>
    <x v="1748"/>
    <m/>
    <m/>
  </r>
  <r>
    <x v="59"/>
    <d v="2023-11-01T00:00:00"/>
    <s v="Cash Rewards Visa Signature - Ending in 5953"/>
    <x v="1895"/>
    <n v="-10.47"/>
    <x v="41"/>
    <m/>
    <s v="Exp - Amazon"/>
    <m/>
    <m/>
    <m/>
    <m/>
    <m/>
    <m/>
    <x v="1748"/>
    <m/>
    <m/>
  </r>
  <r>
    <x v="59"/>
    <d v="2023-11-01T00:00:00"/>
    <s v="Cash Rewards Visa Signature - Ending in 5954"/>
    <x v="1895"/>
    <n v="-6.13"/>
    <x v="41"/>
    <m/>
    <s v="Exp - Amazon"/>
    <m/>
    <m/>
    <m/>
    <m/>
    <m/>
    <m/>
    <x v="1748"/>
    <m/>
    <m/>
  </r>
  <r>
    <x v="59"/>
    <d v="2023-11-01T00:00:00"/>
    <s v="Cash Rewards Visa Signature - Ending in 5955"/>
    <x v="1895"/>
    <n v="-16.25"/>
    <x v="41"/>
    <m/>
    <s v="Exp - Amazon"/>
    <m/>
    <m/>
    <m/>
    <m/>
    <m/>
    <m/>
    <x v="1748"/>
    <m/>
    <m/>
  </r>
  <r>
    <x v="59"/>
    <d v="2023-11-01T00:00:00"/>
    <s v="Cash Rewards Visa Signature - Ending in 5956"/>
    <x v="4273"/>
    <n v="5.41"/>
    <x v="35"/>
    <m/>
    <s v="Exp - Entertainment"/>
    <m/>
    <m/>
    <m/>
    <m/>
    <m/>
    <m/>
    <x v="3792"/>
    <m/>
    <m/>
  </r>
  <r>
    <x v="59"/>
    <d v="2023-11-01T00:00:00"/>
    <s v="Cash Rewards Visa Signature - Ending in 5957"/>
    <x v="1955"/>
    <n v="25.41"/>
    <x v="39"/>
    <m/>
    <s v="Exp - Restaurants"/>
    <m/>
    <m/>
    <m/>
    <m/>
    <m/>
    <m/>
    <x v="1807"/>
    <m/>
    <m/>
  </r>
  <r>
    <x v="59"/>
    <d v="2023-11-01T00:00:00"/>
    <s v="Cash Rewards Visa Signature - Ending in 5958"/>
    <x v="6"/>
    <n v="12.42"/>
    <x v="38"/>
    <m/>
    <s v="Exp - Groceries"/>
    <m/>
    <m/>
    <m/>
    <m/>
    <m/>
    <m/>
    <x v="6"/>
    <m/>
    <m/>
  </r>
  <r>
    <x v="59"/>
    <d v="2023-11-01T00:00:00"/>
    <s v="Powerplus - Ending in 8s30"/>
    <x v="3996"/>
    <n v="650"/>
    <x v="47"/>
    <m/>
    <s v="Sav - College Savings"/>
    <m/>
    <m/>
    <m/>
    <m/>
    <m/>
    <m/>
    <x v="3539"/>
    <m/>
    <m/>
  </r>
  <r>
    <x v="59"/>
    <d v="2023-11-01T00:00:00"/>
    <s v="Powerplus - Ending in 8s30"/>
    <x v="4274"/>
    <n v="618.14"/>
    <x v="3"/>
    <m/>
    <s v="Delete"/>
    <m/>
    <m/>
    <m/>
    <m/>
    <m/>
    <m/>
    <x v="3793"/>
    <m/>
    <m/>
  </r>
  <r>
    <x v="59"/>
    <d v="2023-11-01T00:00:00"/>
    <s v="Powerplus - Ending in 8s30"/>
    <x v="1844"/>
    <n v="2741.74"/>
    <x v="53"/>
    <m/>
    <s v="Exp - Rent"/>
    <m/>
    <m/>
    <m/>
    <m/>
    <m/>
    <m/>
    <x v="1699"/>
    <m/>
    <m/>
  </r>
  <r>
    <x v="59"/>
    <d v="2023-11-02T00:00:00"/>
    <s v="Powerplus - Ending in 8s30"/>
    <x v="4275"/>
    <n v="-71"/>
    <x v="3"/>
    <m/>
    <s v="Delete"/>
    <m/>
    <m/>
    <m/>
    <m/>
    <m/>
    <m/>
    <x v="3794"/>
    <m/>
    <m/>
  </r>
  <r>
    <x v="59"/>
    <d v="2023-11-02T00:00:00"/>
    <s v="Powerplus - Ending in 8s30"/>
    <x v="4276"/>
    <n v="-210"/>
    <x v="3"/>
    <m/>
    <s v="Delete"/>
    <m/>
    <m/>
    <m/>
    <m/>
    <m/>
    <m/>
    <x v="3795"/>
    <m/>
    <m/>
  </r>
  <r>
    <x v="59"/>
    <d v="2023-11-02T00:00:00"/>
    <s v="Cash Rewards Visa Signature - Ending in 5951"/>
    <x v="3511"/>
    <n v="58.24"/>
    <x v="38"/>
    <m/>
    <s v="Exp - Groceries"/>
    <m/>
    <m/>
    <m/>
    <m/>
    <m/>
    <m/>
    <x v="3099"/>
    <m/>
    <m/>
  </r>
  <r>
    <x v="59"/>
    <d v="2023-11-02T00:00:00"/>
    <s v="Cash Rewards Visa Signature - Ending in 5950"/>
    <x v="4277"/>
    <n v="100"/>
    <x v="32"/>
    <m/>
    <s v="Exp - Shopping"/>
    <m/>
    <m/>
    <m/>
    <m/>
    <m/>
    <m/>
    <x v="3796"/>
    <m/>
    <m/>
  </r>
  <r>
    <x v="59"/>
    <d v="2023-11-02T00:00:00"/>
    <s v="Delta Skymiles Platinum Card - Ending in 1007"/>
    <x v="3506"/>
    <n v="-2362.5"/>
    <x v="3"/>
    <s v="Delete"/>
    <s v="Delete"/>
    <m/>
    <m/>
    <m/>
    <m/>
    <m/>
    <m/>
    <x v="3095"/>
    <m/>
    <m/>
  </r>
  <r>
    <x v="59"/>
    <d v="2023-11-03T00:00:00"/>
    <s v="Discover More Card - Ending in 7779"/>
    <x v="1895"/>
    <n v="-38.479999999999997"/>
    <x v="41"/>
    <s v="Dry Cleaning"/>
    <s v="Exp - Amazon"/>
    <m/>
    <m/>
    <m/>
    <m/>
    <m/>
    <m/>
    <x v="1748"/>
    <m/>
    <m/>
  </r>
  <r>
    <x v="59"/>
    <d v="2023-11-03T00:00:00"/>
    <s v="Delta Skymiles Platinum Card - Ending in 1007"/>
    <x v="6"/>
    <n v="23.89"/>
    <x v="5"/>
    <s v="Groceries"/>
    <m/>
    <m/>
    <m/>
    <m/>
    <m/>
    <m/>
    <m/>
    <x v="6"/>
    <m/>
    <m/>
  </r>
  <r>
    <x v="59"/>
    <d v="2023-11-03T00:00:00"/>
    <s v="Cash Rewards Visa Signature - Ending in 5949"/>
    <x v="4278"/>
    <n v="9.67"/>
    <x v="39"/>
    <m/>
    <s v="Exp - Restaurants"/>
    <m/>
    <m/>
    <m/>
    <m/>
    <m/>
    <m/>
    <x v="3797"/>
    <m/>
    <m/>
  </r>
  <r>
    <x v="59"/>
    <d v="2023-11-03T00:00:00"/>
    <s v="Powerplus - Ending in 8s30"/>
    <x v="2020"/>
    <n v="2362.5"/>
    <x v="3"/>
    <m/>
    <s v="Delete"/>
    <m/>
    <m/>
    <m/>
    <m/>
    <m/>
    <m/>
    <x v="1870"/>
    <m/>
    <m/>
  </r>
  <r>
    <x v="59"/>
    <d v="2023-11-03T00:00:00"/>
    <s v="Powerplus - Ending in 8s30"/>
    <x v="1869"/>
    <n v="159.54"/>
    <x v="36"/>
    <m/>
    <s v="Exp - House Maint"/>
    <m/>
    <m/>
    <m/>
    <m/>
    <m/>
    <m/>
    <x v="1723"/>
    <m/>
    <m/>
  </r>
  <r>
    <x v="59"/>
    <d v="2023-11-04T00:00:00"/>
    <s v="Discover More Card - Ending in 7779"/>
    <x v="0"/>
    <n v="15.16"/>
    <x v="41"/>
    <s v="Dry Cleaning"/>
    <s v="Exp - Amazon"/>
    <m/>
    <m/>
    <m/>
    <m/>
    <m/>
    <m/>
    <x v="0"/>
    <m/>
    <m/>
  </r>
  <r>
    <x v="59"/>
    <d v="2023-11-04T00:00:00"/>
    <s v="Delta Skymiles Platinum Card - Ending in 1007"/>
    <x v="4279"/>
    <n v="17.34"/>
    <x v="1"/>
    <s v="Restaurants"/>
    <m/>
    <m/>
    <m/>
    <m/>
    <m/>
    <m/>
    <m/>
    <x v="3798"/>
    <m/>
    <m/>
  </r>
  <r>
    <x v="59"/>
    <d v="2023-11-04T00:00:00"/>
    <s v="Delta Skymiles Platinum Card - Ending in 1007"/>
    <x v="3506"/>
    <n v="-594.27"/>
    <x v="3"/>
    <s v="Delete"/>
    <s v="Delete"/>
    <m/>
    <m/>
    <m/>
    <m/>
    <m/>
    <m/>
    <x v="3095"/>
    <m/>
    <m/>
  </r>
  <r>
    <x v="59"/>
    <d v="2023-11-05T00:00:00"/>
    <s v="Delta Skymiles Platinum Card - Ending in 1007"/>
    <x v="4280"/>
    <n v="10.08"/>
    <x v="1"/>
    <s v="Restaurants"/>
    <m/>
    <m/>
    <m/>
    <m/>
    <m/>
    <m/>
    <m/>
    <x v="3799"/>
    <m/>
    <m/>
  </r>
  <r>
    <x v="59"/>
    <d v="2023-11-05T00:00:00"/>
    <s v="Delta Skymiles Platinum Card - Ending in 1007"/>
    <x v="4280"/>
    <n v="21.19"/>
    <x v="1"/>
    <s v="Restaurants"/>
    <m/>
    <m/>
    <m/>
    <m/>
    <m/>
    <m/>
    <m/>
    <x v="3799"/>
    <m/>
    <m/>
  </r>
  <r>
    <x v="59"/>
    <d v="2023-11-05T00:00:00"/>
    <s v="Delta Skymiles Platinum Card - Ending in 1007"/>
    <x v="4280"/>
    <n v="108.84"/>
    <x v="1"/>
    <s v="Restaurants"/>
    <m/>
    <m/>
    <m/>
    <m/>
    <m/>
    <m/>
    <m/>
    <x v="3799"/>
    <m/>
    <m/>
  </r>
  <r>
    <x v="59"/>
    <d v="2023-11-06T00:00:00"/>
    <s v="Discover More Card - Ending in 7779"/>
    <x v="0"/>
    <n v="14.08"/>
    <x v="41"/>
    <s v="Dry Cleaning"/>
    <s v="Exp - Amazon"/>
    <m/>
    <m/>
    <m/>
    <m/>
    <m/>
    <m/>
    <x v="0"/>
    <m/>
    <m/>
  </r>
  <r>
    <x v="59"/>
    <d v="2023-11-06T00:00:00"/>
    <s v="Cash Rewards Visa Signature - Ending in 5948"/>
    <x v="6"/>
    <n v="36.700000000000003"/>
    <x v="38"/>
    <m/>
    <s v="Exp - Groceries"/>
    <m/>
    <m/>
    <m/>
    <m/>
    <m/>
    <m/>
    <x v="6"/>
    <m/>
    <m/>
  </r>
  <r>
    <x v="59"/>
    <d v="2023-11-06T00:00:00"/>
    <s v="Delta Skymiles Platinum Card - Ending in 1007"/>
    <x v="6"/>
    <n v="26.64"/>
    <x v="5"/>
    <s v="Groceries"/>
    <m/>
    <m/>
    <m/>
    <m/>
    <m/>
    <m/>
    <m/>
    <x v="6"/>
    <m/>
    <m/>
  </r>
  <r>
    <x v="59"/>
    <d v="2023-11-06T00:00:00"/>
    <s v="Delta Skymiles Platinum Card - Ending in 1007"/>
    <x v="1861"/>
    <n v="11.2"/>
    <x v="3"/>
    <s v="Empyrean Travel"/>
    <s v="Delete"/>
    <m/>
    <m/>
    <m/>
    <m/>
    <m/>
    <m/>
    <x v="1715"/>
    <m/>
    <m/>
  </r>
  <r>
    <x v="59"/>
    <d v="2023-11-06T00:00:00"/>
    <s v="Delta Skymiles Platinum Card - Ending in 1007"/>
    <x v="1861"/>
    <n v="11.2"/>
    <x v="3"/>
    <s v="Empyrean Travel"/>
    <s v="Delete"/>
    <m/>
    <m/>
    <m/>
    <m/>
    <m/>
    <m/>
    <x v="1715"/>
    <m/>
    <m/>
  </r>
  <r>
    <x v="59"/>
    <d v="2023-11-06T00:00:00"/>
    <s v="Powerplus - Ending in 8s30"/>
    <x v="2020"/>
    <n v="594.27"/>
    <x v="3"/>
    <m/>
    <s v="Delete"/>
    <m/>
    <m/>
    <m/>
    <m/>
    <m/>
    <m/>
    <x v="1870"/>
    <m/>
    <m/>
  </r>
  <r>
    <x v="59"/>
    <d v="2023-11-06T00:00:00"/>
    <s v="Powerplus - Ending in 8s30"/>
    <x v="3840"/>
    <n v="271.64999999999998"/>
    <x v="32"/>
    <m/>
    <s v="Exp - Shopping"/>
    <m/>
    <m/>
    <m/>
    <m/>
    <m/>
    <m/>
    <x v="3391"/>
    <m/>
    <m/>
  </r>
  <r>
    <x v="59"/>
    <d v="2023-11-07T00:00:00"/>
    <s v="Discover More Card - Ending in 7779"/>
    <x v="0"/>
    <n v="17.329999999999998"/>
    <x v="41"/>
    <s v="Amazon"/>
    <s v="Exp - Amazon"/>
    <m/>
    <m/>
    <m/>
    <m/>
    <m/>
    <m/>
    <x v="0"/>
    <m/>
    <m/>
  </r>
  <r>
    <x v="59"/>
    <d v="2023-11-07T00:00:00"/>
    <s v="Delta Skymiles Platinum Card - Ending in 1007"/>
    <x v="6"/>
    <n v="2.57"/>
    <x v="5"/>
    <s v="Groceries"/>
    <m/>
    <m/>
    <m/>
    <m/>
    <m/>
    <m/>
    <m/>
    <x v="6"/>
    <m/>
    <m/>
  </r>
  <r>
    <x v="59"/>
    <d v="2023-11-07T00:00:00"/>
    <s v="Delta Skymiles Platinum Card - Ending in 1007"/>
    <x v="823"/>
    <n v="51.18"/>
    <x v="2"/>
    <s v="Transportation"/>
    <m/>
    <m/>
    <m/>
    <m/>
    <m/>
    <m/>
    <m/>
    <x v="792"/>
    <m/>
    <m/>
  </r>
  <r>
    <x v="59"/>
    <d v="2023-11-07T00:00:00"/>
    <s v="Cash Rewards Visa Signature - Ending in 5947"/>
    <x v="2012"/>
    <n v="285.49"/>
    <x v="32"/>
    <m/>
    <s v="Exp - Shopping"/>
    <m/>
    <m/>
    <m/>
    <m/>
    <m/>
    <m/>
    <x v="1862"/>
    <m/>
    <m/>
  </r>
  <r>
    <x v="59"/>
    <d v="2023-11-07T00:00:00"/>
    <s v="Powerplus - Ending in 8s30"/>
    <x v="1827"/>
    <n v="125"/>
    <x v="32"/>
    <m/>
    <s v="Exp - Shopping"/>
    <m/>
    <m/>
    <m/>
    <m/>
    <m/>
    <m/>
    <x v="1682"/>
    <m/>
    <m/>
  </r>
  <r>
    <x v="59"/>
    <d v="2023-11-07T00:00:00"/>
    <s v="Powerplus - Ending in 8s30"/>
    <x v="4281"/>
    <n v="330"/>
    <x v="40"/>
    <m/>
    <s v="Exp - Day Care"/>
    <m/>
    <m/>
    <m/>
    <m/>
    <m/>
    <m/>
    <x v="3216"/>
    <m/>
    <m/>
  </r>
  <r>
    <x v="59"/>
    <d v="2023-11-07T00:00:00"/>
    <s v="Powerplus - Ending in 8s30"/>
    <x v="1987"/>
    <n v="180.85"/>
    <x v="42"/>
    <m/>
    <s v="Exp - Utilities"/>
    <m/>
    <m/>
    <m/>
    <m/>
    <m/>
    <m/>
    <x v="1837"/>
    <m/>
    <m/>
  </r>
  <r>
    <x v="59"/>
    <d v="2023-11-08T00:00:00"/>
    <s v="Discover More Card - Ending in 7779"/>
    <x v="0"/>
    <n v="7.58"/>
    <x v="41"/>
    <s v="Dry Cleaning"/>
    <s v="Exp - Amazon"/>
    <m/>
    <m/>
    <m/>
    <m/>
    <m/>
    <m/>
    <x v="0"/>
    <m/>
    <m/>
  </r>
  <r>
    <x v="59"/>
    <d v="2023-11-08T00:00:00"/>
    <s v="Discover More Card - Ending in 7779"/>
    <x v="0"/>
    <n v="5.36"/>
    <x v="41"/>
    <s v="Amazon"/>
    <s v="Exp - Amazon"/>
    <m/>
    <m/>
    <m/>
    <m/>
    <m/>
    <m/>
    <x v="0"/>
    <m/>
    <m/>
  </r>
  <r>
    <x v="59"/>
    <d v="2023-11-09T00:00:00"/>
    <s v="Powerplus - Ending in 8s30"/>
    <x v="1893"/>
    <n v="-3828.79"/>
    <x v="14"/>
    <m/>
    <s v="Inc - Britney"/>
    <m/>
    <m/>
    <m/>
    <m/>
    <m/>
    <m/>
    <x v="1746"/>
    <m/>
    <m/>
  </r>
  <r>
    <x v="59"/>
    <d v="2023-11-09T00:00:00"/>
    <s v="Delta Skymiles Platinum Card - Ending in 1007"/>
    <x v="4282"/>
    <n v="5.82"/>
    <x v="3"/>
    <s v="Delete - Other Expenses"/>
    <m/>
    <m/>
    <m/>
    <m/>
    <m/>
    <m/>
    <m/>
    <x v="3800"/>
    <m/>
    <m/>
  </r>
  <r>
    <x v="59"/>
    <d v="2023-11-09T00:00:00"/>
    <s v="Cash Rewards Visa Signature - Ending in 5946"/>
    <x v="1867"/>
    <n v="47.69"/>
    <x v="49"/>
    <m/>
    <s v="Exp - Gym"/>
    <m/>
    <m/>
    <m/>
    <m/>
    <m/>
    <m/>
    <x v="1721"/>
    <m/>
    <m/>
  </r>
  <r>
    <x v="59"/>
    <d v="2023-11-09T00:00:00"/>
    <s v="Cash Rewards Visa Signature - Ending in 5945"/>
    <x v="4283"/>
    <n v="-32"/>
    <x v="32"/>
    <m/>
    <s v="Exp - Shopping"/>
    <m/>
    <m/>
    <m/>
    <m/>
    <m/>
    <m/>
    <x v="3801"/>
    <m/>
    <m/>
  </r>
  <r>
    <x v="59"/>
    <d v="2023-11-10T00:00:00"/>
    <s v="Discover More Card - Ending in 7779"/>
    <x v="0"/>
    <n v="26"/>
    <x v="41"/>
    <s v="Amazon"/>
    <s v="Exp - Amazon"/>
    <m/>
    <m/>
    <m/>
    <m/>
    <m/>
    <m/>
    <x v="0"/>
    <m/>
    <m/>
  </r>
  <r>
    <x v="59"/>
    <d v="2023-11-10T00:00:00"/>
    <s v="Delta Skymiles Platinum Card - Ending in 1007"/>
    <x v="4284"/>
    <n v="31.03"/>
    <x v="35"/>
    <s v="Entertainment"/>
    <s v="Exp - Entertainment"/>
    <m/>
    <m/>
    <m/>
    <m/>
    <m/>
    <m/>
    <x v="3802"/>
    <m/>
    <m/>
  </r>
  <r>
    <x v="59"/>
    <d v="2023-11-10T00:00:00"/>
    <s v="Cash Rewards Visa Signature - Ending in 5942"/>
    <x v="255"/>
    <n v="-43"/>
    <x v="38"/>
    <m/>
    <s v="Exp - Groceries"/>
    <m/>
    <m/>
    <m/>
    <m/>
    <m/>
    <m/>
    <x v="253"/>
    <m/>
    <m/>
  </r>
  <r>
    <x v="59"/>
    <d v="2023-11-10T00:00:00"/>
    <s v="Delta Skymiles Platinum Card - Ending in 1007"/>
    <x v="6"/>
    <n v="47.55"/>
    <x v="5"/>
    <s v="Groceries"/>
    <m/>
    <m/>
    <m/>
    <m/>
    <m/>
    <m/>
    <m/>
    <x v="6"/>
    <m/>
    <m/>
  </r>
  <r>
    <x v="59"/>
    <d v="2023-11-10T00:00:00"/>
    <s v="Delta Skymiles Platinum Card - Ending in 1007"/>
    <x v="4285"/>
    <n v="22.49"/>
    <x v="1"/>
    <s v="Restaurants"/>
    <m/>
    <m/>
    <m/>
    <m/>
    <m/>
    <m/>
    <m/>
    <x v="3803"/>
    <m/>
    <m/>
  </r>
  <r>
    <x v="59"/>
    <d v="2023-11-10T00:00:00"/>
    <s v="Cash Rewards Visa Signature - Ending in 5944"/>
    <x v="1941"/>
    <n v="40.93"/>
    <x v="37"/>
    <m/>
    <s v="Exp - Transportation"/>
    <m/>
    <m/>
    <m/>
    <m/>
    <m/>
    <m/>
    <x v="1794"/>
    <m/>
    <m/>
  </r>
  <r>
    <x v="59"/>
    <d v="2023-11-10T00:00:00"/>
    <s v="Powerplus - Ending in 8s30"/>
    <x v="3657"/>
    <n v="543.98"/>
    <x v="3"/>
    <m/>
    <s v="Delete"/>
    <m/>
    <m/>
    <m/>
    <m/>
    <m/>
    <m/>
    <x v="3219"/>
    <m/>
    <m/>
  </r>
  <r>
    <x v="59"/>
    <d v="2023-11-10T00:00:00"/>
    <s v="Cash Rewards Visa Signature - Ending in 5943"/>
    <x v="1879"/>
    <n v="-543.98"/>
    <x v="3"/>
    <m/>
    <s v="Delete"/>
    <m/>
    <m/>
    <m/>
    <m/>
    <m/>
    <m/>
    <x v="1732"/>
    <m/>
    <m/>
  </r>
  <r>
    <x v="59"/>
    <d v="2023-11-11T00:00:00"/>
    <s v="Delta Skymiles Platinum Card - Ending in 1007"/>
    <x v="4286"/>
    <n v="-200"/>
    <x v="42"/>
    <s v="Refunds &amp; Reimbursements"/>
    <s v="Exp - Utilities"/>
    <m/>
    <m/>
    <m/>
    <m/>
    <m/>
    <m/>
    <x v="3804"/>
    <m/>
    <m/>
  </r>
  <r>
    <x v="59"/>
    <d v="2023-11-12T00:00:00"/>
    <s v="Cash Rewards Visa Signature - Ending in 5941"/>
    <x v="4287"/>
    <n v="64.27"/>
    <x v="38"/>
    <m/>
    <s v="Exp - Groceries"/>
    <m/>
    <m/>
    <m/>
    <m/>
    <m/>
    <m/>
    <x v="3805"/>
    <m/>
    <m/>
  </r>
  <r>
    <x v="59"/>
    <d v="2023-11-12T00:00:00"/>
    <s v="Delta Skymiles Platinum Card - Ending in 1007"/>
    <x v="4288"/>
    <n v="8.98"/>
    <x v="5"/>
    <s v="Groceries"/>
    <m/>
    <m/>
    <m/>
    <m/>
    <m/>
    <m/>
    <m/>
    <x v="3806"/>
    <m/>
    <m/>
  </r>
  <r>
    <x v="59"/>
    <d v="2023-11-12T00:00:00"/>
    <s v="Delta Skymiles Platinum Card - Ending in 1007"/>
    <x v="4289"/>
    <n v="4.32"/>
    <x v="37"/>
    <s v="Travel"/>
    <s v="Exp - Transportation"/>
    <m/>
    <m/>
    <m/>
    <m/>
    <m/>
    <m/>
    <x v="3807"/>
    <m/>
    <m/>
  </r>
  <r>
    <x v="59"/>
    <d v="2023-11-12T00:00:00"/>
    <s v="Cash Rewards Visa Signature - Ending in 5939"/>
    <x v="4140"/>
    <n v="5.99"/>
    <x v="35"/>
    <m/>
    <s v="Exp - Entertainment"/>
    <m/>
    <m/>
    <m/>
    <m/>
    <m/>
    <m/>
    <x v="3674"/>
    <m/>
    <m/>
  </r>
  <r>
    <x v="59"/>
    <d v="2023-11-12T00:00:00"/>
    <s v="Cash Rewards Visa Signature - Ending in 5940"/>
    <x v="99"/>
    <n v="25.6"/>
    <x v="42"/>
    <m/>
    <s v="Exp - Utilities"/>
    <m/>
    <m/>
    <m/>
    <m/>
    <m/>
    <m/>
    <x v="99"/>
    <m/>
    <m/>
  </r>
  <r>
    <x v="59"/>
    <d v="2023-11-13T00:00:00"/>
    <s v="Cash Rewards Visa Signature - Ending in 5938"/>
    <x v="57"/>
    <n v="134.01"/>
    <x v="39"/>
    <m/>
    <s v="Exp - Restaurants"/>
    <m/>
    <m/>
    <m/>
    <m/>
    <m/>
    <m/>
    <x v="57"/>
    <m/>
    <m/>
  </r>
  <r>
    <x v="59"/>
    <d v="2023-11-13T00:00:00"/>
    <s v="Delta Skymiles Platinum Card - Ending in 1007"/>
    <x v="4290"/>
    <n v="33.700000000000003"/>
    <x v="37"/>
    <s v="Car Loan"/>
    <s v="Exp - Transportation"/>
    <m/>
    <m/>
    <m/>
    <m/>
    <m/>
    <m/>
    <x v="3808"/>
    <m/>
    <m/>
  </r>
  <r>
    <x v="59"/>
    <d v="2023-11-13T00:00:00"/>
    <s v="Delta Skymiles Platinum Card - Ending in 1007"/>
    <x v="4291"/>
    <n v="3.73"/>
    <x v="1"/>
    <s v="Restaurants"/>
    <m/>
    <m/>
    <m/>
    <m/>
    <m/>
    <m/>
    <m/>
    <x v="3809"/>
    <m/>
    <m/>
  </r>
  <r>
    <x v="59"/>
    <d v="2023-11-13T00:00:00"/>
    <s v="Delta Skymiles Platinum Card - Ending in 1007"/>
    <x v="4292"/>
    <n v="27.45"/>
    <x v="3"/>
    <s v="Delete - Other Expenses"/>
    <m/>
    <m/>
    <m/>
    <m/>
    <m/>
    <m/>
    <m/>
    <x v="3810"/>
    <m/>
    <m/>
  </r>
  <r>
    <x v="59"/>
    <d v="2023-11-13T00:00:00"/>
    <s v="Delta Skymiles Platinum Card - Ending in 1007"/>
    <x v="4293"/>
    <n v="4.1500000000000004"/>
    <x v="39"/>
    <s v="Healthcare"/>
    <s v="Exp - Restaurants"/>
    <m/>
    <m/>
    <m/>
    <m/>
    <m/>
    <m/>
    <x v="3811"/>
    <m/>
    <m/>
  </r>
  <r>
    <x v="59"/>
    <d v="2023-11-13T00:00:00"/>
    <s v="Delta Skymiles Platinum Card - Ending in 1007"/>
    <x v="4294"/>
    <n v="144.71"/>
    <x v="32"/>
    <s v="Healthcare"/>
    <s v="Exp - Shopping"/>
    <m/>
    <m/>
    <m/>
    <m/>
    <m/>
    <m/>
    <x v="3812"/>
    <m/>
    <m/>
  </r>
  <r>
    <x v="59"/>
    <d v="2023-11-13T00:00:00"/>
    <s v="Delta Skymiles Platinum Card - Ending in 1007"/>
    <x v="4295"/>
    <n v="95.85"/>
    <x v="1"/>
    <s v="Restaurants"/>
    <m/>
    <m/>
    <m/>
    <m/>
    <m/>
    <m/>
    <m/>
    <x v="3813"/>
    <m/>
    <m/>
  </r>
  <r>
    <x v="59"/>
    <d v="2023-11-13T00:00:00"/>
    <s v="Cash Rewards Visa Signature - Ending in 5937"/>
    <x v="1993"/>
    <n v="45"/>
    <x v="42"/>
    <m/>
    <s v="Exp - Utilities"/>
    <m/>
    <m/>
    <m/>
    <m/>
    <m/>
    <m/>
    <x v="1843"/>
    <m/>
    <m/>
  </r>
  <r>
    <x v="59"/>
    <d v="2023-11-14T00:00:00"/>
    <s v="Delta Skymiles Platinum Card - Ending in 1007"/>
    <x v="4296"/>
    <n v="897.45"/>
    <x v="3"/>
    <s v="Travel"/>
    <s v="Delete"/>
    <m/>
    <m/>
    <m/>
    <m/>
    <m/>
    <m/>
    <x v="3814"/>
    <m/>
    <m/>
  </r>
  <r>
    <x v="59"/>
    <d v="2023-11-14T00:00:00"/>
    <s v="Discover More Card - Ending in 7779"/>
    <x v="0"/>
    <n v="-0.81"/>
    <x v="41"/>
    <s v="Amazon"/>
    <s v="Exp - Amazon"/>
    <m/>
    <m/>
    <m/>
    <m/>
    <m/>
    <m/>
    <x v="0"/>
    <m/>
    <m/>
  </r>
  <r>
    <x v="59"/>
    <d v="2023-11-14T00:00:00"/>
    <s v="Delta Skymiles Platinum Card - Ending in 1007"/>
    <x v="6"/>
    <n v="17.43"/>
    <x v="5"/>
    <s v="Groceries"/>
    <m/>
    <m/>
    <m/>
    <m/>
    <m/>
    <m/>
    <m/>
    <x v="6"/>
    <m/>
    <m/>
  </r>
  <r>
    <x v="59"/>
    <d v="2023-11-14T00:00:00"/>
    <s v="Powerplus - Ending in 8s30"/>
    <x v="3684"/>
    <n v="-3518.6"/>
    <x v="15"/>
    <m/>
    <s v="Inc - Jeff"/>
    <m/>
    <m/>
    <m/>
    <m/>
    <m/>
    <m/>
    <x v="3245"/>
    <m/>
    <m/>
  </r>
  <r>
    <x v="59"/>
    <d v="2023-11-14T00:00:00"/>
    <s v="Powerplus - Ending in 8s30"/>
    <x v="4297"/>
    <n v="100"/>
    <x v="3"/>
    <m/>
    <s v="Delete"/>
    <m/>
    <m/>
    <m/>
    <m/>
    <m/>
    <m/>
    <x v="3815"/>
    <m/>
    <m/>
  </r>
  <r>
    <x v="59"/>
    <d v="2023-11-14T00:00:00"/>
    <s v="Powerplus - Ending in 8s30"/>
    <x v="1827"/>
    <n v="175"/>
    <x v="32"/>
    <m/>
    <s v="Exp - Shopping"/>
    <m/>
    <m/>
    <m/>
    <m/>
    <m/>
    <m/>
    <x v="1682"/>
    <m/>
    <m/>
  </r>
  <r>
    <x v="59"/>
    <d v="2023-11-14T00:00:00"/>
    <s v="Powerplus - Ending in 8s30"/>
    <x v="1827"/>
    <n v="137.53"/>
    <x v="32"/>
    <m/>
    <s v="Exp - Shopping"/>
    <m/>
    <m/>
    <m/>
    <m/>
    <m/>
    <m/>
    <x v="1682"/>
    <m/>
    <m/>
  </r>
  <r>
    <x v="59"/>
    <d v="2023-11-14T00:00:00"/>
    <s v="Powerplus - Ending in 8s30"/>
    <x v="3693"/>
    <n v="116.77"/>
    <x v="54"/>
    <m/>
    <s v="Exp - Insurance"/>
    <m/>
    <m/>
    <m/>
    <m/>
    <m/>
    <m/>
    <x v="3254"/>
    <m/>
    <m/>
  </r>
  <r>
    <x v="59"/>
    <d v="2023-11-15T00:00:00"/>
    <s v="Discover More Card - Ending in 7779"/>
    <x v="0"/>
    <n v="24.25"/>
    <x v="41"/>
    <s v="Dry Cleaning"/>
    <s v="Exp - Amazon"/>
    <m/>
    <m/>
    <m/>
    <m/>
    <m/>
    <m/>
    <x v="0"/>
    <m/>
    <m/>
  </r>
  <r>
    <x v="59"/>
    <d v="2023-11-15T00:00:00"/>
    <s v="Cash Rewards Visa Signature - Ending in 5936"/>
    <x v="475"/>
    <n v="263.37"/>
    <x v="40"/>
    <m/>
    <s v="Exp - Day Care"/>
    <m/>
    <m/>
    <m/>
    <m/>
    <m/>
    <m/>
    <x v="458"/>
    <m/>
    <m/>
  </r>
  <r>
    <x v="59"/>
    <d v="2023-11-15T00:00:00"/>
    <s v="Powerplus - Ending in 8s30"/>
    <x v="1849"/>
    <n v="350"/>
    <x v="32"/>
    <m/>
    <s v="Exp - Shopping"/>
    <m/>
    <m/>
    <m/>
    <m/>
    <m/>
    <m/>
    <x v="1704"/>
    <m/>
    <m/>
  </r>
  <r>
    <x v="59"/>
    <d v="2023-11-15T00:00:00"/>
    <s v="Cash Rewards Visa Signature - Ending in 5935"/>
    <x v="1941"/>
    <n v="27.34"/>
    <x v="37"/>
    <m/>
    <s v="Exp - Transportation"/>
    <m/>
    <m/>
    <m/>
    <m/>
    <m/>
    <m/>
    <x v="1794"/>
    <m/>
    <m/>
  </r>
  <r>
    <x v="59"/>
    <d v="2023-11-15T00:00:00"/>
    <s v="Powerplus - Ending in 8s30"/>
    <x v="4298"/>
    <n v="330"/>
    <x v="40"/>
    <m/>
    <s v="Exp - Day Care"/>
    <m/>
    <m/>
    <m/>
    <m/>
    <m/>
    <m/>
    <x v="3216"/>
    <m/>
    <m/>
  </r>
  <r>
    <x v="59"/>
    <d v="2023-11-16T00:00:00"/>
    <s v="Delta Skymiles Platinum Card - Ending in 1007"/>
    <x v="4299"/>
    <n v="65.08"/>
    <x v="39"/>
    <s v="Car Loan"/>
    <s v="Exp - Restaurants"/>
    <m/>
    <m/>
    <m/>
    <m/>
    <m/>
    <m/>
    <x v="3816"/>
    <m/>
    <m/>
  </r>
  <r>
    <x v="59"/>
    <d v="2023-11-16T00:00:00"/>
    <s v="Delta Skymiles Platinum Card - Ending in 1007"/>
    <x v="4300"/>
    <n v="4"/>
    <x v="42"/>
    <s v="Delete - Online Services"/>
    <s v="Exp - Utilities"/>
    <m/>
    <m/>
    <m/>
    <m/>
    <m/>
    <m/>
    <x v="3817"/>
    <m/>
    <m/>
  </r>
  <r>
    <x v="59"/>
    <d v="2023-11-16T00:00:00"/>
    <s v="Delta Skymiles Platinum Card - Ending in 1007"/>
    <x v="4104"/>
    <n v="114"/>
    <x v="3"/>
    <s v="Travel"/>
    <s v="Delete"/>
    <m/>
    <m/>
    <m/>
    <m/>
    <m/>
    <m/>
    <x v="3639"/>
    <m/>
    <m/>
  </r>
  <r>
    <x v="59"/>
    <d v="2023-11-16T00:00:00"/>
    <s v="Delta Skymiles Platinum Card - Ending in 1007"/>
    <x v="4301"/>
    <n v="41.38"/>
    <x v="1"/>
    <s v="Restaurants"/>
    <m/>
    <m/>
    <m/>
    <m/>
    <m/>
    <m/>
    <m/>
    <x v="3818"/>
    <m/>
    <m/>
  </r>
  <r>
    <x v="59"/>
    <d v="2023-11-17T00:00:00"/>
    <s v="Delta Skymiles Platinum Card - Ending in 1007"/>
    <x v="4296"/>
    <n v="0.03"/>
    <x v="3"/>
    <s v="Travel"/>
    <s v="Delete"/>
    <m/>
    <m/>
    <m/>
    <m/>
    <m/>
    <m/>
    <x v="3814"/>
    <m/>
    <m/>
  </r>
  <r>
    <x v="59"/>
    <d v="2023-11-17T00:00:00"/>
    <s v="Delta Skymiles Platinum Card - Ending in 1007"/>
    <x v="4302"/>
    <n v="459.87"/>
    <x v="24"/>
    <s v="Travel"/>
    <m/>
    <m/>
    <m/>
    <m/>
    <m/>
    <m/>
    <m/>
    <x v="3819"/>
    <m/>
    <m/>
  </r>
  <r>
    <x v="59"/>
    <d v="2023-11-17T00:00:00"/>
    <s v="Cash Rewards Visa Signature - Ending in 5934"/>
    <x v="838"/>
    <n v="177.19"/>
    <x v="51"/>
    <m/>
    <s v="Exp - Gifts"/>
    <m/>
    <m/>
    <m/>
    <m/>
    <m/>
    <m/>
    <x v="806"/>
    <m/>
    <m/>
  </r>
  <r>
    <x v="59"/>
    <d v="2023-11-17T00:00:00"/>
    <s v="Delta Skymiles Platinum Card - Ending in 1007"/>
    <x v="4270"/>
    <n v="-570"/>
    <x v="8"/>
    <s v="Shopping"/>
    <m/>
    <m/>
    <m/>
    <m/>
    <m/>
    <m/>
    <m/>
    <x v="3790"/>
    <m/>
    <m/>
  </r>
  <r>
    <x v="59"/>
    <d v="2023-11-17T00:00:00"/>
    <s v="Delta Skymiles Platinum Card - Ending in 1007"/>
    <x v="4303"/>
    <n v="5.18"/>
    <x v="1"/>
    <s v="Restaurants"/>
    <m/>
    <m/>
    <m/>
    <m/>
    <m/>
    <m/>
    <m/>
    <x v="3820"/>
    <m/>
    <m/>
  </r>
  <r>
    <x v="59"/>
    <d v="2023-11-17T00:00:00"/>
    <s v="Cash Rewards Visa Signature - Ending in 5933"/>
    <x v="1941"/>
    <n v="34.56"/>
    <x v="37"/>
    <m/>
    <s v="Exp - Transportation"/>
    <m/>
    <m/>
    <m/>
    <m/>
    <m/>
    <m/>
    <x v="1794"/>
    <m/>
    <m/>
  </r>
  <r>
    <x v="59"/>
    <d v="2023-11-18T00:00:00"/>
    <s v="Delta Skymiles Platinum Card - Ending in 1007"/>
    <x v="1861"/>
    <n v="1076.4000000000001"/>
    <x v="3"/>
    <s v="Empyrean Travel"/>
    <s v="Delete"/>
    <m/>
    <m/>
    <m/>
    <m/>
    <m/>
    <m/>
    <x v="1715"/>
    <m/>
    <m/>
  </r>
  <r>
    <x v="59"/>
    <d v="2023-11-19T00:00:00"/>
    <s v="Delta Skymiles Platinum Card - Ending in 1007"/>
    <x v="4304"/>
    <n v="6"/>
    <x v="37"/>
    <s v="Delete - Other Expenses"/>
    <s v="Exp - Transportation"/>
    <m/>
    <m/>
    <m/>
    <m/>
    <m/>
    <m/>
    <x v="3821"/>
    <m/>
    <m/>
  </r>
  <r>
    <x v="59"/>
    <d v="2023-11-19T00:00:00"/>
    <s v="Delta Skymiles Platinum Card - Ending in 1007"/>
    <x v="3556"/>
    <n v="45.17"/>
    <x v="5"/>
    <s v="Groceries"/>
    <m/>
    <m/>
    <m/>
    <m/>
    <m/>
    <m/>
    <m/>
    <x v="3136"/>
    <m/>
    <m/>
  </r>
  <r>
    <x v="59"/>
    <d v="2023-11-19T00:00:00"/>
    <s v="Cash Rewards Visa Signature - Ending in 5932"/>
    <x v="214"/>
    <n v="54.81"/>
    <x v="37"/>
    <m/>
    <s v="Exp - Transportation"/>
    <m/>
    <m/>
    <m/>
    <m/>
    <m/>
    <m/>
    <x v="213"/>
    <m/>
    <m/>
  </r>
  <r>
    <x v="59"/>
    <d v="2023-11-19T00:00:00"/>
    <s v="Cash Rewards Visa Signature - Ending in 5931"/>
    <x v="1674"/>
    <n v="58.64"/>
    <x v="39"/>
    <m/>
    <s v="Exp - Restaurants"/>
    <m/>
    <m/>
    <m/>
    <m/>
    <m/>
    <m/>
    <x v="1556"/>
    <m/>
    <m/>
  </r>
  <r>
    <x v="59"/>
    <d v="2023-11-20T00:00:00"/>
    <s v="Discover More Card - Ending in 7779"/>
    <x v="0"/>
    <n v="62.48"/>
    <x v="41"/>
    <s v="Dry Cleaning"/>
    <s v="Exp - Amazon"/>
    <m/>
    <m/>
    <m/>
    <m/>
    <m/>
    <m/>
    <x v="0"/>
    <m/>
    <m/>
  </r>
  <r>
    <x v="59"/>
    <d v="2023-11-20T00:00:00"/>
    <s v="Powerplus - Ending in 8s30"/>
    <x v="3652"/>
    <n v="-91.38"/>
    <x v="14"/>
    <m/>
    <s v="Inc - Britney"/>
    <m/>
    <m/>
    <m/>
    <m/>
    <m/>
    <m/>
    <x v="3214"/>
    <m/>
    <m/>
  </r>
  <r>
    <x v="59"/>
    <d v="2023-11-20T00:00:00"/>
    <s v="Delta Skymiles Platinum Card - Ending in 1007"/>
    <x v="6"/>
    <n v="71.17"/>
    <x v="5"/>
    <s v="Groceries"/>
    <m/>
    <m/>
    <m/>
    <m/>
    <m/>
    <m/>
    <m/>
    <x v="6"/>
    <m/>
    <m/>
  </r>
  <r>
    <x v="59"/>
    <d v="2023-11-20T00:00:00"/>
    <s v="Cash Rewards Visa Signature - Ending in 5930"/>
    <x v="4168"/>
    <n v="0.49"/>
    <x v="42"/>
    <m/>
    <s v="Exp - Utilities"/>
    <m/>
    <m/>
    <m/>
    <m/>
    <m/>
    <m/>
    <x v="3699"/>
    <m/>
    <m/>
  </r>
  <r>
    <x v="59"/>
    <d v="2023-11-20T00:00:00"/>
    <s v="Delta Skymiles Platinum Card - Ending in 1007"/>
    <x v="4305"/>
    <n v="76.05"/>
    <x v="8"/>
    <s v="Shopping"/>
    <m/>
    <m/>
    <m/>
    <m/>
    <m/>
    <m/>
    <m/>
    <x v="3822"/>
    <m/>
    <m/>
  </r>
  <r>
    <x v="59"/>
    <d v="2023-11-20T00:00:00"/>
    <s v="Powerplus - Ending in 8s30"/>
    <x v="1849"/>
    <n v="19.399999999999999"/>
    <x v="32"/>
    <m/>
    <s v="Exp - Shopping"/>
    <m/>
    <m/>
    <m/>
    <m/>
    <m/>
    <m/>
    <x v="1704"/>
    <m/>
    <m/>
  </r>
  <r>
    <x v="59"/>
    <d v="2023-11-20T00:00:00"/>
    <s v="Powerplus - Ending in 8s30"/>
    <x v="1849"/>
    <n v="2.99"/>
    <x v="32"/>
    <m/>
    <s v="Exp - Shopping"/>
    <m/>
    <m/>
    <m/>
    <m/>
    <m/>
    <m/>
    <x v="1704"/>
    <m/>
    <m/>
  </r>
  <r>
    <x v="59"/>
    <d v="2023-11-20T00:00:00"/>
    <s v="Powerplus - Ending in 8s30"/>
    <x v="1827"/>
    <n v="148.75"/>
    <x v="32"/>
    <m/>
    <s v="Exp - Shopping"/>
    <m/>
    <m/>
    <m/>
    <m/>
    <m/>
    <m/>
    <x v="1682"/>
    <m/>
    <m/>
  </r>
  <r>
    <x v="59"/>
    <d v="2023-11-20T00:00:00"/>
    <s v="Powerplus - Ending in 8s30"/>
    <x v="4306"/>
    <n v="650"/>
    <x v="47"/>
    <m/>
    <s v="Sav - College Savings"/>
    <m/>
    <m/>
    <m/>
    <m/>
    <m/>
    <m/>
    <x v="3267"/>
    <m/>
    <m/>
  </r>
  <r>
    <x v="59"/>
    <d v="2023-11-21T00:00:00"/>
    <s v="Discover More Card - Ending in 7779"/>
    <x v="0"/>
    <n v="25.03"/>
    <x v="41"/>
    <s v="Dry Cleaning"/>
    <s v="Exp - Amazon"/>
    <m/>
    <m/>
    <m/>
    <m/>
    <m/>
    <m/>
    <x v="0"/>
    <m/>
    <m/>
  </r>
  <r>
    <x v="59"/>
    <d v="2023-11-21T00:00:00"/>
    <s v="Discover More Card - Ending in 7779"/>
    <x v="0"/>
    <n v="221.18"/>
    <x v="41"/>
    <s v="Dry Cleaning"/>
    <s v="Exp - Amazon"/>
    <m/>
    <m/>
    <m/>
    <m/>
    <m/>
    <m/>
    <x v="0"/>
    <m/>
    <m/>
  </r>
  <r>
    <x v="59"/>
    <d v="2023-11-21T00:00:00"/>
    <s v="Cash Rewards Visa Signature - Ending in 5929"/>
    <x v="4307"/>
    <n v="11"/>
    <x v="36"/>
    <m/>
    <s v="Exp - House Maint"/>
    <m/>
    <m/>
    <m/>
    <m/>
    <m/>
    <m/>
    <x v="3823"/>
    <m/>
    <m/>
  </r>
  <r>
    <x v="59"/>
    <d v="2023-11-21T00:00:00"/>
    <s v="Delta Skymiles Platinum Card - Ending in 1007"/>
    <x v="722"/>
    <n v="108.59"/>
    <x v="5"/>
    <s v="Groceries"/>
    <m/>
    <m/>
    <m/>
    <m/>
    <m/>
    <m/>
    <m/>
    <x v="697"/>
    <m/>
    <m/>
  </r>
  <r>
    <x v="59"/>
    <d v="2023-11-21T00:00:00"/>
    <s v="Powerplus - Ending in 8s30"/>
    <x v="4308"/>
    <n v="60.12"/>
    <x v="42"/>
    <m/>
    <s v="Exp - Utilities"/>
    <m/>
    <m/>
    <m/>
    <m/>
    <m/>
    <m/>
    <x v="3287"/>
    <m/>
    <m/>
  </r>
  <r>
    <x v="59"/>
    <d v="2023-11-21T00:00:00"/>
    <s v="Powerplus - Ending in 8s30"/>
    <x v="4309"/>
    <n v="330"/>
    <x v="40"/>
    <m/>
    <s v="Exp - Day Care"/>
    <m/>
    <m/>
    <m/>
    <m/>
    <m/>
    <m/>
    <x v="3216"/>
    <m/>
    <m/>
  </r>
  <r>
    <x v="59"/>
    <d v="2023-11-22T00:00:00"/>
    <s v="Discover More Card - Ending in 7779"/>
    <x v="0"/>
    <n v="10.83"/>
    <x v="41"/>
    <s v="Dry Cleaning"/>
    <s v="Exp - Amazon"/>
    <m/>
    <m/>
    <m/>
    <m/>
    <m/>
    <m/>
    <x v="0"/>
    <m/>
    <m/>
  </r>
  <r>
    <x v="59"/>
    <d v="2023-11-22T00:00:00"/>
    <s v="Discover More Card - Ending in 7779"/>
    <x v="0"/>
    <n v="8.66"/>
    <x v="41"/>
    <s v="Dry Cleaning"/>
    <s v="Exp - Amazon"/>
    <m/>
    <m/>
    <m/>
    <m/>
    <m/>
    <m/>
    <x v="0"/>
    <m/>
    <m/>
  </r>
  <r>
    <x v="59"/>
    <d v="2023-11-22T00:00:00"/>
    <s v="Cash Rewards Visa Signature - Ending in 5924"/>
    <x v="4310"/>
    <n v="42.8"/>
    <x v="41"/>
    <m/>
    <s v="Exp - Amazon"/>
    <m/>
    <m/>
    <m/>
    <m/>
    <m/>
    <m/>
    <x v="3824"/>
    <m/>
    <m/>
  </r>
  <r>
    <x v="59"/>
    <d v="2023-11-22T00:00:00"/>
    <s v="Cash Rewards Visa Signature - Ending in 5925"/>
    <x v="4311"/>
    <n v="117.99"/>
    <x v="38"/>
    <m/>
    <s v="Exp - Groceries"/>
    <m/>
    <m/>
    <m/>
    <m/>
    <m/>
    <m/>
    <x v="3825"/>
    <m/>
    <m/>
  </r>
  <r>
    <x v="59"/>
    <d v="2023-11-22T00:00:00"/>
    <s v="Cash Rewards Visa Signature - Ending in 5927"/>
    <x v="4312"/>
    <n v="463"/>
    <x v="40"/>
    <m/>
    <s v="Exp - Day Care"/>
    <m/>
    <m/>
    <m/>
    <m/>
    <m/>
    <m/>
    <x v="3826"/>
    <m/>
    <m/>
  </r>
  <r>
    <x v="59"/>
    <d v="2023-11-22T00:00:00"/>
    <s v="Cash Rewards Visa Signature - Ending in 5926"/>
    <x v="4313"/>
    <n v="245"/>
    <x v="40"/>
    <m/>
    <s v="Exp - Day Care"/>
    <m/>
    <m/>
    <m/>
    <m/>
    <m/>
    <m/>
    <x v="3827"/>
    <m/>
    <m/>
  </r>
  <r>
    <x v="59"/>
    <d v="2023-11-22T00:00:00"/>
    <s v="Delta Skymiles Platinum Card - Ending in 1007"/>
    <x v="1955"/>
    <n v="31.75"/>
    <x v="1"/>
    <s v="Restaurants"/>
    <m/>
    <m/>
    <m/>
    <m/>
    <m/>
    <m/>
    <m/>
    <x v="1807"/>
    <m/>
    <m/>
  </r>
  <r>
    <x v="59"/>
    <d v="2023-11-22T00:00:00"/>
    <s v="Delta Skymiles Platinum Card - Ending in 1007"/>
    <x v="1955"/>
    <n v="6.07"/>
    <x v="1"/>
    <s v="Restaurants"/>
    <m/>
    <m/>
    <m/>
    <m/>
    <m/>
    <m/>
    <m/>
    <x v="1807"/>
    <m/>
    <m/>
  </r>
  <r>
    <x v="59"/>
    <d v="2023-11-22T00:00:00"/>
    <s v="Delta Skymiles Platinum Card - Ending in 1007"/>
    <x v="4314"/>
    <n v="52.69"/>
    <x v="24"/>
    <s v="Travel"/>
    <m/>
    <m/>
    <m/>
    <m/>
    <m/>
    <m/>
    <m/>
    <x v="3828"/>
    <m/>
    <m/>
  </r>
  <r>
    <x v="59"/>
    <d v="2023-11-22T00:00:00"/>
    <s v="Delta Skymiles Platinum Card - Ending in 1007"/>
    <x v="585"/>
    <n v="28.39"/>
    <x v="1"/>
    <s v="Restaurants"/>
    <m/>
    <m/>
    <m/>
    <m/>
    <m/>
    <m/>
    <m/>
    <x v="566"/>
    <m/>
    <m/>
  </r>
  <r>
    <x v="59"/>
    <d v="2023-11-22T00:00:00"/>
    <s v="Cash Rewards Visa Signature - Ending in 5923"/>
    <x v="594"/>
    <n v="52"/>
    <x v="44"/>
    <m/>
    <s v="Exp - Misc"/>
    <m/>
    <m/>
    <m/>
    <m/>
    <m/>
    <m/>
    <x v="575"/>
    <m/>
    <m/>
  </r>
  <r>
    <x v="59"/>
    <d v="2023-11-22T00:00:00"/>
    <s v="Delta Skymiles Platinum Card - Ending in 1007"/>
    <x v="823"/>
    <n v="82.92"/>
    <x v="2"/>
    <s v="Transportation"/>
    <m/>
    <m/>
    <m/>
    <m/>
    <m/>
    <m/>
    <m/>
    <x v="792"/>
    <m/>
    <m/>
  </r>
  <r>
    <x v="59"/>
    <d v="2023-11-22T00:00:00"/>
    <s v="Cash Rewards Visa Signature - Ending in 5928"/>
    <x v="4315"/>
    <n v="24.72"/>
    <x v="38"/>
    <m/>
    <s v="Exp - Groceries"/>
    <m/>
    <m/>
    <m/>
    <m/>
    <m/>
    <m/>
    <x v="3829"/>
    <m/>
    <m/>
  </r>
  <r>
    <x v="59"/>
    <d v="2023-11-22T00:00:00"/>
    <s v="Delta Skymiles Platinum Card - Ending in 1007"/>
    <x v="4316"/>
    <n v="16"/>
    <x v="24"/>
    <s v="Travel"/>
    <m/>
    <m/>
    <m/>
    <m/>
    <m/>
    <m/>
    <m/>
    <x v="3830"/>
    <m/>
    <m/>
  </r>
  <r>
    <x v="59"/>
    <d v="2023-11-22T00:00:00"/>
    <s v="Delta Skymiles Platinum Card - Ending in 1007"/>
    <x v="4317"/>
    <n v="43.22"/>
    <x v="1"/>
    <s v="Restaurants"/>
    <m/>
    <m/>
    <m/>
    <m/>
    <m/>
    <m/>
    <m/>
    <x v="3831"/>
    <m/>
    <m/>
  </r>
  <r>
    <x v="59"/>
    <d v="2023-11-22T00:00:00"/>
    <s v="Delta Skymiles Platinum Card - Ending in 1007"/>
    <x v="4318"/>
    <n v="21.59"/>
    <x v="1"/>
    <s v="Restaurants"/>
    <m/>
    <m/>
    <m/>
    <m/>
    <m/>
    <m/>
    <m/>
    <x v="3832"/>
    <m/>
    <m/>
  </r>
  <r>
    <x v="59"/>
    <d v="2023-11-22T00:00:00"/>
    <s v="Cash Rewards Visa Signature - Ending in 5922"/>
    <x v="4319"/>
    <n v="7.91"/>
    <x v="39"/>
    <m/>
    <s v="Exp - Restaurants"/>
    <m/>
    <m/>
    <m/>
    <m/>
    <m/>
    <m/>
    <x v="3833"/>
    <m/>
    <m/>
  </r>
  <r>
    <x v="59"/>
    <d v="2023-11-23T00:00:00"/>
    <s v="Cash Rewards Visa Signature - Ending in 5920"/>
    <x v="0"/>
    <n v="119.2"/>
    <x v="41"/>
    <m/>
    <s v="Exp - Amazon"/>
    <m/>
    <m/>
    <m/>
    <m/>
    <m/>
    <m/>
    <x v="0"/>
    <m/>
    <m/>
  </r>
  <r>
    <x v="59"/>
    <d v="2023-11-23T00:00:00"/>
    <s v="Powerplus - Ending in 8s30"/>
    <x v="1893"/>
    <n v="-3594.81"/>
    <x v="14"/>
    <m/>
    <s v="Inc - Britney"/>
    <m/>
    <m/>
    <m/>
    <m/>
    <m/>
    <m/>
    <x v="1746"/>
    <m/>
    <m/>
  </r>
  <r>
    <x v="59"/>
    <d v="2023-11-23T00:00:00"/>
    <s v="Delta Skymiles Platinum Card - Ending in 1007"/>
    <x v="6"/>
    <n v="9.15"/>
    <x v="5"/>
    <s v="Groceries"/>
    <m/>
    <m/>
    <m/>
    <m/>
    <m/>
    <m/>
    <m/>
    <x v="6"/>
    <m/>
    <m/>
  </r>
  <r>
    <x v="59"/>
    <d v="2023-11-23T00:00:00"/>
    <s v="Delta Skymiles Platinum Card - Ending in 1007"/>
    <x v="2"/>
    <n v="49.03"/>
    <x v="2"/>
    <s v="Transportation"/>
    <m/>
    <m/>
    <m/>
    <m/>
    <m/>
    <m/>
    <m/>
    <x v="2"/>
    <m/>
    <m/>
  </r>
  <r>
    <x v="59"/>
    <d v="2023-11-23T00:00:00"/>
    <s v="Cash Rewards Visa Signature - Ending in 5921"/>
    <x v="382"/>
    <n v="52.8"/>
    <x v="44"/>
    <m/>
    <s v="Exp - Misc"/>
    <m/>
    <m/>
    <m/>
    <m/>
    <m/>
    <m/>
    <x v="369"/>
    <m/>
    <m/>
  </r>
  <r>
    <x v="59"/>
    <d v="2023-11-24T00:00:00"/>
    <s v="Discover More Card - Ending in 7779"/>
    <x v="1895"/>
    <n v="-10.83"/>
    <x v="41"/>
    <s v="Dry Cleaning"/>
    <s v="Exp - Amazon"/>
    <m/>
    <m/>
    <m/>
    <m/>
    <m/>
    <m/>
    <x v="1748"/>
    <m/>
    <m/>
  </r>
  <r>
    <x v="59"/>
    <d v="2023-11-24T00:00:00"/>
    <s v="Discover More Card - Ending in 7779"/>
    <x v="1895"/>
    <n v="-18.41"/>
    <x v="41"/>
    <s v="Dry Cleaning"/>
    <s v="Exp - Amazon"/>
    <m/>
    <m/>
    <m/>
    <m/>
    <m/>
    <m/>
    <x v="1748"/>
    <m/>
    <m/>
  </r>
  <r>
    <x v="59"/>
    <d v="2023-11-24T00:00:00"/>
    <s v="Discover More Card - Ending in 7779"/>
    <x v="1895"/>
    <n v="-33.15"/>
    <x v="41"/>
    <s v="Dry Cleaning"/>
    <s v="Exp - Amazon"/>
    <m/>
    <m/>
    <m/>
    <m/>
    <m/>
    <m/>
    <x v="1748"/>
    <m/>
    <m/>
  </r>
  <r>
    <x v="59"/>
    <d v="2023-11-24T00:00:00"/>
    <s v="Discover More Card - Ending in 7779"/>
    <x v="4320"/>
    <n v="420"/>
    <x v="8"/>
    <s v="Shopping"/>
    <m/>
    <m/>
    <m/>
    <m/>
    <m/>
    <m/>
    <m/>
    <x v="3834"/>
    <m/>
    <m/>
  </r>
  <r>
    <x v="59"/>
    <d v="2023-11-24T00:00:00"/>
    <s v="Powerplus - Ending in 8s30"/>
    <x v="1827"/>
    <n v="125"/>
    <x v="32"/>
    <m/>
    <s v="Exp - Shopping"/>
    <m/>
    <m/>
    <m/>
    <m/>
    <m/>
    <m/>
    <x v="1682"/>
    <m/>
    <m/>
  </r>
  <r>
    <x v="59"/>
    <d v="2023-11-24T00:00:00"/>
    <s v="Powerplus - Ending in 8s30"/>
    <x v="1827"/>
    <n v="80"/>
    <x v="32"/>
    <m/>
    <s v="Exp - Shopping"/>
    <m/>
    <m/>
    <m/>
    <m/>
    <m/>
    <m/>
    <x v="1682"/>
    <m/>
    <m/>
  </r>
  <r>
    <x v="59"/>
    <d v="2023-11-24T00:00:00"/>
    <s v="Delta Skymiles Platinum Card - Ending in 1007"/>
    <x v="4321"/>
    <n v="124.63"/>
    <x v="51"/>
    <s v="Delete - Home Improvement"/>
    <s v="Exp - Gifts"/>
    <m/>
    <m/>
    <m/>
    <m/>
    <m/>
    <m/>
    <x v="3835"/>
    <m/>
    <m/>
  </r>
  <r>
    <x v="59"/>
    <d v="2023-11-25T00:00:00"/>
    <s v="Discover More Card - Ending in 7779"/>
    <x v="0"/>
    <n v="7.91"/>
    <x v="41"/>
    <s v="Dry Cleaning"/>
    <s v="Exp - Amazon"/>
    <m/>
    <m/>
    <m/>
    <m/>
    <m/>
    <m/>
    <x v="0"/>
    <m/>
    <m/>
  </r>
  <r>
    <x v="59"/>
    <d v="2023-11-25T00:00:00"/>
    <s v="Delta Skymiles Platinum Card - Ending in 1007"/>
    <x v="4322"/>
    <n v="69.87"/>
    <x v="39"/>
    <s v="Delete - Online Services"/>
    <s v="Exp - Restaurants"/>
    <m/>
    <m/>
    <m/>
    <m/>
    <m/>
    <m/>
    <x v="3836"/>
    <m/>
    <m/>
  </r>
  <r>
    <x v="59"/>
    <d v="2023-11-25T00:00:00"/>
    <s v="Delta Skymiles Platinum Card - Ending in 1007"/>
    <x v="4322"/>
    <n v="59.12"/>
    <x v="39"/>
    <s v="Delete - Online Services"/>
    <s v="Exp - Restaurants"/>
    <m/>
    <m/>
    <m/>
    <m/>
    <m/>
    <m/>
    <x v="3836"/>
    <m/>
    <m/>
  </r>
  <r>
    <x v="59"/>
    <d v="2023-11-25T00:00:00"/>
    <s v="Delta Skymiles Platinum Card - Ending in 1007"/>
    <x v="4323"/>
    <n v="528.20000000000005"/>
    <x v="32"/>
    <s v="Restaurants"/>
    <s v="Exp - Shopping"/>
    <m/>
    <m/>
    <m/>
    <m/>
    <m/>
    <m/>
    <x v="3837"/>
    <m/>
    <m/>
  </r>
  <r>
    <x v="59"/>
    <d v="2023-11-25T00:00:00"/>
    <s v="Delta Skymiles Platinum Card - Ending in 1007"/>
    <x v="4324"/>
    <n v="70.290000000000006"/>
    <x v="1"/>
    <s v="Restaurants"/>
    <m/>
    <m/>
    <m/>
    <m/>
    <m/>
    <m/>
    <m/>
    <x v="3838"/>
    <m/>
    <m/>
  </r>
  <r>
    <x v="59"/>
    <d v="2023-11-25T00:00:00"/>
    <s v="Delta Skymiles Platinum Card - Ending in 1007"/>
    <x v="4325"/>
    <n v="1213.8800000000001"/>
    <x v="32"/>
    <s v="Delete - Other Expenses"/>
    <s v="Exp - Shopping"/>
    <m/>
    <m/>
    <m/>
    <m/>
    <m/>
    <m/>
    <x v="3839"/>
    <m/>
    <m/>
  </r>
  <r>
    <x v="59"/>
    <d v="2023-11-25T00:00:00"/>
    <s v="Powerplus - Ending in 8s30"/>
    <x v="3657"/>
    <n v="2025.62"/>
    <x v="3"/>
    <m/>
    <s v="Delete"/>
    <m/>
    <m/>
    <m/>
    <m/>
    <m/>
    <m/>
    <x v="3219"/>
    <m/>
    <m/>
  </r>
  <r>
    <x v="59"/>
    <d v="2023-11-25T00:00:00"/>
    <s v="Cash Rewards Visa Signature - Ending in 5919"/>
    <x v="1879"/>
    <n v="-2025.62"/>
    <x v="3"/>
    <m/>
    <s v="Delete"/>
    <m/>
    <m/>
    <m/>
    <m/>
    <m/>
    <m/>
    <x v="1732"/>
    <m/>
    <m/>
  </r>
  <r>
    <x v="59"/>
    <d v="2023-11-25T00:00:00"/>
    <s v="Discover More Card - Ending in 7779"/>
    <x v="56"/>
    <n v="-620.49"/>
    <x v="3"/>
    <s v="Credit Card Payments"/>
    <m/>
    <m/>
    <m/>
    <m/>
    <m/>
    <m/>
    <m/>
    <x v="56"/>
    <m/>
    <m/>
  </r>
  <r>
    <x v="59"/>
    <d v="2023-11-25T00:00:00"/>
    <s v="Delta Skymiles Platinum Card - Ending in 1007"/>
    <x v="3633"/>
    <n v="-3198.34"/>
    <x v="3"/>
    <s v="Delete"/>
    <s v="Delete"/>
    <m/>
    <m/>
    <m/>
    <m/>
    <m/>
    <m/>
    <x v="3195"/>
    <m/>
    <m/>
  </r>
  <r>
    <x v="59"/>
    <d v="2023-11-26T00:00:00"/>
    <s v="Cash Rewards Visa Signature - Ending in 5913"/>
    <x v="0"/>
    <n v="11.26"/>
    <x v="41"/>
    <m/>
    <s v="Exp - Amazon"/>
    <m/>
    <m/>
    <m/>
    <m/>
    <m/>
    <m/>
    <x v="0"/>
    <m/>
    <m/>
  </r>
  <r>
    <x v="59"/>
    <d v="2023-11-26T00:00:00"/>
    <s v="Discover More Card - Ending in 7779"/>
    <x v="0"/>
    <n v="17.329999999999998"/>
    <x v="41"/>
    <s v="Dry Cleaning"/>
    <s v="Exp - Amazon"/>
    <m/>
    <m/>
    <m/>
    <m/>
    <m/>
    <m/>
    <x v="0"/>
    <m/>
    <m/>
  </r>
  <r>
    <x v="59"/>
    <d v="2023-11-26T00:00:00"/>
    <s v="Cash Rewards Visa Signature - Ending in 5916"/>
    <x v="77"/>
    <n v="93.2"/>
    <x v="32"/>
    <m/>
    <s v="Exp - Shopping"/>
    <m/>
    <m/>
    <m/>
    <m/>
    <m/>
    <m/>
    <x v="77"/>
    <m/>
    <m/>
  </r>
  <r>
    <x v="59"/>
    <d v="2023-11-26T00:00:00"/>
    <s v="Cash Rewards Visa Signature - Ending in 5917"/>
    <x v="77"/>
    <n v="106.24"/>
    <x v="32"/>
    <m/>
    <s v="Exp - Shopping"/>
    <m/>
    <m/>
    <m/>
    <m/>
    <m/>
    <m/>
    <x v="77"/>
    <m/>
    <m/>
  </r>
  <r>
    <x v="59"/>
    <d v="2023-11-26T00:00:00"/>
    <s v="Cash Rewards Visa Signature - Ending in 5918"/>
    <x v="77"/>
    <n v="187.6"/>
    <x v="32"/>
    <m/>
    <s v="Exp - Shopping"/>
    <m/>
    <m/>
    <m/>
    <m/>
    <m/>
    <m/>
    <x v="77"/>
    <m/>
    <m/>
  </r>
  <r>
    <x v="59"/>
    <d v="2023-11-26T00:00:00"/>
    <s v="Delta Skymiles Platinum Card - Ending in 1007"/>
    <x v="4326"/>
    <n v="3.75"/>
    <x v="37"/>
    <s v="Dry Cleaning"/>
    <s v="Exp - Transportation"/>
    <m/>
    <m/>
    <m/>
    <m/>
    <m/>
    <m/>
    <x v="3840"/>
    <m/>
    <m/>
  </r>
  <r>
    <x v="59"/>
    <d v="2023-11-26T00:00:00"/>
    <s v="Delta Skymiles Platinum Card - Ending in 1007"/>
    <x v="4327"/>
    <n v="7.35"/>
    <x v="37"/>
    <s v="Delete Brit"/>
    <s v="Exp - Transportation"/>
    <m/>
    <m/>
    <m/>
    <m/>
    <m/>
    <m/>
    <x v="3841"/>
    <m/>
    <m/>
  </r>
  <r>
    <x v="59"/>
    <d v="2023-11-26T00:00:00"/>
    <s v="Cash Rewards Visa Signature - Ending in 5915"/>
    <x v="4328"/>
    <n v="64.010000000000005"/>
    <x v="39"/>
    <m/>
    <s v="Exp - Restaurants"/>
    <m/>
    <m/>
    <m/>
    <m/>
    <m/>
    <m/>
    <x v="3842"/>
    <m/>
    <m/>
  </r>
  <r>
    <x v="59"/>
    <d v="2023-11-26T00:00:00"/>
    <s v="Delta Skymiles Platinum Card - Ending in 1007"/>
    <x v="1933"/>
    <n v="97"/>
    <x v="5"/>
    <s v="Groceries"/>
    <m/>
    <m/>
    <m/>
    <m/>
    <m/>
    <m/>
    <m/>
    <x v="1786"/>
    <m/>
    <m/>
  </r>
  <r>
    <x v="59"/>
    <d v="2023-11-26T00:00:00"/>
    <s v="Cash Rewards Visa Signature - Ending in 5914"/>
    <x v="414"/>
    <n v="218.38"/>
    <x v="32"/>
    <m/>
    <s v="Exp - Shopping"/>
    <m/>
    <m/>
    <m/>
    <m/>
    <m/>
    <m/>
    <x v="400"/>
    <m/>
    <m/>
  </r>
  <r>
    <x v="59"/>
    <d v="2023-11-26T00:00:00"/>
    <s v="Delta Skymiles Platinum Card - Ending in 1007"/>
    <x v="4329"/>
    <n v="8"/>
    <x v="8"/>
    <s v="Shopping"/>
    <m/>
    <m/>
    <m/>
    <m/>
    <m/>
    <m/>
    <m/>
    <x v="3843"/>
    <m/>
    <m/>
  </r>
  <r>
    <x v="59"/>
    <d v="2023-11-26T00:00:00"/>
    <s v="Cash Rewards Visa Signature - Ending in 5913"/>
    <x v="1837"/>
    <n v="843.16"/>
    <x v="36"/>
    <m/>
    <s v="Exp - House Maint"/>
    <m/>
    <m/>
    <m/>
    <m/>
    <m/>
    <m/>
    <x v="1692"/>
    <m/>
    <m/>
  </r>
  <r>
    <x v="59"/>
    <d v="2023-11-26T00:00:00"/>
    <s v="Delta Skymiles Platinum Card - Ending in 1007"/>
    <x v="4330"/>
    <n v="111.13"/>
    <x v="1"/>
    <s v="Restaurants"/>
    <m/>
    <m/>
    <m/>
    <m/>
    <m/>
    <m/>
    <m/>
    <x v="3844"/>
    <m/>
    <m/>
  </r>
  <r>
    <x v="59"/>
    <d v="2023-11-26T00:00:00"/>
    <s v="Delta Skymiles Platinum Card - Ending in 1007"/>
    <x v="4331"/>
    <n v="21.81"/>
    <x v="51"/>
    <s v="Delete - Printing"/>
    <s v="Exp - Gifts"/>
    <m/>
    <m/>
    <m/>
    <m/>
    <m/>
    <m/>
    <x v="3845"/>
    <m/>
    <m/>
  </r>
  <r>
    <x v="59"/>
    <d v="2023-11-27T00:00:00"/>
    <s v="Discover More Card - Ending in 7779"/>
    <x v="0"/>
    <n v="81.27"/>
    <x v="41"/>
    <s v="Dry Cleaning"/>
    <s v="Exp - Amazon"/>
    <m/>
    <m/>
    <m/>
    <m/>
    <m/>
    <m/>
    <x v="0"/>
    <m/>
    <m/>
  </r>
  <r>
    <x v="59"/>
    <d v="2023-11-27T00:00:00"/>
    <s v="Delta Skymiles Platinum Card - Ending in 1007"/>
    <x v="4332"/>
    <n v="127.5"/>
    <x v="19"/>
    <s v="House Maintenance"/>
    <m/>
    <m/>
    <m/>
    <m/>
    <m/>
    <m/>
    <m/>
    <x v="3846"/>
    <m/>
    <m/>
  </r>
  <r>
    <x v="59"/>
    <d v="2023-11-27T00:00:00"/>
    <s v="Delta Skymiles Platinum Card - Ending in 1007"/>
    <x v="4333"/>
    <n v="352"/>
    <x v="8"/>
    <s v="Shopping"/>
    <m/>
    <m/>
    <m/>
    <m/>
    <m/>
    <m/>
    <m/>
    <x v="3847"/>
    <m/>
    <m/>
  </r>
  <r>
    <x v="59"/>
    <d v="2023-11-27T00:00:00"/>
    <s v="Delta Skymiles Platinum Card - Ending in 1007"/>
    <x v="4104"/>
    <n v="5"/>
    <x v="3"/>
    <s v="Travel"/>
    <s v="Delete"/>
    <m/>
    <m/>
    <m/>
    <m/>
    <m/>
    <m/>
    <x v="3639"/>
    <m/>
    <m/>
  </r>
  <r>
    <x v="59"/>
    <d v="2023-11-27T00:00:00"/>
    <s v="Delta Skymiles Platinum Card - Ending in 1007"/>
    <x v="4334"/>
    <n v="330.48"/>
    <x v="1"/>
    <s v="Restaurants"/>
    <m/>
    <m/>
    <m/>
    <m/>
    <m/>
    <m/>
    <m/>
    <x v="3848"/>
    <m/>
    <m/>
  </r>
  <r>
    <x v="59"/>
    <d v="2023-11-27T00:00:00"/>
    <s v="Delta Skymiles Platinum Card - Ending in 1007"/>
    <x v="4325"/>
    <n v="329.29"/>
    <x v="32"/>
    <s v="Delete - Other Expenses"/>
    <s v="Exp - Shopping"/>
    <m/>
    <m/>
    <m/>
    <m/>
    <m/>
    <m/>
    <x v="3839"/>
    <m/>
    <m/>
  </r>
  <r>
    <x v="59"/>
    <d v="2023-11-27T00:00:00"/>
    <s v="Powerplus - Ending in 8s30"/>
    <x v="3729"/>
    <n v="800"/>
    <x v="3"/>
    <m/>
    <s v="Delete"/>
    <m/>
    <m/>
    <m/>
    <m/>
    <m/>
    <m/>
    <x v="3289"/>
    <m/>
    <m/>
  </r>
  <r>
    <x v="59"/>
    <d v="2023-11-27T00:00:00"/>
    <s v="Powerplus - Ending in 8s30"/>
    <x v="1849"/>
    <n v="273.75"/>
    <x v="32"/>
    <m/>
    <s v="Exp - Shopping"/>
    <m/>
    <m/>
    <m/>
    <m/>
    <m/>
    <m/>
    <x v="1704"/>
    <m/>
    <m/>
  </r>
  <r>
    <x v="59"/>
    <d v="2023-11-27T00:00:00"/>
    <s v="Powerplus - Ending in 8s30"/>
    <x v="1849"/>
    <n v="216"/>
    <x v="32"/>
    <m/>
    <s v="Exp - Shopping"/>
    <m/>
    <m/>
    <m/>
    <m/>
    <m/>
    <m/>
    <x v="1704"/>
    <m/>
    <m/>
  </r>
  <r>
    <x v="59"/>
    <d v="2023-11-27T00:00:00"/>
    <s v="Powerplus - Ending in 8s30"/>
    <x v="1849"/>
    <n v="122.48"/>
    <x v="32"/>
    <m/>
    <s v="Exp - Shopping"/>
    <m/>
    <m/>
    <m/>
    <m/>
    <m/>
    <m/>
    <x v="1704"/>
    <m/>
    <m/>
  </r>
  <r>
    <x v="59"/>
    <d v="2023-11-27T00:00:00"/>
    <s v="Powerplus - Ending in 8s30"/>
    <x v="1849"/>
    <n v="93.02"/>
    <x v="32"/>
    <m/>
    <s v="Exp - Shopping"/>
    <m/>
    <m/>
    <m/>
    <m/>
    <m/>
    <m/>
    <x v="1704"/>
    <m/>
    <m/>
  </r>
  <r>
    <x v="59"/>
    <d v="2023-11-27T00:00:00"/>
    <s v="Powerplus - Ending in 8s30"/>
    <x v="2020"/>
    <n v="3198.34"/>
    <x v="3"/>
    <m/>
    <s v="Delete"/>
    <m/>
    <m/>
    <m/>
    <m/>
    <m/>
    <m/>
    <x v="1870"/>
    <m/>
    <m/>
  </r>
  <r>
    <x v="59"/>
    <d v="2023-11-27T00:00:00"/>
    <s v="Powerplus - Ending in 8s30"/>
    <x v="1888"/>
    <n v="620.49"/>
    <x v="3"/>
    <m/>
    <s v="Delete"/>
    <m/>
    <m/>
    <m/>
    <m/>
    <m/>
    <m/>
    <x v="1741"/>
    <m/>
    <m/>
  </r>
  <r>
    <x v="59"/>
    <d v="2023-11-27T00:00:00"/>
    <s v="Powerplus - Ending in 8s30"/>
    <x v="3734"/>
    <n v="177.74"/>
    <x v="3"/>
    <m/>
    <s v="Delete"/>
    <m/>
    <m/>
    <m/>
    <m/>
    <m/>
    <m/>
    <x v="3293"/>
    <m/>
    <m/>
  </r>
  <r>
    <x v="59"/>
    <d v="2023-11-28T00:00:00"/>
    <s v="Discover More Card - Ending in 7779"/>
    <x v="0"/>
    <n v="19.899999999999999"/>
    <x v="41"/>
    <s v="Dry Cleaning"/>
    <s v="Exp - Amazon"/>
    <m/>
    <m/>
    <m/>
    <m/>
    <m/>
    <m/>
    <x v="0"/>
    <m/>
    <m/>
  </r>
  <r>
    <x v="59"/>
    <d v="2023-11-28T00:00:00"/>
    <s v="Discover More Card - Ending in 7779"/>
    <x v="0"/>
    <n v="64.98"/>
    <x v="41"/>
    <s v="Dry Cleaning"/>
    <s v="Exp - Amazon"/>
    <m/>
    <m/>
    <m/>
    <m/>
    <m/>
    <m/>
    <x v="0"/>
    <m/>
    <m/>
  </r>
  <r>
    <x v="59"/>
    <d v="2023-11-28T00:00:00"/>
    <s v="Discover More Card - Ending in 7779"/>
    <x v="1895"/>
    <n v="92.08"/>
    <x v="41"/>
    <s v="Dry Cleaning"/>
    <s v="Exp - Amazon"/>
    <m/>
    <m/>
    <m/>
    <m/>
    <m/>
    <m/>
    <x v="1748"/>
    <m/>
    <m/>
  </r>
  <r>
    <x v="59"/>
    <d v="2023-11-28T00:00:00"/>
    <s v="Delta Skymiles Platinum Card - Ending in 1007"/>
    <x v="4335"/>
    <n v="256.14"/>
    <x v="8"/>
    <s v="Shopping"/>
    <m/>
    <m/>
    <m/>
    <m/>
    <m/>
    <m/>
    <m/>
    <x v="3849"/>
    <m/>
    <m/>
  </r>
  <r>
    <x v="59"/>
    <d v="2023-11-28T00:00:00"/>
    <s v="Delta Skymiles Platinum Card - Ending in 1007"/>
    <x v="4336"/>
    <n v="14.19"/>
    <x v="1"/>
    <s v="Restaurants"/>
    <m/>
    <m/>
    <m/>
    <m/>
    <m/>
    <m/>
    <m/>
    <x v="3850"/>
    <m/>
    <m/>
  </r>
  <r>
    <x v="59"/>
    <d v="2023-11-28T00:00:00"/>
    <s v="Delta Skymiles Platinum Card - Ending in 1007"/>
    <x v="4337"/>
    <n v="46.51"/>
    <x v="5"/>
    <s v="Groceries"/>
    <m/>
    <m/>
    <m/>
    <m/>
    <m/>
    <m/>
    <m/>
    <x v="3851"/>
    <m/>
    <m/>
  </r>
  <r>
    <x v="59"/>
    <d v="2023-11-28T00:00:00"/>
    <s v="Powerplus - Ending in 8s30"/>
    <x v="1849"/>
    <n v="0.99"/>
    <x v="32"/>
    <m/>
    <s v="Exp - Shopping"/>
    <m/>
    <m/>
    <m/>
    <m/>
    <m/>
    <m/>
    <x v="1704"/>
    <m/>
    <m/>
  </r>
  <r>
    <x v="59"/>
    <d v="2023-11-28T00:00:00"/>
    <s v="Powerplus - Ending in 8s30"/>
    <x v="1827"/>
    <n v="1350"/>
    <x v="32"/>
    <m/>
    <s v="Exp - Shopping"/>
    <m/>
    <m/>
    <m/>
    <m/>
    <m/>
    <m/>
    <x v="1682"/>
    <m/>
    <m/>
  </r>
  <r>
    <x v="59"/>
    <d v="2023-11-28T00:00:00"/>
    <s v="Powerplus - Ending in 8s30"/>
    <x v="4338"/>
    <n v="330"/>
    <x v="40"/>
    <m/>
    <s v="Exp - Day Care"/>
    <m/>
    <m/>
    <m/>
    <m/>
    <m/>
    <m/>
    <x v="3216"/>
    <m/>
    <m/>
  </r>
  <r>
    <x v="59"/>
    <d v="2023-11-29T00:00:00"/>
    <s v="Delta Skymiles Platinum Card - Ending in 1007"/>
    <x v="4214"/>
    <n v="68.7"/>
    <x v="50"/>
    <s v="Shopping"/>
    <s v="Exp - Dry Cleaning"/>
    <m/>
    <m/>
    <m/>
    <m/>
    <m/>
    <m/>
    <x v="3741"/>
    <m/>
    <m/>
  </r>
  <r>
    <x v="59"/>
    <d v="2023-11-29T00:00:00"/>
    <s v="Discover More Card - Ending in 7779"/>
    <x v="0"/>
    <n v="28.11"/>
    <x v="41"/>
    <s v="Dry Cleaning"/>
    <s v="Exp - Amazon"/>
    <m/>
    <m/>
    <m/>
    <m/>
    <m/>
    <m/>
    <x v="0"/>
    <m/>
    <m/>
  </r>
  <r>
    <x v="59"/>
    <d v="2023-11-29T00:00:00"/>
    <s v="Discover More Card - Ending in 7779"/>
    <x v="1885"/>
    <n v="-42.54"/>
    <x v="3"/>
    <s v="Rewards"/>
    <s v="Delete"/>
    <m/>
    <m/>
    <m/>
    <m/>
    <m/>
    <m/>
    <x v="1738"/>
    <m/>
    <m/>
  </r>
  <r>
    <x v="59"/>
    <d v="2023-11-29T00:00:00"/>
    <s v="Delta Skymiles Platinum Card - Ending in 1007"/>
    <x v="6"/>
    <n v="3.99"/>
    <x v="5"/>
    <s v="Groceries"/>
    <m/>
    <m/>
    <m/>
    <m/>
    <m/>
    <m/>
    <m/>
    <x v="6"/>
    <m/>
    <m/>
  </r>
  <r>
    <x v="59"/>
    <d v="2023-11-29T00:00:00"/>
    <s v="Delta Skymiles Platinum Card - Ending in 1007"/>
    <x v="4339"/>
    <n v="2689.84"/>
    <x v="19"/>
    <s v="House Maintenance"/>
    <m/>
    <m/>
    <m/>
    <m/>
    <m/>
    <m/>
    <m/>
    <x v="3852"/>
    <m/>
    <m/>
  </r>
  <r>
    <x v="59"/>
    <d v="2023-11-29T00:00:00"/>
    <s v="Delta Skymiles Platinum Card - Ending in 1007"/>
    <x v="188"/>
    <n v="13.28"/>
    <x v="1"/>
    <s v="Restaurants"/>
    <m/>
    <m/>
    <m/>
    <m/>
    <m/>
    <m/>
    <m/>
    <x v="187"/>
    <m/>
    <m/>
  </r>
  <r>
    <x v="59"/>
    <d v="2023-11-29T00:00:00"/>
    <s v="Powerplus - Ending in 8s30"/>
    <x v="3684"/>
    <n v="-4343.58"/>
    <x v="15"/>
    <m/>
    <s v="Inc - Jeff"/>
    <m/>
    <m/>
    <m/>
    <m/>
    <m/>
    <m/>
    <x v="3245"/>
    <m/>
    <m/>
  </r>
  <r>
    <x v="59"/>
    <d v="2023-11-29T00:00:00"/>
    <s v="Delta Skymiles Platinum Card - Ending in 1007"/>
    <x v="4340"/>
    <n v="10.47"/>
    <x v="19"/>
    <s v="House Maintenance"/>
    <m/>
    <m/>
    <m/>
    <m/>
    <m/>
    <m/>
    <m/>
    <x v="3853"/>
    <m/>
    <m/>
  </r>
  <r>
    <x v="59"/>
    <d v="2023-11-29T00:00:00"/>
    <s v="Powerplus - Ending in 8s30"/>
    <x v="3657"/>
    <n v="1523.85"/>
    <x v="3"/>
    <m/>
    <s v="Delete"/>
    <m/>
    <m/>
    <m/>
    <m/>
    <m/>
    <m/>
    <x v="3219"/>
    <m/>
    <m/>
  </r>
  <r>
    <x v="59"/>
    <d v="2023-11-29T00:00:00"/>
    <s v="Cash Rewards Visa Signature - Ending in 5913"/>
    <x v="1879"/>
    <n v="-1523.85"/>
    <x v="3"/>
    <m/>
    <s v="Delete"/>
    <m/>
    <m/>
    <m/>
    <m/>
    <m/>
    <m/>
    <x v="1732"/>
    <m/>
    <m/>
  </r>
  <r>
    <x v="59"/>
    <d v="2023-11-29T00:00:00"/>
    <s v="Discover More Card - Ending in 7779"/>
    <x v="56"/>
    <n v="-421.58"/>
    <x v="3"/>
    <s v="Credit Card Payments"/>
    <m/>
    <m/>
    <m/>
    <m/>
    <m/>
    <m/>
    <m/>
    <x v="56"/>
    <m/>
    <m/>
  </r>
  <r>
    <x v="59"/>
    <d v="2023-11-29T00:00:00"/>
    <s v="Delta Skymiles Platinum Card - Ending in 1007"/>
    <x v="3506"/>
    <n v="-2847.19"/>
    <x v="3"/>
    <s v="Delete"/>
    <s v="Delete"/>
    <m/>
    <m/>
    <m/>
    <m/>
    <m/>
    <m/>
    <x v="3095"/>
    <m/>
    <m/>
  </r>
  <r>
    <x v="59"/>
    <d v="2023-11-30T00:00:00"/>
    <s v="Powerplus - Ending in 8s30"/>
    <x v="4341"/>
    <n v="-48.5"/>
    <x v="3"/>
    <m/>
    <s v="Delete"/>
    <m/>
    <m/>
    <m/>
    <m/>
    <m/>
    <m/>
    <x v="3854"/>
    <m/>
    <m/>
  </r>
  <r>
    <x v="59"/>
    <d v="2023-11-30T00:00:00"/>
    <s v="Powerplus - Ending in 8s30"/>
    <x v="4342"/>
    <n v="-1350"/>
    <x v="3"/>
    <m/>
    <s v="Delete"/>
    <m/>
    <m/>
    <m/>
    <m/>
    <m/>
    <m/>
    <x v="3855"/>
    <m/>
    <m/>
  </r>
  <r>
    <x v="59"/>
    <d v="2023-11-30T00:00:00"/>
    <s v="Powerplus - Ending in 8s30"/>
    <x v="308"/>
    <n v="21.21"/>
    <x v="32"/>
    <m/>
    <s v="Exp - Shopping"/>
    <m/>
    <m/>
    <m/>
    <m/>
    <m/>
    <m/>
    <x v="300"/>
    <m/>
    <m/>
  </r>
  <r>
    <x v="59"/>
    <d v="2023-11-30T00:00:00"/>
    <s v="Delta Skymiles Platinum Card - Ending in 1007"/>
    <x v="4343"/>
    <n v="533"/>
    <x v="32"/>
    <s v="Delete - Other Expenses"/>
    <s v="Exp - Shopping"/>
    <m/>
    <m/>
    <m/>
    <m/>
    <m/>
    <m/>
    <x v="3856"/>
    <m/>
    <m/>
  </r>
  <r>
    <x v="59"/>
    <d v="2023-11-30T00:00:00"/>
    <s v="Powerplus - Ending in 8s30"/>
    <x v="2020"/>
    <n v="2847.19"/>
    <x v="3"/>
    <m/>
    <s v="Delete"/>
    <m/>
    <m/>
    <m/>
    <m/>
    <m/>
    <m/>
    <x v="1870"/>
    <m/>
    <m/>
  </r>
  <r>
    <x v="59"/>
    <d v="2023-11-30T00:00:00"/>
    <s v="Powerplus - Ending in 8s30"/>
    <x v="3840"/>
    <n v="187.81"/>
    <x v="32"/>
    <m/>
    <s v="Exp - Shopping"/>
    <m/>
    <m/>
    <m/>
    <m/>
    <m/>
    <m/>
    <x v="3391"/>
    <m/>
    <m/>
  </r>
  <r>
    <x v="59"/>
    <d v="2023-11-30T00:00:00"/>
    <s v="Powerplus - Ending in 8s30"/>
    <x v="1888"/>
    <n v="421.58"/>
    <x v="3"/>
    <m/>
    <s v="Delete"/>
    <m/>
    <m/>
    <m/>
    <m/>
    <m/>
    <m/>
    <x v="1741"/>
    <m/>
    <m/>
  </r>
  <r>
    <x v="60"/>
    <d v="2023-12-01T00:00:00"/>
    <s v="Cash Rewards Visa Signature - Ending in 5913"/>
    <x v="4344"/>
    <n v="5.41"/>
    <x v="41"/>
    <m/>
    <s v="Exp - Amazon"/>
    <m/>
    <m/>
    <m/>
    <m/>
    <m/>
    <m/>
    <x v="3857"/>
    <m/>
    <m/>
  </r>
  <r>
    <x v="60"/>
    <d v="2023-12-01T00:00:00"/>
    <s v="Delta Skymiles Platinum Card - Ending in 1007"/>
    <x v="1837"/>
    <n v="30.65"/>
    <x v="19"/>
    <s v="House Maintenance"/>
    <m/>
    <m/>
    <m/>
    <m/>
    <m/>
    <m/>
    <m/>
    <x v="1692"/>
    <m/>
    <m/>
  </r>
  <r>
    <x v="60"/>
    <d v="2023-12-01T00:00:00"/>
    <s v="Powerplus - Ending in 8s30"/>
    <x v="3996"/>
    <n v="650"/>
    <x v="47"/>
    <m/>
    <s v="Sav - College Savings"/>
    <m/>
    <m/>
    <m/>
    <m/>
    <m/>
    <m/>
    <x v="3539"/>
    <m/>
    <m/>
  </r>
  <r>
    <x v="60"/>
    <d v="2023-12-01T00:00:00"/>
    <s v="Powerplus - Ending in 8s30"/>
    <x v="1827"/>
    <n v="125"/>
    <x v="32"/>
    <m/>
    <s v="Exp - Shopping"/>
    <m/>
    <m/>
    <m/>
    <m/>
    <m/>
    <m/>
    <x v="1682"/>
    <m/>
    <m/>
  </r>
  <r>
    <x v="60"/>
    <d v="2023-12-01T00:00:00"/>
    <s v="Powerplus - Ending in 8s30"/>
    <x v="1844"/>
    <n v="2741.74"/>
    <x v="53"/>
    <m/>
    <s v="Exp - Rent"/>
    <m/>
    <m/>
    <m/>
    <m/>
    <m/>
    <m/>
    <x v="1699"/>
    <m/>
    <m/>
  </r>
  <r>
    <x v="60"/>
    <d v="2023-12-02T00:00:00"/>
    <s v="Discover More Card - Ending in 7779"/>
    <x v="0"/>
    <n v="52.01"/>
    <x v="41"/>
    <s v="Dry Cleaning"/>
    <s v="Exp - Amazon"/>
    <m/>
    <m/>
    <m/>
    <m/>
    <m/>
    <m/>
    <x v="0"/>
    <m/>
    <m/>
  </r>
  <r>
    <x v="60"/>
    <d v="2023-12-02T00:00:00"/>
    <s v="Delta Skymiles Platinum Card - Ending in 1007"/>
    <x v="4305"/>
    <n v="36.25"/>
    <x v="8"/>
    <s v="Shopping"/>
    <m/>
    <m/>
    <m/>
    <m/>
    <m/>
    <m/>
    <m/>
    <x v="3822"/>
    <m/>
    <m/>
  </r>
  <r>
    <x v="60"/>
    <d v="2023-12-02T00:00:00"/>
    <s v="Delta Skymiles Platinum Card - Ending in 1007"/>
    <x v="3945"/>
    <n v="156.62"/>
    <x v="1"/>
    <s v="Restaurants"/>
    <m/>
    <m/>
    <m/>
    <m/>
    <m/>
    <m/>
    <m/>
    <x v="3490"/>
    <m/>
    <m/>
  </r>
  <r>
    <x v="60"/>
    <d v="2023-12-02T00:00:00"/>
    <s v="Delta Skymiles Platinum Card - Ending in 1007"/>
    <x v="1837"/>
    <n v="5.59"/>
    <x v="19"/>
    <s v="House Maintenance"/>
    <m/>
    <m/>
    <m/>
    <m/>
    <m/>
    <m/>
    <m/>
    <x v="1692"/>
    <m/>
    <m/>
  </r>
  <r>
    <x v="60"/>
    <d v="2023-12-03T00:00:00"/>
    <s v="Cash Rewards Visa Signature - Ending in 5913"/>
    <x v="0"/>
    <n v="4.32"/>
    <x v="41"/>
    <m/>
    <s v="Exp - Amazon"/>
    <m/>
    <m/>
    <m/>
    <m/>
    <m/>
    <m/>
    <x v="0"/>
    <m/>
    <m/>
  </r>
  <r>
    <x v="60"/>
    <d v="2023-12-03T00:00:00"/>
    <s v="Cash Rewards Visa Signature - Ending in 5913"/>
    <x v="4345"/>
    <n v="10.83"/>
    <x v="41"/>
    <m/>
    <s v="Exp - Amazon"/>
    <m/>
    <m/>
    <m/>
    <m/>
    <m/>
    <m/>
    <x v="3858"/>
    <m/>
    <m/>
  </r>
  <r>
    <x v="60"/>
    <d v="2023-12-03T00:00:00"/>
    <s v="Delta Skymiles Platinum Card - Ending in 1007"/>
    <x v="4346"/>
    <n v="286.39"/>
    <x v="5"/>
    <s v="Groceries"/>
    <m/>
    <m/>
    <m/>
    <m/>
    <m/>
    <m/>
    <m/>
    <x v="3859"/>
    <m/>
    <m/>
  </r>
  <r>
    <x v="60"/>
    <d v="2023-12-04T00:00:00"/>
    <s v="Cash Rewards Visa Signature - Ending in 5913"/>
    <x v="4158"/>
    <n v="44.32"/>
    <x v="37"/>
    <m/>
    <s v="Exp - Transportation"/>
    <m/>
    <m/>
    <m/>
    <m/>
    <m/>
    <m/>
    <x v="3690"/>
    <m/>
    <m/>
  </r>
  <r>
    <x v="60"/>
    <d v="2023-12-04T00:00:00"/>
    <s v="Cash Rewards Visa Signature - Ending in 5913"/>
    <x v="6"/>
    <n v="8.01"/>
    <x v="38"/>
    <m/>
    <s v="Exp - Groceries"/>
    <m/>
    <m/>
    <m/>
    <m/>
    <m/>
    <m/>
    <x v="6"/>
    <m/>
    <m/>
  </r>
  <r>
    <x v="60"/>
    <d v="2023-12-04T00:00:00"/>
    <s v="Cash Rewards Visa Signature - Ending in 5913"/>
    <x v="6"/>
    <n v="6.49"/>
    <x v="38"/>
    <m/>
    <s v="Exp - Groceries"/>
    <m/>
    <m/>
    <m/>
    <m/>
    <m/>
    <m/>
    <x v="6"/>
    <m/>
    <m/>
  </r>
  <r>
    <x v="60"/>
    <d v="2023-12-04T00:00:00"/>
    <s v="Delta Skymiles Platinum Card - Ending in 1007"/>
    <x v="823"/>
    <n v="54.46"/>
    <x v="2"/>
    <s v="Transportation"/>
    <m/>
    <m/>
    <m/>
    <m/>
    <m/>
    <m/>
    <m/>
    <x v="792"/>
    <m/>
    <m/>
  </r>
  <r>
    <x v="60"/>
    <d v="2023-12-04T00:00:00"/>
    <s v="Cash Rewards Visa Signature - Ending in 5913"/>
    <x v="4347"/>
    <n v="45"/>
    <x v="46"/>
    <m/>
    <s v="Exp - Healthcare"/>
    <m/>
    <m/>
    <m/>
    <m/>
    <m/>
    <m/>
    <x v="3860"/>
    <m/>
    <m/>
  </r>
  <r>
    <x v="60"/>
    <d v="2023-12-04T00:00:00"/>
    <s v="Powerplus - Ending in 8s30"/>
    <x v="1827"/>
    <n v="60"/>
    <x v="32"/>
    <m/>
    <s v="Exp - Shopping"/>
    <m/>
    <m/>
    <m/>
    <m/>
    <m/>
    <m/>
    <x v="1682"/>
    <m/>
    <m/>
  </r>
  <r>
    <x v="60"/>
    <d v="2023-12-04T00:00:00"/>
    <s v="Powerplus - Ending in 8s30"/>
    <x v="1827"/>
    <n v="4"/>
    <x v="32"/>
    <m/>
    <s v="Exp - Shopping"/>
    <m/>
    <m/>
    <m/>
    <m/>
    <m/>
    <m/>
    <x v="1682"/>
    <m/>
    <m/>
  </r>
  <r>
    <x v="60"/>
    <d v="2023-12-05T00:00:00"/>
    <s v="Cash Rewards Visa Signature - Ending in 5913"/>
    <x v="4348"/>
    <n v="38.99"/>
    <x v="41"/>
    <m/>
    <s v="Exp - Amazon"/>
    <m/>
    <m/>
    <m/>
    <m/>
    <m/>
    <m/>
    <x v="3861"/>
    <m/>
    <m/>
  </r>
  <r>
    <x v="60"/>
    <d v="2023-12-05T00:00:00"/>
    <s v="Cash Rewards Visa Signature - Ending in 5913"/>
    <x v="4349"/>
    <n v="79.72"/>
    <x v="38"/>
    <m/>
    <s v="Exp - Groceries"/>
    <m/>
    <m/>
    <m/>
    <m/>
    <m/>
    <m/>
    <x v="3862"/>
    <m/>
    <m/>
  </r>
  <r>
    <x v="60"/>
    <d v="2023-12-05T00:00:00"/>
    <s v="Powerplus - Ending in 8s30"/>
    <x v="3787"/>
    <n v="-8.01"/>
    <x v="3"/>
    <m/>
    <s v="Delete"/>
    <m/>
    <m/>
    <m/>
    <m/>
    <m/>
    <m/>
    <x v="3342"/>
    <m/>
    <m/>
  </r>
  <r>
    <x v="60"/>
    <d v="2023-12-05T00:00:00"/>
    <s v="Delta Skymiles Platinum Card - Ending in 1007"/>
    <x v="237"/>
    <n v="15.36"/>
    <x v="1"/>
    <s v="Restaurants"/>
    <m/>
    <m/>
    <m/>
    <m/>
    <m/>
    <m/>
    <m/>
    <x v="235"/>
    <m/>
    <m/>
  </r>
  <r>
    <x v="60"/>
    <d v="2023-12-05T00:00:00"/>
    <s v="Powerplus - Ending in 8s30"/>
    <x v="4350"/>
    <n v="330"/>
    <x v="40"/>
    <m/>
    <s v="Exp - Day Care"/>
    <m/>
    <m/>
    <m/>
    <m/>
    <m/>
    <m/>
    <x v="3216"/>
    <m/>
    <m/>
  </r>
  <r>
    <x v="60"/>
    <d v="2023-12-05T00:00:00"/>
    <s v="Delta Skymiles Platinum Card - Ending in 1007"/>
    <x v="3506"/>
    <n v="-4837.91"/>
    <x v="3"/>
    <s v="Delete"/>
    <s v="Delete"/>
    <m/>
    <m/>
    <m/>
    <m/>
    <m/>
    <m/>
    <x v="3095"/>
    <m/>
    <m/>
  </r>
  <r>
    <x v="60"/>
    <d v="2023-12-06T00:00:00"/>
    <s v="Delta Skymiles Platinum Card - Ending in 1007"/>
    <x v="1861"/>
    <n v="457.8"/>
    <x v="3"/>
    <s v="Empyrean Travel"/>
    <s v="Delete"/>
    <m/>
    <m/>
    <m/>
    <m/>
    <m/>
    <m/>
    <x v="1715"/>
    <m/>
    <m/>
  </r>
  <r>
    <x v="60"/>
    <d v="2023-12-06T00:00:00"/>
    <s v="Powerplus - Ending in 8s30"/>
    <x v="4342"/>
    <n v="-2689.84"/>
    <x v="3"/>
    <m/>
    <s v="Delete"/>
    <m/>
    <m/>
    <m/>
    <m/>
    <m/>
    <m/>
    <x v="3855"/>
    <m/>
    <m/>
  </r>
  <r>
    <x v="60"/>
    <d v="2023-12-06T00:00:00"/>
    <s v="Delta Skymiles Platinum Card - Ending in 1007"/>
    <x v="4351"/>
    <n v="129.99"/>
    <x v="44"/>
    <s v="Delete - Online Services"/>
    <s v="Exp - Misc"/>
    <m/>
    <m/>
    <m/>
    <m/>
    <m/>
    <m/>
    <x v="3863"/>
    <m/>
    <m/>
  </r>
  <r>
    <x v="60"/>
    <d v="2023-12-06T00:00:00"/>
    <s v="Delta Skymiles Platinum Card - Ending in 1007"/>
    <x v="4335"/>
    <n v="-86.02"/>
    <x v="8"/>
    <s v="Shopping"/>
    <m/>
    <m/>
    <m/>
    <m/>
    <m/>
    <m/>
    <m/>
    <x v="3849"/>
    <m/>
    <m/>
  </r>
  <r>
    <x v="60"/>
    <d v="2023-12-06T00:00:00"/>
    <s v="Cash Rewards Visa Signature - Ending in 5913"/>
    <x v="2012"/>
    <n v="-95.99"/>
    <x v="32"/>
    <m/>
    <s v="Exp - Shopping"/>
    <m/>
    <m/>
    <m/>
    <m/>
    <m/>
    <m/>
    <x v="1862"/>
    <m/>
    <m/>
  </r>
  <r>
    <x v="60"/>
    <d v="2023-12-06T00:00:00"/>
    <s v="Cash Rewards Visa Signature - Ending in 5913"/>
    <x v="2067"/>
    <n v="7.99"/>
    <x v="32"/>
    <m/>
    <s v="Exp - Shopping"/>
    <m/>
    <m/>
    <m/>
    <m/>
    <m/>
    <m/>
    <x v="1917"/>
    <m/>
    <m/>
  </r>
  <r>
    <x v="60"/>
    <d v="2023-12-06T00:00:00"/>
    <s v="Delta Skymiles Platinum Card - Ending in 1007"/>
    <x v="1837"/>
    <n v="5.59"/>
    <x v="19"/>
    <s v="House Maintenance"/>
    <m/>
    <m/>
    <m/>
    <m/>
    <m/>
    <m/>
    <m/>
    <x v="1692"/>
    <m/>
    <m/>
  </r>
  <r>
    <x v="60"/>
    <d v="2023-12-06T00:00:00"/>
    <s v="Delta Skymiles Platinum Card - Ending in 1007"/>
    <x v="4352"/>
    <n v="8.2799999999999994"/>
    <x v="50"/>
    <s v="Delete - Personal Care"/>
    <s v="Exp - Dry Cleaning"/>
    <m/>
    <m/>
    <m/>
    <m/>
    <m/>
    <m/>
    <x v="3864"/>
    <m/>
    <m/>
  </r>
  <r>
    <x v="60"/>
    <d v="2023-12-06T00:00:00"/>
    <s v="Powerplus - Ending in 8s30"/>
    <x v="1849"/>
    <n v="17.489999999999998"/>
    <x v="32"/>
    <m/>
    <s v="Exp - Shopping"/>
    <m/>
    <m/>
    <m/>
    <m/>
    <m/>
    <m/>
    <x v="1704"/>
    <m/>
    <m/>
  </r>
  <r>
    <x v="60"/>
    <d v="2023-12-06T00:00:00"/>
    <s v="Powerplus - Ending in 8s30"/>
    <x v="1827"/>
    <n v="10"/>
    <x v="32"/>
    <m/>
    <s v="Exp - Shopping"/>
    <m/>
    <m/>
    <m/>
    <m/>
    <m/>
    <m/>
    <x v="1682"/>
    <m/>
    <m/>
  </r>
  <r>
    <x v="60"/>
    <d v="2023-12-06T00:00:00"/>
    <s v="Delta Skymiles Platinum Card - Ending in 1007"/>
    <x v="4321"/>
    <n v="-124.63"/>
    <x v="32"/>
    <s v="Delete - Home Improvement"/>
    <s v="Exp - Shopping"/>
    <m/>
    <m/>
    <m/>
    <m/>
    <m/>
    <m/>
    <x v="3835"/>
    <m/>
    <m/>
  </r>
  <r>
    <x v="60"/>
    <d v="2023-12-06T00:00:00"/>
    <s v="Powerplus - Ending in 8s30"/>
    <x v="2020"/>
    <n v="4837.91"/>
    <x v="3"/>
    <m/>
    <s v="Delete"/>
    <m/>
    <m/>
    <m/>
    <m/>
    <m/>
    <m/>
    <x v="1870"/>
    <m/>
    <m/>
  </r>
  <r>
    <x v="60"/>
    <d v="2023-12-07T00:00:00"/>
    <s v="Powerplus - Ending in 8s30"/>
    <x v="1893"/>
    <n v="-3594.82"/>
    <x v="14"/>
    <m/>
    <s v="Inc - Britney"/>
    <m/>
    <m/>
    <m/>
    <m/>
    <m/>
    <m/>
    <x v="1746"/>
    <m/>
    <m/>
  </r>
  <r>
    <x v="60"/>
    <d v="2023-12-07T00:00:00"/>
    <s v="Powerplus - Ending in 8s30"/>
    <x v="4353"/>
    <n v="-2362.33"/>
    <x v="15"/>
    <m/>
    <s v="Inc - Jeff"/>
    <m/>
    <m/>
    <m/>
    <m/>
    <m/>
    <m/>
    <x v="3260"/>
    <m/>
    <m/>
  </r>
  <r>
    <x v="60"/>
    <d v="2023-12-07T00:00:00"/>
    <s v="Cash Rewards Visa Signature - Ending in 5913"/>
    <x v="1915"/>
    <n v="145"/>
    <x v="32"/>
    <m/>
    <s v="Exp - Shopping"/>
    <m/>
    <m/>
    <m/>
    <m/>
    <m/>
    <m/>
    <x v="1768"/>
    <m/>
    <m/>
  </r>
  <r>
    <x v="60"/>
    <d v="2023-12-07T00:00:00"/>
    <s v="Cash Rewards Visa Signature - Ending in 5913"/>
    <x v="1915"/>
    <n v="129"/>
    <x v="32"/>
    <m/>
    <s v="Exp - Shopping"/>
    <m/>
    <m/>
    <m/>
    <m/>
    <m/>
    <m/>
    <x v="1768"/>
    <m/>
    <m/>
  </r>
  <r>
    <x v="60"/>
    <d v="2023-12-07T00:00:00"/>
    <s v="Powerplus - Ending in 8s30"/>
    <x v="4354"/>
    <n v="60.97"/>
    <x v="39"/>
    <m/>
    <s v="Exp - Restaurants"/>
    <m/>
    <m/>
    <m/>
    <m/>
    <m/>
    <m/>
    <x v="3865"/>
    <m/>
    <m/>
  </r>
  <r>
    <x v="60"/>
    <d v="2023-12-07T00:00:00"/>
    <s v="Powerplus - Ending in 8s30"/>
    <x v="1827"/>
    <n v="125"/>
    <x v="32"/>
    <m/>
    <s v="Exp - Shopping"/>
    <m/>
    <m/>
    <m/>
    <m/>
    <m/>
    <m/>
    <x v="1682"/>
    <m/>
    <m/>
  </r>
  <r>
    <x v="60"/>
    <d v="2023-12-07T00:00:00"/>
    <s v="Powerplus - Ending in 8s30"/>
    <x v="1827"/>
    <n v="93"/>
    <x v="32"/>
    <m/>
    <s v="Exp - Shopping"/>
    <m/>
    <m/>
    <m/>
    <m/>
    <m/>
    <m/>
    <x v="1682"/>
    <m/>
    <m/>
  </r>
  <r>
    <x v="60"/>
    <d v="2023-12-07T00:00:00"/>
    <s v="Discover More Card - Ending in 7779"/>
    <x v="56"/>
    <n v="-257.08"/>
    <x v="3"/>
    <s v="Credit Card Payments"/>
    <m/>
    <m/>
    <m/>
    <m/>
    <m/>
    <m/>
    <m/>
    <x v="56"/>
    <m/>
    <m/>
  </r>
  <r>
    <x v="60"/>
    <d v="2023-12-07T00:00:00"/>
    <s v="Powerplus - Ending in 8s30"/>
    <x v="1869"/>
    <n v="113.41"/>
    <x v="42"/>
    <m/>
    <s v="Exp - Utilities"/>
    <m/>
    <m/>
    <m/>
    <m/>
    <m/>
    <m/>
    <x v="1723"/>
    <m/>
    <m/>
  </r>
  <r>
    <x v="60"/>
    <d v="2023-12-08T00:00:00"/>
    <s v="Cash Rewards Visa Signature - Ending in 5913"/>
    <x v="4355"/>
    <n v="24.85"/>
    <x v="41"/>
    <m/>
    <s v="Exp - Amazon"/>
    <m/>
    <m/>
    <m/>
    <m/>
    <m/>
    <m/>
    <x v="3866"/>
    <m/>
    <m/>
  </r>
  <r>
    <x v="60"/>
    <d v="2023-12-08T00:00:00"/>
    <s v="Cash Rewards Visa Signature - Ending in 5913"/>
    <x v="4356"/>
    <n v="23.68"/>
    <x v="41"/>
    <m/>
    <s v="Exp - Amazon"/>
    <m/>
    <m/>
    <m/>
    <m/>
    <m/>
    <m/>
    <x v="3867"/>
    <m/>
    <m/>
  </r>
  <r>
    <x v="60"/>
    <d v="2023-12-08T00:00:00"/>
    <s v="Delta Skymiles Platinum Card - Ending in 1007"/>
    <x v="4357"/>
    <n v="30.48"/>
    <x v="1"/>
    <s v="Restaurants"/>
    <m/>
    <m/>
    <m/>
    <m/>
    <m/>
    <m/>
    <m/>
    <x v="3868"/>
    <m/>
    <m/>
  </r>
  <r>
    <x v="60"/>
    <d v="2023-12-08T00:00:00"/>
    <s v="Cash Rewards Visa Signature - Ending in 5913"/>
    <x v="4358"/>
    <n v="15.97"/>
    <x v="39"/>
    <m/>
    <s v="Exp - Restaurants"/>
    <m/>
    <m/>
    <m/>
    <m/>
    <m/>
    <m/>
    <x v="3869"/>
    <m/>
    <m/>
  </r>
  <r>
    <x v="60"/>
    <d v="2023-12-08T00:00:00"/>
    <s v="Delta Skymiles Platinum Card - Ending in 1007"/>
    <x v="4325"/>
    <n v="-545.46"/>
    <x v="32"/>
    <s v="Refunds &amp; Reimbursements"/>
    <s v="Exp - Shopping"/>
    <m/>
    <m/>
    <m/>
    <m/>
    <m/>
    <m/>
    <x v="3839"/>
    <m/>
    <m/>
  </r>
  <r>
    <x v="60"/>
    <d v="2023-12-08T00:00:00"/>
    <s v="Delta Skymiles Platinum Card - Ending in 1007"/>
    <x v="1837"/>
    <n v="57.4"/>
    <x v="19"/>
    <s v="House Maintenance"/>
    <m/>
    <m/>
    <m/>
    <m/>
    <m/>
    <m/>
    <m/>
    <x v="1692"/>
    <m/>
    <m/>
  </r>
  <r>
    <x v="60"/>
    <d v="2023-12-08T00:00:00"/>
    <s v="Powerplus - Ending in 8s30"/>
    <x v="1827"/>
    <n v="159.09"/>
    <x v="32"/>
    <m/>
    <s v="Exp - Shopping"/>
    <m/>
    <m/>
    <m/>
    <m/>
    <m/>
    <m/>
    <x v="1682"/>
    <m/>
    <m/>
  </r>
  <r>
    <x v="60"/>
    <d v="2023-12-08T00:00:00"/>
    <s v="Delta Skymiles Platinum Card - Ending in 1007"/>
    <x v="4359"/>
    <n v="13.51"/>
    <x v="1"/>
    <s v="Restaurants"/>
    <m/>
    <m/>
    <m/>
    <m/>
    <m/>
    <m/>
    <m/>
    <x v="3870"/>
    <m/>
    <m/>
  </r>
  <r>
    <x v="60"/>
    <d v="2023-12-08T00:00:00"/>
    <s v="Cash Rewards Visa Signature - Ending in 5913"/>
    <x v="4360"/>
    <n v="9.74"/>
    <x v="35"/>
    <m/>
    <s v="Exp - Entertainment"/>
    <m/>
    <m/>
    <m/>
    <m/>
    <m/>
    <m/>
    <x v="3871"/>
    <m/>
    <m/>
  </r>
  <r>
    <x v="60"/>
    <d v="2023-12-08T00:00:00"/>
    <s v="Cash Rewards Visa Signature - Ending in 5913"/>
    <x v="4361"/>
    <n v="7"/>
    <x v="35"/>
    <m/>
    <s v="Exp - Entertainment"/>
    <m/>
    <m/>
    <m/>
    <m/>
    <m/>
    <m/>
    <x v="3872"/>
    <m/>
    <m/>
  </r>
  <r>
    <x v="60"/>
    <d v="2023-12-08T00:00:00"/>
    <s v="Powerplus - Ending in 8s30"/>
    <x v="4362"/>
    <n v="56"/>
    <x v="35"/>
    <m/>
    <s v="Exp - Entertainment"/>
    <m/>
    <m/>
    <m/>
    <m/>
    <m/>
    <m/>
    <x v="3873"/>
    <m/>
    <m/>
  </r>
  <r>
    <x v="60"/>
    <d v="2023-12-08T00:00:00"/>
    <s v="Powerplus - Ending in 8s30"/>
    <x v="3657"/>
    <n v="429.09"/>
    <x v="3"/>
    <m/>
    <s v="Delete"/>
    <m/>
    <m/>
    <m/>
    <m/>
    <m/>
    <m/>
    <x v="3219"/>
    <m/>
    <m/>
  </r>
  <r>
    <x v="60"/>
    <d v="2023-12-08T00:00:00"/>
    <s v="Cash Rewards Visa Signature - Ending in 5913"/>
    <x v="1879"/>
    <n v="-429.09"/>
    <x v="3"/>
    <m/>
    <s v="Delete"/>
    <m/>
    <m/>
    <m/>
    <m/>
    <m/>
    <m/>
    <x v="1732"/>
    <m/>
    <m/>
  </r>
  <r>
    <x v="60"/>
    <d v="2023-12-08T00:00:00"/>
    <s v="Powerplus - Ending in 8s30"/>
    <x v="1888"/>
    <n v="257.08"/>
    <x v="3"/>
    <m/>
    <s v="Delete"/>
    <m/>
    <m/>
    <m/>
    <m/>
    <m/>
    <m/>
    <x v="1741"/>
    <m/>
    <m/>
  </r>
  <r>
    <x v="60"/>
    <d v="2023-12-09T00:00:00"/>
    <s v="Delta Skymiles Platinum Card - Ending in 1007"/>
    <x v="3504"/>
    <n v="10.85"/>
    <x v="42"/>
    <s v="Delete - Telephone"/>
    <s v="Exp - Utilities"/>
    <m/>
    <m/>
    <m/>
    <m/>
    <m/>
    <m/>
    <x v="3093"/>
    <m/>
    <m/>
  </r>
  <r>
    <x v="60"/>
    <d v="2023-12-09T00:00:00"/>
    <s v="Delta Skymiles Platinum Card - Ending in 1007"/>
    <x v="3504"/>
    <n v="10.85"/>
    <x v="11"/>
    <s v="Delete - Telephone"/>
    <m/>
    <m/>
    <m/>
    <m/>
    <m/>
    <m/>
    <m/>
    <x v="3093"/>
    <m/>
    <m/>
  </r>
  <r>
    <x v="60"/>
    <d v="2023-12-09T00:00:00"/>
    <s v="Delta Skymiles Platinum Card - Ending in 1007"/>
    <x v="4185"/>
    <n v="59.72"/>
    <x v="39"/>
    <s v="Groceries"/>
    <s v="Exp - Restaurants"/>
    <m/>
    <m/>
    <m/>
    <m/>
    <m/>
    <m/>
    <x v="3714"/>
    <m/>
    <m/>
  </r>
  <r>
    <x v="60"/>
    <d v="2023-12-09T00:00:00"/>
    <s v="Delta Skymiles Platinum Card - Ending in 1007"/>
    <x v="4185"/>
    <n v="59.72"/>
    <x v="5"/>
    <s v="Groceries"/>
    <m/>
    <m/>
    <m/>
    <m/>
    <m/>
    <m/>
    <m/>
    <x v="3714"/>
    <m/>
    <m/>
  </r>
  <r>
    <x v="60"/>
    <d v="2023-12-10T00:00:00"/>
    <s v="Cash Rewards Visa Signature - Ending in 5913"/>
    <x v="1881"/>
    <n v="40.36"/>
    <x v="37"/>
    <m/>
    <s v="Exp - Transportation"/>
    <m/>
    <m/>
    <m/>
    <m/>
    <m/>
    <m/>
    <x v="1734"/>
    <m/>
    <m/>
  </r>
  <r>
    <x v="60"/>
    <d v="2023-12-10T00:00:00"/>
    <s v="Cash Rewards Visa Signature - Ending in 5913"/>
    <x v="99"/>
    <n v="25.6"/>
    <x v="42"/>
    <m/>
    <s v="Exp - Utilities"/>
    <m/>
    <m/>
    <m/>
    <m/>
    <m/>
    <m/>
    <x v="99"/>
    <m/>
    <m/>
  </r>
  <r>
    <x v="60"/>
    <d v="2023-12-10T00:00:00"/>
    <s v="Cash Rewards Visa Signature - Ending in 5913"/>
    <x v="1867"/>
    <n v="47.69"/>
    <x v="49"/>
    <m/>
    <s v="Exp - Gym"/>
    <m/>
    <m/>
    <m/>
    <m/>
    <m/>
    <m/>
    <x v="1721"/>
    <m/>
    <m/>
  </r>
  <r>
    <x v="60"/>
    <d v="2023-12-10T00:00:00"/>
    <s v="Delta Skymiles Platinum Card - Ending in 1007"/>
    <x v="3945"/>
    <n v="67.650000000000006"/>
    <x v="1"/>
    <s v="Restaurants"/>
    <m/>
    <m/>
    <m/>
    <m/>
    <m/>
    <m/>
    <m/>
    <x v="3490"/>
    <m/>
    <m/>
  </r>
  <r>
    <x v="60"/>
    <d v="2023-12-10T00:00:00"/>
    <s v="Delta Skymiles Platinum Card - Ending in 1007"/>
    <x v="3945"/>
    <n v="67.650000000000006"/>
    <x v="1"/>
    <s v="Restaurants"/>
    <m/>
    <m/>
    <m/>
    <m/>
    <m/>
    <m/>
    <m/>
    <x v="3490"/>
    <m/>
    <m/>
  </r>
  <r>
    <x v="60"/>
    <d v="2023-12-10T00:00:00"/>
    <s v="Powerplus - Ending in 8s30"/>
    <x v="4363"/>
    <n v="-184.69"/>
    <x v="3"/>
    <m/>
    <s v="Delete"/>
    <m/>
    <m/>
    <m/>
    <m/>
    <m/>
    <m/>
    <x v="3874"/>
    <m/>
    <m/>
  </r>
  <r>
    <x v="60"/>
    <d v="2023-12-11T00:00:00"/>
    <s v="Delta Skymiles Platinum Card - Ending in 1007"/>
    <x v="523"/>
    <n v="27.84"/>
    <x v="1"/>
    <s v="Restaurants"/>
    <m/>
    <m/>
    <m/>
    <m/>
    <m/>
    <m/>
    <m/>
    <x v="504"/>
    <m/>
    <m/>
  </r>
  <r>
    <x v="60"/>
    <d v="2023-12-11T00:00:00"/>
    <s v="Delta Skymiles Platinum Card - Ending in 1007"/>
    <x v="523"/>
    <n v="27.84"/>
    <x v="1"/>
    <s v="Restaurants"/>
    <m/>
    <m/>
    <m/>
    <m/>
    <m/>
    <m/>
    <m/>
    <x v="504"/>
    <m/>
    <m/>
  </r>
  <r>
    <x v="60"/>
    <d v="2023-12-11T00:00:00"/>
    <s v="Delta Skymiles Platinum Card - Ending in 1007"/>
    <x v="4305"/>
    <n v="-29.25"/>
    <x v="8"/>
    <s v="Shopping"/>
    <m/>
    <m/>
    <m/>
    <m/>
    <m/>
    <m/>
    <m/>
    <x v="3822"/>
    <m/>
    <m/>
  </r>
  <r>
    <x v="60"/>
    <d v="2023-12-11T00:00:00"/>
    <s v="Delta Skymiles Platinum Card - Ending in 1007"/>
    <x v="4305"/>
    <n v="-29.25"/>
    <x v="8"/>
    <s v="Shopping"/>
    <m/>
    <m/>
    <m/>
    <m/>
    <m/>
    <m/>
    <m/>
    <x v="3822"/>
    <m/>
    <m/>
  </r>
  <r>
    <x v="60"/>
    <d v="2023-12-11T00:00:00"/>
    <s v="Powerplus - Ending in 8s30"/>
    <x v="1827"/>
    <n v="571.20000000000005"/>
    <x v="32"/>
    <m/>
    <s v="Exp - Shopping"/>
    <m/>
    <m/>
    <m/>
    <m/>
    <m/>
    <m/>
    <x v="1682"/>
    <m/>
    <m/>
  </r>
  <r>
    <x v="60"/>
    <d v="2023-12-11T00:00:00"/>
    <s v="Powerplus - Ending in 8s30"/>
    <x v="1827"/>
    <n v="20"/>
    <x v="32"/>
    <m/>
    <s v="Exp - Shopping"/>
    <m/>
    <m/>
    <m/>
    <m/>
    <m/>
    <m/>
    <x v="1682"/>
    <m/>
    <m/>
  </r>
  <r>
    <x v="60"/>
    <d v="2023-12-11T00:00:00"/>
    <s v="Cash Rewards Visa Signature - Ending in 5913"/>
    <x v="1941"/>
    <n v="27.16"/>
    <x v="37"/>
    <m/>
    <s v="Exp - Transportation"/>
    <m/>
    <m/>
    <m/>
    <m/>
    <m/>
    <m/>
    <x v="1794"/>
    <m/>
    <m/>
  </r>
  <r>
    <x v="60"/>
    <d v="2023-12-11T00:00:00"/>
    <s v="Powerplus - Ending in 8s30"/>
    <x v="4364"/>
    <n v="-57.71"/>
    <x v="3"/>
    <m/>
    <s v="Delete"/>
    <m/>
    <m/>
    <m/>
    <m/>
    <m/>
    <m/>
    <x v="3875"/>
    <m/>
    <m/>
  </r>
  <r>
    <x v="60"/>
    <d v="2023-12-12T00:00:00"/>
    <s v="Powerplus - Ending in 8s30"/>
    <x v="3787"/>
    <n v="-38.43"/>
    <x v="3"/>
    <m/>
    <s v="Delete"/>
    <m/>
    <m/>
    <m/>
    <m/>
    <m/>
    <m/>
    <x v="3342"/>
    <m/>
    <m/>
  </r>
  <r>
    <x v="60"/>
    <d v="2023-12-12T00:00:00"/>
    <s v="Cash Rewards Visa Signature - Ending in 5913"/>
    <x v="4140"/>
    <n v="5.99"/>
    <x v="35"/>
    <m/>
    <s v="Exp - Entertainment"/>
    <m/>
    <m/>
    <m/>
    <m/>
    <m/>
    <m/>
    <x v="3674"/>
    <m/>
    <m/>
  </r>
  <r>
    <x v="60"/>
    <d v="2023-12-12T00:00:00"/>
    <s v="Cash Rewards Visa Signature - Ending in 5913"/>
    <x v="214"/>
    <n v="23.83"/>
    <x v="37"/>
    <m/>
    <s v="Exp - Transportation"/>
    <m/>
    <m/>
    <m/>
    <m/>
    <m/>
    <m/>
    <x v="213"/>
    <m/>
    <m/>
  </r>
  <r>
    <x v="60"/>
    <d v="2023-12-12T00:00:00"/>
    <s v="Delta Skymiles Platinum Card - Ending in 1007"/>
    <x v="4365"/>
    <n v="192.81"/>
    <x v="46"/>
    <s v="Healthcare"/>
    <s v="Exp - Healthcare"/>
    <m/>
    <m/>
    <m/>
    <m/>
    <m/>
    <m/>
    <x v="3876"/>
    <m/>
    <m/>
  </r>
  <r>
    <x v="60"/>
    <d v="2023-12-12T00:00:00"/>
    <s v="Delta Skymiles Platinum Card - Ending in 1007"/>
    <x v="4365"/>
    <n v="192.81"/>
    <x v="25"/>
    <s v="Healthcare"/>
    <m/>
    <m/>
    <m/>
    <m/>
    <m/>
    <m/>
    <m/>
    <x v="3876"/>
    <m/>
    <m/>
  </r>
  <r>
    <x v="60"/>
    <d v="2023-12-12T00:00:00"/>
    <s v="Delta Skymiles Platinum Card - Ending in 1007"/>
    <x v="4343"/>
    <n v="-259"/>
    <x v="32"/>
    <s v="Refunds &amp; Reimbursements"/>
    <s v="Exp - Shopping"/>
    <m/>
    <m/>
    <m/>
    <m/>
    <m/>
    <m/>
    <x v="3856"/>
    <m/>
    <m/>
  </r>
  <r>
    <x v="60"/>
    <d v="2023-12-12T00:00:00"/>
    <s v="Delta Skymiles Platinum Card - Ending in 1007"/>
    <x v="4343"/>
    <n v="-259"/>
    <x v="8"/>
    <s v="Refunds &amp; Reimbursements"/>
    <m/>
    <m/>
    <m/>
    <m/>
    <m/>
    <m/>
    <m/>
    <x v="3856"/>
    <m/>
    <m/>
  </r>
  <r>
    <x v="60"/>
    <d v="2023-12-12T00:00:00"/>
    <s v="Cash Rewards Visa Signature - Ending in 5913"/>
    <x v="750"/>
    <n v="38.43"/>
    <x v="46"/>
    <m/>
    <s v="Exp - Healthcare"/>
    <m/>
    <m/>
    <m/>
    <m/>
    <m/>
    <m/>
    <x v="723"/>
    <m/>
    <m/>
  </r>
  <r>
    <x v="60"/>
    <d v="2023-12-12T00:00:00"/>
    <s v="Delta Skymiles Platinum Card - Ending in 1007"/>
    <x v="4366"/>
    <n v="25.5"/>
    <x v="39"/>
    <s v="Groceries"/>
    <s v="Exp - Restaurants"/>
    <m/>
    <m/>
    <m/>
    <m/>
    <m/>
    <m/>
    <x v="3877"/>
    <m/>
    <m/>
  </r>
  <r>
    <x v="60"/>
    <d v="2023-12-12T00:00:00"/>
    <s v="Delta Skymiles Platinum Card - Ending in 1007"/>
    <x v="4366"/>
    <n v="25.5"/>
    <x v="1"/>
    <s v="Groceries"/>
    <m/>
    <m/>
    <m/>
    <m/>
    <m/>
    <m/>
    <m/>
    <x v="3877"/>
    <m/>
    <m/>
  </r>
  <r>
    <x v="60"/>
    <d v="2023-12-12T00:00:00"/>
    <s v="Powerplus - Ending in 8s30"/>
    <x v="2047"/>
    <n v="-93.75"/>
    <x v="32"/>
    <m/>
    <s v="Exp - Shopping"/>
    <m/>
    <m/>
    <m/>
    <m/>
    <m/>
    <m/>
    <x v="1897"/>
    <m/>
    <m/>
  </r>
  <r>
    <x v="60"/>
    <d v="2023-12-12T00:00:00"/>
    <s v="Powerplus - Ending in 8s30"/>
    <x v="1827"/>
    <n v="20"/>
    <x v="32"/>
    <m/>
    <s v="Exp - Shopping"/>
    <m/>
    <m/>
    <m/>
    <m/>
    <m/>
    <m/>
    <x v="1682"/>
    <m/>
    <m/>
  </r>
  <r>
    <x v="60"/>
    <d v="2023-12-12T00:00:00"/>
    <s v="Powerplus - Ending in 8s30"/>
    <x v="4367"/>
    <n v="330"/>
    <x v="40"/>
    <m/>
    <s v="Exp - Day Care"/>
    <m/>
    <m/>
    <m/>
    <m/>
    <m/>
    <m/>
    <x v="3216"/>
    <m/>
    <m/>
  </r>
  <r>
    <x v="60"/>
    <d v="2023-12-13T00:00:00"/>
    <s v="Powerplus - Ending in 8s30"/>
    <x v="3652"/>
    <n v="-129.37"/>
    <x v="14"/>
    <m/>
    <s v="Inc - Britney"/>
    <m/>
    <m/>
    <m/>
    <m/>
    <m/>
    <m/>
    <x v="3214"/>
    <m/>
    <m/>
  </r>
  <r>
    <x v="60"/>
    <d v="2023-12-13T00:00:00"/>
    <s v="Cash Rewards Visa Signature - Ending in 5913"/>
    <x v="4368"/>
    <n v="113.39"/>
    <x v="32"/>
    <m/>
    <s v="Exp - Shopping"/>
    <m/>
    <m/>
    <m/>
    <m/>
    <m/>
    <m/>
    <x v="3878"/>
    <m/>
    <m/>
  </r>
  <r>
    <x v="60"/>
    <d v="2023-12-13T00:00:00"/>
    <s v="Delta Skymiles Platinum Card - Ending in 1007"/>
    <x v="4369"/>
    <n v="21.65"/>
    <x v="39"/>
    <s v="Cable/Satellite"/>
    <s v="Exp - Restaurants"/>
    <m/>
    <m/>
    <m/>
    <m/>
    <m/>
    <m/>
    <x v="3879"/>
    <m/>
    <m/>
  </r>
  <r>
    <x v="60"/>
    <d v="2023-12-13T00:00:00"/>
    <s v="Delta Skymiles Platinum Card - Ending in 1007"/>
    <x v="4369"/>
    <n v="21.65"/>
    <x v="1"/>
    <s v="Cable/Satellite"/>
    <m/>
    <m/>
    <m/>
    <m/>
    <m/>
    <m/>
    <m/>
    <x v="3879"/>
    <m/>
    <m/>
  </r>
  <r>
    <x v="60"/>
    <d v="2023-12-13T00:00:00"/>
    <s v="Cash Rewards Visa Signature - Ending in 5913"/>
    <x v="4366"/>
    <n v="19.510000000000002"/>
    <x v="39"/>
    <m/>
    <s v="Exp - Restaurants"/>
    <m/>
    <m/>
    <m/>
    <m/>
    <m/>
    <m/>
    <x v="3877"/>
    <m/>
    <m/>
  </r>
  <r>
    <x v="60"/>
    <d v="2023-12-13T00:00:00"/>
    <s v="Delta Skymiles Platinum Card - Ending in 1007"/>
    <x v="4366"/>
    <n v="9.8699999999999992"/>
    <x v="39"/>
    <s v="Groceries"/>
    <s v="Exp - Restaurants"/>
    <m/>
    <m/>
    <m/>
    <m/>
    <m/>
    <m/>
    <x v="3877"/>
    <m/>
    <m/>
  </r>
  <r>
    <x v="60"/>
    <d v="2023-12-13T00:00:00"/>
    <s v="Delta Skymiles Platinum Card - Ending in 1007"/>
    <x v="4366"/>
    <n v="9.8699999999999992"/>
    <x v="1"/>
    <s v="Groceries"/>
    <m/>
    <m/>
    <m/>
    <m/>
    <m/>
    <m/>
    <m/>
    <x v="3877"/>
    <m/>
    <m/>
  </r>
  <r>
    <x v="60"/>
    <d v="2023-12-13T00:00:00"/>
    <s v="Powerplus - Ending in 8s30"/>
    <x v="2047"/>
    <n v="-350"/>
    <x v="32"/>
    <m/>
    <s v="Exp - Shopping"/>
    <m/>
    <m/>
    <m/>
    <m/>
    <m/>
    <m/>
    <x v="1897"/>
    <m/>
    <m/>
  </r>
  <r>
    <x v="60"/>
    <d v="2023-12-13T00:00:00"/>
    <s v="Cash Rewards Visa Signature - Ending in 5913"/>
    <x v="1993"/>
    <n v="45"/>
    <x v="42"/>
    <m/>
    <s v="Exp - Utilities"/>
    <m/>
    <m/>
    <m/>
    <m/>
    <m/>
    <m/>
    <x v="1843"/>
    <m/>
    <m/>
  </r>
  <r>
    <x v="60"/>
    <d v="2023-12-14T00:00:00"/>
    <s v="Discover More Card - Ending in 7779"/>
    <x v="0"/>
    <n v="49.23"/>
    <x v="41"/>
    <s v="Dry Cleaning"/>
    <s v="Exp - Amazon"/>
    <m/>
    <m/>
    <m/>
    <m/>
    <m/>
    <m/>
    <x v="0"/>
    <m/>
    <m/>
  </r>
  <r>
    <x v="60"/>
    <d v="2023-12-14T00:00:00"/>
    <s v="Discover More Card - Ending in 7779"/>
    <x v="0"/>
    <n v="49.23"/>
    <x v="0"/>
    <s v="Dry Cleaning"/>
    <m/>
    <m/>
    <m/>
    <m/>
    <m/>
    <m/>
    <m/>
    <x v="0"/>
    <m/>
    <m/>
  </r>
  <r>
    <x v="60"/>
    <d v="2023-12-14T00:00:00"/>
    <s v="Powerplus - Ending in 8s30"/>
    <x v="4370"/>
    <n v="1003"/>
    <x v="36"/>
    <m/>
    <s v="Exp - House Maint"/>
    <m/>
    <m/>
    <m/>
    <m/>
    <m/>
    <m/>
    <x v="3880"/>
    <m/>
    <m/>
  </r>
  <r>
    <x v="60"/>
    <d v="2023-12-14T00:00:00"/>
    <s v="Powerplus - Ending in 8s30"/>
    <x v="3787"/>
    <n v="-192.81"/>
    <x v="3"/>
    <m/>
    <s v="Delete"/>
    <m/>
    <m/>
    <m/>
    <m/>
    <m/>
    <m/>
    <x v="3342"/>
    <m/>
    <m/>
  </r>
  <r>
    <x v="60"/>
    <d v="2023-12-14T00:00:00"/>
    <s v="Powerplus - Ending in 8s30"/>
    <x v="4342"/>
    <n v="-2689.85"/>
    <x v="3"/>
    <m/>
    <s v="Delete"/>
    <m/>
    <m/>
    <m/>
    <m/>
    <m/>
    <m/>
    <x v="3855"/>
    <m/>
    <m/>
  </r>
  <r>
    <x v="60"/>
    <d v="2023-12-14T00:00:00"/>
    <s v="Delta Skymiles Platinum Card - Ending in 1007"/>
    <x v="4300"/>
    <n v="4"/>
    <x v="42"/>
    <s v="Delete - Online Services"/>
    <s v="Exp - Utilities"/>
    <m/>
    <m/>
    <m/>
    <m/>
    <m/>
    <m/>
    <x v="3817"/>
    <m/>
    <m/>
  </r>
  <r>
    <x v="60"/>
    <d v="2023-12-14T00:00:00"/>
    <s v="Delta Skymiles Platinum Card - Ending in 1007"/>
    <x v="4300"/>
    <n v="4"/>
    <x v="11"/>
    <s v="Delete - Online Services"/>
    <m/>
    <m/>
    <m/>
    <m/>
    <m/>
    <m/>
    <m/>
    <x v="3817"/>
    <m/>
    <m/>
  </r>
  <r>
    <x v="60"/>
    <d v="2023-12-14T00:00:00"/>
    <s v="Powerplus - Ending in 8s30"/>
    <x v="3684"/>
    <n v="-4481.55"/>
    <x v="15"/>
    <m/>
    <s v="Inc - Jeff"/>
    <m/>
    <m/>
    <m/>
    <m/>
    <m/>
    <m/>
    <x v="3245"/>
    <m/>
    <m/>
  </r>
  <r>
    <x v="60"/>
    <d v="2023-12-14T00:00:00"/>
    <s v="Delta Skymiles Platinum Card - Ending in 1007"/>
    <x v="4371"/>
    <n v="53.58"/>
    <x v="39"/>
    <s v="Restaurants"/>
    <s v="Exp - Restaurants"/>
    <m/>
    <m/>
    <m/>
    <m/>
    <m/>
    <m/>
    <x v="3881"/>
    <m/>
    <m/>
  </r>
  <r>
    <x v="60"/>
    <d v="2023-12-14T00:00:00"/>
    <s v="Delta Skymiles Platinum Card - Ending in 1007"/>
    <x v="4371"/>
    <n v="53.58"/>
    <x v="1"/>
    <s v="Restaurants"/>
    <m/>
    <m/>
    <m/>
    <m/>
    <m/>
    <m/>
    <m/>
    <x v="3881"/>
    <m/>
    <m/>
  </r>
  <r>
    <x v="60"/>
    <d v="2023-12-14T00:00:00"/>
    <s v="Powerplus - Ending in 8s30"/>
    <x v="3657"/>
    <n v="468.2"/>
    <x v="3"/>
    <m/>
    <s v="Delete"/>
    <m/>
    <m/>
    <m/>
    <m/>
    <m/>
    <m/>
    <x v="3219"/>
    <m/>
    <m/>
  </r>
  <r>
    <x v="60"/>
    <d v="2023-12-14T00:00:00"/>
    <s v="Cash Rewards Visa Signature - Ending in 5913"/>
    <x v="1879"/>
    <n v="-468.2"/>
    <x v="3"/>
    <m/>
    <s v="Delete"/>
    <m/>
    <m/>
    <m/>
    <m/>
    <m/>
    <m/>
    <x v="1732"/>
    <m/>
    <m/>
  </r>
  <r>
    <x v="60"/>
    <d v="2023-12-14T00:00:00"/>
    <s v="Delta Skymiles Platinum Card - Ending in 1007"/>
    <x v="3506"/>
    <n v="-122.75"/>
    <x v="3"/>
    <s v="Delete"/>
    <s v="Delete"/>
    <m/>
    <m/>
    <m/>
    <m/>
    <m/>
    <m/>
    <x v="3095"/>
    <m/>
    <m/>
  </r>
  <r>
    <x v="60"/>
    <d v="2023-12-14T00:00:00"/>
    <s v="Delta Skymiles Platinum Card - Ending in 1007"/>
    <x v="3506"/>
    <n v="-122.75"/>
    <x v="3"/>
    <s v="Delete"/>
    <m/>
    <m/>
    <m/>
    <m/>
    <m/>
    <m/>
    <m/>
    <x v="3095"/>
    <m/>
    <m/>
  </r>
  <r>
    <x v="60"/>
    <d v="2023-12-14T00:00:00"/>
    <s v="Powerplus - Ending in 8s30"/>
    <x v="3693"/>
    <n v="116.77"/>
    <x v="54"/>
    <m/>
    <s v="Exp - Insurance"/>
    <m/>
    <m/>
    <m/>
    <m/>
    <m/>
    <m/>
    <x v="3254"/>
    <m/>
    <m/>
  </r>
  <r>
    <x v="60"/>
    <d v="2023-12-15T00:00:00"/>
    <s v="Cash Rewards Visa Signature - Ending in 5913"/>
    <x v="57"/>
    <n v="137.96"/>
    <x v="38"/>
    <m/>
    <s v="Exp - Groceries"/>
    <m/>
    <m/>
    <m/>
    <m/>
    <m/>
    <m/>
    <x v="57"/>
    <m/>
    <m/>
  </r>
  <r>
    <x v="60"/>
    <d v="2023-12-15T00:00:00"/>
    <s v="Cash Rewards Visa Signature - Ending in 5913"/>
    <x v="4372"/>
    <n v="44.01"/>
    <x v="41"/>
    <m/>
    <s v="Exp - Amazon"/>
    <m/>
    <m/>
    <m/>
    <m/>
    <m/>
    <m/>
    <x v="3882"/>
    <m/>
    <m/>
  </r>
  <r>
    <x v="60"/>
    <d v="2023-12-15T00:00:00"/>
    <s v="Cash Rewards Visa Signature - Ending in 5913"/>
    <x v="4373"/>
    <n v="14.99"/>
    <x v="41"/>
    <m/>
    <s v="Exp - Amazon"/>
    <m/>
    <m/>
    <m/>
    <m/>
    <m/>
    <m/>
    <x v="3883"/>
    <m/>
    <m/>
  </r>
  <r>
    <x v="60"/>
    <d v="2023-12-15T00:00:00"/>
    <s v="Cash Rewards Visa Signature - Ending in 5913"/>
    <x v="4374"/>
    <n v="33.21"/>
    <x v="37"/>
    <m/>
    <s v="Exp - Transportation"/>
    <m/>
    <m/>
    <m/>
    <m/>
    <m/>
    <m/>
    <x v="3884"/>
    <m/>
    <m/>
  </r>
  <r>
    <x v="60"/>
    <d v="2023-12-15T00:00:00"/>
    <s v="Delta Skymiles Platinum Card - Ending in 1007"/>
    <x v="577"/>
    <n v="19.18"/>
    <x v="1"/>
    <s v="Restaurants"/>
    <m/>
    <m/>
    <m/>
    <m/>
    <m/>
    <m/>
    <m/>
    <x v="558"/>
    <m/>
    <m/>
  </r>
  <r>
    <x v="60"/>
    <d v="2023-12-15T00:00:00"/>
    <s v="Delta Skymiles Platinum Card - Ending in 1007"/>
    <x v="577"/>
    <n v="19.18"/>
    <x v="1"/>
    <s v="Restaurants"/>
    <m/>
    <m/>
    <m/>
    <m/>
    <m/>
    <m/>
    <m/>
    <x v="558"/>
    <m/>
    <m/>
  </r>
  <r>
    <x v="60"/>
    <d v="2023-12-15T00:00:00"/>
    <s v="Delta Skymiles Platinum Card - Ending in 1007"/>
    <x v="823"/>
    <n v="38.49"/>
    <x v="2"/>
    <s v="Transportation"/>
    <m/>
    <m/>
    <m/>
    <m/>
    <m/>
    <m/>
    <m/>
    <x v="792"/>
    <m/>
    <m/>
  </r>
  <r>
    <x v="60"/>
    <d v="2023-12-15T00:00:00"/>
    <s v="Delta Skymiles Platinum Card - Ending in 1007"/>
    <x v="823"/>
    <n v="38.49"/>
    <x v="2"/>
    <s v="Transportation"/>
    <m/>
    <m/>
    <m/>
    <m/>
    <m/>
    <m/>
    <m/>
    <x v="792"/>
    <m/>
    <m/>
  </r>
  <r>
    <x v="60"/>
    <d v="2023-12-15T00:00:00"/>
    <s v="Powerplus - Ending in 8s30"/>
    <x v="4375"/>
    <n v="1000"/>
    <x v="36"/>
    <m/>
    <s v="Exp - House Maint"/>
    <m/>
    <m/>
    <m/>
    <m/>
    <m/>
    <m/>
    <x v="3885"/>
    <m/>
    <m/>
  </r>
  <r>
    <x v="60"/>
    <d v="2023-12-15T00:00:00"/>
    <s v="Powerplus - Ending in 8s30"/>
    <x v="2020"/>
    <n v="122.75"/>
    <x v="3"/>
    <m/>
    <s v="Delete"/>
    <m/>
    <m/>
    <m/>
    <m/>
    <m/>
    <m/>
    <x v="1870"/>
    <m/>
    <m/>
  </r>
  <r>
    <x v="60"/>
    <d v="2023-12-16T00:00:00"/>
    <s v="Delta Skymiles Platinum Card - Ending in 1007"/>
    <x v="4376"/>
    <n v="48.77"/>
    <x v="1"/>
    <s v="Restaurants"/>
    <m/>
    <m/>
    <m/>
    <m/>
    <m/>
    <m/>
    <m/>
    <x v="3886"/>
    <m/>
    <m/>
  </r>
  <r>
    <x v="60"/>
    <d v="2023-12-16T00:00:00"/>
    <s v="Delta Skymiles Platinum Card - Ending in 1007"/>
    <x v="4376"/>
    <n v="48.77"/>
    <x v="1"/>
    <s v="Restaurants"/>
    <m/>
    <m/>
    <m/>
    <m/>
    <m/>
    <m/>
    <m/>
    <x v="3886"/>
    <m/>
    <m/>
  </r>
  <r>
    <x v="60"/>
    <d v="2023-12-16T00:00:00"/>
    <s v="Delta Skymiles Platinum Card - Ending in 1007"/>
    <x v="4340"/>
    <n v="144.96"/>
    <x v="19"/>
    <s v="House Maintenance"/>
    <m/>
    <m/>
    <m/>
    <m/>
    <m/>
    <m/>
    <m/>
    <x v="3853"/>
    <m/>
    <m/>
  </r>
  <r>
    <x v="60"/>
    <d v="2023-12-16T00:00:00"/>
    <s v="Delta Skymiles Platinum Card - Ending in 1007"/>
    <x v="4340"/>
    <n v="144.96"/>
    <x v="19"/>
    <s v="House Maintenance"/>
    <m/>
    <m/>
    <m/>
    <m/>
    <m/>
    <m/>
    <m/>
    <x v="3853"/>
    <m/>
    <m/>
  </r>
  <r>
    <x v="60"/>
    <d v="2023-12-16T00:00:00"/>
    <s v="Delta Skymiles Platinum Card - Ending in 1007"/>
    <x v="1837"/>
    <n v="20.54"/>
    <x v="19"/>
    <s v="House Maintenance"/>
    <m/>
    <m/>
    <m/>
    <m/>
    <m/>
    <m/>
    <m/>
    <x v="1692"/>
    <m/>
    <m/>
  </r>
  <r>
    <x v="60"/>
    <d v="2023-12-16T00:00:00"/>
    <s v="Delta Skymiles Platinum Card - Ending in 1007"/>
    <x v="1837"/>
    <n v="20.54"/>
    <x v="19"/>
    <s v="House Maintenance"/>
    <m/>
    <m/>
    <m/>
    <m/>
    <m/>
    <m/>
    <m/>
    <x v="1692"/>
    <m/>
    <m/>
  </r>
  <r>
    <x v="60"/>
    <d v="2023-12-17T00:00:00"/>
    <s v="Cash Rewards Visa Signature - Ending in 5913"/>
    <x v="6"/>
    <n v="5"/>
    <x v="38"/>
    <m/>
    <s v="Exp - Groceries"/>
    <m/>
    <m/>
    <m/>
    <m/>
    <m/>
    <m/>
    <x v="6"/>
    <m/>
    <m/>
  </r>
  <r>
    <x v="60"/>
    <d v="2023-12-17T00:00:00"/>
    <s v="Delta Skymiles Platinum Card - Ending in 1007"/>
    <x v="6"/>
    <n v="87.78"/>
    <x v="38"/>
    <s v="Groceries"/>
    <s v="Exp - Groceries"/>
    <m/>
    <m/>
    <m/>
    <m/>
    <m/>
    <m/>
    <x v="6"/>
    <m/>
    <m/>
  </r>
  <r>
    <x v="60"/>
    <d v="2023-12-17T00:00:00"/>
    <s v="Delta Skymiles Platinum Card - Ending in 1007"/>
    <x v="6"/>
    <n v="87.78"/>
    <x v="5"/>
    <s v="Groceries"/>
    <m/>
    <m/>
    <m/>
    <m/>
    <m/>
    <m/>
    <m/>
    <x v="6"/>
    <m/>
    <m/>
  </r>
  <r>
    <x v="60"/>
    <d v="2023-12-17T00:00:00"/>
    <s v="Cash Rewards Visa Signature - Ending in 5913"/>
    <x v="4377"/>
    <n v="5.5"/>
    <x v="32"/>
    <m/>
    <s v="Exp - Shopping"/>
    <m/>
    <m/>
    <m/>
    <m/>
    <m/>
    <m/>
    <x v="3887"/>
    <m/>
    <m/>
  </r>
  <r>
    <x v="60"/>
    <d v="2023-12-18T00:00:00"/>
    <s v="Powerplus - Ending in 8s30"/>
    <x v="1849"/>
    <n v="73.099999999999994"/>
    <x v="32"/>
    <m/>
    <s v="Exp - Shopping"/>
    <m/>
    <m/>
    <m/>
    <m/>
    <m/>
    <m/>
    <x v="1704"/>
    <m/>
    <m/>
  </r>
  <r>
    <x v="60"/>
    <d v="2023-12-18T00:00:00"/>
    <s v="Powerplus - Ending in 8s30"/>
    <x v="4378"/>
    <n v="650"/>
    <x v="40"/>
    <m/>
    <s v="Exp - Day Care"/>
    <m/>
    <m/>
    <m/>
    <m/>
    <m/>
    <m/>
    <x v="3267"/>
    <m/>
    <m/>
  </r>
  <r>
    <x v="60"/>
    <d v="2023-12-19T00:00:00"/>
    <s v="Delta Skymiles Platinum Card - Ending in 1007"/>
    <x v="4142"/>
    <n v="10.58"/>
    <x v="39"/>
    <s v="Restaurants"/>
    <s v="Exp - Restaurants"/>
    <m/>
    <m/>
    <m/>
    <m/>
    <m/>
    <m/>
    <x v="3676"/>
    <m/>
    <m/>
  </r>
  <r>
    <x v="60"/>
    <d v="2023-12-19T00:00:00"/>
    <s v="Delta Skymiles Platinum Card - Ending in 1007"/>
    <x v="4142"/>
    <n v="10.58"/>
    <x v="1"/>
    <s v="Restaurants"/>
    <m/>
    <m/>
    <m/>
    <m/>
    <m/>
    <m/>
    <m/>
    <x v="3676"/>
    <m/>
    <m/>
  </r>
  <r>
    <x v="60"/>
    <d v="2023-12-19T00:00:00"/>
    <s v="Powerplus - Ending in 8s30"/>
    <x v="1849"/>
    <n v="2.99"/>
    <x v="32"/>
    <m/>
    <s v="Exp - Shopping"/>
    <m/>
    <m/>
    <m/>
    <m/>
    <m/>
    <m/>
    <x v="1704"/>
    <m/>
    <m/>
  </r>
  <r>
    <x v="60"/>
    <d v="2023-12-19T00:00:00"/>
    <s v="Powerplus - Ending in 8s30"/>
    <x v="1827"/>
    <n v="76.08"/>
    <x v="32"/>
    <m/>
    <s v="Exp - Shopping"/>
    <m/>
    <m/>
    <m/>
    <m/>
    <m/>
    <m/>
    <x v="1682"/>
    <m/>
    <m/>
  </r>
  <r>
    <x v="60"/>
    <d v="2023-12-19T00:00:00"/>
    <s v="Powerplus - Ending in 8s30"/>
    <x v="4379"/>
    <n v="330"/>
    <x v="40"/>
    <m/>
    <s v="Exp - Day Care"/>
    <m/>
    <m/>
    <m/>
    <m/>
    <m/>
    <m/>
    <x v="3216"/>
    <m/>
    <m/>
  </r>
  <r>
    <x v="60"/>
    <d v="2023-12-20T00:00:00"/>
    <s v="Discover More Card - Ending in 7779"/>
    <x v="1895"/>
    <n v="-8.06"/>
    <x v="0"/>
    <s v="Dry Cleaning"/>
    <m/>
    <m/>
    <m/>
    <m/>
    <m/>
    <m/>
    <m/>
    <x v="1748"/>
    <m/>
    <m/>
  </r>
  <r>
    <x v="60"/>
    <d v="2023-12-20T00:00:00"/>
    <s v="Discover More Card - Ending in 7779"/>
    <x v="4380"/>
    <n v="-8.06"/>
    <x v="41"/>
    <s v="Refunds &amp; Reimbursements"/>
    <s v="Exp - Amazon"/>
    <m/>
    <m/>
    <m/>
    <m/>
    <m/>
    <m/>
    <x v="3888"/>
    <m/>
    <m/>
  </r>
  <r>
    <x v="60"/>
    <d v="2023-12-20T00:00:00"/>
    <s v="Cash Rewards Visa Signature - Ending in 5913"/>
    <x v="4381"/>
    <n v="57"/>
    <x v="35"/>
    <m/>
    <s v="Exp - Entertainment"/>
    <m/>
    <m/>
    <m/>
    <m/>
    <m/>
    <m/>
    <x v="3889"/>
    <m/>
    <m/>
  </r>
  <r>
    <x v="60"/>
    <d v="2023-12-20T00:00:00"/>
    <s v="Cash Rewards Visa Signature - Ending in 5913"/>
    <x v="4168"/>
    <n v="1.99"/>
    <x v="42"/>
    <m/>
    <s v="Exp - Utilities"/>
    <m/>
    <m/>
    <m/>
    <m/>
    <m/>
    <m/>
    <x v="3699"/>
    <m/>
    <m/>
  </r>
  <r>
    <x v="60"/>
    <d v="2023-12-20T00:00:00"/>
    <s v="Delta Skymiles Platinum Card - Ending in 1007"/>
    <x v="1338"/>
    <n v="158.4"/>
    <x v="5"/>
    <s v="Groceries"/>
    <m/>
    <m/>
    <m/>
    <m/>
    <m/>
    <m/>
    <m/>
    <x v="1265"/>
    <m/>
    <m/>
  </r>
  <r>
    <x v="60"/>
    <d v="2023-12-20T00:00:00"/>
    <s v="Delta Skymiles Platinum Card - Ending in 1007"/>
    <x v="1338"/>
    <n v="158.4"/>
    <x v="5"/>
    <s v="Groceries"/>
    <m/>
    <m/>
    <m/>
    <m/>
    <m/>
    <m/>
    <m/>
    <x v="1265"/>
    <m/>
    <m/>
  </r>
  <r>
    <x v="60"/>
    <d v="2023-12-20T00:00:00"/>
    <s v="Powerplus - Ending in 8s30"/>
    <x v="4382"/>
    <n v="503"/>
    <x v="36"/>
    <m/>
    <s v="Exp - House Maint"/>
    <m/>
    <m/>
    <m/>
    <m/>
    <m/>
    <m/>
    <x v="3890"/>
    <m/>
    <m/>
  </r>
  <r>
    <x v="60"/>
    <d v="2023-12-21T00:00:00"/>
    <s v="Cash Rewards Visa Signature - Ending in 5913"/>
    <x v="4383"/>
    <n v="11"/>
    <x v="36"/>
    <m/>
    <s v="Exp - House Maint"/>
    <m/>
    <m/>
    <m/>
    <m/>
    <m/>
    <m/>
    <x v="3891"/>
    <m/>
    <m/>
  </r>
  <r>
    <x v="60"/>
    <d v="2023-12-21T00:00:00"/>
    <s v="Delta Skymiles Platinum Card - Ending in 1007"/>
    <x v="4384"/>
    <n v="94.27"/>
    <x v="8"/>
    <s v="Shopping"/>
    <m/>
    <m/>
    <m/>
    <m/>
    <m/>
    <m/>
    <m/>
    <x v="3892"/>
    <m/>
    <m/>
  </r>
  <r>
    <x v="60"/>
    <d v="2023-12-21T00:00:00"/>
    <s v="Powerplus - Ending in 8s30"/>
    <x v="1893"/>
    <n v="-3594.82"/>
    <x v="14"/>
    <m/>
    <s v="Inc - Britney"/>
    <m/>
    <m/>
    <m/>
    <m/>
    <m/>
    <m/>
    <x v="1746"/>
    <m/>
    <m/>
  </r>
  <r>
    <x v="60"/>
    <d v="2023-12-21T00:00:00"/>
    <s v="Cash Rewards Visa Signature - Ending in 5913"/>
    <x v="4158"/>
    <n v="29.67"/>
    <x v="37"/>
    <m/>
    <s v="Exp - Transportation"/>
    <m/>
    <m/>
    <m/>
    <m/>
    <m/>
    <m/>
    <x v="3690"/>
    <m/>
    <m/>
  </r>
  <r>
    <x v="60"/>
    <d v="2023-12-21T00:00:00"/>
    <s v="Powerplus - Ending in 8s30"/>
    <x v="4385"/>
    <n v="-457.8"/>
    <x v="15"/>
    <m/>
    <s v="Inc - Jeff"/>
    <m/>
    <m/>
    <m/>
    <m/>
    <m/>
    <m/>
    <x v="3260"/>
    <m/>
    <m/>
  </r>
  <r>
    <x v="60"/>
    <d v="2023-12-21T00:00:00"/>
    <s v="Delta Skymiles Platinum Card - Ending in 1007"/>
    <x v="4386"/>
    <n v="83.3"/>
    <x v="1"/>
    <s v="Restaurants"/>
    <m/>
    <m/>
    <m/>
    <m/>
    <m/>
    <m/>
    <m/>
    <x v="3893"/>
    <m/>
    <m/>
  </r>
  <r>
    <x v="60"/>
    <d v="2023-12-21T00:00:00"/>
    <s v="Cash Rewards Visa Signature - Ending in 5913"/>
    <x v="4387"/>
    <n v="211.95"/>
    <x v="32"/>
    <m/>
    <s v="Exp - Shopping"/>
    <m/>
    <m/>
    <m/>
    <m/>
    <m/>
    <m/>
    <x v="3894"/>
    <m/>
    <m/>
  </r>
  <r>
    <x v="60"/>
    <d v="2023-12-21T00:00:00"/>
    <s v="Discover More Card - Ending in 7779"/>
    <x v="4320"/>
    <n v="-408.05"/>
    <x v="8"/>
    <s v="Refunds &amp; Reimbursements"/>
    <m/>
    <m/>
    <m/>
    <m/>
    <m/>
    <m/>
    <m/>
    <x v="3834"/>
    <m/>
    <m/>
  </r>
  <r>
    <x v="60"/>
    <d v="2023-12-21T00:00:00"/>
    <s v="Powerplus - Ending in 8s30"/>
    <x v="1827"/>
    <n v="125"/>
    <x v="32"/>
    <m/>
    <s v="Exp - Shopping"/>
    <m/>
    <m/>
    <m/>
    <m/>
    <m/>
    <m/>
    <x v="1682"/>
    <m/>
    <m/>
  </r>
  <r>
    <x v="60"/>
    <d v="2023-12-21T00:00:00"/>
    <s v="Powerplus - Ending in 8s30"/>
    <x v="1827"/>
    <n v="109"/>
    <x v="32"/>
    <m/>
    <s v="Exp - Shopping"/>
    <m/>
    <m/>
    <m/>
    <m/>
    <m/>
    <m/>
    <x v="1682"/>
    <m/>
    <m/>
  </r>
  <r>
    <x v="60"/>
    <d v="2023-12-21T00:00:00"/>
    <s v="Powerplus - Ending in 8s30"/>
    <x v="4388"/>
    <n v="51.21"/>
    <x v="42"/>
    <m/>
    <s v="Exp - Utilities"/>
    <m/>
    <m/>
    <m/>
    <m/>
    <m/>
    <m/>
    <x v="3287"/>
    <m/>
    <m/>
  </r>
  <r>
    <x v="60"/>
    <d v="2023-12-22T00:00:00"/>
    <s v="Discover More Card - Ending in 7779"/>
    <x v="0"/>
    <n v="35.71"/>
    <x v="0"/>
    <s v="Dry Cleaning"/>
    <m/>
    <m/>
    <m/>
    <m/>
    <m/>
    <m/>
    <m/>
    <x v="0"/>
    <m/>
    <m/>
  </r>
  <r>
    <x v="60"/>
    <d v="2023-12-22T00:00:00"/>
    <s v="Discover More Card - Ending in 7779"/>
    <x v="0"/>
    <n v="9.31"/>
    <x v="0"/>
    <s v="Dry Cleaning"/>
    <m/>
    <m/>
    <m/>
    <m/>
    <m/>
    <m/>
    <m/>
    <x v="0"/>
    <m/>
    <m/>
  </r>
  <r>
    <x v="60"/>
    <d v="2023-12-22T00:00:00"/>
    <s v="Delta Skymiles Platinum Card - Ending in 1007"/>
    <x v="3556"/>
    <n v="41.32"/>
    <x v="5"/>
    <s v="Groceries"/>
    <m/>
    <m/>
    <m/>
    <m/>
    <m/>
    <m/>
    <m/>
    <x v="3136"/>
    <m/>
    <m/>
  </r>
  <r>
    <x v="60"/>
    <d v="2023-12-22T00:00:00"/>
    <s v="Delta Skymiles Platinum Card - Ending in 1007"/>
    <x v="823"/>
    <n v="76.44"/>
    <x v="2"/>
    <s v="Transportation"/>
    <m/>
    <m/>
    <m/>
    <m/>
    <m/>
    <m/>
    <m/>
    <x v="792"/>
    <m/>
    <m/>
  </r>
  <r>
    <x v="60"/>
    <d v="2023-12-22T00:00:00"/>
    <s v="Delta Skymiles Platinum Card - Ending in 1007"/>
    <x v="977"/>
    <n v="74.37"/>
    <x v="1"/>
    <s v="Restaurants"/>
    <m/>
    <m/>
    <m/>
    <m/>
    <m/>
    <m/>
    <m/>
    <x v="937"/>
    <m/>
    <m/>
  </r>
  <r>
    <x v="60"/>
    <d v="2023-12-22T00:00:00"/>
    <s v="Powerplus - Ending in 8s30"/>
    <x v="3657"/>
    <n v="552.28"/>
    <x v="3"/>
    <m/>
    <s v="Delete"/>
    <m/>
    <m/>
    <m/>
    <m/>
    <m/>
    <m/>
    <x v="3219"/>
    <m/>
    <m/>
  </r>
  <r>
    <x v="60"/>
    <d v="2023-12-23T00:00:00"/>
    <s v="Delta Skymiles Platinum Card - Ending in 1007"/>
    <x v="4389"/>
    <n v="181.63"/>
    <x v="1"/>
    <s v="Restaurants"/>
    <m/>
    <m/>
    <m/>
    <m/>
    <m/>
    <m/>
    <m/>
    <x v="3895"/>
    <m/>
    <m/>
  </r>
  <r>
    <x v="60"/>
    <d v="2023-12-24T00:00:00"/>
    <s v="Delta Skymiles Platinum Card - Ending in 1007"/>
    <x v="6"/>
    <n v="1.04"/>
    <x v="5"/>
    <s v="Groceries"/>
    <m/>
    <m/>
    <m/>
    <m/>
    <m/>
    <m/>
    <m/>
    <x v="6"/>
    <m/>
    <m/>
  </r>
  <r>
    <x v="60"/>
    <d v="2023-12-24T00:00:00"/>
    <s v="Delta Skymiles Platinum Card - Ending in 1007"/>
    <x v="1837"/>
    <n v="30.82"/>
    <x v="19"/>
    <s v="House Maintenance"/>
    <m/>
    <m/>
    <m/>
    <m/>
    <m/>
    <m/>
    <m/>
    <x v="1692"/>
    <m/>
    <m/>
  </r>
  <r>
    <x v="60"/>
    <d v="2023-12-26T00:00:00"/>
    <s v="Delta Skymiles Platinum Card - Ending in 1007"/>
    <x v="4340"/>
    <n v="319.51"/>
    <x v="19"/>
    <s v="House Maintenance"/>
    <m/>
    <m/>
    <m/>
    <m/>
    <m/>
    <m/>
    <m/>
    <x v="3853"/>
    <m/>
    <m/>
  </r>
  <r>
    <x v="60"/>
    <d v="2023-12-27T00:00:00"/>
    <s v="Discover More Card - Ending in 7779"/>
    <x v="0"/>
    <n v="19.5"/>
    <x v="0"/>
    <s v="Dry Cleaning"/>
    <m/>
    <m/>
    <m/>
    <m/>
    <m/>
    <m/>
    <m/>
    <x v="0"/>
    <m/>
    <m/>
  </r>
  <r>
    <x v="60"/>
    <d v="2023-12-27T00:00:00"/>
    <s v="Delta Skymiles Platinum Card - Ending in 1007"/>
    <x v="627"/>
    <n v="365.19"/>
    <x v="2"/>
    <s v="Transportation"/>
    <m/>
    <m/>
    <m/>
    <m/>
    <m/>
    <m/>
    <m/>
    <x v="605"/>
    <m/>
    <m/>
  </r>
  <r>
    <x v="60"/>
    <d v="2023-12-28T00:00:00"/>
    <s v="Discover More Card - Ending in 7779"/>
    <x v="0"/>
    <n v="187.98"/>
    <x v="0"/>
    <s v="Dry Cleaning"/>
    <m/>
    <m/>
    <m/>
    <m/>
    <m/>
    <m/>
    <m/>
    <x v="0"/>
    <m/>
    <m/>
  </r>
  <r>
    <x v="60"/>
    <d v="2023-12-28T00:00:00"/>
    <s v="Discover More Card - Ending in 7779"/>
    <x v="0"/>
    <n v="41.51"/>
    <x v="0"/>
    <s v="Dry Cleaning"/>
    <m/>
    <m/>
    <m/>
    <m/>
    <m/>
    <m/>
    <m/>
    <x v="0"/>
    <m/>
    <m/>
  </r>
  <r>
    <x v="60"/>
    <d v="2023-12-29T00:00:00"/>
    <s v="Discover More Card - Ending in 7779"/>
    <x v="0"/>
    <n v="1.71"/>
    <x v="0"/>
    <s v="Amazon"/>
    <m/>
    <m/>
    <m/>
    <m/>
    <m/>
    <m/>
    <m/>
    <x v="0"/>
    <m/>
    <m/>
  </r>
  <r>
    <x v="60"/>
    <d v="2023-12-29T00:00:00"/>
    <s v="Delta Skymiles Platinum Card - Ending in 1007"/>
    <x v="4390"/>
    <n v="47.95"/>
    <x v="1"/>
    <s v="Restaurants"/>
    <m/>
    <m/>
    <m/>
    <m/>
    <m/>
    <m/>
    <m/>
    <x v="3896"/>
    <m/>
    <m/>
  </r>
  <r>
    <x v="60"/>
    <d v="2023-12-29T00:00:00"/>
    <s v="Delta Skymiles Platinum Card - Ending in 1007"/>
    <x v="4391"/>
    <n v="36.799999999999997"/>
    <x v="8"/>
    <s v="Shopping"/>
    <m/>
    <m/>
    <m/>
    <m/>
    <m/>
    <m/>
    <m/>
    <x v="3897"/>
    <m/>
    <m/>
  </r>
  <r>
    <x v="60"/>
    <d v="2023-12-29T00:00:00"/>
    <s v="Delta Skymiles Platinum Card - Ending in 1007"/>
    <x v="4392"/>
    <n v="208.53"/>
    <x v="5"/>
    <s v="Groceries"/>
    <m/>
    <m/>
    <m/>
    <m/>
    <m/>
    <m/>
    <m/>
    <x v="3898"/>
    <m/>
    <m/>
  </r>
  <r>
    <x v="60"/>
    <d v="2023-12-29T00:00:00"/>
    <s v="Delta Skymiles Platinum Card - Ending in 1007"/>
    <x v="4393"/>
    <n v="62.51"/>
    <x v="1"/>
    <s v="Restaurants"/>
    <m/>
    <m/>
    <m/>
    <m/>
    <m/>
    <m/>
    <m/>
    <x v="3899"/>
    <m/>
    <m/>
  </r>
  <r>
    <x v="60"/>
    <d v="2023-12-30T00:00:00"/>
    <s v="Delta Skymiles Platinum Card - Ending in 1007"/>
    <x v="2048"/>
    <n v="62.66"/>
    <x v="1"/>
    <s v="Restaurants"/>
    <m/>
    <m/>
    <m/>
    <m/>
    <m/>
    <m/>
    <m/>
    <x v="1898"/>
    <m/>
    <m/>
  </r>
  <r>
    <x v="60"/>
    <d v="2023-12-30T00:00:00"/>
    <s v="Delta Skymiles Platinum Card - Ending in 1007"/>
    <x v="4394"/>
    <n v="48.65"/>
    <x v="24"/>
    <s v="Travel"/>
    <m/>
    <m/>
    <m/>
    <m/>
    <m/>
    <m/>
    <m/>
    <x v="3900"/>
    <m/>
    <m/>
  </r>
  <r>
    <x v="60"/>
    <d v="2023-12-30T00:00:00"/>
    <s v="Delta Skymiles Platinum Card - Ending in 1007"/>
    <x v="4394"/>
    <n v="35.200000000000003"/>
    <x v="24"/>
    <s v="Travel"/>
    <m/>
    <m/>
    <m/>
    <m/>
    <m/>
    <m/>
    <m/>
    <x v="3900"/>
    <m/>
    <m/>
  </r>
  <r>
    <x v="60"/>
    <d v="2023-12-30T00:00:00"/>
    <s v="Delta Skymiles Platinum Card - Ending in 1007"/>
    <x v="4394"/>
    <n v="39.549999999999997"/>
    <x v="24"/>
    <s v="Travel"/>
    <m/>
    <m/>
    <m/>
    <m/>
    <m/>
    <m/>
    <m/>
    <x v="3900"/>
    <m/>
    <m/>
  </r>
  <r>
    <x v="60"/>
    <d v="2023-12-30T00:00:00"/>
    <s v="Delta Skymiles Platinum Card - Ending in 1007"/>
    <x v="4395"/>
    <n v="23.5"/>
    <x v="1"/>
    <s v="Restaurants"/>
    <m/>
    <m/>
    <m/>
    <m/>
    <m/>
    <m/>
    <m/>
    <x v="3901"/>
    <m/>
    <m/>
  </r>
  <r>
    <x v="60"/>
    <d v="2023-12-30T00:00:00"/>
    <s v="Delta Skymiles Platinum Card - Ending in 1007"/>
    <x v="4396"/>
    <n v="494"/>
    <x v="24"/>
    <s v="Travel"/>
    <m/>
    <m/>
    <m/>
    <m/>
    <m/>
    <m/>
    <m/>
    <x v="3902"/>
    <m/>
    <m/>
  </r>
  <r>
    <x v="60"/>
    <d v="2023-12-31T00:00:00"/>
    <s v="Delta Skymiles Platinum Card - Ending in 1007"/>
    <x v="4397"/>
    <n v="33.56"/>
    <x v="1"/>
    <s v="Restaurants"/>
    <m/>
    <m/>
    <m/>
    <m/>
    <m/>
    <m/>
    <m/>
    <x v="3903"/>
    <m/>
    <m/>
  </r>
  <r>
    <x v="60"/>
    <d v="2023-12-31T00:00:00"/>
    <s v="Delta Skymiles Platinum Card - Ending in 1007"/>
    <x v="4398"/>
    <n v="322.02999999999997"/>
    <x v="5"/>
    <s v="Groceries"/>
    <m/>
    <m/>
    <m/>
    <m/>
    <m/>
    <m/>
    <m/>
    <x v="3904"/>
    <m/>
    <m/>
  </r>
  <r>
    <x v="60"/>
    <d v="2023-12-31T00:00:00"/>
    <s v="Delta Skymiles Platinum Card - Ending in 1007"/>
    <x v="4399"/>
    <n v="30"/>
    <x v="1"/>
    <s v="Restaurants"/>
    <m/>
    <m/>
    <m/>
    <m/>
    <m/>
    <m/>
    <m/>
    <x v="3905"/>
    <m/>
    <m/>
  </r>
  <r>
    <x v="60"/>
    <d v="2023-12-31T00:00:00"/>
    <s v="Delta Skymiles Platinum Card - Ending in 1007"/>
    <x v="4400"/>
    <n v="27.98"/>
    <x v="1"/>
    <s v="Restaurants"/>
    <m/>
    <m/>
    <m/>
    <m/>
    <m/>
    <m/>
    <m/>
    <x v="3906"/>
    <m/>
    <m/>
  </r>
  <r>
    <x v="60"/>
    <d v="2023-12-31T00:00:00"/>
    <s v="Delta Skymiles Platinum Card - Ending in 1007"/>
    <x v="4401"/>
    <n v="571.96"/>
    <x v="1"/>
    <s v="Restaurants"/>
    <m/>
    <m/>
    <m/>
    <m/>
    <m/>
    <m/>
    <m/>
    <x v="3907"/>
    <m/>
    <m/>
  </r>
  <r>
    <x v="60"/>
    <d v="2023-12-31T00:00:00"/>
    <s v="Delta Skymiles Platinum Card - Ending in 1007"/>
    <x v="4402"/>
    <n v="75.760000000000005"/>
    <x v="1"/>
    <s v="Restaurants"/>
    <m/>
    <m/>
    <m/>
    <m/>
    <m/>
    <m/>
    <m/>
    <x v="3908"/>
    <m/>
    <m/>
  </r>
  <r>
    <x v="44"/>
    <d v="2024-01-01T00:00:00"/>
    <s v="Cash Rewards Visa Signature - Ending in 6000"/>
    <x v="4403"/>
    <n v="5.41"/>
    <x v="0"/>
    <m/>
    <s v="Exp - Amazon"/>
    <m/>
    <m/>
    <m/>
    <m/>
    <m/>
    <m/>
    <x v="3909"/>
    <m/>
    <m/>
  </r>
  <r>
    <x v="44"/>
    <d v="2024-01-01T00:00:00"/>
    <s v="manual"/>
    <x v="1850"/>
    <n v="250"/>
    <x v="56"/>
    <m/>
    <s v="Exp - Cleaning"/>
    <m/>
    <m/>
    <m/>
    <m/>
    <m/>
    <m/>
    <x v="1705"/>
    <m/>
    <m/>
  </r>
  <r>
    <x v="44"/>
    <d v="2024-01-01T00:00:00"/>
    <s v="Delta Skymiles Platinum Card - Ending in 1007"/>
    <x v="3508"/>
    <n v="405.37"/>
    <x v="24"/>
    <s v="Travel"/>
    <m/>
    <m/>
    <m/>
    <m/>
    <m/>
    <m/>
    <m/>
    <x v="3097"/>
    <m/>
    <m/>
  </r>
  <r>
    <x v="44"/>
    <d v="2024-01-01T00:00:00"/>
    <s v="Delta Skymiles Platinum Card - Ending in 1007"/>
    <x v="4404"/>
    <n v="22.34"/>
    <x v="24"/>
    <s v="Car Loan"/>
    <s v="Exp - Travel"/>
    <m/>
    <m/>
    <m/>
    <m/>
    <m/>
    <m/>
    <x v="3910"/>
    <m/>
    <s v="Tahoe"/>
  </r>
  <r>
    <x v="44"/>
    <d v="2024-01-01T00:00:00"/>
    <s v="Delta Skymiles Platinum Card - Ending in 1007"/>
    <x v="4405"/>
    <n v="1617.69"/>
    <x v="24"/>
    <s v="Restaurants"/>
    <s v="Exp - Travel"/>
    <m/>
    <m/>
    <m/>
    <m/>
    <m/>
    <m/>
    <x v="3911"/>
    <m/>
    <s v="Tahoe"/>
  </r>
  <r>
    <x v="44"/>
    <d v="2024-01-01T00:00:00"/>
    <s v="Delta Skymiles Platinum Card - Ending in 1007"/>
    <x v="4136"/>
    <n v="248.28"/>
    <x v="18"/>
    <s v="Travel"/>
    <s v="Sav - 401K"/>
    <m/>
    <m/>
    <m/>
    <m/>
    <m/>
    <m/>
    <x v="3670"/>
    <m/>
    <m/>
  </r>
  <r>
    <x v="44"/>
    <d v="2024-01-01T00:00:00"/>
    <s v="Delta Skymiles Platinum Card - Ending in 1007"/>
    <x v="487"/>
    <n v="214.2"/>
    <x v="8"/>
    <s v="Shopping"/>
    <m/>
    <m/>
    <m/>
    <m/>
    <m/>
    <m/>
    <m/>
    <x v="470"/>
    <m/>
    <m/>
  </r>
  <r>
    <x v="61"/>
    <d v="2024-01-01T00:00:00"/>
    <s v="Powerplus - Ending in 8s30"/>
    <x v="4406"/>
    <n v="237.3"/>
    <x v="11"/>
    <m/>
    <s v="Exp - Utilities"/>
    <m/>
    <m/>
    <m/>
    <m/>
    <m/>
    <m/>
    <x v="3912"/>
    <m/>
    <m/>
  </r>
  <r>
    <x v="44"/>
    <d v="2024-01-02T00:00:00"/>
    <s v="Powerplus - Ending in 8s54"/>
    <x v="4407"/>
    <n v="96.5"/>
    <x v="11"/>
    <m/>
    <s v="Exp - Utilities"/>
    <m/>
    <m/>
    <m/>
    <m/>
    <m/>
    <m/>
    <x v="3913"/>
    <m/>
    <m/>
  </r>
  <r>
    <x v="44"/>
    <d v="2024-01-02T00:00:00"/>
    <s v="Powerplus - Ending in 8s52"/>
    <x v="1844"/>
    <n v="2741.74"/>
    <x v="6"/>
    <m/>
    <s v="Exp - Rent"/>
    <m/>
    <m/>
    <m/>
    <m/>
    <m/>
    <m/>
    <x v="1699"/>
    <m/>
    <m/>
  </r>
  <r>
    <x v="44"/>
    <d v="2024-01-02T00:00:00"/>
    <s v="Powerplus - Ending in 8s53"/>
    <x v="3996"/>
    <n v="650"/>
    <x v="9"/>
    <m/>
    <s v="Sav - College Savings"/>
    <m/>
    <m/>
    <m/>
    <m/>
    <m/>
    <m/>
    <x v="3539"/>
    <m/>
    <m/>
  </r>
  <r>
    <x v="44"/>
    <d v="2024-01-02T00:00:00"/>
    <s v="Powerplus - Ending in 8s55"/>
    <x v="1849"/>
    <n v="40.22"/>
    <x v="8"/>
    <m/>
    <s v="Exp - Shopping"/>
    <m/>
    <m/>
    <m/>
    <m/>
    <m/>
    <m/>
    <x v="1704"/>
    <m/>
    <m/>
  </r>
  <r>
    <x v="62"/>
    <d v="2024-08-22T00:00:00"/>
    <s v="Cash Rewards Visa Signature - Ending in 5913"/>
    <x v="4408"/>
    <n v="73.099999999999994"/>
    <x v="3"/>
    <m/>
    <s v="Delete"/>
    <m/>
    <m/>
    <m/>
    <m/>
    <m/>
    <m/>
    <x v="3914"/>
    <m/>
    <m/>
  </r>
  <r>
    <x v="44"/>
    <d v="2024-01-03T00:00:00"/>
    <s v="Cash Rewards Visa Signature - Ending in 5999"/>
    <x v="214"/>
    <n v="9.6999999999999993"/>
    <x v="2"/>
    <m/>
    <s v="Exp - Transportation"/>
    <m/>
    <m/>
    <m/>
    <m/>
    <m/>
    <m/>
    <x v="213"/>
    <m/>
    <m/>
  </r>
  <r>
    <x v="44"/>
    <d v="2024-01-03T00:00:00"/>
    <s v="Delta Skymiles Platinum Card - Ending in 1007"/>
    <x v="1837"/>
    <n v="38.79"/>
    <x v="19"/>
    <s v="Delete - Home Improvement"/>
    <s v="Exp - House Maint"/>
    <m/>
    <m/>
    <m/>
    <m/>
    <m/>
    <m/>
    <x v="1692"/>
    <m/>
    <m/>
  </r>
  <r>
    <x v="44"/>
    <d v="2024-01-03T00:00:00"/>
    <s v="Powerplus - Ending in 8s51"/>
    <x v="4409"/>
    <n v="346"/>
    <x v="4"/>
    <m/>
    <s v="Exp - Day Care"/>
    <m/>
    <m/>
    <m/>
    <m/>
    <m/>
    <m/>
    <x v="3216"/>
    <m/>
    <m/>
  </r>
  <r>
    <x v="44"/>
    <d v="2024-01-04T00:00:00"/>
    <s v="Discover More Card - Ending in 7779"/>
    <x v="0"/>
    <n v="57.86"/>
    <x v="0"/>
    <s v="Dry Cleaning"/>
    <s v="Exp - Amazon"/>
    <m/>
    <m/>
    <m/>
    <m/>
    <m/>
    <m/>
    <x v="0"/>
    <m/>
    <m/>
  </r>
  <r>
    <x v="44"/>
    <d v="2024-01-04T00:00:00"/>
    <s v="Discover More Card - Ending in 7779"/>
    <x v="0"/>
    <n v="27.18"/>
    <x v="0"/>
    <s v="Amazon"/>
    <s v="Exp - Amazon"/>
    <m/>
    <m/>
    <m/>
    <m/>
    <m/>
    <m/>
    <x v="0"/>
    <m/>
    <m/>
  </r>
  <r>
    <x v="44"/>
    <d v="2024-01-04T00:00:00"/>
    <s v="Delta Skymiles Platinum Card - Ending in 1007"/>
    <x v="4410"/>
    <n v="60"/>
    <x v="8"/>
    <s v="Shopping"/>
    <m/>
    <m/>
    <m/>
    <m/>
    <m/>
    <m/>
    <m/>
    <x v="3915"/>
    <m/>
    <m/>
  </r>
  <r>
    <x v="44"/>
    <d v="2024-01-04T00:00:00"/>
    <s v="Powerplus - Ending in 8s49"/>
    <x v="1893"/>
    <n v="-2681.91"/>
    <x v="13"/>
    <m/>
    <s v="Inc - Other"/>
    <m/>
    <m/>
    <m/>
    <m/>
    <m/>
    <m/>
    <x v="1746"/>
    <m/>
    <m/>
  </r>
  <r>
    <x v="44"/>
    <d v="2024-01-04T00:00:00"/>
    <s v="Cash Rewards Visa Signature - Ending in 5997"/>
    <x v="3472"/>
    <n v="100"/>
    <x v="4"/>
    <m/>
    <s v="Exp - Day Care"/>
    <m/>
    <m/>
    <m/>
    <m/>
    <m/>
    <m/>
    <x v="3063"/>
    <m/>
    <m/>
  </r>
  <r>
    <x v="44"/>
    <d v="2024-01-04T00:00:00"/>
    <s v="Cash Rewards Visa Signature - Ending in 5998"/>
    <x v="4188"/>
    <n v="126"/>
    <x v="8"/>
    <m/>
    <s v="Exp - Shopping"/>
    <m/>
    <m/>
    <m/>
    <m/>
    <m/>
    <m/>
    <x v="3717"/>
    <m/>
    <m/>
  </r>
  <r>
    <x v="44"/>
    <d v="2024-01-05T00:00:00"/>
    <s v="Discover More Card - Ending in 7779"/>
    <x v="0"/>
    <n v="151.5"/>
    <x v="0"/>
    <s v="Dry Cleaning"/>
    <s v="Exp - Amazon"/>
    <m/>
    <m/>
    <m/>
    <m/>
    <m/>
    <m/>
    <x v="0"/>
    <m/>
    <m/>
  </r>
  <r>
    <x v="44"/>
    <d v="2024-01-05T00:00:00"/>
    <s v="Cash Rewards Visa Signature - Ending in 5996"/>
    <x v="4215"/>
    <n v="42.89"/>
    <x v="2"/>
    <m/>
    <s v="Exp - Transportation"/>
    <m/>
    <m/>
    <m/>
    <m/>
    <m/>
    <m/>
    <x v="3742"/>
    <m/>
    <m/>
  </r>
  <r>
    <x v="44"/>
    <d v="2024-01-05T00:00:00"/>
    <s v="Cash Rewards Visa Signature - Ending in 5995"/>
    <x v="4411"/>
    <n v="36"/>
    <x v="1"/>
    <m/>
    <s v="Exp - Restaurants"/>
    <m/>
    <m/>
    <m/>
    <m/>
    <m/>
    <m/>
    <x v="3916"/>
    <m/>
    <m/>
  </r>
  <r>
    <x v="44"/>
    <d v="2024-01-05T00:00:00"/>
    <s v="Cash Rewards Visa Signature - Ending in 5994"/>
    <x v="4412"/>
    <n v="217.5"/>
    <x v="8"/>
    <m/>
    <s v="Exp - Shopping"/>
    <m/>
    <m/>
    <m/>
    <m/>
    <m/>
    <m/>
    <x v="3917"/>
    <m/>
    <m/>
  </r>
  <r>
    <x v="44"/>
    <d v="2024-01-05T00:00:00"/>
    <s v="Delta Skymiles Platinum Card - Ending in 1007"/>
    <x v="1837"/>
    <n v="30.48"/>
    <x v="19"/>
    <s v="House Maintenance"/>
    <s v="Exp - House Maint"/>
    <m/>
    <m/>
    <m/>
    <m/>
    <m/>
    <m/>
    <x v="1692"/>
    <m/>
    <m/>
  </r>
  <r>
    <x v="44"/>
    <d v="2024-01-05T00:00:00"/>
    <s v="Delta Skymiles Platinum Card - Ending in 1007"/>
    <x v="1837"/>
    <n v="-38.79"/>
    <x v="19"/>
    <s v="House Maintenance"/>
    <s v="Exp - House Maint"/>
    <m/>
    <m/>
    <m/>
    <m/>
    <m/>
    <m/>
    <x v="1692"/>
    <m/>
    <m/>
  </r>
  <r>
    <x v="44"/>
    <d v="2024-01-06T00:00:00"/>
    <s v="Delta Skymiles Platinum Card - Ending in 1007"/>
    <x v="4413"/>
    <n v="54.13"/>
    <x v="1"/>
    <s v="Restaurants"/>
    <m/>
    <m/>
    <m/>
    <m/>
    <m/>
    <m/>
    <m/>
    <x v="3918"/>
    <m/>
    <m/>
  </r>
  <r>
    <x v="63"/>
    <d v="2024-11-22T00:00:00"/>
    <s v="Cash Rewards Visa Signature - Ending in 5913"/>
    <x v="4414"/>
    <n v="58.49"/>
    <x v="3"/>
    <m/>
    <s v="Delete"/>
    <m/>
    <m/>
    <m/>
    <m/>
    <m/>
    <m/>
    <x v="3919"/>
    <m/>
    <m/>
  </r>
  <r>
    <x v="44"/>
    <d v="2024-01-06T00:00:00"/>
    <s v="Delta Skymiles Platinum Card - Ending in 1007"/>
    <x v="4384"/>
    <n v="146.78"/>
    <x v="10"/>
    <s v="Shopping"/>
    <s v="Exp - Entertainment"/>
    <m/>
    <m/>
    <m/>
    <m/>
    <m/>
    <m/>
    <x v="3892"/>
    <m/>
    <m/>
  </r>
  <r>
    <x v="44"/>
    <d v="2024-01-07T00:00:00"/>
    <s v="Cash Rewards Visa Signature - Ending in 5992"/>
    <x v="1895"/>
    <n v="-21.94"/>
    <x v="0"/>
    <m/>
    <s v="Exp - Amazon"/>
    <m/>
    <m/>
    <m/>
    <m/>
    <m/>
    <m/>
    <x v="1748"/>
    <m/>
    <m/>
  </r>
  <r>
    <x v="44"/>
    <d v="2024-01-07T00:00:00"/>
    <s v="Cash Rewards Visa Signature - Ending in 5993"/>
    <x v="4415"/>
    <n v="9.74"/>
    <x v="0"/>
    <m/>
    <s v="Exp - Amazon"/>
    <m/>
    <m/>
    <m/>
    <m/>
    <m/>
    <m/>
    <x v="3920"/>
    <m/>
    <m/>
  </r>
  <r>
    <x v="44"/>
    <d v="2024-01-07T00:00:00"/>
    <s v="Powerplus - Ending in 8s48"/>
    <x v="3652"/>
    <n v="-75"/>
    <x v="13"/>
    <m/>
    <s v="Inc - Other"/>
    <m/>
    <m/>
    <m/>
    <m/>
    <m/>
    <m/>
    <x v="3214"/>
    <m/>
    <m/>
  </r>
  <r>
    <x v="44"/>
    <d v="2024-01-07T00:00:00"/>
    <s v="Delta Skymiles Platinum Card - Ending in 1007"/>
    <x v="3511"/>
    <n v="120.54"/>
    <x v="5"/>
    <s v="Groceries"/>
    <m/>
    <m/>
    <m/>
    <m/>
    <m/>
    <m/>
    <m/>
    <x v="3099"/>
    <m/>
    <m/>
  </r>
  <r>
    <x v="44"/>
    <d v="2024-01-07T00:00:00"/>
    <s v="Cash Rewards Visa Signature - Ending in 5991"/>
    <x v="1837"/>
    <n v="-32.479999999999997"/>
    <x v="19"/>
    <m/>
    <s v="Exp - House Maint"/>
    <m/>
    <m/>
    <m/>
    <m/>
    <m/>
    <m/>
    <x v="1692"/>
    <m/>
    <m/>
  </r>
  <r>
    <x v="44"/>
    <d v="2024-01-08T00:00:00"/>
    <s v="Delta Skymiles Platinum Card - Ending in 1007"/>
    <x v="523"/>
    <n v="32.700000000000003"/>
    <x v="1"/>
    <s v="Restaurants"/>
    <m/>
    <m/>
    <m/>
    <m/>
    <m/>
    <m/>
    <m/>
    <x v="504"/>
    <m/>
    <m/>
  </r>
  <r>
    <x v="44"/>
    <d v="2024-01-12T00:00:00"/>
    <s v="Delta Skymiles Platinum Card - Ending in 1007"/>
    <x v="4106"/>
    <n v="485.61"/>
    <x v="3"/>
    <s v="Travel"/>
    <s v="Delete"/>
    <m/>
    <m/>
    <m/>
    <m/>
    <m/>
    <m/>
    <x v="3641"/>
    <m/>
    <m/>
  </r>
  <r>
    <x v="63"/>
    <d v="2024-11-09T00:00:00"/>
    <s v="American Express"/>
    <x v="4416"/>
    <n v="24"/>
    <x v="3"/>
    <m/>
    <s v="Delete"/>
    <m/>
    <m/>
    <m/>
    <m/>
    <m/>
    <m/>
    <x v="3921"/>
    <m/>
    <m/>
  </r>
  <r>
    <x v="44"/>
    <d v="2024-01-08T00:00:00"/>
    <s v="Delta Skymiles Platinum Card - Ending in 1007"/>
    <x v="4417"/>
    <n v="13.2"/>
    <x v="25"/>
    <s v="Healthcare"/>
    <m/>
    <m/>
    <m/>
    <m/>
    <m/>
    <m/>
    <m/>
    <x v="3922"/>
    <m/>
    <m/>
  </r>
  <r>
    <x v="25"/>
    <d v="2024-05-30T00:00:00"/>
    <s v="Delta Skymiles Platinum Card ( X ) - Ending in 1007"/>
    <x v="326"/>
    <n v="322.97000000000003"/>
    <x v="3"/>
    <s v="Travel"/>
    <s v="Delete"/>
    <m/>
    <m/>
    <m/>
    <m/>
    <m/>
    <m/>
    <x v="317"/>
    <m/>
    <m/>
  </r>
  <r>
    <x v="44"/>
    <d v="2024-01-08T00:00:00"/>
    <s v="Cash Rewards Visa Signature - Ending in 5990"/>
    <x v="4418"/>
    <n v="150.63999999999999"/>
    <x v="0"/>
    <m/>
    <s v="Exp - Amazon"/>
    <m/>
    <m/>
    <m/>
    <m/>
    <m/>
    <m/>
    <x v="3923"/>
    <m/>
    <m/>
  </r>
  <r>
    <x v="64"/>
    <d v="2024-04-26T00:00:00"/>
    <s v="Delta Skymiles Platinum Card ( X ) - Ending in 1007"/>
    <x v="48"/>
    <n v="163.81"/>
    <x v="16"/>
    <s v="Delete Brit"/>
    <s v="Exp - Insurance"/>
    <m/>
    <m/>
    <m/>
    <m/>
    <m/>
    <m/>
    <x v="48"/>
    <m/>
    <m/>
  </r>
  <r>
    <x v="44"/>
    <d v="2024-01-08T00:00:00"/>
    <s v="Powerplus - Ending in 8s46"/>
    <x v="1869"/>
    <n v="152.30000000000001"/>
    <x v="11"/>
    <m/>
    <s v="Exp - Utilities"/>
    <m/>
    <m/>
    <m/>
    <m/>
    <m/>
    <m/>
    <x v="1723"/>
    <m/>
    <m/>
  </r>
  <r>
    <x v="44"/>
    <d v="2024-01-08T00:00:00"/>
    <s v="Powerplus - Ending in 8s47"/>
    <x v="1827"/>
    <n v="114.75"/>
    <x v="8"/>
    <m/>
    <s v="Exp - Shopping"/>
    <m/>
    <m/>
    <m/>
    <m/>
    <m/>
    <m/>
    <x v="1682"/>
    <m/>
    <m/>
  </r>
  <r>
    <x v="63"/>
    <d v="2024-11-09T00:00:00"/>
    <s v="American Express"/>
    <x v="4419"/>
    <n v="9.42"/>
    <x v="3"/>
    <m/>
    <s v="Delete"/>
    <m/>
    <m/>
    <m/>
    <m/>
    <m/>
    <m/>
    <x v="3924"/>
    <m/>
    <m/>
  </r>
  <r>
    <x v="65"/>
    <d v="2024-09-11T00:00:00"/>
    <s v="Delta Skymiles Platinum Card ( X ) - Ending in 1008"/>
    <x v="4420"/>
    <n v="134.16"/>
    <x v="3"/>
    <m/>
    <s v="Delete"/>
    <m/>
    <m/>
    <m/>
    <m/>
    <m/>
    <m/>
    <x v="3925"/>
    <m/>
    <m/>
  </r>
  <r>
    <x v="44"/>
    <d v="2024-01-09T00:00:00"/>
    <s v="Cash Rewards Visa Signature - Ending in 5988"/>
    <x v="1867"/>
    <n v="47.69"/>
    <x v="27"/>
    <m/>
    <s v="Exp - Gym"/>
    <m/>
    <m/>
    <m/>
    <m/>
    <m/>
    <m/>
    <x v="1721"/>
    <m/>
    <m/>
  </r>
  <r>
    <x v="44"/>
    <d v="2024-01-09T00:00:00"/>
    <s v="Powerplus - Ending in 8s43"/>
    <x v="4421"/>
    <n v="346"/>
    <x v="4"/>
    <m/>
    <s v="Exp - Day Care"/>
    <m/>
    <m/>
    <m/>
    <m/>
    <m/>
    <m/>
    <x v="3216"/>
    <m/>
    <m/>
  </r>
  <r>
    <x v="44"/>
    <d v="2024-01-10T00:00:00"/>
    <s v="Delta Skymiles Platinum Card - Ending in 1007"/>
    <x v="4422"/>
    <n v="5.7"/>
    <x v="5"/>
    <s v="Groceries"/>
    <s v="Exp - Groceries"/>
    <m/>
    <m/>
    <m/>
    <m/>
    <m/>
    <m/>
    <x v="3926"/>
    <m/>
    <m/>
  </r>
  <r>
    <x v="44"/>
    <d v="2024-01-10T00:00:00"/>
    <s v="Cash Rewards Visa Signature - Ending in 5987"/>
    <x v="4423"/>
    <n v="42"/>
    <x v="4"/>
    <m/>
    <s v="Exp - Day Care"/>
    <m/>
    <m/>
    <m/>
    <m/>
    <m/>
    <m/>
    <x v="3927"/>
    <m/>
    <m/>
  </r>
  <r>
    <x v="44"/>
    <d v="2024-01-11T00:00:00"/>
    <s v="Cash Rewards Visa Signature - Ending in 5986"/>
    <x v="4424"/>
    <n v="443"/>
    <x v="4"/>
    <m/>
    <s v="Exp - Day Care"/>
    <m/>
    <m/>
    <m/>
    <m/>
    <m/>
    <m/>
    <x v="3928"/>
    <m/>
    <m/>
  </r>
  <r>
    <x v="44"/>
    <d v="2024-01-11T00:00:00"/>
    <s v="Delta Skymiles Platinum Card - Ending in 1007"/>
    <x v="57"/>
    <n v="137.15"/>
    <x v="25"/>
    <s v="Groceries"/>
    <m/>
    <m/>
    <m/>
    <m/>
    <m/>
    <m/>
    <m/>
    <x v="57"/>
    <m/>
    <m/>
  </r>
  <r>
    <x v="44"/>
    <d v="2024-01-11T00:00:00"/>
    <s v="Delta Skymiles Platinum Card - Ending in 1007"/>
    <x v="59"/>
    <n v="3.85"/>
    <x v="1"/>
    <s v="Restaurants"/>
    <m/>
    <m/>
    <m/>
    <m/>
    <m/>
    <m/>
    <m/>
    <x v="59"/>
    <m/>
    <m/>
  </r>
  <r>
    <x v="44"/>
    <d v="2024-01-11T00:00:00"/>
    <s v="Delta Skymiles Platinum Card - Ending in 1007"/>
    <x v="4291"/>
    <n v="8.23"/>
    <x v="1"/>
    <s v="Restaurants"/>
    <m/>
    <m/>
    <m/>
    <m/>
    <m/>
    <m/>
    <m/>
    <x v="3809"/>
    <m/>
    <m/>
  </r>
  <r>
    <x v="44"/>
    <d v="2024-01-11T00:00:00"/>
    <s v="Delta Skymiles Platinum Card - Ending in 1007"/>
    <x v="4300"/>
    <n v="4"/>
    <x v="11"/>
    <s v="Delete - Online Services"/>
    <s v="Exp - Utilities"/>
    <m/>
    <m/>
    <m/>
    <m/>
    <m/>
    <m/>
    <x v="3817"/>
    <m/>
    <m/>
  </r>
  <r>
    <x v="63"/>
    <d v="2024-11-05T00:00:00"/>
    <s v="American Express"/>
    <x v="4425"/>
    <n v="26.88"/>
    <x v="3"/>
    <m/>
    <s v="Delete"/>
    <m/>
    <m/>
    <m/>
    <m/>
    <m/>
    <m/>
    <x v="3929"/>
    <m/>
    <m/>
  </r>
  <r>
    <x v="44"/>
    <d v="2024-01-11T00:00:00"/>
    <s v="Cash Rewards Visa Signature - Ending in 5984"/>
    <x v="99"/>
    <n v="25.6"/>
    <x v="11"/>
    <m/>
    <s v="Exp - Utilities"/>
    <m/>
    <m/>
    <m/>
    <m/>
    <m/>
    <m/>
    <x v="99"/>
    <m/>
    <m/>
  </r>
  <r>
    <x v="44"/>
    <d v="2024-01-11T00:00:00"/>
    <s v="Delta Skymiles Platinum Card - Ending in 1007"/>
    <x v="3945"/>
    <n v="24.37"/>
    <x v="1"/>
    <s v="Restaurants"/>
    <m/>
    <m/>
    <m/>
    <m/>
    <m/>
    <m/>
    <m/>
    <x v="3490"/>
    <m/>
    <m/>
  </r>
  <r>
    <x v="44"/>
    <d v="2024-01-11T00:00:00"/>
    <s v="Powerplus - Ending in 8s41"/>
    <x v="3684"/>
    <n v="-3251.21"/>
    <x v="57"/>
    <m/>
    <s v="Inc - Jeff"/>
    <m/>
    <m/>
    <m/>
    <m/>
    <m/>
    <m/>
    <x v="3245"/>
    <m/>
    <m/>
  </r>
  <r>
    <x v="44"/>
    <d v="2024-01-11T00:00:00"/>
    <s v="Discover More Card - Ending in 7779"/>
    <x v="4426"/>
    <n v="112.39"/>
    <x v="4"/>
    <s v="Delete - Online Services"/>
    <s v="Exp - Day Care"/>
    <m/>
    <m/>
    <m/>
    <m/>
    <m/>
    <m/>
    <x v="3930"/>
    <m/>
    <m/>
  </r>
  <r>
    <x v="44"/>
    <d v="2024-01-11T00:00:00"/>
    <s v="Cash Rewards Visa Signature - Ending in 5985"/>
    <x v="4427"/>
    <n v="85"/>
    <x v="10"/>
    <m/>
    <s v="Exp - Entertainment"/>
    <m/>
    <m/>
    <m/>
    <m/>
    <m/>
    <m/>
    <x v="3931"/>
    <m/>
    <m/>
  </r>
  <r>
    <x v="65"/>
    <d v="2024-09-22T00:00:00"/>
    <s v="American Express"/>
    <x v="4428"/>
    <n v="8.18"/>
    <x v="3"/>
    <m/>
    <s v="Delete"/>
    <m/>
    <m/>
    <m/>
    <m/>
    <m/>
    <m/>
    <x v="3932"/>
    <m/>
    <m/>
  </r>
  <r>
    <x v="44"/>
    <d v="2024-01-12T00:00:00"/>
    <s v="Cash Rewards Visa Signature - Ending in 5983"/>
    <x v="4429"/>
    <n v="116.82"/>
    <x v="1"/>
    <m/>
    <s v="Exp - Restaurants"/>
    <m/>
    <m/>
    <m/>
    <m/>
    <m/>
    <m/>
    <x v="3933"/>
    <m/>
    <m/>
  </r>
  <r>
    <x v="44"/>
    <d v="2024-01-12T00:00:00"/>
    <s v="Cash Rewards Visa Signature - Ending in 5979"/>
    <x v="4140"/>
    <n v="5.99"/>
    <x v="10"/>
    <m/>
    <s v="Exp - Entertainment"/>
    <m/>
    <m/>
    <m/>
    <m/>
    <m/>
    <m/>
    <x v="3674"/>
    <m/>
    <m/>
  </r>
  <r>
    <x v="44"/>
    <d v="2024-01-12T00:00:00"/>
    <s v="Cash Rewards Visa Signature - Ending in 5981"/>
    <x v="4430"/>
    <n v="284.95"/>
    <x v="5"/>
    <m/>
    <s v="Exp - Groceries"/>
    <m/>
    <m/>
    <m/>
    <m/>
    <m/>
    <m/>
    <x v="3934"/>
    <m/>
    <m/>
  </r>
  <r>
    <x v="44"/>
    <d v="2024-01-12T00:00:00"/>
    <s v="Cash Rewards Visa Signature - Ending in 5980"/>
    <x v="4427"/>
    <n v="19"/>
    <x v="10"/>
    <m/>
    <s v="Exp - Entertainment"/>
    <m/>
    <m/>
    <m/>
    <m/>
    <m/>
    <m/>
    <x v="3931"/>
    <m/>
    <m/>
  </r>
  <r>
    <x v="44"/>
    <d v="2024-01-12T00:00:00"/>
    <s v="Cash Rewards Visa Signature - Ending in 5982"/>
    <x v="1941"/>
    <n v="18.91"/>
    <x v="2"/>
    <m/>
    <s v="Exp - Transportation"/>
    <m/>
    <m/>
    <m/>
    <m/>
    <m/>
    <m/>
    <x v="1794"/>
    <m/>
    <m/>
  </r>
  <r>
    <x v="44"/>
    <d v="2024-01-13T00:00:00"/>
    <s v="Discover More Card - Ending in 7779"/>
    <x v="1895"/>
    <n v="-16.670000000000002"/>
    <x v="0"/>
    <s v="Dry Cleaning"/>
    <s v="Exp - Amazon"/>
    <m/>
    <m/>
    <m/>
    <m/>
    <m/>
    <m/>
    <x v="1748"/>
    <m/>
    <m/>
  </r>
  <r>
    <x v="44"/>
    <d v="2024-01-13T00:00:00"/>
    <s v="Discover More Card - Ending in 7779"/>
    <x v="1895"/>
    <n v="-37.92"/>
    <x v="0"/>
    <s v="Dry Cleaning"/>
    <s v="Exp - Amazon"/>
    <m/>
    <m/>
    <m/>
    <m/>
    <m/>
    <m/>
    <x v="1748"/>
    <m/>
    <m/>
  </r>
  <r>
    <x v="44"/>
    <d v="2024-01-13T00:00:00"/>
    <s v="Delta Skymiles Platinum Card - Ending in 1007"/>
    <x v="523"/>
    <n v="16.5"/>
    <x v="1"/>
    <s v="Restaurants"/>
    <m/>
    <m/>
    <m/>
    <m/>
    <m/>
    <m/>
    <m/>
    <x v="504"/>
    <m/>
    <m/>
  </r>
  <r>
    <x v="44"/>
    <d v="2024-01-13T00:00:00"/>
    <s v="Delta Skymiles Platinum Card - Ending in 1007"/>
    <x v="4431"/>
    <n v="47.26"/>
    <x v="1"/>
    <s v="Travel"/>
    <s v="Exp - Restaurants"/>
    <m/>
    <m/>
    <m/>
    <m/>
    <m/>
    <m/>
    <x v="3935"/>
    <m/>
    <m/>
  </r>
  <r>
    <x v="44"/>
    <d v="2024-01-13T00:00:00"/>
    <s v="Delta Skymiles Platinum Card - Ending in 1007"/>
    <x v="4432"/>
    <n v="338.59"/>
    <x v="8"/>
    <s v="Delete - Office Supplies"/>
    <s v="Exp - Shopping"/>
    <m/>
    <m/>
    <m/>
    <m/>
    <m/>
    <m/>
    <x v="3936"/>
    <m/>
    <m/>
  </r>
  <r>
    <x v="44"/>
    <d v="2024-01-14T00:00:00"/>
    <s v="Cash Rewards Visa Signature - Ending in 5971"/>
    <x v="0"/>
    <n v="-11.26"/>
    <x v="0"/>
    <m/>
    <s v="Exp - Amazon"/>
    <m/>
    <m/>
    <m/>
    <m/>
    <m/>
    <m/>
    <x v="0"/>
    <m/>
    <m/>
  </r>
  <r>
    <x v="44"/>
    <d v="2024-01-14T00:00:00"/>
    <s v="Cash Rewards Visa Signature - Ending in 5975"/>
    <x v="4433"/>
    <n v="27.01"/>
    <x v="0"/>
    <m/>
    <s v="Exp - Amazon"/>
    <m/>
    <m/>
    <m/>
    <m/>
    <m/>
    <m/>
    <x v="3937"/>
    <m/>
    <m/>
  </r>
  <r>
    <x v="44"/>
    <d v="2024-01-14T00:00:00"/>
    <s v="Cash Rewards Visa Signature - Ending in 5978"/>
    <x v="4434"/>
    <n v="28.88"/>
    <x v="0"/>
    <m/>
    <s v="Exp - Amazon"/>
    <m/>
    <m/>
    <m/>
    <m/>
    <m/>
    <m/>
    <x v="3938"/>
    <m/>
    <m/>
  </r>
  <r>
    <x v="44"/>
    <d v="2024-01-14T00:00:00"/>
    <s v="Cash Rewards Visa Signature - Ending in 5972"/>
    <x v="77"/>
    <n v="-193.2"/>
    <x v="8"/>
    <m/>
    <s v="Exp - Shopping"/>
    <m/>
    <m/>
    <m/>
    <m/>
    <m/>
    <m/>
    <x v="77"/>
    <m/>
    <m/>
  </r>
  <r>
    <x v="44"/>
    <d v="2024-01-14T00:00:00"/>
    <s v="Delta Skymiles Platinum Card - Ending in 1007"/>
    <x v="4435"/>
    <n v="48"/>
    <x v="1"/>
    <s v="Restaurants"/>
    <m/>
    <m/>
    <m/>
    <m/>
    <m/>
    <m/>
    <m/>
    <x v="3939"/>
    <m/>
    <m/>
  </r>
  <r>
    <x v="44"/>
    <d v="2024-01-14T00:00:00"/>
    <s v="Cash Rewards Visa Signature - Ending in 5973"/>
    <x v="4158"/>
    <n v="33.200000000000003"/>
    <x v="2"/>
    <m/>
    <s v="Exp - Transportation"/>
    <m/>
    <m/>
    <m/>
    <m/>
    <m/>
    <m/>
    <x v="3690"/>
    <m/>
    <m/>
  </r>
  <r>
    <x v="44"/>
    <d v="2024-01-14T00:00:00"/>
    <s v="Cash Rewards Visa Signature - Ending in 5974"/>
    <x v="79"/>
    <n v="30"/>
    <x v="10"/>
    <m/>
    <s v="Exp - Entertainment"/>
    <m/>
    <m/>
    <m/>
    <m/>
    <m/>
    <m/>
    <x v="79"/>
    <m/>
    <m/>
  </r>
  <r>
    <x v="44"/>
    <d v="2024-01-14T00:00:00"/>
    <s v="Cash Rewards Visa Signature - Ending in 5976"/>
    <x v="1993"/>
    <n v="45"/>
    <x v="11"/>
    <m/>
    <s v="Exp - Utilities"/>
    <m/>
    <m/>
    <m/>
    <m/>
    <m/>
    <m/>
    <x v="1843"/>
    <m/>
    <m/>
  </r>
  <r>
    <x v="44"/>
    <d v="2024-01-14T00:00:00"/>
    <s v="Delta Skymiles Platinum Card - Ending in 1007"/>
    <x v="1837"/>
    <n v="60.64"/>
    <x v="19"/>
    <s v="House Maintenance"/>
    <s v="Exp - House Maint"/>
    <m/>
    <m/>
    <m/>
    <m/>
    <m/>
    <m/>
    <x v="1692"/>
    <m/>
    <m/>
  </r>
  <r>
    <x v="44"/>
    <d v="2024-01-14T00:00:00"/>
    <s v="Cash Rewards Visa Signature - Ending in 5977"/>
    <x v="4188"/>
    <n v="-108"/>
    <x v="8"/>
    <m/>
    <s v="Exp - Shopping"/>
    <m/>
    <m/>
    <m/>
    <m/>
    <m/>
    <m/>
    <x v="3717"/>
    <m/>
    <m/>
  </r>
  <r>
    <x v="44"/>
    <d v="2024-01-15T00:00:00"/>
    <s v="Cash Rewards Visa Signature - Ending in 5969"/>
    <x v="4436"/>
    <n v="24.91"/>
    <x v="0"/>
    <m/>
    <s v="Exp - Amazon"/>
    <m/>
    <m/>
    <m/>
    <m/>
    <m/>
    <m/>
    <x v="3940"/>
    <m/>
    <m/>
  </r>
  <r>
    <x v="44"/>
    <d v="2024-01-15T00:00:00"/>
    <s v="Cash Rewards Visa Signature - Ending in 5970"/>
    <x v="4437"/>
    <n v="16.989999999999998"/>
    <x v="0"/>
    <m/>
    <s v="Exp - Amazon"/>
    <m/>
    <m/>
    <m/>
    <m/>
    <m/>
    <m/>
    <x v="3941"/>
    <m/>
    <m/>
  </r>
  <r>
    <x v="44"/>
    <d v="2024-01-15T00:00:00"/>
    <s v="Delta Skymiles Platinum Card - Ending in 1007"/>
    <x v="6"/>
    <n v="69.09"/>
    <x v="5"/>
    <s v="Groceries"/>
    <m/>
    <m/>
    <m/>
    <m/>
    <m/>
    <m/>
    <m/>
    <x v="6"/>
    <m/>
    <m/>
  </r>
  <r>
    <x v="44"/>
    <d v="2024-01-15T00:00:00"/>
    <s v="Cash Rewards Visa Signature - Ending in 5968"/>
    <x v="4340"/>
    <n v="119.07"/>
    <x v="19"/>
    <m/>
    <s v="Exp - House Maint"/>
    <m/>
    <m/>
    <m/>
    <m/>
    <m/>
    <m/>
    <x v="3853"/>
    <m/>
    <m/>
  </r>
  <r>
    <x v="44"/>
    <d v="2024-01-15T00:00:00"/>
    <s v="Delta Skymiles Platinum Card - Ending in 1007"/>
    <x v="4340"/>
    <n v="14.62"/>
    <x v="19"/>
    <s v="House Maintenance"/>
    <s v="Exp - House Maint"/>
    <m/>
    <m/>
    <m/>
    <m/>
    <m/>
    <m/>
    <x v="3853"/>
    <m/>
    <m/>
  </r>
  <r>
    <x v="44"/>
    <d v="2024-01-16T00:00:00"/>
    <s v="Powerplus - Ending in 8s38"/>
    <x v="3693"/>
    <n v="127.3"/>
    <x v="16"/>
    <m/>
    <s v="Exp - Insurance"/>
    <m/>
    <m/>
    <m/>
    <m/>
    <m/>
    <m/>
    <x v="3254"/>
    <m/>
    <m/>
  </r>
  <r>
    <x v="44"/>
    <d v="2024-01-16T00:00:00"/>
    <s v="Powerplus - Ending in 8s39"/>
    <x v="1849"/>
    <n v="48.81"/>
    <x v="8"/>
    <m/>
    <s v="Exp - Shopping"/>
    <m/>
    <m/>
    <m/>
    <m/>
    <m/>
    <m/>
    <x v="1704"/>
    <m/>
    <m/>
  </r>
  <r>
    <x v="44"/>
    <d v="2024-01-16T00:00:00"/>
    <s v="Powerplus - Ending in 8s40"/>
    <x v="1849"/>
    <n v="38.049999999999997"/>
    <x v="8"/>
    <m/>
    <s v="Exp - Shopping"/>
    <m/>
    <m/>
    <m/>
    <m/>
    <m/>
    <m/>
    <x v="1704"/>
    <m/>
    <m/>
  </r>
  <r>
    <x v="44"/>
    <d v="2024-01-17T00:00:00"/>
    <s v="Delta Skymiles Platinum Card - Ending in 1007"/>
    <x v="4214"/>
    <n v="33.76"/>
    <x v="20"/>
    <s v="Shopping"/>
    <s v="Exp - Dry Cleaning"/>
    <m/>
    <m/>
    <m/>
    <m/>
    <m/>
    <m/>
    <x v="3741"/>
    <m/>
    <m/>
  </r>
  <r>
    <x v="44"/>
    <d v="2024-01-17T00:00:00"/>
    <s v="Delta Skymiles Platinum Card - Ending in 1007"/>
    <x v="4438"/>
    <n v="31.55"/>
    <x v="5"/>
    <s v="Groceries"/>
    <m/>
    <m/>
    <m/>
    <m/>
    <m/>
    <m/>
    <m/>
    <x v="3942"/>
    <m/>
    <m/>
  </r>
  <r>
    <x v="44"/>
    <d v="2024-01-17T00:00:00"/>
    <s v="Powerplus - Ending in 8s36"/>
    <x v="1849"/>
    <n v="123.55"/>
    <x v="8"/>
    <m/>
    <s v="Exp - Shopping"/>
    <m/>
    <m/>
    <m/>
    <m/>
    <m/>
    <m/>
    <x v="1704"/>
    <m/>
    <m/>
  </r>
  <r>
    <x v="44"/>
    <d v="2024-01-17T00:00:00"/>
    <s v="Delta Skymiles Platinum Card - Ending in 1007"/>
    <x v="448"/>
    <n v="853.97"/>
    <x v="30"/>
    <s v="Dry Cleaning"/>
    <s v="Exp - House"/>
    <m/>
    <m/>
    <m/>
    <m/>
    <m/>
    <m/>
    <x v="432"/>
    <m/>
    <m/>
  </r>
  <r>
    <x v="44"/>
    <d v="2024-01-17T00:00:00"/>
    <s v="Powerplus - Ending in 8s35"/>
    <x v="4439"/>
    <n v="346"/>
    <x v="4"/>
    <m/>
    <s v="Exp - Day Care"/>
    <m/>
    <m/>
    <m/>
    <m/>
    <m/>
    <m/>
    <x v="3216"/>
    <m/>
    <m/>
  </r>
  <r>
    <x v="44"/>
    <d v="2024-01-17T00:00:00"/>
    <s v="Powerplus - Ending in 8s37"/>
    <x v="4440"/>
    <n v="30"/>
    <x v="4"/>
    <m/>
    <s v="Exp - Day Care"/>
    <m/>
    <m/>
    <m/>
    <m/>
    <m/>
    <m/>
    <x v="3873"/>
    <m/>
    <m/>
  </r>
  <r>
    <x v="44"/>
    <d v="2024-01-18T00:00:00"/>
    <s v="Powerplus - Ending in 8s32"/>
    <x v="1893"/>
    <n v="-2681.89"/>
    <x v="13"/>
    <m/>
    <s v="Inc - Other"/>
    <m/>
    <m/>
    <m/>
    <m/>
    <m/>
    <m/>
    <x v="1746"/>
    <m/>
    <m/>
  </r>
  <r>
    <x v="44"/>
    <d v="2024-01-18T00:00:00"/>
    <s v="Powerplus - Ending in 8s34"/>
    <x v="1827"/>
    <n v="125"/>
    <x v="8"/>
    <m/>
    <s v="Exp - Shopping"/>
    <m/>
    <m/>
    <m/>
    <m/>
    <m/>
    <m/>
    <x v="1682"/>
    <m/>
    <m/>
  </r>
  <r>
    <x v="44"/>
    <d v="2024-01-18T00:00:00"/>
    <s v="Powerplus - Ending in 8s33"/>
    <x v="4441"/>
    <n v="650"/>
    <x v="4"/>
    <m/>
    <s v="Exp - Day Care"/>
    <m/>
    <m/>
    <m/>
    <m/>
    <m/>
    <m/>
    <x v="3267"/>
    <m/>
    <m/>
  </r>
  <r>
    <x v="44"/>
    <d v="2024-01-19T00:00:00"/>
    <s v="Delta Skymiles Platinum Card - Ending in 1007"/>
    <x v="4245"/>
    <n v="9.7899999999999991"/>
    <x v="24"/>
    <s v="Travel"/>
    <m/>
    <m/>
    <m/>
    <m/>
    <m/>
    <m/>
    <m/>
    <x v="3768"/>
    <m/>
    <m/>
  </r>
  <r>
    <x v="44"/>
    <d v="2024-01-19T00:00:00"/>
    <s v="Delta Skymiles Platinum Card - Ending in 1007"/>
    <x v="1881"/>
    <n v="38.369999999999997"/>
    <x v="2"/>
    <s v="Groceries"/>
    <s v="Exp - Transportation"/>
    <m/>
    <m/>
    <m/>
    <m/>
    <m/>
    <m/>
    <x v="1734"/>
    <m/>
    <m/>
  </r>
  <r>
    <x v="44"/>
    <d v="2024-01-19T00:00:00"/>
    <s v="Powerplus - Ending in 8s31"/>
    <x v="1849"/>
    <n v="2.99"/>
    <x v="8"/>
    <m/>
    <s v="Exp - Shopping"/>
    <m/>
    <m/>
    <m/>
    <m/>
    <m/>
    <m/>
    <x v="1704"/>
    <m/>
    <m/>
  </r>
  <r>
    <x v="44"/>
    <d v="2024-01-20T00:00:00"/>
    <s v="Delta Skymiles Platinum Card - Ending in 1007"/>
    <x v="6"/>
    <n v="24.55"/>
    <x v="5"/>
    <s v="Groceries"/>
    <m/>
    <m/>
    <m/>
    <m/>
    <m/>
    <m/>
    <m/>
    <x v="6"/>
    <m/>
    <m/>
  </r>
  <r>
    <x v="44"/>
    <d v="2024-01-20T00:00:00"/>
    <s v="Delta Skymiles Platinum Card - Ending in 1007"/>
    <x v="6"/>
    <n v="21.46"/>
    <x v="5"/>
    <s v="Groceries"/>
    <m/>
    <m/>
    <m/>
    <m/>
    <m/>
    <m/>
    <m/>
    <x v="6"/>
    <m/>
    <m/>
  </r>
  <r>
    <x v="44"/>
    <d v="2024-01-20T00:00:00"/>
    <s v="Delta Skymiles Platinum Card - Ending in 1007"/>
    <x v="4442"/>
    <n v="68.650000000000006"/>
    <x v="5"/>
    <s v="Groceries"/>
    <m/>
    <m/>
    <m/>
    <m/>
    <m/>
    <m/>
    <m/>
    <x v="3943"/>
    <m/>
    <m/>
  </r>
  <r>
    <x v="44"/>
    <d v="2024-01-20T00:00:00"/>
    <s v="Delta Skymiles Platinum Card - Ending in 1007"/>
    <x v="1674"/>
    <n v="33.090000000000003"/>
    <x v="1"/>
    <s v="Restaurants"/>
    <m/>
    <m/>
    <m/>
    <m/>
    <m/>
    <m/>
    <m/>
    <x v="1556"/>
    <m/>
    <m/>
  </r>
  <r>
    <x v="44"/>
    <d v="2024-01-20T00:00:00"/>
    <s v="Delta Skymiles Platinum Card - Ending in 1007"/>
    <x v="1837"/>
    <n v="-28.16"/>
    <x v="19"/>
    <s v="House Maintenance"/>
    <s v="Exp - House Maint"/>
    <m/>
    <m/>
    <m/>
    <m/>
    <m/>
    <m/>
    <x v="1692"/>
    <m/>
    <m/>
  </r>
  <r>
    <x v="44"/>
    <d v="2024-01-20T00:00:00"/>
    <s v="Delta Skymiles Platinum Card - Ending in 1007"/>
    <x v="1837"/>
    <n v="107.18"/>
    <x v="19"/>
    <s v="House Maintenance"/>
    <s v="Exp - House Maint"/>
    <m/>
    <m/>
    <m/>
    <m/>
    <m/>
    <m/>
    <x v="1692"/>
    <m/>
    <m/>
  </r>
  <r>
    <x v="44"/>
    <d v="2024-01-21T00:00:00"/>
    <s v="Delta Skymiles Platinum Card - Ending in 1007"/>
    <x v="4443"/>
    <n v="25.64"/>
    <x v="8"/>
    <s v="Shopping"/>
    <m/>
    <m/>
    <m/>
    <m/>
    <m/>
    <m/>
    <m/>
    <x v="3944"/>
    <m/>
    <m/>
  </r>
  <r>
    <x v="44"/>
    <d v="2024-01-21T00:00:00"/>
    <s v="Delta Skymiles Platinum Card - Ending in 1007"/>
    <x v="1910"/>
    <n v="29.99"/>
    <x v="8"/>
    <s v="Shopping"/>
    <m/>
    <m/>
    <m/>
    <m/>
    <m/>
    <m/>
    <m/>
    <x v="1763"/>
    <m/>
    <m/>
  </r>
  <r>
    <x v="44"/>
    <d v="2024-01-21T00:00:00"/>
    <s v="Cash Rewards Visa Signature - Ending in 5965"/>
    <x v="4168"/>
    <n v="1.99"/>
    <x v="10"/>
    <m/>
    <s v="Exp - Entertainment"/>
    <m/>
    <m/>
    <m/>
    <m/>
    <m/>
    <m/>
    <x v="3699"/>
    <m/>
    <m/>
  </r>
  <r>
    <x v="44"/>
    <d v="2024-01-21T00:00:00"/>
    <s v="Cash Rewards Visa Signature - Ending in 5966"/>
    <x v="4444"/>
    <n v="-217.5"/>
    <x v="8"/>
    <m/>
    <s v="Exp - Shopping"/>
    <m/>
    <m/>
    <m/>
    <m/>
    <m/>
    <m/>
    <x v="3945"/>
    <m/>
    <m/>
  </r>
  <r>
    <x v="63"/>
    <d v="2024-11-18T00:00:00"/>
    <s v="American Express"/>
    <x v="4445"/>
    <n v="26.65"/>
    <x v="3"/>
    <m/>
    <s v="Delete"/>
    <m/>
    <m/>
    <m/>
    <m/>
    <m/>
    <m/>
    <x v="3946"/>
    <m/>
    <m/>
  </r>
  <r>
    <x v="44"/>
    <d v="2024-01-21T00:00:00"/>
    <s v="Delta Skymiles Platinum Card - Ending in 1007"/>
    <x v="4446"/>
    <n v="162.07"/>
    <x v="10"/>
    <s v="Entertainment"/>
    <s v="Exp - Entertainment"/>
    <m/>
    <m/>
    <m/>
    <m/>
    <m/>
    <m/>
    <x v="3947"/>
    <m/>
    <m/>
  </r>
  <r>
    <x v="44"/>
    <d v="2024-01-21T00:00:00"/>
    <s v="Cash Rewards Visa Signature - Ending in 5967"/>
    <x v="4447"/>
    <n v="128.53"/>
    <x v="10"/>
    <m/>
    <s v="Exp - Entertainment"/>
    <m/>
    <m/>
    <m/>
    <m/>
    <m/>
    <m/>
    <x v="3948"/>
    <m/>
    <m/>
  </r>
  <r>
    <x v="44"/>
    <d v="2024-01-21T00:00:00"/>
    <s v="Delta Skymiles Platinum Card - Ending in 1007"/>
    <x v="100"/>
    <n v="108.86"/>
    <x v="5"/>
    <s v="Groceries"/>
    <s v="Exp - Groceries"/>
    <m/>
    <m/>
    <m/>
    <m/>
    <m/>
    <m/>
    <x v="100"/>
    <m/>
    <m/>
  </r>
  <r>
    <x v="44"/>
    <d v="2024-01-21T00:00:00"/>
    <s v="Powerplus - Ending in 8s30"/>
    <x v="2047"/>
    <n v="-48.81"/>
    <x v="8"/>
    <m/>
    <s v="Exp - Shopping"/>
    <m/>
    <m/>
    <m/>
    <m/>
    <m/>
    <m/>
    <x v="1897"/>
    <m/>
    <m/>
  </r>
  <r>
    <x v="44"/>
    <d v="2024-01-21T00:00:00"/>
    <s v="Delta Skymiles Platinum Card - Ending in 1007"/>
    <x v="4188"/>
    <n v="266"/>
    <x v="8"/>
    <s v="Shopping"/>
    <m/>
    <m/>
    <m/>
    <m/>
    <m/>
    <m/>
    <m/>
    <x v="3717"/>
    <m/>
    <m/>
  </r>
  <r>
    <x v="44"/>
    <d v="2024-01-21T00:00:00"/>
    <s v="Delta Skymiles Platinum Card - Ending in 1007"/>
    <x v="4448"/>
    <n v="381.28"/>
    <x v="10"/>
    <s v="Entertainment"/>
    <m/>
    <m/>
    <m/>
    <m/>
    <m/>
    <m/>
    <m/>
    <x v="3949"/>
    <m/>
    <m/>
  </r>
  <r>
    <x v="44"/>
    <d v="2024-01-21T00:00:00"/>
    <s v="Powerplus - Ending in 8s30"/>
    <x v="4449"/>
    <n v="0.35"/>
    <x v="28"/>
    <m/>
    <s v="Exp - Misc"/>
    <m/>
    <m/>
    <m/>
    <m/>
    <m/>
    <m/>
    <x v="3950"/>
    <m/>
    <m/>
  </r>
  <r>
    <x v="44"/>
    <d v="2024-01-21T00:00:00"/>
    <s v="Powerplus - Ending in 8s30"/>
    <x v="4450"/>
    <n v="34.880000000000003"/>
    <x v="10"/>
    <m/>
    <s v="Exp - Entertainment"/>
    <m/>
    <m/>
    <m/>
    <m/>
    <m/>
    <m/>
    <x v="3951"/>
    <m/>
    <m/>
  </r>
  <r>
    <x v="44"/>
    <d v="2024-01-22T00:00:00"/>
    <s v="Cash Rewards Visa Signature - Ending in 5963"/>
    <x v="4451"/>
    <n v="11"/>
    <x v="11"/>
    <m/>
    <s v="Exp - Utilities"/>
    <m/>
    <m/>
    <m/>
    <m/>
    <m/>
    <m/>
    <x v="3952"/>
    <m/>
    <m/>
  </r>
  <r>
    <x v="44"/>
    <d v="2024-01-06T00:00:00"/>
    <s v="Delta Skymiles Platinum Card - Ending in 1007"/>
    <x v="4452"/>
    <n v="-785.5"/>
    <x v="3"/>
    <s v="Credit Card Payments"/>
    <m/>
    <m/>
    <m/>
    <m/>
    <m/>
    <m/>
    <m/>
    <x v="3953"/>
    <m/>
    <m/>
  </r>
  <r>
    <x v="44"/>
    <d v="2024-01-22T00:00:00"/>
    <s v="Delta Skymiles Platinum Card - Ending in 1007"/>
    <x v="4159"/>
    <n v="24.74"/>
    <x v="1"/>
    <s v="Restaurants"/>
    <m/>
    <m/>
    <m/>
    <m/>
    <m/>
    <m/>
    <m/>
    <x v="3691"/>
    <m/>
    <m/>
  </r>
  <r>
    <x v="44"/>
    <d v="2024-01-22T00:00:00"/>
    <s v="Delta Skymiles Platinum Card - Ending in 1007"/>
    <x v="4159"/>
    <n v="5.72"/>
    <x v="1"/>
    <s v="Restaurants"/>
    <m/>
    <m/>
    <m/>
    <m/>
    <m/>
    <m/>
    <m/>
    <x v="3691"/>
    <m/>
    <m/>
  </r>
  <r>
    <x v="44"/>
    <d v="2024-01-22T00:00:00"/>
    <s v="Cash Rewards Visa Signature - Ending in 5964"/>
    <x v="4453"/>
    <n v="24.72"/>
    <x v="4"/>
    <m/>
    <s v="Exp - Day Care"/>
    <m/>
    <m/>
    <m/>
    <m/>
    <m/>
    <m/>
    <x v="3954"/>
    <m/>
    <m/>
  </r>
  <r>
    <x v="44"/>
    <d v="2024-01-22T00:00:00"/>
    <s v="Delta Skymiles Platinum Card - Ending in 1007"/>
    <x v="3445"/>
    <n v="3.98"/>
    <x v="24"/>
    <s v="Travel"/>
    <m/>
    <m/>
    <m/>
    <m/>
    <m/>
    <m/>
    <m/>
    <x v="3036"/>
    <m/>
    <m/>
  </r>
  <r>
    <x v="63"/>
    <d v="2024-11-21T00:00:00"/>
    <s v="Cash Rewards Visa Signature - Ending in 5913"/>
    <x v="4454"/>
    <n v="74.63"/>
    <x v="3"/>
    <m/>
    <s v="Delete"/>
    <m/>
    <m/>
    <m/>
    <m/>
    <m/>
    <m/>
    <x v="3955"/>
    <m/>
    <m/>
  </r>
  <r>
    <x v="65"/>
    <d v="2024-09-16T00:00:00"/>
    <s v="American Express"/>
    <x v="4455"/>
    <n v="181.37"/>
    <x v="3"/>
    <m/>
    <s v="Delete"/>
    <m/>
    <m/>
    <m/>
    <m/>
    <m/>
    <m/>
    <x v="3956"/>
    <m/>
    <m/>
  </r>
  <r>
    <x v="44"/>
    <d v="2024-01-22T00:00:00"/>
    <s v="Powerplus - Ending in 8s30"/>
    <x v="1849"/>
    <n v="38.880000000000003"/>
    <x v="8"/>
    <m/>
    <s v="Exp - Shopping"/>
    <m/>
    <m/>
    <m/>
    <m/>
    <m/>
    <m/>
    <x v="1704"/>
    <m/>
    <m/>
  </r>
  <r>
    <x v="44"/>
    <d v="2024-01-22T00:00:00"/>
    <s v="Powerplus - Ending in 8s30"/>
    <x v="1849"/>
    <n v="32.700000000000003"/>
    <x v="8"/>
    <m/>
    <s v="Exp - Shopping"/>
    <m/>
    <m/>
    <m/>
    <m/>
    <m/>
    <m/>
    <x v="1704"/>
    <m/>
    <m/>
  </r>
  <r>
    <x v="44"/>
    <d v="2024-01-22T00:00:00"/>
    <s v="Powerplus - Ending in 8s30"/>
    <x v="1849"/>
    <n v="4.75"/>
    <x v="8"/>
    <m/>
    <s v="Exp - Shopping"/>
    <m/>
    <m/>
    <m/>
    <m/>
    <m/>
    <m/>
    <x v="1704"/>
    <m/>
    <m/>
  </r>
  <r>
    <x v="44"/>
    <d v="2024-01-22T00:00:00"/>
    <s v="Powerplus - Ending in 8s30"/>
    <x v="4456"/>
    <n v="60.12"/>
    <x v="11"/>
    <m/>
    <s v="Exp - Utilities"/>
    <m/>
    <m/>
    <m/>
    <m/>
    <m/>
    <m/>
    <x v="3287"/>
    <m/>
    <m/>
  </r>
  <r>
    <x v="44"/>
    <d v="2024-01-23T00:00:00"/>
    <s v="Discover More Card - Ending in 7779"/>
    <x v="4457"/>
    <n v="12.37"/>
    <x v="1"/>
    <s v="Restaurants"/>
    <m/>
    <m/>
    <m/>
    <m/>
    <m/>
    <m/>
    <m/>
    <x v="3957"/>
    <m/>
    <m/>
  </r>
  <r>
    <x v="44"/>
    <d v="2024-01-23T00:00:00"/>
    <s v="Cash Rewards Visa Signature - Ending in 5962"/>
    <x v="0"/>
    <n v="35.76"/>
    <x v="0"/>
    <m/>
    <s v="Exp - Amazon"/>
    <m/>
    <m/>
    <m/>
    <m/>
    <m/>
    <m/>
    <x v="0"/>
    <m/>
    <m/>
  </r>
  <r>
    <x v="44"/>
    <d v="2024-01-23T00:00:00"/>
    <s v="Discover More Card - Ending in 7779"/>
    <x v="0"/>
    <n v="7.09"/>
    <x v="0"/>
    <s v="Dry Cleaning"/>
    <s v="Exp - Amazon"/>
    <m/>
    <m/>
    <m/>
    <m/>
    <m/>
    <m/>
    <x v="0"/>
    <m/>
    <m/>
  </r>
  <r>
    <x v="44"/>
    <d v="2024-01-23T00:00:00"/>
    <s v="Cash Rewards Visa Signature - Ending in 5961"/>
    <x v="1895"/>
    <n v="-9.19"/>
    <x v="0"/>
    <m/>
    <s v="Exp - Amazon"/>
    <m/>
    <m/>
    <m/>
    <m/>
    <m/>
    <m/>
    <x v="1748"/>
    <m/>
    <m/>
  </r>
  <r>
    <x v="44"/>
    <d v="2024-01-23T00:00:00"/>
    <s v="Powerplus - Ending in 8s30"/>
    <x v="3787"/>
    <n v="-17.989999999999998"/>
    <x v="25"/>
    <m/>
    <s v="Exp - Healthcare"/>
    <m/>
    <m/>
    <m/>
    <m/>
    <m/>
    <m/>
    <x v="3342"/>
    <m/>
    <m/>
  </r>
  <r>
    <x v="44"/>
    <d v="2024-01-23T00:00:00"/>
    <s v="Powerplus - Ending in 8s30"/>
    <x v="1827"/>
    <n v="100"/>
    <x v="8"/>
    <m/>
    <s v="Exp - Shopping"/>
    <m/>
    <m/>
    <m/>
    <m/>
    <m/>
    <m/>
    <x v="1682"/>
    <m/>
    <m/>
  </r>
  <r>
    <x v="44"/>
    <d v="2024-01-23T00:00:00"/>
    <s v="Powerplus - Ending in 8s30"/>
    <x v="4458"/>
    <n v="346"/>
    <x v="4"/>
    <m/>
    <s v="Exp - Day Care"/>
    <m/>
    <m/>
    <m/>
    <m/>
    <m/>
    <m/>
    <x v="3216"/>
    <m/>
    <m/>
  </r>
  <r>
    <x v="44"/>
    <d v="2024-01-24T00:00:00"/>
    <s v="Cash Rewards Visa Signature - Ending in 5958"/>
    <x v="0"/>
    <n v="26.01"/>
    <x v="0"/>
    <m/>
    <s v="Exp - Amazon"/>
    <m/>
    <m/>
    <m/>
    <m/>
    <m/>
    <m/>
    <x v="0"/>
    <m/>
    <m/>
  </r>
  <r>
    <x v="44"/>
    <d v="2024-01-24T00:00:00"/>
    <s v="Discover More Card - Ending in 7779"/>
    <x v="0"/>
    <n v="7.73"/>
    <x v="0"/>
    <s v="Dry Cleaning"/>
    <s v="Exp - Amazon"/>
    <m/>
    <m/>
    <m/>
    <m/>
    <m/>
    <m/>
    <x v="0"/>
    <m/>
    <m/>
  </r>
  <r>
    <x v="44"/>
    <d v="2024-01-24T00:00:00"/>
    <s v="Discover More Card - Ending in 7779"/>
    <x v="0"/>
    <n v="37.869999999999997"/>
    <x v="0"/>
    <s v="Dry Cleaning"/>
    <s v="Exp - Amazon"/>
    <m/>
    <m/>
    <m/>
    <m/>
    <m/>
    <m/>
    <x v="0"/>
    <m/>
    <m/>
  </r>
  <r>
    <x v="44"/>
    <d v="2024-01-24T00:00:00"/>
    <s v="Cash Rewards Visa Signature - Ending in 5959"/>
    <x v="4459"/>
    <n v="9.99"/>
    <x v="0"/>
    <m/>
    <s v="Exp - Amazon"/>
    <m/>
    <m/>
    <m/>
    <m/>
    <m/>
    <m/>
    <x v="3958"/>
    <m/>
    <m/>
  </r>
  <r>
    <x v="44"/>
    <d v="2024-01-24T00:00:00"/>
    <s v="Cash Rewards Visa Signature - Ending in 5960"/>
    <x v="4460"/>
    <n v="24.98"/>
    <x v="0"/>
    <m/>
    <s v="Exp - Amazon"/>
    <m/>
    <m/>
    <m/>
    <m/>
    <m/>
    <m/>
    <x v="3959"/>
    <m/>
    <m/>
  </r>
  <r>
    <x v="44"/>
    <d v="2024-01-24T00:00:00"/>
    <s v="Powerplus - Ending in 8s30"/>
    <x v="3787"/>
    <n v="-168.61"/>
    <x v="25"/>
    <m/>
    <s v="Exp - Healthcare"/>
    <m/>
    <m/>
    <m/>
    <m/>
    <m/>
    <m/>
    <x v="3342"/>
    <m/>
    <m/>
  </r>
  <r>
    <x v="44"/>
    <d v="2024-01-24T00:00:00"/>
    <s v="Powerplus - Ending in 8s30"/>
    <x v="4461"/>
    <n v="-641.02"/>
    <x v="57"/>
    <m/>
    <s v="Inc - Jeff"/>
    <m/>
    <m/>
    <m/>
    <m/>
    <m/>
    <m/>
    <x v="3260"/>
    <m/>
    <m/>
  </r>
  <r>
    <x v="44"/>
    <d v="2024-01-24T00:00:00"/>
    <s v="Powerplus - Ending in 8s30"/>
    <x v="1827"/>
    <n v="146.19999999999999"/>
    <x v="8"/>
    <m/>
    <s v="Exp - Shopping"/>
    <m/>
    <m/>
    <m/>
    <m/>
    <m/>
    <m/>
    <x v="1682"/>
    <m/>
    <m/>
  </r>
  <r>
    <x v="44"/>
    <d v="2024-01-25T00:00:00"/>
    <s v="Cash Rewards Visa Signature - Ending in 5956"/>
    <x v="4462"/>
    <n v="10.9"/>
    <x v="0"/>
    <m/>
    <s v="Exp - Amazon"/>
    <m/>
    <m/>
    <m/>
    <m/>
    <m/>
    <m/>
    <x v="3960"/>
    <m/>
    <m/>
  </r>
  <r>
    <x v="65"/>
    <d v="2024-09-20T00:00:00"/>
    <s v="American Express"/>
    <x v="4463"/>
    <n v="37.659999999999997"/>
    <x v="3"/>
    <m/>
    <s v="Delete"/>
    <m/>
    <m/>
    <m/>
    <m/>
    <m/>
    <m/>
    <x v="3961"/>
    <m/>
    <m/>
  </r>
  <r>
    <x v="44"/>
    <d v="2024-01-25T00:00:00"/>
    <s v="Cash Rewards Visa Signature - Ending in 5957"/>
    <x v="8"/>
    <n v="9.5"/>
    <x v="5"/>
    <m/>
    <s v="Exp - Groceries"/>
    <m/>
    <m/>
    <m/>
    <m/>
    <m/>
    <m/>
    <x v="8"/>
    <m/>
    <m/>
  </r>
  <r>
    <x v="63"/>
    <d v="2024-11-21T00:00:00"/>
    <s v="Cash Rewards Visa Signature - Ending in 5913"/>
    <x v="4464"/>
    <n v="73.14"/>
    <x v="3"/>
    <m/>
    <s v="Delete"/>
    <m/>
    <m/>
    <m/>
    <m/>
    <m/>
    <m/>
    <x v="3962"/>
    <m/>
    <m/>
  </r>
  <r>
    <x v="44"/>
    <d v="2024-01-25T00:00:00"/>
    <s v="Powerplus - Ending in 8s30"/>
    <x v="3734"/>
    <n v="921.65"/>
    <x v="12"/>
    <m/>
    <s v="Exp - Target"/>
    <m/>
    <m/>
    <m/>
    <m/>
    <m/>
    <m/>
    <x v="3293"/>
    <m/>
    <m/>
  </r>
  <r>
    <x v="44"/>
    <d v="2024-01-25T00:00:00"/>
    <s v="Powerplus - Ending in 8s30"/>
    <x v="1849"/>
    <n v="21.25"/>
    <x v="8"/>
    <m/>
    <s v="Exp - Shopping"/>
    <m/>
    <m/>
    <m/>
    <m/>
    <m/>
    <m/>
    <x v="1704"/>
    <m/>
    <m/>
  </r>
  <r>
    <x v="44"/>
    <d v="2024-01-25T00:00:00"/>
    <s v="Powerplus - Ending in 8s30"/>
    <x v="4449"/>
    <n v="0.05"/>
    <x v="28"/>
    <m/>
    <s v="Exp - Misc"/>
    <m/>
    <m/>
    <m/>
    <m/>
    <m/>
    <m/>
    <x v="3950"/>
    <m/>
    <m/>
  </r>
  <r>
    <x v="44"/>
    <d v="2024-01-25T00:00:00"/>
    <s v="Powerplus - Ending in 8s30"/>
    <x v="4449"/>
    <n v="0.13"/>
    <x v="28"/>
    <m/>
    <s v="Exp - Misc"/>
    <m/>
    <m/>
    <m/>
    <m/>
    <m/>
    <m/>
    <x v="3950"/>
    <m/>
    <m/>
  </r>
  <r>
    <x v="44"/>
    <d v="2024-01-25T00:00:00"/>
    <s v="Powerplus - Ending in 8s30"/>
    <x v="4449"/>
    <n v="0.11"/>
    <x v="28"/>
    <m/>
    <s v="Exp - Misc"/>
    <m/>
    <m/>
    <m/>
    <m/>
    <m/>
    <m/>
    <x v="3950"/>
    <m/>
    <m/>
  </r>
  <r>
    <x v="44"/>
    <d v="2024-01-25T00:00:00"/>
    <s v="Powerplus - Ending in 8s30"/>
    <x v="4449"/>
    <n v="0.39"/>
    <x v="28"/>
    <m/>
    <s v="Exp - Misc"/>
    <m/>
    <m/>
    <m/>
    <m/>
    <m/>
    <m/>
    <x v="3950"/>
    <m/>
    <m/>
  </r>
  <r>
    <x v="65"/>
    <d v="2024-09-23T00:00:00"/>
    <s v="American Express"/>
    <x v="4465"/>
    <n v="62.45"/>
    <x v="3"/>
    <m/>
    <s v="Delete"/>
    <m/>
    <m/>
    <m/>
    <m/>
    <m/>
    <m/>
    <x v="3963"/>
    <m/>
    <m/>
  </r>
  <r>
    <x v="23"/>
    <d v="2024-06-25T00:00:00"/>
    <s v="Delta Skymiles Platinum Card ( X ) - Ending in 1007"/>
    <x v="3492"/>
    <n v="1.63"/>
    <x v="3"/>
    <s v="Dry Cleaning"/>
    <m/>
    <m/>
    <m/>
    <m/>
    <m/>
    <m/>
    <m/>
    <x v="3082"/>
    <m/>
    <m/>
  </r>
  <r>
    <x v="27"/>
    <d v="2024-07-24T00:00:00"/>
    <s v="Delta Skymiles Platinum Card ( X ) - Ending in 1007"/>
    <x v="3492"/>
    <n v="1.63"/>
    <x v="3"/>
    <s v="Groceries"/>
    <m/>
    <m/>
    <m/>
    <m/>
    <m/>
    <m/>
    <m/>
    <x v="3082"/>
    <m/>
    <m/>
  </r>
  <r>
    <x v="49"/>
    <d v="2024-10-23T00:00:00"/>
    <s v="Powerplus - Ending in 8s30"/>
    <x v="3652"/>
    <n v="-187.13"/>
    <x v="3"/>
    <m/>
    <s v="Delete"/>
    <m/>
    <m/>
    <m/>
    <m/>
    <m/>
    <m/>
    <x v="3214"/>
    <m/>
    <m/>
  </r>
  <r>
    <x v="65"/>
    <d v="2024-09-12T00:00:00"/>
    <s v="Powerplus - Ending in 8s30"/>
    <x v="1893"/>
    <n v="-3129.13"/>
    <x v="3"/>
    <m/>
    <s v="Delete"/>
    <m/>
    <m/>
    <m/>
    <m/>
    <m/>
    <m/>
    <x v="1746"/>
    <m/>
    <m/>
  </r>
  <r>
    <x v="44"/>
    <d v="2024-01-26T00:00:00"/>
    <s v="Delta Skymiles Platinum Card - Ending in 1007"/>
    <x v="4466"/>
    <n v="21.94"/>
    <x v="1"/>
    <s v="Restaurants"/>
    <m/>
    <m/>
    <m/>
    <m/>
    <m/>
    <m/>
    <m/>
    <x v="3964"/>
    <m/>
    <m/>
  </r>
  <r>
    <x v="49"/>
    <d v="2024-10-10T00:00:00"/>
    <s v="Powerplus - Ending in 8s30"/>
    <x v="1893"/>
    <n v="-4155.47"/>
    <x v="3"/>
    <m/>
    <s v="Delete"/>
    <m/>
    <m/>
    <m/>
    <m/>
    <m/>
    <m/>
    <x v="1746"/>
    <m/>
    <m/>
  </r>
  <r>
    <x v="44"/>
    <d v="2024-01-26T00:00:00"/>
    <s v="Powerplus - Ending in 8s30"/>
    <x v="3729"/>
    <n v="800"/>
    <x v="21"/>
    <m/>
    <s v="Sav - Savings"/>
    <m/>
    <m/>
    <m/>
    <m/>
    <m/>
    <m/>
    <x v="3289"/>
    <m/>
    <m/>
  </r>
  <r>
    <x v="44"/>
    <d v="2024-01-26T00:00:00"/>
    <s v="Cash Rewards Visa Signature - Ending in 5954"/>
    <x v="4467"/>
    <n v="2.57"/>
    <x v="1"/>
    <m/>
    <s v="Exp - Restaurants"/>
    <m/>
    <m/>
    <m/>
    <m/>
    <m/>
    <m/>
    <x v="3965"/>
    <m/>
    <m/>
  </r>
  <r>
    <x v="44"/>
    <d v="2024-01-26T00:00:00"/>
    <s v="Powerplus - Ending in 8s30"/>
    <x v="4449"/>
    <n v="0.67"/>
    <x v="28"/>
    <m/>
    <s v="Exp - Misc"/>
    <m/>
    <m/>
    <m/>
    <m/>
    <m/>
    <m/>
    <x v="3950"/>
    <m/>
    <m/>
  </r>
  <r>
    <x v="23"/>
    <d v="2024-06-05T00:00:00"/>
    <s v="Delta Skymiles Platinum Card ( X ) - Ending in 1007"/>
    <x v="59"/>
    <n v="16.32"/>
    <x v="3"/>
    <s v="Restaurants"/>
    <s v="Delete"/>
    <m/>
    <m/>
    <m/>
    <m/>
    <m/>
    <m/>
    <x v="59"/>
    <m/>
    <m/>
  </r>
  <r>
    <x v="44"/>
    <d v="2024-01-27T00:00:00"/>
    <s v="Delta Skymiles Platinum Card - Ending in 1007"/>
    <x v="34"/>
    <n v="9.1999999999999993"/>
    <x v="12"/>
    <s v="Target"/>
    <s v="Exp - Target"/>
    <m/>
    <m/>
    <m/>
    <m/>
    <m/>
    <m/>
    <x v="34"/>
    <m/>
    <m/>
  </r>
  <r>
    <x v="44"/>
    <d v="2024-01-28T00:00:00"/>
    <s v="Cash Rewards Visa Signature - Ending in 5951"/>
    <x v="4158"/>
    <n v="39.049999999999997"/>
    <x v="2"/>
    <m/>
    <s v="Exp - Transportation"/>
    <m/>
    <m/>
    <m/>
    <m/>
    <m/>
    <m/>
    <x v="3690"/>
    <m/>
    <m/>
  </r>
  <r>
    <x v="44"/>
    <d v="2024-01-28T00:00:00"/>
    <s v="Cash Rewards Visa Signature - Ending in 5953"/>
    <x v="4468"/>
    <n v="7.89"/>
    <x v="1"/>
    <m/>
    <s v="Exp - Restaurants"/>
    <m/>
    <m/>
    <m/>
    <m/>
    <m/>
    <m/>
    <x v="3966"/>
    <m/>
    <m/>
  </r>
  <r>
    <x v="44"/>
    <d v="2024-01-28T00:00:00"/>
    <s v="Cash Rewards Visa Signature - Ending in 5952"/>
    <x v="34"/>
    <n v="2.29"/>
    <x v="12"/>
    <m/>
    <s v="Exp - Target"/>
    <m/>
    <m/>
    <m/>
    <m/>
    <m/>
    <m/>
    <x v="34"/>
    <m/>
    <m/>
  </r>
  <r>
    <x v="44"/>
    <d v="2024-01-28T00:00:00"/>
    <s v="Powerplus - Ending in 8s30"/>
    <x v="4469"/>
    <n v="25.24"/>
    <x v="5"/>
    <m/>
    <s v="Exp - Groceries"/>
    <m/>
    <m/>
    <m/>
    <m/>
    <m/>
    <m/>
    <x v="3967"/>
    <m/>
    <m/>
  </r>
  <r>
    <x v="44"/>
    <d v="2024-01-28T00:00:00"/>
    <s v="Powerplus - Ending in 8s30"/>
    <x v="4449"/>
    <n v="0.32"/>
    <x v="28"/>
    <m/>
    <s v="Exp - Misc"/>
    <m/>
    <m/>
    <m/>
    <m/>
    <m/>
    <m/>
    <x v="3950"/>
    <m/>
    <m/>
  </r>
  <r>
    <x v="44"/>
    <d v="2024-01-28T00:00:00"/>
    <s v="Powerplus - Ending in 8s30"/>
    <x v="4449"/>
    <n v="0.25"/>
    <x v="28"/>
    <m/>
    <s v="Exp - Misc"/>
    <m/>
    <m/>
    <m/>
    <m/>
    <m/>
    <m/>
    <x v="3950"/>
    <m/>
    <m/>
  </r>
  <r>
    <x v="62"/>
    <d v="2024-08-13T00:00:00"/>
    <s v="Delta Skymiles Platinum Card ( X ) - Ending in 1007"/>
    <x v="59"/>
    <n v="3.85"/>
    <x v="3"/>
    <s v="Restaurants"/>
    <s v="Delete"/>
    <m/>
    <m/>
    <m/>
    <m/>
    <m/>
    <m/>
    <x v="59"/>
    <m/>
    <m/>
  </r>
  <r>
    <x v="44"/>
    <d v="2024-01-29T00:00:00"/>
    <s v="Delta Skymiles Platinum Card - Ending in 1007"/>
    <x v="4159"/>
    <n v="16.23"/>
    <x v="1"/>
    <s v="Restaurants"/>
    <m/>
    <m/>
    <m/>
    <m/>
    <m/>
    <m/>
    <m/>
    <x v="3691"/>
    <m/>
    <m/>
  </r>
  <r>
    <x v="44"/>
    <d v="2024-01-29T00:00:00"/>
    <s v="Powerplus - Ending in 8s30"/>
    <x v="1849"/>
    <n v="0.99"/>
    <x v="8"/>
    <m/>
    <s v="Exp - Shopping"/>
    <m/>
    <m/>
    <m/>
    <m/>
    <m/>
    <m/>
    <x v="1704"/>
    <m/>
    <m/>
  </r>
  <r>
    <x v="44"/>
    <d v="2024-01-29T00:00:00"/>
    <s v="Powerplus - Ending in 8s30"/>
    <x v="4449"/>
    <n v="0.03"/>
    <x v="28"/>
    <m/>
    <s v="Exp - Misc"/>
    <m/>
    <m/>
    <m/>
    <m/>
    <m/>
    <m/>
    <x v="3950"/>
    <m/>
    <m/>
  </r>
  <r>
    <x v="44"/>
    <d v="2024-01-22T00:00:00"/>
    <s v="Delta Skymiles Platinum Card - Ending in 1007"/>
    <x v="4156"/>
    <n v="943.2"/>
    <x v="3"/>
    <s v="Travel"/>
    <s v="Delete"/>
    <m/>
    <m/>
    <m/>
    <m/>
    <m/>
    <m/>
    <x v="3688"/>
    <m/>
    <m/>
  </r>
  <r>
    <x v="44"/>
    <d v="2024-01-30T00:00:00"/>
    <s v="Cash Rewards Visa Signature - Ending in 5950"/>
    <x v="0"/>
    <n v="101.63"/>
    <x v="0"/>
    <m/>
    <s v="Exp - Amazon"/>
    <m/>
    <m/>
    <m/>
    <m/>
    <m/>
    <m/>
    <x v="0"/>
    <m/>
    <m/>
  </r>
  <r>
    <x v="44"/>
    <d v="2024-01-30T00:00:00"/>
    <s v="Powerplus - Ending in 8s30"/>
    <x v="3787"/>
    <n v="-49.97"/>
    <x v="25"/>
    <m/>
    <s v="Exp - Healthcare"/>
    <m/>
    <m/>
    <m/>
    <m/>
    <m/>
    <m/>
    <x v="3342"/>
    <m/>
    <m/>
  </r>
  <r>
    <x v="44"/>
    <d v="2024-01-30T00:00:00"/>
    <s v="Cash Rewards Visa Signature - Ending in 5949"/>
    <x v="4470"/>
    <n v="1.5"/>
    <x v="1"/>
    <m/>
    <s v="Exp - Restaurants"/>
    <m/>
    <m/>
    <m/>
    <m/>
    <m/>
    <m/>
    <x v="3968"/>
    <m/>
    <m/>
  </r>
  <r>
    <x v="44"/>
    <d v="2024-01-30T00:00:00"/>
    <s v="Powerplus - Ending in 8s30"/>
    <x v="3684"/>
    <n v="-3251.22"/>
    <x v="57"/>
    <m/>
    <s v="Inc - Jeff"/>
    <m/>
    <m/>
    <m/>
    <m/>
    <m/>
    <m/>
    <x v="3245"/>
    <m/>
    <m/>
  </r>
  <r>
    <x v="44"/>
    <d v="2024-01-30T00:00:00"/>
    <s v="Powerplus - Ending in 8s30"/>
    <x v="4449"/>
    <n v="7.0000000000000007E-2"/>
    <x v="28"/>
    <m/>
    <s v="Exp - Misc"/>
    <m/>
    <m/>
    <m/>
    <m/>
    <m/>
    <m/>
    <x v="3950"/>
    <m/>
    <m/>
  </r>
  <r>
    <x v="44"/>
    <d v="2024-01-30T00:00:00"/>
    <s v="Powerplus - Ending in 8s30"/>
    <x v="4471"/>
    <n v="7.08"/>
    <x v="24"/>
    <m/>
    <s v="Exp - Travel"/>
    <m/>
    <m/>
    <m/>
    <m/>
    <m/>
    <m/>
    <x v="3969"/>
    <m/>
    <m/>
  </r>
  <r>
    <x v="44"/>
    <d v="2024-01-31T00:00:00"/>
    <s v="Powerplus - Ending in 8s30"/>
    <x v="3787"/>
    <n v="-9.1999999999999993"/>
    <x v="25"/>
    <m/>
    <s v="Exp - Healthcare"/>
    <m/>
    <m/>
    <m/>
    <m/>
    <m/>
    <m/>
    <x v="3342"/>
    <m/>
    <m/>
  </r>
  <r>
    <x v="44"/>
    <d v="2024-01-31T00:00:00"/>
    <s v="Delta Skymiles Platinum Card - Ending in 1007"/>
    <x v="6"/>
    <n v="27.08"/>
    <x v="5"/>
    <s v="Groceries"/>
    <m/>
    <m/>
    <m/>
    <m/>
    <m/>
    <m/>
    <m/>
    <x v="6"/>
    <m/>
    <m/>
  </r>
  <r>
    <x v="44"/>
    <d v="2024-01-31T00:00:00"/>
    <s v="Powerplus - Ending in 8s30"/>
    <x v="4472"/>
    <n v="-50.08"/>
    <x v="13"/>
    <m/>
    <s v="Inc - Other"/>
    <m/>
    <m/>
    <m/>
    <m/>
    <m/>
    <m/>
    <x v="3970"/>
    <m/>
    <m/>
  </r>
  <r>
    <x v="44"/>
    <d v="2024-01-31T00:00:00"/>
    <s v="Powerplus - Ending in 8s30"/>
    <x v="4407"/>
    <n v="217.73"/>
    <x v="11"/>
    <m/>
    <s v="Exp - Utilities"/>
    <m/>
    <m/>
    <m/>
    <m/>
    <m/>
    <m/>
    <x v="3913"/>
    <m/>
    <m/>
  </r>
  <r>
    <x v="44"/>
    <d v="2024-01-31T00:00:00"/>
    <s v="Powerplus - Ending in 8s30"/>
    <x v="1849"/>
    <n v="38"/>
    <x v="8"/>
    <m/>
    <s v="Exp - Shopping"/>
    <m/>
    <m/>
    <m/>
    <m/>
    <m/>
    <m/>
    <x v="1704"/>
    <m/>
    <m/>
  </r>
  <r>
    <x v="44"/>
    <d v="2024-01-31T00:00:00"/>
    <s v="Powerplus - Ending in 8s30"/>
    <x v="4473"/>
    <n v="346"/>
    <x v="4"/>
    <m/>
    <s v="Exp - Day Care"/>
    <m/>
    <m/>
    <m/>
    <m/>
    <m/>
    <m/>
    <x v="3216"/>
    <m/>
    <m/>
  </r>
  <r>
    <x v="61"/>
    <d v="2024-02-01T00:00:00"/>
    <s v="Cash Rewards Visa Signature - Ending in 5948"/>
    <x v="4474"/>
    <n v="6.49"/>
    <x v="0"/>
    <m/>
    <s v="Exp - Amazon"/>
    <m/>
    <m/>
    <m/>
    <m/>
    <m/>
    <m/>
    <x v="3971"/>
    <m/>
    <m/>
  </r>
  <r>
    <x v="61"/>
    <d v="2024-02-01T00:00:00"/>
    <s v="Powerplus - Ending in 8s30"/>
    <x v="1893"/>
    <n v="-2697.11"/>
    <x v="34"/>
    <m/>
    <s v="Inc - Britney"/>
    <m/>
    <m/>
    <m/>
    <m/>
    <m/>
    <m/>
    <x v="1746"/>
    <m/>
    <m/>
  </r>
  <r>
    <x v="61"/>
    <d v="2024-02-01T00:00:00"/>
    <s v="manual"/>
    <x v="1850"/>
    <n v="250"/>
    <x v="56"/>
    <m/>
    <s v="Exp - Cleaning"/>
    <m/>
    <m/>
    <m/>
    <m/>
    <m/>
    <m/>
    <x v="1705"/>
    <m/>
    <m/>
  </r>
  <r>
    <x v="61"/>
    <d v="2024-02-01T00:00:00"/>
    <s v="Delta Skymiles Platinum Card - Ending in 1007"/>
    <x v="4475"/>
    <n v="24.52"/>
    <x v="1"/>
    <s v="Restaurants"/>
    <m/>
    <m/>
    <m/>
    <m/>
    <m/>
    <m/>
    <m/>
    <x v="3972"/>
    <m/>
    <m/>
  </r>
  <r>
    <x v="61"/>
    <d v="2024-02-01T00:00:00"/>
    <s v="Powerplus - Ending in 8s30"/>
    <x v="1844"/>
    <n v="2741.74"/>
    <x v="6"/>
    <m/>
    <s v="Exp - Rent"/>
    <m/>
    <m/>
    <m/>
    <m/>
    <m/>
    <m/>
    <x v="1699"/>
    <m/>
    <m/>
  </r>
  <r>
    <x v="61"/>
    <d v="2024-02-01T00:00:00"/>
    <s v="Delta Skymiles Platinum Card - Ending in 1007"/>
    <x v="100"/>
    <n v="148.81"/>
    <x v="5"/>
    <s v="Groceries"/>
    <m/>
    <m/>
    <m/>
    <m/>
    <m/>
    <m/>
    <m/>
    <x v="100"/>
    <m/>
    <m/>
  </r>
  <r>
    <x v="61"/>
    <d v="2024-02-01T00:00:00"/>
    <s v="Powerplus - Ending in 8s30"/>
    <x v="3996"/>
    <n v="650"/>
    <x v="9"/>
    <m/>
    <s v="Sav - College Savings"/>
    <m/>
    <m/>
    <m/>
    <m/>
    <m/>
    <m/>
    <x v="3539"/>
    <m/>
    <m/>
  </r>
  <r>
    <x v="61"/>
    <d v="2024-02-01T00:00:00"/>
    <s v="Delta Skymiles Platinum Card - Ending in 1007"/>
    <x v="1998"/>
    <n v="35"/>
    <x v="4"/>
    <s v="Entertainment"/>
    <s v="Exp - Day Care"/>
    <m/>
    <m/>
    <m/>
    <m/>
    <m/>
    <m/>
    <x v="1848"/>
    <m/>
    <m/>
  </r>
  <r>
    <x v="62"/>
    <d v="2024-08-16T00:00:00"/>
    <s v="Delta Skymiles Platinum Card ( X ) - Ending in 1007"/>
    <x v="4156"/>
    <n v="788.47"/>
    <x v="3"/>
    <s v="Travel"/>
    <s v="Delete"/>
    <m/>
    <m/>
    <m/>
    <m/>
    <m/>
    <m/>
    <x v="3688"/>
    <m/>
    <m/>
  </r>
  <r>
    <x v="61"/>
    <d v="2024-02-01T00:00:00"/>
    <s v="Powerplus - Ending in 8s30"/>
    <x v="4449"/>
    <n v="0.17"/>
    <x v="8"/>
    <m/>
    <s v="Exp - Shopping"/>
    <m/>
    <m/>
    <m/>
    <m/>
    <m/>
    <m/>
    <x v="3950"/>
    <m/>
    <m/>
  </r>
  <r>
    <x v="26"/>
    <d v="2024-03-17T00:00:00"/>
    <s v="Powerplus - Ending in 8s30"/>
    <x v="3787"/>
    <n v="-13.13"/>
    <x v="3"/>
    <m/>
    <m/>
    <m/>
    <m/>
    <m/>
    <m/>
    <m/>
    <m/>
    <x v="3342"/>
    <m/>
    <m/>
  </r>
  <r>
    <x v="61"/>
    <d v="2024-02-02T00:00:00"/>
    <s v="Cash Rewards Visa Signature - Ending in 5947"/>
    <x v="8"/>
    <n v="5.43"/>
    <x v="8"/>
    <m/>
    <s v="Exp - Shopping"/>
    <m/>
    <m/>
    <m/>
    <m/>
    <m/>
    <m/>
    <x v="8"/>
    <m/>
    <m/>
  </r>
  <r>
    <x v="61"/>
    <d v="2024-02-03T00:00:00"/>
    <s v="Delta Skymiles Platinum Card - Ending in 1007"/>
    <x v="4141"/>
    <n v="202.4"/>
    <x v="8"/>
    <s v="Entertainment"/>
    <s v="Exp - Shopping"/>
    <m/>
    <m/>
    <m/>
    <m/>
    <m/>
    <m/>
    <x v="3675"/>
    <m/>
    <m/>
  </r>
  <r>
    <x v="61"/>
    <d v="2024-02-03T00:00:00"/>
    <s v="Delta Skymiles Platinum Card - Ending in 1007"/>
    <x v="4476"/>
    <n v="80"/>
    <x v="8"/>
    <s v="Shopping"/>
    <s v="Exp - Shopping"/>
    <m/>
    <m/>
    <m/>
    <m/>
    <m/>
    <m/>
    <x v="3973"/>
    <m/>
    <m/>
  </r>
  <r>
    <x v="61"/>
    <d v="2024-02-03T00:00:00"/>
    <s v="Delta Skymiles Platinum Card - Ending in 1007"/>
    <x v="3945"/>
    <n v="58.88"/>
    <x v="1"/>
    <s v="Restaurants"/>
    <m/>
    <m/>
    <m/>
    <m/>
    <m/>
    <m/>
    <m/>
    <x v="3490"/>
    <m/>
    <m/>
  </r>
  <r>
    <x v="61"/>
    <d v="2024-02-03T00:00:00"/>
    <s v="Delta Skymiles Platinum Card - Ending in 1007"/>
    <x v="3945"/>
    <n v="110.86"/>
    <x v="1"/>
    <s v="Restaurants"/>
    <s v="Exp - Restaurants"/>
    <m/>
    <m/>
    <m/>
    <m/>
    <m/>
    <m/>
    <x v="3490"/>
    <m/>
    <m/>
  </r>
  <r>
    <x v="61"/>
    <d v="2024-02-04T00:00:00"/>
    <s v="Powerplus - Ending in 8s30"/>
    <x v="4418"/>
    <n v="150.63999999999999"/>
    <x v="0"/>
    <m/>
    <s v="Exp - Amazon"/>
    <m/>
    <m/>
    <m/>
    <m/>
    <m/>
    <m/>
    <x v="3923"/>
    <m/>
    <m/>
  </r>
  <r>
    <x v="61"/>
    <d v="2024-02-04T00:00:00"/>
    <s v="Delta Skymiles Platinum Card - Ending in 1007"/>
    <x v="4477"/>
    <n v="720.33"/>
    <x v="30"/>
    <s v="Delete - Other Expenses"/>
    <s v="Exp - House"/>
    <m/>
    <m/>
    <m/>
    <m/>
    <m/>
    <m/>
    <x v="3974"/>
    <m/>
    <m/>
  </r>
  <r>
    <x v="61"/>
    <d v="2024-02-04T00:00:00"/>
    <s v="Delta Skymiles Platinum Card - Ending in 1007"/>
    <x v="34"/>
    <n v="21.66"/>
    <x v="12"/>
    <s v="Target"/>
    <s v="Exp - Target"/>
    <m/>
    <m/>
    <m/>
    <m/>
    <m/>
    <m/>
    <x v="34"/>
    <m/>
    <m/>
  </r>
  <r>
    <x v="61"/>
    <d v="2024-02-04T00:00:00"/>
    <s v="Delta Skymiles Platinum Card - Ending in 1007"/>
    <x v="1837"/>
    <n v="-41.15"/>
    <x v="19"/>
    <s v="House Maintenance"/>
    <m/>
    <m/>
    <m/>
    <m/>
    <m/>
    <m/>
    <m/>
    <x v="1692"/>
    <m/>
    <m/>
  </r>
  <r>
    <x v="61"/>
    <d v="2024-02-05T00:00:00"/>
    <s v="Delta Skymiles Platinum Card - Ending in 1007"/>
    <x v="4478"/>
    <n v="20"/>
    <x v="8"/>
    <s v="Delete - Personal Care"/>
    <s v="Exp - Shopping"/>
    <m/>
    <m/>
    <m/>
    <m/>
    <m/>
    <m/>
    <x v="3975"/>
    <m/>
    <m/>
  </r>
  <r>
    <x v="61"/>
    <d v="2024-02-05T00:00:00"/>
    <s v="Powerplus - Ending in 8s30"/>
    <x v="3924"/>
    <n v="13.5"/>
    <x v="28"/>
    <m/>
    <s v="Exp - Misc"/>
    <m/>
    <m/>
    <m/>
    <m/>
    <m/>
    <m/>
    <x v="3470"/>
    <m/>
    <m/>
  </r>
  <r>
    <x v="61"/>
    <d v="2024-02-05T00:00:00"/>
    <s v="Delta Skymiles Platinum Card - Ending in 1007"/>
    <x v="1881"/>
    <n v="43.35"/>
    <x v="2"/>
    <s v="Groceries"/>
    <s v="Exp - Transportation"/>
    <m/>
    <m/>
    <m/>
    <m/>
    <m/>
    <m/>
    <x v="1734"/>
    <m/>
    <m/>
  </r>
  <r>
    <x v="61"/>
    <d v="2024-02-05T00:00:00"/>
    <s v="Delta Skymiles Platinum Card - Ending in 1007"/>
    <x v="1338"/>
    <n v="49.85"/>
    <x v="5"/>
    <s v="Groceries"/>
    <m/>
    <m/>
    <m/>
    <m/>
    <m/>
    <m/>
    <m/>
    <x v="1265"/>
    <m/>
    <m/>
  </r>
  <r>
    <x v="61"/>
    <d v="2024-02-05T00:00:00"/>
    <s v="Powerplus - Ending in 8s30"/>
    <x v="1827"/>
    <n v="125"/>
    <x v="8"/>
    <m/>
    <s v="Exp - Shopping"/>
    <m/>
    <m/>
    <m/>
    <m/>
    <m/>
    <m/>
    <x v="1682"/>
    <m/>
    <m/>
  </r>
  <r>
    <x v="61"/>
    <d v="2024-02-06T00:00:00"/>
    <s v="Cash Rewards Visa Signature - Ending in 5946"/>
    <x v="4479"/>
    <n v="31.94"/>
    <x v="0"/>
    <m/>
    <s v="Exp - Amazon"/>
    <m/>
    <m/>
    <m/>
    <m/>
    <m/>
    <m/>
    <x v="3976"/>
    <m/>
    <m/>
  </r>
  <r>
    <x v="61"/>
    <d v="2024-02-06T00:00:00"/>
    <s v="Delta Skymiles Platinum Card - Ending in 1007"/>
    <x v="4480"/>
    <n v="87"/>
    <x v="8"/>
    <s v="Shopping"/>
    <s v="Exp - Shopping"/>
    <m/>
    <m/>
    <m/>
    <m/>
    <m/>
    <m/>
    <x v="3977"/>
    <m/>
    <m/>
  </r>
  <r>
    <x v="61"/>
    <d v="2024-02-06T00:00:00"/>
    <s v="Delta Skymiles Platinum Card - Ending in 1007"/>
    <x v="4481"/>
    <n v="214.2"/>
    <x v="4"/>
    <s v="Shopping"/>
    <s v="Exp - Day Care"/>
    <m/>
    <m/>
    <m/>
    <m/>
    <m/>
    <m/>
    <x v="3978"/>
    <m/>
    <m/>
  </r>
  <r>
    <x v="61"/>
    <d v="2024-02-06T00:00:00"/>
    <s v="Powerplus - Ending in 8s30"/>
    <x v="1987"/>
    <n v="193.93"/>
    <x v="11"/>
    <m/>
    <s v="Exp - Utilities"/>
    <m/>
    <m/>
    <m/>
    <m/>
    <m/>
    <m/>
    <x v="1837"/>
    <m/>
    <m/>
  </r>
  <r>
    <x v="61"/>
    <d v="2024-02-06T00:00:00"/>
    <s v="Powerplus - Ending in 8s30"/>
    <x v="4482"/>
    <n v="346"/>
    <x v="4"/>
    <m/>
    <s v="Exp - Day Care"/>
    <m/>
    <m/>
    <m/>
    <m/>
    <m/>
    <m/>
    <x v="3216"/>
    <m/>
    <m/>
  </r>
  <r>
    <x v="61"/>
    <d v="2024-02-07T00:00:00"/>
    <s v="Cash Rewards Visa Signature - Ending in 5945"/>
    <x v="0"/>
    <n v="37.89"/>
    <x v="0"/>
    <m/>
    <s v="Exp - Amazon"/>
    <m/>
    <m/>
    <m/>
    <m/>
    <m/>
    <m/>
    <x v="0"/>
    <m/>
    <m/>
  </r>
  <r>
    <x v="61"/>
    <d v="2024-02-07T00:00:00"/>
    <s v="Delta Skymiles Platinum Card - Ending in 1007"/>
    <x v="1895"/>
    <n v="119.2"/>
    <x v="0"/>
    <s v="Amazon"/>
    <m/>
    <m/>
    <m/>
    <m/>
    <m/>
    <m/>
    <m/>
    <x v="1748"/>
    <m/>
    <m/>
  </r>
  <r>
    <x v="61"/>
    <d v="2024-02-07T00:00:00"/>
    <s v="Cash Rewards Visa Signature - Ending in 5941"/>
    <x v="4483"/>
    <n v="126.7"/>
    <x v="0"/>
    <m/>
    <s v="Exp - Amazon"/>
    <m/>
    <m/>
    <m/>
    <m/>
    <m/>
    <m/>
    <x v="3979"/>
    <m/>
    <m/>
  </r>
  <r>
    <x v="61"/>
    <d v="2024-02-07T00:00:00"/>
    <s v="Cash Rewards Visa Signature - Ending in 5942"/>
    <x v="4484"/>
    <n v="49.74"/>
    <x v="0"/>
    <m/>
    <s v="Exp - Amazon"/>
    <m/>
    <m/>
    <m/>
    <m/>
    <m/>
    <m/>
    <x v="3980"/>
    <m/>
    <m/>
  </r>
  <r>
    <x v="61"/>
    <d v="2024-02-07T00:00:00"/>
    <s v="Cash Rewards Visa Signature - Ending in 5943"/>
    <x v="4485"/>
    <n v="30.15"/>
    <x v="0"/>
    <m/>
    <s v="Exp - Amazon"/>
    <m/>
    <m/>
    <m/>
    <m/>
    <m/>
    <m/>
    <x v="3981"/>
    <m/>
    <m/>
  </r>
  <r>
    <x v="61"/>
    <d v="2024-02-07T00:00:00"/>
    <s v="Delta Skymiles Platinum Card - Ending in 1007"/>
    <x v="4150"/>
    <n v="74.86"/>
    <x v="1"/>
    <s v="Delete - Home Improvement"/>
    <s v="Exp - Restaurants"/>
    <m/>
    <m/>
    <m/>
    <m/>
    <m/>
    <m/>
    <x v="3682"/>
    <m/>
    <m/>
  </r>
  <r>
    <x v="61"/>
    <d v="2024-02-07T00:00:00"/>
    <s v="Delta Skymiles Platinum Card - Ending in 1007"/>
    <x v="6"/>
    <n v="72.290000000000006"/>
    <x v="5"/>
    <s v="Groceries"/>
    <m/>
    <m/>
    <m/>
    <m/>
    <m/>
    <m/>
    <m/>
    <x v="6"/>
    <m/>
    <m/>
  </r>
  <r>
    <x v="61"/>
    <d v="2024-02-07T00:00:00"/>
    <s v="Cash Rewards Visa Signature - Ending in 5944"/>
    <x v="8"/>
    <n v="17.64"/>
    <x v="8"/>
    <m/>
    <s v="Exp - Shopping"/>
    <m/>
    <m/>
    <m/>
    <m/>
    <m/>
    <m/>
    <x v="8"/>
    <m/>
    <m/>
  </r>
  <r>
    <x v="61"/>
    <d v="2024-02-07T00:00:00"/>
    <s v="Delta Skymiles Platinum Card - Ending in 1007"/>
    <x v="4486"/>
    <n v="61"/>
    <x v="4"/>
    <s v="Delete - Personal Care"/>
    <s v="Exp - Day Care"/>
    <m/>
    <m/>
    <m/>
    <m/>
    <m/>
    <m/>
    <x v="3982"/>
    <m/>
    <m/>
  </r>
  <r>
    <x v="61"/>
    <d v="2024-02-07T00:00:00"/>
    <s v="Discover More Card - Ending in 7779"/>
    <x v="4487"/>
    <n v="155.75"/>
    <x v="4"/>
    <s v="Travel"/>
    <s v="Exp - Day Care"/>
    <m/>
    <m/>
    <m/>
    <m/>
    <m/>
    <m/>
    <x v="3983"/>
    <m/>
    <m/>
  </r>
  <r>
    <x v="61"/>
    <d v="2024-02-07T00:00:00"/>
    <s v="Powerplus - Ending in 8s30"/>
    <x v="1849"/>
    <n v="13.07"/>
    <x v="8"/>
    <m/>
    <s v="Exp - Shopping"/>
    <m/>
    <m/>
    <m/>
    <m/>
    <m/>
    <m/>
    <x v="1704"/>
    <m/>
    <m/>
  </r>
  <r>
    <x v="61"/>
    <d v="2024-02-07T00:00:00"/>
    <s v="Delta Skymiles Platinum Card - Ending in 1007"/>
    <x v="197"/>
    <n v="35.630000000000003"/>
    <x v="1"/>
    <s v="Restaurants"/>
    <m/>
    <m/>
    <m/>
    <m/>
    <m/>
    <m/>
    <m/>
    <x v="196"/>
    <m/>
    <m/>
  </r>
  <r>
    <x v="61"/>
    <d v="2024-02-08T00:00:00"/>
    <s v="Discover More Card - Ending in 7779"/>
    <x v="1885"/>
    <n v="-35.770000000000003"/>
    <x v="23"/>
    <s v="Rewards"/>
    <m/>
    <m/>
    <m/>
    <m/>
    <m/>
    <m/>
    <m/>
    <x v="1738"/>
    <m/>
    <m/>
  </r>
  <r>
    <x v="61"/>
    <d v="2024-02-08T00:00:00"/>
    <s v="Cash Rewards Visa Signature - Ending in 5940"/>
    <x v="255"/>
    <n v="446.12"/>
    <x v="5"/>
    <m/>
    <s v="Exp - Groceries"/>
    <m/>
    <m/>
    <m/>
    <m/>
    <m/>
    <m/>
    <x v="253"/>
    <m/>
    <m/>
  </r>
  <r>
    <x v="61"/>
    <d v="2024-02-08T00:00:00"/>
    <s v="Cash Rewards Visa Signature - Ending in 5939"/>
    <x v="4158"/>
    <n v="77.2"/>
    <x v="2"/>
    <m/>
    <s v="Exp - Transportation"/>
    <m/>
    <m/>
    <m/>
    <m/>
    <m/>
    <m/>
    <x v="3690"/>
    <m/>
    <m/>
  </r>
  <r>
    <x v="61"/>
    <d v="2024-02-08T00:00:00"/>
    <s v="Delta Skymiles Platinum Card - Ending in 1007"/>
    <x v="4300"/>
    <n v="4"/>
    <x v="11"/>
    <s v="Delete - Online Services"/>
    <s v="Exp - Utilities"/>
    <m/>
    <m/>
    <m/>
    <m/>
    <m/>
    <m/>
    <x v="3817"/>
    <m/>
    <m/>
  </r>
  <r>
    <x v="26"/>
    <d v="2024-03-20T00:00:00"/>
    <s v="Powerplus - Ending in 8s30"/>
    <x v="3787"/>
    <n v="-11.96"/>
    <x v="3"/>
    <m/>
    <m/>
    <m/>
    <m/>
    <m/>
    <m/>
    <m/>
    <m/>
    <x v="3342"/>
    <m/>
    <m/>
  </r>
  <r>
    <x v="61"/>
    <d v="2024-02-08T00:00:00"/>
    <s v="Powerplus - Ending in 8s30"/>
    <x v="1869"/>
    <n v="163.75"/>
    <x v="11"/>
    <m/>
    <s v="Exp - Utilities"/>
    <m/>
    <m/>
    <m/>
    <m/>
    <m/>
    <m/>
    <x v="1723"/>
    <m/>
    <m/>
  </r>
  <r>
    <x v="61"/>
    <d v="2024-02-08T00:00:00"/>
    <s v="Powerplus - Ending in 8s30"/>
    <x v="1827"/>
    <n v="75"/>
    <x v="8"/>
    <m/>
    <s v="Exp - Shopping"/>
    <m/>
    <m/>
    <m/>
    <m/>
    <m/>
    <m/>
    <x v="1682"/>
    <m/>
    <m/>
  </r>
  <r>
    <x v="61"/>
    <d v="2024-02-09T00:00:00"/>
    <s v="Delta Skymiles Platinum Card - Ending in 1007"/>
    <x v="4488"/>
    <n v="33.83"/>
    <x v="28"/>
    <s v="Delete Brit"/>
    <s v="Exp - Misc"/>
    <m/>
    <m/>
    <m/>
    <m/>
    <m/>
    <m/>
    <x v="3984"/>
    <m/>
    <m/>
  </r>
  <r>
    <x v="61"/>
    <d v="2024-02-09T00:00:00"/>
    <s v="Cash Rewards Visa Signature - Ending in 5935"/>
    <x v="4489"/>
    <n v="119.2"/>
    <x v="0"/>
    <m/>
    <s v="Exp - Amazon"/>
    <m/>
    <m/>
    <m/>
    <m/>
    <m/>
    <m/>
    <x v="3985"/>
    <m/>
    <m/>
  </r>
  <r>
    <x v="61"/>
    <d v="2024-02-09T00:00:00"/>
    <s v="Cash Rewards Visa Signature - Ending in 5934"/>
    <x v="4490"/>
    <n v="57.35"/>
    <x v="0"/>
    <m/>
    <s v="Exp - Amazon"/>
    <m/>
    <m/>
    <m/>
    <m/>
    <m/>
    <m/>
    <x v="3986"/>
    <m/>
    <m/>
  </r>
  <r>
    <x v="61"/>
    <d v="2024-02-09T00:00:00"/>
    <s v="Cash Rewards Visa Signature - Ending in 5936"/>
    <x v="4491"/>
    <n v="119.2"/>
    <x v="0"/>
    <m/>
    <s v="Exp - Amazon"/>
    <m/>
    <m/>
    <m/>
    <m/>
    <m/>
    <m/>
    <x v="3987"/>
    <m/>
    <m/>
  </r>
  <r>
    <x v="61"/>
    <d v="2024-02-09T00:00:00"/>
    <s v="Cash Rewards Visa Signature - Ending in 5937"/>
    <x v="4492"/>
    <n v="15.16"/>
    <x v="0"/>
    <m/>
    <s v="Exp - Amazon"/>
    <m/>
    <m/>
    <m/>
    <m/>
    <m/>
    <m/>
    <x v="3988"/>
    <m/>
    <m/>
  </r>
  <r>
    <x v="26"/>
    <d v="2024-03-27T00:00:00"/>
    <s v="Powerplus - Ending in 8s30"/>
    <x v="3787"/>
    <n v="-72.150000000000006"/>
    <x v="3"/>
    <m/>
    <m/>
    <m/>
    <m/>
    <m/>
    <m/>
    <m/>
    <m/>
    <x v="3342"/>
    <m/>
    <m/>
  </r>
  <r>
    <x v="61"/>
    <d v="2024-02-09T00:00:00"/>
    <s v="Cash Rewards Visa Signature - Ending in 5938"/>
    <x v="1867"/>
    <n v="47.69"/>
    <x v="27"/>
    <m/>
    <s v="Exp - Gym"/>
    <m/>
    <m/>
    <m/>
    <m/>
    <m/>
    <m/>
    <x v="1721"/>
    <m/>
    <m/>
  </r>
  <r>
    <x v="61"/>
    <d v="2024-02-09T00:00:00"/>
    <s v="Powerplus - Ending in 8s30"/>
    <x v="1849"/>
    <n v="7.62"/>
    <x v="8"/>
    <m/>
    <s v="Exp - Shopping"/>
    <m/>
    <m/>
    <m/>
    <m/>
    <m/>
    <m/>
    <x v="1704"/>
    <m/>
    <m/>
  </r>
  <r>
    <x v="61"/>
    <d v="2024-02-09T00:00:00"/>
    <s v="Powerplus - Ending in 8s30"/>
    <x v="1827"/>
    <n v="22"/>
    <x v="8"/>
    <m/>
    <s v="Exp - Shopping"/>
    <m/>
    <m/>
    <m/>
    <m/>
    <m/>
    <m/>
    <x v="1682"/>
    <m/>
    <m/>
  </r>
  <r>
    <x v="61"/>
    <d v="2024-02-09T00:00:00"/>
    <s v="Delta Skymiles Platinum Card - Ending in 1007"/>
    <x v="4230"/>
    <n v="44.39"/>
    <x v="1"/>
    <s v="Restaurants"/>
    <s v="Exp - Restaurants"/>
    <m/>
    <m/>
    <m/>
    <m/>
    <m/>
    <m/>
    <x v="3755"/>
    <m/>
    <m/>
  </r>
  <r>
    <x v="61"/>
    <d v="2024-02-09T00:00:00"/>
    <s v="Powerplus - Ending in 8s30"/>
    <x v="4493"/>
    <n v="208.13"/>
    <x v="11"/>
    <m/>
    <s v="Exp - Utilities"/>
    <m/>
    <m/>
    <m/>
    <m/>
    <m/>
    <m/>
    <x v="3912"/>
    <m/>
    <m/>
  </r>
  <r>
    <x v="64"/>
    <d v="2024-04-09T00:00:00"/>
    <s v="Powerplus - Ending in 8s30"/>
    <x v="3787"/>
    <n v="-25.78"/>
    <x v="3"/>
    <m/>
    <m/>
    <m/>
    <m/>
    <m/>
    <m/>
    <m/>
    <m/>
    <x v="3342"/>
    <m/>
    <m/>
  </r>
  <r>
    <x v="61"/>
    <d v="2024-02-10T00:00:00"/>
    <s v="Delta Skymiles Platinum Card - Ending in 1007"/>
    <x v="3556"/>
    <n v="40.21"/>
    <x v="5"/>
    <s v="Groceries"/>
    <s v="Exp - Groceries"/>
    <m/>
    <m/>
    <m/>
    <m/>
    <m/>
    <m/>
    <x v="3136"/>
    <m/>
    <m/>
  </r>
  <r>
    <x v="61"/>
    <d v="2024-02-10T00:00:00"/>
    <s v="Discover More Card - Ending in 7779"/>
    <x v="4487"/>
    <n v="-50"/>
    <x v="4"/>
    <s v="Refunds &amp; Reimbursements"/>
    <s v="Exp - Day Care"/>
    <m/>
    <m/>
    <m/>
    <m/>
    <m/>
    <m/>
    <x v="3983"/>
    <m/>
    <m/>
  </r>
  <r>
    <x v="61"/>
    <d v="2024-02-11T00:00:00"/>
    <s v="Cash Rewards Visa Signature - Ending in 5931"/>
    <x v="4494"/>
    <n v="15.43"/>
    <x v="0"/>
    <m/>
    <s v="Exp - Amazon"/>
    <m/>
    <m/>
    <m/>
    <m/>
    <m/>
    <m/>
    <x v="3989"/>
    <m/>
    <m/>
  </r>
  <r>
    <x v="61"/>
    <d v="2024-02-11T00:00:00"/>
    <s v="Cash Rewards Visa Signature - Ending in 5932"/>
    <x v="4495"/>
    <n v="21.66"/>
    <x v="0"/>
    <m/>
    <s v="Exp - Amazon"/>
    <m/>
    <m/>
    <m/>
    <m/>
    <m/>
    <m/>
    <x v="3990"/>
    <m/>
    <m/>
  </r>
  <r>
    <x v="61"/>
    <d v="2024-02-11T00:00:00"/>
    <s v="Delta Skymiles Platinum Card - Ending in 1007"/>
    <x v="6"/>
    <n v="7.99"/>
    <x v="5"/>
    <s v="Groceries"/>
    <s v="Exp - Groceries"/>
    <m/>
    <m/>
    <m/>
    <m/>
    <m/>
    <m/>
    <x v="6"/>
    <m/>
    <m/>
  </r>
  <r>
    <x v="61"/>
    <d v="2024-02-11T00:00:00"/>
    <s v="Cash Rewards Visa Signature - Ending in 5930"/>
    <x v="4496"/>
    <n v="146.58000000000001"/>
    <x v="25"/>
    <m/>
    <s v="Exp - Healthcare"/>
    <m/>
    <m/>
    <m/>
    <m/>
    <m/>
    <m/>
    <x v="3991"/>
    <m/>
    <m/>
  </r>
  <r>
    <x v="61"/>
    <d v="2024-02-11T00:00:00"/>
    <s v="Cash Rewards Visa Signature - Ending in 5933"/>
    <x v="99"/>
    <n v="25.6"/>
    <x v="11"/>
    <m/>
    <s v="Exp - Utilities"/>
    <m/>
    <m/>
    <m/>
    <m/>
    <m/>
    <m/>
    <x v="99"/>
    <m/>
    <m/>
  </r>
  <r>
    <x v="61"/>
    <d v="2024-02-11T00:00:00"/>
    <s v="Delta Skymiles Platinum Card - Ending in 1007"/>
    <x v="4497"/>
    <n v="56.36"/>
    <x v="1"/>
    <s v="Restaurants"/>
    <m/>
    <m/>
    <m/>
    <m/>
    <m/>
    <m/>
    <m/>
    <x v="3992"/>
    <m/>
    <m/>
  </r>
  <r>
    <x v="61"/>
    <d v="2024-02-12T00:00:00"/>
    <s v="Delta Skymiles Platinum Card - Ending in 1007"/>
    <x v="4498"/>
    <n v="185"/>
    <x v="1"/>
    <s v="Entertainment"/>
    <s v="Exp - Restaurants"/>
    <m/>
    <m/>
    <m/>
    <m/>
    <m/>
    <m/>
    <x v="3993"/>
    <m/>
    <m/>
  </r>
  <r>
    <x v="61"/>
    <d v="2024-02-12T00:00:00"/>
    <s v="Powerplus - Ending in 8s30"/>
    <x v="3787"/>
    <n v="-146.58000000000001"/>
    <x v="25"/>
    <m/>
    <s v="Exp - Healthcare"/>
    <m/>
    <m/>
    <m/>
    <m/>
    <m/>
    <m/>
    <x v="3342"/>
    <m/>
    <m/>
  </r>
  <r>
    <x v="61"/>
    <d v="2024-02-12T00:00:00"/>
    <s v="Cash Rewards Visa Signature - Ending in 5929"/>
    <x v="4140"/>
    <n v="5.99"/>
    <x v="10"/>
    <m/>
    <s v="Exp - Entertainment"/>
    <m/>
    <m/>
    <m/>
    <m/>
    <m/>
    <m/>
    <x v="3674"/>
    <m/>
    <m/>
  </r>
  <r>
    <x v="61"/>
    <d v="2024-02-12T00:00:00"/>
    <s v="Delta Skymiles Platinum Card - Ending in 1007"/>
    <x v="4417"/>
    <n v="112.11"/>
    <x v="25"/>
    <s v="Healthcare"/>
    <m/>
    <m/>
    <m/>
    <m/>
    <m/>
    <m/>
    <m/>
    <x v="3922"/>
    <m/>
    <m/>
  </r>
  <r>
    <x v="61"/>
    <d v="2024-02-12T00:00:00"/>
    <s v="Delta Skymiles Platinum Card - Ending in 1007"/>
    <x v="4417"/>
    <n v="130.63999999999999"/>
    <x v="25"/>
    <s v="Healthcare"/>
    <m/>
    <m/>
    <m/>
    <m/>
    <m/>
    <m/>
    <m/>
    <x v="3922"/>
    <m/>
    <m/>
  </r>
  <r>
    <x v="61"/>
    <d v="2024-02-12T00:00:00"/>
    <s v="Powerplus - Ending in 8s30"/>
    <x v="1827"/>
    <n v="576"/>
    <x v="8"/>
    <m/>
    <s v="Exp - Shopping"/>
    <m/>
    <m/>
    <m/>
    <m/>
    <m/>
    <m/>
    <x v="1682"/>
    <m/>
    <m/>
  </r>
  <r>
    <x v="61"/>
    <d v="2024-02-13T00:00:00"/>
    <s v="Discover More Card - Ending in 7779"/>
    <x v="0"/>
    <n v="25.1"/>
    <x v="0"/>
    <s v="Dry Cleaning"/>
    <s v="Exp - Amazon"/>
    <m/>
    <m/>
    <m/>
    <m/>
    <m/>
    <m/>
    <x v="0"/>
    <m/>
    <m/>
  </r>
  <r>
    <x v="61"/>
    <d v="2024-02-13T00:00:00"/>
    <s v="Discover More Card - Ending in 7779"/>
    <x v="0"/>
    <n v="650.24"/>
    <x v="0"/>
    <s v="Amazon"/>
    <s v="Exp - Amazon"/>
    <m/>
    <m/>
    <m/>
    <m/>
    <m/>
    <m/>
    <x v="0"/>
    <m/>
    <m/>
  </r>
  <r>
    <x v="61"/>
    <d v="2024-02-13T00:00:00"/>
    <s v="Delta Skymiles Platinum Card - Ending in 1007"/>
    <x v="4499"/>
    <n v="1332"/>
    <x v="4"/>
    <s v="Cable/Satellite"/>
    <s v="Exp - Day Care"/>
    <m/>
    <m/>
    <m/>
    <m/>
    <m/>
    <m/>
    <x v="3994"/>
    <m/>
    <m/>
  </r>
  <r>
    <x v="61"/>
    <d v="2024-02-13T00:00:00"/>
    <s v="Powerplus - Ending in 8s30"/>
    <x v="3787"/>
    <n v="-112.11"/>
    <x v="25"/>
    <m/>
    <s v="Exp - Healthcare"/>
    <m/>
    <m/>
    <m/>
    <m/>
    <m/>
    <m/>
    <x v="3342"/>
    <m/>
    <m/>
  </r>
  <r>
    <x v="61"/>
    <d v="2024-02-13T00:00:00"/>
    <s v="Delta Skymiles Platinum Card - Ending in 1007"/>
    <x v="4417"/>
    <n v="130.63999999999999"/>
    <x v="25"/>
    <s v="Healthcare"/>
    <m/>
    <m/>
    <m/>
    <m/>
    <m/>
    <m/>
    <m/>
    <x v="3922"/>
    <m/>
    <m/>
  </r>
  <r>
    <x v="61"/>
    <d v="2024-02-13T00:00:00"/>
    <s v="Cash Rewards Visa Signature - Ending in 5928"/>
    <x v="1993"/>
    <n v="45"/>
    <x v="11"/>
    <m/>
    <s v="Exp - Utilities"/>
    <m/>
    <m/>
    <m/>
    <m/>
    <m/>
    <m/>
    <x v="1843"/>
    <m/>
    <m/>
  </r>
  <r>
    <x v="61"/>
    <d v="2024-02-13T00:00:00"/>
    <s v="Powerplus - Ending in 8s30"/>
    <x v="4165"/>
    <n v="-600"/>
    <x v="8"/>
    <m/>
    <s v="Exp - Shopping"/>
    <m/>
    <m/>
    <m/>
    <m/>
    <m/>
    <m/>
    <x v="3696"/>
    <m/>
    <m/>
  </r>
  <r>
    <x v="61"/>
    <d v="2024-02-13T00:00:00"/>
    <s v="Powerplus - Ending in 8s30"/>
    <x v="1827"/>
    <n v="5"/>
    <x v="8"/>
    <m/>
    <s v="Exp - Shopping"/>
    <m/>
    <m/>
    <m/>
    <m/>
    <m/>
    <m/>
    <x v="1682"/>
    <m/>
    <m/>
  </r>
  <r>
    <x v="61"/>
    <d v="2024-02-13T00:00:00"/>
    <s v="Powerplus - Ending in 8s30"/>
    <x v="4500"/>
    <n v="346"/>
    <x v="4"/>
    <m/>
    <s v="Exp - Day Care"/>
    <m/>
    <m/>
    <m/>
    <m/>
    <m/>
    <m/>
    <x v="3216"/>
    <m/>
    <m/>
  </r>
  <r>
    <x v="61"/>
    <d v="2024-02-14T00:00:00"/>
    <s v="Cash Rewards Visa Signature - Ending in 5927"/>
    <x v="475"/>
    <n v="714"/>
    <x v="4"/>
    <m/>
    <s v="Exp - Day Care"/>
    <m/>
    <m/>
    <m/>
    <m/>
    <m/>
    <m/>
    <x v="458"/>
    <m/>
    <m/>
  </r>
  <r>
    <x v="61"/>
    <d v="2024-02-14T00:00:00"/>
    <s v="Delta Skymiles Platinum Card - Ending in 1007"/>
    <x v="823"/>
    <n v="47.72"/>
    <x v="2"/>
    <s v="Transportation"/>
    <m/>
    <m/>
    <m/>
    <m/>
    <m/>
    <m/>
    <m/>
    <x v="792"/>
    <m/>
    <m/>
  </r>
  <r>
    <x v="61"/>
    <d v="2024-02-14T00:00:00"/>
    <s v="Powerplus - Ending in 8s30"/>
    <x v="3693"/>
    <n v="127.3"/>
    <x v="16"/>
    <m/>
    <s v="Exp - Insurance"/>
    <m/>
    <m/>
    <m/>
    <m/>
    <m/>
    <m/>
    <x v="3254"/>
    <m/>
    <m/>
  </r>
  <r>
    <x v="61"/>
    <d v="2024-02-14T00:00:00"/>
    <s v="Powerplus - Ending in 8s30"/>
    <x v="3684"/>
    <n v="-3251.2"/>
    <x v="57"/>
    <m/>
    <s v="Inc - Jeff"/>
    <m/>
    <m/>
    <m/>
    <m/>
    <m/>
    <m/>
    <x v="3245"/>
    <m/>
    <m/>
  </r>
  <r>
    <x v="61"/>
    <d v="2024-02-14T00:00:00"/>
    <s v="Powerplus - Ending in 8s30"/>
    <x v="1827"/>
    <n v="19.600000000000001"/>
    <x v="8"/>
    <m/>
    <s v="Exp - Shopping"/>
    <m/>
    <m/>
    <m/>
    <m/>
    <m/>
    <m/>
    <x v="1682"/>
    <m/>
    <m/>
  </r>
  <r>
    <x v="61"/>
    <d v="2024-02-14T00:00:00"/>
    <s v="Delta Skymiles Platinum Card - Ending in 1007"/>
    <x v="4501"/>
    <n v="31.2"/>
    <x v="25"/>
    <s v="Healthcare"/>
    <s v="Exp - Healthcare"/>
    <m/>
    <m/>
    <m/>
    <m/>
    <m/>
    <m/>
    <x v="3995"/>
    <m/>
    <m/>
  </r>
  <r>
    <x v="61"/>
    <d v="2024-02-15T00:00:00"/>
    <s v="Cash Rewards Visa Signature - Ending in 5926"/>
    <x v="4502"/>
    <n v="110"/>
    <x v="10"/>
    <m/>
    <s v="Exp - Entertainment"/>
    <m/>
    <m/>
    <m/>
    <m/>
    <m/>
    <m/>
    <x v="3996"/>
    <m/>
    <m/>
  </r>
  <r>
    <x v="61"/>
    <d v="2024-02-15T00:00:00"/>
    <s v="Delta Skymiles Platinum Card - Ending in 1007"/>
    <x v="4503"/>
    <n v="16.3"/>
    <x v="1"/>
    <s v="Restaurants"/>
    <s v="Exp - Restaurants"/>
    <m/>
    <m/>
    <m/>
    <m/>
    <m/>
    <m/>
    <x v="3997"/>
    <m/>
    <m/>
  </r>
  <r>
    <x v="61"/>
    <d v="2024-02-15T00:00:00"/>
    <s v="Powerplus - Ending in 8s30"/>
    <x v="1893"/>
    <n v="-2666.31"/>
    <x v="34"/>
    <m/>
    <s v="Inc - Britney"/>
    <m/>
    <m/>
    <m/>
    <m/>
    <m/>
    <m/>
    <x v="1746"/>
    <m/>
    <m/>
  </r>
  <r>
    <x v="61"/>
    <d v="2024-02-15T00:00:00"/>
    <s v="Delta Skymiles Platinum Card - Ending in 1007"/>
    <x v="59"/>
    <n v="13.06"/>
    <x v="1"/>
    <s v="Restaurants"/>
    <s v="Exp - Restaurants"/>
    <m/>
    <m/>
    <m/>
    <m/>
    <m/>
    <m/>
    <x v="59"/>
    <m/>
    <m/>
  </r>
  <r>
    <x v="61"/>
    <d v="2024-02-15T00:00:00"/>
    <s v="Powerplus - Ending in 8s30"/>
    <x v="3787"/>
    <n v="-31.2"/>
    <x v="25"/>
    <m/>
    <s v="Exp - Healthcare"/>
    <m/>
    <m/>
    <m/>
    <m/>
    <m/>
    <m/>
    <x v="3342"/>
    <m/>
    <m/>
  </r>
  <r>
    <x v="64"/>
    <d v="2024-04-24T00:00:00"/>
    <s v="Powerplus - Ending in 8s30"/>
    <x v="3787"/>
    <n v="-370.51"/>
    <x v="3"/>
    <m/>
    <m/>
    <m/>
    <m/>
    <m/>
    <m/>
    <m/>
    <m/>
    <x v="3342"/>
    <m/>
    <m/>
  </r>
  <r>
    <x v="61"/>
    <d v="2024-02-15T00:00:00"/>
    <s v="Powerplus - Ending in 8s30"/>
    <x v="4504"/>
    <n v="-1375.26"/>
    <x v="57"/>
    <m/>
    <s v="Inc - Jeff"/>
    <m/>
    <m/>
    <m/>
    <m/>
    <m/>
    <m/>
    <x v="3260"/>
    <m/>
    <m/>
  </r>
  <r>
    <x v="64"/>
    <d v="2024-04-30T00:00:00"/>
    <s v="Powerplus - Ending in 8s30"/>
    <x v="3787"/>
    <n v="-390"/>
    <x v="3"/>
    <m/>
    <m/>
    <m/>
    <m/>
    <m/>
    <m/>
    <m/>
    <m/>
    <x v="3342"/>
    <m/>
    <m/>
  </r>
  <r>
    <x v="61"/>
    <d v="2024-02-15T00:00:00"/>
    <s v="Powerplus - Ending in 8s30"/>
    <x v="1849"/>
    <n v="1.75"/>
    <x v="8"/>
    <m/>
    <s v="Exp - Shopping"/>
    <m/>
    <m/>
    <m/>
    <m/>
    <m/>
    <m/>
    <x v="1704"/>
    <m/>
    <m/>
  </r>
  <r>
    <x v="61"/>
    <d v="2024-02-15T00:00:00"/>
    <s v="Powerplus - Ending in 8s30"/>
    <x v="1849"/>
    <n v="1.39"/>
    <x v="8"/>
    <m/>
    <s v="Exp - Shopping"/>
    <m/>
    <m/>
    <m/>
    <m/>
    <m/>
    <m/>
    <x v="1704"/>
    <m/>
    <m/>
  </r>
  <r>
    <x v="61"/>
    <d v="2024-02-15T00:00:00"/>
    <s v="Powerplus - Ending in 8s30"/>
    <x v="1827"/>
    <n v="125"/>
    <x v="8"/>
    <m/>
    <s v="Exp - Shopping"/>
    <m/>
    <m/>
    <m/>
    <m/>
    <m/>
    <m/>
    <x v="1682"/>
    <m/>
    <m/>
  </r>
  <r>
    <x v="61"/>
    <d v="2024-02-15T00:00:00"/>
    <s v="Delta Skymiles Platinum Card - Ending in 1007"/>
    <x v="4505"/>
    <n v="42.32"/>
    <x v="1"/>
    <s v="Restaurants"/>
    <s v="Exp - Restaurants"/>
    <m/>
    <m/>
    <m/>
    <m/>
    <m/>
    <m/>
    <x v="3998"/>
    <m/>
    <m/>
  </r>
  <r>
    <x v="27"/>
    <d v="2024-07-04T00:00:00"/>
    <s v="Powerplus - Ending in 8s30"/>
    <x v="3787"/>
    <n v="-123.53"/>
    <x v="3"/>
    <m/>
    <m/>
    <m/>
    <m/>
    <m/>
    <m/>
    <m/>
    <m/>
    <x v="3342"/>
    <m/>
    <m/>
  </r>
  <r>
    <x v="61"/>
    <d v="2024-02-16T00:00:00"/>
    <s v="Cash Rewards Visa Signature - Ending in 5923"/>
    <x v="255"/>
    <n v="162.05000000000001"/>
    <x v="5"/>
    <m/>
    <s v="Exp - Groceries"/>
    <m/>
    <m/>
    <m/>
    <m/>
    <m/>
    <m/>
    <x v="253"/>
    <m/>
    <m/>
  </r>
  <r>
    <x v="27"/>
    <d v="2024-07-10T00:00:00"/>
    <s v="Powerplus - Ending in 8s30"/>
    <x v="3787"/>
    <n v="-80.56"/>
    <x v="3"/>
    <m/>
    <m/>
    <m/>
    <m/>
    <m/>
    <m/>
    <m/>
    <m/>
    <x v="3342"/>
    <m/>
    <m/>
  </r>
  <r>
    <x v="61"/>
    <d v="2024-02-16T00:00:00"/>
    <s v="Delta Skymiles Platinum Card - Ending in 1007"/>
    <x v="3778"/>
    <n v="37.840000000000003"/>
    <x v="8"/>
    <s v="Restaurants"/>
    <s v="Exp - Shopping"/>
    <m/>
    <m/>
    <m/>
    <m/>
    <m/>
    <m/>
    <x v="3333"/>
    <m/>
    <m/>
  </r>
  <r>
    <x v="62"/>
    <d v="2024-08-18T00:00:00"/>
    <s v="Powerplus - Ending in 8s30"/>
    <x v="3787"/>
    <n v="-21.33"/>
    <x v="3"/>
    <m/>
    <s v="Delete"/>
    <m/>
    <m/>
    <m/>
    <m/>
    <m/>
    <m/>
    <x v="3342"/>
    <m/>
    <m/>
  </r>
  <r>
    <x v="61"/>
    <d v="2024-02-16T00:00:00"/>
    <s v="Cash Rewards Visa Signature - Ending in 5924"/>
    <x v="34"/>
    <n v="30.38"/>
    <x v="12"/>
    <m/>
    <s v="Exp - Target"/>
    <m/>
    <m/>
    <m/>
    <m/>
    <m/>
    <m/>
    <x v="34"/>
    <m/>
    <m/>
  </r>
  <r>
    <x v="61"/>
    <d v="2024-02-16T00:00:00"/>
    <s v="Powerplus - Ending in 8s30"/>
    <x v="1827"/>
    <n v="150"/>
    <x v="8"/>
    <m/>
    <s v="Exp - Shopping"/>
    <m/>
    <m/>
    <m/>
    <m/>
    <m/>
    <m/>
    <x v="1682"/>
    <m/>
    <m/>
  </r>
  <r>
    <x v="61"/>
    <d v="2024-02-17T00:00:00"/>
    <s v="Discover More Card - Ending in 7779"/>
    <x v="0"/>
    <n v="12.99"/>
    <x v="0"/>
    <s v="Dry Cleaning"/>
    <s v="Exp - Amazon"/>
    <m/>
    <m/>
    <m/>
    <m/>
    <m/>
    <m/>
    <x v="0"/>
    <m/>
    <m/>
  </r>
  <r>
    <x v="61"/>
    <d v="2024-02-17T00:00:00"/>
    <s v="Discover More Card - Ending in 7779"/>
    <x v="0"/>
    <n v="46.6"/>
    <x v="0"/>
    <s v="Amazon"/>
    <s v="Exp - Amazon"/>
    <m/>
    <m/>
    <m/>
    <m/>
    <m/>
    <m/>
    <x v="0"/>
    <m/>
    <m/>
  </r>
  <r>
    <x v="61"/>
    <d v="2024-02-17T00:00:00"/>
    <s v="Delta Skymiles Platinum Card - Ending in 1007"/>
    <x v="1895"/>
    <n v="107.67"/>
    <x v="0"/>
    <s v="Amazon"/>
    <s v="Exp - Amazon"/>
    <m/>
    <m/>
    <m/>
    <m/>
    <m/>
    <m/>
    <x v="1748"/>
    <m/>
    <m/>
  </r>
  <r>
    <x v="61"/>
    <d v="2024-02-17T00:00:00"/>
    <s v="Delta Skymiles Platinum Card - Ending in 1007"/>
    <x v="4384"/>
    <n v="199.25"/>
    <x v="10"/>
    <s v="Shopping"/>
    <s v="Exp - Entertainment"/>
    <m/>
    <m/>
    <m/>
    <m/>
    <m/>
    <m/>
    <x v="3892"/>
    <m/>
    <m/>
  </r>
  <r>
    <x v="61"/>
    <d v="2024-02-17T00:00:00"/>
    <s v="Delta Skymiles Platinum Card - Ending in 1007"/>
    <x v="6"/>
    <n v="59.57"/>
    <x v="5"/>
    <s v="Groceries"/>
    <s v="Exp - Groceries"/>
    <m/>
    <m/>
    <m/>
    <m/>
    <m/>
    <m/>
    <x v="6"/>
    <m/>
    <m/>
  </r>
  <r>
    <x v="61"/>
    <d v="2024-02-18T00:00:00"/>
    <s v="Delta Skymiles Platinum Card - Ending in 1007"/>
    <x v="4506"/>
    <n v="10"/>
    <x v="8"/>
    <s v="Delete - Other Expenses"/>
    <s v="Exp - Shopping"/>
    <m/>
    <m/>
    <m/>
    <m/>
    <m/>
    <m/>
    <x v="3999"/>
    <m/>
    <m/>
  </r>
  <r>
    <x v="61"/>
    <d v="2024-02-18T00:00:00"/>
    <s v="Delta Skymiles Platinum Card - Ending in 1007"/>
    <x v="4507"/>
    <n v="134.61000000000001"/>
    <x v="1"/>
    <s v="Restaurants"/>
    <s v="Exp - Restaurants"/>
    <m/>
    <m/>
    <m/>
    <m/>
    <m/>
    <m/>
    <x v="4000"/>
    <m/>
    <m/>
  </r>
  <r>
    <x v="61"/>
    <d v="2024-02-18T00:00:00"/>
    <s v="Delta Skymiles Platinum Card - Ending in 1007"/>
    <x v="4508"/>
    <n v="730.25"/>
    <x v="8"/>
    <s v="Restaurants"/>
    <s v="Exp - Shopping"/>
    <m/>
    <m/>
    <m/>
    <m/>
    <m/>
    <m/>
    <x v="4001"/>
    <m/>
    <m/>
  </r>
  <r>
    <x v="61"/>
    <d v="2024-02-18T00:00:00"/>
    <s v="Delta Skymiles Platinum Card - Ending in 1007"/>
    <x v="4509"/>
    <n v="27"/>
    <x v="1"/>
    <s v="Restaurants"/>
    <s v="Exp - Restaurants"/>
    <m/>
    <m/>
    <m/>
    <m/>
    <m/>
    <m/>
    <x v="4002"/>
    <m/>
    <m/>
  </r>
  <r>
    <x v="61"/>
    <d v="2024-02-19T00:00:00"/>
    <s v="Delta Skymiles Platinum Card - Ending in 1007"/>
    <x v="4510"/>
    <n v="94.6"/>
    <x v="1"/>
    <s v="Gifts"/>
    <s v="Exp - Restaurants"/>
    <m/>
    <m/>
    <m/>
    <m/>
    <m/>
    <m/>
    <x v="4003"/>
    <m/>
    <m/>
  </r>
  <r>
    <x v="61"/>
    <d v="2024-02-19T00:00:00"/>
    <s v="Delta Skymiles Platinum Card - Ending in 1007"/>
    <x v="1338"/>
    <n v="105.82"/>
    <x v="5"/>
    <s v="Groceries"/>
    <m/>
    <m/>
    <m/>
    <m/>
    <m/>
    <m/>
    <m/>
    <x v="1265"/>
    <m/>
    <m/>
  </r>
  <r>
    <x v="61"/>
    <d v="2024-02-19T00:00:00"/>
    <s v="Powerplus - Ending in 8s30"/>
    <x v="2047"/>
    <n v="-31.97"/>
    <x v="8"/>
    <m/>
    <s v="Exp - Shopping"/>
    <m/>
    <m/>
    <m/>
    <m/>
    <m/>
    <m/>
    <x v="1897"/>
    <m/>
    <m/>
  </r>
  <r>
    <x v="61"/>
    <d v="2024-02-19T00:00:00"/>
    <s v="Delta Skymiles Platinum Card - Ending in 1007"/>
    <x v="4511"/>
    <n v="42.67"/>
    <x v="1"/>
    <s v="Restaurants"/>
    <s v="Exp - Restaurants"/>
    <m/>
    <m/>
    <m/>
    <m/>
    <m/>
    <m/>
    <x v="4004"/>
    <m/>
    <m/>
  </r>
  <r>
    <x v="61"/>
    <d v="2024-02-20T00:00:00"/>
    <s v="Cash Rewards Visa Signature - Ending in 5919"/>
    <x v="1895"/>
    <n v="-49.74"/>
    <x v="0"/>
    <m/>
    <s v="Exp - Amazon"/>
    <m/>
    <m/>
    <m/>
    <m/>
    <m/>
    <m/>
    <x v="1748"/>
    <m/>
    <m/>
  </r>
  <r>
    <x v="61"/>
    <d v="2024-02-20T00:00:00"/>
    <s v="Cash Rewards Visa Signature - Ending in 5920"/>
    <x v="1895"/>
    <n v="-18.41"/>
    <x v="0"/>
    <m/>
    <s v="Exp - Amazon"/>
    <m/>
    <m/>
    <m/>
    <m/>
    <m/>
    <m/>
    <x v="1748"/>
    <m/>
    <m/>
  </r>
  <r>
    <x v="61"/>
    <d v="2024-02-20T00:00:00"/>
    <s v="Delta Skymiles Platinum Card - Ending in 1007"/>
    <x v="1895"/>
    <n v="54.97"/>
    <x v="0"/>
    <s v="Amazon"/>
    <s v="Exp - Amazon"/>
    <m/>
    <m/>
    <m/>
    <m/>
    <m/>
    <m/>
    <x v="1748"/>
    <m/>
    <m/>
  </r>
  <r>
    <x v="61"/>
    <d v="2024-02-20T00:00:00"/>
    <s v="Cash Rewards Visa Signature - Ending in 5922"/>
    <x v="4168"/>
    <n v="1.99"/>
    <x v="11"/>
    <m/>
    <s v="Exp - Utilities"/>
    <m/>
    <m/>
    <m/>
    <m/>
    <m/>
    <m/>
    <x v="3699"/>
    <m/>
    <m/>
  </r>
  <r>
    <x v="61"/>
    <d v="2024-02-20T00:00:00"/>
    <s v="Delta Skymiles Platinum Card - Ending in 1007"/>
    <x v="237"/>
    <n v="12.29"/>
    <x v="1"/>
    <s v="Restaurants"/>
    <s v="Exp - Restaurants"/>
    <m/>
    <m/>
    <m/>
    <m/>
    <m/>
    <m/>
    <x v="235"/>
    <m/>
    <m/>
  </r>
  <r>
    <x v="61"/>
    <d v="2024-02-20T00:00:00"/>
    <s v="Cash Rewards Visa Signature - Ending in 5921"/>
    <x v="4512"/>
    <n v="2.25"/>
    <x v="1"/>
    <m/>
    <s v="Exp - Restaurants"/>
    <m/>
    <m/>
    <m/>
    <m/>
    <m/>
    <m/>
    <x v="4005"/>
    <m/>
    <m/>
  </r>
  <r>
    <x v="61"/>
    <d v="2024-02-20T00:00:00"/>
    <s v="Powerplus - Ending in 8s30"/>
    <x v="1849"/>
    <n v="2.99"/>
    <x v="8"/>
    <m/>
    <s v="Exp - Shopping"/>
    <m/>
    <m/>
    <m/>
    <m/>
    <m/>
    <m/>
    <x v="1704"/>
    <m/>
    <m/>
  </r>
  <r>
    <x v="61"/>
    <d v="2024-02-20T00:00:00"/>
    <s v="Powerplus - Ending in 8s30"/>
    <x v="1827"/>
    <n v="46"/>
    <x v="8"/>
    <m/>
    <s v="Exp - Shopping"/>
    <m/>
    <m/>
    <m/>
    <m/>
    <m/>
    <m/>
    <x v="1682"/>
    <m/>
    <m/>
  </r>
  <r>
    <x v="61"/>
    <d v="2024-02-20T00:00:00"/>
    <s v="Powerplus - Ending in 8s30"/>
    <x v="4513"/>
    <n v="650"/>
    <x v="9"/>
    <m/>
    <s v="Sav - College Savings"/>
    <m/>
    <m/>
    <m/>
    <m/>
    <m/>
    <m/>
    <x v="3267"/>
    <m/>
    <m/>
  </r>
  <r>
    <x v="61"/>
    <d v="2024-02-21T00:00:00"/>
    <s v="Cash Rewards Visa Signature - Ending in 5917"/>
    <x v="4514"/>
    <n v="12.95"/>
    <x v="0"/>
    <m/>
    <s v="Exp - Amazon"/>
    <m/>
    <m/>
    <m/>
    <m/>
    <m/>
    <m/>
    <x v="4006"/>
    <m/>
    <m/>
  </r>
  <r>
    <x v="61"/>
    <d v="2024-02-21T00:00:00"/>
    <s v="Cash Rewards Visa Signature - Ending in 5918"/>
    <x v="4515"/>
    <n v="11"/>
    <x v="11"/>
    <m/>
    <s v="Exp - Utilities"/>
    <m/>
    <m/>
    <m/>
    <m/>
    <m/>
    <m/>
    <x v="4007"/>
    <m/>
    <m/>
  </r>
  <r>
    <x v="61"/>
    <d v="2024-02-21T00:00:00"/>
    <s v="Powerplus - Ending in 8s30"/>
    <x v="4516"/>
    <n v="75.8"/>
    <x v="11"/>
    <m/>
    <s v="Exp - Utilities"/>
    <m/>
    <m/>
    <m/>
    <m/>
    <m/>
    <m/>
    <x v="3287"/>
    <m/>
    <m/>
  </r>
  <r>
    <x v="61"/>
    <d v="2024-02-21T00:00:00"/>
    <s v="Powerplus - Ending in 8s30"/>
    <x v="4517"/>
    <n v="346"/>
    <x v="4"/>
    <m/>
    <s v="Exp - Day Care"/>
    <m/>
    <m/>
    <m/>
    <m/>
    <m/>
    <m/>
    <x v="3216"/>
    <m/>
    <m/>
  </r>
  <r>
    <x v="61"/>
    <d v="2024-02-22T00:00:00"/>
    <s v="Discover More Card - Ending in 7779"/>
    <x v="0"/>
    <n v="7.48"/>
    <x v="0"/>
    <s v="Dry Cleaning"/>
    <s v="Exp - Amazon"/>
    <m/>
    <m/>
    <m/>
    <m/>
    <m/>
    <m/>
    <x v="0"/>
    <m/>
    <m/>
  </r>
  <r>
    <x v="61"/>
    <d v="2024-02-22T00:00:00"/>
    <s v="Cash Rewards Visa Signature - Ending in 5915"/>
    <x v="4158"/>
    <n v="42.03"/>
    <x v="2"/>
    <m/>
    <s v="Exp - Transportation"/>
    <m/>
    <m/>
    <m/>
    <m/>
    <m/>
    <m/>
    <x v="3690"/>
    <m/>
    <m/>
  </r>
  <r>
    <x v="62"/>
    <d v="2024-08-22T00:00:00"/>
    <s v="Powerplus - Ending in 8s30"/>
    <x v="3787"/>
    <n v="-924.3"/>
    <x v="3"/>
    <m/>
    <s v="Delete"/>
    <m/>
    <m/>
    <m/>
    <m/>
    <m/>
    <m/>
    <x v="3342"/>
    <m/>
    <m/>
  </r>
  <r>
    <x v="61"/>
    <d v="2024-02-22T00:00:00"/>
    <s v="Cash Rewards Visa Signature - Ending in 5916"/>
    <x v="1108"/>
    <n v="24.72"/>
    <x v="2"/>
    <m/>
    <s v="Exp - Transportation"/>
    <m/>
    <m/>
    <m/>
    <m/>
    <m/>
    <m/>
    <x v="1055"/>
    <m/>
    <m/>
  </r>
  <r>
    <x v="61"/>
    <d v="2024-02-22T00:00:00"/>
    <s v="Delta Skymiles Platinum Card - Ending in 1007"/>
    <x v="188"/>
    <n v="30.35"/>
    <x v="1"/>
    <s v="Restaurants"/>
    <s v="Exp - Restaurants"/>
    <m/>
    <m/>
    <m/>
    <m/>
    <m/>
    <m/>
    <x v="187"/>
    <m/>
    <m/>
  </r>
  <r>
    <x v="61"/>
    <d v="2024-02-22T00:00:00"/>
    <s v="Delta Skymiles Platinum Card - Ending in 1007"/>
    <x v="100"/>
    <n v="91.11"/>
    <x v="5"/>
    <s v="Groceries"/>
    <m/>
    <m/>
    <m/>
    <m/>
    <m/>
    <m/>
    <m/>
    <x v="100"/>
    <m/>
    <m/>
  </r>
  <r>
    <x v="49"/>
    <d v="2024-10-16T00:00:00"/>
    <s v="Powerplus - Ending in 8s30"/>
    <x v="3787"/>
    <n v="-7.99"/>
    <x v="3"/>
    <m/>
    <s v="Delete"/>
    <m/>
    <m/>
    <m/>
    <m/>
    <m/>
    <m/>
    <x v="3342"/>
    <m/>
    <m/>
  </r>
  <r>
    <x v="61"/>
    <d v="2024-02-24T00:00:00"/>
    <s v="Discover More Card - Ending in 7779"/>
    <x v="0"/>
    <n v="70.430000000000007"/>
    <x v="0"/>
    <s v="Amazon"/>
    <s v="Exp - Amazon"/>
    <m/>
    <m/>
    <m/>
    <m/>
    <m/>
    <m/>
    <x v="0"/>
    <m/>
    <m/>
  </r>
  <r>
    <x v="61"/>
    <d v="2024-02-25T00:00:00"/>
    <s v="Delta Skymiles Platinum Card - Ending in 1007"/>
    <x v="4518"/>
    <n v="305.29000000000002"/>
    <x v="8"/>
    <s v="Delete - Charitable Giving"/>
    <s v="Exp - Shopping"/>
    <m/>
    <m/>
    <m/>
    <m/>
    <m/>
    <m/>
    <x v="4008"/>
    <m/>
    <m/>
  </r>
  <r>
    <x v="61"/>
    <d v="2024-02-25T00:00:00"/>
    <s v="Delta Skymiles Platinum Card - Ending in 1007"/>
    <x v="1227"/>
    <n v="72.930000000000007"/>
    <x v="1"/>
    <s v="Restaurants"/>
    <s v="Exp - Restaurants"/>
    <m/>
    <m/>
    <m/>
    <m/>
    <m/>
    <m/>
    <x v="1165"/>
    <m/>
    <m/>
  </r>
  <r>
    <x v="61"/>
    <d v="2024-02-26T00:00:00"/>
    <s v="Delta Skymiles Platinum Card - Ending in 1007"/>
    <x v="1895"/>
    <n v="295.56"/>
    <x v="0"/>
    <s v="Amazon"/>
    <s v="Exp - Amazon"/>
    <m/>
    <m/>
    <m/>
    <m/>
    <m/>
    <m/>
    <x v="1748"/>
    <m/>
    <m/>
  </r>
  <r>
    <x v="49"/>
    <d v="2024-10-22T00:00:00"/>
    <s v="Powerplus - Ending in 8s30"/>
    <x v="3787"/>
    <n v="-9.42"/>
    <x v="3"/>
    <m/>
    <s v="Delete"/>
    <m/>
    <m/>
    <m/>
    <m/>
    <m/>
    <m/>
    <x v="3342"/>
    <m/>
    <m/>
  </r>
  <r>
    <x v="50"/>
    <d v="2024-12-17T00:00:00"/>
    <s v="Powerplus - Ending in 8s30"/>
    <x v="3787"/>
    <n v="-39.75"/>
    <x v="3"/>
    <m/>
    <m/>
    <m/>
    <m/>
    <m/>
    <m/>
    <m/>
    <m/>
    <x v="3342"/>
    <m/>
    <m/>
  </r>
  <r>
    <x v="61"/>
    <d v="2024-02-26T00:00:00"/>
    <s v="Powerplus - Ending in 8s30"/>
    <x v="3734"/>
    <n v="987.93"/>
    <x v="12"/>
    <m/>
    <s v="Exp - Target"/>
    <m/>
    <m/>
    <m/>
    <m/>
    <m/>
    <m/>
    <x v="3293"/>
    <m/>
    <m/>
  </r>
  <r>
    <x v="61"/>
    <d v="2024-02-26T00:00:00"/>
    <s v="Powerplus - Ending in 8s30"/>
    <x v="3729"/>
    <n v="800"/>
    <x v="21"/>
    <m/>
    <s v="Sav - Savings"/>
    <m/>
    <m/>
    <m/>
    <m/>
    <m/>
    <m/>
    <x v="3289"/>
    <m/>
    <m/>
  </r>
  <r>
    <x v="61"/>
    <d v="2024-02-26T00:00:00"/>
    <s v="Powerplus - Ending in 8s30"/>
    <x v="1849"/>
    <n v="133.18"/>
    <x v="8"/>
    <m/>
    <s v="Exp - Shopping"/>
    <m/>
    <m/>
    <m/>
    <m/>
    <m/>
    <m/>
    <x v="1704"/>
    <m/>
    <m/>
  </r>
  <r>
    <x v="61"/>
    <d v="2024-02-26T00:00:00"/>
    <s v="Powerplus - Ending in 8s30"/>
    <x v="1849"/>
    <n v="21.25"/>
    <x v="8"/>
    <m/>
    <s v="Exp - Shopping"/>
    <m/>
    <m/>
    <m/>
    <m/>
    <m/>
    <m/>
    <x v="1704"/>
    <m/>
    <m/>
  </r>
  <r>
    <x v="61"/>
    <d v="2024-02-27T00:00:00"/>
    <s v="Cash Rewards Visa Signature - Ending in 5913"/>
    <x v="4519"/>
    <n v="38.81"/>
    <x v="2"/>
    <m/>
    <s v="Exp - Transportation"/>
    <m/>
    <m/>
    <m/>
    <m/>
    <m/>
    <m/>
    <x v="4009"/>
    <m/>
    <m/>
  </r>
  <r>
    <x v="50"/>
    <d v="2024-12-17T00:00:00"/>
    <s v="Powerplus - Ending in 8s30"/>
    <x v="3787"/>
    <n v="-59.54"/>
    <x v="3"/>
    <m/>
    <m/>
    <m/>
    <m/>
    <m/>
    <m/>
    <m/>
    <m/>
    <x v="3342"/>
    <m/>
    <m/>
  </r>
  <r>
    <x v="61"/>
    <d v="2024-02-27T00:00:00"/>
    <s v="Powerplus - Ending in 8s30"/>
    <x v="4520"/>
    <n v="346"/>
    <x v="4"/>
    <m/>
    <s v="Exp - Day Care"/>
    <m/>
    <m/>
    <m/>
    <m/>
    <m/>
    <m/>
    <x v="3216"/>
    <m/>
    <m/>
  </r>
  <r>
    <x v="61"/>
    <d v="2024-02-28T00:00:00"/>
    <s v="Discover More Card - Ending in 7779"/>
    <x v="0"/>
    <n v="15.16"/>
    <x v="0"/>
    <s v="Dry Cleaning"/>
    <s v="Exp - Amazon"/>
    <m/>
    <m/>
    <m/>
    <m/>
    <m/>
    <m/>
    <x v="0"/>
    <m/>
    <m/>
  </r>
  <r>
    <x v="61"/>
    <d v="2024-02-28T00:00:00"/>
    <s v="Discover More Card - Ending in 7779"/>
    <x v="0"/>
    <n v="97.52"/>
    <x v="0"/>
    <s v="Dry Cleaning"/>
    <s v="Exp - Amazon"/>
    <m/>
    <m/>
    <m/>
    <m/>
    <m/>
    <m/>
    <x v="0"/>
    <m/>
    <m/>
  </r>
  <r>
    <x v="50"/>
    <d v="2024-12-19T00:00:00"/>
    <s v="Powerplus - Ending in 8s30"/>
    <x v="3787"/>
    <n v="-13.77"/>
    <x v="3"/>
    <m/>
    <m/>
    <m/>
    <m/>
    <m/>
    <m/>
    <m/>
    <m/>
    <x v="3342"/>
    <m/>
    <m/>
  </r>
  <r>
    <x v="65"/>
    <d v="2024-09-09T00:00:00"/>
    <s v="Delta Skymiles Platinum Card ( X ) - Ending in 1013"/>
    <x v="4521"/>
    <n v="37.18"/>
    <x v="3"/>
    <m/>
    <s v="Delete"/>
    <m/>
    <m/>
    <m/>
    <m/>
    <m/>
    <m/>
    <x v="4010"/>
    <m/>
    <m/>
  </r>
  <r>
    <x v="61"/>
    <d v="2024-02-28T00:00:00"/>
    <s v="Powerplus - Ending in 8s30"/>
    <x v="3684"/>
    <n v="-3805.79"/>
    <x v="57"/>
    <m/>
    <s v="Inc - Jeff"/>
    <m/>
    <m/>
    <m/>
    <m/>
    <m/>
    <m/>
    <x v="3245"/>
    <m/>
    <m/>
  </r>
  <r>
    <x v="61"/>
    <d v="2024-02-28T00:00:00"/>
    <s v="Powerplus - Ending in 8s30"/>
    <x v="1849"/>
    <n v="6.47"/>
    <x v="8"/>
    <m/>
    <s v="Exp - Shopping"/>
    <m/>
    <m/>
    <m/>
    <m/>
    <m/>
    <m/>
    <x v="1704"/>
    <m/>
    <m/>
  </r>
  <r>
    <x v="61"/>
    <d v="2024-02-28T00:00:00"/>
    <s v="Powerplus - Ending in 8s30"/>
    <x v="1849"/>
    <n v="0.99"/>
    <x v="8"/>
    <m/>
    <s v="Exp - Shopping"/>
    <m/>
    <m/>
    <m/>
    <m/>
    <m/>
    <m/>
    <x v="1704"/>
    <m/>
    <m/>
  </r>
  <r>
    <x v="61"/>
    <d v="2024-02-29T00:00:00"/>
    <s v="Powerplus - Ending in 8s30"/>
    <x v="1893"/>
    <n v="-2666.33"/>
    <x v="34"/>
    <m/>
    <s v="Inc - Britney"/>
    <m/>
    <m/>
    <m/>
    <m/>
    <m/>
    <m/>
    <x v="1746"/>
    <m/>
    <m/>
  </r>
  <r>
    <x v="61"/>
    <d v="2024-02-29T00:00:00"/>
    <s v="Powerplus - Ending in 8s30"/>
    <x v="4522"/>
    <n v="-45.1"/>
    <x v="13"/>
    <m/>
    <s v="Inc - Other"/>
    <m/>
    <m/>
    <m/>
    <m/>
    <m/>
    <m/>
    <x v="4011"/>
    <m/>
    <m/>
  </r>
  <r>
    <x v="61"/>
    <d v="2024-02-29T00:00:00"/>
    <s v="Powerplus - Ending in 8s30"/>
    <x v="4407"/>
    <n v="255.46"/>
    <x v="11"/>
    <m/>
    <s v="Exp - Utilities"/>
    <m/>
    <m/>
    <m/>
    <m/>
    <m/>
    <m/>
    <x v="3913"/>
    <m/>
    <m/>
  </r>
  <r>
    <x v="65"/>
    <d v="2024-09-11T00:00:00"/>
    <s v="Delta Skymiles Platinum Card ( X ) - Ending in 1009"/>
    <x v="4521"/>
    <n v="210.59"/>
    <x v="3"/>
    <m/>
    <s v="Delete"/>
    <m/>
    <m/>
    <m/>
    <m/>
    <m/>
    <m/>
    <x v="4010"/>
    <m/>
    <m/>
  </r>
  <r>
    <x v="44"/>
    <d v="2024-01-08T00:00:00"/>
    <s v="Delta Skymiles Platinum Card - Ending in 1007"/>
    <x v="4290"/>
    <n v="29.3"/>
    <x v="3"/>
    <s v="Car Loan"/>
    <s v="Delete"/>
    <m/>
    <m/>
    <m/>
    <m/>
    <m/>
    <m/>
    <x v="3808"/>
    <m/>
    <m/>
  </r>
  <r>
    <x v="61"/>
    <d v="2024-02-29T00:00:00"/>
    <s v="Delta Skymiles Platinum Card - Ending in 1007"/>
    <x v="1934"/>
    <n v="20"/>
    <x v="8"/>
    <s v="Target"/>
    <s v="Exp - Shopping"/>
    <m/>
    <m/>
    <m/>
    <m/>
    <m/>
    <m/>
    <x v="1787"/>
    <m/>
    <m/>
  </r>
  <r>
    <x v="26"/>
    <d v="2024-03-01T00:00:00"/>
    <s v="Cash Rewards Visa Signature - Ending in 5913"/>
    <x v="4523"/>
    <n v="6.49"/>
    <x v="10"/>
    <m/>
    <s v="Exp - Entertainment"/>
    <m/>
    <m/>
    <m/>
    <m/>
    <m/>
    <m/>
    <x v="4012"/>
    <m/>
    <m/>
  </r>
  <r>
    <x v="26"/>
    <d v="2024-03-01T00:00:00"/>
    <s v="Delta Skymiles Platinum Card - Ending in 1007"/>
    <x v="4280"/>
    <n v="110.48"/>
    <x v="1"/>
    <s v="Restaurants"/>
    <m/>
    <m/>
    <m/>
    <m/>
    <m/>
    <m/>
    <m/>
    <x v="3799"/>
    <m/>
    <m/>
  </r>
  <r>
    <x v="26"/>
    <d v="2024-03-01T00:00:00"/>
    <s v="Delta Skymiles Platinum Card ( X ) - Ending in 1007"/>
    <x v="4280"/>
    <n v="110.48"/>
    <x v="1"/>
    <s v="Restaurants"/>
    <m/>
    <m/>
    <m/>
    <m/>
    <m/>
    <m/>
    <m/>
    <x v="3799"/>
    <m/>
    <m/>
  </r>
  <r>
    <x v="26"/>
    <d v="2024-03-01T00:00:00"/>
    <s v="Delta Skymiles Platinum Card - Ending in 1007"/>
    <x v="1955"/>
    <n v="11.83"/>
    <x v="1"/>
    <s v="Restaurants"/>
    <m/>
    <m/>
    <m/>
    <m/>
    <m/>
    <m/>
    <m/>
    <x v="1807"/>
    <m/>
    <m/>
  </r>
  <r>
    <x v="26"/>
    <d v="2024-03-01T00:00:00"/>
    <s v="Delta Skymiles Platinum Card ( X ) - Ending in 1007"/>
    <x v="1955"/>
    <n v="11.83"/>
    <x v="1"/>
    <s v="Restaurants"/>
    <m/>
    <m/>
    <m/>
    <m/>
    <m/>
    <m/>
    <m/>
    <x v="1807"/>
    <m/>
    <m/>
  </r>
  <r>
    <x v="26"/>
    <d v="2024-03-01T00:00:00"/>
    <s v="Manual"/>
    <x v="1850"/>
    <n v="250"/>
    <x v="56"/>
    <m/>
    <s v="Exp - Cleaning"/>
    <m/>
    <m/>
    <m/>
    <m/>
    <m/>
    <m/>
    <x v="1705"/>
    <m/>
    <m/>
  </r>
  <r>
    <x v="26"/>
    <d v="2024-03-01T00:00:00"/>
    <s v="Delta Skymiles Platinum Card - Ending in 1007"/>
    <x v="4524"/>
    <n v="83.8"/>
    <x v="10"/>
    <s v="Entertainment"/>
    <s v="Exp - Entertainment"/>
    <m/>
    <m/>
    <m/>
    <m/>
    <m/>
    <m/>
    <x v="4013"/>
    <m/>
    <m/>
  </r>
  <r>
    <x v="26"/>
    <d v="2024-03-01T00:00:00"/>
    <s v="Delta Skymiles Platinum Card ( X ) - Ending in 1007"/>
    <x v="4524"/>
    <n v="83.8"/>
    <x v="10"/>
    <s v="Entertainment"/>
    <s v="Exp - Entertainment"/>
    <m/>
    <m/>
    <m/>
    <m/>
    <m/>
    <m/>
    <x v="4013"/>
    <m/>
    <m/>
  </r>
  <r>
    <x v="26"/>
    <d v="2024-03-01T00:00:00"/>
    <s v="Powerplus - Ending in 8s30"/>
    <x v="1844"/>
    <n v="2741.74"/>
    <x v="6"/>
    <m/>
    <m/>
    <m/>
    <m/>
    <m/>
    <m/>
    <m/>
    <m/>
    <x v="1699"/>
    <m/>
    <m/>
  </r>
  <r>
    <x v="44"/>
    <d v="2024-01-08T00:00:00"/>
    <s v="Cash Rewards Visa Signature - Ending in 5989"/>
    <x v="1879"/>
    <n v="-904.66"/>
    <x v="3"/>
    <m/>
    <s v="Delete"/>
    <m/>
    <m/>
    <m/>
    <m/>
    <m/>
    <m/>
    <x v="1732"/>
    <m/>
    <m/>
  </r>
  <r>
    <x v="26"/>
    <d v="2024-03-02T00:00:00"/>
    <s v="Delta Skymiles Platinum Card - Ending in 1007"/>
    <x v="77"/>
    <n v="576.4"/>
    <x v="8"/>
    <s v="Shopping"/>
    <m/>
    <m/>
    <m/>
    <m/>
    <m/>
    <m/>
    <m/>
    <x v="77"/>
    <m/>
    <m/>
  </r>
  <r>
    <x v="26"/>
    <d v="2024-03-02T00:00:00"/>
    <s v="Delta Skymiles Platinum Card ( X ) - Ending in 1007"/>
    <x v="77"/>
    <n v="576.4"/>
    <x v="8"/>
    <s v="Shopping"/>
    <m/>
    <m/>
    <m/>
    <m/>
    <m/>
    <m/>
    <m/>
    <x v="77"/>
    <m/>
    <m/>
  </r>
  <r>
    <x v="26"/>
    <d v="2024-03-02T00:00:00"/>
    <s v="Delta Skymiles Platinum Card - Ending in 1007"/>
    <x v="577"/>
    <n v="35.54"/>
    <x v="1"/>
    <s v="Restaurants"/>
    <m/>
    <m/>
    <m/>
    <m/>
    <m/>
    <m/>
    <m/>
    <x v="558"/>
    <m/>
    <m/>
  </r>
  <r>
    <x v="26"/>
    <d v="2024-03-02T00:00:00"/>
    <s v="Delta Skymiles Platinum Card ( X ) - Ending in 1007"/>
    <x v="577"/>
    <n v="35.54"/>
    <x v="1"/>
    <s v="Restaurants"/>
    <m/>
    <m/>
    <m/>
    <m/>
    <m/>
    <m/>
    <m/>
    <x v="558"/>
    <m/>
    <m/>
  </r>
  <r>
    <x v="26"/>
    <d v="2024-03-02T00:00:00"/>
    <s v="Delta Skymiles Platinum Card - Ending in 1007"/>
    <x v="2"/>
    <n v="53.16"/>
    <x v="2"/>
    <s v="Transportation"/>
    <m/>
    <m/>
    <m/>
    <m/>
    <m/>
    <m/>
    <m/>
    <x v="2"/>
    <m/>
    <m/>
  </r>
  <r>
    <x v="26"/>
    <d v="2024-03-02T00:00:00"/>
    <s v="Delta Skymiles Platinum Card ( X ) - Ending in 1007"/>
    <x v="2"/>
    <n v="53.16"/>
    <x v="2"/>
    <s v="Transportation"/>
    <m/>
    <m/>
    <m/>
    <m/>
    <m/>
    <m/>
    <m/>
    <x v="2"/>
    <m/>
    <m/>
  </r>
  <r>
    <x v="26"/>
    <d v="2024-03-02T00:00:00"/>
    <s v="Delta Skymiles Platinum Card - Ending in 1007"/>
    <x v="100"/>
    <n v="63.45"/>
    <x v="5"/>
    <s v="Groceries"/>
    <m/>
    <m/>
    <m/>
    <m/>
    <m/>
    <m/>
    <m/>
    <x v="100"/>
    <m/>
    <m/>
  </r>
  <r>
    <x v="26"/>
    <d v="2024-03-02T00:00:00"/>
    <s v="Delta Skymiles Platinum Card ( X ) - Ending in 1007"/>
    <x v="100"/>
    <n v="63.45"/>
    <x v="5"/>
    <s v="Groceries"/>
    <m/>
    <m/>
    <m/>
    <m/>
    <m/>
    <m/>
    <m/>
    <x v="100"/>
    <m/>
    <m/>
  </r>
  <r>
    <x v="26"/>
    <d v="2024-03-02T00:00:00"/>
    <s v="Delta Skymiles Platinum Card ( X ) - Ending in 1007"/>
    <x v="4525"/>
    <n v="119.75"/>
    <x v="1"/>
    <s v="Restaurants"/>
    <s v="Exp - Restaurants"/>
    <m/>
    <m/>
    <m/>
    <m/>
    <m/>
    <m/>
    <x v="4014"/>
    <m/>
    <m/>
  </r>
  <r>
    <x v="26"/>
    <d v="2024-03-02T00:00:00"/>
    <s v="Delta Skymiles Platinum Card - Ending in 1007"/>
    <x v="272"/>
    <n v="119.75"/>
    <x v="1"/>
    <s v="Restaurants"/>
    <s v="Exp - Restaurants"/>
    <m/>
    <m/>
    <m/>
    <m/>
    <m/>
    <m/>
    <x v="268"/>
    <m/>
    <m/>
  </r>
  <r>
    <x v="26"/>
    <d v="2024-03-03T00:00:00"/>
    <s v="Delta Skymiles Platinum Card - Ending in 1007"/>
    <x v="4526"/>
    <n v="49.48"/>
    <x v="1"/>
    <s v="Restaurants"/>
    <s v="Exp - Restaurants"/>
    <m/>
    <m/>
    <m/>
    <m/>
    <m/>
    <m/>
    <x v="4015"/>
    <m/>
    <m/>
  </r>
  <r>
    <x v="26"/>
    <d v="2024-03-03T00:00:00"/>
    <s v="Delta Skymiles Platinum Card - Ending in 1007"/>
    <x v="4526"/>
    <n v="60.41"/>
    <x v="1"/>
    <s v="Restaurants"/>
    <s v="Exp - Restaurants"/>
    <m/>
    <m/>
    <m/>
    <m/>
    <m/>
    <m/>
    <x v="4015"/>
    <m/>
    <m/>
  </r>
  <r>
    <x v="26"/>
    <d v="2024-03-03T00:00:00"/>
    <s v="Delta Skymiles Platinum Card ( X ) - Ending in 1007"/>
    <x v="4526"/>
    <n v="49.48"/>
    <x v="1"/>
    <s v="Restaurants"/>
    <s v="Exp - Restaurants"/>
    <m/>
    <m/>
    <m/>
    <m/>
    <m/>
    <m/>
    <x v="4015"/>
    <m/>
    <m/>
  </r>
  <r>
    <x v="26"/>
    <d v="2024-03-03T00:00:00"/>
    <s v="Delta Skymiles Platinum Card ( X ) - Ending in 1007"/>
    <x v="4526"/>
    <n v="60.41"/>
    <x v="1"/>
    <s v="Restaurants"/>
    <s v="Exp - Restaurants"/>
    <m/>
    <m/>
    <m/>
    <m/>
    <m/>
    <m/>
    <x v="4015"/>
    <m/>
    <m/>
  </r>
  <r>
    <x v="26"/>
    <d v="2024-03-03T00:00:00"/>
    <s v="Delta Skymiles Platinum Card - Ending in 1007"/>
    <x v="1837"/>
    <n v="185.34"/>
    <x v="19"/>
    <s v="House Maintenance"/>
    <m/>
    <m/>
    <m/>
    <m/>
    <m/>
    <m/>
    <m/>
    <x v="1692"/>
    <m/>
    <m/>
  </r>
  <r>
    <x v="26"/>
    <d v="2024-03-03T00:00:00"/>
    <s v="Delta Skymiles Platinum Card ( X ) - Ending in 1007"/>
    <x v="1837"/>
    <n v="185.34"/>
    <x v="19"/>
    <s v="House Maintenance"/>
    <m/>
    <m/>
    <m/>
    <m/>
    <m/>
    <m/>
    <m/>
    <x v="1692"/>
    <m/>
    <m/>
  </r>
  <r>
    <x v="26"/>
    <d v="2024-03-03T00:00:00"/>
    <s v="Delta Skymiles Platinum Card - Ending in 1007"/>
    <x v="4527"/>
    <n v="39.69"/>
    <x v="1"/>
    <s v="Restaurants"/>
    <s v="Exp - Restaurants"/>
    <m/>
    <m/>
    <m/>
    <m/>
    <m/>
    <m/>
    <x v="4016"/>
    <m/>
    <m/>
  </r>
  <r>
    <x v="26"/>
    <d v="2024-03-03T00:00:00"/>
    <s v="Delta Skymiles Platinum Card ( X ) - Ending in 1007"/>
    <x v="4527"/>
    <n v="39.69"/>
    <x v="1"/>
    <s v="Restaurants"/>
    <s v="Exp - Restaurants"/>
    <m/>
    <m/>
    <m/>
    <m/>
    <m/>
    <m/>
    <x v="4016"/>
    <m/>
    <m/>
  </r>
  <r>
    <x v="26"/>
    <d v="2024-03-03T00:00:00"/>
    <s v="Delta Skymiles Platinum Card - Ending in 1007"/>
    <x v="4230"/>
    <n v="26.46"/>
    <x v="1"/>
    <s v="Restaurants"/>
    <m/>
    <m/>
    <m/>
    <m/>
    <m/>
    <m/>
    <m/>
    <x v="3755"/>
    <m/>
    <m/>
  </r>
  <r>
    <x v="26"/>
    <d v="2024-03-03T00:00:00"/>
    <s v="Delta Skymiles Platinum Card ( X ) - Ending in 1007"/>
    <x v="4230"/>
    <n v="26.46"/>
    <x v="1"/>
    <s v="Restaurants"/>
    <m/>
    <m/>
    <m/>
    <m/>
    <m/>
    <m/>
    <m/>
    <x v="3755"/>
    <m/>
    <m/>
  </r>
  <r>
    <x v="26"/>
    <d v="2024-03-04T00:00:00"/>
    <s v="Delta Skymiles Platinum Card - Ending in 1007"/>
    <x v="57"/>
    <n v="134.01"/>
    <x v="25"/>
    <s v="Groceries"/>
    <m/>
    <m/>
    <m/>
    <m/>
    <m/>
    <m/>
    <m/>
    <x v="57"/>
    <m/>
    <m/>
  </r>
  <r>
    <x v="26"/>
    <d v="2024-03-04T00:00:00"/>
    <s v="Delta Skymiles Platinum Card ( X ) - Ending in 1007"/>
    <x v="57"/>
    <n v="134.01"/>
    <x v="25"/>
    <s v="Groceries"/>
    <m/>
    <m/>
    <m/>
    <m/>
    <m/>
    <m/>
    <m/>
    <x v="57"/>
    <m/>
    <m/>
  </r>
  <r>
    <x v="26"/>
    <d v="2024-03-04T00:00:00"/>
    <s v="Delta Skymiles Platinum Card - Ending in 1007"/>
    <x v="3444"/>
    <n v="19.89"/>
    <x v="8"/>
    <s v="Shopping"/>
    <m/>
    <m/>
    <m/>
    <m/>
    <m/>
    <m/>
    <m/>
    <x v="3035"/>
    <m/>
    <m/>
  </r>
  <r>
    <x v="26"/>
    <d v="2024-03-04T00:00:00"/>
    <s v="Delta Skymiles Platinum Card - Ending in 1007"/>
    <x v="3444"/>
    <n v="5.95"/>
    <x v="8"/>
    <s v="Shopping"/>
    <m/>
    <m/>
    <m/>
    <m/>
    <m/>
    <m/>
    <m/>
    <x v="3035"/>
    <m/>
    <m/>
  </r>
  <r>
    <x v="26"/>
    <d v="2024-03-04T00:00:00"/>
    <s v="Delta Skymiles Platinum Card ( X ) - Ending in 1007"/>
    <x v="3444"/>
    <n v="19.89"/>
    <x v="8"/>
    <s v="Shopping"/>
    <m/>
    <m/>
    <m/>
    <m/>
    <m/>
    <m/>
    <m/>
    <x v="3035"/>
    <m/>
    <m/>
  </r>
  <r>
    <x v="26"/>
    <d v="2024-03-04T00:00:00"/>
    <s v="Delta Skymiles Platinum Card ( X ) - Ending in 1007"/>
    <x v="3444"/>
    <n v="5.95"/>
    <x v="8"/>
    <s v="Shopping"/>
    <m/>
    <m/>
    <m/>
    <m/>
    <m/>
    <m/>
    <m/>
    <x v="3035"/>
    <m/>
    <m/>
  </r>
  <r>
    <x v="26"/>
    <d v="2024-03-04T00:00:00"/>
    <s v="Delta Skymiles Platinum Card - Ending in 1007"/>
    <x v="2"/>
    <n v="51.23"/>
    <x v="2"/>
    <s v="Transportation"/>
    <m/>
    <m/>
    <m/>
    <m/>
    <m/>
    <m/>
    <m/>
    <x v="2"/>
    <m/>
    <m/>
  </r>
  <r>
    <x v="26"/>
    <d v="2024-03-04T00:00:00"/>
    <s v="Delta Skymiles Platinum Card ( X ) - Ending in 1007"/>
    <x v="2"/>
    <n v="51.23"/>
    <x v="2"/>
    <s v="Transportation"/>
    <m/>
    <m/>
    <m/>
    <m/>
    <m/>
    <m/>
    <m/>
    <x v="2"/>
    <m/>
    <m/>
  </r>
  <r>
    <x v="26"/>
    <d v="2024-03-04T00:00:00"/>
    <s v="Powerplus - Ending in 8s30"/>
    <x v="1849"/>
    <n v="153.30000000000001"/>
    <x v="8"/>
    <m/>
    <m/>
    <m/>
    <m/>
    <m/>
    <m/>
    <m/>
    <m/>
    <x v="1704"/>
    <m/>
    <m/>
  </r>
  <r>
    <x v="26"/>
    <d v="2024-03-05T00:00:00"/>
    <s v="Delta Skymiles Platinum Card - Ending in 1007"/>
    <x v="1895"/>
    <n v="-35.880000000000003"/>
    <x v="0"/>
    <s v="Amazon"/>
    <m/>
    <m/>
    <m/>
    <m/>
    <m/>
    <m/>
    <m/>
    <x v="1748"/>
    <m/>
    <m/>
  </r>
  <r>
    <x v="26"/>
    <d v="2024-03-05T00:00:00"/>
    <s v="Delta Skymiles Platinum Card ( X ) - Ending in 1007"/>
    <x v="1895"/>
    <n v="-35.880000000000003"/>
    <x v="0"/>
    <s v="Amazon"/>
    <m/>
    <m/>
    <m/>
    <m/>
    <m/>
    <m/>
    <m/>
    <x v="1748"/>
    <m/>
    <m/>
  </r>
  <r>
    <x v="26"/>
    <d v="2024-03-05T00:00:00"/>
    <s v="Delta Skymiles Platinum Card - Ending in 1007"/>
    <x v="523"/>
    <n v="35.200000000000003"/>
    <x v="1"/>
    <s v="Restaurants"/>
    <m/>
    <m/>
    <m/>
    <m/>
    <m/>
    <m/>
    <m/>
    <x v="504"/>
    <m/>
    <m/>
  </r>
  <r>
    <x v="26"/>
    <d v="2024-03-05T00:00:00"/>
    <s v="Delta Skymiles Platinum Card ( X ) - Ending in 1007"/>
    <x v="523"/>
    <n v="35.200000000000003"/>
    <x v="1"/>
    <s v="Restaurants"/>
    <m/>
    <m/>
    <m/>
    <m/>
    <m/>
    <m/>
    <m/>
    <x v="504"/>
    <m/>
    <m/>
  </r>
  <r>
    <x v="44"/>
    <d v="2024-01-25T00:00:00"/>
    <s v="Cash Rewards Visa Signature - Ending in 5955"/>
    <x v="1879"/>
    <n v="-1252.2"/>
    <x v="3"/>
    <m/>
    <s v="Delete"/>
    <m/>
    <m/>
    <m/>
    <m/>
    <m/>
    <m/>
    <x v="1732"/>
    <m/>
    <m/>
  </r>
  <r>
    <x v="61"/>
    <d v="2024-02-15T00:00:00"/>
    <s v="Cash Rewards Visa Signature - Ending in 5925"/>
    <x v="1879"/>
    <n v="-2373.7800000000002"/>
    <x v="3"/>
    <m/>
    <s v="Delete"/>
    <m/>
    <m/>
    <m/>
    <m/>
    <m/>
    <m/>
    <x v="1732"/>
    <m/>
    <m/>
  </r>
  <r>
    <x v="26"/>
    <d v="2024-03-14T00:00:00"/>
    <s v="Cash Rewards Visa Signature - Ending in 5913"/>
    <x v="1879"/>
    <n v="-1077.58"/>
    <x v="3"/>
    <m/>
    <m/>
    <m/>
    <m/>
    <m/>
    <m/>
    <m/>
    <m/>
    <x v="1732"/>
    <m/>
    <m/>
  </r>
  <r>
    <x v="26"/>
    <d v="2024-03-29T00:00:00"/>
    <s v="Cash Rewards Visa Signature - Ending in 5913"/>
    <x v="1879"/>
    <n v="-899.2"/>
    <x v="3"/>
    <m/>
    <m/>
    <m/>
    <m/>
    <m/>
    <m/>
    <m/>
    <m/>
    <x v="1732"/>
    <m/>
    <m/>
  </r>
  <r>
    <x v="25"/>
    <d v="2024-05-12T00:00:00"/>
    <s v="Cash Rewards Visa Signature - Ending in 5913"/>
    <x v="1879"/>
    <n v="-1094.24"/>
    <x v="3"/>
    <m/>
    <m/>
    <m/>
    <m/>
    <m/>
    <m/>
    <m/>
    <m/>
    <x v="1732"/>
    <m/>
    <m/>
  </r>
  <r>
    <x v="25"/>
    <d v="2024-05-27T00:00:00"/>
    <s v="Cash Rewards Visa Signature - Ending in 5913"/>
    <x v="1879"/>
    <n v="-777.63"/>
    <x v="3"/>
    <m/>
    <m/>
    <m/>
    <m/>
    <m/>
    <m/>
    <m/>
    <m/>
    <x v="1732"/>
    <m/>
    <m/>
  </r>
  <r>
    <x v="26"/>
    <d v="2024-03-05T00:00:00"/>
    <s v="Delta Skymiles Platinum Card - Ending in 1007"/>
    <x v="4528"/>
    <n v="40.61"/>
    <x v="1"/>
    <s v="Restaurants"/>
    <s v="Exp - Restaurants"/>
    <m/>
    <m/>
    <m/>
    <m/>
    <m/>
    <m/>
    <x v="4017"/>
    <m/>
    <m/>
  </r>
  <r>
    <x v="26"/>
    <d v="2024-03-05T00:00:00"/>
    <s v="Delta Skymiles Platinum Card ( X ) - Ending in 1007"/>
    <x v="4528"/>
    <n v="40.61"/>
    <x v="1"/>
    <s v="Restaurants"/>
    <s v="Exp - Restaurants"/>
    <m/>
    <m/>
    <m/>
    <m/>
    <m/>
    <m/>
    <x v="4017"/>
    <m/>
    <m/>
  </r>
  <r>
    <x v="26"/>
    <d v="2024-03-05T00:00:00"/>
    <s v="Powerplus - Ending in 8s30"/>
    <x v="4529"/>
    <n v="346"/>
    <x v="4"/>
    <m/>
    <s v="Exp - Day Care"/>
    <m/>
    <m/>
    <m/>
    <m/>
    <m/>
    <m/>
    <x v="3216"/>
    <m/>
    <m/>
  </r>
  <r>
    <x v="26"/>
    <d v="2024-03-06T00:00:00"/>
    <s v="Delta Skymiles Platinum Card - Ending in 1007"/>
    <x v="1895"/>
    <n v="-35.880000000000003"/>
    <x v="0"/>
    <s v="Amazon"/>
    <m/>
    <m/>
    <m/>
    <m/>
    <m/>
    <m/>
    <m/>
    <x v="1748"/>
    <m/>
    <m/>
  </r>
  <r>
    <x v="26"/>
    <d v="2024-03-06T00:00:00"/>
    <s v="Delta Skymiles Platinum Card - Ending in 1007"/>
    <x v="1895"/>
    <n v="-19.09"/>
    <x v="0"/>
    <s v="Amazon"/>
    <m/>
    <m/>
    <m/>
    <m/>
    <m/>
    <m/>
    <m/>
    <x v="1748"/>
    <m/>
    <m/>
  </r>
  <r>
    <x v="26"/>
    <d v="2024-03-06T00:00:00"/>
    <s v="Delta Skymiles Platinum Card - Ending in 1007"/>
    <x v="1895"/>
    <n v="-16.8"/>
    <x v="0"/>
    <s v="Amazon"/>
    <m/>
    <m/>
    <m/>
    <m/>
    <m/>
    <m/>
    <m/>
    <x v="1748"/>
    <m/>
    <m/>
  </r>
  <r>
    <x v="26"/>
    <d v="2024-03-06T00:00:00"/>
    <s v="Delta Skymiles Platinum Card ( X ) - Ending in 1007"/>
    <x v="1895"/>
    <n v="-35.880000000000003"/>
    <x v="0"/>
    <s v="Amazon"/>
    <m/>
    <m/>
    <m/>
    <m/>
    <m/>
    <m/>
    <m/>
    <x v="1748"/>
    <m/>
    <m/>
  </r>
  <r>
    <x v="26"/>
    <d v="2024-03-06T00:00:00"/>
    <s v="Delta Skymiles Platinum Card ( X ) - Ending in 1007"/>
    <x v="1895"/>
    <n v="-19.09"/>
    <x v="0"/>
    <s v="Amazon"/>
    <m/>
    <m/>
    <m/>
    <m/>
    <m/>
    <m/>
    <m/>
    <x v="1748"/>
    <m/>
    <m/>
  </r>
  <r>
    <x v="26"/>
    <d v="2024-03-06T00:00:00"/>
    <s v="Delta Skymiles Platinum Card ( X ) - Ending in 1007"/>
    <x v="1895"/>
    <n v="-16.8"/>
    <x v="0"/>
    <s v="Amazon"/>
    <m/>
    <m/>
    <m/>
    <m/>
    <m/>
    <m/>
    <m/>
    <x v="1748"/>
    <m/>
    <m/>
  </r>
  <r>
    <x v="26"/>
    <d v="2024-03-06T00:00:00"/>
    <s v="Cash Rewards Visa Signature - Ending in 5913"/>
    <x v="4530"/>
    <n v="416.97"/>
    <x v="24"/>
    <m/>
    <s v="Exp - Travel"/>
    <m/>
    <m/>
    <m/>
    <m/>
    <m/>
    <m/>
    <x v="4018"/>
    <m/>
    <m/>
  </r>
  <r>
    <x v="26"/>
    <d v="2024-03-06T00:00:00"/>
    <s v="Powerplus - Ending in 8s30"/>
    <x v="1849"/>
    <n v="96"/>
    <x v="8"/>
    <m/>
    <m/>
    <m/>
    <m/>
    <m/>
    <m/>
    <m/>
    <m/>
    <x v="1704"/>
    <m/>
    <m/>
  </r>
  <r>
    <x v="26"/>
    <d v="2024-03-07T00:00:00"/>
    <s v="Cash Rewards Visa Signature - Ending in 5913"/>
    <x v="255"/>
    <n v="49.24"/>
    <x v="5"/>
    <m/>
    <m/>
    <m/>
    <m/>
    <m/>
    <m/>
    <m/>
    <m/>
    <x v="253"/>
    <m/>
    <m/>
  </r>
  <r>
    <x v="24"/>
    <d v="2022-10-03T00:00:00"/>
    <s v="POWERPLUS"/>
    <x v="4531"/>
    <n v="2606.27"/>
    <x v="53"/>
    <e v="#N/A"/>
    <s v="Exp - Rent"/>
    <m/>
    <n v="2606.27"/>
    <m/>
    <m/>
    <s v="debit"/>
    <m/>
    <x v="4019"/>
    <m/>
    <m/>
  </r>
  <r>
    <x v="26"/>
    <d v="2024-03-08T00:00:00"/>
    <s v="Cash Rewards Visa Signature - Ending in 5913"/>
    <x v="1895"/>
    <n v="-119.2"/>
    <x v="0"/>
    <m/>
    <m/>
    <m/>
    <m/>
    <m/>
    <m/>
    <m/>
    <m/>
    <x v="1748"/>
    <m/>
    <m/>
  </r>
  <r>
    <x v="26"/>
    <d v="2024-03-08T00:00:00"/>
    <s v="Cash Rewards Visa Signature - Ending in 5913"/>
    <x v="4532"/>
    <n v="91.01"/>
    <x v="0"/>
    <m/>
    <s v="Exp - Amazon"/>
    <m/>
    <m/>
    <m/>
    <m/>
    <m/>
    <m/>
    <x v="4020"/>
    <m/>
    <m/>
  </r>
  <r>
    <x v="26"/>
    <d v="2024-03-09T00:00:00"/>
    <s v="Powerplus - Ending in 8s30"/>
    <x v="4533"/>
    <n v="104"/>
    <x v="24"/>
    <m/>
    <s v="Exp - Travel"/>
    <m/>
    <m/>
    <m/>
    <m/>
    <m/>
    <m/>
    <x v="4021"/>
    <m/>
    <m/>
  </r>
  <r>
    <x v="26"/>
    <d v="2024-03-10T00:00:00"/>
    <s v="Cash Rewards Visa Signature - Ending in 5913"/>
    <x v="4534"/>
    <n v="13.68"/>
    <x v="5"/>
    <m/>
    <s v="Exp - Groceries"/>
    <m/>
    <m/>
    <m/>
    <m/>
    <m/>
    <m/>
    <x v="4022"/>
    <m/>
    <m/>
  </r>
  <r>
    <x v="26"/>
    <d v="2024-03-10T00:00:00"/>
    <s v="Powerplus - Ending in 8s30"/>
    <x v="3652"/>
    <n v="-1525.65"/>
    <x v="34"/>
    <m/>
    <m/>
    <m/>
    <m/>
    <m/>
    <m/>
    <m/>
    <m/>
    <x v="3214"/>
    <m/>
    <m/>
  </r>
  <r>
    <x v="26"/>
    <d v="2024-03-10T00:00:00"/>
    <s v="Cash Rewards Visa Signature - Ending in 5913"/>
    <x v="1867"/>
    <n v="47.69"/>
    <x v="27"/>
    <m/>
    <m/>
    <m/>
    <m/>
    <m/>
    <m/>
    <m/>
    <m/>
    <x v="1721"/>
    <m/>
    <m/>
  </r>
  <r>
    <x v="26"/>
    <d v="2024-03-10T00:00:00"/>
    <s v="Cash Rewards Visa Signature - Ending in 5913"/>
    <x v="1941"/>
    <n v="20"/>
    <x v="2"/>
    <m/>
    <m/>
    <m/>
    <m/>
    <m/>
    <m/>
    <m/>
    <m/>
    <x v="1794"/>
    <m/>
    <m/>
  </r>
  <r>
    <x v="26"/>
    <d v="2024-03-10T00:00:00"/>
    <s v="Cash Rewards Visa Signature - Ending in 5913"/>
    <x v="1941"/>
    <n v="35.549999999999997"/>
    <x v="2"/>
    <m/>
    <m/>
    <m/>
    <m/>
    <m/>
    <m/>
    <m/>
    <m/>
    <x v="1794"/>
    <m/>
    <m/>
  </r>
  <r>
    <x v="23"/>
    <d v="2024-06-12T00:00:00"/>
    <s v="Cash Rewards Visa Signature - Ending in 5913"/>
    <x v="1879"/>
    <n v="-774.67"/>
    <x v="3"/>
    <m/>
    <m/>
    <m/>
    <m/>
    <m/>
    <m/>
    <m/>
    <m/>
    <x v="1732"/>
    <m/>
    <m/>
  </r>
  <r>
    <x v="26"/>
    <d v="2024-03-11T00:00:00"/>
    <s v="Cash Rewards Visa Signature - Ending in 5913"/>
    <x v="99"/>
    <n v="25.6"/>
    <x v="11"/>
    <m/>
    <m/>
    <m/>
    <m/>
    <m/>
    <m/>
    <m/>
    <m/>
    <x v="99"/>
    <m/>
    <m/>
  </r>
  <r>
    <x v="26"/>
    <d v="2024-03-11T00:00:00"/>
    <s v="Powerplus - Ending in 8s30"/>
    <x v="1869"/>
    <n v="191.21"/>
    <x v="11"/>
    <m/>
    <m/>
    <m/>
    <m/>
    <m/>
    <m/>
    <m/>
    <m/>
    <x v="1723"/>
    <m/>
    <m/>
  </r>
  <r>
    <x v="26"/>
    <d v="2024-03-11T00:00:00"/>
    <s v="Cash Rewards Visa Signature - Ending in 5913"/>
    <x v="2"/>
    <n v="42.53"/>
    <x v="2"/>
    <m/>
    <m/>
    <m/>
    <m/>
    <m/>
    <m/>
    <m/>
    <m/>
    <x v="2"/>
    <m/>
    <m/>
  </r>
  <r>
    <x v="26"/>
    <d v="2024-03-11T00:00:00"/>
    <s v="Cash Rewards Visa Signature - Ending in 5913"/>
    <x v="1941"/>
    <n v="-20"/>
    <x v="2"/>
    <m/>
    <m/>
    <m/>
    <m/>
    <m/>
    <m/>
    <m/>
    <m/>
    <x v="1794"/>
    <m/>
    <m/>
  </r>
  <r>
    <x v="26"/>
    <d v="2024-03-11T00:00:00"/>
    <s v="Cash Rewards Visa Signature - Ending in 5913"/>
    <x v="1941"/>
    <n v="37.42"/>
    <x v="2"/>
    <m/>
    <m/>
    <m/>
    <m/>
    <m/>
    <m/>
    <m/>
    <m/>
    <x v="1794"/>
    <m/>
    <m/>
  </r>
  <r>
    <x v="26"/>
    <d v="2024-03-11T00:00:00"/>
    <s v="Cash Rewards Visa Signature - Ending in 5913"/>
    <x v="4535"/>
    <n v="25.44"/>
    <x v="5"/>
    <m/>
    <s v="Exp - Groceries"/>
    <m/>
    <m/>
    <m/>
    <m/>
    <m/>
    <m/>
    <x v="4023"/>
    <m/>
    <m/>
  </r>
  <r>
    <x v="26"/>
    <d v="2024-03-12T00:00:00"/>
    <s v="Cash Rewards Visa Signature - Ending in 5913"/>
    <x v="1895"/>
    <n v="-19.36"/>
    <x v="0"/>
    <m/>
    <m/>
    <m/>
    <m/>
    <m/>
    <m/>
    <m/>
    <m/>
    <x v="1748"/>
    <m/>
    <m/>
  </r>
  <r>
    <x v="26"/>
    <d v="2024-03-12T00:00:00"/>
    <s v="Cash Rewards Visa Signature - Ending in 5913"/>
    <x v="4140"/>
    <n v="5.99"/>
    <x v="10"/>
    <m/>
    <m/>
    <m/>
    <m/>
    <m/>
    <m/>
    <m/>
    <m/>
    <x v="3674"/>
    <m/>
    <m/>
  </r>
  <r>
    <x v="26"/>
    <d v="2024-03-12T00:00:00"/>
    <s v="Powerplus - Ending in 8s30"/>
    <x v="1827"/>
    <n v="169.25"/>
    <x v="8"/>
    <m/>
    <m/>
    <m/>
    <m/>
    <m/>
    <m/>
    <m/>
    <m/>
    <x v="1682"/>
    <m/>
    <m/>
  </r>
  <r>
    <x v="26"/>
    <d v="2024-03-12T00:00:00"/>
    <s v="Powerplus - Ending in 8s30"/>
    <x v="4536"/>
    <n v="346"/>
    <x v="4"/>
    <m/>
    <s v="Exp - Day Care"/>
    <m/>
    <m/>
    <m/>
    <m/>
    <m/>
    <m/>
    <x v="3216"/>
    <m/>
    <m/>
  </r>
  <r>
    <x v="26"/>
    <d v="2024-03-13T00:00:00"/>
    <s v="Cash Rewards Visa Signature - Ending in 5913"/>
    <x v="1993"/>
    <n v="45"/>
    <x v="11"/>
    <m/>
    <m/>
    <m/>
    <m/>
    <m/>
    <m/>
    <m/>
    <m/>
    <x v="1843"/>
    <m/>
    <m/>
  </r>
  <r>
    <x v="26"/>
    <d v="2024-03-13T00:00:00"/>
    <s v="Powerplus - Ending in 8s30"/>
    <x v="3684"/>
    <n v="-17159.89"/>
    <x v="57"/>
    <m/>
    <m/>
    <m/>
    <m/>
    <m/>
    <m/>
    <m/>
    <m/>
    <x v="3245"/>
    <m/>
    <m/>
  </r>
  <r>
    <x v="26"/>
    <d v="2024-03-14T00:00:00"/>
    <s v="Cash Rewards Visa Signature - Ending in 5913"/>
    <x v="4537"/>
    <n v="63.85"/>
    <x v="0"/>
    <m/>
    <s v="Exp - Amazon"/>
    <m/>
    <m/>
    <m/>
    <m/>
    <m/>
    <m/>
    <x v="4024"/>
    <m/>
    <m/>
  </r>
  <r>
    <x v="26"/>
    <d v="2024-03-14T00:00:00"/>
    <s v="Cash Rewards Visa Signature - Ending in 5913"/>
    <x v="4538"/>
    <n v="36.49"/>
    <x v="0"/>
    <m/>
    <s v="Exp - Amazon"/>
    <m/>
    <m/>
    <m/>
    <m/>
    <m/>
    <m/>
    <x v="4025"/>
    <m/>
    <m/>
  </r>
  <r>
    <x v="26"/>
    <d v="2024-03-14T00:00:00"/>
    <s v="Powerplus - Ending in 8s30"/>
    <x v="1893"/>
    <n v="-2666.33"/>
    <x v="34"/>
    <m/>
    <m/>
    <m/>
    <m/>
    <m/>
    <m/>
    <m/>
    <m/>
    <x v="1746"/>
    <m/>
    <m/>
  </r>
  <r>
    <x v="23"/>
    <d v="2024-06-27T00:00:00"/>
    <s v="Cash Rewards Visa Signature - Ending in 5913"/>
    <x v="1879"/>
    <n v="-612.63"/>
    <x v="3"/>
    <m/>
    <m/>
    <m/>
    <m/>
    <m/>
    <m/>
    <m/>
    <m/>
    <x v="1732"/>
    <m/>
    <m/>
  </r>
  <r>
    <x v="26"/>
    <d v="2024-03-14T00:00:00"/>
    <s v="Powerplus - Ending in 8s30"/>
    <x v="4539"/>
    <n v="-1324"/>
    <x v="57"/>
    <m/>
    <s v="Inc - Jeff"/>
    <m/>
    <m/>
    <m/>
    <m/>
    <m/>
    <m/>
    <x v="3260"/>
    <m/>
    <m/>
  </r>
  <r>
    <x v="62"/>
    <d v="2024-08-03T00:00:00"/>
    <s v="Cash Rewards Visa Signature - Ending in 5913"/>
    <x v="1879"/>
    <n v="-1592.13"/>
    <x v="3"/>
    <m/>
    <s v="Delete"/>
    <m/>
    <m/>
    <m/>
    <m/>
    <m/>
    <m/>
    <x v="1732"/>
    <m/>
    <m/>
  </r>
  <r>
    <x v="62"/>
    <d v="2024-08-15T00:00:00"/>
    <s v="Cash Rewards Visa Signature - Ending in 5913"/>
    <x v="1879"/>
    <n v="-979.54"/>
    <x v="3"/>
    <m/>
    <m/>
    <m/>
    <m/>
    <m/>
    <m/>
    <m/>
    <m/>
    <x v="1732"/>
    <m/>
    <m/>
  </r>
  <r>
    <x v="65"/>
    <d v="2024-09-03T00:00:00"/>
    <s v="Cash Rewards Visa Signature - Ending in 5913"/>
    <x v="1879"/>
    <n v="-3547.13"/>
    <x v="3"/>
    <m/>
    <s v="Delete"/>
    <m/>
    <m/>
    <m/>
    <m/>
    <m/>
    <m/>
    <x v="1732"/>
    <m/>
    <m/>
  </r>
  <r>
    <x v="26"/>
    <d v="2024-03-17T00:00:00"/>
    <s v="Cash Rewards Visa Signature - Ending in 5913"/>
    <x v="4540"/>
    <n v="32.18"/>
    <x v="0"/>
    <m/>
    <s v="Exp - Amazon"/>
    <m/>
    <m/>
    <m/>
    <m/>
    <m/>
    <m/>
    <x v="4026"/>
    <m/>
    <m/>
  </r>
  <r>
    <x v="65"/>
    <d v="2024-09-24T00:00:00"/>
    <s v="Cash Rewards Visa Signature - Ending in 5913"/>
    <x v="1879"/>
    <n v="-3004.53"/>
    <x v="3"/>
    <m/>
    <s v="Delete"/>
    <m/>
    <m/>
    <m/>
    <m/>
    <m/>
    <m/>
    <x v="1732"/>
    <m/>
    <m/>
  </r>
  <r>
    <x v="26"/>
    <d v="2024-03-17T00:00:00"/>
    <s v="Cash Rewards Visa Signature - Ending in 5913"/>
    <x v="8"/>
    <n v="27.13"/>
    <x v="5"/>
    <m/>
    <m/>
    <m/>
    <m/>
    <m/>
    <m/>
    <m/>
    <m/>
    <x v="8"/>
    <m/>
    <m/>
  </r>
  <r>
    <x v="26"/>
    <d v="2024-03-17T00:00:00"/>
    <s v="Cash Rewards Visa Signature - Ending in 5913"/>
    <x v="4541"/>
    <n v="130"/>
    <x v="10"/>
    <m/>
    <s v="Exp - Entertainment"/>
    <m/>
    <m/>
    <m/>
    <m/>
    <m/>
    <m/>
    <x v="4027"/>
    <m/>
    <m/>
  </r>
  <r>
    <x v="26"/>
    <d v="2024-03-18T00:00:00"/>
    <s v="Powerplus - Ending in 8s30"/>
    <x v="1849"/>
    <n v="39.24"/>
    <x v="8"/>
    <m/>
    <m/>
    <m/>
    <m/>
    <m/>
    <m/>
    <m/>
    <m/>
    <x v="1704"/>
    <m/>
    <m/>
  </r>
  <r>
    <x v="26"/>
    <d v="2024-03-18T00:00:00"/>
    <s v="Cash Rewards Visa Signature - Ending in 5913"/>
    <x v="4188"/>
    <n v="84"/>
    <x v="8"/>
    <m/>
    <m/>
    <m/>
    <m/>
    <m/>
    <m/>
    <m/>
    <m/>
    <x v="3717"/>
    <m/>
    <m/>
  </r>
  <r>
    <x v="26"/>
    <d v="2024-03-18T00:00:00"/>
    <s v="Powerplus - Ending in 8s30"/>
    <x v="4542"/>
    <n v="137.51"/>
    <x v="11"/>
    <m/>
    <s v="Exp - Utilities"/>
    <m/>
    <m/>
    <m/>
    <m/>
    <m/>
    <m/>
    <x v="3912"/>
    <m/>
    <m/>
  </r>
  <r>
    <x v="26"/>
    <d v="2024-03-18T00:00:00"/>
    <s v="Powerplus - Ending in 8s30"/>
    <x v="4543"/>
    <n v="650"/>
    <x v="4"/>
    <m/>
    <s v="Exp - Day Care"/>
    <m/>
    <m/>
    <m/>
    <m/>
    <m/>
    <m/>
    <x v="3267"/>
    <m/>
    <m/>
  </r>
  <r>
    <x v="26"/>
    <d v="2024-03-19T00:00:00"/>
    <s v="Powerplus - Ending in 8s30"/>
    <x v="1849"/>
    <n v="2.99"/>
    <x v="8"/>
    <m/>
    <m/>
    <m/>
    <m/>
    <m/>
    <m/>
    <m/>
    <m/>
    <x v="1704"/>
    <m/>
    <m/>
  </r>
  <r>
    <x v="49"/>
    <d v="2024-10-02T00:00:00"/>
    <s v="Cash Rewards Visa Signature - Ending in 5913"/>
    <x v="1879"/>
    <n v="-502.24"/>
    <x v="3"/>
    <m/>
    <s v="Delete"/>
    <m/>
    <m/>
    <m/>
    <m/>
    <m/>
    <m/>
    <x v="1732"/>
    <m/>
    <m/>
  </r>
  <r>
    <x v="26"/>
    <d v="2024-03-20T00:00:00"/>
    <s v="Cash Rewards Visa Signature - Ending in 5913"/>
    <x v="4168"/>
    <n v="1.99"/>
    <x v="11"/>
    <m/>
    <m/>
    <m/>
    <m/>
    <m/>
    <m/>
    <m/>
    <m/>
    <x v="3699"/>
    <m/>
    <m/>
  </r>
  <r>
    <x v="26"/>
    <d v="2024-03-20T00:00:00"/>
    <s v="Powerplus - Ending in 8s30"/>
    <x v="1827"/>
    <n v="20"/>
    <x v="8"/>
    <m/>
    <m/>
    <m/>
    <m/>
    <m/>
    <m/>
    <m/>
    <m/>
    <x v="1682"/>
    <m/>
    <m/>
  </r>
  <r>
    <x v="26"/>
    <d v="2024-03-20T00:00:00"/>
    <s v="Powerplus - Ending in 8s30"/>
    <x v="4544"/>
    <n v="346"/>
    <x v="4"/>
    <m/>
    <s v="Exp - Day Care"/>
    <m/>
    <m/>
    <m/>
    <m/>
    <m/>
    <m/>
    <x v="3216"/>
    <m/>
    <m/>
  </r>
  <r>
    <x v="26"/>
    <d v="2024-03-21T00:00:00"/>
    <s v="Cash Rewards Visa Signature - Ending in 5913"/>
    <x v="4545"/>
    <n v="11"/>
    <x v="19"/>
    <m/>
    <s v="Exp - House Maint"/>
    <m/>
    <m/>
    <m/>
    <m/>
    <m/>
    <m/>
    <x v="4028"/>
    <m/>
    <m/>
  </r>
  <r>
    <x v="26"/>
    <d v="2024-03-21T00:00:00"/>
    <s v="Powerplus - Ending in 8s30"/>
    <x v="1827"/>
    <n v="255"/>
    <x v="8"/>
    <m/>
    <m/>
    <m/>
    <m/>
    <m/>
    <m/>
    <m/>
    <m/>
    <x v="1682"/>
    <m/>
    <m/>
  </r>
  <r>
    <x v="26"/>
    <d v="2024-03-21T00:00:00"/>
    <s v="Powerplus - Ending in 8s30"/>
    <x v="4546"/>
    <n v="75.8"/>
    <x v="11"/>
    <m/>
    <s v="Exp - Utilities"/>
    <m/>
    <m/>
    <m/>
    <m/>
    <m/>
    <m/>
    <x v="3287"/>
    <m/>
    <m/>
  </r>
  <r>
    <x v="26"/>
    <d v="2024-03-22T00:00:00"/>
    <s v="Cash Rewards Visa Signature - Ending in 5913"/>
    <x v="823"/>
    <n v="53.5"/>
    <x v="2"/>
    <m/>
    <m/>
    <m/>
    <m/>
    <m/>
    <m/>
    <m/>
    <m/>
    <x v="792"/>
    <m/>
    <m/>
  </r>
  <r>
    <x v="26"/>
    <d v="2024-03-24T00:00:00"/>
    <s v="Cash Rewards Visa Signature - Ending in 5913"/>
    <x v="214"/>
    <n v="27.72"/>
    <x v="2"/>
    <m/>
    <m/>
    <m/>
    <m/>
    <m/>
    <m/>
    <m/>
    <m/>
    <x v="213"/>
    <m/>
    <m/>
  </r>
  <r>
    <x v="26"/>
    <d v="2024-03-24T00:00:00"/>
    <s v="Cash Rewards Visa Signature - Ending in 5913"/>
    <x v="1941"/>
    <n v="36.54"/>
    <x v="2"/>
    <m/>
    <m/>
    <m/>
    <m/>
    <m/>
    <m/>
    <m/>
    <m/>
    <x v="1794"/>
    <m/>
    <m/>
  </r>
  <r>
    <x v="26"/>
    <d v="2024-03-25T00:00:00"/>
    <s v="Cash Rewards Visa Signature - Ending in 5913"/>
    <x v="4547"/>
    <n v="15.6"/>
    <x v="0"/>
    <m/>
    <s v="Exp - Amazon"/>
    <m/>
    <m/>
    <m/>
    <m/>
    <m/>
    <m/>
    <x v="4029"/>
    <m/>
    <m/>
  </r>
  <r>
    <x v="26"/>
    <d v="2024-03-25T00:00:00"/>
    <s v="Cash Rewards Visa Signature - Ending in 5913"/>
    <x v="77"/>
    <n v="216"/>
    <x v="8"/>
    <m/>
    <m/>
    <m/>
    <m/>
    <m/>
    <m/>
    <m/>
    <m/>
    <x v="77"/>
    <m/>
    <m/>
  </r>
  <r>
    <x v="26"/>
    <d v="2024-03-25T00:00:00"/>
    <s v="Powerplus - Ending in 8s30"/>
    <x v="3734"/>
    <n v="778.49"/>
    <x v="12"/>
    <m/>
    <m/>
    <m/>
    <m/>
    <m/>
    <m/>
    <m/>
    <m/>
    <x v="3293"/>
    <m/>
    <m/>
  </r>
  <r>
    <x v="26"/>
    <d v="2024-03-25T00:00:00"/>
    <s v="Powerplus - Ending in 8s30"/>
    <x v="1849"/>
    <n v="21.25"/>
    <x v="8"/>
    <m/>
    <m/>
    <m/>
    <m/>
    <m/>
    <m/>
    <m/>
    <m/>
    <x v="1704"/>
    <m/>
    <m/>
  </r>
  <r>
    <x v="63"/>
    <d v="2024-11-02T00:00:00"/>
    <s v="Cash Rewards Visa Signature - Ending in 5913"/>
    <x v="1879"/>
    <n v="-617.39"/>
    <x v="3"/>
    <m/>
    <m/>
    <m/>
    <m/>
    <m/>
    <m/>
    <m/>
    <m/>
    <x v="1732"/>
    <m/>
    <m/>
  </r>
  <r>
    <x v="63"/>
    <d v="2024-11-27T00:00:00"/>
    <s v="Cash Rewards Visa Signature - Ending in 5913"/>
    <x v="1879"/>
    <n v="-1574.72"/>
    <x v="3"/>
    <m/>
    <m/>
    <m/>
    <m/>
    <m/>
    <m/>
    <m/>
    <m/>
    <x v="1732"/>
    <m/>
    <m/>
  </r>
  <r>
    <x v="26"/>
    <d v="2024-03-27T00:00:00"/>
    <s v="Powerplus - Ending in 8s30"/>
    <x v="308"/>
    <n v="175"/>
    <x v="8"/>
    <m/>
    <m/>
    <m/>
    <m/>
    <m/>
    <m/>
    <m/>
    <m/>
    <x v="300"/>
    <m/>
    <m/>
  </r>
  <r>
    <x v="50"/>
    <d v="2024-12-30T00:00:00"/>
    <s v="Cash Rewards Visa Signature - Ending in 5913"/>
    <x v="1879"/>
    <n v="-560.95000000000005"/>
    <x v="3"/>
    <m/>
    <m/>
    <m/>
    <m/>
    <m/>
    <m/>
    <m/>
    <m/>
    <x v="1732"/>
    <m/>
    <m/>
  </r>
  <r>
    <x v="26"/>
    <d v="2024-03-27T00:00:00"/>
    <s v="Powerplus - Ending in 8s30"/>
    <x v="4548"/>
    <n v="346"/>
    <x v="4"/>
    <m/>
    <s v="Exp - Day Care"/>
    <m/>
    <m/>
    <m/>
    <m/>
    <m/>
    <m/>
    <x v="3216"/>
    <m/>
    <m/>
  </r>
  <r>
    <x v="26"/>
    <d v="2024-03-28T00:00:00"/>
    <s v="Cash Rewards Visa Signature - Ending in 5913"/>
    <x v="4549"/>
    <n v="48.2"/>
    <x v="0"/>
    <m/>
    <s v="Exp - Amazon"/>
    <m/>
    <m/>
    <m/>
    <m/>
    <m/>
    <m/>
    <x v="4030"/>
    <m/>
    <m/>
  </r>
  <r>
    <x v="26"/>
    <d v="2024-03-28T00:00:00"/>
    <s v="Cash Rewards Visa Signature - Ending in 5913"/>
    <x v="4502"/>
    <n v="115"/>
    <x v="10"/>
    <m/>
    <m/>
    <m/>
    <m/>
    <m/>
    <m/>
    <m/>
    <m/>
    <x v="3996"/>
    <m/>
    <m/>
  </r>
  <r>
    <x v="26"/>
    <d v="2024-03-28T00:00:00"/>
    <s v="Powerplus - Ending in 8s30"/>
    <x v="1893"/>
    <n v="-2666.31"/>
    <x v="34"/>
    <m/>
    <m/>
    <m/>
    <m/>
    <m/>
    <m/>
    <m/>
    <m/>
    <x v="1746"/>
    <m/>
    <m/>
  </r>
  <r>
    <x v="26"/>
    <d v="2024-03-28T00:00:00"/>
    <s v="Powerplus - Ending in 8s30"/>
    <x v="3684"/>
    <n v="-3345.74"/>
    <x v="57"/>
    <m/>
    <m/>
    <m/>
    <m/>
    <m/>
    <m/>
    <m/>
    <m/>
    <x v="3245"/>
    <m/>
    <m/>
  </r>
  <r>
    <x v="26"/>
    <d v="2024-03-28T00:00:00"/>
    <s v="Powerplus - Ending in 8s30"/>
    <x v="1849"/>
    <n v="0.99"/>
    <x v="8"/>
    <m/>
    <m/>
    <m/>
    <m/>
    <m/>
    <m/>
    <m/>
    <m/>
    <x v="1704"/>
    <m/>
    <m/>
  </r>
  <r>
    <x v="61"/>
    <d v="2024-02-10T00:00:00"/>
    <s v="Delta Skymiles Platinum Card - Ending in 1007"/>
    <x v="1861"/>
    <n v="501.2"/>
    <x v="3"/>
    <s v="Empyrean Travel"/>
    <m/>
    <m/>
    <m/>
    <m/>
    <m/>
    <m/>
    <m/>
    <x v="1715"/>
    <m/>
    <m/>
  </r>
  <r>
    <x v="61"/>
    <d v="2024-02-16T00:00:00"/>
    <s v="Delta Skymiles Platinum Card - Ending in 1007"/>
    <x v="1861"/>
    <n v="716.2"/>
    <x v="3"/>
    <s v="Empyrean Travel"/>
    <m/>
    <m/>
    <m/>
    <m/>
    <m/>
    <m/>
    <m/>
    <x v="1715"/>
    <m/>
    <m/>
  </r>
  <r>
    <x v="26"/>
    <d v="2024-03-31T00:00:00"/>
    <s v="Cash Rewards Visa Signature - Ending in 5913"/>
    <x v="77"/>
    <n v="-98"/>
    <x v="8"/>
    <m/>
    <m/>
    <m/>
    <m/>
    <m/>
    <m/>
    <m/>
    <m/>
    <x v="77"/>
    <m/>
    <m/>
  </r>
  <r>
    <x v="26"/>
    <d v="2024-03-31T00:00:00"/>
    <s v="Powerplus - Ending in 8s30"/>
    <x v="3652"/>
    <n v="-75"/>
    <x v="34"/>
    <m/>
    <m/>
    <m/>
    <m/>
    <m/>
    <m/>
    <m/>
    <m/>
    <x v="3214"/>
    <m/>
    <m/>
  </r>
  <r>
    <x v="26"/>
    <d v="2024-03-31T00:00:00"/>
    <s v="Powerplus - Ending in 8s30"/>
    <x v="4550"/>
    <n v="-5004"/>
    <x v="57"/>
    <m/>
    <s v="Inc - Jeff"/>
    <m/>
    <m/>
    <m/>
    <m/>
    <m/>
    <m/>
    <x v="4031"/>
    <m/>
    <m/>
  </r>
  <r>
    <x v="26"/>
    <d v="2024-03-31T00:00:00"/>
    <s v="Powerplus - Ending in 8s30"/>
    <x v="2412"/>
    <n v="-4"/>
    <x v="13"/>
    <m/>
    <m/>
    <m/>
    <m/>
    <m/>
    <m/>
    <m/>
    <m/>
    <x v="2228"/>
    <m/>
    <m/>
  </r>
  <r>
    <x v="26"/>
    <d v="2024-03-31T00:00:00"/>
    <s v="Powerplus - Ending in 8s30"/>
    <x v="4551"/>
    <n v="-48.35"/>
    <x v="13"/>
    <m/>
    <s v="Inc - Other"/>
    <m/>
    <m/>
    <m/>
    <m/>
    <m/>
    <m/>
    <x v="4032"/>
    <m/>
    <m/>
  </r>
  <r>
    <x v="64"/>
    <d v="2024-04-01T00:00:00"/>
    <s v="Cash Rewards Visa Signature - Ending in 5913"/>
    <x v="4552"/>
    <n v="6.49"/>
    <x v="10"/>
    <m/>
    <s v="Exp - Entertainment"/>
    <m/>
    <m/>
    <m/>
    <m/>
    <m/>
    <m/>
    <x v="4033"/>
    <m/>
    <m/>
  </r>
  <r>
    <x v="64"/>
    <d v="2024-04-01T00:00:00"/>
    <s v="Powerplus - Ending in 8s30"/>
    <x v="4407"/>
    <n v="181.66"/>
    <x v="11"/>
    <m/>
    <m/>
    <m/>
    <m/>
    <m/>
    <m/>
    <m/>
    <m/>
    <x v="3913"/>
    <m/>
    <m/>
  </r>
  <r>
    <x v="64"/>
    <d v="2024-04-01T00:00:00"/>
    <s v="Powerplus - Ending in 8s30"/>
    <x v="1844"/>
    <n v="2741.74"/>
    <x v="6"/>
    <m/>
    <m/>
    <m/>
    <m/>
    <m/>
    <m/>
    <m/>
    <m/>
    <x v="1699"/>
    <m/>
    <m/>
  </r>
  <r>
    <x v="26"/>
    <d v="2024-03-05T00:00:00"/>
    <s v="Delta Skymiles Platinum Card - Ending in 1007"/>
    <x v="1861"/>
    <n v="5.6"/>
    <x v="3"/>
    <s v="Empyrean Travel"/>
    <m/>
    <m/>
    <m/>
    <m/>
    <m/>
    <m/>
    <m/>
    <x v="1715"/>
    <m/>
    <m/>
  </r>
  <r>
    <x v="64"/>
    <d v="2024-04-01T00:00:00"/>
    <s v="Powerplus - Ending in 8s30"/>
    <x v="4553"/>
    <n v="130"/>
    <x v="24"/>
    <m/>
    <s v="Exp - Travel"/>
    <m/>
    <m/>
    <m/>
    <m/>
    <m/>
    <m/>
    <x v="4034"/>
    <m/>
    <m/>
  </r>
  <r>
    <x v="64"/>
    <d v="2024-04-02T00:00:00"/>
    <s v="Cash Rewards Visa Signature - Ending in 5913"/>
    <x v="4554"/>
    <n v="10.42"/>
    <x v="0"/>
    <m/>
    <s v="Exp - Amazon"/>
    <m/>
    <m/>
    <m/>
    <m/>
    <m/>
    <m/>
    <x v="4035"/>
    <m/>
    <m/>
  </r>
  <r>
    <x v="64"/>
    <d v="2024-04-02T00:00:00"/>
    <s v="Delta Skymiles Platinum Card ( X ) - Ending in 1007"/>
    <x v="3517"/>
    <n v="13.78"/>
    <x v="5"/>
    <s v="Groceries"/>
    <m/>
    <m/>
    <m/>
    <m/>
    <m/>
    <m/>
    <m/>
    <x v="3105"/>
    <m/>
    <m/>
  </r>
  <r>
    <x v="64"/>
    <d v="2024-04-02T00:00:00"/>
    <s v="Delta Skymiles Platinum Card ( X ) - Ending in 1007"/>
    <x v="4555"/>
    <n v="388.44"/>
    <x v="24"/>
    <s v="Travel"/>
    <s v="Exp - Travel"/>
    <m/>
    <m/>
    <m/>
    <m/>
    <m/>
    <m/>
    <x v="4036"/>
    <m/>
    <m/>
  </r>
  <r>
    <x v="64"/>
    <d v="2024-04-02T00:00:00"/>
    <s v="Delta Skymiles Platinum Card ( X ) - Ending in 1007"/>
    <x v="4555"/>
    <n v="68.040000000000006"/>
    <x v="24"/>
    <s v="Travel"/>
    <s v="Exp - Travel"/>
    <m/>
    <m/>
    <m/>
    <m/>
    <m/>
    <m/>
    <x v="4036"/>
    <m/>
    <m/>
  </r>
  <r>
    <x v="64"/>
    <d v="2024-04-02T00:00:00"/>
    <s v="Delta Skymiles Platinum Card ( X ) - Ending in 1007"/>
    <x v="4556"/>
    <n v="60.76"/>
    <x v="1"/>
    <s v="Restaurants"/>
    <s v="Exp - Restaurants"/>
    <m/>
    <m/>
    <m/>
    <m/>
    <m/>
    <m/>
    <x v="4037"/>
    <m/>
    <m/>
  </r>
  <r>
    <x v="64"/>
    <d v="2024-04-02T00:00:00"/>
    <s v="Delta Skymiles Platinum Card ( X ) - Ending in 1007"/>
    <x v="4557"/>
    <n v="21.3"/>
    <x v="5"/>
    <s v="Travel"/>
    <s v="Exp - Groceries"/>
    <m/>
    <m/>
    <m/>
    <m/>
    <m/>
    <m/>
    <x v="4038"/>
    <m/>
    <m/>
  </r>
  <r>
    <x v="64"/>
    <d v="2024-04-03T00:00:00"/>
    <s v="Delta Skymiles Platinum Card ( X ) - Ending in 1007"/>
    <x v="2"/>
    <n v="4.6399999999999997"/>
    <x v="2"/>
    <s v="Transportation"/>
    <m/>
    <m/>
    <m/>
    <m/>
    <m/>
    <m/>
    <m/>
    <x v="2"/>
    <m/>
    <m/>
  </r>
  <r>
    <x v="64"/>
    <d v="2024-04-03T00:00:00"/>
    <s v="Powerplus - Ending in 8s30"/>
    <x v="1827"/>
    <n v="20"/>
    <x v="8"/>
    <m/>
    <m/>
    <m/>
    <m/>
    <m/>
    <m/>
    <m/>
    <m/>
    <x v="1682"/>
    <m/>
    <m/>
  </r>
  <r>
    <x v="64"/>
    <d v="2024-04-03T00:00:00"/>
    <s v="Delta Skymiles Platinum Card ( X ) - Ending in 1007"/>
    <x v="4558"/>
    <n v="52.77"/>
    <x v="1"/>
    <s v="Restaurants"/>
    <s v="Exp - Restaurants"/>
    <m/>
    <m/>
    <m/>
    <m/>
    <m/>
    <m/>
    <x v="4039"/>
    <m/>
    <m/>
  </r>
  <r>
    <x v="64"/>
    <d v="2024-04-03T00:00:00"/>
    <s v="Delta Skymiles Platinum Card ( X ) - Ending in 1007"/>
    <x v="4559"/>
    <n v="48.97"/>
    <x v="1"/>
    <s v="Misc"/>
    <s v="Exp - Restaurants"/>
    <m/>
    <m/>
    <m/>
    <m/>
    <m/>
    <m/>
    <x v="4040"/>
    <m/>
    <m/>
  </r>
  <r>
    <x v="64"/>
    <d v="2024-04-03T00:00:00"/>
    <s v="Delta Skymiles Platinum Card ( X ) - Ending in 1007"/>
    <x v="4560"/>
    <n v="9.25"/>
    <x v="1"/>
    <s v="Groceries"/>
    <s v="Exp - Restaurants"/>
    <m/>
    <m/>
    <m/>
    <m/>
    <m/>
    <m/>
    <x v="4041"/>
    <m/>
    <m/>
  </r>
  <r>
    <x v="64"/>
    <d v="2024-04-04T00:00:00"/>
    <s v="Manual"/>
    <x v="1850"/>
    <n v="250"/>
    <x v="56"/>
    <m/>
    <s v="Exp - Cleaning"/>
    <m/>
    <m/>
    <m/>
    <m/>
    <m/>
    <m/>
    <x v="1705"/>
    <m/>
    <m/>
  </r>
  <r>
    <x v="64"/>
    <d v="2024-04-04T00:00:00"/>
    <s v="Delta Skymiles Platinum Card ( X ) - Ending in 1007"/>
    <x v="4561"/>
    <n v="18.97"/>
    <x v="1"/>
    <s v="Restaurants"/>
    <s v="Exp - Restaurants"/>
    <m/>
    <m/>
    <m/>
    <m/>
    <m/>
    <m/>
    <x v="4042"/>
    <m/>
    <m/>
  </r>
  <r>
    <x v="64"/>
    <d v="2024-04-04T00:00:00"/>
    <s v="Delta Skymiles Platinum Card ( X ) - Ending in 1007"/>
    <x v="4300"/>
    <n v="4"/>
    <x v="11"/>
    <s v="Delete - Online Services"/>
    <m/>
    <m/>
    <m/>
    <m/>
    <m/>
    <m/>
    <m/>
    <x v="3817"/>
    <m/>
    <m/>
  </r>
  <r>
    <x v="64"/>
    <d v="2024-04-05T00:00:00"/>
    <s v="Delta Skymiles Platinum Card ( X ) - Ending in 1007"/>
    <x v="4562"/>
    <n v="125.83"/>
    <x v="1"/>
    <s v="Delete - Other Expenses"/>
    <s v="Exp - Restaurants"/>
    <m/>
    <m/>
    <m/>
    <m/>
    <m/>
    <m/>
    <x v="4043"/>
    <m/>
    <m/>
  </r>
  <r>
    <x v="64"/>
    <d v="2024-04-05T00:00:00"/>
    <s v="Delta Skymiles Platinum Card ( X ) - Ending in 1007"/>
    <x v="4563"/>
    <n v="120"/>
    <x v="8"/>
    <s v="Groceries"/>
    <s v="Exp - Shopping"/>
    <m/>
    <m/>
    <m/>
    <m/>
    <m/>
    <m/>
    <x v="4044"/>
    <m/>
    <m/>
  </r>
  <r>
    <x v="64"/>
    <d v="2024-04-05T00:00:00"/>
    <s v="Delta Skymiles Platinum Card ( X ) - Ending in 1007"/>
    <x v="4564"/>
    <n v="10.34"/>
    <x v="1"/>
    <s v="Restaurants"/>
    <s v="Exp - Restaurants"/>
    <m/>
    <m/>
    <m/>
    <m/>
    <m/>
    <m/>
    <x v="4045"/>
    <m/>
    <m/>
  </r>
  <r>
    <x v="64"/>
    <d v="2024-04-05T00:00:00"/>
    <s v="Delta Skymiles Platinum Card ( X ) - Ending in 1007"/>
    <x v="4565"/>
    <n v="195"/>
    <x v="10"/>
    <s v="Delete - Personal Care"/>
    <s v="Exp - Entertainment"/>
    <m/>
    <m/>
    <m/>
    <m/>
    <m/>
    <m/>
    <x v="4046"/>
    <m/>
    <m/>
  </r>
  <r>
    <x v="64"/>
    <d v="2024-04-05T00:00:00"/>
    <s v="Delta Skymiles Platinum Card ( X ) - Ending in 1007"/>
    <x v="4566"/>
    <n v="21.88"/>
    <x v="1"/>
    <s v="Restaurants"/>
    <s v="Exp - Restaurants"/>
    <m/>
    <m/>
    <m/>
    <m/>
    <m/>
    <m/>
    <x v="4047"/>
    <m/>
    <m/>
  </r>
  <r>
    <x v="64"/>
    <d v="2024-04-06T00:00:00"/>
    <s v="Delta Skymiles Platinum Card ( X ) - Ending in 1007"/>
    <x v="1121"/>
    <n v="61.99"/>
    <x v="8"/>
    <s v="Dry Cleaning"/>
    <m/>
    <m/>
    <m/>
    <m/>
    <m/>
    <m/>
    <m/>
    <x v="1067"/>
    <m/>
    <m/>
  </r>
  <r>
    <x v="64"/>
    <d v="2024-04-06T00:00:00"/>
    <s v="Delta Skymiles Platinum Card ( X ) - Ending in 1007"/>
    <x v="3517"/>
    <n v="57.16"/>
    <x v="5"/>
    <s v="Groceries"/>
    <m/>
    <m/>
    <m/>
    <m/>
    <m/>
    <m/>
    <m/>
    <x v="3105"/>
    <m/>
    <m/>
  </r>
  <r>
    <x v="64"/>
    <d v="2024-04-06T00:00:00"/>
    <s v="Delta Skymiles Platinum Card ( X ) - Ending in 1007"/>
    <x v="4567"/>
    <n v="144.06"/>
    <x v="1"/>
    <s v="Restaurants"/>
    <s v="Exp - Restaurants"/>
    <m/>
    <m/>
    <m/>
    <m/>
    <m/>
    <m/>
    <x v="4048"/>
    <m/>
    <m/>
  </r>
  <r>
    <x v="64"/>
    <d v="2024-04-07T00:00:00"/>
    <s v="Delta Skymiles Platinum Card ( X ) - Ending in 1007"/>
    <x v="4568"/>
    <n v="75.72"/>
    <x v="1"/>
    <s v="Restaurants"/>
    <s v="Exp - Restaurants"/>
    <m/>
    <m/>
    <m/>
    <m/>
    <m/>
    <m/>
    <x v="4049"/>
    <m/>
    <m/>
  </r>
  <r>
    <x v="64"/>
    <d v="2024-04-07T00:00:00"/>
    <s v="Delta Skymiles Platinum Card ( X ) - Ending in 1007"/>
    <x v="4569"/>
    <n v="390"/>
    <x v="25"/>
    <s v="Delete - Other Expenses"/>
    <s v="Exp - Healthcare"/>
    <m/>
    <m/>
    <m/>
    <m/>
    <m/>
    <m/>
    <x v="4050"/>
    <m/>
    <m/>
  </r>
  <r>
    <x v="64"/>
    <d v="2024-04-07T00:00:00"/>
    <s v="Delta Skymiles Platinum Card ( X ) - Ending in 1007"/>
    <x v="3517"/>
    <n v="126.52"/>
    <x v="5"/>
    <s v="Groceries"/>
    <m/>
    <m/>
    <m/>
    <m/>
    <m/>
    <m/>
    <m/>
    <x v="3105"/>
    <m/>
    <m/>
  </r>
  <r>
    <x v="64"/>
    <d v="2024-04-07T00:00:00"/>
    <s v="Delta Skymiles Platinum Card ( X ) - Ending in 1007"/>
    <x v="3517"/>
    <n v="7.48"/>
    <x v="5"/>
    <s v="Groceries"/>
    <m/>
    <m/>
    <m/>
    <m/>
    <m/>
    <m/>
    <m/>
    <x v="3105"/>
    <m/>
    <m/>
  </r>
  <r>
    <x v="64"/>
    <d v="2024-04-07T00:00:00"/>
    <s v="Delta Skymiles Platinum Card ( X ) - Ending in 1007"/>
    <x v="3517"/>
    <n v="29.51"/>
    <x v="5"/>
    <s v="Groceries"/>
    <m/>
    <m/>
    <m/>
    <m/>
    <m/>
    <m/>
    <m/>
    <x v="3105"/>
    <m/>
    <m/>
  </r>
  <r>
    <x v="64"/>
    <d v="2024-04-07T00:00:00"/>
    <s v="Delta Skymiles Platinum Card ( X ) - Ending in 1007"/>
    <x v="4570"/>
    <n v="278.5"/>
    <x v="1"/>
    <s v="Restaurants"/>
    <s v="Exp - Restaurants"/>
    <m/>
    <m/>
    <m/>
    <m/>
    <m/>
    <m/>
    <x v="4051"/>
    <m/>
    <m/>
  </r>
  <r>
    <x v="64"/>
    <d v="2024-04-08T00:00:00"/>
    <s v="Delta Skymiles Platinum Card ( X ) - Ending in 1007"/>
    <x v="1895"/>
    <n v="135.46"/>
    <x v="0"/>
    <s v="Amazon"/>
    <m/>
    <m/>
    <m/>
    <m/>
    <m/>
    <m/>
    <m/>
    <x v="1748"/>
    <m/>
    <m/>
  </r>
  <r>
    <x v="64"/>
    <d v="2024-04-08T00:00:00"/>
    <s v="Delta Skymiles Platinum Card ( X ) - Ending in 1007"/>
    <x v="4571"/>
    <n v="12.76"/>
    <x v="1"/>
    <s v="Restaurants"/>
    <s v="Exp - Restaurants"/>
    <m/>
    <m/>
    <m/>
    <m/>
    <m/>
    <m/>
    <x v="4052"/>
    <m/>
    <m/>
  </r>
  <r>
    <x v="64"/>
    <d v="2024-04-08T00:00:00"/>
    <s v="Delta Skymiles Platinum Card ( X ) - Ending in 1007"/>
    <x v="4572"/>
    <n v="81.400000000000006"/>
    <x v="5"/>
    <s v="Groceries"/>
    <s v="Exp - Groceries"/>
    <m/>
    <m/>
    <m/>
    <m/>
    <m/>
    <m/>
    <x v="4053"/>
    <m/>
    <m/>
  </r>
  <r>
    <x v="26"/>
    <d v="2024-03-05T00:00:00"/>
    <s v="Delta Skymiles Platinum Card - Ending in 1007"/>
    <x v="1861"/>
    <n v="5.6"/>
    <x v="3"/>
    <s v="Empyrean Travel"/>
    <m/>
    <m/>
    <m/>
    <m/>
    <m/>
    <m/>
    <m/>
    <x v="1715"/>
    <m/>
    <m/>
  </r>
  <r>
    <x v="26"/>
    <d v="2024-03-05T00:00:00"/>
    <s v="Delta Skymiles Platinum Card - Ending in 1007"/>
    <x v="1861"/>
    <n v="5.6"/>
    <x v="3"/>
    <s v="Empyrean Travel"/>
    <m/>
    <m/>
    <m/>
    <m/>
    <m/>
    <m/>
    <m/>
    <x v="1715"/>
    <m/>
    <m/>
  </r>
  <r>
    <x v="64"/>
    <d v="2024-04-09T00:00:00"/>
    <s v="Cash Rewards Visa Signature - Ending in 5913"/>
    <x v="1867"/>
    <n v="47.69"/>
    <x v="27"/>
    <m/>
    <m/>
    <m/>
    <m/>
    <m/>
    <m/>
    <m/>
    <m/>
    <x v="1721"/>
    <m/>
    <m/>
  </r>
  <r>
    <x v="64"/>
    <d v="2024-04-09T00:00:00"/>
    <s v="Powerplus - Ending in 8s30"/>
    <x v="1849"/>
    <n v="54.19"/>
    <x v="8"/>
    <m/>
    <m/>
    <m/>
    <m/>
    <m/>
    <m/>
    <m/>
    <m/>
    <x v="1704"/>
    <m/>
    <m/>
  </r>
  <r>
    <x v="64"/>
    <d v="2024-04-09T00:00:00"/>
    <s v="Powerplus - Ending in 8s30"/>
    <x v="4573"/>
    <n v="346"/>
    <x v="4"/>
    <m/>
    <s v="Exp - Day Care"/>
    <m/>
    <m/>
    <m/>
    <m/>
    <m/>
    <m/>
    <x v="3216"/>
    <m/>
    <m/>
  </r>
  <r>
    <x v="64"/>
    <d v="2024-04-10T00:00:00"/>
    <s v="Cash Rewards Visa Signature - Ending in 5913"/>
    <x v="4574"/>
    <n v="96.44"/>
    <x v="0"/>
    <m/>
    <s v="Exp - Amazon"/>
    <m/>
    <m/>
    <m/>
    <m/>
    <m/>
    <m/>
    <x v="4054"/>
    <m/>
    <m/>
  </r>
  <r>
    <x v="64"/>
    <d v="2024-04-10T00:00:00"/>
    <s v="Cash Rewards Visa Signature - Ending in 5913"/>
    <x v="4575"/>
    <n v="13.99"/>
    <x v="0"/>
    <m/>
    <s v="Exp - Amazon"/>
    <m/>
    <m/>
    <m/>
    <m/>
    <m/>
    <m/>
    <x v="4055"/>
    <m/>
    <m/>
  </r>
  <r>
    <x v="64"/>
    <d v="2024-04-10T00:00:00"/>
    <s v="Delta Skymiles Platinum Card ( X ) - Ending in 1007"/>
    <x v="823"/>
    <n v="47.52"/>
    <x v="2"/>
    <s v="Transportation"/>
    <m/>
    <m/>
    <m/>
    <m/>
    <m/>
    <m/>
    <m/>
    <x v="792"/>
    <m/>
    <m/>
  </r>
  <r>
    <x v="64"/>
    <d v="2024-04-10T00:00:00"/>
    <s v="Powerplus - Ending in 8s30"/>
    <x v="1869"/>
    <n v="116.4"/>
    <x v="11"/>
    <m/>
    <m/>
    <m/>
    <m/>
    <m/>
    <m/>
    <m/>
    <m/>
    <x v="1723"/>
    <m/>
    <m/>
  </r>
  <r>
    <x v="64"/>
    <d v="2024-04-10T00:00:00"/>
    <s v="Delta Skymiles Platinum Card ( X ) - Ending in 1007"/>
    <x v="34"/>
    <n v="94.96"/>
    <x v="12"/>
    <s v="Target"/>
    <m/>
    <m/>
    <m/>
    <m/>
    <m/>
    <m/>
    <m/>
    <x v="34"/>
    <m/>
    <m/>
  </r>
  <r>
    <x v="64"/>
    <d v="2024-04-10T00:00:00"/>
    <s v="Delta Skymiles Platinum Card ( X ) - Ending in 1007"/>
    <x v="1586"/>
    <n v="701.9"/>
    <x v="10"/>
    <s v="Entertainment"/>
    <s v="Exp - Entertainment"/>
    <m/>
    <m/>
    <m/>
    <m/>
    <m/>
    <m/>
    <x v="1484"/>
    <m/>
    <m/>
  </r>
  <r>
    <x v="64"/>
    <d v="2024-04-11T00:00:00"/>
    <s v="Powerplus - Ending in 8s30"/>
    <x v="1893"/>
    <n v="-2666.33"/>
    <x v="34"/>
    <m/>
    <m/>
    <m/>
    <m/>
    <m/>
    <m/>
    <m/>
    <m/>
    <x v="1746"/>
    <m/>
    <m/>
  </r>
  <r>
    <x v="64"/>
    <d v="2024-04-11T00:00:00"/>
    <s v="Powerplus - Ending in 8s30"/>
    <x v="4576"/>
    <n v="-976.63"/>
    <x v="57"/>
    <m/>
    <s v="Inc - Jeff"/>
    <m/>
    <m/>
    <m/>
    <m/>
    <m/>
    <m/>
    <x v="3260"/>
    <m/>
    <m/>
  </r>
  <r>
    <x v="64"/>
    <d v="2024-04-11T00:00:00"/>
    <s v="Delta Skymiles Platinum Card ( X ) - Ending in 1007"/>
    <x v="4417"/>
    <n v="83.61"/>
    <x v="25"/>
    <s v="Healthcare"/>
    <m/>
    <m/>
    <m/>
    <m/>
    <m/>
    <m/>
    <m/>
    <x v="3922"/>
    <m/>
    <m/>
  </r>
  <r>
    <x v="64"/>
    <d v="2024-04-11T00:00:00"/>
    <s v="Cash Rewards Visa Signature - Ending in 5913"/>
    <x v="99"/>
    <n v="25.6"/>
    <x v="11"/>
    <m/>
    <m/>
    <m/>
    <m/>
    <m/>
    <m/>
    <m/>
    <m/>
    <x v="99"/>
    <m/>
    <m/>
  </r>
  <r>
    <x v="64"/>
    <d v="2024-04-12T00:00:00"/>
    <s v="Delta Skymiles Platinum Card ( X ) - Ending in 1007"/>
    <x v="4526"/>
    <n v="79.89"/>
    <x v="1"/>
    <s v="Restaurants"/>
    <s v="Exp - Restaurants"/>
    <m/>
    <m/>
    <m/>
    <m/>
    <m/>
    <m/>
    <x v="4015"/>
    <m/>
    <m/>
  </r>
  <r>
    <x v="26"/>
    <d v="2024-03-05T00:00:00"/>
    <s v="Delta Skymiles Platinum Card ( X ) - Ending in 1007"/>
    <x v="1861"/>
    <n v="5.6"/>
    <x v="3"/>
    <s v="Empyrean Travel"/>
    <m/>
    <m/>
    <m/>
    <m/>
    <m/>
    <m/>
    <m/>
    <x v="1715"/>
    <m/>
    <m/>
  </r>
  <r>
    <x v="64"/>
    <d v="2024-04-12T00:00:00"/>
    <s v="Cash Rewards Visa Signature - Ending in 5913"/>
    <x v="4140"/>
    <n v="5.99"/>
    <x v="10"/>
    <m/>
    <m/>
    <m/>
    <m/>
    <m/>
    <m/>
    <m/>
    <m/>
    <x v="3674"/>
    <m/>
    <m/>
  </r>
  <r>
    <x v="64"/>
    <d v="2024-04-12T00:00:00"/>
    <s v="Powerplus - Ending in 8s30"/>
    <x v="1849"/>
    <n v="328.56"/>
    <x v="8"/>
    <m/>
    <m/>
    <m/>
    <m/>
    <m/>
    <m/>
    <m/>
    <m/>
    <x v="1704"/>
    <m/>
    <m/>
  </r>
  <r>
    <x v="64"/>
    <d v="2024-04-12T00:00:00"/>
    <s v="Powerplus - Ending in 8s30"/>
    <x v="1849"/>
    <n v="60.99"/>
    <x v="8"/>
    <m/>
    <m/>
    <m/>
    <m/>
    <m/>
    <m/>
    <m/>
    <m/>
    <x v="1704"/>
    <m/>
    <m/>
  </r>
  <r>
    <x v="64"/>
    <d v="2024-04-12T00:00:00"/>
    <s v="Delta Skymiles Platinum Card ( X ) - Ending in 1007"/>
    <x v="4577"/>
    <n v="21.08"/>
    <x v="1"/>
    <s v="Restaurants"/>
    <s v="Exp - Restaurants"/>
    <m/>
    <m/>
    <m/>
    <m/>
    <m/>
    <m/>
    <x v="4056"/>
    <m/>
    <m/>
  </r>
  <r>
    <x v="64"/>
    <d v="2024-04-13T00:00:00"/>
    <s v="Delta Skymiles Platinum Card ( X ) - Ending in 1007"/>
    <x v="4578"/>
    <n v="52"/>
    <x v="10"/>
    <s v="Entertainment"/>
    <s v="Exp - Entertainment"/>
    <m/>
    <m/>
    <m/>
    <m/>
    <m/>
    <m/>
    <x v="4057"/>
    <m/>
    <m/>
  </r>
  <r>
    <x v="64"/>
    <d v="2024-04-13T00:00:00"/>
    <s v="Delta Skymiles Platinum Card ( X ) - Ending in 1007"/>
    <x v="1922"/>
    <n v="160"/>
    <x v="10"/>
    <s v="Entertainment"/>
    <m/>
    <m/>
    <m/>
    <m/>
    <m/>
    <m/>
    <m/>
    <x v="1775"/>
    <m/>
    <m/>
  </r>
  <r>
    <x v="26"/>
    <d v="2024-03-05T00:00:00"/>
    <s v="Delta Skymiles Platinum Card ( X ) - Ending in 1007"/>
    <x v="1861"/>
    <n v="5.6"/>
    <x v="3"/>
    <s v="Empyrean Travel"/>
    <m/>
    <m/>
    <m/>
    <m/>
    <m/>
    <m/>
    <m/>
    <x v="1715"/>
    <m/>
    <m/>
  </r>
  <r>
    <x v="64"/>
    <d v="2024-04-13T00:00:00"/>
    <s v="Delta Skymiles Platinum Card ( X ) - Ending in 1007"/>
    <x v="4579"/>
    <n v="30.41"/>
    <x v="1"/>
    <s v="Restaurants"/>
    <s v="Exp - Restaurants"/>
    <m/>
    <m/>
    <m/>
    <m/>
    <m/>
    <m/>
    <x v="4058"/>
    <m/>
    <m/>
  </r>
  <r>
    <x v="64"/>
    <d v="2024-04-13T00:00:00"/>
    <s v="Delta Skymiles Platinum Card ( X ) - Ending in 1007"/>
    <x v="4580"/>
    <n v="25.67"/>
    <x v="4"/>
    <s v="Empyrean Travel"/>
    <s v="Exp - Day Care"/>
    <m/>
    <m/>
    <m/>
    <m/>
    <m/>
    <m/>
    <x v="4059"/>
    <m/>
    <m/>
  </r>
  <r>
    <x v="64"/>
    <d v="2024-04-14T00:00:00"/>
    <s v="Delta Skymiles Platinum Card ( X ) - Ending in 1007"/>
    <x v="4581"/>
    <n v="170.23"/>
    <x v="8"/>
    <s v="Delete - Home Improvement"/>
    <s v="Exp - Shopping"/>
    <m/>
    <m/>
    <m/>
    <m/>
    <m/>
    <m/>
    <x v="4060"/>
    <m/>
    <m/>
  </r>
  <r>
    <x v="64"/>
    <d v="2024-04-14T00:00:00"/>
    <s v="Delta Skymiles Platinum Card ( X ) - Ending in 1007"/>
    <x v="59"/>
    <n v="3.35"/>
    <x v="1"/>
    <s v="Restaurants"/>
    <m/>
    <m/>
    <m/>
    <m/>
    <m/>
    <m/>
    <m/>
    <x v="59"/>
    <m/>
    <m/>
  </r>
  <r>
    <x v="64"/>
    <d v="2024-04-14T00:00:00"/>
    <s v="Delta Skymiles Platinum Card ( X ) - Ending in 1007"/>
    <x v="4582"/>
    <n v="51.24"/>
    <x v="1"/>
    <s v="Restaurants"/>
    <s v="Exp - Restaurants"/>
    <m/>
    <m/>
    <m/>
    <m/>
    <m/>
    <m/>
    <x v="4061"/>
    <m/>
    <m/>
  </r>
  <r>
    <x v="64"/>
    <d v="2024-04-14T00:00:00"/>
    <s v="Delta Skymiles Platinum Card ( X ) - Ending in 1007"/>
    <x v="4583"/>
    <n v="19.62"/>
    <x v="8"/>
    <s v="Transportation"/>
    <s v="Exp - Shopping"/>
    <m/>
    <m/>
    <m/>
    <m/>
    <m/>
    <m/>
    <x v="4062"/>
    <m/>
    <m/>
  </r>
  <r>
    <x v="64"/>
    <d v="2024-04-14T00:00:00"/>
    <s v="Delta Skymiles Platinum Card ( X ) - Ending in 1007"/>
    <x v="4584"/>
    <n v="47.46"/>
    <x v="5"/>
    <s v="Groceries"/>
    <s v="Exp - Groceries"/>
    <m/>
    <m/>
    <m/>
    <m/>
    <m/>
    <m/>
    <x v="4063"/>
    <m/>
    <m/>
  </r>
  <r>
    <x v="64"/>
    <d v="2024-04-14T00:00:00"/>
    <s v="Cash Rewards Visa Signature - Ending in 5913"/>
    <x v="1993"/>
    <n v="45"/>
    <x v="11"/>
    <m/>
    <m/>
    <m/>
    <m/>
    <m/>
    <m/>
    <m/>
    <m/>
    <x v="1843"/>
    <m/>
    <m/>
  </r>
  <r>
    <x v="64"/>
    <d v="2024-04-14T00:00:00"/>
    <s v="Powerplus - Ending in 8s30"/>
    <x v="3684"/>
    <n v="-3345.75"/>
    <x v="57"/>
    <m/>
    <m/>
    <m/>
    <m/>
    <m/>
    <m/>
    <m/>
    <m/>
    <x v="3245"/>
    <m/>
    <m/>
  </r>
  <r>
    <x v="64"/>
    <d v="2024-04-14T00:00:00"/>
    <s v="Delta Skymiles Platinum Card ( X ) - Ending in 1007"/>
    <x v="4585"/>
    <n v="92.12"/>
    <x v="25"/>
    <s v="Shopping"/>
    <s v="Exp - Healthcare"/>
    <m/>
    <m/>
    <m/>
    <m/>
    <m/>
    <m/>
    <x v="4064"/>
    <m/>
    <m/>
  </r>
  <r>
    <x v="64"/>
    <d v="2024-04-14T00:00:00"/>
    <s v="Delta Skymiles Platinum Card ( X ) - Ending in 1007"/>
    <x v="4585"/>
    <n v="120.3"/>
    <x v="25"/>
    <s v="Shopping"/>
    <s v="Exp - Healthcare"/>
    <m/>
    <m/>
    <m/>
    <m/>
    <m/>
    <m/>
    <x v="4064"/>
    <m/>
    <m/>
  </r>
  <r>
    <x v="64"/>
    <d v="2024-04-14T00:00:00"/>
    <s v="Delta Skymiles Platinum Card ( X ) - Ending in 1007"/>
    <x v="775"/>
    <n v="423.62"/>
    <x v="19"/>
    <s v="Delete - Home Improvement"/>
    <s v="Exp - House Maint"/>
    <m/>
    <m/>
    <m/>
    <m/>
    <m/>
    <m/>
    <x v="747"/>
    <m/>
    <m/>
  </r>
  <r>
    <x v="64"/>
    <d v="2024-04-15T00:00:00"/>
    <s v="Delta Skymiles Platinum Card ( X ) - Ending in 1007"/>
    <x v="4581"/>
    <n v="18.48"/>
    <x v="8"/>
    <s v="Delete - Home Improvement"/>
    <s v="Exp - Shopping"/>
    <m/>
    <m/>
    <m/>
    <m/>
    <m/>
    <m/>
    <x v="4060"/>
    <m/>
    <m/>
  </r>
  <r>
    <x v="64"/>
    <d v="2024-04-15T00:00:00"/>
    <s v="Delta Skymiles Platinum Card ( X ) - Ending in 1007"/>
    <x v="4586"/>
    <n v="17.329999999999998"/>
    <x v="19"/>
    <s v="Delete - Home Improvement"/>
    <s v="Exp - House Maint"/>
    <m/>
    <m/>
    <m/>
    <m/>
    <m/>
    <m/>
    <x v="4065"/>
    <m/>
    <m/>
  </r>
  <r>
    <x v="64"/>
    <d v="2024-04-15T00:00:00"/>
    <s v="Delta Skymiles Platinum Card ( X ) - Ending in 1007"/>
    <x v="577"/>
    <n v="29.2"/>
    <x v="1"/>
    <s v="Restaurants"/>
    <m/>
    <m/>
    <m/>
    <m/>
    <m/>
    <m/>
    <m/>
    <x v="558"/>
    <m/>
    <m/>
  </r>
  <r>
    <x v="26"/>
    <d v="2024-03-05T00:00:00"/>
    <s v="Delta Skymiles Platinum Card ( X ) - Ending in 1007"/>
    <x v="1861"/>
    <n v="5.6"/>
    <x v="3"/>
    <s v="Empyrean Travel"/>
    <m/>
    <m/>
    <m/>
    <m/>
    <m/>
    <m/>
    <m/>
    <x v="1715"/>
    <m/>
    <m/>
  </r>
  <r>
    <x v="64"/>
    <d v="2024-04-15T00:00:00"/>
    <s v="Delta Skymiles Platinum Card ( X ) - Ending in 1007"/>
    <x v="1934"/>
    <n v="10"/>
    <x v="8"/>
    <s v="Target"/>
    <m/>
    <m/>
    <m/>
    <m/>
    <m/>
    <m/>
    <m/>
    <x v="1787"/>
    <m/>
    <m/>
  </r>
  <r>
    <x v="64"/>
    <d v="2024-04-16T00:00:00"/>
    <s v="Delta Skymiles Platinum Card ( X ) - Ending in 1007"/>
    <x v="4142"/>
    <n v="11.22"/>
    <x v="1"/>
    <s v="Restaurants"/>
    <m/>
    <m/>
    <m/>
    <m/>
    <m/>
    <m/>
    <m/>
    <x v="3676"/>
    <m/>
    <m/>
  </r>
  <r>
    <x v="64"/>
    <d v="2024-04-16T00:00:00"/>
    <s v="Cash Rewards Visa Signature - Ending in 5913"/>
    <x v="775"/>
    <n v="33.340000000000003"/>
    <x v="19"/>
    <m/>
    <s v="Exp - House Maint"/>
    <m/>
    <m/>
    <m/>
    <m/>
    <m/>
    <m/>
    <x v="747"/>
    <m/>
    <m/>
  </r>
  <r>
    <x v="64"/>
    <d v="2024-04-16T00:00:00"/>
    <s v="Delta Skymiles Platinum Card ( X ) - Ending in 1007"/>
    <x v="775"/>
    <n v="-20.61"/>
    <x v="19"/>
    <s v="Delete - Home Improvement"/>
    <s v="Exp - House Maint"/>
    <m/>
    <m/>
    <m/>
    <m/>
    <m/>
    <m/>
    <x v="747"/>
    <m/>
    <m/>
  </r>
  <r>
    <x v="64"/>
    <d v="2024-04-16T00:00:00"/>
    <s v="Powerplus - Ending in 8s30"/>
    <x v="4587"/>
    <n v="346"/>
    <x v="4"/>
    <m/>
    <s v="Exp - Day Care"/>
    <m/>
    <m/>
    <m/>
    <m/>
    <m/>
    <m/>
    <x v="3216"/>
    <m/>
    <m/>
  </r>
  <r>
    <x v="64"/>
    <d v="2024-04-17T00:00:00"/>
    <s v="Delta Skymiles Platinum Card ( X ) - Ending in 1007"/>
    <x v="4588"/>
    <n v="46.74"/>
    <x v="1"/>
    <s v="Restaurants"/>
    <s v="Exp - Restaurants"/>
    <m/>
    <m/>
    <m/>
    <m/>
    <m/>
    <m/>
    <x v="4066"/>
    <m/>
    <m/>
  </r>
  <r>
    <x v="64"/>
    <d v="2024-04-17T00:00:00"/>
    <s v="Delta Skymiles Platinum Card ( X ) - Ending in 1007"/>
    <x v="2044"/>
    <n v="-496"/>
    <x v="8"/>
    <s v="Shopping"/>
    <m/>
    <m/>
    <m/>
    <m/>
    <m/>
    <m/>
    <m/>
    <x v="1894"/>
    <m/>
    <m/>
  </r>
  <r>
    <x v="64"/>
    <d v="2024-04-17T00:00:00"/>
    <s v="Delta Skymiles Platinum Card ( X ) - Ending in 1007"/>
    <x v="823"/>
    <n v="50.39"/>
    <x v="2"/>
    <s v="Transportation"/>
    <m/>
    <m/>
    <m/>
    <m/>
    <m/>
    <m/>
    <m/>
    <x v="792"/>
    <m/>
    <m/>
  </r>
  <r>
    <x v="64"/>
    <d v="2024-04-18T00:00:00"/>
    <s v="Delta Skymiles Platinum Card ( X ) - Ending in 1007"/>
    <x v="4581"/>
    <n v="-13.85"/>
    <x v="8"/>
    <s v="Refunds &amp; Reimbursements"/>
    <s v="Exp - Shopping"/>
    <m/>
    <m/>
    <m/>
    <m/>
    <m/>
    <m/>
    <x v="4060"/>
    <m/>
    <m/>
  </r>
  <r>
    <x v="64"/>
    <d v="2024-04-18T00:00:00"/>
    <s v="Delta Skymiles Platinum Card ( X ) - Ending in 1007"/>
    <x v="4589"/>
    <n v="50"/>
    <x v="24"/>
    <s v="Shopping"/>
    <s v="Exp - Travel"/>
    <m/>
    <m/>
    <m/>
    <m/>
    <m/>
    <m/>
    <x v="4067"/>
    <m/>
    <m/>
  </r>
  <r>
    <x v="64"/>
    <d v="2024-04-18T00:00:00"/>
    <s v="Delta Skymiles Platinum Card ( X ) - Ending in 1007"/>
    <x v="4572"/>
    <n v="104.28"/>
    <x v="5"/>
    <s v="Groceries"/>
    <s v="Exp - Groceries"/>
    <m/>
    <m/>
    <m/>
    <m/>
    <m/>
    <m/>
    <x v="4053"/>
    <m/>
    <m/>
  </r>
  <r>
    <x v="64"/>
    <d v="2024-04-18T00:00:00"/>
    <s v="Delta Skymiles Platinum Card ( X ) - Ending in 1007"/>
    <x v="4590"/>
    <n v="168"/>
    <x v="8"/>
    <s v="Restaurants"/>
    <s v="Exp - Shopping"/>
    <m/>
    <m/>
    <m/>
    <m/>
    <m/>
    <m/>
    <x v="4068"/>
    <m/>
    <m/>
  </r>
  <r>
    <x v="64"/>
    <d v="2024-04-18T00:00:00"/>
    <s v="Powerplus - Ending in 8s30"/>
    <x v="4591"/>
    <n v="650"/>
    <x v="4"/>
    <m/>
    <s v="Exp - Day Care"/>
    <m/>
    <m/>
    <m/>
    <m/>
    <m/>
    <m/>
    <x v="3267"/>
    <m/>
    <m/>
  </r>
  <r>
    <x v="64"/>
    <d v="2024-04-19T00:00:00"/>
    <s v="Delta Skymiles Platinum Card ( X ) - Ending in 1007"/>
    <x v="4581"/>
    <n v="108.9"/>
    <x v="8"/>
    <s v="Delete - Home Improvement"/>
    <s v="Exp - Shopping"/>
    <m/>
    <m/>
    <m/>
    <m/>
    <m/>
    <m/>
    <x v="4060"/>
    <m/>
    <m/>
  </r>
  <r>
    <x v="64"/>
    <d v="2024-04-19T00:00:00"/>
    <s v="Delta Skymiles Platinum Card ( X ) - Ending in 1007"/>
    <x v="4592"/>
    <n v="145"/>
    <x v="8"/>
    <s v="Shopping"/>
    <s v="Exp - Shopping"/>
    <m/>
    <m/>
    <m/>
    <m/>
    <m/>
    <m/>
    <x v="4069"/>
    <m/>
    <m/>
  </r>
  <r>
    <x v="64"/>
    <d v="2024-04-12T00:00:00"/>
    <s v="Delta Skymiles Platinum Card ( X ) - Ending in 1007"/>
    <x v="1861"/>
    <n v="647.20000000000005"/>
    <x v="3"/>
    <s v="Empyrean Travel"/>
    <m/>
    <m/>
    <m/>
    <m/>
    <m/>
    <m/>
    <m/>
    <x v="1715"/>
    <m/>
    <m/>
  </r>
  <r>
    <x v="64"/>
    <d v="2024-04-19T00:00:00"/>
    <s v="Powerplus - Ending in 8s30"/>
    <x v="1849"/>
    <n v="2.99"/>
    <x v="8"/>
    <m/>
    <m/>
    <m/>
    <m/>
    <m/>
    <m/>
    <m/>
    <m/>
    <x v="1704"/>
    <m/>
    <m/>
  </r>
  <r>
    <x v="64"/>
    <d v="2024-04-20T00:00:00"/>
    <s v="Delta Skymiles Platinum Card ( X ) - Ending in 1007"/>
    <x v="57"/>
    <n v="145.65"/>
    <x v="25"/>
    <s v="Groceries"/>
    <m/>
    <m/>
    <m/>
    <m/>
    <m/>
    <m/>
    <m/>
    <x v="57"/>
    <m/>
    <m/>
  </r>
  <r>
    <x v="64"/>
    <d v="2024-04-20T00:00:00"/>
    <s v="Delta Skymiles Platinum Card ( X ) - Ending in 1007"/>
    <x v="4581"/>
    <n v="13.85"/>
    <x v="8"/>
    <s v="Delete - Home Improvement"/>
    <s v="Exp - Shopping"/>
    <m/>
    <m/>
    <m/>
    <m/>
    <m/>
    <m/>
    <x v="4060"/>
    <m/>
    <m/>
  </r>
  <r>
    <x v="64"/>
    <d v="2024-04-20T00:00:00"/>
    <s v="Delta Skymiles Platinum Card ( X ) - Ending in 1007"/>
    <x v="4593"/>
    <n v="10.4"/>
    <x v="10"/>
    <s v="Delete - Other Expenses"/>
    <s v="Exp - Entertainment"/>
    <m/>
    <m/>
    <m/>
    <m/>
    <m/>
    <m/>
    <x v="4070"/>
    <m/>
    <m/>
  </r>
  <r>
    <x v="64"/>
    <d v="2024-04-20T00:00:00"/>
    <s v="Delta Skymiles Platinum Card ( X ) - Ending in 1007"/>
    <x v="4594"/>
    <n v="10.85"/>
    <x v="1"/>
    <s v="Restaurants"/>
    <s v="Exp - Restaurants"/>
    <m/>
    <m/>
    <m/>
    <m/>
    <m/>
    <m/>
    <x v="4071"/>
    <m/>
    <m/>
  </r>
  <r>
    <x v="64"/>
    <d v="2024-04-20T00:00:00"/>
    <s v="Delta Skymiles Platinum Card ( X ) - Ending in 1007"/>
    <x v="4595"/>
    <n v="4.62"/>
    <x v="1"/>
    <s v="Delete - Other Expenses"/>
    <s v="Exp - Restaurants"/>
    <m/>
    <m/>
    <m/>
    <m/>
    <m/>
    <m/>
    <x v="4072"/>
    <m/>
    <m/>
  </r>
  <r>
    <x v="64"/>
    <d v="2024-04-20T00:00:00"/>
    <s v="Delta Skymiles Platinum Card ( X ) - Ending in 1007"/>
    <x v="100"/>
    <n v="80.680000000000007"/>
    <x v="5"/>
    <s v="Groceries"/>
    <m/>
    <m/>
    <m/>
    <m/>
    <m/>
    <m/>
    <m/>
    <x v="100"/>
    <m/>
    <m/>
  </r>
  <r>
    <x v="64"/>
    <d v="2024-04-21T00:00:00"/>
    <s v="Delta Skymiles Platinum Card ( X ) - Ending in 1007"/>
    <x v="1589"/>
    <n v="3.22"/>
    <x v="19"/>
    <s v="Delete - Home Improvement"/>
    <s v="Exp - House Maint"/>
    <m/>
    <m/>
    <m/>
    <m/>
    <m/>
    <m/>
    <x v="1487"/>
    <m/>
    <m/>
  </r>
  <r>
    <x v="64"/>
    <d v="2024-04-21T00:00:00"/>
    <s v="Cash Rewards Visa Signature - Ending in 5913"/>
    <x v="4596"/>
    <n v="27.08"/>
    <x v="0"/>
    <m/>
    <s v="Exp - Amazon"/>
    <m/>
    <m/>
    <m/>
    <m/>
    <m/>
    <m/>
    <x v="4073"/>
    <m/>
    <m/>
  </r>
  <r>
    <x v="64"/>
    <d v="2024-04-21T00:00:00"/>
    <s v="Cash Rewards Visa Signature - Ending in 5913"/>
    <x v="77"/>
    <n v="-168"/>
    <x v="8"/>
    <m/>
    <m/>
    <m/>
    <m/>
    <m/>
    <m/>
    <m/>
    <m/>
    <x v="77"/>
    <m/>
    <m/>
  </r>
  <r>
    <x v="64"/>
    <d v="2024-04-21T00:00:00"/>
    <s v="Powerplus - Ending in 8s30"/>
    <x v="3652"/>
    <n v="-108.5"/>
    <x v="34"/>
    <m/>
    <m/>
    <m/>
    <m/>
    <m/>
    <m/>
    <m/>
    <m/>
    <x v="3214"/>
    <m/>
    <m/>
  </r>
  <r>
    <x v="64"/>
    <d v="2024-04-21T00:00:00"/>
    <s v="Delta Skymiles Platinum Card ( X ) - Ending in 1007"/>
    <x v="1861"/>
    <n v="196.2"/>
    <x v="3"/>
    <s v="Empyrean Travel"/>
    <m/>
    <m/>
    <m/>
    <m/>
    <m/>
    <m/>
    <m/>
    <x v="1715"/>
    <m/>
    <m/>
  </r>
  <r>
    <x v="64"/>
    <d v="2024-04-21T00:00:00"/>
    <s v="Cash Rewards Visa Signature - Ending in 5913"/>
    <x v="4168"/>
    <n v="1.99"/>
    <x v="11"/>
    <m/>
    <m/>
    <m/>
    <m/>
    <m/>
    <m/>
    <m/>
    <m/>
    <x v="3699"/>
    <m/>
    <m/>
  </r>
  <r>
    <x v="64"/>
    <d v="2024-04-21T00:00:00"/>
    <s v="Delta Skymiles Platinum Card ( X ) - Ending in 1007"/>
    <x v="4597"/>
    <n v="104.71"/>
    <x v="1"/>
    <s v="Restaurants"/>
    <s v="Exp - Restaurants"/>
    <m/>
    <m/>
    <m/>
    <m/>
    <m/>
    <m/>
    <x v="4074"/>
    <m/>
    <m/>
  </r>
  <r>
    <x v="64"/>
    <d v="2024-04-21T00:00:00"/>
    <s v="Delta Skymiles Platinum Card ( X ) - Ending in 1007"/>
    <x v="4598"/>
    <n v="1.5"/>
    <x v="2"/>
    <s v="Delete - Other Expenses"/>
    <s v="Exp - Transportation"/>
    <m/>
    <m/>
    <m/>
    <m/>
    <m/>
    <m/>
    <x v="4075"/>
    <m/>
    <m/>
  </r>
  <r>
    <x v="64"/>
    <d v="2024-04-21T00:00:00"/>
    <s v="Delta Skymiles Platinum Card ( X ) - Ending in 1007"/>
    <x v="4599"/>
    <n v="250"/>
    <x v="8"/>
    <s v="Misc"/>
    <s v="Exp - Shopping"/>
    <m/>
    <m/>
    <m/>
    <m/>
    <m/>
    <m/>
    <x v="4076"/>
    <m/>
    <m/>
  </r>
  <r>
    <x v="64"/>
    <d v="2024-04-21T00:00:00"/>
    <s v="Delta Skymiles Platinum Card ( X ) - Ending in 1007"/>
    <x v="4600"/>
    <n v="50.99"/>
    <x v="8"/>
    <s v="Shopping"/>
    <s v="Exp - Shopping"/>
    <m/>
    <m/>
    <m/>
    <m/>
    <m/>
    <m/>
    <x v="4077"/>
    <m/>
    <m/>
  </r>
  <r>
    <x v="64"/>
    <d v="2024-04-22T00:00:00"/>
    <s v="Cash Rewards Visa Signature - Ending in 5913"/>
    <x v="4601"/>
    <n v="11"/>
    <x v="19"/>
    <m/>
    <s v="Exp - House Maint"/>
    <m/>
    <m/>
    <m/>
    <m/>
    <m/>
    <m/>
    <x v="4078"/>
    <m/>
    <m/>
  </r>
  <r>
    <x v="64"/>
    <d v="2024-04-22T00:00:00"/>
    <s v="Delta Skymiles Platinum Card ( X ) - Ending in 1007"/>
    <x v="577"/>
    <n v="8.6199999999999992"/>
    <x v="1"/>
    <s v="Restaurants"/>
    <m/>
    <m/>
    <m/>
    <m/>
    <m/>
    <m/>
    <m/>
    <x v="558"/>
    <m/>
    <m/>
  </r>
  <r>
    <x v="64"/>
    <d v="2024-04-22T00:00:00"/>
    <s v="Delta Skymiles Platinum Card ( X ) - Ending in 1007"/>
    <x v="577"/>
    <n v="21.77"/>
    <x v="1"/>
    <s v="Restaurants"/>
    <m/>
    <m/>
    <m/>
    <m/>
    <m/>
    <m/>
    <m/>
    <x v="558"/>
    <m/>
    <m/>
  </r>
  <r>
    <x v="64"/>
    <d v="2024-04-22T00:00:00"/>
    <s v="Delta Skymiles Platinum Card ( X ) - Ending in 1007"/>
    <x v="577"/>
    <n v="7.53"/>
    <x v="1"/>
    <s v="Restaurants"/>
    <m/>
    <m/>
    <m/>
    <m/>
    <m/>
    <m/>
    <m/>
    <x v="558"/>
    <m/>
    <m/>
  </r>
  <r>
    <x v="64"/>
    <d v="2024-04-22T00:00:00"/>
    <s v="Powerplus - Ending in 8s30"/>
    <x v="3840"/>
    <n v="136.19"/>
    <x v="8"/>
    <m/>
    <m/>
    <m/>
    <m/>
    <m/>
    <m/>
    <m/>
    <m/>
    <x v="3391"/>
    <m/>
    <m/>
  </r>
  <r>
    <x v="64"/>
    <d v="2024-04-22T00:00:00"/>
    <s v="Powerplus - Ending in 8s30"/>
    <x v="4602"/>
    <n v="75.8"/>
    <x v="11"/>
    <m/>
    <s v="Exp - Utilities"/>
    <m/>
    <m/>
    <m/>
    <m/>
    <m/>
    <m/>
    <x v="3287"/>
    <m/>
    <m/>
  </r>
  <r>
    <x v="64"/>
    <d v="2024-04-23T00:00:00"/>
    <s v="Delta Skymiles Platinum Card ( X ) - Ending in 1007"/>
    <x v="62"/>
    <n v="249"/>
    <x v="8"/>
    <s v="Entertainment"/>
    <s v="Exp - Shopping"/>
    <m/>
    <m/>
    <m/>
    <m/>
    <m/>
    <m/>
    <x v="62"/>
    <m/>
    <m/>
  </r>
  <r>
    <x v="64"/>
    <d v="2024-04-24T00:00:00"/>
    <s v="Cash Rewards Visa Signature - Ending in 5913"/>
    <x v="0"/>
    <n v="158.28"/>
    <x v="0"/>
    <m/>
    <m/>
    <m/>
    <m/>
    <m/>
    <m/>
    <m/>
    <m/>
    <x v="0"/>
    <m/>
    <m/>
  </r>
  <r>
    <x v="64"/>
    <d v="2024-04-24T00:00:00"/>
    <s v="Cash Rewards Visa Signature - Ending in 5913"/>
    <x v="4603"/>
    <n v="158.28"/>
    <x v="0"/>
    <m/>
    <s v="Exp - Amazon"/>
    <m/>
    <m/>
    <m/>
    <m/>
    <m/>
    <m/>
    <x v="4079"/>
    <m/>
    <m/>
  </r>
  <r>
    <x v="64"/>
    <d v="2024-04-29T00:00:00"/>
    <s v="Delta Skymiles Platinum Card ( X ) - Ending in 1007"/>
    <x v="1861"/>
    <n v="1135.9000000000001"/>
    <x v="3"/>
    <s v="Empyrean Travel"/>
    <m/>
    <m/>
    <m/>
    <m/>
    <m/>
    <m/>
    <m/>
    <x v="1715"/>
    <m/>
    <m/>
  </r>
  <r>
    <x v="64"/>
    <d v="2024-04-24T00:00:00"/>
    <s v="Delta Skymiles Platinum Card ( X ) - Ending in 1007"/>
    <x v="6"/>
    <n v="83.07"/>
    <x v="5"/>
    <s v="Groceries"/>
    <m/>
    <m/>
    <m/>
    <m/>
    <m/>
    <m/>
    <m/>
    <x v="6"/>
    <m/>
    <m/>
  </r>
  <r>
    <x v="64"/>
    <d v="2024-04-24T00:00:00"/>
    <s v="Powerplus - Ending in 8s30"/>
    <x v="4604"/>
    <n v="346"/>
    <x v="4"/>
    <m/>
    <s v="Exp - Day Care"/>
    <m/>
    <m/>
    <m/>
    <m/>
    <m/>
    <m/>
    <x v="3216"/>
    <m/>
    <m/>
  </r>
  <r>
    <x v="64"/>
    <d v="2024-04-25T00:00:00"/>
    <s v="Delta Skymiles Platinum Card ( X ) - Ending in 1007"/>
    <x v="4581"/>
    <n v="18.510000000000002"/>
    <x v="8"/>
    <s v="Delete - Home Improvement"/>
    <s v="Exp - Shopping"/>
    <m/>
    <m/>
    <m/>
    <m/>
    <m/>
    <m/>
    <x v="4060"/>
    <m/>
    <m/>
  </r>
  <r>
    <x v="64"/>
    <d v="2024-04-25T00:00:00"/>
    <s v="Powerplus - Ending in 8s30"/>
    <x v="1893"/>
    <n v="-2666.32"/>
    <x v="34"/>
    <m/>
    <m/>
    <m/>
    <m/>
    <m/>
    <m/>
    <m/>
    <m/>
    <x v="1746"/>
    <m/>
    <m/>
  </r>
  <r>
    <x v="64"/>
    <d v="2024-04-25T00:00:00"/>
    <s v="Cash Rewards Visa Signature - Ending in 5913"/>
    <x v="4158"/>
    <n v="41.31"/>
    <x v="5"/>
    <m/>
    <m/>
    <m/>
    <m/>
    <m/>
    <m/>
    <m/>
    <m/>
    <x v="3690"/>
    <m/>
    <m/>
  </r>
  <r>
    <x v="64"/>
    <d v="2024-04-25T00:00:00"/>
    <s v="Delta Skymiles Platinum Card ( X ) - Ending in 1007"/>
    <x v="4572"/>
    <n v="121.95"/>
    <x v="5"/>
    <s v="Groceries"/>
    <s v="Exp - Groceries"/>
    <m/>
    <m/>
    <m/>
    <m/>
    <m/>
    <m/>
    <x v="4053"/>
    <m/>
    <m/>
  </r>
  <r>
    <x v="64"/>
    <d v="2024-04-25T00:00:00"/>
    <s v="Delta Skymiles Platinum Card ( X ) - Ending in 1007"/>
    <x v="419"/>
    <n v="49.86"/>
    <x v="5"/>
    <s v="Groceries"/>
    <s v="Exp - Groceries"/>
    <m/>
    <m/>
    <m/>
    <m/>
    <m/>
    <m/>
    <x v="405"/>
    <m/>
    <m/>
  </r>
  <r>
    <x v="64"/>
    <d v="2024-04-29T00:00:00"/>
    <s v="Delta Skymiles Platinum Card ( X ) - Ending in 1007"/>
    <x v="1861"/>
    <n v="1056.5999999999999"/>
    <x v="3"/>
    <s v="Empyrean Travel"/>
    <m/>
    <m/>
    <m/>
    <m/>
    <m/>
    <m/>
    <m/>
    <x v="1715"/>
    <m/>
    <m/>
  </r>
  <r>
    <x v="64"/>
    <d v="2024-04-26T00:00:00"/>
    <s v="Cash Rewards Visa Signature - Ending in 5913"/>
    <x v="4605"/>
    <n v="17.350000000000001"/>
    <x v="20"/>
    <m/>
    <s v="Exp - Dry Cleaning"/>
    <m/>
    <m/>
    <m/>
    <m/>
    <m/>
    <m/>
    <x v="4080"/>
    <m/>
    <m/>
  </r>
  <r>
    <x v="25"/>
    <d v="2024-05-30T00:00:00"/>
    <s v="Delta Skymiles Platinum Card ( X ) - Ending in 1007"/>
    <x v="1861"/>
    <n v="303.5"/>
    <x v="3"/>
    <s v="Empyrean Travel"/>
    <m/>
    <m/>
    <m/>
    <m/>
    <m/>
    <m/>
    <m/>
    <x v="1715"/>
    <m/>
    <m/>
  </r>
  <r>
    <x v="64"/>
    <d v="2024-04-26T00:00:00"/>
    <s v="Powerplus - Ending in 8s30"/>
    <x v="3734"/>
    <n v="1051.96"/>
    <x v="12"/>
    <m/>
    <m/>
    <m/>
    <m/>
    <m/>
    <m/>
    <m/>
    <m/>
    <x v="3293"/>
    <m/>
    <m/>
  </r>
  <r>
    <x v="64"/>
    <d v="2024-04-26T00:00:00"/>
    <s v="Cash Rewards Visa Signature - Ending in 5913"/>
    <x v="1837"/>
    <n v="135.41"/>
    <x v="19"/>
    <m/>
    <m/>
    <m/>
    <m/>
    <m/>
    <m/>
    <m/>
    <m/>
    <x v="1692"/>
    <m/>
    <m/>
  </r>
  <r>
    <x v="23"/>
    <d v="2024-06-15T00:00:00"/>
    <s v="Delta Skymiles Platinum Card ( X ) - Ending in 1007"/>
    <x v="1861"/>
    <n v="217.97"/>
    <x v="3"/>
    <s v="Empyrean Travel"/>
    <m/>
    <m/>
    <m/>
    <m/>
    <m/>
    <m/>
    <m/>
    <x v="1715"/>
    <m/>
    <m/>
  </r>
  <r>
    <x v="64"/>
    <d v="2024-04-27T00:00:00"/>
    <s v="Delta Skymiles Platinum Card ( X ) - Ending in 1007"/>
    <x v="473"/>
    <n v="57.74"/>
    <x v="1"/>
    <s v="Restaurants"/>
    <m/>
    <m/>
    <m/>
    <m/>
    <m/>
    <m/>
    <m/>
    <x v="456"/>
    <m/>
    <m/>
  </r>
  <r>
    <x v="64"/>
    <d v="2024-04-27T00:00:00"/>
    <s v="Delta Skymiles Platinum Card ( X ) - Ending in 1007"/>
    <x v="4606"/>
    <n v="147.38999999999999"/>
    <x v="10"/>
    <s v="Entertainment"/>
    <s v="Exp - Entertainment"/>
    <m/>
    <m/>
    <m/>
    <m/>
    <m/>
    <m/>
    <x v="4081"/>
    <m/>
    <m/>
  </r>
  <r>
    <x v="64"/>
    <d v="2024-04-27T00:00:00"/>
    <s v="Delta Skymiles Platinum Card ( X ) - Ending in 1007"/>
    <x v="4607"/>
    <n v="2.1"/>
    <x v="2"/>
    <s v="Delete - Other Expenses"/>
    <s v="Exp - Transportation"/>
    <m/>
    <m/>
    <m/>
    <m/>
    <m/>
    <m/>
    <x v="4082"/>
    <m/>
    <m/>
  </r>
  <r>
    <x v="64"/>
    <d v="2024-04-27T00:00:00"/>
    <s v="Delta Skymiles Platinum Card ( X ) - Ending in 1007"/>
    <x v="4607"/>
    <n v="1.1000000000000001"/>
    <x v="2"/>
    <s v="Delete - Other Expenses"/>
    <s v="Exp - Transportation"/>
    <m/>
    <m/>
    <m/>
    <m/>
    <m/>
    <m/>
    <x v="4082"/>
    <m/>
    <m/>
  </r>
  <r>
    <x v="64"/>
    <d v="2024-04-27T00:00:00"/>
    <s v="Delta Skymiles Platinum Card ( X ) - Ending in 1007"/>
    <x v="4607"/>
    <n v="3.1"/>
    <x v="2"/>
    <s v="Delete - Other Expenses"/>
    <s v="Exp - Transportation"/>
    <m/>
    <m/>
    <m/>
    <m/>
    <m/>
    <m/>
    <x v="4082"/>
    <m/>
    <m/>
  </r>
  <r>
    <x v="64"/>
    <d v="2024-04-27T00:00:00"/>
    <s v="Delta Skymiles Platinum Card ( X ) - Ending in 1007"/>
    <x v="4607"/>
    <n v="1.1000000000000001"/>
    <x v="2"/>
    <s v="Delete - Other Expenses"/>
    <s v="Exp - Transportation"/>
    <m/>
    <m/>
    <m/>
    <m/>
    <m/>
    <m/>
    <x v="4082"/>
    <m/>
    <m/>
  </r>
  <r>
    <x v="64"/>
    <d v="2024-04-28T00:00:00"/>
    <s v="Delta Skymiles Platinum Card ( X ) - Ending in 1007"/>
    <x v="4608"/>
    <n v="268.89999999999998"/>
    <x v="24"/>
    <s v="Entertainment"/>
    <s v="Exp - Travel"/>
    <m/>
    <m/>
    <m/>
    <m/>
    <m/>
    <m/>
    <x v="4083"/>
    <m/>
    <s v="Ireland"/>
  </r>
  <r>
    <x v="64"/>
    <d v="2024-04-28T00:00:00"/>
    <s v="Delta Skymiles Platinum Card ( X ) - Ending in 1007"/>
    <x v="4324"/>
    <n v="44.94"/>
    <x v="1"/>
    <s v="Restaurants"/>
    <m/>
    <m/>
    <m/>
    <m/>
    <m/>
    <m/>
    <m/>
    <x v="3838"/>
    <m/>
    <m/>
  </r>
  <r>
    <x v="64"/>
    <d v="2024-04-28T00:00:00"/>
    <s v="Powerplus - Ending in 8s30"/>
    <x v="3684"/>
    <n v="-3345.75"/>
    <x v="57"/>
    <m/>
    <m/>
    <m/>
    <m/>
    <m/>
    <m/>
    <m/>
    <m/>
    <x v="3245"/>
    <m/>
    <m/>
  </r>
  <r>
    <x v="64"/>
    <d v="2024-04-29T00:00:00"/>
    <s v="Delta Skymiles Platinum Card ( X ) - Ending in 1007"/>
    <x v="1955"/>
    <n v="27.47"/>
    <x v="1"/>
    <s v="Restaurants"/>
    <m/>
    <m/>
    <m/>
    <m/>
    <m/>
    <m/>
    <m/>
    <x v="1807"/>
    <m/>
    <m/>
  </r>
  <r>
    <x v="23"/>
    <d v="2024-06-15T00:00:00"/>
    <s v="Delta Skymiles Platinum Card ( X ) - Ending in 1007"/>
    <x v="1861"/>
    <n v="233.48"/>
    <x v="3"/>
    <s v="Empyrean Travel"/>
    <m/>
    <m/>
    <m/>
    <m/>
    <m/>
    <m/>
    <m/>
    <x v="1715"/>
    <m/>
    <m/>
  </r>
  <r>
    <x v="23"/>
    <d v="2024-06-15T00:00:00"/>
    <s v="Delta Skymiles Platinum Card ( X ) - Ending in 1007"/>
    <x v="1861"/>
    <n v="376.95"/>
    <x v="3"/>
    <s v="Empyrean Travel"/>
    <m/>
    <m/>
    <m/>
    <m/>
    <m/>
    <m/>
    <m/>
    <x v="1715"/>
    <m/>
    <m/>
  </r>
  <r>
    <x v="64"/>
    <d v="2024-04-29T00:00:00"/>
    <s v="Delta Skymiles Platinum Card ( X ) - Ending in 1007"/>
    <x v="2044"/>
    <n v="-84"/>
    <x v="8"/>
    <s v="Shopping"/>
    <m/>
    <m/>
    <m/>
    <m/>
    <m/>
    <m/>
    <m/>
    <x v="1894"/>
    <m/>
    <m/>
  </r>
  <r>
    <x v="23"/>
    <d v="2024-06-16T00:00:00"/>
    <s v="Delta Skymiles Platinum Card ( X ) - Ending in 1007"/>
    <x v="1861"/>
    <n v="-217.97"/>
    <x v="3"/>
    <s v="Empyrean Travel"/>
    <m/>
    <m/>
    <m/>
    <m/>
    <m/>
    <m/>
    <m/>
    <x v="1715"/>
    <m/>
    <m/>
  </r>
  <r>
    <x v="64"/>
    <d v="2024-04-29T00:00:00"/>
    <s v="Powerplus - Ending in 8s30"/>
    <x v="1849"/>
    <n v="21.25"/>
    <x v="8"/>
    <m/>
    <m/>
    <m/>
    <m/>
    <m/>
    <m/>
    <m/>
    <m/>
    <x v="1704"/>
    <m/>
    <m/>
  </r>
  <r>
    <x v="64"/>
    <d v="2024-04-29T00:00:00"/>
    <s v="Powerplus - Ending in 8s30"/>
    <x v="1849"/>
    <n v="0.99"/>
    <x v="8"/>
    <m/>
    <m/>
    <m/>
    <m/>
    <m/>
    <m/>
    <m/>
    <m/>
    <x v="1704"/>
    <m/>
    <m/>
  </r>
  <r>
    <x v="64"/>
    <d v="2024-04-30T00:00:00"/>
    <s v="Delta Skymiles Platinum Card ( X ) - Ending in 1007"/>
    <x v="1175"/>
    <n v="168.12"/>
    <x v="24"/>
    <s v="Travel"/>
    <s v="Exp - Travel"/>
    <m/>
    <m/>
    <m/>
    <m/>
    <m/>
    <m/>
    <x v="1117"/>
    <m/>
    <s v="Ireland"/>
  </r>
  <r>
    <x v="64"/>
    <d v="2024-04-30T00:00:00"/>
    <s v="Delta Skymiles Platinum Card ( X ) - Ending in 1007"/>
    <x v="4480"/>
    <n v="108.9"/>
    <x v="8"/>
    <s v="Shopping"/>
    <m/>
    <m/>
    <m/>
    <m/>
    <m/>
    <m/>
    <m/>
    <x v="3977"/>
    <m/>
    <m/>
  </r>
  <r>
    <x v="27"/>
    <d v="2024-07-19T00:00:00"/>
    <s v="Delta Skymiles Platinum Card ( X ) - Ending in 1007"/>
    <x v="1861"/>
    <n v="355.96"/>
    <x v="3"/>
    <s v="Empyrean Travel"/>
    <m/>
    <m/>
    <m/>
    <m/>
    <m/>
    <m/>
    <m/>
    <x v="1715"/>
    <m/>
    <m/>
  </r>
  <r>
    <x v="64"/>
    <d v="2024-04-30T00:00:00"/>
    <s v="Powerplus - Ending in 8s30"/>
    <x v="4609"/>
    <n v="-48.52"/>
    <x v="13"/>
    <m/>
    <s v="Inc - Other"/>
    <m/>
    <m/>
    <m/>
    <m/>
    <m/>
    <m/>
    <x v="4084"/>
    <m/>
    <m/>
  </r>
  <r>
    <x v="64"/>
    <d v="2024-04-30T00:00:00"/>
    <s v="Powerplus - Ending in 8s30"/>
    <x v="4407"/>
    <n v="183.55"/>
    <x v="11"/>
    <m/>
    <m/>
    <m/>
    <m/>
    <m/>
    <m/>
    <m/>
    <m/>
    <x v="3913"/>
    <m/>
    <m/>
  </r>
  <r>
    <x v="62"/>
    <d v="2024-08-07T00:00:00"/>
    <s v="Delta Skymiles Platinum Card ( X ) - Ending in 1007"/>
    <x v="1861"/>
    <n v="308.95"/>
    <x v="3"/>
    <s v="Empyrean Travel"/>
    <s v="Delete"/>
    <m/>
    <m/>
    <m/>
    <m/>
    <m/>
    <m/>
    <x v="1715"/>
    <m/>
    <m/>
  </r>
  <r>
    <x v="25"/>
    <d v="2024-05-01T00:00:00"/>
    <s v="Delta Skymiles Platinum Card ( X ) - Ending in 1007"/>
    <x v="1895"/>
    <n v="14.08"/>
    <x v="0"/>
    <s v="Amazon"/>
    <m/>
    <m/>
    <m/>
    <m/>
    <m/>
    <m/>
    <m/>
    <x v="1748"/>
    <m/>
    <m/>
  </r>
  <r>
    <x v="25"/>
    <d v="2024-05-01T00:00:00"/>
    <s v="Cash Rewards Visa Signature - Ending in 5913"/>
    <x v="4610"/>
    <n v="6.49"/>
    <x v="10"/>
    <m/>
    <s v="Exp - Entertainment"/>
    <m/>
    <m/>
    <m/>
    <m/>
    <m/>
    <m/>
    <x v="4085"/>
    <m/>
    <m/>
  </r>
  <r>
    <x v="25"/>
    <d v="2024-05-01T00:00:00"/>
    <s v="Powerplus - Ending in 8s30"/>
    <x v="1844"/>
    <n v="2741.74"/>
    <x v="6"/>
    <m/>
    <m/>
    <m/>
    <m/>
    <m/>
    <m/>
    <m/>
    <m/>
    <x v="1699"/>
    <m/>
    <m/>
  </r>
  <r>
    <x v="25"/>
    <d v="2024-05-01T00:00:00"/>
    <s v="Delta Skymiles Platinum Card ( X ) - Ending in 1007"/>
    <x v="2"/>
    <n v="35.07"/>
    <x v="2"/>
    <s v="Transportation"/>
    <m/>
    <m/>
    <m/>
    <m/>
    <m/>
    <m/>
    <m/>
    <x v="2"/>
    <m/>
    <m/>
  </r>
  <r>
    <x v="62"/>
    <d v="2024-08-25T00:00:00"/>
    <s v="Delta Skymiles Platinum Card ( X ) - Ending in 1007"/>
    <x v="1861"/>
    <n v="293.97000000000003"/>
    <x v="3"/>
    <s v="Empyrean Travel"/>
    <m/>
    <m/>
    <m/>
    <m/>
    <m/>
    <m/>
    <m/>
    <x v="1715"/>
    <m/>
    <m/>
  </r>
  <r>
    <x v="25"/>
    <d v="2024-05-02T00:00:00"/>
    <s v="Cash Rewards Visa Signature - Ending in 5913"/>
    <x v="4611"/>
    <n v="6.49"/>
    <x v="0"/>
    <m/>
    <s v="Exp - Amazon"/>
    <m/>
    <m/>
    <m/>
    <m/>
    <m/>
    <m/>
    <x v="4086"/>
    <m/>
    <m/>
  </r>
  <r>
    <x v="25"/>
    <d v="2024-05-02T00:00:00"/>
    <s v="Cash Rewards Visa Signature - Ending in 5913"/>
    <x v="4612"/>
    <n v="7.58"/>
    <x v="0"/>
    <m/>
    <s v="Exp - Amazon"/>
    <m/>
    <m/>
    <m/>
    <m/>
    <m/>
    <m/>
    <x v="4087"/>
    <m/>
    <m/>
  </r>
  <r>
    <x v="25"/>
    <d v="2024-05-02T00:00:00"/>
    <s v="Delta Skymiles Platinum Card ( X ) - Ending in 1007"/>
    <x v="4572"/>
    <n v="116.28"/>
    <x v="5"/>
    <s v="Groceries"/>
    <s v="Exp - Groceries"/>
    <m/>
    <m/>
    <m/>
    <m/>
    <m/>
    <m/>
    <x v="4053"/>
    <m/>
    <m/>
  </r>
  <r>
    <x v="25"/>
    <d v="2024-05-02T00:00:00"/>
    <s v="Powerplus - Ending in 8s30"/>
    <x v="4613"/>
    <n v="386"/>
    <x v="11"/>
    <m/>
    <s v="Exp - Utilities"/>
    <m/>
    <m/>
    <m/>
    <m/>
    <m/>
    <m/>
    <x v="4088"/>
    <m/>
    <m/>
  </r>
  <r>
    <x v="25"/>
    <d v="2024-05-03T00:00:00"/>
    <s v="Delta Skymiles Platinum Card ( X ) - Ending in 1007"/>
    <x v="4614"/>
    <n v="76.599999999999994"/>
    <x v="1"/>
    <s v="Restaurants"/>
    <s v="Exp - Restaurants"/>
    <m/>
    <m/>
    <m/>
    <m/>
    <m/>
    <m/>
    <x v="4089"/>
    <m/>
    <m/>
  </r>
  <r>
    <x v="25"/>
    <d v="2024-05-03T00:00:00"/>
    <s v="Delta Skymiles Platinum Card ( X ) - Ending in 1007"/>
    <x v="4300"/>
    <n v="4"/>
    <x v="11"/>
    <s v="Delete - Online Services"/>
    <m/>
    <m/>
    <m/>
    <m/>
    <m/>
    <m/>
    <m/>
    <x v="3817"/>
    <m/>
    <m/>
  </r>
  <r>
    <x v="62"/>
    <d v="2024-08-25T00:00:00"/>
    <s v="Delta Skymiles Platinum Card ( X ) - Ending in 1007"/>
    <x v="1861"/>
    <n v="268.98"/>
    <x v="3"/>
    <s v="Empyrean Travel"/>
    <m/>
    <m/>
    <m/>
    <m/>
    <m/>
    <m/>
    <m/>
    <x v="1715"/>
    <m/>
    <m/>
  </r>
  <r>
    <x v="25"/>
    <d v="2024-05-04T00:00:00"/>
    <s v="Delta Skymiles Platinum Card ( X ) - Ending in 1007"/>
    <x v="4615"/>
    <n v="36.82"/>
    <x v="10"/>
    <s v="Delete - Other Expenses"/>
    <s v="Exp - Entertainment"/>
    <m/>
    <m/>
    <m/>
    <m/>
    <m/>
    <m/>
    <x v="4090"/>
    <m/>
    <m/>
  </r>
  <r>
    <x v="25"/>
    <d v="2024-05-04T00:00:00"/>
    <s v="Delta Skymiles Platinum Card ( X ) - Ending in 1007"/>
    <x v="823"/>
    <n v="54.59"/>
    <x v="2"/>
    <s v="Transportation"/>
    <m/>
    <m/>
    <m/>
    <m/>
    <m/>
    <m/>
    <m/>
    <x v="792"/>
    <m/>
    <m/>
  </r>
  <r>
    <x v="25"/>
    <d v="2024-05-05T00:00:00"/>
    <s v="Cash Rewards Visa Signature - Ending in 5913"/>
    <x v="4616"/>
    <n v="14.99"/>
    <x v="0"/>
    <m/>
    <s v="Exp - Amazon"/>
    <m/>
    <m/>
    <m/>
    <m/>
    <m/>
    <m/>
    <x v="4091"/>
    <m/>
    <m/>
  </r>
  <r>
    <x v="25"/>
    <d v="2024-05-05T00:00:00"/>
    <s v="Manual"/>
    <x v="1850"/>
    <n v="250"/>
    <x v="56"/>
    <m/>
    <s v="Exp - Cleaning"/>
    <m/>
    <m/>
    <m/>
    <m/>
    <m/>
    <m/>
    <x v="1705"/>
    <m/>
    <m/>
  </r>
  <r>
    <x v="25"/>
    <d v="2024-05-05T00:00:00"/>
    <s v="Delta Skymiles Platinum Card ( X ) - Ending in 1007"/>
    <x v="414"/>
    <n v="245.27"/>
    <x v="8"/>
    <s v="Dry Cleaning"/>
    <m/>
    <m/>
    <m/>
    <m/>
    <m/>
    <m/>
    <m/>
    <x v="400"/>
    <m/>
    <m/>
  </r>
  <r>
    <x v="25"/>
    <d v="2024-05-05T00:00:00"/>
    <s v="Delta Skymiles Platinum Card ( X ) - Ending in 1007"/>
    <x v="1837"/>
    <n v="162.69999999999999"/>
    <x v="19"/>
    <s v="House Maintenance"/>
    <m/>
    <m/>
    <m/>
    <m/>
    <m/>
    <m/>
    <m/>
    <x v="1692"/>
    <m/>
    <m/>
  </r>
  <r>
    <x v="25"/>
    <d v="2024-05-05T00:00:00"/>
    <s v="Cash Rewards Visa Signature - Ending in 5913"/>
    <x v="382"/>
    <n v="27.2"/>
    <x v="28"/>
    <m/>
    <m/>
    <m/>
    <m/>
    <m/>
    <m/>
    <m/>
    <m/>
    <x v="369"/>
    <m/>
    <m/>
  </r>
  <r>
    <x v="25"/>
    <d v="2024-05-07T00:00:00"/>
    <s v="Cash Rewards Visa Signature - Ending in 5913"/>
    <x v="4502"/>
    <n v="100"/>
    <x v="10"/>
    <m/>
    <m/>
    <m/>
    <m/>
    <m/>
    <m/>
    <m/>
    <m/>
    <x v="3996"/>
    <m/>
    <m/>
  </r>
  <r>
    <x v="25"/>
    <d v="2024-05-07T00:00:00"/>
    <s v="Delta Skymiles Platinum Card ( X ) - Ending in 1007"/>
    <x v="823"/>
    <n v="50.4"/>
    <x v="2"/>
    <s v="Transportation"/>
    <m/>
    <m/>
    <m/>
    <m/>
    <m/>
    <m/>
    <m/>
    <x v="792"/>
    <m/>
    <m/>
  </r>
  <r>
    <x v="25"/>
    <d v="2024-05-07T00:00:00"/>
    <s v="Powerplus - Ending in 8s30"/>
    <x v="1987"/>
    <n v="194.39"/>
    <x v="11"/>
    <m/>
    <m/>
    <m/>
    <m/>
    <m/>
    <m/>
    <m/>
    <m/>
    <x v="1837"/>
    <m/>
    <m/>
  </r>
  <r>
    <x v="25"/>
    <d v="2024-05-07T00:00:00"/>
    <s v="Delta Skymiles Platinum Card ( X ) - Ending in 1007"/>
    <x v="4617"/>
    <n v="467.07"/>
    <x v="8"/>
    <s v="Dry Cleaning"/>
    <s v="Exp - Shopping"/>
    <m/>
    <m/>
    <m/>
    <m/>
    <m/>
    <m/>
    <x v="4092"/>
    <m/>
    <m/>
  </r>
  <r>
    <x v="25"/>
    <d v="2024-05-07T00:00:00"/>
    <s v="Delta Skymiles Platinum Card ( X ) - Ending in 1007"/>
    <x v="4617"/>
    <n v="87.21"/>
    <x v="8"/>
    <s v="Dry Cleaning"/>
    <s v="Exp - Shopping"/>
    <m/>
    <m/>
    <m/>
    <m/>
    <m/>
    <m/>
    <x v="4092"/>
    <m/>
    <m/>
  </r>
  <r>
    <x v="25"/>
    <d v="2024-05-08T00:00:00"/>
    <s v="Delta Skymiles Platinum Card ( X ) - Ending in 1007"/>
    <x v="4618"/>
    <n v="48.99"/>
    <x v="4"/>
    <s v="Target"/>
    <s v="Exp - Day Care"/>
    <m/>
    <m/>
    <m/>
    <m/>
    <m/>
    <m/>
    <x v="4093"/>
    <m/>
    <m/>
  </r>
  <r>
    <x v="25"/>
    <d v="2024-05-08T00:00:00"/>
    <s v="Powerplus - Ending in 8s30"/>
    <x v="1869"/>
    <n v="122.98"/>
    <x v="11"/>
    <m/>
    <m/>
    <m/>
    <m/>
    <m/>
    <m/>
    <m/>
    <m/>
    <x v="1723"/>
    <m/>
    <m/>
  </r>
  <r>
    <x v="25"/>
    <d v="2024-05-09T00:00:00"/>
    <s v="Powerplus - Ending in 8s30"/>
    <x v="1893"/>
    <n v="-2697.1"/>
    <x v="34"/>
    <m/>
    <m/>
    <m/>
    <m/>
    <m/>
    <m/>
    <m/>
    <m/>
    <x v="1746"/>
    <m/>
    <m/>
  </r>
  <r>
    <x v="25"/>
    <d v="2024-05-09T00:00:00"/>
    <s v="Delta Skymiles Platinum Card ( X ) - Ending in 1007"/>
    <x v="4572"/>
    <n v="118.17"/>
    <x v="5"/>
    <s v="Groceries"/>
    <s v="Exp - Groceries"/>
    <m/>
    <m/>
    <m/>
    <m/>
    <m/>
    <m/>
    <x v="4053"/>
    <m/>
    <m/>
  </r>
  <r>
    <x v="25"/>
    <d v="2024-05-09T00:00:00"/>
    <s v="Cash Rewards Visa Signature - Ending in 5913"/>
    <x v="1867"/>
    <n v="47.69"/>
    <x v="27"/>
    <m/>
    <m/>
    <m/>
    <m/>
    <m/>
    <m/>
    <m/>
    <m/>
    <x v="1721"/>
    <m/>
    <m/>
  </r>
  <r>
    <x v="25"/>
    <d v="2024-05-09T00:00:00"/>
    <s v="Cash Rewards Visa Signature - Ending in 5913"/>
    <x v="1837"/>
    <n v="44.21"/>
    <x v="19"/>
    <m/>
    <m/>
    <m/>
    <m/>
    <m/>
    <m/>
    <m/>
    <m/>
    <x v="1692"/>
    <m/>
    <m/>
  </r>
  <r>
    <x v="25"/>
    <d v="2024-05-10T00:00:00"/>
    <s v="Delta Skymiles Platinum Card ( X ) - Ending in 1007"/>
    <x v="1895"/>
    <n v="96.67"/>
    <x v="0"/>
    <s v="Amazon"/>
    <m/>
    <m/>
    <m/>
    <m/>
    <m/>
    <m/>
    <m/>
    <x v="1748"/>
    <m/>
    <m/>
  </r>
  <r>
    <x v="25"/>
    <d v="2024-05-10T00:00:00"/>
    <s v="Delta Skymiles Platinum Card ( X ) - Ending in 1007"/>
    <x v="4619"/>
    <n v="100"/>
    <x v="10"/>
    <s v="Delete - Online Services"/>
    <s v="Exp - Entertainment"/>
    <m/>
    <m/>
    <m/>
    <m/>
    <m/>
    <m/>
    <x v="4094"/>
    <m/>
    <m/>
  </r>
  <r>
    <x v="25"/>
    <d v="2024-05-10T00:00:00"/>
    <s v="Delta Skymiles Platinum Card ( X ) - Ending in 1007"/>
    <x v="4584"/>
    <n v="137.24"/>
    <x v="5"/>
    <s v="Groceries"/>
    <s v="Exp - Groceries"/>
    <m/>
    <m/>
    <m/>
    <m/>
    <m/>
    <m/>
    <x v="4063"/>
    <m/>
    <m/>
  </r>
  <r>
    <x v="62"/>
    <d v="2024-08-25T00:00:00"/>
    <s v="Delta Skymiles Platinum Card ( X ) - Ending in 1007"/>
    <x v="1861"/>
    <n v="618.48"/>
    <x v="3"/>
    <s v="Empyrean Travel"/>
    <m/>
    <m/>
    <m/>
    <m/>
    <m/>
    <m/>
    <m/>
    <x v="1715"/>
    <m/>
    <m/>
  </r>
  <r>
    <x v="25"/>
    <d v="2024-05-10T00:00:00"/>
    <s v="Cash Rewards Visa Signature - Ending in 5913"/>
    <x v="1837"/>
    <n v="269.93"/>
    <x v="19"/>
    <m/>
    <m/>
    <m/>
    <m/>
    <m/>
    <m/>
    <m/>
    <m/>
    <x v="1692"/>
    <m/>
    <m/>
  </r>
  <r>
    <x v="25"/>
    <d v="2024-05-10T00:00:00"/>
    <s v="Delta Skymiles Platinum Card ( X ) - Ending in 1007"/>
    <x v="4617"/>
    <n v="305.27"/>
    <x v="8"/>
    <s v="Dry Cleaning"/>
    <s v="Exp - Shopping"/>
    <m/>
    <m/>
    <m/>
    <m/>
    <m/>
    <m/>
    <x v="4092"/>
    <m/>
    <m/>
  </r>
  <r>
    <x v="25"/>
    <d v="2024-05-11T00:00:00"/>
    <s v="Delta Skymiles Platinum Card ( X ) - Ending in 1007"/>
    <x v="77"/>
    <n v="276"/>
    <x v="8"/>
    <s v="Shopping"/>
    <m/>
    <m/>
    <m/>
    <m/>
    <m/>
    <m/>
    <m/>
    <x v="77"/>
    <m/>
    <m/>
  </r>
  <r>
    <x v="25"/>
    <d v="2024-05-11T00:00:00"/>
    <s v="Delta Skymiles Platinum Card ( X ) - Ending in 1007"/>
    <x v="4620"/>
    <n v="81.42"/>
    <x v="8"/>
    <s v="Shopping"/>
    <s v="Exp - Shopping"/>
    <m/>
    <m/>
    <m/>
    <m/>
    <m/>
    <m/>
    <x v="4095"/>
    <m/>
    <m/>
  </r>
  <r>
    <x v="25"/>
    <d v="2024-05-11T00:00:00"/>
    <s v="Delta Skymiles Platinum Card ( X ) - Ending in 1007"/>
    <x v="3945"/>
    <n v="63.29"/>
    <x v="1"/>
    <s v="Restaurants"/>
    <m/>
    <m/>
    <m/>
    <m/>
    <m/>
    <m/>
    <m/>
    <x v="3490"/>
    <m/>
    <m/>
  </r>
  <r>
    <x v="25"/>
    <d v="2024-05-12T00:00:00"/>
    <s v="Cash Rewards Visa Signature - Ending in 5913"/>
    <x v="0"/>
    <n v="6.29"/>
    <x v="0"/>
    <m/>
    <m/>
    <m/>
    <m/>
    <m/>
    <m/>
    <m/>
    <m/>
    <x v="0"/>
    <m/>
    <m/>
  </r>
  <r>
    <x v="62"/>
    <d v="2024-08-25T00:00:00"/>
    <s v="Delta Skymiles Platinum Card ( X ) - Ending in 1007"/>
    <x v="1861"/>
    <n v="228.48"/>
    <x v="3"/>
    <s v="Empyrean Travel"/>
    <m/>
    <m/>
    <m/>
    <m/>
    <m/>
    <m/>
    <m/>
    <x v="1715"/>
    <m/>
    <m/>
  </r>
  <r>
    <x v="25"/>
    <d v="2024-05-12T00:00:00"/>
    <s v="Cash Rewards Visa Signature - Ending in 5913"/>
    <x v="4140"/>
    <n v="5.99"/>
    <x v="10"/>
    <m/>
    <m/>
    <m/>
    <m/>
    <m/>
    <m/>
    <m/>
    <m/>
    <x v="3674"/>
    <m/>
    <m/>
  </r>
  <r>
    <x v="25"/>
    <d v="2024-05-12T00:00:00"/>
    <s v="Delta Skymiles Platinum Card ( X ) - Ending in 1007"/>
    <x v="4621"/>
    <n v="355.99"/>
    <x v="1"/>
    <s v="Delete - Online Services"/>
    <s v="Exp - Restaurants"/>
    <m/>
    <m/>
    <m/>
    <m/>
    <m/>
    <m/>
    <x v="4096"/>
    <m/>
    <m/>
  </r>
  <r>
    <x v="25"/>
    <d v="2024-05-12T00:00:00"/>
    <s v="Cash Rewards Visa Signature - Ending in 5913"/>
    <x v="99"/>
    <n v="25.6"/>
    <x v="11"/>
    <m/>
    <m/>
    <m/>
    <m/>
    <m/>
    <m/>
    <m/>
    <m/>
    <x v="99"/>
    <m/>
    <m/>
  </r>
  <r>
    <x v="62"/>
    <d v="2024-08-25T00:00:00"/>
    <s v="Delta Skymiles Platinum Card ( X ) - Ending in 1007"/>
    <x v="1861"/>
    <n v="165.47"/>
    <x v="3"/>
    <s v="Empyrean Travel"/>
    <m/>
    <m/>
    <m/>
    <m/>
    <m/>
    <m/>
    <m/>
    <x v="1715"/>
    <m/>
    <m/>
  </r>
  <r>
    <x v="25"/>
    <d v="2024-05-13T00:00:00"/>
    <s v="Cash Rewards Visa Signature - Ending in 5913"/>
    <x v="0"/>
    <n v="28.67"/>
    <x v="0"/>
    <m/>
    <m/>
    <m/>
    <m/>
    <m/>
    <m/>
    <m/>
    <m/>
    <x v="0"/>
    <m/>
    <m/>
  </r>
  <r>
    <x v="25"/>
    <d v="2024-05-13T00:00:00"/>
    <s v="Cash Rewards Visa Signature - Ending in 5913"/>
    <x v="4622"/>
    <n v="35.4"/>
    <x v="1"/>
    <m/>
    <s v="Exp - Restaurants"/>
    <m/>
    <m/>
    <m/>
    <m/>
    <m/>
    <m/>
    <x v="4097"/>
    <m/>
    <m/>
  </r>
  <r>
    <x v="25"/>
    <d v="2024-05-13T00:00:00"/>
    <s v="Delta Skymiles Platinum Card ( X ) - Ending in 1007"/>
    <x v="4623"/>
    <n v="24"/>
    <x v="10"/>
    <s v="Delete - Online Services"/>
    <s v="Exp - Entertainment"/>
    <m/>
    <m/>
    <m/>
    <m/>
    <m/>
    <m/>
    <x v="4098"/>
    <m/>
    <m/>
  </r>
  <r>
    <x v="62"/>
    <d v="2024-08-25T00:00:00"/>
    <s v="Delta Skymiles Platinum Card ( X ) - Ending in 1007"/>
    <x v="1861"/>
    <n v="268.48"/>
    <x v="3"/>
    <s v="Empyrean Travel"/>
    <m/>
    <m/>
    <m/>
    <m/>
    <m/>
    <m/>
    <m/>
    <x v="1715"/>
    <m/>
    <m/>
  </r>
  <r>
    <x v="25"/>
    <d v="2024-05-13T00:00:00"/>
    <s v="Cash Rewards Visa Signature - Ending in 5913"/>
    <x v="1993"/>
    <n v="45"/>
    <x v="11"/>
    <m/>
    <m/>
    <m/>
    <m/>
    <m/>
    <m/>
    <m/>
    <m/>
    <x v="1843"/>
    <m/>
    <m/>
  </r>
  <r>
    <x v="25"/>
    <d v="2024-05-13T00:00:00"/>
    <s v="Delta Skymiles Platinum Card ( X ) - Ending in 1007"/>
    <x v="4624"/>
    <n v="156"/>
    <x v="8"/>
    <s v="Shopping"/>
    <s v="Exp - Shopping"/>
    <m/>
    <m/>
    <m/>
    <m/>
    <m/>
    <m/>
    <x v="4099"/>
    <m/>
    <m/>
  </r>
  <r>
    <x v="25"/>
    <d v="2024-05-13T00:00:00"/>
    <s v="Delta Skymiles Platinum Card ( X ) - Ending in 1007"/>
    <x v="4188"/>
    <n v="266"/>
    <x v="8"/>
    <s v="Shopping"/>
    <m/>
    <m/>
    <m/>
    <m/>
    <m/>
    <m/>
    <m/>
    <x v="3717"/>
    <m/>
    <m/>
  </r>
  <r>
    <x v="25"/>
    <d v="2024-05-13T00:00:00"/>
    <s v="Powerplus - Ending in 8s30"/>
    <x v="4625"/>
    <n v="97.57"/>
    <x v="8"/>
    <m/>
    <s v="Exp - Shopping"/>
    <m/>
    <m/>
    <m/>
    <m/>
    <m/>
    <m/>
    <x v="4100"/>
    <m/>
    <m/>
  </r>
  <r>
    <x v="25"/>
    <d v="2024-05-14T00:00:00"/>
    <s v="Delta Skymiles Platinum Card ( X ) - Ending in 1007"/>
    <x v="4626"/>
    <n v="60"/>
    <x v="8"/>
    <s v="Shopping"/>
    <s v="Exp - Shopping"/>
    <m/>
    <m/>
    <m/>
    <m/>
    <m/>
    <m/>
    <x v="4101"/>
    <m/>
    <m/>
  </r>
  <r>
    <x v="25"/>
    <d v="2024-05-14T00:00:00"/>
    <s v="Powerplus - Ending in 8s30"/>
    <x v="3684"/>
    <n v="-3345.75"/>
    <x v="57"/>
    <m/>
    <m/>
    <m/>
    <m/>
    <m/>
    <m/>
    <m/>
    <m/>
    <x v="3245"/>
    <m/>
    <m/>
  </r>
  <r>
    <x v="25"/>
    <d v="2024-05-14T00:00:00"/>
    <s v="Powerplus - Ending in 8s30"/>
    <x v="1849"/>
    <n v="130"/>
    <x v="8"/>
    <m/>
    <m/>
    <m/>
    <m/>
    <m/>
    <m/>
    <m/>
    <m/>
    <x v="1704"/>
    <m/>
    <m/>
  </r>
  <r>
    <x v="25"/>
    <d v="2024-05-15T00:00:00"/>
    <s v="Cash Rewards Visa Signature - Ending in 5913"/>
    <x v="4627"/>
    <n v="14.08"/>
    <x v="0"/>
    <m/>
    <s v="Exp - Amazon"/>
    <m/>
    <m/>
    <m/>
    <m/>
    <m/>
    <m/>
    <x v="4102"/>
    <m/>
    <m/>
  </r>
  <r>
    <x v="25"/>
    <d v="2024-05-15T00:00:00"/>
    <s v="Cash Rewards Visa Signature - Ending in 5913"/>
    <x v="4628"/>
    <n v="24.37"/>
    <x v="0"/>
    <m/>
    <s v="Exp - Amazon"/>
    <m/>
    <m/>
    <m/>
    <m/>
    <m/>
    <m/>
    <x v="4103"/>
    <m/>
    <m/>
  </r>
  <r>
    <x v="25"/>
    <d v="2024-05-15T00:00:00"/>
    <s v="Delta Skymiles Platinum Card ( X ) - Ending in 1007"/>
    <x v="4581"/>
    <n v="-41.65"/>
    <x v="8"/>
    <s v="Refunds &amp; Reimbursements"/>
    <s v="Exp - Shopping"/>
    <m/>
    <m/>
    <m/>
    <m/>
    <m/>
    <m/>
    <x v="4060"/>
    <m/>
    <m/>
  </r>
  <r>
    <x v="25"/>
    <d v="2024-05-15T00:00:00"/>
    <s v="Delta Skymiles Platinum Card ( X ) - Ending in 1007"/>
    <x v="4581"/>
    <n v="-12.64"/>
    <x v="8"/>
    <s v="Refunds &amp; Reimbursements"/>
    <s v="Exp - Shopping"/>
    <m/>
    <m/>
    <m/>
    <m/>
    <m/>
    <m/>
    <x v="4060"/>
    <m/>
    <m/>
  </r>
  <r>
    <x v="25"/>
    <d v="2024-05-15T00:00:00"/>
    <s v="Delta Skymiles Platinum Card ( X ) - Ending in 1007"/>
    <x v="1881"/>
    <n v="0.04"/>
    <x v="5"/>
    <s v="Groceries"/>
    <m/>
    <m/>
    <m/>
    <m/>
    <m/>
    <m/>
    <m/>
    <x v="1734"/>
    <m/>
    <m/>
  </r>
  <r>
    <x v="25"/>
    <d v="2024-05-15T00:00:00"/>
    <s v="Delta Skymiles Platinum Card ( X ) - Ending in 1007"/>
    <x v="1881"/>
    <n v="65.48"/>
    <x v="5"/>
    <s v="Groceries"/>
    <m/>
    <m/>
    <m/>
    <m/>
    <m/>
    <m/>
    <m/>
    <x v="1734"/>
    <m/>
    <m/>
  </r>
  <r>
    <x v="25"/>
    <d v="2024-05-15T00:00:00"/>
    <s v="Delta Skymiles Platinum Card ( X ) - Ending in 1007"/>
    <x v="4629"/>
    <n v="17.61"/>
    <x v="1"/>
    <s v="Restaurants"/>
    <s v="Exp - Restaurants"/>
    <m/>
    <m/>
    <m/>
    <m/>
    <m/>
    <m/>
    <x v="4104"/>
    <m/>
    <m/>
  </r>
  <r>
    <x v="25"/>
    <d v="2024-05-15T00:00:00"/>
    <s v="Cash Rewards Visa Signature - Ending in 5913"/>
    <x v="1837"/>
    <n v="18.39"/>
    <x v="19"/>
    <m/>
    <m/>
    <m/>
    <m/>
    <m/>
    <m/>
    <m/>
    <m/>
    <x v="1692"/>
    <m/>
    <m/>
  </r>
  <r>
    <x v="25"/>
    <d v="2024-05-15T00:00:00"/>
    <s v="Delta Skymiles Platinum Card ( X ) - Ending in 1007"/>
    <x v="1837"/>
    <n v="21.66"/>
    <x v="19"/>
    <s v="Delete - Home Improvement"/>
    <m/>
    <m/>
    <m/>
    <m/>
    <m/>
    <m/>
    <m/>
    <x v="1692"/>
    <m/>
    <m/>
  </r>
  <r>
    <x v="25"/>
    <d v="2024-05-15T00:00:00"/>
    <s v="Delta Skymiles Platinum Card ( X ) - Ending in 1007"/>
    <x v="4630"/>
    <n v="-243.01"/>
    <x v="8"/>
    <s v="Refunds &amp; Reimbursements"/>
    <s v="Exp - Shopping"/>
    <m/>
    <m/>
    <m/>
    <m/>
    <m/>
    <m/>
    <x v="4105"/>
    <m/>
    <m/>
  </r>
  <r>
    <x v="25"/>
    <d v="2024-05-16T00:00:00"/>
    <s v="Delta Skymiles Platinum Card ( X ) - Ending in 1007"/>
    <x v="4631"/>
    <n v="38.24"/>
    <x v="10"/>
    <s v="Entertainment"/>
    <s v="Exp - Entertainment"/>
    <m/>
    <m/>
    <m/>
    <m/>
    <m/>
    <m/>
    <x v="4106"/>
    <m/>
    <m/>
  </r>
  <r>
    <x v="25"/>
    <d v="2024-05-16T00:00:00"/>
    <s v="Delta Skymiles Platinum Card ( X ) - Ending in 1007"/>
    <x v="4572"/>
    <n v="120.06"/>
    <x v="5"/>
    <s v="Groceries"/>
    <s v="Exp - Groceries"/>
    <m/>
    <m/>
    <m/>
    <m/>
    <m/>
    <m/>
    <x v="4053"/>
    <m/>
    <m/>
  </r>
  <r>
    <x v="25"/>
    <d v="2024-05-16T00:00:00"/>
    <s v="Delta Skymiles Platinum Card ( X ) - Ending in 1007"/>
    <x v="823"/>
    <n v="42.76"/>
    <x v="2"/>
    <s v="Transportation"/>
    <m/>
    <m/>
    <m/>
    <m/>
    <m/>
    <m/>
    <m/>
    <x v="792"/>
    <m/>
    <m/>
  </r>
  <r>
    <x v="25"/>
    <d v="2024-05-16T00:00:00"/>
    <s v="Cash Rewards Visa Signature - Ending in 5913"/>
    <x v="4632"/>
    <n v="101.97"/>
    <x v="20"/>
    <m/>
    <s v="Exp - Dry Cleaning"/>
    <m/>
    <m/>
    <m/>
    <m/>
    <m/>
    <m/>
    <x v="4107"/>
    <m/>
    <m/>
  </r>
  <r>
    <x v="25"/>
    <d v="2024-05-16T00:00:00"/>
    <s v="Powerplus - Ending in 8s30"/>
    <x v="4633"/>
    <n v="692"/>
    <x v="4"/>
    <m/>
    <s v="Exp - Day Care"/>
    <m/>
    <m/>
    <m/>
    <m/>
    <m/>
    <m/>
    <x v="4108"/>
    <m/>
    <m/>
  </r>
  <r>
    <x v="25"/>
    <d v="2024-05-17T00:00:00"/>
    <s v="Delta Skymiles Platinum Card ( X ) - Ending in 1007"/>
    <x v="4634"/>
    <n v="89.85"/>
    <x v="1"/>
    <s v="Delete - Other Expenses"/>
    <s v="Exp - Restaurants"/>
    <m/>
    <m/>
    <m/>
    <m/>
    <m/>
    <m/>
    <x v="4109"/>
    <m/>
    <m/>
  </r>
  <r>
    <x v="25"/>
    <d v="2024-05-18T00:00:00"/>
    <s v="Delta Skymiles Platinum Card ( X ) - Ending in 1007"/>
    <x v="1895"/>
    <n v="-12.99"/>
    <x v="0"/>
    <s v="Amazon"/>
    <m/>
    <m/>
    <m/>
    <m/>
    <m/>
    <m/>
    <m/>
    <x v="1748"/>
    <m/>
    <m/>
  </r>
  <r>
    <x v="25"/>
    <d v="2024-05-18T00:00:00"/>
    <s v="Delta Skymiles Platinum Card ( X ) - Ending in 1007"/>
    <x v="4635"/>
    <n v="26.78"/>
    <x v="8"/>
    <s v="Shopping"/>
    <s v="Exp - Shopping"/>
    <m/>
    <m/>
    <m/>
    <m/>
    <m/>
    <m/>
    <x v="4110"/>
    <m/>
    <m/>
  </r>
  <r>
    <x v="25"/>
    <d v="2024-05-18T00:00:00"/>
    <s v="Delta Skymiles Platinum Card ( X ) - Ending in 1007"/>
    <x v="150"/>
    <n v="21.68"/>
    <x v="24"/>
    <s v="Entertainment"/>
    <s v="Exp - Travel"/>
    <m/>
    <m/>
    <m/>
    <m/>
    <m/>
    <m/>
    <x v="149"/>
    <m/>
    <m/>
  </r>
  <r>
    <x v="25"/>
    <d v="2024-05-18T00:00:00"/>
    <s v="Delta Skymiles Platinum Card ( X ) - Ending in 1007"/>
    <x v="55"/>
    <n v="15.66"/>
    <x v="5"/>
    <s v="Healthcare"/>
    <m/>
    <m/>
    <m/>
    <m/>
    <m/>
    <m/>
    <m/>
    <x v="55"/>
    <m/>
    <m/>
  </r>
  <r>
    <x v="25"/>
    <d v="2024-05-19T00:00:00"/>
    <s v="Cash Rewards Visa Signature - Ending in 5913"/>
    <x v="1895"/>
    <n v="-24.37"/>
    <x v="0"/>
    <m/>
    <m/>
    <m/>
    <m/>
    <m/>
    <m/>
    <m/>
    <m/>
    <x v="1748"/>
    <m/>
    <m/>
  </r>
  <r>
    <x v="25"/>
    <d v="2024-05-19T00:00:00"/>
    <s v="Cash Rewards Visa Signature - Ending in 5913"/>
    <x v="4636"/>
    <n v="40.950000000000003"/>
    <x v="0"/>
    <m/>
    <s v="Exp - Amazon"/>
    <m/>
    <m/>
    <m/>
    <m/>
    <m/>
    <m/>
    <x v="4111"/>
    <m/>
    <m/>
  </r>
  <r>
    <x v="25"/>
    <d v="2024-05-19T00:00:00"/>
    <s v="Cash Rewards Visa Signature - Ending in 5913"/>
    <x v="4637"/>
    <n v="-24"/>
    <x v="4"/>
    <m/>
    <s v="Exp - Day Care"/>
    <m/>
    <m/>
    <m/>
    <m/>
    <m/>
    <m/>
    <x v="4112"/>
    <m/>
    <m/>
  </r>
  <r>
    <x v="25"/>
    <d v="2024-05-19T00:00:00"/>
    <s v="Delta Skymiles Platinum Card ( X ) - Ending in 1007"/>
    <x v="6"/>
    <n v="41.37"/>
    <x v="5"/>
    <s v="Groceries"/>
    <m/>
    <m/>
    <m/>
    <m/>
    <m/>
    <m/>
    <m/>
    <x v="6"/>
    <m/>
    <m/>
  </r>
  <r>
    <x v="25"/>
    <d v="2024-05-20T00:00:00"/>
    <s v="Delta Skymiles Platinum Card ( X ) - Ending in 1007"/>
    <x v="1895"/>
    <n v="162.51"/>
    <x v="0"/>
    <s v="Amazon"/>
    <m/>
    <m/>
    <m/>
    <m/>
    <m/>
    <m/>
    <m/>
    <x v="1748"/>
    <m/>
    <m/>
  </r>
  <r>
    <x v="25"/>
    <d v="2024-05-20T00:00:00"/>
    <s v="Cash Rewards Visa Signature - Ending in 5913"/>
    <x v="4168"/>
    <n v="1.99"/>
    <x v="11"/>
    <m/>
    <m/>
    <m/>
    <m/>
    <m/>
    <m/>
    <m/>
    <m/>
    <x v="3699"/>
    <m/>
    <m/>
  </r>
  <r>
    <x v="25"/>
    <d v="2024-05-20T00:00:00"/>
    <s v="Delta Skymiles Platinum Card ( X ) - Ending in 1007"/>
    <x v="577"/>
    <n v="11.16"/>
    <x v="1"/>
    <s v="Restaurants"/>
    <m/>
    <m/>
    <m/>
    <m/>
    <m/>
    <m/>
    <m/>
    <x v="558"/>
    <m/>
    <m/>
  </r>
  <r>
    <x v="25"/>
    <d v="2024-05-20T00:00:00"/>
    <s v="Delta Skymiles Platinum Card ( X ) - Ending in 1007"/>
    <x v="4585"/>
    <n v="-113.3"/>
    <x v="25"/>
    <s v="Refunds &amp; Reimbursements"/>
    <s v="Exp - Healthcare"/>
    <m/>
    <m/>
    <m/>
    <m/>
    <m/>
    <m/>
    <x v="4064"/>
    <m/>
    <m/>
  </r>
  <r>
    <x v="25"/>
    <d v="2024-05-20T00:00:00"/>
    <s v="Powerplus - Ending in 8s30"/>
    <x v="1849"/>
    <n v="2.99"/>
    <x v="8"/>
    <m/>
    <m/>
    <m/>
    <m/>
    <m/>
    <m/>
    <m/>
    <m/>
    <x v="1704"/>
    <m/>
    <m/>
  </r>
  <r>
    <x v="25"/>
    <d v="2024-05-20T00:00:00"/>
    <s v="Powerplus - Ending in 8s30"/>
    <x v="1827"/>
    <n v="189.79"/>
    <x v="8"/>
    <m/>
    <m/>
    <m/>
    <m/>
    <m/>
    <m/>
    <m/>
    <m/>
    <x v="1682"/>
    <m/>
    <m/>
  </r>
  <r>
    <x v="25"/>
    <d v="2024-05-20T00:00:00"/>
    <s v="Powerplus - Ending in 8s30"/>
    <x v="4638"/>
    <n v="650"/>
    <x v="4"/>
    <m/>
    <s v="Exp - Day Care"/>
    <m/>
    <m/>
    <m/>
    <m/>
    <m/>
    <m/>
    <x v="3267"/>
    <m/>
    <m/>
  </r>
  <r>
    <x v="25"/>
    <d v="2024-05-20T00:00:00"/>
    <s v="Delta Skymiles Platinum Card ( X ) - Ending in 1007"/>
    <x v="4617"/>
    <n v="-381.58"/>
    <x v="8"/>
    <s v="Refunds &amp; Reimbursements"/>
    <s v="Exp - Shopping"/>
    <m/>
    <m/>
    <m/>
    <m/>
    <m/>
    <m/>
    <x v="4092"/>
    <m/>
    <m/>
  </r>
  <r>
    <x v="25"/>
    <d v="2024-05-21T00:00:00"/>
    <s v="Cash Rewards Visa Signature - Ending in 5913"/>
    <x v="4639"/>
    <n v="11"/>
    <x v="19"/>
    <m/>
    <s v="Exp - House Maint"/>
    <m/>
    <m/>
    <m/>
    <m/>
    <m/>
    <m/>
    <x v="4113"/>
    <m/>
    <m/>
  </r>
  <r>
    <x v="25"/>
    <d v="2024-05-21T00:00:00"/>
    <s v="Delta Skymiles Platinum Card ( X ) - Ending in 1007"/>
    <x v="6"/>
    <n v="66.099999999999994"/>
    <x v="5"/>
    <s v="Groceries"/>
    <m/>
    <m/>
    <m/>
    <m/>
    <m/>
    <m/>
    <m/>
    <x v="6"/>
    <m/>
    <m/>
  </r>
  <r>
    <x v="65"/>
    <d v="2024-09-06T00:00:00"/>
    <s v="Delta Skymiles Platinum Card ( X ) - Ending in 1025"/>
    <x v="1861"/>
    <n v="343.48"/>
    <x v="3"/>
    <m/>
    <s v="Delete"/>
    <m/>
    <m/>
    <m/>
    <m/>
    <m/>
    <m/>
    <x v="1715"/>
    <m/>
    <m/>
  </r>
  <r>
    <x v="25"/>
    <d v="2024-05-21T00:00:00"/>
    <s v="Cash Rewards Visa Signature - Ending in 5913"/>
    <x v="4640"/>
    <n v="1.75"/>
    <x v="2"/>
    <m/>
    <s v="Exp - Transportation"/>
    <m/>
    <m/>
    <m/>
    <m/>
    <m/>
    <m/>
    <x v="4114"/>
    <m/>
    <m/>
  </r>
  <r>
    <x v="25"/>
    <d v="2024-05-21T00:00:00"/>
    <s v="Cash Rewards Visa Signature - Ending in 5913"/>
    <x v="4641"/>
    <n v="0.75"/>
    <x v="2"/>
    <m/>
    <s v="Exp - Transportation"/>
    <m/>
    <m/>
    <m/>
    <m/>
    <m/>
    <m/>
    <x v="4115"/>
    <m/>
    <m/>
  </r>
  <r>
    <x v="25"/>
    <d v="2024-05-21T00:00:00"/>
    <s v="Powerplus - Ending in 8s30"/>
    <x v="4642"/>
    <n v="45.67"/>
    <x v="11"/>
    <m/>
    <s v="Exp - Utilities"/>
    <m/>
    <m/>
    <m/>
    <m/>
    <m/>
    <m/>
    <x v="3287"/>
    <m/>
    <m/>
  </r>
  <r>
    <x v="25"/>
    <d v="2024-05-22T00:00:00"/>
    <s v="Delta Skymiles Platinum Card ( X ) - Ending in 1007"/>
    <x v="4214"/>
    <n v="79.56"/>
    <x v="20"/>
    <s v="Shopping"/>
    <m/>
    <m/>
    <m/>
    <m/>
    <m/>
    <m/>
    <m/>
    <x v="3741"/>
    <m/>
    <m/>
  </r>
  <r>
    <x v="25"/>
    <d v="2024-05-22T00:00:00"/>
    <s v="Cash Rewards Visa Signature - Ending in 5913"/>
    <x v="4643"/>
    <n v="68.03"/>
    <x v="0"/>
    <m/>
    <s v="Exp - Amazon"/>
    <m/>
    <m/>
    <m/>
    <m/>
    <m/>
    <m/>
    <x v="4116"/>
    <m/>
    <m/>
  </r>
  <r>
    <x v="65"/>
    <d v="2024-09-22T00:00:00"/>
    <s v="American Express"/>
    <x v="1861"/>
    <n v="118.4"/>
    <x v="3"/>
    <m/>
    <s v="Delete"/>
    <m/>
    <m/>
    <m/>
    <m/>
    <m/>
    <m/>
    <x v="1715"/>
    <m/>
    <m/>
  </r>
  <r>
    <x v="25"/>
    <d v="2024-05-22T00:00:00"/>
    <s v="Delta Skymiles Platinum Card ( X ) - Ending in 1007"/>
    <x v="4389"/>
    <n v="13.23"/>
    <x v="1"/>
    <s v="Restaurants"/>
    <m/>
    <m/>
    <m/>
    <m/>
    <m/>
    <m/>
    <m/>
    <x v="3895"/>
    <m/>
    <m/>
  </r>
  <r>
    <x v="25"/>
    <d v="2024-05-22T00:00:00"/>
    <s v="Delta Skymiles Platinum Card ( X ) - Ending in 1007"/>
    <x v="4389"/>
    <n v="47.73"/>
    <x v="1"/>
    <s v="Restaurants"/>
    <m/>
    <m/>
    <m/>
    <m/>
    <m/>
    <m/>
    <m/>
    <x v="3895"/>
    <m/>
    <m/>
  </r>
  <r>
    <x v="25"/>
    <d v="2024-05-22T00:00:00"/>
    <s v="Powerplus - Ending in 8s30"/>
    <x v="4644"/>
    <n v="346"/>
    <x v="4"/>
    <m/>
    <s v="Exp - Day Care"/>
    <m/>
    <m/>
    <m/>
    <m/>
    <m/>
    <m/>
    <x v="4108"/>
    <m/>
    <m/>
  </r>
  <r>
    <x v="25"/>
    <d v="2024-05-23T00:00:00"/>
    <s v="Powerplus - Ending in 8s30"/>
    <x v="1893"/>
    <n v="-2666.32"/>
    <x v="34"/>
    <m/>
    <m/>
    <m/>
    <m/>
    <m/>
    <m/>
    <m/>
    <m/>
    <x v="1746"/>
    <m/>
    <m/>
  </r>
  <r>
    <x v="45"/>
    <d v="2022-09-01T00:00:00"/>
    <s v="POWERPLUS"/>
    <x v="4645"/>
    <n v="2606.27"/>
    <x v="3"/>
    <e v="#N/A"/>
    <s v="Delete"/>
    <m/>
    <n v="2606.27"/>
    <m/>
    <m/>
    <s v="debit"/>
    <m/>
    <x v="4019"/>
    <m/>
    <m/>
  </r>
  <r>
    <x v="25"/>
    <d v="2024-05-24T00:00:00"/>
    <s v="Delta Skymiles Platinum Card ( X ) - Ending in 1007"/>
    <x v="57"/>
    <n v="146.80000000000001"/>
    <x v="25"/>
    <s v="Groceries"/>
    <m/>
    <m/>
    <m/>
    <m/>
    <m/>
    <m/>
    <m/>
    <x v="57"/>
    <m/>
    <m/>
  </r>
  <r>
    <x v="25"/>
    <d v="2024-05-24T00:00:00"/>
    <s v="Cash Rewards Visa Signature - Ending in 5913"/>
    <x v="1895"/>
    <n v="26.26"/>
    <x v="0"/>
    <m/>
    <m/>
    <m/>
    <m/>
    <m/>
    <m/>
    <m/>
    <m/>
    <x v="1748"/>
    <m/>
    <m/>
  </r>
  <r>
    <x v="25"/>
    <d v="2024-05-24T00:00:00"/>
    <s v="Delta Skymiles Platinum Card ( X ) - Ending in 1007"/>
    <x v="4646"/>
    <n v="98.09"/>
    <x v="19"/>
    <s v="College Savings"/>
    <s v="Exp - House Maint"/>
    <m/>
    <m/>
    <m/>
    <m/>
    <m/>
    <m/>
    <x v="4117"/>
    <m/>
    <m/>
  </r>
  <r>
    <x v="25"/>
    <d v="2024-05-24T00:00:00"/>
    <s v="Delta Skymiles Platinum Card ( X ) - Ending in 1007"/>
    <x v="4635"/>
    <n v="37.08"/>
    <x v="8"/>
    <s v="Shopping"/>
    <s v="Exp - Shopping"/>
    <m/>
    <m/>
    <m/>
    <m/>
    <m/>
    <m/>
    <x v="4110"/>
    <m/>
    <m/>
  </r>
  <r>
    <x v="25"/>
    <d v="2024-05-24T00:00:00"/>
    <s v="Delta Skymiles Platinum Card ( X ) - Ending in 1007"/>
    <x v="823"/>
    <n v="43.63"/>
    <x v="2"/>
    <s v="Transportation"/>
    <m/>
    <m/>
    <m/>
    <m/>
    <m/>
    <m/>
    <m/>
    <x v="792"/>
    <m/>
    <m/>
  </r>
  <r>
    <x v="25"/>
    <d v="2024-05-24T00:00:00"/>
    <s v="Delta Skymiles Platinum Card ( X ) - Ending in 1007"/>
    <x v="4647"/>
    <n v="18.84"/>
    <x v="8"/>
    <s v="Shopping"/>
    <s v="Exp - Shopping"/>
    <m/>
    <m/>
    <m/>
    <m/>
    <m/>
    <m/>
    <x v="4118"/>
    <m/>
    <m/>
  </r>
  <r>
    <x v="25"/>
    <d v="2024-05-24T00:00:00"/>
    <s v="Delta Skymiles Platinum Card ( X ) - Ending in 1007"/>
    <x v="1922"/>
    <n v="37"/>
    <x v="10"/>
    <s v="Entertainment"/>
    <m/>
    <m/>
    <m/>
    <m/>
    <m/>
    <m/>
    <m/>
    <x v="1775"/>
    <m/>
    <m/>
  </r>
  <r>
    <x v="25"/>
    <d v="2024-05-26T00:00:00"/>
    <s v="Delta Skymiles Platinum Card ( X ) - Ending in 1007"/>
    <x v="4624"/>
    <n v="-78"/>
    <x v="8"/>
    <s v="Refunds &amp; Reimbursements"/>
    <s v="Exp - Shopping"/>
    <m/>
    <m/>
    <m/>
    <m/>
    <m/>
    <m/>
    <x v="4099"/>
    <m/>
    <m/>
  </r>
  <r>
    <x v="25"/>
    <d v="2024-05-26T00:00:00"/>
    <s v="Cash Rewards Visa Signature - Ending in 5913"/>
    <x v="1837"/>
    <n v="-15.13"/>
    <x v="19"/>
    <m/>
    <m/>
    <m/>
    <m/>
    <m/>
    <m/>
    <m/>
    <m/>
    <x v="1692"/>
    <m/>
    <m/>
  </r>
  <r>
    <x v="25"/>
    <d v="2024-05-26T00:00:00"/>
    <s v="Cash Rewards Visa Signature - Ending in 5913"/>
    <x v="1837"/>
    <n v="53.63"/>
    <x v="19"/>
    <m/>
    <m/>
    <m/>
    <m/>
    <m/>
    <m/>
    <m/>
    <m/>
    <x v="1692"/>
    <m/>
    <m/>
  </r>
  <r>
    <x v="25"/>
    <d v="2024-05-26T00:00:00"/>
    <s v="Cash Rewards Visa Signature - Ending in 5913"/>
    <x v="1837"/>
    <n v="63.78"/>
    <x v="19"/>
    <m/>
    <m/>
    <m/>
    <m/>
    <m/>
    <m/>
    <m/>
    <m/>
    <x v="1692"/>
    <m/>
    <m/>
  </r>
  <r>
    <x v="25"/>
    <d v="2024-05-26T00:00:00"/>
    <s v="Cash Rewards Visa Signature - Ending in 5913"/>
    <x v="1837"/>
    <n v="218.48"/>
    <x v="19"/>
    <m/>
    <m/>
    <m/>
    <m/>
    <m/>
    <m/>
    <m/>
    <m/>
    <x v="1692"/>
    <m/>
    <m/>
  </r>
  <r>
    <x v="25"/>
    <d v="2024-05-26T00:00:00"/>
    <s v="Cash Rewards Visa Signature - Ending in 5913"/>
    <x v="4648"/>
    <n v="48.75"/>
    <x v="1"/>
    <m/>
    <s v="Exp - Restaurants"/>
    <m/>
    <m/>
    <m/>
    <m/>
    <m/>
    <m/>
    <x v="4119"/>
    <m/>
    <m/>
  </r>
  <r>
    <x v="65"/>
    <d v="2024-09-22T00:00:00"/>
    <s v="American Express"/>
    <x v="1861"/>
    <n v="473.97"/>
    <x v="3"/>
    <m/>
    <s v="Delete"/>
    <m/>
    <m/>
    <m/>
    <m/>
    <m/>
    <m/>
    <x v="1715"/>
    <m/>
    <m/>
  </r>
  <r>
    <x v="25"/>
    <d v="2024-05-27T00:00:00"/>
    <s v="Delta Skymiles Platinum Card ( X ) - Ending in 1007"/>
    <x v="4649"/>
    <n v="120"/>
    <x v="8"/>
    <s v="Shopping"/>
    <s v="Exp - Shopping"/>
    <m/>
    <m/>
    <m/>
    <m/>
    <m/>
    <m/>
    <x v="4120"/>
    <m/>
    <m/>
  </r>
  <r>
    <x v="49"/>
    <d v="2024-10-27T00:00:00"/>
    <s v="American Express"/>
    <x v="1861"/>
    <n v="11.2"/>
    <x v="3"/>
    <m/>
    <s v="Delete"/>
    <m/>
    <m/>
    <m/>
    <m/>
    <m/>
    <m/>
    <x v="1715"/>
    <m/>
    <m/>
  </r>
  <r>
    <x v="25"/>
    <d v="2024-05-28T00:00:00"/>
    <s v="Delta Skymiles Platinum Card ( X ) - Ending in 1007"/>
    <x v="1895"/>
    <n v="-162.51"/>
    <x v="0"/>
    <s v="Amazon"/>
    <m/>
    <m/>
    <m/>
    <m/>
    <m/>
    <m/>
    <m/>
    <x v="1748"/>
    <m/>
    <m/>
  </r>
  <r>
    <x v="25"/>
    <d v="2024-05-28T00:00:00"/>
    <s v="Delta Skymiles Platinum Card ( X ) - Ending in 1007"/>
    <x v="4217"/>
    <n v="46.4"/>
    <x v="8"/>
    <s v="Shopping"/>
    <m/>
    <m/>
    <m/>
    <m/>
    <m/>
    <m/>
    <m/>
    <x v="3744"/>
    <m/>
    <m/>
  </r>
  <r>
    <x v="25"/>
    <d v="2024-05-28T00:00:00"/>
    <s v="Powerplus - Ending in 8s30"/>
    <x v="3734"/>
    <n v="543.80999999999995"/>
    <x v="12"/>
    <m/>
    <m/>
    <m/>
    <m/>
    <m/>
    <m/>
    <m/>
    <m/>
    <x v="3293"/>
    <m/>
    <m/>
  </r>
  <r>
    <x v="25"/>
    <d v="2024-05-28T00:00:00"/>
    <s v="Delta Skymiles Platinum Card ( X ) - Ending in 1007"/>
    <x v="62"/>
    <n v="43.2"/>
    <x v="8"/>
    <s v="Entertainment"/>
    <s v="Exp - Shopping"/>
    <m/>
    <m/>
    <m/>
    <m/>
    <m/>
    <m/>
    <x v="62"/>
    <m/>
    <m/>
  </r>
  <r>
    <x v="25"/>
    <d v="2024-05-28T00:00:00"/>
    <s v="Delta Skymiles Platinum Card ( X ) - Ending in 1007"/>
    <x v="3619"/>
    <n v="86.55"/>
    <x v="1"/>
    <s v="Restaurants"/>
    <m/>
    <m/>
    <m/>
    <m/>
    <m/>
    <m/>
    <m/>
    <x v="3181"/>
    <m/>
    <m/>
  </r>
  <r>
    <x v="63"/>
    <d v="2024-11-05T00:00:00"/>
    <s v="American Express"/>
    <x v="1861"/>
    <n v="1500.61"/>
    <x v="3"/>
    <m/>
    <m/>
    <m/>
    <m/>
    <m/>
    <m/>
    <m/>
    <m/>
    <x v="1715"/>
    <m/>
    <m/>
  </r>
  <r>
    <x v="25"/>
    <d v="2024-05-28T00:00:00"/>
    <s v="Powerplus - Ending in 8s30"/>
    <x v="1849"/>
    <n v="21.25"/>
    <x v="8"/>
    <m/>
    <m/>
    <m/>
    <m/>
    <m/>
    <m/>
    <m/>
    <m/>
    <x v="1704"/>
    <m/>
    <m/>
  </r>
  <r>
    <x v="25"/>
    <d v="2024-05-28T00:00:00"/>
    <s v="Powerplus - Ending in 8s30"/>
    <x v="1849"/>
    <n v="0.99"/>
    <x v="8"/>
    <m/>
    <m/>
    <m/>
    <m/>
    <m/>
    <m/>
    <m/>
    <m/>
    <x v="1704"/>
    <m/>
    <m/>
  </r>
  <r>
    <x v="25"/>
    <d v="2024-05-29T00:00:00"/>
    <s v="Cash Rewards Visa Signature - Ending in 5913"/>
    <x v="0"/>
    <n v="9.9499999999999993"/>
    <x v="0"/>
    <m/>
    <m/>
    <m/>
    <m/>
    <m/>
    <m/>
    <m/>
    <m/>
    <x v="0"/>
    <m/>
    <m/>
  </r>
  <r>
    <x v="25"/>
    <d v="2024-05-29T00:00:00"/>
    <s v="Cash Rewards Visa Signature - Ending in 5913"/>
    <x v="0"/>
    <n v="8.66"/>
    <x v="0"/>
    <m/>
    <m/>
    <m/>
    <m/>
    <m/>
    <m/>
    <m/>
    <m/>
    <x v="0"/>
    <m/>
    <m/>
  </r>
  <r>
    <x v="25"/>
    <d v="2024-05-29T00:00:00"/>
    <s v="Delta Skymiles Platinum Card ( X ) - Ending in 1007"/>
    <x v="4197"/>
    <n v="138"/>
    <x v="8"/>
    <s v="Delete - Other Expenses"/>
    <m/>
    <m/>
    <m/>
    <m/>
    <m/>
    <m/>
    <m/>
    <x v="3726"/>
    <m/>
    <m/>
  </r>
  <r>
    <x v="25"/>
    <d v="2024-05-29T00:00:00"/>
    <s v="Delta Skymiles Platinum Card ( X ) - Ending in 1007"/>
    <x v="4519"/>
    <n v="48.59"/>
    <x v="2"/>
    <s v="Car Loan"/>
    <m/>
    <m/>
    <m/>
    <m/>
    <m/>
    <m/>
    <m/>
    <x v="4009"/>
    <m/>
    <m/>
  </r>
  <r>
    <x v="25"/>
    <d v="2024-05-29T00:00:00"/>
    <s v="Powerplus - Ending in 8s30"/>
    <x v="4650"/>
    <n v="195.43"/>
    <x v="8"/>
    <m/>
    <s v="Exp - Shopping"/>
    <s v="WHAT IS THIS"/>
    <m/>
    <m/>
    <m/>
    <m/>
    <m/>
    <x v="4121"/>
    <m/>
    <m/>
  </r>
  <r>
    <x v="25"/>
    <d v="2024-05-29T00:00:00"/>
    <s v="Cash Rewards Visa Signature - Ending in 5913"/>
    <x v="1837"/>
    <n v="54.11"/>
    <x v="19"/>
    <m/>
    <m/>
    <m/>
    <m/>
    <m/>
    <m/>
    <m/>
    <m/>
    <x v="1692"/>
    <m/>
    <m/>
  </r>
  <r>
    <x v="25"/>
    <d v="2024-05-29T00:00:00"/>
    <s v="Delta Skymiles Platinum Card ( X ) - Ending in 1007"/>
    <x v="627"/>
    <n v="96.55"/>
    <x v="2"/>
    <s v="Transportation"/>
    <m/>
    <m/>
    <m/>
    <m/>
    <m/>
    <m/>
    <m/>
    <x v="605"/>
    <m/>
    <m/>
  </r>
  <r>
    <x v="25"/>
    <d v="2024-05-29T00:00:00"/>
    <s v="Powerplus - Ending in 8s30"/>
    <x v="4651"/>
    <n v="346"/>
    <x v="4"/>
    <m/>
    <s v="Exp - Day Care"/>
    <m/>
    <m/>
    <m/>
    <m/>
    <m/>
    <m/>
    <x v="4108"/>
    <m/>
    <m/>
  </r>
  <r>
    <x v="63"/>
    <d v="2024-11-26T00:00:00"/>
    <s v="American Express"/>
    <x v="1861"/>
    <n v="576.95000000000005"/>
    <x v="3"/>
    <m/>
    <m/>
    <m/>
    <m/>
    <m/>
    <m/>
    <m/>
    <m/>
    <x v="1715"/>
    <m/>
    <m/>
  </r>
  <r>
    <x v="25"/>
    <d v="2024-05-30T00:00:00"/>
    <s v="Delta Skymiles Platinum Card ( X ) - Ending in 1007"/>
    <x v="4652"/>
    <n v="26.01"/>
    <x v="1"/>
    <s v="Groceries"/>
    <s v="Exp - Restaurants"/>
    <m/>
    <m/>
    <m/>
    <m/>
    <m/>
    <m/>
    <x v="4122"/>
    <m/>
    <m/>
  </r>
  <r>
    <x v="50"/>
    <d v="2024-12-25T00:00:00"/>
    <s v="American Express"/>
    <x v="1861"/>
    <n v="1232.51"/>
    <x v="3"/>
    <m/>
    <m/>
    <m/>
    <m/>
    <m/>
    <m/>
    <m/>
    <m/>
    <x v="1715"/>
    <m/>
    <m/>
  </r>
  <r>
    <x v="25"/>
    <d v="2024-05-30T00:00:00"/>
    <s v="Powerplus - Ending in 8s30"/>
    <x v="3684"/>
    <n v="-3438.41"/>
    <x v="57"/>
    <m/>
    <m/>
    <m/>
    <m/>
    <m/>
    <m/>
    <m/>
    <m/>
    <x v="3245"/>
    <m/>
    <m/>
  </r>
  <r>
    <x v="25"/>
    <d v="2024-05-30T00:00:00"/>
    <s v="Cash Rewards Visa Signature - Ending in 5913"/>
    <x v="1837"/>
    <n v="23.86"/>
    <x v="19"/>
    <m/>
    <m/>
    <m/>
    <m/>
    <m/>
    <m/>
    <m/>
    <m/>
    <x v="1692"/>
    <m/>
    <m/>
  </r>
  <r>
    <x v="25"/>
    <d v="2024-05-31T00:00:00"/>
    <s v="Discover More Card - Ending in 7779"/>
    <x v="0"/>
    <n v="16.25"/>
    <x v="0"/>
    <s v="Dry Cleaning"/>
    <m/>
    <m/>
    <m/>
    <m/>
    <m/>
    <m/>
    <m/>
    <x v="0"/>
    <m/>
    <m/>
  </r>
  <r>
    <x v="25"/>
    <d v="2024-05-31T00:00:00"/>
    <s v="Discover More Card - Ending in 7779"/>
    <x v="0"/>
    <n v="21.62"/>
    <x v="0"/>
    <s v="Dry Cleaning"/>
    <m/>
    <m/>
    <m/>
    <m/>
    <m/>
    <m/>
    <m/>
    <x v="0"/>
    <m/>
    <m/>
  </r>
  <r>
    <x v="25"/>
    <d v="2024-05-31T00:00:00"/>
    <s v="Discover More Card - Ending in 7779"/>
    <x v="0"/>
    <n v="102.24"/>
    <x v="0"/>
    <s v="Dry Cleaning"/>
    <m/>
    <m/>
    <m/>
    <m/>
    <m/>
    <m/>
    <m/>
    <x v="0"/>
    <m/>
    <m/>
  </r>
  <r>
    <x v="25"/>
    <d v="2024-05-31T00:00:00"/>
    <s v="Cash Rewards Visa Signature - Ending in 5913"/>
    <x v="4653"/>
    <n v="78.02"/>
    <x v="0"/>
    <m/>
    <s v="Exp - Amazon"/>
    <m/>
    <m/>
    <m/>
    <m/>
    <m/>
    <m/>
    <x v="4123"/>
    <m/>
    <m/>
  </r>
  <r>
    <x v="25"/>
    <d v="2024-05-31T00:00:00"/>
    <s v="Powerplus - Ending in 8s30"/>
    <x v="4654"/>
    <n v="-50.09"/>
    <x v="13"/>
    <m/>
    <s v="Inc - Other"/>
    <m/>
    <m/>
    <m/>
    <m/>
    <m/>
    <m/>
    <x v="4124"/>
    <m/>
    <m/>
  </r>
  <r>
    <x v="25"/>
    <d v="2024-05-31T00:00:00"/>
    <s v="Delta Skymiles Platinum Card ( X ) - Ending in 1007"/>
    <x v="4300"/>
    <n v="4"/>
    <x v="11"/>
    <s v="Delete - Online Services"/>
    <m/>
    <m/>
    <m/>
    <m/>
    <m/>
    <m/>
    <m/>
    <x v="3817"/>
    <m/>
    <m/>
  </r>
  <r>
    <x v="25"/>
    <d v="2024-05-31T00:00:00"/>
    <s v="Delta Skymiles Platinum Card ( X ) - Ending in 1007"/>
    <x v="1881"/>
    <n v="34.119999999999997"/>
    <x v="5"/>
    <s v="Groceries"/>
    <m/>
    <m/>
    <m/>
    <m/>
    <m/>
    <m/>
    <m/>
    <x v="1734"/>
    <m/>
    <m/>
  </r>
  <r>
    <x v="25"/>
    <d v="2024-05-31T00:00:00"/>
    <s v="Delta Skymiles Platinum Card ( X ) - Ending in 1007"/>
    <x v="4655"/>
    <n v="20.57"/>
    <x v="1"/>
    <s v="Restaurants"/>
    <s v="Exp - Restaurants"/>
    <m/>
    <m/>
    <m/>
    <m/>
    <m/>
    <m/>
    <x v="4125"/>
    <m/>
    <m/>
  </r>
  <r>
    <x v="25"/>
    <d v="2024-05-31T00:00:00"/>
    <s v="Powerplus - Ending in 8s30"/>
    <x v="4407"/>
    <n v="187.89"/>
    <x v="11"/>
    <m/>
    <m/>
    <m/>
    <m/>
    <m/>
    <m/>
    <m/>
    <m/>
    <x v="3913"/>
    <m/>
    <m/>
  </r>
  <r>
    <x v="25"/>
    <d v="2024-05-31T00:00:00"/>
    <s v="Cash Rewards Visa Signature - Ending in 5913"/>
    <x v="1837"/>
    <n v="-255.28"/>
    <x v="19"/>
    <m/>
    <m/>
    <m/>
    <m/>
    <m/>
    <m/>
    <m/>
    <m/>
    <x v="1692"/>
    <m/>
    <m/>
  </r>
  <r>
    <x v="23"/>
    <d v="2024-06-01T00:00:00"/>
    <s v="Delta Skymiles Platinum Card ( X ) - Ending in 1007"/>
    <x v="2048"/>
    <n v="13.55"/>
    <x v="1"/>
    <s v="Restaurants"/>
    <m/>
    <m/>
    <m/>
    <m/>
    <m/>
    <m/>
    <m/>
    <x v="1898"/>
    <m/>
    <m/>
  </r>
  <r>
    <x v="23"/>
    <d v="2024-06-02T00:00:00"/>
    <s v="Cash Rewards Visa Signature - Ending in 5913"/>
    <x v="4656"/>
    <n v="6.49"/>
    <x v="0"/>
    <m/>
    <s v="Exp - Amazon"/>
    <m/>
    <m/>
    <m/>
    <m/>
    <m/>
    <m/>
    <x v="4126"/>
    <m/>
    <m/>
  </r>
  <r>
    <x v="23"/>
    <d v="2024-06-02T00:00:00"/>
    <s v="Cash Rewards Visa Signature - Ending in 5913"/>
    <x v="4657"/>
    <n v="27.08"/>
    <x v="0"/>
    <m/>
    <s v="Exp - Amazon"/>
    <m/>
    <m/>
    <m/>
    <m/>
    <m/>
    <m/>
    <x v="4127"/>
    <m/>
    <m/>
  </r>
  <r>
    <x v="23"/>
    <d v="2024-06-02T00:00:00"/>
    <s v="Cash Rewards Visa Signature - Ending in 5913"/>
    <x v="4502"/>
    <n v="100"/>
    <x v="10"/>
    <m/>
    <m/>
    <m/>
    <m/>
    <m/>
    <m/>
    <m/>
    <m/>
    <x v="3996"/>
    <m/>
    <m/>
  </r>
  <r>
    <x v="23"/>
    <d v="2024-06-03T00:00:00"/>
    <s v="Delta Skymiles Platinum Card ( X ) - Ending in 1007"/>
    <x v="0"/>
    <n v="59.6"/>
    <x v="0"/>
    <s v="Amazon"/>
    <m/>
    <m/>
    <m/>
    <m/>
    <m/>
    <m/>
    <m/>
    <x v="0"/>
    <m/>
    <m/>
  </r>
  <r>
    <x v="23"/>
    <d v="2024-06-03T00:00:00"/>
    <s v="Delta Skymiles Platinum Card ( X ) - Ending in 1007"/>
    <x v="4658"/>
    <n v="157.36000000000001"/>
    <x v="10"/>
    <s v="Entertainment"/>
    <s v="Exp - Entertainment"/>
    <m/>
    <m/>
    <m/>
    <m/>
    <m/>
    <m/>
    <x v="4128"/>
    <m/>
    <m/>
  </r>
  <r>
    <x v="23"/>
    <d v="2024-06-03T00:00:00"/>
    <s v="Powerplus - Ending in 8s30"/>
    <x v="3652"/>
    <n v="-142"/>
    <x v="34"/>
    <m/>
    <m/>
    <m/>
    <m/>
    <m/>
    <m/>
    <m/>
    <m/>
    <x v="3214"/>
    <m/>
    <m/>
  </r>
  <r>
    <x v="23"/>
    <d v="2024-06-03T00:00:00"/>
    <s v="Delta Skymiles Platinum Card ( X ) - Ending in 1007"/>
    <x v="577"/>
    <n v="43.52"/>
    <x v="1"/>
    <s v="Restaurants"/>
    <m/>
    <m/>
    <m/>
    <m/>
    <m/>
    <m/>
    <m/>
    <x v="558"/>
    <m/>
    <m/>
  </r>
  <r>
    <x v="23"/>
    <d v="2024-06-03T00:00:00"/>
    <s v="Powerplus - Ending in 8s30"/>
    <x v="1844"/>
    <n v="2741.74"/>
    <x v="6"/>
    <m/>
    <s v="Exp - Rent"/>
    <m/>
    <m/>
    <m/>
    <m/>
    <m/>
    <m/>
    <x v="1699"/>
    <m/>
    <m/>
  </r>
  <r>
    <x v="23"/>
    <d v="2024-06-03T00:00:00"/>
    <s v="Cash Rewards Visa Signature - Ending in 5913"/>
    <x v="4659"/>
    <n v="40.06"/>
    <x v="1"/>
    <m/>
    <s v="Exp - Restaurants"/>
    <m/>
    <m/>
    <m/>
    <m/>
    <m/>
    <m/>
    <x v="4129"/>
    <m/>
    <m/>
  </r>
  <r>
    <x v="23"/>
    <d v="2024-06-03T00:00:00"/>
    <s v="Delta Skymiles Platinum Card ( X ) - Ending in 1007"/>
    <x v="4660"/>
    <n v="170.69"/>
    <x v="19"/>
    <s v="House Maintenance"/>
    <s v="Exp - House Maint"/>
    <m/>
    <m/>
    <m/>
    <m/>
    <m/>
    <m/>
    <x v="4130"/>
    <m/>
    <m/>
  </r>
  <r>
    <x v="23"/>
    <d v="2024-06-03T00:00:00"/>
    <s v="Powerplus - Ending in 8s30"/>
    <x v="3996"/>
    <n v="650"/>
    <x v="9"/>
    <m/>
    <s v="Sav - College Savings"/>
    <m/>
    <m/>
    <m/>
    <m/>
    <m/>
    <m/>
    <x v="3539"/>
    <m/>
    <m/>
  </r>
  <r>
    <x v="23"/>
    <d v="2024-06-03T00:00:00"/>
    <s v="Powerplus - Ending in 8s30"/>
    <x v="1827"/>
    <n v="125"/>
    <x v="8"/>
    <m/>
    <s v="Exp - Shopping"/>
    <m/>
    <m/>
    <m/>
    <m/>
    <m/>
    <m/>
    <x v="1682"/>
    <m/>
    <m/>
  </r>
  <r>
    <x v="23"/>
    <d v="2024-06-03T00:00:00"/>
    <s v="Powerplus - Ending in 8s30"/>
    <x v="4661"/>
    <n v="5.5"/>
    <x v="8"/>
    <m/>
    <s v="Exp - Shopping"/>
    <m/>
    <m/>
    <m/>
    <m/>
    <m/>
    <m/>
    <x v="4131"/>
    <m/>
    <m/>
  </r>
  <r>
    <x v="23"/>
    <d v="2024-06-04T00:00:00"/>
    <s v="Discover More Card - Ending in 7779"/>
    <x v="0"/>
    <n v="12.99"/>
    <x v="0"/>
    <s v="Dry Cleaning"/>
    <s v="Exp - Amazon"/>
    <m/>
    <m/>
    <m/>
    <m/>
    <m/>
    <m/>
    <x v="0"/>
    <m/>
    <m/>
  </r>
  <r>
    <x v="23"/>
    <d v="2024-06-04T00:00:00"/>
    <s v="Cash Rewards Visa Signature - Ending in 5913"/>
    <x v="594"/>
    <n v="30"/>
    <x v="28"/>
    <m/>
    <s v="Exp - Misc"/>
    <m/>
    <m/>
    <m/>
    <m/>
    <m/>
    <m/>
    <x v="575"/>
    <m/>
    <m/>
  </r>
  <r>
    <x v="23"/>
    <d v="2024-06-05T00:00:00"/>
    <s v="Cash Rewards Visa Signature - Ending in 5913"/>
    <x v="0"/>
    <n v="8.94"/>
    <x v="0"/>
    <m/>
    <m/>
    <m/>
    <m/>
    <m/>
    <m/>
    <m/>
    <m/>
    <x v="0"/>
    <m/>
    <m/>
  </r>
  <r>
    <x v="23"/>
    <d v="2024-06-05T00:00:00"/>
    <s v="Delta Skymiles Platinum Card ( X ) - Ending in 1007"/>
    <x v="4142"/>
    <n v="7.57"/>
    <x v="1"/>
    <s v="Restaurants"/>
    <s v="Exp - Restaurants"/>
    <m/>
    <m/>
    <m/>
    <m/>
    <m/>
    <m/>
    <x v="3676"/>
    <m/>
    <m/>
  </r>
  <r>
    <x v="23"/>
    <d v="2024-06-05T00:00:00"/>
    <s v="Delta Skymiles Platinum Card ( X ) - Ending in 1007"/>
    <x v="4662"/>
    <n v="140.4"/>
    <x v="8"/>
    <s v="Dry Cleaning"/>
    <s v="Exp - Shopping"/>
    <m/>
    <m/>
    <m/>
    <m/>
    <m/>
    <m/>
    <x v="4132"/>
    <m/>
    <m/>
  </r>
  <r>
    <x v="65"/>
    <d v="2024-09-22T00:00:00"/>
    <s v="American Express"/>
    <x v="4663"/>
    <n v="-118.4"/>
    <x v="3"/>
    <m/>
    <s v="Delete"/>
    <m/>
    <m/>
    <m/>
    <m/>
    <m/>
    <m/>
    <x v="4133"/>
    <m/>
    <m/>
  </r>
  <r>
    <x v="65"/>
    <d v="2024-09-22T00:00:00"/>
    <s v="American Express"/>
    <x v="4663"/>
    <n v="-118.4"/>
    <x v="3"/>
    <m/>
    <s v="Delete"/>
    <m/>
    <m/>
    <m/>
    <m/>
    <m/>
    <m/>
    <x v="4133"/>
    <m/>
    <m/>
  </r>
  <r>
    <x v="65"/>
    <d v="2024-09-22T00:00:00"/>
    <s v="American Express"/>
    <x v="4663"/>
    <n v="167.3"/>
    <x v="3"/>
    <m/>
    <s v="Delete"/>
    <m/>
    <m/>
    <m/>
    <m/>
    <m/>
    <m/>
    <x v="4133"/>
    <m/>
    <m/>
  </r>
  <r>
    <x v="23"/>
    <d v="2024-06-05T00:00:00"/>
    <s v="Delta Skymiles Platinum Card ( X ) - Ending in 1007"/>
    <x v="4664"/>
    <n v="96.31"/>
    <x v="25"/>
    <s v="Delete - Online Services"/>
    <s v="Exp - Healthcare"/>
    <m/>
    <m/>
    <m/>
    <m/>
    <m/>
    <m/>
    <x v="4134"/>
    <m/>
    <m/>
  </r>
  <r>
    <x v="65"/>
    <d v="2024-09-22T00:00:00"/>
    <s v="American Express"/>
    <x v="4663"/>
    <n v="737.2"/>
    <x v="3"/>
    <m/>
    <s v="Delete"/>
    <m/>
    <m/>
    <m/>
    <m/>
    <m/>
    <m/>
    <x v="4133"/>
    <m/>
    <m/>
  </r>
  <r>
    <x v="23"/>
    <d v="2024-06-05T00:00:00"/>
    <s v="Delta Skymiles Platinum Card ( X ) - Ending in 1007"/>
    <x v="4665"/>
    <n v="91.8"/>
    <x v="8"/>
    <s v="Shopping"/>
    <s v="Exp - Shopping"/>
    <m/>
    <m/>
    <m/>
    <m/>
    <m/>
    <m/>
    <x v="4135"/>
    <m/>
    <m/>
  </r>
  <r>
    <x v="65"/>
    <d v="2024-09-22T00:00:00"/>
    <s v="American Express"/>
    <x v="4663"/>
    <n v="857.3"/>
    <x v="3"/>
    <m/>
    <s v="Delete"/>
    <m/>
    <m/>
    <m/>
    <m/>
    <m/>
    <m/>
    <x v="4133"/>
    <m/>
    <m/>
  </r>
  <r>
    <x v="23"/>
    <d v="2024-06-05T00:00:00"/>
    <s v="Powerplus - Ending in 8s30"/>
    <x v="4666"/>
    <n v="153.15"/>
    <x v="11"/>
    <m/>
    <s v="Exp - Utilities"/>
    <m/>
    <m/>
    <m/>
    <m/>
    <m/>
    <m/>
    <x v="3912"/>
    <m/>
    <m/>
  </r>
  <r>
    <x v="23"/>
    <d v="2024-06-05T00:00:00"/>
    <s v="Powerplus - Ending in 8s30"/>
    <x v="4667"/>
    <n v="278"/>
    <x v="4"/>
    <m/>
    <s v="Exp - Day Care"/>
    <m/>
    <m/>
    <m/>
    <m/>
    <m/>
    <m/>
    <x v="4108"/>
    <m/>
    <m/>
  </r>
  <r>
    <x v="23"/>
    <d v="2024-06-06T00:00:00"/>
    <s v="Delta Skymiles Platinum Card ( X ) - Ending in 1007"/>
    <x v="4668"/>
    <n v="29"/>
    <x v="4"/>
    <s v="Delete - Personal Care"/>
    <s v="Exp - Day Care"/>
    <m/>
    <m/>
    <m/>
    <m/>
    <m/>
    <m/>
    <x v="4136"/>
    <m/>
    <m/>
  </r>
  <r>
    <x v="23"/>
    <d v="2024-06-06T00:00:00"/>
    <s v="Powerplus - Ending in 8s30"/>
    <x v="1893"/>
    <n v="-2666.32"/>
    <x v="34"/>
    <m/>
    <m/>
    <m/>
    <m/>
    <m/>
    <m/>
    <m/>
    <m/>
    <x v="1746"/>
    <m/>
    <m/>
  </r>
  <r>
    <x v="23"/>
    <d v="2024-06-06T00:00:00"/>
    <s v="Manual"/>
    <x v="1850"/>
    <n v="250"/>
    <x v="56"/>
    <m/>
    <s v="Exp - Cleaning"/>
    <m/>
    <m/>
    <m/>
    <m/>
    <m/>
    <m/>
    <x v="1705"/>
    <m/>
    <m/>
  </r>
  <r>
    <x v="23"/>
    <d v="2024-06-06T00:00:00"/>
    <s v="Delta Skymiles Platinum Card ( X ) - Ending in 1007"/>
    <x v="4669"/>
    <n v="326.82"/>
    <x v="24"/>
    <s v="Entertainment"/>
    <s v="Exp - Travel"/>
    <m/>
    <m/>
    <m/>
    <m/>
    <m/>
    <m/>
    <x v="4137"/>
    <m/>
    <s v="Ireland"/>
  </r>
  <r>
    <x v="23"/>
    <d v="2024-06-06T00:00:00"/>
    <s v="Delta Skymiles Platinum Card ( X ) - Ending in 1007"/>
    <x v="188"/>
    <n v="37.17"/>
    <x v="24"/>
    <s v="Restaurants"/>
    <s v="Exp - Travel"/>
    <m/>
    <m/>
    <m/>
    <m/>
    <m/>
    <m/>
    <x v="187"/>
    <m/>
    <m/>
  </r>
  <r>
    <x v="49"/>
    <d v="2024-10-24T00:00:00"/>
    <s v="Powerplus - Ending in 8s30"/>
    <x v="4670"/>
    <n v="-4156.46"/>
    <x v="3"/>
    <m/>
    <s v="Delete"/>
    <m/>
    <m/>
    <m/>
    <m/>
    <m/>
    <m/>
    <x v="2014"/>
    <m/>
    <m/>
  </r>
  <r>
    <x v="23"/>
    <d v="2024-06-06T00:00:00"/>
    <s v="Delta Skymiles Platinum Card ( X ) - Ending in 1007"/>
    <x v="4671"/>
    <n v="147.22"/>
    <x v="24"/>
    <s v="Restaurants"/>
    <s v="Exp - Travel"/>
    <m/>
    <m/>
    <m/>
    <m/>
    <m/>
    <m/>
    <x v="4138"/>
    <m/>
    <m/>
  </r>
  <r>
    <x v="49"/>
    <d v="2024-10-10T00:00:00"/>
    <s v="Powerplus - Ending in 8s30"/>
    <x v="4672"/>
    <n v="-5707.64"/>
    <x v="3"/>
    <m/>
    <s v="Delete"/>
    <m/>
    <m/>
    <m/>
    <m/>
    <m/>
    <m/>
    <x v="3260"/>
    <m/>
    <m/>
  </r>
  <r>
    <x v="23"/>
    <d v="2024-06-05T00:00:00"/>
    <s v="Powerplus - Ending in 8s30"/>
    <x v="4673"/>
    <n v="-4545.45"/>
    <x v="3"/>
    <m/>
    <s v="Delete"/>
    <m/>
    <m/>
    <m/>
    <m/>
    <m/>
    <m/>
    <x v="3762"/>
    <m/>
    <m/>
  </r>
  <r>
    <x v="49"/>
    <d v="2024-10-31T00:00:00"/>
    <s v="Powerplus - Ending in 8s30"/>
    <x v="2412"/>
    <n v="-3.95"/>
    <x v="3"/>
    <m/>
    <s v="Delete"/>
    <m/>
    <m/>
    <m/>
    <m/>
    <m/>
    <m/>
    <x v="2228"/>
    <m/>
    <m/>
  </r>
  <r>
    <x v="23"/>
    <d v="2024-06-07T00:00:00"/>
    <s v="Delta Skymiles Platinum Card ( X ) - Ending in 1007"/>
    <x v="4674"/>
    <n v="25.56"/>
    <x v="1"/>
    <s v="Delete - Online Services"/>
    <s v="Exp - Restaurants"/>
    <m/>
    <m/>
    <m/>
    <m/>
    <m/>
    <m/>
    <x v="4139"/>
    <m/>
    <m/>
  </r>
  <r>
    <x v="23"/>
    <d v="2024-06-07T00:00:00"/>
    <s v="Delta Skymiles Platinum Card ( X ) - Ending in 1007"/>
    <x v="4136"/>
    <n v="338.7"/>
    <x v="5"/>
    <s v="Travel"/>
    <s v="Exp - Groceries"/>
    <m/>
    <m/>
    <m/>
    <m/>
    <m/>
    <m/>
    <x v="3670"/>
    <m/>
    <m/>
  </r>
  <r>
    <x v="61"/>
    <d v="2024-02-02T00:00:00"/>
    <s v="Powerplus - Ending in 8s30"/>
    <x v="1065"/>
    <n v="-108.83"/>
    <x v="3"/>
    <m/>
    <s v="Delete"/>
    <m/>
    <m/>
    <m/>
    <m/>
    <m/>
    <m/>
    <x v="1015"/>
    <m/>
    <m/>
  </r>
  <r>
    <x v="23"/>
    <d v="2024-06-07T00:00:00"/>
    <s v="Powerplus - Ending in 8s30"/>
    <x v="1869"/>
    <n v="122.1"/>
    <x v="11"/>
    <m/>
    <m/>
    <m/>
    <m/>
    <m/>
    <m/>
    <m/>
    <m/>
    <x v="1723"/>
    <m/>
    <m/>
  </r>
  <r>
    <x v="23"/>
    <d v="2024-06-07T00:00:00"/>
    <s v="Delta Skymiles Platinum Card ( X ) - Ending in 1007"/>
    <x v="4675"/>
    <n v="80"/>
    <x v="1"/>
    <s v="Car Loan"/>
    <s v="Exp - Restaurants"/>
    <m/>
    <m/>
    <m/>
    <m/>
    <m/>
    <m/>
    <x v="4140"/>
    <m/>
    <m/>
  </r>
  <r>
    <x v="26"/>
    <d v="2024-03-11T00:00:00"/>
    <s v="Powerplus - Ending in 8s30"/>
    <x v="1065"/>
    <n v="-24.66"/>
    <x v="3"/>
    <m/>
    <m/>
    <m/>
    <m/>
    <m/>
    <m/>
    <m/>
    <m/>
    <x v="1015"/>
    <m/>
    <m/>
  </r>
  <r>
    <x v="23"/>
    <d v="2024-06-07T00:00:00"/>
    <s v="Cash Rewards Visa Signature - Ending in 5913"/>
    <x v="1338"/>
    <n v="37.32"/>
    <x v="5"/>
    <m/>
    <m/>
    <m/>
    <m/>
    <m/>
    <m/>
    <m/>
    <m/>
    <x v="1265"/>
    <m/>
    <m/>
  </r>
  <r>
    <x v="23"/>
    <d v="2024-06-07T00:00:00"/>
    <s v="Cash Rewards Visa Signature - Ending in 5913"/>
    <x v="55"/>
    <n v="13.63"/>
    <x v="5"/>
    <m/>
    <m/>
    <m/>
    <m/>
    <m/>
    <m/>
    <m/>
    <m/>
    <x v="55"/>
    <m/>
    <m/>
  </r>
  <r>
    <x v="23"/>
    <d v="2024-06-08T00:00:00"/>
    <s v="Delta Skymiles Platinum Card ( X ) - Ending in 1007"/>
    <x v="4676"/>
    <n v="25.71"/>
    <x v="5"/>
    <s v="Groceries"/>
    <s v="Exp - Groceries"/>
    <m/>
    <m/>
    <m/>
    <m/>
    <m/>
    <m/>
    <x v="4141"/>
    <m/>
    <m/>
  </r>
  <r>
    <x v="23"/>
    <d v="2024-06-08T00:00:00"/>
    <s v="Delta Skymiles Platinum Card ( X ) - Ending in 1007"/>
    <x v="1487"/>
    <n v="170.36"/>
    <x v="0"/>
    <s v="Travel"/>
    <s v="Exp - Amazon"/>
    <m/>
    <m/>
    <m/>
    <m/>
    <m/>
    <m/>
    <x v="1396"/>
    <m/>
    <m/>
  </r>
  <r>
    <x v="23"/>
    <d v="2024-06-09T00:00:00"/>
    <s v="Cash Rewards Visa Signature - Ending in 5913"/>
    <x v="4677"/>
    <n v="55.8"/>
    <x v="0"/>
    <m/>
    <s v="Exp - Amazon"/>
    <m/>
    <m/>
    <m/>
    <m/>
    <m/>
    <m/>
    <x v="4142"/>
    <m/>
    <m/>
  </r>
  <r>
    <x v="23"/>
    <d v="2024-06-09T00:00:00"/>
    <s v="Delta Skymiles Platinum Card ( X ) - Ending in 1007"/>
    <x v="4678"/>
    <n v="42"/>
    <x v="1"/>
    <s v="Travel"/>
    <s v="Exp - Restaurants"/>
    <m/>
    <m/>
    <m/>
    <m/>
    <m/>
    <m/>
    <x v="4143"/>
    <m/>
    <m/>
  </r>
  <r>
    <x v="23"/>
    <d v="2024-06-09T00:00:00"/>
    <s v="Delta Skymiles Platinum Card ( X ) - Ending in 1007"/>
    <x v="4678"/>
    <n v="10.99"/>
    <x v="1"/>
    <s v="Travel"/>
    <s v="Exp - Restaurants"/>
    <m/>
    <m/>
    <m/>
    <m/>
    <m/>
    <m/>
    <x v="4143"/>
    <m/>
    <m/>
  </r>
  <r>
    <x v="23"/>
    <d v="2024-06-09T00:00:00"/>
    <s v="Delta Skymiles Platinum Card ( X ) - Ending in 1007"/>
    <x v="4679"/>
    <n v="56.5"/>
    <x v="1"/>
    <s v="Restaurants"/>
    <s v="Exp - Restaurants"/>
    <m/>
    <m/>
    <m/>
    <m/>
    <m/>
    <m/>
    <x v="4144"/>
    <m/>
    <m/>
  </r>
  <r>
    <x v="23"/>
    <d v="2024-06-09T00:00:00"/>
    <s v="Delta Skymiles Platinum Card ( X ) - Ending in 1007"/>
    <x v="3987"/>
    <n v="36.11"/>
    <x v="0"/>
    <s v="Groceries"/>
    <s v="Exp - Amazon"/>
    <m/>
    <m/>
    <m/>
    <m/>
    <m/>
    <m/>
    <x v="3530"/>
    <m/>
    <m/>
  </r>
  <r>
    <x v="23"/>
    <d v="2024-06-09T00:00:00"/>
    <s v="Delta Skymiles Platinum Card ( X ) - Ending in 1007"/>
    <x v="3987"/>
    <n v="5.34"/>
    <x v="0"/>
    <s v="Groceries"/>
    <s v="Exp - Amazon"/>
    <m/>
    <m/>
    <m/>
    <m/>
    <m/>
    <m/>
    <x v="3530"/>
    <m/>
    <m/>
  </r>
  <r>
    <x v="23"/>
    <d v="2024-06-09T00:00:00"/>
    <s v="Cash Rewards Visa Signature - Ending in 5913"/>
    <x v="4158"/>
    <n v="46.6"/>
    <x v="5"/>
    <m/>
    <m/>
    <m/>
    <m/>
    <m/>
    <m/>
    <m/>
    <m/>
    <x v="3690"/>
    <m/>
    <m/>
  </r>
  <r>
    <x v="23"/>
    <d v="2024-06-09T00:00:00"/>
    <s v="Delta Skymiles Platinum Card ( X ) - Ending in 1007"/>
    <x v="4680"/>
    <n v="178"/>
    <x v="28"/>
    <s v="Delete - Online Services"/>
    <s v="Exp - Misc"/>
    <m/>
    <m/>
    <m/>
    <m/>
    <m/>
    <m/>
    <x v="4145"/>
    <m/>
    <m/>
  </r>
  <r>
    <x v="23"/>
    <d v="2024-06-09T00:00:00"/>
    <s v="Delta Skymiles Platinum Card ( X ) - Ending in 1007"/>
    <x v="4680"/>
    <n v="-178"/>
    <x v="28"/>
    <s v="Delete - Online Services"/>
    <s v="Exp - Misc"/>
    <m/>
    <m/>
    <m/>
    <m/>
    <m/>
    <m/>
    <x v="4145"/>
    <m/>
    <m/>
  </r>
  <r>
    <x v="23"/>
    <d v="2024-06-09T00:00:00"/>
    <s v="Delta Skymiles Platinum Card ( X ) - Ending in 1007"/>
    <x v="4680"/>
    <n v="299"/>
    <x v="28"/>
    <s v="Delete - Online Services"/>
    <s v="Exp - Misc"/>
    <m/>
    <m/>
    <m/>
    <m/>
    <m/>
    <m/>
    <x v="4145"/>
    <m/>
    <m/>
  </r>
  <r>
    <x v="23"/>
    <d v="2024-06-09T00:00:00"/>
    <s v="Cash Rewards Visa Signature - Ending in 5913"/>
    <x v="1867"/>
    <n v="47.69"/>
    <x v="27"/>
    <m/>
    <m/>
    <m/>
    <m/>
    <m/>
    <m/>
    <m/>
    <m/>
    <x v="1721"/>
    <m/>
    <m/>
  </r>
  <r>
    <x v="23"/>
    <d v="2024-06-09T00:00:00"/>
    <s v="Delta Skymiles Platinum Card ( X ) - Ending in 1007"/>
    <x v="4681"/>
    <n v="25.13"/>
    <x v="1"/>
    <s v="Restaurants"/>
    <s v="Exp - Restaurants"/>
    <m/>
    <m/>
    <m/>
    <m/>
    <m/>
    <m/>
    <x v="4146"/>
    <m/>
    <m/>
  </r>
  <r>
    <x v="23"/>
    <d v="2024-06-09T00:00:00"/>
    <s v="Delta Skymiles Platinum Card ( X ) - Ending in 1007"/>
    <x v="4681"/>
    <n v="20.97"/>
    <x v="1"/>
    <s v="Restaurants"/>
    <s v="Exp - Restaurants"/>
    <m/>
    <m/>
    <m/>
    <m/>
    <m/>
    <m/>
    <x v="4146"/>
    <m/>
    <m/>
  </r>
  <r>
    <x v="23"/>
    <d v="2024-06-09T00:00:00"/>
    <s v="Cash Rewards Visa Signature - Ending in 5913"/>
    <x v="1837"/>
    <n v="23.86"/>
    <x v="19"/>
    <m/>
    <m/>
    <m/>
    <m/>
    <m/>
    <m/>
    <m/>
    <m/>
    <x v="1692"/>
    <m/>
    <m/>
  </r>
  <r>
    <x v="23"/>
    <d v="2024-06-09T00:00:00"/>
    <s v="Cash Rewards Visa Signature - Ending in 5913"/>
    <x v="1941"/>
    <n v="27.53"/>
    <x v="2"/>
    <m/>
    <m/>
    <m/>
    <m/>
    <m/>
    <m/>
    <m/>
    <m/>
    <x v="1794"/>
    <m/>
    <m/>
  </r>
  <r>
    <x v="23"/>
    <d v="2024-06-10T00:00:00"/>
    <s v="Cash Rewards Visa Signature - Ending in 5913"/>
    <x v="4682"/>
    <n v="35.130000000000003"/>
    <x v="1"/>
    <m/>
    <s v="Exp - Restaurants"/>
    <m/>
    <m/>
    <m/>
    <m/>
    <m/>
    <m/>
    <x v="4147"/>
    <m/>
    <m/>
  </r>
  <r>
    <x v="23"/>
    <d v="2024-06-10T00:00:00"/>
    <s v="Delta Skymiles Platinum Card ( X ) - Ending in 1007"/>
    <x v="4683"/>
    <n v="23.88"/>
    <x v="4"/>
    <s v="Delete - Other Expenses"/>
    <s v="Exp - Day Care"/>
    <m/>
    <m/>
    <m/>
    <m/>
    <m/>
    <m/>
    <x v="4148"/>
    <m/>
    <m/>
  </r>
  <r>
    <x v="23"/>
    <d v="2024-06-10T00:00:00"/>
    <s v="Cash Rewards Visa Signature - Ending in 5913"/>
    <x v="1941"/>
    <n v="39.39"/>
    <x v="2"/>
    <m/>
    <m/>
    <m/>
    <m/>
    <m/>
    <m/>
    <m/>
    <m/>
    <x v="1794"/>
    <m/>
    <m/>
  </r>
  <r>
    <x v="23"/>
    <d v="2024-06-11T00:00:00"/>
    <s v="Cash Rewards Visa Signature - Ending in 5913"/>
    <x v="1895"/>
    <n v="-78.02"/>
    <x v="0"/>
    <m/>
    <m/>
    <m/>
    <m/>
    <m/>
    <m/>
    <m/>
    <m/>
    <x v="1748"/>
    <m/>
    <m/>
  </r>
  <r>
    <x v="23"/>
    <d v="2024-06-11T00:00:00"/>
    <s v="Cash Rewards Visa Signature - Ending in 5913"/>
    <x v="1895"/>
    <n v="91.65"/>
    <x v="0"/>
    <m/>
    <m/>
    <m/>
    <m/>
    <m/>
    <m/>
    <m/>
    <m/>
    <x v="1748"/>
    <m/>
    <m/>
  </r>
  <r>
    <x v="23"/>
    <d v="2024-06-11T00:00:00"/>
    <s v="Cash Rewards Visa Signature - Ending in 5913"/>
    <x v="4684"/>
    <n v="54.18"/>
    <x v="0"/>
    <m/>
    <s v="Exp - Amazon"/>
    <m/>
    <m/>
    <m/>
    <m/>
    <m/>
    <m/>
    <x v="4149"/>
    <m/>
    <m/>
  </r>
  <r>
    <x v="23"/>
    <d v="2024-06-11T00:00:00"/>
    <s v="Cash Rewards Visa Signature - Ending in 5913"/>
    <x v="4685"/>
    <n v="10.5"/>
    <x v="0"/>
    <m/>
    <s v="Exp - Amazon"/>
    <m/>
    <m/>
    <m/>
    <m/>
    <m/>
    <m/>
    <x v="4150"/>
    <m/>
    <m/>
  </r>
  <r>
    <x v="23"/>
    <d v="2024-06-11T00:00:00"/>
    <s v="Cash Rewards Visa Signature - Ending in 5913"/>
    <x v="4686"/>
    <n v="67.42"/>
    <x v="0"/>
    <m/>
    <s v="Exp - Amazon"/>
    <m/>
    <m/>
    <m/>
    <m/>
    <m/>
    <m/>
    <x v="4151"/>
    <m/>
    <m/>
  </r>
  <r>
    <x v="23"/>
    <d v="2024-06-11T00:00:00"/>
    <s v="Cash Rewards Visa Signature - Ending in 5913"/>
    <x v="4687"/>
    <n v="19.5"/>
    <x v="0"/>
    <m/>
    <s v="Exp - Amazon"/>
    <m/>
    <m/>
    <m/>
    <m/>
    <m/>
    <m/>
    <x v="4152"/>
    <m/>
    <m/>
  </r>
  <r>
    <x v="23"/>
    <d v="2024-06-11T00:00:00"/>
    <s v="Delta Skymiles Platinum Card ( X ) - Ending in 1007"/>
    <x v="4683"/>
    <n v="15.19"/>
    <x v="4"/>
    <s v="Delete - Other Expenses"/>
    <s v="Exp - Day Care"/>
    <m/>
    <m/>
    <m/>
    <m/>
    <m/>
    <m/>
    <x v="4148"/>
    <m/>
    <m/>
  </r>
  <r>
    <x v="23"/>
    <d v="2024-06-11T00:00:00"/>
    <s v="Cash Rewards Visa Signature - Ending in 5913"/>
    <x v="4688"/>
    <n v="125"/>
    <x v="4"/>
    <m/>
    <s v="Exp - Day Care"/>
    <m/>
    <m/>
    <m/>
    <m/>
    <m/>
    <m/>
    <x v="4153"/>
    <m/>
    <m/>
  </r>
  <r>
    <x v="23"/>
    <d v="2024-06-11T00:00:00"/>
    <s v="Cash Rewards Visa Signature - Ending in 5913"/>
    <x v="99"/>
    <n v="25.6"/>
    <x v="11"/>
    <m/>
    <m/>
    <m/>
    <m/>
    <m/>
    <m/>
    <m/>
    <m/>
    <x v="99"/>
    <m/>
    <m/>
  </r>
  <r>
    <x v="23"/>
    <d v="2024-06-11T00:00:00"/>
    <s v="Delta Skymiles Platinum Card ( X ) - Ending in 1007"/>
    <x v="34"/>
    <n v="23.92"/>
    <x v="12"/>
    <s v="Target"/>
    <m/>
    <m/>
    <m/>
    <m/>
    <m/>
    <m/>
    <m/>
    <x v="34"/>
    <m/>
    <m/>
  </r>
  <r>
    <x v="23"/>
    <d v="2024-06-12T00:00:00"/>
    <s v="Cash Rewards Visa Signature - Ending in 5913"/>
    <x v="0"/>
    <n v="19.489999999999998"/>
    <x v="0"/>
    <m/>
    <m/>
    <m/>
    <m/>
    <m/>
    <m/>
    <m/>
    <m/>
    <x v="0"/>
    <m/>
    <m/>
  </r>
  <r>
    <x v="23"/>
    <d v="2024-06-12T00:00:00"/>
    <s v="Delta Skymiles Platinum Card ( X ) - Ending in 1007"/>
    <x v="4689"/>
    <n v="109.81"/>
    <x v="20"/>
    <s v="Delete - Personal Care"/>
    <s v="Exp - Dry Cleaning"/>
    <m/>
    <m/>
    <m/>
    <m/>
    <m/>
    <m/>
    <x v="4154"/>
    <m/>
    <m/>
  </r>
  <r>
    <x v="65"/>
    <d v="2024-09-30T00:00:00"/>
    <s v="Powerplus - Ending in 8s30"/>
    <x v="4690"/>
    <n v="-48.57"/>
    <x v="3"/>
    <m/>
    <s v="Delete"/>
    <m/>
    <m/>
    <m/>
    <m/>
    <m/>
    <m/>
    <x v="4155"/>
    <m/>
    <m/>
  </r>
  <r>
    <x v="23"/>
    <d v="2024-06-12T00:00:00"/>
    <s v="Cash Rewards Visa Signature - Ending in 5913"/>
    <x v="4140"/>
    <n v="6.53"/>
    <x v="10"/>
    <m/>
    <m/>
    <m/>
    <m/>
    <m/>
    <m/>
    <m/>
    <m/>
    <x v="3674"/>
    <m/>
    <m/>
  </r>
  <r>
    <x v="23"/>
    <d v="2024-06-12T00:00:00"/>
    <s v="Delta Skymiles Platinum Card ( X ) - Ending in 1007"/>
    <x v="4577"/>
    <n v="57.44"/>
    <x v="1"/>
    <s v="Restaurants"/>
    <s v="Exp - Restaurants"/>
    <m/>
    <m/>
    <m/>
    <m/>
    <m/>
    <m/>
    <x v="4056"/>
    <m/>
    <m/>
  </r>
  <r>
    <x v="23"/>
    <d v="2024-06-12T00:00:00"/>
    <s v="Powerplus - Ending in 8s30"/>
    <x v="4691"/>
    <n v="278"/>
    <x v="4"/>
    <m/>
    <s v="Exp - Day Care"/>
    <m/>
    <m/>
    <m/>
    <m/>
    <m/>
    <m/>
    <x v="4108"/>
    <m/>
    <m/>
  </r>
  <r>
    <x v="49"/>
    <d v="2024-10-31T00:00:00"/>
    <s v="Powerplus - Ending in 8s30"/>
    <x v="4692"/>
    <n v="-50.14"/>
    <x v="3"/>
    <m/>
    <s v="Delete"/>
    <m/>
    <m/>
    <m/>
    <m/>
    <m/>
    <m/>
    <x v="4156"/>
    <m/>
    <m/>
  </r>
  <r>
    <x v="23"/>
    <d v="2024-06-13T00:00:00"/>
    <s v="Cash Rewards Visa Signature - Ending in 5913"/>
    <x v="0"/>
    <n v="48.74"/>
    <x v="0"/>
    <m/>
    <m/>
    <m/>
    <m/>
    <m/>
    <m/>
    <m/>
    <m/>
    <x v="0"/>
    <m/>
    <m/>
  </r>
  <r>
    <x v="23"/>
    <d v="2024-06-13T00:00:00"/>
    <s v="Discover More Card - Ending in 7779"/>
    <x v="1895"/>
    <n v="20.99"/>
    <x v="0"/>
    <s v="Amazon"/>
    <m/>
    <m/>
    <m/>
    <m/>
    <m/>
    <m/>
    <m/>
    <x v="1748"/>
    <m/>
    <m/>
  </r>
  <r>
    <x v="23"/>
    <d v="2024-06-13T00:00:00"/>
    <s v="Cash Rewards Visa Signature - Ending in 5913"/>
    <x v="255"/>
    <n v="230.88"/>
    <x v="5"/>
    <m/>
    <m/>
    <m/>
    <m/>
    <m/>
    <m/>
    <m/>
    <m/>
    <x v="253"/>
    <m/>
    <m/>
  </r>
  <r>
    <x v="23"/>
    <d v="2024-06-13T00:00:00"/>
    <s v="Cash Rewards Visa Signature - Ending in 5913"/>
    <x v="4158"/>
    <n v="24.84"/>
    <x v="5"/>
    <m/>
    <m/>
    <m/>
    <m/>
    <m/>
    <m/>
    <m/>
    <m/>
    <x v="3690"/>
    <m/>
    <m/>
  </r>
  <r>
    <x v="23"/>
    <d v="2024-06-13T00:00:00"/>
    <s v="Powerplus - Ending in 8s30"/>
    <x v="4693"/>
    <n v="-1822.2"/>
    <x v="57"/>
    <m/>
    <s v="Inc - Jeff"/>
    <m/>
    <m/>
    <m/>
    <m/>
    <m/>
    <m/>
    <x v="3260"/>
    <m/>
    <m/>
  </r>
  <r>
    <x v="23"/>
    <d v="2024-06-13T00:00:00"/>
    <s v="Cash Rewards Visa Signature - Ending in 5913"/>
    <x v="1993"/>
    <n v="45"/>
    <x v="11"/>
    <m/>
    <m/>
    <m/>
    <m/>
    <m/>
    <m/>
    <m/>
    <m/>
    <x v="1843"/>
    <m/>
    <m/>
  </r>
  <r>
    <x v="23"/>
    <d v="2024-06-13T00:00:00"/>
    <s v="Powerplus - Ending in 8s30"/>
    <x v="3684"/>
    <n v="-3438.4"/>
    <x v="57"/>
    <m/>
    <m/>
    <m/>
    <m/>
    <m/>
    <m/>
    <m/>
    <m/>
    <x v="3245"/>
    <m/>
    <m/>
  </r>
  <r>
    <x v="23"/>
    <d v="2024-06-13T00:00:00"/>
    <s v="Delta Skymiles Platinum Card ( X ) - Ending in 1007"/>
    <x v="4694"/>
    <n v="25.23"/>
    <x v="1"/>
    <s v="Restaurants"/>
    <s v="Exp - Restaurants"/>
    <m/>
    <m/>
    <m/>
    <m/>
    <m/>
    <m/>
    <x v="4157"/>
    <m/>
    <m/>
  </r>
  <r>
    <x v="23"/>
    <d v="2024-06-14T00:00:00"/>
    <s v="Cash Rewards Visa Signature - Ending in 5913"/>
    <x v="0"/>
    <n v="4.43"/>
    <x v="0"/>
    <m/>
    <m/>
    <m/>
    <m/>
    <m/>
    <m/>
    <m/>
    <m/>
    <x v="0"/>
    <m/>
    <m/>
  </r>
  <r>
    <x v="23"/>
    <d v="2024-06-14T00:00:00"/>
    <s v="Delta Skymiles Platinum Card ( X ) - Ending in 1007"/>
    <x v="1895"/>
    <n v="29.24"/>
    <x v="0"/>
    <s v="Amazon"/>
    <m/>
    <m/>
    <m/>
    <m/>
    <m/>
    <m/>
    <m/>
    <x v="1748"/>
    <m/>
    <m/>
  </r>
  <r>
    <x v="23"/>
    <d v="2024-06-14T00:00:00"/>
    <s v="Delta Skymiles Platinum Card ( X ) - Ending in 1007"/>
    <x v="4695"/>
    <n v="54"/>
    <x v="8"/>
    <s v="Dry Cleaning"/>
    <s v="Exp - Shopping"/>
    <m/>
    <m/>
    <m/>
    <m/>
    <m/>
    <m/>
    <x v="4158"/>
    <m/>
    <m/>
  </r>
  <r>
    <x v="23"/>
    <d v="2024-06-14T00:00:00"/>
    <s v="Delta Skymiles Platinum Card ( X ) - Ending in 1007"/>
    <x v="4696"/>
    <n v="20"/>
    <x v="11"/>
    <s v="Restaurants"/>
    <s v="Exp - Utilities"/>
    <m/>
    <m/>
    <m/>
    <m/>
    <m/>
    <m/>
    <x v="4159"/>
    <m/>
    <m/>
  </r>
  <r>
    <x v="23"/>
    <d v="2024-06-14T00:00:00"/>
    <s v="Powerplus - Ending in 8s30"/>
    <x v="3693"/>
    <n v="130.22"/>
    <x v="16"/>
    <m/>
    <m/>
    <m/>
    <m/>
    <m/>
    <m/>
    <m/>
    <m/>
    <x v="3254"/>
    <m/>
    <m/>
  </r>
  <r>
    <x v="48"/>
    <d v="2022-11-01T00:00:00"/>
    <s v="POWERPLUS"/>
    <x v="4697"/>
    <n v="2606.27"/>
    <x v="53"/>
    <e v="#N/A"/>
    <s v="Exp - Rent"/>
    <m/>
    <n v="2606.27"/>
    <m/>
    <m/>
    <s v="debit"/>
    <m/>
    <x v="4019"/>
    <m/>
    <m/>
  </r>
  <r>
    <x v="23"/>
    <d v="2024-06-14T00:00:00"/>
    <s v="Cash Rewards Visa Signature - Ending in 5913"/>
    <x v="1837"/>
    <n v="-23.86"/>
    <x v="19"/>
    <m/>
    <m/>
    <m/>
    <m/>
    <m/>
    <m/>
    <m/>
    <m/>
    <x v="1692"/>
    <m/>
    <m/>
  </r>
  <r>
    <x v="23"/>
    <d v="2024-06-14T00:00:00"/>
    <s v="Cash Rewards Visa Signature - Ending in 5913"/>
    <x v="1837"/>
    <n v="17.329999999999998"/>
    <x v="19"/>
    <m/>
    <m/>
    <m/>
    <m/>
    <m/>
    <m/>
    <m/>
    <m/>
    <x v="1692"/>
    <m/>
    <m/>
  </r>
  <r>
    <x v="65"/>
    <d v="2024-09-19T00:00:00"/>
    <s v="American Express"/>
    <x v="4698"/>
    <n v="2.96"/>
    <x v="3"/>
    <m/>
    <s v="Delete"/>
    <m/>
    <m/>
    <m/>
    <m/>
    <m/>
    <m/>
    <x v="4160"/>
    <m/>
    <m/>
  </r>
  <r>
    <x v="62"/>
    <d v="2024-08-19T00:00:00"/>
    <s v="Delta Skymiles Platinum Card ( X ) - Ending in 1007"/>
    <x v="4699"/>
    <n v="7.34"/>
    <x v="3"/>
    <s v="Groceries"/>
    <s v="Delete"/>
    <m/>
    <m/>
    <m/>
    <m/>
    <m/>
    <m/>
    <x v="4161"/>
    <m/>
    <m/>
  </r>
  <r>
    <x v="62"/>
    <d v="2024-08-19T00:00:00"/>
    <s v="Delta Skymiles Platinum Card ( X ) - Ending in 1007"/>
    <x v="4700"/>
    <n v="28.47"/>
    <x v="3"/>
    <s v="Groceries"/>
    <s v="Delete"/>
    <m/>
    <m/>
    <m/>
    <m/>
    <m/>
    <m/>
    <x v="4162"/>
    <m/>
    <m/>
  </r>
  <r>
    <x v="65"/>
    <d v="2024-09-17T00:00:00"/>
    <s v="American Express"/>
    <x v="4701"/>
    <n v="246.97"/>
    <x v="3"/>
    <m/>
    <s v="Delete"/>
    <m/>
    <m/>
    <m/>
    <m/>
    <m/>
    <m/>
    <x v="4163"/>
    <m/>
    <m/>
  </r>
  <r>
    <x v="23"/>
    <d v="2024-06-16T00:00:00"/>
    <s v="Delta Skymiles Platinum Card ( X ) - Ending in 1007"/>
    <x v="4676"/>
    <n v="4.93"/>
    <x v="5"/>
    <s v="Groceries"/>
    <s v="Exp - Groceries"/>
    <m/>
    <m/>
    <m/>
    <m/>
    <m/>
    <m/>
    <x v="4141"/>
    <m/>
    <m/>
  </r>
  <r>
    <x v="23"/>
    <d v="2024-06-16T00:00:00"/>
    <s v="Delta Skymiles Platinum Card ( X ) - Ending in 1007"/>
    <x v="1895"/>
    <n v="-29.24"/>
    <x v="0"/>
    <s v="Amazon"/>
    <m/>
    <m/>
    <m/>
    <m/>
    <m/>
    <m/>
    <m/>
    <x v="1748"/>
    <m/>
    <m/>
  </r>
  <r>
    <x v="65"/>
    <d v="2024-09-17T00:00:00"/>
    <s v="American Express"/>
    <x v="4702"/>
    <n v="35.92"/>
    <x v="3"/>
    <m/>
    <s v="Delete"/>
    <m/>
    <m/>
    <m/>
    <m/>
    <m/>
    <m/>
    <x v="4164"/>
    <m/>
    <m/>
  </r>
  <r>
    <x v="23"/>
    <d v="2024-06-16T00:00:00"/>
    <s v="Delta Skymiles Platinum Card ( X ) - Ending in 1007"/>
    <x v="2"/>
    <n v="65.680000000000007"/>
    <x v="2"/>
    <s v="Transportation"/>
    <m/>
    <m/>
    <m/>
    <m/>
    <m/>
    <m/>
    <m/>
    <x v="2"/>
    <m/>
    <m/>
  </r>
  <r>
    <x v="23"/>
    <d v="2024-06-17T00:00:00"/>
    <s v="Cash Rewards Visa Signature - Ending in 5913"/>
    <x v="1895"/>
    <n v="-40.950000000000003"/>
    <x v="0"/>
    <m/>
    <m/>
    <m/>
    <m/>
    <m/>
    <m/>
    <m/>
    <m/>
    <x v="1748"/>
    <m/>
    <m/>
  </r>
  <r>
    <x v="23"/>
    <d v="2024-06-17T00:00:00"/>
    <s v="Delta Skymiles Platinum Card ( X ) - Ending in 1007"/>
    <x v="59"/>
    <n v="3.85"/>
    <x v="1"/>
    <s v="Restaurants"/>
    <m/>
    <m/>
    <m/>
    <m/>
    <m/>
    <m/>
    <m/>
    <x v="59"/>
    <m/>
    <m/>
  </r>
  <r>
    <x v="23"/>
    <d v="2024-06-17T00:00:00"/>
    <s v="Delta Skymiles Platinum Card ( X ) - Ending in 1007"/>
    <x v="4703"/>
    <n v="61"/>
    <x v="10"/>
    <s v="Delete - Other Expenses"/>
    <s v="Exp - Entertainment"/>
    <m/>
    <m/>
    <m/>
    <m/>
    <m/>
    <m/>
    <x v="4165"/>
    <m/>
    <m/>
  </r>
  <r>
    <x v="27"/>
    <d v="2024-07-07T00:00:00"/>
    <s v="Delta Skymiles Platinum Card ( X ) - Ending in 1007"/>
    <x v="4704"/>
    <n v="48.34"/>
    <x v="3"/>
    <s v="Car Loan"/>
    <s v="Delete"/>
    <m/>
    <m/>
    <m/>
    <m/>
    <m/>
    <m/>
    <x v="4166"/>
    <m/>
    <m/>
  </r>
  <r>
    <x v="23"/>
    <d v="2024-06-17T00:00:00"/>
    <s v="Powerplus - Ending in 8s30"/>
    <x v="1827"/>
    <n v="125"/>
    <x v="8"/>
    <m/>
    <m/>
    <m/>
    <m/>
    <m/>
    <m/>
    <m/>
    <m/>
    <x v="1682"/>
    <m/>
    <m/>
  </r>
  <r>
    <x v="23"/>
    <d v="2024-06-17T00:00:00"/>
    <s v="Powerplus - Ending in 8s30"/>
    <x v="1827"/>
    <n v="82.5"/>
    <x v="8"/>
    <m/>
    <m/>
    <m/>
    <m/>
    <m/>
    <m/>
    <m/>
    <m/>
    <x v="1682"/>
    <m/>
    <m/>
  </r>
  <r>
    <x v="65"/>
    <d v="2024-09-25T00:00:00"/>
    <s v="American Express"/>
    <x v="4705"/>
    <n v="484.75"/>
    <x v="3"/>
    <m/>
    <s v="Delete"/>
    <m/>
    <m/>
    <m/>
    <m/>
    <m/>
    <m/>
    <x v="4167"/>
    <m/>
    <m/>
  </r>
  <r>
    <x v="27"/>
    <d v="2024-07-10T00:00:00"/>
    <s v="Delta Skymiles Platinum Card ( X ) - Ending in 1007"/>
    <x v="4706"/>
    <n v="537.23"/>
    <x v="3"/>
    <s v="Groceries"/>
    <s v="Delete"/>
    <m/>
    <m/>
    <m/>
    <m/>
    <m/>
    <m/>
    <x v="4168"/>
    <m/>
    <m/>
  </r>
  <r>
    <x v="23"/>
    <d v="2024-06-17T00:00:00"/>
    <s v="Delta Skymiles Platinum Card ( X ) - Ending in 1007"/>
    <x v="4707"/>
    <n v="34.44"/>
    <x v="5"/>
    <s v="Groceries"/>
    <s v="Exp - Groceries"/>
    <m/>
    <m/>
    <m/>
    <m/>
    <m/>
    <m/>
    <x v="4169"/>
    <m/>
    <m/>
  </r>
  <r>
    <x v="23"/>
    <d v="2024-06-18T00:00:00"/>
    <s v="Delta Skymiles Platinum Card ( X ) - Ending in 1007"/>
    <x v="4142"/>
    <n v="9.1999999999999993"/>
    <x v="1"/>
    <s v="Restaurants"/>
    <m/>
    <m/>
    <m/>
    <m/>
    <m/>
    <m/>
    <m/>
    <x v="3676"/>
    <m/>
    <m/>
  </r>
  <r>
    <x v="23"/>
    <d v="2024-06-18T00:00:00"/>
    <s v="Cash Rewards Visa Signature - Ending in 5913"/>
    <x v="4158"/>
    <n v="37.56"/>
    <x v="5"/>
    <m/>
    <m/>
    <m/>
    <m/>
    <m/>
    <m/>
    <m/>
    <m/>
    <x v="3690"/>
    <m/>
    <m/>
  </r>
  <r>
    <x v="23"/>
    <d v="2024-06-18T00:00:00"/>
    <s v="Delta Skymiles Platinum Card ( X ) - Ending in 1007"/>
    <x v="4708"/>
    <n v="14.28"/>
    <x v="1"/>
    <s v="Restaurants"/>
    <s v="Exp - Restaurants"/>
    <m/>
    <m/>
    <m/>
    <m/>
    <m/>
    <m/>
    <x v="4170"/>
    <m/>
    <m/>
  </r>
  <r>
    <x v="23"/>
    <d v="2024-06-18T00:00:00"/>
    <s v="Powerplus - Ending in 8s30"/>
    <x v="4709"/>
    <n v="650"/>
    <x v="9"/>
    <m/>
    <s v="Sav - College Savings"/>
    <m/>
    <m/>
    <m/>
    <m/>
    <m/>
    <m/>
    <x v="3267"/>
    <m/>
    <m/>
  </r>
  <r>
    <x v="23"/>
    <d v="2024-06-19T00:00:00"/>
    <s v="Delta Skymiles Platinum Card ( X ) - Ending in 1007"/>
    <x v="4710"/>
    <n v="34.18"/>
    <x v="1"/>
    <s v="Restaurants"/>
    <s v="Exp - Restaurants"/>
    <m/>
    <m/>
    <m/>
    <m/>
    <m/>
    <m/>
    <x v="4171"/>
    <m/>
    <m/>
  </r>
  <r>
    <x v="23"/>
    <d v="2024-06-19T00:00:00"/>
    <s v="Delta Skymiles Platinum Card ( X ) - Ending in 1007"/>
    <x v="1922"/>
    <n v="7"/>
    <x v="10"/>
    <s v="Entertainment"/>
    <m/>
    <m/>
    <m/>
    <m/>
    <m/>
    <m/>
    <m/>
    <x v="1775"/>
    <m/>
    <m/>
  </r>
  <r>
    <x v="62"/>
    <d v="2024-08-01T00:00:00"/>
    <s v="Delta Skymiles Platinum Card ( X ) - Ending in 1007"/>
    <x v="4242"/>
    <n v="17.329999999999998"/>
    <x v="3"/>
    <s v="Restaurants"/>
    <s v="Delete"/>
    <m/>
    <m/>
    <m/>
    <m/>
    <m/>
    <m/>
    <x v="3765"/>
    <m/>
    <m/>
  </r>
  <r>
    <x v="23"/>
    <d v="2024-06-19T00:00:00"/>
    <s v="Delta Skymiles Platinum Card ( X ) - Ending in 1007"/>
    <x v="579"/>
    <n v="18.260000000000002"/>
    <x v="1"/>
    <s v="Restaurants"/>
    <m/>
    <m/>
    <m/>
    <m/>
    <m/>
    <m/>
    <m/>
    <x v="560"/>
    <m/>
    <m/>
  </r>
  <r>
    <x v="23"/>
    <d v="2024-06-19T00:00:00"/>
    <s v="Delta Skymiles Platinum Card ( X ) - Ending in 1007"/>
    <x v="4711"/>
    <n v="69.69"/>
    <x v="1"/>
    <s v="Restaurants"/>
    <s v="Exp - Restaurants"/>
    <m/>
    <m/>
    <m/>
    <m/>
    <m/>
    <m/>
    <x v="4172"/>
    <m/>
    <m/>
  </r>
  <r>
    <x v="23"/>
    <d v="2024-06-19T00:00:00"/>
    <s v="Delta Skymiles Platinum Card ( X ) - Ending in 1007"/>
    <x v="4712"/>
    <n v="27.16"/>
    <x v="1"/>
    <s v="Restaurants"/>
    <s v="Exp - Restaurants"/>
    <m/>
    <m/>
    <m/>
    <m/>
    <m/>
    <m/>
    <x v="4173"/>
    <m/>
    <m/>
  </r>
  <r>
    <x v="23"/>
    <d v="2024-06-19T00:00:00"/>
    <s v="Cash Rewards Visa Signature - Ending in 5913"/>
    <x v="1941"/>
    <n v="131.80000000000001"/>
    <x v="2"/>
    <m/>
    <m/>
    <m/>
    <m/>
    <m/>
    <m/>
    <m/>
    <m/>
    <x v="1794"/>
    <m/>
    <m/>
  </r>
  <r>
    <x v="23"/>
    <d v="2024-06-20T00:00:00"/>
    <s v="Delta Skymiles Platinum Card ( X ) - Ending in 1007"/>
    <x v="4713"/>
    <n v="49.85"/>
    <x v="8"/>
    <s v="Shopping"/>
    <s v="Exp - Shopping"/>
    <m/>
    <m/>
    <m/>
    <m/>
    <m/>
    <m/>
    <x v="4174"/>
    <m/>
    <m/>
  </r>
  <r>
    <x v="23"/>
    <d v="2024-06-20T00:00:00"/>
    <s v="Delta Skymiles Platinum Card ( X ) - Ending in 1007"/>
    <x v="4714"/>
    <n v="38.96"/>
    <x v="1"/>
    <s v="Restaurants"/>
    <s v="Exp - Restaurants"/>
    <m/>
    <m/>
    <m/>
    <m/>
    <m/>
    <m/>
    <x v="4175"/>
    <m/>
    <m/>
  </r>
  <r>
    <x v="23"/>
    <d v="2024-06-20T00:00:00"/>
    <s v="Delta Skymiles Platinum Card ( X ) - Ending in 1007"/>
    <x v="4715"/>
    <n v="40.799999999999997"/>
    <x v="24"/>
    <s v="Restaurants"/>
    <s v="Exp - Travel"/>
    <m/>
    <m/>
    <m/>
    <m/>
    <m/>
    <m/>
    <x v="4176"/>
    <m/>
    <m/>
  </r>
  <r>
    <x v="23"/>
    <d v="2024-06-20T00:00:00"/>
    <s v="Delta Skymiles Platinum Card ( X ) - Ending in 1007"/>
    <x v="4716"/>
    <n v="69.72"/>
    <x v="5"/>
    <s v="Target"/>
    <s v="Exp - Groceries"/>
    <m/>
    <m/>
    <m/>
    <m/>
    <m/>
    <m/>
    <x v="4177"/>
    <m/>
    <m/>
  </r>
  <r>
    <x v="23"/>
    <d v="2024-06-20T00:00:00"/>
    <s v="Powerplus - Ending in 8s30"/>
    <x v="1893"/>
    <n v="-2666.33"/>
    <x v="34"/>
    <m/>
    <m/>
    <m/>
    <m/>
    <m/>
    <m/>
    <m/>
    <m/>
    <x v="1746"/>
    <m/>
    <m/>
  </r>
  <r>
    <x v="23"/>
    <d v="2024-06-20T00:00:00"/>
    <s v="Cash Rewards Visa Signature - Ending in 5913"/>
    <x v="4168"/>
    <n v="1.99"/>
    <x v="11"/>
    <m/>
    <m/>
    <m/>
    <m/>
    <m/>
    <m/>
    <m/>
    <m/>
    <x v="3699"/>
    <m/>
    <m/>
  </r>
  <r>
    <x v="23"/>
    <d v="2024-06-20T00:00:00"/>
    <s v="Delta Skymiles Platinum Card ( X ) - Ending in 1007"/>
    <x v="1881"/>
    <n v="44.41"/>
    <x v="5"/>
    <s v="Groceries"/>
    <m/>
    <m/>
    <m/>
    <m/>
    <m/>
    <m/>
    <m/>
    <x v="1734"/>
    <m/>
    <m/>
  </r>
  <r>
    <x v="23"/>
    <d v="2024-06-20T00:00:00"/>
    <s v="Powerplus - Ending in 8s30"/>
    <x v="4688"/>
    <n v="1600"/>
    <x v="4"/>
    <m/>
    <s v="Exp - Day Care"/>
    <m/>
    <m/>
    <m/>
    <m/>
    <m/>
    <m/>
    <x v="4153"/>
    <m/>
    <m/>
  </r>
  <r>
    <x v="23"/>
    <d v="2024-06-20T00:00:00"/>
    <s v="Powerplus - Ending in 8s30"/>
    <x v="1849"/>
    <n v="2.99"/>
    <x v="8"/>
    <m/>
    <m/>
    <m/>
    <m/>
    <m/>
    <m/>
    <m/>
    <m/>
    <x v="1704"/>
    <m/>
    <m/>
  </r>
  <r>
    <x v="23"/>
    <d v="2024-06-20T00:00:00"/>
    <s v="Cash Rewards Visa Signature - Ending in 5913"/>
    <x v="1941"/>
    <n v="19.77"/>
    <x v="2"/>
    <m/>
    <m/>
    <m/>
    <m/>
    <m/>
    <m/>
    <m/>
    <m/>
    <x v="1794"/>
    <m/>
    <m/>
  </r>
  <r>
    <x v="23"/>
    <d v="2024-06-20T00:00:00"/>
    <s v="Cash Rewards Visa Signature - Ending in 5913"/>
    <x v="1941"/>
    <n v="19.600000000000001"/>
    <x v="2"/>
    <m/>
    <m/>
    <m/>
    <m/>
    <m/>
    <m/>
    <m/>
    <m/>
    <x v="1794"/>
    <m/>
    <m/>
  </r>
  <r>
    <x v="65"/>
    <d v="2024-09-20T00:00:00"/>
    <s v="American Express"/>
    <x v="4717"/>
    <n v="77.540000000000006"/>
    <x v="3"/>
    <m/>
    <s v="Delete"/>
    <m/>
    <m/>
    <m/>
    <m/>
    <m/>
    <m/>
    <x v="4178"/>
    <m/>
    <m/>
  </r>
  <r>
    <x v="23"/>
    <d v="2024-06-20T00:00:00"/>
    <s v="Powerplus - Ending in 8s30"/>
    <x v="4718"/>
    <n v="278"/>
    <x v="4"/>
    <m/>
    <s v="Exp - Day Care"/>
    <m/>
    <m/>
    <m/>
    <m/>
    <m/>
    <m/>
    <x v="4108"/>
    <m/>
    <m/>
  </r>
  <r>
    <x v="65"/>
    <d v="2024-09-24T00:00:00"/>
    <s v="American Express"/>
    <x v="4719"/>
    <n v="8.18"/>
    <x v="3"/>
    <m/>
    <s v="Delete"/>
    <m/>
    <m/>
    <m/>
    <m/>
    <m/>
    <m/>
    <x v="4179"/>
    <m/>
    <m/>
  </r>
  <r>
    <x v="23"/>
    <d v="2024-06-21T00:00:00"/>
    <s v="Delta Skymiles Platinum Card ( X ) - Ending in 1007"/>
    <x v="4720"/>
    <n v="16"/>
    <x v="8"/>
    <s v="Travel"/>
    <s v="Exp - Shopping"/>
    <m/>
    <m/>
    <m/>
    <m/>
    <m/>
    <m/>
    <x v="4180"/>
    <m/>
    <m/>
  </r>
  <r>
    <x v="23"/>
    <d v="2024-06-21T00:00:00"/>
    <s v="Delta Skymiles Platinum Card ( X ) - Ending in 1007"/>
    <x v="4721"/>
    <n v="181.84"/>
    <x v="1"/>
    <s v="Restaurants"/>
    <s v="Exp - Restaurants"/>
    <m/>
    <m/>
    <m/>
    <m/>
    <m/>
    <m/>
    <x v="4181"/>
    <m/>
    <m/>
  </r>
  <r>
    <x v="23"/>
    <d v="2024-06-21T00:00:00"/>
    <s v="Cash Rewards Visa Signature - Ending in 5913"/>
    <x v="4722"/>
    <n v="11"/>
    <x v="11"/>
    <m/>
    <s v="Exp - Utilities"/>
    <m/>
    <m/>
    <m/>
    <m/>
    <m/>
    <m/>
    <x v="4182"/>
    <m/>
    <m/>
  </r>
  <r>
    <x v="23"/>
    <d v="2024-06-21T00:00:00"/>
    <s v="Delta Skymiles Platinum Card ( X ) - Ending in 1007"/>
    <x v="4723"/>
    <n v="30"/>
    <x v="24"/>
    <s v="Entertainment"/>
    <s v="Exp - Travel"/>
    <m/>
    <m/>
    <m/>
    <m/>
    <m/>
    <m/>
    <x v="4183"/>
    <m/>
    <m/>
  </r>
  <r>
    <x v="23"/>
    <d v="2024-06-21T00:00:00"/>
    <s v="Delta Skymiles Platinum Card ( X ) - Ending in 1007"/>
    <x v="4724"/>
    <n v="2.77"/>
    <x v="2"/>
    <s v="Restaurants"/>
    <s v="Exp - Transportation"/>
    <m/>
    <m/>
    <m/>
    <m/>
    <m/>
    <m/>
    <x v="4184"/>
    <m/>
    <m/>
  </r>
  <r>
    <x v="23"/>
    <d v="2024-06-21T00:00:00"/>
    <s v="Delta Skymiles Platinum Card ( X ) - Ending in 1007"/>
    <x v="4724"/>
    <n v="2.77"/>
    <x v="2"/>
    <s v="Restaurants"/>
    <s v="Exp - Transportation"/>
    <m/>
    <m/>
    <m/>
    <m/>
    <m/>
    <m/>
    <x v="4184"/>
    <m/>
    <m/>
  </r>
  <r>
    <x v="23"/>
    <d v="2024-06-21T00:00:00"/>
    <s v="Delta Skymiles Platinum Card ( X ) - Ending in 1007"/>
    <x v="4725"/>
    <n v="15"/>
    <x v="1"/>
    <s v="Delete - Home Improvement"/>
    <s v="Exp - Restaurants"/>
    <m/>
    <m/>
    <m/>
    <m/>
    <m/>
    <m/>
    <x v="4185"/>
    <m/>
    <m/>
  </r>
  <r>
    <x v="23"/>
    <d v="2024-06-21T00:00:00"/>
    <s v="Delta Skymiles Platinum Card ( X ) - Ending in 1007"/>
    <x v="4726"/>
    <n v="67.5"/>
    <x v="1"/>
    <s v="Restaurants"/>
    <s v="Exp - Restaurants"/>
    <m/>
    <m/>
    <m/>
    <m/>
    <m/>
    <m/>
    <x v="4186"/>
    <m/>
    <m/>
  </r>
  <r>
    <x v="23"/>
    <d v="2024-06-21T00:00:00"/>
    <s v="Delta Skymiles Platinum Card ( X ) - Ending in 1007"/>
    <x v="4727"/>
    <n v="49.89"/>
    <x v="8"/>
    <s v="Dry Cleaning"/>
    <s v="Exp - Shopping"/>
    <m/>
    <m/>
    <m/>
    <m/>
    <m/>
    <m/>
    <x v="4187"/>
    <m/>
    <m/>
  </r>
  <r>
    <x v="23"/>
    <d v="2024-06-21T00:00:00"/>
    <s v="Cash Rewards Visa Signature - Ending in 5913"/>
    <x v="4728"/>
    <n v="30.6"/>
    <x v="8"/>
    <m/>
    <s v="Exp - Shopping"/>
    <m/>
    <m/>
    <m/>
    <m/>
    <m/>
    <m/>
    <x v="4188"/>
    <m/>
    <m/>
  </r>
  <r>
    <x v="23"/>
    <d v="2024-06-21T00:00:00"/>
    <s v="Powerplus - Ending in 8s30"/>
    <x v="4729"/>
    <n v="79.739999999999995"/>
    <x v="11"/>
    <m/>
    <s v="Exp - Utilities"/>
    <m/>
    <m/>
    <m/>
    <m/>
    <m/>
    <m/>
    <x v="3287"/>
    <m/>
    <m/>
  </r>
  <r>
    <x v="23"/>
    <d v="2024-06-22T00:00:00"/>
    <s v="Delta Skymiles Platinum Card ( X ) - Ending in 1007"/>
    <x v="1175"/>
    <n v="83.23"/>
    <x v="24"/>
    <s v="Travel"/>
    <s v="Exp - Travel"/>
    <m/>
    <m/>
    <m/>
    <m/>
    <m/>
    <m/>
    <x v="1117"/>
    <m/>
    <s v="Ireland"/>
  </r>
  <r>
    <x v="23"/>
    <d v="2024-06-22T00:00:00"/>
    <s v="Delta Skymiles Platinum Card ( X ) - Ending in 1007"/>
    <x v="4730"/>
    <n v="419.55"/>
    <x v="24"/>
    <s v="Travel"/>
    <s v="Exp - Travel"/>
    <m/>
    <m/>
    <m/>
    <m/>
    <m/>
    <m/>
    <x v="4189"/>
    <m/>
    <m/>
  </r>
  <r>
    <x v="23"/>
    <d v="2024-06-22T00:00:00"/>
    <s v="Delta Skymiles Platinum Card ( X ) - Ending in 1007"/>
    <x v="4731"/>
    <n v="11.94"/>
    <x v="8"/>
    <s v="Delete - Personal Care"/>
    <s v="Exp - Shopping"/>
    <m/>
    <m/>
    <m/>
    <m/>
    <m/>
    <m/>
    <x v="4190"/>
    <m/>
    <m/>
  </r>
  <r>
    <x v="23"/>
    <d v="2024-06-22T00:00:00"/>
    <s v="Delta Skymiles Platinum Card ( X ) - Ending in 1007"/>
    <x v="4732"/>
    <n v="26.25"/>
    <x v="24"/>
    <s v="Restaurants"/>
    <s v="Exp - Travel"/>
    <m/>
    <m/>
    <m/>
    <m/>
    <m/>
    <m/>
    <x v="4191"/>
    <m/>
    <m/>
  </r>
  <r>
    <x v="23"/>
    <d v="2024-06-22T00:00:00"/>
    <s v="Delta Skymiles Platinum Card ( X ) - Ending in 1007"/>
    <x v="4732"/>
    <n v="146.58000000000001"/>
    <x v="24"/>
    <s v="Restaurants"/>
    <s v="Exp - Travel"/>
    <m/>
    <m/>
    <m/>
    <m/>
    <m/>
    <m/>
    <x v="4191"/>
    <m/>
    <m/>
  </r>
  <r>
    <x v="23"/>
    <d v="2024-06-22T00:00:00"/>
    <s v="Delta Skymiles Platinum Card ( X ) - Ending in 1007"/>
    <x v="4733"/>
    <n v="78.64"/>
    <x v="1"/>
    <s v="Restaurants"/>
    <s v="Exp - Restaurants"/>
    <m/>
    <m/>
    <m/>
    <m/>
    <m/>
    <m/>
    <x v="4192"/>
    <m/>
    <m/>
  </r>
  <r>
    <x v="23"/>
    <d v="2024-06-22T00:00:00"/>
    <s v="Delta Skymiles Platinum Card ( X ) - Ending in 1007"/>
    <x v="4734"/>
    <n v="255.7"/>
    <x v="10"/>
    <s v="Entertainment"/>
    <s v="Exp - Entertainment"/>
    <m/>
    <m/>
    <m/>
    <m/>
    <m/>
    <m/>
    <x v="4193"/>
    <m/>
    <m/>
  </r>
  <r>
    <x v="23"/>
    <d v="2024-06-22T00:00:00"/>
    <s v="Delta Skymiles Platinum Card ( X ) - Ending in 1007"/>
    <x v="4727"/>
    <n v="181.16"/>
    <x v="8"/>
    <s v="Dry Cleaning"/>
    <s v="Exp - Shopping"/>
    <m/>
    <m/>
    <m/>
    <m/>
    <m/>
    <m/>
    <x v="4187"/>
    <m/>
    <m/>
  </r>
  <r>
    <x v="23"/>
    <d v="2024-06-23T00:00:00"/>
    <s v="Delta Skymiles Platinum Card ( X ) - Ending in 1007"/>
    <x v="4735"/>
    <n v="101.11"/>
    <x v="1"/>
    <s v="Restaurants"/>
    <s v="Exp - Restaurants"/>
    <m/>
    <m/>
    <m/>
    <m/>
    <m/>
    <m/>
    <x v="4194"/>
    <m/>
    <m/>
  </r>
  <r>
    <x v="23"/>
    <d v="2024-06-23T00:00:00"/>
    <s v="Delta Skymiles Platinum Card ( X ) - Ending in 1007"/>
    <x v="4499"/>
    <n v="215"/>
    <x v="4"/>
    <s v="Cable/Satellite"/>
    <m/>
    <m/>
    <m/>
    <m/>
    <m/>
    <m/>
    <m/>
    <x v="3994"/>
    <m/>
    <m/>
  </r>
  <r>
    <x v="23"/>
    <d v="2024-06-23T00:00:00"/>
    <s v="Cash Rewards Visa Signature - Ending in 5913"/>
    <x v="4736"/>
    <n v="2.02"/>
    <x v="2"/>
    <m/>
    <s v="Exp - Transportation"/>
    <m/>
    <m/>
    <m/>
    <m/>
    <m/>
    <m/>
    <x v="4195"/>
    <m/>
    <m/>
  </r>
  <r>
    <x v="23"/>
    <d v="2024-06-23T00:00:00"/>
    <s v="Delta Skymiles Platinum Card ( X ) - Ending in 1007"/>
    <x v="823"/>
    <n v="36.24"/>
    <x v="2"/>
    <s v="Transportation"/>
    <m/>
    <m/>
    <m/>
    <m/>
    <m/>
    <m/>
    <m/>
    <x v="792"/>
    <m/>
    <m/>
  </r>
  <r>
    <x v="23"/>
    <d v="2024-06-23T00:00:00"/>
    <s v="Delta Skymiles Platinum Card ( X ) - Ending in 1007"/>
    <x v="823"/>
    <n v="6.29"/>
    <x v="2"/>
    <s v="Transportation"/>
    <m/>
    <m/>
    <m/>
    <m/>
    <m/>
    <m/>
    <m/>
    <x v="792"/>
    <m/>
    <m/>
  </r>
  <r>
    <x v="23"/>
    <d v="2024-06-23T00:00:00"/>
    <s v="Cash Rewards Visa Signature - Ending in 5913"/>
    <x v="4737"/>
    <n v="25.86"/>
    <x v="24"/>
    <m/>
    <s v="Exp - Travel"/>
    <m/>
    <m/>
    <m/>
    <m/>
    <m/>
    <m/>
    <x v="4196"/>
    <m/>
    <m/>
  </r>
  <r>
    <x v="23"/>
    <d v="2024-06-23T00:00:00"/>
    <s v="Delta Skymiles Platinum Card ( X ) - Ending in 1007"/>
    <x v="4738"/>
    <n v="107.89"/>
    <x v="10"/>
    <s v="Restaurants"/>
    <s v="Exp - Entertainment"/>
    <m/>
    <m/>
    <m/>
    <m/>
    <m/>
    <m/>
    <x v="4197"/>
    <m/>
    <m/>
  </r>
  <r>
    <x v="23"/>
    <d v="2024-06-23T00:00:00"/>
    <s v="Delta Skymiles Platinum Card ( X ) - Ending in 1007"/>
    <x v="4739"/>
    <n v="40.049999999999997"/>
    <x v="10"/>
    <s v="Restaurants"/>
    <s v="Exp - Entertainment"/>
    <m/>
    <m/>
    <m/>
    <m/>
    <m/>
    <m/>
    <x v="4198"/>
    <m/>
    <m/>
  </r>
  <r>
    <x v="23"/>
    <d v="2024-06-23T00:00:00"/>
    <s v="Delta Skymiles Platinum Card ( X ) - Ending in 1007"/>
    <x v="4740"/>
    <n v="1029.3599999999999"/>
    <x v="24"/>
    <s v="Travel"/>
    <s v="Exp - Travel"/>
    <m/>
    <m/>
    <m/>
    <m/>
    <m/>
    <m/>
    <x v="4199"/>
    <m/>
    <m/>
  </r>
  <r>
    <x v="23"/>
    <d v="2024-06-24T00:00:00"/>
    <s v="Delta Skymiles Platinum Card ( X ) - Ending in 1007"/>
    <x v="57"/>
    <n v="129.27000000000001"/>
    <x v="25"/>
    <s v="Groceries"/>
    <m/>
    <m/>
    <m/>
    <m/>
    <m/>
    <m/>
    <m/>
    <x v="57"/>
    <m/>
    <m/>
  </r>
  <r>
    <x v="27"/>
    <d v="2024-07-09T00:00:00"/>
    <s v="Delta Skymiles Platinum Card ( X ) - Ending in 1007"/>
    <x v="1487"/>
    <n v="477.36"/>
    <x v="3"/>
    <s v="Travel"/>
    <m/>
    <m/>
    <m/>
    <m/>
    <m/>
    <m/>
    <m/>
    <x v="1396"/>
    <m/>
    <m/>
  </r>
  <r>
    <x v="23"/>
    <d v="2024-06-24T00:00:00"/>
    <s v="Delta Skymiles Platinum Card ( X ) - Ending in 1007"/>
    <x v="4741"/>
    <n v="123.53"/>
    <x v="1"/>
    <s v="Healthcare"/>
    <s v="Exp - Restaurants"/>
    <m/>
    <m/>
    <m/>
    <m/>
    <m/>
    <m/>
    <x v="4200"/>
    <m/>
    <m/>
  </r>
  <r>
    <x v="23"/>
    <d v="2024-06-24T00:00:00"/>
    <s v="Powerplus - Ending in 8s30"/>
    <x v="1849"/>
    <n v="5"/>
    <x v="8"/>
    <m/>
    <m/>
    <m/>
    <m/>
    <m/>
    <m/>
    <m/>
    <m/>
    <x v="1704"/>
    <m/>
    <m/>
  </r>
  <r>
    <x v="23"/>
    <d v="2024-06-24T00:00:00"/>
    <s v="Powerplus - Ending in 8s30"/>
    <x v="1849"/>
    <n v="2.65"/>
    <x v="8"/>
    <m/>
    <m/>
    <m/>
    <m/>
    <m/>
    <m/>
    <m/>
    <m/>
    <x v="1704"/>
    <m/>
    <m/>
  </r>
  <r>
    <x v="23"/>
    <d v="2024-06-24T00:00:00"/>
    <s v="Powerplus - Ending in 8s30"/>
    <x v="1849"/>
    <n v="1.64"/>
    <x v="8"/>
    <m/>
    <m/>
    <m/>
    <m/>
    <m/>
    <m/>
    <m/>
    <m/>
    <x v="1704"/>
    <m/>
    <m/>
  </r>
  <r>
    <x v="23"/>
    <d v="2024-06-24T00:00:00"/>
    <s v="Powerplus - Ending in 8s30"/>
    <x v="1827"/>
    <n v="180"/>
    <x v="8"/>
    <m/>
    <m/>
    <m/>
    <m/>
    <m/>
    <m/>
    <m/>
    <m/>
    <x v="1682"/>
    <m/>
    <m/>
  </r>
  <r>
    <x v="23"/>
    <d v="2024-06-25T00:00:00"/>
    <s v="Discover More Card - Ending in 7779"/>
    <x v="1895"/>
    <n v="23.83"/>
    <x v="0"/>
    <s v="Amazon"/>
    <m/>
    <m/>
    <m/>
    <m/>
    <m/>
    <m/>
    <m/>
    <x v="1748"/>
    <m/>
    <m/>
  </r>
  <r>
    <x v="27"/>
    <d v="2024-07-12T00:00:00"/>
    <s v="Delta Skymiles Platinum Card ( X ) - Ending in 1007"/>
    <x v="1487"/>
    <n v="292.58999999999997"/>
    <x v="3"/>
    <s v="Travel"/>
    <s v="Delete"/>
    <m/>
    <m/>
    <m/>
    <m/>
    <m/>
    <m/>
    <x v="1396"/>
    <m/>
    <m/>
  </r>
  <r>
    <x v="23"/>
    <d v="2024-06-25T00:00:00"/>
    <s v="Delta Skymiles Platinum Card ( X ) - Ending in 1007"/>
    <x v="188"/>
    <n v="39.07"/>
    <x v="1"/>
    <s v="Restaurants"/>
    <m/>
    <m/>
    <m/>
    <m/>
    <m/>
    <m/>
    <m/>
    <x v="187"/>
    <m/>
    <m/>
  </r>
  <r>
    <x v="43"/>
    <d v="2022-08-01T00:00:00"/>
    <s v="POWERPLUS"/>
    <x v="4742"/>
    <n v="2572.94"/>
    <x v="53"/>
    <e v="#N/A"/>
    <s v="Exp - Rent"/>
    <m/>
    <n v="2572.94"/>
    <m/>
    <m/>
    <s v="debit"/>
    <m/>
    <x v="4019"/>
    <m/>
    <m/>
  </r>
  <r>
    <x v="23"/>
    <d v="2024-06-26T00:00:00"/>
    <s v="Delta Skymiles Platinum Card ( X ) - Ending in 1007"/>
    <x v="4623"/>
    <n v="24"/>
    <x v="10"/>
    <s v="Delete - Online Services"/>
    <s v="Exp - Entertainment"/>
    <m/>
    <m/>
    <m/>
    <m/>
    <m/>
    <m/>
    <x v="4098"/>
    <m/>
    <m/>
  </r>
  <r>
    <x v="23"/>
    <d v="2024-06-26T00:00:00"/>
    <s v="Powerplus - Ending in 8s30"/>
    <x v="308"/>
    <n v="139.74"/>
    <x v="8"/>
    <m/>
    <m/>
    <m/>
    <m/>
    <m/>
    <m/>
    <m/>
    <m/>
    <x v="300"/>
    <m/>
    <m/>
  </r>
  <r>
    <x v="23"/>
    <d v="2024-06-26T00:00:00"/>
    <s v="Powerplus - Ending in 8s30"/>
    <x v="3734"/>
    <n v="836.13"/>
    <x v="12"/>
    <m/>
    <m/>
    <m/>
    <m/>
    <m/>
    <m/>
    <m/>
    <m/>
    <x v="3293"/>
    <m/>
    <m/>
  </r>
  <r>
    <x v="23"/>
    <d v="2024-06-26T00:00:00"/>
    <s v="Powerplus - Ending in 8s30"/>
    <x v="3684"/>
    <n v="-3438.41"/>
    <x v="57"/>
    <m/>
    <m/>
    <m/>
    <m/>
    <m/>
    <m/>
    <m/>
    <m/>
    <x v="3245"/>
    <m/>
    <m/>
  </r>
  <r>
    <x v="65"/>
    <d v="2024-09-21T00:00:00"/>
    <s v="American Express"/>
    <x v="4743"/>
    <n v="209.73"/>
    <x v="3"/>
    <m/>
    <s v="Delete"/>
    <m/>
    <m/>
    <m/>
    <m/>
    <m/>
    <m/>
    <x v="4201"/>
    <m/>
    <m/>
  </r>
  <r>
    <x v="23"/>
    <d v="2024-06-26T00:00:00"/>
    <s v="Delta Skymiles Platinum Card ( X ) - Ending in 1007"/>
    <x v="382"/>
    <n v="10.8"/>
    <x v="28"/>
    <s v="Delete - Postage &amp; Shipping"/>
    <m/>
    <m/>
    <m/>
    <m/>
    <m/>
    <m/>
    <m/>
    <x v="369"/>
    <m/>
    <m/>
  </r>
  <r>
    <x v="23"/>
    <d v="2024-06-26T00:00:00"/>
    <s v="Powerplus - Ending in 8s30"/>
    <x v="4744"/>
    <n v="39.86"/>
    <x v="11"/>
    <m/>
    <s v="Exp - Utilities"/>
    <m/>
    <m/>
    <m/>
    <m/>
    <m/>
    <m/>
    <x v="3912"/>
    <m/>
    <m/>
  </r>
  <r>
    <x v="23"/>
    <d v="2024-06-26T00:00:00"/>
    <s v="Powerplus - Ending in 8s30"/>
    <x v="4745"/>
    <n v="278"/>
    <x v="4"/>
    <m/>
    <s v="Exp - Day Care"/>
    <m/>
    <m/>
    <m/>
    <m/>
    <m/>
    <m/>
    <x v="4108"/>
    <m/>
    <m/>
  </r>
  <r>
    <x v="23"/>
    <d v="2024-06-27T00:00:00"/>
    <s v="Delta Skymiles Platinum Card ( X ) - Ending in 1007"/>
    <x v="4746"/>
    <n v="10.81"/>
    <x v="1"/>
    <s v="Restaurants"/>
    <s v="Exp - Restaurants"/>
    <m/>
    <m/>
    <m/>
    <m/>
    <m/>
    <m/>
    <x v="4202"/>
    <m/>
    <m/>
  </r>
  <r>
    <x v="23"/>
    <d v="2024-06-27T00:00:00"/>
    <s v="Delta Skymiles Platinum Card ( X ) - Ending in 1007"/>
    <x v="4499"/>
    <n v="-294"/>
    <x v="4"/>
    <s v="Refunds &amp; Reimbursements"/>
    <m/>
    <m/>
    <m/>
    <m/>
    <m/>
    <m/>
    <m/>
    <x v="3994"/>
    <m/>
    <m/>
  </r>
  <r>
    <x v="65"/>
    <d v="2024-09-19T00:00:00"/>
    <s v="American Express"/>
    <x v="4747"/>
    <n v="357.74"/>
    <x v="3"/>
    <m/>
    <s v="Delete"/>
    <m/>
    <m/>
    <m/>
    <m/>
    <m/>
    <m/>
    <x v="4203"/>
    <m/>
    <m/>
  </r>
  <r>
    <x v="23"/>
    <d v="2024-06-27T00:00:00"/>
    <s v="Powerplus - Ending in 8s30"/>
    <x v="4748"/>
    <n v="-1918.87"/>
    <x v="57"/>
    <m/>
    <s v="Inc - Jeff"/>
    <m/>
    <m/>
    <m/>
    <m/>
    <m/>
    <m/>
    <x v="3260"/>
    <m/>
    <m/>
  </r>
  <r>
    <x v="65"/>
    <d v="2024-09-25T00:00:00"/>
    <s v="American Express"/>
    <x v="4749"/>
    <n v="40.26"/>
    <x v="3"/>
    <m/>
    <s v="Delete"/>
    <m/>
    <m/>
    <m/>
    <m/>
    <m/>
    <m/>
    <x v="4204"/>
    <m/>
    <m/>
  </r>
  <r>
    <x v="27"/>
    <d v="2024-07-17T00:00:00"/>
    <s v="Delta Skymiles Platinum Card ( X ) - Ending in 1007"/>
    <x v="4262"/>
    <n v="312.49"/>
    <x v="3"/>
    <s v="Travel"/>
    <s v="Delete"/>
    <m/>
    <m/>
    <m/>
    <m/>
    <m/>
    <m/>
    <x v="3784"/>
    <m/>
    <m/>
  </r>
  <r>
    <x v="23"/>
    <d v="2024-06-27T00:00:00"/>
    <s v="Powerplus - Ending in 8s30"/>
    <x v="1849"/>
    <n v="21.25"/>
    <x v="8"/>
    <m/>
    <m/>
    <m/>
    <m/>
    <m/>
    <m/>
    <m/>
    <m/>
    <x v="1704"/>
    <m/>
    <m/>
  </r>
  <r>
    <x v="23"/>
    <d v="2024-06-27T00:00:00"/>
    <s v="Delta Skymiles Platinum Card ( X ) - Ending in 1007"/>
    <x v="4750"/>
    <n v="53.15"/>
    <x v="1"/>
    <s v="Restaurants"/>
    <s v="Exp - Restaurants"/>
    <m/>
    <m/>
    <m/>
    <m/>
    <m/>
    <m/>
    <x v="4205"/>
    <m/>
    <m/>
  </r>
  <r>
    <x v="65"/>
    <d v="2024-09-24T00:00:00"/>
    <s v="American Express"/>
    <x v="4751"/>
    <n v="312.32"/>
    <x v="3"/>
    <m/>
    <s v="Delete"/>
    <m/>
    <m/>
    <m/>
    <m/>
    <m/>
    <m/>
    <x v="4206"/>
    <m/>
    <m/>
  </r>
  <r>
    <x v="23"/>
    <d v="2024-06-28T00:00:00"/>
    <s v="Delta Skymiles Platinum Card ( X ) - Ending in 1007"/>
    <x v="577"/>
    <n v="31.63"/>
    <x v="1"/>
    <s v="Restaurants"/>
    <m/>
    <m/>
    <m/>
    <m/>
    <m/>
    <m/>
    <m/>
    <x v="558"/>
    <m/>
    <m/>
  </r>
  <r>
    <x v="65"/>
    <d v="2024-09-16T00:00:00"/>
    <s v="American Express"/>
    <x v="4752"/>
    <n v="42.99"/>
    <x v="3"/>
    <m/>
    <s v="Delete"/>
    <m/>
    <m/>
    <m/>
    <m/>
    <m/>
    <m/>
    <x v="4207"/>
    <m/>
    <m/>
  </r>
  <r>
    <x v="23"/>
    <d v="2024-06-28T00:00:00"/>
    <s v="Powerplus - Ending in 8s30"/>
    <x v="3693"/>
    <n v="71.2"/>
    <x v="16"/>
    <m/>
    <m/>
    <m/>
    <m/>
    <m/>
    <m/>
    <m/>
    <m/>
    <x v="3254"/>
    <m/>
    <m/>
  </r>
  <r>
    <x v="62"/>
    <d v="2024-08-18T00:00:00"/>
    <s v="Delta Skymiles Platinum Card ( X ) - Ending in 1007"/>
    <x v="1881"/>
    <n v="43.03"/>
    <x v="3"/>
    <s v="Groceries"/>
    <s v="Delete"/>
    <m/>
    <m/>
    <m/>
    <m/>
    <m/>
    <m/>
    <x v="1734"/>
    <m/>
    <m/>
  </r>
  <r>
    <x v="23"/>
    <d v="2024-06-28T00:00:00"/>
    <s v="Delta Skymiles Platinum Card ( X ) - Ending in 1007"/>
    <x v="2"/>
    <n v="38.83"/>
    <x v="2"/>
    <s v="Transportation"/>
    <m/>
    <m/>
    <m/>
    <m/>
    <m/>
    <m/>
    <m/>
    <x v="2"/>
    <m/>
    <m/>
  </r>
  <r>
    <x v="23"/>
    <d v="2024-06-28T00:00:00"/>
    <s v="Cash Rewards Visa Signature - Ending in 5913"/>
    <x v="4753"/>
    <n v="63"/>
    <x v="4"/>
    <m/>
    <s v="Exp - Day Care"/>
    <m/>
    <m/>
    <m/>
    <m/>
    <m/>
    <m/>
    <x v="4208"/>
    <m/>
    <m/>
  </r>
  <r>
    <x v="23"/>
    <d v="2024-06-28T00:00:00"/>
    <s v="Powerplus - Ending in 8s30"/>
    <x v="1849"/>
    <n v="0.99"/>
    <x v="8"/>
    <m/>
    <m/>
    <m/>
    <m/>
    <m/>
    <m/>
    <m/>
    <m/>
    <x v="1704"/>
    <m/>
    <m/>
  </r>
  <r>
    <x v="23"/>
    <d v="2024-06-28T00:00:00"/>
    <s v="Delta Skymiles Platinum Card ( X ) - Ending in 1007"/>
    <x v="4754"/>
    <n v="24.4"/>
    <x v="1"/>
    <s v="Car Loan"/>
    <s v="Exp - Restaurants"/>
    <m/>
    <m/>
    <m/>
    <m/>
    <m/>
    <m/>
    <x v="4209"/>
    <m/>
    <m/>
  </r>
  <r>
    <x v="23"/>
    <d v="2024-06-29T00:00:00"/>
    <s v="Delta Skymiles Platinum Card ( X ) - Ending in 1007"/>
    <x v="4755"/>
    <n v="4"/>
    <x v="11"/>
    <s v="Delete - Online Services"/>
    <s v="Exp - Utilities"/>
    <m/>
    <m/>
    <m/>
    <m/>
    <m/>
    <m/>
    <x v="4210"/>
    <m/>
    <m/>
  </r>
  <r>
    <x v="23"/>
    <d v="2024-06-30T00:00:00"/>
    <s v="Cash Rewards Visa Signature - Ending in 5913"/>
    <x v="0"/>
    <n v="-14.08"/>
    <x v="0"/>
    <m/>
    <m/>
    <m/>
    <m/>
    <m/>
    <m/>
    <m/>
    <m/>
    <x v="0"/>
    <m/>
    <m/>
  </r>
  <r>
    <x v="23"/>
    <d v="2024-06-30T00:00:00"/>
    <s v="Cash Rewards Visa Signature - Ending in 5913"/>
    <x v="0"/>
    <n v="-4.43"/>
    <x v="0"/>
    <m/>
    <m/>
    <m/>
    <m/>
    <m/>
    <m/>
    <m/>
    <m/>
    <x v="0"/>
    <m/>
    <m/>
  </r>
  <r>
    <x v="23"/>
    <d v="2024-06-30T00:00:00"/>
    <s v="Powerplus - Ending in 8s30"/>
    <x v="2412"/>
    <n v="-2.25"/>
    <x v="13"/>
    <m/>
    <m/>
    <m/>
    <m/>
    <m/>
    <m/>
    <m/>
    <m/>
    <x v="2228"/>
    <m/>
    <m/>
  </r>
  <r>
    <x v="23"/>
    <d v="2024-06-30T00:00:00"/>
    <s v="Powerplus - Ending in 8s30"/>
    <x v="4756"/>
    <n v="-48.49"/>
    <x v="13"/>
    <m/>
    <s v="Inc - Other"/>
    <m/>
    <m/>
    <m/>
    <m/>
    <m/>
    <m/>
    <x v="4211"/>
    <m/>
    <m/>
  </r>
  <r>
    <x v="23"/>
    <d v="2024-06-30T00:00:00"/>
    <s v="Delta Skymiles Platinum Card ( X ) - Ending in 1007"/>
    <x v="4707"/>
    <n v="95.29"/>
    <x v="5"/>
    <s v="Groceries"/>
    <s v="Exp - Groceries"/>
    <m/>
    <m/>
    <m/>
    <m/>
    <m/>
    <m/>
    <x v="4169"/>
    <m/>
    <m/>
  </r>
  <r>
    <x v="27"/>
    <d v="2024-07-01T00:00:00"/>
    <s v="Cash Rewards Visa Signature - Ending in 5913"/>
    <x v="4757"/>
    <n v="6.49"/>
    <x v="0"/>
    <m/>
    <s v="Exp - Amazon"/>
    <m/>
    <m/>
    <m/>
    <m/>
    <m/>
    <m/>
    <x v="4212"/>
    <m/>
    <m/>
  </r>
  <r>
    <x v="27"/>
    <d v="2024-07-01T00:00:00"/>
    <s v="Delta Skymiles Platinum Card ( X ) - Ending in 1007"/>
    <x v="890"/>
    <n v="26.5"/>
    <x v="1"/>
    <s v="Restaurants"/>
    <m/>
    <m/>
    <m/>
    <m/>
    <m/>
    <m/>
    <m/>
    <x v="855"/>
    <m/>
    <m/>
  </r>
  <r>
    <x v="27"/>
    <d v="2024-07-01T00:00:00"/>
    <s v="Powerplus - Ending in 8s30"/>
    <x v="4407"/>
    <n v="196.58"/>
    <x v="11"/>
    <m/>
    <m/>
    <m/>
    <m/>
    <m/>
    <m/>
    <m/>
    <m/>
    <x v="3913"/>
    <m/>
    <m/>
  </r>
  <r>
    <x v="27"/>
    <d v="2024-07-01T00:00:00"/>
    <s v="Powerplus - Ending in 8s30"/>
    <x v="1844"/>
    <n v="2741.74"/>
    <x v="6"/>
    <m/>
    <m/>
    <m/>
    <m/>
    <m/>
    <m/>
    <m/>
    <m/>
    <x v="1699"/>
    <m/>
    <m/>
  </r>
  <r>
    <x v="27"/>
    <d v="2024-07-01T00:00:00"/>
    <s v="Delta Skymiles Platinum Card ( X ) - Ending in 1007"/>
    <x v="4758"/>
    <n v="35"/>
    <x v="1"/>
    <s v="Restaurants"/>
    <s v="Exp - Restaurants"/>
    <m/>
    <m/>
    <m/>
    <m/>
    <m/>
    <m/>
    <x v="4213"/>
    <m/>
    <m/>
  </r>
  <r>
    <x v="27"/>
    <d v="2024-07-01T00:00:00"/>
    <s v="Powerplus - Ending in 8s30"/>
    <x v="3996"/>
    <n v="650"/>
    <x v="9"/>
    <m/>
    <s v="Sav - College Savings"/>
    <m/>
    <m/>
    <m/>
    <m/>
    <m/>
    <m/>
    <x v="3539"/>
    <m/>
    <m/>
  </r>
  <r>
    <x v="27"/>
    <d v="2024-07-02T00:00:00"/>
    <s v="Cash Rewards Visa Signature - Ending in 5913"/>
    <x v="4502"/>
    <n v="95"/>
    <x v="10"/>
    <m/>
    <m/>
    <m/>
    <m/>
    <m/>
    <m/>
    <m/>
    <m/>
    <x v="3996"/>
    <m/>
    <m/>
  </r>
  <r>
    <x v="27"/>
    <d v="2024-07-02T00:00:00"/>
    <s v="Delta Skymiles Platinum Card ( X ) - Ending in 1007"/>
    <x v="4758"/>
    <n v="75.75"/>
    <x v="1"/>
    <s v="Restaurants"/>
    <s v="Exp - Restaurants"/>
    <m/>
    <m/>
    <m/>
    <m/>
    <m/>
    <m/>
    <x v="4213"/>
    <m/>
    <m/>
  </r>
  <r>
    <x v="27"/>
    <d v="2024-07-03T00:00:00"/>
    <s v="Delta Skymiles Platinum Card ( X ) - Ending in 1007"/>
    <x v="4662"/>
    <n v="455.07"/>
    <x v="8"/>
    <s v="Dry Cleaning"/>
    <s v="Exp - Shopping"/>
    <m/>
    <m/>
    <m/>
    <m/>
    <m/>
    <m/>
    <x v="4132"/>
    <m/>
    <m/>
  </r>
  <r>
    <x v="27"/>
    <d v="2024-07-03T00:00:00"/>
    <s v="Delta Skymiles Platinum Card ( X ) - Ending in 1007"/>
    <x v="4662"/>
    <n v="89.64"/>
    <x v="8"/>
    <s v="Dry Cleaning"/>
    <s v="Exp - Shopping"/>
    <m/>
    <m/>
    <m/>
    <m/>
    <m/>
    <m/>
    <x v="4132"/>
    <m/>
    <m/>
  </r>
  <r>
    <x v="27"/>
    <d v="2024-07-03T00:00:00"/>
    <s v="Powerplus - Ending in 8s30"/>
    <x v="4759"/>
    <n v="278"/>
    <x v="4"/>
    <m/>
    <s v="Exp - Day Care"/>
    <m/>
    <m/>
    <m/>
    <m/>
    <m/>
    <m/>
    <x v="4108"/>
    <m/>
    <m/>
  </r>
  <r>
    <x v="27"/>
    <d v="2024-07-04T00:00:00"/>
    <s v="Delta Skymiles Platinum Card ( X ) - Ending in 1007"/>
    <x v="4760"/>
    <n v="68.459999999999994"/>
    <x v="1"/>
    <s v="Restaurants"/>
    <s v="Exp - Restaurants"/>
    <m/>
    <m/>
    <m/>
    <m/>
    <m/>
    <m/>
    <x v="4214"/>
    <m/>
    <m/>
  </r>
  <r>
    <x v="27"/>
    <d v="2024-07-04T00:00:00"/>
    <s v="Powerplus - Ending in 8s30"/>
    <x v="1893"/>
    <n v="-2666.32"/>
    <x v="34"/>
    <m/>
    <m/>
    <m/>
    <m/>
    <m/>
    <m/>
    <m/>
    <m/>
    <x v="1746"/>
    <m/>
    <m/>
  </r>
  <r>
    <x v="23"/>
    <d v="2024-06-05T00:00:00"/>
    <s v="Delta Skymiles Platinum Card ( X ) - Ending in 1007"/>
    <x v="4761"/>
    <n v="233.88"/>
    <x v="3"/>
    <s v="Travel"/>
    <s v="Delete"/>
    <m/>
    <m/>
    <m/>
    <m/>
    <m/>
    <m/>
    <x v="4215"/>
    <m/>
    <m/>
  </r>
  <r>
    <x v="27"/>
    <d v="2024-07-04T00:00:00"/>
    <s v="Powerplus - Ending in 8s30"/>
    <x v="4762"/>
    <n v="-1112.95"/>
    <x v="57"/>
    <m/>
    <s v="Inc - Jeff"/>
    <m/>
    <m/>
    <m/>
    <m/>
    <m/>
    <m/>
    <x v="3260"/>
    <m/>
    <m/>
  </r>
  <r>
    <x v="27"/>
    <d v="2024-07-05T00:00:00"/>
    <s v="Delta Skymiles Platinum Card ( X ) - Ending in 1007"/>
    <x v="4763"/>
    <n v="100.13"/>
    <x v="1"/>
    <s v="Groceries"/>
    <s v="Exp - Restaurants"/>
    <m/>
    <m/>
    <m/>
    <m/>
    <m/>
    <m/>
    <x v="4216"/>
    <m/>
    <m/>
  </r>
  <r>
    <x v="27"/>
    <d v="2024-07-05T00:00:00"/>
    <s v="Delta Skymiles Platinum Card ( X ) - Ending in 1007"/>
    <x v="2044"/>
    <n v="168.5"/>
    <x v="8"/>
    <s v="Shopping"/>
    <m/>
    <m/>
    <m/>
    <m/>
    <m/>
    <m/>
    <m/>
    <x v="1894"/>
    <m/>
    <m/>
  </r>
  <r>
    <x v="27"/>
    <d v="2024-07-06T00:00:00"/>
    <s v="Delta Skymiles Platinum Card ( X ) - Ending in 1007"/>
    <x v="4112"/>
    <n v="20.83"/>
    <x v="10"/>
    <s v="Entertainment"/>
    <m/>
    <m/>
    <m/>
    <m/>
    <m/>
    <m/>
    <m/>
    <x v="3647"/>
    <m/>
    <m/>
  </r>
  <r>
    <x v="27"/>
    <d v="2024-07-06T00:00:00"/>
    <s v="Delta Skymiles Platinum Card ( X ) - Ending in 1007"/>
    <x v="4764"/>
    <n v="10.91"/>
    <x v="8"/>
    <s v="Delete - Personal Care"/>
    <s v="Exp - Shopping"/>
    <m/>
    <m/>
    <m/>
    <m/>
    <m/>
    <m/>
    <x v="4217"/>
    <m/>
    <m/>
  </r>
  <r>
    <x v="65"/>
    <d v="2024-09-26T00:00:00"/>
    <s v="American Express"/>
    <x v="4765"/>
    <n v="558.23"/>
    <x v="3"/>
    <m/>
    <s v="Delete"/>
    <m/>
    <m/>
    <m/>
    <m/>
    <m/>
    <m/>
    <x v="4218"/>
    <m/>
    <m/>
  </r>
  <r>
    <x v="27"/>
    <d v="2024-07-07T00:00:00"/>
    <s v="Manual"/>
    <x v="1850"/>
    <n v="250"/>
    <x v="56"/>
    <m/>
    <s v="Exp - Cleaning"/>
    <m/>
    <m/>
    <m/>
    <m/>
    <m/>
    <m/>
    <x v="1705"/>
    <m/>
    <m/>
  </r>
  <r>
    <x v="61"/>
    <d v="2024-02-08T00:00:00"/>
    <s v="Discover More Card - Ending in 7779"/>
    <x v="56"/>
    <n v="-474.32"/>
    <x v="3"/>
    <s v="Credit Card Payments"/>
    <m/>
    <m/>
    <m/>
    <m/>
    <m/>
    <m/>
    <m/>
    <x v="56"/>
    <m/>
    <m/>
  </r>
  <r>
    <x v="27"/>
    <d v="2024-07-08T00:00:00"/>
    <s v="Cash Rewards Visa Signature - Ending in 5913"/>
    <x v="255"/>
    <n v="134.09"/>
    <x v="5"/>
    <m/>
    <m/>
    <m/>
    <m/>
    <m/>
    <m/>
    <m/>
    <m/>
    <x v="253"/>
    <m/>
    <m/>
  </r>
  <r>
    <x v="27"/>
    <d v="2024-07-08T00:00:00"/>
    <s v="Delta Skymiles Platinum Card ( X ) - Ending in 1007"/>
    <x v="4352"/>
    <n v="35.479999999999997"/>
    <x v="20"/>
    <s v="Delete - Personal Care"/>
    <m/>
    <m/>
    <m/>
    <m/>
    <m/>
    <m/>
    <m/>
    <x v="3864"/>
    <m/>
    <m/>
  </r>
  <r>
    <x v="27"/>
    <d v="2024-07-09T00:00:00"/>
    <s v="Cash Rewards Visa Signature - Ending in 5913"/>
    <x v="1895"/>
    <n v="59.61"/>
    <x v="0"/>
    <m/>
    <m/>
    <m/>
    <m/>
    <m/>
    <m/>
    <m/>
    <m/>
    <x v="1748"/>
    <m/>
    <m/>
  </r>
  <r>
    <x v="61"/>
    <d v="2024-02-22T00:00:00"/>
    <s v="Discover More Card - Ending in 7779"/>
    <x v="56"/>
    <n v="-840.68"/>
    <x v="3"/>
    <s v="Credit Card Payments"/>
    <m/>
    <m/>
    <m/>
    <m/>
    <m/>
    <m/>
    <m/>
    <x v="56"/>
    <m/>
    <m/>
  </r>
  <r>
    <x v="23"/>
    <d v="2024-06-27T00:00:00"/>
    <s v="Discover More Card - Ending in 7779"/>
    <x v="56"/>
    <n v="-748.44"/>
    <x v="3"/>
    <s v="Credit Card Payments"/>
    <m/>
    <m/>
    <m/>
    <m/>
    <m/>
    <m/>
    <m/>
    <x v="56"/>
    <m/>
    <m/>
  </r>
  <r>
    <x v="62"/>
    <d v="2024-08-15T00:00:00"/>
    <s v="Discover More Card - Ending in 7779"/>
    <x v="56"/>
    <n v="-283.05"/>
    <x v="3"/>
    <s v="Credit Card Payments"/>
    <m/>
    <m/>
    <m/>
    <m/>
    <m/>
    <m/>
    <m/>
    <x v="56"/>
    <m/>
    <m/>
  </r>
  <r>
    <x v="27"/>
    <d v="2024-07-09T00:00:00"/>
    <s v="Cash Rewards Visa Signature - Ending in 5913"/>
    <x v="1867"/>
    <n v="47.69"/>
    <x v="27"/>
    <m/>
    <m/>
    <m/>
    <m/>
    <m/>
    <m/>
    <m/>
    <m/>
    <x v="1721"/>
    <m/>
    <m/>
  </r>
  <r>
    <x v="27"/>
    <d v="2024-07-10T00:00:00"/>
    <s v="Powerplus - Ending in 8s30"/>
    <x v="3652"/>
    <n v="-75"/>
    <x v="34"/>
    <m/>
    <m/>
    <m/>
    <m/>
    <m/>
    <m/>
    <m/>
    <m/>
    <x v="3214"/>
    <m/>
    <m/>
  </r>
  <r>
    <x v="63"/>
    <d v="2024-11-13T00:00:00"/>
    <s v="Discover"/>
    <x v="56"/>
    <n v="-812.82"/>
    <x v="3"/>
    <m/>
    <m/>
    <m/>
    <m/>
    <m/>
    <m/>
    <m/>
    <m/>
    <x v="56"/>
    <m/>
    <m/>
  </r>
  <r>
    <x v="23"/>
    <d v="2024-06-17T00:00:00"/>
    <s v="Delta Skymiles Platinum Card ( X ) - Ending in 1007"/>
    <x v="4292"/>
    <n v="28.2"/>
    <x v="3"/>
    <s v="Delete - Other Expenses"/>
    <m/>
    <m/>
    <m/>
    <m/>
    <m/>
    <m/>
    <m/>
    <x v="3810"/>
    <m/>
    <m/>
  </r>
  <r>
    <x v="27"/>
    <d v="2024-07-10T00:00:00"/>
    <s v="Delta Skymiles Platinum Card ( X ) - Ending in 1007"/>
    <x v="1121"/>
    <n v="112.5"/>
    <x v="8"/>
    <s v="Dry Cleaning"/>
    <m/>
    <m/>
    <m/>
    <m/>
    <m/>
    <m/>
    <m/>
    <x v="1067"/>
    <m/>
    <m/>
  </r>
  <r>
    <x v="27"/>
    <d v="2024-07-10T00:00:00"/>
    <s v="Powerplus - Ending in 8s30"/>
    <x v="1869"/>
    <n v="181.84"/>
    <x v="11"/>
    <m/>
    <m/>
    <m/>
    <m/>
    <m/>
    <m/>
    <m/>
    <m/>
    <x v="1723"/>
    <m/>
    <m/>
  </r>
  <r>
    <x v="27"/>
    <d v="2024-07-09T00:00:00"/>
    <s v="Delta Skymiles Platinum Card ( X ) - Ending in 1007"/>
    <x v="4292"/>
    <n v="13.6"/>
    <x v="3"/>
    <s v="Delete - Other Expenses"/>
    <m/>
    <m/>
    <m/>
    <m/>
    <m/>
    <m/>
    <m/>
    <x v="3810"/>
    <m/>
    <m/>
  </r>
  <r>
    <x v="27"/>
    <d v="2024-07-10T00:00:00"/>
    <s v="Delta Skymiles Platinum Card ( X ) - Ending in 1007"/>
    <x v="4766"/>
    <n v="175.5"/>
    <x v="8"/>
    <s v="Shopping"/>
    <s v="Exp - Shopping"/>
    <m/>
    <m/>
    <m/>
    <m/>
    <m/>
    <m/>
    <x v="4219"/>
    <m/>
    <m/>
  </r>
  <r>
    <x v="27"/>
    <d v="2024-07-10T00:00:00"/>
    <s v="Delta Skymiles Platinum Card ( X ) - Ending in 1007"/>
    <x v="4766"/>
    <n v="208.5"/>
    <x v="8"/>
    <s v="Shopping"/>
    <s v="Exp - Shopping"/>
    <m/>
    <m/>
    <m/>
    <m/>
    <m/>
    <m/>
    <x v="4219"/>
    <m/>
    <m/>
  </r>
  <r>
    <x v="27"/>
    <d v="2024-07-10T00:00:00"/>
    <s v="Powerplus - Ending in 8s30"/>
    <x v="1849"/>
    <n v="16.34"/>
    <x v="8"/>
    <m/>
    <m/>
    <m/>
    <m/>
    <m/>
    <m/>
    <m/>
    <m/>
    <x v="1704"/>
    <m/>
    <m/>
  </r>
  <r>
    <x v="27"/>
    <d v="2024-07-10T00:00:00"/>
    <s v="Cash Rewards Visa Signature - Ending in 5913"/>
    <x v="1941"/>
    <n v="84.18"/>
    <x v="2"/>
    <m/>
    <m/>
    <m/>
    <m/>
    <m/>
    <m/>
    <m/>
    <m/>
    <x v="1794"/>
    <m/>
    <m/>
  </r>
  <r>
    <x v="27"/>
    <d v="2024-07-10T00:00:00"/>
    <s v="Powerplus - Ending in 8s30"/>
    <x v="4767"/>
    <n v="278"/>
    <x v="4"/>
    <m/>
    <s v="Exp - Day Care"/>
    <m/>
    <m/>
    <m/>
    <m/>
    <m/>
    <m/>
    <x v="4108"/>
    <m/>
    <m/>
  </r>
  <r>
    <x v="27"/>
    <d v="2024-07-11T00:00:00"/>
    <s v="Cash Rewards Visa Signature - Ending in 5913"/>
    <x v="0"/>
    <n v="-48.74"/>
    <x v="0"/>
    <m/>
    <m/>
    <m/>
    <m/>
    <m/>
    <m/>
    <m/>
    <m/>
    <x v="0"/>
    <m/>
    <m/>
  </r>
  <r>
    <x v="23"/>
    <d v="2024-06-07T00:00:00"/>
    <s v="Delta Skymiles Platinum Card ( X ) - Ending in 1007"/>
    <x v="796"/>
    <n v="29.67"/>
    <x v="3"/>
    <s v="Groceries"/>
    <s v="Delete"/>
    <m/>
    <m/>
    <m/>
    <m/>
    <m/>
    <m/>
    <x v="766"/>
    <m/>
    <m/>
  </r>
  <r>
    <x v="27"/>
    <d v="2024-07-11T00:00:00"/>
    <s v="Cash Rewards Visa Signature - Ending in 5913"/>
    <x v="99"/>
    <n v="25.6"/>
    <x v="11"/>
    <m/>
    <m/>
    <m/>
    <m/>
    <m/>
    <m/>
    <m/>
    <m/>
    <x v="99"/>
    <m/>
    <m/>
  </r>
  <r>
    <x v="27"/>
    <d v="2024-07-12T00:00:00"/>
    <s v="Delta Skymiles Platinum Card ( X ) - Ending in 1007"/>
    <x v="4148"/>
    <n v="9.99"/>
    <x v="5"/>
    <s v="Groceries"/>
    <m/>
    <m/>
    <m/>
    <m/>
    <m/>
    <m/>
    <m/>
    <x v="3680"/>
    <m/>
    <m/>
  </r>
  <r>
    <x v="27"/>
    <d v="2024-07-12T00:00:00"/>
    <s v="Delta Skymiles Platinum Card ( X ) - Ending in 1007"/>
    <x v="4768"/>
    <n v="49.9"/>
    <x v="1"/>
    <s v="Delete - Personal Care"/>
    <s v="Exp - Restaurants"/>
    <m/>
    <m/>
    <m/>
    <m/>
    <m/>
    <m/>
    <x v="4220"/>
    <m/>
    <m/>
  </r>
  <r>
    <x v="27"/>
    <d v="2024-07-12T00:00:00"/>
    <s v="Delta Skymiles Platinum Card ( X ) - Ending in 1007"/>
    <x v="4769"/>
    <n v="240.74"/>
    <x v="24"/>
    <s v="Travel"/>
    <s v="Exp - Travel"/>
    <m/>
    <m/>
    <m/>
    <m/>
    <m/>
    <m/>
    <x v="4221"/>
    <m/>
    <s v="Ireland"/>
  </r>
  <r>
    <x v="27"/>
    <d v="2024-07-12T00:00:00"/>
    <s v="Cash Rewards Visa Signature - Ending in 5913"/>
    <x v="4140"/>
    <n v="6.53"/>
    <x v="10"/>
    <m/>
    <m/>
    <m/>
    <m/>
    <m/>
    <m/>
    <m/>
    <m/>
    <x v="3674"/>
    <m/>
    <m/>
  </r>
  <r>
    <x v="23"/>
    <d v="2024-06-07T00:00:00"/>
    <s v="Delta Skymiles Platinum Card ( X ) - Ending in 1007"/>
    <x v="823"/>
    <n v="10.27"/>
    <x v="3"/>
    <s v="Transportation"/>
    <s v="Delete"/>
    <m/>
    <m/>
    <m/>
    <m/>
    <m/>
    <m/>
    <x v="792"/>
    <m/>
    <m/>
  </r>
  <r>
    <x v="27"/>
    <d v="2024-07-12T00:00:00"/>
    <s v="Delta Skymiles Platinum Card ( X ) - Ending in 1007"/>
    <x v="4770"/>
    <n v="4.6900000000000004"/>
    <x v="8"/>
    <s v="Dry Cleaning"/>
    <s v="Exp - Shopping"/>
    <m/>
    <m/>
    <m/>
    <m/>
    <m/>
    <m/>
    <x v="4222"/>
    <m/>
    <m/>
  </r>
  <r>
    <x v="61"/>
    <d v="2024-02-28T00:00:00"/>
    <s v="Delta Skymiles Platinum Card - Ending in 1007"/>
    <x v="4771"/>
    <n v="1299.54"/>
    <x v="3"/>
    <s v="Travel"/>
    <s v="Delete"/>
    <m/>
    <m/>
    <m/>
    <m/>
    <m/>
    <m/>
    <x v="4223"/>
    <m/>
    <m/>
  </r>
  <r>
    <x v="61"/>
    <d v="2024-02-28T00:00:00"/>
    <s v="Delta Skymiles Platinum Card - Ending in 1007"/>
    <x v="4771"/>
    <n v="310.8"/>
    <x v="3"/>
    <s v="Travel"/>
    <s v="Delete"/>
    <m/>
    <m/>
    <m/>
    <m/>
    <m/>
    <m/>
    <x v="4223"/>
    <m/>
    <m/>
  </r>
  <r>
    <x v="27"/>
    <d v="2024-07-12T00:00:00"/>
    <s v="Delta Skymiles Platinum Card ( X ) - Ending in 1007"/>
    <x v="150"/>
    <n v="3.03"/>
    <x v="10"/>
    <s v="Entertainment"/>
    <s v="Exp - Entertainment"/>
    <m/>
    <m/>
    <m/>
    <m/>
    <m/>
    <m/>
    <x v="149"/>
    <m/>
    <m/>
  </r>
  <r>
    <x v="27"/>
    <d v="2024-07-12T00:00:00"/>
    <s v="Delta Skymiles Platinum Card ( X ) - Ending in 1007"/>
    <x v="4772"/>
    <n v="119.19"/>
    <x v="3"/>
    <s v="Restaurants"/>
    <s v="Delete"/>
    <m/>
    <m/>
    <m/>
    <m/>
    <m/>
    <m/>
    <x v="4224"/>
    <m/>
    <m/>
  </r>
  <r>
    <x v="27"/>
    <d v="2024-07-12T00:00:00"/>
    <s v="Delta Skymiles Platinum Card ( X ) - Ending in 1007"/>
    <x v="668"/>
    <n v="12.6"/>
    <x v="8"/>
    <s v="Shopping"/>
    <s v="Exp - Shopping"/>
    <m/>
    <m/>
    <m/>
    <m/>
    <m/>
    <m/>
    <x v="646"/>
    <m/>
    <m/>
  </r>
  <r>
    <x v="27"/>
    <d v="2024-07-13T00:00:00"/>
    <s v="Discover More Card - Ending in 7779"/>
    <x v="0"/>
    <n v="100.71"/>
    <x v="0"/>
    <s v="Amazon"/>
    <m/>
    <m/>
    <m/>
    <m/>
    <m/>
    <m/>
    <m/>
    <x v="0"/>
    <m/>
    <m/>
  </r>
  <r>
    <x v="27"/>
    <d v="2024-07-13T00:00:00"/>
    <s v="Discover More Card - Ending in 7779"/>
    <x v="1895"/>
    <n v="63.46"/>
    <x v="0"/>
    <s v="Amazon"/>
    <m/>
    <m/>
    <m/>
    <m/>
    <m/>
    <m/>
    <m/>
    <x v="1748"/>
    <m/>
    <m/>
  </r>
  <r>
    <x v="27"/>
    <d v="2024-07-14T00:00:00"/>
    <s v="Cash Rewards Visa Signature - Ending in 5913"/>
    <x v="1895"/>
    <n v="27.08"/>
    <x v="0"/>
    <m/>
    <m/>
    <m/>
    <m/>
    <m/>
    <m/>
    <m/>
    <m/>
    <x v="1748"/>
    <m/>
    <m/>
  </r>
  <r>
    <x v="27"/>
    <d v="2024-07-14T00:00:00"/>
    <s v="Cash Rewards Visa Signature - Ending in 5913"/>
    <x v="1895"/>
    <n v="97.28"/>
    <x v="0"/>
    <m/>
    <m/>
    <m/>
    <m/>
    <m/>
    <m/>
    <m/>
    <m/>
    <x v="1748"/>
    <m/>
    <m/>
  </r>
  <r>
    <x v="27"/>
    <d v="2024-07-14T00:00:00"/>
    <s v="Delta Skymiles Platinum Card ( X ) - Ending in 1007"/>
    <x v="237"/>
    <n v="15.88"/>
    <x v="1"/>
    <s v="Restaurants"/>
    <m/>
    <m/>
    <m/>
    <m/>
    <m/>
    <m/>
    <m/>
    <x v="235"/>
    <m/>
    <m/>
  </r>
  <r>
    <x v="65"/>
    <d v="2024-09-20T00:00:00"/>
    <s v="American Express"/>
    <x v="4773"/>
    <n v="36.44"/>
    <x v="3"/>
    <m/>
    <s v="Delete"/>
    <m/>
    <m/>
    <m/>
    <m/>
    <m/>
    <m/>
    <x v="4225"/>
    <m/>
    <m/>
  </r>
  <r>
    <x v="63"/>
    <d v="2024-11-17T00:00:00"/>
    <s v="American Express"/>
    <x v="4774"/>
    <n v="28.35"/>
    <x v="3"/>
    <m/>
    <s v="Delete"/>
    <m/>
    <m/>
    <m/>
    <m/>
    <m/>
    <m/>
    <x v="4226"/>
    <m/>
    <m/>
  </r>
  <r>
    <x v="27"/>
    <d v="2024-07-14T00:00:00"/>
    <s v="Delta Skymiles Platinum Card ( X ) - Ending in 1007"/>
    <x v="4696"/>
    <n v="20"/>
    <x v="11"/>
    <s v="Restaurants"/>
    <s v="Exp - Utilities"/>
    <m/>
    <m/>
    <m/>
    <m/>
    <m/>
    <m/>
    <x v="4159"/>
    <m/>
    <m/>
  </r>
  <r>
    <x v="27"/>
    <d v="2024-07-14T00:00:00"/>
    <s v="Cash Rewards Visa Signature - Ending in 5913"/>
    <x v="1993"/>
    <n v="45"/>
    <x v="11"/>
    <m/>
    <m/>
    <m/>
    <m/>
    <m/>
    <m/>
    <m/>
    <m/>
    <x v="1843"/>
    <m/>
    <m/>
  </r>
  <r>
    <x v="27"/>
    <d v="2024-07-14T00:00:00"/>
    <s v="Powerplus - Ending in 8s30"/>
    <x v="3684"/>
    <n v="-3238.06"/>
    <x v="57"/>
    <m/>
    <m/>
    <m/>
    <m/>
    <m/>
    <m/>
    <m/>
    <m/>
    <x v="3245"/>
    <m/>
    <m/>
  </r>
  <r>
    <x v="27"/>
    <d v="2024-07-14T00:00:00"/>
    <s v="Delta Skymiles Platinum Card ( X ) - Ending in 1007"/>
    <x v="1837"/>
    <n v="55.75"/>
    <x v="19"/>
    <s v="House Maintenance"/>
    <m/>
    <m/>
    <m/>
    <m/>
    <m/>
    <m/>
    <m/>
    <x v="1692"/>
    <m/>
    <m/>
  </r>
  <r>
    <x v="27"/>
    <d v="2024-07-14T00:00:00"/>
    <s v="Delta Skymiles Platinum Card ( X ) - Ending in 1007"/>
    <x v="3445"/>
    <n v="8.7100000000000009"/>
    <x v="3"/>
    <s v="Travel"/>
    <s v="Delete"/>
    <m/>
    <m/>
    <m/>
    <m/>
    <m/>
    <m/>
    <x v="3036"/>
    <m/>
    <m/>
  </r>
  <r>
    <x v="27"/>
    <d v="2024-07-15T00:00:00"/>
    <s v="Delta Skymiles Platinum Card ( X ) - Ending in 1007"/>
    <x v="3556"/>
    <n v="26.95"/>
    <x v="5"/>
    <s v="Groceries"/>
    <m/>
    <m/>
    <m/>
    <m/>
    <m/>
    <m/>
    <m/>
    <x v="3136"/>
    <m/>
    <m/>
  </r>
  <r>
    <x v="27"/>
    <d v="2024-07-15T00:00:00"/>
    <s v="Delta Skymiles Platinum Card ( X ) - Ending in 1007"/>
    <x v="3556"/>
    <n v="27.22"/>
    <x v="5"/>
    <s v="Groceries"/>
    <m/>
    <m/>
    <m/>
    <m/>
    <m/>
    <m/>
    <m/>
    <x v="3136"/>
    <m/>
    <m/>
  </r>
  <r>
    <x v="27"/>
    <d v="2024-07-15T00:00:00"/>
    <s v="Powerplus - Ending in 8s30"/>
    <x v="3693"/>
    <n v="120.46"/>
    <x v="16"/>
    <m/>
    <m/>
    <m/>
    <m/>
    <m/>
    <m/>
    <m/>
    <m/>
    <x v="3254"/>
    <m/>
    <m/>
  </r>
  <r>
    <x v="27"/>
    <d v="2024-07-15T00:00:00"/>
    <s v="Powerplus - Ending in 8s30"/>
    <x v="1827"/>
    <n v="57"/>
    <x v="8"/>
    <m/>
    <m/>
    <m/>
    <m/>
    <m/>
    <m/>
    <m/>
    <m/>
    <x v="1682"/>
    <m/>
    <m/>
  </r>
  <r>
    <x v="64"/>
    <d v="2024-04-13T00:00:00"/>
    <s v="Delta Skymiles Platinum Card ( X ) - Ending in 1007"/>
    <x v="3633"/>
    <n v="-5188.2"/>
    <x v="3"/>
    <s v="Delete"/>
    <m/>
    <m/>
    <m/>
    <m/>
    <m/>
    <m/>
    <m/>
    <x v="3195"/>
    <m/>
    <m/>
  </r>
  <r>
    <x v="27"/>
    <d v="2024-07-16T00:00:00"/>
    <s v="Delta Skymiles Platinum Card ( X ) - Ending in 1007"/>
    <x v="4499"/>
    <n v="463"/>
    <x v="4"/>
    <s v="Cable/Satellite"/>
    <m/>
    <m/>
    <m/>
    <m/>
    <m/>
    <m/>
    <m/>
    <x v="3994"/>
    <m/>
    <m/>
  </r>
  <r>
    <x v="27"/>
    <d v="2024-07-16T00:00:00"/>
    <s v="Delta Skymiles Platinum Card ( X ) - Ending in 1007"/>
    <x v="4775"/>
    <n v="136.94999999999999"/>
    <x v="5"/>
    <s v="Groceries"/>
    <s v="Exp - Groceries"/>
    <m/>
    <m/>
    <m/>
    <m/>
    <m/>
    <m/>
    <x v="4227"/>
    <m/>
    <m/>
  </r>
  <r>
    <x v="27"/>
    <d v="2024-07-16T00:00:00"/>
    <s v="Delta Skymiles Platinum Card ( X ) - Ending in 1007"/>
    <x v="823"/>
    <n v="70.260000000000005"/>
    <x v="2"/>
    <s v="Transportation"/>
    <m/>
    <m/>
    <m/>
    <m/>
    <m/>
    <m/>
    <m/>
    <x v="792"/>
    <m/>
    <m/>
  </r>
  <r>
    <x v="23"/>
    <d v="2024-06-27T00:00:00"/>
    <s v="Delta Skymiles Platinum Card ( X ) - Ending in 1007"/>
    <x v="3633"/>
    <n v="-8733.2999999999993"/>
    <x v="3"/>
    <s v="Delete"/>
    <m/>
    <m/>
    <m/>
    <m/>
    <m/>
    <m/>
    <m/>
    <x v="3195"/>
    <m/>
    <m/>
  </r>
  <r>
    <x v="50"/>
    <d v="2024-12-12T00:00:00"/>
    <s v="American Express"/>
    <x v="3633"/>
    <n v="-4465.47"/>
    <x v="3"/>
    <m/>
    <m/>
    <m/>
    <m/>
    <m/>
    <m/>
    <m/>
    <m/>
    <x v="3195"/>
    <m/>
    <m/>
  </r>
  <r>
    <x v="65"/>
    <d v="2024-09-09T00:00:00"/>
    <s v="American Express"/>
    <x v="4776"/>
    <n v="16.55"/>
    <x v="3"/>
    <m/>
    <s v="Delete"/>
    <m/>
    <m/>
    <m/>
    <m/>
    <m/>
    <m/>
    <x v="4228"/>
    <m/>
    <m/>
  </r>
  <r>
    <x v="27"/>
    <d v="2024-07-16T00:00:00"/>
    <s v="Delta Skymiles Platinum Card ( X ) - Ending in 1007"/>
    <x v="4777"/>
    <n v="5.0999999999999996"/>
    <x v="1"/>
    <s v="Restaurants"/>
    <s v="Exp - Restaurants"/>
    <m/>
    <m/>
    <m/>
    <m/>
    <m/>
    <m/>
    <x v="4229"/>
    <m/>
    <m/>
  </r>
  <r>
    <x v="27"/>
    <d v="2024-07-16T00:00:00"/>
    <s v="Delta Skymiles Platinum Card ( X ) - Ending in 1007"/>
    <x v="1338"/>
    <n v="22.15"/>
    <x v="5"/>
    <s v="Groceries"/>
    <m/>
    <m/>
    <m/>
    <m/>
    <m/>
    <m/>
    <m/>
    <x v="1265"/>
    <m/>
    <m/>
  </r>
  <r>
    <x v="27"/>
    <d v="2024-07-16T00:00:00"/>
    <s v="Delta Skymiles Platinum Card ( X ) - Ending in 1007"/>
    <x v="1338"/>
    <n v="91.71"/>
    <x v="5"/>
    <s v="Groceries"/>
    <m/>
    <m/>
    <m/>
    <m/>
    <m/>
    <m/>
    <m/>
    <x v="1265"/>
    <m/>
    <m/>
  </r>
  <r>
    <x v="27"/>
    <d v="2024-07-17T00:00:00"/>
    <s v="Cash Rewards Visa Signature - Ending in 5913"/>
    <x v="255"/>
    <n v="208.2"/>
    <x v="5"/>
    <m/>
    <m/>
    <m/>
    <m/>
    <m/>
    <m/>
    <m/>
    <m/>
    <x v="253"/>
    <m/>
    <m/>
  </r>
  <r>
    <x v="27"/>
    <d v="2024-07-17T00:00:00"/>
    <s v="Cash Rewards Visa Signature - Ending in 5913"/>
    <x v="4158"/>
    <n v="46.41"/>
    <x v="5"/>
    <m/>
    <m/>
    <m/>
    <m/>
    <m/>
    <m/>
    <m/>
    <m/>
    <x v="3690"/>
    <m/>
    <m/>
  </r>
  <r>
    <x v="63"/>
    <d v="2024-11-17T00:00:00"/>
    <s v="American Express"/>
    <x v="4778"/>
    <n v="21.14"/>
    <x v="3"/>
    <m/>
    <s v="Delete"/>
    <m/>
    <m/>
    <m/>
    <m/>
    <m/>
    <m/>
    <x v="4230"/>
    <m/>
    <m/>
  </r>
  <r>
    <x v="27"/>
    <d v="2024-07-09T00:00:00"/>
    <s v="Delta Skymiles Platinum Card ( X ) - Ending in 1007"/>
    <x v="4779"/>
    <n v="48.69"/>
    <x v="3"/>
    <s v="Travel"/>
    <s v="Delete"/>
    <m/>
    <m/>
    <m/>
    <m/>
    <m/>
    <m/>
    <x v="4231"/>
    <m/>
    <m/>
  </r>
  <r>
    <x v="27"/>
    <d v="2024-07-17T00:00:00"/>
    <s v="Powerplus - Ending in 8s30"/>
    <x v="1849"/>
    <n v="23.97"/>
    <x v="8"/>
    <m/>
    <m/>
    <m/>
    <m/>
    <m/>
    <m/>
    <m/>
    <m/>
    <x v="1704"/>
    <m/>
    <m/>
  </r>
  <r>
    <x v="27"/>
    <d v="2024-07-17T00:00:00"/>
    <s v="Powerplus - Ending in 8s30"/>
    <x v="1827"/>
    <n v="43"/>
    <x v="8"/>
    <m/>
    <m/>
    <m/>
    <m/>
    <m/>
    <m/>
    <m/>
    <m/>
    <x v="1682"/>
    <m/>
    <m/>
  </r>
  <r>
    <x v="27"/>
    <d v="2024-07-17T00:00:00"/>
    <s v="Powerplus - Ending in 8s30"/>
    <x v="4780"/>
    <n v="278"/>
    <x v="4"/>
    <m/>
    <s v="Exp - Day Care"/>
    <m/>
    <m/>
    <m/>
    <m/>
    <m/>
    <m/>
    <x v="4108"/>
    <m/>
    <m/>
  </r>
  <r>
    <x v="27"/>
    <d v="2024-07-18T00:00:00"/>
    <s v="Powerplus - Ending in 8s30"/>
    <x v="1893"/>
    <n v="-2868.58"/>
    <x v="34"/>
    <m/>
    <m/>
    <m/>
    <m/>
    <m/>
    <m/>
    <m/>
    <m/>
    <x v="1746"/>
    <m/>
    <m/>
  </r>
  <r>
    <x v="27"/>
    <d v="2024-07-18T00:00:00"/>
    <s v="Delta Skymiles Platinum Card ( X ) - Ending in 1007"/>
    <x v="4352"/>
    <n v="48.57"/>
    <x v="20"/>
    <s v="Delete - Personal Care"/>
    <m/>
    <m/>
    <m/>
    <m/>
    <m/>
    <m/>
    <m/>
    <x v="3864"/>
    <m/>
    <m/>
  </r>
  <r>
    <x v="27"/>
    <d v="2024-07-18T00:00:00"/>
    <s v="Powerplus - Ending in 8s30"/>
    <x v="1827"/>
    <n v="200"/>
    <x v="8"/>
    <m/>
    <m/>
    <m/>
    <m/>
    <m/>
    <m/>
    <m/>
    <m/>
    <x v="1682"/>
    <m/>
    <m/>
  </r>
  <r>
    <x v="27"/>
    <d v="2024-07-18T00:00:00"/>
    <s v="Powerplus - Ending in 8s30"/>
    <x v="4781"/>
    <n v="650"/>
    <x v="9"/>
    <m/>
    <s v="Sav - College Savings"/>
    <m/>
    <m/>
    <m/>
    <m/>
    <m/>
    <m/>
    <x v="3267"/>
    <m/>
    <m/>
  </r>
  <r>
    <x v="27"/>
    <d v="2024-07-19T00:00:00"/>
    <s v="Delta Skymiles Platinum Card ( X ) - Ending in 1007"/>
    <x v="890"/>
    <n v="21.21"/>
    <x v="1"/>
    <s v="Restaurants"/>
    <m/>
    <m/>
    <m/>
    <m/>
    <m/>
    <m/>
    <m/>
    <x v="855"/>
    <m/>
    <m/>
  </r>
  <r>
    <x v="27"/>
    <d v="2024-07-14T00:00:00"/>
    <s v="Delta Skymiles Platinum Card ( X ) - Ending in 1007"/>
    <x v="4779"/>
    <n v="70.400000000000006"/>
    <x v="3"/>
    <s v="Travel"/>
    <s v="Delete"/>
    <m/>
    <m/>
    <m/>
    <m/>
    <m/>
    <m/>
    <x v="4231"/>
    <m/>
    <m/>
  </r>
  <r>
    <x v="27"/>
    <d v="2024-07-19T00:00:00"/>
    <s v="Delta Skymiles Platinum Card ( X ) - Ending in 1007"/>
    <x v="4782"/>
    <n v="55"/>
    <x v="24"/>
    <s v="Delete - Online Services"/>
    <s v="Exp - Travel"/>
    <m/>
    <m/>
    <m/>
    <m/>
    <m/>
    <m/>
    <x v="4232"/>
    <m/>
    <m/>
  </r>
  <r>
    <x v="27"/>
    <d v="2024-07-19T00:00:00"/>
    <s v="Delta Skymiles Platinum Card ( X ) - Ending in 1007"/>
    <x v="4783"/>
    <n v="1.1000000000000001"/>
    <x v="24"/>
    <s v="Delete - Online Services"/>
    <s v="Exp - Travel"/>
    <m/>
    <m/>
    <m/>
    <m/>
    <m/>
    <m/>
    <x v="4233"/>
    <m/>
    <m/>
  </r>
  <r>
    <x v="27"/>
    <d v="2024-07-19T00:00:00"/>
    <s v="Powerplus - Ending in 8s30"/>
    <x v="1849"/>
    <n v="2.99"/>
    <x v="8"/>
    <m/>
    <m/>
    <m/>
    <m/>
    <m/>
    <m/>
    <m/>
    <m/>
    <x v="1704"/>
    <m/>
    <m/>
  </r>
  <r>
    <x v="27"/>
    <d v="2024-07-20T00:00:00"/>
    <s v="Delta Skymiles Platinum Card ( X ) - Ending in 1007"/>
    <x v="4112"/>
    <n v="28.76"/>
    <x v="10"/>
    <s v="Entertainment"/>
    <m/>
    <m/>
    <m/>
    <m/>
    <m/>
    <m/>
    <m/>
    <x v="3647"/>
    <m/>
    <m/>
  </r>
  <r>
    <x v="27"/>
    <d v="2024-07-20T00:00:00"/>
    <s v="Delta Skymiles Platinum Card ( X ) - Ending in 1007"/>
    <x v="4784"/>
    <n v="13.24"/>
    <x v="1"/>
    <s v="Restaurants"/>
    <s v="Exp - Restaurants"/>
    <m/>
    <m/>
    <m/>
    <m/>
    <m/>
    <m/>
    <x v="4234"/>
    <m/>
    <m/>
  </r>
  <r>
    <x v="27"/>
    <d v="2024-07-21T00:00:00"/>
    <s v="Delta Skymiles Platinum Card ( X ) - Ending in 1007"/>
    <x v="4785"/>
    <n v="308.01"/>
    <x v="8"/>
    <s v="Shopping"/>
    <s v="Exp - Shopping"/>
    <m/>
    <m/>
    <m/>
    <m/>
    <m/>
    <m/>
    <x v="4235"/>
    <m/>
    <m/>
  </r>
  <r>
    <x v="27"/>
    <d v="2024-07-21T00:00:00"/>
    <s v="Delta Skymiles Platinum Card ( X ) - Ending in 1007"/>
    <x v="4786"/>
    <n v="38.130000000000003"/>
    <x v="5"/>
    <s v="Delete - Other Expenses"/>
    <s v="Exp - Groceries"/>
    <m/>
    <m/>
    <m/>
    <m/>
    <m/>
    <m/>
    <x v="4236"/>
    <m/>
    <m/>
  </r>
  <r>
    <x v="27"/>
    <d v="2024-07-21T00:00:00"/>
    <s v="Cash Rewards Visa Signature - Ending in 5913"/>
    <x v="4368"/>
    <n v="0"/>
    <x v="8"/>
    <m/>
    <m/>
    <m/>
    <m/>
    <m/>
    <m/>
    <m/>
    <m/>
    <x v="3878"/>
    <m/>
    <m/>
  </r>
  <r>
    <x v="27"/>
    <d v="2024-07-21T00:00:00"/>
    <s v="Cash Rewards Visa Signature - Ending in 5913"/>
    <x v="4787"/>
    <n v="1.99"/>
    <x v="11"/>
    <m/>
    <s v="Exp - Utilities"/>
    <m/>
    <m/>
    <m/>
    <m/>
    <m/>
    <m/>
    <x v="4237"/>
    <m/>
    <m/>
  </r>
  <r>
    <x v="27"/>
    <d v="2024-07-21T00:00:00"/>
    <s v="Delta Skymiles Platinum Card ( X ) - Ending in 1007"/>
    <x v="4764"/>
    <n v="21.89"/>
    <x v="8"/>
    <s v="Delete - Personal Care"/>
    <s v="Exp - Shopping"/>
    <m/>
    <m/>
    <m/>
    <m/>
    <m/>
    <m/>
    <x v="4217"/>
    <m/>
    <m/>
  </r>
  <r>
    <x v="27"/>
    <d v="2024-07-21T00:00:00"/>
    <s v="Delta Skymiles Platinum Card ( X ) - Ending in 1007"/>
    <x v="4155"/>
    <n v="114.72"/>
    <x v="8"/>
    <s v="Shopping"/>
    <m/>
    <m/>
    <m/>
    <m/>
    <m/>
    <m/>
    <m/>
    <x v="3687"/>
    <m/>
    <m/>
  </r>
  <r>
    <x v="27"/>
    <d v="2024-07-21T00:00:00"/>
    <s v="Delta Skymiles Platinum Card ( X ) - Ending in 1007"/>
    <x v="4788"/>
    <n v="41.03"/>
    <x v="1"/>
    <s v="Restaurants"/>
    <s v="Exp - Restaurants"/>
    <m/>
    <m/>
    <m/>
    <m/>
    <m/>
    <m/>
    <x v="4238"/>
    <m/>
    <m/>
  </r>
  <r>
    <x v="27"/>
    <d v="2024-07-21T00:00:00"/>
    <s v="Delta Skymiles Platinum Card ( X ) - Ending in 1007"/>
    <x v="100"/>
    <n v="74.069999999999993"/>
    <x v="5"/>
    <s v="Groceries"/>
    <m/>
    <m/>
    <m/>
    <m/>
    <m/>
    <m/>
    <m/>
    <x v="100"/>
    <m/>
    <m/>
  </r>
  <r>
    <x v="27"/>
    <d v="2024-07-22T00:00:00"/>
    <s v="Delta Skymiles Platinum Card ( X ) - Ending in 1007"/>
    <x v="4789"/>
    <n v="62.41"/>
    <x v="1"/>
    <s v="Groceries"/>
    <s v="Exp - Restaurants"/>
    <m/>
    <m/>
    <m/>
    <m/>
    <m/>
    <m/>
    <x v="4239"/>
    <m/>
    <m/>
  </r>
  <r>
    <x v="27"/>
    <d v="2024-07-22T00:00:00"/>
    <s v="Cash Rewards Visa Signature - Ending in 5913"/>
    <x v="4790"/>
    <n v="11"/>
    <x v="11"/>
    <m/>
    <s v="Exp - Utilities"/>
    <m/>
    <m/>
    <m/>
    <m/>
    <m/>
    <m/>
    <x v="4240"/>
    <m/>
    <m/>
  </r>
  <r>
    <x v="22"/>
    <d v="2022-12-01T00:00:00"/>
    <s v="POWERPLUS"/>
    <x v="4791"/>
    <n v="2606.27"/>
    <x v="53"/>
    <e v="#N/A"/>
    <s v="Exp - Rent"/>
    <m/>
    <n v="2606.27"/>
    <m/>
    <m/>
    <s v="debit"/>
    <m/>
    <x v="4019"/>
    <m/>
    <m/>
  </r>
  <r>
    <x v="27"/>
    <d v="2024-07-22T00:00:00"/>
    <s v="Delta Skymiles Platinum Card ( X ) - Ending in 1007"/>
    <x v="4792"/>
    <n v="73.38"/>
    <x v="8"/>
    <s v="Shopping"/>
    <s v="Exp - Shopping"/>
    <m/>
    <m/>
    <m/>
    <m/>
    <m/>
    <m/>
    <x v="4241"/>
    <m/>
    <m/>
  </r>
  <r>
    <x v="27"/>
    <d v="2024-07-22T00:00:00"/>
    <s v="Powerplus - Ending in 8s30"/>
    <x v="4793"/>
    <n v="64.83"/>
    <x v="11"/>
    <m/>
    <s v="Exp - Utilities"/>
    <m/>
    <m/>
    <m/>
    <m/>
    <m/>
    <m/>
    <x v="3287"/>
    <m/>
    <m/>
  </r>
  <r>
    <x v="27"/>
    <d v="2024-07-23T00:00:00"/>
    <s v="Delta Skymiles Platinum Card ( X ) - Ending in 1007"/>
    <x v="4794"/>
    <n v="125"/>
    <x v="8"/>
    <s v="Shopping"/>
    <s v="Exp - Shopping"/>
    <m/>
    <m/>
    <m/>
    <m/>
    <m/>
    <m/>
    <x v="4242"/>
    <m/>
    <m/>
  </r>
  <r>
    <x v="27"/>
    <d v="2024-07-23T00:00:00"/>
    <s v="Delta Skymiles Platinum Card ( X ) - Ending in 1007"/>
    <x v="59"/>
    <n v="6.57"/>
    <x v="1"/>
    <s v="Restaurants"/>
    <m/>
    <m/>
    <m/>
    <m/>
    <m/>
    <m/>
    <m/>
    <x v="59"/>
    <m/>
    <m/>
  </r>
  <r>
    <x v="27"/>
    <d v="2024-07-23T00:00:00"/>
    <s v="Powerplus - Ending in 8s30"/>
    <x v="3924"/>
    <n v="60.25"/>
    <x v="24"/>
    <m/>
    <m/>
    <m/>
    <m/>
    <m/>
    <m/>
    <m/>
    <m/>
    <x v="3470"/>
    <m/>
    <m/>
  </r>
  <r>
    <x v="27"/>
    <d v="2024-07-23T00:00:00"/>
    <s v="Delta Skymiles Platinum Card ( X ) - Ending in 1007"/>
    <x v="1108"/>
    <n v="10.85"/>
    <x v="2"/>
    <s v="Transportation"/>
    <m/>
    <m/>
    <m/>
    <m/>
    <m/>
    <m/>
    <m/>
    <x v="1055"/>
    <m/>
    <m/>
  </r>
  <r>
    <x v="44"/>
    <d v="2024-01-11T00:00:00"/>
    <s v="Delta Skymiles Platinum Card - Ending in 1007"/>
    <x v="4104"/>
    <n v="93"/>
    <x v="3"/>
    <s v="Travel"/>
    <s v="Delete"/>
    <m/>
    <m/>
    <m/>
    <m/>
    <m/>
    <m/>
    <x v="3639"/>
    <m/>
    <m/>
  </r>
  <r>
    <x v="27"/>
    <d v="2024-07-16T00:00:00"/>
    <s v="Delta Skymiles Platinum Card ( X ) - Ending in 1007"/>
    <x v="4104"/>
    <n v="60"/>
    <x v="3"/>
    <s v="Travel"/>
    <s v="Delete"/>
    <m/>
    <m/>
    <m/>
    <m/>
    <m/>
    <m/>
    <x v="3639"/>
    <m/>
    <m/>
  </r>
  <r>
    <x v="27"/>
    <d v="2024-07-24T00:00:00"/>
    <s v="Discover More Card - Ending in 7779"/>
    <x v="1895"/>
    <n v="39.99"/>
    <x v="0"/>
    <s v="Amazon"/>
    <m/>
    <m/>
    <m/>
    <m/>
    <m/>
    <m/>
    <m/>
    <x v="1748"/>
    <m/>
    <m/>
  </r>
  <r>
    <x v="27"/>
    <d v="2024-07-24T00:00:00"/>
    <s v="Delta Skymiles Platinum Card ( X ) - Ending in 1007"/>
    <x v="4327"/>
    <n v="3.85"/>
    <x v="2"/>
    <s v="Delete Brit"/>
    <m/>
    <m/>
    <m/>
    <m/>
    <m/>
    <m/>
    <m/>
    <x v="3841"/>
    <m/>
    <m/>
  </r>
  <r>
    <x v="27"/>
    <d v="2024-07-24T00:00:00"/>
    <s v="Delta Skymiles Platinum Card ( X ) - Ending in 1007"/>
    <x v="4327"/>
    <n v="7.35"/>
    <x v="2"/>
    <s v="Delete Brit"/>
    <m/>
    <m/>
    <m/>
    <m/>
    <m/>
    <m/>
    <m/>
    <x v="3841"/>
    <m/>
    <m/>
  </r>
  <r>
    <x v="27"/>
    <d v="2024-07-24T00:00:00"/>
    <s v="Delta Skymiles Platinum Card ( X ) - Ending in 1007"/>
    <x v="4142"/>
    <n v="10.49"/>
    <x v="1"/>
    <s v="Restaurants"/>
    <m/>
    <m/>
    <m/>
    <m/>
    <m/>
    <m/>
    <m/>
    <x v="3676"/>
    <m/>
    <m/>
  </r>
  <r>
    <x v="27"/>
    <d v="2024-07-24T00:00:00"/>
    <s v="Delta Skymiles Platinum Card ( X ) - Ending in 1007"/>
    <x v="4795"/>
    <n v="256.7"/>
    <x v="24"/>
    <s v="Travel"/>
    <s v="Exp - Travel"/>
    <m/>
    <m/>
    <m/>
    <m/>
    <m/>
    <m/>
    <x v="4243"/>
    <m/>
    <m/>
  </r>
  <r>
    <x v="62"/>
    <d v="2024-08-14T00:00:00"/>
    <s v="Delta Skymiles Platinum Card ( X ) - Ending in 1007"/>
    <x v="4104"/>
    <n v="57"/>
    <x v="3"/>
    <s v="Travel"/>
    <m/>
    <m/>
    <m/>
    <m/>
    <m/>
    <m/>
    <m/>
    <x v="3639"/>
    <m/>
    <m/>
  </r>
  <r>
    <x v="65"/>
    <d v="2024-09-10T00:00:00"/>
    <s v="Delta Skymiles Platinum Card ( X ) - Ending in 1011"/>
    <x v="4796"/>
    <n v="60"/>
    <x v="3"/>
    <m/>
    <s v="Delete"/>
    <m/>
    <m/>
    <m/>
    <m/>
    <m/>
    <m/>
    <x v="4244"/>
    <m/>
    <m/>
  </r>
  <r>
    <x v="27"/>
    <d v="2024-07-24T00:00:00"/>
    <s v="Delta Skymiles Platinum Card ( X ) - Ending in 1007"/>
    <x v="4766"/>
    <n v="-170"/>
    <x v="8"/>
    <s v="Shopping"/>
    <s v="Exp - Shopping"/>
    <m/>
    <m/>
    <m/>
    <m/>
    <m/>
    <m/>
    <x v="4219"/>
    <m/>
    <m/>
  </r>
  <r>
    <x v="27"/>
    <d v="2024-07-24T00:00:00"/>
    <s v="Delta Skymiles Platinum Card ( X ) - Ending in 1007"/>
    <x v="4352"/>
    <n v="27.57"/>
    <x v="20"/>
    <s v="Delete - Personal Care"/>
    <m/>
    <m/>
    <m/>
    <m/>
    <m/>
    <m/>
    <m/>
    <x v="3864"/>
    <m/>
    <m/>
  </r>
  <r>
    <x v="27"/>
    <d v="2024-07-24T00:00:00"/>
    <s v="Delta Skymiles Platinum Card ( X ) - Ending in 1007"/>
    <x v="55"/>
    <n v="28.19"/>
    <x v="5"/>
    <s v="Healthcare"/>
    <m/>
    <m/>
    <m/>
    <m/>
    <m/>
    <m/>
    <m/>
    <x v="55"/>
    <m/>
    <m/>
  </r>
  <r>
    <x v="27"/>
    <d v="2024-07-24T00:00:00"/>
    <s v="Powerplus - Ending in 8s30"/>
    <x v="4797"/>
    <n v="278"/>
    <x v="4"/>
    <m/>
    <s v="Exp - Day Care"/>
    <m/>
    <m/>
    <m/>
    <m/>
    <m/>
    <m/>
    <x v="4108"/>
    <m/>
    <m/>
  </r>
  <r>
    <x v="27"/>
    <d v="2024-07-25T00:00:00"/>
    <s v="Cash Rewards Visa Signature - Ending in 5913"/>
    <x v="1895"/>
    <n v="-84.29"/>
    <x v="0"/>
    <m/>
    <m/>
    <m/>
    <m/>
    <m/>
    <m/>
    <m/>
    <m/>
    <x v="1748"/>
    <m/>
    <m/>
  </r>
  <r>
    <x v="27"/>
    <d v="2024-07-25T00:00:00"/>
    <s v="Cash Rewards Visa Signature - Ending in 5913"/>
    <x v="1895"/>
    <n v="46.03"/>
    <x v="0"/>
    <m/>
    <m/>
    <m/>
    <m/>
    <m/>
    <m/>
    <m/>
    <m/>
    <x v="1748"/>
    <m/>
    <m/>
  </r>
  <r>
    <x v="27"/>
    <d v="2024-07-25T00:00:00"/>
    <s v="Cash Rewards Visa Signature - Ending in 5913"/>
    <x v="1895"/>
    <n v="141.87"/>
    <x v="0"/>
    <m/>
    <m/>
    <m/>
    <m/>
    <m/>
    <m/>
    <m/>
    <m/>
    <x v="1748"/>
    <m/>
    <m/>
  </r>
  <r>
    <x v="27"/>
    <d v="2024-07-25T00:00:00"/>
    <s v="Cash Rewards Visa Signature - Ending in 5913"/>
    <x v="1895"/>
    <n v="8.66"/>
    <x v="0"/>
    <m/>
    <m/>
    <m/>
    <m/>
    <m/>
    <m/>
    <m/>
    <m/>
    <x v="1748"/>
    <m/>
    <m/>
  </r>
  <r>
    <x v="27"/>
    <d v="2024-07-25T00:00:00"/>
    <s v="Delta Skymiles Platinum Card ( X ) - Ending in 1007"/>
    <x v="4798"/>
    <n v="66.66"/>
    <x v="1"/>
    <s v="Restaurants"/>
    <s v="Exp - Restaurants"/>
    <m/>
    <m/>
    <m/>
    <m/>
    <m/>
    <m/>
    <x v="4245"/>
    <m/>
    <m/>
  </r>
  <r>
    <x v="27"/>
    <d v="2024-07-25T00:00:00"/>
    <s v="Delta Skymiles Platinum Card ( X ) - Ending in 1007"/>
    <x v="4799"/>
    <n v="212"/>
    <x v="24"/>
    <s v="Restaurants"/>
    <s v="Exp - Travel"/>
    <m/>
    <m/>
    <m/>
    <m/>
    <m/>
    <m/>
    <x v="4246"/>
    <m/>
    <m/>
  </r>
  <r>
    <x v="27"/>
    <d v="2024-07-25T00:00:00"/>
    <s v="Powerplus - Ending in 8s30"/>
    <x v="1893"/>
    <n v="-21997.13"/>
    <x v="34"/>
    <m/>
    <m/>
    <m/>
    <m/>
    <m/>
    <m/>
    <m/>
    <m/>
    <x v="1746"/>
    <m/>
    <m/>
  </r>
  <r>
    <x v="27"/>
    <d v="2024-07-25T00:00:00"/>
    <s v="Cash Rewards Visa Signature - Ending in 5913"/>
    <x v="4158"/>
    <n v="44.72"/>
    <x v="5"/>
    <m/>
    <m/>
    <m/>
    <m/>
    <m/>
    <m/>
    <m/>
    <m/>
    <x v="3690"/>
    <m/>
    <m/>
  </r>
  <r>
    <x v="27"/>
    <d v="2024-07-25T00:00:00"/>
    <s v="Powerplus - Ending in 8s30"/>
    <x v="4800"/>
    <n v="-2398.71"/>
    <x v="57"/>
    <m/>
    <s v="Inc - Jeff"/>
    <m/>
    <m/>
    <m/>
    <m/>
    <m/>
    <m/>
    <x v="3260"/>
    <m/>
    <m/>
  </r>
  <r>
    <x v="27"/>
    <d v="2024-07-25T00:00:00"/>
    <s v="Powerplus - Ending in 8s30"/>
    <x v="3734"/>
    <n v="438.04"/>
    <x v="12"/>
    <m/>
    <m/>
    <m/>
    <m/>
    <m/>
    <m/>
    <m/>
    <m/>
    <x v="3293"/>
    <m/>
    <m/>
  </r>
  <r>
    <x v="27"/>
    <d v="2024-07-25T00:00:00"/>
    <s v="Delta Skymiles Platinum Card ( X ) - Ending in 1007"/>
    <x v="4801"/>
    <n v="12.46"/>
    <x v="1"/>
    <s v="Restaurants"/>
    <s v="Exp - Restaurants"/>
    <m/>
    <m/>
    <m/>
    <m/>
    <m/>
    <m/>
    <x v="4247"/>
    <m/>
    <m/>
  </r>
  <r>
    <x v="27"/>
    <d v="2024-07-26T00:00:00"/>
    <s v="Delta Skymiles Platinum Card ( X ) - Ending in 1007"/>
    <x v="4802"/>
    <n v="123.02"/>
    <x v="1"/>
    <s v="Restaurants"/>
    <s v="Exp - Restaurants"/>
    <m/>
    <m/>
    <m/>
    <m/>
    <m/>
    <m/>
    <x v="4248"/>
    <m/>
    <m/>
  </r>
  <r>
    <x v="27"/>
    <d v="2024-07-26T00:00:00"/>
    <s v="Delta Skymiles Platinum Card ( X ) - Ending in 1007"/>
    <x v="4803"/>
    <n v="22.42"/>
    <x v="1"/>
    <s v="Restaurants"/>
    <s v="Exp - Restaurants"/>
    <m/>
    <m/>
    <m/>
    <m/>
    <m/>
    <m/>
    <x v="4249"/>
    <m/>
    <m/>
  </r>
  <r>
    <x v="27"/>
    <d v="2024-07-26T00:00:00"/>
    <s v="Delta Skymiles Platinum Card ( X ) - Ending in 1007"/>
    <x v="4804"/>
    <n v="4.53"/>
    <x v="1"/>
    <s v="Groceries"/>
    <s v="Exp - Restaurants"/>
    <m/>
    <m/>
    <m/>
    <m/>
    <m/>
    <m/>
    <x v="4250"/>
    <m/>
    <m/>
  </r>
  <r>
    <x v="27"/>
    <d v="2024-07-26T00:00:00"/>
    <s v="Delta Skymiles Platinum Card ( X ) - Ending in 1007"/>
    <x v="4805"/>
    <n v="28.68"/>
    <x v="1"/>
    <s v="Restaurants"/>
    <s v="Exp - Restaurants"/>
    <m/>
    <m/>
    <m/>
    <m/>
    <m/>
    <m/>
    <x v="4251"/>
    <m/>
    <m/>
  </r>
  <r>
    <x v="27"/>
    <d v="2024-07-26T00:00:00"/>
    <s v="Delta Skymiles Platinum Card ( X ) - Ending in 1007"/>
    <x v="4805"/>
    <n v="12.84"/>
    <x v="1"/>
    <s v="Restaurants"/>
    <s v="Exp - Restaurants"/>
    <m/>
    <m/>
    <m/>
    <m/>
    <m/>
    <m/>
    <x v="4251"/>
    <m/>
    <m/>
  </r>
  <r>
    <x v="27"/>
    <d v="2024-07-26T00:00:00"/>
    <s v="Delta Skymiles Platinum Card ( X ) - Ending in 1007"/>
    <x v="4805"/>
    <n v="41.52"/>
    <x v="1"/>
    <s v="Restaurants"/>
    <s v="Exp - Restaurants"/>
    <m/>
    <m/>
    <m/>
    <m/>
    <m/>
    <m/>
    <x v="4251"/>
    <m/>
    <m/>
  </r>
  <r>
    <x v="27"/>
    <d v="2024-07-26T00:00:00"/>
    <s v="Delta Skymiles Platinum Card ( X ) - Ending in 1007"/>
    <x v="4805"/>
    <n v="4.28"/>
    <x v="1"/>
    <s v="Restaurants"/>
    <s v="Exp - Restaurants"/>
    <m/>
    <m/>
    <m/>
    <m/>
    <m/>
    <m/>
    <x v="4251"/>
    <m/>
    <m/>
  </r>
  <r>
    <x v="27"/>
    <d v="2024-07-26T00:00:00"/>
    <s v="Delta Skymiles Platinum Card ( X ) - Ending in 1007"/>
    <x v="4806"/>
    <n v="6.43"/>
    <x v="1"/>
    <s v="Restaurants"/>
    <s v="Exp - Restaurants"/>
    <m/>
    <m/>
    <m/>
    <m/>
    <m/>
    <m/>
    <x v="4252"/>
    <m/>
    <m/>
  </r>
  <r>
    <x v="27"/>
    <d v="2024-07-26T00:00:00"/>
    <s v="Delta Skymiles Platinum Card ( X ) - Ending in 1007"/>
    <x v="4806"/>
    <n v="8.56"/>
    <x v="1"/>
    <s v="Restaurants"/>
    <s v="Exp - Restaurants"/>
    <m/>
    <m/>
    <m/>
    <m/>
    <m/>
    <m/>
    <x v="4252"/>
    <m/>
    <m/>
  </r>
  <r>
    <x v="27"/>
    <d v="2024-07-26T00:00:00"/>
    <s v="Delta Skymiles Platinum Card ( X ) - Ending in 1007"/>
    <x v="4806"/>
    <n v="41.52"/>
    <x v="1"/>
    <s v="Restaurants"/>
    <s v="Exp - Restaurants"/>
    <m/>
    <m/>
    <m/>
    <m/>
    <m/>
    <m/>
    <x v="4252"/>
    <m/>
    <m/>
  </r>
  <r>
    <x v="27"/>
    <d v="2024-07-26T00:00:00"/>
    <s v="Delta Skymiles Platinum Card ( X ) - Ending in 1007"/>
    <x v="4807"/>
    <n v="13.84"/>
    <x v="1"/>
    <s v="Entertainment"/>
    <s v="Exp - Restaurants"/>
    <m/>
    <m/>
    <m/>
    <m/>
    <m/>
    <m/>
    <x v="4253"/>
    <m/>
    <m/>
  </r>
  <r>
    <x v="65"/>
    <d v="2024-09-20T00:00:00"/>
    <s v="American Express"/>
    <x v="4796"/>
    <n v="147"/>
    <x v="3"/>
    <m/>
    <s v="Delete"/>
    <m/>
    <m/>
    <m/>
    <m/>
    <m/>
    <m/>
    <x v="4244"/>
    <m/>
    <m/>
  </r>
  <r>
    <x v="27"/>
    <d v="2024-07-26T00:00:00"/>
    <s v="Powerplus - Ending in 8s30"/>
    <x v="1827"/>
    <n v="125"/>
    <x v="8"/>
    <m/>
    <m/>
    <m/>
    <m/>
    <m/>
    <m/>
    <m/>
    <m/>
    <x v="1682"/>
    <m/>
    <m/>
  </r>
  <r>
    <x v="27"/>
    <d v="2024-07-26T00:00:00"/>
    <s v="Delta Skymiles Platinum Card ( X ) - Ending in 1007"/>
    <x v="4808"/>
    <n v="184.7"/>
    <x v="1"/>
    <s v="Restaurants"/>
    <s v="Exp - Restaurants"/>
    <m/>
    <m/>
    <m/>
    <m/>
    <m/>
    <m/>
    <x v="4254"/>
    <m/>
    <m/>
  </r>
  <r>
    <x v="27"/>
    <d v="2024-07-27T00:00:00"/>
    <s v="Delta Skymiles Platinum Card ( X ) - Ending in 1007"/>
    <x v="4322"/>
    <n v="6.42"/>
    <x v="1"/>
    <s v="Delete - Online Services"/>
    <s v="Exp - Restaurants"/>
    <m/>
    <m/>
    <m/>
    <m/>
    <m/>
    <m/>
    <x v="3836"/>
    <m/>
    <m/>
  </r>
  <r>
    <x v="27"/>
    <d v="2024-07-27T00:00:00"/>
    <s v="Delta Skymiles Platinum Card ( X ) - Ending in 1007"/>
    <x v="4809"/>
    <n v="108.67"/>
    <x v="1"/>
    <s v="Restaurants"/>
    <s v="Exp - Restaurants"/>
    <m/>
    <m/>
    <m/>
    <m/>
    <m/>
    <m/>
    <x v="4255"/>
    <m/>
    <m/>
  </r>
  <r>
    <x v="27"/>
    <d v="2024-07-27T00:00:00"/>
    <s v="Delta Skymiles Platinum Card ( X ) - Ending in 1007"/>
    <x v="4810"/>
    <n v="88"/>
    <x v="24"/>
    <s v="Healthcare"/>
    <s v="Exp - Travel"/>
    <m/>
    <m/>
    <m/>
    <m/>
    <m/>
    <m/>
    <x v="4256"/>
    <m/>
    <m/>
  </r>
  <r>
    <x v="27"/>
    <d v="2024-07-27T00:00:00"/>
    <s v="Delta Skymiles Platinum Card ( X ) - Ending in 1007"/>
    <x v="4811"/>
    <n v="26.75"/>
    <x v="10"/>
    <s v="Restaurants"/>
    <s v="Exp - Entertainment"/>
    <m/>
    <m/>
    <m/>
    <m/>
    <m/>
    <m/>
    <x v="4257"/>
    <m/>
    <m/>
  </r>
  <r>
    <x v="27"/>
    <d v="2024-07-27T00:00:00"/>
    <s v="Delta Skymiles Platinum Card ( X ) - Ending in 1007"/>
    <x v="4811"/>
    <n v="23.84"/>
    <x v="10"/>
    <s v="Restaurants"/>
    <s v="Exp - Entertainment"/>
    <m/>
    <m/>
    <m/>
    <m/>
    <m/>
    <m/>
    <x v="4257"/>
    <m/>
    <m/>
  </r>
  <r>
    <x v="27"/>
    <d v="2024-07-27T00:00:00"/>
    <s v="Delta Skymiles Platinum Card ( X ) - Ending in 1007"/>
    <x v="2044"/>
    <n v="-84"/>
    <x v="8"/>
    <s v="Shopping"/>
    <m/>
    <m/>
    <m/>
    <m/>
    <m/>
    <m/>
    <m/>
    <x v="1894"/>
    <m/>
    <m/>
  </r>
  <r>
    <x v="27"/>
    <d v="2024-07-27T00:00:00"/>
    <s v="Delta Skymiles Platinum Card ( X ) - Ending in 1007"/>
    <x v="4755"/>
    <n v="4"/>
    <x v="11"/>
    <s v="Delete - Online Services"/>
    <s v="Exp - Utilities"/>
    <m/>
    <m/>
    <m/>
    <m/>
    <m/>
    <m/>
    <x v="4210"/>
    <m/>
    <m/>
  </r>
  <r>
    <x v="27"/>
    <d v="2024-07-27T00:00:00"/>
    <s v="Delta Skymiles Platinum Card ( X ) - Ending in 1007"/>
    <x v="4812"/>
    <n v="41.73"/>
    <x v="1"/>
    <s v="Restaurants"/>
    <s v="Exp - Restaurants"/>
    <m/>
    <m/>
    <m/>
    <m/>
    <m/>
    <m/>
    <x v="4258"/>
    <m/>
    <m/>
  </r>
  <r>
    <x v="27"/>
    <d v="2024-07-27T00:00:00"/>
    <s v="Delta Skymiles Platinum Card ( X ) - Ending in 1007"/>
    <x v="4813"/>
    <n v="19.12"/>
    <x v="1"/>
    <s v="Restaurants"/>
    <s v="Exp - Restaurants"/>
    <m/>
    <m/>
    <m/>
    <m/>
    <m/>
    <m/>
    <x v="4259"/>
    <m/>
    <m/>
  </r>
  <r>
    <x v="27"/>
    <d v="2024-07-28T00:00:00"/>
    <s v="Delta Skymiles Platinum Card ( X ) - Ending in 1007"/>
    <x v="4814"/>
    <n v="13.11"/>
    <x v="24"/>
    <s v="Delete - Other Expenses"/>
    <s v="Exp - Travel"/>
    <m/>
    <m/>
    <m/>
    <m/>
    <m/>
    <m/>
    <x v="4260"/>
    <m/>
    <m/>
  </r>
  <r>
    <x v="27"/>
    <d v="2024-07-28T00:00:00"/>
    <s v="Delta Skymiles Platinum Card ( X ) - Ending in 1007"/>
    <x v="4815"/>
    <n v="126.42"/>
    <x v="8"/>
    <s v="Restaurants"/>
    <s v="Exp - Shopping"/>
    <m/>
    <m/>
    <m/>
    <m/>
    <m/>
    <m/>
    <x v="4261"/>
    <m/>
    <m/>
  </r>
  <r>
    <x v="27"/>
    <d v="2024-07-28T00:00:00"/>
    <s v="Delta Skymiles Platinum Card ( X ) - Ending in 1007"/>
    <x v="579"/>
    <n v="8.6999999999999993"/>
    <x v="1"/>
    <s v="Restaurants"/>
    <s v="Exp - Restaurants"/>
    <m/>
    <m/>
    <m/>
    <m/>
    <m/>
    <m/>
    <x v="560"/>
    <m/>
    <m/>
  </r>
  <r>
    <x v="27"/>
    <d v="2024-07-28T00:00:00"/>
    <s v="Delta Skymiles Platinum Card ( X ) - Ending in 1007"/>
    <x v="4816"/>
    <n v="17.12"/>
    <x v="1"/>
    <s v="Restaurants"/>
    <s v="Exp - Restaurants"/>
    <m/>
    <m/>
    <m/>
    <m/>
    <m/>
    <m/>
    <x v="4262"/>
    <m/>
    <m/>
  </r>
  <r>
    <x v="63"/>
    <d v="2024-11-17T00:00:00"/>
    <s v="American Express"/>
    <x v="4817"/>
    <n v="10.84"/>
    <x v="3"/>
    <m/>
    <s v="Delete"/>
    <m/>
    <m/>
    <m/>
    <m/>
    <m/>
    <m/>
    <x v="4263"/>
    <m/>
    <m/>
  </r>
  <r>
    <x v="27"/>
    <d v="2024-07-29T00:00:00"/>
    <s v="Delta Skymiles Platinum Card ( X ) - Ending in 1007"/>
    <x v="4296"/>
    <n v="4"/>
    <x v="8"/>
    <s v="Travel"/>
    <s v="Exp - Shopping"/>
    <m/>
    <m/>
    <m/>
    <m/>
    <m/>
    <m/>
    <x v="3814"/>
    <m/>
    <m/>
  </r>
  <r>
    <x v="27"/>
    <d v="2024-07-29T00:00:00"/>
    <s v="Delta Skymiles Platinum Card ( X ) - Ending in 1007"/>
    <x v="1895"/>
    <n v="12.99"/>
    <x v="8"/>
    <s v="Amazon"/>
    <s v="Exp - Shopping"/>
    <m/>
    <m/>
    <m/>
    <m/>
    <m/>
    <m/>
    <x v="1748"/>
    <m/>
    <m/>
  </r>
  <r>
    <x v="27"/>
    <d v="2024-07-29T00:00:00"/>
    <s v="Cash Rewards Visa Signature - Ending in 5913"/>
    <x v="4818"/>
    <n v="60"/>
    <x v="24"/>
    <m/>
    <s v="Exp - Travel"/>
    <m/>
    <m/>
    <m/>
    <m/>
    <m/>
    <m/>
    <x v="4264"/>
    <m/>
    <m/>
  </r>
  <r>
    <x v="27"/>
    <d v="2024-07-29T00:00:00"/>
    <s v="Discover More Card - Ending in 7779"/>
    <x v="4819"/>
    <n v="13.01"/>
    <x v="10"/>
    <s v="Entertainment"/>
    <s v="Exp - Entertainment"/>
    <m/>
    <m/>
    <m/>
    <m/>
    <m/>
    <m/>
    <x v="4265"/>
    <m/>
    <m/>
  </r>
  <r>
    <x v="27"/>
    <d v="2024-07-29T00:00:00"/>
    <s v="Powerplus - Ending in 8s30"/>
    <x v="3693"/>
    <n v="52.91"/>
    <x v="16"/>
    <m/>
    <m/>
    <m/>
    <m/>
    <m/>
    <m/>
    <m/>
    <m/>
    <x v="3254"/>
    <m/>
    <m/>
  </r>
  <r>
    <x v="27"/>
    <d v="2024-07-29T00:00:00"/>
    <s v="Powerplus - Ending in 8s30"/>
    <x v="1849"/>
    <n v="21.25"/>
    <x v="8"/>
    <m/>
    <s v="Exp - Shopping"/>
    <m/>
    <m/>
    <m/>
    <m/>
    <m/>
    <m/>
    <x v="1704"/>
    <m/>
    <m/>
  </r>
  <r>
    <x v="27"/>
    <d v="2024-07-29T00:00:00"/>
    <s v="Powerplus - Ending in 8s30"/>
    <x v="1849"/>
    <n v="0.99"/>
    <x v="8"/>
    <m/>
    <s v="Exp - Shopping"/>
    <m/>
    <m/>
    <m/>
    <m/>
    <m/>
    <m/>
    <x v="1704"/>
    <m/>
    <m/>
  </r>
  <r>
    <x v="27"/>
    <d v="2024-07-29T00:00:00"/>
    <s v="Delta Skymiles Platinum Card ( X ) - Ending in 1007"/>
    <x v="4820"/>
    <n v="819.82"/>
    <x v="24"/>
    <s v="Travel"/>
    <s v="Exp - Travel"/>
    <m/>
    <m/>
    <m/>
    <m/>
    <m/>
    <m/>
    <x v="4266"/>
    <m/>
    <m/>
  </r>
  <r>
    <x v="27"/>
    <d v="2024-07-29T00:00:00"/>
    <s v="Delta Skymiles Platinum Card ( X ) - Ending in 1007"/>
    <x v="4821"/>
    <n v="33"/>
    <x v="5"/>
    <s v="Groceries"/>
    <s v="Exp - Groceries"/>
    <m/>
    <m/>
    <m/>
    <m/>
    <m/>
    <m/>
    <x v="4267"/>
    <m/>
    <m/>
  </r>
  <r>
    <x v="27"/>
    <d v="2024-07-30T00:00:00"/>
    <s v="Delta Skymiles Platinum Card ( X ) - Ending in 1007"/>
    <x v="4296"/>
    <n v="335.04"/>
    <x v="8"/>
    <s v="Travel"/>
    <s v="Exp - Shopping"/>
    <m/>
    <m/>
    <m/>
    <m/>
    <m/>
    <m/>
    <x v="3814"/>
    <m/>
    <m/>
  </r>
  <r>
    <x v="27"/>
    <d v="2024-07-30T00:00:00"/>
    <s v="Delta Skymiles Platinum Card ( X ) - Ending in 1007"/>
    <x v="77"/>
    <n v="32.71"/>
    <x v="8"/>
    <s v="Shopping"/>
    <s v="Exp - Shopping"/>
    <m/>
    <m/>
    <m/>
    <m/>
    <m/>
    <m/>
    <x v="77"/>
    <m/>
    <m/>
  </r>
  <r>
    <x v="27"/>
    <d v="2024-07-30T00:00:00"/>
    <s v="Delta Skymiles Platinum Card ( X ) - Ending in 1007"/>
    <x v="77"/>
    <n v="266"/>
    <x v="8"/>
    <s v="Shopping"/>
    <s v="Exp - Shopping"/>
    <m/>
    <m/>
    <m/>
    <m/>
    <m/>
    <m/>
    <x v="77"/>
    <m/>
    <m/>
  </r>
  <r>
    <x v="27"/>
    <d v="2024-07-30T00:00:00"/>
    <s v="Delta Skymiles Platinum Card ( X ) - Ending in 1007"/>
    <x v="4662"/>
    <n v="-231.38"/>
    <x v="8"/>
    <s v="Dry Cleaning"/>
    <s v="Exp - Shopping"/>
    <m/>
    <m/>
    <m/>
    <m/>
    <m/>
    <m/>
    <x v="4132"/>
    <m/>
    <m/>
  </r>
  <r>
    <x v="27"/>
    <d v="2024-07-30T00:00:00"/>
    <s v="Delta Skymiles Platinum Card ( X ) - Ending in 1007"/>
    <x v="4822"/>
    <n v="58.15"/>
    <x v="8"/>
    <s v="Restaurants"/>
    <s v="Exp - Shopping"/>
    <m/>
    <m/>
    <m/>
    <m/>
    <m/>
    <m/>
    <x v="4268"/>
    <m/>
    <m/>
  </r>
  <r>
    <x v="27"/>
    <d v="2024-07-30T00:00:00"/>
    <s v="Delta Skymiles Platinum Card ( X ) - Ending in 1007"/>
    <x v="4823"/>
    <n v="393.7"/>
    <x v="8"/>
    <s v="Restaurants"/>
    <s v="Exp - Shopping"/>
    <m/>
    <m/>
    <m/>
    <m/>
    <m/>
    <m/>
    <x v="4269"/>
    <m/>
    <m/>
  </r>
  <r>
    <x v="27"/>
    <d v="2024-07-30T00:00:00"/>
    <s v="Delta Skymiles Platinum Card ( X ) - Ending in 1007"/>
    <x v="4291"/>
    <n v="3.91"/>
    <x v="1"/>
    <s v="Restaurants"/>
    <m/>
    <m/>
    <m/>
    <m/>
    <m/>
    <m/>
    <m/>
    <x v="3809"/>
    <m/>
    <m/>
  </r>
  <r>
    <x v="27"/>
    <d v="2024-07-30T00:00:00"/>
    <s v="Delta Skymiles Platinum Card ( X ) - Ending in 1007"/>
    <x v="4824"/>
    <n v="34.79"/>
    <x v="1"/>
    <s v="Restaurants"/>
    <s v="Exp - Restaurants"/>
    <m/>
    <m/>
    <m/>
    <m/>
    <m/>
    <m/>
    <x v="4270"/>
    <m/>
    <m/>
  </r>
  <r>
    <x v="27"/>
    <d v="2024-07-30T00:00:00"/>
    <s v="Powerplus - Ending in 8s30"/>
    <x v="3684"/>
    <n v="-3238.06"/>
    <x v="57"/>
    <m/>
    <m/>
    <m/>
    <m/>
    <m/>
    <m/>
    <m/>
    <m/>
    <x v="3245"/>
    <m/>
    <m/>
  </r>
  <r>
    <x v="27"/>
    <d v="2024-07-30T00:00:00"/>
    <s v="Cash Rewards Visa Signature - Ending in 5913"/>
    <x v="1941"/>
    <n v="22.37"/>
    <x v="2"/>
    <m/>
    <m/>
    <m/>
    <m/>
    <m/>
    <m/>
    <m/>
    <m/>
    <x v="1794"/>
    <m/>
    <m/>
  </r>
  <r>
    <x v="27"/>
    <d v="2024-07-30T00:00:00"/>
    <s v="Cash Rewards Visa Signature - Ending in 5913"/>
    <x v="1941"/>
    <n v="26.42"/>
    <x v="2"/>
    <m/>
    <m/>
    <m/>
    <m/>
    <m/>
    <m/>
    <m/>
    <m/>
    <x v="1794"/>
    <m/>
    <m/>
  </r>
  <r>
    <x v="27"/>
    <d v="2024-07-30T00:00:00"/>
    <s v="Cash Rewards Visa Signature - Ending in 5913"/>
    <x v="1941"/>
    <n v="18.93"/>
    <x v="2"/>
    <m/>
    <m/>
    <m/>
    <m/>
    <m/>
    <m/>
    <m/>
    <m/>
    <x v="1794"/>
    <m/>
    <m/>
  </r>
  <r>
    <x v="27"/>
    <d v="2024-07-30T00:00:00"/>
    <s v="Cash Rewards Visa Signature - Ending in 5913"/>
    <x v="1941"/>
    <n v="52.93"/>
    <x v="2"/>
    <m/>
    <m/>
    <m/>
    <m/>
    <m/>
    <m/>
    <m/>
    <m/>
    <x v="1794"/>
    <m/>
    <m/>
  </r>
  <r>
    <x v="27"/>
    <d v="2024-07-31T00:00:00"/>
    <s v="Cash Rewards Visa Signature - Ending in 5913"/>
    <x v="4502"/>
    <n v="35"/>
    <x v="10"/>
    <m/>
    <m/>
    <m/>
    <m/>
    <m/>
    <m/>
    <m/>
    <m/>
    <x v="3996"/>
    <m/>
    <m/>
  </r>
  <r>
    <x v="27"/>
    <d v="2024-07-31T00:00:00"/>
    <s v="Powerplus - Ending in 8s30"/>
    <x v="3652"/>
    <n v="-147"/>
    <x v="8"/>
    <m/>
    <s v="Exp - Shopping"/>
    <m/>
    <m/>
    <m/>
    <m/>
    <m/>
    <m/>
    <x v="3214"/>
    <m/>
    <m/>
  </r>
  <r>
    <x v="27"/>
    <d v="2024-07-31T00:00:00"/>
    <s v="Powerplus - Ending in 8s30"/>
    <x v="2412"/>
    <n v="-3.25"/>
    <x v="13"/>
    <m/>
    <m/>
    <m/>
    <m/>
    <m/>
    <m/>
    <m/>
    <m/>
    <x v="2228"/>
    <m/>
    <m/>
  </r>
  <r>
    <x v="27"/>
    <d v="2024-07-31T00:00:00"/>
    <s v="Powerplus - Ending in 8s30"/>
    <x v="4825"/>
    <n v="-49.5"/>
    <x v="13"/>
    <m/>
    <s v="Inc - Other"/>
    <m/>
    <m/>
    <m/>
    <m/>
    <m/>
    <m/>
    <x v="4271"/>
    <m/>
    <m/>
  </r>
  <r>
    <x v="27"/>
    <d v="2024-07-31T00:00:00"/>
    <s v="Delta Skymiles Platinum Card ( X ) - Ending in 1007"/>
    <x v="4826"/>
    <n v="4.8"/>
    <x v="24"/>
    <s v="Travel"/>
    <s v="Exp - Travel"/>
    <m/>
    <m/>
    <m/>
    <m/>
    <m/>
    <m/>
    <x v="4272"/>
    <m/>
    <m/>
  </r>
  <r>
    <x v="27"/>
    <d v="2024-07-31T00:00:00"/>
    <s v="Powerplus - Ending in 8s30"/>
    <x v="4407"/>
    <n v="183.64"/>
    <x v="11"/>
    <m/>
    <m/>
    <m/>
    <m/>
    <m/>
    <m/>
    <m/>
    <m/>
    <x v="3913"/>
    <m/>
    <m/>
  </r>
  <r>
    <x v="44"/>
    <d v="2024-01-21T00:00:00"/>
    <s v="Delta Skymiles Platinum Card - Ending in 1007"/>
    <x v="4827"/>
    <n v="68.67"/>
    <x v="3"/>
    <s v="Delete - Other Expenses"/>
    <m/>
    <m/>
    <m/>
    <m/>
    <m/>
    <m/>
    <m/>
    <x v="4273"/>
    <m/>
    <m/>
  </r>
  <r>
    <x v="27"/>
    <d v="2024-07-31T00:00:00"/>
    <s v="Cash Rewards Visa Signature - Ending in 5913"/>
    <x v="1941"/>
    <n v="32.22"/>
    <x v="2"/>
    <m/>
    <m/>
    <m/>
    <m/>
    <m/>
    <m/>
    <m/>
    <m/>
    <x v="1794"/>
    <m/>
    <m/>
  </r>
  <r>
    <x v="27"/>
    <d v="2024-07-31T00:00:00"/>
    <s v="Cash Rewards Visa Signature - Ending in 5913"/>
    <x v="1941"/>
    <n v="53.28"/>
    <x v="2"/>
    <m/>
    <m/>
    <m/>
    <m/>
    <m/>
    <m/>
    <m/>
    <m/>
    <x v="1794"/>
    <m/>
    <m/>
  </r>
  <r>
    <x v="27"/>
    <d v="2024-07-31T00:00:00"/>
    <s v="Powerplus - Ending in 8s30"/>
    <x v="4828"/>
    <n v="278"/>
    <x v="4"/>
    <m/>
    <s v="Exp - Day Care"/>
    <m/>
    <m/>
    <m/>
    <m/>
    <m/>
    <m/>
    <x v="4108"/>
    <m/>
    <m/>
  </r>
  <r>
    <x v="62"/>
    <d v="2024-08-13T00:00:00"/>
    <s v="Delta Skymiles Platinum Card ( X ) - Ending in 1007"/>
    <x v="4146"/>
    <n v="32.299999999999997"/>
    <x v="3"/>
    <s v="Groceries"/>
    <s v="Delete"/>
    <m/>
    <m/>
    <m/>
    <m/>
    <m/>
    <m/>
    <x v="3678"/>
    <m/>
    <m/>
  </r>
  <r>
    <x v="62"/>
    <d v="2024-08-01T00:00:00"/>
    <s v="Cash Rewards Visa Signature - Ending in 5913"/>
    <x v="1895"/>
    <n v="-8.66"/>
    <x v="9"/>
    <m/>
    <s v="Sav - College Savings"/>
    <m/>
    <m/>
    <m/>
    <m/>
    <m/>
    <m/>
    <x v="1748"/>
    <m/>
    <m/>
  </r>
  <r>
    <x v="62"/>
    <d v="2024-08-01T00:00:00"/>
    <s v="Cash Rewards Visa Signature - Ending in 5913"/>
    <x v="4829"/>
    <n v="6.49"/>
    <x v="0"/>
    <m/>
    <s v="Exp - Amazon"/>
    <m/>
    <m/>
    <m/>
    <m/>
    <m/>
    <m/>
    <x v="4274"/>
    <m/>
    <m/>
  </r>
  <r>
    <x v="62"/>
    <d v="2024-08-01T00:00:00"/>
    <s v="Delta Skymiles Platinum Card ( X ) - Ending in 1007"/>
    <x v="4588"/>
    <n v="17.04"/>
    <x v="1"/>
    <s v="Restaurants"/>
    <s v="Exp - Restaurants"/>
    <m/>
    <m/>
    <m/>
    <m/>
    <m/>
    <m/>
    <x v="4066"/>
    <m/>
    <m/>
  </r>
  <r>
    <x v="62"/>
    <d v="2024-08-01T00:00:00"/>
    <s v="Powerplus - Ending in 8s30"/>
    <x v="1893"/>
    <n v="-2899.37"/>
    <x v="9"/>
    <m/>
    <s v="Sav - College Savings"/>
    <m/>
    <m/>
    <m/>
    <m/>
    <m/>
    <m/>
    <x v="1746"/>
    <m/>
    <m/>
  </r>
  <r>
    <x v="62"/>
    <d v="2024-08-01T00:00:00"/>
    <s v="Delta Skymiles Platinum Card ( X ) - Ending in 1007"/>
    <x v="4830"/>
    <n v="92.69"/>
    <x v="3"/>
    <s v="Travel"/>
    <s v="Delete"/>
    <m/>
    <m/>
    <m/>
    <m/>
    <m/>
    <m/>
    <x v="4275"/>
    <m/>
    <m/>
  </r>
  <r>
    <x v="65"/>
    <d v="2024-09-26T00:00:00"/>
    <s v="American Express"/>
    <x v="4831"/>
    <n v="129.94999999999999"/>
    <x v="3"/>
    <m/>
    <s v="Delete"/>
    <m/>
    <m/>
    <m/>
    <m/>
    <m/>
    <m/>
    <x v="4276"/>
    <m/>
    <m/>
  </r>
  <r>
    <x v="65"/>
    <d v="2024-09-20T00:00:00"/>
    <s v="American Express"/>
    <x v="4832"/>
    <n v="59.17"/>
    <x v="3"/>
    <m/>
    <s v="Delete"/>
    <m/>
    <m/>
    <m/>
    <m/>
    <m/>
    <m/>
    <x v="4277"/>
    <m/>
    <m/>
  </r>
  <r>
    <x v="62"/>
    <d v="2024-08-01T00:00:00"/>
    <s v="Powerplus - Ending in 8s30"/>
    <x v="1844"/>
    <n v="2741.74"/>
    <x v="6"/>
    <m/>
    <s v="Exp - Rent"/>
    <m/>
    <m/>
    <m/>
    <m/>
    <m/>
    <m/>
    <x v="1699"/>
    <m/>
    <m/>
  </r>
  <r>
    <x v="65"/>
    <d v="2024-09-24T00:00:00"/>
    <s v="American Express"/>
    <x v="4833"/>
    <n v="128.4"/>
    <x v="3"/>
    <m/>
    <s v="Delete"/>
    <m/>
    <m/>
    <m/>
    <m/>
    <m/>
    <m/>
    <x v="4278"/>
    <m/>
    <m/>
  </r>
  <r>
    <x v="62"/>
    <d v="2024-08-01T00:00:00"/>
    <s v="Powerplus - Ending in 8s30"/>
    <x v="3996"/>
    <n v="650"/>
    <x v="9"/>
    <m/>
    <s v="Sav - College Savings"/>
    <m/>
    <m/>
    <m/>
    <m/>
    <m/>
    <m/>
    <x v="3539"/>
    <m/>
    <m/>
  </r>
  <r>
    <x v="65"/>
    <d v="2024-09-19T00:00:00"/>
    <s v="American Express"/>
    <x v="4834"/>
    <n v="130.54"/>
    <x v="3"/>
    <m/>
    <s v="Delete"/>
    <m/>
    <m/>
    <m/>
    <m/>
    <m/>
    <m/>
    <x v="4279"/>
    <m/>
    <m/>
  </r>
  <r>
    <x v="62"/>
    <d v="2024-08-01T00:00:00"/>
    <s v="Cash Rewards Visa Signature - Ending in 5913"/>
    <x v="1941"/>
    <n v="34.93"/>
    <x v="9"/>
    <m/>
    <s v="Sav - College Savings"/>
    <m/>
    <m/>
    <m/>
    <m/>
    <m/>
    <m/>
    <x v="1794"/>
    <m/>
    <m/>
  </r>
  <r>
    <x v="62"/>
    <d v="2024-08-02T00:00:00"/>
    <s v="Cash Rewards Visa Signature - Ending in 5913"/>
    <x v="1895"/>
    <n v="85.29"/>
    <x v="0"/>
    <m/>
    <m/>
    <m/>
    <m/>
    <m/>
    <m/>
    <m/>
    <m/>
    <x v="1748"/>
    <m/>
    <m/>
  </r>
  <r>
    <x v="62"/>
    <d v="2024-08-02T00:00:00"/>
    <s v="Delta Skymiles Platinum Card ( X ) - Ending in 1007"/>
    <x v="473"/>
    <n v="60.39"/>
    <x v="1"/>
    <s v="Restaurants"/>
    <m/>
    <m/>
    <m/>
    <m/>
    <m/>
    <m/>
    <m/>
    <x v="456"/>
    <m/>
    <m/>
  </r>
  <r>
    <x v="65"/>
    <d v="2024-09-17T00:00:00"/>
    <s v="American Express"/>
    <x v="4835"/>
    <n v="71.45"/>
    <x v="3"/>
    <m/>
    <s v="Delete"/>
    <m/>
    <m/>
    <m/>
    <m/>
    <m/>
    <m/>
    <x v="4280"/>
    <m/>
    <m/>
  </r>
  <r>
    <x v="62"/>
    <d v="2024-08-02T00:00:00"/>
    <s v="Delta Skymiles Platinum Card ( X ) - Ending in 1007"/>
    <x v="4766"/>
    <n v="-27"/>
    <x v="8"/>
    <s v="Shopping"/>
    <s v="Exp - Shopping"/>
    <m/>
    <m/>
    <m/>
    <m/>
    <m/>
    <m/>
    <x v="4219"/>
    <m/>
    <m/>
  </r>
  <r>
    <x v="62"/>
    <d v="2024-08-02T00:00:00"/>
    <s v="Delta Skymiles Platinum Card ( X ) - Ending in 1007"/>
    <x v="4836"/>
    <n v="214.9"/>
    <x v="1"/>
    <s v="Restaurants"/>
    <s v="Exp - Restaurants"/>
    <m/>
    <m/>
    <m/>
    <m/>
    <m/>
    <m/>
    <x v="4281"/>
    <m/>
    <m/>
  </r>
  <r>
    <x v="62"/>
    <d v="2024-08-02T00:00:00"/>
    <s v="Cash Rewards Visa Signature - Ending in 5913"/>
    <x v="1941"/>
    <n v="23.41"/>
    <x v="2"/>
    <m/>
    <m/>
    <m/>
    <m/>
    <m/>
    <m/>
    <m/>
    <m/>
    <x v="1794"/>
    <m/>
    <m/>
  </r>
  <r>
    <x v="27"/>
    <d v="2024-07-11T00:00:00"/>
    <s v="Delta Skymiles Platinum Card ( X ) - Ending in 1007"/>
    <x v="4136"/>
    <n v="82.53"/>
    <x v="3"/>
    <s v="Travel"/>
    <s v="Delete"/>
    <m/>
    <m/>
    <m/>
    <m/>
    <m/>
    <m/>
    <x v="3670"/>
    <m/>
    <m/>
  </r>
  <r>
    <x v="62"/>
    <d v="2024-08-02T00:00:00"/>
    <s v="Delta Skymiles Platinum Card ( X ) - Ending in 1007"/>
    <x v="4837"/>
    <n v="10"/>
    <x v="2"/>
    <s v="Travel"/>
    <s v="Exp - Transportation"/>
    <m/>
    <m/>
    <m/>
    <m/>
    <m/>
    <m/>
    <x v="4282"/>
    <m/>
    <m/>
  </r>
  <r>
    <x v="62"/>
    <d v="2024-08-03T00:00:00"/>
    <s v="Delta Skymiles Platinum Card ( X ) - Ending in 1007"/>
    <x v="4838"/>
    <n v="93.67"/>
    <x v="1"/>
    <s v="Delete - Other Expenses"/>
    <s v="Exp - Restaurants"/>
    <m/>
    <m/>
    <m/>
    <m/>
    <m/>
    <m/>
    <x v="4283"/>
    <m/>
    <m/>
  </r>
  <r>
    <x v="62"/>
    <d v="2024-08-03T00:00:00"/>
    <s v="Delta Skymiles Platinum Card ( X ) - Ending in 1007"/>
    <x v="4839"/>
    <n v="38.950000000000003"/>
    <x v="28"/>
    <s v="Day Care"/>
    <s v="Exp - Misc"/>
    <m/>
    <m/>
    <m/>
    <m/>
    <m/>
    <m/>
    <x v="4284"/>
    <m/>
    <m/>
  </r>
  <r>
    <x v="27"/>
    <d v="2024-07-12T00:00:00"/>
    <s v="Delta Skymiles Platinum Card ( X ) - Ending in 1007"/>
    <x v="4840"/>
    <n v="50.74"/>
    <x v="3"/>
    <s v="Travel"/>
    <s v="Delete"/>
    <m/>
    <m/>
    <m/>
    <m/>
    <m/>
    <m/>
    <x v="4285"/>
    <m/>
    <m/>
  </r>
  <r>
    <x v="62"/>
    <d v="2024-08-03T00:00:00"/>
    <s v="Delta Skymiles Platinum Card ( X ) - Ending in 1007"/>
    <x v="6"/>
    <n v="41.63"/>
    <x v="1"/>
    <s v="Groceries"/>
    <s v="Exp - Restaurants"/>
    <m/>
    <m/>
    <m/>
    <m/>
    <m/>
    <m/>
    <x v="6"/>
    <m/>
    <m/>
  </r>
  <r>
    <x v="62"/>
    <d v="2024-08-03T00:00:00"/>
    <s v="Delta Skymiles Platinum Card ( X ) - Ending in 1007"/>
    <x v="4841"/>
    <n v="14.05"/>
    <x v="1"/>
    <s v="Restaurants"/>
    <s v="Exp - Restaurants"/>
    <m/>
    <m/>
    <m/>
    <m/>
    <m/>
    <m/>
    <x v="4286"/>
    <m/>
    <m/>
  </r>
  <r>
    <x v="62"/>
    <d v="2024-08-03T00:00:00"/>
    <s v="Delta Skymiles Platinum Card ( X ) - Ending in 1007"/>
    <x v="775"/>
    <n v="33.590000000000003"/>
    <x v="19"/>
    <s v="Delete - Home Improvement"/>
    <s v="Exp - House Maint"/>
    <m/>
    <m/>
    <m/>
    <m/>
    <m/>
    <m/>
    <x v="747"/>
    <m/>
    <m/>
  </r>
  <r>
    <x v="27"/>
    <d v="2024-07-16T00:00:00"/>
    <s v="Delta Skymiles Platinum Card ( X ) - Ending in 1007"/>
    <x v="4842"/>
    <n v="108.27"/>
    <x v="3"/>
    <s v="Travel"/>
    <s v="Delete"/>
    <m/>
    <m/>
    <m/>
    <m/>
    <m/>
    <m/>
    <x v="4287"/>
    <m/>
    <m/>
  </r>
  <r>
    <x v="62"/>
    <d v="2024-08-04T00:00:00"/>
    <s v="Delta Skymiles Platinum Card ( X ) - Ending in 1007"/>
    <x v="4843"/>
    <n v="11.19"/>
    <x v="8"/>
    <s v="Delete - Online Services"/>
    <s v="Exp - Shopping"/>
    <m/>
    <m/>
    <m/>
    <m/>
    <m/>
    <m/>
    <x v="4288"/>
    <m/>
    <m/>
  </r>
  <r>
    <x v="62"/>
    <d v="2024-08-04T00:00:00"/>
    <s v="Delta Skymiles Platinum Card ( X ) - Ending in 1007"/>
    <x v="4844"/>
    <n v="20.399999999999999"/>
    <x v="1"/>
    <s v="Restaurants"/>
    <s v="Exp - Restaurants"/>
    <m/>
    <m/>
    <m/>
    <m/>
    <m/>
    <m/>
    <x v="4289"/>
    <m/>
    <m/>
  </r>
  <r>
    <x v="62"/>
    <d v="2024-08-04T00:00:00"/>
    <s v="Cash Rewards Visa Signature - Ending in 5913"/>
    <x v="4158"/>
    <n v="56.48"/>
    <x v="2"/>
    <m/>
    <s v="Exp - Transportation"/>
    <m/>
    <m/>
    <m/>
    <m/>
    <m/>
    <m/>
    <x v="3690"/>
    <m/>
    <m/>
  </r>
  <r>
    <x v="62"/>
    <d v="2024-08-04T00:00:00"/>
    <s v="Delta Skymiles Platinum Card ( X ) - Ending in 1007"/>
    <x v="1336"/>
    <n v="19.03"/>
    <x v="1"/>
    <s v="Delete - Online Services"/>
    <s v="Exp - Restaurants"/>
    <m/>
    <m/>
    <m/>
    <m/>
    <m/>
    <m/>
    <x v="1263"/>
    <m/>
    <m/>
  </r>
  <r>
    <x v="62"/>
    <d v="2024-08-04T00:00:00"/>
    <s v="Delta Skymiles Platinum Card ( X ) - Ending in 1007"/>
    <x v="1336"/>
    <n v="16.559999999999999"/>
    <x v="1"/>
    <s v="Delete - Online Services"/>
    <s v="Exp - Restaurants"/>
    <m/>
    <m/>
    <m/>
    <m/>
    <m/>
    <m/>
    <x v="1263"/>
    <m/>
    <m/>
  </r>
  <r>
    <x v="62"/>
    <d v="2024-08-04T00:00:00"/>
    <s v="Delta Skymiles Platinum Card ( X ) - Ending in 1007"/>
    <x v="1336"/>
    <n v="35"/>
    <x v="1"/>
    <s v="Delete - Online Services"/>
    <s v="Exp - Restaurants"/>
    <m/>
    <m/>
    <m/>
    <m/>
    <m/>
    <m/>
    <x v="1263"/>
    <m/>
    <m/>
  </r>
  <r>
    <x v="62"/>
    <d v="2024-08-04T00:00:00"/>
    <s v="Delta Skymiles Platinum Card ( X ) - Ending in 1007"/>
    <x v="1336"/>
    <n v="9.83"/>
    <x v="1"/>
    <s v="Delete - Online Services"/>
    <s v="Exp - Restaurants"/>
    <m/>
    <m/>
    <m/>
    <m/>
    <m/>
    <m/>
    <x v="1263"/>
    <m/>
    <m/>
  </r>
  <r>
    <x v="62"/>
    <d v="2024-08-04T00:00:00"/>
    <s v="Delta Skymiles Platinum Card ( X ) - Ending in 1007"/>
    <x v="2"/>
    <n v="48.07"/>
    <x v="1"/>
    <s v="Transportation"/>
    <s v="Exp - Restaurants"/>
    <m/>
    <m/>
    <m/>
    <m/>
    <m/>
    <m/>
    <x v="2"/>
    <m/>
    <m/>
  </r>
  <r>
    <x v="62"/>
    <d v="2024-08-04T00:00:00"/>
    <s v="Discover More Card - Ending in 7779"/>
    <x v="4845"/>
    <n v="19.05"/>
    <x v="1"/>
    <s v="Restaurants"/>
    <s v="Exp - Restaurants"/>
    <m/>
    <m/>
    <m/>
    <m/>
    <m/>
    <m/>
    <x v="4290"/>
    <m/>
    <m/>
  </r>
  <r>
    <x v="62"/>
    <d v="2024-08-05T00:00:00"/>
    <s v="Delta Skymiles Platinum Card ( X ) - Ending in 1007"/>
    <x v="57"/>
    <n v="146.80000000000001"/>
    <x v="5"/>
    <s v="Groceries"/>
    <s v="Exp - Groceries"/>
    <m/>
    <m/>
    <m/>
    <m/>
    <m/>
    <m/>
    <x v="57"/>
    <m/>
    <m/>
  </r>
  <r>
    <x v="62"/>
    <d v="2024-08-23T00:00:00"/>
    <s v="Cash Rewards Visa Signature - Ending in 5913"/>
    <x v="4846"/>
    <n v="23.47"/>
    <x v="3"/>
    <m/>
    <s v="Delete"/>
    <m/>
    <m/>
    <m/>
    <m/>
    <m/>
    <m/>
    <x v="4291"/>
    <m/>
    <m/>
  </r>
  <r>
    <x v="62"/>
    <d v="2024-08-05T00:00:00"/>
    <s v="Cash Rewards Visa Signature - Ending in 5913"/>
    <x v="2"/>
    <n v="6.99"/>
    <x v="1"/>
    <m/>
    <s v="Exp - Restaurants"/>
    <m/>
    <m/>
    <m/>
    <m/>
    <m/>
    <m/>
    <x v="2"/>
    <m/>
    <m/>
  </r>
  <r>
    <x v="62"/>
    <d v="2024-08-06T00:00:00"/>
    <s v="Delta Skymiles Platinum Card ( X ) - Ending in 1007"/>
    <x v="4847"/>
    <n v="103.09"/>
    <x v="29"/>
    <s v="Shopping"/>
    <s v="Exp - Gifts"/>
    <m/>
    <m/>
    <m/>
    <m/>
    <m/>
    <m/>
    <x v="4292"/>
    <m/>
    <m/>
  </r>
  <r>
    <x v="62"/>
    <d v="2024-08-06T00:00:00"/>
    <s v="Delta Skymiles Platinum Card ( X ) - Ending in 1007"/>
    <x v="1530"/>
    <n v="428.8"/>
    <x v="2"/>
    <s v="Transportation"/>
    <s v="Exp - Transportation"/>
    <m/>
    <m/>
    <m/>
    <m/>
    <m/>
    <m/>
    <x v="1435"/>
    <m/>
    <m/>
  </r>
  <r>
    <x v="62"/>
    <d v="2024-08-06T00:00:00"/>
    <s v="Delta Skymiles Platinum Card ( X ) - Ending in 1007"/>
    <x v="4848"/>
    <n v="88"/>
    <x v="8"/>
    <s v="Delete - Personal Care"/>
    <s v="Exp - Shopping"/>
    <m/>
    <m/>
    <m/>
    <m/>
    <m/>
    <m/>
    <x v="4293"/>
    <m/>
    <m/>
  </r>
  <r>
    <x v="62"/>
    <d v="2024-08-06T00:00:00"/>
    <s v="Powerplus - Ending in 8s30"/>
    <x v="3924"/>
    <n v="220.25"/>
    <x v="2"/>
    <m/>
    <s v="Exp - Transportation"/>
    <m/>
    <m/>
    <m/>
    <m/>
    <m/>
    <m/>
    <x v="3470"/>
    <m/>
    <m/>
  </r>
  <r>
    <x v="62"/>
    <d v="2024-08-06T00:00:00"/>
    <s v="Delta Skymiles Platinum Card ( X ) - Ending in 1007"/>
    <x v="4369"/>
    <n v="22.19"/>
    <x v="1"/>
    <s v="Cable/Satellite"/>
    <s v="Exp - Restaurants"/>
    <m/>
    <m/>
    <m/>
    <m/>
    <m/>
    <m/>
    <x v="3879"/>
    <m/>
    <m/>
  </r>
  <r>
    <x v="62"/>
    <d v="2024-08-06T00:00:00"/>
    <s v="Powerplus - Ending in 8s30"/>
    <x v="1987"/>
    <n v="192.83"/>
    <x v="11"/>
    <m/>
    <s v="Exp - Utilities"/>
    <m/>
    <m/>
    <m/>
    <m/>
    <m/>
    <m/>
    <x v="1837"/>
    <m/>
    <m/>
  </r>
  <r>
    <x v="62"/>
    <d v="2024-08-06T00:00:00"/>
    <s v="Delta Skymiles Platinum Card ( X ) - Ending in 1007"/>
    <x v="4358"/>
    <n v="33.65"/>
    <x v="1"/>
    <s v="Restaurants"/>
    <s v="Exp - Restaurants"/>
    <m/>
    <m/>
    <m/>
    <m/>
    <m/>
    <m/>
    <x v="3869"/>
    <m/>
    <m/>
  </r>
  <r>
    <x v="62"/>
    <d v="2024-08-06T00:00:00"/>
    <s v="Powerplus - Ending in 8s30"/>
    <x v="1849"/>
    <n v="43.59"/>
    <x v="8"/>
    <m/>
    <s v="Exp - Shopping"/>
    <m/>
    <m/>
    <m/>
    <m/>
    <m/>
    <m/>
    <x v="1704"/>
    <m/>
    <m/>
  </r>
  <r>
    <x v="62"/>
    <d v="2024-08-06T00:00:00"/>
    <s v="Delta Skymiles Platinum Card ( X ) - Ending in 1007"/>
    <x v="4849"/>
    <n v="4"/>
    <x v="1"/>
    <s v="Restaurants"/>
    <s v="Exp - Restaurants"/>
    <m/>
    <m/>
    <m/>
    <m/>
    <m/>
    <m/>
    <x v="4294"/>
    <m/>
    <m/>
  </r>
  <r>
    <x v="62"/>
    <d v="2024-08-07T00:00:00"/>
    <s v="Delta Skymiles Platinum Card ( X ) - Ending in 1007"/>
    <x v="4850"/>
    <n v="64.400000000000006"/>
    <x v="1"/>
    <s v="Restaurants"/>
    <s v="Exp - Restaurants"/>
    <m/>
    <m/>
    <m/>
    <m/>
    <m/>
    <m/>
    <x v="4295"/>
    <m/>
    <m/>
  </r>
  <r>
    <x v="62"/>
    <d v="2024-08-07T00:00:00"/>
    <s v="Delta Skymiles Platinum Card ( X ) - Ending in 1007"/>
    <x v="6"/>
    <n v="59.63"/>
    <x v="1"/>
    <s v="Groceries"/>
    <s v="Exp - Restaurants"/>
    <m/>
    <m/>
    <m/>
    <m/>
    <m/>
    <m/>
    <x v="6"/>
    <m/>
    <m/>
  </r>
  <r>
    <x v="23"/>
    <d v="2024-06-19T00:00:00"/>
    <s v="Delta Skymiles Platinum Card ( X ) - Ending in 1007"/>
    <x v="4851"/>
    <n v="8.74"/>
    <x v="3"/>
    <s v="Dry Cleaning"/>
    <s v="Delete"/>
    <m/>
    <m/>
    <m/>
    <m/>
    <m/>
    <m/>
    <x v="4296"/>
    <m/>
    <m/>
  </r>
  <r>
    <x v="62"/>
    <d v="2024-08-07T00:00:00"/>
    <s v="Powerplus - Ending in 8s30"/>
    <x v="4852"/>
    <n v="278"/>
    <x v="4"/>
    <m/>
    <s v="Exp - Day Care"/>
    <m/>
    <m/>
    <m/>
    <m/>
    <m/>
    <m/>
    <x v="4108"/>
    <m/>
    <m/>
  </r>
  <r>
    <x v="62"/>
    <d v="2024-08-08T00:00:00"/>
    <s v="Discover More Card - Ending in 7779"/>
    <x v="1895"/>
    <n v="-23.83"/>
    <x v="0"/>
    <s v="Amazon"/>
    <m/>
    <m/>
    <m/>
    <m/>
    <m/>
    <m/>
    <m/>
    <x v="1748"/>
    <m/>
    <m/>
  </r>
  <r>
    <x v="62"/>
    <d v="2024-08-08T00:00:00"/>
    <s v="Manual"/>
    <x v="1850"/>
    <n v="250"/>
    <x v="56"/>
    <m/>
    <s v="Exp - Cleaning"/>
    <m/>
    <m/>
    <m/>
    <m/>
    <m/>
    <m/>
    <x v="1705"/>
    <m/>
    <m/>
  </r>
  <r>
    <x v="62"/>
    <d v="2024-08-09T00:00:00"/>
    <s v="Delta Skymiles Platinum Card ( X ) - Ending in 1007"/>
    <x v="3556"/>
    <n v="14.46"/>
    <x v="5"/>
    <s v="Groceries"/>
    <m/>
    <m/>
    <m/>
    <m/>
    <m/>
    <m/>
    <m/>
    <x v="3136"/>
    <m/>
    <m/>
  </r>
  <r>
    <x v="62"/>
    <d v="2024-08-09T00:00:00"/>
    <s v="Delta Skymiles Platinum Card ( X ) - Ending in 1007"/>
    <x v="3556"/>
    <n v="0.61"/>
    <x v="5"/>
    <s v="Groceries"/>
    <s v="Exp - Groceries"/>
    <m/>
    <m/>
    <m/>
    <m/>
    <m/>
    <m/>
    <x v="3136"/>
    <m/>
    <m/>
  </r>
  <r>
    <x v="62"/>
    <d v="2024-08-09T00:00:00"/>
    <s v="Powerplus - Ending in 8s30"/>
    <x v="1869"/>
    <n v="150.22999999999999"/>
    <x v="5"/>
    <m/>
    <s v="Exp - Groceries"/>
    <m/>
    <m/>
    <m/>
    <m/>
    <m/>
    <m/>
    <x v="1723"/>
    <m/>
    <m/>
  </r>
  <r>
    <x v="62"/>
    <d v="2024-08-09T00:00:00"/>
    <s v="Cash Rewards Visa Signature - Ending in 5913"/>
    <x v="1867"/>
    <n v="47.69"/>
    <x v="27"/>
    <m/>
    <m/>
    <m/>
    <m/>
    <m/>
    <m/>
    <m/>
    <m/>
    <x v="1721"/>
    <m/>
    <m/>
  </r>
  <r>
    <x v="62"/>
    <d v="2024-08-09T00:00:00"/>
    <s v="Powerplus - Ending in 8s30"/>
    <x v="1827"/>
    <n v="125"/>
    <x v="5"/>
    <m/>
    <s v="Exp - Groceries"/>
    <m/>
    <m/>
    <m/>
    <m/>
    <m/>
    <m/>
    <x v="1682"/>
    <m/>
    <m/>
  </r>
  <r>
    <x v="62"/>
    <d v="2024-08-09T00:00:00"/>
    <s v="Delta Skymiles Platinum Card ( X ) - Ending in 1007"/>
    <x v="4634"/>
    <n v="135.68"/>
    <x v="1"/>
    <s v="Delete - Other Expenses"/>
    <s v="Exp - Restaurants"/>
    <m/>
    <m/>
    <m/>
    <m/>
    <m/>
    <m/>
    <x v="4109"/>
    <m/>
    <m/>
  </r>
  <r>
    <x v="62"/>
    <d v="2024-08-10T00:00:00"/>
    <s v="Delta Skymiles Platinum Card ( X ) - Ending in 1007"/>
    <x v="4853"/>
    <n v="43.35"/>
    <x v="1"/>
    <s v="Restaurants"/>
    <s v="Exp - Restaurants"/>
    <m/>
    <m/>
    <m/>
    <m/>
    <m/>
    <m/>
    <x v="4297"/>
    <m/>
    <m/>
  </r>
  <r>
    <x v="62"/>
    <d v="2024-08-10T00:00:00"/>
    <s v="Delta Skymiles Platinum Card ( X ) - Ending in 1007"/>
    <x v="4854"/>
    <n v="45"/>
    <x v="10"/>
    <s v="Entertainment"/>
    <s v="Exp - Entertainment"/>
    <m/>
    <m/>
    <m/>
    <m/>
    <m/>
    <m/>
    <x v="4298"/>
    <m/>
    <m/>
  </r>
  <r>
    <x v="62"/>
    <d v="2024-08-10T00:00:00"/>
    <s v="Delta Skymiles Platinum Card ( X ) - Ending in 1007"/>
    <x v="4855"/>
    <n v="47"/>
    <x v="1"/>
    <s v="Restaurants"/>
    <s v="Exp - Restaurants"/>
    <m/>
    <m/>
    <m/>
    <m/>
    <m/>
    <m/>
    <x v="4299"/>
    <m/>
    <m/>
  </r>
  <r>
    <x v="62"/>
    <d v="2024-08-11T00:00:00"/>
    <s v="Cash Rewards Visa Signature - Ending in 5913"/>
    <x v="1895"/>
    <n v="59.32"/>
    <x v="0"/>
    <m/>
    <m/>
    <m/>
    <m/>
    <m/>
    <m/>
    <m/>
    <m/>
    <x v="1748"/>
    <m/>
    <m/>
  </r>
  <r>
    <x v="62"/>
    <d v="2024-08-11T00:00:00"/>
    <s v="Cash Rewards Visa Signature - Ending in 5913"/>
    <x v="1895"/>
    <n v="87.3"/>
    <x v="0"/>
    <m/>
    <m/>
    <m/>
    <m/>
    <m/>
    <m/>
    <m/>
    <m/>
    <x v="1748"/>
    <m/>
    <m/>
  </r>
  <r>
    <x v="62"/>
    <d v="2024-08-11T00:00:00"/>
    <s v="Delta Skymiles Platinum Card ( X ) - Ending in 1007"/>
    <x v="4856"/>
    <n v="19.11"/>
    <x v="1"/>
    <s v="Dry Cleaning"/>
    <s v="Exp - Restaurants"/>
    <m/>
    <m/>
    <m/>
    <m/>
    <m/>
    <m/>
    <x v="4300"/>
    <m/>
    <m/>
  </r>
  <r>
    <x v="62"/>
    <d v="2024-08-11T00:00:00"/>
    <s v="Delta Skymiles Platinum Card ( X ) - Ending in 1007"/>
    <x v="4857"/>
    <n v="43.89"/>
    <x v="1"/>
    <s v="Delete - Other Expenses"/>
    <s v="Exp - Restaurants"/>
    <m/>
    <m/>
    <m/>
    <m/>
    <m/>
    <m/>
    <x v="4301"/>
    <m/>
    <m/>
  </r>
  <r>
    <x v="62"/>
    <d v="2024-08-11T00:00:00"/>
    <s v="Delta Skymiles Platinum Card ( X ) - Ending in 1007"/>
    <x v="823"/>
    <n v="45.48"/>
    <x v="2"/>
    <s v="Transportation"/>
    <m/>
    <m/>
    <m/>
    <m/>
    <m/>
    <m/>
    <m/>
    <x v="792"/>
    <m/>
    <m/>
  </r>
  <r>
    <x v="62"/>
    <d v="2024-08-11T00:00:00"/>
    <s v="Discover More Card - Ending in 7779"/>
    <x v="823"/>
    <n v="49.56"/>
    <x v="2"/>
    <s v="Transportation"/>
    <m/>
    <m/>
    <m/>
    <m/>
    <m/>
    <m/>
    <m/>
    <x v="792"/>
    <m/>
    <m/>
  </r>
  <r>
    <x v="62"/>
    <d v="2024-08-11T00:00:00"/>
    <s v="Cash Rewards Visa Signature - Ending in 5913"/>
    <x v="99"/>
    <n v="25.6"/>
    <x v="11"/>
    <m/>
    <m/>
    <m/>
    <m/>
    <m/>
    <m/>
    <m/>
    <m/>
    <x v="99"/>
    <m/>
    <m/>
  </r>
  <r>
    <x v="62"/>
    <d v="2024-08-11T00:00:00"/>
    <s v="Delta Skymiles Platinum Card ( X ) - Ending in 1007"/>
    <x v="4784"/>
    <n v="32.33"/>
    <x v="1"/>
    <s v="Restaurants"/>
    <s v="Exp - Restaurants"/>
    <m/>
    <m/>
    <m/>
    <m/>
    <m/>
    <m/>
    <x v="4234"/>
    <m/>
    <m/>
  </r>
  <r>
    <x v="62"/>
    <d v="2024-08-12T00:00:00"/>
    <s v="Discover More Card - Ending in 7779"/>
    <x v="0"/>
    <n v="13.46"/>
    <x v="0"/>
    <s v="Amazon"/>
    <m/>
    <m/>
    <m/>
    <m/>
    <m/>
    <m/>
    <m/>
    <x v="0"/>
    <m/>
    <m/>
  </r>
  <r>
    <x v="62"/>
    <d v="2024-08-12T00:00:00"/>
    <s v="Cash Rewards Visa Signature - Ending in 5913"/>
    <x v="255"/>
    <n v="359.47"/>
    <x v="5"/>
    <m/>
    <m/>
    <m/>
    <m/>
    <m/>
    <m/>
    <m/>
    <m/>
    <x v="253"/>
    <m/>
    <m/>
  </r>
  <r>
    <x v="62"/>
    <d v="2024-08-12T00:00:00"/>
    <s v="Cash Rewards Visa Signature - Ending in 5913"/>
    <x v="255"/>
    <n v="31.08"/>
    <x v="5"/>
    <m/>
    <m/>
    <m/>
    <m/>
    <m/>
    <m/>
    <m/>
    <m/>
    <x v="253"/>
    <m/>
    <m/>
  </r>
  <r>
    <x v="62"/>
    <d v="2024-08-12T00:00:00"/>
    <s v="Cash Rewards Visa Signature - Ending in 5913"/>
    <x v="4140"/>
    <n v="6.53"/>
    <x v="10"/>
    <m/>
    <m/>
    <m/>
    <m/>
    <m/>
    <m/>
    <m/>
    <m/>
    <x v="3674"/>
    <m/>
    <m/>
  </r>
  <r>
    <x v="62"/>
    <d v="2024-08-13T00:00:00"/>
    <s v="Cash Rewards Visa Signature - Ending in 5913"/>
    <x v="0"/>
    <n v="5.88"/>
    <x v="0"/>
    <m/>
    <m/>
    <m/>
    <m/>
    <m/>
    <m/>
    <m/>
    <m/>
    <x v="0"/>
    <m/>
    <m/>
  </r>
  <r>
    <x v="62"/>
    <d v="2024-08-13T00:00:00"/>
    <s v="Discover More Card - Ending in 7779"/>
    <x v="1895"/>
    <n v="23.83"/>
    <x v="0"/>
    <s v="Amazon"/>
    <m/>
    <m/>
    <m/>
    <m/>
    <m/>
    <m/>
    <m/>
    <x v="1748"/>
    <m/>
    <m/>
  </r>
  <r>
    <x v="62"/>
    <d v="2024-08-01T00:00:00"/>
    <s v="Delta Skymiles Platinum Card ( X ) - Ending in 1007"/>
    <x v="4851"/>
    <n v="13.49"/>
    <x v="3"/>
    <s v="Dry Cleaning"/>
    <s v="Delete"/>
    <m/>
    <m/>
    <m/>
    <m/>
    <m/>
    <m/>
    <x v="4296"/>
    <m/>
    <m/>
  </r>
  <r>
    <x v="62"/>
    <d v="2024-08-13T00:00:00"/>
    <s v="Delta Skymiles Platinum Card ( X ) - Ending in 1007"/>
    <x v="4858"/>
    <n v="29"/>
    <x v="1"/>
    <s v="House Maintenance"/>
    <s v="Exp - Restaurants"/>
    <m/>
    <m/>
    <m/>
    <m/>
    <m/>
    <m/>
    <x v="4302"/>
    <m/>
    <m/>
  </r>
  <r>
    <x v="61"/>
    <d v="2024-02-26T00:00:00"/>
    <s v="Cash Rewards Visa Signature - Ending in 5914"/>
    <x v="4859"/>
    <n v="5.5"/>
    <x v="3"/>
    <m/>
    <s v="Delete"/>
    <m/>
    <m/>
    <m/>
    <m/>
    <m/>
    <m/>
    <x v="4303"/>
    <m/>
    <m/>
  </r>
  <r>
    <x v="62"/>
    <d v="2024-08-13T00:00:00"/>
    <s v="Cash Rewards Visa Signature - Ending in 5913"/>
    <x v="1993"/>
    <n v="45"/>
    <x v="11"/>
    <m/>
    <m/>
    <m/>
    <m/>
    <m/>
    <m/>
    <m/>
    <m/>
    <x v="1843"/>
    <m/>
    <m/>
  </r>
  <r>
    <x v="62"/>
    <d v="2024-08-14T00:00:00"/>
    <s v="Discover More Card - Ending in 7779"/>
    <x v="1895"/>
    <n v="11.99"/>
    <x v="0"/>
    <s v="Amazon"/>
    <m/>
    <m/>
    <m/>
    <m/>
    <m/>
    <m/>
    <m/>
    <x v="1748"/>
    <m/>
    <m/>
  </r>
  <r>
    <x v="62"/>
    <d v="2024-08-14T00:00:00"/>
    <s v="Delta Skymiles Platinum Card ( X ) - Ending in 1007"/>
    <x v="1895"/>
    <n v="30.84"/>
    <x v="0"/>
    <s v="Amazon"/>
    <m/>
    <m/>
    <m/>
    <m/>
    <m/>
    <m/>
    <m/>
    <x v="1748"/>
    <m/>
    <m/>
  </r>
  <r>
    <x v="44"/>
    <d v="2024-01-22T00:00:00"/>
    <s v="Discover More Card - Ending in 7779"/>
    <x v="4860"/>
    <n v="96.86"/>
    <x v="3"/>
    <s v="Restaurants"/>
    <s v="Delete"/>
    <m/>
    <m/>
    <m/>
    <m/>
    <m/>
    <m/>
    <x v="4304"/>
    <m/>
    <m/>
  </r>
  <r>
    <x v="62"/>
    <d v="2024-08-14T00:00:00"/>
    <s v="Delta Skymiles Platinum Card ( X ) - Ending in 1007"/>
    <x v="4696"/>
    <n v="20"/>
    <x v="11"/>
    <s v="Restaurants"/>
    <s v="Exp - Utilities"/>
    <m/>
    <m/>
    <m/>
    <m/>
    <m/>
    <m/>
    <x v="4159"/>
    <m/>
    <m/>
  </r>
  <r>
    <x v="62"/>
    <d v="2024-08-14T00:00:00"/>
    <s v="Powerplus - Ending in 8s30"/>
    <x v="3693"/>
    <n v="120.46"/>
    <x v="16"/>
    <m/>
    <m/>
    <m/>
    <m/>
    <m/>
    <m/>
    <m/>
    <m/>
    <x v="3254"/>
    <m/>
    <m/>
  </r>
  <r>
    <x v="62"/>
    <d v="2024-08-14T00:00:00"/>
    <s v="Powerplus - Ending in 8s30"/>
    <x v="3684"/>
    <n v="-3238.06"/>
    <x v="57"/>
    <m/>
    <m/>
    <m/>
    <m/>
    <m/>
    <m/>
    <m/>
    <m/>
    <x v="3245"/>
    <m/>
    <m/>
  </r>
  <r>
    <x v="44"/>
    <d v="2024-01-08T00:00:00"/>
    <s v="Delta Skymiles Platinum Card - Ending in 1007"/>
    <x v="3506"/>
    <n v="-6010.23"/>
    <x v="3"/>
    <s v="Delete"/>
    <m/>
    <m/>
    <m/>
    <m/>
    <m/>
    <m/>
    <m/>
    <x v="3095"/>
    <m/>
    <m/>
  </r>
  <r>
    <x v="44"/>
    <d v="2024-01-25T00:00:00"/>
    <s v="Delta Skymiles Platinum Card - Ending in 1007"/>
    <x v="3506"/>
    <n v="-4783.71"/>
    <x v="3"/>
    <s v="Delete"/>
    <m/>
    <m/>
    <m/>
    <m/>
    <m/>
    <m/>
    <m/>
    <x v="3095"/>
    <m/>
    <m/>
  </r>
  <r>
    <x v="62"/>
    <d v="2024-08-14T00:00:00"/>
    <s v="Powerplus - Ending in 8s30"/>
    <x v="4861"/>
    <n v="278"/>
    <x v="4"/>
    <m/>
    <s v="Exp - Day Care"/>
    <m/>
    <m/>
    <m/>
    <m/>
    <m/>
    <m/>
    <x v="4108"/>
    <m/>
    <m/>
  </r>
  <r>
    <x v="62"/>
    <d v="2024-08-15T00:00:00"/>
    <s v="Delta Skymiles Platinum Card ( X ) - Ending in 1007"/>
    <x v="1895"/>
    <n v="61.31"/>
    <x v="0"/>
    <s v="Amazon"/>
    <m/>
    <m/>
    <m/>
    <m/>
    <m/>
    <m/>
    <m/>
    <x v="1748"/>
    <m/>
    <m/>
  </r>
  <r>
    <x v="62"/>
    <d v="2024-08-15T00:00:00"/>
    <s v="Powerplus - Ending in 8s30"/>
    <x v="1893"/>
    <n v="-3099.2"/>
    <x v="34"/>
    <m/>
    <m/>
    <m/>
    <m/>
    <m/>
    <m/>
    <m/>
    <m/>
    <x v="1746"/>
    <m/>
    <m/>
  </r>
  <r>
    <x v="62"/>
    <d v="2024-08-15T00:00:00"/>
    <s v="Discover More Card - Ending in 7779"/>
    <x v="1885"/>
    <n v="-22.66"/>
    <x v="23"/>
    <s v="Rewards"/>
    <m/>
    <m/>
    <m/>
    <m/>
    <m/>
    <m/>
    <m/>
    <x v="1738"/>
    <m/>
    <m/>
  </r>
  <r>
    <x v="61"/>
    <d v="2024-02-15T00:00:00"/>
    <s v="Delta Skymiles Platinum Card - Ending in 1007"/>
    <x v="3506"/>
    <n v="-3328.87"/>
    <x v="3"/>
    <s v="Delete"/>
    <m/>
    <m/>
    <m/>
    <m/>
    <m/>
    <m/>
    <m/>
    <x v="3095"/>
    <m/>
    <m/>
  </r>
  <r>
    <x v="62"/>
    <d v="2024-08-15T00:00:00"/>
    <s v="Powerplus - Ending in 8s30"/>
    <x v="4862"/>
    <n v="-2787.84"/>
    <x v="57"/>
    <m/>
    <s v="Inc - Jeff"/>
    <m/>
    <m/>
    <m/>
    <m/>
    <m/>
    <m/>
    <x v="3260"/>
    <m/>
    <m/>
  </r>
  <r>
    <x v="61"/>
    <d v="2024-02-26T00:00:00"/>
    <s v="Delta Skymiles Platinum Card - Ending in 1007"/>
    <x v="3506"/>
    <n v="-4140.37"/>
    <x v="3"/>
    <s v="Delete"/>
    <m/>
    <m/>
    <m/>
    <m/>
    <m/>
    <m/>
    <m/>
    <x v="3095"/>
    <m/>
    <m/>
  </r>
  <r>
    <x v="64"/>
    <d v="2024-04-26T00:00:00"/>
    <s v="Delta Skymiles Platinum Card ( X ) - Ending in 1007"/>
    <x v="3506"/>
    <n v="-2787.24"/>
    <x v="3"/>
    <s v="Delete"/>
    <m/>
    <m/>
    <m/>
    <m/>
    <m/>
    <m/>
    <m/>
    <x v="3095"/>
    <m/>
    <m/>
  </r>
  <r>
    <x v="25"/>
    <d v="2024-05-10T00:00:00"/>
    <s v="Delta Skymiles Platinum Card ( X ) - Ending in 1007"/>
    <x v="3506"/>
    <n v="-4921.7"/>
    <x v="3"/>
    <s v="Delete"/>
    <m/>
    <m/>
    <m/>
    <m/>
    <m/>
    <m/>
    <m/>
    <x v="3095"/>
    <m/>
    <m/>
  </r>
  <r>
    <x v="25"/>
    <d v="2024-05-21T00:00:00"/>
    <s v="Delta Skymiles Platinum Card ( X ) - Ending in 1007"/>
    <x v="3506"/>
    <n v="-1849.37"/>
    <x v="3"/>
    <s v="Delete"/>
    <m/>
    <m/>
    <m/>
    <m/>
    <m/>
    <m/>
    <m/>
    <x v="3095"/>
    <m/>
    <m/>
  </r>
  <r>
    <x v="62"/>
    <d v="2024-08-16T00:00:00"/>
    <s v="Cash Rewards Visa Signature - Ending in 5913"/>
    <x v="1895"/>
    <n v="-7.5"/>
    <x v="0"/>
    <m/>
    <m/>
    <m/>
    <m/>
    <m/>
    <m/>
    <m/>
    <m/>
    <x v="1748"/>
    <m/>
    <m/>
  </r>
  <r>
    <x v="62"/>
    <d v="2024-08-16T00:00:00"/>
    <s v="Cash Rewards Visa Signature - Ending in 5913"/>
    <x v="1895"/>
    <n v="34.979999999999997"/>
    <x v="0"/>
    <m/>
    <m/>
    <m/>
    <m/>
    <m/>
    <m/>
    <m/>
    <m/>
    <x v="1748"/>
    <m/>
    <m/>
  </r>
  <r>
    <x v="23"/>
    <d v="2024-06-06T00:00:00"/>
    <s v="Delta Skymiles Platinum Card ( X ) - Ending in 1007"/>
    <x v="3506"/>
    <n v="-2143.1"/>
    <x v="3"/>
    <s v="Delete"/>
    <m/>
    <m/>
    <m/>
    <m/>
    <m/>
    <m/>
    <m/>
    <x v="3095"/>
    <m/>
    <m/>
  </r>
  <r>
    <x v="27"/>
    <d v="2024-07-16T00:00:00"/>
    <s v="Delta Skymiles Platinum Card ( X ) - Ending in 1007"/>
    <x v="3506"/>
    <n v="-3748.61"/>
    <x v="3"/>
    <s v="Delete"/>
    <m/>
    <m/>
    <m/>
    <m/>
    <m/>
    <m/>
    <m/>
    <x v="3095"/>
    <m/>
    <m/>
  </r>
  <r>
    <x v="62"/>
    <d v="2024-08-16T00:00:00"/>
    <s v="Powerplus - Ending in 8s30"/>
    <x v="1827"/>
    <n v="100"/>
    <x v="8"/>
    <m/>
    <m/>
    <m/>
    <m/>
    <m/>
    <m/>
    <m/>
    <m/>
    <x v="1682"/>
    <m/>
    <m/>
  </r>
  <r>
    <x v="62"/>
    <d v="2024-08-02T00:00:00"/>
    <s v="Delta Skymiles Platinum Card ( X ) - Ending in 1007"/>
    <x v="3506"/>
    <n v="-6398.31"/>
    <x v="3"/>
    <s v="Delete"/>
    <m/>
    <m/>
    <m/>
    <m/>
    <m/>
    <m/>
    <m/>
    <x v="3095"/>
    <m/>
    <m/>
  </r>
  <r>
    <x v="62"/>
    <d v="2024-08-17T00:00:00"/>
    <s v="Delta Skymiles Platinum Card ( X ) - Ending in 1007"/>
    <x v="1175"/>
    <n v="168.12"/>
    <x v="24"/>
    <s v="Travel"/>
    <s v="Exp - Travel"/>
    <m/>
    <m/>
    <m/>
    <m/>
    <m/>
    <m/>
    <x v="1117"/>
    <m/>
    <s v="Ireland"/>
  </r>
  <r>
    <x v="62"/>
    <d v="2024-08-17T00:00:00"/>
    <s v="Delta Skymiles Platinum Card ( X ) - Ending in 1007"/>
    <x v="77"/>
    <n v="224"/>
    <x v="8"/>
    <s v="Shopping"/>
    <m/>
    <m/>
    <m/>
    <m/>
    <m/>
    <m/>
    <m/>
    <x v="77"/>
    <m/>
    <m/>
  </r>
  <r>
    <x v="62"/>
    <d v="2024-08-17T00:00:00"/>
    <s v="Delta Skymiles Platinum Card ( X ) - Ending in 1007"/>
    <x v="77"/>
    <n v="-158"/>
    <x v="8"/>
    <s v="Shopping"/>
    <m/>
    <m/>
    <m/>
    <m/>
    <m/>
    <m/>
    <m/>
    <x v="77"/>
    <m/>
    <m/>
  </r>
  <r>
    <x v="62"/>
    <d v="2024-08-17T00:00:00"/>
    <s v="Delta Skymiles Platinum Card ( X ) - Ending in 1007"/>
    <x v="4863"/>
    <n v="139.76"/>
    <x v="8"/>
    <s v="Delete - Personal Care"/>
    <s v="Exp - Shopping"/>
    <m/>
    <m/>
    <m/>
    <m/>
    <m/>
    <m/>
    <x v="4305"/>
    <m/>
    <m/>
  </r>
  <r>
    <x v="62"/>
    <d v="2024-08-17T00:00:00"/>
    <s v="Delta Skymiles Platinum Card ( X ) - Ending in 1007"/>
    <x v="488"/>
    <n v="64.900000000000006"/>
    <x v="8"/>
    <s v="Dry Cleaning"/>
    <s v="Exp - Shopping"/>
    <m/>
    <m/>
    <m/>
    <m/>
    <m/>
    <m/>
    <x v="471"/>
    <m/>
    <m/>
  </r>
  <r>
    <x v="62"/>
    <d v="2024-08-17T00:00:00"/>
    <s v="Delta Skymiles Platinum Card ( X ) - Ending in 1007"/>
    <x v="4577"/>
    <n v="155.59"/>
    <x v="1"/>
    <s v="Restaurants"/>
    <s v="Exp - Restaurants"/>
    <m/>
    <m/>
    <m/>
    <m/>
    <m/>
    <m/>
    <x v="4056"/>
    <m/>
    <m/>
  </r>
  <r>
    <x v="62"/>
    <d v="2024-08-18T00:00:00"/>
    <s v="Cash Rewards Visa Signature - Ending in 5913"/>
    <x v="1895"/>
    <n v="39.65"/>
    <x v="4"/>
    <m/>
    <s v="Exp - Day Care"/>
    <m/>
    <m/>
    <m/>
    <m/>
    <m/>
    <m/>
    <x v="1748"/>
    <m/>
    <m/>
  </r>
  <r>
    <x v="62"/>
    <d v="2024-08-18T00:00:00"/>
    <s v="Cash Rewards Visa Signature - Ending in 5913"/>
    <x v="1895"/>
    <n v="23.68"/>
    <x v="4"/>
    <m/>
    <s v="Exp - Day Care"/>
    <m/>
    <m/>
    <m/>
    <m/>
    <m/>
    <m/>
    <x v="1748"/>
    <m/>
    <m/>
  </r>
  <r>
    <x v="62"/>
    <d v="2024-08-18T00:00:00"/>
    <s v="Cash Rewards Visa Signature - Ending in 5913"/>
    <x v="1895"/>
    <n v="9.7200000000000006"/>
    <x v="4"/>
    <m/>
    <s v="Exp - Day Care"/>
    <m/>
    <m/>
    <m/>
    <m/>
    <m/>
    <m/>
    <x v="1748"/>
    <m/>
    <m/>
  </r>
  <r>
    <x v="62"/>
    <d v="2024-08-18T00:00:00"/>
    <s v="Cash Rewards Visa Signature - Ending in 5913"/>
    <x v="1895"/>
    <n v="-10.83"/>
    <x v="0"/>
    <m/>
    <m/>
    <m/>
    <m/>
    <m/>
    <m/>
    <m/>
    <m/>
    <x v="1748"/>
    <m/>
    <m/>
  </r>
  <r>
    <x v="62"/>
    <d v="2024-08-18T00:00:00"/>
    <s v="Cash Rewards Visa Signature - Ending in 5913"/>
    <x v="1895"/>
    <n v="-45.99"/>
    <x v="0"/>
    <m/>
    <m/>
    <m/>
    <m/>
    <m/>
    <m/>
    <m/>
    <m/>
    <x v="1748"/>
    <m/>
    <m/>
  </r>
  <r>
    <x v="62"/>
    <d v="2024-08-18T00:00:00"/>
    <s v="Cash Rewards Visa Signature - Ending in 5913"/>
    <x v="1895"/>
    <n v="-40.99"/>
    <x v="0"/>
    <m/>
    <m/>
    <m/>
    <m/>
    <m/>
    <m/>
    <m/>
    <m/>
    <x v="1748"/>
    <m/>
    <m/>
  </r>
  <r>
    <x v="62"/>
    <d v="2024-08-18T00:00:00"/>
    <s v="Cash Rewards Visa Signature - Ending in 5913"/>
    <x v="1895"/>
    <n v="-46.03"/>
    <x v="0"/>
    <m/>
    <m/>
    <m/>
    <m/>
    <m/>
    <m/>
    <m/>
    <m/>
    <x v="1748"/>
    <m/>
    <m/>
  </r>
  <r>
    <x v="62"/>
    <d v="2024-08-18T00:00:00"/>
    <s v="Powerplus - Ending in 8s30"/>
    <x v="3652"/>
    <n v="-63.01"/>
    <x v="34"/>
    <m/>
    <s v="Inc - Britney"/>
    <m/>
    <m/>
    <m/>
    <m/>
    <m/>
    <m/>
    <x v="3214"/>
    <m/>
    <m/>
  </r>
  <r>
    <x v="62"/>
    <d v="2024-08-15T00:00:00"/>
    <s v="Delta Skymiles Platinum Card ( X ) - Ending in 1007"/>
    <x v="3506"/>
    <n v="-3647.15"/>
    <x v="3"/>
    <s v="Delete"/>
    <m/>
    <m/>
    <m/>
    <m/>
    <m/>
    <m/>
    <m/>
    <x v="3095"/>
    <m/>
    <m/>
  </r>
  <r>
    <x v="62"/>
    <d v="2024-08-18T00:00:00"/>
    <s v="Delta Skymiles Platinum Card ( X ) - Ending in 1007"/>
    <x v="4864"/>
    <n v="15"/>
    <x v="10"/>
    <s v="Delete - Office Supplies"/>
    <s v="Exp - Entertainment"/>
    <m/>
    <m/>
    <m/>
    <m/>
    <m/>
    <m/>
    <x v="4306"/>
    <m/>
    <m/>
  </r>
  <r>
    <x v="65"/>
    <d v="2024-09-03T00:00:00"/>
    <s v="American Express"/>
    <x v="3506"/>
    <n v="-7941.92"/>
    <x v="3"/>
    <m/>
    <s v="Delete"/>
    <m/>
    <m/>
    <m/>
    <m/>
    <m/>
    <m/>
    <x v="3095"/>
    <m/>
    <m/>
  </r>
  <r>
    <x v="62"/>
    <d v="2024-08-18T00:00:00"/>
    <s v="Delta Skymiles Platinum Card ( X ) - Ending in 1007"/>
    <x v="823"/>
    <n v="67.92"/>
    <x v="2"/>
    <s v="Transportation"/>
    <m/>
    <m/>
    <m/>
    <m/>
    <m/>
    <m/>
    <m/>
    <x v="792"/>
    <m/>
    <m/>
  </r>
  <r>
    <x v="62"/>
    <d v="2024-08-18T00:00:00"/>
    <s v="Delta Skymiles Platinum Card ( X ) - Ending in 1007"/>
    <x v="4198"/>
    <n v="13.01"/>
    <x v="5"/>
    <s v="Groceries"/>
    <s v="Exp - Groceries"/>
    <m/>
    <m/>
    <m/>
    <m/>
    <m/>
    <m/>
    <x v="3727"/>
    <m/>
    <m/>
  </r>
  <r>
    <x v="62"/>
    <d v="2024-08-18T00:00:00"/>
    <s v="Delta Skymiles Platinum Card ( X ) - Ending in 1007"/>
    <x v="3445"/>
    <n v="34.020000000000003"/>
    <x v="1"/>
    <s v="Travel"/>
    <s v="Exp - Restaurants"/>
    <m/>
    <m/>
    <m/>
    <m/>
    <m/>
    <m/>
    <x v="3036"/>
    <m/>
    <m/>
  </r>
  <r>
    <x v="62"/>
    <d v="2024-08-18T00:00:00"/>
    <s v="Cash Rewards Visa Signature - Ending in 5913"/>
    <x v="4865"/>
    <n v="103.48"/>
    <x v="4"/>
    <m/>
    <s v="Exp - Day Care"/>
    <m/>
    <m/>
    <m/>
    <m/>
    <m/>
    <m/>
    <x v="4307"/>
    <m/>
    <m/>
  </r>
  <r>
    <x v="62"/>
    <d v="2024-08-18T00:00:00"/>
    <s v="Delta Skymiles Platinum Card ( X ) - Ending in 1007"/>
    <x v="2"/>
    <n v="14.22"/>
    <x v="2"/>
    <s v="Transportation"/>
    <s v="Exp - Transportation"/>
    <m/>
    <m/>
    <m/>
    <m/>
    <m/>
    <m/>
    <x v="2"/>
    <m/>
    <m/>
  </r>
  <r>
    <x v="62"/>
    <d v="2024-08-18T00:00:00"/>
    <s v="Cash Rewards Visa Signature - Ending in 5913"/>
    <x v="579"/>
    <n v="20"/>
    <x v="1"/>
    <m/>
    <s v="Exp - Restaurants"/>
    <m/>
    <m/>
    <m/>
    <m/>
    <m/>
    <m/>
    <x v="560"/>
    <m/>
    <m/>
  </r>
  <r>
    <x v="62"/>
    <d v="2024-08-18T00:00:00"/>
    <s v="Cash Rewards Visa Signature - Ending in 5913"/>
    <x v="579"/>
    <n v="20"/>
    <x v="1"/>
    <m/>
    <m/>
    <m/>
    <m/>
    <m/>
    <m/>
    <m/>
    <m/>
    <x v="560"/>
    <m/>
    <m/>
  </r>
  <r>
    <x v="62"/>
    <d v="2024-08-18T00:00:00"/>
    <s v="Delta Skymiles Platinum Card ( X ) - Ending in 1007"/>
    <x v="4694"/>
    <n v="16.579999999999998"/>
    <x v="1"/>
    <s v="Restaurants"/>
    <s v="Exp - Restaurants"/>
    <m/>
    <m/>
    <m/>
    <m/>
    <m/>
    <m/>
    <x v="4157"/>
    <m/>
    <m/>
  </r>
  <r>
    <x v="49"/>
    <d v="2024-10-01T00:00:00"/>
    <s v="American Express"/>
    <x v="3506"/>
    <n v="-11648"/>
    <x v="3"/>
    <m/>
    <s v="Delete"/>
    <m/>
    <m/>
    <m/>
    <m/>
    <m/>
    <m/>
    <x v="3095"/>
    <m/>
    <m/>
  </r>
  <r>
    <x v="49"/>
    <d v="2024-10-10T00:00:00"/>
    <s v="American Express"/>
    <x v="3506"/>
    <n v="-1995.73"/>
    <x v="3"/>
    <m/>
    <s v="Delete"/>
    <m/>
    <m/>
    <m/>
    <m/>
    <m/>
    <m/>
    <x v="3095"/>
    <m/>
    <m/>
  </r>
  <r>
    <x v="49"/>
    <d v="2024-10-25T00:00:00"/>
    <s v="American Express"/>
    <x v="3506"/>
    <n v="-4822.07"/>
    <x v="3"/>
    <m/>
    <s v="Delete"/>
    <m/>
    <m/>
    <m/>
    <m/>
    <m/>
    <m/>
    <x v="3095"/>
    <m/>
    <m/>
  </r>
  <r>
    <x v="62"/>
    <d v="2024-08-19T00:00:00"/>
    <s v="Delta Skymiles Platinum Card ( X ) - Ending in 1007"/>
    <x v="4159"/>
    <n v="9.99"/>
    <x v="25"/>
    <s v="Restaurants"/>
    <s v="Exp - Healthcare"/>
    <m/>
    <m/>
    <m/>
    <m/>
    <m/>
    <m/>
    <x v="3691"/>
    <m/>
    <m/>
  </r>
  <r>
    <x v="62"/>
    <d v="2024-08-19T00:00:00"/>
    <s v="Cash Rewards Visa Signature - Ending in 5913"/>
    <x v="4866"/>
    <n v="25.68"/>
    <x v="1"/>
    <m/>
    <s v="Exp - Restaurants"/>
    <m/>
    <m/>
    <m/>
    <m/>
    <m/>
    <m/>
    <x v="4308"/>
    <m/>
    <m/>
  </r>
  <r>
    <x v="62"/>
    <d v="2024-08-19T00:00:00"/>
    <s v="Delta Skymiles Platinum Card ( X ) - Ending in 1007"/>
    <x v="3860"/>
    <n v="34.56"/>
    <x v="1"/>
    <s v="Delete - Home Improvement"/>
    <s v="Exp - Restaurants"/>
    <m/>
    <m/>
    <m/>
    <m/>
    <m/>
    <m/>
    <x v="3411"/>
    <m/>
    <m/>
  </r>
  <r>
    <x v="62"/>
    <d v="2024-08-19T00:00:00"/>
    <s v="Delta Skymiles Platinum Card ( X ) - Ending in 1007"/>
    <x v="3860"/>
    <n v="22.01"/>
    <x v="1"/>
    <s v="Travel"/>
    <s v="Exp - Restaurants"/>
    <m/>
    <m/>
    <m/>
    <m/>
    <m/>
    <m/>
    <x v="3411"/>
    <m/>
    <m/>
  </r>
  <r>
    <x v="62"/>
    <d v="2024-08-19T00:00:00"/>
    <s v="Powerplus - Ending in 8s30"/>
    <x v="1849"/>
    <n v="2.99"/>
    <x v="8"/>
    <m/>
    <s v="Exp - Shopping"/>
    <m/>
    <m/>
    <m/>
    <m/>
    <m/>
    <m/>
    <x v="1704"/>
    <m/>
    <m/>
  </r>
  <r>
    <x v="62"/>
    <d v="2024-08-19T00:00:00"/>
    <s v="Powerplus - Ending in 8s30"/>
    <x v="4867"/>
    <n v="650"/>
    <x v="9"/>
    <m/>
    <s v="Sav - College Savings"/>
    <m/>
    <m/>
    <m/>
    <m/>
    <m/>
    <m/>
    <x v="3267"/>
    <m/>
    <m/>
  </r>
  <r>
    <x v="62"/>
    <d v="2024-08-20T00:00:00"/>
    <s v="Cash Rewards Visa Signature - Ending in 5913"/>
    <x v="4868"/>
    <n v="1.99"/>
    <x v="11"/>
    <m/>
    <s v="Exp - Utilities"/>
    <m/>
    <m/>
    <m/>
    <m/>
    <m/>
    <m/>
    <x v="4309"/>
    <m/>
    <m/>
  </r>
  <r>
    <x v="62"/>
    <d v="2024-08-20T00:00:00"/>
    <s v="Delta Skymiles Platinum Card ( X ) - Ending in 1007"/>
    <x v="4869"/>
    <n v="739.44"/>
    <x v="25"/>
    <s v="Healthcare"/>
    <s v="Exp - Healthcare"/>
    <m/>
    <m/>
    <m/>
    <m/>
    <m/>
    <m/>
    <x v="4310"/>
    <m/>
    <m/>
  </r>
  <r>
    <x v="62"/>
    <d v="2024-08-20T00:00:00"/>
    <s v="Delta Skymiles Platinum Card ( X ) - Ending in 1007"/>
    <x v="4870"/>
    <n v="19.93"/>
    <x v="1"/>
    <s v="Restaurants"/>
    <s v="Exp - Restaurants"/>
    <m/>
    <m/>
    <m/>
    <m/>
    <m/>
    <m/>
    <x v="4311"/>
    <m/>
    <m/>
  </r>
  <r>
    <x v="62"/>
    <d v="2024-08-21T00:00:00"/>
    <s v="Delta Skymiles Platinum Card ( X ) - Ending in 1007"/>
    <x v="4871"/>
    <n v="38.35"/>
    <x v="8"/>
    <s v="Travel"/>
    <s v="Exp - Shopping"/>
    <m/>
    <m/>
    <m/>
    <m/>
    <m/>
    <m/>
    <x v="4312"/>
    <m/>
    <m/>
  </r>
  <r>
    <x v="62"/>
    <d v="2024-08-21T00:00:00"/>
    <s v="Cash Rewards Visa Signature - Ending in 5913"/>
    <x v="4872"/>
    <n v="11"/>
    <x v="19"/>
    <m/>
    <s v="Exp - House Maint"/>
    <m/>
    <m/>
    <m/>
    <m/>
    <m/>
    <m/>
    <x v="4313"/>
    <m/>
    <m/>
  </r>
  <r>
    <x v="63"/>
    <d v="2024-11-11T00:00:00"/>
    <s v="American Express"/>
    <x v="3506"/>
    <n v="-3078.95"/>
    <x v="3"/>
    <m/>
    <m/>
    <m/>
    <m/>
    <m/>
    <m/>
    <m/>
    <m/>
    <x v="3095"/>
    <m/>
    <m/>
  </r>
  <r>
    <x v="62"/>
    <d v="2024-08-21T00:00:00"/>
    <s v="Powerplus - Ending in 8s30"/>
    <x v="4873"/>
    <n v="45.67"/>
    <x v="11"/>
    <m/>
    <s v="Exp - Utilities"/>
    <m/>
    <m/>
    <m/>
    <m/>
    <m/>
    <m/>
    <x v="3287"/>
    <m/>
    <m/>
  </r>
  <r>
    <x v="63"/>
    <d v="2024-11-27T00:00:00"/>
    <s v="American Express"/>
    <x v="3506"/>
    <n v="-5480.42"/>
    <x v="3"/>
    <m/>
    <m/>
    <m/>
    <m/>
    <m/>
    <m/>
    <m/>
    <m/>
    <x v="3095"/>
    <m/>
    <m/>
  </r>
  <r>
    <x v="50"/>
    <d v="2024-12-24T00:00:00"/>
    <s v="American Express"/>
    <x v="3506"/>
    <n v="-1789.01"/>
    <x v="3"/>
    <m/>
    <m/>
    <m/>
    <m/>
    <m/>
    <m/>
    <m/>
    <m/>
    <x v="3095"/>
    <m/>
    <m/>
  </r>
  <r>
    <x v="62"/>
    <d v="2024-08-22T00:00:00"/>
    <s v="Delta Skymiles Platinum Card ( X ) - Ending in 1007"/>
    <x v="4159"/>
    <n v="7.08"/>
    <x v="25"/>
    <s v="Restaurants"/>
    <s v="Exp - Healthcare"/>
    <m/>
    <m/>
    <m/>
    <m/>
    <m/>
    <m/>
    <x v="3691"/>
    <m/>
    <s v="Ireland"/>
  </r>
  <r>
    <x v="62"/>
    <d v="2024-08-22T00:00:00"/>
    <s v="Cash Rewards Visa Signature - Ending in 5913"/>
    <x v="214"/>
    <n v="53.62"/>
    <x v="2"/>
    <m/>
    <m/>
    <m/>
    <m/>
    <m/>
    <m/>
    <m/>
    <m/>
    <x v="213"/>
    <m/>
    <m/>
  </r>
  <r>
    <x v="44"/>
    <d v="2024-01-08T00:00:00"/>
    <s v="Powerplus - Ending in 8s45"/>
    <x v="2020"/>
    <n v="785.5"/>
    <x v="3"/>
    <m/>
    <s v="Delete"/>
    <m/>
    <m/>
    <m/>
    <m/>
    <m/>
    <m/>
    <x v="1870"/>
    <m/>
    <m/>
  </r>
  <r>
    <x v="62"/>
    <d v="2024-08-22T00:00:00"/>
    <s v="Delta Skymiles Platinum Card ( X ) - Ending in 1007"/>
    <x v="579"/>
    <n v="15"/>
    <x v="1"/>
    <s v="Restaurants"/>
    <s v="Exp - Restaurants"/>
    <m/>
    <m/>
    <m/>
    <m/>
    <m/>
    <m/>
    <x v="560"/>
    <m/>
    <s v="Ireland"/>
  </r>
  <r>
    <x v="62"/>
    <d v="2024-08-22T00:00:00"/>
    <s v="Cash Rewards Visa Signature - Ending in 5913"/>
    <x v="579"/>
    <n v="8.68"/>
    <x v="1"/>
    <m/>
    <m/>
    <m/>
    <m/>
    <m/>
    <m/>
    <m/>
    <m/>
    <x v="560"/>
    <m/>
    <s v="Ireland"/>
  </r>
  <r>
    <x v="62"/>
    <d v="2024-08-22T00:00:00"/>
    <s v="Delta Skymiles Platinum Card ( X ) - Ending in 1007"/>
    <x v="3860"/>
    <n v="24.49"/>
    <x v="1"/>
    <s v="Travel"/>
    <s v="Exp - Restaurants"/>
    <m/>
    <m/>
    <m/>
    <m/>
    <m/>
    <m/>
    <x v="3411"/>
    <m/>
    <m/>
  </r>
  <r>
    <x v="62"/>
    <d v="2024-08-22T00:00:00"/>
    <s v="Discover More Card - Ending in 7779"/>
    <x v="1957"/>
    <n v="30.35"/>
    <x v="1"/>
    <s v="Restaurants"/>
    <s v="Exp - Restaurants"/>
    <m/>
    <m/>
    <m/>
    <m/>
    <m/>
    <m/>
    <x v="1809"/>
    <m/>
    <m/>
  </r>
  <r>
    <x v="44"/>
    <d v="2024-01-09T00:00:00"/>
    <s v="Powerplus - Ending in 8s42"/>
    <x v="2020"/>
    <n v="6010.23"/>
    <x v="3"/>
    <m/>
    <s v="Delete"/>
    <m/>
    <m/>
    <m/>
    <m/>
    <m/>
    <m/>
    <x v="1870"/>
    <m/>
    <m/>
  </r>
  <r>
    <x v="62"/>
    <d v="2024-08-23T00:00:00"/>
    <s v="Cash Rewards Visa Signature - Ending in 5913"/>
    <x v="4874"/>
    <n v="3.8"/>
    <x v="1"/>
    <m/>
    <s v="Exp - Restaurants"/>
    <m/>
    <m/>
    <m/>
    <m/>
    <m/>
    <m/>
    <x v="4314"/>
    <m/>
    <s v="Ireland"/>
  </r>
  <r>
    <x v="62"/>
    <d v="2024-08-23T00:00:00"/>
    <s v="Powerplus - Ending in 8s30"/>
    <x v="1827"/>
    <n v="125"/>
    <x v="8"/>
    <m/>
    <s v="Exp - Shopping"/>
    <m/>
    <m/>
    <m/>
    <m/>
    <m/>
    <m/>
    <x v="1682"/>
    <m/>
    <m/>
  </r>
  <r>
    <x v="62"/>
    <d v="2024-08-24T00:00:00"/>
    <s v="Delta Skymiles Platinum Card ( X ) - Ending in 1007"/>
    <x v="4875"/>
    <n v="100.67"/>
    <x v="24"/>
    <s v="Restaurants"/>
    <s v="Exp - Travel"/>
    <m/>
    <m/>
    <m/>
    <m/>
    <m/>
    <m/>
    <x v="4315"/>
    <m/>
    <s v="Ireland"/>
  </r>
  <r>
    <x v="62"/>
    <d v="2024-08-24T00:00:00"/>
    <s v="Delta Skymiles Platinum Card ( X ) - Ending in 1007"/>
    <x v="4876"/>
    <n v="94.4"/>
    <x v="24"/>
    <s v="Travel"/>
    <s v="Exp - Travel"/>
    <m/>
    <m/>
    <m/>
    <m/>
    <m/>
    <m/>
    <x v="4316"/>
    <m/>
    <s v="Ireland"/>
  </r>
  <r>
    <x v="62"/>
    <d v="2024-08-24T00:00:00"/>
    <s v="Delta Skymiles Platinum Card ( X ) - Ending in 1007"/>
    <x v="4755"/>
    <n v="4"/>
    <x v="11"/>
    <s v="Delete - Online Services"/>
    <s v="Exp - Utilities"/>
    <m/>
    <m/>
    <m/>
    <m/>
    <m/>
    <m/>
    <x v="4210"/>
    <m/>
    <m/>
  </r>
  <r>
    <x v="44"/>
    <d v="2024-01-26T00:00:00"/>
    <s v="Powerplus - Ending in 8s30"/>
    <x v="2020"/>
    <n v="4783.71"/>
    <x v="3"/>
    <m/>
    <s v="Delete"/>
    <m/>
    <m/>
    <m/>
    <m/>
    <m/>
    <m/>
    <x v="1870"/>
    <m/>
    <m/>
  </r>
  <r>
    <x v="62"/>
    <d v="2024-08-24T00:00:00"/>
    <s v="Delta Skymiles Platinum Card ( X ) - Ending in 1007"/>
    <x v="3860"/>
    <n v="13.42"/>
    <x v="1"/>
    <s v="Groceries"/>
    <s v="Exp - Restaurants"/>
    <m/>
    <m/>
    <m/>
    <m/>
    <m/>
    <m/>
    <x v="3411"/>
    <m/>
    <s v="Ireland"/>
  </r>
  <r>
    <x v="62"/>
    <d v="2024-08-24T00:00:00"/>
    <s v="Delta Skymiles Platinum Card ( X ) - Ending in 1007"/>
    <x v="3860"/>
    <n v="11.19"/>
    <x v="1"/>
    <s v="Shopping"/>
    <s v="Exp - Restaurants"/>
    <m/>
    <m/>
    <m/>
    <m/>
    <m/>
    <m/>
    <x v="3411"/>
    <m/>
    <s v="Ireland"/>
  </r>
  <r>
    <x v="62"/>
    <d v="2024-08-24T00:00:00"/>
    <s v="Powerplus - Ending in 8s30"/>
    <x v="4877"/>
    <n v="260.22000000000003"/>
    <x v="24"/>
    <m/>
    <s v="Exp - Travel"/>
    <m/>
    <m/>
    <m/>
    <m/>
    <m/>
    <m/>
    <x v="4317"/>
    <m/>
    <s v="Ireland"/>
  </r>
  <r>
    <x v="61"/>
    <d v="2024-02-16T00:00:00"/>
    <s v="Powerplus - Ending in 8s30"/>
    <x v="2020"/>
    <n v="3328.87"/>
    <x v="3"/>
    <m/>
    <s v="Delete"/>
    <m/>
    <m/>
    <m/>
    <m/>
    <m/>
    <m/>
    <x v="1870"/>
    <m/>
    <m/>
  </r>
  <r>
    <x v="62"/>
    <d v="2024-08-25T00:00:00"/>
    <s v="Discover More Card - Ending in 7779"/>
    <x v="1895"/>
    <n v="14.08"/>
    <x v="0"/>
    <s v="Amazon"/>
    <m/>
    <m/>
    <m/>
    <m/>
    <m/>
    <m/>
    <m/>
    <x v="1748"/>
    <m/>
    <m/>
  </r>
  <r>
    <x v="62"/>
    <d v="2024-08-25T00:00:00"/>
    <s v="Cash Rewards Visa Signature - Ending in 5913"/>
    <x v="4878"/>
    <n v="114.57"/>
    <x v="1"/>
    <m/>
    <s v="Exp - Restaurants"/>
    <m/>
    <m/>
    <m/>
    <m/>
    <m/>
    <m/>
    <x v="4318"/>
    <m/>
    <s v="Ireland"/>
  </r>
  <r>
    <x v="62"/>
    <d v="2024-08-25T00:00:00"/>
    <s v="Cash Rewards Visa Signature - Ending in 5913"/>
    <x v="4879"/>
    <n v="6.92"/>
    <x v="24"/>
    <m/>
    <s v="Exp - Travel"/>
    <m/>
    <m/>
    <m/>
    <m/>
    <m/>
    <m/>
    <x v="4319"/>
    <m/>
    <s v="Ireland"/>
  </r>
  <r>
    <x v="61"/>
    <d v="2024-02-27T00:00:00"/>
    <s v="Powerplus - Ending in 8s30"/>
    <x v="2020"/>
    <n v="4140.37"/>
    <x v="3"/>
    <m/>
    <s v="Delete"/>
    <m/>
    <m/>
    <m/>
    <m/>
    <m/>
    <m/>
    <x v="1870"/>
    <m/>
    <m/>
  </r>
  <r>
    <x v="26"/>
    <d v="2024-03-15T00:00:00"/>
    <s v="Powerplus - Ending in 8s30"/>
    <x v="2020"/>
    <n v="5517"/>
    <x v="3"/>
    <m/>
    <m/>
    <m/>
    <m/>
    <m/>
    <m/>
    <m/>
    <m/>
    <x v="1870"/>
    <m/>
    <m/>
  </r>
  <r>
    <x v="26"/>
    <d v="2024-03-27T00:00:00"/>
    <s v="Powerplus - Ending in 8s30"/>
    <x v="2020"/>
    <n v="2714.98"/>
    <x v="3"/>
    <m/>
    <m/>
    <m/>
    <m/>
    <m/>
    <m/>
    <m/>
    <m/>
    <x v="1870"/>
    <m/>
    <m/>
  </r>
  <r>
    <x v="64"/>
    <d v="2024-04-15T00:00:00"/>
    <s v="Powerplus - Ending in 8s30"/>
    <x v="2020"/>
    <n v="5188.2"/>
    <x v="3"/>
    <m/>
    <m/>
    <m/>
    <m/>
    <m/>
    <m/>
    <m/>
    <m/>
    <x v="1870"/>
    <m/>
    <m/>
  </r>
  <r>
    <x v="64"/>
    <d v="2024-04-29T00:00:00"/>
    <s v="Powerplus - Ending in 8s30"/>
    <x v="2020"/>
    <n v="2787.24"/>
    <x v="3"/>
    <m/>
    <m/>
    <m/>
    <m/>
    <m/>
    <m/>
    <m/>
    <m/>
    <x v="1870"/>
    <m/>
    <m/>
  </r>
  <r>
    <x v="25"/>
    <d v="2024-05-13T00:00:00"/>
    <s v="Powerplus - Ending in 8s30"/>
    <x v="2020"/>
    <n v="4921.7"/>
    <x v="3"/>
    <m/>
    <m/>
    <m/>
    <m/>
    <m/>
    <m/>
    <m/>
    <m/>
    <x v="1870"/>
    <m/>
    <m/>
  </r>
  <r>
    <x v="62"/>
    <d v="2024-08-25T00:00:00"/>
    <s v="Cash Rewards Visa Signature - Ending in 5913"/>
    <x v="4880"/>
    <n v="8.9600000000000009"/>
    <x v="24"/>
    <m/>
    <s v="Exp - Travel"/>
    <m/>
    <m/>
    <m/>
    <m/>
    <m/>
    <m/>
    <x v="4320"/>
    <m/>
    <s v="Ireland"/>
  </r>
  <r>
    <x v="62"/>
    <d v="2024-08-25T00:00:00"/>
    <s v="Cash Rewards Visa Signature - Ending in 5913"/>
    <x v="4881"/>
    <n v="7.84"/>
    <x v="1"/>
    <m/>
    <s v="Exp - Restaurants"/>
    <m/>
    <m/>
    <m/>
    <m/>
    <m/>
    <m/>
    <x v="4321"/>
    <m/>
    <s v="Ireland"/>
  </r>
  <r>
    <x v="62"/>
    <d v="2024-08-25T00:00:00"/>
    <s v="Cash Rewards Visa Signature - Ending in 5913"/>
    <x v="4882"/>
    <n v="4.26"/>
    <x v="1"/>
    <m/>
    <s v="Exp - Restaurants"/>
    <m/>
    <m/>
    <m/>
    <m/>
    <m/>
    <m/>
    <x v="4322"/>
    <m/>
    <s v="Ireland"/>
  </r>
  <r>
    <x v="62"/>
    <d v="2024-08-25T00:00:00"/>
    <s v="Cash Rewards Visa Signature - Ending in 5913"/>
    <x v="4883"/>
    <n v="32.479999999999997"/>
    <x v="1"/>
    <m/>
    <s v="Exp - Restaurants"/>
    <m/>
    <m/>
    <m/>
    <m/>
    <m/>
    <m/>
    <x v="4323"/>
    <m/>
    <s v="Ireland"/>
  </r>
  <r>
    <x v="62"/>
    <d v="2024-08-25T00:00:00"/>
    <s v="Cash Rewards Visa Signature - Ending in 5913"/>
    <x v="4884"/>
    <n v="13.4"/>
    <x v="24"/>
    <m/>
    <s v="Exp - Travel"/>
    <m/>
    <m/>
    <m/>
    <m/>
    <m/>
    <m/>
    <x v="4324"/>
    <m/>
    <s v="Ireland"/>
  </r>
  <r>
    <x v="62"/>
    <d v="2024-08-25T00:00:00"/>
    <s v="Cash Rewards Visa Signature - Ending in 5913"/>
    <x v="4885"/>
    <n v="31.27"/>
    <x v="1"/>
    <m/>
    <s v="Exp - Restaurants"/>
    <m/>
    <m/>
    <m/>
    <m/>
    <m/>
    <m/>
    <x v="4325"/>
    <m/>
    <s v="Ireland"/>
  </r>
  <r>
    <x v="62"/>
    <d v="2024-08-25T00:00:00"/>
    <s v="Cash Rewards Visa Signature - Ending in 5913"/>
    <x v="4886"/>
    <n v="112.01"/>
    <x v="5"/>
    <m/>
    <s v="Exp - Groceries"/>
    <m/>
    <m/>
    <m/>
    <m/>
    <m/>
    <m/>
    <x v="4326"/>
    <m/>
    <s v="Ireland"/>
  </r>
  <r>
    <x v="62"/>
    <d v="2024-08-25T00:00:00"/>
    <s v="Cash Rewards Visa Signature - Ending in 5913"/>
    <x v="4887"/>
    <n v="91.06"/>
    <x v="1"/>
    <m/>
    <s v="Exp - Restaurants"/>
    <m/>
    <m/>
    <m/>
    <m/>
    <m/>
    <m/>
    <x v="4327"/>
    <m/>
    <s v="Ireland"/>
  </r>
  <r>
    <x v="62"/>
    <d v="2024-08-26T00:00:00"/>
    <s v="Cash Rewards Visa Signature - Ending in 5913"/>
    <x v="4888"/>
    <n v="515.25"/>
    <x v="24"/>
    <m/>
    <s v="Exp - Travel"/>
    <m/>
    <m/>
    <m/>
    <m/>
    <m/>
    <m/>
    <x v="4328"/>
    <m/>
    <s v="Ireland"/>
  </r>
  <r>
    <x v="62"/>
    <d v="2024-08-26T00:00:00"/>
    <s v="Cash Rewards Visa Signature - Ending in 5913"/>
    <x v="4889"/>
    <n v="2.58"/>
    <x v="1"/>
    <m/>
    <s v="Exp - Restaurants"/>
    <m/>
    <m/>
    <m/>
    <m/>
    <m/>
    <m/>
    <x v="4329"/>
    <m/>
    <s v="Ireland"/>
  </r>
  <r>
    <x v="62"/>
    <d v="2024-08-26T00:00:00"/>
    <s v="Cash Rewards Visa Signature - Ending in 5913"/>
    <x v="4890"/>
    <n v="74.39"/>
    <x v="1"/>
    <m/>
    <s v="Exp - Restaurants"/>
    <m/>
    <m/>
    <m/>
    <m/>
    <m/>
    <m/>
    <x v="4330"/>
    <m/>
    <s v="Ireland"/>
  </r>
  <r>
    <x v="62"/>
    <d v="2024-08-26T00:00:00"/>
    <s v="Delta Skymiles Platinum Card ( X ) - Ending in 1007"/>
    <x v="4891"/>
    <n v="746.17"/>
    <x v="24"/>
    <s v="Delete - Other Expenses"/>
    <s v="Exp - Travel"/>
    <m/>
    <m/>
    <m/>
    <m/>
    <m/>
    <m/>
    <x v="4331"/>
    <m/>
    <s v="Ireland"/>
  </r>
  <r>
    <x v="62"/>
    <d v="2024-08-26T00:00:00"/>
    <s v="Powerplus - Ending in 8s30"/>
    <x v="3734"/>
    <n v="485.45"/>
    <x v="12"/>
    <m/>
    <m/>
    <m/>
    <m/>
    <m/>
    <m/>
    <m/>
    <m/>
    <x v="3293"/>
    <m/>
    <m/>
  </r>
  <r>
    <x v="62"/>
    <d v="2024-08-26T00:00:00"/>
    <s v="Cash Rewards Visa Signature - Ending in 5913"/>
    <x v="4892"/>
    <n v="13.23"/>
    <x v="1"/>
    <m/>
    <s v="Exp - Restaurants"/>
    <m/>
    <m/>
    <m/>
    <m/>
    <m/>
    <m/>
    <x v="4332"/>
    <m/>
    <s v="Ireland"/>
  </r>
  <r>
    <x v="62"/>
    <d v="2024-08-26T00:00:00"/>
    <s v="Cash Rewards Visa Signature - Ending in 5913"/>
    <x v="4893"/>
    <n v="97"/>
    <x v="1"/>
    <m/>
    <s v="Exp - Restaurants"/>
    <m/>
    <m/>
    <m/>
    <m/>
    <m/>
    <m/>
    <x v="4333"/>
    <m/>
    <s v="Ireland"/>
  </r>
  <r>
    <x v="62"/>
    <d v="2024-08-26T00:00:00"/>
    <s v="Cash Rewards Visa Signature - Ending in 5913"/>
    <x v="4894"/>
    <n v="21.28"/>
    <x v="1"/>
    <m/>
    <s v="Exp - Restaurants"/>
    <m/>
    <m/>
    <m/>
    <m/>
    <m/>
    <m/>
    <x v="4334"/>
    <m/>
    <s v="Ireland"/>
  </r>
  <r>
    <x v="62"/>
    <d v="2024-08-26T00:00:00"/>
    <s v="Cash Rewards Visa Signature - Ending in 5913"/>
    <x v="4895"/>
    <n v="21.28"/>
    <x v="1"/>
    <m/>
    <s v="Exp - Restaurants"/>
    <m/>
    <m/>
    <m/>
    <m/>
    <m/>
    <m/>
    <x v="4335"/>
    <m/>
    <s v="Ireland"/>
  </r>
  <r>
    <x v="62"/>
    <d v="2024-08-26T00:00:00"/>
    <s v="Cash Rewards Visa Signature - Ending in 5913"/>
    <x v="4896"/>
    <n v="16.579999999999998"/>
    <x v="1"/>
    <m/>
    <s v="Exp - Restaurants"/>
    <m/>
    <m/>
    <m/>
    <m/>
    <m/>
    <m/>
    <x v="4336"/>
    <m/>
    <s v="Ireland"/>
  </r>
  <r>
    <x v="25"/>
    <d v="2024-05-22T00:00:00"/>
    <s v="Powerplus - Ending in 8s30"/>
    <x v="2020"/>
    <n v="1849.37"/>
    <x v="3"/>
    <m/>
    <m/>
    <m/>
    <m/>
    <m/>
    <m/>
    <m/>
    <m/>
    <x v="1870"/>
    <m/>
    <m/>
  </r>
  <r>
    <x v="62"/>
    <d v="2024-08-26T00:00:00"/>
    <s v="Cash Rewards Visa Signature - Ending in 5913"/>
    <x v="4897"/>
    <n v="11.2"/>
    <x v="1"/>
    <m/>
    <s v="Exp - Restaurants"/>
    <m/>
    <m/>
    <m/>
    <m/>
    <m/>
    <m/>
    <x v="4337"/>
    <m/>
    <s v="Ireland"/>
  </r>
  <r>
    <x v="62"/>
    <d v="2024-08-27T00:00:00"/>
    <s v="Delta Skymiles Platinum Card ( X ) - Ending in 1007"/>
    <x v="4898"/>
    <n v="211.3"/>
    <x v="24"/>
    <s v="Dry Cleaning"/>
    <s v="Exp - Travel"/>
    <m/>
    <m/>
    <m/>
    <m/>
    <m/>
    <m/>
    <x v="4338"/>
    <m/>
    <s v="Ireland"/>
  </r>
  <r>
    <x v="62"/>
    <d v="2024-08-27T00:00:00"/>
    <s v="Cash Rewards Visa Signature - Ending in 5913"/>
    <x v="4899"/>
    <n v="14.56"/>
    <x v="1"/>
    <m/>
    <s v="Exp - Restaurants"/>
    <m/>
    <m/>
    <m/>
    <m/>
    <m/>
    <m/>
    <x v="4339"/>
    <m/>
    <s v="Ireland"/>
  </r>
  <r>
    <x v="62"/>
    <d v="2024-08-27T00:00:00"/>
    <s v="Cash Rewards Visa Signature - Ending in 5913"/>
    <x v="4900"/>
    <n v="2.8"/>
    <x v="1"/>
    <m/>
    <s v="Exp - Restaurants"/>
    <m/>
    <m/>
    <m/>
    <m/>
    <m/>
    <m/>
    <x v="4340"/>
    <m/>
    <s v="Ireland"/>
  </r>
  <r>
    <x v="62"/>
    <d v="2024-08-27T00:00:00"/>
    <s v="Delta Skymiles Platinum Card ( X ) - Ending in 1007"/>
    <x v="4901"/>
    <n v="28.53"/>
    <x v="24"/>
    <s v="Credit Card Payments"/>
    <s v="Exp - Travel"/>
    <m/>
    <m/>
    <m/>
    <m/>
    <m/>
    <m/>
    <x v="4341"/>
    <m/>
    <s v="Ireland"/>
  </r>
  <r>
    <x v="62"/>
    <d v="2024-08-27T00:00:00"/>
    <s v="Cash Rewards Visa Signature - Ending in 5913"/>
    <x v="3860"/>
    <n v="110.77"/>
    <x v="1"/>
    <m/>
    <s v="Exp - Restaurants"/>
    <m/>
    <m/>
    <m/>
    <m/>
    <m/>
    <m/>
    <x v="3411"/>
    <m/>
    <s v="Ireland"/>
  </r>
  <r>
    <x v="62"/>
    <d v="2024-08-27T00:00:00"/>
    <s v="Cash Rewards Visa Signature - Ending in 5913"/>
    <x v="4902"/>
    <n v="43.8"/>
    <x v="1"/>
    <m/>
    <s v="Exp - Restaurants"/>
    <m/>
    <m/>
    <m/>
    <m/>
    <m/>
    <m/>
    <x v="4342"/>
    <m/>
    <s v="Ireland"/>
  </r>
  <r>
    <x v="62"/>
    <d v="2024-08-27T00:00:00"/>
    <s v="Powerplus - Ending in 8s30"/>
    <x v="1849"/>
    <n v="21.25"/>
    <x v="8"/>
    <m/>
    <m/>
    <m/>
    <m/>
    <m/>
    <m/>
    <m/>
    <m/>
    <x v="1704"/>
    <m/>
    <m/>
  </r>
  <r>
    <x v="62"/>
    <d v="2024-08-28T00:00:00"/>
    <s v="Delta Skymiles Platinum Card ( X ) - Ending in 1007"/>
    <x v="4903"/>
    <n v="36"/>
    <x v="24"/>
    <s v="Dry Cleaning"/>
    <s v="Exp - Travel"/>
    <m/>
    <m/>
    <m/>
    <m/>
    <m/>
    <m/>
    <x v="4343"/>
    <m/>
    <s v="Ireland"/>
  </r>
  <r>
    <x v="62"/>
    <d v="2024-08-28T00:00:00"/>
    <s v="Cash Rewards Visa Signature - Ending in 5913"/>
    <x v="2048"/>
    <n v="14.9"/>
    <x v="1"/>
    <m/>
    <s v="Exp - Restaurants"/>
    <m/>
    <m/>
    <m/>
    <m/>
    <m/>
    <m/>
    <x v="1898"/>
    <m/>
    <s v="Ireland"/>
  </r>
  <r>
    <x v="62"/>
    <d v="2024-08-28T00:00:00"/>
    <s v="Cash Rewards Visa Signature - Ending in 5913"/>
    <x v="4904"/>
    <n v="26.89"/>
    <x v="1"/>
    <m/>
    <s v="Exp - Restaurants"/>
    <m/>
    <m/>
    <m/>
    <m/>
    <m/>
    <m/>
    <x v="4344"/>
    <m/>
    <s v="Ireland"/>
  </r>
  <r>
    <x v="62"/>
    <d v="2024-08-28T00:00:00"/>
    <s v="Delta Skymiles Platinum Card ( X ) - Ending in 1007"/>
    <x v="4905"/>
    <n v="156.52000000000001"/>
    <x v="1"/>
    <s v="Restaurants"/>
    <s v="Exp - Restaurants"/>
    <m/>
    <m/>
    <m/>
    <m/>
    <m/>
    <m/>
    <x v="4345"/>
    <m/>
    <s v="Ireland"/>
  </r>
  <r>
    <x v="62"/>
    <d v="2024-08-28T00:00:00"/>
    <s v="Cash Rewards Visa Signature - Ending in 5913"/>
    <x v="4906"/>
    <n v="95.9"/>
    <x v="1"/>
    <m/>
    <s v="Exp - Restaurants"/>
    <m/>
    <m/>
    <m/>
    <m/>
    <m/>
    <m/>
    <x v="4346"/>
    <m/>
    <s v="Ireland"/>
  </r>
  <r>
    <x v="62"/>
    <d v="2024-08-28T00:00:00"/>
    <s v="Cash Rewards Visa Signature - Ending in 5913"/>
    <x v="4907"/>
    <n v="20.28"/>
    <x v="1"/>
    <m/>
    <s v="Exp - Restaurants"/>
    <m/>
    <m/>
    <m/>
    <m/>
    <m/>
    <m/>
    <x v="4347"/>
    <m/>
    <s v="Ireland"/>
  </r>
  <r>
    <x v="62"/>
    <d v="2024-08-28T00:00:00"/>
    <s v="Cash Rewards Visa Signature - Ending in 5913"/>
    <x v="4908"/>
    <n v="11.32"/>
    <x v="1"/>
    <m/>
    <s v="Exp - Restaurants"/>
    <m/>
    <m/>
    <m/>
    <m/>
    <m/>
    <m/>
    <x v="4348"/>
    <m/>
    <s v="Ireland"/>
  </r>
  <r>
    <x v="62"/>
    <d v="2024-08-28T00:00:00"/>
    <s v="Cash Rewards Visa Signature - Ending in 5913"/>
    <x v="4909"/>
    <n v="28.68"/>
    <x v="1"/>
    <m/>
    <s v="Exp - Restaurants"/>
    <m/>
    <m/>
    <m/>
    <m/>
    <m/>
    <m/>
    <x v="4349"/>
    <m/>
    <s v="Ireland"/>
  </r>
  <r>
    <x v="62"/>
    <d v="2024-08-28T00:00:00"/>
    <s v="Powerplus - Ending in 8s30"/>
    <x v="3693"/>
    <n v="52.91"/>
    <x v="16"/>
    <m/>
    <m/>
    <m/>
    <m/>
    <m/>
    <m/>
    <m/>
    <m/>
    <x v="3254"/>
    <m/>
    <m/>
  </r>
  <r>
    <x v="23"/>
    <d v="2024-06-07T00:00:00"/>
    <s v="Powerplus - Ending in 8s30"/>
    <x v="2020"/>
    <n v="2143.1"/>
    <x v="3"/>
    <m/>
    <m/>
    <m/>
    <m/>
    <m/>
    <m/>
    <m/>
    <m/>
    <x v="1870"/>
    <m/>
    <m/>
  </r>
  <r>
    <x v="62"/>
    <d v="2024-08-28T00:00:00"/>
    <s v="Powerplus - Ending in 8s30"/>
    <x v="1849"/>
    <n v="0.99"/>
    <x v="8"/>
    <m/>
    <m/>
    <m/>
    <m/>
    <m/>
    <m/>
    <m/>
    <m/>
    <x v="1704"/>
    <m/>
    <m/>
  </r>
  <r>
    <x v="62"/>
    <d v="2024-08-29T00:00:00"/>
    <s v="Cash Rewards Visa Signature - Ending in 5913"/>
    <x v="4910"/>
    <n v="144.63999999999999"/>
    <x v="1"/>
    <m/>
    <s v="Exp - Restaurants"/>
    <m/>
    <m/>
    <m/>
    <m/>
    <m/>
    <m/>
    <x v="4350"/>
    <m/>
    <s v="Ireland"/>
  </r>
  <r>
    <x v="62"/>
    <d v="2024-08-29T00:00:00"/>
    <s v="Cash Rewards Visa Signature - Ending in 5913"/>
    <x v="4911"/>
    <n v="22.38"/>
    <x v="1"/>
    <m/>
    <s v="Exp - Restaurants"/>
    <m/>
    <m/>
    <m/>
    <m/>
    <m/>
    <m/>
    <x v="4351"/>
    <m/>
    <s v="Ireland"/>
  </r>
  <r>
    <x v="62"/>
    <d v="2024-08-29T00:00:00"/>
    <s v="Cash Rewards Visa Signature - Ending in 5913"/>
    <x v="4912"/>
    <n v="190.25"/>
    <x v="10"/>
    <m/>
    <s v="Exp - Entertainment"/>
    <m/>
    <m/>
    <m/>
    <m/>
    <m/>
    <m/>
    <x v="4352"/>
    <m/>
    <s v="Ireland"/>
  </r>
  <r>
    <x v="62"/>
    <d v="2024-08-29T00:00:00"/>
    <s v="Powerplus - Ending in 8s30"/>
    <x v="1893"/>
    <n v="-3129.12"/>
    <x v="34"/>
    <m/>
    <m/>
    <m/>
    <m/>
    <m/>
    <m/>
    <m/>
    <m/>
    <x v="1746"/>
    <m/>
    <m/>
  </r>
  <r>
    <x v="62"/>
    <d v="2024-08-29T00:00:00"/>
    <s v="Cash Rewards Visa Signature - Ending in 5913"/>
    <x v="4913"/>
    <n v="20.420000000000002"/>
    <x v="1"/>
    <m/>
    <s v="Exp - Restaurants"/>
    <m/>
    <m/>
    <m/>
    <m/>
    <m/>
    <m/>
    <x v="4353"/>
    <m/>
    <s v="Ireland"/>
  </r>
  <r>
    <x v="62"/>
    <d v="2024-08-29T00:00:00"/>
    <s v="Cash Rewards Visa Signature - Ending in 5913"/>
    <x v="4914"/>
    <n v="69.38"/>
    <x v="1"/>
    <m/>
    <s v="Exp - Restaurants"/>
    <m/>
    <m/>
    <m/>
    <m/>
    <m/>
    <m/>
    <x v="4354"/>
    <m/>
    <s v="Ireland"/>
  </r>
  <r>
    <x v="62"/>
    <d v="2024-08-29T00:00:00"/>
    <s v="Cash Rewards Visa Signature - Ending in 5913"/>
    <x v="4915"/>
    <n v="2.57"/>
    <x v="1"/>
    <m/>
    <s v="Exp - Restaurants"/>
    <m/>
    <m/>
    <m/>
    <m/>
    <m/>
    <m/>
    <x v="4355"/>
    <m/>
    <s v="Ireland"/>
  </r>
  <r>
    <x v="62"/>
    <d v="2024-08-29T00:00:00"/>
    <s v="Cash Rewards Visa Signature - Ending in 5913"/>
    <x v="4916"/>
    <n v="2.57"/>
    <x v="1"/>
    <m/>
    <s v="Exp - Restaurants"/>
    <m/>
    <m/>
    <m/>
    <m/>
    <m/>
    <m/>
    <x v="4356"/>
    <m/>
    <s v="Ireland"/>
  </r>
  <r>
    <x v="62"/>
    <d v="2024-08-29T00:00:00"/>
    <s v="Cash Rewards Visa Signature - Ending in 5913"/>
    <x v="4917"/>
    <n v="11.19"/>
    <x v="1"/>
    <m/>
    <s v="Exp - Restaurants"/>
    <m/>
    <m/>
    <m/>
    <m/>
    <m/>
    <m/>
    <x v="4357"/>
    <m/>
    <s v="Ireland"/>
  </r>
  <r>
    <x v="62"/>
    <d v="2024-08-29T00:00:00"/>
    <s v="Cash Rewards Visa Signature - Ending in 5913"/>
    <x v="4918"/>
    <n v="2.2400000000000002"/>
    <x v="1"/>
    <m/>
    <s v="Exp - Restaurants"/>
    <m/>
    <m/>
    <m/>
    <m/>
    <m/>
    <m/>
    <x v="4358"/>
    <m/>
    <s v="Ireland"/>
  </r>
  <r>
    <x v="62"/>
    <d v="2024-08-29T00:00:00"/>
    <s v="Cash Rewards Visa Signature - Ending in 5913"/>
    <x v="4919"/>
    <n v="3.92"/>
    <x v="1"/>
    <m/>
    <s v="Exp - Restaurants"/>
    <m/>
    <m/>
    <m/>
    <m/>
    <m/>
    <m/>
    <x v="4359"/>
    <m/>
    <s v="Ireland"/>
  </r>
  <r>
    <x v="62"/>
    <d v="2024-08-29T00:00:00"/>
    <s v="Powerplus - Ending in 8s30"/>
    <x v="3684"/>
    <n v="-3238.06"/>
    <x v="57"/>
    <m/>
    <m/>
    <m/>
    <m/>
    <m/>
    <m/>
    <m/>
    <m/>
    <x v="3245"/>
    <m/>
    <m/>
  </r>
  <r>
    <x v="62"/>
    <d v="2024-08-29T00:00:00"/>
    <s v="Cash Rewards Visa Signature - Ending in 5913"/>
    <x v="4920"/>
    <n v="78.34"/>
    <x v="1"/>
    <m/>
    <s v="Exp - Restaurants"/>
    <m/>
    <m/>
    <m/>
    <m/>
    <m/>
    <m/>
    <x v="4360"/>
    <m/>
    <s v="Ireland"/>
  </r>
  <r>
    <x v="62"/>
    <d v="2024-08-29T00:00:00"/>
    <s v="Cash Rewards Visa Signature - Ending in 5913"/>
    <x v="4921"/>
    <n v="30.44"/>
    <x v="10"/>
    <m/>
    <s v="Exp - Entertainment"/>
    <m/>
    <m/>
    <m/>
    <m/>
    <m/>
    <m/>
    <x v="4361"/>
    <m/>
    <s v="Ireland"/>
  </r>
  <r>
    <x v="62"/>
    <d v="2024-08-30T00:00:00"/>
    <s v="Cash Rewards Visa Signature - Ending in 5913"/>
    <x v="4922"/>
    <n v="4.4800000000000004"/>
    <x v="1"/>
    <m/>
    <s v="Exp - Restaurants"/>
    <m/>
    <m/>
    <m/>
    <m/>
    <m/>
    <m/>
    <x v="4362"/>
    <m/>
    <s v="Ireland"/>
  </r>
  <r>
    <x v="62"/>
    <d v="2024-08-30T00:00:00"/>
    <s v="Cash Rewards Visa Signature - Ending in 5913"/>
    <x v="4923"/>
    <n v="2.57"/>
    <x v="1"/>
    <m/>
    <s v="Exp - Restaurants"/>
    <m/>
    <m/>
    <m/>
    <m/>
    <m/>
    <m/>
    <x v="4363"/>
    <m/>
    <s v="Ireland"/>
  </r>
  <r>
    <x v="62"/>
    <d v="2024-08-30T00:00:00"/>
    <s v="Delta Skymiles Platinum Card ( X ) - Ending in 1007"/>
    <x v="4924"/>
    <n v="90.65"/>
    <x v="5"/>
    <s v="Groceries"/>
    <s v="Exp - Groceries"/>
    <m/>
    <m/>
    <m/>
    <m/>
    <m/>
    <m/>
    <x v="4364"/>
    <m/>
    <m/>
  </r>
  <r>
    <x v="62"/>
    <d v="2024-08-30T00:00:00"/>
    <s v="Cash Rewards Visa Signature - Ending in 5913"/>
    <x v="4925"/>
    <n v="36.47"/>
    <x v="1"/>
    <m/>
    <s v="Exp - Restaurants"/>
    <m/>
    <m/>
    <m/>
    <m/>
    <m/>
    <m/>
    <x v="4365"/>
    <m/>
    <s v="Ireland"/>
  </r>
  <r>
    <x v="62"/>
    <d v="2024-08-31T00:00:00"/>
    <s v="Cash Rewards Visa Signature - Ending in 5913"/>
    <x v="4926"/>
    <n v="58.72"/>
    <x v="1"/>
    <m/>
    <s v="Exp - Restaurants"/>
    <m/>
    <m/>
    <m/>
    <m/>
    <m/>
    <m/>
    <x v="4366"/>
    <m/>
    <s v="Ireland"/>
  </r>
  <r>
    <x v="62"/>
    <d v="2024-08-31T00:00:00"/>
    <s v="Cash Rewards Visa Signature - Ending in 5913"/>
    <x v="4927"/>
    <n v="26.63"/>
    <x v="1"/>
    <m/>
    <s v="Exp - Restaurants"/>
    <m/>
    <m/>
    <m/>
    <m/>
    <m/>
    <m/>
    <x v="4367"/>
    <m/>
    <s v="Ireland"/>
  </r>
  <r>
    <x v="62"/>
    <d v="2024-08-31T00:00:00"/>
    <s v="Powerplus - Ending in 8s30"/>
    <x v="2412"/>
    <n v="-10"/>
    <x v="13"/>
    <m/>
    <m/>
    <m/>
    <m/>
    <m/>
    <m/>
    <m/>
    <m/>
    <x v="2228"/>
    <m/>
    <m/>
  </r>
  <r>
    <x v="62"/>
    <d v="2024-08-31T00:00:00"/>
    <s v="Powerplus - Ending in 8s30"/>
    <x v="4928"/>
    <n v="-50.23"/>
    <x v="13"/>
    <m/>
    <s v="Inc - Other"/>
    <m/>
    <m/>
    <m/>
    <m/>
    <m/>
    <m/>
    <x v="4368"/>
    <m/>
    <m/>
  </r>
  <r>
    <x v="62"/>
    <d v="2024-08-31T00:00:00"/>
    <s v="Cash Rewards Visa Signature - Ending in 5913"/>
    <x v="4929"/>
    <n v="90.96"/>
    <x v="1"/>
    <m/>
    <s v="Exp - Restaurants"/>
    <m/>
    <m/>
    <m/>
    <m/>
    <m/>
    <m/>
    <x v="4369"/>
    <m/>
    <s v="Ireland"/>
  </r>
  <r>
    <x v="62"/>
    <d v="2024-08-31T00:00:00"/>
    <s v="Cash Rewards Visa Signature - Ending in 5913"/>
    <x v="4930"/>
    <n v="3.8"/>
    <x v="1"/>
    <m/>
    <s v="Exp - Restaurants"/>
    <m/>
    <m/>
    <m/>
    <m/>
    <m/>
    <m/>
    <x v="4370"/>
    <m/>
    <s v="Ireland"/>
  </r>
  <r>
    <x v="62"/>
    <d v="2024-08-31T00:00:00"/>
    <s v="Cash Rewards Visa Signature - Ending in 5913"/>
    <x v="4931"/>
    <n v="27.84"/>
    <x v="8"/>
    <m/>
    <s v="Exp - Shopping"/>
    <m/>
    <m/>
    <m/>
    <m/>
    <m/>
    <m/>
    <x v="4371"/>
    <m/>
    <m/>
  </r>
  <r>
    <x v="62"/>
    <d v="2024-08-31T00:00:00"/>
    <s v="Cash Rewards Visa Signature - Ending in 5913"/>
    <x v="4932"/>
    <n v="15.82"/>
    <x v="1"/>
    <m/>
    <s v="Exp - Restaurants"/>
    <m/>
    <m/>
    <m/>
    <m/>
    <m/>
    <m/>
    <x v="4372"/>
    <m/>
    <s v="Ireland"/>
  </r>
  <r>
    <x v="62"/>
    <d v="2024-08-31T00:00:00"/>
    <s v="Cash Rewards Visa Signature - Ending in 5913"/>
    <x v="4933"/>
    <n v="10.14"/>
    <x v="1"/>
    <m/>
    <s v="Exp - Restaurants"/>
    <m/>
    <m/>
    <m/>
    <m/>
    <m/>
    <m/>
    <x v="4373"/>
    <m/>
    <s v="Ireland"/>
  </r>
  <r>
    <x v="62"/>
    <d v="2024-08-31T00:00:00"/>
    <s v="Cash Rewards Visa Signature - Ending in 5913"/>
    <x v="4934"/>
    <n v="12.26"/>
    <x v="1"/>
    <m/>
    <s v="Exp - Restaurants"/>
    <m/>
    <m/>
    <m/>
    <m/>
    <m/>
    <m/>
    <x v="4374"/>
    <m/>
    <s v="Ireland"/>
  </r>
  <r>
    <x v="62"/>
    <d v="2024-08-31T00:00:00"/>
    <s v="Cash Rewards Visa Signature - Ending in 5913"/>
    <x v="4935"/>
    <n v="178.27"/>
    <x v="8"/>
    <m/>
    <s v="Exp - Shopping"/>
    <m/>
    <m/>
    <m/>
    <m/>
    <m/>
    <m/>
    <x v="4375"/>
    <m/>
    <m/>
  </r>
  <r>
    <x v="62"/>
    <d v="2024-08-31T00:00:00"/>
    <s v="Cash Rewards Visa Signature - Ending in 5913"/>
    <x v="4936"/>
    <n v="26.85"/>
    <x v="1"/>
    <m/>
    <s v="Exp - Restaurants"/>
    <m/>
    <m/>
    <m/>
    <m/>
    <m/>
    <m/>
    <x v="4376"/>
    <m/>
    <s v="Ireland"/>
  </r>
  <r>
    <x v="62"/>
    <d v="2024-08-31T00:00:00"/>
    <s v="Cash Rewards Visa Signature - Ending in 5913"/>
    <x v="4937"/>
    <n v="5.34"/>
    <x v="1"/>
    <m/>
    <s v="Exp - Restaurants"/>
    <m/>
    <m/>
    <m/>
    <m/>
    <m/>
    <m/>
    <x v="4377"/>
    <m/>
    <s v="Ireland"/>
  </r>
  <r>
    <x v="62"/>
    <d v="2024-08-31T00:00:00"/>
    <s v="Cash Rewards Visa Signature - Ending in 5913"/>
    <x v="3860"/>
    <n v="111.42"/>
    <x v="1"/>
    <m/>
    <s v="Exp - Restaurants"/>
    <m/>
    <m/>
    <m/>
    <m/>
    <m/>
    <m/>
    <x v="3411"/>
    <m/>
    <s v="Ireland"/>
  </r>
  <r>
    <x v="62"/>
    <d v="2024-08-31T00:00:00"/>
    <s v="Cash Rewards Visa Signature - Ending in 5913"/>
    <x v="3860"/>
    <n v="4.57"/>
    <x v="1"/>
    <m/>
    <s v="Exp - Restaurants"/>
    <m/>
    <m/>
    <m/>
    <m/>
    <m/>
    <m/>
    <x v="3411"/>
    <m/>
    <s v="Ireland"/>
  </r>
  <r>
    <x v="62"/>
    <d v="2024-08-31T00:00:00"/>
    <s v="Cash Rewards Visa Signature - Ending in 5913"/>
    <x v="4938"/>
    <n v="19.670000000000002"/>
    <x v="1"/>
    <m/>
    <s v="Exp - Restaurants"/>
    <m/>
    <m/>
    <m/>
    <m/>
    <m/>
    <m/>
    <x v="4378"/>
    <m/>
    <s v="Ireland"/>
  </r>
  <r>
    <x v="62"/>
    <d v="2024-08-31T00:00:00"/>
    <s v="Cash Rewards Visa Signature - Ending in 5913"/>
    <x v="4939"/>
    <n v="62.48"/>
    <x v="1"/>
    <m/>
    <s v="Exp - Restaurants"/>
    <m/>
    <m/>
    <m/>
    <m/>
    <m/>
    <m/>
    <x v="4379"/>
    <m/>
    <s v="Ireland"/>
  </r>
  <r>
    <x v="62"/>
    <d v="2024-08-31T00:00:00"/>
    <s v="Cash Rewards Visa Signature - Ending in 5913"/>
    <x v="4940"/>
    <n v="26.85"/>
    <x v="1"/>
    <m/>
    <s v="Exp - Restaurants"/>
    <m/>
    <m/>
    <m/>
    <m/>
    <m/>
    <m/>
    <x v="4380"/>
    <m/>
    <s v="Ireland"/>
  </r>
  <r>
    <x v="62"/>
    <d v="2024-08-31T00:00:00"/>
    <s v="Cash Rewards Visa Signature - Ending in 5913"/>
    <x v="4941"/>
    <n v="2.79"/>
    <x v="1"/>
    <m/>
    <s v="Exp - Restaurants"/>
    <m/>
    <m/>
    <m/>
    <m/>
    <m/>
    <m/>
    <x v="4381"/>
    <m/>
    <s v="Ireland"/>
  </r>
  <r>
    <x v="65"/>
    <d v="2024-09-02T00:00:00"/>
    <s v="Cash Rewards Visa Signature - Ending in 5913"/>
    <x v="3490"/>
    <n v="6.49"/>
    <x v="0"/>
    <m/>
    <s v="Exp - Amazon"/>
    <m/>
    <m/>
    <m/>
    <m/>
    <m/>
    <m/>
    <x v="3080"/>
    <m/>
    <m/>
  </r>
  <r>
    <x v="65"/>
    <d v="2024-09-02T00:00:00"/>
    <s v="Cash Rewards Visa Signature - Ending in 5913"/>
    <x v="4942"/>
    <n v="21.42"/>
    <x v="1"/>
    <m/>
    <s v="Exp - Restaurants"/>
    <m/>
    <m/>
    <m/>
    <m/>
    <m/>
    <m/>
    <x v="4382"/>
    <m/>
    <s v="Ireland"/>
  </r>
  <r>
    <x v="65"/>
    <d v="2024-09-02T00:00:00"/>
    <s v="American Express"/>
    <x v="4943"/>
    <n v="114.52"/>
    <x v="24"/>
    <m/>
    <s v="Exp - Travel"/>
    <m/>
    <m/>
    <m/>
    <m/>
    <m/>
    <m/>
    <x v="4383"/>
    <m/>
    <m/>
  </r>
  <r>
    <x v="65"/>
    <d v="2024-09-02T00:00:00"/>
    <s v="American Express"/>
    <x v="4944"/>
    <n v="19.420000000000002"/>
    <x v="8"/>
    <m/>
    <s v="Exp - Shopping"/>
    <m/>
    <m/>
    <m/>
    <m/>
    <m/>
    <m/>
    <x v="4384"/>
    <m/>
    <m/>
  </r>
  <r>
    <x v="65"/>
    <d v="2024-09-02T00:00:00"/>
    <s v="Cash Rewards Visa Signature - Ending in 5913"/>
    <x v="4945"/>
    <n v="3.33"/>
    <x v="1"/>
    <m/>
    <s v="Exp - Restaurants"/>
    <m/>
    <m/>
    <m/>
    <m/>
    <m/>
    <m/>
    <x v="4385"/>
    <m/>
    <s v="Ireland"/>
  </r>
  <r>
    <x v="65"/>
    <d v="2024-09-02T00:00:00"/>
    <s v="Cash Rewards Visa Signature - Ending in 5913"/>
    <x v="4946"/>
    <n v="97.38"/>
    <x v="1"/>
    <m/>
    <s v="Exp - Restaurants"/>
    <m/>
    <m/>
    <m/>
    <m/>
    <m/>
    <m/>
    <x v="4386"/>
    <m/>
    <s v="Ireland"/>
  </r>
  <r>
    <x v="65"/>
    <d v="2024-09-02T00:00:00"/>
    <s v="Cash Rewards Visa Signature - Ending in 5913"/>
    <x v="1794"/>
    <n v="43.26"/>
    <x v="2"/>
    <m/>
    <m/>
    <m/>
    <m/>
    <m/>
    <m/>
    <m/>
    <m/>
    <x v="1651"/>
    <m/>
    <m/>
  </r>
  <r>
    <x v="65"/>
    <d v="2024-09-02T00:00:00"/>
    <s v="Cash Rewards Visa Signature - Ending in 5913"/>
    <x v="4947"/>
    <n v="35.51"/>
    <x v="1"/>
    <m/>
    <s v="Exp - Restaurants"/>
    <m/>
    <m/>
    <m/>
    <m/>
    <m/>
    <m/>
    <x v="4387"/>
    <m/>
    <s v="Ireland"/>
  </r>
  <r>
    <x v="65"/>
    <d v="2024-09-02T00:00:00"/>
    <s v="Cash Rewards Visa Signature - Ending in 5913"/>
    <x v="4948"/>
    <n v="4.4400000000000004"/>
    <x v="10"/>
    <m/>
    <s v="Exp - Entertainment"/>
    <m/>
    <m/>
    <m/>
    <m/>
    <m/>
    <m/>
    <x v="4388"/>
    <m/>
    <s v="Ireland"/>
  </r>
  <r>
    <x v="65"/>
    <d v="2024-09-02T00:00:00"/>
    <s v="Delta Skymiles Platinum Card ( X ) - Ending in 1036"/>
    <x v="4949"/>
    <n v="1121.1300000000001"/>
    <x v="24"/>
    <m/>
    <s v="Exp - Travel"/>
    <m/>
    <m/>
    <m/>
    <m/>
    <m/>
    <m/>
    <x v="4389"/>
    <m/>
    <s v="Ireland"/>
  </r>
  <r>
    <x v="65"/>
    <d v="2024-09-02T00:00:00"/>
    <s v="Cash Rewards Visa Signature - Ending in 5913"/>
    <x v="4950"/>
    <n v="5.55"/>
    <x v="1"/>
    <m/>
    <s v="Exp - Restaurants"/>
    <m/>
    <m/>
    <m/>
    <m/>
    <m/>
    <m/>
    <x v="4390"/>
    <m/>
    <s v="Ireland"/>
  </r>
  <r>
    <x v="65"/>
    <d v="2024-09-02T00:00:00"/>
    <s v="Cash Rewards Visa Signature - Ending in 5913"/>
    <x v="4951"/>
    <n v="39.83"/>
    <x v="1"/>
    <m/>
    <s v="Exp - Restaurants"/>
    <m/>
    <m/>
    <m/>
    <m/>
    <m/>
    <m/>
    <x v="4391"/>
    <m/>
    <s v="Ireland"/>
  </r>
  <r>
    <x v="65"/>
    <d v="2024-09-02T00:00:00"/>
    <s v="Cash Rewards Visa Signature - Ending in 5913"/>
    <x v="3860"/>
    <n v="13.32"/>
    <x v="1"/>
    <m/>
    <s v="Exp - Restaurants"/>
    <m/>
    <m/>
    <m/>
    <m/>
    <m/>
    <m/>
    <x v="3411"/>
    <m/>
    <s v="Ireland"/>
  </r>
  <r>
    <x v="65"/>
    <d v="2024-09-02T00:00:00"/>
    <s v="Cash Rewards Visa Signature - Ending in 5913"/>
    <x v="3860"/>
    <n v="13.32"/>
    <x v="1"/>
    <m/>
    <s v="Exp - Restaurants"/>
    <m/>
    <m/>
    <m/>
    <m/>
    <m/>
    <m/>
    <x v="3411"/>
    <m/>
    <m/>
  </r>
  <r>
    <x v="65"/>
    <d v="2024-09-02T00:00:00"/>
    <s v="Cash Rewards Visa Signature - Ending in 5913"/>
    <x v="4952"/>
    <n v="12.76"/>
    <x v="1"/>
    <m/>
    <s v="Exp - Restaurants"/>
    <m/>
    <m/>
    <m/>
    <m/>
    <m/>
    <m/>
    <x v="4392"/>
    <m/>
    <s v="Ireland"/>
  </r>
  <r>
    <x v="23"/>
    <d v="2024-06-28T00:00:00"/>
    <s v="Powerplus - Ending in 8s30"/>
    <x v="2020"/>
    <n v="8733.2999999999993"/>
    <x v="3"/>
    <m/>
    <m/>
    <m/>
    <m/>
    <m/>
    <m/>
    <m/>
    <m/>
    <x v="1870"/>
    <m/>
    <m/>
  </r>
  <r>
    <x v="65"/>
    <d v="2024-09-02T00:00:00"/>
    <s v="Cash Rewards Visa Signature - Ending in 5913"/>
    <x v="4953"/>
    <n v="7.55"/>
    <x v="1"/>
    <m/>
    <s v="Exp - Restaurants"/>
    <m/>
    <m/>
    <m/>
    <m/>
    <m/>
    <m/>
    <x v="4393"/>
    <m/>
    <s v="Ireland"/>
  </r>
  <r>
    <x v="65"/>
    <d v="2024-09-02T00:00:00"/>
    <s v="Cash Rewards Visa Signature - Ending in 5913"/>
    <x v="4954"/>
    <n v="9.98"/>
    <x v="8"/>
    <m/>
    <s v="Exp - Shopping"/>
    <m/>
    <m/>
    <m/>
    <m/>
    <m/>
    <m/>
    <x v="4394"/>
    <m/>
    <s v="Ireland"/>
  </r>
  <r>
    <x v="65"/>
    <d v="2024-09-02T00:00:00"/>
    <s v="Cash Rewards Visa Signature - Ending in 5913"/>
    <x v="4955"/>
    <n v="67.67"/>
    <x v="8"/>
    <m/>
    <s v="Exp - Shopping"/>
    <m/>
    <m/>
    <m/>
    <m/>
    <m/>
    <m/>
    <x v="4395"/>
    <m/>
    <s v="Ireland"/>
  </r>
  <r>
    <x v="65"/>
    <d v="2024-09-02T00:00:00"/>
    <s v="Cash Rewards Visa Signature - Ending in 5913"/>
    <x v="4956"/>
    <n v="17.09"/>
    <x v="1"/>
    <m/>
    <s v="Exp - Restaurants"/>
    <m/>
    <m/>
    <m/>
    <m/>
    <m/>
    <m/>
    <x v="4396"/>
    <m/>
    <s v="Ireland"/>
  </r>
  <r>
    <x v="65"/>
    <d v="2024-09-02T00:00:00"/>
    <s v="Cash Rewards Visa Signature - Ending in 5913"/>
    <x v="1941"/>
    <n v="46.16"/>
    <x v="2"/>
    <m/>
    <s v="Exp - Transportation"/>
    <m/>
    <m/>
    <m/>
    <m/>
    <m/>
    <m/>
    <x v="1794"/>
    <m/>
    <m/>
  </r>
  <r>
    <x v="65"/>
    <d v="2024-09-02T00:00:00"/>
    <s v="Cash Rewards Visa Signature - Ending in 5913"/>
    <x v="4957"/>
    <n v="58.47"/>
    <x v="1"/>
    <m/>
    <s v="Exp - Restaurants"/>
    <m/>
    <m/>
    <m/>
    <m/>
    <m/>
    <m/>
    <x v="4397"/>
    <m/>
    <s v="Ireland"/>
  </r>
  <r>
    <x v="65"/>
    <d v="2024-09-03T00:00:00"/>
    <s v="American Express"/>
    <x v="4958"/>
    <n v="-43.99"/>
    <x v="0"/>
    <m/>
    <s v="Exp - Amazon"/>
    <m/>
    <m/>
    <m/>
    <m/>
    <m/>
    <m/>
    <x v="4398"/>
    <m/>
    <m/>
  </r>
  <r>
    <x v="65"/>
    <d v="2024-09-03T00:00:00"/>
    <s v="American Express"/>
    <x v="4959"/>
    <n v="-88"/>
    <x v="8"/>
    <m/>
    <s v="Exp - Shopping"/>
    <m/>
    <m/>
    <m/>
    <m/>
    <m/>
    <m/>
    <x v="4399"/>
    <m/>
    <m/>
  </r>
  <r>
    <x v="27"/>
    <d v="2024-07-17T00:00:00"/>
    <s v="Powerplus - Ending in 8s30"/>
    <x v="2020"/>
    <n v="3748.61"/>
    <x v="3"/>
    <m/>
    <m/>
    <m/>
    <m/>
    <m/>
    <m/>
    <m/>
    <m/>
    <x v="1870"/>
    <m/>
    <m/>
  </r>
  <r>
    <x v="65"/>
    <d v="2024-09-03T00:00:00"/>
    <s v="American Express"/>
    <x v="4960"/>
    <n v="127.12"/>
    <x v="5"/>
    <m/>
    <s v="Exp - Groceries"/>
    <m/>
    <m/>
    <m/>
    <m/>
    <m/>
    <m/>
    <x v="4400"/>
    <m/>
    <m/>
  </r>
  <r>
    <x v="65"/>
    <d v="2024-09-03T00:00:00"/>
    <s v="Discover"/>
    <x v="4961"/>
    <n v="51.92"/>
    <x v="2"/>
    <m/>
    <s v="Exp - Transportation"/>
    <m/>
    <m/>
    <m/>
    <m/>
    <m/>
    <m/>
    <x v="4401"/>
    <m/>
    <m/>
  </r>
  <r>
    <x v="62"/>
    <d v="2024-08-05T00:00:00"/>
    <s v="Powerplus - Ending in 8s30"/>
    <x v="2020"/>
    <n v="6398.31"/>
    <x v="3"/>
    <m/>
    <s v="Delete"/>
    <m/>
    <m/>
    <m/>
    <m/>
    <m/>
    <m/>
    <x v="1870"/>
    <m/>
    <m/>
  </r>
  <r>
    <x v="65"/>
    <d v="2024-09-03T00:00:00"/>
    <s v="Powerplus - Ending in 8s30"/>
    <x v="4407"/>
    <n v="183.64"/>
    <x v="11"/>
    <m/>
    <s v="Exp - Utilities"/>
    <m/>
    <m/>
    <m/>
    <m/>
    <m/>
    <m/>
    <x v="3913"/>
    <m/>
    <m/>
  </r>
  <r>
    <x v="65"/>
    <d v="2024-09-03T00:00:00"/>
    <s v="Powerplus - Ending in 8s30"/>
    <x v="1844"/>
    <n v="2745.43"/>
    <x v="6"/>
    <m/>
    <s v="Exp - Rent"/>
    <m/>
    <m/>
    <m/>
    <m/>
    <m/>
    <m/>
    <x v="1699"/>
    <m/>
    <m/>
  </r>
  <r>
    <x v="65"/>
    <d v="2024-09-03T00:00:00"/>
    <s v="American Express"/>
    <x v="4962"/>
    <n v="211.15"/>
    <x v="4"/>
    <m/>
    <s v="Exp - Day Care"/>
    <m/>
    <m/>
    <m/>
    <m/>
    <m/>
    <m/>
    <x v="4402"/>
    <m/>
    <m/>
  </r>
  <r>
    <x v="65"/>
    <d v="2024-09-03T00:00:00"/>
    <s v="Cash Rewards Visa Signature - Ending in 5913"/>
    <x v="4963"/>
    <n v="29.24"/>
    <x v="1"/>
    <m/>
    <s v="Exp - Restaurants"/>
    <m/>
    <m/>
    <m/>
    <m/>
    <m/>
    <m/>
    <x v="4403"/>
    <m/>
    <m/>
  </r>
  <r>
    <x v="65"/>
    <d v="2024-09-03T00:00:00"/>
    <s v="Cash Rewards Visa Signature - Ending in 5913"/>
    <x v="4964"/>
    <n v="-55.22"/>
    <x v="24"/>
    <m/>
    <s v="Exp - Travel"/>
    <m/>
    <m/>
    <m/>
    <m/>
    <m/>
    <m/>
    <x v="4404"/>
    <m/>
    <m/>
  </r>
  <r>
    <x v="65"/>
    <d v="2024-09-03T00:00:00"/>
    <s v="Cash Rewards Visa Signature - Ending in 5913"/>
    <x v="4965"/>
    <n v="19.75"/>
    <x v="1"/>
    <m/>
    <s v="Exp - Restaurants"/>
    <m/>
    <m/>
    <m/>
    <m/>
    <m/>
    <m/>
    <x v="4405"/>
    <m/>
    <m/>
  </r>
  <r>
    <x v="65"/>
    <d v="2024-09-03T00:00:00"/>
    <s v="Cash Rewards Visa Signature - Ending in 5913"/>
    <x v="4966"/>
    <n v="84.89"/>
    <x v="1"/>
    <m/>
    <s v="Exp - Restaurants"/>
    <m/>
    <m/>
    <m/>
    <m/>
    <m/>
    <m/>
    <x v="4406"/>
    <m/>
    <m/>
  </r>
  <r>
    <x v="65"/>
    <d v="2024-09-03T00:00:00"/>
    <s v="Powerplus - Ending in 8s30"/>
    <x v="3996"/>
    <n v="650"/>
    <x v="9"/>
    <m/>
    <s v="Sav - College Savings"/>
    <m/>
    <m/>
    <m/>
    <m/>
    <m/>
    <m/>
    <x v="3539"/>
    <m/>
    <m/>
  </r>
  <r>
    <x v="65"/>
    <d v="2024-09-03T00:00:00"/>
    <s v="Cash Rewards Visa Signature - Ending in 5913"/>
    <x v="1941"/>
    <n v="39.950000000000003"/>
    <x v="2"/>
    <m/>
    <s v="Exp - Transportation"/>
    <m/>
    <m/>
    <m/>
    <m/>
    <m/>
    <m/>
    <x v="1794"/>
    <m/>
    <m/>
  </r>
  <r>
    <x v="62"/>
    <d v="2024-08-16T00:00:00"/>
    <s v="Powerplus - Ending in 8s30"/>
    <x v="2020"/>
    <n v="3647.15"/>
    <x v="3"/>
    <m/>
    <m/>
    <m/>
    <m/>
    <m/>
    <m/>
    <m/>
    <m/>
    <x v="1870"/>
    <m/>
    <m/>
  </r>
  <r>
    <x v="65"/>
    <d v="2024-09-04T00:00:00"/>
    <s v="Cash Rewards Visa Signature - Ending in 5913"/>
    <x v="1895"/>
    <n v="-34.979999999999997"/>
    <x v="0"/>
    <m/>
    <s v="Exp - Amazon"/>
    <m/>
    <m/>
    <m/>
    <m/>
    <m/>
    <m/>
    <x v="1748"/>
    <m/>
    <m/>
  </r>
  <r>
    <x v="65"/>
    <d v="2024-09-04T00:00:00"/>
    <s v="Cash Rewards Visa Signature - Ending in 5913"/>
    <x v="1895"/>
    <n v="-34.979999999999997"/>
    <x v="0"/>
    <m/>
    <s v="Exp - Amazon"/>
    <m/>
    <m/>
    <m/>
    <m/>
    <m/>
    <m/>
    <x v="1748"/>
    <m/>
    <m/>
  </r>
  <r>
    <x v="65"/>
    <d v="2024-09-04T00:00:00"/>
    <s v="Cash Rewards Visa Signature - Ending in 5913"/>
    <x v="1895"/>
    <n v="-9.7200000000000006"/>
    <x v="0"/>
    <m/>
    <s v="Exp - Amazon"/>
    <m/>
    <m/>
    <m/>
    <m/>
    <m/>
    <m/>
    <x v="1748"/>
    <m/>
    <m/>
  </r>
  <r>
    <x v="65"/>
    <d v="2024-09-04T00:00:00"/>
    <s v="Delta Skymiles Platinum Card ( X ) - Ending in 1028"/>
    <x v="4967"/>
    <n v="96"/>
    <x v="10"/>
    <m/>
    <s v="Exp - Entertainment"/>
    <m/>
    <m/>
    <m/>
    <m/>
    <m/>
    <m/>
    <x v="4407"/>
    <m/>
    <m/>
  </r>
  <r>
    <x v="65"/>
    <d v="2024-09-04T00:00:00"/>
    <s v="Cash Rewards Visa Signature - Ending in 5913"/>
    <x v="214"/>
    <n v="59.06"/>
    <x v="2"/>
    <m/>
    <s v="Exp - Transportation"/>
    <m/>
    <m/>
    <m/>
    <m/>
    <m/>
    <m/>
    <x v="213"/>
    <m/>
    <m/>
  </r>
  <r>
    <x v="65"/>
    <d v="2024-09-04T00:00:00"/>
    <s v="Powerplus - Ending in 8s30"/>
    <x v="4688"/>
    <n v="380"/>
    <x v="4"/>
    <m/>
    <s v="Exp - Day Care"/>
    <m/>
    <m/>
    <m/>
    <m/>
    <m/>
    <m/>
    <x v="4153"/>
    <m/>
    <m/>
  </r>
  <r>
    <x v="65"/>
    <d v="2024-09-04T00:00:00"/>
    <s v="Discover More Card - Ending in 7779"/>
    <x v="1674"/>
    <n v="34.74"/>
    <x v="1"/>
    <s v="Restaurants"/>
    <m/>
    <m/>
    <m/>
    <m/>
    <m/>
    <m/>
    <m/>
    <x v="1556"/>
    <m/>
    <m/>
  </r>
  <r>
    <x v="65"/>
    <d v="2024-09-04T00:00:00"/>
    <s v="Powerplus - Ending in 8s30"/>
    <x v="2020"/>
    <n v="7941.92"/>
    <x v="3"/>
    <m/>
    <s v="Delete"/>
    <m/>
    <m/>
    <m/>
    <m/>
    <m/>
    <m/>
    <x v="1870"/>
    <m/>
    <m/>
  </r>
  <r>
    <x v="65"/>
    <d v="2024-09-04T00:00:00"/>
    <s v="Discover"/>
    <x v="4968"/>
    <n v="34.74"/>
    <x v="1"/>
    <m/>
    <s v="Exp - Restaurants"/>
    <m/>
    <m/>
    <m/>
    <m/>
    <m/>
    <m/>
    <x v="4408"/>
    <m/>
    <m/>
  </r>
  <r>
    <x v="65"/>
    <d v="2024-09-05T00:00:00"/>
    <s v="American Express"/>
    <x v="4969"/>
    <n v="23.86"/>
    <x v="20"/>
    <m/>
    <s v="Exp - Dry Cleaning"/>
    <m/>
    <m/>
    <m/>
    <m/>
    <m/>
    <m/>
    <x v="4409"/>
    <m/>
    <m/>
  </r>
  <r>
    <x v="65"/>
    <d v="2024-09-05T00:00:00"/>
    <s v="Cash Rewards Visa Signature - Ending in 5913"/>
    <x v="4970"/>
    <n v="20.6"/>
    <x v="8"/>
    <m/>
    <s v="Exp - Shopping"/>
    <m/>
    <m/>
    <m/>
    <m/>
    <m/>
    <m/>
    <x v="4410"/>
    <m/>
    <m/>
  </r>
  <r>
    <x v="65"/>
    <d v="2024-09-05T00:00:00"/>
    <s v="Cash Rewards Visa Signature - Ending in 5913"/>
    <x v="4971"/>
    <n v="23.9"/>
    <x v="1"/>
    <m/>
    <s v="Exp - Restaurants"/>
    <m/>
    <m/>
    <m/>
    <m/>
    <m/>
    <m/>
    <x v="4411"/>
    <m/>
    <m/>
  </r>
  <r>
    <x v="65"/>
    <d v="2024-09-05T00:00:00"/>
    <s v="Cash Rewards Visa Signature - Ending in 5913"/>
    <x v="3472"/>
    <n v="50.05"/>
    <x v="4"/>
    <m/>
    <s v="Exp - Day Care"/>
    <m/>
    <m/>
    <m/>
    <m/>
    <m/>
    <m/>
    <x v="3063"/>
    <m/>
    <m/>
  </r>
  <r>
    <x v="65"/>
    <d v="2024-09-05T00:00:00"/>
    <s v="Powerplus - Ending in 8s30"/>
    <x v="1849"/>
    <n v="28.69"/>
    <x v="8"/>
    <m/>
    <s v="Exp - Shopping"/>
    <m/>
    <m/>
    <m/>
    <m/>
    <m/>
    <m/>
    <x v="1704"/>
    <m/>
    <m/>
  </r>
  <r>
    <x v="65"/>
    <d v="2024-09-06T00:00:00"/>
    <s v="Delta Skymiles Platinum Card ( X ) - Ending in 1022"/>
    <x v="4972"/>
    <n v="8"/>
    <x v="10"/>
    <m/>
    <s v="Exp - Entertainment"/>
    <m/>
    <m/>
    <m/>
    <m/>
    <m/>
    <m/>
    <x v="4412"/>
    <m/>
    <m/>
  </r>
  <r>
    <x v="65"/>
    <d v="2024-09-06T00:00:00"/>
    <s v="Delta Skymiles Platinum Card ( X ) - Ending in 1023"/>
    <x v="4973"/>
    <n v="70"/>
    <x v="11"/>
    <m/>
    <s v="Exp - Utilities"/>
    <m/>
    <m/>
    <m/>
    <m/>
    <m/>
    <m/>
    <x v="4413"/>
    <m/>
    <m/>
  </r>
  <r>
    <x v="65"/>
    <d v="2024-09-06T00:00:00"/>
    <s v="Delta Skymiles Platinum Card ( X ) - Ending in 1024"/>
    <x v="4960"/>
    <n v="50.39"/>
    <x v="5"/>
    <m/>
    <s v="Exp - Groceries"/>
    <m/>
    <m/>
    <m/>
    <m/>
    <m/>
    <m/>
    <x v="4400"/>
    <m/>
    <m/>
  </r>
  <r>
    <x v="49"/>
    <d v="2024-10-02T00:00:00"/>
    <s v="Powerplus - Ending in 8s30"/>
    <x v="2020"/>
    <n v="11648"/>
    <x v="3"/>
    <m/>
    <s v="Delete"/>
    <m/>
    <m/>
    <m/>
    <m/>
    <m/>
    <m/>
    <x v="1870"/>
    <m/>
    <m/>
  </r>
  <r>
    <x v="65"/>
    <d v="2024-09-06T00:00:00"/>
    <s v="Powerplus - Ending in 8s30"/>
    <x v="1869"/>
    <n v="219.38"/>
    <x v="11"/>
    <m/>
    <s v="Exp - Utilities"/>
    <m/>
    <m/>
    <m/>
    <m/>
    <m/>
    <m/>
    <x v="1723"/>
    <m/>
    <m/>
  </r>
  <r>
    <x v="65"/>
    <d v="2024-09-06T00:00:00"/>
    <s v="Powerplus - Ending in 8s30"/>
    <x v="1827"/>
    <n v="25"/>
    <x v="8"/>
    <m/>
    <s v="Exp - Shopping"/>
    <m/>
    <m/>
    <m/>
    <m/>
    <m/>
    <m/>
    <x v="1682"/>
    <m/>
    <m/>
  </r>
  <r>
    <x v="65"/>
    <d v="2024-09-06T00:00:00"/>
    <s v="Delta Skymiles Platinum Card ( X ) - Ending in 1026"/>
    <x v="4974"/>
    <n v="87.62"/>
    <x v="1"/>
    <m/>
    <s v="Exp - Restaurants"/>
    <m/>
    <m/>
    <m/>
    <m/>
    <m/>
    <m/>
    <x v="4414"/>
    <m/>
    <m/>
  </r>
  <r>
    <x v="65"/>
    <d v="2024-09-07T00:00:00"/>
    <s v="Delta Skymiles Platinum Card ( X ) - Ending in 1019"/>
    <x v="4975"/>
    <n v="2"/>
    <x v="10"/>
    <m/>
    <s v="Exp - Entertainment"/>
    <m/>
    <m/>
    <m/>
    <m/>
    <m/>
    <m/>
    <x v="4415"/>
    <m/>
    <m/>
  </r>
  <r>
    <x v="65"/>
    <d v="2024-09-07T00:00:00"/>
    <s v="Delta Skymiles Platinum Card ( X ) - Ending in 1020"/>
    <x v="4976"/>
    <n v="92"/>
    <x v="10"/>
    <m/>
    <s v="Exp - Entertainment"/>
    <m/>
    <m/>
    <m/>
    <m/>
    <m/>
    <m/>
    <x v="4416"/>
    <m/>
    <m/>
  </r>
  <r>
    <x v="65"/>
    <d v="2024-09-07T00:00:00"/>
    <s v="Delta Skymiles Platinum Card ( X ) - Ending in 1021"/>
    <x v="4977"/>
    <n v="47.24"/>
    <x v="5"/>
    <m/>
    <s v="Exp - Groceries"/>
    <m/>
    <m/>
    <m/>
    <m/>
    <m/>
    <m/>
    <x v="4417"/>
    <m/>
    <m/>
  </r>
  <r>
    <x v="65"/>
    <d v="2024-09-08T00:00:00"/>
    <s v="Cash Rewards Visa Signature - Ending in 5913"/>
    <x v="1895"/>
    <n v="16.77"/>
    <x v="0"/>
    <m/>
    <s v="Exp - Amazon"/>
    <m/>
    <m/>
    <m/>
    <m/>
    <m/>
    <m/>
    <x v="1748"/>
    <m/>
    <m/>
  </r>
  <r>
    <x v="65"/>
    <d v="2024-09-08T00:00:00"/>
    <s v="Delta Skymiles Platinum Card ( X ) - Ending in 1017"/>
    <x v="4978"/>
    <n v="27.13"/>
    <x v="19"/>
    <m/>
    <s v="Exp - House Maint"/>
    <m/>
    <m/>
    <m/>
    <m/>
    <m/>
    <m/>
    <x v="4418"/>
    <m/>
    <m/>
  </r>
  <r>
    <x v="65"/>
    <d v="2024-09-08T00:00:00"/>
    <s v="Delta Skymiles Platinum Card ( X ) - Ending in 1018"/>
    <x v="4979"/>
    <n v="2.5"/>
    <x v="1"/>
    <m/>
    <s v="Exp - Restaurants"/>
    <m/>
    <m/>
    <m/>
    <m/>
    <m/>
    <m/>
    <x v="4419"/>
    <m/>
    <m/>
  </r>
  <r>
    <x v="65"/>
    <d v="2024-09-09T00:00:00"/>
    <s v="Manual"/>
    <x v="1850"/>
    <n v="250"/>
    <x v="56"/>
    <m/>
    <s v="Exp - Cleaning"/>
    <m/>
    <m/>
    <m/>
    <m/>
    <m/>
    <m/>
    <x v="1705"/>
    <m/>
    <m/>
  </r>
  <r>
    <x v="49"/>
    <d v="2024-10-11T00:00:00"/>
    <s v="Powerplus - Ending in 8s30"/>
    <x v="2020"/>
    <n v="1995.73"/>
    <x v="3"/>
    <m/>
    <s v="Delete"/>
    <m/>
    <m/>
    <m/>
    <m/>
    <m/>
    <m/>
    <x v="1870"/>
    <m/>
    <m/>
  </r>
  <r>
    <x v="49"/>
    <d v="2024-10-28T00:00:00"/>
    <s v="Powerplus - Ending in 8s30"/>
    <x v="2020"/>
    <n v="4822.07"/>
    <x v="3"/>
    <m/>
    <s v="Delete"/>
    <m/>
    <m/>
    <m/>
    <m/>
    <m/>
    <m/>
    <x v="1870"/>
    <m/>
    <m/>
  </r>
  <r>
    <x v="63"/>
    <d v="2024-11-04T00:00:00"/>
    <s v="Powerplus - Ending in 8s30"/>
    <x v="2020"/>
    <n v="1206.8499999999999"/>
    <x v="3"/>
    <m/>
    <m/>
    <m/>
    <m/>
    <m/>
    <m/>
    <m/>
    <m/>
    <x v="1870"/>
    <m/>
    <m/>
  </r>
  <r>
    <x v="63"/>
    <d v="2024-11-12T00:00:00"/>
    <s v="Powerplus - Ending in 8s30"/>
    <x v="2020"/>
    <n v="3078.95"/>
    <x v="3"/>
    <m/>
    <m/>
    <m/>
    <m/>
    <m/>
    <m/>
    <m/>
    <m/>
    <x v="1870"/>
    <m/>
    <m/>
  </r>
  <r>
    <x v="65"/>
    <d v="2024-09-10T00:00:00"/>
    <s v="Delta Skymiles Platinum Card ( X ) - Ending in 1010"/>
    <x v="4980"/>
    <n v="9.07"/>
    <x v="1"/>
    <m/>
    <s v="Exp - Restaurants"/>
    <m/>
    <m/>
    <m/>
    <m/>
    <m/>
    <m/>
    <x v="4420"/>
    <m/>
    <m/>
  </r>
  <r>
    <x v="65"/>
    <d v="2024-09-10T00:00:00"/>
    <s v="Powerplus - Ending in 8s30"/>
    <x v="4688"/>
    <n v="380"/>
    <x v="4"/>
    <m/>
    <s v="Exp - Day Care"/>
    <m/>
    <m/>
    <m/>
    <m/>
    <m/>
    <m/>
    <x v="4153"/>
    <m/>
    <m/>
  </r>
  <r>
    <x v="63"/>
    <d v="2024-11-29T00:00:00"/>
    <s v="Powerplus - Ending in 8s30"/>
    <x v="2020"/>
    <n v="5480.42"/>
    <x v="3"/>
    <m/>
    <m/>
    <m/>
    <m/>
    <m/>
    <m/>
    <m/>
    <m/>
    <x v="1870"/>
    <m/>
    <m/>
  </r>
  <r>
    <x v="50"/>
    <d v="2024-12-13T00:00:00"/>
    <s v="Powerplus - Ending in 8s30"/>
    <x v="2020"/>
    <n v="4465.47"/>
    <x v="3"/>
    <m/>
    <m/>
    <m/>
    <m/>
    <m/>
    <m/>
    <m/>
    <m/>
    <x v="1870"/>
    <m/>
    <m/>
  </r>
  <r>
    <x v="65"/>
    <d v="2024-09-11T00:00:00"/>
    <s v="Cash Rewards Visa Signature - Ending in 5913"/>
    <x v="0"/>
    <n v="2.16"/>
    <x v="0"/>
    <m/>
    <s v="Exp - Amazon"/>
    <m/>
    <m/>
    <m/>
    <m/>
    <m/>
    <m/>
    <x v="0"/>
    <m/>
    <m/>
  </r>
  <r>
    <x v="50"/>
    <d v="2024-12-26T00:00:00"/>
    <s v="Powerplus - Ending in 8s30"/>
    <x v="2020"/>
    <n v="1789.01"/>
    <x v="3"/>
    <m/>
    <m/>
    <m/>
    <m/>
    <m/>
    <m/>
    <m/>
    <m/>
    <x v="1870"/>
    <m/>
    <m/>
  </r>
  <r>
    <x v="61"/>
    <d v="2024-02-09T00:00:00"/>
    <s v="Powerplus - Ending in 8s30"/>
    <x v="1888"/>
    <n v="474.32"/>
    <x v="3"/>
    <m/>
    <s v="Delete"/>
    <m/>
    <m/>
    <m/>
    <m/>
    <m/>
    <m/>
    <x v="1741"/>
    <m/>
    <m/>
  </r>
  <r>
    <x v="65"/>
    <d v="2024-09-11T00:00:00"/>
    <s v="Cash Rewards Visa Signature - Ending in 5913"/>
    <x v="99"/>
    <n v="25.6"/>
    <x v="11"/>
    <m/>
    <s v="Exp - Utilities"/>
    <m/>
    <m/>
    <m/>
    <m/>
    <m/>
    <m/>
    <x v="99"/>
    <m/>
    <m/>
  </r>
  <r>
    <x v="61"/>
    <d v="2024-02-23T00:00:00"/>
    <s v="Powerplus - Ending in 8s30"/>
    <x v="1888"/>
    <n v="840.68"/>
    <x v="3"/>
    <m/>
    <s v="Delete"/>
    <m/>
    <m/>
    <m/>
    <m/>
    <m/>
    <m/>
    <x v="1741"/>
    <m/>
    <m/>
  </r>
  <r>
    <x v="65"/>
    <d v="2024-09-12T00:00:00"/>
    <s v="Powerplus - Ending in 8s30"/>
    <x v="4981"/>
    <n v="-3387.66"/>
    <x v="57"/>
    <m/>
    <s v="Inc - Jeff"/>
    <m/>
    <m/>
    <m/>
    <m/>
    <m/>
    <m/>
    <x v="3260"/>
    <m/>
    <m/>
  </r>
  <r>
    <x v="65"/>
    <d v="2024-09-12T00:00:00"/>
    <s v="Cash Rewards Visa Signature - Ending in 5913"/>
    <x v="4982"/>
    <n v="8.7100000000000009"/>
    <x v="10"/>
    <m/>
    <s v="Exp - Entertainment"/>
    <m/>
    <m/>
    <m/>
    <m/>
    <m/>
    <m/>
    <x v="4421"/>
    <m/>
    <m/>
  </r>
  <r>
    <x v="65"/>
    <d v="2024-09-12T00:00:00"/>
    <s v="Powerplus - Ending in 8s30"/>
    <x v="3684"/>
    <n v="-3238.06"/>
    <x v="57"/>
    <m/>
    <s v="Inc - Jeff"/>
    <m/>
    <m/>
    <m/>
    <m/>
    <m/>
    <m/>
    <x v="3245"/>
    <m/>
    <m/>
  </r>
  <r>
    <x v="65"/>
    <d v="2024-09-12T00:00:00"/>
    <s v="Powerplus - Ending in 8s30"/>
    <x v="1827"/>
    <n v="30"/>
    <x v="8"/>
    <m/>
    <s v="Exp - Shopping"/>
    <m/>
    <m/>
    <m/>
    <m/>
    <m/>
    <m/>
    <x v="1682"/>
    <m/>
    <m/>
  </r>
  <r>
    <x v="65"/>
    <d v="2024-09-13T00:00:00"/>
    <s v="American Express"/>
    <x v="4983"/>
    <n v="9.81"/>
    <x v="1"/>
    <m/>
    <s v="Exp - Restaurants"/>
    <m/>
    <m/>
    <m/>
    <m/>
    <m/>
    <m/>
    <x v="4422"/>
    <m/>
    <m/>
  </r>
  <r>
    <x v="65"/>
    <d v="2024-09-13T00:00:00"/>
    <s v="Cash Rewards Visa Signature - Ending in 5913"/>
    <x v="4984"/>
    <n v="45"/>
    <x v="11"/>
    <m/>
    <s v="Exp - Utilities"/>
    <m/>
    <m/>
    <m/>
    <m/>
    <m/>
    <m/>
    <x v="4423"/>
    <m/>
    <m/>
  </r>
  <r>
    <x v="65"/>
    <d v="2024-09-13T00:00:00"/>
    <s v="Delta Skymiles Platinum Card ( X ) - Ending in 1007"/>
    <x v="4985"/>
    <n v="129.54"/>
    <x v="5"/>
    <m/>
    <s v="Exp - Groceries"/>
    <m/>
    <m/>
    <m/>
    <m/>
    <m/>
    <m/>
    <x v="4424"/>
    <m/>
    <m/>
  </r>
  <r>
    <x v="65"/>
    <d v="2024-09-13T00:00:00"/>
    <s v="Cash Rewards Visa Signature - Ending in 5913"/>
    <x v="1993"/>
    <n v="45"/>
    <x v="11"/>
    <m/>
    <s v="Exp - Utilities"/>
    <m/>
    <m/>
    <m/>
    <m/>
    <m/>
    <m/>
    <x v="1843"/>
    <m/>
    <m/>
  </r>
  <r>
    <x v="65"/>
    <d v="2024-09-13T00:00:00"/>
    <s v="American Express"/>
    <x v="4986"/>
    <n v="142.12"/>
    <x v="1"/>
    <m/>
    <s v="Exp - Restaurants"/>
    <m/>
    <m/>
    <m/>
    <m/>
    <m/>
    <m/>
    <x v="4425"/>
    <m/>
    <m/>
  </r>
  <r>
    <x v="65"/>
    <d v="2024-09-14T00:00:00"/>
    <s v="Discover"/>
    <x v="4987"/>
    <n v="22.99"/>
    <x v="0"/>
    <m/>
    <s v="Exp - Amazon"/>
    <m/>
    <m/>
    <m/>
    <m/>
    <m/>
    <m/>
    <x v="4426"/>
    <m/>
    <m/>
  </r>
  <r>
    <x v="65"/>
    <d v="2024-09-14T00:00:00"/>
    <s v="American Express"/>
    <x v="4988"/>
    <n v="20"/>
    <x v="11"/>
    <m/>
    <s v="Exp - Utilities"/>
    <m/>
    <m/>
    <m/>
    <m/>
    <m/>
    <m/>
    <x v="4427"/>
    <m/>
    <m/>
  </r>
  <r>
    <x v="65"/>
    <d v="2024-09-15T00:00:00"/>
    <s v="Discover"/>
    <x v="4989"/>
    <n v="39.979999999999997"/>
    <x v="0"/>
    <m/>
    <s v="Exp - Amazon"/>
    <m/>
    <m/>
    <m/>
    <m/>
    <m/>
    <m/>
    <x v="4428"/>
    <m/>
    <m/>
  </r>
  <r>
    <x v="65"/>
    <d v="2024-09-15T00:00:00"/>
    <s v="American Express"/>
    <x v="4990"/>
    <n v="2"/>
    <x v="1"/>
    <m/>
    <s v="Exp - Restaurants"/>
    <m/>
    <m/>
    <m/>
    <m/>
    <m/>
    <m/>
    <x v="4429"/>
    <m/>
    <m/>
  </r>
  <r>
    <x v="65"/>
    <d v="2024-09-15T00:00:00"/>
    <s v="American Express"/>
    <x v="4991"/>
    <n v="2.15"/>
    <x v="8"/>
    <m/>
    <s v="Exp - Shopping"/>
    <m/>
    <m/>
    <m/>
    <m/>
    <m/>
    <m/>
    <x v="4430"/>
    <m/>
    <m/>
  </r>
  <r>
    <x v="65"/>
    <d v="2024-09-15T00:00:00"/>
    <s v="American Express"/>
    <x v="4992"/>
    <n v="459.84"/>
    <x v="19"/>
    <m/>
    <s v="Exp - House Maint"/>
    <m/>
    <m/>
    <m/>
    <m/>
    <m/>
    <m/>
    <x v="4431"/>
    <m/>
    <m/>
  </r>
  <r>
    <x v="26"/>
    <d v="2024-03-15T00:00:00"/>
    <s v="Powerplus - Ending in 8s30"/>
    <x v="1888"/>
    <n v="190.59"/>
    <x v="3"/>
    <m/>
    <m/>
    <m/>
    <m/>
    <m/>
    <m/>
    <m/>
    <m/>
    <x v="1741"/>
    <m/>
    <m/>
  </r>
  <r>
    <x v="64"/>
    <d v="2024-04-19T00:00:00"/>
    <s v="Powerplus - Ending in 8s30"/>
    <x v="1888"/>
    <n v="11.9"/>
    <x v="3"/>
    <m/>
    <m/>
    <m/>
    <m/>
    <m/>
    <m/>
    <m/>
    <m/>
    <x v="1741"/>
    <m/>
    <m/>
  </r>
  <r>
    <x v="65"/>
    <d v="2024-09-16T00:00:00"/>
    <s v="Powerplus - Ending in 8s30"/>
    <x v="3693"/>
    <n v="120.47"/>
    <x v="16"/>
    <m/>
    <s v="Exp - Insurance"/>
    <m/>
    <m/>
    <m/>
    <m/>
    <m/>
    <m/>
    <x v="3254"/>
    <m/>
    <m/>
  </r>
  <r>
    <x v="65"/>
    <d v="2024-09-16T00:00:00"/>
    <s v="Cash Rewards Visa Signature - Ending in 5913"/>
    <x v="4993"/>
    <n v="9"/>
    <x v="1"/>
    <m/>
    <s v="Exp - Restaurants"/>
    <m/>
    <m/>
    <m/>
    <m/>
    <m/>
    <m/>
    <x v="4432"/>
    <m/>
    <m/>
  </r>
  <r>
    <x v="65"/>
    <d v="2024-09-16T00:00:00"/>
    <s v="Cash Rewards Visa Signature - Ending in 5913"/>
    <x v="4994"/>
    <n v="61.98"/>
    <x v="1"/>
    <m/>
    <s v="Exp - Restaurants"/>
    <m/>
    <m/>
    <m/>
    <m/>
    <m/>
    <m/>
    <x v="4433"/>
    <m/>
    <m/>
  </r>
  <r>
    <x v="65"/>
    <d v="2024-09-16T00:00:00"/>
    <s v="Cash Rewards Visa Signature - Ending in 5913"/>
    <x v="4995"/>
    <n v="46.35"/>
    <x v="1"/>
    <m/>
    <s v="Exp - Restaurants"/>
    <m/>
    <m/>
    <m/>
    <m/>
    <m/>
    <m/>
    <x v="4434"/>
    <m/>
    <m/>
  </r>
  <r>
    <x v="65"/>
    <d v="2024-09-17T00:00:00"/>
    <s v="Discover"/>
    <x v="4996"/>
    <n v="11.2"/>
    <x v="0"/>
    <m/>
    <s v="Exp - Amazon"/>
    <m/>
    <m/>
    <m/>
    <m/>
    <m/>
    <m/>
    <x v="4435"/>
    <m/>
    <m/>
  </r>
  <r>
    <x v="65"/>
    <d v="2024-09-17T00:00:00"/>
    <s v="American Express"/>
    <x v="4997"/>
    <n v="29.3"/>
    <x v="1"/>
    <m/>
    <s v="Exp - Restaurants"/>
    <m/>
    <m/>
    <m/>
    <m/>
    <m/>
    <m/>
    <x v="4436"/>
    <m/>
    <m/>
  </r>
  <r>
    <x v="64"/>
    <d v="2024-04-30T00:00:00"/>
    <s v="Powerplus - Ending in 8s30"/>
    <x v="1888"/>
    <n v="457.42"/>
    <x v="3"/>
    <m/>
    <m/>
    <m/>
    <m/>
    <m/>
    <m/>
    <m/>
    <m/>
    <x v="1741"/>
    <m/>
    <m/>
  </r>
  <r>
    <x v="62"/>
    <d v="2024-08-28T00:00:00"/>
    <s v="Cash Rewards Visa Signature - Ending in 5913"/>
    <x v="1888"/>
    <n v="31.31"/>
    <x v="3"/>
    <m/>
    <m/>
    <m/>
    <m/>
    <m/>
    <m/>
    <m/>
    <m/>
    <x v="1741"/>
    <m/>
    <m/>
  </r>
  <r>
    <x v="65"/>
    <d v="2024-09-17T00:00:00"/>
    <s v="Powerplus - Ending in 8s30"/>
    <x v="4688"/>
    <n v="380"/>
    <x v="4"/>
    <m/>
    <s v="Exp - Day Care"/>
    <m/>
    <m/>
    <m/>
    <m/>
    <m/>
    <m/>
    <x v="4153"/>
    <m/>
    <m/>
  </r>
  <r>
    <x v="49"/>
    <d v="2024-10-21T00:00:00"/>
    <s v="Powerplus - Ending in 8s30"/>
    <x v="1888"/>
    <n v="174.91"/>
    <x v="3"/>
    <m/>
    <s v="Delete"/>
    <m/>
    <m/>
    <m/>
    <m/>
    <m/>
    <m/>
    <x v="1741"/>
    <m/>
    <m/>
  </r>
  <r>
    <x v="63"/>
    <d v="2024-11-14T00:00:00"/>
    <s v="Powerplus - Ending in 8s30"/>
    <x v="1888"/>
    <n v="812.82"/>
    <x v="3"/>
    <m/>
    <m/>
    <m/>
    <m/>
    <m/>
    <m/>
    <m/>
    <m/>
    <x v="1741"/>
    <m/>
    <m/>
  </r>
  <r>
    <x v="63"/>
    <d v="2024-11-29T00:00:00"/>
    <s v="Powerplus - Ending in 8s30"/>
    <x v="1888"/>
    <n v="386.89"/>
    <x v="3"/>
    <m/>
    <m/>
    <m/>
    <m/>
    <m/>
    <m/>
    <m/>
    <m/>
    <x v="1741"/>
    <m/>
    <m/>
  </r>
  <r>
    <x v="65"/>
    <d v="2024-09-18T00:00:00"/>
    <s v="American Express"/>
    <x v="4998"/>
    <n v="36.950000000000003"/>
    <x v="1"/>
    <m/>
    <s v="Exp - Restaurants"/>
    <m/>
    <m/>
    <m/>
    <m/>
    <m/>
    <m/>
    <x v="4437"/>
    <m/>
    <m/>
  </r>
  <r>
    <x v="65"/>
    <d v="2024-09-18T00:00:00"/>
    <s v="Discover"/>
    <x v="4999"/>
    <n v="-66.17"/>
    <x v="11"/>
    <m/>
    <s v="Exp - Utilities"/>
    <m/>
    <m/>
    <m/>
    <m/>
    <m/>
    <m/>
    <x v="4438"/>
    <m/>
    <m/>
  </r>
  <r>
    <x v="65"/>
    <d v="2024-09-18T00:00:00"/>
    <s v="American Express"/>
    <x v="5000"/>
    <n v="437.45"/>
    <x v="1"/>
    <m/>
    <s v="Exp - Restaurants"/>
    <m/>
    <m/>
    <m/>
    <m/>
    <m/>
    <m/>
    <x v="4439"/>
    <m/>
    <m/>
  </r>
  <r>
    <x v="65"/>
    <d v="2024-09-18T00:00:00"/>
    <s v="Powerplus - Ending in 8s30"/>
    <x v="5001"/>
    <n v="650"/>
    <x v="9"/>
    <m/>
    <s v="Sav - College Savings"/>
    <m/>
    <m/>
    <m/>
    <m/>
    <m/>
    <m/>
    <x v="3267"/>
    <m/>
    <m/>
  </r>
  <r>
    <x v="65"/>
    <d v="2024-09-19T00:00:00"/>
    <s v="Cash Rewards Visa Signature - Ending in 5913"/>
    <x v="1895"/>
    <n v="22.76"/>
    <x v="0"/>
    <m/>
    <s v="Exp - Amazon"/>
    <m/>
    <m/>
    <m/>
    <m/>
    <m/>
    <m/>
    <x v="1748"/>
    <m/>
    <m/>
  </r>
  <r>
    <x v="65"/>
    <d v="2024-09-19T00:00:00"/>
    <s v="Cash Rewards Visa Signature - Ending in 5913"/>
    <x v="1895"/>
    <n v="61.49"/>
    <x v="0"/>
    <m/>
    <s v="Exp - Amazon"/>
    <m/>
    <m/>
    <m/>
    <m/>
    <m/>
    <m/>
    <x v="1748"/>
    <m/>
    <m/>
  </r>
  <r>
    <x v="50"/>
    <d v="2024-12-09T00:00:00"/>
    <s v="Powerplus - Ending in 8s30"/>
    <x v="1888"/>
    <n v="590.36"/>
    <x v="3"/>
    <m/>
    <m/>
    <m/>
    <m/>
    <m/>
    <m/>
    <m/>
    <m/>
    <x v="1741"/>
    <m/>
    <m/>
  </r>
  <r>
    <x v="50"/>
    <d v="2024-12-26T00:00:00"/>
    <s v="Powerplus - Ending in 8s30"/>
    <x v="1888"/>
    <n v="500.36"/>
    <x v="3"/>
    <m/>
    <m/>
    <m/>
    <m/>
    <m/>
    <m/>
    <m/>
    <m/>
    <x v="1741"/>
    <m/>
    <m/>
  </r>
  <r>
    <x v="23"/>
    <d v="2024-06-28T00:00:00"/>
    <s v="Powerplus - Ending in 8s30"/>
    <x v="4650"/>
    <n v="748.44"/>
    <x v="3"/>
    <m/>
    <s v="Delete"/>
    <s v="CC payment"/>
    <m/>
    <m/>
    <m/>
    <m/>
    <m/>
    <x v="4121"/>
    <m/>
    <m/>
  </r>
  <r>
    <x v="65"/>
    <d v="2024-09-25T00:00:00"/>
    <s v="American Express"/>
    <x v="5002"/>
    <n v="155.05000000000001"/>
    <x v="3"/>
    <m/>
    <s v="Delete"/>
    <m/>
    <m/>
    <m/>
    <m/>
    <m/>
    <m/>
    <x v="4440"/>
    <m/>
    <m/>
  </r>
  <r>
    <x v="65"/>
    <d v="2024-09-19T00:00:00"/>
    <s v="Powerplus - Ending in 8s30"/>
    <x v="1849"/>
    <n v="2.99"/>
    <x v="8"/>
    <m/>
    <s v="Exp - Shopping"/>
    <m/>
    <m/>
    <m/>
    <m/>
    <m/>
    <m/>
    <x v="1704"/>
    <m/>
    <m/>
  </r>
  <r>
    <x v="23"/>
    <d v="2024-06-07T00:00:00"/>
    <s v="Delta Skymiles Platinum Card ( X ) - Ending in 1007"/>
    <x v="5003"/>
    <n v="25.87"/>
    <x v="3"/>
    <s v="Gifts"/>
    <s v="Delete"/>
    <m/>
    <m/>
    <m/>
    <m/>
    <m/>
    <m/>
    <x v="4441"/>
    <m/>
    <m/>
  </r>
  <r>
    <x v="65"/>
    <d v="2024-09-17T00:00:00"/>
    <s v="American Express"/>
    <x v="5004"/>
    <n v="6.01"/>
    <x v="3"/>
    <m/>
    <s v="Delete"/>
    <m/>
    <m/>
    <m/>
    <m/>
    <m/>
    <m/>
    <x v="4442"/>
    <m/>
    <m/>
  </r>
  <r>
    <x v="27"/>
    <d v="2024-07-10T00:00:00"/>
    <s v="Delta Skymiles Platinum Card ( X ) - Ending in 1007"/>
    <x v="5005"/>
    <n v="89.48"/>
    <x v="3"/>
    <s v="Delete - Other Expenses"/>
    <s v="Delete"/>
    <m/>
    <m/>
    <m/>
    <m/>
    <m/>
    <m/>
    <x v="4443"/>
    <m/>
    <m/>
  </r>
  <r>
    <x v="65"/>
    <d v="2024-09-20T00:00:00"/>
    <s v="Cash Rewards Visa Signature - Ending in 5913"/>
    <x v="5006"/>
    <n v="1.99"/>
    <x v="11"/>
    <m/>
    <s v="Exp - Utilities"/>
    <m/>
    <m/>
    <m/>
    <m/>
    <m/>
    <m/>
    <x v="4444"/>
    <m/>
    <m/>
  </r>
  <r>
    <x v="61"/>
    <d v="2024-02-29T00:00:00"/>
    <s v="Powerplus - Ending in 8s30"/>
    <x v="4209"/>
    <n v="-9017.6"/>
    <x v="3"/>
    <m/>
    <s v="Delete"/>
    <m/>
    <m/>
    <m/>
    <m/>
    <m/>
    <m/>
    <x v="3737"/>
    <m/>
    <m/>
  </r>
  <r>
    <x v="61"/>
    <d v="2024-02-29T00:00:00"/>
    <s v="Powerplus - Ending in 8s30"/>
    <x v="4209"/>
    <n v="-2254.4"/>
    <x v="3"/>
    <m/>
    <s v="Delete"/>
    <m/>
    <m/>
    <m/>
    <m/>
    <m/>
    <m/>
    <x v="3737"/>
    <m/>
    <m/>
  </r>
  <r>
    <x v="65"/>
    <d v="2024-09-24T00:00:00"/>
    <s v="American Express"/>
    <x v="5007"/>
    <n v="5.74"/>
    <x v="3"/>
    <m/>
    <s v="Delete"/>
    <m/>
    <m/>
    <m/>
    <m/>
    <m/>
    <m/>
    <x v="4445"/>
    <m/>
    <m/>
  </r>
  <r>
    <x v="65"/>
    <d v="2024-09-20T00:00:00"/>
    <s v="Powerplus - Ending in 8s30"/>
    <x v="1827"/>
    <n v="125"/>
    <x v="8"/>
    <m/>
    <s v="Exp - Shopping"/>
    <m/>
    <m/>
    <m/>
    <m/>
    <m/>
    <m/>
    <x v="1682"/>
    <m/>
    <m/>
  </r>
  <r>
    <x v="23"/>
    <d v="2024-06-05T00:00:00"/>
    <s v="Delta Skymiles Platinum Card ( X ) - Ending in 1007"/>
    <x v="5008"/>
    <n v="13.55"/>
    <x v="3"/>
    <s v="Restaurants"/>
    <s v="Delete"/>
    <m/>
    <m/>
    <m/>
    <m/>
    <m/>
    <m/>
    <x v="4446"/>
    <m/>
    <m/>
  </r>
  <r>
    <x v="65"/>
    <d v="2024-09-21T00:00:00"/>
    <s v="American Express"/>
    <x v="5009"/>
    <n v="21"/>
    <x v="10"/>
    <m/>
    <s v="Exp - Entertainment"/>
    <m/>
    <m/>
    <m/>
    <m/>
    <m/>
    <m/>
    <x v="4447"/>
    <m/>
    <m/>
  </r>
  <r>
    <x v="65"/>
    <d v="2024-09-21T00:00:00"/>
    <s v="American Express"/>
    <x v="5010"/>
    <n v="50"/>
    <x v="2"/>
    <m/>
    <s v="Exp - Transportation"/>
    <m/>
    <m/>
    <m/>
    <m/>
    <m/>
    <m/>
    <x v="4448"/>
    <m/>
    <m/>
  </r>
  <r>
    <x v="65"/>
    <d v="2024-09-21T00:00:00"/>
    <s v="American Express"/>
    <x v="5011"/>
    <n v="19.29"/>
    <x v="1"/>
    <m/>
    <s v="Exp - Restaurants"/>
    <m/>
    <m/>
    <m/>
    <m/>
    <m/>
    <m/>
    <x v="4449"/>
    <m/>
    <m/>
  </r>
  <r>
    <x v="65"/>
    <d v="2024-09-21T00:00:00"/>
    <s v="American Express"/>
    <x v="5012"/>
    <n v="21"/>
    <x v="1"/>
    <m/>
    <s v="Exp - Restaurants"/>
    <m/>
    <m/>
    <m/>
    <m/>
    <m/>
    <m/>
    <x v="4450"/>
    <m/>
    <m/>
  </r>
  <r>
    <x v="65"/>
    <d v="2024-09-21T00:00:00"/>
    <s v="American Express"/>
    <x v="5013"/>
    <n v="76.069999999999993"/>
    <x v="5"/>
    <m/>
    <s v="Exp - Groceries"/>
    <m/>
    <m/>
    <m/>
    <m/>
    <m/>
    <m/>
    <x v="4451"/>
    <m/>
    <m/>
  </r>
  <r>
    <x v="65"/>
    <d v="2024-09-21T00:00:00"/>
    <s v="American Express"/>
    <x v="5014"/>
    <n v="35"/>
    <x v="1"/>
    <m/>
    <s v="Exp - Restaurants"/>
    <m/>
    <m/>
    <m/>
    <m/>
    <m/>
    <m/>
    <x v="4452"/>
    <m/>
    <m/>
  </r>
  <r>
    <x v="65"/>
    <d v="2024-09-21T00:00:00"/>
    <s v="American Express"/>
    <x v="5015"/>
    <n v="4"/>
    <x v="11"/>
    <m/>
    <s v="Exp - Utilities"/>
    <m/>
    <m/>
    <m/>
    <m/>
    <m/>
    <m/>
    <x v="4453"/>
    <m/>
    <m/>
  </r>
  <r>
    <x v="27"/>
    <d v="2024-07-12T00:00:00"/>
    <s v="Delta Skymiles Platinum Card ( X ) - Ending in 1007"/>
    <x v="5016"/>
    <n v="25.53"/>
    <x v="3"/>
    <s v="Groceries"/>
    <s v="Delete"/>
    <m/>
    <m/>
    <m/>
    <m/>
    <m/>
    <m/>
    <x v="4454"/>
    <m/>
    <m/>
  </r>
  <r>
    <x v="65"/>
    <d v="2024-09-21T00:00:00"/>
    <s v="American Express"/>
    <x v="5017"/>
    <n v="26.45"/>
    <x v="1"/>
    <m/>
    <s v="Exp - Restaurants"/>
    <m/>
    <m/>
    <m/>
    <m/>
    <m/>
    <m/>
    <x v="4455"/>
    <m/>
    <m/>
  </r>
  <r>
    <x v="65"/>
    <d v="2024-09-28T00:00:00"/>
    <s v="American Express"/>
    <x v="4978"/>
    <n v="104.17"/>
    <x v="3"/>
    <m/>
    <s v="Delete"/>
    <m/>
    <m/>
    <m/>
    <m/>
    <m/>
    <m/>
    <x v="4418"/>
    <m/>
    <m/>
  </r>
  <r>
    <x v="65"/>
    <d v="2024-09-22T00:00:00"/>
    <s v="American Express"/>
    <x v="5018"/>
    <n v="46.64"/>
    <x v="2"/>
    <m/>
    <s v="Exp - Transportation"/>
    <m/>
    <m/>
    <m/>
    <m/>
    <m/>
    <m/>
    <x v="4456"/>
    <m/>
    <m/>
  </r>
  <r>
    <x v="65"/>
    <d v="2024-09-22T00:00:00"/>
    <s v="American Express"/>
    <x v="4980"/>
    <n v="3.13"/>
    <x v="1"/>
    <m/>
    <s v="Exp - Restaurants"/>
    <m/>
    <m/>
    <m/>
    <m/>
    <m/>
    <m/>
    <x v="4420"/>
    <m/>
    <m/>
  </r>
  <r>
    <x v="65"/>
    <d v="2024-09-22T00:00:00"/>
    <s v="American Express"/>
    <x v="4980"/>
    <n v="3.39"/>
    <x v="1"/>
    <m/>
    <s v="Exp - Restaurants"/>
    <m/>
    <m/>
    <m/>
    <m/>
    <m/>
    <m/>
    <x v="4420"/>
    <m/>
    <m/>
  </r>
  <r>
    <x v="65"/>
    <d v="2024-09-22T00:00:00"/>
    <s v="American Express"/>
    <x v="4980"/>
    <n v="6.79"/>
    <x v="1"/>
    <m/>
    <s v="Exp - Restaurants"/>
    <m/>
    <m/>
    <m/>
    <m/>
    <m/>
    <m/>
    <x v="4420"/>
    <m/>
    <m/>
  </r>
  <r>
    <x v="65"/>
    <d v="2024-09-22T00:00:00"/>
    <s v="American Express"/>
    <x v="4980"/>
    <n v="21.53"/>
    <x v="1"/>
    <m/>
    <s v="Exp - Restaurants"/>
    <m/>
    <m/>
    <m/>
    <m/>
    <m/>
    <m/>
    <x v="4420"/>
    <m/>
    <m/>
  </r>
  <r>
    <x v="65"/>
    <d v="2024-09-22T00:00:00"/>
    <s v="Cash Rewards Visa Signature - Ending in 5913"/>
    <x v="5019"/>
    <n v="11"/>
    <x v="11"/>
    <m/>
    <s v="Exp - Utilities"/>
    <m/>
    <m/>
    <m/>
    <m/>
    <m/>
    <m/>
    <x v="4457"/>
    <m/>
    <m/>
  </r>
  <r>
    <x v="65"/>
    <d v="2024-09-22T00:00:00"/>
    <s v="Powerplus - Ending in 8s30"/>
    <x v="3652"/>
    <n v="-91.08"/>
    <x v="34"/>
    <m/>
    <s v="Inc - Britney"/>
    <m/>
    <m/>
    <m/>
    <m/>
    <m/>
    <m/>
    <x v="3214"/>
    <m/>
    <m/>
  </r>
  <r>
    <x v="65"/>
    <d v="2024-09-22T00:00:00"/>
    <s v="American Express"/>
    <x v="1861"/>
    <n v="118.4"/>
    <x v="34"/>
    <m/>
    <s v="Inc - Britney"/>
    <m/>
    <m/>
    <m/>
    <m/>
    <m/>
    <m/>
    <x v="1715"/>
    <m/>
    <m/>
  </r>
  <r>
    <x v="65"/>
    <d v="2024-09-24T00:00:00"/>
    <s v="American Express"/>
    <x v="5020"/>
    <n v="43.75"/>
    <x v="3"/>
    <m/>
    <s v="Delete"/>
    <m/>
    <m/>
    <m/>
    <m/>
    <m/>
    <m/>
    <x v="4458"/>
    <m/>
    <m/>
  </r>
  <r>
    <x v="63"/>
    <d v="2024-11-24T00:00:00"/>
    <s v="American Express"/>
    <x v="5020"/>
    <n v="52.21"/>
    <x v="3"/>
    <m/>
    <s v="Delete"/>
    <m/>
    <m/>
    <m/>
    <m/>
    <m/>
    <m/>
    <x v="4458"/>
    <m/>
    <m/>
  </r>
  <r>
    <x v="50"/>
    <d v="2024-12-24T00:00:00"/>
    <s v="American Express"/>
    <x v="5020"/>
    <n v="35.29"/>
    <x v="3"/>
    <m/>
    <s v="Delete"/>
    <m/>
    <m/>
    <m/>
    <m/>
    <m/>
    <m/>
    <x v="4458"/>
    <m/>
    <m/>
  </r>
  <r>
    <x v="23"/>
    <d v="2024-06-24T00:00:00"/>
    <s v="Delta Skymiles Platinum Card ( X ) - Ending in 1007"/>
    <x v="5021"/>
    <n v="4.38"/>
    <x v="3"/>
    <s v="Delete - Other Expenses"/>
    <s v="Delete"/>
    <m/>
    <m/>
    <m/>
    <m/>
    <m/>
    <m/>
    <x v="4459"/>
    <m/>
    <m/>
  </r>
  <r>
    <x v="27"/>
    <d v="2024-07-24T00:00:00"/>
    <s v="Delta Skymiles Platinum Card ( X ) - Ending in 1007"/>
    <x v="5021"/>
    <n v="37.93"/>
    <x v="3"/>
    <s v="Delete - Other Expenses"/>
    <s v="Delete"/>
    <m/>
    <m/>
    <m/>
    <m/>
    <m/>
    <m/>
    <x v="4459"/>
    <m/>
    <m/>
  </r>
  <r>
    <x v="62"/>
    <d v="2024-08-24T00:00:00"/>
    <s v="Delta Skymiles Platinum Card ( X ) - Ending in 1007"/>
    <x v="5021"/>
    <n v="21.88"/>
    <x v="3"/>
    <s v="Delete - Other Expenses"/>
    <s v="Delete"/>
    <m/>
    <m/>
    <m/>
    <m/>
    <m/>
    <m/>
    <x v="4459"/>
    <m/>
    <m/>
  </r>
  <r>
    <x v="62"/>
    <d v="2024-08-14T00:00:00"/>
    <s v="Delta Skymiles Platinum Card ( X ) - Ending in 1007"/>
    <x v="5022"/>
    <n v="16.309999999999999"/>
    <x v="3"/>
    <s v="Restaurants"/>
    <s v="Delete"/>
    <m/>
    <m/>
    <m/>
    <m/>
    <m/>
    <m/>
    <x v="4460"/>
    <m/>
    <m/>
  </r>
  <r>
    <x v="65"/>
    <d v="2024-09-22T00:00:00"/>
    <s v="Cash Rewards Visa Signature - Ending in 5913"/>
    <x v="3556"/>
    <n v="16.28"/>
    <x v="1"/>
    <m/>
    <s v="Exp - Restaurants"/>
    <m/>
    <m/>
    <m/>
    <m/>
    <m/>
    <m/>
    <x v="3136"/>
    <m/>
    <m/>
  </r>
  <r>
    <x v="62"/>
    <d v="2024-08-22T00:00:00"/>
    <s v="Cash Rewards Visa Signature - Ending in 5913"/>
    <x v="5023"/>
    <n v="36.29"/>
    <x v="3"/>
    <m/>
    <s v="Delete"/>
    <m/>
    <m/>
    <m/>
    <m/>
    <m/>
    <m/>
    <x v="4461"/>
    <m/>
    <m/>
  </r>
  <r>
    <x v="65"/>
    <d v="2024-09-23T00:00:00"/>
    <s v="Cash Rewards Visa Signature - Ending in 5913"/>
    <x v="4530"/>
    <n v="2447.92"/>
    <x v="24"/>
    <m/>
    <s v="Exp - Travel"/>
    <m/>
    <m/>
    <m/>
    <m/>
    <m/>
    <m/>
    <x v="4018"/>
    <m/>
    <m/>
  </r>
  <r>
    <x v="65"/>
    <d v="2024-09-23T00:00:00"/>
    <s v="Powerplus - Ending in 8s30"/>
    <x v="5024"/>
    <n v="79.739999999999995"/>
    <x v="11"/>
    <m/>
    <s v="Exp - Utilities"/>
    <m/>
    <m/>
    <m/>
    <m/>
    <m/>
    <m/>
    <x v="3287"/>
    <m/>
    <m/>
  </r>
  <r>
    <x v="65"/>
    <d v="2024-09-24T00:00:00"/>
    <s v="American Express"/>
    <x v="5025"/>
    <n v="500"/>
    <x v="4"/>
    <m/>
    <s v="Exp - Day Care"/>
    <m/>
    <m/>
    <m/>
    <m/>
    <m/>
    <m/>
    <x v="4462"/>
    <m/>
    <m/>
  </r>
  <r>
    <x v="23"/>
    <d v="2024-06-14T00:00:00"/>
    <s v="Delta Skymiles Platinum Card ( X ) - Ending in 1007"/>
    <x v="839"/>
    <n v="158.97999999999999"/>
    <x v="3"/>
    <s v="Travel"/>
    <s v="Delete"/>
    <m/>
    <m/>
    <m/>
    <m/>
    <m/>
    <m/>
    <x v="807"/>
    <m/>
    <m/>
  </r>
  <r>
    <x v="65"/>
    <d v="2024-09-24T00:00:00"/>
    <s v="American Express"/>
    <x v="5026"/>
    <n v="14.86"/>
    <x v="2"/>
    <m/>
    <s v="Exp - Transportation"/>
    <m/>
    <m/>
    <m/>
    <m/>
    <m/>
    <m/>
    <x v="4463"/>
    <m/>
    <m/>
  </r>
  <r>
    <x v="23"/>
    <d v="2024-06-15T00:00:00"/>
    <s v="Delta Skymiles Platinum Card ( X ) - Ending in 1007"/>
    <x v="839"/>
    <n v="292.98"/>
    <x v="3"/>
    <s v="Travel"/>
    <s v="Delete"/>
    <m/>
    <m/>
    <m/>
    <m/>
    <m/>
    <m/>
    <x v="807"/>
    <m/>
    <m/>
  </r>
  <r>
    <x v="23"/>
    <d v="2024-06-05T00:00:00"/>
    <s v="Delta Skymiles Platinum Card ( X ) - Ending in 1007"/>
    <x v="5027"/>
    <n v="61.8"/>
    <x v="3"/>
    <s v="Shopping"/>
    <s v="Delete"/>
    <m/>
    <m/>
    <m/>
    <m/>
    <m/>
    <m/>
    <x v="4464"/>
    <m/>
    <m/>
  </r>
  <r>
    <x v="65"/>
    <d v="2024-09-24T00:00:00"/>
    <s v="Powerplus - Ending in 8s30"/>
    <x v="4688"/>
    <n v="380"/>
    <x v="4"/>
    <m/>
    <s v="Exp - Day Care"/>
    <m/>
    <m/>
    <m/>
    <m/>
    <m/>
    <m/>
    <x v="4153"/>
    <m/>
    <m/>
  </r>
  <r>
    <x v="62"/>
    <d v="2024-08-01T00:00:00"/>
    <s v="Delta Skymiles Platinum Card ( X ) - Ending in 1007"/>
    <x v="579"/>
    <n v="6.79"/>
    <x v="3"/>
    <s v="Restaurants"/>
    <s v="Delete"/>
    <m/>
    <m/>
    <m/>
    <m/>
    <m/>
    <m/>
    <x v="560"/>
    <m/>
    <m/>
  </r>
  <r>
    <x v="65"/>
    <d v="2024-09-24T00:00:00"/>
    <s v="Powerplus - Ending in 8s30"/>
    <x v="3840"/>
    <n v="76.11"/>
    <x v="8"/>
    <m/>
    <s v="Exp - Shopping"/>
    <m/>
    <m/>
    <m/>
    <m/>
    <m/>
    <m/>
    <x v="3391"/>
    <m/>
    <m/>
  </r>
  <r>
    <x v="44"/>
    <d v="2024-01-22T00:00:00"/>
    <s v="Delta Skymiles Platinum Card - Ending in 1007"/>
    <x v="3860"/>
    <n v="17"/>
    <x v="3"/>
    <s v="Travel"/>
    <m/>
    <m/>
    <m/>
    <m/>
    <m/>
    <m/>
    <m/>
    <x v="3411"/>
    <m/>
    <m/>
  </r>
  <r>
    <x v="65"/>
    <d v="2024-09-26T00:00:00"/>
    <s v="American Express"/>
    <x v="5028"/>
    <n v="85.27"/>
    <x v="3"/>
    <m/>
    <s v="Delete"/>
    <m/>
    <m/>
    <m/>
    <m/>
    <m/>
    <m/>
    <x v="4465"/>
    <m/>
    <m/>
  </r>
  <r>
    <x v="65"/>
    <d v="2024-09-24T00:00:00"/>
    <s v="American Express"/>
    <x v="5029"/>
    <n v="49.95"/>
    <x v="5"/>
    <m/>
    <s v="Exp - Groceries"/>
    <m/>
    <m/>
    <m/>
    <m/>
    <m/>
    <m/>
    <x v="4466"/>
    <m/>
    <m/>
  </r>
  <r>
    <x v="65"/>
    <d v="2024-09-19T00:00:00"/>
    <s v="American Express"/>
    <x v="5030"/>
    <n v="5.33"/>
    <x v="3"/>
    <m/>
    <s v="Delete"/>
    <m/>
    <m/>
    <m/>
    <m/>
    <m/>
    <m/>
    <x v="4467"/>
    <m/>
    <m/>
  </r>
  <r>
    <x v="65"/>
    <d v="2024-09-25T00:00:00"/>
    <s v="American Express"/>
    <x v="5031"/>
    <n v="10.3"/>
    <x v="5"/>
    <m/>
    <s v="Exp - Groceries"/>
    <m/>
    <m/>
    <m/>
    <m/>
    <m/>
    <m/>
    <x v="4468"/>
    <m/>
    <m/>
  </r>
  <r>
    <x v="64"/>
    <d v="2024-04-08T00:00:00"/>
    <s v="Powerplus - Ending in 8s30"/>
    <x v="5032"/>
    <n v="3329"/>
    <x v="3"/>
    <m/>
    <s v="Delete"/>
    <m/>
    <m/>
    <m/>
    <m/>
    <m/>
    <m/>
    <x v="4469"/>
    <m/>
    <m/>
  </r>
  <r>
    <x v="65"/>
    <d v="2024-09-09T00:00:00"/>
    <s v="Delta Skymiles Platinum Card ( X ) - Ending in 1015"/>
    <x v="5033"/>
    <n v="30"/>
    <x v="3"/>
    <m/>
    <s v="Delete"/>
    <m/>
    <m/>
    <m/>
    <m/>
    <m/>
    <m/>
    <x v="4470"/>
    <m/>
    <m/>
  </r>
  <r>
    <x v="65"/>
    <d v="2024-09-25T00:00:00"/>
    <s v="Powerplus - Ending in 8s30"/>
    <x v="308"/>
    <n v="583.80999999999995"/>
    <x v="8"/>
    <m/>
    <s v="Exp - Shopping"/>
    <m/>
    <m/>
    <m/>
    <m/>
    <m/>
    <m/>
    <x v="300"/>
    <m/>
    <m/>
  </r>
  <r>
    <x v="65"/>
    <d v="2024-09-17T00:00:00"/>
    <s v="American Express"/>
    <x v="5034"/>
    <n v="13.06"/>
    <x v="3"/>
    <m/>
    <s v="Delete"/>
    <m/>
    <m/>
    <m/>
    <m/>
    <m/>
    <m/>
    <x v="4471"/>
    <m/>
    <m/>
  </r>
  <r>
    <x v="65"/>
    <d v="2024-09-26T00:00:00"/>
    <s v="Powerplus - Ending in 8s30"/>
    <x v="1893"/>
    <n v="-3710.99"/>
    <x v="34"/>
    <m/>
    <s v="Inc - Britney"/>
    <m/>
    <m/>
    <m/>
    <m/>
    <m/>
    <m/>
    <x v="1746"/>
    <m/>
    <m/>
  </r>
  <r>
    <x v="65"/>
    <d v="2024-09-02T00:00:00"/>
    <s v="Cash Rewards Visa Signature - Ending in 5913"/>
    <x v="5035"/>
    <n v="55.49"/>
    <x v="3"/>
    <m/>
    <s v="Delete"/>
    <m/>
    <m/>
    <m/>
    <m/>
    <m/>
    <m/>
    <x v="4472"/>
    <m/>
    <m/>
  </r>
  <r>
    <x v="25"/>
    <d v="2024-05-03T00:00:00"/>
    <s v="Delta Skymiles Platinum Card ( X ) - Ending in 1007"/>
    <x v="5036"/>
    <n v="247.64"/>
    <x v="3"/>
    <s v="Travel"/>
    <s v="Delete"/>
    <m/>
    <m/>
    <m/>
    <m/>
    <m/>
    <m/>
    <x v="4473"/>
    <m/>
    <m/>
  </r>
  <r>
    <x v="65"/>
    <d v="2024-09-26T00:00:00"/>
    <s v="Powerplus - Ending in 8s30"/>
    <x v="3734"/>
    <n v="472.05"/>
    <x v="12"/>
    <m/>
    <s v="Exp - Target"/>
    <m/>
    <m/>
    <m/>
    <m/>
    <m/>
    <m/>
    <x v="3293"/>
    <m/>
    <m/>
  </r>
  <r>
    <x v="63"/>
    <d v="2024-11-20T00:00:00"/>
    <s v="Cash Rewards Visa Signature - Ending in 5913"/>
    <x v="5037"/>
    <n v="172.12"/>
    <x v="3"/>
    <m/>
    <s v="Delete"/>
    <m/>
    <m/>
    <m/>
    <m/>
    <m/>
    <m/>
    <x v="4474"/>
    <m/>
    <m/>
  </r>
  <r>
    <x v="63"/>
    <d v="2024-11-21T00:00:00"/>
    <s v="Cash Rewards Visa Signature - Ending in 5913"/>
    <x v="5037"/>
    <n v="7.43"/>
    <x v="3"/>
    <m/>
    <s v="Delete"/>
    <m/>
    <m/>
    <m/>
    <m/>
    <m/>
    <m/>
    <x v="4474"/>
    <m/>
    <m/>
  </r>
  <r>
    <x v="65"/>
    <d v="2024-09-26T00:00:00"/>
    <s v="Powerplus - Ending in 8s30"/>
    <x v="3729"/>
    <n v="800"/>
    <x v="21"/>
    <m/>
    <s v="Sav - Savings"/>
    <m/>
    <m/>
    <m/>
    <m/>
    <m/>
    <m/>
    <x v="3289"/>
    <m/>
    <m/>
  </r>
  <r>
    <x v="65"/>
    <d v="2024-09-27T00:00:00"/>
    <s v="American Express"/>
    <x v="5038"/>
    <n v="14.01"/>
    <x v="1"/>
    <m/>
    <s v="Exp - Restaurants"/>
    <m/>
    <m/>
    <m/>
    <m/>
    <m/>
    <m/>
    <x v="4475"/>
    <m/>
    <m/>
  </r>
  <r>
    <x v="65"/>
    <d v="2024-09-27T00:00:00"/>
    <s v="American Express"/>
    <x v="5039"/>
    <n v="17.2"/>
    <x v="1"/>
    <m/>
    <s v="Exp - Restaurants"/>
    <m/>
    <m/>
    <m/>
    <m/>
    <m/>
    <m/>
    <x v="4476"/>
    <m/>
    <m/>
  </r>
  <r>
    <x v="65"/>
    <d v="2024-09-27T00:00:00"/>
    <s v="American Express"/>
    <x v="5040"/>
    <n v="117.15"/>
    <x v="1"/>
    <m/>
    <s v="Exp - Restaurants"/>
    <m/>
    <m/>
    <m/>
    <m/>
    <m/>
    <m/>
    <x v="4477"/>
    <m/>
    <m/>
  </r>
  <r>
    <x v="65"/>
    <d v="2024-09-27T00:00:00"/>
    <s v="American Express"/>
    <x v="4985"/>
    <n v="127.86"/>
    <x v="5"/>
    <m/>
    <s v="Exp - Groceries"/>
    <m/>
    <m/>
    <m/>
    <m/>
    <m/>
    <m/>
    <x v="4424"/>
    <m/>
    <m/>
  </r>
  <r>
    <x v="65"/>
    <d v="2024-09-27T00:00:00"/>
    <s v="Powerplus - Ending in 8s30"/>
    <x v="1849"/>
    <n v="21.25"/>
    <x v="8"/>
    <m/>
    <s v="Exp - Shopping"/>
    <m/>
    <m/>
    <m/>
    <m/>
    <m/>
    <m/>
    <x v="1704"/>
    <m/>
    <m/>
  </r>
  <r>
    <x v="65"/>
    <d v="2024-09-27T00:00:00"/>
    <s v="Cash Rewards Visa Signature - Ending in 5913"/>
    <x v="1941"/>
    <n v="15.55"/>
    <x v="2"/>
    <m/>
    <s v="Exp - Transportation"/>
    <m/>
    <m/>
    <m/>
    <m/>
    <m/>
    <m/>
    <x v="1794"/>
    <m/>
    <m/>
  </r>
  <r>
    <x v="65"/>
    <d v="2024-09-28T00:00:00"/>
    <s v="American Express"/>
    <x v="57"/>
    <n v="134.18"/>
    <x v="5"/>
    <m/>
    <s v="Exp - Groceries"/>
    <m/>
    <m/>
    <m/>
    <m/>
    <m/>
    <m/>
    <x v="57"/>
    <m/>
    <m/>
  </r>
  <r>
    <x v="65"/>
    <d v="2024-09-28T00:00:00"/>
    <s v="American Express"/>
    <x v="5041"/>
    <n v="126.52"/>
    <x v="5"/>
    <m/>
    <s v="Exp - Groceries"/>
    <m/>
    <m/>
    <m/>
    <m/>
    <m/>
    <m/>
    <x v="4478"/>
    <m/>
    <m/>
  </r>
  <r>
    <x v="65"/>
    <d v="2024-09-28T00:00:00"/>
    <s v="American Express"/>
    <x v="5042"/>
    <n v="38.35"/>
    <x v="5"/>
    <m/>
    <s v="Exp - Groceries"/>
    <m/>
    <m/>
    <m/>
    <m/>
    <m/>
    <m/>
    <x v="4479"/>
    <m/>
    <m/>
  </r>
  <r>
    <x v="65"/>
    <d v="2024-09-28T00:00:00"/>
    <s v="American Express"/>
    <x v="5043"/>
    <n v="538.69000000000005"/>
    <x v="24"/>
    <m/>
    <s v="Exp - Travel"/>
    <m/>
    <m/>
    <m/>
    <m/>
    <m/>
    <m/>
    <x v="4480"/>
    <m/>
    <m/>
  </r>
  <r>
    <x v="65"/>
    <d v="2024-09-28T00:00:00"/>
    <s v="American Express"/>
    <x v="5044"/>
    <n v="21.19"/>
    <x v="1"/>
    <m/>
    <s v="Exp - Restaurants"/>
    <m/>
    <m/>
    <m/>
    <m/>
    <m/>
    <m/>
    <x v="4481"/>
    <m/>
    <m/>
  </r>
  <r>
    <x v="63"/>
    <d v="2024-11-22T00:00:00"/>
    <s v="Cash Rewards Visa Signature - Ending in 5913"/>
    <x v="5045"/>
    <n v="3.82"/>
    <x v="3"/>
    <m/>
    <s v="Delete"/>
    <m/>
    <m/>
    <m/>
    <m/>
    <m/>
    <m/>
    <x v="4482"/>
    <m/>
    <m/>
  </r>
  <r>
    <x v="65"/>
    <d v="2024-09-28T00:00:00"/>
    <s v="American Express"/>
    <x v="5046"/>
    <n v="10.31"/>
    <x v="1"/>
    <m/>
    <s v="Exp - Restaurants"/>
    <m/>
    <m/>
    <m/>
    <m/>
    <m/>
    <m/>
    <x v="4483"/>
    <m/>
    <m/>
  </r>
  <r>
    <x v="65"/>
    <d v="2024-09-29T00:00:00"/>
    <s v="American Express"/>
    <x v="5047"/>
    <n v="44.99"/>
    <x v="1"/>
    <m/>
    <s v="Exp - Restaurants"/>
    <m/>
    <m/>
    <m/>
    <m/>
    <m/>
    <m/>
    <x v="4484"/>
    <m/>
    <m/>
  </r>
  <r>
    <x v="65"/>
    <d v="2024-09-29T00:00:00"/>
    <s v="Cash Rewards Visa Signature - Ending in 5913"/>
    <x v="255"/>
    <n v="283.56"/>
    <x v="5"/>
    <m/>
    <s v="Exp - Groceries"/>
    <m/>
    <m/>
    <m/>
    <m/>
    <m/>
    <m/>
    <x v="253"/>
    <m/>
    <m/>
  </r>
  <r>
    <x v="65"/>
    <d v="2024-09-29T00:00:00"/>
    <s v="Cash Rewards Visa Signature - Ending in 5913"/>
    <x v="4158"/>
    <n v="30.84"/>
    <x v="2"/>
    <m/>
    <s v="Exp - Transportation"/>
    <m/>
    <m/>
    <m/>
    <m/>
    <m/>
    <m/>
    <x v="3690"/>
    <m/>
    <m/>
  </r>
  <r>
    <x v="65"/>
    <d v="2024-09-29T00:00:00"/>
    <s v="American Express"/>
    <x v="5048"/>
    <n v="102.54"/>
    <x v="10"/>
    <m/>
    <s v="Exp - Entertainment"/>
    <m/>
    <m/>
    <m/>
    <m/>
    <m/>
    <m/>
    <x v="4485"/>
    <m/>
    <m/>
  </r>
  <r>
    <x v="65"/>
    <d v="2024-09-29T00:00:00"/>
    <s v="Powerplus - Ending in 8s30"/>
    <x v="3684"/>
    <n v="-3238.06"/>
    <x v="57"/>
    <m/>
    <s v="Inc - Jeff"/>
    <m/>
    <m/>
    <m/>
    <m/>
    <m/>
    <m/>
    <x v="3245"/>
    <m/>
    <m/>
  </r>
  <r>
    <x v="65"/>
    <d v="2024-09-29T00:00:00"/>
    <s v="American Express"/>
    <x v="5049"/>
    <n v="43.01"/>
    <x v="1"/>
    <m/>
    <s v="Exp - Restaurants"/>
    <m/>
    <m/>
    <m/>
    <m/>
    <m/>
    <m/>
    <x v="4486"/>
    <m/>
    <m/>
  </r>
  <r>
    <x v="65"/>
    <d v="2024-09-29T00:00:00"/>
    <s v="Cash Rewards Visa Signature - Ending in 5913"/>
    <x v="55"/>
    <n v="2.16"/>
    <x v="8"/>
    <m/>
    <s v="Exp - Shopping"/>
    <m/>
    <m/>
    <m/>
    <m/>
    <m/>
    <m/>
    <x v="55"/>
    <m/>
    <m/>
  </r>
  <r>
    <x v="65"/>
    <d v="2024-09-29T00:00:00"/>
    <s v="Cash Rewards Visa Signature - Ending in 5913"/>
    <x v="55"/>
    <n v="75.290000000000006"/>
    <x v="8"/>
    <m/>
    <s v="Exp - Shopping"/>
    <m/>
    <m/>
    <m/>
    <m/>
    <m/>
    <m/>
    <x v="55"/>
    <m/>
    <m/>
  </r>
  <r>
    <x v="63"/>
    <d v="2024-11-22T00:00:00"/>
    <s v="American Express"/>
    <x v="5050"/>
    <n v="896.7"/>
    <x v="3"/>
    <m/>
    <s v="Delete"/>
    <m/>
    <m/>
    <m/>
    <m/>
    <m/>
    <m/>
    <x v="4487"/>
    <m/>
    <m/>
  </r>
  <r>
    <x v="65"/>
    <d v="2024-09-30T00:00:00"/>
    <s v="Powerplus - Ending in 8s30"/>
    <x v="3693"/>
    <n v="52.91"/>
    <x v="16"/>
    <m/>
    <s v="Exp - Insurance"/>
    <m/>
    <m/>
    <m/>
    <m/>
    <m/>
    <m/>
    <x v="3254"/>
    <m/>
    <m/>
  </r>
  <r>
    <x v="65"/>
    <d v="2024-09-30T00:00:00"/>
    <s v="Powerplus - Ending in 8s30"/>
    <x v="1849"/>
    <n v="0.99"/>
    <x v="8"/>
    <m/>
    <s v="Exp - Shopping"/>
    <m/>
    <m/>
    <m/>
    <m/>
    <m/>
    <m/>
    <x v="1704"/>
    <m/>
    <m/>
  </r>
  <r>
    <x v="65"/>
    <d v="2024-09-30T00:00:00"/>
    <s v="Cash Rewards Visa Signature - Ending in 5913"/>
    <x v="1941"/>
    <n v="73.349999999999994"/>
    <x v="2"/>
    <m/>
    <s v="Exp - Transportation"/>
    <m/>
    <m/>
    <m/>
    <m/>
    <m/>
    <m/>
    <x v="1794"/>
    <m/>
    <m/>
  </r>
  <r>
    <x v="49"/>
    <d v="2024-10-01T00:00:00"/>
    <s v="Cash Rewards Visa Signature - Ending in 5913"/>
    <x v="5051"/>
    <n v="6.49"/>
    <x v="0"/>
    <m/>
    <s v="Exp - Amazon"/>
    <m/>
    <m/>
    <m/>
    <m/>
    <m/>
    <m/>
    <x v="4488"/>
    <m/>
    <m/>
  </r>
  <r>
    <x v="49"/>
    <d v="2024-10-01T00:00:00"/>
    <s v="Cash Rewards Visa Signature - Ending in 5913"/>
    <x v="3472"/>
    <n v="15"/>
    <x v="4"/>
    <m/>
    <s v="Exp - Day Care"/>
    <m/>
    <m/>
    <m/>
    <m/>
    <m/>
    <m/>
    <x v="3063"/>
    <m/>
    <m/>
  </r>
  <r>
    <x v="49"/>
    <d v="2024-10-01T00:00:00"/>
    <s v="Powerplus - Ending in 8s30"/>
    <x v="4688"/>
    <n v="400"/>
    <x v="4"/>
    <m/>
    <s v="Exp - Day Care"/>
    <m/>
    <m/>
    <m/>
    <m/>
    <m/>
    <m/>
    <x v="4153"/>
    <m/>
    <m/>
  </r>
  <r>
    <x v="50"/>
    <d v="2024-12-29T00:00:00"/>
    <s v="American Express"/>
    <x v="5050"/>
    <n v="631.72"/>
    <x v="3"/>
    <m/>
    <s v="Delete"/>
    <m/>
    <m/>
    <m/>
    <m/>
    <m/>
    <m/>
    <x v="4487"/>
    <m/>
    <m/>
  </r>
  <r>
    <x v="49"/>
    <d v="2024-10-01T00:00:00"/>
    <s v="Powerplus - Ending in 8s30"/>
    <x v="4407"/>
    <n v="370.98"/>
    <x v="11"/>
    <m/>
    <s v="Exp - Utilities"/>
    <m/>
    <m/>
    <m/>
    <m/>
    <m/>
    <m/>
    <x v="3913"/>
    <m/>
    <m/>
  </r>
  <r>
    <x v="49"/>
    <d v="2024-10-01T00:00:00"/>
    <s v="Powerplus - Ending in 8s30"/>
    <x v="1844"/>
    <n v="2745.43"/>
    <x v="6"/>
    <m/>
    <s v="Exp - Rent"/>
    <m/>
    <m/>
    <m/>
    <m/>
    <m/>
    <m/>
    <x v="1699"/>
    <m/>
    <m/>
  </r>
  <r>
    <x v="49"/>
    <d v="2024-10-01T00:00:00"/>
    <s v="American Express"/>
    <x v="5052"/>
    <n v="132"/>
    <x v="8"/>
    <m/>
    <s v="Exp - Shopping"/>
    <m/>
    <m/>
    <m/>
    <m/>
    <m/>
    <m/>
    <x v="4489"/>
    <m/>
    <m/>
  </r>
  <r>
    <x v="62"/>
    <d v="2024-08-21T00:00:00"/>
    <s v="Cash Rewards Visa Signature - Ending in 5913"/>
    <x v="5053"/>
    <n v="15.47"/>
    <x v="3"/>
    <m/>
    <s v="Delete"/>
    <m/>
    <m/>
    <m/>
    <m/>
    <m/>
    <m/>
    <x v="4490"/>
    <m/>
    <m/>
  </r>
  <r>
    <x v="49"/>
    <d v="2024-10-01T00:00:00"/>
    <s v="Powerplus - Ending in 8s30"/>
    <x v="1849"/>
    <n v="91.57"/>
    <x v="8"/>
    <m/>
    <s v="Exp - Shopping"/>
    <m/>
    <m/>
    <m/>
    <m/>
    <m/>
    <m/>
    <x v="1704"/>
    <m/>
    <m/>
  </r>
  <r>
    <x v="49"/>
    <d v="2024-10-01T00:00:00"/>
    <s v="Powerplus - Ending in 8s30"/>
    <x v="5054"/>
    <n v="650"/>
    <x v="9"/>
    <m/>
    <s v="Sav - College Savings"/>
    <m/>
    <m/>
    <m/>
    <m/>
    <m/>
    <m/>
    <x v="4491"/>
    <m/>
    <m/>
  </r>
  <r>
    <x v="49"/>
    <d v="2024-10-02T00:00:00"/>
    <s v="American Express"/>
    <x v="5055"/>
    <n v="222.07"/>
    <x v="10"/>
    <m/>
    <s v="Exp - Entertainment"/>
    <m/>
    <m/>
    <m/>
    <m/>
    <m/>
    <m/>
    <x v="4492"/>
    <m/>
    <m/>
  </r>
  <r>
    <x v="63"/>
    <d v="2024-11-19T00:00:00"/>
    <s v="Cash Rewards Visa Signature - Ending in 5913"/>
    <x v="5056"/>
    <n v="28.66"/>
    <x v="3"/>
    <m/>
    <s v="Delete"/>
    <m/>
    <m/>
    <m/>
    <m/>
    <m/>
    <m/>
    <x v="4493"/>
    <m/>
    <m/>
  </r>
  <r>
    <x v="63"/>
    <d v="2024-11-22T00:00:00"/>
    <s v="Cash Rewards Visa Signature - Ending in 5913"/>
    <x v="5057"/>
    <n v="15.39"/>
    <x v="3"/>
    <m/>
    <s v="Delete"/>
    <m/>
    <m/>
    <m/>
    <m/>
    <m/>
    <m/>
    <x v="4494"/>
    <m/>
    <m/>
  </r>
  <r>
    <x v="49"/>
    <d v="2024-10-02T00:00:00"/>
    <s v="Powerplus - Ending in 8s30"/>
    <x v="5058"/>
    <n v="104.58"/>
    <x v="11"/>
    <m/>
    <s v="Exp - Utilities"/>
    <m/>
    <m/>
    <m/>
    <m/>
    <m/>
    <m/>
    <x v="3912"/>
    <m/>
    <m/>
  </r>
  <r>
    <x v="63"/>
    <d v="2024-11-22T00:00:00"/>
    <s v="Cash Rewards Visa Signature - Ending in 5913"/>
    <x v="5059"/>
    <n v="36.979999999999997"/>
    <x v="3"/>
    <m/>
    <s v="Delete"/>
    <m/>
    <m/>
    <m/>
    <m/>
    <m/>
    <m/>
    <x v="4495"/>
    <m/>
    <m/>
  </r>
  <r>
    <x v="49"/>
    <d v="2024-10-03T00:00:00"/>
    <s v="Cash Rewards Visa Signature - Ending in 5913"/>
    <x v="4694"/>
    <n v="19.82"/>
    <x v="1"/>
    <m/>
    <s v="Exp - Restaurants"/>
    <m/>
    <m/>
    <m/>
    <m/>
    <m/>
    <m/>
    <x v="4157"/>
    <m/>
    <m/>
  </r>
  <r>
    <x v="49"/>
    <d v="2024-10-04T00:00:00"/>
    <s v="American Express"/>
    <x v="5060"/>
    <n v="25"/>
    <x v="4"/>
    <m/>
    <s v="Exp - Day Care"/>
    <m/>
    <m/>
    <m/>
    <m/>
    <m/>
    <m/>
    <x v="4496"/>
    <m/>
    <m/>
  </r>
  <r>
    <x v="49"/>
    <d v="2024-10-04T00:00:00"/>
    <s v="American Express"/>
    <x v="5061"/>
    <n v="21.17"/>
    <x v="1"/>
    <m/>
    <s v="Exp - Restaurants"/>
    <m/>
    <m/>
    <m/>
    <m/>
    <m/>
    <m/>
    <x v="4497"/>
    <m/>
    <m/>
  </r>
  <r>
    <x v="49"/>
    <d v="2024-10-04T00:00:00"/>
    <s v="American Express"/>
    <x v="4976"/>
    <n v="111"/>
    <x v="10"/>
    <m/>
    <s v="Exp - Entertainment"/>
    <m/>
    <m/>
    <m/>
    <m/>
    <m/>
    <m/>
    <x v="4416"/>
    <m/>
    <m/>
  </r>
  <r>
    <x v="49"/>
    <d v="2024-10-04T00:00:00"/>
    <s v="American Express"/>
    <x v="4985"/>
    <n v="109.88"/>
    <x v="5"/>
    <m/>
    <s v="Exp - Groceries"/>
    <m/>
    <m/>
    <m/>
    <m/>
    <m/>
    <m/>
    <x v="4424"/>
    <m/>
    <m/>
  </r>
  <r>
    <x v="49"/>
    <d v="2024-10-04T00:00:00"/>
    <s v="American Express"/>
    <x v="5062"/>
    <n v="41.5"/>
    <x v="1"/>
    <m/>
    <s v="Exp - Restaurants"/>
    <m/>
    <m/>
    <m/>
    <m/>
    <m/>
    <m/>
    <x v="4498"/>
    <m/>
    <m/>
  </r>
  <r>
    <x v="49"/>
    <d v="2024-10-05T00:00:00"/>
    <s v="American Express"/>
    <x v="5063"/>
    <n v="162"/>
    <x v="8"/>
    <m/>
    <s v="Exp - Shopping"/>
    <m/>
    <m/>
    <m/>
    <m/>
    <m/>
    <m/>
    <x v="4499"/>
    <m/>
    <m/>
  </r>
  <r>
    <x v="49"/>
    <d v="2024-10-05T00:00:00"/>
    <s v="American Express"/>
    <x v="5064"/>
    <n v="39.18"/>
    <x v="5"/>
    <m/>
    <s v="Exp - Groceries"/>
    <m/>
    <m/>
    <m/>
    <m/>
    <m/>
    <m/>
    <x v="4500"/>
    <m/>
    <m/>
  </r>
  <r>
    <x v="49"/>
    <d v="2024-10-05T00:00:00"/>
    <s v="American Express"/>
    <x v="5065"/>
    <n v="15"/>
    <x v="8"/>
    <m/>
    <s v="Exp - Shopping"/>
    <m/>
    <m/>
    <m/>
    <m/>
    <m/>
    <m/>
    <x v="4501"/>
    <m/>
    <m/>
  </r>
  <r>
    <x v="49"/>
    <d v="2024-10-05T00:00:00"/>
    <s v="Manual"/>
    <x v="1850"/>
    <n v="250"/>
    <x v="56"/>
    <m/>
    <s v="Exp - Cleaning"/>
    <m/>
    <m/>
    <m/>
    <m/>
    <m/>
    <m/>
    <x v="1705"/>
    <m/>
    <m/>
  </r>
  <r>
    <x v="49"/>
    <d v="2024-10-05T00:00:00"/>
    <s v="American Express"/>
    <x v="5066"/>
    <n v="276"/>
    <x v="8"/>
    <m/>
    <s v="Exp - Shopping"/>
    <m/>
    <m/>
    <m/>
    <m/>
    <m/>
    <m/>
    <x v="4502"/>
    <m/>
    <m/>
  </r>
  <r>
    <x v="49"/>
    <d v="2024-10-05T00:00:00"/>
    <s v="American Express"/>
    <x v="4992"/>
    <n v="35.159999999999997"/>
    <x v="19"/>
    <m/>
    <s v="Exp - House Maint"/>
    <m/>
    <m/>
    <m/>
    <m/>
    <m/>
    <m/>
    <x v="4431"/>
    <m/>
    <m/>
  </r>
  <r>
    <x v="49"/>
    <d v="2024-10-05T00:00:00"/>
    <s v="American Express"/>
    <x v="4992"/>
    <n v="175.27"/>
    <x v="19"/>
    <m/>
    <s v="Exp - House Maint"/>
    <m/>
    <m/>
    <m/>
    <m/>
    <m/>
    <m/>
    <x v="4431"/>
    <m/>
    <m/>
  </r>
  <r>
    <x v="49"/>
    <d v="2024-10-05T00:00:00"/>
    <s v="American Express"/>
    <x v="5067"/>
    <n v="106.74"/>
    <x v="1"/>
    <m/>
    <s v="Exp - Restaurants"/>
    <m/>
    <m/>
    <m/>
    <m/>
    <m/>
    <m/>
    <x v="4503"/>
    <m/>
    <m/>
  </r>
  <r>
    <x v="49"/>
    <d v="2024-10-06T00:00:00"/>
    <s v="American Express"/>
    <x v="5041"/>
    <n v="52.45"/>
    <x v="5"/>
    <m/>
    <s v="Exp - Groceries"/>
    <m/>
    <m/>
    <m/>
    <m/>
    <m/>
    <m/>
    <x v="4478"/>
    <m/>
    <m/>
  </r>
  <r>
    <x v="49"/>
    <d v="2024-10-06T00:00:00"/>
    <s v="American Express"/>
    <x v="5068"/>
    <n v="27.34"/>
    <x v="2"/>
    <m/>
    <s v="Exp - Transportation"/>
    <m/>
    <m/>
    <m/>
    <m/>
    <m/>
    <m/>
    <x v="4504"/>
    <m/>
    <m/>
  </r>
  <r>
    <x v="49"/>
    <d v="2024-10-06T00:00:00"/>
    <s v="American Express"/>
    <x v="5069"/>
    <n v="19.97"/>
    <x v="8"/>
    <m/>
    <s v="Exp - Shopping"/>
    <m/>
    <m/>
    <m/>
    <m/>
    <m/>
    <m/>
    <x v="4505"/>
    <m/>
    <m/>
  </r>
  <r>
    <x v="49"/>
    <d v="2024-10-06T00:00:00"/>
    <s v="American Express"/>
    <x v="4992"/>
    <n v="-12"/>
    <x v="19"/>
    <m/>
    <s v="Exp - House Maint"/>
    <m/>
    <m/>
    <m/>
    <m/>
    <m/>
    <m/>
    <x v="4431"/>
    <m/>
    <m/>
  </r>
  <r>
    <x v="49"/>
    <d v="2024-10-07T00:00:00"/>
    <s v="Cash Rewards Visa Signature - Ending in 5913"/>
    <x v="1895"/>
    <n v="-28.99"/>
    <x v="0"/>
    <m/>
    <s v="Exp - Amazon"/>
    <m/>
    <m/>
    <m/>
    <m/>
    <m/>
    <m/>
    <x v="1748"/>
    <m/>
    <m/>
  </r>
  <r>
    <x v="49"/>
    <d v="2024-10-07T00:00:00"/>
    <s v="American Express"/>
    <x v="5070"/>
    <n v="98"/>
    <x v="8"/>
    <m/>
    <s v="Exp - Shopping"/>
    <m/>
    <m/>
    <m/>
    <m/>
    <m/>
    <m/>
    <x v="4506"/>
    <m/>
    <m/>
  </r>
  <r>
    <x v="49"/>
    <d v="2024-10-07T00:00:00"/>
    <s v="American Express"/>
    <x v="5070"/>
    <n v="306"/>
    <x v="8"/>
    <m/>
    <s v="Exp - Shopping"/>
    <m/>
    <m/>
    <m/>
    <m/>
    <m/>
    <m/>
    <x v="4506"/>
    <m/>
    <m/>
  </r>
  <r>
    <x v="49"/>
    <d v="2024-10-07T00:00:00"/>
    <s v="American Express"/>
    <x v="5071"/>
    <n v="130"/>
    <x v="8"/>
    <m/>
    <s v="Exp - Shopping"/>
    <m/>
    <m/>
    <m/>
    <m/>
    <m/>
    <m/>
    <x v="4507"/>
    <m/>
    <m/>
  </r>
  <r>
    <x v="49"/>
    <d v="2024-10-08T00:00:00"/>
    <s v="Powerplus - Ending in 8s30"/>
    <x v="4688"/>
    <n v="380"/>
    <x v="4"/>
    <m/>
    <s v="Exp - Day Care"/>
    <m/>
    <m/>
    <m/>
    <m/>
    <m/>
    <m/>
    <x v="4153"/>
    <m/>
    <m/>
  </r>
  <r>
    <x v="49"/>
    <d v="2024-10-09T00:00:00"/>
    <s v="American Express"/>
    <x v="5072"/>
    <n v="46.85"/>
    <x v="5"/>
    <m/>
    <s v="Exp - Groceries"/>
    <m/>
    <m/>
    <m/>
    <m/>
    <m/>
    <m/>
    <x v="4508"/>
    <m/>
    <m/>
  </r>
  <r>
    <x v="49"/>
    <d v="2024-10-09T00:00:00"/>
    <s v="Powerplus - Ending in 8s30"/>
    <x v="1869"/>
    <n v="173.3"/>
    <x v="11"/>
    <m/>
    <s v="Exp - Utilities"/>
    <m/>
    <m/>
    <m/>
    <m/>
    <m/>
    <m/>
    <x v="1723"/>
    <m/>
    <m/>
  </r>
  <r>
    <x v="49"/>
    <d v="2024-10-09T00:00:00"/>
    <s v="American Express"/>
    <x v="5073"/>
    <n v="417.75"/>
    <x v="29"/>
    <m/>
    <s v="Exp - Gifts"/>
    <m/>
    <m/>
    <m/>
    <m/>
    <m/>
    <m/>
    <x v="4509"/>
    <m/>
    <m/>
  </r>
  <r>
    <x v="49"/>
    <d v="2024-10-10T00:00:00"/>
    <s v="American Express"/>
    <x v="5070"/>
    <n v="323.94"/>
    <x v="8"/>
    <m/>
    <s v="Exp - Shopping"/>
    <m/>
    <m/>
    <m/>
    <m/>
    <m/>
    <m/>
    <x v="4506"/>
    <m/>
    <m/>
  </r>
  <r>
    <x v="49"/>
    <d v="2024-10-10T00:00:00"/>
    <s v="American Express"/>
    <x v="5074"/>
    <n v="61"/>
    <x v="4"/>
    <m/>
    <s v="Exp - Day Care"/>
    <m/>
    <m/>
    <m/>
    <m/>
    <m/>
    <m/>
    <x v="4510"/>
    <m/>
    <m/>
  </r>
  <r>
    <x v="65"/>
    <d v="2024-09-26T00:00:00"/>
    <s v="American Express"/>
    <x v="5075"/>
    <n v="36.630000000000003"/>
    <x v="3"/>
    <m/>
    <s v="Delete"/>
    <m/>
    <m/>
    <m/>
    <m/>
    <m/>
    <m/>
    <x v="4511"/>
    <m/>
    <m/>
  </r>
  <r>
    <x v="50"/>
    <d v="2024-12-25T00:00:00"/>
    <s v="Powerplus - Ending in 8s30"/>
    <x v="4165"/>
    <n v="-3423.47"/>
    <x v="3"/>
    <m/>
    <m/>
    <m/>
    <m/>
    <m/>
    <m/>
    <m/>
    <m/>
    <x v="3696"/>
    <m/>
    <m/>
  </r>
  <r>
    <x v="49"/>
    <d v="2024-10-01T00:00:00"/>
    <s v="Powerplus - Ending in 8s30"/>
    <x v="4297"/>
    <n v="100"/>
    <x v="3"/>
    <m/>
    <s v="Delete"/>
    <m/>
    <m/>
    <m/>
    <m/>
    <m/>
    <m/>
    <x v="3815"/>
    <m/>
    <m/>
  </r>
  <r>
    <x v="49"/>
    <d v="2024-10-11T00:00:00"/>
    <s v="American Express"/>
    <x v="5070"/>
    <n v="168"/>
    <x v="8"/>
    <m/>
    <s v="Exp - Shopping"/>
    <m/>
    <m/>
    <m/>
    <m/>
    <m/>
    <m/>
    <x v="4506"/>
    <m/>
    <m/>
  </r>
  <r>
    <x v="49"/>
    <d v="2024-10-11T00:00:00"/>
    <s v="American Express"/>
    <x v="5076"/>
    <n v="26.64"/>
    <x v="1"/>
    <m/>
    <s v="Exp - Restaurants"/>
    <m/>
    <m/>
    <m/>
    <m/>
    <m/>
    <m/>
    <x v="4512"/>
    <m/>
    <m/>
  </r>
  <r>
    <x v="49"/>
    <d v="2024-10-11T00:00:00"/>
    <s v="Cash Rewards Visa Signature - Ending in 5913"/>
    <x v="99"/>
    <n v="25.6"/>
    <x v="11"/>
    <m/>
    <s v="Exp - Utilities"/>
    <m/>
    <m/>
    <m/>
    <m/>
    <m/>
    <m/>
    <x v="99"/>
    <m/>
    <m/>
  </r>
  <r>
    <x v="50"/>
    <d v="2024-12-23T00:00:00"/>
    <s v="Powerplus - Ending in 8s30"/>
    <x v="4297"/>
    <n v="100"/>
    <x v="3"/>
    <m/>
    <m/>
    <m/>
    <m/>
    <m/>
    <m/>
    <m/>
    <m/>
    <x v="3815"/>
    <m/>
    <m/>
  </r>
  <r>
    <x v="49"/>
    <d v="2024-10-12T00:00:00"/>
    <s v="American Express"/>
    <x v="5077"/>
    <n v="52.41"/>
    <x v="1"/>
    <m/>
    <s v="Exp - Restaurants"/>
    <m/>
    <m/>
    <m/>
    <m/>
    <m/>
    <m/>
    <x v="4513"/>
    <m/>
    <m/>
  </r>
  <r>
    <x v="49"/>
    <d v="2024-10-12T00:00:00"/>
    <s v="Discover"/>
    <x v="1978"/>
    <n v="19.46"/>
    <x v="19"/>
    <m/>
    <s v="Exp - House Maint"/>
    <m/>
    <m/>
    <m/>
    <m/>
    <m/>
    <m/>
    <x v="1828"/>
    <m/>
    <m/>
  </r>
  <r>
    <x v="49"/>
    <d v="2024-10-12T00:00:00"/>
    <s v="American Express"/>
    <x v="5078"/>
    <n v="84.51"/>
    <x v="1"/>
    <m/>
    <s v="Exp - Restaurants"/>
    <m/>
    <m/>
    <m/>
    <m/>
    <m/>
    <m/>
    <x v="4514"/>
    <m/>
    <m/>
  </r>
  <r>
    <x v="49"/>
    <d v="2024-10-13T00:00:00"/>
    <s v="Cash Rewards Visa Signature - Ending in 5913"/>
    <x v="4158"/>
    <n v="41.78"/>
    <x v="2"/>
    <m/>
    <s v="Exp - Transportation"/>
    <m/>
    <m/>
    <m/>
    <m/>
    <m/>
    <m/>
    <x v="3690"/>
    <m/>
    <m/>
  </r>
  <r>
    <x v="49"/>
    <d v="2024-10-13T00:00:00"/>
    <s v="Cash Rewards Visa Signature - Ending in 5913"/>
    <x v="4982"/>
    <n v="8.7100000000000009"/>
    <x v="10"/>
    <m/>
    <s v="Exp - Entertainment"/>
    <m/>
    <m/>
    <m/>
    <m/>
    <m/>
    <m/>
    <x v="4421"/>
    <m/>
    <m/>
  </r>
  <r>
    <x v="49"/>
    <d v="2024-10-13T00:00:00"/>
    <s v="Cash Rewards Visa Signature - Ending in 5913"/>
    <x v="1993"/>
    <n v="45"/>
    <x v="11"/>
    <m/>
    <s v="Exp - Utilities"/>
    <m/>
    <m/>
    <m/>
    <m/>
    <m/>
    <m/>
    <x v="1843"/>
    <m/>
    <m/>
  </r>
  <r>
    <x v="49"/>
    <d v="2024-10-13T00:00:00"/>
    <s v="Powerplus - Ending in 8s30"/>
    <x v="3684"/>
    <n v="-3238.06"/>
    <x v="57"/>
    <m/>
    <s v="Inc - Jeff"/>
    <m/>
    <m/>
    <m/>
    <m/>
    <m/>
    <m/>
    <x v="3245"/>
    <m/>
    <m/>
  </r>
  <r>
    <x v="49"/>
    <d v="2024-10-14T00:00:00"/>
    <s v="Discover"/>
    <x v="5079"/>
    <n v="200.45"/>
    <x v="0"/>
    <m/>
    <s v="Exp - Amazon"/>
    <m/>
    <m/>
    <m/>
    <m/>
    <m/>
    <m/>
    <x v="4515"/>
    <m/>
    <m/>
  </r>
  <r>
    <x v="49"/>
    <d v="2024-10-14T00:00:00"/>
    <s v="Discover"/>
    <x v="5080"/>
    <n v="176.13"/>
    <x v="0"/>
    <m/>
    <s v="Exp - Amazon"/>
    <m/>
    <m/>
    <m/>
    <m/>
    <m/>
    <m/>
    <x v="4516"/>
    <m/>
    <m/>
  </r>
  <r>
    <x v="49"/>
    <d v="2024-10-14T00:00:00"/>
    <s v="Discover"/>
    <x v="5081"/>
    <n v="17.57"/>
    <x v="0"/>
    <m/>
    <s v="Exp - Amazon"/>
    <m/>
    <m/>
    <m/>
    <m/>
    <m/>
    <m/>
    <x v="4517"/>
    <m/>
    <m/>
  </r>
  <r>
    <x v="49"/>
    <d v="2024-10-14T00:00:00"/>
    <s v="American Express"/>
    <x v="5082"/>
    <n v="37"/>
    <x v="1"/>
    <m/>
    <s v="Exp - Restaurants"/>
    <m/>
    <m/>
    <m/>
    <m/>
    <m/>
    <m/>
    <x v="4518"/>
    <m/>
    <m/>
  </r>
  <r>
    <x v="49"/>
    <d v="2024-10-14T00:00:00"/>
    <s v="Cash Rewards Visa Signature - Ending in 5913"/>
    <x v="255"/>
    <n v="90.66"/>
    <x v="5"/>
    <m/>
    <s v="Exp - Groceries"/>
    <m/>
    <m/>
    <m/>
    <m/>
    <m/>
    <m/>
    <x v="253"/>
    <m/>
    <m/>
  </r>
  <r>
    <x v="49"/>
    <d v="2024-10-14T00:00:00"/>
    <s v="Cash Rewards Visa Signature - Ending in 5913"/>
    <x v="255"/>
    <n v="211.69"/>
    <x v="5"/>
    <m/>
    <s v="Exp - Groceries"/>
    <m/>
    <m/>
    <m/>
    <m/>
    <m/>
    <m/>
    <x v="253"/>
    <m/>
    <m/>
  </r>
  <r>
    <x v="49"/>
    <d v="2024-10-14T00:00:00"/>
    <s v="American Express"/>
    <x v="4988"/>
    <n v="20"/>
    <x v="11"/>
    <m/>
    <s v="Exp - Utilities"/>
    <m/>
    <m/>
    <m/>
    <m/>
    <m/>
    <m/>
    <x v="4427"/>
    <m/>
    <m/>
  </r>
  <r>
    <x v="49"/>
    <d v="2024-10-15T00:00:00"/>
    <s v="American Express"/>
    <x v="4997"/>
    <n v="29.01"/>
    <x v="1"/>
    <m/>
    <s v="Exp - Restaurants"/>
    <m/>
    <m/>
    <m/>
    <m/>
    <m/>
    <m/>
    <x v="4436"/>
    <m/>
    <m/>
  </r>
  <r>
    <x v="49"/>
    <d v="2024-10-15T00:00:00"/>
    <s v="Powerplus - Ending in 8s30"/>
    <x v="3693"/>
    <n v="120.47"/>
    <x v="16"/>
    <m/>
    <s v="Exp - Insurance"/>
    <m/>
    <m/>
    <m/>
    <m/>
    <m/>
    <m/>
    <x v="3254"/>
    <m/>
    <m/>
  </r>
  <r>
    <x v="49"/>
    <d v="2024-10-15T00:00:00"/>
    <s v="Powerplus - Ending in 8s30"/>
    <x v="1849"/>
    <n v="29.41"/>
    <x v="8"/>
    <m/>
    <s v="Exp - Shopping"/>
    <m/>
    <m/>
    <m/>
    <m/>
    <m/>
    <m/>
    <x v="1704"/>
    <m/>
    <m/>
  </r>
  <r>
    <x v="49"/>
    <d v="2024-10-15T00:00:00"/>
    <s v="Powerplus - Ending in 8s30"/>
    <x v="1849"/>
    <n v="76.53"/>
    <x v="8"/>
    <m/>
    <s v="Exp - Shopping"/>
    <m/>
    <m/>
    <m/>
    <m/>
    <m/>
    <m/>
    <x v="1704"/>
    <m/>
    <m/>
  </r>
  <r>
    <x v="49"/>
    <d v="2024-10-16T00:00:00"/>
    <s v="Cash Rewards Visa Signature - Ending in 5913"/>
    <x v="1895"/>
    <n v="67.489999999999995"/>
    <x v="0"/>
    <m/>
    <s v="Exp - Amazon"/>
    <m/>
    <m/>
    <m/>
    <m/>
    <m/>
    <m/>
    <x v="1748"/>
    <m/>
    <m/>
  </r>
  <r>
    <x v="49"/>
    <d v="2024-10-16T00:00:00"/>
    <s v="American Express"/>
    <x v="5070"/>
    <n v="148"/>
    <x v="8"/>
    <m/>
    <s v="Exp - Shopping"/>
    <m/>
    <m/>
    <m/>
    <m/>
    <m/>
    <m/>
    <x v="4506"/>
    <m/>
    <m/>
  </r>
  <r>
    <x v="49"/>
    <d v="2024-10-16T00:00:00"/>
    <s v="American Express"/>
    <x v="5070"/>
    <n v="326"/>
    <x v="8"/>
    <m/>
    <s v="Exp - Shopping"/>
    <m/>
    <m/>
    <m/>
    <m/>
    <m/>
    <m/>
    <x v="4506"/>
    <m/>
    <m/>
  </r>
  <r>
    <x v="49"/>
    <d v="2024-10-16T00:00:00"/>
    <s v="American Express"/>
    <x v="5072"/>
    <n v="37.5"/>
    <x v="5"/>
    <m/>
    <s v="Exp - Groceries"/>
    <m/>
    <m/>
    <m/>
    <m/>
    <m/>
    <m/>
    <x v="4508"/>
    <m/>
    <m/>
  </r>
  <r>
    <x v="26"/>
    <d v="2024-03-01T00:00:00"/>
    <s v="Powerplus - Ending in 8s30"/>
    <x v="3996"/>
    <n v="650"/>
    <x v="3"/>
    <m/>
    <s v="Delete"/>
    <m/>
    <m/>
    <m/>
    <m/>
    <m/>
    <m/>
    <x v="3539"/>
    <m/>
    <m/>
  </r>
  <r>
    <x v="49"/>
    <d v="2024-10-16T00:00:00"/>
    <s v="Powerplus - Ending in 8s30"/>
    <x v="4688"/>
    <n v="380"/>
    <x v="4"/>
    <m/>
    <s v="Exp - Day Care"/>
    <m/>
    <m/>
    <m/>
    <m/>
    <m/>
    <m/>
    <x v="4153"/>
    <m/>
    <m/>
  </r>
  <r>
    <x v="49"/>
    <d v="2024-10-16T00:00:00"/>
    <s v="American Express"/>
    <x v="5052"/>
    <n v="-62"/>
    <x v="8"/>
    <m/>
    <s v="Exp - Shopping"/>
    <m/>
    <m/>
    <m/>
    <m/>
    <m/>
    <m/>
    <x v="4489"/>
    <m/>
    <m/>
  </r>
  <r>
    <x v="49"/>
    <d v="2024-10-17T00:00:00"/>
    <s v="Discover"/>
    <x v="5083"/>
    <n v="96.95"/>
    <x v="0"/>
    <m/>
    <s v="Exp - Amazon"/>
    <m/>
    <m/>
    <m/>
    <m/>
    <m/>
    <m/>
    <x v="4519"/>
    <m/>
    <m/>
  </r>
  <r>
    <x v="49"/>
    <d v="2024-10-17T00:00:00"/>
    <s v="American Express"/>
    <x v="5084"/>
    <n v="12.19"/>
    <x v="5"/>
    <m/>
    <s v="Exp - Groceries"/>
    <m/>
    <m/>
    <m/>
    <m/>
    <m/>
    <m/>
    <x v="4520"/>
    <m/>
    <m/>
  </r>
  <r>
    <x v="49"/>
    <d v="2024-10-17T00:00:00"/>
    <s v="American Express"/>
    <x v="5085"/>
    <n v="111.15"/>
    <x v="1"/>
    <m/>
    <s v="Exp - Restaurants"/>
    <m/>
    <m/>
    <m/>
    <m/>
    <m/>
    <m/>
    <x v="4521"/>
    <m/>
    <m/>
  </r>
  <r>
    <x v="49"/>
    <d v="2024-10-18T00:00:00"/>
    <s v="American Express"/>
    <x v="5086"/>
    <n v="28.1"/>
    <x v="2"/>
    <m/>
    <s v="Exp - Transportation"/>
    <m/>
    <m/>
    <m/>
    <m/>
    <m/>
    <m/>
    <x v="4522"/>
    <m/>
    <m/>
  </r>
  <r>
    <x v="49"/>
    <d v="2024-10-18T00:00:00"/>
    <s v="Discover"/>
    <x v="4999"/>
    <n v="-174.91"/>
    <x v="11"/>
    <m/>
    <s v="Exp - Utilities"/>
    <m/>
    <m/>
    <m/>
    <m/>
    <m/>
    <m/>
    <x v="4438"/>
    <m/>
    <m/>
  </r>
  <r>
    <x v="49"/>
    <d v="2024-10-18T00:00:00"/>
    <s v="American Express"/>
    <x v="5087"/>
    <n v="89.13"/>
    <x v="2"/>
    <m/>
    <s v="Exp - Transportation"/>
    <m/>
    <m/>
    <m/>
    <m/>
    <m/>
    <m/>
    <x v="4523"/>
    <m/>
    <m/>
  </r>
  <r>
    <x v="49"/>
    <d v="2024-10-18T00:00:00"/>
    <s v="American Express"/>
    <x v="5088"/>
    <n v="37.409999999999997"/>
    <x v="8"/>
    <m/>
    <s v="Exp - Shopping"/>
    <m/>
    <m/>
    <m/>
    <m/>
    <m/>
    <m/>
    <x v="4524"/>
    <m/>
    <m/>
  </r>
  <r>
    <x v="49"/>
    <d v="2024-10-18T00:00:00"/>
    <s v="Powerplus - Ending in 8s30"/>
    <x v="5089"/>
    <n v="650"/>
    <x v="9"/>
    <m/>
    <s v="Sav - College Savings"/>
    <m/>
    <m/>
    <m/>
    <m/>
    <m/>
    <m/>
    <x v="3267"/>
    <m/>
    <m/>
  </r>
  <r>
    <x v="49"/>
    <d v="2024-10-19T00:00:00"/>
    <s v="American Express"/>
    <x v="5015"/>
    <n v="38.99"/>
    <x v="11"/>
    <m/>
    <s v="Exp - Utilities"/>
    <m/>
    <m/>
    <m/>
    <m/>
    <m/>
    <m/>
    <x v="4453"/>
    <m/>
    <m/>
  </r>
  <r>
    <x v="49"/>
    <d v="2024-10-19T00:00:00"/>
    <s v="American Express"/>
    <x v="5090"/>
    <n v="44.72"/>
    <x v="1"/>
    <m/>
    <s v="Exp - Restaurants"/>
    <m/>
    <m/>
    <m/>
    <m/>
    <m/>
    <m/>
    <x v="4525"/>
    <m/>
    <m/>
  </r>
  <r>
    <x v="49"/>
    <d v="2024-10-19T00:00:00"/>
    <s v="Powerplus - Ending in 8s30"/>
    <x v="5091"/>
    <n v="123.95"/>
    <x v="24"/>
    <m/>
    <s v="Exp - Travel"/>
    <m/>
    <m/>
    <m/>
    <m/>
    <m/>
    <m/>
    <x v="4526"/>
    <m/>
    <m/>
  </r>
  <r>
    <x v="49"/>
    <d v="2024-10-20T00:00:00"/>
    <s v="American Express"/>
    <x v="5092"/>
    <n v="20.350000000000001"/>
    <x v="1"/>
    <m/>
    <s v="Exp - Restaurants"/>
    <m/>
    <m/>
    <m/>
    <m/>
    <m/>
    <m/>
    <x v="4527"/>
    <m/>
    <m/>
  </r>
  <r>
    <x v="49"/>
    <d v="2024-10-20T00:00:00"/>
    <s v="American Express"/>
    <x v="5093"/>
    <n v="6.54"/>
    <x v="1"/>
    <m/>
    <s v="Exp - Restaurants"/>
    <m/>
    <m/>
    <m/>
    <m/>
    <m/>
    <m/>
    <x v="4528"/>
    <m/>
    <m/>
  </r>
  <r>
    <x v="49"/>
    <d v="2024-10-20T00:00:00"/>
    <s v="American Express"/>
    <x v="5093"/>
    <n v="9.76"/>
    <x v="1"/>
    <m/>
    <s v="Exp - Restaurants"/>
    <m/>
    <m/>
    <m/>
    <m/>
    <m/>
    <m/>
    <x v="4528"/>
    <m/>
    <m/>
  </r>
  <r>
    <x v="49"/>
    <d v="2024-10-20T00:00:00"/>
    <s v="American Express"/>
    <x v="5094"/>
    <n v="81.93"/>
    <x v="1"/>
    <m/>
    <s v="Exp - Restaurants"/>
    <m/>
    <m/>
    <m/>
    <m/>
    <m/>
    <m/>
    <x v="4529"/>
    <m/>
    <m/>
  </r>
  <r>
    <x v="49"/>
    <d v="2024-10-20T00:00:00"/>
    <s v="American Express"/>
    <x v="5095"/>
    <n v="157.19999999999999"/>
    <x v="8"/>
    <m/>
    <s v="Exp - Shopping"/>
    <m/>
    <m/>
    <m/>
    <m/>
    <m/>
    <m/>
    <x v="4530"/>
    <m/>
    <m/>
  </r>
  <r>
    <x v="49"/>
    <d v="2024-10-20T00:00:00"/>
    <s v="Cash Rewards Visa Signature - Ending in 5913"/>
    <x v="5096"/>
    <n v="1.99"/>
    <x v="11"/>
    <m/>
    <s v="Exp - Utilities"/>
    <m/>
    <m/>
    <m/>
    <m/>
    <m/>
    <m/>
    <x v="4531"/>
    <m/>
    <m/>
  </r>
  <r>
    <x v="49"/>
    <d v="2024-10-20T00:00:00"/>
    <s v="Cash Rewards Visa Signature - Ending in 5913"/>
    <x v="3472"/>
    <n v="20"/>
    <x v="4"/>
    <m/>
    <s v="Exp - Day Care"/>
    <m/>
    <m/>
    <m/>
    <m/>
    <m/>
    <m/>
    <x v="3063"/>
    <m/>
    <m/>
  </r>
  <r>
    <x v="49"/>
    <d v="2024-10-20T00:00:00"/>
    <s v="American Express"/>
    <x v="5097"/>
    <n v="24.89"/>
    <x v="1"/>
    <m/>
    <s v="Exp - Restaurants"/>
    <m/>
    <m/>
    <m/>
    <m/>
    <m/>
    <m/>
    <x v="4532"/>
    <m/>
    <m/>
  </r>
  <r>
    <x v="49"/>
    <d v="2024-10-20T00:00:00"/>
    <s v="American Express"/>
    <x v="5098"/>
    <n v="28.21"/>
    <x v="10"/>
    <m/>
    <s v="Exp - Entertainment"/>
    <m/>
    <m/>
    <m/>
    <m/>
    <m/>
    <m/>
    <x v="4533"/>
    <m/>
    <m/>
  </r>
  <r>
    <x v="49"/>
    <d v="2024-10-20T00:00:00"/>
    <s v="American Express"/>
    <x v="5098"/>
    <n v="140"/>
    <x v="10"/>
    <m/>
    <s v="Exp - Entertainment"/>
    <m/>
    <m/>
    <m/>
    <m/>
    <m/>
    <m/>
    <x v="4533"/>
    <m/>
    <m/>
  </r>
  <r>
    <x v="49"/>
    <d v="2024-10-20T00:00:00"/>
    <s v="American Express"/>
    <x v="5099"/>
    <n v="1167.83"/>
    <x v="24"/>
    <m/>
    <s v="Exp - Travel"/>
    <m/>
    <m/>
    <m/>
    <m/>
    <m/>
    <m/>
    <x v="4534"/>
    <m/>
    <m/>
  </r>
  <r>
    <x v="49"/>
    <d v="2024-10-21T00:00:00"/>
    <s v="Discover"/>
    <x v="5100"/>
    <n v="56.34"/>
    <x v="0"/>
    <m/>
    <s v="Exp - Amazon"/>
    <m/>
    <m/>
    <m/>
    <m/>
    <m/>
    <m/>
    <x v="4535"/>
    <m/>
    <m/>
  </r>
  <r>
    <x v="49"/>
    <d v="2024-10-21T00:00:00"/>
    <s v="American Express"/>
    <x v="5101"/>
    <n v="19.12"/>
    <x v="1"/>
    <m/>
    <s v="Exp - Restaurants"/>
    <m/>
    <m/>
    <m/>
    <m/>
    <m/>
    <m/>
    <x v="4536"/>
    <m/>
    <m/>
  </r>
  <r>
    <x v="54"/>
    <d v="2023-04-03T00:00:00"/>
    <s v="Powerplus - Ending in 8s34"/>
    <x v="5102"/>
    <n v="2606.27"/>
    <x v="53"/>
    <m/>
    <s v="Exp - Rent"/>
    <m/>
    <m/>
    <m/>
    <m/>
    <m/>
    <m/>
    <x v="4019"/>
    <m/>
    <m/>
  </r>
  <r>
    <x v="51"/>
    <d v="2023-01-03T00:00:00"/>
    <s v="POWERPLUS"/>
    <x v="5103"/>
    <n v="2606.27"/>
    <x v="53"/>
    <e v="#N/A"/>
    <s v="Exp - Rent"/>
    <m/>
    <n v="2606.27"/>
    <m/>
    <m/>
    <s v="debit"/>
    <m/>
    <x v="4019"/>
    <m/>
    <m/>
  </r>
  <r>
    <x v="64"/>
    <d v="2024-04-01T00:00:00"/>
    <s v="Powerplus - Ending in 8s30"/>
    <x v="3996"/>
    <n v="650"/>
    <x v="3"/>
    <m/>
    <s v="Delete"/>
    <m/>
    <m/>
    <m/>
    <m/>
    <m/>
    <m/>
    <x v="3539"/>
    <m/>
    <m/>
  </r>
  <r>
    <x v="49"/>
    <d v="2024-10-21T00:00:00"/>
    <s v="Powerplus - Ending in 8s30"/>
    <x v="1849"/>
    <n v="2.99"/>
    <x v="8"/>
    <m/>
    <s v="Exp - Shopping"/>
    <m/>
    <m/>
    <m/>
    <m/>
    <m/>
    <m/>
    <x v="1704"/>
    <m/>
    <m/>
  </r>
  <r>
    <x v="49"/>
    <d v="2024-10-21T00:00:00"/>
    <s v="Powerplus - Ending in 8s30"/>
    <x v="1849"/>
    <n v="70.42"/>
    <x v="8"/>
    <m/>
    <s v="Exp - Shopping"/>
    <m/>
    <m/>
    <m/>
    <m/>
    <m/>
    <m/>
    <x v="1704"/>
    <m/>
    <m/>
  </r>
  <r>
    <x v="49"/>
    <d v="2024-10-21T00:00:00"/>
    <s v="Powerplus - Ending in 8s30"/>
    <x v="5104"/>
    <n v="64.83"/>
    <x v="11"/>
    <m/>
    <s v="Exp - Utilities"/>
    <m/>
    <m/>
    <m/>
    <m/>
    <m/>
    <m/>
    <x v="3287"/>
    <m/>
    <m/>
  </r>
  <r>
    <x v="49"/>
    <d v="2024-10-22T00:00:00"/>
    <s v="Discover"/>
    <x v="5105"/>
    <n v="34.49"/>
    <x v="0"/>
    <m/>
    <s v="Exp - Amazon"/>
    <m/>
    <m/>
    <m/>
    <m/>
    <m/>
    <m/>
    <x v="4537"/>
    <m/>
    <m/>
  </r>
  <r>
    <x v="49"/>
    <d v="2024-10-22T00:00:00"/>
    <s v="American Express"/>
    <x v="5106"/>
    <n v="10.85"/>
    <x v="4"/>
    <m/>
    <s v="Exp - Day Care"/>
    <m/>
    <m/>
    <m/>
    <m/>
    <m/>
    <m/>
    <x v="4538"/>
    <m/>
    <m/>
  </r>
  <r>
    <x v="49"/>
    <d v="2024-10-22T00:00:00"/>
    <s v="American Express"/>
    <x v="5107"/>
    <n v="61.04"/>
    <x v="5"/>
    <m/>
    <s v="Exp - Groceries"/>
    <m/>
    <m/>
    <m/>
    <m/>
    <m/>
    <m/>
    <x v="4539"/>
    <m/>
    <m/>
  </r>
  <r>
    <x v="49"/>
    <d v="2024-10-22T00:00:00"/>
    <s v="American Express"/>
    <x v="5108"/>
    <n v="19.78"/>
    <x v="8"/>
    <m/>
    <s v="Exp - Shopping"/>
    <m/>
    <m/>
    <m/>
    <m/>
    <m/>
    <m/>
    <x v="4540"/>
    <m/>
    <m/>
  </r>
  <r>
    <x v="25"/>
    <d v="2024-05-01T00:00:00"/>
    <s v="Powerplus - Ending in 8s30"/>
    <x v="3996"/>
    <n v="650"/>
    <x v="3"/>
    <m/>
    <s v="Delete"/>
    <m/>
    <m/>
    <m/>
    <m/>
    <m/>
    <m/>
    <x v="3539"/>
    <m/>
    <m/>
  </r>
  <r>
    <x v="49"/>
    <d v="2024-10-22T00:00:00"/>
    <s v="American Express"/>
    <x v="5109"/>
    <n v="35.07"/>
    <x v="5"/>
    <m/>
    <s v="Exp - Groceries"/>
    <m/>
    <m/>
    <m/>
    <m/>
    <m/>
    <m/>
    <x v="4541"/>
    <m/>
    <m/>
  </r>
  <r>
    <x v="49"/>
    <d v="2024-10-22T00:00:00"/>
    <s v="American Express"/>
    <x v="5109"/>
    <n v="36.57"/>
    <x v="5"/>
    <m/>
    <s v="Exp - Groceries"/>
    <m/>
    <m/>
    <m/>
    <m/>
    <m/>
    <m/>
    <x v="4541"/>
    <m/>
    <m/>
  </r>
  <r>
    <x v="49"/>
    <d v="2024-10-22T00:00:00"/>
    <s v="Powerplus - Ending in 8s30"/>
    <x v="4688"/>
    <n v="380"/>
    <x v="4"/>
    <m/>
    <s v="Exp - Day Care"/>
    <m/>
    <m/>
    <m/>
    <m/>
    <m/>
    <m/>
    <x v="4153"/>
    <m/>
    <m/>
  </r>
  <r>
    <x v="49"/>
    <d v="2024-10-22T00:00:00"/>
    <s v="American Express"/>
    <x v="5110"/>
    <n v="78.87"/>
    <x v="2"/>
    <m/>
    <s v="Exp - Transportation"/>
    <m/>
    <m/>
    <m/>
    <m/>
    <m/>
    <m/>
    <x v="4542"/>
    <m/>
    <m/>
  </r>
  <r>
    <x v="49"/>
    <d v="2024-10-22T00:00:00"/>
    <s v="American Express"/>
    <x v="5111"/>
    <n v="23.77"/>
    <x v="4"/>
    <m/>
    <s v="Exp - Day Care"/>
    <m/>
    <m/>
    <m/>
    <m/>
    <m/>
    <m/>
    <x v="4543"/>
    <m/>
    <m/>
  </r>
  <r>
    <x v="49"/>
    <d v="2024-10-22T00:00:00"/>
    <s v="American Express"/>
    <x v="5112"/>
    <n v="24.11"/>
    <x v="1"/>
    <m/>
    <s v="Exp - Restaurants"/>
    <m/>
    <m/>
    <m/>
    <m/>
    <m/>
    <m/>
    <x v="4544"/>
    <m/>
    <m/>
  </r>
  <r>
    <x v="49"/>
    <d v="2024-10-23T00:00:00"/>
    <s v="American Express"/>
    <x v="5113"/>
    <n v="129"/>
    <x v="4"/>
    <m/>
    <s v="Exp - Day Care"/>
    <m/>
    <m/>
    <m/>
    <m/>
    <m/>
    <m/>
    <x v="4545"/>
    <m/>
    <m/>
  </r>
  <r>
    <x v="26"/>
    <d v="2024-03-26T00:00:00"/>
    <s v="Powerplus - Ending in 8s30"/>
    <x v="3729"/>
    <n v="800"/>
    <x v="3"/>
    <m/>
    <m/>
    <m/>
    <m/>
    <m/>
    <m/>
    <m/>
    <m/>
    <x v="3289"/>
    <m/>
    <m/>
  </r>
  <r>
    <x v="49"/>
    <d v="2024-10-23T00:00:00"/>
    <s v="Cash Rewards Visa Signature - Ending in 5913"/>
    <x v="5114"/>
    <n v="9.57"/>
    <x v="1"/>
    <m/>
    <s v="Exp - Restaurants"/>
    <m/>
    <m/>
    <m/>
    <m/>
    <m/>
    <m/>
    <x v="4546"/>
    <m/>
    <m/>
  </r>
  <r>
    <x v="49"/>
    <d v="2024-10-23T00:00:00"/>
    <s v="American Express"/>
    <x v="5115"/>
    <n v="320"/>
    <x v="4"/>
    <m/>
    <s v="Exp - Day Care"/>
    <m/>
    <m/>
    <m/>
    <m/>
    <m/>
    <m/>
    <x v="4547"/>
    <m/>
    <m/>
  </r>
  <r>
    <x v="49"/>
    <d v="2024-10-23T00:00:00"/>
    <s v="American Express"/>
    <x v="5116"/>
    <n v="15.03"/>
    <x v="1"/>
    <m/>
    <s v="Exp - Restaurants"/>
    <m/>
    <m/>
    <m/>
    <m/>
    <m/>
    <m/>
    <x v="4548"/>
    <m/>
    <m/>
  </r>
  <r>
    <x v="49"/>
    <d v="2024-10-23T00:00:00"/>
    <s v="American Express"/>
    <x v="5117"/>
    <n v="177.52"/>
    <x v="19"/>
    <m/>
    <s v="Exp - House Maint"/>
    <m/>
    <m/>
    <m/>
    <m/>
    <m/>
    <m/>
    <x v="4549"/>
    <m/>
    <m/>
  </r>
  <r>
    <x v="49"/>
    <d v="2024-10-24T00:00:00"/>
    <s v="Discover"/>
    <x v="5118"/>
    <n v="13.99"/>
    <x v="0"/>
    <m/>
    <s v="Exp - Amazon"/>
    <m/>
    <m/>
    <m/>
    <m/>
    <m/>
    <m/>
    <x v="4550"/>
    <m/>
    <m/>
  </r>
  <r>
    <x v="49"/>
    <d v="2024-10-24T00:00:00"/>
    <s v="American Express"/>
    <x v="5070"/>
    <n v="120"/>
    <x v="8"/>
    <m/>
    <s v="Exp - Shopping"/>
    <m/>
    <m/>
    <m/>
    <m/>
    <m/>
    <m/>
    <x v="4506"/>
    <m/>
    <m/>
  </r>
  <r>
    <x v="49"/>
    <d v="2024-10-24T00:00:00"/>
    <s v="American Express"/>
    <x v="5119"/>
    <n v="100.5"/>
    <x v="24"/>
    <m/>
    <s v="Exp - Travel"/>
    <m/>
    <m/>
    <m/>
    <m/>
    <m/>
    <m/>
    <x v="4551"/>
    <m/>
    <m/>
  </r>
  <r>
    <x v="49"/>
    <d v="2024-10-24T00:00:00"/>
    <s v="American Express"/>
    <x v="5120"/>
    <n v="7.62"/>
    <x v="1"/>
    <m/>
    <s v="Exp - Restaurants"/>
    <m/>
    <m/>
    <m/>
    <m/>
    <m/>
    <m/>
    <x v="4552"/>
    <m/>
    <m/>
  </r>
  <r>
    <x v="49"/>
    <d v="2024-10-24T00:00:00"/>
    <s v="American Express"/>
    <x v="5120"/>
    <n v="15.24"/>
    <x v="1"/>
    <m/>
    <s v="Exp - Restaurants"/>
    <m/>
    <m/>
    <m/>
    <m/>
    <m/>
    <m/>
    <x v="4552"/>
    <m/>
    <m/>
  </r>
  <r>
    <x v="64"/>
    <d v="2024-04-26T00:00:00"/>
    <s v="Powerplus - Ending in 8s30"/>
    <x v="3729"/>
    <n v="800"/>
    <x v="3"/>
    <m/>
    <m/>
    <m/>
    <m/>
    <m/>
    <m/>
    <m/>
    <m/>
    <x v="3289"/>
    <m/>
    <m/>
  </r>
  <r>
    <x v="49"/>
    <d v="2024-10-24T00:00:00"/>
    <s v="American Express"/>
    <x v="5121"/>
    <n v="45.84"/>
    <x v="5"/>
    <m/>
    <s v="Exp - Groceries"/>
    <m/>
    <m/>
    <m/>
    <m/>
    <m/>
    <m/>
    <x v="4553"/>
    <m/>
    <m/>
  </r>
  <r>
    <x v="49"/>
    <d v="2024-10-24T00:00:00"/>
    <s v="Powerplus - Ending in 8s30"/>
    <x v="3840"/>
    <n v="118.96"/>
    <x v="8"/>
    <m/>
    <s v="Exp - Shopping"/>
    <m/>
    <m/>
    <m/>
    <m/>
    <m/>
    <m/>
    <x v="3391"/>
    <m/>
    <m/>
  </r>
  <r>
    <x v="49"/>
    <d v="2024-10-24T00:00:00"/>
    <s v="American Express"/>
    <x v="5020"/>
    <n v="58.33"/>
    <x v="19"/>
    <m/>
    <s v="Exp - House Maint"/>
    <m/>
    <m/>
    <m/>
    <m/>
    <m/>
    <m/>
    <x v="4458"/>
    <m/>
    <m/>
  </r>
  <r>
    <x v="49"/>
    <d v="2024-10-24T00:00:00"/>
    <s v="American Express"/>
    <x v="5122"/>
    <n v="279.3"/>
    <x v="1"/>
    <m/>
    <s v="Exp - Restaurants"/>
    <m/>
    <m/>
    <m/>
    <m/>
    <m/>
    <m/>
    <x v="4554"/>
    <m/>
    <m/>
  </r>
  <r>
    <x v="49"/>
    <d v="2024-10-24T00:00:00"/>
    <s v="Powerplus - Ending in 8s30"/>
    <x v="4553"/>
    <n v="100"/>
    <x v="24"/>
    <m/>
    <s v="Exp - Travel"/>
    <m/>
    <m/>
    <m/>
    <m/>
    <m/>
    <m/>
    <x v="4034"/>
    <m/>
    <m/>
  </r>
  <r>
    <x v="49"/>
    <d v="2024-10-25T00:00:00"/>
    <s v="Cash Rewards Visa Signature - Ending in 5913"/>
    <x v="0"/>
    <n v="48.6"/>
    <x v="0"/>
    <m/>
    <s v="Exp - Amazon"/>
    <m/>
    <m/>
    <m/>
    <m/>
    <m/>
    <m/>
    <x v="0"/>
    <m/>
    <m/>
  </r>
  <r>
    <x v="49"/>
    <d v="2024-10-25T00:00:00"/>
    <s v="American Express"/>
    <x v="4985"/>
    <n v="143.79"/>
    <x v="5"/>
    <m/>
    <s v="Exp - Groceries"/>
    <m/>
    <m/>
    <m/>
    <m/>
    <m/>
    <m/>
    <x v="4424"/>
    <m/>
    <m/>
  </r>
  <r>
    <x v="49"/>
    <d v="2024-10-25T00:00:00"/>
    <s v="American Express"/>
    <x v="5066"/>
    <n v="-47.29"/>
    <x v="8"/>
    <m/>
    <s v="Exp - Shopping"/>
    <m/>
    <m/>
    <m/>
    <m/>
    <m/>
    <m/>
    <x v="4502"/>
    <m/>
    <m/>
  </r>
  <r>
    <x v="25"/>
    <d v="2024-05-28T00:00:00"/>
    <s v="Powerplus - Ending in 8s30"/>
    <x v="3729"/>
    <n v="800"/>
    <x v="3"/>
    <m/>
    <m/>
    <m/>
    <m/>
    <m/>
    <m/>
    <m/>
    <m/>
    <x v="3289"/>
    <m/>
    <m/>
  </r>
  <r>
    <x v="49"/>
    <d v="2024-10-26T00:00:00"/>
    <s v="American Express"/>
    <x v="5070"/>
    <n v="-474"/>
    <x v="8"/>
    <m/>
    <s v="Exp - Shopping"/>
    <m/>
    <m/>
    <m/>
    <m/>
    <m/>
    <m/>
    <x v="4506"/>
    <m/>
    <m/>
  </r>
  <r>
    <x v="49"/>
    <d v="2024-10-26T00:00:00"/>
    <s v="American Express"/>
    <x v="5070"/>
    <n v="-306"/>
    <x v="8"/>
    <m/>
    <s v="Exp - Shopping"/>
    <m/>
    <m/>
    <m/>
    <m/>
    <m/>
    <m/>
    <x v="4506"/>
    <m/>
    <m/>
  </r>
  <r>
    <x v="49"/>
    <d v="2024-10-26T00:00:00"/>
    <s v="American Express"/>
    <x v="5070"/>
    <n v="-168"/>
    <x v="8"/>
    <m/>
    <s v="Exp - Shopping"/>
    <m/>
    <m/>
    <m/>
    <m/>
    <m/>
    <m/>
    <x v="4506"/>
    <m/>
    <m/>
  </r>
  <r>
    <x v="49"/>
    <d v="2024-10-26T00:00:00"/>
    <s v="American Express"/>
    <x v="5070"/>
    <n v="-130"/>
    <x v="8"/>
    <m/>
    <s v="Exp - Shopping"/>
    <m/>
    <m/>
    <m/>
    <m/>
    <m/>
    <m/>
    <x v="4506"/>
    <m/>
    <m/>
  </r>
  <r>
    <x v="49"/>
    <d v="2024-10-26T00:00:00"/>
    <s v="American Express"/>
    <x v="4959"/>
    <n v="561.82000000000005"/>
    <x v="8"/>
    <m/>
    <s v="Exp - Shopping"/>
    <m/>
    <m/>
    <m/>
    <m/>
    <m/>
    <m/>
    <x v="4399"/>
    <m/>
    <m/>
  </r>
  <r>
    <x v="49"/>
    <d v="2024-10-26T00:00:00"/>
    <s v="American Express"/>
    <x v="4974"/>
    <n v="55.75"/>
    <x v="1"/>
    <m/>
    <s v="Exp - Restaurants"/>
    <m/>
    <m/>
    <m/>
    <m/>
    <m/>
    <m/>
    <x v="4414"/>
    <m/>
    <m/>
  </r>
  <r>
    <x v="49"/>
    <d v="2024-10-27T00:00:00"/>
    <s v="Cash Rewards Visa Signature - Ending in 5913"/>
    <x v="1895"/>
    <n v="-31.99"/>
    <x v="0"/>
    <m/>
    <s v="Exp - Amazon"/>
    <m/>
    <m/>
    <m/>
    <m/>
    <m/>
    <m/>
    <x v="1748"/>
    <m/>
    <m/>
  </r>
  <r>
    <x v="23"/>
    <d v="2024-06-26T00:00:00"/>
    <s v="Powerplus - Ending in 8s30"/>
    <x v="3729"/>
    <n v="800"/>
    <x v="3"/>
    <m/>
    <m/>
    <m/>
    <m/>
    <m/>
    <m/>
    <m/>
    <m/>
    <x v="3289"/>
    <m/>
    <m/>
  </r>
  <r>
    <x v="49"/>
    <d v="2024-10-27T00:00:00"/>
    <s v="American Express"/>
    <x v="5123"/>
    <n v="108.5"/>
    <x v="8"/>
    <m/>
    <s v="Exp - Shopping"/>
    <m/>
    <m/>
    <m/>
    <m/>
    <m/>
    <m/>
    <x v="4555"/>
    <m/>
    <m/>
  </r>
  <r>
    <x v="49"/>
    <d v="2024-10-27T00:00:00"/>
    <s v="American Express"/>
    <x v="5124"/>
    <n v="194.48"/>
    <x v="8"/>
    <m/>
    <s v="Exp - Shopping"/>
    <m/>
    <m/>
    <m/>
    <m/>
    <m/>
    <m/>
    <x v="4556"/>
    <m/>
    <m/>
  </r>
  <r>
    <x v="49"/>
    <d v="2024-10-27T00:00:00"/>
    <s v="American Express"/>
    <x v="5125"/>
    <n v="119.21"/>
    <x v="10"/>
    <m/>
    <s v="Exp - Entertainment"/>
    <m/>
    <m/>
    <m/>
    <m/>
    <m/>
    <m/>
    <x v="4557"/>
    <m/>
    <m/>
  </r>
  <r>
    <x v="49"/>
    <d v="2024-10-28T00:00:00"/>
    <s v="Cash Rewards Visa Signature - Ending in 5913"/>
    <x v="5126"/>
    <n v="18.41"/>
    <x v="0"/>
    <m/>
    <s v="Exp - Amazon"/>
    <m/>
    <m/>
    <m/>
    <m/>
    <m/>
    <m/>
    <x v="4558"/>
    <m/>
    <m/>
  </r>
  <r>
    <x v="27"/>
    <d v="2024-07-26T00:00:00"/>
    <s v="Powerplus - Ending in 8s30"/>
    <x v="3729"/>
    <n v="800"/>
    <x v="3"/>
    <m/>
    <m/>
    <m/>
    <m/>
    <m/>
    <m/>
    <m/>
    <m/>
    <x v="3289"/>
    <m/>
    <m/>
  </r>
  <r>
    <x v="49"/>
    <d v="2024-10-28T00:00:00"/>
    <s v="Powerplus - Ending in 8s30"/>
    <x v="3693"/>
    <n v="52.91"/>
    <x v="16"/>
    <m/>
    <s v="Exp - Insurance"/>
    <m/>
    <m/>
    <m/>
    <m/>
    <m/>
    <m/>
    <x v="3254"/>
    <m/>
    <m/>
  </r>
  <r>
    <x v="49"/>
    <d v="2024-10-28T00:00:00"/>
    <s v="Powerplus - Ending in 8s30"/>
    <x v="3734"/>
    <n v="596.59"/>
    <x v="12"/>
    <m/>
    <s v="Exp - Target"/>
    <m/>
    <m/>
    <m/>
    <m/>
    <m/>
    <m/>
    <x v="3293"/>
    <m/>
    <m/>
  </r>
  <r>
    <x v="49"/>
    <d v="2024-10-28T00:00:00"/>
    <s v="Powerplus - Ending in 8s30"/>
    <x v="3729"/>
    <n v="800"/>
    <x v="21"/>
    <m/>
    <s v="Sav - Savings"/>
    <m/>
    <m/>
    <m/>
    <m/>
    <m/>
    <m/>
    <x v="3289"/>
    <m/>
    <m/>
  </r>
  <r>
    <x v="49"/>
    <d v="2024-10-28T00:00:00"/>
    <s v="Powerplus - Ending in 8s30"/>
    <x v="1849"/>
    <n v="0.99"/>
    <x v="8"/>
    <m/>
    <s v="Exp - Shopping"/>
    <m/>
    <m/>
    <m/>
    <m/>
    <m/>
    <m/>
    <x v="1704"/>
    <m/>
    <m/>
  </r>
  <r>
    <x v="49"/>
    <d v="2024-10-28T00:00:00"/>
    <s v="Powerplus - Ending in 8s30"/>
    <x v="1849"/>
    <n v="43.35"/>
    <x v="8"/>
    <m/>
    <s v="Exp - Shopping"/>
    <m/>
    <m/>
    <m/>
    <m/>
    <m/>
    <m/>
    <x v="1704"/>
    <m/>
    <m/>
  </r>
  <r>
    <x v="49"/>
    <d v="2024-10-29T00:00:00"/>
    <s v="American Express"/>
    <x v="5127"/>
    <n v="58.03"/>
    <x v="10"/>
    <m/>
    <s v="Exp - Entertainment"/>
    <m/>
    <m/>
    <m/>
    <m/>
    <m/>
    <m/>
    <x v="4559"/>
    <m/>
    <m/>
  </r>
  <r>
    <x v="49"/>
    <d v="2024-10-29T00:00:00"/>
    <s v="Cash Rewards Visa Signature - Ending in 5913"/>
    <x v="5128"/>
    <n v="26.79"/>
    <x v="10"/>
    <m/>
    <s v="Exp - Entertainment"/>
    <m/>
    <m/>
    <m/>
    <m/>
    <m/>
    <m/>
    <x v="4560"/>
    <m/>
    <m/>
  </r>
  <r>
    <x v="49"/>
    <d v="2024-10-29T00:00:00"/>
    <s v="Powerplus - Ending in 8s30"/>
    <x v="4688"/>
    <n v="380"/>
    <x v="4"/>
    <m/>
    <s v="Exp - Day Care"/>
    <m/>
    <m/>
    <m/>
    <m/>
    <m/>
    <m/>
    <x v="4153"/>
    <m/>
    <m/>
  </r>
  <r>
    <x v="49"/>
    <d v="2024-10-30T00:00:00"/>
    <s v="Cash Rewards Visa Signature - Ending in 5913"/>
    <x v="5129"/>
    <n v="9.74"/>
    <x v="0"/>
    <m/>
    <s v="Exp - Amazon"/>
    <m/>
    <m/>
    <m/>
    <m/>
    <m/>
    <m/>
    <x v="4561"/>
    <m/>
    <m/>
  </r>
  <r>
    <x v="49"/>
    <d v="2024-10-30T00:00:00"/>
    <s v="Cash Rewards Visa Signature - Ending in 5913"/>
    <x v="5130"/>
    <n v="7.53"/>
    <x v="0"/>
    <m/>
    <s v="Exp - Amazon"/>
    <m/>
    <m/>
    <m/>
    <m/>
    <m/>
    <m/>
    <x v="4562"/>
    <m/>
    <m/>
  </r>
  <r>
    <x v="49"/>
    <d v="2024-10-30T00:00:00"/>
    <s v="American Express"/>
    <x v="5131"/>
    <n v="79.92"/>
    <x v="5"/>
    <m/>
    <s v="Exp - Groceries"/>
    <m/>
    <m/>
    <m/>
    <m/>
    <m/>
    <m/>
    <x v="4563"/>
    <m/>
    <m/>
  </r>
  <r>
    <x v="49"/>
    <d v="2024-10-30T00:00:00"/>
    <s v="Powerplus - Ending in 8s30"/>
    <x v="3684"/>
    <n v="-3295.11"/>
    <x v="57"/>
    <m/>
    <s v="Inc - Jeff"/>
    <m/>
    <m/>
    <m/>
    <m/>
    <m/>
    <m/>
    <x v="3245"/>
    <m/>
    <m/>
  </r>
  <r>
    <x v="49"/>
    <d v="2024-10-30T00:00:00"/>
    <s v="American Express"/>
    <x v="5124"/>
    <n v="380.5"/>
    <x v="8"/>
    <m/>
    <s v="Exp - Shopping"/>
    <m/>
    <m/>
    <m/>
    <m/>
    <m/>
    <m/>
    <x v="4556"/>
    <m/>
    <m/>
  </r>
  <r>
    <x v="49"/>
    <d v="2024-10-30T00:00:00"/>
    <s v="American Express"/>
    <x v="5132"/>
    <n v="50.44"/>
    <x v="5"/>
    <m/>
    <s v="Exp - Groceries"/>
    <m/>
    <m/>
    <m/>
    <m/>
    <m/>
    <m/>
    <x v="4564"/>
    <m/>
    <m/>
  </r>
  <r>
    <x v="62"/>
    <d v="2024-08-26T00:00:00"/>
    <s v="Powerplus - Ending in 8s30"/>
    <x v="3729"/>
    <n v="800"/>
    <x v="3"/>
    <m/>
    <m/>
    <m/>
    <m/>
    <m/>
    <m/>
    <m/>
    <m/>
    <x v="3289"/>
    <m/>
    <m/>
  </r>
  <r>
    <x v="63"/>
    <d v="2024-11-26T00:00:00"/>
    <s v="Powerplus - Ending in 8s30"/>
    <x v="3729"/>
    <n v="800"/>
    <x v="3"/>
    <m/>
    <m/>
    <m/>
    <m/>
    <m/>
    <m/>
    <m/>
    <m/>
    <x v="3289"/>
    <m/>
    <m/>
  </r>
  <r>
    <x v="49"/>
    <d v="2024-10-31T00:00:00"/>
    <s v="Powerplus - Ending in 8s30"/>
    <x v="4407"/>
    <n v="183.92"/>
    <x v="11"/>
    <m/>
    <s v="Exp - Utilities"/>
    <m/>
    <m/>
    <m/>
    <m/>
    <m/>
    <m/>
    <x v="3913"/>
    <m/>
    <m/>
  </r>
  <r>
    <x v="63"/>
    <d v="2024-11-01T00:00:00"/>
    <s v="Cash Rewards Visa Signature - Ending in 5913"/>
    <x v="5133"/>
    <n v="6.49"/>
    <x v="0"/>
    <m/>
    <s v="Exp - Amazon"/>
    <m/>
    <m/>
    <m/>
    <m/>
    <m/>
    <m/>
    <x v="4565"/>
    <m/>
    <m/>
  </r>
  <r>
    <x v="63"/>
    <d v="2024-11-01T00:00:00"/>
    <s v="Powerplus - Ending in 8s30"/>
    <x v="1844"/>
    <n v="2745.43"/>
    <x v="6"/>
    <m/>
    <m/>
    <m/>
    <m/>
    <m/>
    <m/>
    <m/>
    <m/>
    <x v="1699"/>
    <m/>
    <m/>
  </r>
  <r>
    <x v="63"/>
    <d v="2024-11-01T00:00:00"/>
    <s v="Cash Rewards Visa Signature - Ending in 5913"/>
    <x v="5134"/>
    <n v="7.5"/>
    <x v="10"/>
    <m/>
    <s v="Exp - Entertainment"/>
    <m/>
    <m/>
    <m/>
    <m/>
    <m/>
    <m/>
    <x v="4566"/>
    <m/>
    <m/>
  </r>
  <r>
    <x v="50"/>
    <d v="2024-12-26T00:00:00"/>
    <s v="Powerplus - Ending in 8s30"/>
    <x v="3729"/>
    <n v="800"/>
    <x v="3"/>
    <m/>
    <m/>
    <m/>
    <m/>
    <m/>
    <m/>
    <m/>
    <m/>
    <x v="3289"/>
    <m/>
    <m/>
  </r>
  <r>
    <x v="23"/>
    <d v="2024-06-17T00:00:00"/>
    <s v="Delta Skymiles Platinum Card ( X ) - Ending in 1007"/>
    <x v="5135"/>
    <n v="80.400000000000006"/>
    <x v="3"/>
    <s v="Delete - Postage &amp; Shipping"/>
    <s v="Delete"/>
    <m/>
    <m/>
    <m/>
    <m/>
    <m/>
    <m/>
    <x v="4567"/>
    <m/>
    <m/>
  </r>
  <r>
    <x v="27"/>
    <d v="2024-07-23T00:00:00"/>
    <s v="Delta Skymiles Platinum Card ( X ) - Ending in 1007"/>
    <x v="5135"/>
    <n v="77.05"/>
    <x v="3"/>
    <s v="Delete - Postage &amp; Shipping"/>
    <s v="Delete"/>
    <m/>
    <m/>
    <m/>
    <m/>
    <m/>
    <m/>
    <x v="4567"/>
    <m/>
    <m/>
  </r>
  <r>
    <x v="63"/>
    <d v="2024-11-03T00:00:00"/>
    <s v="Discover"/>
    <x v="5136"/>
    <n v="16.100000000000001"/>
    <x v="0"/>
    <m/>
    <s v="Exp - Amazon"/>
    <m/>
    <m/>
    <m/>
    <m/>
    <m/>
    <m/>
    <x v="4568"/>
    <m/>
    <m/>
  </r>
  <r>
    <x v="63"/>
    <d v="2024-11-03T00:00:00"/>
    <s v="American Express"/>
    <x v="5137"/>
    <n v="20"/>
    <x v="10"/>
    <m/>
    <s v="Exp - Entertainment"/>
    <m/>
    <m/>
    <m/>
    <m/>
    <m/>
    <m/>
    <x v="4569"/>
    <m/>
    <m/>
  </r>
  <r>
    <x v="63"/>
    <d v="2024-11-04T00:00:00"/>
    <s v="Cash Rewards Visa Signature - Ending in 5913"/>
    <x v="5138"/>
    <n v="26.58"/>
    <x v="0"/>
    <m/>
    <s v="Exp - Amazon"/>
    <m/>
    <m/>
    <m/>
    <m/>
    <m/>
    <m/>
    <x v="4570"/>
    <m/>
    <m/>
  </r>
  <r>
    <x v="63"/>
    <d v="2024-11-04T00:00:00"/>
    <s v="Cash Rewards Visa Signature - Ending in 5913"/>
    <x v="5139"/>
    <n v="45"/>
    <x v="0"/>
    <m/>
    <s v="Exp - Amazon"/>
    <m/>
    <m/>
    <m/>
    <m/>
    <m/>
    <m/>
    <x v="4571"/>
    <m/>
    <m/>
  </r>
  <r>
    <x v="27"/>
    <d v="2024-07-23T00:00:00"/>
    <s v="Delta Skymiles Platinum Card ( X ) - Ending in 1007"/>
    <x v="5135"/>
    <n v="77.05"/>
    <x v="3"/>
    <s v="Delete - Postage &amp; Shipping"/>
    <s v="Delete"/>
    <m/>
    <m/>
    <m/>
    <m/>
    <m/>
    <m/>
    <x v="4567"/>
    <m/>
    <m/>
  </r>
  <r>
    <x v="63"/>
    <d v="2024-11-04T00:00:00"/>
    <s v="Powerplus - Ending in 8s30"/>
    <x v="1869"/>
    <n v="182.39"/>
    <x v="11"/>
    <m/>
    <m/>
    <m/>
    <m/>
    <m/>
    <m/>
    <m/>
    <m/>
    <x v="1723"/>
    <m/>
    <m/>
  </r>
  <r>
    <x v="63"/>
    <d v="2024-11-04T00:00:00"/>
    <s v="American Express"/>
    <x v="5140"/>
    <n v="-151.71"/>
    <x v="8"/>
    <m/>
    <s v="Exp - Shopping"/>
    <m/>
    <m/>
    <m/>
    <m/>
    <m/>
    <m/>
    <x v="4572"/>
    <m/>
    <m/>
  </r>
  <r>
    <x v="63"/>
    <d v="2024-11-04T00:00:00"/>
    <s v="Powerplus - Ending in 8s30"/>
    <x v="1827"/>
    <n v="1053"/>
    <x v="24"/>
    <m/>
    <s v="Exp - Travel"/>
    <m/>
    <m/>
    <m/>
    <m/>
    <m/>
    <m/>
    <x v="1682"/>
    <m/>
    <m/>
  </r>
  <r>
    <x v="63"/>
    <d v="2024-11-05T00:00:00"/>
    <s v="Discover"/>
    <x v="5141"/>
    <n v="56.84"/>
    <x v="0"/>
    <m/>
    <s v="Exp - Amazon"/>
    <m/>
    <m/>
    <m/>
    <m/>
    <m/>
    <m/>
    <x v="4573"/>
    <m/>
    <m/>
  </r>
  <r>
    <x v="62"/>
    <d v="2024-08-18T00:00:00"/>
    <s v="Delta Skymiles Platinum Card ( X ) - Ending in 1007"/>
    <x v="5135"/>
    <n v="85.1"/>
    <x v="3"/>
    <s v="Delete - Postage &amp; Shipping"/>
    <s v="Delete"/>
    <m/>
    <m/>
    <m/>
    <m/>
    <m/>
    <m/>
    <x v="4567"/>
    <m/>
    <m/>
  </r>
  <r>
    <x v="63"/>
    <d v="2024-11-05T00:00:00"/>
    <s v="Manual"/>
    <x v="1850"/>
    <n v="250"/>
    <x v="56"/>
    <m/>
    <s v="Exp - Cleaning"/>
    <m/>
    <m/>
    <m/>
    <m/>
    <m/>
    <m/>
    <x v="1705"/>
    <m/>
    <m/>
  </r>
  <r>
    <x v="65"/>
    <d v="2024-09-09T00:00:00"/>
    <s v="Delta Skymiles Platinum Card ( X ) - Ending in 1016"/>
    <x v="5142"/>
    <n v="77.05"/>
    <x v="3"/>
    <m/>
    <s v="Delete"/>
    <m/>
    <m/>
    <m/>
    <m/>
    <m/>
    <m/>
    <x v="4574"/>
    <m/>
    <m/>
  </r>
  <r>
    <x v="63"/>
    <d v="2024-11-05T00:00:00"/>
    <s v="Powerplus - Ending in 8s30"/>
    <x v="4688"/>
    <n v="380"/>
    <x v="4"/>
    <m/>
    <s v="Exp - Day Care"/>
    <m/>
    <m/>
    <m/>
    <m/>
    <m/>
    <m/>
    <x v="4153"/>
    <m/>
    <m/>
  </r>
  <r>
    <x v="63"/>
    <d v="2024-11-06T00:00:00"/>
    <s v="Discover"/>
    <x v="5143"/>
    <n v="37.76"/>
    <x v="0"/>
    <m/>
    <s v="Exp - Amazon"/>
    <m/>
    <m/>
    <m/>
    <m/>
    <m/>
    <m/>
    <x v="4575"/>
    <m/>
    <m/>
  </r>
  <r>
    <x v="63"/>
    <d v="2024-11-06T00:00:00"/>
    <s v="Discover"/>
    <x v="5144"/>
    <n v="26"/>
    <x v="0"/>
    <m/>
    <s v="Exp - Amazon"/>
    <m/>
    <m/>
    <m/>
    <m/>
    <m/>
    <m/>
    <x v="4576"/>
    <m/>
    <m/>
  </r>
  <r>
    <x v="63"/>
    <d v="2024-11-06T00:00:00"/>
    <s v="Discover"/>
    <x v="5145"/>
    <n v="64.760000000000005"/>
    <x v="0"/>
    <m/>
    <s v="Exp - Amazon"/>
    <m/>
    <m/>
    <m/>
    <m/>
    <m/>
    <m/>
    <x v="4577"/>
    <m/>
    <m/>
  </r>
  <r>
    <x v="63"/>
    <d v="2024-11-06T00:00:00"/>
    <s v="American Express"/>
    <x v="5146"/>
    <n v="11"/>
    <x v="2"/>
    <m/>
    <s v="Exp - Transportation"/>
    <m/>
    <m/>
    <m/>
    <m/>
    <m/>
    <m/>
    <x v="4578"/>
    <m/>
    <m/>
  </r>
  <r>
    <x v="63"/>
    <d v="2024-11-06T00:00:00"/>
    <s v="American Express"/>
    <x v="5147"/>
    <n v="7.64"/>
    <x v="1"/>
    <m/>
    <s v="Exp - Restaurants"/>
    <m/>
    <m/>
    <m/>
    <m/>
    <m/>
    <m/>
    <x v="4579"/>
    <m/>
    <m/>
  </r>
  <r>
    <x v="63"/>
    <d v="2024-11-06T00:00:00"/>
    <s v="American Express"/>
    <x v="5148"/>
    <n v="10.38"/>
    <x v="1"/>
    <m/>
    <s v="Exp - Restaurants"/>
    <m/>
    <m/>
    <m/>
    <m/>
    <m/>
    <m/>
    <x v="4580"/>
    <m/>
    <m/>
  </r>
  <r>
    <x v="63"/>
    <d v="2024-11-06T00:00:00"/>
    <s v="Powerplus - Ending in 8s30"/>
    <x v="1987"/>
    <n v="190.62"/>
    <x v="11"/>
    <m/>
    <m/>
    <m/>
    <m/>
    <m/>
    <m/>
    <m/>
    <m/>
    <x v="1837"/>
    <m/>
    <m/>
  </r>
  <r>
    <x v="63"/>
    <d v="2024-11-06T00:00:00"/>
    <s v="American Express"/>
    <x v="4991"/>
    <n v="6.49"/>
    <x v="10"/>
    <m/>
    <s v="Exp - Entertainment"/>
    <m/>
    <m/>
    <m/>
    <m/>
    <m/>
    <m/>
    <x v="4430"/>
    <m/>
    <m/>
  </r>
  <r>
    <x v="63"/>
    <d v="2024-11-07T00:00:00"/>
    <s v="Cash Rewards Visa Signature - Ending in 5913"/>
    <x v="5149"/>
    <n v="16.22"/>
    <x v="0"/>
    <m/>
    <s v="Exp - Amazon"/>
    <m/>
    <m/>
    <m/>
    <m/>
    <m/>
    <m/>
    <x v="4581"/>
    <m/>
    <m/>
  </r>
  <r>
    <x v="63"/>
    <d v="2024-11-07T00:00:00"/>
    <s v="Powerplus - Ending in 8s30"/>
    <x v="1893"/>
    <n v="-4131.47"/>
    <x v="34"/>
    <m/>
    <s v="Inc - Britney"/>
    <m/>
    <m/>
    <m/>
    <m/>
    <m/>
    <m/>
    <x v="1746"/>
    <m/>
    <m/>
  </r>
  <r>
    <x v="63"/>
    <d v="2024-11-08T00:00:00"/>
    <s v="American Express"/>
    <x v="5013"/>
    <n v="75.19"/>
    <x v="5"/>
    <m/>
    <s v="Exp - Groceries"/>
    <m/>
    <m/>
    <m/>
    <m/>
    <m/>
    <m/>
    <x v="4451"/>
    <m/>
    <m/>
  </r>
  <r>
    <x v="63"/>
    <d v="2024-11-08T00:00:00"/>
    <s v="American Express"/>
    <x v="4985"/>
    <n v="124.28"/>
    <x v="5"/>
    <m/>
    <s v="Exp - Groceries"/>
    <m/>
    <m/>
    <m/>
    <m/>
    <m/>
    <m/>
    <x v="4424"/>
    <m/>
    <m/>
  </r>
  <r>
    <x v="63"/>
    <d v="2024-11-08T00:00:00"/>
    <s v="American Express"/>
    <x v="5150"/>
    <n v="13.1"/>
    <x v="1"/>
    <m/>
    <s v="Exp - Restaurants"/>
    <m/>
    <m/>
    <m/>
    <m/>
    <m/>
    <m/>
    <x v="4582"/>
    <m/>
    <m/>
  </r>
  <r>
    <x v="63"/>
    <d v="2024-11-08T00:00:00"/>
    <s v="American Express"/>
    <x v="5151"/>
    <n v="64.28"/>
    <x v="2"/>
    <m/>
    <s v="Exp - Transportation"/>
    <m/>
    <m/>
    <m/>
    <m/>
    <m/>
    <m/>
    <x v="4583"/>
    <m/>
    <m/>
  </r>
  <r>
    <x v="63"/>
    <d v="2024-11-08T00:00:00"/>
    <s v="American Express"/>
    <x v="5152"/>
    <n v="107.88"/>
    <x v="29"/>
    <m/>
    <s v="Exp - Gifts"/>
    <m/>
    <m/>
    <m/>
    <m/>
    <m/>
    <m/>
    <x v="4584"/>
    <m/>
    <m/>
  </r>
  <r>
    <x v="27"/>
    <d v="2024-07-15T00:00:00"/>
    <s v="Delta Skymiles Platinum Card ( X ) - Ending in 1007"/>
    <x v="5153"/>
    <n v="59.39"/>
    <x v="3"/>
    <s v="Restaurants"/>
    <s v="Delete"/>
    <m/>
    <m/>
    <m/>
    <m/>
    <m/>
    <m/>
    <x v="4585"/>
    <m/>
    <m/>
  </r>
  <r>
    <x v="27"/>
    <d v="2024-07-31T00:00:00"/>
    <s v="Delta Skymiles Platinum Card ( X ) - Ending in 1007"/>
    <x v="5154"/>
    <n v="12.81"/>
    <x v="3"/>
    <s v="Restaurants"/>
    <s v="Delete"/>
    <m/>
    <m/>
    <m/>
    <m/>
    <m/>
    <m/>
    <x v="4586"/>
    <m/>
    <m/>
  </r>
  <r>
    <x v="63"/>
    <d v="2024-11-09T00:00:00"/>
    <s v="American Express"/>
    <x v="5155"/>
    <n v="71.03"/>
    <x v="8"/>
    <m/>
    <s v="Exp - Shopping"/>
    <m/>
    <m/>
    <m/>
    <m/>
    <m/>
    <m/>
    <x v="4587"/>
    <m/>
    <m/>
  </r>
  <r>
    <x v="63"/>
    <d v="2024-11-09T00:00:00"/>
    <s v="American Express"/>
    <x v="5156"/>
    <n v="205.42"/>
    <x v="8"/>
    <m/>
    <s v="Exp - Shopping"/>
    <m/>
    <m/>
    <m/>
    <m/>
    <m/>
    <m/>
    <x v="4588"/>
    <m/>
    <m/>
  </r>
  <r>
    <x v="63"/>
    <d v="2024-11-09T00:00:00"/>
    <s v="American Express"/>
    <x v="5157"/>
    <n v="53.75"/>
    <x v="10"/>
    <m/>
    <s v="Exp - Entertainment"/>
    <m/>
    <m/>
    <m/>
    <m/>
    <m/>
    <m/>
    <x v="4589"/>
    <m/>
    <m/>
  </r>
  <r>
    <x v="63"/>
    <d v="2024-11-09T00:00:00"/>
    <s v="American Express"/>
    <x v="5158"/>
    <n v="13.84"/>
    <x v="1"/>
    <m/>
    <s v="Exp - Restaurants"/>
    <m/>
    <m/>
    <m/>
    <m/>
    <m/>
    <m/>
    <x v="4590"/>
    <m/>
    <m/>
  </r>
  <r>
    <x v="63"/>
    <d v="2024-11-10T00:00:00"/>
    <s v="American Express"/>
    <x v="5159"/>
    <n v="36.79"/>
    <x v="10"/>
    <m/>
    <s v="Exp - Entertainment"/>
    <m/>
    <m/>
    <m/>
    <m/>
    <m/>
    <m/>
    <x v="4591"/>
    <m/>
    <m/>
  </r>
  <r>
    <x v="63"/>
    <d v="2024-11-10T00:00:00"/>
    <s v="American Express"/>
    <x v="5160"/>
    <n v="45.57"/>
    <x v="2"/>
    <m/>
    <s v="Exp - Transportation"/>
    <m/>
    <m/>
    <m/>
    <m/>
    <m/>
    <m/>
    <x v="4592"/>
    <m/>
    <m/>
  </r>
  <r>
    <x v="63"/>
    <d v="2024-11-10T00:00:00"/>
    <s v="American Express"/>
    <x v="5161"/>
    <n v="105.17"/>
    <x v="24"/>
    <m/>
    <s v="Exp - Travel"/>
    <m/>
    <m/>
    <m/>
    <m/>
    <m/>
    <m/>
    <x v="4593"/>
    <m/>
    <m/>
  </r>
  <r>
    <x v="63"/>
    <d v="2024-11-10T00:00:00"/>
    <s v="Cash Rewards Visa Signature - Ending in 5913"/>
    <x v="5162"/>
    <n v="57.55"/>
    <x v="10"/>
    <m/>
    <s v="Exp - Entertainment"/>
    <m/>
    <m/>
    <m/>
    <m/>
    <m/>
    <m/>
    <x v="4594"/>
    <m/>
    <m/>
  </r>
  <r>
    <x v="63"/>
    <d v="2024-11-10T00:00:00"/>
    <s v="American Express"/>
    <x v="5163"/>
    <n v="15.01"/>
    <x v="1"/>
    <m/>
    <s v="Exp - Restaurants"/>
    <m/>
    <m/>
    <m/>
    <m/>
    <m/>
    <m/>
    <x v="4595"/>
    <m/>
    <m/>
  </r>
  <r>
    <x v="63"/>
    <d v="2024-11-11T00:00:00"/>
    <s v="American Express"/>
    <x v="5151"/>
    <n v="50.12"/>
    <x v="2"/>
    <m/>
    <s v="Exp - Transportation"/>
    <m/>
    <m/>
    <m/>
    <m/>
    <m/>
    <m/>
    <x v="4583"/>
    <m/>
    <m/>
  </r>
  <r>
    <x v="63"/>
    <d v="2024-11-11T00:00:00"/>
    <s v="Cash Rewards Visa Signature - Ending in 5913"/>
    <x v="99"/>
    <n v="25.6"/>
    <x v="11"/>
    <m/>
    <m/>
    <m/>
    <m/>
    <m/>
    <m/>
    <m/>
    <m/>
    <x v="99"/>
    <m/>
    <m/>
  </r>
  <r>
    <x v="62"/>
    <d v="2024-08-01T00:00:00"/>
    <s v="Delta Skymiles Platinum Card ( X ) - Ending in 1007"/>
    <x v="5154"/>
    <n v="11.43"/>
    <x v="3"/>
    <s v="Restaurants"/>
    <s v="Delete"/>
    <m/>
    <m/>
    <m/>
    <m/>
    <m/>
    <m/>
    <x v="4586"/>
    <m/>
    <m/>
  </r>
  <r>
    <x v="63"/>
    <d v="2024-11-11T00:00:00"/>
    <s v="American Express"/>
    <x v="5164"/>
    <n v="258.8"/>
    <x v="8"/>
    <m/>
    <s v="Exp - Shopping"/>
    <m/>
    <m/>
    <m/>
    <m/>
    <m/>
    <m/>
    <x v="4596"/>
    <m/>
    <m/>
  </r>
  <r>
    <x v="63"/>
    <d v="2024-11-11T00:00:00"/>
    <s v="American Express"/>
    <x v="5165"/>
    <n v="41.61"/>
    <x v="1"/>
    <m/>
    <s v="Exp - Restaurants"/>
    <m/>
    <m/>
    <m/>
    <m/>
    <m/>
    <m/>
    <x v="4597"/>
    <m/>
    <m/>
  </r>
  <r>
    <x v="63"/>
    <d v="2024-11-12T00:00:00"/>
    <s v="Discover"/>
    <x v="5166"/>
    <n v="128.59"/>
    <x v="0"/>
    <m/>
    <s v="Exp - Amazon"/>
    <m/>
    <m/>
    <m/>
    <m/>
    <m/>
    <m/>
    <x v="4598"/>
    <m/>
    <m/>
  </r>
  <r>
    <x v="63"/>
    <d v="2024-11-12T00:00:00"/>
    <s v="American Express"/>
    <x v="5071"/>
    <n v="55"/>
    <x v="8"/>
    <m/>
    <s v="Exp - Shopping"/>
    <m/>
    <m/>
    <m/>
    <m/>
    <m/>
    <m/>
    <x v="4507"/>
    <m/>
    <m/>
  </r>
  <r>
    <x v="63"/>
    <d v="2024-11-12T00:00:00"/>
    <s v="Cash Rewards Visa Signature - Ending in 5913"/>
    <x v="4982"/>
    <n v="8.7100000000000009"/>
    <x v="10"/>
    <m/>
    <s v="Exp - Entertainment"/>
    <m/>
    <m/>
    <m/>
    <m/>
    <m/>
    <m/>
    <x v="4421"/>
    <m/>
    <m/>
  </r>
  <r>
    <x v="65"/>
    <d v="2024-09-20T00:00:00"/>
    <s v="American Express"/>
    <x v="5167"/>
    <n v="322.36"/>
    <x v="3"/>
    <m/>
    <s v="Delete"/>
    <m/>
    <m/>
    <m/>
    <m/>
    <m/>
    <m/>
    <x v="4599"/>
    <m/>
    <m/>
  </r>
  <r>
    <x v="63"/>
    <d v="2024-11-13T00:00:00"/>
    <s v="Powerplus - Ending in 8s30"/>
    <x v="3652"/>
    <n v="-34.840000000000003"/>
    <x v="34"/>
    <m/>
    <s v="Inc - Britney"/>
    <m/>
    <m/>
    <m/>
    <m/>
    <m/>
    <m/>
    <x v="3214"/>
    <m/>
    <m/>
  </r>
  <r>
    <x v="63"/>
    <d v="2024-11-13T00:00:00"/>
    <s v="Discover"/>
    <x v="1885"/>
    <n v="-4.0199999999999996"/>
    <x v="23"/>
    <m/>
    <m/>
    <m/>
    <m/>
    <m/>
    <m/>
    <m/>
    <m/>
    <x v="1738"/>
    <m/>
    <m/>
  </r>
  <r>
    <x v="23"/>
    <d v="2024-06-17T00:00:00"/>
    <s v="Delta Skymiles Platinum Card ( X ) - Ending in 1007"/>
    <x v="5168"/>
    <n v="45.85"/>
    <x v="3"/>
    <s v="Restaurants"/>
    <s v="Delete"/>
    <m/>
    <m/>
    <m/>
    <m/>
    <m/>
    <m/>
    <x v="4600"/>
    <m/>
    <m/>
  </r>
  <r>
    <x v="63"/>
    <d v="2024-11-13T00:00:00"/>
    <s v="American Express"/>
    <x v="5169"/>
    <n v="43.75"/>
    <x v="5"/>
    <m/>
    <s v="Exp - Groceries"/>
    <m/>
    <m/>
    <m/>
    <m/>
    <m/>
    <m/>
    <x v="4601"/>
    <m/>
    <m/>
  </r>
  <r>
    <x v="63"/>
    <d v="2024-11-13T00:00:00"/>
    <s v="Cash Rewards Visa Signature - Ending in 5913"/>
    <x v="1993"/>
    <n v="45"/>
    <x v="11"/>
    <m/>
    <m/>
    <m/>
    <m/>
    <m/>
    <m/>
    <m/>
    <m/>
    <x v="1843"/>
    <m/>
    <m/>
  </r>
  <r>
    <x v="63"/>
    <d v="2024-11-13T00:00:00"/>
    <s v="Powerplus - Ending in 8s30"/>
    <x v="5170"/>
    <n v="380"/>
    <x v="4"/>
    <m/>
    <s v="Exp - Day Care"/>
    <m/>
    <m/>
    <m/>
    <m/>
    <m/>
    <m/>
    <x v="4602"/>
    <m/>
    <m/>
  </r>
  <r>
    <x v="63"/>
    <d v="2024-11-14T00:00:00"/>
    <s v="American Express"/>
    <x v="5171"/>
    <n v="488"/>
    <x v="10"/>
    <m/>
    <s v="Exp - Entertainment"/>
    <m/>
    <m/>
    <m/>
    <m/>
    <m/>
    <m/>
    <x v="4603"/>
    <m/>
    <m/>
  </r>
  <r>
    <x v="63"/>
    <d v="2024-11-14T00:00:00"/>
    <s v="American Express"/>
    <x v="5172"/>
    <n v="385.5"/>
    <x v="24"/>
    <m/>
    <s v="Exp - Travel"/>
    <m/>
    <m/>
    <m/>
    <m/>
    <m/>
    <m/>
    <x v="4604"/>
    <m/>
    <m/>
  </r>
  <r>
    <x v="63"/>
    <d v="2024-11-14T00:00:00"/>
    <s v="American Express"/>
    <x v="5173"/>
    <n v="220"/>
    <x v="24"/>
    <m/>
    <s v="Exp - Travel"/>
    <m/>
    <m/>
    <m/>
    <m/>
    <m/>
    <m/>
    <x v="4605"/>
    <m/>
    <m/>
  </r>
  <r>
    <x v="63"/>
    <d v="2024-11-14T00:00:00"/>
    <s v="American Express"/>
    <x v="4988"/>
    <n v="20"/>
    <x v="11"/>
    <m/>
    <s v="Exp - Utilities"/>
    <m/>
    <m/>
    <m/>
    <m/>
    <m/>
    <m/>
    <x v="4427"/>
    <m/>
    <m/>
  </r>
  <r>
    <x v="63"/>
    <d v="2024-11-14T00:00:00"/>
    <s v="Powerplus - Ending in 8s30"/>
    <x v="3693"/>
    <n v="120.47"/>
    <x v="16"/>
    <m/>
    <m/>
    <m/>
    <m/>
    <m/>
    <m/>
    <m/>
    <m/>
    <x v="3254"/>
    <m/>
    <m/>
  </r>
  <r>
    <x v="65"/>
    <d v="2024-09-10T00:00:00"/>
    <s v="Delta Skymiles Platinum Card ( X ) - Ending in 1012"/>
    <x v="5174"/>
    <n v="45.3"/>
    <x v="3"/>
    <m/>
    <s v="Delete"/>
    <m/>
    <m/>
    <m/>
    <m/>
    <m/>
    <m/>
    <x v="4606"/>
    <m/>
    <m/>
  </r>
  <r>
    <x v="63"/>
    <d v="2024-11-14T00:00:00"/>
    <s v="Powerplus - Ending in 8s30"/>
    <x v="3684"/>
    <n v="-4351.62"/>
    <x v="57"/>
    <m/>
    <s v="Inc - Jeff"/>
    <m/>
    <m/>
    <m/>
    <m/>
    <m/>
    <m/>
    <x v="3245"/>
    <m/>
    <m/>
  </r>
  <r>
    <x v="63"/>
    <d v="2024-11-14T00:00:00"/>
    <s v="American Express"/>
    <x v="5175"/>
    <n v="106.25"/>
    <x v="8"/>
    <m/>
    <s v="Exp - Shopping"/>
    <m/>
    <m/>
    <m/>
    <m/>
    <m/>
    <m/>
    <x v="4607"/>
    <m/>
    <m/>
  </r>
  <r>
    <x v="63"/>
    <d v="2024-11-15T00:00:00"/>
    <s v="Discover"/>
    <x v="5176"/>
    <n v="42.24"/>
    <x v="0"/>
    <m/>
    <s v="Exp - Amazon"/>
    <m/>
    <m/>
    <m/>
    <m/>
    <m/>
    <m/>
    <x v="4608"/>
    <m/>
    <m/>
  </r>
  <r>
    <x v="63"/>
    <d v="2024-11-15T00:00:00"/>
    <s v="American Express"/>
    <x v="4985"/>
    <n v="116.75"/>
    <x v="5"/>
    <m/>
    <s v="Exp - Groceries"/>
    <m/>
    <m/>
    <m/>
    <m/>
    <m/>
    <m/>
    <x v="4424"/>
    <m/>
    <m/>
  </r>
  <r>
    <x v="63"/>
    <d v="2024-11-15T00:00:00"/>
    <s v="American Express"/>
    <x v="5177"/>
    <n v="161.29"/>
    <x v="1"/>
    <m/>
    <s v="Exp - Restaurants"/>
    <m/>
    <m/>
    <m/>
    <m/>
    <m/>
    <m/>
    <x v="4609"/>
    <m/>
    <m/>
  </r>
  <r>
    <x v="63"/>
    <d v="2024-11-15T00:00:00"/>
    <s v="Powerplus - Ending in 8s30"/>
    <x v="1827"/>
    <n v="125"/>
    <x v="8"/>
    <m/>
    <m/>
    <m/>
    <m/>
    <m/>
    <m/>
    <m/>
    <m/>
    <x v="1682"/>
    <m/>
    <m/>
  </r>
  <r>
    <x v="63"/>
    <d v="2024-11-16T00:00:00"/>
    <s v="American Express"/>
    <x v="5178"/>
    <n v="57"/>
    <x v="4"/>
    <m/>
    <s v="Exp - Day Care"/>
    <m/>
    <m/>
    <m/>
    <m/>
    <m/>
    <m/>
    <x v="4610"/>
    <m/>
    <m/>
  </r>
  <r>
    <x v="63"/>
    <d v="2024-11-16T00:00:00"/>
    <s v="American Express"/>
    <x v="5179"/>
    <n v="14.96"/>
    <x v="5"/>
    <m/>
    <s v="Exp - Groceries"/>
    <m/>
    <m/>
    <m/>
    <m/>
    <m/>
    <m/>
    <x v="4611"/>
    <m/>
    <m/>
  </r>
  <r>
    <x v="63"/>
    <d v="2024-11-16T00:00:00"/>
    <s v="American Express"/>
    <x v="5180"/>
    <n v="38.049999999999997"/>
    <x v="1"/>
    <m/>
    <s v="Exp - Restaurants"/>
    <m/>
    <m/>
    <m/>
    <m/>
    <m/>
    <m/>
    <x v="4612"/>
    <m/>
    <m/>
  </r>
  <r>
    <x v="63"/>
    <d v="2024-11-16T00:00:00"/>
    <s v="American Express"/>
    <x v="5015"/>
    <n v="38.99"/>
    <x v="11"/>
    <m/>
    <s v="Exp - Utilities"/>
    <m/>
    <m/>
    <m/>
    <m/>
    <m/>
    <m/>
    <x v="4453"/>
    <m/>
    <m/>
  </r>
  <r>
    <x v="63"/>
    <d v="2024-11-16T00:00:00"/>
    <s v="American Express"/>
    <x v="5181"/>
    <n v="61.7"/>
    <x v="28"/>
    <m/>
    <s v="Exp - Misc"/>
    <m/>
    <m/>
    <m/>
    <m/>
    <m/>
    <m/>
    <x v="4613"/>
    <m/>
    <m/>
  </r>
  <r>
    <x v="63"/>
    <d v="2024-11-17T00:00:00"/>
    <s v="Cash Rewards Visa Signature - Ending in 5913"/>
    <x v="4158"/>
    <n v="39.64"/>
    <x v="5"/>
    <m/>
    <m/>
    <m/>
    <m/>
    <m/>
    <m/>
    <m/>
    <m/>
    <x v="3690"/>
    <m/>
    <m/>
  </r>
  <r>
    <x v="23"/>
    <d v="2024-06-06T00:00:00"/>
    <s v="Delta Skymiles Platinum Card ( X ) - Ending in 1007"/>
    <x v="5182"/>
    <n v="82.5"/>
    <x v="3"/>
    <s v="Restaurants"/>
    <s v="Delete"/>
    <m/>
    <m/>
    <m/>
    <m/>
    <m/>
    <m/>
    <x v="4614"/>
    <m/>
    <m/>
  </r>
  <r>
    <x v="63"/>
    <d v="2024-11-20T00:00:00"/>
    <s v="Cash Rewards Visa Signature - Ending in 5913"/>
    <x v="5183"/>
    <n v="79.599999999999994"/>
    <x v="3"/>
    <m/>
    <s v="Delete"/>
    <m/>
    <m/>
    <m/>
    <m/>
    <m/>
    <m/>
    <x v="4615"/>
    <m/>
    <m/>
  </r>
  <r>
    <x v="27"/>
    <d v="2024-07-14T00:00:00"/>
    <s v="Cash Rewards Visa Signature - Ending in 5913"/>
    <x v="1941"/>
    <n v="67.72"/>
    <x v="3"/>
    <m/>
    <s v="Delete"/>
    <m/>
    <m/>
    <m/>
    <m/>
    <m/>
    <m/>
    <x v="1794"/>
    <m/>
    <m/>
  </r>
  <r>
    <x v="63"/>
    <d v="2024-11-17T00:00:00"/>
    <s v="Cash Rewards Visa Signature - Ending in 5913"/>
    <x v="4649"/>
    <n v="71.25"/>
    <x v="8"/>
    <m/>
    <s v="Exp - Shopping"/>
    <m/>
    <m/>
    <m/>
    <m/>
    <m/>
    <m/>
    <x v="4120"/>
    <m/>
    <m/>
  </r>
  <r>
    <x v="63"/>
    <d v="2024-11-17T00:00:00"/>
    <s v="American Express"/>
    <x v="5124"/>
    <n v="-190"/>
    <x v="8"/>
    <m/>
    <s v="Exp - Shopping"/>
    <m/>
    <m/>
    <m/>
    <m/>
    <m/>
    <m/>
    <x v="4556"/>
    <m/>
    <m/>
  </r>
  <r>
    <x v="63"/>
    <d v="2024-11-18T00:00:00"/>
    <s v="Discover"/>
    <x v="5184"/>
    <n v="118.24"/>
    <x v="0"/>
    <m/>
    <s v="Exp - Amazon"/>
    <m/>
    <m/>
    <m/>
    <m/>
    <m/>
    <m/>
    <x v="4616"/>
    <m/>
    <m/>
  </r>
  <r>
    <x v="63"/>
    <d v="2024-11-18T00:00:00"/>
    <s v="American Express"/>
    <x v="5070"/>
    <n v="-120"/>
    <x v="8"/>
    <m/>
    <s v="Exp - Shopping"/>
    <m/>
    <m/>
    <m/>
    <m/>
    <m/>
    <m/>
    <x v="4506"/>
    <m/>
    <m/>
  </r>
  <r>
    <x v="63"/>
    <d v="2024-11-18T00:00:00"/>
    <s v="American Express"/>
    <x v="4959"/>
    <n v="-102.4"/>
    <x v="8"/>
    <m/>
    <s v="Exp - Shopping"/>
    <m/>
    <m/>
    <m/>
    <m/>
    <m/>
    <m/>
    <x v="4399"/>
    <m/>
    <m/>
  </r>
  <r>
    <x v="63"/>
    <d v="2024-11-18T00:00:00"/>
    <s v="American Express"/>
    <x v="5041"/>
    <n v="59.22"/>
    <x v="5"/>
    <m/>
    <s v="Exp - Groceries"/>
    <m/>
    <m/>
    <m/>
    <m/>
    <m/>
    <m/>
    <x v="4478"/>
    <m/>
    <m/>
  </r>
  <r>
    <x v="62"/>
    <d v="2024-08-02T00:00:00"/>
    <s v="Delta Skymiles Platinum Card ( X ) - Ending in 1007"/>
    <x v="5185"/>
    <n v="1254.3900000000001"/>
    <x v="3"/>
    <s v="Restaurants"/>
    <s v="Delete"/>
    <m/>
    <m/>
    <m/>
    <m/>
    <m/>
    <m/>
    <x v="4617"/>
    <m/>
    <m/>
  </r>
  <r>
    <x v="63"/>
    <d v="2024-11-18T00:00:00"/>
    <s v="American Express"/>
    <x v="5186"/>
    <n v="22.25"/>
    <x v="8"/>
    <m/>
    <s v="Exp - Shopping"/>
    <m/>
    <m/>
    <m/>
    <m/>
    <m/>
    <m/>
    <x v="4618"/>
    <m/>
    <m/>
  </r>
  <r>
    <x v="63"/>
    <d v="2024-11-18T00:00:00"/>
    <s v="American Express"/>
    <x v="5187"/>
    <n v="110"/>
    <x v="8"/>
    <m/>
    <s v="Exp - Shopping"/>
    <m/>
    <m/>
    <m/>
    <m/>
    <m/>
    <m/>
    <x v="4619"/>
    <m/>
    <m/>
  </r>
  <r>
    <x v="63"/>
    <d v="2024-11-18T00:00:00"/>
    <s v="Cash Rewards Visa Signature - Ending in 5913"/>
    <x v="4158"/>
    <n v="39.299999999999997"/>
    <x v="5"/>
    <m/>
    <m/>
    <m/>
    <m/>
    <m/>
    <m/>
    <m/>
    <m/>
    <x v="3690"/>
    <m/>
    <m/>
  </r>
  <r>
    <x v="63"/>
    <d v="2024-11-18T00:00:00"/>
    <s v="American Express"/>
    <x v="5188"/>
    <n v="63.75"/>
    <x v="1"/>
    <m/>
    <s v="Exp - Restaurants"/>
    <m/>
    <m/>
    <m/>
    <m/>
    <m/>
    <m/>
    <x v="4620"/>
    <m/>
    <m/>
  </r>
  <r>
    <x v="23"/>
    <d v="2024-06-20T00:00:00"/>
    <s v="Delta Skymiles Platinum Card ( X ) - Ending in 1007"/>
    <x v="4820"/>
    <n v="736.38"/>
    <x v="3"/>
    <s v="Travel"/>
    <s v="Delete"/>
    <s v="Emp conf"/>
    <m/>
    <m/>
    <m/>
    <m/>
    <m/>
    <x v="4266"/>
    <m/>
    <m/>
  </r>
  <r>
    <x v="63"/>
    <d v="2024-11-19T00:00:00"/>
    <s v="American Express"/>
    <x v="57"/>
    <n v="134.01"/>
    <x v="5"/>
    <m/>
    <s v="Exp - Groceries"/>
    <m/>
    <m/>
    <m/>
    <m/>
    <m/>
    <m/>
    <x v="57"/>
    <m/>
    <m/>
  </r>
  <r>
    <x v="63"/>
    <d v="2024-11-19T00:00:00"/>
    <s v="Discover"/>
    <x v="5189"/>
    <n v="2.37"/>
    <x v="0"/>
    <m/>
    <s v="Exp - Amazon"/>
    <m/>
    <m/>
    <m/>
    <m/>
    <m/>
    <m/>
    <x v="4621"/>
    <m/>
    <m/>
  </r>
  <r>
    <x v="63"/>
    <d v="2024-11-19T00:00:00"/>
    <s v="American Express"/>
    <x v="5190"/>
    <n v="45"/>
    <x v="1"/>
    <m/>
    <s v="Exp - Restaurants"/>
    <m/>
    <m/>
    <m/>
    <m/>
    <m/>
    <m/>
    <x v="4622"/>
    <m/>
    <m/>
  </r>
  <r>
    <x v="63"/>
    <d v="2024-11-19T00:00:00"/>
    <s v="American Express"/>
    <x v="5113"/>
    <n v="75"/>
    <x v="4"/>
    <m/>
    <s v="Exp - Day Care"/>
    <m/>
    <m/>
    <m/>
    <m/>
    <m/>
    <m/>
    <x v="4545"/>
    <m/>
    <s v="ask brit"/>
  </r>
  <r>
    <x v="63"/>
    <d v="2024-11-19T00:00:00"/>
    <s v="American Express"/>
    <x v="5113"/>
    <n v="501"/>
    <x v="4"/>
    <m/>
    <s v="Exp - Day Care"/>
    <m/>
    <m/>
    <m/>
    <m/>
    <m/>
    <m/>
    <x v="4545"/>
    <m/>
    <s v="ask brit"/>
  </r>
  <r>
    <x v="63"/>
    <d v="2024-11-19T00:00:00"/>
    <s v="American Express"/>
    <x v="5191"/>
    <n v="300.19"/>
    <x v="8"/>
    <m/>
    <s v="Exp - Shopping"/>
    <m/>
    <m/>
    <m/>
    <m/>
    <m/>
    <m/>
    <x v="4623"/>
    <m/>
    <m/>
  </r>
  <r>
    <x v="63"/>
    <d v="2024-11-19T00:00:00"/>
    <s v="Cash Rewards Visa Signature - Ending in 5913"/>
    <x v="5192"/>
    <n v="47.14"/>
    <x v="5"/>
    <m/>
    <s v="Exp - Groceries"/>
    <m/>
    <m/>
    <m/>
    <m/>
    <m/>
    <m/>
    <x v="4624"/>
    <m/>
    <m/>
  </r>
  <r>
    <x v="27"/>
    <d v="2024-07-28T00:00:00"/>
    <s v="Delta Skymiles Platinum Card ( X ) - Ending in 1007"/>
    <x v="4820"/>
    <n v="50"/>
    <x v="3"/>
    <s v="Travel"/>
    <s v="Delete"/>
    <m/>
    <m/>
    <m/>
    <m/>
    <m/>
    <m/>
    <x v="4266"/>
    <m/>
    <m/>
  </r>
  <r>
    <x v="63"/>
    <d v="2024-11-19T00:00:00"/>
    <s v="Powerplus - Ending in 8s30"/>
    <x v="1849"/>
    <n v="2.99"/>
    <x v="8"/>
    <m/>
    <m/>
    <m/>
    <m/>
    <m/>
    <m/>
    <m/>
    <m/>
    <x v="1704"/>
    <m/>
    <m/>
  </r>
  <r>
    <x v="63"/>
    <d v="2024-11-19T00:00:00"/>
    <s v="Cash Rewards Visa Signature - Ending in 5913"/>
    <x v="1941"/>
    <n v="24.75"/>
    <x v="2"/>
    <m/>
    <m/>
    <m/>
    <m/>
    <m/>
    <m/>
    <m/>
    <m/>
    <x v="1794"/>
    <m/>
    <m/>
  </r>
  <r>
    <x v="63"/>
    <d v="2024-11-19T00:00:00"/>
    <s v="Powerplus - Ending in 8s30"/>
    <x v="5193"/>
    <n v="380"/>
    <x v="4"/>
    <m/>
    <s v="Exp - Day Care"/>
    <m/>
    <m/>
    <m/>
    <m/>
    <m/>
    <m/>
    <x v="4602"/>
    <m/>
    <m/>
  </r>
  <r>
    <x v="63"/>
    <d v="2024-11-20T00:00:00"/>
    <s v="Cash Rewards Visa Signature - Ending in 5913"/>
    <x v="5194"/>
    <n v="1.99"/>
    <x v="11"/>
    <m/>
    <s v="Exp - Utilities"/>
    <m/>
    <m/>
    <m/>
    <m/>
    <m/>
    <m/>
    <x v="4625"/>
    <m/>
    <m/>
  </r>
  <r>
    <x v="63"/>
    <d v="2024-11-20T00:00:00"/>
    <s v="Powerplus - Ending in 8s30"/>
    <x v="308"/>
    <n v="202.25"/>
    <x v="8"/>
    <m/>
    <s v="Exp - Shopping"/>
    <m/>
    <m/>
    <m/>
    <m/>
    <m/>
    <m/>
    <x v="300"/>
    <m/>
    <m/>
  </r>
  <r>
    <x v="63"/>
    <d v="2024-11-20T00:00:00"/>
    <s v="American Express"/>
    <x v="5124"/>
    <n v="-190"/>
    <x v="8"/>
    <m/>
    <s v="Exp - Shopping"/>
    <m/>
    <m/>
    <m/>
    <m/>
    <m/>
    <m/>
    <x v="4556"/>
    <m/>
    <m/>
  </r>
  <r>
    <x v="62"/>
    <d v="2024-08-14T00:00:00"/>
    <s v="Delta Skymiles Platinum Card ( X ) - Ending in 1007"/>
    <x v="4820"/>
    <n v="4.28"/>
    <x v="3"/>
    <s v="Travel"/>
    <s v="Delete"/>
    <m/>
    <m/>
    <m/>
    <m/>
    <m/>
    <m/>
    <x v="4266"/>
    <m/>
    <m/>
  </r>
  <r>
    <x v="62"/>
    <d v="2024-08-15T00:00:00"/>
    <s v="Delta Skymiles Platinum Card ( X ) - Ending in 1007"/>
    <x v="4820"/>
    <n v="454.99"/>
    <x v="3"/>
    <s v="Travel"/>
    <s v="Delete"/>
    <m/>
    <m/>
    <m/>
    <m/>
    <m/>
    <m/>
    <x v="4266"/>
    <m/>
    <m/>
  </r>
  <r>
    <x v="63"/>
    <d v="2024-11-21T00:00:00"/>
    <s v="American Express"/>
    <x v="5195"/>
    <n v="45.79"/>
    <x v="8"/>
    <m/>
    <s v="Exp - Shopping"/>
    <m/>
    <m/>
    <m/>
    <m/>
    <m/>
    <m/>
    <x v="4626"/>
    <m/>
    <m/>
  </r>
  <r>
    <x v="63"/>
    <d v="2024-11-21T00:00:00"/>
    <s v="American Express"/>
    <x v="5196"/>
    <n v="15.25"/>
    <x v="1"/>
    <m/>
    <s v="Exp - Restaurants"/>
    <m/>
    <m/>
    <m/>
    <m/>
    <m/>
    <m/>
    <x v="4627"/>
    <m/>
    <m/>
  </r>
  <r>
    <x v="65"/>
    <d v="2024-09-19T00:00:00"/>
    <s v="Powerplus - Ending in 8s30"/>
    <x v="5197"/>
    <n v="66.17"/>
    <x v="3"/>
    <m/>
    <s v="Delete"/>
    <m/>
    <m/>
    <m/>
    <m/>
    <m/>
    <m/>
    <x v="4628"/>
    <m/>
    <m/>
  </r>
  <r>
    <x v="63"/>
    <d v="2024-11-21T00:00:00"/>
    <s v="Cash Rewards Visa Signature - Ending in 5913"/>
    <x v="5198"/>
    <n v="11"/>
    <x v="19"/>
    <m/>
    <s v="Exp - House Maint"/>
    <m/>
    <m/>
    <m/>
    <m/>
    <m/>
    <m/>
    <x v="4629"/>
    <m/>
    <m/>
  </r>
  <r>
    <x v="62"/>
    <d v="2024-08-16T00:00:00"/>
    <s v="Powerplus - Ending in 8s30"/>
    <x v="5199"/>
    <n v="283.05"/>
    <x v="3"/>
    <m/>
    <s v="Delete"/>
    <m/>
    <m/>
    <m/>
    <m/>
    <m/>
    <m/>
    <x v="4628"/>
    <m/>
    <m/>
  </r>
  <r>
    <x v="63"/>
    <d v="2024-11-21T00:00:00"/>
    <s v="Powerplus - Ending in 8s30"/>
    <x v="1893"/>
    <n v="-4156.46"/>
    <x v="34"/>
    <m/>
    <s v="Inc - Britney"/>
    <m/>
    <m/>
    <m/>
    <m/>
    <m/>
    <m/>
    <x v="1746"/>
    <m/>
    <m/>
  </r>
  <r>
    <x v="63"/>
    <d v="2024-11-21T00:00:00"/>
    <s v="Powerplus - Ending in 8s30"/>
    <x v="5200"/>
    <n v="-1500.61"/>
    <x v="57"/>
    <m/>
    <s v="Inc - Jeff"/>
    <m/>
    <m/>
    <m/>
    <m/>
    <m/>
    <m/>
    <x v="3260"/>
    <m/>
    <m/>
  </r>
  <r>
    <x v="63"/>
    <d v="2024-11-21T00:00:00"/>
    <s v="American Express"/>
    <x v="5201"/>
    <n v="100"/>
    <x v="4"/>
    <m/>
    <s v="Exp - Day Care"/>
    <m/>
    <m/>
    <m/>
    <m/>
    <m/>
    <m/>
    <x v="4630"/>
    <m/>
    <m/>
  </r>
  <r>
    <x v="63"/>
    <d v="2024-11-21T00:00:00"/>
    <s v="Cash Rewards Visa Signature - Ending in 5913"/>
    <x v="5202"/>
    <n v="4.24"/>
    <x v="2"/>
    <m/>
    <s v="Exp - Transportation"/>
    <m/>
    <m/>
    <m/>
    <m/>
    <m/>
    <m/>
    <x v="4631"/>
    <m/>
    <m/>
  </r>
  <r>
    <x v="63"/>
    <d v="2024-11-01T00:00:00"/>
    <s v="Powerplus - Ending in 8s30"/>
    <x v="5203"/>
    <n v="650"/>
    <x v="3"/>
    <m/>
    <s v="Delete"/>
    <m/>
    <m/>
    <m/>
    <m/>
    <m/>
    <m/>
    <x v="4491"/>
    <m/>
    <m/>
  </r>
  <r>
    <x v="63"/>
    <d v="2024-11-21T00:00:00"/>
    <s v="Powerplus - Ending in 8s30"/>
    <x v="5204"/>
    <n v="79.739999999999995"/>
    <x v="11"/>
    <m/>
    <s v="Exp - Utilities"/>
    <m/>
    <m/>
    <m/>
    <m/>
    <m/>
    <m/>
    <x v="3287"/>
    <m/>
    <m/>
  </r>
  <r>
    <x v="50"/>
    <d v="2024-12-02T00:00:00"/>
    <s v="Powerplus - Ending in 8s30"/>
    <x v="5205"/>
    <n v="650"/>
    <x v="3"/>
    <m/>
    <s v="Delete"/>
    <m/>
    <m/>
    <m/>
    <m/>
    <m/>
    <m/>
    <x v="4491"/>
    <m/>
    <m/>
  </r>
  <r>
    <x v="50"/>
    <d v="2024-12-27T00:00:00"/>
    <s v="Powerplus - Ending in 8s30"/>
    <x v="5206"/>
    <n v="100"/>
    <x v="3"/>
    <m/>
    <s v="Delete"/>
    <m/>
    <m/>
    <m/>
    <m/>
    <m/>
    <m/>
    <x v="4632"/>
    <m/>
    <m/>
  </r>
  <r>
    <x v="50"/>
    <d v="2024-12-18T00:00:00"/>
    <s v="Powerplus - Ending in 8s30"/>
    <x v="5207"/>
    <n v="650"/>
    <x v="3"/>
    <m/>
    <s v="Delete"/>
    <m/>
    <m/>
    <m/>
    <m/>
    <m/>
    <m/>
    <x v="3267"/>
    <m/>
    <m/>
  </r>
  <r>
    <x v="63"/>
    <d v="2024-11-18T00:00:00"/>
    <s v="Powerplus - Ending in 8s30"/>
    <x v="5208"/>
    <n v="650"/>
    <x v="3"/>
    <m/>
    <s v="Delete"/>
    <m/>
    <m/>
    <m/>
    <m/>
    <m/>
    <m/>
    <x v="3267"/>
    <m/>
    <m/>
  </r>
  <r>
    <x v="63"/>
    <d v="2024-11-22T00:00:00"/>
    <s v="American Express"/>
    <x v="5209"/>
    <n v="48.26"/>
    <x v="1"/>
    <m/>
    <s v="Exp - Restaurants"/>
    <m/>
    <m/>
    <m/>
    <m/>
    <m/>
    <m/>
    <x v="4633"/>
    <m/>
    <m/>
  </r>
  <r>
    <x v="63"/>
    <d v="2024-11-22T00:00:00"/>
    <s v="American Express"/>
    <x v="5210"/>
    <n v="84.64"/>
    <x v="24"/>
    <m/>
    <s v="Exp - Travel"/>
    <m/>
    <m/>
    <m/>
    <m/>
    <m/>
    <m/>
    <x v="4634"/>
    <m/>
    <m/>
  </r>
  <r>
    <x v="63"/>
    <d v="2024-11-22T00:00:00"/>
    <s v="American Express"/>
    <x v="4985"/>
    <n v="43.15"/>
    <x v="5"/>
    <m/>
    <s v="Exp - Groceries"/>
    <m/>
    <m/>
    <m/>
    <m/>
    <m/>
    <m/>
    <x v="4424"/>
    <m/>
    <m/>
  </r>
  <r>
    <x v="50"/>
    <d v="2024-12-27T00:00:00"/>
    <s v="Powerplus - Ending in 8s30"/>
    <x v="5211"/>
    <n v="100"/>
    <x v="3"/>
    <m/>
    <s v="Delete"/>
    <m/>
    <m/>
    <m/>
    <m/>
    <m/>
    <m/>
    <x v="3267"/>
    <m/>
    <m/>
  </r>
  <r>
    <x v="50"/>
    <d v="2024-12-24T00:00:00"/>
    <s v="Powerplus - Ending in 8s30"/>
    <x v="4375"/>
    <n v="3000"/>
    <x v="3"/>
    <m/>
    <s v="Delete"/>
    <s v="Transfer from venmo to schwab"/>
    <m/>
    <m/>
    <m/>
    <m/>
    <m/>
    <x v="3885"/>
    <m/>
    <m/>
  </r>
  <r>
    <x v="27"/>
    <d v="2024-07-31T00:00:00"/>
    <s v="Powerplus - Ending in 8s30"/>
    <x v="5212"/>
    <n v="307"/>
    <x v="3"/>
    <m/>
    <s v="Delete"/>
    <m/>
    <m/>
    <m/>
    <m/>
    <m/>
    <m/>
    <x v="4635"/>
    <m/>
    <m/>
  </r>
  <r>
    <x v="27"/>
    <d v="2024-07-06T00:00:00"/>
    <s v="Powerplus - Ending in 8s30"/>
    <x v="5213"/>
    <n v="63.25"/>
    <x v="3"/>
    <m/>
    <s v="Delete"/>
    <m/>
    <m/>
    <m/>
    <m/>
    <m/>
    <m/>
    <x v="4636"/>
    <m/>
    <m/>
  </r>
  <r>
    <x v="63"/>
    <d v="2024-11-22T00:00:00"/>
    <s v="American Express"/>
    <x v="5214"/>
    <n v="59.93"/>
    <x v="20"/>
    <m/>
    <s v="Exp - Dry Cleaning"/>
    <m/>
    <m/>
    <m/>
    <m/>
    <m/>
    <m/>
    <x v="4637"/>
    <m/>
    <m/>
  </r>
  <r>
    <x v="63"/>
    <d v="2024-11-22T00:00:00"/>
    <s v="Powerplus - Ending in 8s30"/>
    <x v="1849"/>
    <n v="30.29"/>
    <x v="8"/>
    <m/>
    <m/>
    <m/>
    <m/>
    <m/>
    <m/>
    <m/>
    <m/>
    <x v="1704"/>
    <m/>
    <m/>
  </r>
  <r>
    <x v="63"/>
    <d v="2024-11-23T00:00:00"/>
    <s v="Discover"/>
    <x v="5215"/>
    <n v="109.96"/>
    <x v="0"/>
    <m/>
    <s v="Exp - Amazon"/>
    <m/>
    <m/>
    <m/>
    <m/>
    <m/>
    <m/>
    <x v="4638"/>
    <m/>
    <m/>
  </r>
  <r>
    <x v="63"/>
    <d v="2024-11-23T00:00:00"/>
    <s v="American Express"/>
    <x v="5216"/>
    <n v="186.21"/>
    <x v="5"/>
    <m/>
    <s v="Exp - Groceries"/>
    <m/>
    <m/>
    <m/>
    <m/>
    <m/>
    <m/>
    <x v="4639"/>
    <m/>
    <m/>
  </r>
  <r>
    <x v="63"/>
    <d v="2024-11-23T00:00:00"/>
    <s v="American Express"/>
    <x v="5217"/>
    <n v="7.83"/>
    <x v="1"/>
    <m/>
    <s v="Exp - Restaurants"/>
    <m/>
    <m/>
    <m/>
    <m/>
    <m/>
    <m/>
    <x v="4640"/>
    <m/>
    <m/>
  </r>
  <r>
    <x v="63"/>
    <d v="2024-11-24T00:00:00"/>
    <s v="Cash Rewards Visa Signature - Ending in 5913"/>
    <x v="5218"/>
    <n v="71.680000000000007"/>
    <x v="5"/>
    <m/>
    <s v="Exp - Groceries"/>
    <m/>
    <m/>
    <m/>
    <m/>
    <m/>
    <m/>
    <x v="4641"/>
    <m/>
    <m/>
  </r>
  <r>
    <x v="50"/>
    <d v="2024-12-26T00:00:00"/>
    <s v="Powerplus - Ending in 8s30"/>
    <x v="5219"/>
    <n v="74"/>
    <x v="3"/>
    <m/>
    <s v="Delete"/>
    <m/>
    <m/>
    <m/>
    <m/>
    <m/>
    <m/>
    <x v="4642"/>
    <m/>
    <m/>
  </r>
  <r>
    <x v="63"/>
    <d v="2024-11-24T00:00:00"/>
    <s v="American Express"/>
    <x v="5220"/>
    <n v="58.5"/>
    <x v="8"/>
    <m/>
    <s v="Exp - Shopping"/>
    <m/>
    <m/>
    <m/>
    <m/>
    <m/>
    <m/>
    <x v="4643"/>
    <m/>
    <m/>
  </r>
  <r>
    <x v="63"/>
    <d v="2024-11-24T00:00:00"/>
    <s v="Cash Rewards Visa Signature - Ending in 5913"/>
    <x v="3860"/>
    <n v="21.11"/>
    <x v="1"/>
    <m/>
    <s v="Exp - Restaurants"/>
    <m/>
    <m/>
    <m/>
    <m/>
    <m/>
    <m/>
    <x v="3411"/>
    <m/>
    <m/>
  </r>
  <r>
    <x v="63"/>
    <d v="2024-11-25T00:00:00"/>
    <s v="Discover"/>
    <x v="5221"/>
    <n v="10.84"/>
    <x v="0"/>
    <m/>
    <s v="Exp - Amazon"/>
    <m/>
    <m/>
    <m/>
    <m/>
    <m/>
    <m/>
    <x v="4644"/>
    <m/>
    <m/>
  </r>
  <r>
    <x v="63"/>
    <d v="2024-11-25T00:00:00"/>
    <s v="American Express"/>
    <x v="5222"/>
    <n v="116.91"/>
    <x v="8"/>
    <m/>
    <s v="Exp - Shopping"/>
    <m/>
    <m/>
    <m/>
    <m/>
    <m/>
    <m/>
    <x v="4645"/>
    <m/>
    <m/>
  </r>
  <r>
    <x v="63"/>
    <d v="2024-11-25T00:00:00"/>
    <s v="American Express"/>
    <x v="5106"/>
    <n v="10.85"/>
    <x v="4"/>
    <m/>
    <s v="Exp - Day Care"/>
    <m/>
    <m/>
    <m/>
    <m/>
    <m/>
    <m/>
    <x v="4538"/>
    <m/>
    <m/>
  </r>
  <r>
    <x v="63"/>
    <d v="2024-11-25T00:00:00"/>
    <s v="Cash Rewards Visa Signature - Ending in 5913"/>
    <x v="255"/>
    <n v="99.12"/>
    <x v="5"/>
    <m/>
    <m/>
    <m/>
    <m/>
    <m/>
    <m/>
    <m/>
    <m/>
    <x v="253"/>
    <m/>
    <m/>
  </r>
  <r>
    <x v="63"/>
    <d v="2024-11-25T00:00:00"/>
    <s v="Cash Rewards Visa Signature - Ending in 5913"/>
    <x v="4158"/>
    <n v="31.98"/>
    <x v="5"/>
    <m/>
    <m/>
    <m/>
    <m/>
    <m/>
    <m/>
    <m/>
    <m/>
    <x v="3690"/>
    <m/>
    <m/>
  </r>
  <r>
    <x v="63"/>
    <d v="2024-11-25T00:00:00"/>
    <s v="Powerplus - Ending in 8s30"/>
    <x v="3734"/>
    <n v="269.02"/>
    <x v="12"/>
    <m/>
    <m/>
    <m/>
    <m/>
    <m/>
    <m/>
    <m/>
    <m/>
    <x v="3293"/>
    <m/>
    <m/>
  </r>
  <r>
    <x v="63"/>
    <d v="2024-11-25T00:00:00"/>
    <s v="American Express"/>
    <x v="5223"/>
    <n v="244.97"/>
    <x v="8"/>
    <m/>
    <s v="Exp - Shopping"/>
    <m/>
    <m/>
    <m/>
    <m/>
    <m/>
    <m/>
    <x v="4646"/>
    <m/>
    <m/>
  </r>
  <r>
    <x v="63"/>
    <d v="2024-11-25T00:00:00"/>
    <s v="American Express"/>
    <x v="5164"/>
    <n v="-180.1"/>
    <x v="8"/>
    <m/>
    <s v="Exp - Shopping"/>
    <m/>
    <m/>
    <m/>
    <m/>
    <m/>
    <m/>
    <x v="4596"/>
    <m/>
    <m/>
  </r>
  <r>
    <x v="63"/>
    <d v="2024-11-25T00:00:00"/>
    <s v="Powerplus - Ending in 8s30"/>
    <x v="1827"/>
    <n v="65"/>
    <x v="8"/>
    <m/>
    <m/>
    <m/>
    <m/>
    <m/>
    <m/>
    <m/>
    <m/>
    <x v="1682"/>
    <m/>
    <m/>
  </r>
  <r>
    <x v="63"/>
    <d v="2024-11-26T00:00:00"/>
    <s v="Cash Rewards Visa Signature - Ending in 5913"/>
    <x v="5224"/>
    <n v="27.06"/>
    <x v="0"/>
    <m/>
    <s v="Exp - Amazon"/>
    <m/>
    <m/>
    <m/>
    <m/>
    <m/>
    <m/>
    <x v="4647"/>
    <m/>
    <m/>
  </r>
  <r>
    <x v="63"/>
    <d v="2024-11-26T00:00:00"/>
    <s v="Cash Rewards Visa Signature - Ending in 5913"/>
    <x v="5225"/>
    <n v="269.23"/>
    <x v="0"/>
    <m/>
    <s v="Exp - Amazon"/>
    <m/>
    <m/>
    <m/>
    <m/>
    <m/>
    <m/>
    <x v="4648"/>
    <m/>
    <m/>
  </r>
  <r>
    <x v="63"/>
    <d v="2024-11-26T00:00:00"/>
    <s v="Discover"/>
    <x v="5226"/>
    <n v="71.53"/>
    <x v="0"/>
    <m/>
    <s v="Exp - Amazon"/>
    <m/>
    <m/>
    <m/>
    <m/>
    <m/>
    <m/>
    <x v="4649"/>
    <m/>
    <m/>
  </r>
  <r>
    <x v="63"/>
    <d v="2024-11-26T00:00:00"/>
    <s v="American Express"/>
    <x v="5227"/>
    <n v="93.61"/>
    <x v="5"/>
    <m/>
    <s v="Exp - Groceries"/>
    <m/>
    <m/>
    <m/>
    <m/>
    <m/>
    <m/>
    <x v="4650"/>
    <m/>
    <m/>
  </r>
  <r>
    <x v="63"/>
    <d v="2024-11-26T00:00:00"/>
    <s v="American Express"/>
    <x v="5191"/>
    <n v="-32.53"/>
    <x v="8"/>
    <m/>
    <s v="Exp - Shopping"/>
    <m/>
    <m/>
    <m/>
    <m/>
    <m/>
    <m/>
    <x v="4623"/>
    <m/>
    <m/>
  </r>
  <r>
    <x v="63"/>
    <d v="2024-11-26T00:00:00"/>
    <s v="American Express"/>
    <x v="5191"/>
    <n v="-19.399999999999999"/>
    <x v="8"/>
    <m/>
    <s v="Exp - Shopping"/>
    <m/>
    <m/>
    <m/>
    <m/>
    <m/>
    <m/>
    <x v="4623"/>
    <m/>
    <m/>
  </r>
  <r>
    <x v="23"/>
    <d v="2024-06-20T00:00:00"/>
    <s v="Powerplus - Ending in 8s30"/>
    <x v="5228"/>
    <n v="202.25"/>
    <x v="3"/>
    <m/>
    <s v="Delete"/>
    <m/>
    <m/>
    <m/>
    <m/>
    <m/>
    <m/>
    <x v="4651"/>
    <m/>
    <m/>
  </r>
  <r>
    <x v="63"/>
    <d v="2024-11-26T00:00:00"/>
    <s v="American Express"/>
    <x v="5140"/>
    <n v="146.5"/>
    <x v="8"/>
    <m/>
    <s v="Exp - Shopping"/>
    <m/>
    <m/>
    <m/>
    <m/>
    <m/>
    <m/>
    <x v="4572"/>
    <m/>
    <m/>
  </r>
  <r>
    <x v="62"/>
    <d v="2024-08-24T00:00:00"/>
    <s v="Powerplus - Ending in 8s30"/>
    <x v="5229"/>
    <n v="2.6"/>
    <x v="3"/>
    <m/>
    <s v="Delete"/>
    <m/>
    <m/>
    <m/>
    <m/>
    <m/>
    <m/>
    <x v="4652"/>
    <m/>
    <s v="Ireland"/>
  </r>
  <r>
    <x v="63"/>
    <d v="2024-11-26T00:00:00"/>
    <s v="Powerplus - Ending in 8s30"/>
    <x v="5230"/>
    <n v="380"/>
    <x v="4"/>
    <m/>
    <s v="Exp - Day Care"/>
    <m/>
    <m/>
    <m/>
    <m/>
    <m/>
    <m/>
    <x v="4602"/>
    <m/>
    <m/>
  </r>
  <r>
    <x v="63"/>
    <d v="2024-11-26T00:00:00"/>
    <s v="American Express"/>
    <x v="5231"/>
    <n v="62.62"/>
    <x v="8"/>
    <m/>
    <s v="Exp - Shopping"/>
    <m/>
    <m/>
    <m/>
    <m/>
    <m/>
    <m/>
    <x v="4653"/>
    <m/>
    <m/>
  </r>
  <r>
    <x v="63"/>
    <d v="2024-11-27T00:00:00"/>
    <s v="Discover"/>
    <x v="1885"/>
    <n v="-25.35"/>
    <x v="23"/>
    <m/>
    <m/>
    <m/>
    <m/>
    <m/>
    <m/>
    <m/>
    <m/>
    <x v="1738"/>
    <m/>
    <m/>
  </r>
  <r>
    <x v="61"/>
    <d v="2024-02-01T00:00:00"/>
    <s v="Powerplus - Ending in 8s30"/>
    <x v="5232"/>
    <n v="16.510000000000002"/>
    <x v="3"/>
    <m/>
    <s v="Delete"/>
    <m/>
    <m/>
    <m/>
    <m/>
    <m/>
    <m/>
    <x v="4654"/>
    <m/>
    <m/>
  </r>
  <r>
    <x v="44"/>
    <d v="2024-01-25T00:00:00"/>
    <s v="Powerplus - Ending in 8s30"/>
    <x v="5233"/>
    <n v="13.1"/>
    <x v="3"/>
    <m/>
    <s v="Delete"/>
    <m/>
    <m/>
    <m/>
    <m/>
    <m/>
    <m/>
    <x v="4655"/>
    <m/>
    <m/>
  </r>
  <r>
    <x v="63"/>
    <d v="2024-11-27T00:00:00"/>
    <s v="Powerplus - Ending in 8s30"/>
    <x v="3684"/>
    <n v="-4393.66"/>
    <x v="57"/>
    <m/>
    <s v="Inc - Jeff"/>
    <m/>
    <m/>
    <m/>
    <m/>
    <m/>
    <m/>
    <x v="3245"/>
    <m/>
    <m/>
  </r>
  <r>
    <x v="44"/>
    <d v="2024-01-08T00:00:00"/>
    <s v="Powerplus - Ending in 8s44"/>
    <x v="3657"/>
    <n v="904.66"/>
    <x v="3"/>
    <m/>
    <s v="Delete"/>
    <m/>
    <m/>
    <m/>
    <m/>
    <m/>
    <m/>
    <x v="3219"/>
    <m/>
    <m/>
  </r>
  <r>
    <x v="63"/>
    <d v="2024-11-28T00:00:00"/>
    <s v="American Express"/>
    <x v="5234"/>
    <n v="33.75"/>
    <x v="8"/>
    <m/>
    <s v="Exp - Shopping"/>
    <m/>
    <m/>
    <m/>
    <m/>
    <m/>
    <m/>
    <x v="4656"/>
    <m/>
    <m/>
  </r>
  <r>
    <x v="63"/>
    <d v="2024-11-28T00:00:00"/>
    <s v="American Express"/>
    <x v="5235"/>
    <n v="433.49"/>
    <x v="8"/>
    <m/>
    <s v="Exp - Shopping"/>
    <m/>
    <m/>
    <m/>
    <m/>
    <m/>
    <m/>
    <x v="4657"/>
    <m/>
    <m/>
  </r>
  <r>
    <x v="63"/>
    <d v="2024-11-28T00:00:00"/>
    <s v="American Express"/>
    <x v="5236"/>
    <n v="95.88"/>
    <x v="8"/>
    <m/>
    <s v="Exp - Shopping"/>
    <m/>
    <m/>
    <m/>
    <m/>
    <m/>
    <m/>
    <x v="4658"/>
    <m/>
    <m/>
  </r>
  <r>
    <x v="63"/>
    <d v="2024-11-29T00:00:00"/>
    <s v="American Express"/>
    <x v="5237"/>
    <n v="9.75"/>
    <x v="10"/>
    <m/>
    <s v="Exp - Entertainment"/>
    <m/>
    <m/>
    <m/>
    <m/>
    <m/>
    <m/>
    <x v="4659"/>
    <m/>
    <m/>
  </r>
  <r>
    <x v="63"/>
    <d v="2024-11-29T00:00:00"/>
    <s v="American Express"/>
    <x v="5238"/>
    <n v="16"/>
    <x v="8"/>
    <m/>
    <s v="Exp - Shopping"/>
    <m/>
    <m/>
    <m/>
    <m/>
    <m/>
    <m/>
    <x v="4660"/>
    <m/>
    <m/>
  </r>
  <r>
    <x v="63"/>
    <d v="2024-11-29T00:00:00"/>
    <s v="American Express"/>
    <x v="5239"/>
    <n v="10.72"/>
    <x v="8"/>
    <m/>
    <s v="Exp - Shopping"/>
    <m/>
    <m/>
    <m/>
    <m/>
    <m/>
    <m/>
    <x v="4661"/>
    <m/>
    <m/>
  </r>
  <r>
    <x v="63"/>
    <d v="2024-11-29T00:00:00"/>
    <s v="American Express"/>
    <x v="5240"/>
    <n v="114.5"/>
    <x v="8"/>
    <m/>
    <s v="Exp - Shopping"/>
    <m/>
    <m/>
    <m/>
    <m/>
    <m/>
    <m/>
    <x v="4662"/>
    <m/>
    <m/>
  </r>
  <r>
    <x v="63"/>
    <d v="2024-11-29T00:00:00"/>
    <s v="American Express"/>
    <x v="5241"/>
    <n v="54.52"/>
    <x v="29"/>
    <m/>
    <s v="Exp - Gifts"/>
    <m/>
    <m/>
    <m/>
    <m/>
    <m/>
    <m/>
    <x v="4663"/>
    <m/>
    <m/>
  </r>
  <r>
    <x v="63"/>
    <d v="2024-11-29T00:00:00"/>
    <s v="American Express"/>
    <x v="5242"/>
    <n v="132.32"/>
    <x v="10"/>
    <m/>
    <s v="Exp - Entertainment"/>
    <m/>
    <m/>
    <m/>
    <m/>
    <m/>
    <m/>
    <x v="4664"/>
    <m/>
    <m/>
  </r>
  <r>
    <x v="63"/>
    <d v="2024-11-29T00:00:00"/>
    <s v="American Express"/>
    <x v="5243"/>
    <n v="20"/>
    <x v="10"/>
    <m/>
    <s v="Exp - Entertainment"/>
    <m/>
    <m/>
    <m/>
    <m/>
    <m/>
    <m/>
    <x v="4665"/>
    <m/>
    <m/>
  </r>
  <r>
    <x v="63"/>
    <d v="2024-11-29T00:00:00"/>
    <s v="American Express"/>
    <x v="5039"/>
    <n v="8.02"/>
    <x v="1"/>
    <m/>
    <s v="Exp - Restaurants"/>
    <m/>
    <m/>
    <m/>
    <m/>
    <m/>
    <m/>
    <x v="4476"/>
    <m/>
    <m/>
  </r>
  <r>
    <x v="63"/>
    <d v="2024-11-29T00:00:00"/>
    <s v="American Express"/>
    <x v="4985"/>
    <n v="117.49"/>
    <x v="5"/>
    <m/>
    <s v="Exp - Groceries"/>
    <m/>
    <m/>
    <m/>
    <m/>
    <m/>
    <m/>
    <x v="4424"/>
    <m/>
    <m/>
  </r>
  <r>
    <x v="63"/>
    <d v="2024-11-29T00:00:00"/>
    <s v="American Express"/>
    <x v="5244"/>
    <n v="25.5"/>
    <x v="10"/>
    <m/>
    <s v="Exp - Entertainment"/>
    <m/>
    <m/>
    <m/>
    <m/>
    <m/>
    <m/>
    <x v="4666"/>
    <m/>
    <m/>
  </r>
  <r>
    <x v="63"/>
    <d v="2024-11-29T00:00:00"/>
    <s v="American Express"/>
    <x v="5245"/>
    <n v="7"/>
    <x v="5"/>
    <m/>
    <s v="Exp - Groceries"/>
    <m/>
    <m/>
    <m/>
    <m/>
    <m/>
    <m/>
    <x v="4667"/>
    <m/>
    <m/>
  </r>
  <r>
    <x v="44"/>
    <d v="2024-01-25T00:00:00"/>
    <s v="Powerplus - Ending in 8s30"/>
    <x v="3657"/>
    <n v="1252.2"/>
    <x v="3"/>
    <m/>
    <s v="Delete"/>
    <m/>
    <m/>
    <m/>
    <m/>
    <m/>
    <m/>
    <x v="3219"/>
    <m/>
    <m/>
  </r>
  <r>
    <x v="63"/>
    <d v="2024-11-29T00:00:00"/>
    <s v="Powerplus - Ending in 8s30"/>
    <x v="3693"/>
    <n v="52.91"/>
    <x v="16"/>
    <m/>
    <m/>
    <m/>
    <m/>
    <m/>
    <m/>
    <m/>
    <m/>
    <x v="3254"/>
    <m/>
    <m/>
  </r>
  <r>
    <x v="61"/>
    <d v="2024-02-15T00:00:00"/>
    <s v="Powerplus - Ending in 8s30"/>
    <x v="3657"/>
    <n v="2373.7800000000002"/>
    <x v="3"/>
    <m/>
    <s v="Delete"/>
    <m/>
    <m/>
    <m/>
    <m/>
    <m/>
    <m/>
    <x v="3219"/>
    <m/>
    <m/>
  </r>
  <r>
    <x v="63"/>
    <d v="2024-11-29T00:00:00"/>
    <s v="American Express"/>
    <x v="5246"/>
    <n v="246.29"/>
    <x v="25"/>
    <m/>
    <s v="Exp - Healthcare"/>
    <m/>
    <m/>
    <m/>
    <m/>
    <m/>
    <m/>
    <x v="4668"/>
    <m/>
    <m/>
  </r>
  <r>
    <x v="63"/>
    <d v="2024-11-29T00:00:00"/>
    <s v="Powerplus - Ending in 8s30"/>
    <x v="1849"/>
    <n v="0.99"/>
    <x v="8"/>
    <m/>
    <m/>
    <m/>
    <m/>
    <m/>
    <m/>
    <m/>
    <m/>
    <x v="1704"/>
    <m/>
    <m/>
  </r>
  <r>
    <x v="63"/>
    <d v="2024-11-29T00:00:00"/>
    <s v="Powerplus - Ending in 8s30"/>
    <x v="1827"/>
    <n v="125"/>
    <x v="8"/>
    <m/>
    <m/>
    <m/>
    <m/>
    <m/>
    <m/>
    <m/>
    <m/>
    <x v="1682"/>
    <m/>
    <m/>
  </r>
  <r>
    <x v="63"/>
    <d v="2024-11-29T00:00:00"/>
    <s v="Powerplus - Ending in 8s30"/>
    <x v="1827"/>
    <n v="27"/>
    <x v="8"/>
    <m/>
    <m/>
    <m/>
    <m/>
    <m/>
    <m/>
    <m/>
    <m/>
    <x v="1682"/>
    <m/>
    <m/>
  </r>
  <r>
    <x v="63"/>
    <d v="2024-11-30T00:00:00"/>
    <s v="Powerplus - Ending in 8s30"/>
    <x v="5247"/>
    <n v="-48.52"/>
    <x v="13"/>
    <m/>
    <s v="Inc - Other"/>
    <m/>
    <m/>
    <m/>
    <m/>
    <m/>
    <m/>
    <x v="4669"/>
    <m/>
    <m/>
  </r>
  <r>
    <x v="63"/>
    <d v="2024-11-30T00:00:00"/>
    <s v="American Express"/>
    <x v="5248"/>
    <n v="115.91"/>
    <x v="8"/>
    <m/>
    <s v="Exp - Shopping"/>
    <m/>
    <m/>
    <m/>
    <m/>
    <m/>
    <m/>
    <x v="4670"/>
    <m/>
    <m/>
  </r>
  <r>
    <x v="50"/>
    <d v="2024-12-01T00:00:00"/>
    <s v="American Express"/>
    <x v="5249"/>
    <n v="26.68"/>
    <x v="10"/>
    <m/>
    <s v="Exp - Entertainment"/>
    <m/>
    <m/>
    <m/>
    <m/>
    <m/>
    <m/>
    <x v="4671"/>
    <m/>
    <m/>
  </r>
  <r>
    <x v="50"/>
    <d v="2024-12-01T00:00:00"/>
    <s v="American Express"/>
    <x v="5013"/>
    <n v="10.47"/>
    <x v="5"/>
    <m/>
    <s v="Exp - Groceries"/>
    <m/>
    <m/>
    <m/>
    <m/>
    <m/>
    <m/>
    <x v="4451"/>
    <m/>
    <m/>
  </r>
  <r>
    <x v="50"/>
    <d v="2024-12-01T00:00:00"/>
    <s v="American Express"/>
    <x v="5052"/>
    <n v="58.99"/>
    <x v="8"/>
    <m/>
    <s v="Exp - Shopping"/>
    <m/>
    <m/>
    <m/>
    <m/>
    <m/>
    <m/>
    <x v="4489"/>
    <m/>
    <m/>
  </r>
  <r>
    <x v="50"/>
    <d v="2024-12-01T00:00:00"/>
    <s v="American Express"/>
    <x v="5250"/>
    <n v="3.31"/>
    <x v="12"/>
    <m/>
    <s v="Exp - Target"/>
    <m/>
    <m/>
    <m/>
    <m/>
    <m/>
    <m/>
    <x v="4672"/>
    <m/>
    <m/>
  </r>
  <r>
    <x v="50"/>
    <d v="2024-12-01T00:00:00"/>
    <s v="American Express"/>
    <x v="5251"/>
    <n v="217"/>
    <x v="8"/>
    <m/>
    <s v="Exp - Shopping"/>
    <m/>
    <m/>
    <m/>
    <m/>
    <m/>
    <m/>
    <x v="4673"/>
    <m/>
    <m/>
  </r>
  <r>
    <x v="50"/>
    <d v="2024-12-02T00:00:00"/>
    <s v="American Express"/>
    <x v="5240"/>
    <n v="31.5"/>
    <x v="8"/>
    <m/>
    <s v="Exp - Shopping"/>
    <m/>
    <m/>
    <m/>
    <m/>
    <m/>
    <m/>
    <x v="4662"/>
    <m/>
    <m/>
  </r>
  <r>
    <x v="50"/>
    <d v="2024-12-02T00:00:00"/>
    <s v="American Express"/>
    <x v="5191"/>
    <n v="178.06"/>
    <x v="8"/>
    <m/>
    <s v="Exp - Shopping"/>
    <m/>
    <m/>
    <m/>
    <m/>
    <m/>
    <m/>
    <x v="4623"/>
    <m/>
    <m/>
  </r>
  <r>
    <x v="50"/>
    <d v="2024-12-02T00:00:00"/>
    <s v="Powerplus - Ending in 8s30"/>
    <x v="3652"/>
    <n v="-109.84"/>
    <x v="34"/>
    <m/>
    <s v="Inc - Britney"/>
    <m/>
    <m/>
    <m/>
    <m/>
    <m/>
    <m/>
    <x v="3214"/>
    <m/>
    <m/>
  </r>
  <r>
    <x v="50"/>
    <d v="2024-12-02T00:00:00"/>
    <s v="Powerplus - Ending in 8s30"/>
    <x v="4407"/>
    <n v="210.57"/>
    <x v="11"/>
    <m/>
    <m/>
    <m/>
    <m/>
    <m/>
    <m/>
    <m/>
    <m/>
    <x v="3913"/>
    <m/>
    <m/>
  </r>
  <r>
    <x v="50"/>
    <d v="2024-12-02T00:00:00"/>
    <s v="Powerplus - Ending in 8s30"/>
    <x v="1844"/>
    <n v="2745.43"/>
    <x v="6"/>
    <m/>
    <m/>
    <m/>
    <m/>
    <m/>
    <m/>
    <m/>
    <m/>
    <x v="1699"/>
    <m/>
    <m/>
  </r>
  <r>
    <x v="50"/>
    <d v="2024-12-02T00:00:00"/>
    <s v="American Express"/>
    <x v="5252"/>
    <n v="97.41"/>
    <x v="29"/>
    <m/>
    <s v="Exp - Gifts"/>
    <m/>
    <m/>
    <m/>
    <m/>
    <m/>
    <m/>
    <x v="4674"/>
    <m/>
    <m/>
  </r>
  <r>
    <x v="26"/>
    <d v="2024-03-14T00:00:00"/>
    <s v="Powerplus - Ending in 8s30"/>
    <x v="3657"/>
    <n v="1077.58"/>
    <x v="3"/>
    <m/>
    <m/>
    <m/>
    <m/>
    <m/>
    <m/>
    <m/>
    <m/>
    <x v="3219"/>
    <m/>
    <m/>
  </r>
  <r>
    <x v="50"/>
    <d v="2024-12-03T00:00:00"/>
    <s v="American Express"/>
    <x v="5253"/>
    <n v="7.99"/>
    <x v="5"/>
    <m/>
    <s v="Exp - Groceries"/>
    <m/>
    <m/>
    <m/>
    <m/>
    <m/>
    <m/>
    <x v="4675"/>
    <m/>
    <m/>
  </r>
  <r>
    <x v="50"/>
    <d v="2024-12-03T00:00:00"/>
    <s v="American Express"/>
    <x v="5254"/>
    <n v="35.950000000000003"/>
    <x v="2"/>
    <m/>
    <s v="Exp - Transportation"/>
    <m/>
    <m/>
    <m/>
    <m/>
    <m/>
    <m/>
    <x v="4676"/>
    <m/>
    <m/>
  </r>
  <r>
    <x v="50"/>
    <d v="2024-12-03T00:00:00"/>
    <s v="Powerplus - Ending in 8s30"/>
    <x v="1827"/>
    <n v="614"/>
    <x v="8"/>
    <m/>
    <m/>
    <m/>
    <m/>
    <m/>
    <m/>
    <m/>
    <m/>
    <x v="1682"/>
    <m/>
    <m/>
  </r>
  <r>
    <x v="50"/>
    <d v="2024-12-03T00:00:00"/>
    <s v="Powerplus - Ending in 8s30"/>
    <x v="5255"/>
    <n v="380"/>
    <x v="4"/>
    <m/>
    <s v="Exp - Day Care"/>
    <m/>
    <m/>
    <m/>
    <m/>
    <m/>
    <m/>
    <x v="4602"/>
    <m/>
    <m/>
  </r>
  <r>
    <x v="50"/>
    <d v="2024-12-04T00:00:00"/>
    <s v="American Express"/>
    <x v="5055"/>
    <n v="55.49"/>
    <x v="10"/>
    <m/>
    <s v="Exp - Entertainment"/>
    <m/>
    <m/>
    <m/>
    <m/>
    <m/>
    <m/>
    <x v="4492"/>
    <m/>
    <m/>
  </r>
  <r>
    <x v="50"/>
    <d v="2024-12-04T00:00:00"/>
    <s v="American Express"/>
    <x v="5148"/>
    <n v="8.77"/>
    <x v="1"/>
    <m/>
    <s v="Exp - Restaurants"/>
    <m/>
    <m/>
    <m/>
    <m/>
    <m/>
    <m/>
    <x v="4580"/>
    <m/>
    <m/>
  </r>
  <r>
    <x v="50"/>
    <d v="2024-12-05T00:00:00"/>
    <s v="Powerplus - Ending in 8s30"/>
    <x v="1893"/>
    <n v="-4110.7700000000004"/>
    <x v="34"/>
    <m/>
    <s v="Inc - Britney"/>
    <m/>
    <m/>
    <m/>
    <m/>
    <m/>
    <m/>
    <x v="1746"/>
    <m/>
    <m/>
  </r>
  <r>
    <x v="50"/>
    <d v="2024-12-05T00:00:00"/>
    <s v="Manual"/>
    <x v="1850"/>
    <n v="250"/>
    <x v="56"/>
    <m/>
    <s v="Exp - Cleaning"/>
    <m/>
    <m/>
    <m/>
    <m/>
    <m/>
    <m/>
    <x v="1705"/>
    <m/>
    <m/>
  </r>
  <r>
    <x v="50"/>
    <d v="2024-12-05T00:00:00"/>
    <s v="American Express"/>
    <x v="5256"/>
    <n v="123.6"/>
    <x v="8"/>
    <m/>
    <s v="Exp - Shopping"/>
    <m/>
    <m/>
    <m/>
    <m/>
    <m/>
    <m/>
    <x v="4677"/>
    <m/>
    <m/>
  </r>
  <r>
    <x v="50"/>
    <d v="2024-12-06T00:00:00"/>
    <s v="Cash Rewards Visa Signature - Ending in 5913"/>
    <x v="5257"/>
    <n v="-34.99"/>
    <x v="0"/>
    <m/>
    <s v="Exp - Amazon"/>
    <m/>
    <m/>
    <m/>
    <m/>
    <m/>
    <m/>
    <x v="4678"/>
    <m/>
    <m/>
  </r>
  <r>
    <x v="50"/>
    <d v="2024-12-06T00:00:00"/>
    <s v="Cash Rewards Visa Signature - Ending in 5913"/>
    <x v="5258"/>
    <n v="-28.48"/>
    <x v="0"/>
    <m/>
    <s v="Exp - Amazon"/>
    <m/>
    <m/>
    <m/>
    <m/>
    <m/>
    <m/>
    <x v="4679"/>
    <m/>
    <m/>
  </r>
  <r>
    <x v="50"/>
    <d v="2024-12-06T00:00:00"/>
    <s v="Cash Rewards Visa Signature - Ending in 5913"/>
    <x v="5259"/>
    <n v="-31.33"/>
    <x v="0"/>
    <m/>
    <s v="Exp - Amazon"/>
    <m/>
    <m/>
    <m/>
    <m/>
    <m/>
    <m/>
    <x v="4680"/>
    <m/>
    <m/>
  </r>
  <r>
    <x v="50"/>
    <d v="2024-12-06T00:00:00"/>
    <s v="Cash Rewards Visa Signature - Ending in 5913"/>
    <x v="5260"/>
    <n v="-31.98"/>
    <x v="0"/>
    <m/>
    <s v="Exp - Amazon"/>
    <m/>
    <m/>
    <m/>
    <m/>
    <m/>
    <m/>
    <x v="4681"/>
    <m/>
    <m/>
  </r>
  <r>
    <x v="50"/>
    <d v="2024-12-06T00:00:00"/>
    <s v="American Express"/>
    <x v="5072"/>
    <n v="35.450000000000003"/>
    <x v="5"/>
    <m/>
    <s v="Exp - Groceries"/>
    <m/>
    <m/>
    <m/>
    <m/>
    <m/>
    <m/>
    <x v="4508"/>
    <m/>
    <m/>
  </r>
  <r>
    <x v="50"/>
    <d v="2024-12-06T00:00:00"/>
    <s v="American Express"/>
    <x v="5261"/>
    <n v="129.99"/>
    <x v="11"/>
    <m/>
    <s v="Exp - Utilities"/>
    <m/>
    <m/>
    <m/>
    <m/>
    <m/>
    <m/>
    <x v="4682"/>
    <m/>
    <m/>
  </r>
  <r>
    <x v="50"/>
    <d v="2024-12-07T00:00:00"/>
    <s v="American Express"/>
    <x v="5172"/>
    <n v="23.51"/>
    <x v="24"/>
    <m/>
    <s v="Exp - Travel"/>
    <m/>
    <m/>
    <m/>
    <m/>
    <m/>
    <m/>
    <x v="4604"/>
    <m/>
    <m/>
  </r>
  <r>
    <x v="50"/>
    <d v="2024-12-07T00:00:00"/>
    <s v="American Express"/>
    <x v="5172"/>
    <n v="41.25"/>
    <x v="24"/>
    <m/>
    <s v="Exp - Travel"/>
    <m/>
    <m/>
    <m/>
    <m/>
    <m/>
    <m/>
    <x v="4604"/>
    <m/>
    <m/>
  </r>
  <r>
    <x v="50"/>
    <d v="2024-12-07T00:00:00"/>
    <s v="American Express"/>
    <x v="4986"/>
    <n v="85.85"/>
    <x v="1"/>
    <m/>
    <s v="Exp - Restaurants"/>
    <m/>
    <m/>
    <m/>
    <m/>
    <m/>
    <m/>
    <x v="4425"/>
    <m/>
    <m/>
  </r>
  <r>
    <x v="50"/>
    <d v="2024-12-07T00:00:00"/>
    <s v="American Express"/>
    <x v="5262"/>
    <n v="373.4"/>
    <x v="1"/>
    <m/>
    <s v="Exp - Restaurants"/>
    <m/>
    <m/>
    <m/>
    <m/>
    <m/>
    <m/>
    <x v="4683"/>
    <m/>
    <m/>
  </r>
  <r>
    <x v="50"/>
    <d v="2024-12-07T00:00:00"/>
    <s v="American Express"/>
    <x v="5263"/>
    <n v="50"/>
    <x v="1"/>
    <m/>
    <s v="Exp - Restaurants"/>
    <m/>
    <m/>
    <m/>
    <m/>
    <m/>
    <m/>
    <x v="4684"/>
    <m/>
    <m/>
  </r>
  <r>
    <x v="50"/>
    <d v="2024-12-08T00:00:00"/>
    <s v="American Express"/>
    <x v="5264"/>
    <n v="7.63"/>
    <x v="10"/>
    <m/>
    <s v="Exp - Entertainment"/>
    <m/>
    <m/>
    <m/>
    <m/>
    <m/>
    <m/>
    <x v="4685"/>
    <m/>
    <m/>
  </r>
  <r>
    <x v="50"/>
    <d v="2024-12-08T00:00:00"/>
    <s v="American Express"/>
    <x v="5265"/>
    <n v="696.4"/>
    <x v="8"/>
    <m/>
    <s v="Exp - Shopping"/>
    <m/>
    <m/>
    <m/>
    <m/>
    <m/>
    <m/>
    <x v="4686"/>
    <m/>
    <m/>
  </r>
  <r>
    <x v="50"/>
    <d v="2024-12-08T00:00:00"/>
    <s v="American Express"/>
    <x v="5266"/>
    <n v="132.69"/>
    <x v="1"/>
    <m/>
    <s v="Exp - Restaurants"/>
    <m/>
    <m/>
    <m/>
    <m/>
    <m/>
    <m/>
    <x v="4687"/>
    <m/>
    <m/>
  </r>
  <r>
    <x v="50"/>
    <d v="2024-12-08T00:00:00"/>
    <s v="American Express"/>
    <x v="5251"/>
    <n v="77"/>
    <x v="8"/>
    <m/>
    <s v="Exp - Shopping"/>
    <m/>
    <m/>
    <m/>
    <m/>
    <m/>
    <m/>
    <x v="4673"/>
    <m/>
    <m/>
  </r>
  <r>
    <x v="50"/>
    <d v="2024-12-09T00:00:00"/>
    <s v="American Express"/>
    <x v="5172"/>
    <n v="58.51"/>
    <x v="24"/>
    <m/>
    <s v="Exp - Travel"/>
    <m/>
    <m/>
    <m/>
    <m/>
    <m/>
    <m/>
    <x v="4604"/>
    <m/>
    <m/>
  </r>
  <r>
    <x v="50"/>
    <d v="2024-12-09T00:00:00"/>
    <s v="Powerplus - Ending in 8s30"/>
    <x v="3840"/>
    <n v="35.450000000000003"/>
    <x v="8"/>
    <m/>
    <m/>
    <m/>
    <m/>
    <m/>
    <m/>
    <m/>
    <m/>
    <x v="3391"/>
    <m/>
    <m/>
  </r>
  <r>
    <x v="26"/>
    <d v="2024-03-29T00:00:00"/>
    <s v="Powerplus - Ending in 8s30"/>
    <x v="3657"/>
    <n v="899.2"/>
    <x v="3"/>
    <m/>
    <m/>
    <m/>
    <m/>
    <m/>
    <m/>
    <m/>
    <m/>
    <x v="3219"/>
    <m/>
    <m/>
  </r>
  <r>
    <x v="50"/>
    <d v="2024-12-09T00:00:00"/>
    <s v="Powerplus - Ending in 8s30"/>
    <x v="1869"/>
    <n v="142.68"/>
    <x v="11"/>
    <m/>
    <m/>
    <m/>
    <m/>
    <m/>
    <m/>
    <m/>
    <m/>
    <x v="1723"/>
    <m/>
    <m/>
  </r>
  <r>
    <x v="50"/>
    <d v="2024-12-09T00:00:00"/>
    <s v="American Express"/>
    <x v="5267"/>
    <n v="116.6"/>
    <x v="1"/>
    <m/>
    <s v="Exp - Restaurants"/>
    <m/>
    <m/>
    <m/>
    <m/>
    <m/>
    <m/>
    <x v="4688"/>
    <m/>
    <m/>
  </r>
  <r>
    <x v="50"/>
    <d v="2024-12-10T00:00:00"/>
    <s v="American Express"/>
    <x v="5147"/>
    <n v="10.6"/>
    <x v="1"/>
    <m/>
    <s v="Exp - Restaurants"/>
    <m/>
    <m/>
    <m/>
    <m/>
    <m/>
    <m/>
    <x v="4579"/>
    <m/>
    <m/>
  </r>
  <r>
    <x v="50"/>
    <d v="2024-12-10T00:00:00"/>
    <s v="American Express"/>
    <x v="5268"/>
    <n v="27.5"/>
    <x v="8"/>
    <m/>
    <s v="Exp - Shopping"/>
    <m/>
    <m/>
    <m/>
    <m/>
    <m/>
    <m/>
    <x v="4689"/>
    <m/>
    <m/>
  </r>
  <r>
    <x v="50"/>
    <d v="2024-12-10T00:00:00"/>
    <s v="Cash Rewards Visa Signature - Ending in 5913"/>
    <x v="5269"/>
    <n v="1.75"/>
    <x v="2"/>
    <m/>
    <s v="Exp - Transportation"/>
    <m/>
    <m/>
    <m/>
    <m/>
    <m/>
    <m/>
    <x v="4690"/>
    <m/>
    <m/>
  </r>
  <r>
    <x v="50"/>
    <d v="2024-12-10T00:00:00"/>
    <s v="Cash Rewards Visa Signature - Ending in 5913"/>
    <x v="5270"/>
    <n v="1.75"/>
    <x v="2"/>
    <m/>
    <s v="Exp - Transportation"/>
    <m/>
    <m/>
    <m/>
    <m/>
    <m/>
    <m/>
    <x v="4691"/>
    <m/>
    <m/>
  </r>
  <r>
    <x v="50"/>
    <d v="2024-12-10T00:00:00"/>
    <s v="Powerplus - Ending in 8s30"/>
    <x v="5271"/>
    <n v="380"/>
    <x v="4"/>
    <m/>
    <s v="Exp - Day Care"/>
    <m/>
    <m/>
    <m/>
    <m/>
    <m/>
    <m/>
    <x v="4602"/>
    <m/>
    <m/>
  </r>
  <r>
    <x v="50"/>
    <d v="2024-12-11T00:00:00"/>
    <s v="Cash Rewards Visa Signature - Ending in 5913"/>
    <x v="99"/>
    <n v="25.6"/>
    <x v="11"/>
    <m/>
    <m/>
    <m/>
    <m/>
    <m/>
    <m/>
    <m/>
    <m/>
    <x v="99"/>
    <m/>
    <m/>
  </r>
  <r>
    <x v="50"/>
    <d v="2024-12-11T00:00:00"/>
    <s v="Cash Rewards Visa Signature - Ending in 5913"/>
    <x v="5272"/>
    <n v="170.19"/>
    <x v="1"/>
    <m/>
    <s v="Exp - Restaurants"/>
    <m/>
    <m/>
    <m/>
    <m/>
    <m/>
    <m/>
    <x v="4692"/>
    <m/>
    <m/>
  </r>
  <r>
    <x v="50"/>
    <d v="2024-12-11T00:00:00"/>
    <s v="American Express"/>
    <x v="5251"/>
    <n v="-77"/>
    <x v="8"/>
    <m/>
    <s v="Exp - Shopping"/>
    <m/>
    <m/>
    <m/>
    <m/>
    <m/>
    <m/>
    <x v="4673"/>
    <m/>
    <m/>
  </r>
  <r>
    <x v="50"/>
    <d v="2024-12-12T00:00:00"/>
    <s v="American Express"/>
    <x v="5041"/>
    <n v="83.11"/>
    <x v="5"/>
    <m/>
    <s v="Exp - Groceries"/>
    <m/>
    <m/>
    <m/>
    <m/>
    <m/>
    <m/>
    <x v="4478"/>
    <m/>
    <m/>
  </r>
  <r>
    <x v="50"/>
    <d v="2024-12-12T00:00:00"/>
    <s v="Cash Rewards Visa Signature - Ending in 5913"/>
    <x v="4982"/>
    <n v="8.7100000000000009"/>
    <x v="10"/>
    <m/>
    <s v="Exp - Entertainment"/>
    <m/>
    <m/>
    <m/>
    <m/>
    <m/>
    <m/>
    <x v="4421"/>
    <m/>
    <m/>
  </r>
  <r>
    <x v="25"/>
    <d v="2024-05-12T00:00:00"/>
    <s v="Powerplus - Ending in 8s30"/>
    <x v="3657"/>
    <n v="1094.24"/>
    <x v="3"/>
    <m/>
    <m/>
    <m/>
    <m/>
    <m/>
    <m/>
    <m/>
    <m/>
    <x v="3219"/>
    <m/>
    <m/>
  </r>
  <r>
    <x v="50"/>
    <d v="2024-12-12T00:00:00"/>
    <s v="Powerplus - Ending in 8s30"/>
    <x v="3684"/>
    <n v="-4406.5"/>
    <x v="57"/>
    <m/>
    <s v="Inc - Jeff"/>
    <m/>
    <m/>
    <m/>
    <m/>
    <m/>
    <m/>
    <x v="3245"/>
    <m/>
    <m/>
  </r>
  <r>
    <x v="50"/>
    <d v="2024-12-13T00:00:00"/>
    <s v="Powerplus - Ending in 8s30"/>
    <x v="5273"/>
    <n v="-2263.15"/>
    <x v="57"/>
    <m/>
    <s v="Inc - Jeff"/>
    <m/>
    <m/>
    <m/>
    <m/>
    <m/>
    <m/>
    <x v="3260"/>
    <m/>
    <m/>
  </r>
  <r>
    <x v="25"/>
    <d v="2024-05-27T00:00:00"/>
    <s v="Powerplus - Ending in 8s30"/>
    <x v="3657"/>
    <n v="777.63"/>
    <x v="3"/>
    <m/>
    <m/>
    <m/>
    <m/>
    <m/>
    <m/>
    <m/>
    <m/>
    <x v="3219"/>
    <m/>
    <m/>
  </r>
  <r>
    <x v="50"/>
    <d v="2024-12-13T00:00:00"/>
    <s v="Cash Rewards Visa Signature - Ending in 5913"/>
    <x v="1993"/>
    <n v="45"/>
    <x v="11"/>
    <m/>
    <m/>
    <m/>
    <m/>
    <m/>
    <m/>
    <m/>
    <m/>
    <x v="1843"/>
    <m/>
    <m/>
  </r>
  <r>
    <x v="50"/>
    <d v="2024-12-13T00:00:00"/>
    <s v="American Express"/>
    <x v="5085"/>
    <n v="57.45"/>
    <x v="5"/>
    <m/>
    <s v="Exp - Groceries"/>
    <m/>
    <m/>
    <m/>
    <m/>
    <m/>
    <m/>
    <x v="4521"/>
    <m/>
    <m/>
  </r>
  <r>
    <x v="50"/>
    <d v="2024-12-13T00:00:00"/>
    <s v="Powerplus - Ending in 8s30"/>
    <x v="5274"/>
    <n v="197.71"/>
    <x v="11"/>
    <m/>
    <s v="Exp - Utilities"/>
    <m/>
    <m/>
    <m/>
    <m/>
    <m/>
    <m/>
    <x v="3912"/>
    <m/>
    <m/>
  </r>
  <r>
    <x v="50"/>
    <d v="2024-12-14T00:00:00"/>
    <s v="American Express"/>
    <x v="5013"/>
    <n v="26.55"/>
    <x v="5"/>
    <m/>
    <s v="Exp - Groceries"/>
    <m/>
    <m/>
    <m/>
    <m/>
    <m/>
    <m/>
    <x v="4451"/>
    <m/>
    <m/>
  </r>
  <r>
    <x v="50"/>
    <d v="2024-12-14T00:00:00"/>
    <s v="American Express"/>
    <x v="5015"/>
    <n v="38.99"/>
    <x v="11"/>
    <m/>
    <s v="Exp - Utilities"/>
    <m/>
    <m/>
    <m/>
    <m/>
    <m/>
    <m/>
    <x v="4453"/>
    <m/>
    <m/>
  </r>
  <r>
    <x v="50"/>
    <d v="2024-12-14T00:00:00"/>
    <s v="American Express"/>
    <x v="4988"/>
    <n v="20"/>
    <x v="11"/>
    <m/>
    <s v="Exp - Utilities"/>
    <m/>
    <m/>
    <m/>
    <m/>
    <m/>
    <m/>
    <x v="4427"/>
    <m/>
    <m/>
  </r>
  <r>
    <x v="50"/>
    <d v="2024-12-14T00:00:00"/>
    <s v="American Express"/>
    <x v="5275"/>
    <n v="64.23"/>
    <x v="5"/>
    <m/>
    <s v="Exp - Groceries"/>
    <m/>
    <m/>
    <m/>
    <m/>
    <m/>
    <m/>
    <x v="4693"/>
    <m/>
    <m/>
  </r>
  <r>
    <x v="50"/>
    <d v="2024-12-14T00:00:00"/>
    <s v="American Express"/>
    <x v="5276"/>
    <n v="15.81"/>
    <x v="1"/>
    <m/>
    <s v="Exp - Restaurants"/>
    <m/>
    <m/>
    <m/>
    <m/>
    <m/>
    <m/>
    <x v="4694"/>
    <m/>
    <m/>
  </r>
  <r>
    <x v="50"/>
    <d v="2024-12-14T00:00:00"/>
    <s v="American Express"/>
    <x v="5216"/>
    <n v="148.01"/>
    <x v="5"/>
    <m/>
    <s v="Exp - Groceries"/>
    <m/>
    <m/>
    <m/>
    <m/>
    <m/>
    <m/>
    <x v="4639"/>
    <m/>
    <m/>
  </r>
  <r>
    <x v="50"/>
    <d v="2024-12-15T00:00:00"/>
    <s v="American Express"/>
    <x v="5070"/>
    <n v="98"/>
    <x v="8"/>
    <m/>
    <s v="Exp - Shopping"/>
    <m/>
    <m/>
    <m/>
    <m/>
    <m/>
    <m/>
    <x v="4506"/>
    <m/>
    <m/>
  </r>
  <r>
    <x v="50"/>
    <d v="2024-12-15T00:00:00"/>
    <s v="American Express"/>
    <x v="5277"/>
    <n v="37.53"/>
    <x v="2"/>
    <m/>
    <s v="Exp - Transportation"/>
    <m/>
    <m/>
    <m/>
    <m/>
    <m/>
    <m/>
    <x v="4695"/>
    <m/>
    <m/>
  </r>
  <r>
    <x v="50"/>
    <d v="2024-12-15T00:00:00"/>
    <s v="American Express"/>
    <x v="5278"/>
    <n v="29.68"/>
    <x v="10"/>
    <m/>
    <s v="Exp - Entertainment"/>
    <m/>
    <m/>
    <m/>
    <m/>
    <m/>
    <m/>
    <x v="4696"/>
    <m/>
    <m/>
  </r>
  <r>
    <x v="50"/>
    <d v="2024-12-16T00:00:00"/>
    <s v="American Express"/>
    <x v="5279"/>
    <n v="9.27"/>
    <x v="8"/>
    <m/>
    <s v="Exp - Shopping"/>
    <m/>
    <m/>
    <m/>
    <m/>
    <m/>
    <m/>
    <x v="4697"/>
    <m/>
    <m/>
  </r>
  <r>
    <x v="50"/>
    <d v="2024-12-16T00:00:00"/>
    <s v="American Express"/>
    <x v="5280"/>
    <n v="23.99"/>
    <x v="8"/>
    <m/>
    <s v="Exp - Shopping"/>
    <m/>
    <m/>
    <m/>
    <m/>
    <m/>
    <m/>
    <x v="4698"/>
    <m/>
    <m/>
  </r>
  <r>
    <x v="50"/>
    <d v="2024-12-16T00:00:00"/>
    <s v="American Express"/>
    <x v="5280"/>
    <n v="49.06"/>
    <x v="8"/>
    <m/>
    <s v="Exp - Shopping"/>
    <m/>
    <m/>
    <m/>
    <m/>
    <m/>
    <m/>
    <x v="4698"/>
    <m/>
    <m/>
  </r>
  <r>
    <x v="50"/>
    <d v="2024-12-16T00:00:00"/>
    <s v="Powerplus - Ending in 8s30"/>
    <x v="3693"/>
    <n v="92.03"/>
    <x v="16"/>
    <m/>
    <m/>
    <m/>
    <m/>
    <m/>
    <m/>
    <m/>
    <m/>
    <x v="3254"/>
    <m/>
    <m/>
  </r>
  <r>
    <x v="50"/>
    <d v="2024-12-16T00:00:00"/>
    <s v="American Express"/>
    <x v="5250"/>
    <n v="14.96"/>
    <x v="12"/>
    <m/>
    <s v="Exp - Target"/>
    <m/>
    <m/>
    <m/>
    <m/>
    <m/>
    <m/>
    <x v="4672"/>
    <m/>
    <m/>
  </r>
  <r>
    <x v="50"/>
    <d v="2024-12-16T00:00:00"/>
    <s v="American Express"/>
    <x v="5250"/>
    <n v="29.14"/>
    <x v="12"/>
    <m/>
    <s v="Exp - Target"/>
    <m/>
    <m/>
    <m/>
    <m/>
    <m/>
    <m/>
    <x v="4672"/>
    <m/>
    <m/>
  </r>
  <r>
    <x v="50"/>
    <d v="2024-12-17T00:00:00"/>
    <s v="American Express"/>
    <x v="5147"/>
    <n v="8.1199999999999992"/>
    <x v="1"/>
    <m/>
    <s v="Exp - Restaurants"/>
    <m/>
    <m/>
    <m/>
    <m/>
    <m/>
    <m/>
    <x v="4579"/>
    <m/>
    <m/>
  </r>
  <r>
    <x v="23"/>
    <d v="2024-06-12T00:00:00"/>
    <s v="Powerplus - Ending in 8s30"/>
    <x v="3657"/>
    <n v="774.67"/>
    <x v="3"/>
    <m/>
    <m/>
    <m/>
    <m/>
    <m/>
    <m/>
    <m/>
    <m/>
    <x v="3219"/>
    <m/>
    <m/>
  </r>
  <r>
    <x v="23"/>
    <d v="2024-06-27T00:00:00"/>
    <s v="Powerplus - Ending in 8s30"/>
    <x v="3657"/>
    <n v="612.63"/>
    <x v="3"/>
    <m/>
    <m/>
    <m/>
    <m/>
    <m/>
    <m/>
    <m/>
    <m/>
    <x v="3219"/>
    <m/>
    <m/>
  </r>
  <r>
    <x v="50"/>
    <d v="2024-12-17T00:00:00"/>
    <s v="American Express"/>
    <x v="5281"/>
    <n v="31.94"/>
    <x v="8"/>
    <m/>
    <s v="Exp - Shopping"/>
    <m/>
    <m/>
    <m/>
    <m/>
    <m/>
    <m/>
    <x v="4699"/>
    <m/>
    <m/>
  </r>
  <r>
    <x v="50"/>
    <d v="2024-12-17T00:00:00"/>
    <s v="American Express"/>
    <x v="5281"/>
    <n v="76.680000000000007"/>
    <x v="8"/>
    <m/>
    <s v="Exp - Shopping"/>
    <m/>
    <m/>
    <m/>
    <m/>
    <m/>
    <m/>
    <x v="4699"/>
    <m/>
    <m/>
  </r>
  <r>
    <x v="50"/>
    <d v="2024-12-17T00:00:00"/>
    <s v="American Express"/>
    <x v="5282"/>
    <n v="-41.97"/>
    <x v="8"/>
    <m/>
    <s v="Exp - Shopping"/>
    <m/>
    <m/>
    <m/>
    <m/>
    <m/>
    <m/>
    <x v="4700"/>
    <m/>
    <m/>
  </r>
  <r>
    <x v="50"/>
    <d v="2024-12-17T00:00:00"/>
    <s v="Powerplus - Ending in 8s30"/>
    <x v="5283"/>
    <n v="380"/>
    <x v="4"/>
    <m/>
    <s v="Exp - Day Care"/>
    <m/>
    <m/>
    <m/>
    <m/>
    <m/>
    <m/>
    <x v="4602"/>
    <m/>
    <m/>
  </r>
  <r>
    <x v="50"/>
    <d v="2024-12-18T00:00:00"/>
    <s v="American Express"/>
    <x v="5284"/>
    <n v="25"/>
    <x v="1"/>
    <m/>
    <s v="Exp - Restaurants"/>
    <m/>
    <m/>
    <m/>
    <m/>
    <m/>
    <m/>
    <x v="4701"/>
    <m/>
    <m/>
  </r>
  <r>
    <x v="50"/>
    <d v="2024-12-18T00:00:00"/>
    <s v="American Express"/>
    <x v="5013"/>
    <n v="13.77"/>
    <x v="5"/>
    <m/>
    <s v="Exp - Groceries"/>
    <m/>
    <m/>
    <m/>
    <m/>
    <m/>
    <m/>
    <x v="4451"/>
    <m/>
    <m/>
  </r>
  <r>
    <x v="50"/>
    <d v="2024-12-18T00:00:00"/>
    <s v="American Express"/>
    <x v="5201"/>
    <n v="25"/>
    <x v="4"/>
    <m/>
    <s v="Exp - Day Care"/>
    <m/>
    <m/>
    <m/>
    <m/>
    <m/>
    <m/>
    <x v="4630"/>
    <m/>
    <m/>
  </r>
  <r>
    <x v="62"/>
    <d v="2024-08-03T00:00:00"/>
    <s v="Powerplus - Ending in 8s30"/>
    <x v="3657"/>
    <n v="1592.13"/>
    <x v="3"/>
    <m/>
    <s v="Delete"/>
    <m/>
    <m/>
    <m/>
    <m/>
    <m/>
    <m/>
    <x v="3219"/>
    <m/>
    <m/>
  </r>
  <r>
    <x v="50"/>
    <d v="2024-12-19T00:00:00"/>
    <s v="American Express"/>
    <x v="5240"/>
    <n v="97.75"/>
    <x v="8"/>
    <m/>
    <s v="Exp - Shopping"/>
    <m/>
    <m/>
    <m/>
    <m/>
    <m/>
    <m/>
    <x v="4662"/>
    <m/>
    <m/>
  </r>
  <r>
    <x v="62"/>
    <d v="2024-08-15T00:00:00"/>
    <s v="Powerplus - Ending in 8s30"/>
    <x v="3657"/>
    <n v="979.54"/>
    <x v="3"/>
    <m/>
    <m/>
    <m/>
    <m/>
    <m/>
    <m/>
    <m/>
    <m/>
    <x v="3219"/>
    <m/>
    <m/>
  </r>
  <r>
    <x v="50"/>
    <d v="2024-12-19T00:00:00"/>
    <s v="Powerplus - Ending in 8s30"/>
    <x v="1849"/>
    <n v="2.99"/>
    <x v="8"/>
    <m/>
    <m/>
    <m/>
    <m/>
    <m/>
    <m/>
    <m/>
    <m/>
    <x v="1704"/>
    <m/>
    <m/>
  </r>
  <r>
    <x v="50"/>
    <d v="2024-12-19T00:00:00"/>
    <s v="American Express"/>
    <x v="4974"/>
    <n v="19.02"/>
    <x v="1"/>
    <m/>
    <s v="Exp - Restaurants"/>
    <m/>
    <m/>
    <m/>
    <m/>
    <m/>
    <m/>
    <x v="4414"/>
    <m/>
    <m/>
  </r>
  <r>
    <x v="50"/>
    <d v="2024-12-19T00:00:00"/>
    <s v="American Express"/>
    <x v="4974"/>
    <n v="78.959999999999994"/>
    <x v="1"/>
    <m/>
    <s v="Exp - Restaurants"/>
    <m/>
    <m/>
    <m/>
    <m/>
    <m/>
    <m/>
    <x v="4414"/>
    <m/>
    <m/>
  </r>
  <r>
    <x v="50"/>
    <d v="2024-12-20T00:00:00"/>
    <s v="American Express"/>
    <x v="5285"/>
    <n v="15.5"/>
    <x v="10"/>
    <m/>
    <s v="Exp - Entertainment"/>
    <m/>
    <m/>
    <m/>
    <m/>
    <m/>
    <m/>
    <x v="4702"/>
    <m/>
    <m/>
  </r>
  <r>
    <x v="50"/>
    <d v="2024-12-20T00:00:00"/>
    <s v="American Express"/>
    <x v="5285"/>
    <n v="19.25"/>
    <x v="10"/>
    <m/>
    <s v="Exp - Entertainment"/>
    <m/>
    <m/>
    <m/>
    <m/>
    <m/>
    <m/>
    <x v="4702"/>
    <m/>
    <m/>
  </r>
  <r>
    <x v="50"/>
    <d v="2024-12-20T00:00:00"/>
    <s v="American Express"/>
    <x v="5285"/>
    <n v="52"/>
    <x v="10"/>
    <m/>
    <s v="Exp - Entertainment"/>
    <m/>
    <m/>
    <m/>
    <m/>
    <m/>
    <m/>
    <x v="4702"/>
    <m/>
    <m/>
  </r>
  <r>
    <x v="50"/>
    <d v="2024-12-20T00:00:00"/>
    <s v="American Express"/>
    <x v="5285"/>
    <n v="65"/>
    <x v="10"/>
    <m/>
    <s v="Exp - Entertainment"/>
    <m/>
    <m/>
    <m/>
    <m/>
    <m/>
    <m/>
    <x v="4702"/>
    <m/>
    <m/>
  </r>
  <r>
    <x v="50"/>
    <d v="2024-12-20T00:00:00"/>
    <s v="American Express"/>
    <x v="5286"/>
    <n v="95.27"/>
    <x v="8"/>
    <m/>
    <s v="Exp - Shopping"/>
    <m/>
    <m/>
    <m/>
    <m/>
    <m/>
    <m/>
    <x v="4703"/>
    <m/>
    <m/>
  </r>
  <r>
    <x v="50"/>
    <d v="2024-12-20T00:00:00"/>
    <s v="American Express"/>
    <x v="5287"/>
    <n v="12.05"/>
    <x v="8"/>
    <m/>
    <s v="Exp - Shopping"/>
    <m/>
    <m/>
    <m/>
    <m/>
    <m/>
    <m/>
    <x v="4704"/>
    <m/>
    <m/>
  </r>
  <r>
    <x v="50"/>
    <d v="2024-12-20T00:00:00"/>
    <s v="Powerplus - Ending in 8s30"/>
    <x v="1893"/>
    <n v="-4098.2"/>
    <x v="34"/>
    <m/>
    <s v="Inc - Britney"/>
    <m/>
    <m/>
    <m/>
    <m/>
    <m/>
    <m/>
    <x v="1746"/>
    <m/>
    <m/>
  </r>
  <r>
    <x v="50"/>
    <d v="2024-12-20T00:00:00"/>
    <s v="Cash Rewards Visa Signature - Ending in 5913"/>
    <x v="5288"/>
    <n v="1.99"/>
    <x v="11"/>
    <m/>
    <s v="Exp - Utilities"/>
    <m/>
    <m/>
    <m/>
    <m/>
    <m/>
    <m/>
    <x v="4705"/>
    <m/>
    <m/>
  </r>
  <r>
    <x v="50"/>
    <d v="2024-12-20T00:00:00"/>
    <s v="American Express"/>
    <x v="5289"/>
    <n v="106"/>
    <x v="10"/>
    <m/>
    <s v="Exp - Entertainment"/>
    <m/>
    <m/>
    <m/>
    <m/>
    <m/>
    <m/>
    <x v="4706"/>
    <m/>
    <m/>
  </r>
  <r>
    <x v="50"/>
    <d v="2024-12-20T00:00:00"/>
    <s v="American Express"/>
    <x v="5140"/>
    <n v="125"/>
    <x v="8"/>
    <m/>
    <s v="Exp - Shopping"/>
    <m/>
    <m/>
    <m/>
    <m/>
    <m/>
    <m/>
    <x v="4572"/>
    <m/>
    <m/>
  </r>
  <r>
    <x v="50"/>
    <d v="2024-12-20T00:00:00"/>
    <s v="American Express"/>
    <x v="5290"/>
    <n v="12"/>
    <x v="10"/>
    <m/>
    <s v="Exp - Entertainment"/>
    <m/>
    <m/>
    <m/>
    <m/>
    <m/>
    <m/>
    <x v="4707"/>
    <m/>
    <m/>
  </r>
  <r>
    <x v="50"/>
    <d v="2024-12-22T00:00:00"/>
    <s v="American Express"/>
    <x v="5291"/>
    <n v="100"/>
    <x v="10"/>
    <m/>
    <s v="Exp - Entertainment"/>
    <m/>
    <m/>
    <m/>
    <m/>
    <m/>
    <m/>
    <x v="4708"/>
    <m/>
    <m/>
  </r>
  <r>
    <x v="50"/>
    <d v="2024-12-22T00:00:00"/>
    <s v="Cash Rewards Visa Signature - Ending in 5913"/>
    <x v="5292"/>
    <n v="11"/>
    <x v="19"/>
    <m/>
    <s v="Exp - House Maint"/>
    <m/>
    <m/>
    <m/>
    <m/>
    <m/>
    <m/>
    <x v="4709"/>
    <m/>
    <m/>
  </r>
  <r>
    <x v="50"/>
    <d v="2024-12-22T00:00:00"/>
    <s v="American Express"/>
    <x v="5293"/>
    <n v="16.28"/>
    <x v="1"/>
    <m/>
    <s v="Exp - Restaurants"/>
    <m/>
    <m/>
    <m/>
    <m/>
    <m/>
    <m/>
    <x v="4710"/>
    <m/>
    <m/>
  </r>
  <r>
    <x v="50"/>
    <d v="2024-12-22T00:00:00"/>
    <s v="American Express"/>
    <x v="5293"/>
    <n v="81.37"/>
    <x v="1"/>
    <m/>
    <s v="Exp - Restaurants"/>
    <m/>
    <m/>
    <m/>
    <m/>
    <m/>
    <m/>
    <x v="4710"/>
    <m/>
    <m/>
  </r>
  <r>
    <x v="50"/>
    <d v="2024-12-22T00:00:00"/>
    <s v="American Express"/>
    <x v="5293"/>
    <n v="86.24"/>
    <x v="1"/>
    <m/>
    <s v="Exp - Restaurants"/>
    <m/>
    <m/>
    <m/>
    <m/>
    <m/>
    <m/>
    <x v="4710"/>
    <m/>
    <m/>
  </r>
  <r>
    <x v="50"/>
    <d v="2024-12-23T00:00:00"/>
    <s v="American Express"/>
    <x v="5072"/>
    <n v="48.57"/>
    <x v="5"/>
    <m/>
    <s v="Exp - Groceries"/>
    <m/>
    <m/>
    <m/>
    <m/>
    <m/>
    <m/>
    <x v="4508"/>
    <m/>
    <m/>
  </r>
  <r>
    <x v="50"/>
    <d v="2024-12-23T00:00:00"/>
    <s v="American Express"/>
    <x v="5294"/>
    <n v="281.73"/>
    <x v="8"/>
    <m/>
    <s v="Exp - Shopping"/>
    <m/>
    <m/>
    <m/>
    <m/>
    <m/>
    <m/>
    <x v="4711"/>
    <m/>
    <m/>
  </r>
  <r>
    <x v="50"/>
    <d v="2024-12-23T00:00:00"/>
    <s v="Cash Rewards Visa Signature - Ending in 5913"/>
    <x v="4158"/>
    <n v="61.52"/>
    <x v="5"/>
    <m/>
    <m/>
    <m/>
    <m/>
    <m/>
    <m/>
    <m/>
    <m/>
    <x v="3690"/>
    <m/>
    <m/>
  </r>
  <r>
    <x v="50"/>
    <d v="2024-12-23T00:00:00"/>
    <s v="American Express"/>
    <x v="5295"/>
    <n v="50"/>
    <x v="8"/>
    <m/>
    <s v="Exp - Shopping"/>
    <m/>
    <m/>
    <m/>
    <m/>
    <m/>
    <m/>
    <x v="4712"/>
    <m/>
    <m/>
  </r>
  <r>
    <x v="50"/>
    <d v="2024-12-23T00:00:00"/>
    <s v="American Express"/>
    <x v="5296"/>
    <n v="65.33"/>
    <x v="2"/>
    <m/>
    <s v="Exp - Transportation"/>
    <m/>
    <m/>
    <m/>
    <m/>
    <m/>
    <m/>
    <x v="4713"/>
    <m/>
    <m/>
  </r>
  <r>
    <x v="65"/>
    <d v="2024-09-03T00:00:00"/>
    <s v="Powerplus - Ending in 8s30"/>
    <x v="3657"/>
    <n v="3547.13"/>
    <x v="3"/>
    <m/>
    <s v="Delete"/>
    <m/>
    <m/>
    <m/>
    <m/>
    <m/>
    <m/>
    <x v="3219"/>
    <m/>
    <m/>
  </r>
  <r>
    <x v="50"/>
    <d v="2024-12-23T00:00:00"/>
    <s v="Powerplus - Ending in 8s30"/>
    <x v="5297"/>
    <n v="64.83"/>
    <x v="11"/>
    <m/>
    <s v="Exp - Utilities"/>
    <m/>
    <m/>
    <m/>
    <m/>
    <m/>
    <m/>
    <x v="3287"/>
    <m/>
    <m/>
  </r>
  <r>
    <x v="50"/>
    <d v="2024-12-24T00:00:00"/>
    <s v="Cash Rewards Visa Signature - Ending in 5913"/>
    <x v="255"/>
    <n v="147.97"/>
    <x v="5"/>
    <m/>
    <m/>
    <m/>
    <m/>
    <m/>
    <m/>
    <m/>
    <m/>
    <x v="253"/>
    <m/>
    <m/>
  </r>
  <r>
    <x v="50"/>
    <d v="2024-12-24T00:00:00"/>
    <s v="Cash Rewards Visa Signature - Ending in 5913"/>
    <x v="4158"/>
    <n v="33.03"/>
    <x v="5"/>
    <m/>
    <m/>
    <m/>
    <m/>
    <m/>
    <m/>
    <m/>
    <m/>
    <x v="3690"/>
    <m/>
    <m/>
  </r>
  <r>
    <x v="50"/>
    <d v="2024-12-24T00:00:00"/>
    <s v="American Express"/>
    <x v="5298"/>
    <n v="303.95"/>
    <x v="1"/>
    <m/>
    <s v="Exp - Restaurants"/>
    <m/>
    <m/>
    <m/>
    <m/>
    <m/>
    <m/>
    <x v="4714"/>
    <m/>
    <m/>
  </r>
  <r>
    <x v="65"/>
    <d v="2024-09-24T00:00:00"/>
    <s v="Powerplus - Ending in 8s30"/>
    <x v="3657"/>
    <n v="3004.53"/>
    <x v="3"/>
    <m/>
    <s v="Delete"/>
    <m/>
    <m/>
    <m/>
    <m/>
    <m/>
    <m/>
    <x v="3219"/>
    <m/>
    <m/>
  </r>
  <r>
    <x v="50"/>
    <d v="2024-12-24T00:00:00"/>
    <s v="Cash Rewards Visa Signature - Ending in 5913"/>
    <x v="5299"/>
    <n v="4.25"/>
    <x v="2"/>
    <m/>
    <s v="Exp - Transportation"/>
    <m/>
    <m/>
    <m/>
    <m/>
    <m/>
    <m/>
    <x v="4715"/>
    <m/>
    <m/>
  </r>
  <r>
    <x v="49"/>
    <d v="2024-10-02T00:00:00"/>
    <s v="Powerplus - Ending in 8s30"/>
    <x v="3657"/>
    <n v="502.24"/>
    <x v="3"/>
    <m/>
    <s v="Delete"/>
    <m/>
    <m/>
    <m/>
    <m/>
    <m/>
    <m/>
    <x v="3219"/>
    <m/>
    <m/>
  </r>
  <r>
    <x v="50"/>
    <d v="2024-12-24T00:00:00"/>
    <s v="Powerplus - Ending in 8s30"/>
    <x v="5300"/>
    <n v="380"/>
    <x v="4"/>
    <m/>
    <s v="Exp - Day Care"/>
    <m/>
    <m/>
    <m/>
    <m/>
    <m/>
    <m/>
    <x v="4602"/>
    <m/>
    <m/>
  </r>
  <r>
    <x v="63"/>
    <d v="2024-11-02T00:00:00"/>
    <s v="Powerplus - Ending in 8s30"/>
    <x v="3657"/>
    <n v="617.39"/>
    <x v="3"/>
    <m/>
    <m/>
    <m/>
    <m/>
    <m/>
    <m/>
    <m/>
    <m/>
    <x v="3219"/>
    <m/>
    <m/>
  </r>
  <r>
    <x v="63"/>
    <d v="2024-11-27T00:00:00"/>
    <s v="Powerplus - Ending in 8s30"/>
    <x v="3657"/>
    <n v="1574.72"/>
    <x v="3"/>
    <m/>
    <m/>
    <m/>
    <m/>
    <m/>
    <m/>
    <m/>
    <m/>
    <x v="3219"/>
    <m/>
    <m/>
  </r>
  <r>
    <x v="50"/>
    <d v="2024-12-30T00:00:00"/>
    <s v="Powerplus - Ending in 8s30"/>
    <x v="3657"/>
    <n v="560.95000000000005"/>
    <x v="3"/>
    <m/>
    <m/>
    <m/>
    <m/>
    <m/>
    <m/>
    <m/>
    <m/>
    <x v="3219"/>
    <m/>
    <m/>
  </r>
  <r>
    <x v="50"/>
    <d v="2024-12-26T00:00:00"/>
    <s v="Powerplus - Ending in 8s30"/>
    <x v="1065"/>
    <n v="-100"/>
    <x v="13"/>
    <m/>
    <s v="Inc - Other"/>
    <m/>
    <m/>
    <m/>
    <m/>
    <m/>
    <m/>
    <x v="1015"/>
    <m/>
    <m/>
  </r>
  <r>
    <x v="50"/>
    <d v="2024-12-26T00:00:00"/>
    <s v="Powerplus - Ending in 8s30"/>
    <x v="1065"/>
    <n v="-100"/>
    <x v="13"/>
    <m/>
    <s v="Inc - Other"/>
    <m/>
    <m/>
    <m/>
    <m/>
    <m/>
    <m/>
    <x v="1015"/>
    <m/>
    <m/>
  </r>
  <r>
    <x v="50"/>
    <d v="2024-12-26T00:00:00"/>
    <s v="American Express"/>
    <x v="5301"/>
    <n v="22.22"/>
    <x v="8"/>
    <m/>
    <s v="Exp - Shopping"/>
    <m/>
    <m/>
    <m/>
    <m/>
    <m/>
    <m/>
    <x v="4716"/>
    <m/>
    <m/>
  </r>
  <r>
    <x v="50"/>
    <d v="2024-12-26T00:00:00"/>
    <s v="American Express"/>
    <x v="5254"/>
    <n v="4.6500000000000004"/>
    <x v="2"/>
    <m/>
    <s v="Exp - Transportation"/>
    <m/>
    <m/>
    <m/>
    <m/>
    <m/>
    <m/>
    <x v="4676"/>
    <m/>
    <m/>
  </r>
  <r>
    <x v="44"/>
    <d v="2024-01-25T00:00:00"/>
    <s v="Powerplus - Ending in 8s30"/>
    <x v="5302"/>
    <n v="5.46"/>
    <x v="3"/>
    <m/>
    <s v="Delete"/>
    <m/>
    <m/>
    <m/>
    <m/>
    <m/>
    <m/>
    <x v="4717"/>
    <m/>
    <m/>
  </r>
  <r>
    <x v="44"/>
    <d v="2024-01-26T00:00:00"/>
    <s v="Powerplus - Ending in 8s30"/>
    <x v="5303"/>
    <n v="66.81"/>
    <x v="3"/>
    <m/>
    <s v="Delete"/>
    <m/>
    <m/>
    <m/>
    <m/>
    <m/>
    <m/>
    <x v="4718"/>
    <m/>
    <m/>
  </r>
  <r>
    <x v="50"/>
    <d v="2024-12-26T00:00:00"/>
    <s v="Powerplus - Ending in 8s30"/>
    <x v="3734"/>
    <n v="482.37"/>
    <x v="12"/>
    <m/>
    <m/>
    <m/>
    <m/>
    <m/>
    <m/>
    <m/>
    <m/>
    <x v="3293"/>
    <m/>
    <m/>
  </r>
  <r>
    <x v="50"/>
    <d v="2024-12-26T00:00:00"/>
    <s v="American Express"/>
    <x v="5124"/>
    <n v="132.47999999999999"/>
    <x v="8"/>
    <m/>
    <s v="Exp - Shopping"/>
    <m/>
    <m/>
    <m/>
    <m/>
    <m/>
    <m/>
    <x v="4556"/>
    <m/>
    <m/>
  </r>
  <r>
    <x v="44"/>
    <d v="2024-01-29T00:00:00"/>
    <s v="Powerplus - Ending in 8s30"/>
    <x v="5304"/>
    <n v="3.27"/>
    <x v="3"/>
    <m/>
    <s v="Delete"/>
    <m/>
    <m/>
    <m/>
    <m/>
    <m/>
    <m/>
    <x v="4719"/>
    <m/>
    <m/>
  </r>
  <r>
    <x v="50"/>
    <d v="2024-12-26T00:00:00"/>
    <s v="American Express"/>
    <x v="5305"/>
    <n v="10.5"/>
    <x v="28"/>
    <m/>
    <s v="Exp - Misc"/>
    <m/>
    <m/>
    <m/>
    <m/>
    <m/>
    <m/>
    <x v="4720"/>
    <m/>
    <m/>
  </r>
  <r>
    <x v="44"/>
    <d v="2024-01-28T00:00:00"/>
    <s v="Powerplus - Ending in 8s30"/>
    <x v="5306"/>
    <n v="32.04"/>
    <x v="3"/>
    <m/>
    <s v="Delete"/>
    <m/>
    <m/>
    <m/>
    <m/>
    <m/>
    <m/>
    <x v="4721"/>
    <m/>
    <m/>
  </r>
  <r>
    <x v="50"/>
    <d v="2024-12-27T00:00:00"/>
    <s v="American Express"/>
    <x v="5307"/>
    <n v="49.84"/>
    <x v="10"/>
    <m/>
    <s v="Exp - Entertainment"/>
    <m/>
    <m/>
    <m/>
    <m/>
    <m/>
    <m/>
    <x v="4722"/>
    <m/>
    <m/>
  </r>
  <r>
    <x v="50"/>
    <d v="2024-12-27T00:00:00"/>
    <s v="American Express"/>
    <x v="5308"/>
    <n v="35.229999999999997"/>
    <x v="10"/>
    <m/>
    <s v="Exp - Entertainment"/>
    <m/>
    <m/>
    <m/>
    <m/>
    <m/>
    <m/>
    <x v="4723"/>
    <m/>
    <m/>
  </r>
  <r>
    <x v="50"/>
    <d v="2024-12-27T00:00:00"/>
    <s v="American Express"/>
    <x v="5113"/>
    <n v="109"/>
    <x v="4"/>
    <m/>
    <s v="Exp - Day Care"/>
    <m/>
    <m/>
    <m/>
    <m/>
    <m/>
    <m/>
    <x v="4545"/>
    <m/>
    <s v="ask brit"/>
  </r>
  <r>
    <x v="52"/>
    <d v="2023-02-01T00:00:00"/>
    <s v="POWERPLUS"/>
    <x v="5309"/>
    <n v="2606.27"/>
    <x v="53"/>
    <e v="#N/A"/>
    <s v="Exp - Rent"/>
    <m/>
    <n v="-2606.27"/>
    <m/>
    <m/>
    <s v="debit"/>
    <m/>
    <x v="4019"/>
    <m/>
    <m/>
  </r>
  <r>
    <x v="50"/>
    <d v="2024-12-27T00:00:00"/>
    <s v="American Express"/>
    <x v="5310"/>
    <n v="39.99"/>
    <x v="8"/>
    <m/>
    <s v="Exp - Shopping"/>
    <m/>
    <m/>
    <m/>
    <m/>
    <m/>
    <m/>
    <x v="4724"/>
    <m/>
    <m/>
  </r>
  <r>
    <x v="50"/>
    <d v="2024-12-27T00:00:00"/>
    <s v="Powerplus - Ending in 8s30"/>
    <x v="1827"/>
    <n v="125"/>
    <x v="8"/>
    <m/>
    <m/>
    <m/>
    <m/>
    <m/>
    <m/>
    <m/>
    <m/>
    <x v="1682"/>
    <m/>
    <m/>
  </r>
  <r>
    <x v="44"/>
    <d v="2024-01-25T00:00:00"/>
    <s v="Powerplus - Ending in 8s30"/>
    <x v="5311"/>
    <n v="38.979999999999997"/>
    <x v="3"/>
    <m/>
    <s v="Delete"/>
    <m/>
    <m/>
    <m/>
    <m/>
    <m/>
    <m/>
    <x v="4725"/>
    <m/>
    <m/>
  </r>
  <r>
    <x v="44"/>
    <d v="2024-01-25T00:00:00"/>
    <s v="Powerplus - Ending in 8s30"/>
    <x v="5312"/>
    <n v="10.92"/>
    <x v="3"/>
    <m/>
    <s v="Delete"/>
    <m/>
    <m/>
    <m/>
    <m/>
    <m/>
    <m/>
    <x v="4726"/>
    <m/>
    <m/>
  </r>
  <r>
    <x v="50"/>
    <d v="2024-12-28T00:00:00"/>
    <s v="American Express"/>
    <x v="5240"/>
    <n v="-55"/>
    <x v="8"/>
    <m/>
    <s v="Exp - Shopping"/>
    <m/>
    <m/>
    <m/>
    <m/>
    <m/>
    <m/>
    <x v="4662"/>
    <m/>
    <m/>
  </r>
  <r>
    <x v="50"/>
    <d v="2024-12-28T00:00:00"/>
    <s v="American Express"/>
    <x v="5240"/>
    <n v="-34"/>
    <x v="8"/>
    <m/>
    <s v="Exp - Shopping"/>
    <m/>
    <m/>
    <m/>
    <m/>
    <m/>
    <m/>
    <x v="4662"/>
    <m/>
    <m/>
  </r>
  <r>
    <x v="50"/>
    <d v="2024-12-28T00:00:00"/>
    <s v="American Express"/>
    <x v="5240"/>
    <n v="-31.5"/>
    <x v="8"/>
    <m/>
    <s v="Exp - Shopping"/>
    <m/>
    <m/>
    <m/>
    <m/>
    <m/>
    <m/>
    <x v="4662"/>
    <m/>
    <m/>
  </r>
  <r>
    <x v="50"/>
    <d v="2024-12-28T00:00:00"/>
    <s v="American Express"/>
    <x v="5240"/>
    <n v="3"/>
    <x v="8"/>
    <m/>
    <s v="Exp - Shopping"/>
    <m/>
    <m/>
    <m/>
    <m/>
    <m/>
    <m/>
    <x v="4662"/>
    <m/>
    <m/>
  </r>
  <r>
    <x v="50"/>
    <d v="2024-12-28T00:00:00"/>
    <s v="American Express"/>
    <x v="5313"/>
    <n v="24"/>
    <x v="10"/>
    <m/>
    <s v="Exp - Entertainment"/>
    <m/>
    <m/>
    <m/>
    <m/>
    <m/>
    <m/>
    <x v="4727"/>
    <m/>
    <m/>
  </r>
  <r>
    <x v="50"/>
    <d v="2024-12-28T00:00:00"/>
    <s v="American Express"/>
    <x v="5314"/>
    <n v="73.069999999999993"/>
    <x v="1"/>
    <m/>
    <s v="Exp - Restaurants"/>
    <m/>
    <m/>
    <m/>
    <m/>
    <m/>
    <m/>
    <x v="4728"/>
    <m/>
    <m/>
  </r>
  <r>
    <x v="50"/>
    <d v="2024-12-29T00:00:00"/>
    <s v="American Express"/>
    <x v="57"/>
    <n v="221.51"/>
    <x v="5"/>
    <m/>
    <s v="Exp - Groceries"/>
    <m/>
    <m/>
    <m/>
    <m/>
    <m/>
    <m/>
    <x v="57"/>
    <m/>
    <m/>
  </r>
  <r>
    <x v="50"/>
    <d v="2024-12-29T00:00:00"/>
    <s v="American Express"/>
    <x v="5315"/>
    <n v="78.260000000000005"/>
    <x v="1"/>
    <m/>
    <s v="Exp - Restaurants"/>
    <m/>
    <m/>
    <m/>
    <m/>
    <m/>
    <m/>
    <x v="4729"/>
    <m/>
    <m/>
  </r>
  <r>
    <x v="50"/>
    <d v="2024-12-29T00:00:00"/>
    <s v="American Express"/>
    <x v="5316"/>
    <n v="11.51"/>
    <x v="2"/>
    <m/>
    <s v="Exp - Transportation"/>
    <m/>
    <m/>
    <m/>
    <m/>
    <m/>
    <m/>
    <x v="4730"/>
    <m/>
    <m/>
  </r>
  <r>
    <x v="50"/>
    <d v="2024-12-29T00:00:00"/>
    <s v="American Express"/>
    <x v="5317"/>
    <n v="42.18"/>
    <x v="2"/>
    <m/>
    <s v="Exp - Transportation"/>
    <m/>
    <m/>
    <m/>
    <m/>
    <m/>
    <m/>
    <x v="4731"/>
    <m/>
    <m/>
  </r>
  <r>
    <x v="50"/>
    <d v="2024-12-29T00:00:00"/>
    <s v="Cash Rewards Visa Signature - Ending in 5913"/>
    <x v="255"/>
    <n v="102.93"/>
    <x v="5"/>
    <m/>
    <m/>
    <m/>
    <m/>
    <m/>
    <m/>
    <m/>
    <m/>
    <x v="253"/>
    <m/>
    <m/>
  </r>
  <r>
    <x v="50"/>
    <d v="2024-12-29T00:00:00"/>
    <s v="Cash Rewards Visa Signature - Ending in 5913"/>
    <x v="255"/>
    <n v="72.040000000000006"/>
    <x v="5"/>
    <m/>
    <m/>
    <m/>
    <m/>
    <m/>
    <m/>
    <m/>
    <m/>
    <x v="253"/>
    <m/>
    <m/>
  </r>
  <r>
    <x v="50"/>
    <d v="2024-12-29T00:00:00"/>
    <s v="American Express"/>
    <x v="5318"/>
    <n v="25.57"/>
    <x v="2"/>
    <m/>
    <s v="Exp - Transportation"/>
    <m/>
    <m/>
    <m/>
    <m/>
    <m/>
    <m/>
    <x v="4732"/>
    <m/>
    <m/>
  </r>
  <r>
    <x v="50"/>
    <d v="2024-12-29T00:00:00"/>
    <s v="Powerplus - Ending in 8s30"/>
    <x v="3684"/>
    <n v="-4534.8100000000004"/>
    <x v="57"/>
    <m/>
    <s v="Inc - Jeff"/>
    <m/>
    <m/>
    <m/>
    <m/>
    <m/>
    <m/>
    <x v="3245"/>
    <m/>
    <m/>
  </r>
  <r>
    <x v="63"/>
    <d v="2024-11-21T00:00:00"/>
    <s v="Cash Rewards Visa Signature - Ending in 5913"/>
    <x v="5319"/>
    <n v="13.79"/>
    <x v="3"/>
    <m/>
    <s v="Delete"/>
    <m/>
    <m/>
    <m/>
    <m/>
    <m/>
    <m/>
    <x v="4733"/>
    <m/>
    <m/>
  </r>
  <r>
    <x v="50"/>
    <d v="2024-12-30T00:00:00"/>
    <s v="American Express"/>
    <x v="5055"/>
    <n v="-50"/>
    <x v="10"/>
    <m/>
    <s v="Exp - Entertainment"/>
    <m/>
    <m/>
    <m/>
    <m/>
    <m/>
    <m/>
    <x v="4492"/>
    <m/>
    <m/>
  </r>
  <r>
    <x v="63"/>
    <d v="2024-11-21T00:00:00"/>
    <s v="Cash Rewards Visa Signature - Ending in 5913"/>
    <x v="5320"/>
    <n v="7.96"/>
    <x v="3"/>
    <m/>
    <s v="Delete"/>
    <m/>
    <m/>
    <m/>
    <m/>
    <m/>
    <m/>
    <x v="4734"/>
    <m/>
    <m/>
  </r>
  <r>
    <x v="50"/>
    <d v="2024-12-30T00:00:00"/>
    <s v="American Express"/>
    <x v="5321"/>
    <n v="88.62"/>
    <x v="1"/>
    <m/>
    <s v="Exp - Restaurants"/>
    <m/>
    <m/>
    <m/>
    <m/>
    <m/>
    <m/>
    <x v="4735"/>
    <m/>
    <m/>
  </r>
  <r>
    <x v="50"/>
    <d v="2024-12-30T00:00:00"/>
    <s v="Powerplus - Ending in 8s30"/>
    <x v="3693"/>
    <n v="52.91"/>
    <x v="16"/>
    <m/>
    <m/>
    <m/>
    <m/>
    <m/>
    <m/>
    <m/>
    <m/>
    <x v="3254"/>
    <m/>
    <m/>
  </r>
  <r>
    <x v="50"/>
    <d v="2024-12-30T00:00:00"/>
    <s v="Powerplus - Ending in 8s30"/>
    <x v="1849"/>
    <n v="0.99"/>
    <x v="8"/>
    <m/>
    <m/>
    <m/>
    <m/>
    <m/>
    <m/>
    <m/>
    <m/>
    <x v="1704"/>
    <m/>
    <m/>
  </r>
  <r>
    <x v="63"/>
    <d v="2024-11-21T00:00:00"/>
    <s v="Cash Rewards Visa Signature - Ending in 5913"/>
    <x v="5322"/>
    <n v="18.559999999999999"/>
    <x v="3"/>
    <m/>
    <s v="Delete"/>
    <m/>
    <m/>
    <m/>
    <m/>
    <m/>
    <m/>
    <x v="4736"/>
    <m/>
    <m/>
  </r>
  <r>
    <x v="50"/>
    <d v="2024-12-31T00:00:00"/>
    <s v="American Express"/>
    <x v="5323"/>
    <n v="10.6"/>
    <x v="24"/>
    <m/>
    <s v="Exp - Travel"/>
    <m/>
    <m/>
    <m/>
    <m/>
    <m/>
    <m/>
    <x v="4737"/>
    <m/>
    <m/>
  </r>
  <r>
    <x v="50"/>
    <d v="2024-12-31T00:00:00"/>
    <s v="Powerplus - Ending in 8s30"/>
    <x v="2412"/>
    <n v="-4"/>
    <x v="13"/>
    <m/>
    <s v="Inc - Other"/>
    <m/>
    <m/>
    <m/>
    <m/>
    <m/>
    <m/>
    <x v="2228"/>
    <m/>
    <m/>
  </r>
  <r>
    <x v="50"/>
    <d v="2024-12-31T00:00:00"/>
    <s v="Powerplus - Ending in 8s30"/>
    <x v="5324"/>
    <n v="-50.13"/>
    <x v="13"/>
    <m/>
    <s v="Inc - Other"/>
    <m/>
    <m/>
    <m/>
    <m/>
    <m/>
    <m/>
    <x v="4738"/>
    <m/>
    <m/>
  </r>
  <r>
    <x v="50"/>
    <d v="2024-12-31T00:00:00"/>
    <s v="American Express"/>
    <x v="5325"/>
    <n v="12.49"/>
    <x v="24"/>
    <m/>
    <s v="Exp - Travel"/>
    <m/>
    <m/>
    <m/>
    <m/>
    <m/>
    <m/>
    <x v="4739"/>
    <m/>
    <m/>
  </r>
  <r>
    <x v="50"/>
    <d v="2024-12-31T00:00:00"/>
    <s v="American Express"/>
    <x v="5326"/>
    <n v="84.8"/>
    <x v="24"/>
    <m/>
    <s v="Exp - Travel"/>
    <m/>
    <m/>
    <m/>
    <m/>
    <m/>
    <m/>
    <x v="4740"/>
    <m/>
    <m/>
  </r>
  <r>
    <x v="50"/>
    <d v="2024-12-31T00:00:00"/>
    <s v="American Express"/>
    <x v="5327"/>
    <n v="311.24"/>
    <x v="24"/>
    <m/>
    <s v="Exp - Travel"/>
    <m/>
    <m/>
    <m/>
    <m/>
    <m/>
    <m/>
    <x v="4741"/>
    <m/>
    <m/>
  </r>
  <r>
    <x v="50"/>
    <d v="2024-12-31T00:00:00"/>
    <s v="American Express"/>
    <x v="5328"/>
    <n v="18.3"/>
    <x v="24"/>
    <m/>
    <s v="Exp - Travel"/>
    <m/>
    <m/>
    <m/>
    <m/>
    <m/>
    <m/>
    <x v="4742"/>
    <m/>
    <m/>
  </r>
  <r>
    <x v="50"/>
    <d v="2024-12-31T00:00:00"/>
    <s v="American Express"/>
    <x v="5328"/>
    <n v="32.94"/>
    <x v="24"/>
    <m/>
    <s v="Exp - Travel"/>
    <m/>
    <m/>
    <m/>
    <m/>
    <m/>
    <m/>
    <x v="4742"/>
    <m/>
    <m/>
  </r>
  <r>
    <x v="50"/>
    <d v="2024-12-31T00:00:00"/>
    <s v="Powerplus - Ending in 8s30"/>
    <x v="5329"/>
    <n v="380"/>
    <x v="4"/>
    <m/>
    <s v="Exp - Day Care"/>
    <m/>
    <m/>
    <m/>
    <m/>
    <m/>
    <m/>
    <x v="4602"/>
    <m/>
    <m/>
  </r>
  <r>
    <x v="66"/>
    <d v="2025-01-22T00:00:00"/>
    <s v="Powerplus - Ending in 8s30"/>
    <x v="5330"/>
    <n v="30245.75"/>
    <x v="30"/>
    <s v="Delete"/>
    <s v="Exp - House"/>
    <s v="Bedroom"/>
    <m/>
    <m/>
    <m/>
    <m/>
    <m/>
    <x v="4743"/>
    <m/>
    <m/>
  </r>
  <r>
    <x v="67"/>
    <d v="2025-04-15T00:00:00"/>
    <s v="Powerplus - Ending in 8s30"/>
    <x v="5331"/>
    <n v="17568"/>
    <x v="30"/>
    <s v="Delete"/>
    <s v="Exp - House"/>
    <s v="Bedroom"/>
    <m/>
    <m/>
    <m/>
    <m/>
    <m/>
    <x v="4744"/>
    <m/>
    <m/>
  </r>
  <r>
    <x v="68"/>
    <d v="2025-03-17T00:00:00"/>
    <s v="Powerplus - Ending in 8s30"/>
    <x v="5332"/>
    <n v="13279.5"/>
    <x v="30"/>
    <s v="Delete"/>
    <s v="Exp - House"/>
    <s v="Bedroom"/>
    <m/>
    <m/>
    <m/>
    <m/>
    <m/>
    <x v="4745"/>
    <m/>
    <m/>
  </r>
  <r>
    <x v="68"/>
    <d v="2025-03-31T00:00:00"/>
    <s v="Powerplus - Ending in 8s30"/>
    <x v="5333"/>
    <n v="11229.5"/>
    <x v="30"/>
    <s v="Delete"/>
    <s v="Exp - House"/>
    <s v="Bedroom"/>
    <m/>
    <m/>
    <m/>
    <m/>
    <m/>
    <x v="4746"/>
    <m/>
    <m/>
  </r>
  <r>
    <x v="69"/>
    <d v="2025-05-22T00:00:00"/>
    <s v="Powerplus - Ending in 8s30"/>
    <x v="2020"/>
    <n v="9001.94"/>
    <x v="3"/>
    <s v="Delete"/>
    <m/>
    <m/>
    <m/>
    <m/>
    <m/>
    <m/>
    <m/>
    <x v="1870"/>
    <m/>
    <m/>
  </r>
  <r>
    <x v="70"/>
    <d v="2025-02-18T00:00:00"/>
    <s v="Powerplus - Ending in 8s30"/>
    <x v="5334"/>
    <n v="8690"/>
    <x v="30"/>
    <s v="Delete"/>
    <s v="Exp - House"/>
    <s v="Bedroom"/>
    <m/>
    <m/>
    <m/>
    <m/>
    <m/>
    <x v="4747"/>
    <m/>
    <m/>
  </r>
  <r>
    <x v="70"/>
    <d v="2025-02-28T00:00:00"/>
    <s v="Powerplus - Ending in 8s30"/>
    <x v="2020"/>
    <n v="7257.44"/>
    <x v="3"/>
    <s v="Delete"/>
    <m/>
    <m/>
    <m/>
    <m/>
    <m/>
    <m/>
    <m/>
    <x v="1870"/>
    <m/>
    <m/>
  </r>
  <r>
    <x v="67"/>
    <d v="2025-04-14T00:00:00"/>
    <s v="Powerplus - Ending in 8s30"/>
    <x v="2020"/>
    <n v="6219.22"/>
    <x v="3"/>
    <s v="Delete"/>
    <m/>
    <m/>
    <m/>
    <m/>
    <m/>
    <m/>
    <m/>
    <x v="1870"/>
    <m/>
    <m/>
  </r>
  <r>
    <x v="66"/>
    <d v="2025-01-07T00:00:00"/>
    <s v="Powerplus - Ending in 8s30"/>
    <x v="2020"/>
    <n v="5071.66"/>
    <x v="3"/>
    <s v="Delete"/>
    <m/>
    <m/>
    <m/>
    <m/>
    <m/>
    <m/>
    <m/>
    <x v="1870"/>
    <m/>
    <m/>
  </r>
  <r>
    <x v="66"/>
    <d v="2025-01-21T00:00:00"/>
    <s v="Powerplus - Ending in 8s30"/>
    <x v="2020"/>
    <n v="3854.15"/>
    <x v="3"/>
    <s v="Delete"/>
    <m/>
    <m/>
    <m/>
    <m/>
    <m/>
    <m/>
    <m/>
    <x v="1870"/>
    <m/>
    <m/>
  </r>
  <r>
    <x v="70"/>
    <d v="2025-02-03T00:00:00"/>
    <s v="Powerplus - Ending in 8s30"/>
    <x v="2020"/>
    <n v="3606.01"/>
    <x v="3"/>
    <s v="Delete"/>
    <m/>
    <m/>
    <m/>
    <m/>
    <m/>
    <m/>
    <m/>
    <x v="1870"/>
    <m/>
    <m/>
  </r>
  <r>
    <x v="68"/>
    <d v="2025-03-14T00:00:00"/>
    <s v="Powerplus - Ending in 8s30"/>
    <x v="2020"/>
    <n v="3444.87"/>
    <x v="3"/>
    <s v="Delete"/>
    <m/>
    <m/>
    <m/>
    <m/>
    <m/>
    <m/>
    <m/>
    <x v="1870"/>
    <m/>
    <m/>
  </r>
  <r>
    <x v="69"/>
    <d v="2025-05-20T00:00:00"/>
    <s v="American Express"/>
    <x v="5335"/>
    <n v="3000"/>
    <x v="30"/>
    <s v="Delete"/>
    <s v="Exp - House"/>
    <s v="Lawn"/>
    <m/>
    <m/>
    <m/>
    <m/>
    <m/>
    <x v="4748"/>
    <m/>
    <m/>
  </r>
  <r>
    <x v="66"/>
    <d v="2025-01-02T00:00:00"/>
    <s v="Powerplus - Ending in 8s30"/>
    <x v="1844"/>
    <n v="2745.43"/>
    <x v="6"/>
    <s v="Rent"/>
    <m/>
    <m/>
    <m/>
    <m/>
    <m/>
    <m/>
    <m/>
    <x v="1699"/>
    <m/>
    <m/>
  </r>
  <r>
    <x v="70"/>
    <d v="2025-02-03T00:00:00"/>
    <s v="Powerplus - Ending in 8s30"/>
    <x v="1844"/>
    <n v="2745.43"/>
    <x v="6"/>
    <s v="Rent"/>
    <m/>
    <m/>
    <m/>
    <m/>
    <m/>
    <m/>
    <m/>
    <x v="1699"/>
    <m/>
    <m/>
  </r>
  <r>
    <x v="68"/>
    <d v="2025-03-03T00:00:00"/>
    <s v="Powerplus - Ending in 8s30"/>
    <x v="1844"/>
    <n v="2745.43"/>
    <x v="6"/>
    <s v="Rent"/>
    <m/>
    <m/>
    <m/>
    <m/>
    <m/>
    <m/>
    <m/>
    <x v="1699"/>
    <m/>
    <m/>
  </r>
  <r>
    <x v="67"/>
    <d v="2025-04-01T00:00:00"/>
    <s v="Powerplus - Ending in 8s30"/>
    <x v="1844"/>
    <n v="2745.43"/>
    <x v="6"/>
    <s v="Rent"/>
    <m/>
    <m/>
    <m/>
    <m/>
    <m/>
    <m/>
    <m/>
    <x v="1699"/>
    <m/>
    <m/>
  </r>
  <r>
    <x v="69"/>
    <d v="2025-05-01T00:00:00"/>
    <s v="Powerplus - Ending in 8s30"/>
    <x v="1844"/>
    <n v="2745.43"/>
    <x v="6"/>
    <s v="Rent"/>
    <m/>
    <m/>
    <m/>
    <m/>
    <m/>
    <m/>
    <m/>
    <x v="1699"/>
    <m/>
    <m/>
  </r>
  <r>
    <x v="69"/>
    <d v="2025-05-30T00:00:00"/>
    <s v="Powerplus - Ending in 8s30"/>
    <x v="5336"/>
    <n v="2405.09"/>
    <x v="3"/>
    <s v="Day Care"/>
    <s v="Delete"/>
    <m/>
    <m/>
    <m/>
    <m/>
    <m/>
    <m/>
    <x v="2405"/>
    <m/>
    <m/>
  </r>
  <r>
    <x v="67"/>
    <d v="2025-04-25T00:00:00"/>
    <s v="Powerplus - Ending in 8s30"/>
    <x v="2020"/>
    <n v="2287.23"/>
    <x v="3"/>
    <s v="Delete"/>
    <m/>
    <m/>
    <m/>
    <m/>
    <m/>
    <m/>
    <m/>
    <x v="1870"/>
    <m/>
    <m/>
  </r>
  <r>
    <x v="66"/>
    <d v="2025-01-23T00:00:00"/>
    <s v="Powerplus - Ending in 8s30"/>
    <x v="5337"/>
    <n v="2100"/>
    <x v="24"/>
    <s v="Delete"/>
    <s v="Exp - Travel"/>
    <s v="Turks &amp; Caicos"/>
    <m/>
    <m/>
    <m/>
    <m/>
    <m/>
    <x v="4749"/>
    <m/>
    <m/>
  </r>
  <r>
    <x v="68"/>
    <d v="2025-03-29T00:00:00"/>
    <s v="American Express"/>
    <x v="1861"/>
    <n v="2060.81"/>
    <x v="3"/>
    <s v="Delete"/>
    <m/>
    <s v="Ireland"/>
    <m/>
    <m/>
    <m/>
    <m/>
    <m/>
    <x v="1715"/>
    <m/>
    <m/>
  </r>
  <r>
    <x v="69"/>
    <d v="2025-05-21T00:00:00"/>
    <s v="Powerplus - Ending in 8s30"/>
    <x v="5338"/>
    <n v="1953.5"/>
    <x v="30"/>
    <s v="Delete"/>
    <s v="Exp - House"/>
    <s v="Landscape"/>
    <m/>
    <m/>
    <m/>
    <m/>
    <m/>
    <x v="4750"/>
    <m/>
    <m/>
  </r>
  <r>
    <x v="68"/>
    <d v="2025-03-26T00:00:00"/>
    <s v="Powerplus - Ending in 8s30"/>
    <x v="3657"/>
    <n v="1750.64"/>
    <x v="3"/>
    <s v="Delete"/>
    <m/>
    <m/>
    <m/>
    <m/>
    <m/>
    <m/>
    <m/>
    <x v="3219"/>
    <m/>
    <m/>
  </r>
  <r>
    <x v="70"/>
    <d v="2025-02-25T00:00:00"/>
    <s v="American Express"/>
    <x v="1861"/>
    <n v="1609.81"/>
    <x v="3"/>
    <s v="Delete"/>
    <m/>
    <s v="Ireland"/>
    <m/>
    <m/>
    <m/>
    <m/>
    <m/>
    <x v="1715"/>
    <m/>
    <m/>
  </r>
  <r>
    <x v="70"/>
    <d v="2025-02-26T00:00:00"/>
    <s v="Powerplus - Ending in 8s30"/>
    <x v="3734"/>
    <n v="1466.2"/>
    <x v="12"/>
    <s v="Target"/>
    <m/>
    <m/>
    <m/>
    <m/>
    <m/>
    <m/>
    <m/>
    <x v="3293"/>
    <m/>
    <m/>
  </r>
  <r>
    <x v="68"/>
    <d v="2025-03-12T00:00:00"/>
    <s v="Powerplus - Ending in 8s30"/>
    <x v="3657"/>
    <n v="1434.28"/>
    <x v="3"/>
    <s v="Delete"/>
    <m/>
    <m/>
    <m/>
    <m/>
    <m/>
    <m/>
    <m/>
    <x v="3219"/>
    <m/>
    <m/>
  </r>
  <r>
    <x v="70"/>
    <d v="2025-02-11T00:00:00"/>
    <s v="Powerplus - Ending in 8s30"/>
    <x v="2020"/>
    <n v="1269.1099999999999"/>
    <x v="3"/>
    <s v="Delete"/>
    <m/>
    <m/>
    <m/>
    <m/>
    <m/>
    <m/>
    <m/>
    <x v="1870"/>
    <m/>
    <m/>
  </r>
  <r>
    <x v="67"/>
    <d v="2025-04-16T00:00:00"/>
    <s v="Powerplus - Ending in 8s30"/>
    <x v="3657"/>
    <n v="1218.6099999999999"/>
    <x v="3"/>
    <s v="Delete"/>
    <m/>
    <m/>
    <m/>
    <m/>
    <m/>
    <m/>
    <m/>
    <x v="3219"/>
    <m/>
    <m/>
  </r>
  <r>
    <x v="67"/>
    <d v="2025-04-07T00:00:00"/>
    <s v="Powerplus - Ending in 8s30"/>
    <x v="2020"/>
    <n v="1212"/>
    <x v="3"/>
    <s v="Delete"/>
    <m/>
    <m/>
    <m/>
    <m/>
    <m/>
    <m/>
    <m/>
    <x v="1870"/>
    <m/>
    <m/>
  </r>
  <r>
    <x v="68"/>
    <d v="2025-03-25T00:00:00"/>
    <s v="Powerplus - Ending in 8s30"/>
    <x v="1908"/>
    <n v="1019.07"/>
    <x v="12"/>
    <s v="Delete"/>
    <s v="Exp - Target"/>
    <m/>
    <m/>
    <m/>
    <m/>
    <m/>
    <m/>
    <x v="1761"/>
    <m/>
    <m/>
  </r>
  <r>
    <x v="69"/>
    <d v="2025-05-12T00:00:00"/>
    <s v="American Express"/>
    <x v="5050"/>
    <n v="980.52"/>
    <x v="3"/>
    <s v="Delete"/>
    <s v="Delete"/>
    <m/>
    <m/>
    <m/>
    <m/>
    <m/>
    <m/>
    <x v="4487"/>
    <m/>
    <m/>
  </r>
  <r>
    <x v="66"/>
    <d v="2025-01-27T00:00:00"/>
    <s v="Powerplus - Ending in 8s30"/>
    <x v="3734"/>
    <n v="977.51"/>
    <x v="3"/>
    <s v="Target"/>
    <s v="Delete"/>
    <m/>
    <m/>
    <m/>
    <m/>
    <m/>
    <m/>
    <x v="3293"/>
    <m/>
    <m/>
  </r>
  <r>
    <x v="69"/>
    <d v="2025-05-22T00:00:00"/>
    <s v="American Express"/>
    <x v="5339"/>
    <n v="963.28"/>
    <x v="2"/>
    <s v="Transportation"/>
    <m/>
    <m/>
    <m/>
    <m/>
    <m/>
    <m/>
    <m/>
    <x v="4751"/>
    <m/>
    <m/>
  </r>
  <r>
    <x v="70"/>
    <d v="2025-02-13T00:00:00"/>
    <s v="American Express"/>
    <x v="5340"/>
    <n v="922.46"/>
    <x v="8"/>
    <s v="Restaurants"/>
    <s v="Exp - Shopping"/>
    <m/>
    <m/>
    <m/>
    <m/>
    <m/>
    <m/>
    <x v="4752"/>
    <m/>
    <m/>
  </r>
  <r>
    <x v="70"/>
    <d v="2025-02-13T00:00:00"/>
    <s v="American Express"/>
    <x v="5341"/>
    <n v="880.81"/>
    <x v="2"/>
    <s v="Transportation"/>
    <m/>
    <m/>
    <m/>
    <m/>
    <m/>
    <m/>
    <m/>
    <x v="4753"/>
    <m/>
    <m/>
  </r>
  <r>
    <x v="66"/>
    <d v="2025-01-02T00:00:00"/>
    <s v="Powerplus - Ending in 8s30"/>
    <x v="5342"/>
    <n v="650"/>
    <x v="9"/>
    <s v="Day Care"/>
    <s v="Sav - College Savings"/>
    <m/>
    <m/>
    <m/>
    <m/>
    <m/>
    <m/>
    <x v="4491"/>
    <m/>
    <m/>
  </r>
  <r>
    <x v="69"/>
    <d v="2025-05-29T00:00:00"/>
    <s v="Powerplus - Ending in 8s30"/>
    <x v="3657"/>
    <n v="848.16"/>
    <x v="3"/>
    <s v="Delete"/>
    <m/>
    <m/>
    <m/>
    <m/>
    <m/>
    <m/>
    <m/>
    <x v="3219"/>
    <m/>
    <m/>
  </r>
  <r>
    <x v="67"/>
    <d v="2025-04-29T00:00:00"/>
    <s v="Powerplus - Ending in 8s30"/>
    <x v="3657"/>
    <n v="835.66"/>
    <x v="3"/>
    <s v="Delete"/>
    <m/>
    <m/>
    <m/>
    <m/>
    <m/>
    <m/>
    <m/>
    <x v="3219"/>
    <m/>
    <m/>
  </r>
  <r>
    <x v="69"/>
    <d v="2025-05-12T00:00:00"/>
    <s v="Powerplus - Ending in 8s30"/>
    <x v="3657"/>
    <n v="833.78"/>
    <x v="3"/>
    <s v="Delete"/>
    <m/>
    <m/>
    <m/>
    <m/>
    <m/>
    <m/>
    <m/>
    <x v="3219"/>
    <m/>
    <m/>
  </r>
  <r>
    <x v="66"/>
    <d v="2025-01-27T00:00:00"/>
    <s v="Powerplus - Ending in 8s30"/>
    <x v="3729"/>
    <n v="800"/>
    <x v="3"/>
    <s v="Delete"/>
    <m/>
    <m/>
    <m/>
    <m/>
    <m/>
    <m/>
    <m/>
    <x v="3289"/>
    <m/>
    <m/>
  </r>
  <r>
    <x v="70"/>
    <d v="2025-02-26T00:00:00"/>
    <s v="Powerplus - Ending in 8s30"/>
    <x v="3729"/>
    <n v="800"/>
    <x v="3"/>
    <s v="Delete"/>
    <m/>
    <m/>
    <m/>
    <m/>
    <m/>
    <m/>
    <m/>
    <x v="3289"/>
    <m/>
    <m/>
  </r>
  <r>
    <x v="68"/>
    <d v="2025-03-26T00:00:00"/>
    <s v="Powerplus - Ending in 8s30"/>
    <x v="3729"/>
    <n v="800"/>
    <x v="3"/>
    <s v="Delete"/>
    <m/>
    <m/>
    <m/>
    <m/>
    <m/>
    <m/>
    <m/>
    <x v="3289"/>
    <m/>
    <m/>
  </r>
  <r>
    <x v="67"/>
    <d v="2025-04-28T00:00:00"/>
    <s v="Powerplus - Ending in 8s30"/>
    <x v="3729"/>
    <n v="800"/>
    <x v="3"/>
    <s v="Delete"/>
    <m/>
    <m/>
    <m/>
    <m/>
    <m/>
    <m/>
    <m/>
    <x v="3289"/>
    <m/>
    <m/>
  </r>
  <r>
    <x v="69"/>
    <d v="2025-05-27T00:00:00"/>
    <s v="Powerplus - Ending in 8s30"/>
    <x v="1888"/>
    <n v="800"/>
    <x v="3"/>
    <s v="Delete"/>
    <m/>
    <m/>
    <m/>
    <m/>
    <m/>
    <m/>
    <m/>
    <x v="1741"/>
    <m/>
    <m/>
  </r>
  <r>
    <x v="66"/>
    <d v="2025-01-05T00:00:00"/>
    <s v="American Express"/>
    <x v="5343"/>
    <n v="149"/>
    <x v="4"/>
    <s v="Delete"/>
    <s v="Exp - Day Care"/>
    <m/>
    <m/>
    <m/>
    <m/>
    <m/>
    <m/>
    <x v="4754"/>
    <m/>
    <m/>
  </r>
  <r>
    <x v="66"/>
    <d v="2025-01-31T00:00:00"/>
    <s v="Powerplus - Ending in 8s30"/>
    <x v="3657"/>
    <n v="767.27"/>
    <x v="3"/>
    <s v="Delete"/>
    <m/>
    <m/>
    <m/>
    <m/>
    <m/>
    <m/>
    <m/>
    <x v="3219"/>
    <m/>
    <m/>
  </r>
  <r>
    <x v="66"/>
    <d v="2025-01-11T00:00:00"/>
    <s v="American Express"/>
    <x v="5344"/>
    <n v="722.39"/>
    <x v="3"/>
    <s v="Travel"/>
    <s v="Delete"/>
    <m/>
    <m/>
    <m/>
    <m/>
    <m/>
    <m/>
    <x v="4755"/>
    <m/>
    <m/>
  </r>
  <r>
    <x v="68"/>
    <d v="2025-03-29T00:00:00"/>
    <s v="American Express"/>
    <x v="1861"/>
    <n v="716.97"/>
    <x v="3"/>
    <s v="Delete"/>
    <m/>
    <s v="Miami"/>
    <m/>
    <m/>
    <m/>
    <m/>
    <m/>
    <x v="1715"/>
    <m/>
    <m/>
  </r>
  <r>
    <x v="68"/>
    <d v="2025-03-10T00:00:00"/>
    <s v="American Express"/>
    <x v="5050"/>
    <n v="702.99"/>
    <x v="3"/>
    <s v="Delete"/>
    <m/>
    <m/>
    <m/>
    <m/>
    <m/>
    <m/>
    <m/>
    <x v="4487"/>
    <m/>
    <m/>
  </r>
  <r>
    <x v="70"/>
    <d v="2025-02-11T00:00:00"/>
    <s v="Powerplus - Ending in 8s30"/>
    <x v="1888"/>
    <n v="673.07"/>
    <x v="3"/>
    <s v="Delete"/>
    <m/>
    <m/>
    <m/>
    <m/>
    <m/>
    <m/>
    <m/>
    <x v="1741"/>
    <m/>
    <m/>
  </r>
  <r>
    <x v="66"/>
    <d v="2025-01-05T00:00:00"/>
    <s v="Powerplus - Ending in 8s30"/>
    <x v="5345"/>
    <n v="-1267.8"/>
    <x v="57"/>
    <s v="Day Care"/>
    <s v="Inc - Jeff"/>
    <m/>
    <m/>
    <m/>
    <m/>
    <m/>
    <m/>
    <x v="4756"/>
    <m/>
    <m/>
  </r>
  <r>
    <x v="66"/>
    <d v="2025-01-06T00:00:00"/>
    <s v="American Express"/>
    <x v="5346"/>
    <n v="635"/>
    <x v="4"/>
    <s v="Shopping"/>
    <s v="Exp - Day Care"/>
    <m/>
    <m/>
    <m/>
    <m/>
    <m/>
    <m/>
    <x v="4757"/>
    <m/>
    <m/>
  </r>
  <r>
    <x v="66"/>
    <d v="2025-01-06T00:00:00"/>
    <s v="Powerplus - Ending in 8s30"/>
    <x v="5347"/>
    <n v="250"/>
    <x v="4"/>
    <s v="Day Care"/>
    <m/>
    <m/>
    <m/>
    <m/>
    <m/>
    <m/>
    <m/>
    <x v="4758"/>
    <m/>
    <m/>
  </r>
  <r>
    <x v="66"/>
    <d v="2025-01-06T00:00:00"/>
    <s v="Powerplus - Ending in 8s30"/>
    <x v="5348"/>
    <n v="150"/>
    <x v="4"/>
    <s v="Day Care"/>
    <m/>
    <m/>
    <m/>
    <m/>
    <m/>
    <m/>
    <m/>
    <x v="4759"/>
    <m/>
    <m/>
  </r>
  <r>
    <x v="66"/>
    <d v="2025-01-06T00:00:00"/>
    <s v="Powerplus - Ending in 8s30"/>
    <x v="5349"/>
    <n v="100"/>
    <x v="4"/>
    <s v="Day Care"/>
    <m/>
    <m/>
    <m/>
    <m/>
    <m/>
    <m/>
    <m/>
    <x v="4759"/>
    <m/>
    <m/>
  </r>
  <r>
    <x v="66"/>
    <d v="2025-01-07T00:00:00"/>
    <s v="Powerplus - Ending in 8s30"/>
    <x v="5350"/>
    <n v="380"/>
    <x v="4"/>
    <s v="Day Care"/>
    <m/>
    <m/>
    <m/>
    <m/>
    <m/>
    <m/>
    <m/>
    <x v="4602"/>
    <m/>
    <m/>
  </r>
  <r>
    <x v="66"/>
    <d v="2025-01-14T00:00:00"/>
    <s v="American Express"/>
    <x v="5346"/>
    <n v="770"/>
    <x v="4"/>
    <s v="Shopping"/>
    <s v="Exp - Day Care"/>
    <m/>
    <m/>
    <m/>
    <m/>
    <m/>
    <m/>
    <x v="4757"/>
    <m/>
    <m/>
  </r>
  <r>
    <x v="66"/>
    <d v="2025-01-14T00:00:00"/>
    <s v="American Express"/>
    <x v="5351"/>
    <n v="428.4"/>
    <x v="4"/>
    <s v="Day Care"/>
    <m/>
    <m/>
    <m/>
    <m/>
    <m/>
    <m/>
    <m/>
    <x v="4760"/>
    <m/>
    <m/>
  </r>
  <r>
    <x v="66"/>
    <d v="2025-01-14T00:00:00"/>
    <s v="Powerplus - Ending in 8s30"/>
    <x v="5352"/>
    <n v="380"/>
    <x v="4"/>
    <s v="Day Care"/>
    <m/>
    <m/>
    <m/>
    <m/>
    <m/>
    <m/>
    <m/>
    <x v="4602"/>
    <m/>
    <m/>
  </r>
  <r>
    <x v="66"/>
    <d v="2025-01-14T00:00:00"/>
    <s v="Discover"/>
    <x v="5353"/>
    <n v="52.5"/>
    <x v="4"/>
    <s v="Day Care"/>
    <m/>
    <m/>
    <m/>
    <m/>
    <m/>
    <m/>
    <m/>
    <x v="4761"/>
    <m/>
    <m/>
  </r>
  <r>
    <x v="68"/>
    <d v="2025-03-10T00:00:00"/>
    <s v="Cash Rewards Visa Signature - Ending in 5913"/>
    <x v="5354"/>
    <n v="643.13"/>
    <x v="24"/>
    <s v="Restaurants"/>
    <s v="Exp - Travel"/>
    <m/>
    <m/>
    <m/>
    <m/>
    <m/>
    <m/>
    <x v="4762"/>
    <m/>
    <m/>
  </r>
  <r>
    <x v="66"/>
    <d v="2025-01-17T00:00:00"/>
    <s v="Powerplus - Ending in 8s30"/>
    <x v="5355"/>
    <n v="21"/>
    <x v="4"/>
    <s v="Day Care"/>
    <m/>
    <m/>
    <m/>
    <m/>
    <m/>
    <m/>
    <m/>
    <x v="4763"/>
    <m/>
    <m/>
  </r>
  <r>
    <x v="69"/>
    <d v="2025-05-03T00:00:00"/>
    <s v="American Express"/>
    <x v="5043"/>
    <n v="538.69000000000005"/>
    <x v="24"/>
    <s v="Restaurants"/>
    <s v="Exp - Travel"/>
    <m/>
    <m/>
    <m/>
    <m/>
    <m/>
    <m/>
    <x v="4480"/>
    <m/>
    <m/>
  </r>
  <r>
    <x v="67"/>
    <d v="2025-04-09T00:00:00"/>
    <s v="Powerplus - Ending in 8s30"/>
    <x v="1888"/>
    <n v="525.80999999999995"/>
    <x v="3"/>
    <s v="Delete"/>
    <m/>
    <m/>
    <m/>
    <m/>
    <m/>
    <m/>
    <m/>
    <x v="1741"/>
    <m/>
    <m/>
  </r>
  <r>
    <x v="67"/>
    <d v="2025-04-24T00:00:00"/>
    <s v="Powerplus - Ending in 8s30"/>
    <x v="1888"/>
    <n v="517.17999999999995"/>
    <x v="3"/>
    <s v="Delete"/>
    <m/>
    <m/>
    <m/>
    <m/>
    <m/>
    <m/>
    <m/>
    <x v="1741"/>
    <m/>
    <m/>
  </r>
  <r>
    <x v="69"/>
    <d v="2025-05-28T00:00:00"/>
    <s v="American Express"/>
    <x v="5356"/>
    <n v="495.7"/>
    <x v="2"/>
    <s v="Transportation"/>
    <m/>
    <m/>
    <m/>
    <m/>
    <m/>
    <m/>
    <m/>
    <x v="4764"/>
    <m/>
    <m/>
  </r>
  <r>
    <x v="68"/>
    <d v="2025-03-01T00:00:00"/>
    <s v="American Express"/>
    <x v="5357"/>
    <n v="492.84"/>
    <x v="8"/>
    <s v="Shopping"/>
    <m/>
    <m/>
    <m/>
    <m/>
    <m/>
    <m/>
    <m/>
    <x v="4765"/>
    <m/>
    <m/>
  </r>
  <r>
    <x v="70"/>
    <d v="2025-02-14T00:00:00"/>
    <s v="Powerplus - Ending in 8s30"/>
    <x v="5358"/>
    <n v="485.17"/>
    <x v="11"/>
    <s v="Day Care"/>
    <s v="Exp - Utilities"/>
    <m/>
    <m/>
    <m/>
    <m/>
    <m/>
    <m/>
    <x v="3912"/>
    <m/>
    <m/>
  </r>
  <r>
    <x v="67"/>
    <d v="2025-04-25T00:00:00"/>
    <s v="Powerplus - Ending in 8s30"/>
    <x v="1908"/>
    <n v="482.51"/>
    <x v="12"/>
    <s v="Delete"/>
    <s v="Exp - Target"/>
    <m/>
    <m/>
    <m/>
    <m/>
    <m/>
    <m/>
    <x v="1761"/>
    <m/>
    <m/>
  </r>
  <r>
    <x v="68"/>
    <d v="2025-03-19T00:00:00"/>
    <s v="American Express"/>
    <x v="5359"/>
    <n v="480"/>
    <x v="10"/>
    <s v="Restaurants"/>
    <s v="Exp - Entertainment"/>
    <m/>
    <m/>
    <m/>
    <m/>
    <m/>
    <m/>
    <x v="4766"/>
    <m/>
    <m/>
  </r>
  <r>
    <x v="67"/>
    <d v="2025-04-14T00:00:00"/>
    <s v="Powerplus - Ending in 8s30"/>
    <x v="5360"/>
    <n v="459"/>
    <x v="30"/>
    <s v="Delete"/>
    <s v="Exp - House"/>
    <s v="Bedroom"/>
    <m/>
    <m/>
    <m/>
    <m/>
    <m/>
    <x v="4767"/>
    <m/>
    <m/>
  </r>
  <r>
    <x v="66"/>
    <d v="2025-01-05T00:00:00"/>
    <s v="American Express"/>
    <x v="5361"/>
    <n v="435.58"/>
    <x v="8"/>
    <s v="Shopping"/>
    <m/>
    <m/>
    <m/>
    <m/>
    <m/>
    <m/>
    <m/>
    <x v="4768"/>
    <m/>
    <m/>
  </r>
  <r>
    <x v="70"/>
    <d v="2025-02-10T00:00:00"/>
    <s v="Powerplus - Ending in 8s30"/>
    <x v="3657"/>
    <n v="435.4"/>
    <x v="3"/>
    <s v="Delete"/>
    <m/>
    <m/>
    <m/>
    <m/>
    <m/>
    <m/>
    <m/>
    <x v="3219"/>
    <m/>
    <m/>
  </r>
  <r>
    <x v="69"/>
    <d v="2025-05-19T00:00:00"/>
    <s v="Cash Rewards Visa Signature - Ending in 5913"/>
    <x v="255"/>
    <n v="430.91"/>
    <x v="5"/>
    <s v="Groceries"/>
    <m/>
    <m/>
    <m/>
    <m/>
    <m/>
    <m/>
    <m/>
    <x v="253"/>
    <m/>
    <m/>
  </r>
  <r>
    <x v="66"/>
    <d v="2025-01-18T00:00:00"/>
    <s v="American Express"/>
    <x v="5362"/>
    <n v="29.22"/>
    <x v="4"/>
    <s v="Day Care"/>
    <m/>
    <m/>
    <m/>
    <m/>
    <m/>
    <m/>
    <m/>
    <x v="4769"/>
    <m/>
    <m/>
  </r>
  <r>
    <x v="66"/>
    <d v="2025-01-21T00:00:00"/>
    <s v="Powerplus - Ending in 8s30"/>
    <x v="5363"/>
    <n v="650"/>
    <x v="9"/>
    <s v="Day Care"/>
    <s v="Sav - College Savings"/>
    <m/>
    <m/>
    <m/>
    <m/>
    <m/>
    <m/>
    <x v="3267"/>
    <m/>
    <m/>
  </r>
  <r>
    <x v="68"/>
    <d v="2025-03-18T00:00:00"/>
    <s v="Cash Rewards Visa Signature - Ending in 5913"/>
    <x v="4188"/>
    <n v="424.5"/>
    <x v="8"/>
    <s v="Shopping"/>
    <m/>
    <m/>
    <m/>
    <m/>
    <m/>
    <m/>
    <m/>
    <x v="3717"/>
    <m/>
    <m/>
  </r>
  <r>
    <x v="66"/>
    <d v="2025-01-21T00:00:00"/>
    <s v="Powerplus - Ending in 8s30"/>
    <x v="5364"/>
    <n v="400"/>
    <x v="4"/>
    <s v="Day Care"/>
    <m/>
    <m/>
    <m/>
    <m/>
    <m/>
    <m/>
    <m/>
    <x v="4602"/>
    <m/>
    <m/>
  </r>
  <r>
    <x v="66"/>
    <d v="2025-01-21T00:00:00"/>
    <s v="Powerplus - Ending in 8s30"/>
    <x v="5365"/>
    <n v="75.8"/>
    <x v="4"/>
    <s v="Day Care"/>
    <m/>
    <m/>
    <m/>
    <m/>
    <m/>
    <m/>
    <m/>
    <x v="3287"/>
    <m/>
    <m/>
  </r>
  <r>
    <x v="66"/>
    <d v="2025-01-21T00:00:00"/>
    <s v="American Express"/>
    <x v="5113"/>
    <n v="-19.8"/>
    <x v="4"/>
    <s v="Day Care"/>
    <m/>
    <m/>
    <m/>
    <m/>
    <m/>
    <m/>
    <m/>
    <x v="4545"/>
    <m/>
    <m/>
  </r>
  <r>
    <x v="66"/>
    <d v="2025-01-28T00:00:00"/>
    <s v="Powerplus - Ending in 8s30"/>
    <x v="5366"/>
    <n v="400"/>
    <x v="4"/>
    <s v="Day Care"/>
    <m/>
    <m/>
    <m/>
    <m/>
    <m/>
    <m/>
    <m/>
    <x v="4602"/>
    <m/>
    <m/>
  </r>
  <r>
    <x v="66"/>
    <d v="2025-01-30T00:00:00"/>
    <s v="Powerplus - Ending in 8s30"/>
    <x v="5367"/>
    <n v="-861.55"/>
    <x v="57"/>
    <s v="Day Care"/>
    <s v="Inc - Jeff"/>
    <m/>
    <m/>
    <m/>
    <m/>
    <m/>
    <m/>
    <x v="4756"/>
    <m/>
    <m/>
  </r>
  <r>
    <x v="70"/>
    <d v="2025-02-03T00:00:00"/>
    <s v="Powerplus - Ending in 8s30"/>
    <x v="5368"/>
    <n v="650"/>
    <x v="9"/>
    <s v="Day Care"/>
    <s v="Sav - College Savings"/>
    <m/>
    <m/>
    <m/>
    <m/>
    <m/>
    <m/>
    <x v="4491"/>
    <m/>
    <m/>
  </r>
  <r>
    <x v="70"/>
    <d v="2025-02-04T00:00:00"/>
    <s v="Powerplus - Ending in 8s30"/>
    <x v="5369"/>
    <n v="400"/>
    <x v="4"/>
    <s v="Day Care"/>
    <m/>
    <m/>
    <m/>
    <m/>
    <m/>
    <m/>
    <m/>
    <x v="4602"/>
    <m/>
    <m/>
  </r>
  <r>
    <x v="70"/>
    <d v="2025-02-11T00:00:00"/>
    <s v="American Express"/>
    <x v="5113"/>
    <n v="866"/>
    <x v="4"/>
    <s v="Day Care"/>
    <m/>
    <m/>
    <m/>
    <m/>
    <m/>
    <m/>
    <m/>
    <x v="4545"/>
    <m/>
    <m/>
  </r>
  <r>
    <x v="70"/>
    <d v="2025-02-11T00:00:00"/>
    <s v="Powerplus - Ending in 8s30"/>
    <x v="5370"/>
    <n v="400"/>
    <x v="4"/>
    <s v="Day Care"/>
    <m/>
    <m/>
    <m/>
    <m/>
    <m/>
    <m/>
    <m/>
    <x v="4602"/>
    <m/>
    <m/>
  </r>
  <r>
    <x v="70"/>
    <d v="2025-02-11T00:00:00"/>
    <s v="Powerplus - Ending in 8s30"/>
    <x v="5371"/>
    <n v="100"/>
    <x v="4"/>
    <s v="Day Care"/>
    <m/>
    <m/>
    <m/>
    <m/>
    <m/>
    <m/>
    <m/>
    <x v="3267"/>
    <m/>
    <m/>
  </r>
  <r>
    <x v="70"/>
    <d v="2025-02-13T00:00:00"/>
    <s v="Powerplus - Ending in 8s30"/>
    <x v="5372"/>
    <n v="-1761.16"/>
    <x v="57"/>
    <s v="Day Care"/>
    <s v="Inc - Jeff"/>
    <m/>
    <m/>
    <m/>
    <m/>
    <m/>
    <m/>
    <x v="4756"/>
    <m/>
    <m/>
  </r>
  <r>
    <x v="70"/>
    <d v="2025-02-18T00:00:00"/>
    <s v="Powerplus - Ending in 8s30"/>
    <x v="5373"/>
    <n v="650"/>
    <x v="9"/>
    <s v="Day Care"/>
    <s v="Sav - College Savings"/>
    <m/>
    <m/>
    <m/>
    <m/>
    <m/>
    <m/>
    <x v="3267"/>
    <m/>
    <m/>
  </r>
  <r>
    <x v="70"/>
    <d v="2025-02-18T00:00:00"/>
    <s v="Powerplus - Ending in 8s30"/>
    <x v="5374"/>
    <n v="400"/>
    <x v="4"/>
    <s v="Day Care"/>
    <m/>
    <m/>
    <m/>
    <m/>
    <m/>
    <m/>
    <m/>
    <x v="4602"/>
    <m/>
    <m/>
  </r>
  <r>
    <x v="70"/>
    <d v="2025-02-21T00:00:00"/>
    <s v="Powerplus - Ending in 8s30"/>
    <x v="5375"/>
    <n v="59.59"/>
    <x v="4"/>
    <s v="Day Care"/>
    <m/>
    <m/>
    <m/>
    <m/>
    <m/>
    <m/>
    <m/>
    <x v="3287"/>
    <m/>
    <m/>
  </r>
  <r>
    <x v="70"/>
    <d v="2025-02-25T00:00:00"/>
    <s v="Powerplus - Ending in 8s30"/>
    <x v="5376"/>
    <n v="400"/>
    <x v="4"/>
    <s v="Day Care"/>
    <m/>
    <m/>
    <m/>
    <m/>
    <m/>
    <m/>
    <m/>
    <x v="4602"/>
    <m/>
    <m/>
  </r>
  <r>
    <x v="68"/>
    <d v="2025-03-03T00:00:00"/>
    <s v="Powerplus - Ending in 8s30"/>
    <x v="5377"/>
    <n v="650"/>
    <x v="9"/>
    <s v="Day Care"/>
    <s v="Sav - College Savings"/>
    <m/>
    <m/>
    <m/>
    <m/>
    <m/>
    <m/>
    <x v="4491"/>
    <m/>
    <m/>
  </r>
  <r>
    <x v="66"/>
    <d v="2025-01-15T00:00:00"/>
    <s v="American Express"/>
    <x v="5378"/>
    <n v="395.68"/>
    <x v="25"/>
    <s v="Restaurants"/>
    <s v="Exp - Healthcare"/>
    <m/>
    <m/>
    <m/>
    <m/>
    <m/>
    <m/>
    <x v="4770"/>
    <m/>
    <m/>
  </r>
  <r>
    <x v="67"/>
    <d v="2025-04-28T00:00:00"/>
    <s v="Powerplus - Ending in 8s30"/>
    <x v="308"/>
    <n v="389.08"/>
    <x v="8"/>
    <s v="Shopping"/>
    <m/>
    <m/>
    <m/>
    <m/>
    <m/>
    <m/>
    <m/>
    <x v="300"/>
    <m/>
    <m/>
  </r>
  <r>
    <x v="67"/>
    <d v="2025-04-16T00:00:00"/>
    <s v="American Express"/>
    <x v="1861"/>
    <n v="386.97"/>
    <x v="24"/>
    <s v="Delete"/>
    <s v="Exp - Travel"/>
    <s v="Denver"/>
    <m/>
    <m/>
    <m/>
    <m/>
    <m/>
    <x v="1715"/>
    <m/>
    <m/>
  </r>
  <r>
    <x v="68"/>
    <d v="2025-03-04T00:00:00"/>
    <s v="Powerplus - Ending in 8s30"/>
    <x v="5379"/>
    <n v="400"/>
    <x v="4"/>
    <s v="Day Care"/>
    <m/>
    <m/>
    <m/>
    <m/>
    <m/>
    <m/>
    <m/>
    <x v="4602"/>
    <m/>
    <m/>
  </r>
  <r>
    <x v="68"/>
    <d v="2025-03-11T00:00:00"/>
    <s v="Powerplus - Ending in 8s30"/>
    <x v="5380"/>
    <n v="400"/>
    <x v="4"/>
    <s v="Day Care"/>
    <m/>
    <m/>
    <m/>
    <m/>
    <m/>
    <m/>
    <m/>
    <x v="4602"/>
    <m/>
    <m/>
  </r>
  <r>
    <x v="69"/>
    <d v="2025-05-06T00:00:00"/>
    <s v="American Express"/>
    <x v="1861"/>
    <n v="358.97"/>
    <x v="24"/>
    <s v="Delete"/>
    <s v="Exp - Travel"/>
    <s v="KC"/>
    <m/>
    <m/>
    <m/>
    <m/>
    <m/>
    <x v="1715"/>
    <m/>
    <m/>
  </r>
  <r>
    <x v="68"/>
    <d v="2025-03-05T00:00:00"/>
    <s v="American Express"/>
    <x v="5117"/>
    <n v="355.04"/>
    <x v="19"/>
    <s v="House Maintenance"/>
    <m/>
    <m/>
    <m/>
    <m/>
    <m/>
    <m/>
    <m/>
    <x v="4549"/>
    <m/>
    <m/>
  </r>
  <r>
    <x v="70"/>
    <d v="2025-02-26T00:00:00"/>
    <s v="American Express"/>
    <x v="5381"/>
    <n v="355"/>
    <x v="2"/>
    <s v="Transportation"/>
    <m/>
    <m/>
    <m/>
    <m/>
    <m/>
    <m/>
    <m/>
    <x v="4771"/>
    <m/>
    <m/>
  </r>
  <r>
    <x v="67"/>
    <d v="2025-04-10T00:00:00"/>
    <s v="American Express"/>
    <x v="5382"/>
    <n v="352.26"/>
    <x v="3"/>
    <s v="Delete"/>
    <m/>
    <m/>
    <m/>
    <m/>
    <m/>
    <m/>
    <m/>
    <x v="4772"/>
    <m/>
    <m/>
  </r>
  <r>
    <x v="67"/>
    <d v="2025-04-21T00:00:00"/>
    <s v="American Express"/>
    <x v="4599"/>
    <n v="350"/>
    <x v="8"/>
    <s v="Shopping"/>
    <m/>
    <m/>
    <m/>
    <m/>
    <m/>
    <m/>
    <m/>
    <x v="4076"/>
    <m/>
    <m/>
  </r>
  <r>
    <x v="69"/>
    <d v="2025-05-19T00:00:00"/>
    <s v="Powerplus - Ending in 8s30"/>
    <x v="1827"/>
    <n v="348.1"/>
    <x v="8"/>
    <s v="Shopping"/>
    <m/>
    <m/>
    <m/>
    <m/>
    <m/>
    <m/>
    <m/>
    <x v="1682"/>
    <m/>
    <m/>
  </r>
  <r>
    <x v="68"/>
    <d v="2025-03-05T00:00:00"/>
    <s v="American Express"/>
    <x v="5383"/>
    <n v="323.89999999999998"/>
    <x v="1"/>
    <s v="Restaurants"/>
    <m/>
    <m/>
    <m/>
    <m/>
    <m/>
    <m/>
    <m/>
    <x v="4773"/>
    <m/>
    <m/>
  </r>
  <r>
    <x v="69"/>
    <d v="2025-05-24T00:00:00"/>
    <s v="American Express"/>
    <x v="5384"/>
    <n v="321.44"/>
    <x v="3"/>
    <s v="Delete"/>
    <m/>
    <m/>
    <m/>
    <m/>
    <m/>
    <m/>
    <m/>
    <x v="4774"/>
    <m/>
    <m/>
  </r>
  <r>
    <x v="67"/>
    <d v="2025-04-29T00:00:00"/>
    <s v="Cash Rewards Visa Signature - Ending in 5913"/>
    <x v="5385"/>
    <n v="321.41000000000003"/>
    <x v="3"/>
    <s v="Delete"/>
    <m/>
    <m/>
    <m/>
    <m/>
    <m/>
    <m/>
    <m/>
    <x v="4775"/>
    <m/>
    <m/>
  </r>
  <r>
    <x v="70"/>
    <d v="2025-02-09T00:00:00"/>
    <s v="Cash Rewards Visa Signature - Ending in 5913"/>
    <x v="255"/>
    <n v="313.99"/>
    <x v="5"/>
    <s v="Groceries"/>
    <m/>
    <m/>
    <m/>
    <m/>
    <m/>
    <m/>
    <m/>
    <x v="253"/>
    <m/>
    <m/>
  </r>
  <r>
    <x v="67"/>
    <d v="2025-04-13T00:00:00"/>
    <s v="American Express"/>
    <x v="4978"/>
    <n v="310.36"/>
    <x v="19"/>
    <s v="Restaurants"/>
    <s v="Exp - House Maint"/>
    <m/>
    <m/>
    <m/>
    <m/>
    <m/>
    <m/>
    <x v="4418"/>
    <m/>
    <m/>
  </r>
  <r>
    <x v="69"/>
    <d v="2025-05-15T00:00:00"/>
    <s v="American Express"/>
    <x v="5386"/>
    <n v="299.5"/>
    <x v="8"/>
    <s v="Delete"/>
    <s v="Exp - Shopping"/>
    <m/>
    <m/>
    <m/>
    <m/>
    <m/>
    <m/>
    <x v="4776"/>
    <m/>
    <m/>
  </r>
  <r>
    <x v="67"/>
    <d v="2025-04-11T00:00:00"/>
    <s v="American Express"/>
    <x v="5387"/>
    <n v="295.04000000000002"/>
    <x v="5"/>
    <s v="Groceries"/>
    <m/>
    <m/>
    <m/>
    <m/>
    <m/>
    <m/>
    <m/>
    <x v="4777"/>
    <m/>
    <m/>
  </r>
  <r>
    <x v="67"/>
    <d v="2025-04-17T00:00:00"/>
    <s v="American Express"/>
    <x v="5388"/>
    <n v="284.5"/>
    <x v="8"/>
    <s v="Shopping"/>
    <m/>
    <m/>
    <m/>
    <m/>
    <m/>
    <m/>
    <m/>
    <x v="4778"/>
    <m/>
    <m/>
  </r>
  <r>
    <x v="67"/>
    <d v="2025-04-02T00:00:00"/>
    <s v="Powerplus - Ending in 8s30"/>
    <x v="4407"/>
    <n v="272.39"/>
    <x v="11"/>
    <s v="Utilities"/>
    <m/>
    <m/>
    <m/>
    <m/>
    <m/>
    <m/>
    <m/>
    <x v="3913"/>
    <m/>
    <m/>
  </r>
  <r>
    <x v="68"/>
    <d v="2025-03-05T00:00:00"/>
    <s v="Cash Rewards Visa Signature - Ending in 5913"/>
    <x v="5389"/>
    <n v="272.37"/>
    <x v="1"/>
    <s v="Restaurants"/>
    <m/>
    <m/>
    <m/>
    <m/>
    <m/>
    <m/>
    <m/>
    <x v="4779"/>
    <m/>
    <m/>
  </r>
  <r>
    <x v="69"/>
    <d v="2025-05-01T00:00:00"/>
    <s v="Powerplus - Ending in 8s30"/>
    <x v="4407"/>
    <n v="261.86"/>
    <x v="11"/>
    <s v="Utilities"/>
    <m/>
    <m/>
    <m/>
    <m/>
    <m/>
    <m/>
    <m/>
    <x v="3913"/>
    <m/>
    <m/>
  </r>
  <r>
    <x v="67"/>
    <d v="2025-04-05T00:00:00"/>
    <s v="American Express"/>
    <x v="5390"/>
    <n v="260.99"/>
    <x v="1"/>
    <s v="Restaurants"/>
    <m/>
    <m/>
    <m/>
    <m/>
    <m/>
    <m/>
    <m/>
    <x v="4780"/>
    <m/>
    <m/>
  </r>
  <r>
    <x v="68"/>
    <d v="2025-03-17T00:00:00"/>
    <s v="Powerplus - Ending in 8s30"/>
    <x v="5391"/>
    <n v="231.79"/>
    <x v="4"/>
    <s v="Day Care"/>
    <m/>
    <m/>
    <m/>
    <m/>
    <m/>
    <m/>
    <m/>
    <x v="3912"/>
    <m/>
    <m/>
  </r>
  <r>
    <x v="66"/>
    <d v="2025-01-22T00:00:00"/>
    <s v="American Express"/>
    <x v="5392"/>
    <n v="248.38"/>
    <x v="3"/>
    <s v="Restaurants"/>
    <s v="Delete"/>
    <m/>
    <m/>
    <m/>
    <m/>
    <m/>
    <m/>
    <x v="4781"/>
    <m/>
    <m/>
  </r>
  <r>
    <x v="70"/>
    <d v="2025-02-28T00:00:00"/>
    <s v="Powerplus - Ending in 8s30"/>
    <x v="4407"/>
    <n v="247.48"/>
    <x v="11"/>
    <s v="Utilities"/>
    <m/>
    <m/>
    <m/>
    <m/>
    <m/>
    <m/>
    <m/>
    <x v="3913"/>
    <m/>
    <m/>
  </r>
  <r>
    <x v="66"/>
    <d v="2025-01-24T00:00:00"/>
    <s v="American Express"/>
    <x v="5393"/>
    <n v="242.78"/>
    <x v="3"/>
    <s v="Delete"/>
    <m/>
    <m/>
    <m/>
    <m/>
    <m/>
    <m/>
    <m/>
    <x v="4782"/>
    <m/>
    <m/>
  </r>
  <r>
    <x v="66"/>
    <d v="2025-01-23T00:00:00"/>
    <s v="American Express"/>
    <x v="5394"/>
    <n v="241.68"/>
    <x v="0"/>
    <s v="Amazon"/>
    <m/>
    <m/>
    <m/>
    <m/>
    <m/>
    <m/>
    <m/>
    <x v="4783"/>
    <m/>
    <m/>
  </r>
  <r>
    <x v="68"/>
    <d v="2025-03-24T00:00:00"/>
    <s v="Powerplus - Ending in 8s30"/>
    <x v="1827"/>
    <n v="236.78"/>
    <x v="8"/>
    <s v="Shopping"/>
    <m/>
    <m/>
    <m/>
    <m/>
    <m/>
    <m/>
    <m/>
    <x v="1682"/>
    <m/>
    <m/>
  </r>
  <r>
    <x v="70"/>
    <d v="2025-02-22T00:00:00"/>
    <s v="American Express"/>
    <x v="5123"/>
    <n v="235.7"/>
    <x v="8"/>
    <s v="Shopping"/>
    <m/>
    <m/>
    <m/>
    <m/>
    <m/>
    <m/>
    <m/>
    <x v="4555"/>
    <m/>
    <m/>
  </r>
  <r>
    <x v="66"/>
    <d v="2025-01-02T00:00:00"/>
    <s v="Powerplus - Ending in 8s30"/>
    <x v="4407"/>
    <n v="234.83"/>
    <x v="11"/>
    <s v="Utilities"/>
    <m/>
    <m/>
    <m/>
    <m/>
    <m/>
    <m/>
    <m/>
    <x v="3913"/>
    <m/>
    <m/>
  </r>
  <r>
    <x v="69"/>
    <d v="2025-05-07T00:00:00"/>
    <s v="American Express"/>
    <x v="5395"/>
    <n v="234.19"/>
    <x v="19"/>
    <s v="Restaurants"/>
    <s v="Exp - House Maint"/>
    <m/>
    <m/>
    <m/>
    <m/>
    <m/>
    <m/>
    <x v="4784"/>
    <m/>
    <m/>
  </r>
  <r>
    <x v="66"/>
    <d v="2025-01-31T00:00:00"/>
    <s v="Powerplus - Ending in 8s30"/>
    <x v="1827"/>
    <n v="232.63"/>
    <x v="8"/>
    <s v="Shopping"/>
    <m/>
    <m/>
    <m/>
    <m/>
    <m/>
    <m/>
    <m/>
    <x v="1682"/>
    <m/>
    <m/>
  </r>
  <r>
    <x v="68"/>
    <d v="2025-03-18T00:00:00"/>
    <s v="Powerplus - Ending in 8s30"/>
    <x v="5396"/>
    <n v="650"/>
    <x v="9"/>
    <s v="Day Care"/>
    <s v="Sav - College Savings"/>
    <m/>
    <m/>
    <m/>
    <m/>
    <m/>
    <m/>
    <x v="3267"/>
    <m/>
    <m/>
  </r>
  <r>
    <x v="66"/>
    <d v="2025-01-21T00:00:00"/>
    <s v="American Express"/>
    <x v="5397"/>
    <n v="230.38"/>
    <x v="10"/>
    <s v="Restaurants"/>
    <s v="Exp - Entertainment"/>
    <m/>
    <m/>
    <m/>
    <m/>
    <m/>
    <m/>
    <x v="4785"/>
    <m/>
    <m/>
  </r>
  <r>
    <x v="68"/>
    <d v="2025-03-31T00:00:00"/>
    <s v="American Express"/>
    <x v="5398"/>
    <n v="227.74"/>
    <x v="1"/>
    <s v="Delete"/>
    <s v="Exp - Restaurants"/>
    <m/>
    <m/>
    <m/>
    <m/>
    <m/>
    <m/>
    <x v="4786"/>
    <m/>
    <m/>
  </r>
  <r>
    <x v="68"/>
    <d v="2025-03-23T00:00:00"/>
    <s v="American Express"/>
    <x v="5399"/>
    <n v="223.2"/>
    <x v="11"/>
    <s v="Utilities"/>
    <m/>
    <m/>
    <m/>
    <m/>
    <m/>
    <m/>
    <m/>
    <x v="4787"/>
    <m/>
    <m/>
  </r>
  <r>
    <x v="70"/>
    <d v="2025-02-23T00:00:00"/>
    <s v="American Express"/>
    <x v="5400"/>
    <n v="216.32"/>
    <x v="8"/>
    <s v="Restaurants"/>
    <s v="Exp - Shopping"/>
    <m/>
    <m/>
    <m/>
    <m/>
    <m/>
    <m/>
    <x v="4788"/>
    <m/>
    <m/>
  </r>
  <r>
    <x v="70"/>
    <d v="2025-02-03T00:00:00"/>
    <s v="Powerplus - Ending in 8s30"/>
    <x v="4407"/>
    <n v="216.13"/>
    <x v="11"/>
    <s v="Utilities"/>
    <m/>
    <m/>
    <m/>
    <m/>
    <m/>
    <m/>
    <m/>
    <x v="3913"/>
    <m/>
    <m/>
  </r>
  <r>
    <x v="69"/>
    <d v="2025-05-28T00:00:00"/>
    <s v="Powerplus - Ending in 8s30"/>
    <x v="1827"/>
    <n v="215"/>
    <x v="8"/>
    <s v="Shopping"/>
    <m/>
    <m/>
    <m/>
    <m/>
    <m/>
    <m/>
    <m/>
    <x v="1682"/>
    <m/>
    <m/>
  </r>
  <r>
    <x v="68"/>
    <d v="2025-03-23T00:00:00"/>
    <s v="Cash Rewards Visa Signature - Ending in 5913"/>
    <x v="4188"/>
    <n v="214.5"/>
    <x v="8"/>
    <s v="Shopping"/>
    <m/>
    <m/>
    <m/>
    <m/>
    <m/>
    <m/>
    <m/>
    <x v="3717"/>
    <m/>
    <m/>
  </r>
  <r>
    <x v="70"/>
    <d v="2025-02-17T00:00:00"/>
    <s v="American Express"/>
    <x v="5401"/>
    <n v="213.11"/>
    <x v="24"/>
    <s v="Travel"/>
    <m/>
    <m/>
    <m/>
    <m/>
    <m/>
    <m/>
    <m/>
    <x v="4789"/>
    <m/>
    <m/>
  </r>
  <r>
    <x v="70"/>
    <d v="2025-02-21T00:00:00"/>
    <s v="American Express"/>
    <x v="5402"/>
    <n v="213.05"/>
    <x v="1"/>
    <s v="Restaurants"/>
    <m/>
    <m/>
    <m/>
    <m/>
    <m/>
    <m/>
    <m/>
    <x v="4790"/>
    <m/>
    <m/>
  </r>
  <r>
    <x v="70"/>
    <d v="2025-02-06T00:00:00"/>
    <s v="Powerplus - Ending in 8s30"/>
    <x v="1987"/>
    <n v="205.23"/>
    <x v="11"/>
    <s v="Utilities"/>
    <m/>
    <m/>
    <m/>
    <m/>
    <m/>
    <m/>
    <m/>
    <x v="1837"/>
    <m/>
    <m/>
  </r>
  <r>
    <x v="69"/>
    <d v="2025-05-07T00:00:00"/>
    <s v="Powerplus - Ending in 8s30"/>
    <x v="1987"/>
    <n v="204.67"/>
    <x v="11"/>
    <s v="Utilities"/>
    <m/>
    <m/>
    <m/>
    <m/>
    <m/>
    <m/>
    <m/>
    <x v="1837"/>
    <m/>
    <m/>
  </r>
  <r>
    <x v="66"/>
    <d v="2025-01-17T00:00:00"/>
    <s v="American Express"/>
    <x v="5403"/>
    <n v="200"/>
    <x v="8"/>
    <s v="Shopping"/>
    <m/>
    <m/>
    <m/>
    <m/>
    <m/>
    <m/>
    <m/>
    <x v="4791"/>
    <m/>
    <m/>
  </r>
  <r>
    <x v="67"/>
    <d v="2025-04-17T00:00:00"/>
    <s v="Powerplus - Ending in 8s30"/>
    <x v="1827"/>
    <n v="200"/>
    <x v="8"/>
    <s v="Shopping"/>
    <m/>
    <m/>
    <m/>
    <m/>
    <m/>
    <m/>
    <m/>
    <x v="1682"/>
    <m/>
    <m/>
  </r>
  <r>
    <x v="69"/>
    <d v="2025-05-10T00:00:00"/>
    <s v="American Express"/>
    <x v="5404"/>
    <n v="198"/>
    <x v="1"/>
    <s v="Restaurants"/>
    <m/>
    <m/>
    <m/>
    <m/>
    <m/>
    <m/>
    <m/>
    <x v="4792"/>
    <m/>
    <m/>
  </r>
  <r>
    <x v="69"/>
    <d v="2025-05-21T00:00:00"/>
    <s v="American Express"/>
    <x v="5405"/>
    <n v="197.08"/>
    <x v="8"/>
    <s v="Shopping"/>
    <m/>
    <m/>
    <m/>
    <m/>
    <m/>
    <m/>
    <m/>
    <x v="4793"/>
    <m/>
    <m/>
  </r>
  <r>
    <x v="69"/>
    <d v="2025-05-26T00:00:00"/>
    <s v="American Express"/>
    <x v="5406"/>
    <n v="194.15"/>
    <x v="8"/>
    <s v="Restaurants"/>
    <s v="Exp - Shopping"/>
    <m/>
    <m/>
    <m/>
    <m/>
    <m/>
    <m/>
    <x v="4794"/>
    <m/>
    <m/>
  </r>
  <r>
    <x v="67"/>
    <d v="2025-04-26T00:00:00"/>
    <s v="American Express"/>
    <x v="5407"/>
    <n v="192.86"/>
    <x v="1"/>
    <s v="Restaurants"/>
    <m/>
    <m/>
    <m/>
    <m/>
    <m/>
    <m/>
    <m/>
    <x v="4795"/>
    <m/>
    <m/>
  </r>
  <r>
    <x v="66"/>
    <d v="2025-01-10T00:00:00"/>
    <s v="American Express"/>
    <x v="4985"/>
    <n v="186.96"/>
    <x v="5"/>
    <s v="Groceries"/>
    <m/>
    <m/>
    <m/>
    <m/>
    <m/>
    <m/>
    <m/>
    <x v="4424"/>
    <m/>
    <m/>
  </r>
  <r>
    <x v="67"/>
    <d v="2025-04-11T00:00:00"/>
    <s v="American Express"/>
    <x v="4985"/>
    <n v="183.65"/>
    <x v="5"/>
    <s v="Groceries"/>
    <m/>
    <m/>
    <m/>
    <m/>
    <m/>
    <m/>
    <m/>
    <x v="4424"/>
    <m/>
    <m/>
  </r>
  <r>
    <x v="67"/>
    <d v="2025-04-04T00:00:00"/>
    <s v="American Express"/>
    <x v="4985"/>
    <n v="183.52"/>
    <x v="5"/>
    <s v="Groceries"/>
    <m/>
    <m/>
    <m/>
    <m/>
    <m/>
    <m/>
    <m/>
    <x v="4424"/>
    <m/>
    <m/>
  </r>
  <r>
    <x v="68"/>
    <d v="2025-03-10T00:00:00"/>
    <s v="Powerplus - Ending in 8s30"/>
    <x v="1869"/>
    <n v="181.92"/>
    <x v="11"/>
    <s v="Utilities"/>
    <m/>
    <m/>
    <m/>
    <m/>
    <m/>
    <m/>
    <m/>
    <x v="1723"/>
    <m/>
    <m/>
  </r>
  <r>
    <x v="67"/>
    <d v="2025-04-03T00:00:00"/>
    <s v="American Express"/>
    <x v="5408"/>
    <n v="181.05"/>
    <x v="1"/>
    <s v="Restaurants"/>
    <m/>
    <m/>
    <m/>
    <m/>
    <m/>
    <m/>
    <m/>
    <x v="4796"/>
    <m/>
    <m/>
  </r>
  <r>
    <x v="69"/>
    <d v="2025-05-19T00:00:00"/>
    <s v="Powerplus - Ending in 8s30"/>
    <x v="1827"/>
    <n v="180"/>
    <x v="8"/>
    <s v="Shopping"/>
    <m/>
    <m/>
    <m/>
    <m/>
    <m/>
    <m/>
    <m/>
    <x v="1682"/>
    <m/>
    <m/>
  </r>
  <r>
    <x v="67"/>
    <d v="2025-04-28T00:00:00"/>
    <s v="Powerplus - Ending in 8s30"/>
    <x v="1827"/>
    <n v="175"/>
    <x v="8"/>
    <s v="Shopping"/>
    <m/>
    <m/>
    <m/>
    <m/>
    <m/>
    <m/>
    <m/>
    <x v="1682"/>
    <m/>
    <m/>
  </r>
  <r>
    <x v="68"/>
    <d v="2025-03-07T00:00:00"/>
    <s v="American Express"/>
    <x v="4985"/>
    <n v="169.1"/>
    <x v="5"/>
    <s v="Groceries"/>
    <m/>
    <m/>
    <m/>
    <m/>
    <m/>
    <m/>
    <m/>
    <x v="4424"/>
    <m/>
    <m/>
  </r>
  <r>
    <x v="69"/>
    <d v="2025-05-05T00:00:00"/>
    <s v="Cash Rewards Visa Signature - Ending in 5913"/>
    <x v="255"/>
    <n v="169.03"/>
    <x v="5"/>
    <s v="Groceries"/>
    <m/>
    <m/>
    <m/>
    <m/>
    <m/>
    <m/>
    <m/>
    <x v="253"/>
    <m/>
    <m/>
  </r>
  <r>
    <x v="68"/>
    <d v="2025-03-03T00:00:00"/>
    <s v="Cash Rewards Visa Signature - Ending in 5913"/>
    <x v="5409"/>
    <n v="166.1"/>
    <x v="24"/>
    <s v="Restaurants"/>
    <s v="Exp - Travel"/>
    <m/>
    <m/>
    <m/>
    <m/>
    <m/>
    <m/>
    <x v="4797"/>
    <m/>
    <m/>
  </r>
  <r>
    <x v="67"/>
    <d v="2025-04-28T00:00:00"/>
    <s v="Cash Rewards Visa Signature - Ending in 5913"/>
    <x v="5410"/>
    <n v="165"/>
    <x v="10"/>
    <s v="Restaurants"/>
    <s v="Exp - Entertainment"/>
    <m/>
    <m/>
    <m/>
    <m/>
    <m/>
    <m/>
    <x v="4798"/>
    <m/>
    <m/>
  </r>
  <r>
    <x v="66"/>
    <d v="2025-01-12T00:00:00"/>
    <s v="American Express"/>
    <x v="5411"/>
    <n v="164.36"/>
    <x v="10"/>
    <s v="Entertainment"/>
    <m/>
    <m/>
    <m/>
    <m/>
    <m/>
    <m/>
    <m/>
    <x v="4799"/>
    <m/>
    <m/>
  </r>
  <r>
    <x v="68"/>
    <d v="2025-03-19T00:00:00"/>
    <s v="Powerplus - Ending in 8s30"/>
    <x v="1888"/>
    <n v="163.79"/>
    <x v="3"/>
    <s v="Delete"/>
    <m/>
    <m/>
    <m/>
    <m/>
    <m/>
    <m/>
    <m/>
    <x v="1741"/>
    <m/>
    <m/>
  </r>
  <r>
    <x v="66"/>
    <d v="2025-01-10T00:00:00"/>
    <s v="Powerplus - Ending in 8s30"/>
    <x v="1869"/>
    <n v="163.22999999999999"/>
    <x v="11"/>
    <s v="Utilities"/>
    <m/>
    <m/>
    <m/>
    <m/>
    <m/>
    <m/>
    <m/>
    <x v="1723"/>
    <m/>
    <m/>
  </r>
  <r>
    <x v="69"/>
    <d v="2025-05-06T00:00:00"/>
    <s v="American Express"/>
    <x v="5412"/>
    <n v="163"/>
    <x v="8"/>
    <s v="Shopping"/>
    <m/>
    <m/>
    <m/>
    <m/>
    <m/>
    <m/>
    <m/>
    <x v="4800"/>
    <m/>
    <m/>
  </r>
  <r>
    <x v="67"/>
    <d v="2025-04-18T00:00:00"/>
    <s v="American Express"/>
    <x v="4985"/>
    <n v="162.88"/>
    <x v="5"/>
    <s v="Groceries"/>
    <m/>
    <m/>
    <m/>
    <m/>
    <m/>
    <m/>
    <m/>
    <x v="4424"/>
    <m/>
    <m/>
  </r>
  <r>
    <x v="69"/>
    <d v="2025-05-12T00:00:00"/>
    <s v="American Express"/>
    <x v="5388"/>
    <n v="162.5"/>
    <x v="8"/>
    <s v="Shopping"/>
    <m/>
    <m/>
    <m/>
    <m/>
    <m/>
    <m/>
    <m/>
    <x v="4778"/>
    <m/>
    <m/>
  </r>
  <r>
    <x v="68"/>
    <d v="2025-03-24T00:00:00"/>
    <s v="American Express"/>
    <x v="57"/>
    <n v="161.29"/>
    <x v="25"/>
    <s v="Healthcare"/>
    <m/>
    <m/>
    <m/>
    <m/>
    <m/>
    <m/>
    <m/>
    <x v="57"/>
    <m/>
    <m/>
  </r>
  <r>
    <x v="68"/>
    <d v="2025-03-30T00:00:00"/>
    <s v="American Express"/>
    <x v="5413"/>
    <n v="160.05000000000001"/>
    <x v="12"/>
    <s v="Target"/>
    <m/>
    <m/>
    <m/>
    <m/>
    <m/>
    <m/>
    <m/>
    <x v="4801"/>
    <m/>
    <m/>
  </r>
  <r>
    <x v="66"/>
    <d v="2025-01-27T00:00:00"/>
    <s v="American Express"/>
    <x v="5414"/>
    <n v="159.5"/>
    <x v="25"/>
    <s v="Restaurants"/>
    <s v="Exp - Healthcare"/>
    <m/>
    <m/>
    <m/>
    <m/>
    <m/>
    <m/>
    <x v="4802"/>
    <m/>
    <m/>
  </r>
  <r>
    <x v="66"/>
    <d v="2025-01-18T00:00:00"/>
    <s v="American Express"/>
    <x v="5415"/>
    <n v="157.74"/>
    <x v="1"/>
    <s v="Restaurants"/>
    <m/>
    <m/>
    <m/>
    <m/>
    <m/>
    <m/>
    <m/>
    <x v="4803"/>
    <m/>
    <m/>
  </r>
  <r>
    <x v="69"/>
    <d v="2025-05-11T00:00:00"/>
    <s v="American Express"/>
    <x v="5416"/>
    <n v="156"/>
    <x v="8"/>
    <s v="Shopping"/>
    <m/>
    <m/>
    <m/>
    <m/>
    <m/>
    <m/>
    <m/>
    <x v="4804"/>
    <m/>
    <m/>
  </r>
  <r>
    <x v="69"/>
    <d v="2025-05-08T00:00:00"/>
    <s v="Powerplus - Ending in 8s30"/>
    <x v="1869"/>
    <n v="152.25"/>
    <x v="11"/>
    <s v="Utilities"/>
    <m/>
    <m/>
    <m/>
    <m/>
    <m/>
    <m/>
    <m/>
    <x v="1723"/>
    <m/>
    <m/>
  </r>
  <r>
    <x v="66"/>
    <d v="2025-01-19T00:00:00"/>
    <s v="American Express"/>
    <x v="5417"/>
    <n v="152.21"/>
    <x v="0"/>
    <s v="Amazon"/>
    <m/>
    <m/>
    <m/>
    <m/>
    <m/>
    <m/>
    <m/>
    <x v="4805"/>
    <m/>
    <m/>
  </r>
  <r>
    <x v="66"/>
    <d v="2025-01-07T00:00:00"/>
    <s v="American Express"/>
    <x v="5418"/>
    <n v="150.63999999999999"/>
    <x v="0"/>
    <s v="Amazon"/>
    <m/>
    <m/>
    <m/>
    <m/>
    <m/>
    <m/>
    <m/>
    <x v="4806"/>
    <m/>
    <m/>
  </r>
  <r>
    <x v="70"/>
    <d v="2025-02-02T00:00:00"/>
    <s v="Discover"/>
    <x v="5419"/>
    <n v="150.63999999999999"/>
    <x v="0"/>
    <s v="Amazon"/>
    <m/>
    <m/>
    <m/>
    <m/>
    <m/>
    <m/>
    <m/>
    <x v="4807"/>
    <m/>
    <m/>
  </r>
  <r>
    <x v="68"/>
    <d v="2025-03-18T00:00:00"/>
    <s v="Powerplus - Ending in 8s30"/>
    <x v="5420"/>
    <n v="400"/>
    <x v="4"/>
    <s v="Day Care"/>
    <m/>
    <m/>
    <m/>
    <m/>
    <m/>
    <m/>
    <m/>
    <x v="4602"/>
    <m/>
    <m/>
  </r>
  <r>
    <x v="66"/>
    <d v="2025-01-17T00:00:00"/>
    <s v="Powerplus - Ending in 8s30"/>
    <x v="1827"/>
    <n v="150"/>
    <x v="8"/>
    <s v="Shopping"/>
    <m/>
    <m/>
    <m/>
    <m/>
    <m/>
    <m/>
    <m/>
    <x v="1682"/>
    <m/>
    <m/>
  </r>
  <r>
    <x v="68"/>
    <d v="2025-03-21T00:00:00"/>
    <s v="Powerplus - Ending in 8s30"/>
    <x v="5421"/>
    <n v="150"/>
    <x v="4"/>
    <s v="Day Care"/>
    <m/>
    <m/>
    <m/>
    <m/>
    <m/>
    <m/>
    <m/>
    <x v="4758"/>
    <m/>
    <m/>
  </r>
  <r>
    <x v="67"/>
    <d v="2025-04-17T00:00:00"/>
    <s v="American Express"/>
    <x v="5422"/>
    <n v="149.5"/>
    <x v="8"/>
    <s v="Shopping"/>
    <m/>
    <m/>
    <m/>
    <m/>
    <m/>
    <m/>
    <m/>
    <x v="4808"/>
    <m/>
    <m/>
  </r>
  <r>
    <x v="66"/>
    <d v="2025-01-05T00:00:00"/>
    <s v="American Express"/>
    <x v="5343"/>
    <n v="149"/>
    <x v="3"/>
    <s v="Delete"/>
    <m/>
    <m/>
    <m/>
    <m/>
    <m/>
    <m/>
    <m/>
    <x v="4754"/>
    <m/>
    <m/>
  </r>
  <r>
    <x v="68"/>
    <d v="2025-03-21T00:00:00"/>
    <s v="Powerplus - Ending in 8s30"/>
    <x v="5423"/>
    <n v="93.42"/>
    <x v="4"/>
    <s v="Day Care"/>
    <m/>
    <m/>
    <m/>
    <m/>
    <m/>
    <m/>
    <m/>
    <x v="3287"/>
    <m/>
    <m/>
  </r>
  <r>
    <x v="70"/>
    <d v="2025-02-04T00:00:00"/>
    <s v="American Express"/>
    <x v="5394"/>
    <n v="148.75"/>
    <x v="0"/>
    <s v="Amazon"/>
    <m/>
    <m/>
    <m/>
    <m/>
    <m/>
    <m/>
    <m/>
    <x v="4783"/>
    <m/>
    <m/>
  </r>
  <r>
    <x v="68"/>
    <d v="2025-03-25T00:00:00"/>
    <s v="Powerplus - Ending in 8s30"/>
    <x v="5424"/>
    <n v="400"/>
    <x v="4"/>
    <s v="Day Care"/>
    <m/>
    <m/>
    <m/>
    <m/>
    <m/>
    <m/>
    <m/>
    <x v="4602"/>
    <m/>
    <m/>
  </r>
  <r>
    <x v="68"/>
    <d v="2025-03-17T00:00:00"/>
    <s v="Cash Rewards Visa Signature - Ending in 5913"/>
    <x v="5425"/>
    <n v="148.4"/>
    <x v="1"/>
    <s v="Restaurants"/>
    <m/>
    <m/>
    <m/>
    <m/>
    <m/>
    <m/>
    <m/>
    <x v="4809"/>
    <m/>
    <m/>
  </r>
  <r>
    <x v="70"/>
    <d v="2025-02-23T00:00:00"/>
    <s v="American Express"/>
    <x v="5426"/>
    <n v="145.30000000000001"/>
    <x v="8"/>
    <s v="Shopping"/>
    <m/>
    <m/>
    <m/>
    <m/>
    <m/>
    <m/>
    <m/>
    <x v="4810"/>
    <m/>
    <m/>
  </r>
  <r>
    <x v="69"/>
    <d v="2025-05-13T00:00:00"/>
    <s v="American Express"/>
    <x v="5427"/>
    <n v="143.84"/>
    <x v="3"/>
    <s v="Delete"/>
    <s v="Delete"/>
    <m/>
    <m/>
    <m/>
    <m/>
    <m/>
    <m/>
    <x v="4811"/>
    <m/>
    <m/>
  </r>
  <r>
    <x v="67"/>
    <d v="2025-04-21T00:00:00"/>
    <s v="Cash Rewards Visa Signature - Ending in 5913"/>
    <x v="1837"/>
    <n v="143.58000000000001"/>
    <x v="19"/>
    <s v="House Maintenance"/>
    <m/>
    <m/>
    <m/>
    <m/>
    <m/>
    <m/>
    <m/>
    <x v="1692"/>
    <m/>
    <m/>
  </r>
  <r>
    <x v="70"/>
    <d v="2025-02-14T00:00:00"/>
    <s v="American Express"/>
    <x v="4985"/>
    <n v="143.16"/>
    <x v="5"/>
    <s v="Groceries"/>
    <m/>
    <m/>
    <m/>
    <m/>
    <m/>
    <m/>
    <m/>
    <x v="4424"/>
    <m/>
    <m/>
  </r>
  <r>
    <x v="66"/>
    <d v="2025-01-12T00:00:00"/>
    <s v="American Express"/>
    <x v="5428"/>
    <n v="142.26"/>
    <x v="1"/>
    <s v="Restaurants"/>
    <m/>
    <m/>
    <m/>
    <m/>
    <m/>
    <m/>
    <m/>
    <x v="4812"/>
    <m/>
    <m/>
  </r>
  <r>
    <x v="69"/>
    <d v="2025-05-27T00:00:00"/>
    <s v="Powerplus - Ending in 8s30"/>
    <x v="1908"/>
    <n v="141.71"/>
    <x v="12"/>
    <s v="Delete"/>
    <s v="Exp - Target"/>
    <m/>
    <m/>
    <m/>
    <m/>
    <m/>
    <m/>
    <x v="1761"/>
    <m/>
    <m/>
  </r>
  <r>
    <x v="70"/>
    <d v="2025-02-14T00:00:00"/>
    <s v="American Express"/>
    <x v="5429"/>
    <n v="139.1"/>
    <x v="1"/>
    <s v="Restaurants"/>
    <m/>
    <m/>
    <m/>
    <m/>
    <m/>
    <m/>
    <m/>
    <x v="4813"/>
    <m/>
    <m/>
  </r>
  <r>
    <x v="67"/>
    <d v="2025-04-09T00:00:00"/>
    <s v="Powerplus - Ending in 8s30"/>
    <x v="1869"/>
    <n v="138.33000000000001"/>
    <x v="11"/>
    <s v="Utilities"/>
    <m/>
    <m/>
    <m/>
    <m/>
    <m/>
    <m/>
    <m/>
    <x v="1723"/>
    <m/>
    <m/>
  </r>
  <r>
    <x v="66"/>
    <d v="2025-01-03T00:00:00"/>
    <s v="American Express"/>
    <x v="4985"/>
    <n v="136.86000000000001"/>
    <x v="5"/>
    <s v="Groceries"/>
    <m/>
    <m/>
    <m/>
    <m/>
    <m/>
    <m/>
    <m/>
    <x v="4424"/>
    <m/>
    <m/>
  </r>
  <r>
    <x v="66"/>
    <d v="2025-01-26T00:00:00"/>
    <s v="American Express"/>
    <x v="5430"/>
    <n v="136.34"/>
    <x v="19"/>
    <s v="House Maintenance"/>
    <m/>
    <m/>
    <m/>
    <m/>
    <m/>
    <m/>
    <m/>
    <x v="4814"/>
    <m/>
    <m/>
  </r>
  <r>
    <x v="67"/>
    <d v="2025-04-06T00:00:00"/>
    <s v="American Express"/>
    <x v="5431"/>
    <n v="136.07"/>
    <x v="1"/>
    <s v="Restaurants"/>
    <m/>
    <m/>
    <m/>
    <m/>
    <m/>
    <m/>
    <m/>
    <x v="4815"/>
    <m/>
    <m/>
  </r>
  <r>
    <x v="70"/>
    <d v="2025-02-20T00:00:00"/>
    <s v="Discover"/>
    <x v="5432"/>
    <n v="134.69"/>
    <x v="0"/>
    <s v="Amazon"/>
    <m/>
    <m/>
    <m/>
    <m/>
    <m/>
    <m/>
    <m/>
    <x v="4816"/>
    <m/>
    <m/>
  </r>
  <r>
    <x v="69"/>
    <d v="2025-05-11T00:00:00"/>
    <s v="American Express"/>
    <x v="57"/>
    <n v="134.53"/>
    <x v="25"/>
    <s v="Healthcare"/>
    <m/>
    <m/>
    <m/>
    <m/>
    <m/>
    <m/>
    <m/>
    <x v="57"/>
    <m/>
    <m/>
  </r>
  <r>
    <x v="70"/>
    <d v="2025-02-22T00:00:00"/>
    <s v="American Express"/>
    <x v="5415"/>
    <n v="133.83000000000001"/>
    <x v="1"/>
    <s v="Restaurants"/>
    <m/>
    <m/>
    <m/>
    <m/>
    <m/>
    <m/>
    <m/>
    <x v="4803"/>
    <m/>
    <m/>
  </r>
  <r>
    <x v="67"/>
    <d v="2025-04-24T00:00:00"/>
    <s v="American Express"/>
    <x v="5020"/>
    <n v="132.94"/>
    <x v="3"/>
    <s v="Delete"/>
    <m/>
    <m/>
    <m/>
    <m/>
    <m/>
    <m/>
    <m/>
    <x v="4458"/>
    <m/>
    <m/>
  </r>
  <r>
    <x v="70"/>
    <d v="2025-02-10T00:00:00"/>
    <s v="Powerplus - Ending in 8s30"/>
    <x v="1869"/>
    <n v="131.22"/>
    <x v="11"/>
    <s v="Utilities"/>
    <m/>
    <m/>
    <m/>
    <m/>
    <m/>
    <m/>
    <m/>
    <x v="1723"/>
    <m/>
    <m/>
  </r>
  <r>
    <x v="70"/>
    <d v="2025-02-14T00:00:00"/>
    <s v="American Express"/>
    <x v="57"/>
    <n v="130.09"/>
    <x v="25"/>
    <s v="Healthcare"/>
    <m/>
    <m/>
    <m/>
    <m/>
    <m/>
    <m/>
    <m/>
    <x v="57"/>
    <m/>
    <m/>
  </r>
  <r>
    <x v="66"/>
    <d v="2025-01-30T00:00:00"/>
    <s v="Discover"/>
    <x v="5433"/>
    <n v="129.97999999999999"/>
    <x v="0"/>
    <s v="Amazon"/>
    <m/>
    <m/>
    <m/>
    <m/>
    <m/>
    <m/>
    <m/>
    <x v="4817"/>
    <m/>
    <m/>
  </r>
  <r>
    <x v="66"/>
    <d v="2025-01-31T00:00:00"/>
    <s v="American Express"/>
    <x v="4985"/>
    <n v="129.54"/>
    <x v="5"/>
    <s v="Groceries"/>
    <m/>
    <m/>
    <m/>
    <m/>
    <m/>
    <m/>
    <m/>
    <x v="4424"/>
    <m/>
    <m/>
  </r>
  <r>
    <x v="70"/>
    <d v="2025-02-08T00:00:00"/>
    <s v="American Express"/>
    <x v="5434"/>
    <n v="126.97"/>
    <x v="30"/>
    <s v="Restaurants"/>
    <s v="Exp - House"/>
    <m/>
    <m/>
    <m/>
    <m/>
    <m/>
    <m/>
    <x v="4818"/>
    <m/>
    <m/>
  </r>
  <r>
    <x v="66"/>
    <d v="2025-01-21T00:00:00"/>
    <s v="American Express"/>
    <x v="5050"/>
    <n v="126.96"/>
    <x v="3"/>
    <s v="Delete"/>
    <m/>
    <m/>
    <m/>
    <m/>
    <m/>
    <m/>
    <m/>
    <x v="4487"/>
    <m/>
    <m/>
  </r>
  <r>
    <x v="66"/>
    <d v="2025-01-10T00:00:00"/>
    <s v="Powerplus - Ending in 8s30"/>
    <x v="1827"/>
    <n v="125"/>
    <x v="8"/>
    <s v="Shopping"/>
    <m/>
    <m/>
    <m/>
    <m/>
    <m/>
    <m/>
    <m/>
    <x v="1682"/>
    <m/>
    <m/>
  </r>
  <r>
    <x v="70"/>
    <d v="2025-02-21T00:00:00"/>
    <s v="Powerplus - Ending in 8s30"/>
    <x v="1827"/>
    <n v="125"/>
    <x v="8"/>
    <s v="Shopping"/>
    <m/>
    <m/>
    <m/>
    <m/>
    <m/>
    <m/>
    <m/>
    <x v="1682"/>
    <m/>
    <m/>
  </r>
  <r>
    <x v="67"/>
    <d v="2025-04-22T00:00:00"/>
    <s v="Powerplus - Ending in 8s30"/>
    <x v="1827"/>
    <n v="125"/>
    <x v="8"/>
    <s v="Shopping"/>
    <m/>
    <m/>
    <m/>
    <m/>
    <m/>
    <m/>
    <m/>
    <x v="1682"/>
    <m/>
    <m/>
  </r>
  <r>
    <x v="69"/>
    <d v="2025-05-05T00:00:00"/>
    <s v="Powerplus - Ending in 8s30"/>
    <x v="1827"/>
    <n v="125"/>
    <x v="8"/>
    <s v="Shopping"/>
    <m/>
    <m/>
    <m/>
    <m/>
    <m/>
    <m/>
    <m/>
    <x v="1682"/>
    <m/>
    <m/>
  </r>
  <r>
    <x v="69"/>
    <d v="2025-05-16T00:00:00"/>
    <s v="Powerplus - Ending in 8s30"/>
    <x v="1827"/>
    <n v="125"/>
    <x v="8"/>
    <s v="Shopping"/>
    <m/>
    <m/>
    <m/>
    <m/>
    <m/>
    <m/>
    <m/>
    <x v="1682"/>
    <m/>
    <m/>
  </r>
  <r>
    <x v="68"/>
    <d v="2025-03-27T00:00:00"/>
    <s v="Cash Rewards Visa Signature - Ending in 5913"/>
    <x v="5435"/>
    <n v="430"/>
    <x v="4"/>
    <s v="Day Care"/>
    <m/>
    <m/>
    <m/>
    <m/>
    <m/>
    <m/>
    <m/>
    <x v="4819"/>
    <m/>
    <m/>
  </r>
  <r>
    <x v="70"/>
    <d v="2025-02-25T00:00:00"/>
    <s v="Powerplus - Ending in 8s30"/>
    <x v="308"/>
    <n v="124.86"/>
    <x v="8"/>
    <s v="Shopping"/>
    <m/>
    <m/>
    <m/>
    <m/>
    <m/>
    <m/>
    <m/>
    <x v="300"/>
    <m/>
    <m/>
  </r>
  <r>
    <x v="67"/>
    <d v="2025-04-27T00:00:00"/>
    <s v="Cash Rewards Visa Signature - Ending in 5913"/>
    <x v="79"/>
    <n v="124"/>
    <x v="28"/>
    <s v="Misc"/>
    <m/>
    <m/>
    <m/>
    <m/>
    <m/>
    <m/>
    <m/>
    <x v="79"/>
    <m/>
    <m/>
  </r>
  <r>
    <x v="68"/>
    <d v="2025-03-24T00:00:00"/>
    <s v="Discover"/>
    <x v="5436"/>
    <n v="123.93"/>
    <x v="0"/>
    <s v="Amazon"/>
    <m/>
    <m/>
    <m/>
    <m/>
    <m/>
    <m/>
    <m/>
    <x v="4820"/>
    <m/>
    <m/>
  </r>
  <r>
    <x v="69"/>
    <d v="2025-05-04T00:00:00"/>
    <s v="American Express"/>
    <x v="5040"/>
    <n v="123.92"/>
    <x v="1"/>
    <s v="Restaurants"/>
    <m/>
    <m/>
    <m/>
    <m/>
    <m/>
    <m/>
    <m/>
    <x v="4477"/>
    <m/>
    <m/>
  </r>
  <r>
    <x v="68"/>
    <d v="2025-03-21T00:00:00"/>
    <s v="Cash Rewards Visa Signature - Ending in 5913"/>
    <x v="5437"/>
    <n v="123.6"/>
    <x v="8"/>
    <s v="Shopping"/>
    <m/>
    <m/>
    <m/>
    <m/>
    <m/>
    <m/>
    <m/>
    <x v="4821"/>
    <m/>
    <m/>
  </r>
  <r>
    <x v="70"/>
    <d v="2025-02-14T00:00:00"/>
    <s v="American Express"/>
    <x v="5388"/>
    <n v="122.5"/>
    <x v="8"/>
    <s v="Shopping"/>
    <m/>
    <m/>
    <m/>
    <m/>
    <m/>
    <m/>
    <m/>
    <x v="4778"/>
    <m/>
    <m/>
  </r>
  <r>
    <x v="68"/>
    <d v="2025-03-16T00:00:00"/>
    <s v="American Express"/>
    <x v="5388"/>
    <n v="122.5"/>
    <x v="8"/>
    <s v="Shopping"/>
    <m/>
    <m/>
    <m/>
    <m/>
    <m/>
    <m/>
    <m/>
    <x v="4778"/>
    <m/>
    <m/>
  </r>
  <r>
    <x v="69"/>
    <d v="2025-05-09T00:00:00"/>
    <s v="American Express"/>
    <x v="5438"/>
    <n v="121.38"/>
    <x v="10"/>
    <s v="Entertainment"/>
    <m/>
    <m/>
    <m/>
    <m/>
    <m/>
    <m/>
    <m/>
    <x v="4822"/>
    <m/>
    <m/>
  </r>
  <r>
    <x v="68"/>
    <d v="2025-03-30T00:00:00"/>
    <s v="Cash Rewards Visa Signature - Ending in 5913"/>
    <x v="255"/>
    <n v="119.69"/>
    <x v="5"/>
    <s v="Groceries"/>
    <m/>
    <m/>
    <m/>
    <m/>
    <m/>
    <m/>
    <m/>
    <x v="253"/>
    <m/>
    <m/>
  </r>
  <r>
    <x v="68"/>
    <d v="2025-03-13T00:00:00"/>
    <s v="Cash Rewards Visa Signature - Ending in 5913"/>
    <x v="255"/>
    <n v="119.6"/>
    <x v="5"/>
    <s v="Groceries"/>
    <m/>
    <m/>
    <m/>
    <m/>
    <m/>
    <m/>
    <m/>
    <x v="253"/>
    <m/>
    <m/>
  </r>
  <r>
    <x v="69"/>
    <d v="2025-05-17T00:00:00"/>
    <s v="American Express"/>
    <x v="5439"/>
    <n v="119"/>
    <x v="25"/>
    <s v="Healthcare"/>
    <m/>
    <m/>
    <m/>
    <m/>
    <m/>
    <m/>
    <m/>
    <x v="4823"/>
    <m/>
    <m/>
  </r>
  <r>
    <x v="70"/>
    <d v="2025-02-23T00:00:00"/>
    <s v="American Express"/>
    <x v="5440"/>
    <n v="118.08"/>
    <x v="1"/>
    <s v="Restaurants"/>
    <m/>
    <m/>
    <m/>
    <m/>
    <m/>
    <m/>
    <m/>
    <x v="4824"/>
    <m/>
    <m/>
  </r>
  <r>
    <x v="67"/>
    <d v="2025-04-25T00:00:00"/>
    <s v="American Express"/>
    <x v="4985"/>
    <n v="117.78"/>
    <x v="5"/>
    <s v="Groceries"/>
    <m/>
    <m/>
    <m/>
    <m/>
    <m/>
    <m/>
    <m/>
    <x v="4424"/>
    <m/>
    <m/>
  </r>
  <r>
    <x v="67"/>
    <d v="2025-04-19T00:00:00"/>
    <s v="American Express"/>
    <x v="5441"/>
    <n v="117.48"/>
    <x v="1"/>
    <s v="Restaurants"/>
    <m/>
    <m/>
    <m/>
    <m/>
    <m/>
    <m/>
    <m/>
    <x v="4825"/>
    <m/>
    <m/>
  </r>
  <r>
    <x v="67"/>
    <d v="2025-04-14T00:00:00"/>
    <s v="Cash Rewards Visa Signature - Ending in 5913"/>
    <x v="34"/>
    <n v="115.78"/>
    <x v="12"/>
    <s v="Target"/>
    <m/>
    <m/>
    <m/>
    <m/>
    <m/>
    <m/>
    <m/>
    <x v="34"/>
    <m/>
    <m/>
  </r>
  <r>
    <x v="69"/>
    <d v="2025-05-16T00:00:00"/>
    <s v="American Express"/>
    <x v="4985"/>
    <n v="115.28"/>
    <x v="5"/>
    <s v="Groceries"/>
    <m/>
    <m/>
    <m/>
    <m/>
    <m/>
    <m/>
    <m/>
    <x v="4424"/>
    <m/>
    <m/>
  </r>
  <r>
    <x v="68"/>
    <d v="2025-03-06T00:00:00"/>
    <s v="American Express"/>
    <x v="5442"/>
    <n v="114.14"/>
    <x v="3"/>
    <s v="Delete"/>
    <m/>
    <m/>
    <m/>
    <m/>
    <m/>
    <m/>
    <m/>
    <x v="4826"/>
    <m/>
    <m/>
  </r>
  <r>
    <x v="68"/>
    <d v="2025-03-01T00:00:00"/>
    <s v="American Express"/>
    <x v="5443"/>
    <n v="113.92"/>
    <x v="3"/>
    <s v="Restaurants"/>
    <s v="Delete"/>
    <m/>
    <m/>
    <m/>
    <m/>
    <m/>
    <m/>
    <x v="4827"/>
    <m/>
    <m/>
  </r>
  <r>
    <x v="70"/>
    <d v="2025-02-17T00:00:00"/>
    <s v="American Express"/>
    <x v="5165"/>
    <n v="112.77"/>
    <x v="1"/>
    <s v="Restaurants"/>
    <m/>
    <m/>
    <m/>
    <m/>
    <m/>
    <m/>
    <m/>
    <x v="4597"/>
    <m/>
    <m/>
  </r>
  <r>
    <x v="66"/>
    <d v="2025-01-05T00:00:00"/>
    <s v="American Express"/>
    <x v="5394"/>
    <n v="110.97"/>
    <x v="0"/>
    <s v="Amazon"/>
    <m/>
    <m/>
    <m/>
    <m/>
    <m/>
    <m/>
    <m/>
    <x v="4783"/>
    <m/>
    <m/>
  </r>
  <r>
    <x v="66"/>
    <d v="2025-01-14T00:00:00"/>
    <s v="Powerplus - Ending in 8s30"/>
    <x v="3693"/>
    <n v="110.75"/>
    <x v="16"/>
    <s v="Insurance"/>
    <m/>
    <m/>
    <m/>
    <m/>
    <m/>
    <m/>
    <m/>
    <x v="3254"/>
    <m/>
    <m/>
  </r>
  <r>
    <x v="70"/>
    <d v="2025-02-14T00:00:00"/>
    <s v="Powerplus - Ending in 8s30"/>
    <x v="3693"/>
    <n v="110.75"/>
    <x v="16"/>
    <s v="Insurance"/>
    <m/>
    <m/>
    <m/>
    <m/>
    <m/>
    <m/>
    <m/>
    <x v="3254"/>
    <m/>
    <m/>
  </r>
  <r>
    <x v="68"/>
    <d v="2025-03-14T00:00:00"/>
    <s v="Powerplus - Ending in 8s30"/>
    <x v="3693"/>
    <n v="110.75"/>
    <x v="16"/>
    <s v="Insurance"/>
    <m/>
    <m/>
    <m/>
    <m/>
    <m/>
    <m/>
    <m/>
    <x v="3254"/>
    <m/>
    <m/>
  </r>
  <r>
    <x v="67"/>
    <d v="2025-04-14T00:00:00"/>
    <s v="Powerplus - Ending in 8s30"/>
    <x v="3693"/>
    <n v="110.75"/>
    <x v="16"/>
    <s v="Insurance"/>
    <m/>
    <m/>
    <m/>
    <m/>
    <m/>
    <m/>
    <m/>
    <x v="3254"/>
    <m/>
    <m/>
  </r>
  <r>
    <x v="69"/>
    <d v="2025-05-14T00:00:00"/>
    <s v="Powerplus - Ending in 8s30"/>
    <x v="3693"/>
    <n v="110.75"/>
    <x v="16"/>
    <s v="Insurance"/>
    <m/>
    <m/>
    <m/>
    <m/>
    <m/>
    <m/>
    <m/>
    <x v="3254"/>
    <m/>
    <m/>
  </r>
  <r>
    <x v="68"/>
    <d v="2025-03-25T00:00:00"/>
    <s v="Cash Rewards Visa Signature - Ending in 5913"/>
    <x v="5444"/>
    <n v="110.17"/>
    <x v="1"/>
    <s v="Restaurants"/>
    <m/>
    <m/>
    <m/>
    <m/>
    <m/>
    <m/>
    <m/>
    <x v="4828"/>
    <m/>
    <m/>
  </r>
  <r>
    <x v="66"/>
    <d v="2025-01-06T00:00:00"/>
    <s v="Cash Rewards Visa Signature - Ending in 5913"/>
    <x v="79"/>
    <n v="110"/>
    <x v="28"/>
    <s v="Misc"/>
    <m/>
    <m/>
    <m/>
    <m/>
    <m/>
    <m/>
    <m/>
    <x v="79"/>
    <m/>
    <m/>
  </r>
  <r>
    <x v="68"/>
    <d v="2025-03-19T00:00:00"/>
    <s v="American Express"/>
    <x v="5445"/>
    <n v="109.78"/>
    <x v="3"/>
    <s v="Delete"/>
    <s v="Delete"/>
    <m/>
    <m/>
    <m/>
    <m/>
    <m/>
    <m/>
    <x v="4829"/>
    <m/>
    <m/>
  </r>
  <r>
    <x v="66"/>
    <d v="2025-01-24T00:00:00"/>
    <s v="American Express"/>
    <x v="4985"/>
    <n v="109.25"/>
    <x v="5"/>
    <s v="Groceries"/>
    <m/>
    <m/>
    <m/>
    <m/>
    <m/>
    <m/>
    <m/>
    <x v="4424"/>
    <m/>
    <m/>
  </r>
  <r>
    <x v="66"/>
    <d v="2025-01-03T00:00:00"/>
    <s v="American Express"/>
    <x v="5402"/>
    <n v="109.19"/>
    <x v="1"/>
    <s v="Restaurants"/>
    <m/>
    <m/>
    <m/>
    <m/>
    <m/>
    <m/>
    <m/>
    <x v="4790"/>
    <m/>
    <m/>
  </r>
  <r>
    <x v="67"/>
    <d v="2025-04-11T00:00:00"/>
    <s v="American Express"/>
    <x v="5417"/>
    <n v="108.81"/>
    <x v="0"/>
    <s v="Amazon"/>
    <m/>
    <m/>
    <m/>
    <m/>
    <m/>
    <m/>
    <m/>
    <x v="4805"/>
    <m/>
    <m/>
  </r>
  <r>
    <x v="69"/>
    <d v="2025-05-10T00:00:00"/>
    <s v="American Express"/>
    <x v="5446"/>
    <n v="108.5"/>
    <x v="8"/>
    <s v="Restaurants"/>
    <s v="Exp - Shopping"/>
    <m/>
    <m/>
    <m/>
    <m/>
    <m/>
    <m/>
    <x v="4830"/>
    <m/>
    <m/>
  </r>
  <r>
    <x v="67"/>
    <d v="2025-04-19T00:00:00"/>
    <s v="American Express"/>
    <x v="5216"/>
    <n v="108.39"/>
    <x v="5"/>
    <s v="Groceries"/>
    <m/>
    <m/>
    <m/>
    <m/>
    <m/>
    <m/>
    <m/>
    <x v="4639"/>
    <m/>
    <m/>
  </r>
  <r>
    <x v="66"/>
    <d v="2025-01-31T00:00:00"/>
    <s v="American Express"/>
    <x v="5394"/>
    <n v="108.31"/>
    <x v="0"/>
    <s v="Amazon"/>
    <m/>
    <m/>
    <m/>
    <m/>
    <m/>
    <m/>
    <m/>
    <x v="4783"/>
    <m/>
    <m/>
  </r>
  <r>
    <x v="69"/>
    <d v="2025-05-24T00:00:00"/>
    <s v="American Express"/>
    <x v="5447"/>
    <n v="106.26"/>
    <x v="8"/>
    <s v="Shopping"/>
    <m/>
    <m/>
    <m/>
    <m/>
    <m/>
    <m/>
    <m/>
    <x v="4831"/>
    <m/>
    <m/>
  </r>
  <r>
    <x v="67"/>
    <d v="2025-04-15T00:00:00"/>
    <s v="Discover"/>
    <x v="5448"/>
    <n v="106.21"/>
    <x v="0"/>
    <s v="Amazon"/>
    <m/>
    <m/>
    <m/>
    <m/>
    <m/>
    <m/>
    <m/>
    <x v="4832"/>
    <m/>
    <m/>
  </r>
  <r>
    <x v="70"/>
    <d v="2025-02-16T00:00:00"/>
    <s v="American Express"/>
    <x v="5013"/>
    <n v="106.11"/>
    <x v="5"/>
    <s v="Groceries"/>
    <m/>
    <m/>
    <m/>
    <m/>
    <m/>
    <m/>
    <m/>
    <x v="4451"/>
    <m/>
    <m/>
  </r>
  <r>
    <x v="68"/>
    <d v="2025-03-22T00:00:00"/>
    <s v="American Express"/>
    <x v="5070"/>
    <n v="106"/>
    <x v="8"/>
    <s v="Shopping"/>
    <m/>
    <m/>
    <m/>
    <m/>
    <m/>
    <m/>
    <m/>
    <x v="4506"/>
    <m/>
    <m/>
  </r>
  <r>
    <x v="68"/>
    <d v="2025-03-22T00:00:00"/>
    <s v="American Express"/>
    <x v="5070"/>
    <n v="106"/>
    <x v="8"/>
    <s v="Shopping"/>
    <m/>
    <m/>
    <m/>
    <m/>
    <m/>
    <m/>
    <m/>
    <x v="4506"/>
    <m/>
    <m/>
  </r>
  <r>
    <x v="68"/>
    <d v="2025-03-26T00:00:00"/>
    <s v="American Express"/>
    <x v="5070"/>
    <n v="106"/>
    <x v="8"/>
    <s v="Shopping"/>
    <m/>
    <m/>
    <m/>
    <m/>
    <m/>
    <m/>
    <m/>
    <x v="4506"/>
    <m/>
    <m/>
  </r>
  <r>
    <x v="67"/>
    <d v="2025-04-09T00:00:00"/>
    <s v="American Express"/>
    <x v="5070"/>
    <n v="106"/>
    <x v="8"/>
    <s v="Shopping"/>
    <m/>
    <m/>
    <m/>
    <m/>
    <m/>
    <m/>
    <m/>
    <x v="4506"/>
    <m/>
    <m/>
  </r>
  <r>
    <x v="66"/>
    <d v="2025-01-27T00:00:00"/>
    <s v="American Express"/>
    <x v="5449"/>
    <n v="105.38"/>
    <x v="1"/>
    <s v="Restaurants"/>
    <m/>
    <m/>
    <m/>
    <m/>
    <m/>
    <m/>
    <m/>
    <x v="4833"/>
    <m/>
    <m/>
  </r>
  <r>
    <x v="70"/>
    <d v="2025-02-06T00:00:00"/>
    <s v="American Express"/>
    <x v="5450"/>
    <n v="105"/>
    <x v="1"/>
    <s v="Restaurants"/>
    <m/>
    <m/>
    <m/>
    <m/>
    <m/>
    <m/>
    <m/>
    <x v="4834"/>
    <m/>
    <m/>
  </r>
  <r>
    <x v="67"/>
    <d v="2025-04-28T00:00:00"/>
    <s v="Cash Rewards Visa Signature - Ending in 5913"/>
    <x v="5451"/>
    <n v="104.45"/>
    <x v="1"/>
    <s v="Restaurants"/>
    <m/>
    <m/>
    <m/>
    <m/>
    <m/>
    <m/>
    <m/>
    <x v="4835"/>
    <m/>
    <m/>
  </r>
  <r>
    <x v="68"/>
    <d v="2025-03-27T00:00:00"/>
    <s v="Powerplus - Ending in 8s30"/>
    <x v="5452"/>
    <n v="-2306.79"/>
    <x v="57"/>
    <s v="Day Care"/>
    <s v="Inc - Jeff"/>
    <m/>
    <m/>
    <m/>
    <m/>
    <m/>
    <m/>
    <x v="4756"/>
    <m/>
    <m/>
  </r>
  <r>
    <x v="70"/>
    <d v="2025-02-21T00:00:00"/>
    <s v="American Express"/>
    <x v="5453"/>
    <n v="103"/>
    <x v="10"/>
    <s v="Restaurants"/>
    <s v="Exp - Entertainment"/>
    <m/>
    <m/>
    <m/>
    <m/>
    <m/>
    <m/>
    <x v="4836"/>
    <m/>
    <m/>
  </r>
  <r>
    <x v="66"/>
    <d v="2025-01-02T00:00:00"/>
    <s v="American Express"/>
    <x v="5454"/>
    <n v="101.18"/>
    <x v="1"/>
    <s v="Restaurants"/>
    <m/>
    <m/>
    <m/>
    <m/>
    <m/>
    <m/>
    <m/>
    <x v="4837"/>
    <m/>
    <m/>
  </r>
  <r>
    <x v="66"/>
    <d v="2025-01-12T00:00:00"/>
    <s v="Cash Rewards Visa Signature - Ending in 5913"/>
    <x v="4104"/>
    <n v="100.93"/>
    <x v="3"/>
    <s v="Delete"/>
    <s v="Delete"/>
    <m/>
    <m/>
    <m/>
    <m/>
    <m/>
    <m/>
    <x v="3639"/>
    <m/>
    <m/>
  </r>
  <r>
    <x v="67"/>
    <d v="2025-04-18T00:00:00"/>
    <s v="Cash Rewards Visa Signature - Ending in 5913"/>
    <x v="4497"/>
    <n v="100.69"/>
    <x v="1"/>
    <s v="Restaurants"/>
    <m/>
    <m/>
    <m/>
    <m/>
    <m/>
    <m/>
    <m/>
    <x v="3992"/>
    <m/>
    <m/>
  </r>
  <r>
    <x v="67"/>
    <d v="2025-04-01T00:00:00"/>
    <s v="Powerplus - Ending in 8s30"/>
    <x v="5455"/>
    <n v="650"/>
    <x v="9"/>
    <s v="Day Care"/>
    <s v="Sav - College Savings"/>
    <m/>
    <m/>
    <m/>
    <m/>
    <m/>
    <m/>
    <x v="4491"/>
    <m/>
    <m/>
  </r>
  <r>
    <x v="67"/>
    <d v="2025-04-01T00:00:00"/>
    <s v="Powerplus - Ending in 8s30"/>
    <x v="5456"/>
    <n v="420"/>
    <x v="4"/>
    <s v="Day Care"/>
    <m/>
    <m/>
    <m/>
    <m/>
    <m/>
    <m/>
    <m/>
    <x v="4602"/>
    <m/>
    <m/>
  </r>
  <r>
    <x v="70"/>
    <d v="2025-02-25T00:00:00"/>
    <s v="Powerplus - Ending in 8s30"/>
    <x v="4297"/>
    <n v="100"/>
    <x v="3"/>
    <s v="Delete"/>
    <m/>
    <m/>
    <m/>
    <m/>
    <m/>
    <m/>
    <m/>
    <x v="3815"/>
    <m/>
    <m/>
  </r>
  <r>
    <x v="69"/>
    <d v="2025-05-26T00:00:00"/>
    <s v="Cash Rewards Visa Signature - Ending in 5913"/>
    <x v="5457"/>
    <n v="100"/>
    <x v="24"/>
    <s v="Restaurants"/>
    <s v="Exp - Travel"/>
    <m/>
    <m/>
    <m/>
    <m/>
    <m/>
    <m/>
    <x v="4838"/>
    <m/>
    <m/>
  </r>
  <r>
    <x v="69"/>
    <d v="2025-05-06T00:00:00"/>
    <s v="American Express"/>
    <x v="5416"/>
    <n v="99.99"/>
    <x v="8"/>
    <s v="Shopping"/>
    <m/>
    <m/>
    <m/>
    <m/>
    <m/>
    <m/>
    <m/>
    <x v="4804"/>
    <m/>
    <m/>
  </r>
  <r>
    <x v="66"/>
    <d v="2025-01-24T00:00:00"/>
    <s v="Powerplus - Ending in 8s30"/>
    <x v="308"/>
    <n v="99.98"/>
    <x v="8"/>
    <s v="Shopping"/>
    <m/>
    <m/>
    <m/>
    <m/>
    <m/>
    <m/>
    <m/>
    <x v="300"/>
    <m/>
    <m/>
  </r>
  <r>
    <x v="67"/>
    <d v="2025-04-30T00:00:00"/>
    <s v="Discover"/>
    <x v="5458"/>
    <n v="99.95"/>
    <x v="0"/>
    <s v="Amazon"/>
    <m/>
    <m/>
    <m/>
    <m/>
    <m/>
    <m/>
    <m/>
    <x v="4839"/>
    <m/>
    <m/>
  </r>
  <r>
    <x v="66"/>
    <d v="2025-01-26T00:00:00"/>
    <s v="American Express"/>
    <x v="5402"/>
    <n v="98.76"/>
    <x v="1"/>
    <s v="Restaurants"/>
    <m/>
    <m/>
    <m/>
    <m/>
    <m/>
    <m/>
    <m/>
    <x v="4790"/>
    <m/>
    <m/>
  </r>
  <r>
    <x v="67"/>
    <d v="2025-04-13T00:00:00"/>
    <s v="Cash Rewards Visa Signature - Ending in 5913"/>
    <x v="5459"/>
    <n v="96.99"/>
    <x v="24"/>
    <s v="Restaurants"/>
    <s v="Exp - Travel"/>
    <m/>
    <m/>
    <m/>
    <m/>
    <m/>
    <m/>
    <x v="4840"/>
    <m/>
    <m/>
  </r>
  <r>
    <x v="69"/>
    <d v="2025-05-22T00:00:00"/>
    <s v="American Express"/>
    <x v="5394"/>
    <n v="96.97"/>
    <x v="0"/>
    <s v="Amazon"/>
    <m/>
    <m/>
    <m/>
    <m/>
    <m/>
    <m/>
    <m/>
    <x v="4783"/>
    <m/>
    <m/>
  </r>
  <r>
    <x v="66"/>
    <d v="2025-01-07T00:00:00"/>
    <s v="Powerplus - Ending in 8s30"/>
    <x v="1888"/>
    <n v="95.75"/>
    <x v="3"/>
    <s v="Delete"/>
    <m/>
    <m/>
    <m/>
    <m/>
    <m/>
    <m/>
    <m/>
    <x v="1741"/>
    <m/>
    <m/>
  </r>
  <r>
    <x v="66"/>
    <d v="2025-01-29T00:00:00"/>
    <s v="Discover"/>
    <x v="5460"/>
    <n v="94.67"/>
    <x v="0"/>
    <s v="Amazon"/>
    <m/>
    <m/>
    <m/>
    <m/>
    <m/>
    <m/>
    <m/>
    <x v="4841"/>
    <m/>
    <m/>
  </r>
  <r>
    <x v="68"/>
    <d v="2025-03-21T00:00:00"/>
    <s v="Cash Rewards Visa Signature - Ending in 5913"/>
    <x v="5461"/>
    <n v="94.62"/>
    <x v="3"/>
    <s v="Delete"/>
    <s v="Delete"/>
    <m/>
    <m/>
    <m/>
    <m/>
    <m/>
    <m/>
    <x v="4842"/>
    <m/>
    <m/>
  </r>
  <r>
    <x v="70"/>
    <d v="2025-02-24T00:00:00"/>
    <s v="American Express"/>
    <x v="5020"/>
    <n v="94.28"/>
    <x v="3"/>
    <s v="Delete"/>
    <m/>
    <m/>
    <m/>
    <m/>
    <m/>
    <m/>
    <m/>
    <x v="4458"/>
    <m/>
    <m/>
  </r>
  <r>
    <x v="68"/>
    <d v="2025-03-20T00:00:00"/>
    <s v="American Express"/>
    <x v="5462"/>
    <n v="94.04"/>
    <x v="1"/>
    <s v="Restaurants"/>
    <m/>
    <m/>
    <m/>
    <m/>
    <m/>
    <m/>
    <m/>
    <x v="4843"/>
    <m/>
    <m/>
  </r>
  <r>
    <x v="66"/>
    <d v="2025-01-23T00:00:00"/>
    <s v="American Express"/>
    <x v="5463"/>
    <n v="93.76"/>
    <x v="3"/>
    <s v="Delete"/>
    <m/>
    <m/>
    <m/>
    <m/>
    <m/>
    <m/>
    <m/>
    <x v="4844"/>
    <m/>
    <m/>
  </r>
  <r>
    <x v="67"/>
    <d v="2025-04-08T00:00:00"/>
    <s v="Powerplus - Ending in 8s30"/>
    <x v="5464"/>
    <n v="400"/>
    <x v="4"/>
    <s v="Day Care"/>
    <m/>
    <m/>
    <m/>
    <m/>
    <m/>
    <m/>
    <m/>
    <x v="4602"/>
    <m/>
    <m/>
  </r>
  <r>
    <x v="68"/>
    <d v="2025-03-09T00:00:00"/>
    <s v="American Express"/>
    <x v="5465"/>
    <n v="89.36"/>
    <x v="3"/>
    <s v="Delete"/>
    <m/>
    <m/>
    <m/>
    <m/>
    <m/>
    <m/>
    <m/>
    <x v="4845"/>
    <m/>
    <m/>
  </r>
  <r>
    <x v="67"/>
    <d v="2025-04-14T00:00:00"/>
    <s v="Cash Rewards Visa Signature - Ending in 5913"/>
    <x v="34"/>
    <n v="88.99"/>
    <x v="12"/>
    <s v="Target"/>
    <m/>
    <m/>
    <m/>
    <m/>
    <m/>
    <m/>
    <m/>
    <x v="34"/>
    <m/>
    <m/>
  </r>
  <r>
    <x v="70"/>
    <d v="2025-02-05T00:00:00"/>
    <s v="Discover"/>
    <x v="5466"/>
    <n v="88.87"/>
    <x v="0"/>
    <s v="Amazon"/>
    <m/>
    <m/>
    <m/>
    <m/>
    <m/>
    <m/>
    <m/>
    <x v="4846"/>
    <m/>
    <m/>
  </r>
  <r>
    <x v="69"/>
    <d v="2025-05-27T00:00:00"/>
    <s v="American Express"/>
    <x v="5467"/>
    <n v="87.9"/>
    <x v="1"/>
    <s v="Restaurants"/>
    <m/>
    <m/>
    <m/>
    <m/>
    <m/>
    <m/>
    <m/>
    <x v="4847"/>
    <m/>
    <m/>
  </r>
  <r>
    <x v="67"/>
    <d v="2025-04-16T00:00:00"/>
    <s v="Discover"/>
    <x v="5468"/>
    <n v="87.03"/>
    <x v="0"/>
    <s v="Amazon"/>
    <m/>
    <m/>
    <m/>
    <m/>
    <m/>
    <m/>
    <m/>
    <x v="4848"/>
    <m/>
    <m/>
  </r>
  <r>
    <x v="67"/>
    <d v="2025-04-09T00:00:00"/>
    <s v="American Express"/>
    <x v="5121"/>
    <n v="86.92"/>
    <x v="5"/>
    <s v="Groceries"/>
    <m/>
    <m/>
    <m/>
    <m/>
    <m/>
    <m/>
    <m/>
    <x v="4553"/>
    <m/>
    <m/>
  </r>
  <r>
    <x v="69"/>
    <d v="2025-05-16T00:00:00"/>
    <s v="American Express"/>
    <x v="5469"/>
    <n v="86.19"/>
    <x v="3"/>
    <s v="Restaurants"/>
    <s v="Delete"/>
    <m/>
    <m/>
    <m/>
    <m/>
    <m/>
    <m/>
    <x v="4849"/>
    <m/>
    <m/>
  </r>
  <r>
    <x v="68"/>
    <d v="2025-03-31T00:00:00"/>
    <s v="American Express"/>
    <x v="5470"/>
    <n v="85.81"/>
    <x v="1"/>
    <s v="Restaurants"/>
    <m/>
    <m/>
    <m/>
    <m/>
    <m/>
    <m/>
    <m/>
    <x v="4850"/>
    <m/>
    <m/>
  </r>
  <r>
    <x v="66"/>
    <d v="2025-01-13T00:00:00"/>
    <s v="Discover"/>
    <x v="5471"/>
    <n v="84.48"/>
    <x v="0"/>
    <s v="Amazon"/>
    <m/>
    <m/>
    <m/>
    <m/>
    <m/>
    <m/>
    <m/>
    <x v="4851"/>
    <m/>
    <m/>
  </r>
  <r>
    <x v="68"/>
    <d v="2025-03-17T00:00:00"/>
    <s v="Discover"/>
    <x v="5472"/>
    <n v="84.41"/>
    <x v="0"/>
    <s v="Amazon"/>
    <m/>
    <m/>
    <m/>
    <m/>
    <m/>
    <m/>
    <m/>
    <x v="4852"/>
    <m/>
    <m/>
  </r>
  <r>
    <x v="68"/>
    <d v="2025-03-24T00:00:00"/>
    <s v="Discover"/>
    <x v="5473"/>
    <n v="84.05"/>
    <x v="0"/>
    <s v="Amazon"/>
    <m/>
    <m/>
    <m/>
    <m/>
    <m/>
    <m/>
    <m/>
    <x v="4853"/>
    <m/>
    <m/>
  </r>
  <r>
    <x v="69"/>
    <d v="2025-05-24T00:00:00"/>
    <s v="American Express"/>
    <x v="5020"/>
    <n v="83.71"/>
    <x v="3"/>
    <s v="Delete"/>
    <m/>
    <m/>
    <m/>
    <m/>
    <m/>
    <m/>
    <m/>
    <x v="4458"/>
    <m/>
    <m/>
  </r>
  <r>
    <x v="69"/>
    <d v="2025-05-28T00:00:00"/>
    <s v="American Express"/>
    <x v="5394"/>
    <n v="83.28"/>
    <x v="0"/>
    <s v="Amazon"/>
    <m/>
    <m/>
    <m/>
    <m/>
    <m/>
    <m/>
    <m/>
    <x v="4783"/>
    <m/>
    <m/>
  </r>
  <r>
    <x v="70"/>
    <d v="2025-02-02T00:00:00"/>
    <s v="American Express"/>
    <x v="5289"/>
    <n v="83"/>
    <x v="10"/>
    <s v="Entertainment"/>
    <m/>
    <m/>
    <m/>
    <m/>
    <m/>
    <m/>
    <m/>
    <x v="4706"/>
    <m/>
    <m/>
  </r>
  <r>
    <x v="69"/>
    <d v="2025-05-10T00:00:00"/>
    <s v="American Express"/>
    <x v="5474"/>
    <n v="82.46"/>
    <x v="8"/>
    <s v="Restaurants"/>
    <s v="Exp - Shopping"/>
    <m/>
    <m/>
    <m/>
    <m/>
    <m/>
    <m/>
    <x v="4854"/>
    <m/>
    <m/>
  </r>
  <r>
    <x v="67"/>
    <d v="2025-04-22T00:00:00"/>
    <s v="Cash Rewards Visa Signature - Ending in 5913"/>
    <x v="34"/>
    <n v="82.41"/>
    <x v="12"/>
    <s v="Target"/>
    <m/>
    <m/>
    <m/>
    <m/>
    <m/>
    <m/>
    <m/>
    <x v="34"/>
    <m/>
    <m/>
  </r>
  <r>
    <x v="67"/>
    <d v="2025-04-09T00:00:00"/>
    <s v="Discover"/>
    <x v="5475"/>
    <n v="82.32"/>
    <x v="0"/>
    <s v="Amazon"/>
    <m/>
    <m/>
    <m/>
    <m/>
    <m/>
    <m/>
    <m/>
    <x v="4855"/>
    <m/>
    <m/>
  </r>
  <r>
    <x v="67"/>
    <d v="2025-04-05T00:00:00"/>
    <s v="American Express"/>
    <x v="5476"/>
    <n v="82.22"/>
    <x v="3"/>
    <s v="Delete"/>
    <m/>
    <m/>
    <m/>
    <m/>
    <m/>
    <m/>
    <m/>
    <x v="4856"/>
    <m/>
    <m/>
  </r>
  <r>
    <x v="66"/>
    <d v="2025-01-24T00:00:00"/>
    <s v="American Express"/>
    <x v="5477"/>
    <n v="81.7"/>
    <x v="3"/>
    <s v="Delete"/>
    <m/>
    <m/>
    <m/>
    <m/>
    <m/>
    <m/>
    <m/>
    <x v="4857"/>
    <m/>
    <m/>
  </r>
  <r>
    <x v="66"/>
    <d v="2025-01-12T00:00:00"/>
    <s v="American Express"/>
    <x v="5478"/>
    <n v="81.319999999999993"/>
    <x v="24"/>
    <s v="Travel"/>
    <m/>
    <m/>
    <m/>
    <m/>
    <m/>
    <m/>
    <m/>
    <x v="4858"/>
    <m/>
    <m/>
  </r>
  <r>
    <x v="68"/>
    <d v="2025-03-19T00:00:00"/>
    <s v="American Express"/>
    <x v="5479"/>
    <n v="80.16"/>
    <x v="3"/>
    <s v="Delete"/>
    <s v="Delete"/>
    <m/>
    <m/>
    <m/>
    <m/>
    <m/>
    <m/>
    <x v="4859"/>
    <m/>
    <m/>
  </r>
  <r>
    <x v="68"/>
    <d v="2025-03-21T00:00:00"/>
    <s v="American Express"/>
    <x v="5480"/>
    <n v="80"/>
    <x v="1"/>
    <s v="Restaurants"/>
    <m/>
    <m/>
    <m/>
    <m/>
    <m/>
    <m/>
    <m/>
    <x v="4860"/>
    <m/>
    <m/>
  </r>
  <r>
    <x v="66"/>
    <d v="2025-01-01T00:00:00"/>
    <s v="Powerplus - Ending in 8s30"/>
    <x v="5481"/>
    <n v="79"/>
    <x v="24"/>
    <s v="Delete"/>
    <s v="Exp - Travel"/>
    <m/>
    <m/>
    <m/>
    <m/>
    <m/>
    <m/>
    <x v="4861"/>
    <m/>
    <m/>
  </r>
  <r>
    <x v="69"/>
    <d v="2025-05-15T00:00:00"/>
    <s v="American Express"/>
    <x v="5050"/>
    <n v="78.5"/>
    <x v="3"/>
    <s v="Delete"/>
    <s v="Delete"/>
    <m/>
    <m/>
    <m/>
    <m/>
    <m/>
    <m/>
    <x v="4487"/>
    <m/>
    <m/>
  </r>
  <r>
    <x v="68"/>
    <d v="2025-03-23T00:00:00"/>
    <s v="Cash Rewards Visa Signature - Ending in 5913"/>
    <x v="1121"/>
    <n v="78.02"/>
    <x v="8"/>
    <s v="Shopping"/>
    <m/>
    <m/>
    <m/>
    <m/>
    <m/>
    <m/>
    <m/>
    <x v="1067"/>
    <m/>
    <m/>
  </r>
  <r>
    <x v="66"/>
    <d v="2025-01-01T00:00:00"/>
    <s v="American Express"/>
    <x v="5482"/>
    <n v="77.88"/>
    <x v="5"/>
    <s v="Groceries"/>
    <m/>
    <m/>
    <m/>
    <m/>
    <m/>
    <m/>
    <m/>
    <x v="4862"/>
    <m/>
    <m/>
  </r>
  <r>
    <x v="70"/>
    <d v="2025-02-13T00:00:00"/>
    <s v="American Express"/>
    <x v="5164"/>
    <n v="77"/>
    <x v="8"/>
    <s v="Shopping"/>
    <m/>
    <m/>
    <m/>
    <m/>
    <m/>
    <m/>
    <m/>
    <x v="4596"/>
    <m/>
    <m/>
  </r>
  <r>
    <x v="70"/>
    <d v="2025-02-07T00:00:00"/>
    <s v="American Express"/>
    <x v="5483"/>
    <n v="76.84"/>
    <x v="1"/>
    <s v="Restaurants"/>
    <m/>
    <m/>
    <m/>
    <m/>
    <m/>
    <m/>
    <m/>
    <x v="4863"/>
    <m/>
    <m/>
  </r>
  <r>
    <x v="68"/>
    <d v="2025-03-30T00:00:00"/>
    <s v="Cash Rewards Visa Signature - Ending in 5913"/>
    <x v="5484"/>
    <n v="76.58"/>
    <x v="1"/>
    <s v="Restaurants"/>
    <m/>
    <m/>
    <m/>
    <m/>
    <m/>
    <m/>
    <m/>
    <x v="4864"/>
    <m/>
    <m/>
  </r>
  <r>
    <x v="70"/>
    <d v="2025-02-14T00:00:00"/>
    <s v="American Express"/>
    <x v="5485"/>
    <n v="76.55"/>
    <x v="11"/>
    <s v="Utilities"/>
    <m/>
    <m/>
    <m/>
    <m/>
    <m/>
    <m/>
    <m/>
    <x v="4865"/>
    <m/>
    <m/>
  </r>
  <r>
    <x v="69"/>
    <d v="2025-05-11T00:00:00"/>
    <s v="American Express"/>
    <x v="5142"/>
    <n v="75.900000000000006"/>
    <x v="3"/>
    <s v="Delete"/>
    <m/>
    <m/>
    <m/>
    <m/>
    <m/>
    <m/>
    <m/>
    <x v="4574"/>
    <m/>
    <m/>
  </r>
  <r>
    <x v="67"/>
    <d v="2025-04-10T00:00:00"/>
    <s v="Powerplus - Ending in 8s30"/>
    <x v="5486"/>
    <n v="-892.42"/>
    <x v="57"/>
    <s v="Day Care"/>
    <s v="Inc - Jeff"/>
    <m/>
    <m/>
    <m/>
    <m/>
    <m/>
    <m/>
    <x v="4756"/>
    <m/>
    <m/>
  </r>
  <r>
    <x v="67"/>
    <d v="2025-04-14T00:00:00"/>
    <s v="Cash Rewards Visa Signature - Ending in 5913"/>
    <x v="414"/>
    <n v="75.12"/>
    <x v="8"/>
    <s v="Shopping"/>
    <m/>
    <m/>
    <m/>
    <m/>
    <m/>
    <m/>
    <m/>
    <x v="400"/>
    <m/>
    <m/>
  </r>
  <r>
    <x v="67"/>
    <d v="2025-04-20T00:00:00"/>
    <s v="American Express"/>
    <x v="5394"/>
    <n v="75.040000000000006"/>
    <x v="0"/>
    <s v="Amazon"/>
    <m/>
    <m/>
    <m/>
    <m/>
    <m/>
    <m/>
    <m/>
    <x v="4783"/>
    <m/>
    <m/>
  </r>
  <r>
    <x v="66"/>
    <d v="2025-01-19T00:00:00"/>
    <s v="American Express"/>
    <x v="5142"/>
    <n v="73.7"/>
    <x v="3"/>
    <s v="Delete"/>
    <m/>
    <m/>
    <m/>
    <m/>
    <m/>
    <m/>
    <m/>
    <x v="4574"/>
    <m/>
    <m/>
  </r>
  <r>
    <x v="69"/>
    <d v="2025-05-26T00:00:00"/>
    <s v="American Express"/>
    <x v="5142"/>
    <n v="73.7"/>
    <x v="3"/>
    <s v="Delete"/>
    <m/>
    <m/>
    <m/>
    <m/>
    <m/>
    <m/>
    <m/>
    <x v="4574"/>
    <m/>
    <m/>
  </r>
  <r>
    <x v="66"/>
    <d v="2025-01-31T00:00:00"/>
    <s v="American Express"/>
    <x v="5487"/>
    <n v="73.55"/>
    <x v="1"/>
    <s v="Restaurants"/>
    <m/>
    <m/>
    <m/>
    <m/>
    <m/>
    <m/>
    <m/>
    <x v="4866"/>
    <m/>
    <m/>
  </r>
  <r>
    <x v="68"/>
    <d v="2025-03-21T00:00:00"/>
    <s v="Cash Rewards Visa Signature - Ending in 5913"/>
    <x v="5488"/>
    <n v="73.150000000000006"/>
    <x v="3"/>
    <s v="Restaurants"/>
    <s v="Delete"/>
    <m/>
    <m/>
    <m/>
    <m/>
    <m/>
    <m/>
    <x v="4867"/>
    <m/>
    <m/>
  </r>
  <r>
    <x v="69"/>
    <d v="2025-05-17T00:00:00"/>
    <s v="American Express"/>
    <x v="5489"/>
    <n v="72.2"/>
    <x v="8"/>
    <s v="Shopping"/>
    <m/>
    <m/>
    <m/>
    <m/>
    <m/>
    <m/>
    <m/>
    <x v="4868"/>
    <m/>
    <m/>
  </r>
  <r>
    <x v="69"/>
    <d v="2025-05-15T00:00:00"/>
    <s v="Cash Rewards Visa Signature - Ending in 5913"/>
    <x v="5490"/>
    <n v="70.53"/>
    <x v="3"/>
    <s v="Delete"/>
    <s v="Delete"/>
    <m/>
    <m/>
    <m/>
    <m/>
    <m/>
    <m/>
    <x v="4869"/>
    <m/>
    <m/>
  </r>
  <r>
    <x v="66"/>
    <d v="2025-01-04T00:00:00"/>
    <s v="American Express"/>
    <x v="5491"/>
    <n v="70.42"/>
    <x v="8"/>
    <s v="Shopping"/>
    <m/>
    <m/>
    <m/>
    <m/>
    <m/>
    <m/>
    <m/>
    <x v="4870"/>
    <m/>
    <m/>
  </r>
  <r>
    <x v="69"/>
    <d v="2025-05-27T00:00:00"/>
    <s v="Powerplus - Ending in 8s30"/>
    <x v="1827"/>
    <n v="70"/>
    <x v="8"/>
    <s v="Shopping"/>
    <m/>
    <m/>
    <m/>
    <m/>
    <m/>
    <m/>
    <m/>
    <x v="1682"/>
    <m/>
    <m/>
  </r>
  <r>
    <x v="67"/>
    <d v="2025-04-15T00:00:00"/>
    <s v="Powerplus - Ending in 8s30"/>
    <x v="5492"/>
    <n v="400"/>
    <x v="4"/>
    <s v="Day Care"/>
    <m/>
    <m/>
    <m/>
    <m/>
    <m/>
    <m/>
    <m/>
    <x v="4602"/>
    <m/>
    <m/>
  </r>
  <r>
    <x v="70"/>
    <d v="2025-02-01T00:00:00"/>
    <s v="American Express"/>
    <x v="5493"/>
    <n v="68.86"/>
    <x v="3"/>
    <s v="Delete"/>
    <m/>
    <m/>
    <m/>
    <m/>
    <m/>
    <m/>
    <m/>
    <x v="4871"/>
    <m/>
    <m/>
  </r>
  <r>
    <x v="66"/>
    <d v="2025-01-28T00:00:00"/>
    <s v="American Express"/>
    <x v="5394"/>
    <n v="68.19"/>
    <x v="0"/>
    <s v="Amazon"/>
    <m/>
    <m/>
    <m/>
    <m/>
    <m/>
    <m/>
    <m/>
    <x v="4783"/>
    <m/>
    <m/>
  </r>
  <r>
    <x v="70"/>
    <d v="2025-02-04T00:00:00"/>
    <s v="Powerplus - Ending in 8s30"/>
    <x v="1849"/>
    <n v="68"/>
    <x v="8"/>
    <s v="Shopping"/>
    <m/>
    <m/>
    <m/>
    <m/>
    <m/>
    <m/>
    <m/>
    <x v="1704"/>
    <m/>
    <m/>
  </r>
  <r>
    <x v="66"/>
    <d v="2025-01-03T00:00:00"/>
    <s v="American Express"/>
    <x v="5494"/>
    <n v="66.98"/>
    <x v="1"/>
    <s v="Restaurants"/>
    <m/>
    <m/>
    <m/>
    <m/>
    <m/>
    <m/>
    <m/>
    <x v="4872"/>
    <m/>
    <m/>
  </r>
  <r>
    <x v="68"/>
    <d v="2025-03-02T00:00:00"/>
    <s v="Cash Rewards Visa Signature - Ending in 5913"/>
    <x v="5495"/>
    <n v="66.790000000000006"/>
    <x v="11"/>
    <s v="Utilities"/>
    <m/>
    <m/>
    <m/>
    <m/>
    <m/>
    <m/>
    <m/>
    <x v="4873"/>
    <m/>
    <m/>
  </r>
  <r>
    <x v="68"/>
    <d v="2025-03-28T00:00:00"/>
    <s v="American Express"/>
    <x v="5489"/>
    <n v="66.5"/>
    <x v="8"/>
    <s v="Shopping"/>
    <m/>
    <m/>
    <m/>
    <m/>
    <m/>
    <m/>
    <m/>
    <x v="4868"/>
    <m/>
    <m/>
  </r>
  <r>
    <x v="68"/>
    <d v="2025-03-09T00:00:00"/>
    <s v="American Express"/>
    <x v="5496"/>
    <n v="66.47"/>
    <x v="5"/>
    <s v="Restaurants"/>
    <s v="Exp - Groceries"/>
    <m/>
    <m/>
    <m/>
    <m/>
    <m/>
    <m/>
    <x v="4874"/>
    <m/>
    <m/>
  </r>
  <r>
    <x v="67"/>
    <d v="2025-04-03T00:00:00"/>
    <s v="Discover"/>
    <x v="5497"/>
    <n v="65.55"/>
    <x v="0"/>
    <s v="Amazon"/>
    <m/>
    <m/>
    <m/>
    <m/>
    <m/>
    <m/>
    <m/>
    <x v="4875"/>
    <m/>
    <m/>
  </r>
  <r>
    <x v="69"/>
    <d v="2025-05-10T00:00:00"/>
    <s v="American Express"/>
    <x v="5013"/>
    <n v="65.53"/>
    <x v="5"/>
    <s v="Groceries"/>
    <m/>
    <m/>
    <m/>
    <m/>
    <m/>
    <m/>
    <m/>
    <x v="4451"/>
    <m/>
    <m/>
  </r>
  <r>
    <x v="69"/>
    <d v="2025-05-08T00:00:00"/>
    <s v="American Express"/>
    <x v="5394"/>
    <n v="64.69"/>
    <x v="0"/>
    <s v="Amazon"/>
    <m/>
    <m/>
    <m/>
    <m/>
    <m/>
    <m/>
    <m/>
    <x v="4783"/>
    <m/>
    <m/>
  </r>
  <r>
    <x v="69"/>
    <d v="2025-05-27T00:00:00"/>
    <s v="American Express"/>
    <x v="5498"/>
    <n v="64.39"/>
    <x v="3"/>
    <s v="Delete"/>
    <s v="Delete"/>
    <m/>
    <m/>
    <m/>
    <m/>
    <m/>
    <m/>
    <x v="4876"/>
    <m/>
    <m/>
  </r>
  <r>
    <x v="69"/>
    <d v="2025-05-28T00:00:00"/>
    <s v="American Express"/>
    <x v="5499"/>
    <n v="64.099999999999994"/>
    <x v="3"/>
    <s v="Delete"/>
    <s v="Delete"/>
    <m/>
    <m/>
    <m/>
    <m/>
    <m/>
    <m/>
    <x v="4877"/>
    <m/>
    <m/>
  </r>
  <r>
    <x v="69"/>
    <d v="2025-05-03T00:00:00"/>
    <s v="American Express"/>
    <x v="5500"/>
    <n v="63.18"/>
    <x v="1"/>
    <s v="Restaurants"/>
    <m/>
    <m/>
    <m/>
    <m/>
    <m/>
    <m/>
    <m/>
    <x v="4878"/>
    <m/>
    <m/>
  </r>
  <r>
    <x v="68"/>
    <d v="2025-03-10T00:00:00"/>
    <s v="Powerplus - Ending in 8s30"/>
    <x v="1827"/>
    <n v="63"/>
    <x v="8"/>
    <s v="Shopping"/>
    <m/>
    <m/>
    <m/>
    <m/>
    <m/>
    <m/>
    <m/>
    <x v="1682"/>
    <m/>
    <m/>
  </r>
  <r>
    <x v="68"/>
    <d v="2025-03-06T00:00:00"/>
    <s v="American Express"/>
    <x v="5501"/>
    <n v="62.34"/>
    <x v="1"/>
    <s v="Restaurants"/>
    <m/>
    <m/>
    <m/>
    <m/>
    <m/>
    <m/>
    <m/>
    <x v="4879"/>
    <m/>
    <m/>
  </r>
  <r>
    <x v="69"/>
    <d v="2025-05-16T00:00:00"/>
    <s v="American Express"/>
    <x v="5209"/>
    <n v="62.26"/>
    <x v="1"/>
    <s v="Restaurants"/>
    <m/>
    <m/>
    <m/>
    <m/>
    <m/>
    <m/>
    <m/>
    <x v="4633"/>
    <m/>
    <m/>
  </r>
  <r>
    <x v="69"/>
    <d v="2025-05-20T00:00:00"/>
    <s v="Powerplus - Ending in 8s30"/>
    <x v="1827"/>
    <n v="62.23"/>
    <x v="8"/>
    <s v="Shopping"/>
    <m/>
    <m/>
    <m/>
    <m/>
    <m/>
    <m/>
    <m/>
    <x v="1682"/>
    <m/>
    <m/>
  </r>
  <r>
    <x v="67"/>
    <d v="2025-04-19T00:00:00"/>
    <s v="American Express"/>
    <x v="5085"/>
    <n v="61.78"/>
    <x v="1"/>
    <s v="Restaurants"/>
    <m/>
    <m/>
    <m/>
    <m/>
    <m/>
    <m/>
    <m/>
    <x v="4521"/>
    <m/>
    <m/>
  </r>
  <r>
    <x v="67"/>
    <d v="2025-04-20T00:00:00"/>
    <s v="Discover"/>
    <x v="5502"/>
    <n v="61.38"/>
    <x v="0"/>
    <s v="Amazon"/>
    <m/>
    <m/>
    <m/>
    <m/>
    <m/>
    <m/>
    <m/>
    <x v="4880"/>
    <m/>
    <m/>
  </r>
  <r>
    <x v="66"/>
    <d v="2025-01-20T00:00:00"/>
    <s v="American Express"/>
    <x v="5050"/>
    <n v="61.19"/>
    <x v="3"/>
    <s v="Delete"/>
    <m/>
    <m/>
    <m/>
    <m/>
    <m/>
    <m/>
    <m/>
    <x v="4487"/>
    <m/>
    <m/>
  </r>
  <r>
    <x v="69"/>
    <d v="2025-05-04T00:00:00"/>
    <s v="Cash Rewards Visa Signature - Ending in 5913"/>
    <x v="5503"/>
    <n v="60.91"/>
    <x v="1"/>
    <s v="Restaurants"/>
    <m/>
    <m/>
    <m/>
    <m/>
    <m/>
    <m/>
    <m/>
    <x v="4881"/>
    <m/>
    <m/>
  </r>
  <r>
    <x v="66"/>
    <d v="2025-01-01T00:00:00"/>
    <s v="American Express"/>
    <x v="5482"/>
    <n v="60.39"/>
    <x v="5"/>
    <s v="Groceries"/>
    <m/>
    <m/>
    <m/>
    <m/>
    <m/>
    <m/>
    <m/>
    <x v="4862"/>
    <m/>
    <m/>
  </r>
  <r>
    <x v="70"/>
    <d v="2025-02-24T00:00:00"/>
    <s v="American Express"/>
    <x v="5504"/>
    <n v="60.19"/>
    <x v="25"/>
    <s v="Healthcare"/>
    <m/>
    <m/>
    <m/>
    <m/>
    <m/>
    <m/>
    <m/>
    <x v="4882"/>
    <m/>
    <m/>
  </r>
  <r>
    <x v="67"/>
    <d v="2025-04-13T00:00:00"/>
    <s v="Cash Rewards Visa Signature - Ending in 5913"/>
    <x v="34"/>
    <n v="60.02"/>
    <x v="12"/>
    <s v="Target"/>
    <m/>
    <m/>
    <m/>
    <m/>
    <m/>
    <m/>
    <m/>
    <x v="34"/>
    <m/>
    <m/>
  </r>
  <r>
    <x v="70"/>
    <d v="2025-02-23T00:00:00"/>
    <s v="American Express"/>
    <x v="5505"/>
    <n v="60"/>
    <x v="1"/>
    <s v="Restaurants"/>
    <m/>
    <m/>
    <m/>
    <m/>
    <m/>
    <m/>
    <m/>
    <x v="4883"/>
    <m/>
    <m/>
  </r>
  <r>
    <x v="70"/>
    <d v="2025-02-12T00:00:00"/>
    <s v="American Express"/>
    <x v="4998"/>
    <n v="59.73"/>
    <x v="1"/>
    <s v="Restaurants"/>
    <m/>
    <m/>
    <m/>
    <m/>
    <m/>
    <m/>
    <m/>
    <x v="4437"/>
    <m/>
    <m/>
  </r>
  <r>
    <x v="69"/>
    <d v="2025-05-20T00:00:00"/>
    <s v="Powerplus - Ending in 8s30"/>
    <x v="1827"/>
    <n v="59.71"/>
    <x v="8"/>
    <s v="Shopping"/>
    <m/>
    <m/>
    <m/>
    <m/>
    <m/>
    <m/>
    <m/>
    <x v="1682"/>
    <m/>
    <m/>
  </r>
  <r>
    <x v="67"/>
    <d v="2025-04-18T00:00:00"/>
    <s v="Powerplus - Ending in 8s30"/>
    <x v="5506"/>
    <n v="104.08"/>
    <x v="4"/>
    <s v="Day Care"/>
    <m/>
    <m/>
    <m/>
    <m/>
    <m/>
    <m/>
    <m/>
    <x v="3912"/>
    <m/>
    <m/>
  </r>
  <r>
    <x v="66"/>
    <d v="2025-01-31T00:00:00"/>
    <s v="American Express"/>
    <x v="5041"/>
    <n v="58.3"/>
    <x v="5"/>
    <s v="Groceries"/>
    <m/>
    <m/>
    <m/>
    <m/>
    <m/>
    <m/>
    <m/>
    <x v="4478"/>
    <m/>
    <m/>
  </r>
  <r>
    <x v="67"/>
    <d v="2025-04-04T00:00:00"/>
    <s v="Discover"/>
    <x v="5507"/>
    <n v="58.2"/>
    <x v="3"/>
    <s v="Delete"/>
    <m/>
    <m/>
    <m/>
    <m/>
    <m/>
    <m/>
    <m/>
    <x v="4884"/>
    <m/>
    <m/>
  </r>
  <r>
    <x v="68"/>
    <d v="2025-03-25T00:00:00"/>
    <s v="Cash Rewards Visa Signature - Ending in 5913"/>
    <x v="5508"/>
    <n v="58.18"/>
    <x v="34"/>
    <s v="Britney"/>
    <m/>
    <m/>
    <m/>
    <m/>
    <m/>
    <m/>
    <m/>
    <x v="4885"/>
    <m/>
    <m/>
  </r>
  <r>
    <x v="69"/>
    <d v="2025-05-24T00:00:00"/>
    <s v="American Express"/>
    <x v="5394"/>
    <n v="57.85"/>
    <x v="0"/>
    <s v="Amazon"/>
    <m/>
    <m/>
    <m/>
    <m/>
    <m/>
    <m/>
    <m/>
    <x v="4783"/>
    <m/>
    <m/>
  </r>
  <r>
    <x v="69"/>
    <d v="2025-05-11T00:00:00"/>
    <s v="American Express"/>
    <x v="5509"/>
    <n v="57.36"/>
    <x v="3"/>
    <s v="Restaurants"/>
    <s v="Delete"/>
    <m/>
    <m/>
    <m/>
    <m/>
    <m/>
    <m/>
    <x v="4886"/>
    <m/>
    <m/>
  </r>
  <r>
    <x v="67"/>
    <d v="2025-04-20T00:00:00"/>
    <s v="Cash Rewards Visa Signature - Ending in 5913"/>
    <x v="34"/>
    <n v="57.15"/>
    <x v="12"/>
    <s v="Target"/>
    <m/>
    <m/>
    <m/>
    <m/>
    <m/>
    <m/>
    <m/>
    <x v="34"/>
    <m/>
    <m/>
  </r>
  <r>
    <x v="70"/>
    <d v="2025-02-02T00:00:00"/>
    <s v="American Express"/>
    <x v="5510"/>
    <n v="56.75"/>
    <x v="8"/>
    <s v="Shopping"/>
    <m/>
    <m/>
    <m/>
    <m/>
    <m/>
    <m/>
    <m/>
    <x v="4887"/>
    <m/>
    <m/>
  </r>
  <r>
    <x v="70"/>
    <d v="2025-02-22T00:00:00"/>
    <s v="American Express"/>
    <x v="5511"/>
    <n v="55.89"/>
    <x v="25"/>
    <s v="Restaurants"/>
    <s v="Exp - Healthcare"/>
    <m/>
    <m/>
    <m/>
    <m/>
    <m/>
    <m/>
    <x v="4888"/>
    <m/>
    <m/>
  </r>
  <r>
    <x v="68"/>
    <d v="2025-03-09T00:00:00"/>
    <s v="American Express"/>
    <x v="5378"/>
    <n v="55.89"/>
    <x v="25"/>
    <s v="Restaurants"/>
    <s v="Exp - Healthcare"/>
    <m/>
    <m/>
    <m/>
    <m/>
    <m/>
    <m/>
    <x v="4770"/>
    <m/>
    <m/>
  </r>
  <r>
    <x v="70"/>
    <d v="2025-02-11T00:00:00"/>
    <s v="American Express"/>
    <x v="5109"/>
    <n v="55.42"/>
    <x v="5"/>
    <s v="Groceries"/>
    <m/>
    <m/>
    <m/>
    <m/>
    <m/>
    <m/>
    <m/>
    <x v="4541"/>
    <m/>
    <m/>
  </r>
  <r>
    <x v="70"/>
    <d v="2025-02-24T00:00:00"/>
    <s v="Cash Rewards Visa Signature - Ending in 5913"/>
    <x v="5512"/>
    <n v="55.39"/>
    <x v="1"/>
    <s v="Restaurants"/>
    <m/>
    <m/>
    <m/>
    <m/>
    <m/>
    <m/>
    <m/>
    <x v="4889"/>
    <m/>
    <m/>
  </r>
  <r>
    <x v="68"/>
    <d v="2025-03-24T00:00:00"/>
    <s v="American Express"/>
    <x v="5013"/>
    <n v="55.23"/>
    <x v="5"/>
    <s v="Groceries"/>
    <m/>
    <m/>
    <m/>
    <m/>
    <m/>
    <m/>
    <m/>
    <x v="4451"/>
    <m/>
    <m/>
  </r>
  <r>
    <x v="67"/>
    <d v="2025-04-28T00:00:00"/>
    <s v="Cash Rewards Visa Signature - Ending in 5913"/>
    <x v="5513"/>
    <n v="54.98"/>
    <x v="1"/>
    <s v="Restaurants"/>
    <m/>
    <m/>
    <m/>
    <m/>
    <m/>
    <m/>
    <m/>
    <x v="4890"/>
    <m/>
    <m/>
  </r>
  <r>
    <x v="66"/>
    <d v="2025-01-18T00:00:00"/>
    <s v="American Express"/>
    <x v="5121"/>
    <n v="54.66"/>
    <x v="5"/>
    <s v="Groceries"/>
    <m/>
    <m/>
    <m/>
    <m/>
    <m/>
    <m/>
    <m/>
    <x v="4553"/>
    <m/>
    <m/>
  </r>
  <r>
    <x v="66"/>
    <d v="2025-01-24T00:00:00"/>
    <s v="Cash Rewards Visa Signature - Ending in 5913"/>
    <x v="5514"/>
    <n v="54.59"/>
    <x v="5"/>
    <s v="Groceries"/>
    <m/>
    <m/>
    <m/>
    <m/>
    <m/>
    <m/>
    <m/>
    <x v="4891"/>
    <m/>
    <m/>
  </r>
  <r>
    <x v="67"/>
    <d v="2025-04-28T00:00:00"/>
    <s v="Powerplus - Ending in 8s30"/>
    <x v="3693"/>
    <n v="54.37"/>
    <x v="16"/>
    <s v="Insurance"/>
    <m/>
    <m/>
    <m/>
    <m/>
    <m/>
    <m/>
    <m/>
    <x v="3254"/>
    <m/>
    <m/>
  </r>
  <r>
    <x v="69"/>
    <d v="2025-05-28T00:00:00"/>
    <s v="Powerplus - Ending in 8s30"/>
    <x v="3693"/>
    <n v="54.33"/>
    <x v="16"/>
    <s v="Insurance"/>
    <m/>
    <m/>
    <m/>
    <m/>
    <m/>
    <m/>
    <m/>
    <x v="3254"/>
    <m/>
    <m/>
  </r>
  <r>
    <x v="68"/>
    <d v="2025-03-09T00:00:00"/>
    <s v="Cash Rewards Visa Signature - Ending in 5913"/>
    <x v="5515"/>
    <n v="54"/>
    <x v="1"/>
    <s v="Restaurants"/>
    <m/>
    <m/>
    <m/>
    <m/>
    <m/>
    <m/>
    <m/>
    <x v="4892"/>
    <m/>
    <m/>
  </r>
  <r>
    <x v="68"/>
    <d v="2025-03-27T00:00:00"/>
    <s v="American Express"/>
    <x v="5516"/>
    <n v="54"/>
    <x v="19"/>
    <s v="House Maintenance"/>
    <m/>
    <m/>
    <m/>
    <m/>
    <m/>
    <m/>
    <m/>
    <x v="4893"/>
    <m/>
    <m/>
  </r>
  <r>
    <x v="70"/>
    <d v="2025-02-23T00:00:00"/>
    <s v="American Express"/>
    <x v="5296"/>
    <n v="53.73"/>
    <x v="2"/>
    <s v="Transportation"/>
    <m/>
    <m/>
    <m/>
    <m/>
    <m/>
    <m/>
    <m/>
    <x v="4713"/>
    <m/>
    <m/>
  </r>
  <r>
    <x v="67"/>
    <d v="2025-04-18T00:00:00"/>
    <s v="Discover"/>
    <x v="5517"/>
    <n v="53.34"/>
    <x v="0"/>
    <s v="Amazon"/>
    <m/>
    <m/>
    <m/>
    <m/>
    <m/>
    <m/>
    <m/>
    <x v="4894"/>
    <m/>
    <m/>
  </r>
  <r>
    <x v="66"/>
    <d v="2025-01-24T00:00:00"/>
    <s v="Discover"/>
    <x v="5518"/>
    <n v="53.14"/>
    <x v="0"/>
    <s v="Amazon"/>
    <m/>
    <m/>
    <m/>
    <m/>
    <m/>
    <m/>
    <m/>
    <x v="4895"/>
    <m/>
    <m/>
  </r>
  <r>
    <x v="69"/>
    <d v="2025-05-09T00:00:00"/>
    <s v="Cash Rewards Visa Signature - Ending in 5913"/>
    <x v="5519"/>
    <n v="53.01"/>
    <x v="30"/>
    <s v="Restaurants"/>
    <s v="Exp - House"/>
    <m/>
    <m/>
    <m/>
    <m/>
    <m/>
    <m/>
    <x v="4896"/>
    <m/>
    <m/>
  </r>
  <r>
    <x v="66"/>
    <d v="2025-01-28T00:00:00"/>
    <s v="Powerplus - Ending in 8s30"/>
    <x v="3693"/>
    <n v="52.91"/>
    <x v="16"/>
    <s v="Insurance"/>
    <m/>
    <m/>
    <m/>
    <m/>
    <m/>
    <m/>
    <m/>
    <x v="3254"/>
    <m/>
    <m/>
  </r>
  <r>
    <x v="70"/>
    <d v="2025-02-28T00:00:00"/>
    <s v="Powerplus - Ending in 8s30"/>
    <x v="3693"/>
    <n v="52.91"/>
    <x v="16"/>
    <s v="Insurance"/>
    <m/>
    <m/>
    <m/>
    <m/>
    <m/>
    <m/>
    <m/>
    <x v="3254"/>
    <m/>
    <m/>
  </r>
  <r>
    <x v="66"/>
    <d v="2025-01-17T00:00:00"/>
    <s v="American Express"/>
    <x v="5520"/>
    <n v="52.76"/>
    <x v="1"/>
    <s v="Restaurants"/>
    <m/>
    <m/>
    <m/>
    <m/>
    <m/>
    <m/>
    <m/>
    <x v="4897"/>
    <m/>
    <m/>
  </r>
  <r>
    <x v="69"/>
    <d v="2025-05-10T00:00:00"/>
    <s v="American Express"/>
    <x v="5521"/>
    <n v="52.67"/>
    <x v="1"/>
    <s v="Restaurants"/>
    <m/>
    <m/>
    <m/>
    <m/>
    <m/>
    <m/>
    <m/>
    <x v="4898"/>
    <m/>
    <m/>
  </r>
  <r>
    <x v="67"/>
    <d v="2025-04-21T00:00:00"/>
    <s v="Powerplus - Ending in 8s30"/>
    <x v="5522"/>
    <n v="650"/>
    <x v="9"/>
    <s v="Day Care"/>
    <s v="Sav - College Savings"/>
    <m/>
    <m/>
    <m/>
    <m/>
    <m/>
    <m/>
    <x v="3267"/>
    <m/>
    <m/>
  </r>
  <r>
    <x v="66"/>
    <d v="2025-01-30T00:00:00"/>
    <s v="Cash Rewards Visa Signature - Ending in 5913"/>
    <x v="150"/>
    <n v="51.95"/>
    <x v="24"/>
    <s v="Travel"/>
    <m/>
    <m/>
    <m/>
    <m/>
    <m/>
    <m/>
    <m/>
    <x v="149"/>
    <m/>
    <m/>
  </r>
  <r>
    <x v="68"/>
    <d v="2025-03-28T00:00:00"/>
    <s v="Cash Rewards Visa Signature - Ending in 5913"/>
    <x v="5523"/>
    <n v="51.62"/>
    <x v="1"/>
    <s v="Restaurants"/>
    <m/>
    <m/>
    <m/>
    <m/>
    <m/>
    <m/>
    <m/>
    <x v="4899"/>
    <m/>
    <m/>
  </r>
  <r>
    <x v="68"/>
    <d v="2025-03-24T00:00:00"/>
    <s v="American Express"/>
    <x v="5020"/>
    <n v="51.24"/>
    <x v="3"/>
    <s v="Delete"/>
    <m/>
    <m/>
    <m/>
    <m/>
    <m/>
    <m/>
    <m/>
    <x v="4458"/>
    <m/>
    <m/>
  </r>
  <r>
    <x v="67"/>
    <d v="2025-04-26T00:00:00"/>
    <s v="American Express"/>
    <x v="5520"/>
    <n v="50.22"/>
    <x v="1"/>
    <s v="Restaurants"/>
    <m/>
    <m/>
    <m/>
    <m/>
    <m/>
    <m/>
    <m/>
    <x v="4897"/>
    <m/>
    <m/>
  </r>
  <r>
    <x v="66"/>
    <d v="2025-01-21T00:00:00"/>
    <s v="American Express"/>
    <x v="5479"/>
    <n v="50.08"/>
    <x v="3"/>
    <s v="Delete"/>
    <m/>
    <m/>
    <m/>
    <m/>
    <m/>
    <m/>
    <m/>
    <x v="4859"/>
    <m/>
    <m/>
  </r>
  <r>
    <x v="68"/>
    <d v="2025-03-21T00:00:00"/>
    <s v="American Express"/>
    <x v="5524"/>
    <n v="50"/>
    <x v="24"/>
    <s v="Travel"/>
    <m/>
    <m/>
    <m/>
    <m/>
    <m/>
    <m/>
    <m/>
    <x v="4900"/>
    <m/>
    <m/>
  </r>
  <r>
    <x v="66"/>
    <d v="2025-01-28T00:00:00"/>
    <s v="American Express"/>
    <x v="5394"/>
    <n v="49.99"/>
    <x v="0"/>
    <s v="Amazon"/>
    <m/>
    <m/>
    <m/>
    <m/>
    <m/>
    <m/>
    <m/>
    <x v="4783"/>
    <m/>
    <m/>
  </r>
  <r>
    <x v="68"/>
    <d v="2025-03-20T00:00:00"/>
    <s v="American Express"/>
    <x v="5525"/>
    <n v="49.86"/>
    <x v="8"/>
    <s v="Restaurants"/>
    <s v="Exp - Shopping"/>
    <m/>
    <m/>
    <m/>
    <m/>
    <m/>
    <m/>
    <x v="4901"/>
    <m/>
    <m/>
  </r>
  <r>
    <x v="68"/>
    <d v="2025-03-27T00:00:00"/>
    <s v="Discover"/>
    <x v="5526"/>
    <n v="49.83"/>
    <x v="0"/>
    <s v="Amazon"/>
    <m/>
    <m/>
    <m/>
    <m/>
    <m/>
    <m/>
    <m/>
    <x v="4902"/>
    <m/>
    <m/>
  </r>
  <r>
    <x v="70"/>
    <d v="2025-02-03T00:00:00"/>
    <s v="American Express"/>
    <x v="5394"/>
    <n v="49.36"/>
    <x v="0"/>
    <s v="Amazon"/>
    <m/>
    <m/>
    <m/>
    <m/>
    <m/>
    <m/>
    <m/>
    <x v="4783"/>
    <m/>
    <m/>
  </r>
  <r>
    <x v="67"/>
    <d v="2025-04-21T00:00:00"/>
    <s v="Powerplus - Ending in 8s30"/>
    <x v="5527"/>
    <n v="49.28"/>
    <x v="4"/>
    <s v="Day Care"/>
    <m/>
    <m/>
    <m/>
    <m/>
    <m/>
    <m/>
    <m/>
    <x v="3287"/>
    <m/>
    <m/>
  </r>
  <r>
    <x v="68"/>
    <d v="2025-03-12T00:00:00"/>
    <s v="American Express"/>
    <x v="5528"/>
    <n v="49.2"/>
    <x v="1"/>
    <s v="Restaurants"/>
    <m/>
    <m/>
    <m/>
    <m/>
    <m/>
    <m/>
    <m/>
    <x v="4903"/>
    <m/>
    <m/>
  </r>
  <r>
    <x v="68"/>
    <d v="2025-03-18T00:00:00"/>
    <s v="Powerplus - Ending in 8s30"/>
    <x v="1827"/>
    <n v="49"/>
    <x v="8"/>
    <s v="Shopping"/>
    <m/>
    <m/>
    <m/>
    <m/>
    <m/>
    <m/>
    <m/>
    <x v="1682"/>
    <m/>
    <m/>
  </r>
  <r>
    <x v="67"/>
    <d v="2025-04-16T00:00:00"/>
    <s v="Cash Rewards Visa Signature - Ending in 5913"/>
    <x v="34"/>
    <n v="48.98"/>
    <x v="12"/>
    <s v="Target"/>
    <m/>
    <m/>
    <m/>
    <m/>
    <m/>
    <m/>
    <m/>
    <x v="34"/>
    <m/>
    <m/>
  </r>
  <r>
    <x v="67"/>
    <d v="2025-04-20T00:00:00"/>
    <s v="Cash Rewards Visa Signature - Ending in 5913"/>
    <x v="34"/>
    <n v="48.98"/>
    <x v="12"/>
    <s v="Target"/>
    <m/>
    <m/>
    <m/>
    <m/>
    <m/>
    <m/>
    <m/>
    <x v="34"/>
    <m/>
    <m/>
  </r>
  <r>
    <x v="69"/>
    <d v="2025-05-11T00:00:00"/>
    <s v="American Express"/>
    <x v="5394"/>
    <n v="48.93"/>
    <x v="0"/>
    <s v="Amazon"/>
    <m/>
    <m/>
    <m/>
    <m/>
    <m/>
    <m/>
    <m/>
    <x v="4783"/>
    <m/>
    <m/>
  </r>
  <r>
    <x v="68"/>
    <d v="2025-03-20T00:00:00"/>
    <s v="American Express"/>
    <x v="5529"/>
    <n v="48.75"/>
    <x v="2"/>
    <s v="Transportation"/>
    <m/>
    <m/>
    <m/>
    <m/>
    <m/>
    <m/>
    <m/>
    <x v="4904"/>
    <m/>
    <m/>
  </r>
  <r>
    <x v="66"/>
    <d v="2025-01-22T00:00:00"/>
    <s v="Cash Rewards Visa Signature - Ending in 5913"/>
    <x v="5530"/>
    <n v="48.72"/>
    <x v="10"/>
    <s v="Entertainment"/>
    <m/>
    <m/>
    <m/>
    <m/>
    <m/>
    <m/>
    <m/>
    <x v="4905"/>
    <m/>
    <m/>
  </r>
  <r>
    <x v="67"/>
    <d v="2025-04-09T00:00:00"/>
    <s v="American Express"/>
    <x v="5531"/>
    <n v="48.68"/>
    <x v="1"/>
    <s v="Restaurants"/>
    <m/>
    <m/>
    <m/>
    <m/>
    <m/>
    <m/>
    <m/>
    <x v="4906"/>
    <m/>
    <m/>
  </r>
  <r>
    <x v="70"/>
    <d v="2025-02-09T00:00:00"/>
    <s v="American Express"/>
    <x v="5013"/>
    <n v="48.24"/>
    <x v="5"/>
    <s v="Groceries"/>
    <m/>
    <m/>
    <m/>
    <m/>
    <m/>
    <m/>
    <m/>
    <x v="4451"/>
    <m/>
    <m/>
  </r>
  <r>
    <x v="68"/>
    <d v="2025-03-28T00:00:00"/>
    <s v="Powerplus - Ending in 8s30"/>
    <x v="3693"/>
    <n v="47.91"/>
    <x v="16"/>
    <s v="Insurance"/>
    <m/>
    <m/>
    <m/>
    <m/>
    <m/>
    <m/>
    <m/>
    <x v="3254"/>
    <m/>
    <m/>
  </r>
  <r>
    <x v="67"/>
    <d v="2025-04-23T00:00:00"/>
    <s v="American Express"/>
    <x v="5532"/>
    <n v="47.15"/>
    <x v="1"/>
    <s v="Restaurants"/>
    <m/>
    <m/>
    <m/>
    <m/>
    <m/>
    <m/>
    <m/>
    <x v="4907"/>
    <m/>
    <m/>
  </r>
  <r>
    <x v="67"/>
    <d v="2025-04-27T00:00:00"/>
    <s v="American Express"/>
    <x v="5533"/>
    <n v="46.89"/>
    <x v="1"/>
    <s v="Restaurants"/>
    <m/>
    <m/>
    <m/>
    <m/>
    <m/>
    <m/>
    <m/>
    <x v="4908"/>
    <m/>
    <m/>
  </r>
  <r>
    <x v="69"/>
    <d v="2025-05-10T00:00:00"/>
    <s v="American Express"/>
    <x v="5534"/>
    <n v="46.6"/>
    <x v="30"/>
    <s v="Restaurants"/>
    <s v="Exp - House"/>
    <m/>
    <m/>
    <m/>
    <m/>
    <m/>
    <m/>
    <x v="4909"/>
    <m/>
    <m/>
  </r>
  <r>
    <x v="67"/>
    <d v="2025-04-08T00:00:00"/>
    <s v="Cash Rewards Visa Signature - Ending in 5913"/>
    <x v="5535"/>
    <n v="46.58"/>
    <x v="1"/>
    <s v="Restaurants"/>
    <m/>
    <m/>
    <m/>
    <m/>
    <m/>
    <m/>
    <m/>
    <x v="4910"/>
    <m/>
    <m/>
  </r>
  <r>
    <x v="68"/>
    <d v="2025-03-28T00:00:00"/>
    <s v="Cash Rewards Visa Signature - Ending in 5913"/>
    <x v="2"/>
    <n v="46.14"/>
    <x v="2"/>
    <s v="Transportation"/>
    <m/>
    <m/>
    <m/>
    <m/>
    <m/>
    <m/>
    <m/>
    <x v="2"/>
    <m/>
    <m/>
  </r>
  <r>
    <x v="68"/>
    <d v="2025-03-17T00:00:00"/>
    <s v="Powerplus - Ending in 8s30"/>
    <x v="1849"/>
    <n v="45.95"/>
    <x v="8"/>
    <s v="Shopping"/>
    <m/>
    <m/>
    <m/>
    <m/>
    <m/>
    <m/>
    <m/>
    <x v="1704"/>
    <m/>
    <m/>
  </r>
  <r>
    <x v="66"/>
    <d v="2025-01-31T00:00:00"/>
    <s v="Discover"/>
    <x v="5536"/>
    <n v="45.9"/>
    <x v="0"/>
    <s v="Amazon"/>
    <m/>
    <m/>
    <m/>
    <m/>
    <m/>
    <m/>
    <m/>
    <x v="4911"/>
    <m/>
    <m/>
  </r>
  <r>
    <x v="68"/>
    <d v="2025-03-18T00:00:00"/>
    <s v="Cash Rewards Visa Signature - Ending in 5913"/>
    <x v="5537"/>
    <n v="45.84"/>
    <x v="5"/>
    <s v="Groceries"/>
    <m/>
    <m/>
    <m/>
    <m/>
    <m/>
    <m/>
    <m/>
    <x v="4912"/>
    <m/>
    <m/>
  </r>
  <r>
    <x v="67"/>
    <d v="2025-04-18T00:00:00"/>
    <s v="Cash Rewards Visa Signature - Ending in 5913"/>
    <x v="4519"/>
    <n v="45.68"/>
    <x v="2"/>
    <s v="Transportation"/>
    <m/>
    <m/>
    <m/>
    <m/>
    <m/>
    <m/>
    <m/>
    <x v="4009"/>
    <m/>
    <m/>
  </r>
  <r>
    <x v="68"/>
    <d v="2025-03-27T00:00:00"/>
    <s v="American Express"/>
    <x v="5532"/>
    <n v="45.61"/>
    <x v="1"/>
    <s v="Restaurants"/>
    <m/>
    <m/>
    <m/>
    <m/>
    <m/>
    <m/>
    <m/>
    <x v="4907"/>
    <m/>
    <m/>
  </r>
  <r>
    <x v="67"/>
    <d v="2025-04-12T00:00:00"/>
    <s v="American Express"/>
    <x v="5107"/>
    <n v="45.09"/>
    <x v="19"/>
    <s v="Restaurants"/>
    <s v="Exp - House Maint"/>
    <m/>
    <m/>
    <m/>
    <m/>
    <m/>
    <m/>
    <x v="4539"/>
    <m/>
    <m/>
  </r>
  <r>
    <x v="66"/>
    <d v="2025-01-13T00:00:00"/>
    <s v="Cash Rewards Visa Signature - Ending in 5913"/>
    <x v="1993"/>
    <n v="45"/>
    <x v="11"/>
    <s v="Utilities"/>
    <m/>
    <m/>
    <m/>
    <m/>
    <m/>
    <m/>
    <m/>
    <x v="1843"/>
    <m/>
    <m/>
  </r>
  <r>
    <x v="70"/>
    <d v="2025-02-13T00:00:00"/>
    <s v="Cash Rewards Visa Signature - Ending in 5913"/>
    <x v="1993"/>
    <n v="45"/>
    <x v="11"/>
    <s v="Utilities"/>
    <m/>
    <m/>
    <m/>
    <m/>
    <m/>
    <m/>
    <m/>
    <x v="1843"/>
    <m/>
    <m/>
  </r>
  <r>
    <x v="68"/>
    <d v="2025-03-07T00:00:00"/>
    <s v="American Express"/>
    <x v="4663"/>
    <n v="45"/>
    <x v="3"/>
    <s v="Delete"/>
    <m/>
    <m/>
    <m/>
    <m/>
    <m/>
    <m/>
    <m/>
    <x v="4133"/>
    <m/>
    <m/>
  </r>
  <r>
    <x v="68"/>
    <d v="2025-03-13T00:00:00"/>
    <s v="Cash Rewards Visa Signature - Ending in 5913"/>
    <x v="1993"/>
    <n v="45"/>
    <x v="11"/>
    <s v="Utilities"/>
    <m/>
    <m/>
    <m/>
    <m/>
    <m/>
    <m/>
    <m/>
    <x v="1843"/>
    <m/>
    <m/>
  </r>
  <r>
    <x v="67"/>
    <d v="2025-04-13T00:00:00"/>
    <s v="Cash Rewards Visa Signature - Ending in 5913"/>
    <x v="1993"/>
    <n v="45"/>
    <x v="11"/>
    <s v="Utilities"/>
    <m/>
    <m/>
    <m/>
    <m/>
    <m/>
    <m/>
    <m/>
    <x v="1843"/>
    <m/>
    <m/>
  </r>
  <r>
    <x v="69"/>
    <d v="2025-05-13T00:00:00"/>
    <s v="Cash Rewards Visa Signature - Ending in 5913"/>
    <x v="1993"/>
    <n v="45"/>
    <x v="11"/>
    <s v="Utilities"/>
    <m/>
    <m/>
    <m/>
    <m/>
    <m/>
    <m/>
    <m/>
    <x v="1843"/>
    <m/>
    <m/>
  </r>
  <r>
    <x v="69"/>
    <d v="2025-05-19T00:00:00"/>
    <s v="Cash Rewards Visa Signature - Ending in 5913"/>
    <x v="4158"/>
    <n v="44.89"/>
    <x v="5"/>
    <s v="Groceries"/>
    <m/>
    <m/>
    <m/>
    <m/>
    <m/>
    <m/>
    <m/>
    <x v="3690"/>
    <m/>
    <m/>
  </r>
  <r>
    <x v="69"/>
    <d v="2025-05-18T00:00:00"/>
    <s v="Cash Rewards Visa Signature - Ending in 5913"/>
    <x v="4158"/>
    <n v="44.65"/>
    <x v="5"/>
    <s v="Groceries"/>
    <m/>
    <m/>
    <m/>
    <m/>
    <m/>
    <m/>
    <m/>
    <x v="3690"/>
    <m/>
    <m/>
  </r>
  <r>
    <x v="66"/>
    <d v="2025-01-18T00:00:00"/>
    <s v="American Express"/>
    <x v="5538"/>
    <n v="44.39"/>
    <x v="1"/>
    <s v="Restaurants"/>
    <m/>
    <m/>
    <m/>
    <m/>
    <m/>
    <m/>
    <m/>
    <x v="4913"/>
    <m/>
    <m/>
  </r>
  <r>
    <x v="70"/>
    <d v="2025-02-26T00:00:00"/>
    <s v="American Express"/>
    <x v="5121"/>
    <n v="43.74"/>
    <x v="5"/>
    <s v="Groceries"/>
    <m/>
    <m/>
    <m/>
    <m/>
    <m/>
    <m/>
    <m/>
    <x v="4553"/>
    <m/>
    <m/>
  </r>
  <r>
    <x v="68"/>
    <d v="2025-03-10T00:00:00"/>
    <s v="American Express"/>
    <x v="5539"/>
    <n v="43.72"/>
    <x v="1"/>
    <s v="Restaurants"/>
    <m/>
    <m/>
    <m/>
    <m/>
    <m/>
    <m/>
    <m/>
    <x v="4914"/>
    <m/>
    <m/>
  </r>
  <r>
    <x v="67"/>
    <d v="2025-04-15T00:00:00"/>
    <s v="Discover"/>
    <x v="5540"/>
    <n v="43.52"/>
    <x v="0"/>
    <s v="Amazon"/>
    <m/>
    <m/>
    <m/>
    <m/>
    <m/>
    <m/>
    <m/>
    <x v="4915"/>
    <m/>
    <m/>
  </r>
  <r>
    <x v="67"/>
    <d v="2025-04-20T00:00:00"/>
    <s v="Cash Rewards Visa Signature - Ending in 5913"/>
    <x v="255"/>
    <n v="43.12"/>
    <x v="5"/>
    <s v="Groceries"/>
    <m/>
    <m/>
    <m/>
    <m/>
    <m/>
    <m/>
    <m/>
    <x v="253"/>
    <m/>
    <m/>
  </r>
  <r>
    <x v="70"/>
    <d v="2025-02-09T00:00:00"/>
    <s v="Cash Rewards Visa Signature - Ending in 5913"/>
    <x v="4158"/>
    <n v="43.01"/>
    <x v="5"/>
    <s v="Groceries"/>
    <m/>
    <m/>
    <m/>
    <m/>
    <m/>
    <m/>
    <m/>
    <x v="3690"/>
    <m/>
    <m/>
  </r>
  <r>
    <x v="69"/>
    <d v="2025-05-14T00:00:00"/>
    <s v="American Express"/>
    <x v="5541"/>
    <n v="42.98"/>
    <x v="1"/>
    <s v="Restaurants"/>
    <m/>
    <m/>
    <m/>
    <m/>
    <m/>
    <m/>
    <m/>
    <x v="4916"/>
    <m/>
    <m/>
  </r>
  <r>
    <x v="68"/>
    <d v="2025-03-17T00:00:00"/>
    <s v="American Express"/>
    <x v="5542"/>
    <n v="42.91"/>
    <x v="1"/>
    <s v="Restaurants"/>
    <m/>
    <m/>
    <m/>
    <m/>
    <m/>
    <m/>
    <m/>
    <x v="4917"/>
    <m/>
    <m/>
  </r>
  <r>
    <x v="69"/>
    <d v="2025-05-27T00:00:00"/>
    <s v="Cash Rewards Visa Signature - Ending in 5913"/>
    <x v="1881"/>
    <n v="42.6"/>
    <x v="5"/>
    <s v="Groceries"/>
    <m/>
    <m/>
    <m/>
    <m/>
    <m/>
    <m/>
    <m/>
    <x v="1734"/>
    <m/>
    <m/>
  </r>
  <r>
    <x v="69"/>
    <d v="2025-05-23T00:00:00"/>
    <s v="American Express"/>
    <x v="5121"/>
    <n v="42.28"/>
    <x v="5"/>
    <s v="Groceries"/>
    <m/>
    <m/>
    <m/>
    <m/>
    <m/>
    <m/>
    <m/>
    <x v="4553"/>
    <m/>
    <m/>
  </r>
  <r>
    <x v="70"/>
    <d v="2025-02-09T00:00:00"/>
    <s v="American Express"/>
    <x v="4997"/>
    <n v="41.87"/>
    <x v="1"/>
    <s v="Restaurants"/>
    <m/>
    <m/>
    <m/>
    <m/>
    <m/>
    <m/>
    <m/>
    <x v="4436"/>
    <m/>
    <m/>
  </r>
  <r>
    <x v="66"/>
    <d v="2025-01-19T00:00:00"/>
    <s v="Cash Rewards Visa Signature - Ending in 5913"/>
    <x v="4158"/>
    <n v="41.8"/>
    <x v="5"/>
    <s v="Groceries"/>
    <m/>
    <m/>
    <m/>
    <m/>
    <m/>
    <m/>
    <m/>
    <x v="3690"/>
    <m/>
    <m/>
  </r>
  <r>
    <x v="66"/>
    <d v="2025-01-09T00:00:00"/>
    <s v="Cash Rewards Visa Signature - Ending in 5913"/>
    <x v="4158"/>
    <n v="41.69"/>
    <x v="5"/>
    <s v="Groceries"/>
    <m/>
    <m/>
    <m/>
    <m/>
    <m/>
    <m/>
    <m/>
    <x v="3690"/>
    <m/>
    <m/>
  </r>
  <r>
    <x v="69"/>
    <d v="2025-05-27T00:00:00"/>
    <s v="American Express"/>
    <x v="5394"/>
    <n v="41.64"/>
    <x v="0"/>
    <s v="Amazon"/>
    <m/>
    <m/>
    <m/>
    <m/>
    <m/>
    <m/>
    <m/>
    <x v="4783"/>
    <m/>
    <m/>
  </r>
  <r>
    <x v="69"/>
    <d v="2025-05-14T00:00:00"/>
    <s v="Cash Rewards Visa Signature - Ending in 5913"/>
    <x v="5543"/>
    <n v="41.49"/>
    <x v="3"/>
    <s v="Delete"/>
    <s v="Delete"/>
    <m/>
    <m/>
    <m/>
    <m/>
    <m/>
    <m/>
    <x v="4918"/>
    <m/>
    <m/>
  </r>
  <r>
    <x v="66"/>
    <d v="2025-01-29T00:00:00"/>
    <s v="Cash Rewards Visa Signature - Ending in 5913"/>
    <x v="4158"/>
    <n v="41.32"/>
    <x v="5"/>
    <s v="Groceries"/>
    <m/>
    <m/>
    <m/>
    <m/>
    <m/>
    <m/>
    <m/>
    <x v="3690"/>
    <m/>
    <m/>
  </r>
  <r>
    <x v="68"/>
    <d v="2025-03-10T00:00:00"/>
    <s v="American Express"/>
    <x v="5544"/>
    <n v="40.950000000000003"/>
    <x v="3"/>
    <s v="Delete"/>
    <m/>
    <m/>
    <m/>
    <m/>
    <m/>
    <m/>
    <m/>
    <x v="4919"/>
    <m/>
    <m/>
  </r>
  <r>
    <x v="67"/>
    <d v="2025-04-06T00:00:00"/>
    <s v="American Express"/>
    <x v="5545"/>
    <n v="40.14"/>
    <x v="1"/>
    <s v="Restaurants"/>
    <m/>
    <m/>
    <m/>
    <m/>
    <m/>
    <m/>
    <m/>
    <x v="4920"/>
    <m/>
    <m/>
  </r>
  <r>
    <x v="66"/>
    <d v="2025-01-23T00:00:00"/>
    <s v="American Express"/>
    <x v="5546"/>
    <n v="40.049999999999997"/>
    <x v="3"/>
    <s v="Delete"/>
    <m/>
    <m/>
    <m/>
    <m/>
    <m/>
    <m/>
    <m/>
    <x v="4921"/>
    <m/>
    <m/>
  </r>
  <r>
    <x v="68"/>
    <d v="2025-03-27T00:00:00"/>
    <s v="Cash Rewards Visa Signature - Ending in 5913"/>
    <x v="1108"/>
    <n v="39.07"/>
    <x v="2"/>
    <s v="Transportation"/>
    <m/>
    <m/>
    <m/>
    <m/>
    <m/>
    <m/>
    <m/>
    <x v="1055"/>
    <m/>
    <m/>
  </r>
  <r>
    <x v="68"/>
    <d v="2025-03-09T00:00:00"/>
    <s v="Cash Rewards Visa Signature - Ending in 5913"/>
    <x v="5547"/>
    <n v="39"/>
    <x v="1"/>
    <s v="Restaurants"/>
    <m/>
    <m/>
    <m/>
    <m/>
    <m/>
    <m/>
    <m/>
    <x v="4922"/>
    <m/>
    <m/>
  </r>
  <r>
    <x v="69"/>
    <d v="2025-05-14T00:00:00"/>
    <s v="American Express"/>
    <x v="5394"/>
    <n v="38.99"/>
    <x v="0"/>
    <s v="Amazon"/>
    <m/>
    <m/>
    <m/>
    <m/>
    <m/>
    <m/>
    <m/>
    <x v="4783"/>
    <m/>
    <m/>
  </r>
  <r>
    <x v="69"/>
    <d v="2025-05-04T00:00:00"/>
    <s v="American Express"/>
    <x v="5548"/>
    <n v="38.93"/>
    <x v="8"/>
    <s v="Shopping"/>
    <m/>
    <m/>
    <m/>
    <m/>
    <m/>
    <m/>
    <m/>
    <x v="4923"/>
    <m/>
    <m/>
  </r>
  <r>
    <x v="69"/>
    <d v="2025-05-15T00:00:00"/>
    <s v="American Express"/>
    <x v="5050"/>
    <n v="38.74"/>
    <x v="3"/>
    <s v="Delete"/>
    <s v="Delete"/>
    <m/>
    <m/>
    <m/>
    <m/>
    <m/>
    <m/>
    <x v="4487"/>
    <m/>
    <m/>
  </r>
  <r>
    <x v="69"/>
    <d v="2025-05-23T00:00:00"/>
    <s v="American Express"/>
    <x v="5549"/>
    <n v="38.57"/>
    <x v="8"/>
    <s v="Restaurants"/>
    <s v="Exp - Shopping"/>
    <m/>
    <m/>
    <m/>
    <m/>
    <m/>
    <m/>
    <x v="4924"/>
    <m/>
    <m/>
  </r>
  <r>
    <x v="66"/>
    <d v="2025-01-24T00:00:00"/>
    <s v="American Express"/>
    <x v="5050"/>
    <n v="38.520000000000003"/>
    <x v="3"/>
    <s v="Delete"/>
    <m/>
    <m/>
    <m/>
    <m/>
    <m/>
    <m/>
    <m/>
    <x v="4487"/>
    <m/>
    <m/>
  </r>
  <r>
    <x v="69"/>
    <d v="2025-05-25T00:00:00"/>
    <s v="American Express"/>
    <x v="5550"/>
    <n v="38.03"/>
    <x v="1"/>
    <s v="Restaurants"/>
    <m/>
    <m/>
    <m/>
    <m/>
    <m/>
    <m/>
    <m/>
    <x v="4925"/>
    <m/>
    <m/>
  </r>
  <r>
    <x v="70"/>
    <d v="2025-02-23T00:00:00"/>
    <s v="American Express"/>
    <x v="5394"/>
    <n v="37.97"/>
    <x v="0"/>
    <s v="Amazon"/>
    <m/>
    <m/>
    <m/>
    <m/>
    <m/>
    <m/>
    <m/>
    <x v="4783"/>
    <m/>
    <m/>
  </r>
  <r>
    <x v="66"/>
    <d v="2025-01-02T00:00:00"/>
    <s v="American Express"/>
    <x v="5279"/>
    <n v="37.340000000000003"/>
    <x v="8"/>
    <s v="Shopping"/>
    <m/>
    <m/>
    <m/>
    <m/>
    <m/>
    <m/>
    <m/>
    <x v="4697"/>
    <m/>
    <m/>
  </r>
  <r>
    <x v="67"/>
    <d v="2025-04-11T00:00:00"/>
    <s v="American Express"/>
    <x v="5551"/>
    <n v="37.29"/>
    <x v="10"/>
    <s v="Entertainment"/>
    <m/>
    <m/>
    <m/>
    <m/>
    <m/>
    <m/>
    <m/>
    <x v="4926"/>
    <m/>
    <m/>
  </r>
  <r>
    <x v="67"/>
    <d v="2025-04-30T00:00:00"/>
    <s v="American Express"/>
    <x v="4998"/>
    <n v="36.96"/>
    <x v="1"/>
    <s v="Restaurants"/>
    <m/>
    <m/>
    <m/>
    <m/>
    <m/>
    <m/>
    <m/>
    <x v="4437"/>
    <m/>
    <m/>
  </r>
  <r>
    <x v="69"/>
    <d v="2025-05-04T00:00:00"/>
    <s v="Cash Rewards Visa Signature - Ending in 5913"/>
    <x v="4158"/>
    <n v="36.75"/>
    <x v="5"/>
    <s v="Groceries"/>
    <m/>
    <m/>
    <m/>
    <m/>
    <m/>
    <m/>
    <m/>
    <x v="3690"/>
    <m/>
    <m/>
  </r>
  <r>
    <x v="66"/>
    <d v="2025-01-26T00:00:00"/>
    <s v="Cash Rewards Visa Signature - Ending in 5913"/>
    <x v="1941"/>
    <n v="36.35"/>
    <x v="2"/>
    <s v="Transportation"/>
    <m/>
    <m/>
    <m/>
    <m/>
    <m/>
    <m/>
    <m/>
    <x v="1794"/>
    <m/>
    <m/>
  </r>
  <r>
    <x v="68"/>
    <d v="2025-03-19T00:00:00"/>
    <s v="Cash Rewards Visa Signature - Ending in 5913"/>
    <x v="5552"/>
    <n v="36.15"/>
    <x v="3"/>
    <s v="Delete"/>
    <m/>
    <m/>
    <m/>
    <m/>
    <m/>
    <m/>
    <m/>
    <x v="4927"/>
    <m/>
    <m/>
  </r>
  <r>
    <x v="69"/>
    <d v="2025-05-17T00:00:00"/>
    <s v="American Express"/>
    <x v="5553"/>
    <n v="35.83"/>
    <x v="1"/>
    <s v="Restaurants"/>
    <m/>
    <m/>
    <m/>
    <m/>
    <m/>
    <m/>
    <m/>
    <x v="4928"/>
    <m/>
    <m/>
  </r>
  <r>
    <x v="68"/>
    <d v="2025-03-10T00:00:00"/>
    <s v="American Express"/>
    <x v="5544"/>
    <n v="35.61"/>
    <x v="3"/>
    <s v="Delete"/>
    <m/>
    <m/>
    <m/>
    <m/>
    <m/>
    <m/>
    <m/>
    <x v="4919"/>
    <m/>
    <m/>
  </r>
  <r>
    <x v="67"/>
    <d v="2025-04-19T00:00:00"/>
    <s v="American Express"/>
    <x v="5554"/>
    <n v="35.5"/>
    <x v="5"/>
    <s v="Groceries"/>
    <m/>
    <m/>
    <m/>
    <m/>
    <m/>
    <m/>
    <m/>
    <x v="4929"/>
    <m/>
    <m/>
  </r>
  <r>
    <x v="69"/>
    <d v="2025-05-10T00:00:00"/>
    <s v="American Express"/>
    <x v="5534"/>
    <n v="35.21"/>
    <x v="19"/>
    <s v="Restaurants"/>
    <s v="Exp - House Maint"/>
    <m/>
    <m/>
    <m/>
    <m/>
    <m/>
    <m/>
    <x v="4909"/>
    <m/>
    <m/>
  </r>
  <r>
    <x v="66"/>
    <d v="2025-01-05T00:00:00"/>
    <s v="American Express"/>
    <x v="5555"/>
    <n v="35"/>
    <x v="8"/>
    <s v="Shopping"/>
    <m/>
    <m/>
    <m/>
    <m/>
    <m/>
    <m/>
    <m/>
    <x v="4930"/>
    <m/>
    <m/>
  </r>
  <r>
    <x v="66"/>
    <d v="2025-01-05T00:00:00"/>
    <s v="American Express"/>
    <x v="5555"/>
    <n v="35"/>
    <x v="8"/>
    <s v="Shopping"/>
    <m/>
    <m/>
    <m/>
    <m/>
    <m/>
    <m/>
    <m/>
    <x v="4930"/>
    <m/>
    <m/>
  </r>
  <r>
    <x v="69"/>
    <d v="2025-05-12T00:00:00"/>
    <s v="American Express"/>
    <x v="5556"/>
    <n v="34.56"/>
    <x v="3"/>
    <s v="Restaurants"/>
    <s v="Delete"/>
    <m/>
    <m/>
    <m/>
    <m/>
    <m/>
    <m/>
    <x v="4931"/>
    <m/>
    <m/>
  </r>
  <r>
    <x v="68"/>
    <d v="2025-03-11T00:00:00"/>
    <s v="Cash Rewards Visa Signature - Ending in 5913"/>
    <x v="5557"/>
    <n v="34"/>
    <x v="1"/>
    <s v="Restaurants"/>
    <m/>
    <m/>
    <m/>
    <m/>
    <m/>
    <m/>
    <m/>
    <x v="4932"/>
    <m/>
    <m/>
  </r>
  <r>
    <x v="69"/>
    <d v="2025-05-15T00:00:00"/>
    <s v="American Express"/>
    <x v="5050"/>
    <n v="33.130000000000003"/>
    <x v="3"/>
    <s v="Delete"/>
    <s v="Delete"/>
    <m/>
    <m/>
    <m/>
    <m/>
    <m/>
    <m/>
    <x v="4487"/>
    <m/>
    <m/>
  </r>
  <r>
    <x v="70"/>
    <d v="2025-02-09T00:00:00"/>
    <s v="American Express"/>
    <x v="5013"/>
    <n v="32.96"/>
    <x v="5"/>
    <s v="Groceries"/>
    <m/>
    <m/>
    <m/>
    <m/>
    <m/>
    <m/>
    <m/>
    <x v="4451"/>
    <m/>
    <m/>
  </r>
  <r>
    <x v="67"/>
    <d v="2025-04-08T00:00:00"/>
    <s v="American Express"/>
    <x v="5165"/>
    <n v="32.07"/>
    <x v="1"/>
    <s v="Restaurants"/>
    <m/>
    <m/>
    <m/>
    <m/>
    <m/>
    <m/>
    <m/>
    <x v="4597"/>
    <m/>
    <m/>
  </r>
  <r>
    <x v="68"/>
    <d v="2025-03-04T00:00:00"/>
    <s v="American Express"/>
    <x v="5558"/>
    <n v="32"/>
    <x v="8"/>
    <s v="Shopping"/>
    <m/>
    <m/>
    <m/>
    <m/>
    <m/>
    <m/>
    <m/>
    <x v="4933"/>
    <m/>
    <m/>
  </r>
  <r>
    <x v="67"/>
    <d v="2025-04-13T00:00:00"/>
    <s v="Cash Rewards Visa Signature - Ending in 5913"/>
    <x v="5559"/>
    <n v="32"/>
    <x v="1"/>
    <s v="Restaurants"/>
    <m/>
    <m/>
    <m/>
    <m/>
    <m/>
    <m/>
    <m/>
    <x v="4934"/>
    <m/>
    <m/>
  </r>
  <r>
    <x v="68"/>
    <d v="2025-03-08T00:00:00"/>
    <s v="American Express"/>
    <x v="5560"/>
    <n v="31.98"/>
    <x v="1"/>
    <s v="Restaurants"/>
    <m/>
    <m/>
    <m/>
    <m/>
    <m/>
    <m/>
    <m/>
    <x v="4935"/>
    <m/>
    <m/>
  </r>
  <r>
    <x v="70"/>
    <d v="2025-02-18T00:00:00"/>
    <s v="American Express"/>
    <x v="5561"/>
    <n v="31.41"/>
    <x v="19"/>
    <s v="Restaurants"/>
    <s v="Exp - House Maint"/>
    <m/>
    <m/>
    <m/>
    <m/>
    <m/>
    <m/>
    <x v="4936"/>
    <m/>
    <m/>
  </r>
  <r>
    <x v="66"/>
    <d v="2025-01-24T00:00:00"/>
    <s v="Cash Rewards Visa Signature - Ending in 5913"/>
    <x v="5562"/>
    <n v="31.33"/>
    <x v="0"/>
    <s v="Amazon"/>
    <m/>
    <m/>
    <m/>
    <m/>
    <m/>
    <m/>
    <m/>
    <x v="4937"/>
    <m/>
    <m/>
  </r>
  <r>
    <x v="69"/>
    <d v="2025-05-01T00:00:00"/>
    <s v="American Express"/>
    <x v="5563"/>
    <n v="31.13"/>
    <x v="1"/>
    <s v="Restaurants"/>
    <m/>
    <m/>
    <m/>
    <m/>
    <m/>
    <m/>
    <m/>
    <x v="4938"/>
    <m/>
    <m/>
  </r>
  <r>
    <x v="68"/>
    <d v="2025-03-18T00:00:00"/>
    <s v="Cash Rewards Visa Signature - Ending in 5913"/>
    <x v="1922"/>
    <n v="31"/>
    <x v="10"/>
    <s v="Entertainment"/>
    <m/>
    <m/>
    <m/>
    <m/>
    <m/>
    <m/>
    <m/>
    <x v="1775"/>
    <m/>
    <m/>
  </r>
  <r>
    <x v="69"/>
    <d v="2025-05-04T00:00:00"/>
    <s v="Cash Rewards Visa Signature - Ending in 5913"/>
    <x v="5564"/>
    <n v="30.99"/>
    <x v="1"/>
    <s v="Restaurants"/>
    <m/>
    <m/>
    <m/>
    <m/>
    <m/>
    <m/>
    <m/>
    <x v="4939"/>
    <m/>
    <m/>
  </r>
  <r>
    <x v="69"/>
    <d v="2025-05-28T00:00:00"/>
    <s v="American Express"/>
    <x v="5565"/>
    <n v="30.81"/>
    <x v="1"/>
    <s v="Restaurants"/>
    <m/>
    <m/>
    <m/>
    <m/>
    <m/>
    <m/>
    <m/>
    <x v="4940"/>
    <m/>
    <m/>
  </r>
  <r>
    <x v="67"/>
    <d v="2025-04-07T00:00:00"/>
    <s v="American Express"/>
    <x v="5417"/>
    <n v="30.31"/>
    <x v="0"/>
    <s v="Amazon"/>
    <m/>
    <m/>
    <m/>
    <m/>
    <m/>
    <m/>
    <m/>
    <x v="4805"/>
    <m/>
    <m/>
  </r>
  <r>
    <x v="66"/>
    <d v="2025-01-24T00:00:00"/>
    <s v="American Express"/>
    <x v="5020"/>
    <n v="30.2"/>
    <x v="3"/>
    <s v="Delete"/>
    <m/>
    <m/>
    <m/>
    <m/>
    <m/>
    <m/>
    <m/>
    <x v="4458"/>
    <m/>
    <m/>
  </r>
  <r>
    <x v="67"/>
    <d v="2025-04-16T00:00:00"/>
    <s v="Cash Rewards Visa Signature - Ending in 5913"/>
    <x v="5566"/>
    <n v="30.17"/>
    <x v="0"/>
    <s v="Amazon"/>
    <m/>
    <m/>
    <m/>
    <m/>
    <m/>
    <m/>
    <m/>
    <x v="4941"/>
    <m/>
    <m/>
  </r>
  <r>
    <x v="66"/>
    <d v="2025-01-13T00:00:00"/>
    <s v="American Express"/>
    <x v="5567"/>
    <n v="30"/>
    <x v="1"/>
    <s v="Restaurants"/>
    <m/>
    <m/>
    <m/>
    <m/>
    <m/>
    <m/>
    <m/>
    <x v="4942"/>
    <m/>
    <m/>
  </r>
  <r>
    <x v="70"/>
    <d v="2025-02-07T00:00:00"/>
    <s v="American Express"/>
    <x v="5516"/>
    <n v="30"/>
    <x v="19"/>
    <s v="House Maintenance"/>
    <m/>
    <m/>
    <m/>
    <m/>
    <m/>
    <m/>
    <m/>
    <x v="4893"/>
    <m/>
    <m/>
  </r>
  <r>
    <x v="67"/>
    <d v="2025-04-11T00:00:00"/>
    <s v="American Express"/>
    <x v="5568"/>
    <n v="30"/>
    <x v="8"/>
    <s v="Shopping"/>
    <m/>
    <m/>
    <m/>
    <m/>
    <m/>
    <m/>
    <m/>
    <x v="4943"/>
    <m/>
    <m/>
  </r>
  <r>
    <x v="69"/>
    <d v="2025-05-05T00:00:00"/>
    <s v="Powerplus - Ending in 8s30"/>
    <x v="1827"/>
    <n v="30"/>
    <x v="8"/>
    <s v="Shopping"/>
    <m/>
    <m/>
    <m/>
    <m/>
    <m/>
    <m/>
    <m/>
    <x v="1682"/>
    <m/>
    <m/>
  </r>
  <r>
    <x v="67"/>
    <d v="2025-04-22T00:00:00"/>
    <s v="Powerplus - Ending in 8s30"/>
    <x v="5569"/>
    <n v="400"/>
    <x v="4"/>
    <s v="Day Care"/>
    <m/>
    <m/>
    <m/>
    <m/>
    <m/>
    <m/>
    <m/>
    <x v="4602"/>
    <m/>
    <m/>
  </r>
  <r>
    <x v="67"/>
    <d v="2025-04-03T00:00:00"/>
    <s v="American Express"/>
    <x v="5570"/>
    <n v="29.82"/>
    <x v="1"/>
    <s v="Restaurants"/>
    <m/>
    <m/>
    <m/>
    <m/>
    <m/>
    <m/>
    <m/>
    <x v="4944"/>
    <m/>
    <m/>
  </r>
  <r>
    <x v="68"/>
    <d v="2025-03-06T00:00:00"/>
    <s v="American Express"/>
    <x v="5571"/>
    <n v="29.64"/>
    <x v="8"/>
    <s v="Shopping"/>
    <m/>
    <m/>
    <m/>
    <m/>
    <m/>
    <m/>
    <m/>
    <x v="4945"/>
    <m/>
    <m/>
  </r>
  <r>
    <x v="68"/>
    <d v="2025-03-10T00:00:00"/>
    <s v="Cash Rewards Visa Signature - Ending in 5913"/>
    <x v="99"/>
    <n v="29.41"/>
    <x v="11"/>
    <s v="Utilities"/>
    <m/>
    <m/>
    <m/>
    <m/>
    <m/>
    <m/>
    <m/>
    <x v="99"/>
    <m/>
    <m/>
  </r>
  <r>
    <x v="67"/>
    <d v="2025-04-11T00:00:00"/>
    <s v="Cash Rewards Visa Signature - Ending in 5913"/>
    <x v="99"/>
    <n v="29.41"/>
    <x v="11"/>
    <s v="Utilities"/>
    <m/>
    <m/>
    <m/>
    <m/>
    <m/>
    <m/>
    <m/>
    <x v="99"/>
    <m/>
    <m/>
  </r>
  <r>
    <x v="69"/>
    <d v="2025-05-11T00:00:00"/>
    <s v="Cash Rewards Visa Signature - Ending in 5913"/>
    <x v="99"/>
    <n v="29.41"/>
    <x v="11"/>
    <s v="Utilities"/>
    <m/>
    <m/>
    <m/>
    <m/>
    <m/>
    <m/>
    <m/>
    <x v="99"/>
    <m/>
    <m/>
  </r>
  <r>
    <x v="68"/>
    <d v="2025-03-19T00:00:00"/>
    <s v="American Express"/>
    <x v="5072"/>
    <n v="29.39"/>
    <x v="1"/>
    <s v="Restaurants"/>
    <m/>
    <m/>
    <m/>
    <m/>
    <m/>
    <m/>
    <m/>
    <x v="4508"/>
    <m/>
    <m/>
  </r>
  <r>
    <x v="67"/>
    <d v="2025-04-29T00:00:00"/>
    <s v="Powerplus - Ending in 8s30"/>
    <x v="5572"/>
    <n v="400"/>
    <x v="4"/>
    <s v="Day Care"/>
    <m/>
    <m/>
    <m/>
    <m/>
    <m/>
    <m/>
    <m/>
    <x v="4602"/>
    <m/>
    <m/>
  </r>
  <r>
    <x v="69"/>
    <d v="2025-05-10T00:00:00"/>
    <s v="American Express"/>
    <x v="5520"/>
    <n v="29.13"/>
    <x v="1"/>
    <s v="Restaurants"/>
    <m/>
    <m/>
    <m/>
    <m/>
    <m/>
    <m/>
    <m/>
    <x v="4897"/>
    <m/>
    <m/>
  </r>
  <r>
    <x v="69"/>
    <d v="2025-05-08T00:00:00"/>
    <s v="American Express"/>
    <x v="5573"/>
    <n v="29"/>
    <x v="1"/>
    <s v="Restaurants"/>
    <m/>
    <m/>
    <m/>
    <m/>
    <m/>
    <m/>
    <m/>
    <x v="4946"/>
    <m/>
    <m/>
  </r>
  <r>
    <x v="69"/>
    <d v="2025-05-26T00:00:00"/>
    <s v="American Express"/>
    <x v="5574"/>
    <n v="28.89"/>
    <x v="1"/>
    <s v="Restaurants"/>
    <m/>
    <m/>
    <m/>
    <m/>
    <m/>
    <m/>
    <m/>
    <x v="4947"/>
    <m/>
    <m/>
  </r>
  <r>
    <x v="68"/>
    <d v="2025-03-16T00:00:00"/>
    <s v="American Express"/>
    <x v="5575"/>
    <n v="28.73"/>
    <x v="1"/>
    <s v="Restaurants"/>
    <m/>
    <m/>
    <m/>
    <m/>
    <m/>
    <m/>
    <m/>
    <x v="4948"/>
    <m/>
    <m/>
  </r>
  <r>
    <x v="67"/>
    <d v="2025-04-02T00:00:00"/>
    <s v="Cash Rewards Visa Signature - Ending in 5913"/>
    <x v="5576"/>
    <n v="28.62"/>
    <x v="1"/>
    <s v="Restaurants"/>
    <m/>
    <m/>
    <m/>
    <m/>
    <m/>
    <m/>
    <m/>
    <x v="4949"/>
    <m/>
    <m/>
  </r>
  <r>
    <x v="69"/>
    <d v="2025-05-14T00:00:00"/>
    <s v="American Express"/>
    <x v="5577"/>
    <n v="28.48"/>
    <x v="3"/>
    <s v="Restaurants"/>
    <s v="Delete"/>
    <m/>
    <m/>
    <m/>
    <m/>
    <m/>
    <m/>
    <x v="4950"/>
    <m/>
    <m/>
  </r>
  <r>
    <x v="67"/>
    <d v="2025-04-13T00:00:00"/>
    <s v="American Express"/>
    <x v="5578"/>
    <n v="28.32"/>
    <x v="1"/>
    <s v="Restaurants"/>
    <m/>
    <m/>
    <m/>
    <m/>
    <m/>
    <m/>
    <m/>
    <x v="4951"/>
    <m/>
    <m/>
  </r>
  <r>
    <x v="69"/>
    <d v="2025-05-12T00:00:00"/>
    <s v="American Express"/>
    <x v="5579"/>
    <n v="28.24"/>
    <x v="3"/>
    <s v="Transportation"/>
    <s v="Delete"/>
    <m/>
    <m/>
    <m/>
    <m/>
    <m/>
    <m/>
    <x v="4952"/>
    <m/>
    <m/>
  </r>
  <r>
    <x v="67"/>
    <d v="2025-04-15T00:00:00"/>
    <s v="Cash Rewards Visa Signature - Ending in 5913"/>
    <x v="55"/>
    <n v="28.13"/>
    <x v="5"/>
    <s v="Groceries"/>
    <m/>
    <m/>
    <m/>
    <m/>
    <m/>
    <m/>
    <m/>
    <x v="55"/>
    <m/>
    <m/>
  </r>
  <r>
    <x v="66"/>
    <d v="2025-01-29T00:00:00"/>
    <s v="American Express"/>
    <x v="5573"/>
    <n v="28"/>
    <x v="1"/>
    <s v="Restaurants"/>
    <m/>
    <m/>
    <m/>
    <m/>
    <m/>
    <m/>
    <m/>
    <x v="4946"/>
    <m/>
    <m/>
  </r>
  <r>
    <x v="68"/>
    <d v="2025-03-08T00:00:00"/>
    <s v="American Express"/>
    <x v="5580"/>
    <n v="27.6"/>
    <x v="1"/>
    <s v="Delete"/>
    <s v="Exp - Restaurants"/>
    <m/>
    <m/>
    <m/>
    <m/>
    <m/>
    <m/>
    <x v="4953"/>
    <m/>
    <m/>
  </r>
  <r>
    <x v="69"/>
    <d v="2025-05-27T00:00:00"/>
    <s v="American Express"/>
    <x v="4817"/>
    <n v="27.56"/>
    <x v="3"/>
    <s v="Delete"/>
    <s v="Delete"/>
    <m/>
    <m/>
    <m/>
    <m/>
    <m/>
    <m/>
    <x v="4263"/>
    <m/>
    <m/>
  </r>
  <r>
    <x v="68"/>
    <d v="2025-03-16T00:00:00"/>
    <s v="American Express"/>
    <x v="5581"/>
    <n v="27.53"/>
    <x v="10"/>
    <s v="Restaurants"/>
    <s v="Exp - Entertainment"/>
    <m/>
    <m/>
    <m/>
    <m/>
    <m/>
    <m/>
    <x v="4954"/>
    <m/>
    <m/>
  </r>
  <r>
    <x v="66"/>
    <d v="2025-01-30T00:00:00"/>
    <s v="American Express"/>
    <x v="5268"/>
    <n v="27.5"/>
    <x v="8"/>
    <s v="Shopping"/>
    <m/>
    <m/>
    <m/>
    <m/>
    <m/>
    <m/>
    <m/>
    <x v="4689"/>
    <m/>
    <m/>
  </r>
  <r>
    <x v="67"/>
    <d v="2025-04-22T00:00:00"/>
    <s v="Cash Rewards Visa Signature - Ending in 5913"/>
    <x v="34"/>
    <n v="27.21"/>
    <x v="12"/>
    <s v="Target"/>
    <m/>
    <m/>
    <m/>
    <m/>
    <m/>
    <m/>
    <m/>
    <x v="34"/>
    <m/>
    <m/>
  </r>
  <r>
    <x v="70"/>
    <d v="2025-02-11T00:00:00"/>
    <s v="American Express"/>
    <x v="5109"/>
    <n v="27.08"/>
    <x v="5"/>
    <s v="Groceries"/>
    <m/>
    <m/>
    <m/>
    <m/>
    <m/>
    <m/>
    <m/>
    <x v="4541"/>
    <m/>
    <m/>
  </r>
  <r>
    <x v="68"/>
    <d v="2025-03-07T00:00:00"/>
    <s v="American Express"/>
    <x v="5582"/>
    <n v="27"/>
    <x v="1"/>
    <s v="Restaurants"/>
    <m/>
    <m/>
    <m/>
    <m/>
    <m/>
    <m/>
    <m/>
    <x v="4955"/>
    <m/>
    <m/>
  </r>
  <r>
    <x v="70"/>
    <d v="2025-02-19T00:00:00"/>
    <s v="American Express"/>
    <x v="5394"/>
    <n v="26.99"/>
    <x v="0"/>
    <s v="Amazon"/>
    <m/>
    <m/>
    <m/>
    <m/>
    <m/>
    <m/>
    <m/>
    <x v="4783"/>
    <m/>
    <m/>
  </r>
  <r>
    <x v="69"/>
    <d v="2025-05-07T00:00:00"/>
    <s v="American Express"/>
    <x v="5041"/>
    <n v="26.99"/>
    <x v="5"/>
    <s v="Groceries"/>
    <m/>
    <m/>
    <m/>
    <m/>
    <m/>
    <m/>
    <m/>
    <x v="4478"/>
    <m/>
    <m/>
  </r>
  <r>
    <x v="70"/>
    <d v="2025-02-14T00:00:00"/>
    <s v="American Express"/>
    <x v="5583"/>
    <n v="26.88"/>
    <x v="8"/>
    <s v="Shopping"/>
    <m/>
    <m/>
    <m/>
    <m/>
    <m/>
    <m/>
    <m/>
    <x v="4956"/>
    <m/>
    <m/>
  </r>
  <r>
    <x v="66"/>
    <d v="2025-01-19T00:00:00"/>
    <s v="American Express"/>
    <x v="5584"/>
    <n v="26.85"/>
    <x v="3"/>
    <s v="Delete"/>
    <m/>
    <m/>
    <m/>
    <m/>
    <m/>
    <m/>
    <m/>
    <x v="4957"/>
    <m/>
    <m/>
  </r>
  <r>
    <x v="69"/>
    <d v="2025-05-12T00:00:00"/>
    <s v="American Express"/>
    <x v="5445"/>
    <n v="26.48"/>
    <x v="3"/>
    <s v="Delete"/>
    <s v="Delete"/>
    <m/>
    <m/>
    <m/>
    <m/>
    <m/>
    <m/>
    <x v="4829"/>
    <m/>
    <m/>
  </r>
  <r>
    <x v="67"/>
    <d v="2025-04-11T00:00:00"/>
    <s v="American Express"/>
    <x v="5394"/>
    <n v="26.12"/>
    <x v="0"/>
    <s v="Amazon"/>
    <m/>
    <m/>
    <m/>
    <m/>
    <m/>
    <m/>
    <m/>
    <x v="4783"/>
    <m/>
    <m/>
  </r>
  <r>
    <x v="69"/>
    <d v="2025-05-10T00:00:00"/>
    <s v="American Express"/>
    <x v="5585"/>
    <n v="25.93"/>
    <x v="1"/>
    <s v="Restaurants"/>
    <m/>
    <m/>
    <m/>
    <m/>
    <m/>
    <m/>
    <m/>
    <x v="4958"/>
    <m/>
    <m/>
  </r>
  <r>
    <x v="67"/>
    <d v="2025-04-10T00:00:00"/>
    <s v="Discover"/>
    <x v="5586"/>
    <n v="25.78"/>
    <x v="0"/>
    <s v="Amazon"/>
    <m/>
    <m/>
    <m/>
    <m/>
    <m/>
    <m/>
    <m/>
    <x v="4959"/>
    <m/>
    <m/>
  </r>
  <r>
    <x v="69"/>
    <d v="2025-05-13T00:00:00"/>
    <s v="American Express"/>
    <x v="5394"/>
    <n v="25.68"/>
    <x v="0"/>
    <s v="Amazon"/>
    <m/>
    <m/>
    <m/>
    <m/>
    <m/>
    <m/>
    <m/>
    <x v="4783"/>
    <m/>
    <m/>
  </r>
  <r>
    <x v="66"/>
    <d v="2025-01-12T00:00:00"/>
    <s v="Cash Rewards Visa Signature - Ending in 5913"/>
    <x v="99"/>
    <n v="25.6"/>
    <x v="11"/>
    <s v="Utilities"/>
    <m/>
    <m/>
    <m/>
    <m/>
    <m/>
    <m/>
    <m/>
    <x v="99"/>
    <m/>
    <m/>
  </r>
  <r>
    <x v="70"/>
    <d v="2025-02-10T00:00:00"/>
    <s v="Cash Rewards Visa Signature - Ending in 5913"/>
    <x v="99"/>
    <n v="25.6"/>
    <x v="11"/>
    <s v="Utilities"/>
    <m/>
    <m/>
    <m/>
    <m/>
    <m/>
    <m/>
    <m/>
    <x v="99"/>
    <m/>
    <m/>
  </r>
  <r>
    <x v="67"/>
    <d v="2025-04-22T00:00:00"/>
    <s v="Cash Rewards Visa Signature - Ending in 5913"/>
    <x v="4158"/>
    <n v="25.59"/>
    <x v="5"/>
    <s v="Groceries"/>
    <m/>
    <m/>
    <m/>
    <m/>
    <m/>
    <m/>
    <m/>
    <x v="3690"/>
    <m/>
    <m/>
  </r>
  <r>
    <x v="68"/>
    <d v="2025-03-24T00:00:00"/>
    <s v="Discover"/>
    <x v="5587"/>
    <n v="25.49"/>
    <x v="0"/>
    <s v="Amazon"/>
    <m/>
    <m/>
    <m/>
    <m/>
    <m/>
    <m/>
    <m/>
    <x v="4960"/>
    <m/>
    <m/>
  </r>
  <r>
    <x v="69"/>
    <d v="2025-05-16T00:00:00"/>
    <s v="American Express"/>
    <x v="5588"/>
    <n v="25.38"/>
    <x v="3"/>
    <s v="Delete"/>
    <s v="Delete"/>
    <m/>
    <m/>
    <m/>
    <m/>
    <m/>
    <m/>
    <x v="4961"/>
    <m/>
    <m/>
  </r>
  <r>
    <x v="66"/>
    <d v="2025-01-24T00:00:00"/>
    <s v="Powerplus - Ending in 8s30"/>
    <x v="1849"/>
    <n v="25.05"/>
    <x v="8"/>
    <s v="Shopping"/>
    <m/>
    <m/>
    <m/>
    <m/>
    <m/>
    <m/>
    <m/>
    <x v="1704"/>
    <m/>
    <m/>
  </r>
  <r>
    <x v="68"/>
    <d v="2025-03-21T00:00:00"/>
    <s v="American Express"/>
    <x v="5589"/>
    <n v="25.04"/>
    <x v="3"/>
    <s v="Delete"/>
    <s v="Delete"/>
    <m/>
    <m/>
    <m/>
    <m/>
    <m/>
    <m/>
    <x v="4962"/>
    <m/>
    <m/>
  </r>
  <r>
    <x v="66"/>
    <d v="2025-01-24T00:00:00"/>
    <s v="American Express"/>
    <x v="5590"/>
    <n v="25.01"/>
    <x v="3"/>
    <s v="Delete"/>
    <m/>
    <m/>
    <m/>
    <m/>
    <m/>
    <m/>
    <m/>
    <x v="4963"/>
    <m/>
    <m/>
  </r>
  <r>
    <x v="66"/>
    <d v="2025-01-10T00:00:00"/>
    <s v="American Express"/>
    <x v="5591"/>
    <n v="25"/>
    <x v="3"/>
    <s v="Restaurants"/>
    <s v="Delete"/>
    <m/>
    <m/>
    <m/>
    <m/>
    <m/>
    <m/>
    <x v="4964"/>
    <m/>
    <m/>
  </r>
  <r>
    <x v="66"/>
    <d v="2025-01-30T00:00:00"/>
    <s v="Cash Rewards Visa Signature - Ending in 5913"/>
    <x v="579"/>
    <n v="25"/>
    <x v="1"/>
    <s v="Restaurants"/>
    <m/>
    <m/>
    <m/>
    <m/>
    <m/>
    <m/>
    <m/>
    <x v="560"/>
    <m/>
    <m/>
  </r>
  <r>
    <x v="67"/>
    <d v="2025-04-27T00:00:00"/>
    <s v="Cash Rewards Visa Signature - Ending in 5913"/>
    <x v="579"/>
    <n v="25"/>
    <x v="1"/>
    <s v="Restaurants"/>
    <m/>
    <m/>
    <m/>
    <m/>
    <m/>
    <m/>
    <m/>
    <x v="560"/>
    <m/>
    <m/>
  </r>
  <r>
    <x v="69"/>
    <d v="2025-05-04T00:00:00"/>
    <s v="Cash Rewards Visa Signature - Ending in 5913"/>
    <x v="579"/>
    <n v="25"/>
    <x v="1"/>
    <s v="Restaurants"/>
    <m/>
    <m/>
    <m/>
    <m/>
    <m/>
    <m/>
    <m/>
    <x v="560"/>
    <m/>
    <m/>
  </r>
  <r>
    <x v="69"/>
    <d v="2025-05-18T00:00:00"/>
    <s v="Cash Rewards Visa Signature - Ending in 5913"/>
    <x v="579"/>
    <n v="25"/>
    <x v="1"/>
    <s v="Restaurants"/>
    <m/>
    <m/>
    <m/>
    <m/>
    <m/>
    <m/>
    <m/>
    <x v="560"/>
    <m/>
    <m/>
  </r>
  <r>
    <x v="69"/>
    <d v="2025-05-29T00:00:00"/>
    <s v="Cash Rewards Visa Signature - Ending in 5913"/>
    <x v="5592"/>
    <n v="25"/>
    <x v="1"/>
    <s v="Restaurants"/>
    <m/>
    <m/>
    <m/>
    <m/>
    <m/>
    <m/>
    <m/>
    <x v="4965"/>
    <m/>
    <m/>
  </r>
  <r>
    <x v="70"/>
    <d v="2025-02-21T00:00:00"/>
    <s v="Discover"/>
    <x v="5593"/>
    <n v="24.99"/>
    <x v="0"/>
    <s v="Amazon"/>
    <m/>
    <m/>
    <m/>
    <m/>
    <m/>
    <m/>
    <m/>
    <x v="4966"/>
    <m/>
    <m/>
  </r>
  <r>
    <x v="69"/>
    <d v="2025-05-05T00:00:00"/>
    <s v="Cash Rewards Visa Signature - Ending in 5913"/>
    <x v="4158"/>
    <n v="24.94"/>
    <x v="5"/>
    <s v="Groceries"/>
    <m/>
    <m/>
    <m/>
    <m/>
    <m/>
    <m/>
    <m/>
    <x v="3690"/>
    <m/>
    <m/>
  </r>
  <r>
    <x v="67"/>
    <d v="2025-04-03T00:00:00"/>
    <s v="American Express"/>
    <x v="5594"/>
    <n v="24.77"/>
    <x v="3"/>
    <s v="Delete"/>
    <m/>
    <m/>
    <m/>
    <m/>
    <m/>
    <m/>
    <m/>
    <x v="4967"/>
    <m/>
    <m/>
  </r>
  <r>
    <x v="68"/>
    <d v="2025-03-07T00:00:00"/>
    <s v="American Express"/>
    <x v="5595"/>
    <n v="24.69"/>
    <x v="0"/>
    <s v="Amazon"/>
    <m/>
    <m/>
    <m/>
    <m/>
    <m/>
    <m/>
    <m/>
    <x v="4968"/>
    <m/>
    <m/>
  </r>
  <r>
    <x v="67"/>
    <d v="2025-04-02T00:00:00"/>
    <s v="American Express"/>
    <x v="5596"/>
    <n v="24.59"/>
    <x v="3"/>
    <s v="Delete"/>
    <m/>
    <m/>
    <m/>
    <m/>
    <m/>
    <m/>
    <m/>
    <x v="4969"/>
    <m/>
    <m/>
  </r>
  <r>
    <x v="70"/>
    <d v="2025-02-06T00:00:00"/>
    <s v="American Express"/>
    <x v="5597"/>
    <n v="24.54"/>
    <x v="1"/>
    <s v="Restaurants"/>
    <m/>
    <m/>
    <m/>
    <m/>
    <m/>
    <m/>
    <m/>
    <x v="4970"/>
    <m/>
    <m/>
  </r>
  <r>
    <x v="68"/>
    <d v="2025-03-24T00:00:00"/>
    <s v="American Express"/>
    <x v="5598"/>
    <n v="24.49"/>
    <x v="12"/>
    <s v="Restaurants"/>
    <s v="Exp - Target"/>
    <m/>
    <m/>
    <m/>
    <m/>
    <m/>
    <m/>
    <x v="4971"/>
    <m/>
    <m/>
  </r>
  <r>
    <x v="68"/>
    <d v="2025-03-24T00:00:00"/>
    <s v="Cash Rewards Visa Signature - Ending in 5913"/>
    <x v="5599"/>
    <n v="24.43"/>
    <x v="1"/>
    <s v="Restaurants"/>
    <m/>
    <m/>
    <m/>
    <m/>
    <m/>
    <m/>
    <m/>
    <x v="4972"/>
    <m/>
    <m/>
  </r>
  <r>
    <x v="67"/>
    <d v="2025-04-15T00:00:00"/>
    <s v="American Express"/>
    <x v="5600"/>
    <n v="24.4"/>
    <x v="20"/>
    <s v="Dry Cleaning"/>
    <m/>
    <m/>
    <m/>
    <m/>
    <m/>
    <m/>
    <m/>
    <x v="4973"/>
    <m/>
    <m/>
  </r>
  <r>
    <x v="69"/>
    <d v="2025-05-27T00:00:00"/>
    <s v="American Express"/>
    <x v="5601"/>
    <n v="24.29"/>
    <x v="3"/>
    <s v="Restaurants"/>
    <s v="Delete"/>
    <m/>
    <m/>
    <m/>
    <m/>
    <m/>
    <m/>
    <x v="4974"/>
    <m/>
    <m/>
  </r>
  <r>
    <x v="68"/>
    <d v="2025-03-17T00:00:00"/>
    <s v="American Express"/>
    <x v="5602"/>
    <n v="24.23"/>
    <x v="3"/>
    <s v="Entertainment"/>
    <s v="Delete"/>
    <m/>
    <m/>
    <m/>
    <m/>
    <m/>
    <m/>
    <x v="4975"/>
    <m/>
    <m/>
  </r>
  <r>
    <x v="70"/>
    <d v="2025-02-23T00:00:00"/>
    <s v="American Express"/>
    <x v="5603"/>
    <n v="24"/>
    <x v="8"/>
    <s v="Shopping"/>
    <m/>
    <m/>
    <m/>
    <m/>
    <m/>
    <m/>
    <m/>
    <x v="4976"/>
    <m/>
    <m/>
  </r>
  <r>
    <x v="66"/>
    <d v="2025-01-07T00:00:00"/>
    <s v="American Express"/>
    <x v="5604"/>
    <n v="23.88"/>
    <x v="24"/>
    <s v="Travel"/>
    <m/>
    <m/>
    <m/>
    <m/>
    <m/>
    <m/>
    <m/>
    <x v="4977"/>
    <m/>
    <m/>
  </r>
  <r>
    <x v="69"/>
    <d v="2025-05-01T00:00:00"/>
    <s v="Powerplus - Ending in 8s30"/>
    <x v="5605"/>
    <n v="650"/>
    <x v="9"/>
    <s v="Day Care"/>
    <s v="Sav - College Savings"/>
    <m/>
    <m/>
    <m/>
    <m/>
    <m/>
    <m/>
    <x v="4491"/>
    <m/>
    <m/>
  </r>
  <r>
    <x v="66"/>
    <d v="2025-01-10T00:00:00"/>
    <s v="American Express"/>
    <x v="5606"/>
    <n v="23.82"/>
    <x v="3"/>
    <s v="Restaurants"/>
    <s v="Delete"/>
    <m/>
    <m/>
    <m/>
    <m/>
    <m/>
    <m/>
    <x v="4978"/>
    <m/>
    <m/>
  </r>
  <r>
    <x v="66"/>
    <d v="2025-01-19T00:00:00"/>
    <s v="American Express"/>
    <x v="5607"/>
    <n v="23.81"/>
    <x v="1"/>
    <s v="Restaurants"/>
    <m/>
    <m/>
    <m/>
    <m/>
    <m/>
    <m/>
    <m/>
    <x v="4979"/>
    <m/>
    <m/>
  </r>
  <r>
    <x v="68"/>
    <d v="2025-03-18T00:00:00"/>
    <s v="Cash Rewards Visa Signature - Ending in 5913"/>
    <x v="5608"/>
    <n v="23.57"/>
    <x v="3"/>
    <s v="Delete"/>
    <s v="Delete"/>
    <m/>
    <m/>
    <m/>
    <m/>
    <m/>
    <m/>
    <x v="4980"/>
    <m/>
    <m/>
  </r>
  <r>
    <x v="67"/>
    <d v="2025-04-11T00:00:00"/>
    <s v="American Express"/>
    <x v="5609"/>
    <n v="23.48"/>
    <x v="1"/>
    <s v="Restaurants"/>
    <m/>
    <m/>
    <m/>
    <m/>
    <m/>
    <m/>
    <m/>
    <x v="4981"/>
    <m/>
    <m/>
  </r>
  <r>
    <x v="70"/>
    <d v="2025-02-06T00:00:00"/>
    <s v="American Express"/>
    <x v="5610"/>
    <n v="23.3"/>
    <x v="1"/>
    <s v="Restaurants"/>
    <m/>
    <m/>
    <m/>
    <m/>
    <m/>
    <m/>
    <m/>
    <x v="4982"/>
    <m/>
    <m/>
  </r>
  <r>
    <x v="68"/>
    <d v="2025-03-07T00:00:00"/>
    <s v="American Express"/>
    <x v="5611"/>
    <n v="23.28"/>
    <x v="6"/>
    <s v="Rent"/>
    <m/>
    <m/>
    <m/>
    <m/>
    <m/>
    <m/>
    <m/>
    <x v="4983"/>
    <m/>
    <m/>
  </r>
  <r>
    <x v="68"/>
    <d v="2025-03-08T00:00:00"/>
    <s v="American Express"/>
    <x v="5612"/>
    <n v="23"/>
    <x v="24"/>
    <s v="Travel"/>
    <m/>
    <m/>
    <m/>
    <m/>
    <m/>
    <m/>
    <m/>
    <x v="4984"/>
    <m/>
    <m/>
  </r>
  <r>
    <x v="67"/>
    <d v="2025-04-17T00:00:00"/>
    <s v="American Express"/>
    <x v="5613"/>
    <n v="23"/>
    <x v="8"/>
    <s v="Shopping"/>
    <m/>
    <m/>
    <m/>
    <m/>
    <m/>
    <m/>
    <m/>
    <x v="4985"/>
    <m/>
    <m/>
  </r>
  <r>
    <x v="67"/>
    <d v="2025-04-20T00:00:00"/>
    <s v="American Express"/>
    <x v="5394"/>
    <n v="22.95"/>
    <x v="0"/>
    <s v="Amazon"/>
    <m/>
    <m/>
    <m/>
    <m/>
    <m/>
    <m/>
    <m/>
    <x v="4783"/>
    <m/>
    <m/>
  </r>
  <r>
    <x v="66"/>
    <d v="2025-01-06T00:00:00"/>
    <s v="Powerplus - Ending in 8s30"/>
    <x v="1849"/>
    <n v="22.75"/>
    <x v="8"/>
    <s v="Shopping"/>
    <m/>
    <m/>
    <m/>
    <m/>
    <m/>
    <m/>
    <m/>
    <x v="1704"/>
    <m/>
    <m/>
  </r>
  <r>
    <x v="68"/>
    <d v="2025-03-16T00:00:00"/>
    <s v="American Express"/>
    <x v="5614"/>
    <n v="22.67"/>
    <x v="3"/>
    <s v="Delete"/>
    <m/>
    <m/>
    <m/>
    <m/>
    <m/>
    <m/>
    <m/>
    <x v="4986"/>
    <m/>
    <m/>
  </r>
  <r>
    <x v="66"/>
    <d v="2025-01-11T00:00:00"/>
    <s v="American Express"/>
    <x v="5013"/>
    <n v="22.58"/>
    <x v="5"/>
    <s v="Groceries"/>
    <m/>
    <m/>
    <m/>
    <m/>
    <m/>
    <m/>
    <m/>
    <x v="4451"/>
    <m/>
    <m/>
  </r>
  <r>
    <x v="67"/>
    <d v="2025-04-15T00:00:00"/>
    <s v="American Express"/>
    <x v="5615"/>
    <n v="22.49"/>
    <x v="19"/>
    <s v="Restaurants"/>
    <s v="Exp - House Maint"/>
    <m/>
    <m/>
    <m/>
    <m/>
    <m/>
    <m/>
    <x v="4987"/>
    <m/>
    <m/>
  </r>
  <r>
    <x v="69"/>
    <d v="2025-05-17T00:00:00"/>
    <s v="American Express"/>
    <x v="5616"/>
    <n v="22.48"/>
    <x v="1"/>
    <s v="Restaurants"/>
    <m/>
    <m/>
    <m/>
    <m/>
    <m/>
    <m/>
    <m/>
    <x v="4988"/>
    <m/>
    <m/>
  </r>
  <r>
    <x v="68"/>
    <d v="2025-03-05T00:00:00"/>
    <s v="Cash Rewards Visa Signature - Ending in 5913"/>
    <x v="5617"/>
    <n v="22"/>
    <x v="1"/>
    <s v="Restaurants"/>
    <m/>
    <m/>
    <m/>
    <m/>
    <m/>
    <m/>
    <m/>
    <x v="4989"/>
    <m/>
    <m/>
  </r>
  <r>
    <x v="67"/>
    <d v="2025-04-18T00:00:00"/>
    <s v="Cash Rewards Visa Signature - Ending in 5913"/>
    <x v="34"/>
    <n v="21.93"/>
    <x v="12"/>
    <s v="Target"/>
    <m/>
    <m/>
    <m/>
    <m/>
    <m/>
    <m/>
    <m/>
    <x v="34"/>
    <m/>
    <m/>
  </r>
  <r>
    <x v="70"/>
    <d v="2025-02-12T00:00:00"/>
    <s v="Powerplus - Ending in 8s30"/>
    <x v="1849"/>
    <n v="21.79"/>
    <x v="8"/>
    <s v="Shopping"/>
    <m/>
    <m/>
    <m/>
    <m/>
    <m/>
    <m/>
    <m/>
    <x v="1704"/>
    <m/>
    <m/>
  </r>
  <r>
    <x v="66"/>
    <d v="2025-01-23T00:00:00"/>
    <s v="American Express"/>
    <x v="5618"/>
    <n v="21.75"/>
    <x v="1"/>
    <s v="Restaurants"/>
    <m/>
    <m/>
    <m/>
    <m/>
    <m/>
    <m/>
    <m/>
    <x v="4990"/>
    <m/>
    <m/>
  </r>
  <r>
    <x v="67"/>
    <d v="2025-04-15T00:00:00"/>
    <s v="Cash Rewards Visa Signature - Ending in 5913"/>
    <x v="34"/>
    <n v="21.69"/>
    <x v="12"/>
    <s v="Target"/>
    <m/>
    <m/>
    <m/>
    <m/>
    <m/>
    <m/>
    <m/>
    <x v="34"/>
    <m/>
    <m/>
  </r>
  <r>
    <x v="68"/>
    <d v="2025-03-25T00:00:00"/>
    <s v="American Express"/>
    <x v="5394"/>
    <n v="21.66"/>
    <x v="0"/>
    <s v="Amazon"/>
    <m/>
    <m/>
    <m/>
    <m/>
    <m/>
    <m/>
    <m/>
    <x v="4783"/>
    <m/>
    <m/>
  </r>
  <r>
    <x v="70"/>
    <d v="2025-02-04T00:00:00"/>
    <s v="Discover"/>
    <x v="5619"/>
    <n v="21.63"/>
    <x v="0"/>
    <s v="Amazon"/>
    <m/>
    <m/>
    <m/>
    <m/>
    <m/>
    <m/>
    <m/>
    <x v="4991"/>
    <m/>
    <m/>
  </r>
  <r>
    <x v="66"/>
    <d v="2025-01-27T00:00:00"/>
    <s v="American Express"/>
    <x v="5620"/>
    <n v="21.58"/>
    <x v="11"/>
    <s v="Utilities"/>
    <m/>
    <m/>
    <m/>
    <m/>
    <m/>
    <m/>
    <m/>
    <x v="4992"/>
    <m/>
    <m/>
  </r>
  <r>
    <x v="66"/>
    <d v="2025-01-24T00:00:00"/>
    <s v="American Express"/>
    <x v="5556"/>
    <n v="21.57"/>
    <x v="3"/>
    <s v="Restaurants"/>
    <s v="Delete"/>
    <m/>
    <m/>
    <m/>
    <m/>
    <m/>
    <m/>
    <x v="4931"/>
    <m/>
    <m/>
  </r>
  <r>
    <x v="66"/>
    <d v="2025-01-10T00:00:00"/>
    <s v="Cash Rewards Visa Signature - Ending in 5913"/>
    <x v="1941"/>
    <n v="21.53"/>
    <x v="3"/>
    <s v="Transportation"/>
    <s v="Delete"/>
    <m/>
    <m/>
    <m/>
    <m/>
    <m/>
    <m/>
    <x v="1794"/>
    <m/>
    <m/>
  </r>
  <r>
    <x v="69"/>
    <d v="2025-05-11T00:00:00"/>
    <s v="American Express"/>
    <x v="5179"/>
    <n v="21.26"/>
    <x v="10"/>
    <s v="Entertainment"/>
    <m/>
    <m/>
    <m/>
    <m/>
    <m/>
    <m/>
    <m/>
    <x v="4611"/>
    <m/>
    <m/>
  </r>
  <r>
    <x v="69"/>
    <d v="2025-05-03T00:00:00"/>
    <s v="American Express"/>
    <x v="5362"/>
    <n v="23.88"/>
    <x v="4"/>
    <s v="Day Care"/>
    <m/>
    <m/>
    <m/>
    <m/>
    <m/>
    <m/>
    <m/>
    <x v="4769"/>
    <m/>
    <m/>
  </r>
  <r>
    <x v="66"/>
    <d v="2025-01-12T00:00:00"/>
    <s v="Cash Rewards Visa Signature - Ending in 5913"/>
    <x v="1941"/>
    <n v="20.95"/>
    <x v="3"/>
    <s v="Transportation"/>
    <s v="Delete"/>
    <m/>
    <m/>
    <m/>
    <m/>
    <m/>
    <m/>
    <x v="1794"/>
    <m/>
    <m/>
  </r>
  <r>
    <x v="69"/>
    <d v="2025-05-03T00:00:00"/>
    <s v="American Express"/>
    <x v="5394"/>
    <n v="20.61"/>
    <x v="0"/>
    <s v="Amazon"/>
    <m/>
    <m/>
    <m/>
    <m/>
    <m/>
    <m/>
    <m/>
    <x v="4783"/>
    <m/>
    <m/>
  </r>
  <r>
    <x v="68"/>
    <d v="2025-03-20T00:00:00"/>
    <s v="Cash Rewards Visa Signature - Ending in 5913"/>
    <x v="5621"/>
    <n v="20.51"/>
    <x v="1"/>
    <s v="Restaurants"/>
    <m/>
    <m/>
    <m/>
    <m/>
    <m/>
    <m/>
    <m/>
    <x v="4993"/>
    <m/>
    <m/>
  </r>
  <r>
    <x v="67"/>
    <d v="2025-04-19T00:00:00"/>
    <s v="American Express"/>
    <x v="5441"/>
    <n v="20.47"/>
    <x v="1"/>
    <s v="Restaurants"/>
    <m/>
    <m/>
    <m/>
    <m/>
    <m/>
    <m/>
    <m/>
    <x v="4825"/>
    <m/>
    <m/>
  </r>
  <r>
    <x v="70"/>
    <d v="2025-02-14T00:00:00"/>
    <s v="Powerplus - Ending in 8s30"/>
    <x v="1849"/>
    <n v="20.34"/>
    <x v="8"/>
    <s v="Shopping"/>
    <m/>
    <m/>
    <m/>
    <m/>
    <m/>
    <m/>
    <m/>
    <x v="1704"/>
    <m/>
    <m/>
  </r>
  <r>
    <x v="68"/>
    <d v="2025-03-10T00:00:00"/>
    <s v="Cash Rewards Visa Signature - Ending in 5913"/>
    <x v="1583"/>
    <n v="20.02"/>
    <x v="1"/>
    <s v="Restaurants"/>
    <m/>
    <m/>
    <m/>
    <m/>
    <m/>
    <m/>
    <m/>
    <x v="1481"/>
    <m/>
    <m/>
  </r>
  <r>
    <x v="66"/>
    <d v="2025-01-03T00:00:00"/>
    <s v="American Express"/>
    <x v="5622"/>
    <n v="20"/>
    <x v="1"/>
    <s v="Restaurants"/>
    <m/>
    <m/>
    <m/>
    <m/>
    <m/>
    <m/>
    <m/>
    <x v="4994"/>
    <m/>
    <m/>
  </r>
  <r>
    <x v="66"/>
    <d v="2025-01-14T00:00:00"/>
    <s v="American Express"/>
    <x v="4988"/>
    <n v="20"/>
    <x v="11"/>
    <s v="Utilities"/>
    <m/>
    <m/>
    <m/>
    <m/>
    <m/>
    <m/>
    <m/>
    <x v="4427"/>
    <m/>
    <m/>
  </r>
  <r>
    <x v="70"/>
    <d v="2025-02-14T00:00:00"/>
    <s v="American Express"/>
    <x v="4988"/>
    <n v="20"/>
    <x v="11"/>
    <s v="Utilities"/>
    <m/>
    <m/>
    <m/>
    <m/>
    <m/>
    <m/>
    <m/>
    <x v="4427"/>
    <m/>
    <m/>
  </r>
  <r>
    <x v="68"/>
    <d v="2025-03-10T00:00:00"/>
    <s v="American Express"/>
    <x v="5623"/>
    <n v="20"/>
    <x v="1"/>
    <s v="Restaurants"/>
    <m/>
    <m/>
    <m/>
    <m/>
    <m/>
    <m/>
    <m/>
    <x v="4995"/>
    <m/>
    <m/>
  </r>
  <r>
    <x v="68"/>
    <d v="2025-03-14T00:00:00"/>
    <s v="American Express"/>
    <x v="4988"/>
    <n v="20"/>
    <x v="11"/>
    <s v="Utilities"/>
    <m/>
    <m/>
    <m/>
    <m/>
    <m/>
    <m/>
    <m/>
    <x v="4427"/>
    <m/>
    <m/>
  </r>
  <r>
    <x v="68"/>
    <d v="2025-03-18T00:00:00"/>
    <s v="Powerplus - Ending in 8s30"/>
    <x v="1827"/>
    <n v="20"/>
    <x v="8"/>
    <s v="Shopping"/>
    <m/>
    <m/>
    <m/>
    <m/>
    <m/>
    <m/>
    <m/>
    <x v="1682"/>
    <m/>
    <m/>
  </r>
  <r>
    <x v="67"/>
    <d v="2025-04-14T00:00:00"/>
    <s v="American Express"/>
    <x v="4988"/>
    <n v="20"/>
    <x v="11"/>
    <s v="Utilities"/>
    <m/>
    <m/>
    <m/>
    <m/>
    <m/>
    <m/>
    <m/>
    <x v="4427"/>
    <m/>
    <m/>
  </r>
  <r>
    <x v="69"/>
    <d v="2025-05-14T00:00:00"/>
    <s v="American Express"/>
    <x v="4988"/>
    <n v="20"/>
    <x v="11"/>
    <s v="Utilities"/>
    <m/>
    <m/>
    <m/>
    <m/>
    <m/>
    <m/>
    <m/>
    <x v="4427"/>
    <m/>
    <m/>
  </r>
  <r>
    <x v="69"/>
    <d v="2025-05-04T00:00:00"/>
    <s v="Discover"/>
    <x v="4845"/>
    <n v="19.989999999999998"/>
    <x v="1"/>
    <s v="Restaurants"/>
    <m/>
    <m/>
    <m/>
    <m/>
    <m/>
    <m/>
    <m/>
    <x v="4290"/>
    <m/>
    <m/>
  </r>
  <r>
    <x v="68"/>
    <d v="2025-03-17T00:00:00"/>
    <s v="American Express"/>
    <x v="5624"/>
    <n v="19.649999999999999"/>
    <x v="3"/>
    <s v="Delete"/>
    <s v="Delete"/>
    <m/>
    <m/>
    <m/>
    <m/>
    <m/>
    <m/>
    <x v="4996"/>
    <m/>
    <m/>
  </r>
  <r>
    <x v="66"/>
    <d v="2025-01-28T00:00:00"/>
    <s v="American Express"/>
    <x v="5625"/>
    <n v="19.62"/>
    <x v="1"/>
    <s v="Restaurants"/>
    <m/>
    <m/>
    <m/>
    <m/>
    <m/>
    <m/>
    <m/>
    <x v="4997"/>
    <m/>
    <m/>
  </r>
  <r>
    <x v="66"/>
    <d v="2025-01-10T00:00:00"/>
    <s v="Cash Rewards Visa Signature - Ending in 5913"/>
    <x v="1941"/>
    <n v="19.190000000000001"/>
    <x v="3"/>
    <s v="Transportation"/>
    <s v="Delete"/>
    <m/>
    <m/>
    <m/>
    <m/>
    <m/>
    <m/>
    <x v="1794"/>
    <m/>
    <m/>
  </r>
  <r>
    <x v="68"/>
    <d v="2025-03-18T00:00:00"/>
    <s v="Cash Rewards Visa Signature - Ending in 5913"/>
    <x v="5626"/>
    <n v="19.04"/>
    <x v="3"/>
    <s v="Restaurants"/>
    <s v="Delete"/>
    <m/>
    <m/>
    <m/>
    <m/>
    <m/>
    <m/>
    <x v="4998"/>
    <m/>
    <m/>
  </r>
  <r>
    <x v="68"/>
    <d v="2025-03-10T00:00:00"/>
    <s v="Discover"/>
    <x v="5627"/>
    <n v="18.93"/>
    <x v="0"/>
    <s v="Amazon"/>
    <m/>
    <m/>
    <m/>
    <m/>
    <m/>
    <m/>
    <m/>
    <x v="4999"/>
    <m/>
    <m/>
  </r>
  <r>
    <x v="66"/>
    <d v="2025-01-20T00:00:00"/>
    <s v="American Express"/>
    <x v="5628"/>
    <n v="18.8"/>
    <x v="1"/>
    <s v="Restaurants"/>
    <m/>
    <m/>
    <m/>
    <m/>
    <m/>
    <m/>
    <m/>
    <x v="5000"/>
    <m/>
    <m/>
  </r>
  <r>
    <x v="66"/>
    <d v="2025-01-10T00:00:00"/>
    <s v="American Express"/>
    <x v="5629"/>
    <n v="18.670000000000002"/>
    <x v="3"/>
    <s v="Delete"/>
    <s v="Delete"/>
    <m/>
    <m/>
    <m/>
    <m/>
    <m/>
    <m/>
    <x v="5001"/>
    <m/>
    <m/>
  </r>
  <r>
    <x v="66"/>
    <d v="2025-01-20T00:00:00"/>
    <s v="American Express"/>
    <x v="5556"/>
    <n v="18.57"/>
    <x v="3"/>
    <s v="Restaurants"/>
    <s v="Delete"/>
    <m/>
    <m/>
    <m/>
    <m/>
    <m/>
    <m/>
    <x v="4931"/>
    <m/>
    <m/>
  </r>
  <r>
    <x v="66"/>
    <d v="2025-01-31T00:00:00"/>
    <s v="American Express"/>
    <x v="5287"/>
    <n v="18.260000000000002"/>
    <x v="1"/>
    <s v="Restaurants"/>
    <m/>
    <m/>
    <m/>
    <m/>
    <m/>
    <m/>
    <m/>
    <x v="4704"/>
    <m/>
    <m/>
  </r>
  <r>
    <x v="68"/>
    <d v="2025-03-09T00:00:00"/>
    <s v="Cash Rewards Visa Signature - Ending in 5913"/>
    <x v="5630"/>
    <n v="18.170000000000002"/>
    <x v="1"/>
    <s v="Restaurants"/>
    <m/>
    <m/>
    <m/>
    <m/>
    <m/>
    <m/>
    <m/>
    <x v="5002"/>
    <m/>
    <m/>
  </r>
  <r>
    <x v="70"/>
    <d v="2025-02-02T00:00:00"/>
    <s v="American Express"/>
    <x v="5631"/>
    <n v="18.07"/>
    <x v="8"/>
    <s v="Restaurants"/>
    <s v="Exp - Shopping"/>
    <m/>
    <m/>
    <m/>
    <m/>
    <m/>
    <m/>
    <x v="5003"/>
    <m/>
    <m/>
  </r>
  <r>
    <x v="66"/>
    <d v="2025-01-31T00:00:00"/>
    <s v="Powerplus - Ending in 8s30"/>
    <x v="1849"/>
    <n v="17.43"/>
    <x v="8"/>
    <s v="Shopping"/>
    <m/>
    <m/>
    <m/>
    <m/>
    <m/>
    <m/>
    <m/>
    <x v="1704"/>
    <m/>
    <m/>
  </r>
  <r>
    <x v="67"/>
    <d v="2025-04-15T00:00:00"/>
    <s v="Powerplus - Ending in 8s30"/>
    <x v="1849"/>
    <n v="17.43"/>
    <x v="8"/>
    <s v="Shopping"/>
    <m/>
    <m/>
    <m/>
    <m/>
    <m/>
    <m/>
    <m/>
    <x v="1704"/>
    <m/>
    <m/>
  </r>
  <r>
    <x v="69"/>
    <d v="2025-05-15T00:00:00"/>
    <s v="Powerplus - Ending in 8s30"/>
    <x v="1849"/>
    <n v="17.43"/>
    <x v="8"/>
    <s v="Shopping"/>
    <m/>
    <m/>
    <m/>
    <m/>
    <m/>
    <m/>
    <m/>
    <x v="1704"/>
    <m/>
    <m/>
  </r>
  <r>
    <x v="66"/>
    <d v="2025-01-07T00:00:00"/>
    <s v="American Express"/>
    <x v="5394"/>
    <n v="17.329999999999998"/>
    <x v="0"/>
    <s v="Amazon"/>
    <m/>
    <m/>
    <m/>
    <m/>
    <m/>
    <m/>
    <m/>
    <x v="4783"/>
    <m/>
    <m/>
  </r>
  <r>
    <x v="66"/>
    <d v="2025-01-25T00:00:00"/>
    <s v="American Express"/>
    <x v="5632"/>
    <n v="17.3"/>
    <x v="1"/>
    <s v="Restaurants"/>
    <m/>
    <m/>
    <m/>
    <m/>
    <m/>
    <m/>
    <m/>
    <x v="5004"/>
    <m/>
    <m/>
  </r>
  <r>
    <x v="69"/>
    <d v="2025-05-16T00:00:00"/>
    <s v="American Express"/>
    <x v="5050"/>
    <n v="16.829999999999998"/>
    <x v="3"/>
    <s v="Delete"/>
    <s v="Delete"/>
    <m/>
    <m/>
    <m/>
    <m/>
    <m/>
    <m/>
    <x v="4487"/>
    <m/>
    <m/>
  </r>
  <r>
    <x v="66"/>
    <d v="2025-01-23T00:00:00"/>
    <s v="American Express"/>
    <x v="5633"/>
    <n v="16.79"/>
    <x v="3"/>
    <s v="Restaurants"/>
    <s v="Delete"/>
    <m/>
    <m/>
    <m/>
    <m/>
    <m/>
    <m/>
    <x v="5005"/>
    <m/>
    <m/>
  </r>
  <r>
    <x v="67"/>
    <d v="2025-04-15T00:00:00"/>
    <s v="Discover"/>
    <x v="5634"/>
    <n v="16.53"/>
    <x v="5"/>
    <s v="Groceries"/>
    <m/>
    <m/>
    <m/>
    <m/>
    <m/>
    <m/>
    <m/>
    <x v="5006"/>
    <m/>
    <m/>
  </r>
  <r>
    <x v="66"/>
    <d v="2025-01-22T00:00:00"/>
    <s v="American Express"/>
    <x v="5635"/>
    <n v="16.45"/>
    <x v="3"/>
    <s v="Delete"/>
    <m/>
    <m/>
    <m/>
    <m/>
    <m/>
    <m/>
    <m/>
    <x v="5007"/>
    <m/>
    <m/>
  </r>
  <r>
    <x v="67"/>
    <d v="2025-04-15T00:00:00"/>
    <s v="Cash Rewards Visa Signature - Ending in 5913"/>
    <x v="34"/>
    <n v="16.32"/>
    <x v="12"/>
    <s v="Target"/>
    <m/>
    <m/>
    <m/>
    <m/>
    <m/>
    <m/>
    <m/>
    <x v="34"/>
    <m/>
    <m/>
  </r>
  <r>
    <x v="69"/>
    <d v="2025-05-11T00:00:00"/>
    <s v="American Express"/>
    <x v="5615"/>
    <n v="16.28"/>
    <x v="19"/>
    <s v="Restaurants"/>
    <s v="Exp - House Maint"/>
    <m/>
    <m/>
    <m/>
    <m/>
    <m/>
    <m/>
    <x v="4987"/>
    <m/>
    <m/>
  </r>
  <r>
    <x v="69"/>
    <d v="2025-05-27T00:00:00"/>
    <s v="American Express"/>
    <x v="5196"/>
    <n v="16.100000000000001"/>
    <x v="1"/>
    <s v="Restaurants"/>
    <m/>
    <m/>
    <m/>
    <m/>
    <m/>
    <m/>
    <m/>
    <x v="4627"/>
    <m/>
    <m/>
  </r>
  <r>
    <x v="66"/>
    <d v="2025-01-01T00:00:00"/>
    <s v="American Express"/>
    <x v="4991"/>
    <n v="16.010000000000002"/>
    <x v="0"/>
    <s v="Amazon"/>
    <m/>
    <m/>
    <m/>
    <m/>
    <m/>
    <m/>
    <m/>
    <x v="4430"/>
    <m/>
    <m/>
  </r>
  <r>
    <x v="66"/>
    <d v="2025-01-18T00:00:00"/>
    <s v="American Express"/>
    <x v="5636"/>
    <n v="16"/>
    <x v="1"/>
    <s v="Restaurants"/>
    <m/>
    <m/>
    <m/>
    <m/>
    <m/>
    <m/>
    <m/>
    <x v="5008"/>
    <m/>
    <m/>
  </r>
  <r>
    <x v="69"/>
    <d v="2025-05-26T00:00:00"/>
    <s v="Cash Rewards Visa Signature - Ending in 5913"/>
    <x v="5637"/>
    <n v="16"/>
    <x v="1"/>
    <s v="Restaurants"/>
    <m/>
    <m/>
    <m/>
    <m/>
    <m/>
    <m/>
    <m/>
    <x v="5009"/>
    <m/>
    <m/>
  </r>
  <r>
    <x v="69"/>
    <d v="2025-05-08T00:00:00"/>
    <s v="Cash Rewards Visa Signature - Ending in 5913"/>
    <x v="5638"/>
    <n v="15.87"/>
    <x v="1"/>
    <s v="Restaurants"/>
    <m/>
    <m/>
    <m/>
    <m/>
    <m/>
    <m/>
    <m/>
    <x v="5010"/>
    <m/>
    <m/>
  </r>
  <r>
    <x v="69"/>
    <d v="2025-05-23T00:00:00"/>
    <s v="American Express"/>
    <x v="5639"/>
    <n v="15.49"/>
    <x v="1"/>
    <s v="Restaurants"/>
    <m/>
    <m/>
    <m/>
    <m/>
    <m/>
    <m/>
    <m/>
    <x v="5011"/>
    <m/>
    <m/>
  </r>
  <r>
    <x v="68"/>
    <d v="2025-03-07T00:00:00"/>
    <s v="American Express"/>
    <x v="5640"/>
    <n v="15.42"/>
    <x v="0"/>
    <s v="Amazon"/>
    <m/>
    <m/>
    <m/>
    <m/>
    <m/>
    <m/>
    <m/>
    <x v="5012"/>
    <m/>
    <m/>
  </r>
  <r>
    <x v="67"/>
    <d v="2025-04-14T00:00:00"/>
    <s v="Discover"/>
    <x v="5641"/>
    <n v="15.23"/>
    <x v="0"/>
    <s v="Amazon"/>
    <m/>
    <m/>
    <m/>
    <m/>
    <m/>
    <m/>
    <m/>
    <x v="5013"/>
    <m/>
    <m/>
  </r>
  <r>
    <x v="70"/>
    <d v="2025-02-19T00:00:00"/>
    <s v="American Express"/>
    <x v="5642"/>
    <n v="15.1"/>
    <x v="1"/>
    <s v="Restaurants"/>
    <m/>
    <m/>
    <m/>
    <m/>
    <m/>
    <m/>
    <m/>
    <x v="5014"/>
    <m/>
    <m/>
  </r>
  <r>
    <x v="68"/>
    <d v="2025-03-19T00:00:00"/>
    <s v="Powerplus - Ending in 8s30"/>
    <x v="1827"/>
    <n v="15"/>
    <x v="8"/>
    <s v="Shopping"/>
    <m/>
    <m/>
    <m/>
    <m/>
    <m/>
    <m/>
    <m/>
    <x v="1682"/>
    <m/>
    <m/>
  </r>
  <r>
    <x v="67"/>
    <d v="2025-04-20T00:00:00"/>
    <s v="Cash Rewards Visa Signature - Ending in 5913"/>
    <x v="579"/>
    <n v="15"/>
    <x v="1"/>
    <s v="Restaurants"/>
    <m/>
    <m/>
    <m/>
    <m/>
    <m/>
    <m/>
    <m/>
    <x v="560"/>
    <m/>
    <m/>
  </r>
  <r>
    <x v="69"/>
    <d v="2025-05-03T00:00:00"/>
    <s v="American Express"/>
    <x v="5500"/>
    <n v="15"/>
    <x v="1"/>
    <s v="Restaurants"/>
    <m/>
    <m/>
    <m/>
    <m/>
    <m/>
    <m/>
    <m/>
    <x v="4878"/>
    <m/>
    <m/>
  </r>
  <r>
    <x v="69"/>
    <d v="2025-05-25T00:00:00"/>
    <s v="Cash Rewards Visa Signature - Ending in 5913"/>
    <x v="5643"/>
    <n v="15"/>
    <x v="1"/>
    <s v="Restaurants"/>
    <m/>
    <m/>
    <m/>
    <m/>
    <m/>
    <m/>
    <m/>
    <x v="5015"/>
    <m/>
    <m/>
  </r>
  <r>
    <x v="67"/>
    <d v="2025-04-17T00:00:00"/>
    <s v="American Express"/>
    <x v="5196"/>
    <n v="14.99"/>
    <x v="1"/>
    <s v="Restaurants"/>
    <m/>
    <m/>
    <m/>
    <m/>
    <m/>
    <m/>
    <m/>
    <x v="4627"/>
    <m/>
    <m/>
  </r>
  <r>
    <x v="70"/>
    <d v="2025-02-12T00:00:00"/>
    <s v="American Express"/>
    <x v="5644"/>
    <n v="14.69"/>
    <x v="1"/>
    <s v="Restaurants"/>
    <m/>
    <m/>
    <m/>
    <m/>
    <m/>
    <m/>
    <m/>
    <x v="5016"/>
    <m/>
    <m/>
  </r>
  <r>
    <x v="68"/>
    <d v="2025-03-31T00:00:00"/>
    <s v="Cash Rewards Visa Signature - Ending in 5913"/>
    <x v="5645"/>
    <n v="14.42"/>
    <x v="1"/>
    <s v="Restaurants"/>
    <m/>
    <m/>
    <m/>
    <m/>
    <m/>
    <m/>
    <m/>
    <x v="5017"/>
    <m/>
    <m/>
  </r>
  <r>
    <x v="67"/>
    <d v="2025-04-16T00:00:00"/>
    <s v="Discover"/>
    <x v="5646"/>
    <n v="14.14"/>
    <x v="0"/>
    <s v="Amazon"/>
    <m/>
    <m/>
    <m/>
    <m/>
    <m/>
    <m/>
    <m/>
    <x v="5018"/>
    <m/>
    <m/>
  </r>
  <r>
    <x v="67"/>
    <d v="2025-04-22T00:00:00"/>
    <s v="Cash Rewards Visa Signature - Ending in 5913"/>
    <x v="668"/>
    <n v="14.1"/>
    <x v="8"/>
    <s v="Shopping"/>
    <m/>
    <m/>
    <m/>
    <m/>
    <m/>
    <m/>
    <m/>
    <x v="646"/>
    <m/>
    <m/>
  </r>
  <r>
    <x v="68"/>
    <d v="2025-03-17T00:00:00"/>
    <s v="American Express"/>
    <x v="5647"/>
    <n v="14.07"/>
    <x v="24"/>
    <s v="Travel"/>
    <m/>
    <m/>
    <m/>
    <m/>
    <m/>
    <m/>
    <m/>
    <x v="5019"/>
    <m/>
    <m/>
  </r>
  <r>
    <x v="67"/>
    <d v="2025-04-07T00:00:00"/>
    <s v="Cash Rewards Visa Signature - Ending in 5913"/>
    <x v="4530"/>
    <n v="14"/>
    <x v="24"/>
    <s v="Travel"/>
    <m/>
    <m/>
    <m/>
    <m/>
    <m/>
    <m/>
    <m/>
    <x v="4018"/>
    <m/>
    <m/>
  </r>
  <r>
    <x v="69"/>
    <d v="2025-05-14T00:00:00"/>
    <s v="Cash Rewards Visa Signature - Ending in 5913"/>
    <x v="5648"/>
    <n v="13.83"/>
    <x v="3"/>
    <s v="Delete"/>
    <m/>
    <m/>
    <m/>
    <m/>
    <m/>
    <m/>
    <m/>
    <x v="5020"/>
    <m/>
    <m/>
  </r>
  <r>
    <x v="70"/>
    <d v="2025-02-12T00:00:00"/>
    <s v="American Express"/>
    <x v="5287"/>
    <n v="13.79"/>
    <x v="1"/>
    <s v="Restaurants"/>
    <m/>
    <m/>
    <m/>
    <m/>
    <m/>
    <m/>
    <m/>
    <x v="4704"/>
    <m/>
    <m/>
  </r>
  <r>
    <x v="68"/>
    <d v="2025-03-23T00:00:00"/>
    <s v="Cash Rewards Visa Signature - Ending in 5913"/>
    <x v="1590"/>
    <n v="13.76"/>
    <x v="3"/>
    <s v="Delete"/>
    <m/>
    <m/>
    <m/>
    <m/>
    <m/>
    <m/>
    <m/>
    <x v="1488"/>
    <m/>
    <m/>
  </r>
  <r>
    <x v="66"/>
    <d v="2025-01-27T00:00:00"/>
    <s v="American Express"/>
    <x v="5287"/>
    <n v="13.74"/>
    <x v="1"/>
    <s v="Restaurants"/>
    <m/>
    <m/>
    <m/>
    <m/>
    <m/>
    <m/>
    <m/>
    <x v="4704"/>
    <m/>
    <m/>
  </r>
  <r>
    <x v="66"/>
    <d v="2025-01-07T00:00:00"/>
    <s v="American Express"/>
    <x v="5584"/>
    <n v="13.73"/>
    <x v="3"/>
    <s v="Delete"/>
    <m/>
    <m/>
    <m/>
    <m/>
    <m/>
    <m/>
    <m/>
    <x v="4957"/>
    <m/>
    <m/>
  </r>
  <r>
    <x v="69"/>
    <d v="2025-05-01T00:00:00"/>
    <s v="American Express"/>
    <x v="5649"/>
    <n v="13.57"/>
    <x v="3"/>
    <s v="Delete"/>
    <m/>
    <m/>
    <m/>
    <m/>
    <m/>
    <m/>
    <m/>
    <x v="5021"/>
    <m/>
    <m/>
  </r>
  <r>
    <x v="68"/>
    <d v="2025-03-03T00:00:00"/>
    <s v="Powerplus - Ending in 8s30"/>
    <x v="1849"/>
    <n v="13.07"/>
    <x v="8"/>
    <s v="Shopping"/>
    <m/>
    <m/>
    <m/>
    <m/>
    <m/>
    <m/>
    <m/>
    <x v="1704"/>
    <m/>
    <m/>
  </r>
  <r>
    <x v="67"/>
    <d v="2025-04-02T00:00:00"/>
    <s v="Powerplus - Ending in 8s30"/>
    <x v="1849"/>
    <n v="13.07"/>
    <x v="8"/>
    <s v="Shopping"/>
    <m/>
    <m/>
    <m/>
    <m/>
    <m/>
    <m/>
    <m/>
    <x v="1704"/>
    <m/>
    <m/>
  </r>
  <r>
    <x v="69"/>
    <d v="2025-05-05T00:00:00"/>
    <s v="Powerplus - Ending in 8s30"/>
    <x v="1849"/>
    <n v="13.07"/>
    <x v="8"/>
    <s v="Shopping"/>
    <m/>
    <m/>
    <m/>
    <m/>
    <m/>
    <m/>
    <m/>
    <x v="1704"/>
    <m/>
    <m/>
  </r>
  <r>
    <x v="69"/>
    <d v="2025-05-08T00:00:00"/>
    <s v="American Express"/>
    <x v="5561"/>
    <n v="12.43"/>
    <x v="1"/>
    <s v="Restaurants"/>
    <m/>
    <m/>
    <m/>
    <m/>
    <m/>
    <m/>
    <m/>
    <x v="4936"/>
    <m/>
    <m/>
  </r>
  <r>
    <x v="67"/>
    <d v="2025-04-22T00:00:00"/>
    <s v="American Express"/>
    <x v="5600"/>
    <n v="12.2"/>
    <x v="20"/>
    <s v="Dry Cleaning"/>
    <m/>
    <m/>
    <m/>
    <m/>
    <m/>
    <m/>
    <m/>
    <x v="4973"/>
    <m/>
    <m/>
  </r>
  <r>
    <x v="68"/>
    <d v="2025-03-09T00:00:00"/>
    <s v="American Express"/>
    <x v="5650"/>
    <n v="12.02"/>
    <x v="19"/>
    <s v="House Maintenance"/>
    <m/>
    <m/>
    <m/>
    <m/>
    <m/>
    <m/>
    <m/>
    <x v="5022"/>
    <m/>
    <m/>
  </r>
  <r>
    <x v="69"/>
    <d v="2025-05-24T00:00:00"/>
    <s v="American Express"/>
    <x v="5651"/>
    <n v="12"/>
    <x v="1"/>
    <s v="Restaurants"/>
    <m/>
    <m/>
    <m/>
    <m/>
    <m/>
    <m/>
    <m/>
    <x v="5023"/>
    <m/>
    <m/>
  </r>
  <r>
    <x v="69"/>
    <d v="2025-05-03T00:00:00"/>
    <s v="American Express"/>
    <x v="5394"/>
    <n v="11.97"/>
    <x v="0"/>
    <s v="Amazon"/>
    <m/>
    <m/>
    <m/>
    <m/>
    <m/>
    <m/>
    <m/>
    <x v="4783"/>
    <m/>
    <m/>
  </r>
  <r>
    <x v="68"/>
    <d v="2025-03-21T00:00:00"/>
    <s v="American Express"/>
    <x v="5652"/>
    <n v="11.95"/>
    <x v="3"/>
    <s v="Delete"/>
    <m/>
    <m/>
    <m/>
    <m/>
    <m/>
    <m/>
    <m/>
    <x v="5024"/>
    <m/>
    <m/>
  </r>
  <r>
    <x v="67"/>
    <d v="2025-04-06T00:00:00"/>
    <s v="American Express"/>
    <x v="5653"/>
    <n v="11.85"/>
    <x v="2"/>
    <s v="Transportation"/>
    <m/>
    <m/>
    <m/>
    <m/>
    <m/>
    <m/>
    <m/>
    <x v="5025"/>
    <m/>
    <m/>
  </r>
  <r>
    <x v="68"/>
    <d v="2025-03-08T00:00:00"/>
    <s v="American Express"/>
    <x v="5654"/>
    <n v="11.8"/>
    <x v="24"/>
    <s v="Travel"/>
    <m/>
    <m/>
    <m/>
    <m/>
    <m/>
    <m/>
    <m/>
    <x v="5026"/>
    <m/>
    <m/>
  </r>
  <r>
    <x v="67"/>
    <d v="2025-04-18T00:00:00"/>
    <s v="American Express"/>
    <x v="5655"/>
    <n v="11.75"/>
    <x v="1"/>
    <s v="Restaurants"/>
    <m/>
    <m/>
    <m/>
    <m/>
    <m/>
    <m/>
    <m/>
    <x v="5027"/>
    <m/>
    <m/>
  </r>
  <r>
    <x v="69"/>
    <d v="2025-05-27T00:00:00"/>
    <s v="American Express"/>
    <x v="4986"/>
    <n v="11.37"/>
    <x v="1"/>
    <s v="Restaurants"/>
    <m/>
    <m/>
    <m/>
    <m/>
    <m/>
    <m/>
    <m/>
    <x v="4425"/>
    <m/>
    <m/>
  </r>
  <r>
    <x v="68"/>
    <d v="2025-03-27T00:00:00"/>
    <s v="Cash Rewards Visa Signature - Ending in 5913"/>
    <x v="237"/>
    <n v="11.32"/>
    <x v="1"/>
    <s v="Restaurants"/>
    <m/>
    <m/>
    <m/>
    <m/>
    <m/>
    <m/>
    <m/>
    <x v="235"/>
    <m/>
    <m/>
  </r>
  <r>
    <x v="68"/>
    <d v="2025-03-01T00:00:00"/>
    <s v="American Express"/>
    <x v="5656"/>
    <n v="11.27"/>
    <x v="3"/>
    <s v="Delete"/>
    <m/>
    <m/>
    <m/>
    <m/>
    <m/>
    <m/>
    <m/>
    <x v="5028"/>
    <m/>
    <m/>
  </r>
  <r>
    <x v="67"/>
    <d v="2025-04-16T00:00:00"/>
    <s v="American Express"/>
    <x v="1861"/>
    <n v="11.2"/>
    <x v="3"/>
    <s v="Delete"/>
    <m/>
    <m/>
    <m/>
    <m/>
    <m/>
    <m/>
    <m/>
    <x v="1715"/>
    <m/>
    <m/>
  </r>
  <r>
    <x v="69"/>
    <d v="2025-05-01T00:00:00"/>
    <s v="American Express"/>
    <x v="1861"/>
    <n v="11.2"/>
    <x v="3"/>
    <s v="Delete"/>
    <m/>
    <m/>
    <m/>
    <m/>
    <m/>
    <m/>
    <m/>
    <x v="1715"/>
    <m/>
    <m/>
  </r>
  <r>
    <x v="69"/>
    <d v="2025-05-01T00:00:00"/>
    <s v="American Express"/>
    <x v="1861"/>
    <n v="11.2"/>
    <x v="3"/>
    <s v="Delete"/>
    <m/>
    <m/>
    <m/>
    <m/>
    <m/>
    <m/>
    <m/>
    <x v="1715"/>
    <m/>
    <m/>
  </r>
  <r>
    <x v="69"/>
    <d v="2025-05-01T00:00:00"/>
    <s v="American Express"/>
    <x v="1861"/>
    <n v="11.2"/>
    <x v="3"/>
    <s v="Delete"/>
    <m/>
    <m/>
    <m/>
    <m/>
    <m/>
    <m/>
    <m/>
    <x v="1715"/>
    <m/>
    <m/>
  </r>
  <r>
    <x v="66"/>
    <d v="2025-01-03T00:00:00"/>
    <s v="American Express"/>
    <x v="5657"/>
    <n v="11.17"/>
    <x v="19"/>
    <s v="House Maintenance"/>
    <m/>
    <m/>
    <m/>
    <m/>
    <m/>
    <m/>
    <m/>
    <x v="5029"/>
    <m/>
    <m/>
  </r>
  <r>
    <x v="66"/>
    <d v="2025-01-21T00:00:00"/>
    <s v="Cash Rewards Visa Signature - Ending in 5913"/>
    <x v="5658"/>
    <n v="11"/>
    <x v="19"/>
    <s v="House Maintenance"/>
    <m/>
    <m/>
    <m/>
    <m/>
    <m/>
    <m/>
    <m/>
    <x v="5030"/>
    <m/>
    <m/>
  </r>
  <r>
    <x v="70"/>
    <d v="2025-02-21T00:00:00"/>
    <s v="Cash Rewards Visa Signature - Ending in 5913"/>
    <x v="5659"/>
    <n v="11"/>
    <x v="19"/>
    <s v="House Maintenance"/>
    <m/>
    <m/>
    <m/>
    <m/>
    <m/>
    <m/>
    <m/>
    <x v="5031"/>
    <m/>
    <m/>
  </r>
  <r>
    <x v="68"/>
    <d v="2025-03-21T00:00:00"/>
    <s v="Cash Rewards Visa Signature - Ending in 5913"/>
    <x v="5660"/>
    <n v="11"/>
    <x v="19"/>
    <s v="House Maintenance"/>
    <m/>
    <m/>
    <m/>
    <m/>
    <m/>
    <m/>
    <m/>
    <x v="5032"/>
    <m/>
    <m/>
  </r>
  <r>
    <x v="68"/>
    <d v="2025-03-31T00:00:00"/>
    <s v="American Express"/>
    <x v="5470"/>
    <n v="11"/>
    <x v="1"/>
    <s v="Restaurants"/>
    <m/>
    <m/>
    <m/>
    <m/>
    <m/>
    <m/>
    <m/>
    <x v="4850"/>
    <m/>
    <m/>
  </r>
  <r>
    <x v="67"/>
    <d v="2025-04-21T00:00:00"/>
    <s v="Cash Rewards Visa Signature - Ending in 5913"/>
    <x v="5661"/>
    <n v="11"/>
    <x v="19"/>
    <s v="House Maintenance"/>
    <m/>
    <m/>
    <m/>
    <m/>
    <m/>
    <m/>
    <m/>
    <x v="5033"/>
    <m/>
    <m/>
  </r>
  <r>
    <x v="69"/>
    <d v="2025-05-21T00:00:00"/>
    <s v="Cash Rewards Visa Signature - Ending in 5913"/>
    <x v="5662"/>
    <n v="11"/>
    <x v="19"/>
    <s v="House Maintenance"/>
    <m/>
    <m/>
    <m/>
    <m/>
    <m/>
    <m/>
    <m/>
    <x v="5034"/>
    <m/>
    <m/>
  </r>
  <r>
    <x v="68"/>
    <d v="2025-03-19T00:00:00"/>
    <s v="Cash Rewards Visa Signature - Ending in 5913"/>
    <x v="5663"/>
    <n v="10.91"/>
    <x v="3"/>
    <s v="Delete"/>
    <m/>
    <m/>
    <m/>
    <m/>
    <m/>
    <m/>
    <m/>
    <x v="5035"/>
    <m/>
    <m/>
  </r>
  <r>
    <x v="68"/>
    <d v="2025-03-17T00:00:00"/>
    <s v="Powerplus - Ending in 8s30"/>
    <x v="1849"/>
    <n v="10.89"/>
    <x v="8"/>
    <s v="Shopping"/>
    <m/>
    <m/>
    <m/>
    <m/>
    <m/>
    <m/>
    <m/>
    <x v="1704"/>
    <m/>
    <m/>
  </r>
  <r>
    <x v="66"/>
    <d v="2025-01-06T00:00:00"/>
    <s v="American Express"/>
    <x v="5106"/>
    <n v="10.85"/>
    <x v="1"/>
    <s v="Restaurants"/>
    <m/>
    <m/>
    <m/>
    <m/>
    <m/>
    <m/>
    <m/>
    <x v="4538"/>
    <m/>
    <m/>
  </r>
  <r>
    <x v="66"/>
    <d v="2025-01-27T00:00:00"/>
    <s v="American Express"/>
    <x v="5664"/>
    <n v="10.85"/>
    <x v="1"/>
    <s v="Restaurants"/>
    <m/>
    <m/>
    <m/>
    <m/>
    <m/>
    <m/>
    <m/>
    <x v="5036"/>
    <m/>
    <m/>
  </r>
  <r>
    <x v="70"/>
    <d v="2025-02-19T00:00:00"/>
    <s v="American Express"/>
    <x v="5106"/>
    <n v="10.85"/>
    <x v="1"/>
    <s v="Restaurants"/>
    <m/>
    <m/>
    <m/>
    <m/>
    <m/>
    <m/>
    <m/>
    <x v="4538"/>
    <m/>
    <m/>
  </r>
  <r>
    <x v="67"/>
    <d v="2025-04-14T00:00:00"/>
    <s v="American Express"/>
    <x v="5417"/>
    <n v="10.85"/>
    <x v="0"/>
    <s v="Amazon"/>
    <m/>
    <m/>
    <m/>
    <m/>
    <m/>
    <m/>
    <m/>
    <x v="4805"/>
    <m/>
    <m/>
  </r>
  <r>
    <x v="66"/>
    <d v="2025-01-19T00:00:00"/>
    <s v="American Express"/>
    <x v="4817"/>
    <n v="10.84"/>
    <x v="3"/>
    <s v="Delete"/>
    <m/>
    <m/>
    <m/>
    <m/>
    <m/>
    <m/>
    <m/>
    <x v="4263"/>
    <m/>
    <m/>
  </r>
  <r>
    <x v="69"/>
    <d v="2025-05-08T00:00:00"/>
    <s v="American Express"/>
    <x v="5394"/>
    <n v="10.83"/>
    <x v="0"/>
    <s v="Amazon"/>
    <m/>
    <m/>
    <m/>
    <m/>
    <m/>
    <m/>
    <m/>
    <x v="4783"/>
    <m/>
    <m/>
  </r>
  <r>
    <x v="68"/>
    <d v="2025-03-07T00:00:00"/>
    <s v="American Express"/>
    <x v="5665"/>
    <n v="10.76"/>
    <x v="25"/>
    <s v="Healthcare"/>
    <m/>
    <m/>
    <m/>
    <m/>
    <m/>
    <m/>
    <m/>
    <x v="5037"/>
    <m/>
    <m/>
  </r>
  <r>
    <x v="70"/>
    <d v="2025-02-08T00:00:00"/>
    <s v="American Express"/>
    <x v="5120"/>
    <n v="10.66"/>
    <x v="1"/>
    <s v="Restaurants"/>
    <m/>
    <m/>
    <m/>
    <m/>
    <m/>
    <m/>
    <m/>
    <x v="4552"/>
    <m/>
    <m/>
  </r>
  <r>
    <x v="67"/>
    <d v="2025-04-13T00:00:00"/>
    <s v="American Express"/>
    <x v="5666"/>
    <n v="10.48"/>
    <x v="1"/>
    <s v="Restaurants"/>
    <m/>
    <m/>
    <m/>
    <m/>
    <m/>
    <m/>
    <m/>
    <x v="5038"/>
    <m/>
    <m/>
  </r>
  <r>
    <x v="69"/>
    <d v="2025-05-18T00:00:00"/>
    <s v="Cash Rewards Visa Signature - Ending in 5913"/>
    <x v="1590"/>
    <n v="10.44"/>
    <x v="3"/>
    <s v="Delete"/>
    <m/>
    <m/>
    <m/>
    <m/>
    <m/>
    <m/>
    <m/>
    <x v="1488"/>
    <m/>
    <m/>
  </r>
  <r>
    <x v="69"/>
    <d v="2025-05-03T00:00:00"/>
    <s v="American Express"/>
    <x v="5632"/>
    <n v="10.43"/>
    <x v="1"/>
    <s v="Restaurants"/>
    <m/>
    <m/>
    <m/>
    <m/>
    <m/>
    <m/>
    <m/>
    <x v="5004"/>
    <m/>
    <m/>
  </r>
  <r>
    <x v="69"/>
    <d v="2025-05-11T00:00:00"/>
    <s v="American Express"/>
    <x v="5667"/>
    <n v="10.4"/>
    <x v="3"/>
    <s v="Delete"/>
    <m/>
    <m/>
    <m/>
    <m/>
    <m/>
    <m/>
    <m/>
    <x v="5039"/>
    <m/>
    <m/>
  </r>
  <r>
    <x v="69"/>
    <d v="2025-05-27T00:00:00"/>
    <s v="American Express"/>
    <x v="5668"/>
    <n v="10.4"/>
    <x v="3"/>
    <s v="Delete"/>
    <s v="Delete"/>
    <m/>
    <m/>
    <m/>
    <m/>
    <m/>
    <m/>
    <x v="5040"/>
    <m/>
    <m/>
  </r>
  <r>
    <x v="68"/>
    <d v="2025-03-20T00:00:00"/>
    <s v="American Express"/>
    <x v="5147"/>
    <n v="10.220000000000001"/>
    <x v="1"/>
    <s v="Restaurants"/>
    <m/>
    <m/>
    <m/>
    <m/>
    <m/>
    <m/>
    <m/>
    <x v="4579"/>
    <m/>
    <m/>
  </r>
  <r>
    <x v="70"/>
    <d v="2025-02-06T00:00:00"/>
    <s v="American Express"/>
    <x v="5147"/>
    <n v="10.029999999999999"/>
    <x v="1"/>
    <s v="Restaurants"/>
    <m/>
    <m/>
    <m/>
    <m/>
    <m/>
    <m/>
    <m/>
    <x v="4579"/>
    <m/>
    <m/>
  </r>
  <r>
    <x v="70"/>
    <d v="2025-02-02T00:00:00"/>
    <s v="American Express"/>
    <x v="5289"/>
    <n v="10"/>
    <x v="10"/>
    <s v="Entertainment"/>
    <m/>
    <m/>
    <m/>
    <m/>
    <m/>
    <m/>
    <m/>
    <x v="4706"/>
    <m/>
    <m/>
  </r>
  <r>
    <x v="68"/>
    <d v="2025-03-08T00:00:00"/>
    <s v="American Express"/>
    <x v="5669"/>
    <n v="10"/>
    <x v="3"/>
    <s v="Delete"/>
    <m/>
    <m/>
    <m/>
    <m/>
    <m/>
    <m/>
    <m/>
    <x v="5041"/>
    <m/>
    <m/>
  </r>
  <r>
    <x v="68"/>
    <d v="2025-03-10T00:00:00"/>
    <s v="Powerplus - Ending in 8s30"/>
    <x v="1827"/>
    <n v="10"/>
    <x v="8"/>
    <s v="Shopping"/>
    <m/>
    <m/>
    <m/>
    <m/>
    <m/>
    <m/>
    <m/>
    <x v="1682"/>
    <m/>
    <m/>
  </r>
  <r>
    <x v="68"/>
    <d v="2025-03-30T00:00:00"/>
    <s v="American Express"/>
    <x v="5670"/>
    <n v="10"/>
    <x v="1"/>
    <s v="Restaurants"/>
    <m/>
    <m/>
    <m/>
    <m/>
    <m/>
    <m/>
    <m/>
    <x v="5042"/>
    <m/>
    <m/>
  </r>
  <r>
    <x v="66"/>
    <d v="2025-01-31T00:00:00"/>
    <s v="American Express"/>
    <x v="5013"/>
    <n v="9.99"/>
    <x v="5"/>
    <s v="Groceries"/>
    <m/>
    <m/>
    <m/>
    <m/>
    <m/>
    <m/>
    <m/>
    <x v="4451"/>
    <m/>
    <m/>
  </r>
  <r>
    <x v="69"/>
    <d v="2025-05-28T00:00:00"/>
    <s v="American Express"/>
    <x v="5671"/>
    <n v="9.85"/>
    <x v="1"/>
    <s v="Restaurants"/>
    <m/>
    <m/>
    <m/>
    <m/>
    <m/>
    <m/>
    <m/>
    <x v="5043"/>
    <m/>
    <m/>
  </r>
  <r>
    <x v="68"/>
    <d v="2025-03-28T00:00:00"/>
    <s v="Cash Rewards Visa Signature - Ending in 5913"/>
    <x v="5672"/>
    <n v="9.83"/>
    <x v="1"/>
    <s v="Restaurants"/>
    <m/>
    <m/>
    <m/>
    <m/>
    <m/>
    <m/>
    <m/>
    <x v="5044"/>
    <m/>
    <m/>
  </r>
  <r>
    <x v="68"/>
    <d v="2025-03-12T00:00:00"/>
    <s v="Discover"/>
    <x v="5673"/>
    <n v="9.74"/>
    <x v="0"/>
    <s v="Amazon"/>
    <m/>
    <m/>
    <m/>
    <m/>
    <m/>
    <m/>
    <m/>
    <x v="5045"/>
    <m/>
    <m/>
  </r>
  <r>
    <x v="67"/>
    <d v="2025-04-04T00:00:00"/>
    <s v="Cash Rewards Visa Signature - Ending in 5913"/>
    <x v="5674"/>
    <n v="9.57"/>
    <x v="24"/>
    <s v="Delete"/>
    <s v="Exp - Travel"/>
    <m/>
    <m/>
    <m/>
    <m/>
    <m/>
    <m/>
    <x v="5046"/>
    <m/>
    <m/>
  </r>
  <r>
    <x v="69"/>
    <d v="2025-05-04T00:00:00"/>
    <s v="Cash Rewards Visa Signature - Ending in 5913"/>
    <x v="5675"/>
    <n v="9.5"/>
    <x v="11"/>
    <s v="Utilities"/>
    <m/>
    <m/>
    <m/>
    <m/>
    <m/>
    <m/>
    <m/>
    <x v="5047"/>
    <m/>
    <m/>
  </r>
  <r>
    <x v="70"/>
    <d v="2025-02-02T00:00:00"/>
    <s v="American Express"/>
    <x v="5676"/>
    <n v="8.77"/>
    <x v="1"/>
    <s v="Restaurants"/>
    <m/>
    <m/>
    <m/>
    <m/>
    <m/>
    <m/>
    <m/>
    <x v="5048"/>
    <m/>
    <m/>
  </r>
  <r>
    <x v="70"/>
    <d v="2025-02-02T00:00:00"/>
    <s v="American Express"/>
    <x v="5677"/>
    <n v="8.75"/>
    <x v="10"/>
    <s v="Entertainment"/>
    <m/>
    <m/>
    <m/>
    <m/>
    <m/>
    <m/>
    <m/>
    <x v="5049"/>
    <m/>
    <m/>
  </r>
  <r>
    <x v="66"/>
    <d v="2025-01-12T00:00:00"/>
    <s v="Cash Rewards Visa Signature - Ending in 5913"/>
    <x v="4982"/>
    <n v="8.7100000000000009"/>
    <x v="10"/>
    <s v="Entertainment"/>
    <m/>
    <m/>
    <m/>
    <m/>
    <m/>
    <m/>
    <m/>
    <x v="4421"/>
    <m/>
    <m/>
  </r>
  <r>
    <x v="70"/>
    <d v="2025-02-12T00:00:00"/>
    <s v="Cash Rewards Visa Signature - Ending in 5913"/>
    <x v="4982"/>
    <n v="8.7100000000000009"/>
    <x v="10"/>
    <s v="Entertainment"/>
    <m/>
    <m/>
    <m/>
    <m/>
    <m/>
    <m/>
    <m/>
    <x v="4421"/>
    <m/>
    <m/>
  </r>
  <r>
    <x v="68"/>
    <d v="2025-03-12T00:00:00"/>
    <s v="Cash Rewards Visa Signature - Ending in 5913"/>
    <x v="4982"/>
    <n v="8.7100000000000009"/>
    <x v="10"/>
    <s v="Entertainment"/>
    <m/>
    <m/>
    <m/>
    <m/>
    <m/>
    <m/>
    <m/>
    <x v="4421"/>
    <m/>
    <m/>
  </r>
  <r>
    <x v="67"/>
    <d v="2025-04-13T00:00:00"/>
    <s v="Cash Rewards Visa Signature - Ending in 5913"/>
    <x v="4982"/>
    <n v="8.7100000000000009"/>
    <x v="10"/>
    <s v="Entertainment"/>
    <m/>
    <m/>
    <m/>
    <m/>
    <m/>
    <m/>
    <m/>
    <x v="4421"/>
    <m/>
    <m/>
  </r>
  <r>
    <x v="69"/>
    <d v="2025-05-12T00:00:00"/>
    <s v="Cash Rewards Visa Signature - Ending in 5913"/>
    <x v="4982"/>
    <n v="8.7100000000000009"/>
    <x v="10"/>
    <s v="Entertainment"/>
    <m/>
    <m/>
    <m/>
    <m/>
    <m/>
    <m/>
    <m/>
    <x v="4421"/>
    <m/>
    <m/>
  </r>
  <r>
    <x v="67"/>
    <d v="2025-04-09T00:00:00"/>
    <s v="Discover"/>
    <x v="5678"/>
    <n v="8.6999999999999993"/>
    <x v="0"/>
    <s v="Amazon"/>
    <m/>
    <m/>
    <m/>
    <m/>
    <m/>
    <m/>
    <m/>
    <x v="5050"/>
    <m/>
    <m/>
  </r>
  <r>
    <x v="67"/>
    <d v="2025-04-17T00:00:00"/>
    <s v="American Express"/>
    <x v="4991"/>
    <n v="8.6999999999999993"/>
    <x v="0"/>
    <s v="Amazon"/>
    <m/>
    <m/>
    <m/>
    <m/>
    <m/>
    <m/>
    <m/>
    <x v="4430"/>
    <m/>
    <m/>
  </r>
  <r>
    <x v="69"/>
    <d v="2025-05-17T00:00:00"/>
    <s v="American Express"/>
    <x v="4991"/>
    <n v="8.6999999999999993"/>
    <x v="0"/>
    <s v="Amazon"/>
    <m/>
    <m/>
    <m/>
    <m/>
    <m/>
    <m/>
    <m/>
    <x v="4430"/>
    <m/>
    <m/>
  </r>
  <r>
    <x v="68"/>
    <d v="2025-03-13T00:00:00"/>
    <s v="American Express"/>
    <x v="5394"/>
    <n v="8.66"/>
    <x v="0"/>
    <s v="Amazon"/>
    <m/>
    <m/>
    <m/>
    <m/>
    <m/>
    <m/>
    <m/>
    <x v="4783"/>
    <m/>
    <m/>
  </r>
  <r>
    <x v="69"/>
    <d v="2025-05-07T00:00:00"/>
    <s v="Discover"/>
    <x v="5679"/>
    <n v="8.6"/>
    <x v="0"/>
    <s v="Amazon"/>
    <m/>
    <m/>
    <m/>
    <m/>
    <m/>
    <m/>
    <m/>
    <x v="5051"/>
    <m/>
    <m/>
  </r>
  <r>
    <x v="67"/>
    <d v="2025-04-22T00:00:00"/>
    <s v="American Express"/>
    <x v="5563"/>
    <n v="8.58"/>
    <x v="1"/>
    <s v="Restaurants"/>
    <m/>
    <m/>
    <m/>
    <m/>
    <m/>
    <m/>
    <m/>
    <x v="4938"/>
    <m/>
    <m/>
  </r>
  <r>
    <x v="66"/>
    <d v="2025-01-24T00:00:00"/>
    <s v="Cash Rewards Visa Signature - Ending in 5913"/>
    <x v="1590"/>
    <n v="8.0500000000000007"/>
    <x v="3"/>
    <s v="Delete"/>
    <m/>
    <m/>
    <m/>
    <m/>
    <m/>
    <m/>
    <m/>
    <x v="1488"/>
    <m/>
    <m/>
  </r>
  <r>
    <x v="66"/>
    <d v="2025-01-24T00:00:00"/>
    <s v="Cash Rewards Visa Signature - Ending in 5913"/>
    <x v="1590"/>
    <n v="8.0500000000000007"/>
    <x v="3"/>
    <s v="Delete"/>
    <m/>
    <m/>
    <m/>
    <m/>
    <m/>
    <m/>
    <m/>
    <x v="1488"/>
    <m/>
    <m/>
  </r>
  <r>
    <x v="69"/>
    <d v="2025-05-03T00:00:00"/>
    <s v="American Express"/>
    <x v="5680"/>
    <n v="8"/>
    <x v="3"/>
    <s v="Delete"/>
    <m/>
    <m/>
    <m/>
    <m/>
    <m/>
    <m/>
    <m/>
    <x v="5052"/>
    <m/>
    <m/>
  </r>
  <r>
    <x v="67"/>
    <d v="2025-04-02T00:00:00"/>
    <s v="Cash Rewards Visa Signature - Ending in 5913"/>
    <x v="5681"/>
    <n v="7.95"/>
    <x v="5"/>
    <s v="Groceries"/>
    <m/>
    <m/>
    <m/>
    <m/>
    <m/>
    <m/>
    <m/>
    <x v="5053"/>
    <m/>
    <m/>
  </r>
  <r>
    <x v="69"/>
    <d v="2025-05-15T00:00:00"/>
    <s v="American Express"/>
    <x v="5050"/>
    <n v="7.86"/>
    <x v="3"/>
    <s v="Delete"/>
    <s v="Delete"/>
    <m/>
    <m/>
    <m/>
    <m/>
    <m/>
    <m/>
    <x v="4487"/>
    <m/>
    <m/>
  </r>
  <r>
    <x v="69"/>
    <d v="2025-05-13T00:00:00"/>
    <s v="American Express"/>
    <x v="5050"/>
    <n v="7.82"/>
    <x v="3"/>
    <s v="Delete"/>
    <s v="Delete"/>
    <m/>
    <m/>
    <m/>
    <m/>
    <m/>
    <m/>
    <x v="4487"/>
    <m/>
    <m/>
  </r>
  <r>
    <x v="66"/>
    <d v="2025-01-31T00:00:00"/>
    <s v="American Express"/>
    <x v="5287"/>
    <n v="7.74"/>
    <x v="1"/>
    <s v="Restaurants"/>
    <m/>
    <m/>
    <m/>
    <m/>
    <m/>
    <m/>
    <m/>
    <x v="4704"/>
    <m/>
    <m/>
  </r>
  <r>
    <x v="67"/>
    <d v="2025-04-22T00:00:00"/>
    <s v="American Express"/>
    <x v="5682"/>
    <n v="7.72"/>
    <x v="1"/>
    <s v="Restaurants"/>
    <m/>
    <m/>
    <m/>
    <m/>
    <m/>
    <m/>
    <m/>
    <x v="5054"/>
    <m/>
    <m/>
  </r>
  <r>
    <x v="66"/>
    <d v="2025-01-10T00:00:00"/>
    <s v="American Express"/>
    <x v="5683"/>
    <n v="7.52"/>
    <x v="3"/>
    <s v="Restaurants"/>
    <s v="Delete"/>
    <m/>
    <m/>
    <m/>
    <m/>
    <m/>
    <m/>
    <x v="5055"/>
    <m/>
    <m/>
  </r>
  <r>
    <x v="67"/>
    <d v="2025-04-14T00:00:00"/>
    <s v="American Express"/>
    <x v="5684"/>
    <n v="7.42"/>
    <x v="1"/>
    <s v="Restaurants"/>
    <m/>
    <m/>
    <m/>
    <m/>
    <m/>
    <m/>
    <m/>
    <x v="5056"/>
    <m/>
    <m/>
  </r>
  <r>
    <x v="68"/>
    <d v="2025-03-21T00:00:00"/>
    <s v="Cash Rewards Visa Signature - Ending in 5913"/>
    <x v="5685"/>
    <n v="7.34"/>
    <x v="3"/>
    <s v="Delete"/>
    <s v="Delete"/>
    <m/>
    <m/>
    <m/>
    <m/>
    <m/>
    <m/>
    <x v="5057"/>
    <m/>
    <m/>
  </r>
  <r>
    <x v="67"/>
    <d v="2025-04-04T00:00:00"/>
    <s v="Cash Rewards Visa Signature - Ending in 5913"/>
    <x v="579"/>
    <n v="7.23"/>
    <x v="1"/>
    <s v="Restaurants"/>
    <m/>
    <m/>
    <m/>
    <m/>
    <m/>
    <m/>
    <m/>
    <x v="560"/>
    <m/>
    <m/>
  </r>
  <r>
    <x v="66"/>
    <d v="2025-01-25T00:00:00"/>
    <s v="American Express"/>
    <x v="5686"/>
    <n v="6.9"/>
    <x v="8"/>
    <s v="Shopping"/>
    <m/>
    <m/>
    <m/>
    <m/>
    <m/>
    <m/>
    <m/>
    <x v="5058"/>
    <m/>
    <m/>
  </r>
  <r>
    <x v="69"/>
    <d v="2025-05-08T00:00:00"/>
    <s v="American Express"/>
    <x v="5687"/>
    <n v="6.73"/>
    <x v="1"/>
    <s v="Restaurants"/>
    <m/>
    <m/>
    <m/>
    <m/>
    <m/>
    <m/>
    <m/>
    <x v="5059"/>
    <m/>
    <m/>
  </r>
  <r>
    <x v="66"/>
    <d v="2025-01-27T00:00:00"/>
    <s v="Cash Rewards Visa Signature - Ending in 5913"/>
    <x v="5688"/>
    <n v="6.53"/>
    <x v="1"/>
    <s v="Restaurants"/>
    <m/>
    <m/>
    <m/>
    <m/>
    <m/>
    <m/>
    <m/>
    <x v="5060"/>
    <m/>
    <m/>
  </r>
  <r>
    <x v="67"/>
    <d v="2025-04-13T00:00:00"/>
    <s v="American Express"/>
    <x v="5689"/>
    <n v="6.52"/>
    <x v="0"/>
    <s v="Amazon"/>
    <m/>
    <m/>
    <m/>
    <m/>
    <m/>
    <m/>
    <m/>
    <x v="5061"/>
    <m/>
    <m/>
  </r>
  <r>
    <x v="67"/>
    <d v="2025-04-30T00:00:00"/>
    <s v="American Express"/>
    <x v="5690"/>
    <n v="6.52"/>
    <x v="0"/>
    <s v="Amazon"/>
    <m/>
    <m/>
    <m/>
    <m/>
    <m/>
    <m/>
    <m/>
    <x v="5062"/>
    <m/>
    <m/>
  </r>
  <r>
    <x v="69"/>
    <d v="2025-05-13T00:00:00"/>
    <s v="American Express"/>
    <x v="5691"/>
    <n v="6.52"/>
    <x v="0"/>
    <s v="Amazon"/>
    <m/>
    <m/>
    <m/>
    <m/>
    <m/>
    <m/>
    <m/>
    <x v="5063"/>
    <m/>
    <m/>
  </r>
  <r>
    <x v="66"/>
    <d v="2025-01-31T00:00:00"/>
    <s v="American Express"/>
    <x v="5692"/>
    <n v="6.49"/>
    <x v="0"/>
    <s v="Amazon"/>
    <m/>
    <m/>
    <m/>
    <m/>
    <m/>
    <m/>
    <m/>
    <x v="5064"/>
    <m/>
    <m/>
  </r>
  <r>
    <x v="70"/>
    <d v="2025-02-13T00:00:00"/>
    <s v="American Express"/>
    <x v="5693"/>
    <n v="6.49"/>
    <x v="0"/>
    <s v="Amazon"/>
    <m/>
    <m/>
    <m/>
    <m/>
    <m/>
    <m/>
    <m/>
    <x v="5065"/>
    <m/>
    <m/>
  </r>
  <r>
    <x v="68"/>
    <d v="2025-03-01T00:00:00"/>
    <s v="American Express"/>
    <x v="5694"/>
    <n v="6.49"/>
    <x v="0"/>
    <s v="Amazon"/>
    <m/>
    <m/>
    <m/>
    <m/>
    <m/>
    <m/>
    <m/>
    <x v="5066"/>
    <m/>
    <m/>
  </r>
  <r>
    <x v="68"/>
    <d v="2025-03-13T00:00:00"/>
    <s v="American Express"/>
    <x v="5695"/>
    <n v="6.49"/>
    <x v="0"/>
    <s v="Amazon"/>
    <m/>
    <m/>
    <m/>
    <m/>
    <m/>
    <m/>
    <m/>
    <x v="5067"/>
    <m/>
    <m/>
  </r>
  <r>
    <x v="68"/>
    <d v="2025-03-31T00:00:00"/>
    <s v="American Express"/>
    <x v="5696"/>
    <n v="6.49"/>
    <x v="0"/>
    <s v="Amazon"/>
    <m/>
    <m/>
    <m/>
    <m/>
    <m/>
    <m/>
    <m/>
    <x v="5068"/>
    <m/>
    <m/>
  </r>
  <r>
    <x v="69"/>
    <d v="2025-05-21T00:00:00"/>
    <s v="American Express"/>
    <x v="5697"/>
    <n v="6.49"/>
    <x v="1"/>
    <s v="Restaurants"/>
    <m/>
    <m/>
    <m/>
    <m/>
    <m/>
    <m/>
    <m/>
    <x v="5069"/>
    <m/>
    <m/>
  </r>
  <r>
    <x v="67"/>
    <d v="2025-04-03T00:00:00"/>
    <s v="American Express"/>
    <x v="5698"/>
    <n v="6.06"/>
    <x v="1"/>
    <s v="Restaurants"/>
    <m/>
    <m/>
    <m/>
    <m/>
    <m/>
    <m/>
    <m/>
    <x v="5070"/>
    <m/>
    <m/>
  </r>
  <r>
    <x v="67"/>
    <d v="2025-04-11T00:00:00"/>
    <s v="American Express"/>
    <x v="5072"/>
    <n v="5.99"/>
    <x v="1"/>
    <s v="Restaurants"/>
    <m/>
    <m/>
    <m/>
    <m/>
    <m/>
    <m/>
    <m/>
    <x v="4508"/>
    <m/>
    <m/>
  </r>
  <r>
    <x v="68"/>
    <d v="2025-03-07T00:00:00"/>
    <s v="American Express"/>
    <x v="5699"/>
    <n v="5.86"/>
    <x v="3"/>
    <s v="Delete"/>
    <m/>
    <m/>
    <m/>
    <m/>
    <m/>
    <m/>
    <m/>
    <x v="5071"/>
    <m/>
    <m/>
  </r>
  <r>
    <x v="66"/>
    <d v="2025-01-10T00:00:00"/>
    <s v="American Express"/>
    <x v="5700"/>
    <n v="5.83"/>
    <x v="3"/>
    <s v="Delete"/>
    <s v="Delete"/>
    <m/>
    <m/>
    <m/>
    <m/>
    <m/>
    <m/>
    <x v="5072"/>
    <m/>
    <m/>
  </r>
  <r>
    <x v="68"/>
    <d v="2025-03-17T00:00:00"/>
    <s v="American Express"/>
    <x v="5701"/>
    <n v="5.68"/>
    <x v="1"/>
    <s v="Restaurants"/>
    <m/>
    <m/>
    <m/>
    <m/>
    <m/>
    <m/>
    <m/>
    <x v="5073"/>
    <m/>
    <m/>
  </r>
  <r>
    <x v="67"/>
    <d v="2025-04-03T00:00:00"/>
    <s v="Discover"/>
    <x v="5702"/>
    <n v="5.68"/>
    <x v="24"/>
    <s v="Travel"/>
    <m/>
    <m/>
    <m/>
    <m/>
    <m/>
    <m/>
    <m/>
    <x v="5074"/>
    <m/>
    <m/>
  </r>
  <r>
    <x v="66"/>
    <d v="2025-01-24T00:00:00"/>
    <s v="Cash Rewards Visa Signature - Ending in 5913"/>
    <x v="5703"/>
    <n v="5.63"/>
    <x v="3"/>
    <s v="Delete"/>
    <m/>
    <m/>
    <m/>
    <m/>
    <m/>
    <m/>
    <m/>
    <x v="5075"/>
    <m/>
    <m/>
  </r>
  <r>
    <x v="67"/>
    <d v="2025-04-29T00:00:00"/>
    <s v="American Express"/>
    <x v="5287"/>
    <n v="5.56"/>
    <x v="1"/>
    <s v="Restaurants"/>
    <m/>
    <m/>
    <m/>
    <m/>
    <m/>
    <m/>
    <m/>
    <x v="4704"/>
    <m/>
    <m/>
  </r>
  <r>
    <x v="66"/>
    <d v="2025-01-18T00:00:00"/>
    <s v="American Express"/>
    <x v="5121"/>
    <n v="5.37"/>
    <x v="5"/>
    <s v="Groceries"/>
    <m/>
    <m/>
    <m/>
    <m/>
    <m/>
    <m/>
    <m/>
    <x v="4553"/>
    <m/>
    <m/>
  </r>
  <r>
    <x v="70"/>
    <d v="2025-02-06T00:00:00"/>
    <s v="American Express"/>
    <x v="5697"/>
    <n v="4.75"/>
    <x v="1"/>
    <s v="Restaurants"/>
    <m/>
    <m/>
    <m/>
    <m/>
    <m/>
    <m/>
    <m/>
    <x v="5069"/>
    <m/>
    <m/>
  </r>
  <r>
    <x v="68"/>
    <d v="2025-03-19T00:00:00"/>
    <s v="Cash Rewards Visa Signature - Ending in 5913"/>
    <x v="5704"/>
    <n v="4.6500000000000004"/>
    <x v="3"/>
    <s v="Delete"/>
    <m/>
    <m/>
    <m/>
    <m/>
    <m/>
    <m/>
    <m/>
    <x v="5076"/>
    <m/>
    <m/>
  </r>
  <r>
    <x v="66"/>
    <d v="2025-01-27T00:00:00"/>
    <s v="American Express"/>
    <x v="5705"/>
    <n v="4.47"/>
    <x v="1"/>
    <s v="Restaurants"/>
    <m/>
    <m/>
    <m/>
    <m/>
    <m/>
    <m/>
    <m/>
    <x v="5077"/>
    <m/>
    <m/>
  </r>
  <r>
    <x v="67"/>
    <d v="2025-04-08T00:00:00"/>
    <s v="Cash Rewards Visa Signature - Ending in 5913"/>
    <x v="5706"/>
    <n v="4.3600000000000003"/>
    <x v="8"/>
    <s v="Shopping"/>
    <m/>
    <m/>
    <m/>
    <m/>
    <m/>
    <m/>
    <m/>
    <x v="5078"/>
    <m/>
    <m/>
  </r>
  <r>
    <x v="69"/>
    <d v="2025-05-06T00:00:00"/>
    <s v="Cash Rewards Visa Signature - Ending in 5913"/>
    <x v="5707"/>
    <n v="4.3600000000000003"/>
    <x v="8"/>
    <s v="Shopping"/>
    <m/>
    <m/>
    <m/>
    <m/>
    <m/>
    <m/>
    <m/>
    <x v="5079"/>
    <m/>
    <m/>
  </r>
  <r>
    <x v="70"/>
    <d v="2025-02-16T00:00:00"/>
    <s v="American Express"/>
    <x v="5708"/>
    <n v="4.32"/>
    <x v="0"/>
    <s v="Amazon"/>
    <m/>
    <m/>
    <m/>
    <m/>
    <m/>
    <m/>
    <m/>
    <x v="5080"/>
    <m/>
    <m/>
  </r>
  <r>
    <x v="70"/>
    <d v="2025-02-21T00:00:00"/>
    <s v="American Express"/>
    <x v="5709"/>
    <n v="4.32"/>
    <x v="0"/>
    <s v="Amazon"/>
    <m/>
    <m/>
    <m/>
    <m/>
    <m/>
    <m/>
    <m/>
    <x v="5081"/>
    <m/>
    <m/>
  </r>
  <r>
    <x v="68"/>
    <d v="2025-03-06T00:00:00"/>
    <s v="American Express"/>
    <x v="5710"/>
    <n v="4.3099999999999996"/>
    <x v="3"/>
    <s v="Delete"/>
    <m/>
    <m/>
    <m/>
    <m/>
    <m/>
    <m/>
    <m/>
    <x v="5082"/>
    <m/>
    <m/>
  </r>
  <r>
    <x v="70"/>
    <d v="2025-02-26T00:00:00"/>
    <s v="American Express"/>
    <x v="5163"/>
    <n v="4.24"/>
    <x v="1"/>
    <s v="Restaurants"/>
    <m/>
    <m/>
    <m/>
    <m/>
    <m/>
    <m/>
    <m/>
    <x v="4595"/>
    <m/>
    <m/>
  </r>
  <r>
    <x v="69"/>
    <d v="2025-05-15T00:00:00"/>
    <s v="Cash Rewards Visa Signature - Ending in 5913"/>
    <x v="5711"/>
    <n v="4.1399999999999997"/>
    <x v="5"/>
    <s v="Groceries"/>
    <m/>
    <m/>
    <m/>
    <m/>
    <m/>
    <m/>
    <m/>
    <x v="5083"/>
    <m/>
    <m/>
  </r>
  <r>
    <x v="69"/>
    <d v="2025-05-16T00:00:00"/>
    <s v="American Express"/>
    <x v="5712"/>
    <n v="4.13"/>
    <x v="0"/>
    <s v="Amazon"/>
    <m/>
    <m/>
    <m/>
    <m/>
    <m/>
    <m/>
    <m/>
    <x v="5084"/>
    <m/>
    <m/>
  </r>
  <r>
    <x v="70"/>
    <d v="2025-02-13T00:00:00"/>
    <s v="American Express"/>
    <x v="5713"/>
    <n v="4.1100000000000003"/>
    <x v="0"/>
    <s v="Amazon"/>
    <m/>
    <m/>
    <m/>
    <m/>
    <m/>
    <m/>
    <m/>
    <x v="5085"/>
    <m/>
    <m/>
  </r>
  <r>
    <x v="70"/>
    <d v="2025-02-15T00:00:00"/>
    <s v="Discover"/>
    <x v="5714"/>
    <n v="4.1100000000000003"/>
    <x v="0"/>
    <s v="Amazon"/>
    <m/>
    <m/>
    <m/>
    <m/>
    <m/>
    <m/>
    <m/>
    <x v="5086"/>
    <m/>
    <m/>
  </r>
  <r>
    <x v="66"/>
    <d v="2025-01-10T00:00:00"/>
    <s v="American Express"/>
    <x v="4774"/>
    <n v="3.96"/>
    <x v="1"/>
    <s v="Restaurants"/>
    <m/>
    <m/>
    <m/>
    <m/>
    <m/>
    <m/>
    <m/>
    <x v="4226"/>
    <m/>
    <m/>
  </r>
  <r>
    <x v="66"/>
    <d v="2025-01-19T00:00:00"/>
    <s v="American Express"/>
    <x v="5163"/>
    <n v="3.92"/>
    <x v="1"/>
    <s v="Restaurants"/>
    <m/>
    <m/>
    <m/>
    <m/>
    <m/>
    <m/>
    <m/>
    <x v="4595"/>
    <m/>
    <m/>
  </r>
  <r>
    <x v="66"/>
    <d v="2025-01-23T00:00:00"/>
    <s v="American Express"/>
    <x v="5715"/>
    <n v="3.76"/>
    <x v="3"/>
    <s v="Delete"/>
    <m/>
    <m/>
    <m/>
    <m/>
    <m/>
    <m/>
    <m/>
    <x v="5087"/>
    <m/>
    <m/>
  </r>
  <r>
    <x v="66"/>
    <d v="2025-01-22T00:00:00"/>
    <s v="American Express"/>
    <x v="5716"/>
    <n v="3.73"/>
    <x v="1"/>
    <s v="Restaurants"/>
    <m/>
    <m/>
    <m/>
    <m/>
    <m/>
    <m/>
    <m/>
    <x v="5088"/>
    <m/>
    <m/>
  </r>
  <r>
    <x v="69"/>
    <d v="2025-05-10T00:00:00"/>
    <s v="American Express"/>
    <x v="5534"/>
    <n v="3.61"/>
    <x v="1"/>
    <s v="Restaurants"/>
    <m/>
    <m/>
    <m/>
    <m/>
    <m/>
    <m/>
    <m/>
    <x v="4909"/>
    <m/>
    <m/>
  </r>
  <r>
    <x v="68"/>
    <d v="2025-03-07T00:00:00"/>
    <s v="American Express"/>
    <x v="5717"/>
    <n v="3.5"/>
    <x v="1"/>
    <s v="Restaurants"/>
    <m/>
    <m/>
    <m/>
    <m/>
    <m/>
    <m/>
    <m/>
    <x v="5089"/>
    <m/>
    <m/>
  </r>
  <r>
    <x v="67"/>
    <d v="2025-04-06T00:00:00"/>
    <s v="Cash Rewards Visa Signature - Ending in 5913"/>
    <x v="5718"/>
    <n v="3.29"/>
    <x v="10"/>
    <s v="Entertainment"/>
    <m/>
    <m/>
    <m/>
    <m/>
    <m/>
    <m/>
    <m/>
    <x v="5090"/>
    <m/>
    <m/>
  </r>
  <r>
    <x v="70"/>
    <d v="2025-02-14T00:00:00"/>
    <s v="Powerplus - Ending in 8s30"/>
    <x v="1849"/>
    <n v="3.28"/>
    <x v="8"/>
    <s v="Shopping"/>
    <m/>
    <m/>
    <m/>
    <m/>
    <m/>
    <m/>
    <m/>
    <x v="1704"/>
    <m/>
    <m/>
  </r>
  <r>
    <x v="68"/>
    <d v="2025-03-17T00:00:00"/>
    <s v="American Express"/>
    <x v="5719"/>
    <n v="3.27"/>
    <x v="3"/>
    <s v="Delete"/>
    <s v="Delete"/>
    <m/>
    <m/>
    <m/>
    <m/>
    <m/>
    <m/>
    <x v="5091"/>
    <m/>
    <m/>
  </r>
  <r>
    <x v="68"/>
    <d v="2025-03-22T00:00:00"/>
    <s v="American Express"/>
    <x v="5253"/>
    <n v="3.22"/>
    <x v="5"/>
    <s v="Groceries"/>
    <m/>
    <m/>
    <m/>
    <m/>
    <m/>
    <m/>
    <m/>
    <x v="4675"/>
    <m/>
    <m/>
  </r>
  <r>
    <x v="67"/>
    <d v="2025-04-07T00:00:00"/>
    <s v="Discover"/>
    <x v="5720"/>
    <n v="3"/>
    <x v="0"/>
    <s v="Amazon"/>
    <m/>
    <m/>
    <m/>
    <m/>
    <m/>
    <m/>
    <m/>
    <x v="5092"/>
    <m/>
    <m/>
  </r>
  <r>
    <x v="66"/>
    <d v="2025-01-21T00:00:00"/>
    <s v="Powerplus - Ending in 8s30"/>
    <x v="1849"/>
    <n v="2.99"/>
    <x v="8"/>
    <s v="Shopping"/>
    <m/>
    <m/>
    <m/>
    <m/>
    <m/>
    <m/>
    <m/>
    <x v="1704"/>
    <m/>
    <m/>
  </r>
  <r>
    <x v="70"/>
    <d v="2025-02-19T00:00:00"/>
    <s v="Powerplus - Ending in 8s30"/>
    <x v="1849"/>
    <n v="2.99"/>
    <x v="8"/>
    <s v="Shopping"/>
    <m/>
    <m/>
    <m/>
    <m/>
    <m/>
    <m/>
    <m/>
    <x v="1704"/>
    <m/>
    <m/>
  </r>
  <r>
    <x v="68"/>
    <d v="2025-03-19T00:00:00"/>
    <s v="Powerplus - Ending in 8s30"/>
    <x v="1849"/>
    <n v="2.99"/>
    <x v="8"/>
    <s v="Shopping"/>
    <m/>
    <m/>
    <m/>
    <m/>
    <m/>
    <m/>
    <m/>
    <x v="1704"/>
    <m/>
    <m/>
  </r>
  <r>
    <x v="67"/>
    <d v="2025-04-03T00:00:00"/>
    <s v="American Express"/>
    <x v="5721"/>
    <n v="2.99"/>
    <x v="3"/>
    <s v="Delete"/>
    <m/>
    <m/>
    <m/>
    <m/>
    <m/>
    <m/>
    <m/>
    <x v="5093"/>
    <m/>
    <m/>
  </r>
  <r>
    <x v="67"/>
    <d v="2025-04-21T00:00:00"/>
    <s v="Powerplus - Ending in 8s30"/>
    <x v="1849"/>
    <n v="2.99"/>
    <x v="8"/>
    <s v="Shopping"/>
    <m/>
    <m/>
    <m/>
    <m/>
    <m/>
    <m/>
    <m/>
    <x v="1704"/>
    <m/>
    <m/>
  </r>
  <r>
    <x v="69"/>
    <d v="2025-05-19T00:00:00"/>
    <s v="Powerplus - Ending in 8s30"/>
    <x v="1849"/>
    <n v="2.99"/>
    <x v="8"/>
    <s v="Shopping"/>
    <m/>
    <m/>
    <m/>
    <m/>
    <m/>
    <m/>
    <m/>
    <x v="1704"/>
    <m/>
    <m/>
  </r>
  <r>
    <x v="67"/>
    <d v="2025-04-15T00:00:00"/>
    <s v="Cash Rewards Visa Signature - Ending in 5913"/>
    <x v="5722"/>
    <n v="2.75"/>
    <x v="2"/>
    <s v="Transportation"/>
    <m/>
    <m/>
    <m/>
    <m/>
    <m/>
    <m/>
    <m/>
    <x v="5094"/>
    <m/>
    <m/>
  </r>
  <r>
    <x v="69"/>
    <d v="2025-05-04T00:00:00"/>
    <s v="Cash Rewards Visa Signature - Ending in 5913"/>
    <x v="5675"/>
    <n v="2.25"/>
    <x v="11"/>
    <s v="Utilities"/>
    <m/>
    <m/>
    <m/>
    <m/>
    <m/>
    <m/>
    <m/>
    <x v="5047"/>
    <m/>
    <m/>
  </r>
  <r>
    <x v="68"/>
    <d v="2025-03-20T00:00:00"/>
    <s v="American Express"/>
    <x v="5723"/>
    <n v="2.16"/>
    <x v="1"/>
    <s v="Restaurants"/>
    <m/>
    <m/>
    <m/>
    <m/>
    <m/>
    <m/>
    <m/>
    <x v="5095"/>
    <m/>
    <m/>
  </r>
  <r>
    <x v="68"/>
    <d v="2025-03-30T00:00:00"/>
    <s v="Cash Rewards Visa Signature - Ending in 5913"/>
    <x v="3492"/>
    <n v="2.16"/>
    <x v="3"/>
    <s v="Delete"/>
    <m/>
    <m/>
    <m/>
    <m/>
    <m/>
    <m/>
    <m/>
    <x v="3082"/>
    <m/>
    <m/>
  </r>
  <r>
    <x v="66"/>
    <d v="2025-01-30T00:00:00"/>
    <s v="Discover"/>
    <x v="5724"/>
    <n v="2.0299999999999998"/>
    <x v="0"/>
    <s v="Amazon"/>
    <m/>
    <m/>
    <m/>
    <m/>
    <m/>
    <m/>
    <m/>
    <x v="5096"/>
    <m/>
    <m/>
  </r>
  <r>
    <x v="68"/>
    <d v="2025-03-24T00:00:00"/>
    <s v="Cash Rewards Visa Signature - Ending in 5913"/>
    <x v="2012"/>
    <n v="2"/>
    <x v="8"/>
    <s v="Shopping"/>
    <m/>
    <m/>
    <m/>
    <m/>
    <m/>
    <m/>
    <m/>
    <x v="1862"/>
    <m/>
    <m/>
  </r>
  <r>
    <x v="66"/>
    <d v="2025-01-20T00:00:00"/>
    <s v="Cash Rewards Visa Signature - Ending in 5913"/>
    <x v="5725"/>
    <n v="1.99"/>
    <x v="11"/>
    <s v="Utilities"/>
    <m/>
    <m/>
    <m/>
    <m/>
    <m/>
    <m/>
    <m/>
    <x v="5097"/>
    <m/>
    <m/>
  </r>
  <r>
    <x v="70"/>
    <d v="2025-02-20T00:00:00"/>
    <s v="Cash Rewards Visa Signature - Ending in 5913"/>
    <x v="5726"/>
    <n v="1.99"/>
    <x v="11"/>
    <s v="Utilities"/>
    <m/>
    <m/>
    <m/>
    <m/>
    <m/>
    <m/>
    <m/>
    <x v="5098"/>
    <m/>
    <m/>
  </r>
  <r>
    <x v="68"/>
    <d v="2025-03-20T00:00:00"/>
    <s v="Cash Rewards Visa Signature - Ending in 5913"/>
    <x v="5727"/>
    <n v="1.99"/>
    <x v="11"/>
    <s v="Utilities"/>
    <m/>
    <m/>
    <m/>
    <m/>
    <m/>
    <m/>
    <m/>
    <x v="5099"/>
    <m/>
    <m/>
  </r>
  <r>
    <x v="67"/>
    <d v="2025-04-20T00:00:00"/>
    <s v="Cash Rewards Visa Signature - Ending in 5913"/>
    <x v="4168"/>
    <n v="1.99"/>
    <x v="11"/>
    <s v="Utilities"/>
    <m/>
    <m/>
    <m/>
    <m/>
    <m/>
    <m/>
    <m/>
    <x v="3699"/>
    <m/>
    <m/>
  </r>
  <r>
    <x v="69"/>
    <d v="2025-05-20T00:00:00"/>
    <s v="Cash Rewards Visa Signature - Ending in 5913"/>
    <x v="4168"/>
    <n v="1.99"/>
    <x v="11"/>
    <s v="Utilities"/>
    <m/>
    <m/>
    <m/>
    <m/>
    <m/>
    <m/>
    <m/>
    <x v="3699"/>
    <m/>
    <m/>
  </r>
  <r>
    <x v="70"/>
    <d v="2025-02-08T00:00:00"/>
    <s v="American Express"/>
    <x v="5120"/>
    <n v="1.95"/>
    <x v="1"/>
    <s v="Restaurants"/>
    <m/>
    <m/>
    <m/>
    <m/>
    <m/>
    <m/>
    <m/>
    <x v="4552"/>
    <m/>
    <m/>
  </r>
  <r>
    <x v="67"/>
    <d v="2025-04-14T00:00:00"/>
    <s v="Cash Rewards Visa Signature - Ending in 5913"/>
    <x v="34"/>
    <n v="1.69"/>
    <x v="12"/>
    <s v="Target"/>
    <m/>
    <m/>
    <m/>
    <m/>
    <m/>
    <m/>
    <m/>
    <x v="34"/>
    <m/>
    <m/>
  </r>
  <r>
    <x v="66"/>
    <d v="2025-01-28T00:00:00"/>
    <s v="Cash Rewards Visa Signature - Ending in 5913"/>
    <x v="8"/>
    <n v="1.36"/>
    <x v="5"/>
    <s v="Groceries"/>
    <m/>
    <m/>
    <m/>
    <m/>
    <m/>
    <m/>
    <m/>
    <x v="8"/>
    <m/>
    <m/>
  </r>
  <r>
    <x v="67"/>
    <d v="2025-04-15T00:00:00"/>
    <s v="Cash Rewards Visa Signature - Ending in 5913"/>
    <x v="34"/>
    <n v="1.29"/>
    <x v="12"/>
    <s v="Target"/>
    <m/>
    <m/>
    <m/>
    <m/>
    <m/>
    <m/>
    <m/>
    <x v="34"/>
    <m/>
    <m/>
  </r>
  <r>
    <x v="68"/>
    <d v="2025-03-12T00:00:00"/>
    <s v="American Express"/>
    <x v="5528"/>
    <n v="1"/>
    <x v="1"/>
    <s v="Restaurants"/>
    <m/>
    <m/>
    <m/>
    <m/>
    <m/>
    <m/>
    <m/>
    <x v="4903"/>
    <m/>
    <m/>
  </r>
  <r>
    <x v="69"/>
    <d v="2025-05-06T00:00:00"/>
    <s v="Cash Rewards Visa Signature - Ending in 5913"/>
    <x v="5728"/>
    <n v="1"/>
    <x v="2"/>
    <s v="Transportation"/>
    <m/>
    <m/>
    <m/>
    <m/>
    <m/>
    <m/>
    <m/>
    <x v="5100"/>
    <m/>
    <m/>
  </r>
  <r>
    <x v="66"/>
    <d v="2025-01-28T00:00:00"/>
    <s v="Powerplus - Ending in 8s30"/>
    <x v="1849"/>
    <n v="0.99"/>
    <x v="8"/>
    <s v="Shopping"/>
    <m/>
    <m/>
    <m/>
    <m/>
    <m/>
    <m/>
    <m/>
    <x v="1704"/>
    <m/>
    <m/>
  </r>
  <r>
    <x v="70"/>
    <d v="2025-02-28T00:00:00"/>
    <s v="Powerplus - Ending in 8s30"/>
    <x v="1849"/>
    <n v="0.99"/>
    <x v="8"/>
    <s v="Shopping"/>
    <m/>
    <m/>
    <m/>
    <m/>
    <m/>
    <m/>
    <m/>
    <x v="1704"/>
    <m/>
    <m/>
  </r>
  <r>
    <x v="68"/>
    <d v="2025-03-28T00:00:00"/>
    <s v="Powerplus - Ending in 8s30"/>
    <x v="1849"/>
    <n v="0.99"/>
    <x v="8"/>
    <s v="Shopping"/>
    <m/>
    <m/>
    <m/>
    <m/>
    <m/>
    <m/>
    <m/>
    <x v="1704"/>
    <m/>
    <m/>
  </r>
  <r>
    <x v="67"/>
    <d v="2025-04-28T00:00:00"/>
    <s v="Powerplus - Ending in 8s30"/>
    <x v="1849"/>
    <n v="0.99"/>
    <x v="8"/>
    <s v="Shopping"/>
    <m/>
    <m/>
    <m/>
    <m/>
    <m/>
    <m/>
    <m/>
    <x v="1704"/>
    <m/>
    <m/>
  </r>
  <r>
    <x v="69"/>
    <d v="2025-05-28T00:00:00"/>
    <s v="Powerplus - Ending in 8s30"/>
    <x v="1849"/>
    <n v="0.99"/>
    <x v="8"/>
    <s v="Shopping"/>
    <m/>
    <m/>
    <m/>
    <m/>
    <m/>
    <m/>
    <m/>
    <x v="1704"/>
    <m/>
    <m/>
  </r>
  <r>
    <x v="70"/>
    <d v="2025-02-24T00:00:00"/>
    <s v="American Express"/>
    <x v="5729"/>
    <n v="0.75"/>
    <x v="2"/>
    <s v="Transportation"/>
    <m/>
    <m/>
    <m/>
    <m/>
    <m/>
    <m/>
    <m/>
    <x v="5101"/>
    <m/>
    <m/>
  </r>
  <r>
    <x v="67"/>
    <d v="2025-04-16T00:00:00"/>
    <s v="Cash Rewards Visa Signature - Ending in 5913"/>
    <x v="34"/>
    <n v="-1.69"/>
    <x v="12"/>
    <s v="Target"/>
    <m/>
    <m/>
    <m/>
    <m/>
    <m/>
    <m/>
    <m/>
    <x v="34"/>
    <m/>
    <m/>
  </r>
  <r>
    <x v="67"/>
    <d v="2025-04-18T00:00:00"/>
    <s v="Cash Rewards Visa Signature - Ending in 5913"/>
    <x v="34"/>
    <n v="-5.43"/>
    <x v="12"/>
    <s v="Target"/>
    <m/>
    <m/>
    <m/>
    <m/>
    <m/>
    <m/>
    <m/>
    <x v="34"/>
    <m/>
    <m/>
  </r>
  <r>
    <x v="66"/>
    <d v="2025-01-29T00:00:00"/>
    <s v="American Express"/>
    <x v="5050"/>
    <n v="-9.42"/>
    <x v="3"/>
    <s v="Delete"/>
    <m/>
    <m/>
    <m/>
    <m/>
    <m/>
    <m/>
    <m/>
    <x v="4487"/>
    <m/>
    <m/>
  </r>
  <r>
    <x v="69"/>
    <d v="2025-05-03T00:00:00"/>
    <s v="American Express"/>
    <x v="4663"/>
    <n v="-11.2"/>
    <x v="3"/>
    <s v="Delete"/>
    <m/>
    <m/>
    <m/>
    <m/>
    <m/>
    <m/>
    <m/>
    <x v="4133"/>
    <m/>
    <m/>
  </r>
  <r>
    <x v="69"/>
    <d v="2025-05-15T00:00:00"/>
    <s v="American Express"/>
    <x v="5730"/>
    <n v="-13.01"/>
    <x v="1"/>
    <s v="Restaurants"/>
    <m/>
    <m/>
    <m/>
    <m/>
    <m/>
    <m/>
    <m/>
    <x v="5102"/>
    <m/>
    <m/>
  </r>
  <r>
    <x v="67"/>
    <d v="2025-04-15T00:00:00"/>
    <s v="Cash Rewards Visa Signature - Ending in 5913"/>
    <x v="34"/>
    <n v="-13.71"/>
    <x v="12"/>
    <s v="Target"/>
    <m/>
    <m/>
    <m/>
    <m/>
    <m/>
    <m/>
    <m/>
    <x v="34"/>
    <m/>
    <m/>
  </r>
  <r>
    <x v="67"/>
    <d v="2025-04-18T00:00:00"/>
    <s v="American Express"/>
    <x v="5615"/>
    <n v="-15.44"/>
    <x v="1"/>
    <s v="Restaurants"/>
    <m/>
    <m/>
    <m/>
    <m/>
    <m/>
    <m/>
    <m/>
    <x v="4987"/>
    <m/>
    <m/>
  </r>
  <r>
    <x v="68"/>
    <d v="2025-03-22T00:00:00"/>
    <s v="American Express"/>
    <x v="4958"/>
    <n v="-17.989999999999998"/>
    <x v="0"/>
    <s v="Amazon"/>
    <m/>
    <m/>
    <m/>
    <m/>
    <m/>
    <m/>
    <m/>
    <x v="4398"/>
    <m/>
    <m/>
  </r>
  <r>
    <x v="70"/>
    <d v="2025-02-13T00:00:00"/>
    <s v="American Express"/>
    <x v="4958"/>
    <n v="-18.989999999999998"/>
    <x v="0"/>
    <s v="Amazon"/>
    <m/>
    <m/>
    <m/>
    <m/>
    <m/>
    <m/>
    <m/>
    <x v="4398"/>
    <m/>
    <m/>
  </r>
  <r>
    <x v="70"/>
    <d v="2025-02-13T00:00:00"/>
    <s v="American Express"/>
    <x v="4958"/>
    <n v="-19.39"/>
    <x v="0"/>
    <s v="Amazon"/>
    <m/>
    <m/>
    <m/>
    <m/>
    <m/>
    <m/>
    <m/>
    <x v="4398"/>
    <m/>
    <m/>
  </r>
  <r>
    <x v="69"/>
    <d v="2025-05-06T00:00:00"/>
    <s v="Powerplus - Ending in 8s30"/>
    <x v="5731"/>
    <n v="400"/>
    <x v="4"/>
    <s v="Day Care"/>
    <m/>
    <m/>
    <m/>
    <m/>
    <m/>
    <m/>
    <m/>
    <x v="4602"/>
    <m/>
    <m/>
  </r>
  <r>
    <x v="66"/>
    <d v="2025-01-28T00:00:00"/>
    <s v="Powerplus - Ending in 8s30"/>
    <x v="3787"/>
    <n v="-21.58"/>
    <x v="3"/>
    <s v="Delete"/>
    <m/>
    <m/>
    <m/>
    <m/>
    <m/>
    <m/>
    <m/>
    <x v="3342"/>
    <m/>
    <m/>
  </r>
  <r>
    <x v="69"/>
    <d v="2025-05-17T00:00:00"/>
    <s v="American Express"/>
    <x v="4958"/>
    <n v="-22.95"/>
    <x v="0"/>
    <s v="Amazon"/>
    <m/>
    <m/>
    <m/>
    <m/>
    <m/>
    <m/>
    <m/>
    <x v="4398"/>
    <m/>
    <m/>
  </r>
  <r>
    <x v="69"/>
    <d v="2025-05-15T00:00:00"/>
    <s v="American Express"/>
    <x v="4958"/>
    <n v="-28.99"/>
    <x v="0"/>
    <s v="Amazon"/>
    <m/>
    <m/>
    <m/>
    <m/>
    <m/>
    <m/>
    <m/>
    <x v="4398"/>
    <m/>
    <m/>
  </r>
  <r>
    <x v="69"/>
    <d v="2025-05-29T00:00:00"/>
    <s v="American Express"/>
    <x v="4958"/>
    <n v="-32.99"/>
    <x v="0"/>
    <s v="Amazon"/>
    <m/>
    <m/>
    <m/>
    <m/>
    <m/>
    <m/>
    <m/>
    <x v="4398"/>
    <m/>
    <m/>
  </r>
  <r>
    <x v="66"/>
    <d v="2025-01-16T00:00:00"/>
    <s v="American Express"/>
    <x v="4958"/>
    <n v="-33.14"/>
    <x v="0"/>
    <s v="Amazon"/>
    <m/>
    <m/>
    <m/>
    <m/>
    <m/>
    <m/>
    <m/>
    <x v="4398"/>
    <m/>
    <m/>
  </r>
  <r>
    <x v="69"/>
    <d v="2025-05-29T00:00:00"/>
    <s v="American Express"/>
    <x v="4958"/>
    <n v="-33.99"/>
    <x v="0"/>
    <s v="Amazon"/>
    <m/>
    <m/>
    <m/>
    <m/>
    <m/>
    <m/>
    <m/>
    <x v="4398"/>
    <m/>
    <m/>
  </r>
  <r>
    <x v="68"/>
    <d v="2025-03-09T00:00:00"/>
    <s v="Powerplus - Ending in 8s30"/>
    <x v="1065"/>
    <n v="-36"/>
    <x v="3"/>
    <s v="Delete"/>
    <m/>
    <m/>
    <m/>
    <m/>
    <m/>
    <m/>
    <m/>
    <x v="1015"/>
    <m/>
    <m/>
  </r>
  <r>
    <x v="70"/>
    <d v="2025-02-13T00:00:00"/>
    <s v="American Express"/>
    <x v="4958"/>
    <n v="-39.99"/>
    <x v="0"/>
    <s v="Amazon"/>
    <m/>
    <m/>
    <m/>
    <m/>
    <m/>
    <m/>
    <m/>
    <x v="4398"/>
    <m/>
    <m/>
  </r>
  <r>
    <x v="69"/>
    <d v="2025-05-06T00:00:00"/>
    <s v="Powerplus - Ending in 8s30"/>
    <x v="3787"/>
    <n v="-39.99"/>
    <x v="3"/>
    <s v="Delete"/>
    <m/>
    <m/>
    <m/>
    <m/>
    <m/>
    <m/>
    <m/>
    <x v="3342"/>
    <m/>
    <m/>
  </r>
  <r>
    <x v="68"/>
    <d v="2025-03-25T00:00:00"/>
    <s v="Powerplus - Ending in 8s30"/>
    <x v="3787"/>
    <n v="-40.450000000000003"/>
    <x v="3"/>
    <s v="Delete"/>
    <m/>
    <m/>
    <m/>
    <m/>
    <m/>
    <m/>
    <m/>
    <x v="3342"/>
    <m/>
    <m/>
  </r>
  <r>
    <x v="67"/>
    <d v="2025-04-30T00:00:00"/>
    <s v="Powerplus - Ending in 8s30"/>
    <x v="5732"/>
    <n v="-40.98"/>
    <x v="13"/>
    <s v="Inc - Other"/>
    <m/>
    <m/>
    <m/>
    <m/>
    <m/>
    <m/>
    <m/>
    <x v="5103"/>
    <m/>
    <m/>
  </r>
  <r>
    <x v="68"/>
    <d v="2025-03-16T00:00:00"/>
    <s v="Powerplus - Ending in 8s30"/>
    <x v="3652"/>
    <n v="-45"/>
    <x v="34"/>
    <s v="Britney"/>
    <m/>
    <m/>
    <m/>
    <m/>
    <m/>
    <m/>
    <m/>
    <x v="3214"/>
    <m/>
    <m/>
  </r>
  <r>
    <x v="70"/>
    <d v="2025-02-28T00:00:00"/>
    <s v="Powerplus - Ending in 8s30"/>
    <x v="5733"/>
    <n v="-45.31"/>
    <x v="13"/>
    <s v="Inc - Other"/>
    <m/>
    <m/>
    <m/>
    <m/>
    <m/>
    <m/>
    <m/>
    <x v="5104"/>
    <m/>
    <m/>
  </r>
  <r>
    <x v="68"/>
    <d v="2025-03-26T00:00:00"/>
    <s v="Powerplus - Ending in 8s30"/>
    <x v="3787"/>
    <n v="-45.48"/>
    <x v="3"/>
    <s v="Delete"/>
    <m/>
    <m/>
    <m/>
    <m/>
    <m/>
    <m/>
    <m/>
    <x v="3342"/>
    <m/>
    <m/>
  </r>
  <r>
    <x v="69"/>
    <d v="2025-05-10T00:00:00"/>
    <s v="American Express"/>
    <x v="5534"/>
    <n v="-46.6"/>
    <x v="1"/>
    <s v="Restaurants"/>
    <m/>
    <m/>
    <m/>
    <m/>
    <m/>
    <m/>
    <m/>
    <x v="4909"/>
    <m/>
    <m/>
  </r>
  <r>
    <x v="69"/>
    <d v="2025-05-28T00:00:00"/>
    <s v="American Express"/>
    <x v="4958"/>
    <n v="-48.93"/>
    <x v="0"/>
    <s v="Amazon"/>
    <m/>
    <m/>
    <m/>
    <m/>
    <m/>
    <m/>
    <m/>
    <x v="4398"/>
    <m/>
    <m/>
  </r>
  <r>
    <x v="67"/>
    <d v="2025-04-27T00:00:00"/>
    <s v="Cash Rewards Visa Signature - Ending in 5913"/>
    <x v="34"/>
    <n v="-48.98"/>
    <x v="12"/>
    <s v="Target"/>
    <m/>
    <m/>
    <m/>
    <m/>
    <m/>
    <m/>
    <m/>
    <x v="34"/>
    <m/>
    <m/>
  </r>
  <r>
    <x v="68"/>
    <d v="2025-03-31T00:00:00"/>
    <s v="Powerplus - Ending in 8s30"/>
    <x v="5734"/>
    <n v="-50.19"/>
    <x v="13"/>
    <s v="Inc - Other"/>
    <m/>
    <m/>
    <m/>
    <m/>
    <m/>
    <m/>
    <m/>
    <x v="5105"/>
    <m/>
    <m/>
  </r>
  <r>
    <x v="66"/>
    <d v="2025-01-31T00:00:00"/>
    <s v="Powerplus - Ending in 8s30"/>
    <x v="5735"/>
    <n v="-50.27"/>
    <x v="13"/>
    <s v="Inc - Other"/>
    <m/>
    <m/>
    <m/>
    <m/>
    <m/>
    <m/>
    <m/>
    <x v="5106"/>
    <m/>
    <m/>
  </r>
  <r>
    <x v="70"/>
    <d v="2025-02-10T00:00:00"/>
    <s v="Discover"/>
    <x v="1885"/>
    <n v="-50.77"/>
    <x v="23"/>
    <s v="Dividend"/>
    <m/>
    <m/>
    <m/>
    <m/>
    <m/>
    <m/>
    <m/>
    <x v="1738"/>
    <m/>
    <m/>
  </r>
  <r>
    <x v="68"/>
    <d v="2025-03-24T00:00:00"/>
    <s v="American Express"/>
    <x v="5123"/>
    <n v="-54"/>
    <x v="8"/>
    <s v="Shopping"/>
    <m/>
    <m/>
    <m/>
    <m/>
    <m/>
    <m/>
    <m/>
    <x v="4555"/>
    <m/>
    <m/>
  </r>
  <r>
    <x v="70"/>
    <d v="2025-02-25T00:00:00"/>
    <s v="Powerplus - Ending in 8s30"/>
    <x v="3787"/>
    <n v="-55.89"/>
    <x v="3"/>
    <s v="Delete"/>
    <m/>
    <m/>
    <m/>
    <m/>
    <m/>
    <m/>
    <m/>
    <x v="3342"/>
    <m/>
    <m/>
  </r>
  <r>
    <x v="67"/>
    <d v="2025-04-27T00:00:00"/>
    <s v="Cash Rewards Visa Signature - Ending in 5913"/>
    <x v="34"/>
    <n v="-57.15"/>
    <x v="12"/>
    <s v="Target"/>
    <m/>
    <m/>
    <m/>
    <m/>
    <m/>
    <m/>
    <m/>
    <x v="34"/>
    <m/>
    <m/>
  </r>
  <r>
    <x v="67"/>
    <d v="2025-04-18T00:00:00"/>
    <s v="Cash Rewards Visa Signature - Ending in 5913"/>
    <x v="4188"/>
    <n v="-58"/>
    <x v="8"/>
    <s v="Shopping"/>
    <m/>
    <m/>
    <m/>
    <m/>
    <m/>
    <m/>
    <m/>
    <x v="3717"/>
    <m/>
    <m/>
  </r>
  <r>
    <x v="70"/>
    <d v="2025-02-22T00:00:00"/>
    <s v="American Express"/>
    <x v="5164"/>
    <n v="-60"/>
    <x v="8"/>
    <s v="Shopping"/>
    <m/>
    <m/>
    <m/>
    <m/>
    <m/>
    <m/>
    <m/>
    <x v="4596"/>
    <m/>
    <m/>
  </r>
  <r>
    <x v="70"/>
    <d v="2025-02-25T00:00:00"/>
    <s v="Powerplus - Ending in 8s30"/>
    <x v="3787"/>
    <n v="-69.180000000000007"/>
    <x v="3"/>
    <s v="Delete"/>
    <m/>
    <m/>
    <m/>
    <m/>
    <m/>
    <m/>
    <m/>
    <x v="3342"/>
    <m/>
    <m/>
  </r>
  <r>
    <x v="70"/>
    <d v="2025-02-04T00:00:00"/>
    <s v="Powerplus - Ending in 8s30"/>
    <x v="3787"/>
    <n v="-74.95"/>
    <x v="3"/>
    <s v="Delete"/>
    <m/>
    <m/>
    <m/>
    <m/>
    <m/>
    <m/>
    <m/>
    <x v="3342"/>
    <m/>
    <m/>
  </r>
  <r>
    <x v="66"/>
    <d v="2025-01-29T00:00:00"/>
    <s v="Powerplus - Ending in 8s30"/>
    <x v="3652"/>
    <n v="-75"/>
    <x v="34"/>
    <s v="Britney"/>
    <m/>
    <m/>
    <m/>
    <m/>
    <m/>
    <m/>
    <m/>
    <x v="3214"/>
    <m/>
    <m/>
  </r>
  <r>
    <x v="68"/>
    <d v="2025-03-23T00:00:00"/>
    <s v="Powerplus - Ending in 8s30"/>
    <x v="3652"/>
    <n v="-75"/>
    <x v="34"/>
    <s v="Britney"/>
    <m/>
    <m/>
    <m/>
    <m/>
    <m/>
    <m/>
    <m/>
    <x v="3214"/>
    <m/>
    <m/>
  </r>
  <r>
    <x v="69"/>
    <d v="2025-05-25T00:00:00"/>
    <s v="Powerplus - Ending in 8s30"/>
    <x v="3652"/>
    <n v="-76.05"/>
    <x v="34"/>
    <s v="Britney"/>
    <m/>
    <m/>
    <m/>
    <m/>
    <m/>
    <m/>
    <m/>
    <x v="3214"/>
    <m/>
    <m/>
  </r>
  <r>
    <x v="69"/>
    <d v="2025-05-23T00:00:00"/>
    <s v="American Express"/>
    <x v="5416"/>
    <n v="-78"/>
    <x v="8"/>
    <s v="Shopping"/>
    <m/>
    <m/>
    <m/>
    <m/>
    <m/>
    <m/>
    <m/>
    <x v="4804"/>
    <m/>
    <m/>
  </r>
  <r>
    <x v="69"/>
    <d v="2025-05-18T00:00:00"/>
    <s v="Cash Rewards Visa Signature - Ending in 5913"/>
    <x v="1121"/>
    <n v="-78.02"/>
    <x v="8"/>
    <s v="Shopping"/>
    <m/>
    <m/>
    <m/>
    <m/>
    <m/>
    <m/>
    <m/>
    <x v="1067"/>
    <m/>
    <m/>
  </r>
  <r>
    <x v="70"/>
    <d v="2025-02-11T00:00:00"/>
    <s v="Powerplus - Ending in 8s30"/>
    <x v="3787"/>
    <n v="-84.83"/>
    <x v="3"/>
    <s v="Delete"/>
    <m/>
    <m/>
    <m/>
    <m/>
    <m/>
    <m/>
    <m/>
    <x v="3342"/>
    <m/>
    <m/>
  </r>
  <r>
    <x v="67"/>
    <d v="2025-04-18T00:00:00"/>
    <s v="Cash Rewards Visa Signature - Ending in 5913"/>
    <x v="34"/>
    <n v="-88.99"/>
    <x v="12"/>
    <s v="Target"/>
    <m/>
    <m/>
    <m/>
    <m/>
    <m/>
    <m/>
    <m/>
    <x v="34"/>
    <m/>
    <m/>
  </r>
  <r>
    <x v="66"/>
    <d v="2025-01-06T00:00:00"/>
    <s v="Discover"/>
    <x v="56"/>
    <n v="-95.75"/>
    <x v="3"/>
    <s v="Delete"/>
    <m/>
    <m/>
    <m/>
    <m/>
    <m/>
    <m/>
    <m/>
    <x v="56"/>
    <m/>
    <m/>
  </r>
  <r>
    <x v="66"/>
    <d v="2025-01-06T00:00:00"/>
    <s v="American Express"/>
    <x v="5070"/>
    <n v="-98"/>
    <x v="8"/>
    <s v="Shopping"/>
    <m/>
    <m/>
    <m/>
    <m/>
    <m/>
    <m/>
    <m/>
    <x v="4506"/>
    <m/>
    <m/>
  </r>
  <r>
    <x v="67"/>
    <d v="2025-04-17T00:00:00"/>
    <s v="Cash Rewards Visa Signature - Ending in 5913"/>
    <x v="4188"/>
    <n v="-98"/>
    <x v="8"/>
    <s v="Shopping"/>
    <m/>
    <m/>
    <m/>
    <m/>
    <m/>
    <m/>
    <m/>
    <x v="3717"/>
    <m/>
    <m/>
  </r>
  <r>
    <x v="67"/>
    <d v="2025-04-29T00:00:00"/>
    <s v="Cash Rewards Visa Signature - Ending in 5913"/>
    <x v="5736"/>
    <n v="-99.17"/>
    <x v="1"/>
    <s v="Restaurants"/>
    <m/>
    <m/>
    <m/>
    <m/>
    <m/>
    <m/>
    <m/>
    <x v="5107"/>
    <m/>
    <m/>
  </r>
  <r>
    <x v="70"/>
    <d v="2025-02-10T00:00:00"/>
    <s v="Powerplus - Ending in 8s30"/>
    <x v="1065"/>
    <n v="-100"/>
    <x v="3"/>
    <s v="Delete"/>
    <m/>
    <m/>
    <m/>
    <m/>
    <m/>
    <m/>
    <m/>
    <x v="1015"/>
    <m/>
    <m/>
  </r>
  <r>
    <x v="68"/>
    <d v="2025-03-19T00:00:00"/>
    <s v="Powerplus - Ending in 8s30"/>
    <x v="3787"/>
    <n v="-105"/>
    <x v="3"/>
    <s v="Delete"/>
    <m/>
    <m/>
    <m/>
    <m/>
    <m/>
    <m/>
    <m/>
    <x v="3342"/>
    <m/>
    <m/>
  </r>
  <r>
    <x v="67"/>
    <d v="2025-04-19T00:00:00"/>
    <s v="American Express"/>
    <x v="5070"/>
    <n v="-106"/>
    <x v="8"/>
    <s v="Shopping"/>
    <m/>
    <m/>
    <m/>
    <m/>
    <m/>
    <m/>
    <m/>
    <x v="4506"/>
    <m/>
    <m/>
  </r>
  <r>
    <x v="67"/>
    <d v="2025-04-19T00:00:00"/>
    <s v="American Express"/>
    <x v="5070"/>
    <n v="-106"/>
    <x v="8"/>
    <s v="Shopping"/>
    <m/>
    <m/>
    <m/>
    <m/>
    <m/>
    <m/>
    <m/>
    <x v="4506"/>
    <m/>
    <m/>
  </r>
  <r>
    <x v="67"/>
    <d v="2025-04-19T00:00:00"/>
    <s v="American Express"/>
    <x v="5070"/>
    <n v="-106"/>
    <x v="8"/>
    <s v="Shopping"/>
    <m/>
    <m/>
    <m/>
    <m/>
    <m/>
    <m/>
    <m/>
    <x v="4506"/>
    <m/>
    <m/>
  </r>
  <r>
    <x v="67"/>
    <d v="2025-04-19T00:00:00"/>
    <s v="American Express"/>
    <x v="5070"/>
    <n v="-106"/>
    <x v="8"/>
    <s v="Shopping"/>
    <m/>
    <m/>
    <m/>
    <m/>
    <m/>
    <m/>
    <m/>
    <x v="4506"/>
    <m/>
    <m/>
  </r>
  <r>
    <x v="67"/>
    <d v="2025-04-17T00:00:00"/>
    <s v="American Express"/>
    <x v="5417"/>
    <n v="-108.81"/>
    <x v="0"/>
    <s v="Amazon"/>
    <m/>
    <m/>
    <m/>
    <m/>
    <m/>
    <m/>
    <m/>
    <x v="4805"/>
    <m/>
    <m/>
  </r>
  <r>
    <x v="70"/>
    <d v="2025-02-04T00:00:00"/>
    <s v="Powerplus - Ending in 8s30"/>
    <x v="3787"/>
    <n v="-119.5"/>
    <x v="3"/>
    <s v="Delete"/>
    <m/>
    <m/>
    <m/>
    <m/>
    <m/>
    <m/>
    <m/>
    <x v="3342"/>
    <m/>
    <m/>
  </r>
  <r>
    <x v="67"/>
    <d v="2025-04-01T00:00:00"/>
    <s v="American Express"/>
    <x v="5388"/>
    <n v="-122"/>
    <x v="8"/>
    <s v="Shopping"/>
    <m/>
    <m/>
    <m/>
    <m/>
    <m/>
    <m/>
    <m/>
    <x v="4778"/>
    <m/>
    <m/>
  </r>
  <r>
    <x v="66"/>
    <d v="2025-01-10T00:00:00"/>
    <s v="American Express"/>
    <x v="5124"/>
    <n v="-129"/>
    <x v="8"/>
    <s v="Shopping"/>
    <m/>
    <m/>
    <m/>
    <m/>
    <m/>
    <m/>
    <m/>
    <x v="4556"/>
    <m/>
    <m/>
  </r>
  <r>
    <x v="67"/>
    <d v="2025-04-27T00:00:00"/>
    <s v="Powerplus - Ending in 8s30"/>
    <x v="3652"/>
    <n v="-134.5"/>
    <x v="34"/>
    <s v="Britney"/>
    <m/>
    <m/>
    <m/>
    <m/>
    <m/>
    <m/>
    <m/>
    <x v="3214"/>
    <m/>
    <m/>
  </r>
  <r>
    <x v="70"/>
    <d v="2025-02-19T00:00:00"/>
    <s v="Powerplus - Ending in 8s30"/>
    <x v="3652"/>
    <n v="-150"/>
    <x v="34"/>
    <s v="Britney"/>
    <m/>
    <m/>
    <m/>
    <m/>
    <m/>
    <m/>
    <m/>
    <x v="3214"/>
    <m/>
    <m/>
  </r>
  <r>
    <x v="68"/>
    <d v="2025-03-18T00:00:00"/>
    <s v="Discover"/>
    <x v="4999"/>
    <n v="-163.79"/>
    <x v="11"/>
    <s v="Utilities"/>
    <m/>
    <m/>
    <m/>
    <m/>
    <m/>
    <m/>
    <m/>
    <x v="4438"/>
    <m/>
    <m/>
  </r>
  <r>
    <x v="69"/>
    <d v="2025-05-06T00:00:00"/>
    <s v="American Express"/>
    <x v="5388"/>
    <n v="-216"/>
    <x v="8"/>
    <s v="Shopping"/>
    <m/>
    <m/>
    <m/>
    <m/>
    <m/>
    <m/>
    <m/>
    <x v="4778"/>
    <m/>
    <m/>
  </r>
  <r>
    <x v="69"/>
    <d v="2025-05-14T00:00:00"/>
    <s v="Powerplus - Ending in 8s30"/>
    <x v="3652"/>
    <n v="-227"/>
    <x v="34"/>
    <s v="Britney"/>
    <m/>
    <m/>
    <m/>
    <m/>
    <m/>
    <m/>
    <m/>
    <x v="3214"/>
    <m/>
    <m/>
  </r>
  <r>
    <x v="67"/>
    <d v="2025-04-03T00:00:00"/>
    <s v="Cash Rewards Visa Signature - Ending in 5913"/>
    <x v="4188"/>
    <n v="-314"/>
    <x v="8"/>
    <s v="Shopping"/>
    <m/>
    <m/>
    <m/>
    <m/>
    <m/>
    <m/>
    <m/>
    <x v="3717"/>
    <m/>
    <m/>
  </r>
  <r>
    <x v="66"/>
    <d v="2025-01-16T00:00:00"/>
    <s v="Powerplus - Ending in 8s30"/>
    <x v="3787"/>
    <n v="-395.68"/>
    <x v="3"/>
    <s v="Delete"/>
    <m/>
    <m/>
    <m/>
    <m/>
    <m/>
    <m/>
    <m/>
    <x v="3342"/>
    <m/>
    <m/>
  </r>
  <r>
    <x v="70"/>
    <d v="2025-02-10T00:00:00"/>
    <s v="Cash Rewards Visa Signature - Ending in 5913"/>
    <x v="1879"/>
    <n v="-435.4"/>
    <x v="3"/>
    <s v="Delete"/>
    <m/>
    <m/>
    <m/>
    <m/>
    <m/>
    <m/>
    <m/>
    <x v="1732"/>
    <m/>
    <m/>
  </r>
  <r>
    <x v="67"/>
    <d v="2025-04-23T00:00:00"/>
    <s v="Discover"/>
    <x v="56"/>
    <n v="-517.17999999999995"/>
    <x v="3"/>
    <s v="Delete"/>
    <m/>
    <m/>
    <m/>
    <m/>
    <m/>
    <m/>
    <m/>
    <x v="56"/>
    <m/>
    <m/>
  </r>
  <r>
    <x v="67"/>
    <d v="2025-04-08T00:00:00"/>
    <s v="Discover"/>
    <x v="56"/>
    <n v="-525.80999999999995"/>
    <x v="3"/>
    <s v="Delete"/>
    <m/>
    <m/>
    <m/>
    <m/>
    <m/>
    <m/>
    <m/>
    <x v="56"/>
    <m/>
    <m/>
  </r>
  <r>
    <x v="70"/>
    <d v="2025-02-10T00:00:00"/>
    <s v="Discover"/>
    <x v="56"/>
    <n v="-673.07"/>
    <x v="3"/>
    <s v="Delete"/>
    <m/>
    <m/>
    <m/>
    <m/>
    <m/>
    <m/>
    <m/>
    <x v="56"/>
    <m/>
    <m/>
  </r>
  <r>
    <x v="66"/>
    <d v="2025-01-31T00:00:00"/>
    <s v="Cash Rewards Visa Signature - Ending in 5913"/>
    <x v="1879"/>
    <n v="-767.27"/>
    <x v="3"/>
    <s v="Delete"/>
    <m/>
    <m/>
    <m/>
    <m/>
    <m/>
    <m/>
    <m/>
    <x v="1732"/>
    <m/>
    <m/>
  </r>
  <r>
    <x v="69"/>
    <d v="2025-05-12T00:00:00"/>
    <s v="Cash Rewards Visa Signature - Ending in 5913"/>
    <x v="1879"/>
    <n v="-833.78"/>
    <x v="3"/>
    <s v="Delete"/>
    <m/>
    <m/>
    <m/>
    <m/>
    <m/>
    <m/>
    <m/>
    <x v="1732"/>
    <m/>
    <m/>
  </r>
  <r>
    <x v="67"/>
    <d v="2025-04-29T00:00:00"/>
    <s v="Cash Rewards Visa Signature - Ending in 5913"/>
    <x v="1879"/>
    <n v="-835.66"/>
    <x v="3"/>
    <s v="Delete"/>
    <m/>
    <m/>
    <m/>
    <m/>
    <m/>
    <m/>
    <m/>
    <x v="1732"/>
    <m/>
    <m/>
  </r>
  <r>
    <x v="68"/>
    <d v="2025-03-30T00:00:00"/>
    <s v="Powerplus - Ending in 8s30"/>
    <x v="5737"/>
    <n v="-859"/>
    <x v="3"/>
    <s v="Delete"/>
    <m/>
    <m/>
    <m/>
    <m/>
    <m/>
    <m/>
    <m/>
    <x v="5108"/>
    <m/>
    <m/>
  </r>
  <r>
    <x v="69"/>
    <d v="2025-05-09T00:00:00"/>
    <s v="Cash Rewards Visa Signature - Ending in 5913"/>
    <x v="5738"/>
    <n v="148.52000000000001"/>
    <x v="4"/>
    <s v="Restaurants"/>
    <s v="Exp - Day Care"/>
    <m/>
    <m/>
    <m/>
    <m/>
    <m/>
    <m/>
    <x v="5109"/>
    <m/>
    <m/>
  </r>
  <r>
    <x v="69"/>
    <d v="2025-05-13T00:00:00"/>
    <s v="Powerplus - Ending in 8s30"/>
    <x v="5739"/>
    <n v="30"/>
    <x v="4"/>
    <s v="Day Care"/>
    <m/>
    <m/>
    <m/>
    <m/>
    <m/>
    <m/>
    <m/>
    <x v="4602"/>
    <m/>
    <m/>
  </r>
  <r>
    <x v="67"/>
    <d v="2025-04-13T00:00:00"/>
    <s v="Powerplus - Ending in 8s30"/>
    <x v="1065"/>
    <n v="-958"/>
    <x v="3"/>
    <s v="Delete"/>
    <m/>
    <m/>
    <m/>
    <m/>
    <m/>
    <m/>
    <m/>
    <x v="1015"/>
    <m/>
    <m/>
  </r>
  <r>
    <x v="68"/>
    <d v="2025-03-13T00:00:00"/>
    <s v="Powerplus - Ending in 8s30"/>
    <x v="5740"/>
    <n v="-998.67"/>
    <x v="6"/>
    <s v="Rent"/>
    <m/>
    <m/>
    <m/>
    <m/>
    <m/>
    <m/>
    <m/>
    <x v="5110"/>
    <m/>
    <m/>
  </r>
  <r>
    <x v="67"/>
    <d v="2025-04-05T00:00:00"/>
    <s v="American Express"/>
    <x v="4452"/>
    <n v="-1212"/>
    <x v="3"/>
    <s v="Delete"/>
    <m/>
    <m/>
    <m/>
    <m/>
    <m/>
    <m/>
    <m/>
    <x v="3953"/>
    <m/>
    <m/>
  </r>
  <r>
    <x v="67"/>
    <d v="2025-04-16T00:00:00"/>
    <s v="Cash Rewards Visa Signature - Ending in 5913"/>
    <x v="1879"/>
    <n v="-1218.6099999999999"/>
    <x v="3"/>
    <s v="Delete"/>
    <m/>
    <m/>
    <m/>
    <m/>
    <m/>
    <m/>
    <m/>
    <x v="1732"/>
    <m/>
    <m/>
  </r>
  <r>
    <x v="69"/>
    <d v="2025-05-15T00:00:00"/>
    <s v="Powerplus - Ending in 8s30"/>
    <x v="5741"/>
    <n v="-3191.24"/>
    <x v="57"/>
    <s v="Day Care"/>
    <s v="Inc - Jeff"/>
    <m/>
    <m/>
    <m/>
    <m/>
    <m/>
    <m/>
    <x v="4756"/>
    <m/>
    <m/>
  </r>
  <r>
    <x v="70"/>
    <d v="2025-02-10T00:00:00"/>
    <s v="American Express"/>
    <x v="3506"/>
    <n v="-1269.1099999999999"/>
    <x v="3"/>
    <s v="Delete"/>
    <m/>
    <m/>
    <m/>
    <m/>
    <m/>
    <m/>
    <m/>
    <x v="3095"/>
    <m/>
    <m/>
  </r>
  <r>
    <x v="68"/>
    <d v="2025-03-12T00:00:00"/>
    <s v="Cash Rewards Visa Signature - Ending in 5913"/>
    <x v="1879"/>
    <n v="-1434.28"/>
    <x v="3"/>
    <s v="Delete"/>
    <m/>
    <m/>
    <m/>
    <m/>
    <m/>
    <m/>
    <m/>
    <x v="1732"/>
    <m/>
    <m/>
  </r>
  <r>
    <x v="68"/>
    <d v="2025-03-26T00:00:00"/>
    <s v="Cash Rewards Visa Signature - Ending in 5913"/>
    <x v="1879"/>
    <n v="-1750.64"/>
    <x v="3"/>
    <s v="Delete"/>
    <m/>
    <m/>
    <m/>
    <m/>
    <m/>
    <m/>
    <m/>
    <x v="1732"/>
    <m/>
    <m/>
  </r>
  <r>
    <x v="69"/>
    <d v="2025-05-19T00:00:00"/>
    <s v="Powerplus - Ending in 8s30"/>
    <x v="5742"/>
    <n v="650"/>
    <x v="9"/>
    <s v="Day Care"/>
    <s v="Sav - College Savings"/>
    <m/>
    <m/>
    <m/>
    <m/>
    <m/>
    <m/>
    <x v="3267"/>
    <m/>
    <m/>
  </r>
  <r>
    <x v="69"/>
    <d v="2025-05-22T00:00:00"/>
    <s v="Powerplus - Ending in 8s30"/>
    <x v="4342"/>
    <n v="-2000"/>
    <x v="3"/>
    <s v="Delete"/>
    <m/>
    <m/>
    <m/>
    <m/>
    <m/>
    <m/>
    <m/>
    <x v="3855"/>
    <m/>
    <m/>
  </r>
  <r>
    <x v="66"/>
    <d v="2025-01-13T00:00:00"/>
    <s v="Powerplus - Ending in 8s30"/>
    <x v="4342"/>
    <n v="-2129.75"/>
    <x v="3"/>
    <s v="Delete"/>
    <m/>
    <m/>
    <m/>
    <m/>
    <m/>
    <m/>
    <m/>
    <x v="3855"/>
    <m/>
    <m/>
  </r>
  <r>
    <x v="67"/>
    <d v="2025-04-24T00:00:00"/>
    <s v="American Express"/>
    <x v="3506"/>
    <n v="-2287.23"/>
    <x v="3"/>
    <s v="Delete"/>
    <m/>
    <m/>
    <m/>
    <m/>
    <m/>
    <m/>
    <m/>
    <x v="3095"/>
    <m/>
    <m/>
  </r>
  <r>
    <x v="69"/>
    <d v="2025-05-21T00:00:00"/>
    <s v="Powerplus - Ending in 8s30"/>
    <x v="5743"/>
    <n v="69.900000000000006"/>
    <x v="4"/>
    <s v="Day Care"/>
    <m/>
    <m/>
    <m/>
    <m/>
    <m/>
    <m/>
    <m/>
    <x v="3287"/>
    <m/>
    <m/>
  </r>
  <r>
    <x v="69"/>
    <d v="2025-05-29T00:00:00"/>
    <s v="American Express"/>
    <x v="3506"/>
    <n v="-2405.09"/>
    <x v="3"/>
    <s v="Delete"/>
    <m/>
    <m/>
    <m/>
    <m/>
    <m/>
    <m/>
    <m/>
    <x v="3095"/>
    <m/>
    <m/>
  </r>
  <r>
    <x v="66"/>
    <d v="2025-01-16T00:00:00"/>
    <s v="Powerplus - Ending in 8s30"/>
    <x v="1893"/>
    <n v="-3140.33"/>
    <x v="34"/>
    <s v="Britney"/>
    <m/>
    <m/>
    <m/>
    <m/>
    <m/>
    <m/>
    <m/>
    <x v="1746"/>
    <m/>
    <m/>
  </r>
  <r>
    <x v="66"/>
    <d v="2025-01-02T00:00:00"/>
    <s v="Powerplus - Ending in 8s30"/>
    <x v="1893"/>
    <n v="-3140.34"/>
    <x v="34"/>
    <s v="Britney"/>
    <m/>
    <m/>
    <m/>
    <m/>
    <m/>
    <m/>
    <m/>
    <x v="1746"/>
    <m/>
    <m/>
  </r>
  <r>
    <x v="67"/>
    <d v="2025-04-10T00:00:00"/>
    <s v="Powerplus - Ending in 8s30"/>
    <x v="1893"/>
    <n v="-3143"/>
    <x v="34"/>
    <s v="Britney"/>
    <m/>
    <m/>
    <m/>
    <m/>
    <m/>
    <m/>
    <m/>
    <x v="1746"/>
    <m/>
    <m/>
  </r>
  <r>
    <x v="66"/>
    <d v="2025-01-30T00:00:00"/>
    <s v="Powerplus - Ending in 8s30"/>
    <x v="1893"/>
    <n v="-3143.01"/>
    <x v="34"/>
    <s v="Britney"/>
    <m/>
    <m/>
    <m/>
    <m/>
    <m/>
    <m/>
    <m/>
    <x v="1746"/>
    <m/>
    <m/>
  </r>
  <r>
    <x v="70"/>
    <d v="2025-02-13T00:00:00"/>
    <s v="Powerplus - Ending in 8s30"/>
    <x v="1893"/>
    <n v="-3143.01"/>
    <x v="34"/>
    <s v="Britney"/>
    <m/>
    <m/>
    <m/>
    <m/>
    <m/>
    <m/>
    <m/>
    <x v="1746"/>
    <m/>
    <m/>
  </r>
  <r>
    <x v="68"/>
    <d v="2025-03-13T00:00:00"/>
    <s v="Powerplus - Ending in 8s30"/>
    <x v="1893"/>
    <n v="-3143.01"/>
    <x v="34"/>
    <s v="Britney"/>
    <m/>
    <m/>
    <m/>
    <m/>
    <m/>
    <m/>
    <m/>
    <x v="1746"/>
    <m/>
    <m/>
  </r>
  <r>
    <x v="69"/>
    <d v="2025-05-08T00:00:00"/>
    <s v="Powerplus - Ending in 8s30"/>
    <x v="1893"/>
    <n v="-3143.01"/>
    <x v="34"/>
    <s v="Britney"/>
    <m/>
    <m/>
    <m/>
    <m/>
    <m/>
    <m/>
    <m/>
    <x v="1746"/>
    <m/>
    <m/>
  </r>
  <r>
    <x v="68"/>
    <d v="2025-03-27T00:00:00"/>
    <s v="Powerplus - Ending in 8s30"/>
    <x v="1893"/>
    <n v="-3143.02"/>
    <x v="34"/>
    <s v="Britney"/>
    <m/>
    <m/>
    <m/>
    <m/>
    <m/>
    <m/>
    <m/>
    <x v="1746"/>
    <m/>
    <m/>
  </r>
  <r>
    <x v="67"/>
    <d v="2025-04-24T00:00:00"/>
    <s v="Powerplus - Ending in 8s30"/>
    <x v="1893"/>
    <n v="-3143.02"/>
    <x v="34"/>
    <s v="Britney"/>
    <m/>
    <m/>
    <m/>
    <m/>
    <m/>
    <m/>
    <m/>
    <x v="1746"/>
    <m/>
    <m/>
  </r>
  <r>
    <x v="69"/>
    <d v="2025-05-22T00:00:00"/>
    <s v="Powerplus - Ending in 8s30"/>
    <x v="1893"/>
    <n v="-3143.02"/>
    <x v="34"/>
    <s v="Britney"/>
    <m/>
    <m/>
    <m/>
    <m/>
    <m/>
    <m/>
    <m/>
    <x v="1746"/>
    <m/>
    <m/>
  </r>
  <r>
    <x v="70"/>
    <d v="2025-02-27T00:00:00"/>
    <s v="Powerplus - Ending in 8s30"/>
    <x v="1893"/>
    <n v="-3145.7"/>
    <x v="34"/>
    <s v="Britney"/>
    <m/>
    <m/>
    <m/>
    <m/>
    <m/>
    <m/>
    <m/>
    <x v="1746"/>
    <m/>
    <m/>
  </r>
  <r>
    <x v="69"/>
    <d v="2025-05-30T00:00:00"/>
    <s v="Powerplus - Ending in 8s30"/>
    <x v="5744"/>
    <n v="125"/>
    <x v="4"/>
    <s v="Day Care"/>
    <m/>
    <m/>
    <m/>
    <m/>
    <m/>
    <m/>
    <m/>
    <x v="2053"/>
    <m/>
    <m/>
  </r>
  <r>
    <x v="66"/>
    <d v="2025-01-14T00:00:00"/>
    <s v="Powerplus - Ending in 8s30"/>
    <x v="3684"/>
    <n v="-3241.86"/>
    <x v="57"/>
    <s v="Jeff"/>
    <m/>
    <m/>
    <m/>
    <m/>
    <m/>
    <m/>
    <m/>
    <x v="3245"/>
    <m/>
    <m/>
  </r>
  <r>
    <x v="70"/>
    <d v="2025-02-13T00:00:00"/>
    <s v="Powerplus - Ending in 8s30"/>
    <x v="3684"/>
    <n v="-3241.87"/>
    <x v="57"/>
    <s v="Jeff"/>
    <m/>
    <m/>
    <m/>
    <m/>
    <m/>
    <m/>
    <m/>
    <x v="3245"/>
    <m/>
    <m/>
  </r>
  <r>
    <x v="70"/>
    <d v="2025-02-27T00:00:00"/>
    <s v="Powerplus - Ending in 8s30"/>
    <x v="3684"/>
    <n v="-3241.87"/>
    <x v="57"/>
    <s v="Jeff"/>
    <m/>
    <m/>
    <m/>
    <m/>
    <m/>
    <m/>
    <m/>
    <x v="3245"/>
    <m/>
    <m/>
  </r>
  <r>
    <x v="66"/>
    <d v="2025-01-30T00:00:00"/>
    <s v="Powerplus - Ending in 8s30"/>
    <x v="3684"/>
    <n v="-3241.88"/>
    <x v="57"/>
    <s v="Jeff"/>
    <m/>
    <m/>
    <m/>
    <m/>
    <m/>
    <m/>
    <m/>
    <x v="3245"/>
    <m/>
    <m/>
  </r>
  <r>
    <x v="69"/>
    <d v="2025-05-14T00:00:00"/>
    <s v="Powerplus - Ending in 8s30"/>
    <x v="3684"/>
    <n v="-3398.11"/>
    <x v="57"/>
    <s v="Jeff"/>
    <m/>
    <m/>
    <m/>
    <m/>
    <m/>
    <m/>
    <m/>
    <x v="3245"/>
    <m/>
    <m/>
  </r>
  <r>
    <x v="67"/>
    <d v="2025-04-13T00:00:00"/>
    <s v="Powerplus - Ending in 8s30"/>
    <x v="3684"/>
    <n v="-3398.12"/>
    <x v="57"/>
    <s v="Jeff"/>
    <m/>
    <m/>
    <m/>
    <m/>
    <m/>
    <m/>
    <m/>
    <x v="3245"/>
    <m/>
    <m/>
  </r>
  <r>
    <x v="68"/>
    <d v="2025-03-30T00:00:00"/>
    <s v="Powerplus - Ending in 8s30"/>
    <x v="3684"/>
    <n v="-3398.13"/>
    <x v="57"/>
    <s v="Jeff"/>
    <m/>
    <m/>
    <m/>
    <m/>
    <m/>
    <m/>
    <m/>
    <x v="3245"/>
    <m/>
    <m/>
  </r>
  <r>
    <x v="67"/>
    <d v="2025-04-29T00:00:00"/>
    <s v="Powerplus - Ending in 8s30"/>
    <x v="3684"/>
    <n v="-3398.14"/>
    <x v="57"/>
    <s v="Jeff"/>
    <m/>
    <m/>
    <m/>
    <m/>
    <m/>
    <m/>
    <m/>
    <x v="3245"/>
    <m/>
    <m/>
  </r>
  <r>
    <x v="69"/>
    <d v="2025-05-29T00:00:00"/>
    <s v="Powerplus - Ending in 8s30"/>
    <x v="3684"/>
    <n v="-3398.14"/>
    <x v="57"/>
    <s v="Jeff"/>
    <m/>
    <m/>
    <m/>
    <m/>
    <m/>
    <m/>
    <m/>
    <x v="3245"/>
    <m/>
    <m/>
  </r>
  <r>
    <x v="68"/>
    <d v="2025-03-13T00:00:00"/>
    <s v="American Express"/>
    <x v="3506"/>
    <n v="-3444.87"/>
    <x v="3"/>
    <s v="Delete"/>
    <m/>
    <m/>
    <m/>
    <m/>
    <m/>
    <m/>
    <m/>
    <x v="3095"/>
    <m/>
    <m/>
  </r>
  <r>
    <x v="66"/>
    <d v="2025-01-31T00:00:00"/>
    <s v="American Express"/>
    <x v="3506"/>
    <n v="-3606.01"/>
    <x v="3"/>
    <s v="Delete"/>
    <m/>
    <m/>
    <m/>
    <m/>
    <m/>
    <m/>
    <m/>
    <x v="3095"/>
    <m/>
    <m/>
  </r>
  <r>
    <x v="66"/>
    <d v="2025-01-17T00:00:00"/>
    <s v="American Express"/>
    <x v="3506"/>
    <n v="-3854.15"/>
    <x v="3"/>
    <s v="Delete"/>
    <m/>
    <m/>
    <m/>
    <m/>
    <m/>
    <m/>
    <m/>
    <x v="3095"/>
    <m/>
    <m/>
  </r>
  <r>
    <x v="68"/>
    <d v="2025-03-11T00:00:00"/>
    <s v="Powerplus - Ending in 8s30"/>
    <x v="5745"/>
    <n v="-4339"/>
    <x v="3"/>
    <s v="Delete"/>
    <m/>
    <m/>
    <m/>
    <m/>
    <m/>
    <m/>
    <m/>
    <x v="5111"/>
    <m/>
    <m/>
  </r>
  <r>
    <x v="69"/>
    <d v="2025-05-13T00:00:00"/>
    <s v="Powerplus - Ending in 8s30"/>
    <x v="4342"/>
    <n v="-4953"/>
    <x v="3"/>
    <s v="Delete"/>
    <m/>
    <m/>
    <m/>
    <m/>
    <m/>
    <m/>
    <m/>
    <x v="3855"/>
    <m/>
    <m/>
  </r>
  <r>
    <x v="66"/>
    <d v="2025-01-06T00:00:00"/>
    <s v="American Express"/>
    <x v="3506"/>
    <n v="-5071.66"/>
    <x v="3"/>
    <s v="Delete"/>
    <m/>
    <m/>
    <m/>
    <m/>
    <m/>
    <m/>
    <m/>
    <x v="3095"/>
    <m/>
    <m/>
  </r>
  <r>
    <x v="67"/>
    <d v="2025-04-13T00:00:00"/>
    <s v="American Express"/>
    <x v="3506"/>
    <n v="-6219.22"/>
    <x v="3"/>
    <s v="Delete"/>
    <m/>
    <m/>
    <m/>
    <m/>
    <m/>
    <m/>
    <m/>
    <x v="3095"/>
    <m/>
    <m/>
  </r>
  <r>
    <x v="70"/>
    <d v="2025-02-27T00:00:00"/>
    <s v="American Express"/>
    <x v="3506"/>
    <n v="-7257.44"/>
    <x v="3"/>
    <s v="Delete"/>
    <m/>
    <m/>
    <m/>
    <m/>
    <m/>
    <m/>
    <m/>
    <x v="3095"/>
    <m/>
    <m/>
  </r>
  <r>
    <x v="68"/>
    <d v="2025-03-30T00:00:00"/>
    <s v="Powerplus - Ending in 8s30"/>
    <x v="5746"/>
    <n v="-8086"/>
    <x v="57"/>
    <s v="Jeff"/>
    <m/>
    <m/>
    <m/>
    <m/>
    <m/>
    <m/>
    <m/>
    <x v="5112"/>
    <m/>
    <m/>
  </r>
  <r>
    <x v="69"/>
    <d v="2025-05-21T00:00:00"/>
    <s v="American Express"/>
    <x v="3506"/>
    <n v="-9001.94"/>
    <x v="3"/>
    <s v="Delete"/>
    <m/>
    <m/>
    <m/>
    <m/>
    <m/>
    <m/>
    <m/>
    <x v="3095"/>
    <m/>
    <m/>
  </r>
  <r>
    <x v="70"/>
    <d v="2025-02-11T00:00:00"/>
    <s v="Powerplus - Ending in 8s30"/>
    <x v="4342"/>
    <n v="-20000"/>
    <x v="3"/>
    <s v="Delete"/>
    <m/>
    <m/>
    <m/>
    <m/>
    <m/>
    <m/>
    <m/>
    <x v="3855"/>
    <m/>
    <m/>
  </r>
  <r>
    <x v="68"/>
    <d v="2025-03-13T00:00:00"/>
    <s v="Powerplus - Ending in 8s30"/>
    <x v="3684"/>
    <n v="-21426.38"/>
    <x v="57"/>
    <s v="Jeff"/>
    <m/>
    <m/>
    <m/>
    <m/>
    <m/>
    <m/>
    <m/>
    <x v="3245"/>
    <m/>
    <m/>
  </r>
  <r>
    <x v="66"/>
    <d v="2025-01-03T00:00:00"/>
    <s v="Powerplus - Ending in 8s30"/>
    <x v="4342"/>
    <n v="-28116"/>
    <x v="3"/>
    <s v="Delete"/>
    <m/>
    <m/>
    <m/>
    <m/>
    <m/>
    <m/>
    <m/>
    <x v="3855"/>
    <m/>
    <m/>
  </r>
  <r>
    <x v="71"/>
    <d v="2025-10-08T00:00:00"/>
    <s v="Powerplus - Ending in 8s30"/>
    <x v="5747"/>
    <n v="43385.5"/>
    <x v="30"/>
    <s v="Day Care"/>
    <s v="Exp - House"/>
    <m/>
    <m/>
    <m/>
    <m/>
    <m/>
    <m/>
    <x v="5113"/>
    <m/>
    <m/>
  </r>
  <r>
    <x v="72"/>
    <d v="2025-09-08T00:00:00"/>
    <s v="Powerplus - Ending in 8s30"/>
    <x v="5748"/>
    <n v="43385.5"/>
    <x v="30"/>
    <s v="Day Care"/>
    <s v="Exp - House"/>
    <m/>
    <m/>
    <m/>
    <m/>
    <m/>
    <m/>
    <x v="5114"/>
    <m/>
    <m/>
  </r>
  <r>
    <x v="73"/>
    <d v="2025-07-30T00:00:00"/>
    <s v="Powerplus - Ending in 8s30"/>
    <x v="5749"/>
    <n v="43385.5"/>
    <x v="30"/>
    <s v="House"/>
    <s v="Exp - House"/>
    <m/>
    <m/>
    <m/>
    <m/>
    <m/>
    <m/>
    <x v="5115"/>
    <m/>
    <m/>
  </r>
  <r>
    <x v="74"/>
    <d v="2025-06-30T00:00:00"/>
    <s v="Powerplus - Ending in 8s30"/>
    <x v="5750"/>
    <n v="43385.5"/>
    <x v="30"/>
    <s v="House"/>
    <s v="Exp - House"/>
    <m/>
    <m/>
    <m/>
    <m/>
    <m/>
    <m/>
    <x v="5116"/>
    <m/>
    <m/>
  </r>
  <r>
    <x v="71"/>
    <d v="2025-10-24T00:00:00"/>
    <s v="Powerplus - Ending in 8s30"/>
    <x v="2020"/>
    <n v="8080.9"/>
    <x v="3"/>
    <s v="Delete"/>
    <m/>
    <m/>
    <m/>
    <m/>
    <m/>
    <m/>
    <m/>
    <x v="1870"/>
    <m/>
    <m/>
  </r>
  <r>
    <x v="75"/>
    <d v="2025-11-04T00:00:00"/>
    <s v="Powerplus - Ending in 8s30"/>
    <x v="2020"/>
    <n v="7216.93"/>
    <x v="11"/>
    <s v="Utilities"/>
    <m/>
    <m/>
    <m/>
    <m/>
    <m/>
    <m/>
    <m/>
    <x v="1870"/>
    <m/>
    <m/>
  </r>
  <r>
    <x v="76"/>
    <d v="2025-08-18T00:00:00"/>
    <s v="Powerplus - Ending in 8s30"/>
    <x v="2020"/>
    <n v="6493.26"/>
    <x v="3"/>
    <s v="Utilities"/>
    <s v="Delete"/>
    <m/>
    <m/>
    <m/>
    <m/>
    <m/>
    <m/>
    <x v="1870"/>
    <m/>
    <m/>
  </r>
  <r>
    <x v="73"/>
    <d v="2025-07-09T00:00:00"/>
    <s v="Powerplus - Ending in 8s30"/>
    <x v="5751"/>
    <n v="4953.5"/>
    <x v="30"/>
    <s v="House"/>
    <m/>
    <m/>
    <m/>
    <m/>
    <m/>
    <m/>
    <m/>
    <x v="5117"/>
    <m/>
    <m/>
  </r>
  <r>
    <x v="73"/>
    <d v="2025-07-30T00:00:00"/>
    <s v="Powerplus - Ending in 8s30"/>
    <x v="2020"/>
    <n v="4712.62"/>
    <x v="3"/>
    <s v="Utilities"/>
    <s v="Delete"/>
    <m/>
    <m/>
    <m/>
    <m/>
    <m/>
    <m/>
    <x v="1870"/>
    <m/>
    <m/>
  </r>
  <r>
    <x v="72"/>
    <d v="2025-09-30T00:00:00"/>
    <s v="Powerplus - Ending in 8s30"/>
    <x v="2020"/>
    <n v="4360.6099999999997"/>
    <x v="3"/>
    <s v="Utilities"/>
    <s v="Delete"/>
    <m/>
    <m/>
    <m/>
    <m/>
    <m/>
    <m/>
    <x v="1870"/>
    <m/>
    <m/>
  </r>
  <r>
    <x v="73"/>
    <d v="2025-07-15T00:00:00"/>
    <s v="Powerplus - Ending in 8s30"/>
    <x v="2020"/>
    <n v="3892.59"/>
    <x v="3"/>
    <s v="Utilities"/>
    <s v="Delete"/>
    <m/>
    <m/>
    <m/>
    <m/>
    <m/>
    <m/>
    <x v="1870"/>
    <m/>
    <m/>
  </r>
  <r>
    <x v="74"/>
    <d v="2025-06-13T00:00:00"/>
    <s v="Powerplus - Ending in 8s30"/>
    <x v="2020"/>
    <n v="3719.33"/>
    <x v="3"/>
    <s v="Utilities"/>
    <s v="Delete"/>
    <m/>
    <m/>
    <m/>
    <m/>
    <m/>
    <m/>
    <x v="1870"/>
    <m/>
    <m/>
  </r>
  <r>
    <x v="75"/>
    <d v="2025-11-03T00:00:00"/>
    <s v="Powerplus - Ending in 8s30"/>
    <x v="1844"/>
    <n v="3378.51"/>
    <x v="6"/>
    <s v="Rent"/>
    <m/>
    <m/>
    <m/>
    <m/>
    <m/>
    <m/>
    <m/>
    <x v="1699"/>
    <m/>
    <m/>
  </r>
  <r>
    <x v="71"/>
    <d v="2025-10-01T00:00:00"/>
    <s v="Powerplus - Ending in 8s30"/>
    <x v="1844"/>
    <n v="3378.51"/>
    <x v="6"/>
    <s v="Rent"/>
    <m/>
    <m/>
    <m/>
    <m/>
    <m/>
    <m/>
    <m/>
    <x v="1699"/>
    <m/>
    <m/>
  </r>
  <r>
    <x v="72"/>
    <d v="2025-09-02T00:00:00"/>
    <s v="Powerplus - Ending in 8s30"/>
    <x v="1844"/>
    <n v="3378.51"/>
    <x v="6"/>
    <s v="Rent"/>
    <m/>
    <m/>
    <m/>
    <m/>
    <m/>
    <m/>
    <m/>
    <x v="1699"/>
    <m/>
    <m/>
  </r>
  <r>
    <x v="72"/>
    <d v="2025-09-09T00:00:00"/>
    <s v="Powerplus - Ending in 8s30"/>
    <x v="2020"/>
    <n v="3171.03"/>
    <x v="3"/>
    <s v="Utilities"/>
    <s v="Delete"/>
    <m/>
    <m/>
    <m/>
    <m/>
    <m/>
    <m/>
    <x v="1870"/>
    <m/>
    <m/>
  </r>
  <r>
    <x v="76"/>
    <d v="2025-08-01T00:00:00"/>
    <s v="Powerplus - Ending in 8s30"/>
    <x v="1844"/>
    <n v="2745.43"/>
    <x v="6"/>
    <s v="Rent"/>
    <m/>
    <m/>
    <m/>
    <m/>
    <m/>
    <m/>
    <m/>
    <x v="1699"/>
    <m/>
    <m/>
  </r>
  <r>
    <x v="73"/>
    <d v="2025-07-03T00:00:00"/>
    <s v="Powerplus - Ending in 8s30"/>
    <x v="1844"/>
    <n v="2745.43"/>
    <x v="6"/>
    <s v="Rent"/>
    <m/>
    <m/>
    <m/>
    <m/>
    <m/>
    <m/>
    <m/>
    <x v="1699"/>
    <m/>
    <m/>
  </r>
  <r>
    <x v="74"/>
    <d v="2025-06-02T00:00:00"/>
    <s v="Powerplus - Ending in 8s30"/>
    <x v="1844"/>
    <n v="2745.43"/>
    <x v="6"/>
    <s v="Rent"/>
    <m/>
    <m/>
    <m/>
    <m/>
    <m/>
    <m/>
    <m/>
    <x v="1699"/>
    <m/>
    <m/>
  </r>
  <r>
    <x v="71"/>
    <d v="2025-10-23T00:00:00"/>
    <s v="Powerplus - Ending in 8s30"/>
    <x v="3657"/>
    <n v="2415.2800000000002"/>
    <x v="3"/>
    <s v="Delete"/>
    <m/>
    <m/>
    <m/>
    <m/>
    <m/>
    <m/>
    <m/>
    <x v="3219"/>
    <m/>
    <m/>
  </r>
  <r>
    <x v="73"/>
    <d v="2025-07-11T00:00:00"/>
    <s v="American Express"/>
    <x v="1861"/>
    <n v="2253.21"/>
    <x v="3"/>
    <s v="Travel"/>
    <s v="Delete"/>
    <m/>
    <m/>
    <m/>
    <m/>
    <m/>
    <m/>
    <x v="1715"/>
    <m/>
    <m/>
  </r>
  <r>
    <x v="74"/>
    <d v="2025-06-24T00:00:00"/>
    <s v="Powerplus - Ending in 8s30"/>
    <x v="2020"/>
    <n v="2012.81"/>
    <x v="11"/>
    <s v="Utilities"/>
    <m/>
    <m/>
    <m/>
    <m/>
    <m/>
    <m/>
    <m/>
    <x v="1870"/>
    <m/>
    <m/>
  </r>
  <r>
    <x v="73"/>
    <d v="2025-07-01T00:00:00"/>
    <s v="Powerplus - Ending in 8s30"/>
    <x v="2020"/>
    <n v="1948.89"/>
    <x v="11"/>
    <s v="Utilities"/>
    <m/>
    <m/>
    <m/>
    <m/>
    <m/>
    <m/>
    <m/>
    <x v="1870"/>
    <m/>
    <m/>
  </r>
  <r>
    <x v="71"/>
    <d v="2025-10-08T00:00:00"/>
    <s v="American Express"/>
    <x v="5752"/>
    <n v="1190.51"/>
    <x v="24"/>
    <s v="Travel"/>
    <m/>
    <m/>
    <m/>
    <m/>
    <m/>
    <m/>
    <m/>
    <x v="5118"/>
    <m/>
    <m/>
  </r>
  <r>
    <x v="76"/>
    <d v="2025-08-16T00:00:00"/>
    <s v="American Express"/>
    <x v="4663"/>
    <n v="1067.0999999999999"/>
    <x v="24"/>
    <s v="Travel"/>
    <m/>
    <m/>
    <m/>
    <m/>
    <m/>
    <m/>
    <m/>
    <x v="4133"/>
    <m/>
    <m/>
  </r>
  <r>
    <x v="73"/>
    <d v="2025-07-09T00:00:00"/>
    <s v="Powerplus - Ending in 8s30"/>
    <x v="1888"/>
    <n v="1035.56"/>
    <x v="3"/>
    <s v="Savings"/>
    <s v="Delete"/>
    <m/>
    <m/>
    <m/>
    <m/>
    <m/>
    <m/>
    <x v="1741"/>
    <m/>
    <m/>
  </r>
  <r>
    <x v="73"/>
    <d v="2025-07-14T00:00:00"/>
    <s v="Powerplus - Ending in 8s30"/>
    <x v="3657"/>
    <n v="992.38"/>
    <x v="3"/>
    <s v="Day Care"/>
    <s v="Delete"/>
    <m/>
    <m/>
    <m/>
    <m/>
    <m/>
    <m/>
    <x v="3219"/>
    <m/>
    <m/>
  </r>
  <r>
    <x v="71"/>
    <d v="2025-10-26T00:00:00"/>
    <s v="American Express"/>
    <x v="4663"/>
    <n v="971.97"/>
    <x v="24"/>
    <s v="Travel"/>
    <m/>
    <m/>
    <m/>
    <m/>
    <m/>
    <m/>
    <m/>
    <x v="4133"/>
    <m/>
    <m/>
  </r>
  <r>
    <x v="71"/>
    <d v="2025-10-27T00:00:00"/>
    <s v="Powerplus - Ending in 8s30"/>
    <x v="1908"/>
    <n v="931.63"/>
    <x v="12"/>
    <s v="Utilities"/>
    <s v="Exp - Target"/>
    <m/>
    <m/>
    <m/>
    <m/>
    <m/>
    <m/>
    <x v="1761"/>
    <m/>
    <m/>
  </r>
  <r>
    <x v="76"/>
    <d v="2025-08-04T00:00:00"/>
    <s v="American Express"/>
    <x v="5050"/>
    <n v="924.36"/>
    <x v="3"/>
    <s v="Delete"/>
    <s v="Delete"/>
    <m/>
    <m/>
    <m/>
    <m/>
    <m/>
    <m/>
    <x v="4487"/>
    <m/>
    <m/>
  </r>
  <r>
    <x v="72"/>
    <d v="2025-09-08T00:00:00"/>
    <s v="Powerplus - Ending in 8s30"/>
    <x v="2020"/>
    <n v="920.69"/>
    <x v="3"/>
    <s v="Utilities"/>
    <s v="Delete"/>
    <m/>
    <m/>
    <m/>
    <m/>
    <m/>
    <m/>
    <x v="1870"/>
    <m/>
    <m/>
  </r>
  <r>
    <x v="72"/>
    <d v="2025-09-12T00:00:00"/>
    <s v="Powerplus - Ending in 8s30"/>
    <x v="3657"/>
    <n v="905.57"/>
    <x v="3"/>
    <s v="Day Care"/>
    <s v="Delete"/>
    <m/>
    <m/>
    <m/>
    <m/>
    <m/>
    <m/>
    <x v="3219"/>
    <m/>
    <m/>
  </r>
  <r>
    <x v="71"/>
    <d v="2025-10-27T00:00:00"/>
    <s v="Powerplus - Ending in 8s30"/>
    <x v="1888"/>
    <n v="800"/>
    <x v="21"/>
    <s v="Savings"/>
    <m/>
    <m/>
    <m/>
    <m/>
    <m/>
    <m/>
    <m/>
    <x v="1741"/>
    <m/>
    <m/>
  </r>
  <r>
    <x v="72"/>
    <d v="2025-09-26T00:00:00"/>
    <s v="Powerplus - Ending in 8s30"/>
    <x v="1888"/>
    <n v="800"/>
    <x v="21"/>
    <s v="Savings"/>
    <m/>
    <m/>
    <m/>
    <m/>
    <m/>
    <m/>
    <m/>
    <x v="1741"/>
    <m/>
    <m/>
  </r>
  <r>
    <x v="76"/>
    <d v="2025-08-26T00:00:00"/>
    <s v="Powerplus - Ending in 8s30"/>
    <x v="1888"/>
    <n v="800"/>
    <x v="21"/>
    <s v="Savings"/>
    <m/>
    <m/>
    <m/>
    <m/>
    <m/>
    <m/>
    <m/>
    <x v="1741"/>
    <m/>
    <m/>
  </r>
  <r>
    <x v="73"/>
    <d v="2025-07-28T00:00:00"/>
    <s v="Powerplus - Ending in 8s30"/>
    <x v="1888"/>
    <n v="800"/>
    <x v="21"/>
    <s v="Savings"/>
    <m/>
    <m/>
    <m/>
    <m/>
    <m/>
    <m/>
    <m/>
    <x v="1741"/>
    <m/>
    <m/>
  </r>
  <r>
    <x v="74"/>
    <d v="2025-06-26T00:00:00"/>
    <s v="Powerplus - Ending in 8s30"/>
    <x v="1888"/>
    <n v="800"/>
    <x v="21"/>
    <s v="Savings"/>
    <m/>
    <m/>
    <m/>
    <m/>
    <m/>
    <m/>
    <m/>
    <x v="1741"/>
    <m/>
    <m/>
  </r>
  <r>
    <x v="74"/>
    <d v="2025-06-25T00:00:00"/>
    <s v="Powerplus - Ending in 8s30"/>
    <x v="1908"/>
    <n v="794.1"/>
    <x v="12"/>
    <s v="Utilities"/>
    <s v="Exp - Target"/>
    <m/>
    <m/>
    <m/>
    <m/>
    <m/>
    <m/>
    <x v="1761"/>
    <m/>
    <m/>
  </r>
  <r>
    <x v="71"/>
    <d v="2025-10-10T00:00:00"/>
    <s v="American Express"/>
    <x v="5753"/>
    <n v="780.16"/>
    <x v="24"/>
    <s v="Travel"/>
    <m/>
    <m/>
    <m/>
    <m/>
    <m/>
    <m/>
    <m/>
    <x v="5119"/>
    <m/>
    <m/>
  </r>
  <r>
    <x v="71"/>
    <d v="2025-10-24T00:00:00"/>
    <s v="American Express"/>
    <x v="5754"/>
    <n v="760.81"/>
    <x v="3"/>
    <s v="Delete"/>
    <m/>
    <m/>
    <m/>
    <m/>
    <m/>
    <m/>
    <m/>
    <x v="5120"/>
    <m/>
    <m/>
  </r>
  <r>
    <x v="71"/>
    <d v="2025-10-26T00:00:00"/>
    <s v="American Express"/>
    <x v="1861"/>
    <n v="746.97"/>
    <x v="3"/>
    <s v="Travel"/>
    <s v="Delete"/>
    <m/>
    <m/>
    <m/>
    <m/>
    <m/>
    <m/>
    <x v="1715"/>
    <m/>
    <m/>
  </r>
  <r>
    <x v="71"/>
    <d v="2025-10-26T00:00:00"/>
    <s v="American Express"/>
    <x v="1861"/>
    <n v="746.97"/>
    <x v="3"/>
    <s v="Travel"/>
    <s v="Delete"/>
    <m/>
    <m/>
    <m/>
    <m/>
    <m/>
    <m/>
    <x v="1715"/>
    <m/>
    <m/>
  </r>
  <r>
    <x v="71"/>
    <d v="2025-10-26T00:00:00"/>
    <s v="American Express"/>
    <x v="1861"/>
    <n v="746.97"/>
    <x v="3"/>
    <s v="Travel"/>
    <s v="Delete"/>
    <m/>
    <m/>
    <m/>
    <m/>
    <m/>
    <m/>
    <x v="1715"/>
    <m/>
    <m/>
  </r>
  <r>
    <x v="71"/>
    <d v="2025-10-07T00:00:00"/>
    <s v="American Express"/>
    <x v="5752"/>
    <n v="745.58"/>
    <x v="3"/>
    <s v="Travel"/>
    <s v="Delete"/>
    <m/>
    <m/>
    <m/>
    <m/>
    <m/>
    <m/>
    <x v="5118"/>
    <m/>
    <m/>
  </r>
  <r>
    <x v="72"/>
    <d v="2025-09-12T00:00:00"/>
    <s v="Powerplus - Ending in 8s30"/>
    <x v="5755"/>
    <n v="720"/>
    <x v="19"/>
    <s v="House"/>
    <s v="Exp - House Maint"/>
    <m/>
    <m/>
    <m/>
    <m/>
    <m/>
    <m/>
    <x v="5121"/>
    <m/>
    <m/>
  </r>
  <r>
    <x v="72"/>
    <d v="2025-09-30T00:00:00"/>
    <s v="American Express"/>
    <x v="1861"/>
    <n v="686.96"/>
    <x v="3"/>
    <s v="Travel"/>
    <s v="Delete"/>
    <m/>
    <m/>
    <m/>
    <m/>
    <m/>
    <m/>
    <x v="1715"/>
    <m/>
    <m/>
  </r>
  <r>
    <x v="71"/>
    <d v="2025-10-28T00:00:00"/>
    <s v="American Express"/>
    <x v="5756"/>
    <n v="671.4"/>
    <x v="25"/>
    <s v="Healthcare"/>
    <m/>
    <m/>
    <m/>
    <m/>
    <m/>
    <m/>
    <m/>
    <x v="5122"/>
    <m/>
    <m/>
  </r>
  <r>
    <x v="72"/>
    <d v="2025-09-25T00:00:00"/>
    <s v="Powerplus - Ending in 8s30"/>
    <x v="1908"/>
    <n v="664.94"/>
    <x v="12"/>
    <s v="Utilities"/>
    <s v="Exp - Target"/>
    <m/>
    <m/>
    <m/>
    <m/>
    <m/>
    <m/>
    <x v="1761"/>
    <m/>
    <m/>
  </r>
  <r>
    <x v="72"/>
    <d v="2025-09-26T00:00:00"/>
    <s v="American Express"/>
    <x v="5757"/>
    <n v="664"/>
    <x v="8"/>
    <s v="Shopping"/>
    <m/>
    <m/>
    <m/>
    <m/>
    <m/>
    <m/>
    <m/>
    <x v="5123"/>
    <m/>
    <m/>
  </r>
  <r>
    <x v="76"/>
    <d v="2025-08-17T00:00:00"/>
    <s v="Powerplus - Ending in 8s30"/>
    <x v="3657"/>
    <n v="662.19"/>
    <x v="4"/>
    <s v="Day Care"/>
    <m/>
    <m/>
    <m/>
    <m/>
    <m/>
    <m/>
    <m/>
    <x v="3219"/>
    <m/>
    <m/>
  </r>
  <r>
    <x v="75"/>
    <d v="2025-11-03T00:00:00"/>
    <s v="Powerplus - Ending in 8s30"/>
    <x v="5758"/>
    <n v="650"/>
    <x v="4"/>
    <s v="Day Care"/>
    <m/>
    <m/>
    <m/>
    <m/>
    <m/>
    <m/>
    <m/>
    <x v="4491"/>
    <m/>
    <m/>
  </r>
  <r>
    <x v="71"/>
    <d v="2025-10-20T00:00:00"/>
    <s v="Powerplus - Ending in 8s30"/>
    <x v="5759"/>
    <n v="650"/>
    <x v="4"/>
    <s v="Delete"/>
    <s v="Exp - Day Care"/>
    <m/>
    <m/>
    <m/>
    <m/>
    <m/>
    <m/>
    <x v="3267"/>
    <m/>
    <m/>
  </r>
  <r>
    <x v="71"/>
    <d v="2025-10-01T00:00:00"/>
    <s v="Powerplus - Ending in 8s30"/>
    <x v="5760"/>
    <n v="650"/>
    <x v="4"/>
    <s v="Day Care"/>
    <m/>
    <m/>
    <m/>
    <m/>
    <m/>
    <m/>
    <m/>
    <x v="4491"/>
    <m/>
    <m/>
  </r>
  <r>
    <x v="72"/>
    <d v="2025-09-18T00:00:00"/>
    <s v="Powerplus - Ending in 8s30"/>
    <x v="5761"/>
    <n v="650"/>
    <x v="4"/>
    <s v="Day Care"/>
    <m/>
    <m/>
    <m/>
    <m/>
    <m/>
    <m/>
    <m/>
    <x v="3267"/>
    <m/>
    <m/>
  </r>
  <r>
    <x v="72"/>
    <d v="2025-09-02T00:00:00"/>
    <s v="Powerplus - Ending in 8s30"/>
    <x v="5762"/>
    <n v="650"/>
    <x v="4"/>
    <s v="Day Care"/>
    <m/>
    <m/>
    <m/>
    <m/>
    <m/>
    <m/>
    <m/>
    <x v="4491"/>
    <m/>
    <m/>
  </r>
  <r>
    <x v="76"/>
    <d v="2025-08-18T00:00:00"/>
    <s v="Powerplus - Ending in 8s30"/>
    <x v="5763"/>
    <n v="650"/>
    <x v="4"/>
    <s v="Day Care"/>
    <m/>
    <m/>
    <m/>
    <m/>
    <m/>
    <m/>
    <m/>
    <x v="3267"/>
    <m/>
    <m/>
  </r>
  <r>
    <x v="76"/>
    <d v="2025-08-01T00:00:00"/>
    <s v="Powerplus - Ending in 8s30"/>
    <x v="5764"/>
    <n v="650"/>
    <x v="4"/>
    <s v="Day Care"/>
    <m/>
    <m/>
    <m/>
    <m/>
    <m/>
    <m/>
    <m/>
    <x v="4491"/>
    <m/>
    <m/>
  </r>
  <r>
    <x v="73"/>
    <d v="2025-07-18T00:00:00"/>
    <s v="Powerplus - Ending in 8s30"/>
    <x v="5765"/>
    <n v="650"/>
    <x v="4"/>
    <s v="Day Care"/>
    <m/>
    <m/>
    <m/>
    <m/>
    <m/>
    <m/>
    <m/>
    <x v="3267"/>
    <m/>
    <m/>
  </r>
  <r>
    <x v="73"/>
    <d v="2025-07-01T00:00:00"/>
    <s v="Powerplus - Ending in 8s30"/>
    <x v="5766"/>
    <n v="650"/>
    <x v="4"/>
    <s v="Day Care"/>
    <m/>
    <m/>
    <m/>
    <m/>
    <m/>
    <m/>
    <m/>
    <x v="4491"/>
    <m/>
    <m/>
  </r>
  <r>
    <x v="74"/>
    <d v="2025-06-18T00:00:00"/>
    <s v="Powerplus - Ending in 8s30"/>
    <x v="5767"/>
    <n v="650"/>
    <x v="4"/>
    <s v="Day Care"/>
    <m/>
    <m/>
    <m/>
    <m/>
    <m/>
    <m/>
    <m/>
    <x v="3267"/>
    <m/>
    <m/>
  </r>
  <r>
    <x v="74"/>
    <d v="2025-06-02T00:00:00"/>
    <s v="Powerplus - Ending in 8s30"/>
    <x v="5768"/>
    <n v="650"/>
    <x v="4"/>
    <s v="Day Care"/>
    <m/>
    <m/>
    <m/>
    <m/>
    <m/>
    <m/>
    <m/>
    <x v="4491"/>
    <m/>
    <m/>
  </r>
  <r>
    <x v="71"/>
    <d v="2025-10-09T00:00:00"/>
    <s v="Powerplus - Ending in 8s30"/>
    <x v="5769"/>
    <n v="600"/>
    <x v="30"/>
    <s v="House"/>
    <m/>
    <m/>
    <m/>
    <m/>
    <m/>
    <m/>
    <m/>
    <x v="5124"/>
    <m/>
    <m/>
  </r>
  <r>
    <x v="71"/>
    <d v="2025-10-01T00:00:00"/>
    <s v="American Express"/>
    <x v="5752"/>
    <n v="587.9"/>
    <x v="24"/>
    <s v="Travel"/>
    <m/>
    <m/>
    <m/>
    <m/>
    <m/>
    <m/>
    <m/>
    <x v="5118"/>
    <m/>
    <m/>
  </r>
  <r>
    <x v="73"/>
    <d v="2025-07-16T00:00:00"/>
    <s v="American Express"/>
    <x v="5770"/>
    <n v="572.36"/>
    <x v="2"/>
    <s v="Transportation"/>
    <m/>
    <m/>
    <m/>
    <m/>
    <m/>
    <m/>
    <m/>
    <x v="5125"/>
    <m/>
    <m/>
  </r>
  <r>
    <x v="72"/>
    <d v="2025-09-29T00:00:00"/>
    <s v="American Express"/>
    <x v="5771"/>
    <n v="523.48"/>
    <x v="1"/>
    <s v="Restaurants"/>
    <m/>
    <m/>
    <m/>
    <m/>
    <m/>
    <m/>
    <m/>
    <x v="5126"/>
    <m/>
    <m/>
  </r>
  <r>
    <x v="76"/>
    <d v="2025-08-25T00:00:00"/>
    <s v="Powerplus - Ending in 8s30"/>
    <x v="1908"/>
    <n v="519.11"/>
    <x v="12"/>
    <s v="Utilities"/>
    <s v="Exp - Target"/>
    <m/>
    <m/>
    <m/>
    <m/>
    <m/>
    <m/>
    <x v="1761"/>
    <m/>
    <m/>
  </r>
  <r>
    <x v="71"/>
    <d v="2025-10-28T00:00:00"/>
    <s v="Powerplus - Ending in 8s30"/>
    <x v="1888"/>
    <n v="492.32"/>
    <x v="21"/>
    <s v="Savings"/>
    <m/>
    <m/>
    <m/>
    <m/>
    <m/>
    <m/>
    <m/>
    <x v="1741"/>
    <m/>
    <m/>
  </r>
  <r>
    <x v="73"/>
    <d v="2025-07-24T00:00:00"/>
    <s v="American Express"/>
    <x v="5772"/>
    <n v="462.17"/>
    <x v="24"/>
    <s v="401K"/>
    <s v="Exp - Travel"/>
    <m/>
    <m/>
    <m/>
    <m/>
    <m/>
    <m/>
    <x v="5127"/>
    <m/>
    <m/>
  </r>
  <r>
    <x v="76"/>
    <d v="2025-08-24T00:00:00"/>
    <s v="American Express"/>
    <x v="5773"/>
    <n v="449.02"/>
    <x v="8"/>
    <m/>
    <s v="Exp - Shopping"/>
    <m/>
    <m/>
    <m/>
    <m/>
    <m/>
    <m/>
    <x v="5128"/>
    <m/>
    <m/>
  </r>
  <r>
    <x v="71"/>
    <d v="2025-10-22T00:00:00"/>
    <s v="American Express"/>
    <x v="5774"/>
    <n v="429.78"/>
    <x v="3"/>
    <s v="Delete"/>
    <m/>
    <m/>
    <m/>
    <m/>
    <m/>
    <m/>
    <m/>
    <x v="5129"/>
    <m/>
    <m/>
  </r>
  <r>
    <x v="72"/>
    <d v="2025-09-07T00:00:00"/>
    <s v="American Express"/>
    <x v="5775"/>
    <n v="423.43"/>
    <x v="1"/>
    <m/>
    <s v="Exp - Restaurants"/>
    <m/>
    <m/>
    <m/>
    <m/>
    <m/>
    <m/>
    <x v="5130"/>
    <m/>
    <m/>
  </r>
  <r>
    <x v="74"/>
    <d v="2025-06-19T00:00:00"/>
    <s v="American Express"/>
    <x v="5776"/>
    <n v="389.6"/>
    <x v="19"/>
    <s v="Misc"/>
    <s v="Exp - House Maint"/>
    <m/>
    <m/>
    <m/>
    <m/>
    <m/>
    <m/>
    <x v="5131"/>
    <m/>
    <m/>
  </r>
  <r>
    <x v="74"/>
    <d v="2025-06-29T00:00:00"/>
    <s v="American Express"/>
    <x v="5777"/>
    <n v="386.17"/>
    <x v="1"/>
    <s v="Restaurants"/>
    <m/>
    <m/>
    <m/>
    <m/>
    <m/>
    <m/>
    <m/>
    <x v="5132"/>
    <m/>
    <m/>
  </r>
  <r>
    <x v="73"/>
    <d v="2025-07-18T00:00:00"/>
    <s v="American Express"/>
    <x v="5113"/>
    <n v="378"/>
    <x v="4"/>
    <s v="Day Care"/>
    <m/>
    <m/>
    <m/>
    <m/>
    <m/>
    <m/>
    <m/>
    <x v="4545"/>
    <m/>
    <m/>
  </r>
  <r>
    <x v="71"/>
    <d v="2025-10-01T00:00:00"/>
    <s v="Powerplus - Ending in 8s30"/>
    <x v="308"/>
    <n v="377.06"/>
    <x v="8"/>
    <s v="Shopping"/>
    <m/>
    <m/>
    <m/>
    <m/>
    <m/>
    <m/>
    <m/>
    <x v="300"/>
    <m/>
    <m/>
  </r>
  <r>
    <x v="76"/>
    <d v="2025-08-19T00:00:00"/>
    <s v="American Express"/>
    <x v="5070"/>
    <n v="375.95"/>
    <x v="8"/>
    <s v="Shopping"/>
    <m/>
    <m/>
    <m/>
    <m/>
    <m/>
    <m/>
    <m/>
    <x v="4506"/>
    <m/>
    <m/>
  </r>
  <r>
    <x v="72"/>
    <d v="2025-09-15T00:00:00"/>
    <s v="Powerplus - Ending in 8s30"/>
    <x v="1888"/>
    <n v="375.86"/>
    <x v="21"/>
    <s v="Savings"/>
    <m/>
    <m/>
    <m/>
    <m/>
    <m/>
    <m/>
    <m/>
    <x v="1741"/>
    <m/>
    <m/>
  </r>
  <r>
    <x v="73"/>
    <d v="2025-07-25T00:00:00"/>
    <s v="American Express"/>
    <x v="5778"/>
    <n v="362.78"/>
    <x v="19"/>
    <s v="House Maintenance"/>
    <m/>
    <m/>
    <m/>
    <m/>
    <m/>
    <m/>
    <m/>
    <x v="5133"/>
    <m/>
    <m/>
  </r>
  <r>
    <x v="73"/>
    <d v="2025-07-15T00:00:00"/>
    <s v="American Express"/>
    <x v="5346"/>
    <n v="357.5"/>
    <x v="4"/>
    <s v="Day Care"/>
    <m/>
    <m/>
    <m/>
    <m/>
    <m/>
    <m/>
    <m/>
    <x v="4757"/>
    <m/>
    <m/>
  </r>
  <r>
    <x v="73"/>
    <d v="2025-07-15T00:00:00"/>
    <s v="American Express"/>
    <x v="5346"/>
    <n v="357.5"/>
    <x v="4"/>
    <s v="Day Care"/>
    <m/>
    <m/>
    <m/>
    <m/>
    <m/>
    <m/>
    <m/>
    <x v="4757"/>
    <m/>
    <m/>
  </r>
  <r>
    <x v="76"/>
    <d v="2025-08-10T00:00:00"/>
    <s v="American Express"/>
    <x v="5070"/>
    <n v="356"/>
    <x v="8"/>
    <s v="Shopping"/>
    <m/>
    <m/>
    <m/>
    <m/>
    <m/>
    <m/>
    <m/>
    <x v="4506"/>
    <m/>
    <m/>
  </r>
  <r>
    <x v="76"/>
    <d v="2025-08-01T00:00:00"/>
    <s v="Powerplus - Ending in 8s30"/>
    <x v="1888"/>
    <n v="355.18"/>
    <x v="21"/>
    <s v="Savings"/>
    <m/>
    <m/>
    <m/>
    <m/>
    <m/>
    <m/>
    <m/>
    <x v="1741"/>
    <m/>
    <m/>
  </r>
  <r>
    <x v="76"/>
    <d v="2025-08-18T00:00:00"/>
    <s v="American Express"/>
    <x v="5779"/>
    <n v="323.58"/>
    <x v="24"/>
    <m/>
    <s v="Exp - Travel"/>
    <m/>
    <m/>
    <m/>
    <m/>
    <m/>
    <m/>
    <x v="5134"/>
    <m/>
    <m/>
  </r>
  <r>
    <x v="73"/>
    <d v="2025-07-10T00:00:00"/>
    <s v="American Express"/>
    <x v="5780"/>
    <n v="322.17"/>
    <x v="1"/>
    <s v="Restaurants"/>
    <m/>
    <m/>
    <m/>
    <m/>
    <m/>
    <m/>
    <m/>
    <x v="5135"/>
    <m/>
    <m/>
  </r>
  <r>
    <x v="71"/>
    <d v="2025-10-08T00:00:00"/>
    <s v="American Express"/>
    <x v="5781"/>
    <n v="310.52"/>
    <x v="3"/>
    <s v="Groceries"/>
    <s v="Delete"/>
    <m/>
    <m/>
    <m/>
    <m/>
    <m/>
    <m/>
    <x v="5136"/>
    <m/>
    <m/>
  </r>
  <r>
    <x v="73"/>
    <d v="2025-07-01T00:00:00"/>
    <s v="Powerplus - Ending in 8s30"/>
    <x v="4407"/>
    <n v="297.61"/>
    <x v="11"/>
    <s v="Utilities"/>
    <m/>
    <m/>
    <m/>
    <m/>
    <m/>
    <m/>
    <m/>
    <x v="3913"/>
    <m/>
    <m/>
  </r>
  <r>
    <x v="76"/>
    <d v="2025-08-31T00:00:00"/>
    <s v="Cash Rewards Visa Signature - Ending in 5913"/>
    <x v="5782"/>
    <n v="287.13"/>
    <x v="5"/>
    <m/>
    <s v="Exp - Groceries"/>
    <m/>
    <m/>
    <m/>
    <m/>
    <m/>
    <m/>
    <x v="5137"/>
    <m/>
    <m/>
  </r>
  <r>
    <x v="74"/>
    <d v="2025-06-22T00:00:00"/>
    <s v="American Express"/>
    <x v="5043"/>
    <n v="287.07"/>
    <x v="24"/>
    <s v="Restaurants"/>
    <s v="Exp - Travel"/>
    <m/>
    <m/>
    <m/>
    <m/>
    <m/>
    <m/>
    <x v="4480"/>
    <m/>
    <m/>
  </r>
  <r>
    <x v="71"/>
    <d v="2025-10-06T00:00:00"/>
    <s v="Powerplus - Ending in 8s30"/>
    <x v="3840"/>
    <n v="285.58999999999997"/>
    <x v="3"/>
    <s v="Utilities"/>
    <s v="Delete"/>
    <m/>
    <m/>
    <m/>
    <m/>
    <m/>
    <m/>
    <x v="3391"/>
    <m/>
    <m/>
  </r>
  <r>
    <x v="72"/>
    <d v="2025-09-12T00:00:00"/>
    <s v="American Express"/>
    <x v="5783"/>
    <n v="280.5"/>
    <x v="8"/>
    <m/>
    <s v="Exp - Shopping"/>
    <m/>
    <m/>
    <m/>
    <m/>
    <m/>
    <m/>
    <x v="5138"/>
    <m/>
    <m/>
  </r>
  <r>
    <x v="72"/>
    <d v="2025-09-12T00:00:00"/>
    <s v="American Express"/>
    <x v="5405"/>
    <n v="280.25"/>
    <x v="8"/>
    <s v="Shopping"/>
    <m/>
    <m/>
    <m/>
    <m/>
    <m/>
    <m/>
    <m/>
    <x v="4793"/>
    <m/>
    <m/>
  </r>
  <r>
    <x v="71"/>
    <d v="2025-10-17T00:00:00"/>
    <s v="Powerplus - Ending in 8s30"/>
    <x v="5784"/>
    <n v="275.2"/>
    <x v="24"/>
    <s v="Travel"/>
    <m/>
    <m/>
    <m/>
    <m/>
    <m/>
    <m/>
    <m/>
    <x v="5139"/>
    <m/>
    <m/>
  </r>
  <r>
    <x v="72"/>
    <d v="2025-09-04T00:00:00"/>
    <s v="American Express"/>
    <x v="5785"/>
    <n v="271.60000000000002"/>
    <x v="8"/>
    <m/>
    <s v="Exp - Shopping"/>
    <m/>
    <m/>
    <m/>
    <m/>
    <m/>
    <m/>
    <x v="5140"/>
    <m/>
    <m/>
  </r>
  <r>
    <x v="74"/>
    <d v="2025-06-29T00:00:00"/>
    <s v="American Express"/>
    <x v="5430"/>
    <n v="269.85000000000002"/>
    <x v="19"/>
    <s v="House Maintenance"/>
    <m/>
    <m/>
    <m/>
    <m/>
    <m/>
    <m/>
    <m/>
    <x v="4814"/>
    <m/>
    <m/>
  </r>
  <r>
    <x v="72"/>
    <d v="2025-09-08T00:00:00"/>
    <s v="Cash Rewards Visa Signature - Ending in 5913"/>
    <x v="255"/>
    <n v="263.10000000000002"/>
    <x v="5"/>
    <s v="Groceries"/>
    <m/>
    <m/>
    <m/>
    <m/>
    <m/>
    <m/>
    <m/>
    <x v="253"/>
    <m/>
    <m/>
  </r>
  <r>
    <x v="71"/>
    <d v="2025-10-18T00:00:00"/>
    <s v="American Express"/>
    <x v="5786"/>
    <n v="251.94"/>
    <x v="1"/>
    <m/>
    <s v="Exp - Restaurants"/>
    <m/>
    <m/>
    <m/>
    <m/>
    <m/>
    <m/>
    <x v="5141"/>
    <m/>
    <m/>
  </r>
  <r>
    <x v="76"/>
    <d v="2025-08-18T00:00:00"/>
    <s v="Cash Rewards Visa Signature - Ending in 5913"/>
    <x v="255"/>
    <n v="251.27"/>
    <x v="5"/>
    <s v="Groceries"/>
    <m/>
    <m/>
    <m/>
    <m/>
    <m/>
    <m/>
    <m/>
    <x v="253"/>
    <m/>
    <m/>
  </r>
  <r>
    <x v="72"/>
    <d v="2025-09-30T00:00:00"/>
    <s v="Powerplus - Ending in 8s30"/>
    <x v="4407"/>
    <n v="250.05"/>
    <x v="11"/>
    <s v="Utilities"/>
    <m/>
    <m/>
    <m/>
    <m/>
    <m/>
    <m/>
    <m/>
    <x v="3913"/>
    <m/>
    <m/>
  </r>
  <r>
    <x v="76"/>
    <d v="2025-08-10T00:00:00"/>
    <s v="American Express"/>
    <x v="5070"/>
    <n v="248"/>
    <x v="8"/>
    <s v="Shopping"/>
    <m/>
    <m/>
    <m/>
    <m/>
    <m/>
    <m/>
    <m/>
    <x v="4506"/>
    <m/>
    <m/>
  </r>
  <r>
    <x v="74"/>
    <d v="2025-06-23T00:00:00"/>
    <s v="Cash Rewards Visa Signature - Ending in 5913"/>
    <x v="255"/>
    <n v="247.97"/>
    <x v="5"/>
    <s v="Groceries"/>
    <m/>
    <m/>
    <m/>
    <m/>
    <m/>
    <m/>
    <m/>
    <x v="253"/>
    <m/>
    <m/>
  </r>
  <r>
    <x v="71"/>
    <d v="2025-10-31T00:00:00"/>
    <s v="Powerplus - Ending in 8s30"/>
    <x v="4407"/>
    <n v="247.73"/>
    <x v="11"/>
    <s v="Utilities"/>
    <m/>
    <m/>
    <m/>
    <m/>
    <m/>
    <m/>
    <m/>
    <x v="3913"/>
    <m/>
    <m/>
  </r>
  <r>
    <x v="72"/>
    <d v="2025-09-19T00:00:00"/>
    <s v="Powerplus - Ending in 8s30"/>
    <x v="1849"/>
    <n v="244.08"/>
    <x v="8"/>
    <s v="Shopping"/>
    <m/>
    <m/>
    <m/>
    <m/>
    <m/>
    <m/>
    <m/>
    <x v="1704"/>
    <m/>
    <m/>
  </r>
  <r>
    <x v="72"/>
    <d v="2025-09-08T00:00:00"/>
    <s v="Powerplus - Ending in 8s30"/>
    <x v="1869"/>
    <n v="241.74"/>
    <x v="11"/>
    <s v="Utilities"/>
    <m/>
    <m/>
    <m/>
    <m/>
    <m/>
    <m/>
    <m/>
    <x v="1723"/>
    <m/>
    <m/>
  </r>
  <r>
    <x v="71"/>
    <d v="2025-10-25T00:00:00"/>
    <s v="American Express"/>
    <x v="5787"/>
    <n v="241.71"/>
    <x v="56"/>
    <s v="Cleaning"/>
    <m/>
    <m/>
    <m/>
    <m/>
    <m/>
    <m/>
    <m/>
    <x v="5142"/>
    <m/>
    <m/>
  </r>
  <r>
    <x v="72"/>
    <d v="2025-09-16T00:00:00"/>
    <s v="American Express"/>
    <x v="5788"/>
    <n v="237.57"/>
    <x v="24"/>
    <m/>
    <s v="Exp - Travel"/>
    <m/>
    <m/>
    <m/>
    <m/>
    <m/>
    <m/>
    <x v="5143"/>
    <m/>
    <m/>
  </r>
  <r>
    <x v="73"/>
    <d v="2025-07-18T00:00:00"/>
    <s v="American Express"/>
    <x v="5789"/>
    <n v="232.28"/>
    <x v="1"/>
    <s v="Restaurants"/>
    <m/>
    <m/>
    <m/>
    <m/>
    <m/>
    <m/>
    <m/>
    <x v="5144"/>
    <m/>
    <m/>
  </r>
  <r>
    <x v="71"/>
    <d v="2025-10-23T00:00:00"/>
    <s v="Cash Rewards Visa Signature - Ending in 5913"/>
    <x v="5790"/>
    <n v="230.81"/>
    <x v="3"/>
    <s v="Delete"/>
    <m/>
    <m/>
    <m/>
    <m/>
    <m/>
    <m/>
    <m/>
    <x v="5145"/>
    <m/>
    <m/>
  </r>
  <r>
    <x v="71"/>
    <d v="2025-10-24T00:00:00"/>
    <s v="American Express"/>
    <x v="5791"/>
    <n v="229.42"/>
    <x v="3"/>
    <s v="Delete"/>
    <m/>
    <m/>
    <m/>
    <m/>
    <m/>
    <m/>
    <m/>
    <x v="5146"/>
    <m/>
    <m/>
  </r>
  <r>
    <x v="72"/>
    <d v="2025-09-01T00:00:00"/>
    <s v="American Express"/>
    <x v="4962"/>
    <n v="226.6"/>
    <x v="4"/>
    <s v="Day Care"/>
    <m/>
    <m/>
    <m/>
    <m/>
    <m/>
    <m/>
    <m/>
    <x v="4402"/>
    <m/>
    <m/>
  </r>
  <r>
    <x v="75"/>
    <d v="2025-11-05T00:00:00"/>
    <s v="Powerplus - Ending in 8s30"/>
    <x v="1869"/>
    <n v="226.23"/>
    <x v="11"/>
    <s v="Utilities"/>
    <m/>
    <m/>
    <m/>
    <m/>
    <m/>
    <m/>
    <m/>
    <x v="1723"/>
    <m/>
    <m/>
  </r>
  <r>
    <x v="76"/>
    <d v="2025-08-09T00:00:00"/>
    <s v="American Express"/>
    <x v="5281"/>
    <n v="221.99"/>
    <x v="8"/>
    <s v="Shopping"/>
    <m/>
    <m/>
    <m/>
    <m/>
    <m/>
    <m/>
    <m/>
    <x v="4699"/>
    <m/>
    <m/>
  </r>
  <r>
    <x v="76"/>
    <d v="2025-08-16T00:00:00"/>
    <s v="American Express"/>
    <x v="4663"/>
    <n v="214.8"/>
    <x v="24"/>
    <s v="Travel"/>
    <m/>
    <m/>
    <m/>
    <m/>
    <m/>
    <m/>
    <m/>
    <x v="4133"/>
    <m/>
    <m/>
  </r>
  <r>
    <x v="76"/>
    <d v="2025-08-16T00:00:00"/>
    <s v="American Express"/>
    <x v="4663"/>
    <n v="214.8"/>
    <x v="24"/>
    <s v="Travel"/>
    <m/>
    <m/>
    <m/>
    <m/>
    <m/>
    <m/>
    <m/>
    <x v="4133"/>
    <m/>
    <m/>
  </r>
  <r>
    <x v="72"/>
    <d v="2025-09-02T00:00:00"/>
    <s v="Powerplus - Ending in 8s30"/>
    <x v="4407"/>
    <n v="214.16"/>
    <x v="11"/>
    <s v="Utilities"/>
    <m/>
    <m/>
    <m/>
    <m/>
    <m/>
    <m/>
    <m/>
    <x v="3913"/>
    <m/>
    <m/>
  </r>
  <r>
    <x v="76"/>
    <d v="2025-08-17T00:00:00"/>
    <s v="American Express"/>
    <x v="5792"/>
    <n v="212"/>
    <x v="1"/>
    <s v="Restaurants"/>
    <m/>
    <m/>
    <m/>
    <m/>
    <m/>
    <m/>
    <m/>
    <x v="5147"/>
    <m/>
    <m/>
  </r>
  <r>
    <x v="73"/>
    <d v="2025-07-28T00:00:00"/>
    <s v="American Express"/>
    <x v="5793"/>
    <n v="210.91"/>
    <x v="11"/>
    <s v="Utilities"/>
    <m/>
    <m/>
    <m/>
    <m/>
    <m/>
    <m/>
    <m/>
    <x v="5148"/>
    <m/>
    <m/>
  </r>
  <r>
    <x v="72"/>
    <d v="2025-09-15T00:00:00"/>
    <s v="American Express"/>
    <x v="5794"/>
    <n v="210.42"/>
    <x v="24"/>
    <m/>
    <s v="Exp - Travel"/>
    <m/>
    <m/>
    <m/>
    <m/>
    <m/>
    <m/>
    <x v="5149"/>
    <m/>
    <m/>
  </r>
  <r>
    <x v="76"/>
    <d v="2025-08-06T00:00:00"/>
    <s v="Powerplus - Ending in 8s30"/>
    <x v="1987"/>
    <n v="205.77"/>
    <x v="11"/>
    <s v="Delete"/>
    <s v="Exp - Utilities"/>
    <m/>
    <m/>
    <m/>
    <m/>
    <m/>
    <m/>
    <x v="1837"/>
    <m/>
    <m/>
  </r>
  <r>
    <x v="71"/>
    <d v="2025-10-17T00:00:00"/>
    <s v="Cash Rewards Visa Signature - Ending in 5913"/>
    <x v="5795"/>
    <n v="204.46"/>
    <x v="8"/>
    <m/>
    <s v="Exp - Shopping"/>
    <m/>
    <m/>
    <m/>
    <m/>
    <m/>
    <m/>
    <x v="5150"/>
    <m/>
    <m/>
  </r>
  <r>
    <x v="73"/>
    <d v="2025-07-27T00:00:00"/>
    <s v="American Express"/>
    <x v="5796"/>
    <n v="203.82"/>
    <x v="1"/>
    <s v="Shopping"/>
    <s v="Exp - Restaurants"/>
    <m/>
    <m/>
    <m/>
    <m/>
    <m/>
    <m/>
    <x v="5151"/>
    <m/>
    <m/>
  </r>
  <r>
    <x v="74"/>
    <d v="2025-06-09T00:00:00"/>
    <s v="Powerplus - Ending in 8s30"/>
    <x v="5797"/>
    <n v="203.5"/>
    <x v="3"/>
    <s v="Day Care"/>
    <s v="Delete"/>
    <m/>
    <m/>
    <m/>
    <m/>
    <m/>
    <m/>
    <x v="5152"/>
    <m/>
    <m/>
  </r>
  <r>
    <x v="74"/>
    <d v="2025-06-08T00:00:00"/>
    <s v="American Express"/>
    <x v="5568"/>
    <n v="201"/>
    <x v="8"/>
    <s v="Shopping"/>
    <m/>
    <m/>
    <m/>
    <m/>
    <m/>
    <m/>
    <m/>
    <x v="4943"/>
    <m/>
    <m/>
  </r>
  <r>
    <x v="72"/>
    <d v="2025-09-16T00:00:00"/>
    <s v="American Express"/>
    <x v="5798"/>
    <n v="198.75"/>
    <x v="24"/>
    <m/>
    <s v="Exp - Travel"/>
    <m/>
    <m/>
    <m/>
    <m/>
    <m/>
    <m/>
    <x v="5153"/>
    <m/>
    <m/>
  </r>
  <r>
    <x v="71"/>
    <d v="2025-10-06T00:00:00"/>
    <s v="Powerplus - Ending in 8s30"/>
    <x v="1869"/>
    <n v="198.34"/>
    <x v="11"/>
    <s v="Utilities"/>
    <m/>
    <m/>
    <m/>
    <m/>
    <m/>
    <m/>
    <m/>
    <x v="1723"/>
    <m/>
    <m/>
  </r>
  <r>
    <x v="74"/>
    <d v="2025-06-11T00:00:00"/>
    <s v="Powerplus - Ending in 8s30"/>
    <x v="1827"/>
    <n v="198"/>
    <x v="8"/>
    <s v="Shopping"/>
    <m/>
    <m/>
    <m/>
    <m/>
    <m/>
    <m/>
    <m/>
    <x v="1682"/>
    <m/>
    <m/>
  </r>
  <r>
    <x v="76"/>
    <d v="2025-08-12T00:00:00"/>
    <s v="American Express"/>
    <x v="5070"/>
    <n v="197.95"/>
    <x v="8"/>
    <s v="Shopping"/>
    <m/>
    <m/>
    <m/>
    <m/>
    <m/>
    <m/>
    <m/>
    <x v="4506"/>
    <m/>
    <m/>
  </r>
  <r>
    <x v="71"/>
    <d v="2025-10-17T00:00:00"/>
    <s v="American Express"/>
    <x v="5799"/>
    <n v="196.86"/>
    <x v="1"/>
    <m/>
    <s v="Exp - Restaurants"/>
    <m/>
    <m/>
    <m/>
    <m/>
    <m/>
    <m/>
    <x v="5154"/>
    <m/>
    <m/>
  </r>
  <r>
    <x v="74"/>
    <d v="2025-06-27T00:00:00"/>
    <s v="American Express"/>
    <x v="5655"/>
    <n v="195.08"/>
    <x v="10"/>
    <s v="Restaurants"/>
    <s v="Exp - Entertainment"/>
    <m/>
    <m/>
    <m/>
    <m/>
    <m/>
    <m/>
    <x v="5027"/>
    <m/>
    <m/>
  </r>
  <r>
    <x v="71"/>
    <d v="2025-10-12T00:00:00"/>
    <s v="American Express"/>
    <x v="5800"/>
    <n v="194.73"/>
    <x v="1"/>
    <m/>
    <s v="Exp - Restaurants"/>
    <m/>
    <m/>
    <m/>
    <m/>
    <m/>
    <m/>
    <x v="5155"/>
    <m/>
    <m/>
  </r>
  <r>
    <x v="76"/>
    <d v="2025-08-07T00:00:00"/>
    <s v="Powerplus - Ending in 8s30"/>
    <x v="1869"/>
    <n v="194.67"/>
    <x v="11"/>
    <s v="Delete"/>
    <s v="Exp - Utilities"/>
    <m/>
    <m/>
    <m/>
    <m/>
    <m/>
    <m/>
    <x v="1723"/>
    <m/>
    <m/>
  </r>
  <r>
    <x v="71"/>
    <d v="2025-10-23T00:00:00"/>
    <s v="American Express"/>
    <x v="57"/>
    <n v="193.36"/>
    <x v="5"/>
    <s v="Delete"/>
    <s v="Exp - Groceries"/>
    <m/>
    <m/>
    <m/>
    <m/>
    <m/>
    <m/>
    <x v="57"/>
    <m/>
    <m/>
  </r>
  <r>
    <x v="71"/>
    <d v="2025-10-28T00:00:00"/>
    <s v="American Express"/>
    <x v="57"/>
    <n v="189.35"/>
    <x v="5"/>
    <s v="Healthcare"/>
    <s v="Exp - Groceries"/>
    <m/>
    <m/>
    <m/>
    <m/>
    <m/>
    <m/>
    <x v="57"/>
    <m/>
    <m/>
  </r>
  <r>
    <x v="72"/>
    <d v="2025-09-07T00:00:00"/>
    <s v="American Express"/>
    <x v="5775"/>
    <n v="188.19"/>
    <x v="1"/>
    <m/>
    <s v="Exp - Restaurants"/>
    <m/>
    <m/>
    <m/>
    <m/>
    <m/>
    <m/>
    <x v="5130"/>
    <m/>
    <m/>
  </r>
  <r>
    <x v="76"/>
    <d v="2025-08-09T00:00:00"/>
    <s v="American Express"/>
    <x v="5801"/>
    <n v="186.35"/>
    <x v="1"/>
    <s v="Restaurants"/>
    <m/>
    <m/>
    <m/>
    <m/>
    <m/>
    <m/>
    <m/>
    <x v="5156"/>
    <m/>
    <m/>
  </r>
  <r>
    <x v="74"/>
    <d v="2025-06-02T00:00:00"/>
    <s v="Powerplus - Ending in 8s30"/>
    <x v="4407"/>
    <n v="185.09"/>
    <x v="11"/>
    <s v="Utilities"/>
    <m/>
    <m/>
    <m/>
    <m/>
    <m/>
    <m/>
    <m/>
    <x v="3913"/>
    <m/>
    <m/>
  </r>
  <r>
    <x v="71"/>
    <d v="2025-10-26T00:00:00"/>
    <s v="American Express"/>
    <x v="5802"/>
    <n v="184.81"/>
    <x v="25"/>
    <m/>
    <s v="Exp - Healthcare"/>
    <m/>
    <m/>
    <m/>
    <m/>
    <m/>
    <m/>
    <x v="5157"/>
    <m/>
    <m/>
  </r>
  <r>
    <x v="74"/>
    <d v="2025-06-19T00:00:00"/>
    <s v="American Express"/>
    <x v="5803"/>
    <n v="182.61"/>
    <x v="1"/>
    <s v="Restaurants"/>
    <m/>
    <m/>
    <m/>
    <m/>
    <m/>
    <m/>
    <m/>
    <x v="5158"/>
    <m/>
    <m/>
  </r>
  <r>
    <x v="73"/>
    <d v="2025-07-24T00:00:00"/>
    <s v="American Express"/>
    <x v="5020"/>
    <n v="182.59"/>
    <x v="3"/>
    <s v="House Maintenance"/>
    <s v="Delete"/>
    <m/>
    <m/>
    <m/>
    <m/>
    <m/>
    <m/>
    <x v="4458"/>
    <m/>
    <m/>
  </r>
  <r>
    <x v="76"/>
    <d v="2025-08-22T00:00:00"/>
    <s v="Powerplus - Ending in 8s30"/>
    <x v="4553"/>
    <n v="182.05"/>
    <x v="24"/>
    <s v="Travel"/>
    <m/>
    <m/>
    <m/>
    <m/>
    <m/>
    <m/>
    <m/>
    <x v="4034"/>
    <m/>
    <m/>
  </r>
  <r>
    <x v="72"/>
    <d v="2025-09-06T00:00:00"/>
    <s v="American Express"/>
    <x v="5804"/>
    <n v="181.14"/>
    <x v="24"/>
    <m/>
    <s v="Exp - Travel"/>
    <m/>
    <m/>
    <m/>
    <m/>
    <m/>
    <m/>
    <x v="5159"/>
    <m/>
    <m/>
  </r>
  <r>
    <x v="74"/>
    <d v="2025-06-09T00:00:00"/>
    <s v="American Express"/>
    <x v="5223"/>
    <n v="180.33"/>
    <x v="8"/>
    <s v="Shopping"/>
    <m/>
    <m/>
    <m/>
    <m/>
    <m/>
    <m/>
    <m/>
    <x v="4646"/>
    <m/>
    <m/>
  </r>
  <r>
    <x v="76"/>
    <d v="2025-08-12T00:00:00"/>
    <s v="American Express"/>
    <x v="5805"/>
    <n v="179.28"/>
    <x v="11"/>
    <s v="Restaurants"/>
    <s v="Exp - Utilities"/>
    <m/>
    <m/>
    <m/>
    <m/>
    <m/>
    <m/>
    <x v="5160"/>
    <m/>
    <m/>
  </r>
  <r>
    <x v="72"/>
    <d v="2025-09-12T00:00:00"/>
    <s v="American Express"/>
    <x v="5175"/>
    <n v="178"/>
    <x v="8"/>
    <s v="Shopping"/>
    <m/>
    <m/>
    <m/>
    <m/>
    <m/>
    <m/>
    <m/>
    <x v="4607"/>
    <m/>
    <m/>
  </r>
  <r>
    <x v="71"/>
    <d v="2025-10-20T00:00:00"/>
    <s v="Cash Rewards Visa Signature - Ending in 5913"/>
    <x v="5806"/>
    <n v="175.95"/>
    <x v="24"/>
    <s v="Delete"/>
    <s v="Exp - Travel"/>
    <m/>
    <m/>
    <m/>
    <m/>
    <m/>
    <m/>
    <x v="5161"/>
    <m/>
    <m/>
  </r>
  <r>
    <x v="76"/>
    <d v="2025-08-11T00:00:00"/>
    <s v="American Express"/>
    <x v="5438"/>
    <n v="175.07"/>
    <x v="10"/>
    <s v="Entertainment"/>
    <m/>
    <m/>
    <m/>
    <m/>
    <m/>
    <m/>
    <m/>
    <x v="4822"/>
    <m/>
    <m/>
  </r>
  <r>
    <x v="74"/>
    <d v="2025-06-04T00:00:00"/>
    <s v="American Express"/>
    <x v="5220"/>
    <n v="174"/>
    <x v="8"/>
    <s v="Shopping"/>
    <m/>
    <m/>
    <m/>
    <m/>
    <m/>
    <m/>
    <m/>
    <x v="4643"/>
    <m/>
    <m/>
  </r>
  <r>
    <x v="72"/>
    <d v="2025-09-24T00:00:00"/>
    <s v="Powerplus - Ending in 8s30"/>
    <x v="5807"/>
    <n v="166.71"/>
    <x v="11"/>
    <s v="Day Care"/>
    <s v="Exp - Utilities"/>
    <m/>
    <m/>
    <m/>
    <m/>
    <m/>
    <m/>
    <x v="3912"/>
    <m/>
    <m/>
  </r>
  <r>
    <x v="74"/>
    <d v="2025-06-30T00:00:00"/>
    <s v="American Express"/>
    <x v="5808"/>
    <n v="164.91"/>
    <x v="1"/>
    <s v="Restaurants"/>
    <m/>
    <m/>
    <m/>
    <m/>
    <m/>
    <m/>
    <m/>
    <x v="5162"/>
    <m/>
    <m/>
  </r>
  <r>
    <x v="73"/>
    <d v="2025-07-31T00:00:00"/>
    <s v="Powerplus - Ending in 8s30"/>
    <x v="4407"/>
    <n v="164.24"/>
    <x v="11"/>
    <s v="Utilities"/>
    <m/>
    <m/>
    <m/>
    <m/>
    <m/>
    <m/>
    <m/>
    <x v="3913"/>
    <m/>
    <m/>
  </r>
  <r>
    <x v="74"/>
    <d v="2025-06-01T00:00:00"/>
    <s v="American Express"/>
    <x v="5809"/>
    <n v="163.96"/>
    <x v="5"/>
    <s v="Groceries"/>
    <m/>
    <m/>
    <m/>
    <m/>
    <m/>
    <m/>
    <m/>
    <x v="5163"/>
    <m/>
    <m/>
  </r>
  <r>
    <x v="76"/>
    <d v="2025-08-08T00:00:00"/>
    <s v="American Express"/>
    <x v="5810"/>
    <n v="163.5"/>
    <x v="5"/>
    <s v="Delete"/>
    <s v="Exp - Groceries"/>
    <m/>
    <m/>
    <m/>
    <m/>
    <m/>
    <m/>
    <x v="5164"/>
    <m/>
    <m/>
  </r>
  <r>
    <x v="71"/>
    <d v="2025-10-17T00:00:00"/>
    <s v="Cash Rewards Visa Signature - Ending in 5913"/>
    <x v="5811"/>
    <n v="163.1"/>
    <x v="1"/>
    <m/>
    <s v="Exp - Restaurants"/>
    <m/>
    <m/>
    <m/>
    <m/>
    <m/>
    <m/>
    <x v="5165"/>
    <m/>
    <m/>
  </r>
  <r>
    <x v="76"/>
    <d v="2025-08-21T00:00:00"/>
    <s v="Powerplus - Ending in 8s30"/>
    <x v="5812"/>
    <n v="161.57"/>
    <x v="4"/>
    <s v="Day Care"/>
    <m/>
    <m/>
    <m/>
    <m/>
    <m/>
    <m/>
    <m/>
    <x v="3287"/>
    <m/>
    <m/>
  </r>
  <r>
    <x v="76"/>
    <d v="2025-08-19T00:00:00"/>
    <s v="American Express"/>
    <x v="5070"/>
    <n v="159.94999999999999"/>
    <x v="8"/>
    <s v="Shopping"/>
    <m/>
    <m/>
    <m/>
    <m/>
    <m/>
    <m/>
    <m/>
    <x v="4506"/>
    <m/>
    <m/>
  </r>
  <r>
    <x v="73"/>
    <d v="2025-07-10T00:00:00"/>
    <s v="Powerplus - Ending in 8s30"/>
    <x v="1869"/>
    <n v="157.56"/>
    <x v="11"/>
    <s v="Utilities"/>
    <m/>
    <m/>
    <m/>
    <m/>
    <m/>
    <m/>
    <m/>
    <x v="1723"/>
    <m/>
    <m/>
  </r>
  <r>
    <x v="71"/>
    <d v="2025-10-04T00:00:00"/>
    <s v="American Express"/>
    <x v="5813"/>
    <n v="156.52000000000001"/>
    <x v="8"/>
    <m/>
    <s v="Exp - Shopping"/>
    <m/>
    <m/>
    <m/>
    <m/>
    <m/>
    <m/>
    <x v="5166"/>
    <m/>
    <m/>
  </r>
  <r>
    <x v="76"/>
    <d v="2025-08-20T00:00:00"/>
    <s v="Powerplus - Ending in 8s30"/>
    <x v="5814"/>
    <n v="155.75"/>
    <x v="4"/>
    <s v="Day Care"/>
    <m/>
    <m/>
    <m/>
    <m/>
    <m/>
    <m/>
    <m/>
    <x v="5167"/>
    <m/>
    <m/>
  </r>
  <r>
    <x v="74"/>
    <d v="2025-06-26T00:00:00"/>
    <s v="American Express"/>
    <x v="57"/>
    <n v="154.53"/>
    <x v="5"/>
    <s v="Healthcare"/>
    <s v="Exp - Groceries"/>
    <m/>
    <m/>
    <m/>
    <m/>
    <m/>
    <m/>
    <x v="57"/>
    <m/>
    <m/>
  </r>
  <r>
    <x v="74"/>
    <d v="2025-06-30T00:00:00"/>
    <s v="Cash Rewards Visa Signature - Ending in 5913"/>
    <x v="255"/>
    <n v="154.4"/>
    <x v="5"/>
    <s v="Groceries"/>
    <m/>
    <m/>
    <m/>
    <m/>
    <m/>
    <m/>
    <m/>
    <x v="253"/>
    <m/>
    <m/>
  </r>
  <r>
    <x v="74"/>
    <d v="2025-06-14T00:00:00"/>
    <s v="American Express"/>
    <x v="5815"/>
    <n v="154.02000000000001"/>
    <x v="8"/>
    <s v="Restaurants"/>
    <s v="Exp - Shopping"/>
    <m/>
    <m/>
    <m/>
    <m/>
    <m/>
    <m/>
    <x v="5168"/>
    <m/>
    <m/>
  </r>
  <r>
    <x v="71"/>
    <d v="2025-10-10T00:00:00"/>
    <s v="Powerplus - Ending in 8s30"/>
    <x v="1849"/>
    <n v="153.99"/>
    <x v="8"/>
    <s v="Shopping"/>
    <m/>
    <m/>
    <m/>
    <m/>
    <m/>
    <m/>
    <m/>
    <x v="1704"/>
    <m/>
    <m/>
  </r>
  <r>
    <x v="74"/>
    <d v="2025-06-23T00:00:00"/>
    <s v="American Express"/>
    <x v="5816"/>
    <n v="150.31"/>
    <x v="8"/>
    <m/>
    <s v="Exp - Shopping"/>
    <m/>
    <m/>
    <m/>
    <m/>
    <m/>
    <m/>
    <x v="5169"/>
    <m/>
    <m/>
  </r>
  <r>
    <x v="76"/>
    <d v="2025-08-11T00:00:00"/>
    <s v="Powerplus - Ending in 8s30"/>
    <x v="1827"/>
    <n v="150"/>
    <x v="8"/>
    <s v="Shopping"/>
    <m/>
    <m/>
    <m/>
    <m/>
    <m/>
    <m/>
    <m/>
    <x v="1682"/>
    <m/>
    <m/>
  </r>
  <r>
    <x v="72"/>
    <d v="2025-09-06T00:00:00"/>
    <s v="American Express"/>
    <x v="5817"/>
    <n v="148.36000000000001"/>
    <x v="8"/>
    <s v="Day Care"/>
    <s v="Exp - Shopping"/>
    <m/>
    <m/>
    <m/>
    <m/>
    <m/>
    <m/>
    <x v="5170"/>
    <m/>
    <m/>
  </r>
  <r>
    <x v="76"/>
    <d v="2025-08-02T00:00:00"/>
    <s v="American Express"/>
    <x v="5818"/>
    <n v="146.9"/>
    <x v="1"/>
    <s v="Restaurants"/>
    <m/>
    <m/>
    <m/>
    <m/>
    <m/>
    <m/>
    <m/>
    <x v="5171"/>
    <m/>
    <m/>
  </r>
  <r>
    <x v="74"/>
    <d v="2025-06-09T00:00:00"/>
    <s v="Powerplus - Ending in 8s30"/>
    <x v="1869"/>
    <n v="144.91"/>
    <x v="11"/>
    <s v="Utilities"/>
    <m/>
    <m/>
    <m/>
    <m/>
    <m/>
    <m/>
    <m/>
    <x v="1723"/>
    <m/>
    <m/>
  </r>
  <r>
    <x v="73"/>
    <d v="2025-07-04T00:00:00"/>
    <s v="American Express"/>
    <x v="5819"/>
    <n v="143.84"/>
    <x v="5"/>
    <s v="Restaurants"/>
    <s v="Exp - Groceries"/>
    <m/>
    <m/>
    <m/>
    <m/>
    <m/>
    <m/>
    <x v="5172"/>
    <m/>
    <m/>
  </r>
  <r>
    <x v="72"/>
    <d v="2025-09-13T00:00:00"/>
    <s v="American Express"/>
    <x v="57"/>
    <n v="142.56"/>
    <x v="5"/>
    <s v="Healthcare"/>
    <s v="Exp - Groceries"/>
    <m/>
    <m/>
    <m/>
    <m/>
    <m/>
    <m/>
    <x v="57"/>
    <m/>
    <m/>
  </r>
  <r>
    <x v="74"/>
    <d v="2025-06-10T00:00:00"/>
    <s v="American Express"/>
    <x v="5013"/>
    <n v="141.66999999999999"/>
    <x v="5"/>
    <s v="Groceries"/>
    <m/>
    <m/>
    <m/>
    <m/>
    <m/>
    <m/>
    <m/>
    <x v="4451"/>
    <m/>
    <m/>
  </r>
  <r>
    <x v="71"/>
    <d v="2025-10-20T00:00:00"/>
    <s v="Cash Rewards Visa Signature - Ending in 5913"/>
    <x v="5820"/>
    <n v="141.35"/>
    <x v="1"/>
    <s v="Delete"/>
    <s v="Exp - Restaurants"/>
    <m/>
    <m/>
    <m/>
    <m/>
    <m/>
    <m/>
    <x v="5173"/>
    <m/>
    <m/>
  </r>
  <r>
    <x v="71"/>
    <d v="2025-10-27T00:00:00"/>
    <s v="American Express"/>
    <x v="5821"/>
    <n v="139"/>
    <x v="19"/>
    <m/>
    <s v="Exp - House Maint"/>
    <m/>
    <m/>
    <m/>
    <m/>
    <m/>
    <m/>
    <x v="5174"/>
    <m/>
    <m/>
  </r>
  <r>
    <x v="73"/>
    <d v="2025-07-25T00:00:00"/>
    <s v="Powerplus - Ending in 8s30"/>
    <x v="1908"/>
    <n v="138.78"/>
    <x v="12"/>
    <s v="Utilities"/>
    <s v="Exp - Target"/>
    <m/>
    <m/>
    <m/>
    <m/>
    <m/>
    <m/>
    <x v="1761"/>
    <m/>
    <m/>
  </r>
  <r>
    <x v="71"/>
    <d v="2025-10-25T00:00:00"/>
    <s v="American Express"/>
    <x v="5822"/>
    <n v="137.33000000000001"/>
    <x v="5"/>
    <s v="Groceries"/>
    <m/>
    <m/>
    <m/>
    <m/>
    <m/>
    <m/>
    <m/>
    <x v="5175"/>
    <m/>
    <m/>
  </r>
  <r>
    <x v="76"/>
    <d v="2025-08-02T00:00:00"/>
    <s v="American Express"/>
    <x v="57"/>
    <n v="134.53"/>
    <x v="5"/>
    <s v="Healthcare"/>
    <s v="Exp - Groceries"/>
    <m/>
    <m/>
    <m/>
    <m/>
    <m/>
    <m/>
    <x v="57"/>
    <m/>
    <m/>
  </r>
  <r>
    <x v="76"/>
    <d v="2025-08-19T00:00:00"/>
    <s v="American Express"/>
    <x v="5771"/>
    <n v="130.87"/>
    <x v="1"/>
    <s v="Restaurants"/>
    <m/>
    <m/>
    <m/>
    <m/>
    <m/>
    <m/>
    <m/>
    <x v="5126"/>
    <m/>
    <m/>
  </r>
  <r>
    <x v="76"/>
    <d v="2025-08-08T00:00:00"/>
    <s v="Cash Rewards Visa Signature - Ending in 5913"/>
    <x v="5823"/>
    <n v="130.69999999999999"/>
    <x v="1"/>
    <s v="Delete"/>
    <s v="Exp - Restaurants"/>
    <m/>
    <m/>
    <m/>
    <m/>
    <m/>
    <m/>
    <x v="5176"/>
    <m/>
    <m/>
  </r>
  <r>
    <x v="71"/>
    <d v="2025-10-17T00:00:00"/>
    <s v="American Express"/>
    <x v="5113"/>
    <n v="129"/>
    <x v="4"/>
    <s v="Day Care"/>
    <m/>
    <m/>
    <m/>
    <m/>
    <m/>
    <m/>
    <m/>
    <x v="4545"/>
    <m/>
    <m/>
  </r>
  <r>
    <x v="74"/>
    <d v="2025-06-20T00:00:00"/>
    <s v="Powerplus - Ending in 8s30"/>
    <x v="1888"/>
    <n v="128.54"/>
    <x v="21"/>
    <s v="Savings"/>
    <m/>
    <m/>
    <m/>
    <m/>
    <m/>
    <m/>
    <m/>
    <x v="1741"/>
    <m/>
    <m/>
  </r>
  <r>
    <x v="73"/>
    <d v="2025-07-23T00:00:00"/>
    <s v="American Express"/>
    <x v="5824"/>
    <n v="128.05000000000001"/>
    <x v="1"/>
    <m/>
    <s v="Exp - Restaurants"/>
    <m/>
    <m/>
    <m/>
    <m/>
    <m/>
    <m/>
    <x v="5177"/>
    <m/>
    <m/>
  </r>
  <r>
    <x v="73"/>
    <d v="2025-07-18T00:00:00"/>
    <s v="American Express"/>
    <x v="5524"/>
    <n v="126.17"/>
    <x v="24"/>
    <s v="Travel"/>
    <m/>
    <m/>
    <m/>
    <m/>
    <m/>
    <m/>
    <m/>
    <x v="4900"/>
    <m/>
    <m/>
  </r>
  <r>
    <x v="76"/>
    <d v="2025-08-24T00:00:00"/>
    <s v="American Express"/>
    <x v="5020"/>
    <n v="125.32"/>
    <x v="3"/>
    <s v="House Maintenance"/>
    <s v="Delete"/>
    <m/>
    <m/>
    <m/>
    <m/>
    <m/>
    <m/>
    <x v="4458"/>
    <m/>
    <m/>
  </r>
  <r>
    <x v="71"/>
    <d v="2025-10-08T00:00:00"/>
    <s v="Powerplus - Ending in 8s30"/>
    <x v="1827"/>
    <n v="125"/>
    <x v="8"/>
    <s v="Shopping"/>
    <m/>
    <m/>
    <m/>
    <m/>
    <m/>
    <m/>
    <m/>
    <x v="1682"/>
    <m/>
    <m/>
  </r>
  <r>
    <x v="74"/>
    <d v="2025-06-13T00:00:00"/>
    <s v="Powerplus - Ending in 8s30"/>
    <x v="1827"/>
    <n v="125"/>
    <x v="8"/>
    <s v="Shopping"/>
    <m/>
    <m/>
    <m/>
    <m/>
    <m/>
    <m/>
    <m/>
    <x v="1682"/>
    <m/>
    <m/>
  </r>
  <r>
    <x v="72"/>
    <d v="2025-09-01T00:00:00"/>
    <s v="American Express"/>
    <x v="5175"/>
    <n v="125"/>
    <x v="8"/>
    <s v="Shopping"/>
    <m/>
    <m/>
    <m/>
    <m/>
    <m/>
    <m/>
    <m/>
    <x v="4607"/>
    <m/>
    <m/>
  </r>
  <r>
    <x v="73"/>
    <d v="2025-07-16T00:00:00"/>
    <s v="American Express"/>
    <x v="5378"/>
    <n v="124.06"/>
    <x v="25"/>
    <s v="Healthcare"/>
    <m/>
    <m/>
    <m/>
    <m/>
    <m/>
    <m/>
    <m/>
    <x v="4770"/>
    <m/>
    <m/>
  </r>
  <r>
    <x v="72"/>
    <d v="2025-09-28T00:00:00"/>
    <s v="American Express"/>
    <x v="4986"/>
    <n v="122.72"/>
    <x v="1"/>
    <s v="Restaurants"/>
    <m/>
    <m/>
    <m/>
    <m/>
    <m/>
    <m/>
    <m/>
    <x v="4425"/>
    <m/>
    <m/>
  </r>
  <r>
    <x v="71"/>
    <d v="2025-10-11T00:00:00"/>
    <s v="American Express"/>
    <x v="5825"/>
    <n v="121.13"/>
    <x v="1"/>
    <m/>
    <s v="Exp - Restaurants"/>
    <m/>
    <m/>
    <m/>
    <m/>
    <m/>
    <m/>
    <x v="5178"/>
    <m/>
    <m/>
  </r>
  <r>
    <x v="71"/>
    <d v="2025-10-16T00:00:00"/>
    <s v="Cash Rewards Visa Signature - Ending in 5913"/>
    <x v="5826"/>
    <n v="120.84"/>
    <x v="1"/>
    <m/>
    <s v="Exp - Restaurants"/>
    <m/>
    <m/>
    <m/>
    <m/>
    <m/>
    <m/>
    <x v="5179"/>
    <m/>
    <m/>
  </r>
  <r>
    <x v="72"/>
    <d v="2025-09-24T00:00:00"/>
    <s v="American Express"/>
    <x v="5201"/>
    <n v="120"/>
    <x v="4"/>
    <s v="Day Care"/>
    <m/>
    <m/>
    <m/>
    <m/>
    <m/>
    <m/>
    <m/>
    <x v="4630"/>
    <m/>
    <m/>
  </r>
  <r>
    <x v="71"/>
    <d v="2025-10-20T00:00:00"/>
    <s v="Powerplus - Ending in 8s30"/>
    <x v="1888"/>
    <n v="117.57"/>
    <x v="3"/>
    <s v="Delete"/>
    <m/>
    <m/>
    <m/>
    <m/>
    <m/>
    <m/>
    <m/>
    <x v="1741"/>
    <m/>
    <m/>
  </r>
  <r>
    <x v="71"/>
    <d v="2025-10-27T00:00:00"/>
    <s v="American Express"/>
    <x v="5827"/>
    <n v="117.54"/>
    <x v="8"/>
    <s v="Shopping"/>
    <m/>
    <m/>
    <m/>
    <m/>
    <m/>
    <m/>
    <m/>
    <x v="5180"/>
    <m/>
    <m/>
  </r>
  <r>
    <x v="72"/>
    <d v="2025-09-12T00:00:00"/>
    <s v="American Express"/>
    <x v="5388"/>
    <n v="116.5"/>
    <x v="8"/>
    <s v="Shopping"/>
    <m/>
    <m/>
    <m/>
    <m/>
    <m/>
    <m/>
    <m/>
    <x v="4778"/>
    <m/>
    <m/>
  </r>
  <r>
    <x v="76"/>
    <d v="2025-08-10T00:00:00"/>
    <s v="American Express"/>
    <x v="5430"/>
    <n v="116.46"/>
    <x v="19"/>
    <s v="House Maintenance"/>
    <m/>
    <m/>
    <m/>
    <m/>
    <m/>
    <m/>
    <m/>
    <x v="4814"/>
    <m/>
    <m/>
  </r>
  <r>
    <x v="72"/>
    <d v="2025-09-24T00:00:00"/>
    <s v="American Express"/>
    <x v="5020"/>
    <n v="116.29"/>
    <x v="3"/>
    <s v="House Maintenance"/>
    <s v="Delete"/>
    <m/>
    <m/>
    <m/>
    <m/>
    <m/>
    <m/>
    <x v="4458"/>
    <m/>
    <m/>
  </r>
  <r>
    <x v="72"/>
    <d v="2025-09-22T00:00:00"/>
    <s v="Powerplus - Ending in 8s30"/>
    <x v="5828"/>
    <n v="115.1"/>
    <x v="11"/>
    <s v="Day Care"/>
    <s v="Exp - Utilities"/>
    <m/>
    <m/>
    <m/>
    <m/>
    <m/>
    <m/>
    <x v="3287"/>
    <m/>
    <m/>
  </r>
  <r>
    <x v="71"/>
    <d v="2025-10-20T00:00:00"/>
    <s v="Powerplus - Ending in 8s30"/>
    <x v="5829"/>
    <n v="114.85"/>
    <x v="24"/>
    <s v="Delete"/>
    <s v="Exp - Travel"/>
    <m/>
    <m/>
    <m/>
    <m/>
    <m/>
    <m/>
    <x v="5181"/>
    <m/>
    <m/>
  </r>
  <r>
    <x v="72"/>
    <d v="2025-09-29T00:00:00"/>
    <s v="Cash Rewards Visa Signature - Ending in 5913"/>
    <x v="255"/>
    <n v="114.49"/>
    <x v="5"/>
    <s v="Groceries"/>
    <m/>
    <m/>
    <m/>
    <m/>
    <m/>
    <m/>
    <m/>
    <x v="253"/>
    <m/>
    <m/>
  </r>
  <r>
    <x v="73"/>
    <d v="2025-07-01T00:00:00"/>
    <s v="American Express"/>
    <x v="4969"/>
    <n v="113.36"/>
    <x v="20"/>
    <s v="Dry Cleaning"/>
    <m/>
    <m/>
    <m/>
    <m/>
    <m/>
    <m/>
    <m/>
    <x v="4409"/>
    <m/>
    <m/>
  </r>
  <r>
    <x v="74"/>
    <d v="2025-06-20T00:00:00"/>
    <s v="American Express"/>
    <x v="5830"/>
    <n v="112.19"/>
    <x v="1"/>
    <s v="Travel"/>
    <s v="Exp - Restaurants"/>
    <m/>
    <m/>
    <m/>
    <m/>
    <m/>
    <m/>
    <x v="5182"/>
    <m/>
    <m/>
  </r>
  <r>
    <x v="74"/>
    <d v="2025-06-21T00:00:00"/>
    <s v="American Express"/>
    <x v="5831"/>
    <n v="111.48"/>
    <x v="1"/>
    <s v="Travel"/>
    <s v="Exp - Restaurants"/>
    <m/>
    <m/>
    <m/>
    <m/>
    <m/>
    <m/>
    <x v="5183"/>
    <m/>
    <m/>
  </r>
  <r>
    <x v="72"/>
    <d v="2025-09-21T00:00:00"/>
    <s v="American Express"/>
    <x v="5832"/>
    <n v="111"/>
    <x v="8"/>
    <s v="Shopping"/>
    <m/>
    <m/>
    <m/>
    <m/>
    <m/>
    <m/>
    <m/>
    <x v="5184"/>
    <m/>
    <m/>
  </r>
  <r>
    <x v="71"/>
    <d v="2025-10-14T00:00:00"/>
    <s v="American Express"/>
    <x v="5833"/>
    <n v="110.19"/>
    <x v="1"/>
    <m/>
    <s v="Exp - Restaurants"/>
    <m/>
    <m/>
    <m/>
    <m/>
    <m/>
    <m/>
    <x v="5185"/>
    <m/>
    <m/>
  </r>
  <r>
    <x v="71"/>
    <d v="2025-10-13T00:00:00"/>
    <s v="American Express"/>
    <x v="5834"/>
    <n v="108.04"/>
    <x v="1"/>
    <m/>
    <s v="Exp - Restaurants"/>
    <m/>
    <m/>
    <m/>
    <m/>
    <m/>
    <m/>
    <x v="5186"/>
    <m/>
    <m/>
  </r>
  <r>
    <x v="74"/>
    <d v="2025-06-23T00:00:00"/>
    <s v="Powerplus - Ending in 8s30"/>
    <x v="308"/>
    <n v="107.59"/>
    <x v="8"/>
    <s v="Shopping"/>
    <m/>
    <m/>
    <m/>
    <m/>
    <m/>
    <m/>
    <m/>
    <x v="300"/>
    <m/>
    <m/>
  </r>
  <r>
    <x v="72"/>
    <d v="2025-09-05T00:00:00"/>
    <s v="American Express"/>
    <x v="5835"/>
    <n v="107.26"/>
    <x v="8"/>
    <m/>
    <s v="Exp - Shopping"/>
    <m/>
    <m/>
    <m/>
    <m/>
    <m/>
    <m/>
    <x v="5187"/>
    <m/>
    <m/>
  </r>
  <r>
    <x v="72"/>
    <d v="2025-09-03T00:00:00"/>
    <s v="American Express"/>
    <x v="5836"/>
    <n v="107.25"/>
    <x v="1"/>
    <s v="Restaurants"/>
    <m/>
    <m/>
    <m/>
    <m/>
    <m/>
    <m/>
    <m/>
    <x v="5188"/>
    <m/>
    <m/>
  </r>
  <r>
    <x v="74"/>
    <d v="2025-06-30T00:00:00"/>
    <s v="Powerplus - Ending in 8s30"/>
    <x v="1827"/>
    <n v="107"/>
    <x v="8"/>
    <s v="Shopping"/>
    <m/>
    <m/>
    <m/>
    <m/>
    <m/>
    <m/>
    <m/>
    <x v="1682"/>
    <m/>
    <m/>
  </r>
  <r>
    <x v="71"/>
    <d v="2025-10-25T00:00:00"/>
    <s v="American Express"/>
    <x v="5214"/>
    <n v="106.54"/>
    <x v="20"/>
    <s v="Dry Cleaning"/>
    <m/>
    <m/>
    <m/>
    <m/>
    <m/>
    <m/>
    <m/>
    <x v="4637"/>
    <m/>
    <m/>
  </r>
  <r>
    <x v="71"/>
    <d v="2025-10-15T00:00:00"/>
    <s v="Cash Rewards Visa Signature - Ending in 5913"/>
    <x v="5837"/>
    <n v="105.74"/>
    <x v="5"/>
    <m/>
    <s v="Exp - Groceries"/>
    <m/>
    <m/>
    <m/>
    <m/>
    <m/>
    <m/>
    <x v="5189"/>
    <m/>
    <m/>
  </r>
  <r>
    <x v="76"/>
    <d v="2025-08-26T00:00:00"/>
    <s v="Powerplus - Ending in 8s30"/>
    <x v="1827"/>
    <n v="104"/>
    <x v="8"/>
    <s v="Shopping"/>
    <m/>
    <m/>
    <m/>
    <m/>
    <m/>
    <m/>
    <m/>
    <x v="1682"/>
    <m/>
    <m/>
  </r>
  <r>
    <x v="76"/>
    <d v="2025-08-24T00:00:00"/>
    <s v="American Express"/>
    <x v="5838"/>
    <n v="102.96"/>
    <x v="10"/>
    <s v="Entertainment"/>
    <m/>
    <m/>
    <m/>
    <m/>
    <m/>
    <m/>
    <m/>
    <x v="5190"/>
    <m/>
    <m/>
  </r>
  <r>
    <x v="71"/>
    <d v="2025-10-19T00:00:00"/>
    <s v="American Express"/>
    <x v="5839"/>
    <n v="102.7"/>
    <x v="1"/>
    <m/>
    <s v="Exp - Restaurants"/>
    <m/>
    <m/>
    <m/>
    <m/>
    <m/>
    <m/>
    <x v="5191"/>
    <m/>
    <m/>
  </r>
  <r>
    <x v="72"/>
    <d v="2025-09-26T00:00:00"/>
    <s v="American Express"/>
    <x v="5840"/>
    <n v="102.53"/>
    <x v="1"/>
    <s v="Restaurants"/>
    <m/>
    <m/>
    <m/>
    <m/>
    <m/>
    <m/>
    <m/>
    <x v="5192"/>
    <m/>
    <m/>
  </r>
  <r>
    <x v="76"/>
    <d v="2025-08-11T00:00:00"/>
    <s v="Powerplus - Ending in 8s30"/>
    <x v="1827"/>
    <n v="100"/>
    <x v="8"/>
    <s v="Shopping"/>
    <m/>
    <m/>
    <m/>
    <m/>
    <m/>
    <m/>
    <m/>
    <x v="1682"/>
    <m/>
    <m/>
  </r>
  <r>
    <x v="73"/>
    <d v="2025-07-12T00:00:00"/>
    <s v="American Express"/>
    <x v="5296"/>
    <n v="98.38"/>
    <x v="1"/>
    <s v="Transportation"/>
    <s v="Exp - Restaurants"/>
    <m/>
    <m/>
    <m/>
    <m/>
    <m/>
    <m/>
    <x v="4713"/>
    <m/>
    <m/>
  </r>
  <r>
    <x v="72"/>
    <d v="2025-09-09T00:00:00"/>
    <s v="American Express"/>
    <x v="5841"/>
    <n v="98"/>
    <x v="8"/>
    <s v="Shopping"/>
    <m/>
    <m/>
    <m/>
    <m/>
    <m/>
    <m/>
    <m/>
    <x v="5193"/>
    <m/>
    <m/>
  </r>
  <r>
    <x v="76"/>
    <d v="2025-08-12T00:00:00"/>
    <s v="American Express"/>
    <x v="5070"/>
    <n v="98"/>
    <x v="8"/>
    <s v="Shopping"/>
    <m/>
    <m/>
    <m/>
    <m/>
    <m/>
    <m/>
    <m/>
    <x v="4506"/>
    <m/>
    <m/>
  </r>
  <r>
    <x v="74"/>
    <d v="2025-06-18T00:00:00"/>
    <s v="American Express"/>
    <x v="5842"/>
    <n v="98"/>
    <x v="1"/>
    <s v="Restaurants"/>
    <m/>
    <m/>
    <m/>
    <m/>
    <m/>
    <m/>
    <m/>
    <x v="5194"/>
    <m/>
    <m/>
  </r>
  <r>
    <x v="73"/>
    <d v="2025-07-25T00:00:00"/>
    <s v="American Express"/>
    <x v="5843"/>
    <n v="97.51"/>
    <x v="1"/>
    <s v="Restaurants"/>
    <m/>
    <m/>
    <m/>
    <m/>
    <m/>
    <m/>
    <m/>
    <x v="5195"/>
    <m/>
    <m/>
  </r>
  <r>
    <x v="74"/>
    <d v="2025-06-21T00:00:00"/>
    <s v="American Express"/>
    <x v="5844"/>
    <n v="96.94"/>
    <x v="1"/>
    <s v="Travel"/>
    <s v="Exp - Restaurants"/>
    <m/>
    <m/>
    <m/>
    <m/>
    <m/>
    <m/>
    <x v="5196"/>
    <m/>
    <m/>
  </r>
  <r>
    <x v="71"/>
    <d v="2025-10-28T00:00:00"/>
    <s v="American Express"/>
    <x v="5845"/>
    <n v="96.84"/>
    <x v="1"/>
    <m/>
    <s v="Exp - Restaurants"/>
    <m/>
    <m/>
    <m/>
    <m/>
    <m/>
    <m/>
    <x v="5197"/>
    <m/>
    <m/>
  </r>
  <r>
    <x v="76"/>
    <d v="2025-08-23T00:00:00"/>
    <s v="American Express"/>
    <x v="5846"/>
    <n v="94.82"/>
    <x v="1"/>
    <s v="Restaurants"/>
    <m/>
    <m/>
    <m/>
    <m/>
    <m/>
    <m/>
    <m/>
    <x v="5198"/>
    <m/>
    <m/>
  </r>
  <r>
    <x v="71"/>
    <d v="2025-10-21T00:00:00"/>
    <s v="American Express"/>
    <x v="5847"/>
    <n v="94.53"/>
    <x v="1"/>
    <s v="Delete"/>
    <s v="Exp - Restaurants"/>
    <m/>
    <m/>
    <m/>
    <m/>
    <m/>
    <m/>
    <x v="5199"/>
    <m/>
    <m/>
  </r>
  <r>
    <x v="76"/>
    <d v="2025-08-15T00:00:00"/>
    <s v="American Express"/>
    <x v="5848"/>
    <n v="94.14"/>
    <x v="1"/>
    <s v="Restaurants"/>
    <m/>
    <m/>
    <m/>
    <m/>
    <m/>
    <m/>
    <m/>
    <x v="5200"/>
    <m/>
    <m/>
  </r>
  <r>
    <x v="72"/>
    <d v="2025-09-12T00:00:00"/>
    <s v="American Express"/>
    <x v="5849"/>
    <n v="94"/>
    <x v="8"/>
    <s v="Shopping"/>
    <m/>
    <m/>
    <m/>
    <m/>
    <m/>
    <m/>
    <m/>
    <x v="5201"/>
    <m/>
    <m/>
  </r>
  <r>
    <x v="71"/>
    <d v="2025-10-14T00:00:00"/>
    <s v="American Express"/>
    <x v="5850"/>
    <n v="93.7"/>
    <x v="2"/>
    <s v="Transportation"/>
    <m/>
    <m/>
    <m/>
    <m/>
    <m/>
    <m/>
    <m/>
    <x v="5202"/>
    <m/>
    <m/>
  </r>
  <r>
    <x v="76"/>
    <d v="2025-08-03T00:00:00"/>
    <s v="American Express"/>
    <x v="5851"/>
    <n v="93.6"/>
    <x v="3"/>
    <s v="Delete"/>
    <m/>
    <m/>
    <m/>
    <m/>
    <m/>
    <m/>
    <m/>
    <x v="5203"/>
    <m/>
    <m/>
  </r>
  <r>
    <x v="74"/>
    <d v="2025-06-23T00:00:00"/>
    <s v="American Express"/>
    <x v="5394"/>
    <n v="93.36"/>
    <x v="0"/>
    <s v="Amazon"/>
    <m/>
    <m/>
    <m/>
    <m/>
    <m/>
    <m/>
    <m/>
    <x v="4783"/>
    <m/>
    <m/>
  </r>
  <r>
    <x v="73"/>
    <d v="2025-07-07T00:00:00"/>
    <s v="American Express"/>
    <x v="5852"/>
    <n v="92"/>
    <x v="10"/>
    <s v="Entertainment"/>
    <m/>
    <m/>
    <m/>
    <m/>
    <m/>
    <m/>
    <m/>
    <x v="5204"/>
    <m/>
    <m/>
  </r>
  <r>
    <x v="74"/>
    <d v="2025-06-16T00:00:00"/>
    <s v="American Express"/>
    <x v="5852"/>
    <n v="92"/>
    <x v="10"/>
    <s v="Entertainment"/>
    <m/>
    <m/>
    <m/>
    <m/>
    <m/>
    <m/>
    <m/>
    <x v="5204"/>
    <m/>
    <m/>
  </r>
  <r>
    <x v="76"/>
    <d v="2025-08-08T00:00:00"/>
    <s v="American Express"/>
    <x v="5853"/>
    <n v="90.5"/>
    <x v="3"/>
    <s v="Delete"/>
    <m/>
    <m/>
    <m/>
    <m/>
    <m/>
    <m/>
    <m/>
    <x v="5205"/>
    <m/>
    <m/>
  </r>
  <r>
    <x v="72"/>
    <d v="2025-09-25T00:00:00"/>
    <s v="American Express"/>
    <x v="5072"/>
    <n v="89.44"/>
    <x v="5"/>
    <s v="Groceries"/>
    <m/>
    <m/>
    <m/>
    <m/>
    <m/>
    <m/>
    <m/>
    <x v="4508"/>
    <m/>
    <m/>
  </r>
  <r>
    <x v="71"/>
    <d v="2025-10-17T00:00:00"/>
    <s v="Cash Rewards Visa Signature - Ending in 5913"/>
    <x v="5854"/>
    <n v="88.54"/>
    <x v="5"/>
    <m/>
    <s v="Exp - Groceries"/>
    <m/>
    <m/>
    <m/>
    <m/>
    <m/>
    <m/>
    <x v="5206"/>
    <m/>
    <m/>
  </r>
  <r>
    <x v="74"/>
    <d v="2025-06-18T00:00:00"/>
    <s v="American Express"/>
    <x v="5855"/>
    <n v="88"/>
    <x v="8"/>
    <s v="Restaurants"/>
    <s v="Exp - Shopping"/>
    <m/>
    <m/>
    <m/>
    <m/>
    <m/>
    <m/>
    <x v="5207"/>
    <m/>
    <m/>
  </r>
  <r>
    <x v="74"/>
    <d v="2025-06-19T00:00:00"/>
    <s v="American Express"/>
    <x v="5856"/>
    <n v="87.1"/>
    <x v="8"/>
    <s v="Restaurants"/>
    <s v="Exp - Shopping"/>
    <m/>
    <m/>
    <m/>
    <m/>
    <m/>
    <m/>
    <x v="5208"/>
    <m/>
    <m/>
  </r>
  <r>
    <x v="72"/>
    <d v="2025-09-12T00:00:00"/>
    <s v="American Express"/>
    <x v="5857"/>
    <n v="86.45"/>
    <x v="1"/>
    <s v="Restaurants"/>
    <m/>
    <m/>
    <m/>
    <m/>
    <m/>
    <m/>
    <m/>
    <x v="5209"/>
    <m/>
    <m/>
  </r>
  <r>
    <x v="71"/>
    <d v="2025-10-24T00:00:00"/>
    <s v="American Express"/>
    <x v="5858"/>
    <n v="86"/>
    <x v="3"/>
    <s v="Delete"/>
    <m/>
    <m/>
    <m/>
    <m/>
    <m/>
    <m/>
    <m/>
    <x v="5210"/>
    <m/>
    <m/>
  </r>
  <r>
    <x v="73"/>
    <d v="2025-07-12T00:00:00"/>
    <s v="American Express"/>
    <x v="5859"/>
    <n v="86"/>
    <x v="1"/>
    <s v="Entertainment"/>
    <s v="Exp - Restaurants"/>
    <m/>
    <m/>
    <m/>
    <m/>
    <m/>
    <m/>
    <x v="5211"/>
    <m/>
    <m/>
  </r>
  <r>
    <x v="72"/>
    <d v="2025-09-09T00:00:00"/>
    <s v="American Express"/>
    <x v="5855"/>
    <n v="85"/>
    <x v="8"/>
    <s v="Restaurants"/>
    <s v="Exp - Shopping"/>
    <m/>
    <m/>
    <m/>
    <m/>
    <m/>
    <m/>
    <x v="5207"/>
    <m/>
    <m/>
  </r>
  <r>
    <x v="74"/>
    <d v="2025-06-21T00:00:00"/>
    <s v="American Express"/>
    <x v="5860"/>
    <n v="84.86"/>
    <x v="5"/>
    <s v="Groceries"/>
    <s v="Exp - Groceries"/>
    <m/>
    <m/>
    <m/>
    <m/>
    <m/>
    <m/>
    <x v="5212"/>
    <m/>
    <m/>
  </r>
  <r>
    <x v="71"/>
    <d v="2025-10-20T00:00:00"/>
    <s v="Cash Rewards Visa Signature - Ending in 5913"/>
    <x v="5861"/>
    <n v="84.46"/>
    <x v="1"/>
    <s v="Delete"/>
    <s v="Exp - Restaurants"/>
    <m/>
    <m/>
    <m/>
    <m/>
    <m/>
    <m/>
    <x v="5213"/>
    <m/>
    <m/>
  </r>
  <r>
    <x v="73"/>
    <d v="2025-07-05T00:00:00"/>
    <s v="American Express"/>
    <x v="5862"/>
    <n v="83.34"/>
    <x v="1"/>
    <s v="Restaurants"/>
    <m/>
    <m/>
    <m/>
    <m/>
    <m/>
    <m/>
    <m/>
    <x v="5214"/>
    <m/>
    <m/>
  </r>
  <r>
    <x v="73"/>
    <d v="2025-07-05T00:00:00"/>
    <s v="Powerplus - Ending in 8s30"/>
    <x v="5863"/>
    <n v="83.25"/>
    <x v="24"/>
    <s v="Travel"/>
    <m/>
    <m/>
    <m/>
    <m/>
    <m/>
    <m/>
    <m/>
    <x v="5215"/>
    <m/>
    <m/>
  </r>
  <r>
    <x v="76"/>
    <d v="2025-08-06T00:00:00"/>
    <s v="Cash Rewards Visa Signature - Ending in 5913"/>
    <x v="5864"/>
    <n v="83.17"/>
    <x v="3"/>
    <s v="Delete"/>
    <m/>
    <m/>
    <m/>
    <m/>
    <m/>
    <m/>
    <m/>
    <x v="5216"/>
    <m/>
    <m/>
  </r>
  <r>
    <x v="71"/>
    <d v="2025-10-21T00:00:00"/>
    <s v="Powerplus - Ending in 8s30"/>
    <x v="5865"/>
    <n v="82.29"/>
    <x v="11"/>
    <s v="Delete"/>
    <s v="Exp - Utilities"/>
    <m/>
    <m/>
    <m/>
    <m/>
    <m/>
    <m/>
    <x v="3287"/>
    <m/>
    <m/>
  </r>
  <r>
    <x v="71"/>
    <d v="2025-10-06T00:00:00"/>
    <s v="Powerplus - Ending in 8s30"/>
    <x v="1827"/>
    <n v="80"/>
    <x v="8"/>
    <s v="Shopping"/>
    <m/>
    <m/>
    <m/>
    <m/>
    <m/>
    <m/>
    <m/>
    <x v="1682"/>
    <m/>
    <m/>
  </r>
  <r>
    <x v="76"/>
    <d v="2025-08-29T00:00:00"/>
    <s v="American Express"/>
    <x v="5866"/>
    <n v="79.61"/>
    <x v="24"/>
    <s v="Entertainment"/>
    <s v="Exp - Travel"/>
    <m/>
    <m/>
    <m/>
    <m/>
    <m/>
    <m/>
    <x v="5217"/>
    <m/>
    <m/>
  </r>
  <r>
    <x v="72"/>
    <d v="2025-09-20T00:00:00"/>
    <s v="American Express"/>
    <x v="5394"/>
    <n v="79.52"/>
    <x v="0"/>
    <s v="Amazon"/>
    <m/>
    <m/>
    <m/>
    <m/>
    <m/>
    <m/>
    <m/>
    <x v="4783"/>
    <m/>
    <m/>
  </r>
  <r>
    <x v="76"/>
    <d v="2025-08-03T00:00:00"/>
    <s v="American Express"/>
    <x v="5867"/>
    <n v="79.2"/>
    <x v="3"/>
    <s v="Delete"/>
    <m/>
    <m/>
    <m/>
    <m/>
    <m/>
    <m/>
    <m/>
    <x v="5218"/>
    <m/>
    <m/>
  </r>
  <r>
    <x v="74"/>
    <d v="2025-06-02T00:00:00"/>
    <s v="Powerplus - Ending in 8s30"/>
    <x v="5868"/>
    <n v="78.56"/>
    <x v="11"/>
    <s v="Day Care"/>
    <s v="Exp - Utilities"/>
    <m/>
    <m/>
    <m/>
    <m/>
    <m/>
    <m/>
    <x v="3912"/>
    <m/>
    <m/>
  </r>
  <r>
    <x v="74"/>
    <d v="2025-06-23T00:00:00"/>
    <s v="Powerplus - Ending in 8s30"/>
    <x v="5869"/>
    <n v="78.16"/>
    <x v="11"/>
    <s v="Day Care"/>
    <s v="Exp - Utilities"/>
    <m/>
    <m/>
    <m/>
    <m/>
    <m/>
    <m/>
    <x v="3287"/>
    <m/>
    <m/>
  </r>
  <r>
    <x v="75"/>
    <d v="2025-11-02T00:00:00"/>
    <s v="American Express"/>
    <x v="5870"/>
    <n v="78.03"/>
    <x v="1"/>
    <s v="Restaurants"/>
    <m/>
    <m/>
    <m/>
    <m/>
    <m/>
    <m/>
    <m/>
    <x v="5219"/>
    <m/>
    <m/>
  </r>
  <r>
    <x v="76"/>
    <d v="2025-08-06T00:00:00"/>
    <s v="American Express"/>
    <x v="5479"/>
    <n v="76.45"/>
    <x v="3"/>
    <s v="Delete"/>
    <m/>
    <m/>
    <m/>
    <m/>
    <m/>
    <m/>
    <m/>
    <x v="4859"/>
    <m/>
    <m/>
  </r>
  <r>
    <x v="73"/>
    <d v="2025-07-06T00:00:00"/>
    <s v="American Express"/>
    <x v="5871"/>
    <n v="76.27"/>
    <x v="1"/>
    <s v="Restaurants"/>
    <m/>
    <m/>
    <m/>
    <m/>
    <m/>
    <m/>
    <m/>
    <x v="5220"/>
    <m/>
    <m/>
  </r>
  <r>
    <x v="73"/>
    <d v="2025-07-13T00:00:00"/>
    <s v="Cash Rewards Visa Signature - Ending in 5913"/>
    <x v="5872"/>
    <n v="76"/>
    <x v="10"/>
    <m/>
    <s v="Exp - Entertainment"/>
    <m/>
    <m/>
    <m/>
    <m/>
    <m/>
    <m/>
    <x v="5221"/>
    <m/>
    <m/>
  </r>
  <r>
    <x v="71"/>
    <d v="2025-10-11T00:00:00"/>
    <s v="American Express"/>
    <x v="5873"/>
    <n v="75.34"/>
    <x v="1"/>
    <m/>
    <s v="Exp - Restaurants"/>
    <m/>
    <m/>
    <m/>
    <m/>
    <m/>
    <m/>
    <x v="5222"/>
    <m/>
    <m/>
  </r>
  <r>
    <x v="71"/>
    <d v="2025-10-10T00:00:00"/>
    <s v="American Express"/>
    <x v="5874"/>
    <n v="75.34"/>
    <x v="1"/>
    <s v="Restaurants"/>
    <m/>
    <m/>
    <m/>
    <m/>
    <m/>
    <m/>
    <m/>
    <x v="5223"/>
    <m/>
    <m/>
  </r>
  <r>
    <x v="74"/>
    <d v="2025-06-22T00:00:00"/>
    <s v="American Express"/>
    <x v="5875"/>
    <n v="75.16"/>
    <x v="1"/>
    <s v="Restaurants"/>
    <m/>
    <m/>
    <m/>
    <m/>
    <m/>
    <m/>
    <m/>
    <x v="5224"/>
    <m/>
    <m/>
  </r>
  <r>
    <x v="73"/>
    <d v="2025-07-11T00:00:00"/>
    <s v="American Express"/>
    <x v="5876"/>
    <n v="75.03"/>
    <x v="10"/>
    <s v="Entertainment"/>
    <m/>
    <m/>
    <m/>
    <m/>
    <m/>
    <m/>
    <m/>
    <x v="5225"/>
    <m/>
    <m/>
  </r>
  <r>
    <x v="72"/>
    <d v="2025-09-19T00:00:00"/>
    <s v="American Express"/>
    <x v="5072"/>
    <n v="74.5"/>
    <x v="5"/>
    <s v="Groceries"/>
    <m/>
    <m/>
    <m/>
    <m/>
    <m/>
    <m/>
    <m/>
    <x v="4508"/>
    <m/>
    <m/>
  </r>
  <r>
    <x v="73"/>
    <d v="2025-07-21T00:00:00"/>
    <s v="Powerplus - Ending in 8s30"/>
    <x v="5877"/>
    <n v="74.03"/>
    <x v="11"/>
    <s v="Day Care"/>
    <s v="Exp - Utilities"/>
    <m/>
    <m/>
    <m/>
    <m/>
    <m/>
    <m/>
    <x v="3287"/>
    <m/>
    <m/>
  </r>
  <r>
    <x v="71"/>
    <d v="2025-10-05T00:00:00"/>
    <s v="Cash Rewards Visa Signature - Ending in 5913"/>
    <x v="5878"/>
    <n v="74"/>
    <x v="10"/>
    <s v="Misc"/>
    <s v="Exp - Entertainment"/>
    <m/>
    <m/>
    <m/>
    <m/>
    <m/>
    <m/>
    <x v="5226"/>
    <m/>
    <m/>
  </r>
  <r>
    <x v="74"/>
    <d v="2025-06-23T00:00:00"/>
    <s v="American Express"/>
    <x v="5123"/>
    <n v="74"/>
    <x v="8"/>
    <s v="Shopping"/>
    <m/>
    <m/>
    <m/>
    <m/>
    <m/>
    <m/>
    <m/>
    <x v="4555"/>
    <m/>
    <m/>
  </r>
  <r>
    <x v="72"/>
    <d v="2025-09-24T00:00:00"/>
    <s v="American Express"/>
    <x v="5879"/>
    <n v="73.38"/>
    <x v="1"/>
    <s v="Restaurants"/>
    <m/>
    <m/>
    <m/>
    <m/>
    <m/>
    <m/>
    <m/>
    <x v="5227"/>
    <m/>
    <m/>
  </r>
  <r>
    <x v="74"/>
    <d v="2025-06-05T00:00:00"/>
    <s v="American Express"/>
    <x v="4986"/>
    <n v="73.02"/>
    <x v="1"/>
    <s v="Restaurants"/>
    <m/>
    <m/>
    <m/>
    <m/>
    <m/>
    <m/>
    <m/>
    <x v="4425"/>
    <m/>
    <m/>
  </r>
  <r>
    <x v="71"/>
    <d v="2025-10-24T00:00:00"/>
    <s v="American Express"/>
    <x v="5880"/>
    <n v="72.98"/>
    <x v="3"/>
    <s v="Delete"/>
    <m/>
    <m/>
    <m/>
    <m/>
    <m/>
    <m/>
    <m/>
    <x v="5228"/>
    <m/>
    <m/>
  </r>
  <r>
    <x v="74"/>
    <d v="2025-06-15T00:00:00"/>
    <s v="American Express"/>
    <x v="5013"/>
    <n v="72.12"/>
    <x v="5"/>
    <s v="Groceries"/>
    <m/>
    <m/>
    <m/>
    <m/>
    <m/>
    <m/>
    <m/>
    <x v="4451"/>
    <m/>
    <m/>
  </r>
  <r>
    <x v="74"/>
    <d v="2025-06-20T00:00:00"/>
    <s v="American Express"/>
    <x v="5881"/>
    <n v="72"/>
    <x v="1"/>
    <s v="Restaurants"/>
    <m/>
    <m/>
    <m/>
    <m/>
    <m/>
    <m/>
    <m/>
    <x v="5229"/>
    <m/>
    <m/>
  </r>
  <r>
    <x v="71"/>
    <d v="2025-10-04T00:00:00"/>
    <s v="American Express"/>
    <x v="5882"/>
    <n v="71.72"/>
    <x v="5"/>
    <s v="Amazon"/>
    <s v="Exp - Groceries"/>
    <m/>
    <m/>
    <m/>
    <m/>
    <m/>
    <m/>
    <x v="5230"/>
    <m/>
    <m/>
  </r>
  <r>
    <x v="76"/>
    <d v="2025-08-08T00:00:00"/>
    <s v="American Express"/>
    <x v="5394"/>
    <n v="71.44"/>
    <x v="0"/>
    <s v="Delete"/>
    <s v="Exp - Amazon"/>
    <m/>
    <m/>
    <m/>
    <m/>
    <m/>
    <m/>
    <x v="4783"/>
    <m/>
    <m/>
  </r>
  <r>
    <x v="72"/>
    <d v="2025-09-24T00:00:00"/>
    <s v="American Express"/>
    <x v="5883"/>
    <n v="71.06"/>
    <x v="5"/>
    <s v="Groceries"/>
    <m/>
    <m/>
    <m/>
    <m/>
    <m/>
    <m/>
    <m/>
    <x v="5231"/>
    <m/>
    <m/>
  </r>
  <r>
    <x v="72"/>
    <d v="2025-09-27T00:00:00"/>
    <s v="American Express"/>
    <x v="5394"/>
    <n v="70.7"/>
    <x v="0"/>
    <s v="Amazon"/>
    <m/>
    <m/>
    <m/>
    <m/>
    <m/>
    <m/>
    <m/>
    <x v="4783"/>
    <m/>
    <m/>
  </r>
  <r>
    <x v="76"/>
    <d v="2025-08-24T00:00:00"/>
    <s v="American Express"/>
    <x v="5109"/>
    <n v="70.67"/>
    <x v="5"/>
    <s v="Groceries"/>
    <m/>
    <m/>
    <m/>
    <m/>
    <m/>
    <m/>
    <m/>
    <x v="4541"/>
    <m/>
    <m/>
  </r>
  <r>
    <x v="71"/>
    <d v="2025-10-04T00:00:00"/>
    <s v="American Express"/>
    <x v="5884"/>
    <n v="70.06"/>
    <x v="1"/>
    <m/>
    <s v="Exp - Restaurants"/>
    <m/>
    <m/>
    <m/>
    <m/>
    <m/>
    <m/>
    <x v="5232"/>
    <m/>
    <m/>
  </r>
  <r>
    <x v="73"/>
    <d v="2025-07-06T00:00:00"/>
    <s v="American Express"/>
    <x v="5885"/>
    <n v="70"/>
    <x v="10"/>
    <s v="Travel"/>
    <s v="Exp - Entertainment"/>
    <m/>
    <m/>
    <m/>
    <m/>
    <m/>
    <m/>
    <x v="5233"/>
    <m/>
    <m/>
  </r>
  <r>
    <x v="74"/>
    <d v="2025-06-04T00:00:00"/>
    <s v="American Express"/>
    <x v="5886"/>
    <n v="70"/>
    <x v="10"/>
    <s v="Entertainment"/>
    <m/>
    <m/>
    <m/>
    <m/>
    <m/>
    <m/>
    <m/>
    <x v="5234"/>
    <m/>
    <m/>
  </r>
  <r>
    <x v="71"/>
    <d v="2025-10-15T00:00:00"/>
    <s v="American Express"/>
    <x v="5887"/>
    <n v="69.88"/>
    <x v="1"/>
    <m/>
    <s v="Exp - Restaurants"/>
    <m/>
    <m/>
    <m/>
    <m/>
    <m/>
    <m/>
    <x v="5235"/>
    <m/>
    <m/>
  </r>
  <r>
    <x v="71"/>
    <d v="2025-10-15T00:00:00"/>
    <s v="Cash Rewards Visa Signature - Ending in 5913"/>
    <x v="5888"/>
    <n v="69.790000000000006"/>
    <x v="24"/>
    <s v="Utilities"/>
    <s v="Exp - Travel"/>
    <m/>
    <m/>
    <m/>
    <m/>
    <m/>
    <m/>
    <x v="5236"/>
    <m/>
    <m/>
  </r>
  <r>
    <x v="74"/>
    <d v="2025-06-18T00:00:00"/>
    <s v="American Express"/>
    <x v="5598"/>
    <n v="69.5"/>
    <x v="12"/>
    <s v="Target"/>
    <m/>
    <m/>
    <m/>
    <m/>
    <m/>
    <m/>
    <m/>
    <x v="4971"/>
    <m/>
    <m/>
  </r>
  <r>
    <x v="73"/>
    <d v="2025-07-16T00:00:00"/>
    <s v="American Express"/>
    <x v="5889"/>
    <n v="69.239999999999995"/>
    <x v="1"/>
    <s v="Restaurants"/>
    <m/>
    <m/>
    <m/>
    <m/>
    <m/>
    <m/>
    <m/>
    <x v="5237"/>
    <m/>
    <m/>
  </r>
  <r>
    <x v="74"/>
    <d v="2025-06-27T00:00:00"/>
    <s v="American Express"/>
    <x v="5890"/>
    <n v="69"/>
    <x v="1"/>
    <s v="Restaurants"/>
    <m/>
    <m/>
    <m/>
    <m/>
    <m/>
    <m/>
    <m/>
    <x v="5238"/>
    <m/>
    <m/>
  </r>
  <r>
    <x v="76"/>
    <d v="2025-08-02T00:00:00"/>
    <s v="American Express"/>
    <x v="5891"/>
    <n v="68.400000000000006"/>
    <x v="11"/>
    <s v="Utilities"/>
    <m/>
    <m/>
    <m/>
    <m/>
    <m/>
    <m/>
    <m/>
    <x v="5239"/>
    <m/>
    <m/>
  </r>
  <r>
    <x v="72"/>
    <d v="2025-09-20T00:00:00"/>
    <s v="American Express"/>
    <x v="5394"/>
    <n v="68.11"/>
    <x v="0"/>
    <s v="Amazon"/>
    <m/>
    <m/>
    <m/>
    <m/>
    <m/>
    <m/>
    <m/>
    <x v="4783"/>
    <m/>
    <m/>
  </r>
  <r>
    <x v="71"/>
    <d v="2025-10-04T00:00:00"/>
    <s v="American Express"/>
    <x v="5892"/>
    <n v="67.31"/>
    <x v="5"/>
    <s v="Restaurants"/>
    <s v="Exp - Groceries"/>
    <m/>
    <m/>
    <m/>
    <m/>
    <m/>
    <m/>
    <x v="5240"/>
    <m/>
    <m/>
  </r>
  <r>
    <x v="73"/>
    <d v="2025-07-24T00:00:00"/>
    <s v="American Express"/>
    <x v="5151"/>
    <n v="66.94"/>
    <x v="2"/>
    <s v="Transportation"/>
    <m/>
    <m/>
    <m/>
    <m/>
    <m/>
    <m/>
    <m/>
    <x v="4583"/>
    <m/>
    <m/>
  </r>
  <r>
    <x v="76"/>
    <d v="2025-08-01T00:00:00"/>
    <s v="American Express"/>
    <x v="5013"/>
    <n v="66.42"/>
    <x v="5"/>
    <s v="Groceries"/>
    <m/>
    <m/>
    <m/>
    <m/>
    <m/>
    <m/>
    <m/>
    <x v="4451"/>
    <m/>
    <m/>
  </r>
  <r>
    <x v="74"/>
    <d v="2025-06-19T00:00:00"/>
    <s v="American Express"/>
    <x v="5893"/>
    <n v="66"/>
    <x v="1"/>
    <s v="Restaurants"/>
    <m/>
    <m/>
    <m/>
    <m/>
    <m/>
    <m/>
    <m/>
    <x v="5241"/>
    <m/>
    <m/>
  </r>
  <r>
    <x v="71"/>
    <d v="2025-10-17T00:00:00"/>
    <s v="Cash Rewards Visa Signature - Ending in 5913"/>
    <x v="5894"/>
    <n v="65.819999999999993"/>
    <x v="1"/>
    <m/>
    <s v="Exp - Restaurants"/>
    <m/>
    <m/>
    <m/>
    <m/>
    <m/>
    <m/>
    <x v="5242"/>
    <m/>
    <m/>
  </r>
  <r>
    <x v="71"/>
    <d v="2025-10-14T00:00:00"/>
    <s v="Cash Rewards Visa Signature - Ending in 5913"/>
    <x v="5895"/>
    <n v="65.14"/>
    <x v="1"/>
    <m/>
    <s v="Exp - Restaurants"/>
    <m/>
    <m/>
    <m/>
    <m/>
    <m/>
    <m/>
    <x v="5243"/>
    <m/>
    <m/>
  </r>
  <r>
    <x v="73"/>
    <d v="2025-07-13T00:00:00"/>
    <s v="American Express"/>
    <x v="5520"/>
    <n v="64.900000000000006"/>
    <x v="1"/>
    <s v="Restaurants"/>
    <m/>
    <m/>
    <m/>
    <m/>
    <m/>
    <m/>
    <m/>
    <x v="4897"/>
    <m/>
    <m/>
  </r>
  <r>
    <x v="74"/>
    <d v="2025-06-23T00:00:00"/>
    <s v="Powerplus - Ending in 8s30"/>
    <x v="3840"/>
    <n v="64.44"/>
    <x v="3"/>
    <s v="Utilities"/>
    <s v="Delete"/>
    <m/>
    <m/>
    <m/>
    <m/>
    <m/>
    <m/>
    <x v="3391"/>
    <m/>
    <m/>
  </r>
  <r>
    <x v="72"/>
    <d v="2025-09-17T00:00:00"/>
    <s v="American Express"/>
    <x v="5896"/>
    <n v="63.88"/>
    <x v="1"/>
    <s v="Utilities"/>
    <s v="Exp - Restaurants"/>
    <m/>
    <m/>
    <m/>
    <m/>
    <m/>
    <m/>
    <x v="5244"/>
    <m/>
    <m/>
  </r>
  <r>
    <x v="73"/>
    <d v="2025-07-09T00:00:00"/>
    <s v="American Express"/>
    <x v="5897"/>
    <n v="63.77"/>
    <x v="8"/>
    <s v="Restaurants"/>
    <s v="Exp - Shopping"/>
    <m/>
    <m/>
    <m/>
    <m/>
    <m/>
    <m/>
    <x v="5245"/>
    <m/>
    <m/>
  </r>
  <r>
    <x v="76"/>
    <d v="2025-08-27T00:00:00"/>
    <s v="American Express"/>
    <x v="5237"/>
    <n v="63.52"/>
    <x v="10"/>
    <s v="Entertainment"/>
    <m/>
    <m/>
    <m/>
    <m/>
    <m/>
    <m/>
    <m/>
    <x v="4659"/>
    <m/>
    <m/>
  </r>
  <r>
    <x v="76"/>
    <d v="2025-08-27T00:00:00"/>
    <s v="American Express"/>
    <x v="5237"/>
    <n v="63.52"/>
    <x v="10"/>
    <s v="Entertainment"/>
    <m/>
    <m/>
    <m/>
    <m/>
    <m/>
    <m/>
    <m/>
    <x v="4659"/>
    <m/>
    <m/>
  </r>
  <r>
    <x v="73"/>
    <d v="2025-07-30T00:00:00"/>
    <s v="American Express"/>
    <x v="4998"/>
    <n v="63.13"/>
    <x v="1"/>
    <s v="Restaurants"/>
    <m/>
    <m/>
    <m/>
    <m/>
    <m/>
    <m/>
    <m/>
    <x v="4437"/>
    <m/>
    <m/>
  </r>
  <r>
    <x v="73"/>
    <d v="2025-07-14T00:00:00"/>
    <s v="Cash Rewards Visa Signature - Ending in 5913"/>
    <x v="5898"/>
    <n v="63"/>
    <x v="10"/>
    <s v="Entertainment"/>
    <m/>
    <m/>
    <m/>
    <m/>
    <m/>
    <m/>
    <m/>
    <x v="5246"/>
    <m/>
    <m/>
  </r>
  <r>
    <x v="75"/>
    <d v="2025-11-06T00:00:00"/>
    <s v="American Express"/>
    <x v="5899"/>
    <n v="62.57"/>
    <x v="5"/>
    <s v="Groceries"/>
    <m/>
    <m/>
    <m/>
    <m/>
    <m/>
    <m/>
    <m/>
    <x v="5247"/>
    <m/>
    <m/>
  </r>
  <r>
    <x v="74"/>
    <d v="2025-06-04T00:00:00"/>
    <s v="American Express"/>
    <x v="5900"/>
    <n v="62.02"/>
    <x v="1"/>
    <m/>
    <s v="Exp - Restaurants"/>
    <m/>
    <m/>
    <m/>
    <m/>
    <m/>
    <m/>
    <x v="5248"/>
    <m/>
    <m/>
  </r>
  <r>
    <x v="76"/>
    <d v="2025-08-23T00:00:00"/>
    <s v="American Express"/>
    <x v="5901"/>
    <n v="61.64"/>
    <x v="1"/>
    <s v="Restaurants"/>
    <m/>
    <m/>
    <m/>
    <m/>
    <m/>
    <m/>
    <m/>
    <x v="5249"/>
    <m/>
    <m/>
  </r>
  <r>
    <x v="72"/>
    <d v="2025-09-07T00:00:00"/>
    <s v="American Express"/>
    <x v="5902"/>
    <n v="61.5"/>
    <x v="1"/>
    <s v="Restaurants"/>
    <m/>
    <m/>
    <m/>
    <m/>
    <m/>
    <m/>
    <m/>
    <x v="5250"/>
    <m/>
    <m/>
  </r>
  <r>
    <x v="72"/>
    <d v="2025-09-13T00:00:00"/>
    <s v="American Express"/>
    <x v="5903"/>
    <n v="61"/>
    <x v="2"/>
    <s v="Transportation"/>
    <m/>
    <m/>
    <m/>
    <m/>
    <m/>
    <m/>
    <m/>
    <x v="5251"/>
    <m/>
    <m/>
  </r>
  <r>
    <x v="76"/>
    <d v="2025-08-28T00:00:00"/>
    <s v="Powerplus - Ending in 8s30"/>
    <x v="1849"/>
    <n v="60.94"/>
    <x v="8"/>
    <s v="Shopping"/>
    <m/>
    <m/>
    <m/>
    <m/>
    <m/>
    <m/>
    <m/>
    <x v="1704"/>
    <m/>
    <m/>
  </r>
  <r>
    <x v="74"/>
    <d v="2025-06-15T00:00:00"/>
    <s v="American Express"/>
    <x v="5904"/>
    <n v="60.71"/>
    <x v="1"/>
    <m/>
    <s v="Exp - Restaurants"/>
    <m/>
    <m/>
    <m/>
    <m/>
    <m/>
    <m/>
    <x v="5252"/>
    <m/>
    <m/>
  </r>
  <r>
    <x v="72"/>
    <d v="2025-09-21T00:00:00"/>
    <s v="American Express"/>
    <x v="5394"/>
    <n v="60.62"/>
    <x v="0"/>
    <s v="Amazon"/>
    <m/>
    <m/>
    <m/>
    <m/>
    <m/>
    <m/>
    <m/>
    <x v="4783"/>
    <m/>
    <m/>
  </r>
  <r>
    <x v="74"/>
    <d v="2025-06-26T00:00:00"/>
    <s v="Powerplus - Ending in 8s30"/>
    <x v="5905"/>
    <n v="60.25"/>
    <x v="4"/>
    <s v="Day Care"/>
    <m/>
    <m/>
    <m/>
    <m/>
    <m/>
    <m/>
    <m/>
    <x v="5167"/>
    <m/>
    <m/>
  </r>
  <r>
    <x v="74"/>
    <d v="2025-06-05T00:00:00"/>
    <s v="American Express"/>
    <x v="5121"/>
    <n v="60.1"/>
    <x v="5"/>
    <s v="Groceries"/>
    <m/>
    <m/>
    <m/>
    <m/>
    <m/>
    <m/>
    <m/>
    <x v="4553"/>
    <m/>
    <m/>
  </r>
  <r>
    <x v="73"/>
    <d v="2025-07-18T00:00:00"/>
    <s v="American Express"/>
    <x v="1941"/>
    <n v="59.97"/>
    <x v="2"/>
    <s v="Transportation"/>
    <m/>
    <m/>
    <m/>
    <m/>
    <m/>
    <m/>
    <m/>
    <x v="1794"/>
    <m/>
    <m/>
  </r>
  <r>
    <x v="76"/>
    <d v="2025-08-14T00:00:00"/>
    <s v="American Express"/>
    <x v="5600"/>
    <n v="59.35"/>
    <x v="20"/>
    <s v="Dry Cleaning"/>
    <m/>
    <m/>
    <m/>
    <m/>
    <m/>
    <m/>
    <m/>
    <x v="4973"/>
    <m/>
    <m/>
  </r>
  <r>
    <x v="73"/>
    <d v="2025-07-24T00:00:00"/>
    <s v="American Express"/>
    <x v="5296"/>
    <n v="59.11"/>
    <x v="2"/>
    <s v="Transportation"/>
    <m/>
    <m/>
    <m/>
    <m/>
    <m/>
    <m/>
    <m/>
    <x v="4713"/>
    <m/>
    <m/>
  </r>
  <r>
    <x v="71"/>
    <d v="2025-10-04T00:00:00"/>
    <s v="American Express"/>
    <x v="5906"/>
    <n v="58.86"/>
    <x v="1"/>
    <s v="Restaurants"/>
    <m/>
    <m/>
    <m/>
    <m/>
    <m/>
    <m/>
    <m/>
    <x v="5253"/>
    <m/>
    <m/>
  </r>
  <r>
    <x v="71"/>
    <d v="2025-10-13T00:00:00"/>
    <s v="Cash Rewards Visa Signature - Ending in 5913"/>
    <x v="5907"/>
    <n v="58.16"/>
    <x v="1"/>
    <m/>
    <s v="Exp - Restaurants"/>
    <m/>
    <m/>
    <m/>
    <m/>
    <m/>
    <m/>
    <x v="5254"/>
    <m/>
    <m/>
  </r>
  <r>
    <x v="76"/>
    <d v="2025-08-30T00:00:00"/>
    <s v="American Express"/>
    <x v="5908"/>
    <n v="58.02"/>
    <x v="8"/>
    <s v="Shopping"/>
    <m/>
    <m/>
    <m/>
    <m/>
    <m/>
    <m/>
    <m/>
    <x v="5255"/>
    <m/>
    <m/>
  </r>
  <r>
    <x v="73"/>
    <d v="2025-07-03T00:00:00"/>
    <s v="American Express"/>
    <x v="5909"/>
    <n v="57.68"/>
    <x v="1"/>
    <s v="Utilities"/>
    <s v="Exp - Restaurants"/>
    <m/>
    <m/>
    <m/>
    <m/>
    <m/>
    <m/>
    <x v="5256"/>
    <m/>
    <m/>
  </r>
  <r>
    <x v="76"/>
    <d v="2025-08-18T00:00:00"/>
    <s v="American Express"/>
    <x v="5779"/>
    <n v="57.35"/>
    <x v="24"/>
    <m/>
    <s v="Exp - Travel"/>
    <m/>
    <m/>
    <m/>
    <m/>
    <m/>
    <m/>
    <x v="5134"/>
    <m/>
    <m/>
  </r>
  <r>
    <x v="74"/>
    <d v="2025-06-16T00:00:00"/>
    <s v="Powerplus - Ending in 8s30"/>
    <x v="1827"/>
    <n v="57"/>
    <x v="8"/>
    <s v="Shopping"/>
    <m/>
    <m/>
    <m/>
    <m/>
    <m/>
    <m/>
    <m/>
    <x v="1682"/>
    <m/>
    <m/>
  </r>
  <r>
    <x v="73"/>
    <d v="2025-07-25T00:00:00"/>
    <s v="American Express"/>
    <x v="5573"/>
    <n v="57"/>
    <x v="1"/>
    <s v="Restaurants"/>
    <m/>
    <m/>
    <m/>
    <m/>
    <m/>
    <m/>
    <m/>
    <x v="4946"/>
    <m/>
    <m/>
  </r>
  <r>
    <x v="71"/>
    <d v="2025-10-01T00:00:00"/>
    <s v="American Express"/>
    <x v="5573"/>
    <n v="56"/>
    <x v="1"/>
    <s v="Restaurants"/>
    <m/>
    <m/>
    <m/>
    <m/>
    <m/>
    <m/>
    <m/>
    <x v="4946"/>
    <m/>
    <m/>
  </r>
  <r>
    <x v="74"/>
    <d v="2025-06-21T00:00:00"/>
    <s v="American Express"/>
    <x v="5831"/>
    <n v="55.64"/>
    <x v="1"/>
    <s v="Travel"/>
    <s v="Exp - Restaurants"/>
    <m/>
    <m/>
    <m/>
    <m/>
    <m/>
    <m/>
    <x v="5183"/>
    <m/>
    <m/>
  </r>
  <r>
    <x v="76"/>
    <d v="2025-08-16T00:00:00"/>
    <s v="American Express"/>
    <x v="4663"/>
    <n v="55.21"/>
    <x v="24"/>
    <s v="Travel"/>
    <m/>
    <m/>
    <m/>
    <m/>
    <m/>
    <m/>
    <m/>
    <x v="4133"/>
    <m/>
    <m/>
  </r>
  <r>
    <x v="76"/>
    <d v="2025-08-16T00:00:00"/>
    <s v="American Express"/>
    <x v="4663"/>
    <n v="55.21"/>
    <x v="24"/>
    <s v="Travel"/>
    <m/>
    <m/>
    <m/>
    <m/>
    <m/>
    <m/>
    <m/>
    <x v="4133"/>
    <m/>
    <m/>
  </r>
  <r>
    <x v="71"/>
    <d v="2025-10-13T00:00:00"/>
    <s v="Cash Rewards Visa Signature - Ending in 5913"/>
    <x v="1993"/>
    <n v="55"/>
    <x v="11"/>
    <s v="Utilities"/>
    <m/>
    <m/>
    <m/>
    <m/>
    <m/>
    <m/>
    <m/>
    <x v="1843"/>
    <m/>
    <m/>
  </r>
  <r>
    <x v="72"/>
    <d v="2025-09-14T00:00:00"/>
    <s v="Cash Rewards Visa Signature - Ending in 5913"/>
    <x v="1993"/>
    <n v="55"/>
    <x v="11"/>
    <s v="Utilities"/>
    <m/>
    <m/>
    <m/>
    <m/>
    <m/>
    <m/>
    <m/>
    <x v="1843"/>
    <m/>
    <m/>
  </r>
  <r>
    <x v="74"/>
    <d v="2025-06-20T00:00:00"/>
    <s v="American Express"/>
    <x v="5910"/>
    <n v="54.93"/>
    <x v="1"/>
    <s v="Restaurants"/>
    <m/>
    <m/>
    <m/>
    <m/>
    <m/>
    <m/>
    <m/>
    <x v="5257"/>
    <m/>
    <m/>
  </r>
  <r>
    <x v="73"/>
    <d v="2025-07-30T00:00:00"/>
    <s v="American Express"/>
    <x v="5549"/>
    <n v="54.43"/>
    <x v="5"/>
    <s v="Restaurants"/>
    <s v="Exp - Groceries"/>
    <m/>
    <m/>
    <m/>
    <m/>
    <m/>
    <m/>
    <x v="4924"/>
    <m/>
    <m/>
  </r>
  <r>
    <x v="71"/>
    <d v="2025-10-28T00:00:00"/>
    <s v="Powerplus - Ending in 8s30"/>
    <x v="3693"/>
    <n v="54.33"/>
    <x v="16"/>
    <s v="Insurance"/>
    <m/>
    <m/>
    <m/>
    <m/>
    <m/>
    <m/>
    <m/>
    <x v="3254"/>
    <m/>
    <m/>
  </r>
  <r>
    <x v="72"/>
    <d v="2025-09-29T00:00:00"/>
    <s v="Powerplus - Ending in 8s30"/>
    <x v="3693"/>
    <n v="54.33"/>
    <x v="16"/>
    <s v="Insurance"/>
    <m/>
    <m/>
    <m/>
    <m/>
    <m/>
    <m/>
    <m/>
    <x v="3254"/>
    <m/>
    <m/>
  </r>
  <r>
    <x v="76"/>
    <d v="2025-08-28T00:00:00"/>
    <s v="Powerplus - Ending in 8s30"/>
    <x v="3693"/>
    <n v="54.33"/>
    <x v="16"/>
    <s v="Insurance"/>
    <m/>
    <m/>
    <m/>
    <m/>
    <m/>
    <m/>
    <m/>
    <x v="3254"/>
    <m/>
    <m/>
  </r>
  <r>
    <x v="73"/>
    <d v="2025-07-28T00:00:00"/>
    <s v="Powerplus - Ending in 8s30"/>
    <x v="3693"/>
    <n v="54.33"/>
    <x v="16"/>
    <s v="Insurance"/>
    <m/>
    <m/>
    <m/>
    <m/>
    <m/>
    <m/>
    <m/>
    <x v="3254"/>
    <m/>
    <m/>
  </r>
  <r>
    <x v="74"/>
    <d v="2025-06-30T00:00:00"/>
    <s v="Powerplus - Ending in 8s30"/>
    <x v="3693"/>
    <n v="54.33"/>
    <x v="16"/>
    <s v="Insurance"/>
    <m/>
    <m/>
    <m/>
    <m/>
    <m/>
    <m/>
    <m/>
    <x v="3254"/>
    <m/>
    <m/>
  </r>
  <r>
    <x v="76"/>
    <d v="2025-08-10T00:00:00"/>
    <s v="American Express"/>
    <x v="5911"/>
    <n v="54.25"/>
    <x v="1"/>
    <s v="Restaurants"/>
    <m/>
    <m/>
    <m/>
    <m/>
    <m/>
    <m/>
    <m/>
    <x v="5258"/>
    <m/>
    <m/>
  </r>
  <r>
    <x v="74"/>
    <d v="2025-06-24T00:00:00"/>
    <s v="American Express"/>
    <x v="5020"/>
    <n v="53.9"/>
    <x v="3"/>
    <s v="House Maintenance"/>
    <s v="Delete"/>
    <m/>
    <m/>
    <m/>
    <m/>
    <m/>
    <m/>
    <x v="4458"/>
    <m/>
    <m/>
  </r>
  <r>
    <x v="72"/>
    <d v="2025-09-19T00:00:00"/>
    <s v="American Express"/>
    <x v="5394"/>
    <n v="53.87"/>
    <x v="0"/>
    <s v="Amazon"/>
    <m/>
    <m/>
    <m/>
    <m/>
    <m/>
    <m/>
    <m/>
    <x v="4783"/>
    <m/>
    <m/>
  </r>
  <r>
    <x v="74"/>
    <d v="2025-06-10T00:00:00"/>
    <s v="American Express"/>
    <x v="5911"/>
    <n v="52.95"/>
    <x v="1"/>
    <s v="Restaurants"/>
    <m/>
    <m/>
    <m/>
    <m/>
    <m/>
    <m/>
    <m/>
    <x v="5258"/>
    <m/>
    <m/>
  </r>
  <r>
    <x v="76"/>
    <d v="2025-08-01T00:00:00"/>
    <s v="American Express"/>
    <x v="5912"/>
    <n v="52.37"/>
    <x v="1"/>
    <m/>
    <s v="Exp - Restaurants"/>
    <m/>
    <m/>
    <m/>
    <m/>
    <m/>
    <m/>
    <x v="5259"/>
    <m/>
    <m/>
  </r>
  <r>
    <x v="74"/>
    <d v="2025-06-18T00:00:00"/>
    <s v="American Express"/>
    <x v="5842"/>
    <n v="52.33"/>
    <x v="1"/>
    <s v="Restaurants"/>
    <m/>
    <m/>
    <m/>
    <m/>
    <m/>
    <m/>
    <m/>
    <x v="5194"/>
    <m/>
    <m/>
  </r>
  <r>
    <x v="71"/>
    <d v="2025-10-11T00:00:00"/>
    <s v="American Express"/>
    <x v="5913"/>
    <n v="52.16"/>
    <x v="7"/>
    <m/>
    <m/>
    <m/>
    <m/>
    <m/>
    <m/>
    <m/>
    <m/>
    <x v="5260"/>
    <m/>
    <m/>
  </r>
  <r>
    <x v="73"/>
    <d v="2025-07-29T00:00:00"/>
    <s v="American Express"/>
    <x v="5914"/>
    <n v="52.05"/>
    <x v="1"/>
    <s v="Restaurants"/>
    <m/>
    <m/>
    <m/>
    <m/>
    <m/>
    <m/>
    <m/>
    <x v="5261"/>
    <m/>
    <m/>
  </r>
  <r>
    <x v="76"/>
    <d v="2025-08-20T00:00:00"/>
    <s v="Powerplus - Ending in 8s30"/>
    <x v="5915"/>
    <n v="52"/>
    <x v="30"/>
    <s v="House"/>
    <m/>
    <m/>
    <m/>
    <m/>
    <m/>
    <m/>
    <m/>
    <x v="5262"/>
    <m/>
    <m/>
  </r>
  <r>
    <x v="76"/>
    <d v="2025-08-12T00:00:00"/>
    <s v="Cash Rewards Visa Signature - Ending in 5913"/>
    <x v="5916"/>
    <n v="52"/>
    <x v="10"/>
    <s v="Entertainment"/>
    <m/>
    <m/>
    <m/>
    <m/>
    <m/>
    <m/>
    <m/>
    <x v="5263"/>
    <m/>
    <m/>
  </r>
  <r>
    <x v="71"/>
    <d v="2025-10-04T00:00:00"/>
    <s v="American Express"/>
    <x v="5917"/>
    <n v="51.96"/>
    <x v="7"/>
    <m/>
    <m/>
    <m/>
    <m/>
    <m/>
    <m/>
    <m/>
    <m/>
    <x v="5264"/>
    <m/>
    <m/>
  </r>
  <r>
    <x v="73"/>
    <d v="2025-07-01T00:00:00"/>
    <s v="American Express"/>
    <x v="5110"/>
    <n v="51.67"/>
    <x v="2"/>
    <s v="Transportation"/>
    <m/>
    <m/>
    <m/>
    <m/>
    <m/>
    <m/>
    <m/>
    <x v="4542"/>
    <m/>
    <m/>
  </r>
  <r>
    <x v="74"/>
    <d v="2025-06-06T00:00:00"/>
    <s v="American Express"/>
    <x v="5918"/>
    <n v="51.49"/>
    <x v="8"/>
    <m/>
    <s v="Exp - Shopping"/>
    <m/>
    <m/>
    <m/>
    <m/>
    <m/>
    <m/>
    <x v="5265"/>
    <m/>
    <m/>
  </r>
  <r>
    <x v="76"/>
    <d v="2025-08-04T00:00:00"/>
    <s v="Cash Rewards Visa Signature - Ending in 5913"/>
    <x v="4158"/>
    <n v="51.02"/>
    <x v="3"/>
    <s v="Delete"/>
    <m/>
    <m/>
    <m/>
    <m/>
    <m/>
    <m/>
    <m/>
    <x v="3690"/>
    <m/>
    <m/>
  </r>
  <r>
    <x v="71"/>
    <d v="2025-10-20T00:00:00"/>
    <s v="Cash Rewards Visa Signature - Ending in 5913"/>
    <x v="5919"/>
    <n v="50.44"/>
    <x v="3"/>
    <s v="Delete"/>
    <m/>
    <m/>
    <m/>
    <m/>
    <m/>
    <m/>
    <m/>
    <x v="5266"/>
    <m/>
    <m/>
  </r>
  <r>
    <x v="72"/>
    <d v="2025-09-21T00:00:00"/>
    <s v="American Express"/>
    <x v="5920"/>
    <n v="50.44"/>
    <x v="1"/>
    <s v="Restaurants"/>
    <m/>
    <m/>
    <m/>
    <m/>
    <m/>
    <m/>
    <m/>
    <x v="5267"/>
    <m/>
    <m/>
  </r>
  <r>
    <x v="71"/>
    <d v="2025-10-28T00:00:00"/>
    <s v="Powerplus - Ending in 8s30"/>
    <x v="1827"/>
    <n v="50"/>
    <x v="8"/>
    <s v="Shopping"/>
    <m/>
    <m/>
    <m/>
    <m/>
    <m/>
    <m/>
    <m/>
    <x v="1682"/>
    <m/>
    <m/>
  </r>
  <r>
    <x v="72"/>
    <d v="2025-09-07T00:00:00"/>
    <s v="Cash Rewards Visa Signature - Ending in 5913"/>
    <x v="5921"/>
    <n v="50"/>
    <x v="1"/>
    <s v="Restaurants"/>
    <m/>
    <m/>
    <m/>
    <m/>
    <m/>
    <m/>
    <m/>
    <x v="5268"/>
    <m/>
    <m/>
  </r>
  <r>
    <x v="71"/>
    <d v="2025-10-25T00:00:00"/>
    <s v="American Express"/>
    <x v="5922"/>
    <n v="49.84"/>
    <x v="4"/>
    <s v="Day Care"/>
    <m/>
    <m/>
    <m/>
    <m/>
    <m/>
    <m/>
    <m/>
    <x v="5269"/>
    <m/>
    <m/>
  </r>
  <r>
    <x v="71"/>
    <d v="2025-10-12T00:00:00"/>
    <s v="American Express"/>
    <x v="5923"/>
    <n v="49.84"/>
    <x v="7"/>
    <m/>
    <m/>
    <m/>
    <m/>
    <m/>
    <m/>
    <m/>
    <m/>
    <x v="5270"/>
    <m/>
    <m/>
  </r>
  <r>
    <x v="74"/>
    <d v="2025-06-28T00:00:00"/>
    <s v="American Express"/>
    <x v="5924"/>
    <n v="49.73"/>
    <x v="1"/>
    <s v="Restaurants"/>
    <m/>
    <m/>
    <m/>
    <m/>
    <m/>
    <m/>
    <m/>
    <x v="5271"/>
    <m/>
    <m/>
  </r>
  <r>
    <x v="73"/>
    <d v="2025-07-18T00:00:00"/>
    <s v="American Express"/>
    <x v="5925"/>
    <n v="49.65"/>
    <x v="1"/>
    <s v="Restaurants"/>
    <m/>
    <m/>
    <m/>
    <m/>
    <m/>
    <m/>
    <m/>
    <x v="5272"/>
    <m/>
    <m/>
  </r>
  <r>
    <x v="76"/>
    <d v="2025-08-28T00:00:00"/>
    <s v="American Express"/>
    <x v="5926"/>
    <n v="49.54"/>
    <x v="1"/>
    <s v="Restaurants"/>
    <m/>
    <m/>
    <m/>
    <m/>
    <m/>
    <m/>
    <m/>
    <x v="5273"/>
    <m/>
    <m/>
  </r>
  <r>
    <x v="74"/>
    <d v="2025-06-14T00:00:00"/>
    <s v="American Express"/>
    <x v="5927"/>
    <n v="49.26"/>
    <x v="1"/>
    <s v="Restaurants"/>
    <m/>
    <m/>
    <m/>
    <m/>
    <m/>
    <m/>
    <m/>
    <x v="5274"/>
    <m/>
    <m/>
  </r>
  <r>
    <x v="71"/>
    <d v="2025-10-29T00:00:00"/>
    <s v="American Express"/>
    <x v="5253"/>
    <n v="49"/>
    <x v="5"/>
    <s v="Groceries"/>
    <m/>
    <m/>
    <m/>
    <m/>
    <m/>
    <m/>
    <m/>
    <x v="4675"/>
    <m/>
    <m/>
  </r>
  <r>
    <x v="76"/>
    <d v="2025-08-08T00:00:00"/>
    <s v="Cash Rewards Visa Signature - Ending in 5913"/>
    <x v="5928"/>
    <n v="48.96"/>
    <x v="3"/>
    <s v="Delete"/>
    <m/>
    <m/>
    <m/>
    <m/>
    <m/>
    <m/>
    <m/>
    <x v="5275"/>
    <m/>
    <m/>
  </r>
  <r>
    <x v="76"/>
    <d v="2025-08-29T00:00:00"/>
    <s v="American Express"/>
    <x v="5929"/>
    <n v="48.9"/>
    <x v="5"/>
    <s v="Groceries"/>
    <m/>
    <m/>
    <m/>
    <m/>
    <m/>
    <m/>
    <m/>
    <x v="5276"/>
    <m/>
    <m/>
  </r>
  <r>
    <x v="74"/>
    <d v="2025-06-21T00:00:00"/>
    <s v="American Express"/>
    <x v="5930"/>
    <n v="48.04"/>
    <x v="1"/>
    <s v="Restaurants"/>
    <m/>
    <m/>
    <m/>
    <m/>
    <m/>
    <m/>
    <m/>
    <x v="5277"/>
    <m/>
    <m/>
  </r>
  <r>
    <x v="73"/>
    <d v="2025-07-10T00:00:00"/>
    <s v="American Express"/>
    <x v="5931"/>
    <n v="47.76"/>
    <x v="2"/>
    <m/>
    <s v="Exp - Transportation"/>
    <m/>
    <m/>
    <m/>
    <m/>
    <m/>
    <m/>
    <x v="5278"/>
    <m/>
    <m/>
  </r>
  <r>
    <x v="73"/>
    <d v="2025-07-31T00:00:00"/>
    <s v="American Express"/>
    <x v="5254"/>
    <n v="47.58"/>
    <x v="2"/>
    <s v="Transportation"/>
    <m/>
    <m/>
    <m/>
    <m/>
    <m/>
    <m/>
    <m/>
    <x v="4676"/>
    <m/>
    <m/>
  </r>
  <r>
    <x v="71"/>
    <d v="2025-10-06T00:00:00"/>
    <s v="American Express"/>
    <x v="5111"/>
    <n v="47.54"/>
    <x v="4"/>
    <s v="Day Care"/>
    <m/>
    <m/>
    <m/>
    <m/>
    <m/>
    <m/>
    <m/>
    <x v="4543"/>
    <m/>
    <m/>
  </r>
  <r>
    <x v="72"/>
    <d v="2025-09-27T00:00:00"/>
    <s v="American Express"/>
    <x v="5932"/>
    <n v="47.3"/>
    <x v="1"/>
    <s v="Restaurants"/>
    <m/>
    <m/>
    <m/>
    <m/>
    <m/>
    <m/>
    <m/>
    <x v="5279"/>
    <m/>
    <m/>
  </r>
  <r>
    <x v="76"/>
    <d v="2025-08-15T00:00:00"/>
    <s v="American Express"/>
    <x v="5933"/>
    <n v="47.12"/>
    <x v="2"/>
    <s v="Transportation"/>
    <m/>
    <m/>
    <m/>
    <m/>
    <m/>
    <m/>
    <m/>
    <x v="5280"/>
    <m/>
    <m/>
  </r>
  <r>
    <x v="74"/>
    <d v="2025-06-19T00:00:00"/>
    <s v="American Express"/>
    <x v="5934"/>
    <n v="46.89"/>
    <x v="5"/>
    <s v="Groceries"/>
    <m/>
    <m/>
    <m/>
    <m/>
    <m/>
    <m/>
    <m/>
    <x v="5281"/>
    <m/>
    <m/>
  </r>
  <r>
    <x v="73"/>
    <d v="2025-07-18T00:00:00"/>
    <s v="American Express"/>
    <x v="5935"/>
    <n v="46.76"/>
    <x v="8"/>
    <s v="Restaurants"/>
    <s v="Exp - Shopping"/>
    <m/>
    <m/>
    <m/>
    <m/>
    <m/>
    <m/>
    <x v="5282"/>
    <m/>
    <m/>
  </r>
  <r>
    <x v="76"/>
    <d v="2025-08-04T00:00:00"/>
    <s v="American Express"/>
    <x v="5050"/>
    <n v="46.36"/>
    <x v="3"/>
    <s v="Delete"/>
    <m/>
    <m/>
    <m/>
    <m/>
    <m/>
    <m/>
    <m/>
    <x v="4487"/>
    <m/>
    <m/>
  </r>
  <r>
    <x v="76"/>
    <d v="2025-08-27T00:00:00"/>
    <s v="American Express"/>
    <x v="5936"/>
    <n v="46.02"/>
    <x v="1"/>
    <m/>
    <s v="Exp - Restaurants"/>
    <m/>
    <m/>
    <m/>
    <m/>
    <m/>
    <m/>
    <x v="5283"/>
    <m/>
    <m/>
  </r>
  <r>
    <x v="76"/>
    <d v="2025-08-11T00:00:00"/>
    <s v="American Express"/>
    <x v="5937"/>
    <n v="45.66"/>
    <x v="1"/>
    <m/>
    <s v="Exp - Restaurants"/>
    <m/>
    <m/>
    <m/>
    <m/>
    <m/>
    <m/>
    <x v="5284"/>
    <m/>
    <m/>
  </r>
  <r>
    <x v="71"/>
    <d v="2025-10-16T00:00:00"/>
    <s v="American Express"/>
    <x v="5938"/>
    <n v="45.56"/>
    <x v="7"/>
    <m/>
    <m/>
    <m/>
    <m/>
    <m/>
    <m/>
    <m/>
    <m/>
    <x v="5285"/>
    <m/>
    <m/>
  </r>
  <r>
    <x v="74"/>
    <d v="2025-06-28T00:00:00"/>
    <s v="American Express"/>
    <x v="5939"/>
    <n v="45.52"/>
    <x v="5"/>
    <m/>
    <s v="Exp - Groceries"/>
    <m/>
    <m/>
    <m/>
    <m/>
    <m/>
    <m/>
    <x v="5286"/>
    <m/>
    <m/>
  </r>
  <r>
    <x v="76"/>
    <d v="2025-08-23T00:00:00"/>
    <s v="American Express"/>
    <x v="5940"/>
    <n v="45.51"/>
    <x v="1"/>
    <s v="Restaurants"/>
    <m/>
    <m/>
    <m/>
    <m/>
    <m/>
    <m/>
    <m/>
    <x v="5287"/>
    <m/>
    <m/>
  </r>
  <r>
    <x v="72"/>
    <d v="2025-09-28T00:00:00"/>
    <s v="American Express"/>
    <x v="5941"/>
    <n v="45.35"/>
    <x v="1"/>
    <s v="Restaurants"/>
    <m/>
    <m/>
    <m/>
    <m/>
    <m/>
    <m/>
    <m/>
    <x v="5288"/>
    <m/>
    <m/>
  </r>
  <r>
    <x v="72"/>
    <d v="2025-09-29T00:00:00"/>
    <s v="Cash Rewards Visa Signature - Ending in 5913"/>
    <x v="4158"/>
    <n v="45.08"/>
    <x v="5"/>
    <s v="Groceries"/>
    <m/>
    <m/>
    <m/>
    <m/>
    <m/>
    <m/>
    <m/>
    <x v="3690"/>
    <m/>
    <m/>
  </r>
  <r>
    <x v="76"/>
    <d v="2025-08-19T00:00:00"/>
    <s v="Powerplus - Ending in 8s30"/>
    <x v="1827"/>
    <n v="45"/>
    <x v="8"/>
    <s v="Shopping"/>
    <m/>
    <m/>
    <m/>
    <m/>
    <m/>
    <m/>
    <m/>
    <x v="1682"/>
    <m/>
    <m/>
  </r>
  <r>
    <x v="76"/>
    <d v="2025-08-13T00:00:00"/>
    <s v="Cash Rewards Visa Signature - Ending in 5913"/>
    <x v="1993"/>
    <n v="45"/>
    <x v="11"/>
    <s v="Utilities"/>
    <m/>
    <m/>
    <m/>
    <m/>
    <m/>
    <m/>
    <m/>
    <x v="1843"/>
    <m/>
    <m/>
  </r>
  <r>
    <x v="73"/>
    <d v="2025-07-13T00:00:00"/>
    <s v="Cash Rewards Visa Signature - Ending in 5913"/>
    <x v="1993"/>
    <n v="45"/>
    <x v="11"/>
    <s v="Utilities"/>
    <m/>
    <m/>
    <m/>
    <m/>
    <m/>
    <m/>
    <m/>
    <x v="1843"/>
    <m/>
    <m/>
  </r>
  <r>
    <x v="74"/>
    <d v="2025-06-13T00:00:00"/>
    <s v="Cash Rewards Visa Signature - Ending in 5913"/>
    <x v="1993"/>
    <n v="45"/>
    <x v="11"/>
    <s v="Utilities"/>
    <m/>
    <m/>
    <m/>
    <m/>
    <m/>
    <m/>
    <m/>
    <x v="1843"/>
    <m/>
    <m/>
  </r>
  <r>
    <x v="71"/>
    <d v="2025-10-17T00:00:00"/>
    <s v="American Express"/>
    <x v="5942"/>
    <n v="45"/>
    <x v="1"/>
    <s v="Restaurants"/>
    <m/>
    <m/>
    <m/>
    <m/>
    <m/>
    <m/>
    <m/>
    <x v="5289"/>
    <m/>
    <m/>
  </r>
  <r>
    <x v="75"/>
    <d v="2025-11-02T00:00:00"/>
    <s v="Cash Rewards Visa Signature - Ending in 5913"/>
    <x v="4158"/>
    <n v="44.84"/>
    <x v="5"/>
    <s v="Groceries"/>
    <m/>
    <m/>
    <m/>
    <m/>
    <m/>
    <m/>
    <m/>
    <x v="3690"/>
    <m/>
    <m/>
  </r>
  <r>
    <x v="73"/>
    <d v="2025-07-23T00:00:00"/>
    <s v="American Express"/>
    <x v="5943"/>
    <n v="44.52"/>
    <x v="24"/>
    <s v="Travel"/>
    <m/>
    <m/>
    <m/>
    <m/>
    <m/>
    <m/>
    <m/>
    <x v="5290"/>
    <m/>
    <m/>
  </r>
  <r>
    <x v="71"/>
    <d v="2025-10-01T00:00:00"/>
    <s v="American Express"/>
    <x v="5944"/>
    <n v="44.4"/>
    <x v="5"/>
    <s v="Groceries"/>
    <m/>
    <m/>
    <m/>
    <m/>
    <m/>
    <m/>
    <m/>
    <x v="5291"/>
    <m/>
    <m/>
  </r>
  <r>
    <x v="72"/>
    <d v="2025-09-16T00:00:00"/>
    <s v="American Express"/>
    <x v="5945"/>
    <n v="44.34"/>
    <x v="5"/>
    <s v="Groceries"/>
    <m/>
    <m/>
    <m/>
    <m/>
    <m/>
    <m/>
    <m/>
    <x v="5292"/>
    <m/>
    <m/>
  </r>
  <r>
    <x v="74"/>
    <d v="2025-06-22T00:00:00"/>
    <s v="American Express"/>
    <x v="5946"/>
    <n v="43.5"/>
    <x v="2"/>
    <s v="Groceries"/>
    <s v="Exp - Transportation"/>
    <m/>
    <m/>
    <m/>
    <m/>
    <m/>
    <m/>
    <x v="5293"/>
    <m/>
    <m/>
  </r>
  <r>
    <x v="72"/>
    <d v="2025-09-08T00:00:00"/>
    <s v="American Express"/>
    <x v="5561"/>
    <n v="43.46"/>
    <x v="19"/>
    <s v="House Maintenance"/>
    <m/>
    <m/>
    <m/>
    <m/>
    <m/>
    <m/>
    <m/>
    <x v="4936"/>
    <m/>
    <m/>
  </r>
  <r>
    <x v="71"/>
    <d v="2025-10-07T00:00:00"/>
    <s v="American Express"/>
    <x v="5394"/>
    <n v="43.44"/>
    <x v="0"/>
    <s v="Amazon"/>
    <m/>
    <m/>
    <m/>
    <m/>
    <m/>
    <m/>
    <m/>
    <x v="4783"/>
    <m/>
    <m/>
  </r>
  <r>
    <x v="72"/>
    <d v="2025-09-06T00:00:00"/>
    <s v="American Express"/>
    <x v="5108"/>
    <n v="43.42"/>
    <x v="1"/>
    <s v="Restaurants"/>
    <m/>
    <m/>
    <m/>
    <m/>
    <m/>
    <m/>
    <m/>
    <x v="4540"/>
    <m/>
    <m/>
  </r>
  <r>
    <x v="74"/>
    <d v="2025-06-29T00:00:00"/>
    <s v="American Express"/>
    <x v="5947"/>
    <n v="43.41"/>
    <x v="2"/>
    <s v="Shopping"/>
    <s v="Exp - Transportation"/>
    <m/>
    <m/>
    <m/>
    <m/>
    <m/>
    <m/>
    <x v="5294"/>
    <m/>
    <m/>
  </r>
  <r>
    <x v="74"/>
    <d v="2025-06-27T00:00:00"/>
    <s v="American Express"/>
    <x v="5948"/>
    <n v="43.1"/>
    <x v="8"/>
    <m/>
    <s v="Exp - Shopping"/>
    <m/>
    <m/>
    <m/>
    <m/>
    <m/>
    <m/>
    <x v="5295"/>
    <m/>
    <m/>
  </r>
  <r>
    <x v="71"/>
    <d v="2025-10-13T00:00:00"/>
    <s v="American Express"/>
    <x v="5949"/>
    <n v="42.98"/>
    <x v="7"/>
    <m/>
    <m/>
    <m/>
    <m/>
    <m/>
    <m/>
    <m/>
    <m/>
    <x v="5296"/>
    <m/>
    <m/>
  </r>
  <r>
    <x v="75"/>
    <d v="2025-11-05T00:00:00"/>
    <s v="American Express"/>
    <x v="5214"/>
    <n v="42.66"/>
    <x v="20"/>
    <s v="Dry Cleaning"/>
    <m/>
    <m/>
    <m/>
    <m/>
    <m/>
    <m/>
    <m/>
    <x v="4637"/>
    <m/>
    <m/>
  </r>
  <r>
    <x v="73"/>
    <d v="2025-07-15T00:00:00"/>
    <s v="Cash Rewards Visa Signature - Ending in 5913"/>
    <x v="4158"/>
    <n v="42.56"/>
    <x v="5"/>
    <s v="Groceries"/>
    <m/>
    <m/>
    <m/>
    <m/>
    <m/>
    <m/>
    <m/>
    <x v="3690"/>
    <m/>
    <m/>
  </r>
  <r>
    <x v="75"/>
    <d v="2025-11-03T00:00:00"/>
    <s v="American Express"/>
    <x v="5394"/>
    <n v="42.45"/>
    <x v="0"/>
    <s v="Amazon"/>
    <m/>
    <m/>
    <m/>
    <m/>
    <m/>
    <m/>
    <m/>
    <x v="4783"/>
    <m/>
    <m/>
  </r>
  <r>
    <x v="73"/>
    <d v="2025-07-01T00:00:00"/>
    <s v="American Express"/>
    <x v="5911"/>
    <n v="42.31"/>
    <x v="1"/>
    <s v="Restaurants"/>
    <m/>
    <m/>
    <m/>
    <m/>
    <m/>
    <m/>
    <m/>
    <x v="5258"/>
    <m/>
    <m/>
  </r>
  <r>
    <x v="74"/>
    <d v="2025-06-20T00:00:00"/>
    <s v="American Express"/>
    <x v="5950"/>
    <n v="42"/>
    <x v="1"/>
    <s v="Restaurants"/>
    <m/>
    <m/>
    <m/>
    <m/>
    <m/>
    <m/>
    <m/>
    <x v="5297"/>
    <m/>
    <m/>
  </r>
  <r>
    <x v="71"/>
    <d v="2025-10-24T00:00:00"/>
    <s v="Powerplus - Ending in 8s30"/>
    <x v="5951"/>
    <n v="41.89"/>
    <x v="3"/>
    <s v="Delete"/>
    <m/>
    <m/>
    <m/>
    <m/>
    <m/>
    <m/>
    <m/>
    <x v="5298"/>
    <m/>
    <m/>
  </r>
  <r>
    <x v="76"/>
    <d v="2025-08-03T00:00:00"/>
    <s v="American Express"/>
    <x v="5013"/>
    <n v="41.61"/>
    <x v="3"/>
    <s v="Delete"/>
    <m/>
    <m/>
    <m/>
    <m/>
    <m/>
    <m/>
    <m/>
    <x v="4451"/>
    <m/>
    <m/>
  </r>
  <r>
    <x v="73"/>
    <d v="2025-07-30T00:00:00"/>
    <s v="American Express"/>
    <x v="4974"/>
    <n v="41.32"/>
    <x v="1"/>
    <s v="Restaurants"/>
    <m/>
    <m/>
    <m/>
    <m/>
    <m/>
    <m/>
    <m/>
    <x v="4414"/>
    <m/>
    <m/>
  </r>
  <r>
    <x v="71"/>
    <d v="2025-10-14T00:00:00"/>
    <s v="Cash Rewards Visa Signature - Ending in 5913"/>
    <x v="5952"/>
    <n v="40.71"/>
    <x v="7"/>
    <m/>
    <m/>
    <m/>
    <m/>
    <m/>
    <m/>
    <m/>
    <m/>
    <x v="5299"/>
    <m/>
    <m/>
  </r>
  <r>
    <x v="71"/>
    <d v="2025-10-12T00:00:00"/>
    <s v="Cash Rewards Visa Signature - Ending in 5913"/>
    <x v="5953"/>
    <n v="40.71"/>
    <x v="7"/>
    <m/>
    <m/>
    <m/>
    <m/>
    <m/>
    <m/>
    <m/>
    <m/>
    <x v="5300"/>
    <m/>
    <m/>
  </r>
  <r>
    <x v="72"/>
    <d v="2025-09-06T00:00:00"/>
    <s v="American Express"/>
    <x v="5551"/>
    <n v="40.380000000000003"/>
    <x v="10"/>
    <s v="Entertainment"/>
    <m/>
    <m/>
    <m/>
    <m/>
    <m/>
    <m/>
    <m/>
    <x v="4926"/>
    <m/>
    <m/>
  </r>
  <r>
    <x v="74"/>
    <d v="2025-06-22T00:00:00"/>
    <s v="American Express"/>
    <x v="5954"/>
    <n v="40.22"/>
    <x v="1"/>
    <s v="Restaurants"/>
    <m/>
    <m/>
    <m/>
    <m/>
    <m/>
    <m/>
    <m/>
    <x v="5301"/>
    <m/>
    <m/>
  </r>
  <r>
    <x v="71"/>
    <d v="2025-10-21T00:00:00"/>
    <s v="Cash Rewards Visa Signature - Ending in 5913"/>
    <x v="5955"/>
    <n v="40.020000000000003"/>
    <x v="3"/>
    <s v="Delete"/>
    <m/>
    <m/>
    <m/>
    <m/>
    <m/>
    <m/>
    <m/>
    <x v="5302"/>
    <m/>
    <m/>
  </r>
  <r>
    <x v="73"/>
    <d v="2025-07-16T00:00:00"/>
    <s v="American Express"/>
    <x v="5275"/>
    <n v="39.869999999999997"/>
    <x v="5"/>
    <s v="Groceries"/>
    <m/>
    <m/>
    <m/>
    <m/>
    <m/>
    <m/>
    <m/>
    <x v="4693"/>
    <m/>
    <m/>
  </r>
  <r>
    <x v="71"/>
    <d v="2025-10-17T00:00:00"/>
    <s v="Cash Rewards Visa Signature - Ending in 5913"/>
    <x v="5956"/>
    <n v="39.61"/>
    <x v="7"/>
    <m/>
    <m/>
    <m/>
    <m/>
    <m/>
    <m/>
    <m/>
    <m/>
    <x v="5303"/>
    <m/>
    <m/>
  </r>
  <r>
    <x v="74"/>
    <d v="2025-06-02T00:00:00"/>
    <s v="Cash Rewards Visa Signature - Ending in 5913"/>
    <x v="4158"/>
    <n v="39.4"/>
    <x v="5"/>
    <s v="Groceries"/>
    <m/>
    <m/>
    <m/>
    <m/>
    <m/>
    <m/>
    <m/>
    <x v="3690"/>
    <m/>
    <m/>
  </r>
  <r>
    <x v="74"/>
    <d v="2025-06-27T00:00:00"/>
    <s v="American Express"/>
    <x v="5957"/>
    <n v="39.22"/>
    <x v="24"/>
    <s v="Travel"/>
    <m/>
    <m/>
    <m/>
    <m/>
    <m/>
    <m/>
    <m/>
    <x v="5304"/>
    <m/>
    <m/>
  </r>
  <r>
    <x v="74"/>
    <d v="2025-06-25T00:00:00"/>
    <s v="Powerplus - Ending in 8s30"/>
    <x v="1849"/>
    <n v="39"/>
    <x v="8"/>
    <s v="Shopping"/>
    <m/>
    <m/>
    <m/>
    <m/>
    <m/>
    <m/>
    <m/>
    <x v="1704"/>
    <m/>
    <m/>
  </r>
  <r>
    <x v="76"/>
    <d v="2025-08-08T00:00:00"/>
    <s v="Cash Rewards Visa Signature - Ending in 5913"/>
    <x v="5958"/>
    <n v="38.770000000000003"/>
    <x v="3"/>
    <s v="Delete"/>
    <m/>
    <m/>
    <m/>
    <m/>
    <m/>
    <m/>
    <m/>
    <x v="5305"/>
    <m/>
    <m/>
  </r>
  <r>
    <x v="74"/>
    <d v="2025-06-02T00:00:00"/>
    <s v="Powerplus - Ending in 8s30"/>
    <x v="1849"/>
    <n v="38.67"/>
    <x v="8"/>
    <s v="Shopping"/>
    <m/>
    <m/>
    <m/>
    <m/>
    <m/>
    <m/>
    <m/>
    <x v="1704"/>
    <m/>
    <m/>
  </r>
  <r>
    <x v="76"/>
    <d v="2025-08-24T00:00:00"/>
    <s v="American Express"/>
    <x v="5959"/>
    <n v="38.49"/>
    <x v="1"/>
    <s v="Restaurants"/>
    <m/>
    <m/>
    <m/>
    <m/>
    <m/>
    <m/>
    <m/>
    <x v="5306"/>
    <m/>
    <m/>
  </r>
  <r>
    <x v="71"/>
    <d v="2025-10-24T00:00:00"/>
    <s v="Cash Rewards Visa Signature - Ending in 5913"/>
    <x v="5960"/>
    <n v="38.35"/>
    <x v="3"/>
    <s v="Delete"/>
    <m/>
    <m/>
    <m/>
    <m/>
    <m/>
    <m/>
    <m/>
    <x v="5307"/>
    <m/>
    <m/>
  </r>
  <r>
    <x v="72"/>
    <d v="2025-09-29T00:00:00"/>
    <s v="American Express"/>
    <x v="5430"/>
    <n v="38.33"/>
    <x v="19"/>
    <s v="House Maintenance"/>
    <m/>
    <m/>
    <m/>
    <m/>
    <m/>
    <m/>
    <m/>
    <x v="4814"/>
    <m/>
    <m/>
  </r>
  <r>
    <x v="74"/>
    <d v="2025-06-20T00:00:00"/>
    <s v="American Express"/>
    <x v="5961"/>
    <n v="38.11"/>
    <x v="7"/>
    <m/>
    <m/>
    <m/>
    <m/>
    <m/>
    <m/>
    <m/>
    <m/>
    <x v="5308"/>
    <m/>
    <m/>
  </r>
  <r>
    <x v="73"/>
    <d v="2025-07-12T00:00:00"/>
    <s v="American Express"/>
    <x v="5962"/>
    <n v="37.9"/>
    <x v="1"/>
    <s v="Restaurants"/>
    <m/>
    <m/>
    <m/>
    <m/>
    <m/>
    <m/>
    <m/>
    <x v="5309"/>
    <m/>
    <m/>
  </r>
  <r>
    <x v="71"/>
    <d v="2025-10-13T00:00:00"/>
    <s v="American Express"/>
    <x v="5963"/>
    <n v="37.700000000000003"/>
    <x v="7"/>
    <m/>
    <m/>
    <m/>
    <m/>
    <m/>
    <m/>
    <m/>
    <m/>
    <x v="5310"/>
    <m/>
    <m/>
  </r>
  <r>
    <x v="73"/>
    <d v="2025-07-14T00:00:00"/>
    <s v="American Express"/>
    <x v="5964"/>
    <n v="37.590000000000003"/>
    <x v="1"/>
    <s v="Restaurants"/>
    <m/>
    <m/>
    <m/>
    <m/>
    <m/>
    <m/>
    <m/>
    <x v="5311"/>
    <m/>
    <m/>
  </r>
  <r>
    <x v="75"/>
    <d v="2025-11-04T00:00:00"/>
    <s v="American Express"/>
    <x v="5965"/>
    <n v="37.549999999999997"/>
    <x v="10"/>
    <s v="Entertainment"/>
    <m/>
    <m/>
    <m/>
    <m/>
    <m/>
    <m/>
    <m/>
    <x v="5312"/>
    <m/>
    <m/>
  </r>
  <r>
    <x v="73"/>
    <d v="2025-07-10T00:00:00"/>
    <s v="Cash Rewards Visa Signature - Ending in 5913"/>
    <x v="5966"/>
    <n v="37.5"/>
    <x v="8"/>
    <s v="Shopping"/>
    <m/>
    <m/>
    <m/>
    <m/>
    <m/>
    <m/>
    <m/>
    <x v="5313"/>
    <m/>
    <m/>
  </r>
  <r>
    <x v="73"/>
    <d v="2025-07-19T00:00:00"/>
    <s v="American Express"/>
    <x v="5967"/>
    <n v="36.79"/>
    <x v="7"/>
    <m/>
    <m/>
    <m/>
    <m/>
    <m/>
    <m/>
    <m/>
    <m/>
    <x v="5314"/>
    <m/>
    <m/>
  </r>
  <r>
    <x v="76"/>
    <d v="2025-08-10T00:00:00"/>
    <s v="Cash Rewards Visa Signature - Ending in 5913"/>
    <x v="3860"/>
    <n v="36.74"/>
    <x v="1"/>
    <s v="Restaurants"/>
    <m/>
    <m/>
    <m/>
    <m/>
    <m/>
    <m/>
    <m/>
    <x v="3411"/>
    <m/>
    <m/>
  </r>
  <r>
    <x v="76"/>
    <d v="2025-08-22T00:00:00"/>
    <s v="American Express"/>
    <x v="5968"/>
    <n v="36.729999999999997"/>
    <x v="1"/>
    <s v="Restaurants"/>
    <m/>
    <m/>
    <m/>
    <m/>
    <m/>
    <m/>
    <m/>
    <x v="5315"/>
    <m/>
    <m/>
  </r>
  <r>
    <x v="76"/>
    <d v="2025-08-04T00:00:00"/>
    <s v="American Express"/>
    <x v="5969"/>
    <n v="36.159999999999997"/>
    <x v="3"/>
    <s v="Delete"/>
    <m/>
    <m/>
    <m/>
    <m/>
    <m/>
    <m/>
    <m/>
    <x v="5316"/>
    <m/>
    <m/>
  </r>
  <r>
    <x v="74"/>
    <d v="2025-06-09T00:00:00"/>
    <s v="American Express"/>
    <x v="5970"/>
    <n v="36.08"/>
    <x v="8"/>
    <s v="Shopping"/>
    <m/>
    <m/>
    <m/>
    <m/>
    <m/>
    <m/>
    <m/>
    <x v="5317"/>
    <m/>
    <m/>
  </r>
  <r>
    <x v="74"/>
    <d v="2025-06-04T00:00:00"/>
    <s v="American Express"/>
    <x v="5214"/>
    <n v="35.93"/>
    <x v="20"/>
    <s v="Dry Cleaning"/>
    <m/>
    <m/>
    <m/>
    <m/>
    <m/>
    <m/>
    <m/>
    <x v="4637"/>
    <m/>
    <m/>
  </r>
  <r>
    <x v="74"/>
    <d v="2025-06-25T00:00:00"/>
    <s v="American Express"/>
    <x v="5395"/>
    <n v="35.82"/>
    <x v="19"/>
    <s v="House Maintenance"/>
    <m/>
    <m/>
    <m/>
    <m/>
    <m/>
    <m/>
    <m/>
    <x v="4784"/>
    <m/>
    <m/>
  </r>
  <r>
    <x v="71"/>
    <d v="2025-10-24T00:00:00"/>
    <s v="American Express"/>
    <x v="5253"/>
    <n v="35.68"/>
    <x v="3"/>
    <s v="Delete"/>
    <m/>
    <m/>
    <m/>
    <m/>
    <m/>
    <m/>
    <m/>
    <x v="4675"/>
    <m/>
    <m/>
  </r>
  <r>
    <x v="72"/>
    <d v="2025-09-06T00:00:00"/>
    <s v="American Express"/>
    <x v="5086"/>
    <n v="35.590000000000003"/>
    <x v="1"/>
    <s v="Restaurants"/>
    <m/>
    <m/>
    <m/>
    <m/>
    <m/>
    <m/>
    <m/>
    <x v="4522"/>
    <m/>
    <m/>
  </r>
  <r>
    <x v="71"/>
    <d v="2025-10-20T00:00:00"/>
    <s v="American Express"/>
    <x v="5971"/>
    <n v="35.01"/>
    <x v="3"/>
    <s v="Delete"/>
    <m/>
    <m/>
    <m/>
    <m/>
    <m/>
    <m/>
    <m/>
    <x v="5318"/>
    <m/>
    <m/>
  </r>
  <r>
    <x v="71"/>
    <d v="2025-10-08T00:00:00"/>
    <s v="Powerplus - Ending in 8s30"/>
    <x v="5972"/>
    <n v="35"/>
    <x v="4"/>
    <s v="Day Care"/>
    <m/>
    <m/>
    <m/>
    <m/>
    <m/>
    <m/>
    <m/>
    <x v="5319"/>
    <m/>
    <m/>
  </r>
  <r>
    <x v="72"/>
    <d v="2025-09-08T00:00:00"/>
    <s v="Powerplus - Ending in 8s30"/>
    <x v="5973"/>
    <n v="35"/>
    <x v="4"/>
    <s v="Day Care"/>
    <m/>
    <m/>
    <m/>
    <m/>
    <m/>
    <m/>
    <m/>
    <x v="5320"/>
    <m/>
    <m/>
  </r>
  <r>
    <x v="76"/>
    <d v="2025-08-09T00:00:00"/>
    <s v="American Express"/>
    <x v="5281"/>
    <n v="35"/>
    <x v="8"/>
    <s v="Shopping"/>
    <m/>
    <m/>
    <m/>
    <m/>
    <m/>
    <m/>
    <m/>
    <x v="4699"/>
    <m/>
    <m/>
  </r>
  <r>
    <x v="72"/>
    <d v="2025-09-06T00:00:00"/>
    <s v="American Express"/>
    <x v="5974"/>
    <n v="34.520000000000003"/>
    <x v="24"/>
    <s v="Travel"/>
    <m/>
    <m/>
    <m/>
    <m/>
    <m/>
    <m/>
    <m/>
    <x v="5321"/>
    <m/>
    <m/>
  </r>
  <r>
    <x v="71"/>
    <d v="2025-10-18T00:00:00"/>
    <s v="American Express"/>
    <x v="5975"/>
    <n v="33.94"/>
    <x v="2"/>
    <s v="Transportation"/>
    <m/>
    <m/>
    <m/>
    <m/>
    <m/>
    <m/>
    <m/>
    <x v="5322"/>
    <m/>
    <m/>
  </r>
  <r>
    <x v="73"/>
    <d v="2025-07-31T00:00:00"/>
    <s v="American Express"/>
    <x v="5976"/>
    <n v="33.75"/>
    <x v="1"/>
    <s v="Restaurants"/>
    <m/>
    <m/>
    <m/>
    <m/>
    <m/>
    <m/>
    <m/>
    <x v="5323"/>
    <m/>
    <m/>
  </r>
  <r>
    <x v="75"/>
    <d v="2025-11-01T00:00:00"/>
    <s v="American Express"/>
    <x v="5394"/>
    <n v="33.729999999999997"/>
    <x v="0"/>
    <s v="Amazon"/>
    <m/>
    <m/>
    <m/>
    <m/>
    <m/>
    <m/>
    <m/>
    <x v="4783"/>
    <m/>
    <m/>
  </r>
  <r>
    <x v="76"/>
    <d v="2025-08-18T00:00:00"/>
    <s v="American Express"/>
    <x v="5977"/>
    <n v="33.450000000000003"/>
    <x v="1"/>
    <s v="Restaurants"/>
    <m/>
    <m/>
    <m/>
    <m/>
    <m/>
    <m/>
    <m/>
    <x v="5324"/>
    <m/>
    <m/>
  </r>
  <r>
    <x v="76"/>
    <d v="2025-08-25T00:00:00"/>
    <s v="American Express"/>
    <x v="5196"/>
    <n v="32.880000000000003"/>
    <x v="1"/>
    <s v="Restaurants"/>
    <m/>
    <m/>
    <m/>
    <m/>
    <m/>
    <m/>
    <m/>
    <x v="4627"/>
    <m/>
    <m/>
  </r>
  <r>
    <x v="71"/>
    <d v="2025-10-05T00:00:00"/>
    <s v="American Express"/>
    <x v="5978"/>
    <n v="32.86"/>
    <x v="11"/>
    <s v="Utilities"/>
    <m/>
    <m/>
    <m/>
    <m/>
    <m/>
    <m/>
    <m/>
    <x v="5325"/>
    <m/>
    <m/>
  </r>
  <r>
    <x v="76"/>
    <d v="2025-08-17T00:00:00"/>
    <s v="American Express"/>
    <x v="5346"/>
    <n v="32.5"/>
    <x v="4"/>
    <s v="Day Care"/>
    <m/>
    <m/>
    <m/>
    <m/>
    <m/>
    <m/>
    <m/>
    <x v="4757"/>
    <m/>
    <m/>
  </r>
  <r>
    <x v="76"/>
    <d v="2025-08-17T00:00:00"/>
    <s v="American Express"/>
    <x v="5346"/>
    <n v="32.5"/>
    <x v="4"/>
    <s v="Day Care"/>
    <m/>
    <m/>
    <m/>
    <m/>
    <m/>
    <m/>
    <m/>
    <x v="4757"/>
    <m/>
    <m/>
  </r>
  <r>
    <x v="76"/>
    <d v="2025-08-03T00:00:00"/>
    <s v="American Express"/>
    <x v="4817"/>
    <n v="32.47"/>
    <x v="3"/>
    <s v="Delete"/>
    <m/>
    <m/>
    <m/>
    <m/>
    <m/>
    <m/>
    <m/>
    <x v="4263"/>
    <m/>
    <m/>
  </r>
  <r>
    <x v="71"/>
    <d v="2025-10-12T00:00:00"/>
    <s v="American Express"/>
    <x v="5979"/>
    <n v="32.450000000000003"/>
    <x v="10"/>
    <s v="Entertainment"/>
    <m/>
    <m/>
    <m/>
    <m/>
    <m/>
    <m/>
    <m/>
    <x v="5326"/>
    <m/>
    <m/>
  </r>
  <r>
    <x v="74"/>
    <d v="2025-06-30T00:00:00"/>
    <s v="American Express"/>
    <x v="5980"/>
    <n v="32.36"/>
    <x v="1"/>
    <s v="Restaurants"/>
    <m/>
    <m/>
    <m/>
    <m/>
    <m/>
    <m/>
    <m/>
    <x v="5327"/>
    <m/>
    <m/>
  </r>
  <r>
    <x v="71"/>
    <d v="2025-10-14T00:00:00"/>
    <s v="American Express"/>
    <x v="5981"/>
    <n v="32.11"/>
    <x v="7"/>
    <m/>
    <m/>
    <m/>
    <m/>
    <m/>
    <m/>
    <m/>
    <m/>
    <x v="5328"/>
    <m/>
    <m/>
  </r>
  <r>
    <x v="74"/>
    <d v="2025-06-21T00:00:00"/>
    <s v="American Express"/>
    <x v="5982"/>
    <n v="31.98"/>
    <x v="24"/>
    <s v="Travel"/>
    <m/>
    <m/>
    <m/>
    <m/>
    <m/>
    <m/>
    <m/>
    <x v="5329"/>
    <m/>
    <m/>
  </r>
  <r>
    <x v="71"/>
    <d v="2025-10-16T00:00:00"/>
    <s v="American Express"/>
    <x v="5983"/>
    <n v="31.54"/>
    <x v="1"/>
    <s v="Restaurants"/>
    <m/>
    <m/>
    <m/>
    <m/>
    <m/>
    <m/>
    <m/>
    <x v="5330"/>
    <m/>
    <m/>
  </r>
  <r>
    <x v="74"/>
    <d v="2025-06-20T00:00:00"/>
    <s v="American Express"/>
    <x v="5984"/>
    <n v="31.53"/>
    <x v="24"/>
    <s v="Travel"/>
    <m/>
    <m/>
    <m/>
    <m/>
    <m/>
    <m/>
    <m/>
    <x v="5331"/>
    <m/>
    <m/>
  </r>
  <r>
    <x v="73"/>
    <d v="2025-07-24T00:00:00"/>
    <s v="American Express"/>
    <x v="5985"/>
    <n v="31.44"/>
    <x v="1"/>
    <s v="Restaurants"/>
    <m/>
    <m/>
    <m/>
    <m/>
    <m/>
    <m/>
    <m/>
    <x v="5332"/>
    <m/>
    <m/>
  </r>
  <r>
    <x v="72"/>
    <d v="2025-09-24T00:00:00"/>
    <s v="American Express"/>
    <x v="5986"/>
    <n v="31.43"/>
    <x v="1"/>
    <s v="Restaurants"/>
    <m/>
    <m/>
    <m/>
    <m/>
    <m/>
    <m/>
    <m/>
    <x v="5333"/>
    <m/>
    <m/>
  </r>
  <r>
    <x v="75"/>
    <d v="2025-11-05T00:00:00"/>
    <s v="Powerplus - Ending in 8s30"/>
    <x v="1890"/>
    <n v="31.37"/>
    <x v="11"/>
    <s v="Utilities"/>
    <m/>
    <m/>
    <m/>
    <m/>
    <m/>
    <m/>
    <m/>
    <x v="1743"/>
    <m/>
    <m/>
  </r>
  <r>
    <x v="71"/>
    <d v="2025-10-13T00:00:00"/>
    <s v="American Express"/>
    <x v="5987"/>
    <n v="31.35"/>
    <x v="1"/>
    <s v="Restaurants"/>
    <m/>
    <m/>
    <m/>
    <m/>
    <m/>
    <m/>
    <m/>
    <x v="5334"/>
    <m/>
    <m/>
  </r>
  <r>
    <x v="71"/>
    <d v="2025-10-20T00:00:00"/>
    <s v="Cash Rewards Visa Signature - Ending in 5913"/>
    <x v="5988"/>
    <n v="31.08"/>
    <x v="3"/>
    <s v="Delete"/>
    <m/>
    <m/>
    <m/>
    <m/>
    <m/>
    <m/>
    <m/>
    <x v="5335"/>
    <m/>
    <m/>
  </r>
  <r>
    <x v="74"/>
    <d v="2025-06-15T00:00:00"/>
    <s v="American Express"/>
    <x v="5989"/>
    <n v="31.03"/>
    <x v="1"/>
    <s v="Restaurants"/>
    <m/>
    <m/>
    <m/>
    <m/>
    <m/>
    <m/>
    <m/>
    <x v="5336"/>
    <m/>
    <m/>
  </r>
  <r>
    <x v="71"/>
    <d v="2025-10-16T00:00:00"/>
    <s v="Cash Rewards Visa Signature - Ending in 5913"/>
    <x v="5990"/>
    <n v="30.79"/>
    <x v="1"/>
    <s v="Restaurants"/>
    <m/>
    <m/>
    <m/>
    <m/>
    <m/>
    <m/>
    <m/>
    <x v="5337"/>
    <m/>
    <m/>
  </r>
  <r>
    <x v="71"/>
    <d v="2025-10-26T00:00:00"/>
    <s v="American Express"/>
    <x v="1861"/>
    <n v="30.6"/>
    <x v="24"/>
    <s v="Travel"/>
    <m/>
    <m/>
    <m/>
    <m/>
    <m/>
    <m/>
    <m/>
    <x v="1715"/>
    <m/>
    <m/>
  </r>
  <r>
    <x v="74"/>
    <d v="2025-06-12T00:00:00"/>
    <s v="American Express"/>
    <x v="5991"/>
    <n v="30.55"/>
    <x v="7"/>
    <m/>
    <m/>
    <m/>
    <m/>
    <m/>
    <m/>
    <m/>
    <m/>
    <x v="5338"/>
    <m/>
    <m/>
  </r>
  <r>
    <x v="76"/>
    <d v="2025-08-22T00:00:00"/>
    <s v="American Express"/>
    <x v="5992"/>
    <n v="30.28"/>
    <x v="1"/>
    <s v="Restaurants"/>
    <m/>
    <m/>
    <m/>
    <m/>
    <m/>
    <m/>
    <m/>
    <x v="5339"/>
    <m/>
    <m/>
  </r>
  <r>
    <x v="71"/>
    <d v="2025-10-20T00:00:00"/>
    <s v="Powerplus - Ending in 8s30"/>
    <x v="5993"/>
    <n v="30"/>
    <x v="3"/>
    <s v="Delete"/>
    <m/>
    <m/>
    <m/>
    <m/>
    <m/>
    <m/>
    <m/>
    <x v="5340"/>
    <m/>
    <m/>
  </r>
  <r>
    <x v="76"/>
    <d v="2025-08-07T00:00:00"/>
    <s v="Powerplus - Ending in 8s30"/>
    <x v="1827"/>
    <n v="30"/>
    <x v="3"/>
    <s v="Delete"/>
    <m/>
    <m/>
    <m/>
    <m/>
    <m/>
    <m/>
    <m/>
    <x v="1682"/>
    <m/>
    <m/>
  </r>
  <r>
    <x v="76"/>
    <d v="2025-08-06T00:00:00"/>
    <s v="American Express"/>
    <x v="5994"/>
    <n v="30"/>
    <x v="3"/>
    <s v="Delete"/>
    <m/>
    <m/>
    <m/>
    <m/>
    <m/>
    <m/>
    <m/>
    <x v="5341"/>
    <m/>
    <m/>
  </r>
  <r>
    <x v="73"/>
    <d v="2025-07-25T00:00:00"/>
    <s v="American Express"/>
    <x v="4997"/>
    <n v="30"/>
    <x v="1"/>
    <s v="Restaurants"/>
    <m/>
    <m/>
    <m/>
    <m/>
    <m/>
    <m/>
    <m/>
    <x v="4436"/>
    <m/>
    <m/>
  </r>
  <r>
    <x v="72"/>
    <d v="2025-09-21T00:00:00"/>
    <s v="American Express"/>
    <x v="5394"/>
    <n v="29.76"/>
    <x v="0"/>
    <s v="Amazon"/>
    <m/>
    <m/>
    <m/>
    <m/>
    <m/>
    <m/>
    <m/>
    <x v="4783"/>
    <m/>
    <m/>
  </r>
  <r>
    <x v="71"/>
    <d v="2025-10-01T00:00:00"/>
    <s v="American Express"/>
    <x v="5995"/>
    <n v="29.63"/>
    <x v="1"/>
    <s v="Restaurants"/>
    <m/>
    <m/>
    <m/>
    <m/>
    <m/>
    <m/>
    <m/>
    <x v="5342"/>
    <m/>
    <m/>
  </r>
  <r>
    <x v="71"/>
    <d v="2025-10-12T00:00:00"/>
    <s v="Cash Rewards Visa Signature - Ending in 5913"/>
    <x v="99"/>
    <n v="29.41"/>
    <x v="11"/>
    <s v="Utilities"/>
    <m/>
    <m/>
    <m/>
    <m/>
    <m/>
    <m/>
    <m/>
    <x v="99"/>
    <m/>
    <m/>
  </r>
  <r>
    <x v="72"/>
    <d v="2025-09-11T00:00:00"/>
    <s v="Cash Rewards Visa Signature - Ending in 5913"/>
    <x v="99"/>
    <n v="29.41"/>
    <x v="11"/>
    <s v="Utilities"/>
    <m/>
    <m/>
    <m/>
    <m/>
    <m/>
    <m/>
    <m/>
    <x v="99"/>
    <m/>
    <m/>
  </r>
  <r>
    <x v="76"/>
    <d v="2025-08-11T00:00:00"/>
    <s v="Cash Rewards Visa Signature - Ending in 5913"/>
    <x v="99"/>
    <n v="29.41"/>
    <x v="11"/>
    <s v="Utilities"/>
    <m/>
    <m/>
    <m/>
    <m/>
    <m/>
    <m/>
    <m/>
    <x v="99"/>
    <m/>
    <m/>
  </r>
  <r>
    <x v="73"/>
    <d v="2025-07-11T00:00:00"/>
    <s v="Cash Rewards Visa Signature - Ending in 5913"/>
    <x v="99"/>
    <n v="29.41"/>
    <x v="11"/>
    <s v="Utilities"/>
    <m/>
    <m/>
    <m/>
    <m/>
    <m/>
    <m/>
    <m/>
    <x v="99"/>
    <m/>
    <m/>
  </r>
  <r>
    <x v="74"/>
    <d v="2025-06-11T00:00:00"/>
    <s v="Cash Rewards Visa Signature - Ending in 5913"/>
    <x v="99"/>
    <n v="29.41"/>
    <x v="11"/>
    <s v="Utilities"/>
    <m/>
    <m/>
    <m/>
    <m/>
    <m/>
    <m/>
    <m/>
    <x v="99"/>
    <m/>
    <m/>
  </r>
  <r>
    <x v="72"/>
    <d v="2025-09-20T00:00:00"/>
    <s v="American Express"/>
    <x v="5996"/>
    <n v="29.41"/>
    <x v="1"/>
    <s v="Restaurants"/>
    <m/>
    <m/>
    <m/>
    <m/>
    <m/>
    <m/>
    <m/>
    <x v="5343"/>
    <m/>
    <m/>
  </r>
  <r>
    <x v="72"/>
    <d v="2025-09-26T00:00:00"/>
    <s v="American Express"/>
    <x v="5924"/>
    <n v="29.39"/>
    <x v="1"/>
    <s v="Restaurants"/>
    <m/>
    <m/>
    <m/>
    <m/>
    <m/>
    <m/>
    <m/>
    <x v="5271"/>
    <m/>
    <m/>
  </r>
  <r>
    <x v="76"/>
    <d v="2025-08-24T00:00:00"/>
    <s v="American Express"/>
    <x v="5838"/>
    <n v="29.02"/>
    <x v="10"/>
    <s v="Entertainment"/>
    <m/>
    <m/>
    <m/>
    <m/>
    <m/>
    <m/>
    <m/>
    <x v="5190"/>
    <m/>
    <m/>
  </r>
  <r>
    <x v="71"/>
    <d v="2025-10-19T00:00:00"/>
    <s v="Cash Rewards Visa Signature - Ending in 5913"/>
    <x v="1400"/>
    <n v="29"/>
    <x v="7"/>
    <m/>
    <m/>
    <m/>
    <m/>
    <m/>
    <m/>
    <m/>
    <m/>
    <x v="1319"/>
    <m/>
    <m/>
  </r>
  <r>
    <x v="71"/>
    <d v="2025-10-13T00:00:00"/>
    <s v="American Express"/>
    <x v="5997"/>
    <n v="29"/>
    <x v="7"/>
    <m/>
    <m/>
    <m/>
    <m/>
    <m/>
    <m/>
    <m/>
    <m/>
    <x v="5344"/>
    <m/>
    <m/>
  </r>
  <r>
    <x v="74"/>
    <d v="2025-06-19T00:00:00"/>
    <s v="American Express"/>
    <x v="5998"/>
    <n v="28.18"/>
    <x v="1"/>
    <s v="Restaurants"/>
    <m/>
    <m/>
    <m/>
    <m/>
    <m/>
    <m/>
    <m/>
    <x v="5345"/>
    <m/>
    <m/>
  </r>
  <r>
    <x v="71"/>
    <d v="2025-10-12T00:00:00"/>
    <s v="American Express"/>
    <x v="5999"/>
    <n v="27.82"/>
    <x v="1"/>
    <s v="Restaurants"/>
    <m/>
    <m/>
    <m/>
    <m/>
    <m/>
    <m/>
    <m/>
    <x v="5346"/>
    <m/>
    <m/>
  </r>
  <r>
    <x v="75"/>
    <d v="2025-11-05T00:00:00"/>
    <s v="American Express"/>
    <x v="5705"/>
    <n v="27.57"/>
    <x v="1"/>
    <s v="Restaurants"/>
    <m/>
    <m/>
    <m/>
    <m/>
    <m/>
    <m/>
    <m/>
    <x v="5077"/>
    <m/>
    <m/>
  </r>
  <r>
    <x v="74"/>
    <d v="2025-06-12T00:00:00"/>
    <s v="American Express"/>
    <x v="6000"/>
    <n v="27.47"/>
    <x v="1"/>
    <s v="Restaurants"/>
    <m/>
    <m/>
    <m/>
    <m/>
    <m/>
    <m/>
    <m/>
    <x v="5347"/>
    <m/>
    <m/>
  </r>
  <r>
    <x v="71"/>
    <d v="2025-10-21T00:00:00"/>
    <s v="Powerplus - Ending in 8s30"/>
    <x v="5951"/>
    <n v="26.82"/>
    <x v="3"/>
    <s v="Delete"/>
    <m/>
    <m/>
    <m/>
    <m/>
    <m/>
    <m/>
    <m/>
    <x v="5298"/>
    <m/>
    <m/>
  </r>
  <r>
    <x v="73"/>
    <d v="2025-07-30T00:00:00"/>
    <s v="American Express"/>
    <x v="6001"/>
    <n v="26.65"/>
    <x v="7"/>
    <m/>
    <m/>
    <m/>
    <m/>
    <m/>
    <m/>
    <m/>
    <m/>
    <x v="5348"/>
    <m/>
    <m/>
  </r>
  <r>
    <x v="76"/>
    <d v="2025-08-30T00:00:00"/>
    <s v="American Express"/>
    <x v="5897"/>
    <n v="26.32"/>
    <x v="1"/>
    <s v="Restaurants"/>
    <m/>
    <m/>
    <m/>
    <m/>
    <m/>
    <m/>
    <m/>
    <x v="5245"/>
    <m/>
    <m/>
  </r>
  <r>
    <x v="71"/>
    <d v="2025-10-03T00:00:00"/>
    <s v="American Express"/>
    <x v="5394"/>
    <n v="26.12"/>
    <x v="0"/>
    <s v="Amazon"/>
    <m/>
    <m/>
    <m/>
    <m/>
    <m/>
    <m/>
    <m/>
    <x v="4783"/>
    <m/>
    <m/>
  </r>
  <r>
    <x v="72"/>
    <d v="2025-09-27T00:00:00"/>
    <s v="American Express"/>
    <x v="5394"/>
    <n v="25.98"/>
    <x v="0"/>
    <s v="Amazon"/>
    <m/>
    <m/>
    <m/>
    <m/>
    <m/>
    <m/>
    <m/>
    <x v="4783"/>
    <m/>
    <m/>
  </r>
  <r>
    <x v="74"/>
    <d v="2025-06-22T00:00:00"/>
    <s v="American Express"/>
    <x v="6002"/>
    <n v="25.94"/>
    <x v="1"/>
    <s v="Restaurants"/>
    <m/>
    <m/>
    <m/>
    <m/>
    <m/>
    <m/>
    <m/>
    <x v="5349"/>
    <m/>
    <m/>
  </r>
  <r>
    <x v="71"/>
    <d v="2025-10-14T00:00:00"/>
    <s v="Cash Rewards Visa Signature - Ending in 5913"/>
    <x v="6003"/>
    <n v="25.47"/>
    <x v="7"/>
    <m/>
    <m/>
    <m/>
    <m/>
    <m/>
    <m/>
    <m/>
    <m/>
    <x v="5350"/>
    <m/>
    <m/>
  </r>
  <r>
    <x v="71"/>
    <d v="2025-10-09T00:00:00"/>
    <s v="American Express"/>
    <x v="6004"/>
    <n v="25.29"/>
    <x v="1"/>
    <s v="Restaurants"/>
    <m/>
    <m/>
    <m/>
    <m/>
    <m/>
    <m/>
    <m/>
    <x v="5351"/>
    <m/>
    <m/>
  </r>
  <r>
    <x v="76"/>
    <d v="2025-08-01T00:00:00"/>
    <s v="American Express"/>
    <x v="6005"/>
    <n v="25.23"/>
    <x v="1"/>
    <m/>
    <s v="Exp - Restaurants"/>
    <m/>
    <m/>
    <m/>
    <m/>
    <m/>
    <m/>
    <x v="5352"/>
    <m/>
    <m/>
  </r>
  <r>
    <x v="73"/>
    <d v="2025-07-14T00:00:00"/>
    <s v="Powerplus - Ending in 8s30"/>
    <x v="1849"/>
    <n v="25"/>
    <x v="8"/>
    <s v="Shopping"/>
    <m/>
    <m/>
    <m/>
    <m/>
    <m/>
    <m/>
    <m/>
    <x v="1704"/>
    <m/>
    <m/>
  </r>
  <r>
    <x v="74"/>
    <d v="2025-06-08T00:00:00"/>
    <s v="Cash Rewards Visa Signature - Ending in 5913"/>
    <x v="579"/>
    <n v="25"/>
    <x v="1"/>
    <s v="Restaurants"/>
    <m/>
    <m/>
    <m/>
    <m/>
    <m/>
    <m/>
    <m/>
    <x v="560"/>
    <m/>
    <m/>
  </r>
  <r>
    <x v="74"/>
    <d v="2025-06-08T00:00:00"/>
    <s v="Cash Rewards Visa Signature - Ending in 5913"/>
    <x v="6006"/>
    <n v="25"/>
    <x v="7"/>
    <m/>
    <m/>
    <m/>
    <m/>
    <m/>
    <m/>
    <m/>
    <m/>
    <x v="5353"/>
    <m/>
    <m/>
  </r>
  <r>
    <x v="76"/>
    <d v="2025-08-18T00:00:00"/>
    <s v="American Express"/>
    <x v="5284"/>
    <n v="25"/>
    <x v="1"/>
    <s v="Restaurants"/>
    <m/>
    <m/>
    <m/>
    <m/>
    <m/>
    <m/>
    <m/>
    <x v="4701"/>
    <m/>
    <m/>
  </r>
  <r>
    <x v="73"/>
    <d v="2025-07-28T00:00:00"/>
    <s v="American Express"/>
    <x v="6007"/>
    <n v="25"/>
    <x v="10"/>
    <s v="Entertainment"/>
    <m/>
    <m/>
    <m/>
    <m/>
    <m/>
    <m/>
    <m/>
    <x v="5354"/>
    <m/>
    <m/>
  </r>
  <r>
    <x v="73"/>
    <d v="2025-07-11T00:00:00"/>
    <s v="American Express"/>
    <x v="6008"/>
    <n v="25"/>
    <x v="1"/>
    <s v="Restaurants"/>
    <m/>
    <m/>
    <m/>
    <m/>
    <m/>
    <m/>
    <m/>
    <x v="5355"/>
    <m/>
    <m/>
  </r>
  <r>
    <x v="71"/>
    <d v="2025-10-18T00:00:00"/>
    <s v="American Express"/>
    <x v="5975"/>
    <n v="24.9"/>
    <x v="2"/>
    <s v="Transportation"/>
    <m/>
    <m/>
    <m/>
    <m/>
    <m/>
    <m/>
    <m/>
    <x v="5322"/>
    <m/>
    <m/>
  </r>
  <r>
    <x v="73"/>
    <d v="2025-07-19T00:00:00"/>
    <s v="American Express"/>
    <x v="6009"/>
    <n v="24.82"/>
    <x v="1"/>
    <s v="Restaurants"/>
    <m/>
    <m/>
    <m/>
    <m/>
    <m/>
    <m/>
    <m/>
    <x v="5356"/>
    <m/>
    <m/>
  </r>
  <r>
    <x v="76"/>
    <d v="2025-08-23T00:00:00"/>
    <s v="American Express"/>
    <x v="5796"/>
    <n v="24.76"/>
    <x v="8"/>
    <s v="Shopping"/>
    <m/>
    <m/>
    <m/>
    <m/>
    <m/>
    <m/>
    <m/>
    <x v="5151"/>
    <m/>
    <m/>
  </r>
  <r>
    <x v="71"/>
    <d v="2025-10-17T00:00:00"/>
    <s v="American Express"/>
    <x v="6010"/>
    <n v="24.71"/>
    <x v="1"/>
    <s v="Restaurants"/>
    <m/>
    <m/>
    <m/>
    <m/>
    <m/>
    <m/>
    <m/>
    <x v="5357"/>
    <m/>
    <m/>
  </r>
  <r>
    <x v="71"/>
    <d v="2025-10-21T00:00:00"/>
    <s v="Cash Rewards Visa Signature - Ending in 5913"/>
    <x v="6011"/>
    <n v="24.63"/>
    <x v="3"/>
    <s v="Delete"/>
    <m/>
    <m/>
    <m/>
    <m/>
    <m/>
    <m/>
    <m/>
    <x v="5358"/>
    <m/>
    <m/>
  </r>
  <r>
    <x v="74"/>
    <d v="2025-06-14T00:00:00"/>
    <s v="American Express"/>
    <x v="5815"/>
    <n v="24.25"/>
    <x v="1"/>
    <s v="Restaurants"/>
    <m/>
    <m/>
    <m/>
    <m/>
    <m/>
    <m/>
    <m/>
    <x v="5168"/>
    <m/>
    <m/>
  </r>
  <r>
    <x v="76"/>
    <d v="2025-08-06T00:00:00"/>
    <s v="American Express"/>
    <x v="6012"/>
    <n v="24.17"/>
    <x v="3"/>
    <s v="Delete"/>
    <m/>
    <m/>
    <m/>
    <m/>
    <m/>
    <m/>
    <m/>
    <x v="5359"/>
    <m/>
    <m/>
  </r>
  <r>
    <x v="73"/>
    <d v="2025-07-18T00:00:00"/>
    <s v="American Express"/>
    <x v="6013"/>
    <n v="24.14"/>
    <x v="7"/>
    <m/>
    <m/>
    <m/>
    <m/>
    <m/>
    <m/>
    <m/>
    <m/>
    <x v="5360"/>
    <m/>
    <m/>
  </r>
  <r>
    <x v="73"/>
    <d v="2025-07-10T00:00:00"/>
    <s v="American Express"/>
    <x v="5671"/>
    <n v="23.83"/>
    <x v="1"/>
    <s v="Restaurants"/>
    <m/>
    <m/>
    <m/>
    <m/>
    <m/>
    <m/>
    <m/>
    <x v="5043"/>
    <m/>
    <m/>
  </r>
  <r>
    <x v="73"/>
    <d v="2025-07-30T00:00:00"/>
    <s v="American Express"/>
    <x v="4974"/>
    <n v="23.66"/>
    <x v="1"/>
    <s v="Restaurants"/>
    <m/>
    <m/>
    <m/>
    <m/>
    <m/>
    <m/>
    <m/>
    <x v="4414"/>
    <m/>
    <m/>
  </r>
  <r>
    <x v="71"/>
    <d v="2025-10-19T00:00:00"/>
    <s v="Cash Rewards Visa Signature - Ending in 5913"/>
    <x v="6014"/>
    <n v="23.46"/>
    <x v="7"/>
    <m/>
    <m/>
    <m/>
    <m/>
    <m/>
    <m/>
    <m/>
    <m/>
    <x v="5361"/>
    <m/>
    <m/>
  </r>
  <r>
    <x v="71"/>
    <d v="2025-10-29T00:00:00"/>
    <s v="American Express"/>
    <x v="5253"/>
    <n v="23.45"/>
    <x v="5"/>
    <s v="Groceries"/>
    <m/>
    <m/>
    <m/>
    <m/>
    <m/>
    <m/>
    <m/>
    <x v="4675"/>
    <m/>
    <m/>
  </r>
  <r>
    <x v="71"/>
    <d v="2025-10-15T00:00:00"/>
    <s v="American Express"/>
    <x v="6015"/>
    <n v="23.29"/>
    <x v="1"/>
    <s v="Restaurants"/>
    <m/>
    <m/>
    <m/>
    <m/>
    <m/>
    <m/>
    <m/>
    <x v="5362"/>
    <m/>
    <m/>
  </r>
  <r>
    <x v="71"/>
    <d v="2025-10-12T00:00:00"/>
    <s v="Cash Rewards Visa Signature - Ending in 5913"/>
    <x v="6016"/>
    <n v="23.26"/>
    <x v="7"/>
    <m/>
    <m/>
    <m/>
    <m/>
    <m/>
    <m/>
    <m/>
    <m/>
    <x v="5363"/>
    <m/>
    <m/>
  </r>
  <r>
    <x v="71"/>
    <d v="2025-10-13T00:00:00"/>
    <s v="American Express"/>
    <x v="6017"/>
    <n v="23.23"/>
    <x v="7"/>
    <m/>
    <m/>
    <m/>
    <m/>
    <m/>
    <m/>
    <m/>
    <m/>
    <x v="5364"/>
    <m/>
    <m/>
  </r>
  <r>
    <x v="74"/>
    <d v="2025-06-06T00:00:00"/>
    <s v="American Express"/>
    <x v="6018"/>
    <n v="23.04"/>
    <x v="7"/>
    <m/>
    <m/>
    <m/>
    <m/>
    <m/>
    <m/>
    <m/>
    <m/>
    <x v="5365"/>
    <m/>
    <m/>
  </r>
  <r>
    <x v="76"/>
    <d v="2025-08-04T00:00:00"/>
    <s v="American Express"/>
    <x v="6019"/>
    <n v="22.95"/>
    <x v="3"/>
    <s v="Delete"/>
    <m/>
    <m/>
    <m/>
    <m/>
    <m/>
    <m/>
    <m/>
    <x v="5366"/>
    <m/>
    <m/>
  </r>
  <r>
    <x v="74"/>
    <d v="2025-06-28T00:00:00"/>
    <s v="American Express"/>
    <x v="6020"/>
    <n v="22.86"/>
    <x v="1"/>
    <s v="Restaurants"/>
    <m/>
    <m/>
    <m/>
    <m/>
    <m/>
    <m/>
    <m/>
    <x v="5367"/>
    <m/>
    <m/>
  </r>
  <r>
    <x v="73"/>
    <d v="2025-07-24T00:00:00"/>
    <s v="American Express"/>
    <x v="5110"/>
    <n v="22.62"/>
    <x v="2"/>
    <s v="Transportation"/>
    <m/>
    <m/>
    <m/>
    <m/>
    <m/>
    <m/>
    <m/>
    <x v="4542"/>
    <m/>
    <m/>
  </r>
  <r>
    <x v="76"/>
    <d v="2025-08-12T00:00:00"/>
    <s v="American Express"/>
    <x v="6021"/>
    <n v="22.27"/>
    <x v="1"/>
    <s v="Restaurants"/>
    <m/>
    <m/>
    <m/>
    <m/>
    <m/>
    <m/>
    <m/>
    <x v="5368"/>
    <m/>
    <m/>
  </r>
  <r>
    <x v="76"/>
    <d v="2025-08-17T00:00:00"/>
    <s v="American Express"/>
    <x v="6022"/>
    <n v="22.13"/>
    <x v="9"/>
    <s v="College Savings"/>
    <m/>
    <m/>
    <m/>
    <m/>
    <m/>
    <m/>
    <m/>
    <x v="5369"/>
    <m/>
    <m/>
  </r>
  <r>
    <x v="72"/>
    <d v="2025-09-20T00:00:00"/>
    <s v="American Express"/>
    <x v="6023"/>
    <n v="22"/>
    <x v="1"/>
    <s v="Restaurants"/>
    <m/>
    <m/>
    <m/>
    <m/>
    <m/>
    <m/>
    <m/>
    <x v="5370"/>
    <m/>
    <m/>
  </r>
  <r>
    <x v="76"/>
    <d v="2025-08-25T00:00:00"/>
    <s v="American Express"/>
    <x v="4997"/>
    <n v="21.96"/>
    <x v="1"/>
    <s v="Restaurants"/>
    <m/>
    <m/>
    <m/>
    <m/>
    <m/>
    <m/>
    <m/>
    <x v="4436"/>
    <m/>
    <m/>
  </r>
  <r>
    <x v="73"/>
    <d v="2025-07-05T00:00:00"/>
    <s v="American Express"/>
    <x v="6024"/>
    <n v="21.84"/>
    <x v="1"/>
    <s v="Restaurants"/>
    <m/>
    <m/>
    <m/>
    <m/>
    <m/>
    <m/>
    <m/>
    <x v="5371"/>
    <m/>
    <m/>
  </r>
  <r>
    <x v="74"/>
    <d v="2025-06-29T00:00:00"/>
    <s v="American Express"/>
    <x v="6025"/>
    <n v="21.73"/>
    <x v="1"/>
    <s v="Restaurants"/>
    <m/>
    <m/>
    <m/>
    <m/>
    <m/>
    <m/>
    <m/>
    <x v="5372"/>
    <m/>
    <m/>
  </r>
  <r>
    <x v="74"/>
    <d v="2025-06-17T00:00:00"/>
    <s v="American Express"/>
    <x v="5491"/>
    <n v="21.66"/>
    <x v="8"/>
    <s v="Shopping"/>
    <m/>
    <m/>
    <m/>
    <m/>
    <m/>
    <m/>
    <m/>
    <x v="4870"/>
    <m/>
    <m/>
  </r>
  <r>
    <x v="72"/>
    <d v="2025-09-12T00:00:00"/>
    <s v="American Express"/>
    <x v="6026"/>
    <n v="21.32"/>
    <x v="1"/>
    <s v="Restaurants"/>
    <m/>
    <m/>
    <m/>
    <m/>
    <m/>
    <m/>
    <m/>
    <x v="5373"/>
    <m/>
    <m/>
  </r>
  <r>
    <x v="71"/>
    <d v="2025-10-07T00:00:00"/>
    <s v="American Express"/>
    <x v="6027"/>
    <n v="21.04"/>
    <x v="7"/>
    <m/>
    <m/>
    <m/>
    <m/>
    <m/>
    <m/>
    <m/>
    <m/>
    <x v="5374"/>
    <m/>
    <m/>
  </r>
  <r>
    <x v="71"/>
    <d v="2025-10-10T00:00:00"/>
    <s v="Powerplus - Ending in 8s30"/>
    <x v="1827"/>
    <n v="21"/>
    <x v="8"/>
    <s v="Shopping"/>
    <m/>
    <m/>
    <m/>
    <m/>
    <m/>
    <m/>
    <m/>
    <x v="1682"/>
    <m/>
    <m/>
  </r>
  <r>
    <x v="71"/>
    <d v="2025-10-11T00:00:00"/>
    <s v="American Express"/>
    <x v="6028"/>
    <n v="20.86"/>
    <x v="7"/>
    <m/>
    <m/>
    <m/>
    <m/>
    <m/>
    <m/>
    <m/>
    <m/>
    <x v="5375"/>
    <m/>
    <m/>
  </r>
  <r>
    <x v="73"/>
    <d v="2025-07-02T00:00:00"/>
    <s v="American Express"/>
    <x v="5287"/>
    <n v="20.36"/>
    <x v="1"/>
    <s v="Restaurants"/>
    <m/>
    <m/>
    <m/>
    <m/>
    <m/>
    <m/>
    <m/>
    <x v="4704"/>
    <m/>
    <m/>
  </r>
  <r>
    <x v="71"/>
    <d v="2025-10-14T00:00:00"/>
    <s v="American Express"/>
    <x v="4988"/>
    <n v="20"/>
    <x v="11"/>
    <s v="Utilities"/>
    <m/>
    <m/>
    <m/>
    <m/>
    <m/>
    <m/>
    <m/>
    <x v="4427"/>
    <m/>
    <m/>
  </r>
  <r>
    <x v="72"/>
    <d v="2025-09-25T00:00:00"/>
    <s v="American Express"/>
    <x v="6029"/>
    <n v="20"/>
    <x v="1"/>
    <s v="Restaurants"/>
    <m/>
    <m/>
    <m/>
    <m/>
    <m/>
    <m/>
    <m/>
    <x v="5376"/>
    <m/>
    <m/>
  </r>
  <r>
    <x v="72"/>
    <d v="2025-09-20T00:00:00"/>
    <s v="American Express"/>
    <x v="6030"/>
    <n v="20"/>
    <x v="1"/>
    <s v="Restaurants"/>
    <m/>
    <m/>
    <m/>
    <m/>
    <m/>
    <m/>
    <m/>
    <x v="5377"/>
    <m/>
    <m/>
  </r>
  <r>
    <x v="72"/>
    <d v="2025-09-14T00:00:00"/>
    <s v="American Express"/>
    <x v="6031"/>
    <n v="20"/>
    <x v="1"/>
    <s v="Restaurants"/>
    <m/>
    <m/>
    <m/>
    <m/>
    <m/>
    <m/>
    <m/>
    <x v="5378"/>
    <m/>
    <m/>
  </r>
  <r>
    <x v="72"/>
    <d v="2025-09-14T00:00:00"/>
    <s v="American Express"/>
    <x v="4988"/>
    <n v="20"/>
    <x v="11"/>
    <s v="Utilities"/>
    <m/>
    <m/>
    <m/>
    <m/>
    <m/>
    <m/>
    <m/>
    <x v="4427"/>
    <m/>
    <m/>
  </r>
  <r>
    <x v="76"/>
    <d v="2025-08-14T00:00:00"/>
    <s v="American Express"/>
    <x v="4988"/>
    <n v="20"/>
    <x v="11"/>
    <s v="Utilities"/>
    <m/>
    <m/>
    <m/>
    <m/>
    <m/>
    <m/>
    <m/>
    <x v="4427"/>
    <m/>
    <m/>
  </r>
  <r>
    <x v="73"/>
    <d v="2025-07-14T00:00:00"/>
    <s v="American Express"/>
    <x v="4988"/>
    <n v="20"/>
    <x v="11"/>
    <s v="Utilities"/>
    <m/>
    <m/>
    <m/>
    <m/>
    <m/>
    <m/>
    <m/>
    <x v="4427"/>
    <m/>
    <m/>
  </r>
  <r>
    <x v="74"/>
    <d v="2025-06-16T00:00:00"/>
    <s v="American Express"/>
    <x v="5989"/>
    <n v="20"/>
    <x v="1"/>
    <s v="Restaurants"/>
    <m/>
    <m/>
    <m/>
    <m/>
    <m/>
    <m/>
    <m/>
    <x v="5336"/>
    <m/>
    <m/>
  </r>
  <r>
    <x v="74"/>
    <d v="2025-06-14T00:00:00"/>
    <s v="American Express"/>
    <x v="4988"/>
    <n v="20"/>
    <x v="11"/>
    <s v="Utilities"/>
    <m/>
    <m/>
    <m/>
    <m/>
    <m/>
    <m/>
    <m/>
    <x v="4427"/>
    <m/>
    <m/>
  </r>
  <r>
    <x v="71"/>
    <d v="2025-10-24T00:00:00"/>
    <s v="American Express"/>
    <x v="5253"/>
    <n v="19.98"/>
    <x v="3"/>
    <s v="Delete"/>
    <m/>
    <m/>
    <m/>
    <m/>
    <m/>
    <m/>
    <m/>
    <x v="4675"/>
    <m/>
    <m/>
  </r>
  <r>
    <x v="71"/>
    <d v="2025-10-05T00:00:00"/>
    <s v="American Express"/>
    <x v="6032"/>
    <n v="19.95"/>
    <x v="1"/>
    <s v="Restaurants"/>
    <m/>
    <m/>
    <m/>
    <m/>
    <m/>
    <m/>
    <m/>
    <x v="5379"/>
    <m/>
    <m/>
  </r>
  <r>
    <x v="71"/>
    <d v="2025-10-24T00:00:00"/>
    <s v="Cash Rewards Visa Signature - Ending in 5913"/>
    <x v="6033"/>
    <n v="19.88"/>
    <x v="3"/>
    <s v="Delete"/>
    <m/>
    <m/>
    <m/>
    <m/>
    <m/>
    <m/>
    <m/>
    <x v="5380"/>
    <m/>
    <m/>
  </r>
  <r>
    <x v="72"/>
    <d v="2025-09-13T00:00:00"/>
    <s v="American Express"/>
    <x v="6034"/>
    <n v="19.62"/>
    <x v="1"/>
    <s v="Restaurants"/>
    <m/>
    <m/>
    <m/>
    <m/>
    <m/>
    <m/>
    <m/>
    <x v="5381"/>
    <m/>
    <m/>
  </r>
  <r>
    <x v="75"/>
    <d v="2025-11-02T00:00:00"/>
    <s v="American Express"/>
    <x v="5394"/>
    <n v="19.579999999999998"/>
    <x v="0"/>
    <s v="Amazon"/>
    <m/>
    <m/>
    <m/>
    <m/>
    <m/>
    <m/>
    <m/>
    <x v="4783"/>
    <m/>
    <m/>
  </r>
  <r>
    <x v="76"/>
    <d v="2025-08-23T00:00:00"/>
    <s v="American Express"/>
    <x v="6035"/>
    <n v="19.440000000000001"/>
    <x v="1"/>
    <m/>
    <s v="Exp - Restaurants"/>
    <m/>
    <m/>
    <m/>
    <m/>
    <m/>
    <m/>
    <x v="5382"/>
    <m/>
    <m/>
  </r>
  <r>
    <x v="71"/>
    <d v="2025-10-21T00:00:00"/>
    <s v="Cash Rewards Visa Signature - Ending in 5913"/>
    <x v="3860"/>
    <n v="19.239999999999998"/>
    <x v="3"/>
    <s v="Delete"/>
    <m/>
    <m/>
    <m/>
    <m/>
    <m/>
    <m/>
    <m/>
    <x v="3411"/>
    <m/>
    <m/>
  </r>
  <r>
    <x v="71"/>
    <d v="2025-10-06T00:00:00"/>
    <s v="American Express"/>
    <x v="5793"/>
    <n v="19"/>
    <x v="11"/>
    <s v="Utilities"/>
    <m/>
    <m/>
    <m/>
    <m/>
    <m/>
    <m/>
    <m/>
    <x v="5148"/>
    <m/>
    <m/>
  </r>
  <r>
    <x v="72"/>
    <d v="2025-09-06T00:00:00"/>
    <s v="American Express"/>
    <x v="5793"/>
    <n v="19"/>
    <x v="11"/>
    <s v="Utilities"/>
    <m/>
    <m/>
    <m/>
    <m/>
    <m/>
    <m/>
    <m/>
    <x v="5148"/>
    <m/>
    <m/>
  </r>
  <r>
    <x v="76"/>
    <d v="2025-08-22T00:00:00"/>
    <s v="American Express"/>
    <x v="5818"/>
    <n v="18.649999999999999"/>
    <x v="1"/>
    <s v="Restaurants"/>
    <m/>
    <m/>
    <m/>
    <m/>
    <m/>
    <m/>
    <m/>
    <x v="5171"/>
    <m/>
    <m/>
  </r>
  <r>
    <x v="71"/>
    <d v="2025-10-14T00:00:00"/>
    <s v="American Express"/>
    <x v="6036"/>
    <n v="18.559999999999999"/>
    <x v="7"/>
    <m/>
    <m/>
    <m/>
    <m/>
    <m/>
    <m/>
    <m/>
    <m/>
    <x v="5383"/>
    <m/>
    <m/>
  </r>
  <r>
    <x v="76"/>
    <d v="2025-08-07T00:00:00"/>
    <s v="American Express"/>
    <x v="5417"/>
    <n v="18.5"/>
    <x v="3"/>
    <s v="Delete"/>
    <m/>
    <m/>
    <m/>
    <m/>
    <m/>
    <m/>
    <m/>
    <x v="4805"/>
    <m/>
    <m/>
  </r>
  <r>
    <x v="72"/>
    <d v="2025-09-17T00:00:00"/>
    <s v="American Express"/>
    <x v="6037"/>
    <n v="18.46"/>
    <x v="1"/>
    <s v="Restaurants"/>
    <m/>
    <m/>
    <m/>
    <m/>
    <m/>
    <m/>
    <m/>
    <x v="5384"/>
    <m/>
    <m/>
  </r>
  <r>
    <x v="76"/>
    <d v="2025-08-11T00:00:00"/>
    <s v="Powerplus - Ending in 8s30"/>
    <x v="1849"/>
    <n v="18.32"/>
    <x v="8"/>
    <s v="Shopping"/>
    <m/>
    <m/>
    <m/>
    <m/>
    <m/>
    <m/>
    <m/>
    <x v="1704"/>
    <m/>
    <m/>
  </r>
  <r>
    <x v="71"/>
    <d v="2025-10-25T00:00:00"/>
    <s v="American Express"/>
    <x v="6038"/>
    <n v="18.21"/>
    <x v="1"/>
    <s v="Restaurants"/>
    <m/>
    <m/>
    <m/>
    <m/>
    <m/>
    <m/>
    <m/>
    <x v="5385"/>
    <m/>
    <m/>
  </r>
  <r>
    <x v="72"/>
    <d v="2025-09-12T00:00:00"/>
    <s v="American Express"/>
    <x v="6039"/>
    <n v="18"/>
    <x v="1"/>
    <s v="Restaurants"/>
    <m/>
    <m/>
    <m/>
    <m/>
    <m/>
    <m/>
    <m/>
    <x v="5386"/>
    <m/>
    <m/>
  </r>
  <r>
    <x v="73"/>
    <d v="2025-07-31T00:00:00"/>
    <s v="American Express"/>
    <x v="6040"/>
    <n v="18"/>
    <x v="24"/>
    <s v="Travel"/>
    <m/>
    <m/>
    <m/>
    <m/>
    <m/>
    <m/>
    <m/>
    <x v="5387"/>
    <m/>
    <m/>
  </r>
  <r>
    <x v="76"/>
    <d v="2025-08-03T00:00:00"/>
    <s v="American Express"/>
    <x v="5394"/>
    <n v="17.95"/>
    <x v="3"/>
    <s v="Delete"/>
    <m/>
    <m/>
    <m/>
    <m/>
    <m/>
    <m/>
    <m/>
    <x v="4783"/>
    <m/>
    <m/>
  </r>
  <r>
    <x v="72"/>
    <d v="2025-09-11T00:00:00"/>
    <s v="American Express"/>
    <x v="5040"/>
    <n v="17.54"/>
    <x v="1"/>
    <s v="Restaurants"/>
    <m/>
    <m/>
    <m/>
    <m/>
    <m/>
    <m/>
    <m/>
    <x v="4477"/>
    <m/>
    <m/>
  </r>
  <r>
    <x v="71"/>
    <d v="2025-10-15T00:00:00"/>
    <s v="Powerplus - Ending in 8s30"/>
    <x v="1849"/>
    <n v="17.43"/>
    <x v="8"/>
    <s v="Shopping"/>
    <m/>
    <m/>
    <m/>
    <m/>
    <m/>
    <m/>
    <m/>
    <x v="1704"/>
    <m/>
    <m/>
  </r>
  <r>
    <x v="72"/>
    <d v="2025-09-15T00:00:00"/>
    <s v="Powerplus - Ending in 8s30"/>
    <x v="1849"/>
    <n v="17.43"/>
    <x v="8"/>
    <s v="Shopping"/>
    <m/>
    <m/>
    <m/>
    <m/>
    <m/>
    <m/>
    <m/>
    <x v="1704"/>
    <m/>
    <m/>
  </r>
  <r>
    <x v="76"/>
    <d v="2025-08-15T00:00:00"/>
    <s v="Powerplus - Ending in 8s30"/>
    <x v="1849"/>
    <n v="17.43"/>
    <x v="8"/>
    <s v="Shopping"/>
    <m/>
    <m/>
    <m/>
    <m/>
    <m/>
    <m/>
    <m/>
    <x v="1704"/>
    <m/>
    <m/>
  </r>
  <r>
    <x v="74"/>
    <d v="2025-06-16T00:00:00"/>
    <s v="Powerplus - Ending in 8s30"/>
    <x v="1849"/>
    <n v="17.43"/>
    <x v="8"/>
    <s v="Shopping"/>
    <m/>
    <m/>
    <m/>
    <m/>
    <m/>
    <m/>
    <m/>
    <x v="1704"/>
    <m/>
    <m/>
  </r>
  <r>
    <x v="71"/>
    <d v="2025-10-14T00:00:00"/>
    <s v="American Express"/>
    <x v="6041"/>
    <n v="17.399999999999999"/>
    <x v="7"/>
    <m/>
    <m/>
    <m/>
    <m/>
    <m/>
    <m/>
    <m/>
    <m/>
    <x v="5388"/>
    <m/>
    <m/>
  </r>
  <r>
    <x v="72"/>
    <d v="2025-09-10T00:00:00"/>
    <s v="American Express"/>
    <x v="5417"/>
    <n v="17.36"/>
    <x v="0"/>
    <s v="Amazon"/>
    <m/>
    <m/>
    <m/>
    <m/>
    <m/>
    <m/>
    <m/>
    <x v="4805"/>
    <m/>
    <m/>
  </r>
  <r>
    <x v="72"/>
    <d v="2025-09-17T00:00:00"/>
    <s v="American Express"/>
    <x v="5417"/>
    <n v="17.34"/>
    <x v="0"/>
    <s v="Amazon"/>
    <m/>
    <m/>
    <m/>
    <m/>
    <m/>
    <m/>
    <m/>
    <x v="4805"/>
    <m/>
    <m/>
  </r>
  <r>
    <x v="73"/>
    <d v="2025-07-14T00:00:00"/>
    <s v="American Express"/>
    <x v="6042"/>
    <n v="17.010000000000002"/>
    <x v="1"/>
    <s v="Restaurants"/>
    <m/>
    <m/>
    <m/>
    <m/>
    <m/>
    <m/>
    <m/>
    <x v="5389"/>
    <m/>
    <m/>
  </r>
  <r>
    <x v="73"/>
    <d v="2025-07-27T00:00:00"/>
    <s v="American Express"/>
    <x v="6043"/>
    <n v="16.96"/>
    <x v="1"/>
    <s v="Restaurants"/>
    <m/>
    <m/>
    <m/>
    <m/>
    <m/>
    <m/>
    <m/>
    <x v="5390"/>
    <m/>
    <m/>
  </r>
  <r>
    <x v="71"/>
    <d v="2025-10-09T00:00:00"/>
    <s v="American Express"/>
    <x v="6044"/>
    <n v="16.649999999999999"/>
    <x v="8"/>
    <s v="Shopping"/>
    <m/>
    <m/>
    <m/>
    <m/>
    <m/>
    <m/>
    <m/>
    <x v="5391"/>
    <m/>
    <m/>
  </r>
  <r>
    <x v="73"/>
    <d v="2025-07-17T00:00:00"/>
    <s v="American Express"/>
    <x v="6045"/>
    <n v="16.47"/>
    <x v="1"/>
    <s v="Restaurants"/>
    <m/>
    <m/>
    <m/>
    <m/>
    <m/>
    <m/>
    <m/>
    <x v="5392"/>
    <m/>
    <m/>
  </r>
  <r>
    <x v="71"/>
    <d v="2025-10-20T00:00:00"/>
    <s v="Cash Rewards Visa Signature - Ending in 5913"/>
    <x v="6046"/>
    <n v="16.420000000000002"/>
    <x v="3"/>
    <s v="Delete"/>
    <m/>
    <m/>
    <m/>
    <m/>
    <m/>
    <m/>
    <m/>
    <x v="5393"/>
    <m/>
    <m/>
  </r>
  <r>
    <x v="73"/>
    <d v="2025-07-19T00:00:00"/>
    <s v="American Express"/>
    <x v="5967"/>
    <n v="16.41"/>
    <x v="7"/>
    <m/>
    <m/>
    <m/>
    <m/>
    <m/>
    <m/>
    <m/>
    <m/>
    <x v="5314"/>
    <m/>
    <m/>
  </r>
  <r>
    <x v="72"/>
    <d v="2025-09-06T00:00:00"/>
    <s v="American Express"/>
    <x v="6047"/>
    <n v="16.32"/>
    <x v="0"/>
    <s v="Amazon"/>
    <m/>
    <m/>
    <m/>
    <m/>
    <m/>
    <m/>
    <m/>
    <x v="5394"/>
    <m/>
    <m/>
  </r>
  <r>
    <x v="74"/>
    <d v="2025-06-05T00:00:00"/>
    <s v="American Express"/>
    <x v="6048"/>
    <n v="16.27"/>
    <x v="7"/>
    <m/>
    <m/>
    <m/>
    <m/>
    <m/>
    <m/>
    <m/>
    <m/>
    <x v="5395"/>
    <m/>
    <m/>
  </r>
  <r>
    <x v="76"/>
    <d v="2025-08-23T00:00:00"/>
    <s v="American Express"/>
    <x v="6035"/>
    <n v="16.079999999999998"/>
    <x v="1"/>
    <m/>
    <s v="Exp - Restaurants"/>
    <m/>
    <m/>
    <m/>
    <m/>
    <m/>
    <m/>
    <x v="5382"/>
    <m/>
    <m/>
  </r>
  <r>
    <x v="71"/>
    <d v="2025-10-14T00:00:00"/>
    <s v="American Express"/>
    <x v="6049"/>
    <n v="16.010000000000002"/>
    <x v="1"/>
    <s v="Restaurants"/>
    <m/>
    <m/>
    <m/>
    <m/>
    <m/>
    <m/>
    <m/>
    <x v="5396"/>
    <m/>
    <m/>
  </r>
  <r>
    <x v="71"/>
    <d v="2025-10-05T00:00:00"/>
    <s v="Cash Rewards Visa Signature - Ending in 5913"/>
    <x v="6050"/>
    <n v="16"/>
    <x v="8"/>
    <s v="Shopping"/>
    <m/>
    <m/>
    <m/>
    <m/>
    <m/>
    <m/>
    <m/>
    <x v="5397"/>
    <m/>
    <m/>
  </r>
  <r>
    <x v="71"/>
    <d v="2025-10-01T00:00:00"/>
    <s v="American Express"/>
    <x v="6051"/>
    <n v="16"/>
    <x v="7"/>
    <m/>
    <m/>
    <m/>
    <m/>
    <m/>
    <m/>
    <m/>
    <m/>
    <x v="5398"/>
    <m/>
    <m/>
  </r>
  <r>
    <x v="71"/>
    <d v="2025-10-01T00:00:00"/>
    <s v="American Express"/>
    <x v="6051"/>
    <n v="16"/>
    <x v="7"/>
    <m/>
    <m/>
    <m/>
    <m/>
    <m/>
    <m/>
    <m/>
    <m/>
    <x v="5398"/>
    <m/>
    <m/>
  </r>
  <r>
    <x v="72"/>
    <d v="2025-09-12T00:00:00"/>
    <s v="American Express"/>
    <x v="6052"/>
    <n v="16"/>
    <x v="1"/>
    <s v="Restaurants"/>
    <m/>
    <m/>
    <m/>
    <m/>
    <m/>
    <m/>
    <m/>
    <x v="5399"/>
    <m/>
    <m/>
  </r>
  <r>
    <x v="72"/>
    <d v="2025-09-12T00:00:00"/>
    <s v="American Express"/>
    <x v="6053"/>
    <n v="16"/>
    <x v="4"/>
    <s v="Day Care"/>
    <m/>
    <m/>
    <m/>
    <m/>
    <m/>
    <m/>
    <m/>
    <x v="5400"/>
    <m/>
    <m/>
  </r>
  <r>
    <x v="76"/>
    <d v="2025-08-24T00:00:00"/>
    <s v="American Express"/>
    <x v="6054"/>
    <n v="15.99"/>
    <x v="1"/>
    <s v="Restaurants"/>
    <m/>
    <m/>
    <m/>
    <m/>
    <m/>
    <m/>
    <m/>
    <x v="5401"/>
    <m/>
    <m/>
  </r>
  <r>
    <x v="72"/>
    <d v="2025-09-16T00:00:00"/>
    <s v="American Express"/>
    <x v="6055"/>
    <n v="15.8"/>
    <x v="1"/>
    <s v="Restaurants"/>
    <m/>
    <m/>
    <m/>
    <m/>
    <m/>
    <m/>
    <m/>
    <x v="5402"/>
    <m/>
    <m/>
  </r>
  <r>
    <x v="73"/>
    <d v="2025-07-02T00:00:00"/>
    <s v="American Express"/>
    <x v="6056"/>
    <n v="15.72"/>
    <x v="5"/>
    <s v="Groceries"/>
    <m/>
    <m/>
    <m/>
    <m/>
    <m/>
    <m/>
    <m/>
    <x v="5403"/>
    <m/>
    <m/>
  </r>
  <r>
    <x v="74"/>
    <d v="2025-06-12T00:00:00"/>
    <s v="American Express"/>
    <x v="5666"/>
    <n v="15.48"/>
    <x v="1"/>
    <s v="Restaurants"/>
    <m/>
    <m/>
    <m/>
    <m/>
    <m/>
    <m/>
    <m/>
    <x v="5038"/>
    <m/>
    <m/>
  </r>
  <r>
    <x v="71"/>
    <d v="2025-10-22T00:00:00"/>
    <s v="Cash Rewards Visa Signature - Ending in 5913"/>
    <x v="6057"/>
    <n v="15.41"/>
    <x v="3"/>
    <s v="Delete"/>
    <m/>
    <m/>
    <m/>
    <m/>
    <m/>
    <m/>
    <m/>
    <x v="5404"/>
    <m/>
    <m/>
  </r>
  <r>
    <x v="71"/>
    <d v="2025-10-21T00:00:00"/>
    <s v="Cash Rewards Visa Signature - Ending in 5913"/>
    <x v="6058"/>
    <n v="15.37"/>
    <x v="3"/>
    <s v="Delete"/>
    <m/>
    <m/>
    <m/>
    <m/>
    <m/>
    <m/>
    <m/>
    <x v="5405"/>
    <m/>
    <m/>
  </r>
  <r>
    <x v="76"/>
    <d v="2025-08-08T00:00:00"/>
    <s v="Cash Rewards Visa Signature - Ending in 5913"/>
    <x v="6059"/>
    <n v="15.35"/>
    <x v="3"/>
    <s v="Delete"/>
    <m/>
    <m/>
    <m/>
    <m/>
    <m/>
    <m/>
    <m/>
    <x v="5406"/>
    <m/>
    <m/>
  </r>
  <r>
    <x v="71"/>
    <d v="2025-10-19T00:00:00"/>
    <s v="Cash Rewards Visa Signature - Ending in 5913"/>
    <x v="6060"/>
    <n v="15.25"/>
    <x v="7"/>
    <m/>
    <m/>
    <m/>
    <m/>
    <m/>
    <m/>
    <m/>
    <m/>
    <x v="5407"/>
    <m/>
    <m/>
  </r>
  <r>
    <x v="74"/>
    <d v="2025-06-28T00:00:00"/>
    <s v="American Express"/>
    <x v="5911"/>
    <n v="15.19"/>
    <x v="1"/>
    <s v="Restaurants"/>
    <m/>
    <m/>
    <m/>
    <m/>
    <m/>
    <m/>
    <m/>
    <x v="5258"/>
    <m/>
    <m/>
  </r>
  <r>
    <x v="71"/>
    <d v="2025-10-26T00:00:00"/>
    <s v="American Express"/>
    <x v="6061"/>
    <n v="15.14"/>
    <x v="7"/>
    <m/>
    <m/>
    <m/>
    <m/>
    <m/>
    <m/>
    <m/>
    <m/>
    <x v="5408"/>
    <m/>
    <m/>
  </r>
  <r>
    <x v="73"/>
    <d v="2025-07-24T00:00:00"/>
    <s v="American Express"/>
    <x v="6062"/>
    <n v="15.14"/>
    <x v="1"/>
    <s v="Restaurants"/>
    <m/>
    <m/>
    <m/>
    <m/>
    <m/>
    <m/>
    <m/>
    <x v="5409"/>
    <m/>
    <m/>
  </r>
  <r>
    <x v="74"/>
    <d v="2025-06-14T00:00:00"/>
    <s v="American Express"/>
    <x v="5897"/>
    <n v="15.03"/>
    <x v="1"/>
    <s v="Restaurants"/>
    <m/>
    <m/>
    <m/>
    <m/>
    <m/>
    <m/>
    <m/>
    <x v="5245"/>
    <m/>
    <m/>
  </r>
  <r>
    <x v="76"/>
    <d v="2025-08-07T00:00:00"/>
    <s v="Cash Rewards Visa Signature - Ending in 5913"/>
    <x v="6063"/>
    <n v="15.02"/>
    <x v="3"/>
    <s v="Delete"/>
    <m/>
    <m/>
    <m/>
    <m/>
    <m/>
    <m/>
    <m/>
    <x v="5410"/>
    <m/>
    <m/>
  </r>
  <r>
    <x v="76"/>
    <d v="2025-08-10T00:00:00"/>
    <s v="Cash Rewards Visa Signature - Ending in 5913"/>
    <x v="579"/>
    <n v="15"/>
    <x v="1"/>
    <s v="Restaurants"/>
    <m/>
    <m/>
    <m/>
    <m/>
    <m/>
    <m/>
    <m/>
    <x v="560"/>
    <m/>
    <m/>
  </r>
  <r>
    <x v="76"/>
    <d v="2025-08-07T00:00:00"/>
    <s v="Cash Rewards Visa Signature - Ending in 5913"/>
    <x v="6064"/>
    <n v="15"/>
    <x v="3"/>
    <s v="Delete"/>
    <m/>
    <m/>
    <m/>
    <m/>
    <m/>
    <m/>
    <m/>
    <x v="5411"/>
    <m/>
    <m/>
  </r>
  <r>
    <x v="71"/>
    <d v="2025-10-14T00:00:00"/>
    <s v="Cash Rewards Visa Signature - Ending in 5913"/>
    <x v="6065"/>
    <n v="14.89"/>
    <x v="1"/>
    <s v="Restaurants"/>
    <m/>
    <m/>
    <m/>
    <m/>
    <m/>
    <m/>
    <m/>
    <x v="5412"/>
    <m/>
    <m/>
  </r>
  <r>
    <x v="72"/>
    <d v="2025-09-12T00:00:00"/>
    <s v="American Express"/>
    <x v="5642"/>
    <n v="14.63"/>
    <x v="1"/>
    <s v="Restaurants"/>
    <m/>
    <m/>
    <m/>
    <m/>
    <m/>
    <m/>
    <m/>
    <x v="5014"/>
    <m/>
    <m/>
  </r>
  <r>
    <x v="71"/>
    <d v="2025-10-16T00:00:00"/>
    <s v="American Express"/>
    <x v="6066"/>
    <n v="14.6"/>
    <x v="1"/>
    <s v="Restaurants"/>
    <m/>
    <m/>
    <m/>
    <m/>
    <m/>
    <m/>
    <m/>
    <x v="5413"/>
    <m/>
    <m/>
  </r>
  <r>
    <x v="72"/>
    <d v="2025-09-16T00:00:00"/>
    <s v="American Express"/>
    <x v="6067"/>
    <n v="14.33"/>
    <x v="1"/>
    <s v="Restaurants"/>
    <m/>
    <m/>
    <m/>
    <m/>
    <m/>
    <m/>
    <m/>
    <x v="5414"/>
    <m/>
    <m/>
  </r>
  <r>
    <x v="71"/>
    <d v="2025-10-12T00:00:00"/>
    <s v="Cash Rewards Visa Signature - Ending in 5913"/>
    <x v="6068"/>
    <n v="14.21"/>
    <x v="7"/>
    <m/>
    <m/>
    <m/>
    <m/>
    <m/>
    <m/>
    <m/>
    <m/>
    <x v="5415"/>
    <m/>
    <m/>
  </r>
  <r>
    <x v="72"/>
    <d v="2025-09-04T00:00:00"/>
    <s v="American Express"/>
    <x v="5785"/>
    <n v="14.14"/>
    <x v="7"/>
    <m/>
    <m/>
    <m/>
    <m/>
    <m/>
    <m/>
    <m/>
    <m/>
    <x v="5140"/>
    <m/>
    <m/>
  </r>
  <r>
    <x v="71"/>
    <d v="2025-10-19T00:00:00"/>
    <s v="Cash Rewards Visa Signature - Ending in 5913"/>
    <x v="6069"/>
    <n v="14.04"/>
    <x v="7"/>
    <m/>
    <m/>
    <m/>
    <m/>
    <m/>
    <m/>
    <m/>
    <m/>
    <x v="5416"/>
    <m/>
    <m/>
  </r>
  <r>
    <x v="76"/>
    <d v="2025-08-08T00:00:00"/>
    <s v="American Express"/>
    <x v="5050"/>
    <n v="14"/>
    <x v="3"/>
    <s v="Delete"/>
    <m/>
    <m/>
    <m/>
    <m/>
    <m/>
    <m/>
    <m/>
    <x v="4487"/>
    <m/>
    <m/>
  </r>
  <r>
    <x v="71"/>
    <d v="2025-10-13T00:00:00"/>
    <s v="American Express"/>
    <x v="6070"/>
    <n v="13.94"/>
    <x v="7"/>
    <m/>
    <m/>
    <m/>
    <m/>
    <m/>
    <m/>
    <m/>
    <m/>
    <x v="5417"/>
    <m/>
    <m/>
  </r>
  <r>
    <x v="71"/>
    <d v="2025-10-11T00:00:00"/>
    <s v="American Express"/>
    <x v="6071"/>
    <n v="13.91"/>
    <x v="1"/>
    <s v="Restaurants"/>
    <m/>
    <m/>
    <m/>
    <m/>
    <m/>
    <m/>
    <m/>
    <x v="5418"/>
    <m/>
    <m/>
  </r>
  <r>
    <x v="73"/>
    <d v="2025-07-13T00:00:00"/>
    <s v="Cash Rewards Visa Signature - Ending in 5913"/>
    <x v="6072"/>
    <n v="13.8"/>
    <x v="7"/>
    <m/>
    <m/>
    <m/>
    <m/>
    <m/>
    <m/>
    <m/>
    <m/>
    <x v="5419"/>
    <m/>
    <m/>
  </r>
  <r>
    <x v="76"/>
    <d v="2025-08-29T00:00:00"/>
    <s v="American Express"/>
    <x v="6056"/>
    <n v="13.72"/>
    <x v="5"/>
    <s v="Groceries"/>
    <m/>
    <m/>
    <m/>
    <m/>
    <m/>
    <m/>
    <m/>
    <x v="5403"/>
    <m/>
    <m/>
  </r>
  <r>
    <x v="73"/>
    <d v="2025-07-04T00:00:00"/>
    <s v="American Express"/>
    <x v="6073"/>
    <n v="13.66"/>
    <x v="1"/>
    <s v="Restaurants"/>
    <m/>
    <m/>
    <m/>
    <m/>
    <m/>
    <m/>
    <m/>
    <x v="5420"/>
    <m/>
    <m/>
  </r>
  <r>
    <x v="71"/>
    <d v="2025-10-12T00:00:00"/>
    <s v="Cash Rewards Visa Signature - Ending in 5913"/>
    <x v="6074"/>
    <n v="13.57"/>
    <x v="5"/>
    <s v="Groceries"/>
    <m/>
    <m/>
    <m/>
    <m/>
    <m/>
    <m/>
    <m/>
    <x v="5421"/>
    <m/>
    <m/>
  </r>
  <r>
    <x v="76"/>
    <d v="2025-08-28T00:00:00"/>
    <s v="American Express"/>
    <x v="6075"/>
    <n v="13.44"/>
    <x v="1"/>
    <s v="Restaurants"/>
    <m/>
    <m/>
    <m/>
    <m/>
    <m/>
    <m/>
    <m/>
    <x v="5422"/>
    <m/>
    <m/>
  </r>
  <r>
    <x v="71"/>
    <d v="2025-10-23T00:00:00"/>
    <s v="Cash Rewards Visa Signature - Ending in 5913"/>
    <x v="6076"/>
    <n v="13.41"/>
    <x v="3"/>
    <s v="Delete"/>
    <m/>
    <m/>
    <m/>
    <m/>
    <m/>
    <m/>
    <m/>
    <x v="5423"/>
    <m/>
    <m/>
  </r>
  <r>
    <x v="76"/>
    <d v="2025-08-02T00:00:00"/>
    <s v="American Express"/>
    <x v="6077"/>
    <n v="13.26"/>
    <x v="1"/>
    <s v="Restaurants"/>
    <m/>
    <m/>
    <m/>
    <m/>
    <m/>
    <m/>
    <m/>
    <x v="5424"/>
    <m/>
    <m/>
  </r>
  <r>
    <x v="71"/>
    <d v="2025-10-03T00:00:00"/>
    <s v="American Express"/>
    <x v="4997"/>
    <n v="13.15"/>
    <x v="1"/>
    <s v="Restaurants"/>
    <m/>
    <m/>
    <m/>
    <m/>
    <m/>
    <m/>
    <m/>
    <x v="4436"/>
    <m/>
    <m/>
  </r>
  <r>
    <x v="73"/>
    <d v="2025-07-23T00:00:00"/>
    <s v="American Express"/>
    <x v="6078"/>
    <n v="13.12"/>
    <x v="1"/>
    <s v="Restaurants"/>
    <m/>
    <m/>
    <m/>
    <m/>
    <m/>
    <m/>
    <m/>
    <x v="5425"/>
    <m/>
    <m/>
  </r>
  <r>
    <x v="75"/>
    <d v="2025-11-03T00:00:00"/>
    <s v="Powerplus - Ending in 8s30"/>
    <x v="1849"/>
    <n v="13.07"/>
    <x v="8"/>
    <s v="Shopping"/>
    <m/>
    <m/>
    <m/>
    <m/>
    <m/>
    <m/>
    <m/>
    <x v="1704"/>
    <m/>
    <m/>
  </r>
  <r>
    <x v="71"/>
    <d v="2025-10-03T00:00:00"/>
    <s v="Powerplus - Ending in 8s30"/>
    <x v="1849"/>
    <n v="13.07"/>
    <x v="8"/>
    <s v="Shopping"/>
    <m/>
    <m/>
    <m/>
    <m/>
    <m/>
    <m/>
    <m/>
    <x v="1704"/>
    <m/>
    <m/>
  </r>
  <r>
    <x v="72"/>
    <d v="2025-09-02T00:00:00"/>
    <s v="Powerplus - Ending in 8s30"/>
    <x v="1849"/>
    <n v="13.07"/>
    <x v="8"/>
    <s v="Shopping"/>
    <m/>
    <m/>
    <m/>
    <m/>
    <m/>
    <m/>
    <m/>
    <x v="1704"/>
    <m/>
    <m/>
  </r>
  <r>
    <x v="74"/>
    <d v="2025-06-10T00:00:00"/>
    <s v="Powerplus - Ending in 8s30"/>
    <x v="1849"/>
    <n v="13.07"/>
    <x v="8"/>
    <s v="Shopping"/>
    <m/>
    <m/>
    <m/>
    <m/>
    <m/>
    <m/>
    <m/>
    <x v="1704"/>
    <m/>
    <m/>
  </r>
  <r>
    <x v="74"/>
    <d v="2025-06-02T00:00:00"/>
    <s v="Powerplus - Ending in 8s30"/>
    <x v="1849"/>
    <n v="13.07"/>
    <x v="8"/>
    <s v="Shopping"/>
    <m/>
    <m/>
    <m/>
    <m/>
    <m/>
    <m/>
    <m/>
    <x v="1704"/>
    <m/>
    <m/>
  </r>
  <r>
    <x v="71"/>
    <d v="2025-10-13T00:00:00"/>
    <s v="Cash Rewards Visa Signature - Ending in 5913"/>
    <x v="6079"/>
    <n v="13.03"/>
    <x v="1"/>
    <s v="Restaurants"/>
    <m/>
    <m/>
    <m/>
    <m/>
    <m/>
    <m/>
    <m/>
    <x v="5426"/>
    <m/>
    <m/>
  </r>
  <r>
    <x v="72"/>
    <d v="2025-09-14T00:00:00"/>
    <s v="American Express"/>
    <x v="5947"/>
    <n v="13.03"/>
    <x v="8"/>
    <s v="Shopping"/>
    <m/>
    <m/>
    <m/>
    <m/>
    <m/>
    <m/>
    <m/>
    <x v="5294"/>
    <m/>
    <m/>
  </r>
  <r>
    <x v="74"/>
    <d v="2025-06-29T00:00:00"/>
    <s v="American Express"/>
    <x v="5430"/>
    <n v="12.99"/>
    <x v="19"/>
    <s v="House Maintenance"/>
    <m/>
    <m/>
    <m/>
    <m/>
    <m/>
    <m/>
    <m/>
    <x v="4814"/>
    <m/>
    <m/>
  </r>
  <r>
    <x v="72"/>
    <d v="2025-09-07T00:00:00"/>
    <s v="American Express"/>
    <x v="6080"/>
    <n v="12.81"/>
    <x v="1"/>
    <s v="Restaurants"/>
    <m/>
    <m/>
    <m/>
    <m/>
    <m/>
    <m/>
    <m/>
    <x v="5427"/>
    <m/>
    <m/>
  </r>
  <r>
    <x v="71"/>
    <d v="2025-10-14T00:00:00"/>
    <s v="American Express"/>
    <x v="6081"/>
    <n v="12.76"/>
    <x v="1"/>
    <s v="Restaurants"/>
    <m/>
    <m/>
    <m/>
    <m/>
    <m/>
    <m/>
    <m/>
    <x v="5428"/>
    <m/>
    <m/>
  </r>
  <r>
    <x v="71"/>
    <d v="2025-10-16T00:00:00"/>
    <s v="American Express"/>
    <x v="6082"/>
    <n v="12.73"/>
    <x v="1"/>
    <s v="Restaurants"/>
    <m/>
    <m/>
    <m/>
    <m/>
    <m/>
    <m/>
    <m/>
    <x v="5429"/>
    <m/>
    <m/>
  </r>
  <r>
    <x v="74"/>
    <d v="2025-06-22T00:00:00"/>
    <s v="American Express"/>
    <x v="6083"/>
    <n v="12.67"/>
    <x v="1"/>
    <s v="Restaurants"/>
    <m/>
    <m/>
    <m/>
    <m/>
    <m/>
    <m/>
    <m/>
    <x v="5430"/>
    <m/>
    <m/>
  </r>
  <r>
    <x v="71"/>
    <d v="2025-10-04T00:00:00"/>
    <s v="American Express"/>
    <x v="6084"/>
    <n v="12.34"/>
    <x v="1"/>
    <s v="Restaurants"/>
    <m/>
    <m/>
    <m/>
    <m/>
    <m/>
    <m/>
    <m/>
    <x v="5431"/>
    <m/>
    <m/>
  </r>
  <r>
    <x v="71"/>
    <d v="2025-10-27T00:00:00"/>
    <s v="American Express"/>
    <x v="6085"/>
    <n v="12.14"/>
    <x v="20"/>
    <s v="Dry Cleaning"/>
    <m/>
    <m/>
    <m/>
    <m/>
    <m/>
    <m/>
    <m/>
    <x v="5432"/>
    <m/>
    <m/>
  </r>
  <r>
    <x v="73"/>
    <d v="2025-07-23T00:00:00"/>
    <s v="American Express"/>
    <x v="5789"/>
    <n v="12"/>
    <x v="1"/>
    <s v="Restaurants"/>
    <m/>
    <m/>
    <m/>
    <m/>
    <m/>
    <m/>
    <m/>
    <x v="5144"/>
    <m/>
    <m/>
  </r>
  <r>
    <x v="73"/>
    <d v="2025-07-15T00:00:00"/>
    <s v="American Express"/>
    <x v="5394"/>
    <n v="11.91"/>
    <x v="0"/>
    <s v="Amazon"/>
    <m/>
    <m/>
    <m/>
    <m/>
    <m/>
    <m/>
    <m/>
    <x v="4783"/>
    <m/>
    <m/>
  </r>
  <r>
    <x v="72"/>
    <d v="2025-09-13T00:00:00"/>
    <s v="American Express"/>
    <x v="5362"/>
    <n v="11.85"/>
    <x v="4"/>
    <s v="Day Care"/>
    <m/>
    <m/>
    <m/>
    <m/>
    <m/>
    <m/>
    <m/>
    <x v="4769"/>
    <m/>
    <m/>
  </r>
  <r>
    <x v="71"/>
    <d v="2025-10-17T00:00:00"/>
    <s v="Cash Rewards Visa Signature - Ending in 5913"/>
    <x v="6086"/>
    <n v="11.65"/>
    <x v="7"/>
    <m/>
    <m/>
    <m/>
    <m/>
    <m/>
    <m/>
    <m/>
    <m/>
    <x v="5433"/>
    <m/>
    <m/>
  </r>
  <r>
    <x v="71"/>
    <d v="2025-10-09T00:00:00"/>
    <s v="American Express"/>
    <x v="6087"/>
    <n v="11.63"/>
    <x v="7"/>
    <m/>
    <m/>
    <m/>
    <m/>
    <m/>
    <m/>
    <m/>
    <m/>
    <x v="5434"/>
    <m/>
    <m/>
  </r>
  <r>
    <x v="71"/>
    <d v="2025-10-07T00:00:00"/>
    <s v="American Express"/>
    <x v="6088"/>
    <n v="11.46"/>
    <x v="7"/>
    <m/>
    <m/>
    <m/>
    <m/>
    <m/>
    <m/>
    <m/>
    <m/>
    <x v="5435"/>
    <m/>
    <m/>
  </r>
  <r>
    <x v="74"/>
    <d v="2025-06-28T00:00:00"/>
    <s v="American Express"/>
    <x v="4663"/>
    <n v="11.2"/>
    <x v="24"/>
    <s v="Travel"/>
    <m/>
    <m/>
    <m/>
    <m/>
    <m/>
    <m/>
    <m/>
    <x v="4133"/>
    <m/>
    <m/>
  </r>
  <r>
    <x v="74"/>
    <d v="2025-06-28T00:00:00"/>
    <s v="American Express"/>
    <x v="4663"/>
    <n v="11.2"/>
    <x v="24"/>
    <s v="Travel"/>
    <m/>
    <m/>
    <m/>
    <m/>
    <m/>
    <m/>
    <m/>
    <x v="4133"/>
    <m/>
    <m/>
  </r>
  <r>
    <x v="74"/>
    <d v="2025-06-28T00:00:00"/>
    <s v="American Express"/>
    <x v="4663"/>
    <n v="11.2"/>
    <x v="24"/>
    <s v="Travel"/>
    <m/>
    <m/>
    <m/>
    <m/>
    <m/>
    <m/>
    <m/>
    <x v="4133"/>
    <m/>
    <m/>
  </r>
  <r>
    <x v="74"/>
    <d v="2025-06-28T00:00:00"/>
    <s v="American Express"/>
    <x v="4663"/>
    <n v="11.2"/>
    <x v="24"/>
    <s v="Travel"/>
    <m/>
    <m/>
    <m/>
    <m/>
    <m/>
    <m/>
    <m/>
    <x v="4133"/>
    <m/>
    <m/>
  </r>
  <r>
    <x v="71"/>
    <d v="2025-10-26T00:00:00"/>
    <s v="American Express"/>
    <x v="6089"/>
    <n v="11.16"/>
    <x v="1"/>
    <s v="Restaurants"/>
    <m/>
    <m/>
    <m/>
    <m/>
    <m/>
    <m/>
    <m/>
    <x v="5436"/>
    <m/>
    <m/>
  </r>
  <r>
    <x v="71"/>
    <d v="2025-10-21T00:00:00"/>
    <s v="Cash Rewards Visa Signature - Ending in 5913"/>
    <x v="6090"/>
    <n v="11"/>
    <x v="3"/>
    <s v="Delete"/>
    <m/>
    <m/>
    <m/>
    <m/>
    <m/>
    <m/>
    <m/>
    <x v="5437"/>
    <m/>
    <m/>
  </r>
  <r>
    <x v="72"/>
    <d v="2025-09-22T00:00:00"/>
    <s v="Cash Rewards Visa Signature - Ending in 5913"/>
    <x v="6091"/>
    <n v="11"/>
    <x v="19"/>
    <s v="House Maintenance"/>
    <m/>
    <m/>
    <m/>
    <m/>
    <m/>
    <m/>
    <m/>
    <x v="5438"/>
    <m/>
    <m/>
  </r>
  <r>
    <x v="76"/>
    <d v="2025-08-21T00:00:00"/>
    <s v="Cash Rewards Visa Signature - Ending in 5913"/>
    <x v="6092"/>
    <n v="11"/>
    <x v="19"/>
    <s v="House Maintenance"/>
    <m/>
    <m/>
    <m/>
    <m/>
    <m/>
    <m/>
    <m/>
    <x v="5439"/>
    <m/>
    <m/>
  </r>
  <r>
    <x v="73"/>
    <d v="2025-07-21T00:00:00"/>
    <s v="Cash Rewards Visa Signature - Ending in 5913"/>
    <x v="6093"/>
    <n v="11"/>
    <x v="19"/>
    <s v="House Maintenance"/>
    <m/>
    <m/>
    <m/>
    <m/>
    <m/>
    <m/>
    <m/>
    <x v="5440"/>
    <m/>
    <m/>
  </r>
  <r>
    <x v="74"/>
    <d v="2025-06-22T00:00:00"/>
    <s v="Cash Rewards Visa Signature - Ending in 5913"/>
    <x v="6094"/>
    <n v="11"/>
    <x v="19"/>
    <s v="House Maintenance"/>
    <m/>
    <m/>
    <m/>
    <m/>
    <m/>
    <m/>
    <m/>
    <x v="5441"/>
    <m/>
    <m/>
  </r>
  <r>
    <x v="73"/>
    <d v="2025-07-07T00:00:00"/>
    <s v="American Express"/>
    <x v="5989"/>
    <n v="11"/>
    <x v="1"/>
    <s v="Restaurants"/>
    <m/>
    <m/>
    <m/>
    <m/>
    <m/>
    <m/>
    <m/>
    <x v="5336"/>
    <m/>
    <m/>
  </r>
  <r>
    <x v="76"/>
    <d v="2025-08-22T00:00:00"/>
    <s v="American Express"/>
    <x v="4991"/>
    <n v="10.88"/>
    <x v="0"/>
    <s v="Amazon"/>
    <m/>
    <m/>
    <m/>
    <m/>
    <m/>
    <m/>
    <m/>
    <x v="4430"/>
    <m/>
    <m/>
  </r>
  <r>
    <x v="73"/>
    <d v="2025-07-22T00:00:00"/>
    <s v="American Express"/>
    <x v="4991"/>
    <n v="10.88"/>
    <x v="0"/>
    <s v="Amazon"/>
    <m/>
    <m/>
    <m/>
    <m/>
    <m/>
    <m/>
    <m/>
    <x v="4430"/>
    <m/>
    <m/>
  </r>
  <r>
    <x v="74"/>
    <d v="2025-06-22T00:00:00"/>
    <s v="American Express"/>
    <x v="4991"/>
    <n v="10.88"/>
    <x v="0"/>
    <s v="Amazon"/>
    <m/>
    <m/>
    <m/>
    <m/>
    <m/>
    <m/>
    <m/>
    <x v="4430"/>
    <m/>
    <m/>
  </r>
  <r>
    <x v="72"/>
    <d v="2025-09-26T00:00:00"/>
    <s v="American Express"/>
    <x v="5106"/>
    <n v="10.85"/>
    <x v="4"/>
    <s v="Day Care"/>
    <m/>
    <m/>
    <m/>
    <m/>
    <m/>
    <m/>
    <m/>
    <x v="4538"/>
    <m/>
    <m/>
  </r>
  <r>
    <x v="74"/>
    <d v="2025-06-23T00:00:00"/>
    <s v="American Express"/>
    <x v="5106"/>
    <n v="10.85"/>
    <x v="4"/>
    <s v="Day Care"/>
    <m/>
    <m/>
    <m/>
    <m/>
    <m/>
    <m/>
    <m/>
    <x v="4538"/>
    <m/>
    <m/>
  </r>
  <r>
    <x v="72"/>
    <d v="2025-09-02T00:00:00"/>
    <s v="American Express"/>
    <x v="5041"/>
    <n v="10.84"/>
    <x v="5"/>
    <s v="Groceries"/>
    <m/>
    <m/>
    <m/>
    <m/>
    <m/>
    <m/>
    <m/>
    <x v="4478"/>
    <m/>
    <m/>
  </r>
  <r>
    <x v="73"/>
    <d v="2025-07-14T00:00:00"/>
    <s v="Cash Rewards Visa Signature - Ending in 5913"/>
    <x v="6095"/>
    <n v="10.8"/>
    <x v="10"/>
    <s v="Entertainment"/>
    <m/>
    <m/>
    <m/>
    <m/>
    <m/>
    <m/>
    <m/>
    <x v="5442"/>
    <m/>
    <m/>
  </r>
  <r>
    <x v="71"/>
    <d v="2025-10-12T00:00:00"/>
    <s v="Cash Rewards Visa Signature - Ending in 5913"/>
    <x v="6096"/>
    <n v="10.7"/>
    <x v="7"/>
    <m/>
    <m/>
    <m/>
    <m/>
    <m/>
    <m/>
    <m/>
    <m/>
    <x v="5443"/>
    <m/>
    <m/>
  </r>
  <r>
    <x v="71"/>
    <d v="2025-10-16T00:00:00"/>
    <s v="American Express"/>
    <x v="6066"/>
    <n v="10.51"/>
    <x v="1"/>
    <s v="Restaurants"/>
    <m/>
    <m/>
    <m/>
    <m/>
    <m/>
    <m/>
    <m/>
    <x v="5413"/>
    <m/>
    <m/>
  </r>
  <r>
    <x v="72"/>
    <d v="2025-09-03T00:00:00"/>
    <s v="American Express"/>
    <x v="5120"/>
    <n v="10.34"/>
    <x v="1"/>
    <s v="Restaurants"/>
    <m/>
    <m/>
    <m/>
    <m/>
    <m/>
    <m/>
    <m/>
    <x v="4552"/>
    <m/>
    <m/>
  </r>
  <r>
    <x v="76"/>
    <d v="2025-08-18T00:00:00"/>
    <s v="American Express"/>
    <x v="5671"/>
    <n v="10.29"/>
    <x v="1"/>
    <s v="Restaurants"/>
    <m/>
    <m/>
    <m/>
    <m/>
    <m/>
    <m/>
    <m/>
    <x v="5043"/>
    <m/>
    <m/>
  </r>
  <r>
    <x v="71"/>
    <d v="2025-10-15T00:00:00"/>
    <s v="American Express"/>
    <x v="6097"/>
    <n v="10.25"/>
    <x v="1"/>
    <s v="Restaurants"/>
    <m/>
    <m/>
    <m/>
    <m/>
    <m/>
    <m/>
    <m/>
    <x v="5444"/>
    <m/>
    <m/>
  </r>
  <r>
    <x v="76"/>
    <d v="2025-08-05T00:00:00"/>
    <s v="American Express"/>
    <x v="6098"/>
    <n v="10.199999999999999"/>
    <x v="3"/>
    <s v="Delete"/>
    <m/>
    <m/>
    <m/>
    <m/>
    <m/>
    <m/>
    <m/>
    <x v="5445"/>
    <m/>
    <m/>
  </r>
  <r>
    <x v="72"/>
    <d v="2025-09-01T00:00:00"/>
    <s v="American Express"/>
    <x v="6099"/>
    <n v="10.17"/>
    <x v="1"/>
    <s v="Restaurants"/>
    <m/>
    <m/>
    <m/>
    <m/>
    <m/>
    <m/>
    <m/>
    <x v="5446"/>
    <m/>
    <m/>
  </r>
  <r>
    <x v="71"/>
    <d v="2025-10-04T00:00:00"/>
    <s v="American Express"/>
    <x v="5917"/>
    <n v="10.16"/>
    <x v="7"/>
    <m/>
    <m/>
    <m/>
    <m/>
    <m/>
    <m/>
    <m/>
    <m/>
    <x v="5264"/>
    <m/>
    <m/>
  </r>
  <r>
    <x v="76"/>
    <d v="2025-08-27T00:00:00"/>
    <s v="American Express"/>
    <x v="6100"/>
    <n v="10"/>
    <x v="1"/>
    <s v="Restaurants"/>
    <m/>
    <m/>
    <m/>
    <m/>
    <m/>
    <m/>
    <m/>
    <x v="5447"/>
    <m/>
    <m/>
  </r>
  <r>
    <x v="76"/>
    <d v="2025-08-27T00:00:00"/>
    <s v="American Express"/>
    <x v="6100"/>
    <n v="10"/>
    <x v="1"/>
    <s v="Restaurants"/>
    <m/>
    <m/>
    <m/>
    <m/>
    <m/>
    <m/>
    <m/>
    <x v="5447"/>
    <m/>
    <m/>
  </r>
  <r>
    <x v="76"/>
    <d v="2025-08-02T00:00:00"/>
    <s v="American Express"/>
    <x v="5048"/>
    <n v="10"/>
    <x v="10"/>
    <s v="Entertainment"/>
    <m/>
    <m/>
    <m/>
    <m/>
    <m/>
    <m/>
    <m/>
    <x v="4485"/>
    <m/>
    <m/>
  </r>
  <r>
    <x v="76"/>
    <d v="2025-08-02T00:00:00"/>
    <s v="American Express"/>
    <x v="5048"/>
    <n v="10"/>
    <x v="10"/>
    <s v="Entertainment"/>
    <m/>
    <m/>
    <m/>
    <m/>
    <m/>
    <m/>
    <m/>
    <x v="4485"/>
    <m/>
    <m/>
  </r>
  <r>
    <x v="74"/>
    <d v="2025-06-10T00:00:00"/>
    <s v="American Express"/>
    <x v="6101"/>
    <n v="10"/>
    <x v="7"/>
    <m/>
    <m/>
    <m/>
    <m/>
    <m/>
    <m/>
    <m/>
    <m/>
    <x v="5448"/>
    <m/>
    <m/>
  </r>
  <r>
    <x v="71"/>
    <d v="2025-10-13T00:00:00"/>
    <s v="Cash Rewards Visa Signature - Ending in 5913"/>
    <x v="6102"/>
    <n v="9.84"/>
    <x v="5"/>
    <s v="Groceries"/>
    <m/>
    <m/>
    <m/>
    <m/>
    <m/>
    <m/>
    <m/>
    <x v="5449"/>
    <m/>
    <m/>
  </r>
  <r>
    <x v="73"/>
    <d v="2025-07-30T00:00:00"/>
    <s v="American Express"/>
    <x v="5394"/>
    <n v="9.7899999999999991"/>
    <x v="0"/>
    <s v="Amazon"/>
    <m/>
    <m/>
    <m/>
    <m/>
    <m/>
    <m/>
    <m/>
    <x v="4783"/>
    <m/>
    <m/>
  </r>
  <r>
    <x v="72"/>
    <d v="2025-09-16T00:00:00"/>
    <s v="American Express"/>
    <x v="5945"/>
    <n v="9.74"/>
    <x v="5"/>
    <s v="Groceries"/>
    <m/>
    <m/>
    <m/>
    <m/>
    <m/>
    <m/>
    <m/>
    <x v="5292"/>
    <m/>
    <m/>
  </r>
  <r>
    <x v="73"/>
    <d v="2025-07-01T00:00:00"/>
    <s v="American Express"/>
    <x v="5945"/>
    <n v="9.74"/>
    <x v="5"/>
    <s v="Groceries"/>
    <m/>
    <m/>
    <m/>
    <m/>
    <m/>
    <m/>
    <m/>
    <x v="5292"/>
    <m/>
    <m/>
  </r>
  <r>
    <x v="71"/>
    <d v="2025-10-12T00:00:00"/>
    <s v="Cash Rewards Visa Signature - Ending in 5913"/>
    <x v="6103"/>
    <n v="9.67"/>
    <x v="7"/>
    <m/>
    <m/>
    <m/>
    <m/>
    <m/>
    <m/>
    <m/>
    <m/>
    <x v="5450"/>
    <m/>
    <m/>
  </r>
  <r>
    <x v="71"/>
    <d v="2025-10-14T00:00:00"/>
    <s v="Cash Rewards Visa Signature - Ending in 5913"/>
    <x v="6104"/>
    <n v="9.61"/>
    <x v="7"/>
    <m/>
    <m/>
    <m/>
    <m/>
    <m/>
    <m/>
    <m/>
    <m/>
    <x v="5451"/>
    <m/>
    <m/>
  </r>
  <r>
    <x v="76"/>
    <d v="2025-08-03T00:00:00"/>
    <s v="American Express"/>
    <x v="6105"/>
    <n v="9.4"/>
    <x v="3"/>
    <s v="Delete"/>
    <m/>
    <m/>
    <m/>
    <m/>
    <m/>
    <m/>
    <m/>
    <x v="5452"/>
    <m/>
    <m/>
  </r>
  <r>
    <x v="76"/>
    <d v="2025-08-04T00:00:00"/>
    <s v="American Express"/>
    <x v="6106"/>
    <n v="9.27"/>
    <x v="3"/>
    <s v="Delete"/>
    <m/>
    <m/>
    <m/>
    <m/>
    <m/>
    <m/>
    <m/>
    <x v="5453"/>
    <m/>
    <m/>
  </r>
  <r>
    <x v="74"/>
    <d v="2025-06-03T00:00:00"/>
    <s v="Cash Rewards Visa Signature - Ending in 5913"/>
    <x v="6107"/>
    <n v="9.11"/>
    <x v="7"/>
    <m/>
    <m/>
    <m/>
    <m/>
    <m/>
    <m/>
    <m/>
    <m/>
    <x v="5454"/>
    <m/>
    <m/>
  </r>
  <r>
    <x v="72"/>
    <d v="2025-09-20T00:00:00"/>
    <s v="American Express"/>
    <x v="6108"/>
    <n v="9"/>
    <x v="1"/>
    <s v="Restaurants"/>
    <m/>
    <m/>
    <m/>
    <m/>
    <m/>
    <m/>
    <m/>
    <x v="5455"/>
    <m/>
    <m/>
  </r>
  <r>
    <x v="71"/>
    <d v="2025-10-22T00:00:00"/>
    <s v="American Express"/>
    <x v="5287"/>
    <n v="8.99"/>
    <x v="3"/>
    <s v="Delete"/>
    <m/>
    <m/>
    <m/>
    <m/>
    <m/>
    <m/>
    <m/>
    <x v="4704"/>
    <m/>
    <m/>
  </r>
  <r>
    <x v="73"/>
    <d v="2025-07-08T00:00:00"/>
    <s v="Cash Rewards Visa Signature - Ending in 5913"/>
    <x v="6109"/>
    <n v="8.9499999999999993"/>
    <x v="1"/>
    <s v="Restaurants"/>
    <m/>
    <m/>
    <m/>
    <m/>
    <m/>
    <m/>
    <m/>
    <x v="5456"/>
    <m/>
    <m/>
  </r>
  <r>
    <x v="73"/>
    <d v="2025-07-19T00:00:00"/>
    <s v="American Express"/>
    <x v="6110"/>
    <n v="8.82"/>
    <x v="24"/>
    <s v="Travel"/>
    <m/>
    <m/>
    <m/>
    <m/>
    <m/>
    <m/>
    <m/>
    <x v="5457"/>
    <m/>
    <m/>
  </r>
  <r>
    <x v="71"/>
    <d v="2025-10-12T00:00:00"/>
    <s v="Cash Rewards Visa Signature - Ending in 5913"/>
    <x v="4982"/>
    <n v="8.7100000000000009"/>
    <x v="10"/>
    <s v="Entertainment"/>
    <m/>
    <m/>
    <m/>
    <m/>
    <m/>
    <m/>
    <m/>
    <x v="4421"/>
    <m/>
    <m/>
  </r>
  <r>
    <x v="72"/>
    <d v="2025-09-12T00:00:00"/>
    <s v="Cash Rewards Visa Signature - Ending in 5913"/>
    <x v="4982"/>
    <n v="8.7100000000000009"/>
    <x v="10"/>
    <s v="Entertainment"/>
    <m/>
    <m/>
    <m/>
    <m/>
    <m/>
    <m/>
    <m/>
    <x v="4421"/>
    <m/>
    <m/>
  </r>
  <r>
    <x v="76"/>
    <d v="2025-08-12T00:00:00"/>
    <s v="Cash Rewards Visa Signature - Ending in 5913"/>
    <x v="4982"/>
    <n v="8.7100000000000009"/>
    <x v="10"/>
    <s v="Entertainment"/>
    <m/>
    <m/>
    <m/>
    <m/>
    <m/>
    <m/>
    <m/>
    <x v="4421"/>
    <m/>
    <m/>
  </r>
  <r>
    <x v="73"/>
    <d v="2025-07-13T00:00:00"/>
    <s v="Cash Rewards Visa Signature - Ending in 5913"/>
    <x v="4982"/>
    <n v="8.7100000000000009"/>
    <x v="10"/>
    <s v="Entertainment"/>
    <m/>
    <m/>
    <m/>
    <m/>
    <m/>
    <m/>
    <m/>
    <x v="4421"/>
    <m/>
    <m/>
  </r>
  <r>
    <x v="74"/>
    <d v="2025-06-12T00:00:00"/>
    <s v="Cash Rewards Visa Signature - Ending in 5913"/>
    <x v="4982"/>
    <n v="8.7100000000000009"/>
    <x v="10"/>
    <s v="Entertainment"/>
    <m/>
    <m/>
    <m/>
    <m/>
    <m/>
    <m/>
    <m/>
    <x v="4421"/>
    <m/>
    <m/>
  </r>
  <r>
    <x v="74"/>
    <d v="2025-06-20T00:00:00"/>
    <s v="American Express"/>
    <x v="6111"/>
    <n v="8.7100000000000009"/>
    <x v="24"/>
    <s v="Travel"/>
    <m/>
    <m/>
    <m/>
    <m/>
    <m/>
    <m/>
    <m/>
    <x v="5458"/>
    <m/>
    <m/>
  </r>
  <r>
    <x v="74"/>
    <d v="2025-06-17T00:00:00"/>
    <s v="American Express"/>
    <x v="4991"/>
    <n v="8.6999999999999993"/>
    <x v="0"/>
    <s v="Amazon"/>
    <m/>
    <m/>
    <m/>
    <m/>
    <m/>
    <m/>
    <m/>
    <x v="4430"/>
    <m/>
    <m/>
  </r>
  <r>
    <x v="74"/>
    <d v="2025-06-17T00:00:00"/>
    <s v="American Express"/>
    <x v="5147"/>
    <n v="8.6"/>
    <x v="1"/>
    <s v="Restaurants"/>
    <m/>
    <m/>
    <m/>
    <m/>
    <m/>
    <m/>
    <m/>
    <x v="4579"/>
    <m/>
    <m/>
  </r>
  <r>
    <x v="71"/>
    <d v="2025-10-21T00:00:00"/>
    <s v="American Express"/>
    <x v="6112"/>
    <n v="8.26"/>
    <x v="3"/>
    <s v="Delete"/>
    <m/>
    <m/>
    <m/>
    <m/>
    <m/>
    <m/>
    <m/>
    <x v="5459"/>
    <m/>
    <m/>
  </r>
  <r>
    <x v="71"/>
    <d v="2025-10-19T00:00:00"/>
    <s v="Cash Rewards Visa Signature - Ending in 5913"/>
    <x v="6113"/>
    <n v="8.2100000000000009"/>
    <x v="7"/>
    <m/>
    <m/>
    <m/>
    <m/>
    <m/>
    <m/>
    <m/>
    <m/>
    <x v="5460"/>
    <m/>
    <m/>
  </r>
  <r>
    <x v="74"/>
    <d v="2025-06-23T00:00:00"/>
    <s v="Cash Rewards Visa Signature - Ending in 5913"/>
    <x v="255"/>
    <n v="8.1999999999999993"/>
    <x v="5"/>
    <s v="Groceries"/>
    <m/>
    <m/>
    <m/>
    <m/>
    <m/>
    <m/>
    <m/>
    <x v="253"/>
    <m/>
    <m/>
  </r>
  <r>
    <x v="76"/>
    <d v="2025-08-10T00:00:00"/>
    <s v="Cash Rewards Visa Signature - Ending in 5913"/>
    <x v="6114"/>
    <n v="8.19"/>
    <x v="5"/>
    <s v="Groceries"/>
    <m/>
    <m/>
    <m/>
    <m/>
    <m/>
    <m/>
    <m/>
    <x v="5461"/>
    <m/>
    <m/>
  </r>
  <r>
    <x v="72"/>
    <d v="2025-09-03T00:00:00"/>
    <s v="American Express"/>
    <x v="5394"/>
    <n v="8.17"/>
    <x v="0"/>
    <s v="Amazon"/>
    <m/>
    <m/>
    <m/>
    <m/>
    <m/>
    <m/>
    <m/>
    <x v="4783"/>
    <m/>
    <m/>
  </r>
  <r>
    <x v="74"/>
    <d v="2025-06-20T00:00:00"/>
    <s v="American Express"/>
    <x v="5930"/>
    <n v="8.17"/>
    <x v="1"/>
    <s v="Restaurants"/>
    <m/>
    <m/>
    <m/>
    <m/>
    <m/>
    <m/>
    <m/>
    <x v="5277"/>
    <m/>
    <m/>
  </r>
  <r>
    <x v="76"/>
    <d v="2025-08-05T00:00:00"/>
    <s v="American Express"/>
    <x v="5050"/>
    <n v="8.1"/>
    <x v="3"/>
    <s v="Delete"/>
    <m/>
    <m/>
    <m/>
    <m/>
    <m/>
    <m/>
    <m/>
    <x v="4487"/>
    <m/>
    <m/>
  </r>
  <r>
    <x v="76"/>
    <d v="2025-08-30T00:00:00"/>
    <s v="American Express"/>
    <x v="6115"/>
    <n v="8"/>
    <x v="10"/>
    <s v="Entertainment"/>
    <m/>
    <m/>
    <m/>
    <m/>
    <m/>
    <m/>
    <m/>
    <x v="5462"/>
    <m/>
    <m/>
  </r>
  <r>
    <x v="73"/>
    <d v="2025-07-24T00:00:00"/>
    <s v="American Express"/>
    <x v="1941"/>
    <n v="8"/>
    <x v="2"/>
    <s v="Transportation"/>
    <m/>
    <m/>
    <m/>
    <m/>
    <m/>
    <m/>
    <m/>
    <x v="1794"/>
    <m/>
    <m/>
  </r>
  <r>
    <x v="71"/>
    <d v="2025-10-15T00:00:00"/>
    <s v="Cash Rewards Visa Signature - Ending in 5913"/>
    <x v="6116"/>
    <n v="7.79"/>
    <x v="7"/>
    <m/>
    <m/>
    <m/>
    <m/>
    <m/>
    <m/>
    <m/>
    <m/>
    <x v="5463"/>
    <m/>
    <m/>
  </r>
  <r>
    <x v="73"/>
    <d v="2025-07-31T00:00:00"/>
    <s v="American Express"/>
    <x v="5147"/>
    <n v="7.36"/>
    <x v="1"/>
    <s v="Restaurants"/>
    <m/>
    <m/>
    <m/>
    <m/>
    <m/>
    <m/>
    <m/>
    <x v="4579"/>
    <m/>
    <m/>
  </r>
  <r>
    <x v="76"/>
    <d v="2025-08-06T00:00:00"/>
    <s v="American Express"/>
    <x v="5697"/>
    <n v="7.24"/>
    <x v="3"/>
    <s v="Delete"/>
    <m/>
    <m/>
    <m/>
    <m/>
    <m/>
    <m/>
    <m/>
    <x v="5069"/>
    <m/>
    <m/>
  </r>
  <r>
    <x v="76"/>
    <d v="2025-08-07T00:00:00"/>
    <s v="Cash Rewards Visa Signature - Ending in 5913"/>
    <x v="6117"/>
    <n v="7.15"/>
    <x v="3"/>
    <s v="Delete"/>
    <m/>
    <m/>
    <m/>
    <m/>
    <m/>
    <m/>
    <m/>
    <x v="5464"/>
    <m/>
    <m/>
  </r>
  <r>
    <x v="71"/>
    <d v="2025-10-20T00:00:00"/>
    <s v="American Express"/>
    <x v="6118"/>
    <n v="7.03"/>
    <x v="3"/>
    <s v="Delete"/>
    <m/>
    <m/>
    <m/>
    <m/>
    <m/>
    <m/>
    <m/>
    <x v="5465"/>
    <m/>
    <m/>
  </r>
  <r>
    <x v="76"/>
    <d v="2025-08-04T00:00:00"/>
    <s v="American Express"/>
    <x v="5939"/>
    <n v="6.99"/>
    <x v="3"/>
    <s v="Delete"/>
    <m/>
    <m/>
    <m/>
    <m/>
    <m/>
    <m/>
    <m/>
    <x v="5286"/>
    <m/>
    <m/>
  </r>
  <r>
    <x v="71"/>
    <d v="2025-10-13T00:00:00"/>
    <s v="Cash Rewards Visa Signature - Ending in 5913"/>
    <x v="6119"/>
    <n v="6.98"/>
    <x v="7"/>
    <m/>
    <m/>
    <m/>
    <m/>
    <m/>
    <m/>
    <m/>
    <m/>
    <x v="5466"/>
    <m/>
    <m/>
  </r>
  <r>
    <x v="71"/>
    <d v="2025-10-23T00:00:00"/>
    <s v="American Express"/>
    <x v="5147"/>
    <n v="6.88"/>
    <x v="3"/>
    <s v="Delete"/>
    <m/>
    <m/>
    <m/>
    <m/>
    <m/>
    <m/>
    <m/>
    <x v="4579"/>
    <m/>
    <m/>
  </r>
  <r>
    <x v="76"/>
    <d v="2025-08-01T00:00:00"/>
    <s v="American Express"/>
    <x v="6120"/>
    <n v="6.82"/>
    <x v="1"/>
    <s v="Restaurants"/>
    <m/>
    <m/>
    <m/>
    <m/>
    <m/>
    <m/>
    <m/>
    <x v="5467"/>
    <m/>
    <m/>
  </r>
  <r>
    <x v="71"/>
    <d v="2025-10-19T00:00:00"/>
    <s v="Cash Rewards Visa Signature - Ending in 5913"/>
    <x v="1412"/>
    <n v="6.72"/>
    <x v="7"/>
    <m/>
    <m/>
    <m/>
    <m/>
    <m/>
    <m/>
    <m/>
    <m/>
    <x v="1330"/>
    <m/>
    <m/>
  </r>
  <r>
    <x v="71"/>
    <d v="2025-10-31T00:00:00"/>
    <s v="American Express"/>
    <x v="6121"/>
    <n v="6.52"/>
    <x v="0"/>
    <s v="Amazon"/>
    <m/>
    <m/>
    <m/>
    <m/>
    <m/>
    <m/>
    <m/>
    <x v="5468"/>
    <m/>
    <m/>
  </r>
  <r>
    <x v="71"/>
    <d v="2025-10-13T00:00:00"/>
    <s v="American Express"/>
    <x v="6122"/>
    <n v="6.52"/>
    <x v="0"/>
    <s v="Amazon"/>
    <m/>
    <m/>
    <m/>
    <m/>
    <m/>
    <m/>
    <m/>
    <x v="5469"/>
    <m/>
    <m/>
  </r>
  <r>
    <x v="72"/>
    <d v="2025-09-30T00:00:00"/>
    <s v="American Express"/>
    <x v="6123"/>
    <n v="6.52"/>
    <x v="0"/>
    <s v="Amazon"/>
    <m/>
    <m/>
    <m/>
    <m/>
    <m/>
    <m/>
    <m/>
    <x v="5470"/>
    <m/>
    <m/>
  </r>
  <r>
    <x v="72"/>
    <d v="2025-09-13T00:00:00"/>
    <s v="American Express"/>
    <x v="6124"/>
    <n v="6.52"/>
    <x v="0"/>
    <s v="Amazon"/>
    <m/>
    <m/>
    <m/>
    <m/>
    <m/>
    <m/>
    <m/>
    <x v="5471"/>
    <m/>
    <m/>
  </r>
  <r>
    <x v="76"/>
    <d v="2025-08-31T00:00:00"/>
    <s v="American Express"/>
    <x v="6125"/>
    <n v="6.52"/>
    <x v="0"/>
    <s v="Amazon"/>
    <m/>
    <m/>
    <m/>
    <m/>
    <m/>
    <m/>
    <m/>
    <x v="5472"/>
    <m/>
    <m/>
  </r>
  <r>
    <x v="76"/>
    <d v="2025-08-13T00:00:00"/>
    <s v="American Express"/>
    <x v="6126"/>
    <n v="6.52"/>
    <x v="0"/>
    <s v="Amazon"/>
    <m/>
    <m/>
    <m/>
    <m/>
    <m/>
    <m/>
    <m/>
    <x v="5473"/>
    <m/>
    <m/>
  </r>
  <r>
    <x v="73"/>
    <d v="2025-07-31T00:00:00"/>
    <s v="American Express"/>
    <x v="6127"/>
    <n v="6.52"/>
    <x v="0"/>
    <s v="Amazon"/>
    <m/>
    <m/>
    <m/>
    <m/>
    <m/>
    <m/>
    <m/>
    <x v="5474"/>
    <m/>
    <m/>
  </r>
  <r>
    <x v="73"/>
    <d v="2025-07-16T00:00:00"/>
    <s v="American Express"/>
    <x v="5394"/>
    <n v="6.52"/>
    <x v="0"/>
    <s v="Amazon"/>
    <m/>
    <m/>
    <m/>
    <m/>
    <m/>
    <m/>
    <m/>
    <x v="4783"/>
    <m/>
    <m/>
  </r>
  <r>
    <x v="73"/>
    <d v="2025-07-13T00:00:00"/>
    <s v="American Express"/>
    <x v="6128"/>
    <n v="6.52"/>
    <x v="0"/>
    <s v="Amazon"/>
    <m/>
    <m/>
    <m/>
    <m/>
    <m/>
    <m/>
    <m/>
    <x v="5475"/>
    <m/>
    <m/>
  </r>
  <r>
    <x v="74"/>
    <d v="2025-06-30T00:00:00"/>
    <s v="American Express"/>
    <x v="6129"/>
    <n v="6.52"/>
    <x v="0"/>
    <s v="Amazon"/>
    <m/>
    <m/>
    <m/>
    <m/>
    <m/>
    <m/>
    <m/>
    <x v="5476"/>
    <m/>
    <m/>
  </r>
  <r>
    <x v="74"/>
    <d v="2025-06-13T00:00:00"/>
    <s v="American Express"/>
    <x v="6130"/>
    <n v="6.52"/>
    <x v="0"/>
    <s v="Amazon"/>
    <m/>
    <m/>
    <m/>
    <m/>
    <m/>
    <m/>
    <m/>
    <x v="5477"/>
    <m/>
    <m/>
  </r>
  <r>
    <x v="71"/>
    <d v="2025-10-12T00:00:00"/>
    <s v="Cash Rewards Visa Signature - Ending in 5913"/>
    <x v="6131"/>
    <n v="6.4"/>
    <x v="7"/>
    <m/>
    <m/>
    <m/>
    <m/>
    <m/>
    <m/>
    <m/>
    <m/>
    <x v="5478"/>
    <m/>
    <m/>
  </r>
  <r>
    <x v="74"/>
    <d v="2025-06-06T00:00:00"/>
    <s v="American Express"/>
    <x v="5163"/>
    <n v="6.32"/>
    <x v="1"/>
    <s v="Restaurants"/>
    <m/>
    <m/>
    <m/>
    <m/>
    <m/>
    <m/>
    <m/>
    <x v="4595"/>
    <m/>
    <m/>
  </r>
  <r>
    <x v="73"/>
    <d v="2025-07-18T00:00:00"/>
    <s v="American Express"/>
    <x v="4817"/>
    <n v="6.29"/>
    <x v="8"/>
    <s v="Shopping"/>
    <m/>
    <m/>
    <m/>
    <m/>
    <m/>
    <m/>
    <m/>
    <x v="4263"/>
    <m/>
    <m/>
  </r>
  <r>
    <x v="71"/>
    <d v="2025-10-13T00:00:00"/>
    <s v="Cash Rewards Visa Signature - Ending in 5913"/>
    <x v="6132"/>
    <n v="6.28"/>
    <x v="7"/>
    <m/>
    <m/>
    <m/>
    <m/>
    <m/>
    <m/>
    <m/>
    <m/>
    <x v="5479"/>
    <m/>
    <m/>
  </r>
  <r>
    <x v="71"/>
    <d v="2025-10-09T00:00:00"/>
    <s v="American Express"/>
    <x v="6133"/>
    <n v="6.18"/>
    <x v="1"/>
    <s v="Restaurants"/>
    <m/>
    <m/>
    <m/>
    <m/>
    <m/>
    <m/>
    <m/>
    <x v="5480"/>
    <m/>
    <m/>
  </r>
  <r>
    <x v="71"/>
    <d v="2025-10-17T00:00:00"/>
    <s v="American Express"/>
    <x v="6134"/>
    <n v="6.09"/>
    <x v="1"/>
    <s v="Restaurants"/>
    <m/>
    <m/>
    <m/>
    <m/>
    <m/>
    <m/>
    <m/>
    <x v="5481"/>
    <m/>
    <m/>
  </r>
  <r>
    <x v="71"/>
    <d v="2025-10-29T00:00:00"/>
    <s v="American Express"/>
    <x v="5147"/>
    <n v="6.01"/>
    <x v="1"/>
    <s v="Restaurants"/>
    <m/>
    <m/>
    <m/>
    <m/>
    <m/>
    <m/>
    <m/>
    <x v="4579"/>
    <m/>
    <m/>
  </r>
  <r>
    <x v="76"/>
    <d v="2025-08-14T00:00:00"/>
    <s v="American Express"/>
    <x v="5394"/>
    <n v="5.99"/>
    <x v="0"/>
    <s v="Amazon"/>
    <m/>
    <m/>
    <m/>
    <m/>
    <m/>
    <m/>
    <m/>
    <x v="4783"/>
    <m/>
    <m/>
  </r>
  <r>
    <x v="73"/>
    <d v="2025-07-18T00:00:00"/>
    <s v="American Express"/>
    <x v="6135"/>
    <n v="5.99"/>
    <x v="5"/>
    <s v="Groceries"/>
    <m/>
    <m/>
    <m/>
    <m/>
    <m/>
    <m/>
    <m/>
    <x v="5482"/>
    <m/>
    <m/>
  </r>
  <r>
    <x v="71"/>
    <d v="2025-10-29T00:00:00"/>
    <s v="American Express"/>
    <x v="6038"/>
    <n v="5.96"/>
    <x v="1"/>
    <s v="Restaurants"/>
    <m/>
    <m/>
    <m/>
    <m/>
    <m/>
    <m/>
    <m/>
    <x v="5385"/>
    <m/>
    <m/>
  </r>
  <r>
    <x v="71"/>
    <d v="2025-10-24T00:00:00"/>
    <s v="Cash Rewards Visa Signature - Ending in 5913"/>
    <x v="6136"/>
    <n v="5.64"/>
    <x v="3"/>
    <s v="Delete"/>
    <m/>
    <m/>
    <m/>
    <m/>
    <m/>
    <m/>
    <m/>
    <x v="5483"/>
    <m/>
    <m/>
  </r>
  <r>
    <x v="73"/>
    <d v="2025-07-24T00:00:00"/>
    <s v="American Express"/>
    <x v="5110"/>
    <n v="5.57"/>
    <x v="2"/>
    <s v="Transportation"/>
    <m/>
    <m/>
    <m/>
    <m/>
    <m/>
    <m/>
    <m/>
    <x v="4542"/>
    <m/>
    <m/>
  </r>
  <r>
    <x v="72"/>
    <d v="2025-09-14T00:00:00"/>
    <s v="American Express"/>
    <x v="4979"/>
    <n v="5.5"/>
    <x v="1"/>
    <s v="Restaurants"/>
    <m/>
    <m/>
    <m/>
    <m/>
    <m/>
    <m/>
    <m/>
    <x v="4419"/>
    <m/>
    <m/>
  </r>
  <r>
    <x v="71"/>
    <d v="2025-10-11T00:00:00"/>
    <s v="American Express"/>
    <x v="6137"/>
    <n v="5.22"/>
    <x v="7"/>
    <m/>
    <m/>
    <m/>
    <m/>
    <m/>
    <m/>
    <m/>
    <m/>
    <x v="5484"/>
    <m/>
    <m/>
  </r>
  <r>
    <x v="71"/>
    <d v="2025-10-04T00:00:00"/>
    <s v="American Express"/>
    <x v="6138"/>
    <n v="5.19"/>
    <x v="1"/>
    <s v="Restaurants"/>
    <m/>
    <m/>
    <m/>
    <m/>
    <m/>
    <m/>
    <m/>
    <x v="5485"/>
    <m/>
    <m/>
  </r>
  <r>
    <x v="71"/>
    <d v="2025-10-03T00:00:00"/>
    <s v="Powerplus - Ending in 8s30"/>
    <x v="1827"/>
    <n v="5"/>
    <x v="8"/>
    <s v="Shopping"/>
    <m/>
    <m/>
    <m/>
    <m/>
    <m/>
    <m/>
    <m/>
    <x v="1682"/>
    <m/>
    <m/>
  </r>
  <r>
    <x v="74"/>
    <d v="2025-06-10T00:00:00"/>
    <s v="Cash Rewards Visa Signature - Ending in 5913"/>
    <x v="6139"/>
    <n v="5"/>
    <x v="7"/>
    <m/>
    <m/>
    <m/>
    <m/>
    <m/>
    <m/>
    <m/>
    <m/>
    <x v="5486"/>
    <m/>
    <m/>
  </r>
  <r>
    <x v="73"/>
    <d v="2025-07-01T00:00:00"/>
    <s v="American Express"/>
    <x v="6140"/>
    <n v="4.99"/>
    <x v="5"/>
    <s v="Groceries"/>
    <m/>
    <m/>
    <m/>
    <m/>
    <m/>
    <m/>
    <m/>
    <x v="5487"/>
    <m/>
    <m/>
  </r>
  <r>
    <x v="72"/>
    <d v="2025-09-09T00:00:00"/>
    <s v="American Express"/>
    <x v="6141"/>
    <n v="4.9000000000000004"/>
    <x v="1"/>
    <s v="Restaurants"/>
    <m/>
    <m/>
    <m/>
    <m/>
    <m/>
    <m/>
    <m/>
    <x v="5488"/>
    <m/>
    <m/>
  </r>
  <r>
    <x v="71"/>
    <d v="2025-10-21T00:00:00"/>
    <s v="Cash Rewards Visa Signature - Ending in 5913"/>
    <x v="3497"/>
    <n v="4.3600000000000003"/>
    <x v="3"/>
    <s v="Delete"/>
    <m/>
    <m/>
    <m/>
    <m/>
    <m/>
    <m/>
    <m/>
    <x v="3087"/>
    <m/>
    <m/>
  </r>
  <r>
    <x v="72"/>
    <d v="2025-09-24T00:00:00"/>
    <s v="Cash Rewards Visa Signature - Ending in 5913"/>
    <x v="3497"/>
    <n v="4.3600000000000003"/>
    <x v="1"/>
    <s v="Restaurants"/>
    <m/>
    <m/>
    <m/>
    <m/>
    <m/>
    <m/>
    <m/>
    <x v="3087"/>
    <m/>
    <m/>
  </r>
  <r>
    <x v="76"/>
    <d v="2025-08-26T00:00:00"/>
    <s v="Cash Rewards Visa Signature - Ending in 5913"/>
    <x v="3497"/>
    <n v="4.3600000000000003"/>
    <x v="1"/>
    <s v="Restaurants"/>
    <m/>
    <m/>
    <m/>
    <m/>
    <m/>
    <m/>
    <m/>
    <x v="3087"/>
    <m/>
    <m/>
  </r>
  <r>
    <x v="73"/>
    <d v="2025-07-29T00:00:00"/>
    <s v="Cash Rewards Visa Signature - Ending in 5913"/>
    <x v="6142"/>
    <n v="4.3600000000000003"/>
    <x v="8"/>
    <s v="Shopping"/>
    <m/>
    <m/>
    <m/>
    <m/>
    <m/>
    <m/>
    <m/>
    <x v="5489"/>
    <m/>
    <m/>
  </r>
  <r>
    <x v="73"/>
    <d v="2025-07-02T00:00:00"/>
    <s v="Cash Rewards Visa Signature - Ending in 5913"/>
    <x v="6143"/>
    <n v="4.3600000000000003"/>
    <x v="8"/>
    <s v="Shopping"/>
    <m/>
    <m/>
    <m/>
    <m/>
    <m/>
    <m/>
    <m/>
    <x v="5490"/>
    <m/>
    <m/>
  </r>
  <r>
    <x v="74"/>
    <d v="2025-06-04T00:00:00"/>
    <s v="Cash Rewards Visa Signature - Ending in 5913"/>
    <x v="6144"/>
    <n v="4.3600000000000003"/>
    <x v="8"/>
    <s v="Shopping"/>
    <m/>
    <m/>
    <m/>
    <m/>
    <m/>
    <m/>
    <m/>
    <x v="5491"/>
    <m/>
    <m/>
  </r>
  <r>
    <x v="75"/>
    <d v="2025-11-05T00:00:00"/>
    <s v="American Express"/>
    <x v="6145"/>
    <n v="4.33"/>
    <x v="1"/>
    <s v="Restaurants"/>
    <m/>
    <m/>
    <m/>
    <m/>
    <m/>
    <m/>
    <m/>
    <x v="5492"/>
    <m/>
    <m/>
  </r>
  <r>
    <x v="76"/>
    <d v="2025-08-18T00:00:00"/>
    <s v="Cash Rewards Visa Signature - Ending in 5913"/>
    <x v="255"/>
    <n v="4.32"/>
    <x v="5"/>
    <s v="Groceries"/>
    <m/>
    <m/>
    <m/>
    <m/>
    <m/>
    <m/>
    <m/>
    <x v="253"/>
    <m/>
    <m/>
  </r>
  <r>
    <x v="71"/>
    <d v="2025-10-15T00:00:00"/>
    <s v="Powerplus - Ending in 8s30"/>
    <x v="6146"/>
    <n v="4.3099999999999996"/>
    <x v="4"/>
    <s v="Day Care"/>
    <m/>
    <m/>
    <m/>
    <m/>
    <m/>
    <m/>
    <m/>
    <x v="5493"/>
    <m/>
    <m/>
  </r>
  <r>
    <x v="71"/>
    <d v="2025-10-18T00:00:00"/>
    <s v="American Express"/>
    <x v="6147"/>
    <n v="4.0999999999999996"/>
    <x v="1"/>
    <s v="Restaurants"/>
    <m/>
    <m/>
    <m/>
    <m/>
    <m/>
    <m/>
    <m/>
    <x v="5494"/>
    <m/>
    <m/>
  </r>
  <r>
    <x v="71"/>
    <d v="2025-10-25T00:00:00"/>
    <s v="American Express"/>
    <x v="6148"/>
    <n v="4"/>
    <x v="1"/>
    <s v="Restaurants"/>
    <m/>
    <m/>
    <m/>
    <m/>
    <m/>
    <m/>
    <m/>
    <x v="5495"/>
    <m/>
    <m/>
  </r>
  <r>
    <x v="75"/>
    <d v="2025-11-02T00:00:00"/>
    <s v="American Express"/>
    <x v="6149"/>
    <n v="3.69"/>
    <x v="5"/>
    <s v="Groceries"/>
    <m/>
    <m/>
    <m/>
    <m/>
    <m/>
    <m/>
    <m/>
    <x v="5496"/>
    <m/>
    <m/>
  </r>
  <r>
    <x v="76"/>
    <d v="2025-08-30T00:00:00"/>
    <s v="American Express"/>
    <x v="6150"/>
    <n v="3.25"/>
    <x v="8"/>
    <s v="Shopping"/>
    <m/>
    <m/>
    <m/>
    <m/>
    <m/>
    <m/>
    <m/>
    <x v="5497"/>
    <m/>
    <m/>
  </r>
  <r>
    <x v="76"/>
    <d v="2025-08-04T00:00:00"/>
    <s v="American Express"/>
    <x v="6151"/>
    <n v="3.13"/>
    <x v="3"/>
    <s v="Delete"/>
    <m/>
    <m/>
    <m/>
    <m/>
    <m/>
    <m/>
    <m/>
    <x v="5498"/>
    <m/>
    <m/>
  </r>
  <r>
    <x v="74"/>
    <d v="2025-06-09T00:00:00"/>
    <s v="American Express"/>
    <x v="6152"/>
    <n v="3.09"/>
    <x v="7"/>
    <m/>
    <m/>
    <m/>
    <m/>
    <m/>
    <m/>
    <m/>
    <m/>
    <x v="5499"/>
    <m/>
    <m/>
  </r>
  <r>
    <x v="74"/>
    <d v="2025-06-14T00:00:00"/>
    <s v="American Express"/>
    <x v="6153"/>
    <n v="3"/>
    <x v="1"/>
    <s v="Restaurants"/>
    <m/>
    <m/>
    <m/>
    <m/>
    <m/>
    <m/>
    <m/>
    <x v="5500"/>
    <m/>
    <m/>
  </r>
  <r>
    <x v="71"/>
    <d v="2025-10-20T00:00:00"/>
    <s v="Powerplus - Ending in 8s30"/>
    <x v="1849"/>
    <n v="2.99"/>
    <x v="3"/>
    <s v="Delete"/>
    <m/>
    <m/>
    <m/>
    <m/>
    <m/>
    <m/>
    <m/>
    <x v="1704"/>
    <m/>
    <m/>
  </r>
  <r>
    <x v="72"/>
    <d v="2025-09-19T00:00:00"/>
    <s v="Powerplus - Ending in 8s30"/>
    <x v="1849"/>
    <n v="2.99"/>
    <x v="8"/>
    <s v="Shopping"/>
    <m/>
    <m/>
    <m/>
    <m/>
    <m/>
    <m/>
    <m/>
    <x v="1704"/>
    <m/>
    <m/>
  </r>
  <r>
    <x v="76"/>
    <d v="2025-08-19T00:00:00"/>
    <s v="Powerplus - Ending in 8s30"/>
    <x v="1849"/>
    <n v="2.99"/>
    <x v="8"/>
    <s v="Shopping"/>
    <m/>
    <m/>
    <m/>
    <m/>
    <m/>
    <m/>
    <m/>
    <x v="1704"/>
    <m/>
    <m/>
  </r>
  <r>
    <x v="74"/>
    <d v="2025-06-20T00:00:00"/>
    <s v="Powerplus - Ending in 8s30"/>
    <x v="1849"/>
    <n v="2.99"/>
    <x v="8"/>
    <s v="Shopping"/>
    <m/>
    <m/>
    <m/>
    <m/>
    <m/>
    <m/>
    <m/>
    <x v="1704"/>
    <m/>
    <m/>
  </r>
  <r>
    <x v="76"/>
    <d v="2025-08-18T00:00:00"/>
    <s v="Cash Rewards Visa Signature - Ending in 5913"/>
    <x v="255"/>
    <n v="2.99"/>
    <x v="5"/>
    <s v="Groceries"/>
    <m/>
    <m/>
    <m/>
    <m/>
    <m/>
    <m/>
    <m/>
    <x v="253"/>
    <m/>
    <m/>
  </r>
  <r>
    <x v="71"/>
    <d v="2025-10-20T00:00:00"/>
    <s v="Cash Rewards Visa Signature - Ending in 5913"/>
    <x v="6154"/>
    <n v="2.93"/>
    <x v="3"/>
    <s v="Delete"/>
    <m/>
    <m/>
    <m/>
    <m/>
    <m/>
    <m/>
    <m/>
    <x v="5501"/>
    <m/>
    <m/>
  </r>
  <r>
    <x v="71"/>
    <d v="2025-10-20T00:00:00"/>
    <s v="Cash Rewards Visa Signature - Ending in 5913"/>
    <x v="6154"/>
    <n v="2.93"/>
    <x v="3"/>
    <s v="Delete"/>
    <m/>
    <m/>
    <m/>
    <m/>
    <m/>
    <m/>
    <m/>
    <x v="5501"/>
    <m/>
    <m/>
  </r>
  <r>
    <x v="71"/>
    <d v="2025-10-17T00:00:00"/>
    <s v="Powerplus - Ending in 8s30"/>
    <x v="5229"/>
    <n v="2.75"/>
    <x v="28"/>
    <s v="Misc"/>
    <m/>
    <m/>
    <m/>
    <m/>
    <m/>
    <m/>
    <m/>
    <x v="4652"/>
    <m/>
    <m/>
  </r>
  <r>
    <x v="72"/>
    <d v="2025-09-21T00:00:00"/>
    <s v="American Express"/>
    <x v="4979"/>
    <n v="2.75"/>
    <x v="1"/>
    <s v="Restaurants"/>
    <m/>
    <m/>
    <m/>
    <m/>
    <m/>
    <m/>
    <m/>
    <x v="4419"/>
    <m/>
    <m/>
  </r>
  <r>
    <x v="72"/>
    <d v="2025-09-03T00:00:00"/>
    <s v="American Express"/>
    <x v="5394"/>
    <n v="2.64"/>
    <x v="0"/>
    <s v="Amazon"/>
    <m/>
    <m/>
    <m/>
    <m/>
    <m/>
    <m/>
    <m/>
    <x v="4783"/>
    <m/>
    <m/>
  </r>
  <r>
    <x v="71"/>
    <d v="2025-10-21T00:00:00"/>
    <s v="Cash Rewards Visa Signature - Ending in 5913"/>
    <x v="6155"/>
    <n v="2.58"/>
    <x v="3"/>
    <s v="Delete"/>
    <m/>
    <m/>
    <m/>
    <m/>
    <m/>
    <m/>
    <m/>
    <x v="5502"/>
    <m/>
    <m/>
  </r>
  <r>
    <x v="71"/>
    <d v="2025-10-21T00:00:00"/>
    <s v="Cash Rewards Visa Signature - Ending in 5913"/>
    <x v="6156"/>
    <n v="2.23"/>
    <x v="3"/>
    <s v="Delete"/>
    <m/>
    <m/>
    <m/>
    <m/>
    <m/>
    <m/>
    <m/>
    <x v="5503"/>
    <m/>
    <m/>
  </r>
  <r>
    <x v="71"/>
    <d v="2025-10-14T00:00:00"/>
    <s v="Cash Rewards Visa Signature - Ending in 5913"/>
    <x v="6157"/>
    <n v="2.2000000000000002"/>
    <x v="7"/>
    <m/>
    <m/>
    <m/>
    <m/>
    <m/>
    <m/>
    <m/>
    <m/>
    <x v="5504"/>
    <m/>
    <m/>
  </r>
  <r>
    <x v="76"/>
    <d v="2025-08-05T00:00:00"/>
    <s v="Cash Rewards Visa Signature - Ending in 5913"/>
    <x v="6158"/>
    <n v="2.09"/>
    <x v="3"/>
    <s v="Delete"/>
    <m/>
    <m/>
    <m/>
    <m/>
    <m/>
    <m/>
    <m/>
    <x v="5505"/>
    <m/>
    <m/>
  </r>
  <r>
    <x v="71"/>
    <d v="2025-10-20T00:00:00"/>
    <s v="Cash Rewards Visa Signature - Ending in 5913"/>
    <x v="4168"/>
    <n v="1.99"/>
    <x v="3"/>
    <s v="Delete"/>
    <m/>
    <m/>
    <m/>
    <m/>
    <m/>
    <m/>
    <m/>
    <x v="3699"/>
    <m/>
    <m/>
  </r>
  <r>
    <x v="72"/>
    <d v="2025-09-21T00:00:00"/>
    <s v="Cash Rewards Visa Signature - Ending in 5913"/>
    <x v="4168"/>
    <n v="1.99"/>
    <x v="11"/>
    <s v="Utilities"/>
    <m/>
    <m/>
    <m/>
    <m/>
    <m/>
    <m/>
    <m/>
    <x v="3699"/>
    <m/>
    <m/>
  </r>
  <r>
    <x v="76"/>
    <d v="2025-08-20T00:00:00"/>
    <s v="Cash Rewards Visa Signature - Ending in 5913"/>
    <x v="6159"/>
    <n v="1.99"/>
    <x v="11"/>
    <s v="Utilities"/>
    <m/>
    <m/>
    <m/>
    <m/>
    <m/>
    <m/>
    <m/>
    <x v="5506"/>
    <m/>
    <m/>
  </r>
  <r>
    <x v="73"/>
    <d v="2025-07-20T00:00:00"/>
    <s v="Cash Rewards Visa Signature - Ending in 5913"/>
    <x v="6160"/>
    <n v="1.99"/>
    <x v="11"/>
    <s v="Utilities"/>
    <m/>
    <m/>
    <m/>
    <m/>
    <m/>
    <m/>
    <m/>
    <x v="5507"/>
    <m/>
    <m/>
  </r>
  <r>
    <x v="74"/>
    <d v="2025-06-20T00:00:00"/>
    <s v="Cash Rewards Visa Signature - Ending in 5913"/>
    <x v="6161"/>
    <n v="1.99"/>
    <x v="11"/>
    <s v="Utilities"/>
    <m/>
    <m/>
    <m/>
    <m/>
    <m/>
    <m/>
    <m/>
    <x v="5508"/>
    <m/>
    <m/>
  </r>
  <r>
    <x v="71"/>
    <d v="2025-10-20T00:00:00"/>
    <s v="Cash Rewards Visa Signature - Ending in 5913"/>
    <x v="6154"/>
    <n v="1.76"/>
    <x v="3"/>
    <s v="Delete"/>
    <m/>
    <m/>
    <m/>
    <m/>
    <m/>
    <m/>
    <m/>
    <x v="5501"/>
    <m/>
    <m/>
  </r>
  <r>
    <x v="73"/>
    <d v="2025-07-10T00:00:00"/>
    <s v="Cash Rewards Visa Signature - Ending in 5913"/>
    <x v="6162"/>
    <n v="1.64"/>
    <x v="16"/>
    <s v="Insurance"/>
    <m/>
    <m/>
    <m/>
    <m/>
    <m/>
    <m/>
    <m/>
    <x v="5509"/>
    <m/>
    <m/>
  </r>
  <r>
    <x v="71"/>
    <d v="2025-10-23T00:00:00"/>
    <s v="American Express"/>
    <x v="5723"/>
    <n v="1.63"/>
    <x v="3"/>
    <s v="Delete"/>
    <m/>
    <m/>
    <m/>
    <m/>
    <m/>
    <m/>
    <m/>
    <x v="5095"/>
    <m/>
    <m/>
  </r>
  <r>
    <x v="73"/>
    <d v="2025-07-06T00:00:00"/>
    <s v="American Express"/>
    <x v="6163"/>
    <n v="1.4"/>
    <x v="24"/>
    <s v="Travel"/>
    <m/>
    <m/>
    <m/>
    <m/>
    <m/>
    <m/>
    <m/>
    <x v="5510"/>
    <m/>
    <m/>
  </r>
  <r>
    <x v="71"/>
    <d v="2025-10-15T00:00:00"/>
    <s v="American Express"/>
    <x v="6164"/>
    <n v="1.39"/>
    <x v="1"/>
    <s v="Restaurants"/>
    <m/>
    <m/>
    <m/>
    <m/>
    <m/>
    <m/>
    <m/>
    <x v="5511"/>
    <m/>
    <m/>
  </r>
  <r>
    <x v="71"/>
    <d v="2025-10-14T00:00:00"/>
    <s v="Cash Rewards Visa Signature - Ending in 5913"/>
    <x v="6165"/>
    <n v="1.1599999999999999"/>
    <x v="7"/>
    <m/>
    <m/>
    <m/>
    <m/>
    <m/>
    <m/>
    <m/>
    <m/>
    <x v="5512"/>
    <m/>
    <m/>
  </r>
  <r>
    <x v="71"/>
    <d v="2025-10-28T00:00:00"/>
    <s v="Powerplus - Ending in 8s30"/>
    <x v="1849"/>
    <n v="0.99"/>
    <x v="8"/>
    <s v="Shopping"/>
    <m/>
    <m/>
    <m/>
    <m/>
    <m/>
    <m/>
    <m/>
    <x v="1704"/>
    <m/>
    <m/>
  </r>
  <r>
    <x v="72"/>
    <d v="2025-09-29T00:00:00"/>
    <s v="Powerplus - Ending in 8s30"/>
    <x v="1849"/>
    <n v="0.99"/>
    <x v="8"/>
    <s v="Shopping"/>
    <m/>
    <m/>
    <m/>
    <m/>
    <m/>
    <m/>
    <m/>
    <x v="1704"/>
    <m/>
    <m/>
  </r>
  <r>
    <x v="76"/>
    <d v="2025-08-28T00:00:00"/>
    <s v="Powerplus - Ending in 8s30"/>
    <x v="1849"/>
    <n v="0.99"/>
    <x v="8"/>
    <s v="Shopping"/>
    <m/>
    <m/>
    <m/>
    <m/>
    <m/>
    <m/>
    <m/>
    <x v="1704"/>
    <m/>
    <m/>
  </r>
  <r>
    <x v="74"/>
    <d v="2025-06-30T00:00:00"/>
    <s v="Powerplus - Ending in 8s30"/>
    <x v="1849"/>
    <n v="0.99"/>
    <x v="8"/>
    <s v="Shopping"/>
    <m/>
    <m/>
    <m/>
    <m/>
    <m/>
    <m/>
    <m/>
    <x v="1704"/>
    <m/>
    <m/>
  </r>
  <r>
    <x v="71"/>
    <d v="2025-10-12T00:00:00"/>
    <s v="Cash Rewards Visa Signature - Ending in 5913"/>
    <x v="6166"/>
    <n v="0.57999999999999996"/>
    <x v="7"/>
    <m/>
    <m/>
    <m/>
    <m/>
    <m/>
    <m/>
    <m/>
    <m/>
    <x v="5513"/>
    <m/>
    <m/>
  </r>
  <r>
    <x v="74"/>
    <d v="2025-06-21T00:00:00"/>
    <s v="American Express"/>
    <x v="6167"/>
    <n v="-0.03"/>
    <x v="3"/>
    <s v="Rent"/>
    <s v="Delete"/>
    <m/>
    <m/>
    <m/>
    <m/>
    <m/>
    <m/>
    <x v="5514"/>
    <m/>
    <m/>
  </r>
  <r>
    <x v="73"/>
    <d v="2025-07-26T00:00:00"/>
    <s v="American Express"/>
    <x v="5151"/>
    <n v="-0.81"/>
    <x v="2"/>
    <s v="Transportation"/>
    <m/>
    <m/>
    <m/>
    <m/>
    <m/>
    <m/>
    <m/>
    <x v="4583"/>
    <m/>
    <m/>
  </r>
  <r>
    <x v="73"/>
    <d v="2025-07-31T00:00:00"/>
    <s v="Powerplus - Ending in 8s30"/>
    <x v="2412"/>
    <n v="-3.25"/>
    <x v="3"/>
    <s v="Britney"/>
    <s v="Delete"/>
    <m/>
    <m/>
    <m/>
    <m/>
    <m/>
    <m/>
    <x v="2228"/>
    <m/>
    <m/>
  </r>
  <r>
    <x v="72"/>
    <d v="2025-09-24T00:00:00"/>
    <s v="American Express"/>
    <x v="5417"/>
    <n v="-3.26"/>
    <x v="0"/>
    <s v="Amazon"/>
    <m/>
    <m/>
    <m/>
    <m/>
    <m/>
    <m/>
    <m/>
    <x v="4805"/>
    <m/>
    <m/>
  </r>
  <r>
    <x v="74"/>
    <d v="2025-06-30T00:00:00"/>
    <s v="Powerplus - Ending in 8s30"/>
    <x v="2412"/>
    <n v="-3.5"/>
    <x v="3"/>
    <s v="Britney"/>
    <s v="Delete"/>
    <m/>
    <m/>
    <m/>
    <m/>
    <m/>
    <m/>
    <x v="2228"/>
    <m/>
    <m/>
  </r>
  <r>
    <x v="71"/>
    <d v="2025-10-31T00:00:00"/>
    <s v="Powerplus - Ending in 8s30"/>
    <x v="2412"/>
    <n v="-6.65"/>
    <x v="34"/>
    <s v="Britney"/>
    <m/>
    <m/>
    <m/>
    <m/>
    <m/>
    <m/>
    <m/>
    <x v="2228"/>
    <m/>
    <m/>
  </r>
  <r>
    <x v="74"/>
    <d v="2025-06-21T00:00:00"/>
    <s v="American Express"/>
    <x v="4991"/>
    <n v="-8.6999999999999993"/>
    <x v="0"/>
    <s v="Amazon"/>
    <m/>
    <m/>
    <m/>
    <m/>
    <m/>
    <m/>
    <m/>
    <x v="4430"/>
    <m/>
    <m/>
  </r>
  <r>
    <x v="76"/>
    <d v="2025-08-25T00:00:00"/>
    <s v="American Express"/>
    <x v="4991"/>
    <n v="-10.88"/>
    <x v="0"/>
    <s v="Amazon"/>
    <m/>
    <m/>
    <m/>
    <m/>
    <m/>
    <m/>
    <m/>
    <x v="4430"/>
    <m/>
    <m/>
  </r>
  <r>
    <x v="72"/>
    <d v="2025-09-30T00:00:00"/>
    <s v="Powerplus - Ending in 8s30"/>
    <x v="3787"/>
    <n v="-12.49"/>
    <x v="25"/>
    <s v="Healthcare"/>
    <m/>
    <m/>
    <m/>
    <m/>
    <m/>
    <m/>
    <m/>
    <x v="3342"/>
    <m/>
    <m/>
  </r>
  <r>
    <x v="74"/>
    <d v="2025-06-24T00:00:00"/>
    <s v="Powerplus - Ending in 8s30"/>
    <x v="3787"/>
    <n v="-14.1"/>
    <x v="25"/>
    <s v="Healthcare"/>
    <m/>
    <m/>
    <m/>
    <m/>
    <m/>
    <m/>
    <m/>
    <x v="3342"/>
    <m/>
    <m/>
  </r>
  <r>
    <x v="71"/>
    <d v="2025-10-01T00:00:00"/>
    <s v="Powerplus - Ending in 8s30"/>
    <x v="3652"/>
    <n v="-20.46"/>
    <x v="34"/>
    <s v="Britney"/>
    <m/>
    <m/>
    <m/>
    <m/>
    <m/>
    <m/>
    <m/>
    <x v="3214"/>
    <m/>
    <m/>
  </r>
  <r>
    <x v="73"/>
    <d v="2025-07-15T00:00:00"/>
    <s v="American Express"/>
    <x v="4958"/>
    <n v="-23.79"/>
    <x v="0"/>
    <s v="Amazon"/>
    <m/>
    <m/>
    <m/>
    <m/>
    <m/>
    <m/>
    <m/>
    <x v="4398"/>
    <m/>
    <m/>
  </r>
  <r>
    <x v="73"/>
    <d v="2025-07-15T00:00:00"/>
    <s v="American Express"/>
    <x v="4958"/>
    <n v="-28.5"/>
    <x v="0"/>
    <s v="Amazon"/>
    <m/>
    <m/>
    <m/>
    <m/>
    <m/>
    <m/>
    <m/>
    <x v="4398"/>
    <m/>
    <m/>
  </r>
  <r>
    <x v="71"/>
    <d v="2025-10-02T00:00:00"/>
    <s v="American Express"/>
    <x v="4958"/>
    <n v="-29.76"/>
    <x v="0"/>
    <s v="Amazon"/>
    <m/>
    <m/>
    <m/>
    <m/>
    <m/>
    <m/>
    <m/>
    <x v="4398"/>
    <m/>
    <m/>
  </r>
  <r>
    <x v="74"/>
    <d v="2025-06-23T00:00:00"/>
    <s v="American Express"/>
    <x v="4958"/>
    <n v="-29.99"/>
    <x v="0"/>
    <s v="Amazon"/>
    <m/>
    <m/>
    <m/>
    <m/>
    <m/>
    <m/>
    <m/>
    <x v="4398"/>
    <m/>
    <m/>
  </r>
  <r>
    <x v="71"/>
    <d v="2025-10-20T00:00:00"/>
    <s v="Cash Rewards Visa Signature - Ending in 5913"/>
    <x v="1879"/>
    <n v="-30"/>
    <x v="3"/>
    <s v="Delete"/>
    <m/>
    <m/>
    <m/>
    <m/>
    <m/>
    <m/>
    <m/>
    <x v="1732"/>
    <m/>
    <m/>
  </r>
  <r>
    <x v="72"/>
    <d v="2025-09-23T00:00:00"/>
    <s v="American Express"/>
    <x v="4958"/>
    <n v="-30.89"/>
    <x v="0"/>
    <s v="Amazon"/>
    <m/>
    <m/>
    <m/>
    <m/>
    <m/>
    <m/>
    <m/>
    <x v="4398"/>
    <m/>
    <m/>
  </r>
  <r>
    <x v="72"/>
    <d v="2025-09-24T00:00:00"/>
    <s v="American Express"/>
    <x v="4958"/>
    <n v="-35.479999999999997"/>
    <x v="0"/>
    <s v="Amazon"/>
    <m/>
    <m/>
    <m/>
    <m/>
    <m/>
    <m/>
    <m/>
    <x v="4398"/>
    <m/>
    <m/>
  </r>
  <r>
    <x v="72"/>
    <d v="2025-09-28T00:00:00"/>
    <s v="American Express"/>
    <x v="4958"/>
    <n v="-37.22"/>
    <x v="0"/>
    <s v="Amazon"/>
    <m/>
    <m/>
    <m/>
    <m/>
    <m/>
    <m/>
    <m/>
    <x v="4398"/>
    <m/>
    <m/>
  </r>
  <r>
    <x v="74"/>
    <d v="2025-06-30T00:00:00"/>
    <s v="Powerplus - Ending in 8s30"/>
    <x v="6168"/>
    <n v="-40.89"/>
    <x v="13"/>
    <s v="Inc - Other"/>
    <m/>
    <m/>
    <m/>
    <m/>
    <m/>
    <m/>
    <m/>
    <x v="5515"/>
    <m/>
    <m/>
  </r>
  <r>
    <x v="74"/>
    <d v="2025-06-12T00:00:00"/>
    <s v="American Express"/>
    <x v="4958"/>
    <n v="-41.64"/>
    <x v="0"/>
    <s v="Amazon"/>
    <m/>
    <m/>
    <m/>
    <m/>
    <m/>
    <m/>
    <m/>
    <x v="4398"/>
    <m/>
    <m/>
  </r>
  <r>
    <x v="74"/>
    <d v="2025-06-12T00:00:00"/>
    <s v="American Express"/>
    <x v="4958"/>
    <n v="-41.64"/>
    <x v="0"/>
    <s v="Amazon"/>
    <m/>
    <m/>
    <m/>
    <m/>
    <m/>
    <m/>
    <m/>
    <x v="4398"/>
    <m/>
    <m/>
  </r>
  <r>
    <x v="74"/>
    <d v="2025-06-30T00:00:00"/>
    <s v="Cash Rewards Visa Signature - Ending in 5913"/>
    <x v="255"/>
    <n v="-43.34"/>
    <x v="5"/>
    <s v="Groceries"/>
    <m/>
    <m/>
    <m/>
    <m/>
    <m/>
    <m/>
    <m/>
    <x v="253"/>
    <m/>
    <m/>
  </r>
  <r>
    <x v="72"/>
    <d v="2025-09-30T00:00:00"/>
    <s v="Powerplus - Ending in 8s30"/>
    <x v="6169"/>
    <n v="-48.63"/>
    <x v="3"/>
    <s v="Inc - Other"/>
    <s v="Delete"/>
    <m/>
    <m/>
    <m/>
    <m/>
    <m/>
    <m/>
    <x v="5516"/>
    <m/>
    <m/>
  </r>
  <r>
    <x v="72"/>
    <d v="2025-09-24T00:00:00"/>
    <s v="Powerplus - Ending in 8s30"/>
    <x v="3652"/>
    <n v="-50"/>
    <x v="3"/>
    <s v="Britney"/>
    <s v="Delete"/>
    <m/>
    <m/>
    <m/>
    <m/>
    <m/>
    <m/>
    <x v="3214"/>
    <m/>
    <m/>
  </r>
  <r>
    <x v="71"/>
    <d v="2025-10-31T00:00:00"/>
    <s v="Powerplus - Ending in 8s30"/>
    <x v="6170"/>
    <n v="-50.21"/>
    <x v="3"/>
    <s v="Inc - Other"/>
    <s v="Delete"/>
    <m/>
    <m/>
    <m/>
    <m/>
    <m/>
    <m/>
    <x v="5517"/>
    <m/>
    <m/>
  </r>
  <r>
    <x v="73"/>
    <d v="2025-07-31T00:00:00"/>
    <s v="Powerplus - Ending in 8s30"/>
    <x v="6171"/>
    <n v="-50.28"/>
    <x v="3"/>
    <s v="Inc - Other"/>
    <s v="Delete"/>
    <m/>
    <m/>
    <m/>
    <m/>
    <m/>
    <m/>
    <x v="5518"/>
    <m/>
    <m/>
  </r>
  <r>
    <x v="76"/>
    <d v="2025-08-31T00:00:00"/>
    <s v="Powerplus - Ending in 8s30"/>
    <x v="6172"/>
    <n v="-50.3"/>
    <x v="3"/>
    <s v="Inc - Other"/>
    <s v="Delete"/>
    <m/>
    <m/>
    <m/>
    <m/>
    <m/>
    <m/>
    <x v="5519"/>
    <m/>
    <m/>
  </r>
  <r>
    <x v="71"/>
    <d v="2025-10-04T00:00:00"/>
    <s v="American Express"/>
    <x v="5832"/>
    <n v="-55.5"/>
    <x v="8"/>
    <s v="Shopping"/>
    <m/>
    <m/>
    <m/>
    <m/>
    <m/>
    <m/>
    <m/>
    <x v="5184"/>
    <m/>
    <m/>
  </r>
  <r>
    <x v="76"/>
    <d v="2025-08-27T00:00:00"/>
    <s v="Powerplus - Ending in 8s30"/>
    <x v="3652"/>
    <n v="-56.19"/>
    <x v="34"/>
    <s v="Britney"/>
    <m/>
    <m/>
    <m/>
    <m/>
    <m/>
    <m/>
    <m/>
    <x v="3214"/>
    <m/>
    <m/>
  </r>
  <r>
    <x v="76"/>
    <d v="2025-08-13T00:00:00"/>
    <s v="American Express"/>
    <x v="4958"/>
    <n v="-63.98"/>
    <x v="0"/>
    <s v="Amazon"/>
    <m/>
    <m/>
    <m/>
    <m/>
    <m/>
    <m/>
    <m/>
    <x v="4398"/>
    <m/>
    <m/>
  </r>
  <r>
    <x v="73"/>
    <d v="2025-07-10T00:00:00"/>
    <s v="American Express"/>
    <x v="5855"/>
    <n v="-64"/>
    <x v="8"/>
    <s v="Restaurants"/>
    <s v="Exp - Shopping"/>
    <m/>
    <m/>
    <m/>
    <m/>
    <m/>
    <m/>
    <x v="5207"/>
    <m/>
    <m/>
  </r>
  <r>
    <x v="72"/>
    <d v="2025-09-14T00:00:00"/>
    <s v="Powerplus - Ending in 8s30"/>
    <x v="3652"/>
    <n v="-82.2"/>
    <x v="8"/>
    <s v="Britney"/>
    <s v="Exp - Shopping"/>
    <m/>
    <m/>
    <m/>
    <m/>
    <m/>
    <m/>
    <x v="3214"/>
    <m/>
    <m/>
  </r>
  <r>
    <x v="73"/>
    <d v="2025-07-21T00:00:00"/>
    <s v="Powerplus - Ending in 8s30"/>
    <x v="3787"/>
    <n v="-124.06"/>
    <x v="3"/>
    <s v="Healthcare"/>
    <s v="Delete"/>
    <m/>
    <m/>
    <m/>
    <m/>
    <m/>
    <m/>
    <x v="3342"/>
    <m/>
    <m/>
  </r>
  <r>
    <x v="73"/>
    <d v="2025-07-24T00:00:00"/>
    <s v="Powerplus - Ending in 8s30"/>
    <x v="6173"/>
    <n v="-128.9"/>
    <x v="3"/>
    <s v="Day Care"/>
    <s v="Delete"/>
    <m/>
    <m/>
    <m/>
    <m/>
    <m/>
    <m/>
    <x v="4756"/>
    <m/>
    <m/>
  </r>
  <r>
    <x v="71"/>
    <d v="2025-10-05T00:00:00"/>
    <s v="American Express"/>
    <x v="5757"/>
    <n v="-134.4"/>
    <x v="8"/>
    <s v="Shopping"/>
    <m/>
    <m/>
    <m/>
    <m/>
    <m/>
    <m/>
    <m/>
    <x v="5123"/>
    <m/>
    <m/>
  </r>
  <r>
    <x v="74"/>
    <d v="2025-06-20T00:00:00"/>
    <s v="American Express"/>
    <x v="5220"/>
    <n v="-136.71"/>
    <x v="8"/>
    <s v="Shopping"/>
    <s v="Exp - Shopping"/>
    <m/>
    <m/>
    <m/>
    <m/>
    <m/>
    <m/>
    <x v="4643"/>
    <m/>
    <m/>
  </r>
  <r>
    <x v="75"/>
    <d v="2025-11-05T00:00:00"/>
    <s v="Powerplus - Ending in 8s30"/>
    <x v="3652"/>
    <n v="-144.4"/>
    <x v="3"/>
    <s v="Britney"/>
    <s v="Delete"/>
    <m/>
    <m/>
    <m/>
    <m/>
    <m/>
    <m/>
    <x v="3214"/>
    <m/>
    <m/>
  </r>
  <r>
    <x v="73"/>
    <d v="2025-07-17T00:00:00"/>
    <s v="American Express"/>
    <x v="5842"/>
    <n v="-150.33000000000001"/>
    <x v="8"/>
    <s v="Restaurants"/>
    <s v="Exp - Shopping"/>
    <m/>
    <m/>
    <m/>
    <m/>
    <m/>
    <m/>
    <x v="5194"/>
    <m/>
    <m/>
  </r>
  <r>
    <x v="72"/>
    <d v="2025-09-26T00:00:00"/>
    <s v="American Express"/>
    <x v="5405"/>
    <n v="-150.69"/>
    <x v="8"/>
    <s v="Shopping"/>
    <s v="Exp - Shopping"/>
    <m/>
    <m/>
    <m/>
    <m/>
    <m/>
    <m/>
    <x v="4793"/>
    <m/>
    <m/>
  </r>
  <r>
    <x v="74"/>
    <d v="2025-06-13T00:00:00"/>
    <s v="American Express"/>
    <x v="5412"/>
    <n v="-155"/>
    <x v="8"/>
    <s v="Shopping"/>
    <s v="Exp - Shopping"/>
    <m/>
    <m/>
    <m/>
    <m/>
    <m/>
    <m/>
    <x v="4800"/>
    <m/>
    <m/>
  </r>
  <r>
    <x v="74"/>
    <d v="2025-06-19T00:00:00"/>
    <s v="American Express"/>
    <x v="5405"/>
    <n v="-168.69"/>
    <x v="8"/>
    <s v="Shopping"/>
    <s v="Exp - Shopping"/>
    <m/>
    <m/>
    <m/>
    <m/>
    <m/>
    <m/>
    <x v="4793"/>
    <m/>
    <m/>
  </r>
  <r>
    <x v="74"/>
    <d v="2025-06-29T00:00:00"/>
    <s v="Powerplus - Ending in 8s30"/>
    <x v="3652"/>
    <n v="-170"/>
    <x v="3"/>
    <s v="Britney"/>
    <s v="Delete"/>
    <m/>
    <m/>
    <m/>
    <m/>
    <m/>
    <m/>
    <x v="3214"/>
    <m/>
    <m/>
  </r>
  <r>
    <x v="76"/>
    <d v="2025-08-22T00:00:00"/>
    <s v="American Express"/>
    <x v="5070"/>
    <n v="-236"/>
    <x v="8"/>
    <s v="Shopping"/>
    <m/>
    <m/>
    <m/>
    <m/>
    <m/>
    <m/>
    <m/>
    <x v="4506"/>
    <m/>
    <m/>
  </r>
  <r>
    <x v="76"/>
    <d v="2025-08-22T00:00:00"/>
    <s v="American Express"/>
    <x v="5070"/>
    <n v="-248"/>
    <x v="8"/>
    <s v="Shopping"/>
    <m/>
    <m/>
    <m/>
    <m/>
    <m/>
    <m/>
    <m/>
    <x v="4506"/>
    <m/>
    <m/>
  </r>
  <r>
    <x v="71"/>
    <d v="2025-10-26T00:00:00"/>
    <s v="Powerplus - Ending in 8s30"/>
    <x v="6174"/>
    <n v="-267.89999999999998"/>
    <x v="3"/>
    <s v="Day Care"/>
    <s v="Delete"/>
    <m/>
    <m/>
    <m/>
    <m/>
    <m/>
    <m/>
    <x v="5520"/>
    <m/>
    <m/>
  </r>
  <r>
    <x v="71"/>
    <d v="2025-10-02T00:00:00"/>
    <s v="American Express"/>
    <x v="5757"/>
    <n v="-276.8"/>
    <x v="8"/>
    <s v="Shopping"/>
    <m/>
    <m/>
    <m/>
    <m/>
    <m/>
    <m/>
    <m/>
    <x v="5123"/>
    <m/>
    <m/>
  </r>
  <r>
    <x v="73"/>
    <d v="2025-07-13T00:00:00"/>
    <s v="American Express"/>
    <x v="6175"/>
    <n v="-300"/>
    <x v="3"/>
    <s v="Rent"/>
    <s v="Delete"/>
    <m/>
    <m/>
    <m/>
    <m/>
    <m/>
    <m/>
    <x v="5521"/>
    <m/>
    <m/>
  </r>
  <r>
    <x v="72"/>
    <d v="2025-09-27T00:00:00"/>
    <s v="American Express"/>
    <x v="5070"/>
    <n v="-535.9"/>
    <x v="3"/>
    <s v="Shopping"/>
    <s v="Delete"/>
    <m/>
    <m/>
    <m/>
    <m/>
    <m/>
    <m/>
    <x v="4506"/>
    <m/>
    <m/>
  </r>
  <r>
    <x v="76"/>
    <d v="2025-08-17T00:00:00"/>
    <s v="Cash Rewards Visa Signature - Ending in 5913"/>
    <x v="1879"/>
    <n v="-662.19"/>
    <x v="3"/>
    <s v="Rent"/>
    <s v="Delete"/>
    <m/>
    <m/>
    <m/>
    <m/>
    <m/>
    <m/>
    <x v="1732"/>
    <m/>
    <m/>
  </r>
  <r>
    <x v="75"/>
    <d v="2025-11-05T00:00:00"/>
    <s v="Powerplus - Ending in 8s30"/>
    <x v="3787"/>
    <n v="-671.4"/>
    <x v="3"/>
    <s v="Healthcare"/>
    <s v="Delete"/>
    <m/>
    <m/>
    <m/>
    <m/>
    <m/>
    <m/>
    <x v="3342"/>
    <m/>
    <m/>
  </r>
  <r>
    <x v="74"/>
    <d v="2025-06-12T00:00:00"/>
    <s v="Powerplus - Ending in 8s30"/>
    <x v="6176"/>
    <n v="-695.6"/>
    <x v="3"/>
    <s v="Day Care"/>
    <s v="Delete"/>
    <m/>
    <m/>
    <m/>
    <m/>
    <m/>
    <m/>
    <x v="4756"/>
    <m/>
    <m/>
  </r>
  <r>
    <x v="72"/>
    <d v="2025-09-12T00:00:00"/>
    <s v="Cash Rewards Visa Signature - Ending in 5913"/>
    <x v="1879"/>
    <n v="-905.57"/>
    <x v="3"/>
    <s v="Rent"/>
    <s v="Delete"/>
    <m/>
    <m/>
    <m/>
    <m/>
    <m/>
    <m/>
    <x v="1732"/>
    <m/>
    <m/>
  </r>
  <r>
    <x v="72"/>
    <d v="2025-09-06T00:00:00"/>
    <s v="American Express"/>
    <x v="4452"/>
    <n v="-920.69"/>
    <x v="3"/>
    <s v="Utilities"/>
    <s v="Delete"/>
    <m/>
    <m/>
    <m/>
    <m/>
    <m/>
    <m/>
    <x v="3953"/>
    <m/>
    <m/>
  </r>
  <r>
    <x v="73"/>
    <d v="2025-07-14T00:00:00"/>
    <s v="Cash Rewards Visa Signature - Ending in 5913"/>
    <x v="1879"/>
    <n v="-992.38"/>
    <x v="3"/>
    <s v="Rent"/>
    <s v="Delete"/>
    <m/>
    <m/>
    <m/>
    <m/>
    <m/>
    <m/>
    <x v="1732"/>
    <m/>
    <m/>
  </r>
  <r>
    <x v="76"/>
    <d v="2025-08-28T00:00:00"/>
    <s v="Powerplus - Ending in 8s30"/>
    <x v="6177"/>
    <n v="-1549.72"/>
    <x v="3"/>
    <s v="Day Care"/>
    <s v="Delete"/>
    <m/>
    <m/>
    <m/>
    <m/>
    <m/>
    <m/>
    <x v="4756"/>
    <m/>
    <m/>
  </r>
  <r>
    <x v="71"/>
    <d v="2025-10-05T00:00:00"/>
    <s v="Powerplus - Ending in 8s30"/>
    <x v="6178"/>
    <n v="-1729.82"/>
    <x v="3"/>
    <s v="Day Care"/>
    <s v="Delete"/>
    <m/>
    <m/>
    <m/>
    <m/>
    <m/>
    <m/>
    <x v="4756"/>
    <m/>
    <m/>
  </r>
  <r>
    <x v="74"/>
    <d v="2025-06-12T00:00:00"/>
    <s v="Powerplus - Ending in 8s30"/>
    <x v="6179"/>
    <n v="-1755.19"/>
    <x v="3"/>
    <s v="Day Care"/>
    <s v="Delete"/>
    <m/>
    <m/>
    <m/>
    <m/>
    <m/>
    <m/>
    <x v="4756"/>
    <m/>
    <m/>
  </r>
  <r>
    <x v="74"/>
    <d v="2025-06-30T00:00:00"/>
    <s v="American Express"/>
    <x v="3506"/>
    <n v="-1948.89"/>
    <x v="3"/>
    <s v="Restaurants"/>
    <s v="Delete"/>
    <m/>
    <m/>
    <m/>
    <m/>
    <m/>
    <m/>
    <x v="3095"/>
    <m/>
    <m/>
  </r>
  <r>
    <x v="74"/>
    <d v="2025-06-23T00:00:00"/>
    <s v="American Express"/>
    <x v="3506"/>
    <n v="-2012.81"/>
    <x v="3"/>
    <s v="Restaurants"/>
    <s v="Delete"/>
    <m/>
    <m/>
    <m/>
    <m/>
    <m/>
    <m/>
    <x v="3095"/>
    <m/>
    <m/>
  </r>
  <r>
    <x v="71"/>
    <d v="2025-10-23T00:00:00"/>
    <s v="Cash Rewards Visa Signature - Ending in 5913"/>
    <x v="1879"/>
    <n v="-2415.2800000000002"/>
    <x v="3"/>
    <s v="Delete"/>
    <s v="Delete"/>
    <m/>
    <m/>
    <m/>
    <m/>
    <m/>
    <m/>
    <x v="1732"/>
    <m/>
    <m/>
  </r>
  <r>
    <x v="73"/>
    <d v="2025-07-24T00:00:00"/>
    <s v="Powerplus - Ending in 8s30"/>
    <x v="6180"/>
    <n v="-3098.04"/>
    <x v="3"/>
    <s v="Day Care"/>
    <s v="Delete"/>
    <m/>
    <m/>
    <m/>
    <m/>
    <m/>
    <m/>
    <x v="4756"/>
    <m/>
    <m/>
  </r>
  <r>
    <x v="73"/>
    <d v="2025-07-17T00:00:00"/>
    <s v="Powerplus - Ending in 8s30"/>
    <x v="1893"/>
    <n v="-3143.01"/>
    <x v="3"/>
    <s v="Britney"/>
    <s v="Delete"/>
    <m/>
    <m/>
    <m/>
    <m/>
    <m/>
    <m/>
    <x v="1746"/>
    <m/>
    <m/>
  </r>
  <r>
    <x v="74"/>
    <d v="2025-06-19T00:00:00"/>
    <s v="Powerplus - Ending in 8s30"/>
    <x v="1893"/>
    <n v="-3143.01"/>
    <x v="3"/>
    <s v="Britney"/>
    <s v="Delete"/>
    <m/>
    <m/>
    <m/>
    <m/>
    <m/>
    <m/>
    <x v="1746"/>
    <m/>
    <m/>
  </r>
  <r>
    <x v="74"/>
    <d v="2025-06-05T00:00:00"/>
    <s v="Powerplus - Ending in 8s30"/>
    <x v="1893"/>
    <n v="-3143.01"/>
    <x v="3"/>
    <s v="Britney"/>
    <s v="Delete"/>
    <m/>
    <m/>
    <m/>
    <m/>
    <m/>
    <m/>
    <x v="1746"/>
    <m/>
    <m/>
  </r>
  <r>
    <x v="73"/>
    <d v="2025-07-02T00:00:00"/>
    <s v="Powerplus - Ending in 8s30"/>
    <x v="1893"/>
    <n v="-3143.02"/>
    <x v="3"/>
    <s v="Britney"/>
    <s v="Delete"/>
    <m/>
    <m/>
    <m/>
    <m/>
    <m/>
    <m/>
    <x v="1746"/>
    <m/>
    <m/>
  </r>
  <r>
    <x v="72"/>
    <d v="2025-09-08T00:00:00"/>
    <s v="American Express"/>
    <x v="3506"/>
    <n v="-3171.03"/>
    <x v="3"/>
    <s v="Restaurants"/>
    <s v="Delete"/>
    <m/>
    <m/>
    <m/>
    <m/>
    <m/>
    <m/>
    <x v="3095"/>
    <m/>
    <m/>
  </r>
  <r>
    <x v="74"/>
    <d v="2025-06-12T00:00:00"/>
    <s v="Powerplus - Ending in 8s30"/>
    <x v="3684"/>
    <n v="-3398.11"/>
    <x v="3"/>
    <s v="Jeff"/>
    <s v="Delete"/>
    <m/>
    <m/>
    <m/>
    <m/>
    <m/>
    <m/>
    <x v="3245"/>
    <m/>
    <m/>
  </r>
  <r>
    <x v="74"/>
    <d v="2025-06-29T00:00:00"/>
    <s v="Powerplus - Ending in 8s30"/>
    <x v="3684"/>
    <n v="-3398.14"/>
    <x v="3"/>
    <s v="Jeff"/>
    <s v="Delete"/>
    <m/>
    <m/>
    <m/>
    <m/>
    <m/>
    <m/>
    <x v="3245"/>
    <m/>
    <m/>
  </r>
  <r>
    <x v="75"/>
    <d v="2025-11-06T00:00:00"/>
    <s v="Powerplus - Ending in 8s30"/>
    <x v="6181"/>
    <n v="-3650.8"/>
    <x v="3"/>
    <s v="Jeff"/>
    <s v="Delete"/>
    <m/>
    <m/>
    <m/>
    <m/>
    <m/>
    <m/>
    <x v="5522"/>
    <m/>
    <m/>
  </r>
  <r>
    <x v="71"/>
    <d v="2025-10-23T00:00:00"/>
    <s v="Powerplus - Ending in 8s30"/>
    <x v="6181"/>
    <n v="-3650.8"/>
    <x v="3"/>
    <s v="Delete"/>
    <s v="Delete"/>
    <m/>
    <m/>
    <m/>
    <m/>
    <m/>
    <m/>
    <x v="5522"/>
    <m/>
    <m/>
  </r>
  <r>
    <x v="71"/>
    <d v="2025-10-09T00:00:00"/>
    <s v="Powerplus - Ending in 8s30"/>
    <x v="6181"/>
    <n v="-3650.8"/>
    <x v="3"/>
    <s v="Jeff"/>
    <s v="Delete"/>
    <m/>
    <m/>
    <m/>
    <m/>
    <m/>
    <m/>
    <x v="5522"/>
    <m/>
    <m/>
  </r>
  <r>
    <x v="74"/>
    <d v="2025-06-12T00:00:00"/>
    <s v="American Express"/>
    <x v="3633"/>
    <n v="-3719.33"/>
    <x v="3"/>
    <s v="Gifts"/>
    <s v="Delete"/>
    <m/>
    <m/>
    <m/>
    <m/>
    <m/>
    <m/>
    <x v="3195"/>
    <m/>
    <m/>
  </r>
  <r>
    <x v="71"/>
    <d v="2025-10-13T00:00:00"/>
    <s v="Powerplus - Ending in 8s30"/>
    <x v="3684"/>
    <n v="-3738.06"/>
    <x v="3"/>
    <s v="Jeff"/>
    <s v="Delete"/>
    <m/>
    <m/>
    <m/>
    <m/>
    <m/>
    <m/>
    <x v="3245"/>
    <m/>
    <m/>
  </r>
  <r>
    <x v="72"/>
    <d v="2025-09-28T00:00:00"/>
    <s v="Powerplus - Ending in 8s30"/>
    <x v="3684"/>
    <n v="-3738.06"/>
    <x v="3"/>
    <s v="Jeff"/>
    <s v="Delete"/>
    <m/>
    <m/>
    <m/>
    <m/>
    <m/>
    <m/>
    <x v="3245"/>
    <m/>
    <m/>
  </r>
  <r>
    <x v="76"/>
    <d v="2025-08-28T00:00:00"/>
    <s v="Powerplus - Ending in 8s30"/>
    <x v="3684"/>
    <n v="-3738.06"/>
    <x v="3"/>
    <s v="Jeff"/>
    <s v="Delete"/>
    <m/>
    <m/>
    <m/>
    <m/>
    <m/>
    <m/>
    <x v="3245"/>
    <m/>
    <m/>
  </r>
  <r>
    <x v="73"/>
    <d v="2025-07-30T00:00:00"/>
    <s v="Powerplus - Ending in 8s30"/>
    <x v="3684"/>
    <n v="-3738.06"/>
    <x v="3"/>
    <s v="Jeff"/>
    <s v="Delete"/>
    <m/>
    <m/>
    <m/>
    <m/>
    <m/>
    <m/>
    <x v="3245"/>
    <m/>
    <m/>
  </r>
  <r>
    <x v="73"/>
    <d v="2025-07-13T00:00:00"/>
    <s v="Powerplus - Ending in 8s30"/>
    <x v="3684"/>
    <n v="-3738.06"/>
    <x v="3"/>
    <s v="Jeff"/>
    <s v="Delete"/>
    <m/>
    <m/>
    <m/>
    <m/>
    <m/>
    <m/>
    <x v="3245"/>
    <m/>
    <m/>
  </r>
  <r>
    <x v="72"/>
    <d v="2025-09-14T00:00:00"/>
    <s v="Powerplus - Ending in 8s30"/>
    <x v="3684"/>
    <n v="-3738.07"/>
    <x v="3"/>
    <s v="Jeff"/>
    <s v="Delete"/>
    <m/>
    <m/>
    <m/>
    <m/>
    <m/>
    <m/>
    <x v="3245"/>
    <m/>
    <m/>
  </r>
  <r>
    <x v="76"/>
    <d v="2025-08-14T00:00:00"/>
    <s v="Powerplus - Ending in 8s30"/>
    <x v="3684"/>
    <n v="-3738.07"/>
    <x v="3"/>
    <s v="Jeff"/>
    <s v="Delete"/>
    <m/>
    <m/>
    <m/>
    <m/>
    <m/>
    <m/>
    <x v="3245"/>
    <m/>
    <m/>
  </r>
  <r>
    <x v="73"/>
    <d v="2025-07-31T00:00:00"/>
    <s v="Powerplus - Ending in 8s30"/>
    <x v="6181"/>
    <n v="-3769.01"/>
    <x v="3"/>
    <s v="Jeff"/>
    <s v="Delete"/>
    <m/>
    <m/>
    <m/>
    <m/>
    <m/>
    <m/>
    <x v="5522"/>
    <m/>
    <m/>
  </r>
  <r>
    <x v="76"/>
    <d v="2025-08-14T00:00:00"/>
    <s v="Powerplus - Ending in 8s30"/>
    <x v="6181"/>
    <n v="-3875.3"/>
    <x v="3"/>
    <s v="Jeff"/>
    <s v="Delete"/>
    <m/>
    <m/>
    <m/>
    <m/>
    <m/>
    <m/>
    <x v="5522"/>
    <m/>
    <m/>
  </r>
  <r>
    <x v="73"/>
    <d v="2025-07-14T00:00:00"/>
    <s v="American Express"/>
    <x v="3633"/>
    <n v="-3892.59"/>
    <x v="3"/>
    <s v="Gifts"/>
    <s v="Delete"/>
    <m/>
    <m/>
    <m/>
    <m/>
    <m/>
    <m/>
    <x v="3195"/>
    <m/>
    <m/>
  </r>
  <r>
    <x v="76"/>
    <d v="2025-08-28T00:00:00"/>
    <s v="Powerplus - Ending in 8s30"/>
    <x v="6181"/>
    <n v="-3946.34"/>
    <x v="3"/>
    <s v="Jeff"/>
    <s v="Delete"/>
    <m/>
    <m/>
    <m/>
    <m/>
    <m/>
    <m/>
    <x v="5522"/>
    <m/>
    <m/>
  </r>
  <r>
    <x v="71"/>
    <d v="2025-10-27T00:00:00"/>
    <s v="Powerplus - Ending in 8s30"/>
    <x v="4165"/>
    <n v="-4238.76"/>
    <x v="3"/>
    <s v="Shopping"/>
    <s v="Delete"/>
    <m/>
    <m/>
    <m/>
    <m/>
    <m/>
    <m/>
    <x v="3696"/>
    <m/>
    <m/>
  </r>
  <r>
    <x v="72"/>
    <d v="2025-09-25T00:00:00"/>
    <s v="Powerplus - Ending in 8s30"/>
    <x v="6181"/>
    <n v="-4247.8100000000004"/>
    <x v="3"/>
    <s v="Jeff"/>
    <s v="Delete"/>
    <m/>
    <m/>
    <m/>
    <m/>
    <m/>
    <m/>
    <x v="5522"/>
    <m/>
    <m/>
  </r>
  <r>
    <x v="72"/>
    <d v="2025-09-29T00:00:00"/>
    <s v="American Express"/>
    <x v="3506"/>
    <n v="-4360.6099999999997"/>
    <x v="3"/>
    <s v="Restaurants"/>
    <s v="Delete"/>
    <m/>
    <m/>
    <m/>
    <m/>
    <m/>
    <m/>
    <x v="3095"/>
    <m/>
    <m/>
  </r>
  <r>
    <x v="72"/>
    <d v="2025-09-11T00:00:00"/>
    <s v="Powerplus - Ending in 8s30"/>
    <x v="6181"/>
    <n v="-4365.6000000000004"/>
    <x v="3"/>
    <s v="Jeff"/>
    <s v="Delete"/>
    <m/>
    <m/>
    <m/>
    <m/>
    <m/>
    <m/>
    <x v="5522"/>
    <m/>
    <m/>
  </r>
  <r>
    <x v="73"/>
    <d v="2025-07-29T00:00:00"/>
    <s v="American Express"/>
    <x v="3506"/>
    <n v="-4712.62"/>
    <x v="3"/>
    <s v="Restaurants"/>
    <s v="Delete"/>
    <m/>
    <m/>
    <m/>
    <m/>
    <m/>
    <m/>
    <x v="3095"/>
    <m/>
    <m/>
  </r>
  <r>
    <x v="71"/>
    <d v="2025-10-29T00:00:00"/>
    <s v="Powerplus - Ending in 8s30"/>
    <x v="3684"/>
    <n v="-4822.49"/>
    <x v="3"/>
    <s v="Jeff"/>
    <s v="Delete"/>
    <m/>
    <m/>
    <m/>
    <m/>
    <m/>
    <m/>
    <x v="3245"/>
    <m/>
    <m/>
  </r>
  <r>
    <x v="73"/>
    <d v="2025-07-06T00:00:00"/>
    <s v="Powerplus - Ending in 8s30"/>
    <x v="6182"/>
    <n v="-5000"/>
    <x v="3"/>
    <s v="Day Care"/>
    <s v="Delete"/>
    <m/>
    <m/>
    <m/>
    <m/>
    <m/>
    <m/>
    <x v="5523"/>
    <m/>
    <m/>
  </r>
  <r>
    <x v="74"/>
    <d v="2025-06-25T00:00:00"/>
    <s v="Powerplus - Ending in 8s30"/>
    <x v="5745"/>
    <n v="-5000"/>
    <x v="3"/>
    <s v="Shopping"/>
    <s v="Delete"/>
    <m/>
    <m/>
    <m/>
    <m/>
    <m/>
    <m/>
    <x v="5111"/>
    <m/>
    <m/>
  </r>
  <r>
    <x v="73"/>
    <d v="2025-07-18T00:00:00"/>
    <s v="Powerplus - Ending in 8s30"/>
    <x v="5745"/>
    <n v="-5757"/>
    <x v="3"/>
    <s v="Shopping"/>
    <s v="Delete"/>
    <m/>
    <m/>
    <m/>
    <m/>
    <m/>
    <m/>
    <x v="5111"/>
    <m/>
    <m/>
  </r>
  <r>
    <x v="76"/>
    <d v="2025-08-17T00:00:00"/>
    <s v="American Express"/>
    <x v="3506"/>
    <n v="-6493.26"/>
    <x v="3"/>
    <s v="Restaurants"/>
    <s v="Delete"/>
    <m/>
    <m/>
    <m/>
    <m/>
    <m/>
    <m/>
    <x v="3095"/>
    <m/>
    <m/>
  </r>
  <r>
    <x v="75"/>
    <d v="2025-11-03T00:00:00"/>
    <s v="American Express"/>
    <x v="3506"/>
    <n v="-7216.93"/>
    <x v="3"/>
    <s v="Restaurants"/>
    <s v="Delete"/>
    <m/>
    <m/>
    <m/>
    <m/>
    <m/>
    <m/>
    <x v="3095"/>
    <m/>
    <m/>
  </r>
  <r>
    <x v="71"/>
    <d v="2025-10-22T00:00:00"/>
    <s v="American Express"/>
    <x v="3506"/>
    <n v="-8080.9"/>
    <x v="3"/>
    <s v="Delete"/>
    <s v="Delete"/>
    <m/>
    <m/>
    <m/>
    <m/>
    <m/>
    <m/>
    <x v="3095"/>
    <m/>
    <m/>
  </r>
  <r>
    <x v="74"/>
    <d v="2025-06-23T00:00:00"/>
    <s v="Powerplus - Ending in 8s30"/>
    <x v="5745"/>
    <n v="-20000"/>
    <x v="3"/>
    <s v="Shopping"/>
    <s v="Delete"/>
    <m/>
    <m/>
    <m/>
    <m/>
    <m/>
    <m/>
    <x v="5111"/>
    <m/>
    <m/>
  </r>
  <r>
    <x v="74"/>
    <d v="2025-06-22T00:00:00"/>
    <s v="Powerplus - Ending in 8s30"/>
    <x v="4342"/>
    <n v="-24690.3"/>
    <x v="3"/>
    <s v="Savings"/>
    <s v="Delete"/>
    <m/>
    <m/>
    <m/>
    <m/>
    <m/>
    <m/>
    <x v="3855"/>
    <m/>
    <m/>
  </r>
  <r>
    <x v="72"/>
    <d v="2025-09-01T00:00:00"/>
    <s v="Powerplus - Ending in 8s30"/>
    <x v="5745"/>
    <n v="-25808.75"/>
    <x v="3"/>
    <s v="Shopping"/>
    <s v="Delete"/>
    <m/>
    <m/>
    <m/>
    <m/>
    <m/>
    <m/>
    <x v="5111"/>
    <m/>
    <m/>
  </r>
  <r>
    <x v="73"/>
    <d v="2025-07-24T00:00:00"/>
    <s v="Powerplus - Ending in 8s30"/>
    <x v="1893"/>
    <n v="-26460.46"/>
    <x v="3"/>
    <s v="Britney"/>
    <s v="Delete"/>
    <m/>
    <m/>
    <m/>
    <m/>
    <m/>
    <m/>
    <x v="1746"/>
    <m/>
    <m/>
  </r>
  <r>
    <x v="73"/>
    <d v="2025-07-17T00:00:00"/>
    <s v="Powerplus - Ending in 8s30"/>
    <x v="5745"/>
    <n v="-35313.79"/>
    <x v="3"/>
    <s v="Shopping"/>
    <s v="Delete"/>
    <m/>
    <m/>
    <m/>
    <m/>
    <m/>
    <m/>
    <x v="5111"/>
    <m/>
    <m/>
  </r>
  <r>
    <x v="71"/>
    <d v="2025-10-05T00:00:00"/>
    <s v="Powerplus - Ending in 8s30"/>
    <x v="5745"/>
    <n v="-43250"/>
    <x v="3"/>
    <s v="Shopping"/>
    <s v="Delete"/>
    <m/>
    <m/>
    <m/>
    <m/>
    <m/>
    <m/>
    <x v="511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8EAF4-A519-4CC1-A796-5E32B0BE2705}"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B5:D507" firstHeaderRow="1" firstDataRow="1" firstDataCol="2"/>
  <pivotFields count="17">
    <pivotField compact="0" showAll="0">
      <items count="78">
        <item h="1" x="0"/>
        <item h="1" x="1"/>
        <item h="1" x="2"/>
        <item h="1" x="9"/>
        <item h="1" x="11"/>
        <item h="1" x="13"/>
        <item h="1" x="8"/>
        <item h="1" x="6"/>
        <item h="1" x="12"/>
        <item h="1" x="5"/>
        <item h="1" x="15"/>
        <item h="1" x="7"/>
        <item h="1" x="4"/>
        <item h="1" x="10"/>
        <item h="1" x="14"/>
        <item h="1" x="21"/>
        <item h="1" x="18"/>
        <item h="1" x="20"/>
        <item h="1" x="3"/>
        <item h="1" x="19"/>
        <item h="1" x="17"/>
        <item h="1" x="16"/>
        <item h="1" x="28"/>
        <item h="1" x="29"/>
        <item h="1" x="30"/>
        <item h="1" x="31"/>
        <item h="1" x="32"/>
        <item h="1" x="33"/>
        <item h="1" x="34"/>
        <item h="1" x="35"/>
        <item h="1" x="36"/>
        <item h="1" x="37"/>
        <item h="1" x="38"/>
        <item h="1" x="39"/>
        <item h="1" x="40"/>
        <item h="1" x="41"/>
        <item h="1" x="42"/>
        <item h="1" x="43"/>
        <item h="1" x="45"/>
        <item h="1" x="24"/>
        <item h="1" x="48"/>
        <item h="1" x="22"/>
        <item h="1" x="51"/>
        <item h="1" x="52"/>
        <item h="1" x="53"/>
        <item h="1" x="54"/>
        <item h="1" x="55"/>
        <item h="1" x="46"/>
        <item h="1" x="56"/>
        <item h="1" x="57"/>
        <item h="1" x="47"/>
        <item h="1" x="58"/>
        <item h="1" x="59"/>
        <item h="1" x="60"/>
        <item h="1" x="44"/>
        <item h="1" x="61"/>
        <item h="1" x="26"/>
        <item h="1" x="64"/>
        <item h="1" x="25"/>
        <item h="1" x="23"/>
        <item h="1" x="27"/>
        <item h="1" x="62"/>
        <item h="1" x="65"/>
        <item h="1" x="49"/>
        <item h="1" x="63"/>
        <item h="1" x="50"/>
        <item x="66"/>
        <item x="70"/>
        <item x="68"/>
        <item x="67"/>
        <item x="69"/>
        <item h="1" x="74"/>
        <item h="1" x="73"/>
        <item h="1" x="76"/>
        <item h="1" x="72"/>
        <item h="1" x="71"/>
        <item h="1" x="75"/>
        <item t="default"/>
      </items>
    </pivotField>
    <pivotField compact="0" showAll="0"/>
    <pivotField compact="0" showAll="0"/>
    <pivotField compact="0" showAll="0"/>
    <pivotField dataField="1" compact="0" showAll="0"/>
    <pivotField axis="axisRow" compact="0" showAll="0">
      <items count="62">
        <item x="7"/>
        <item h="1" x="18"/>
        <item x="0"/>
        <item h="1" x="34"/>
        <item x="22"/>
        <item x="56"/>
        <item x="9"/>
        <item x="4"/>
        <item x="3"/>
        <item h="1" x="23"/>
        <item x="20"/>
        <item x="10"/>
        <item x="29"/>
        <item x="5"/>
        <item x="27"/>
        <item x="25"/>
        <item x="30"/>
        <item x="19"/>
        <item h="1" x="14"/>
        <item h="1" x="15"/>
        <item h="1" x="13"/>
        <item x="16"/>
        <item h="1" x="57"/>
        <item x="28"/>
        <item x="6"/>
        <item x="1"/>
        <item h="1" x="17"/>
        <item h="1" x="21"/>
        <item x="8"/>
        <item x="12"/>
        <item x="2"/>
        <item x="24"/>
        <item x="11"/>
        <item h="1" m="1" x="58"/>
        <item h="1" x="26"/>
        <item h="1" m="1" x="60"/>
        <item h="1" m="1" x="59"/>
        <item h="1" x="33"/>
        <item h="1" x="35"/>
        <item h="1" x="36"/>
        <item h="1" x="32"/>
        <item h="1" x="37"/>
        <item h="1" x="38"/>
        <item h="1" x="39"/>
        <item h="1" x="40"/>
        <item h="1" x="41"/>
        <item h="1" x="42"/>
        <item h="1" x="43"/>
        <item h="1" x="44"/>
        <item h="1" x="45"/>
        <item h="1" x="46"/>
        <item h="1" x="53"/>
        <item h="1" x="47"/>
        <item h="1" x="48"/>
        <item h="1" x="49"/>
        <item h="1" x="50"/>
        <item h="1" x="51"/>
        <item h="1" x="52"/>
        <item h="1" x="54"/>
        <item h="1" x="31"/>
        <item h="1" x="55"/>
        <item t="default"/>
      </items>
    </pivotField>
    <pivotField compact="0" showAll="0"/>
    <pivotField compact="0" showAll="0"/>
    <pivotField compact="0" outline="0" showAll="0"/>
    <pivotField compact="0" outline="0" showAll="0"/>
    <pivotField compact="0" showAll="0"/>
    <pivotField compact="0" showAll="0"/>
    <pivotField compact="0" showAll="0"/>
    <pivotField compact="0" showAll="0"/>
    <pivotField axis="axisRow" compact="0" outline="0" showAll="0">
      <items count="5835">
        <item x="268"/>
        <item m="1" x="5747"/>
        <item m="1" x="5686"/>
        <item m="1" x="5804"/>
        <item x="1583"/>
        <item x="1004"/>
        <item x="217"/>
        <item x="630"/>
        <item x="779"/>
        <item x="557"/>
        <item x="591"/>
        <item x="863"/>
        <item x="1964"/>
        <item x="1710"/>
        <item x="1857"/>
        <item x="436"/>
        <item x="953"/>
        <item x="1392"/>
        <item x="1393"/>
        <item x="1394"/>
        <item x="124"/>
        <item x="986"/>
        <item x="1350"/>
        <item x="1487"/>
        <item x="38"/>
        <item x="1668"/>
        <item x="1584"/>
        <item x="1042"/>
        <item x="1827"/>
        <item x="437"/>
        <item x="57"/>
        <item x="281"/>
        <item x="1117"/>
        <item x="438"/>
        <item x="1824"/>
        <item x="22"/>
        <item x="376"/>
        <item x="1802"/>
        <item x="564"/>
        <item x="1192"/>
        <item x="0"/>
        <item x="1748"/>
        <item x="579"/>
        <item x="1770"/>
        <item x="1818"/>
        <item x="1700"/>
        <item x="1883"/>
        <item x="1945"/>
        <item x="1706"/>
        <item x="421"/>
        <item x="1707"/>
        <item x="1667"/>
        <item x="1977"/>
        <item x="1910"/>
        <item x="1959"/>
        <item x="1911"/>
        <item x="317"/>
        <item x="799"/>
        <item x="439"/>
        <item x="48"/>
        <item x="2008"/>
        <item x="1679"/>
        <item x="1689"/>
        <item x="1694"/>
        <item x="1661"/>
        <item x="2010"/>
        <item x="1659"/>
        <item x="1981"/>
        <item x="1922"/>
        <item x="2054"/>
        <item x="2049"/>
        <item x="1955"/>
        <item x="1919"/>
        <item x="1665"/>
        <item x="1937"/>
        <item x="1978"/>
        <item x="2011"/>
        <item x="1858"/>
        <item x="1946"/>
        <item x="1845"/>
        <item x="1855"/>
        <item x="1744"/>
        <item x="1817"/>
        <item x="1881"/>
        <item x="1745"/>
        <item x="1923"/>
        <item x="1915"/>
        <item x="1941"/>
        <item x="1913"/>
        <item x="1942"/>
        <item x="1914"/>
        <item x="1737"/>
        <item x="77"/>
        <item x="1701"/>
        <item x="511"/>
        <item x="164"/>
        <item x="1415"/>
        <item x="1424"/>
        <item x="114"/>
        <item x="1488"/>
        <item x="1005"/>
        <item x="254"/>
        <item x="1458"/>
        <item x="1505"/>
        <item x="1542"/>
        <item x="308"/>
        <item x="2061"/>
        <item x="1726"/>
        <item x="291"/>
        <item x="994"/>
        <item x="115"/>
        <item x="206"/>
        <item x="318"/>
        <item x="440"/>
        <item x="835"/>
        <item x="269"/>
        <item x="1961"/>
        <item x="192"/>
        <item x="1956"/>
        <item x="940"/>
        <item x="242"/>
        <item x="441"/>
        <item x="737"/>
        <item x="879"/>
        <item x="881"/>
        <item x="964"/>
        <item x="1213"/>
        <item x="1454"/>
        <item x="1111"/>
        <item x="1033"/>
        <item x="442"/>
        <item x="1255"/>
        <item x="1884"/>
        <item x="2041"/>
        <item x="2042"/>
        <item m="1" x="5810"/>
        <item x="1077"/>
        <item x="923"/>
        <item m="1" x="5674"/>
        <item m="1" x="5648"/>
        <item x="1043"/>
        <item x="1239"/>
        <item m="1" x="5815"/>
        <item m="1" x="5582"/>
        <item m="1" x="5731"/>
        <item m="1" x="5697"/>
        <item m="1" x="5604"/>
        <item m="1" x="5572"/>
        <item x="1078"/>
        <item m="1" x="5626"/>
        <item x="1168"/>
        <item x="617"/>
        <item x="618"/>
        <item x="1170"/>
        <item x="685"/>
        <item x="686"/>
        <item x="722"/>
        <item x="1240"/>
        <item x="759"/>
        <item x="1277"/>
        <item x="815"/>
        <item x="1317"/>
        <item x="58"/>
        <item x="864"/>
        <item x="1370"/>
        <item x="169"/>
        <item x="917"/>
        <item x="1418"/>
        <item x="255"/>
        <item x="981"/>
        <item x="1472"/>
        <item x="319"/>
        <item x="1006"/>
        <item x="1508"/>
        <item x="377"/>
        <item x="1044"/>
        <item x="1543"/>
        <item x="444"/>
        <item x="1079"/>
        <item x="1585"/>
        <item x="527"/>
        <item x="1128"/>
        <item x="528"/>
        <item x="1209"/>
        <item x="1875"/>
        <item x="39"/>
        <item x="670"/>
        <item x="143"/>
        <item x="1261"/>
        <item x="1947"/>
        <item x="1876"/>
        <item m="1" x="5614"/>
        <item m="1" x="5598"/>
        <item m="1" x="5766"/>
        <item m="1" x="5639"/>
        <item m="1" x="5780"/>
        <item m="1" x="5669"/>
        <item m="1" x="5581"/>
        <item m="1" x="5544"/>
        <item m="1" x="5768"/>
        <item m="1" x="5742"/>
        <item m="1" x="5819"/>
        <item m="1" x="5580"/>
        <item m="1" x="5555"/>
        <item m="1" x="5615"/>
        <item m="1" x="5568"/>
        <item m="1" x="5800"/>
        <item m="1" x="5724"/>
        <item m="1" x="5745"/>
        <item x="163"/>
        <item x="1674"/>
        <item x="1536"/>
        <item x="1509"/>
        <item x="656"/>
        <item x="227"/>
        <item x="1586"/>
        <item x="78"/>
        <item x="252"/>
        <item x="378"/>
        <item x="508"/>
        <item x="622"/>
        <item x="1114"/>
        <item x="138"/>
        <item x="1474"/>
        <item x="1378"/>
        <item x="918"/>
        <item x="1902"/>
        <item x="715"/>
        <item x="716"/>
        <item x="1442"/>
        <item x="1438"/>
        <item x="210"/>
        <item x="2060"/>
        <item x="1080"/>
        <item x="1139"/>
        <item x="1727"/>
        <item x="1435"/>
        <item x="829"/>
        <item x="1288"/>
        <item x="1007"/>
        <item x="230"/>
        <item x="1045"/>
        <item x="1587"/>
        <item x="1965"/>
        <item x="1749"/>
        <item x="1215"/>
        <item x="2012"/>
        <item x="1182"/>
        <item x="1008"/>
        <item x="1"/>
        <item x="1784"/>
        <item x="800"/>
        <item x="173"/>
        <item x="1832"/>
        <item x="1898"/>
        <item x="645"/>
        <item x="1962"/>
        <item x="1419"/>
        <item x="1662"/>
        <item x="211"/>
        <item x="1588"/>
        <item x="1589"/>
        <item x="1695"/>
        <item x="222"/>
        <item x="37"/>
        <item x="1123"/>
        <item x="1753"/>
        <item x="1439"/>
        <item x="1644"/>
        <item x="1081"/>
        <item x="445"/>
        <item x="415"/>
        <item x="422"/>
        <item x="529"/>
        <item x="70"/>
        <item x="1656"/>
        <item x="21"/>
        <item x="593"/>
        <item x="1943"/>
        <item x="1137"/>
        <item x="1320"/>
        <item x="1009"/>
        <item x="1590"/>
        <item x="536"/>
        <item x="160"/>
        <item x="501"/>
        <item x="102"/>
        <item x="320"/>
        <item x="321"/>
        <item x="433"/>
        <item x="184"/>
        <item m="1" x="5684"/>
        <item m="1" x="5833"/>
        <item m="1" x="5642"/>
        <item m="1" x="5527"/>
        <item m="1" x="5784"/>
        <item m="1" x="5746"/>
        <item x="1158"/>
        <item m="1" x="5638"/>
        <item x="1010"/>
        <item x="982"/>
        <item x="1172"/>
        <item m="1" x="5561"/>
        <item m="1" x="5818"/>
        <item x="903"/>
        <item x="995"/>
        <item x="1133"/>
        <item x="1116"/>
        <item x="1193"/>
        <item m="1" x="5827"/>
        <item x="1046"/>
        <item m="1" x="5783"/>
        <item m="1" x="5588"/>
        <item m="1" x="5716"/>
        <item m="1" x="5560"/>
        <item m="1" x="5676"/>
        <item m="1" x="5743"/>
        <item m="1" x="5551"/>
        <item x="1047"/>
        <item x="1082"/>
        <item m="1" x="5717"/>
        <item m="1" x="5786"/>
        <item x="1011"/>
        <item m="1" x="5665"/>
        <item m="1" x="5756"/>
        <item x="1076"/>
        <item m="1" x="5657"/>
        <item m="1" x="5788"/>
        <item m="1" x="5553"/>
        <item m="1" x="5564"/>
        <item x="920"/>
        <item m="1" x="5708"/>
        <item m="1" x="5752"/>
        <item x="941"/>
        <item m="1" x="5549"/>
        <item m="1" x="5831"/>
        <item m="1" x="5620"/>
        <item x="1211"/>
        <item x="660"/>
        <item x="547"/>
        <item x="1746"/>
        <item m="1" x="5809"/>
        <item m="1" x="5720"/>
        <item m="1" x="5528"/>
        <item m="1" x="5641"/>
        <item m="1" x="5603"/>
        <item m="1" x="5534"/>
        <item m="1" x="5729"/>
        <item m="1" x="5791"/>
        <item m="1" x="5584"/>
        <item m="1" x="5550"/>
        <item m="1" x="5749"/>
        <item m="1" x="5814"/>
        <item m="1" x="5610"/>
        <item m="1" x="5795"/>
        <item m="1" x="5753"/>
        <item m="1" x="5817"/>
        <item m="1" x="5820"/>
        <item m="1" x="5821"/>
        <item m="1" x="5760"/>
        <item x="1230"/>
        <item x="35"/>
        <item x="1754"/>
        <item x="1766"/>
        <item m="1" x="5566"/>
        <item m="1" x="5556"/>
        <item m="1" x="5558"/>
        <item m="1" x="5776"/>
        <item m="1" x="5587"/>
        <item m="1" x="5767"/>
        <item x="324"/>
        <item x="303"/>
        <item x="325"/>
        <item x="358"/>
        <item x="97"/>
        <item x="661"/>
        <item x="662"/>
        <item x="165"/>
        <item x="565"/>
        <item x="44"/>
        <item x="45"/>
        <item x="174"/>
        <item x="193"/>
        <item x="247"/>
        <item x="304"/>
        <item x="326"/>
        <item x="509"/>
        <item x="548"/>
        <item x="1167"/>
        <item x="59"/>
        <item x="1885"/>
        <item x="872"/>
        <item x="775"/>
        <item x="1859"/>
        <item x="93"/>
        <item x="1738"/>
        <item x="172"/>
        <item x="1197"/>
        <item x="116"/>
        <item x="572"/>
        <item x="327"/>
        <item x="542"/>
        <item x="448"/>
        <item x="201"/>
        <item x="224"/>
        <item x="316"/>
        <item x="525"/>
        <item x="276"/>
        <item x="180"/>
        <item x="145"/>
        <item x="370"/>
        <item x="449"/>
        <item x="31"/>
        <item x="5"/>
        <item x="91"/>
        <item x="161"/>
        <item x="426"/>
        <item x="260"/>
        <item x="328"/>
        <item x="381"/>
        <item x="503"/>
        <item x="299"/>
        <item x="382"/>
        <item x="450"/>
        <item x="383"/>
        <item x="64"/>
        <item x="329"/>
        <item x="451"/>
        <item x="384"/>
        <item x="977"/>
        <item x="1273"/>
        <item x="15"/>
        <item x="41"/>
        <item x="65"/>
        <item x="66"/>
        <item x="98"/>
        <item x="153"/>
        <item x="154"/>
        <item x="249"/>
        <item x="263"/>
        <item x="362"/>
        <item x="1325"/>
        <item x="67"/>
        <item x="1983"/>
        <item x="1728"/>
        <item x="244"/>
        <item x="761"/>
        <item x="1634"/>
        <item x="1459"/>
        <item x="1957"/>
        <item x="1685"/>
        <item x="1702"/>
        <item x="1719"/>
        <item x="1436"/>
        <item x="674"/>
        <item x="311"/>
        <item x="1453"/>
        <item x="273"/>
        <item x="1345"/>
        <item x="1411"/>
        <item x="1493"/>
        <item x="1495"/>
        <item x="735"/>
        <item x="1012"/>
        <item x="1013"/>
        <item x="1048"/>
        <item x="1083"/>
        <item x="1314"/>
        <item x="1510"/>
        <item x="1511"/>
        <item x="794"/>
        <item x="1475"/>
        <item x="452"/>
        <item x="243"/>
        <item x="504"/>
        <item x="385"/>
        <item x="1680"/>
        <item x="522"/>
        <item x="330"/>
        <item x="238"/>
        <item x="1852"/>
        <item x="1807"/>
        <item x="905"/>
        <item x="1948"/>
        <item x="274"/>
        <item x="277"/>
        <item x="71"/>
        <item x="1969"/>
        <item x="453"/>
        <item x="1651"/>
        <item m="1" x="5685"/>
        <item x="104"/>
        <item x="1681"/>
        <item x="84"/>
        <item x="1819"/>
        <item x="1084"/>
        <item x="1812"/>
        <item x="543"/>
        <item x="218"/>
        <item x="1929"/>
        <item x="944"/>
        <item x="1705"/>
        <item x="1138"/>
        <item x="991"/>
        <item x="512"/>
        <item x="331"/>
        <item x="1544"/>
        <item x="1198"/>
        <item x="1635"/>
        <item x="692"/>
        <item x="1085"/>
        <item x="1086"/>
        <item m="1" x="5652"/>
        <item m="1" x="5704"/>
        <item m="1" x="5832"/>
        <item m="1" x="5739"/>
        <item m="1" x="5700"/>
        <item m="1" x="5543"/>
        <item m="1" x="5589"/>
        <item m="1" x="5554"/>
        <item m="1" x="5643"/>
        <item m="1" x="5663"/>
        <item m="1" x="5681"/>
        <item m="1" x="5637"/>
        <item m="1" x="5616"/>
        <item m="1" x="5596"/>
        <item m="1" x="5605"/>
        <item m="1" x="5576"/>
        <item m="1" x="5575"/>
        <item m="1" x="5661"/>
        <item m="1" x="5628"/>
        <item m="1" x="5750"/>
        <item m="1" x="5541"/>
        <item m="1" x="5734"/>
        <item x="1703"/>
        <item m="1" x="5671"/>
        <item m="1" x="5830"/>
        <item x="853"/>
        <item x="1371"/>
        <item x="1813"/>
        <item x="1466"/>
        <item m="1" x="5778"/>
        <item x="913"/>
        <item m="1" x="5828"/>
        <item m="1" x="5796"/>
        <item m="1" x="5811"/>
        <item m="1" x="5679"/>
        <item m="1" x="5673"/>
        <item m="1" x="5822"/>
        <item m="1" x="5771"/>
        <item m="1" x="5591"/>
        <item m="1" x="5808"/>
        <item m="1" x="5715"/>
        <item m="1" x="5531"/>
        <item m="1" x="5532"/>
        <item m="1" x="5699"/>
        <item m="1" x="5781"/>
        <item m="1" x="5525"/>
        <item m="1" x="5547"/>
        <item m="1" x="5754"/>
        <item m="1" x="5755"/>
        <item m="1" x="5829"/>
        <item m="1" x="5672"/>
        <item m="1" x="5761"/>
        <item m="1" x="5613"/>
        <item m="1" x="5655"/>
        <item m="1" x="5545"/>
        <item m="1" x="5586"/>
        <item m="1" x="5548"/>
        <item m="1" x="5703"/>
        <item m="1" x="5707"/>
        <item m="1" x="5617"/>
        <item m="1" x="5735"/>
        <item m="1" x="5709"/>
        <item x="430"/>
        <item x="523"/>
        <item x="2004"/>
        <item x="1990"/>
        <item x="1991"/>
        <item x="904"/>
        <item x="1428"/>
        <item x="1591"/>
        <item x="1228"/>
        <item x="606"/>
        <item x="1663"/>
        <item x="253"/>
        <item x="2062"/>
        <item x="1810"/>
        <item x="1169"/>
        <item x="1649"/>
        <item m="1" x="5540"/>
        <item m="1" x="5535"/>
        <item m="1" x="5538"/>
        <item m="1" x="5770"/>
        <item m="1" x="5670"/>
        <item m="1" x="5824"/>
        <item m="1" x="5693"/>
        <item m="1" x="5542"/>
        <item m="1" x="5624"/>
        <item m="1" x="5730"/>
        <item m="1" x="5696"/>
        <item m="1" x="5757"/>
        <item m="1" x="5608"/>
        <item m="1" x="5705"/>
        <item m="1" x="5683"/>
        <item x="416"/>
        <item x="88"/>
        <item x="1984"/>
        <item x="295"/>
        <item x="659"/>
        <item x="713"/>
        <item x="1732"/>
        <item x="1246"/>
        <item x="1253"/>
        <item x="108"/>
        <item x="802"/>
        <item x="867"/>
        <item x="1739"/>
        <item x="566"/>
        <item x="72"/>
        <item x="1362"/>
        <item x="6"/>
        <item x="1982"/>
        <item x="1889"/>
        <item x="2046"/>
        <item x="239"/>
        <item x="513"/>
        <item x="1850"/>
        <item x="1481"/>
        <item x="1318"/>
        <item x="855"/>
        <item x="809"/>
        <item x="817"/>
        <item x="1420"/>
        <item x="1179"/>
        <item x="75"/>
        <item x="1014"/>
        <item x="820"/>
        <item x="1263"/>
        <item x="175"/>
        <item x="2013"/>
        <item x="1715"/>
        <item x="803"/>
        <item x="868"/>
        <item x="109"/>
        <item x="134"/>
        <item m="1" x="5816"/>
        <item m="1" x="5574"/>
        <item m="1" x="5805"/>
        <item m="1" x="5732"/>
        <item x="1301"/>
        <item x="1836"/>
        <item x="1015"/>
        <item x="17"/>
        <item x="23"/>
        <item x="24"/>
        <item x="332"/>
        <item x="663"/>
        <item x="856"/>
        <item m="1" x="5793"/>
        <item x="1147"/>
        <item x="1087"/>
        <item x="1868"/>
        <item x="1149"/>
        <item x="549"/>
        <item x="514"/>
        <item x="194"/>
        <item x="386"/>
        <item x="454"/>
        <item x="515"/>
        <item x="594"/>
        <item x="671"/>
        <item x="1540"/>
        <item x="1129"/>
        <item x="1185"/>
        <item x="228"/>
        <item x="1985"/>
        <item x="519"/>
        <item m="1" x="5618"/>
        <item m="1" x="5762"/>
        <item x="1907"/>
        <item m="1" x="5539"/>
        <item m="1" x="5524"/>
        <item m="1" x="5721"/>
        <item m="1" x="5630"/>
        <item m="1" x="5662"/>
        <item m="1" x="5698"/>
        <item m="1" x="5733"/>
        <item m="1" x="5650"/>
        <item m="1" x="5667"/>
        <item x="1037"/>
        <item x="615"/>
        <item x="1155"/>
        <item x="63"/>
        <item x="640"/>
        <item x="728"/>
        <item x="183"/>
        <item x="480"/>
        <item x="1106"/>
        <item x="814"/>
        <item x="96"/>
        <item x="993"/>
        <item x="1171"/>
        <item x="499"/>
        <item x="717"/>
        <item x="1235"/>
        <item x="880"/>
        <item x="979"/>
        <item x="481"/>
        <item x="1107"/>
        <item x="1110"/>
        <item x="246"/>
        <item x="554"/>
        <item x="840"/>
        <item x="372"/>
        <item x="424"/>
        <item x="588"/>
        <item x="743"/>
        <item x="1207"/>
        <item x="142"/>
        <item x="684"/>
        <item x="854"/>
        <item x="1808"/>
        <item x="85"/>
        <item x="86"/>
        <item x="8"/>
        <item x="1979"/>
        <item x="1799"/>
        <item x="456"/>
        <item x="1790"/>
        <item x="990"/>
        <item x="1379"/>
        <item x="333"/>
        <item x="195"/>
        <item x="1088"/>
        <item x="2056"/>
        <item x="1763"/>
        <item x="687"/>
        <item x="1626"/>
        <item x="1725"/>
        <item x="891"/>
        <item x="892"/>
        <item x="1203"/>
        <item x="1764"/>
        <item x="1747"/>
        <item x="1733"/>
        <item x="1767"/>
        <item x="895"/>
        <item x="1151"/>
        <item x="285"/>
        <item x="219"/>
        <item x="965"/>
        <item x="79"/>
        <item x="2009"/>
        <item x="1841"/>
        <item x="1148"/>
        <item x="1670"/>
        <item x="80"/>
        <item x="1163"/>
        <item x="972"/>
        <item x="294"/>
        <item x="69"/>
        <item x="103"/>
        <item x="127"/>
        <item x="152"/>
        <item x="506"/>
        <item x="278"/>
        <item x="257"/>
        <item x="1963"/>
        <item x="1768"/>
        <item x="1815"/>
        <item x="1708"/>
        <item x="1986"/>
        <item x="1800"/>
        <item x="2035"/>
        <item x="387"/>
        <item x="151"/>
        <item x="607"/>
        <item x="869"/>
        <item x="457"/>
        <item x="1494"/>
        <item x="1344"/>
        <item x="945"/>
        <item x="1282"/>
        <item x="2015"/>
        <item x="2064"/>
        <item x="2016"/>
        <item x="225"/>
        <item x="698"/>
        <item x="226"/>
        <item x="1049"/>
        <item x="1842"/>
        <item x="1627"/>
        <item x="1592"/>
        <item x="1831"/>
        <item x="373"/>
        <item x="1545"/>
        <item x="1303"/>
        <item x="1992"/>
        <item x="458"/>
        <item x="2051"/>
        <item m="1" x="5682"/>
        <item x="1499"/>
        <item x="1894"/>
        <item x="1448"/>
        <item x="1016"/>
        <item x="1251"/>
        <item x="1337"/>
        <item x="936"/>
        <item x="121"/>
        <item x="208"/>
        <item x="296"/>
        <item x="359"/>
        <item x="411"/>
        <item x="486"/>
        <item x="577"/>
        <item x="647"/>
        <item x="709"/>
        <item x="744"/>
        <item x="788"/>
        <item x="838"/>
        <item x="893"/>
        <item x="1388"/>
        <item x="1274"/>
        <item x="746"/>
        <item x="2047"/>
        <item x="1429"/>
        <item x="1829"/>
        <item x="459"/>
        <item x="271"/>
        <item x="185"/>
        <item x="550"/>
        <item x="1174"/>
        <item x="1156"/>
        <item x="312"/>
        <item x="367"/>
        <item x="1066"/>
        <item x="776"/>
        <item x="1636"/>
        <item x="1306"/>
        <item x="1307"/>
        <item x="1755"/>
        <item x="1546"/>
        <item x="1664"/>
        <item x="1666"/>
        <item x="1460"/>
        <item x="1159"/>
        <item x="1920"/>
        <item x="1512"/>
        <item x="388"/>
        <item x="789"/>
        <item x="1348"/>
        <item x="1267"/>
        <item x="1402"/>
        <item x="1204"/>
        <item x="1380"/>
        <item x="1194"/>
        <item x="1547"/>
        <item x="1756"/>
        <item x="334"/>
        <item x="672"/>
        <item x="1877"/>
        <item x="1878"/>
        <item x="279"/>
        <item x="1716"/>
        <item x="1089"/>
        <item x="1396"/>
        <item x="1534"/>
        <item x="1548"/>
        <item x="68"/>
        <item x="1090"/>
        <item x="1968"/>
        <item x="1696"/>
        <item x="1308"/>
        <item x="1160"/>
        <item x="1773"/>
        <item x="1264"/>
        <item x="804"/>
        <item x="1593"/>
        <item x="683"/>
        <item x="1628"/>
        <item x="1470"/>
        <item x="534"/>
        <item x="664"/>
        <item x="1779"/>
        <item x="1485"/>
        <item x="1513"/>
        <item x="256"/>
        <item x="335"/>
        <item x="2036"/>
        <item x="2037"/>
        <item x="1909"/>
        <item x="1899"/>
        <item x="1966"/>
        <item x="2038"/>
        <item x="81"/>
        <item x="1734"/>
        <item x="261"/>
        <item x="60"/>
        <item x="61"/>
        <item x="1295"/>
        <item x="768"/>
        <item x="1140"/>
        <item x="1549"/>
        <item x="36"/>
        <item x="544"/>
        <item x="1550"/>
        <item x="774"/>
        <item x="1834"/>
        <item x="1551"/>
        <item x="1820"/>
        <item x="1190"/>
        <item x="1219"/>
        <item x="1506"/>
        <item x="1774"/>
        <item x="1000"/>
        <item x="1431"/>
        <item x="1268"/>
        <item x="1697"/>
        <item x="1003"/>
        <item x="1220"/>
        <item x="1645"/>
        <item x="18"/>
        <item x="27"/>
        <item x="117"/>
        <item x="139"/>
        <item x="150"/>
        <item x="170"/>
        <item x="1178"/>
        <item x="186"/>
        <item x="1552"/>
        <item x="1330"/>
        <item x="1769"/>
        <item x="1259"/>
        <item x="1445"/>
        <item x="1398"/>
        <item x="1342"/>
        <item x="1496"/>
        <item x="1343"/>
        <item x="1399"/>
        <item x="1446"/>
        <item x="1514"/>
        <item x="1515"/>
        <item x="1292"/>
        <item x="1260"/>
        <item x="118"/>
        <item x="634"/>
        <item x="1776"/>
        <item x="56"/>
        <item x="624"/>
        <item x="537"/>
        <item x="460"/>
        <item x="790"/>
        <item x="1397"/>
        <item x="1711"/>
        <item x="389"/>
        <item x="390"/>
        <item x="1476"/>
        <item x="212"/>
        <item x="1871"/>
        <item x="1349"/>
        <item x="966"/>
        <item x="1886"/>
        <item x="286"/>
        <item x="1785"/>
        <item x="558"/>
        <item x="2023"/>
        <item x="1944"/>
        <item x="769"/>
        <item x="973"/>
        <item x="1594"/>
        <item x="282"/>
        <item x="461"/>
        <item x="1091"/>
        <item x="921"/>
        <item x="462"/>
        <item x="1092"/>
        <item x="463"/>
        <item x="1093"/>
        <item x="1094"/>
        <item x="1579"/>
        <item x="1309"/>
        <item x="1930"/>
        <item x="1356"/>
        <item x="1646"/>
        <item x="1742"/>
        <item x="929"/>
        <item x="1516"/>
        <item x="1357"/>
        <item x="166"/>
        <item x="28"/>
        <item m="1" x="5651"/>
        <item m="1" x="5790"/>
        <item m="1" x="5607"/>
        <item m="1" x="5530"/>
        <item m="1" x="5649"/>
        <item m="1" x="5713"/>
        <item m="1" x="5645"/>
        <item m="1" x="5785"/>
        <item m="1" x="5741"/>
        <item m="1" x="5619"/>
        <item m="1" x="5712"/>
        <item m="1" x="5763"/>
        <item m="1" x="5599"/>
        <item m="1" x="5692"/>
        <item m="1" x="5775"/>
        <item m="1" x="5654"/>
        <item m="1" x="5801"/>
        <item m="1" x="5702"/>
        <item m="1" x="5773"/>
        <item m="1" x="5597"/>
        <item m="1" x="5656"/>
        <item m="1" x="5567"/>
        <item m="1" x="5666"/>
        <item m="1" x="5595"/>
        <item m="1" x="5751"/>
        <item m="1" x="5601"/>
        <item m="1" x="5677"/>
        <item x="1717"/>
        <item x="2005"/>
        <item x="2006"/>
        <item x="575"/>
        <item x="1890"/>
        <item x="368"/>
        <item x="1497"/>
        <item x="1872"/>
        <item x="1372"/>
        <item x="434"/>
        <item x="1067"/>
        <item x="1176"/>
        <item x="94"/>
        <item x="639"/>
        <item x="1970"/>
        <item x="766"/>
        <item x="1999"/>
        <item x="792"/>
        <item x="1931"/>
        <item x="1880"/>
        <item x="2057"/>
        <item x="2024"/>
        <item x="1620"/>
        <item x="665"/>
        <item x="1130"/>
        <item x="1136"/>
        <item x="283"/>
        <item x="466"/>
        <item x="266"/>
        <item x="1735"/>
        <item x="1949"/>
        <item x="1050"/>
        <item x="264"/>
        <item x="1311"/>
        <item x="1683"/>
        <item x="1486"/>
        <item x="1319"/>
        <item x="954"/>
        <item x="129"/>
        <item x="148"/>
        <item x="177"/>
        <item x="1287"/>
        <item x="1304"/>
        <item x="627"/>
        <item x="338"/>
        <item x="363"/>
        <item x="393"/>
        <item x="394"/>
        <item x="395"/>
        <item x="467"/>
        <item x="505"/>
        <item x="561"/>
        <item x="573"/>
        <item x="601"/>
        <item x="614"/>
        <item x="666"/>
        <item x="468"/>
        <item x="339"/>
        <item x="340"/>
        <item x="292"/>
        <item x="250"/>
        <item x="834"/>
        <item x="1447"/>
        <item x="1375"/>
        <item x="865"/>
        <item x="1321"/>
        <item x="1538"/>
        <item x="1987"/>
        <item x="1455"/>
        <item x="924"/>
        <item x="234"/>
        <item x="240"/>
        <item x="1363"/>
        <item x="1341"/>
        <item x="1285"/>
        <item x="147"/>
        <item x="1038"/>
        <item x="1993"/>
        <item x="1366"/>
        <item x="874"/>
        <item x="1376"/>
        <item x="1980"/>
        <item x="1994"/>
        <item x="1367"/>
        <item x="364"/>
        <item x="417"/>
        <item x="490"/>
        <item x="580"/>
        <item x="650"/>
        <item x="810"/>
        <item x="841"/>
        <item x="510"/>
        <item x="1449"/>
        <item x="1954"/>
        <item x="49"/>
        <item x="1821"/>
        <item x="1912"/>
        <item x="1434"/>
        <item x="1269"/>
        <item x="1777"/>
        <item x="2025"/>
        <item x="1816"/>
        <item x="1720"/>
        <item x="1124"/>
        <item x="1199"/>
        <item x="213"/>
        <item x="1971"/>
        <item x="2065"/>
        <item x="2066"/>
        <item x="2067"/>
        <item x="610"/>
        <item x="2017"/>
        <item x="1440"/>
        <item x="1017"/>
        <item x="1650"/>
        <item x="1553"/>
        <item m="1" x="5803"/>
        <item x="842"/>
        <item x="1051"/>
        <item x="1473"/>
        <item x="1234"/>
        <item x="1214"/>
        <item x="270"/>
        <item x="974"/>
        <item x="1621"/>
        <item x="985"/>
        <item x="1833"/>
        <item x="2030"/>
        <item x="1750"/>
        <item x="1643"/>
        <item x="235"/>
        <item x="770"/>
        <item x="1252"/>
        <item x="987"/>
        <item x="1109"/>
        <item x="771"/>
        <item x="697"/>
        <item x="1684"/>
        <item m="1" x="5611"/>
        <item x="1052"/>
        <item x="1095"/>
        <item x="957"/>
        <item x="1018"/>
        <item x="909"/>
        <item x="928"/>
        <item x="1144"/>
        <item x="1166"/>
        <item x="992"/>
        <item x="1053"/>
        <item x="1120"/>
        <item m="1" x="5552"/>
        <item m="1" x="5719"/>
        <item x="1019"/>
        <item m="1" x="5658"/>
        <item x="1074"/>
        <item m="1" x="5675"/>
        <item m="1" x="5701"/>
        <item m="1" x="5629"/>
        <item x="988"/>
        <item x="1115"/>
        <item x="1036"/>
        <item m="1" x="5725"/>
        <item x="934"/>
        <item x="1217"/>
        <item x="978"/>
        <item x="1226"/>
        <item x="1096"/>
        <item m="1" x="5606"/>
        <item x="1173"/>
        <item x="1180"/>
        <item m="1" x="5812"/>
        <item x="1232"/>
        <item x="1068"/>
        <item x="1097"/>
        <item x="922"/>
        <item x="1157"/>
        <item m="1" x="5659"/>
        <item m="1" x="5789"/>
        <item m="1" x="5557"/>
        <item x="1134"/>
        <item x="1020"/>
        <item x="1206"/>
        <item x="1054"/>
        <item x="898"/>
        <item x="1002"/>
        <item x="1191"/>
        <item m="1" x="5565"/>
        <item x="1237"/>
        <item x="1210"/>
        <item x="1595"/>
        <item x="1596"/>
        <item x="469"/>
        <item x="1924"/>
        <item x="1281"/>
        <item x="1597"/>
        <item x="1322"/>
        <item x="712"/>
        <item x="32"/>
        <item x="507"/>
        <item x="231"/>
        <item x="220"/>
        <item x="1389"/>
        <item x="111"/>
        <item x="232"/>
        <item x="258"/>
        <item x="1358"/>
        <item x="1373"/>
        <item x="595"/>
        <item x="999"/>
        <item x="1775"/>
        <item x="2043"/>
        <item x="1121"/>
        <item m="1" x="5744"/>
        <item x="843"/>
        <item x="1637"/>
        <item x="1554"/>
        <item x="371"/>
        <item x="1055"/>
        <item x="1797"/>
        <item x="937"/>
        <item x="2068"/>
        <item x="9"/>
        <item x="1406"/>
        <item x="1404"/>
        <item x="1118"/>
        <item x="1119"/>
        <item x="1177"/>
        <item x="1098"/>
        <item x="1099"/>
        <item x="1671"/>
        <item x="1056"/>
        <item m="1" x="5774"/>
        <item m="1" x="5562"/>
        <item x="983"/>
        <item x="1100"/>
        <item m="1" x="5792"/>
        <item x="1131"/>
        <item x="919"/>
        <item m="1" x="5592"/>
        <item m="1" x="5728"/>
        <item x="1021"/>
        <item x="1175"/>
        <item m="1" x="5526"/>
        <item x="1212"/>
        <item m="1" x="5798"/>
        <item m="1" x="5690"/>
        <item m="1" x="5710"/>
        <item m="1" x="5625"/>
        <item m="1" x="5633"/>
        <item m="1" x="5632"/>
        <item m="1" x="5571"/>
        <item m="1" x="5826"/>
        <item m="1" x="5748"/>
        <item m="1" x="5825"/>
        <item m="1" x="5631"/>
        <item x="1925"/>
        <item x="1972"/>
        <item m="1" x="5711"/>
        <item m="1" x="5578"/>
        <item m="1" x="5689"/>
        <item m="1" x="5570"/>
        <item x="1599"/>
        <item x="625"/>
        <item x="1555"/>
        <item x="1600"/>
        <item x="1503"/>
        <item x="1740"/>
        <item x="1433"/>
        <item x="1932"/>
        <item x="1654"/>
        <item x="1874"/>
        <item x="938"/>
        <item x="1200"/>
        <item x="946"/>
        <item x="947"/>
        <item x="1778"/>
        <item x="1022"/>
        <item x="673"/>
        <item x="1467"/>
        <item x="535"/>
        <item x="1724"/>
        <item x="1973"/>
        <item x="1780"/>
        <item x="1974"/>
        <item x="199"/>
        <item x="1926"/>
        <item x="1601"/>
        <item x="360"/>
        <item x="1443"/>
        <item x="1786"/>
        <item x="1517"/>
        <item x="1289"/>
        <item x="99"/>
        <item x="2018"/>
        <item x="1688"/>
        <item x="1781"/>
        <item x="187"/>
        <item x="1903"/>
        <item x="300"/>
        <item x="1751"/>
        <item x="176"/>
        <item x="46"/>
        <item x="47"/>
        <item x="418"/>
        <item x="500"/>
        <item x="688"/>
        <item x="850"/>
        <item x="2069"/>
        <item x="1602"/>
        <item x="906"/>
        <item x="703"/>
        <item x="733"/>
        <item x="756"/>
        <item x="182"/>
        <item x="1101"/>
        <item x="1938"/>
        <item x="221"/>
        <item x="1798"/>
        <item x="1537"/>
        <item x="631"/>
        <item x="1284"/>
        <item x="1603"/>
        <item x="1791"/>
        <item x="1629"/>
        <item x="1556"/>
        <item x="188"/>
        <item x="1057"/>
        <item x="1351"/>
        <item x="1904"/>
        <item x="1152"/>
        <item x="2777"/>
        <item x="3415"/>
        <item x="1145"/>
        <item x="1326"/>
        <item x="1058"/>
        <item x="491"/>
        <item x="396"/>
        <item x="551"/>
        <item x="1201"/>
        <item x="341"/>
        <item x="435"/>
        <item x="1161"/>
        <item x="2001"/>
        <item x="2002"/>
        <item x="1630"/>
        <item x="1622"/>
        <item x="1631"/>
        <item x="1604"/>
        <item x="818"/>
        <item x="1557"/>
        <item x="1789"/>
        <item x="596"/>
        <item x="149"/>
        <item x="470"/>
        <item x="1887"/>
        <item x="899"/>
        <item x="1693"/>
        <item x="2022"/>
        <item x="14"/>
        <item x="133"/>
        <item x="197"/>
        <item x="305"/>
        <item x="365"/>
        <item x="425"/>
        <item x="493"/>
        <item x="589"/>
        <item x="748"/>
        <item x="793"/>
        <item x="846"/>
        <item x="900"/>
        <item x="289"/>
        <item x="306"/>
        <item x="354"/>
        <item x="355"/>
        <item x="408"/>
        <item x="409"/>
        <item x="413"/>
        <item x="428"/>
        <item x="482"/>
        <item x="483"/>
        <item x="494"/>
        <item x="520"/>
        <item x="555"/>
        <item x="570"/>
        <item x="582"/>
        <item x="599"/>
        <item x="611"/>
        <item x="620"/>
        <item x="628"/>
        <item x="637"/>
        <item x="667"/>
        <item x="679"/>
        <item x="694"/>
        <item x="706"/>
        <item x="724"/>
        <item x="730"/>
        <item x="741"/>
        <item x="751"/>
        <item x="757"/>
        <item x="777"/>
        <item x="797"/>
        <item x="826"/>
        <item x="861"/>
        <item x="886"/>
        <item x="1870"/>
        <item x="1677"/>
        <item x="1699"/>
        <item x="1743"/>
        <item x="1843"/>
        <item x="1928"/>
        <item x="1741"/>
        <item x="1669"/>
        <item x="1761"/>
        <item x="1801"/>
        <item x="1837"/>
        <item x="1723"/>
        <item x="156"/>
        <item x="1891"/>
        <item x="1933"/>
        <item x="1866"/>
        <item x="427"/>
        <item x="1771"/>
        <item x="1721"/>
        <item x="1518"/>
        <item x="1975"/>
        <item x="1582"/>
        <item x="112"/>
        <item x="569"/>
        <item x="1844"/>
        <item x="1690"/>
        <item x="948"/>
        <item x="1183"/>
        <item x="1605"/>
        <item x="1353"/>
        <item x="783"/>
        <item x="397"/>
        <item x="398"/>
        <item x="632"/>
        <item x="1675"/>
        <item x="471"/>
        <item x="313"/>
        <item x="1657"/>
        <item x="1059"/>
        <item x="1283"/>
        <item x="825"/>
        <item x="997"/>
        <item x="399"/>
        <item x="871"/>
        <item x="1795"/>
        <item x="1218"/>
        <item x="1606"/>
        <item x="1346"/>
        <item x="400"/>
        <item x="830"/>
        <item x="1860"/>
        <item x="1853"/>
        <item x="772"/>
        <item x="241"/>
        <item x="1712"/>
        <item x="1060"/>
        <item x="1482"/>
        <item x="1390"/>
        <item x="1061"/>
        <item x="25"/>
        <item x="696"/>
        <item x="689"/>
        <item x="1444"/>
        <item x="1782"/>
        <item x="1034"/>
        <item x="168"/>
        <item x="1425"/>
        <item x="719"/>
        <item x="1280"/>
        <item x="1122"/>
        <item x="967"/>
        <item x="342"/>
        <item x="343"/>
        <item x="344"/>
        <item x="1709"/>
        <item x="1519"/>
        <item x="585"/>
        <item x="1354"/>
        <item x="1752"/>
        <item x="1520"/>
        <item x="984"/>
        <item x="1062"/>
        <item x="288"/>
        <item x="652"/>
        <item x="1652"/>
        <item x="2000"/>
        <item x="1374"/>
        <item x="1653"/>
        <item x="1838"/>
        <item x="1995"/>
        <item x="971"/>
        <item x="105"/>
        <item x="125"/>
        <item x="714"/>
        <item x="1257"/>
        <item x="1338"/>
        <item x="1331"/>
        <item x="1063"/>
        <item x="76"/>
        <item x="251"/>
        <item x="581"/>
        <item x="1238"/>
        <item x="135"/>
        <item x="1108"/>
        <item x="1069"/>
        <item x="423"/>
        <item x="1558"/>
        <item x="785"/>
        <item x="1400"/>
        <item x="1450"/>
        <item x="1451"/>
        <item x="1146"/>
        <item x="62"/>
        <item x="1071"/>
        <item x="1803"/>
        <item x="1141"/>
        <item x="1142"/>
        <item x="1143"/>
        <item x="1001"/>
        <item x="845"/>
        <item x="1607"/>
        <item x="1559"/>
        <item x="1500"/>
        <item x="700"/>
        <item x="431"/>
        <item x="609"/>
        <item x="2052"/>
        <item x="989"/>
        <item x="942"/>
        <item x="701"/>
        <item x="726"/>
        <item x="823"/>
        <item x="1408"/>
        <item x="1412"/>
        <item x="911"/>
        <item x="702"/>
        <item x="795"/>
        <item x="1186"/>
        <item x="205"/>
        <item x="1300"/>
        <item x="859"/>
        <item x="1783"/>
        <item x="1861"/>
        <item x="1560"/>
        <item x="524"/>
        <item x="1641"/>
        <item x="472"/>
        <item x="882"/>
        <item x="930"/>
        <item x="1407"/>
        <item x="912"/>
        <item x="1395"/>
        <item x="925"/>
        <item x="926"/>
        <item x="1839"/>
        <item x="870"/>
        <item m="1" x="5723"/>
        <item x="949"/>
        <item x="1507"/>
        <item x="1464"/>
        <item x="130"/>
        <item x="131"/>
        <item x="1862"/>
        <item x="1023"/>
        <item x="1950"/>
        <item x="1024"/>
        <item x="2031"/>
        <item x="1521"/>
        <item x="1787"/>
        <item x="935"/>
        <item x="1863"/>
        <item x="1315"/>
        <item x="1561"/>
        <item x="1102"/>
        <item x="1562"/>
        <item x="19"/>
        <item x="1563"/>
        <item x="20"/>
        <item x="267"/>
        <item x="1608"/>
        <item x="293"/>
        <item x="642"/>
        <item x="705"/>
        <item x="203"/>
        <item x="284"/>
        <item x="345"/>
        <item x="401"/>
        <item x="473"/>
        <item x="576"/>
        <item x="33"/>
        <item x="496"/>
        <item x="374"/>
        <item x="1216"/>
        <item x="1564"/>
        <item x="958"/>
        <item x="301"/>
        <item x="851"/>
        <item x="10"/>
        <item x="11"/>
        <item x="50"/>
        <item x="1298"/>
        <item x="586"/>
        <item x="12"/>
        <item x="669"/>
        <item x="375"/>
        <item x="1461"/>
        <item x="806"/>
        <item x="1825"/>
        <item x="1266"/>
        <item x="1522"/>
        <item x="1939"/>
        <item x="530"/>
        <item x="207"/>
        <item x="1623"/>
        <item x="1609"/>
        <item x="1541"/>
        <item x="516"/>
        <item x="1421"/>
        <item x="767"/>
        <item x="975"/>
        <item x="896"/>
        <item x="653"/>
        <item x="13"/>
        <item x="200"/>
        <item x="723"/>
        <item x="474"/>
        <item x="807"/>
        <item x="1996"/>
        <item x="1368"/>
        <item x="1305"/>
        <item x="1299"/>
        <item x="1384"/>
        <item x="1432"/>
        <item x="517"/>
        <item x="419"/>
        <item x="1332"/>
        <item x="847"/>
        <item x="1523"/>
        <item x="1489"/>
        <item x="811"/>
        <item x="1233"/>
        <item x="796"/>
        <item x="1849"/>
        <item x="1075"/>
        <item x="1333"/>
        <item x="1070"/>
        <item x="1830"/>
        <item x="1565"/>
        <item x="1566"/>
        <item x="2"/>
        <item x="1934"/>
        <item x="119"/>
        <item x="1882"/>
        <item x="1025"/>
        <item x="1567"/>
        <item x="837"/>
        <item x="1660"/>
        <item x="2027"/>
        <item x="2048"/>
        <item x="1477"/>
        <item x="1792"/>
        <item x="1822"/>
        <item x="932"/>
        <item x="1242"/>
        <item x="492"/>
        <item x="1323"/>
        <item x="1757"/>
        <item x="1758"/>
        <item x="1312"/>
        <item x="597"/>
        <item x="633"/>
        <item x="1856"/>
        <item x="1846"/>
        <item x="1498"/>
        <item x="1478"/>
        <item x="1296"/>
        <item x="402"/>
        <item x="403"/>
        <item x="518"/>
        <item x="1359"/>
        <item x="346"/>
        <item x="214"/>
        <item x="1804"/>
        <item x="962"/>
        <item x="1905"/>
        <item x="1039"/>
        <item x="1906"/>
        <item x="1385"/>
        <item x="1026"/>
        <item x="1967"/>
        <item x="1381"/>
        <item x="347"/>
        <item x="1386"/>
        <item x="603"/>
        <item x="1221"/>
        <item x="1655"/>
        <item x="275"/>
        <item x="171"/>
        <item x="1355"/>
        <item x="1997"/>
        <item x="1524"/>
        <item x="950"/>
        <item x="1722"/>
        <item x="1647"/>
        <item x="1479"/>
        <item x="1222"/>
        <item x="931"/>
        <item x="998"/>
        <item x="1027"/>
        <item x="348"/>
        <item x="1568"/>
        <item x="1112"/>
        <item x="1610"/>
        <item x="1796"/>
        <item x="1960"/>
        <item x="2026"/>
        <item x="1324"/>
        <item x="560"/>
        <item x="189"/>
        <item x="2032"/>
        <item x="1624"/>
        <item x="902"/>
        <item x="784"/>
        <item x="1236"/>
        <item x="955"/>
        <item x="956"/>
        <item x="1334"/>
        <item x="1854"/>
        <item x="545"/>
        <item x="1916"/>
        <item x="866"/>
        <item x="349"/>
        <item x="1258"/>
        <item x="314"/>
        <item x="1805"/>
        <item x="1202"/>
        <item x="786"/>
        <item x="1135"/>
        <item x="120"/>
        <item x="1339"/>
        <item x="1976"/>
        <item x="1867"/>
        <item x="1525"/>
        <item x="1691"/>
        <item m="1" x="5627"/>
        <item m="1" x="5764"/>
        <item m="1" x="5718"/>
        <item m="1" x="5668"/>
        <item m="1" x="5590"/>
        <item m="1" x="5664"/>
        <item m="1" x="5546"/>
        <item m="1" x="5585"/>
        <item m="1" x="5691"/>
        <item m="1" x="5612"/>
        <item m="1" x="5559"/>
        <item x="1678"/>
        <item x="1483"/>
        <item x="497"/>
        <item x="1441"/>
        <item x="1864"/>
        <item x="34"/>
        <item x="1951"/>
        <item x="1998"/>
        <item x="2070"/>
        <item x="87"/>
        <item x="136"/>
        <item x="309"/>
        <item x="233"/>
        <item x="1437"/>
        <item x="1686"/>
        <item x="1648"/>
        <item x="1765"/>
        <item x="1762"/>
        <item x="1633"/>
        <item x="907"/>
        <item x="1347"/>
        <item x="1127"/>
        <item x="489"/>
        <item x="567"/>
        <item x="897"/>
        <item x="531"/>
        <item x="51"/>
        <item x="1231"/>
        <item x="914"/>
        <item x="52"/>
        <item x="1527"/>
        <item x="1840"/>
        <item x="1401"/>
        <item x="1456"/>
        <item x="1917"/>
        <item x="1335"/>
        <item x="1302"/>
        <item x="1988"/>
        <item x="1064"/>
        <item x="1223"/>
        <item x="1692"/>
        <item x="1828"/>
        <item x="2058"/>
        <item x="1935"/>
        <item x="1391"/>
        <item x="1687"/>
        <item x="1918"/>
        <item x="681"/>
        <item x="604"/>
        <item x="1336"/>
        <item x="475"/>
        <item x="1297"/>
        <item x="73"/>
        <item x="1958"/>
        <item x="1569"/>
        <item x="404"/>
        <item x="959"/>
        <item x="420"/>
        <item x="1073"/>
        <item x="1484"/>
        <item x="1611"/>
        <item x="960"/>
        <item x="476"/>
        <item x="996"/>
        <item x="943"/>
        <item x="562"/>
        <item x="262"/>
        <item x="1162"/>
        <item x="646"/>
        <item x="939"/>
        <item x="122"/>
        <item x="209"/>
        <item x="297"/>
        <item x="361"/>
        <item x="412"/>
        <item x="487"/>
        <item x="578"/>
        <item x="648"/>
        <item x="711"/>
        <item x="745"/>
        <item x="791"/>
        <item x="839"/>
        <item x="894"/>
        <item x="1028"/>
        <item x="915"/>
        <item x="552"/>
        <item x="559"/>
        <item x="613"/>
        <item x="636"/>
        <item x="699"/>
        <item x="732"/>
        <item x="762"/>
        <item x="773"/>
        <item x="808"/>
        <item x="822"/>
        <item x="878"/>
        <item x="890"/>
        <item x="916"/>
        <item x="498"/>
        <item x="763"/>
        <item x="1205"/>
        <item x="1736"/>
        <item x="1729"/>
        <item x="1195"/>
        <item x="1908"/>
        <item x="1528"/>
        <item x="1921"/>
        <item x="1788"/>
        <item x="2033"/>
        <item x="2003"/>
        <item x="875"/>
        <item x="1851"/>
        <item x="1847"/>
        <item x="405"/>
        <item x="1952"/>
        <item x="1570"/>
        <item x="1103"/>
        <item x="1713"/>
        <item x="1265"/>
        <item x="53"/>
        <item x="1936"/>
        <item x="1125"/>
        <item x="605"/>
        <item x="1718"/>
        <item x="100"/>
        <item x="1181"/>
        <item x="157"/>
        <item x="1897"/>
        <item m="1" x="5772"/>
        <item m="1" x="5706"/>
        <item m="1" x="5660"/>
        <item m="1" x="5687"/>
        <item m="1" x="5740"/>
        <item m="1" x="5787"/>
        <item m="1" x="5806"/>
        <item m="1" x="5714"/>
        <item m="1" x="5726"/>
        <item m="1" x="5573"/>
        <item m="1" x="5782"/>
        <item m="1" x="5653"/>
        <item x="3"/>
        <item x="95"/>
        <item x="190"/>
        <item x="272"/>
        <item x="4"/>
        <item x="310"/>
        <item x="1759"/>
        <item x="350"/>
        <item x="1704"/>
        <item x="158"/>
        <item x="92"/>
        <item x="1682"/>
        <item m="1" x="5736"/>
        <item m="1" x="5622"/>
        <item m="1" x="5799"/>
        <item m="1" x="5765"/>
        <item m="1" x="5777"/>
        <item m="1" x="5779"/>
        <item m="1" x="5823"/>
        <item m="1" x="5583"/>
        <item m="1" x="5579"/>
        <item m="1" x="5797"/>
        <item m="1" x="5621"/>
        <item m="1" x="5640"/>
        <item m="1" x="5694"/>
        <item m="1" x="5593"/>
        <item m="1" x="5635"/>
        <item m="1" x="5807"/>
        <item m="1" x="5646"/>
        <item m="1" x="5577"/>
        <item m="1" x="5644"/>
        <item m="1" x="5636"/>
        <item m="1" x="5533"/>
        <item m="1" x="5738"/>
        <item m="1" x="5727"/>
        <item m="1" x="5769"/>
        <item m="1" x="5802"/>
        <item m="1" x="5563"/>
        <item m="1" x="5537"/>
        <item m="1" x="5594"/>
        <item m="1" x="5569"/>
        <item m="1" x="5623"/>
        <item m="1" x="5695"/>
        <item m="1" x="5678"/>
        <item x="587"/>
        <item x="1529"/>
        <item x="1241"/>
        <item x="126"/>
        <item m="1" x="5609"/>
        <item m="1" x="5759"/>
        <item m="1" x="5680"/>
        <item m="1" x="5722"/>
        <item x="1187"/>
        <item x="351"/>
        <item x="1638"/>
        <item x="747"/>
        <item x="1153"/>
        <item x="1184"/>
        <item x="976"/>
        <item x="1612"/>
        <item x="1730"/>
        <item x="1126"/>
        <item x="819"/>
        <item x="1416"/>
        <item x="1254"/>
        <item x="951"/>
        <item x="1571"/>
        <item x="1403"/>
        <item x="1426"/>
        <item x="1731"/>
        <item x="532"/>
        <item x="1327"/>
        <item x="1294"/>
        <item x="1530"/>
        <item x="1276"/>
        <item x="860"/>
        <item x="1893"/>
        <item x="1104"/>
        <item x="1035"/>
        <item x="1188"/>
        <item x="980"/>
        <item x="749"/>
        <item x="750"/>
        <item x="643"/>
        <item x="1040"/>
        <item x="831"/>
        <item x="1502"/>
        <item x="1383"/>
        <item x="927"/>
        <item x="690"/>
        <item x="1278"/>
        <item x="106"/>
        <item x="236"/>
        <item x="1835"/>
        <item x="1760"/>
        <item x="1639"/>
        <item x="1452"/>
        <item x="1328"/>
        <item x="1793"/>
        <item x="1290"/>
        <item x="1809"/>
        <item x="1927"/>
        <item x="1462"/>
        <item x="1865"/>
        <item x="2071"/>
        <item x="1940"/>
        <item x="1457"/>
        <item x="1895"/>
        <item x="1471"/>
        <item x="315"/>
        <item x="2019"/>
        <item x="1465"/>
        <item x="1714"/>
        <item x="1279"/>
        <item x="963"/>
        <item x="568"/>
        <item x="237"/>
        <item x="1531"/>
        <item x="734"/>
        <item x="1811"/>
        <item x="1501"/>
        <item x="1676"/>
        <item x="1105"/>
        <item x="546"/>
        <item x="832"/>
        <item x="1413"/>
        <item x="280"/>
        <item x="1132"/>
        <item x="765"/>
        <item x="155"/>
        <item x="1613"/>
        <item x="1491"/>
        <item x="1794"/>
        <item x="1165"/>
        <item x="1572"/>
        <item x="488"/>
        <item x="1490"/>
        <item x="113"/>
        <item x="1243"/>
        <item x="1244"/>
        <item x="1369"/>
        <item x="1382"/>
        <item x="1164"/>
        <item x="1642"/>
        <item x="1286"/>
        <item x="538"/>
        <item x="132"/>
        <item x="159"/>
        <item x="1848"/>
        <item x="1658"/>
        <item x="191"/>
        <item x="406"/>
        <item x="1291"/>
        <item x="1029"/>
        <item x="590"/>
        <item x="369"/>
        <item x="2034"/>
        <item x="1625"/>
        <item x="477"/>
        <item x="968"/>
        <item x="1310"/>
        <item x="54"/>
        <item x="140"/>
        <item x="478"/>
        <item x="29"/>
        <item x="352"/>
        <item x="961"/>
        <item x="26"/>
        <item x="1892"/>
        <item x="649"/>
        <item x="654"/>
        <item x="655"/>
        <item x="1573"/>
        <item x="215"/>
        <item x="216"/>
        <item x="1574"/>
        <item x="1030"/>
        <item x="2039"/>
        <item x="2028"/>
        <item x="598"/>
        <item x="1698"/>
        <item x="721"/>
        <item x="1823"/>
        <item x="1826"/>
        <item x="1806"/>
        <item x="1031"/>
        <item x="1224"/>
        <item x="137"/>
        <item x="1196"/>
        <item x="933"/>
        <item x="1463"/>
        <item x="1208"/>
        <item x="55"/>
        <item x="1953"/>
        <item x="1989"/>
        <item x="82"/>
        <item x="43"/>
        <item x="141"/>
        <item x="1275"/>
        <item x="432"/>
        <item x="1673"/>
        <item x="1575"/>
        <item x="1576"/>
        <item x="1041"/>
        <item x="812"/>
        <item x="1896"/>
        <item x="196"/>
        <item x="1640"/>
        <item x="229"/>
        <item x="1329"/>
        <item x="1879"/>
        <item x="353"/>
        <item x="1772"/>
        <item x="74"/>
        <item x="101"/>
        <item x="1313"/>
        <item x="2044"/>
        <item x="736"/>
        <item x="1614"/>
        <item x="969"/>
        <item x="1900"/>
        <item x="1901"/>
        <item m="1" x="5536"/>
        <item m="1" x="5600"/>
        <item m="1" x="5813"/>
        <item m="1" x="5529"/>
        <item m="1" x="5794"/>
        <item m="1" x="5737"/>
        <item m="1" x="5634"/>
        <item m="1" x="5758"/>
        <item m="1" x="5647"/>
        <item x="162"/>
        <item x="539"/>
        <item x="644"/>
        <item x="678"/>
        <item m="1" x="5688"/>
        <item m="1" x="5602"/>
        <item x="2021"/>
        <item x="2029"/>
        <item x="290"/>
        <item x="307"/>
        <item x="356"/>
        <item x="357"/>
        <item x="410"/>
        <item x="414"/>
        <item x="429"/>
        <item x="901"/>
        <item x="484"/>
        <item x="485"/>
        <item x="495"/>
        <item x="521"/>
        <item x="556"/>
        <item x="571"/>
        <item x="583"/>
        <item x="600"/>
        <item x="612"/>
        <item x="621"/>
        <item x="629"/>
        <item x="638"/>
        <item x="668"/>
        <item x="680"/>
        <item x="695"/>
        <item x="707"/>
        <item x="725"/>
        <item x="731"/>
        <item x="742"/>
        <item x="752"/>
        <item x="758"/>
        <item x="778"/>
        <item x="798"/>
        <item x="827"/>
        <item x="862"/>
        <item x="887"/>
        <item x="1247"/>
        <item x="1672"/>
        <item x="7"/>
        <item x="128"/>
        <item x="198"/>
        <item x="883"/>
        <item x="553"/>
        <item x="1869"/>
        <item x="1150"/>
        <item x="970"/>
        <item x="1270"/>
        <item x="844"/>
        <item x="533"/>
        <item x="479"/>
        <item x="1492"/>
        <item x="626"/>
        <item x="952"/>
        <item x="1430"/>
        <item x="30"/>
        <item x="1888"/>
        <item x="1578"/>
        <item x="1072"/>
        <item x="123"/>
        <item x="884"/>
        <item x="908"/>
        <item x="1480"/>
        <item x="753"/>
        <item x="682"/>
        <item x="1225"/>
        <item x="563"/>
        <item x="1577"/>
        <item x="787"/>
        <item x="1873"/>
        <item x="16"/>
        <item x="40"/>
        <item x="42"/>
        <item x="83"/>
        <item x="89"/>
        <item x="90"/>
        <item x="107"/>
        <item x="110"/>
        <item x="144"/>
        <item x="146"/>
        <item x="167"/>
        <item x="179"/>
        <item x="181"/>
        <item x="178"/>
        <item x="202"/>
        <item x="204"/>
        <item x="223"/>
        <item x="245"/>
        <item x="248"/>
        <item x="259"/>
        <item x="287"/>
        <item x="298"/>
        <item x="302"/>
        <item x="265"/>
        <item x="336"/>
        <item x="322"/>
        <item x="323"/>
        <item x="337"/>
        <item x="366"/>
        <item x="380"/>
        <item x="392"/>
        <item x="407"/>
        <item x="379"/>
        <item x="391"/>
        <item x="447"/>
        <item x="455"/>
        <item x="464"/>
        <item x="446"/>
        <item x="465"/>
        <item x="443"/>
        <item x="502"/>
        <item x="526"/>
        <item x="541"/>
        <item x="574"/>
        <item x="584"/>
        <item x="592"/>
        <item x="602"/>
        <item x="608"/>
        <item x="616"/>
        <item x="619"/>
        <item x="623"/>
        <item x="635"/>
        <item x="641"/>
        <item x="651"/>
        <item x="657"/>
        <item x="658"/>
        <item x="675"/>
        <item x="676"/>
        <item x="677"/>
        <item x="691"/>
        <item x="693"/>
        <item x="704"/>
        <item x="708"/>
        <item x="710"/>
        <item x="718"/>
        <item x="720"/>
        <item x="727"/>
        <item x="729"/>
        <item x="738"/>
        <item x="739"/>
        <item x="740"/>
        <item x="754"/>
        <item x="755"/>
        <item x="760"/>
        <item x="780"/>
        <item x="781"/>
        <item x="782"/>
        <item x="801"/>
        <item x="805"/>
        <item x="813"/>
        <item x="816"/>
        <item x="821"/>
        <item x="824"/>
        <item x="833"/>
        <item x="836"/>
        <item x="848"/>
        <item x="849"/>
        <item x="852"/>
        <item x="857"/>
        <item x="858"/>
        <item x="873"/>
        <item x="876"/>
        <item x="877"/>
        <item x="885"/>
        <item x="888"/>
        <item x="889"/>
        <item x="910"/>
        <item x="540"/>
        <item x="764"/>
        <item x="828"/>
        <item x="1227"/>
        <item x="1245"/>
        <item x="1248"/>
        <item x="1249"/>
        <item x="1250"/>
        <item x="1256"/>
        <item x="1262"/>
        <item x="1271"/>
        <item x="1272"/>
        <item x="1293"/>
        <item x="1316"/>
        <item x="1340"/>
        <item x="1352"/>
        <item x="1360"/>
        <item x="1361"/>
        <item x="1364"/>
        <item x="1365"/>
        <item x="1377"/>
        <item x="1387"/>
        <item x="1405"/>
        <item x="1409"/>
        <item x="1410"/>
        <item x="1414"/>
        <item x="1417"/>
        <item x="1422"/>
        <item x="1423"/>
        <item x="1427"/>
        <item x="1468"/>
        <item x="1469"/>
        <item x="1535"/>
        <item x="1539"/>
        <item x="1526"/>
        <item x="1580"/>
        <item x="1581"/>
        <item x="1617"/>
        <item x="1618"/>
        <item x="1616"/>
        <item x="1598"/>
        <item x="1619"/>
        <item x="1615"/>
        <item x="1632"/>
        <item x="1504"/>
        <item x="1532"/>
        <item x="1533"/>
        <item x="1814"/>
        <item x="2007"/>
        <item x="2014"/>
        <item x="2020"/>
        <item x="2040"/>
        <item x="2045"/>
        <item x="2050"/>
        <item x="2053"/>
        <item x="2055"/>
        <item x="2059"/>
        <item x="2063"/>
        <item x="2222"/>
        <item x="2229"/>
        <item x="2227"/>
        <item x="2228"/>
        <item x="2225"/>
        <item x="2224"/>
        <item x="2223"/>
        <item x="2230"/>
        <item x="2215"/>
        <item x="2226"/>
        <item x="2231"/>
        <item x="2221"/>
        <item x="2125"/>
        <item x="2220"/>
        <item x="2219"/>
        <item x="2139"/>
        <item x="2217"/>
        <item x="2218"/>
        <item x="2216"/>
        <item x="2212"/>
        <item x="2213"/>
        <item x="2214"/>
        <item x="2211"/>
        <item x="2208"/>
        <item x="2209"/>
        <item x="2210"/>
        <item x="2207"/>
        <item x="2206"/>
        <item x="2204"/>
        <item x="2205"/>
        <item x="2203"/>
        <item x="2200"/>
        <item x="2202"/>
        <item x="2201"/>
        <item x="2199"/>
        <item x="2197"/>
        <item x="2198"/>
        <item x="2194"/>
        <item x="2196"/>
        <item x="2195"/>
        <item x="2190"/>
        <item x="2192"/>
        <item x="2193"/>
        <item x="2191"/>
        <item x="2184"/>
        <item x="2187"/>
        <item x="2185"/>
        <item x="2186"/>
        <item x="2183"/>
        <item x="2189"/>
        <item x="2188"/>
        <item x="2182"/>
        <item x="2181"/>
        <item x="2180"/>
        <item x="2179"/>
        <item x="2178"/>
        <item x="2176"/>
        <item x="2175"/>
        <item x="2177"/>
        <item x="2174"/>
        <item x="2173"/>
        <item x="2172"/>
        <item x="2169"/>
        <item x="2171"/>
        <item x="2170"/>
        <item x="2167"/>
        <item x="2168"/>
        <item x="2164"/>
        <item x="2162"/>
        <item x="2165"/>
        <item x="2166"/>
        <item x="2163"/>
        <item x="2161"/>
        <item x="2156"/>
        <item x="2160"/>
        <item x="2159"/>
        <item x="2157"/>
        <item x="2158"/>
        <item x="2138"/>
        <item x="2137"/>
        <item x="2142"/>
        <item x="2140"/>
        <item x="2145"/>
        <item x="2154"/>
        <item x="2141"/>
        <item x="2152"/>
        <item x="2148"/>
        <item x="2135"/>
        <item x="2136"/>
        <item x="2143"/>
        <item x="2149"/>
        <item x="2150"/>
        <item x="2147"/>
        <item x="2155"/>
        <item x="2144"/>
        <item x="2151"/>
        <item x="2146"/>
        <item x="2153"/>
        <item x="2134"/>
        <item x="2131"/>
        <item x="2133"/>
        <item x="2130"/>
        <item x="2132"/>
        <item x="2129"/>
        <item x="2128"/>
        <item x="2127"/>
        <item x="2126"/>
        <item x="2123"/>
        <item x="2124"/>
        <item x="2121"/>
        <item x="2122"/>
        <item x="2119"/>
        <item x="2118"/>
        <item x="2116"/>
        <item x="2117"/>
        <item x="2120"/>
        <item x="2115"/>
        <item x="2111"/>
        <item x="2113"/>
        <item x="2110"/>
        <item x="2112"/>
        <item x="2114"/>
        <item x="2108"/>
        <item x="2105"/>
        <item x="2107"/>
        <item x="2106"/>
        <item x="2104"/>
        <item x="2109"/>
        <item x="2103"/>
        <item x="2099"/>
        <item x="2101"/>
        <item x="2102"/>
        <item x="2098"/>
        <item x="2097"/>
        <item x="2100"/>
        <item x="2089"/>
        <item x="2093"/>
        <item x="2094"/>
        <item x="2095"/>
        <item x="2090"/>
        <item x="2091"/>
        <item x="2096"/>
        <item x="2088"/>
        <item x="2092"/>
        <item x="2087"/>
        <item x="2086"/>
        <item x="2085"/>
        <item x="2083"/>
        <item x="2084"/>
        <item x="4019"/>
        <item x="2077"/>
        <item x="2079"/>
        <item x="2078"/>
        <item x="2080"/>
        <item x="2073"/>
        <item x="2075"/>
        <item x="2076"/>
        <item x="2074"/>
        <item x="2072"/>
        <item x="2081"/>
        <item x="2336"/>
        <item x="2337"/>
        <item x="2334"/>
        <item x="2335"/>
        <item x="2333"/>
        <item x="2332"/>
        <item x="2331"/>
        <item x="2330"/>
        <item x="2329"/>
        <item x="2328"/>
        <item x="2326"/>
        <item x="2327"/>
        <item x="2324"/>
        <item x="2325"/>
        <item x="2322"/>
        <item x="2323"/>
        <item x="2321"/>
        <item x="2320"/>
        <item x="2315"/>
        <item x="2314"/>
        <item x="2317"/>
        <item x="2316"/>
        <item x="2319"/>
        <item x="2313"/>
        <item x="2318"/>
        <item x="2311"/>
        <item x="2312"/>
        <item x="2306"/>
        <item x="2309"/>
        <item x="2310"/>
        <item x="2307"/>
        <item x="2308"/>
        <item x="2298"/>
        <item x="2299"/>
        <item x="2303"/>
        <item x="2297"/>
        <item x="2296"/>
        <item x="2304"/>
        <item x="2301"/>
        <item x="2300"/>
        <item x="2305"/>
        <item x="2302"/>
        <item x="2292"/>
        <item x="2293"/>
        <item x="2295"/>
        <item x="2294"/>
        <item x="2291"/>
        <item x="2290"/>
        <item x="2287"/>
        <item x="2286"/>
        <item x="2289"/>
        <item x="2285"/>
        <item x="2288"/>
        <item x="2282"/>
        <item x="2284"/>
        <item x="2281"/>
        <item x="2283"/>
        <item x="2280"/>
        <item x="2279"/>
        <item x="2276"/>
        <item x="2278"/>
        <item x="2277"/>
        <item x="2274"/>
        <item x="2273"/>
        <item x="2275"/>
        <item x="2272"/>
        <item x="2271"/>
        <item x="2270"/>
        <item x="2268"/>
        <item x="2269"/>
        <item x="2266"/>
        <item x="2267"/>
        <item x="2263"/>
        <item x="2265"/>
        <item x="2264"/>
        <item x="2262"/>
        <item x="2261"/>
        <item x="2260"/>
        <item x="2258"/>
        <item x="2259"/>
        <item x="2257"/>
        <item x="2256"/>
        <item x="2255"/>
        <item x="2254"/>
        <item x="2250"/>
        <item x="2252"/>
        <item x="2253"/>
        <item x="2251"/>
        <item x="2249"/>
        <item x="2246"/>
        <item x="2247"/>
        <item x="2248"/>
        <item x="2241"/>
        <item x="2240"/>
        <item x="2244"/>
        <item x="2242"/>
        <item x="2243"/>
        <item x="2245"/>
        <item x="2235"/>
        <item x="2237"/>
        <item x="2236"/>
        <item x="2233"/>
        <item x="2234"/>
        <item x="2232"/>
        <item x="2238"/>
        <item x="2438"/>
        <item x="2439"/>
        <item x="2442"/>
        <item x="2436"/>
        <item x="2435"/>
        <item x="2434"/>
        <item x="2431"/>
        <item x="2421"/>
        <item x="2420"/>
        <item x="2419"/>
        <item x="2412"/>
        <item x="2411"/>
        <item x="2397"/>
        <item x="2396"/>
        <item x="2398"/>
        <item x="2395"/>
        <item x="2394"/>
        <item x="2392"/>
        <item x="2391"/>
        <item x="2383"/>
        <item x="2381"/>
        <item x="2382"/>
        <item x="2380"/>
        <item x="2376"/>
        <item x="2375"/>
        <item x="2377"/>
        <item x="2373"/>
        <item x="2374"/>
        <item x="2372"/>
        <item x="2371"/>
        <item x="2364"/>
        <item x="2363"/>
        <item x="2362"/>
        <item x="2359"/>
        <item x="2356"/>
        <item x="2355"/>
        <item x="2350"/>
        <item x="2351"/>
        <item x="2353"/>
        <item x="2352"/>
        <item x="2343"/>
        <item x="2344"/>
        <item x="2347"/>
        <item x="2345"/>
        <item x="2346"/>
        <item x="2342"/>
        <item x="2348"/>
        <item x="2349"/>
        <item x="2339"/>
        <item x="2338"/>
        <item x="2340"/>
        <item x="2341"/>
        <item x="2451"/>
        <item x="2448"/>
        <item x="2449"/>
        <item x="2413"/>
        <item x="2361"/>
        <item x="2428"/>
        <item x="2430"/>
        <item x="2358"/>
        <item x="2405"/>
        <item x="2393"/>
        <item x="1113"/>
        <item x="2454"/>
        <item x="2453"/>
        <item x="2452"/>
        <item x="2450"/>
        <item x="2447"/>
        <item x="2445"/>
        <item x="2446"/>
        <item x="2444"/>
        <item x="2443"/>
        <item x="2441"/>
        <item x="2437"/>
        <item x="2433"/>
        <item x="2432"/>
        <item x="2429"/>
        <item x="2427"/>
        <item x="2426"/>
        <item x="2424"/>
        <item x="2423"/>
        <item x="2422"/>
        <item x="2425"/>
        <item x="2418"/>
        <item x="2417"/>
        <item x="2416"/>
        <item x="2414"/>
        <item x="2415"/>
        <item x="2410"/>
        <item x="2407"/>
        <item x="2409"/>
        <item x="2406"/>
        <item x="2408"/>
        <item x="2404"/>
        <item x="2403"/>
        <item x="2400"/>
        <item x="2401"/>
        <item x="2399"/>
        <item x="2402"/>
        <item x="2390"/>
        <item x="2386"/>
        <item x="2389"/>
        <item x="2388"/>
        <item x="2387"/>
        <item x="2385"/>
        <item x="2384"/>
        <item x="2379"/>
        <item x="2378"/>
        <item x="2370"/>
        <item x="2369"/>
        <item x="2368"/>
        <item x="2366"/>
        <item x="2365"/>
        <item x="2367"/>
        <item x="2360"/>
        <item x="2357"/>
        <item x="2597"/>
        <item x="2596"/>
        <item x="2595"/>
        <item x="2600"/>
        <item x="2594"/>
        <item x="2593"/>
        <item x="2598"/>
        <item x="2599"/>
        <item x="2584"/>
        <item x="2590"/>
        <item x="2592"/>
        <item x="2591"/>
        <item x="2589"/>
        <item x="2588"/>
        <item x="2586"/>
        <item x="2587"/>
        <item x="2585"/>
        <item x="2580"/>
        <item x="2583"/>
        <item x="2582"/>
        <item x="2581"/>
        <item x="2571"/>
        <item x="2578"/>
        <item x="2570"/>
        <item x="2577"/>
        <item x="2573"/>
        <item x="2574"/>
        <item x="2572"/>
        <item x="2575"/>
        <item x="2579"/>
        <item x="2569"/>
        <item x="2576"/>
        <item x="2568"/>
        <item x="2567"/>
        <item x="2565"/>
        <item x="2563"/>
        <item x="2562"/>
        <item x="2564"/>
        <item x="2566"/>
        <item x="2561"/>
        <item x="2556"/>
        <item x="2553"/>
        <item x="2559"/>
        <item x="2560"/>
        <item x="2555"/>
        <item x="2554"/>
        <item x="2557"/>
        <item x="2558"/>
        <item x="2552"/>
        <item x="2544"/>
        <item x="2551"/>
        <item x="2545"/>
        <item x="2548"/>
        <item x="2549"/>
        <item x="2550"/>
        <item x="2546"/>
        <item x="2543"/>
        <item x="2547"/>
        <item x="2542"/>
        <item x="2536"/>
        <item x="2540"/>
        <item x="2539"/>
        <item x="2541"/>
        <item x="2538"/>
        <item x="2537"/>
        <item x="2533"/>
        <item x="2528"/>
        <item x="2535"/>
        <item x="2532"/>
        <item x="2529"/>
        <item x="2530"/>
        <item x="2534"/>
        <item x="2531"/>
        <item x="2526"/>
        <item x="2525"/>
        <item x="2527"/>
        <item x="2524"/>
        <item x="2523"/>
        <item x="2522"/>
        <item x="2520"/>
        <item x="2519"/>
        <item x="2521"/>
        <item x="2518"/>
        <item x="2517"/>
        <item x="2515"/>
        <item x="2514"/>
        <item x="2516"/>
        <item x="2511"/>
        <item x="2513"/>
        <item x="2512"/>
        <item x="2510"/>
        <item x="2509"/>
        <item x="2507"/>
        <item x="2506"/>
        <item x="2508"/>
        <item x="2505"/>
        <item x="2500"/>
        <item x="2504"/>
        <item x="2502"/>
        <item x="2501"/>
        <item x="2503"/>
        <item x="2499"/>
        <item x="2498"/>
        <item x="2497"/>
        <item x="2495"/>
        <item x="2496"/>
        <item x="2493"/>
        <item x="2494"/>
        <item x="2492"/>
        <item x="2489"/>
        <item x="2490"/>
        <item x="2491"/>
        <item x="2488"/>
        <item x="2486"/>
        <item x="2487"/>
        <item x="2483"/>
        <item x="2482"/>
        <item x="2484"/>
        <item x="2485"/>
        <item x="2479"/>
        <item x="2478"/>
        <item x="2480"/>
        <item x="2481"/>
        <item x="2475"/>
        <item x="2476"/>
        <item x="2477"/>
        <item x="2474"/>
        <item x="2473"/>
        <item x="2472"/>
        <item x="2471"/>
        <item x="2470"/>
        <item x="2469"/>
        <item x="2468"/>
        <item x="2467"/>
        <item x="2466"/>
        <item x="2463"/>
        <item x="2462"/>
        <item x="2465"/>
        <item x="2464"/>
        <item x="2458"/>
        <item x="2457"/>
        <item x="2459"/>
        <item x="2456"/>
        <item x="2455"/>
        <item x="2460"/>
        <item x="2729"/>
        <item x="2727"/>
        <item x="2728"/>
        <item x="2725"/>
        <item x="2726"/>
        <item x="2723"/>
        <item x="2724"/>
        <item x="2722"/>
        <item x="2716"/>
        <item x="2719"/>
        <item x="2708"/>
        <item x="2721"/>
        <item x="2717"/>
        <item x="2713"/>
        <item x="2714"/>
        <item x="2712"/>
        <item x="2711"/>
        <item x="2709"/>
        <item x="2710"/>
        <item x="2718"/>
        <item x="2715"/>
        <item x="2720"/>
        <item x="2706"/>
        <item x="2707"/>
        <item x="2704"/>
        <item x="2705"/>
        <item x="2703"/>
        <item x="2702"/>
        <item x="2701"/>
        <item x="2700"/>
        <item x="2698"/>
        <item x="2697"/>
        <item x="2699"/>
        <item x="2696"/>
        <item x="2695"/>
        <item x="2693"/>
        <item x="2692"/>
        <item x="2689"/>
        <item x="2694"/>
        <item x="2690"/>
        <item x="2691"/>
        <item x="2683"/>
        <item x="2685"/>
        <item x="2688"/>
        <item x="2686"/>
        <item x="2687"/>
        <item x="2681"/>
        <item x="2682"/>
        <item x="2684"/>
        <item x="2680"/>
        <item x="2679"/>
        <item x="2676"/>
        <item x="2673"/>
        <item x="2678"/>
        <item x="2677"/>
        <item x="2674"/>
        <item x="2675"/>
        <item x="2672"/>
        <item x="1032"/>
        <item x="2603"/>
        <item x="2669"/>
        <item x="2670"/>
        <item x="2668"/>
        <item x="2667"/>
        <item x="2665"/>
        <item x="2666"/>
        <item x="2664"/>
        <item x="2662"/>
        <item x="2660"/>
        <item x="2663"/>
        <item x="2661"/>
        <item x="2659"/>
        <item x="2652"/>
        <item x="2656"/>
        <item x="2657"/>
        <item x="2655"/>
        <item x="2658"/>
        <item x="2653"/>
        <item x="2654"/>
        <item x="2648"/>
        <item x="2647"/>
        <item x="2650"/>
        <item x="2646"/>
        <item x="2649"/>
        <item x="2651"/>
        <item x="2645"/>
        <item x="2644"/>
        <item x="2641"/>
        <item x="2642"/>
        <item x="2638"/>
        <item x="2643"/>
        <item x="2640"/>
        <item x="2639"/>
        <item x="2636"/>
        <item x="2637"/>
        <item x="2635"/>
        <item x="2633"/>
        <item x="2631"/>
        <item x="2634"/>
        <item x="2632"/>
        <item x="2629"/>
        <item x="2630"/>
        <item x="2628"/>
        <item x="2627"/>
        <item x="2626"/>
        <item x="2625"/>
        <item x="2624"/>
        <item x="2622"/>
        <item x="2616"/>
        <item x="2621"/>
        <item x="2619"/>
        <item x="2618"/>
        <item x="2620"/>
        <item x="2623"/>
        <item x="2617"/>
        <item x="2614"/>
        <item x="2615"/>
        <item x="2611"/>
        <item x="2613"/>
        <item x="2612"/>
        <item x="2610"/>
        <item x="2609"/>
        <item x="2606"/>
        <item x="2604"/>
        <item x="2605"/>
        <item x="2602"/>
        <item x="2601"/>
        <item x="2607"/>
        <item x="2748"/>
        <item x="2762"/>
        <item x="2746"/>
        <item x="2751"/>
        <item x="2760"/>
        <item x="2747"/>
        <item x="2754"/>
        <item x="2741"/>
        <item x="2744"/>
        <item x="2753"/>
        <item x="2742"/>
        <item x="2743"/>
        <item x="2756"/>
        <item x="2758"/>
        <item x="2755"/>
        <item x="2750"/>
        <item x="2749"/>
        <item x="2752"/>
        <item x="2745"/>
        <item x="2736"/>
        <item x="2734"/>
        <item x="2740"/>
        <item x="2739"/>
        <item x="2738"/>
        <item x="2732"/>
        <item x="2730"/>
        <item x="2731"/>
        <item x="2733"/>
        <item x="2893"/>
        <item x="2892"/>
        <item x="2885"/>
        <item x="2887"/>
        <item x="2888"/>
        <item x="2891"/>
        <item x="2890"/>
        <item x="2886"/>
        <item x="2889"/>
        <item x="2879"/>
        <item x="2880"/>
        <item x="2878"/>
        <item x="2875"/>
        <item x="2874"/>
        <item x="2871"/>
        <item x="2870"/>
        <item x="2866"/>
        <item x="2868"/>
        <item x="2863"/>
        <item x="2860"/>
        <item x="2862"/>
        <item x="2861"/>
        <item x="2859"/>
        <item x="2802"/>
        <item x="2841"/>
        <item x="2838"/>
        <item x="2836"/>
        <item x="2839"/>
        <item x="2837"/>
        <item x="2831"/>
        <item x="2827"/>
        <item x="2826"/>
        <item x="2818"/>
        <item x="2819"/>
        <item x="2817"/>
        <item x="2809"/>
        <item x="2813"/>
        <item x="2814"/>
        <item x="2811"/>
        <item x="2808"/>
        <item x="2803"/>
        <item x="2800"/>
        <item x="2798"/>
        <item x="2797"/>
        <item x="2792"/>
        <item x="2791"/>
        <item x="2784"/>
        <item x="2788"/>
        <item x="2779"/>
        <item x="2773"/>
        <item x="2772"/>
        <item x="2774"/>
        <item x="2765"/>
        <item x="2763"/>
        <item x="2767"/>
        <item x="2764"/>
        <item x="2768"/>
        <item x="2735"/>
        <item x="2737"/>
        <item x="2761"/>
        <item x="2757"/>
        <item x="2759"/>
        <item x="2766"/>
        <item x="2771"/>
        <item x="2769"/>
        <item x="2770"/>
        <item x="2775"/>
        <item x="2776"/>
        <item x="2778"/>
        <item x="2781"/>
        <item x="2780"/>
        <item x="2783"/>
        <item x="2787"/>
        <item x="2786"/>
        <item x="2782"/>
        <item x="2785"/>
        <item x="2794"/>
        <item x="2790"/>
        <item x="2795"/>
        <item x="2796"/>
        <item x="2793"/>
        <item x="2789"/>
        <item x="2799"/>
        <item x="2801"/>
        <item x="2805"/>
        <item x="2804"/>
        <item x="2806"/>
        <item x="2807"/>
        <item x="2812"/>
        <item x="2810"/>
        <item x="2815"/>
        <item x="2816"/>
        <item x="2824"/>
        <item x="2822"/>
        <item x="2823"/>
        <item x="2820"/>
        <item x="2828"/>
        <item x="2825"/>
        <item x="2829"/>
        <item x="2830"/>
        <item x="2834"/>
        <item x="2833"/>
        <item x="2821"/>
        <item x="2832"/>
        <item x="2835"/>
        <item x="2842"/>
        <item x="2840"/>
        <item x="2843"/>
        <item x="2894"/>
        <item x="2898"/>
        <item x="2897"/>
        <item x="2896"/>
        <item x="2895"/>
        <item x="2882"/>
        <item x="2881"/>
        <item x="2883"/>
        <item x="2884"/>
        <item x="2877"/>
        <item x="2876"/>
        <item x="2873"/>
        <item x="2872"/>
        <item x="2865"/>
        <item x="2864"/>
        <item x="2869"/>
        <item x="2867"/>
        <item x="2857"/>
        <item x="2858"/>
        <item x="2856"/>
        <item x="2855"/>
        <item x="2854"/>
        <item x="2853"/>
        <item x="2852"/>
        <item x="2850"/>
        <item x="2849"/>
        <item x="2851"/>
        <item x="2844"/>
        <item x="2848"/>
        <item x="2847"/>
        <item x="2845"/>
        <item x="2846"/>
        <item x="3024"/>
        <item x="3004"/>
        <item x="2999"/>
        <item x="2939"/>
        <item x="2938"/>
        <item x="2914"/>
        <item x="3026"/>
        <item x="3025"/>
        <item x="3027"/>
        <item x="3020"/>
        <item x="3023"/>
        <item x="3022"/>
        <item x="3019"/>
        <item x="3018"/>
        <item x="3021"/>
        <item x="3014"/>
        <item x="3017"/>
        <item x="3016"/>
        <item x="3013"/>
        <item x="3015"/>
        <item x="3010"/>
        <item x="3011"/>
        <item x="3012"/>
        <item x="3008"/>
        <item x="3007"/>
        <item x="3009"/>
        <item x="3006"/>
        <item x="3001"/>
        <item x="3000"/>
        <item x="3002"/>
        <item x="3003"/>
        <item x="2998"/>
        <item x="2995"/>
        <item x="2997"/>
        <item x="2996"/>
        <item x="2994"/>
        <item x="2990"/>
        <item x="2992"/>
        <item x="2991"/>
        <item x="2989"/>
        <item x="2993"/>
        <item x="2987"/>
        <item x="2988"/>
        <item x="2986"/>
        <item x="2985"/>
        <item x="2984"/>
        <item x="2980"/>
        <item x="2981"/>
        <item x="2983"/>
        <item x="2982"/>
        <item x="2977"/>
        <item x="2978"/>
        <item x="2975"/>
        <item x="2973"/>
        <item x="2972"/>
        <item x="2964"/>
        <item x="2969"/>
        <item x="2967"/>
        <item x="2966"/>
        <item x="2968"/>
        <item x="2965"/>
        <item x="2963"/>
        <item x="2962"/>
        <item x="2958"/>
        <item x="2940"/>
        <item x="2937"/>
        <item x="2936"/>
        <item x="2935"/>
        <item x="2933"/>
        <item x="2931"/>
        <item x="2922"/>
        <item x="2925"/>
        <item x="2923"/>
        <item x="2921"/>
        <item x="2920"/>
        <item x="2915"/>
        <item x="2919"/>
        <item x="2918"/>
        <item x="2917"/>
        <item x="2916"/>
        <item x="2913"/>
        <item x="2912"/>
        <item x="2908"/>
        <item x="2907"/>
        <item x="2906"/>
        <item x="2910"/>
        <item x="2911"/>
        <item x="2909"/>
        <item x="2905"/>
        <item x="2899"/>
        <item x="2904"/>
        <item x="2902"/>
        <item x="2901"/>
        <item x="2900"/>
        <item x="2903"/>
        <item x="2924"/>
        <item x="2926"/>
        <item x="2927"/>
        <item x="2928"/>
        <item x="2929"/>
        <item x="2930"/>
        <item x="2932"/>
        <item x="2934"/>
        <item x="2941"/>
        <item x="2942"/>
        <item x="2943"/>
        <item x="2944"/>
        <item x="2945"/>
        <item x="2946"/>
        <item x="2947"/>
        <item x="2954"/>
        <item x="2955"/>
        <item x="2956"/>
        <item x="2957"/>
        <item x="2953"/>
        <item x="2951"/>
        <item x="2952"/>
        <item x="2948"/>
        <item x="2949"/>
        <item x="2950"/>
        <item x="2959"/>
        <item x="2960"/>
        <item x="2961"/>
        <item x="2970"/>
        <item x="2971"/>
        <item x="2974"/>
        <item x="2976"/>
        <item x="2979"/>
        <item x="3005"/>
        <item x="3079"/>
        <item x="3103"/>
        <item x="3076"/>
        <item x="3034"/>
        <item x="3102"/>
        <item x="3095"/>
        <item x="3101"/>
        <item x="3099"/>
        <item x="3098"/>
        <item x="3100"/>
        <item x="3078"/>
        <item x="3097"/>
        <item x="3057"/>
        <item x="3096"/>
        <item x="3094"/>
        <item x="3093"/>
        <item x="3091"/>
        <item x="3092"/>
        <item x="3090"/>
        <item x="3089"/>
        <item x="3087"/>
        <item x="3088"/>
        <item x="3085"/>
        <item x="3086"/>
        <item x="3083"/>
        <item x="3084"/>
        <item x="3082"/>
        <item x="3081"/>
        <item x="3080"/>
        <item x="3077"/>
        <item x="3072"/>
        <item x="3074"/>
        <item x="3073"/>
        <item x="3071"/>
        <item x="3070"/>
        <item x="3075"/>
        <item x="3068"/>
        <item x="3067"/>
        <item x="3065"/>
        <item x="3066"/>
        <item x="3069"/>
        <item x="3064"/>
        <item x="3063"/>
        <item x="3061"/>
        <item x="3062"/>
        <item x="3059"/>
        <item x="3060"/>
        <item x="3058"/>
        <item x="3055"/>
        <item x="3054"/>
        <item x="3056"/>
        <item x="3051"/>
        <item x="3047"/>
        <item x="3052"/>
        <item x="3050"/>
        <item x="3048"/>
        <item x="3049"/>
        <item x="3053"/>
        <item x="3046"/>
        <item x="3037"/>
        <item x="3041"/>
        <item x="3040"/>
        <item x="3043"/>
        <item x="3042"/>
        <item x="3038"/>
        <item x="3045"/>
        <item x="3039"/>
        <item x="3044"/>
        <item x="3036"/>
        <item x="3033"/>
        <item x="3035"/>
        <item x="3032"/>
        <item x="3031"/>
        <item x="3029"/>
        <item x="3030"/>
        <item x="3028"/>
        <item x="3185"/>
        <item x="3161"/>
        <item x="3143"/>
        <item x="3142"/>
        <item x="3128"/>
        <item x="3122"/>
        <item x="3107"/>
        <item x="3196"/>
        <item x="3193"/>
        <item x="3192"/>
        <item x="3191"/>
        <item x="3184"/>
        <item x="3183"/>
        <item x="3190"/>
        <item x="3187"/>
        <item x="3189"/>
        <item x="3194"/>
        <item x="3186"/>
        <item x="3188"/>
        <item x="3179"/>
        <item x="3177"/>
        <item x="3174"/>
        <item x="3176"/>
        <item x="3175"/>
        <item x="3172"/>
        <item x="3173"/>
        <item x="3170"/>
        <item x="3169"/>
        <item x="3171"/>
        <item x="3168"/>
        <item x="3167"/>
        <item x="3164"/>
        <item x="3162"/>
        <item x="3160"/>
        <item x="3159"/>
        <item x="3158"/>
        <item x="3165"/>
        <item x="3155"/>
        <item x="3156"/>
        <item x="3151"/>
        <item x="3152"/>
        <item x="3157"/>
        <item x="3153"/>
        <item x="3149"/>
        <item x="3150"/>
        <item x="3147"/>
        <item x="3148"/>
        <item x="3146"/>
        <item x="3145"/>
        <item x="3144"/>
        <item x="3141"/>
        <item x="3139"/>
        <item x="3140"/>
        <item x="3134"/>
        <item x="3138"/>
        <item x="3135"/>
        <item x="3137"/>
        <item x="3127"/>
        <item x="3126"/>
        <item x="3125"/>
        <item x="3124"/>
        <item x="3121"/>
        <item x="3117"/>
        <item x="3116"/>
        <item x="3118"/>
        <item x="3120"/>
        <item x="3119"/>
        <item x="3114"/>
        <item x="3113"/>
        <item x="3112"/>
        <item x="3109"/>
        <item x="3108"/>
        <item x="3110"/>
        <item x="3182"/>
        <item x="3195"/>
        <item x="3181"/>
        <item x="3180"/>
        <item x="3178"/>
        <item x="3166"/>
        <item x="3163"/>
        <item x="3154"/>
        <item x="3136"/>
        <item x="3130"/>
        <item x="3131"/>
        <item x="3133"/>
        <item x="3132"/>
        <item x="3129"/>
        <item x="3123"/>
        <item x="3115"/>
        <item x="3111"/>
        <item x="3105"/>
        <item x="3104"/>
        <item x="3106"/>
        <item x="3260"/>
        <item x="3245"/>
        <item x="3298"/>
        <item x="3220"/>
        <item x="3241"/>
        <item x="3274"/>
        <item x="3214"/>
        <item x="3223"/>
        <item x="3199"/>
        <item x="3275"/>
        <item x="3205"/>
        <item x="3201"/>
        <item x="3306"/>
        <item x="3212"/>
        <item x="3198"/>
        <item x="3221"/>
        <item x="3261"/>
        <item x="3222"/>
        <item x="3200"/>
        <item x="3242"/>
        <item x="3224"/>
        <item x="3300"/>
        <item x="3230"/>
        <item x="3228"/>
        <item x="3294"/>
        <item x="3197"/>
        <item x="3239"/>
        <item x="3215"/>
        <item x="3255"/>
        <item x="3258"/>
        <item x="3290"/>
        <item x="3225"/>
        <item x="3233"/>
        <item x="3266"/>
        <item x="3283"/>
        <item x="3303"/>
        <item x="3247"/>
        <item x="3248"/>
        <item x="3263"/>
        <item x="3281"/>
        <item x="3305"/>
        <item x="3229"/>
        <item x="3264"/>
        <item x="3278"/>
        <item x="3259"/>
        <item x="3236"/>
        <item x="3268"/>
        <item x="3286"/>
        <item x="3280"/>
        <item x="3273"/>
        <item x="3276"/>
        <item x="3244"/>
        <item x="3272"/>
        <item x="3295"/>
        <item x="3284"/>
        <item x="3237"/>
        <item x="3291"/>
        <item x="3257"/>
        <item x="3226"/>
        <item x="3256"/>
        <item x="3213"/>
        <item x="3253"/>
        <item x="3243"/>
        <item x="3262"/>
        <item x="3301"/>
        <item x="3282"/>
        <item x="3234"/>
        <item x="3285"/>
        <item x="3277"/>
        <item x="3227"/>
        <item x="3287"/>
        <item x="3206"/>
        <item x="3240"/>
        <item x="3232"/>
        <item x="3250"/>
        <item x="3265"/>
        <item x="3299"/>
        <item x="3252"/>
        <item x="3270"/>
        <item x="3210"/>
        <item x="3211"/>
        <item x="3297"/>
        <item x="3218"/>
        <item x="3202"/>
        <item x="3209"/>
        <item x="3269"/>
        <item x="3279"/>
        <item x="3254"/>
        <item x="3217"/>
        <item x="3304"/>
        <item x="3235"/>
        <item x="3296"/>
        <item x="3288"/>
        <item x="3238"/>
        <item x="3302"/>
        <item x="3249"/>
        <item x="3271"/>
        <item x="3246"/>
        <item x="3231"/>
        <item x="3203"/>
        <item x="3216"/>
        <item x="3204"/>
        <item x="3292"/>
        <item x="3293"/>
        <item x="3289"/>
        <item x="3207"/>
        <item x="3267"/>
        <item x="3208"/>
        <item x="3251"/>
        <item x="3219"/>
        <item x="3353"/>
        <item x="3336"/>
        <item x="3392"/>
        <item x="3330"/>
        <item x="3334"/>
        <item x="3423"/>
        <item x="3356"/>
        <item x="3408"/>
        <item x="3416"/>
        <item x="3409"/>
        <item x="3358"/>
        <item x="3383"/>
        <item x="3424"/>
        <item x="3393"/>
        <item x="3367"/>
        <item x="3361"/>
        <item x="3374"/>
        <item x="3333"/>
        <item x="3313"/>
        <item x="3397"/>
        <item x="3362"/>
        <item x="3315"/>
        <item x="3411"/>
        <item x="3368"/>
        <item x="3426"/>
        <item x="3419"/>
        <item x="3420"/>
        <item x="3421"/>
        <item x="3427"/>
        <item x="3413"/>
        <item x="3351"/>
        <item x="3316"/>
        <item x="3324"/>
        <item x="3307"/>
        <item x="3376"/>
        <item x="3401"/>
        <item x="3402"/>
        <item x="3407"/>
        <item x="3370"/>
        <item x="3348"/>
        <item x="3403"/>
        <item x="3394"/>
        <item x="3404"/>
        <item x="3325"/>
        <item x="3395"/>
        <item x="3354"/>
        <item x="3340"/>
        <item x="3371"/>
        <item x="3388"/>
        <item x="3396"/>
        <item x="3377"/>
        <item x="3341"/>
        <item x="3372"/>
        <item x="3378"/>
        <item x="3379"/>
        <item x="3342"/>
        <item x="3343"/>
        <item x="3344"/>
        <item x="3400"/>
        <item x="3327"/>
        <item x="3337"/>
        <item x="3382"/>
        <item x="3422"/>
        <item x="3414"/>
        <item x="3317"/>
        <item x="2239"/>
        <item x="2354"/>
        <item x="3366"/>
        <item x="3331"/>
        <item x="3355"/>
        <item x="3338"/>
        <item x="3318"/>
        <item x="3373"/>
        <item x="3357"/>
        <item x="3319"/>
        <item x="3405"/>
        <item x="3359"/>
        <item x="3360"/>
        <item x="3335"/>
        <item x="3389"/>
        <item x="3350"/>
        <item x="3384"/>
        <item x="3345"/>
        <item x="3385"/>
        <item x="3406"/>
        <item x="3375"/>
        <item x="3380"/>
        <item x="3390"/>
        <item x="3320"/>
        <item x="3321"/>
        <item x="3417"/>
        <item x="3347"/>
        <item x="3429"/>
        <item x="3391"/>
        <item x="3332"/>
        <item x="3322"/>
        <item x="3410"/>
        <item x="3386"/>
        <item x="3314"/>
        <item x="3425"/>
        <item x="3349"/>
        <item x="3328"/>
        <item x="3398"/>
        <item x="3418"/>
        <item x="3352"/>
        <item x="3363"/>
        <item x="3381"/>
        <item x="3308"/>
        <item x="3339"/>
        <item x="3369"/>
        <item x="3323"/>
        <item x="3309"/>
        <item x="3310"/>
        <item x="3387"/>
        <item x="3399"/>
        <item x="3364"/>
        <item x="3329"/>
        <item x="3365"/>
        <item x="3311"/>
        <item x="3412"/>
        <item x="3326"/>
        <item x="3428"/>
        <item x="3312"/>
        <item x="3346"/>
        <item x="3529"/>
        <item x="3497"/>
        <item x="3447"/>
        <item x="3433"/>
        <item x="3480"/>
        <item x="3434"/>
        <item x="3440"/>
        <item x="3510"/>
        <item x="3489"/>
        <item x="3536"/>
        <item x="3521"/>
        <item x="3468"/>
        <item x="3522"/>
        <item x="3464"/>
        <item x="3462"/>
        <item x="3466"/>
        <item x="3525"/>
        <item x="3523"/>
        <item x="3465"/>
        <item x="3472"/>
        <item x="3467"/>
        <item x="3524"/>
        <item x="3463"/>
        <item x="3445"/>
        <item x="3460"/>
        <item x="3493"/>
        <item x="3475"/>
        <item x="3432"/>
        <item x="3501"/>
        <item x="3459"/>
        <item x="3532"/>
        <item x="3471"/>
        <item x="3482"/>
        <item x="3531"/>
        <item x="3473"/>
        <item x="3457"/>
        <item x="3535"/>
        <item x="3484"/>
        <item x="3438"/>
        <item x="3534"/>
        <item x="3519"/>
        <item x="3495"/>
        <item x="3507"/>
        <item x="3435"/>
        <item x="3488"/>
        <item x="3449"/>
        <item x="3528"/>
        <item x="3496"/>
        <item x="3498"/>
        <item x="3511"/>
        <item x="3509"/>
        <item x="3506"/>
        <item x="3503"/>
        <item x="3512"/>
        <item x="3518"/>
        <item x="3437"/>
        <item x="3517"/>
        <item x="3527"/>
        <item x="3450"/>
        <item x="3474"/>
        <item x="3508"/>
        <item x="3505"/>
        <item x="3502"/>
        <item x="3481"/>
        <item x="3530"/>
        <item x="3514"/>
        <item x="3476"/>
        <item x="3436"/>
        <item x="3500"/>
        <item x="3469"/>
        <item x="3483"/>
        <item x="3485"/>
        <item x="3451"/>
        <item x="3452"/>
        <item x="3491"/>
        <item x="3458"/>
        <item x="3515"/>
        <item x="3516"/>
        <item x="3444"/>
        <item x="3441"/>
        <item x="3453"/>
        <item x="3470"/>
        <item x="3479"/>
        <item x="3494"/>
        <item x="3454"/>
        <item x="3526"/>
        <item x="3478"/>
        <item x="3430"/>
        <item x="3492"/>
        <item x="3455"/>
        <item x="3533"/>
        <item x="3490"/>
        <item x="3446"/>
        <item x="3520"/>
        <item x="3504"/>
        <item x="3442"/>
        <item x="3461"/>
        <item x="3439"/>
        <item x="3443"/>
        <item x="3486"/>
        <item x="3477"/>
        <item x="3448"/>
        <item x="3499"/>
        <item x="3513"/>
        <item x="3431"/>
        <item x="3456"/>
        <item x="3487"/>
        <item x="3537"/>
        <item x="3626"/>
        <item x="3552"/>
        <item x="3610"/>
        <item x="3611"/>
        <item x="3612"/>
        <item x="3613"/>
        <item x="3614"/>
        <item x="3615"/>
        <item x="3616"/>
        <item x="3605"/>
        <item x="3617"/>
        <item x="3635"/>
        <item x="3606"/>
        <item x="3618"/>
        <item x="3636"/>
        <item x="3560"/>
        <item x="3561"/>
        <item x="3562"/>
        <item x="3563"/>
        <item x="3545"/>
        <item x="3546"/>
        <item x="3600"/>
        <item x="3549"/>
        <item x="3608"/>
        <item x="3627"/>
        <item x="3551"/>
        <item x="3574"/>
        <item x="3595"/>
        <item x="3541"/>
        <item x="3597"/>
        <item x="3582"/>
        <item x="3583"/>
        <item x="3575"/>
        <item x="3559"/>
        <item x="3547"/>
        <item x="3584"/>
        <item x="3568"/>
        <item x="3542"/>
        <item x="3571"/>
        <item x="3637"/>
        <item x="3576"/>
        <item x="3633"/>
        <item x="3638"/>
        <item x="3598"/>
        <item x="3538"/>
        <item x="3548"/>
        <item x="3594"/>
        <item x="3585"/>
        <item x="3572"/>
        <item x="3586"/>
        <item x="3543"/>
        <item x="3564"/>
        <item x="3599"/>
        <item x="3565"/>
        <item x="3628"/>
        <item x="3629"/>
        <item x="3553"/>
        <item x="3630"/>
        <item x="3619"/>
        <item x="3601"/>
        <item x="3620"/>
        <item x="3588"/>
        <item x="3621"/>
        <item x="3609"/>
        <item x="3639"/>
        <item x="3577"/>
        <item x="3573"/>
        <item x="3622"/>
        <item x="3578"/>
        <item x="3590"/>
        <item x="3569"/>
        <item x="3631"/>
        <item x="3602"/>
        <item x="3579"/>
        <item x="3554"/>
        <item x="3587"/>
        <item x="3603"/>
        <item x="3604"/>
        <item x="3623"/>
        <item x="3555"/>
        <item x="3632"/>
        <item x="3624"/>
        <item x="3593"/>
        <item x="3625"/>
        <item x="3634"/>
        <item x="3570"/>
        <item x="3556"/>
        <item x="3580"/>
        <item x="3539"/>
        <item x="3640"/>
        <item x="3557"/>
        <item x="3544"/>
        <item x="3596"/>
        <item x="3607"/>
        <item x="3566"/>
        <item x="3581"/>
        <item x="3558"/>
        <item x="3589"/>
        <item x="3550"/>
        <item x="3591"/>
        <item x="3592"/>
        <item x="3540"/>
        <item x="3567"/>
        <item x="3697"/>
        <item x="3673"/>
        <item x="3641"/>
        <item x="3643"/>
        <item x="3679"/>
        <item x="3652"/>
        <item x="3692"/>
        <item x="3728"/>
        <item x="3644"/>
        <item x="3645"/>
        <item x="3653"/>
        <item x="3680"/>
        <item x="3693"/>
        <item x="3675"/>
        <item x="3682"/>
        <item x="3732"/>
        <item x="3712"/>
        <item x="3661"/>
        <item x="3676"/>
        <item x="3666"/>
        <item x="3650"/>
        <item x="3647"/>
        <item x="3667"/>
        <item x="3703"/>
        <item x="3698"/>
        <item x="3730"/>
        <item x="3694"/>
        <item x="3668"/>
        <item x="3688"/>
        <item x="3689"/>
        <item x="3690"/>
        <item x="3683"/>
        <item x="3733"/>
        <item x="2440"/>
        <item x="3713"/>
        <item x="3677"/>
        <item x="3654"/>
        <item x="3704"/>
        <item x="3699"/>
        <item x="3684"/>
        <item x="3674"/>
        <item x="3714"/>
        <item x="3718"/>
        <item x="3691"/>
        <item x="3726"/>
        <item x="3655"/>
        <item x="3656"/>
        <item x="3651"/>
        <item x="3657"/>
        <item x="3646"/>
        <item x="3729"/>
        <item x="3727"/>
        <item x="3700"/>
        <item x="3709"/>
        <item x="3649"/>
        <item x="3669"/>
        <item x="3678"/>
        <item x="3670"/>
        <item x="3705"/>
        <item x="3671"/>
        <item x="3695"/>
        <item x="3672"/>
        <item x="3706"/>
        <item x="3715"/>
        <item x="3685"/>
        <item x="3734"/>
        <item x="3686"/>
        <item x="3658"/>
        <item x="3662"/>
        <item x="3731"/>
        <item x="3687"/>
        <item x="3663"/>
        <item x="3659"/>
        <item x="3664"/>
        <item x="3719"/>
        <item x="3720"/>
        <item x="3721"/>
        <item x="3722"/>
        <item x="3723"/>
        <item x="3724"/>
        <item x="3710"/>
        <item x="3711"/>
        <item x="3696"/>
        <item x="3665"/>
        <item x="3716"/>
        <item x="3681"/>
        <item x="3707"/>
        <item x="3708"/>
        <item x="3717"/>
        <item x="3648"/>
        <item x="3701"/>
        <item x="3725"/>
        <item x="3702"/>
        <item x="3660"/>
        <item x="3642"/>
        <item x="3740"/>
        <item x="3768"/>
        <item x="3741"/>
        <item x="3787"/>
        <item x="3756"/>
        <item x="3761"/>
        <item x="3778"/>
        <item x="3736"/>
        <item x="3788"/>
        <item x="3747"/>
        <item x="3769"/>
        <item x="3789"/>
        <item x="3742"/>
        <item x="3779"/>
        <item x="3770"/>
        <item x="3762"/>
        <item x="3791"/>
        <item x="3780"/>
        <item x="3777"/>
        <item x="3765"/>
        <item x="3783"/>
        <item x="3763"/>
        <item x="3744"/>
        <item x="3753"/>
        <item x="3784"/>
        <item x="3771"/>
        <item x="3750"/>
        <item x="3781"/>
        <item x="3782"/>
        <item x="3785"/>
        <item x="3760"/>
        <item x="3772"/>
        <item x="3773"/>
        <item x="3748"/>
        <item x="3766"/>
        <item x="3774"/>
        <item x="3739"/>
        <item x="3743"/>
        <item x="3745"/>
        <item x="3786"/>
        <item x="3737"/>
        <item x="3775"/>
        <item x="3751"/>
        <item x="3790"/>
        <item x="3759"/>
        <item x="3758"/>
        <item x="3738"/>
        <item x="3752"/>
        <item x="3754"/>
        <item x="3755"/>
        <item x="3767"/>
        <item x="3757"/>
        <item x="3749"/>
        <item x="3746"/>
        <item x="3776"/>
        <item x="3735"/>
        <item x="3764"/>
        <item x="3821"/>
        <item x="3814"/>
        <item x="3792"/>
        <item x="3802"/>
        <item x="3836"/>
        <item x="3824"/>
        <item x="3840"/>
        <item x="3841"/>
        <item x="3837"/>
        <item x="3825"/>
        <item x="3805"/>
        <item x="3806"/>
        <item x="3807"/>
        <item x="3826"/>
        <item x="3827"/>
        <item x="3838"/>
        <item x="3842"/>
        <item x="3846"/>
        <item x="3823"/>
        <item x="3799"/>
        <item x="3828"/>
        <item x="3808"/>
        <item x="3816"/>
        <item x="3803"/>
        <item x="3804"/>
        <item x="3854"/>
        <item x="3794"/>
        <item x="3795"/>
        <item x="3855"/>
        <item x="3809"/>
        <item x="3817"/>
        <item x="3852"/>
        <item x="3849"/>
        <item x="3847"/>
        <item x="3810"/>
        <item x="3819"/>
        <item x="3829"/>
        <item x="3811"/>
        <item x="3800"/>
        <item x="3822"/>
        <item x="3850"/>
        <item x="3812"/>
        <item x="3830"/>
        <item x="3856"/>
        <item x="3843"/>
        <item x="3853"/>
        <item x="3851"/>
        <item x="3834"/>
        <item x="3796"/>
        <item x="3801"/>
        <item x="3848"/>
        <item x="3831"/>
        <item x="3839"/>
        <item x="3820"/>
        <item x="3815"/>
        <item x="3798"/>
        <item x="3844"/>
        <item x="3818"/>
        <item x="3813"/>
        <item x="3832"/>
        <item x="3845"/>
        <item x="3797"/>
        <item x="3833"/>
        <item x="3835"/>
        <item x="3793"/>
        <item x="3857"/>
        <item x="3888"/>
        <item x="3866"/>
        <item x="3858"/>
        <item x="3882"/>
        <item x="3861"/>
        <item x="3867"/>
        <item x="3883"/>
        <item x="3862"/>
        <item x="3880"/>
        <item x="3896"/>
        <item x="3897"/>
        <item x="3903"/>
        <item x="3891"/>
        <item x="3892"/>
        <item x="3889"/>
        <item x="3898"/>
        <item x="3886"/>
        <item x="3875"/>
        <item x="3874"/>
        <item x="3900"/>
        <item x="3904"/>
        <item x="3878"/>
        <item x="3863"/>
        <item x="3899"/>
        <item x="3905"/>
        <item x="3884"/>
        <item x="3906"/>
        <item x="3879"/>
        <item x="3893"/>
        <item x="3859"/>
        <item x="3876"/>
        <item x="3865"/>
        <item x="3887"/>
        <item x="3907"/>
        <item x="3868"/>
        <item x="3901"/>
        <item x="3894"/>
        <item x="3869"/>
        <item x="3860"/>
        <item x="3877"/>
        <item x="3864"/>
        <item x="3895"/>
        <item x="3870"/>
        <item x="3881"/>
        <item x="3908"/>
        <item x="3871"/>
        <item x="3872"/>
        <item x="3902"/>
        <item x="3873"/>
        <item x="3885"/>
        <item x="3890"/>
        <item x="3957"/>
        <item x="3928"/>
        <item x="3909"/>
        <item x="3958"/>
        <item x="3937"/>
        <item x="3940"/>
        <item x="3959"/>
        <item x="3960"/>
        <item x="3941"/>
        <item x="3938"/>
        <item x="3920"/>
        <item x="3944"/>
        <item x="3964"/>
        <item x="3918"/>
        <item x="3953"/>
        <item x="3915"/>
        <item x="3933"/>
        <item x="3952"/>
        <item x="3939"/>
        <item x="3970"/>
        <item x="2082"/>
        <item x="3916"/>
        <item x="3910"/>
        <item x="3943"/>
        <item x="3911"/>
        <item x="3945"/>
        <item x="3954"/>
        <item x="3942"/>
        <item x="3922"/>
        <item x="4273"/>
        <item x="3935"/>
        <item x="3966"/>
        <item x="4304"/>
        <item x="3936"/>
        <item x="3968"/>
        <item x="3923"/>
        <item x="3913"/>
        <item x="3930"/>
        <item x="3947"/>
        <item x="3926"/>
        <item x="3917"/>
        <item x="3934"/>
        <item x="3931"/>
        <item x="3948"/>
        <item x="3927"/>
        <item x="3965"/>
        <item x="3949"/>
        <item x="3967"/>
        <item x="3950"/>
        <item x="4655"/>
        <item x="4717"/>
        <item x="4718"/>
        <item x="4719"/>
        <item x="4721"/>
        <item x="3969"/>
        <item x="4725"/>
        <item x="4726"/>
        <item x="3951"/>
        <item x="3999"/>
        <item x="3984"/>
        <item x="3971"/>
        <item x="3985"/>
        <item x="3986"/>
        <item x="3987"/>
        <item x="3988"/>
        <item x="3979"/>
        <item x="3989"/>
        <item x="3990"/>
        <item x="3980"/>
        <item x="3976"/>
        <item x="4006"/>
        <item x="3981"/>
        <item x="3996"/>
        <item x="4003"/>
        <item x="3997"/>
        <item x="3977"/>
        <item x="3973"/>
        <item x="4000"/>
        <item x="3994"/>
        <item x="3993"/>
        <item x="3975"/>
        <item x="4007"/>
        <item x="4001"/>
        <item x="4002"/>
        <item x="4011"/>
        <item x="3972"/>
        <item x="3982"/>
        <item x="3978"/>
        <item x="3991"/>
        <item x="4009"/>
        <item x="4223"/>
        <item x="3983"/>
        <item x="4303"/>
        <item x="4005"/>
        <item x="3974"/>
        <item x="4008"/>
        <item x="3992"/>
        <item x="3998"/>
        <item x="4004"/>
        <item x="3995"/>
        <item x="3912"/>
        <item x="4654"/>
        <item x="4015"/>
        <item x="4013"/>
        <item x="4017"/>
        <item x="4016"/>
        <item x="4124"/>
        <item x="4108"/>
        <item x="4121"/>
        <item x="1154"/>
        <item x="4100"/>
        <item x="4088"/>
        <item x="4084"/>
        <item x="4469"/>
        <item x="4034"/>
        <item x="4032"/>
        <item x="4031"/>
        <item x="4021"/>
        <item x="1189"/>
        <item x="4123"/>
        <item x="4119"/>
        <item x="4116"/>
        <item x="4115"/>
        <item x="4114"/>
        <item x="4113"/>
        <item x="4112"/>
        <item x="4111"/>
        <item x="4107"/>
        <item x="4102"/>
        <item x="4103"/>
        <item x="4097"/>
        <item x="4091"/>
        <item x="4086"/>
        <item x="4087"/>
        <item x="4085"/>
        <item x="4080"/>
        <item x="4079"/>
        <item x="4078"/>
        <item x="4073"/>
        <item x="4054"/>
        <item x="4055"/>
        <item x="4035"/>
        <item x="4033"/>
        <item x="4030"/>
        <item x="4029"/>
        <item x="4028"/>
        <item x="4027"/>
        <item x="4026"/>
        <item x="4025"/>
        <item x="4024"/>
        <item x="4023"/>
        <item x="4022"/>
        <item x="4020"/>
        <item x="4018"/>
        <item x="4012"/>
        <item x="4125"/>
        <item x="4122"/>
        <item x="4120"/>
        <item x="4099"/>
        <item x="4110"/>
        <item x="4117"/>
        <item x="4118"/>
        <item x="4064"/>
        <item x="4092"/>
        <item x="4109"/>
        <item x="4053"/>
        <item x="4106"/>
        <item x="4104"/>
        <item x="4060"/>
        <item x="4105"/>
        <item x="4101"/>
        <item x="4098"/>
        <item x="4096"/>
        <item x="4095"/>
        <item x="4063"/>
        <item x="4094"/>
        <item x="4093"/>
        <item x="4090"/>
        <item x="4089"/>
        <item x="4473"/>
        <item x="4083"/>
        <item x="4081"/>
        <item x="4082"/>
        <item x="4077"/>
        <item x="4076"/>
        <item x="4074"/>
        <item x="4075"/>
        <item x="4071"/>
        <item x="4072"/>
        <item x="4070"/>
        <item x="4069"/>
        <item x="4068"/>
        <item x="4067"/>
        <item x="4066"/>
        <item x="4065"/>
        <item x="4061"/>
        <item x="4062"/>
        <item x="4057"/>
        <item x="4059"/>
        <item x="4058"/>
        <item x="4056"/>
        <item x="4052"/>
        <item x="4051"/>
        <item x="4049"/>
        <item x="4050"/>
        <item x="4048"/>
        <item x="4045"/>
        <item x="4047"/>
        <item x="4043"/>
        <item x="4046"/>
        <item x="4044"/>
        <item x="4042"/>
        <item x="4040"/>
        <item x="4039"/>
        <item x="4041"/>
        <item x="4037"/>
        <item x="4036"/>
        <item x="4038"/>
        <item x="4014"/>
        <item x="4127"/>
        <item x="4126"/>
        <item x="4128"/>
        <item x="4130"/>
        <item x="4129"/>
        <item x="4131"/>
        <item x="4132"/>
        <item x="4134"/>
        <item x="4464"/>
        <item x="4135"/>
        <item x="4215"/>
        <item x="4446"/>
        <item x="4242"/>
        <item x="4138"/>
        <item x="4614"/>
        <item x="4137"/>
        <item x="4141"/>
        <item x="4441"/>
        <item x="4212"/>
        <item x="4274"/>
        <item x="4189"/>
        <item x="4149"/>
        <item x="4150"/>
        <item x="4151"/>
        <item x="4152"/>
        <item x="4142"/>
        <item x="4300"/>
        <item x="4301"/>
        <item x="4260"/>
        <item x="4297"/>
        <item x="4136"/>
        <item x="4239"/>
        <item x="4288"/>
        <item x="4180"/>
        <item x="4312"/>
        <item x="4174"/>
        <item x="4175"/>
        <item x="4154"/>
        <item x="4143"/>
        <item x="4214"/>
        <item x="4194"/>
        <item x="4295"/>
        <item x="4202"/>
        <item x="4248"/>
        <item x="4144"/>
        <item x="4600"/>
        <item x="4567"/>
        <item x="4216"/>
        <item x="4190"/>
        <item x="4292"/>
        <item x="4255"/>
        <item x="4296"/>
        <item x="4235"/>
        <item x="4181"/>
        <item x="4249"/>
        <item x="4245"/>
        <item x="4195"/>
        <item x="4176"/>
        <item x="4220"/>
        <item x="4182"/>
        <item x="4240"/>
        <item x="4221"/>
        <item x="4256"/>
        <item x="4243"/>
        <item x="4246"/>
        <item x="4250"/>
        <item x="4289"/>
        <item x="4177"/>
        <item x="4191"/>
        <item x="4284"/>
        <item x="4293"/>
        <item x="4236"/>
        <item x="4251"/>
        <item x="4252"/>
        <item x="4165"/>
        <item x="4147"/>
        <item x="4183"/>
        <item x="4306"/>
        <item x="4368"/>
        <item x="4271"/>
        <item x="4211"/>
        <item x="4158"/>
        <item x="4232"/>
        <item x="4233"/>
        <item x="4315"/>
        <item x="1065"/>
        <item x="1229"/>
        <item x="4305"/>
        <item x="4166"/>
        <item x="4264"/>
        <item x="4257"/>
        <item x="4316"/>
        <item x="4298"/>
        <item x="4302"/>
        <item x="4237"/>
        <item x="4210"/>
        <item x="4217"/>
        <item x="4443"/>
        <item x="4168"/>
        <item x="4222"/>
        <item x="4227"/>
        <item x="4270"/>
        <item x="4224"/>
        <item x="4184"/>
        <item x="4454"/>
        <item x="4285"/>
        <item x="4145"/>
        <item x="4159"/>
        <item x="4231"/>
        <item x="4585"/>
        <item x="4287"/>
        <item x="4185"/>
        <item x="4171"/>
        <item x="4265"/>
        <item x="4192"/>
        <item x="4196"/>
        <item x="4139"/>
        <item x="4272"/>
        <item x="4186"/>
        <item x="4148"/>
        <item x="4153"/>
        <item x="4307"/>
        <item x="4170"/>
        <item x="4258"/>
        <item x="4146"/>
        <item x="4140"/>
        <item x="4213"/>
        <item x="4234"/>
        <item x="4247"/>
        <item x="4261"/>
        <item x="4286"/>
        <item x="4253"/>
        <item x="4193"/>
        <item x="4459"/>
        <item x="4241"/>
        <item x="4197"/>
        <item x="4198"/>
        <item x="4172"/>
        <item x="4157"/>
        <item x="4200"/>
        <item x="4311"/>
        <item x="4299"/>
        <item x="4229"/>
        <item x="4219"/>
        <item x="4266"/>
        <item x="4268"/>
        <item x="4269"/>
        <item x="4238"/>
        <item x="4586"/>
        <item x="4208"/>
        <item x="4187"/>
        <item x="4275"/>
        <item x="4617"/>
        <item x="4290"/>
        <item x="4283"/>
        <item x="4173"/>
        <item x="4259"/>
        <item x="4262"/>
        <item x="4205"/>
        <item x="4254"/>
        <item x="4281"/>
        <item x="4199"/>
        <item x="4169"/>
        <item x="4188"/>
        <item x="4267"/>
        <item x="4460"/>
        <item x="4628"/>
        <item x="4162"/>
        <item x="4161"/>
        <item x="4310"/>
        <item x="4317"/>
        <item x="4635"/>
        <item x="4636"/>
        <item x="4331"/>
        <item x="4341"/>
        <item x="4338"/>
        <item x="4345"/>
        <item x="4343"/>
        <item x="4364"/>
        <item x="4651"/>
        <item x="4652"/>
        <item x="4209"/>
        <item x="4282"/>
        <item x="4294"/>
        <item x="3914"/>
        <item x="4339"/>
        <item x="4340"/>
        <item x="4318"/>
        <item x="4350"/>
        <item x="4351"/>
        <item x="4352"/>
        <item x="4319"/>
        <item x="4313"/>
        <item x="4366"/>
        <item x="4367"/>
        <item x="4328"/>
        <item x="4344"/>
        <item x="4362"/>
        <item x="4346"/>
        <item x="4347"/>
        <item x="4353"/>
        <item x="4354"/>
        <item x="4320"/>
        <item x="4329"/>
        <item x="4355"/>
        <item x="4356"/>
        <item x="4363"/>
        <item x="4369"/>
        <item x="4321"/>
        <item x="4348"/>
        <item x="4322"/>
        <item x="4370"/>
        <item x="4309"/>
        <item x="4330"/>
        <item x="4349"/>
        <item x="4323"/>
        <item x="4324"/>
        <item x="4357"/>
        <item x="4371"/>
        <item x="4325"/>
        <item x="4291"/>
        <item x="4358"/>
        <item x="4359"/>
        <item x="4372"/>
        <item x="4373"/>
        <item x="4374"/>
        <item x="4308"/>
        <item x="4375"/>
        <item x="4424"/>
        <item x="3925"/>
        <item x="4010"/>
        <item x="4420"/>
        <item x="4244"/>
        <item x="4606"/>
        <item x="4228"/>
        <item x="4470"/>
        <item x="4574"/>
        <item x="4418"/>
        <item x="4419"/>
        <item x="4415"/>
        <item x="4416"/>
        <item x="4417"/>
        <item x="4412"/>
        <item x="4413"/>
        <item x="4400"/>
        <item x="4414"/>
        <item x="4409"/>
        <item x="4407"/>
        <item x="4398"/>
        <item x="4399"/>
        <item x="4402"/>
        <item x="4383"/>
        <item x="4384"/>
        <item x="4389"/>
        <item x="4423"/>
        <item x="4421"/>
        <item x="4410"/>
        <item x="4411"/>
        <item x="4404"/>
        <item x="4406"/>
        <item x="4405"/>
        <item x="4403"/>
        <item x="4396"/>
        <item x="4388"/>
        <item x="4385"/>
        <item x="4395"/>
        <item x="4394"/>
        <item x="4390"/>
        <item x="4386"/>
        <item x="4392"/>
        <item x="4387"/>
        <item x="4393"/>
        <item x="4397"/>
        <item x="4472"/>
        <item x="4391"/>
        <item x="4382"/>
        <item x="4314"/>
        <item x="4461"/>
        <item x="4376"/>
        <item x="4332"/>
        <item x="4377"/>
        <item x="4326"/>
        <item x="4342"/>
        <item x="4378"/>
        <item x="4327"/>
        <item x="4379"/>
        <item x="4380"/>
        <item x="4490"/>
        <item x="4333"/>
        <item x="4334"/>
        <item x="4335"/>
        <item x="4336"/>
        <item x="4360"/>
        <item x="4337"/>
        <item x="4365"/>
        <item x="4381"/>
        <item x="4361"/>
        <item x="2461"/>
        <item x="2608"/>
        <item x="2671"/>
        <item x="3919"/>
        <item x="3921"/>
        <item x="3924"/>
        <item x="3929"/>
        <item x="3932"/>
        <item x="3946"/>
        <item x="3955"/>
        <item x="3956"/>
        <item x="3961"/>
        <item x="3962"/>
        <item x="3963"/>
        <item x="4133"/>
        <item x="4155"/>
        <item x="4156"/>
        <item x="4160"/>
        <item x="4163"/>
        <item x="4164"/>
        <item x="4167"/>
        <item x="4178"/>
        <item x="4179"/>
        <item x="4201"/>
        <item x="4203"/>
        <item x="4204"/>
        <item x="4206"/>
        <item x="4207"/>
        <item x="4218"/>
        <item x="4225"/>
        <item x="4226"/>
        <item x="4230"/>
        <item x="4263"/>
        <item x="4276"/>
        <item x="4277"/>
        <item x="4278"/>
        <item x="4279"/>
        <item x="4280"/>
        <item x="4401"/>
        <item x="4408"/>
        <item x="4422"/>
        <item x="4425"/>
        <item x="4426"/>
        <item x="4427"/>
        <item x="4428"/>
        <item x="4429"/>
        <item x="4430"/>
        <item x="4431"/>
        <item x="4432"/>
        <item x="4433"/>
        <item x="4434"/>
        <item x="4435"/>
        <item x="4436"/>
        <item x="4437"/>
        <item x="4438"/>
        <item x="4439"/>
        <item x="4440"/>
        <item x="4442"/>
        <item x="4444"/>
        <item x="4445"/>
        <item x="4447"/>
        <item x="4448"/>
        <item x="4449"/>
        <item x="4450"/>
        <item x="4451"/>
        <item x="4452"/>
        <item x="4453"/>
        <item x="4455"/>
        <item x="4456"/>
        <item x="4457"/>
        <item x="4458"/>
        <item x="4462"/>
        <item x="4463"/>
        <item x="4465"/>
        <item x="4466"/>
        <item x="4467"/>
        <item x="4468"/>
        <item x="4471"/>
        <item x="4474"/>
        <item x="4475"/>
        <item x="4476"/>
        <item x="4477"/>
        <item x="4478"/>
        <item x="4479"/>
        <item x="4480"/>
        <item x="4481"/>
        <item x="4482"/>
        <item x="4483"/>
        <item x="4484"/>
        <item x="4485"/>
        <item x="4486"/>
        <item x="4487"/>
        <item x="4488"/>
        <item x="4489"/>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8"/>
        <item x="4569"/>
        <item x="4570"/>
        <item x="4571"/>
        <item x="4572"/>
        <item x="4573"/>
        <item x="4575"/>
        <item x="4576"/>
        <item x="4577"/>
        <item x="4578"/>
        <item x="4579"/>
        <item x="4580"/>
        <item x="4581"/>
        <item x="4582"/>
        <item x="4583"/>
        <item x="4584"/>
        <item x="4587"/>
        <item x="4588"/>
        <item x="4589"/>
        <item x="4590"/>
        <item x="4591"/>
        <item x="4592"/>
        <item x="4593"/>
        <item x="4594"/>
        <item x="4595"/>
        <item x="4596"/>
        <item x="4597"/>
        <item x="4598"/>
        <item x="4599"/>
        <item x="4601"/>
        <item x="4602"/>
        <item x="4603"/>
        <item x="4604"/>
        <item x="4605"/>
        <item x="4607"/>
        <item x="4608"/>
        <item x="4609"/>
        <item x="4610"/>
        <item x="4611"/>
        <item x="4612"/>
        <item x="4613"/>
        <item x="4615"/>
        <item x="4616"/>
        <item x="4618"/>
        <item x="4619"/>
        <item x="4620"/>
        <item x="4621"/>
        <item x="4622"/>
        <item x="4623"/>
        <item x="4624"/>
        <item x="4625"/>
        <item x="4626"/>
        <item x="4627"/>
        <item x="4629"/>
        <item x="4630"/>
        <item x="4631"/>
        <item x="4632"/>
        <item x="4633"/>
        <item x="4634"/>
        <item x="4637"/>
        <item x="4638"/>
        <item x="4639"/>
        <item x="4640"/>
        <item x="4641"/>
        <item x="4642"/>
        <item x="4643"/>
        <item x="4644"/>
        <item x="4645"/>
        <item x="4646"/>
        <item x="4647"/>
        <item x="4648"/>
        <item x="4649"/>
        <item x="4650"/>
        <item x="4653"/>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20"/>
        <item x="4722"/>
        <item x="4723"/>
        <item x="4724"/>
        <item x="4727"/>
        <item x="4728"/>
        <item x="4729"/>
        <item x="4730"/>
        <item x="4731"/>
        <item x="4732"/>
        <item x="4733"/>
        <item x="4734"/>
        <item x="4735"/>
        <item x="4736"/>
        <item x="4737"/>
        <item x="4738"/>
        <item x="4739"/>
        <item x="4740"/>
        <item x="4741"/>
        <item x="4742"/>
        <item x="4750"/>
        <item x="4756"/>
        <item x="5103"/>
        <item x="4744"/>
        <item x="4767"/>
        <item x="5105"/>
        <item x="4746"/>
        <item x="5112"/>
        <item x="5108"/>
        <item x="4758"/>
        <item x="4745"/>
        <item x="5110"/>
        <item x="5111"/>
        <item x="5104"/>
        <item x="4747"/>
        <item x="5106"/>
        <item x="4749"/>
        <item x="4743"/>
        <item x="4763"/>
        <item x="4759"/>
        <item x="4861"/>
        <item x="4965"/>
        <item x="5009"/>
        <item x="4838"/>
        <item x="5015"/>
        <item x="5034"/>
        <item x="5083"/>
        <item x="4869"/>
        <item x="5020"/>
        <item x="4918"/>
        <item x="5109"/>
        <item x="4896"/>
        <item x="5010"/>
        <item x="5100"/>
        <item x="5079"/>
        <item x="5047"/>
        <item x="4939"/>
        <item x="4881"/>
        <item x="5107"/>
        <item x="4775"/>
        <item x="4835"/>
        <item x="4890"/>
        <item x="4798"/>
        <item x="5033"/>
        <item x="4941"/>
        <item x="5094"/>
        <item x="4934"/>
        <item x="4840"/>
        <item x="5078"/>
        <item x="4910"/>
        <item x="5090"/>
        <item x="5046"/>
        <item x="4949"/>
        <item x="5053"/>
        <item x="5017"/>
        <item x="4864"/>
        <item x="5044"/>
        <item x="4899"/>
        <item x="4819"/>
        <item x="4828"/>
        <item x="4885"/>
        <item x="4972"/>
        <item x="4867"/>
        <item x="5057"/>
        <item x="4842"/>
        <item x="4821"/>
        <item x="5032"/>
        <item x="5099"/>
        <item x="4993"/>
        <item x="5035"/>
        <item x="4927"/>
        <item x="5076"/>
        <item x="4912"/>
        <item x="4998"/>
        <item x="4980"/>
        <item x="4809"/>
        <item x="4932"/>
        <item x="4762"/>
        <item x="4892"/>
        <item x="4922"/>
        <item x="5002"/>
        <item x="4779"/>
        <item x="4989"/>
        <item x="4797"/>
        <item x="4873"/>
        <item x="4889"/>
        <item x="5031"/>
        <item x="5098"/>
        <item x="5060"/>
        <item x="4891"/>
        <item x="5075"/>
        <item x="4937"/>
        <item x="4905"/>
        <item x="5030"/>
        <item x="5097"/>
        <item x="4783"/>
        <item x="4940"/>
        <item x="5043"/>
        <item x="4877"/>
        <item x="4764"/>
        <item x="4974"/>
        <item x="5040"/>
        <item x="4847"/>
        <item x="4876"/>
        <item x="4947"/>
        <item x="4794"/>
        <item x="4925"/>
        <item x="5023"/>
        <item x="4774"/>
        <item x="4831"/>
        <item x="5011"/>
        <item x="4924"/>
        <item x="4804"/>
        <item x="4751"/>
        <item x="5069"/>
        <item x="4793"/>
        <item x="4748"/>
        <item x="4823"/>
        <item x="4928"/>
        <item x="4868"/>
        <item x="4988"/>
        <item x="4849"/>
        <item x="5084"/>
        <item x="4961"/>
        <item x="5102"/>
        <item x="4776"/>
        <item x="4916"/>
        <item x="4950"/>
        <item x="5063"/>
        <item x="4811"/>
        <item x="4931"/>
        <item x="4778"/>
        <item x="4952"/>
        <item x="4829"/>
        <item x="4987"/>
        <item x="5039"/>
        <item x="4886"/>
        <item x="4897"/>
        <item x="4830"/>
        <item x="4854"/>
        <item x="4909"/>
        <item x="4898"/>
        <item x="4792"/>
        <item x="4958"/>
        <item x="4822"/>
        <item x="4936"/>
        <item x="5059"/>
        <item x="4946"/>
        <item x="4784"/>
        <item x="4800"/>
        <item x="4923"/>
        <item x="5052"/>
        <item x="5004"/>
        <item x="4769"/>
        <item x="4878"/>
        <item x="5021"/>
        <item x="4938"/>
        <item x="5062"/>
        <item x="4908"/>
        <item x="4795"/>
        <item x="4907"/>
        <item x="4973"/>
        <item x="5054"/>
        <item x="4825"/>
        <item x="4929"/>
        <item x="5027"/>
        <item x="4805"/>
        <item x="4808"/>
        <item x="4985"/>
        <item x="5056"/>
        <item x="5061"/>
        <item x="4951"/>
        <item x="5038"/>
        <item x="4926"/>
        <item x="4777"/>
        <item x="4943"/>
        <item x="4981"/>
        <item x="4772"/>
        <item x="4906"/>
        <item x="4815"/>
        <item x="5025"/>
        <item x="4920"/>
        <item x="4856"/>
        <item x="4780"/>
        <item x="4796"/>
        <item x="5070"/>
        <item x="4944"/>
        <item x="4967"/>
        <item x="5093"/>
        <item x="4969"/>
        <item x="5068"/>
        <item x="4786"/>
        <item x="4850"/>
        <item x="5042"/>
        <item x="4801"/>
        <item x="4893"/>
        <item x="4971"/>
        <item x="4787"/>
        <item x="4860"/>
        <item x="4900"/>
        <item x="4962"/>
        <item x="5024"/>
        <item x="5095"/>
        <item x="4901"/>
        <item x="4904"/>
        <item x="4843"/>
        <item x="4766"/>
        <item x="4859"/>
        <item x="5019"/>
        <item x="4917"/>
        <item x="5073"/>
        <item x="4975"/>
        <item x="5091"/>
        <item x="4996"/>
        <item x="4954"/>
        <item x="4948"/>
        <item x="4986"/>
        <item x="5067"/>
        <item x="4903"/>
        <item x="4995"/>
        <item x="4919"/>
        <item x="4914"/>
        <item x="4874"/>
        <item x="4845"/>
        <item x="4770"/>
        <item x="5022"/>
        <item x="5041"/>
        <item x="4953"/>
        <item x="4984"/>
        <item x="5026"/>
        <item x="4935"/>
        <item x="5012"/>
        <item x="5037"/>
        <item x="4968"/>
        <item x="5071"/>
        <item x="5089"/>
        <item x="4983"/>
        <item x="4955"/>
        <item x="5082"/>
        <item x="4879"/>
        <item x="4826"/>
        <item x="4945"/>
        <item x="4773"/>
        <item x="4933"/>
        <item x="5066"/>
        <item x="4827"/>
        <item x="4765"/>
        <item x="5028"/>
        <item x="4771"/>
        <item x="4882"/>
        <item x="5101"/>
        <item x="4883"/>
        <item x="4788"/>
        <item x="4810"/>
        <item x="4976"/>
        <item x="4824"/>
        <item x="4888"/>
        <item x="4803"/>
        <item x="4836"/>
        <item x="5081"/>
        <item x="4790"/>
        <item x="5014"/>
        <item x="4789"/>
        <item x="5080"/>
        <item x="4865"/>
        <item x="4956"/>
        <item x="4813"/>
        <item x="5065"/>
        <item x="4752"/>
        <item x="5085"/>
        <item x="4753"/>
        <item x="5016"/>
        <item x="4818"/>
        <item x="4863"/>
        <item x="4970"/>
        <item x="4982"/>
        <item x="4834"/>
        <item x="5048"/>
        <item x="5049"/>
        <item x="4887"/>
        <item x="5003"/>
        <item x="4871"/>
        <item x="5064"/>
        <item x="4866"/>
        <item x="4997"/>
        <item x="5036"/>
        <item x="4833"/>
        <item x="5077"/>
        <item x="4802"/>
        <item x="4992"/>
        <item x="4814"/>
        <item x="5058"/>
        <item x="4782"/>
        <item x="4857"/>
        <item x="4963"/>
        <item x="4921"/>
        <item x="4990"/>
        <item x="5005"/>
        <item x="5087"/>
        <item x="4844"/>
        <item x="5088"/>
        <item x="4781"/>
        <item x="5007"/>
        <item x="4785"/>
        <item x="5000"/>
        <item x="4957"/>
        <item x="4979"/>
        <item x="5008"/>
        <item x="4913"/>
        <item x="4791"/>
        <item x="4757"/>
        <item x="4760"/>
        <item x="4942"/>
        <item x="4799"/>
        <item x="4858"/>
        <item x="4812"/>
        <item x="4755"/>
        <item x="5055"/>
        <item x="5001"/>
        <item x="5072"/>
        <item x="4978"/>
        <item x="4964"/>
        <item x="4806"/>
        <item x="4977"/>
        <item x="4768"/>
        <item x="4930"/>
        <item x="4754"/>
        <item x="4870"/>
        <item x="4872"/>
        <item x="5029"/>
        <item x="4994"/>
        <item x="4837"/>
        <item x="4862"/>
        <item x="4851"/>
        <item x="4761"/>
        <item x="4895"/>
        <item x="4841"/>
        <item x="4817"/>
        <item x="5096"/>
        <item x="4911"/>
        <item x="4807"/>
        <item x="4991"/>
        <item x="4846"/>
        <item x="5086"/>
        <item x="4816"/>
        <item x="4966"/>
        <item x="4999"/>
        <item x="5045"/>
        <item x="4852"/>
        <item x="4960"/>
        <item x="4853"/>
        <item x="4820"/>
        <item x="4902"/>
        <item x="4875"/>
        <item x="5074"/>
        <item x="4884"/>
        <item x="5092"/>
        <item x="5050"/>
        <item x="4855"/>
        <item x="4959"/>
        <item x="5013"/>
        <item x="4832"/>
        <item x="4915"/>
        <item x="5006"/>
        <item x="5018"/>
        <item x="4848"/>
        <item x="4894"/>
        <item x="4880"/>
        <item x="4839"/>
        <item x="5051"/>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t="default"/>
      </items>
    </pivotField>
    <pivotField compact="0" showAll="0"/>
    <pivotField compact="0" outline="0" showAll="0"/>
  </pivotFields>
  <rowFields count="2">
    <field x="5"/>
    <field x="14"/>
  </rowFields>
  <rowItems count="502">
    <i>
      <x v="2"/>
    </i>
    <i r="1">
      <x v="4679"/>
    </i>
    <i r="1">
      <x v="4774"/>
    </i>
    <i r="1">
      <x v="5097"/>
    </i>
    <i r="1">
      <x v="5144"/>
    </i>
    <i r="1">
      <x v="5148"/>
    </i>
    <i r="1">
      <x v="5175"/>
    </i>
    <i r="1">
      <x v="5181"/>
    </i>
    <i r="1">
      <x v="5210"/>
    </i>
    <i r="1">
      <x v="5219"/>
    </i>
    <i r="1">
      <x v="5223"/>
    </i>
    <i r="1">
      <x v="5243"/>
    </i>
    <i r="1">
      <x v="5270"/>
    </i>
    <i r="1">
      <x v="5284"/>
    </i>
    <i r="1">
      <x v="5286"/>
    </i>
    <i r="1">
      <x v="5297"/>
    </i>
    <i r="1">
      <x v="5312"/>
    </i>
    <i r="1">
      <x v="5316"/>
    </i>
    <i r="1">
      <x v="5320"/>
    </i>
    <i r="1">
      <x v="5322"/>
    </i>
    <i r="1">
      <x v="5335"/>
    </i>
    <i r="1">
      <x v="5375"/>
    </i>
    <i r="1">
      <x v="5386"/>
    </i>
    <i r="1">
      <x v="5388"/>
    </i>
    <i r="1">
      <x v="5389"/>
    </i>
    <i r="1">
      <x v="5390"/>
    </i>
    <i r="1">
      <x v="5391"/>
    </i>
    <i r="1">
      <x v="5392"/>
    </i>
    <i r="1">
      <x v="5393"/>
    </i>
    <i r="1">
      <x v="5394"/>
    </i>
    <i r="1">
      <x v="5395"/>
    </i>
    <i r="1">
      <x v="5396"/>
    </i>
    <i r="1">
      <x v="5397"/>
    </i>
    <i r="1">
      <x v="5398"/>
    </i>
    <i r="1">
      <x v="5399"/>
    </i>
    <i r="1">
      <x v="5400"/>
    </i>
    <i r="1">
      <x v="5401"/>
    </i>
    <i r="1">
      <x v="5402"/>
    </i>
    <i r="1">
      <x v="5403"/>
    </i>
    <i r="1">
      <x v="5404"/>
    </i>
    <i r="1">
      <x v="5405"/>
    </i>
    <i r="1">
      <x v="5406"/>
    </i>
    <i r="1">
      <x v="5409"/>
    </i>
    <i r="1">
      <x v="5410"/>
    </i>
    <i r="1">
      <x v="5411"/>
    </i>
    <i r="1">
      <x v="5412"/>
    </i>
    <i r="1">
      <x v="5413"/>
    </i>
    <i r="1">
      <x v="5414"/>
    </i>
    <i r="1">
      <x v="5415"/>
    </i>
    <i r="1">
      <x v="5417"/>
    </i>
    <i r="1">
      <x v="5418"/>
    </i>
    <i r="1">
      <x v="5419"/>
    </i>
    <i r="1">
      <x v="5420"/>
    </i>
    <i r="1">
      <x v="5421"/>
    </i>
    <i r="1">
      <x v="5422"/>
    </i>
    <i>
      <x v="6"/>
    </i>
    <i r="1">
      <x v="3604"/>
    </i>
    <i r="1">
      <x v="4822"/>
    </i>
    <i>
      <x v="7"/>
    </i>
    <i r="1">
      <x v="2374"/>
    </i>
    <i r="1">
      <x v="3568"/>
    </i>
    <i r="1">
      <x v="3604"/>
    </i>
    <i r="1">
      <x v="4312"/>
    </i>
    <i r="1">
      <x v="4876"/>
    </i>
    <i r="1">
      <x v="4928"/>
    </i>
    <i r="1">
      <x v="5062"/>
    </i>
    <i r="1">
      <x v="5071"/>
    </i>
    <i r="1">
      <x v="5072"/>
    </i>
    <i r="1">
      <x v="5083"/>
    </i>
    <i r="1">
      <x v="5111"/>
    </i>
    <i r="1">
      <x v="5206"/>
    </i>
    <i r="1">
      <x v="5363"/>
    </i>
    <i r="1">
      <x v="5364"/>
    </i>
    <i r="1">
      <x v="5379"/>
    </i>
    <i r="1">
      <x v="5387"/>
    </i>
    <i>
      <x v="8"/>
    </i>
    <i r="1">
      <x v="99"/>
    </i>
    <i r="1">
      <x v="611"/>
    </i>
    <i r="1">
      <x v="641"/>
    </i>
    <i r="1">
      <x v="652"/>
    </i>
    <i r="1">
      <x v="948"/>
    </i>
    <i r="1">
      <x v="1422"/>
    </i>
    <i r="1">
      <x v="1428"/>
    </i>
    <i r="1">
      <x v="2049"/>
    </i>
    <i r="1">
      <x v="2703"/>
    </i>
    <i r="1">
      <x v="3334"/>
    </i>
    <i r="1">
      <x v="3355"/>
    </i>
    <i r="1">
      <x v="3601"/>
    </i>
    <i r="1">
      <x v="3602"/>
    </i>
    <i r="1">
      <x v="3607"/>
    </i>
    <i r="1">
      <x v="3663"/>
    </i>
    <i r="1">
      <x v="3904"/>
    </i>
    <i r="1">
      <x v="4123"/>
    </i>
    <i r="1">
      <x v="4149"/>
    </i>
    <i r="1">
      <x v="4226"/>
    </i>
    <i r="1">
      <x v="4667"/>
    </i>
    <i r="1">
      <x v="4742"/>
    </i>
    <i r="1">
      <x v="4760"/>
    </i>
    <i r="1">
      <x v="4798"/>
    </i>
    <i r="1">
      <x v="4819"/>
    </i>
    <i r="1">
      <x v="5061"/>
    </i>
    <i r="1">
      <x v="5065"/>
    </i>
    <i r="1">
      <x v="5080"/>
    </i>
    <i r="1">
      <x v="5081"/>
    </i>
    <i r="1">
      <x v="5082"/>
    </i>
    <i r="1">
      <x v="5092"/>
    </i>
    <i r="1">
      <x v="5115"/>
    </i>
    <i r="1">
      <x v="5116"/>
    </i>
    <i r="1">
      <x v="5117"/>
    </i>
    <i r="1">
      <x v="5122"/>
    </i>
    <i r="1">
      <x v="5123"/>
    </i>
    <i r="1">
      <x v="5124"/>
    </i>
    <i r="1">
      <x v="5126"/>
    </i>
    <i r="1">
      <x v="5127"/>
    </i>
    <i r="1">
      <x v="5143"/>
    </i>
    <i r="1">
      <x v="5151"/>
    </i>
    <i r="1">
      <x v="5153"/>
    </i>
    <i r="1">
      <x v="5154"/>
    </i>
    <i r="1">
      <x v="5156"/>
    </i>
    <i r="1">
      <x v="5161"/>
    </i>
    <i r="1">
      <x v="5174"/>
    </i>
    <i r="1">
      <x v="5176"/>
    </i>
    <i r="1">
      <x v="5180"/>
    </i>
    <i r="1">
      <x v="5182"/>
    </i>
    <i r="1">
      <x v="5183"/>
    </i>
    <i r="1">
      <x v="5185"/>
    </i>
    <i r="1">
      <x v="5186"/>
    </i>
    <i r="1">
      <x v="5188"/>
    </i>
    <i r="1">
      <x v="5189"/>
    </i>
    <i r="1">
      <x v="5204"/>
    </i>
    <i r="1">
      <x v="5208"/>
    </i>
    <i r="1">
      <x v="5230"/>
    </i>
    <i r="1">
      <x v="5235"/>
    </i>
    <i r="1">
      <x v="5240"/>
    </i>
    <i r="1">
      <x v="5241"/>
    </i>
    <i r="1">
      <x v="5242"/>
    </i>
    <i r="1">
      <x v="5253"/>
    </i>
    <i r="1">
      <x v="5254"/>
    </i>
    <i r="1">
      <x v="5260"/>
    </i>
    <i r="1">
      <x v="5264"/>
    </i>
    <i r="1">
      <x v="5265"/>
    </i>
    <i r="1">
      <x v="5266"/>
    </i>
    <i r="1">
      <x v="5269"/>
    </i>
    <i r="1">
      <x v="5273"/>
    </i>
    <i r="1">
      <x v="5276"/>
    </i>
    <i r="1">
      <x v="5279"/>
    </i>
    <i r="1">
      <x v="5287"/>
    </i>
    <i r="1">
      <x v="5291"/>
    </i>
    <i r="1">
      <x v="5293"/>
    </i>
    <i r="1">
      <x v="5298"/>
    </i>
    <i r="1">
      <x v="5300"/>
    </i>
    <i r="1">
      <x v="5334"/>
    </i>
    <i r="1">
      <x v="5345"/>
    </i>
    <i r="1">
      <x v="5346"/>
    </i>
    <i r="1">
      <x v="5347"/>
    </i>
    <i r="1">
      <x v="5348"/>
    </i>
    <i r="1">
      <x v="5350"/>
    </i>
    <i r="1">
      <x v="5351"/>
    </i>
    <i r="1">
      <x v="5352"/>
    </i>
    <i r="1">
      <x v="5354"/>
    </i>
    <i r="1">
      <x v="5355"/>
    </i>
    <i r="1">
      <x v="5358"/>
    </i>
    <i r="1">
      <x v="5369"/>
    </i>
    <i r="1">
      <x v="5370"/>
    </i>
    <i r="1">
      <x v="5371"/>
    </i>
    <i r="1">
      <x v="5372"/>
    </i>
    <i r="1">
      <x v="5373"/>
    </i>
    <i r="1">
      <x v="5374"/>
    </i>
    <i r="1">
      <x v="5379"/>
    </i>
    <i r="1">
      <x v="5408"/>
    </i>
    <i>
      <x v="10"/>
    </i>
    <i r="1">
      <x v="5214"/>
    </i>
    <i>
      <x v="11"/>
    </i>
    <i r="1">
      <x v="1227"/>
    </i>
    <i r="1">
      <x v="4686"/>
    </i>
    <i r="1">
      <x v="4936"/>
    </i>
    <i r="1">
      <x v="5022"/>
    </i>
    <i r="1">
      <x v="5095"/>
    </i>
    <i r="1">
      <x v="5103"/>
    </i>
    <i r="1">
      <x v="5145"/>
    </i>
    <i r="1">
      <x v="5197"/>
    </i>
    <i r="1">
      <x v="5226"/>
    </i>
    <i r="1">
      <x v="5259"/>
    </i>
    <i r="1">
      <x v="5267"/>
    </i>
    <i r="1">
      <x v="5311"/>
    </i>
    <i r="1">
      <x v="5331"/>
    </i>
    <i r="1">
      <x v="5356"/>
    </i>
    <i r="1">
      <x v="5366"/>
    </i>
    <i>
      <x v="13"/>
    </i>
    <i r="1">
      <x v="585"/>
    </i>
    <i r="1">
      <x v="725"/>
    </i>
    <i r="1">
      <x v="896"/>
    </i>
    <i r="1">
      <x v="2109"/>
    </i>
    <i r="1">
      <x v="3973"/>
    </i>
    <i r="1">
      <x v="4659"/>
    </i>
    <i r="1">
      <x v="4792"/>
    </i>
    <i r="1">
      <x v="4810"/>
    </i>
    <i r="1">
      <x v="4872"/>
    </i>
    <i r="1">
      <x v="4884"/>
    </i>
    <i r="1">
      <x v="4959"/>
    </i>
    <i r="1">
      <x v="4991"/>
    </i>
    <i r="1">
      <x v="5079"/>
    </i>
    <i r="1">
      <x v="5106"/>
    </i>
    <i r="1">
      <x v="5125"/>
    </i>
    <i r="1">
      <x v="5142"/>
    </i>
    <i r="1">
      <x v="5217"/>
    </i>
    <i r="1">
      <x v="5227"/>
    </i>
    <i r="1">
      <x v="5275"/>
    </i>
    <i r="1">
      <x v="5385"/>
    </i>
    <i r="1">
      <x v="5416"/>
    </i>
    <i>
      <x v="15"/>
    </i>
    <i r="1">
      <x v="30"/>
    </i>
    <i r="1">
      <x v="5170"/>
    </i>
    <i r="1">
      <x v="5277"/>
    </i>
    <i r="1">
      <x v="5285"/>
    </i>
    <i r="1">
      <x v="5302"/>
    </i>
    <i r="1">
      <x v="5309"/>
    </i>
    <i r="1">
      <x v="5341"/>
    </i>
    <i>
      <x v="16"/>
    </i>
    <i r="1">
      <x v="5053"/>
    </i>
    <i r="1">
      <x v="5056"/>
    </i>
    <i r="1">
      <x v="5057"/>
    </i>
    <i r="1">
      <x v="5059"/>
    </i>
    <i r="1">
      <x v="5063"/>
    </i>
    <i r="1">
      <x v="5067"/>
    </i>
    <i r="1">
      <x v="5070"/>
    </i>
    <i r="1">
      <x v="5084"/>
    </i>
    <i r="1">
      <x v="5169"/>
    </i>
    <i r="1">
      <x v="5193"/>
    </i>
    <i r="1">
      <x v="5325"/>
    </i>
    <i>
      <x v="17"/>
    </i>
    <i r="1">
      <x v="1817"/>
    </i>
    <i r="1">
      <x v="4668"/>
    </i>
    <i r="1">
      <x v="4870"/>
    </i>
    <i r="1">
      <x v="4880"/>
    </i>
    <i r="1">
      <x v="5078"/>
    </i>
    <i r="1">
      <x v="5096"/>
    </i>
    <i r="1">
      <x v="5119"/>
    </i>
    <i r="1">
      <x v="5139"/>
    </i>
    <i r="1">
      <x v="5146"/>
    </i>
    <i r="1">
      <x v="5187"/>
    </i>
    <i r="1">
      <x v="5193"/>
    </i>
    <i r="1">
      <x v="5198"/>
    </i>
    <i r="1">
      <x v="5201"/>
    </i>
    <i r="1">
      <x v="5248"/>
    </i>
    <i r="1">
      <x v="5278"/>
    </i>
    <i r="1">
      <x v="5343"/>
    </i>
    <i r="1">
      <x v="5382"/>
    </i>
    <i>
      <x v="21"/>
    </i>
    <i r="1">
      <x v="3585"/>
    </i>
    <i>
      <x v="23"/>
    </i>
    <i r="1">
      <x v="752"/>
    </i>
    <i>
      <x v="24"/>
    </i>
    <i r="1">
      <x v="1424"/>
    </i>
    <i r="1">
      <x v="5064"/>
    </i>
    <i r="1">
      <x v="5289"/>
    </i>
    <i>
      <x v="25"/>
    </i>
    <i r="1">
      <x v="628"/>
    </i>
    <i r="1">
      <x v="1148"/>
    </i>
    <i r="1">
      <x v="1739"/>
    </i>
    <i r="1">
      <x v="4308"/>
    </i>
    <i r="1">
      <x v="4584"/>
    </i>
    <i r="1">
      <x v="4758"/>
    </i>
    <i r="1">
      <x v="4769"/>
    </i>
    <i r="1">
      <x v="4780"/>
    </i>
    <i r="1">
      <x v="4781"/>
    </i>
    <i r="1">
      <x v="4809"/>
    </i>
    <i r="1">
      <x v="4839"/>
    </i>
    <i r="1">
      <x v="4852"/>
    </i>
    <i r="1">
      <x v="4869"/>
    </i>
    <i r="1">
      <x v="4883"/>
    </i>
    <i r="1">
      <x v="4908"/>
    </i>
    <i r="1">
      <x v="4922"/>
    </i>
    <i r="1">
      <x v="4924"/>
    </i>
    <i r="1">
      <x v="4950"/>
    </i>
    <i r="1">
      <x v="4955"/>
    </i>
    <i r="1">
      <x v="5020"/>
    </i>
    <i r="1">
      <x v="5074"/>
    </i>
    <i r="1">
      <x v="5075"/>
    </i>
    <i r="1">
      <x v="5077"/>
    </i>
    <i r="1">
      <x v="5085"/>
    </i>
    <i r="1">
      <x v="5089"/>
    </i>
    <i r="1">
      <x v="5090"/>
    </i>
    <i r="1">
      <x v="5091"/>
    </i>
    <i r="1">
      <x v="5093"/>
    </i>
    <i r="1">
      <x v="5094"/>
    </i>
    <i r="1">
      <x v="5099"/>
    </i>
    <i r="1">
      <x v="5102"/>
    </i>
    <i r="1">
      <x v="5105"/>
    </i>
    <i r="1">
      <x v="5107"/>
    </i>
    <i r="1">
      <x v="5108"/>
    </i>
    <i r="1">
      <x v="5109"/>
    </i>
    <i r="1">
      <x v="5110"/>
    </i>
    <i r="1">
      <x v="5112"/>
    </i>
    <i r="1">
      <x v="5114"/>
    </i>
    <i r="1">
      <x v="5121"/>
    </i>
    <i r="1">
      <x v="5128"/>
    </i>
    <i r="1">
      <x v="5129"/>
    </i>
    <i r="1">
      <x v="5131"/>
    </i>
    <i r="1">
      <x v="5132"/>
    </i>
    <i r="1">
      <x v="5133"/>
    </i>
    <i r="1">
      <x v="5134"/>
    </i>
    <i r="1">
      <x v="5135"/>
    </i>
    <i r="1">
      <x v="5138"/>
    </i>
    <i r="1">
      <x v="5141"/>
    </i>
    <i r="1">
      <x v="5149"/>
    </i>
    <i r="1">
      <x v="5150"/>
    </i>
    <i r="1">
      <x v="5155"/>
    </i>
    <i r="1">
      <x v="5157"/>
    </i>
    <i r="1">
      <x v="5159"/>
    </i>
    <i r="1">
      <x v="5160"/>
    </i>
    <i r="1">
      <x v="5163"/>
    </i>
    <i r="1">
      <x v="5167"/>
    </i>
    <i r="1">
      <x v="5171"/>
    </i>
    <i r="1">
      <x v="5173"/>
    </i>
    <i r="1">
      <x v="5177"/>
    </i>
    <i r="1">
      <x v="5179"/>
    </i>
    <i r="1">
      <x v="5187"/>
    </i>
    <i r="1">
      <x v="5190"/>
    </i>
    <i r="1">
      <x v="5193"/>
    </i>
    <i r="1">
      <x v="5194"/>
    </i>
    <i r="1">
      <x v="5195"/>
    </i>
    <i r="1">
      <x v="5196"/>
    </i>
    <i r="1">
      <x v="5198"/>
    </i>
    <i r="1">
      <x v="5199"/>
    </i>
    <i r="1">
      <x v="5200"/>
    </i>
    <i r="1">
      <x v="5205"/>
    </i>
    <i r="1">
      <x v="5207"/>
    </i>
    <i r="1">
      <x v="5209"/>
    </i>
    <i r="1">
      <x v="5211"/>
    </i>
    <i r="1">
      <x v="5212"/>
    </i>
    <i r="1">
      <x v="5213"/>
    </i>
    <i r="1">
      <x v="5215"/>
    </i>
    <i r="1">
      <x v="5216"/>
    </i>
    <i r="1">
      <x v="5218"/>
    </i>
    <i r="1">
      <x v="5222"/>
    </i>
    <i r="1">
      <x v="5224"/>
    </i>
    <i r="1">
      <x v="5225"/>
    </i>
    <i r="1">
      <x v="5229"/>
    </i>
    <i r="1">
      <x v="5231"/>
    </i>
    <i r="1">
      <x v="5232"/>
    </i>
    <i r="1">
      <x v="5234"/>
    </i>
    <i r="1">
      <x v="5236"/>
    </i>
    <i r="1">
      <x v="5237"/>
    </i>
    <i r="1">
      <x v="5238"/>
    </i>
    <i r="1">
      <x v="5239"/>
    </i>
    <i r="1">
      <x v="5244"/>
    </i>
    <i r="1">
      <x v="5245"/>
    </i>
    <i r="1">
      <x v="5246"/>
    </i>
    <i r="1">
      <x v="5251"/>
    </i>
    <i r="1">
      <x v="5255"/>
    </i>
    <i r="1">
      <x v="5258"/>
    </i>
    <i r="1">
      <x v="5262"/>
    </i>
    <i r="1">
      <x v="5263"/>
    </i>
    <i r="1">
      <x v="5268"/>
    </i>
    <i r="1">
      <x v="5271"/>
    </i>
    <i r="1">
      <x v="5272"/>
    </i>
    <i r="1">
      <x v="5274"/>
    </i>
    <i r="1">
      <x v="5280"/>
    </i>
    <i r="1">
      <x v="5283"/>
    </i>
    <i r="1">
      <x v="5288"/>
    </i>
    <i r="1">
      <x v="5290"/>
    </i>
    <i r="1">
      <x v="5292"/>
    </i>
    <i r="1">
      <x v="5295"/>
    </i>
    <i r="1">
      <x v="5304"/>
    </i>
    <i r="1">
      <x v="5308"/>
    </i>
    <i r="1">
      <x v="5310"/>
    </i>
    <i r="1">
      <x v="5313"/>
    </i>
    <i r="1">
      <x v="5314"/>
    </i>
    <i r="1">
      <x v="5319"/>
    </i>
    <i r="1">
      <x v="5324"/>
    </i>
    <i r="1">
      <x v="5326"/>
    </i>
    <i r="1">
      <x v="5327"/>
    </i>
    <i r="1">
      <x v="5328"/>
    </i>
    <i r="1">
      <x v="5329"/>
    </i>
    <i r="1">
      <x v="5330"/>
    </i>
    <i r="1">
      <x v="5336"/>
    </i>
    <i r="1">
      <x v="5337"/>
    </i>
    <i r="1">
      <x v="5338"/>
    </i>
    <i r="1">
      <x v="5339"/>
    </i>
    <i r="1">
      <x v="5340"/>
    </i>
    <i r="1">
      <x v="5349"/>
    </i>
    <i r="1">
      <x v="5353"/>
    </i>
    <i r="1">
      <x v="5357"/>
    </i>
    <i r="1">
      <x v="5359"/>
    </i>
    <i r="1">
      <x v="5360"/>
    </i>
    <i r="1">
      <x v="5361"/>
    </i>
    <i r="1">
      <x v="5365"/>
    </i>
    <i r="1">
      <x v="5368"/>
    </i>
    <i r="1">
      <x v="5381"/>
    </i>
    <i r="1">
      <x v="5383"/>
    </i>
    <i r="1">
      <x v="5384"/>
    </i>
    <i>
      <x v="28"/>
    </i>
    <i r="1">
      <x v="1028"/>
    </i>
    <i r="1">
      <x v="1316"/>
    </i>
    <i r="1">
      <x v="1470"/>
    </i>
    <i r="1">
      <x v="1584"/>
    </i>
    <i r="1">
      <x v="1845"/>
    </i>
    <i r="1">
      <x v="1925"/>
    </i>
    <i r="1">
      <x v="1928"/>
    </i>
    <i r="1">
      <x v="4031"/>
    </i>
    <i r="1">
      <x v="4396"/>
    </i>
    <i r="1">
      <x v="4837"/>
    </i>
    <i r="1">
      <x v="4886"/>
    </i>
    <i r="1">
      <x v="4887"/>
    </i>
    <i r="1">
      <x v="4923"/>
    </i>
    <i r="1">
      <x v="5005"/>
    </i>
    <i r="1">
      <x v="5013"/>
    </i>
    <i r="1">
      <x v="5087"/>
    </i>
    <i r="1">
      <x v="5101"/>
    </i>
    <i r="1">
      <x v="5118"/>
    </i>
    <i r="1">
      <x v="5158"/>
    </i>
    <i r="1">
      <x v="5162"/>
    </i>
    <i r="1">
      <x v="5164"/>
    </i>
    <i r="1">
      <x v="5165"/>
    </i>
    <i r="1">
      <x v="5168"/>
    </i>
    <i r="1">
      <x v="5172"/>
    </i>
    <i r="1">
      <x v="5178"/>
    </i>
    <i r="1">
      <x v="5184"/>
    </i>
    <i r="1">
      <x v="5191"/>
    </i>
    <i r="1">
      <x v="5192"/>
    </i>
    <i r="1">
      <x v="5202"/>
    </i>
    <i r="1">
      <x v="5203"/>
    </i>
    <i r="1">
      <x v="5220"/>
    </i>
    <i r="1">
      <x v="5221"/>
    </i>
    <i r="1">
      <x v="5228"/>
    </i>
    <i r="1">
      <x v="5256"/>
    </i>
    <i r="1">
      <x v="5294"/>
    </i>
    <i r="1">
      <x v="5296"/>
    </i>
    <i r="1">
      <x v="5299"/>
    </i>
    <i r="1">
      <x v="5305"/>
    </i>
    <i r="1">
      <x v="5306"/>
    </i>
    <i r="1">
      <x v="5307"/>
    </i>
    <i r="1">
      <x v="5318"/>
    </i>
    <i r="1">
      <x v="5321"/>
    </i>
    <i r="1">
      <x v="5332"/>
    </i>
    <i r="1">
      <x v="5333"/>
    </i>
    <i r="1">
      <x v="5344"/>
    </i>
    <i r="1">
      <x v="5362"/>
    </i>
    <i r="1">
      <x v="5377"/>
    </i>
    <i r="1">
      <x v="5378"/>
    </i>
    <i r="1">
      <x v="5380"/>
    </i>
    <i>
      <x v="29"/>
    </i>
    <i r="1">
      <x v="1430"/>
    </i>
    <i r="1">
      <x v="1782"/>
    </i>
    <i r="1">
      <x v="3601"/>
    </i>
    <i r="1">
      <x v="5247"/>
    </i>
    <i r="1">
      <x v="5249"/>
    </i>
    <i>
      <x v="30"/>
    </i>
    <i r="1">
      <x v="1235"/>
    </i>
    <i r="1">
      <x v="1671"/>
    </i>
    <i r="1">
      <x v="2049"/>
    </i>
    <i r="1">
      <x v="4301"/>
    </i>
    <i r="1">
      <x v="5029"/>
    </i>
    <i r="1">
      <x v="5086"/>
    </i>
    <i r="1">
      <x v="5098"/>
    </i>
    <i r="1">
      <x v="5152"/>
    </i>
    <i r="1">
      <x v="5166"/>
    </i>
    <i r="1">
      <x v="5233"/>
    </i>
    <i r="1">
      <x v="5257"/>
    </i>
    <i r="1">
      <x v="5301"/>
    </i>
    <i r="1">
      <x v="5303"/>
    </i>
    <i r="1">
      <x v="5323"/>
    </i>
    <i>
      <x v="31"/>
    </i>
    <i r="1">
      <x v="641"/>
    </i>
    <i r="1">
      <x v="1370"/>
    </i>
    <i r="1">
      <x v="4365"/>
    </i>
    <i r="1">
      <x v="4812"/>
    </i>
    <i r="1">
      <x v="5069"/>
    </i>
    <i r="1">
      <x v="5073"/>
    </i>
    <i r="1">
      <x v="5076"/>
    </i>
    <i r="1">
      <x v="5100"/>
    </i>
    <i r="1">
      <x v="5104"/>
    </i>
    <i r="1">
      <x v="5130"/>
    </i>
    <i r="1">
      <x v="5136"/>
    </i>
    <i r="1">
      <x v="5252"/>
    </i>
    <i r="1">
      <x v="5261"/>
    </i>
    <i r="1">
      <x v="5281"/>
    </i>
    <i r="1">
      <x v="5282"/>
    </i>
    <i r="1">
      <x v="5315"/>
    </i>
    <i r="1">
      <x v="5367"/>
    </i>
    <i r="1">
      <x v="5376"/>
    </i>
    <i r="1">
      <x v="5407"/>
    </i>
    <i>
      <x v="32"/>
    </i>
    <i r="1">
      <x v="1310"/>
    </i>
    <i r="1">
      <x v="1426"/>
    </i>
    <i r="1">
      <x v="1432"/>
    </i>
    <i r="1">
      <x v="1433"/>
    </i>
    <i r="1">
      <x v="3981"/>
    </i>
    <i r="1">
      <x v="4248"/>
    </i>
    <i r="1">
      <x v="4312"/>
    </i>
    <i r="1">
      <x v="4771"/>
    </i>
    <i r="1">
      <x v="4782"/>
    </i>
    <i r="1">
      <x v="5088"/>
    </i>
    <i r="1">
      <x v="5120"/>
    </i>
    <i r="1">
      <x v="5137"/>
    </i>
    <i r="1">
      <x v="5140"/>
    </i>
    <i r="1">
      <x v="5147"/>
    </i>
    <i r="1">
      <x v="5250"/>
    </i>
    <i r="1">
      <x v="5317"/>
    </i>
    <i r="1">
      <x v="5342"/>
    </i>
    <i t="grand">
      <x/>
    </i>
  </rowItems>
  <colItems count="1">
    <i/>
  </colItems>
  <dataFields count="1">
    <dataField name="Sum of Amount" fld="4" baseField="0" baseItem="0"/>
  </dataFields>
  <formats count="2">
    <format dxfId="1">
      <pivotArea outline="0" collapsedLevelsAreSubtotals="1" fieldPosition="0"/>
    </format>
    <format dxfId="0">
      <pivotArea dataOnly="0" labelOnly="1" outline="0" axis="axisValues" fieldPosition="0"/>
    </format>
  </formats>
  <pivotTableStyleInfo name="PivotStyleMedium9" showRowHeaders="1"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9F3D2-4EFC-40E9-9DD0-BE808C147ECF}"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B3:C5" firstHeaderRow="1" firstDataRow="2" firstDataCol="1" rowPageCount="1" colPageCount="1"/>
  <pivotFields count="17">
    <pivotField axis="axisCol" compact="0" outline="0" showAll="0">
      <items count="78">
        <item h="1" x="0"/>
        <item h="1" x="1"/>
        <item h="1" x="2"/>
        <item h="1" x="9"/>
        <item h="1" x="11"/>
        <item h="1" x="13"/>
        <item h="1" x="8"/>
        <item h="1" x="6"/>
        <item h="1" x="12"/>
        <item h="1" x="5"/>
        <item h="1" x="15"/>
        <item h="1" x="7"/>
        <item h="1" x="4"/>
        <item h="1" x="10"/>
        <item h="1" x="14"/>
        <item h="1" x="21"/>
        <item h="1" x="18"/>
        <item h="1" x="20"/>
        <item h="1" x="3"/>
        <item h="1" x="19"/>
        <item h="1" x="17"/>
        <item h="1" x="16"/>
        <item h="1" x="28"/>
        <item h="1" x="29"/>
        <item h="1" x="30"/>
        <item h="1" x="31"/>
        <item h="1" x="32"/>
        <item h="1" x="33"/>
        <item h="1" x="34"/>
        <item h="1" x="35"/>
        <item h="1" x="36"/>
        <item h="1" x="37"/>
        <item h="1" x="38"/>
        <item h="1" x="39"/>
        <item h="1" x="40"/>
        <item h="1" x="41"/>
        <item h="1" x="42"/>
        <item h="1" x="43"/>
        <item h="1" x="45"/>
        <item h="1" x="24"/>
        <item h="1" x="48"/>
        <item h="1" x="22"/>
        <item h="1" x="51"/>
        <item h="1" x="52"/>
        <item h="1" x="53"/>
        <item h="1" x="54"/>
        <item h="1" x="55"/>
        <item h="1" x="46"/>
        <item h="1" x="56"/>
        <item h="1" x="57"/>
        <item h="1" x="47"/>
        <item h="1" x="58"/>
        <item h="1" x="59"/>
        <item h="1" x="60"/>
        <item h="1" x="44"/>
        <item h="1" x="61"/>
        <item h="1" x="26"/>
        <item h="1" x="25"/>
        <item h="1" x="64"/>
        <item h="1" x="23"/>
        <item h="1" x="27"/>
        <item h="1" x="62"/>
        <item h="1" x="65"/>
        <item h="1" x="49"/>
        <item h="1" x="63"/>
        <item h="1" x="50"/>
        <item x="69"/>
        <item x="67"/>
        <item x="68"/>
        <item x="70"/>
        <item x="66"/>
        <item x="71"/>
        <item x="72"/>
        <item x="73"/>
        <item x="74"/>
        <item x="75"/>
        <item x="76"/>
        <item t="default"/>
      </items>
    </pivotField>
    <pivotField compact="0" outline="0" showAll="0"/>
    <pivotField compact="0" outline="0" showAll="0"/>
    <pivotField axis="axisRow" compact="0" outline="0" showAll="0">
      <items count="6184">
        <item x="559"/>
        <item x="861"/>
        <item x="794"/>
        <item x="1706"/>
        <item x="3138"/>
        <item x="4506"/>
        <item x="1051"/>
        <item x="218"/>
        <item x="652"/>
        <item x="2820"/>
        <item x="809"/>
        <item x="2694"/>
        <item x="4213"/>
        <item x="576"/>
        <item x="612"/>
        <item x="898"/>
        <item x="2114"/>
        <item x="4166"/>
        <item x="4457"/>
        <item x="3768"/>
        <item x="2277"/>
        <item x="1856"/>
        <item x="2007"/>
        <item x="452"/>
        <item x="3535"/>
        <item x="996"/>
        <item x="4304"/>
        <item x="1481"/>
        <item x="1482"/>
        <item x="1483"/>
        <item x="125"/>
        <item x="1031"/>
        <item x="4139"/>
        <item x="1435"/>
        <item x="4296"/>
        <item x="1589"/>
        <item x="38"/>
        <item x="3479"/>
        <item x="3161"/>
        <item x="4424"/>
        <item x="3441"/>
        <item x="3442"/>
        <item x="1812"/>
        <item x="1707"/>
        <item x="1093"/>
        <item x="1977"/>
        <item x="3650"/>
        <item x="3597"/>
        <item x="3598"/>
        <item x="453"/>
        <item x="57"/>
        <item x="4245"/>
        <item x="3423"/>
        <item x="3424"/>
        <item x="288"/>
        <item x="1175"/>
        <item x="454"/>
        <item x="3011"/>
        <item x="1974"/>
        <item x="3572"/>
        <item x="3588"/>
        <item x="2326"/>
        <item x="2567"/>
        <item x="2849"/>
        <item x="2958"/>
        <item x="3002"/>
        <item x="3041"/>
        <item x="3474"/>
        <item x="4214"/>
        <item x="22"/>
        <item x="3473"/>
        <item x="3042"/>
        <item x="4488"/>
        <item x="2489"/>
        <item x="389"/>
        <item x="1950"/>
        <item x="3475"/>
        <item x="4106"/>
        <item x="583"/>
        <item x="1258"/>
        <item x="0"/>
        <item x="3490"/>
        <item x="1895"/>
        <item x="598"/>
        <item x="2563"/>
        <item x="1917"/>
        <item x="1968"/>
        <item x="2419"/>
        <item x="1845"/>
        <item x="2915"/>
        <item x="2033"/>
        <item x="3882"/>
        <item x="4344"/>
        <item x="4273"/>
        <item x="2227"/>
        <item x="3104"/>
        <item x="2726"/>
        <item x="3635"/>
        <item x="3520"/>
        <item x="4474"/>
        <item x="2095"/>
        <item x="3994"/>
        <item x="4403"/>
        <item x="3272"/>
        <item x="3749"/>
        <item x="3139"/>
        <item x="3313"/>
        <item x="3978"/>
        <item x="2829"/>
        <item x="2890"/>
        <item x="1852"/>
        <item x="2611"/>
        <item x="436"/>
        <item x="2568"/>
        <item x="2569"/>
        <item x="2466"/>
        <item x="1853"/>
        <item x="1811"/>
        <item x="3939"/>
        <item x="2929"/>
        <item x="3140"/>
        <item x="2127"/>
        <item x="2699"/>
        <item x="2735"/>
        <item x="2750"/>
        <item x="3323"/>
        <item x="2778"/>
        <item x="2803"/>
        <item x="3580"/>
        <item x="2800"/>
        <item x="3407"/>
        <item x="3566"/>
        <item x="3058"/>
        <item x="2060"/>
        <item x="3676"/>
        <item x="3192"/>
        <item x="2240"/>
        <item x="2109"/>
        <item x="4090"/>
        <item x="2924"/>
        <item x="3712"/>
        <item x="2364"/>
        <item x="2061"/>
        <item x="3589"/>
        <item x="3590"/>
        <item x="4010"/>
        <item x="4284"/>
        <item x="3043"/>
        <item x="3044"/>
        <item x="3045"/>
        <item x="3046"/>
        <item x="2490"/>
        <item x="2491"/>
        <item x="2492"/>
        <item x="2493"/>
        <item x="326"/>
        <item x="831"/>
        <item x="455"/>
        <item x="48"/>
        <item x="4322"/>
        <item x="3823"/>
        <item x="2158"/>
        <item x="3232"/>
        <item x="3233"/>
        <item x="3979"/>
        <item x="3980"/>
        <item x="3981"/>
        <item x="4074"/>
        <item x="4075"/>
        <item x="4076"/>
        <item x="4077"/>
        <item x="4078"/>
        <item x="4079"/>
        <item x="4080"/>
        <item x="3636"/>
        <item x="3982"/>
        <item x="3637"/>
        <item x="3638"/>
        <item x="3639"/>
        <item x="3659"/>
        <item x="3660"/>
        <item x="3661"/>
        <item x="3662"/>
        <item x="3681"/>
        <item x="3916"/>
        <item x="3917"/>
        <item x="3918"/>
        <item x="3919"/>
        <item x="3920"/>
        <item x="3921"/>
        <item x="3922"/>
        <item x="3926"/>
        <item x="3130"/>
        <item x="4380"/>
        <item x="2904"/>
        <item x="2905"/>
        <item x="3082"/>
        <item x="3083"/>
        <item x="3084"/>
        <item x="2342"/>
        <item x="3257"/>
        <item x="3174"/>
        <item x="2891"/>
        <item x="2739"/>
        <item x="3028"/>
        <item x="2740"/>
        <item x="2644"/>
        <item x="2786"/>
        <item x="3225"/>
        <item x="2892"/>
        <item x="2343"/>
        <item x="2344"/>
        <item x="2389"/>
        <item x="2645"/>
        <item x="2612"/>
        <item x="2613"/>
        <item x="2741"/>
        <item x="2347"/>
        <item x="3258"/>
        <item x="2646"/>
        <item x="3175"/>
        <item x="2893"/>
        <item x="3259"/>
        <item x="2614"/>
        <item x="3273"/>
        <item x="3274"/>
        <item x="3332"/>
        <item x="3275"/>
        <item x="3333"/>
        <item x="3334"/>
        <item x="3335"/>
        <item x="3336"/>
        <item x="3369"/>
        <item x="3276"/>
        <item x="3337"/>
        <item x="2285"/>
        <item x="2930"/>
        <item x="4310"/>
        <item x="3850"/>
        <item x="2575"/>
        <item x="2576"/>
        <item x="2585"/>
        <item x="2586"/>
        <item x="3193"/>
        <item x="1824"/>
        <item x="1834"/>
        <item x="1839"/>
        <item x="2601"/>
        <item x="2620"/>
        <item x="2600"/>
        <item x="2615"/>
        <item x="2480"/>
        <item x="3338"/>
        <item x="2514"/>
        <item x="2537"/>
        <item x="2949"/>
        <item x="2448"/>
        <item x="2286"/>
        <item x="3698"/>
        <item x="3242"/>
        <item x="3124"/>
        <item x="4355"/>
        <item x="3198"/>
        <item x="3147"/>
        <item x="1804"/>
        <item x="3162"/>
        <item x="4345"/>
        <item x="4372"/>
        <item x="2160"/>
        <item x="3226"/>
        <item x="4348"/>
        <item x="3113"/>
        <item x="1802"/>
        <item x="3851"/>
        <item x="2959"/>
        <item x="3969"/>
        <item x="2365"/>
        <item x="2332"/>
        <item x="4356"/>
        <item x="3131"/>
        <item x="3008"/>
        <item x="2241"/>
        <item x="2131"/>
        <item x="3141"/>
        <item x="3908"/>
        <item x="3187"/>
        <item x="3194"/>
        <item x="3195"/>
        <item x="2072"/>
        <item x="3324"/>
        <item x="3314"/>
        <item x="3059"/>
        <item x="3085"/>
        <item x="3020"/>
        <item x="2208"/>
        <item x="3227"/>
        <item x="3890"/>
        <item x="2201"/>
        <item x="3204"/>
        <item x="2703"/>
        <item x="2736"/>
        <item x="2748"/>
        <item x="2749"/>
        <item x="2717"/>
        <item x="2727"/>
        <item x="2679"/>
        <item x="2668"/>
        <item x="2704"/>
        <item x="3959"/>
        <item x="2680"/>
        <item x="2667"/>
        <item x="3359"/>
        <item x="2333"/>
        <item x="3339"/>
        <item x="3234"/>
        <item x="3021"/>
        <item x="3425"/>
        <item x="3604"/>
        <item x="3599"/>
        <item x="3605"/>
        <item x="3606"/>
        <item x="3607"/>
        <item x="3600"/>
        <item x="3608"/>
        <item x="2814"/>
        <item x="3554"/>
        <item x="3640"/>
        <item x="3647"/>
        <item x="3651"/>
        <item x="3411"/>
        <item x="3417"/>
        <item x="4373"/>
        <item x="3960"/>
        <item x="3521"/>
        <item x="2642"/>
        <item x="2637"/>
        <item x="2678"/>
        <item x="2638"/>
        <item x="2621"/>
        <item x="2622"/>
        <item x="2623"/>
        <item x="3577"/>
        <item x="3578"/>
        <item x="3573"/>
        <item x="2870"/>
        <item x="2872"/>
        <item x="2830"/>
        <item x="2871"/>
        <item x="2883"/>
        <item x="2884"/>
        <item x="2836"/>
        <item x="2831"/>
        <item x="3340"/>
        <item x="3260"/>
        <item x="2950"/>
        <item x="2398"/>
        <item x="3022"/>
        <item x="3902"/>
        <item x="2916"/>
        <item x="3961"/>
        <item x="3060"/>
        <item x="3199"/>
        <item x="2374"/>
        <item x="3247"/>
        <item x="3067"/>
        <item x="3239"/>
        <item x="2247"/>
        <item x="2375"/>
        <item x="3277"/>
        <item x="2989"/>
        <item x="3001"/>
        <item x="3248"/>
        <item x="3856"/>
        <item x="4459"/>
        <item x="4489"/>
        <item x="4433"/>
        <item x="4436"/>
        <item x="4460"/>
        <item x="4462"/>
        <item x="4490"/>
        <item x="4491"/>
        <item x="4492"/>
        <item x="4483"/>
        <item x="4494"/>
        <item x="4495"/>
        <item x="4484"/>
        <item x="4479"/>
        <item x="2966"/>
        <item x="3816"/>
        <item x="2105"/>
        <item x="2271"/>
        <item x="4437"/>
        <item x="4434"/>
        <item x="4514"/>
        <item x="4485"/>
        <item x="2069"/>
        <item x="2940"/>
        <item x="2951"/>
        <item x="4069"/>
        <item x="4081"/>
        <item x="4100"/>
        <item x="4070"/>
        <item x="4082"/>
        <item x="4101"/>
        <item x="3983"/>
        <item x="3973"/>
        <item x="3974"/>
        <item x="3984"/>
        <item x="4018"/>
        <item x="4019"/>
        <item x="4020"/>
        <item x="4021"/>
        <item x="1809"/>
        <item x="3988"/>
        <item x="4003"/>
        <item x="4004"/>
        <item x="4415"/>
        <item x="3962"/>
        <item x="3148"/>
        <item x="3794"/>
        <item x="2947"/>
        <item x="3249"/>
        <item x="2350"/>
        <item x="3261"/>
        <item x="2952"/>
        <item x="3262"/>
        <item x="3325"/>
        <item x="3852"/>
        <item x="3068"/>
        <item x="2087"/>
        <item x="3183"/>
        <item x="3326"/>
        <item x="2128"/>
        <item x="3963"/>
        <item x="3263"/>
        <item x="3228"/>
        <item x="2161"/>
        <item x="2008"/>
        <item x="2096"/>
        <item x="1995"/>
        <item x="2005"/>
        <item x="1891"/>
        <item x="1967"/>
        <item x="2031"/>
        <item x="1892"/>
        <item x="2073"/>
        <item x="2065"/>
        <item x="2091"/>
        <item x="2063"/>
        <item x="2092"/>
        <item x="2064"/>
        <item x="1884"/>
        <item x="4502"/>
        <item x="2775"/>
        <item x="2850"/>
        <item x="2906"/>
        <item x="3153"/>
        <item x="3074"/>
        <item x="77"/>
        <item x="3559"/>
        <item x="3663"/>
        <item x="3843"/>
        <item x="3883"/>
        <item x="1846"/>
        <item x="4267"/>
        <item x="4108"/>
        <item x="4147"/>
        <item x="4063"/>
        <item x="4118"/>
        <item x="4510"/>
        <item x="4161"/>
        <item x="4200"/>
        <item x="4109"/>
        <item x="3992"/>
        <item x="4110"/>
        <item x="3887"/>
        <item x="4503"/>
        <item x="4119"/>
        <item x="4480"/>
        <item x="4148"/>
        <item x="4443"/>
        <item x="4326"/>
        <item x="3927"/>
        <item x="4162"/>
        <item x="4007"/>
        <item x="4327"/>
        <item x="4466"/>
        <item x="4141"/>
        <item x="4150"/>
        <item x="4072"/>
        <item x="4204"/>
        <item x="4476"/>
        <item x="4323"/>
        <item x="3799"/>
        <item x="4231"/>
        <item x="4183"/>
        <item x="4238"/>
        <item x="4256"/>
        <item x="4526"/>
        <item x="4413"/>
        <item x="4127"/>
        <item x="4507"/>
        <item x="4142"/>
        <item x="3781"/>
        <item x="4132"/>
        <item x="530"/>
        <item x="165"/>
        <item x="3184"/>
        <item x="1508"/>
        <item x="1517"/>
        <item x="114"/>
        <item x="1590"/>
        <item x="2608"/>
        <item x="2602"/>
        <item x="4115"/>
        <item x="4091"/>
        <item x="2681"/>
        <item x="2682"/>
        <item x="1052"/>
        <item x="256"/>
        <item x="4311"/>
        <item x="4349"/>
        <item x="4208"/>
        <item x="4287"/>
        <item x="2458"/>
        <item x="1556"/>
        <item x="4009"/>
        <item x="2327"/>
        <item x="4033"/>
        <item x="1611"/>
        <item x="1657"/>
        <item x="3502"/>
        <item x="317"/>
        <item x="3504"/>
        <item x="2216"/>
        <item x="1873"/>
        <item x="3447"/>
        <item x="2293"/>
        <item x="2287"/>
        <item x="298"/>
        <item x="1040"/>
        <item x="115"/>
        <item x="207"/>
        <item x="327"/>
        <item x="456"/>
        <item x="868"/>
        <item x="2405"/>
        <item x="273"/>
        <item x="4370"/>
        <item x="2111"/>
        <item x="4288"/>
        <item x="4289"/>
        <item x="193"/>
        <item x="4452"/>
        <item x="2265"/>
        <item x="3853"/>
        <item x="2595"/>
        <item x="2272"/>
        <item x="2832"/>
        <item x="3012"/>
        <item x="3349"/>
        <item x="2106"/>
        <item x="980"/>
        <item x="244"/>
        <item x="457"/>
        <item x="764"/>
        <item x="914"/>
        <item x="916"/>
        <item x="1007"/>
        <item x="2351"/>
        <item x="1280"/>
        <item x="1552"/>
        <item x="3769"/>
        <item x="2833"/>
        <item x="1168"/>
        <item x="3176"/>
        <item x="2500"/>
        <item x="1083"/>
        <item x="458"/>
        <item x="3311"/>
        <item x="2787"/>
        <item x="4112"/>
        <item x="3841"/>
        <item x="1328"/>
        <item x="2034"/>
        <item x="2191"/>
        <item x="2192"/>
        <item x="883"/>
        <item x="1131"/>
        <item x="961"/>
        <item x="459"/>
        <item x="107"/>
        <item x="1094"/>
        <item x="1311"/>
        <item x="378"/>
        <item x="765"/>
        <item x="638"/>
        <item x="811"/>
        <item x="83"/>
        <item x="310"/>
        <item x="1132"/>
        <item x="205"/>
        <item x="1231"/>
        <item x="639"/>
        <item x="640"/>
        <item x="1233"/>
        <item x="709"/>
        <item x="710"/>
        <item x="749"/>
        <item x="1312"/>
        <item x="789"/>
        <item x="1352"/>
        <item x="848"/>
        <item x="1398"/>
        <item x="58"/>
        <item x="899"/>
        <item x="1457"/>
        <item x="170"/>
        <item x="954"/>
        <item x="1511"/>
        <item x="257"/>
        <item x="1025"/>
        <item x="1571"/>
        <item x="328"/>
        <item x="1053"/>
        <item x="1614"/>
        <item x="390"/>
        <item x="1095"/>
        <item x="1658"/>
        <item x="460"/>
        <item x="1133"/>
        <item x="1708"/>
        <item x="546"/>
        <item x="1187"/>
        <item x="547"/>
        <item x="1276"/>
        <item x="2025"/>
        <item x="39"/>
        <item x="694"/>
        <item x="3487"/>
        <item x="2754"/>
        <item x="2441"/>
        <item x="144"/>
        <item x="4390"/>
        <item x="1334"/>
        <item x="4499"/>
        <item x="3386"/>
        <item x="3844"/>
        <item x="3942"/>
        <item x="3955"/>
        <item x="4057"/>
        <item x="2242"/>
        <item x="2525"/>
        <item x="2526"/>
        <item x="2772"/>
        <item x="2837"/>
        <item x="2838"/>
        <item x="2839"/>
        <item x="2851"/>
        <item x="3029"/>
        <item x="2852"/>
        <item x="4312"/>
        <item x="4313"/>
        <item x="4498"/>
        <item x="2097"/>
        <item x="2026"/>
        <item x="267"/>
        <item x="268"/>
        <item x="269"/>
        <item x="274"/>
        <item x="277"/>
        <item x="278"/>
        <item x="316"/>
        <item x="376"/>
        <item x="377"/>
        <item x="441"/>
        <item x="514"/>
        <item x="610"/>
        <item x="739"/>
        <item x="777"/>
        <item x="825"/>
        <item x="881"/>
        <item x="938"/>
        <item x="985"/>
        <item x="164"/>
        <item x="3999"/>
        <item x="3894"/>
        <item x="1819"/>
        <item x="3455"/>
        <item x="4391"/>
        <item x="3601"/>
        <item x="1649"/>
        <item x="1615"/>
        <item x="679"/>
        <item x="4410"/>
        <item x="229"/>
        <item x="1709"/>
        <item x="78"/>
        <item x="254"/>
        <item x="391"/>
        <item x="527"/>
        <item x="644"/>
        <item x="1172"/>
        <item x="139"/>
        <item x="1574"/>
        <item x="2788"/>
        <item x="1466"/>
        <item x="4268"/>
        <item x="955"/>
        <item x="3775"/>
        <item x="2052"/>
        <item x="3797"/>
        <item x="3800"/>
        <item x="742"/>
        <item x="743"/>
        <item x="1538"/>
        <item x="1533"/>
        <item x="4324"/>
        <item x="211"/>
        <item x="2215"/>
        <item x="1134"/>
        <item x="1198"/>
        <item x="4397"/>
        <item x="3391"/>
        <item x="3785"/>
        <item x="3817"/>
        <item x="3837"/>
        <item x="3845"/>
        <item x="2907"/>
        <item x="1874"/>
        <item x="3373"/>
        <item x="3688"/>
        <item x="3480"/>
        <item x="3481"/>
        <item x="4429"/>
        <item x="4220"/>
        <item x="4133"/>
        <item x="4328"/>
        <item x="1530"/>
        <item x="862"/>
        <item x="1367"/>
        <item x="1054"/>
        <item x="4478"/>
        <item x="232"/>
        <item x="1096"/>
        <item x="4332"/>
        <item x="1710"/>
        <item x="2115"/>
        <item x="3212"/>
        <item x="3581"/>
        <item x="3723"/>
        <item x="3824"/>
        <item x="3950"/>
        <item x="4059"/>
        <item x="2673"/>
        <item x="2522"/>
        <item x="2821"/>
        <item x="3023"/>
        <item x="1896"/>
        <item x="1282"/>
        <item x="2162"/>
        <item x="2358"/>
        <item x="4173"/>
        <item x="4246"/>
        <item x="4307"/>
        <item x="4383"/>
        <item x="4451"/>
        <item x="4515"/>
        <item x="3500"/>
        <item x="1245"/>
        <item x="1055"/>
        <item x="4508"/>
        <item x="1"/>
        <item x="3013"/>
        <item x="4269"/>
        <item x="1931"/>
        <item x="832"/>
        <item x="174"/>
        <item x="4215"/>
        <item x="3582"/>
        <item x="2248"/>
        <item x="2406"/>
        <item x="2407"/>
        <item x="2249"/>
        <item x="1982"/>
        <item x="4041"/>
        <item x="4042"/>
        <item x="2048"/>
        <item x="3779"/>
        <item x="2983"/>
        <item x="667"/>
        <item x="2338"/>
        <item x="3482"/>
        <item x="2112"/>
        <item x="1512"/>
        <item x="1805"/>
        <item x="212"/>
        <item x="1711"/>
        <item x="4509"/>
        <item x="1712"/>
        <item x="3221"/>
        <item x="4384"/>
        <item x="1840"/>
        <item x="3075"/>
        <item x="3076"/>
        <item x="224"/>
        <item x="3495"/>
        <item x="4280"/>
        <item x="3352"/>
        <item x="2689"/>
        <item x="37"/>
        <item x="1182"/>
        <item x="1900"/>
        <item x="1534"/>
        <item x="1786"/>
        <item x="1135"/>
        <item x="4167"/>
        <item x="4202"/>
        <item x="461"/>
        <item x="429"/>
        <item x="437"/>
        <item x="548"/>
        <item x="70"/>
        <item x="1799"/>
        <item x="21"/>
        <item x="615"/>
        <item x="2093"/>
        <item x="2273"/>
        <item x="1196"/>
        <item x="1402"/>
        <item x="1056"/>
        <item x="1713"/>
        <item x="3492"/>
        <item x="555"/>
        <item x="161"/>
        <item x="520"/>
        <item x="102"/>
        <item x="329"/>
        <item x="330"/>
        <item x="449"/>
        <item x="185"/>
        <item x="521"/>
        <item x="560"/>
        <item x="40"/>
        <item x="613"/>
        <item x="854"/>
        <item x="833"/>
        <item x="1219"/>
        <item x="766"/>
        <item x="1057"/>
        <item x="1026"/>
        <item x="1235"/>
        <item x="923"/>
        <item x="89"/>
        <item x="940"/>
        <item x="1041"/>
        <item x="1192"/>
        <item x="1174"/>
        <item x="1259"/>
        <item x="784"/>
        <item x="1097"/>
        <item x="306"/>
        <item x="682"/>
        <item x="747"/>
        <item x="261"/>
        <item x="392"/>
        <item x="90"/>
        <item x="810"/>
        <item x="1098"/>
        <item x="1136"/>
        <item x="331"/>
        <item x="462"/>
        <item x="1058"/>
        <item x="463"/>
        <item x="911"/>
        <item x="1130"/>
        <item x="332"/>
        <item x="393"/>
        <item x="180"/>
        <item x="716"/>
        <item x="958"/>
        <item x="225"/>
        <item x="645"/>
        <item x="981"/>
        <item x="145"/>
        <item x="733"/>
        <item x="887"/>
        <item x="1278"/>
        <item x="3652"/>
        <item x="684"/>
        <item x="566"/>
        <item x="3443"/>
        <item x="1893"/>
        <item x="1471"/>
        <item x="1703"/>
        <item x="1329"/>
        <item x="1519"/>
        <item x="1498"/>
        <item x="1413"/>
        <item x="1572"/>
        <item x="1659"/>
        <item x="1769"/>
        <item x="1783"/>
        <item x="1660"/>
        <item x="1440"/>
        <item x="1616"/>
        <item x="1617"/>
        <item x="1851"/>
        <item x="1347"/>
        <item x="1382"/>
        <item x="1599"/>
        <item x="1962"/>
        <item x="1299"/>
        <item x="35"/>
        <item x="1901"/>
        <item x="1913"/>
        <item x="1813"/>
        <item x="1361"/>
        <item x="1310"/>
        <item x="1295"/>
        <item x="1544"/>
        <item x="1486"/>
        <item x="333"/>
        <item x="311"/>
        <item x="334"/>
        <item x="367"/>
        <item x="97"/>
        <item x="685"/>
        <item x="686"/>
        <item x="166"/>
        <item x="584"/>
        <item x="44"/>
        <item x="45"/>
        <item x="175"/>
        <item x="194"/>
        <item x="249"/>
        <item x="312"/>
        <item x="335"/>
        <item x="528"/>
        <item x="567"/>
        <item x="4034"/>
        <item x="1229"/>
        <item x="59"/>
        <item x="2035"/>
        <item x="3735"/>
        <item x="2931"/>
        <item x="2496"/>
        <item x="3105"/>
        <item x="2737"/>
        <item x="2451"/>
        <item x="2250"/>
        <item x="2294"/>
        <item x="3086"/>
        <item x="4163"/>
        <item x="907"/>
        <item x="805"/>
        <item x="2894"/>
        <item x="2009"/>
        <item x="3987"/>
        <item x="3437"/>
        <item x="93"/>
        <item x="1885"/>
        <item x="3360"/>
        <item x="173"/>
        <item x="1263"/>
        <item x="4017"/>
        <item x="116"/>
        <item x="591"/>
        <item x="336"/>
        <item x="561"/>
        <item x="464"/>
        <item x="202"/>
        <item x="226"/>
        <item x="325"/>
        <item x="544"/>
        <item x="283"/>
        <item x="181"/>
        <item x="146"/>
        <item x="383"/>
        <item x="465"/>
        <item x="31"/>
        <item x="5"/>
        <item x="91"/>
        <item x="162"/>
        <item x="442"/>
        <item x="262"/>
        <item x="337"/>
        <item x="394"/>
        <item x="522"/>
        <item x="307"/>
        <item x="395"/>
        <item x="466"/>
        <item x="396"/>
        <item x="64"/>
        <item x="338"/>
        <item x="467"/>
        <item x="3467"/>
        <item x="397"/>
        <item x="1021"/>
        <item x="3895"/>
        <item x="3896"/>
        <item x="1348"/>
        <item x="15"/>
        <item x="41"/>
        <item x="65"/>
        <item x="66"/>
        <item x="98"/>
        <item x="154"/>
        <item x="155"/>
        <item x="251"/>
        <item x="265"/>
        <item x="372"/>
        <item x="4005"/>
        <item x="1407"/>
        <item x="67"/>
        <item x="3370"/>
        <item x="3541"/>
        <item x="3682"/>
        <item x="3786"/>
        <item x="3923"/>
        <item x="4043"/>
        <item x="3170"/>
        <item x="2984"/>
        <item x="2133"/>
        <item x="2629"/>
        <item x="2298"/>
        <item x="2469"/>
        <item x="2779"/>
        <item x="1875"/>
        <item x="2299"/>
        <item x="246"/>
        <item x="791"/>
        <item x="1771"/>
        <item x="2399"/>
        <item x="2755"/>
        <item x="2974"/>
        <item x="4435"/>
        <item x="4027"/>
        <item x="1557"/>
        <item x="2107"/>
        <item x="1830"/>
        <item x="1847"/>
        <item x="1865"/>
        <item x="1531"/>
        <item x="698"/>
        <item x="320"/>
        <item x="1550"/>
        <item x="280"/>
        <item x="1429"/>
        <item x="1504"/>
        <item x="1595"/>
        <item x="1600"/>
        <item x="762"/>
        <item x="1059"/>
        <item x="1060"/>
        <item x="1099"/>
        <item x="1137"/>
        <item x="1395"/>
        <item x="1618"/>
        <item x="1619"/>
        <item x="826"/>
        <item x="1575"/>
        <item x="468"/>
        <item x="245"/>
        <item x="2859"/>
        <item x="523"/>
        <item x="398"/>
        <item x="1825"/>
        <item x="4381"/>
        <item x="541"/>
        <item x="339"/>
        <item x="240"/>
        <item x="2002"/>
        <item x="1955"/>
        <item x="942"/>
        <item x="2098"/>
        <item x="2794"/>
        <item x="2795"/>
        <item x="281"/>
        <item x="284"/>
        <item x="71"/>
        <item x="2119"/>
        <item x="469"/>
        <item x="4134"/>
        <item x="1794"/>
        <item x="421"/>
        <item x="104"/>
        <item x="1826"/>
        <item x="84"/>
        <item x="1969"/>
        <item x="3188"/>
        <item x="1138"/>
        <item x="1960"/>
        <item x="562"/>
        <item x="219"/>
        <item x="2079"/>
        <item x="987"/>
        <item x="4156"/>
        <item x="4157"/>
        <item x="1850"/>
        <item x="1197"/>
        <item x="1036"/>
        <item x="531"/>
        <item x="340"/>
        <item x="1661"/>
        <item x="3818"/>
        <item x="3825"/>
        <item x="3826"/>
        <item x="1264"/>
        <item x="3491"/>
        <item x="1772"/>
        <item x="717"/>
        <item x="1139"/>
        <item x="1140"/>
        <item x="871"/>
        <item x="734"/>
        <item x="818"/>
        <item x="368"/>
        <item x="430"/>
        <item x="1084"/>
        <item x="933"/>
        <item x="220"/>
        <item x="302"/>
        <item x="1213"/>
        <item x="16"/>
        <item x="603"/>
        <item x="505"/>
        <item x="1253"/>
        <item x="672"/>
        <item x="771"/>
        <item x="1169"/>
        <item x="1296"/>
        <item x="121"/>
        <item x="975"/>
        <item x="1119"/>
        <item x="1043"/>
        <item x="1848"/>
        <item x="1335"/>
        <item x="1756"/>
        <item x="888"/>
        <item x="3924"/>
        <item x="1458"/>
        <item x="1963"/>
        <item x="4000"/>
        <item x="1565"/>
        <item x="1320"/>
        <item x="950"/>
        <item x="1206"/>
        <item x="1484"/>
        <item x="1230"/>
        <item x="1345"/>
        <item x="1180"/>
        <item x="1386"/>
        <item x="1141"/>
        <item x="1061"/>
        <item x="1327"/>
        <item x="947"/>
        <item x="1362"/>
        <item x="1363"/>
        <item x="1448"/>
        <item x="1562"/>
        <item x="1292"/>
        <item x="1142"/>
        <item x="1307"/>
        <item x="1308"/>
        <item x="1100"/>
        <item x="1275"/>
        <item x="1596"/>
        <item x="1062"/>
        <item x="1015"/>
        <item x="1420"/>
        <item x="1246"/>
        <item x="1620"/>
        <item x="1037"/>
        <item x="1503"/>
        <item x="970"/>
        <item x="1535"/>
        <item x="1101"/>
        <item x="3787"/>
        <item x="446"/>
        <item x="542"/>
        <item x="2154"/>
        <item x="2140"/>
        <item x="3928"/>
        <item x="3929"/>
        <item x="2141"/>
        <item x="941"/>
        <item x="1523"/>
        <item x="2288"/>
        <item x="3087"/>
        <item x="1714"/>
        <item x="1297"/>
        <item x="2501"/>
        <item x="628"/>
        <item x="1806"/>
        <item x="255"/>
        <item x="4030"/>
        <item x="4102"/>
        <item x="3930"/>
        <item x="4158"/>
        <item x="3788"/>
        <item x="3789"/>
        <item x="3849"/>
        <item x="3970"/>
        <item x="3971"/>
        <item x="3713"/>
        <item x="3772"/>
        <item x="3782"/>
        <item x="4035"/>
        <item x="2217"/>
        <item x="2467"/>
        <item x="3931"/>
        <item x="1958"/>
        <item x="2647"/>
        <item x="2822"/>
        <item x="2932"/>
        <item x="2532"/>
        <item x="4314"/>
        <item x="1232"/>
        <item x="3229"/>
        <item x="1792"/>
        <item x="956"/>
        <item x="470"/>
        <item x="782"/>
        <item x="714"/>
        <item x="1220"/>
        <item x="1143"/>
        <item x="147"/>
        <item x="399"/>
        <item x="680"/>
        <item x="614"/>
        <item x="1027"/>
        <item x="841"/>
        <item x="1247"/>
        <item x="1063"/>
        <item x="379"/>
        <item x="3463"/>
        <item x="3464"/>
        <item x="431"/>
        <item x="88"/>
        <item x="2134"/>
        <item x="3278"/>
        <item x="4290"/>
        <item x="4097"/>
        <item x="303"/>
        <item x="683"/>
        <item x="740"/>
        <item x="1879"/>
        <item x="1318"/>
        <item x="3550"/>
        <item x="1325"/>
        <item x="108"/>
        <item x="834"/>
        <item x="902"/>
        <item x="1886"/>
        <item x="585"/>
        <item x="72"/>
        <item x="1449"/>
        <item x="4299"/>
        <item x="4257"/>
        <item x="3668"/>
        <item x="2759"/>
        <item x="6"/>
        <item x="3426"/>
        <item x="2659"/>
        <item x="3831"/>
        <item x="2587"/>
        <item x="3110"/>
        <item x="2328"/>
        <item x="2570"/>
        <item x="2751"/>
        <item x="2752"/>
        <item x="2773"/>
        <item x="2774"/>
        <item x="2933"/>
        <item x="3154"/>
        <item x="2683"/>
        <item x="2132"/>
        <item x="3555"/>
        <item x="3655"/>
        <item x="2366"/>
        <item x="2408"/>
        <item x="2515"/>
        <item x="3030"/>
        <item x="3047"/>
        <item x="3088"/>
        <item x="3155"/>
        <item x="3350"/>
        <item x="3048"/>
        <item x="2516"/>
        <item x="2039"/>
        <item x="2449"/>
        <item x="2990"/>
        <item x="2196"/>
        <item x="2359"/>
        <item x="2383"/>
        <item x="2925"/>
        <item x="3024"/>
        <item x="3069"/>
        <item x="2760"/>
        <item x="241"/>
        <item x="2300"/>
        <item x="532"/>
        <item x="2000"/>
        <item x="1583"/>
        <item x="1399"/>
        <item x="3213"/>
        <item x="3408"/>
        <item x="2713"/>
        <item x="2274"/>
        <item x="2438"/>
        <item x="2571"/>
        <item x="2873"/>
        <item x="3049"/>
        <item x="890"/>
        <item x="2251"/>
        <item x="842"/>
        <item x="850"/>
        <item x="1513"/>
        <item x="2319"/>
        <item x="4392"/>
        <item x="1242"/>
        <item x="75"/>
        <item x="4285"/>
        <item x="4376"/>
        <item x="1064"/>
        <item x="4151"/>
        <item x="853"/>
        <item x="4247"/>
        <item x="1336"/>
        <item x="3620"/>
        <item x="3621"/>
        <item x="3622"/>
        <item x="2776"/>
        <item x="2266"/>
        <item x="176"/>
        <item x="2648"/>
        <item x="3050"/>
        <item x="3051"/>
        <item x="2163"/>
        <item x="2334"/>
        <item x="2376"/>
        <item x="2502"/>
        <item x="2503"/>
        <item x="2504"/>
        <item x="2505"/>
        <item x="2815"/>
        <item x="3077"/>
        <item x="1861"/>
        <item x="835"/>
        <item x="4286"/>
        <item x="903"/>
        <item x="109"/>
        <item x="135"/>
        <item x="3943"/>
        <item x="2420"/>
        <item x="2377"/>
        <item x="2539"/>
        <item x="2684"/>
        <item x="2742"/>
        <item x="2202"/>
        <item x="3374"/>
        <item x="3290"/>
        <item x="2996"/>
        <item x="2917"/>
        <item x="3542"/>
        <item x="2630"/>
        <item x="3612"/>
        <item x="2553"/>
        <item x="2203"/>
        <item x="2853"/>
        <item x="2705"/>
        <item x="2481"/>
        <item x="2339"/>
        <item x="2164"/>
        <item x="3291"/>
        <item x="3031"/>
        <item x="3205"/>
        <item x="3375"/>
        <item x="3125"/>
        <item x="2767"/>
        <item x="2252"/>
        <item x="2421"/>
        <item x="2953"/>
        <item x="3567"/>
        <item x="3126"/>
        <item x="3409"/>
        <item x="2209"/>
        <item x="2789"/>
        <item x="3264"/>
        <item x="3341"/>
        <item x="3149"/>
        <item x="3156"/>
        <item x="2409"/>
        <item x="2410"/>
        <item x="3536"/>
        <item x="4364"/>
        <item x="4363"/>
        <item x="2631"/>
        <item x="2652"/>
        <item x="2816"/>
        <item x="2649"/>
        <item x="2624"/>
        <item x="2588"/>
        <item x="2422"/>
        <item x="2908"/>
        <item x="2301"/>
        <item x="3376"/>
        <item x="2591"/>
        <item x="2854"/>
        <item x="3528"/>
        <item x="4053"/>
        <item x="4144"/>
        <item x="4504"/>
        <item x="4385"/>
        <item x="4265"/>
        <item x="3756"/>
        <item x="3899"/>
        <item x="4229"/>
        <item x="4353"/>
        <item x="3699"/>
        <item x="4461"/>
        <item x="3591"/>
        <item x="3568"/>
        <item x="4239"/>
        <item x="2840"/>
        <item x="2592"/>
        <item x="2582"/>
        <item x="2583"/>
        <item x="3144"/>
        <item x="3127"/>
        <item x="2895"/>
        <item x="2411"/>
        <item x="2934"/>
        <item x="3371"/>
        <item x="2390"/>
        <item x="2896"/>
        <item x="2780"/>
        <item x="2991"/>
        <item x="2554"/>
        <item x="3171"/>
        <item x="3244"/>
        <item x="2714"/>
        <item x="3613"/>
        <item x="2474"/>
        <item x="2400"/>
        <item x="2302"/>
        <item x="2632"/>
        <item x="3543"/>
        <item x="3418"/>
        <item x="3363"/>
        <item x="3070"/>
        <item x="2340"/>
        <item x="2517"/>
        <item x="3315"/>
        <item x="2482"/>
        <item x="3114"/>
        <item x="2412"/>
        <item x="1380"/>
        <item x="1986"/>
        <item x="1065"/>
        <item x="17"/>
        <item x="23"/>
        <item x="24"/>
        <item x="341"/>
        <item x="687"/>
        <item x="891"/>
        <item x="3265"/>
        <item x="2558"/>
        <item x="2909"/>
        <item x="2718"/>
        <item x="2413"/>
        <item x="3089"/>
        <item x="2414"/>
        <item x="2218"/>
        <item x="2559"/>
        <item x="2910"/>
        <item x="4103"/>
        <item x="4205"/>
        <item x="3266"/>
        <item x="3623"/>
        <item x="3747"/>
        <item x="4271"/>
        <item x="3872"/>
        <item x="3090"/>
        <item x="3993"/>
        <item x="3430"/>
        <item x="3515"/>
        <item x="4341"/>
        <item x="4472"/>
        <item x="4522"/>
        <item x="1207"/>
        <item x="3163"/>
        <item x="4275"/>
        <item x="4060"/>
        <item x="3132"/>
        <item x="2432"/>
        <item x="2841"/>
        <item x="3035"/>
        <item x="2367"/>
        <item x="2533"/>
        <item x="4276"/>
        <item x="1144"/>
        <item x="2018"/>
        <item x="1209"/>
        <item x="568"/>
        <item x="533"/>
        <item x="195"/>
        <item x="400"/>
        <item x="471"/>
        <item x="534"/>
        <item x="616"/>
        <item x="695"/>
        <item x="1654"/>
        <item x="2572"/>
        <item x="3530"/>
        <item x="1188"/>
        <item x="3206"/>
        <item x="1250"/>
        <item x="2385"/>
        <item x="230"/>
        <item x="2135"/>
        <item x="3200"/>
        <item x="538"/>
        <item x="472"/>
        <item x="247"/>
        <item x="2057"/>
        <item x="3488"/>
        <item x="4342"/>
        <item x="1446"/>
        <item x="1567"/>
        <item x="1646"/>
        <item x="1582"/>
        <item x="1502"/>
        <item x="1610"/>
        <item x="1346"/>
        <item x="1322"/>
        <item x="1744"/>
        <item x="1088"/>
        <item x="637"/>
        <item x="1216"/>
        <item x="63"/>
        <item x="662"/>
        <item x="755"/>
        <item x="184"/>
        <item x="497"/>
        <item x="1163"/>
        <item x="847"/>
        <item x="96"/>
        <item x="1039"/>
        <item x="1234"/>
        <item x="518"/>
        <item x="744"/>
        <item x="1304"/>
        <item x="915"/>
        <item x="1023"/>
        <item x="498"/>
        <item x="1164"/>
        <item x="1167"/>
        <item x="248"/>
        <item x="573"/>
        <item x="874"/>
        <item x="385"/>
        <item x="439"/>
        <item x="608"/>
        <item x="770"/>
        <item x="1273"/>
        <item x="143"/>
        <item x="708"/>
        <item x="889"/>
        <item x="3863"/>
        <item x="2278"/>
        <item x="2279"/>
        <item x="2280"/>
        <item x="1956"/>
        <item x="85"/>
        <item x="86"/>
        <item x="3761"/>
        <item x="3740"/>
        <item x="3741"/>
        <item x="3873"/>
        <item x="8"/>
        <item x="2129"/>
        <item x="3245"/>
        <item x="2660"/>
        <item x="1947"/>
        <item x="473"/>
        <item x="1937"/>
        <item x="3946"/>
        <item x="1035"/>
        <item x="3091"/>
        <item x="1467"/>
        <item x="342"/>
        <item x="196"/>
        <item x="1145"/>
        <item x="2210"/>
        <item x="1082"/>
        <item x="1171"/>
        <item x="2239"/>
        <item x="2431"/>
        <item x="2581"/>
        <item x="2596"/>
        <item x="2669"/>
        <item x="2690"/>
        <item x="2706"/>
        <item x="1910"/>
        <item x="711"/>
        <item x="1757"/>
        <item x="1872"/>
        <item x="3032"/>
        <item x="2761"/>
        <item x="2762"/>
        <item x="3267"/>
        <item x="4291"/>
        <item x="926"/>
        <item x="927"/>
        <item x="1269"/>
        <item x="4394"/>
        <item x="4258"/>
        <item x="3092"/>
        <item x="3560"/>
        <item x="3292"/>
        <item x="1911"/>
        <item x="1894"/>
        <item x="1880"/>
        <item x="1914"/>
        <item x="3703"/>
        <item x="930"/>
        <item x="1211"/>
        <item x="4398"/>
        <item x="3704"/>
        <item x="3940"/>
        <item x="3812"/>
        <item x="3915"/>
        <item x="292"/>
        <item x="4475"/>
        <item x="221"/>
        <item x="1008"/>
        <item x="79"/>
        <item x="2159"/>
        <item x="3207"/>
        <item x="3353"/>
        <item x="3742"/>
        <item x="3995"/>
        <item x="1991"/>
        <item x="3133"/>
        <item x="3387"/>
        <item x="1208"/>
        <item x="1815"/>
        <item x="80"/>
        <item x="1225"/>
        <item x="1016"/>
        <item x="301"/>
        <item x="69"/>
        <item x="103"/>
        <item x="128"/>
        <item x="153"/>
        <item x="525"/>
        <item x="285"/>
        <item x="4368"/>
        <item x="259"/>
        <item x="2391"/>
        <item x="2113"/>
        <item x="1915"/>
        <item x="3776"/>
        <item x="3142"/>
        <item x="1965"/>
        <item x="3912"/>
        <item x="3714"/>
        <item x="3715"/>
        <item x="1854"/>
        <item x="2935"/>
        <item x="2243"/>
        <item x="2136"/>
        <item x="3664"/>
        <item x="3689"/>
        <item x="3690"/>
        <item x="3700"/>
        <item x="2506"/>
        <item x="1948"/>
        <item x="2185"/>
        <item x="2461"/>
        <item x="3055"/>
        <item x="4351"/>
        <item x="401"/>
        <item x="152"/>
        <item x="4184"/>
        <item x="629"/>
        <item x="904"/>
        <item x="474"/>
        <item x="1597"/>
        <item x="3448"/>
        <item x="4145"/>
        <item x="1428"/>
        <item x="988"/>
        <item x="1358"/>
        <item x="3444"/>
        <item x="3150"/>
        <item x="3801"/>
        <item x="4120"/>
        <item x="4254"/>
        <item x="2165"/>
        <item x="2219"/>
        <item x="2166"/>
        <item x="2295"/>
        <item x="227"/>
        <item x="723"/>
        <item x="228"/>
        <item x="1102"/>
        <item x="1992"/>
        <item x="4242"/>
        <item x="1758"/>
        <item x="3802"/>
        <item x="3857"/>
        <item x="3932"/>
        <item x="1715"/>
        <item x="4411"/>
        <item x="1981"/>
        <item x="3705"/>
        <item x="3707"/>
        <item x="386"/>
        <item x="3516"/>
        <item x="1662"/>
        <item x="1383"/>
        <item x="2142"/>
        <item x="475"/>
        <item x="3382"/>
        <item x="4006"/>
        <item x="2204"/>
        <item x="2258"/>
        <item x="2290"/>
        <item x="2801"/>
        <item x="3157"/>
        <item x="1452"/>
        <item x="1604"/>
        <item x="2044"/>
        <item x="1545"/>
        <item x="1066"/>
        <item x="1323"/>
        <item x="3731"/>
        <item x="1421"/>
        <item x="976"/>
        <item x="122"/>
        <item x="209"/>
        <item x="304"/>
        <item x="369"/>
        <item x="425"/>
        <item x="503"/>
        <item x="596"/>
        <item x="669"/>
        <item x="735"/>
        <item x="772"/>
        <item x="819"/>
        <item x="872"/>
        <item x="928"/>
        <item x="1477"/>
        <item x="2452"/>
        <item x="1349"/>
        <item x="774"/>
        <item x="2197"/>
        <item x="1524"/>
        <item x="1979"/>
        <item x="476"/>
        <item x="276"/>
        <item x="186"/>
        <item x="569"/>
        <item x="1237"/>
        <item x="1217"/>
        <item x="4174"/>
        <item x="321"/>
        <item x="380"/>
        <item x="1120"/>
        <item x="806"/>
        <item x="1773"/>
        <item x="1387"/>
        <item x="1388"/>
        <item x="3449"/>
        <item x="3450"/>
        <item x="1902"/>
        <item x="1663"/>
        <item x="1807"/>
        <item x="1810"/>
        <item x="1558"/>
        <item x="4261"/>
        <item x="4055"/>
        <item x="1221"/>
        <item x="2070"/>
        <item x="1621"/>
        <item x="402"/>
        <item x="820"/>
        <item x="1432"/>
        <item x="1340"/>
        <item x="4300"/>
        <item x="4240"/>
        <item x="4168"/>
        <item x="1493"/>
        <item x="1270"/>
        <item x="1468"/>
        <item x="1260"/>
        <item x="1664"/>
        <item x="4393"/>
        <item x="1903"/>
        <item x="4152"/>
        <item x="343"/>
        <item x="3537"/>
        <item x="696"/>
        <item x="2259"/>
        <item x="2027"/>
        <item x="2028"/>
        <item x="4217"/>
        <item x="286"/>
        <item x="4140"/>
        <item x="3678"/>
        <item x="3783"/>
        <item x="3913"/>
        <item x="4044"/>
        <item x="4031"/>
        <item x="1862"/>
        <item x="1146"/>
        <item x="1487"/>
        <item x="2897"/>
        <item x="1647"/>
        <item x="1665"/>
        <item x="68"/>
        <item x="1147"/>
        <item x="3377"/>
        <item x="4227"/>
        <item x="3115"/>
        <item x="2118"/>
        <item x="1841"/>
        <item x="3268"/>
        <item x="2633"/>
        <item x="4185"/>
        <item x="4045"/>
        <item x="1389"/>
        <item x="3300"/>
        <item x="1222"/>
        <item x="3111"/>
        <item x="2245"/>
        <item x="2439"/>
        <item x="2577"/>
        <item x="2743"/>
        <item x="2936"/>
        <item x="1920"/>
        <item x="1337"/>
        <item x="836"/>
        <item x="1716"/>
        <item x="707"/>
        <item x="1759"/>
        <item x="1569"/>
        <item x="3293"/>
        <item x="3624"/>
        <item x="2267"/>
        <item x="3036"/>
        <item x="4262"/>
        <item x="3641"/>
        <item x="2790"/>
        <item x="3865"/>
        <item x="553"/>
        <item x="688"/>
        <item x="1926"/>
        <item x="2781"/>
        <item x="2746"/>
        <item x="4189"/>
        <item x="1587"/>
        <item x="1622"/>
        <item x="3694"/>
        <item x="4159"/>
        <item x="258"/>
        <item x="2992"/>
        <item x="344"/>
        <item x="3972"/>
        <item x="2186"/>
        <item x="2187"/>
        <item x="2303"/>
        <item x="2304"/>
        <item x="3762"/>
        <item x="2059"/>
        <item x="3903"/>
        <item x="2049"/>
        <item x="3093"/>
        <item x="2116"/>
        <item x="3989"/>
        <item x="2188"/>
        <item x="2442"/>
        <item x="3819"/>
        <item x="81"/>
        <item x="1881"/>
        <item x="263"/>
        <item x="60"/>
        <item x="61"/>
        <item x="3094"/>
        <item x="3544"/>
        <item x="3545"/>
        <item x="1374"/>
        <item x="4399"/>
        <item x="798"/>
        <item x="1199"/>
        <item x="1666"/>
        <item x="2985"/>
        <item x="36"/>
        <item x="563"/>
        <item x="1667"/>
        <item x="3508"/>
        <item x="804"/>
        <item x="2967"/>
        <item x="2874"/>
        <item x="2305"/>
        <item x="1984"/>
        <item x="1668"/>
        <item x="1970"/>
        <item x="1256"/>
        <item x="1286"/>
        <item x="3095"/>
        <item x="4248"/>
        <item x="4339"/>
        <item x="3803"/>
        <item x="1612"/>
        <item x="1921"/>
        <item x="1047"/>
        <item x="1526"/>
        <item x="3078"/>
        <item x="1341"/>
        <item x="1842"/>
        <item x="1050"/>
        <item x="1287"/>
        <item x="1787"/>
        <item x="18"/>
        <item x="27"/>
        <item x="117"/>
        <item x="140"/>
        <item x="151"/>
        <item x="171"/>
        <item x="1241"/>
        <item x="187"/>
        <item x="1669"/>
        <item x="1412"/>
        <item x="1916"/>
        <item x="1332"/>
        <item x="1541"/>
        <item x="1489"/>
        <item x="1426"/>
        <item x="1601"/>
        <item x="1427"/>
        <item x="1490"/>
        <item x="1542"/>
        <item x="1623"/>
        <item x="1624"/>
        <item x="1371"/>
        <item x="1333"/>
        <item x="118"/>
        <item x="656"/>
        <item x="1923"/>
        <item x="56"/>
        <item x="3763"/>
        <item x="4374"/>
        <item x="3539"/>
        <item x="646"/>
        <item x="556"/>
        <item x="477"/>
        <item x="2306"/>
        <item x="821"/>
        <item x="3476"/>
        <item x="1488"/>
        <item x="1857"/>
        <item x="2782"/>
        <item x="2783"/>
        <item x="4335"/>
        <item x="403"/>
        <item x="404"/>
        <item x="1576"/>
        <item x="213"/>
        <item x="2021"/>
        <item x="3493"/>
        <item x="4197"/>
        <item x="4001"/>
        <item x="3642"/>
        <item x="3909"/>
        <item x="3648"/>
        <item x="4121"/>
        <item x="1433"/>
        <item x="2875"/>
        <item x="4122"/>
        <item x="1009"/>
        <item x="2036"/>
        <item x="2433"/>
        <item x="293"/>
        <item x="3063"/>
        <item x="4223"/>
        <item x="3177"/>
        <item x="4333"/>
        <item x="1932"/>
        <item x="577"/>
        <item x="3158"/>
        <item x="2747"/>
        <item x="2173"/>
        <item x="2462"/>
        <item x="2094"/>
        <item x="3364"/>
        <item x="3510"/>
        <item x="2860"/>
        <item x="2997"/>
        <item x="3858"/>
        <item x="4292"/>
        <item x="4117"/>
        <item x="3269"/>
        <item x="799"/>
        <item x="2876"/>
        <item x="1017"/>
        <item x="1717"/>
        <item x="289"/>
        <item x="2998"/>
        <item x="478"/>
        <item x="1148"/>
        <item x="959"/>
        <item x="479"/>
        <item x="1149"/>
        <item x="480"/>
        <item x="1150"/>
        <item x="1151"/>
        <item x="1700"/>
        <item x="3301"/>
        <item x="3804"/>
        <item x="1390"/>
        <item x="2080"/>
        <item x="1442"/>
        <item x="3208"/>
        <item x="3832"/>
        <item x="1788"/>
        <item x="1889"/>
        <item x="967"/>
        <item x="1625"/>
        <item x="1443"/>
        <item x="3003"/>
        <item x="4123"/>
        <item x="4259"/>
        <item x="4260"/>
        <item x="167"/>
        <item x="28"/>
        <item x="812"/>
        <item x="545"/>
        <item x="892"/>
        <item x="767"/>
        <item x="110"/>
        <item x="745"/>
        <item x="345"/>
        <item x="203"/>
        <item x="924"/>
        <item x="42"/>
        <item x="593"/>
        <item x="405"/>
        <item x="406"/>
        <item x="168"/>
        <item x="700"/>
        <item x="701"/>
        <item x="785"/>
        <item x="729"/>
        <item x="481"/>
        <item x="663"/>
        <item x="866"/>
        <item x="482"/>
        <item x="250"/>
        <item x="630"/>
        <item x="846"/>
        <item x="346"/>
        <item x="294"/>
        <item x="1863"/>
        <item x="4263"/>
        <item x="2155"/>
        <item x="2156"/>
        <item x="594"/>
        <item x="4237"/>
        <item x="3419"/>
        <item x="3854"/>
        <item x="3185"/>
        <item x="2855"/>
        <item x="2968"/>
        <item x="3716"/>
        <item x="2040"/>
        <item x="381"/>
        <item x="1602"/>
        <item x="2352"/>
        <item x="4486"/>
        <item x="4022"/>
        <item x="3874"/>
        <item x="2022"/>
        <item x="1459"/>
        <item x="3842"/>
        <item x="4111"/>
        <item x="450"/>
        <item x="1121"/>
        <item x="3947"/>
        <item x="2353"/>
        <item x="1239"/>
        <item x="94"/>
        <item x="3531"/>
        <item x="661"/>
        <item x="3985"/>
        <item x="2817"/>
        <item x="2842"/>
        <item x="3243"/>
        <item x="3307"/>
        <item x="3556"/>
        <item x="2120"/>
        <item x="3964"/>
        <item x="2253"/>
        <item x="4400"/>
        <item x="4061"/>
        <item x="796"/>
        <item x="2898"/>
        <item x="2877"/>
        <item x="2149"/>
        <item x="823"/>
        <item x="3214"/>
        <item x="3240"/>
        <item x="3431"/>
        <item x="3625"/>
        <item x="3665"/>
        <item x="3666"/>
        <item x="3717"/>
        <item x="4023"/>
        <item x="2670"/>
        <item x="2707"/>
        <item x="3397"/>
        <item x="3956"/>
        <item x="3957"/>
        <item x="3805"/>
        <item x="3806"/>
        <item x="2081"/>
        <item x="2030"/>
        <item x="3128"/>
        <item x="2211"/>
        <item x="2534"/>
        <item x="2549"/>
        <item x="2806"/>
        <item x="2954"/>
        <item x="2955"/>
        <item x="2174"/>
        <item x="2728"/>
        <item x="3056"/>
        <item x="1750"/>
        <item x="2738"/>
        <item x="2609"/>
        <item x="689"/>
        <item x="3468"/>
        <item x="1189"/>
        <item x="4481"/>
        <item x="1195"/>
        <item x="290"/>
        <item x="483"/>
        <item x="270"/>
        <item x="1882"/>
        <item x="4404"/>
        <item x="4302"/>
        <item x="4496"/>
        <item x="2603"/>
        <item x="2685"/>
        <item x="2099"/>
        <item x="3354"/>
        <item x="2604"/>
        <item x="2634"/>
        <item x="2710"/>
        <item x="2560"/>
        <item x="2843"/>
        <item x="3151"/>
        <item x="2483"/>
        <item x="1103"/>
        <item x="266"/>
        <item x="3547"/>
        <item x="1392"/>
        <item x="4442"/>
        <item x="1828"/>
        <item x="2540"/>
        <item x="3348"/>
        <item x="1588"/>
        <item x="1400"/>
        <item x="997"/>
        <item x="130"/>
        <item x="2354"/>
        <item x="3592"/>
        <item x="149"/>
        <item x="178"/>
        <item x="1366"/>
        <item x="1384"/>
        <item x="2378"/>
        <item x="649"/>
        <item x="3302"/>
        <item x="2268"/>
        <item x="347"/>
        <item x="373"/>
        <item x="407"/>
        <item x="408"/>
        <item x="409"/>
        <item x="484"/>
        <item x="524"/>
        <item x="580"/>
        <item x="592"/>
        <item x="623"/>
        <item x="636"/>
        <item x="690"/>
        <item x="485"/>
        <item x="348"/>
        <item x="349"/>
        <item x="4369"/>
        <item x="299"/>
        <item x="3235"/>
        <item x="4386"/>
        <item x="252"/>
        <item x="867"/>
        <item x="1543"/>
        <item x="3052"/>
        <item x="1463"/>
        <item x="900"/>
        <item x="4346"/>
        <item x="1403"/>
        <item x="4249"/>
        <item x="1651"/>
        <item x="2137"/>
        <item x="3813"/>
        <item x="2937"/>
        <item x="2453"/>
        <item x="1553"/>
        <item x="962"/>
        <item x="4201"/>
        <item x="236"/>
        <item x="242"/>
        <item x="4250"/>
        <item x="2975"/>
        <item x="1450"/>
        <item x="3807"/>
        <item x="3820"/>
        <item x="2386"/>
        <item x="1425"/>
        <item x="1364"/>
        <item x="148"/>
        <item x="1089"/>
        <item x="4092"/>
        <item x="3933"/>
        <item x="2143"/>
        <item x="1453"/>
        <item x="909"/>
        <item x="1464"/>
        <item x="2130"/>
        <item x="2686"/>
        <item x="2320"/>
        <item x="2144"/>
        <item x="1454"/>
        <item x="3294"/>
        <item x="374"/>
        <item x="432"/>
        <item x="508"/>
        <item x="599"/>
        <item x="673"/>
        <item x="843"/>
        <item x="875"/>
        <item x="529"/>
        <item x="1546"/>
        <item x="2104"/>
        <item x="49"/>
        <item x="1971"/>
        <item x="2784"/>
        <item x="2062"/>
        <item x="3884"/>
        <item x="3414"/>
        <item x="3780"/>
        <item x="2796"/>
        <item x="3033"/>
        <item x="3096"/>
        <item x="3778"/>
        <item x="3218"/>
        <item x="3838"/>
        <item x="3900"/>
        <item x="3944"/>
        <item x="1529"/>
        <item x="1342"/>
        <item x="1924"/>
        <item x="3511"/>
        <item x="3378"/>
        <item x="3420"/>
        <item x="3732"/>
        <item x="3796"/>
        <item x="3905"/>
        <item x="3906"/>
        <item x="3975"/>
        <item x="2719"/>
        <item x="2175"/>
        <item x="2401"/>
        <item x="2507"/>
        <item x="2926"/>
        <item x="3106"/>
        <item x="2653"/>
        <item x="1966"/>
        <item x="1866"/>
        <item x="3383"/>
        <item x="1183"/>
        <item x="1265"/>
        <item x="214"/>
        <item x="4093"/>
        <item x="4011"/>
        <item x="4094"/>
        <item x="2121"/>
        <item x="2254"/>
        <item x="2260"/>
        <item x="2307"/>
        <item x="2335"/>
        <item x="2228"/>
        <item x="2573"/>
        <item x="2818"/>
        <item x="2960"/>
        <item x="2220"/>
        <item x="2221"/>
        <item x="2222"/>
        <item x="3014"/>
        <item x="4198"/>
        <item x="2729"/>
        <item x="4221"/>
        <item x="632"/>
        <item x="3757"/>
        <item x="2167"/>
        <item x="1536"/>
        <item x="1067"/>
        <item x="1793"/>
        <item x="1670"/>
        <item x="756"/>
        <item x="876"/>
        <item x="1104"/>
        <item x="2861"/>
        <item x="1573"/>
        <item x="3361"/>
        <item x="4243"/>
        <item x="1303"/>
        <item x="4083"/>
        <item x="3004"/>
        <item x="4519"/>
        <item x="4405"/>
        <item x="4444"/>
        <item x="3846"/>
        <item x="1281"/>
        <item x="275"/>
        <item x="4771"/>
        <item x="1018"/>
        <item x="1751"/>
        <item x="1030"/>
        <item x="3215"/>
        <item x="3303"/>
        <item x="1983"/>
        <item x="2443"/>
        <item x="2180"/>
        <item x="3421"/>
        <item x="2423"/>
        <item x="2938"/>
        <item x="3513"/>
        <item x="1897"/>
        <item x="1784"/>
        <item x="237"/>
        <item x="3143"/>
        <item x="2802"/>
        <item x="800"/>
        <item x="3958"/>
        <item x="3976"/>
        <item x="4064"/>
        <item x="4084"/>
        <item x="3833"/>
        <item x="4169"/>
        <item x="4180"/>
        <item x="4251"/>
        <item x="4315"/>
        <item x="4453"/>
        <item x="3790"/>
        <item x="4047"/>
        <item x="2578"/>
        <item x="1324"/>
        <item x="3583"/>
        <item x="1032"/>
        <item x="4114"/>
        <item x="2541"/>
        <item x="2355"/>
        <item x="1166"/>
        <item x="4135"/>
        <item x="801"/>
        <item x="3365"/>
        <item x="722"/>
        <item x="1829"/>
        <item x="1321"/>
        <item x="1105"/>
        <item x="1152"/>
        <item x="1000"/>
        <item x="1068"/>
        <item x="946"/>
        <item x="966"/>
        <item x="1203"/>
        <item x="1228"/>
        <item x="1038"/>
        <item x="1106"/>
        <item x="1178"/>
        <item x="884"/>
        <item x="624"/>
        <item x="1069"/>
        <item x="912"/>
        <item x="1128"/>
        <item x="641"/>
        <item x="699"/>
        <item x="893"/>
        <item x="1033"/>
        <item x="1173"/>
        <item x="1087"/>
        <item x="604"/>
        <item x="973"/>
        <item x="1284"/>
        <item x="1022"/>
        <item x="1294"/>
        <item x="1153"/>
        <item x="869"/>
        <item x="1236"/>
        <item x="1243"/>
        <item x="920"/>
        <item x="1301"/>
        <item x="1122"/>
        <item x="1154"/>
        <item x="960"/>
        <item x="1218"/>
        <item x="857"/>
        <item x="657"/>
        <item x="674"/>
        <item x="1193"/>
        <item x="1070"/>
        <item x="1272"/>
        <item x="1107"/>
        <item x="934"/>
        <item x="1049"/>
        <item x="1257"/>
        <item x="736"/>
        <item x="1306"/>
        <item x="1277"/>
        <item x="1718"/>
        <item x="1719"/>
        <item x="486"/>
        <item x="2074"/>
        <item x="3677"/>
        <item x="1357"/>
        <item x="1720"/>
        <item x="1404"/>
        <item x="738"/>
        <item x="32"/>
        <item x="526"/>
        <item x="233"/>
        <item x="4085"/>
        <item x="222"/>
        <item x="3526"/>
        <item x="1478"/>
        <item x="111"/>
        <item x="234"/>
        <item x="260"/>
        <item x="2308"/>
        <item x="1444"/>
        <item x="1460"/>
        <item x="3445"/>
        <item x="617"/>
        <item x="1046"/>
        <item x="4438"/>
        <item x="4073"/>
        <item x="1922"/>
        <item x="3834"/>
        <item x="2193"/>
        <item x="4365"/>
        <item x="4524"/>
        <item x="1179"/>
        <item x="3472"/>
        <item x="837"/>
        <item x="877"/>
        <item x="1774"/>
        <item x="1671"/>
        <item x="384"/>
        <item x="4417"/>
        <item x="1108"/>
        <item x="3178"/>
        <item x="2823"/>
        <item x="1944"/>
        <item x="977"/>
        <item x="2223"/>
        <item x="9"/>
        <item x="1497"/>
        <item x="1495"/>
        <item x="1176"/>
        <item x="1177"/>
        <item x="1240"/>
        <item x="1155"/>
        <item x="1156"/>
        <item x="1816"/>
        <item x="1109"/>
        <item x="681"/>
        <item x="908"/>
        <item x="1028"/>
        <item x="1157"/>
        <item x="790"/>
        <item x="1190"/>
        <item x="957"/>
        <item x="849"/>
        <item x="754"/>
        <item x="1071"/>
        <item x="1238"/>
        <item x="718"/>
        <item x="1279"/>
        <item x="1518"/>
        <item x="1401"/>
        <item x="1317"/>
        <item x="1577"/>
        <item x="1355"/>
        <item x="1672"/>
        <item x="1462"/>
        <item x="1626"/>
        <item x="1760"/>
        <item x="1721"/>
        <item x="1778"/>
        <item x="2075"/>
        <item x="2122"/>
        <item x="182"/>
        <item x="986"/>
        <item x="984"/>
        <item x="179"/>
        <item x="2450"/>
        <item x="1722"/>
        <item x="647"/>
        <item x="2545"/>
        <item x="3633"/>
        <item x="1673"/>
        <item x="1723"/>
        <item x="1608"/>
        <item x="1887"/>
        <item x="1528"/>
        <item x="2082"/>
        <item x="1797"/>
        <item x="2024"/>
        <item x="3733"/>
        <item x="3855"/>
        <item x="2635"/>
        <item x="978"/>
        <item x="3388"/>
        <item x="3389"/>
        <item x="3821"/>
        <item x="1266"/>
        <item x="989"/>
        <item x="990"/>
        <item x="1925"/>
        <item x="1072"/>
        <item x="2700"/>
        <item x="697"/>
        <item x="3936"/>
        <item x="4104"/>
        <item x="3316"/>
        <item x="3626"/>
        <item x="1566"/>
        <item x="2329"/>
        <item x="3037"/>
        <item x="554"/>
        <item x="1870"/>
        <item x="2123"/>
        <item x="4293"/>
        <item x="1927"/>
        <item x="4827"/>
        <item x="4146"/>
        <item x="2124"/>
        <item x="3355"/>
        <item x="4487"/>
        <item x="4282"/>
        <item x="4036"/>
        <item x="4354"/>
        <item x="4032"/>
        <item x="4086"/>
        <item x="200"/>
        <item x="2076"/>
        <item x="1724"/>
        <item x="4136"/>
        <item x="3615"/>
        <item x="370"/>
        <item x="1539"/>
        <item x="1933"/>
        <item x="1627"/>
        <item x="3038"/>
        <item x="1368"/>
        <item x="99"/>
        <item x="3718"/>
        <item x="4037"/>
        <item x="3216"/>
        <item x="3412"/>
        <item x="3827"/>
        <item x="3951"/>
        <item x="2674"/>
        <item x="3584"/>
        <item x="2168"/>
        <item x="2356"/>
        <item x="2523"/>
        <item x="3025"/>
        <item x="2824"/>
        <item x="1833"/>
        <item x="4431"/>
        <item x="1928"/>
        <item x="2527"/>
        <item x="188"/>
        <item x="2053"/>
        <item x="308"/>
        <item x="1898"/>
        <item x="177"/>
        <item x="46"/>
        <item x="47"/>
        <item x="433"/>
        <item x="519"/>
        <item x="712"/>
        <item x="885"/>
        <item x="2224"/>
        <item x="1725"/>
        <item x="943"/>
        <item x="728"/>
        <item x="760"/>
        <item x="786"/>
        <item x="2269"/>
        <item x="2463"/>
        <item x="183"/>
        <item x="4468"/>
        <item x="1158"/>
        <item x="2088"/>
        <item x="4859"/>
        <item x="3934"/>
        <item x="3839"/>
        <item x="3808"/>
        <item x="223"/>
        <item x="1945"/>
        <item x="1650"/>
        <item x="4860"/>
        <item x="653"/>
        <item x="4175"/>
        <item x="3990"/>
        <item x="1360"/>
        <item x="1726"/>
        <item x="4432"/>
        <item x="3764"/>
        <item x="3683"/>
        <item x="4305"/>
        <item x="1938"/>
        <item x="1761"/>
        <item x="1674"/>
        <item x="189"/>
        <item x="3506"/>
        <item x="1110"/>
        <item x="3948"/>
        <item x="4377"/>
        <item x="4470"/>
        <item x="4512"/>
        <item x="1436"/>
        <item x="2054"/>
        <item x="2918"/>
        <item x="1212"/>
        <item x="3451"/>
        <item x="3759"/>
        <item x="3121"/>
        <item x="3864"/>
        <item x="1204"/>
        <item x="1408"/>
        <item x="1111"/>
        <item x="509"/>
        <item x="3304"/>
        <item x="3529"/>
        <item x="4401"/>
        <item x="410"/>
        <item x="570"/>
        <item x="3392"/>
        <item x="1267"/>
        <item x="350"/>
        <item x="451"/>
        <item x="2456"/>
        <item x="3885"/>
        <item x="1223"/>
        <item x="2151"/>
        <item x="2152"/>
        <item x="1762"/>
        <item x="1752"/>
        <item x="1763"/>
        <item x="3477"/>
        <item x="3415"/>
        <item x="2454"/>
        <item x="4528"/>
        <item x="1727"/>
        <item x="4137"/>
        <item x="851"/>
        <item x="1675"/>
        <item x="1936"/>
        <item x="618"/>
        <item x="4336"/>
        <item x="150"/>
        <item x="3765"/>
        <item x="3914"/>
        <item x="3159"/>
        <item x="3356"/>
        <item x="487"/>
        <item x="3270"/>
        <item x="2037"/>
        <item x="2261"/>
        <item x="3866"/>
        <item x="2643"/>
        <item x="3593"/>
        <item x="935"/>
        <item x="1838"/>
        <item x="3123"/>
        <item x="3210"/>
        <item x="3297"/>
        <item x="3321"/>
        <item x="3345"/>
        <item x="3571"/>
        <item x="3634"/>
        <item x="3658"/>
        <item x="3680"/>
        <item x="3739"/>
        <item x="3793"/>
        <item x="3879"/>
        <item x="3986"/>
        <item x="3953"/>
        <item x="4049"/>
        <item x="2172"/>
        <item x="2276"/>
        <item x="2349"/>
        <item x="2404"/>
        <item x="2486"/>
        <item x="2520"/>
        <item x="2557"/>
        <item x="2636"/>
        <item x="2724"/>
        <item x="2799"/>
        <item x="2903"/>
        <item x="2981"/>
        <item x="3062"/>
        <item x="3440"/>
        <item x="3486"/>
        <item x="14"/>
        <item x="134"/>
        <item x="198"/>
        <item x="313"/>
        <item x="375"/>
        <item x="440"/>
        <item x="511"/>
        <item x="609"/>
        <item x="776"/>
        <item x="824"/>
        <item x="880"/>
        <item x="936"/>
        <item x="296"/>
        <item x="314"/>
        <item x="363"/>
        <item x="364"/>
        <item x="422"/>
        <item x="423"/>
        <item x="427"/>
        <item x="444"/>
        <item x="499"/>
        <item x="500"/>
        <item x="512"/>
        <item x="539"/>
        <item x="574"/>
        <item x="589"/>
        <item x="601"/>
        <item x="621"/>
        <item x="633"/>
        <item x="642"/>
        <item x="650"/>
        <item x="659"/>
        <item x="691"/>
        <item x="703"/>
        <item x="719"/>
        <item x="731"/>
        <item x="751"/>
        <item x="757"/>
        <item x="768"/>
        <item x="780"/>
        <item x="787"/>
        <item x="807"/>
        <item x="829"/>
        <item x="859"/>
        <item x="896"/>
        <item x="921"/>
        <item x="4418"/>
        <item x="2020"/>
        <item x="3693"/>
        <item x="4407"/>
        <item x="1822"/>
        <item x="3840"/>
        <item x="1844"/>
        <item x="1890"/>
        <item x="1993"/>
        <item x="2078"/>
        <item x="1888"/>
        <item x="3734"/>
        <item x="1814"/>
        <item x="1908"/>
        <item x="1949"/>
        <item x="1987"/>
        <item x="1869"/>
        <item x="2566"/>
        <item x="2733"/>
        <item x="2238"/>
        <item x="2922"/>
        <item x="3109"/>
        <item x="2429"/>
        <item x="157"/>
        <item x="2885"/>
        <item x="2911"/>
        <item x="2550"/>
        <item x="3079"/>
        <item x="2475"/>
        <item x="2542"/>
        <item x="2768"/>
        <item x="2708"/>
        <item x="2720"/>
        <item x="2593"/>
        <item x="2691"/>
        <item x="2610"/>
        <item x="2484"/>
        <item x="2495"/>
        <item x="2041"/>
        <item x="2083"/>
        <item x="2016"/>
        <item x="443"/>
        <item x="3503"/>
        <item x="1918"/>
        <item x="1867"/>
        <item x="1628"/>
        <item x="2125"/>
        <item x="1704"/>
        <item x="3351"/>
        <item x="3532"/>
        <item x="3672"/>
        <item x="3777"/>
        <item x="3904"/>
        <item x="4028"/>
        <item x="2605"/>
        <item x="3145"/>
        <item x="2281"/>
        <item x="2457"/>
        <item x="2769"/>
        <item x="2961"/>
        <item x="112"/>
        <item x="588"/>
        <item x="4211"/>
        <item x="3736"/>
        <item x="1994"/>
        <item x="1835"/>
        <item x="3708"/>
        <item x="3456"/>
        <item x="4216"/>
        <item x="991"/>
        <item x="1248"/>
        <item x="1728"/>
        <item x="1438"/>
        <item x="813"/>
        <item x="411"/>
        <item x="412"/>
        <item x="654"/>
        <item x="3107"/>
        <item x="3097"/>
        <item x="1820"/>
        <item x="488"/>
        <item x="3452"/>
        <item x="322"/>
        <item x="1800"/>
        <item x="1112"/>
        <item x="3743"/>
        <item x="1359"/>
        <item x="858"/>
        <item x="2309"/>
        <item x="2528"/>
        <item x="4218"/>
        <item x="1044"/>
        <item x="413"/>
        <item x="906"/>
        <item x="1942"/>
        <item x="1285"/>
        <item x="1729"/>
        <item x="1430"/>
        <item x="414"/>
        <item x="2345"/>
        <item x="2606"/>
        <item x="2262"/>
        <item x="3305"/>
        <item x="863"/>
        <item x="3949"/>
        <item x="3766"/>
        <item x="2721"/>
        <item x="2010"/>
        <item x="2003"/>
        <item x="802"/>
        <item x="4294"/>
        <item x="3009"/>
        <item x="3308"/>
        <item x="3053"/>
        <item x="2807"/>
        <item x="2808"/>
        <item x="3179"/>
        <item x="243"/>
        <item x="2497"/>
        <item x="1858"/>
        <item x="2336"/>
        <item x="2804"/>
        <item x="2785"/>
        <item x="2654"/>
        <item x="1113"/>
        <item x="1584"/>
        <item x="1479"/>
        <item x="1114"/>
        <item x="25"/>
        <item x="721"/>
        <item x="713"/>
        <item x="1540"/>
        <item x="3250"/>
        <item x="3251"/>
        <item x="2834"/>
        <item x="1929"/>
        <item x="1085"/>
        <item x="169"/>
        <item x="1520"/>
        <item x="2229"/>
        <item x="2230"/>
        <item x="746"/>
        <item x="1356"/>
        <item x="1181"/>
        <item x="1010"/>
        <item x="351"/>
        <item x="352"/>
        <item x="353"/>
        <item x="3517"/>
        <item x="1855"/>
        <item x="1629"/>
        <item x="605"/>
        <item x="4164"/>
        <item x="1439"/>
        <item x="2878"/>
        <item x="2879"/>
        <item x="1899"/>
        <item x="1630"/>
        <item x="1029"/>
        <item x="4138"/>
        <item x="4095"/>
        <item x="1115"/>
        <item x="295"/>
        <item x="675"/>
        <item x="1795"/>
        <item x="4066"/>
        <item x="2150"/>
        <item x="1461"/>
        <item x="3614"/>
        <item x="1796"/>
        <item x="4316"/>
        <item x="1988"/>
        <item x="3695"/>
        <item x="3937"/>
        <item x="2145"/>
        <item x="1014"/>
        <item x="105"/>
        <item x="3446"/>
        <item x="126"/>
        <item x="741"/>
        <item x="4343"/>
        <item x="1330"/>
        <item x="1422"/>
        <item x="3945"/>
        <item x="1414"/>
        <item x="1116"/>
        <item x="3551"/>
        <item x="76"/>
        <item x="253"/>
        <item x="600"/>
        <item x="1309"/>
        <item x="136"/>
        <item x="1165"/>
        <item x="1123"/>
        <item x="438"/>
        <item x="1676"/>
        <item x="815"/>
        <item x="1491"/>
        <item x="1547"/>
        <item x="1548"/>
        <item x="1205"/>
        <item x="62"/>
        <item x="3859"/>
        <item x="1125"/>
        <item x="3317"/>
        <item x="3667"/>
        <item x="2650"/>
        <item x="2470"/>
        <item x="2372"/>
        <item x="1951"/>
        <item x="1200"/>
        <item x="1201"/>
        <item x="1202"/>
        <item x="3457"/>
        <item x="1048"/>
        <item x="879"/>
        <item x="1730"/>
        <item x="3372"/>
        <item x="1677"/>
        <item x="2310"/>
        <item x="2311"/>
        <item x="1605"/>
        <item x="725"/>
        <item x="447"/>
        <item x="3080"/>
        <item x="631"/>
        <item x="3327"/>
        <item x="3279"/>
        <item x="3280"/>
        <item x="3281"/>
        <item x="3098"/>
        <item x="2205"/>
        <item x="2387"/>
        <item x="2962"/>
        <item x="1034"/>
        <item x="982"/>
        <item x="726"/>
        <item x="753"/>
        <item x="856"/>
        <item x="1500"/>
        <item x="1505"/>
        <item x="948"/>
        <item x="727"/>
        <item x="827"/>
        <item x="1251"/>
        <item x="4266"/>
        <item x="206"/>
        <item x="1379"/>
        <item x="2976"/>
        <item x="894"/>
        <item x="1930"/>
        <item x="2011"/>
        <item x="2297"/>
        <item x="1678"/>
        <item x="3393"/>
        <item x="3394"/>
        <item x="543"/>
        <item x="1780"/>
        <item x="3523"/>
        <item x="489"/>
        <item x="3071"/>
        <item x="2529"/>
        <item x="4329"/>
        <item x="4357"/>
        <item x="917"/>
        <item x="968"/>
        <item x="1499"/>
        <item x="949"/>
        <item x="1485"/>
        <item x="963"/>
        <item x="964"/>
        <item x="3594"/>
        <item x="3701"/>
        <item x="3164"/>
        <item x="2444"/>
        <item x="2530"/>
        <item x="2770"/>
        <item x="1989"/>
        <item x="905"/>
        <item x="3938"/>
        <item x="2498"/>
        <item x="3209"/>
        <item x="3057"/>
        <item x="2263"/>
        <item x="3684"/>
        <item x="4209"/>
        <item x="1451"/>
        <item x="992"/>
        <item x="3835"/>
        <item x="3758"/>
        <item x="1613"/>
        <item x="1563"/>
        <item x="131"/>
        <item x="132"/>
        <item x="2471"/>
        <item x="4252"/>
        <item x="3222"/>
        <item x="3223"/>
        <item x="2012"/>
        <item x="3724"/>
        <item x="1073"/>
        <item x="2100"/>
        <item x="3627"/>
        <item x="3643"/>
        <item x="1074"/>
        <item x="2181"/>
        <item x="1631"/>
        <item x="1934"/>
        <item x="3557"/>
        <item x="974"/>
        <item x="2956"/>
        <item x="2013"/>
        <item x="1396"/>
        <item x="1679"/>
        <item x="1159"/>
        <item x="1680"/>
        <item x="19"/>
        <item x="1681"/>
        <item x="20"/>
        <item x="271"/>
        <item x="1731"/>
        <item x="300"/>
        <item x="664"/>
        <item x="730"/>
        <item x="204"/>
        <item x="291"/>
        <item x="354"/>
        <item x="415"/>
        <item x="490"/>
        <item x="595"/>
        <item x="4426"/>
        <item x="3458"/>
        <item x="3525"/>
        <item x="3527"/>
        <item x="4446"/>
        <item x="4422"/>
        <item x="33"/>
        <item x="3362"/>
        <item x="515"/>
        <item x="387"/>
        <item x="1283"/>
        <item x="3628"/>
        <item x="1682"/>
        <item x="2296"/>
        <item x="1001"/>
        <item x="309"/>
        <item x="4340"/>
        <item x="2485"/>
        <item x="3696"/>
        <item x="886"/>
        <item x="4337"/>
        <item x="10"/>
        <item x="11"/>
        <item x="50"/>
        <item x="1377"/>
        <item x="606"/>
        <item x="3669"/>
        <item x="3725"/>
        <item x="3726"/>
        <item x="3744"/>
        <item x="3875"/>
        <item x="3965"/>
        <item x="2722"/>
        <item x="3186"/>
        <item x="12"/>
        <item x="3005"/>
        <item x="693"/>
        <item x="388"/>
        <item x="1559"/>
        <item x="838"/>
        <item x="4038"/>
        <item x="3709"/>
        <item x="4012"/>
        <item x="2939"/>
        <item x="2942"/>
        <item x="3015"/>
        <item x="4224"/>
        <item x="1975"/>
        <item x="1339"/>
        <item x="1632"/>
        <item x="2089"/>
        <item x="549"/>
        <item x="4477"/>
        <item x="208"/>
        <item x="3459"/>
        <item x="4270"/>
        <item x="4518"/>
        <item x="1753"/>
        <item x="1732"/>
        <item x="3518"/>
        <item x="1655"/>
        <item x="535"/>
        <item x="3619"/>
        <item x="1514"/>
        <item x="4176"/>
        <item x="797"/>
        <item x="1019"/>
        <item x="2886"/>
        <item x="931"/>
        <item x="676"/>
        <item x="13"/>
        <item x="201"/>
        <item x="4395"/>
        <item x="750"/>
        <item x="4046"/>
        <item x="3217"/>
        <item x="3146"/>
        <item x="491"/>
        <item x="839"/>
        <item x="3795"/>
        <item x="3891"/>
        <item x="3629"/>
        <item x="2146"/>
        <item x="1455"/>
        <item x="2661"/>
        <item x="3116"/>
        <item x="3398"/>
        <item x="3427"/>
        <item x="3432"/>
        <item x="3574"/>
        <item x="3494"/>
        <item x="3483"/>
        <item x="3745"/>
        <item x="1385"/>
        <item x="1378"/>
        <item x="1473"/>
        <item x="3630"/>
        <item x="4067"/>
        <item x="3558"/>
        <item x="3328"/>
        <item x="3773"/>
        <item x="3847"/>
        <item x="1527"/>
        <item x="4387"/>
        <item x="4320"/>
        <item x="536"/>
        <item x="434"/>
        <item x="3991"/>
        <item x="3026"/>
        <item x="1415"/>
        <item x="2434"/>
        <item x="882"/>
        <item x="4412"/>
        <item x="3413"/>
        <item x="2999"/>
        <item x="2880"/>
        <item x="3453"/>
        <item x="3112"/>
        <item x="3631"/>
        <item x="4186"/>
        <item x="4277"/>
        <item x="4283"/>
        <item x="3867"/>
        <item x="3522"/>
        <item x="3501"/>
        <item x="3329"/>
        <item x="2616"/>
        <item x="2518"/>
        <item x="4234"/>
        <item x="4233"/>
        <item x="4430"/>
        <item x="1633"/>
        <item x="1591"/>
        <item x="844"/>
        <item x="4334"/>
        <item x="1302"/>
        <item x="828"/>
        <item x="2881"/>
        <item x="1999"/>
        <item x="1129"/>
        <item x="2435"/>
        <item x="2969"/>
        <item x="1416"/>
        <item x="2882"/>
        <item x="1124"/>
        <item x="1980"/>
        <item x="1683"/>
        <item x="3585"/>
        <item x="2856"/>
        <item x="1684"/>
        <item x="3649"/>
        <item x="3728"/>
        <item x="3737"/>
        <item x="3892"/>
        <item x="4068"/>
        <item x="3798"/>
        <item x="2476"/>
        <item x="2"/>
        <item x="3379"/>
        <item x="3380"/>
        <item x="3670"/>
        <item x="3671"/>
        <item x="3165"/>
        <item x="2825"/>
        <item x="2977"/>
        <item x="2084"/>
        <item x="3357"/>
        <item x="2477"/>
        <item x="2857"/>
        <item x="2651"/>
        <item x="2671"/>
        <item x="3166"/>
        <item x="2360"/>
        <item x="2361"/>
        <item x="2464"/>
        <item x="2753"/>
        <item x="2763"/>
        <item x="2919"/>
        <item x="2715"/>
        <item x="119"/>
        <item x="2032"/>
        <item x="1075"/>
        <item x="1685"/>
        <item x="870"/>
        <item x="4153"/>
        <item x="3746"/>
        <item x="2440"/>
        <item x="2607"/>
        <item x="4087"/>
        <item x="3454"/>
        <item x="4206"/>
        <item x="2357"/>
        <item x="1803"/>
        <item x="2177"/>
        <item x="3006"/>
        <item x="2531"/>
        <item x="2321"/>
        <item x="2970"/>
        <item x="2312"/>
        <item x="3465"/>
        <item x="2270"/>
        <item x="2993"/>
        <item x="3809"/>
        <item x="2313"/>
        <item x="2388"/>
        <item x="2687"/>
        <item x="3609"/>
        <item x="3016"/>
        <item x="3358"/>
        <item x="4210"/>
        <item x="2459"/>
        <item x="4154"/>
        <item x="2460"/>
        <item x="4013"/>
        <item x="4096"/>
        <item x="3719"/>
        <item x="2436"/>
        <item x="2198"/>
        <item x="2322"/>
        <item x="3935"/>
        <item x="4088"/>
        <item x="2971"/>
        <item x="2972"/>
        <item x="3312"/>
        <item x="3342"/>
        <item x="1578"/>
        <item x="1939"/>
        <item x="1972"/>
        <item x="971"/>
        <item x="1314"/>
        <item x="510"/>
        <item x="1405"/>
        <item x="1904"/>
        <item x="1905"/>
        <item x="1393"/>
        <item x="619"/>
        <item x="655"/>
        <item x="2006"/>
        <item x="1996"/>
        <item x="1603"/>
        <item x="1579"/>
        <item x="1375"/>
        <item x="416"/>
        <item x="417"/>
        <item x="537"/>
        <item x="1445"/>
        <item x="355"/>
        <item x="215"/>
        <item x="1952"/>
        <item x="1005"/>
        <item x="2055"/>
        <item x="1090"/>
        <item x="2056"/>
        <item x="1474"/>
        <item x="1076"/>
        <item x="2117"/>
        <item x="1469"/>
        <item x="356"/>
        <item x="1475"/>
        <item x="625"/>
        <item x="1288"/>
        <item x="1798"/>
        <item x="282"/>
        <item x="172"/>
        <item x="1441"/>
        <item x="2147"/>
        <item x="1634"/>
        <item x="993"/>
        <item x="1868"/>
        <item x="1789"/>
        <item x="1580"/>
        <item x="1289"/>
        <item x="969"/>
        <item x="1045"/>
        <item x="1077"/>
        <item x="357"/>
        <item x="1686"/>
        <item x="1170"/>
        <item x="1733"/>
        <item x="1943"/>
        <item x="2110"/>
        <item x="4427"/>
        <item x="2176"/>
        <item x="2756"/>
        <item x="1406"/>
        <item x="579"/>
        <item x="2662"/>
        <item x="2625"/>
        <item x="2701"/>
        <item x="190"/>
        <item x="2182"/>
        <item x="1754"/>
        <item x="939"/>
        <item x="814"/>
        <item x="1305"/>
        <item x="998"/>
        <item x="999"/>
        <item x="1417"/>
        <item x="2004"/>
        <item x="564"/>
        <item x="2066"/>
        <item x="3180"/>
        <item x="901"/>
        <item x="358"/>
        <item x="1331"/>
        <item x="323"/>
        <item x="1953"/>
        <item x="3395"/>
        <item x="3828"/>
        <item x="1268"/>
        <item x="4054"/>
        <item x="3860"/>
        <item x="3720"/>
        <item x="3685"/>
        <item x="3533"/>
        <item x="3534"/>
        <item x="4447"/>
        <item x="816"/>
        <item x="3384"/>
        <item x="3385"/>
        <item x="1194"/>
        <item x="120"/>
        <item x="3460"/>
        <item x="1423"/>
        <item x="4089"/>
        <item x="2126"/>
        <item x="4358"/>
        <item x="2017"/>
        <item x="1635"/>
        <item x="1836"/>
        <item x="1687"/>
        <item x="1636"/>
        <item x="1734"/>
        <item x="1735"/>
        <item x="1808"/>
        <item x="1790"/>
        <item x="1961"/>
        <item x="1688"/>
        <item x="1777"/>
        <item x="1510"/>
        <item x="1643"/>
        <item x="1823"/>
        <item x="1585"/>
        <item x="516"/>
        <item x="1537"/>
        <item x="3099"/>
        <item x="2014"/>
        <item x="34"/>
        <item x="2101"/>
        <item x="3586"/>
        <item x="3673"/>
        <item x="3907"/>
        <item x="2148"/>
        <item x="2225"/>
        <item x="2844"/>
        <item x="2912"/>
        <item x="2941"/>
        <item x="2986"/>
        <item x="87"/>
        <item x="137"/>
        <item x="318"/>
        <item x="235"/>
        <item x="1532"/>
        <item x="3189"/>
        <item x="1831"/>
        <item x="1791"/>
        <item x="1912"/>
        <item x="1909"/>
        <item x="1770"/>
        <item x="944"/>
        <item x="4347"/>
        <item x="4099"/>
        <item x="4497"/>
        <item x="1431"/>
        <item x="1186"/>
        <item x="507"/>
        <item x="586"/>
        <item x="932"/>
        <item x="550"/>
        <item x="4317"/>
        <item x="51"/>
        <item x="1300"/>
        <item x="951"/>
        <item x="52"/>
        <item x="1637"/>
        <item x="1990"/>
        <item x="3750"/>
        <item x="1492"/>
        <item x="4124"/>
        <item x="4128"/>
        <item x="4325"/>
        <item x="1554"/>
        <item x="2067"/>
        <item x="3814"/>
        <item x="1418"/>
        <item x="4203"/>
        <item x="4155"/>
        <item x="1381"/>
        <item x="2138"/>
        <item x="1117"/>
        <item x="1290"/>
        <item x="4129"/>
        <item x="3469"/>
        <item x="3888"/>
        <item x="1837"/>
        <item x="4029"/>
        <item x="2275"/>
        <item x="3100"/>
        <item x="3101"/>
        <item x="3702"/>
        <item x="2626"/>
        <item x="1978"/>
        <item x="3181"/>
        <item x="2212"/>
        <item x="2508"/>
        <item x="2835"/>
        <item x="2085"/>
        <item x="1480"/>
        <item x="3190"/>
        <item x="4303"/>
        <item x="3721"/>
        <item x="1832"/>
        <item x="2314"/>
        <item x="2315"/>
        <item x="2330"/>
        <item x="3552"/>
        <item x="2068"/>
        <item x="705"/>
        <item x="626"/>
        <item x="2948"/>
        <item x="4125"/>
        <item x="3318"/>
        <item x="3897"/>
        <item x="4130"/>
        <item x="4190"/>
        <item x="4191"/>
        <item x="4192"/>
        <item x="4193"/>
        <item x="4194"/>
        <item x="4195"/>
        <item x="1419"/>
        <item x="3925"/>
        <item x="492"/>
        <item x="3674"/>
        <item x="1376"/>
        <item x="2978"/>
        <item x="73"/>
        <item x="4366"/>
        <item x="4014"/>
        <item x="2108"/>
        <item x="2392"/>
        <item x="3880"/>
        <item x="1689"/>
        <item x="4181"/>
        <item x="4182"/>
        <item x="4039"/>
        <item x="418"/>
        <item x="3478"/>
        <item x="3784"/>
        <item x="1002"/>
        <item x="435"/>
        <item x="1127"/>
        <item x="1586"/>
        <item x="4352"/>
        <item x="1736"/>
        <item x="1003"/>
        <item x="493"/>
        <item x="1042"/>
        <item x="983"/>
        <item x="581"/>
        <item x="264"/>
        <item x="1224"/>
        <item x="668"/>
        <item x="2927"/>
        <item x="2979"/>
        <item x="979"/>
        <item x="123"/>
        <item x="210"/>
        <item x="305"/>
        <item x="371"/>
        <item x="426"/>
        <item x="504"/>
        <item x="597"/>
        <item x="670"/>
        <item x="737"/>
        <item x="773"/>
        <item x="822"/>
        <item x="873"/>
        <item x="929"/>
        <item x="1078"/>
        <item x="952"/>
        <item x="571"/>
        <item x="578"/>
        <item x="635"/>
        <item x="658"/>
        <item x="724"/>
        <item x="759"/>
        <item x="792"/>
        <item x="803"/>
        <item x="840"/>
        <item x="855"/>
        <item x="913"/>
        <item x="925"/>
        <item x="953"/>
        <item x="517"/>
        <item x="793"/>
        <item x="1271"/>
        <item x="1883"/>
        <item x="1876"/>
        <item x="1261"/>
        <item x="2509"/>
        <item x="2058"/>
        <item x="1638"/>
        <item x="3815"/>
        <item x="2071"/>
        <item x="1935"/>
        <item x="3767"/>
        <item x="3679"/>
        <item x="3751"/>
        <item x="3752"/>
        <item x="2183"/>
        <item x="2153"/>
        <item x="910"/>
        <item x="3252"/>
        <item x="4423"/>
        <item x="2001"/>
        <item x="1997"/>
        <item x="3836"/>
        <item x="419"/>
        <item x="2102"/>
        <item x="1690"/>
        <item x="1160"/>
        <item x="1859"/>
        <item x="1338"/>
        <item x="53"/>
        <item x="2086"/>
        <item x="2561"/>
        <item x="2973"/>
        <item x="3309"/>
        <item x="1184"/>
        <item x="3595"/>
        <item x="3656"/>
        <item x="3738"/>
        <item x="627"/>
        <item x="1864"/>
        <item x="100"/>
        <item x="3182"/>
        <item x="2574"/>
        <item x="3433"/>
        <item x="1244"/>
        <item x="2862"/>
        <item x="2863"/>
        <item x="2864"/>
        <item x="158"/>
        <item x="2047"/>
        <item x="1639"/>
        <item x="1609"/>
        <item x="1737"/>
        <item x="1598"/>
        <item x="1434"/>
        <item x="1738"/>
        <item x="1739"/>
        <item x="1372"/>
        <item x="1705"/>
        <item x="1551"/>
        <item x="1656"/>
        <item x="1652"/>
        <item x="3"/>
        <item x="95"/>
        <item x="4165"/>
        <item x="191"/>
        <item x="279"/>
        <item x="4"/>
        <item x="4297"/>
        <item x="3996"/>
        <item x="3729"/>
        <item x="319"/>
        <item x="1906"/>
        <item x="359"/>
        <item x="1849"/>
        <item x="159"/>
        <item x="92"/>
        <item x="1827"/>
        <item x="1653"/>
        <item x="1501"/>
        <item x="1745"/>
        <item x="1424"/>
        <item x="1344"/>
        <item x="1515"/>
        <item x="1507"/>
        <item x="1522"/>
        <item x="1447"/>
        <item x="1644"/>
        <item x="1701"/>
        <item x="1397"/>
        <item x="1746"/>
        <item x="1437"/>
        <item x="1476"/>
        <item x="1568"/>
        <item x="1747"/>
        <item x="1465"/>
        <item x="1645"/>
        <item x="1702"/>
        <item x="1516"/>
        <item x="1748"/>
        <item x="1749"/>
        <item x="1871"/>
        <item x="1785"/>
        <item x="1765"/>
        <item x="1766"/>
        <item x="1782"/>
        <item x="1946"/>
        <item x="1767"/>
        <item x="1768"/>
        <item x="1764"/>
        <item x="607"/>
        <item x="1640"/>
        <item x="1313"/>
        <item x="127"/>
        <item x="1648"/>
        <item x="1740"/>
        <item x="1691"/>
        <item x="1964"/>
        <item x="1252"/>
        <item x="3485"/>
        <item x="360"/>
        <item x="1775"/>
        <item x="775"/>
        <item x="4279"/>
        <item x="1214"/>
        <item x="3966"/>
        <item x="1249"/>
        <item x="1020"/>
        <item x="1741"/>
        <item x="1877"/>
        <item x="1185"/>
        <item x="852"/>
        <item x="1509"/>
        <item x="1326"/>
        <item x="994"/>
        <item x="1692"/>
        <item x="1494"/>
        <item x="1521"/>
        <item x="1878"/>
        <item x="551"/>
        <item x="1409"/>
        <item x="1373"/>
        <item x="1641"/>
        <item x="1351"/>
        <item x="895"/>
        <item x="2043"/>
        <item x="1161"/>
        <item x="1086"/>
        <item x="1254"/>
        <item x="1024"/>
        <item x="778"/>
        <item x="779"/>
        <item x="665"/>
        <item x="1091"/>
        <item x="864"/>
        <item x="1607"/>
        <item x="1472"/>
        <item x="965"/>
        <item x="715"/>
        <item x="1353"/>
        <item x="106"/>
        <item x="238"/>
        <item x="1985"/>
        <item x="1907"/>
        <item x="1776"/>
        <item x="1549"/>
        <item x="1410"/>
        <item x="1940"/>
        <item x="1369"/>
        <item x="2546"/>
        <item x="3848"/>
        <item x="4505"/>
        <item x="3632"/>
        <item x="4131"/>
        <item x="1957"/>
        <item x="3507"/>
        <item x="4187"/>
        <item x="2077"/>
        <item x="4511"/>
        <item x="1560"/>
        <item x="4225"/>
        <item x="3399"/>
        <item x="3390"/>
        <item x="3876"/>
        <item x="4330"/>
        <item x="2015"/>
        <item x="4527"/>
        <item x="2226"/>
        <item x="2711"/>
        <item x="3722"/>
        <item x="2617"/>
        <item x="4389"/>
        <item x="2777"/>
        <item x="3310"/>
        <item x="2348"/>
        <item x="2090"/>
        <item x="3253"/>
        <item x="2424"/>
        <item x="1555"/>
        <item x="3686"/>
        <item x="3687"/>
        <item x="4301"/>
        <item x="4105"/>
        <item x="4228"/>
        <item x="4015"/>
        <item x="2045"/>
        <item x="4002"/>
        <item x="2695"/>
        <item x="3616"/>
        <item x="3868"/>
        <item x="4058"/>
        <item x="4230"/>
        <item x="3134"/>
        <item x="2716"/>
        <item x="3512"/>
        <item x="1570"/>
        <item x="2692"/>
        <item x="2819"/>
        <item x="4071"/>
        <item x="2943"/>
        <item x="2826"/>
        <item x="4359"/>
        <item x="3644"/>
        <item x="2663"/>
        <item x="324"/>
        <item x="2169"/>
        <item x="1564"/>
        <item x="2827"/>
        <item x="3505"/>
        <item x="3246"/>
        <item x="4024"/>
        <item x="3869"/>
        <item x="4295"/>
        <item x="4371"/>
        <item x="4040"/>
        <item x="2316"/>
        <item x="3691"/>
        <item x="3484"/>
        <item x="2494"/>
        <item x="3870"/>
        <item x="1860"/>
        <item x="2317"/>
        <item x="3461"/>
        <item x="3470"/>
        <item x="3471"/>
        <item x="4318"/>
        <item x="4244"/>
        <item x="3901"/>
        <item x="2899"/>
        <item x="1354"/>
        <item x="1006"/>
        <item x="587"/>
        <item x="239"/>
        <item x="3054"/>
        <item x="4501"/>
        <item x="3400"/>
        <item x="4402"/>
        <item x="1642"/>
        <item x="761"/>
        <item x="3711"/>
        <item x="2284"/>
        <item x="1959"/>
        <item x="1606"/>
        <item x="1821"/>
        <item x="1162"/>
        <item x="565"/>
        <item x="865"/>
        <item x="1506"/>
        <item x="287"/>
        <item x="1191"/>
        <item x="795"/>
        <item x="156"/>
        <item x="4149"/>
        <item x="4360"/>
        <item x="2963"/>
        <item x="4361"/>
        <item x="1742"/>
        <item x="1593"/>
        <item x="1941"/>
        <item x="3282"/>
        <item x="3271"/>
        <item x="3295"/>
        <item x="3296"/>
        <item x="3692"/>
        <item x="3886"/>
        <item x="3967"/>
        <item x="4016"/>
        <item x="4048"/>
        <item x="1227"/>
        <item x="2323"/>
        <item x="2980"/>
        <item x="2231"/>
        <item x="2318"/>
        <item x="3017"/>
        <item x="3034"/>
        <item x="3283"/>
        <item x="1693"/>
        <item x="2538"/>
        <item x="506"/>
        <item x="1592"/>
        <item x="4232"/>
        <item x="4222"/>
        <item x="113"/>
        <item x="1315"/>
        <item x="1316"/>
        <item x="1456"/>
        <item x="1470"/>
        <item x="4177"/>
        <item x="4178"/>
        <item x="1226"/>
        <item x="1781"/>
        <item x="1365"/>
        <item x="557"/>
        <item x="3810"/>
        <item x="133"/>
        <item x="160"/>
        <item x="3774"/>
        <item x="3977"/>
        <item x="1998"/>
        <item x="1801"/>
        <item x="3284"/>
        <item x="192"/>
        <item x="420"/>
        <item x="1370"/>
        <item x="1079"/>
        <item x="611"/>
        <item x="382"/>
        <item x="3416"/>
        <item x="2928"/>
        <item x="2184"/>
        <item x="1755"/>
        <item x="494"/>
        <item x="3422"/>
        <item x="3428"/>
        <item x="4396"/>
        <item x="1011"/>
        <item x="1391"/>
        <item x="54"/>
        <item x="141"/>
        <item x="495"/>
        <item x="29"/>
        <item x="361"/>
        <item x="1004"/>
        <item x="26"/>
        <item x="2042"/>
        <item x="671"/>
        <item x="677"/>
        <item x="678"/>
        <item x="1694"/>
        <item x="216"/>
        <item x="217"/>
        <item x="1695"/>
        <item x="3007"/>
        <item x="1080"/>
        <item x="2189"/>
        <item x="2178"/>
        <item x="620"/>
        <item x="2499"/>
        <item x="1843"/>
        <item x="748"/>
        <item x="1973"/>
        <item x="3285"/>
        <item x="3286"/>
        <item x="3129"/>
        <item x="3172"/>
        <item x="2858"/>
        <item x="1976"/>
        <item x="1954"/>
        <item x="1081"/>
        <item x="1291"/>
        <item x="138"/>
        <item x="4008"/>
        <item x="3877"/>
        <item x="1262"/>
        <item x="972"/>
        <item x="4219"/>
        <item x="4188"/>
        <item x="1561"/>
        <item x="1274"/>
        <item x="55"/>
        <item x="3117"/>
        <item x="2672"/>
        <item x="3811"/>
        <item x="2255"/>
        <item x="2465"/>
        <item x="2845"/>
        <item x="2103"/>
        <item x="2139"/>
        <item x="3497"/>
        <item x="82"/>
        <item x="4331"/>
        <item x="43"/>
        <item x="142"/>
        <item x="1350"/>
        <item x="2564"/>
        <item x="448"/>
        <item x="3954"/>
        <item x="3893"/>
        <item x="4113"/>
        <item x="1818"/>
        <item x="3381"/>
        <item x="3653"/>
        <item x="3753"/>
        <item x="3861"/>
        <item x="4051"/>
        <item x="1696"/>
        <item x="4170"/>
        <item x="4278"/>
        <item x="4319"/>
        <item x="3236"/>
        <item x="3237"/>
        <item x="3241"/>
        <item x="1697"/>
        <item x="4467"/>
        <item x="4448"/>
        <item x="1092"/>
        <item x="845"/>
        <item x="2791"/>
        <item x="3191"/>
        <item x="2757"/>
        <item x="2046"/>
        <item x="197"/>
        <item x="1779"/>
        <item x="231"/>
        <item x="1411"/>
        <item x="2029"/>
        <item x="4196"/>
        <item x="362"/>
        <item x="2771"/>
        <item x="3018"/>
        <item x="4171"/>
        <item x="1919"/>
        <item x="3102"/>
        <item x="3103"/>
        <item x="4321"/>
        <item x="3135"/>
        <item x="74"/>
        <item x="3553"/>
        <item x="101"/>
        <item x="1394"/>
        <item x="2194"/>
        <item x="763"/>
        <item x="1743"/>
        <item x="1012"/>
        <item x="2050"/>
        <item x="2051"/>
        <item x="3367"/>
        <item x="2325"/>
        <item x="2478"/>
        <item x="2793"/>
        <item x="2995"/>
        <item x="3196"/>
        <item x="3197"/>
        <item x="3549"/>
        <item x="2641"/>
        <item x="3576"/>
        <item x="2656"/>
        <item x="3401"/>
        <item x="2639"/>
        <item x="2987"/>
        <item x="4531"/>
        <item x="4645"/>
        <item x="4697"/>
        <item x="4742"/>
        <item x="4791"/>
        <item x="5102"/>
        <item x="5103"/>
        <item x="5309"/>
        <item x="2170"/>
        <item x="2362"/>
        <item x="2524"/>
        <item x="2675"/>
        <item x="2828"/>
        <item x="3027"/>
        <item x="3219"/>
        <item x="3402"/>
        <item x="3587"/>
        <item x="3952"/>
        <item x="4179"/>
        <item x="4456"/>
        <item x="4308"/>
        <item x="3727"/>
        <item x="4062"/>
        <item x="3829"/>
        <item x="4516"/>
        <item x="4255"/>
        <item x="4388"/>
        <item x="3498"/>
        <item x="3173"/>
        <item x="2944"/>
        <item x="3403"/>
        <item x="2920"/>
        <item x="3118"/>
        <item x="3287"/>
        <item x="2232"/>
        <item x="2425"/>
        <item x="3524"/>
        <item x="2579"/>
        <item x="2730"/>
        <item x="3645"/>
        <item x="3889"/>
        <item x="3754"/>
        <item x="3770"/>
        <item x="3438"/>
        <item x="3548"/>
        <item x="2233"/>
        <item x="3343"/>
        <item x="2964"/>
        <item x="2809"/>
        <item x="4406"/>
        <item x="4493"/>
        <item x="2426"/>
        <item x="2415"/>
        <item x="3160"/>
        <item x="2445"/>
        <item x="3602"/>
        <item x="3238"/>
        <item x="3203"/>
        <item x="2914"/>
        <item x="2982"/>
        <item x="2619"/>
        <item x="2363"/>
        <item x="2562"/>
        <item x="2214"/>
        <item x="3368"/>
        <item x="2702"/>
        <item x="3565"/>
        <item x="2766"/>
        <item x="3256"/>
        <item x="2521"/>
        <item x="2479"/>
        <item x="2234"/>
        <item x="3610"/>
        <item x="2627"/>
        <item x="2547"/>
        <item x="2519"/>
        <item x="3019"/>
        <item x="2664"/>
        <item x="2199"/>
        <item x="3366"/>
        <item x="3167"/>
        <item x="2282"/>
        <item x="3122"/>
        <item x="2731"/>
        <item x="2945"/>
        <item x="2416"/>
        <item x="2584"/>
        <item x="2244"/>
        <item x="3288"/>
        <item x="2900"/>
        <item x="3540"/>
        <item x="2157"/>
        <item x="2331"/>
        <item x="2846"/>
        <item x="3330"/>
        <item x="3224"/>
        <item x="2764"/>
        <item x="2988"/>
        <item x="2455"/>
        <item x="2368"/>
        <item x="3410"/>
        <item x="2472"/>
        <item x="2797"/>
        <item x="2696"/>
        <item x="3434"/>
        <item x="3575"/>
        <item x="3064"/>
        <item x="3201"/>
        <item x="3771"/>
        <item x="4098"/>
        <item x="4298"/>
        <item x="4199"/>
        <item x="4025"/>
        <item x="3748"/>
        <item x="3791"/>
        <item x="4264"/>
        <item x="3968"/>
        <item x="4367"/>
        <item x="3871"/>
        <item x="4309"/>
        <item x="4272"/>
        <item x="4517"/>
        <item x="3710"/>
        <item x="4439"/>
        <item x="3910"/>
        <item x="4379"/>
        <item x="4338"/>
        <item x="3675"/>
        <item x="4226"/>
        <item x="3997"/>
        <item x="4116"/>
        <item x="4281"/>
        <item x="3654"/>
        <item x="3898"/>
        <item x="4235"/>
        <item x="4050"/>
        <item x="3830"/>
        <item x="4350"/>
        <item x="4212"/>
        <item x="4482"/>
        <item x="4520"/>
        <item x="4143"/>
        <item x="4473"/>
        <item x="4458"/>
        <item x="4172"/>
        <item x="4421"/>
        <item x="4409"/>
        <item x="3730"/>
        <item x="4500"/>
        <item x="4065"/>
        <item x="3466"/>
        <item x="3499"/>
        <item x="3509"/>
        <item x="3489"/>
        <item x="3546"/>
        <item x="3404"/>
        <item x="2510"/>
        <item x="3010"/>
        <item x="2665"/>
        <item x="2341"/>
        <item x="2810"/>
        <item x="3569"/>
        <item x="3202"/>
        <item x="4513"/>
        <item x="4306"/>
        <item x="4236"/>
        <item x="4378"/>
        <item x="3706"/>
        <item x="3941"/>
        <item x="3822"/>
        <item x="4441"/>
        <item x="4160"/>
        <item x="4056"/>
        <item x="3496"/>
        <item x="2657"/>
        <item x="2965"/>
        <item x="3406"/>
        <item x="2382"/>
        <item x="4052"/>
        <item x="4440"/>
        <item x="4362"/>
        <item x="3435"/>
        <item x="2511"/>
        <item x="2235"/>
        <item x="3081"/>
        <item x="2712"/>
        <item x="2213"/>
        <item x="2548"/>
        <item x="2798"/>
        <item x="2291"/>
        <item x="2597"/>
        <item x="2195"/>
        <item x="2887"/>
        <item x="2393"/>
        <item x="2512"/>
        <item x="2555"/>
        <item x="3254"/>
        <item x="3065"/>
        <item x="2379"/>
        <item x="3230"/>
        <item x="2655"/>
        <item x="2551"/>
        <item x="2888"/>
        <item x="2640"/>
        <item x="2957"/>
        <item x="2865"/>
        <item x="3119"/>
        <item x="2709"/>
        <item x="3617"/>
        <item x="2676"/>
        <item x="2901"/>
        <item x="3255"/>
        <item x="2373"/>
        <item x="2902"/>
        <item x="2206"/>
        <item x="2589"/>
        <item x="2324"/>
        <item x="2246"/>
        <item x="2556"/>
        <item x="2811"/>
        <item x="2394"/>
        <item x="2446"/>
        <item x="2594"/>
        <item x="3579"/>
        <item x="2200"/>
        <item x="3072"/>
        <item x="2346"/>
        <item x="3561"/>
        <item x="2847"/>
        <item x="3562"/>
        <item x="2427"/>
        <item x="2866"/>
        <item x="2598"/>
        <item x="2812"/>
        <item x="2599"/>
        <item x="2723"/>
        <item x="2535"/>
        <item x="2369"/>
        <item x="2236"/>
        <item x="2889"/>
        <item x="3152"/>
        <item x="2618"/>
        <item x="2792"/>
        <item x="2628"/>
        <item x="3436"/>
        <item x="3405"/>
        <item x="2805"/>
        <item x="3344"/>
        <item x="2693"/>
        <item x="2395"/>
        <item x="2580"/>
        <item x="3563"/>
        <item x="3564"/>
        <item x="2292"/>
        <item x="2666"/>
        <item x="2697"/>
        <item x="2994"/>
        <item x="3231"/>
        <item x="3429"/>
        <item x="2380"/>
        <item x="2698"/>
        <item x="2190"/>
        <item x="2867"/>
        <item x="3603"/>
        <item x="2543"/>
        <item x="3061"/>
        <item x="2402"/>
        <item x="4375"/>
        <item x="163"/>
        <item x="558"/>
        <item x="666"/>
        <item x="702"/>
        <item x="3618"/>
        <item x="2552"/>
        <item x="3298"/>
        <item x="3299"/>
        <item x="3322"/>
        <item x="3346"/>
        <item x="3120"/>
        <item x="2337"/>
        <item x="2868"/>
        <item x="2744"/>
        <item x="2869"/>
        <item x="2487"/>
        <item x="3073"/>
        <item x="2544"/>
        <item x="2430"/>
        <item x="2758"/>
        <item x="2677"/>
        <item x="2725"/>
        <item x="3211"/>
        <item x="3220"/>
        <item x="2384"/>
        <item x="2473"/>
        <item x="3306"/>
        <item x="3066"/>
        <item x="2658"/>
        <item x="2488"/>
        <item x="2207"/>
        <item x="2257"/>
        <item x="3611"/>
        <item x="2513"/>
        <item x="2371"/>
        <item x="2396"/>
        <item x="2417"/>
        <item x="2418"/>
        <item x="2468"/>
        <item x="2397"/>
        <item x="2283"/>
        <item x="2913"/>
        <item x="3331"/>
        <item x="2264"/>
        <item x="2447"/>
        <item x="2590"/>
        <item x="2745"/>
        <item x="2946"/>
        <item x="3137"/>
        <item x="3347"/>
        <item x="3538"/>
        <item x="3039"/>
        <item x="3396"/>
        <item x="3168"/>
        <item x="2813"/>
        <item x="2289"/>
        <item x="2403"/>
        <item x="4382"/>
        <item x="3878"/>
        <item x="4253"/>
        <item x="4126"/>
        <item x="3514"/>
        <item x="5232"/>
        <item x="3319"/>
        <item x="1496"/>
        <item x="4469"/>
        <item x="4449"/>
        <item x="5233"/>
        <item x="3657"/>
        <item x="3320"/>
        <item x="2171"/>
        <item x="2565"/>
        <item x="2732"/>
        <item x="2237"/>
        <item x="2921"/>
        <item x="3108"/>
        <item x="3289"/>
        <item x="3519"/>
        <item x="2428"/>
        <item x="4207"/>
        <item x="3998"/>
        <item x="3646"/>
        <item x="4107"/>
        <item x="3755"/>
        <item x="3881"/>
        <item x="3439"/>
        <item x="2688"/>
        <item x="2848"/>
        <item x="3040"/>
        <item x="2370"/>
        <item x="2179"/>
        <item x="2536"/>
        <item x="3136"/>
        <item x="3169"/>
        <item x="2437"/>
        <item x="297"/>
        <item x="315"/>
        <item x="365"/>
        <item x="366"/>
        <item x="424"/>
        <item x="428"/>
        <item x="445"/>
        <item x="937"/>
        <item x="501"/>
        <item x="502"/>
        <item x="513"/>
        <item x="540"/>
        <item x="575"/>
        <item x="590"/>
        <item x="602"/>
        <item x="622"/>
        <item x="634"/>
        <item x="643"/>
        <item x="651"/>
        <item x="660"/>
        <item x="692"/>
        <item x="704"/>
        <item x="720"/>
        <item x="732"/>
        <item x="752"/>
        <item x="758"/>
        <item x="769"/>
        <item x="781"/>
        <item x="788"/>
        <item x="808"/>
        <item x="830"/>
        <item x="860"/>
        <item x="897"/>
        <item x="922"/>
        <item x="1319"/>
        <item x="1817"/>
        <item x="7"/>
        <item x="129"/>
        <item x="199"/>
        <item x="5302"/>
        <item x="5303"/>
        <item x="2381"/>
        <item x="5304"/>
        <item x="5306"/>
        <item x="4471"/>
        <item x="918"/>
        <item x="5311"/>
        <item x="572"/>
        <item x="2019"/>
        <item x="1210"/>
        <item x="4274"/>
        <item x="5312"/>
        <item x="1013"/>
        <item x="4450"/>
        <item x="1343"/>
        <item x="878"/>
        <item x="552"/>
        <item x="496"/>
        <item x="2256"/>
        <item x="2765"/>
        <item x="1594"/>
        <item x="648"/>
        <item x="3570"/>
        <item x="3697"/>
        <item x="3792"/>
        <item x="3911"/>
        <item x="4026"/>
        <item x="995"/>
        <item x="3862"/>
        <item x="1525"/>
        <item x="30"/>
        <item x="3596"/>
        <item x="3462"/>
        <item x="2038"/>
        <item x="1699"/>
        <item x="1126"/>
        <item x="124"/>
        <item x="919"/>
        <item x="945"/>
        <item x="3760"/>
        <item x="1581"/>
        <item x="783"/>
        <item x="706"/>
        <item x="1293"/>
        <item x="582"/>
        <item x="4241"/>
        <item x="1698"/>
        <item x="817"/>
        <item x="2023"/>
        <item x="272"/>
        <item x="4654"/>
        <item x="4651"/>
        <item x="4650"/>
        <item x="1215"/>
        <item x="4644"/>
        <item x="4642"/>
        <item x="4638"/>
        <item x="4633"/>
        <item x="4625"/>
        <item x="4613"/>
        <item x="4609"/>
        <item x="4604"/>
        <item x="4602"/>
        <item x="4591"/>
        <item x="4587"/>
        <item x="4576"/>
        <item x="4573"/>
        <item x="5032"/>
        <item x="4553"/>
        <item x="4551"/>
        <item x="4550"/>
        <item x="4548"/>
        <item x="4546"/>
        <item x="4544"/>
        <item x="4543"/>
        <item x="4542"/>
        <item x="4539"/>
        <item x="4536"/>
        <item x="4533"/>
        <item x="1255"/>
        <item x="4529"/>
        <item x="4653"/>
        <item x="4648"/>
        <item x="4643"/>
        <item x="4641"/>
        <item x="4640"/>
        <item x="4639"/>
        <item x="4637"/>
        <item x="4636"/>
        <item x="4632"/>
        <item x="4627"/>
        <item x="4628"/>
        <item x="4622"/>
        <item x="4616"/>
        <item x="4611"/>
        <item x="4612"/>
        <item x="4610"/>
        <item x="4605"/>
        <item x="4603"/>
        <item x="4601"/>
        <item x="4596"/>
        <item x="4574"/>
        <item x="4575"/>
        <item x="4554"/>
        <item x="4552"/>
        <item x="4549"/>
        <item x="4547"/>
        <item x="4545"/>
        <item x="4541"/>
        <item x="4540"/>
        <item x="4538"/>
        <item x="4537"/>
        <item x="4535"/>
        <item x="4534"/>
        <item x="4532"/>
        <item x="4530"/>
        <item x="4523"/>
        <item x="4655"/>
        <item x="4652"/>
        <item x="4649"/>
        <item x="4624"/>
        <item x="4635"/>
        <item x="4646"/>
        <item x="4647"/>
        <item x="4585"/>
        <item x="4617"/>
        <item x="4634"/>
        <item x="4572"/>
        <item x="4631"/>
        <item x="4629"/>
        <item x="4581"/>
        <item x="4630"/>
        <item x="4626"/>
        <item x="4623"/>
        <item x="4621"/>
        <item x="4620"/>
        <item x="4584"/>
        <item x="4619"/>
        <item x="4618"/>
        <item x="4615"/>
        <item x="4614"/>
        <item x="5036"/>
        <item x="4608"/>
        <item x="4606"/>
        <item x="4607"/>
        <item x="4600"/>
        <item x="4599"/>
        <item x="4597"/>
        <item x="4598"/>
        <item x="4594"/>
        <item x="4595"/>
        <item x="4593"/>
        <item x="4592"/>
        <item x="4590"/>
        <item x="4589"/>
        <item x="4588"/>
        <item x="4586"/>
        <item x="4582"/>
        <item x="4583"/>
        <item x="4578"/>
        <item x="4580"/>
        <item x="4579"/>
        <item x="4577"/>
        <item x="4571"/>
        <item x="4570"/>
        <item x="4568"/>
        <item x="4569"/>
        <item x="4567"/>
        <item x="4564"/>
        <item x="4566"/>
        <item x="4562"/>
        <item x="4565"/>
        <item x="4563"/>
        <item x="4561"/>
        <item x="4559"/>
        <item x="4558"/>
        <item x="4560"/>
        <item x="4556"/>
        <item x="4555"/>
        <item x="4557"/>
        <item x="4525"/>
        <item x="4657"/>
        <item x="4656"/>
        <item x="4658"/>
        <item x="4660"/>
        <item x="4659"/>
        <item x="4661"/>
        <item x="4662"/>
        <item x="4664"/>
        <item x="5027"/>
        <item x="4665"/>
        <item x="4761"/>
        <item x="5008"/>
        <item x="4794"/>
        <item x="4667"/>
        <item x="4671"/>
        <item x="5182"/>
        <item x="4669"/>
        <item x="4676"/>
        <item x="5003"/>
        <item x="4757"/>
        <item x="4829"/>
        <item x="4730"/>
        <item x="4684"/>
        <item x="4685"/>
        <item x="4686"/>
        <item x="4687"/>
        <item x="4677"/>
        <item x="4856"/>
        <item x="4857"/>
        <item x="4814"/>
        <item x="4853"/>
        <item x="4668"/>
        <item x="4789"/>
        <item x="4843"/>
        <item x="4720"/>
        <item x="4871"/>
        <item x="4713"/>
        <item x="4714"/>
        <item x="4689"/>
        <item x="4678"/>
        <item x="4760"/>
        <item x="4735"/>
        <item x="4850"/>
        <item x="4746"/>
        <item x="4802"/>
        <item x="4679"/>
        <item x="5168"/>
        <item x="5135"/>
        <item x="4763"/>
        <item x="4731"/>
        <item x="4847"/>
        <item x="4809"/>
        <item x="4851"/>
        <item x="4785"/>
        <item x="4721"/>
        <item x="4803"/>
        <item x="4798"/>
        <item x="4736"/>
        <item x="4715"/>
        <item x="4768"/>
        <item x="4722"/>
        <item x="4790"/>
        <item x="4769"/>
        <item x="4810"/>
        <item x="4795"/>
        <item x="4799"/>
        <item x="4804"/>
        <item x="4844"/>
        <item x="4716"/>
        <item x="4732"/>
        <item x="4839"/>
        <item x="4848"/>
        <item x="4786"/>
        <item x="4805"/>
        <item x="4806"/>
        <item x="4703"/>
        <item x="4682"/>
        <item x="4723"/>
        <item x="4864"/>
        <item x="4693"/>
        <item x="4762"/>
        <item x="4981"/>
        <item x="4862"/>
        <item x="4800"/>
        <item x="4748"/>
        <item x="4673"/>
        <item x="4928"/>
        <item x="4825"/>
        <item x="4756"/>
        <item x="4695"/>
        <item x="4782"/>
        <item x="4783"/>
        <item x="4875"/>
        <item x="1118"/>
        <item x="1298"/>
        <item x="4863"/>
        <item x="4704"/>
        <item x="4818"/>
        <item x="4811"/>
        <item x="4876"/>
        <item x="4854"/>
        <item x="4858"/>
        <item x="4787"/>
        <item x="4755"/>
        <item x="4764"/>
        <item x="5005"/>
        <item x="4706"/>
        <item x="4770"/>
        <item x="4775"/>
        <item x="4824"/>
        <item x="4772"/>
        <item x="4724"/>
        <item x="5016"/>
        <item x="4840"/>
        <item x="4680"/>
        <item x="4696"/>
        <item x="4779"/>
        <item x="5153"/>
        <item x="4842"/>
        <item x="4725"/>
        <item x="4710"/>
        <item x="4819"/>
        <item x="4733"/>
        <item x="4737"/>
        <item x="4674"/>
        <item x="4826"/>
        <item x="4726"/>
        <item x="4683"/>
        <item x="4688"/>
        <item x="4865"/>
        <item x="4708"/>
        <item x="4812"/>
        <item x="4681"/>
        <item x="4675"/>
        <item x="4758"/>
        <item x="4784"/>
        <item x="4801"/>
        <item x="4815"/>
        <item x="4841"/>
        <item x="4807"/>
        <item x="4734"/>
        <item x="5021"/>
        <item x="4792"/>
        <item x="4738"/>
        <item x="4739"/>
        <item x="4711"/>
        <item x="4694"/>
        <item x="4741"/>
        <item x="4870"/>
        <item x="4855"/>
        <item x="4777"/>
        <item x="4766"/>
        <item x="4820"/>
        <item x="4822"/>
        <item x="4823"/>
        <item x="4788"/>
        <item x="5154"/>
        <item x="4753"/>
        <item x="4727"/>
        <item x="4830"/>
        <item x="5185"/>
        <item x="4845"/>
        <item x="4838"/>
        <item x="4712"/>
        <item x="4813"/>
        <item x="4816"/>
        <item x="4750"/>
        <item x="4808"/>
        <item x="4836"/>
        <item x="4740"/>
        <item x="4707"/>
        <item x="4728"/>
        <item x="4821"/>
        <item x="4793"/>
        <item x="4729"/>
        <item x="5022"/>
        <item x="4873"/>
        <item x="4666"/>
        <item x="4744"/>
        <item x="5199"/>
        <item x="4709"/>
        <item x="4781"/>
        <item x="4867"/>
        <item x="4718"/>
        <item x="4797"/>
        <item x="4852"/>
        <item x="4700"/>
        <item x="4699"/>
        <item x="4759"/>
        <item x="4869"/>
        <item x="4828"/>
        <item x="4861"/>
        <item x="4691"/>
        <item x="4780"/>
        <item x="4745"/>
        <item x="4767"/>
        <item x="4877"/>
        <item x="5212"/>
        <item x="5213"/>
        <item x="4891"/>
        <item x="4901"/>
        <item x="4898"/>
        <item x="4905"/>
        <item x="4903"/>
        <item x="4924"/>
        <item x="5228"/>
        <item x="5229"/>
        <item x="4754"/>
        <item x="4837"/>
        <item x="4849"/>
        <item x="4408"/>
        <item x="4899"/>
        <item x="4900"/>
        <item x="4878"/>
        <item x="4910"/>
        <item x="4911"/>
        <item x="4912"/>
        <item x="4879"/>
        <item x="4872"/>
        <item x="4926"/>
        <item x="4927"/>
        <item x="4888"/>
        <item x="4904"/>
        <item x="4922"/>
        <item x="4906"/>
        <item x="4907"/>
        <item x="4913"/>
        <item x="4914"/>
        <item x="4880"/>
        <item x="4889"/>
        <item x="4915"/>
        <item x="4916"/>
        <item x="4923"/>
        <item x="4929"/>
        <item x="4881"/>
        <item x="4908"/>
        <item x="4882"/>
        <item x="4930"/>
        <item x="4868"/>
        <item x="4890"/>
        <item x="4909"/>
        <item x="4883"/>
        <item x="4884"/>
        <item x="4917"/>
        <item x="4931"/>
        <item x="4885"/>
        <item x="4846"/>
        <item x="4918"/>
        <item x="4919"/>
        <item x="4932"/>
        <item x="4933"/>
        <item x="4934"/>
        <item x="4866"/>
        <item x="4935"/>
        <item x="4985"/>
        <item x="4420"/>
        <item x="4521"/>
        <item x="4980"/>
        <item x="4796"/>
        <item x="5174"/>
        <item x="4776"/>
        <item x="5033"/>
        <item x="5142"/>
        <item x="4978"/>
        <item x="4979"/>
        <item x="4975"/>
        <item x="4976"/>
        <item x="4977"/>
        <item x="4972"/>
        <item x="4973"/>
        <item x="4960"/>
        <item x="4974"/>
        <item x="4969"/>
        <item x="4967"/>
        <item x="4958"/>
        <item x="4959"/>
        <item x="4962"/>
        <item x="4943"/>
        <item x="4944"/>
        <item x="4949"/>
        <item x="4984"/>
        <item x="4982"/>
        <item x="4970"/>
        <item x="4971"/>
        <item x="4964"/>
        <item x="4966"/>
        <item x="4965"/>
        <item x="4963"/>
        <item x="4956"/>
        <item x="4948"/>
        <item x="4945"/>
        <item x="4955"/>
        <item x="4954"/>
        <item x="4950"/>
        <item x="4946"/>
        <item x="4952"/>
        <item x="4947"/>
        <item x="4953"/>
        <item x="4957"/>
        <item x="5035"/>
        <item x="4951"/>
        <item x="4942"/>
        <item x="4874"/>
        <item x="5023"/>
        <item x="4936"/>
        <item x="4892"/>
        <item x="4937"/>
        <item x="4886"/>
        <item x="4902"/>
        <item x="4938"/>
        <item x="4887"/>
        <item x="4939"/>
        <item x="4940"/>
        <item x="5053"/>
        <item x="4893"/>
        <item x="4894"/>
        <item x="4895"/>
        <item x="4896"/>
        <item x="4920"/>
        <item x="4897"/>
        <item x="4925"/>
        <item x="4941"/>
        <item x="4921"/>
        <item x="2734"/>
        <item x="2923"/>
        <item x="3000"/>
        <item x="4414"/>
        <item x="4416"/>
        <item x="4419"/>
        <item x="4425"/>
        <item x="4428"/>
        <item x="4445"/>
        <item x="4454"/>
        <item x="4455"/>
        <item x="4463"/>
        <item x="4464"/>
        <item x="4465"/>
        <item x="4663"/>
        <item x="4670"/>
        <item x="4672"/>
        <item x="4690"/>
        <item x="4692"/>
        <item x="4698"/>
        <item x="4701"/>
        <item x="4702"/>
        <item x="4705"/>
        <item x="4717"/>
        <item x="4719"/>
        <item x="4743"/>
        <item x="4747"/>
        <item x="4749"/>
        <item x="4751"/>
        <item x="4752"/>
        <item x="4765"/>
        <item x="4773"/>
        <item x="4774"/>
        <item x="4778"/>
        <item x="4817"/>
        <item x="4831"/>
        <item x="4832"/>
        <item x="4833"/>
        <item x="4834"/>
        <item x="4835"/>
        <item x="4961"/>
        <item x="4968"/>
        <item x="4983"/>
        <item x="4986"/>
        <item x="4987"/>
        <item x="4988"/>
        <item x="4989"/>
        <item x="4990"/>
        <item x="4991"/>
        <item x="4992"/>
        <item x="4993"/>
        <item x="4994"/>
        <item x="4995"/>
        <item x="4996"/>
        <item x="4997"/>
        <item x="4998"/>
        <item x="4999"/>
        <item x="5000"/>
        <item x="5001"/>
        <item x="5002"/>
        <item x="5004"/>
        <item x="5006"/>
        <item x="5007"/>
        <item x="5009"/>
        <item x="5010"/>
        <item x="5011"/>
        <item x="5012"/>
        <item x="5013"/>
        <item x="5014"/>
        <item x="5015"/>
        <item x="5017"/>
        <item x="5018"/>
        <item x="5019"/>
        <item x="5020"/>
        <item x="5024"/>
        <item x="5025"/>
        <item x="5026"/>
        <item x="5028"/>
        <item x="5029"/>
        <item x="5030"/>
        <item x="5031"/>
        <item x="5034"/>
        <item x="5037"/>
        <item x="5038"/>
        <item x="5039"/>
        <item x="5040"/>
        <item x="5041"/>
        <item x="5042"/>
        <item x="5043"/>
        <item x="5044"/>
        <item x="5045"/>
        <item x="5046"/>
        <item x="5047"/>
        <item x="5048"/>
        <item x="5049"/>
        <item x="5050"/>
        <item x="5051"/>
        <item x="5052"/>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6"/>
        <item x="5137"/>
        <item x="5138"/>
        <item x="5139"/>
        <item x="5140"/>
        <item x="5141"/>
        <item x="5143"/>
        <item x="5144"/>
        <item x="5145"/>
        <item x="5146"/>
        <item x="5147"/>
        <item x="5148"/>
        <item x="5149"/>
        <item x="5150"/>
        <item x="5151"/>
        <item x="5152"/>
        <item x="5155"/>
        <item x="5156"/>
        <item x="5157"/>
        <item x="5158"/>
        <item x="5159"/>
        <item x="5160"/>
        <item x="5161"/>
        <item x="5162"/>
        <item x="5163"/>
        <item x="5164"/>
        <item x="5165"/>
        <item x="5166"/>
        <item x="5167"/>
        <item x="5169"/>
        <item x="5170"/>
        <item x="5171"/>
        <item x="5172"/>
        <item x="5173"/>
        <item x="5175"/>
        <item x="5176"/>
        <item x="5177"/>
        <item x="5178"/>
        <item x="5179"/>
        <item x="5180"/>
        <item x="5181"/>
        <item x="5183"/>
        <item x="5184"/>
        <item x="5186"/>
        <item x="5187"/>
        <item x="5188"/>
        <item x="5189"/>
        <item x="5190"/>
        <item x="5191"/>
        <item x="5192"/>
        <item x="5193"/>
        <item x="5194"/>
        <item x="5195"/>
        <item x="5196"/>
        <item x="5197"/>
        <item x="5198"/>
        <item x="5200"/>
        <item x="5201"/>
        <item x="5202"/>
        <item x="5203"/>
        <item x="5204"/>
        <item x="5205"/>
        <item x="5206"/>
        <item x="5207"/>
        <item x="5208"/>
        <item x="5209"/>
        <item x="5210"/>
        <item x="5211"/>
        <item x="5214"/>
        <item x="5215"/>
        <item x="5216"/>
        <item x="5217"/>
        <item x="5218"/>
        <item x="5219"/>
        <item x="5220"/>
        <item x="5221"/>
        <item x="5222"/>
        <item x="5223"/>
        <item x="5224"/>
        <item x="5225"/>
        <item x="5226"/>
        <item x="5227"/>
        <item x="5230"/>
        <item x="5231"/>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5"/>
        <item x="5307"/>
        <item x="5308"/>
        <item x="5310"/>
        <item x="5313"/>
        <item x="5314"/>
        <item x="5315"/>
        <item x="5316"/>
        <item x="5317"/>
        <item x="5318"/>
        <item x="5319"/>
        <item x="5320"/>
        <item x="5321"/>
        <item x="5322"/>
        <item x="5323"/>
        <item x="5324"/>
        <item x="5325"/>
        <item x="5326"/>
        <item x="5327"/>
        <item x="5328"/>
        <item x="5329"/>
        <item x="5336"/>
        <item x="5744"/>
        <item x="5338"/>
        <item x="5743"/>
        <item x="5742"/>
        <item x="5741"/>
        <item x="5739"/>
        <item x="5731"/>
        <item x="5605"/>
        <item x="5732"/>
        <item x="5572"/>
        <item x="5569"/>
        <item x="5522"/>
        <item x="5527"/>
        <item x="5506"/>
        <item x="5331"/>
        <item x="5492"/>
        <item x="5360"/>
        <item x="5486"/>
        <item x="5464"/>
        <item x="5455"/>
        <item x="5456"/>
        <item x="5734"/>
        <item x="5333"/>
        <item x="5746"/>
        <item x="5737"/>
        <item x="5452"/>
        <item x="5424"/>
        <item x="5421"/>
        <item x="5423"/>
        <item x="5396"/>
        <item x="5420"/>
        <item x="5332"/>
        <item x="5391"/>
        <item x="5740"/>
        <item x="5380"/>
        <item x="5745"/>
        <item x="5379"/>
        <item x="5377"/>
        <item x="5733"/>
        <item x="5376"/>
        <item x="5375"/>
        <item x="5334"/>
        <item x="5373"/>
        <item x="5374"/>
        <item x="5358"/>
        <item x="5372"/>
        <item x="5370"/>
        <item x="5371"/>
        <item x="5369"/>
        <item x="5368"/>
        <item x="5735"/>
        <item x="5367"/>
        <item x="5366"/>
        <item x="5337"/>
        <item x="5330"/>
        <item x="5363"/>
        <item x="5364"/>
        <item x="5365"/>
        <item x="5355"/>
        <item x="5352"/>
        <item x="5350"/>
        <item x="5347"/>
        <item x="5348"/>
        <item x="5349"/>
        <item x="5345"/>
        <item x="5342"/>
        <item x="5481"/>
        <item x="5592"/>
        <item x="5637"/>
        <item x="5457"/>
        <item x="5643"/>
        <item x="5662"/>
        <item x="5711"/>
        <item x="5490"/>
        <item x="5648"/>
        <item x="5543"/>
        <item x="5738"/>
        <item x="5519"/>
        <item x="5638"/>
        <item x="5728"/>
        <item x="5707"/>
        <item x="5675"/>
        <item x="5564"/>
        <item x="5503"/>
        <item x="5736"/>
        <item x="5385"/>
        <item x="5451"/>
        <item x="5513"/>
        <item x="5410"/>
        <item x="5661"/>
        <item x="5566"/>
        <item x="5722"/>
        <item x="5559"/>
        <item x="5459"/>
        <item x="5706"/>
        <item x="5535"/>
        <item x="5718"/>
        <item x="5674"/>
        <item x="5576"/>
        <item x="5681"/>
        <item x="5645"/>
        <item x="5484"/>
        <item x="5672"/>
        <item x="5523"/>
        <item x="5435"/>
        <item x="5444"/>
        <item x="5508"/>
        <item x="5599"/>
        <item x="5488"/>
        <item x="5685"/>
        <item x="5461"/>
        <item x="5437"/>
        <item x="5660"/>
        <item x="5727"/>
        <item x="5621"/>
        <item x="5663"/>
        <item x="5552"/>
        <item x="5704"/>
        <item x="5537"/>
        <item x="5626"/>
        <item x="5608"/>
        <item x="5425"/>
        <item x="5557"/>
        <item x="5354"/>
        <item x="5515"/>
        <item x="5547"/>
        <item x="5630"/>
        <item x="5389"/>
        <item x="5617"/>
        <item x="5409"/>
        <item x="5495"/>
        <item x="5512"/>
        <item x="5659"/>
        <item x="5726"/>
        <item x="5688"/>
        <item x="5514"/>
        <item x="5703"/>
        <item x="5562"/>
        <item x="5530"/>
        <item x="5658"/>
        <item x="5725"/>
        <item x="5394"/>
        <item x="5565"/>
        <item x="5671"/>
        <item x="5499"/>
        <item x="5356"/>
        <item x="5601"/>
        <item x="5668"/>
        <item x="5467"/>
        <item x="5498"/>
        <item x="5574"/>
        <item x="5406"/>
        <item x="5550"/>
        <item x="5651"/>
        <item x="5384"/>
        <item x="5447"/>
        <item x="5639"/>
        <item x="5549"/>
        <item x="5416"/>
        <item x="5339"/>
        <item x="5697"/>
        <item x="5405"/>
        <item x="5335"/>
        <item x="5439"/>
        <item x="5553"/>
        <item x="5489"/>
        <item x="5616"/>
        <item x="5469"/>
        <item x="5712"/>
        <item x="5588"/>
        <item x="5730"/>
        <item x="5386"/>
        <item x="5541"/>
        <item x="5577"/>
        <item x="5691"/>
        <item x="5427"/>
        <item x="5556"/>
        <item x="5388"/>
        <item x="5579"/>
        <item x="5445"/>
        <item x="5615"/>
        <item x="5667"/>
        <item x="5509"/>
        <item x="5520"/>
        <item x="5446"/>
        <item x="5474"/>
        <item x="5534"/>
        <item x="5521"/>
        <item x="5404"/>
        <item x="5585"/>
        <item x="5438"/>
        <item x="5561"/>
        <item x="5687"/>
        <item x="5573"/>
        <item x="5395"/>
        <item x="5412"/>
        <item x="5548"/>
        <item x="5680"/>
        <item x="5632"/>
        <item x="5362"/>
        <item x="5500"/>
        <item x="5649"/>
        <item x="5563"/>
        <item x="5690"/>
        <item x="5533"/>
        <item x="5407"/>
        <item x="5532"/>
        <item x="5600"/>
        <item x="5682"/>
        <item x="5441"/>
        <item x="5554"/>
        <item x="5655"/>
        <item x="5417"/>
        <item x="5422"/>
        <item x="5613"/>
        <item x="5684"/>
        <item x="5689"/>
        <item x="5578"/>
        <item x="5666"/>
        <item x="5551"/>
        <item x="5387"/>
        <item x="5568"/>
        <item x="5609"/>
        <item x="5382"/>
        <item x="5531"/>
        <item x="5431"/>
        <item x="5653"/>
        <item x="5545"/>
        <item x="5476"/>
        <item x="5390"/>
        <item x="5408"/>
        <item x="5698"/>
        <item x="5570"/>
        <item x="5594"/>
        <item x="5721"/>
        <item x="5596"/>
        <item x="5696"/>
        <item x="5398"/>
        <item x="5470"/>
        <item x="5670"/>
        <item x="5413"/>
        <item x="5516"/>
        <item x="5598"/>
        <item x="5399"/>
        <item x="5480"/>
        <item x="5524"/>
        <item x="5589"/>
        <item x="5652"/>
        <item x="5723"/>
        <item x="5525"/>
        <item x="5529"/>
        <item x="5462"/>
        <item x="5359"/>
        <item x="5479"/>
        <item x="5647"/>
        <item x="5542"/>
        <item x="5701"/>
        <item x="5602"/>
        <item x="5719"/>
        <item x="5624"/>
        <item x="5581"/>
        <item x="5575"/>
        <item x="5614"/>
        <item x="5695"/>
        <item x="5528"/>
        <item x="5623"/>
        <item x="5544"/>
        <item x="5539"/>
        <item x="5496"/>
        <item x="5465"/>
        <item x="5378"/>
        <item x="5650"/>
        <item x="5669"/>
        <item x="5580"/>
        <item x="5612"/>
        <item x="5654"/>
        <item x="5560"/>
        <item x="5640"/>
        <item x="5665"/>
        <item x="5595"/>
        <item x="5699"/>
        <item x="5717"/>
        <item x="5611"/>
        <item x="5582"/>
        <item x="5710"/>
        <item x="5501"/>
        <item x="5442"/>
        <item x="5571"/>
        <item x="5383"/>
        <item x="5558"/>
        <item x="5694"/>
        <item x="5443"/>
        <item x="5357"/>
        <item x="5656"/>
        <item x="5381"/>
        <item x="5504"/>
        <item x="5729"/>
        <item x="5505"/>
        <item x="5400"/>
        <item x="5426"/>
        <item x="5603"/>
        <item x="5440"/>
        <item x="5511"/>
        <item x="5415"/>
        <item x="5453"/>
        <item x="5709"/>
        <item x="5402"/>
        <item x="5642"/>
        <item x="5401"/>
        <item x="5708"/>
        <item x="5485"/>
        <item x="5583"/>
        <item x="5429"/>
        <item x="5693"/>
        <item x="5340"/>
        <item x="5713"/>
        <item x="5341"/>
        <item x="5644"/>
        <item x="5434"/>
        <item x="5483"/>
        <item x="5597"/>
        <item x="5610"/>
        <item x="5450"/>
        <item x="5676"/>
        <item x="5677"/>
        <item x="5510"/>
        <item x="5631"/>
        <item x="5493"/>
        <item x="5692"/>
        <item x="5487"/>
        <item x="5625"/>
        <item x="5664"/>
        <item x="5449"/>
        <item x="5705"/>
        <item x="5414"/>
        <item x="5620"/>
        <item x="5430"/>
        <item x="5686"/>
        <item x="5393"/>
        <item x="5477"/>
        <item x="5590"/>
        <item x="5546"/>
        <item x="5618"/>
        <item x="5633"/>
        <item x="5715"/>
        <item x="5463"/>
        <item x="5716"/>
        <item x="5392"/>
        <item x="5635"/>
        <item x="5397"/>
        <item x="5628"/>
        <item x="5584"/>
        <item x="5607"/>
        <item x="5636"/>
        <item x="5538"/>
        <item x="5403"/>
        <item x="5346"/>
        <item x="5351"/>
        <item x="5567"/>
        <item x="5411"/>
        <item x="5478"/>
        <item x="5428"/>
        <item x="5344"/>
        <item x="5683"/>
        <item x="5629"/>
        <item x="5700"/>
        <item x="5606"/>
        <item x="5591"/>
        <item x="5418"/>
        <item x="5604"/>
        <item x="5361"/>
        <item x="5555"/>
        <item x="5343"/>
        <item x="5491"/>
        <item x="5494"/>
        <item x="5657"/>
        <item x="5622"/>
        <item x="5454"/>
        <item x="5482"/>
        <item x="5471"/>
        <item x="5353"/>
        <item x="5518"/>
        <item x="5460"/>
        <item x="5433"/>
        <item x="5724"/>
        <item x="5536"/>
        <item x="5419"/>
        <item x="5619"/>
        <item x="5466"/>
        <item x="5714"/>
        <item x="5432"/>
        <item x="5593"/>
        <item x="5627"/>
        <item x="5673"/>
        <item x="5472"/>
        <item x="5587"/>
        <item x="5473"/>
        <item x="5436"/>
        <item x="5526"/>
        <item x="5497"/>
        <item x="5702"/>
        <item x="5507"/>
        <item x="5720"/>
        <item x="5678"/>
        <item x="5475"/>
        <item x="5586"/>
        <item x="5641"/>
        <item x="5448"/>
        <item x="5540"/>
        <item x="5634"/>
        <item x="5646"/>
        <item x="5468"/>
        <item x="5517"/>
        <item x="5502"/>
        <item x="5458"/>
        <item x="5679"/>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t="default"/>
      </items>
    </pivotField>
    <pivotField dataField="1" compact="0" outline="0" showAll="0"/>
    <pivotField axis="axisPage" compact="0" outline="0" multipleItemSelectionAllowed="1" showAll="0">
      <items count="62">
        <item h="1" x="7"/>
        <item h="1" x="18"/>
        <item h="1" x="0"/>
        <item h="1" x="34"/>
        <item h="1" x="22"/>
        <item h="1" x="56"/>
        <item h="1" x="9"/>
        <item h="1" x="4"/>
        <item h="1" x="3"/>
        <item h="1" x="23"/>
        <item h="1" x="20"/>
        <item h="1" x="10"/>
        <item h="1" x="29"/>
        <item h="1" x="5"/>
        <item h="1" x="27"/>
        <item h="1" x="25"/>
        <item h="1" x="30"/>
        <item h="1" x="19"/>
        <item h="1" x="14"/>
        <item h="1" x="15"/>
        <item h="1" x="13"/>
        <item h="1" x="16"/>
        <item h="1" x="57"/>
        <item h="1" x="28"/>
        <item h="1" x="6"/>
        <item h="1" x="1"/>
        <item h="1" x="17"/>
        <item h="1" x="21"/>
        <item h="1" x="8"/>
        <item h="1" x="12"/>
        <item h="1" x="2"/>
        <item h="1" x="24"/>
        <item h="1" x="11"/>
        <item h="1" x="26"/>
        <item m="1" x="59"/>
        <item m="1" x="58"/>
        <item m="1" x="60"/>
        <item h="1" x="33"/>
        <item h="1" x="35"/>
        <item h="1" x="36"/>
        <item h="1" x="32"/>
        <item h="1" x="37"/>
        <item h="1" x="38"/>
        <item h="1" x="39"/>
        <item h="1" x="40"/>
        <item h="1" x="41"/>
        <item h="1" x="42"/>
        <item h="1" x="43"/>
        <item h="1" x="44"/>
        <item h="1" x="45"/>
        <item h="1" x="46"/>
        <item h="1" x="53"/>
        <item h="1" x="47"/>
        <item h="1" x="48"/>
        <item h="1" x="49"/>
        <item h="1" x="50"/>
        <item h="1" x="51"/>
        <item h="1" x="52"/>
        <item h="1" x="54"/>
        <item x="31"/>
        <item h="1" x="5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
    <i t="grand">
      <x/>
    </i>
  </rowItems>
  <colFields count="1">
    <field x="0"/>
  </colFields>
  <pageFields count="1">
    <pageField fld="5" hier="-1"/>
  </pageFields>
  <dataFields count="1">
    <dataField name="Sum of Amount"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10</v>
    <v>2</v>
  </rv>
  <rv s="1">
    <v>10</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rmo" xr10:uid="{02547E7B-0E2E-42FE-A624-1D34F36478EB}" sourceName="Yrmo">
  <pivotTables>
    <pivotTable tabId="8" name="PivotTable6"/>
  </pivotTables>
  <data>
    <tabular pivotCacheId="247088511">
      <items count="77">
        <i x="0"/>
        <i x="1"/>
        <i x="2"/>
        <i x="9"/>
        <i x="11"/>
        <i x="13"/>
        <i x="8"/>
        <i x="6"/>
        <i x="12"/>
        <i x="5"/>
        <i x="15"/>
        <i x="7"/>
        <i x="4"/>
        <i x="10"/>
        <i x="14"/>
        <i x="21"/>
        <i x="18"/>
        <i x="20"/>
        <i x="3"/>
        <i x="19"/>
        <i x="17"/>
        <i x="16"/>
        <i x="28"/>
        <i x="29"/>
        <i x="30"/>
        <i x="31"/>
        <i x="32"/>
        <i x="33"/>
        <i x="34"/>
        <i x="35"/>
        <i x="36"/>
        <i x="37"/>
        <i x="38"/>
        <i x="39"/>
        <i x="40"/>
        <i x="41"/>
        <i x="42"/>
        <i x="43"/>
        <i x="45"/>
        <i x="24"/>
        <i x="48"/>
        <i x="22"/>
        <i x="51"/>
        <i x="52"/>
        <i x="53"/>
        <i x="54"/>
        <i x="55"/>
        <i x="46"/>
        <i x="56"/>
        <i x="57"/>
        <i x="47"/>
        <i x="58"/>
        <i x="59"/>
        <i x="60"/>
        <i x="44"/>
        <i x="61"/>
        <i x="26"/>
        <i x="64"/>
        <i x="25"/>
        <i x="23"/>
        <i x="27"/>
        <i x="62"/>
        <i x="65"/>
        <i x="49"/>
        <i x="63"/>
        <i x="50"/>
        <i x="66" s="1"/>
        <i x="70" s="1"/>
        <i x="68" s="1"/>
        <i x="67" s="1"/>
        <i x="69" s="1"/>
        <i x="74"/>
        <i x="73"/>
        <i x="76"/>
        <i x="72"/>
        <i x="71"/>
        <i x="7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rmo" xr10:uid="{D4153677-283B-42AF-86DA-36E813F3D8E1}" cache="Slicer_Yrmo" caption="Yrmo" startItem="59"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BBF026-4688-4153-ADF2-3ACE48D470DD}" name="Table2" displayName="Table2" ref="A1:Q15027" totalsRowShown="0" headerRowDxfId="6">
  <autoFilter ref="A1:Q15027" xr:uid="{00000000-0001-0000-0000-000000000000}">
    <filterColumn colId="0">
      <filters>
        <filter val="202511"/>
        <filter val="202512"/>
      </filters>
    </filterColumn>
    <filterColumn colId="5">
      <filters>
        <filter val="#N/A"/>
      </filters>
    </filterColumn>
  </autoFilter>
  <sortState xmlns:xlrd2="http://schemas.microsoft.com/office/spreadsheetml/2017/richdata2" ref="A2:Q14694">
    <sortCondition descending="1" ref="E1:E14694"/>
  </sortState>
  <tableColumns count="17">
    <tableColumn id="1" xr3:uid="{B001FA78-9A72-49AB-A176-8E61ADF3B041}" name="Yrmo"/>
    <tableColumn id="2" xr3:uid="{4987F558-BAA2-4603-B691-84308F4D967D}" name="Date" dataDxfId="5"/>
    <tableColumn id="3" xr3:uid="{63F70883-AAC1-4207-BBED-AB727D7BA661}" name="Source"/>
    <tableColumn id="4" xr3:uid="{329B62C5-462F-482B-BE3D-D7171872E74A}" name="Description"/>
    <tableColumn id="5" xr3:uid="{52F1ECF4-F706-49CB-A9DD-00315AFC4C5C}" name="Amount">
      <calculatedColumnFormula>125*2</calculatedColumnFormula>
    </tableColumn>
    <tableColumn id="6" xr3:uid="{7891331A-E7A7-467A-A819-639258DE9531}" name="Category"/>
    <tableColumn id="7" xr3:uid="{8E7319A7-9D62-46DF-9743-45AF67220B26}" name="Suggested Cat Value"/>
    <tableColumn id="8" xr3:uid="{A58160F7-DC27-4649-A225-C303CAE141AC}" name="Manual Cat Value" dataDxfId="4"/>
    <tableColumn id="15" xr3:uid="{7CB4C29F-00D7-4073-8BFE-4B7EBBCBA281}" name="Notes" dataDxfId="3"/>
    <tableColumn id="9" xr3:uid="{EA130DB4-C700-45D6-864B-84CB359CFB3B}" name="Amount2"/>
    <tableColumn id="10" xr3:uid="{A81327B3-1E32-4CF3-AFB2-69BA2F34290E}" name="ActiveRule"/>
    <tableColumn id="11" xr3:uid="{234BB14C-FA8C-429C-A0E1-43930D16BE25}" name="Desc"/>
    <tableColumn id="12" xr3:uid="{0B17993B-898F-47B5-9281-D33A64FA7934}" name="LongDesc"/>
    <tableColumn id="13" xr3:uid="{F7923B88-8345-4800-8E1C-DF967725EC18}" name="InflowOutflow"/>
    <tableColumn id="16" xr3:uid="{DF62E911-62F5-4F81-957F-DF6D4590144C}" name="Short Desc" dataDxfId="2">
      <calculatedColumnFormula>LEFT(Table2[[#This Row],[Description]],75)</calculatedColumnFormula>
    </tableColumn>
    <tableColumn id="14" xr3:uid="{648F1EE4-FECA-41E1-8DE0-826C89A94CC1}" name="RuleUsed"/>
    <tableColumn id="17" xr3:uid="{E5E5C05A-6174-473A-87D1-92B0A4AECC25}" name="Tag"/>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3" Type="http://schemas.openxmlformats.org/officeDocument/2006/relationships/hyperlink" Target="https://www.ssa.gov/myaccount/" TargetMode="External"/><Relationship Id="rId2" Type="http://schemas.openxmlformats.org/officeDocument/2006/relationships/hyperlink" Target="http://www.ssa.gov/planners/lifeexpectancy.html" TargetMode="External"/><Relationship Id="rId1" Type="http://schemas.openxmlformats.org/officeDocument/2006/relationships/hyperlink" Target="https://www.ssa.gov/cgi-bin/benefit6.cgi"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12ft.io/proxy?ref=&amp;q=https://seekingalpha.com/symbol/KYN" TargetMode="External"/><Relationship Id="rId13" Type="http://schemas.openxmlformats.org/officeDocument/2006/relationships/hyperlink" Target="https://www.ssa.gov/cgi-bin/benefit6.cgi" TargetMode="External"/><Relationship Id="rId3" Type="http://schemas.openxmlformats.org/officeDocument/2006/relationships/hyperlink" Target="https://seekingalpha.com/symbol/VFINX?source=content_type%3Areact%7Csection%3Amain_content%7Cbutton%3Abody_link" TargetMode="External"/><Relationship Id="rId7" Type="http://schemas.openxmlformats.org/officeDocument/2006/relationships/hyperlink" Target="https://12ft.io/proxy?ref=&amp;q=https://seekingalpha.com/symbol/FFC" TargetMode="External"/><Relationship Id="rId12" Type="http://schemas.openxmlformats.org/officeDocument/2006/relationships/hyperlink" Target="https://12ft.io/proxy?ref=&amp;q=https://seekingalpha.com/symbol/SHY" TargetMode="External"/><Relationship Id="rId2" Type="http://schemas.openxmlformats.org/officeDocument/2006/relationships/hyperlink" Target="https://www.wsj.com/articles/how-much-can-you-spend-in-retirement-questions-to-answer-11662487918?mod=Searchresults_pos4&amp;page=1" TargetMode="External"/><Relationship Id="rId1" Type="http://schemas.openxmlformats.org/officeDocument/2006/relationships/hyperlink" Target="https://www.schwab.com/retirement-planning-tools/retirement-calculator" TargetMode="External"/><Relationship Id="rId6" Type="http://schemas.openxmlformats.org/officeDocument/2006/relationships/hyperlink" Target="https://12ft.io/proxy?ref=&amp;q=https://seekingalpha.com/symbol/EVT" TargetMode="External"/><Relationship Id="rId11" Type="http://schemas.openxmlformats.org/officeDocument/2006/relationships/hyperlink" Target="https://12ft.io/proxy?ref=&amp;q=https://seekingalpha.com/symbol/BST" TargetMode="External"/><Relationship Id="rId5" Type="http://schemas.openxmlformats.org/officeDocument/2006/relationships/hyperlink" Target="https://seekingalpha.com/symbol/VUSTX?source=content_type%3Areact%7Csection%3Amain_content%7Cbutton%3Abody_link" TargetMode="External"/><Relationship Id="rId15" Type="http://schemas.openxmlformats.org/officeDocument/2006/relationships/drawing" Target="../drawings/drawing7.xml"/><Relationship Id="rId10" Type="http://schemas.openxmlformats.org/officeDocument/2006/relationships/hyperlink" Target="https://12ft.io/proxy?ref=&amp;q=https://seekingalpha.com/symbol/RQI" TargetMode="External"/><Relationship Id="rId4" Type="http://schemas.openxmlformats.org/officeDocument/2006/relationships/hyperlink" Target="https://seekingalpha.com/symbol/VGTSX?source=content_type%3Areact%7Csection%3Amain_content%7Cbutton%3Abody_link" TargetMode="External"/><Relationship Id="rId9" Type="http://schemas.openxmlformats.org/officeDocument/2006/relationships/hyperlink" Target="https://12ft.io/proxy?ref=&amp;q=https://seekingalpha.com/symbol/NMZ" TargetMode="External"/><Relationship Id="rId14" Type="http://schemas.openxmlformats.org/officeDocument/2006/relationships/hyperlink" Target="http://www.ssa.gov/planners/lifeexpectancy.html"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3" Type="http://schemas.openxmlformats.org/officeDocument/2006/relationships/hyperlink" Target="https://www.mefa.org/pay/college-cost-projector" TargetMode="External"/><Relationship Id="rId2" Type="http://schemas.openxmlformats.org/officeDocument/2006/relationships/hyperlink" Target="https://www.mefa.org/pay/college-cost-projector" TargetMode="External"/><Relationship Id="rId1" Type="http://schemas.openxmlformats.org/officeDocument/2006/relationships/hyperlink" Target="https://www.mefa.org/pay/college-cost-projector" TargetMode="External"/><Relationship Id="rId6" Type="http://schemas.openxmlformats.org/officeDocument/2006/relationships/drawing" Target="../drawings/drawing9.xml"/><Relationship Id="rId5" Type="http://schemas.openxmlformats.org/officeDocument/2006/relationships/hyperlink" Target="https://www.schwab.com/saving-for-college/college-savings-calculator" TargetMode="External"/><Relationship Id="rId4" Type="http://schemas.openxmlformats.org/officeDocument/2006/relationships/hyperlink" Target="https://www.mbaandbeyond.com/blog/mba-fees-in-the-usa"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3" Type="http://schemas.openxmlformats.org/officeDocument/2006/relationships/hyperlink" Target="https://dh.centurylink.com/home" TargetMode="External"/><Relationship Id="rId2" Type="http://schemas.openxmlformats.org/officeDocument/2006/relationships/hyperlink" Target="https://chanhassen.merchanttransact.com/secure/home" TargetMode="External"/><Relationship Id="rId1" Type="http://schemas.openxmlformats.org/officeDocument/2006/relationships/hyperlink" Target="https://myaccount.centerpointenergy.com/App/Billing/Public/ACHBillPaymentConfirmation.aspx" TargetMode="External"/><Relationship Id="rId6" Type="http://schemas.openxmlformats.org/officeDocument/2006/relationships/hyperlink" Target="https://global.americanexpress.com/dashboard" TargetMode="External"/><Relationship Id="rId5" Type="http://schemas.openxmlformats.org/officeDocument/2006/relationships/hyperlink" Target="https://my.xcelenergy.com/MyAccount/s/" TargetMode="External"/><Relationship Id="rId4" Type="http://schemas.openxmlformats.org/officeDocument/2006/relationships/hyperlink" Target="https://www.wm.com/us/en/mywm/user/dashboard"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pasbf.org/wp-content/uploads/2016/12/Three-Pannel-Approach.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54396-A480-4619-A769-12073542A7D6}">
  <dimension ref="A1:L2454"/>
  <sheetViews>
    <sheetView topLeftCell="B2" workbookViewId="0">
      <selection activeCell="B2" sqref="B2"/>
    </sheetView>
  </sheetViews>
  <sheetFormatPr defaultRowHeight="15"/>
  <cols>
    <col min="1" max="1" width="15.28515625" customWidth="1"/>
    <col min="7" max="7" width="79" customWidth="1"/>
    <col min="8" max="8" width="18.140625" customWidth="1"/>
    <col min="11" max="11" width="29.28515625" bestFit="1" customWidth="1"/>
    <col min="12" max="12" width="21.28515625" customWidth="1"/>
  </cols>
  <sheetData>
    <row r="1" spans="1:12">
      <c r="A1" t="s">
        <v>0</v>
      </c>
      <c r="G1" t="s">
        <v>1</v>
      </c>
      <c r="H1" t="s">
        <v>2</v>
      </c>
      <c r="K1" s="16" t="s">
        <v>3</v>
      </c>
    </row>
    <row r="2" spans="1:12">
      <c r="A2" t="s">
        <v>4</v>
      </c>
      <c r="B2" t="s">
        <v>5</v>
      </c>
      <c r="G2" t="s">
        <v>6</v>
      </c>
      <c r="H2" t="s">
        <v>7</v>
      </c>
      <c r="K2" t="s">
        <v>8</v>
      </c>
      <c r="L2" t="s">
        <v>9</v>
      </c>
    </row>
    <row r="3" spans="1:12">
      <c r="A3" t="s">
        <v>1</v>
      </c>
      <c r="B3" t="s">
        <v>2</v>
      </c>
      <c r="G3" t="s">
        <v>10</v>
      </c>
      <c r="H3" t="s">
        <v>11</v>
      </c>
      <c r="K3" t="s">
        <v>12</v>
      </c>
      <c r="L3" t="s">
        <v>9</v>
      </c>
    </row>
    <row r="4" spans="1:12">
      <c r="A4" t="s">
        <v>6</v>
      </c>
      <c r="B4" t="s">
        <v>7</v>
      </c>
      <c r="G4" t="s">
        <v>13</v>
      </c>
      <c r="H4" t="s">
        <v>14</v>
      </c>
      <c r="K4" t="s">
        <v>15</v>
      </c>
      <c r="L4" t="s">
        <v>16</v>
      </c>
    </row>
    <row r="5" spans="1:12">
      <c r="A5" t="s">
        <v>10</v>
      </c>
      <c r="B5" t="s">
        <v>11</v>
      </c>
      <c r="G5" t="s">
        <v>17</v>
      </c>
      <c r="H5" t="s">
        <v>18</v>
      </c>
      <c r="K5" t="s">
        <v>9</v>
      </c>
      <c r="L5" t="s">
        <v>9</v>
      </c>
    </row>
    <row r="6" spans="1:12">
      <c r="A6" t="s">
        <v>13</v>
      </c>
      <c r="B6" t="s">
        <v>14</v>
      </c>
      <c r="G6" t="s">
        <v>19</v>
      </c>
      <c r="H6" t="s">
        <v>20</v>
      </c>
      <c r="K6" t="s">
        <v>21</v>
      </c>
      <c r="L6" t="s">
        <v>21</v>
      </c>
    </row>
    <row r="7" spans="1:12">
      <c r="A7" t="s">
        <v>17</v>
      </c>
      <c r="B7" t="s">
        <v>18</v>
      </c>
      <c r="G7" t="s">
        <v>22</v>
      </c>
      <c r="H7" t="s">
        <v>23</v>
      </c>
      <c r="K7" t="s">
        <v>24</v>
      </c>
      <c r="L7" t="s">
        <v>16</v>
      </c>
    </row>
    <row r="8" spans="1:12">
      <c r="A8" t="s">
        <v>19</v>
      </c>
      <c r="B8" t="s">
        <v>20</v>
      </c>
      <c r="G8" t="s">
        <v>25</v>
      </c>
      <c r="H8" t="s">
        <v>26</v>
      </c>
      <c r="K8" t="s">
        <v>8</v>
      </c>
      <c r="L8" t="s">
        <v>9</v>
      </c>
    </row>
    <row r="9" spans="1:12">
      <c r="A9" t="s">
        <v>22</v>
      </c>
      <c r="B9" t="s">
        <v>23</v>
      </c>
      <c r="G9" t="s">
        <v>27</v>
      </c>
      <c r="H9" t="s">
        <v>28</v>
      </c>
      <c r="K9" t="s">
        <v>29</v>
      </c>
      <c r="L9" t="s">
        <v>29</v>
      </c>
    </row>
    <row r="10" spans="1:12">
      <c r="A10" t="s">
        <v>25</v>
      </c>
      <c r="B10" t="s">
        <v>26</v>
      </c>
      <c r="G10" t="s">
        <v>30</v>
      </c>
      <c r="H10" t="s">
        <v>31</v>
      </c>
      <c r="K10" t="s">
        <v>32</v>
      </c>
      <c r="L10" t="s">
        <v>9</v>
      </c>
    </row>
    <row r="11" spans="1:12">
      <c r="A11" t="s">
        <v>27</v>
      </c>
      <c r="B11" t="s">
        <v>28</v>
      </c>
      <c r="G11" t="s">
        <v>33</v>
      </c>
      <c r="H11" t="s">
        <v>34</v>
      </c>
      <c r="K11" t="s">
        <v>35</v>
      </c>
      <c r="L11" t="s">
        <v>9</v>
      </c>
    </row>
    <row r="12" spans="1:12">
      <c r="A12" t="s">
        <v>30</v>
      </c>
      <c r="B12" t="s">
        <v>31</v>
      </c>
      <c r="G12" t="s">
        <v>36</v>
      </c>
      <c r="H12" t="s">
        <v>21</v>
      </c>
      <c r="K12" t="s">
        <v>28</v>
      </c>
      <c r="L12" t="s">
        <v>28</v>
      </c>
    </row>
    <row r="13" spans="1:12">
      <c r="A13" t="s">
        <v>33</v>
      </c>
      <c r="B13" t="s">
        <v>34</v>
      </c>
      <c r="G13" t="s">
        <v>37</v>
      </c>
      <c r="H13" t="s">
        <v>38</v>
      </c>
      <c r="K13" t="s">
        <v>26</v>
      </c>
      <c r="L13" t="s">
        <v>26</v>
      </c>
    </row>
    <row r="14" spans="1:12">
      <c r="A14" t="s">
        <v>36</v>
      </c>
      <c r="B14" t="s">
        <v>21</v>
      </c>
      <c r="G14" t="s">
        <v>39</v>
      </c>
      <c r="H14" t="s">
        <v>40</v>
      </c>
      <c r="K14" t="s">
        <v>41</v>
      </c>
      <c r="L14" t="s">
        <v>41</v>
      </c>
    </row>
    <row r="15" spans="1:12">
      <c r="A15" t="s">
        <v>37</v>
      </c>
      <c r="B15" t="s">
        <v>38</v>
      </c>
      <c r="G15" t="s">
        <v>42</v>
      </c>
      <c r="H15" t="s">
        <v>41</v>
      </c>
      <c r="K15" t="s">
        <v>43</v>
      </c>
      <c r="L15" t="s">
        <v>43</v>
      </c>
    </row>
    <row r="16" spans="1:12">
      <c r="A16" t="s">
        <v>39</v>
      </c>
      <c r="B16" t="s">
        <v>40</v>
      </c>
      <c r="G16" t="s">
        <v>44</v>
      </c>
      <c r="H16" t="s">
        <v>45</v>
      </c>
      <c r="K16" t="s">
        <v>20</v>
      </c>
      <c r="L16" t="s">
        <v>20</v>
      </c>
    </row>
    <row r="17" spans="1:12">
      <c r="A17" t="s">
        <v>42</v>
      </c>
      <c r="B17" t="s">
        <v>41</v>
      </c>
      <c r="G17" t="s">
        <v>46</v>
      </c>
      <c r="H17" t="s">
        <v>29</v>
      </c>
      <c r="K17" t="s">
        <v>38</v>
      </c>
      <c r="L17" t="s">
        <v>38</v>
      </c>
    </row>
    <row r="18" spans="1:12">
      <c r="A18" t="s">
        <v>44</v>
      </c>
      <c r="B18" t="s">
        <v>45</v>
      </c>
      <c r="G18" t="s">
        <v>47</v>
      </c>
      <c r="H18" t="s">
        <v>48</v>
      </c>
      <c r="K18" t="s">
        <v>2</v>
      </c>
      <c r="L18" t="s">
        <v>2</v>
      </c>
    </row>
    <row r="19" spans="1:12">
      <c r="A19" t="s">
        <v>46</v>
      </c>
      <c r="B19" t="s">
        <v>29</v>
      </c>
      <c r="G19" t="s">
        <v>49</v>
      </c>
      <c r="H19" t="s">
        <v>50</v>
      </c>
      <c r="K19" t="s">
        <v>51</v>
      </c>
      <c r="L19" t="s">
        <v>9</v>
      </c>
    </row>
    <row r="20" spans="1:12">
      <c r="A20" t="s">
        <v>47</v>
      </c>
      <c r="B20" t="s">
        <v>48</v>
      </c>
      <c r="G20" t="s">
        <v>52</v>
      </c>
      <c r="H20" t="s">
        <v>43</v>
      </c>
      <c r="K20" t="s">
        <v>23</v>
      </c>
      <c r="L20" t="s">
        <v>23</v>
      </c>
    </row>
    <row r="21" spans="1:12">
      <c r="A21" t="s">
        <v>49</v>
      </c>
      <c r="B21" t="s">
        <v>50</v>
      </c>
      <c r="G21" t="s">
        <v>53</v>
      </c>
      <c r="H21" t="s">
        <v>54</v>
      </c>
      <c r="K21" t="s">
        <v>55</v>
      </c>
      <c r="L21" t="s">
        <v>16</v>
      </c>
    </row>
    <row r="22" spans="1:12">
      <c r="A22" t="s">
        <v>52</v>
      </c>
      <c r="B22" t="s">
        <v>43</v>
      </c>
      <c r="G22" t="s">
        <v>56</v>
      </c>
      <c r="H22" t="s">
        <v>57</v>
      </c>
      <c r="K22" t="s">
        <v>7</v>
      </c>
      <c r="L22" t="s">
        <v>7</v>
      </c>
    </row>
    <row r="23" spans="1:12">
      <c r="A23" t="s">
        <v>53</v>
      </c>
      <c r="B23" t="s">
        <v>54</v>
      </c>
      <c r="G23" t="s">
        <v>58</v>
      </c>
      <c r="H23" t="s">
        <v>59</v>
      </c>
      <c r="K23" t="s">
        <v>59</v>
      </c>
      <c r="L23" t="s">
        <v>59</v>
      </c>
    </row>
    <row r="24" spans="1:12">
      <c r="A24" t="s">
        <v>56</v>
      </c>
      <c r="B24" t="s">
        <v>57</v>
      </c>
      <c r="G24" t="s">
        <v>60</v>
      </c>
      <c r="H24" t="s">
        <v>61</v>
      </c>
      <c r="K24" t="s">
        <v>62</v>
      </c>
      <c r="L24" t="s">
        <v>9</v>
      </c>
    </row>
    <row r="25" spans="1:12">
      <c r="A25" t="s">
        <v>58</v>
      </c>
      <c r="B25" t="s">
        <v>59</v>
      </c>
      <c r="G25" t="s">
        <v>63</v>
      </c>
      <c r="H25" t="s">
        <v>64</v>
      </c>
      <c r="K25" t="s">
        <v>40</v>
      </c>
      <c r="L25" t="s">
        <v>40</v>
      </c>
    </row>
    <row r="26" spans="1:12">
      <c r="A26" t="s">
        <v>60</v>
      </c>
      <c r="B26" t="s">
        <v>61</v>
      </c>
      <c r="G26" t="s">
        <v>65</v>
      </c>
      <c r="H26" t="s">
        <v>66</v>
      </c>
      <c r="K26" t="s">
        <v>67</v>
      </c>
      <c r="L26" t="s">
        <v>9</v>
      </c>
    </row>
    <row r="27" spans="1:12">
      <c r="A27" t="s">
        <v>63</v>
      </c>
      <c r="B27" t="s">
        <v>64</v>
      </c>
      <c r="G27" t="s">
        <v>16</v>
      </c>
      <c r="H27" t="s">
        <v>16</v>
      </c>
      <c r="K27" t="s">
        <v>34</v>
      </c>
      <c r="L27" t="s">
        <v>34</v>
      </c>
    </row>
    <row r="28" spans="1:12">
      <c r="A28" t="s">
        <v>65</v>
      </c>
      <c r="B28" t="s">
        <v>66</v>
      </c>
      <c r="G28" t="s">
        <v>68</v>
      </c>
      <c r="H28" t="s">
        <v>69</v>
      </c>
      <c r="K28" t="s">
        <v>5</v>
      </c>
      <c r="L28" t="s">
        <v>5</v>
      </c>
    </row>
    <row r="29" spans="1:12">
      <c r="A29" t="s">
        <v>16</v>
      </c>
      <c r="B29" t="s">
        <v>16</v>
      </c>
      <c r="G29" t="s">
        <v>9</v>
      </c>
      <c r="H29" t="s">
        <v>9</v>
      </c>
      <c r="K29" t="s">
        <v>11</v>
      </c>
      <c r="L29" t="s">
        <v>11</v>
      </c>
    </row>
    <row r="30" spans="1:12">
      <c r="A30" t="s">
        <v>68</v>
      </c>
      <c r="B30" t="s">
        <v>69</v>
      </c>
      <c r="G30" t="s">
        <v>70</v>
      </c>
      <c r="K30" t="s">
        <v>48</v>
      </c>
      <c r="L30" t="s">
        <v>48</v>
      </c>
    </row>
    <row r="31" spans="1:12" ht="16.5">
      <c r="A31" t="s">
        <v>9</v>
      </c>
      <c r="B31" t="s">
        <v>9</v>
      </c>
      <c r="G31" s="1" t="s">
        <v>71</v>
      </c>
      <c r="H31" s="1" t="s">
        <v>72</v>
      </c>
    </row>
    <row r="32" spans="1:12">
      <c r="G32" s="2" t="s">
        <v>73</v>
      </c>
      <c r="H32" s="2" t="s">
        <v>21</v>
      </c>
    </row>
    <row r="33" spans="7:8">
      <c r="G33" s="2" t="s">
        <v>74</v>
      </c>
      <c r="H33" s="2" t="s">
        <v>21</v>
      </c>
    </row>
    <row r="34" spans="7:8">
      <c r="G34" s="2" t="s">
        <v>75</v>
      </c>
      <c r="H34" s="2" t="s">
        <v>21</v>
      </c>
    </row>
    <row r="35" spans="7:8">
      <c r="G35" s="2" t="s">
        <v>76</v>
      </c>
      <c r="H35" s="2" t="s">
        <v>9</v>
      </c>
    </row>
    <row r="36" spans="7:8">
      <c r="G36" s="2" t="s">
        <v>77</v>
      </c>
      <c r="H36" s="2" t="s">
        <v>21</v>
      </c>
    </row>
    <row r="37" spans="7:8">
      <c r="G37" s="2" t="s">
        <v>78</v>
      </c>
      <c r="H37" s="2" t="s">
        <v>21</v>
      </c>
    </row>
    <row r="38" spans="7:8">
      <c r="G38" s="2" t="s">
        <v>79</v>
      </c>
      <c r="H38" s="2" t="s">
        <v>21</v>
      </c>
    </row>
    <row r="39" spans="7:8">
      <c r="G39" s="2" t="s">
        <v>80</v>
      </c>
      <c r="H39" s="2" t="s">
        <v>45</v>
      </c>
    </row>
    <row r="40" spans="7:8">
      <c r="G40" s="2" t="s">
        <v>81</v>
      </c>
      <c r="H40" s="2" t="s">
        <v>2</v>
      </c>
    </row>
    <row r="41" spans="7:8">
      <c r="G41" s="2" t="s">
        <v>82</v>
      </c>
      <c r="H41" s="2" t="s">
        <v>2</v>
      </c>
    </row>
    <row r="42" spans="7:8">
      <c r="G42" s="2" t="s">
        <v>83</v>
      </c>
      <c r="H42" s="2" t="s">
        <v>21</v>
      </c>
    </row>
    <row r="43" spans="7:8">
      <c r="G43" t="s">
        <v>84</v>
      </c>
      <c r="H43" s="6" t="s">
        <v>28</v>
      </c>
    </row>
    <row r="44" spans="7:8">
      <c r="G44" s="2" t="s">
        <v>85</v>
      </c>
      <c r="H44" s="2" t="s">
        <v>26</v>
      </c>
    </row>
    <row r="45" spans="7:8">
      <c r="G45" t="s">
        <v>86</v>
      </c>
      <c r="H45" s="6" t="s">
        <v>87</v>
      </c>
    </row>
    <row r="46" spans="7:8">
      <c r="G46" s="2" t="s">
        <v>88</v>
      </c>
      <c r="H46" s="2" t="s">
        <v>23</v>
      </c>
    </row>
    <row r="47" spans="7:8">
      <c r="G47" s="2" t="s">
        <v>88</v>
      </c>
      <c r="H47" s="2" t="s">
        <v>23</v>
      </c>
    </row>
    <row r="48" spans="7:8">
      <c r="G48" s="2" t="s">
        <v>89</v>
      </c>
      <c r="H48" s="2" t="s">
        <v>28</v>
      </c>
    </row>
    <row r="49" spans="7:8">
      <c r="G49" s="2" t="s">
        <v>90</v>
      </c>
      <c r="H49" s="2" t="s">
        <v>9</v>
      </c>
    </row>
    <row r="50" spans="7:8">
      <c r="G50" s="2" t="s">
        <v>91</v>
      </c>
      <c r="H50" s="2" t="s">
        <v>9</v>
      </c>
    </row>
    <row r="51" spans="7:8">
      <c r="G51" s="2" t="s">
        <v>92</v>
      </c>
      <c r="H51" s="2" t="s">
        <v>9</v>
      </c>
    </row>
    <row r="52" spans="7:8">
      <c r="G52" s="2" t="s">
        <v>93</v>
      </c>
      <c r="H52" s="2" t="s">
        <v>9</v>
      </c>
    </row>
    <row r="53" spans="7:8">
      <c r="G53" s="2" t="s">
        <v>93</v>
      </c>
      <c r="H53" s="2" t="s">
        <v>69</v>
      </c>
    </row>
    <row r="54" spans="7:8">
      <c r="G54" s="2" t="s">
        <v>94</v>
      </c>
      <c r="H54" s="2" t="s">
        <v>2</v>
      </c>
    </row>
    <row r="55" spans="7:8">
      <c r="G55" s="2" t="s">
        <v>95</v>
      </c>
      <c r="H55" s="2" t="s">
        <v>26</v>
      </c>
    </row>
    <row r="56" spans="7:8">
      <c r="G56" s="2" t="s">
        <v>96</v>
      </c>
      <c r="H56" s="2" t="s">
        <v>2</v>
      </c>
    </row>
    <row r="57" spans="7:8">
      <c r="G57" t="s">
        <v>96</v>
      </c>
      <c r="H57" s="2" t="s">
        <v>2</v>
      </c>
    </row>
    <row r="58" spans="7:8">
      <c r="G58" s="2" t="s">
        <v>97</v>
      </c>
      <c r="H58" s="2" t="s">
        <v>87</v>
      </c>
    </row>
    <row r="59" spans="7:8">
      <c r="G59" s="2" t="s">
        <v>98</v>
      </c>
      <c r="H59" s="2" t="s">
        <v>40</v>
      </c>
    </row>
    <row r="60" spans="7:8">
      <c r="G60" s="2" t="s">
        <v>99</v>
      </c>
      <c r="H60" s="2" t="s">
        <v>21</v>
      </c>
    </row>
    <row r="61" spans="7:8">
      <c r="G61" s="2" t="s">
        <v>100</v>
      </c>
      <c r="H61" s="2" t="s">
        <v>87</v>
      </c>
    </row>
    <row r="62" spans="7:8">
      <c r="G62" t="s">
        <v>101</v>
      </c>
      <c r="H62" s="6" t="s">
        <v>28</v>
      </c>
    </row>
    <row r="63" spans="7:8">
      <c r="G63" s="2" t="s">
        <v>102</v>
      </c>
      <c r="H63" s="2" t="s">
        <v>21</v>
      </c>
    </row>
    <row r="64" spans="7:8">
      <c r="G64" s="2" t="s">
        <v>103</v>
      </c>
      <c r="H64" s="2" t="s">
        <v>28</v>
      </c>
    </row>
    <row r="65" spans="7:8">
      <c r="G65" s="2" t="s">
        <v>104</v>
      </c>
      <c r="H65" s="2" t="s">
        <v>9</v>
      </c>
    </row>
    <row r="66" spans="7:8">
      <c r="G66" s="2" t="s">
        <v>105</v>
      </c>
      <c r="H66" s="2" t="s">
        <v>43</v>
      </c>
    </row>
    <row r="67" spans="7:8">
      <c r="G67" s="2" t="s">
        <v>106</v>
      </c>
      <c r="H67" s="2" t="s">
        <v>26</v>
      </c>
    </row>
    <row r="68" spans="7:8">
      <c r="G68" t="s">
        <v>107</v>
      </c>
      <c r="H68" t="s">
        <v>41</v>
      </c>
    </row>
    <row r="69" spans="7:8">
      <c r="G69" s="2" t="s">
        <v>108</v>
      </c>
      <c r="H69" s="2" t="s">
        <v>21</v>
      </c>
    </row>
    <row r="70" spans="7:8">
      <c r="G70" s="2" t="s">
        <v>109</v>
      </c>
      <c r="H70" s="2" t="s">
        <v>23</v>
      </c>
    </row>
    <row r="71" spans="7:8">
      <c r="G71" s="2" t="s">
        <v>110</v>
      </c>
      <c r="H71" s="2" t="s">
        <v>23</v>
      </c>
    </row>
    <row r="72" spans="7:8">
      <c r="G72" s="2" t="s">
        <v>111</v>
      </c>
      <c r="H72" s="2" t="s">
        <v>87</v>
      </c>
    </row>
    <row r="73" spans="7:8">
      <c r="G73" s="2" t="s">
        <v>112</v>
      </c>
      <c r="H73" s="2" t="s">
        <v>45</v>
      </c>
    </row>
    <row r="74" spans="7:8">
      <c r="G74" s="2" t="s">
        <v>38</v>
      </c>
      <c r="H74" s="2" t="s">
        <v>38</v>
      </c>
    </row>
    <row r="75" spans="7:8">
      <c r="G75" s="2" t="s">
        <v>38</v>
      </c>
      <c r="H75" s="2" t="s">
        <v>9</v>
      </c>
    </row>
    <row r="76" spans="7:8">
      <c r="G76" s="2" t="s">
        <v>113</v>
      </c>
      <c r="H76" s="2" t="s">
        <v>38</v>
      </c>
    </row>
    <row r="77" spans="7:8">
      <c r="G77" s="2" t="s">
        <v>114</v>
      </c>
      <c r="H77" s="2" t="s">
        <v>21</v>
      </c>
    </row>
    <row r="78" spans="7:8">
      <c r="G78" s="2" t="s">
        <v>114</v>
      </c>
      <c r="H78" s="2" t="s">
        <v>40</v>
      </c>
    </row>
    <row r="79" spans="7:8" ht="28.5">
      <c r="G79" s="5" t="s">
        <v>115</v>
      </c>
      <c r="H79" s="2" t="s">
        <v>40</v>
      </c>
    </row>
    <row r="80" spans="7:8" ht="30">
      <c r="G80" s="7" t="s">
        <v>116</v>
      </c>
      <c r="H80" s="2" t="s">
        <v>40</v>
      </c>
    </row>
    <row r="81" spans="7:8" ht="28.5">
      <c r="G81" s="5" t="s">
        <v>117</v>
      </c>
      <c r="H81" s="2" t="s">
        <v>40</v>
      </c>
    </row>
    <row r="82" spans="7:8" ht="30">
      <c r="G82" s="7" t="s">
        <v>118</v>
      </c>
      <c r="H82" s="2" t="s">
        <v>40</v>
      </c>
    </row>
    <row r="83" spans="7:8" ht="30">
      <c r="G83" s="7" t="s">
        <v>119</v>
      </c>
      <c r="H83" s="2" t="s">
        <v>40</v>
      </c>
    </row>
    <row r="84" spans="7:8" ht="28.5">
      <c r="G84" s="5" t="s">
        <v>120</v>
      </c>
      <c r="H84" s="2" t="s">
        <v>38</v>
      </c>
    </row>
    <row r="85" spans="7:8">
      <c r="G85" s="2" t="s">
        <v>121</v>
      </c>
      <c r="H85" s="2" t="s">
        <v>9</v>
      </c>
    </row>
    <row r="86" spans="7:8">
      <c r="G86" s="2" t="s">
        <v>121</v>
      </c>
      <c r="H86" s="2" t="s">
        <v>87</v>
      </c>
    </row>
    <row r="87" spans="7:8" ht="28.5">
      <c r="G87" s="5" t="s">
        <v>122</v>
      </c>
      <c r="H87" s="2" t="s">
        <v>38</v>
      </c>
    </row>
    <row r="88" spans="7:8" ht="28.5">
      <c r="G88" s="5" t="s">
        <v>123</v>
      </c>
      <c r="H88" s="2" t="s">
        <v>38</v>
      </c>
    </row>
    <row r="89" spans="7:8" ht="30">
      <c r="G89" s="7" t="s">
        <v>124</v>
      </c>
      <c r="H89" s="2" t="s">
        <v>38</v>
      </c>
    </row>
    <row r="90" spans="7:8" ht="30">
      <c r="G90" s="7" t="s">
        <v>125</v>
      </c>
      <c r="H90" s="2" t="s">
        <v>38</v>
      </c>
    </row>
    <row r="91" spans="7:8" ht="30">
      <c r="G91" s="7" t="s">
        <v>126</v>
      </c>
      <c r="H91" s="2" t="s">
        <v>38</v>
      </c>
    </row>
    <row r="92" spans="7:8">
      <c r="G92" t="s">
        <v>127</v>
      </c>
      <c r="H92" s="2" t="s">
        <v>38</v>
      </c>
    </row>
    <row r="93" spans="7:8">
      <c r="G93" s="2" t="s">
        <v>128</v>
      </c>
      <c r="H93" s="2" t="s">
        <v>43</v>
      </c>
    </row>
    <row r="94" spans="7:8">
      <c r="G94" s="2" t="s">
        <v>129</v>
      </c>
      <c r="H94" s="2" t="s">
        <v>87</v>
      </c>
    </row>
    <row r="95" spans="7:8">
      <c r="G95" s="2" t="s">
        <v>129</v>
      </c>
      <c r="H95" s="2" t="s">
        <v>9</v>
      </c>
    </row>
    <row r="96" spans="7:8">
      <c r="G96" s="2" t="s">
        <v>130</v>
      </c>
      <c r="H96" s="2" t="s">
        <v>21</v>
      </c>
    </row>
    <row r="97" spans="7:8">
      <c r="G97" s="2" t="s">
        <v>130</v>
      </c>
      <c r="H97" s="2" t="s">
        <v>9</v>
      </c>
    </row>
    <row r="98" spans="7:8">
      <c r="G98" s="2" t="s">
        <v>130</v>
      </c>
      <c r="H98" s="2" t="s">
        <v>87</v>
      </c>
    </row>
    <row r="99" spans="7:8">
      <c r="G99" s="2" t="s">
        <v>131</v>
      </c>
      <c r="H99" s="2" t="s">
        <v>18</v>
      </c>
    </row>
    <row r="100" spans="7:8">
      <c r="G100" t="s">
        <v>131</v>
      </c>
      <c r="H100" s="6" t="s">
        <v>132</v>
      </c>
    </row>
    <row r="101" spans="7:8">
      <c r="G101" t="s">
        <v>133</v>
      </c>
      <c r="H101" s="2" t="s">
        <v>38</v>
      </c>
    </row>
    <row r="102" spans="7:8" ht="28.5">
      <c r="G102" s="5" t="s">
        <v>134</v>
      </c>
      <c r="H102" s="2" t="s">
        <v>38</v>
      </c>
    </row>
    <row r="103" spans="7:8" ht="28.5">
      <c r="G103" s="5" t="s">
        <v>135</v>
      </c>
      <c r="H103" s="2" t="s">
        <v>38</v>
      </c>
    </row>
    <row r="104" spans="7:8" ht="28.5">
      <c r="G104" s="5" t="s">
        <v>136</v>
      </c>
      <c r="H104" s="2" t="s">
        <v>38</v>
      </c>
    </row>
    <row r="105" spans="7:8" ht="28.5">
      <c r="G105" s="5" t="s">
        <v>137</v>
      </c>
      <c r="H105" s="2" t="s">
        <v>38</v>
      </c>
    </row>
    <row r="106" spans="7:8" ht="28.5">
      <c r="G106" s="5" t="s">
        <v>138</v>
      </c>
      <c r="H106" s="2" t="s">
        <v>38</v>
      </c>
    </row>
    <row r="107" spans="7:8" ht="30">
      <c r="G107" s="7" t="s">
        <v>139</v>
      </c>
      <c r="H107" s="2" t="s">
        <v>38</v>
      </c>
    </row>
    <row r="108" spans="7:8" ht="30">
      <c r="G108" s="7" t="s">
        <v>140</v>
      </c>
      <c r="H108" s="2" t="s">
        <v>38</v>
      </c>
    </row>
    <row r="109" spans="7:8" ht="30">
      <c r="G109" s="7" t="s">
        <v>141</v>
      </c>
      <c r="H109" s="2" t="s">
        <v>38</v>
      </c>
    </row>
    <row r="110" spans="7:8" ht="30">
      <c r="G110" s="7" t="s">
        <v>142</v>
      </c>
      <c r="H110" s="2" t="s">
        <v>38</v>
      </c>
    </row>
    <row r="111" spans="7:8" ht="28.5">
      <c r="G111" s="5" t="s">
        <v>143</v>
      </c>
      <c r="H111" s="2" t="s">
        <v>38</v>
      </c>
    </row>
    <row r="112" spans="7:8" ht="30">
      <c r="G112" s="7" t="s">
        <v>144</v>
      </c>
      <c r="H112" s="2" t="s">
        <v>38</v>
      </c>
    </row>
    <row r="113" spans="7:8" ht="30">
      <c r="G113" s="7" t="s">
        <v>145</v>
      </c>
      <c r="H113" s="2" t="s">
        <v>38</v>
      </c>
    </row>
    <row r="114" spans="7:8">
      <c r="G114" t="s">
        <v>146</v>
      </c>
      <c r="H114" s="2" t="s">
        <v>38</v>
      </c>
    </row>
    <row r="115" spans="7:8">
      <c r="G115" t="s">
        <v>147</v>
      </c>
      <c r="H115" s="2" t="s">
        <v>38</v>
      </c>
    </row>
    <row r="116" spans="7:8">
      <c r="G116" t="s">
        <v>148</v>
      </c>
      <c r="H116" s="2" t="s">
        <v>38</v>
      </c>
    </row>
    <row r="117" spans="7:8">
      <c r="G117" t="s">
        <v>149</v>
      </c>
      <c r="H117" s="2" t="s">
        <v>38</v>
      </c>
    </row>
    <row r="118" spans="7:8">
      <c r="G118" s="2" t="s">
        <v>150</v>
      </c>
      <c r="H118" s="2" t="s">
        <v>38</v>
      </c>
    </row>
    <row r="119" spans="7:8">
      <c r="G119" s="2" t="s">
        <v>151</v>
      </c>
      <c r="H119" s="2" t="s">
        <v>38</v>
      </c>
    </row>
    <row r="120" spans="7:8">
      <c r="G120" t="s">
        <v>152</v>
      </c>
      <c r="H120" s="2" t="s">
        <v>38</v>
      </c>
    </row>
    <row r="121" spans="7:8">
      <c r="G121" s="2" t="s">
        <v>153</v>
      </c>
      <c r="H121" s="2" t="s">
        <v>38</v>
      </c>
    </row>
    <row r="122" spans="7:8">
      <c r="G122" t="s">
        <v>154</v>
      </c>
      <c r="H122" s="2" t="s">
        <v>38</v>
      </c>
    </row>
    <row r="123" spans="7:8">
      <c r="G123" t="s">
        <v>155</v>
      </c>
      <c r="H123" s="2" t="s">
        <v>38</v>
      </c>
    </row>
    <row r="124" spans="7:8">
      <c r="G124" t="s">
        <v>156</v>
      </c>
      <c r="H124" s="2" t="s">
        <v>38</v>
      </c>
    </row>
    <row r="125" spans="7:8">
      <c r="G125" t="s">
        <v>157</v>
      </c>
      <c r="H125" s="2" t="s">
        <v>38</v>
      </c>
    </row>
    <row r="126" spans="7:8">
      <c r="G126" t="s">
        <v>158</v>
      </c>
      <c r="H126" s="2" t="s">
        <v>38</v>
      </c>
    </row>
    <row r="127" spans="7:8">
      <c r="G127" t="s">
        <v>159</v>
      </c>
      <c r="H127" s="2" t="s">
        <v>38</v>
      </c>
    </row>
    <row r="128" spans="7:8">
      <c r="G128" s="2" t="s">
        <v>160</v>
      </c>
      <c r="H128" s="2" t="s">
        <v>26</v>
      </c>
    </row>
    <row r="129" spans="7:8">
      <c r="G129" s="2" t="s">
        <v>161</v>
      </c>
      <c r="H129" s="2" t="s">
        <v>21</v>
      </c>
    </row>
    <row r="130" spans="7:8">
      <c r="G130" s="2" t="s">
        <v>162</v>
      </c>
      <c r="H130" s="2" t="s">
        <v>21</v>
      </c>
    </row>
    <row r="131" spans="7:8">
      <c r="G131" s="2" t="s">
        <v>163</v>
      </c>
      <c r="H131" s="2" t="s">
        <v>21</v>
      </c>
    </row>
    <row r="132" spans="7:8">
      <c r="G132" s="2" t="s">
        <v>164</v>
      </c>
      <c r="H132" s="2" t="s">
        <v>69</v>
      </c>
    </row>
    <row r="133" spans="7:8">
      <c r="G133" s="2" t="s">
        <v>164</v>
      </c>
      <c r="H133" s="2" t="s">
        <v>9</v>
      </c>
    </row>
    <row r="134" spans="7:8">
      <c r="G134" s="2" t="s">
        <v>165</v>
      </c>
      <c r="H134" s="2" t="s">
        <v>21</v>
      </c>
    </row>
    <row r="135" spans="7:8">
      <c r="G135" s="2" t="s">
        <v>166</v>
      </c>
      <c r="H135" s="2" t="s">
        <v>21</v>
      </c>
    </row>
    <row r="136" spans="7:8">
      <c r="G136" s="2" t="s">
        <v>167</v>
      </c>
      <c r="H136" s="2" t="s">
        <v>9</v>
      </c>
    </row>
    <row r="137" spans="7:8">
      <c r="G137" s="2" t="s">
        <v>167</v>
      </c>
      <c r="H137" s="2" t="s">
        <v>9</v>
      </c>
    </row>
    <row r="138" spans="7:8">
      <c r="G138" s="2" t="s">
        <v>167</v>
      </c>
      <c r="H138" s="2" t="s">
        <v>16</v>
      </c>
    </row>
    <row r="139" spans="7:8">
      <c r="G139" s="2" t="s">
        <v>168</v>
      </c>
      <c r="H139" s="2" t="s">
        <v>21</v>
      </c>
    </row>
    <row r="140" spans="7:8">
      <c r="G140" s="2" t="s">
        <v>169</v>
      </c>
      <c r="H140" s="2" t="s">
        <v>29</v>
      </c>
    </row>
    <row r="141" spans="7:8">
      <c r="G141" s="2" t="s">
        <v>170</v>
      </c>
      <c r="H141" s="2" t="s">
        <v>40</v>
      </c>
    </row>
    <row r="142" spans="7:8">
      <c r="G142" s="2" t="s">
        <v>171</v>
      </c>
      <c r="H142" s="2" t="s">
        <v>26</v>
      </c>
    </row>
    <row r="143" spans="7:8">
      <c r="G143" s="2" t="s">
        <v>172</v>
      </c>
      <c r="H143" s="2" t="s">
        <v>45</v>
      </c>
    </row>
    <row r="144" spans="7:8">
      <c r="G144" s="2" t="s">
        <v>173</v>
      </c>
      <c r="H144" s="2" t="s">
        <v>26</v>
      </c>
    </row>
    <row r="145" spans="7:8">
      <c r="G145" s="2" t="s">
        <v>174</v>
      </c>
      <c r="H145" s="2" t="s">
        <v>21</v>
      </c>
    </row>
    <row r="146" spans="7:8">
      <c r="G146" s="2" t="s">
        <v>175</v>
      </c>
      <c r="H146" s="2" t="s">
        <v>28</v>
      </c>
    </row>
    <row r="147" spans="7:8">
      <c r="G147" s="2" t="s">
        <v>176</v>
      </c>
      <c r="H147" s="2" t="s">
        <v>9</v>
      </c>
    </row>
    <row r="148" spans="7:8">
      <c r="G148" s="2" t="s">
        <v>176</v>
      </c>
      <c r="H148" s="2" t="s">
        <v>9</v>
      </c>
    </row>
    <row r="149" spans="7:8">
      <c r="G149" s="2" t="s">
        <v>177</v>
      </c>
      <c r="H149" s="2" t="s">
        <v>9</v>
      </c>
    </row>
    <row r="150" spans="7:8">
      <c r="G150" t="s">
        <v>177</v>
      </c>
      <c r="H150" s="2" t="s">
        <v>9</v>
      </c>
    </row>
    <row r="151" spans="7:8">
      <c r="G151" s="2" t="s">
        <v>178</v>
      </c>
      <c r="H151" s="2" t="s">
        <v>9</v>
      </c>
    </row>
    <row r="152" spans="7:8">
      <c r="G152" s="2" t="s">
        <v>179</v>
      </c>
      <c r="H152" s="2" t="s">
        <v>9</v>
      </c>
    </row>
    <row r="153" spans="7:8">
      <c r="G153" s="2" t="s">
        <v>180</v>
      </c>
      <c r="H153" s="2" t="s">
        <v>9</v>
      </c>
    </row>
    <row r="154" spans="7:8">
      <c r="G154" s="2" t="s">
        <v>180</v>
      </c>
      <c r="H154" s="2" t="s">
        <v>9</v>
      </c>
    </row>
    <row r="155" spans="7:8">
      <c r="G155" s="2" t="s">
        <v>181</v>
      </c>
      <c r="H155" s="2" t="s">
        <v>9</v>
      </c>
    </row>
    <row r="156" spans="7:8">
      <c r="G156" s="2" t="s">
        <v>181</v>
      </c>
      <c r="H156" s="2" t="s">
        <v>9</v>
      </c>
    </row>
    <row r="157" spans="7:8">
      <c r="G157" s="2" t="s">
        <v>182</v>
      </c>
      <c r="H157" s="2" t="s">
        <v>9</v>
      </c>
    </row>
    <row r="158" spans="7:8">
      <c r="G158" s="2" t="s">
        <v>183</v>
      </c>
      <c r="H158" s="2" t="s">
        <v>9</v>
      </c>
    </row>
    <row r="159" spans="7:8">
      <c r="G159" t="s">
        <v>184</v>
      </c>
      <c r="H159" s="6" t="s">
        <v>21</v>
      </c>
    </row>
    <row r="160" spans="7:8">
      <c r="G160" s="2" t="s">
        <v>185</v>
      </c>
      <c r="H160" s="2" t="s">
        <v>9</v>
      </c>
    </row>
    <row r="161" spans="7:8">
      <c r="G161" s="2" t="s">
        <v>185</v>
      </c>
      <c r="H161" s="2" t="s">
        <v>26</v>
      </c>
    </row>
    <row r="162" spans="7:8">
      <c r="G162" s="2" t="s">
        <v>185</v>
      </c>
      <c r="H162" s="2" t="s">
        <v>21</v>
      </c>
    </row>
    <row r="163" spans="7:8">
      <c r="G163" t="s">
        <v>186</v>
      </c>
      <c r="H163" s="6" t="s">
        <v>28</v>
      </c>
    </row>
    <row r="164" spans="7:8">
      <c r="G164" s="2" t="s">
        <v>187</v>
      </c>
      <c r="H164" s="2" t="s">
        <v>28</v>
      </c>
    </row>
    <row r="165" spans="7:8">
      <c r="G165" s="2" t="s">
        <v>188</v>
      </c>
      <c r="H165" s="2" t="s">
        <v>28</v>
      </c>
    </row>
    <row r="166" spans="7:8">
      <c r="G166" s="2" t="s">
        <v>189</v>
      </c>
      <c r="H166" s="2" t="s">
        <v>28</v>
      </c>
    </row>
    <row r="167" spans="7:8">
      <c r="G167" s="2" t="s">
        <v>190</v>
      </c>
      <c r="H167" s="2" t="s">
        <v>28</v>
      </c>
    </row>
    <row r="168" spans="7:8">
      <c r="G168" s="2" t="s">
        <v>191</v>
      </c>
      <c r="H168" s="2" t="s">
        <v>28</v>
      </c>
    </row>
    <row r="169" spans="7:8">
      <c r="G169" s="2" t="s">
        <v>192</v>
      </c>
      <c r="H169" s="2" t="s">
        <v>28</v>
      </c>
    </row>
    <row r="170" spans="7:8">
      <c r="G170" s="2" t="s">
        <v>193</v>
      </c>
      <c r="H170" s="2" t="s">
        <v>26</v>
      </c>
    </row>
    <row r="171" spans="7:8">
      <c r="G171" s="2" t="s">
        <v>194</v>
      </c>
      <c r="H171" s="2" t="s">
        <v>26</v>
      </c>
    </row>
    <row r="172" spans="7:8">
      <c r="G172" s="2" t="s">
        <v>195</v>
      </c>
      <c r="H172" s="2" t="s">
        <v>43</v>
      </c>
    </row>
    <row r="173" spans="7:8">
      <c r="G173" s="2" t="s">
        <v>195</v>
      </c>
      <c r="H173" s="2" t="s">
        <v>21</v>
      </c>
    </row>
    <row r="174" spans="7:8">
      <c r="G174" s="2" t="s">
        <v>196</v>
      </c>
      <c r="H174" s="2" t="s">
        <v>45</v>
      </c>
    </row>
    <row r="175" spans="7:8">
      <c r="G175" s="2" t="s">
        <v>197</v>
      </c>
      <c r="H175" s="2" t="s">
        <v>26</v>
      </c>
    </row>
    <row r="176" spans="7:8">
      <c r="G176" s="2" t="s">
        <v>198</v>
      </c>
      <c r="H176" s="2" t="s">
        <v>9</v>
      </c>
    </row>
    <row r="177" spans="7:8">
      <c r="G177" s="2" t="s">
        <v>199</v>
      </c>
      <c r="H177" s="2" t="s">
        <v>21</v>
      </c>
    </row>
    <row r="178" spans="7:8">
      <c r="G178" t="s">
        <v>199</v>
      </c>
      <c r="H178" s="6" t="s">
        <v>21</v>
      </c>
    </row>
    <row r="179" spans="7:8">
      <c r="G179" t="s">
        <v>200</v>
      </c>
      <c r="H179" s="6" t="s">
        <v>21</v>
      </c>
    </row>
    <row r="180" spans="7:8">
      <c r="G180" s="2" t="s">
        <v>201</v>
      </c>
      <c r="H180" s="2" t="s">
        <v>21</v>
      </c>
    </row>
    <row r="181" spans="7:8">
      <c r="G181" s="2" t="s">
        <v>202</v>
      </c>
      <c r="H181" s="2" t="s">
        <v>21</v>
      </c>
    </row>
    <row r="182" spans="7:8">
      <c r="G182" s="2" t="s">
        <v>203</v>
      </c>
      <c r="H182" s="2" t="s">
        <v>21</v>
      </c>
    </row>
    <row r="183" spans="7:8">
      <c r="G183" s="2" t="s">
        <v>204</v>
      </c>
      <c r="H183" s="2" t="s">
        <v>21</v>
      </c>
    </row>
    <row r="184" spans="7:8">
      <c r="G184" s="2" t="s">
        <v>205</v>
      </c>
      <c r="H184" s="2" t="s">
        <v>21</v>
      </c>
    </row>
    <row r="185" spans="7:8">
      <c r="G185" s="2" t="s">
        <v>206</v>
      </c>
      <c r="H185" s="2" t="s">
        <v>21</v>
      </c>
    </row>
    <row r="186" spans="7:8">
      <c r="G186" s="2" t="s">
        <v>207</v>
      </c>
      <c r="H186" s="2" t="s">
        <v>21</v>
      </c>
    </row>
    <row r="187" spans="7:8">
      <c r="G187" s="2" t="s">
        <v>208</v>
      </c>
      <c r="H187" s="2" t="s">
        <v>21</v>
      </c>
    </row>
    <row r="188" spans="7:8">
      <c r="G188" s="2" t="s">
        <v>209</v>
      </c>
      <c r="H188" s="2" t="s">
        <v>21</v>
      </c>
    </row>
    <row r="189" spans="7:8">
      <c r="G189" s="2" t="s">
        <v>210</v>
      </c>
      <c r="H189" s="2" t="s">
        <v>21</v>
      </c>
    </row>
    <row r="190" spans="7:8">
      <c r="G190" s="2" t="s">
        <v>211</v>
      </c>
      <c r="H190" s="2" t="s">
        <v>21</v>
      </c>
    </row>
    <row r="191" spans="7:8">
      <c r="G191" s="2" t="s">
        <v>212</v>
      </c>
      <c r="H191" s="2" t="s">
        <v>21</v>
      </c>
    </row>
    <row r="192" spans="7:8">
      <c r="G192" s="2" t="s">
        <v>213</v>
      </c>
      <c r="H192" s="2" t="s">
        <v>21</v>
      </c>
    </row>
    <row r="193" spans="7:8">
      <c r="G193" s="2" t="s">
        <v>214</v>
      </c>
      <c r="H193" s="2" t="s">
        <v>21</v>
      </c>
    </row>
    <row r="194" spans="7:8">
      <c r="G194" s="2" t="s">
        <v>215</v>
      </c>
      <c r="H194" s="2" t="s">
        <v>21</v>
      </c>
    </row>
    <row r="195" spans="7:8">
      <c r="G195" s="2" t="s">
        <v>216</v>
      </c>
      <c r="H195" s="2" t="s">
        <v>21</v>
      </c>
    </row>
    <row r="196" spans="7:8">
      <c r="G196" s="2" t="s">
        <v>217</v>
      </c>
      <c r="H196" s="2" t="s">
        <v>9</v>
      </c>
    </row>
    <row r="197" spans="7:8">
      <c r="G197" s="2" t="s">
        <v>218</v>
      </c>
      <c r="H197" s="2" t="s">
        <v>9</v>
      </c>
    </row>
    <row r="198" spans="7:8">
      <c r="G198" s="2" t="s">
        <v>219</v>
      </c>
      <c r="H198" s="2" t="s">
        <v>87</v>
      </c>
    </row>
    <row r="199" spans="7:8">
      <c r="G199" s="2" t="s">
        <v>220</v>
      </c>
      <c r="H199" s="2" t="s">
        <v>87</v>
      </c>
    </row>
    <row r="200" spans="7:8">
      <c r="G200" s="2" t="s">
        <v>221</v>
      </c>
      <c r="H200" s="2" t="s">
        <v>87</v>
      </c>
    </row>
    <row r="201" spans="7:8">
      <c r="G201" s="2" t="s">
        <v>222</v>
      </c>
      <c r="H201" s="2" t="s">
        <v>87</v>
      </c>
    </row>
    <row r="202" spans="7:8">
      <c r="G202" s="2" t="s">
        <v>223</v>
      </c>
      <c r="H202" s="2" t="s">
        <v>87</v>
      </c>
    </row>
    <row r="203" spans="7:8">
      <c r="G203" s="2" t="s">
        <v>224</v>
      </c>
      <c r="H203" s="2" t="s">
        <v>87</v>
      </c>
    </row>
    <row r="204" spans="7:8">
      <c r="G204" s="2" t="s">
        <v>225</v>
      </c>
      <c r="H204" s="2" t="s">
        <v>87</v>
      </c>
    </row>
    <row r="205" spans="7:8">
      <c r="G205" s="2" t="s">
        <v>226</v>
      </c>
      <c r="H205" s="2" t="s">
        <v>87</v>
      </c>
    </row>
    <row r="206" spans="7:8">
      <c r="G206" s="2" t="s">
        <v>227</v>
      </c>
      <c r="H206" s="2" t="s">
        <v>87</v>
      </c>
    </row>
    <row r="207" spans="7:8">
      <c r="G207" s="2" t="s">
        <v>228</v>
      </c>
      <c r="H207" s="2" t="s">
        <v>87</v>
      </c>
    </row>
    <row r="208" spans="7:8">
      <c r="G208" s="2" t="s">
        <v>229</v>
      </c>
      <c r="H208" s="2" t="s">
        <v>87</v>
      </c>
    </row>
    <row r="209" spans="7:8">
      <c r="G209" s="2" t="s">
        <v>230</v>
      </c>
      <c r="H209" s="2" t="s">
        <v>9</v>
      </c>
    </row>
    <row r="210" spans="7:8">
      <c r="G210" s="2" t="s">
        <v>231</v>
      </c>
      <c r="H210" s="2" t="s">
        <v>9</v>
      </c>
    </row>
    <row r="211" spans="7:8">
      <c r="G211" s="2" t="s">
        <v>231</v>
      </c>
      <c r="H211" s="2" t="s">
        <v>87</v>
      </c>
    </row>
    <row r="212" spans="7:8">
      <c r="G212" s="2" t="s">
        <v>232</v>
      </c>
      <c r="H212" s="2" t="s">
        <v>87</v>
      </c>
    </row>
    <row r="213" spans="7:8">
      <c r="G213" s="2" t="s">
        <v>233</v>
      </c>
      <c r="H213" s="2" t="s">
        <v>9</v>
      </c>
    </row>
    <row r="214" spans="7:8">
      <c r="G214" s="2" t="s">
        <v>234</v>
      </c>
      <c r="H214" s="2" t="s">
        <v>9</v>
      </c>
    </row>
    <row r="215" spans="7:8">
      <c r="G215" s="2" t="s">
        <v>234</v>
      </c>
      <c r="H215" s="2" t="s">
        <v>87</v>
      </c>
    </row>
    <row r="216" spans="7:8">
      <c r="G216" s="2" t="s">
        <v>235</v>
      </c>
      <c r="H216" s="2" t="s">
        <v>87</v>
      </c>
    </row>
    <row r="217" spans="7:8">
      <c r="G217" s="2" t="s">
        <v>236</v>
      </c>
      <c r="H217" s="2" t="s">
        <v>87</v>
      </c>
    </row>
    <row r="218" spans="7:8">
      <c r="G218" s="2" t="s">
        <v>237</v>
      </c>
      <c r="H218" s="2" t="s">
        <v>9</v>
      </c>
    </row>
    <row r="219" spans="7:8">
      <c r="G219" s="2" t="s">
        <v>237</v>
      </c>
      <c r="H219" s="2" t="s">
        <v>87</v>
      </c>
    </row>
    <row r="220" spans="7:8">
      <c r="G220" s="2" t="s">
        <v>238</v>
      </c>
      <c r="H220" s="2" t="s">
        <v>87</v>
      </c>
    </row>
    <row r="221" spans="7:8">
      <c r="G221" s="2" t="s">
        <v>239</v>
      </c>
      <c r="H221" s="2" t="s">
        <v>9</v>
      </c>
    </row>
    <row r="222" spans="7:8">
      <c r="G222" s="2" t="s">
        <v>240</v>
      </c>
      <c r="H222" s="2" t="s">
        <v>87</v>
      </c>
    </row>
    <row r="223" spans="7:8">
      <c r="G223" s="2" t="s">
        <v>241</v>
      </c>
      <c r="H223" s="2" t="s">
        <v>87</v>
      </c>
    </row>
    <row r="224" spans="7:8">
      <c r="G224" s="2" t="s">
        <v>242</v>
      </c>
      <c r="H224" s="2" t="s">
        <v>9</v>
      </c>
    </row>
    <row r="225" spans="7:8">
      <c r="G225" s="2" t="s">
        <v>243</v>
      </c>
      <c r="H225" s="2" t="s">
        <v>87</v>
      </c>
    </row>
    <row r="226" spans="7:8">
      <c r="G226" s="2" t="s">
        <v>244</v>
      </c>
      <c r="H226" s="2" t="s">
        <v>87</v>
      </c>
    </row>
    <row r="227" spans="7:8">
      <c r="G227" s="2" t="s">
        <v>245</v>
      </c>
      <c r="H227" s="2" t="s">
        <v>9</v>
      </c>
    </row>
    <row r="228" spans="7:8">
      <c r="G228" s="2" t="s">
        <v>246</v>
      </c>
      <c r="H228" s="2" t="s">
        <v>87</v>
      </c>
    </row>
    <row r="229" spans="7:8">
      <c r="G229" s="2" t="s">
        <v>247</v>
      </c>
      <c r="H229" s="2" t="s">
        <v>87</v>
      </c>
    </row>
    <row r="230" spans="7:8">
      <c r="G230" s="2" t="s">
        <v>248</v>
      </c>
      <c r="H230" s="2" t="s">
        <v>87</v>
      </c>
    </row>
    <row r="231" spans="7:8">
      <c r="G231" s="2" t="s">
        <v>249</v>
      </c>
      <c r="H231" s="2" t="s">
        <v>87</v>
      </c>
    </row>
    <row r="232" spans="7:8">
      <c r="G232" t="s">
        <v>250</v>
      </c>
      <c r="H232" s="6" t="s">
        <v>26</v>
      </c>
    </row>
    <row r="233" spans="7:8">
      <c r="G233" s="2" t="s">
        <v>251</v>
      </c>
      <c r="H233" s="6" t="s">
        <v>26</v>
      </c>
    </row>
    <row r="234" spans="7:8">
      <c r="G234" s="2" t="s">
        <v>252</v>
      </c>
      <c r="H234" s="2" t="s">
        <v>26</v>
      </c>
    </row>
    <row r="235" spans="7:8">
      <c r="G235" s="2" t="s">
        <v>253</v>
      </c>
      <c r="H235" s="2" t="s">
        <v>26</v>
      </c>
    </row>
    <row r="236" spans="7:8">
      <c r="G236" s="2" t="s">
        <v>254</v>
      </c>
      <c r="H236" s="2" t="s">
        <v>5</v>
      </c>
    </row>
    <row r="237" spans="7:8">
      <c r="G237" s="2" t="s">
        <v>254</v>
      </c>
      <c r="H237" s="2" t="s">
        <v>9</v>
      </c>
    </row>
    <row r="238" spans="7:8">
      <c r="G238" t="s">
        <v>255</v>
      </c>
      <c r="H238" s="6" t="s">
        <v>29</v>
      </c>
    </row>
    <row r="239" spans="7:8">
      <c r="G239" t="s">
        <v>256</v>
      </c>
      <c r="H239" s="6" t="s">
        <v>29</v>
      </c>
    </row>
    <row r="240" spans="7:8">
      <c r="G240" s="2" t="s">
        <v>257</v>
      </c>
      <c r="H240" s="2" t="s">
        <v>5</v>
      </c>
    </row>
    <row r="241" spans="7:8">
      <c r="G241" s="2" t="s">
        <v>258</v>
      </c>
      <c r="H241" s="2" t="s">
        <v>5</v>
      </c>
    </row>
    <row r="242" spans="7:8">
      <c r="G242" s="2" t="s">
        <v>259</v>
      </c>
      <c r="H242" s="2" t="s">
        <v>5</v>
      </c>
    </row>
    <row r="243" spans="7:8">
      <c r="G243" s="2" t="s">
        <v>260</v>
      </c>
      <c r="H243" s="2" t="s">
        <v>5</v>
      </c>
    </row>
    <row r="244" spans="7:8">
      <c r="G244" s="2" t="s">
        <v>261</v>
      </c>
      <c r="H244" s="2" t="s">
        <v>5</v>
      </c>
    </row>
    <row r="245" spans="7:8">
      <c r="G245" s="2" t="s">
        <v>262</v>
      </c>
      <c r="H245" s="2" t="s">
        <v>5</v>
      </c>
    </row>
    <row r="246" spans="7:8">
      <c r="G246" s="2" t="s">
        <v>263</v>
      </c>
      <c r="H246" s="2" t="s">
        <v>5</v>
      </c>
    </row>
    <row r="247" spans="7:8">
      <c r="G247" s="2" t="s">
        <v>264</v>
      </c>
      <c r="H247" s="2" t="s">
        <v>5</v>
      </c>
    </row>
    <row r="248" spans="7:8">
      <c r="G248" s="2" t="s">
        <v>265</v>
      </c>
      <c r="H248" s="2" t="s">
        <v>5</v>
      </c>
    </row>
    <row r="249" spans="7:8">
      <c r="G249" s="2" t="s">
        <v>266</v>
      </c>
      <c r="H249" s="2" t="s">
        <v>5</v>
      </c>
    </row>
    <row r="250" spans="7:8">
      <c r="G250" s="2" t="s">
        <v>267</v>
      </c>
      <c r="H250" s="2" t="s">
        <v>5</v>
      </c>
    </row>
    <row r="251" spans="7:8">
      <c r="G251" s="2" t="s">
        <v>268</v>
      </c>
      <c r="H251" s="2" t="s">
        <v>5</v>
      </c>
    </row>
    <row r="252" spans="7:8">
      <c r="G252" s="2" t="s">
        <v>269</v>
      </c>
      <c r="H252" s="2" t="s">
        <v>5</v>
      </c>
    </row>
    <row r="253" spans="7:8">
      <c r="G253" s="2" t="s">
        <v>270</v>
      </c>
      <c r="H253" s="2" t="s">
        <v>5</v>
      </c>
    </row>
    <row r="254" spans="7:8">
      <c r="G254" s="2" t="s">
        <v>271</v>
      </c>
      <c r="H254" s="2" t="s">
        <v>5</v>
      </c>
    </row>
    <row r="255" spans="7:8">
      <c r="G255" s="2" t="s">
        <v>272</v>
      </c>
      <c r="H255" s="2" t="s">
        <v>5</v>
      </c>
    </row>
    <row r="256" spans="7:8">
      <c r="G256" s="2" t="s">
        <v>273</v>
      </c>
      <c r="H256" s="2" t="s">
        <v>5</v>
      </c>
    </row>
    <row r="257" spans="7:8">
      <c r="G257" s="2" t="s">
        <v>274</v>
      </c>
      <c r="H257" s="2" t="s">
        <v>5</v>
      </c>
    </row>
    <row r="258" spans="7:8">
      <c r="G258" s="2" t="s">
        <v>275</v>
      </c>
      <c r="H258" s="2" t="s">
        <v>9</v>
      </c>
    </row>
    <row r="259" spans="7:8">
      <c r="G259" s="2" t="s">
        <v>275</v>
      </c>
      <c r="H259" s="2" t="s">
        <v>9</v>
      </c>
    </row>
    <row r="260" spans="7:8">
      <c r="G260" s="2" t="s">
        <v>276</v>
      </c>
      <c r="H260" s="2" t="s">
        <v>28</v>
      </c>
    </row>
    <row r="261" spans="7:8">
      <c r="G261" s="2" t="s">
        <v>277</v>
      </c>
      <c r="H261" s="2" t="s">
        <v>45</v>
      </c>
    </row>
    <row r="262" spans="7:8">
      <c r="G262" s="2" t="s">
        <v>278</v>
      </c>
      <c r="H262" s="2" t="s">
        <v>26</v>
      </c>
    </row>
    <row r="263" spans="7:8">
      <c r="G263" s="2" t="s">
        <v>278</v>
      </c>
      <c r="H263" s="2" t="s">
        <v>21</v>
      </c>
    </row>
    <row r="264" spans="7:8">
      <c r="G264" s="2" t="s">
        <v>279</v>
      </c>
      <c r="H264" s="2" t="s">
        <v>9</v>
      </c>
    </row>
    <row r="265" spans="7:8">
      <c r="G265" s="2" t="s">
        <v>280</v>
      </c>
      <c r="H265" s="2" t="s">
        <v>21</v>
      </c>
    </row>
    <row r="266" spans="7:8">
      <c r="G266" s="2" t="s">
        <v>281</v>
      </c>
      <c r="H266" s="2" t="s">
        <v>41</v>
      </c>
    </row>
    <row r="267" spans="7:8">
      <c r="G267" s="2" t="s">
        <v>282</v>
      </c>
      <c r="H267" s="2" t="s">
        <v>41</v>
      </c>
    </row>
    <row r="268" spans="7:8">
      <c r="G268" s="2" t="s">
        <v>283</v>
      </c>
      <c r="H268" s="2" t="s">
        <v>41</v>
      </c>
    </row>
    <row r="269" spans="7:8">
      <c r="G269" s="2" t="s">
        <v>284</v>
      </c>
      <c r="H269" s="2" t="s">
        <v>41</v>
      </c>
    </row>
    <row r="270" spans="7:8">
      <c r="G270" s="2" t="s">
        <v>285</v>
      </c>
      <c r="H270" s="2" t="s">
        <v>41</v>
      </c>
    </row>
    <row r="271" spans="7:8">
      <c r="G271" s="2" t="s">
        <v>286</v>
      </c>
      <c r="H271" s="2" t="s">
        <v>41</v>
      </c>
    </row>
    <row r="272" spans="7:8">
      <c r="G272" s="2" t="s">
        <v>287</v>
      </c>
      <c r="H272" s="2" t="s">
        <v>41</v>
      </c>
    </row>
    <row r="273" spans="7:8">
      <c r="G273" s="2" t="s">
        <v>288</v>
      </c>
      <c r="H273" s="2" t="s">
        <v>43</v>
      </c>
    </row>
    <row r="274" spans="7:8">
      <c r="G274" s="2" t="s">
        <v>289</v>
      </c>
      <c r="H274" s="2" t="s">
        <v>2</v>
      </c>
    </row>
    <row r="275" spans="7:8">
      <c r="G275" s="2" t="s">
        <v>290</v>
      </c>
      <c r="H275" s="2" t="s">
        <v>26</v>
      </c>
    </row>
    <row r="276" spans="7:8">
      <c r="G276" s="2" t="s">
        <v>291</v>
      </c>
      <c r="H276" s="2" t="s">
        <v>26</v>
      </c>
    </row>
    <row r="277" spans="7:8">
      <c r="G277" t="s">
        <v>292</v>
      </c>
      <c r="H277" s="6" t="s">
        <v>26</v>
      </c>
    </row>
    <row r="278" spans="7:8">
      <c r="G278" s="2" t="s">
        <v>293</v>
      </c>
      <c r="H278" s="2" t="s">
        <v>26</v>
      </c>
    </row>
    <row r="279" spans="7:8">
      <c r="G279" s="2" t="s">
        <v>294</v>
      </c>
      <c r="H279" s="2" t="s">
        <v>26</v>
      </c>
    </row>
    <row r="280" spans="7:8">
      <c r="G280" s="2" t="s">
        <v>295</v>
      </c>
      <c r="H280" s="2" t="s">
        <v>40</v>
      </c>
    </row>
    <row r="281" spans="7:8">
      <c r="G281" s="2" t="s">
        <v>296</v>
      </c>
      <c r="H281" s="2" t="s">
        <v>40</v>
      </c>
    </row>
    <row r="282" spans="7:8">
      <c r="G282" s="2" t="s">
        <v>297</v>
      </c>
      <c r="H282" s="2" t="s">
        <v>26</v>
      </c>
    </row>
    <row r="283" spans="7:8">
      <c r="G283" s="2" t="s">
        <v>298</v>
      </c>
      <c r="H283" s="2" t="s">
        <v>26</v>
      </c>
    </row>
    <row r="284" spans="7:8">
      <c r="G284" s="2" t="s">
        <v>299</v>
      </c>
      <c r="H284" s="2" t="s">
        <v>26</v>
      </c>
    </row>
    <row r="285" spans="7:8">
      <c r="G285" s="2" t="s">
        <v>300</v>
      </c>
      <c r="H285" s="2" t="s">
        <v>26</v>
      </c>
    </row>
    <row r="286" spans="7:8">
      <c r="G286" s="2" t="s">
        <v>301</v>
      </c>
      <c r="H286" s="2" t="s">
        <v>23</v>
      </c>
    </row>
    <row r="287" spans="7:8">
      <c r="G287" t="s">
        <v>301</v>
      </c>
      <c r="H287" s="6" t="s">
        <v>23</v>
      </c>
    </row>
    <row r="288" spans="7:8">
      <c r="G288" s="2" t="s">
        <v>302</v>
      </c>
      <c r="H288" s="2" t="s">
        <v>26</v>
      </c>
    </row>
    <row r="289" spans="7:8">
      <c r="G289" s="2" t="s">
        <v>303</v>
      </c>
      <c r="H289" s="2" t="s">
        <v>26</v>
      </c>
    </row>
    <row r="290" spans="7:8">
      <c r="G290" s="2" t="s">
        <v>304</v>
      </c>
      <c r="H290" s="2" t="s">
        <v>21</v>
      </c>
    </row>
    <row r="291" spans="7:8">
      <c r="G291" s="2" t="s">
        <v>305</v>
      </c>
      <c r="H291" s="2" t="s">
        <v>69</v>
      </c>
    </row>
    <row r="292" spans="7:8">
      <c r="G292" s="2" t="s">
        <v>305</v>
      </c>
      <c r="H292" s="2" t="s">
        <v>9</v>
      </c>
    </row>
    <row r="293" spans="7:8">
      <c r="G293" s="2" t="s">
        <v>306</v>
      </c>
      <c r="H293" s="2" t="s">
        <v>2</v>
      </c>
    </row>
    <row r="294" spans="7:8">
      <c r="G294" s="2" t="s">
        <v>307</v>
      </c>
      <c r="H294" s="2" t="s">
        <v>2</v>
      </c>
    </row>
    <row r="295" spans="7:8">
      <c r="G295" t="s">
        <v>308</v>
      </c>
      <c r="H295" s="6" t="s">
        <v>2</v>
      </c>
    </row>
    <row r="296" spans="7:8">
      <c r="G296" s="2" t="s">
        <v>309</v>
      </c>
      <c r="H296" s="2" t="s">
        <v>2</v>
      </c>
    </row>
    <row r="297" spans="7:8">
      <c r="G297" t="s">
        <v>309</v>
      </c>
      <c r="H297" s="6" t="s">
        <v>2</v>
      </c>
    </row>
    <row r="298" spans="7:8">
      <c r="G298" s="2" t="s">
        <v>310</v>
      </c>
      <c r="H298" s="2" t="s">
        <v>2</v>
      </c>
    </row>
    <row r="299" spans="7:8">
      <c r="G299" s="2" t="s">
        <v>311</v>
      </c>
      <c r="H299" s="2" t="s">
        <v>50</v>
      </c>
    </row>
    <row r="300" spans="7:8">
      <c r="G300" s="2" t="s">
        <v>312</v>
      </c>
      <c r="H300" s="2" t="s">
        <v>50</v>
      </c>
    </row>
    <row r="301" spans="7:8">
      <c r="G301" s="2" t="s">
        <v>312</v>
      </c>
      <c r="H301" s="2" t="s">
        <v>2</v>
      </c>
    </row>
    <row r="302" spans="7:8">
      <c r="G302" s="2" t="s">
        <v>313</v>
      </c>
      <c r="H302" s="2" t="s">
        <v>26</v>
      </c>
    </row>
    <row r="303" spans="7:8">
      <c r="G303" s="2" t="s">
        <v>314</v>
      </c>
      <c r="H303" s="2" t="s">
        <v>40</v>
      </c>
    </row>
    <row r="304" spans="7:8">
      <c r="G304" s="2" t="s">
        <v>315</v>
      </c>
      <c r="H304" s="2" t="s">
        <v>43</v>
      </c>
    </row>
    <row r="305" spans="7:8">
      <c r="G305" s="2" t="s">
        <v>316</v>
      </c>
      <c r="H305" s="2" t="s">
        <v>23</v>
      </c>
    </row>
    <row r="306" spans="7:8">
      <c r="G306" t="s">
        <v>317</v>
      </c>
      <c r="H306" s="6" t="s">
        <v>23</v>
      </c>
    </row>
    <row r="307" spans="7:8">
      <c r="G307" t="s">
        <v>318</v>
      </c>
      <c r="H307" s="6" t="s">
        <v>26</v>
      </c>
    </row>
    <row r="308" spans="7:8">
      <c r="G308" s="2" t="s">
        <v>319</v>
      </c>
      <c r="H308" s="2" t="s">
        <v>40</v>
      </c>
    </row>
    <row r="309" spans="7:8">
      <c r="G309" t="s">
        <v>320</v>
      </c>
      <c r="H309" s="6" t="s">
        <v>23</v>
      </c>
    </row>
    <row r="310" spans="7:8">
      <c r="G310" s="2" t="s">
        <v>321</v>
      </c>
      <c r="H310" s="2" t="s">
        <v>26</v>
      </c>
    </row>
    <row r="311" spans="7:8">
      <c r="G311" s="2" t="s">
        <v>322</v>
      </c>
      <c r="H311" s="2" t="s">
        <v>28</v>
      </c>
    </row>
    <row r="312" spans="7:8">
      <c r="G312" s="2" t="s">
        <v>323</v>
      </c>
      <c r="H312" s="2" t="s">
        <v>26</v>
      </c>
    </row>
    <row r="313" spans="7:8">
      <c r="G313" s="2" t="s">
        <v>324</v>
      </c>
      <c r="H313" s="2" t="s">
        <v>26</v>
      </c>
    </row>
    <row r="314" spans="7:8">
      <c r="G314" s="2" t="s">
        <v>325</v>
      </c>
      <c r="H314" s="2" t="s">
        <v>40</v>
      </c>
    </row>
    <row r="315" spans="7:8">
      <c r="G315" s="2" t="s">
        <v>326</v>
      </c>
      <c r="H315" s="2" t="s">
        <v>40</v>
      </c>
    </row>
    <row r="316" spans="7:8">
      <c r="G316" s="2" t="s">
        <v>327</v>
      </c>
      <c r="H316" s="2" t="s">
        <v>28</v>
      </c>
    </row>
    <row r="317" spans="7:8">
      <c r="G317" s="2" t="s">
        <v>328</v>
      </c>
      <c r="H317" s="2" t="s">
        <v>23</v>
      </c>
    </row>
    <row r="318" spans="7:8">
      <c r="G318" s="2" t="s">
        <v>329</v>
      </c>
      <c r="H318" s="2" t="s">
        <v>26</v>
      </c>
    </row>
    <row r="319" spans="7:8">
      <c r="G319" s="2" t="s">
        <v>330</v>
      </c>
      <c r="H319" s="2" t="s">
        <v>26</v>
      </c>
    </row>
    <row r="320" spans="7:8">
      <c r="G320" s="2" t="s">
        <v>331</v>
      </c>
      <c r="H320" s="2" t="s">
        <v>26</v>
      </c>
    </row>
    <row r="321" spans="7:8">
      <c r="G321" s="2" t="s">
        <v>331</v>
      </c>
      <c r="H321" s="2" t="s">
        <v>26</v>
      </c>
    </row>
    <row r="322" spans="7:8">
      <c r="G322" s="2" t="s">
        <v>332</v>
      </c>
      <c r="H322" s="2" t="s">
        <v>26</v>
      </c>
    </row>
    <row r="323" spans="7:8">
      <c r="G323" s="2" t="s">
        <v>333</v>
      </c>
      <c r="H323" s="2" t="s">
        <v>26</v>
      </c>
    </row>
    <row r="324" spans="7:8">
      <c r="G324" s="2" t="s">
        <v>334</v>
      </c>
      <c r="H324" s="2" t="s">
        <v>9</v>
      </c>
    </row>
    <row r="325" spans="7:8">
      <c r="G325" s="2" t="s">
        <v>335</v>
      </c>
      <c r="H325" s="2" t="s">
        <v>9</v>
      </c>
    </row>
    <row r="326" spans="7:8">
      <c r="G326" s="2" t="s">
        <v>336</v>
      </c>
      <c r="H326" s="2" t="s">
        <v>21</v>
      </c>
    </row>
    <row r="327" spans="7:8">
      <c r="G327" s="2" t="s">
        <v>337</v>
      </c>
      <c r="H327" s="2" t="s">
        <v>21</v>
      </c>
    </row>
    <row r="328" spans="7:8">
      <c r="G328" s="2" t="s">
        <v>338</v>
      </c>
      <c r="H328" s="2" t="s">
        <v>28</v>
      </c>
    </row>
    <row r="329" spans="7:8">
      <c r="G329" s="2" t="s">
        <v>339</v>
      </c>
      <c r="H329" s="2" t="s">
        <v>40</v>
      </c>
    </row>
    <row r="330" spans="7:8">
      <c r="G330" s="2" t="s">
        <v>340</v>
      </c>
      <c r="H330" s="2" t="s">
        <v>40</v>
      </c>
    </row>
    <row r="331" spans="7:8">
      <c r="G331" s="2" t="s">
        <v>341</v>
      </c>
      <c r="H331" s="2" t="s">
        <v>40</v>
      </c>
    </row>
    <row r="332" spans="7:8">
      <c r="G332" t="s">
        <v>342</v>
      </c>
      <c r="H332" s="2" t="s">
        <v>40</v>
      </c>
    </row>
    <row r="333" spans="7:8">
      <c r="G333" s="2" t="s">
        <v>343</v>
      </c>
      <c r="H333" s="2" t="s">
        <v>26</v>
      </c>
    </row>
    <row r="334" spans="7:8">
      <c r="G334" s="2" t="s">
        <v>344</v>
      </c>
      <c r="H334" s="2" t="s">
        <v>26</v>
      </c>
    </row>
    <row r="335" spans="7:8">
      <c r="G335" s="2" t="s">
        <v>345</v>
      </c>
      <c r="H335" s="2" t="s">
        <v>45</v>
      </c>
    </row>
    <row r="336" spans="7:8">
      <c r="G336" s="2" t="s">
        <v>346</v>
      </c>
      <c r="H336" s="2" t="s">
        <v>21</v>
      </c>
    </row>
    <row r="337" spans="7:8">
      <c r="G337" s="2" t="s">
        <v>347</v>
      </c>
      <c r="H337" s="2" t="s">
        <v>26</v>
      </c>
    </row>
    <row r="338" spans="7:8">
      <c r="G338" s="2" t="s">
        <v>347</v>
      </c>
      <c r="H338" s="2" t="s">
        <v>26</v>
      </c>
    </row>
    <row r="339" spans="7:8">
      <c r="G339" s="2" t="s">
        <v>348</v>
      </c>
      <c r="H339" s="2" t="s">
        <v>26</v>
      </c>
    </row>
    <row r="340" spans="7:8">
      <c r="G340" s="2" t="s">
        <v>349</v>
      </c>
      <c r="H340" s="2" t="s">
        <v>26</v>
      </c>
    </row>
    <row r="341" spans="7:8">
      <c r="G341" s="2" t="s">
        <v>350</v>
      </c>
      <c r="H341" s="2" t="s">
        <v>26</v>
      </c>
    </row>
    <row r="342" spans="7:8">
      <c r="G342" s="2" t="s">
        <v>351</v>
      </c>
      <c r="H342" s="2" t="s">
        <v>26</v>
      </c>
    </row>
    <row r="343" spans="7:8">
      <c r="G343" s="2" t="s">
        <v>352</v>
      </c>
      <c r="H343" s="2" t="s">
        <v>26</v>
      </c>
    </row>
    <row r="344" spans="7:8">
      <c r="G344" s="2" t="s">
        <v>353</v>
      </c>
      <c r="H344" s="2" t="s">
        <v>26</v>
      </c>
    </row>
    <row r="345" spans="7:8">
      <c r="G345" s="2" t="s">
        <v>354</v>
      </c>
      <c r="H345" s="2" t="s">
        <v>59</v>
      </c>
    </row>
    <row r="346" spans="7:8">
      <c r="G346" s="2" t="s">
        <v>354</v>
      </c>
      <c r="H346" s="2" t="s">
        <v>9</v>
      </c>
    </row>
    <row r="347" spans="7:8">
      <c r="G347" s="2" t="s">
        <v>354</v>
      </c>
      <c r="H347" s="2" t="s">
        <v>57</v>
      </c>
    </row>
    <row r="348" spans="7:8">
      <c r="G348" s="2" t="s">
        <v>355</v>
      </c>
      <c r="H348" s="2" t="s">
        <v>65</v>
      </c>
    </row>
    <row r="349" spans="7:8">
      <c r="G349" s="2" t="s">
        <v>356</v>
      </c>
      <c r="H349" s="2" t="s">
        <v>65</v>
      </c>
    </row>
    <row r="350" spans="7:8">
      <c r="G350" s="2" t="s">
        <v>357</v>
      </c>
      <c r="H350" s="2" t="s">
        <v>65</v>
      </c>
    </row>
    <row r="351" spans="7:8">
      <c r="G351" s="2" t="s">
        <v>358</v>
      </c>
      <c r="H351" s="2" t="s">
        <v>65</v>
      </c>
    </row>
    <row r="352" spans="7:8">
      <c r="G352" s="2" t="s">
        <v>359</v>
      </c>
      <c r="H352" s="2" t="s">
        <v>65</v>
      </c>
    </row>
    <row r="353" spans="7:8">
      <c r="G353" s="2" t="s">
        <v>360</v>
      </c>
      <c r="H353" s="2" t="s">
        <v>65</v>
      </c>
    </row>
    <row r="354" spans="7:8">
      <c r="G354" s="2" t="s">
        <v>361</v>
      </c>
      <c r="H354" s="2" t="s">
        <v>65</v>
      </c>
    </row>
    <row r="355" spans="7:8">
      <c r="G355" s="2" t="s">
        <v>362</v>
      </c>
      <c r="H355" s="2" t="s">
        <v>65</v>
      </c>
    </row>
    <row r="356" spans="7:8">
      <c r="G356" s="2" t="s">
        <v>363</v>
      </c>
      <c r="H356" s="2" t="s">
        <v>65</v>
      </c>
    </row>
    <row r="357" spans="7:8">
      <c r="G357" s="2" t="s">
        <v>364</v>
      </c>
      <c r="H357" s="2" t="s">
        <v>65</v>
      </c>
    </row>
    <row r="358" spans="7:8">
      <c r="G358" s="2" t="s">
        <v>365</v>
      </c>
      <c r="H358" s="2" t="s">
        <v>65</v>
      </c>
    </row>
    <row r="359" spans="7:8">
      <c r="G359" s="2" t="s">
        <v>366</v>
      </c>
      <c r="H359" s="2" t="s">
        <v>65</v>
      </c>
    </row>
    <row r="360" spans="7:8">
      <c r="G360" s="2" t="s">
        <v>367</v>
      </c>
      <c r="H360" s="2" t="s">
        <v>65</v>
      </c>
    </row>
    <row r="361" spans="7:8">
      <c r="G361" s="2" t="s">
        <v>368</v>
      </c>
      <c r="H361" s="2" t="s">
        <v>65</v>
      </c>
    </row>
    <row r="362" spans="7:8">
      <c r="G362" s="2" t="s">
        <v>369</v>
      </c>
      <c r="H362" s="2" t="s">
        <v>65</v>
      </c>
    </row>
    <row r="363" spans="7:8">
      <c r="G363" s="2" t="s">
        <v>370</v>
      </c>
      <c r="H363" s="2" t="s">
        <v>65</v>
      </c>
    </row>
    <row r="364" spans="7:8">
      <c r="G364" s="2" t="s">
        <v>371</v>
      </c>
      <c r="H364" s="2" t="s">
        <v>65</v>
      </c>
    </row>
    <row r="365" spans="7:8">
      <c r="G365" s="2" t="s">
        <v>372</v>
      </c>
      <c r="H365" s="2" t="s">
        <v>65</v>
      </c>
    </row>
    <row r="366" spans="7:8">
      <c r="G366" s="2" t="s">
        <v>373</v>
      </c>
      <c r="H366" s="2" t="s">
        <v>65</v>
      </c>
    </row>
    <row r="367" spans="7:8">
      <c r="G367" s="2" t="s">
        <v>374</v>
      </c>
      <c r="H367" s="2" t="s">
        <v>65</v>
      </c>
    </row>
    <row r="368" spans="7:8">
      <c r="G368" s="2" t="s">
        <v>375</v>
      </c>
      <c r="H368" s="2" t="s">
        <v>65</v>
      </c>
    </row>
    <row r="369" spans="7:8">
      <c r="G369" s="2" t="s">
        <v>376</v>
      </c>
      <c r="H369" s="2" t="s">
        <v>65</v>
      </c>
    </row>
    <row r="370" spans="7:8">
      <c r="G370" s="2" t="s">
        <v>377</v>
      </c>
      <c r="H370" s="2" t="s">
        <v>65</v>
      </c>
    </row>
    <row r="371" spans="7:8">
      <c r="G371" s="2" t="s">
        <v>378</v>
      </c>
      <c r="H371" s="2" t="s">
        <v>65</v>
      </c>
    </row>
    <row r="372" spans="7:8">
      <c r="G372" s="2" t="s">
        <v>379</v>
      </c>
      <c r="H372" s="2" t="s">
        <v>65</v>
      </c>
    </row>
    <row r="373" spans="7:8">
      <c r="G373" s="2" t="s">
        <v>380</v>
      </c>
      <c r="H373" s="2" t="s">
        <v>65</v>
      </c>
    </row>
    <row r="374" spans="7:8">
      <c r="G374" s="2" t="s">
        <v>381</v>
      </c>
      <c r="H374" s="2" t="s">
        <v>65</v>
      </c>
    </row>
    <row r="375" spans="7:8">
      <c r="G375" s="2" t="s">
        <v>382</v>
      </c>
      <c r="H375" s="2" t="s">
        <v>65</v>
      </c>
    </row>
    <row r="376" spans="7:8">
      <c r="G376" s="2" t="s">
        <v>383</v>
      </c>
      <c r="H376" s="2" t="s">
        <v>65</v>
      </c>
    </row>
    <row r="377" spans="7:8">
      <c r="G377" s="2" t="s">
        <v>384</v>
      </c>
      <c r="H377" s="2" t="s">
        <v>65</v>
      </c>
    </row>
    <row r="378" spans="7:8">
      <c r="G378" s="2" t="s">
        <v>385</v>
      </c>
      <c r="H378" s="2" t="s">
        <v>65</v>
      </c>
    </row>
    <row r="379" spans="7:8">
      <c r="G379" s="2" t="s">
        <v>386</v>
      </c>
      <c r="H379" s="2" t="s">
        <v>65</v>
      </c>
    </row>
    <row r="380" spans="7:8">
      <c r="G380" s="2" t="s">
        <v>387</v>
      </c>
      <c r="H380" s="2" t="s">
        <v>65</v>
      </c>
    </row>
    <row r="381" spans="7:8">
      <c r="G381" s="2" t="s">
        <v>388</v>
      </c>
      <c r="H381" s="2" t="s">
        <v>65</v>
      </c>
    </row>
    <row r="382" spans="7:8">
      <c r="G382" s="2" t="s">
        <v>389</v>
      </c>
      <c r="H382" s="2" t="s">
        <v>65</v>
      </c>
    </row>
    <row r="383" spans="7:8">
      <c r="G383" s="2" t="s">
        <v>390</v>
      </c>
      <c r="H383" s="2" t="s">
        <v>65</v>
      </c>
    </row>
    <row r="384" spans="7:8">
      <c r="G384" s="2" t="s">
        <v>391</v>
      </c>
      <c r="H384" s="2" t="s">
        <v>65</v>
      </c>
    </row>
    <row r="385" spans="7:8">
      <c r="G385" s="2" t="s">
        <v>392</v>
      </c>
      <c r="H385" s="2" t="s">
        <v>65</v>
      </c>
    </row>
    <row r="386" spans="7:8">
      <c r="G386" s="2" t="s">
        <v>393</v>
      </c>
      <c r="H386" s="2" t="s">
        <v>65</v>
      </c>
    </row>
    <row r="387" spans="7:8">
      <c r="G387" s="2" t="s">
        <v>394</v>
      </c>
      <c r="H387" s="2" t="s">
        <v>65</v>
      </c>
    </row>
    <row r="388" spans="7:8">
      <c r="G388" s="2" t="s">
        <v>395</v>
      </c>
      <c r="H388" s="2" t="s">
        <v>65</v>
      </c>
    </row>
    <row r="389" spans="7:8">
      <c r="G389" s="2" t="s">
        <v>396</v>
      </c>
      <c r="H389" s="2" t="s">
        <v>65</v>
      </c>
    </row>
    <row r="390" spans="7:8">
      <c r="G390" s="2" t="s">
        <v>397</v>
      </c>
      <c r="H390" s="2" t="s">
        <v>65</v>
      </c>
    </row>
    <row r="391" spans="7:8">
      <c r="G391" s="2" t="s">
        <v>398</v>
      </c>
      <c r="H391" s="2" t="s">
        <v>65</v>
      </c>
    </row>
    <row r="392" spans="7:8">
      <c r="G392" s="2" t="s">
        <v>399</v>
      </c>
      <c r="H392" s="2" t="s">
        <v>65</v>
      </c>
    </row>
    <row r="393" spans="7:8">
      <c r="G393" s="2" t="s">
        <v>400</v>
      </c>
      <c r="H393" s="2" t="s">
        <v>65</v>
      </c>
    </row>
    <row r="394" spans="7:8">
      <c r="G394" s="2" t="s">
        <v>401</v>
      </c>
      <c r="H394" s="2" t="s">
        <v>65</v>
      </c>
    </row>
    <row r="395" spans="7:8">
      <c r="G395" s="2" t="s">
        <v>402</v>
      </c>
      <c r="H395" s="2" t="s">
        <v>9</v>
      </c>
    </row>
    <row r="396" spans="7:8">
      <c r="G396" s="2" t="s">
        <v>402</v>
      </c>
      <c r="H396" s="2" t="s">
        <v>9</v>
      </c>
    </row>
    <row r="397" spans="7:8">
      <c r="G397" s="2" t="s">
        <v>403</v>
      </c>
      <c r="H397" s="2" t="s">
        <v>9</v>
      </c>
    </row>
    <row r="398" spans="7:8">
      <c r="G398" s="2" t="s">
        <v>404</v>
      </c>
      <c r="H398" s="2" t="s">
        <v>65</v>
      </c>
    </row>
    <row r="399" spans="7:8">
      <c r="G399" t="s">
        <v>404</v>
      </c>
      <c r="H399" s="2" t="s">
        <v>65</v>
      </c>
    </row>
    <row r="400" spans="7:8">
      <c r="G400" s="2" t="s">
        <v>405</v>
      </c>
      <c r="H400" s="2" t="s">
        <v>65</v>
      </c>
    </row>
    <row r="401" spans="7:8">
      <c r="G401" s="2" t="s">
        <v>406</v>
      </c>
      <c r="H401" s="2" t="s">
        <v>65</v>
      </c>
    </row>
    <row r="402" spans="7:8">
      <c r="G402" s="2" t="s">
        <v>407</v>
      </c>
      <c r="H402" s="2" t="s">
        <v>65</v>
      </c>
    </row>
    <row r="403" spans="7:8">
      <c r="G403" s="2" t="s">
        <v>408</v>
      </c>
      <c r="H403" s="2" t="s">
        <v>65</v>
      </c>
    </row>
    <row r="404" spans="7:8">
      <c r="G404" s="2" t="s">
        <v>409</v>
      </c>
      <c r="H404" s="2" t="s">
        <v>65</v>
      </c>
    </row>
    <row r="405" spans="7:8">
      <c r="G405" s="2" t="s">
        <v>410</v>
      </c>
      <c r="H405" s="2" t="s">
        <v>65</v>
      </c>
    </row>
    <row r="406" spans="7:8">
      <c r="G406" s="2" t="s">
        <v>411</v>
      </c>
      <c r="H406" s="2" t="s">
        <v>65</v>
      </c>
    </row>
    <row r="407" spans="7:8">
      <c r="G407" s="2" t="s">
        <v>412</v>
      </c>
      <c r="H407" s="2" t="s">
        <v>65</v>
      </c>
    </row>
    <row r="408" spans="7:8">
      <c r="G408" s="2" t="s">
        <v>413</v>
      </c>
      <c r="H408" s="2" t="s">
        <v>65</v>
      </c>
    </row>
    <row r="409" spans="7:8">
      <c r="G409" s="2" t="s">
        <v>414</v>
      </c>
      <c r="H409" s="2" t="s">
        <v>65</v>
      </c>
    </row>
    <row r="410" spans="7:8">
      <c r="G410" s="2" t="s">
        <v>415</v>
      </c>
      <c r="H410" s="2" t="s">
        <v>65</v>
      </c>
    </row>
    <row r="411" spans="7:8">
      <c r="G411" s="2" t="s">
        <v>416</v>
      </c>
      <c r="H411" s="2" t="s">
        <v>65</v>
      </c>
    </row>
    <row r="412" spans="7:8">
      <c r="G412" s="2" t="s">
        <v>417</v>
      </c>
      <c r="H412" s="2" t="s">
        <v>65</v>
      </c>
    </row>
    <row r="413" spans="7:8">
      <c r="G413" s="2" t="s">
        <v>418</v>
      </c>
      <c r="H413" s="2" t="s">
        <v>65</v>
      </c>
    </row>
    <row r="414" spans="7:8">
      <c r="G414" s="2" t="s">
        <v>419</v>
      </c>
      <c r="H414" s="2" t="s">
        <v>65</v>
      </c>
    </row>
    <row r="415" spans="7:8">
      <c r="G415" s="2" t="s">
        <v>420</v>
      </c>
      <c r="H415" s="2" t="s">
        <v>65</v>
      </c>
    </row>
    <row r="416" spans="7:8">
      <c r="G416" s="2" t="s">
        <v>421</v>
      </c>
      <c r="H416" s="2" t="s">
        <v>65</v>
      </c>
    </row>
    <row r="417" spans="7:8">
      <c r="G417" s="2" t="s">
        <v>422</v>
      </c>
      <c r="H417" s="2" t="s">
        <v>65</v>
      </c>
    </row>
    <row r="418" spans="7:8">
      <c r="G418" s="2" t="s">
        <v>423</v>
      </c>
      <c r="H418" s="2" t="s">
        <v>65</v>
      </c>
    </row>
    <row r="419" spans="7:8">
      <c r="G419" s="2" t="s">
        <v>424</v>
      </c>
      <c r="H419" s="2" t="s">
        <v>65</v>
      </c>
    </row>
    <row r="420" spans="7:8">
      <c r="G420" s="2" t="s">
        <v>424</v>
      </c>
      <c r="H420" s="2" t="s">
        <v>65</v>
      </c>
    </row>
    <row r="421" spans="7:8">
      <c r="G421" s="2" t="s">
        <v>425</v>
      </c>
      <c r="H421" s="2" t="s">
        <v>16</v>
      </c>
    </row>
    <row r="422" spans="7:8">
      <c r="G422" s="2" t="s">
        <v>426</v>
      </c>
      <c r="H422" s="2" t="s">
        <v>65</v>
      </c>
    </row>
    <row r="423" spans="7:8">
      <c r="G423" t="s">
        <v>426</v>
      </c>
      <c r="H423" s="2" t="s">
        <v>65</v>
      </c>
    </row>
    <row r="424" spans="7:8">
      <c r="G424" s="2" t="s">
        <v>427</v>
      </c>
      <c r="H424" s="2" t="s">
        <v>65</v>
      </c>
    </row>
    <row r="425" spans="7:8">
      <c r="G425" t="s">
        <v>427</v>
      </c>
      <c r="H425" s="2" t="s">
        <v>65</v>
      </c>
    </row>
    <row r="426" spans="7:8">
      <c r="G426" s="2" t="s">
        <v>428</v>
      </c>
      <c r="H426" s="2" t="s">
        <v>65</v>
      </c>
    </row>
    <row r="427" spans="7:8">
      <c r="G427" s="2" t="s">
        <v>429</v>
      </c>
      <c r="H427" s="2" t="s">
        <v>65</v>
      </c>
    </row>
    <row r="428" spans="7:8">
      <c r="G428" s="2" t="s">
        <v>430</v>
      </c>
      <c r="H428" s="2" t="s">
        <v>65</v>
      </c>
    </row>
    <row r="429" spans="7:8">
      <c r="G429" s="2" t="s">
        <v>431</v>
      </c>
      <c r="H429" s="2" t="s">
        <v>65</v>
      </c>
    </row>
    <row r="430" spans="7:8">
      <c r="G430" s="2" t="s">
        <v>432</v>
      </c>
      <c r="H430" s="2" t="s">
        <v>65</v>
      </c>
    </row>
    <row r="431" spans="7:8">
      <c r="G431" s="2" t="s">
        <v>433</v>
      </c>
      <c r="H431" s="2" t="s">
        <v>65</v>
      </c>
    </row>
    <row r="432" spans="7:8">
      <c r="G432" s="2" t="s">
        <v>434</v>
      </c>
      <c r="H432" s="2" t="s">
        <v>28</v>
      </c>
    </row>
    <row r="433" spans="7:8">
      <c r="G433" s="2" t="s">
        <v>435</v>
      </c>
      <c r="H433" s="2" t="s">
        <v>26</v>
      </c>
    </row>
    <row r="434" spans="7:8">
      <c r="G434" s="2" t="s">
        <v>436</v>
      </c>
      <c r="H434" s="2" t="s">
        <v>26</v>
      </c>
    </row>
    <row r="435" spans="7:8">
      <c r="G435" s="2" t="s">
        <v>437</v>
      </c>
      <c r="H435" s="2" t="s">
        <v>26</v>
      </c>
    </row>
    <row r="436" spans="7:8">
      <c r="G436" s="2" t="s">
        <v>438</v>
      </c>
      <c r="H436" s="2" t="s">
        <v>26</v>
      </c>
    </row>
    <row r="437" spans="7:8">
      <c r="G437" s="2" t="s">
        <v>439</v>
      </c>
      <c r="H437" s="2" t="s">
        <v>9</v>
      </c>
    </row>
    <row r="438" spans="7:8">
      <c r="G438" s="2" t="s">
        <v>439</v>
      </c>
      <c r="H438" s="2" t="s">
        <v>9</v>
      </c>
    </row>
    <row r="439" spans="7:8">
      <c r="G439" s="2" t="s">
        <v>440</v>
      </c>
      <c r="H439" s="2" t="s">
        <v>9</v>
      </c>
    </row>
    <row r="440" spans="7:8">
      <c r="G440" s="2" t="s">
        <v>440</v>
      </c>
      <c r="H440" s="2" t="s">
        <v>9</v>
      </c>
    </row>
    <row r="441" spans="7:8">
      <c r="G441" s="2" t="s">
        <v>441</v>
      </c>
      <c r="H441" s="2" t="s">
        <v>26</v>
      </c>
    </row>
    <row r="442" spans="7:8">
      <c r="G442" s="2" t="s">
        <v>442</v>
      </c>
      <c r="H442" s="2" t="s">
        <v>28</v>
      </c>
    </row>
    <row r="443" spans="7:8">
      <c r="G443" s="2" t="s">
        <v>442</v>
      </c>
      <c r="H443" s="2" t="s">
        <v>26</v>
      </c>
    </row>
    <row r="444" spans="7:8">
      <c r="G444" s="2" t="s">
        <v>443</v>
      </c>
      <c r="H444" s="2" t="s">
        <v>28</v>
      </c>
    </row>
    <row r="445" spans="7:8">
      <c r="G445" s="2" t="s">
        <v>444</v>
      </c>
      <c r="H445" s="2" t="s">
        <v>28</v>
      </c>
    </row>
    <row r="446" spans="7:8">
      <c r="G446" s="2" t="s">
        <v>445</v>
      </c>
      <c r="H446" s="2" t="s">
        <v>28</v>
      </c>
    </row>
    <row r="447" spans="7:8">
      <c r="G447" s="2" t="s">
        <v>446</v>
      </c>
      <c r="H447" s="2" t="s">
        <v>28</v>
      </c>
    </row>
    <row r="448" spans="7:8">
      <c r="G448" s="2" t="s">
        <v>447</v>
      </c>
      <c r="H448" s="2" t="s">
        <v>28</v>
      </c>
    </row>
    <row r="449" spans="7:8">
      <c r="G449" s="2" t="s">
        <v>448</v>
      </c>
      <c r="H449" s="2" t="s">
        <v>28</v>
      </c>
    </row>
    <row r="450" spans="7:8">
      <c r="G450" s="2" t="s">
        <v>449</v>
      </c>
      <c r="H450" s="2" t="s">
        <v>28</v>
      </c>
    </row>
    <row r="451" spans="7:8">
      <c r="G451" s="2" t="s">
        <v>450</v>
      </c>
      <c r="H451" s="2" t="s">
        <v>28</v>
      </c>
    </row>
    <row r="452" spans="7:8">
      <c r="G452" s="2" t="s">
        <v>451</v>
      </c>
      <c r="H452" s="2" t="s">
        <v>28</v>
      </c>
    </row>
    <row r="453" spans="7:8">
      <c r="G453" s="2" t="s">
        <v>452</v>
      </c>
      <c r="H453" s="2" t="s">
        <v>21</v>
      </c>
    </row>
    <row r="454" spans="7:8">
      <c r="G454" s="2" t="s">
        <v>453</v>
      </c>
      <c r="H454" s="2" t="s">
        <v>26</v>
      </c>
    </row>
    <row r="455" spans="7:8">
      <c r="G455" t="s">
        <v>454</v>
      </c>
      <c r="H455" s="6" t="s">
        <v>26</v>
      </c>
    </row>
    <row r="456" spans="7:8">
      <c r="G456" s="2" t="s">
        <v>455</v>
      </c>
      <c r="H456" s="2" t="s">
        <v>21</v>
      </c>
    </row>
    <row r="457" spans="7:8">
      <c r="G457" s="2" t="s">
        <v>456</v>
      </c>
      <c r="H457" s="2" t="s">
        <v>23</v>
      </c>
    </row>
    <row r="458" spans="7:8">
      <c r="G458" s="2" t="s">
        <v>456</v>
      </c>
      <c r="H458" s="2" t="s">
        <v>23</v>
      </c>
    </row>
    <row r="459" spans="7:8">
      <c r="G459" t="s">
        <v>457</v>
      </c>
      <c r="H459" s="6" t="s">
        <v>23</v>
      </c>
    </row>
    <row r="460" spans="7:8">
      <c r="G460" s="2" t="s">
        <v>458</v>
      </c>
      <c r="H460" s="2" t="s">
        <v>9</v>
      </c>
    </row>
    <row r="461" spans="7:8">
      <c r="G461" s="2" t="s">
        <v>459</v>
      </c>
      <c r="H461" s="2" t="s">
        <v>9</v>
      </c>
    </row>
    <row r="462" spans="7:8">
      <c r="G462" t="s">
        <v>459</v>
      </c>
      <c r="H462" s="6" t="s">
        <v>9</v>
      </c>
    </row>
    <row r="463" spans="7:8">
      <c r="G463" s="2" t="s">
        <v>460</v>
      </c>
      <c r="H463" s="2" t="s">
        <v>26</v>
      </c>
    </row>
    <row r="464" spans="7:8">
      <c r="G464" s="2" t="s">
        <v>461</v>
      </c>
      <c r="H464" s="2" t="s">
        <v>43</v>
      </c>
    </row>
    <row r="465" spans="7:8">
      <c r="G465" s="2" t="s">
        <v>462</v>
      </c>
      <c r="H465" s="2" t="s">
        <v>20</v>
      </c>
    </row>
    <row r="466" spans="7:8">
      <c r="G466" s="2" t="s">
        <v>463</v>
      </c>
      <c r="H466" s="2" t="s">
        <v>20</v>
      </c>
    </row>
    <row r="467" spans="7:8">
      <c r="G467" s="2" t="s">
        <v>464</v>
      </c>
      <c r="H467" s="2" t="s">
        <v>20</v>
      </c>
    </row>
    <row r="468" spans="7:8">
      <c r="G468" s="2" t="s">
        <v>465</v>
      </c>
      <c r="H468" s="2" t="s">
        <v>20</v>
      </c>
    </row>
    <row r="469" spans="7:8">
      <c r="G469" s="2" t="s">
        <v>466</v>
      </c>
      <c r="H469" s="2" t="s">
        <v>20</v>
      </c>
    </row>
    <row r="470" spans="7:8">
      <c r="G470" s="2" t="s">
        <v>467</v>
      </c>
      <c r="H470" s="2" t="s">
        <v>20</v>
      </c>
    </row>
    <row r="471" spans="7:8">
      <c r="G471" s="2" t="s">
        <v>468</v>
      </c>
      <c r="H471" s="2" t="s">
        <v>20</v>
      </c>
    </row>
    <row r="472" spans="7:8">
      <c r="G472" s="2" t="s">
        <v>469</v>
      </c>
      <c r="H472" s="2" t="s">
        <v>20</v>
      </c>
    </row>
    <row r="473" spans="7:8">
      <c r="G473" s="2" t="s">
        <v>470</v>
      </c>
      <c r="H473" s="2" t="s">
        <v>20</v>
      </c>
    </row>
    <row r="474" spans="7:8">
      <c r="G474" s="2" t="s">
        <v>471</v>
      </c>
      <c r="H474" s="2" t="s">
        <v>20</v>
      </c>
    </row>
    <row r="475" spans="7:8">
      <c r="G475" s="2" t="s">
        <v>472</v>
      </c>
      <c r="H475" s="2" t="s">
        <v>20</v>
      </c>
    </row>
    <row r="476" spans="7:8">
      <c r="G476" s="2" t="s">
        <v>473</v>
      </c>
      <c r="H476" s="2" t="s">
        <v>20</v>
      </c>
    </row>
    <row r="477" spans="7:8">
      <c r="G477" s="2" t="s">
        <v>474</v>
      </c>
      <c r="H477" s="2" t="s">
        <v>20</v>
      </c>
    </row>
    <row r="478" spans="7:8">
      <c r="G478" s="2" t="s">
        <v>475</v>
      </c>
      <c r="H478" s="2" t="s">
        <v>20</v>
      </c>
    </row>
    <row r="479" spans="7:8">
      <c r="G479" s="2" t="s">
        <v>476</v>
      </c>
      <c r="H479" s="2" t="s">
        <v>20</v>
      </c>
    </row>
    <row r="480" spans="7:8">
      <c r="G480" s="2" t="s">
        <v>477</v>
      </c>
      <c r="H480" s="2" t="s">
        <v>20</v>
      </c>
    </row>
    <row r="481" spans="7:8">
      <c r="G481" s="2" t="s">
        <v>478</v>
      </c>
      <c r="H481" s="2" t="s">
        <v>20</v>
      </c>
    </row>
    <row r="482" spans="7:8">
      <c r="G482" s="2" t="s">
        <v>479</v>
      </c>
      <c r="H482" s="2" t="s">
        <v>20</v>
      </c>
    </row>
    <row r="483" spans="7:8">
      <c r="G483" s="2" t="s">
        <v>480</v>
      </c>
      <c r="H483" s="2" t="s">
        <v>20</v>
      </c>
    </row>
    <row r="484" spans="7:8">
      <c r="G484" s="2" t="s">
        <v>481</v>
      </c>
      <c r="H484" s="2" t="s">
        <v>20</v>
      </c>
    </row>
    <row r="485" spans="7:8">
      <c r="G485" s="2" t="s">
        <v>482</v>
      </c>
      <c r="H485" s="2" t="s">
        <v>20</v>
      </c>
    </row>
    <row r="486" spans="7:8">
      <c r="G486" s="2" t="s">
        <v>483</v>
      </c>
      <c r="H486" s="2" t="s">
        <v>20</v>
      </c>
    </row>
    <row r="487" spans="7:8">
      <c r="G487" s="2" t="s">
        <v>484</v>
      </c>
      <c r="H487" s="2" t="s">
        <v>20</v>
      </c>
    </row>
    <row r="488" spans="7:8">
      <c r="G488" s="2" t="s">
        <v>485</v>
      </c>
      <c r="H488" s="2" t="s">
        <v>20</v>
      </c>
    </row>
    <row r="489" spans="7:8">
      <c r="G489" s="2" t="s">
        <v>486</v>
      </c>
      <c r="H489" s="2" t="s">
        <v>20</v>
      </c>
    </row>
    <row r="490" spans="7:8">
      <c r="G490" s="2" t="s">
        <v>487</v>
      </c>
      <c r="H490" s="2" t="s">
        <v>20</v>
      </c>
    </row>
    <row r="491" spans="7:8">
      <c r="G491" s="2" t="s">
        <v>488</v>
      </c>
      <c r="H491" s="2" t="s">
        <v>20</v>
      </c>
    </row>
    <row r="492" spans="7:8">
      <c r="G492" s="2" t="s">
        <v>489</v>
      </c>
      <c r="H492" s="2" t="s">
        <v>20</v>
      </c>
    </row>
    <row r="493" spans="7:8">
      <c r="G493" s="2" t="s">
        <v>490</v>
      </c>
      <c r="H493" s="2" t="s">
        <v>20</v>
      </c>
    </row>
    <row r="494" spans="7:8">
      <c r="G494" s="2" t="s">
        <v>491</v>
      </c>
      <c r="H494" s="2" t="s">
        <v>20</v>
      </c>
    </row>
    <row r="495" spans="7:8">
      <c r="G495" s="2" t="s">
        <v>492</v>
      </c>
      <c r="H495" s="2" t="s">
        <v>23</v>
      </c>
    </row>
    <row r="496" spans="7:8">
      <c r="G496" s="2" t="s">
        <v>493</v>
      </c>
      <c r="H496" s="2" t="s">
        <v>23</v>
      </c>
    </row>
    <row r="497" spans="7:8">
      <c r="G497" s="2" t="s">
        <v>494</v>
      </c>
      <c r="H497" s="2" t="s">
        <v>7</v>
      </c>
    </row>
    <row r="498" spans="7:8">
      <c r="G498" s="2" t="s">
        <v>495</v>
      </c>
      <c r="H498" s="2" t="s">
        <v>21</v>
      </c>
    </row>
    <row r="499" spans="7:8">
      <c r="G499" s="2" t="s">
        <v>496</v>
      </c>
      <c r="H499" s="2" t="s">
        <v>21</v>
      </c>
    </row>
    <row r="500" spans="7:8">
      <c r="G500" s="2" t="s">
        <v>497</v>
      </c>
      <c r="H500" s="2" t="s">
        <v>21</v>
      </c>
    </row>
    <row r="501" spans="7:8">
      <c r="G501" s="2" t="s">
        <v>498</v>
      </c>
      <c r="H501" s="2" t="s">
        <v>21</v>
      </c>
    </row>
    <row r="502" spans="7:8">
      <c r="G502" s="2" t="s">
        <v>499</v>
      </c>
      <c r="H502" s="2" t="s">
        <v>21</v>
      </c>
    </row>
    <row r="503" spans="7:8">
      <c r="G503" s="2" t="s">
        <v>500</v>
      </c>
      <c r="H503" s="2" t="s">
        <v>21</v>
      </c>
    </row>
    <row r="504" spans="7:8">
      <c r="G504" s="2" t="s">
        <v>501</v>
      </c>
      <c r="H504" s="2" t="s">
        <v>21</v>
      </c>
    </row>
    <row r="505" spans="7:8">
      <c r="G505" s="2" t="s">
        <v>502</v>
      </c>
      <c r="H505" s="2" t="s">
        <v>21</v>
      </c>
    </row>
    <row r="506" spans="7:8">
      <c r="G506" s="2" t="s">
        <v>503</v>
      </c>
      <c r="H506" s="2" t="s">
        <v>21</v>
      </c>
    </row>
    <row r="507" spans="7:8">
      <c r="G507" s="2" t="s">
        <v>504</v>
      </c>
      <c r="H507" s="2" t="s">
        <v>21</v>
      </c>
    </row>
    <row r="508" spans="7:8">
      <c r="G508" s="2" t="s">
        <v>505</v>
      </c>
      <c r="H508" s="2" t="s">
        <v>21</v>
      </c>
    </row>
    <row r="509" spans="7:8">
      <c r="G509" s="2" t="s">
        <v>505</v>
      </c>
      <c r="H509" s="2" t="s">
        <v>40</v>
      </c>
    </row>
    <row r="510" spans="7:8">
      <c r="G510" s="2" t="s">
        <v>506</v>
      </c>
      <c r="H510" s="2" t="s">
        <v>7</v>
      </c>
    </row>
    <row r="511" spans="7:8">
      <c r="G511" t="s">
        <v>507</v>
      </c>
      <c r="H511" t="s">
        <v>7</v>
      </c>
    </row>
    <row r="512" spans="7:8">
      <c r="G512" s="2" t="s">
        <v>508</v>
      </c>
      <c r="H512" s="2" t="s">
        <v>7</v>
      </c>
    </row>
    <row r="513" spans="7:8">
      <c r="G513" s="2" t="s">
        <v>509</v>
      </c>
      <c r="H513" s="2" t="s">
        <v>23</v>
      </c>
    </row>
    <row r="514" spans="7:8">
      <c r="G514" s="2" t="s">
        <v>510</v>
      </c>
      <c r="H514" s="2" t="s">
        <v>23</v>
      </c>
    </row>
    <row r="515" spans="7:8">
      <c r="G515" s="2" t="s">
        <v>511</v>
      </c>
      <c r="H515" s="2" t="s">
        <v>9</v>
      </c>
    </row>
    <row r="516" spans="7:8">
      <c r="G516" s="2" t="s">
        <v>512</v>
      </c>
      <c r="H516" s="2" t="s">
        <v>43</v>
      </c>
    </row>
    <row r="517" spans="7:8">
      <c r="G517" t="s">
        <v>513</v>
      </c>
      <c r="H517" s="6"/>
    </row>
    <row r="518" spans="7:8">
      <c r="G518" s="2" t="s">
        <v>514</v>
      </c>
      <c r="H518" s="2" t="s">
        <v>43</v>
      </c>
    </row>
    <row r="519" spans="7:8">
      <c r="G519" s="2" t="s">
        <v>515</v>
      </c>
      <c r="H519" s="2" t="s">
        <v>21</v>
      </c>
    </row>
    <row r="520" spans="7:8">
      <c r="G520" s="2" t="s">
        <v>516</v>
      </c>
      <c r="H520" s="2" t="s">
        <v>43</v>
      </c>
    </row>
    <row r="521" spans="7:8">
      <c r="G521" s="2" t="s">
        <v>517</v>
      </c>
      <c r="H521" s="2" t="s">
        <v>9</v>
      </c>
    </row>
    <row r="522" spans="7:8">
      <c r="G522" s="2" t="s">
        <v>518</v>
      </c>
      <c r="H522" s="2" t="s">
        <v>40</v>
      </c>
    </row>
    <row r="523" spans="7:8">
      <c r="G523" s="2" t="s">
        <v>519</v>
      </c>
      <c r="H523" s="2" t="s">
        <v>43</v>
      </c>
    </row>
    <row r="524" spans="7:8">
      <c r="G524" s="2" t="s">
        <v>519</v>
      </c>
      <c r="H524" s="2">
        <v>0</v>
      </c>
    </row>
    <row r="525" spans="7:8">
      <c r="G525" s="2" t="s">
        <v>520</v>
      </c>
      <c r="H525" s="2" t="s">
        <v>9</v>
      </c>
    </row>
    <row r="526" spans="7:8">
      <c r="G526" s="2" t="s">
        <v>521</v>
      </c>
      <c r="H526" s="2" t="s">
        <v>40</v>
      </c>
    </row>
    <row r="527" spans="7:8">
      <c r="G527" s="2" t="s">
        <v>521</v>
      </c>
      <c r="H527" s="2">
        <v>0</v>
      </c>
    </row>
    <row r="528" spans="7:8">
      <c r="G528" s="2" t="s">
        <v>522</v>
      </c>
      <c r="H528" s="2" t="s">
        <v>50</v>
      </c>
    </row>
    <row r="529" spans="7:8">
      <c r="G529" s="2" t="s">
        <v>523</v>
      </c>
      <c r="H529" s="2" t="s">
        <v>50</v>
      </c>
    </row>
    <row r="530" spans="7:8">
      <c r="G530" s="2" t="s">
        <v>524</v>
      </c>
      <c r="H530" s="2" t="s">
        <v>50</v>
      </c>
    </row>
    <row r="531" spans="7:8">
      <c r="G531" s="2" t="s">
        <v>525</v>
      </c>
      <c r="H531" s="2" t="s">
        <v>50</v>
      </c>
    </row>
    <row r="532" spans="7:8">
      <c r="G532" s="2" t="s">
        <v>526</v>
      </c>
      <c r="H532" s="2" t="s">
        <v>2</v>
      </c>
    </row>
    <row r="533" spans="7:8">
      <c r="G533" s="2" t="s">
        <v>527</v>
      </c>
      <c r="H533" s="2">
        <v>0</v>
      </c>
    </row>
    <row r="534" spans="7:8">
      <c r="G534" s="2" t="s">
        <v>528</v>
      </c>
      <c r="H534" s="2" t="s">
        <v>43</v>
      </c>
    </row>
    <row r="535" spans="7:8">
      <c r="G535" s="2" t="s">
        <v>529</v>
      </c>
      <c r="H535" s="2" t="s">
        <v>2</v>
      </c>
    </row>
    <row r="536" spans="7:8">
      <c r="G536" s="2" t="s">
        <v>530</v>
      </c>
      <c r="H536" s="2" t="s">
        <v>2</v>
      </c>
    </row>
    <row r="537" spans="7:8">
      <c r="G537" s="2" t="s">
        <v>531</v>
      </c>
      <c r="H537" s="2" t="s">
        <v>9</v>
      </c>
    </row>
    <row r="538" spans="7:8">
      <c r="G538" s="2" t="s">
        <v>532</v>
      </c>
      <c r="H538" s="2" t="s">
        <v>9</v>
      </c>
    </row>
    <row r="539" spans="7:8">
      <c r="G539" s="2" t="s">
        <v>533</v>
      </c>
      <c r="H539" s="2" t="s">
        <v>9</v>
      </c>
    </row>
    <row r="540" spans="7:8">
      <c r="G540" s="2" t="s">
        <v>534</v>
      </c>
      <c r="H540" s="2" t="s">
        <v>21</v>
      </c>
    </row>
    <row r="541" spans="7:8">
      <c r="G541" s="2" t="s">
        <v>535</v>
      </c>
      <c r="H541" s="2" t="s">
        <v>50</v>
      </c>
    </row>
    <row r="542" spans="7:8">
      <c r="G542" s="2" t="s">
        <v>536</v>
      </c>
      <c r="H542" s="2" t="s">
        <v>23</v>
      </c>
    </row>
    <row r="543" spans="7:8">
      <c r="G543" s="2" t="s">
        <v>537</v>
      </c>
      <c r="H543" s="2" t="s">
        <v>69</v>
      </c>
    </row>
    <row r="544" spans="7:8">
      <c r="G544" s="2" t="s">
        <v>537</v>
      </c>
      <c r="H544" s="2" t="s">
        <v>9</v>
      </c>
    </row>
    <row r="545" spans="7:8">
      <c r="G545" s="2" t="s">
        <v>538</v>
      </c>
      <c r="H545" s="2" t="s">
        <v>26</v>
      </c>
    </row>
    <row r="546" spans="7:8">
      <c r="G546" s="2" t="s">
        <v>539</v>
      </c>
      <c r="H546" s="2" t="s">
        <v>21</v>
      </c>
    </row>
    <row r="547" spans="7:8">
      <c r="G547" s="2" t="s">
        <v>540</v>
      </c>
      <c r="H547" s="2" t="s">
        <v>40</v>
      </c>
    </row>
    <row r="548" spans="7:8">
      <c r="G548" s="2" t="s">
        <v>541</v>
      </c>
      <c r="H548" s="2" t="s">
        <v>26</v>
      </c>
    </row>
    <row r="549" spans="7:8">
      <c r="G549" s="2" t="s">
        <v>542</v>
      </c>
      <c r="H549" s="2" t="s">
        <v>26</v>
      </c>
    </row>
    <row r="550" spans="7:8">
      <c r="G550" s="2" t="s">
        <v>543</v>
      </c>
      <c r="H550" s="2" t="s">
        <v>26</v>
      </c>
    </row>
    <row r="551" spans="7:8">
      <c r="G551" t="s">
        <v>544</v>
      </c>
      <c r="H551" s="6" t="s">
        <v>26</v>
      </c>
    </row>
    <row r="552" spans="7:8">
      <c r="G552" s="2" t="s">
        <v>545</v>
      </c>
      <c r="H552" s="2" t="s">
        <v>26</v>
      </c>
    </row>
    <row r="553" spans="7:8">
      <c r="G553" t="s">
        <v>545</v>
      </c>
      <c r="H553" s="6" t="s">
        <v>26</v>
      </c>
    </row>
    <row r="554" spans="7:8">
      <c r="G554" s="2" t="s">
        <v>546</v>
      </c>
      <c r="H554" s="2" t="s">
        <v>9</v>
      </c>
    </row>
    <row r="555" spans="7:8">
      <c r="G555" t="s">
        <v>547</v>
      </c>
      <c r="H555" s="6" t="s">
        <v>26</v>
      </c>
    </row>
    <row r="556" spans="7:8">
      <c r="G556" s="2" t="s">
        <v>548</v>
      </c>
      <c r="H556" s="2" t="s">
        <v>9</v>
      </c>
    </row>
    <row r="557" spans="7:8">
      <c r="G557" s="2" t="s">
        <v>549</v>
      </c>
      <c r="H557" s="2" t="s">
        <v>9</v>
      </c>
    </row>
    <row r="558" spans="7:8">
      <c r="G558" s="2" t="s">
        <v>550</v>
      </c>
      <c r="H558" s="2" t="s">
        <v>21</v>
      </c>
    </row>
    <row r="559" spans="7:8">
      <c r="G559" t="s">
        <v>551</v>
      </c>
      <c r="H559" s="6" t="s">
        <v>21</v>
      </c>
    </row>
    <row r="560" spans="7:8">
      <c r="G560" s="2" t="s">
        <v>552</v>
      </c>
      <c r="H560" s="2" t="s">
        <v>26</v>
      </c>
    </row>
    <row r="561" spans="7:8">
      <c r="G561" s="2" t="s">
        <v>552</v>
      </c>
      <c r="H561" s="2" t="s">
        <v>28</v>
      </c>
    </row>
    <row r="562" spans="7:8">
      <c r="G562" s="2" t="s">
        <v>553</v>
      </c>
      <c r="H562" s="2" t="s">
        <v>23</v>
      </c>
    </row>
    <row r="563" spans="7:8">
      <c r="G563" s="2" t="s">
        <v>554</v>
      </c>
      <c r="H563" s="2" t="s">
        <v>7</v>
      </c>
    </row>
    <row r="564" spans="7:8">
      <c r="G564" s="2" t="s">
        <v>555</v>
      </c>
      <c r="H564" s="2" t="s">
        <v>28</v>
      </c>
    </row>
    <row r="565" spans="7:8">
      <c r="G565" s="2" t="s">
        <v>555</v>
      </c>
      <c r="H565" s="2" t="s">
        <v>28</v>
      </c>
    </row>
    <row r="566" spans="7:8">
      <c r="G566" s="2" t="s">
        <v>556</v>
      </c>
      <c r="H566" s="2" t="s">
        <v>7</v>
      </c>
    </row>
    <row r="567" spans="7:8">
      <c r="G567" t="s">
        <v>556</v>
      </c>
      <c r="H567" s="6" t="s">
        <v>7</v>
      </c>
    </row>
    <row r="568" spans="7:8">
      <c r="G568" s="2" t="s">
        <v>557</v>
      </c>
      <c r="H568" s="2" t="s">
        <v>7</v>
      </c>
    </row>
    <row r="569" spans="7:8">
      <c r="G569" t="s">
        <v>558</v>
      </c>
      <c r="H569" s="6" t="s">
        <v>23</v>
      </c>
    </row>
    <row r="570" spans="7:8">
      <c r="G570" s="2" t="s">
        <v>559</v>
      </c>
      <c r="H570" s="2" t="s">
        <v>29</v>
      </c>
    </row>
    <row r="571" spans="7:8">
      <c r="G571" s="2" t="s">
        <v>559</v>
      </c>
      <c r="H571" s="2" t="s">
        <v>7</v>
      </c>
    </row>
    <row r="572" spans="7:8">
      <c r="G572" s="2" t="s">
        <v>560</v>
      </c>
      <c r="H572" s="2" t="s">
        <v>7</v>
      </c>
    </row>
    <row r="573" spans="7:8">
      <c r="G573" s="2" t="s">
        <v>561</v>
      </c>
      <c r="H573" s="2" t="s">
        <v>26</v>
      </c>
    </row>
    <row r="574" spans="7:8">
      <c r="G574" s="2" t="s">
        <v>561</v>
      </c>
      <c r="H574" s="2" t="s">
        <v>26</v>
      </c>
    </row>
    <row r="575" spans="7:8">
      <c r="G575" s="2" t="s">
        <v>562</v>
      </c>
      <c r="H575" s="2" t="s">
        <v>26</v>
      </c>
    </row>
    <row r="576" spans="7:8">
      <c r="G576" t="s">
        <v>563</v>
      </c>
      <c r="H576" s="6" t="s">
        <v>23</v>
      </c>
    </row>
    <row r="577" spans="7:8">
      <c r="G577" s="2" t="s">
        <v>564</v>
      </c>
      <c r="H577" s="2" t="s">
        <v>23</v>
      </c>
    </row>
    <row r="578" spans="7:8">
      <c r="G578" s="2" t="s">
        <v>565</v>
      </c>
      <c r="H578" s="2" t="s">
        <v>26</v>
      </c>
    </row>
    <row r="579" spans="7:8">
      <c r="G579" s="2" t="s">
        <v>566</v>
      </c>
      <c r="H579" s="2" t="s">
        <v>26</v>
      </c>
    </row>
    <row r="580" spans="7:8">
      <c r="G580" s="2" t="s">
        <v>567</v>
      </c>
      <c r="H580" s="2" t="s">
        <v>26</v>
      </c>
    </row>
    <row r="581" spans="7:8">
      <c r="G581" s="2" t="s">
        <v>568</v>
      </c>
      <c r="H581" s="2" t="s">
        <v>26</v>
      </c>
    </row>
    <row r="582" spans="7:8">
      <c r="G582" s="2" t="s">
        <v>569</v>
      </c>
      <c r="H582" s="2" t="s">
        <v>26</v>
      </c>
    </row>
    <row r="583" spans="7:8">
      <c r="G583" s="2" t="s">
        <v>570</v>
      </c>
      <c r="H583" s="2" t="s">
        <v>26</v>
      </c>
    </row>
    <row r="584" spans="7:8">
      <c r="G584" s="2" t="s">
        <v>570</v>
      </c>
      <c r="H584" s="2" t="s">
        <v>26</v>
      </c>
    </row>
    <row r="585" spans="7:8">
      <c r="G585" s="2" t="s">
        <v>571</v>
      </c>
      <c r="H585" s="2" t="s">
        <v>9</v>
      </c>
    </row>
    <row r="586" spans="7:8">
      <c r="G586" s="2" t="s">
        <v>572</v>
      </c>
      <c r="H586" s="2" t="s">
        <v>21</v>
      </c>
    </row>
    <row r="587" spans="7:8">
      <c r="G587" s="2" t="s">
        <v>573</v>
      </c>
      <c r="H587" s="2" t="s">
        <v>9</v>
      </c>
    </row>
    <row r="588" spans="7:8">
      <c r="G588" s="2" t="s">
        <v>574</v>
      </c>
      <c r="H588" s="2" t="s">
        <v>9</v>
      </c>
    </row>
    <row r="589" spans="7:8">
      <c r="G589" s="2" t="s">
        <v>575</v>
      </c>
      <c r="H589" s="2" t="s">
        <v>61</v>
      </c>
    </row>
    <row r="590" spans="7:8">
      <c r="G590" s="2" t="s">
        <v>576</v>
      </c>
      <c r="H590" s="2" t="s">
        <v>61</v>
      </c>
    </row>
    <row r="591" spans="7:8">
      <c r="G591" s="2" t="s">
        <v>577</v>
      </c>
      <c r="H591" s="2" t="s">
        <v>61</v>
      </c>
    </row>
    <row r="592" spans="7:8">
      <c r="G592" s="2" t="s">
        <v>578</v>
      </c>
      <c r="H592" s="2" t="s">
        <v>61</v>
      </c>
    </row>
    <row r="593" spans="7:8">
      <c r="G593" s="2" t="s">
        <v>579</v>
      </c>
      <c r="H593" s="2" t="s">
        <v>61</v>
      </c>
    </row>
    <row r="594" spans="7:8">
      <c r="G594" s="2" t="s">
        <v>580</v>
      </c>
      <c r="H594" s="2" t="s">
        <v>61</v>
      </c>
    </row>
    <row r="595" spans="7:8">
      <c r="G595" s="2" t="s">
        <v>581</v>
      </c>
      <c r="H595" s="2" t="s">
        <v>61</v>
      </c>
    </row>
    <row r="596" spans="7:8">
      <c r="G596" s="2" t="s">
        <v>582</v>
      </c>
      <c r="H596" s="2" t="s">
        <v>61</v>
      </c>
    </row>
    <row r="597" spans="7:8">
      <c r="G597" s="2" t="s">
        <v>583</v>
      </c>
      <c r="H597" s="2" t="s">
        <v>61</v>
      </c>
    </row>
    <row r="598" spans="7:8">
      <c r="G598" s="2" t="s">
        <v>584</v>
      </c>
      <c r="H598" s="2" t="s">
        <v>61</v>
      </c>
    </row>
    <row r="599" spans="7:8">
      <c r="G599" s="2" t="s">
        <v>585</v>
      </c>
      <c r="H599" s="2" t="s">
        <v>61</v>
      </c>
    </row>
    <row r="600" spans="7:8">
      <c r="G600" s="2" t="s">
        <v>586</v>
      </c>
      <c r="H600" s="2" t="s">
        <v>61</v>
      </c>
    </row>
    <row r="601" spans="7:8">
      <c r="G601" s="2" t="s">
        <v>587</v>
      </c>
      <c r="H601" s="2" t="s">
        <v>61</v>
      </c>
    </row>
    <row r="602" spans="7:8">
      <c r="G602" s="2" t="s">
        <v>588</v>
      </c>
      <c r="H602" s="2" t="s">
        <v>61</v>
      </c>
    </row>
    <row r="603" spans="7:8">
      <c r="G603" s="2" t="s">
        <v>589</v>
      </c>
      <c r="H603" s="2" t="s">
        <v>61</v>
      </c>
    </row>
    <row r="604" spans="7:8">
      <c r="G604" s="2" t="s">
        <v>590</v>
      </c>
      <c r="H604" s="2" t="s">
        <v>61</v>
      </c>
    </row>
    <row r="605" spans="7:8">
      <c r="G605" s="2" t="s">
        <v>591</v>
      </c>
      <c r="H605" s="2" t="s">
        <v>61</v>
      </c>
    </row>
    <row r="606" spans="7:8">
      <c r="G606" s="2" t="s">
        <v>592</v>
      </c>
      <c r="H606" s="2" t="s">
        <v>61</v>
      </c>
    </row>
    <row r="607" spans="7:8">
      <c r="G607" s="2" t="s">
        <v>593</v>
      </c>
      <c r="H607" s="2" t="s">
        <v>61</v>
      </c>
    </row>
    <row r="608" spans="7:8">
      <c r="G608" s="2" t="s">
        <v>594</v>
      </c>
      <c r="H608" s="2" t="s">
        <v>61</v>
      </c>
    </row>
    <row r="609" spans="7:8">
      <c r="G609" s="2" t="s">
        <v>595</v>
      </c>
      <c r="H609" s="2" t="s">
        <v>61</v>
      </c>
    </row>
    <row r="610" spans="7:8">
      <c r="G610" s="2" t="s">
        <v>596</v>
      </c>
      <c r="H610" s="2" t="s">
        <v>61</v>
      </c>
    </row>
    <row r="611" spans="7:8">
      <c r="G611" s="2" t="s">
        <v>597</v>
      </c>
      <c r="H611" s="2" t="s">
        <v>9</v>
      </c>
    </row>
    <row r="612" spans="7:8">
      <c r="G612" t="s">
        <v>597</v>
      </c>
      <c r="H612" s="6" t="s">
        <v>87</v>
      </c>
    </row>
    <row r="613" spans="7:8">
      <c r="G613" s="2" t="s">
        <v>598</v>
      </c>
      <c r="H613" s="2" t="s">
        <v>61</v>
      </c>
    </row>
    <row r="614" spans="7:8">
      <c r="G614" s="2" t="s">
        <v>598</v>
      </c>
      <c r="H614" s="2" t="s">
        <v>9</v>
      </c>
    </row>
    <row r="615" spans="7:8">
      <c r="G615" s="2" t="s">
        <v>599</v>
      </c>
      <c r="H615" s="2" t="s">
        <v>9</v>
      </c>
    </row>
    <row r="616" spans="7:8">
      <c r="G616" s="2" t="s">
        <v>600</v>
      </c>
      <c r="H616" s="2" t="s">
        <v>29</v>
      </c>
    </row>
    <row r="617" spans="7:8">
      <c r="G617" s="2" t="s">
        <v>601</v>
      </c>
      <c r="H617" s="2" t="s">
        <v>40</v>
      </c>
    </row>
    <row r="618" spans="7:8">
      <c r="G618" s="2" t="s">
        <v>602</v>
      </c>
      <c r="H618" s="2" t="s">
        <v>21</v>
      </c>
    </row>
    <row r="619" spans="7:8">
      <c r="G619" s="2" t="s">
        <v>603</v>
      </c>
      <c r="H619" s="2" t="s">
        <v>26</v>
      </c>
    </row>
    <row r="620" spans="7:8">
      <c r="G620" s="2" t="s">
        <v>604</v>
      </c>
      <c r="H620" s="2" t="s">
        <v>9</v>
      </c>
    </row>
    <row r="621" spans="7:8">
      <c r="G621" s="2" t="s">
        <v>604</v>
      </c>
      <c r="H621" s="2" t="s">
        <v>9</v>
      </c>
    </row>
    <row r="622" spans="7:8">
      <c r="G622" s="2" t="s">
        <v>604</v>
      </c>
      <c r="H622" s="2" t="s">
        <v>48</v>
      </c>
    </row>
    <row r="623" spans="7:8">
      <c r="G623" s="2" t="s">
        <v>605</v>
      </c>
      <c r="H623" s="2" t="s">
        <v>63</v>
      </c>
    </row>
    <row r="624" spans="7:8">
      <c r="G624" s="2" t="s">
        <v>606</v>
      </c>
      <c r="H624" s="2" t="s">
        <v>64</v>
      </c>
    </row>
    <row r="625" spans="7:8">
      <c r="G625" s="2" t="s">
        <v>607</v>
      </c>
      <c r="H625" s="2" t="s">
        <v>63</v>
      </c>
    </row>
    <row r="626" spans="7:8">
      <c r="G626" s="2" t="s">
        <v>608</v>
      </c>
      <c r="H626" s="2" t="s">
        <v>64</v>
      </c>
    </row>
    <row r="627" spans="7:8">
      <c r="G627" s="2" t="s">
        <v>609</v>
      </c>
      <c r="H627" s="2" t="s">
        <v>63</v>
      </c>
    </row>
    <row r="628" spans="7:8">
      <c r="G628" s="2" t="s">
        <v>610</v>
      </c>
      <c r="H628" s="2" t="s">
        <v>64</v>
      </c>
    </row>
    <row r="629" spans="7:8">
      <c r="G629" s="2" t="s">
        <v>611</v>
      </c>
      <c r="H629" s="2" t="s">
        <v>63</v>
      </c>
    </row>
    <row r="630" spans="7:8">
      <c r="G630" s="2" t="s">
        <v>612</v>
      </c>
      <c r="H630" s="2" t="s">
        <v>64</v>
      </c>
    </row>
    <row r="631" spans="7:8">
      <c r="G631" s="2" t="s">
        <v>613</v>
      </c>
      <c r="H631" s="2" t="s">
        <v>64</v>
      </c>
    </row>
    <row r="632" spans="7:8">
      <c r="G632" s="2" t="s">
        <v>614</v>
      </c>
      <c r="H632" s="2" t="s">
        <v>64</v>
      </c>
    </row>
    <row r="633" spans="7:8">
      <c r="G633" s="2" t="s">
        <v>615</v>
      </c>
      <c r="H633" s="2" t="s">
        <v>64</v>
      </c>
    </row>
    <row r="634" spans="7:8">
      <c r="G634" s="2" t="s">
        <v>616</v>
      </c>
      <c r="H634" s="2" t="s">
        <v>63</v>
      </c>
    </row>
    <row r="635" spans="7:8">
      <c r="G635" s="2" t="s">
        <v>617</v>
      </c>
      <c r="H635" s="2" t="s">
        <v>63</v>
      </c>
    </row>
    <row r="636" spans="7:8">
      <c r="G636" s="2" t="s">
        <v>618</v>
      </c>
      <c r="H636" s="2" t="s">
        <v>63</v>
      </c>
    </row>
    <row r="637" spans="7:8">
      <c r="G637" s="2" t="s">
        <v>619</v>
      </c>
      <c r="H637" s="2" t="s">
        <v>63</v>
      </c>
    </row>
    <row r="638" spans="7:8">
      <c r="G638" s="2" t="s">
        <v>620</v>
      </c>
      <c r="H638" s="2" t="s">
        <v>64</v>
      </c>
    </row>
    <row r="639" spans="7:8">
      <c r="G639" s="2" t="s">
        <v>621</v>
      </c>
      <c r="H639" s="2" t="s">
        <v>64</v>
      </c>
    </row>
    <row r="640" spans="7:8">
      <c r="G640" s="2" t="s">
        <v>622</v>
      </c>
      <c r="H640" s="2" t="s">
        <v>64</v>
      </c>
    </row>
    <row r="641" spans="7:8">
      <c r="G641" s="2" t="s">
        <v>623</v>
      </c>
      <c r="H641" s="2" t="s">
        <v>64</v>
      </c>
    </row>
    <row r="642" spans="7:8">
      <c r="G642" s="2" t="s">
        <v>624</v>
      </c>
      <c r="H642" s="2" t="s">
        <v>64</v>
      </c>
    </row>
    <row r="643" spans="7:8">
      <c r="G643" s="2" t="s">
        <v>625</v>
      </c>
      <c r="H643" s="2" t="s">
        <v>64</v>
      </c>
    </row>
    <row r="644" spans="7:8">
      <c r="G644" s="2" t="s">
        <v>626</v>
      </c>
      <c r="H644" s="2" t="s">
        <v>63</v>
      </c>
    </row>
    <row r="645" spans="7:8">
      <c r="G645" s="2" t="s">
        <v>627</v>
      </c>
      <c r="H645" s="2" t="s">
        <v>64</v>
      </c>
    </row>
    <row r="646" spans="7:8">
      <c r="G646" s="2" t="s">
        <v>628</v>
      </c>
      <c r="H646" s="2" t="s">
        <v>64</v>
      </c>
    </row>
    <row r="647" spans="7:8">
      <c r="G647" s="2" t="s">
        <v>629</v>
      </c>
      <c r="H647" s="2" t="s">
        <v>63</v>
      </c>
    </row>
    <row r="648" spans="7:8">
      <c r="G648" s="2" t="s">
        <v>630</v>
      </c>
      <c r="H648" s="2" t="s">
        <v>64</v>
      </c>
    </row>
    <row r="649" spans="7:8">
      <c r="G649" s="2" t="s">
        <v>631</v>
      </c>
      <c r="H649" s="2" t="s">
        <v>63</v>
      </c>
    </row>
    <row r="650" spans="7:8">
      <c r="G650" s="2" t="s">
        <v>632</v>
      </c>
      <c r="H650" s="2" t="s">
        <v>64</v>
      </c>
    </row>
    <row r="651" spans="7:8">
      <c r="G651" s="2" t="s">
        <v>633</v>
      </c>
      <c r="H651" s="2" t="s">
        <v>63</v>
      </c>
    </row>
    <row r="652" spans="7:8">
      <c r="G652" s="2" t="s">
        <v>634</v>
      </c>
      <c r="H652" s="2" t="s">
        <v>64</v>
      </c>
    </row>
    <row r="653" spans="7:8">
      <c r="G653" s="2" t="s">
        <v>635</v>
      </c>
      <c r="H653" s="2" t="s">
        <v>63</v>
      </c>
    </row>
    <row r="654" spans="7:8">
      <c r="G654" s="2" t="s">
        <v>636</v>
      </c>
      <c r="H654" s="2" t="s">
        <v>64</v>
      </c>
    </row>
    <row r="655" spans="7:8">
      <c r="G655" s="2" t="s">
        <v>637</v>
      </c>
      <c r="H655" s="2" t="s">
        <v>9</v>
      </c>
    </row>
    <row r="656" spans="7:8">
      <c r="G656" s="2" t="s">
        <v>637</v>
      </c>
      <c r="H656" s="2" t="s">
        <v>9</v>
      </c>
    </row>
    <row r="657" spans="7:8">
      <c r="G657" s="2" t="s">
        <v>637</v>
      </c>
      <c r="H657" s="2" t="s">
        <v>48</v>
      </c>
    </row>
    <row r="658" spans="7:8">
      <c r="G658" t="s">
        <v>638</v>
      </c>
      <c r="H658" s="6" t="s">
        <v>9</v>
      </c>
    </row>
    <row r="659" spans="7:8">
      <c r="G659" s="2" t="s">
        <v>639</v>
      </c>
      <c r="H659" s="2" t="s">
        <v>23</v>
      </c>
    </row>
    <row r="660" spans="7:8">
      <c r="G660" t="s">
        <v>640</v>
      </c>
      <c r="H660" s="6" t="s">
        <v>23</v>
      </c>
    </row>
    <row r="661" spans="7:8">
      <c r="G661" t="s">
        <v>641</v>
      </c>
      <c r="H661" s="6" t="s">
        <v>23</v>
      </c>
    </row>
    <row r="662" spans="7:8">
      <c r="G662" s="2" t="s">
        <v>642</v>
      </c>
      <c r="H662" s="2" t="s">
        <v>48</v>
      </c>
    </row>
    <row r="663" spans="7:8">
      <c r="G663" s="2" t="s">
        <v>643</v>
      </c>
      <c r="H663" s="2" t="s">
        <v>26</v>
      </c>
    </row>
    <row r="664" spans="7:8">
      <c r="G664" s="2" t="s">
        <v>644</v>
      </c>
      <c r="H664" s="2" t="s">
        <v>26</v>
      </c>
    </row>
    <row r="665" spans="7:8">
      <c r="G665" s="2" t="s">
        <v>645</v>
      </c>
      <c r="H665" s="2" t="s">
        <v>28</v>
      </c>
    </row>
    <row r="666" spans="7:8">
      <c r="G666" s="2" t="s">
        <v>646</v>
      </c>
      <c r="H666" s="2" t="s">
        <v>21</v>
      </c>
    </row>
    <row r="667" spans="7:8">
      <c r="G667" s="2" t="s">
        <v>647</v>
      </c>
      <c r="H667" s="2" t="s">
        <v>26</v>
      </c>
    </row>
    <row r="668" spans="7:8">
      <c r="G668" s="2" t="s">
        <v>648</v>
      </c>
      <c r="H668" s="2" t="s">
        <v>28</v>
      </c>
    </row>
    <row r="669" spans="7:8">
      <c r="G669" t="s">
        <v>648</v>
      </c>
      <c r="H669" s="6" t="s">
        <v>28</v>
      </c>
    </row>
    <row r="670" spans="7:8">
      <c r="G670" s="2" t="s">
        <v>649</v>
      </c>
      <c r="H670" s="2" t="s">
        <v>40</v>
      </c>
    </row>
    <row r="671" spans="7:8">
      <c r="G671" s="2" t="s">
        <v>650</v>
      </c>
      <c r="H671" s="2" t="s">
        <v>26</v>
      </c>
    </row>
    <row r="672" spans="7:8">
      <c r="G672" s="2" t="s">
        <v>651</v>
      </c>
      <c r="H672" s="2" t="s">
        <v>26</v>
      </c>
    </row>
    <row r="673" spans="7:8">
      <c r="G673" s="2" t="s">
        <v>652</v>
      </c>
      <c r="H673" s="2" t="s">
        <v>7</v>
      </c>
    </row>
    <row r="674" spans="7:8">
      <c r="G674" s="2" t="s">
        <v>653</v>
      </c>
      <c r="H674" s="2" t="s">
        <v>7</v>
      </c>
    </row>
    <row r="675" spans="7:8">
      <c r="G675" s="2" t="s">
        <v>654</v>
      </c>
      <c r="H675" s="2" t="s">
        <v>7</v>
      </c>
    </row>
    <row r="676" spans="7:8">
      <c r="G676" s="2" t="s">
        <v>655</v>
      </c>
      <c r="H676" s="2" t="s">
        <v>7</v>
      </c>
    </row>
    <row r="677" spans="7:8">
      <c r="G677" s="2" t="s">
        <v>656</v>
      </c>
      <c r="H677" s="2" t="s">
        <v>7</v>
      </c>
    </row>
    <row r="678" spans="7:8">
      <c r="G678" s="2" t="s">
        <v>657</v>
      </c>
      <c r="H678" s="2" t="s">
        <v>7</v>
      </c>
    </row>
    <row r="679" spans="7:8">
      <c r="G679" s="2" t="s">
        <v>658</v>
      </c>
      <c r="H679" s="2" t="s">
        <v>7</v>
      </c>
    </row>
    <row r="680" spans="7:8">
      <c r="G680" s="2" t="s">
        <v>659</v>
      </c>
      <c r="H680" s="2" t="s">
        <v>7</v>
      </c>
    </row>
    <row r="681" spans="7:8">
      <c r="G681" s="2" t="s">
        <v>660</v>
      </c>
      <c r="H681" s="2" t="s">
        <v>7</v>
      </c>
    </row>
    <row r="682" spans="7:8">
      <c r="G682" s="2" t="s">
        <v>661</v>
      </c>
      <c r="H682" s="2" t="s">
        <v>7</v>
      </c>
    </row>
    <row r="683" spans="7:8">
      <c r="G683" s="2" t="s">
        <v>662</v>
      </c>
      <c r="H683" s="2" t="s">
        <v>7</v>
      </c>
    </row>
    <row r="684" spans="7:8">
      <c r="G684" s="2" t="s">
        <v>663</v>
      </c>
      <c r="H684" s="2" t="s">
        <v>7</v>
      </c>
    </row>
    <row r="685" spans="7:8">
      <c r="G685" s="2" t="s">
        <v>664</v>
      </c>
      <c r="H685" s="2" t="s">
        <v>7</v>
      </c>
    </row>
    <row r="686" spans="7:8">
      <c r="G686" s="2" t="s">
        <v>665</v>
      </c>
      <c r="H686" s="2" t="s">
        <v>7</v>
      </c>
    </row>
    <row r="687" spans="7:8">
      <c r="G687" s="2" t="s">
        <v>666</v>
      </c>
      <c r="H687" s="2" t="s">
        <v>9</v>
      </c>
    </row>
    <row r="688" spans="7:8">
      <c r="G688" s="2" t="s">
        <v>666</v>
      </c>
      <c r="H688" s="2" t="s">
        <v>7</v>
      </c>
    </row>
    <row r="689" spans="7:8">
      <c r="G689" s="2" t="s">
        <v>667</v>
      </c>
      <c r="H689" s="2" t="s">
        <v>21</v>
      </c>
    </row>
    <row r="690" spans="7:8">
      <c r="G690" s="2" t="s">
        <v>668</v>
      </c>
      <c r="H690" s="2" t="s">
        <v>21</v>
      </c>
    </row>
    <row r="691" spans="7:8">
      <c r="G691" t="s">
        <v>669</v>
      </c>
      <c r="H691" s="6" t="s">
        <v>28</v>
      </c>
    </row>
    <row r="692" spans="7:8">
      <c r="G692" s="2" t="s">
        <v>670</v>
      </c>
      <c r="H692" s="2" t="s">
        <v>16</v>
      </c>
    </row>
    <row r="693" spans="7:8">
      <c r="G693" s="2" t="s">
        <v>671</v>
      </c>
      <c r="H693" s="2" t="s">
        <v>87</v>
      </c>
    </row>
    <row r="694" spans="7:8">
      <c r="G694" s="2" t="s">
        <v>672</v>
      </c>
      <c r="H694" s="2" t="s">
        <v>87</v>
      </c>
    </row>
    <row r="695" spans="7:8">
      <c r="G695" s="2" t="s">
        <v>673</v>
      </c>
      <c r="H695" s="2" t="s">
        <v>9</v>
      </c>
    </row>
    <row r="696" spans="7:8">
      <c r="G696" t="s">
        <v>673</v>
      </c>
      <c r="H696" s="6" t="s">
        <v>87</v>
      </c>
    </row>
    <row r="697" spans="7:8">
      <c r="G697" s="2" t="s">
        <v>674</v>
      </c>
      <c r="H697" s="2" t="s">
        <v>9</v>
      </c>
    </row>
    <row r="698" spans="7:8">
      <c r="G698" t="s">
        <v>674</v>
      </c>
      <c r="H698" s="6" t="s">
        <v>87</v>
      </c>
    </row>
    <row r="699" spans="7:8">
      <c r="G699" s="2" t="s">
        <v>675</v>
      </c>
      <c r="H699" s="2" t="s">
        <v>43</v>
      </c>
    </row>
    <row r="700" spans="7:8">
      <c r="G700" s="2" t="s">
        <v>676</v>
      </c>
      <c r="H700" s="2" t="s">
        <v>677</v>
      </c>
    </row>
    <row r="701" spans="7:8">
      <c r="G701" s="2" t="s">
        <v>678</v>
      </c>
      <c r="H701" s="2" t="s">
        <v>43</v>
      </c>
    </row>
    <row r="702" spans="7:8">
      <c r="G702" s="2" t="s">
        <v>679</v>
      </c>
      <c r="H702" s="2" t="s">
        <v>43</v>
      </c>
    </row>
    <row r="703" spans="7:8">
      <c r="G703" s="2" t="s">
        <v>680</v>
      </c>
      <c r="H703" s="2" t="s">
        <v>26</v>
      </c>
    </row>
    <row r="704" spans="7:8">
      <c r="G704" s="2" t="s">
        <v>681</v>
      </c>
      <c r="H704" s="2" t="s">
        <v>26</v>
      </c>
    </row>
    <row r="705" spans="7:8">
      <c r="G705" s="2" t="s">
        <v>682</v>
      </c>
      <c r="H705" s="2" t="s">
        <v>26</v>
      </c>
    </row>
    <row r="706" spans="7:8">
      <c r="G706" s="2" t="s">
        <v>683</v>
      </c>
      <c r="H706" s="2" t="s">
        <v>26</v>
      </c>
    </row>
    <row r="707" spans="7:8">
      <c r="G707" s="2" t="s">
        <v>684</v>
      </c>
      <c r="H707" s="2" t="s">
        <v>28</v>
      </c>
    </row>
    <row r="708" spans="7:8">
      <c r="G708" t="s">
        <v>684</v>
      </c>
      <c r="H708" s="6" t="s">
        <v>28</v>
      </c>
    </row>
    <row r="709" spans="7:8">
      <c r="G709" t="s">
        <v>685</v>
      </c>
      <c r="H709" s="6" t="s">
        <v>28</v>
      </c>
    </row>
    <row r="710" spans="7:8">
      <c r="G710" t="s">
        <v>686</v>
      </c>
      <c r="H710" s="6" t="s">
        <v>28</v>
      </c>
    </row>
    <row r="711" spans="7:8">
      <c r="G711" s="2" t="s">
        <v>687</v>
      </c>
      <c r="H711" s="2" t="s">
        <v>28</v>
      </c>
    </row>
    <row r="712" spans="7:8">
      <c r="G712" s="2" t="s">
        <v>688</v>
      </c>
      <c r="H712" s="2" t="s">
        <v>26</v>
      </c>
    </row>
    <row r="713" spans="7:8">
      <c r="G713" t="s">
        <v>689</v>
      </c>
      <c r="H713" s="6" t="s">
        <v>26</v>
      </c>
    </row>
    <row r="714" spans="7:8">
      <c r="G714" s="2" t="s">
        <v>690</v>
      </c>
      <c r="H714" s="2" t="s">
        <v>26</v>
      </c>
    </row>
    <row r="715" spans="7:8">
      <c r="G715" s="2" t="s">
        <v>691</v>
      </c>
      <c r="H715" s="2" t="s">
        <v>21</v>
      </c>
    </row>
    <row r="716" spans="7:8">
      <c r="G716" s="2" t="s">
        <v>692</v>
      </c>
      <c r="H716" s="2" t="s">
        <v>26</v>
      </c>
    </row>
    <row r="717" spans="7:8">
      <c r="G717" s="2" t="s">
        <v>693</v>
      </c>
      <c r="H717" s="2" t="s">
        <v>26</v>
      </c>
    </row>
    <row r="718" spans="7:8">
      <c r="G718" s="2" t="s">
        <v>694</v>
      </c>
      <c r="H718" s="2" t="s">
        <v>26</v>
      </c>
    </row>
    <row r="719" spans="7:8">
      <c r="G719" s="2" t="s">
        <v>695</v>
      </c>
      <c r="H719" s="2" t="s">
        <v>26</v>
      </c>
    </row>
    <row r="720" spans="7:8">
      <c r="G720" s="2" t="s">
        <v>696</v>
      </c>
      <c r="H720" s="2" t="s">
        <v>26</v>
      </c>
    </row>
    <row r="721" spans="7:8">
      <c r="G721" s="2" t="s">
        <v>697</v>
      </c>
      <c r="H721" s="2" t="s">
        <v>26</v>
      </c>
    </row>
    <row r="722" spans="7:8">
      <c r="G722" s="2" t="s">
        <v>698</v>
      </c>
      <c r="H722" s="2" t="s">
        <v>699</v>
      </c>
    </row>
    <row r="723" spans="7:8">
      <c r="G723" s="2" t="s">
        <v>700</v>
      </c>
      <c r="H723" s="2" t="s">
        <v>40</v>
      </c>
    </row>
    <row r="724" spans="7:8">
      <c r="G724" s="2" t="s">
        <v>701</v>
      </c>
      <c r="H724" s="2" t="s">
        <v>21</v>
      </c>
    </row>
    <row r="725" spans="7:8">
      <c r="G725" s="2" t="s">
        <v>701</v>
      </c>
      <c r="H725" s="2" t="s">
        <v>48</v>
      </c>
    </row>
    <row r="726" spans="7:8">
      <c r="G726" s="2" t="s">
        <v>702</v>
      </c>
      <c r="H726" s="2" t="s">
        <v>43</v>
      </c>
    </row>
    <row r="727" spans="7:8">
      <c r="G727" s="2" t="s">
        <v>703</v>
      </c>
      <c r="H727" s="2" t="s">
        <v>43</v>
      </c>
    </row>
    <row r="728" spans="7:8">
      <c r="G728" t="s">
        <v>703</v>
      </c>
      <c r="H728" s="6" t="s">
        <v>677</v>
      </c>
    </row>
    <row r="729" spans="7:8">
      <c r="G729" s="2" t="s">
        <v>704</v>
      </c>
      <c r="H729" s="2" t="s">
        <v>43</v>
      </c>
    </row>
    <row r="730" spans="7:8">
      <c r="G730" s="2" t="s">
        <v>704</v>
      </c>
      <c r="H730" s="2" t="s">
        <v>9</v>
      </c>
    </row>
    <row r="731" spans="7:8">
      <c r="G731" s="2" t="s">
        <v>705</v>
      </c>
      <c r="H731" s="2" t="s">
        <v>26</v>
      </c>
    </row>
    <row r="732" spans="7:8">
      <c r="G732" s="2" t="s">
        <v>706</v>
      </c>
      <c r="H732" s="2" t="s">
        <v>26</v>
      </c>
    </row>
    <row r="733" spans="7:8">
      <c r="G733" s="2" t="s">
        <v>707</v>
      </c>
      <c r="H733" s="2" t="s">
        <v>26</v>
      </c>
    </row>
    <row r="734" spans="7:8">
      <c r="G734" s="2" t="s">
        <v>708</v>
      </c>
      <c r="H734" s="2" t="s">
        <v>9</v>
      </c>
    </row>
    <row r="735" spans="7:8">
      <c r="G735" t="s">
        <v>709</v>
      </c>
      <c r="H735" s="6" t="s">
        <v>87</v>
      </c>
    </row>
    <row r="736" spans="7:8">
      <c r="G736" s="2" t="s">
        <v>710</v>
      </c>
      <c r="H736" s="2" t="s">
        <v>87</v>
      </c>
    </row>
    <row r="737" spans="7:8">
      <c r="G737" s="2" t="s">
        <v>710</v>
      </c>
      <c r="H737" s="2" t="s">
        <v>16</v>
      </c>
    </row>
    <row r="738" spans="7:8">
      <c r="G738" s="2" t="s">
        <v>710</v>
      </c>
      <c r="H738" s="2" t="s">
        <v>9</v>
      </c>
    </row>
    <row r="739" spans="7:8">
      <c r="G739" s="2" t="s">
        <v>711</v>
      </c>
      <c r="H739" s="2" t="s">
        <v>87</v>
      </c>
    </row>
    <row r="740" spans="7:8">
      <c r="G740" s="2" t="s">
        <v>712</v>
      </c>
      <c r="H740" s="2" t="s">
        <v>87</v>
      </c>
    </row>
    <row r="741" spans="7:8">
      <c r="G741" s="2" t="s">
        <v>713</v>
      </c>
      <c r="H741" s="2" t="s">
        <v>87</v>
      </c>
    </row>
    <row r="742" spans="7:8">
      <c r="G742" s="2" t="s">
        <v>714</v>
      </c>
      <c r="H742" s="2" t="s">
        <v>9</v>
      </c>
    </row>
    <row r="743" spans="7:8">
      <c r="G743" s="2" t="s">
        <v>714</v>
      </c>
      <c r="H743" s="2" t="s">
        <v>87</v>
      </c>
    </row>
    <row r="744" spans="7:8">
      <c r="G744" s="2" t="s">
        <v>715</v>
      </c>
      <c r="H744" s="2" t="s">
        <v>87</v>
      </c>
    </row>
    <row r="745" spans="7:8">
      <c r="G745" s="2" t="s">
        <v>716</v>
      </c>
      <c r="H745" s="2" t="s">
        <v>87</v>
      </c>
    </row>
    <row r="746" spans="7:8">
      <c r="G746" s="2" t="s">
        <v>717</v>
      </c>
      <c r="H746" s="2" t="s">
        <v>87</v>
      </c>
    </row>
    <row r="747" spans="7:8">
      <c r="G747" s="2" t="s">
        <v>718</v>
      </c>
      <c r="H747" s="2" t="s">
        <v>9</v>
      </c>
    </row>
    <row r="748" spans="7:8">
      <c r="G748" t="s">
        <v>719</v>
      </c>
      <c r="H748" s="6" t="s">
        <v>87</v>
      </c>
    </row>
    <row r="749" spans="7:8">
      <c r="G749" s="2" t="s">
        <v>720</v>
      </c>
      <c r="H749" s="2" t="s">
        <v>9</v>
      </c>
    </row>
    <row r="750" spans="7:8">
      <c r="G750" s="2" t="s">
        <v>721</v>
      </c>
      <c r="H750" s="2" t="s">
        <v>9</v>
      </c>
    </row>
    <row r="751" spans="7:8">
      <c r="G751" s="2" t="s">
        <v>722</v>
      </c>
      <c r="H751" s="2" t="s">
        <v>40</v>
      </c>
    </row>
    <row r="752" spans="7:8">
      <c r="G752" s="2" t="s">
        <v>723</v>
      </c>
      <c r="H752" s="2" t="s">
        <v>2</v>
      </c>
    </row>
    <row r="753" spans="7:8">
      <c r="G753" s="2" t="s">
        <v>724</v>
      </c>
      <c r="H753" s="2" t="s">
        <v>2</v>
      </c>
    </row>
    <row r="754" spans="7:8">
      <c r="G754" s="2" t="s">
        <v>725</v>
      </c>
      <c r="H754" s="2" t="s">
        <v>2</v>
      </c>
    </row>
    <row r="755" spans="7:8">
      <c r="G755" s="2" t="s">
        <v>726</v>
      </c>
      <c r="H755" s="2" t="s">
        <v>2</v>
      </c>
    </row>
    <row r="756" spans="7:8">
      <c r="G756" s="2" t="s">
        <v>727</v>
      </c>
      <c r="H756" s="2" t="s">
        <v>2</v>
      </c>
    </row>
    <row r="757" spans="7:8">
      <c r="G757" s="2" t="s">
        <v>728</v>
      </c>
      <c r="H757" s="2" t="s">
        <v>2</v>
      </c>
    </row>
    <row r="758" spans="7:8">
      <c r="G758" s="2" t="s">
        <v>729</v>
      </c>
      <c r="H758" s="2" t="s">
        <v>26</v>
      </c>
    </row>
    <row r="759" spans="7:8">
      <c r="G759" s="2" t="s">
        <v>730</v>
      </c>
      <c r="H759" s="2" t="s">
        <v>26</v>
      </c>
    </row>
    <row r="760" spans="7:8">
      <c r="G760" s="2" t="s">
        <v>731</v>
      </c>
      <c r="H760" s="2" t="s">
        <v>21</v>
      </c>
    </row>
    <row r="761" spans="7:8">
      <c r="G761" s="2" t="s">
        <v>732</v>
      </c>
      <c r="H761" s="2" t="s">
        <v>21</v>
      </c>
    </row>
    <row r="762" spans="7:8">
      <c r="G762" t="s">
        <v>733</v>
      </c>
      <c r="H762" s="6" t="s">
        <v>21</v>
      </c>
    </row>
    <row r="763" spans="7:8">
      <c r="G763" s="2" t="s">
        <v>734</v>
      </c>
      <c r="H763" s="2" t="s">
        <v>28</v>
      </c>
    </row>
    <row r="764" spans="7:8">
      <c r="G764" s="2" t="s">
        <v>735</v>
      </c>
      <c r="H764" s="2" t="s">
        <v>9</v>
      </c>
    </row>
    <row r="765" spans="7:8">
      <c r="G765" s="2" t="s">
        <v>736</v>
      </c>
      <c r="H765" s="2" t="s">
        <v>9</v>
      </c>
    </row>
    <row r="766" spans="7:8">
      <c r="G766" t="s">
        <v>737</v>
      </c>
      <c r="H766" s="6" t="s">
        <v>87</v>
      </c>
    </row>
    <row r="767" spans="7:8">
      <c r="G767" s="2" t="s">
        <v>738</v>
      </c>
      <c r="H767" s="2" t="s">
        <v>9</v>
      </c>
    </row>
    <row r="768" spans="7:8">
      <c r="G768" s="2" t="s">
        <v>739</v>
      </c>
      <c r="H768" s="2" t="s">
        <v>9</v>
      </c>
    </row>
    <row r="769" spans="7:8">
      <c r="G769" s="2" t="s">
        <v>740</v>
      </c>
      <c r="H769" s="2" t="s">
        <v>9</v>
      </c>
    </row>
    <row r="770" spans="7:8">
      <c r="G770" s="2" t="s">
        <v>741</v>
      </c>
      <c r="H770" s="2" t="s">
        <v>9</v>
      </c>
    </row>
    <row r="771" spans="7:8">
      <c r="G771" s="2" t="s">
        <v>742</v>
      </c>
      <c r="H771" s="2" t="s">
        <v>9</v>
      </c>
    </row>
    <row r="772" spans="7:8">
      <c r="G772" s="2" t="s">
        <v>743</v>
      </c>
      <c r="H772" s="2" t="s">
        <v>9</v>
      </c>
    </row>
    <row r="773" spans="7:8">
      <c r="G773" s="2" t="s">
        <v>744</v>
      </c>
      <c r="H773" s="2" t="s">
        <v>9</v>
      </c>
    </row>
    <row r="774" spans="7:8">
      <c r="G774" s="2" t="s">
        <v>745</v>
      </c>
      <c r="H774" s="2" t="s">
        <v>9</v>
      </c>
    </row>
    <row r="775" spans="7:8">
      <c r="G775" s="2" t="s">
        <v>746</v>
      </c>
      <c r="H775" s="2" t="s">
        <v>9</v>
      </c>
    </row>
    <row r="776" spans="7:8">
      <c r="G776" s="2" t="s">
        <v>747</v>
      </c>
      <c r="H776" s="2" t="s">
        <v>9</v>
      </c>
    </row>
    <row r="777" spans="7:8">
      <c r="G777" s="2" t="s">
        <v>748</v>
      </c>
      <c r="H777" s="2" t="s">
        <v>9</v>
      </c>
    </row>
    <row r="778" spans="7:8">
      <c r="G778" s="2" t="s">
        <v>749</v>
      </c>
      <c r="H778" s="2" t="s">
        <v>9</v>
      </c>
    </row>
    <row r="779" spans="7:8">
      <c r="G779" s="2" t="s">
        <v>750</v>
      </c>
      <c r="H779" s="2" t="s">
        <v>9</v>
      </c>
    </row>
    <row r="780" spans="7:8">
      <c r="G780" s="2" t="s">
        <v>751</v>
      </c>
      <c r="H780" s="2" t="s">
        <v>9</v>
      </c>
    </row>
    <row r="781" spans="7:8">
      <c r="G781" s="2" t="s">
        <v>752</v>
      </c>
      <c r="H781" s="2" t="s">
        <v>9</v>
      </c>
    </row>
    <row r="782" spans="7:8">
      <c r="G782" s="2" t="s">
        <v>753</v>
      </c>
      <c r="H782" s="2" t="s">
        <v>9</v>
      </c>
    </row>
    <row r="783" spans="7:8">
      <c r="G783" s="2" t="s">
        <v>754</v>
      </c>
      <c r="H783" s="2" t="s">
        <v>9</v>
      </c>
    </row>
    <row r="784" spans="7:8">
      <c r="G784" s="2" t="s">
        <v>755</v>
      </c>
      <c r="H784" s="2" t="s">
        <v>9</v>
      </c>
    </row>
    <row r="785" spans="7:8">
      <c r="G785" s="2" t="s">
        <v>756</v>
      </c>
      <c r="H785" s="2" t="s">
        <v>9</v>
      </c>
    </row>
    <row r="786" spans="7:8">
      <c r="G786" s="2" t="s">
        <v>757</v>
      </c>
      <c r="H786" s="2" t="s">
        <v>9</v>
      </c>
    </row>
    <row r="787" spans="7:8">
      <c r="G787" s="2" t="s">
        <v>758</v>
      </c>
      <c r="H787" s="2" t="s">
        <v>9</v>
      </c>
    </row>
    <row r="788" spans="7:8">
      <c r="G788" s="2" t="s">
        <v>759</v>
      </c>
      <c r="H788" s="2" t="s">
        <v>9</v>
      </c>
    </row>
    <row r="789" spans="7:8">
      <c r="G789" s="2" t="s">
        <v>760</v>
      </c>
      <c r="H789" s="2" t="s">
        <v>9</v>
      </c>
    </row>
    <row r="790" spans="7:8">
      <c r="G790" s="2" t="s">
        <v>761</v>
      </c>
      <c r="H790" s="2" t="s">
        <v>9</v>
      </c>
    </row>
    <row r="791" spans="7:8">
      <c r="G791" s="2" t="s">
        <v>762</v>
      </c>
      <c r="H791" s="2" t="s">
        <v>9</v>
      </c>
    </row>
    <row r="792" spans="7:8">
      <c r="G792" s="2" t="s">
        <v>763</v>
      </c>
      <c r="H792" s="2" t="s">
        <v>9</v>
      </c>
    </row>
    <row r="793" spans="7:8">
      <c r="G793" s="2" t="s">
        <v>764</v>
      </c>
      <c r="H793" s="2" t="s">
        <v>9</v>
      </c>
    </row>
    <row r="794" spans="7:8">
      <c r="G794" s="2" t="s">
        <v>765</v>
      </c>
      <c r="H794" s="2" t="s">
        <v>9</v>
      </c>
    </row>
    <row r="795" spans="7:8">
      <c r="G795" s="2" t="s">
        <v>766</v>
      </c>
      <c r="H795" s="2" t="s">
        <v>9</v>
      </c>
    </row>
    <row r="796" spans="7:8">
      <c r="G796" s="2" t="s">
        <v>767</v>
      </c>
      <c r="H796" s="2" t="s">
        <v>9</v>
      </c>
    </row>
    <row r="797" spans="7:8">
      <c r="G797" s="2" t="s">
        <v>768</v>
      </c>
      <c r="H797" s="2" t="s">
        <v>9</v>
      </c>
    </row>
    <row r="798" spans="7:8">
      <c r="G798" s="2" t="s">
        <v>769</v>
      </c>
      <c r="H798" s="2" t="s">
        <v>9</v>
      </c>
    </row>
    <row r="799" spans="7:8">
      <c r="G799" s="2" t="s">
        <v>770</v>
      </c>
      <c r="H799" s="2" t="s">
        <v>9</v>
      </c>
    </row>
    <row r="800" spans="7:8">
      <c r="G800" s="2" t="s">
        <v>771</v>
      </c>
      <c r="H800" s="2" t="s">
        <v>9</v>
      </c>
    </row>
    <row r="801" spans="7:8">
      <c r="G801" s="2" t="s">
        <v>772</v>
      </c>
      <c r="H801" s="2" t="s">
        <v>9</v>
      </c>
    </row>
    <row r="802" spans="7:8">
      <c r="G802" s="2" t="s">
        <v>773</v>
      </c>
      <c r="H802" s="2" t="s">
        <v>9</v>
      </c>
    </row>
    <row r="803" spans="7:8">
      <c r="G803" s="2" t="s">
        <v>774</v>
      </c>
      <c r="H803" s="2" t="s">
        <v>9</v>
      </c>
    </row>
    <row r="804" spans="7:8">
      <c r="G804" s="2" t="s">
        <v>775</v>
      </c>
      <c r="H804" s="2" t="s">
        <v>9</v>
      </c>
    </row>
    <row r="805" spans="7:8">
      <c r="G805" s="2" t="s">
        <v>776</v>
      </c>
      <c r="H805" s="2" t="s">
        <v>9</v>
      </c>
    </row>
    <row r="806" spans="7:8">
      <c r="G806" s="2" t="s">
        <v>777</v>
      </c>
      <c r="H806" s="2" t="s">
        <v>9</v>
      </c>
    </row>
    <row r="807" spans="7:8">
      <c r="G807" s="2" t="s">
        <v>778</v>
      </c>
      <c r="H807" s="2" t="s">
        <v>40</v>
      </c>
    </row>
    <row r="808" spans="7:8" ht="28.5">
      <c r="G808" s="5" t="s">
        <v>779</v>
      </c>
      <c r="H808" s="2" t="s">
        <v>26</v>
      </c>
    </row>
    <row r="809" spans="7:8">
      <c r="G809" s="2" t="s">
        <v>780</v>
      </c>
      <c r="H809" s="2" t="s">
        <v>26</v>
      </c>
    </row>
    <row r="810" spans="7:8">
      <c r="G810" s="2" t="s">
        <v>781</v>
      </c>
      <c r="H810" s="2" t="s">
        <v>26</v>
      </c>
    </row>
    <row r="811" spans="7:8">
      <c r="G811" s="2" t="s">
        <v>782</v>
      </c>
      <c r="H811" s="2" t="s">
        <v>21</v>
      </c>
    </row>
    <row r="812" spans="7:8">
      <c r="G812" s="2" t="s">
        <v>782</v>
      </c>
      <c r="H812" s="2" t="s">
        <v>21</v>
      </c>
    </row>
    <row r="813" spans="7:8">
      <c r="G813" t="s">
        <v>783</v>
      </c>
      <c r="H813" s="6" t="s">
        <v>26</v>
      </c>
    </row>
    <row r="814" spans="7:8">
      <c r="G814" s="2" t="s">
        <v>784</v>
      </c>
      <c r="H814" s="2" t="s">
        <v>26</v>
      </c>
    </row>
    <row r="815" spans="7:8">
      <c r="G815" s="2" t="s">
        <v>785</v>
      </c>
      <c r="H815" s="2" t="s">
        <v>26</v>
      </c>
    </row>
    <row r="816" spans="7:8">
      <c r="G816" s="2" t="s">
        <v>786</v>
      </c>
      <c r="H816" s="2" t="s">
        <v>26</v>
      </c>
    </row>
    <row r="817" spans="7:8">
      <c r="G817" s="2" t="s">
        <v>787</v>
      </c>
      <c r="H817" s="2" t="s">
        <v>21</v>
      </c>
    </row>
    <row r="818" spans="7:8">
      <c r="G818" s="2" t="s">
        <v>788</v>
      </c>
      <c r="H818" s="2" t="s">
        <v>21</v>
      </c>
    </row>
    <row r="819" spans="7:8">
      <c r="G819" s="2" t="s">
        <v>789</v>
      </c>
      <c r="H819" s="2" t="s">
        <v>26</v>
      </c>
    </row>
    <row r="820" spans="7:8">
      <c r="G820" s="2" t="s">
        <v>790</v>
      </c>
      <c r="H820" s="2" t="s">
        <v>21</v>
      </c>
    </row>
    <row r="821" spans="7:8">
      <c r="G821" s="2" t="s">
        <v>791</v>
      </c>
      <c r="H821" s="2" t="s">
        <v>45</v>
      </c>
    </row>
    <row r="822" spans="7:8">
      <c r="G822" s="2" t="s">
        <v>792</v>
      </c>
      <c r="H822" s="2" t="s">
        <v>21</v>
      </c>
    </row>
    <row r="823" spans="7:8">
      <c r="G823" s="2" t="s">
        <v>793</v>
      </c>
      <c r="H823" s="2" t="s">
        <v>21</v>
      </c>
    </row>
    <row r="824" spans="7:8">
      <c r="G824" s="2" t="s">
        <v>794</v>
      </c>
      <c r="H824" s="2" t="s">
        <v>21</v>
      </c>
    </row>
    <row r="825" spans="7:8">
      <c r="G825" s="2" t="s">
        <v>795</v>
      </c>
      <c r="H825" s="2" t="s">
        <v>21</v>
      </c>
    </row>
    <row r="826" spans="7:8">
      <c r="G826" s="2" t="s">
        <v>796</v>
      </c>
      <c r="H826" s="2" t="s">
        <v>23</v>
      </c>
    </row>
    <row r="827" spans="7:8">
      <c r="G827" s="2" t="s">
        <v>797</v>
      </c>
      <c r="H827" s="2" t="s">
        <v>23</v>
      </c>
    </row>
    <row r="828" spans="7:8">
      <c r="G828" s="2" t="s">
        <v>798</v>
      </c>
      <c r="H828" s="2" t="s">
        <v>21</v>
      </c>
    </row>
    <row r="829" spans="7:8">
      <c r="G829" s="2" t="s">
        <v>798</v>
      </c>
      <c r="H829" s="2" t="s">
        <v>26</v>
      </c>
    </row>
    <row r="830" spans="7:8">
      <c r="G830" s="2" t="s">
        <v>799</v>
      </c>
      <c r="H830" s="2" t="s">
        <v>16</v>
      </c>
    </row>
    <row r="831" spans="7:8">
      <c r="G831" s="2" t="s">
        <v>800</v>
      </c>
      <c r="H831" s="2" t="s">
        <v>9</v>
      </c>
    </row>
    <row r="832" spans="7:8">
      <c r="G832" s="2" t="s">
        <v>801</v>
      </c>
      <c r="H832" s="2" t="s">
        <v>9</v>
      </c>
    </row>
    <row r="833" spans="7:8">
      <c r="G833" s="2" t="s">
        <v>802</v>
      </c>
      <c r="H833" s="2" t="s">
        <v>16</v>
      </c>
    </row>
    <row r="834" spans="7:8">
      <c r="G834" s="2" t="s">
        <v>803</v>
      </c>
      <c r="H834" s="2" t="s">
        <v>21</v>
      </c>
    </row>
    <row r="835" spans="7:8">
      <c r="G835" s="2" t="s">
        <v>804</v>
      </c>
      <c r="H835" s="2" t="s">
        <v>21</v>
      </c>
    </row>
    <row r="836" spans="7:8">
      <c r="G836" s="2" t="s">
        <v>805</v>
      </c>
      <c r="H836" s="2" t="s">
        <v>26</v>
      </c>
    </row>
    <row r="837" spans="7:8">
      <c r="G837" s="2" t="s">
        <v>806</v>
      </c>
      <c r="H837" s="2" t="s">
        <v>26</v>
      </c>
    </row>
    <row r="838" spans="7:8">
      <c r="G838" s="2" t="s">
        <v>806</v>
      </c>
      <c r="H838" s="2" t="s">
        <v>26</v>
      </c>
    </row>
    <row r="839" spans="7:8">
      <c r="G839" s="2" t="s">
        <v>807</v>
      </c>
      <c r="H839" s="2" t="s">
        <v>9</v>
      </c>
    </row>
    <row r="840" spans="7:8">
      <c r="G840" s="2" t="s">
        <v>808</v>
      </c>
      <c r="H840" s="2" t="s">
        <v>40</v>
      </c>
    </row>
    <row r="841" spans="7:8">
      <c r="G841" t="s">
        <v>809</v>
      </c>
      <c r="H841" s="6" t="s">
        <v>21</v>
      </c>
    </row>
    <row r="842" spans="7:8">
      <c r="G842" t="s">
        <v>810</v>
      </c>
      <c r="H842" s="6" t="s">
        <v>21</v>
      </c>
    </row>
    <row r="843" spans="7:8">
      <c r="G843" s="2" t="s">
        <v>811</v>
      </c>
      <c r="H843" s="2" t="s">
        <v>87</v>
      </c>
    </row>
    <row r="844" spans="7:8">
      <c r="G844" s="2" t="s">
        <v>812</v>
      </c>
      <c r="H844" s="2" t="s">
        <v>9</v>
      </c>
    </row>
    <row r="845" spans="7:8">
      <c r="G845" s="2" t="s">
        <v>813</v>
      </c>
      <c r="H845" s="2" t="s">
        <v>26</v>
      </c>
    </row>
    <row r="846" spans="7:8">
      <c r="G846" s="2" t="s">
        <v>814</v>
      </c>
      <c r="H846" s="2" t="s">
        <v>40</v>
      </c>
    </row>
    <row r="847" spans="7:8">
      <c r="G847" s="2" t="s">
        <v>815</v>
      </c>
      <c r="H847" s="2" t="s">
        <v>26</v>
      </c>
    </row>
    <row r="848" spans="7:8">
      <c r="G848" s="2" t="s">
        <v>816</v>
      </c>
      <c r="H848" s="2" t="s">
        <v>31</v>
      </c>
    </row>
    <row r="849" spans="7:8">
      <c r="G849" s="2" t="s">
        <v>817</v>
      </c>
      <c r="H849" s="2" t="s">
        <v>31</v>
      </c>
    </row>
    <row r="850" spans="7:8">
      <c r="G850" s="2" t="s">
        <v>818</v>
      </c>
      <c r="H850" s="2" t="s">
        <v>31</v>
      </c>
    </row>
    <row r="851" spans="7:8">
      <c r="G851" s="2" t="s">
        <v>819</v>
      </c>
      <c r="H851" s="2" t="s">
        <v>31</v>
      </c>
    </row>
    <row r="852" spans="7:8">
      <c r="G852" s="2" t="s">
        <v>820</v>
      </c>
      <c r="H852" s="2" t="s">
        <v>9</v>
      </c>
    </row>
    <row r="853" spans="7:8">
      <c r="G853" s="2" t="s">
        <v>821</v>
      </c>
      <c r="H853" s="2" t="s">
        <v>40</v>
      </c>
    </row>
    <row r="854" spans="7:8">
      <c r="G854" s="2" t="s">
        <v>821</v>
      </c>
      <c r="H854" s="2" t="s">
        <v>21</v>
      </c>
    </row>
    <row r="855" spans="7:8">
      <c r="G855" s="2" t="s">
        <v>822</v>
      </c>
      <c r="H855" s="2" t="s">
        <v>69</v>
      </c>
    </row>
    <row r="856" spans="7:8">
      <c r="G856" s="2" t="s">
        <v>822</v>
      </c>
      <c r="H856" s="2" t="s">
        <v>9</v>
      </c>
    </row>
    <row r="857" spans="7:8">
      <c r="G857" s="2" t="s">
        <v>823</v>
      </c>
      <c r="H857" s="2" t="s">
        <v>21</v>
      </c>
    </row>
    <row r="858" spans="7:8">
      <c r="G858" t="s">
        <v>824</v>
      </c>
      <c r="H858" s="6" t="s">
        <v>21</v>
      </c>
    </row>
    <row r="859" spans="7:8">
      <c r="G859" s="2" t="s">
        <v>825</v>
      </c>
      <c r="H859" s="2" t="s">
        <v>21</v>
      </c>
    </row>
    <row r="860" spans="7:8">
      <c r="G860" t="s">
        <v>825</v>
      </c>
      <c r="H860" s="6" t="s">
        <v>21</v>
      </c>
    </row>
    <row r="861" spans="7:8">
      <c r="G861" s="2" t="s">
        <v>826</v>
      </c>
      <c r="H861" s="2" t="s">
        <v>21</v>
      </c>
    </row>
    <row r="862" spans="7:8">
      <c r="G862" s="2" t="s">
        <v>827</v>
      </c>
      <c r="H862" s="2" t="s">
        <v>21</v>
      </c>
    </row>
    <row r="863" spans="7:8">
      <c r="G863" t="s">
        <v>828</v>
      </c>
      <c r="H863" s="6" t="s">
        <v>21</v>
      </c>
    </row>
    <row r="864" spans="7:8">
      <c r="G864" s="2" t="s">
        <v>829</v>
      </c>
      <c r="H864" s="2" t="s">
        <v>21</v>
      </c>
    </row>
    <row r="865" spans="7:8">
      <c r="G865" s="2" t="s">
        <v>830</v>
      </c>
      <c r="H865" s="2" t="s">
        <v>21</v>
      </c>
    </row>
    <row r="866" spans="7:8">
      <c r="G866" s="2" t="s">
        <v>830</v>
      </c>
      <c r="H866" s="2" t="s">
        <v>26</v>
      </c>
    </row>
    <row r="867" spans="7:8">
      <c r="G867" s="2" t="s">
        <v>831</v>
      </c>
      <c r="H867" s="2" t="s">
        <v>26</v>
      </c>
    </row>
    <row r="868" spans="7:8">
      <c r="G868" s="2" t="s">
        <v>832</v>
      </c>
      <c r="H868" s="2" t="s">
        <v>48</v>
      </c>
    </row>
    <row r="869" spans="7:8">
      <c r="G869" s="2" t="s">
        <v>833</v>
      </c>
      <c r="H869" s="2" t="s">
        <v>26</v>
      </c>
    </row>
    <row r="870" spans="7:8">
      <c r="G870" s="2" t="s">
        <v>834</v>
      </c>
      <c r="H870" s="2" t="s">
        <v>23</v>
      </c>
    </row>
    <row r="871" spans="7:8">
      <c r="G871" s="2" t="s">
        <v>835</v>
      </c>
      <c r="H871" s="2" t="s">
        <v>21</v>
      </c>
    </row>
    <row r="872" spans="7:8">
      <c r="G872" s="2" t="s">
        <v>835</v>
      </c>
      <c r="H872" s="2" t="s">
        <v>9</v>
      </c>
    </row>
    <row r="873" spans="7:8">
      <c r="G873" s="2" t="s">
        <v>836</v>
      </c>
      <c r="H873" s="2" t="s">
        <v>21</v>
      </c>
    </row>
    <row r="874" spans="7:8">
      <c r="G874" s="2" t="s">
        <v>837</v>
      </c>
      <c r="H874" s="2" t="s">
        <v>45</v>
      </c>
    </row>
    <row r="875" spans="7:8">
      <c r="G875" s="2" t="s">
        <v>838</v>
      </c>
      <c r="H875" s="2" t="s">
        <v>29</v>
      </c>
    </row>
    <row r="876" spans="7:8">
      <c r="G876" s="2" t="s">
        <v>839</v>
      </c>
      <c r="H876" s="2" t="s">
        <v>87</v>
      </c>
    </row>
    <row r="877" spans="7:8">
      <c r="G877" s="2" t="s">
        <v>839</v>
      </c>
      <c r="H877" s="2" t="s">
        <v>54</v>
      </c>
    </row>
    <row r="878" spans="7:8">
      <c r="G878" s="2" t="s">
        <v>840</v>
      </c>
      <c r="H878" s="2" t="s">
        <v>87</v>
      </c>
    </row>
    <row r="879" spans="7:8">
      <c r="G879" s="2" t="s">
        <v>841</v>
      </c>
      <c r="H879" s="2" t="s">
        <v>9</v>
      </c>
    </row>
    <row r="880" spans="7:8">
      <c r="G880" s="2" t="s">
        <v>842</v>
      </c>
      <c r="H880" s="2" t="s">
        <v>21</v>
      </c>
    </row>
    <row r="881" spans="7:8">
      <c r="G881" t="s">
        <v>843</v>
      </c>
      <c r="H881" s="6" t="s">
        <v>26</v>
      </c>
    </row>
    <row r="882" spans="7:8">
      <c r="G882" s="2" t="s">
        <v>844</v>
      </c>
      <c r="H882" s="2" t="s">
        <v>26</v>
      </c>
    </row>
    <row r="883" spans="7:8">
      <c r="G883" s="2" t="s">
        <v>845</v>
      </c>
      <c r="H883" s="2" t="s">
        <v>21</v>
      </c>
    </row>
    <row r="884" spans="7:8">
      <c r="G884" t="s">
        <v>846</v>
      </c>
      <c r="H884" t="s">
        <v>26</v>
      </c>
    </row>
    <row r="885" spans="7:8">
      <c r="G885" s="2" t="s">
        <v>847</v>
      </c>
      <c r="H885" s="2" t="s">
        <v>26</v>
      </c>
    </row>
    <row r="886" spans="7:8">
      <c r="G886" s="2" t="s">
        <v>848</v>
      </c>
      <c r="H886" s="2" t="s">
        <v>26</v>
      </c>
    </row>
    <row r="887" spans="7:8">
      <c r="G887" s="2" t="s">
        <v>849</v>
      </c>
      <c r="H887" s="2" t="s">
        <v>9</v>
      </c>
    </row>
    <row r="888" spans="7:8">
      <c r="G888" s="2" t="s">
        <v>849</v>
      </c>
      <c r="H888" s="2" t="s">
        <v>87</v>
      </c>
    </row>
    <row r="889" spans="7:8">
      <c r="G889" t="s">
        <v>850</v>
      </c>
      <c r="H889" s="6" t="s">
        <v>26</v>
      </c>
    </row>
    <row r="890" spans="7:8">
      <c r="G890" s="2" t="s">
        <v>851</v>
      </c>
      <c r="H890" s="2" t="s">
        <v>20</v>
      </c>
    </row>
    <row r="891" spans="7:8">
      <c r="G891" s="2" t="s">
        <v>852</v>
      </c>
      <c r="H891" s="2" t="s">
        <v>50</v>
      </c>
    </row>
    <row r="892" spans="7:8">
      <c r="G892" s="2" t="s">
        <v>853</v>
      </c>
      <c r="H892" s="2" t="s">
        <v>50</v>
      </c>
    </row>
    <row r="893" spans="7:8">
      <c r="G893" t="s">
        <v>854</v>
      </c>
      <c r="H893" s="6" t="s">
        <v>21</v>
      </c>
    </row>
    <row r="894" spans="7:8">
      <c r="G894" s="2" t="s">
        <v>855</v>
      </c>
      <c r="H894" s="2" t="s">
        <v>21</v>
      </c>
    </row>
    <row r="895" spans="7:8">
      <c r="G895" s="2" t="s">
        <v>856</v>
      </c>
      <c r="H895" s="2" t="s">
        <v>21</v>
      </c>
    </row>
    <row r="896" spans="7:8">
      <c r="G896" s="2" t="s">
        <v>857</v>
      </c>
      <c r="H896" s="2" t="s">
        <v>21</v>
      </c>
    </row>
    <row r="897" spans="7:8">
      <c r="G897" s="2" t="s">
        <v>857</v>
      </c>
      <c r="H897" s="2" t="s">
        <v>40</v>
      </c>
    </row>
    <row r="898" spans="7:8">
      <c r="G898" s="2" t="s">
        <v>858</v>
      </c>
      <c r="H898" s="2" t="s">
        <v>26</v>
      </c>
    </row>
    <row r="899" spans="7:8">
      <c r="G899" s="2" t="s">
        <v>859</v>
      </c>
      <c r="H899" s="2" t="s">
        <v>11</v>
      </c>
    </row>
    <row r="900" spans="7:8">
      <c r="G900" s="2" t="s">
        <v>859</v>
      </c>
      <c r="H900" s="2" t="s">
        <v>9</v>
      </c>
    </row>
    <row r="901" spans="7:8">
      <c r="G901" t="s">
        <v>859</v>
      </c>
      <c r="H901" s="6" t="s">
        <v>87</v>
      </c>
    </row>
    <row r="902" spans="7:8">
      <c r="G902" s="2" t="s">
        <v>860</v>
      </c>
      <c r="H902" s="6" t="s">
        <v>87</v>
      </c>
    </row>
    <row r="903" spans="7:8">
      <c r="G903" s="2" t="s">
        <v>861</v>
      </c>
      <c r="H903" s="2" t="s">
        <v>9</v>
      </c>
    </row>
    <row r="904" spans="7:8">
      <c r="G904" s="2" t="s">
        <v>861</v>
      </c>
      <c r="H904" s="6" t="s">
        <v>87</v>
      </c>
    </row>
    <row r="905" spans="7:8">
      <c r="G905" s="2" t="s">
        <v>862</v>
      </c>
      <c r="H905" s="2" t="s">
        <v>9</v>
      </c>
    </row>
    <row r="906" spans="7:8">
      <c r="G906" s="2" t="s">
        <v>862</v>
      </c>
      <c r="H906" s="6" t="s">
        <v>87</v>
      </c>
    </row>
    <row r="907" spans="7:8">
      <c r="G907" s="2" t="s">
        <v>863</v>
      </c>
      <c r="H907" s="2" t="s">
        <v>11</v>
      </c>
    </row>
    <row r="908" spans="7:8">
      <c r="G908" s="2" t="s">
        <v>863</v>
      </c>
      <c r="H908" s="6" t="s">
        <v>87</v>
      </c>
    </row>
    <row r="909" spans="7:8">
      <c r="G909" s="2" t="s">
        <v>864</v>
      </c>
      <c r="H909" s="6" t="s">
        <v>87</v>
      </c>
    </row>
    <row r="910" spans="7:8">
      <c r="G910" s="2" t="s">
        <v>865</v>
      </c>
      <c r="H910" s="6" t="s">
        <v>87</v>
      </c>
    </row>
    <row r="911" spans="7:8">
      <c r="G911" s="2" t="s">
        <v>866</v>
      </c>
      <c r="H911" s="6" t="s">
        <v>87</v>
      </c>
    </row>
    <row r="912" spans="7:8">
      <c r="G912" s="2" t="s">
        <v>867</v>
      </c>
      <c r="H912" s="6" t="s">
        <v>87</v>
      </c>
    </row>
    <row r="913" spans="7:8">
      <c r="G913" s="2" t="s">
        <v>868</v>
      </c>
      <c r="H913" s="6" t="s">
        <v>87</v>
      </c>
    </row>
    <row r="914" spans="7:8">
      <c r="G914" s="2" t="s">
        <v>869</v>
      </c>
      <c r="H914" s="6" t="s">
        <v>87</v>
      </c>
    </row>
    <row r="915" spans="7:8">
      <c r="G915" s="2" t="s">
        <v>870</v>
      </c>
      <c r="H915" s="6" t="s">
        <v>87</v>
      </c>
    </row>
    <row r="916" spans="7:8">
      <c r="G916" s="2" t="s">
        <v>871</v>
      </c>
      <c r="H916" s="6" t="s">
        <v>87</v>
      </c>
    </row>
    <row r="917" spans="7:8">
      <c r="G917" s="2" t="s">
        <v>872</v>
      </c>
      <c r="H917" s="6" t="s">
        <v>87</v>
      </c>
    </row>
    <row r="918" spans="7:8">
      <c r="G918" s="2" t="s">
        <v>873</v>
      </c>
      <c r="H918" s="2" t="s">
        <v>28</v>
      </c>
    </row>
    <row r="919" spans="7:8">
      <c r="G919" s="2" t="s">
        <v>874</v>
      </c>
      <c r="H919" s="2" t="s">
        <v>45</v>
      </c>
    </row>
    <row r="920" spans="7:8">
      <c r="G920" s="2" t="s">
        <v>875</v>
      </c>
      <c r="H920" s="2" t="s">
        <v>45</v>
      </c>
    </row>
    <row r="921" spans="7:8">
      <c r="G921" s="2" t="s">
        <v>876</v>
      </c>
      <c r="H921" s="2" t="s">
        <v>26</v>
      </c>
    </row>
    <row r="922" spans="7:8">
      <c r="G922" t="s">
        <v>877</v>
      </c>
      <c r="H922" s="6" t="s">
        <v>26</v>
      </c>
    </row>
    <row r="923" spans="7:8">
      <c r="G923" s="2" t="s">
        <v>878</v>
      </c>
      <c r="H923" s="2" t="s">
        <v>9</v>
      </c>
    </row>
    <row r="924" spans="7:8">
      <c r="G924" s="2" t="s">
        <v>878</v>
      </c>
      <c r="H924" s="6" t="s">
        <v>87</v>
      </c>
    </row>
    <row r="925" spans="7:8">
      <c r="G925" s="2" t="s">
        <v>879</v>
      </c>
      <c r="H925" s="2" t="s">
        <v>9</v>
      </c>
    </row>
    <row r="926" spans="7:8">
      <c r="G926" s="2" t="s">
        <v>880</v>
      </c>
      <c r="H926" s="2" t="s">
        <v>9</v>
      </c>
    </row>
    <row r="927" spans="7:8">
      <c r="G927" s="2" t="s">
        <v>880</v>
      </c>
      <c r="H927" s="6" t="s">
        <v>87</v>
      </c>
    </row>
    <row r="928" spans="7:8">
      <c r="G928" s="2" t="s">
        <v>881</v>
      </c>
      <c r="H928" s="2" t="s">
        <v>9</v>
      </c>
    </row>
    <row r="929" spans="7:8">
      <c r="G929" s="2" t="s">
        <v>882</v>
      </c>
      <c r="H929" s="6" t="s">
        <v>87</v>
      </c>
    </row>
    <row r="930" spans="7:8">
      <c r="G930" s="2" t="s">
        <v>883</v>
      </c>
      <c r="H930" s="6" t="s">
        <v>87</v>
      </c>
    </row>
    <row r="931" spans="7:8">
      <c r="G931" s="2" t="s">
        <v>883</v>
      </c>
      <c r="H931" s="2" t="s">
        <v>9</v>
      </c>
    </row>
    <row r="932" spans="7:8">
      <c r="G932" s="2" t="s">
        <v>884</v>
      </c>
      <c r="H932" s="2" t="s">
        <v>21</v>
      </c>
    </row>
    <row r="933" spans="7:8">
      <c r="G933" s="2" t="s">
        <v>885</v>
      </c>
      <c r="H933" s="2" t="s">
        <v>21</v>
      </c>
    </row>
    <row r="934" spans="7:8">
      <c r="G934" s="2" t="s">
        <v>886</v>
      </c>
      <c r="H934" s="2" t="s">
        <v>45</v>
      </c>
    </row>
    <row r="935" spans="7:8">
      <c r="G935" s="2" t="s">
        <v>887</v>
      </c>
      <c r="H935" s="2" t="s">
        <v>28</v>
      </c>
    </row>
    <row r="936" spans="7:8">
      <c r="G936" s="2" t="s">
        <v>888</v>
      </c>
      <c r="H936" s="2" t="s">
        <v>23</v>
      </c>
    </row>
    <row r="937" spans="7:8">
      <c r="G937" s="2" t="s">
        <v>889</v>
      </c>
      <c r="H937" s="2" t="s">
        <v>21</v>
      </c>
    </row>
    <row r="938" spans="7:8">
      <c r="G938" s="2" t="s">
        <v>889</v>
      </c>
      <c r="H938" s="2" t="s">
        <v>26</v>
      </c>
    </row>
    <row r="939" spans="7:8">
      <c r="G939" s="2" t="s">
        <v>890</v>
      </c>
      <c r="H939" s="2" t="s">
        <v>21</v>
      </c>
    </row>
    <row r="940" spans="7:8">
      <c r="G940" s="2" t="s">
        <v>890</v>
      </c>
      <c r="H940" s="2" t="s">
        <v>23</v>
      </c>
    </row>
    <row r="941" spans="7:8">
      <c r="G941" s="2" t="s">
        <v>891</v>
      </c>
      <c r="H941" s="2" t="s">
        <v>45</v>
      </c>
    </row>
    <row r="942" spans="7:8">
      <c r="G942" s="2" t="s">
        <v>892</v>
      </c>
      <c r="H942" s="2" t="s">
        <v>26</v>
      </c>
    </row>
    <row r="943" spans="7:8">
      <c r="G943" s="2" t="s">
        <v>893</v>
      </c>
      <c r="H943" s="2" t="s">
        <v>26</v>
      </c>
    </row>
    <row r="944" spans="7:8">
      <c r="G944" s="2" t="s">
        <v>894</v>
      </c>
      <c r="H944" s="2" t="s">
        <v>28</v>
      </c>
    </row>
    <row r="945" spans="7:8">
      <c r="G945" s="2" t="s">
        <v>895</v>
      </c>
      <c r="H945" s="2" t="s">
        <v>26</v>
      </c>
    </row>
    <row r="946" spans="7:8">
      <c r="G946" s="2" t="s">
        <v>896</v>
      </c>
      <c r="H946" s="2" t="s">
        <v>45</v>
      </c>
    </row>
    <row r="947" spans="7:8">
      <c r="G947" t="s">
        <v>897</v>
      </c>
      <c r="H947" t="s">
        <v>45</v>
      </c>
    </row>
    <row r="948" spans="7:8">
      <c r="G948" s="2" t="s">
        <v>898</v>
      </c>
      <c r="H948" s="2" t="s">
        <v>45</v>
      </c>
    </row>
    <row r="949" spans="7:8">
      <c r="G949" s="2" t="s">
        <v>899</v>
      </c>
      <c r="H949" s="2" t="s">
        <v>23</v>
      </c>
    </row>
    <row r="950" spans="7:8">
      <c r="G950" s="2" t="s">
        <v>900</v>
      </c>
      <c r="H950" s="2" t="s">
        <v>40</v>
      </c>
    </row>
    <row r="951" spans="7:8">
      <c r="G951" s="2" t="s">
        <v>901</v>
      </c>
      <c r="H951" s="2" t="s">
        <v>28</v>
      </c>
    </row>
    <row r="952" spans="7:8">
      <c r="G952" s="2" t="s">
        <v>902</v>
      </c>
      <c r="H952" s="2" t="s">
        <v>26</v>
      </c>
    </row>
    <row r="953" spans="7:8">
      <c r="G953" s="2" t="s">
        <v>902</v>
      </c>
      <c r="H953" s="2" t="s">
        <v>21</v>
      </c>
    </row>
    <row r="954" spans="7:8">
      <c r="G954" s="2" t="s">
        <v>902</v>
      </c>
      <c r="H954" s="2" t="s">
        <v>26</v>
      </c>
    </row>
    <row r="955" spans="7:8">
      <c r="G955" s="2" t="s">
        <v>903</v>
      </c>
      <c r="H955" s="2" t="s">
        <v>26</v>
      </c>
    </row>
    <row r="956" spans="7:8">
      <c r="G956" s="2" t="s">
        <v>904</v>
      </c>
      <c r="H956" s="2" t="s">
        <v>28</v>
      </c>
    </row>
    <row r="957" spans="7:8">
      <c r="G957" s="2" t="s">
        <v>905</v>
      </c>
      <c r="H957" s="2" t="s">
        <v>28</v>
      </c>
    </row>
    <row r="958" spans="7:8">
      <c r="G958" s="2" t="s">
        <v>906</v>
      </c>
      <c r="H958" s="2" t="s">
        <v>43</v>
      </c>
    </row>
    <row r="959" spans="7:8">
      <c r="G959" s="2" t="s">
        <v>907</v>
      </c>
      <c r="H959" s="2" t="s">
        <v>21</v>
      </c>
    </row>
    <row r="960" spans="7:8">
      <c r="G960" s="2" t="s">
        <v>908</v>
      </c>
      <c r="H960" s="2" t="s">
        <v>26</v>
      </c>
    </row>
    <row r="961" spans="7:8">
      <c r="G961" s="2" t="s">
        <v>909</v>
      </c>
      <c r="H961" s="2" t="s">
        <v>28</v>
      </c>
    </row>
    <row r="962" spans="7:8">
      <c r="G962" s="2" t="s">
        <v>910</v>
      </c>
      <c r="H962" s="2" t="s">
        <v>87</v>
      </c>
    </row>
    <row r="963" spans="7:8">
      <c r="G963" s="2" t="s">
        <v>910</v>
      </c>
      <c r="H963" s="2" t="s">
        <v>23</v>
      </c>
    </row>
    <row r="964" spans="7:8" ht="30">
      <c r="G964" s="7" t="s">
        <v>911</v>
      </c>
      <c r="H964" s="6" t="s">
        <v>677</v>
      </c>
    </row>
    <row r="965" spans="7:8" ht="30">
      <c r="G965" s="7" t="s">
        <v>912</v>
      </c>
      <c r="H965" s="6" t="s">
        <v>677</v>
      </c>
    </row>
    <row r="966" spans="7:8">
      <c r="G966" s="2" t="s">
        <v>913</v>
      </c>
      <c r="H966" s="2" t="s">
        <v>69</v>
      </c>
    </row>
    <row r="967" spans="7:8">
      <c r="G967" s="2" t="s">
        <v>913</v>
      </c>
      <c r="H967" s="2" t="s">
        <v>9</v>
      </c>
    </row>
    <row r="968" spans="7:8">
      <c r="G968" s="2" t="s">
        <v>914</v>
      </c>
      <c r="H968" s="2" t="s">
        <v>21</v>
      </c>
    </row>
    <row r="969" spans="7:8">
      <c r="G969" s="2" t="s">
        <v>915</v>
      </c>
      <c r="H969" s="2" t="s">
        <v>45</v>
      </c>
    </row>
    <row r="970" spans="7:8">
      <c r="G970" s="2" t="s">
        <v>916</v>
      </c>
      <c r="H970" s="2" t="s">
        <v>21</v>
      </c>
    </row>
    <row r="971" spans="7:8">
      <c r="G971" s="2" t="s">
        <v>917</v>
      </c>
      <c r="H971" s="2" t="s">
        <v>26</v>
      </c>
    </row>
    <row r="972" spans="7:8">
      <c r="G972" s="2" t="s">
        <v>918</v>
      </c>
      <c r="H972" s="2" t="s">
        <v>26</v>
      </c>
    </row>
    <row r="973" spans="7:8">
      <c r="G973" s="2" t="s">
        <v>919</v>
      </c>
      <c r="H973" s="2" t="s">
        <v>40</v>
      </c>
    </row>
    <row r="974" spans="7:8">
      <c r="G974" s="2" t="s">
        <v>920</v>
      </c>
      <c r="H974" s="2" t="s">
        <v>28</v>
      </c>
    </row>
    <row r="975" spans="7:8">
      <c r="G975" t="s">
        <v>921</v>
      </c>
      <c r="H975" s="6" t="s">
        <v>26</v>
      </c>
    </row>
    <row r="976" spans="7:8">
      <c r="G976" s="2" t="s">
        <v>922</v>
      </c>
      <c r="H976" s="2" t="s">
        <v>26</v>
      </c>
    </row>
    <row r="977" spans="7:8">
      <c r="G977" s="2" t="s">
        <v>923</v>
      </c>
      <c r="H977" s="2" t="s">
        <v>26</v>
      </c>
    </row>
    <row r="978" spans="7:8">
      <c r="G978" s="2" t="s">
        <v>924</v>
      </c>
      <c r="H978" s="2" t="s">
        <v>21</v>
      </c>
    </row>
    <row r="979" spans="7:8">
      <c r="G979" s="2" t="s">
        <v>924</v>
      </c>
      <c r="H979" s="2" t="s">
        <v>40</v>
      </c>
    </row>
    <row r="980" spans="7:8">
      <c r="G980" s="2" t="s">
        <v>925</v>
      </c>
      <c r="H980" s="2" t="s">
        <v>40</v>
      </c>
    </row>
    <row r="981" spans="7:8">
      <c r="G981" t="s">
        <v>925</v>
      </c>
      <c r="H981" s="6" t="s">
        <v>926</v>
      </c>
    </row>
    <row r="982" spans="7:8">
      <c r="G982" s="2" t="s">
        <v>927</v>
      </c>
      <c r="H982" s="2" t="s">
        <v>40</v>
      </c>
    </row>
    <row r="983" spans="7:8">
      <c r="G983" s="2" t="s">
        <v>928</v>
      </c>
      <c r="H983" s="2" t="s">
        <v>2</v>
      </c>
    </row>
    <row r="984" spans="7:8">
      <c r="G984" s="2" t="s">
        <v>929</v>
      </c>
      <c r="H984" s="2" t="s">
        <v>2</v>
      </c>
    </row>
    <row r="985" spans="7:8">
      <c r="G985" s="2" t="s">
        <v>930</v>
      </c>
      <c r="H985" s="2" t="s">
        <v>28</v>
      </c>
    </row>
    <row r="986" spans="7:8">
      <c r="G986" s="2" t="s">
        <v>931</v>
      </c>
      <c r="H986" s="2" t="s">
        <v>26</v>
      </c>
    </row>
    <row r="987" spans="7:8">
      <c r="G987" s="2" t="s">
        <v>932</v>
      </c>
      <c r="H987" s="2" t="s">
        <v>43</v>
      </c>
    </row>
    <row r="988" spans="7:8">
      <c r="G988" s="2" t="s">
        <v>933</v>
      </c>
      <c r="H988" s="2" t="s">
        <v>21</v>
      </c>
    </row>
    <row r="989" spans="7:8">
      <c r="G989" s="2" t="s">
        <v>934</v>
      </c>
      <c r="H989" s="2" t="s">
        <v>21</v>
      </c>
    </row>
    <row r="990" spans="7:8">
      <c r="G990" s="2" t="s">
        <v>935</v>
      </c>
      <c r="H990" s="2" t="s">
        <v>21</v>
      </c>
    </row>
    <row r="991" spans="7:8">
      <c r="G991" t="s">
        <v>935</v>
      </c>
      <c r="H991" s="6" t="s">
        <v>26</v>
      </c>
    </row>
    <row r="992" spans="7:8">
      <c r="G992" s="2" t="s">
        <v>936</v>
      </c>
      <c r="H992" s="2" t="s">
        <v>21</v>
      </c>
    </row>
    <row r="993" spans="7:8">
      <c r="G993" s="2" t="s">
        <v>937</v>
      </c>
      <c r="H993" s="2" t="s">
        <v>9</v>
      </c>
    </row>
    <row r="994" spans="7:8">
      <c r="G994" s="2" t="s">
        <v>938</v>
      </c>
      <c r="H994" s="2" t="s">
        <v>21</v>
      </c>
    </row>
    <row r="995" spans="7:8">
      <c r="G995" s="2" t="s">
        <v>939</v>
      </c>
      <c r="H995" s="2" t="s">
        <v>23</v>
      </c>
    </row>
    <row r="996" spans="7:8" ht="30">
      <c r="G996" s="7" t="s">
        <v>940</v>
      </c>
      <c r="H996" s="6" t="s">
        <v>941</v>
      </c>
    </row>
    <row r="997" spans="7:8" ht="30">
      <c r="G997" s="7" t="s">
        <v>942</v>
      </c>
      <c r="H997" s="6" t="s">
        <v>941</v>
      </c>
    </row>
    <row r="998" spans="7:8">
      <c r="G998" t="s">
        <v>943</v>
      </c>
      <c r="H998" s="6" t="s">
        <v>941</v>
      </c>
    </row>
    <row r="999" spans="7:8">
      <c r="G999" s="2" t="s">
        <v>944</v>
      </c>
      <c r="H999" s="2" t="s">
        <v>23</v>
      </c>
    </row>
    <row r="1000" spans="7:8">
      <c r="G1000" s="2" t="s">
        <v>945</v>
      </c>
      <c r="H1000" s="2" t="s">
        <v>23</v>
      </c>
    </row>
    <row r="1001" spans="7:8">
      <c r="G1001" t="s">
        <v>945</v>
      </c>
      <c r="H1001" s="6" t="s">
        <v>941</v>
      </c>
    </row>
    <row r="1002" spans="7:8">
      <c r="G1002" s="2" t="s">
        <v>946</v>
      </c>
      <c r="H1002" s="2" t="s">
        <v>23</v>
      </c>
    </row>
    <row r="1003" spans="7:8">
      <c r="G1003" s="2" t="s">
        <v>947</v>
      </c>
      <c r="H1003" s="2" t="s">
        <v>2</v>
      </c>
    </row>
    <row r="1004" spans="7:8">
      <c r="G1004" s="2" t="s">
        <v>947</v>
      </c>
      <c r="H1004" s="2" t="s">
        <v>2</v>
      </c>
    </row>
    <row r="1005" spans="7:8">
      <c r="G1005" s="2" t="s">
        <v>948</v>
      </c>
      <c r="H1005" s="2" t="s">
        <v>21</v>
      </c>
    </row>
    <row r="1006" spans="7:8">
      <c r="G1006" s="2" t="s">
        <v>949</v>
      </c>
      <c r="H1006" s="2" t="s">
        <v>29</v>
      </c>
    </row>
    <row r="1007" spans="7:8">
      <c r="G1007" s="2" t="s">
        <v>950</v>
      </c>
      <c r="H1007" s="2" t="s">
        <v>45</v>
      </c>
    </row>
    <row r="1008" spans="7:8">
      <c r="G1008" s="2" t="s">
        <v>951</v>
      </c>
      <c r="H1008" s="2" t="s">
        <v>26</v>
      </c>
    </row>
    <row r="1009" spans="7:8">
      <c r="G1009" s="2" t="s">
        <v>952</v>
      </c>
      <c r="H1009" s="2" t="s">
        <v>43</v>
      </c>
    </row>
    <row r="1010" spans="7:8">
      <c r="G1010" s="2" t="s">
        <v>953</v>
      </c>
      <c r="H1010" s="2" t="s">
        <v>23</v>
      </c>
    </row>
    <row r="1011" spans="7:8">
      <c r="G1011" s="2" t="s">
        <v>954</v>
      </c>
      <c r="H1011" s="2" t="s">
        <v>21</v>
      </c>
    </row>
    <row r="1012" spans="7:8">
      <c r="G1012" s="2" t="s">
        <v>954</v>
      </c>
      <c r="H1012" s="2" t="s">
        <v>677</v>
      </c>
    </row>
    <row r="1013" spans="7:8">
      <c r="G1013" s="2" t="s">
        <v>955</v>
      </c>
      <c r="H1013" s="2" t="s">
        <v>26</v>
      </c>
    </row>
    <row r="1014" spans="7:8">
      <c r="G1014" s="2" t="s">
        <v>956</v>
      </c>
      <c r="H1014" s="2" t="s">
        <v>28</v>
      </c>
    </row>
    <row r="1015" spans="7:8">
      <c r="G1015" t="s">
        <v>957</v>
      </c>
      <c r="H1015" s="2" t="s">
        <v>26</v>
      </c>
    </row>
    <row r="1016" spans="7:8">
      <c r="G1016" s="2" t="s">
        <v>958</v>
      </c>
      <c r="H1016" s="2" t="s">
        <v>43</v>
      </c>
    </row>
    <row r="1017" spans="7:8">
      <c r="G1017" t="s">
        <v>959</v>
      </c>
      <c r="H1017" s="6" t="s">
        <v>26</v>
      </c>
    </row>
    <row r="1018" spans="7:8">
      <c r="G1018" s="2" t="s">
        <v>960</v>
      </c>
      <c r="H1018" s="2" t="s">
        <v>21</v>
      </c>
    </row>
    <row r="1019" spans="7:8">
      <c r="G1019" s="2" t="s">
        <v>961</v>
      </c>
      <c r="H1019" s="2" t="s">
        <v>40</v>
      </c>
    </row>
    <row r="1020" spans="7:8">
      <c r="G1020" s="2" t="s">
        <v>962</v>
      </c>
      <c r="H1020" s="2" t="s">
        <v>21</v>
      </c>
    </row>
    <row r="1021" spans="7:8">
      <c r="G1021" s="2" t="s">
        <v>963</v>
      </c>
      <c r="H1021" s="2" t="s">
        <v>21</v>
      </c>
    </row>
    <row r="1022" spans="7:8">
      <c r="G1022" s="2" t="s">
        <v>964</v>
      </c>
      <c r="H1022" s="2" t="s">
        <v>26</v>
      </c>
    </row>
    <row r="1023" spans="7:8">
      <c r="G1023" s="2" t="s">
        <v>965</v>
      </c>
      <c r="H1023" s="2" t="s">
        <v>26</v>
      </c>
    </row>
    <row r="1024" spans="7:8">
      <c r="G1024" s="2" t="s">
        <v>966</v>
      </c>
      <c r="H1024" s="2" t="s">
        <v>26</v>
      </c>
    </row>
    <row r="1025" spans="7:8">
      <c r="G1025" s="2" t="s">
        <v>966</v>
      </c>
      <c r="H1025" s="2" t="s">
        <v>26</v>
      </c>
    </row>
    <row r="1026" spans="7:8">
      <c r="G1026" s="2" t="s">
        <v>967</v>
      </c>
      <c r="H1026" s="2" t="s">
        <v>26</v>
      </c>
    </row>
    <row r="1027" spans="7:8">
      <c r="G1027" s="2" t="s">
        <v>968</v>
      </c>
      <c r="H1027" s="2" t="s">
        <v>87</v>
      </c>
    </row>
    <row r="1028" spans="7:8">
      <c r="G1028" s="2" t="s">
        <v>969</v>
      </c>
      <c r="H1028" s="2" t="s">
        <v>40</v>
      </c>
    </row>
    <row r="1029" spans="7:8">
      <c r="G1029" s="2" t="s">
        <v>970</v>
      </c>
      <c r="H1029" s="2" t="s">
        <v>40</v>
      </c>
    </row>
    <row r="1030" spans="7:8">
      <c r="G1030" s="2" t="s">
        <v>971</v>
      </c>
      <c r="H1030" s="2" t="s">
        <v>87</v>
      </c>
    </row>
    <row r="1031" spans="7:8">
      <c r="G1031" s="2" t="s">
        <v>972</v>
      </c>
      <c r="H1031" s="2" t="s">
        <v>87</v>
      </c>
    </row>
    <row r="1032" spans="7:8">
      <c r="G1032" s="2" t="s">
        <v>973</v>
      </c>
      <c r="H1032" s="2" t="s">
        <v>87</v>
      </c>
    </row>
    <row r="1033" spans="7:8">
      <c r="G1033" s="2" t="s">
        <v>974</v>
      </c>
      <c r="H1033" s="2" t="s">
        <v>9</v>
      </c>
    </row>
    <row r="1034" spans="7:8">
      <c r="G1034" s="2" t="s">
        <v>975</v>
      </c>
      <c r="H1034" s="2" t="s">
        <v>9</v>
      </c>
    </row>
    <row r="1035" spans="7:8">
      <c r="G1035" s="2" t="s">
        <v>976</v>
      </c>
      <c r="H1035" s="2" t="s">
        <v>9</v>
      </c>
    </row>
    <row r="1036" spans="7:8">
      <c r="G1036" s="2" t="s">
        <v>977</v>
      </c>
      <c r="H1036" s="2" t="s">
        <v>28</v>
      </c>
    </row>
    <row r="1037" spans="7:8">
      <c r="G1037" s="2" t="s">
        <v>978</v>
      </c>
      <c r="H1037" s="2" t="s">
        <v>69</v>
      </c>
    </row>
    <row r="1038" spans="7:8">
      <c r="G1038" s="2" t="s">
        <v>978</v>
      </c>
      <c r="H1038" s="2" t="s">
        <v>9</v>
      </c>
    </row>
    <row r="1039" spans="7:8">
      <c r="G1039" s="2" t="s">
        <v>979</v>
      </c>
      <c r="H1039" s="2" t="s">
        <v>21</v>
      </c>
    </row>
    <row r="1040" spans="7:8">
      <c r="G1040" s="2" t="s">
        <v>979</v>
      </c>
      <c r="H1040" s="2" t="s">
        <v>40</v>
      </c>
    </row>
    <row r="1041" spans="7:8">
      <c r="G1041" s="2" t="s">
        <v>980</v>
      </c>
      <c r="H1041" s="2" t="s">
        <v>29</v>
      </c>
    </row>
    <row r="1042" spans="7:8">
      <c r="G1042" s="2" t="s">
        <v>980</v>
      </c>
      <c r="H1042" s="2" t="s">
        <v>87</v>
      </c>
    </row>
    <row r="1043" spans="7:8">
      <c r="G1043" s="2" t="s">
        <v>981</v>
      </c>
      <c r="H1043" s="2" t="s">
        <v>69</v>
      </c>
    </row>
    <row r="1044" spans="7:8">
      <c r="G1044" s="2" t="s">
        <v>981</v>
      </c>
      <c r="H1044" s="2" t="s">
        <v>9</v>
      </c>
    </row>
    <row r="1045" spans="7:8">
      <c r="G1045" t="s">
        <v>981</v>
      </c>
      <c r="H1045" s="2" t="s">
        <v>87</v>
      </c>
    </row>
    <row r="1046" spans="7:8">
      <c r="G1046" s="2" t="s">
        <v>982</v>
      </c>
      <c r="H1046" s="2" t="s">
        <v>87</v>
      </c>
    </row>
    <row r="1047" spans="7:8">
      <c r="G1047" s="2" t="s">
        <v>983</v>
      </c>
      <c r="H1047" s="2" t="s">
        <v>69</v>
      </c>
    </row>
    <row r="1048" spans="7:8">
      <c r="G1048" s="2" t="s">
        <v>984</v>
      </c>
      <c r="H1048" s="2" t="s">
        <v>9</v>
      </c>
    </row>
    <row r="1049" spans="7:8">
      <c r="G1049" s="2" t="s">
        <v>985</v>
      </c>
      <c r="H1049" s="2" t="s">
        <v>9</v>
      </c>
    </row>
    <row r="1050" spans="7:8">
      <c r="G1050" s="2" t="s">
        <v>986</v>
      </c>
      <c r="H1050" s="2" t="s">
        <v>16</v>
      </c>
    </row>
    <row r="1051" spans="7:8">
      <c r="G1051" s="2" t="s">
        <v>987</v>
      </c>
      <c r="H1051" s="2" t="s">
        <v>9</v>
      </c>
    </row>
    <row r="1052" spans="7:8">
      <c r="G1052" s="2" t="s">
        <v>988</v>
      </c>
      <c r="H1052" s="2" t="s">
        <v>9</v>
      </c>
    </row>
    <row r="1053" spans="7:8">
      <c r="G1053" s="2" t="s">
        <v>989</v>
      </c>
      <c r="H1053" s="2" t="s">
        <v>69</v>
      </c>
    </row>
    <row r="1054" spans="7:8">
      <c r="G1054" s="2" t="s">
        <v>990</v>
      </c>
      <c r="H1054" s="2" t="s">
        <v>9</v>
      </c>
    </row>
    <row r="1055" spans="7:8">
      <c r="G1055" s="2" t="s">
        <v>991</v>
      </c>
      <c r="H1055" s="2" t="s">
        <v>9</v>
      </c>
    </row>
    <row r="1056" spans="7:8">
      <c r="G1056" s="2" t="s">
        <v>992</v>
      </c>
      <c r="H1056" s="2" t="s">
        <v>9</v>
      </c>
    </row>
    <row r="1057" spans="7:8">
      <c r="G1057" s="2" t="s">
        <v>993</v>
      </c>
      <c r="H1057" s="2" t="s">
        <v>87</v>
      </c>
    </row>
    <row r="1058" spans="7:8">
      <c r="G1058" s="2" t="s">
        <v>994</v>
      </c>
      <c r="H1058" s="2" t="s">
        <v>87</v>
      </c>
    </row>
    <row r="1059" spans="7:8">
      <c r="G1059" s="2" t="s">
        <v>994</v>
      </c>
      <c r="H1059" s="2" t="s">
        <v>9</v>
      </c>
    </row>
    <row r="1060" spans="7:8">
      <c r="G1060" s="2" t="s">
        <v>994</v>
      </c>
      <c r="H1060" s="2" t="s">
        <v>16</v>
      </c>
    </row>
    <row r="1061" spans="7:8">
      <c r="G1061" s="2" t="s">
        <v>994</v>
      </c>
      <c r="H1061" s="2" t="s">
        <v>69</v>
      </c>
    </row>
    <row r="1062" spans="7:8">
      <c r="G1062" s="2" t="s">
        <v>995</v>
      </c>
      <c r="H1062" s="2" t="s">
        <v>9</v>
      </c>
    </row>
    <row r="1063" spans="7:8">
      <c r="G1063" s="2" t="s">
        <v>995</v>
      </c>
      <c r="H1063" s="2" t="s">
        <v>16</v>
      </c>
    </row>
    <row r="1064" spans="7:8">
      <c r="G1064" s="2" t="s">
        <v>996</v>
      </c>
      <c r="H1064" s="2" t="s">
        <v>9</v>
      </c>
    </row>
    <row r="1065" spans="7:8">
      <c r="G1065" s="2" t="s">
        <v>997</v>
      </c>
      <c r="H1065" s="2" t="s">
        <v>9</v>
      </c>
    </row>
    <row r="1066" spans="7:8">
      <c r="G1066" t="s">
        <v>997</v>
      </c>
      <c r="H1066" s="2" t="s">
        <v>87</v>
      </c>
    </row>
    <row r="1067" spans="7:8">
      <c r="G1067" s="2" t="s">
        <v>998</v>
      </c>
      <c r="H1067" s="2" t="s">
        <v>29</v>
      </c>
    </row>
    <row r="1068" spans="7:8">
      <c r="G1068" s="2" t="s">
        <v>999</v>
      </c>
      <c r="H1068" s="2" t="s">
        <v>87</v>
      </c>
    </row>
    <row r="1069" spans="7:8">
      <c r="G1069" s="2" t="s">
        <v>1000</v>
      </c>
      <c r="H1069" s="2" t="s">
        <v>87</v>
      </c>
    </row>
    <row r="1070" spans="7:8">
      <c r="G1070" s="2" t="s">
        <v>1001</v>
      </c>
      <c r="H1070" s="2" t="s">
        <v>26</v>
      </c>
    </row>
    <row r="1071" spans="7:8">
      <c r="G1071" s="2" t="s">
        <v>1002</v>
      </c>
      <c r="H1071" s="2" t="s">
        <v>26</v>
      </c>
    </row>
    <row r="1072" spans="7:8">
      <c r="G1072" s="2" t="s">
        <v>1003</v>
      </c>
      <c r="H1072" s="2" t="s">
        <v>40</v>
      </c>
    </row>
    <row r="1073" spans="7:8">
      <c r="G1073" t="s">
        <v>1003</v>
      </c>
      <c r="H1073" s="6" t="s">
        <v>26</v>
      </c>
    </row>
    <row r="1074" spans="7:8">
      <c r="G1074" s="2" t="s">
        <v>1004</v>
      </c>
      <c r="H1074" s="2" t="s">
        <v>9</v>
      </c>
    </row>
    <row r="1075" spans="7:8">
      <c r="G1075" s="2" t="s">
        <v>1005</v>
      </c>
      <c r="H1075" s="2" t="s">
        <v>87</v>
      </c>
    </row>
    <row r="1076" spans="7:8">
      <c r="G1076" s="2" t="s">
        <v>1006</v>
      </c>
      <c r="H1076" s="2" t="s">
        <v>21</v>
      </c>
    </row>
    <row r="1077" spans="7:8">
      <c r="G1077" s="2" t="s">
        <v>1007</v>
      </c>
      <c r="H1077" s="2" t="s">
        <v>26</v>
      </c>
    </row>
    <row r="1078" spans="7:8">
      <c r="G1078" t="s">
        <v>1008</v>
      </c>
      <c r="H1078" s="6" t="s">
        <v>26</v>
      </c>
    </row>
    <row r="1079" spans="7:8">
      <c r="G1079" s="2" t="s">
        <v>1009</v>
      </c>
      <c r="H1079" s="2" t="s">
        <v>23</v>
      </c>
    </row>
    <row r="1080" spans="7:8">
      <c r="G1080" s="2" t="s">
        <v>1010</v>
      </c>
      <c r="H1080" s="2" t="s">
        <v>87</v>
      </c>
    </row>
    <row r="1081" spans="7:8">
      <c r="G1081" t="s">
        <v>1011</v>
      </c>
      <c r="H1081" s="6" t="s">
        <v>87</v>
      </c>
    </row>
    <row r="1082" spans="7:8">
      <c r="G1082" s="2" t="s">
        <v>1012</v>
      </c>
      <c r="H1082" s="2" t="s">
        <v>28</v>
      </c>
    </row>
    <row r="1083" spans="7:8">
      <c r="G1083" s="2" t="s">
        <v>1013</v>
      </c>
      <c r="H1083" s="2" t="s">
        <v>26</v>
      </c>
    </row>
    <row r="1084" spans="7:8">
      <c r="G1084" t="s">
        <v>1013</v>
      </c>
      <c r="H1084" s="6" t="s">
        <v>26</v>
      </c>
    </row>
    <row r="1085" spans="7:8">
      <c r="G1085" s="2" t="s">
        <v>1014</v>
      </c>
      <c r="H1085" s="2" t="s">
        <v>26</v>
      </c>
    </row>
    <row r="1086" spans="7:8">
      <c r="G1086" t="s">
        <v>1015</v>
      </c>
      <c r="H1086" s="6" t="s">
        <v>26</v>
      </c>
    </row>
    <row r="1087" spans="7:8">
      <c r="G1087" s="2" t="s">
        <v>1016</v>
      </c>
      <c r="H1087" s="2" t="s">
        <v>26</v>
      </c>
    </row>
    <row r="1088" spans="7:8">
      <c r="G1088" s="2" t="s">
        <v>1017</v>
      </c>
      <c r="H1088" s="2" t="s">
        <v>28</v>
      </c>
    </row>
    <row r="1089" spans="7:8">
      <c r="G1089" s="2" t="s">
        <v>1018</v>
      </c>
      <c r="H1089" s="2" t="s">
        <v>26</v>
      </c>
    </row>
    <row r="1090" spans="7:8">
      <c r="G1090" t="s">
        <v>1018</v>
      </c>
      <c r="H1090" s="6" t="s">
        <v>26</v>
      </c>
    </row>
    <row r="1091" spans="7:8">
      <c r="G1091" s="2" t="s">
        <v>1019</v>
      </c>
      <c r="H1091" s="2" t="s">
        <v>26</v>
      </c>
    </row>
    <row r="1092" spans="7:8">
      <c r="G1092" s="2" t="s">
        <v>1020</v>
      </c>
      <c r="H1092" s="2" t="s">
        <v>9</v>
      </c>
    </row>
    <row r="1093" spans="7:8">
      <c r="G1093" s="2" t="s">
        <v>1021</v>
      </c>
      <c r="H1093" s="2" t="s">
        <v>87</v>
      </c>
    </row>
    <row r="1094" spans="7:8">
      <c r="G1094" s="2" t="s">
        <v>1022</v>
      </c>
      <c r="H1094" s="2" t="s">
        <v>9</v>
      </c>
    </row>
    <row r="1095" spans="7:8">
      <c r="G1095" s="2" t="s">
        <v>1023</v>
      </c>
      <c r="H1095" s="2" t="s">
        <v>9</v>
      </c>
    </row>
    <row r="1096" spans="7:8">
      <c r="G1096" s="2" t="s">
        <v>1024</v>
      </c>
      <c r="H1096" s="2" t="s">
        <v>9</v>
      </c>
    </row>
    <row r="1097" spans="7:8">
      <c r="G1097" s="2" t="s">
        <v>1025</v>
      </c>
      <c r="H1097" s="2" t="s">
        <v>9</v>
      </c>
    </row>
    <row r="1098" spans="7:8">
      <c r="G1098" s="2" t="s">
        <v>1026</v>
      </c>
      <c r="H1098" s="2" t="s">
        <v>9</v>
      </c>
    </row>
    <row r="1099" spans="7:8">
      <c r="G1099" s="2" t="s">
        <v>1027</v>
      </c>
      <c r="H1099" s="2" t="s">
        <v>26</v>
      </c>
    </row>
    <row r="1100" spans="7:8">
      <c r="G1100" s="2" t="s">
        <v>1028</v>
      </c>
      <c r="H1100" s="2" t="s">
        <v>40</v>
      </c>
    </row>
    <row r="1101" spans="7:8">
      <c r="G1101" s="2" t="s">
        <v>1029</v>
      </c>
      <c r="H1101" s="2" t="s">
        <v>21</v>
      </c>
    </row>
    <row r="1102" spans="7:8">
      <c r="G1102" t="s">
        <v>1030</v>
      </c>
      <c r="H1102" s="6" t="s">
        <v>26</v>
      </c>
    </row>
    <row r="1103" spans="7:8">
      <c r="G1103" s="2" t="s">
        <v>1031</v>
      </c>
      <c r="H1103" s="2" t="s">
        <v>26</v>
      </c>
    </row>
    <row r="1104" spans="7:8">
      <c r="G1104" s="2" t="s">
        <v>1032</v>
      </c>
      <c r="H1104" s="2" t="s">
        <v>26</v>
      </c>
    </row>
    <row r="1105" spans="7:8">
      <c r="G1105" s="2" t="s">
        <v>1033</v>
      </c>
      <c r="H1105" s="2" t="s">
        <v>26</v>
      </c>
    </row>
    <row r="1106" spans="7:8">
      <c r="G1106" s="2" t="s">
        <v>1034</v>
      </c>
      <c r="H1106" s="2" t="s">
        <v>26</v>
      </c>
    </row>
    <row r="1107" spans="7:8">
      <c r="G1107" s="2" t="s">
        <v>1035</v>
      </c>
      <c r="H1107" s="2" t="s">
        <v>26</v>
      </c>
    </row>
    <row r="1108" spans="7:8">
      <c r="G1108" s="2" t="s">
        <v>1036</v>
      </c>
      <c r="H1108" s="2" t="s">
        <v>26</v>
      </c>
    </row>
    <row r="1109" spans="7:8">
      <c r="G1109" s="2" t="s">
        <v>1037</v>
      </c>
      <c r="H1109" s="2" t="s">
        <v>59</v>
      </c>
    </row>
    <row r="1110" spans="7:8">
      <c r="G1110" s="2" t="s">
        <v>1037</v>
      </c>
      <c r="H1110" s="2" t="s">
        <v>9</v>
      </c>
    </row>
    <row r="1111" spans="7:8">
      <c r="G1111" s="2" t="s">
        <v>1038</v>
      </c>
      <c r="H1111" s="2" t="s">
        <v>87</v>
      </c>
    </row>
    <row r="1112" spans="7:8">
      <c r="G1112" s="2" t="s">
        <v>1038</v>
      </c>
      <c r="H1112" s="2" t="s">
        <v>9</v>
      </c>
    </row>
    <row r="1113" spans="7:8">
      <c r="G1113" s="2" t="s">
        <v>1038</v>
      </c>
      <c r="H1113" s="2" t="s">
        <v>64</v>
      </c>
    </row>
    <row r="1114" spans="7:8">
      <c r="G1114" s="2" t="s">
        <v>1039</v>
      </c>
      <c r="H1114" s="2" t="s">
        <v>63</v>
      </c>
    </row>
    <row r="1115" spans="7:8">
      <c r="G1115" s="2" t="s">
        <v>1040</v>
      </c>
      <c r="H1115" s="2" t="s">
        <v>63</v>
      </c>
    </row>
    <row r="1116" spans="7:8">
      <c r="G1116" s="2" t="s">
        <v>1041</v>
      </c>
      <c r="H1116" s="2" t="s">
        <v>63</v>
      </c>
    </row>
    <row r="1117" spans="7:8">
      <c r="G1117" s="2" t="s">
        <v>1042</v>
      </c>
      <c r="H1117" s="2" t="s">
        <v>63</v>
      </c>
    </row>
    <row r="1118" spans="7:8">
      <c r="G1118" s="2" t="s">
        <v>1043</v>
      </c>
      <c r="H1118" s="2" t="s">
        <v>63</v>
      </c>
    </row>
    <row r="1119" spans="7:8">
      <c r="G1119" s="2" t="s">
        <v>1044</v>
      </c>
      <c r="H1119" s="2" t="s">
        <v>63</v>
      </c>
    </row>
    <row r="1120" spans="7:8">
      <c r="G1120" s="2" t="s">
        <v>1045</v>
      </c>
      <c r="H1120" s="2" t="s">
        <v>63</v>
      </c>
    </row>
    <row r="1121" spans="7:8">
      <c r="G1121" s="2" t="s">
        <v>1046</v>
      </c>
      <c r="H1121" s="2" t="s">
        <v>63</v>
      </c>
    </row>
    <row r="1122" spans="7:8">
      <c r="G1122" s="2" t="s">
        <v>1047</v>
      </c>
      <c r="H1122" s="2" t="s">
        <v>63</v>
      </c>
    </row>
    <row r="1123" spans="7:8">
      <c r="G1123" s="2" t="s">
        <v>1048</v>
      </c>
      <c r="H1123" s="2" t="s">
        <v>63</v>
      </c>
    </row>
    <row r="1124" spans="7:8">
      <c r="G1124" s="2" t="s">
        <v>1049</v>
      </c>
      <c r="H1124" s="2" t="s">
        <v>63</v>
      </c>
    </row>
    <row r="1125" spans="7:8">
      <c r="G1125" s="2" t="s">
        <v>1050</v>
      </c>
      <c r="H1125" s="2" t="s">
        <v>63</v>
      </c>
    </row>
    <row r="1126" spans="7:8">
      <c r="G1126" s="2" t="s">
        <v>1051</v>
      </c>
      <c r="H1126" s="2" t="s">
        <v>63</v>
      </c>
    </row>
    <row r="1127" spans="7:8">
      <c r="G1127" s="2" t="s">
        <v>1052</v>
      </c>
      <c r="H1127" s="2" t="s">
        <v>63</v>
      </c>
    </row>
    <row r="1128" spans="7:8">
      <c r="G1128" s="2" t="s">
        <v>1053</v>
      </c>
      <c r="H1128" s="2" t="s">
        <v>63</v>
      </c>
    </row>
    <row r="1129" spans="7:8">
      <c r="G1129" s="2" t="s">
        <v>1054</v>
      </c>
      <c r="H1129" s="2" t="s">
        <v>63</v>
      </c>
    </row>
    <row r="1130" spans="7:8">
      <c r="G1130" s="2" t="s">
        <v>1055</v>
      </c>
      <c r="H1130" s="2" t="s">
        <v>63</v>
      </c>
    </row>
    <row r="1131" spans="7:8">
      <c r="G1131" s="2" t="s">
        <v>1056</v>
      </c>
      <c r="H1131" s="2" t="s">
        <v>63</v>
      </c>
    </row>
    <row r="1132" spans="7:8">
      <c r="G1132" s="2" t="s">
        <v>1057</v>
      </c>
      <c r="H1132" s="2" t="s">
        <v>63</v>
      </c>
    </row>
    <row r="1133" spans="7:8">
      <c r="G1133" s="2" t="s">
        <v>1058</v>
      </c>
      <c r="H1133" s="2" t="s">
        <v>63</v>
      </c>
    </row>
    <row r="1134" spans="7:8">
      <c r="G1134" s="2" t="s">
        <v>1059</v>
      </c>
      <c r="H1134" s="2" t="s">
        <v>63</v>
      </c>
    </row>
    <row r="1135" spans="7:8">
      <c r="G1135" s="2" t="s">
        <v>1060</v>
      </c>
      <c r="H1135" s="2" t="s">
        <v>63</v>
      </c>
    </row>
    <row r="1136" spans="7:8">
      <c r="G1136" s="2" t="s">
        <v>1061</v>
      </c>
      <c r="H1136" s="2" t="s">
        <v>63</v>
      </c>
    </row>
    <row r="1137" spans="7:8">
      <c r="G1137" s="2" t="s">
        <v>1062</v>
      </c>
      <c r="H1137" s="2" t="s">
        <v>63</v>
      </c>
    </row>
    <row r="1138" spans="7:8">
      <c r="G1138" s="2" t="s">
        <v>1063</v>
      </c>
      <c r="H1138" s="2" t="s">
        <v>63</v>
      </c>
    </row>
    <row r="1139" spans="7:8">
      <c r="G1139" s="2" t="s">
        <v>1064</v>
      </c>
      <c r="H1139" s="2" t="s">
        <v>63</v>
      </c>
    </row>
    <row r="1140" spans="7:8">
      <c r="G1140" s="2" t="s">
        <v>1065</v>
      </c>
      <c r="H1140" s="2" t="s">
        <v>63</v>
      </c>
    </row>
    <row r="1141" spans="7:8">
      <c r="G1141" s="2" t="s">
        <v>1066</v>
      </c>
      <c r="H1141" s="2" t="s">
        <v>21</v>
      </c>
    </row>
    <row r="1142" spans="7:8">
      <c r="G1142" t="s">
        <v>1067</v>
      </c>
      <c r="H1142" s="6" t="s">
        <v>26</v>
      </c>
    </row>
    <row r="1143" spans="7:8">
      <c r="G1143" s="2" t="s">
        <v>1068</v>
      </c>
      <c r="H1143" s="2" t="s">
        <v>40</v>
      </c>
    </row>
    <row r="1144" spans="7:8">
      <c r="G1144" s="2" t="s">
        <v>1068</v>
      </c>
      <c r="H1144" s="2" t="s">
        <v>21</v>
      </c>
    </row>
    <row r="1145" spans="7:8">
      <c r="G1145" s="2" t="s">
        <v>1068</v>
      </c>
      <c r="H1145" s="2" t="s">
        <v>29</v>
      </c>
    </row>
    <row r="1146" spans="7:8">
      <c r="G1146" s="2" t="s">
        <v>1068</v>
      </c>
      <c r="H1146" s="2" t="s">
        <v>20</v>
      </c>
    </row>
    <row r="1147" spans="7:8">
      <c r="G1147" s="2" t="s">
        <v>1068</v>
      </c>
      <c r="H1147" s="2" t="s">
        <v>41</v>
      </c>
    </row>
    <row r="1148" spans="7:8">
      <c r="G1148" t="s">
        <v>1069</v>
      </c>
      <c r="H1148" s="6" t="s">
        <v>926</v>
      </c>
    </row>
    <row r="1149" spans="7:8">
      <c r="G1149" s="2" t="s">
        <v>1070</v>
      </c>
      <c r="H1149" s="2" t="s">
        <v>29</v>
      </c>
    </row>
    <row r="1150" spans="7:8">
      <c r="G1150" s="2" t="s">
        <v>1070</v>
      </c>
      <c r="H1150" s="2" t="s">
        <v>926</v>
      </c>
    </row>
    <row r="1151" spans="7:8">
      <c r="G1151" s="2" t="s">
        <v>1071</v>
      </c>
      <c r="H1151" s="2" t="s">
        <v>40</v>
      </c>
    </row>
    <row r="1152" spans="7:8">
      <c r="G1152" s="2" t="s">
        <v>1071</v>
      </c>
      <c r="H1152" s="2" t="s">
        <v>21</v>
      </c>
    </row>
    <row r="1153" spans="7:8">
      <c r="G1153" t="s">
        <v>1072</v>
      </c>
      <c r="H1153" s="6" t="s">
        <v>1073</v>
      </c>
    </row>
    <row r="1154" spans="7:8">
      <c r="G1154" s="2" t="s">
        <v>1074</v>
      </c>
      <c r="H1154" s="2" t="s">
        <v>26</v>
      </c>
    </row>
    <row r="1155" spans="7:8">
      <c r="G1155" s="2" t="s">
        <v>1075</v>
      </c>
      <c r="H1155" s="2" t="s">
        <v>28</v>
      </c>
    </row>
    <row r="1156" spans="7:8">
      <c r="G1156" s="2" t="s">
        <v>1076</v>
      </c>
      <c r="H1156" s="2" t="s">
        <v>21</v>
      </c>
    </row>
    <row r="1157" spans="7:8">
      <c r="G1157" s="2" t="s">
        <v>1077</v>
      </c>
      <c r="H1157" s="2" t="s">
        <v>26</v>
      </c>
    </row>
    <row r="1158" spans="7:8">
      <c r="G1158" s="2" t="s">
        <v>1078</v>
      </c>
      <c r="H1158" s="2" t="s">
        <v>26</v>
      </c>
    </row>
    <row r="1159" spans="7:8">
      <c r="G1159" s="2" t="s">
        <v>1079</v>
      </c>
      <c r="H1159" s="2" t="s">
        <v>28</v>
      </c>
    </row>
    <row r="1160" spans="7:8">
      <c r="G1160" s="2" t="s">
        <v>1079</v>
      </c>
      <c r="H1160" s="2" t="s">
        <v>28</v>
      </c>
    </row>
    <row r="1161" spans="7:8">
      <c r="G1161" t="s">
        <v>1080</v>
      </c>
      <c r="H1161" s="2" t="s">
        <v>28</v>
      </c>
    </row>
    <row r="1162" spans="7:8">
      <c r="G1162" s="2" t="s">
        <v>1081</v>
      </c>
      <c r="H1162" s="2" t="s">
        <v>23</v>
      </c>
    </row>
    <row r="1163" spans="7:8">
      <c r="G1163" t="s">
        <v>1082</v>
      </c>
      <c r="H1163" s="6" t="s">
        <v>941</v>
      </c>
    </row>
    <row r="1164" spans="7:8">
      <c r="G1164" s="2" t="s">
        <v>1083</v>
      </c>
      <c r="H1164" s="2" t="s">
        <v>23</v>
      </c>
    </row>
    <row r="1165" spans="7:8">
      <c r="G1165" t="s">
        <v>1083</v>
      </c>
      <c r="H1165" s="2" t="s">
        <v>23</v>
      </c>
    </row>
    <row r="1166" spans="7:8">
      <c r="G1166" t="s">
        <v>1084</v>
      </c>
      <c r="H1166" s="2" t="s">
        <v>23</v>
      </c>
    </row>
    <row r="1167" spans="7:8">
      <c r="G1167" t="s">
        <v>1085</v>
      </c>
      <c r="H1167" s="2" t="s">
        <v>23</v>
      </c>
    </row>
    <row r="1168" spans="7:8">
      <c r="G1168" s="2" t="s">
        <v>1086</v>
      </c>
      <c r="H1168" s="2" t="s">
        <v>21</v>
      </c>
    </row>
    <row r="1169" spans="7:8">
      <c r="G1169" s="2" t="s">
        <v>1087</v>
      </c>
      <c r="H1169" s="2" t="s">
        <v>2</v>
      </c>
    </row>
    <row r="1170" spans="7:8">
      <c r="G1170" s="2" t="s">
        <v>1088</v>
      </c>
      <c r="H1170" s="2" t="s">
        <v>28</v>
      </c>
    </row>
    <row r="1171" spans="7:8">
      <c r="G1171" s="2" t="s">
        <v>1089</v>
      </c>
      <c r="H1171" s="2" t="s">
        <v>26</v>
      </c>
    </row>
    <row r="1172" spans="7:8">
      <c r="G1172" s="2" t="s">
        <v>1090</v>
      </c>
      <c r="H1172" s="2" t="s">
        <v>9</v>
      </c>
    </row>
    <row r="1173" spans="7:8">
      <c r="G1173" s="2" t="s">
        <v>1091</v>
      </c>
      <c r="H1173" s="2" t="s">
        <v>21</v>
      </c>
    </row>
    <row r="1174" spans="7:8">
      <c r="G1174" s="2" t="s">
        <v>1092</v>
      </c>
      <c r="H1174" s="2" t="s">
        <v>26</v>
      </c>
    </row>
    <row r="1175" spans="7:8">
      <c r="G1175" s="2" t="s">
        <v>1093</v>
      </c>
      <c r="H1175" s="2" t="s">
        <v>21</v>
      </c>
    </row>
    <row r="1176" spans="7:8">
      <c r="G1176" t="s">
        <v>1094</v>
      </c>
      <c r="H1176" t="s">
        <v>28</v>
      </c>
    </row>
    <row r="1177" spans="7:8">
      <c r="G1177" s="2" t="s">
        <v>1095</v>
      </c>
      <c r="H1177" s="2" t="s">
        <v>9</v>
      </c>
    </row>
    <row r="1178" spans="7:8">
      <c r="G1178" s="2" t="s">
        <v>1096</v>
      </c>
      <c r="H1178" s="2" t="s">
        <v>9</v>
      </c>
    </row>
    <row r="1179" spans="7:8">
      <c r="G1179" s="2" t="s">
        <v>1097</v>
      </c>
      <c r="H1179" s="2" t="s">
        <v>9</v>
      </c>
    </row>
    <row r="1180" spans="7:8">
      <c r="G1180" s="2" t="s">
        <v>1097</v>
      </c>
      <c r="H1180" s="2" t="s">
        <v>28</v>
      </c>
    </row>
    <row r="1181" spans="7:8">
      <c r="G1181" s="2" t="s">
        <v>1098</v>
      </c>
      <c r="H1181" s="2" t="s">
        <v>21</v>
      </c>
    </row>
    <row r="1182" spans="7:8">
      <c r="G1182" s="2" t="s">
        <v>1098</v>
      </c>
      <c r="H1182" s="2" t="s">
        <v>29</v>
      </c>
    </row>
    <row r="1183" spans="7:8">
      <c r="G1183" s="2" t="s">
        <v>1099</v>
      </c>
      <c r="H1183" s="2" t="s">
        <v>26</v>
      </c>
    </row>
    <row r="1184" spans="7:8">
      <c r="G1184" s="2" t="s">
        <v>1100</v>
      </c>
      <c r="H1184" s="2" t="s">
        <v>29</v>
      </c>
    </row>
    <row r="1185" spans="7:8">
      <c r="G1185" s="2" t="s">
        <v>1100</v>
      </c>
      <c r="H1185" s="2" t="s">
        <v>926</v>
      </c>
    </row>
    <row r="1186" spans="7:8">
      <c r="G1186" s="2" t="s">
        <v>1101</v>
      </c>
      <c r="H1186" s="2" t="s">
        <v>26</v>
      </c>
    </row>
    <row r="1187" spans="7:8">
      <c r="G1187" s="2" t="s">
        <v>1102</v>
      </c>
      <c r="H1187" s="2" t="s">
        <v>26</v>
      </c>
    </row>
    <row r="1188" spans="7:8">
      <c r="G1188" s="2" t="s">
        <v>1103</v>
      </c>
      <c r="H1188" s="2" t="s">
        <v>26</v>
      </c>
    </row>
    <row r="1189" spans="7:8">
      <c r="G1189" s="2" t="s">
        <v>1104</v>
      </c>
      <c r="H1189" s="2" t="s">
        <v>28</v>
      </c>
    </row>
    <row r="1190" spans="7:8">
      <c r="G1190" s="2" t="s">
        <v>1104</v>
      </c>
      <c r="H1190" s="2" t="s">
        <v>26</v>
      </c>
    </row>
    <row r="1191" spans="7:8">
      <c r="G1191" s="2" t="s">
        <v>1105</v>
      </c>
      <c r="H1191" s="2" t="s">
        <v>21</v>
      </c>
    </row>
    <row r="1192" spans="7:8">
      <c r="G1192" s="2" t="s">
        <v>1105</v>
      </c>
      <c r="H1192" s="2" t="s">
        <v>699</v>
      </c>
    </row>
    <row r="1193" spans="7:8">
      <c r="G1193" s="2" t="s">
        <v>1106</v>
      </c>
      <c r="H1193" s="2" t="s">
        <v>26</v>
      </c>
    </row>
    <row r="1194" spans="7:8">
      <c r="G1194" t="s">
        <v>1106</v>
      </c>
      <c r="H1194" s="6" t="s">
        <v>26</v>
      </c>
    </row>
    <row r="1195" spans="7:8">
      <c r="G1195" s="2" t="s">
        <v>1107</v>
      </c>
      <c r="H1195" s="2" t="s">
        <v>26</v>
      </c>
    </row>
    <row r="1196" spans="7:8">
      <c r="G1196" s="2" t="s">
        <v>1108</v>
      </c>
      <c r="H1196" s="2" t="s">
        <v>26</v>
      </c>
    </row>
    <row r="1197" spans="7:8">
      <c r="G1197" s="2" t="s">
        <v>1109</v>
      </c>
      <c r="H1197" s="2" t="s">
        <v>26</v>
      </c>
    </row>
    <row r="1198" spans="7:8">
      <c r="G1198" s="2" t="s">
        <v>1110</v>
      </c>
      <c r="H1198" s="2" t="s">
        <v>26</v>
      </c>
    </row>
    <row r="1199" spans="7:8">
      <c r="G1199" s="2" t="s">
        <v>1111</v>
      </c>
      <c r="H1199" s="2" t="s">
        <v>26</v>
      </c>
    </row>
    <row r="1200" spans="7:8">
      <c r="G1200" s="2" t="s">
        <v>1112</v>
      </c>
      <c r="H1200" s="2" t="s">
        <v>26</v>
      </c>
    </row>
    <row r="1201" spans="7:8">
      <c r="G1201" s="2" t="s">
        <v>1113</v>
      </c>
      <c r="H1201" s="2" t="s">
        <v>26</v>
      </c>
    </row>
    <row r="1202" spans="7:8">
      <c r="G1202" s="2" t="s">
        <v>1114</v>
      </c>
      <c r="H1202" s="2" t="s">
        <v>26</v>
      </c>
    </row>
    <row r="1203" spans="7:8">
      <c r="G1203" s="2" t="s">
        <v>1115</v>
      </c>
      <c r="H1203" s="2" t="s">
        <v>26</v>
      </c>
    </row>
    <row r="1204" spans="7:8">
      <c r="G1204" s="2" t="s">
        <v>1116</v>
      </c>
      <c r="H1204" s="2" t="s">
        <v>26</v>
      </c>
    </row>
    <row r="1205" spans="7:8">
      <c r="G1205" s="2" t="s">
        <v>1117</v>
      </c>
      <c r="H1205" s="2" t="s">
        <v>26</v>
      </c>
    </row>
    <row r="1206" spans="7:8">
      <c r="G1206" s="2" t="s">
        <v>1118</v>
      </c>
      <c r="H1206" s="2" t="s">
        <v>26</v>
      </c>
    </row>
    <row r="1207" spans="7:8">
      <c r="G1207" s="2" t="s">
        <v>1119</v>
      </c>
      <c r="H1207" s="2" t="s">
        <v>26</v>
      </c>
    </row>
    <row r="1208" spans="7:8">
      <c r="G1208" s="2" t="s">
        <v>1120</v>
      </c>
      <c r="H1208" s="2" t="s">
        <v>26</v>
      </c>
    </row>
    <row r="1209" spans="7:8">
      <c r="G1209" s="2" t="s">
        <v>1121</v>
      </c>
      <c r="H1209" s="2" t="s">
        <v>26</v>
      </c>
    </row>
    <row r="1210" spans="7:8">
      <c r="G1210" s="2" t="s">
        <v>1122</v>
      </c>
      <c r="H1210" s="2" t="s">
        <v>34</v>
      </c>
    </row>
    <row r="1211" spans="7:8">
      <c r="G1211" s="2" t="s">
        <v>1123</v>
      </c>
      <c r="H1211" s="2" t="s">
        <v>21</v>
      </c>
    </row>
    <row r="1212" spans="7:8">
      <c r="G1212" s="2" t="s">
        <v>1124</v>
      </c>
      <c r="H1212" s="2" t="s">
        <v>26</v>
      </c>
    </row>
    <row r="1213" spans="7:8">
      <c r="G1213" s="2" t="s">
        <v>1125</v>
      </c>
      <c r="H1213" s="2" t="s">
        <v>26</v>
      </c>
    </row>
    <row r="1214" spans="7:8">
      <c r="G1214" s="2" t="s">
        <v>1126</v>
      </c>
      <c r="H1214" s="2" t="s">
        <v>26</v>
      </c>
    </row>
    <row r="1215" spans="7:8">
      <c r="G1215" s="2" t="s">
        <v>1127</v>
      </c>
      <c r="H1215" s="2" t="s">
        <v>28</v>
      </c>
    </row>
    <row r="1216" spans="7:8">
      <c r="G1216" s="2" t="s">
        <v>1128</v>
      </c>
      <c r="H1216" s="2" t="s">
        <v>28</v>
      </c>
    </row>
    <row r="1217" spans="7:8">
      <c r="G1217" s="2" t="s">
        <v>1129</v>
      </c>
      <c r="H1217" s="2" t="s">
        <v>28</v>
      </c>
    </row>
    <row r="1218" spans="7:8">
      <c r="G1218" s="2" t="s">
        <v>1130</v>
      </c>
      <c r="H1218" s="2" t="s">
        <v>50</v>
      </c>
    </row>
    <row r="1219" spans="7:8">
      <c r="G1219" t="s">
        <v>1131</v>
      </c>
      <c r="H1219" s="6" t="s">
        <v>941</v>
      </c>
    </row>
    <row r="1220" spans="7:8">
      <c r="G1220" s="2" t="s">
        <v>1132</v>
      </c>
      <c r="H1220" s="2" t="s">
        <v>43</v>
      </c>
    </row>
    <row r="1221" spans="7:8">
      <c r="G1221" s="2" t="s">
        <v>1132</v>
      </c>
      <c r="H1221" s="2" t="s">
        <v>87</v>
      </c>
    </row>
    <row r="1222" spans="7:8">
      <c r="G1222" s="2" t="s">
        <v>1133</v>
      </c>
      <c r="H1222" s="2" t="s">
        <v>26</v>
      </c>
    </row>
    <row r="1223" spans="7:8">
      <c r="G1223" s="2" t="s">
        <v>1134</v>
      </c>
      <c r="H1223" s="2" t="s">
        <v>26</v>
      </c>
    </row>
    <row r="1224" spans="7:8">
      <c r="G1224" s="2" t="s">
        <v>1135</v>
      </c>
      <c r="H1224" s="2" t="s">
        <v>26</v>
      </c>
    </row>
    <row r="1225" spans="7:8">
      <c r="G1225" s="2" t="s">
        <v>1136</v>
      </c>
      <c r="H1225" s="2" t="s">
        <v>26</v>
      </c>
    </row>
    <row r="1226" spans="7:8">
      <c r="G1226" s="2" t="s">
        <v>1136</v>
      </c>
      <c r="H1226" s="2" t="s">
        <v>26</v>
      </c>
    </row>
    <row r="1227" spans="7:8">
      <c r="G1227" s="2" t="s">
        <v>1137</v>
      </c>
      <c r="H1227" s="2" t="s">
        <v>2</v>
      </c>
    </row>
    <row r="1228" spans="7:8">
      <c r="G1228" s="2" t="s">
        <v>1137</v>
      </c>
      <c r="H1228" s="2" t="s">
        <v>21</v>
      </c>
    </row>
    <row r="1229" spans="7:8">
      <c r="G1229" s="2" t="s">
        <v>1138</v>
      </c>
      <c r="H1229" s="2" t="s">
        <v>2</v>
      </c>
    </row>
    <row r="1230" spans="7:8">
      <c r="G1230" s="2" t="s">
        <v>1139</v>
      </c>
      <c r="H1230" s="2" t="s">
        <v>2</v>
      </c>
    </row>
    <row r="1231" spans="7:8">
      <c r="G1231" s="2" t="s">
        <v>1139</v>
      </c>
      <c r="H1231" s="2" t="s">
        <v>9</v>
      </c>
    </row>
    <row r="1232" spans="7:8">
      <c r="G1232" s="2" t="s">
        <v>1140</v>
      </c>
      <c r="H1232" s="2" t="s">
        <v>9</v>
      </c>
    </row>
    <row r="1233" spans="7:8">
      <c r="G1233" s="2" t="s">
        <v>1140</v>
      </c>
      <c r="H1233" s="2" t="s">
        <v>2</v>
      </c>
    </row>
    <row r="1234" spans="7:8">
      <c r="G1234" t="s">
        <v>1141</v>
      </c>
      <c r="H1234" s="6" t="s">
        <v>1073</v>
      </c>
    </row>
    <row r="1235" spans="7:8">
      <c r="G1235" s="2" t="s">
        <v>1142</v>
      </c>
      <c r="H1235" s="2" t="s">
        <v>21</v>
      </c>
    </row>
    <row r="1236" spans="7:8">
      <c r="G1236" s="2" t="s">
        <v>1143</v>
      </c>
      <c r="H1236" s="2" t="s">
        <v>21</v>
      </c>
    </row>
    <row r="1237" spans="7:8">
      <c r="G1237" s="2" t="s">
        <v>1144</v>
      </c>
      <c r="H1237" s="2" t="s">
        <v>21</v>
      </c>
    </row>
    <row r="1238" spans="7:8">
      <c r="G1238" t="s">
        <v>1145</v>
      </c>
      <c r="H1238" s="6" t="s">
        <v>1073</v>
      </c>
    </row>
    <row r="1239" spans="7:8">
      <c r="G1239" t="s">
        <v>1146</v>
      </c>
      <c r="H1239" s="6" t="s">
        <v>1073</v>
      </c>
    </row>
    <row r="1240" spans="7:8">
      <c r="G1240" s="2" t="s">
        <v>1147</v>
      </c>
      <c r="H1240" s="2" t="s">
        <v>21</v>
      </c>
    </row>
    <row r="1241" spans="7:8">
      <c r="G1241" s="2" t="s">
        <v>1148</v>
      </c>
      <c r="H1241" s="2" t="s">
        <v>34</v>
      </c>
    </row>
    <row r="1242" spans="7:8">
      <c r="G1242" s="2" t="s">
        <v>1149</v>
      </c>
      <c r="H1242" s="2" t="s">
        <v>34</v>
      </c>
    </row>
    <row r="1243" spans="7:8">
      <c r="G1243" s="2" t="s">
        <v>1150</v>
      </c>
      <c r="H1243" s="2" t="s">
        <v>34</v>
      </c>
    </row>
    <row r="1244" spans="7:8">
      <c r="G1244" s="2" t="s">
        <v>1151</v>
      </c>
      <c r="H1244" s="2" t="s">
        <v>34</v>
      </c>
    </row>
    <row r="1245" spans="7:8">
      <c r="G1245" s="2" t="s">
        <v>1152</v>
      </c>
      <c r="H1245" s="2" t="s">
        <v>34</v>
      </c>
    </row>
    <row r="1246" spans="7:8">
      <c r="G1246" s="2" t="s">
        <v>1153</v>
      </c>
      <c r="H1246" s="2" t="s">
        <v>34</v>
      </c>
    </row>
    <row r="1247" spans="7:8">
      <c r="G1247" s="2" t="s">
        <v>1154</v>
      </c>
      <c r="H1247" s="2" t="s">
        <v>34</v>
      </c>
    </row>
    <row r="1248" spans="7:8">
      <c r="G1248" s="2" t="s">
        <v>1155</v>
      </c>
      <c r="H1248" s="2" t="s">
        <v>40</v>
      </c>
    </row>
    <row r="1249" spans="7:8">
      <c r="G1249" s="2" t="s">
        <v>1156</v>
      </c>
      <c r="H1249" s="2" t="s">
        <v>26</v>
      </c>
    </row>
    <row r="1250" spans="7:8">
      <c r="G1250" s="2" t="s">
        <v>1156</v>
      </c>
      <c r="H1250" s="2" t="s">
        <v>21</v>
      </c>
    </row>
    <row r="1251" spans="7:8">
      <c r="G1251" t="s">
        <v>1157</v>
      </c>
      <c r="H1251" s="6" t="s">
        <v>1073</v>
      </c>
    </row>
    <row r="1252" spans="7:8">
      <c r="G1252" s="2" t="s">
        <v>1158</v>
      </c>
      <c r="H1252" s="2" t="s">
        <v>21</v>
      </c>
    </row>
    <row r="1253" spans="7:8">
      <c r="G1253" t="s">
        <v>1159</v>
      </c>
      <c r="H1253" s="2" t="s">
        <v>21</v>
      </c>
    </row>
    <row r="1254" spans="7:8">
      <c r="G1254" t="s">
        <v>1160</v>
      </c>
      <c r="H1254" s="2" t="s">
        <v>21</v>
      </c>
    </row>
    <row r="1255" spans="7:8">
      <c r="G1255" s="2" t="s">
        <v>1161</v>
      </c>
      <c r="H1255" s="2" t="s">
        <v>21</v>
      </c>
    </row>
    <row r="1256" spans="7:8">
      <c r="G1256" s="2" t="s">
        <v>1162</v>
      </c>
      <c r="H1256" s="2" t="s">
        <v>28</v>
      </c>
    </row>
    <row r="1257" spans="7:8">
      <c r="G1257" s="2" t="s">
        <v>1163</v>
      </c>
      <c r="H1257" s="2" t="s">
        <v>28</v>
      </c>
    </row>
    <row r="1258" spans="7:8">
      <c r="G1258" s="2" t="s">
        <v>1164</v>
      </c>
      <c r="H1258" s="2" t="s">
        <v>28</v>
      </c>
    </row>
    <row r="1259" spans="7:8">
      <c r="G1259" s="2" t="s">
        <v>1165</v>
      </c>
      <c r="H1259" s="2" t="s">
        <v>43</v>
      </c>
    </row>
    <row r="1260" spans="7:8">
      <c r="G1260" s="2" t="s">
        <v>1166</v>
      </c>
      <c r="H1260" s="2" t="s">
        <v>43</v>
      </c>
    </row>
    <row r="1261" spans="7:8">
      <c r="G1261" s="2" t="s">
        <v>1167</v>
      </c>
      <c r="H1261" s="2" t="s">
        <v>43</v>
      </c>
    </row>
    <row r="1262" spans="7:8">
      <c r="G1262" s="2" t="s">
        <v>1168</v>
      </c>
      <c r="H1262" s="2" t="s">
        <v>23</v>
      </c>
    </row>
    <row r="1263" spans="7:8">
      <c r="G1263" t="s">
        <v>1169</v>
      </c>
      <c r="H1263" s="6" t="s">
        <v>941</v>
      </c>
    </row>
    <row r="1264" spans="7:8">
      <c r="G1264" s="2" t="s">
        <v>1170</v>
      </c>
      <c r="H1264" s="2" t="s">
        <v>26</v>
      </c>
    </row>
    <row r="1265" spans="7:8">
      <c r="G1265" s="2" t="s">
        <v>1171</v>
      </c>
      <c r="H1265" s="2" t="s">
        <v>28</v>
      </c>
    </row>
    <row r="1266" spans="7:8">
      <c r="G1266" s="2" t="s">
        <v>1172</v>
      </c>
      <c r="H1266" s="2" t="s">
        <v>28</v>
      </c>
    </row>
    <row r="1267" spans="7:8">
      <c r="G1267" s="2" t="s">
        <v>1173</v>
      </c>
      <c r="H1267" s="2" t="s">
        <v>26</v>
      </c>
    </row>
    <row r="1268" spans="7:8">
      <c r="G1268" s="2" t="s">
        <v>1174</v>
      </c>
      <c r="H1268" s="2" t="s">
        <v>21</v>
      </c>
    </row>
    <row r="1269" spans="7:8">
      <c r="G1269" s="2" t="s">
        <v>1175</v>
      </c>
      <c r="H1269" s="2" t="s">
        <v>21</v>
      </c>
    </row>
    <row r="1270" spans="7:8">
      <c r="G1270" s="2" t="s">
        <v>1176</v>
      </c>
      <c r="H1270" s="2" t="s">
        <v>21</v>
      </c>
    </row>
    <row r="1271" spans="7:8">
      <c r="G1271" s="2" t="s">
        <v>1177</v>
      </c>
      <c r="H1271" s="2" t="s">
        <v>21</v>
      </c>
    </row>
    <row r="1272" spans="7:8">
      <c r="G1272" s="2" t="s">
        <v>1178</v>
      </c>
      <c r="H1272" s="2" t="s">
        <v>21</v>
      </c>
    </row>
    <row r="1273" spans="7:8">
      <c r="G1273" s="2" t="s">
        <v>1179</v>
      </c>
      <c r="H1273" s="2" t="s">
        <v>23</v>
      </c>
    </row>
    <row r="1274" spans="7:8">
      <c r="G1274" s="2" t="s">
        <v>1180</v>
      </c>
      <c r="H1274" s="2" t="s">
        <v>21</v>
      </c>
    </row>
    <row r="1275" spans="7:8">
      <c r="G1275" s="2" t="s">
        <v>1181</v>
      </c>
      <c r="H1275" s="2" t="s">
        <v>9</v>
      </c>
    </row>
    <row r="1276" spans="7:8">
      <c r="G1276" s="2" t="s">
        <v>1182</v>
      </c>
      <c r="H1276" s="2" t="s">
        <v>23</v>
      </c>
    </row>
    <row r="1277" spans="7:8">
      <c r="G1277" s="2" t="s">
        <v>1183</v>
      </c>
      <c r="H1277" s="2" t="s">
        <v>21</v>
      </c>
    </row>
    <row r="1278" spans="7:8">
      <c r="G1278" s="2" t="s">
        <v>1184</v>
      </c>
      <c r="H1278" s="2" t="s">
        <v>26</v>
      </c>
    </row>
    <row r="1279" spans="7:8">
      <c r="G1279" t="s">
        <v>1185</v>
      </c>
      <c r="H1279" s="2" t="s">
        <v>26</v>
      </c>
    </row>
    <row r="1280" spans="7:8">
      <c r="G1280" s="2" t="s">
        <v>1186</v>
      </c>
      <c r="H1280" s="2" t="s">
        <v>26</v>
      </c>
    </row>
    <row r="1281" spans="7:8">
      <c r="G1281" s="2" t="s">
        <v>1187</v>
      </c>
      <c r="H1281" s="2" t="s">
        <v>26</v>
      </c>
    </row>
    <row r="1282" spans="7:8">
      <c r="G1282" s="2" t="s">
        <v>1188</v>
      </c>
      <c r="H1282" s="2" t="s">
        <v>26</v>
      </c>
    </row>
    <row r="1283" spans="7:8">
      <c r="G1283" s="2" t="s">
        <v>1189</v>
      </c>
      <c r="H1283" s="2" t="s">
        <v>26</v>
      </c>
    </row>
    <row r="1284" spans="7:8">
      <c r="G1284" s="2" t="s">
        <v>1190</v>
      </c>
      <c r="H1284" s="2" t="s">
        <v>40</v>
      </c>
    </row>
    <row r="1285" spans="7:8">
      <c r="G1285" s="2" t="s">
        <v>1191</v>
      </c>
      <c r="H1285" s="2" t="s">
        <v>2</v>
      </c>
    </row>
    <row r="1286" spans="7:8">
      <c r="G1286" s="2" t="s">
        <v>1192</v>
      </c>
      <c r="H1286" s="2" t="s">
        <v>48</v>
      </c>
    </row>
    <row r="1287" spans="7:8">
      <c r="G1287" s="2" t="s">
        <v>1193</v>
      </c>
      <c r="H1287" s="2" t="s">
        <v>28</v>
      </c>
    </row>
    <row r="1288" spans="7:8">
      <c r="G1288" s="2" t="s">
        <v>1194</v>
      </c>
      <c r="H1288" s="2" t="s">
        <v>28</v>
      </c>
    </row>
    <row r="1289" spans="7:8">
      <c r="G1289" s="2" t="s">
        <v>1195</v>
      </c>
      <c r="H1289" s="2" t="s">
        <v>20</v>
      </c>
    </row>
    <row r="1290" spans="7:8">
      <c r="G1290" t="s">
        <v>1195</v>
      </c>
      <c r="H1290" t="s">
        <v>20</v>
      </c>
    </row>
    <row r="1291" spans="7:8">
      <c r="G1291" s="2" t="s">
        <v>1196</v>
      </c>
      <c r="H1291" s="2" t="s">
        <v>20</v>
      </c>
    </row>
    <row r="1292" spans="7:8">
      <c r="G1292" s="2" t="s">
        <v>1197</v>
      </c>
      <c r="H1292" s="2" t="s">
        <v>20</v>
      </c>
    </row>
    <row r="1293" spans="7:8">
      <c r="G1293" s="2" t="s">
        <v>1198</v>
      </c>
      <c r="H1293" s="2" t="s">
        <v>20</v>
      </c>
    </row>
    <row r="1294" spans="7:8">
      <c r="G1294" s="2" t="s">
        <v>1199</v>
      </c>
      <c r="H1294" s="2" t="s">
        <v>20</v>
      </c>
    </row>
    <row r="1295" spans="7:8">
      <c r="G1295" s="2" t="s">
        <v>1200</v>
      </c>
      <c r="H1295" s="2" t="s">
        <v>20</v>
      </c>
    </row>
    <row r="1296" spans="7:8">
      <c r="G1296" s="2" t="s">
        <v>1201</v>
      </c>
      <c r="H1296" s="2" t="s">
        <v>20</v>
      </c>
    </row>
    <row r="1297" spans="7:8">
      <c r="G1297" s="2" t="s">
        <v>1202</v>
      </c>
      <c r="H1297" s="2" t="s">
        <v>20</v>
      </c>
    </row>
    <row r="1298" spans="7:8">
      <c r="G1298" s="2" t="s">
        <v>1203</v>
      </c>
      <c r="H1298" s="2" t="s">
        <v>20</v>
      </c>
    </row>
    <row r="1299" spans="7:8">
      <c r="G1299" s="2" t="s">
        <v>1204</v>
      </c>
      <c r="H1299" s="2" t="s">
        <v>20</v>
      </c>
    </row>
    <row r="1300" spans="7:8">
      <c r="G1300" s="2" t="s">
        <v>1205</v>
      </c>
      <c r="H1300" s="2" t="s">
        <v>20</v>
      </c>
    </row>
    <row r="1301" spans="7:8">
      <c r="G1301" s="2" t="s">
        <v>1206</v>
      </c>
      <c r="H1301" s="2" t="s">
        <v>20</v>
      </c>
    </row>
    <row r="1302" spans="7:8">
      <c r="G1302" s="2" t="s">
        <v>1207</v>
      </c>
      <c r="H1302" s="2" t="s">
        <v>20</v>
      </c>
    </row>
    <row r="1303" spans="7:8">
      <c r="G1303" s="2" t="s">
        <v>1208</v>
      </c>
      <c r="H1303" s="2" t="s">
        <v>20</v>
      </c>
    </row>
    <row r="1304" spans="7:8">
      <c r="G1304" s="2" t="s">
        <v>1209</v>
      </c>
      <c r="H1304" s="2" t="s">
        <v>20</v>
      </c>
    </row>
    <row r="1305" spans="7:8">
      <c r="G1305" s="2" t="s">
        <v>1210</v>
      </c>
      <c r="H1305" s="2" t="s">
        <v>20</v>
      </c>
    </row>
    <row r="1306" spans="7:8">
      <c r="G1306" s="2" t="s">
        <v>1211</v>
      </c>
      <c r="H1306" s="2" t="s">
        <v>20</v>
      </c>
    </row>
    <row r="1307" spans="7:8">
      <c r="G1307" s="2" t="s">
        <v>1212</v>
      </c>
      <c r="H1307" s="2" t="s">
        <v>20</v>
      </c>
    </row>
    <row r="1308" spans="7:8">
      <c r="G1308" s="2" t="s">
        <v>1213</v>
      </c>
      <c r="H1308" s="2" t="s">
        <v>20</v>
      </c>
    </row>
    <row r="1309" spans="7:8">
      <c r="G1309" s="2" t="s">
        <v>1214</v>
      </c>
      <c r="H1309" s="2" t="s">
        <v>20</v>
      </c>
    </row>
    <row r="1310" spans="7:8">
      <c r="G1310" s="2" t="s">
        <v>1215</v>
      </c>
      <c r="H1310" s="2" t="s">
        <v>20</v>
      </c>
    </row>
    <row r="1311" spans="7:8">
      <c r="G1311" s="2" t="s">
        <v>1216</v>
      </c>
      <c r="H1311" s="2" t="s">
        <v>20</v>
      </c>
    </row>
    <row r="1312" spans="7:8">
      <c r="G1312" s="2" t="s">
        <v>1217</v>
      </c>
      <c r="H1312" s="2" t="s">
        <v>20</v>
      </c>
    </row>
    <row r="1313" spans="7:8">
      <c r="G1313" s="2" t="s">
        <v>1218</v>
      </c>
      <c r="H1313" s="2" t="s">
        <v>20</v>
      </c>
    </row>
    <row r="1314" spans="7:8">
      <c r="G1314" s="2" t="s">
        <v>1219</v>
      </c>
      <c r="H1314" s="2" t="s">
        <v>20</v>
      </c>
    </row>
    <row r="1315" spans="7:8">
      <c r="G1315" s="2" t="s">
        <v>1220</v>
      </c>
      <c r="H1315" s="2" t="s">
        <v>20</v>
      </c>
    </row>
    <row r="1316" spans="7:8">
      <c r="G1316" s="2" t="s">
        <v>1221</v>
      </c>
      <c r="H1316" s="2" t="s">
        <v>20</v>
      </c>
    </row>
    <row r="1317" spans="7:8">
      <c r="G1317" s="2" t="s">
        <v>1222</v>
      </c>
      <c r="H1317" s="2" t="s">
        <v>20</v>
      </c>
    </row>
    <row r="1318" spans="7:8">
      <c r="G1318" s="2" t="s">
        <v>1223</v>
      </c>
      <c r="H1318" s="2" t="s">
        <v>20</v>
      </c>
    </row>
    <row r="1319" spans="7:8">
      <c r="G1319" s="2" t="s">
        <v>1224</v>
      </c>
      <c r="H1319" s="2" t="s">
        <v>20</v>
      </c>
    </row>
    <row r="1320" spans="7:8">
      <c r="G1320" s="2" t="s">
        <v>1225</v>
      </c>
      <c r="H1320" s="2" t="s">
        <v>20</v>
      </c>
    </row>
    <row r="1321" spans="7:8">
      <c r="G1321" s="2" t="s">
        <v>1226</v>
      </c>
      <c r="H1321" s="2" t="s">
        <v>20</v>
      </c>
    </row>
    <row r="1322" spans="7:8">
      <c r="G1322" s="2" t="s">
        <v>1227</v>
      </c>
      <c r="H1322" s="2" t="s">
        <v>20</v>
      </c>
    </row>
    <row r="1323" spans="7:8">
      <c r="G1323" s="2" t="s">
        <v>1228</v>
      </c>
      <c r="H1323" s="2" t="s">
        <v>20</v>
      </c>
    </row>
    <row r="1324" spans="7:8">
      <c r="G1324" s="2" t="s">
        <v>1229</v>
      </c>
      <c r="H1324" s="2" t="s">
        <v>20</v>
      </c>
    </row>
    <row r="1325" spans="7:8">
      <c r="G1325" s="2" t="s">
        <v>1230</v>
      </c>
      <c r="H1325" s="2" t="s">
        <v>20</v>
      </c>
    </row>
    <row r="1326" spans="7:8">
      <c r="G1326" s="2" t="s">
        <v>1231</v>
      </c>
      <c r="H1326" s="2" t="s">
        <v>20</v>
      </c>
    </row>
    <row r="1327" spans="7:8">
      <c r="G1327" s="2" t="s">
        <v>1232</v>
      </c>
      <c r="H1327" s="2" t="s">
        <v>20</v>
      </c>
    </row>
    <row r="1328" spans="7:8">
      <c r="G1328" s="2" t="s">
        <v>1233</v>
      </c>
      <c r="H1328" s="2" t="s">
        <v>20</v>
      </c>
    </row>
    <row r="1329" spans="7:8">
      <c r="G1329" s="2" t="s">
        <v>1234</v>
      </c>
      <c r="H1329" s="2" t="s">
        <v>20</v>
      </c>
    </row>
    <row r="1330" spans="7:8">
      <c r="G1330" s="2" t="s">
        <v>1235</v>
      </c>
      <c r="H1330" s="2" t="s">
        <v>48</v>
      </c>
    </row>
    <row r="1331" spans="7:8">
      <c r="G1331" s="2" t="s">
        <v>1236</v>
      </c>
      <c r="H1331" s="2" t="s">
        <v>20</v>
      </c>
    </row>
    <row r="1332" spans="7:8">
      <c r="G1332" s="2" t="s">
        <v>1237</v>
      </c>
      <c r="H1332" s="2" t="s">
        <v>20</v>
      </c>
    </row>
    <row r="1333" spans="7:8">
      <c r="G1333" s="2" t="s">
        <v>1238</v>
      </c>
      <c r="H1333" s="2" t="s">
        <v>20</v>
      </c>
    </row>
    <row r="1334" spans="7:8">
      <c r="G1334" s="2" t="s">
        <v>1239</v>
      </c>
      <c r="H1334" s="2" t="s">
        <v>20</v>
      </c>
    </row>
    <row r="1335" spans="7:8">
      <c r="G1335" s="2" t="s">
        <v>1240</v>
      </c>
      <c r="H1335" s="2" t="s">
        <v>20</v>
      </c>
    </row>
    <row r="1336" spans="7:8">
      <c r="G1336" s="2" t="s">
        <v>1241</v>
      </c>
      <c r="H1336" s="2" t="s">
        <v>20</v>
      </c>
    </row>
    <row r="1337" spans="7:8">
      <c r="G1337" s="2" t="s">
        <v>1242</v>
      </c>
      <c r="H1337" s="2" t="s">
        <v>20</v>
      </c>
    </row>
    <row r="1338" spans="7:8">
      <c r="G1338" s="2" t="s">
        <v>1243</v>
      </c>
      <c r="H1338" s="2" t="s">
        <v>20</v>
      </c>
    </row>
    <row r="1339" spans="7:8">
      <c r="G1339" s="2" t="s">
        <v>1244</v>
      </c>
      <c r="H1339" s="2" t="s">
        <v>20</v>
      </c>
    </row>
    <row r="1340" spans="7:8">
      <c r="G1340" s="2" t="s">
        <v>1245</v>
      </c>
      <c r="H1340" s="2" t="s">
        <v>20</v>
      </c>
    </row>
    <row r="1341" spans="7:8">
      <c r="G1341" s="2" t="s">
        <v>1246</v>
      </c>
      <c r="H1341" s="2" t="s">
        <v>20</v>
      </c>
    </row>
    <row r="1342" spans="7:8">
      <c r="G1342" s="2" t="s">
        <v>1247</v>
      </c>
      <c r="H1342" s="2" t="s">
        <v>26</v>
      </c>
    </row>
    <row r="1343" spans="7:8">
      <c r="G1343" s="2" t="s">
        <v>1248</v>
      </c>
      <c r="H1343" s="2" t="s">
        <v>21</v>
      </c>
    </row>
    <row r="1344" spans="7:8">
      <c r="G1344" s="2" t="s">
        <v>1249</v>
      </c>
      <c r="H1344" s="2" t="s">
        <v>21</v>
      </c>
    </row>
    <row r="1345" spans="7:8">
      <c r="G1345" t="s">
        <v>1250</v>
      </c>
      <c r="H1345" s="6" t="s">
        <v>1073</v>
      </c>
    </row>
    <row r="1346" spans="7:8">
      <c r="G1346" s="2" t="s">
        <v>1251</v>
      </c>
      <c r="H1346" s="2" t="s">
        <v>2</v>
      </c>
    </row>
    <row r="1347" spans="7:8">
      <c r="G1347" s="2" t="s">
        <v>1252</v>
      </c>
      <c r="H1347" s="2" t="s">
        <v>21</v>
      </c>
    </row>
    <row r="1348" spans="7:8">
      <c r="G1348" s="2" t="s">
        <v>1253</v>
      </c>
      <c r="H1348" s="2" t="s">
        <v>26</v>
      </c>
    </row>
    <row r="1349" spans="7:8">
      <c r="G1349" s="2" t="s">
        <v>1254</v>
      </c>
      <c r="H1349" s="2" t="s">
        <v>26</v>
      </c>
    </row>
    <row r="1350" spans="7:8">
      <c r="G1350" s="2" t="s">
        <v>1255</v>
      </c>
      <c r="H1350" s="2" t="s">
        <v>26</v>
      </c>
    </row>
    <row r="1351" spans="7:8">
      <c r="G1351" s="2" t="s">
        <v>1256</v>
      </c>
      <c r="H1351" s="2" t="s">
        <v>48</v>
      </c>
    </row>
    <row r="1352" spans="7:8">
      <c r="G1352" s="2" t="s">
        <v>1257</v>
      </c>
      <c r="H1352" s="2" t="s">
        <v>23</v>
      </c>
    </row>
    <row r="1353" spans="7:8">
      <c r="G1353" s="2" t="s">
        <v>1257</v>
      </c>
      <c r="H1353" s="2" t="s">
        <v>941</v>
      </c>
    </row>
    <row r="1354" spans="7:8">
      <c r="G1354" s="2" t="s">
        <v>1258</v>
      </c>
      <c r="H1354" s="2" t="s">
        <v>26</v>
      </c>
    </row>
    <row r="1355" spans="7:8">
      <c r="G1355" s="2" t="s">
        <v>1259</v>
      </c>
      <c r="H1355" s="2" t="s">
        <v>26</v>
      </c>
    </row>
    <row r="1356" spans="7:8">
      <c r="G1356" s="2" t="s">
        <v>1260</v>
      </c>
      <c r="H1356" s="2" t="s">
        <v>677</v>
      </c>
    </row>
    <row r="1357" spans="7:8">
      <c r="G1357" s="2" t="s">
        <v>1261</v>
      </c>
      <c r="H1357" s="2" t="s">
        <v>23</v>
      </c>
    </row>
    <row r="1358" spans="7:8">
      <c r="G1358" s="2" t="s">
        <v>1262</v>
      </c>
      <c r="H1358" s="2" t="s">
        <v>23</v>
      </c>
    </row>
    <row r="1359" spans="7:8">
      <c r="G1359" s="2" t="s">
        <v>1263</v>
      </c>
      <c r="H1359" s="2" t="s">
        <v>26</v>
      </c>
    </row>
    <row r="1360" spans="7:8">
      <c r="G1360" s="2" t="s">
        <v>1264</v>
      </c>
      <c r="H1360" s="2" t="s">
        <v>9</v>
      </c>
    </row>
    <row r="1361" spans="7:8">
      <c r="G1361" s="2" t="s">
        <v>1265</v>
      </c>
      <c r="H1361" s="2" t="s">
        <v>40</v>
      </c>
    </row>
    <row r="1362" spans="7:8">
      <c r="G1362" s="2" t="s">
        <v>1266</v>
      </c>
      <c r="H1362" s="2" t="s">
        <v>21</v>
      </c>
    </row>
    <row r="1363" spans="7:8">
      <c r="G1363" s="2" t="s">
        <v>1267</v>
      </c>
      <c r="H1363" s="2" t="s">
        <v>9</v>
      </c>
    </row>
    <row r="1364" spans="7:8">
      <c r="G1364" s="2" t="s">
        <v>1267</v>
      </c>
      <c r="H1364" s="2" t="s">
        <v>40</v>
      </c>
    </row>
    <row r="1365" spans="7:8">
      <c r="G1365" t="s">
        <v>1267</v>
      </c>
      <c r="H1365" s="6" t="s">
        <v>699</v>
      </c>
    </row>
    <row r="1366" spans="7:8">
      <c r="G1366" s="2" t="s">
        <v>1268</v>
      </c>
      <c r="H1366" s="2" t="s">
        <v>45</v>
      </c>
    </row>
    <row r="1367" spans="7:8">
      <c r="G1367" s="2" t="s">
        <v>1269</v>
      </c>
      <c r="H1367" s="2" t="s">
        <v>7</v>
      </c>
    </row>
    <row r="1368" spans="7:8">
      <c r="G1368" s="2" t="s">
        <v>1270</v>
      </c>
      <c r="H1368" s="2" t="s">
        <v>1271</v>
      </c>
    </row>
    <row r="1369" spans="7:8">
      <c r="G1369" s="2" t="s">
        <v>1272</v>
      </c>
      <c r="H1369" s="2" t="s">
        <v>9</v>
      </c>
    </row>
    <row r="1370" spans="7:8">
      <c r="G1370" s="2" t="s">
        <v>1273</v>
      </c>
      <c r="H1370" s="2" t="s">
        <v>45</v>
      </c>
    </row>
    <row r="1371" spans="7:8">
      <c r="G1371" s="2" t="s">
        <v>1274</v>
      </c>
      <c r="H1371" s="2" t="s">
        <v>29</v>
      </c>
    </row>
    <row r="1372" spans="7:8">
      <c r="G1372" s="2" t="s">
        <v>1275</v>
      </c>
      <c r="H1372" s="2" t="s">
        <v>23</v>
      </c>
    </row>
    <row r="1373" spans="7:8">
      <c r="G1373" s="2" t="s">
        <v>1276</v>
      </c>
      <c r="H1373" s="2" t="s">
        <v>23</v>
      </c>
    </row>
    <row r="1374" spans="7:8">
      <c r="G1374" s="2" t="s">
        <v>1277</v>
      </c>
      <c r="H1374" s="2" t="s">
        <v>26</v>
      </c>
    </row>
    <row r="1375" spans="7:8">
      <c r="G1375" s="2" t="s">
        <v>1278</v>
      </c>
      <c r="H1375" s="2" t="s">
        <v>26</v>
      </c>
    </row>
    <row r="1376" spans="7:8">
      <c r="G1376" s="2" t="s">
        <v>1279</v>
      </c>
      <c r="H1376" s="2" t="s">
        <v>23</v>
      </c>
    </row>
    <row r="1377" spans="7:8">
      <c r="G1377" s="2" t="s">
        <v>1280</v>
      </c>
      <c r="H1377" s="2" t="s">
        <v>23</v>
      </c>
    </row>
    <row r="1378" spans="7:8">
      <c r="G1378" s="2" t="s">
        <v>1281</v>
      </c>
      <c r="H1378" s="2" t="s">
        <v>23</v>
      </c>
    </row>
    <row r="1379" spans="7:8">
      <c r="G1379" s="2" t="s">
        <v>1282</v>
      </c>
      <c r="H1379" s="2" t="s">
        <v>23</v>
      </c>
    </row>
    <row r="1380" spans="7:8">
      <c r="G1380" s="2" t="s">
        <v>1283</v>
      </c>
      <c r="H1380" s="2" t="s">
        <v>61</v>
      </c>
    </row>
    <row r="1381" spans="7:8">
      <c r="G1381" s="2" t="s">
        <v>1284</v>
      </c>
      <c r="H1381" s="2" t="s">
        <v>9</v>
      </c>
    </row>
    <row r="1382" spans="7:8">
      <c r="G1382" s="2" t="s">
        <v>1285</v>
      </c>
      <c r="H1382" s="2" t="s">
        <v>9</v>
      </c>
    </row>
    <row r="1383" spans="7:8">
      <c r="G1383" s="2" t="s">
        <v>1286</v>
      </c>
      <c r="H1383" s="2" t="s">
        <v>9</v>
      </c>
    </row>
    <row r="1384" spans="7:8">
      <c r="G1384" t="s">
        <v>1286</v>
      </c>
      <c r="H1384" s="6" t="s">
        <v>87</v>
      </c>
    </row>
    <row r="1385" spans="7:8">
      <c r="G1385" s="2" t="s">
        <v>1287</v>
      </c>
      <c r="H1385" s="2" t="s">
        <v>61</v>
      </c>
    </row>
    <row r="1386" spans="7:8">
      <c r="G1386" s="2" t="s">
        <v>1288</v>
      </c>
      <c r="H1386" s="2" t="s">
        <v>61</v>
      </c>
    </row>
    <row r="1387" spans="7:8">
      <c r="G1387" s="2" t="s">
        <v>1289</v>
      </c>
      <c r="H1387" s="2" t="s">
        <v>61</v>
      </c>
    </row>
    <row r="1388" spans="7:8">
      <c r="G1388" s="2" t="s">
        <v>1290</v>
      </c>
      <c r="H1388" s="2" t="s">
        <v>61</v>
      </c>
    </row>
    <row r="1389" spans="7:8">
      <c r="G1389" s="2" t="s">
        <v>1291</v>
      </c>
      <c r="H1389" s="2" t="s">
        <v>61</v>
      </c>
    </row>
    <row r="1390" spans="7:8">
      <c r="G1390" s="2" t="s">
        <v>1292</v>
      </c>
      <c r="H1390" s="2" t="s">
        <v>61</v>
      </c>
    </row>
    <row r="1391" spans="7:8">
      <c r="G1391" s="2" t="s">
        <v>1293</v>
      </c>
      <c r="H1391" s="2" t="s">
        <v>61</v>
      </c>
    </row>
    <row r="1392" spans="7:8">
      <c r="G1392" s="2" t="s">
        <v>1294</v>
      </c>
      <c r="H1392" s="2" t="s">
        <v>61</v>
      </c>
    </row>
    <row r="1393" spans="7:8">
      <c r="G1393" s="2" t="s">
        <v>1295</v>
      </c>
      <c r="H1393" s="2" t="s">
        <v>61</v>
      </c>
    </row>
    <row r="1394" spans="7:8">
      <c r="G1394" s="2" t="s">
        <v>1296</v>
      </c>
      <c r="H1394" s="2" t="s">
        <v>61</v>
      </c>
    </row>
    <row r="1395" spans="7:8">
      <c r="G1395" s="2" t="s">
        <v>1297</v>
      </c>
      <c r="H1395" s="2" t="s">
        <v>61</v>
      </c>
    </row>
    <row r="1396" spans="7:8">
      <c r="G1396" s="2" t="s">
        <v>1298</v>
      </c>
      <c r="H1396" s="2" t="s">
        <v>61</v>
      </c>
    </row>
    <row r="1397" spans="7:8">
      <c r="G1397" s="2" t="s">
        <v>1299</v>
      </c>
      <c r="H1397" s="2" t="s">
        <v>61</v>
      </c>
    </row>
    <row r="1398" spans="7:8">
      <c r="G1398" s="2" t="s">
        <v>1300</v>
      </c>
      <c r="H1398" s="2" t="s">
        <v>61</v>
      </c>
    </row>
    <row r="1399" spans="7:8">
      <c r="G1399" s="2" t="s">
        <v>1301</v>
      </c>
      <c r="H1399" s="2" t="s">
        <v>61</v>
      </c>
    </row>
    <row r="1400" spans="7:8">
      <c r="G1400" s="2" t="s">
        <v>1302</v>
      </c>
      <c r="H1400" s="2" t="s">
        <v>61</v>
      </c>
    </row>
    <row r="1401" spans="7:8">
      <c r="G1401" s="2" t="s">
        <v>1303</v>
      </c>
      <c r="H1401" s="2" t="s">
        <v>61</v>
      </c>
    </row>
    <row r="1402" spans="7:8">
      <c r="G1402" s="2" t="s">
        <v>1304</v>
      </c>
      <c r="H1402" s="2" t="s">
        <v>61</v>
      </c>
    </row>
    <row r="1403" spans="7:8">
      <c r="G1403" s="2" t="s">
        <v>1305</v>
      </c>
      <c r="H1403" s="2" t="s">
        <v>61</v>
      </c>
    </row>
    <row r="1404" spans="7:8">
      <c r="G1404" s="2" t="s">
        <v>1306</v>
      </c>
      <c r="H1404" s="2" t="s">
        <v>61</v>
      </c>
    </row>
    <row r="1405" spans="7:8">
      <c r="G1405" s="2" t="s">
        <v>1307</v>
      </c>
      <c r="H1405" s="2" t="s">
        <v>61</v>
      </c>
    </row>
    <row r="1406" spans="7:8">
      <c r="G1406" s="2" t="s">
        <v>1308</v>
      </c>
      <c r="H1406" s="2" t="s">
        <v>61</v>
      </c>
    </row>
    <row r="1407" spans="7:8">
      <c r="G1407" s="2" t="s">
        <v>1309</v>
      </c>
      <c r="H1407" s="2" t="s">
        <v>9</v>
      </c>
    </row>
    <row r="1408" spans="7:8">
      <c r="G1408" s="2" t="s">
        <v>1310</v>
      </c>
      <c r="H1408" s="2" t="s">
        <v>61</v>
      </c>
    </row>
    <row r="1409" spans="7:8">
      <c r="G1409" s="2" t="s">
        <v>1311</v>
      </c>
      <c r="H1409" s="2" t="s">
        <v>20</v>
      </c>
    </row>
    <row r="1410" spans="7:8">
      <c r="G1410" t="s">
        <v>1312</v>
      </c>
      <c r="H1410" s="6" t="s">
        <v>926</v>
      </c>
    </row>
    <row r="1411" spans="7:8">
      <c r="G1411" t="s">
        <v>1313</v>
      </c>
      <c r="H1411" s="6" t="s">
        <v>926</v>
      </c>
    </row>
    <row r="1412" spans="7:8">
      <c r="G1412" s="2" t="s">
        <v>1314</v>
      </c>
      <c r="H1412" s="2" t="s">
        <v>23</v>
      </c>
    </row>
    <row r="1413" spans="7:8">
      <c r="G1413" s="2" t="s">
        <v>1315</v>
      </c>
      <c r="H1413" s="2" t="s">
        <v>23</v>
      </c>
    </row>
    <row r="1414" spans="7:8">
      <c r="G1414" s="2" t="s">
        <v>1316</v>
      </c>
      <c r="H1414" s="2" t="s">
        <v>23</v>
      </c>
    </row>
    <row r="1415" spans="7:8">
      <c r="G1415" s="2" t="s">
        <v>1317</v>
      </c>
      <c r="H1415" s="2" t="s">
        <v>23</v>
      </c>
    </row>
    <row r="1416" spans="7:8">
      <c r="G1416" s="2" t="s">
        <v>1318</v>
      </c>
      <c r="H1416" s="2" t="s">
        <v>40</v>
      </c>
    </row>
    <row r="1417" spans="7:8">
      <c r="G1417" s="2" t="s">
        <v>1319</v>
      </c>
      <c r="H1417" s="2" t="s">
        <v>9</v>
      </c>
    </row>
    <row r="1418" spans="7:8">
      <c r="G1418" s="2" t="s">
        <v>1319</v>
      </c>
      <c r="H1418" s="2" t="s">
        <v>29</v>
      </c>
    </row>
    <row r="1419" spans="7:8">
      <c r="G1419" s="2" t="s">
        <v>1320</v>
      </c>
      <c r="H1419" s="2" t="s">
        <v>50</v>
      </c>
    </row>
    <row r="1420" spans="7:8">
      <c r="G1420" s="2" t="s">
        <v>1321</v>
      </c>
      <c r="H1420" s="2" t="s">
        <v>21</v>
      </c>
    </row>
    <row r="1421" spans="7:8">
      <c r="G1421" s="2" t="s">
        <v>1322</v>
      </c>
      <c r="H1421" s="2" t="s">
        <v>21</v>
      </c>
    </row>
    <row r="1422" spans="7:8">
      <c r="G1422" s="2" t="s">
        <v>1323</v>
      </c>
      <c r="H1422" s="2" t="s">
        <v>21</v>
      </c>
    </row>
    <row r="1423" spans="7:8">
      <c r="G1423" s="2" t="s">
        <v>1324</v>
      </c>
      <c r="H1423" s="2" t="s">
        <v>26</v>
      </c>
    </row>
    <row r="1424" spans="7:8">
      <c r="G1424" s="2" t="s">
        <v>1325</v>
      </c>
      <c r="H1424" s="2" t="s">
        <v>26</v>
      </c>
    </row>
    <row r="1425" spans="7:8">
      <c r="G1425" s="2" t="s">
        <v>1325</v>
      </c>
      <c r="H1425" s="2" t="s">
        <v>26</v>
      </c>
    </row>
    <row r="1426" spans="7:8">
      <c r="G1426" t="s">
        <v>1326</v>
      </c>
      <c r="H1426" s="6" t="s">
        <v>26</v>
      </c>
    </row>
    <row r="1427" spans="7:8">
      <c r="G1427" s="2" t="s">
        <v>1327</v>
      </c>
      <c r="H1427" s="2" t="s">
        <v>26</v>
      </c>
    </row>
    <row r="1428" spans="7:8">
      <c r="G1428" t="s">
        <v>1328</v>
      </c>
      <c r="H1428" s="6" t="s">
        <v>26</v>
      </c>
    </row>
    <row r="1429" spans="7:8">
      <c r="G1429" s="2" t="s">
        <v>1329</v>
      </c>
      <c r="H1429" s="2" t="s">
        <v>43</v>
      </c>
    </row>
    <row r="1430" spans="7:8">
      <c r="G1430" s="2" t="s">
        <v>1330</v>
      </c>
      <c r="H1430" s="2" t="s">
        <v>21</v>
      </c>
    </row>
    <row r="1431" spans="7:8">
      <c r="G1431" s="2" t="s">
        <v>1330</v>
      </c>
      <c r="H1431" s="2" t="s">
        <v>1073</v>
      </c>
    </row>
    <row r="1432" spans="7:8">
      <c r="G1432" s="2" t="s">
        <v>1331</v>
      </c>
      <c r="H1432" s="2" t="s">
        <v>26</v>
      </c>
    </row>
    <row r="1433" spans="7:8">
      <c r="G1433" s="2" t="s">
        <v>1332</v>
      </c>
      <c r="H1433" s="2" t="s">
        <v>21</v>
      </c>
    </row>
    <row r="1434" spans="7:8">
      <c r="G1434" s="2" t="s">
        <v>1333</v>
      </c>
      <c r="H1434" s="2" t="s">
        <v>28</v>
      </c>
    </row>
    <row r="1435" spans="7:8">
      <c r="G1435" s="2" t="s">
        <v>1334</v>
      </c>
      <c r="H1435" s="2" t="s">
        <v>23</v>
      </c>
    </row>
    <row r="1436" spans="7:8">
      <c r="G1436" s="2" t="s">
        <v>1335</v>
      </c>
      <c r="H1436" s="2" t="s">
        <v>23</v>
      </c>
    </row>
    <row r="1437" spans="7:8">
      <c r="G1437" s="2" t="s">
        <v>1336</v>
      </c>
      <c r="H1437" s="2" t="s">
        <v>23</v>
      </c>
    </row>
    <row r="1438" spans="7:8">
      <c r="G1438" s="2" t="s">
        <v>1337</v>
      </c>
      <c r="H1438" s="2" t="s">
        <v>26</v>
      </c>
    </row>
    <row r="1439" spans="7:8">
      <c r="G1439" s="2" t="s">
        <v>1337</v>
      </c>
      <c r="H1439" s="2" t="s">
        <v>1073</v>
      </c>
    </row>
    <row r="1440" spans="7:8">
      <c r="G1440" s="2" t="s">
        <v>1338</v>
      </c>
      <c r="H1440" s="2" t="s">
        <v>26</v>
      </c>
    </row>
    <row r="1441" spans="7:8">
      <c r="G1441" t="s">
        <v>1339</v>
      </c>
      <c r="H1441" s="6" t="s">
        <v>677</v>
      </c>
    </row>
    <row r="1442" spans="7:8">
      <c r="G1442" s="2" t="s">
        <v>1340</v>
      </c>
      <c r="H1442" s="2" t="s">
        <v>26</v>
      </c>
    </row>
    <row r="1443" spans="7:8">
      <c r="G1443" t="s">
        <v>1341</v>
      </c>
      <c r="H1443" s="6" t="s">
        <v>26</v>
      </c>
    </row>
    <row r="1444" spans="7:8">
      <c r="G1444" s="2" t="s">
        <v>1342</v>
      </c>
      <c r="H1444" s="2" t="s">
        <v>26</v>
      </c>
    </row>
    <row r="1445" spans="7:8">
      <c r="G1445" t="s">
        <v>1343</v>
      </c>
      <c r="H1445" s="6" t="s">
        <v>26</v>
      </c>
    </row>
    <row r="1446" spans="7:8">
      <c r="G1446" s="2" t="s">
        <v>1344</v>
      </c>
      <c r="H1446" s="2" t="s">
        <v>9</v>
      </c>
    </row>
    <row r="1447" spans="7:8">
      <c r="G1447" s="2" t="s">
        <v>1344</v>
      </c>
      <c r="H1447" s="2" t="s">
        <v>43</v>
      </c>
    </row>
    <row r="1448" spans="7:8">
      <c r="G1448" s="2" t="s">
        <v>1345</v>
      </c>
      <c r="H1448" s="2" t="s">
        <v>26</v>
      </c>
    </row>
    <row r="1449" spans="7:8">
      <c r="G1449" s="2" t="s">
        <v>1346</v>
      </c>
      <c r="H1449" s="2" t="s">
        <v>40</v>
      </c>
    </row>
    <row r="1450" spans="7:8">
      <c r="G1450" s="2" t="s">
        <v>1347</v>
      </c>
      <c r="H1450" s="2" t="s">
        <v>28</v>
      </c>
    </row>
    <row r="1451" spans="7:8">
      <c r="G1451" s="2" t="s">
        <v>1348</v>
      </c>
      <c r="H1451" s="2" t="s">
        <v>28</v>
      </c>
    </row>
    <row r="1452" spans="7:8">
      <c r="G1452" s="2" t="s">
        <v>1348</v>
      </c>
      <c r="H1452" s="2" t="s">
        <v>45</v>
      </c>
    </row>
    <row r="1453" spans="7:8">
      <c r="G1453" s="2" t="s">
        <v>1349</v>
      </c>
      <c r="H1453" s="2" t="s">
        <v>2</v>
      </c>
    </row>
    <row r="1454" spans="7:8">
      <c r="G1454" s="2" t="s">
        <v>1350</v>
      </c>
      <c r="H1454" s="2" t="s">
        <v>7</v>
      </c>
    </row>
    <row r="1455" spans="7:8">
      <c r="G1455" t="s">
        <v>1350</v>
      </c>
      <c r="H1455" s="6" t="s">
        <v>1271</v>
      </c>
    </row>
    <row r="1456" spans="7:8" ht="28.5">
      <c r="G1456" s="5" t="s">
        <v>1351</v>
      </c>
      <c r="H1456" s="2" t="s">
        <v>40</v>
      </c>
    </row>
    <row r="1457" spans="7:8" ht="28.5">
      <c r="G1457" s="5" t="s">
        <v>1351</v>
      </c>
      <c r="H1457" s="2" t="s">
        <v>7</v>
      </c>
    </row>
    <row r="1458" spans="7:8" ht="30">
      <c r="G1458" s="7" t="s">
        <v>1351</v>
      </c>
      <c r="H1458" s="6" t="s">
        <v>1271</v>
      </c>
    </row>
    <row r="1459" spans="7:8">
      <c r="G1459" s="2" t="s">
        <v>1352</v>
      </c>
      <c r="H1459" s="2" t="s">
        <v>26</v>
      </c>
    </row>
    <row r="1460" spans="7:8">
      <c r="G1460" s="2" t="s">
        <v>1353</v>
      </c>
      <c r="H1460" s="2" t="s">
        <v>26</v>
      </c>
    </row>
    <row r="1461" spans="7:8">
      <c r="G1461" t="s">
        <v>1354</v>
      </c>
      <c r="H1461" s="6" t="s">
        <v>87</v>
      </c>
    </row>
    <row r="1462" spans="7:8">
      <c r="G1462" s="2" t="s">
        <v>1355</v>
      </c>
      <c r="H1462" s="2" t="s">
        <v>21</v>
      </c>
    </row>
    <row r="1463" spans="7:8">
      <c r="G1463" s="2" t="s">
        <v>1356</v>
      </c>
      <c r="H1463" s="2" t="s">
        <v>26</v>
      </c>
    </row>
    <row r="1464" spans="7:8">
      <c r="G1464" t="s">
        <v>1356</v>
      </c>
      <c r="H1464" t="s">
        <v>26</v>
      </c>
    </row>
    <row r="1465" spans="7:8">
      <c r="G1465" s="2" t="s">
        <v>1357</v>
      </c>
      <c r="H1465" s="2" t="s">
        <v>26</v>
      </c>
    </row>
    <row r="1466" spans="7:8">
      <c r="G1466" s="2" t="s">
        <v>1358</v>
      </c>
      <c r="H1466" s="2" t="s">
        <v>26</v>
      </c>
    </row>
    <row r="1467" spans="7:8">
      <c r="G1467" s="2" t="s">
        <v>1359</v>
      </c>
      <c r="H1467" s="2" t="s">
        <v>26</v>
      </c>
    </row>
    <row r="1468" spans="7:8">
      <c r="G1468" s="2" t="s">
        <v>1360</v>
      </c>
      <c r="H1468" s="2" t="s">
        <v>26</v>
      </c>
    </row>
    <row r="1469" spans="7:8">
      <c r="G1469" s="2" t="s">
        <v>1361</v>
      </c>
      <c r="H1469" s="2" t="s">
        <v>26</v>
      </c>
    </row>
    <row r="1470" spans="7:8">
      <c r="G1470" s="2" t="s">
        <v>1362</v>
      </c>
      <c r="H1470" s="2" t="s">
        <v>26</v>
      </c>
    </row>
    <row r="1471" spans="7:8">
      <c r="G1471" s="2" t="s">
        <v>1363</v>
      </c>
      <c r="H1471" s="2" t="s">
        <v>26</v>
      </c>
    </row>
    <row r="1472" spans="7:8">
      <c r="G1472" s="2" t="s">
        <v>1364</v>
      </c>
      <c r="H1472" s="2" t="s">
        <v>26</v>
      </c>
    </row>
    <row r="1473" spans="7:8">
      <c r="G1473" s="2" t="s">
        <v>1365</v>
      </c>
      <c r="H1473" s="2" t="s">
        <v>26</v>
      </c>
    </row>
    <row r="1474" spans="7:8">
      <c r="G1474" s="2" t="s">
        <v>1366</v>
      </c>
      <c r="H1474" s="2" t="s">
        <v>26</v>
      </c>
    </row>
    <row r="1475" spans="7:8">
      <c r="G1475" s="2" t="s">
        <v>1367</v>
      </c>
      <c r="H1475" s="2" t="s">
        <v>26</v>
      </c>
    </row>
    <row r="1476" spans="7:8">
      <c r="G1476" s="2" t="s">
        <v>1368</v>
      </c>
      <c r="H1476" s="2" t="s">
        <v>26</v>
      </c>
    </row>
    <row r="1477" spans="7:8">
      <c r="G1477" s="2" t="s">
        <v>1369</v>
      </c>
      <c r="H1477" s="2" t="s">
        <v>21</v>
      </c>
    </row>
    <row r="1478" spans="7:8">
      <c r="G1478" s="2" t="s">
        <v>1370</v>
      </c>
      <c r="H1478" s="2" t="s">
        <v>28</v>
      </c>
    </row>
    <row r="1479" spans="7:8">
      <c r="G1479" t="s">
        <v>1371</v>
      </c>
      <c r="H1479" s="6" t="s">
        <v>26</v>
      </c>
    </row>
    <row r="1480" spans="7:8">
      <c r="G1480" s="2" t="s">
        <v>1372</v>
      </c>
      <c r="H1480" s="2" t="s">
        <v>26</v>
      </c>
    </row>
    <row r="1481" spans="7:8">
      <c r="G1481" s="2" t="s">
        <v>1373</v>
      </c>
      <c r="H1481" s="2" t="s">
        <v>48</v>
      </c>
    </row>
    <row r="1482" spans="7:8">
      <c r="G1482" s="2" t="s">
        <v>1374</v>
      </c>
      <c r="H1482" s="2" t="s">
        <v>48</v>
      </c>
    </row>
    <row r="1483" spans="7:8">
      <c r="G1483" s="2" t="s">
        <v>1375</v>
      </c>
      <c r="H1483" s="2" t="s">
        <v>26</v>
      </c>
    </row>
    <row r="1484" spans="7:8">
      <c r="G1484" s="2" t="s">
        <v>1376</v>
      </c>
      <c r="H1484" s="2" t="s">
        <v>9</v>
      </c>
    </row>
    <row r="1485" spans="7:8">
      <c r="G1485" s="2" t="s">
        <v>1377</v>
      </c>
      <c r="H1485" s="2" t="s">
        <v>21</v>
      </c>
    </row>
    <row r="1486" spans="7:8">
      <c r="G1486" s="2" t="s">
        <v>1378</v>
      </c>
      <c r="H1486" s="2" t="s">
        <v>26</v>
      </c>
    </row>
    <row r="1487" spans="7:8">
      <c r="G1487" s="2" t="s">
        <v>1379</v>
      </c>
      <c r="H1487" s="2" t="s">
        <v>21</v>
      </c>
    </row>
    <row r="1488" spans="7:8">
      <c r="G1488" s="2" t="s">
        <v>1380</v>
      </c>
      <c r="H1488" s="2" t="s">
        <v>26</v>
      </c>
    </row>
    <row r="1489" spans="7:8">
      <c r="G1489" s="2" t="s">
        <v>1381</v>
      </c>
      <c r="H1489" s="2" t="s">
        <v>26</v>
      </c>
    </row>
    <row r="1490" spans="7:8">
      <c r="G1490" s="2" t="s">
        <v>1382</v>
      </c>
      <c r="H1490" s="2" t="s">
        <v>1073</v>
      </c>
    </row>
    <row r="1491" spans="7:8">
      <c r="G1491" s="2" t="s">
        <v>1383</v>
      </c>
      <c r="H1491" s="2" t="s">
        <v>40</v>
      </c>
    </row>
    <row r="1492" spans="7:8">
      <c r="G1492" t="s">
        <v>1384</v>
      </c>
      <c r="H1492" t="s">
        <v>48</v>
      </c>
    </row>
    <row r="1493" spans="7:8">
      <c r="G1493" s="2" t="s">
        <v>1385</v>
      </c>
      <c r="H1493" s="2" t="s">
        <v>23</v>
      </c>
    </row>
    <row r="1494" spans="7:8">
      <c r="G1494" s="2" t="s">
        <v>1386</v>
      </c>
      <c r="H1494" s="2" t="s">
        <v>9</v>
      </c>
    </row>
    <row r="1495" spans="7:8">
      <c r="G1495" s="2" t="s">
        <v>1387</v>
      </c>
      <c r="H1495" s="2" t="s">
        <v>9</v>
      </c>
    </row>
    <row r="1496" spans="7:8">
      <c r="G1496" s="2" t="s">
        <v>1388</v>
      </c>
      <c r="H1496" s="2" t="s">
        <v>23</v>
      </c>
    </row>
    <row r="1497" spans="7:8">
      <c r="G1497" s="2" t="s">
        <v>1389</v>
      </c>
      <c r="H1497" s="2" t="s">
        <v>21</v>
      </c>
    </row>
    <row r="1498" spans="7:8">
      <c r="G1498" s="2" t="s">
        <v>1390</v>
      </c>
      <c r="H1498" s="2" t="s">
        <v>26</v>
      </c>
    </row>
    <row r="1499" spans="7:8">
      <c r="G1499" s="2" t="s">
        <v>1391</v>
      </c>
      <c r="H1499" s="2" t="s">
        <v>26</v>
      </c>
    </row>
    <row r="1500" spans="7:8">
      <c r="G1500" s="2" t="s">
        <v>1392</v>
      </c>
      <c r="H1500" s="2" t="s">
        <v>40</v>
      </c>
    </row>
    <row r="1501" spans="7:8">
      <c r="G1501" s="2" t="s">
        <v>1393</v>
      </c>
      <c r="H1501" s="2" t="s">
        <v>26</v>
      </c>
    </row>
    <row r="1502" spans="7:8">
      <c r="G1502" s="2" t="s">
        <v>1394</v>
      </c>
      <c r="H1502" s="2" t="s">
        <v>43</v>
      </c>
    </row>
    <row r="1503" spans="7:8">
      <c r="G1503" s="2" t="s">
        <v>1394</v>
      </c>
      <c r="H1503" s="2" t="s">
        <v>26</v>
      </c>
    </row>
    <row r="1504" spans="7:8">
      <c r="G1504" s="2" t="s">
        <v>1395</v>
      </c>
      <c r="H1504" s="2" t="s">
        <v>26</v>
      </c>
    </row>
    <row r="1505" spans="7:8">
      <c r="G1505" s="2" t="s">
        <v>1396</v>
      </c>
      <c r="H1505" s="2" t="s">
        <v>26</v>
      </c>
    </row>
    <row r="1506" spans="7:8">
      <c r="G1506" s="2" t="s">
        <v>1397</v>
      </c>
      <c r="H1506" s="2" t="s">
        <v>26</v>
      </c>
    </row>
    <row r="1507" spans="7:8">
      <c r="G1507" t="s">
        <v>1398</v>
      </c>
      <c r="H1507" s="6" t="s">
        <v>28</v>
      </c>
    </row>
    <row r="1508" spans="7:8">
      <c r="G1508" s="2" t="s">
        <v>1399</v>
      </c>
      <c r="H1508" s="2" t="s">
        <v>43</v>
      </c>
    </row>
    <row r="1509" spans="7:8">
      <c r="G1509" s="2" t="s">
        <v>1399</v>
      </c>
      <c r="H1509" s="2" t="s">
        <v>26</v>
      </c>
    </row>
    <row r="1510" spans="7:8">
      <c r="G1510" s="2" t="s">
        <v>1400</v>
      </c>
      <c r="H1510" s="2" t="s">
        <v>21</v>
      </c>
    </row>
    <row r="1511" spans="7:8">
      <c r="G1511" s="2" t="s">
        <v>1400</v>
      </c>
      <c r="H1511" s="2" t="s">
        <v>43</v>
      </c>
    </row>
    <row r="1512" spans="7:8">
      <c r="G1512" s="2" t="s">
        <v>1401</v>
      </c>
      <c r="H1512" s="2" t="s">
        <v>21</v>
      </c>
    </row>
    <row r="1513" spans="7:8">
      <c r="G1513" s="2" t="s">
        <v>1402</v>
      </c>
      <c r="H1513" s="2" t="s">
        <v>23</v>
      </c>
    </row>
    <row r="1514" spans="7:8">
      <c r="G1514" s="2" t="s">
        <v>1402</v>
      </c>
      <c r="H1514" s="2" t="s">
        <v>9</v>
      </c>
    </row>
    <row r="1515" spans="7:8">
      <c r="G1515" s="2" t="s">
        <v>1403</v>
      </c>
      <c r="H1515" s="2" t="s">
        <v>26</v>
      </c>
    </row>
    <row r="1516" spans="7:8">
      <c r="G1516" s="2" t="s">
        <v>1403</v>
      </c>
      <c r="H1516" s="2" t="s">
        <v>40</v>
      </c>
    </row>
    <row r="1517" spans="7:8">
      <c r="G1517" s="2" t="s">
        <v>1404</v>
      </c>
      <c r="H1517" s="2" t="s">
        <v>26</v>
      </c>
    </row>
    <row r="1518" spans="7:8">
      <c r="G1518" s="2" t="s">
        <v>1405</v>
      </c>
      <c r="H1518" s="2" t="s">
        <v>26</v>
      </c>
    </row>
    <row r="1519" spans="7:8">
      <c r="G1519" s="2" t="s">
        <v>1406</v>
      </c>
      <c r="H1519" s="2" t="s">
        <v>26</v>
      </c>
    </row>
    <row r="1520" spans="7:8">
      <c r="G1520" s="2" t="s">
        <v>1407</v>
      </c>
      <c r="H1520" s="2" t="s">
        <v>21</v>
      </c>
    </row>
    <row r="1521" spans="7:8">
      <c r="G1521" t="s">
        <v>1407</v>
      </c>
      <c r="H1521" s="6" t="s">
        <v>677</v>
      </c>
    </row>
    <row r="1522" spans="7:8">
      <c r="G1522" s="2" t="s">
        <v>1408</v>
      </c>
      <c r="H1522" s="2" t="s">
        <v>21</v>
      </c>
    </row>
    <row r="1523" spans="7:8">
      <c r="G1523" t="s">
        <v>1408</v>
      </c>
      <c r="H1523" s="6" t="s">
        <v>1073</v>
      </c>
    </row>
    <row r="1524" spans="7:8">
      <c r="G1524" t="s">
        <v>1409</v>
      </c>
      <c r="H1524" s="6" t="s">
        <v>1073</v>
      </c>
    </row>
    <row r="1525" spans="7:8">
      <c r="G1525" s="2" t="s">
        <v>1410</v>
      </c>
      <c r="H1525" s="2" t="s">
        <v>9</v>
      </c>
    </row>
    <row r="1526" spans="7:8">
      <c r="G1526" t="s">
        <v>1410</v>
      </c>
      <c r="H1526" s="6" t="s">
        <v>87</v>
      </c>
    </row>
    <row r="1527" spans="7:8">
      <c r="G1527" s="2" t="s">
        <v>1411</v>
      </c>
      <c r="H1527" s="2" t="s">
        <v>9</v>
      </c>
    </row>
    <row r="1528" spans="7:8">
      <c r="G1528" t="s">
        <v>1411</v>
      </c>
      <c r="H1528" s="6" t="s">
        <v>87</v>
      </c>
    </row>
    <row r="1529" spans="7:8">
      <c r="G1529" s="2" t="s">
        <v>1412</v>
      </c>
      <c r="H1529" s="2" t="s">
        <v>87</v>
      </c>
    </row>
    <row r="1530" spans="7:8">
      <c r="G1530" s="2" t="s">
        <v>1413</v>
      </c>
      <c r="H1530" s="2" t="s">
        <v>9</v>
      </c>
    </row>
    <row r="1531" spans="7:8">
      <c r="G1531" s="2" t="s">
        <v>1414</v>
      </c>
      <c r="H1531" s="2" t="s">
        <v>9</v>
      </c>
    </row>
    <row r="1532" spans="7:8">
      <c r="G1532" s="2" t="s">
        <v>1415</v>
      </c>
      <c r="H1532" s="2" t="s">
        <v>9</v>
      </c>
    </row>
    <row r="1533" spans="7:8">
      <c r="G1533" s="2" t="s">
        <v>1416</v>
      </c>
      <c r="H1533" s="2" t="s">
        <v>87</v>
      </c>
    </row>
    <row r="1534" spans="7:8">
      <c r="G1534" s="2" t="s">
        <v>1417</v>
      </c>
      <c r="H1534" s="2" t="s">
        <v>87</v>
      </c>
    </row>
    <row r="1535" spans="7:8">
      <c r="G1535" s="2" t="s">
        <v>1418</v>
      </c>
      <c r="H1535" s="2" t="s">
        <v>87</v>
      </c>
    </row>
    <row r="1536" spans="7:8">
      <c r="G1536" s="2" t="s">
        <v>1419</v>
      </c>
      <c r="H1536" s="2" t="s">
        <v>87</v>
      </c>
    </row>
    <row r="1537" spans="7:8">
      <c r="G1537" s="2" t="s">
        <v>1420</v>
      </c>
      <c r="H1537" s="2" t="s">
        <v>87</v>
      </c>
    </row>
    <row r="1538" spans="7:8">
      <c r="G1538" s="2" t="s">
        <v>1421</v>
      </c>
      <c r="H1538" s="2" t="s">
        <v>87</v>
      </c>
    </row>
    <row r="1539" spans="7:8">
      <c r="G1539" s="2" t="s">
        <v>1422</v>
      </c>
      <c r="H1539" s="2" t="s">
        <v>87</v>
      </c>
    </row>
    <row r="1540" spans="7:8">
      <c r="G1540" s="2" t="s">
        <v>1423</v>
      </c>
      <c r="H1540" s="2" t="s">
        <v>9</v>
      </c>
    </row>
    <row r="1541" spans="7:8">
      <c r="G1541" s="2" t="s">
        <v>1424</v>
      </c>
      <c r="H1541" s="2" t="s">
        <v>9</v>
      </c>
    </row>
    <row r="1542" spans="7:8">
      <c r="G1542" s="2" t="s">
        <v>1425</v>
      </c>
      <c r="H1542" s="2" t="s">
        <v>9</v>
      </c>
    </row>
    <row r="1543" spans="7:8">
      <c r="G1543" s="2" t="s">
        <v>1426</v>
      </c>
      <c r="H1543" s="2" t="s">
        <v>9</v>
      </c>
    </row>
    <row r="1544" spans="7:8">
      <c r="G1544" s="2" t="s">
        <v>1427</v>
      </c>
      <c r="H1544" s="2" t="s">
        <v>9</v>
      </c>
    </row>
    <row r="1545" spans="7:8">
      <c r="G1545" s="2" t="s">
        <v>1428</v>
      </c>
      <c r="H1545" s="2" t="s">
        <v>9</v>
      </c>
    </row>
    <row r="1546" spans="7:8">
      <c r="G1546" s="2" t="s">
        <v>1429</v>
      </c>
      <c r="H1546" s="2" t="s">
        <v>9</v>
      </c>
    </row>
    <row r="1547" spans="7:8">
      <c r="G1547" s="2" t="s">
        <v>1430</v>
      </c>
      <c r="H1547" s="2" t="s">
        <v>9</v>
      </c>
    </row>
    <row r="1548" spans="7:8">
      <c r="G1548" s="2" t="s">
        <v>1431</v>
      </c>
      <c r="H1548" s="2" t="s">
        <v>9</v>
      </c>
    </row>
    <row r="1549" spans="7:8">
      <c r="G1549" s="2" t="s">
        <v>1432</v>
      </c>
      <c r="H1549" s="2" t="s">
        <v>9</v>
      </c>
    </row>
    <row r="1550" spans="7:8">
      <c r="G1550" s="2" t="s">
        <v>1433</v>
      </c>
      <c r="H1550" s="2" t="s">
        <v>9</v>
      </c>
    </row>
    <row r="1551" spans="7:8">
      <c r="G1551" s="2" t="s">
        <v>1434</v>
      </c>
      <c r="H1551" s="2" t="s">
        <v>9</v>
      </c>
    </row>
    <row r="1552" spans="7:8">
      <c r="G1552" s="2" t="s">
        <v>1435</v>
      </c>
      <c r="H1552" s="2" t="s">
        <v>9</v>
      </c>
    </row>
    <row r="1553" spans="7:8">
      <c r="G1553" s="2" t="s">
        <v>1436</v>
      </c>
      <c r="H1553" s="2" t="s">
        <v>9</v>
      </c>
    </row>
    <row r="1554" spans="7:8">
      <c r="G1554" s="2" t="s">
        <v>1437</v>
      </c>
      <c r="H1554" s="2" t="s">
        <v>9</v>
      </c>
    </row>
    <row r="1555" spans="7:8">
      <c r="G1555" s="2" t="s">
        <v>1438</v>
      </c>
      <c r="H1555" s="2" t="s">
        <v>9</v>
      </c>
    </row>
    <row r="1556" spans="7:8">
      <c r="G1556" s="2" t="s">
        <v>1439</v>
      </c>
      <c r="H1556" s="2" t="s">
        <v>9</v>
      </c>
    </row>
    <row r="1557" spans="7:8">
      <c r="G1557" s="2" t="s">
        <v>1440</v>
      </c>
      <c r="H1557" s="2" t="s">
        <v>9</v>
      </c>
    </row>
    <row r="1558" spans="7:8">
      <c r="G1558" s="2" t="s">
        <v>1441</v>
      </c>
      <c r="H1558" s="2" t="s">
        <v>9</v>
      </c>
    </row>
    <row r="1559" spans="7:8">
      <c r="G1559" s="2" t="s">
        <v>1442</v>
      </c>
      <c r="H1559" s="2" t="s">
        <v>9</v>
      </c>
    </row>
    <row r="1560" spans="7:8">
      <c r="G1560" s="2" t="s">
        <v>1443</v>
      </c>
      <c r="H1560" s="2" t="s">
        <v>9</v>
      </c>
    </row>
    <row r="1561" spans="7:8">
      <c r="G1561" s="2" t="s">
        <v>1444</v>
      </c>
      <c r="H1561" s="2" t="s">
        <v>9</v>
      </c>
    </row>
    <row r="1562" spans="7:8">
      <c r="G1562" s="2" t="s">
        <v>1445</v>
      </c>
      <c r="H1562" s="2" t="s">
        <v>9</v>
      </c>
    </row>
    <row r="1563" spans="7:8">
      <c r="G1563" s="2" t="s">
        <v>1446</v>
      </c>
      <c r="H1563" s="2" t="s">
        <v>9</v>
      </c>
    </row>
    <row r="1564" spans="7:8">
      <c r="G1564" s="2" t="s">
        <v>1447</v>
      </c>
      <c r="H1564" s="2" t="s">
        <v>9</v>
      </c>
    </row>
    <row r="1565" spans="7:8">
      <c r="G1565" s="2" t="s">
        <v>1448</v>
      </c>
      <c r="H1565" s="2" t="s">
        <v>9</v>
      </c>
    </row>
    <row r="1566" spans="7:8">
      <c r="G1566" s="2" t="s">
        <v>1449</v>
      </c>
      <c r="H1566" s="2" t="s">
        <v>9</v>
      </c>
    </row>
    <row r="1567" spans="7:8">
      <c r="G1567" s="2" t="s">
        <v>1450</v>
      </c>
      <c r="H1567" s="2" t="s">
        <v>9</v>
      </c>
    </row>
    <row r="1568" spans="7:8">
      <c r="G1568" s="2" t="s">
        <v>1451</v>
      </c>
      <c r="H1568" s="2" t="s">
        <v>9</v>
      </c>
    </row>
    <row r="1569" spans="7:8">
      <c r="G1569" s="2" t="s">
        <v>1452</v>
      </c>
      <c r="H1569" s="2" t="s">
        <v>9</v>
      </c>
    </row>
    <row r="1570" spans="7:8">
      <c r="G1570" s="2" t="s">
        <v>1453</v>
      </c>
      <c r="H1570" s="2" t="s">
        <v>9</v>
      </c>
    </row>
    <row r="1571" spans="7:8">
      <c r="G1571" s="2" t="s">
        <v>1454</v>
      </c>
      <c r="H1571" s="2" t="s">
        <v>9</v>
      </c>
    </row>
    <row r="1572" spans="7:8">
      <c r="G1572" s="2" t="s">
        <v>1455</v>
      </c>
      <c r="H1572" s="2" t="s">
        <v>9</v>
      </c>
    </row>
    <row r="1573" spans="7:8">
      <c r="G1573" s="2" t="s">
        <v>1456</v>
      </c>
      <c r="H1573" s="2" t="s">
        <v>9</v>
      </c>
    </row>
    <row r="1574" spans="7:8">
      <c r="G1574" s="2" t="s">
        <v>1457</v>
      </c>
      <c r="H1574" s="2" t="s">
        <v>9</v>
      </c>
    </row>
    <row r="1575" spans="7:8">
      <c r="G1575" t="s">
        <v>1458</v>
      </c>
      <c r="H1575" s="2" t="s">
        <v>87</v>
      </c>
    </row>
    <row r="1576" spans="7:8">
      <c r="G1576" s="2" t="s">
        <v>1459</v>
      </c>
      <c r="H1576" s="2" t="s">
        <v>21</v>
      </c>
    </row>
    <row r="1577" spans="7:8">
      <c r="G1577" s="2" t="s">
        <v>1460</v>
      </c>
      <c r="H1577" s="2" t="s">
        <v>5</v>
      </c>
    </row>
    <row r="1578" spans="7:8">
      <c r="G1578" t="s">
        <v>1460</v>
      </c>
      <c r="H1578" s="2" t="s">
        <v>87</v>
      </c>
    </row>
    <row r="1579" spans="7:8">
      <c r="G1579" s="2" t="s">
        <v>1461</v>
      </c>
      <c r="H1579" s="2" t="s">
        <v>7</v>
      </c>
    </row>
    <row r="1580" spans="7:8">
      <c r="G1580" t="s">
        <v>1461</v>
      </c>
      <c r="H1580" s="6" t="s">
        <v>1271</v>
      </c>
    </row>
    <row r="1581" spans="7:8">
      <c r="G1581" t="s">
        <v>1462</v>
      </c>
      <c r="H1581" s="6" t="s">
        <v>1271</v>
      </c>
    </row>
    <row r="1582" spans="7:8">
      <c r="G1582" t="s">
        <v>1463</v>
      </c>
      <c r="H1582" s="6" t="s">
        <v>941</v>
      </c>
    </row>
    <row r="1583" spans="7:8">
      <c r="G1583" s="2" t="s">
        <v>1464</v>
      </c>
      <c r="H1583" s="2" t="s">
        <v>9</v>
      </c>
    </row>
    <row r="1584" spans="7:8">
      <c r="G1584" t="s">
        <v>1464</v>
      </c>
      <c r="H1584" s="6" t="s">
        <v>87</v>
      </c>
    </row>
    <row r="1585" spans="7:8">
      <c r="G1585" s="2" t="s">
        <v>1465</v>
      </c>
      <c r="H1585" s="2" t="s">
        <v>21</v>
      </c>
    </row>
    <row r="1586" spans="7:8">
      <c r="G1586" t="s">
        <v>1465</v>
      </c>
      <c r="H1586" s="6" t="s">
        <v>1073</v>
      </c>
    </row>
    <row r="1587" spans="7:8">
      <c r="G1587" s="2" t="s">
        <v>1466</v>
      </c>
      <c r="H1587" s="2" t="s">
        <v>31</v>
      </c>
    </row>
    <row r="1588" spans="7:8">
      <c r="G1588" t="s">
        <v>1466</v>
      </c>
      <c r="H1588" s="6" t="s">
        <v>1467</v>
      </c>
    </row>
    <row r="1589" spans="7:8">
      <c r="G1589" s="2" t="s">
        <v>1468</v>
      </c>
      <c r="H1589" s="2" t="s">
        <v>9</v>
      </c>
    </row>
    <row r="1590" spans="7:8">
      <c r="G1590" t="s">
        <v>1469</v>
      </c>
      <c r="H1590" s="6" t="s">
        <v>1271</v>
      </c>
    </row>
    <row r="1591" spans="7:8">
      <c r="G1591" s="2" t="s">
        <v>1470</v>
      </c>
      <c r="H1591" s="2" t="s">
        <v>7</v>
      </c>
    </row>
    <row r="1592" spans="7:8">
      <c r="G1592" t="s">
        <v>1470</v>
      </c>
      <c r="H1592" s="6" t="s">
        <v>1271</v>
      </c>
    </row>
    <row r="1593" spans="7:8">
      <c r="G1593" s="2" t="s">
        <v>1471</v>
      </c>
      <c r="H1593" s="2" t="s">
        <v>21</v>
      </c>
    </row>
    <row r="1594" spans="7:8">
      <c r="G1594" t="s">
        <v>1472</v>
      </c>
      <c r="H1594" s="6" t="s">
        <v>1073</v>
      </c>
    </row>
    <row r="1595" spans="7:8">
      <c r="G1595" t="s">
        <v>1473</v>
      </c>
      <c r="H1595" s="6" t="s">
        <v>1073</v>
      </c>
    </row>
    <row r="1596" spans="7:8">
      <c r="G1596" t="s">
        <v>1474</v>
      </c>
      <c r="H1596" s="6" t="s">
        <v>26</v>
      </c>
    </row>
    <row r="1597" spans="7:8">
      <c r="G1597" s="2" t="s">
        <v>1475</v>
      </c>
      <c r="H1597" s="2" t="s">
        <v>48</v>
      </c>
    </row>
    <row r="1598" spans="7:8">
      <c r="G1598" s="2" t="s">
        <v>1476</v>
      </c>
      <c r="H1598" s="2" t="s">
        <v>28</v>
      </c>
    </row>
    <row r="1599" spans="7:8">
      <c r="G1599" s="2" t="s">
        <v>1477</v>
      </c>
      <c r="H1599" s="2" t="s">
        <v>34</v>
      </c>
    </row>
    <row r="1600" spans="7:8">
      <c r="G1600" t="s">
        <v>1477</v>
      </c>
      <c r="H1600" s="6" t="s">
        <v>1478</v>
      </c>
    </row>
    <row r="1601" spans="7:8">
      <c r="G1601" s="2" t="s">
        <v>1479</v>
      </c>
      <c r="H1601" s="2" t="s">
        <v>40</v>
      </c>
    </row>
    <row r="1602" spans="7:8">
      <c r="G1602" s="2" t="s">
        <v>1479</v>
      </c>
      <c r="H1602" s="2" t="s">
        <v>34</v>
      </c>
    </row>
    <row r="1603" spans="7:8">
      <c r="G1603" t="s">
        <v>1480</v>
      </c>
      <c r="H1603" s="6" t="s">
        <v>1478</v>
      </c>
    </row>
    <row r="1604" spans="7:8">
      <c r="G1604" s="2" t="s">
        <v>1481</v>
      </c>
      <c r="H1604" s="2" t="s">
        <v>34</v>
      </c>
    </row>
    <row r="1605" spans="7:8">
      <c r="G1605" s="2" t="s">
        <v>1482</v>
      </c>
      <c r="H1605" s="2" t="s">
        <v>23</v>
      </c>
    </row>
    <row r="1606" spans="7:8">
      <c r="G1606" s="2" t="s">
        <v>1483</v>
      </c>
      <c r="H1606" s="2" t="s">
        <v>23</v>
      </c>
    </row>
    <row r="1607" spans="7:8">
      <c r="G1607" t="s">
        <v>1484</v>
      </c>
      <c r="H1607" s="6" t="s">
        <v>28</v>
      </c>
    </row>
    <row r="1608" spans="7:8">
      <c r="G1608" s="2" t="s">
        <v>1485</v>
      </c>
      <c r="H1608" s="2" t="s">
        <v>21</v>
      </c>
    </row>
    <row r="1609" spans="7:8">
      <c r="G1609" s="2" t="s">
        <v>1486</v>
      </c>
      <c r="H1609" s="2" t="s">
        <v>23</v>
      </c>
    </row>
    <row r="1610" spans="7:8">
      <c r="G1610" s="2" t="s">
        <v>1487</v>
      </c>
      <c r="H1610" s="2" t="s">
        <v>23</v>
      </c>
    </row>
    <row r="1611" spans="7:8">
      <c r="G1611" s="2" t="s">
        <v>1488</v>
      </c>
      <c r="H1611" s="2" t="s">
        <v>45</v>
      </c>
    </row>
    <row r="1612" spans="7:8">
      <c r="G1612" s="2" t="s">
        <v>1489</v>
      </c>
      <c r="H1612" s="2" t="s">
        <v>23</v>
      </c>
    </row>
    <row r="1613" spans="7:8">
      <c r="G1613" s="2" t="s">
        <v>1490</v>
      </c>
      <c r="H1613" s="2" t="s">
        <v>23</v>
      </c>
    </row>
    <row r="1614" spans="7:8">
      <c r="G1614" s="2" t="s">
        <v>1491</v>
      </c>
      <c r="H1614" s="2" t="s">
        <v>21</v>
      </c>
    </row>
    <row r="1615" spans="7:8">
      <c r="G1615" s="2" t="s">
        <v>1492</v>
      </c>
      <c r="H1615" s="2" t="s">
        <v>21</v>
      </c>
    </row>
    <row r="1616" spans="7:8">
      <c r="G1616" s="2" t="s">
        <v>1493</v>
      </c>
      <c r="H1616" s="2" t="s">
        <v>26</v>
      </c>
    </row>
    <row r="1617" spans="7:8">
      <c r="G1617" s="2" t="s">
        <v>1494</v>
      </c>
      <c r="H1617" s="2" t="s">
        <v>26</v>
      </c>
    </row>
    <row r="1618" spans="7:8">
      <c r="G1618" s="2" t="s">
        <v>1495</v>
      </c>
      <c r="H1618" s="2" t="s">
        <v>21</v>
      </c>
    </row>
    <row r="1619" spans="7:8">
      <c r="G1619" s="2" t="s">
        <v>1496</v>
      </c>
      <c r="H1619" s="2" t="s">
        <v>21</v>
      </c>
    </row>
    <row r="1620" spans="7:8">
      <c r="G1620" s="2" t="s">
        <v>1497</v>
      </c>
      <c r="H1620" s="2" t="s">
        <v>23</v>
      </c>
    </row>
    <row r="1621" spans="7:8">
      <c r="G1621" s="2" t="s">
        <v>1498</v>
      </c>
      <c r="H1621" s="2" t="s">
        <v>26</v>
      </c>
    </row>
    <row r="1622" spans="7:8">
      <c r="G1622" s="2" t="s">
        <v>1499</v>
      </c>
      <c r="H1622" s="2" t="s">
        <v>2</v>
      </c>
    </row>
    <row r="1623" spans="7:8">
      <c r="G1623" s="2" t="s">
        <v>1500</v>
      </c>
      <c r="H1623" s="2" t="s">
        <v>2</v>
      </c>
    </row>
    <row r="1624" spans="7:8">
      <c r="G1624" s="2" t="s">
        <v>1501</v>
      </c>
      <c r="H1624" s="2" t="s">
        <v>2</v>
      </c>
    </row>
    <row r="1625" spans="7:8">
      <c r="G1625" s="2" t="s">
        <v>1502</v>
      </c>
      <c r="H1625" s="2" t="s">
        <v>21</v>
      </c>
    </row>
    <row r="1626" spans="7:8">
      <c r="G1626" s="2" t="s">
        <v>1503</v>
      </c>
      <c r="H1626" s="2" t="s">
        <v>21</v>
      </c>
    </row>
    <row r="1627" spans="7:8">
      <c r="G1627" s="2" t="s">
        <v>1504</v>
      </c>
      <c r="H1627" s="2" t="s">
        <v>21</v>
      </c>
    </row>
    <row r="1628" spans="7:8">
      <c r="G1628" s="2" t="s">
        <v>1505</v>
      </c>
      <c r="H1628" s="2" t="s">
        <v>2</v>
      </c>
    </row>
    <row r="1629" spans="7:8">
      <c r="G1629" s="2" t="s">
        <v>1506</v>
      </c>
      <c r="H1629" s="2" t="s">
        <v>26</v>
      </c>
    </row>
    <row r="1630" spans="7:8">
      <c r="G1630" s="2" t="s">
        <v>1507</v>
      </c>
      <c r="H1630" s="2" t="s">
        <v>26</v>
      </c>
    </row>
    <row r="1631" spans="7:8">
      <c r="G1631" s="2" t="s">
        <v>1508</v>
      </c>
      <c r="H1631" s="2" t="s">
        <v>21</v>
      </c>
    </row>
    <row r="1632" spans="7:8">
      <c r="G1632" s="2" t="s">
        <v>1509</v>
      </c>
      <c r="H1632" s="2" t="s">
        <v>40</v>
      </c>
    </row>
    <row r="1633" spans="7:8">
      <c r="G1633" t="s">
        <v>1510</v>
      </c>
      <c r="H1633" s="6" t="s">
        <v>48</v>
      </c>
    </row>
    <row r="1634" spans="7:8">
      <c r="G1634" t="s">
        <v>1511</v>
      </c>
      <c r="H1634" s="6" t="s">
        <v>48</v>
      </c>
    </row>
    <row r="1635" spans="7:8">
      <c r="G1635" s="2" t="s">
        <v>1512</v>
      </c>
      <c r="H1635" s="2" t="s">
        <v>28</v>
      </c>
    </row>
    <row r="1636" spans="7:8">
      <c r="G1636" s="2" t="s">
        <v>1513</v>
      </c>
      <c r="H1636" s="2" t="s">
        <v>40</v>
      </c>
    </row>
    <row r="1637" spans="7:8" ht="28.5">
      <c r="G1637" s="5" t="s">
        <v>1514</v>
      </c>
      <c r="H1637" s="2" t="s">
        <v>40</v>
      </c>
    </row>
    <row r="1638" spans="7:8">
      <c r="G1638" s="2" t="s">
        <v>1515</v>
      </c>
      <c r="H1638" s="2" t="s">
        <v>40</v>
      </c>
    </row>
    <row r="1639" spans="7:8">
      <c r="G1639" s="2" t="s">
        <v>1516</v>
      </c>
      <c r="H1639" s="2" t="s">
        <v>40</v>
      </c>
    </row>
    <row r="1640" spans="7:8">
      <c r="G1640" s="2" t="s">
        <v>1517</v>
      </c>
      <c r="H1640" s="2" t="s">
        <v>40</v>
      </c>
    </row>
    <row r="1641" spans="7:8">
      <c r="G1641" s="2" t="s">
        <v>1518</v>
      </c>
      <c r="H1641" s="2" t="s">
        <v>40</v>
      </c>
    </row>
    <row r="1642" spans="7:8">
      <c r="G1642" s="2" t="s">
        <v>1519</v>
      </c>
      <c r="H1642" s="2" t="s">
        <v>40</v>
      </c>
    </row>
    <row r="1643" spans="7:8">
      <c r="G1643" s="2" t="s">
        <v>1520</v>
      </c>
      <c r="H1643" s="2" t="s">
        <v>40</v>
      </c>
    </row>
    <row r="1644" spans="7:8">
      <c r="G1644" s="2" t="s">
        <v>1521</v>
      </c>
      <c r="H1644" s="2" t="s">
        <v>40</v>
      </c>
    </row>
    <row r="1645" spans="7:8">
      <c r="G1645" s="2" t="s">
        <v>1522</v>
      </c>
      <c r="H1645" s="2" t="s">
        <v>21</v>
      </c>
    </row>
    <row r="1646" spans="7:8">
      <c r="G1646" s="2" t="s">
        <v>1523</v>
      </c>
      <c r="H1646" s="2" t="s">
        <v>21</v>
      </c>
    </row>
    <row r="1647" spans="7:8">
      <c r="G1647" s="2" t="s">
        <v>1524</v>
      </c>
      <c r="H1647" s="2" t="s">
        <v>9</v>
      </c>
    </row>
    <row r="1648" spans="7:8">
      <c r="G1648" t="s">
        <v>1524</v>
      </c>
      <c r="H1648" t="s">
        <v>5</v>
      </c>
    </row>
    <row r="1649" spans="7:8">
      <c r="G1649" s="2" t="s">
        <v>1525</v>
      </c>
      <c r="H1649" s="2" t="s">
        <v>69</v>
      </c>
    </row>
    <row r="1650" spans="7:8">
      <c r="G1650" s="2" t="s">
        <v>1525</v>
      </c>
      <c r="H1650" s="2" t="s">
        <v>9</v>
      </c>
    </row>
    <row r="1651" spans="7:8">
      <c r="G1651" s="2" t="s">
        <v>1526</v>
      </c>
      <c r="H1651" s="2" t="s">
        <v>50</v>
      </c>
    </row>
    <row r="1652" spans="7:8">
      <c r="G1652" s="2" t="s">
        <v>1527</v>
      </c>
      <c r="H1652" s="2" t="s">
        <v>26</v>
      </c>
    </row>
    <row r="1653" spans="7:8">
      <c r="G1653" s="2" t="s">
        <v>1528</v>
      </c>
      <c r="H1653" s="2" t="s">
        <v>48</v>
      </c>
    </row>
    <row r="1654" spans="7:8">
      <c r="G1654" s="2" t="s">
        <v>1529</v>
      </c>
      <c r="H1654" s="2" t="s">
        <v>48</v>
      </c>
    </row>
    <row r="1655" spans="7:8">
      <c r="G1655" s="2" t="s">
        <v>1530</v>
      </c>
      <c r="H1655" s="2" t="s">
        <v>21</v>
      </c>
    </row>
    <row r="1656" spans="7:8">
      <c r="G1656" s="2" t="s">
        <v>1531</v>
      </c>
      <c r="H1656" s="2" t="s">
        <v>26</v>
      </c>
    </row>
    <row r="1657" spans="7:8">
      <c r="G1657" s="2" t="s">
        <v>1532</v>
      </c>
      <c r="H1657" s="2" t="s">
        <v>26</v>
      </c>
    </row>
    <row r="1658" spans="7:8">
      <c r="G1658" s="2" t="s">
        <v>1533</v>
      </c>
      <c r="H1658" s="2" t="s">
        <v>26</v>
      </c>
    </row>
    <row r="1659" spans="7:8">
      <c r="G1659" s="2" t="s">
        <v>1534</v>
      </c>
      <c r="H1659" s="2" t="s">
        <v>26</v>
      </c>
    </row>
    <row r="1660" spans="7:8">
      <c r="G1660" s="2" t="s">
        <v>1535</v>
      </c>
      <c r="H1660" s="2" t="s">
        <v>26</v>
      </c>
    </row>
    <row r="1661" spans="7:8">
      <c r="G1661" s="2" t="s">
        <v>1536</v>
      </c>
      <c r="H1661" s="2" t="s">
        <v>9</v>
      </c>
    </row>
    <row r="1662" spans="7:8">
      <c r="G1662" s="2" t="s">
        <v>1537</v>
      </c>
      <c r="H1662" s="2" t="s">
        <v>26</v>
      </c>
    </row>
    <row r="1663" spans="7:8">
      <c r="G1663" s="2" t="s">
        <v>1538</v>
      </c>
      <c r="H1663" s="2" t="s">
        <v>40</v>
      </c>
    </row>
    <row r="1664" spans="7:8">
      <c r="G1664" s="2" t="s">
        <v>1539</v>
      </c>
      <c r="H1664" s="2" t="s">
        <v>40</v>
      </c>
    </row>
    <row r="1665" spans="7:8">
      <c r="G1665" s="2" t="s">
        <v>1540</v>
      </c>
      <c r="H1665" s="2" t="s">
        <v>26</v>
      </c>
    </row>
    <row r="1666" spans="7:8">
      <c r="G1666" s="2" t="s">
        <v>1541</v>
      </c>
      <c r="H1666" s="2" t="s">
        <v>21</v>
      </c>
    </row>
    <row r="1667" spans="7:8">
      <c r="G1667" s="2" t="s">
        <v>1542</v>
      </c>
      <c r="H1667" s="2" t="s">
        <v>21</v>
      </c>
    </row>
    <row r="1668" spans="7:8">
      <c r="G1668" s="2" t="s">
        <v>1543</v>
      </c>
      <c r="H1668" s="2" t="s">
        <v>21</v>
      </c>
    </row>
    <row r="1669" spans="7:8">
      <c r="G1669" s="2" t="s">
        <v>1544</v>
      </c>
      <c r="H1669" s="2" t="s">
        <v>21</v>
      </c>
    </row>
    <row r="1670" spans="7:8">
      <c r="G1670" t="s">
        <v>1545</v>
      </c>
      <c r="H1670" s="6" t="s">
        <v>1073</v>
      </c>
    </row>
    <row r="1671" spans="7:8">
      <c r="G1671" s="2" t="s">
        <v>1546</v>
      </c>
      <c r="H1671" s="2" t="s">
        <v>26</v>
      </c>
    </row>
    <row r="1672" spans="7:8">
      <c r="G1672" s="2" t="s">
        <v>1547</v>
      </c>
      <c r="H1672" s="2" t="s">
        <v>23</v>
      </c>
    </row>
    <row r="1673" spans="7:8">
      <c r="G1673" t="s">
        <v>1548</v>
      </c>
      <c r="H1673" t="s">
        <v>2</v>
      </c>
    </row>
    <row r="1674" spans="7:8">
      <c r="G1674" t="s">
        <v>1549</v>
      </c>
      <c r="H1674" s="6" t="s">
        <v>677</v>
      </c>
    </row>
    <row r="1675" spans="7:8">
      <c r="G1675" s="2" t="s">
        <v>1550</v>
      </c>
      <c r="H1675" s="2" t="s">
        <v>40</v>
      </c>
    </row>
    <row r="1676" spans="7:8">
      <c r="G1676" s="2" t="s">
        <v>1551</v>
      </c>
      <c r="H1676" s="2" t="s">
        <v>40</v>
      </c>
    </row>
    <row r="1677" spans="7:8">
      <c r="G1677" s="2" t="s">
        <v>1552</v>
      </c>
      <c r="H1677" s="2" t="s">
        <v>9</v>
      </c>
    </row>
    <row r="1678" spans="7:8">
      <c r="G1678" s="2" t="s">
        <v>1552</v>
      </c>
      <c r="H1678" s="2" t="s">
        <v>69</v>
      </c>
    </row>
    <row r="1679" spans="7:8">
      <c r="G1679" s="2" t="s">
        <v>1553</v>
      </c>
      <c r="H1679" s="2" t="s">
        <v>87</v>
      </c>
    </row>
    <row r="1680" spans="7:8">
      <c r="G1680" s="2" t="s">
        <v>1553</v>
      </c>
      <c r="H1680" s="2" t="s">
        <v>9</v>
      </c>
    </row>
    <row r="1681" spans="7:8">
      <c r="G1681" s="2" t="s">
        <v>1554</v>
      </c>
      <c r="H1681" s="2" t="s">
        <v>40</v>
      </c>
    </row>
    <row r="1682" spans="7:8">
      <c r="G1682" s="2" t="s">
        <v>1555</v>
      </c>
      <c r="H1682" s="2" t="s">
        <v>26</v>
      </c>
    </row>
    <row r="1683" spans="7:8">
      <c r="G1683" s="2" t="s">
        <v>1556</v>
      </c>
      <c r="H1683" s="2" t="s">
        <v>21</v>
      </c>
    </row>
    <row r="1684" spans="7:8">
      <c r="G1684" s="2" t="s">
        <v>1557</v>
      </c>
      <c r="H1684" s="2" t="s">
        <v>21</v>
      </c>
    </row>
    <row r="1685" spans="7:8">
      <c r="G1685" s="2" t="s">
        <v>1558</v>
      </c>
      <c r="H1685" s="2" t="s">
        <v>26</v>
      </c>
    </row>
    <row r="1686" spans="7:8">
      <c r="G1686" s="2" t="s">
        <v>1559</v>
      </c>
      <c r="H1686" s="2" t="s">
        <v>26</v>
      </c>
    </row>
    <row r="1687" spans="7:8">
      <c r="G1687" s="2" t="s">
        <v>1560</v>
      </c>
      <c r="H1687" s="2" t="s">
        <v>26</v>
      </c>
    </row>
    <row r="1688" spans="7:8">
      <c r="G1688" s="2" t="s">
        <v>1561</v>
      </c>
      <c r="H1688" s="2" t="s">
        <v>26</v>
      </c>
    </row>
    <row r="1689" spans="7:8">
      <c r="G1689" s="2" t="s">
        <v>1562</v>
      </c>
      <c r="H1689" s="2" t="s">
        <v>26</v>
      </c>
    </row>
    <row r="1690" spans="7:8">
      <c r="G1690" s="2" t="s">
        <v>1563</v>
      </c>
      <c r="H1690" s="2" t="s">
        <v>26</v>
      </c>
    </row>
    <row r="1691" spans="7:8">
      <c r="G1691" s="2" t="s">
        <v>1564</v>
      </c>
      <c r="H1691" s="2" t="s">
        <v>26</v>
      </c>
    </row>
    <row r="1692" spans="7:8">
      <c r="G1692" s="2" t="s">
        <v>1565</v>
      </c>
      <c r="H1692" s="2" t="s">
        <v>45</v>
      </c>
    </row>
    <row r="1693" spans="7:8">
      <c r="G1693" s="2" t="s">
        <v>1566</v>
      </c>
      <c r="H1693" s="2" t="s">
        <v>26</v>
      </c>
    </row>
    <row r="1694" spans="7:8">
      <c r="G1694" s="2" t="s">
        <v>1567</v>
      </c>
      <c r="H1694" s="2" t="s">
        <v>28</v>
      </c>
    </row>
    <row r="1695" spans="7:8">
      <c r="G1695" s="2" t="s">
        <v>1567</v>
      </c>
      <c r="H1695" s="2" t="s">
        <v>1073</v>
      </c>
    </row>
    <row r="1696" spans="7:8">
      <c r="G1696" s="2" t="s">
        <v>1568</v>
      </c>
      <c r="H1696" s="2" t="s">
        <v>26</v>
      </c>
    </row>
    <row r="1697" spans="7:8">
      <c r="G1697" s="2" t="s">
        <v>1569</v>
      </c>
      <c r="H1697" s="2" t="s">
        <v>40</v>
      </c>
    </row>
    <row r="1698" spans="7:8">
      <c r="G1698" s="2" t="s">
        <v>1569</v>
      </c>
      <c r="H1698" s="2" t="s">
        <v>26</v>
      </c>
    </row>
    <row r="1699" spans="7:8">
      <c r="G1699" s="2" t="s">
        <v>1570</v>
      </c>
      <c r="H1699" s="2" t="s">
        <v>40</v>
      </c>
    </row>
    <row r="1700" spans="7:8">
      <c r="G1700" s="2" t="s">
        <v>1571</v>
      </c>
      <c r="H1700" s="2" t="s">
        <v>26</v>
      </c>
    </row>
    <row r="1701" spans="7:8">
      <c r="G1701" s="2" t="s">
        <v>1572</v>
      </c>
      <c r="H1701" s="2" t="s">
        <v>1073</v>
      </c>
    </row>
    <row r="1702" spans="7:8">
      <c r="G1702" s="2" t="s">
        <v>1572</v>
      </c>
      <c r="H1702" s="2" t="s">
        <v>21</v>
      </c>
    </row>
    <row r="1703" spans="7:8">
      <c r="G1703" s="2" t="s">
        <v>1573</v>
      </c>
      <c r="H1703" s="2" t="s">
        <v>45</v>
      </c>
    </row>
    <row r="1704" spans="7:8">
      <c r="G1704" s="2" t="s">
        <v>1573</v>
      </c>
      <c r="H1704" s="2" t="s">
        <v>21</v>
      </c>
    </row>
    <row r="1705" spans="7:8">
      <c r="G1705" s="2" t="s">
        <v>1574</v>
      </c>
      <c r="H1705" s="2" t="s">
        <v>26</v>
      </c>
    </row>
    <row r="1706" spans="7:8">
      <c r="G1706" s="2" t="s">
        <v>1575</v>
      </c>
      <c r="H1706" s="2" t="s">
        <v>26</v>
      </c>
    </row>
    <row r="1707" spans="7:8">
      <c r="G1707" s="2" t="s">
        <v>1576</v>
      </c>
      <c r="H1707" s="2" t="s">
        <v>26</v>
      </c>
    </row>
    <row r="1708" spans="7:8">
      <c r="G1708" s="2" t="s">
        <v>1577</v>
      </c>
      <c r="H1708" s="2" t="s">
        <v>26</v>
      </c>
    </row>
    <row r="1709" spans="7:8">
      <c r="G1709" s="2" t="s">
        <v>1578</v>
      </c>
      <c r="H1709" s="2" t="s">
        <v>45</v>
      </c>
    </row>
    <row r="1710" spans="7:8">
      <c r="G1710" s="2" t="s">
        <v>1579</v>
      </c>
      <c r="H1710" s="2" t="s">
        <v>26</v>
      </c>
    </row>
    <row r="1711" spans="7:8">
      <c r="G1711" s="2" t="s">
        <v>1580</v>
      </c>
      <c r="H1711" s="2" t="s">
        <v>26</v>
      </c>
    </row>
    <row r="1712" spans="7:8">
      <c r="G1712" s="2" t="s">
        <v>1581</v>
      </c>
      <c r="H1712" s="2" t="s">
        <v>26</v>
      </c>
    </row>
    <row r="1713" spans="7:8">
      <c r="G1713" s="2" t="s">
        <v>1582</v>
      </c>
      <c r="H1713" s="2" t="s">
        <v>40</v>
      </c>
    </row>
    <row r="1714" spans="7:8">
      <c r="G1714" s="2" t="s">
        <v>1583</v>
      </c>
      <c r="H1714" s="2" t="s">
        <v>48</v>
      </c>
    </row>
    <row r="1715" spans="7:8">
      <c r="G1715" s="2" t="s">
        <v>1584</v>
      </c>
      <c r="H1715" s="2" t="s">
        <v>48</v>
      </c>
    </row>
    <row r="1716" spans="7:8">
      <c r="G1716" s="2" t="s">
        <v>1585</v>
      </c>
      <c r="H1716" s="2" t="s">
        <v>26</v>
      </c>
    </row>
    <row r="1717" spans="7:8">
      <c r="G1717" s="2" t="s">
        <v>1585</v>
      </c>
      <c r="H1717" s="2" t="s">
        <v>48</v>
      </c>
    </row>
    <row r="1718" spans="7:8">
      <c r="G1718" s="2" t="s">
        <v>1586</v>
      </c>
      <c r="H1718" s="2" t="s">
        <v>48</v>
      </c>
    </row>
    <row r="1719" spans="7:8">
      <c r="G1719" s="2" t="s">
        <v>1587</v>
      </c>
      <c r="H1719" s="2" t="s">
        <v>48</v>
      </c>
    </row>
    <row r="1720" spans="7:8">
      <c r="G1720" s="2" t="s">
        <v>1588</v>
      </c>
      <c r="H1720" s="2" t="s">
        <v>48</v>
      </c>
    </row>
    <row r="1721" spans="7:8">
      <c r="G1721" s="2" t="s">
        <v>1589</v>
      </c>
      <c r="H1721" s="2" t="s">
        <v>48</v>
      </c>
    </row>
    <row r="1722" spans="7:8">
      <c r="G1722" s="2" t="s">
        <v>1590</v>
      </c>
      <c r="H1722" s="2" t="s">
        <v>48</v>
      </c>
    </row>
    <row r="1723" spans="7:8">
      <c r="G1723" s="2" t="s">
        <v>1591</v>
      </c>
      <c r="H1723" s="2" t="s">
        <v>48</v>
      </c>
    </row>
    <row r="1724" spans="7:8">
      <c r="G1724" s="2" t="s">
        <v>1592</v>
      </c>
      <c r="H1724" s="2" t="s">
        <v>48</v>
      </c>
    </row>
    <row r="1725" spans="7:8">
      <c r="G1725" s="2" t="s">
        <v>1593</v>
      </c>
      <c r="H1725" s="2" t="s">
        <v>48</v>
      </c>
    </row>
    <row r="1726" spans="7:8">
      <c r="G1726" s="2" t="s">
        <v>1594</v>
      </c>
      <c r="H1726" s="2" t="s">
        <v>48</v>
      </c>
    </row>
    <row r="1727" spans="7:8">
      <c r="G1727" s="2" t="s">
        <v>1595</v>
      </c>
      <c r="H1727" s="2" t="s">
        <v>48</v>
      </c>
    </row>
    <row r="1728" spans="7:8">
      <c r="G1728" s="2" t="s">
        <v>1596</v>
      </c>
      <c r="H1728" s="2" t="s">
        <v>28</v>
      </c>
    </row>
    <row r="1729" spans="7:8">
      <c r="G1729" s="2" t="s">
        <v>1597</v>
      </c>
      <c r="H1729" s="2" t="s">
        <v>26</v>
      </c>
    </row>
    <row r="1730" spans="7:8">
      <c r="G1730" s="2" t="s">
        <v>1598</v>
      </c>
      <c r="H1730" s="2" t="s">
        <v>21</v>
      </c>
    </row>
    <row r="1731" spans="7:8">
      <c r="G1731" s="2" t="s">
        <v>1599</v>
      </c>
      <c r="H1731" s="2" t="s">
        <v>87</v>
      </c>
    </row>
    <row r="1732" spans="7:8">
      <c r="G1732" s="2" t="s">
        <v>1600</v>
      </c>
      <c r="H1732" s="2" t="s">
        <v>26</v>
      </c>
    </row>
    <row r="1733" spans="7:8">
      <c r="G1733" t="s">
        <v>1601</v>
      </c>
      <c r="H1733" s="6" t="s">
        <v>1073</v>
      </c>
    </row>
    <row r="1734" spans="7:8">
      <c r="G1734" s="2" t="s">
        <v>1602</v>
      </c>
      <c r="H1734" s="2" t="s">
        <v>26</v>
      </c>
    </row>
    <row r="1735" spans="7:8">
      <c r="G1735" s="2" t="s">
        <v>1603</v>
      </c>
      <c r="H1735" s="2" t="s">
        <v>26</v>
      </c>
    </row>
    <row r="1736" spans="7:8">
      <c r="G1736" s="2" t="s">
        <v>1604</v>
      </c>
      <c r="H1736" s="2" t="s">
        <v>23</v>
      </c>
    </row>
    <row r="1737" spans="7:8">
      <c r="G1737" s="2" t="s">
        <v>1605</v>
      </c>
      <c r="H1737" s="2" t="s">
        <v>26</v>
      </c>
    </row>
    <row r="1738" spans="7:8">
      <c r="G1738" s="2" t="s">
        <v>1605</v>
      </c>
      <c r="H1738" s="2" t="s">
        <v>26</v>
      </c>
    </row>
    <row r="1739" spans="7:8">
      <c r="G1739" s="2" t="s">
        <v>1606</v>
      </c>
      <c r="H1739" s="2" t="s">
        <v>9</v>
      </c>
    </row>
    <row r="1740" spans="7:8">
      <c r="G1740" s="2" t="s">
        <v>1607</v>
      </c>
      <c r="H1740" s="2" t="s">
        <v>21</v>
      </c>
    </row>
    <row r="1741" spans="7:8">
      <c r="G1741" s="2" t="s">
        <v>1608</v>
      </c>
      <c r="H1741" s="2" t="s">
        <v>21</v>
      </c>
    </row>
    <row r="1742" spans="7:8">
      <c r="G1742" s="2" t="s">
        <v>1609</v>
      </c>
      <c r="H1742" s="2" t="s">
        <v>43</v>
      </c>
    </row>
    <row r="1743" spans="7:8">
      <c r="G1743" s="2" t="s">
        <v>1610</v>
      </c>
      <c r="H1743" s="2" t="s">
        <v>43</v>
      </c>
    </row>
    <row r="1744" spans="7:8">
      <c r="G1744" s="2" t="s">
        <v>1611</v>
      </c>
      <c r="H1744" s="2" t="s">
        <v>26</v>
      </c>
    </row>
    <row r="1745" spans="7:8">
      <c r="G1745" s="2" t="s">
        <v>1612</v>
      </c>
      <c r="H1745" s="2" t="s">
        <v>26</v>
      </c>
    </row>
    <row r="1746" spans="7:8">
      <c r="G1746" t="s">
        <v>1613</v>
      </c>
      <c r="H1746" s="6" t="s">
        <v>926</v>
      </c>
    </row>
    <row r="1747" spans="7:8">
      <c r="G1747" s="2" t="s">
        <v>1614</v>
      </c>
      <c r="H1747" s="2" t="s">
        <v>28</v>
      </c>
    </row>
    <row r="1748" spans="7:8">
      <c r="G1748" s="2" t="s">
        <v>1615</v>
      </c>
      <c r="H1748" s="2" t="s">
        <v>16</v>
      </c>
    </row>
    <row r="1749" spans="7:8">
      <c r="G1749" s="2" t="s">
        <v>1616</v>
      </c>
      <c r="H1749" s="2" t="s">
        <v>26</v>
      </c>
    </row>
    <row r="1750" spans="7:8">
      <c r="G1750" s="2" t="s">
        <v>1617</v>
      </c>
      <c r="H1750" s="2" t="s">
        <v>21</v>
      </c>
    </row>
    <row r="1751" spans="7:8">
      <c r="G1751" s="2" t="s">
        <v>1618</v>
      </c>
      <c r="H1751" s="2" t="s">
        <v>43</v>
      </c>
    </row>
    <row r="1752" spans="7:8">
      <c r="G1752" s="2" t="s">
        <v>1619</v>
      </c>
      <c r="H1752" s="2" t="s">
        <v>21</v>
      </c>
    </row>
    <row r="1753" spans="7:8">
      <c r="G1753" s="2" t="s">
        <v>1620</v>
      </c>
      <c r="H1753" s="2" t="s">
        <v>21</v>
      </c>
    </row>
    <row r="1754" spans="7:8">
      <c r="G1754" t="s">
        <v>1621</v>
      </c>
      <c r="H1754" s="6" t="s">
        <v>1073</v>
      </c>
    </row>
    <row r="1755" spans="7:8">
      <c r="G1755" s="2" t="s">
        <v>1622</v>
      </c>
      <c r="H1755" s="2" t="s">
        <v>21</v>
      </c>
    </row>
    <row r="1756" spans="7:8">
      <c r="G1756" t="s">
        <v>1623</v>
      </c>
      <c r="H1756" s="6" t="s">
        <v>1073</v>
      </c>
    </row>
    <row r="1757" spans="7:8">
      <c r="G1757" s="2" t="s">
        <v>1624</v>
      </c>
      <c r="H1757" s="2" t="s">
        <v>21</v>
      </c>
    </row>
    <row r="1758" spans="7:8">
      <c r="G1758" s="2" t="s">
        <v>1625</v>
      </c>
      <c r="H1758" s="2" t="s">
        <v>21</v>
      </c>
    </row>
    <row r="1759" spans="7:8">
      <c r="G1759" s="2" t="s">
        <v>1626</v>
      </c>
      <c r="H1759" s="2" t="s">
        <v>21</v>
      </c>
    </row>
    <row r="1760" spans="7:8">
      <c r="G1760" s="2" t="s">
        <v>1627</v>
      </c>
      <c r="H1760" s="2" t="s">
        <v>26</v>
      </c>
    </row>
    <row r="1761" spans="7:8">
      <c r="G1761" t="s">
        <v>1628</v>
      </c>
      <c r="H1761" s="6" t="s">
        <v>926</v>
      </c>
    </row>
    <row r="1762" spans="7:8">
      <c r="G1762" s="2" t="s">
        <v>1629</v>
      </c>
      <c r="H1762" s="2" t="s">
        <v>87</v>
      </c>
    </row>
    <row r="1763" spans="7:8">
      <c r="G1763" s="2" t="s">
        <v>1629</v>
      </c>
      <c r="H1763" s="2" t="s">
        <v>9</v>
      </c>
    </row>
    <row r="1764" spans="7:8">
      <c r="G1764" s="2" t="s">
        <v>1630</v>
      </c>
      <c r="H1764" s="2" t="s">
        <v>9</v>
      </c>
    </row>
    <row r="1765" spans="7:8">
      <c r="G1765" s="2" t="s">
        <v>1631</v>
      </c>
      <c r="H1765" s="2" t="s">
        <v>9</v>
      </c>
    </row>
    <row r="1766" spans="7:8">
      <c r="G1766" s="2" t="s">
        <v>1632</v>
      </c>
      <c r="H1766" s="2" t="s">
        <v>9</v>
      </c>
    </row>
    <row r="1767" spans="7:8">
      <c r="G1767" s="2" t="s">
        <v>1633</v>
      </c>
      <c r="H1767" s="2" t="s">
        <v>9</v>
      </c>
    </row>
    <row r="1768" spans="7:8">
      <c r="G1768" s="2" t="s">
        <v>1633</v>
      </c>
      <c r="H1768" s="2" t="s">
        <v>87</v>
      </c>
    </row>
    <row r="1769" spans="7:8">
      <c r="G1769" s="2" t="s">
        <v>1634</v>
      </c>
      <c r="H1769" s="2" t="s">
        <v>9</v>
      </c>
    </row>
    <row r="1770" spans="7:8">
      <c r="G1770" s="2" t="s">
        <v>1635</v>
      </c>
      <c r="H1770" s="2" t="s">
        <v>9</v>
      </c>
    </row>
    <row r="1771" spans="7:8">
      <c r="G1771" s="2" t="s">
        <v>1635</v>
      </c>
      <c r="H1771" s="2" t="s">
        <v>87</v>
      </c>
    </row>
    <row r="1772" spans="7:8">
      <c r="G1772" s="2" t="s">
        <v>1636</v>
      </c>
      <c r="H1772" s="2" t="s">
        <v>9</v>
      </c>
    </row>
    <row r="1773" spans="7:8">
      <c r="G1773" s="2" t="s">
        <v>1636</v>
      </c>
      <c r="H1773" s="2" t="s">
        <v>87</v>
      </c>
    </row>
    <row r="1774" spans="7:8">
      <c r="G1774" s="2" t="s">
        <v>1637</v>
      </c>
      <c r="H1774" s="2" t="s">
        <v>9</v>
      </c>
    </row>
    <row r="1775" spans="7:8">
      <c r="G1775" s="2" t="s">
        <v>1638</v>
      </c>
      <c r="H1775" s="2" t="s">
        <v>69</v>
      </c>
    </row>
    <row r="1776" spans="7:8">
      <c r="G1776" s="2" t="s">
        <v>1638</v>
      </c>
      <c r="H1776" s="2" t="s">
        <v>9</v>
      </c>
    </row>
    <row r="1777" spans="7:8">
      <c r="G1777" s="2" t="s">
        <v>1639</v>
      </c>
      <c r="H1777" s="2" t="s">
        <v>16</v>
      </c>
    </row>
    <row r="1778" spans="7:8">
      <c r="G1778" s="2" t="s">
        <v>1640</v>
      </c>
      <c r="H1778" s="2" t="s">
        <v>16</v>
      </c>
    </row>
    <row r="1779" spans="7:8">
      <c r="G1779" s="2" t="s">
        <v>1641</v>
      </c>
      <c r="H1779" s="2" t="s">
        <v>16</v>
      </c>
    </row>
    <row r="1780" spans="7:8">
      <c r="G1780" s="2" t="s">
        <v>1641</v>
      </c>
      <c r="H1780" s="2" t="s">
        <v>9</v>
      </c>
    </row>
    <row r="1781" spans="7:8">
      <c r="G1781" s="2" t="s">
        <v>1642</v>
      </c>
      <c r="H1781" s="2" t="s">
        <v>16</v>
      </c>
    </row>
    <row r="1782" spans="7:8">
      <c r="G1782" s="2" t="s">
        <v>1642</v>
      </c>
      <c r="H1782" s="2" t="s">
        <v>9</v>
      </c>
    </row>
    <row r="1783" spans="7:8">
      <c r="G1783" s="2" t="s">
        <v>1643</v>
      </c>
      <c r="H1783" s="2" t="s">
        <v>16</v>
      </c>
    </row>
    <row r="1784" spans="7:8">
      <c r="G1784" s="2" t="s">
        <v>1644</v>
      </c>
      <c r="H1784" s="2" t="s">
        <v>16</v>
      </c>
    </row>
    <row r="1785" spans="7:8">
      <c r="G1785" s="2" t="s">
        <v>1645</v>
      </c>
      <c r="H1785" s="2" t="s">
        <v>16</v>
      </c>
    </row>
    <row r="1786" spans="7:8">
      <c r="G1786" s="2" t="s">
        <v>1646</v>
      </c>
      <c r="H1786" s="2" t="s">
        <v>16</v>
      </c>
    </row>
    <row r="1787" spans="7:8">
      <c r="G1787" s="2" t="s">
        <v>1647</v>
      </c>
      <c r="H1787" s="2" t="s">
        <v>699</v>
      </c>
    </row>
    <row r="1788" spans="7:8">
      <c r="G1788" s="2" t="s">
        <v>1648</v>
      </c>
      <c r="H1788" s="2" t="s">
        <v>9</v>
      </c>
    </row>
    <row r="1789" spans="7:8">
      <c r="G1789" s="2" t="s">
        <v>1649</v>
      </c>
      <c r="H1789" s="2" t="s">
        <v>40</v>
      </c>
    </row>
    <row r="1790" spans="7:8">
      <c r="G1790" s="2" t="s">
        <v>1649</v>
      </c>
      <c r="H1790" s="2" t="s">
        <v>699</v>
      </c>
    </row>
    <row r="1791" spans="7:8">
      <c r="G1791" s="2" t="s">
        <v>1650</v>
      </c>
      <c r="H1791" s="2" t="s">
        <v>23</v>
      </c>
    </row>
    <row r="1792" spans="7:8">
      <c r="G1792" s="2" t="s">
        <v>1651</v>
      </c>
      <c r="H1792" s="2" t="s">
        <v>21</v>
      </c>
    </row>
    <row r="1793" spans="7:8">
      <c r="G1793" s="2" t="s">
        <v>1652</v>
      </c>
      <c r="H1793" s="2" t="s">
        <v>40</v>
      </c>
    </row>
    <row r="1794" spans="7:8">
      <c r="G1794" s="2" t="s">
        <v>1653</v>
      </c>
      <c r="H1794" s="2" t="s">
        <v>2</v>
      </c>
    </row>
    <row r="1795" spans="7:8">
      <c r="G1795" s="2" t="s">
        <v>1654</v>
      </c>
      <c r="H1795" s="2" t="s">
        <v>21</v>
      </c>
    </row>
    <row r="1796" spans="7:8">
      <c r="G1796" s="2" t="s">
        <v>1655</v>
      </c>
      <c r="H1796" s="2" t="s">
        <v>28</v>
      </c>
    </row>
    <row r="1797" spans="7:8">
      <c r="G1797" s="2" t="s">
        <v>1656</v>
      </c>
      <c r="H1797" s="2" t="s">
        <v>28</v>
      </c>
    </row>
    <row r="1798" spans="7:8">
      <c r="G1798" s="2" t="s">
        <v>1657</v>
      </c>
      <c r="H1798" s="2" t="s">
        <v>28</v>
      </c>
    </row>
    <row r="1799" spans="7:8">
      <c r="G1799" s="2" t="s">
        <v>1658</v>
      </c>
      <c r="H1799" s="2" t="s">
        <v>28</v>
      </c>
    </row>
    <row r="1800" spans="7:8">
      <c r="G1800" s="2" t="s">
        <v>1659</v>
      </c>
      <c r="H1800" s="2" t="s">
        <v>28</v>
      </c>
    </row>
    <row r="1801" spans="7:8">
      <c r="G1801" s="2" t="s">
        <v>1660</v>
      </c>
      <c r="H1801" s="2" t="s">
        <v>28</v>
      </c>
    </row>
    <row r="1802" spans="7:8">
      <c r="G1802" s="2" t="s">
        <v>1661</v>
      </c>
      <c r="H1802" s="2" t="s">
        <v>28</v>
      </c>
    </row>
    <row r="1803" spans="7:8">
      <c r="G1803" s="2" t="s">
        <v>1662</v>
      </c>
      <c r="H1803" s="2" t="s">
        <v>28</v>
      </c>
    </row>
    <row r="1804" spans="7:8">
      <c r="G1804" s="2" t="s">
        <v>1663</v>
      </c>
      <c r="H1804" s="2" t="s">
        <v>26</v>
      </c>
    </row>
    <row r="1805" spans="7:8">
      <c r="G1805" s="2" t="s">
        <v>1664</v>
      </c>
      <c r="H1805" s="2" t="s">
        <v>45</v>
      </c>
    </row>
    <row r="1806" spans="7:8">
      <c r="G1806" s="2" t="s">
        <v>1664</v>
      </c>
      <c r="H1806" s="2" t="s">
        <v>21</v>
      </c>
    </row>
    <row r="1807" spans="7:8">
      <c r="G1807" t="s">
        <v>1665</v>
      </c>
      <c r="H1807" s="6" t="s">
        <v>45</v>
      </c>
    </row>
    <row r="1808" spans="7:8">
      <c r="G1808" s="2" t="s">
        <v>1666</v>
      </c>
      <c r="H1808" s="2" t="s">
        <v>40</v>
      </c>
    </row>
    <row r="1809" spans="7:8">
      <c r="G1809" s="2" t="s">
        <v>1667</v>
      </c>
      <c r="H1809" s="2" t="s">
        <v>26</v>
      </c>
    </row>
    <row r="1810" spans="7:8">
      <c r="G1810" t="s">
        <v>1668</v>
      </c>
      <c r="H1810" s="6" t="s">
        <v>1073</v>
      </c>
    </row>
    <row r="1811" spans="7:8">
      <c r="G1811" s="2" t="s">
        <v>1669</v>
      </c>
      <c r="H1811" s="2" t="s">
        <v>45</v>
      </c>
    </row>
    <row r="1812" spans="7:8">
      <c r="G1812" s="2" t="s">
        <v>1670</v>
      </c>
      <c r="H1812" s="2" t="s">
        <v>26</v>
      </c>
    </row>
    <row r="1813" spans="7:8">
      <c r="G1813" s="2" t="s">
        <v>1671</v>
      </c>
      <c r="H1813" s="2" t="s">
        <v>23</v>
      </c>
    </row>
    <row r="1814" spans="7:8">
      <c r="G1814" s="2" t="s">
        <v>1672</v>
      </c>
      <c r="H1814" s="2" t="s">
        <v>21</v>
      </c>
    </row>
    <row r="1815" spans="7:8">
      <c r="G1815" s="2" t="s">
        <v>1673</v>
      </c>
      <c r="H1815" s="2" t="s">
        <v>43</v>
      </c>
    </row>
    <row r="1816" spans="7:8">
      <c r="G1816" s="2" t="s">
        <v>1674</v>
      </c>
      <c r="H1816" s="2" t="s">
        <v>40</v>
      </c>
    </row>
    <row r="1817" spans="7:8">
      <c r="G1817" s="2" t="s">
        <v>1675</v>
      </c>
      <c r="H1817" s="2" t="s">
        <v>21</v>
      </c>
    </row>
    <row r="1818" spans="7:8">
      <c r="G1818" s="2" t="s">
        <v>1676</v>
      </c>
      <c r="H1818" s="2" t="s">
        <v>26</v>
      </c>
    </row>
    <row r="1819" spans="7:8">
      <c r="G1819" s="2" t="s">
        <v>1677</v>
      </c>
      <c r="H1819" s="2" t="s">
        <v>26</v>
      </c>
    </row>
    <row r="1820" spans="7:8">
      <c r="G1820" s="2" t="s">
        <v>1678</v>
      </c>
      <c r="H1820" s="2" t="s">
        <v>21</v>
      </c>
    </row>
    <row r="1821" spans="7:8">
      <c r="G1821" s="2" t="s">
        <v>1679</v>
      </c>
      <c r="H1821" s="2" t="s">
        <v>21</v>
      </c>
    </row>
    <row r="1822" spans="7:8">
      <c r="G1822" s="2" t="s">
        <v>1680</v>
      </c>
      <c r="H1822" s="2" t="s">
        <v>21</v>
      </c>
    </row>
    <row r="1823" spans="7:8">
      <c r="G1823" s="2" t="s">
        <v>1681</v>
      </c>
      <c r="H1823" s="2" t="s">
        <v>21</v>
      </c>
    </row>
    <row r="1824" spans="7:8">
      <c r="G1824" s="2" t="s">
        <v>1682</v>
      </c>
      <c r="H1824" s="2" t="s">
        <v>48</v>
      </c>
    </row>
    <row r="1825" spans="7:8">
      <c r="G1825" s="2" t="s">
        <v>1683</v>
      </c>
      <c r="H1825" s="2" t="s">
        <v>28</v>
      </c>
    </row>
    <row r="1826" spans="7:8">
      <c r="G1826" s="2" t="s">
        <v>1684</v>
      </c>
      <c r="H1826" s="2" t="s">
        <v>43</v>
      </c>
    </row>
    <row r="1827" spans="7:8">
      <c r="G1827" t="s">
        <v>1685</v>
      </c>
      <c r="H1827" s="2" t="s">
        <v>21</v>
      </c>
    </row>
    <row r="1828" spans="7:8">
      <c r="G1828" s="2" t="s">
        <v>1686</v>
      </c>
      <c r="H1828" s="2" t="s">
        <v>26</v>
      </c>
    </row>
    <row r="1829" spans="7:8">
      <c r="G1829" s="2" t="s">
        <v>1687</v>
      </c>
      <c r="H1829" s="2" t="s">
        <v>21</v>
      </c>
    </row>
    <row r="1830" spans="7:8">
      <c r="G1830" s="2" t="s">
        <v>1688</v>
      </c>
      <c r="H1830" s="2" t="s">
        <v>21</v>
      </c>
    </row>
    <row r="1831" spans="7:8">
      <c r="G1831" s="2" t="s">
        <v>1689</v>
      </c>
      <c r="H1831" s="2" t="s">
        <v>21</v>
      </c>
    </row>
    <row r="1832" spans="7:8">
      <c r="G1832" s="2" t="s">
        <v>1690</v>
      </c>
      <c r="H1832" s="2" t="s">
        <v>28</v>
      </c>
    </row>
    <row r="1833" spans="7:8">
      <c r="G1833" s="2" t="s">
        <v>1691</v>
      </c>
      <c r="H1833" s="2" t="s">
        <v>21</v>
      </c>
    </row>
    <row r="1834" spans="7:8">
      <c r="G1834" s="2" t="s">
        <v>1692</v>
      </c>
      <c r="H1834" s="2" t="s">
        <v>21</v>
      </c>
    </row>
    <row r="1835" spans="7:8">
      <c r="G1835" s="2" t="s">
        <v>1693</v>
      </c>
      <c r="H1835" s="2" t="s">
        <v>21</v>
      </c>
    </row>
    <row r="1836" spans="7:8">
      <c r="G1836" s="2" t="s">
        <v>1694</v>
      </c>
      <c r="H1836" s="2" t="s">
        <v>28</v>
      </c>
    </row>
    <row r="1837" spans="7:8">
      <c r="G1837" s="2" t="s">
        <v>1695</v>
      </c>
      <c r="H1837" s="2" t="s">
        <v>26</v>
      </c>
    </row>
    <row r="1838" spans="7:8">
      <c r="G1838" s="2" t="s">
        <v>1696</v>
      </c>
      <c r="H1838" s="2" t="s">
        <v>21</v>
      </c>
    </row>
    <row r="1839" spans="7:8">
      <c r="G1839" s="2" t="s">
        <v>1697</v>
      </c>
      <c r="H1839" s="2" t="s">
        <v>26</v>
      </c>
    </row>
    <row r="1840" spans="7:8">
      <c r="G1840" s="2" t="s">
        <v>1698</v>
      </c>
      <c r="H1840" s="2" t="s">
        <v>26</v>
      </c>
    </row>
    <row r="1841" spans="7:8">
      <c r="G1841" s="2" t="s">
        <v>1699</v>
      </c>
      <c r="H1841" s="2" t="s">
        <v>26</v>
      </c>
    </row>
    <row r="1842" spans="7:8">
      <c r="G1842" t="s">
        <v>1700</v>
      </c>
      <c r="H1842" s="2" t="s">
        <v>26</v>
      </c>
    </row>
    <row r="1843" spans="7:8">
      <c r="G1843" s="2" t="s">
        <v>1701</v>
      </c>
      <c r="H1843" s="2" t="s">
        <v>26</v>
      </c>
    </row>
    <row r="1844" spans="7:8">
      <c r="G1844" s="2" t="s">
        <v>1702</v>
      </c>
      <c r="H1844" s="2" t="s">
        <v>21</v>
      </c>
    </row>
    <row r="1845" spans="7:8">
      <c r="G1845" s="2" t="s">
        <v>1703</v>
      </c>
      <c r="H1845" s="2" t="s">
        <v>21</v>
      </c>
    </row>
    <row r="1846" spans="7:8">
      <c r="G1846" t="s">
        <v>1704</v>
      </c>
      <c r="H1846" s="2" t="s">
        <v>21</v>
      </c>
    </row>
    <row r="1847" spans="7:8">
      <c r="G1847" s="2" t="s">
        <v>1705</v>
      </c>
      <c r="H1847" s="2" t="s">
        <v>9</v>
      </c>
    </row>
    <row r="1848" spans="7:8">
      <c r="G1848" s="2" t="s">
        <v>1706</v>
      </c>
      <c r="H1848" s="2" t="s">
        <v>21</v>
      </c>
    </row>
    <row r="1849" spans="7:8">
      <c r="G1849" s="2" t="s">
        <v>1707</v>
      </c>
      <c r="H1849" s="2" t="s">
        <v>23</v>
      </c>
    </row>
    <row r="1850" spans="7:8">
      <c r="G1850" t="s">
        <v>1707</v>
      </c>
      <c r="H1850" s="6" t="s">
        <v>941</v>
      </c>
    </row>
    <row r="1851" spans="7:8">
      <c r="G1851" t="s">
        <v>1708</v>
      </c>
      <c r="H1851" s="6" t="s">
        <v>941</v>
      </c>
    </row>
    <row r="1852" spans="7:8">
      <c r="G1852" s="2" t="s">
        <v>1709</v>
      </c>
      <c r="H1852" s="2" t="s">
        <v>16</v>
      </c>
    </row>
    <row r="1853" spans="7:8">
      <c r="G1853" t="s">
        <v>1710</v>
      </c>
      <c r="H1853" s="6" t="s">
        <v>87</v>
      </c>
    </row>
    <row r="1854" spans="7:8">
      <c r="G1854" s="2" t="s">
        <v>1711</v>
      </c>
      <c r="H1854" s="2" t="s">
        <v>26</v>
      </c>
    </row>
    <row r="1855" spans="7:8">
      <c r="G1855" s="2" t="s">
        <v>1712</v>
      </c>
      <c r="H1855" s="2" t="s">
        <v>9</v>
      </c>
    </row>
    <row r="1856" spans="7:8">
      <c r="G1856" s="2" t="s">
        <v>1713</v>
      </c>
      <c r="H1856" s="2" t="s">
        <v>9</v>
      </c>
    </row>
    <row r="1857" spans="7:8" ht="28.5">
      <c r="G1857" s="5" t="s">
        <v>1714</v>
      </c>
      <c r="H1857" s="2" t="s">
        <v>26</v>
      </c>
    </row>
    <row r="1858" spans="7:8">
      <c r="G1858" s="2" t="s">
        <v>1715</v>
      </c>
      <c r="H1858" s="2" t="s">
        <v>21</v>
      </c>
    </row>
    <row r="1859" spans="7:8">
      <c r="G1859" s="2" t="s">
        <v>1716</v>
      </c>
      <c r="H1859" s="2" t="s">
        <v>26</v>
      </c>
    </row>
    <row r="1860" spans="7:8">
      <c r="G1860" t="s">
        <v>1717</v>
      </c>
      <c r="H1860" s="2" t="s">
        <v>26</v>
      </c>
    </row>
    <row r="1861" spans="7:8">
      <c r="G1861" s="2" t="s">
        <v>1718</v>
      </c>
      <c r="H1861" s="2" t="s">
        <v>26</v>
      </c>
    </row>
    <row r="1862" spans="7:8">
      <c r="G1862" s="2" t="s">
        <v>1719</v>
      </c>
      <c r="H1862" s="2" t="s">
        <v>28</v>
      </c>
    </row>
    <row r="1863" spans="7:8">
      <c r="G1863" s="2" t="s">
        <v>1719</v>
      </c>
      <c r="H1863" s="2" t="s">
        <v>26</v>
      </c>
    </row>
    <row r="1864" spans="7:8">
      <c r="G1864" s="2" t="s">
        <v>1720</v>
      </c>
      <c r="H1864" s="2" t="s">
        <v>26</v>
      </c>
    </row>
    <row r="1865" spans="7:8">
      <c r="G1865" s="2" t="s">
        <v>1721</v>
      </c>
      <c r="H1865" s="2" t="s">
        <v>26</v>
      </c>
    </row>
    <row r="1866" spans="7:8">
      <c r="G1866" s="2" t="s">
        <v>1722</v>
      </c>
      <c r="H1866" s="2" t="s">
        <v>40</v>
      </c>
    </row>
    <row r="1867" spans="7:8">
      <c r="G1867" s="2" t="s">
        <v>1723</v>
      </c>
      <c r="H1867" s="2" t="s">
        <v>40</v>
      </c>
    </row>
    <row r="1868" spans="7:8">
      <c r="G1868" s="2" t="s">
        <v>1724</v>
      </c>
      <c r="H1868" s="2" t="s">
        <v>26</v>
      </c>
    </row>
    <row r="1869" spans="7:8">
      <c r="G1869" s="2" t="s">
        <v>1725</v>
      </c>
      <c r="H1869" s="2" t="s">
        <v>26</v>
      </c>
    </row>
    <row r="1870" spans="7:8">
      <c r="G1870" s="2" t="s">
        <v>1726</v>
      </c>
      <c r="H1870" s="2" t="s">
        <v>26</v>
      </c>
    </row>
    <row r="1871" spans="7:8">
      <c r="G1871" t="s">
        <v>1727</v>
      </c>
      <c r="H1871" s="2" t="s">
        <v>26</v>
      </c>
    </row>
    <row r="1872" spans="7:8">
      <c r="G1872" t="s">
        <v>1728</v>
      </c>
      <c r="H1872" s="2" t="s">
        <v>26</v>
      </c>
    </row>
    <row r="1873" spans="7:8">
      <c r="G1873" s="2" t="s">
        <v>1729</v>
      </c>
      <c r="H1873" s="2" t="s">
        <v>26</v>
      </c>
    </row>
    <row r="1874" spans="7:8">
      <c r="G1874" s="2" t="s">
        <v>1730</v>
      </c>
      <c r="H1874" s="2" t="s">
        <v>26</v>
      </c>
    </row>
    <row r="1875" spans="7:8">
      <c r="G1875" s="2" t="s">
        <v>1731</v>
      </c>
      <c r="H1875" s="2" t="s">
        <v>26</v>
      </c>
    </row>
    <row r="1876" spans="7:8">
      <c r="G1876" s="2" t="s">
        <v>1732</v>
      </c>
      <c r="H1876" s="2" t="s">
        <v>21</v>
      </c>
    </row>
    <row r="1877" spans="7:8">
      <c r="G1877" s="2" t="s">
        <v>1733</v>
      </c>
      <c r="H1877" s="2" t="s">
        <v>26</v>
      </c>
    </row>
    <row r="1878" spans="7:8">
      <c r="G1878" s="2" t="s">
        <v>1734</v>
      </c>
      <c r="H1878" s="2" t="s">
        <v>26</v>
      </c>
    </row>
    <row r="1879" spans="7:8">
      <c r="G1879" s="2" t="s">
        <v>1735</v>
      </c>
      <c r="H1879" s="2" t="s">
        <v>26</v>
      </c>
    </row>
    <row r="1880" spans="7:8">
      <c r="G1880" s="2" t="s">
        <v>1736</v>
      </c>
      <c r="H1880" s="2" t="s">
        <v>26</v>
      </c>
    </row>
    <row r="1881" spans="7:8">
      <c r="G1881" s="2" t="s">
        <v>1737</v>
      </c>
      <c r="H1881" s="2" t="s">
        <v>26</v>
      </c>
    </row>
    <row r="1882" spans="7:8">
      <c r="G1882" s="2" t="s">
        <v>1738</v>
      </c>
      <c r="H1882" s="2" t="s">
        <v>26</v>
      </c>
    </row>
    <row r="1883" spans="7:8">
      <c r="G1883" s="2" t="s">
        <v>1739</v>
      </c>
      <c r="H1883" s="2" t="s">
        <v>26</v>
      </c>
    </row>
    <row r="1884" spans="7:8">
      <c r="G1884" s="2" t="s">
        <v>1740</v>
      </c>
      <c r="H1884" s="2" t="s">
        <v>26</v>
      </c>
    </row>
    <row r="1885" spans="7:8">
      <c r="G1885" t="s">
        <v>1741</v>
      </c>
      <c r="H1885" s="2" t="s">
        <v>26</v>
      </c>
    </row>
    <row r="1886" spans="7:8">
      <c r="G1886" s="2" t="s">
        <v>1742</v>
      </c>
      <c r="H1886" s="2" t="s">
        <v>26</v>
      </c>
    </row>
    <row r="1887" spans="7:8">
      <c r="G1887" t="s">
        <v>1743</v>
      </c>
      <c r="H1887" s="6" t="s">
        <v>26</v>
      </c>
    </row>
    <row r="1888" spans="7:8">
      <c r="G1888" s="2" t="s">
        <v>1744</v>
      </c>
      <c r="H1888" s="2" t="s">
        <v>21</v>
      </c>
    </row>
    <row r="1889" spans="7:8">
      <c r="G1889" s="2" t="s">
        <v>1745</v>
      </c>
      <c r="H1889" s="2" t="s">
        <v>26</v>
      </c>
    </row>
    <row r="1890" spans="7:8">
      <c r="G1890" t="s">
        <v>1746</v>
      </c>
      <c r="H1890" s="6" t="s">
        <v>21</v>
      </c>
    </row>
    <row r="1891" spans="7:8">
      <c r="G1891" s="2" t="s">
        <v>1747</v>
      </c>
      <c r="H1891" s="2" t="s">
        <v>26</v>
      </c>
    </row>
    <row r="1892" spans="7:8">
      <c r="G1892" s="2" t="s">
        <v>1748</v>
      </c>
      <c r="H1892" s="2" t="s">
        <v>26</v>
      </c>
    </row>
    <row r="1893" spans="7:8">
      <c r="G1893" s="2" t="s">
        <v>1749</v>
      </c>
      <c r="H1893" s="2" t="s">
        <v>26</v>
      </c>
    </row>
    <row r="1894" spans="7:8">
      <c r="G1894" s="2" t="s">
        <v>1750</v>
      </c>
      <c r="H1894" s="2" t="s">
        <v>26</v>
      </c>
    </row>
    <row r="1895" spans="7:8">
      <c r="G1895" s="2" t="s">
        <v>1751</v>
      </c>
      <c r="H1895" s="2" t="s">
        <v>26</v>
      </c>
    </row>
    <row r="1896" spans="7:8">
      <c r="G1896" s="2" t="s">
        <v>1752</v>
      </c>
      <c r="H1896" s="2" t="s">
        <v>26</v>
      </c>
    </row>
    <row r="1897" spans="7:8">
      <c r="G1897" s="2" t="s">
        <v>1753</v>
      </c>
      <c r="H1897" s="2" t="s">
        <v>48</v>
      </c>
    </row>
    <row r="1898" spans="7:8">
      <c r="G1898" s="2" t="s">
        <v>1754</v>
      </c>
      <c r="H1898" s="2" t="s">
        <v>48</v>
      </c>
    </row>
    <row r="1899" spans="7:8">
      <c r="G1899" s="2" t="s">
        <v>1755</v>
      </c>
      <c r="H1899" s="2" t="s">
        <v>21</v>
      </c>
    </row>
    <row r="1900" spans="7:8">
      <c r="G1900" t="s">
        <v>1756</v>
      </c>
      <c r="H1900" t="s">
        <v>43</v>
      </c>
    </row>
    <row r="1901" spans="7:8">
      <c r="G1901" s="2" t="s">
        <v>1757</v>
      </c>
      <c r="H1901" s="2" t="s">
        <v>21</v>
      </c>
    </row>
    <row r="1902" spans="7:8">
      <c r="G1902" s="2" t="s">
        <v>1758</v>
      </c>
      <c r="H1902" s="2" t="s">
        <v>26</v>
      </c>
    </row>
    <row r="1903" spans="7:8">
      <c r="G1903" s="2" t="s">
        <v>1759</v>
      </c>
      <c r="H1903" s="2" t="s">
        <v>2</v>
      </c>
    </row>
    <row r="1904" spans="7:8">
      <c r="G1904" s="2" t="s">
        <v>1760</v>
      </c>
      <c r="H1904" s="2" t="s">
        <v>26</v>
      </c>
    </row>
    <row r="1905" spans="7:8">
      <c r="G1905" s="2" t="s">
        <v>1761</v>
      </c>
      <c r="H1905" s="2" t="s">
        <v>21</v>
      </c>
    </row>
    <row r="1906" spans="7:8">
      <c r="G1906" s="2" t="s">
        <v>1762</v>
      </c>
      <c r="H1906" s="2" t="s">
        <v>26</v>
      </c>
    </row>
    <row r="1907" spans="7:8">
      <c r="G1907" s="2" t="s">
        <v>1763</v>
      </c>
      <c r="H1907" s="2" t="s">
        <v>26</v>
      </c>
    </row>
    <row r="1908" spans="7:8">
      <c r="G1908" s="2" t="s">
        <v>1764</v>
      </c>
      <c r="H1908" s="2" t="s">
        <v>26</v>
      </c>
    </row>
    <row r="1909" spans="7:8">
      <c r="G1909" s="2" t="s">
        <v>1764</v>
      </c>
      <c r="H1909" s="2" t="s">
        <v>26</v>
      </c>
    </row>
    <row r="1910" spans="7:8">
      <c r="G1910" s="2" t="s">
        <v>1765</v>
      </c>
      <c r="H1910" s="2" t="s">
        <v>26</v>
      </c>
    </row>
    <row r="1911" spans="7:8">
      <c r="G1911" s="2" t="s">
        <v>1766</v>
      </c>
      <c r="H1911" s="2" t="s">
        <v>26</v>
      </c>
    </row>
    <row r="1912" spans="7:8">
      <c r="G1912" s="2" t="s">
        <v>1767</v>
      </c>
      <c r="H1912" s="2" t="s">
        <v>21</v>
      </c>
    </row>
    <row r="1913" spans="7:8">
      <c r="G1913" s="2" t="s">
        <v>1768</v>
      </c>
      <c r="H1913" s="2" t="s">
        <v>9</v>
      </c>
    </row>
    <row r="1914" spans="7:8">
      <c r="G1914" s="2" t="s">
        <v>1769</v>
      </c>
      <c r="H1914" s="2" t="s">
        <v>28</v>
      </c>
    </row>
    <row r="1915" spans="7:8">
      <c r="G1915" s="2" t="s">
        <v>1770</v>
      </c>
      <c r="H1915" s="2" t="s">
        <v>28</v>
      </c>
    </row>
    <row r="1916" spans="7:8">
      <c r="G1916" t="s">
        <v>1771</v>
      </c>
      <c r="H1916" s="6" t="s">
        <v>40</v>
      </c>
    </row>
    <row r="1917" spans="7:8">
      <c r="G1917" s="2" t="s">
        <v>1772</v>
      </c>
      <c r="H1917" s="2" t="s">
        <v>21</v>
      </c>
    </row>
    <row r="1918" spans="7:8">
      <c r="G1918" s="2" t="s">
        <v>1773</v>
      </c>
      <c r="H1918" s="2" t="s">
        <v>26</v>
      </c>
    </row>
    <row r="1919" spans="7:8">
      <c r="G1919" s="2" t="s">
        <v>1774</v>
      </c>
      <c r="H1919" s="2" t="s">
        <v>69</v>
      </c>
    </row>
    <row r="1920" spans="7:8">
      <c r="G1920" s="2" t="s">
        <v>1774</v>
      </c>
      <c r="H1920" s="2" t="s">
        <v>9</v>
      </c>
    </row>
    <row r="1921" spans="7:8">
      <c r="G1921" s="2" t="s">
        <v>1774</v>
      </c>
      <c r="H1921" s="2" t="s">
        <v>26</v>
      </c>
    </row>
    <row r="1922" spans="7:8">
      <c r="G1922" s="2" t="s">
        <v>1775</v>
      </c>
      <c r="H1922" s="2" t="s">
        <v>28</v>
      </c>
    </row>
    <row r="1923" spans="7:8">
      <c r="G1923" s="2" t="s">
        <v>1776</v>
      </c>
      <c r="H1923" s="2" t="s">
        <v>43</v>
      </c>
    </row>
    <row r="1924" spans="7:8">
      <c r="G1924" s="2" t="s">
        <v>1776</v>
      </c>
      <c r="H1924" s="2" t="s">
        <v>40</v>
      </c>
    </row>
    <row r="1925" spans="7:8">
      <c r="G1925" s="2" t="s">
        <v>1777</v>
      </c>
      <c r="H1925" s="2" t="s">
        <v>23</v>
      </c>
    </row>
    <row r="1926" spans="7:8">
      <c r="G1926" s="2" t="s">
        <v>1778</v>
      </c>
      <c r="H1926" s="2" t="s">
        <v>26</v>
      </c>
    </row>
    <row r="1927" spans="7:8">
      <c r="G1927" s="2" t="s">
        <v>1779</v>
      </c>
      <c r="H1927" s="2" t="s">
        <v>28</v>
      </c>
    </row>
    <row r="1928" spans="7:8">
      <c r="G1928" s="2" t="s">
        <v>1780</v>
      </c>
      <c r="H1928" s="2" t="s">
        <v>40</v>
      </c>
    </row>
    <row r="1929" spans="7:8">
      <c r="G1929" s="2" t="s">
        <v>1781</v>
      </c>
      <c r="H1929" s="2" t="s">
        <v>21</v>
      </c>
    </row>
    <row r="1930" spans="7:8">
      <c r="G1930" t="s">
        <v>1782</v>
      </c>
      <c r="H1930" s="6" t="s">
        <v>21</v>
      </c>
    </row>
    <row r="1931" spans="7:8">
      <c r="G1931" s="2" t="s">
        <v>1783</v>
      </c>
      <c r="H1931" s="2" t="s">
        <v>26</v>
      </c>
    </row>
    <row r="1932" spans="7:8">
      <c r="G1932" s="2" t="s">
        <v>1783</v>
      </c>
      <c r="H1932" s="2" t="s">
        <v>26</v>
      </c>
    </row>
    <row r="1933" spans="7:8">
      <c r="G1933" t="s">
        <v>1784</v>
      </c>
      <c r="H1933" s="2" t="s">
        <v>26</v>
      </c>
    </row>
    <row r="1934" spans="7:8">
      <c r="G1934" s="2" t="s">
        <v>1785</v>
      </c>
      <c r="H1934" s="2" t="s">
        <v>21</v>
      </c>
    </row>
    <row r="1935" spans="7:8">
      <c r="G1935" s="2" t="s">
        <v>1786</v>
      </c>
      <c r="H1935" s="2" t="s">
        <v>69</v>
      </c>
    </row>
    <row r="1936" spans="7:8">
      <c r="G1936" s="2" t="s">
        <v>1786</v>
      </c>
      <c r="H1936" s="2" t="s">
        <v>9</v>
      </c>
    </row>
    <row r="1937" spans="7:8">
      <c r="G1937" s="2" t="s">
        <v>1786</v>
      </c>
      <c r="H1937" s="2" t="s">
        <v>9</v>
      </c>
    </row>
    <row r="1938" spans="7:8">
      <c r="G1938" s="2" t="s">
        <v>1787</v>
      </c>
      <c r="H1938" s="2" t="s">
        <v>40</v>
      </c>
    </row>
    <row r="1939" spans="7:8">
      <c r="G1939" s="2" t="s">
        <v>1788</v>
      </c>
      <c r="H1939" s="2" t="s">
        <v>26</v>
      </c>
    </row>
    <row r="1940" spans="7:8">
      <c r="G1940" s="2" t="s">
        <v>1789</v>
      </c>
      <c r="H1940" s="2" t="s">
        <v>28</v>
      </c>
    </row>
    <row r="1941" spans="7:8">
      <c r="G1941" s="2" t="s">
        <v>1790</v>
      </c>
      <c r="H1941" s="2" t="s">
        <v>43</v>
      </c>
    </row>
    <row r="1942" spans="7:8">
      <c r="G1942" s="2" t="s">
        <v>1791</v>
      </c>
      <c r="H1942" s="2" t="s">
        <v>23</v>
      </c>
    </row>
    <row r="1943" spans="7:8">
      <c r="G1943" s="2" t="s">
        <v>1792</v>
      </c>
      <c r="H1943" s="2" t="s">
        <v>28</v>
      </c>
    </row>
    <row r="1944" spans="7:8">
      <c r="G1944" s="2" t="s">
        <v>1793</v>
      </c>
      <c r="H1944" s="2" t="s">
        <v>21</v>
      </c>
    </row>
    <row r="1945" spans="7:8">
      <c r="G1945" s="2" t="s">
        <v>1794</v>
      </c>
      <c r="H1945" s="2" t="s">
        <v>26</v>
      </c>
    </row>
    <row r="1946" spans="7:8">
      <c r="G1946" t="s">
        <v>1795</v>
      </c>
      <c r="H1946" s="6" t="s">
        <v>21</v>
      </c>
    </row>
    <row r="1947" spans="7:8">
      <c r="G1947" t="s">
        <v>1796</v>
      </c>
      <c r="H1947" s="6" t="s">
        <v>26</v>
      </c>
    </row>
    <row r="1948" spans="7:8">
      <c r="G1948" s="2" t="s">
        <v>1797</v>
      </c>
      <c r="H1948" s="2" t="s">
        <v>9</v>
      </c>
    </row>
    <row r="1949" spans="7:8">
      <c r="G1949" s="2" t="s">
        <v>1798</v>
      </c>
      <c r="H1949" s="2" t="s">
        <v>9</v>
      </c>
    </row>
    <row r="1950" spans="7:8">
      <c r="G1950" s="2" t="s">
        <v>1798</v>
      </c>
      <c r="H1950" s="2" t="s">
        <v>64</v>
      </c>
    </row>
    <row r="1951" spans="7:8">
      <c r="G1951" t="s">
        <v>1798</v>
      </c>
      <c r="H1951" t="s">
        <v>64</v>
      </c>
    </row>
    <row r="1952" spans="7:8">
      <c r="G1952" s="2" t="s">
        <v>1799</v>
      </c>
      <c r="H1952" s="2" t="s">
        <v>64</v>
      </c>
    </row>
    <row r="1953" spans="7:8">
      <c r="G1953" s="2" t="s">
        <v>1800</v>
      </c>
      <c r="H1953" s="2" t="s">
        <v>64</v>
      </c>
    </row>
    <row r="1954" spans="7:8">
      <c r="G1954" s="2" t="s">
        <v>1801</v>
      </c>
      <c r="H1954" s="2" t="s">
        <v>64</v>
      </c>
    </row>
    <row r="1955" spans="7:8">
      <c r="G1955" s="2" t="s">
        <v>1802</v>
      </c>
      <c r="H1955" s="2" t="s">
        <v>64</v>
      </c>
    </row>
    <row r="1956" spans="7:8">
      <c r="G1956" s="2" t="s">
        <v>1803</v>
      </c>
      <c r="H1956" s="2" t="s">
        <v>9</v>
      </c>
    </row>
    <row r="1957" spans="7:8">
      <c r="G1957" s="2" t="s">
        <v>1804</v>
      </c>
      <c r="H1957" s="2" t="s">
        <v>64</v>
      </c>
    </row>
    <row r="1958" spans="7:8">
      <c r="G1958" s="2" t="s">
        <v>1805</v>
      </c>
      <c r="H1958" s="2" t="s">
        <v>64</v>
      </c>
    </row>
    <row r="1959" spans="7:8">
      <c r="G1959" s="2" t="s">
        <v>1806</v>
      </c>
      <c r="H1959" s="2" t="s">
        <v>9</v>
      </c>
    </row>
    <row r="1960" spans="7:8">
      <c r="G1960" s="2" t="s">
        <v>1807</v>
      </c>
      <c r="H1960" s="2" t="s">
        <v>64</v>
      </c>
    </row>
    <row r="1961" spans="7:8">
      <c r="G1961" s="2" t="s">
        <v>1808</v>
      </c>
      <c r="H1961" s="2" t="s">
        <v>64</v>
      </c>
    </row>
    <row r="1962" spans="7:8">
      <c r="G1962" s="2" t="s">
        <v>1809</v>
      </c>
      <c r="H1962" s="2" t="s">
        <v>9</v>
      </c>
    </row>
    <row r="1963" spans="7:8">
      <c r="G1963" s="2" t="s">
        <v>1810</v>
      </c>
      <c r="H1963" s="2" t="s">
        <v>9</v>
      </c>
    </row>
    <row r="1964" spans="7:8">
      <c r="G1964" t="s">
        <v>1810</v>
      </c>
      <c r="H1964" t="s">
        <v>64</v>
      </c>
    </row>
    <row r="1965" spans="7:8">
      <c r="G1965" s="2" t="s">
        <v>1811</v>
      </c>
      <c r="H1965" s="2" t="s">
        <v>9</v>
      </c>
    </row>
    <row r="1966" spans="7:8">
      <c r="G1966" s="2" t="s">
        <v>1812</v>
      </c>
      <c r="H1966" s="2" t="s">
        <v>9</v>
      </c>
    </row>
    <row r="1967" spans="7:8">
      <c r="G1967" s="2" t="s">
        <v>1813</v>
      </c>
      <c r="H1967" s="2" t="s">
        <v>28</v>
      </c>
    </row>
    <row r="1968" spans="7:8">
      <c r="G1968" t="s">
        <v>1814</v>
      </c>
      <c r="H1968" s="6" t="s">
        <v>26</v>
      </c>
    </row>
    <row r="1969" spans="7:8">
      <c r="G1969" s="2" t="s">
        <v>31</v>
      </c>
      <c r="H1969" s="2" t="s">
        <v>31</v>
      </c>
    </row>
    <row r="1970" spans="7:8">
      <c r="G1970" t="s">
        <v>31</v>
      </c>
      <c r="H1970" s="6" t="s">
        <v>1467</v>
      </c>
    </row>
    <row r="1971" spans="7:8">
      <c r="G1971" t="s">
        <v>1815</v>
      </c>
      <c r="H1971" s="6" t="s">
        <v>1467</v>
      </c>
    </row>
    <row r="1972" spans="7:8">
      <c r="G1972" t="s">
        <v>1816</v>
      </c>
      <c r="H1972" s="6" t="s">
        <v>1467</v>
      </c>
    </row>
    <row r="1973" spans="7:8">
      <c r="G1973" s="2" t="s">
        <v>1817</v>
      </c>
      <c r="H1973" s="6" t="s">
        <v>1467</v>
      </c>
    </row>
    <row r="1974" spans="7:8">
      <c r="G1974" s="2" t="s">
        <v>1818</v>
      </c>
      <c r="H1974" s="6" t="s">
        <v>1467</v>
      </c>
    </row>
    <row r="1975" spans="7:8">
      <c r="G1975" s="2" t="s">
        <v>1819</v>
      </c>
      <c r="H1975" s="2" t="s">
        <v>9</v>
      </c>
    </row>
    <row r="1976" spans="7:8">
      <c r="G1976" s="2" t="s">
        <v>1820</v>
      </c>
      <c r="H1976" s="2" t="s">
        <v>54</v>
      </c>
    </row>
    <row r="1977" spans="7:8">
      <c r="G1977" s="2" t="s">
        <v>1821</v>
      </c>
      <c r="H1977" s="2" t="s">
        <v>26</v>
      </c>
    </row>
    <row r="1978" spans="7:8">
      <c r="G1978" s="2" t="s">
        <v>1822</v>
      </c>
      <c r="H1978" s="2" t="s">
        <v>26</v>
      </c>
    </row>
    <row r="1979" spans="7:8">
      <c r="G1979" s="2" t="s">
        <v>1823</v>
      </c>
      <c r="H1979" s="2" t="s">
        <v>26</v>
      </c>
    </row>
    <row r="1980" spans="7:8">
      <c r="G1980" s="2" t="s">
        <v>1824</v>
      </c>
      <c r="H1980" s="2" t="s">
        <v>9</v>
      </c>
    </row>
    <row r="1981" spans="7:8">
      <c r="G1981" s="2" t="s">
        <v>1825</v>
      </c>
      <c r="H1981" s="2" t="s">
        <v>29</v>
      </c>
    </row>
    <row r="1982" spans="7:8">
      <c r="G1982" s="2" t="s">
        <v>1826</v>
      </c>
      <c r="H1982" s="2" t="s">
        <v>26</v>
      </c>
    </row>
    <row r="1983" spans="7:8">
      <c r="G1983" s="2" t="s">
        <v>1827</v>
      </c>
      <c r="H1983" s="2" t="s">
        <v>28</v>
      </c>
    </row>
    <row r="1984" spans="7:8">
      <c r="G1984" s="2" t="s">
        <v>1828</v>
      </c>
      <c r="H1984" s="2" t="s">
        <v>26</v>
      </c>
    </row>
    <row r="1985" spans="7:8">
      <c r="G1985" s="2" t="s">
        <v>1829</v>
      </c>
      <c r="H1985" s="2" t="s">
        <v>26</v>
      </c>
    </row>
    <row r="1986" spans="7:8">
      <c r="G1986" s="2" t="s">
        <v>1830</v>
      </c>
      <c r="H1986" s="2" t="s">
        <v>26</v>
      </c>
    </row>
    <row r="1987" spans="7:8">
      <c r="G1987" s="2" t="s">
        <v>1831</v>
      </c>
      <c r="H1987" s="2" t="s">
        <v>26</v>
      </c>
    </row>
    <row r="1988" spans="7:8">
      <c r="G1988" s="2" t="s">
        <v>1832</v>
      </c>
      <c r="H1988" s="2" t="s">
        <v>26</v>
      </c>
    </row>
    <row r="1989" spans="7:8">
      <c r="G1989" s="2" t="s">
        <v>1833</v>
      </c>
      <c r="H1989" s="2" t="s">
        <v>26</v>
      </c>
    </row>
    <row r="1990" spans="7:8">
      <c r="G1990" s="2" t="s">
        <v>1834</v>
      </c>
      <c r="H1990" s="2" t="s">
        <v>57</v>
      </c>
    </row>
    <row r="1991" spans="7:8">
      <c r="G1991" s="2" t="s">
        <v>1835</v>
      </c>
      <c r="H1991" s="2" t="s">
        <v>87</v>
      </c>
    </row>
    <row r="1992" spans="7:8">
      <c r="G1992" s="2" t="s">
        <v>1835</v>
      </c>
      <c r="H1992" s="2" t="s">
        <v>9</v>
      </c>
    </row>
    <row r="1993" spans="7:8">
      <c r="G1993" s="2" t="s">
        <v>1836</v>
      </c>
      <c r="H1993" s="2" t="s">
        <v>63</v>
      </c>
    </row>
    <row r="1994" spans="7:8">
      <c r="G1994" s="2" t="s">
        <v>1837</v>
      </c>
      <c r="H1994" s="2" t="s">
        <v>57</v>
      </c>
    </row>
    <row r="1995" spans="7:8">
      <c r="G1995" s="2" t="s">
        <v>1838</v>
      </c>
      <c r="H1995" s="2" t="s">
        <v>9</v>
      </c>
    </row>
    <row r="1996" spans="7:8">
      <c r="G1996" t="s">
        <v>1839</v>
      </c>
      <c r="H1996" s="6" t="s">
        <v>1840</v>
      </c>
    </row>
    <row r="1997" spans="7:8">
      <c r="G1997" s="2" t="s">
        <v>1841</v>
      </c>
      <c r="H1997" s="2" t="s">
        <v>26</v>
      </c>
    </row>
    <row r="1998" spans="7:8">
      <c r="G1998" s="2" t="s">
        <v>1842</v>
      </c>
      <c r="H1998" s="2" t="s">
        <v>43</v>
      </c>
    </row>
    <row r="1999" spans="7:8">
      <c r="G1999" t="s">
        <v>1843</v>
      </c>
      <c r="H1999" s="6" t="s">
        <v>1073</v>
      </c>
    </row>
    <row r="2000" spans="7:8">
      <c r="G2000" s="2" t="s">
        <v>1844</v>
      </c>
      <c r="H2000" s="2" t="s">
        <v>21</v>
      </c>
    </row>
    <row r="2001" spans="7:8">
      <c r="G2001" s="2" t="s">
        <v>1845</v>
      </c>
      <c r="H2001" s="2" t="s">
        <v>26</v>
      </c>
    </row>
    <row r="2002" spans="7:8">
      <c r="G2002" t="s">
        <v>1846</v>
      </c>
      <c r="H2002" s="6" t="s">
        <v>1073</v>
      </c>
    </row>
    <row r="2003" spans="7:8">
      <c r="G2003" s="2" t="s">
        <v>1847</v>
      </c>
      <c r="H2003" s="2" t="s">
        <v>21</v>
      </c>
    </row>
    <row r="2004" spans="7:8">
      <c r="G2004" s="2" t="s">
        <v>1848</v>
      </c>
      <c r="H2004" s="2" t="s">
        <v>21</v>
      </c>
    </row>
    <row r="2005" spans="7:8">
      <c r="G2005" s="2" t="s">
        <v>1849</v>
      </c>
      <c r="H2005" s="2" t="s">
        <v>2</v>
      </c>
    </row>
    <row r="2006" spans="7:8">
      <c r="G2006" t="s">
        <v>1849</v>
      </c>
      <c r="H2006" s="2" t="s">
        <v>2</v>
      </c>
    </row>
    <row r="2007" spans="7:8">
      <c r="G2007" t="s">
        <v>1850</v>
      </c>
      <c r="H2007" s="2" t="s">
        <v>2</v>
      </c>
    </row>
    <row r="2008" spans="7:8">
      <c r="G2008" t="s">
        <v>1851</v>
      </c>
      <c r="H2008" s="2" t="s">
        <v>2</v>
      </c>
    </row>
    <row r="2009" spans="7:8">
      <c r="G2009" s="2" t="s">
        <v>1852</v>
      </c>
      <c r="H2009" s="2" t="s">
        <v>26</v>
      </c>
    </row>
    <row r="2010" spans="7:8">
      <c r="G2010" s="2" t="s">
        <v>1853</v>
      </c>
      <c r="H2010" s="2" t="s">
        <v>9</v>
      </c>
    </row>
    <row r="2011" spans="7:8">
      <c r="G2011" t="s">
        <v>1854</v>
      </c>
      <c r="H2011" s="6" t="s">
        <v>1073</v>
      </c>
    </row>
    <row r="2012" spans="7:8">
      <c r="G2012" s="2" t="s">
        <v>1855</v>
      </c>
      <c r="H2012" s="2" t="s">
        <v>26</v>
      </c>
    </row>
    <row r="2013" spans="7:8">
      <c r="G2013" s="2" t="s">
        <v>1855</v>
      </c>
      <c r="H2013" s="2" t="s">
        <v>26</v>
      </c>
    </row>
    <row r="2014" spans="7:8">
      <c r="G2014" t="s">
        <v>1855</v>
      </c>
      <c r="H2014" s="6" t="s">
        <v>26</v>
      </c>
    </row>
    <row r="2015" spans="7:8">
      <c r="G2015" s="2" t="s">
        <v>1856</v>
      </c>
      <c r="H2015" s="2" t="s">
        <v>26</v>
      </c>
    </row>
    <row r="2016" spans="7:8">
      <c r="G2016" s="2" t="s">
        <v>1857</v>
      </c>
      <c r="H2016" s="2" t="s">
        <v>21</v>
      </c>
    </row>
    <row r="2017" spans="7:8">
      <c r="G2017" s="2" t="s">
        <v>1858</v>
      </c>
      <c r="H2017" s="2" t="s">
        <v>26</v>
      </c>
    </row>
    <row r="2018" spans="7:8">
      <c r="G2018" s="2" t="s">
        <v>1859</v>
      </c>
      <c r="H2018" s="2" t="s">
        <v>29</v>
      </c>
    </row>
    <row r="2019" spans="7:8">
      <c r="G2019" s="2" t="s">
        <v>1859</v>
      </c>
      <c r="H2019" s="2" t="s">
        <v>21</v>
      </c>
    </row>
    <row r="2020" spans="7:8">
      <c r="G2020" s="2" t="s">
        <v>1860</v>
      </c>
      <c r="H2020" s="6" t="s">
        <v>26</v>
      </c>
    </row>
    <row r="2021" spans="7:8">
      <c r="G2021" t="s">
        <v>1861</v>
      </c>
      <c r="H2021" s="6" t="s">
        <v>26</v>
      </c>
    </row>
    <row r="2022" spans="7:8">
      <c r="G2022" s="2" t="s">
        <v>1862</v>
      </c>
      <c r="H2022" s="2" t="s">
        <v>21</v>
      </c>
    </row>
    <row r="2023" spans="7:8">
      <c r="G2023" s="2" t="s">
        <v>1863</v>
      </c>
      <c r="H2023" s="2" t="s">
        <v>26</v>
      </c>
    </row>
    <row r="2024" spans="7:8">
      <c r="G2024" s="2" t="s">
        <v>1864</v>
      </c>
      <c r="H2024" s="2" t="s">
        <v>26</v>
      </c>
    </row>
    <row r="2025" spans="7:8">
      <c r="G2025" s="2" t="s">
        <v>1865</v>
      </c>
      <c r="H2025" s="2" t="s">
        <v>21</v>
      </c>
    </row>
    <row r="2026" spans="7:8">
      <c r="G2026" s="2" t="s">
        <v>1866</v>
      </c>
      <c r="H2026" s="2" t="s">
        <v>21</v>
      </c>
    </row>
    <row r="2027" spans="7:8">
      <c r="G2027" s="2" t="s">
        <v>1867</v>
      </c>
      <c r="H2027" s="2" t="s">
        <v>40</v>
      </c>
    </row>
    <row r="2028" spans="7:8">
      <c r="G2028" s="2" t="s">
        <v>1868</v>
      </c>
      <c r="H2028" s="2" t="s">
        <v>21</v>
      </c>
    </row>
    <row r="2029" spans="7:8">
      <c r="G2029" s="2" t="s">
        <v>1869</v>
      </c>
      <c r="H2029" s="2" t="s">
        <v>26</v>
      </c>
    </row>
    <row r="2030" spans="7:8">
      <c r="G2030" s="2" t="s">
        <v>1870</v>
      </c>
      <c r="H2030" s="2" t="s">
        <v>21</v>
      </c>
    </row>
    <row r="2031" spans="7:8">
      <c r="G2031" s="2" t="s">
        <v>1871</v>
      </c>
      <c r="H2031" s="2" t="s">
        <v>2</v>
      </c>
    </row>
    <row r="2032" spans="7:8">
      <c r="G2032" s="2" t="s">
        <v>1872</v>
      </c>
      <c r="H2032" s="2" t="s">
        <v>50</v>
      </c>
    </row>
    <row r="2033" spans="7:8">
      <c r="G2033" s="2" t="s">
        <v>1873</v>
      </c>
      <c r="H2033" s="2" t="s">
        <v>26</v>
      </c>
    </row>
    <row r="2034" spans="7:8">
      <c r="G2034" s="2" t="s">
        <v>1874</v>
      </c>
      <c r="H2034" s="2" t="s">
        <v>26</v>
      </c>
    </row>
    <row r="2035" spans="7:8">
      <c r="G2035" s="2" t="s">
        <v>1875</v>
      </c>
      <c r="H2035" s="2" t="s">
        <v>23</v>
      </c>
    </row>
    <row r="2036" spans="7:8">
      <c r="G2036" s="2" t="s">
        <v>1876</v>
      </c>
      <c r="H2036" s="2" t="s">
        <v>21</v>
      </c>
    </row>
    <row r="2037" spans="7:8">
      <c r="G2037" s="2" t="s">
        <v>1877</v>
      </c>
      <c r="H2037" s="2" t="s">
        <v>11</v>
      </c>
    </row>
    <row r="2038" spans="7:8">
      <c r="G2038" t="s">
        <v>1877</v>
      </c>
      <c r="H2038" s="6" t="s">
        <v>87</v>
      </c>
    </row>
    <row r="2039" spans="7:8">
      <c r="G2039" s="2" t="s">
        <v>1878</v>
      </c>
      <c r="H2039" s="2" t="s">
        <v>11</v>
      </c>
    </row>
    <row r="2040" spans="7:8">
      <c r="G2040" s="2" t="s">
        <v>1879</v>
      </c>
      <c r="H2040" s="2" t="s">
        <v>11</v>
      </c>
    </row>
    <row r="2041" spans="7:8">
      <c r="G2041" s="2" t="s">
        <v>1880</v>
      </c>
      <c r="H2041" s="2" t="s">
        <v>11</v>
      </c>
    </row>
    <row r="2042" spans="7:8">
      <c r="G2042" s="2" t="s">
        <v>1881</v>
      </c>
      <c r="H2042" s="2" t="s">
        <v>11</v>
      </c>
    </row>
    <row r="2043" spans="7:8">
      <c r="G2043" s="2" t="s">
        <v>1882</v>
      </c>
      <c r="H2043" s="2" t="s">
        <v>11</v>
      </c>
    </row>
    <row r="2044" spans="7:8">
      <c r="G2044" s="2" t="s">
        <v>1883</v>
      </c>
      <c r="H2044" s="2" t="s">
        <v>11</v>
      </c>
    </row>
    <row r="2045" spans="7:8">
      <c r="G2045" s="2" t="s">
        <v>1884</v>
      </c>
      <c r="H2045" s="2" t="s">
        <v>11</v>
      </c>
    </row>
    <row r="2046" spans="7:8">
      <c r="G2046" s="2" t="s">
        <v>1885</v>
      </c>
      <c r="H2046" s="2" t="s">
        <v>11</v>
      </c>
    </row>
    <row r="2047" spans="7:8">
      <c r="G2047" s="2" t="s">
        <v>1886</v>
      </c>
      <c r="H2047" s="2" t="s">
        <v>11</v>
      </c>
    </row>
    <row r="2048" spans="7:8">
      <c r="G2048" s="2" t="s">
        <v>1887</v>
      </c>
      <c r="H2048" s="2" t="s">
        <v>11</v>
      </c>
    </row>
    <row r="2049" spans="7:8">
      <c r="G2049" s="2" t="s">
        <v>1888</v>
      </c>
      <c r="H2049" s="2" t="s">
        <v>11</v>
      </c>
    </row>
    <row r="2050" spans="7:8">
      <c r="G2050" s="2" t="s">
        <v>1889</v>
      </c>
      <c r="H2050" s="2" t="s">
        <v>11</v>
      </c>
    </row>
    <row r="2051" spans="7:8">
      <c r="G2051" s="2" t="s">
        <v>1890</v>
      </c>
      <c r="H2051" s="2" t="s">
        <v>11</v>
      </c>
    </row>
    <row r="2052" spans="7:8">
      <c r="G2052" s="2" t="s">
        <v>1891</v>
      </c>
      <c r="H2052" s="6" t="s">
        <v>87</v>
      </c>
    </row>
    <row r="2053" spans="7:8">
      <c r="G2053" s="2" t="s">
        <v>1892</v>
      </c>
      <c r="H2053" s="2" t="s">
        <v>9</v>
      </c>
    </row>
    <row r="2054" spans="7:8">
      <c r="G2054" t="s">
        <v>1892</v>
      </c>
      <c r="H2054" s="6" t="s">
        <v>87</v>
      </c>
    </row>
    <row r="2055" spans="7:8">
      <c r="G2055" s="2" t="s">
        <v>1893</v>
      </c>
      <c r="H2055" s="2" t="s">
        <v>9</v>
      </c>
    </row>
    <row r="2056" spans="7:8">
      <c r="G2056" s="2" t="s">
        <v>1893</v>
      </c>
      <c r="H2056" s="6" t="s">
        <v>87</v>
      </c>
    </row>
    <row r="2057" spans="7:8">
      <c r="G2057" s="2" t="s">
        <v>1894</v>
      </c>
      <c r="H2057" s="2" t="s">
        <v>9</v>
      </c>
    </row>
    <row r="2058" spans="7:8">
      <c r="G2058" s="2" t="s">
        <v>1894</v>
      </c>
      <c r="H2058" s="6" t="s">
        <v>87</v>
      </c>
    </row>
    <row r="2059" spans="7:8">
      <c r="G2059" s="2" t="s">
        <v>1895</v>
      </c>
      <c r="H2059" s="2" t="s">
        <v>9</v>
      </c>
    </row>
    <row r="2060" spans="7:8">
      <c r="G2060" s="2" t="s">
        <v>1896</v>
      </c>
      <c r="H2060" s="2" t="s">
        <v>9</v>
      </c>
    </row>
    <row r="2061" spans="7:8">
      <c r="G2061" s="2" t="s">
        <v>1897</v>
      </c>
      <c r="H2061" s="6" t="s">
        <v>87</v>
      </c>
    </row>
    <row r="2062" spans="7:8">
      <c r="G2062" s="2" t="s">
        <v>1898</v>
      </c>
      <c r="H2062" s="2" t="s">
        <v>9</v>
      </c>
    </row>
    <row r="2063" spans="7:8">
      <c r="G2063" s="2" t="s">
        <v>1899</v>
      </c>
      <c r="H2063" s="6" t="s">
        <v>87</v>
      </c>
    </row>
    <row r="2064" spans="7:8">
      <c r="G2064" s="2" t="s">
        <v>1900</v>
      </c>
      <c r="H2064" s="6" t="s">
        <v>87</v>
      </c>
    </row>
    <row r="2065" spans="7:8">
      <c r="G2065" s="2" t="s">
        <v>1901</v>
      </c>
      <c r="H2065" s="6" t="s">
        <v>87</v>
      </c>
    </row>
    <row r="2066" spans="7:8">
      <c r="G2066" s="2" t="s">
        <v>1902</v>
      </c>
      <c r="H2066" s="6" t="s">
        <v>87</v>
      </c>
    </row>
    <row r="2067" spans="7:8">
      <c r="G2067" s="2" t="s">
        <v>1903</v>
      </c>
      <c r="H2067" s="6" t="s">
        <v>87</v>
      </c>
    </row>
    <row r="2068" spans="7:8">
      <c r="G2068" s="2" t="s">
        <v>1904</v>
      </c>
      <c r="H2068" s="6" t="s">
        <v>87</v>
      </c>
    </row>
    <row r="2069" spans="7:8">
      <c r="G2069" s="2" t="s">
        <v>1905</v>
      </c>
      <c r="H2069" s="6" t="s">
        <v>87</v>
      </c>
    </row>
    <row r="2070" spans="7:8">
      <c r="G2070" s="2" t="s">
        <v>1905</v>
      </c>
      <c r="H2070" s="2" t="s">
        <v>9</v>
      </c>
    </row>
    <row r="2071" spans="7:8">
      <c r="G2071" s="2" t="s">
        <v>1906</v>
      </c>
      <c r="H2071" s="2" t="s">
        <v>9</v>
      </c>
    </row>
    <row r="2072" spans="7:8">
      <c r="G2072" s="2" t="s">
        <v>1907</v>
      </c>
      <c r="H2072" s="6" t="s">
        <v>87</v>
      </c>
    </row>
    <row r="2073" spans="7:8">
      <c r="G2073" s="2" t="s">
        <v>1908</v>
      </c>
      <c r="H2073" s="2" t="s">
        <v>26</v>
      </c>
    </row>
    <row r="2074" spans="7:8">
      <c r="G2074" s="2" t="s">
        <v>1909</v>
      </c>
      <c r="H2074" s="2" t="s">
        <v>26</v>
      </c>
    </row>
    <row r="2075" spans="7:8">
      <c r="G2075" s="2" t="s">
        <v>1910</v>
      </c>
      <c r="H2075" s="2" t="s">
        <v>23</v>
      </c>
    </row>
    <row r="2076" spans="7:8">
      <c r="G2076" s="2" t="s">
        <v>1910</v>
      </c>
      <c r="H2076" s="2" t="s">
        <v>26</v>
      </c>
    </row>
    <row r="2077" spans="7:8">
      <c r="G2077" s="2" t="s">
        <v>1911</v>
      </c>
      <c r="H2077" s="2" t="s">
        <v>43</v>
      </c>
    </row>
    <row r="2078" spans="7:8">
      <c r="G2078" t="s">
        <v>1912</v>
      </c>
      <c r="H2078" s="6" t="s">
        <v>26</v>
      </c>
    </row>
    <row r="2079" spans="7:8">
      <c r="G2079" s="2" t="s">
        <v>1913</v>
      </c>
      <c r="H2079" s="2" t="s">
        <v>26</v>
      </c>
    </row>
    <row r="2080" spans="7:8">
      <c r="G2080" t="s">
        <v>1914</v>
      </c>
      <c r="H2080" s="6" t="s">
        <v>1073</v>
      </c>
    </row>
    <row r="2081" spans="7:8">
      <c r="G2081" s="2" t="s">
        <v>1915</v>
      </c>
      <c r="H2081" s="2" t="s">
        <v>21</v>
      </c>
    </row>
    <row r="2082" spans="7:8">
      <c r="G2082" t="s">
        <v>1916</v>
      </c>
      <c r="H2082" s="6" t="s">
        <v>26</v>
      </c>
    </row>
    <row r="2083" spans="7:8">
      <c r="G2083" s="2" t="s">
        <v>1917</v>
      </c>
      <c r="H2083" s="2" t="s">
        <v>26</v>
      </c>
    </row>
    <row r="2084" spans="7:8">
      <c r="G2084" t="s">
        <v>1918</v>
      </c>
      <c r="H2084" s="6" t="s">
        <v>1073</v>
      </c>
    </row>
    <row r="2085" spans="7:8">
      <c r="G2085" t="s">
        <v>1919</v>
      </c>
      <c r="H2085" s="6" t="s">
        <v>1073</v>
      </c>
    </row>
    <row r="2086" spans="7:8">
      <c r="G2086" s="2" t="s">
        <v>1920</v>
      </c>
      <c r="H2086" s="2" t="s">
        <v>28</v>
      </c>
    </row>
    <row r="2087" spans="7:8">
      <c r="G2087" t="s">
        <v>1920</v>
      </c>
      <c r="H2087" s="6" t="s">
        <v>28</v>
      </c>
    </row>
    <row r="2088" spans="7:8">
      <c r="G2088" t="s">
        <v>1921</v>
      </c>
      <c r="H2088" s="6" t="s">
        <v>28</v>
      </c>
    </row>
    <row r="2089" spans="7:8">
      <c r="G2089" s="2" t="s">
        <v>1922</v>
      </c>
      <c r="H2089" s="2" t="s">
        <v>40</v>
      </c>
    </row>
    <row r="2090" spans="7:8">
      <c r="G2090" s="2" t="s">
        <v>1923</v>
      </c>
      <c r="H2090" s="2" t="s">
        <v>28</v>
      </c>
    </row>
    <row r="2091" spans="7:8">
      <c r="G2091" s="2" t="s">
        <v>1924</v>
      </c>
      <c r="H2091" s="2" t="s">
        <v>28</v>
      </c>
    </row>
    <row r="2092" spans="7:8">
      <c r="G2092" t="s">
        <v>1924</v>
      </c>
      <c r="H2092" s="6" t="s">
        <v>28</v>
      </c>
    </row>
    <row r="2093" spans="7:8">
      <c r="G2093" s="2" t="s">
        <v>1925</v>
      </c>
      <c r="H2093" s="2" t="s">
        <v>28</v>
      </c>
    </row>
    <row r="2094" spans="7:8">
      <c r="G2094" s="2" t="s">
        <v>1926</v>
      </c>
      <c r="H2094" s="2" t="s">
        <v>28</v>
      </c>
    </row>
    <row r="2095" spans="7:8">
      <c r="G2095" t="s">
        <v>1927</v>
      </c>
      <c r="H2095" s="6" t="s">
        <v>28</v>
      </c>
    </row>
    <row r="2096" spans="7:8">
      <c r="G2096" s="2" t="s">
        <v>1928</v>
      </c>
      <c r="H2096" s="2" t="s">
        <v>28</v>
      </c>
    </row>
    <row r="2097" spans="7:8">
      <c r="G2097" s="2" t="s">
        <v>1929</v>
      </c>
      <c r="H2097" s="2" t="s">
        <v>23</v>
      </c>
    </row>
    <row r="2098" spans="7:8">
      <c r="G2098" s="2" t="s">
        <v>1929</v>
      </c>
      <c r="H2098" s="2" t="s">
        <v>50</v>
      </c>
    </row>
    <row r="2099" spans="7:8">
      <c r="G2099" s="2" t="s">
        <v>1930</v>
      </c>
      <c r="H2099" s="2" t="s">
        <v>28</v>
      </c>
    </row>
    <row r="2100" spans="7:8">
      <c r="G2100" t="s">
        <v>1930</v>
      </c>
      <c r="H2100" s="6" t="s">
        <v>28</v>
      </c>
    </row>
    <row r="2101" spans="7:8">
      <c r="G2101" s="2" t="s">
        <v>1931</v>
      </c>
      <c r="H2101" s="2" t="s">
        <v>28</v>
      </c>
    </row>
    <row r="2102" spans="7:8">
      <c r="G2102" s="2" t="s">
        <v>1932</v>
      </c>
      <c r="H2102" s="2" t="s">
        <v>23</v>
      </c>
    </row>
    <row r="2103" spans="7:8">
      <c r="G2103" s="2" t="s">
        <v>1933</v>
      </c>
      <c r="H2103" s="2" t="s">
        <v>16</v>
      </c>
    </row>
    <row r="2104" spans="7:8">
      <c r="G2104" s="2" t="s">
        <v>1933</v>
      </c>
      <c r="H2104" s="2" t="s">
        <v>87</v>
      </c>
    </row>
    <row r="2105" spans="7:8">
      <c r="G2105" t="s">
        <v>1934</v>
      </c>
      <c r="H2105" s="6" t="s">
        <v>87</v>
      </c>
    </row>
    <row r="2106" spans="7:8">
      <c r="G2106" s="2" t="s">
        <v>1935</v>
      </c>
      <c r="H2106" s="2" t="s">
        <v>21</v>
      </c>
    </row>
    <row r="2107" spans="7:8">
      <c r="G2107" s="2" t="s">
        <v>1936</v>
      </c>
      <c r="H2107" s="2" t="s">
        <v>21</v>
      </c>
    </row>
    <row r="2108" spans="7:8">
      <c r="G2108" s="2" t="s">
        <v>1937</v>
      </c>
      <c r="H2108" s="2" t="s">
        <v>21</v>
      </c>
    </row>
    <row r="2109" spans="7:8">
      <c r="G2109" s="2" t="s">
        <v>1938</v>
      </c>
      <c r="H2109" s="2" t="s">
        <v>21</v>
      </c>
    </row>
    <row r="2110" spans="7:8">
      <c r="G2110" s="2" t="s">
        <v>1939</v>
      </c>
      <c r="H2110" s="2" t="s">
        <v>21</v>
      </c>
    </row>
    <row r="2111" spans="7:8">
      <c r="G2111" s="2" t="s">
        <v>1940</v>
      </c>
      <c r="H2111" s="2" t="s">
        <v>21</v>
      </c>
    </row>
    <row r="2112" spans="7:8">
      <c r="G2112" s="2" t="s">
        <v>1941</v>
      </c>
      <c r="H2112" s="2" t="s">
        <v>21</v>
      </c>
    </row>
    <row r="2113" spans="7:8">
      <c r="G2113" s="2" t="s">
        <v>1942</v>
      </c>
      <c r="H2113" s="2" t="s">
        <v>21</v>
      </c>
    </row>
    <row r="2114" spans="7:8">
      <c r="G2114" s="2" t="s">
        <v>1943</v>
      </c>
      <c r="H2114" s="2" t="s">
        <v>21</v>
      </c>
    </row>
    <row r="2115" spans="7:8">
      <c r="G2115" s="2" t="s">
        <v>1944</v>
      </c>
      <c r="H2115" s="2" t="s">
        <v>21</v>
      </c>
    </row>
    <row r="2116" spans="7:8">
      <c r="G2116" s="2" t="s">
        <v>1945</v>
      </c>
      <c r="H2116" s="2" t="s">
        <v>21</v>
      </c>
    </row>
    <row r="2117" spans="7:8">
      <c r="G2117" s="2" t="s">
        <v>1946</v>
      </c>
      <c r="H2117" s="2" t="s">
        <v>21</v>
      </c>
    </row>
    <row r="2118" spans="7:8">
      <c r="G2118" s="2" t="s">
        <v>1947</v>
      </c>
      <c r="H2118" s="2" t="s">
        <v>9</v>
      </c>
    </row>
    <row r="2119" spans="7:8">
      <c r="G2119" s="2" t="s">
        <v>1947</v>
      </c>
      <c r="H2119" s="2" t="s">
        <v>59</v>
      </c>
    </row>
    <row r="2120" spans="7:8">
      <c r="G2120" s="2" t="s">
        <v>1948</v>
      </c>
      <c r="H2120" s="2" t="s">
        <v>87</v>
      </c>
    </row>
    <row r="2121" spans="7:8">
      <c r="G2121" s="2" t="s">
        <v>1949</v>
      </c>
      <c r="H2121" s="2" t="s">
        <v>9</v>
      </c>
    </row>
    <row r="2122" spans="7:8">
      <c r="G2122" s="2" t="s">
        <v>1949</v>
      </c>
      <c r="H2122" s="2" t="s">
        <v>87</v>
      </c>
    </row>
    <row r="2123" spans="7:8">
      <c r="G2123" s="2" t="s">
        <v>1950</v>
      </c>
      <c r="H2123" s="2" t="s">
        <v>9</v>
      </c>
    </row>
    <row r="2124" spans="7:8">
      <c r="G2124" s="2" t="s">
        <v>1951</v>
      </c>
      <c r="H2124" s="2" t="s">
        <v>9</v>
      </c>
    </row>
    <row r="2125" spans="7:8">
      <c r="G2125" s="2" t="s">
        <v>1952</v>
      </c>
      <c r="H2125" s="2" t="s">
        <v>9</v>
      </c>
    </row>
    <row r="2126" spans="7:8">
      <c r="G2126" s="2" t="s">
        <v>1953</v>
      </c>
      <c r="H2126" s="2" t="s">
        <v>21</v>
      </c>
    </row>
    <row r="2127" spans="7:8">
      <c r="G2127" s="2" t="s">
        <v>1954</v>
      </c>
      <c r="H2127" s="2" t="s">
        <v>9</v>
      </c>
    </row>
    <row r="2128" spans="7:8">
      <c r="G2128" s="2" t="s">
        <v>1954</v>
      </c>
      <c r="H2128" s="2" t="s">
        <v>87</v>
      </c>
    </row>
    <row r="2129" spans="7:8">
      <c r="G2129" s="2" t="s">
        <v>1955</v>
      </c>
      <c r="H2129" s="2" t="s">
        <v>21</v>
      </c>
    </row>
    <row r="2130" spans="7:8">
      <c r="G2130" t="s">
        <v>1955</v>
      </c>
      <c r="H2130" s="6" t="s">
        <v>1073</v>
      </c>
    </row>
    <row r="2131" spans="7:8">
      <c r="G2131" s="2" t="s">
        <v>1956</v>
      </c>
      <c r="H2131" s="2" t="s">
        <v>9</v>
      </c>
    </row>
    <row r="2132" spans="7:8">
      <c r="G2132" s="2" t="s">
        <v>1957</v>
      </c>
      <c r="H2132" s="2" t="s">
        <v>59</v>
      </c>
    </row>
    <row r="2133" spans="7:8">
      <c r="G2133" s="2" t="s">
        <v>1958</v>
      </c>
      <c r="H2133" s="2" t="s">
        <v>43</v>
      </c>
    </row>
    <row r="2134" spans="7:8">
      <c r="G2134" s="2" t="s">
        <v>1958</v>
      </c>
      <c r="H2134" s="2" t="s">
        <v>21</v>
      </c>
    </row>
    <row r="2135" spans="7:8">
      <c r="G2135" t="s">
        <v>1958</v>
      </c>
      <c r="H2135" s="6" t="s">
        <v>1073</v>
      </c>
    </row>
    <row r="2136" spans="7:8">
      <c r="G2136" s="2" t="s">
        <v>1959</v>
      </c>
      <c r="H2136" s="2" t="s">
        <v>21</v>
      </c>
    </row>
    <row r="2137" spans="7:8">
      <c r="G2137" s="2" t="s">
        <v>1960</v>
      </c>
      <c r="H2137" s="2" t="s">
        <v>9</v>
      </c>
    </row>
    <row r="2138" spans="7:8">
      <c r="G2138" s="2" t="s">
        <v>1961</v>
      </c>
      <c r="H2138" s="2" t="s">
        <v>21</v>
      </c>
    </row>
    <row r="2139" spans="7:8">
      <c r="G2139" s="2" t="s">
        <v>1962</v>
      </c>
      <c r="H2139" s="2" t="s">
        <v>21</v>
      </c>
    </row>
    <row r="2140" spans="7:8">
      <c r="G2140" s="2" t="s">
        <v>1963</v>
      </c>
      <c r="H2140" s="2" t="s">
        <v>21</v>
      </c>
    </row>
    <row r="2141" spans="7:8">
      <c r="G2141" s="2" t="s">
        <v>1964</v>
      </c>
      <c r="H2141" s="2" t="s">
        <v>21</v>
      </c>
    </row>
    <row r="2142" spans="7:8">
      <c r="G2142" s="2" t="s">
        <v>1965</v>
      </c>
      <c r="H2142" s="2" t="s">
        <v>21</v>
      </c>
    </row>
    <row r="2143" spans="7:8">
      <c r="G2143" s="2" t="s">
        <v>1966</v>
      </c>
      <c r="H2143" s="2" t="s">
        <v>21</v>
      </c>
    </row>
    <row r="2144" spans="7:8">
      <c r="G2144" s="2" t="s">
        <v>1967</v>
      </c>
      <c r="H2144" s="2" t="s">
        <v>21</v>
      </c>
    </row>
    <row r="2145" spans="7:8">
      <c r="G2145" s="2" t="s">
        <v>1968</v>
      </c>
      <c r="H2145" s="2" t="s">
        <v>21</v>
      </c>
    </row>
    <row r="2146" spans="7:8">
      <c r="G2146" s="2" t="s">
        <v>1969</v>
      </c>
      <c r="H2146" s="2" t="s">
        <v>21</v>
      </c>
    </row>
    <row r="2147" spans="7:8">
      <c r="G2147" s="2" t="s">
        <v>1970</v>
      </c>
      <c r="H2147" s="2" t="s">
        <v>21</v>
      </c>
    </row>
    <row r="2148" spans="7:8">
      <c r="G2148" s="2" t="s">
        <v>1971</v>
      </c>
      <c r="H2148" s="2" t="s">
        <v>21</v>
      </c>
    </row>
    <row r="2149" spans="7:8">
      <c r="G2149" s="2" t="s">
        <v>1972</v>
      </c>
      <c r="H2149" s="2" t="s">
        <v>21</v>
      </c>
    </row>
    <row r="2150" spans="7:8">
      <c r="G2150" s="2" t="s">
        <v>1973</v>
      </c>
      <c r="H2150" s="2" t="s">
        <v>21</v>
      </c>
    </row>
    <row r="2151" spans="7:8">
      <c r="G2151" s="2" t="s">
        <v>1974</v>
      </c>
      <c r="H2151" s="2" t="s">
        <v>21</v>
      </c>
    </row>
    <row r="2152" spans="7:8">
      <c r="G2152" s="2" t="s">
        <v>1975</v>
      </c>
      <c r="H2152" s="2" t="s">
        <v>43</v>
      </c>
    </row>
    <row r="2153" spans="7:8">
      <c r="G2153" s="2" t="s">
        <v>1976</v>
      </c>
      <c r="H2153" s="2" t="s">
        <v>21</v>
      </c>
    </row>
    <row r="2154" spans="7:8">
      <c r="G2154" s="2" t="s">
        <v>1977</v>
      </c>
      <c r="H2154" s="2" t="s">
        <v>21</v>
      </c>
    </row>
    <row r="2155" spans="7:8">
      <c r="G2155" s="2" t="s">
        <v>1978</v>
      </c>
      <c r="H2155" s="2" t="s">
        <v>21</v>
      </c>
    </row>
    <row r="2156" spans="7:8">
      <c r="G2156" s="2" t="s">
        <v>1979</v>
      </c>
      <c r="H2156" s="2" t="s">
        <v>21</v>
      </c>
    </row>
    <row r="2157" spans="7:8">
      <c r="G2157" s="2" t="s">
        <v>1980</v>
      </c>
      <c r="H2157" s="2" t="s">
        <v>21</v>
      </c>
    </row>
    <row r="2158" spans="7:8">
      <c r="G2158" s="2" t="s">
        <v>1981</v>
      </c>
      <c r="H2158" s="2" t="s">
        <v>21</v>
      </c>
    </row>
    <row r="2159" spans="7:8">
      <c r="G2159" s="2" t="s">
        <v>1982</v>
      </c>
      <c r="H2159" s="2" t="s">
        <v>21</v>
      </c>
    </row>
    <row r="2160" spans="7:8">
      <c r="G2160" s="2" t="s">
        <v>1983</v>
      </c>
      <c r="H2160" s="2" t="s">
        <v>21</v>
      </c>
    </row>
    <row r="2161" spans="7:8">
      <c r="G2161" s="2" t="s">
        <v>1984</v>
      </c>
      <c r="H2161" s="2" t="s">
        <v>43</v>
      </c>
    </row>
    <row r="2162" spans="7:8">
      <c r="G2162" s="2" t="s">
        <v>1985</v>
      </c>
      <c r="H2162" s="2" t="s">
        <v>14</v>
      </c>
    </row>
    <row r="2163" spans="7:8">
      <c r="G2163" s="2" t="s">
        <v>1986</v>
      </c>
      <c r="H2163" s="2" t="s">
        <v>21</v>
      </c>
    </row>
    <row r="2164" spans="7:8">
      <c r="G2164" s="2" t="s">
        <v>1987</v>
      </c>
      <c r="H2164" s="2" t="s">
        <v>21</v>
      </c>
    </row>
    <row r="2165" spans="7:8">
      <c r="G2165" s="2" t="s">
        <v>1988</v>
      </c>
      <c r="H2165" s="2" t="s">
        <v>43</v>
      </c>
    </row>
    <row r="2166" spans="7:8">
      <c r="G2166" s="2" t="s">
        <v>1989</v>
      </c>
      <c r="H2166" s="2" t="s">
        <v>43</v>
      </c>
    </row>
    <row r="2167" spans="7:8">
      <c r="G2167" s="2" t="s">
        <v>1990</v>
      </c>
      <c r="H2167" s="2" t="s">
        <v>21</v>
      </c>
    </row>
    <row r="2168" spans="7:8">
      <c r="G2168" s="2" t="s">
        <v>1991</v>
      </c>
      <c r="H2168" s="2" t="s">
        <v>87</v>
      </c>
    </row>
    <row r="2169" spans="7:8">
      <c r="G2169" s="2" t="s">
        <v>1992</v>
      </c>
      <c r="H2169" s="2" t="s">
        <v>26</v>
      </c>
    </row>
    <row r="2170" spans="7:8">
      <c r="G2170" s="2" t="s">
        <v>1993</v>
      </c>
      <c r="H2170" s="2" t="s">
        <v>21</v>
      </c>
    </row>
    <row r="2171" spans="7:8">
      <c r="G2171" s="2" t="s">
        <v>1994</v>
      </c>
      <c r="H2171" s="2" t="s">
        <v>87</v>
      </c>
    </row>
    <row r="2172" spans="7:8">
      <c r="G2172" s="2" t="s">
        <v>1995</v>
      </c>
      <c r="H2172" s="2" t="s">
        <v>9</v>
      </c>
    </row>
    <row r="2173" spans="7:8">
      <c r="G2173" s="2" t="s">
        <v>1996</v>
      </c>
      <c r="H2173" s="2" t="s">
        <v>9</v>
      </c>
    </row>
    <row r="2174" spans="7:8">
      <c r="G2174" s="2" t="s">
        <v>1997</v>
      </c>
      <c r="H2174" s="2" t="s">
        <v>9</v>
      </c>
    </row>
    <row r="2175" spans="7:8">
      <c r="G2175" s="2" t="s">
        <v>1998</v>
      </c>
      <c r="H2175" s="2" t="s">
        <v>9</v>
      </c>
    </row>
    <row r="2176" spans="7:8">
      <c r="G2176" s="2" t="s">
        <v>1999</v>
      </c>
      <c r="H2176" s="2" t="s">
        <v>21</v>
      </c>
    </row>
    <row r="2177" spans="7:8">
      <c r="G2177" s="2" t="s">
        <v>2000</v>
      </c>
      <c r="H2177" s="2" t="s">
        <v>26</v>
      </c>
    </row>
    <row r="2178" spans="7:8">
      <c r="G2178" s="2" t="s">
        <v>2001</v>
      </c>
      <c r="H2178" s="2" t="s">
        <v>9</v>
      </c>
    </row>
    <row r="2179" spans="7:8">
      <c r="G2179" s="2" t="s">
        <v>2002</v>
      </c>
      <c r="H2179" s="2" t="s">
        <v>2</v>
      </c>
    </row>
    <row r="2180" spans="7:8">
      <c r="G2180" t="s">
        <v>2002</v>
      </c>
      <c r="H2180" t="s">
        <v>2</v>
      </c>
    </row>
    <row r="2181" spans="7:8">
      <c r="G2181" s="2" t="s">
        <v>2003</v>
      </c>
      <c r="H2181" s="2" t="s">
        <v>87</v>
      </c>
    </row>
    <row r="2182" spans="7:8">
      <c r="G2182" s="2" t="s">
        <v>2004</v>
      </c>
      <c r="H2182" s="2" t="s">
        <v>26</v>
      </c>
    </row>
    <row r="2183" spans="7:8">
      <c r="G2183" s="2" t="s">
        <v>2005</v>
      </c>
      <c r="H2183" s="2" t="s">
        <v>26</v>
      </c>
    </row>
    <row r="2184" spans="7:8">
      <c r="G2184" s="2" t="s">
        <v>2006</v>
      </c>
      <c r="H2184" s="2" t="s">
        <v>26</v>
      </c>
    </row>
    <row r="2185" spans="7:8">
      <c r="G2185" s="2" t="s">
        <v>2007</v>
      </c>
      <c r="H2185" s="2" t="s">
        <v>26</v>
      </c>
    </row>
    <row r="2186" spans="7:8">
      <c r="G2186" s="2" t="s">
        <v>2008</v>
      </c>
      <c r="H2186" s="2" t="s">
        <v>26</v>
      </c>
    </row>
    <row r="2187" spans="7:8">
      <c r="G2187" s="2" t="s">
        <v>2009</v>
      </c>
      <c r="H2187" s="2" t="s">
        <v>26</v>
      </c>
    </row>
    <row r="2188" spans="7:8">
      <c r="G2188" s="2" t="s">
        <v>2010</v>
      </c>
      <c r="H2188" s="2" t="s">
        <v>26</v>
      </c>
    </row>
    <row r="2189" spans="7:8">
      <c r="G2189" s="2" t="s">
        <v>2011</v>
      </c>
      <c r="H2189" s="2" t="s">
        <v>26</v>
      </c>
    </row>
    <row r="2190" spans="7:8">
      <c r="G2190" s="2" t="s">
        <v>2012</v>
      </c>
      <c r="H2190" s="2" t="s">
        <v>26</v>
      </c>
    </row>
    <row r="2191" spans="7:8">
      <c r="G2191" s="2" t="s">
        <v>2013</v>
      </c>
      <c r="H2191" s="2" t="s">
        <v>26</v>
      </c>
    </row>
    <row r="2192" spans="7:8">
      <c r="G2192" s="2" t="s">
        <v>2014</v>
      </c>
      <c r="H2192" s="2" t="s">
        <v>26</v>
      </c>
    </row>
    <row r="2193" spans="7:8">
      <c r="G2193" s="2" t="s">
        <v>2015</v>
      </c>
      <c r="H2193" s="2" t="s">
        <v>26</v>
      </c>
    </row>
    <row r="2194" spans="7:8">
      <c r="G2194" s="2" t="s">
        <v>2016</v>
      </c>
      <c r="H2194" s="2" t="s">
        <v>26</v>
      </c>
    </row>
    <row r="2195" spans="7:8">
      <c r="G2195" s="2" t="s">
        <v>2017</v>
      </c>
      <c r="H2195" s="2" t="s">
        <v>26</v>
      </c>
    </row>
    <row r="2196" spans="7:8">
      <c r="G2196" s="2" t="s">
        <v>2018</v>
      </c>
      <c r="H2196" s="2" t="s">
        <v>26</v>
      </c>
    </row>
    <row r="2197" spans="7:8">
      <c r="G2197" s="2" t="s">
        <v>2019</v>
      </c>
      <c r="H2197" s="2" t="s">
        <v>26</v>
      </c>
    </row>
    <row r="2198" spans="7:8">
      <c r="G2198" s="2" t="s">
        <v>2020</v>
      </c>
      <c r="H2198" s="2" t="s">
        <v>26</v>
      </c>
    </row>
    <row r="2199" spans="7:8">
      <c r="G2199" s="2" t="s">
        <v>2021</v>
      </c>
      <c r="H2199" s="2" t="s">
        <v>26</v>
      </c>
    </row>
    <row r="2200" spans="7:8">
      <c r="G2200" s="2" t="s">
        <v>2022</v>
      </c>
      <c r="H2200" s="2" t="s">
        <v>26</v>
      </c>
    </row>
    <row r="2201" spans="7:8">
      <c r="G2201" t="s">
        <v>2023</v>
      </c>
      <c r="H2201" s="6" t="s">
        <v>26</v>
      </c>
    </row>
    <row r="2202" spans="7:8">
      <c r="G2202" s="2" t="s">
        <v>2024</v>
      </c>
      <c r="H2202" s="2" t="s">
        <v>21</v>
      </c>
    </row>
    <row r="2203" spans="7:8">
      <c r="G2203" s="2" t="s">
        <v>2025</v>
      </c>
      <c r="H2203" s="2" t="s">
        <v>26</v>
      </c>
    </row>
    <row r="2204" spans="7:8">
      <c r="G2204" s="2" t="s">
        <v>2026</v>
      </c>
      <c r="H2204" s="2" t="s">
        <v>26</v>
      </c>
    </row>
    <row r="2205" spans="7:8">
      <c r="G2205" s="2" t="s">
        <v>2027</v>
      </c>
      <c r="H2205" s="2" t="s">
        <v>26</v>
      </c>
    </row>
    <row r="2206" spans="7:8">
      <c r="G2206" s="2" t="s">
        <v>2028</v>
      </c>
      <c r="H2206" s="2" t="s">
        <v>26</v>
      </c>
    </row>
    <row r="2207" spans="7:8">
      <c r="G2207" s="2" t="s">
        <v>2029</v>
      </c>
      <c r="H2207" s="2" t="s">
        <v>26</v>
      </c>
    </row>
    <row r="2208" spans="7:8">
      <c r="G2208" s="2" t="s">
        <v>2030</v>
      </c>
      <c r="H2208" s="2" t="s">
        <v>26</v>
      </c>
    </row>
    <row r="2209" spans="7:8">
      <c r="G2209" s="2" t="s">
        <v>2031</v>
      </c>
      <c r="H2209" s="2" t="s">
        <v>26</v>
      </c>
    </row>
    <row r="2210" spans="7:8">
      <c r="G2210" s="2" t="s">
        <v>2032</v>
      </c>
      <c r="H2210" s="2" t="s">
        <v>26</v>
      </c>
    </row>
    <row r="2211" spans="7:8">
      <c r="G2211" s="2" t="s">
        <v>2033</v>
      </c>
      <c r="H2211" s="2" t="s">
        <v>26</v>
      </c>
    </row>
    <row r="2212" spans="7:8">
      <c r="G2212" s="2" t="s">
        <v>2034</v>
      </c>
      <c r="H2212" s="2" t="s">
        <v>26</v>
      </c>
    </row>
    <row r="2213" spans="7:8">
      <c r="G2213" s="2" t="s">
        <v>2035</v>
      </c>
      <c r="H2213" s="2" t="s">
        <v>26</v>
      </c>
    </row>
    <row r="2214" spans="7:8">
      <c r="G2214" t="s">
        <v>2036</v>
      </c>
      <c r="H2214" s="6" t="s">
        <v>26</v>
      </c>
    </row>
    <row r="2215" spans="7:8">
      <c r="G2215" s="2" t="s">
        <v>2037</v>
      </c>
      <c r="H2215" s="2" t="s">
        <v>26</v>
      </c>
    </row>
    <row r="2216" spans="7:8">
      <c r="G2216" s="2" t="s">
        <v>2038</v>
      </c>
      <c r="H2216" s="2" t="s">
        <v>26</v>
      </c>
    </row>
    <row r="2217" spans="7:8">
      <c r="G2217" s="2" t="s">
        <v>2039</v>
      </c>
      <c r="H2217" s="2" t="s">
        <v>26</v>
      </c>
    </row>
    <row r="2218" spans="7:8">
      <c r="G2218" s="2" t="s">
        <v>2040</v>
      </c>
      <c r="H2218" s="2" t="s">
        <v>26</v>
      </c>
    </row>
    <row r="2219" spans="7:8">
      <c r="G2219" t="s">
        <v>2041</v>
      </c>
      <c r="H2219" s="2" t="s">
        <v>26</v>
      </c>
    </row>
    <row r="2220" spans="7:8">
      <c r="G2220" s="2" t="s">
        <v>2042</v>
      </c>
      <c r="H2220" s="2" t="s">
        <v>26</v>
      </c>
    </row>
    <row r="2221" spans="7:8">
      <c r="G2221" s="2" t="s">
        <v>2043</v>
      </c>
      <c r="H2221" s="2" t="s">
        <v>26</v>
      </c>
    </row>
    <row r="2222" spans="7:8">
      <c r="G2222" s="2" t="s">
        <v>2044</v>
      </c>
      <c r="H2222" s="2" t="s">
        <v>26</v>
      </c>
    </row>
    <row r="2223" spans="7:8">
      <c r="G2223" s="2" t="s">
        <v>2045</v>
      </c>
      <c r="H2223" s="2" t="s">
        <v>26</v>
      </c>
    </row>
    <row r="2224" spans="7:8">
      <c r="G2224" s="2" t="s">
        <v>2046</v>
      </c>
      <c r="H2224" s="2" t="s">
        <v>26</v>
      </c>
    </row>
    <row r="2225" spans="7:8">
      <c r="G2225" s="2" t="s">
        <v>2047</v>
      </c>
      <c r="H2225" s="2" t="s">
        <v>26</v>
      </c>
    </row>
    <row r="2226" spans="7:8">
      <c r="G2226" s="2" t="s">
        <v>2048</v>
      </c>
      <c r="H2226" s="2" t="s">
        <v>26</v>
      </c>
    </row>
    <row r="2227" spans="7:8">
      <c r="G2227" t="s">
        <v>2049</v>
      </c>
      <c r="H2227" s="6" t="s">
        <v>26</v>
      </c>
    </row>
    <row r="2228" spans="7:8">
      <c r="G2228" s="2" t="s">
        <v>2050</v>
      </c>
      <c r="H2228" s="2" t="s">
        <v>43</v>
      </c>
    </row>
    <row r="2229" spans="7:8">
      <c r="G2229" s="2" t="s">
        <v>2050</v>
      </c>
      <c r="H2229" s="2" t="s">
        <v>26</v>
      </c>
    </row>
    <row r="2230" spans="7:8">
      <c r="G2230" t="s">
        <v>2051</v>
      </c>
      <c r="H2230" s="6" t="s">
        <v>26</v>
      </c>
    </row>
    <row r="2231" spans="7:8">
      <c r="G2231" t="s">
        <v>2052</v>
      </c>
      <c r="H2231" s="6" t="s">
        <v>26</v>
      </c>
    </row>
    <row r="2232" spans="7:8">
      <c r="G2232" s="2" t="s">
        <v>2053</v>
      </c>
      <c r="H2232" s="2" t="s">
        <v>26</v>
      </c>
    </row>
    <row r="2233" spans="7:8">
      <c r="G2233" s="2" t="s">
        <v>2053</v>
      </c>
      <c r="H2233" s="2" t="s">
        <v>26</v>
      </c>
    </row>
    <row r="2234" spans="7:8" ht="30">
      <c r="G2234" s="7" t="s">
        <v>2054</v>
      </c>
      <c r="H2234" s="6" t="s">
        <v>26</v>
      </c>
    </row>
    <row r="2235" spans="7:8">
      <c r="G2235" s="2" t="s">
        <v>2055</v>
      </c>
      <c r="H2235" s="2" t="s">
        <v>26</v>
      </c>
    </row>
    <row r="2236" spans="7:8">
      <c r="G2236" s="2" t="s">
        <v>2056</v>
      </c>
      <c r="H2236" s="2" t="s">
        <v>26</v>
      </c>
    </row>
    <row r="2237" spans="7:8">
      <c r="G2237" s="2" t="s">
        <v>2057</v>
      </c>
      <c r="H2237" s="2" t="s">
        <v>26</v>
      </c>
    </row>
    <row r="2238" spans="7:8">
      <c r="G2238" s="2" t="s">
        <v>2058</v>
      </c>
      <c r="H2238" s="2" t="s">
        <v>26</v>
      </c>
    </row>
    <row r="2239" spans="7:8">
      <c r="G2239" s="2" t="s">
        <v>2059</v>
      </c>
      <c r="H2239" s="2" t="s">
        <v>21</v>
      </c>
    </row>
    <row r="2240" spans="7:8">
      <c r="G2240" s="2" t="s">
        <v>2060</v>
      </c>
      <c r="H2240" s="2" t="s">
        <v>28</v>
      </c>
    </row>
    <row r="2241" spans="7:8">
      <c r="G2241" s="2" t="s">
        <v>2061</v>
      </c>
      <c r="H2241" s="2" t="s">
        <v>29</v>
      </c>
    </row>
    <row r="2242" spans="7:8">
      <c r="G2242" s="2" t="s">
        <v>2062</v>
      </c>
      <c r="H2242" s="2" t="s">
        <v>40</v>
      </c>
    </row>
    <row r="2243" spans="7:8">
      <c r="G2243" s="2" t="s">
        <v>2063</v>
      </c>
      <c r="H2243" s="2" t="s">
        <v>21</v>
      </c>
    </row>
    <row r="2244" spans="7:8">
      <c r="G2244" s="2" t="s">
        <v>2064</v>
      </c>
      <c r="H2244" s="2" t="s">
        <v>2</v>
      </c>
    </row>
    <row r="2245" spans="7:8">
      <c r="G2245" s="2" t="s">
        <v>2065</v>
      </c>
      <c r="H2245" s="2" t="s">
        <v>9</v>
      </c>
    </row>
    <row r="2246" spans="7:8">
      <c r="G2246" s="2" t="s">
        <v>2066</v>
      </c>
      <c r="H2246" s="2" t="s">
        <v>21</v>
      </c>
    </row>
    <row r="2247" spans="7:8">
      <c r="G2247" s="2" t="s">
        <v>2067</v>
      </c>
      <c r="H2247" s="2" t="s">
        <v>21</v>
      </c>
    </row>
    <row r="2248" spans="7:8">
      <c r="G2248" s="2" t="s">
        <v>2068</v>
      </c>
      <c r="H2248" s="2" t="s">
        <v>21</v>
      </c>
    </row>
    <row r="2249" spans="7:8">
      <c r="G2249" s="2" t="s">
        <v>2069</v>
      </c>
      <c r="H2249" s="2" t="s">
        <v>21</v>
      </c>
    </row>
    <row r="2250" spans="7:8">
      <c r="G2250" s="2" t="s">
        <v>2070</v>
      </c>
      <c r="H2250" s="2" t="s">
        <v>21</v>
      </c>
    </row>
    <row r="2251" spans="7:8">
      <c r="G2251" s="2" t="s">
        <v>2071</v>
      </c>
      <c r="H2251" s="2" t="s">
        <v>21</v>
      </c>
    </row>
    <row r="2252" spans="7:8">
      <c r="G2252" s="2" t="s">
        <v>2072</v>
      </c>
      <c r="H2252" s="2" t="s">
        <v>21</v>
      </c>
    </row>
    <row r="2253" spans="7:8">
      <c r="G2253" s="2" t="s">
        <v>2073</v>
      </c>
      <c r="H2253" s="2" t="s">
        <v>21</v>
      </c>
    </row>
    <row r="2254" spans="7:8">
      <c r="G2254" s="2" t="s">
        <v>2074</v>
      </c>
      <c r="H2254" s="2" t="s">
        <v>21</v>
      </c>
    </row>
    <row r="2255" spans="7:8">
      <c r="G2255" s="2" t="s">
        <v>2075</v>
      </c>
      <c r="H2255" s="2" t="s">
        <v>9</v>
      </c>
    </row>
    <row r="2256" spans="7:8">
      <c r="G2256" s="2" t="s">
        <v>2076</v>
      </c>
      <c r="H2256" s="2" t="s">
        <v>9</v>
      </c>
    </row>
    <row r="2257" spans="7:8">
      <c r="G2257" s="2" t="s">
        <v>2077</v>
      </c>
      <c r="H2257" s="2" t="s">
        <v>40</v>
      </c>
    </row>
    <row r="2258" spans="7:8">
      <c r="G2258" s="2" t="s">
        <v>2078</v>
      </c>
      <c r="H2258" s="2" t="s">
        <v>23</v>
      </c>
    </row>
    <row r="2259" spans="7:8">
      <c r="G2259" s="2" t="s">
        <v>2079</v>
      </c>
      <c r="H2259" s="2" t="s">
        <v>26</v>
      </c>
    </row>
    <row r="2260" spans="7:8">
      <c r="G2260" s="2" t="s">
        <v>2080</v>
      </c>
      <c r="H2260" s="2" t="s">
        <v>23</v>
      </c>
    </row>
    <row r="2261" spans="7:8">
      <c r="G2261" s="2" t="s">
        <v>2081</v>
      </c>
      <c r="H2261" s="2" t="s">
        <v>21</v>
      </c>
    </row>
    <row r="2262" spans="7:8">
      <c r="G2262" s="2" t="s">
        <v>2082</v>
      </c>
      <c r="H2262" s="2" t="s">
        <v>21</v>
      </c>
    </row>
    <row r="2263" spans="7:8">
      <c r="G2263" s="2" t="s">
        <v>2083</v>
      </c>
      <c r="H2263" s="2" t="s">
        <v>677</v>
      </c>
    </row>
    <row r="2264" spans="7:8">
      <c r="G2264" s="2" t="s">
        <v>2084</v>
      </c>
      <c r="H2264" s="2" t="s">
        <v>43</v>
      </c>
    </row>
    <row r="2265" spans="7:8">
      <c r="G2265" s="2" t="s">
        <v>2085</v>
      </c>
      <c r="H2265" s="2" t="s">
        <v>43</v>
      </c>
    </row>
    <row r="2266" spans="7:8">
      <c r="G2266" s="2" t="s">
        <v>2086</v>
      </c>
      <c r="H2266" s="2" t="s">
        <v>43</v>
      </c>
    </row>
    <row r="2267" spans="7:8">
      <c r="G2267" s="2" t="s">
        <v>2087</v>
      </c>
      <c r="H2267" s="2" t="s">
        <v>43</v>
      </c>
    </row>
    <row r="2268" spans="7:8">
      <c r="G2268" s="2" t="s">
        <v>2088</v>
      </c>
      <c r="H2268" s="2" t="s">
        <v>26</v>
      </c>
    </row>
    <row r="2269" spans="7:8">
      <c r="G2269" s="2" t="s">
        <v>2088</v>
      </c>
      <c r="H2269" s="2" t="s">
        <v>21</v>
      </c>
    </row>
    <row r="2270" spans="7:8">
      <c r="G2270" s="2" t="s">
        <v>2089</v>
      </c>
      <c r="H2270" s="2" t="s">
        <v>21</v>
      </c>
    </row>
    <row r="2271" spans="7:8">
      <c r="G2271" s="2" t="s">
        <v>2090</v>
      </c>
      <c r="H2271" s="2" t="s">
        <v>21</v>
      </c>
    </row>
    <row r="2272" spans="7:8">
      <c r="G2272" s="2" t="s">
        <v>2091</v>
      </c>
      <c r="H2272" s="2" t="s">
        <v>29</v>
      </c>
    </row>
    <row r="2273" spans="7:8">
      <c r="G2273" s="2" t="s">
        <v>2092</v>
      </c>
      <c r="H2273" s="2" t="s">
        <v>40</v>
      </c>
    </row>
    <row r="2274" spans="7:8">
      <c r="G2274" s="2" t="s">
        <v>2093</v>
      </c>
      <c r="H2274" s="2" t="s">
        <v>40</v>
      </c>
    </row>
    <row r="2275" spans="7:8">
      <c r="G2275" s="2" t="s">
        <v>2093</v>
      </c>
      <c r="H2275" s="2" t="s">
        <v>9</v>
      </c>
    </row>
    <row r="2276" spans="7:8">
      <c r="G2276" s="2" t="s">
        <v>2093</v>
      </c>
      <c r="H2276" s="2" t="s">
        <v>29</v>
      </c>
    </row>
    <row r="2277" spans="7:8">
      <c r="G2277" s="2" t="s">
        <v>2093</v>
      </c>
      <c r="H2277" s="2" t="s">
        <v>87</v>
      </c>
    </row>
    <row r="2278" spans="7:8">
      <c r="G2278" t="s">
        <v>2094</v>
      </c>
      <c r="H2278" s="6" t="s">
        <v>87</v>
      </c>
    </row>
    <row r="2279" spans="7:8">
      <c r="G2279" s="2" t="s">
        <v>2095</v>
      </c>
      <c r="H2279" s="2" t="s">
        <v>40</v>
      </c>
    </row>
    <row r="2280" spans="7:8">
      <c r="G2280" s="2" t="s">
        <v>2096</v>
      </c>
      <c r="H2280" s="2" t="s">
        <v>9</v>
      </c>
    </row>
    <row r="2281" spans="7:8">
      <c r="G2281" s="2" t="s">
        <v>2097</v>
      </c>
      <c r="H2281" s="2" t="s">
        <v>9</v>
      </c>
    </row>
    <row r="2282" spans="7:8">
      <c r="G2282" s="2" t="s">
        <v>2098</v>
      </c>
      <c r="H2282" s="2" t="s">
        <v>28</v>
      </c>
    </row>
    <row r="2283" spans="7:8">
      <c r="G2283" s="2" t="s">
        <v>2099</v>
      </c>
      <c r="H2283" s="2" t="s">
        <v>1073</v>
      </c>
    </row>
    <row r="2284" spans="7:8">
      <c r="G2284" s="2" t="s">
        <v>2099</v>
      </c>
      <c r="H2284" s="2" t="s">
        <v>23</v>
      </c>
    </row>
    <row r="2285" spans="7:8">
      <c r="G2285" s="2" t="s">
        <v>2100</v>
      </c>
      <c r="H2285" s="2" t="s">
        <v>87</v>
      </c>
    </row>
    <row r="2286" spans="7:8">
      <c r="G2286" s="2" t="s">
        <v>2100</v>
      </c>
      <c r="H2286" s="2" t="s">
        <v>9</v>
      </c>
    </row>
    <row r="2287" spans="7:8">
      <c r="G2287" s="2" t="s">
        <v>2101</v>
      </c>
      <c r="H2287" s="2" t="s">
        <v>29</v>
      </c>
    </row>
    <row r="2288" spans="7:8">
      <c r="G2288" s="2" t="s">
        <v>2101</v>
      </c>
      <c r="H2288" s="2" t="s">
        <v>21</v>
      </c>
    </row>
    <row r="2289" spans="7:8">
      <c r="G2289" s="2" t="s">
        <v>2101</v>
      </c>
      <c r="H2289" s="2" t="s">
        <v>1073</v>
      </c>
    </row>
    <row r="2290" spans="7:8">
      <c r="G2290" t="s">
        <v>2101</v>
      </c>
      <c r="H2290" s="6" t="s">
        <v>1073</v>
      </c>
    </row>
    <row r="2291" spans="7:8">
      <c r="G2291" s="2" t="s">
        <v>2102</v>
      </c>
      <c r="H2291" s="2" t="s">
        <v>26</v>
      </c>
    </row>
    <row r="2292" spans="7:8">
      <c r="G2292" s="2" t="s">
        <v>2103</v>
      </c>
      <c r="H2292" s="2" t="s">
        <v>9</v>
      </c>
    </row>
    <row r="2293" spans="7:8">
      <c r="G2293" s="2" t="s">
        <v>2104</v>
      </c>
      <c r="H2293" s="2" t="s">
        <v>21</v>
      </c>
    </row>
    <row r="2294" spans="7:8">
      <c r="G2294" s="2" t="s">
        <v>2105</v>
      </c>
      <c r="H2294" s="2" t="s">
        <v>23</v>
      </c>
    </row>
    <row r="2295" spans="7:8">
      <c r="G2295" t="s">
        <v>2105</v>
      </c>
      <c r="H2295" s="6" t="s">
        <v>941</v>
      </c>
    </row>
    <row r="2296" spans="7:8">
      <c r="G2296" s="2" t="s">
        <v>2106</v>
      </c>
      <c r="H2296" s="2" t="s">
        <v>54</v>
      </c>
    </row>
    <row r="2297" spans="7:8">
      <c r="G2297" s="2" t="s">
        <v>2106</v>
      </c>
      <c r="H2297" s="2" t="s">
        <v>87</v>
      </c>
    </row>
    <row r="2298" spans="7:8">
      <c r="G2298" s="2" t="s">
        <v>2107</v>
      </c>
      <c r="H2298" s="2" t="s">
        <v>69</v>
      </c>
    </row>
    <row r="2299" spans="7:8">
      <c r="G2299" s="2" t="s">
        <v>2107</v>
      </c>
      <c r="H2299" s="2" t="s">
        <v>9</v>
      </c>
    </row>
    <row r="2300" spans="7:8">
      <c r="G2300" s="2" t="s">
        <v>2108</v>
      </c>
      <c r="H2300" s="2" t="s">
        <v>87</v>
      </c>
    </row>
    <row r="2301" spans="7:8">
      <c r="G2301" s="2" t="s">
        <v>2108</v>
      </c>
      <c r="H2301" s="2" t="s">
        <v>9</v>
      </c>
    </row>
    <row r="2302" spans="7:8">
      <c r="G2302" s="2" t="s">
        <v>2109</v>
      </c>
      <c r="H2302" s="2" t="s">
        <v>1073</v>
      </c>
    </row>
    <row r="2303" spans="7:8">
      <c r="G2303" s="2" t="s">
        <v>2109</v>
      </c>
      <c r="H2303" s="2" t="s">
        <v>21</v>
      </c>
    </row>
    <row r="2304" spans="7:8">
      <c r="G2304" s="2" t="s">
        <v>2109</v>
      </c>
      <c r="H2304" s="2" t="s">
        <v>9</v>
      </c>
    </row>
    <row r="2305" spans="7:8">
      <c r="G2305" s="2" t="s">
        <v>2109</v>
      </c>
      <c r="H2305" s="2" t="s">
        <v>28</v>
      </c>
    </row>
    <row r="2306" spans="7:8">
      <c r="G2306" s="2" t="s">
        <v>2109</v>
      </c>
      <c r="H2306" s="2" t="s">
        <v>29</v>
      </c>
    </row>
    <row r="2307" spans="7:8">
      <c r="G2307" s="2" t="s">
        <v>2109</v>
      </c>
      <c r="H2307" s="2" t="s">
        <v>34</v>
      </c>
    </row>
    <row r="2308" spans="7:8">
      <c r="G2308" s="2" t="s">
        <v>2109</v>
      </c>
      <c r="H2308" s="2" t="s">
        <v>40</v>
      </c>
    </row>
    <row r="2309" spans="7:8">
      <c r="G2309" s="2" t="s">
        <v>2109</v>
      </c>
      <c r="H2309" s="2" t="s">
        <v>43</v>
      </c>
    </row>
    <row r="2310" spans="7:8">
      <c r="G2310" s="2" t="s">
        <v>2110</v>
      </c>
      <c r="H2310" s="2" t="s">
        <v>9</v>
      </c>
    </row>
    <row r="2311" spans="7:8">
      <c r="G2311" s="2" t="s">
        <v>2110</v>
      </c>
      <c r="H2311" s="2" t="s">
        <v>29</v>
      </c>
    </row>
    <row r="2312" spans="7:8">
      <c r="G2312" s="2" t="s">
        <v>2110</v>
      </c>
      <c r="H2312" s="2" t="s">
        <v>21</v>
      </c>
    </row>
    <row r="2313" spans="7:8">
      <c r="G2313" s="2" t="s">
        <v>2110</v>
      </c>
      <c r="H2313" s="2" t="s">
        <v>1073</v>
      </c>
    </row>
    <row r="2314" spans="7:8">
      <c r="G2314" s="2" t="s">
        <v>2111</v>
      </c>
      <c r="H2314" s="2" t="s">
        <v>1073</v>
      </c>
    </row>
    <row r="2315" spans="7:8">
      <c r="G2315" s="2" t="s">
        <v>2112</v>
      </c>
      <c r="H2315" s="2" t="s">
        <v>9</v>
      </c>
    </row>
    <row r="2316" spans="7:8">
      <c r="G2316" s="2" t="s">
        <v>2112</v>
      </c>
      <c r="H2316" s="2" t="s">
        <v>16</v>
      </c>
    </row>
    <row r="2317" spans="7:8">
      <c r="G2317" t="s">
        <v>2113</v>
      </c>
      <c r="H2317" s="6" t="s">
        <v>1073</v>
      </c>
    </row>
    <row r="2318" spans="7:8">
      <c r="G2318" s="2" t="s">
        <v>2114</v>
      </c>
      <c r="H2318" s="2" t="s">
        <v>1073</v>
      </c>
    </row>
    <row r="2319" spans="7:8">
      <c r="G2319" s="2" t="s">
        <v>2115</v>
      </c>
      <c r="H2319" s="2" t="s">
        <v>1073</v>
      </c>
    </row>
    <row r="2320" spans="7:8">
      <c r="G2320" s="2" t="s">
        <v>2116</v>
      </c>
      <c r="H2320" s="2" t="s">
        <v>1073</v>
      </c>
    </row>
    <row r="2321" spans="7:8">
      <c r="G2321" s="2" t="s">
        <v>2117</v>
      </c>
      <c r="H2321" s="2" t="s">
        <v>23</v>
      </c>
    </row>
    <row r="2322" spans="7:8">
      <c r="G2322" s="2" t="s">
        <v>2118</v>
      </c>
      <c r="H2322" s="2" t="s">
        <v>23</v>
      </c>
    </row>
    <row r="2323" spans="7:8">
      <c r="G2323" s="2" t="s">
        <v>2119</v>
      </c>
      <c r="H2323" s="2" t="s">
        <v>23</v>
      </c>
    </row>
    <row r="2324" spans="7:8">
      <c r="G2324" s="2" t="s">
        <v>2120</v>
      </c>
      <c r="H2324" s="2" t="s">
        <v>23</v>
      </c>
    </row>
    <row r="2325" spans="7:8">
      <c r="G2325" s="2" t="s">
        <v>2121</v>
      </c>
      <c r="H2325" s="2" t="s">
        <v>26</v>
      </c>
    </row>
    <row r="2326" spans="7:8">
      <c r="G2326" s="2" t="s">
        <v>2122</v>
      </c>
      <c r="H2326" s="2" t="s">
        <v>26</v>
      </c>
    </row>
    <row r="2327" spans="7:8">
      <c r="G2327" s="2" t="s">
        <v>2123</v>
      </c>
      <c r="H2327" s="2" t="s">
        <v>21</v>
      </c>
    </row>
    <row r="2328" spans="7:8">
      <c r="G2328" s="2" t="s">
        <v>2124</v>
      </c>
      <c r="H2328" s="2" t="s">
        <v>26</v>
      </c>
    </row>
    <row r="2329" spans="7:8">
      <c r="G2329" t="s">
        <v>2125</v>
      </c>
      <c r="H2329" s="2" t="s">
        <v>21</v>
      </c>
    </row>
    <row r="2330" spans="7:8">
      <c r="G2330" t="s">
        <v>2126</v>
      </c>
      <c r="H2330" s="6" t="s">
        <v>21</v>
      </c>
    </row>
    <row r="2331" spans="7:8">
      <c r="G2331" s="2" t="s">
        <v>2127</v>
      </c>
      <c r="H2331" s="2" t="s">
        <v>21</v>
      </c>
    </row>
    <row r="2332" spans="7:8">
      <c r="G2332" s="2" t="s">
        <v>2128</v>
      </c>
      <c r="H2332" s="2" t="s">
        <v>23</v>
      </c>
    </row>
    <row r="2333" spans="7:8">
      <c r="G2333" s="2" t="s">
        <v>2129</v>
      </c>
      <c r="H2333" s="2" t="s">
        <v>23</v>
      </c>
    </row>
    <row r="2334" spans="7:8">
      <c r="G2334" s="2" t="s">
        <v>2130</v>
      </c>
      <c r="H2334" s="2" t="s">
        <v>69</v>
      </c>
    </row>
    <row r="2335" spans="7:8">
      <c r="G2335" s="2" t="s">
        <v>2130</v>
      </c>
      <c r="H2335" s="2" t="s">
        <v>9</v>
      </c>
    </row>
    <row r="2336" spans="7:8">
      <c r="G2336" s="2" t="s">
        <v>2131</v>
      </c>
      <c r="H2336" s="2" t="s">
        <v>43</v>
      </c>
    </row>
    <row r="2337" spans="7:8">
      <c r="G2337" s="2" t="s">
        <v>2131</v>
      </c>
      <c r="H2337" s="2" t="s">
        <v>26</v>
      </c>
    </row>
    <row r="2338" spans="7:8">
      <c r="G2338" s="2" t="s">
        <v>2131</v>
      </c>
      <c r="H2338" s="2" t="s">
        <v>26</v>
      </c>
    </row>
    <row r="2339" spans="7:8">
      <c r="G2339" s="2" t="s">
        <v>2132</v>
      </c>
      <c r="H2339" s="2" t="s">
        <v>43</v>
      </c>
    </row>
    <row r="2340" spans="7:8">
      <c r="G2340" s="2" t="s">
        <v>2133</v>
      </c>
      <c r="H2340" s="2" t="s">
        <v>43</v>
      </c>
    </row>
    <row r="2341" spans="7:8">
      <c r="G2341" s="2" t="s">
        <v>2133</v>
      </c>
      <c r="H2341" s="2" t="s">
        <v>26</v>
      </c>
    </row>
    <row r="2342" spans="7:8">
      <c r="G2342" s="2" t="s">
        <v>2134</v>
      </c>
      <c r="H2342" s="2" t="s">
        <v>26</v>
      </c>
    </row>
    <row r="2343" spans="7:8">
      <c r="G2343" s="2" t="s">
        <v>2135</v>
      </c>
      <c r="H2343" s="2" t="s">
        <v>21</v>
      </c>
    </row>
    <row r="2344" spans="7:8">
      <c r="G2344" t="s">
        <v>2135</v>
      </c>
      <c r="H2344" s="6" t="s">
        <v>1073</v>
      </c>
    </row>
    <row r="2345" spans="7:8">
      <c r="G2345" t="s">
        <v>2136</v>
      </c>
      <c r="H2345" s="6" t="s">
        <v>1073</v>
      </c>
    </row>
    <row r="2346" spans="7:8">
      <c r="G2346" t="s">
        <v>2137</v>
      </c>
      <c r="H2346" s="6" t="s">
        <v>1073</v>
      </c>
    </row>
    <row r="2347" spans="7:8">
      <c r="G2347" s="2" t="s">
        <v>2138</v>
      </c>
      <c r="H2347" s="2" t="s">
        <v>21</v>
      </c>
    </row>
    <row r="2348" spans="7:8">
      <c r="G2348" s="2" t="s">
        <v>2139</v>
      </c>
      <c r="H2348" s="2" t="s">
        <v>941</v>
      </c>
    </row>
    <row r="2349" spans="7:8">
      <c r="G2349" s="2" t="s">
        <v>2140</v>
      </c>
      <c r="H2349" s="2" t="s">
        <v>7</v>
      </c>
    </row>
    <row r="2350" spans="7:8">
      <c r="G2350" s="2" t="s">
        <v>2141</v>
      </c>
      <c r="H2350" s="2" t="s">
        <v>43</v>
      </c>
    </row>
    <row r="2351" spans="7:8">
      <c r="G2351" s="2" t="s">
        <v>2142</v>
      </c>
      <c r="H2351" s="2" t="s">
        <v>21</v>
      </c>
    </row>
    <row r="2352" spans="7:8">
      <c r="G2352" s="2" t="s">
        <v>2143</v>
      </c>
      <c r="H2352" s="2" t="s">
        <v>28</v>
      </c>
    </row>
    <row r="2353" spans="7:8">
      <c r="G2353" s="2" t="s">
        <v>2144</v>
      </c>
      <c r="H2353" s="2" t="s">
        <v>26</v>
      </c>
    </row>
    <row r="2354" spans="7:8">
      <c r="G2354" t="s">
        <v>2144</v>
      </c>
      <c r="H2354" s="6" t="s">
        <v>26</v>
      </c>
    </row>
    <row r="2355" spans="7:8">
      <c r="G2355" s="2" t="s">
        <v>2145</v>
      </c>
      <c r="H2355" s="2" t="s">
        <v>26</v>
      </c>
    </row>
    <row r="2356" spans="7:8">
      <c r="G2356" t="s">
        <v>2145</v>
      </c>
      <c r="H2356" s="6" t="s">
        <v>26</v>
      </c>
    </row>
    <row r="2357" spans="7:8">
      <c r="G2357" s="2" t="s">
        <v>2146</v>
      </c>
      <c r="H2357" s="2" t="s">
        <v>1073</v>
      </c>
    </row>
    <row r="2358" spans="7:8">
      <c r="G2358" s="2" t="s">
        <v>2146</v>
      </c>
      <c r="H2358" s="2" t="s">
        <v>29</v>
      </c>
    </row>
    <row r="2359" spans="7:8">
      <c r="G2359" s="2" t="s">
        <v>2147</v>
      </c>
      <c r="H2359" s="2" t="s">
        <v>9</v>
      </c>
    </row>
    <row r="2360" spans="7:8">
      <c r="G2360" s="2" t="s">
        <v>2147</v>
      </c>
      <c r="H2360" s="2" t="s">
        <v>87</v>
      </c>
    </row>
    <row r="2361" spans="7:8">
      <c r="G2361" s="2" t="s">
        <v>2147</v>
      </c>
      <c r="H2361" s="2" t="s">
        <v>29</v>
      </c>
    </row>
    <row r="2362" spans="7:8">
      <c r="G2362" t="s">
        <v>2148</v>
      </c>
      <c r="H2362" s="6" t="s">
        <v>26</v>
      </c>
    </row>
    <row r="2363" spans="7:8">
      <c r="G2363" s="2" t="s">
        <v>2149</v>
      </c>
      <c r="H2363" s="2" t="s">
        <v>26</v>
      </c>
    </row>
    <row r="2364" spans="7:8">
      <c r="G2364" s="2" t="s">
        <v>2150</v>
      </c>
      <c r="H2364" s="2" t="s">
        <v>26</v>
      </c>
    </row>
    <row r="2365" spans="7:8">
      <c r="G2365" s="2" t="s">
        <v>2151</v>
      </c>
      <c r="H2365" s="2" t="s">
        <v>48</v>
      </c>
    </row>
    <row r="2366" spans="7:8">
      <c r="G2366" s="2" t="s">
        <v>2152</v>
      </c>
      <c r="H2366" s="2" t="s">
        <v>40</v>
      </c>
    </row>
    <row r="2367" spans="7:8">
      <c r="G2367" t="s">
        <v>2153</v>
      </c>
      <c r="H2367" s="6" t="s">
        <v>28</v>
      </c>
    </row>
    <row r="2368" spans="7:8">
      <c r="G2368" s="2" t="s">
        <v>2154</v>
      </c>
      <c r="H2368" s="2" t="s">
        <v>28</v>
      </c>
    </row>
    <row r="2369" spans="7:8">
      <c r="G2369" s="2" t="s">
        <v>2155</v>
      </c>
      <c r="H2369" s="2" t="s">
        <v>26</v>
      </c>
    </row>
    <row r="2370" spans="7:8">
      <c r="G2370" s="2" t="s">
        <v>2156</v>
      </c>
      <c r="H2370" s="2" t="s">
        <v>26</v>
      </c>
    </row>
    <row r="2371" spans="7:8">
      <c r="G2371" s="2" t="s">
        <v>2157</v>
      </c>
      <c r="H2371" s="2" t="s">
        <v>26</v>
      </c>
    </row>
    <row r="2372" spans="7:8">
      <c r="G2372" s="2" t="s">
        <v>2158</v>
      </c>
      <c r="H2372" s="2" t="s">
        <v>26</v>
      </c>
    </row>
    <row r="2373" spans="7:8">
      <c r="G2373" s="2" t="s">
        <v>2159</v>
      </c>
      <c r="H2373" s="2" t="s">
        <v>28</v>
      </c>
    </row>
    <row r="2374" spans="7:8">
      <c r="G2374" s="2" t="s">
        <v>2160</v>
      </c>
      <c r="H2374" s="2" t="s">
        <v>9</v>
      </c>
    </row>
    <row r="2375" spans="7:8">
      <c r="G2375" s="2" t="s">
        <v>2161</v>
      </c>
      <c r="H2375" s="2" t="s">
        <v>87</v>
      </c>
    </row>
    <row r="2376" spans="7:8">
      <c r="G2376" t="s">
        <v>2162</v>
      </c>
      <c r="H2376" s="6" t="s">
        <v>677</v>
      </c>
    </row>
    <row r="2377" spans="7:8">
      <c r="G2377" t="s">
        <v>2163</v>
      </c>
      <c r="H2377" s="6" t="s">
        <v>677</v>
      </c>
    </row>
    <row r="2378" spans="7:8">
      <c r="G2378" s="2" t="s">
        <v>2164</v>
      </c>
      <c r="H2378" s="2" t="s">
        <v>9</v>
      </c>
    </row>
    <row r="2379" spans="7:8">
      <c r="G2379" s="2" t="s">
        <v>2164</v>
      </c>
      <c r="H2379" s="2" t="s">
        <v>87</v>
      </c>
    </row>
    <row r="2380" spans="7:8">
      <c r="G2380" s="2" t="s">
        <v>2165</v>
      </c>
      <c r="H2380" s="2" t="s">
        <v>9</v>
      </c>
    </row>
    <row r="2381" spans="7:8">
      <c r="G2381" s="2" t="s">
        <v>2165</v>
      </c>
      <c r="H2381" s="2" t="s">
        <v>87</v>
      </c>
    </row>
    <row r="2382" spans="7:8">
      <c r="G2382" s="2" t="s">
        <v>2166</v>
      </c>
      <c r="H2382" s="2" t="s">
        <v>9</v>
      </c>
    </row>
    <row r="2383" spans="7:8">
      <c r="G2383" s="2" t="s">
        <v>2167</v>
      </c>
      <c r="H2383" s="2" t="s">
        <v>87</v>
      </c>
    </row>
    <row r="2384" spans="7:8">
      <c r="G2384" s="2" t="s">
        <v>2168</v>
      </c>
      <c r="H2384" s="2" t="s">
        <v>21</v>
      </c>
    </row>
    <row r="2385" spans="7:8">
      <c r="G2385" s="2" t="s">
        <v>2169</v>
      </c>
      <c r="H2385" s="2" t="s">
        <v>9</v>
      </c>
    </row>
    <row r="2386" spans="7:8">
      <c r="G2386" s="2" t="s">
        <v>2170</v>
      </c>
      <c r="H2386" s="2" t="s">
        <v>9</v>
      </c>
    </row>
    <row r="2387" spans="7:8">
      <c r="G2387" s="2" t="s">
        <v>2171</v>
      </c>
      <c r="H2387" s="2" t="s">
        <v>9</v>
      </c>
    </row>
    <row r="2388" spans="7:8">
      <c r="G2388" s="2" t="s">
        <v>2172</v>
      </c>
      <c r="H2388" s="2" t="s">
        <v>9</v>
      </c>
    </row>
    <row r="2389" spans="7:8">
      <c r="G2389" s="2" t="s">
        <v>2173</v>
      </c>
      <c r="H2389" s="2" t="s">
        <v>9</v>
      </c>
    </row>
    <row r="2390" spans="7:8">
      <c r="G2390" s="2" t="s">
        <v>2174</v>
      </c>
      <c r="H2390" s="2" t="s">
        <v>9</v>
      </c>
    </row>
    <row r="2391" spans="7:8">
      <c r="G2391" s="2" t="s">
        <v>2175</v>
      </c>
      <c r="H2391" s="2" t="s">
        <v>9</v>
      </c>
    </row>
    <row r="2392" spans="7:8">
      <c r="G2392" s="2" t="s">
        <v>2176</v>
      </c>
      <c r="H2392" s="2" t="s">
        <v>9</v>
      </c>
    </row>
    <row r="2393" spans="7:8">
      <c r="G2393" s="2" t="s">
        <v>2177</v>
      </c>
      <c r="H2393" s="2" t="s">
        <v>9</v>
      </c>
    </row>
    <row r="2394" spans="7:8">
      <c r="G2394" s="2" t="s">
        <v>2178</v>
      </c>
      <c r="H2394" s="2" t="s">
        <v>9</v>
      </c>
    </row>
    <row r="2395" spans="7:8">
      <c r="G2395" s="2" t="s">
        <v>2179</v>
      </c>
      <c r="H2395" s="2" t="s">
        <v>9</v>
      </c>
    </row>
    <row r="2396" spans="7:8">
      <c r="G2396" s="2" t="s">
        <v>2180</v>
      </c>
      <c r="H2396" s="2" t="s">
        <v>9</v>
      </c>
    </row>
    <row r="2397" spans="7:8">
      <c r="G2397" s="2" t="s">
        <v>2181</v>
      </c>
      <c r="H2397" s="2" t="s">
        <v>9</v>
      </c>
    </row>
    <row r="2398" spans="7:8">
      <c r="G2398" s="2" t="s">
        <v>2182</v>
      </c>
      <c r="H2398" s="2" t="s">
        <v>9</v>
      </c>
    </row>
    <row r="2399" spans="7:8">
      <c r="G2399" s="2" t="s">
        <v>2183</v>
      </c>
      <c r="H2399" s="2" t="s">
        <v>9</v>
      </c>
    </row>
    <row r="2400" spans="7:8">
      <c r="G2400" s="2" t="s">
        <v>2184</v>
      </c>
      <c r="H2400" s="2" t="s">
        <v>9</v>
      </c>
    </row>
    <row r="2401" spans="7:8">
      <c r="G2401" s="2" t="s">
        <v>2185</v>
      </c>
      <c r="H2401" s="2" t="s">
        <v>9</v>
      </c>
    </row>
    <row r="2402" spans="7:8">
      <c r="G2402" s="2" t="s">
        <v>2186</v>
      </c>
      <c r="H2402" s="2" t="s">
        <v>9</v>
      </c>
    </row>
    <row r="2403" spans="7:8">
      <c r="G2403" s="2" t="s">
        <v>2187</v>
      </c>
      <c r="H2403" s="2" t="s">
        <v>9</v>
      </c>
    </row>
    <row r="2404" spans="7:8">
      <c r="G2404" s="2" t="s">
        <v>2188</v>
      </c>
      <c r="H2404" s="2" t="s">
        <v>9</v>
      </c>
    </row>
    <row r="2405" spans="7:8">
      <c r="G2405" s="2" t="s">
        <v>2189</v>
      </c>
      <c r="H2405" s="2" t="s">
        <v>9</v>
      </c>
    </row>
    <row r="2406" spans="7:8">
      <c r="G2406" s="2" t="s">
        <v>2190</v>
      </c>
      <c r="H2406" s="2" t="s">
        <v>9</v>
      </c>
    </row>
    <row r="2407" spans="7:8">
      <c r="G2407" s="2" t="s">
        <v>2191</v>
      </c>
      <c r="H2407" s="2" t="s">
        <v>9</v>
      </c>
    </row>
    <row r="2408" spans="7:8">
      <c r="G2408" s="2" t="s">
        <v>2192</v>
      </c>
      <c r="H2408" s="2" t="s">
        <v>9</v>
      </c>
    </row>
    <row r="2409" spans="7:8">
      <c r="G2409" s="2" t="s">
        <v>2193</v>
      </c>
      <c r="H2409" s="2" t="s">
        <v>9</v>
      </c>
    </row>
    <row r="2410" spans="7:8">
      <c r="G2410" s="2" t="s">
        <v>2194</v>
      </c>
      <c r="H2410" s="2" t="s">
        <v>9</v>
      </c>
    </row>
    <row r="2411" spans="7:8">
      <c r="G2411" s="2" t="s">
        <v>2195</v>
      </c>
      <c r="H2411" s="2" t="s">
        <v>9</v>
      </c>
    </row>
    <row r="2412" spans="7:8">
      <c r="G2412" s="2" t="s">
        <v>2196</v>
      </c>
      <c r="H2412" s="2" t="s">
        <v>9</v>
      </c>
    </row>
    <row r="2413" spans="7:8">
      <c r="G2413" s="2" t="s">
        <v>2197</v>
      </c>
      <c r="H2413" s="2" t="s">
        <v>9</v>
      </c>
    </row>
    <row r="2414" spans="7:8">
      <c r="G2414" s="2" t="s">
        <v>2198</v>
      </c>
      <c r="H2414" s="2" t="s">
        <v>9</v>
      </c>
    </row>
    <row r="2415" spans="7:8">
      <c r="G2415" s="2" t="s">
        <v>2199</v>
      </c>
      <c r="H2415" s="2" t="s">
        <v>9</v>
      </c>
    </row>
    <row r="2416" spans="7:8">
      <c r="G2416" s="2" t="s">
        <v>2200</v>
      </c>
      <c r="H2416" s="2" t="s">
        <v>9</v>
      </c>
    </row>
    <row r="2417" spans="7:8">
      <c r="G2417" s="2" t="s">
        <v>2201</v>
      </c>
      <c r="H2417" s="2" t="s">
        <v>9</v>
      </c>
    </row>
    <row r="2418" spans="7:8">
      <c r="G2418" s="2" t="s">
        <v>2202</v>
      </c>
      <c r="H2418" s="2" t="s">
        <v>9</v>
      </c>
    </row>
    <row r="2419" spans="7:8">
      <c r="G2419" s="2" t="s">
        <v>2203</v>
      </c>
      <c r="H2419" s="2" t="s">
        <v>9</v>
      </c>
    </row>
    <row r="2420" spans="7:8">
      <c r="G2420" s="2" t="s">
        <v>2204</v>
      </c>
      <c r="H2420" s="2" t="s">
        <v>9</v>
      </c>
    </row>
    <row r="2421" spans="7:8">
      <c r="G2421" t="s">
        <v>2204</v>
      </c>
      <c r="H2421" s="2" t="s">
        <v>87</v>
      </c>
    </row>
    <row r="2422" spans="7:8">
      <c r="G2422" s="2" t="s">
        <v>2205</v>
      </c>
      <c r="H2422" s="2" t="s">
        <v>5</v>
      </c>
    </row>
    <row r="2423" spans="7:8">
      <c r="G2423" s="2" t="s">
        <v>2206</v>
      </c>
      <c r="H2423" s="2" t="s">
        <v>5</v>
      </c>
    </row>
    <row r="2424" spans="7:8">
      <c r="G2424" s="2" t="s">
        <v>2207</v>
      </c>
      <c r="H2424" s="2" t="s">
        <v>5</v>
      </c>
    </row>
    <row r="2425" spans="7:8">
      <c r="G2425" s="2" t="s">
        <v>2208</v>
      </c>
      <c r="H2425" s="2" t="s">
        <v>87</v>
      </c>
    </row>
    <row r="2426" spans="7:8">
      <c r="G2426" s="2" t="s">
        <v>2209</v>
      </c>
      <c r="H2426" s="2" t="s">
        <v>9</v>
      </c>
    </row>
    <row r="2427" spans="7:8">
      <c r="G2427" s="2" t="s">
        <v>2209</v>
      </c>
      <c r="H2427" s="2" t="s">
        <v>87</v>
      </c>
    </row>
    <row r="2428" spans="7:8">
      <c r="G2428" t="s">
        <v>2210</v>
      </c>
      <c r="H2428" s="2" t="s">
        <v>87</v>
      </c>
    </row>
    <row r="2429" spans="7:8">
      <c r="G2429" s="2" t="s">
        <v>2211</v>
      </c>
      <c r="H2429" s="2" t="s">
        <v>9</v>
      </c>
    </row>
    <row r="2430" spans="7:8">
      <c r="G2430" s="2" t="s">
        <v>2212</v>
      </c>
      <c r="H2430" s="2" t="s">
        <v>87</v>
      </c>
    </row>
    <row r="2431" spans="7:8">
      <c r="G2431" s="2" t="s">
        <v>2213</v>
      </c>
      <c r="H2431" s="2" t="s">
        <v>26</v>
      </c>
    </row>
    <row r="2432" spans="7:8">
      <c r="G2432" s="2" t="s">
        <v>2214</v>
      </c>
      <c r="H2432" s="2" t="s">
        <v>26</v>
      </c>
    </row>
    <row r="2433" spans="7:8">
      <c r="G2433" s="2" t="s">
        <v>2215</v>
      </c>
      <c r="H2433" s="2" t="s">
        <v>26</v>
      </c>
    </row>
    <row r="2434" spans="7:8">
      <c r="G2434" s="2" t="s">
        <v>2216</v>
      </c>
      <c r="H2434" s="2" t="s">
        <v>26</v>
      </c>
    </row>
    <row r="2435" spans="7:8">
      <c r="G2435" s="2" t="s">
        <v>2217</v>
      </c>
      <c r="H2435" s="2" t="s">
        <v>26</v>
      </c>
    </row>
    <row r="2436" spans="7:8">
      <c r="G2436" s="2" t="s">
        <v>2218</v>
      </c>
      <c r="H2436" s="2" t="s">
        <v>29</v>
      </c>
    </row>
    <row r="2437" spans="7:8">
      <c r="G2437" s="2" t="s">
        <v>2219</v>
      </c>
      <c r="H2437" s="2" t="s">
        <v>23</v>
      </c>
    </row>
    <row r="2438" spans="7:8">
      <c r="G2438" s="2" t="s">
        <v>2220</v>
      </c>
      <c r="H2438" s="2" t="s">
        <v>21</v>
      </c>
    </row>
    <row r="2439" spans="7:8">
      <c r="G2439" s="2" t="s">
        <v>2221</v>
      </c>
      <c r="H2439" s="2" t="s">
        <v>7</v>
      </c>
    </row>
    <row r="2440" spans="7:8">
      <c r="G2440" t="s">
        <v>2222</v>
      </c>
      <c r="H2440" s="6" t="s">
        <v>1073</v>
      </c>
    </row>
    <row r="2441" spans="7:8">
      <c r="G2441" s="2" t="s">
        <v>2223</v>
      </c>
      <c r="H2441" s="2" t="s">
        <v>21</v>
      </c>
    </row>
    <row r="2442" spans="7:8">
      <c r="G2442" s="2" t="s">
        <v>2224</v>
      </c>
      <c r="H2442" s="2" t="s">
        <v>45</v>
      </c>
    </row>
    <row r="2443" spans="7:8">
      <c r="G2443" s="2" t="s">
        <v>2225</v>
      </c>
      <c r="H2443" s="2" t="s">
        <v>1073</v>
      </c>
    </row>
    <row r="2444" spans="7:8">
      <c r="G2444" s="2" t="s">
        <v>2226</v>
      </c>
      <c r="H2444" s="2" t="s">
        <v>21</v>
      </c>
    </row>
    <row r="2445" spans="7:8">
      <c r="G2445" s="2" t="s">
        <v>2227</v>
      </c>
      <c r="H2445" s="2" t="s">
        <v>1073</v>
      </c>
    </row>
    <row r="2446" spans="7:8">
      <c r="G2446" s="2" t="s">
        <v>2228</v>
      </c>
      <c r="H2446" s="2" t="s">
        <v>26</v>
      </c>
    </row>
    <row r="2447" spans="7:8">
      <c r="G2447" s="2" t="s">
        <v>2229</v>
      </c>
      <c r="H2447" s="2" t="s">
        <v>26</v>
      </c>
    </row>
    <row r="2448" spans="7:8">
      <c r="G2448" s="2" t="s">
        <v>2230</v>
      </c>
      <c r="H2448" s="2" t="s">
        <v>26</v>
      </c>
    </row>
    <row r="2449" spans="7:8">
      <c r="G2449" s="2" t="s">
        <v>2231</v>
      </c>
      <c r="H2449" s="2" t="s">
        <v>21</v>
      </c>
    </row>
    <row r="2450" spans="7:8">
      <c r="G2450" s="2" t="s">
        <v>2232</v>
      </c>
      <c r="H2450" s="2" t="s">
        <v>26</v>
      </c>
    </row>
    <row r="2451" spans="7:8">
      <c r="G2451" s="2" t="s">
        <v>2233</v>
      </c>
      <c r="H2451" s="2" t="s">
        <v>2</v>
      </c>
    </row>
    <row r="2452" spans="7:8">
      <c r="G2452" s="2" t="s">
        <v>2234</v>
      </c>
      <c r="H2452" s="2" t="s">
        <v>26</v>
      </c>
    </row>
    <row r="2453" spans="7:8">
      <c r="G2453" t="s">
        <v>2235</v>
      </c>
      <c r="H2453" s="6" t="s">
        <v>26</v>
      </c>
    </row>
    <row r="2454" spans="7:8">
      <c r="G2454" s="2"/>
      <c r="H2454" s="2" t="s">
        <v>54</v>
      </c>
    </row>
  </sheetData>
  <autoFilter ref="G31:H2454" xr:uid="{EDA54396-A480-4619-A769-12073542A7D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9A76D-E038-46B0-B749-8C7C3BA5B42E}">
  <dimension ref="A1:C8"/>
  <sheetViews>
    <sheetView workbookViewId="0">
      <selection activeCell="C9" sqref="C9"/>
    </sheetView>
  </sheetViews>
  <sheetFormatPr defaultRowHeight="15"/>
  <cols>
    <col min="1" max="1" width="21.42578125" customWidth="1"/>
    <col min="2" max="2" width="11.28515625" customWidth="1"/>
    <col min="3" max="3" width="10.5703125" customWidth="1"/>
  </cols>
  <sheetData>
    <row r="1" spans="1:3">
      <c r="A1" t="s">
        <v>2236</v>
      </c>
      <c r="B1" t="s">
        <v>2237</v>
      </c>
      <c r="C1" t="s">
        <v>2238</v>
      </c>
    </row>
    <row r="2" spans="1:3">
      <c r="A2" t="s">
        <v>2239</v>
      </c>
      <c r="B2" s="6">
        <v>45664</v>
      </c>
      <c r="C2" s="6">
        <v>45666</v>
      </c>
    </row>
    <row r="3" spans="1:3">
      <c r="A3" t="s">
        <v>2240</v>
      </c>
      <c r="B3" s="6">
        <v>45677</v>
      </c>
      <c r="C3" s="6">
        <v>45682</v>
      </c>
    </row>
    <row r="4" spans="1:3">
      <c r="A4" t="s">
        <v>2240</v>
      </c>
      <c r="B4" s="6">
        <v>45732</v>
      </c>
      <c r="C4" s="6">
        <v>45737</v>
      </c>
    </row>
    <row r="5" spans="1:3">
      <c r="A5" t="s">
        <v>2241</v>
      </c>
      <c r="B5" s="6">
        <v>45788</v>
      </c>
      <c r="C5" s="6">
        <v>45793</v>
      </c>
    </row>
    <row r="6" spans="1:3">
      <c r="A6" t="s">
        <v>2242</v>
      </c>
      <c r="B6" s="6">
        <v>45804</v>
      </c>
      <c r="C6" s="6">
        <v>45807</v>
      </c>
    </row>
    <row r="7" spans="1:3">
      <c r="A7" t="s">
        <v>2241</v>
      </c>
      <c r="B7" s="6">
        <v>45872</v>
      </c>
      <c r="C7" s="6">
        <v>45877</v>
      </c>
    </row>
    <row r="8" spans="1:3">
      <c r="A8" t="s">
        <v>2241</v>
      </c>
      <c r="B8" s="6">
        <v>45950</v>
      </c>
      <c r="C8" s="6">
        <v>45954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Q15027"/>
  <sheetViews>
    <sheetView workbookViewId="0">
      <pane xSplit="1" ySplit="1" topLeftCell="D14908" activePane="bottomRight" state="frozen"/>
      <selection pane="topRight"/>
      <selection pane="bottomLeft"/>
      <selection pane="bottomRight" activeCell="F14948" sqref="F14948"/>
    </sheetView>
  </sheetViews>
  <sheetFormatPr defaultRowHeight="15"/>
  <cols>
    <col min="1" max="1" width="17" customWidth="1"/>
    <col min="2" max="2" width="27.28515625" customWidth="1"/>
    <col min="3" max="3" width="42.42578125" customWidth="1"/>
    <col min="4" max="4" width="84.85546875" customWidth="1"/>
    <col min="5" max="5" width="12" bestFit="1" customWidth="1"/>
    <col min="6" max="6" width="19" bestFit="1" customWidth="1"/>
    <col min="7" max="7" width="21.85546875" bestFit="1" customWidth="1"/>
    <col min="8" max="8" width="19.42578125" style="8" bestFit="1" customWidth="1"/>
    <col min="9" max="9" width="24.7109375" customWidth="1"/>
    <col min="10" max="10" width="13.140625" hidden="1" customWidth="1"/>
    <col min="11" max="11" width="14.42578125" hidden="1" customWidth="1"/>
    <col min="12" max="12" width="0" hidden="1" customWidth="1"/>
    <col min="13" max="13" width="13.42578125" hidden="1" customWidth="1"/>
    <col min="14" max="14" width="18.28515625" hidden="1" customWidth="1"/>
    <col min="15" max="15" width="30.7109375" bestFit="1" customWidth="1"/>
  </cols>
  <sheetData>
    <row r="1" spans="1:17" s="76" customFormat="1" ht="16.5">
      <c r="A1" s="74" t="s">
        <v>2243</v>
      </c>
      <c r="B1" s="74" t="s">
        <v>2244</v>
      </c>
      <c r="C1" s="74" t="s">
        <v>2245</v>
      </c>
      <c r="D1" s="74" t="s">
        <v>71</v>
      </c>
      <c r="E1" s="75" t="s">
        <v>2246</v>
      </c>
      <c r="F1" s="74" t="s">
        <v>72</v>
      </c>
      <c r="G1" s="76" t="s">
        <v>2247</v>
      </c>
      <c r="H1" s="76" t="s">
        <v>2248</v>
      </c>
      <c r="I1" s="76" t="s">
        <v>2249</v>
      </c>
      <c r="J1" s="74" t="s">
        <v>2250</v>
      </c>
      <c r="K1" s="74" t="s">
        <v>2251</v>
      </c>
      <c r="L1" s="74" t="s">
        <v>2252</v>
      </c>
      <c r="M1" s="74" t="s">
        <v>2253</v>
      </c>
      <c r="N1" s="74" t="s">
        <v>2254</v>
      </c>
      <c r="O1" s="74" t="s">
        <v>2255</v>
      </c>
      <c r="P1" s="74" t="s">
        <v>2256</v>
      </c>
      <c r="Q1" s="147" t="s">
        <v>2257</v>
      </c>
    </row>
    <row r="2" spans="1:17" hidden="1">
      <c r="A2" s="2">
        <v>201907</v>
      </c>
      <c r="B2" s="3">
        <v>43648</v>
      </c>
      <c r="C2" s="2" t="s">
        <v>2258</v>
      </c>
      <c r="D2" s="2" t="s">
        <v>38</v>
      </c>
      <c r="E2" s="2">
        <v>3.97</v>
      </c>
      <c r="F2" s="2" t="s">
        <v>38</v>
      </c>
      <c r="J2" s="2">
        <v>3.97</v>
      </c>
      <c r="K2" s="2" t="b">
        <v>0</v>
      </c>
      <c r="L2" s="2"/>
      <c r="M2" s="2"/>
      <c r="N2" s="4" t="s">
        <v>2259</v>
      </c>
      <c r="O2" s="4" t="str">
        <f>LEFT(Table2[[#This Row],[Description]],75)</f>
        <v>Amazon</v>
      </c>
      <c r="P2" s="2" t="s">
        <v>2260</v>
      </c>
    </row>
    <row r="3" spans="1:17" hidden="1">
      <c r="A3" s="2">
        <v>201907</v>
      </c>
      <c r="B3" s="3">
        <v>43648</v>
      </c>
      <c r="C3" s="2" t="s">
        <v>2261</v>
      </c>
      <c r="D3" s="2" t="s">
        <v>38</v>
      </c>
      <c r="E3" s="2">
        <v>3.97</v>
      </c>
      <c r="F3" s="2" t="s">
        <v>38</v>
      </c>
      <c r="J3" s="2">
        <v>3.97</v>
      </c>
      <c r="K3" s="2" t="b">
        <v>0</v>
      </c>
      <c r="L3" s="2"/>
      <c r="M3" s="2"/>
      <c r="N3" s="4" t="s">
        <v>2259</v>
      </c>
      <c r="O3" s="4" t="str">
        <f>LEFT(Table2[[#This Row],[Description]],75)</f>
        <v>Amazon</v>
      </c>
      <c r="P3" s="2"/>
    </row>
    <row r="4" spans="1:17" hidden="1">
      <c r="A4" s="2">
        <v>201907</v>
      </c>
      <c r="B4" s="3">
        <v>43648</v>
      </c>
      <c r="C4" s="2" t="s">
        <v>2262</v>
      </c>
      <c r="D4" s="2" t="s">
        <v>313</v>
      </c>
      <c r="E4" s="2">
        <v>58.95</v>
      </c>
      <c r="F4" s="2" t="s">
        <v>26</v>
      </c>
      <c r="J4" s="2">
        <v>58.95</v>
      </c>
      <c r="K4" s="2" t="b">
        <v>0</v>
      </c>
      <c r="L4" s="2"/>
      <c r="M4" s="2"/>
      <c r="N4" s="4" t="s">
        <v>2259</v>
      </c>
      <c r="O4" s="4" t="str">
        <f>LEFT(Table2[[#This Row],[Description]],75)</f>
        <v>Borough</v>
      </c>
      <c r="P4" s="2" t="s">
        <v>2263</v>
      </c>
    </row>
    <row r="5" spans="1:17" hidden="1">
      <c r="A5" s="2">
        <v>201907</v>
      </c>
      <c r="B5" s="3">
        <v>43648</v>
      </c>
      <c r="C5" s="2" t="s">
        <v>2262</v>
      </c>
      <c r="D5" s="2" t="s">
        <v>1707</v>
      </c>
      <c r="E5" s="2">
        <v>28.61</v>
      </c>
      <c r="F5" s="2" t="s">
        <v>23</v>
      </c>
      <c r="J5" s="2">
        <v>28.61</v>
      </c>
      <c r="K5" s="2" t="b">
        <v>0</v>
      </c>
      <c r="L5" s="2"/>
      <c r="M5" s="2"/>
      <c r="N5" s="4" t="s">
        <v>2259</v>
      </c>
      <c r="O5" s="4" t="str">
        <f>LEFT(Table2[[#This Row],[Description]],75)</f>
        <v>Speedway</v>
      </c>
      <c r="P5" s="2"/>
    </row>
    <row r="6" spans="1:17" hidden="1">
      <c r="A6" s="2">
        <v>201907</v>
      </c>
      <c r="B6" s="3">
        <v>43648</v>
      </c>
      <c r="C6" s="2" t="s">
        <v>2262</v>
      </c>
      <c r="D6" s="2" t="s">
        <v>1947</v>
      </c>
      <c r="E6" s="2">
        <v>-606.63</v>
      </c>
      <c r="F6" s="2" t="s">
        <v>9</v>
      </c>
      <c r="J6" s="2">
        <v>606.63</v>
      </c>
      <c r="K6" s="2" t="b">
        <v>0</v>
      </c>
      <c r="L6" s="2"/>
      <c r="M6" s="2"/>
      <c r="N6" s="2" t="s">
        <v>2264</v>
      </c>
      <c r="O6" s="2" t="str">
        <f>LEFT(Table2[[#This Row],[Description]],75)</f>
        <v>Transfer from POWERPLUS CHECKING</v>
      </c>
      <c r="P6" s="2"/>
    </row>
    <row r="7" spans="1:17" hidden="1">
      <c r="A7" s="2">
        <v>201907</v>
      </c>
      <c r="B7" s="3">
        <v>43648</v>
      </c>
      <c r="C7" s="2" t="s">
        <v>2265</v>
      </c>
      <c r="D7" s="2" t="s">
        <v>1951</v>
      </c>
      <c r="E7" s="2">
        <v>606.63</v>
      </c>
      <c r="F7" s="2" t="s">
        <v>9</v>
      </c>
      <c r="J7" s="2">
        <v>606.63</v>
      </c>
      <c r="K7" s="2" t="b">
        <v>0</v>
      </c>
      <c r="L7" s="2"/>
      <c r="M7" s="2"/>
      <c r="N7" s="4" t="s">
        <v>2259</v>
      </c>
      <c r="O7" s="4" t="str">
        <f>LEFT(Table2[[#This Row],[Description]],75)</f>
        <v>Transfer to Cash Rewards Visa Signature</v>
      </c>
      <c r="P7" s="2" t="s">
        <v>2266</v>
      </c>
    </row>
    <row r="8" spans="1:17" hidden="1">
      <c r="A8" s="2">
        <v>201907</v>
      </c>
      <c r="B8" s="3">
        <v>43648</v>
      </c>
      <c r="C8" s="2" t="s">
        <v>2267</v>
      </c>
      <c r="D8" s="2" t="s">
        <v>1951</v>
      </c>
      <c r="E8" s="2">
        <v>606.63</v>
      </c>
      <c r="F8" s="2" t="s">
        <v>9</v>
      </c>
      <c r="J8" s="2">
        <v>606.63</v>
      </c>
      <c r="K8" s="2" t="b">
        <v>0</v>
      </c>
      <c r="L8" s="2"/>
      <c r="M8" s="2"/>
      <c r="N8" s="4" t="s">
        <v>2259</v>
      </c>
      <c r="O8" s="4" t="str">
        <f>LEFT(Table2[[#This Row],[Description]],75)</f>
        <v>Transfer to Cash Rewards Visa Signature</v>
      </c>
      <c r="P8" s="2"/>
    </row>
    <row r="9" spans="1:17" hidden="1">
      <c r="A9" s="2">
        <v>201907</v>
      </c>
      <c r="B9" s="3">
        <v>43649</v>
      </c>
      <c r="C9" s="2" t="s">
        <v>2258</v>
      </c>
      <c r="D9" s="2" t="s">
        <v>38</v>
      </c>
      <c r="E9" s="2">
        <v>115.84</v>
      </c>
      <c r="F9" s="2" t="s">
        <v>38</v>
      </c>
      <c r="J9" s="2">
        <v>115.84</v>
      </c>
      <c r="K9" s="2" t="b">
        <v>0</v>
      </c>
      <c r="L9" s="2"/>
      <c r="M9" s="2"/>
      <c r="N9" s="4" t="s">
        <v>2259</v>
      </c>
      <c r="O9" s="4" t="str">
        <f>LEFT(Table2[[#This Row],[Description]],75)</f>
        <v>Amazon</v>
      </c>
      <c r="P9" s="2" t="s">
        <v>2260</v>
      </c>
    </row>
    <row r="10" spans="1:17" hidden="1">
      <c r="A10" s="2">
        <v>201907</v>
      </c>
      <c r="B10" s="3">
        <v>43649</v>
      </c>
      <c r="C10" s="2" t="s">
        <v>2261</v>
      </c>
      <c r="D10" s="2" t="s">
        <v>38</v>
      </c>
      <c r="E10" s="2">
        <v>115.84</v>
      </c>
      <c r="F10" s="2" t="s">
        <v>38</v>
      </c>
      <c r="J10" s="2">
        <v>115.84</v>
      </c>
      <c r="K10" s="2" t="b">
        <v>0</v>
      </c>
      <c r="L10" s="2"/>
      <c r="M10" s="2"/>
      <c r="N10" s="4" t="s">
        <v>2259</v>
      </c>
      <c r="O10" s="4" t="str">
        <f>LEFT(Table2[[#This Row],[Description]],75)</f>
        <v>Amazon</v>
      </c>
      <c r="P10" s="2"/>
    </row>
    <row r="11" spans="1:17" hidden="1">
      <c r="A11" s="2">
        <v>201907</v>
      </c>
      <c r="B11" s="3">
        <v>43649</v>
      </c>
      <c r="C11" s="2" t="s">
        <v>2265</v>
      </c>
      <c r="D11" s="2" t="s">
        <v>477</v>
      </c>
      <c r="E11" s="2">
        <v>247.5</v>
      </c>
      <c r="F11" s="2" t="s">
        <v>20</v>
      </c>
      <c r="J11" s="2">
        <v>247.5</v>
      </c>
      <c r="K11" s="2" t="b">
        <v>0</v>
      </c>
      <c r="L11" s="2"/>
      <c r="M11" s="2"/>
      <c r="N11" s="4" t="s">
        <v>2259</v>
      </c>
      <c r="O11" s="4" t="str">
        <f>LEFT(Table2[[#This Row],[Description]],75)</f>
        <v>CCLC TYPE INTERNET ID CO CCLC ACH ECC WEB ACH Trace 49616 233344358</v>
      </c>
      <c r="P11" s="2" t="s">
        <v>2268</v>
      </c>
    </row>
    <row r="12" spans="1:17" hidden="1">
      <c r="A12" s="2">
        <v>201907</v>
      </c>
      <c r="B12" s="3">
        <v>43649</v>
      </c>
      <c r="C12" s="2" t="s">
        <v>2267</v>
      </c>
      <c r="D12" s="2" t="s">
        <v>477</v>
      </c>
      <c r="E12" s="2">
        <v>247.5</v>
      </c>
      <c r="F12" s="2" t="s">
        <v>20</v>
      </c>
      <c r="J12" s="2">
        <v>247.5</v>
      </c>
      <c r="K12" s="2" t="b">
        <v>0</v>
      </c>
      <c r="L12" s="2"/>
      <c r="M12" s="2"/>
      <c r="N12" s="4" t="s">
        <v>2259</v>
      </c>
      <c r="O12" s="4" t="str">
        <f>LEFT(Table2[[#This Row],[Description]],75)</f>
        <v>CCLC TYPE INTERNET ID CO CCLC ACH ECC WEB ACH Trace 49616 233344358</v>
      </c>
      <c r="P12" s="2"/>
    </row>
    <row r="13" spans="1:17" hidden="1">
      <c r="A13" s="2">
        <v>201907</v>
      </c>
      <c r="B13" s="3">
        <v>43649</v>
      </c>
      <c r="C13" s="2" t="s">
        <v>2262</v>
      </c>
      <c r="D13" s="2" t="s">
        <v>684</v>
      </c>
      <c r="E13" s="2">
        <v>125.59</v>
      </c>
      <c r="F13" s="2" t="s">
        <v>28</v>
      </c>
      <c r="J13" s="2">
        <v>125.59</v>
      </c>
      <c r="K13" s="2" t="b">
        <v>0</v>
      </c>
      <c r="L13" s="2"/>
      <c r="M13" s="2"/>
      <c r="N13" s="4" t="s">
        <v>2259</v>
      </c>
      <c r="O13" s="4" t="str">
        <f>LEFT(Table2[[#This Row],[Description]],75)</f>
        <v>Cub Foods</v>
      </c>
      <c r="P13" s="2"/>
    </row>
    <row r="14" spans="1:17" hidden="1">
      <c r="A14" s="2">
        <v>201907</v>
      </c>
      <c r="B14" s="3">
        <v>43649</v>
      </c>
      <c r="C14" s="2" t="s">
        <v>2262</v>
      </c>
      <c r="D14" s="2" t="s">
        <v>1947</v>
      </c>
      <c r="E14" s="2">
        <v>-694.19</v>
      </c>
      <c r="F14" s="2" t="s">
        <v>9</v>
      </c>
      <c r="J14" s="2">
        <v>694.19</v>
      </c>
      <c r="K14" s="2" t="b">
        <v>0</v>
      </c>
      <c r="L14" s="2"/>
      <c r="M14" s="2"/>
      <c r="N14" s="2" t="s">
        <v>2264</v>
      </c>
      <c r="O14" s="2" t="str">
        <f>LEFT(Table2[[#This Row],[Description]],75)</f>
        <v>Transfer from POWERPLUS CHECKING</v>
      </c>
      <c r="P14" s="2"/>
    </row>
    <row r="15" spans="1:17" hidden="1">
      <c r="A15" s="2">
        <v>201907</v>
      </c>
      <c r="B15" s="3">
        <v>43649</v>
      </c>
      <c r="C15" s="2" t="s">
        <v>2265</v>
      </c>
      <c r="D15" s="2" t="s">
        <v>1951</v>
      </c>
      <c r="E15" s="2">
        <v>694.19</v>
      </c>
      <c r="F15" s="2" t="s">
        <v>9</v>
      </c>
      <c r="J15" s="2">
        <v>694.19</v>
      </c>
      <c r="K15" s="2" t="b">
        <v>0</v>
      </c>
      <c r="L15" s="2"/>
      <c r="M15" s="2"/>
      <c r="N15" s="4" t="s">
        <v>2259</v>
      </c>
      <c r="O15" s="4" t="str">
        <f>LEFT(Table2[[#This Row],[Description]],75)</f>
        <v>Transfer to Cash Rewards Visa Signature</v>
      </c>
      <c r="P15" s="2" t="s">
        <v>2266</v>
      </c>
    </row>
    <row r="16" spans="1:17" hidden="1">
      <c r="A16" s="2">
        <v>201907</v>
      </c>
      <c r="B16" s="3">
        <v>43649</v>
      </c>
      <c r="C16" s="2" t="s">
        <v>2267</v>
      </c>
      <c r="D16" s="2" t="s">
        <v>1951</v>
      </c>
      <c r="E16" s="2">
        <v>694.19</v>
      </c>
      <c r="F16" s="2" t="s">
        <v>9</v>
      </c>
      <c r="J16" s="2">
        <v>694.19</v>
      </c>
      <c r="K16" s="2" t="b">
        <v>0</v>
      </c>
      <c r="L16" s="2"/>
      <c r="M16" s="2"/>
      <c r="N16" s="4" t="s">
        <v>2259</v>
      </c>
      <c r="O16" s="4" t="str">
        <f>LEFT(Table2[[#This Row],[Description]],75)</f>
        <v>Transfer to Cash Rewards Visa Signature</v>
      </c>
      <c r="P16" s="2"/>
    </row>
    <row r="17" spans="1:16" hidden="1">
      <c r="A17" s="2">
        <v>201907</v>
      </c>
      <c r="B17" s="3">
        <v>43650</v>
      </c>
      <c r="C17" s="2" t="s">
        <v>2265</v>
      </c>
      <c r="D17" s="2" t="s">
        <v>2205</v>
      </c>
      <c r="E17" s="2">
        <v>2770.79</v>
      </c>
      <c r="F17" s="2" t="s">
        <v>5</v>
      </c>
      <c r="J17" s="2">
        <v>2770.79</v>
      </c>
      <c r="K17" s="2" t="b">
        <v>0</v>
      </c>
      <c r="L17" s="2"/>
      <c r="M17" s="2"/>
      <c r="N17" s="4" t="s">
        <v>2259</v>
      </c>
      <c r="O17" s="4" t="str">
        <f>LEFT(Table2[[#This Row],[Description]],75)</f>
        <v>Withdrawal Home To Loan Mortgage Payment Thank You 233602111</v>
      </c>
      <c r="P17" s="2" t="s">
        <v>2269</v>
      </c>
    </row>
    <row r="18" spans="1:16" hidden="1">
      <c r="A18" s="2">
        <v>201907</v>
      </c>
      <c r="B18" s="3">
        <v>43650</v>
      </c>
      <c r="C18" s="2" t="s">
        <v>2267</v>
      </c>
      <c r="D18" s="2" t="s">
        <v>2205</v>
      </c>
      <c r="E18" s="2">
        <v>2770.79</v>
      </c>
      <c r="F18" s="2" t="s">
        <v>5</v>
      </c>
      <c r="J18" s="2">
        <v>2770.79</v>
      </c>
      <c r="K18" s="2" t="b">
        <v>0</v>
      </c>
      <c r="L18" s="2"/>
      <c r="M18" s="2"/>
      <c r="N18" s="4" t="s">
        <v>2259</v>
      </c>
      <c r="O18" s="4" t="str">
        <f>LEFT(Table2[[#This Row],[Description]],75)</f>
        <v>Withdrawal Home To Loan Mortgage Payment Thank You 233602111</v>
      </c>
      <c r="P18" s="2"/>
    </row>
    <row r="19" spans="1:16" hidden="1">
      <c r="A19" s="2">
        <v>201907</v>
      </c>
      <c r="B19" s="3">
        <v>43650</v>
      </c>
      <c r="C19" s="2" t="s">
        <v>2262</v>
      </c>
      <c r="D19" s="2" t="s">
        <v>684</v>
      </c>
      <c r="E19" s="2">
        <v>136.88999999999999</v>
      </c>
      <c r="F19" s="2" t="s">
        <v>28</v>
      </c>
      <c r="J19" s="2">
        <v>136.88999999999999</v>
      </c>
      <c r="K19" s="2" t="b">
        <v>0</v>
      </c>
      <c r="L19" s="2"/>
      <c r="M19" s="2"/>
      <c r="N19" s="4" t="s">
        <v>2259</v>
      </c>
      <c r="O19" s="4" t="str">
        <f>LEFT(Table2[[#This Row],[Description]],75)</f>
        <v>Cub Foods</v>
      </c>
      <c r="P19" s="2"/>
    </row>
    <row r="20" spans="1:16" hidden="1">
      <c r="A20" s="2">
        <v>201907</v>
      </c>
      <c r="B20" s="3">
        <v>43650</v>
      </c>
      <c r="C20" s="2" t="s">
        <v>2262</v>
      </c>
      <c r="D20" s="2" t="s">
        <v>782</v>
      </c>
      <c r="E20" s="2">
        <v>5.38</v>
      </c>
      <c r="F20" s="2">
        <v>0</v>
      </c>
      <c r="J20" s="2">
        <v>5.38</v>
      </c>
      <c r="K20" s="2" t="b">
        <v>0</v>
      </c>
      <c r="L20" s="2"/>
      <c r="M20" s="2"/>
      <c r="N20" s="4" t="s">
        <v>2259</v>
      </c>
      <c r="O20" s="4" t="str">
        <f>LEFT(Table2[[#This Row],[Description]],75)</f>
        <v>Dollar Tree</v>
      </c>
      <c r="P20" s="2"/>
    </row>
    <row r="21" spans="1:16" hidden="1">
      <c r="A21" s="2">
        <v>201907</v>
      </c>
      <c r="B21" s="3">
        <v>43650</v>
      </c>
      <c r="C21" s="2" t="s">
        <v>2258</v>
      </c>
      <c r="D21" s="2" t="s">
        <v>1278</v>
      </c>
      <c r="E21" s="2">
        <v>100.23</v>
      </c>
      <c r="F21" s="2">
        <v>0</v>
      </c>
      <c r="J21" s="2">
        <v>100.23</v>
      </c>
      <c r="K21" s="2" t="b">
        <v>0</v>
      </c>
      <c r="L21" s="2"/>
      <c r="M21" s="2"/>
      <c r="N21" s="4" t="s">
        <v>2259</v>
      </c>
      <c r="O21" s="4" t="str">
        <f>LEFT(Table2[[#This Row],[Description]],75)</f>
        <v>MIYABI EXCELSIOR MN</v>
      </c>
      <c r="P21" s="2"/>
    </row>
    <row r="22" spans="1:16" hidden="1">
      <c r="A22" s="2">
        <v>201907</v>
      </c>
      <c r="B22" s="3">
        <v>43650</v>
      </c>
      <c r="C22" s="2" t="s">
        <v>2261</v>
      </c>
      <c r="D22" s="2" t="s">
        <v>1278</v>
      </c>
      <c r="E22" s="2">
        <v>100.23</v>
      </c>
      <c r="F22" s="2">
        <v>0</v>
      </c>
      <c r="J22" s="2">
        <v>100.23</v>
      </c>
      <c r="K22" s="2" t="b">
        <v>0</v>
      </c>
      <c r="L22" s="2"/>
      <c r="M22" s="2"/>
      <c r="N22" s="4" t="s">
        <v>2259</v>
      </c>
      <c r="O22" s="4" t="str">
        <f>LEFT(Table2[[#This Row],[Description]],75)</f>
        <v>MIYABI EXCELSIOR MN</v>
      </c>
      <c r="P22" s="2"/>
    </row>
    <row r="23" spans="1:16" hidden="1">
      <c r="A23" s="2">
        <v>201907</v>
      </c>
      <c r="B23" s="3">
        <v>43650</v>
      </c>
      <c r="C23" s="2" t="s">
        <v>2262</v>
      </c>
      <c r="D23" s="2" t="s">
        <v>1655</v>
      </c>
      <c r="E23" s="2">
        <v>9.8699999999999992</v>
      </c>
      <c r="F23" s="2">
        <v>0</v>
      </c>
      <c r="J23" s="2">
        <v>9.8699999999999992</v>
      </c>
      <c r="K23" s="2" t="b">
        <v>0</v>
      </c>
      <c r="L23" s="2"/>
      <c r="M23" s="2"/>
      <c r="N23" s="4" t="s">
        <v>2259</v>
      </c>
      <c r="O23" s="4" t="str">
        <f>LEFT(Table2[[#This Row],[Description]],75)</f>
        <v>SHOREWOOD LIQUOR EXCELSIOR MN 233755679</v>
      </c>
      <c r="P23" s="2"/>
    </row>
    <row r="24" spans="1:16" hidden="1">
      <c r="A24" s="2">
        <v>201907</v>
      </c>
      <c r="B24" s="3">
        <v>43650</v>
      </c>
      <c r="C24" s="2" t="s">
        <v>2262</v>
      </c>
      <c r="D24" s="2" t="s">
        <v>1656</v>
      </c>
      <c r="E24" s="2">
        <v>14.26</v>
      </c>
      <c r="F24" s="2">
        <v>0</v>
      </c>
      <c r="J24" s="2">
        <v>14.26</v>
      </c>
      <c r="K24" s="2" t="b">
        <v>0</v>
      </c>
      <c r="L24" s="2"/>
      <c r="M24" s="2"/>
      <c r="N24" s="4" t="s">
        <v>2259</v>
      </c>
      <c r="O24" s="4" t="str">
        <f>LEFT(Table2[[#This Row],[Description]],75)</f>
        <v>SHOREWOOD LIQUOR EXCELSIOR MN 233755680</v>
      </c>
      <c r="P24" s="2"/>
    </row>
    <row r="25" spans="1:16" hidden="1">
      <c r="A25" s="2">
        <v>201907</v>
      </c>
      <c r="B25" s="3">
        <v>43650</v>
      </c>
      <c r="C25" s="2" t="s">
        <v>2262</v>
      </c>
      <c r="D25" s="2" t="s">
        <v>1660</v>
      </c>
      <c r="E25" s="2">
        <v>33.29</v>
      </c>
      <c r="F25" s="2">
        <v>0</v>
      </c>
      <c r="J25" s="2">
        <v>33.29</v>
      </c>
      <c r="K25" s="2" t="b">
        <v>0</v>
      </c>
      <c r="L25" s="2"/>
      <c r="M25" s="2"/>
      <c r="N25" s="4" t="s">
        <v>2259</v>
      </c>
      <c r="O25" s="4" t="str">
        <f>LEFT(Table2[[#This Row],[Description]],75)</f>
        <v>SHOREWOOD TRUE VALUE EXCELSIOR MN 233755684</v>
      </c>
      <c r="P25" s="2"/>
    </row>
    <row r="26" spans="1:16" hidden="1">
      <c r="A26" s="2">
        <v>201907</v>
      </c>
      <c r="B26" s="3">
        <v>43650</v>
      </c>
      <c r="C26" s="2" t="s">
        <v>2262</v>
      </c>
      <c r="D26" s="2" t="s">
        <v>1680</v>
      </c>
      <c r="E26" s="2">
        <v>114.71</v>
      </c>
      <c r="F26" s="2" t="s">
        <v>21</v>
      </c>
      <c r="J26" s="2">
        <v>114.71</v>
      </c>
      <c r="K26" s="2" t="b">
        <v>0</v>
      </c>
      <c r="L26" s="2"/>
      <c r="M26" s="2"/>
      <c r="N26" s="4" t="s">
        <v>2259</v>
      </c>
      <c r="O26" s="4" t="str">
        <f>LEFT(Table2[[#This Row],[Description]],75)</f>
        <v>SOTA CLOTHING SPENCEDESIGNSMN 233755683</v>
      </c>
      <c r="P26" s="2"/>
    </row>
    <row r="27" spans="1:16" hidden="1">
      <c r="A27" s="2">
        <v>201907</v>
      </c>
      <c r="B27" s="3">
        <v>43651</v>
      </c>
      <c r="C27" s="2" t="s">
        <v>2270</v>
      </c>
      <c r="D27" s="2" t="s">
        <v>1412</v>
      </c>
      <c r="E27" s="2">
        <v>-533.82000000000005</v>
      </c>
      <c r="F27" s="2">
        <v>0</v>
      </c>
      <c r="J27" s="2">
        <v>533.82000000000005</v>
      </c>
      <c r="K27" s="2" t="b">
        <v>0</v>
      </c>
      <c r="L27" s="2"/>
      <c r="M27" s="2"/>
      <c r="N27" s="2" t="s">
        <v>2264</v>
      </c>
      <c r="O27" s="2" t="str">
        <f>LEFT(Table2[[#This Row],[Description]],75)</f>
        <v>PAYMENT 234306694</v>
      </c>
      <c r="P27" s="2"/>
    </row>
    <row r="28" spans="1:16" hidden="1">
      <c r="A28" s="2">
        <v>201907</v>
      </c>
      <c r="B28" s="3">
        <v>43651</v>
      </c>
      <c r="C28" s="2" t="s">
        <v>2271</v>
      </c>
      <c r="D28" s="2" t="s">
        <v>495</v>
      </c>
      <c r="E28" s="2">
        <v>130.44999999999999</v>
      </c>
      <c r="F28" s="2" t="s">
        <v>21</v>
      </c>
      <c r="J28" s="2">
        <v>130.44999999999999</v>
      </c>
      <c r="K28" s="2" t="b">
        <v>0</v>
      </c>
      <c r="L28" s="2"/>
      <c r="M28" s="2"/>
      <c r="N28" s="4" t="s">
        <v>2259</v>
      </c>
      <c r="O28" s="4" t="str">
        <f>LEFT(Table2[[#This Row],[Description]],75)</f>
        <v>CENTRAL CHECKOUT 79999999187086207507850</v>
      </c>
      <c r="P28" s="2"/>
    </row>
    <row r="29" spans="1:16" hidden="1">
      <c r="A29" s="2">
        <v>201907</v>
      </c>
      <c r="B29" s="3">
        <v>43651</v>
      </c>
      <c r="C29" s="2" t="s">
        <v>2265</v>
      </c>
      <c r="D29" s="2" t="s">
        <v>585</v>
      </c>
      <c r="E29" s="2">
        <v>100</v>
      </c>
      <c r="F29" s="2" t="s">
        <v>61</v>
      </c>
      <c r="J29" s="2">
        <v>100</v>
      </c>
      <c r="K29" s="2" t="b">
        <v>0</v>
      </c>
      <c r="L29" s="2"/>
      <c r="M29" s="2"/>
      <c r="N29" s="4" t="s">
        <v>2259</v>
      </c>
      <c r="O29" s="4" t="str">
        <f>LEFT(Table2[[#This Row],[Description]],75)</f>
        <v>College Savings TYPE ACH ID 550895818 CO College Savings ACH ECC PPD ACH Tr</v>
      </c>
      <c r="P29" s="2" t="s">
        <v>2272</v>
      </c>
    </row>
    <row r="30" spans="1:16" hidden="1">
      <c r="A30" s="2">
        <v>201907</v>
      </c>
      <c r="B30" s="3">
        <v>43651</v>
      </c>
      <c r="C30" s="2" t="s">
        <v>2267</v>
      </c>
      <c r="D30" s="2" t="s">
        <v>585</v>
      </c>
      <c r="E30" s="2">
        <v>100</v>
      </c>
      <c r="F30" s="2" t="s">
        <v>61</v>
      </c>
      <c r="J30" s="2">
        <v>100</v>
      </c>
      <c r="K30" s="2" t="b">
        <v>0</v>
      </c>
      <c r="L30" s="2"/>
      <c r="M30" s="2"/>
      <c r="N30" s="4" t="s">
        <v>2259</v>
      </c>
      <c r="O30" s="4" t="str">
        <f>LEFT(Table2[[#This Row],[Description]],75)</f>
        <v>College Savings TYPE ACH ID 550895818 CO College Savings ACH ECC PPD ACH Tr</v>
      </c>
      <c r="P30" s="2"/>
    </row>
    <row r="31" spans="1:16" hidden="1">
      <c r="A31" s="2">
        <v>201907</v>
      </c>
      <c r="B31" s="3">
        <v>43651</v>
      </c>
      <c r="C31" s="2" t="s">
        <v>2265</v>
      </c>
      <c r="D31" s="2" t="s">
        <v>711</v>
      </c>
      <c r="E31" s="2">
        <v>-32.85</v>
      </c>
      <c r="F31" s="2">
        <v>0</v>
      </c>
      <c r="J31" s="2">
        <v>32.85</v>
      </c>
      <c r="K31" s="2" t="b">
        <v>0</v>
      </c>
      <c r="L31" s="2"/>
      <c r="M31" s="2"/>
      <c r="N31" s="4" t="s">
        <v>2273</v>
      </c>
      <c r="O31" s="4" t="str">
        <f>LEFT(Table2[[#This Row],[Description]],75)</f>
        <v>Deposit by Check Deposit Anywhere check deposit 233928086</v>
      </c>
      <c r="P31" s="2"/>
    </row>
    <row r="32" spans="1:16" hidden="1">
      <c r="A32" s="2">
        <v>201907</v>
      </c>
      <c r="B32" s="3">
        <v>43651</v>
      </c>
      <c r="C32" s="2" t="s">
        <v>2267</v>
      </c>
      <c r="D32" s="2" t="s">
        <v>711</v>
      </c>
      <c r="E32" s="2">
        <v>-32.85</v>
      </c>
      <c r="F32" s="2">
        <v>0</v>
      </c>
      <c r="J32" s="2">
        <v>32.85</v>
      </c>
      <c r="K32" s="2" t="b">
        <v>0</v>
      </c>
      <c r="L32" s="2"/>
      <c r="M32" s="2"/>
      <c r="N32" s="2" t="s">
        <v>2264</v>
      </c>
      <c r="O32" s="2" t="str">
        <f>LEFT(Table2[[#This Row],[Description]],75)</f>
        <v>Deposit by Check Deposit Anywhere check deposit 233928086</v>
      </c>
      <c r="P32" s="2"/>
    </row>
    <row r="33" spans="1:16" hidden="1">
      <c r="A33" s="2">
        <v>201907</v>
      </c>
      <c r="B33" s="3">
        <v>43651</v>
      </c>
      <c r="C33" s="2" t="s">
        <v>2274</v>
      </c>
      <c r="D33" s="2" t="s">
        <v>971</v>
      </c>
      <c r="E33" s="2">
        <v>12.99</v>
      </c>
      <c r="F33" s="2">
        <v>0</v>
      </c>
      <c r="J33" s="2">
        <v>12.99</v>
      </c>
      <c r="K33" s="2" t="b">
        <v>0</v>
      </c>
      <c r="L33" s="2"/>
      <c r="M33" s="2"/>
      <c r="N33" s="4" t="s">
        <v>2259</v>
      </c>
      <c r="O33" s="4" t="str">
        <f>LEFT(Table2[[#This Row],[Description]],75)</f>
        <v>INST XFER 190704</v>
      </c>
      <c r="P33" s="2"/>
    </row>
    <row r="34" spans="1:16" hidden="1">
      <c r="A34" s="2">
        <v>201907</v>
      </c>
      <c r="B34" s="3">
        <v>43651</v>
      </c>
      <c r="C34" s="2" t="s">
        <v>2275</v>
      </c>
      <c r="D34" s="2" t="s">
        <v>1633</v>
      </c>
      <c r="E34" s="2">
        <v>150</v>
      </c>
      <c r="F34" s="2" t="s">
        <v>9</v>
      </c>
      <c r="J34" s="2">
        <v>150</v>
      </c>
      <c r="K34" s="2" t="b">
        <v>0</v>
      </c>
      <c r="L34" s="2"/>
      <c r="M34" s="2"/>
      <c r="N34" s="4" t="s">
        <v>2259</v>
      </c>
      <c r="O34" s="4" t="str">
        <f>LEFT(Table2[[#This Row],[Description]],75)</f>
        <v>SCHWAB S&amp;P 500 INDEX FD</v>
      </c>
      <c r="P34" s="2" t="s">
        <v>2276</v>
      </c>
    </row>
    <row r="35" spans="1:16" hidden="1">
      <c r="A35" s="2">
        <v>201907</v>
      </c>
      <c r="B35" s="3">
        <v>43651</v>
      </c>
      <c r="C35" s="2" t="s">
        <v>2277</v>
      </c>
      <c r="D35" s="2" t="s">
        <v>1633</v>
      </c>
      <c r="E35" s="2">
        <v>150</v>
      </c>
      <c r="F35" s="2" t="s">
        <v>9</v>
      </c>
      <c r="J35" s="2">
        <v>150</v>
      </c>
      <c r="K35" s="2" t="b">
        <v>0</v>
      </c>
      <c r="L35" s="2"/>
      <c r="M35" s="2"/>
      <c r="N35" s="4" t="s">
        <v>2259</v>
      </c>
      <c r="O35" s="4" t="str">
        <f>LEFT(Table2[[#This Row],[Description]],75)</f>
        <v>SCHWAB S&amp;P 500 INDEX FD</v>
      </c>
      <c r="P35" s="2" t="s">
        <v>2276</v>
      </c>
    </row>
    <row r="36" spans="1:16" hidden="1">
      <c r="A36" s="2">
        <v>201907</v>
      </c>
      <c r="B36" s="3">
        <v>43651</v>
      </c>
      <c r="C36" s="2" t="s">
        <v>2275</v>
      </c>
      <c r="D36" s="2" t="s">
        <v>1635</v>
      </c>
      <c r="E36" s="2">
        <v>150</v>
      </c>
      <c r="F36" s="2" t="s">
        <v>9</v>
      </c>
      <c r="J36" s="2">
        <v>150</v>
      </c>
      <c r="K36" s="2" t="b">
        <v>0</v>
      </c>
      <c r="L36" s="2"/>
      <c r="M36" s="2"/>
      <c r="N36" s="4" t="s">
        <v>2259</v>
      </c>
      <c r="O36" s="4" t="str">
        <f>LEFT(Table2[[#This Row],[Description]],75)</f>
        <v>SCHWAB TOTAL STOCK MKT INDEX</v>
      </c>
      <c r="P36" s="2" t="s">
        <v>2278</v>
      </c>
    </row>
    <row r="37" spans="1:16" hidden="1">
      <c r="A37" s="2">
        <v>201907</v>
      </c>
      <c r="B37" s="3">
        <v>43651</v>
      </c>
      <c r="C37" s="2" t="s">
        <v>2277</v>
      </c>
      <c r="D37" s="2" t="s">
        <v>1635</v>
      </c>
      <c r="E37" s="2">
        <v>150</v>
      </c>
      <c r="F37" s="2" t="s">
        <v>9</v>
      </c>
      <c r="J37" s="2">
        <v>150</v>
      </c>
      <c r="K37" s="2" t="b">
        <v>0</v>
      </c>
      <c r="L37" s="2"/>
      <c r="M37" s="2"/>
      <c r="N37" s="4" t="s">
        <v>2259</v>
      </c>
      <c r="O37" s="4" t="str">
        <f>LEFT(Table2[[#This Row],[Description]],75)</f>
        <v>SCHWAB TOTAL STOCK MKT INDEX</v>
      </c>
      <c r="P37" s="2"/>
    </row>
    <row r="38" spans="1:16" hidden="1">
      <c r="A38" s="2">
        <v>201907</v>
      </c>
      <c r="B38" s="3">
        <v>43653</v>
      </c>
      <c r="C38" s="2" t="s">
        <v>2262</v>
      </c>
      <c r="D38" s="2" t="s">
        <v>340</v>
      </c>
      <c r="E38" s="2">
        <v>26.04</v>
      </c>
      <c r="F38" s="2">
        <v>0</v>
      </c>
      <c r="J38" s="2">
        <v>26.04</v>
      </c>
      <c r="K38" s="2" t="b">
        <v>0</v>
      </c>
      <c r="L38" s="2"/>
      <c r="M38" s="2"/>
      <c r="N38" s="4" t="s">
        <v>2259</v>
      </c>
      <c r="O38" s="4" t="str">
        <f>LEFT(Table2[[#This Row],[Description]],75)</f>
        <v>Cabin Fever Sporting Goods Inc.</v>
      </c>
      <c r="P38" s="2"/>
    </row>
    <row r="39" spans="1:16" hidden="1">
      <c r="A39" s="2">
        <v>201907</v>
      </c>
      <c r="B39" s="3">
        <v>43653</v>
      </c>
      <c r="C39" s="2" t="s">
        <v>2262</v>
      </c>
      <c r="D39" s="2" t="s">
        <v>340</v>
      </c>
      <c r="E39" s="2">
        <v>41</v>
      </c>
      <c r="F39" s="2">
        <v>0</v>
      </c>
      <c r="J39" s="2">
        <v>41</v>
      </c>
      <c r="K39" s="2" t="b">
        <v>0</v>
      </c>
      <c r="L39" s="2"/>
      <c r="M39" s="2"/>
      <c r="N39" s="4" t="s">
        <v>2259</v>
      </c>
      <c r="O39" s="4" t="str">
        <f>LEFT(Table2[[#This Row],[Description]],75)</f>
        <v>Cabin Fever Sporting Goods Inc.</v>
      </c>
      <c r="P39" s="2"/>
    </row>
    <row r="40" spans="1:16" hidden="1">
      <c r="A40" s="2">
        <v>201907</v>
      </c>
      <c r="B40" s="3">
        <v>43654</v>
      </c>
      <c r="C40" s="2" t="s">
        <v>2258</v>
      </c>
      <c r="D40" s="2" t="s">
        <v>108</v>
      </c>
      <c r="E40" s="2">
        <v>105</v>
      </c>
      <c r="F40" s="2">
        <v>0</v>
      </c>
      <c r="J40" s="2">
        <v>105</v>
      </c>
      <c r="K40" s="2" t="b">
        <v>0</v>
      </c>
      <c r="L40" s="2"/>
      <c r="M40" s="2"/>
      <c r="N40" s="4" t="s">
        <v>2259</v>
      </c>
      <c r="O40" s="4" t="str">
        <f>LEFT(Table2[[#This Row],[Description]],75)</f>
        <v>ALLBIRDS 402-935-7733 CA</v>
      </c>
      <c r="P40" s="2"/>
    </row>
    <row r="41" spans="1:16" hidden="1">
      <c r="A41" s="2">
        <v>201907</v>
      </c>
      <c r="B41" s="3">
        <v>43654</v>
      </c>
      <c r="C41" s="2" t="s">
        <v>2261</v>
      </c>
      <c r="D41" s="2" t="s">
        <v>108</v>
      </c>
      <c r="E41" s="2">
        <v>105</v>
      </c>
      <c r="F41" s="2">
        <v>0</v>
      </c>
      <c r="J41" s="2">
        <v>105</v>
      </c>
      <c r="K41" s="2" t="b">
        <v>0</v>
      </c>
      <c r="L41" s="2"/>
      <c r="M41" s="2"/>
      <c r="N41" s="4" t="s">
        <v>2259</v>
      </c>
      <c r="O41" s="4" t="str">
        <f>LEFT(Table2[[#This Row],[Description]],75)</f>
        <v>ALLBIRDS 402-935-7733 CA</v>
      </c>
      <c r="P41" s="2"/>
    </row>
    <row r="42" spans="1:16" hidden="1">
      <c r="A42" s="2">
        <v>201907</v>
      </c>
      <c r="B42" s="3">
        <v>43654</v>
      </c>
      <c r="C42" s="2" t="s">
        <v>2265</v>
      </c>
      <c r="D42" s="2" t="s">
        <v>712</v>
      </c>
      <c r="E42" s="2">
        <v>-100</v>
      </c>
      <c r="F42" s="2">
        <v>0</v>
      </c>
      <c r="J42" s="2">
        <v>100</v>
      </c>
      <c r="K42" s="2" t="b">
        <v>0</v>
      </c>
      <c r="L42" s="2"/>
      <c r="M42" s="2"/>
      <c r="N42" s="4" t="s">
        <v>2273</v>
      </c>
      <c r="O42" s="4" t="str">
        <f>LEFT(Table2[[#This Row],[Description]],75)</f>
        <v>Deposit by Check Deposit Anywhere check deposit 234411967</v>
      </c>
      <c r="P42" s="2"/>
    </row>
    <row r="43" spans="1:16" hidden="1">
      <c r="A43" s="2">
        <v>201907</v>
      </c>
      <c r="B43" s="3">
        <v>43654</v>
      </c>
      <c r="C43" s="2" t="s">
        <v>2267</v>
      </c>
      <c r="D43" s="2" t="s">
        <v>712</v>
      </c>
      <c r="E43" s="2">
        <v>-100</v>
      </c>
      <c r="F43" s="2">
        <v>0</v>
      </c>
      <c r="J43" s="2">
        <v>100</v>
      </c>
      <c r="K43" s="2" t="b">
        <v>0</v>
      </c>
      <c r="L43" s="2"/>
      <c r="M43" s="2"/>
      <c r="N43" s="2" t="s">
        <v>2264</v>
      </c>
      <c r="O43" s="2" t="str">
        <f>LEFT(Table2[[#This Row],[Description]],75)</f>
        <v>Deposit by Check Deposit Anywhere check deposit 234411967</v>
      </c>
      <c r="P43" s="2"/>
    </row>
    <row r="44" spans="1:16" hidden="1">
      <c r="A44" s="2">
        <v>201907</v>
      </c>
      <c r="B44" s="3">
        <v>43654</v>
      </c>
      <c r="C44" s="2" t="s">
        <v>2265</v>
      </c>
      <c r="D44" s="2" t="s">
        <v>713</v>
      </c>
      <c r="E44" s="2">
        <v>-50</v>
      </c>
      <c r="F44" s="2">
        <v>0</v>
      </c>
      <c r="J44" s="2">
        <v>50</v>
      </c>
      <c r="K44" s="2" t="b">
        <v>0</v>
      </c>
      <c r="L44" s="2"/>
      <c r="M44" s="2"/>
      <c r="N44" s="4" t="s">
        <v>2273</v>
      </c>
      <c r="O44" s="4" t="str">
        <f>LEFT(Table2[[#This Row],[Description]],75)</f>
        <v>Deposit by Check Deposit Anywhere check deposit 234411968</v>
      </c>
      <c r="P44" s="2"/>
    </row>
    <row r="45" spans="1:16" hidden="1">
      <c r="A45" s="2">
        <v>201907</v>
      </c>
      <c r="B45" s="3">
        <v>43654</v>
      </c>
      <c r="C45" s="2" t="s">
        <v>2267</v>
      </c>
      <c r="D45" s="2" t="s">
        <v>713</v>
      </c>
      <c r="E45" s="2">
        <v>-50</v>
      </c>
      <c r="F45" s="2">
        <v>0</v>
      </c>
      <c r="J45" s="2">
        <v>50</v>
      </c>
      <c r="K45" s="2" t="b">
        <v>0</v>
      </c>
      <c r="L45" s="2"/>
      <c r="M45" s="2"/>
      <c r="N45" s="2" t="s">
        <v>2264</v>
      </c>
      <c r="O45" s="2" t="str">
        <f>LEFT(Table2[[#This Row],[Description]],75)</f>
        <v>Deposit by Check Deposit Anywhere check deposit 234411968</v>
      </c>
      <c r="P45" s="2"/>
    </row>
    <row r="46" spans="1:16" hidden="1">
      <c r="A46" s="2">
        <v>201907</v>
      </c>
      <c r="B46" s="3">
        <v>43654</v>
      </c>
      <c r="C46" s="2" t="s">
        <v>2262</v>
      </c>
      <c r="D46" s="2" t="s">
        <v>1519</v>
      </c>
      <c r="E46" s="2">
        <v>4.28</v>
      </c>
      <c r="F46" s="2" t="s">
        <v>40</v>
      </c>
      <c r="J46" s="2">
        <v>4.28</v>
      </c>
      <c r="K46" s="2" t="b">
        <v>0</v>
      </c>
      <c r="L46" s="2"/>
      <c r="M46" s="2"/>
      <c r="N46" s="4" t="s">
        <v>2259</v>
      </c>
      <c r="O46" s="4" t="str">
        <f>LEFT(Table2[[#This Row],[Description]],75)</f>
        <v>Prime VideoMH7ML21U2 8888023080 WA 234610356</v>
      </c>
      <c r="P46" s="2"/>
    </row>
    <row r="47" spans="1:16" hidden="1">
      <c r="A47" s="2">
        <v>201907</v>
      </c>
      <c r="B47" s="3">
        <v>43654</v>
      </c>
      <c r="C47" s="2" t="s">
        <v>2265</v>
      </c>
      <c r="D47" s="2" t="s">
        <v>2112</v>
      </c>
      <c r="E47" s="2">
        <v>-100</v>
      </c>
      <c r="F47" s="2" t="s">
        <v>9</v>
      </c>
      <c r="J47" s="2">
        <v>100</v>
      </c>
      <c r="K47" s="2" t="b">
        <v>0</v>
      </c>
      <c r="L47" s="2"/>
      <c r="M47" s="2"/>
      <c r="N47" s="4" t="s">
        <v>2273</v>
      </c>
      <c r="O47" s="4" t="str">
        <f>LEFT(Table2[[#This Row],[Description]],75)</f>
        <v>Venmo Type Cashout</v>
      </c>
      <c r="P47" s="2" t="s">
        <v>2279</v>
      </c>
    </row>
    <row r="48" spans="1:16" hidden="1">
      <c r="A48" s="2">
        <v>201907</v>
      </c>
      <c r="B48" s="3">
        <v>43654</v>
      </c>
      <c r="C48" s="2" t="s">
        <v>2267</v>
      </c>
      <c r="D48" s="2" t="s">
        <v>2112</v>
      </c>
      <c r="E48" s="2">
        <v>-100</v>
      </c>
      <c r="F48" s="2" t="s">
        <v>9</v>
      </c>
      <c r="J48" s="2">
        <v>100</v>
      </c>
      <c r="K48" s="2" t="b">
        <v>0</v>
      </c>
      <c r="L48" s="2"/>
      <c r="M48" s="2"/>
      <c r="N48" s="2" t="s">
        <v>2264</v>
      </c>
      <c r="O48" s="2" t="str">
        <f>LEFT(Table2[[#This Row],[Description]],75)</f>
        <v>Venmo Type Cashout</v>
      </c>
      <c r="P48" s="2" t="s">
        <v>2279</v>
      </c>
    </row>
    <row r="49" spans="1:16" hidden="1">
      <c r="A49" s="2">
        <v>201907</v>
      </c>
      <c r="B49" s="3">
        <v>43655</v>
      </c>
      <c r="C49" s="2" t="s">
        <v>2262</v>
      </c>
      <c r="D49" s="2" t="s">
        <v>38</v>
      </c>
      <c r="E49" s="2">
        <v>13.93</v>
      </c>
      <c r="F49" s="2" t="s">
        <v>38</v>
      </c>
      <c r="J49" s="2">
        <v>13.93</v>
      </c>
      <c r="K49" s="2" t="b">
        <v>0</v>
      </c>
      <c r="L49" s="2"/>
      <c r="M49" s="2"/>
      <c r="N49" s="4" t="s">
        <v>2259</v>
      </c>
      <c r="O49" s="4" t="str">
        <f>LEFT(Table2[[#This Row],[Description]],75)</f>
        <v>Amazon</v>
      </c>
      <c r="P49" s="2"/>
    </row>
    <row r="50" spans="1:16" hidden="1">
      <c r="A50" s="2">
        <v>201907</v>
      </c>
      <c r="B50" s="3">
        <v>43655</v>
      </c>
      <c r="C50" s="2" t="s">
        <v>2262</v>
      </c>
      <c r="D50" s="2" t="s">
        <v>684</v>
      </c>
      <c r="E50" s="2">
        <v>18.59</v>
      </c>
      <c r="F50" s="2" t="s">
        <v>28</v>
      </c>
      <c r="J50" s="2">
        <v>18.59</v>
      </c>
      <c r="K50" s="2" t="b">
        <v>0</v>
      </c>
      <c r="L50" s="2"/>
      <c r="M50" s="2"/>
      <c r="N50" s="4" t="s">
        <v>2259</v>
      </c>
      <c r="O50" s="4" t="str">
        <f>LEFT(Table2[[#This Row],[Description]],75)</f>
        <v>Cub Foods</v>
      </c>
      <c r="P50" s="2"/>
    </row>
    <row r="51" spans="1:16" hidden="1">
      <c r="A51" s="2">
        <v>201907</v>
      </c>
      <c r="B51" s="3">
        <v>43655</v>
      </c>
      <c r="C51" s="2" t="s">
        <v>2262</v>
      </c>
      <c r="D51" s="2" t="s">
        <v>684</v>
      </c>
      <c r="E51" s="2">
        <v>100.68</v>
      </c>
      <c r="F51" s="2" t="s">
        <v>28</v>
      </c>
      <c r="J51" s="2">
        <v>100.68</v>
      </c>
      <c r="K51" s="2" t="b">
        <v>0</v>
      </c>
      <c r="L51" s="2"/>
      <c r="M51" s="2"/>
      <c r="N51" s="4" t="s">
        <v>2259</v>
      </c>
      <c r="O51" s="4" t="str">
        <f>LEFT(Table2[[#This Row],[Description]],75)</f>
        <v>Cub Foods</v>
      </c>
      <c r="P51" s="2"/>
    </row>
    <row r="52" spans="1:16" hidden="1">
      <c r="A52" s="2">
        <v>201907</v>
      </c>
      <c r="B52" s="3">
        <v>43655</v>
      </c>
      <c r="C52" s="2" t="s">
        <v>2274</v>
      </c>
      <c r="D52" s="2" t="s">
        <v>972</v>
      </c>
      <c r="E52" s="2">
        <v>7.43</v>
      </c>
      <c r="F52" s="2">
        <v>0</v>
      </c>
      <c r="J52" s="2">
        <v>7.43</v>
      </c>
      <c r="K52" s="2" t="b">
        <v>0</v>
      </c>
      <c r="L52" s="2"/>
      <c r="M52" s="2"/>
      <c r="N52" s="4" t="s">
        <v>2259</v>
      </c>
      <c r="O52" s="4" t="str">
        <f>LEFT(Table2[[#This Row],[Description]],75)</f>
        <v>INST XFER 190708</v>
      </c>
      <c r="P52" s="2"/>
    </row>
    <row r="53" spans="1:16" hidden="1">
      <c r="A53" s="2">
        <v>201907</v>
      </c>
      <c r="B53" s="3">
        <v>43655</v>
      </c>
      <c r="C53" s="2" t="s">
        <v>2265</v>
      </c>
      <c r="D53" s="2" t="s">
        <v>1038</v>
      </c>
      <c r="E53" s="2">
        <v>-20.61</v>
      </c>
      <c r="F53" s="2">
        <v>0</v>
      </c>
      <c r="J53" s="2">
        <v>20.61</v>
      </c>
      <c r="K53" s="2" t="b">
        <v>0</v>
      </c>
      <c r="L53" s="2"/>
      <c r="M53" s="2"/>
      <c r="N53" s="4" t="s">
        <v>2273</v>
      </c>
      <c r="O53" s="4" t="str">
        <f>LEFT(Table2[[#This Row],[Description]],75)</f>
        <v>Kaufman Hall Type</v>
      </c>
      <c r="P53" s="2"/>
    </row>
    <row r="54" spans="1:16" hidden="1">
      <c r="A54" s="2">
        <v>201907</v>
      </c>
      <c r="B54" s="3">
        <v>43655</v>
      </c>
      <c r="C54" s="2" t="s">
        <v>2267</v>
      </c>
      <c r="D54" s="2" t="s">
        <v>1038</v>
      </c>
      <c r="E54" s="2">
        <v>-20.61</v>
      </c>
      <c r="F54" s="2">
        <v>0</v>
      </c>
      <c r="J54" s="2">
        <v>20.61</v>
      </c>
      <c r="K54" s="2" t="b">
        <v>0</v>
      </c>
      <c r="L54" s="2"/>
      <c r="M54" s="2"/>
      <c r="N54" s="2" t="s">
        <v>2264</v>
      </c>
      <c r="O54" s="2" t="str">
        <f>LEFT(Table2[[#This Row],[Description]],75)</f>
        <v>Kaufman Hall Type</v>
      </c>
      <c r="P54" s="2"/>
    </row>
    <row r="55" spans="1:16" hidden="1">
      <c r="A55" s="2">
        <v>201907</v>
      </c>
      <c r="B55" s="3">
        <v>43655</v>
      </c>
      <c r="C55" s="2" t="s">
        <v>2265</v>
      </c>
      <c r="D55" s="2" t="s">
        <v>2109</v>
      </c>
      <c r="E55" s="2">
        <v>25.5</v>
      </c>
      <c r="F55" s="2">
        <v>0</v>
      </c>
      <c r="J55" s="2">
        <v>25.5</v>
      </c>
      <c r="K55" s="2" t="b">
        <v>0</v>
      </c>
      <c r="L55" s="2"/>
      <c r="M55" s="2"/>
      <c r="N55" s="4" t="s">
        <v>2259</v>
      </c>
      <c r="O55" s="4" t="str">
        <f>LEFT(Table2[[#This Row],[Description]],75)</f>
        <v>Venmo</v>
      </c>
      <c r="P55" s="2"/>
    </row>
    <row r="56" spans="1:16" hidden="1">
      <c r="A56" s="2">
        <v>201907</v>
      </c>
      <c r="B56" s="3">
        <v>43655</v>
      </c>
      <c r="C56" s="2" t="s">
        <v>2267</v>
      </c>
      <c r="D56" s="2" t="s">
        <v>2109</v>
      </c>
      <c r="E56" s="2">
        <v>25.5</v>
      </c>
      <c r="F56" s="2">
        <v>0</v>
      </c>
      <c r="J56" s="2">
        <v>25.5</v>
      </c>
      <c r="K56" s="2" t="b">
        <v>0</v>
      </c>
      <c r="L56" s="2"/>
      <c r="M56" s="2"/>
      <c r="N56" s="4" t="s">
        <v>2259</v>
      </c>
      <c r="O56" s="4" t="str">
        <f>LEFT(Table2[[#This Row],[Description]],75)</f>
        <v>Venmo</v>
      </c>
      <c r="P56" s="2"/>
    </row>
    <row r="57" spans="1:16" hidden="1">
      <c r="A57" s="2">
        <v>201907</v>
      </c>
      <c r="B57" s="3">
        <v>43655</v>
      </c>
      <c r="C57" s="2" t="s">
        <v>2265</v>
      </c>
      <c r="D57" s="2" t="s">
        <v>2221</v>
      </c>
      <c r="E57" s="2">
        <v>119.79</v>
      </c>
      <c r="F57" s="2" t="s">
        <v>7</v>
      </c>
      <c r="J57" s="2">
        <v>119.79</v>
      </c>
      <c r="K57" s="2" t="b">
        <v>0</v>
      </c>
      <c r="L57" s="2"/>
      <c r="M57" s="2"/>
      <c r="N57" s="4" t="s">
        <v>2259</v>
      </c>
      <c r="O57" s="4" t="str">
        <f>LEFT(Table2[[#This Row],[Description]],75)</f>
        <v>Xcel Energy</v>
      </c>
      <c r="P57" s="2" t="s">
        <v>2280</v>
      </c>
    </row>
    <row r="58" spans="1:16" hidden="1">
      <c r="A58" s="2">
        <v>201907</v>
      </c>
      <c r="B58" s="3">
        <v>43655</v>
      </c>
      <c r="C58" s="2" t="s">
        <v>2267</v>
      </c>
      <c r="D58" s="2" t="s">
        <v>2221</v>
      </c>
      <c r="E58" s="2">
        <v>119.79</v>
      </c>
      <c r="F58" s="2" t="s">
        <v>7</v>
      </c>
      <c r="J58" s="2">
        <v>119.79</v>
      </c>
      <c r="K58" s="2" t="b">
        <v>0</v>
      </c>
      <c r="L58" s="2"/>
      <c r="M58" s="2"/>
      <c r="N58" s="4" t="s">
        <v>2259</v>
      </c>
      <c r="O58" s="4" t="str">
        <f>LEFT(Table2[[#This Row],[Description]],75)</f>
        <v>Xcel Energy</v>
      </c>
      <c r="P58" s="2"/>
    </row>
    <row r="59" spans="1:16" hidden="1">
      <c r="A59" s="2">
        <v>201907</v>
      </c>
      <c r="B59" s="3">
        <v>43656</v>
      </c>
      <c r="C59" s="2" t="s">
        <v>2258</v>
      </c>
      <c r="D59" s="2" t="s">
        <v>38</v>
      </c>
      <c r="E59" s="2">
        <v>26.83</v>
      </c>
      <c r="F59" s="2" t="s">
        <v>38</v>
      </c>
      <c r="J59" s="2">
        <v>26.83</v>
      </c>
      <c r="K59" s="2" t="b">
        <v>0</v>
      </c>
      <c r="L59" s="2"/>
      <c r="M59" s="2"/>
      <c r="N59" s="4" t="s">
        <v>2259</v>
      </c>
      <c r="O59" s="4" t="str">
        <f>LEFT(Table2[[#This Row],[Description]],75)</f>
        <v>Amazon</v>
      </c>
      <c r="P59" s="2" t="s">
        <v>2260</v>
      </c>
    </row>
    <row r="60" spans="1:16" hidden="1">
      <c r="A60" s="2">
        <v>201907</v>
      </c>
      <c r="B60" s="3">
        <v>43656</v>
      </c>
      <c r="C60" s="2" t="s">
        <v>2261</v>
      </c>
      <c r="D60" s="2" t="s">
        <v>38</v>
      </c>
      <c r="E60" s="2">
        <v>26.83</v>
      </c>
      <c r="F60" s="2" t="s">
        <v>38</v>
      </c>
      <c r="J60" s="2">
        <v>26.83</v>
      </c>
      <c r="K60" s="2" t="b">
        <v>0</v>
      </c>
      <c r="L60" s="2"/>
      <c r="M60" s="2"/>
      <c r="N60" s="4" t="s">
        <v>2259</v>
      </c>
      <c r="O60" s="4" t="str">
        <f>LEFT(Table2[[#This Row],[Description]],75)</f>
        <v>Amazon</v>
      </c>
      <c r="P60" s="2"/>
    </row>
    <row r="61" spans="1:16" hidden="1">
      <c r="A61" s="2">
        <v>201907</v>
      </c>
      <c r="B61" s="3">
        <v>43656</v>
      </c>
      <c r="C61" s="2" t="s">
        <v>2265</v>
      </c>
      <c r="D61" s="2" t="s">
        <v>476</v>
      </c>
      <c r="E61" s="2">
        <v>247.5</v>
      </c>
      <c r="F61" s="2" t="s">
        <v>20</v>
      </c>
      <c r="J61" s="2">
        <v>247.5</v>
      </c>
      <c r="K61" s="2" t="b">
        <v>0</v>
      </c>
      <c r="L61" s="2"/>
      <c r="M61" s="2"/>
      <c r="N61" s="4" t="s">
        <v>2259</v>
      </c>
      <c r="O61" s="4" t="str">
        <f>LEFT(Table2[[#This Row],[Description]],75)</f>
        <v>CCLC TYPE INTERNET ID CO CCLC ACH ECC WEB ACH Trace 46678 234870503</v>
      </c>
      <c r="P61" s="2" t="s">
        <v>2268</v>
      </c>
    </row>
    <row r="62" spans="1:16" hidden="1">
      <c r="A62" s="2">
        <v>201907</v>
      </c>
      <c r="B62" s="3">
        <v>43656</v>
      </c>
      <c r="C62" s="2" t="s">
        <v>2267</v>
      </c>
      <c r="D62" s="2" t="s">
        <v>476</v>
      </c>
      <c r="E62" s="2">
        <v>247.5</v>
      </c>
      <c r="F62" s="2" t="s">
        <v>20</v>
      </c>
      <c r="J62" s="2">
        <v>247.5</v>
      </c>
      <c r="K62" s="2" t="b">
        <v>0</v>
      </c>
      <c r="L62" s="2"/>
      <c r="M62" s="2"/>
      <c r="N62" s="4" t="s">
        <v>2259</v>
      </c>
      <c r="O62" s="4" t="str">
        <f>LEFT(Table2[[#This Row],[Description]],75)</f>
        <v>CCLC TYPE INTERNET ID CO CCLC ACH ECC WEB ACH Trace 46678 234870503</v>
      </c>
      <c r="P62" s="2"/>
    </row>
    <row r="63" spans="1:16" hidden="1">
      <c r="A63" s="2">
        <v>201907</v>
      </c>
      <c r="B63" s="3">
        <v>43656</v>
      </c>
      <c r="C63" s="2" t="s">
        <v>2262</v>
      </c>
      <c r="D63" s="2" t="s">
        <v>1255</v>
      </c>
      <c r="E63" s="2">
        <v>15.27</v>
      </c>
      <c r="F63" s="2">
        <v>0</v>
      </c>
      <c r="J63" s="2">
        <v>15.27</v>
      </c>
      <c r="K63" s="2" t="b">
        <v>0</v>
      </c>
      <c r="L63" s="2"/>
      <c r="M63" s="2"/>
      <c r="N63" s="4" t="s">
        <v>2259</v>
      </c>
      <c r="O63" s="4" t="str">
        <f>LEFT(Table2[[#This Row],[Description]],75)</f>
        <v>Milio's Sandwiches</v>
      </c>
      <c r="P63" s="2" t="s">
        <v>2281</v>
      </c>
    </row>
    <row r="64" spans="1:16" hidden="1">
      <c r="A64" s="2">
        <v>201907</v>
      </c>
      <c r="B64" s="3">
        <v>43656</v>
      </c>
      <c r="C64" s="2" t="s">
        <v>2262</v>
      </c>
      <c r="D64" s="2" t="s">
        <v>1647</v>
      </c>
      <c r="E64" s="2">
        <v>43.5</v>
      </c>
      <c r="F64" s="2">
        <v>0</v>
      </c>
      <c r="J64" s="2">
        <v>43.5</v>
      </c>
      <c r="K64" s="2" t="b">
        <v>0</v>
      </c>
      <c r="L64" s="2"/>
      <c r="M64" s="2"/>
      <c r="N64" s="4" t="s">
        <v>2259</v>
      </c>
      <c r="O64" s="4" t="str">
        <f>LEFT(Table2[[#This Row],[Description]],75)</f>
        <v>SEAT ENGINE LLC 8887328364 PA 235209088</v>
      </c>
      <c r="P64" s="2"/>
    </row>
    <row r="65" spans="1:16" hidden="1">
      <c r="A65" s="2">
        <v>201907</v>
      </c>
      <c r="B65" s="3">
        <v>43656</v>
      </c>
      <c r="C65" s="2" t="s">
        <v>2271</v>
      </c>
      <c r="D65" s="2" t="s">
        <v>31</v>
      </c>
      <c r="E65" s="2">
        <v>29.7</v>
      </c>
      <c r="F65" s="2" t="s">
        <v>31</v>
      </c>
      <c r="J65" s="2">
        <v>29.7</v>
      </c>
      <c r="K65" s="2" t="b">
        <v>0</v>
      </c>
      <c r="L65" s="2"/>
      <c r="M65" s="2"/>
      <c r="N65" s="4" t="s">
        <v>2259</v>
      </c>
      <c r="O65" s="4" t="str">
        <f>LEFT(Table2[[#This Row],[Description]],75)</f>
        <v>Target</v>
      </c>
      <c r="P65" s="2"/>
    </row>
    <row r="66" spans="1:16" hidden="1">
      <c r="A66" s="2">
        <v>201907</v>
      </c>
      <c r="B66" s="3">
        <v>43657</v>
      </c>
      <c r="C66" s="2" t="s">
        <v>2265</v>
      </c>
      <c r="D66" s="2" t="s">
        <v>425</v>
      </c>
      <c r="E66" s="2">
        <v>-87.26</v>
      </c>
      <c r="F66" s="2" t="s">
        <v>16</v>
      </c>
      <c r="J66" s="2">
        <v>87.26</v>
      </c>
      <c r="K66" s="2" t="b">
        <v>0</v>
      </c>
      <c r="L66" s="2"/>
      <c r="M66" s="2"/>
      <c r="N66" s="4" t="s">
        <v>2273</v>
      </c>
      <c r="O66" s="4" t="str">
        <f>LEFT(Table2[[#This Row],[Description]],75)</f>
        <v>Cargill Incorpor Type</v>
      </c>
      <c r="P66" s="2" t="s">
        <v>2282</v>
      </c>
    </row>
    <row r="67" spans="1:16" hidden="1">
      <c r="A67" s="2">
        <v>201907</v>
      </c>
      <c r="B67" s="3">
        <v>43657</v>
      </c>
      <c r="C67" s="2" t="s">
        <v>2267</v>
      </c>
      <c r="D67" s="2" t="s">
        <v>425</v>
      </c>
      <c r="E67" s="2">
        <v>-87.26</v>
      </c>
      <c r="F67" s="2" t="s">
        <v>16</v>
      </c>
      <c r="J67" s="2">
        <v>87.26</v>
      </c>
      <c r="K67" s="2" t="b">
        <v>0</v>
      </c>
      <c r="L67" s="2"/>
      <c r="M67" s="2"/>
      <c r="N67" s="2" t="s">
        <v>2264</v>
      </c>
      <c r="O67" s="2" t="str">
        <f>LEFT(Table2[[#This Row],[Description]],75)</f>
        <v>Cargill Incorpor Type</v>
      </c>
      <c r="P67" s="2"/>
    </row>
    <row r="68" spans="1:16" hidden="1">
      <c r="A68" s="2">
        <v>201907</v>
      </c>
      <c r="B68" s="3">
        <v>43657</v>
      </c>
      <c r="C68" s="2" t="s">
        <v>2262</v>
      </c>
      <c r="D68" s="2" t="s">
        <v>953</v>
      </c>
      <c r="E68" s="2">
        <v>8.8800000000000008</v>
      </c>
      <c r="F68" s="2" t="s">
        <v>23</v>
      </c>
      <c r="J68" s="2">
        <v>8.8800000000000008</v>
      </c>
      <c r="K68" s="2" t="b">
        <v>0</v>
      </c>
      <c r="L68" s="2"/>
      <c r="M68" s="2"/>
      <c r="N68" s="4" t="s">
        <v>2259</v>
      </c>
      <c r="O68" s="4" t="str">
        <f>LEFT(Table2[[#This Row],[Description]],75)</f>
        <v>Hudson News</v>
      </c>
      <c r="P68" s="2" t="s">
        <v>2283</v>
      </c>
    </row>
    <row r="69" spans="1:16" hidden="1">
      <c r="A69" s="2">
        <v>201907</v>
      </c>
      <c r="B69" s="3">
        <v>43658</v>
      </c>
      <c r="C69" s="2" t="s">
        <v>2262</v>
      </c>
      <c r="D69" s="2" t="s">
        <v>328</v>
      </c>
      <c r="E69" s="2">
        <v>9.92</v>
      </c>
      <c r="F69" s="2" t="s">
        <v>23</v>
      </c>
      <c r="J69" s="2">
        <v>9.92</v>
      </c>
      <c r="K69" s="2" t="b">
        <v>0</v>
      </c>
      <c r="L69" s="2"/>
      <c r="M69" s="2"/>
      <c r="N69" s="4" t="s">
        <v>2259</v>
      </c>
      <c r="O69" s="4" t="str">
        <f>LEFT(Table2[[#This Row],[Description]],75)</f>
        <v>Buffalo Niagara Taxi</v>
      </c>
      <c r="P69" s="2"/>
    </row>
    <row r="70" spans="1:16" hidden="1">
      <c r="A70" s="2">
        <v>201907</v>
      </c>
      <c r="B70" s="3">
        <v>43659</v>
      </c>
      <c r="C70" s="2" t="s">
        <v>2258</v>
      </c>
      <c r="D70" s="2" t="s">
        <v>97</v>
      </c>
      <c r="E70" s="2">
        <v>17.8</v>
      </c>
      <c r="F70" s="2">
        <v>0</v>
      </c>
      <c r="J70" s="2">
        <v>17.8</v>
      </c>
      <c r="K70" s="2" t="b">
        <v>0</v>
      </c>
      <c r="L70" s="2"/>
      <c r="M70" s="2"/>
      <c r="N70" s="4" t="s">
        <v>2259</v>
      </c>
      <c r="O70" s="4" t="str">
        <f>LEFT(Table2[[#This Row],[Description]],75)</f>
        <v>Acme</v>
      </c>
      <c r="P70" s="2"/>
    </row>
    <row r="71" spans="1:16" hidden="1">
      <c r="A71" s="2">
        <v>201907</v>
      </c>
      <c r="B71" s="3">
        <v>43659</v>
      </c>
      <c r="C71" s="2" t="s">
        <v>2261</v>
      </c>
      <c r="D71" s="2" t="s">
        <v>97</v>
      </c>
      <c r="E71" s="2">
        <v>17.8</v>
      </c>
      <c r="F71" s="2">
        <v>0</v>
      </c>
      <c r="J71" s="2">
        <v>17.8</v>
      </c>
      <c r="K71" s="2" t="b">
        <v>0</v>
      </c>
      <c r="L71" s="2"/>
      <c r="M71" s="2"/>
      <c r="N71" s="4" t="s">
        <v>2259</v>
      </c>
      <c r="O71" s="4" t="str">
        <f>LEFT(Table2[[#This Row],[Description]],75)</f>
        <v>Acme</v>
      </c>
      <c r="P71" s="2" t="s">
        <v>2281</v>
      </c>
    </row>
    <row r="72" spans="1:16" hidden="1">
      <c r="A72" s="2">
        <v>201907</v>
      </c>
      <c r="B72" s="3">
        <v>43659</v>
      </c>
      <c r="C72" s="2" t="s">
        <v>2258</v>
      </c>
      <c r="D72" s="2" t="s">
        <v>251</v>
      </c>
      <c r="E72" s="2">
        <v>131.79</v>
      </c>
      <c r="F72" s="2">
        <v>0</v>
      </c>
      <c r="J72" s="2">
        <v>131.79</v>
      </c>
      <c r="K72" s="2" t="b">
        <v>0</v>
      </c>
      <c r="L72" s="2"/>
      <c r="M72" s="2"/>
      <c r="N72" s="4" t="s">
        <v>2259</v>
      </c>
      <c r="O72" s="4" t="str">
        <f>LEFT(Table2[[#This Row],[Description]],75)</f>
        <v>BAR LA GRASSA MINNEAPOLIS MN</v>
      </c>
      <c r="P72" s="2"/>
    </row>
    <row r="73" spans="1:16" hidden="1">
      <c r="A73" s="2">
        <v>201907</v>
      </c>
      <c r="B73" s="3">
        <v>43659</v>
      </c>
      <c r="C73" s="2" t="s">
        <v>2261</v>
      </c>
      <c r="D73" s="2" t="s">
        <v>251</v>
      </c>
      <c r="E73" s="2">
        <v>131.79</v>
      </c>
      <c r="F73" s="2">
        <v>0</v>
      </c>
      <c r="J73" s="2">
        <v>131.79</v>
      </c>
      <c r="K73" s="2" t="b">
        <v>0</v>
      </c>
      <c r="L73" s="2"/>
      <c r="M73" s="2"/>
      <c r="N73" s="4" t="s">
        <v>2259</v>
      </c>
      <c r="O73" s="4" t="str">
        <f>LEFT(Table2[[#This Row],[Description]],75)</f>
        <v>BAR LA GRASSA MINNEAPOLIS MN</v>
      </c>
      <c r="P73" s="2" t="s">
        <v>2281</v>
      </c>
    </row>
    <row r="74" spans="1:16" hidden="1">
      <c r="A74" s="2">
        <v>201907</v>
      </c>
      <c r="B74" s="3">
        <v>43659</v>
      </c>
      <c r="C74" s="2" t="s">
        <v>2265</v>
      </c>
      <c r="D74" s="2" t="s">
        <v>357</v>
      </c>
      <c r="E74" s="2">
        <v>-2439.29</v>
      </c>
      <c r="F74" s="2" t="s">
        <v>65</v>
      </c>
      <c r="J74" s="2">
        <v>2439.29</v>
      </c>
      <c r="K74" s="2" t="b">
        <v>0</v>
      </c>
      <c r="L74" s="2"/>
      <c r="M74" s="2"/>
      <c r="N74" s="4" t="s">
        <v>2273</v>
      </c>
      <c r="O74" s="4" t="str">
        <f>LEFT(Table2[[#This Row],[Description]],75)</f>
        <v xml:space="preserve">CARGILL COCOA TYPE DIR DEP ID CO CARGILL COCOA ACH ECC PPD ACH Trace 05327 </v>
      </c>
      <c r="P74" s="2" t="s">
        <v>2284</v>
      </c>
    </row>
    <row r="75" spans="1:16" hidden="1">
      <c r="A75" s="2">
        <v>201907</v>
      </c>
      <c r="B75" s="3">
        <v>43659</v>
      </c>
      <c r="C75" s="2" t="s">
        <v>2267</v>
      </c>
      <c r="D75" s="2" t="s">
        <v>357</v>
      </c>
      <c r="E75" s="2">
        <v>-2439.29</v>
      </c>
      <c r="F75" s="2" t="s">
        <v>65</v>
      </c>
      <c r="J75" s="2">
        <v>2439.29</v>
      </c>
      <c r="K75" s="2" t="b">
        <v>0</v>
      </c>
      <c r="L75" s="2"/>
      <c r="M75" s="2"/>
      <c r="N75" s="2" t="s">
        <v>2264</v>
      </c>
      <c r="O75" s="2" t="str">
        <f>LEFT(Table2[[#This Row],[Description]],75)</f>
        <v xml:space="preserve">CARGILL COCOA TYPE DIR DEP ID CO CARGILL COCOA ACH ECC PPD ACH Trace 05327 </v>
      </c>
      <c r="P75" s="2"/>
    </row>
    <row r="76" spans="1:16" hidden="1">
      <c r="A76" s="2">
        <v>201907</v>
      </c>
      <c r="B76" s="3">
        <v>43659</v>
      </c>
      <c r="C76" s="2" t="s">
        <v>2271</v>
      </c>
      <c r="D76" s="2" t="s">
        <v>496</v>
      </c>
      <c r="E76" s="2">
        <v>153.38</v>
      </c>
      <c r="F76" s="2" t="s">
        <v>21</v>
      </c>
      <c r="J76" s="2">
        <v>153.38</v>
      </c>
      <c r="K76" s="2" t="b">
        <v>0</v>
      </c>
      <c r="L76" s="2"/>
      <c r="M76" s="2"/>
      <c r="N76" s="4" t="s">
        <v>2259</v>
      </c>
      <c r="O76" s="4" t="str">
        <f>LEFT(Table2[[#This Row],[Description]],75)</f>
        <v>CENTRAL CHECKOUT 79999999194135608672416</v>
      </c>
      <c r="P76" s="2"/>
    </row>
    <row r="77" spans="1:16" hidden="1">
      <c r="A77" s="2">
        <v>201907</v>
      </c>
      <c r="B77" s="3">
        <v>43659</v>
      </c>
      <c r="C77" s="2" t="s">
        <v>2265</v>
      </c>
      <c r="D77" s="2" t="s">
        <v>1048</v>
      </c>
      <c r="E77" s="2">
        <v>-2570.35</v>
      </c>
      <c r="F77" s="2" t="s">
        <v>63</v>
      </c>
      <c r="J77" s="2">
        <v>2570.35</v>
      </c>
      <c r="K77" s="2" t="b">
        <v>0</v>
      </c>
      <c r="L77" s="2"/>
      <c r="M77" s="2"/>
      <c r="N77" s="4" t="s">
        <v>2273</v>
      </c>
      <c r="O77" s="4" t="str">
        <f>LEFT(Table2[[#This Row],[Description]],75)</f>
        <v>KAUFMAN HALL TYPE DIRECT DEP ID CO KAUFMAN HALL ACH ECC PPD ACH Trace 45671</v>
      </c>
      <c r="P77" s="2" t="s">
        <v>2285</v>
      </c>
    </row>
    <row r="78" spans="1:16" hidden="1">
      <c r="A78" s="2">
        <v>201907</v>
      </c>
      <c r="B78" s="3">
        <v>43659</v>
      </c>
      <c r="C78" s="2" t="s">
        <v>2267</v>
      </c>
      <c r="D78" s="2" t="s">
        <v>1048</v>
      </c>
      <c r="E78" s="2">
        <v>-2570.35</v>
      </c>
      <c r="F78" s="2" t="s">
        <v>63</v>
      </c>
      <c r="J78" s="2">
        <v>2570.35</v>
      </c>
      <c r="K78" s="2" t="b">
        <v>0</v>
      </c>
      <c r="L78" s="2"/>
      <c r="M78" s="2"/>
      <c r="N78" s="2" t="s">
        <v>2264</v>
      </c>
      <c r="O78" s="2" t="str">
        <f>LEFT(Table2[[#This Row],[Description]],75)</f>
        <v>KAUFMAN HALL TYPE DIRECT DEP ID CO KAUFMAN HALL ACH ECC PPD ACH Trace 45671</v>
      </c>
      <c r="P78" s="2"/>
    </row>
    <row r="79" spans="1:16" hidden="1">
      <c r="A79" s="2">
        <v>201907</v>
      </c>
      <c r="B79" s="3">
        <v>43659</v>
      </c>
      <c r="C79" s="2" t="s">
        <v>2265</v>
      </c>
      <c r="D79" s="2" t="s">
        <v>2139</v>
      </c>
      <c r="E79" s="2">
        <v>103</v>
      </c>
      <c r="F79" s="2">
        <v>0</v>
      </c>
      <c r="J79" s="2">
        <v>103</v>
      </c>
      <c r="K79" s="2" t="b">
        <v>0</v>
      </c>
      <c r="L79" s="2"/>
      <c r="M79" s="2"/>
      <c r="N79" s="4" t="s">
        <v>2259</v>
      </c>
      <c r="O79" s="4" t="str">
        <f>LEFT(Table2[[#This Row],[Description]],75)</f>
        <v>Washington Gas</v>
      </c>
      <c r="P79" s="2"/>
    </row>
    <row r="80" spans="1:16" hidden="1">
      <c r="A80" s="2">
        <v>201907</v>
      </c>
      <c r="B80" s="3">
        <v>43659</v>
      </c>
      <c r="C80" s="2" t="s">
        <v>2267</v>
      </c>
      <c r="D80" s="2" t="s">
        <v>2139</v>
      </c>
      <c r="E80" s="2">
        <v>103</v>
      </c>
      <c r="F80" s="2">
        <v>0</v>
      </c>
      <c r="J80" s="2">
        <v>103</v>
      </c>
      <c r="K80" s="2" t="b">
        <v>0</v>
      </c>
      <c r="L80" s="2"/>
      <c r="M80" s="2"/>
      <c r="N80" s="4" t="s">
        <v>2259</v>
      </c>
      <c r="O80" s="4" t="str">
        <f>LEFT(Table2[[#This Row],[Description]],75)</f>
        <v>Washington Gas</v>
      </c>
      <c r="P80" s="2" t="s">
        <v>2281</v>
      </c>
    </row>
    <row r="81" spans="1:16" hidden="1">
      <c r="A81" s="2">
        <v>201907</v>
      </c>
      <c r="B81" s="3">
        <v>43660</v>
      </c>
      <c r="C81" s="2" t="s">
        <v>2262</v>
      </c>
      <c r="D81" s="2" t="s">
        <v>443</v>
      </c>
      <c r="E81" s="2">
        <v>43.91</v>
      </c>
      <c r="F81" s="2" t="s">
        <v>28</v>
      </c>
      <c r="J81" s="2">
        <v>43.91</v>
      </c>
      <c r="K81" s="2" t="b">
        <v>0</v>
      </c>
      <c r="L81" s="2"/>
      <c r="M81" s="2"/>
      <c r="N81" s="4" t="s">
        <v>2259</v>
      </c>
      <c r="O81" s="4" t="str">
        <f>LEFT(Table2[[#This Row],[Description]],75)</f>
        <v>CARGILL PRODUC20081436 WAYZATA MN 235985503</v>
      </c>
      <c r="P81" s="2"/>
    </row>
    <row r="82" spans="1:16" hidden="1">
      <c r="A82" s="2">
        <v>201907</v>
      </c>
      <c r="B82" s="3">
        <v>43660</v>
      </c>
      <c r="C82" s="2" t="s">
        <v>2262</v>
      </c>
      <c r="D82" s="2" t="s">
        <v>444</v>
      </c>
      <c r="E82" s="2">
        <v>48.25</v>
      </c>
      <c r="F82" s="2" t="s">
        <v>28</v>
      </c>
      <c r="J82" s="2">
        <v>48.25</v>
      </c>
      <c r="K82" s="2" t="b">
        <v>0</v>
      </c>
      <c r="L82" s="2"/>
      <c r="M82" s="2"/>
      <c r="N82" s="4" t="s">
        <v>2259</v>
      </c>
      <c r="O82" s="4" t="str">
        <f>LEFT(Table2[[#This Row],[Description]],75)</f>
        <v>CARGILL PRODUC20081436 WAYZATA MN 235985504</v>
      </c>
      <c r="P82" s="2"/>
    </row>
    <row r="83" spans="1:16" hidden="1">
      <c r="A83" s="2">
        <v>201907</v>
      </c>
      <c r="B83" s="3">
        <v>43660</v>
      </c>
      <c r="C83" s="2" t="s">
        <v>2262</v>
      </c>
      <c r="D83" s="2" t="s">
        <v>684</v>
      </c>
      <c r="E83" s="2">
        <v>92.89</v>
      </c>
      <c r="F83" s="2" t="s">
        <v>28</v>
      </c>
      <c r="J83" s="2">
        <v>92.89</v>
      </c>
      <c r="K83" s="2" t="b">
        <v>0</v>
      </c>
      <c r="L83" s="2"/>
      <c r="M83" s="2"/>
      <c r="N83" s="4" t="s">
        <v>2259</v>
      </c>
      <c r="O83" s="4" t="str">
        <f>LEFT(Table2[[#This Row],[Description]],75)</f>
        <v>Cub Foods</v>
      </c>
      <c r="P83" s="2"/>
    </row>
    <row r="84" spans="1:16" hidden="1">
      <c r="A84" s="2">
        <v>201907</v>
      </c>
      <c r="B84" s="3">
        <v>43660</v>
      </c>
      <c r="C84" s="2" t="s">
        <v>2262</v>
      </c>
      <c r="D84" s="2" t="s">
        <v>1358</v>
      </c>
      <c r="E84" s="2">
        <v>62.13</v>
      </c>
      <c r="F84" s="2">
        <v>0</v>
      </c>
      <c r="J84" s="2">
        <v>62.13</v>
      </c>
      <c r="K84" s="2" t="b">
        <v>0</v>
      </c>
      <c r="L84" s="2"/>
      <c r="M84" s="2"/>
      <c r="N84" s="4" t="s">
        <v>2259</v>
      </c>
      <c r="O84" s="4" t="str">
        <f>LEFT(Table2[[#This Row],[Description]],75)</f>
        <v>NORTH COOP CHAHASSEN MN 235985506</v>
      </c>
      <c r="P84" s="2" t="s">
        <v>2281</v>
      </c>
    </row>
    <row r="85" spans="1:16" hidden="1">
      <c r="A85" s="2">
        <v>201907</v>
      </c>
      <c r="B85" s="3">
        <v>43660</v>
      </c>
      <c r="C85" s="2" t="s">
        <v>2262</v>
      </c>
      <c r="D85" s="2" t="s">
        <v>1359</v>
      </c>
      <c r="E85" s="2">
        <v>18.73</v>
      </c>
      <c r="F85" s="2">
        <v>0</v>
      </c>
      <c r="J85" s="2">
        <v>18.73</v>
      </c>
      <c r="K85" s="2" t="b">
        <v>0</v>
      </c>
      <c r="L85" s="2"/>
      <c r="M85" s="2"/>
      <c r="N85" s="4" t="s">
        <v>2259</v>
      </c>
      <c r="O85" s="4" t="str">
        <f>LEFT(Table2[[#This Row],[Description]],75)</f>
        <v>NORTH COOP CHAHASSEN MN 235985507</v>
      </c>
      <c r="P85" s="2" t="s">
        <v>2281</v>
      </c>
    </row>
    <row r="86" spans="1:16" hidden="1">
      <c r="A86" s="2">
        <v>201907</v>
      </c>
      <c r="B86" s="3">
        <v>43661</v>
      </c>
      <c r="C86" s="2" t="s">
        <v>2258</v>
      </c>
      <c r="D86" s="2" t="s">
        <v>38</v>
      </c>
      <c r="E86" s="2">
        <v>9.64</v>
      </c>
      <c r="F86" s="2" t="s">
        <v>38</v>
      </c>
      <c r="J86" s="2">
        <v>9.64</v>
      </c>
      <c r="K86" s="2" t="b">
        <v>0</v>
      </c>
      <c r="L86" s="2"/>
      <c r="M86" s="2"/>
      <c r="N86" s="4" t="s">
        <v>2259</v>
      </c>
      <c r="O86" s="4" t="str">
        <f>LEFT(Table2[[#This Row],[Description]],75)</f>
        <v>Amazon</v>
      </c>
      <c r="P86" s="2" t="s">
        <v>2260</v>
      </c>
    </row>
    <row r="87" spans="1:16" hidden="1">
      <c r="A87" s="2">
        <v>201907</v>
      </c>
      <c r="B87" s="3">
        <v>43661</v>
      </c>
      <c r="C87" s="2" t="s">
        <v>2261</v>
      </c>
      <c r="D87" s="2" t="s">
        <v>38</v>
      </c>
      <c r="E87" s="2">
        <v>9.64</v>
      </c>
      <c r="F87" s="2" t="s">
        <v>38</v>
      </c>
      <c r="J87" s="2">
        <v>9.64</v>
      </c>
      <c r="K87" s="2" t="b">
        <v>0</v>
      </c>
      <c r="L87" s="2"/>
      <c r="M87" s="2"/>
      <c r="N87" s="4" t="s">
        <v>2259</v>
      </c>
      <c r="O87" s="4" t="str">
        <f>LEFT(Table2[[#This Row],[Description]],75)</f>
        <v>Amazon</v>
      </c>
      <c r="P87" s="2"/>
    </row>
    <row r="88" spans="1:16" hidden="1">
      <c r="A88" s="2">
        <v>201907</v>
      </c>
      <c r="B88" s="3">
        <v>43661</v>
      </c>
      <c r="C88" s="2" t="s">
        <v>2265</v>
      </c>
      <c r="D88" s="2" t="s">
        <v>131</v>
      </c>
      <c r="E88" s="2">
        <v>99.03</v>
      </c>
      <c r="F88" s="2" t="s">
        <v>18</v>
      </c>
      <c r="J88" s="2">
        <v>99.03</v>
      </c>
      <c r="K88" s="2" t="b">
        <v>0</v>
      </c>
      <c r="L88" s="2"/>
      <c r="M88" s="2"/>
      <c r="N88" s="4" t="s">
        <v>2259</v>
      </c>
      <c r="O88" s="4" t="str">
        <f>LEFT(Table2[[#This Row],[Description]],75)</f>
        <v>American Family Insurance</v>
      </c>
      <c r="P88" s="2" t="s">
        <v>2286</v>
      </c>
    </row>
    <row r="89" spans="1:16" hidden="1">
      <c r="A89" s="2">
        <v>201907</v>
      </c>
      <c r="B89" s="3">
        <v>43661</v>
      </c>
      <c r="C89" s="2" t="s">
        <v>2267</v>
      </c>
      <c r="D89" s="2" t="s">
        <v>131</v>
      </c>
      <c r="E89" s="2">
        <v>99.03</v>
      </c>
      <c r="F89" s="2" t="s">
        <v>18</v>
      </c>
      <c r="J89" s="2">
        <v>99.03</v>
      </c>
      <c r="K89" s="2" t="b">
        <v>0</v>
      </c>
      <c r="L89" s="2"/>
      <c r="M89" s="2"/>
      <c r="N89" s="4" t="s">
        <v>2259</v>
      </c>
      <c r="O89" s="4" t="str">
        <f>LEFT(Table2[[#This Row],[Description]],75)</f>
        <v>American Family Insurance</v>
      </c>
      <c r="P89" s="2"/>
    </row>
    <row r="90" spans="1:16" hidden="1">
      <c r="A90" s="2">
        <v>201907</v>
      </c>
      <c r="B90" s="3">
        <v>43661</v>
      </c>
      <c r="C90" s="2" t="s">
        <v>2262</v>
      </c>
      <c r="D90" s="2" t="s">
        <v>1158</v>
      </c>
      <c r="E90" s="2">
        <v>68</v>
      </c>
      <c r="F90" s="2" t="s">
        <v>21</v>
      </c>
      <c r="J90" s="2">
        <v>68</v>
      </c>
      <c r="K90" s="2" t="b">
        <v>0</v>
      </c>
      <c r="L90" s="2"/>
      <c r="M90" s="2"/>
      <c r="N90" s="4" t="s">
        <v>2259</v>
      </c>
      <c r="O90" s="4" t="str">
        <f>LEFT(Table2[[#This Row],[Description]],75)</f>
        <v>Lululemon</v>
      </c>
      <c r="P90" s="2" t="s">
        <v>2287</v>
      </c>
    </row>
    <row r="91" spans="1:16" hidden="1">
      <c r="A91" s="2">
        <v>201907</v>
      </c>
      <c r="B91" s="3">
        <v>43661</v>
      </c>
      <c r="C91" s="2" t="s">
        <v>2262</v>
      </c>
      <c r="D91" s="2" t="s">
        <v>1657</v>
      </c>
      <c r="E91" s="2">
        <v>32.909999999999997</v>
      </c>
      <c r="F91" s="2">
        <v>0</v>
      </c>
      <c r="J91" s="2">
        <v>32.909999999999997</v>
      </c>
      <c r="K91" s="2" t="b">
        <v>0</v>
      </c>
      <c r="L91" s="2"/>
      <c r="M91" s="2"/>
      <c r="N91" s="4" t="s">
        <v>2259</v>
      </c>
      <c r="O91" s="4" t="str">
        <f>LEFT(Table2[[#This Row],[Description]],75)</f>
        <v>SHOREWOOD LIQUOR EXCELSIOR MN 236288792</v>
      </c>
      <c r="P91" s="2" t="s">
        <v>2281</v>
      </c>
    </row>
    <row r="92" spans="1:16" hidden="1">
      <c r="A92" s="2">
        <v>201907</v>
      </c>
      <c r="B92" s="3">
        <v>43661</v>
      </c>
      <c r="C92" s="2" t="s">
        <v>2277</v>
      </c>
      <c r="D92" s="2" t="s">
        <v>1834</v>
      </c>
      <c r="E92" s="2">
        <v>-150</v>
      </c>
      <c r="F92" s="2" t="s">
        <v>57</v>
      </c>
      <c r="J92" s="2">
        <v>150</v>
      </c>
      <c r="K92" s="2" t="b">
        <v>0</v>
      </c>
      <c r="L92" s="2"/>
      <c r="M92" s="2"/>
      <c r="N92" s="2" t="s">
        <v>2264</v>
      </c>
      <c r="O92" s="2" t="str">
        <f>LEFT(Table2[[#This Row],[Description]],75)</f>
        <v>Tfr JPMORGAN CHASE BAN, CARGILL COCOA &amp;</v>
      </c>
      <c r="P92" s="2"/>
    </row>
    <row r="93" spans="1:16" hidden="1">
      <c r="A93" s="2">
        <v>201907</v>
      </c>
      <c r="B93" s="3">
        <v>43661</v>
      </c>
      <c r="C93" s="2" t="s">
        <v>2275</v>
      </c>
      <c r="D93" s="2" t="s">
        <v>1837</v>
      </c>
      <c r="E93" s="2">
        <v>-211</v>
      </c>
      <c r="F93" s="2" t="s">
        <v>57</v>
      </c>
      <c r="J93" s="2">
        <v>211</v>
      </c>
      <c r="K93" s="2" t="b">
        <v>0</v>
      </c>
      <c r="L93" s="2"/>
      <c r="M93" s="2"/>
      <c r="N93" s="4" t="s">
        <v>2273</v>
      </c>
      <c r="O93" s="4" t="str">
        <f>LEFT(Table2[[#This Row],[Description]],75)</f>
        <v>Tfr JPMORGAN CHASE BAN, KAUFMAN HALL</v>
      </c>
      <c r="P93" s="2" t="s">
        <v>2288</v>
      </c>
    </row>
    <row r="94" spans="1:16" hidden="1">
      <c r="A94" s="2">
        <v>201907</v>
      </c>
      <c r="B94" s="3">
        <v>43661</v>
      </c>
      <c r="C94" s="2" t="s">
        <v>2277</v>
      </c>
      <c r="D94" s="2" t="s">
        <v>1837</v>
      </c>
      <c r="E94" s="2">
        <v>-211</v>
      </c>
      <c r="F94" s="2" t="s">
        <v>57</v>
      </c>
      <c r="J94" s="2">
        <v>211</v>
      </c>
      <c r="K94" s="2" t="b">
        <v>0</v>
      </c>
      <c r="L94" s="2"/>
      <c r="M94" s="2"/>
      <c r="N94" s="2" t="s">
        <v>2264</v>
      </c>
      <c r="O94" s="2" t="str">
        <f>LEFT(Table2[[#This Row],[Description]],75)</f>
        <v>Tfr JPMORGAN CHASE BAN, KAUFMAN HALL</v>
      </c>
      <c r="P94" s="2"/>
    </row>
    <row r="95" spans="1:16" hidden="1">
      <c r="A95" s="2">
        <v>201907</v>
      </c>
      <c r="B95" s="3">
        <v>43661</v>
      </c>
      <c r="C95" s="2" t="s">
        <v>2262</v>
      </c>
      <c r="D95" s="2" t="s">
        <v>1926</v>
      </c>
      <c r="E95" s="2">
        <v>76.95</v>
      </c>
      <c r="F95" s="2" t="s">
        <v>28</v>
      </c>
      <c r="J95" s="2">
        <v>76.95</v>
      </c>
      <c r="K95" s="2" t="b">
        <v>0</v>
      </c>
      <c r="L95" s="2"/>
      <c r="M95" s="2"/>
      <c r="N95" s="4" t="s">
        <v>2259</v>
      </c>
      <c r="O95" s="4" t="str">
        <f>LEFT(Table2[[#This Row],[Description]],75)</f>
        <v>Total Wine and More</v>
      </c>
      <c r="P95" s="2" t="s">
        <v>2289</v>
      </c>
    </row>
    <row r="96" spans="1:16" hidden="1">
      <c r="A96" s="2">
        <v>201907</v>
      </c>
      <c r="B96" s="3">
        <v>43661</v>
      </c>
      <c r="C96" s="2" t="s">
        <v>2262</v>
      </c>
      <c r="D96" s="2" t="s">
        <v>1947</v>
      </c>
      <c r="E96" s="2">
        <v>-381.36</v>
      </c>
      <c r="F96" s="2" t="s">
        <v>9</v>
      </c>
      <c r="J96" s="2">
        <v>381.36</v>
      </c>
      <c r="K96" s="2" t="b">
        <v>0</v>
      </c>
      <c r="L96" s="2"/>
      <c r="M96" s="2"/>
      <c r="N96" s="2" t="s">
        <v>2264</v>
      </c>
      <c r="O96" s="2" t="str">
        <f>LEFT(Table2[[#This Row],[Description]],75)</f>
        <v>Transfer from POWERPLUS CHECKING</v>
      </c>
      <c r="P96" s="2"/>
    </row>
    <row r="97" spans="1:16" hidden="1">
      <c r="A97" s="2">
        <v>201907</v>
      </c>
      <c r="B97" s="3">
        <v>43661</v>
      </c>
      <c r="C97" s="2" t="s">
        <v>2265</v>
      </c>
      <c r="D97" s="2" t="s">
        <v>1951</v>
      </c>
      <c r="E97" s="2">
        <v>381.36</v>
      </c>
      <c r="F97" s="2" t="s">
        <v>9</v>
      </c>
      <c r="J97" s="2">
        <v>381.36</v>
      </c>
      <c r="K97" s="2" t="b">
        <v>0</v>
      </c>
      <c r="L97" s="2"/>
      <c r="M97" s="2"/>
      <c r="N97" s="4" t="s">
        <v>2259</v>
      </c>
      <c r="O97" s="4" t="str">
        <f>LEFT(Table2[[#This Row],[Description]],75)</f>
        <v>Transfer to Cash Rewards Visa Signature</v>
      </c>
      <c r="P97" s="2" t="s">
        <v>2266</v>
      </c>
    </row>
    <row r="98" spans="1:16" hidden="1">
      <c r="A98" s="2">
        <v>201907</v>
      </c>
      <c r="B98" s="3">
        <v>43661</v>
      </c>
      <c r="C98" s="2" t="s">
        <v>2267</v>
      </c>
      <c r="D98" s="2" t="s">
        <v>1951</v>
      </c>
      <c r="E98" s="2">
        <v>381.36</v>
      </c>
      <c r="F98" s="2" t="s">
        <v>9</v>
      </c>
      <c r="J98" s="2">
        <v>381.36</v>
      </c>
      <c r="K98" s="2" t="b">
        <v>0</v>
      </c>
      <c r="L98" s="2"/>
      <c r="M98" s="2"/>
      <c r="N98" s="4" t="s">
        <v>2259</v>
      </c>
      <c r="O98" s="4" t="str">
        <f>LEFT(Table2[[#This Row],[Description]],75)</f>
        <v>Transfer to Cash Rewards Visa Signature</v>
      </c>
      <c r="P98" s="2"/>
    </row>
    <row r="99" spans="1:16" hidden="1">
      <c r="A99" s="2">
        <v>201907</v>
      </c>
      <c r="B99" s="3">
        <v>43661</v>
      </c>
      <c r="C99" s="2" t="s">
        <v>2290</v>
      </c>
      <c r="D99" s="2" t="s">
        <v>2106</v>
      </c>
      <c r="E99" s="2">
        <v>-1058.95</v>
      </c>
      <c r="F99" s="2" t="s">
        <v>54</v>
      </c>
      <c r="J99" s="2">
        <v>1058.95</v>
      </c>
      <c r="K99" s="2" t="b">
        <v>0</v>
      </c>
      <c r="L99" s="2"/>
      <c r="M99" s="2"/>
      <c r="N99" s="2" t="s">
        <v>2264</v>
      </c>
      <c r="O99" s="2" t="str">
        <f>LEFT(Table2[[#This Row],[Description]],75)</f>
        <v>VANG TARGET RET 2050</v>
      </c>
      <c r="P99" s="2"/>
    </row>
    <row r="100" spans="1:16" hidden="1">
      <c r="A100" s="2">
        <v>201907</v>
      </c>
      <c r="B100" s="3">
        <v>43661</v>
      </c>
      <c r="C100" s="2" t="s">
        <v>2262</v>
      </c>
      <c r="D100" s="2" t="s">
        <v>2135</v>
      </c>
      <c r="E100" s="2">
        <v>24.4</v>
      </c>
      <c r="F100" s="2" t="s">
        <v>21</v>
      </c>
      <c r="J100" s="2">
        <v>24.4</v>
      </c>
      <c r="K100" s="2" t="b">
        <v>0</v>
      </c>
      <c r="L100" s="2"/>
      <c r="M100" s="2"/>
      <c r="N100" s="4" t="s">
        <v>2259</v>
      </c>
      <c r="O100" s="4" t="str">
        <f>LEFT(Table2[[#This Row],[Description]],75)</f>
        <v>Walgreens</v>
      </c>
      <c r="P100" s="2"/>
    </row>
    <row r="101" spans="1:16" hidden="1">
      <c r="A101" s="2">
        <v>201907</v>
      </c>
      <c r="B101" s="3">
        <v>43662</v>
      </c>
      <c r="C101" s="2" t="s">
        <v>2258</v>
      </c>
      <c r="D101" s="2" t="s">
        <v>997</v>
      </c>
      <c r="E101" s="2">
        <v>-573.57000000000005</v>
      </c>
      <c r="F101" s="2" t="s">
        <v>9</v>
      </c>
      <c r="J101" s="2">
        <v>573.57000000000005</v>
      </c>
      <c r="K101" s="2" t="b">
        <v>0</v>
      </c>
      <c r="L101" s="2"/>
      <c r="M101" s="2"/>
      <c r="N101" s="4" t="s">
        <v>2273</v>
      </c>
      <c r="O101" s="4" t="str">
        <f>LEFT(Table2[[#This Row],[Description]],75)</f>
        <v>INTERNET PAYMENT - THANK YOU</v>
      </c>
      <c r="P101" s="2" t="s">
        <v>2291</v>
      </c>
    </row>
    <row r="102" spans="1:16" hidden="1">
      <c r="A102" s="2">
        <v>201907</v>
      </c>
      <c r="B102" s="3">
        <v>43662</v>
      </c>
      <c r="C102" s="2" t="s">
        <v>2261</v>
      </c>
      <c r="D102" s="2" t="s">
        <v>997</v>
      </c>
      <c r="E102" s="2">
        <v>-573.57000000000005</v>
      </c>
      <c r="F102" s="2" t="s">
        <v>9</v>
      </c>
      <c r="J102" s="2">
        <v>573.57000000000005</v>
      </c>
      <c r="K102" s="2" t="b">
        <v>0</v>
      </c>
      <c r="L102" s="2"/>
      <c r="M102" s="2"/>
      <c r="N102" s="2" t="s">
        <v>2264</v>
      </c>
      <c r="O102" s="2" t="str">
        <f>LEFT(Table2[[#This Row],[Description]],75)</f>
        <v>INTERNET PAYMENT - THANK YOU</v>
      </c>
      <c r="P102" s="2"/>
    </row>
    <row r="103" spans="1:16" hidden="1">
      <c r="A103" s="2">
        <v>201907</v>
      </c>
      <c r="B103" s="3">
        <v>43662</v>
      </c>
      <c r="C103" s="2" t="s">
        <v>2258</v>
      </c>
      <c r="D103" s="2" t="s">
        <v>103</v>
      </c>
      <c r="E103" s="2">
        <v>195.87</v>
      </c>
      <c r="F103" s="2" t="s">
        <v>28</v>
      </c>
      <c r="J103" s="2">
        <v>195.87</v>
      </c>
      <c r="K103" s="2" t="b">
        <v>0</v>
      </c>
      <c r="L103" s="2"/>
      <c r="M103" s="2"/>
      <c r="N103" s="4" t="s">
        <v>2259</v>
      </c>
      <c r="O103" s="4" t="str">
        <f>LEFT(Table2[[#This Row],[Description]],75)</f>
        <v>Advocare</v>
      </c>
      <c r="P103" s="2" t="s">
        <v>2292</v>
      </c>
    </row>
    <row r="104" spans="1:16" hidden="1">
      <c r="A104" s="2">
        <v>201907</v>
      </c>
      <c r="B104" s="3">
        <v>43662</v>
      </c>
      <c r="C104" s="2" t="s">
        <v>2261</v>
      </c>
      <c r="D104" s="2" t="s">
        <v>103</v>
      </c>
      <c r="E104" s="2">
        <v>195.87</v>
      </c>
      <c r="F104" s="2" t="s">
        <v>28</v>
      </c>
      <c r="J104" s="2">
        <v>195.87</v>
      </c>
      <c r="K104" s="2" t="b">
        <v>0</v>
      </c>
      <c r="L104" s="2"/>
      <c r="M104" s="2"/>
      <c r="N104" s="4" t="s">
        <v>2259</v>
      </c>
      <c r="O104" s="4" t="str">
        <f>LEFT(Table2[[#This Row],[Description]],75)</f>
        <v>Advocare</v>
      </c>
      <c r="P104" s="2" t="s">
        <v>2292</v>
      </c>
    </row>
    <row r="105" spans="1:16" hidden="1">
      <c r="A105" s="2">
        <v>201907</v>
      </c>
      <c r="B105" s="3">
        <v>43662</v>
      </c>
      <c r="C105" s="2" t="s">
        <v>2275</v>
      </c>
      <c r="D105" s="2" t="s">
        <v>228</v>
      </c>
      <c r="E105" s="2">
        <v>-0.2</v>
      </c>
      <c r="F105" s="2">
        <v>0</v>
      </c>
      <c r="J105" s="2">
        <v>0.2</v>
      </c>
      <c r="K105" s="2" t="b">
        <v>0</v>
      </c>
      <c r="L105" s="2"/>
      <c r="M105" s="2"/>
      <c r="N105" s="4" t="s">
        <v>2273</v>
      </c>
      <c r="O105" s="4" t="str">
        <f>LEFT(Table2[[#This Row],[Description]],75)</f>
        <v>BANK INT 061619-071519 SCHWAB BANK</v>
      </c>
      <c r="P105" s="2"/>
    </row>
    <row r="106" spans="1:16" hidden="1">
      <c r="A106" s="2">
        <v>201907</v>
      </c>
      <c r="B106" s="3">
        <v>43662</v>
      </c>
      <c r="C106" s="2" t="s">
        <v>2277</v>
      </c>
      <c r="D106" s="2" t="s">
        <v>228</v>
      </c>
      <c r="E106" s="2">
        <v>-0.28000000000000003</v>
      </c>
      <c r="F106" s="2">
        <v>0</v>
      </c>
      <c r="J106" s="2">
        <v>0.28000000000000003</v>
      </c>
      <c r="K106" s="2" t="b">
        <v>0</v>
      </c>
      <c r="L106" s="2"/>
      <c r="M106" s="2"/>
      <c r="N106" s="2" t="s">
        <v>2264</v>
      </c>
      <c r="O106" s="2" t="str">
        <f>LEFT(Table2[[#This Row],[Description]],75)</f>
        <v>BANK INT 061619-071519 SCHWAB BANK</v>
      </c>
      <c r="P106" s="2" t="s">
        <v>2281</v>
      </c>
    </row>
    <row r="107" spans="1:16" hidden="1">
      <c r="A107" s="2">
        <v>201907</v>
      </c>
      <c r="B107" s="3">
        <v>43662</v>
      </c>
      <c r="C107" s="2" t="s">
        <v>2262</v>
      </c>
      <c r="D107" s="2" t="s">
        <v>453</v>
      </c>
      <c r="E107" s="2">
        <v>4.29</v>
      </c>
      <c r="F107" s="2" t="s">
        <v>26</v>
      </c>
      <c r="J107" s="2">
        <v>4.29</v>
      </c>
      <c r="K107" s="2" t="b">
        <v>0</v>
      </c>
      <c r="L107" s="2"/>
      <c r="M107" s="2"/>
      <c r="N107" s="4" t="s">
        <v>2259</v>
      </c>
      <c r="O107" s="4" t="str">
        <f>LEFT(Table2[[#This Row],[Description]],75)</f>
        <v>Caribou Coffee</v>
      </c>
      <c r="P107" s="2"/>
    </row>
    <row r="108" spans="1:16" hidden="1">
      <c r="A108" s="2">
        <v>201907</v>
      </c>
      <c r="B108" s="3">
        <v>43662</v>
      </c>
      <c r="C108" s="2" t="s">
        <v>2262</v>
      </c>
      <c r="D108" s="2" t="s">
        <v>947</v>
      </c>
      <c r="E108" s="2">
        <v>47.89</v>
      </c>
      <c r="F108" s="2" t="s">
        <v>2</v>
      </c>
      <c r="J108" s="2">
        <v>47.89</v>
      </c>
      <c r="K108" s="2" t="b">
        <v>0</v>
      </c>
      <c r="L108" s="2"/>
      <c r="M108" s="2"/>
      <c r="N108" s="4" t="s">
        <v>2259</v>
      </c>
      <c r="O108" s="4" t="str">
        <f>LEFT(Table2[[#This Row],[Description]],75)</f>
        <v>Home Depot</v>
      </c>
      <c r="P108" s="2"/>
    </row>
    <row r="109" spans="1:16" hidden="1">
      <c r="A109" s="2">
        <v>201907</v>
      </c>
      <c r="B109" s="3">
        <v>43662</v>
      </c>
      <c r="C109" s="2" t="s">
        <v>2262</v>
      </c>
      <c r="D109" s="2" t="s">
        <v>948</v>
      </c>
      <c r="E109" s="2">
        <v>73.08</v>
      </c>
      <c r="F109" s="2" t="s">
        <v>21</v>
      </c>
      <c r="J109" s="2">
        <v>73.08</v>
      </c>
      <c r="K109" s="2" t="b">
        <v>0</v>
      </c>
      <c r="L109" s="2"/>
      <c r="M109" s="2"/>
      <c r="N109" s="4" t="s">
        <v>2259</v>
      </c>
      <c r="O109" s="4" t="str">
        <f>LEFT(Table2[[#This Row],[Description]],75)</f>
        <v>Home Goods</v>
      </c>
      <c r="P109" s="2"/>
    </row>
    <row r="110" spans="1:16" hidden="1">
      <c r="A110" s="2">
        <v>201907</v>
      </c>
      <c r="B110" s="3">
        <v>43662</v>
      </c>
      <c r="C110" s="2" t="s">
        <v>2262</v>
      </c>
      <c r="D110" s="2" t="s">
        <v>1572</v>
      </c>
      <c r="E110" s="2">
        <v>216.08</v>
      </c>
      <c r="F110" s="2">
        <v>0</v>
      </c>
      <c r="J110" s="2">
        <v>216.08</v>
      </c>
      <c r="K110" s="2" t="b">
        <v>0</v>
      </c>
      <c r="L110" s="2"/>
      <c r="M110" s="2"/>
      <c r="N110" s="4" t="s">
        <v>2259</v>
      </c>
      <c r="O110" s="4" t="str">
        <f>LEFT(Table2[[#This Row],[Description]],75)</f>
        <v>REI</v>
      </c>
      <c r="P110" s="2" t="s">
        <v>2281</v>
      </c>
    </row>
    <row r="111" spans="1:16" hidden="1">
      <c r="A111" s="2">
        <v>201907</v>
      </c>
      <c r="B111" s="3">
        <v>43663</v>
      </c>
      <c r="C111" s="2" t="s">
        <v>2265</v>
      </c>
      <c r="D111" s="2" t="s">
        <v>750</v>
      </c>
      <c r="E111" s="2">
        <v>573.57000000000005</v>
      </c>
      <c r="F111" s="2" t="s">
        <v>9</v>
      </c>
      <c r="J111" s="2">
        <v>573.57000000000005</v>
      </c>
      <c r="K111" s="2" t="b">
        <v>0</v>
      </c>
      <c r="L111" s="2"/>
      <c r="M111" s="2"/>
      <c r="N111" s="4" t="s">
        <v>2259</v>
      </c>
      <c r="O111" s="4" t="str">
        <f>LEFT(Table2[[#This Row],[Description]],75)</f>
        <v>DISCOVER TYPE EPAYMENT ID CO DISCOVER ACH ECC WEB ACH Trace 12666 236554536</v>
      </c>
      <c r="P111" s="2" t="s">
        <v>2293</v>
      </c>
    </row>
    <row r="112" spans="1:16" hidden="1">
      <c r="A112" s="2">
        <v>201907</v>
      </c>
      <c r="B112" s="3">
        <v>43663</v>
      </c>
      <c r="C112" s="2" t="s">
        <v>2267</v>
      </c>
      <c r="D112" s="2" t="s">
        <v>750</v>
      </c>
      <c r="E112" s="2">
        <v>573.57000000000005</v>
      </c>
      <c r="F112" s="2" t="s">
        <v>9</v>
      </c>
      <c r="J112" s="2">
        <v>573.57000000000005</v>
      </c>
      <c r="K112" s="2" t="b">
        <v>0</v>
      </c>
      <c r="L112" s="2"/>
      <c r="M112" s="2"/>
      <c r="N112" s="4" t="s">
        <v>2259</v>
      </c>
      <c r="O112" s="4" t="str">
        <f>LEFT(Table2[[#This Row],[Description]],75)</f>
        <v>DISCOVER TYPE EPAYMENT ID CO DISCOVER ACH ECC WEB ACH Trace 12666 236554536</v>
      </c>
      <c r="P112" s="2"/>
    </row>
    <row r="113" spans="1:16" hidden="1">
      <c r="A113" s="2">
        <v>201907</v>
      </c>
      <c r="B113" s="3">
        <v>43663</v>
      </c>
      <c r="C113" s="2" t="s">
        <v>2258</v>
      </c>
      <c r="D113" s="2" t="s">
        <v>38</v>
      </c>
      <c r="E113" s="2">
        <v>67.64</v>
      </c>
      <c r="F113" s="2" t="s">
        <v>38</v>
      </c>
      <c r="J113" s="2">
        <v>67.64</v>
      </c>
      <c r="K113" s="2" t="b">
        <v>0</v>
      </c>
      <c r="L113" s="2"/>
      <c r="M113" s="2"/>
      <c r="N113" s="4" t="s">
        <v>2259</v>
      </c>
      <c r="O113" s="4" t="str">
        <f>LEFT(Table2[[#This Row],[Description]],75)</f>
        <v>Amazon</v>
      </c>
      <c r="P113" s="2" t="s">
        <v>2260</v>
      </c>
    </row>
    <row r="114" spans="1:16" hidden="1">
      <c r="A114" s="2">
        <v>201907</v>
      </c>
      <c r="B114" s="3">
        <v>43663</v>
      </c>
      <c r="C114" s="2" t="s">
        <v>2262</v>
      </c>
      <c r="D114" s="2" t="s">
        <v>38</v>
      </c>
      <c r="E114" s="2">
        <v>59.05</v>
      </c>
      <c r="F114" s="2" t="s">
        <v>38</v>
      </c>
      <c r="J114" s="2">
        <v>59.05</v>
      </c>
      <c r="K114" s="2" t="b">
        <v>0</v>
      </c>
      <c r="L114" s="2"/>
      <c r="M114" s="2"/>
      <c r="N114" s="4" t="s">
        <v>2259</v>
      </c>
      <c r="O114" s="4" t="str">
        <f>LEFT(Table2[[#This Row],[Description]],75)</f>
        <v>Amazon</v>
      </c>
      <c r="P114" s="2"/>
    </row>
    <row r="115" spans="1:16" hidden="1">
      <c r="A115" s="2">
        <v>201907</v>
      </c>
      <c r="B115" s="3">
        <v>43663</v>
      </c>
      <c r="C115" s="2" t="s">
        <v>2261</v>
      </c>
      <c r="D115" s="2" t="s">
        <v>38</v>
      </c>
      <c r="E115" s="2">
        <v>67.64</v>
      </c>
      <c r="F115" s="2" t="s">
        <v>38</v>
      </c>
      <c r="J115" s="2">
        <v>67.64</v>
      </c>
      <c r="K115" s="2" t="b">
        <v>0</v>
      </c>
      <c r="L115" s="2"/>
      <c r="M115" s="2"/>
      <c r="N115" s="4" t="s">
        <v>2259</v>
      </c>
      <c r="O115" s="4" t="str">
        <f>LEFT(Table2[[#This Row],[Description]],75)</f>
        <v>Amazon</v>
      </c>
      <c r="P115" s="2"/>
    </row>
    <row r="116" spans="1:16" hidden="1">
      <c r="A116" s="2">
        <v>201907</v>
      </c>
      <c r="B116" s="3">
        <v>43663</v>
      </c>
      <c r="C116" s="2" t="s">
        <v>2262</v>
      </c>
      <c r="D116" s="2" t="s">
        <v>38</v>
      </c>
      <c r="E116" s="2">
        <v>80.52</v>
      </c>
      <c r="F116" s="2" t="s">
        <v>38</v>
      </c>
      <c r="J116" s="2">
        <v>80.52</v>
      </c>
      <c r="K116" s="2" t="b">
        <v>0</v>
      </c>
      <c r="L116" s="2"/>
      <c r="M116" s="2"/>
      <c r="N116" s="4" t="s">
        <v>2259</v>
      </c>
      <c r="O116" s="4" t="str">
        <f>LEFT(Table2[[#This Row],[Description]],75)</f>
        <v>Amazon</v>
      </c>
      <c r="P116" s="2"/>
    </row>
    <row r="117" spans="1:16" hidden="1">
      <c r="A117" s="2">
        <v>201907</v>
      </c>
      <c r="B117" s="3">
        <v>43663</v>
      </c>
      <c r="C117" s="2" t="s">
        <v>2262</v>
      </c>
      <c r="D117" s="2" t="s">
        <v>38</v>
      </c>
      <c r="E117" s="2">
        <v>246.95</v>
      </c>
      <c r="F117" s="2" t="s">
        <v>38</v>
      </c>
      <c r="J117" s="2">
        <v>246.95</v>
      </c>
      <c r="K117" s="2" t="b">
        <v>0</v>
      </c>
      <c r="L117" s="2"/>
      <c r="M117" s="2"/>
      <c r="N117" s="4" t="s">
        <v>2259</v>
      </c>
      <c r="O117" s="4" t="str">
        <f>LEFT(Table2[[#This Row],[Description]],75)</f>
        <v>Amazon</v>
      </c>
      <c r="P117" s="2"/>
    </row>
    <row r="118" spans="1:16" hidden="1">
      <c r="A118" s="2">
        <v>201907</v>
      </c>
      <c r="B118" s="3">
        <v>43663</v>
      </c>
      <c r="C118" s="2" t="s">
        <v>2265</v>
      </c>
      <c r="D118" s="2" t="s">
        <v>489</v>
      </c>
      <c r="E118" s="2">
        <v>247.5</v>
      </c>
      <c r="F118" s="2" t="s">
        <v>20</v>
      </c>
      <c r="J118" s="2">
        <v>247.5</v>
      </c>
      <c r="K118" s="2" t="b">
        <v>0</v>
      </c>
      <c r="L118" s="2"/>
      <c r="M118" s="2"/>
      <c r="N118" s="4" t="s">
        <v>2259</v>
      </c>
      <c r="O118" s="4" t="str">
        <f>LEFT(Table2[[#This Row],[Description]],75)</f>
        <v>CCLC TYPE INTERNET ID CO CCLC ACH ECC WEB ACH Trace 88211 236554535</v>
      </c>
      <c r="P118" s="2" t="s">
        <v>2268</v>
      </c>
    </row>
    <row r="119" spans="1:16" hidden="1">
      <c r="A119" s="2">
        <v>201907</v>
      </c>
      <c r="B119" s="3">
        <v>43663</v>
      </c>
      <c r="C119" s="2" t="s">
        <v>2267</v>
      </c>
      <c r="D119" s="2" t="s">
        <v>489</v>
      </c>
      <c r="E119" s="2">
        <v>247.5</v>
      </c>
      <c r="F119" s="2" t="s">
        <v>20</v>
      </c>
      <c r="J119" s="2">
        <v>247.5</v>
      </c>
      <c r="K119" s="2" t="b">
        <v>0</v>
      </c>
      <c r="L119" s="2"/>
      <c r="M119" s="2"/>
      <c r="N119" s="4" t="s">
        <v>2259</v>
      </c>
      <c r="O119" s="4" t="str">
        <f>LEFT(Table2[[#This Row],[Description]],75)</f>
        <v>CCLC TYPE INTERNET ID CO CCLC ACH ECC WEB ACH Trace 88211 236554535</v>
      </c>
      <c r="P119" s="2"/>
    </row>
    <row r="120" spans="1:16" hidden="1">
      <c r="A120" s="2">
        <v>201907</v>
      </c>
      <c r="B120" s="3">
        <v>43663</v>
      </c>
      <c r="C120" s="2" t="s">
        <v>2271</v>
      </c>
      <c r="D120" s="2" t="s">
        <v>497</v>
      </c>
      <c r="E120" s="2">
        <v>60.6</v>
      </c>
      <c r="F120" s="2" t="s">
        <v>21</v>
      </c>
      <c r="J120" s="2">
        <v>60.6</v>
      </c>
      <c r="K120" s="2" t="b">
        <v>0</v>
      </c>
      <c r="L120" s="2"/>
      <c r="M120" s="2"/>
      <c r="N120" s="4" t="s">
        <v>2259</v>
      </c>
      <c r="O120" s="4" t="str">
        <f>LEFT(Table2[[#This Row],[Description]],75)</f>
        <v>CENTRAL CHECKOUT 79999999198135208645693</v>
      </c>
      <c r="P120" s="2"/>
    </row>
    <row r="121" spans="1:16" hidden="1">
      <c r="A121" s="2">
        <v>201907</v>
      </c>
      <c r="B121" s="3">
        <v>43663</v>
      </c>
      <c r="C121" s="2" t="s">
        <v>2271</v>
      </c>
      <c r="D121" s="2" t="s">
        <v>498</v>
      </c>
      <c r="E121" s="2">
        <v>-120.47</v>
      </c>
      <c r="F121" s="2" t="s">
        <v>21</v>
      </c>
      <c r="J121" s="2">
        <v>120.47</v>
      </c>
      <c r="K121" s="2" t="b">
        <v>0</v>
      </c>
      <c r="L121" s="2"/>
      <c r="M121" s="2"/>
      <c r="N121" s="2" t="s">
        <v>2264</v>
      </c>
      <c r="O121" s="2" t="str">
        <f>LEFT(Table2[[#This Row],[Description]],75)</f>
        <v>CENTRAL CHECKOUT 79999999198135212384891</v>
      </c>
      <c r="P121" s="2"/>
    </row>
    <row r="122" spans="1:16" hidden="1">
      <c r="A122" s="2">
        <v>201907</v>
      </c>
      <c r="B122" s="3">
        <v>43663</v>
      </c>
      <c r="C122" s="2" t="s">
        <v>2262</v>
      </c>
      <c r="D122" s="2" t="s">
        <v>506</v>
      </c>
      <c r="E122" s="2">
        <v>45</v>
      </c>
      <c r="F122" s="2" t="s">
        <v>7</v>
      </c>
      <c r="J122" s="2">
        <v>45</v>
      </c>
      <c r="K122" s="2" t="b">
        <v>0</v>
      </c>
      <c r="L122" s="2"/>
      <c r="M122" s="2"/>
      <c r="N122" s="4" t="s">
        <v>2259</v>
      </c>
      <c r="O122" s="4" t="str">
        <f>LEFT(Table2[[#This Row],[Description]],75)</f>
        <v>CenturyLink</v>
      </c>
      <c r="P122" s="2"/>
    </row>
    <row r="123" spans="1:16" hidden="1">
      <c r="A123" s="2">
        <v>201907</v>
      </c>
      <c r="B123" s="3">
        <v>43663</v>
      </c>
      <c r="C123" s="2" t="s">
        <v>2262</v>
      </c>
      <c r="D123" s="2" t="s">
        <v>919</v>
      </c>
      <c r="E123" s="2">
        <v>18</v>
      </c>
      <c r="F123" s="2" t="s">
        <v>40</v>
      </c>
      <c r="J123" s="2">
        <v>18</v>
      </c>
      <c r="K123" s="2" t="b">
        <v>0</v>
      </c>
      <c r="L123" s="2"/>
      <c r="M123" s="2"/>
      <c r="N123" s="4" t="s">
        <v>2259</v>
      </c>
      <c r="O123" s="4" t="str">
        <f>LEFT(Table2[[#This Row],[Description]],75)</f>
        <v>Harvard Business</v>
      </c>
      <c r="P123" s="2"/>
    </row>
    <row r="124" spans="1:16" hidden="1">
      <c r="A124" s="2">
        <v>201907</v>
      </c>
      <c r="B124" s="3">
        <v>43663</v>
      </c>
      <c r="C124" s="2" t="s">
        <v>2271</v>
      </c>
      <c r="D124" s="2" t="s">
        <v>31</v>
      </c>
      <c r="E124" s="2">
        <v>8.0299999999999994</v>
      </c>
      <c r="F124" s="2" t="s">
        <v>31</v>
      </c>
      <c r="J124" s="2">
        <v>8.0299999999999994</v>
      </c>
      <c r="K124" s="2" t="b">
        <v>0</v>
      </c>
      <c r="L124" s="2"/>
      <c r="M124" s="2"/>
      <c r="N124" s="4" t="s">
        <v>2259</v>
      </c>
      <c r="O124" s="4" t="str">
        <f>LEFT(Table2[[#This Row],[Description]],75)</f>
        <v>Target</v>
      </c>
      <c r="P124" s="2"/>
    </row>
    <row r="125" spans="1:16" hidden="1">
      <c r="A125" s="2">
        <v>201907</v>
      </c>
      <c r="B125" s="3">
        <v>43664</v>
      </c>
      <c r="C125" s="2" t="s">
        <v>2262</v>
      </c>
      <c r="D125" s="2" t="s">
        <v>38</v>
      </c>
      <c r="E125" s="2">
        <v>15.52</v>
      </c>
      <c r="F125" s="2" t="s">
        <v>38</v>
      </c>
      <c r="J125" s="2">
        <v>15.52</v>
      </c>
      <c r="K125" s="2" t="b">
        <v>0</v>
      </c>
      <c r="L125" s="2"/>
      <c r="M125" s="2"/>
      <c r="N125" s="4" t="s">
        <v>2259</v>
      </c>
      <c r="O125" s="4" t="str">
        <f>LEFT(Table2[[#This Row],[Description]],75)</f>
        <v>Amazon</v>
      </c>
      <c r="P125" s="2"/>
    </row>
    <row r="126" spans="1:16" hidden="1">
      <c r="A126" s="2">
        <v>201907</v>
      </c>
      <c r="B126" s="3">
        <v>43664</v>
      </c>
      <c r="C126" s="2" t="s">
        <v>2262</v>
      </c>
      <c r="D126" s="2" t="s">
        <v>38</v>
      </c>
      <c r="E126" s="2">
        <v>86.64</v>
      </c>
      <c r="F126" s="2" t="s">
        <v>38</v>
      </c>
      <c r="J126" s="2">
        <v>86.64</v>
      </c>
      <c r="K126" s="2" t="b">
        <v>0</v>
      </c>
      <c r="L126" s="2"/>
      <c r="M126" s="2"/>
      <c r="N126" s="4" t="s">
        <v>2259</v>
      </c>
      <c r="O126" s="4" t="str">
        <f>LEFT(Table2[[#This Row],[Description]],75)</f>
        <v>Amazon</v>
      </c>
      <c r="P126" s="2"/>
    </row>
    <row r="127" spans="1:16" hidden="1">
      <c r="A127" s="2">
        <v>201907</v>
      </c>
      <c r="B127" s="3">
        <v>43664</v>
      </c>
      <c r="C127" s="2" t="s">
        <v>2271</v>
      </c>
      <c r="D127" s="2" t="s">
        <v>31</v>
      </c>
      <c r="E127" s="2">
        <v>77.510000000000005</v>
      </c>
      <c r="F127" s="2" t="s">
        <v>31</v>
      </c>
      <c r="J127" s="2">
        <v>77.510000000000005</v>
      </c>
      <c r="K127" s="2" t="b">
        <v>0</v>
      </c>
      <c r="L127" s="2"/>
      <c r="M127" s="2"/>
      <c r="N127" s="4" t="s">
        <v>2259</v>
      </c>
      <c r="O127" s="4" t="str">
        <f>LEFT(Table2[[#This Row],[Description]],75)</f>
        <v>Target</v>
      </c>
      <c r="P127" s="2"/>
    </row>
    <row r="128" spans="1:16" hidden="1">
      <c r="A128" s="2">
        <v>201907</v>
      </c>
      <c r="B128" s="3">
        <v>43665</v>
      </c>
      <c r="C128" s="2" t="s">
        <v>2271</v>
      </c>
      <c r="D128" s="2" t="s">
        <v>817</v>
      </c>
      <c r="E128" s="2">
        <v>-475.6</v>
      </c>
      <c r="F128" s="2" t="s">
        <v>31</v>
      </c>
      <c r="J128" s="2">
        <v>475.6</v>
      </c>
      <c r="K128" s="2" t="b">
        <v>0</v>
      </c>
      <c r="L128" s="2"/>
      <c r="M128" s="2"/>
      <c r="N128" s="2" t="s">
        <v>2264</v>
      </c>
      <c r="O128" s="2" t="str">
        <f>LEFT(Table2[[#This Row],[Description]],75)</f>
        <v>E-PAYMENT, TARGET.COM 79999999200001920393945</v>
      </c>
      <c r="P128" s="2"/>
    </row>
    <row r="129" spans="1:16" hidden="1">
      <c r="A129" s="2">
        <v>201907</v>
      </c>
      <c r="B129" s="3">
        <v>43665</v>
      </c>
      <c r="C129" s="2" t="s">
        <v>2262</v>
      </c>
      <c r="D129" s="2" t="s">
        <v>338</v>
      </c>
      <c r="E129" s="2">
        <v>33.89</v>
      </c>
      <c r="F129" s="2" t="s">
        <v>28</v>
      </c>
      <c r="J129" s="2">
        <v>33.89</v>
      </c>
      <c r="K129" s="2" t="b">
        <v>0</v>
      </c>
      <c r="L129" s="2"/>
      <c r="M129" s="2"/>
      <c r="N129" s="4" t="s">
        <v>2259</v>
      </c>
      <c r="O129" s="4" t="str">
        <f>LEFT(Table2[[#This Row],[Description]],75)</f>
        <v>Byerly's</v>
      </c>
      <c r="P129" s="2"/>
    </row>
    <row r="130" spans="1:16" hidden="1">
      <c r="A130" s="2">
        <v>201907</v>
      </c>
      <c r="B130" s="3">
        <v>43665</v>
      </c>
      <c r="C130" s="2" t="s">
        <v>2262</v>
      </c>
      <c r="D130" s="2" t="s">
        <v>550</v>
      </c>
      <c r="E130" s="2">
        <v>32.18</v>
      </c>
      <c r="F130" s="2">
        <v>0</v>
      </c>
      <c r="J130" s="2">
        <v>32.18</v>
      </c>
      <c r="K130" s="2" t="b">
        <v>0</v>
      </c>
      <c r="L130" s="2"/>
      <c r="M130" s="2"/>
      <c r="N130" s="4" t="s">
        <v>2259</v>
      </c>
      <c r="O130" s="4" t="str">
        <f>LEFT(Table2[[#This Row],[Description]],75)</f>
        <v>Churchills Quality Cigars &amp; Gifts</v>
      </c>
      <c r="P130" s="2" t="s">
        <v>2281</v>
      </c>
    </row>
    <row r="131" spans="1:16" hidden="1">
      <c r="A131" s="2">
        <v>201907</v>
      </c>
      <c r="B131" s="3">
        <v>43665</v>
      </c>
      <c r="C131" s="2" t="s">
        <v>2262</v>
      </c>
      <c r="D131" s="2" t="s">
        <v>682</v>
      </c>
      <c r="E131" s="2">
        <v>24.62</v>
      </c>
      <c r="F131" s="2">
        <v>0</v>
      </c>
      <c r="J131" s="2">
        <v>24.62</v>
      </c>
      <c r="K131" s="2" t="b">
        <v>0</v>
      </c>
      <c r="L131" s="2"/>
      <c r="M131" s="2"/>
      <c r="N131" s="4" t="s">
        <v>2259</v>
      </c>
      <c r="O131" s="4" t="str">
        <f>LEFT(Table2[[#This Row],[Description]],75)</f>
        <v>CRISP GREEN WAYZATA WAYZATA MN 237233383</v>
      </c>
      <c r="P131" s="2" t="s">
        <v>2281</v>
      </c>
    </row>
    <row r="132" spans="1:16" hidden="1">
      <c r="A132" s="2">
        <v>201907</v>
      </c>
      <c r="B132" s="3">
        <v>43665</v>
      </c>
      <c r="C132" s="2" t="s">
        <v>2262</v>
      </c>
      <c r="D132" s="2" t="s">
        <v>1707</v>
      </c>
      <c r="E132" s="2">
        <v>27.9</v>
      </c>
      <c r="F132" s="2" t="s">
        <v>23</v>
      </c>
      <c r="J132" s="2">
        <v>27.9</v>
      </c>
      <c r="K132" s="2" t="b">
        <v>0</v>
      </c>
      <c r="L132" s="2"/>
      <c r="M132" s="2"/>
      <c r="N132" s="4" t="s">
        <v>2259</v>
      </c>
      <c r="O132" s="4" t="str">
        <f>LEFT(Table2[[#This Row],[Description]],75)</f>
        <v>Speedway</v>
      </c>
      <c r="P132" s="2"/>
    </row>
    <row r="133" spans="1:16" hidden="1">
      <c r="A133" s="2">
        <v>201907</v>
      </c>
      <c r="B133" s="3">
        <v>43665</v>
      </c>
      <c r="C133" s="2" t="s">
        <v>2258</v>
      </c>
      <c r="D133" s="2" t="s">
        <v>1860</v>
      </c>
      <c r="E133" s="2">
        <v>97.53</v>
      </c>
      <c r="F133" s="2">
        <v>0</v>
      </c>
      <c r="J133" s="2">
        <v>97.53</v>
      </c>
      <c r="K133" s="2" t="b">
        <v>0</v>
      </c>
      <c r="L133" s="2"/>
      <c r="M133" s="2"/>
      <c r="N133" s="4" t="s">
        <v>2259</v>
      </c>
      <c r="O133" s="4" t="str">
        <f>LEFT(Table2[[#This Row],[Description]],75)</f>
        <v>THE WHARF EXCELSIOR MN</v>
      </c>
      <c r="P133" s="2"/>
    </row>
    <row r="134" spans="1:16" hidden="1">
      <c r="A134" s="2">
        <v>201907</v>
      </c>
      <c r="B134" s="3">
        <v>43665</v>
      </c>
      <c r="C134" s="2" t="s">
        <v>2261</v>
      </c>
      <c r="D134" s="2" t="s">
        <v>1860</v>
      </c>
      <c r="E134" s="2">
        <v>97.53</v>
      </c>
      <c r="F134" s="2">
        <v>0</v>
      </c>
      <c r="J134" s="2">
        <v>97.53</v>
      </c>
      <c r="K134" s="2" t="b">
        <v>0</v>
      </c>
      <c r="L134" s="2"/>
      <c r="M134" s="2"/>
      <c r="N134" s="4" t="s">
        <v>2259</v>
      </c>
      <c r="O134" s="4" t="str">
        <f>LEFT(Table2[[#This Row],[Description]],75)</f>
        <v>THE WHARF EXCELSIOR MN</v>
      </c>
      <c r="P134" s="2" t="s">
        <v>2281</v>
      </c>
    </row>
    <row r="135" spans="1:16" hidden="1">
      <c r="A135" s="2">
        <v>201907</v>
      </c>
      <c r="B135" s="3">
        <v>43665</v>
      </c>
      <c r="C135" s="2" t="s">
        <v>2262</v>
      </c>
      <c r="D135" s="2" t="s">
        <v>2156</v>
      </c>
      <c r="E135" s="2">
        <v>48.77</v>
      </c>
      <c r="F135" s="2">
        <v>0</v>
      </c>
      <c r="J135" s="2">
        <v>48.77</v>
      </c>
      <c r="K135" s="2" t="b">
        <v>0</v>
      </c>
      <c r="L135" s="2"/>
      <c r="M135" s="2"/>
      <c r="N135" s="4" t="s">
        <v>2259</v>
      </c>
      <c r="O135" s="4" t="str">
        <f>LEFT(Table2[[#This Row],[Description]],75)</f>
        <v>Willy McCoys</v>
      </c>
      <c r="P135" s="2" t="s">
        <v>2281</v>
      </c>
    </row>
    <row r="136" spans="1:16" hidden="1">
      <c r="A136" s="2">
        <v>201907</v>
      </c>
      <c r="B136" s="3">
        <v>43666</v>
      </c>
      <c r="C136" s="2" t="s">
        <v>2258</v>
      </c>
      <c r="D136" s="2" t="s">
        <v>697</v>
      </c>
      <c r="E136" s="2">
        <v>25.92</v>
      </c>
      <c r="F136" s="2">
        <v>0</v>
      </c>
      <c r="J136" s="2">
        <v>25.92</v>
      </c>
      <c r="K136" s="2" t="b">
        <v>0</v>
      </c>
      <c r="L136" s="2"/>
      <c r="M136" s="2"/>
      <c r="N136" s="4" t="s">
        <v>2259</v>
      </c>
      <c r="O136" s="4" t="str">
        <f>LEFT(Table2[[#This Row],[Description]],75)</f>
        <v>Davanni's Inc</v>
      </c>
      <c r="P136" s="2"/>
    </row>
    <row r="137" spans="1:16" hidden="1">
      <c r="A137" s="2">
        <v>201907</v>
      </c>
      <c r="B137" s="3">
        <v>43666</v>
      </c>
      <c r="C137" s="2" t="s">
        <v>2261</v>
      </c>
      <c r="D137" s="2" t="s">
        <v>697</v>
      </c>
      <c r="E137" s="2">
        <v>25.92</v>
      </c>
      <c r="F137" s="2">
        <v>0</v>
      </c>
      <c r="J137" s="2">
        <v>25.92</v>
      </c>
      <c r="K137" s="2" t="b">
        <v>0</v>
      </c>
      <c r="L137" s="2"/>
      <c r="M137" s="2"/>
      <c r="N137" s="4" t="s">
        <v>2259</v>
      </c>
      <c r="O137" s="4" t="str">
        <f>LEFT(Table2[[#This Row],[Description]],75)</f>
        <v>Davanni's Inc</v>
      </c>
      <c r="P137" s="2" t="s">
        <v>2281</v>
      </c>
    </row>
    <row r="138" spans="1:16" hidden="1">
      <c r="A138" s="2">
        <v>201907</v>
      </c>
      <c r="B138" s="3">
        <v>43666</v>
      </c>
      <c r="C138" s="2" t="s">
        <v>2258</v>
      </c>
      <c r="D138" s="2" t="s">
        <v>1558</v>
      </c>
      <c r="E138" s="2">
        <v>21.16</v>
      </c>
      <c r="F138" s="2" t="s">
        <v>26</v>
      </c>
      <c r="J138" s="2">
        <v>21.16</v>
      </c>
      <c r="K138" s="2" t="b">
        <v>0</v>
      </c>
      <c r="L138" s="2"/>
      <c r="M138" s="2"/>
      <c r="N138" s="4" t="s">
        <v>2259</v>
      </c>
      <c r="O138" s="4" t="str">
        <f>LEFT(Table2[[#This Row],[Description]],75)</f>
        <v>RED SAUCE REBELLION - 888-707-2469 CA</v>
      </c>
      <c r="P138" s="2" t="s">
        <v>2294</v>
      </c>
    </row>
    <row r="139" spans="1:16" hidden="1">
      <c r="A139" s="2">
        <v>201907</v>
      </c>
      <c r="B139" s="3">
        <v>43666</v>
      </c>
      <c r="C139" s="2" t="s">
        <v>2261</v>
      </c>
      <c r="D139" s="2" t="s">
        <v>1558</v>
      </c>
      <c r="E139" s="2">
        <v>21.16</v>
      </c>
      <c r="F139" s="2" t="s">
        <v>26</v>
      </c>
      <c r="J139" s="2">
        <v>21.16</v>
      </c>
      <c r="K139" s="2" t="b">
        <v>0</v>
      </c>
      <c r="L139" s="2"/>
      <c r="M139" s="2"/>
      <c r="N139" s="4" t="s">
        <v>2259</v>
      </c>
      <c r="O139" s="4" t="str">
        <f>LEFT(Table2[[#This Row],[Description]],75)</f>
        <v>RED SAUCE REBELLION - 888-707-2469 CA</v>
      </c>
      <c r="P139" s="2"/>
    </row>
    <row r="140" spans="1:16" hidden="1">
      <c r="A140" s="2">
        <v>201907</v>
      </c>
      <c r="B140" s="3">
        <v>43667</v>
      </c>
      <c r="C140" s="2" t="s">
        <v>2262</v>
      </c>
      <c r="D140" s="2" t="s">
        <v>161</v>
      </c>
      <c r="E140" s="2">
        <v>62.36</v>
      </c>
      <c r="F140" s="2" t="s">
        <v>21</v>
      </c>
      <c r="J140" s="2">
        <v>62.36</v>
      </c>
      <c r="K140" s="2" t="b">
        <v>0</v>
      </c>
      <c r="L140" s="2"/>
      <c r="M140" s="2"/>
      <c r="N140" s="4" t="s">
        <v>2259</v>
      </c>
      <c r="O140" s="4" t="str">
        <f>LEFT(Table2[[#This Row],[Description]],75)</f>
        <v>Anthropologie</v>
      </c>
      <c r="P140" s="2" t="s">
        <v>2295</v>
      </c>
    </row>
    <row r="141" spans="1:16" hidden="1">
      <c r="A141" s="2">
        <v>201907</v>
      </c>
      <c r="B141" s="3">
        <v>43667</v>
      </c>
      <c r="C141" s="2" t="s">
        <v>2262</v>
      </c>
      <c r="D141" s="2" t="s">
        <v>282</v>
      </c>
      <c r="E141" s="2">
        <v>81.86</v>
      </c>
      <c r="F141" s="2" t="s">
        <v>41</v>
      </c>
      <c r="J141" s="2">
        <v>81.86</v>
      </c>
      <c r="K141" s="2" t="b">
        <v>0</v>
      </c>
      <c r="L141" s="2"/>
      <c r="M141" s="2"/>
      <c r="N141" s="4" t="s">
        <v>2259</v>
      </c>
      <c r="O141" s="4" t="str">
        <f>LEFT(Table2[[#This Row],[Description]],75)</f>
        <v>BEST CLEANERS EX 5 EXCELSIOR MN 237583197</v>
      </c>
      <c r="P141" s="2"/>
    </row>
    <row r="142" spans="1:16" hidden="1">
      <c r="A142" s="2">
        <v>201907</v>
      </c>
      <c r="B142" s="3">
        <v>43667</v>
      </c>
      <c r="C142" s="2" t="s">
        <v>2262</v>
      </c>
      <c r="D142" s="2" t="s">
        <v>684</v>
      </c>
      <c r="E142" s="2">
        <v>32.86</v>
      </c>
      <c r="F142" s="2" t="s">
        <v>28</v>
      </c>
      <c r="J142" s="2">
        <v>32.86</v>
      </c>
      <c r="K142" s="2" t="b">
        <v>0</v>
      </c>
      <c r="L142" s="2"/>
      <c r="M142" s="2"/>
      <c r="N142" s="4" t="s">
        <v>2259</v>
      </c>
      <c r="O142" s="4" t="str">
        <f>LEFT(Table2[[#This Row],[Description]],75)</f>
        <v>Cub Foods</v>
      </c>
      <c r="P142" s="2"/>
    </row>
    <row r="143" spans="1:16" hidden="1">
      <c r="A143" s="2">
        <v>201907</v>
      </c>
      <c r="B143" s="3">
        <v>43667</v>
      </c>
      <c r="C143" s="2" t="s">
        <v>2262</v>
      </c>
      <c r="D143" s="2" t="s">
        <v>808</v>
      </c>
      <c r="E143" s="2">
        <v>28</v>
      </c>
      <c r="F143" s="2" t="s">
        <v>40</v>
      </c>
      <c r="J143" s="2">
        <v>28</v>
      </c>
      <c r="K143" s="2" t="b">
        <v>0</v>
      </c>
      <c r="L143" s="2"/>
      <c r="M143" s="2"/>
      <c r="N143" s="4" t="s">
        <v>2259</v>
      </c>
      <c r="O143" s="4" t="str">
        <f>LEFT(Table2[[#This Row],[Description]],75)</f>
        <v>Elite Nails</v>
      </c>
      <c r="P143" s="2"/>
    </row>
    <row r="144" spans="1:16" hidden="1">
      <c r="A144" s="2">
        <v>201907</v>
      </c>
      <c r="B144" s="3">
        <v>43667</v>
      </c>
      <c r="C144" s="2" t="s">
        <v>2258</v>
      </c>
      <c r="D144" s="2" t="s">
        <v>813</v>
      </c>
      <c r="E144" s="2">
        <v>29.9</v>
      </c>
      <c r="F144" s="2">
        <v>0</v>
      </c>
      <c r="J144" s="2">
        <v>29.9</v>
      </c>
      <c r="K144" s="2" t="b">
        <v>0</v>
      </c>
      <c r="L144" s="2"/>
      <c r="M144" s="2"/>
      <c r="N144" s="4" t="s">
        <v>2259</v>
      </c>
      <c r="O144" s="4" t="str">
        <f>LEFT(Table2[[#This Row],[Description]],75)</f>
        <v>Enki Brewing</v>
      </c>
      <c r="P144" s="2"/>
    </row>
    <row r="145" spans="1:16" hidden="1">
      <c r="A145" s="2">
        <v>201907</v>
      </c>
      <c r="B145" s="3">
        <v>43667</v>
      </c>
      <c r="C145" s="2" t="s">
        <v>2261</v>
      </c>
      <c r="D145" s="2" t="s">
        <v>813</v>
      </c>
      <c r="E145" s="2">
        <v>29.9</v>
      </c>
      <c r="F145" s="2">
        <v>0</v>
      </c>
      <c r="J145" s="2">
        <v>29.9</v>
      </c>
      <c r="K145" s="2" t="b">
        <v>0</v>
      </c>
      <c r="L145" s="2"/>
      <c r="M145" s="2"/>
      <c r="N145" s="4" t="s">
        <v>2259</v>
      </c>
      <c r="O145" s="4" t="str">
        <f>LEFT(Table2[[#This Row],[Description]],75)</f>
        <v>Enki Brewing</v>
      </c>
      <c r="P145" s="2" t="s">
        <v>2281</v>
      </c>
    </row>
    <row r="146" spans="1:16" hidden="1">
      <c r="A146" s="2">
        <v>201907</v>
      </c>
      <c r="B146" s="3">
        <v>43667</v>
      </c>
      <c r="C146" s="2" t="s">
        <v>2262</v>
      </c>
      <c r="D146" s="2" t="s">
        <v>944</v>
      </c>
      <c r="E146" s="2">
        <v>2.69</v>
      </c>
      <c r="F146" s="2" t="s">
        <v>23</v>
      </c>
      <c r="J146" s="2">
        <v>2.69</v>
      </c>
      <c r="K146" s="2" t="b">
        <v>0</v>
      </c>
      <c r="L146" s="2"/>
      <c r="M146" s="2"/>
      <c r="N146" s="4" t="s">
        <v>2259</v>
      </c>
      <c r="O146" s="4" t="str">
        <f>LEFT(Table2[[#This Row],[Description]],75)</f>
        <v>Holiday Stationstore</v>
      </c>
      <c r="P146" s="2"/>
    </row>
    <row r="147" spans="1:16" hidden="1">
      <c r="A147" s="2">
        <v>201907</v>
      </c>
      <c r="B147" s="3">
        <v>43667</v>
      </c>
      <c r="C147" s="2" t="s">
        <v>2262</v>
      </c>
      <c r="D147" s="2" t="s">
        <v>944</v>
      </c>
      <c r="E147" s="2">
        <v>40.85</v>
      </c>
      <c r="F147" s="2" t="s">
        <v>23</v>
      </c>
      <c r="J147" s="2">
        <v>40.85</v>
      </c>
      <c r="K147" s="2" t="b">
        <v>0</v>
      </c>
      <c r="L147" s="2"/>
      <c r="M147" s="2"/>
      <c r="N147" s="4" t="s">
        <v>2259</v>
      </c>
      <c r="O147" s="4" t="str">
        <f>LEFT(Table2[[#This Row],[Description]],75)</f>
        <v>Holiday Stationstore</v>
      </c>
      <c r="P147" s="2"/>
    </row>
    <row r="148" spans="1:16" hidden="1">
      <c r="A148" s="2">
        <v>201907</v>
      </c>
      <c r="B148" s="3">
        <v>43667</v>
      </c>
      <c r="C148" s="2" t="s">
        <v>2262</v>
      </c>
      <c r="D148" s="2" t="s">
        <v>2138</v>
      </c>
      <c r="E148" s="2">
        <v>22.71</v>
      </c>
      <c r="F148" s="2" t="s">
        <v>21</v>
      </c>
      <c r="J148" s="2">
        <v>22.71</v>
      </c>
      <c r="K148" s="2" t="b">
        <v>0</v>
      </c>
      <c r="L148" s="2"/>
      <c r="M148" s="2"/>
      <c r="N148" s="4" t="s">
        <v>2259</v>
      </c>
      <c r="O148" s="4" t="str">
        <f>LEFT(Table2[[#This Row],[Description]],75)</f>
        <v>Wal-Mart</v>
      </c>
      <c r="P148" s="2" t="s">
        <v>2296</v>
      </c>
    </row>
    <row r="149" spans="1:16" hidden="1">
      <c r="A149" s="2">
        <v>201907</v>
      </c>
      <c r="B149" s="3">
        <v>43668</v>
      </c>
      <c r="C149" s="2" t="s">
        <v>2258</v>
      </c>
      <c r="D149" s="2" t="s">
        <v>38</v>
      </c>
      <c r="E149" s="2">
        <v>24.69</v>
      </c>
      <c r="F149" s="2" t="s">
        <v>38</v>
      </c>
      <c r="J149" s="2">
        <v>24.69</v>
      </c>
      <c r="K149" s="2" t="b">
        <v>0</v>
      </c>
      <c r="L149" s="2"/>
      <c r="M149" s="2"/>
      <c r="N149" s="4" t="s">
        <v>2259</v>
      </c>
      <c r="O149" s="4" t="str">
        <f>LEFT(Table2[[#This Row],[Description]],75)</f>
        <v>Amazon</v>
      </c>
      <c r="P149" s="2" t="s">
        <v>2260</v>
      </c>
    </row>
    <row r="150" spans="1:16" hidden="1">
      <c r="A150" s="2">
        <v>201907</v>
      </c>
      <c r="B150" s="3">
        <v>43668</v>
      </c>
      <c r="C150" s="2" t="s">
        <v>2261</v>
      </c>
      <c r="D150" s="2" t="s">
        <v>38</v>
      </c>
      <c r="E150" s="2">
        <v>24.69</v>
      </c>
      <c r="F150" s="2" t="s">
        <v>38</v>
      </c>
      <c r="J150" s="2">
        <v>24.69</v>
      </c>
      <c r="K150" s="2" t="b">
        <v>0</v>
      </c>
      <c r="L150" s="2"/>
      <c r="M150" s="2"/>
      <c r="N150" s="4" t="s">
        <v>2259</v>
      </c>
      <c r="O150" s="4" t="str">
        <f>LEFT(Table2[[#This Row],[Description]],75)</f>
        <v>Amazon</v>
      </c>
      <c r="P150" s="2"/>
    </row>
    <row r="151" spans="1:16" hidden="1">
      <c r="A151" s="2">
        <v>201907</v>
      </c>
      <c r="B151" s="3">
        <v>43668</v>
      </c>
      <c r="C151" s="2" t="s">
        <v>2265</v>
      </c>
      <c r="D151" s="2" t="s">
        <v>212</v>
      </c>
      <c r="E151" s="2">
        <v>16.73</v>
      </c>
      <c r="F151" s="2" t="s">
        <v>21</v>
      </c>
      <c r="J151" s="2">
        <v>16.73</v>
      </c>
      <c r="K151" s="2" t="b">
        <v>0</v>
      </c>
      <c r="L151" s="2"/>
      <c r="M151" s="2"/>
      <c r="N151" s="4" t="s">
        <v>2259</v>
      </c>
      <c r="O151" s="4" t="str">
        <f>LEFT(Table2[[#This Row],[Description]],75)</f>
        <v>Banana Visa TYPE BR EPAY ID CO Banana Visa ACH ECC WEB ACH Trace 84633 2376</v>
      </c>
      <c r="P151" s="2" t="s">
        <v>2297</v>
      </c>
    </row>
    <row r="152" spans="1:16" hidden="1">
      <c r="A152" s="2">
        <v>201907</v>
      </c>
      <c r="B152" s="3">
        <v>43668</v>
      </c>
      <c r="C152" s="2" t="s">
        <v>2267</v>
      </c>
      <c r="D152" s="2" t="s">
        <v>212</v>
      </c>
      <c r="E152" s="2">
        <v>16.73</v>
      </c>
      <c r="F152" s="2" t="s">
        <v>21</v>
      </c>
      <c r="J152" s="2">
        <v>16.73</v>
      </c>
      <c r="K152" s="2" t="b">
        <v>0</v>
      </c>
      <c r="L152" s="2"/>
      <c r="M152" s="2"/>
      <c r="N152" s="4" t="s">
        <v>2259</v>
      </c>
      <c r="O152" s="4" t="str">
        <f>LEFT(Table2[[#This Row],[Description]],75)</f>
        <v>Banana Visa TYPE BR EPAY ID CO Banana Visa ACH ECC WEB ACH Trace 84633 2376</v>
      </c>
      <c r="P152" s="2"/>
    </row>
    <row r="153" spans="1:16" hidden="1">
      <c r="A153" s="2">
        <v>201907</v>
      </c>
      <c r="B153" s="3">
        <v>43668</v>
      </c>
      <c r="C153" s="2" t="s">
        <v>2265</v>
      </c>
      <c r="D153" s="2" t="s">
        <v>557</v>
      </c>
      <c r="E153" s="2">
        <v>33.49</v>
      </c>
      <c r="F153" s="2" t="s">
        <v>7</v>
      </c>
      <c r="J153" s="2">
        <v>33.49</v>
      </c>
      <c r="K153" s="2" t="b">
        <v>0</v>
      </c>
      <c r="L153" s="2"/>
      <c r="M153" s="2"/>
      <c r="N153" s="4" t="s">
        <v>2259</v>
      </c>
      <c r="O153" s="4" t="str">
        <f>LEFT(Table2[[#This Row],[Description]],75)</f>
        <v>City of Chanhassen</v>
      </c>
      <c r="P153" s="2" t="s">
        <v>2298</v>
      </c>
    </row>
    <row r="154" spans="1:16" hidden="1">
      <c r="A154" s="2">
        <v>201907</v>
      </c>
      <c r="B154" s="3">
        <v>43668</v>
      </c>
      <c r="C154" s="2" t="s">
        <v>2267</v>
      </c>
      <c r="D154" s="2" t="s">
        <v>557</v>
      </c>
      <c r="E154" s="2">
        <v>33.49</v>
      </c>
      <c r="F154" s="2" t="s">
        <v>7</v>
      </c>
      <c r="J154" s="2">
        <v>33.49</v>
      </c>
      <c r="K154" s="2" t="b">
        <v>0</v>
      </c>
      <c r="L154" s="2"/>
      <c r="M154" s="2"/>
      <c r="N154" s="4" t="s">
        <v>2259</v>
      </c>
      <c r="O154" s="4" t="str">
        <f>LEFT(Table2[[#This Row],[Description]],75)</f>
        <v>City of Chanhassen</v>
      </c>
      <c r="P154" s="2"/>
    </row>
    <row r="155" spans="1:16" hidden="1">
      <c r="A155" s="2">
        <v>201907</v>
      </c>
      <c r="B155" s="3">
        <v>43668</v>
      </c>
      <c r="C155" s="2" t="s">
        <v>2262</v>
      </c>
      <c r="D155" s="2" t="s">
        <v>684</v>
      </c>
      <c r="E155" s="2">
        <v>101.56</v>
      </c>
      <c r="F155" s="2" t="s">
        <v>28</v>
      </c>
      <c r="J155" s="2">
        <v>101.56</v>
      </c>
      <c r="K155" s="2" t="b">
        <v>0</v>
      </c>
      <c r="L155" s="2"/>
      <c r="M155" s="2"/>
      <c r="N155" s="4" t="s">
        <v>2259</v>
      </c>
      <c r="O155" s="4" t="str">
        <f>LEFT(Table2[[#This Row],[Description]],75)</f>
        <v>Cub Foods</v>
      </c>
      <c r="P155" s="2"/>
    </row>
    <row r="156" spans="1:16" hidden="1">
      <c r="A156" s="2">
        <v>201907</v>
      </c>
      <c r="B156" s="3">
        <v>43668</v>
      </c>
      <c r="C156" s="2" t="s">
        <v>2258</v>
      </c>
      <c r="D156" s="2" t="s">
        <v>780</v>
      </c>
      <c r="E156" s="2">
        <v>15.5</v>
      </c>
      <c r="F156" s="2">
        <v>0</v>
      </c>
      <c r="J156" s="2">
        <v>15.5</v>
      </c>
      <c r="K156" s="2" t="b">
        <v>0</v>
      </c>
      <c r="L156" s="2"/>
      <c r="M156" s="2"/>
      <c r="N156" s="4" t="s">
        <v>2259</v>
      </c>
      <c r="O156" s="4" t="str">
        <f>LEFT(Table2[[#This Row],[Description]],75)</f>
        <v>DNCSS MN TWINS CONCESS MINNEAPOLIS MN02209B</v>
      </c>
      <c r="P156" s="2"/>
    </row>
    <row r="157" spans="1:16" hidden="1">
      <c r="A157" s="2">
        <v>201907</v>
      </c>
      <c r="B157" s="3">
        <v>43668</v>
      </c>
      <c r="C157" s="2" t="s">
        <v>2261</v>
      </c>
      <c r="D157" s="2" t="s">
        <v>780</v>
      </c>
      <c r="E157" s="2">
        <v>15.5</v>
      </c>
      <c r="F157" s="2">
        <v>0</v>
      </c>
      <c r="J157" s="2">
        <v>15.5</v>
      </c>
      <c r="K157" s="2" t="b">
        <v>0</v>
      </c>
      <c r="L157" s="2"/>
      <c r="M157" s="2"/>
      <c r="N157" s="4" t="s">
        <v>2259</v>
      </c>
      <c r="O157" s="4" t="str">
        <f>LEFT(Table2[[#This Row],[Description]],75)</f>
        <v>DNCSS MN TWINS CONCESS MINNEAPOLIS MN02209B</v>
      </c>
      <c r="P157" s="2" t="s">
        <v>2281</v>
      </c>
    </row>
    <row r="158" spans="1:16" hidden="1">
      <c r="A158" s="2">
        <v>201907</v>
      </c>
      <c r="B158" s="3">
        <v>43668</v>
      </c>
      <c r="C158" s="2" t="s">
        <v>2258</v>
      </c>
      <c r="D158" s="2" t="s">
        <v>781</v>
      </c>
      <c r="E158" s="2">
        <v>26</v>
      </c>
      <c r="F158" s="2">
        <v>0</v>
      </c>
      <c r="J158" s="2">
        <v>26</v>
      </c>
      <c r="K158" s="2" t="b">
        <v>0</v>
      </c>
      <c r="L158" s="2"/>
      <c r="M158" s="2"/>
      <c r="N158" s="4" t="s">
        <v>2259</v>
      </c>
      <c r="O158" s="4" t="str">
        <f>LEFT(Table2[[#This Row],[Description]],75)</f>
        <v>DNCSS MN TWINS CONCESS MINNEAPOLIS MN02281B</v>
      </c>
      <c r="P158" s="2"/>
    </row>
    <row r="159" spans="1:16" hidden="1">
      <c r="A159" s="2">
        <v>201907</v>
      </c>
      <c r="B159" s="3">
        <v>43668</v>
      </c>
      <c r="C159" s="2" t="s">
        <v>2261</v>
      </c>
      <c r="D159" s="2" t="s">
        <v>781</v>
      </c>
      <c r="E159" s="2">
        <v>26</v>
      </c>
      <c r="F159" s="2">
        <v>0</v>
      </c>
      <c r="J159" s="2">
        <v>26</v>
      </c>
      <c r="K159" s="2" t="b">
        <v>0</v>
      </c>
      <c r="L159" s="2"/>
      <c r="M159" s="2"/>
      <c r="N159" s="4" t="s">
        <v>2259</v>
      </c>
      <c r="O159" s="4" t="str">
        <f>LEFT(Table2[[#This Row],[Description]],75)</f>
        <v>DNCSS MN TWINS CONCESS MINNEAPOLIS MN02281B</v>
      </c>
      <c r="P159" s="2" t="s">
        <v>2281</v>
      </c>
    </row>
    <row r="160" spans="1:16" hidden="1">
      <c r="A160" s="2">
        <v>201907</v>
      </c>
      <c r="B160" s="3">
        <v>43668</v>
      </c>
      <c r="C160" s="2" t="s">
        <v>2274</v>
      </c>
      <c r="D160" s="2" t="s">
        <v>1817</v>
      </c>
      <c r="E160" s="2">
        <v>475.6</v>
      </c>
      <c r="F160" s="2">
        <v>0</v>
      </c>
      <c r="J160" s="2">
        <v>475.6</v>
      </c>
      <c r="K160" s="2" t="b">
        <v>0</v>
      </c>
      <c r="L160" s="2"/>
      <c r="M160" s="2"/>
      <c r="N160" s="4" t="s">
        <v>2259</v>
      </c>
      <c r="O160" s="4" t="str">
        <f>LEFT(Table2[[#This Row],[Description]],75)</f>
        <v>TARGET CARD SRVC BILL PAY 190719</v>
      </c>
      <c r="P160" s="2" t="s">
        <v>2281</v>
      </c>
    </row>
    <row r="161" spans="1:16" hidden="1">
      <c r="A161" s="2">
        <v>201907</v>
      </c>
      <c r="B161" s="3">
        <v>43669</v>
      </c>
      <c r="C161" s="2" t="s">
        <v>2258</v>
      </c>
      <c r="D161" s="2" t="s">
        <v>668</v>
      </c>
      <c r="E161" s="2">
        <v>55.15</v>
      </c>
      <c r="F161" s="2" t="s">
        <v>21</v>
      </c>
      <c r="J161" s="2">
        <v>55.15</v>
      </c>
      <c r="K161" s="2" t="b">
        <v>0</v>
      </c>
      <c r="L161" s="2"/>
      <c r="M161" s="2"/>
      <c r="N161" s="4" t="s">
        <v>2259</v>
      </c>
      <c r="O161" s="4" t="str">
        <f>LEFT(Table2[[#This Row],[Description]],75)</f>
        <v>CRAVE EDEN PRAIRIE EDEN PRAIRIE MN</v>
      </c>
      <c r="P161" s="2" t="s">
        <v>2299</v>
      </c>
    </row>
    <row r="162" spans="1:16" hidden="1">
      <c r="A162" s="2">
        <v>201907</v>
      </c>
      <c r="B162" s="3">
        <v>43669</v>
      </c>
      <c r="C162" s="2" t="s">
        <v>2261</v>
      </c>
      <c r="D162" s="2" t="s">
        <v>668</v>
      </c>
      <c r="E162" s="2">
        <v>55.15</v>
      </c>
      <c r="F162" s="2" t="s">
        <v>21</v>
      </c>
      <c r="J162" s="2">
        <v>55.15</v>
      </c>
      <c r="K162" s="2" t="b">
        <v>0</v>
      </c>
      <c r="L162" s="2"/>
      <c r="M162" s="2"/>
      <c r="N162" s="4" t="s">
        <v>2259</v>
      </c>
      <c r="O162" s="4" t="str">
        <f>LEFT(Table2[[#This Row],[Description]],75)</f>
        <v>CRAVE EDEN PRAIRIE EDEN PRAIRIE MN</v>
      </c>
      <c r="P162" s="2"/>
    </row>
    <row r="163" spans="1:16" hidden="1">
      <c r="A163" s="2">
        <v>201907</v>
      </c>
      <c r="B163" s="3">
        <v>43669</v>
      </c>
      <c r="C163" s="2" t="s">
        <v>2265</v>
      </c>
      <c r="D163" s="2" t="s">
        <v>2112</v>
      </c>
      <c r="E163" s="2">
        <v>-103</v>
      </c>
      <c r="F163" s="2" t="s">
        <v>9</v>
      </c>
      <c r="J163" s="2">
        <v>103</v>
      </c>
      <c r="K163" s="2" t="b">
        <v>0</v>
      </c>
      <c r="L163" s="2"/>
      <c r="M163" s="2"/>
      <c r="N163" s="4" t="s">
        <v>2273</v>
      </c>
      <c r="O163" s="4" t="str">
        <f>LEFT(Table2[[#This Row],[Description]],75)</f>
        <v>Venmo Type Cashout</v>
      </c>
      <c r="P163" s="2" t="s">
        <v>2279</v>
      </c>
    </row>
    <row r="164" spans="1:16" hidden="1">
      <c r="A164" s="2">
        <v>201907</v>
      </c>
      <c r="B164" s="3">
        <v>43669</v>
      </c>
      <c r="C164" s="2" t="s">
        <v>2267</v>
      </c>
      <c r="D164" s="2" t="s">
        <v>2112</v>
      </c>
      <c r="E164" s="2">
        <v>-103</v>
      </c>
      <c r="F164" s="2" t="s">
        <v>9</v>
      </c>
      <c r="J164" s="2">
        <v>103</v>
      </c>
      <c r="K164" s="2" t="b">
        <v>0</v>
      </c>
      <c r="L164" s="2"/>
      <c r="M164" s="2"/>
      <c r="N164" s="2" t="s">
        <v>2264</v>
      </c>
      <c r="O164" s="2" t="str">
        <f>LEFT(Table2[[#This Row],[Description]],75)</f>
        <v>Venmo Type Cashout</v>
      </c>
      <c r="P164" s="2" t="s">
        <v>2279</v>
      </c>
    </row>
    <row r="165" spans="1:16" hidden="1">
      <c r="A165" s="2">
        <v>201907</v>
      </c>
      <c r="B165" s="3">
        <v>43670</v>
      </c>
      <c r="C165" s="2" t="s">
        <v>2262</v>
      </c>
      <c r="D165" s="2" t="s">
        <v>38</v>
      </c>
      <c r="E165" s="2">
        <v>42.89</v>
      </c>
      <c r="F165" s="2" t="s">
        <v>38</v>
      </c>
      <c r="J165" s="2">
        <v>42.89</v>
      </c>
      <c r="K165" s="2" t="b">
        <v>0</v>
      </c>
      <c r="L165" s="2"/>
      <c r="M165" s="2"/>
      <c r="N165" s="4" t="s">
        <v>2259</v>
      </c>
      <c r="O165" s="4" t="str">
        <f>LEFT(Table2[[#This Row],[Description]],75)</f>
        <v>Amazon</v>
      </c>
      <c r="P165" s="2"/>
    </row>
    <row r="166" spans="1:16" hidden="1">
      <c r="A166" s="2">
        <v>201907</v>
      </c>
      <c r="B166" s="3">
        <v>43670</v>
      </c>
      <c r="C166" s="2" t="s">
        <v>2265</v>
      </c>
      <c r="D166" s="2" t="s">
        <v>367</v>
      </c>
      <c r="E166" s="2">
        <v>-13767.87</v>
      </c>
      <c r="F166" s="2" t="s">
        <v>65</v>
      </c>
      <c r="J166" s="2">
        <v>13767.87</v>
      </c>
      <c r="K166" s="2" t="b">
        <v>0</v>
      </c>
      <c r="L166" s="2"/>
      <c r="M166" s="2"/>
      <c r="N166" s="4" t="s">
        <v>2273</v>
      </c>
      <c r="O166" s="4" t="str">
        <f>LEFT(Table2[[#This Row],[Description]],75)</f>
        <v xml:space="preserve">CARGILL COCOA TYPE DIR DEP ID CO CARGILL COCOA ACH ECC PPD ACH Trace 29338 </v>
      </c>
      <c r="P166" s="2" t="s">
        <v>2284</v>
      </c>
    </row>
    <row r="167" spans="1:16" hidden="1">
      <c r="A167" s="2">
        <v>201907</v>
      </c>
      <c r="B167" s="3">
        <v>43670</v>
      </c>
      <c r="C167" s="2" t="s">
        <v>2267</v>
      </c>
      <c r="D167" s="2" t="s">
        <v>367</v>
      </c>
      <c r="E167" s="2">
        <v>-13767.87</v>
      </c>
      <c r="F167" s="2" t="s">
        <v>65</v>
      </c>
      <c r="J167" s="2">
        <v>13767.87</v>
      </c>
      <c r="K167" s="2" t="b">
        <v>0</v>
      </c>
      <c r="L167" s="2"/>
      <c r="M167" s="2"/>
      <c r="N167" s="2" t="s">
        <v>2264</v>
      </c>
      <c r="O167" s="2" t="str">
        <f>LEFT(Table2[[#This Row],[Description]],75)</f>
        <v xml:space="preserve">CARGILL COCOA TYPE DIR DEP ID CO CARGILL COCOA ACH ECC PPD ACH Trace 29338 </v>
      </c>
      <c r="P167" s="2"/>
    </row>
    <row r="168" spans="1:16" hidden="1">
      <c r="A168" s="2">
        <v>201907</v>
      </c>
      <c r="B168" s="3">
        <v>43670</v>
      </c>
      <c r="C168" s="2" t="s">
        <v>2265</v>
      </c>
      <c r="D168" s="2" t="s">
        <v>380</v>
      </c>
      <c r="E168" s="2">
        <v>-977.87</v>
      </c>
      <c r="F168" s="2" t="s">
        <v>65</v>
      </c>
      <c r="J168" s="2">
        <v>977.87</v>
      </c>
      <c r="K168" s="2" t="b">
        <v>0</v>
      </c>
      <c r="L168" s="2"/>
      <c r="M168" s="2"/>
      <c r="N168" s="4" t="s">
        <v>2273</v>
      </c>
      <c r="O168" s="4" t="str">
        <f>LEFT(Table2[[#This Row],[Description]],75)</f>
        <v xml:space="preserve">CARGILL COCOA TYPE DIR DEP ID CO CARGILL COCOA ACH ECC PPD ACH Trace 47714 </v>
      </c>
      <c r="P168" s="2" t="s">
        <v>2284</v>
      </c>
    </row>
    <row r="169" spans="1:16" hidden="1">
      <c r="A169" s="2">
        <v>201907</v>
      </c>
      <c r="B169" s="3">
        <v>43670</v>
      </c>
      <c r="C169" s="2" t="s">
        <v>2267</v>
      </c>
      <c r="D169" s="2" t="s">
        <v>380</v>
      </c>
      <c r="E169" s="2">
        <v>-977.87</v>
      </c>
      <c r="F169" s="2" t="s">
        <v>65</v>
      </c>
      <c r="J169" s="2">
        <v>977.87</v>
      </c>
      <c r="K169" s="2" t="b">
        <v>0</v>
      </c>
      <c r="L169" s="2"/>
      <c r="M169" s="2"/>
      <c r="N169" s="2" t="s">
        <v>2264</v>
      </c>
      <c r="O169" s="2" t="str">
        <f>LEFT(Table2[[#This Row],[Description]],75)</f>
        <v xml:space="preserve">CARGILL COCOA TYPE DIR DEP ID CO CARGILL COCOA ACH ECC PPD ACH Trace 47714 </v>
      </c>
      <c r="P169" s="2"/>
    </row>
    <row r="170" spans="1:16" hidden="1">
      <c r="A170" s="2">
        <v>201907</v>
      </c>
      <c r="B170" s="3">
        <v>43670</v>
      </c>
      <c r="C170" s="2" t="s">
        <v>2265</v>
      </c>
      <c r="D170" s="2" t="s">
        <v>478</v>
      </c>
      <c r="E170" s="2">
        <v>198</v>
      </c>
      <c r="F170" s="2" t="s">
        <v>20</v>
      </c>
      <c r="J170" s="2">
        <v>198</v>
      </c>
      <c r="K170" s="2" t="b">
        <v>0</v>
      </c>
      <c r="L170" s="2"/>
      <c r="M170" s="2"/>
      <c r="N170" s="4" t="s">
        <v>2259</v>
      </c>
      <c r="O170" s="4" t="str">
        <f>LEFT(Table2[[#This Row],[Description]],75)</f>
        <v>CCLC TYPE INTERNET ID CO CCLC ACH ECC WEB ACH Trace 52324 238084734</v>
      </c>
      <c r="P170" s="2" t="s">
        <v>2268</v>
      </c>
    </row>
    <row r="171" spans="1:16" hidden="1">
      <c r="A171" s="2">
        <v>201907</v>
      </c>
      <c r="B171" s="3">
        <v>43670</v>
      </c>
      <c r="C171" s="2" t="s">
        <v>2267</v>
      </c>
      <c r="D171" s="2" t="s">
        <v>478</v>
      </c>
      <c r="E171" s="2">
        <v>198</v>
      </c>
      <c r="F171" s="2" t="s">
        <v>20</v>
      </c>
      <c r="J171" s="2">
        <v>198</v>
      </c>
      <c r="K171" s="2" t="b">
        <v>0</v>
      </c>
      <c r="L171" s="2"/>
      <c r="M171" s="2"/>
      <c r="N171" s="4" t="s">
        <v>2259</v>
      </c>
      <c r="O171" s="4" t="str">
        <f>LEFT(Table2[[#This Row],[Description]],75)</f>
        <v>CCLC TYPE INTERNET ID CO CCLC ACH ECC WEB ACH Trace 52324 238084734</v>
      </c>
      <c r="P171" s="2"/>
    </row>
    <row r="172" spans="1:16" hidden="1">
      <c r="A172" s="2">
        <v>201907</v>
      </c>
      <c r="B172" s="3">
        <v>43670</v>
      </c>
      <c r="C172" s="2" t="s">
        <v>2300</v>
      </c>
      <c r="D172" s="2" t="s">
        <v>1947</v>
      </c>
      <c r="E172" s="2">
        <v>-200</v>
      </c>
      <c r="F172" s="2" t="s">
        <v>9</v>
      </c>
      <c r="J172" s="2">
        <v>200</v>
      </c>
      <c r="K172" s="2" t="b">
        <v>0</v>
      </c>
      <c r="L172" s="2"/>
      <c r="M172" s="2"/>
      <c r="N172" s="4" t="s">
        <v>2273</v>
      </c>
      <c r="O172" s="4" t="str">
        <f>LEFT(Table2[[#This Row],[Description]],75)</f>
        <v>Transfer from POWERPLUS CHECKING</v>
      </c>
      <c r="P172" s="2" t="s">
        <v>2301</v>
      </c>
    </row>
    <row r="173" spans="1:16" hidden="1">
      <c r="A173" s="2">
        <v>201907</v>
      </c>
      <c r="B173" s="3">
        <v>43670</v>
      </c>
      <c r="C173" s="2" t="s">
        <v>2302</v>
      </c>
      <c r="D173" s="2" t="s">
        <v>1947</v>
      </c>
      <c r="E173" s="2">
        <v>-200</v>
      </c>
      <c r="F173" s="2" t="s">
        <v>9</v>
      </c>
      <c r="J173" s="2">
        <v>200</v>
      </c>
      <c r="K173" s="2" t="b">
        <v>0</v>
      </c>
      <c r="L173" s="2"/>
      <c r="M173" s="2"/>
      <c r="N173" s="2" t="s">
        <v>2264</v>
      </c>
      <c r="O173" s="2" t="str">
        <f>LEFT(Table2[[#This Row],[Description]],75)</f>
        <v>Transfer from POWERPLUS CHECKING</v>
      </c>
      <c r="P173" s="2"/>
    </row>
    <row r="174" spans="1:16" hidden="1">
      <c r="A174" s="2">
        <v>201907</v>
      </c>
      <c r="B174" s="3">
        <v>43670</v>
      </c>
      <c r="C174" s="2" t="s">
        <v>2265</v>
      </c>
      <c r="D174" s="2" t="s">
        <v>1957</v>
      </c>
      <c r="E174" s="2">
        <v>200</v>
      </c>
      <c r="F174" s="2" t="s">
        <v>59</v>
      </c>
      <c r="J174" s="2">
        <v>200</v>
      </c>
      <c r="K174" s="2" t="b">
        <v>0</v>
      </c>
      <c r="L174" s="2"/>
      <c r="M174" s="2"/>
      <c r="N174" s="4" t="s">
        <v>2259</v>
      </c>
      <c r="O174" s="4" t="str">
        <f>LEFT(Table2[[#This Row],[Description]],75)</f>
        <v>Transfer to RAINY DAY SAVINGS</v>
      </c>
      <c r="P174" s="2" t="s">
        <v>2303</v>
      </c>
    </row>
    <row r="175" spans="1:16" hidden="1">
      <c r="A175" s="2">
        <v>201907</v>
      </c>
      <c r="B175" s="3">
        <v>43670</v>
      </c>
      <c r="C175" s="2" t="s">
        <v>2267</v>
      </c>
      <c r="D175" s="2" t="s">
        <v>1957</v>
      </c>
      <c r="E175" s="2">
        <v>200</v>
      </c>
      <c r="F175" s="2" t="s">
        <v>59</v>
      </c>
      <c r="J175" s="2">
        <v>200</v>
      </c>
      <c r="K175" s="2" t="b">
        <v>0</v>
      </c>
      <c r="L175" s="2"/>
      <c r="M175" s="2"/>
      <c r="N175" s="4" t="s">
        <v>2259</v>
      </c>
      <c r="O175" s="4" t="str">
        <f>LEFT(Table2[[#This Row],[Description]],75)</f>
        <v>Transfer to RAINY DAY SAVINGS</v>
      </c>
      <c r="P175" s="2"/>
    </row>
    <row r="176" spans="1:16" hidden="1">
      <c r="A176" s="2">
        <v>201907</v>
      </c>
      <c r="B176" s="3">
        <v>43671</v>
      </c>
      <c r="C176" s="2" t="s">
        <v>2258</v>
      </c>
      <c r="D176" s="2" t="s">
        <v>458</v>
      </c>
      <c r="E176" s="2">
        <v>-33.25</v>
      </c>
      <c r="F176" s="2" t="s">
        <v>9</v>
      </c>
      <c r="J176" s="2">
        <v>33.25</v>
      </c>
      <c r="K176" s="2" t="b">
        <v>0</v>
      </c>
      <c r="L176" s="2"/>
      <c r="M176" s="2"/>
      <c r="N176" s="4" t="s">
        <v>2273</v>
      </c>
      <c r="O176" s="4" t="str">
        <f>LEFT(Table2[[#This Row],[Description]],75)</f>
        <v>CASHBACK BONUS REDEMPTION payment/STMT CRDT</v>
      </c>
      <c r="P176" s="2" t="s">
        <v>2304</v>
      </c>
    </row>
    <row r="177" spans="1:16" hidden="1">
      <c r="A177" s="2">
        <v>201907</v>
      </c>
      <c r="B177" s="3">
        <v>43671</v>
      </c>
      <c r="C177" s="2" t="s">
        <v>2261</v>
      </c>
      <c r="D177" s="2" t="s">
        <v>458</v>
      </c>
      <c r="E177" s="2">
        <v>-33.25</v>
      </c>
      <c r="F177" s="2" t="s">
        <v>9</v>
      </c>
      <c r="J177" s="2">
        <v>33.25</v>
      </c>
      <c r="K177" s="2" t="b">
        <v>0</v>
      </c>
      <c r="L177" s="2"/>
      <c r="M177" s="2"/>
      <c r="N177" s="2" t="s">
        <v>2264</v>
      </c>
      <c r="O177" s="2" t="str">
        <f>LEFT(Table2[[#This Row],[Description]],75)</f>
        <v>CASHBACK BONUS REDEMPTION payment/STMT CRDT</v>
      </c>
      <c r="P177" s="2"/>
    </row>
    <row r="178" spans="1:16" hidden="1">
      <c r="A178" s="2">
        <v>201907</v>
      </c>
      <c r="B178" s="3">
        <v>43671</v>
      </c>
      <c r="C178" s="2" t="s">
        <v>2258</v>
      </c>
      <c r="D178" s="2" t="s">
        <v>997</v>
      </c>
      <c r="E178" s="2">
        <v>-480.6</v>
      </c>
      <c r="F178" s="2" t="s">
        <v>9</v>
      </c>
      <c r="J178" s="2">
        <v>480.6</v>
      </c>
      <c r="K178" s="2" t="b">
        <v>0</v>
      </c>
      <c r="L178" s="2"/>
      <c r="M178" s="2"/>
      <c r="N178" s="4" t="s">
        <v>2273</v>
      </c>
      <c r="O178" s="4" t="str">
        <f>LEFT(Table2[[#This Row],[Description]],75)</f>
        <v>INTERNET PAYMENT - THANK YOU</v>
      </c>
      <c r="P178" s="2" t="s">
        <v>2291</v>
      </c>
    </row>
    <row r="179" spans="1:16" hidden="1">
      <c r="A179" s="2">
        <v>201907</v>
      </c>
      <c r="B179" s="3">
        <v>43671</v>
      </c>
      <c r="C179" s="2" t="s">
        <v>2261</v>
      </c>
      <c r="D179" s="2" t="s">
        <v>997</v>
      </c>
      <c r="E179" s="2">
        <v>-480.6</v>
      </c>
      <c r="F179" s="2" t="s">
        <v>9</v>
      </c>
      <c r="J179" s="2">
        <v>480.6</v>
      </c>
      <c r="K179" s="2" t="b">
        <v>0</v>
      </c>
      <c r="L179" s="2"/>
      <c r="M179" s="2"/>
      <c r="N179" s="2" t="s">
        <v>2264</v>
      </c>
      <c r="O179" s="2" t="str">
        <f>LEFT(Table2[[#This Row],[Description]],75)</f>
        <v>INTERNET PAYMENT - THANK YOU</v>
      </c>
      <c r="P179" s="2"/>
    </row>
    <row r="180" spans="1:16" hidden="1">
      <c r="A180" s="2">
        <v>201907</v>
      </c>
      <c r="B180" s="3">
        <v>43671</v>
      </c>
      <c r="C180" s="2" t="s">
        <v>2258</v>
      </c>
      <c r="D180" s="2" t="s">
        <v>38</v>
      </c>
      <c r="E180" s="2">
        <v>44.51</v>
      </c>
      <c r="F180" s="2" t="s">
        <v>38</v>
      </c>
      <c r="J180" s="2">
        <v>44.51</v>
      </c>
      <c r="K180" s="2" t="b">
        <v>0</v>
      </c>
      <c r="L180" s="2"/>
      <c r="M180" s="2"/>
      <c r="N180" s="4" t="s">
        <v>2259</v>
      </c>
      <c r="O180" s="4" t="str">
        <f>LEFT(Table2[[#This Row],[Description]],75)</f>
        <v>Amazon</v>
      </c>
      <c r="P180" s="2" t="s">
        <v>2260</v>
      </c>
    </row>
    <row r="181" spans="1:16" hidden="1">
      <c r="A181" s="2">
        <v>201907</v>
      </c>
      <c r="B181" s="3">
        <v>43671</v>
      </c>
      <c r="C181" s="2" t="s">
        <v>2258</v>
      </c>
      <c r="D181" s="2" t="s">
        <v>38</v>
      </c>
      <c r="E181" s="2">
        <v>137.19</v>
      </c>
      <c r="F181" s="2" t="s">
        <v>38</v>
      </c>
      <c r="J181" s="2">
        <v>137.19</v>
      </c>
      <c r="K181" s="2" t="b">
        <v>0</v>
      </c>
      <c r="L181" s="2"/>
      <c r="M181" s="2"/>
      <c r="N181" s="4" t="s">
        <v>2259</v>
      </c>
      <c r="O181" s="4" t="str">
        <f>LEFT(Table2[[#This Row],[Description]],75)</f>
        <v>Amazon</v>
      </c>
      <c r="P181" s="2" t="s">
        <v>2260</v>
      </c>
    </row>
    <row r="182" spans="1:16" hidden="1">
      <c r="A182" s="2">
        <v>201907</v>
      </c>
      <c r="B182" s="3">
        <v>43671</v>
      </c>
      <c r="C182" s="2" t="s">
        <v>2262</v>
      </c>
      <c r="D182" s="2" t="s">
        <v>38</v>
      </c>
      <c r="E182" s="2">
        <v>5.35</v>
      </c>
      <c r="F182" s="2" t="s">
        <v>38</v>
      </c>
      <c r="J182" s="2">
        <v>5.35</v>
      </c>
      <c r="K182" s="2" t="b">
        <v>0</v>
      </c>
      <c r="L182" s="2"/>
      <c r="M182" s="2"/>
      <c r="N182" s="4" t="s">
        <v>2259</v>
      </c>
      <c r="O182" s="4" t="str">
        <f>LEFT(Table2[[#This Row],[Description]],75)</f>
        <v>Amazon</v>
      </c>
      <c r="P182" s="2"/>
    </row>
    <row r="183" spans="1:16" hidden="1">
      <c r="A183" s="2">
        <v>201907</v>
      </c>
      <c r="B183" s="3">
        <v>43671</v>
      </c>
      <c r="C183" s="2" t="s">
        <v>2261</v>
      </c>
      <c r="D183" s="2" t="s">
        <v>38</v>
      </c>
      <c r="E183" s="2">
        <v>44.51</v>
      </c>
      <c r="F183" s="2" t="s">
        <v>38</v>
      </c>
      <c r="J183" s="2">
        <v>44.51</v>
      </c>
      <c r="K183" s="2" t="b">
        <v>0</v>
      </c>
      <c r="L183" s="2"/>
      <c r="M183" s="2"/>
      <c r="N183" s="4" t="s">
        <v>2259</v>
      </c>
      <c r="O183" s="4" t="str">
        <f>LEFT(Table2[[#This Row],[Description]],75)</f>
        <v>Amazon</v>
      </c>
      <c r="P183" s="2"/>
    </row>
    <row r="184" spans="1:16" hidden="1">
      <c r="A184" s="2">
        <v>201907</v>
      </c>
      <c r="B184" s="3">
        <v>43671</v>
      </c>
      <c r="C184" s="2" t="s">
        <v>2261</v>
      </c>
      <c r="D184" s="2" t="s">
        <v>38</v>
      </c>
      <c r="E184" s="2">
        <v>137.19</v>
      </c>
      <c r="F184" s="2" t="s">
        <v>38</v>
      </c>
      <c r="J184" s="2">
        <v>137.19</v>
      </c>
      <c r="K184" s="2" t="b">
        <v>0</v>
      </c>
      <c r="L184" s="2"/>
      <c r="M184" s="2"/>
      <c r="N184" s="4" t="s">
        <v>2259</v>
      </c>
      <c r="O184" s="4" t="str">
        <f>LEFT(Table2[[#This Row],[Description]],75)</f>
        <v>Amazon</v>
      </c>
      <c r="P184" s="2"/>
    </row>
    <row r="185" spans="1:16" hidden="1">
      <c r="A185" s="2">
        <v>201907</v>
      </c>
      <c r="B185" s="3">
        <v>43671</v>
      </c>
      <c r="C185" s="2" t="s">
        <v>2262</v>
      </c>
      <c r="D185" s="2" t="s">
        <v>1078</v>
      </c>
      <c r="E185" s="2">
        <v>40.68</v>
      </c>
      <c r="F185" s="2">
        <v>0</v>
      </c>
      <c r="J185" s="2">
        <v>40.68</v>
      </c>
      <c r="K185" s="2" t="b">
        <v>0</v>
      </c>
      <c r="L185" s="2"/>
      <c r="M185" s="2"/>
      <c r="N185" s="4" t="s">
        <v>2259</v>
      </c>
      <c r="O185" s="4" t="str">
        <f>LEFT(Table2[[#This Row],[Description]],75)</f>
        <v>KONA GRILL MINNETONKA MINNETONKA MN 238658240</v>
      </c>
      <c r="P185" s="2" t="s">
        <v>2281</v>
      </c>
    </row>
    <row r="186" spans="1:16" hidden="1">
      <c r="A186" s="2">
        <v>201907</v>
      </c>
      <c r="B186" s="3">
        <v>43671</v>
      </c>
      <c r="C186" s="2" t="s">
        <v>2262</v>
      </c>
      <c r="D186" s="2" t="s">
        <v>1948</v>
      </c>
      <c r="E186" s="2">
        <v>-364</v>
      </c>
      <c r="F186" s="2">
        <v>0</v>
      </c>
      <c r="J186" s="2">
        <v>364</v>
      </c>
      <c r="K186" s="2" t="b">
        <v>0</v>
      </c>
      <c r="L186" s="2"/>
      <c r="M186" s="2"/>
      <c r="N186" s="2" t="s">
        <v>2264</v>
      </c>
      <c r="O186" s="2" t="str">
        <f>LEFT(Table2[[#This Row],[Description]],75)</f>
        <v>Transfer from SHARE SAVINGS</v>
      </c>
      <c r="P186" s="2" t="s">
        <v>2281</v>
      </c>
    </row>
    <row r="187" spans="1:16" hidden="1">
      <c r="A187" s="2">
        <v>201907</v>
      </c>
      <c r="B187" s="3">
        <v>43671</v>
      </c>
      <c r="C187" s="2" t="s">
        <v>2305</v>
      </c>
      <c r="D187" s="2" t="s">
        <v>1951</v>
      </c>
      <c r="E187" s="2">
        <v>364</v>
      </c>
      <c r="F187" s="2" t="s">
        <v>9</v>
      </c>
      <c r="J187" s="2">
        <v>364</v>
      </c>
      <c r="K187" s="2" t="b">
        <v>0</v>
      </c>
      <c r="L187" s="2"/>
      <c r="M187" s="2"/>
      <c r="N187" s="4" t="s">
        <v>2259</v>
      </c>
      <c r="O187" s="4" t="str">
        <f>LEFT(Table2[[#This Row],[Description]],75)</f>
        <v>Transfer to Cash Rewards Visa Signature</v>
      </c>
      <c r="P187" s="2"/>
    </row>
    <row r="188" spans="1:16" hidden="1">
      <c r="A188" s="2">
        <v>201907</v>
      </c>
      <c r="B188" s="3">
        <v>43672</v>
      </c>
      <c r="C188" s="2" t="s">
        <v>2265</v>
      </c>
      <c r="D188" s="2" t="s">
        <v>757</v>
      </c>
      <c r="E188" s="2">
        <v>480.6</v>
      </c>
      <c r="F188" s="2" t="s">
        <v>9</v>
      </c>
      <c r="J188" s="2">
        <v>480.6</v>
      </c>
      <c r="K188" s="2" t="b">
        <v>0</v>
      </c>
      <c r="L188" s="2"/>
      <c r="M188" s="2"/>
      <c r="N188" s="4" t="s">
        <v>2259</v>
      </c>
      <c r="O188" s="4" t="str">
        <f>LEFT(Table2[[#This Row],[Description]],75)</f>
        <v>DISCOVER TYPE EPAYMENT ID CO DISCOVER ACH ECC WEB ACH Trace 30484 238620406</v>
      </c>
      <c r="P188" s="2" t="s">
        <v>2293</v>
      </c>
    </row>
    <row r="189" spans="1:16" hidden="1">
      <c r="A189" s="2">
        <v>201907</v>
      </c>
      <c r="B189" s="3">
        <v>43672</v>
      </c>
      <c r="C189" s="2" t="s">
        <v>2267</v>
      </c>
      <c r="D189" s="2" t="s">
        <v>757</v>
      </c>
      <c r="E189" s="2">
        <v>480.6</v>
      </c>
      <c r="F189" s="2" t="s">
        <v>9</v>
      </c>
      <c r="J189" s="2">
        <v>480.6</v>
      </c>
      <c r="K189" s="2" t="b">
        <v>0</v>
      </c>
      <c r="L189" s="2"/>
      <c r="M189" s="2"/>
      <c r="N189" s="4" t="s">
        <v>2259</v>
      </c>
      <c r="O189" s="4" t="str">
        <f>LEFT(Table2[[#This Row],[Description]],75)</f>
        <v>DISCOVER TYPE EPAYMENT ID CO DISCOVER ACH ECC WEB ACH Trace 30484 238620406</v>
      </c>
      <c r="P189" s="2"/>
    </row>
    <row r="190" spans="1:16" hidden="1">
      <c r="A190" s="2">
        <v>201907</v>
      </c>
      <c r="B190" s="3">
        <v>43672</v>
      </c>
      <c r="C190" s="2" t="s">
        <v>2262</v>
      </c>
      <c r="D190" s="2" t="s">
        <v>438</v>
      </c>
      <c r="E190" s="2">
        <v>6.32</v>
      </c>
      <c r="F190" s="2">
        <v>0</v>
      </c>
      <c r="J190" s="2">
        <v>6.32</v>
      </c>
      <c r="K190" s="2" t="b">
        <v>0</v>
      </c>
      <c r="L190" s="2"/>
      <c r="M190" s="2"/>
      <c r="N190" s="4" t="s">
        <v>2259</v>
      </c>
      <c r="O190" s="4" t="str">
        <f>LEFT(Table2[[#This Row],[Description]],75)</f>
        <v>CARGILL JAZZMANS WAYZATA MN 238865517</v>
      </c>
      <c r="P190" s="2" t="s">
        <v>2281</v>
      </c>
    </row>
    <row r="191" spans="1:16" hidden="1">
      <c r="A191" s="2">
        <v>201907</v>
      </c>
      <c r="B191" s="3">
        <v>43672</v>
      </c>
      <c r="C191" s="2" t="s">
        <v>2271</v>
      </c>
      <c r="D191" s="2" t="s">
        <v>499</v>
      </c>
      <c r="E191" s="2">
        <v>75.180000000000007</v>
      </c>
      <c r="F191" s="2" t="s">
        <v>21</v>
      </c>
      <c r="J191" s="2">
        <v>75.180000000000007</v>
      </c>
      <c r="K191" s="2" t="b">
        <v>0</v>
      </c>
      <c r="L191" s="2"/>
      <c r="M191" s="2"/>
      <c r="N191" s="4" t="s">
        <v>2259</v>
      </c>
      <c r="O191" s="4" t="str">
        <f>LEFT(Table2[[#This Row],[Description]],75)</f>
        <v>CENTRAL CHECKOUT 79999999207135208125224</v>
      </c>
      <c r="P191" s="2"/>
    </row>
    <row r="192" spans="1:16" hidden="1">
      <c r="A192" s="2">
        <v>201907</v>
      </c>
      <c r="B192" s="3">
        <v>43672</v>
      </c>
      <c r="C192" s="2" t="s">
        <v>2258</v>
      </c>
      <c r="D192" s="2" t="s">
        <v>1350</v>
      </c>
      <c r="E192" s="2">
        <v>12.99</v>
      </c>
      <c r="F192" s="2" t="s">
        <v>7</v>
      </c>
      <c r="J192" s="2">
        <v>12.99</v>
      </c>
      <c r="K192" s="2" t="b">
        <v>0</v>
      </c>
      <c r="L192" s="2"/>
      <c r="M192" s="2"/>
      <c r="N192" s="4" t="s">
        <v>2259</v>
      </c>
      <c r="O192" s="4" t="str">
        <f>LEFT(Table2[[#This Row],[Description]],75)</f>
        <v>Netflix</v>
      </c>
      <c r="P192" s="2" t="s">
        <v>2306</v>
      </c>
    </row>
    <row r="193" spans="1:16" hidden="1">
      <c r="A193" s="2">
        <v>201907</v>
      </c>
      <c r="B193" s="3">
        <v>43672</v>
      </c>
      <c r="C193" s="2" t="s">
        <v>2261</v>
      </c>
      <c r="D193" s="2" t="s">
        <v>1350</v>
      </c>
      <c r="E193" s="2">
        <v>12.99</v>
      </c>
      <c r="F193" s="2" t="s">
        <v>7</v>
      </c>
      <c r="J193" s="2">
        <v>12.99</v>
      </c>
      <c r="K193" s="2" t="b">
        <v>0</v>
      </c>
      <c r="L193" s="2"/>
      <c r="M193" s="2"/>
      <c r="N193" s="4" t="s">
        <v>2259</v>
      </c>
      <c r="O193" s="4" t="str">
        <f>LEFT(Table2[[#This Row],[Description]],75)</f>
        <v>Netflix</v>
      </c>
      <c r="P193" s="2"/>
    </row>
    <row r="194" spans="1:16" hidden="1">
      <c r="A194" s="2">
        <v>201907</v>
      </c>
      <c r="B194" s="3">
        <v>43672</v>
      </c>
      <c r="C194" s="2" t="s">
        <v>2277</v>
      </c>
      <c r="D194" s="2" t="s">
        <v>1834</v>
      </c>
      <c r="E194" s="2">
        <v>-150</v>
      </c>
      <c r="F194" s="2" t="s">
        <v>57</v>
      </c>
      <c r="J194" s="2">
        <v>150</v>
      </c>
      <c r="K194" s="2" t="b">
        <v>0</v>
      </c>
      <c r="L194" s="2"/>
      <c r="M194" s="2"/>
      <c r="N194" s="2" t="s">
        <v>2264</v>
      </c>
      <c r="O194" s="2" t="str">
        <f>LEFT(Table2[[#This Row],[Description]],75)</f>
        <v>Tfr JPMORGAN CHASE BAN, CARGILL COCOA &amp;</v>
      </c>
      <c r="P194" s="2"/>
    </row>
    <row r="195" spans="1:16" hidden="1">
      <c r="A195" s="2">
        <v>201907</v>
      </c>
      <c r="B195" s="3">
        <v>43672</v>
      </c>
      <c r="C195" s="2" t="s">
        <v>2262</v>
      </c>
      <c r="D195" s="2" t="s">
        <v>1931</v>
      </c>
      <c r="E195" s="2">
        <v>81.12</v>
      </c>
      <c r="F195" s="2" t="s">
        <v>28</v>
      </c>
      <c r="J195" s="2">
        <v>81.12</v>
      </c>
      <c r="K195" s="2" t="b">
        <v>0</v>
      </c>
      <c r="L195" s="2"/>
      <c r="M195" s="2"/>
      <c r="N195" s="4" t="s">
        <v>2259</v>
      </c>
      <c r="O195" s="4" t="str">
        <f>LEFT(Table2[[#This Row],[Description]],75)</f>
        <v>Trader Joe's</v>
      </c>
      <c r="P195" s="2"/>
    </row>
    <row r="196" spans="1:16" hidden="1">
      <c r="A196" s="2">
        <v>201907</v>
      </c>
      <c r="B196" s="3">
        <v>43673</v>
      </c>
      <c r="C196" s="2" t="s">
        <v>2258</v>
      </c>
      <c r="D196" s="2" t="s">
        <v>2157</v>
      </c>
      <c r="E196" s="2">
        <v>49.39</v>
      </c>
      <c r="F196" s="2" t="s">
        <v>26</v>
      </c>
      <c r="J196" s="2">
        <v>49.39</v>
      </c>
      <c r="K196" s="2" t="b">
        <v>0</v>
      </c>
      <c r="L196" s="2"/>
      <c r="M196" s="2"/>
      <c r="N196" s="4" t="s">
        <v>2259</v>
      </c>
      <c r="O196" s="4" t="str">
        <f>LEFT(Table2[[#This Row],[Description]],75)</f>
        <v>WINCHESTER AND RYE VICTORIA MN</v>
      </c>
      <c r="P196" s="2" t="s">
        <v>2307</v>
      </c>
    </row>
    <row r="197" spans="1:16" hidden="1">
      <c r="A197" s="2">
        <v>201907</v>
      </c>
      <c r="B197" s="3">
        <v>43673</v>
      </c>
      <c r="C197" s="2" t="s">
        <v>2261</v>
      </c>
      <c r="D197" s="2" t="s">
        <v>2157</v>
      </c>
      <c r="E197" s="2">
        <v>49.39</v>
      </c>
      <c r="F197" s="2" t="s">
        <v>26</v>
      </c>
      <c r="J197" s="2">
        <v>49.39</v>
      </c>
      <c r="K197" s="2" t="b">
        <v>0</v>
      </c>
      <c r="L197" s="2"/>
      <c r="M197" s="2"/>
      <c r="N197" s="4" t="s">
        <v>2259</v>
      </c>
      <c r="O197" s="4" t="str">
        <f>LEFT(Table2[[#This Row],[Description]],75)</f>
        <v>WINCHESTER AND RYE VICTORIA MN</v>
      </c>
      <c r="P197" s="2" t="s">
        <v>2307</v>
      </c>
    </row>
    <row r="198" spans="1:16" hidden="1">
      <c r="A198" s="2">
        <v>201907</v>
      </c>
      <c r="B198" s="3">
        <v>43674</v>
      </c>
      <c r="C198" s="2" t="s">
        <v>2262</v>
      </c>
      <c r="D198" s="2" t="s">
        <v>350</v>
      </c>
      <c r="E198" s="2">
        <v>6.44</v>
      </c>
      <c r="F198" s="2" t="s">
        <v>26</v>
      </c>
      <c r="J198" s="2">
        <v>6.44</v>
      </c>
      <c r="K198" s="2" t="b">
        <v>0</v>
      </c>
      <c r="L198" s="2"/>
      <c r="M198" s="2"/>
      <c r="N198" s="4" t="s">
        <v>2259</v>
      </c>
      <c r="O198" s="4" t="str">
        <f>LEFT(Table2[[#This Row],[Description]],75)</f>
        <v>CARGILL CAFE 20014981 WAYZATA MN 239250212</v>
      </c>
      <c r="P198" s="2"/>
    </row>
    <row r="199" spans="1:16" hidden="1">
      <c r="A199" s="2">
        <v>201907</v>
      </c>
      <c r="B199" s="3">
        <v>43675</v>
      </c>
      <c r="C199" s="2" t="s">
        <v>2271</v>
      </c>
      <c r="D199" s="2" t="s">
        <v>818</v>
      </c>
      <c r="E199" s="2">
        <v>-160.72</v>
      </c>
      <c r="F199" s="2" t="s">
        <v>31</v>
      </c>
      <c r="J199" s="2">
        <v>160.72</v>
      </c>
      <c r="K199" s="2" t="b">
        <v>0</v>
      </c>
      <c r="L199" s="2"/>
      <c r="M199" s="2"/>
      <c r="N199" s="2" t="s">
        <v>2264</v>
      </c>
      <c r="O199" s="2" t="str">
        <f>LEFT(Table2[[#This Row],[Description]],75)</f>
        <v>E-PAYMENT, TARGET.COM 79999999210001921190249</v>
      </c>
      <c r="P199" s="2"/>
    </row>
    <row r="200" spans="1:16" hidden="1">
      <c r="A200" s="2">
        <v>201907</v>
      </c>
      <c r="B200" s="3">
        <v>43675</v>
      </c>
      <c r="C200" s="2" t="s">
        <v>2262</v>
      </c>
      <c r="D200" s="2" t="s">
        <v>38</v>
      </c>
      <c r="E200" s="2">
        <v>16.63</v>
      </c>
      <c r="F200" s="2" t="s">
        <v>38</v>
      </c>
      <c r="J200" s="2">
        <v>16.63</v>
      </c>
      <c r="K200" s="2" t="b">
        <v>0</v>
      </c>
      <c r="L200" s="2"/>
      <c r="M200" s="2"/>
      <c r="N200" s="4" t="s">
        <v>2259</v>
      </c>
      <c r="O200" s="4" t="str">
        <f>LEFT(Table2[[#This Row],[Description]],75)</f>
        <v>Amazon</v>
      </c>
      <c r="P200" s="2"/>
    </row>
    <row r="201" spans="1:16" hidden="1">
      <c r="A201" s="2">
        <v>201907</v>
      </c>
      <c r="B201" s="3">
        <v>43675</v>
      </c>
      <c r="C201" s="2" t="s">
        <v>2262</v>
      </c>
      <c r="D201" s="2" t="s">
        <v>338</v>
      </c>
      <c r="E201" s="2">
        <v>19.38</v>
      </c>
      <c r="F201" s="2" t="s">
        <v>28</v>
      </c>
      <c r="J201" s="2">
        <v>19.38</v>
      </c>
      <c r="K201" s="2" t="b">
        <v>0</v>
      </c>
      <c r="L201" s="2"/>
      <c r="M201" s="2"/>
      <c r="N201" s="4" t="s">
        <v>2259</v>
      </c>
      <c r="O201" s="4" t="str">
        <f>LEFT(Table2[[#This Row],[Description]],75)</f>
        <v>Byerly's</v>
      </c>
      <c r="P201" s="2"/>
    </row>
    <row r="202" spans="1:16" hidden="1">
      <c r="A202" s="2">
        <v>201907</v>
      </c>
      <c r="B202" s="3">
        <v>43675</v>
      </c>
      <c r="C202" s="2" t="s">
        <v>2262</v>
      </c>
      <c r="D202" s="2" t="s">
        <v>555</v>
      </c>
      <c r="E202" s="2">
        <v>21.07</v>
      </c>
      <c r="F202" s="2">
        <v>0</v>
      </c>
      <c r="J202" s="2">
        <v>21.07</v>
      </c>
      <c r="K202" s="2" t="b">
        <v>0</v>
      </c>
      <c r="L202" s="2"/>
      <c r="M202" s="2"/>
      <c r="N202" s="4" t="s">
        <v>2259</v>
      </c>
      <c r="O202" s="4" t="str">
        <f>LEFT(Table2[[#This Row],[Description]],75)</f>
        <v>City Market</v>
      </c>
      <c r="P202" s="2" t="s">
        <v>2281</v>
      </c>
    </row>
    <row r="203" spans="1:16" hidden="1">
      <c r="A203" s="2">
        <v>201907</v>
      </c>
      <c r="B203" s="3">
        <v>43675</v>
      </c>
      <c r="C203" s="2" t="s">
        <v>2262</v>
      </c>
      <c r="D203" s="2" t="s">
        <v>1551</v>
      </c>
      <c r="E203" s="2">
        <v>41.75</v>
      </c>
      <c r="F203" s="2" t="s">
        <v>40</v>
      </c>
      <c r="J203" s="2">
        <v>41.75</v>
      </c>
      <c r="K203" s="2" t="b">
        <v>0</v>
      </c>
      <c r="L203" s="2"/>
      <c r="M203" s="2"/>
      <c r="N203" s="4" t="s">
        <v>2259</v>
      </c>
      <c r="O203" s="4" t="str">
        <f>LEFT(Table2[[#This Row],[Description]],75)</f>
        <v>RAOCOPARKSWILDLIFE CO DENVER CO TX 239518482</v>
      </c>
      <c r="P203" s="2" t="s">
        <v>2281</v>
      </c>
    </row>
    <row r="204" spans="1:16" hidden="1">
      <c r="A204" s="2">
        <v>201907</v>
      </c>
      <c r="B204" s="3">
        <v>43675</v>
      </c>
      <c r="C204" s="2" t="s">
        <v>2271</v>
      </c>
      <c r="D204" s="2" t="s">
        <v>31</v>
      </c>
      <c r="E204" s="2">
        <v>12.23</v>
      </c>
      <c r="F204" s="2" t="s">
        <v>31</v>
      </c>
      <c r="J204" s="2">
        <v>12.23</v>
      </c>
      <c r="K204" s="2" t="b">
        <v>0</v>
      </c>
      <c r="L204" s="2"/>
      <c r="M204" s="2"/>
      <c r="N204" s="4" t="s">
        <v>2259</v>
      </c>
      <c r="O204" s="4" t="str">
        <f>LEFT(Table2[[#This Row],[Description]],75)</f>
        <v>Target</v>
      </c>
      <c r="P204" s="2"/>
    </row>
    <row r="205" spans="1:16" hidden="1">
      <c r="A205" s="2">
        <v>201907</v>
      </c>
      <c r="B205" s="3">
        <v>43675</v>
      </c>
      <c r="C205" s="2" t="s">
        <v>2271</v>
      </c>
      <c r="D205" s="2" t="s">
        <v>31</v>
      </c>
      <c r="E205" s="2">
        <v>23.74</v>
      </c>
      <c r="F205" s="2" t="s">
        <v>31</v>
      </c>
      <c r="J205" s="2">
        <v>23.74</v>
      </c>
      <c r="K205" s="2" t="b">
        <v>0</v>
      </c>
      <c r="L205" s="2"/>
      <c r="M205" s="2"/>
      <c r="N205" s="4" t="s">
        <v>2259</v>
      </c>
      <c r="O205" s="4" t="str">
        <f>LEFT(Table2[[#This Row],[Description]],75)</f>
        <v>Target</v>
      </c>
      <c r="P205" s="2"/>
    </row>
    <row r="206" spans="1:16" hidden="1">
      <c r="A206" s="2">
        <v>201907</v>
      </c>
      <c r="B206" s="3">
        <v>43675</v>
      </c>
      <c r="C206" s="2" t="s">
        <v>2262</v>
      </c>
      <c r="D206" s="2" t="s">
        <v>1947</v>
      </c>
      <c r="E206" s="2">
        <v>-1454.33</v>
      </c>
      <c r="F206" s="2" t="s">
        <v>9</v>
      </c>
      <c r="J206" s="2">
        <v>1454.33</v>
      </c>
      <c r="K206" s="2" t="b">
        <v>0</v>
      </c>
      <c r="L206" s="2"/>
      <c r="M206" s="2"/>
      <c r="N206" s="2" t="s">
        <v>2264</v>
      </c>
      <c r="O206" s="2" t="str">
        <f>LEFT(Table2[[#This Row],[Description]],75)</f>
        <v>Transfer from POWERPLUS CHECKING</v>
      </c>
      <c r="P206" s="2"/>
    </row>
    <row r="207" spans="1:16" hidden="1">
      <c r="A207" s="2">
        <v>201907</v>
      </c>
      <c r="B207" s="3">
        <v>43675</v>
      </c>
      <c r="C207" s="2" t="s">
        <v>2265</v>
      </c>
      <c r="D207" s="2" t="s">
        <v>1951</v>
      </c>
      <c r="E207" s="2">
        <v>1454.33</v>
      </c>
      <c r="F207" s="2" t="s">
        <v>9</v>
      </c>
      <c r="J207" s="2">
        <v>1454.33</v>
      </c>
      <c r="K207" s="2" t="b">
        <v>0</v>
      </c>
      <c r="L207" s="2"/>
      <c r="M207" s="2"/>
      <c r="N207" s="4" t="s">
        <v>2259</v>
      </c>
      <c r="O207" s="4" t="str">
        <f>LEFT(Table2[[#This Row],[Description]],75)</f>
        <v>Transfer to Cash Rewards Visa Signature</v>
      </c>
      <c r="P207" s="2" t="s">
        <v>2266</v>
      </c>
    </row>
    <row r="208" spans="1:16" hidden="1">
      <c r="A208" s="2">
        <v>201907</v>
      </c>
      <c r="B208" s="3">
        <v>43675</v>
      </c>
      <c r="C208" s="2" t="s">
        <v>2267</v>
      </c>
      <c r="D208" s="2" t="s">
        <v>1951</v>
      </c>
      <c r="E208" s="2">
        <v>1454.33</v>
      </c>
      <c r="F208" s="2" t="s">
        <v>9</v>
      </c>
      <c r="J208" s="2">
        <v>1454.33</v>
      </c>
      <c r="K208" s="2" t="b">
        <v>0</v>
      </c>
      <c r="L208" s="2"/>
      <c r="M208" s="2"/>
      <c r="N208" s="4" t="s">
        <v>2259</v>
      </c>
      <c r="O208" s="4" t="str">
        <f>LEFT(Table2[[#This Row],[Description]],75)</f>
        <v>Transfer to Cash Rewards Visa Signature</v>
      </c>
      <c r="P208" s="2"/>
    </row>
    <row r="209" spans="1:16" hidden="1">
      <c r="A209" s="2">
        <v>201907</v>
      </c>
      <c r="B209" s="3">
        <v>43675</v>
      </c>
      <c r="C209" s="2" t="s">
        <v>2262</v>
      </c>
      <c r="D209" s="2" t="s">
        <v>2039</v>
      </c>
      <c r="E209" s="2">
        <v>48.37</v>
      </c>
      <c r="F209" s="2" t="s">
        <v>26</v>
      </c>
      <c r="J209" s="2">
        <v>48.37</v>
      </c>
      <c r="K209" s="2" t="b">
        <v>0</v>
      </c>
      <c r="L209" s="2"/>
      <c r="M209" s="2"/>
      <c r="N209" s="4" t="s">
        <v>2259</v>
      </c>
      <c r="O209" s="4" t="str">
        <f>LEFT(Table2[[#This Row],[Description]],75)</f>
        <v>TST RED RABBIT MINNEAPMINNEAPOLIS MN 239518478</v>
      </c>
      <c r="P209" s="2"/>
    </row>
    <row r="210" spans="1:16" hidden="1">
      <c r="A210" s="2">
        <v>201907</v>
      </c>
      <c r="B210" s="3">
        <v>43676</v>
      </c>
      <c r="C210" s="2" t="s">
        <v>2265</v>
      </c>
      <c r="D210" s="2" t="s">
        <v>205</v>
      </c>
      <c r="E210" s="2">
        <v>7.46</v>
      </c>
      <c r="F210" s="2" t="s">
        <v>21</v>
      </c>
      <c r="J210" s="2">
        <v>7.46</v>
      </c>
      <c r="K210" s="2" t="b">
        <v>0</v>
      </c>
      <c r="L210" s="2"/>
      <c r="M210" s="2"/>
      <c r="N210" s="4" t="s">
        <v>2259</v>
      </c>
      <c r="O210" s="4" t="str">
        <f>LEFT(Table2[[#This Row],[Description]],75)</f>
        <v>Banana Visa TYPE BR EPAY ID CO Banana Visa ACH ECC WEB ACH Trace 34491 2394</v>
      </c>
      <c r="P210" s="2" t="s">
        <v>2297</v>
      </c>
    </row>
    <row r="211" spans="1:16" hidden="1">
      <c r="A211" s="2">
        <v>201907</v>
      </c>
      <c r="B211" s="3">
        <v>43676</v>
      </c>
      <c r="C211" s="2" t="s">
        <v>2267</v>
      </c>
      <c r="D211" s="2" t="s">
        <v>205</v>
      </c>
      <c r="E211" s="2">
        <v>7.46</v>
      </c>
      <c r="F211" s="2" t="s">
        <v>21</v>
      </c>
      <c r="J211" s="2">
        <v>7.46</v>
      </c>
      <c r="K211" s="2" t="b">
        <v>0</v>
      </c>
      <c r="L211" s="2"/>
      <c r="M211" s="2"/>
      <c r="N211" s="4" t="s">
        <v>2259</v>
      </c>
      <c r="O211" s="4" t="str">
        <f>LEFT(Table2[[#This Row],[Description]],75)</f>
        <v>Banana Visa TYPE BR EPAY ID CO Banana Visa ACH ECC WEB ACH Trace 34491 2394</v>
      </c>
      <c r="P211" s="2"/>
    </row>
    <row r="212" spans="1:16" hidden="1">
      <c r="A212" s="2">
        <v>201907</v>
      </c>
      <c r="B212" s="3">
        <v>43676</v>
      </c>
      <c r="C212" s="2" t="s">
        <v>2262</v>
      </c>
      <c r="D212" s="2" t="s">
        <v>676</v>
      </c>
      <c r="E212" s="2">
        <v>177.79</v>
      </c>
      <c r="F212" s="2">
        <v>0</v>
      </c>
      <c r="J212" s="2">
        <v>177.79</v>
      </c>
      <c r="K212" s="2" t="b">
        <v>0</v>
      </c>
      <c r="L212" s="2"/>
      <c r="M212" s="2"/>
      <c r="N212" s="4" t="s">
        <v>2259</v>
      </c>
      <c r="O212" s="4" t="str">
        <f>LEFT(Table2[[#This Row],[Description]],75)</f>
        <v>CREEDE SNOWSHOE LODGE CREEDE CO 239762227</v>
      </c>
      <c r="P212" s="2" t="s">
        <v>2281</v>
      </c>
    </row>
    <row r="213" spans="1:16" hidden="1">
      <c r="A213" s="2">
        <v>201907</v>
      </c>
      <c r="B213" s="3">
        <v>43676</v>
      </c>
      <c r="C213" s="2" t="s">
        <v>2262</v>
      </c>
      <c r="D213" s="2" t="s">
        <v>706</v>
      </c>
      <c r="E213" s="2">
        <v>33.619999999999997</v>
      </c>
      <c r="F213" s="2" t="s">
        <v>26</v>
      </c>
      <c r="J213" s="2">
        <v>33.619999999999997</v>
      </c>
      <c r="K213" s="2" t="b">
        <v>0</v>
      </c>
      <c r="L213" s="2"/>
      <c r="M213" s="2"/>
      <c r="N213" s="4" t="s">
        <v>2259</v>
      </c>
      <c r="O213" s="4" t="str">
        <f>LEFT(Table2[[#This Row],[Description]],75)</f>
        <v>DENVER CHOP HOUSE DEN DENVER CO 239762229</v>
      </c>
      <c r="P213" s="2"/>
    </row>
    <row r="214" spans="1:16" hidden="1">
      <c r="A214" s="2">
        <v>201907</v>
      </c>
      <c r="B214" s="3">
        <v>43676</v>
      </c>
      <c r="C214" s="2" t="s">
        <v>2265</v>
      </c>
      <c r="D214" s="2" t="s">
        <v>1043</v>
      </c>
      <c r="E214" s="2">
        <v>-2570.36</v>
      </c>
      <c r="F214" s="2" t="s">
        <v>63</v>
      </c>
      <c r="J214" s="2">
        <v>2570.36</v>
      </c>
      <c r="K214" s="2" t="b">
        <v>0</v>
      </c>
      <c r="L214" s="2"/>
      <c r="M214" s="2"/>
      <c r="N214" s="4" t="s">
        <v>2273</v>
      </c>
      <c r="O214" s="4" t="str">
        <f>LEFT(Table2[[#This Row],[Description]],75)</f>
        <v>KAUFMAN HALL TYPE DIRECT DEP ID CO KAUFMAN HALL ACH ECC PPD ACH Trace 28234</v>
      </c>
      <c r="P214" s="2" t="s">
        <v>2285</v>
      </c>
    </row>
    <row r="215" spans="1:16" hidden="1">
      <c r="A215" s="2">
        <v>201907</v>
      </c>
      <c r="B215" s="3">
        <v>43676</v>
      </c>
      <c r="C215" s="2" t="s">
        <v>2267</v>
      </c>
      <c r="D215" s="2" t="s">
        <v>1043</v>
      </c>
      <c r="E215" s="2">
        <v>-2570.36</v>
      </c>
      <c r="F215" s="2" t="s">
        <v>63</v>
      </c>
      <c r="J215" s="2">
        <v>2570.36</v>
      </c>
      <c r="K215" s="2" t="b">
        <v>0</v>
      </c>
      <c r="L215" s="2"/>
      <c r="M215" s="2"/>
      <c r="N215" s="2" t="s">
        <v>2264</v>
      </c>
      <c r="O215" s="2" t="str">
        <f>LEFT(Table2[[#This Row],[Description]],75)</f>
        <v>KAUFMAN HALL TYPE DIRECT DEP ID CO KAUFMAN HALL ACH ECC PPD ACH Trace 28234</v>
      </c>
      <c r="P215" s="2"/>
    </row>
    <row r="216" spans="1:16" hidden="1">
      <c r="A216" s="2">
        <v>201907</v>
      </c>
      <c r="B216" s="3">
        <v>43676</v>
      </c>
      <c r="C216" s="2" t="s">
        <v>2262</v>
      </c>
      <c r="D216" s="2" t="s">
        <v>1260</v>
      </c>
      <c r="E216" s="2">
        <v>17.03</v>
      </c>
      <c r="F216" s="2">
        <v>0</v>
      </c>
      <c r="J216" s="2">
        <v>17.03</v>
      </c>
      <c r="K216" s="2" t="b">
        <v>0</v>
      </c>
      <c r="L216" s="2"/>
      <c r="M216" s="2"/>
      <c r="N216" s="4" t="s">
        <v>2259</v>
      </c>
      <c r="O216" s="4" t="str">
        <f>LEFT(Table2[[#This Row],[Description]],75)</f>
        <v>MINNEAPOLIS AIRPORT SAINT PAUL MN 239762228</v>
      </c>
      <c r="P216" s="2" t="s">
        <v>2281</v>
      </c>
    </row>
    <row r="217" spans="1:16" hidden="1">
      <c r="A217" s="2">
        <v>201907</v>
      </c>
      <c r="B217" s="3">
        <v>43676</v>
      </c>
      <c r="C217" s="2" t="s">
        <v>2262</v>
      </c>
      <c r="D217" s="2" t="s">
        <v>1482</v>
      </c>
      <c r="E217" s="2">
        <v>28.34</v>
      </c>
      <c r="F217" s="2" t="s">
        <v>23</v>
      </c>
      <c r="J217" s="2">
        <v>28.34</v>
      </c>
      <c r="K217" s="2" t="b">
        <v>0</v>
      </c>
      <c r="L217" s="2"/>
      <c r="M217" s="2"/>
      <c r="N217" s="4" t="s">
        <v>2259</v>
      </c>
      <c r="O217" s="4" t="str">
        <f>LEFT(Table2[[#This Row],[Description]],75)</f>
        <v>PENN MINNOCO MINNEAPOLIS MN 239762231</v>
      </c>
      <c r="P217" s="2" t="s">
        <v>2308</v>
      </c>
    </row>
    <row r="218" spans="1:16" hidden="1">
      <c r="A218" s="2">
        <v>201907</v>
      </c>
      <c r="B218" s="3">
        <v>43676</v>
      </c>
      <c r="C218" s="2" t="s">
        <v>2265</v>
      </c>
      <c r="D218" s="2" t="s">
        <v>31</v>
      </c>
      <c r="E218" s="2">
        <v>160.72</v>
      </c>
      <c r="F218" s="2" t="s">
        <v>31</v>
      </c>
      <c r="J218" s="2">
        <v>160.72</v>
      </c>
      <c r="K218" s="2" t="b">
        <v>0</v>
      </c>
      <c r="L218" s="2"/>
      <c r="M218" s="2"/>
      <c r="N218" s="4" t="s">
        <v>2259</v>
      </c>
      <c r="O218" s="4" t="str">
        <f>LEFT(Table2[[#This Row],[Description]],75)</f>
        <v>Target</v>
      </c>
      <c r="P218" s="2" t="s">
        <v>2309</v>
      </c>
    </row>
    <row r="219" spans="1:16" hidden="1">
      <c r="A219" s="2">
        <v>201907</v>
      </c>
      <c r="B219" s="3">
        <v>43676</v>
      </c>
      <c r="C219" s="2" t="s">
        <v>2267</v>
      </c>
      <c r="D219" s="2" t="s">
        <v>31</v>
      </c>
      <c r="E219" s="2">
        <v>160.72</v>
      </c>
      <c r="F219" s="2" t="s">
        <v>31</v>
      </c>
      <c r="J219" s="2">
        <v>160.72</v>
      </c>
      <c r="K219" s="2" t="b">
        <v>0</v>
      </c>
      <c r="L219" s="2"/>
      <c r="M219" s="2"/>
      <c r="N219" s="4" t="s">
        <v>2259</v>
      </c>
      <c r="O219" s="4" t="str">
        <f>LEFT(Table2[[#This Row],[Description]],75)</f>
        <v>Target</v>
      </c>
      <c r="P219" s="2"/>
    </row>
    <row r="220" spans="1:16" hidden="1">
      <c r="A220" s="2">
        <v>201907</v>
      </c>
      <c r="B220" s="3">
        <v>43676</v>
      </c>
      <c r="C220" s="2" t="s">
        <v>2262</v>
      </c>
      <c r="D220" s="2" t="s">
        <v>2083</v>
      </c>
      <c r="E220" s="2">
        <v>30</v>
      </c>
      <c r="F220" s="2">
        <v>0</v>
      </c>
      <c r="J220" s="2">
        <v>30</v>
      </c>
      <c r="K220" s="2" t="b">
        <v>0</v>
      </c>
      <c r="L220" s="2"/>
      <c r="M220" s="2"/>
      <c r="N220" s="4" t="s">
        <v>2259</v>
      </c>
      <c r="O220" s="4" t="str">
        <f>LEFT(Table2[[#This Row],[Description]],75)</f>
        <v>UNITED 0161523949801HOUSTON TX 239762230</v>
      </c>
      <c r="P220" s="2" t="s">
        <v>2281</v>
      </c>
    </row>
    <row r="221" spans="1:16" hidden="1">
      <c r="A221" s="2">
        <v>201907</v>
      </c>
      <c r="B221" s="3">
        <v>43676</v>
      </c>
      <c r="C221" s="2" t="s">
        <v>2265</v>
      </c>
      <c r="D221" s="2" t="s">
        <v>2109</v>
      </c>
      <c r="E221" s="2">
        <v>145</v>
      </c>
      <c r="F221" s="2">
        <v>0</v>
      </c>
      <c r="J221" s="2">
        <v>145</v>
      </c>
      <c r="K221" s="2" t="b">
        <v>0</v>
      </c>
      <c r="L221" s="2"/>
      <c r="M221" s="2"/>
      <c r="N221" s="4" t="s">
        <v>2259</v>
      </c>
      <c r="O221" s="4" t="str">
        <f>LEFT(Table2[[#This Row],[Description]],75)</f>
        <v>Venmo</v>
      </c>
      <c r="P221" s="2"/>
    </row>
    <row r="222" spans="1:16" hidden="1">
      <c r="A222" s="2">
        <v>201907</v>
      </c>
      <c r="B222" s="3">
        <v>43676</v>
      </c>
      <c r="C222" s="2" t="s">
        <v>2267</v>
      </c>
      <c r="D222" s="2" t="s">
        <v>2109</v>
      </c>
      <c r="E222" s="2">
        <v>145</v>
      </c>
      <c r="F222" s="2">
        <v>0</v>
      </c>
      <c r="J222" s="2">
        <v>145</v>
      </c>
      <c r="K222" s="2" t="b">
        <v>0</v>
      </c>
      <c r="L222" s="2"/>
      <c r="M222" s="2"/>
      <c r="N222" s="4" t="s">
        <v>2259</v>
      </c>
      <c r="O222" s="4" t="str">
        <f>LEFT(Table2[[#This Row],[Description]],75)</f>
        <v>Venmo</v>
      </c>
      <c r="P222" s="2" t="s">
        <v>2281</v>
      </c>
    </row>
    <row r="223" spans="1:16" hidden="1">
      <c r="A223" s="2">
        <v>201907</v>
      </c>
      <c r="B223" s="3">
        <v>43677</v>
      </c>
      <c r="C223" s="2" t="s">
        <v>2262</v>
      </c>
      <c r="D223" s="2" t="s">
        <v>38</v>
      </c>
      <c r="E223" s="2">
        <v>38.64</v>
      </c>
      <c r="F223" s="2" t="s">
        <v>38</v>
      </c>
      <c r="J223" s="2">
        <v>38.64</v>
      </c>
      <c r="K223" s="2" t="b">
        <v>0</v>
      </c>
      <c r="L223" s="2"/>
      <c r="M223" s="2"/>
      <c r="N223" s="4" t="s">
        <v>2259</v>
      </c>
      <c r="O223" s="4" t="str">
        <f>LEFT(Table2[[#This Row],[Description]],75)</f>
        <v>Amazon</v>
      </c>
      <c r="P223" s="2"/>
    </row>
    <row r="224" spans="1:16" hidden="1">
      <c r="A224" s="2">
        <v>201907</v>
      </c>
      <c r="B224" s="3">
        <v>43677</v>
      </c>
      <c r="C224" s="2" t="s">
        <v>2310</v>
      </c>
      <c r="D224" s="2" t="s">
        <v>167</v>
      </c>
      <c r="E224" s="2">
        <v>-0.02</v>
      </c>
      <c r="F224" s="2">
        <v>0</v>
      </c>
      <c r="J224" s="2">
        <v>0.02</v>
      </c>
      <c r="K224" s="2" t="b">
        <v>0</v>
      </c>
      <c r="L224" s="2"/>
      <c r="M224" s="2"/>
      <c r="N224" s="2" t="s">
        <v>2264</v>
      </c>
      <c r="O224" s="2" t="str">
        <f>LEFT(Table2[[#This Row],[Description]],75)</f>
        <v>Apy Earned</v>
      </c>
      <c r="P224" s="2" t="s">
        <v>2311</v>
      </c>
    </row>
    <row r="225" spans="1:16" hidden="1">
      <c r="A225" s="2">
        <v>201907</v>
      </c>
      <c r="B225" s="3">
        <v>43677</v>
      </c>
      <c r="C225" s="2" t="s">
        <v>2305</v>
      </c>
      <c r="D225" s="2" t="s">
        <v>167</v>
      </c>
      <c r="E225" s="2">
        <v>-0.02</v>
      </c>
      <c r="F225" s="2">
        <v>0</v>
      </c>
      <c r="J225" s="2">
        <v>0.02</v>
      </c>
      <c r="K225" s="2" t="b">
        <v>0</v>
      </c>
      <c r="L225" s="2"/>
      <c r="M225" s="2"/>
      <c r="N225" s="2" t="s">
        <v>2264</v>
      </c>
      <c r="O225" s="2" t="str">
        <f>LEFT(Table2[[#This Row],[Description]],75)</f>
        <v>Apy Earned</v>
      </c>
      <c r="P225" s="2" t="s">
        <v>2311</v>
      </c>
    </row>
    <row r="226" spans="1:16" hidden="1">
      <c r="A226" s="2">
        <v>201907</v>
      </c>
      <c r="B226" s="3">
        <v>43677</v>
      </c>
      <c r="C226" s="2" t="s">
        <v>2265</v>
      </c>
      <c r="D226" s="2" t="s">
        <v>178</v>
      </c>
      <c r="E226" s="2">
        <v>-3</v>
      </c>
      <c r="F226" s="2">
        <v>0</v>
      </c>
      <c r="J226" s="2">
        <v>3</v>
      </c>
      <c r="K226" s="2" t="b">
        <v>0</v>
      </c>
      <c r="L226" s="2"/>
      <c r="M226" s="2"/>
      <c r="N226" s="4" t="s">
        <v>2273</v>
      </c>
      <c r="O226" s="4" t="str">
        <f>LEFT(Table2[[#This Row],[Description]],75)</f>
        <v>ATM FEE REFUND 239968470</v>
      </c>
      <c r="P226" s="2"/>
    </row>
    <row r="227" spans="1:16" hidden="1">
      <c r="A227" s="2">
        <v>201907</v>
      </c>
      <c r="B227" s="3">
        <v>43677</v>
      </c>
      <c r="C227" s="2" t="s">
        <v>2267</v>
      </c>
      <c r="D227" s="2" t="s">
        <v>178</v>
      </c>
      <c r="E227" s="2">
        <v>-3</v>
      </c>
      <c r="F227" s="2">
        <v>0</v>
      </c>
      <c r="J227" s="2">
        <v>3</v>
      </c>
      <c r="K227" s="2" t="b">
        <v>0</v>
      </c>
      <c r="L227" s="2"/>
      <c r="M227" s="2"/>
      <c r="N227" s="2" t="s">
        <v>2264</v>
      </c>
      <c r="O227" s="2" t="str">
        <f>LEFT(Table2[[#This Row],[Description]],75)</f>
        <v>ATM FEE REFUND 239968470</v>
      </c>
      <c r="P227" s="2" t="s">
        <v>2281</v>
      </c>
    </row>
    <row r="228" spans="1:16" hidden="1">
      <c r="A228" s="2">
        <v>201907</v>
      </c>
      <c r="B228" s="3">
        <v>43677</v>
      </c>
      <c r="C228" s="2" t="s">
        <v>2265</v>
      </c>
      <c r="D228" s="2" t="s">
        <v>462</v>
      </c>
      <c r="E228" s="2">
        <v>275</v>
      </c>
      <c r="F228" s="2" t="s">
        <v>20</v>
      </c>
      <c r="J228" s="2">
        <v>275</v>
      </c>
      <c r="K228" s="2" t="b">
        <v>0</v>
      </c>
      <c r="L228" s="2"/>
      <c r="M228" s="2"/>
      <c r="N228" s="4" t="s">
        <v>2259</v>
      </c>
      <c r="O228" s="4" t="str">
        <f>LEFT(Table2[[#This Row],[Description]],75)</f>
        <v>CCLC TYPE INTERNET ID CO CCLC ACH ECC WEB ACH Trace 11086 239730228</v>
      </c>
      <c r="P228" s="2" t="s">
        <v>2268</v>
      </c>
    </row>
    <row r="229" spans="1:16" hidden="1">
      <c r="A229" s="2">
        <v>201907</v>
      </c>
      <c r="B229" s="3">
        <v>43677</v>
      </c>
      <c r="C229" s="2" t="s">
        <v>2267</v>
      </c>
      <c r="D229" s="2" t="s">
        <v>462</v>
      </c>
      <c r="E229" s="2">
        <v>275</v>
      </c>
      <c r="F229" s="2" t="s">
        <v>20</v>
      </c>
      <c r="J229" s="2">
        <v>275</v>
      </c>
      <c r="K229" s="2" t="b">
        <v>0</v>
      </c>
      <c r="L229" s="2"/>
      <c r="M229" s="2"/>
      <c r="N229" s="4" t="s">
        <v>2259</v>
      </c>
      <c r="O229" s="4" t="str">
        <f>LEFT(Table2[[#This Row],[Description]],75)</f>
        <v>CCLC TYPE INTERNET ID CO CCLC ACH ECC WEB ACH Trace 11086 239730228</v>
      </c>
      <c r="P229" s="2"/>
    </row>
    <row r="230" spans="1:16" hidden="1">
      <c r="A230" s="2">
        <v>201907</v>
      </c>
      <c r="B230" s="3">
        <v>43677</v>
      </c>
      <c r="C230" s="2" t="s">
        <v>2262</v>
      </c>
      <c r="D230" s="2" t="s">
        <v>684</v>
      </c>
      <c r="E230" s="2">
        <v>40.72</v>
      </c>
      <c r="F230" s="2" t="s">
        <v>28</v>
      </c>
      <c r="J230" s="2">
        <v>40.72</v>
      </c>
      <c r="K230" s="2" t="b">
        <v>0</v>
      </c>
      <c r="L230" s="2"/>
      <c r="M230" s="2"/>
      <c r="N230" s="4" t="s">
        <v>2259</v>
      </c>
      <c r="O230" s="4" t="str">
        <f>LEFT(Table2[[#This Row],[Description]],75)</f>
        <v>Cub Foods</v>
      </c>
      <c r="P230" s="2"/>
    </row>
    <row r="231" spans="1:16" hidden="1">
      <c r="A231" s="2">
        <v>201907</v>
      </c>
      <c r="B231" s="3">
        <v>43677</v>
      </c>
      <c r="C231" s="2" t="s">
        <v>2274</v>
      </c>
      <c r="D231" s="2" t="s">
        <v>973</v>
      </c>
      <c r="E231" s="2">
        <v>12.99</v>
      </c>
      <c r="F231" s="2">
        <v>0</v>
      </c>
      <c r="J231" s="2">
        <v>12.99</v>
      </c>
      <c r="K231" s="2" t="b">
        <v>0</v>
      </c>
      <c r="L231" s="2"/>
      <c r="M231" s="2"/>
      <c r="N231" s="4" t="s">
        <v>2259</v>
      </c>
      <c r="O231" s="4" t="str">
        <f>LEFT(Table2[[#This Row],[Description]],75)</f>
        <v>INST XFER 190730</v>
      </c>
      <c r="P231" s="2" t="s">
        <v>2281</v>
      </c>
    </row>
    <row r="232" spans="1:16" hidden="1">
      <c r="A232" s="2">
        <v>201907</v>
      </c>
      <c r="B232" s="3">
        <v>43677</v>
      </c>
      <c r="C232" s="2" t="s">
        <v>2274</v>
      </c>
      <c r="D232" s="2" t="s">
        <v>994</v>
      </c>
      <c r="E232" s="2">
        <v>-0.31</v>
      </c>
      <c r="F232" s="2">
        <v>0</v>
      </c>
      <c r="J232" s="2">
        <v>0.31</v>
      </c>
      <c r="K232" s="2" t="b">
        <v>0</v>
      </c>
      <c r="L232" s="2"/>
      <c r="M232" s="2"/>
      <c r="N232" s="2" t="s">
        <v>2264</v>
      </c>
      <c r="O232" s="2" t="str">
        <f>LEFT(Table2[[#This Row],[Description]],75)</f>
        <v>Interest Paid</v>
      </c>
      <c r="P232" s="2" t="s">
        <v>2312</v>
      </c>
    </row>
    <row r="233" spans="1:16" hidden="1">
      <c r="A233" s="2">
        <v>201907</v>
      </c>
      <c r="B233" s="3">
        <v>43677</v>
      </c>
      <c r="C233" s="2" t="s">
        <v>2300</v>
      </c>
      <c r="D233" s="2" t="s">
        <v>1709</v>
      </c>
      <c r="E233" s="2">
        <v>-16.32</v>
      </c>
      <c r="F233" s="2" t="s">
        <v>16</v>
      </c>
      <c r="J233" s="2">
        <v>16.32</v>
      </c>
      <c r="K233" s="2" t="b">
        <v>0</v>
      </c>
      <c r="L233" s="2"/>
      <c r="M233" s="2"/>
      <c r="N233" s="4" t="s">
        <v>2273</v>
      </c>
      <c r="O233" s="4" t="str">
        <f>LEFT(Table2[[#This Row],[Description]],75)</f>
        <v>Split Rate Apy</v>
      </c>
      <c r="P233" s="2" t="s">
        <v>2313</v>
      </c>
    </row>
    <row r="234" spans="1:16" hidden="1">
      <c r="A234" s="2">
        <v>201907</v>
      </c>
      <c r="B234" s="3">
        <v>43677</v>
      </c>
      <c r="C234" s="2" t="s">
        <v>2265</v>
      </c>
      <c r="D234" s="2" t="s">
        <v>1709</v>
      </c>
      <c r="E234" s="2">
        <v>-38.340000000000003</v>
      </c>
      <c r="F234" s="2" t="s">
        <v>16</v>
      </c>
      <c r="J234" s="2">
        <v>38.340000000000003</v>
      </c>
      <c r="K234" s="2" t="b">
        <v>0</v>
      </c>
      <c r="L234" s="2"/>
      <c r="M234" s="2"/>
      <c r="N234" s="4" t="s">
        <v>2273</v>
      </c>
      <c r="O234" s="4" t="str">
        <f>LEFT(Table2[[#This Row],[Description]],75)</f>
        <v>Split Rate Apy</v>
      </c>
      <c r="P234" s="2" t="s">
        <v>2313</v>
      </c>
    </row>
    <row r="235" spans="1:16" hidden="1">
      <c r="A235" s="2">
        <v>201907</v>
      </c>
      <c r="B235" s="3">
        <v>43677</v>
      </c>
      <c r="C235" s="2" t="s">
        <v>2302</v>
      </c>
      <c r="D235" s="2" t="s">
        <v>1709</v>
      </c>
      <c r="E235" s="2">
        <v>-16.32</v>
      </c>
      <c r="F235" s="2" t="s">
        <v>16</v>
      </c>
      <c r="J235" s="2">
        <v>16.32</v>
      </c>
      <c r="K235" s="2" t="b">
        <v>0</v>
      </c>
      <c r="L235" s="2"/>
      <c r="M235" s="2"/>
      <c r="N235" s="2" t="s">
        <v>2264</v>
      </c>
      <c r="O235" s="2" t="str">
        <f>LEFT(Table2[[#This Row],[Description]],75)</f>
        <v>Split Rate Apy</v>
      </c>
      <c r="P235" s="2"/>
    </row>
    <row r="236" spans="1:16" hidden="1">
      <c r="A236" s="2">
        <v>201907</v>
      </c>
      <c r="B236" s="3">
        <v>43677</v>
      </c>
      <c r="C236" s="2" t="s">
        <v>2267</v>
      </c>
      <c r="D236" s="2" t="s">
        <v>1709</v>
      </c>
      <c r="E236" s="2">
        <v>-38.340000000000003</v>
      </c>
      <c r="F236" s="2" t="s">
        <v>16</v>
      </c>
      <c r="J236" s="2">
        <v>38.340000000000003</v>
      </c>
      <c r="K236" s="2" t="b">
        <v>0</v>
      </c>
      <c r="L236" s="2"/>
      <c r="M236" s="2"/>
      <c r="N236" s="2" t="s">
        <v>2264</v>
      </c>
      <c r="O236" s="2" t="str">
        <f>LEFT(Table2[[#This Row],[Description]],75)</f>
        <v>Split Rate Apy</v>
      </c>
      <c r="P236" s="2"/>
    </row>
    <row r="237" spans="1:16" hidden="1">
      <c r="A237" s="2">
        <v>201907</v>
      </c>
      <c r="B237" s="3">
        <v>43677</v>
      </c>
      <c r="C237" s="2" t="s">
        <v>2262</v>
      </c>
      <c r="D237" s="2" t="s">
        <v>1793</v>
      </c>
      <c r="E237" s="2">
        <v>6.88</v>
      </c>
      <c r="F237" s="2" t="s">
        <v>21</v>
      </c>
      <c r="J237" s="2">
        <v>6.88</v>
      </c>
      <c r="K237" s="2" t="b">
        <v>0</v>
      </c>
      <c r="L237" s="2"/>
      <c r="M237" s="2"/>
      <c r="N237" s="4" t="s">
        <v>2259</v>
      </c>
      <c r="O237" s="4" t="str">
        <f>LEFT(Table2[[#This Row],[Description]],75)</f>
        <v>Sur La Table</v>
      </c>
      <c r="P237" s="2"/>
    </row>
    <row r="238" spans="1:16" hidden="1">
      <c r="A238" s="2">
        <v>201907</v>
      </c>
      <c r="B238" s="3">
        <v>43677</v>
      </c>
      <c r="C238" s="2" t="s">
        <v>2262</v>
      </c>
      <c r="D238" s="2" t="s">
        <v>1793</v>
      </c>
      <c r="E238" s="2">
        <v>10.65</v>
      </c>
      <c r="F238" s="2" t="s">
        <v>21</v>
      </c>
      <c r="J238" s="2">
        <v>10.65</v>
      </c>
      <c r="K238" s="2" t="b">
        <v>0</v>
      </c>
      <c r="L238" s="2"/>
      <c r="M238" s="2"/>
      <c r="N238" s="4" t="s">
        <v>2259</v>
      </c>
      <c r="O238" s="4" t="str">
        <f>LEFT(Table2[[#This Row],[Description]],75)</f>
        <v>Sur La Table</v>
      </c>
      <c r="P238" s="2"/>
    </row>
    <row r="239" spans="1:16" hidden="1">
      <c r="A239" s="2">
        <v>201907</v>
      </c>
      <c r="B239" s="3">
        <v>43677</v>
      </c>
      <c r="C239" s="2" t="s">
        <v>2275</v>
      </c>
      <c r="D239" s="2" t="s">
        <v>1837</v>
      </c>
      <c r="E239" s="2">
        <v>-211</v>
      </c>
      <c r="F239" s="2" t="s">
        <v>57</v>
      </c>
      <c r="J239" s="2">
        <v>211</v>
      </c>
      <c r="K239" s="2" t="b">
        <v>0</v>
      </c>
      <c r="L239" s="2"/>
      <c r="M239" s="2"/>
      <c r="N239" s="4" t="s">
        <v>2273</v>
      </c>
      <c r="O239" s="4" t="str">
        <f>LEFT(Table2[[#This Row],[Description]],75)</f>
        <v>Tfr JPMORGAN CHASE BAN, KAUFMAN HALL</v>
      </c>
      <c r="P239" s="2" t="s">
        <v>2288</v>
      </c>
    </row>
    <row r="240" spans="1:16" hidden="1">
      <c r="A240" s="2">
        <v>201907</v>
      </c>
      <c r="B240" s="3">
        <v>43677</v>
      </c>
      <c r="C240" s="2" t="s">
        <v>2277</v>
      </c>
      <c r="D240" s="2" t="s">
        <v>1837</v>
      </c>
      <c r="E240" s="2">
        <v>-211</v>
      </c>
      <c r="F240" s="2" t="s">
        <v>57</v>
      </c>
      <c r="J240" s="2">
        <v>211</v>
      </c>
      <c r="K240" s="2" t="b">
        <v>0</v>
      </c>
      <c r="L240" s="2"/>
      <c r="M240" s="2"/>
      <c r="N240" s="2" t="s">
        <v>2264</v>
      </c>
      <c r="O240" s="2" t="str">
        <f>LEFT(Table2[[#This Row],[Description]],75)</f>
        <v>Tfr JPMORGAN CHASE BAN, KAUFMAN HALL</v>
      </c>
      <c r="P240" s="2"/>
    </row>
    <row r="241" spans="1:16" hidden="1">
      <c r="A241" s="2">
        <v>201907</v>
      </c>
      <c r="B241" s="3">
        <v>43677</v>
      </c>
      <c r="C241" s="2" t="s">
        <v>2290</v>
      </c>
      <c r="D241" s="2" t="s">
        <v>2106</v>
      </c>
      <c r="E241" s="2">
        <v>-1058.95</v>
      </c>
      <c r="F241" s="2" t="s">
        <v>54</v>
      </c>
      <c r="J241" s="2">
        <v>1058.95</v>
      </c>
      <c r="K241" s="2" t="b">
        <v>0</v>
      </c>
      <c r="L241" s="2"/>
      <c r="M241" s="2"/>
      <c r="N241" s="2" t="s">
        <v>2264</v>
      </c>
      <c r="O241" s="2" t="str">
        <f>LEFT(Table2[[#This Row],[Description]],75)</f>
        <v>VANG TARGET RET 2050</v>
      </c>
      <c r="P241" s="2"/>
    </row>
    <row r="242" spans="1:16" hidden="1">
      <c r="A242" s="2">
        <v>201908</v>
      </c>
      <c r="B242" s="3">
        <v>43678</v>
      </c>
      <c r="C242" s="2" t="s">
        <v>2265</v>
      </c>
      <c r="D242" s="2" t="s">
        <v>593</v>
      </c>
      <c r="E242" s="2">
        <v>200</v>
      </c>
      <c r="F242" s="2" t="s">
        <v>61</v>
      </c>
      <c r="J242" s="2">
        <v>200</v>
      </c>
      <c r="K242" s="2" t="b">
        <v>0</v>
      </c>
      <c r="L242" s="2"/>
      <c r="M242" s="2"/>
      <c r="N242" s="4" t="s">
        <v>2259</v>
      </c>
      <c r="O242" s="4" t="str">
        <f>LEFT(Table2[[#This Row],[Description]],75)</f>
        <v>College Savings TYPE ACH ID 550895818 CO College Savings ACH ECC PPD ACH Tr</v>
      </c>
      <c r="P242" s="2" t="s">
        <v>2272</v>
      </c>
    </row>
    <row r="243" spans="1:16" hidden="1">
      <c r="A243" s="2">
        <v>201908</v>
      </c>
      <c r="B243" s="3">
        <v>43678</v>
      </c>
      <c r="C243" s="2" t="s">
        <v>2267</v>
      </c>
      <c r="D243" s="2" t="s">
        <v>593</v>
      </c>
      <c r="E243" s="2">
        <v>200</v>
      </c>
      <c r="F243" s="2" t="s">
        <v>61</v>
      </c>
      <c r="J243" s="2">
        <v>200</v>
      </c>
      <c r="K243" s="2" t="b">
        <v>0</v>
      </c>
      <c r="L243" s="2"/>
      <c r="M243" s="2"/>
      <c r="N243" s="4" t="s">
        <v>2259</v>
      </c>
      <c r="O243" s="4" t="str">
        <f>LEFT(Table2[[#This Row],[Description]],75)</f>
        <v>College Savings TYPE ACH ID 550895818 CO College Savings ACH ECC PPD ACH Tr</v>
      </c>
      <c r="P243" s="2"/>
    </row>
    <row r="244" spans="1:16" hidden="1">
      <c r="A244" s="2">
        <v>201908</v>
      </c>
      <c r="B244" s="3">
        <v>43678</v>
      </c>
      <c r="C244" s="2" t="s">
        <v>2314</v>
      </c>
      <c r="D244" s="2" t="s">
        <v>860</v>
      </c>
      <c r="E244" s="2">
        <v>-560.38</v>
      </c>
      <c r="F244" s="2">
        <v>0</v>
      </c>
      <c r="J244" s="2">
        <v>560.38</v>
      </c>
      <c r="K244" s="2" t="b">
        <v>0</v>
      </c>
      <c r="L244" s="2"/>
      <c r="M244" s="2"/>
      <c r="N244" s="4" t="s">
        <v>2273</v>
      </c>
      <c r="O244" s="4" t="str">
        <f>LEFT(Table2[[#This Row],[Description]],75)</f>
        <v>From Share 70 240148342</v>
      </c>
      <c r="P244" s="2"/>
    </row>
    <row r="245" spans="1:16" hidden="1">
      <c r="A245" s="2">
        <v>201908</v>
      </c>
      <c r="B245" s="3">
        <v>43678</v>
      </c>
      <c r="C245" s="2" t="s">
        <v>2315</v>
      </c>
      <c r="D245" s="2" t="s">
        <v>860</v>
      </c>
      <c r="E245" s="2">
        <v>-560.38</v>
      </c>
      <c r="F245" s="2">
        <v>0</v>
      </c>
      <c r="J245" s="2">
        <v>560.38</v>
      </c>
      <c r="K245" s="2" t="b">
        <v>0</v>
      </c>
      <c r="L245" s="2"/>
      <c r="M245" s="2"/>
      <c r="N245" s="2" t="s">
        <v>2264</v>
      </c>
      <c r="O245" s="2" t="str">
        <f>LEFT(Table2[[#This Row],[Description]],75)</f>
        <v>From Share 70 240148342</v>
      </c>
      <c r="P245" s="2" t="s">
        <v>2281</v>
      </c>
    </row>
    <row r="246" spans="1:16" hidden="1">
      <c r="A246" s="2">
        <v>201908</v>
      </c>
      <c r="B246" s="3">
        <v>43678</v>
      </c>
      <c r="C246" s="2" t="s">
        <v>2265</v>
      </c>
      <c r="D246" s="2" t="s">
        <v>1878</v>
      </c>
      <c r="E246" s="2">
        <v>618.65</v>
      </c>
      <c r="F246" s="2" t="s">
        <v>11</v>
      </c>
      <c r="J246" s="2">
        <v>618.65</v>
      </c>
      <c r="K246" s="2" t="b">
        <v>0</v>
      </c>
      <c r="L246" s="2"/>
      <c r="M246" s="2"/>
      <c r="N246" s="4" t="s">
        <v>2259</v>
      </c>
      <c r="O246" s="4" t="str">
        <f>LEFT(Table2[[#This Row],[Description]],75)</f>
        <v>To Loan 02 240071892</v>
      </c>
      <c r="P246" s="2" t="s">
        <v>2316</v>
      </c>
    </row>
    <row r="247" spans="1:16" hidden="1">
      <c r="A247" s="2">
        <v>201908</v>
      </c>
      <c r="B247" s="3">
        <v>43678</v>
      </c>
      <c r="C247" s="2" t="s">
        <v>2267</v>
      </c>
      <c r="D247" s="2" t="s">
        <v>1878</v>
      </c>
      <c r="E247" s="2">
        <v>618.65</v>
      </c>
      <c r="F247" s="2" t="s">
        <v>11</v>
      </c>
      <c r="J247" s="2">
        <v>618.65</v>
      </c>
      <c r="K247" s="2" t="b">
        <v>0</v>
      </c>
      <c r="L247" s="2"/>
      <c r="M247" s="2"/>
      <c r="N247" s="4" t="s">
        <v>2259</v>
      </c>
      <c r="O247" s="4" t="str">
        <f>LEFT(Table2[[#This Row],[Description]],75)</f>
        <v>To Loan 02 240071892</v>
      </c>
      <c r="P247" s="2"/>
    </row>
    <row r="248" spans="1:16" hidden="1">
      <c r="A248" s="2">
        <v>201908</v>
      </c>
      <c r="B248" s="3">
        <v>43678</v>
      </c>
      <c r="C248" s="2" t="s">
        <v>2290</v>
      </c>
      <c r="D248" s="2" t="s">
        <v>2106</v>
      </c>
      <c r="E248" s="2">
        <v>-2.14</v>
      </c>
      <c r="F248" s="2" t="s">
        <v>87</v>
      </c>
      <c r="J248" s="2">
        <v>2.14</v>
      </c>
      <c r="K248" s="2" t="b">
        <v>0</v>
      </c>
      <c r="L248" s="2"/>
      <c r="M248" s="2"/>
      <c r="N248" s="2" t="s">
        <v>2264</v>
      </c>
      <c r="O248" s="2" t="str">
        <f>LEFT(Table2[[#This Row],[Description]],75)</f>
        <v>VANG TARGET RET 2050</v>
      </c>
      <c r="P248" s="2"/>
    </row>
    <row r="249" spans="1:16" hidden="1">
      <c r="A249" s="2">
        <v>201908</v>
      </c>
      <c r="B249" s="3">
        <v>43678</v>
      </c>
      <c r="C249" s="2" t="s">
        <v>2290</v>
      </c>
      <c r="D249" s="2" t="s">
        <v>2106</v>
      </c>
      <c r="E249" s="2">
        <v>29.75</v>
      </c>
      <c r="F249" s="2" t="s">
        <v>87</v>
      </c>
      <c r="J249" s="2">
        <v>29.75</v>
      </c>
      <c r="K249" s="2" t="b">
        <v>0</v>
      </c>
      <c r="L249" s="2"/>
      <c r="M249" s="2"/>
      <c r="N249" s="4" t="s">
        <v>2259</v>
      </c>
      <c r="O249" s="4" t="str">
        <f>LEFT(Table2[[#This Row],[Description]],75)</f>
        <v>VANG TARGET RET 2050</v>
      </c>
      <c r="P249" s="2"/>
    </row>
    <row r="250" spans="1:16" hidden="1">
      <c r="A250" s="2">
        <v>201908</v>
      </c>
      <c r="B250" s="3">
        <v>43678</v>
      </c>
      <c r="C250" s="2" t="s">
        <v>2262</v>
      </c>
      <c r="D250" s="2" t="s">
        <v>2225</v>
      </c>
      <c r="E250" s="2">
        <v>48.3</v>
      </c>
      <c r="F250" s="2">
        <v>0</v>
      </c>
      <c r="J250" s="2">
        <v>48.3</v>
      </c>
      <c r="K250" s="2" t="b">
        <v>0</v>
      </c>
      <c r="L250" s="2"/>
      <c r="M250" s="2"/>
      <c r="N250" s="4" t="s">
        <v>2259</v>
      </c>
      <c r="O250" s="4" t="str">
        <f>LEFT(Table2[[#This Row],[Description]],75)</f>
        <v>YETI COOLERS 5123949384 TX 240479865</v>
      </c>
      <c r="P250" s="2" t="s">
        <v>2281</v>
      </c>
    </row>
    <row r="251" spans="1:16" hidden="1">
      <c r="A251" s="2">
        <v>201908</v>
      </c>
      <c r="B251" s="3">
        <v>43679</v>
      </c>
      <c r="C251" s="2" t="s">
        <v>64</v>
      </c>
      <c r="D251" s="2" t="s">
        <v>93</v>
      </c>
      <c r="E251" s="2">
        <v>116.38</v>
      </c>
      <c r="F251" s="2" t="s">
        <v>9</v>
      </c>
      <c r="J251" s="2">
        <v>116.38</v>
      </c>
      <c r="K251" s="2" t="b">
        <v>0</v>
      </c>
      <c r="L251" s="2"/>
      <c r="M251" s="2"/>
      <c r="N251" s="4" t="s">
        <v>2259</v>
      </c>
      <c r="O251" s="4" t="str">
        <f>LEFT(Table2[[#This Row],[Description]],75)</f>
        <v>A T &amp; T INC</v>
      </c>
      <c r="P251" s="2"/>
    </row>
    <row r="252" spans="1:16" hidden="1">
      <c r="A252" s="2">
        <v>201908</v>
      </c>
      <c r="B252" s="3">
        <v>43679</v>
      </c>
      <c r="C252" s="2" t="s">
        <v>2317</v>
      </c>
      <c r="D252" s="2" t="s">
        <v>93</v>
      </c>
      <c r="E252" s="2">
        <v>116.38</v>
      </c>
      <c r="F252" s="2" t="s">
        <v>9</v>
      </c>
      <c r="J252" s="2">
        <v>116.38</v>
      </c>
      <c r="K252" s="2" t="b">
        <v>0</v>
      </c>
      <c r="L252" s="2"/>
      <c r="M252" s="2"/>
      <c r="N252" s="4" t="s">
        <v>2259</v>
      </c>
      <c r="O252" s="4" t="str">
        <f>LEFT(Table2[[#This Row],[Description]],75)</f>
        <v>A T &amp; T INC</v>
      </c>
      <c r="P252" s="2"/>
    </row>
    <row r="253" spans="1:16" hidden="1">
      <c r="A253" s="2">
        <v>201908</v>
      </c>
      <c r="B253" s="3">
        <v>43679</v>
      </c>
      <c r="C253" s="2" t="s">
        <v>64</v>
      </c>
      <c r="D253" s="2" t="s">
        <v>1552</v>
      </c>
      <c r="E253" s="2">
        <v>57.8</v>
      </c>
      <c r="F253" s="2" t="s">
        <v>9</v>
      </c>
      <c r="J253" s="2">
        <v>57.8</v>
      </c>
      <c r="K253" s="2" t="b">
        <v>0</v>
      </c>
      <c r="L253" s="2"/>
      <c r="M253" s="2"/>
      <c r="N253" s="4" t="s">
        <v>2259</v>
      </c>
      <c r="O253" s="4" t="str">
        <f>LEFT(Table2[[#This Row],[Description]],75)</f>
        <v>RAYTHEON CO</v>
      </c>
      <c r="P253" s="2"/>
    </row>
    <row r="254" spans="1:16" hidden="1">
      <c r="A254" s="2">
        <v>201908</v>
      </c>
      <c r="B254" s="3">
        <v>43679</v>
      </c>
      <c r="C254" s="2" t="s">
        <v>2317</v>
      </c>
      <c r="D254" s="2" t="s">
        <v>1552</v>
      </c>
      <c r="E254" s="2">
        <v>57.8</v>
      </c>
      <c r="F254" s="2" t="s">
        <v>9</v>
      </c>
      <c r="J254" s="2">
        <v>57.8</v>
      </c>
      <c r="K254" s="2" t="b">
        <v>0</v>
      </c>
      <c r="L254" s="2"/>
      <c r="M254" s="2"/>
      <c r="N254" s="4" t="s">
        <v>2259</v>
      </c>
      <c r="O254" s="4" t="str">
        <f>LEFT(Table2[[#This Row],[Description]],75)</f>
        <v>RAYTHEON CO</v>
      </c>
      <c r="P254" s="2"/>
    </row>
    <row r="255" spans="1:16" hidden="1">
      <c r="A255" s="2">
        <v>201908</v>
      </c>
      <c r="B255" s="3">
        <v>43679</v>
      </c>
      <c r="C255" s="2" t="s">
        <v>2271</v>
      </c>
      <c r="D255" s="2" t="s">
        <v>31</v>
      </c>
      <c r="E255" s="2">
        <v>11.94</v>
      </c>
      <c r="F255" s="2" t="s">
        <v>31</v>
      </c>
      <c r="J255" s="2">
        <v>11.94</v>
      </c>
      <c r="K255" s="2" t="b">
        <v>0</v>
      </c>
      <c r="L255" s="2"/>
      <c r="M255" s="2"/>
      <c r="N255" s="4" t="s">
        <v>2259</v>
      </c>
      <c r="O255" s="4" t="str">
        <f>LEFT(Table2[[#This Row],[Description]],75)</f>
        <v>Target</v>
      </c>
      <c r="P255" s="2"/>
    </row>
    <row r="256" spans="1:16" hidden="1">
      <c r="A256" s="2">
        <v>201908</v>
      </c>
      <c r="B256" s="3">
        <v>43679</v>
      </c>
      <c r="C256" s="2" t="s">
        <v>2262</v>
      </c>
      <c r="D256" s="2" t="s">
        <v>1994</v>
      </c>
      <c r="E256" s="2">
        <v>73.430000000000007</v>
      </c>
      <c r="F256" s="2">
        <v>0</v>
      </c>
      <c r="J256" s="2">
        <v>73.430000000000007</v>
      </c>
      <c r="K256" s="2" t="b">
        <v>0</v>
      </c>
      <c r="L256" s="2"/>
      <c r="M256" s="2"/>
      <c r="N256" s="4" t="s">
        <v>2259</v>
      </c>
      <c r="O256" s="4" t="str">
        <f>LEFT(Table2[[#This Row],[Description]],75)</f>
        <v>TRAVEL INSURANCE POLICY 8007296021 VA 240721354</v>
      </c>
      <c r="P256" s="2" t="s">
        <v>2281</v>
      </c>
    </row>
    <row r="257" spans="1:16" hidden="1">
      <c r="A257" s="2">
        <v>201908</v>
      </c>
      <c r="B257" s="3">
        <v>43681</v>
      </c>
      <c r="C257" s="2" t="s">
        <v>2271</v>
      </c>
      <c r="D257" s="2" t="s">
        <v>819</v>
      </c>
      <c r="E257" s="2">
        <v>-47.91</v>
      </c>
      <c r="F257" s="2" t="s">
        <v>31</v>
      </c>
      <c r="J257" s="2">
        <v>47.91</v>
      </c>
      <c r="K257" s="2" t="b">
        <v>0</v>
      </c>
      <c r="L257" s="2"/>
      <c r="M257" s="2"/>
      <c r="N257" s="2" t="s">
        <v>2264</v>
      </c>
      <c r="O257" s="2" t="str">
        <f>LEFT(Table2[[#This Row],[Description]],75)</f>
        <v>E-PAYMENT, TARGET.COM 79999999216001921770887</v>
      </c>
      <c r="P257" s="2"/>
    </row>
    <row r="258" spans="1:16" hidden="1">
      <c r="A258" s="2">
        <v>201908</v>
      </c>
      <c r="B258" s="3">
        <v>43681</v>
      </c>
      <c r="C258" s="2" t="s">
        <v>2265</v>
      </c>
      <c r="D258" s="2" t="s">
        <v>2206</v>
      </c>
      <c r="E258" s="2">
        <v>2770.79</v>
      </c>
      <c r="F258" s="2" t="s">
        <v>5</v>
      </c>
      <c r="J258" s="2">
        <v>2770.79</v>
      </c>
      <c r="K258" s="2" t="b">
        <v>0</v>
      </c>
      <c r="L258" s="2"/>
      <c r="M258" s="2"/>
      <c r="N258" s="4" t="s">
        <v>2259</v>
      </c>
      <c r="O258" s="4" t="str">
        <f>LEFT(Table2[[#This Row],[Description]],75)</f>
        <v>Withdrawal Home To Loan Mortgage Payment Thank You 240871919</v>
      </c>
      <c r="P258" s="2" t="s">
        <v>2269</v>
      </c>
    </row>
    <row r="259" spans="1:16" hidden="1">
      <c r="A259" s="2">
        <v>201908</v>
      </c>
      <c r="B259" s="3">
        <v>43681</v>
      </c>
      <c r="C259" s="2" t="s">
        <v>2267</v>
      </c>
      <c r="D259" s="2" t="s">
        <v>2206</v>
      </c>
      <c r="E259" s="2">
        <v>2770.79</v>
      </c>
      <c r="F259" s="2" t="s">
        <v>5</v>
      </c>
      <c r="J259" s="2">
        <v>2770.79</v>
      </c>
      <c r="K259" s="2" t="b">
        <v>0</v>
      </c>
      <c r="L259" s="2"/>
      <c r="M259" s="2"/>
      <c r="N259" s="4" t="s">
        <v>2259</v>
      </c>
      <c r="O259" s="4" t="str">
        <f>LEFT(Table2[[#This Row],[Description]],75)</f>
        <v>Withdrawal Home To Loan Mortgage Payment Thank You 240871919</v>
      </c>
      <c r="P259" s="2"/>
    </row>
    <row r="260" spans="1:16" hidden="1">
      <c r="A260" s="2">
        <v>201908</v>
      </c>
      <c r="B260" s="3">
        <v>43681</v>
      </c>
      <c r="C260" s="2" t="s">
        <v>2262</v>
      </c>
      <c r="D260" s="2" t="s">
        <v>1102</v>
      </c>
      <c r="E260" s="2">
        <v>11.58</v>
      </c>
      <c r="F260" s="2" t="s">
        <v>26</v>
      </c>
      <c r="J260" s="2">
        <v>11.58</v>
      </c>
      <c r="K260" s="2" t="b">
        <v>0</v>
      </c>
      <c r="L260" s="2"/>
      <c r="M260" s="2"/>
      <c r="N260" s="4" t="s">
        <v>2259</v>
      </c>
      <c r="O260" s="4" t="str">
        <f>LEFT(Table2[[#This Row],[Description]],75)</f>
        <v>Leeann Chin</v>
      </c>
      <c r="P260" s="2"/>
    </row>
    <row r="261" spans="1:16" hidden="1">
      <c r="A261" s="2">
        <v>201908</v>
      </c>
      <c r="B261" s="3">
        <v>43681</v>
      </c>
      <c r="C261" s="2" t="s">
        <v>2262</v>
      </c>
      <c r="D261" s="2" t="s">
        <v>1619</v>
      </c>
      <c r="E261" s="2">
        <v>26.82</v>
      </c>
      <c r="F261" s="2" t="s">
        <v>21</v>
      </c>
      <c r="J261" s="2">
        <v>26.82</v>
      </c>
      <c r="K261" s="2" t="b">
        <v>0</v>
      </c>
      <c r="L261" s="2"/>
      <c r="M261" s="2"/>
      <c r="N261" s="4" t="s">
        <v>2259</v>
      </c>
      <c r="O261" s="4" t="str">
        <f>LEFT(Table2[[#This Row],[Description]],75)</f>
        <v>SAN JUAN SPORTS CREEDE CO 242552794</v>
      </c>
      <c r="P261" s="2"/>
    </row>
    <row r="262" spans="1:16" hidden="1">
      <c r="A262" s="2">
        <v>201908</v>
      </c>
      <c r="B262" s="3">
        <v>43681</v>
      </c>
      <c r="C262" s="2" t="s">
        <v>2262</v>
      </c>
      <c r="D262" s="2" t="s">
        <v>1620</v>
      </c>
      <c r="E262" s="2">
        <v>41.39</v>
      </c>
      <c r="F262" s="2" t="s">
        <v>21</v>
      </c>
      <c r="J262" s="2">
        <v>41.39</v>
      </c>
      <c r="K262" s="2" t="b">
        <v>0</v>
      </c>
      <c r="L262" s="2"/>
      <c r="M262" s="2"/>
      <c r="N262" s="4" t="s">
        <v>2259</v>
      </c>
      <c r="O262" s="4" t="str">
        <f>LEFT(Table2[[#This Row],[Description]],75)</f>
        <v>SAN JUAN SPORTS CREEDE CO 242552795</v>
      </c>
      <c r="P262" s="2"/>
    </row>
    <row r="263" spans="1:16" hidden="1">
      <c r="A263" s="2">
        <v>201908</v>
      </c>
      <c r="B263" s="3">
        <v>43681</v>
      </c>
      <c r="C263" s="2" t="s">
        <v>2271</v>
      </c>
      <c r="D263" s="2" t="s">
        <v>31</v>
      </c>
      <c r="E263" s="2">
        <v>34.67</v>
      </c>
      <c r="F263" s="2" t="s">
        <v>31</v>
      </c>
      <c r="J263" s="2">
        <v>34.67</v>
      </c>
      <c r="K263" s="2" t="b">
        <v>0</v>
      </c>
      <c r="L263" s="2"/>
      <c r="M263" s="2"/>
      <c r="N263" s="4" t="s">
        <v>2259</v>
      </c>
      <c r="O263" s="4" t="str">
        <f>LEFT(Table2[[#This Row],[Description]],75)</f>
        <v>Target</v>
      </c>
      <c r="P263" s="2"/>
    </row>
    <row r="264" spans="1:16" hidden="1">
      <c r="A264" s="2">
        <v>201908</v>
      </c>
      <c r="B264" s="3">
        <v>43681</v>
      </c>
      <c r="C264" s="2" t="s">
        <v>2262</v>
      </c>
      <c r="D264" s="2" t="s">
        <v>2092</v>
      </c>
      <c r="E264" s="2">
        <v>18</v>
      </c>
      <c r="F264" s="2" t="s">
        <v>40</v>
      </c>
      <c r="J264" s="2">
        <v>18</v>
      </c>
      <c r="K264" s="2" t="b">
        <v>0</v>
      </c>
      <c r="L264" s="2"/>
      <c r="M264" s="2"/>
      <c r="N264" s="4" t="s">
        <v>2259</v>
      </c>
      <c r="O264" s="4" t="str">
        <f>LEFT(Table2[[#This Row],[Description]],75)</f>
        <v>Uptown Association</v>
      </c>
      <c r="P264" s="2"/>
    </row>
    <row r="265" spans="1:16" hidden="1">
      <c r="A265" s="2">
        <v>201908</v>
      </c>
      <c r="B265" s="3">
        <v>43682</v>
      </c>
      <c r="C265" s="2" t="s">
        <v>2270</v>
      </c>
      <c r="D265" s="2" t="s">
        <v>1413</v>
      </c>
      <c r="E265" s="2">
        <v>-2770.79</v>
      </c>
      <c r="F265" s="2" t="s">
        <v>9</v>
      </c>
      <c r="J265" s="2">
        <v>2770.79</v>
      </c>
      <c r="K265" s="2" t="b">
        <v>0</v>
      </c>
      <c r="L265" s="2"/>
      <c r="M265" s="2"/>
      <c r="N265" s="2" t="s">
        <v>2264</v>
      </c>
      <c r="O265" s="2" t="str">
        <f>LEFT(Table2[[#This Row],[Description]],75)</f>
        <v>PAYMENT 241553299</v>
      </c>
      <c r="P265" s="2"/>
    </row>
    <row r="266" spans="1:16" hidden="1">
      <c r="A266" s="2">
        <v>201908</v>
      </c>
      <c r="B266" s="3">
        <v>43682</v>
      </c>
      <c r="C266" s="2" t="s">
        <v>2262</v>
      </c>
      <c r="D266" s="2" t="s">
        <v>453</v>
      </c>
      <c r="E266" s="2">
        <v>7.37</v>
      </c>
      <c r="F266" s="2" t="s">
        <v>26</v>
      </c>
      <c r="J266" s="2">
        <v>7.37</v>
      </c>
      <c r="K266" s="2" t="b">
        <v>0</v>
      </c>
      <c r="L266" s="2"/>
      <c r="M266" s="2"/>
      <c r="N266" s="4" t="s">
        <v>2259</v>
      </c>
      <c r="O266" s="4" t="str">
        <f>LEFT(Table2[[#This Row],[Description]],75)</f>
        <v>Caribou Coffee</v>
      </c>
      <c r="P266" s="2"/>
    </row>
    <row r="267" spans="1:16" hidden="1">
      <c r="A267" s="2">
        <v>201908</v>
      </c>
      <c r="B267" s="3">
        <v>43682</v>
      </c>
      <c r="C267" s="2" t="s">
        <v>2262</v>
      </c>
      <c r="D267" s="2" t="s">
        <v>684</v>
      </c>
      <c r="E267" s="2">
        <v>88.45</v>
      </c>
      <c r="F267" s="2" t="s">
        <v>28</v>
      </c>
      <c r="J267" s="2">
        <v>88.45</v>
      </c>
      <c r="K267" s="2" t="b">
        <v>0</v>
      </c>
      <c r="L267" s="2"/>
      <c r="M267" s="2"/>
      <c r="N267" s="4" t="s">
        <v>2259</v>
      </c>
      <c r="O267" s="4" t="str">
        <f>LEFT(Table2[[#This Row],[Description]],75)</f>
        <v>Cub Foods</v>
      </c>
      <c r="P267" s="2"/>
    </row>
    <row r="268" spans="1:16" hidden="1">
      <c r="A268" s="2">
        <v>201908</v>
      </c>
      <c r="B268" s="3">
        <v>43682</v>
      </c>
      <c r="C268" s="2" t="s">
        <v>2262</v>
      </c>
      <c r="D268" s="2" t="s">
        <v>707</v>
      </c>
      <c r="E268" s="2">
        <v>27.24</v>
      </c>
      <c r="F268" s="2" t="s">
        <v>26</v>
      </c>
      <c r="J268" s="2">
        <v>27.24</v>
      </c>
      <c r="K268" s="2" t="b">
        <v>0</v>
      </c>
      <c r="L268" s="2"/>
      <c r="M268" s="2"/>
      <c r="N268" s="4" t="s">
        <v>2259</v>
      </c>
      <c r="O268" s="4" t="str">
        <f>LEFT(Table2[[#This Row],[Description]],75)</f>
        <v>DENVER CHOP HOUSE DEN DENVER CO 242552801</v>
      </c>
      <c r="P268" s="2"/>
    </row>
    <row r="269" spans="1:16" hidden="1">
      <c r="A269" s="2">
        <v>201908</v>
      </c>
      <c r="B269" s="3">
        <v>43682</v>
      </c>
      <c r="C269" s="2" t="s">
        <v>2262</v>
      </c>
      <c r="D269" s="2" t="s">
        <v>1562</v>
      </c>
      <c r="E269" s="2">
        <v>33.49</v>
      </c>
      <c r="F269" s="2" t="s">
        <v>26</v>
      </c>
      <c r="J269" s="2">
        <v>33.49</v>
      </c>
      <c r="K269" s="2" t="b">
        <v>0</v>
      </c>
      <c r="L269" s="2"/>
      <c r="M269" s="2"/>
      <c r="N269" s="4" t="s">
        <v>2259</v>
      </c>
      <c r="O269" s="4" t="str">
        <f>LEFT(Table2[[#This Row],[Description]],75)</f>
        <v>Red Wagon Pizza Co</v>
      </c>
      <c r="P269" s="2"/>
    </row>
    <row r="270" spans="1:16" hidden="1">
      <c r="A270" s="2">
        <v>201908</v>
      </c>
      <c r="B270" s="3">
        <v>43682</v>
      </c>
      <c r="C270" s="2" t="s">
        <v>2275</v>
      </c>
      <c r="D270" s="2" t="s">
        <v>1633</v>
      </c>
      <c r="E270" s="2">
        <v>150</v>
      </c>
      <c r="F270" s="2" t="s">
        <v>9</v>
      </c>
      <c r="J270" s="2">
        <v>150</v>
      </c>
      <c r="K270" s="2" t="b">
        <v>0</v>
      </c>
      <c r="L270" s="2"/>
      <c r="M270" s="2"/>
      <c r="N270" s="4" t="s">
        <v>2259</v>
      </c>
      <c r="O270" s="4" t="str">
        <f>LEFT(Table2[[#This Row],[Description]],75)</f>
        <v>SCHWAB S&amp;P 500 INDEX FD</v>
      </c>
      <c r="P270" s="2" t="s">
        <v>2276</v>
      </c>
    </row>
    <row r="271" spans="1:16" hidden="1">
      <c r="A271" s="2">
        <v>201908</v>
      </c>
      <c r="B271" s="3">
        <v>43682</v>
      </c>
      <c r="C271" s="2" t="s">
        <v>2277</v>
      </c>
      <c r="D271" s="2" t="s">
        <v>1633</v>
      </c>
      <c r="E271" s="2">
        <v>150</v>
      </c>
      <c r="F271" s="2" t="s">
        <v>9</v>
      </c>
      <c r="J271" s="2">
        <v>150</v>
      </c>
      <c r="K271" s="2" t="b">
        <v>0</v>
      </c>
      <c r="L271" s="2"/>
      <c r="M271" s="2"/>
      <c r="N271" s="4" t="s">
        <v>2259</v>
      </c>
      <c r="O271" s="4" t="str">
        <f>LEFT(Table2[[#This Row],[Description]],75)</f>
        <v>SCHWAB S&amp;P 500 INDEX FD</v>
      </c>
      <c r="P271" s="2" t="s">
        <v>2276</v>
      </c>
    </row>
    <row r="272" spans="1:16" hidden="1">
      <c r="A272" s="2">
        <v>201908</v>
      </c>
      <c r="B272" s="3">
        <v>43682</v>
      </c>
      <c r="C272" s="2" t="s">
        <v>2275</v>
      </c>
      <c r="D272" s="2" t="s">
        <v>1635</v>
      </c>
      <c r="E272" s="2">
        <v>150</v>
      </c>
      <c r="F272" s="2" t="s">
        <v>9</v>
      </c>
      <c r="J272" s="2">
        <v>150</v>
      </c>
      <c r="K272" s="2" t="b">
        <v>0</v>
      </c>
      <c r="L272" s="2"/>
      <c r="M272" s="2"/>
      <c r="N272" s="4" t="s">
        <v>2259</v>
      </c>
      <c r="O272" s="4" t="str">
        <f>LEFT(Table2[[#This Row],[Description]],75)</f>
        <v>SCHWAB TOTAL STOCK MKT INDEX</v>
      </c>
      <c r="P272" s="2" t="s">
        <v>2278</v>
      </c>
    </row>
    <row r="273" spans="1:16" hidden="1">
      <c r="A273" s="2">
        <v>201908</v>
      </c>
      <c r="B273" s="3">
        <v>43682</v>
      </c>
      <c r="C273" s="2" t="s">
        <v>2277</v>
      </c>
      <c r="D273" s="2" t="s">
        <v>1635</v>
      </c>
      <c r="E273" s="2">
        <v>150</v>
      </c>
      <c r="F273" s="2" t="s">
        <v>9</v>
      </c>
      <c r="J273" s="2">
        <v>150</v>
      </c>
      <c r="K273" s="2" t="b">
        <v>0</v>
      </c>
      <c r="L273" s="2"/>
      <c r="M273" s="2"/>
      <c r="N273" s="4" t="s">
        <v>2259</v>
      </c>
      <c r="O273" s="4" t="str">
        <f>LEFT(Table2[[#This Row],[Description]],75)</f>
        <v>SCHWAB TOTAL STOCK MKT INDEX</v>
      </c>
      <c r="P273" s="2"/>
    </row>
    <row r="274" spans="1:16" hidden="1">
      <c r="A274" s="2">
        <v>201908</v>
      </c>
      <c r="B274" s="3">
        <v>43682</v>
      </c>
      <c r="C274" s="2" t="s">
        <v>2271</v>
      </c>
      <c r="D274" s="2" t="s">
        <v>31</v>
      </c>
      <c r="E274" s="2">
        <v>0.01</v>
      </c>
      <c r="F274" s="2" t="s">
        <v>31</v>
      </c>
      <c r="J274" s="2">
        <v>0.01</v>
      </c>
      <c r="K274" s="2" t="b">
        <v>0</v>
      </c>
      <c r="L274" s="2"/>
      <c r="M274" s="2"/>
      <c r="N274" s="4" t="s">
        <v>2259</v>
      </c>
      <c r="O274" s="4" t="str">
        <f>LEFT(Table2[[#This Row],[Description]],75)</f>
        <v>Target</v>
      </c>
      <c r="P274" s="2"/>
    </row>
    <row r="275" spans="1:16" hidden="1">
      <c r="A275" s="2">
        <v>201908</v>
      </c>
      <c r="B275" s="3">
        <v>43682</v>
      </c>
      <c r="C275" s="2" t="s">
        <v>2271</v>
      </c>
      <c r="D275" s="2" t="s">
        <v>31</v>
      </c>
      <c r="E275" s="2">
        <v>28.84</v>
      </c>
      <c r="F275" s="2" t="s">
        <v>31</v>
      </c>
      <c r="J275" s="2">
        <v>28.84</v>
      </c>
      <c r="K275" s="2" t="b">
        <v>0</v>
      </c>
      <c r="L275" s="2"/>
      <c r="M275" s="2"/>
      <c r="N275" s="4" t="s">
        <v>2259</v>
      </c>
      <c r="O275" s="4" t="str">
        <f>LEFT(Table2[[#This Row],[Description]],75)</f>
        <v>Target</v>
      </c>
      <c r="P275" s="2"/>
    </row>
    <row r="276" spans="1:16" hidden="1">
      <c r="A276" s="2">
        <v>201908</v>
      </c>
      <c r="B276" s="3">
        <v>43682</v>
      </c>
      <c r="C276" s="2" t="s">
        <v>2274</v>
      </c>
      <c r="D276" s="2" t="s">
        <v>1818</v>
      </c>
      <c r="E276" s="2">
        <v>47.91</v>
      </c>
      <c r="F276" s="2">
        <v>0</v>
      </c>
      <c r="J276" s="2">
        <v>47.91</v>
      </c>
      <c r="K276" s="2" t="b">
        <v>0</v>
      </c>
      <c r="L276" s="2"/>
      <c r="M276" s="2"/>
      <c r="N276" s="4" t="s">
        <v>2259</v>
      </c>
      <c r="O276" s="4" t="str">
        <f>LEFT(Table2[[#This Row],[Description]],75)</f>
        <v>TARGET CARD SRVC BILL PAY 190804</v>
      </c>
      <c r="P276" s="2" t="s">
        <v>2281</v>
      </c>
    </row>
    <row r="277" spans="1:16" hidden="1">
      <c r="A277" s="2">
        <v>201908</v>
      </c>
      <c r="B277" s="3">
        <v>43682</v>
      </c>
      <c r="C277" s="2" t="s">
        <v>64</v>
      </c>
      <c r="D277" s="2" t="s">
        <v>2130</v>
      </c>
      <c r="E277" s="2">
        <v>859.64</v>
      </c>
      <c r="F277" s="2" t="s">
        <v>69</v>
      </c>
      <c r="J277" s="2">
        <v>859.64</v>
      </c>
      <c r="K277" s="2" t="b">
        <v>0</v>
      </c>
      <c r="L277" s="2"/>
      <c r="M277" s="2"/>
      <c r="N277" s="4" t="s">
        <v>2259</v>
      </c>
      <c r="O277" s="4" t="str">
        <f>LEFT(Table2[[#This Row],[Description]],75)</f>
        <v>VISA INC CLASS A</v>
      </c>
      <c r="P277" s="2"/>
    </row>
    <row r="278" spans="1:16" hidden="1">
      <c r="A278" s="2">
        <v>201908</v>
      </c>
      <c r="B278" s="3">
        <v>43682</v>
      </c>
      <c r="C278" s="2" t="s">
        <v>2317</v>
      </c>
      <c r="D278" s="2" t="s">
        <v>2130</v>
      </c>
      <c r="E278" s="2">
        <v>859.64</v>
      </c>
      <c r="F278" s="2" t="s">
        <v>9</v>
      </c>
      <c r="J278" s="2">
        <v>859.64</v>
      </c>
      <c r="K278" s="2" t="b">
        <v>0</v>
      </c>
      <c r="L278" s="2"/>
      <c r="M278" s="2"/>
      <c r="N278" s="4" t="s">
        <v>2259</v>
      </c>
      <c r="O278" s="4" t="str">
        <f>LEFT(Table2[[#This Row],[Description]],75)</f>
        <v>VISA INC CLASS A</v>
      </c>
      <c r="P278" s="2"/>
    </row>
    <row r="279" spans="1:16" hidden="1">
      <c r="A279" s="2">
        <v>201908</v>
      </c>
      <c r="B279" s="3">
        <v>43683</v>
      </c>
      <c r="C279" s="2" t="s">
        <v>2258</v>
      </c>
      <c r="D279" s="2" t="s">
        <v>997</v>
      </c>
      <c r="E279" s="2">
        <v>-299.23</v>
      </c>
      <c r="F279" s="2" t="s">
        <v>9</v>
      </c>
      <c r="J279" s="2">
        <v>299.23</v>
      </c>
      <c r="K279" s="2" t="b">
        <v>0</v>
      </c>
      <c r="L279" s="2"/>
      <c r="M279" s="2"/>
      <c r="N279" s="4" t="s">
        <v>2273</v>
      </c>
      <c r="O279" s="4" t="str">
        <f>LEFT(Table2[[#This Row],[Description]],75)</f>
        <v>INTERNET PAYMENT - THANK YOU</v>
      </c>
      <c r="P279" s="2" t="s">
        <v>2291</v>
      </c>
    </row>
    <row r="280" spans="1:16" hidden="1">
      <c r="A280" s="2">
        <v>201908</v>
      </c>
      <c r="B280" s="3">
        <v>43683</v>
      </c>
      <c r="C280" s="2" t="s">
        <v>2261</v>
      </c>
      <c r="D280" s="2" t="s">
        <v>997</v>
      </c>
      <c r="E280" s="2">
        <v>-299.23</v>
      </c>
      <c r="F280" s="2" t="s">
        <v>9</v>
      </c>
      <c r="J280" s="2">
        <v>299.23</v>
      </c>
      <c r="K280" s="2" t="b">
        <v>0</v>
      </c>
      <c r="L280" s="2"/>
      <c r="M280" s="2"/>
      <c r="N280" s="2" t="s">
        <v>2264</v>
      </c>
      <c r="O280" s="2" t="str">
        <f>LEFT(Table2[[#This Row],[Description]],75)</f>
        <v>INTERNET PAYMENT - THANK YOU</v>
      </c>
      <c r="P280" s="2"/>
    </row>
    <row r="281" spans="1:16" hidden="1">
      <c r="A281" s="2">
        <v>201908</v>
      </c>
      <c r="B281" s="3">
        <v>43683</v>
      </c>
      <c r="C281" s="2" t="s">
        <v>2258</v>
      </c>
      <c r="D281" s="2" t="s">
        <v>38</v>
      </c>
      <c r="E281" s="2">
        <v>92.29</v>
      </c>
      <c r="F281" s="2" t="s">
        <v>38</v>
      </c>
      <c r="J281" s="2">
        <v>92.29</v>
      </c>
      <c r="K281" s="2" t="b">
        <v>0</v>
      </c>
      <c r="L281" s="2"/>
      <c r="M281" s="2"/>
      <c r="N281" s="4" t="s">
        <v>2259</v>
      </c>
      <c r="O281" s="4" t="str">
        <f>LEFT(Table2[[#This Row],[Description]],75)</f>
        <v>Amazon</v>
      </c>
      <c r="P281" s="2" t="s">
        <v>2260</v>
      </c>
    </row>
    <row r="282" spans="1:16" hidden="1">
      <c r="A282" s="2">
        <v>201908</v>
      </c>
      <c r="B282" s="3">
        <v>43683</v>
      </c>
      <c r="C282" s="2" t="s">
        <v>2261</v>
      </c>
      <c r="D282" s="2" t="s">
        <v>38</v>
      </c>
      <c r="E282" s="2">
        <v>92.29</v>
      </c>
      <c r="F282" s="2" t="s">
        <v>38</v>
      </c>
      <c r="J282" s="2">
        <v>92.29</v>
      </c>
      <c r="K282" s="2" t="b">
        <v>0</v>
      </c>
      <c r="L282" s="2"/>
      <c r="M282" s="2"/>
      <c r="N282" s="4" t="s">
        <v>2259</v>
      </c>
      <c r="O282" s="4" t="str">
        <f>LEFT(Table2[[#This Row],[Description]],75)</f>
        <v>Amazon</v>
      </c>
      <c r="P282" s="2"/>
    </row>
    <row r="283" spans="1:16" hidden="1">
      <c r="A283" s="2">
        <v>201908</v>
      </c>
      <c r="B283" s="3">
        <v>43683</v>
      </c>
      <c r="C283" s="2" t="s">
        <v>2262</v>
      </c>
      <c r="D283" s="2" t="s">
        <v>288</v>
      </c>
      <c r="E283" s="2">
        <v>135.31</v>
      </c>
      <c r="F283" s="2" t="s">
        <v>43</v>
      </c>
      <c r="J283" s="2">
        <v>135.31</v>
      </c>
      <c r="K283" s="2" t="b">
        <v>0</v>
      </c>
      <c r="L283" s="2"/>
      <c r="M283" s="2"/>
      <c r="N283" s="4" t="s">
        <v>2259</v>
      </c>
      <c r="O283" s="4" t="str">
        <f>LEFT(Table2[[#This Row],[Description]],75)</f>
        <v>Best Western</v>
      </c>
      <c r="P283" s="2"/>
    </row>
    <row r="284" spans="1:16" hidden="1">
      <c r="A284" s="2">
        <v>201908</v>
      </c>
      <c r="B284" s="3">
        <v>43683</v>
      </c>
      <c r="C284" s="2" t="s">
        <v>2262</v>
      </c>
      <c r="D284" s="2" t="s">
        <v>944</v>
      </c>
      <c r="E284" s="2">
        <v>34.04</v>
      </c>
      <c r="F284" s="2" t="s">
        <v>23</v>
      </c>
      <c r="J284" s="2">
        <v>34.04</v>
      </c>
      <c r="K284" s="2" t="b">
        <v>0</v>
      </c>
      <c r="L284" s="2"/>
      <c r="M284" s="2"/>
      <c r="N284" s="4" t="s">
        <v>2259</v>
      </c>
      <c r="O284" s="4" t="str">
        <f>LEFT(Table2[[#This Row],[Description]],75)</f>
        <v>Holiday Stationstore</v>
      </c>
      <c r="P284" s="2"/>
    </row>
    <row r="285" spans="1:16" hidden="1">
      <c r="A285" s="2">
        <v>201908</v>
      </c>
      <c r="B285" s="3">
        <v>43683</v>
      </c>
      <c r="C285" s="2" t="s">
        <v>2274</v>
      </c>
      <c r="D285" s="2" t="s">
        <v>974</v>
      </c>
      <c r="E285" s="2">
        <v>8.99</v>
      </c>
      <c r="F285" s="2" t="s">
        <v>9</v>
      </c>
      <c r="J285" s="2">
        <v>8.99</v>
      </c>
      <c r="K285" s="2" t="b">
        <v>0</v>
      </c>
      <c r="L285" s="2"/>
      <c r="M285" s="2"/>
      <c r="N285" s="4" t="s">
        <v>2259</v>
      </c>
      <c r="O285" s="4" t="str">
        <f>LEFT(Table2[[#This Row],[Description]],75)</f>
        <v>INST XFER 190805</v>
      </c>
      <c r="P285" s="2"/>
    </row>
    <row r="286" spans="1:16" hidden="1">
      <c r="A286" s="2">
        <v>201908</v>
      </c>
      <c r="B286" s="3">
        <v>43683</v>
      </c>
      <c r="C286" s="2" t="s">
        <v>64</v>
      </c>
      <c r="D286" s="2" t="s">
        <v>2107</v>
      </c>
      <c r="E286" s="2">
        <v>-4.37</v>
      </c>
      <c r="F286" s="2" t="s">
        <v>69</v>
      </c>
      <c r="J286" s="2">
        <v>4.37</v>
      </c>
      <c r="K286" s="2" t="b">
        <v>0</v>
      </c>
      <c r="L286" s="2"/>
      <c r="M286" s="2"/>
      <c r="N286" s="2" t="s">
        <v>2264</v>
      </c>
      <c r="O286" s="2" t="str">
        <f>LEFT(Table2[[#This Row],[Description]],75)</f>
        <v>VANGUARD INTRMDIAT TRM TRSRY ETF</v>
      </c>
      <c r="P286" s="2"/>
    </row>
    <row r="287" spans="1:16" hidden="1">
      <c r="A287" s="2">
        <v>201908</v>
      </c>
      <c r="B287" s="3">
        <v>43683</v>
      </c>
      <c r="C287" s="2" t="s">
        <v>2317</v>
      </c>
      <c r="D287" s="2" t="s">
        <v>2107</v>
      </c>
      <c r="E287" s="2">
        <v>-4.37</v>
      </c>
      <c r="F287" s="2" t="s">
        <v>9</v>
      </c>
      <c r="J287" s="2">
        <v>4.37</v>
      </c>
      <c r="K287" s="2" t="b">
        <v>0</v>
      </c>
      <c r="L287" s="2"/>
      <c r="M287" s="2"/>
      <c r="N287" s="2" t="s">
        <v>2264</v>
      </c>
      <c r="O287" s="2" t="str">
        <f>LEFT(Table2[[#This Row],[Description]],75)</f>
        <v>VANGUARD INTRMDIAT TRM TRSRY ETF</v>
      </c>
      <c r="P287" s="2"/>
    </row>
    <row r="288" spans="1:16" hidden="1">
      <c r="A288" s="2">
        <v>201908</v>
      </c>
      <c r="B288" s="3">
        <v>43683</v>
      </c>
      <c r="C288" s="2" t="s">
        <v>2265</v>
      </c>
      <c r="D288" s="2" t="s">
        <v>2140</v>
      </c>
      <c r="E288" s="2">
        <v>104.82</v>
      </c>
      <c r="F288" s="2" t="s">
        <v>7</v>
      </c>
      <c r="J288" s="2">
        <v>104.82</v>
      </c>
      <c r="K288" s="2" t="b">
        <v>0</v>
      </c>
      <c r="L288" s="2"/>
      <c r="M288" s="2"/>
      <c r="N288" s="4" t="s">
        <v>2259</v>
      </c>
      <c r="O288" s="4" t="str">
        <f>LEFT(Table2[[#This Row],[Description]],75)</f>
        <v>Waste Management</v>
      </c>
      <c r="P288" s="2" t="s">
        <v>2318</v>
      </c>
    </row>
    <row r="289" spans="1:16" hidden="1">
      <c r="A289" s="2">
        <v>201908</v>
      </c>
      <c r="B289" s="3">
        <v>43683</v>
      </c>
      <c r="C289" s="2" t="s">
        <v>2267</v>
      </c>
      <c r="D289" s="2" t="s">
        <v>2140</v>
      </c>
      <c r="E289" s="2">
        <v>104.82</v>
      </c>
      <c r="F289" s="2" t="s">
        <v>7</v>
      </c>
      <c r="J289" s="2">
        <v>104.82</v>
      </c>
      <c r="K289" s="2" t="b">
        <v>0</v>
      </c>
      <c r="L289" s="2"/>
      <c r="M289" s="2"/>
      <c r="N289" s="4" t="s">
        <v>2259</v>
      </c>
      <c r="O289" s="4" t="str">
        <f>LEFT(Table2[[#This Row],[Description]],75)</f>
        <v>Waste Management</v>
      </c>
      <c r="P289" s="2"/>
    </row>
    <row r="290" spans="1:16" hidden="1">
      <c r="A290" s="2">
        <v>201908</v>
      </c>
      <c r="B290" s="3">
        <v>43683</v>
      </c>
      <c r="C290" s="2" t="s">
        <v>2265</v>
      </c>
      <c r="D290" s="2" t="s">
        <v>2221</v>
      </c>
      <c r="E290" s="2">
        <v>121.65</v>
      </c>
      <c r="F290" s="2" t="s">
        <v>7</v>
      </c>
      <c r="J290" s="2">
        <v>121.65</v>
      </c>
      <c r="K290" s="2" t="b">
        <v>0</v>
      </c>
      <c r="L290" s="2"/>
      <c r="M290" s="2"/>
      <c r="N290" s="4" t="s">
        <v>2259</v>
      </c>
      <c r="O290" s="4" t="str">
        <f>LEFT(Table2[[#This Row],[Description]],75)</f>
        <v>Xcel Energy</v>
      </c>
      <c r="P290" s="2" t="s">
        <v>2280</v>
      </c>
    </row>
    <row r="291" spans="1:16" hidden="1">
      <c r="A291" s="2">
        <v>201908</v>
      </c>
      <c r="B291" s="3">
        <v>43683</v>
      </c>
      <c r="C291" s="2" t="s">
        <v>2267</v>
      </c>
      <c r="D291" s="2" t="s">
        <v>2221</v>
      </c>
      <c r="E291" s="2">
        <v>121.65</v>
      </c>
      <c r="F291" s="2" t="s">
        <v>7</v>
      </c>
      <c r="J291" s="2">
        <v>121.65</v>
      </c>
      <c r="K291" s="2" t="b">
        <v>0</v>
      </c>
      <c r="L291" s="2"/>
      <c r="M291" s="2"/>
      <c r="N291" s="4" t="s">
        <v>2259</v>
      </c>
      <c r="O291" s="4" t="str">
        <f>LEFT(Table2[[#This Row],[Description]],75)</f>
        <v>Xcel Energy</v>
      </c>
      <c r="P291" s="2"/>
    </row>
    <row r="292" spans="1:16" hidden="1">
      <c r="A292" s="2">
        <v>201908</v>
      </c>
      <c r="B292" s="3">
        <v>43684</v>
      </c>
      <c r="C292" s="2" t="s">
        <v>2265</v>
      </c>
      <c r="D292" s="2" t="s">
        <v>776</v>
      </c>
      <c r="E292" s="2">
        <v>299.23</v>
      </c>
      <c r="F292" s="2" t="s">
        <v>9</v>
      </c>
      <c r="J292" s="2">
        <v>299.23</v>
      </c>
      <c r="K292" s="2" t="b">
        <v>0</v>
      </c>
      <c r="L292" s="2"/>
      <c r="M292" s="2"/>
      <c r="N292" s="4" t="s">
        <v>2259</v>
      </c>
      <c r="O292" s="4" t="str">
        <f>LEFT(Table2[[#This Row],[Description]],75)</f>
        <v>DISCOVER TYPE EPAYMENT ID CO DISCOVER ACH ECC WEB ACH Trace 78971 241622915</v>
      </c>
      <c r="P292" s="2" t="s">
        <v>2293</v>
      </c>
    </row>
    <row r="293" spans="1:16" hidden="1">
      <c r="A293" s="2">
        <v>201908</v>
      </c>
      <c r="B293" s="3">
        <v>43684</v>
      </c>
      <c r="C293" s="2" t="s">
        <v>2267</v>
      </c>
      <c r="D293" s="2" t="s">
        <v>776</v>
      </c>
      <c r="E293" s="2">
        <v>299.23</v>
      </c>
      <c r="F293" s="2" t="s">
        <v>9</v>
      </c>
      <c r="J293" s="2">
        <v>299.23</v>
      </c>
      <c r="K293" s="2" t="b">
        <v>0</v>
      </c>
      <c r="L293" s="2"/>
      <c r="M293" s="2"/>
      <c r="N293" s="4" t="s">
        <v>2259</v>
      </c>
      <c r="O293" s="4" t="str">
        <f>LEFT(Table2[[#This Row],[Description]],75)</f>
        <v>DISCOVER TYPE EPAYMENT ID CO DISCOVER ACH ECC WEB ACH Trace 78971 241622915</v>
      </c>
      <c r="P293" s="2"/>
    </row>
    <row r="294" spans="1:16" hidden="1">
      <c r="A294" s="2">
        <v>201908</v>
      </c>
      <c r="B294" s="3">
        <v>43684</v>
      </c>
      <c r="C294" s="2" t="s">
        <v>2262</v>
      </c>
      <c r="D294" s="2" t="s">
        <v>253</v>
      </c>
      <c r="E294" s="2">
        <v>43.3</v>
      </c>
      <c r="F294" s="2" t="s">
        <v>26</v>
      </c>
      <c r="J294" s="2">
        <v>43.3</v>
      </c>
      <c r="K294" s="2" t="b">
        <v>0</v>
      </c>
      <c r="L294" s="2"/>
      <c r="M294" s="2"/>
      <c r="N294" s="4" t="s">
        <v>2259</v>
      </c>
      <c r="O294" s="4" t="str">
        <f>LEFT(Table2[[#This Row],[Description]],75)</f>
        <v>Barrio Edina Edina MN 242552805</v>
      </c>
      <c r="P294" s="2"/>
    </row>
    <row r="295" spans="1:16" hidden="1">
      <c r="A295" s="2">
        <v>201908</v>
      </c>
      <c r="B295" s="3">
        <v>43684</v>
      </c>
      <c r="C295" s="2" t="s">
        <v>2262</v>
      </c>
      <c r="D295" s="2" t="s">
        <v>338</v>
      </c>
      <c r="E295" s="2">
        <v>41.68</v>
      </c>
      <c r="F295" s="2" t="s">
        <v>28</v>
      </c>
      <c r="J295" s="2">
        <v>41.68</v>
      </c>
      <c r="K295" s="2" t="b">
        <v>0</v>
      </c>
      <c r="L295" s="2"/>
      <c r="M295" s="2"/>
      <c r="N295" s="4" t="s">
        <v>2259</v>
      </c>
      <c r="O295" s="4" t="str">
        <f>LEFT(Table2[[#This Row],[Description]],75)</f>
        <v>Byerly's</v>
      </c>
      <c r="P295" s="2"/>
    </row>
    <row r="296" spans="1:16" hidden="1">
      <c r="A296" s="2">
        <v>201908</v>
      </c>
      <c r="B296" s="3">
        <v>43684</v>
      </c>
      <c r="C296" s="2" t="s">
        <v>2265</v>
      </c>
      <c r="D296" s="2" t="s">
        <v>398</v>
      </c>
      <c r="E296" s="2">
        <v>-2496.6799999999998</v>
      </c>
      <c r="F296" s="2" t="s">
        <v>65</v>
      </c>
      <c r="J296" s="2">
        <v>2496.6799999999998</v>
      </c>
      <c r="K296" s="2" t="b">
        <v>0</v>
      </c>
      <c r="L296" s="2"/>
      <c r="M296" s="2"/>
      <c r="N296" s="4" t="s">
        <v>2273</v>
      </c>
      <c r="O296" s="4" t="str">
        <f>LEFT(Table2[[#This Row],[Description]],75)</f>
        <v xml:space="preserve">CARGILL COCOA TYPE DIR DEP ID CO CARGILL COCOA ACH ECC PPD ACH Trace 95144 </v>
      </c>
      <c r="P296" s="2" t="s">
        <v>2284</v>
      </c>
    </row>
    <row r="297" spans="1:16" hidden="1">
      <c r="A297" s="2">
        <v>201908</v>
      </c>
      <c r="B297" s="3">
        <v>43684</v>
      </c>
      <c r="C297" s="2" t="s">
        <v>2267</v>
      </c>
      <c r="D297" s="2" t="s">
        <v>398</v>
      </c>
      <c r="E297" s="2">
        <v>-2496.6799999999998</v>
      </c>
      <c r="F297" s="2" t="s">
        <v>65</v>
      </c>
      <c r="J297" s="2">
        <v>2496.6799999999998</v>
      </c>
      <c r="K297" s="2" t="b">
        <v>0</v>
      </c>
      <c r="L297" s="2"/>
      <c r="M297" s="2"/>
      <c r="N297" s="2" t="s">
        <v>2264</v>
      </c>
      <c r="O297" s="2" t="str">
        <f>LEFT(Table2[[#This Row],[Description]],75)</f>
        <v xml:space="preserve">CARGILL COCOA TYPE DIR DEP ID CO CARGILL COCOA ACH ECC PPD ACH Trace 95144 </v>
      </c>
      <c r="P297" s="2"/>
    </row>
    <row r="298" spans="1:16" hidden="1">
      <c r="A298" s="2">
        <v>201908</v>
      </c>
      <c r="B298" s="3">
        <v>43684</v>
      </c>
      <c r="C298" s="2" t="s">
        <v>2265</v>
      </c>
      <c r="D298" s="2" t="s">
        <v>473</v>
      </c>
      <c r="E298" s="2">
        <v>275</v>
      </c>
      <c r="F298" s="2" t="s">
        <v>20</v>
      </c>
      <c r="J298" s="2">
        <v>275</v>
      </c>
      <c r="K298" s="2" t="b">
        <v>0</v>
      </c>
      <c r="L298" s="2"/>
      <c r="M298" s="2"/>
      <c r="N298" s="4" t="s">
        <v>2259</v>
      </c>
      <c r="O298" s="4" t="str">
        <f>LEFT(Table2[[#This Row],[Description]],75)</f>
        <v>CCLC TYPE INTERNET ID CO CCLC ACH ECC WEB ACH Trace 43624 241622914</v>
      </c>
      <c r="P298" s="2" t="s">
        <v>2268</v>
      </c>
    </row>
    <row r="299" spans="1:16" hidden="1">
      <c r="A299" s="2">
        <v>201908</v>
      </c>
      <c r="B299" s="3">
        <v>43684</v>
      </c>
      <c r="C299" s="2" t="s">
        <v>2267</v>
      </c>
      <c r="D299" s="2" t="s">
        <v>473</v>
      </c>
      <c r="E299" s="2">
        <v>275</v>
      </c>
      <c r="F299" s="2" t="s">
        <v>20</v>
      </c>
      <c r="J299" s="2">
        <v>275</v>
      </c>
      <c r="K299" s="2" t="b">
        <v>0</v>
      </c>
      <c r="L299" s="2"/>
      <c r="M299" s="2"/>
      <c r="N299" s="4" t="s">
        <v>2259</v>
      </c>
      <c r="O299" s="4" t="str">
        <f>LEFT(Table2[[#This Row],[Description]],75)</f>
        <v>CCLC TYPE INTERNET ID CO CCLC ACH ECC WEB ACH Trace 43624 241622914</v>
      </c>
      <c r="P299" s="2"/>
    </row>
    <row r="300" spans="1:16" hidden="1">
      <c r="A300" s="2">
        <v>201908</v>
      </c>
      <c r="B300" s="3">
        <v>43684</v>
      </c>
      <c r="C300" s="2" t="s">
        <v>2265</v>
      </c>
      <c r="D300" s="2" t="s">
        <v>658</v>
      </c>
      <c r="E300" s="2">
        <v>46.9</v>
      </c>
      <c r="F300" s="2" t="s">
        <v>7</v>
      </c>
      <c r="J300" s="2">
        <v>46.9</v>
      </c>
      <c r="K300" s="2" t="b">
        <v>0</v>
      </c>
      <c r="L300" s="2"/>
      <c r="M300" s="2"/>
      <c r="N300" s="4" t="s">
        <v>2259</v>
      </c>
      <c r="O300" s="4" t="str">
        <f>LEFT(Table2[[#This Row],[Description]],75)</f>
        <v xml:space="preserve">CPENERGY MNGCO TYPE MGC ACH EB ID 176051140S CO CPENERGY MNGCO ACH ECC WEB </v>
      </c>
      <c r="P300" s="2" t="s">
        <v>2319</v>
      </c>
    </row>
    <row r="301" spans="1:16" hidden="1">
      <c r="A301" s="2">
        <v>201908</v>
      </c>
      <c r="B301" s="3">
        <v>43684</v>
      </c>
      <c r="C301" s="2" t="s">
        <v>2267</v>
      </c>
      <c r="D301" s="2" t="s">
        <v>658</v>
      </c>
      <c r="E301" s="2">
        <v>46.9</v>
      </c>
      <c r="F301" s="2" t="s">
        <v>7</v>
      </c>
      <c r="J301" s="2">
        <v>46.9</v>
      </c>
      <c r="K301" s="2" t="b">
        <v>0</v>
      </c>
      <c r="L301" s="2"/>
      <c r="M301" s="2"/>
      <c r="N301" s="4" t="s">
        <v>2259</v>
      </c>
      <c r="O301" s="4" t="str">
        <f>LEFT(Table2[[#This Row],[Description]],75)</f>
        <v xml:space="preserve">CPENERGY MNGCO TYPE MGC ACH EB ID 176051140S CO CPENERGY MNGCO ACH ECC WEB </v>
      </c>
      <c r="P301" s="2"/>
    </row>
    <row r="302" spans="1:16" hidden="1">
      <c r="A302" s="2">
        <v>201908</v>
      </c>
      <c r="B302" s="3">
        <v>43684</v>
      </c>
      <c r="C302" s="2" t="s">
        <v>64</v>
      </c>
      <c r="D302" s="2" t="s">
        <v>1139</v>
      </c>
      <c r="E302" s="2">
        <v>-13.26</v>
      </c>
      <c r="F302" s="2" t="s">
        <v>2</v>
      </c>
      <c r="J302" s="2">
        <v>13.26</v>
      </c>
      <c r="K302" s="2" t="b">
        <v>0</v>
      </c>
      <c r="L302" s="2"/>
      <c r="M302" s="2"/>
      <c r="N302" s="2" t="s">
        <v>2264</v>
      </c>
      <c r="O302" s="2" t="str">
        <f>LEFT(Table2[[#This Row],[Description]],75)</f>
        <v>LOWES COMPANIES INC</v>
      </c>
      <c r="P302" s="2"/>
    </row>
    <row r="303" spans="1:16" hidden="1">
      <c r="A303" s="2">
        <v>201908</v>
      </c>
      <c r="B303" s="3">
        <v>43684</v>
      </c>
      <c r="C303" s="2" t="s">
        <v>2317</v>
      </c>
      <c r="D303" s="2" t="s">
        <v>1139</v>
      </c>
      <c r="E303" s="2">
        <v>-13.26</v>
      </c>
      <c r="F303" s="2" t="s">
        <v>9</v>
      </c>
      <c r="J303" s="2">
        <v>13.26</v>
      </c>
      <c r="K303" s="2" t="b">
        <v>0</v>
      </c>
      <c r="L303" s="2"/>
      <c r="M303" s="2"/>
      <c r="N303" s="2" t="s">
        <v>2264</v>
      </c>
      <c r="O303" s="2" t="str">
        <f>LEFT(Table2[[#This Row],[Description]],75)</f>
        <v>LOWES COMPANIES INC</v>
      </c>
      <c r="P303" s="2"/>
    </row>
    <row r="304" spans="1:16" hidden="1">
      <c r="A304" s="2">
        <v>201908</v>
      </c>
      <c r="B304" s="3">
        <v>43684</v>
      </c>
      <c r="C304" s="2" t="s">
        <v>64</v>
      </c>
      <c r="D304" s="2" t="s">
        <v>2107</v>
      </c>
      <c r="E304" s="2">
        <v>4.37</v>
      </c>
      <c r="F304" s="2" t="s">
        <v>69</v>
      </c>
      <c r="J304" s="2">
        <v>4.37</v>
      </c>
      <c r="K304" s="2" t="b">
        <v>0</v>
      </c>
      <c r="L304" s="2"/>
      <c r="M304" s="2"/>
      <c r="N304" s="4" t="s">
        <v>2259</v>
      </c>
      <c r="O304" s="4" t="str">
        <f>LEFT(Table2[[#This Row],[Description]],75)</f>
        <v>VANGUARD INTRMDIAT TRM TRSRY ETF</v>
      </c>
      <c r="P304" s="2"/>
    </row>
    <row r="305" spans="1:16" hidden="1">
      <c r="A305" s="2">
        <v>201908</v>
      </c>
      <c r="B305" s="3">
        <v>43684</v>
      </c>
      <c r="C305" s="2" t="s">
        <v>2317</v>
      </c>
      <c r="D305" s="2" t="s">
        <v>2107</v>
      </c>
      <c r="E305" s="2">
        <v>4.37</v>
      </c>
      <c r="F305" s="2" t="s">
        <v>9</v>
      </c>
      <c r="J305" s="2">
        <v>4.37</v>
      </c>
      <c r="K305" s="2" t="b">
        <v>0</v>
      </c>
      <c r="L305" s="2"/>
      <c r="M305" s="2"/>
      <c r="N305" s="4" t="s">
        <v>2259</v>
      </c>
      <c r="O305" s="4" t="str">
        <f>LEFT(Table2[[#This Row],[Description]],75)</f>
        <v>VANGUARD INTRMDIAT TRM TRSRY ETF</v>
      </c>
      <c r="P305" s="2"/>
    </row>
    <row r="306" spans="1:16" hidden="1">
      <c r="A306" s="2">
        <v>201908</v>
      </c>
      <c r="B306" s="3">
        <v>43685</v>
      </c>
      <c r="C306" s="2" t="s">
        <v>2265</v>
      </c>
      <c r="D306" s="2" t="s">
        <v>425</v>
      </c>
      <c r="E306" s="2">
        <v>-61.3</v>
      </c>
      <c r="F306" s="2" t="s">
        <v>16</v>
      </c>
      <c r="J306" s="2">
        <v>61.3</v>
      </c>
      <c r="K306" s="2" t="b">
        <v>0</v>
      </c>
      <c r="L306" s="2"/>
      <c r="M306" s="2"/>
      <c r="N306" s="4" t="s">
        <v>2273</v>
      </c>
      <c r="O306" s="4" t="str">
        <f>LEFT(Table2[[#This Row],[Description]],75)</f>
        <v>Cargill Incorpor Type</v>
      </c>
      <c r="P306" s="2" t="s">
        <v>2282</v>
      </c>
    </row>
    <row r="307" spans="1:16" hidden="1">
      <c r="A307" s="2">
        <v>201908</v>
      </c>
      <c r="B307" s="3">
        <v>43685</v>
      </c>
      <c r="C307" s="2" t="s">
        <v>2267</v>
      </c>
      <c r="D307" s="2" t="s">
        <v>425</v>
      </c>
      <c r="E307" s="2">
        <v>-61.3</v>
      </c>
      <c r="F307" s="2" t="s">
        <v>16</v>
      </c>
      <c r="J307" s="2">
        <v>61.3</v>
      </c>
      <c r="K307" s="2" t="b">
        <v>0</v>
      </c>
      <c r="L307" s="2"/>
      <c r="M307" s="2"/>
      <c r="N307" s="2" t="s">
        <v>2264</v>
      </c>
      <c r="O307" s="2" t="str">
        <f>LEFT(Table2[[#This Row],[Description]],75)</f>
        <v>Cargill Incorpor Type</v>
      </c>
      <c r="P307" s="2"/>
    </row>
    <row r="308" spans="1:16" hidden="1">
      <c r="A308" s="2">
        <v>201908</v>
      </c>
      <c r="B308" s="3">
        <v>43685</v>
      </c>
      <c r="C308" s="2" t="s">
        <v>2258</v>
      </c>
      <c r="D308" s="2" t="s">
        <v>1103</v>
      </c>
      <c r="E308" s="2">
        <v>13.94</v>
      </c>
      <c r="F308" s="2" t="s">
        <v>26</v>
      </c>
      <c r="J308" s="2">
        <v>13.94</v>
      </c>
      <c r="K308" s="2" t="b">
        <v>0</v>
      </c>
      <c r="L308" s="2"/>
      <c r="M308" s="2"/>
      <c r="N308" s="4" t="s">
        <v>2259</v>
      </c>
      <c r="O308" s="4" t="str">
        <f>LEFT(Table2[[#This Row],[Description]],75)</f>
        <v>LEVELUP*ROTIMODERNMEDI 855-466-5585 MA90MB929M</v>
      </c>
      <c r="P308" s="2" t="s">
        <v>2320</v>
      </c>
    </row>
    <row r="309" spans="1:16" hidden="1">
      <c r="A309" s="2">
        <v>201908</v>
      </c>
      <c r="B309" s="3">
        <v>43685</v>
      </c>
      <c r="C309" s="2" t="s">
        <v>2261</v>
      </c>
      <c r="D309" s="2" t="s">
        <v>1103</v>
      </c>
      <c r="E309" s="2">
        <v>13.94</v>
      </c>
      <c r="F309" s="2" t="s">
        <v>26</v>
      </c>
      <c r="J309" s="2">
        <v>13.94</v>
      </c>
      <c r="K309" s="2" t="b">
        <v>0</v>
      </c>
      <c r="L309" s="2"/>
      <c r="M309" s="2"/>
      <c r="N309" s="4" t="s">
        <v>2259</v>
      </c>
      <c r="O309" s="4" t="str">
        <f>LEFT(Table2[[#This Row],[Description]],75)</f>
        <v>LEVELUP*ROTIMODERNMEDI 855-466-5585 MA90MB929M</v>
      </c>
      <c r="P309" s="2"/>
    </row>
    <row r="310" spans="1:16" hidden="1">
      <c r="A310" s="2">
        <v>201908</v>
      </c>
      <c r="B310" s="3">
        <v>43685</v>
      </c>
      <c r="C310" s="2" t="s">
        <v>64</v>
      </c>
      <c r="D310" s="2" t="s">
        <v>1139</v>
      </c>
      <c r="E310" s="2">
        <v>13.26</v>
      </c>
      <c r="F310" s="2" t="s">
        <v>2</v>
      </c>
      <c r="J310" s="2">
        <v>13.26</v>
      </c>
      <c r="K310" s="2" t="b">
        <v>0</v>
      </c>
      <c r="L310" s="2"/>
      <c r="M310" s="2"/>
      <c r="N310" s="4" t="s">
        <v>2259</v>
      </c>
      <c r="O310" s="4" t="str">
        <f>LEFT(Table2[[#This Row],[Description]],75)</f>
        <v>LOWES COMPANIES INC</v>
      </c>
      <c r="P310" s="2"/>
    </row>
    <row r="311" spans="1:16" hidden="1">
      <c r="A311" s="2">
        <v>201908</v>
      </c>
      <c r="B311" s="3">
        <v>43685</v>
      </c>
      <c r="C311" s="2" t="s">
        <v>2317</v>
      </c>
      <c r="D311" s="2" t="s">
        <v>1139</v>
      </c>
      <c r="E311" s="2">
        <v>13.26</v>
      </c>
      <c r="F311" s="2" t="s">
        <v>9</v>
      </c>
      <c r="J311" s="2">
        <v>13.26</v>
      </c>
      <c r="K311" s="2" t="b">
        <v>0</v>
      </c>
      <c r="L311" s="2"/>
      <c r="M311" s="2"/>
      <c r="N311" s="4" t="s">
        <v>2259</v>
      </c>
      <c r="O311" s="4" t="str">
        <f>LEFT(Table2[[#This Row],[Description]],75)</f>
        <v>LOWES COMPANIES INC</v>
      </c>
      <c r="P311" s="2"/>
    </row>
    <row r="312" spans="1:16" hidden="1">
      <c r="A312" s="2">
        <v>201908</v>
      </c>
      <c r="B312" s="3">
        <v>43685</v>
      </c>
      <c r="C312" s="2" t="s">
        <v>2262</v>
      </c>
      <c r="D312" s="2" t="s">
        <v>1407</v>
      </c>
      <c r="E312" s="2">
        <v>8.57</v>
      </c>
      <c r="F312" s="2" t="s">
        <v>21</v>
      </c>
      <c r="J312" s="2">
        <v>8.57</v>
      </c>
      <c r="K312" s="2" t="b">
        <v>0</v>
      </c>
      <c r="L312" s="2"/>
      <c r="M312" s="2"/>
      <c r="N312" s="4" t="s">
        <v>2259</v>
      </c>
      <c r="O312" s="4" t="str">
        <f>LEFT(Table2[[#This Row],[Description]],75)</f>
        <v>Party City</v>
      </c>
      <c r="P312" s="2"/>
    </row>
    <row r="313" spans="1:16" hidden="1">
      <c r="A313" s="2">
        <v>201908</v>
      </c>
      <c r="B313" s="3">
        <v>43686</v>
      </c>
      <c r="C313" s="2" t="s">
        <v>2274</v>
      </c>
      <c r="D313" s="2" t="s">
        <v>975</v>
      </c>
      <c r="E313" s="2">
        <v>7.43</v>
      </c>
      <c r="F313" s="2" t="s">
        <v>9</v>
      </c>
      <c r="J313" s="2">
        <v>7.43</v>
      </c>
      <c r="K313" s="2" t="b">
        <v>0</v>
      </c>
      <c r="L313" s="2"/>
      <c r="M313" s="2"/>
      <c r="N313" s="4" t="s">
        <v>2259</v>
      </c>
      <c r="O313" s="4" t="str">
        <f>LEFT(Table2[[#This Row],[Description]],75)</f>
        <v>INST XFER 190808</v>
      </c>
      <c r="P313" s="2"/>
    </row>
    <row r="314" spans="1:16" hidden="1">
      <c r="A314" s="2">
        <v>201908</v>
      </c>
      <c r="B314" s="3">
        <v>43686</v>
      </c>
      <c r="C314" s="2" t="s">
        <v>2277</v>
      </c>
      <c r="D314" s="2" t="s">
        <v>1834</v>
      </c>
      <c r="E314" s="2">
        <v>-150</v>
      </c>
      <c r="F314" s="2" t="s">
        <v>57</v>
      </c>
      <c r="J314" s="2">
        <v>150</v>
      </c>
      <c r="K314" s="2" t="b">
        <v>0</v>
      </c>
      <c r="L314" s="2"/>
      <c r="M314" s="2"/>
      <c r="N314" s="2" t="s">
        <v>2264</v>
      </c>
      <c r="O314" s="2" t="str">
        <f>LEFT(Table2[[#This Row],[Description]],75)</f>
        <v>Tfr JPMORGAN CHASE BAN, CARGILL COCOA &amp;</v>
      </c>
      <c r="P314" s="2"/>
    </row>
    <row r="315" spans="1:16" hidden="1">
      <c r="A315" s="2">
        <v>201908</v>
      </c>
      <c r="B315" s="3">
        <v>43688</v>
      </c>
      <c r="C315" s="2" t="s">
        <v>2262</v>
      </c>
      <c r="D315" s="2" t="s">
        <v>831</v>
      </c>
      <c r="E315" s="2">
        <v>27.6</v>
      </c>
      <c r="F315" s="2" t="s">
        <v>26</v>
      </c>
      <c r="J315" s="2">
        <v>27.6</v>
      </c>
      <c r="K315" s="2" t="b">
        <v>0</v>
      </c>
      <c r="L315" s="2"/>
      <c r="M315" s="2"/>
      <c r="N315" s="4" t="s">
        <v>2259</v>
      </c>
      <c r="O315" s="4" t="str">
        <f>LEFT(Table2[[#This Row],[Description]],75)</f>
        <v>Excelsior Brewing</v>
      </c>
      <c r="P315" s="2"/>
    </row>
    <row r="316" spans="1:16" hidden="1">
      <c r="A316" s="2">
        <v>201908</v>
      </c>
      <c r="B316" s="3">
        <v>43688</v>
      </c>
      <c r="C316" s="2" t="s">
        <v>2262</v>
      </c>
      <c r="D316" s="2" t="s">
        <v>1931</v>
      </c>
      <c r="E316" s="2">
        <v>99.74</v>
      </c>
      <c r="F316" s="2" t="s">
        <v>28</v>
      </c>
      <c r="J316" s="2">
        <v>99.74</v>
      </c>
      <c r="K316" s="2" t="b">
        <v>0</v>
      </c>
      <c r="L316" s="2"/>
      <c r="M316" s="2"/>
      <c r="N316" s="4" t="s">
        <v>2259</v>
      </c>
      <c r="O316" s="4" t="str">
        <f>LEFT(Table2[[#This Row],[Description]],75)</f>
        <v>Trader Joe's</v>
      </c>
      <c r="P316" s="2"/>
    </row>
    <row r="317" spans="1:16" hidden="1">
      <c r="A317" s="2">
        <v>201908</v>
      </c>
      <c r="B317" s="3">
        <v>43689</v>
      </c>
      <c r="C317" s="2" t="s">
        <v>2271</v>
      </c>
      <c r="D317" s="2" t="s">
        <v>820</v>
      </c>
      <c r="E317" s="2">
        <v>-63.52</v>
      </c>
      <c r="F317" s="2" t="s">
        <v>9</v>
      </c>
      <c r="J317" s="2">
        <v>63.52</v>
      </c>
      <c r="K317" s="2" t="b">
        <v>0</v>
      </c>
      <c r="L317" s="2"/>
      <c r="M317" s="2"/>
      <c r="N317" s="2" t="s">
        <v>2264</v>
      </c>
      <c r="O317" s="2" t="str">
        <f>LEFT(Table2[[#This Row],[Description]],75)</f>
        <v>E-PAYMENT, TARGET.COM 79999999224001922632243</v>
      </c>
      <c r="P317" s="2"/>
    </row>
    <row r="318" spans="1:16" hidden="1">
      <c r="A318" s="2">
        <v>201908</v>
      </c>
      <c r="B318" s="3">
        <v>43689</v>
      </c>
      <c r="C318" s="2" t="s">
        <v>2271</v>
      </c>
      <c r="D318" s="2" t="s">
        <v>500</v>
      </c>
      <c r="E318" s="2">
        <v>93.33</v>
      </c>
      <c r="F318" s="2" t="s">
        <v>21</v>
      </c>
      <c r="J318" s="2">
        <v>93.33</v>
      </c>
      <c r="K318" s="2" t="b">
        <v>0</v>
      </c>
      <c r="L318" s="2"/>
      <c r="M318" s="2"/>
      <c r="N318" s="4" t="s">
        <v>2259</v>
      </c>
      <c r="O318" s="4" t="str">
        <f>LEFT(Table2[[#This Row],[Description]],75)</f>
        <v>CENTRAL CHECKOUT 79999999225086207542752</v>
      </c>
      <c r="P318" s="2"/>
    </row>
    <row r="319" spans="1:16" hidden="1">
      <c r="A319" s="2">
        <v>201908</v>
      </c>
      <c r="B319" s="3">
        <v>43689</v>
      </c>
      <c r="C319" s="2" t="s">
        <v>2271</v>
      </c>
      <c r="D319" s="2" t="s">
        <v>501</v>
      </c>
      <c r="E319" s="2">
        <v>-7.13</v>
      </c>
      <c r="F319" s="2" t="s">
        <v>21</v>
      </c>
      <c r="J319" s="2">
        <v>7.13</v>
      </c>
      <c r="K319" s="2" t="b">
        <v>0</v>
      </c>
      <c r="L319" s="2"/>
      <c r="M319" s="2"/>
      <c r="N319" s="2" t="s">
        <v>2264</v>
      </c>
      <c r="O319" s="2" t="str">
        <f>LEFT(Table2[[#This Row],[Description]],75)</f>
        <v>CENTRAL CHECKOUT 79999999225086212599979</v>
      </c>
      <c r="P319" s="2"/>
    </row>
    <row r="320" spans="1:16" hidden="1">
      <c r="A320" s="2">
        <v>201908</v>
      </c>
      <c r="B320" s="3">
        <v>43689</v>
      </c>
      <c r="C320" s="2" t="s">
        <v>2265</v>
      </c>
      <c r="D320" s="2" t="s">
        <v>2075</v>
      </c>
      <c r="E320" s="2">
        <v>-0.12</v>
      </c>
      <c r="F320" s="2" t="s">
        <v>9</v>
      </c>
      <c r="J320" s="2">
        <v>0.12</v>
      </c>
      <c r="K320" s="2" t="b">
        <v>0</v>
      </c>
      <c r="L320" s="2"/>
      <c r="M320" s="2"/>
      <c r="N320" s="4" t="s">
        <v>2273</v>
      </c>
      <c r="O320" s="4" t="str">
        <f>LEFT(Table2[[#This Row],[Description]],75)</f>
        <v>Type Verifybank Id</v>
      </c>
      <c r="P320" s="2" t="s">
        <v>2321</v>
      </c>
    </row>
    <row r="321" spans="1:16" hidden="1">
      <c r="A321" s="2">
        <v>201908</v>
      </c>
      <c r="B321" s="3">
        <v>43689</v>
      </c>
      <c r="C321" s="2" t="s">
        <v>2267</v>
      </c>
      <c r="D321" s="2" t="s">
        <v>2075</v>
      </c>
      <c r="E321" s="2">
        <v>-0.12</v>
      </c>
      <c r="F321" s="2" t="s">
        <v>9</v>
      </c>
      <c r="J321" s="2">
        <v>0.12</v>
      </c>
      <c r="K321" s="2" t="b">
        <v>0</v>
      </c>
      <c r="L321" s="2"/>
      <c r="M321" s="2"/>
      <c r="N321" s="2" t="s">
        <v>2264</v>
      </c>
      <c r="O321" s="2" t="str">
        <f>LEFT(Table2[[#This Row],[Description]],75)</f>
        <v>Type Verifybank Id</v>
      </c>
      <c r="P321" s="2"/>
    </row>
    <row r="322" spans="1:16" hidden="1">
      <c r="A322" s="2">
        <v>201908</v>
      </c>
      <c r="B322" s="3">
        <v>43690</v>
      </c>
      <c r="C322" s="2" t="s">
        <v>2265</v>
      </c>
      <c r="D322" s="2" t="s">
        <v>1471</v>
      </c>
      <c r="E322" s="2">
        <v>0.12</v>
      </c>
      <c r="F322" s="2" t="s">
        <v>21</v>
      </c>
      <c r="J322" s="2">
        <v>0.12</v>
      </c>
      <c r="K322" s="2" t="b">
        <v>0</v>
      </c>
      <c r="L322" s="2"/>
      <c r="M322" s="2"/>
      <c r="N322" s="4" t="s">
        <v>2259</v>
      </c>
      <c r="O322" s="4" t="str">
        <f>LEFT(Table2[[#This Row],[Description]],75)</f>
        <v>PayPal</v>
      </c>
      <c r="P322" s="2" t="s">
        <v>2322</v>
      </c>
    </row>
    <row r="323" spans="1:16" hidden="1">
      <c r="A323" s="2">
        <v>201908</v>
      </c>
      <c r="B323" s="3">
        <v>43690</v>
      </c>
      <c r="C323" s="2" t="s">
        <v>2267</v>
      </c>
      <c r="D323" s="2" t="s">
        <v>1471</v>
      </c>
      <c r="E323" s="2">
        <v>0.12</v>
      </c>
      <c r="F323" s="2" t="s">
        <v>21</v>
      </c>
      <c r="J323" s="2">
        <v>0.12</v>
      </c>
      <c r="K323" s="2" t="b">
        <v>0</v>
      </c>
      <c r="L323" s="2"/>
      <c r="M323" s="2"/>
      <c r="N323" s="4" t="s">
        <v>2259</v>
      </c>
      <c r="O323" s="4" t="str">
        <f>LEFT(Table2[[#This Row],[Description]],75)</f>
        <v>PayPal</v>
      </c>
      <c r="P323" s="2"/>
    </row>
    <row r="324" spans="1:16" hidden="1">
      <c r="A324" s="2">
        <v>201908</v>
      </c>
      <c r="B324" s="3">
        <v>43690</v>
      </c>
      <c r="C324" s="2" t="s">
        <v>2265</v>
      </c>
      <c r="D324" s="2" t="s">
        <v>31</v>
      </c>
      <c r="E324" s="2">
        <v>63.52</v>
      </c>
      <c r="F324" s="2" t="s">
        <v>31</v>
      </c>
      <c r="J324" s="2">
        <v>63.52</v>
      </c>
      <c r="K324" s="2" t="b">
        <v>0</v>
      </c>
      <c r="L324" s="2"/>
      <c r="M324" s="2"/>
      <c r="N324" s="4" t="s">
        <v>2259</v>
      </c>
      <c r="O324" s="4" t="str">
        <f>LEFT(Table2[[#This Row],[Description]],75)</f>
        <v>Target</v>
      </c>
      <c r="P324" s="2" t="s">
        <v>2309</v>
      </c>
    </row>
    <row r="325" spans="1:16" hidden="1">
      <c r="A325" s="2">
        <v>201908</v>
      </c>
      <c r="B325" s="3">
        <v>43690</v>
      </c>
      <c r="C325" s="2" t="s">
        <v>2267</v>
      </c>
      <c r="D325" s="2" t="s">
        <v>31</v>
      </c>
      <c r="E325" s="2">
        <v>63.52</v>
      </c>
      <c r="F325" s="2" t="s">
        <v>31</v>
      </c>
      <c r="J325" s="2">
        <v>63.52</v>
      </c>
      <c r="K325" s="2" t="b">
        <v>0</v>
      </c>
      <c r="L325" s="2"/>
      <c r="M325" s="2"/>
      <c r="N325" s="4" t="s">
        <v>2259</v>
      </c>
      <c r="O325" s="4" t="str">
        <f>LEFT(Table2[[#This Row],[Description]],75)</f>
        <v>Target</v>
      </c>
      <c r="P325" s="2"/>
    </row>
    <row r="326" spans="1:16" hidden="1">
      <c r="A326" s="2">
        <v>201908</v>
      </c>
      <c r="B326" s="3">
        <v>43690</v>
      </c>
      <c r="C326" s="2" t="s">
        <v>2265</v>
      </c>
      <c r="D326" s="2" t="s">
        <v>1933</v>
      </c>
      <c r="E326" s="2">
        <v>-183.46</v>
      </c>
      <c r="F326" s="2">
        <v>0</v>
      </c>
      <c r="J326" s="2">
        <v>183.46</v>
      </c>
      <c r="K326" s="2" t="b">
        <v>0</v>
      </c>
      <c r="L326" s="2"/>
      <c r="M326" s="2"/>
      <c r="N326" s="4" t="s">
        <v>2273</v>
      </c>
      <c r="O326" s="4" t="str">
        <f>LEFT(Table2[[#This Row],[Description]],75)</f>
        <v>Transfer from Cash Rewards Visa Signature</v>
      </c>
      <c r="P326" s="2"/>
    </row>
    <row r="327" spans="1:16" hidden="1">
      <c r="A327" s="2">
        <v>201908</v>
      </c>
      <c r="B327" s="3">
        <v>43690</v>
      </c>
      <c r="C327" s="2" t="s">
        <v>2267</v>
      </c>
      <c r="D327" s="2" t="s">
        <v>1933</v>
      </c>
      <c r="E327" s="2">
        <v>-183.46</v>
      </c>
      <c r="F327" s="2" t="s">
        <v>16</v>
      </c>
      <c r="J327" s="2">
        <v>183.46</v>
      </c>
      <c r="K327" s="2" t="b">
        <v>0</v>
      </c>
      <c r="L327" s="2"/>
      <c r="M327" s="2"/>
      <c r="N327" s="2" t="s">
        <v>2264</v>
      </c>
      <c r="O327" s="2" t="str">
        <f>LEFT(Table2[[#This Row],[Description]],75)</f>
        <v>Transfer from Cash Rewards Visa Signature</v>
      </c>
      <c r="P327" s="2"/>
    </row>
    <row r="328" spans="1:16" hidden="1">
      <c r="A328" s="2">
        <v>201908</v>
      </c>
      <c r="B328" s="3">
        <v>43690</v>
      </c>
      <c r="C328" s="2" t="s">
        <v>2262</v>
      </c>
      <c r="D328" s="2" t="s">
        <v>1956</v>
      </c>
      <c r="E328" s="2">
        <v>183.46</v>
      </c>
      <c r="F328" s="2" t="s">
        <v>9</v>
      </c>
      <c r="J328" s="2">
        <v>183.46</v>
      </c>
      <c r="K328" s="2" t="b">
        <v>0</v>
      </c>
      <c r="L328" s="2"/>
      <c r="M328" s="2"/>
      <c r="N328" s="4" t="s">
        <v>2259</v>
      </c>
      <c r="O328" s="4" t="str">
        <f>LEFT(Table2[[#This Row],[Description]],75)</f>
        <v>Transfer to POWERPLUS CHECKING</v>
      </c>
      <c r="P328" s="2"/>
    </row>
    <row r="329" spans="1:16" hidden="1">
      <c r="A329" s="2">
        <v>201908</v>
      </c>
      <c r="B329" s="3">
        <v>43690</v>
      </c>
      <c r="C329" s="2" t="s">
        <v>2265</v>
      </c>
      <c r="D329" s="2" t="s">
        <v>2093</v>
      </c>
      <c r="E329" s="2">
        <v>203</v>
      </c>
      <c r="F329" s="2">
        <v>0</v>
      </c>
      <c r="J329" s="2">
        <v>203</v>
      </c>
      <c r="K329" s="2" t="b">
        <v>0</v>
      </c>
      <c r="L329" s="2"/>
      <c r="M329" s="2"/>
      <c r="N329" s="4" t="s">
        <v>2259</v>
      </c>
      <c r="O329" s="4" t="str">
        <f>LEFT(Table2[[#This Row],[Description]],75)</f>
        <v>US Bank</v>
      </c>
      <c r="P329" s="2"/>
    </row>
    <row r="330" spans="1:16" hidden="1">
      <c r="A330" s="2">
        <v>201908</v>
      </c>
      <c r="B330" s="3">
        <v>43690</v>
      </c>
      <c r="C330" s="2" t="s">
        <v>2267</v>
      </c>
      <c r="D330" s="2" t="s">
        <v>2093</v>
      </c>
      <c r="E330" s="2">
        <v>203</v>
      </c>
      <c r="F330" s="2" t="s">
        <v>40</v>
      </c>
      <c r="J330" s="2">
        <v>203</v>
      </c>
      <c r="K330" s="2" t="b">
        <v>0</v>
      </c>
      <c r="L330" s="2"/>
      <c r="M330" s="2"/>
      <c r="N330" s="4" t="s">
        <v>2259</v>
      </c>
      <c r="O330" s="4" t="str">
        <f>LEFT(Table2[[#This Row],[Description]],75)</f>
        <v>US Bank</v>
      </c>
      <c r="P330" s="2"/>
    </row>
    <row r="331" spans="1:16" hidden="1">
      <c r="A331" s="2">
        <v>201908</v>
      </c>
      <c r="B331" s="3">
        <v>43690</v>
      </c>
      <c r="C331" s="2" t="s">
        <v>2265</v>
      </c>
      <c r="D331" s="2" t="s">
        <v>2109</v>
      </c>
      <c r="E331" s="2">
        <v>130</v>
      </c>
      <c r="F331" s="2">
        <v>0</v>
      </c>
      <c r="J331" s="2">
        <v>130</v>
      </c>
      <c r="K331" s="2" t="b">
        <v>0</v>
      </c>
      <c r="L331" s="2"/>
      <c r="M331" s="2"/>
      <c r="N331" s="4" t="s">
        <v>2259</v>
      </c>
      <c r="O331" s="4" t="str">
        <f>LEFT(Table2[[#This Row],[Description]],75)</f>
        <v>Venmo</v>
      </c>
      <c r="P331" s="2"/>
    </row>
    <row r="332" spans="1:16" hidden="1">
      <c r="A332" s="2">
        <v>201908</v>
      </c>
      <c r="B332" s="3">
        <v>43690</v>
      </c>
      <c r="C332" s="2" t="s">
        <v>2267</v>
      </c>
      <c r="D332" s="2" t="s">
        <v>2109</v>
      </c>
      <c r="E332" s="2">
        <v>130</v>
      </c>
      <c r="F332" s="2" t="s">
        <v>21</v>
      </c>
      <c r="J332" s="2">
        <v>130</v>
      </c>
      <c r="K332" s="2" t="b">
        <v>0</v>
      </c>
      <c r="L332" s="2"/>
      <c r="M332" s="2"/>
      <c r="N332" s="4" t="s">
        <v>2259</v>
      </c>
      <c r="O332" s="4" t="str">
        <f>LEFT(Table2[[#This Row],[Description]],75)</f>
        <v>Venmo</v>
      </c>
      <c r="P332" s="2"/>
    </row>
    <row r="333" spans="1:16" hidden="1">
      <c r="A333" s="2">
        <v>201908</v>
      </c>
      <c r="B333" s="3">
        <v>43691</v>
      </c>
      <c r="C333" s="2" t="s">
        <v>2265</v>
      </c>
      <c r="D333" s="2" t="s">
        <v>131</v>
      </c>
      <c r="E333" s="2">
        <v>99.03</v>
      </c>
      <c r="F333" s="2" t="s">
        <v>18</v>
      </c>
      <c r="J333" s="2">
        <v>99.03</v>
      </c>
      <c r="K333" s="2" t="b">
        <v>0</v>
      </c>
      <c r="L333" s="2"/>
      <c r="M333" s="2"/>
      <c r="N333" s="4" t="s">
        <v>2259</v>
      </c>
      <c r="O333" s="4" t="str">
        <f>LEFT(Table2[[#This Row],[Description]],75)</f>
        <v>American Family Insurance</v>
      </c>
      <c r="P333" s="2" t="s">
        <v>2286</v>
      </c>
    </row>
    <row r="334" spans="1:16" hidden="1">
      <c r="A334" s="2">
        <v>201908</v>
      </c>
      <c r="B334" s="3">
        <v>43691</v>
      </c>
      <c r="C334" s="2" t="s">
        <v>2267</v>
      </c>
      <c r="D334" s="2" t="s">
        <v>131</v>
      </c>
      <c r="E334" s="2">
        <v>99.03</v>
      </c>
      <c r="F334" s="2" t="s">
        <v>18</v>
      </c>
      <c r="J334" s="2">
        <v>99.03</v>
      </c>
      <c r="K334" s="2" t="b">
        <v>0</v>
      </c>
      <c r="L334" s="2"/>
      <c r="M334" s="2"/>
      <c r="N334" s="4" t="s">
        <v>2259</v>
      </c>
      <c r="O334" s="4" t="str">
        <f>LEFT(Table2[[#This Row],[Description]],75)</f>
        <v>American Family Insurance</v>
      </c>
      <c r="P334" s="2"/>
    </row>
    <row r="335" spans="1:16" hidden="1">
      <c r="A335" s="2">
        <v>201908</v>
      </c>
      <c r="B335" s="3">
        <v>43691</v>
      </c>
      <c r="C335" s="2" t="s">
        <v>2258</v>
      </c>
      <c r="D335" s="2" t="s">
        <v>348</v>
      </c>
      <c r="E335" s="2">
        <v>6.86</v>
      </c>
      <c r="F335" s="2" t="s">
        <v>26</v>
      </c>
      <c r="J335" s="2">
        <v>6.86</v>
      </c>
      <c r="K335" s="2" t="b">
        <v>0</v>
      </c>
      <c r="L335" s="2"/>
      <c r="M335" s="2"/>
      <c r="N335" s="4" t="s">
        <v>2259</v>
      </c>
      <c r="O335" s="4" t="str">
        <f>LEFT(Table2[[#This Row],[Description]],75)</f>
        <v>CARGILL CAF20014981579 WAYZATA MN</v>
      </c>
      <c r="P335" s="2" t="s">
        <v>2323</v>
      </c>
    </row>
    <row r="336" spans="1:16" hidden="1">
      <c r="A336" s="2">
        <v>201908</v>
      </c>
      <c r="B336" s="3">
        <v>43691</v>
      </c>
      <c r="C336" s="2" t="s">
        <v>2261</v>
      </c>
      <c r="D336" s="2" t="s">
        <v>348</v>
      </c>
      <c r="E336" s="2">
        <v>6.86</v>
      </c>
      <c r="F336" s="2" t="s">
        <v>26</v>
      </c>
      <c r="J336" s="2">
        <v>6.86</v>
      </c>
      <c r="K336" s="2" t="b">
        <v>0</v>
      </c>
      <c r="L336" s="2"/>
      <c r="M336" s="2"/>
      <c r="N336" s="4" t="s">
        <v>2259</v>
      </c>
      <c r="O336" s="4" t="str">
        <f>LEFT(Table2[[#This Row],[Description]],75)</f>
        <v>CARGILL CAF20014981579 WAYZATA MN</v>
      </c>
      <c r="P336" s="2"/>
    </row>
    <row r="337" spans="1:16" hidden="1">
      <c r="A337" s="2">
        <v>201908</v>
      </c>
      <c r="B337" s="3">
        <v>43691</v>
      </c>
      <c r="C337" s="2" t="s">
        <v>2265</v>
      </c>
      <c r="D337" s="2" t="s">
        <v>479</v>
      </c>
      <c r="E337" s="2">
        <v>220</v>
      </c>
      <c r="F337" s="2" t="s">
        <v>20</v>
      </c>
      <c r="J337" s="2">
        <v>220</v>
      </c>
      <c r="K337" s="2" t="b">
        <v>0</v>
      </c>
      <c r="L337" s="2"/>
      <c r="M337" s="2"/>
      <c r="N337" s="4" t="s">
        <v>2259</v>
      </c>
      <c r="O337" s="4" t="str">
        <f>LEFT(Table2[[#This Row],[Description]],75)</f>
        <v>CCLC TYPE INTERNET ID CO CCLC ACH ECC WEB ACH Trace 54205 243304826</v>
      </c>
      <c r="P337" s="2" t="s">
        <v>2268</v>
      </c>
    </row>
    <row r="338" spans="1:16" hidden="1">
      <c r="A338" s="2">
        <v>201908</v>
      </c>
      <c r="B338" s="3">
        <v>43691</v>
      </c>
      <c r="C338" s="2" t="s">
        <v>2267</v>
      </c>
      <c r="D338" s="2" t="s">
        <v>479</v>
      </c>
      <c r="E338" s="2">
        <v>220</v>
      </c>
      <c r="F338" s="2" t="s">
        <v>20</v>
      </c>
      <c r="J338" s="2">
        <v>220</v>
      </c>
      <c r="K338" s="2" t="b">
        <v>0</v>
      </c>
      <c r="L338" s="2"/>
      <c r="M338" s="2"/>
      <c r="N338" s="4" t="s">
        <v>2259</v>
      </c>
      <c r="O338" s="4" t="str">
        <f>LEFT(Table2[[#This Row],[Description]],75)</f>
        <v>CCLC TYPE INTERNET ID CO CCLC ACH ECC WEB ACH Trace 54205 243304826</v>
      </c>
      <c r="P338" s="2"/>
    </row>
    <row r="339" spans="1:16" hidden="1">
      <c r="A339" s="2">
        <v>201908</v>
      </c>
      <c r="B339" s="3">
        <v>43691</v>
      </c>
      <c r="C339" s="2" t="s">
        <v>2262</v>
      </c>
      <c r="D339" s="2" t="s">
        <v>919</v>
      </c>
      <c r="E339" s="2">
        <v>18</v>
      </c>
      <c r="F339" s="2" t="s">
        <v>40</v>
      </c>
      <c r="J339" s="2">
        <v>18</v>
      </c>
      <c r="K339" s="2" t="b">
        <v>0</v>
      </c>
      <c r="L339" s="2"/>
      <c r="M339" s="2"/>
      <c r="N339" s="4" t="s">
        <v>2259</v>
      </c>
      <c r="O339" s="4" t="str">
        <f>LEFT(Table2[[#This Row],[Description]],75)</f>
        <v>Harvard Business</v>
      </c>
      <c r="P339" s="2"/>
    </row>
    <row r="340" spans="1:16" hidden="1">
      <c r="A340" s="2">
        <v>201908</v>
      </c>
      <c r="B340" s="3">
        <v>43691</v>
      </c>
      <c r="C340" s="2" t="s">
        <v>64</v>
      </c>
      <c r="D340" s="2" t="s">
        <v>1633</v>
      </c>
      <c r="E340" s="2">
        <v>500</v>
      </c>
      <c r="F340" s="2" t="s">
        <v>9</v>
      </c>
      <c r="J340" s="2">
        <v>500</v>
      </c>
      <c r="K340" s="2" t="b">
        <v>0</v>
      </c>
      <c r="L340" s="2"/>
      <c r="M340" s="2"/>
      <c r="N340" s="4" t="s">
        <v>2259</v>
      </c>
      <c r="O340" s="4" t="str">
        <f>LEFT(Table2[[#This Row],[Description]],75)</f>
        <v>SCHWAB S&amp;P 500 INDEX FD</v>
      </c>
      <c r="P340" s="2" t="s">
        <v>2276</v>
      </c>
    </row>
    <row r="341" spans="1:16" hidden="1">
      <c r="A341" s="2">
        <v>201908</v>
      </c>
      <c r="B341" s="3">
        <v>43691</v>
      </c>
      <c r="C341" s="2" t="s">
        <v>2317</v>
      </c>
      <c r="D341" s="2" t="s">
        <v>1633</v>
      </c>
      <c r="E341" s="2">
        <v>500</v>
      </c>
      <c r="F341" s="2" t="s">
        <v>9</v>
      </c>
      <c r="J341" s="2">
        <v>500</v>
      </c>
      <c r="K341" s="2" t="b">
        <v>0</v>
      </c>
      <c r="L341" s="2"/>
      <c r="M341" s="2"/>
      <c r="N341" s="4" t="s">
        <v>2259</v>
      </c>
      <c r="O341" s="4" t="str">
        <f>LEFT(Table2[[#This Row],[Description]],75)</f>
        <v>SCHWAB S&amp;P 500 INDEX FD</v>
      </c>
      <c r="P341" s="2"/>
    </row>
    <row r="342" spans="1:16" hidden="1">
      <c r="A342" s="2">
        <v>201908</v>
      </c>
      <c r="B342" s="3">
        <v>43691</v>
      </c>
      <c r="C342" s="2" t="s">
        <v>2262</v>
      </c>
      <c r="D342" s="2" t="s">
        <v>1947</v>
      </c>
      <c r="E342" s="2">
        <v>-1480.64</v>
      </c>
      <c r="F342" s="2" t="s">
        <v>9</v>
      </c>
      <c r="J342" s="2">
        <v>1480.64</v>
      </c>
      <c r="K342" s="2" t="b">
        <v>0</v>
      </c>
      <c r="L342" s="2"/>
      <c r="M342" s="2"/>
      <c r="N342" s="2" t="s">
        <v>2264</v>
      </c>
      <c r="O342" s="2" t="str">
        <f>LEFT(Table2[[#This Row],[Description]],75)</f>
        <v>Transfer from POWERPLUS CHECKING</v>
      </c>
      <c r="P342" s="2"/>
    </row>
    <row r="343" spans="1:16" hidden="1">
      <c r="A343" s="2">
        <v>201908</v>
      </c>
      <c r="B343" s="3">
        <v>43691</v>
      </c>
      <c r="C343" s="2" t="s">
        <v>2265</v>
      </c>
      <c r="D343" s="2" t="s">
        <v>1951</v>
      </c>
      <c r="E343" s="2">
        <v>1480.64</v>
      </c>
      <c r="F343" s="2" t="s">
        <v>9</v>
      </c>
      <c r="J343" s="2">
        <v>1480.64</v>
      </c>
      <c r="K343" s="2" t="b">
        <v>0</v>
      </c>
      <c r="L343" s="2"/>
      <c r="M343" s="2"/>
      <c r="N343" s="4" t="s">
        <v>2259</v>
      </c>
      <c r="O343" s="4" t="str">
        <f>LEFT(Table2[[#This Row],[Description]],75)</f>
        <v>Transfer to Cash Rewards Visa Signature</v>
      </c>
      <c r="P343" s="2" t="s">
        <v>2266</v>
      </c>
    </row>
    <row r="344" spans="1:16" hidden="1">
      <c r="A344" s="2">
        <v>201908</v>
      </c>
      <c r="B344" s="3">
        <v>43691</v>
      </c>
      <c r="C344" s="2" t="s">
        <v>2267</v>
      </c>
      <c r="D344" s="2" t="s">
        <v>1951</v>
      </c>
      <c r="E344" s="2">
        <v>1480.64</v>
      </c>
      <c r="F344" s="2" t="s">
        <v>9</v>
      </c>
      <c r="J344" s="2">
        <v>1480.64</v>
      </c>
      <c r="K344" s="2" t="b">
        <v>0</v>
      </c>
      <c r="L344" s="2"/>
      <c r="M344" s="2"/>
      <c r="N344" s="4" t="s">
        <v>2259</v>
      </c>
      <c r="O344" s="4" t="str">
        <f>LEFT(Table2[[#This Row],[Description]],75)</f>
        <v>Transfer to Cash Rewards Visa Signature</v>
      </c>
      <c r="P344" s="2"/>
    </row>
    <row r="345" spans="1:16" hidden="1">
      <c r="A345" s="2">
        <v>201908</v>
      </c>
      <c r="B345" s="3">
        <v>43691</v>
      </c>
      <c r="C345" s="2" t="s">
        <v>2265</v>
      </c>
      <c r="D345" s="2" t="s">
        <v>2109</v>
      </c>
      <c r="E345" s="2">
        <v>26</v>
      </c>
      <c r="F345" s="2">
        <v>0</v>
      </c>
      <c r="J345" s="2">
        <v>26</v>
      </c>
      <c r="K345" s="2" t="b">
        <v>0</v>
      </c>
      <c r="L345" s="2"/>
      <c r="M345" s="2"/>
      <c r="N345" s="4" t="s">
        <v>2259</v>
      </c>
      <c r="O345" s="4" t="str">
        <f>LEFT(Table2[[#This Row],[Description]],75)</f>
        <v>Venmo</v>
      </c>
      <c r="P345" s="2"/>
    </row>
    <row r="346" spans="1:16" hidden="1">
      <c r="A346" s="2">
        <v>201908</v>
      </c>
      <c r="B346" s="3">
        <v>43691</v>
      </c>
      <c r="C346" s="2" t="s">
        <v>2267</v>
      </c>
      <c r="D346" s="2" t="s">
        <v>2109</v>
      </c>
      <c r="E346" s="2">
        <v>26</v>
      </c>
      <c r="F346" s="2" t="s">
        <v>21</v>
      </c>
      <c r="J346" s="2">
        <v>26</v>
      </c>
      <c r="K346" s="2" t="b">
        <v>0</v>
      </c>
      <c r="L346" s="2"/>
      <c r="M346" s="2"/>
      <c r="N346" s="4" t="s">
        <v>2259</v>
      </c>
      <c r="O346" s="4" t="str">
        <f>LEFT(Table2[[#This Row],[Description]],75)</f>
        <v>Venmo</v>
      </c>
      <c r="P346" s="2"/>
    </row>
    <row r="347" spans="1:16" hidden="1">
      <c r="A347" s="2">
        <v>201908</v>
      </c>
      <c r="B347" s="3">
        <v>43691</v>
      </c>
      <c r="C347" s="2" t="s">
        <v>2265</v>
      </c>
      <c r="D347" s="2" t="s">
        <v>2164</v>
      </c>
      <c r="E347" s="2">
        <v>14766</v>
      </c>
      <c r="F347" s="2">
        <v>0</v>
      </c>
      <c r="J347" s="2">
        <v>14766</v>
      </c>
      <c r="K347" s="2" t="b">
        <v>0</v>
      </c>
      <c r="L347" s="2"/>
      <c r="M347" s="2"/>
      <c r="N347" s="4" t="s">
        <v>2259</v>
      </c>
      <c r="O347" s="4" t="str">
        <f>LEFT(Table2[[#This Row],[Description]],75)</f>
        <v>Withdrawal ACH TYPE Online ID ACH ECC WEB 243509658</v>
      </c>
      <c r="P347" s="2"/>
    </row>
    <row r="348" spans="1:16" hidden="1">
      <c r="A348" s="2">
        <v>201908</v>
      </c>
      <c r="B348" s="3">
        <v>43691</v>
      </c>
      <c r="C348" s="2" t="s">
        <v>2267</v>
      </c>
      <c r="D348" s="2" t="s">
        <v>2164</v>
      </c>
      <c r="E348" s="2">
        <v>14766</v>
      </c>
      <c r="F348" s="2" t="s">
        <v>9</v>
      </c>
      <c r="J348" s="2">
        <v>14766</v>
      </c>
      <c r="K348" s="2" t="b">
        <v>0</v>
      </c>
      <c r="L348" s="2"/>
      <c r="M348" s="2"/>
      <c r="N348" s="4" t="s">
        <v>2259</v>
      </c>
      <c r="O348" s="4" t="str">
        <f>LEFT(Table2[[#This Row],[Description]],75)</f>
        <v>Withdrawal ACH TYPE Online ID ACH ECC WEB 243509658</v>
      </c>
      <c r="P348" s="2"/>
    </row>
    <row r="349" spans="1:16" hidden="1">
      <c r="A349" s="2">
        <v>201908</v>
      </c>
      <c r="B349" s="3">
        <v>43692</v>
      </c>
      <c r="C349" s="2" t="s">
        <v>2274</v>
      </c>
      <c r="D349" s="2" t="s">
        <v>275</v>
      </c>
      <c r="E349" s="2">
        <v>-14766</v>
      </c>
      <c r="F349" s="2" t="s">
        <v>9</v>
      </c>
      <c r="J349" s="2">
        <v>14766</v>
      </c>
      <c r="K349" s="2" t="b">
        <v>0</v>
      </c>
      <c r="L349" s="2"/>
      <c r="M349" s="2"/>
      <c r="N349" s="2" t="s">
        <v>2264</v>
      </c>
      <c r="O349" s="2" t="str">
        <f>LEFT(Table2[[#This Row],[Description]],75)</f>
        <v>Bcu Online</v>
      </c>
      <c r="P349" s="2"/>
    </row>
    <row r="350" spans="1:16" hidden="1">
      <c r="A350" s="2">
        <v>201908</v>
      </c>
      <c r="B350" s="3">
        <v>43692</v>
      </c>
      <c r="C350" s="2" t="s">
        <v>64</v>
      </c>
      <c r="D350" s="2" t="s">
        <v>164</v>
      </c>
      <c r="E350" s="2">
        <v>-42.52</v>
      </c>
      <c r="F350" s="2" t="s">
        <v>69</v>
      </c>
      <c r="J350" s="2">
        <v>42.52</v>
      </c>
      <c r="K350" s="2" t="b">
        <v>0</v>
      </c>
      <c r="L350" s="2"/>
      <c r="M350" s="2"/>
      <c r="N350" s="2" t="s">
        <v>2264</v>
      </c>
      <c r="O350" s="2" t="str">
        <f>LEFT(Table2[[#This Row],[Description]],75)</f>
        <v>APPLE INC</v>
      </c>
      <c r="P350" s="2"/>
    </row>
    <row r="351" spans="1:16" hidden="1">
      <c r="A351" s="2">
        <v>201908</v>
      </c>
      <c r="B351" s="3">
        <v>43692</v>
      </c>
      <c r="C351" s="2" t="s">
        <v>2317</v>
      </c>
      <c r="D351" s="2" t="s">
        <v>164</v>
      </c>
      <c r="E351" s="2">
        <v>-42.52</v>
      </c>
      <c r="F351" s="2" t="s">
        <v>9</v>
      </c>
      <c r="J351" s="2">
        <v>42.52</v>
      </c>
      <c r="K351" s="2" t="b">
        <v>0</v>
      </c>
      <c r="L351" s="2"/>
      <c r="M351" s="2"/>
      <c r="N351" s="2" t="s">
        <v>2264</v>
      </c>
      <c r="O351" s="2" t="str">
        <f>LEFT(Table2[[#This Row],[Description]],75)</f>
        <v>APPLE INC</v>
      </c>
      <c r="P351" s="2"/>
    </row>
    <row r="352" spans="1:16" hidden="1">
      <c r="A352" s="2">
        <v>201908</v>
      </c>
      <c r="B352" s="3">
        <v>43692</v>
      </c>
      <c r="C352" s="2" t="s">
        <v>2258</v>
      </c>
      <c r="D352" s="2" t="s">
        <v>441</v>
      </c>
      <c r="E352" s="2">
        <v>28.33</v>
      </c>
      <c r="F352" s="2" t="s">
        <v>26</v>
      </c>
      <c r="J352" s="2">
        <v>28.33</v>
      </c>
      <c r="K352" s="2" t="b">
        <v>0</v>
      </c>
      <c r="L352" s="2"/>
      <c r="M352" s="2"/>
      <c r="N352" s="4" t="s">
        <v>2259</v>
      </c>
      <c r="O352" s="4" t="str">
        <f>LEFT(Table2[[#This Row],[Description]],75)</f>
        <v>CARGILL PRO20081436579 WAYZATA MN</v>
      </c>
      <c r="P352" s="2" t="s">
        <v>2324</v>
      </c>
    </row>
    <row r="353" spans="1:16" hidden="1">
      <c r="A353" s="2">
        <v>201908</v>
      </c>
      <c r="B353" s="3">
        <v>43692</v>
      </c>
      <c r="C353" s="2" t="s">
        <v>2261</v>
      </c>
      <c r="D353" s="2" t="s">
        <v>441</v>
      </c>
      <c r="E353" s="2">
        <v>28.33</v>
      </c>
      <c r="F353" s="2" t="s">
        <v>26</v>
      </c>
      <c r="J353" s="2">
        <v>28.33</v>
      </c>
      <c r="K353" s="2" t="b">
        <v>0</v>
      </c>
      <c r="L353" s="2"/>
      <c r="M353" s="2"/>
      <c r="N353" s="4" t="s">
        <v>2259</v>
      </c>
      <c r="O353" s="4" t="str">
        <f>LEFT(Table2[[#This Row],[Description]],75)</f>
        <v>CARGILL PRO20081436579 WAYZATA MN</v>
      </c>
      <c r="P353" s="2"/>
    </row>
    <row r="354" spans="1:16" hidden="1">
      <c r="A354" s="2">
        <v>201908</v>
      </c>
      <c r="B354" s="3">
        <v>43692</v>
      </c>
      <c r="C354" s="2" t="s">
        <v>64</v>
      </c>
      <c r="D354" s="2" t="s">
        <v>1037</v>
      </c>
      <c r="E354" s="2">
        <v>-200</v>
      </c>
      <c r="F354" s="2" t="s">
        <v>59</v>
      </c>
      <c r="J354" s="2">
        <v>200</v>
      </c>
      <c r="K354" s="2" t="b">
        <v>0</v>
      </c>
      <c r="L354" s="2"/>
      <c r="M354" s="2"/>
      <c r="N354" s="2" t="s">
        <v>2264</v>
      </c>
      <c r="O354" s="2" t="str">
        <f>LEFT(Table2[[#This Row],[Description]],75)</f>
        <v>KAUFMAN HALL</v>
      </c>
      <c r="P354" s="2"/>
    </row>
    <row r="355" spans="1:16" hidden="1">
      <c r="A355" s="2">
        <v>201908</v>
      </c>
      <c r="B355" s="3">
        <v>43692</v>
      </c>
      <c r="C355" s="2" t="s">
        <v>2317</v>
      </c>
      <c r="D355" s="2" t="s">
        <v>1037</v>
      </c>
      <c r="E355" s="2">
        <v>-200</v>
      </c>
      <c r="F355" s="2" t="s">
        <v>9</v>
      </c>
      <c r="J355" s="2">
        <v>200</v>
      </c>
      <c r="K355" s="2" t="b">
        <v>0</v>
      </c>
      <c r="L355" s="2"/>
      <c r="M355" s="2"/>
      <c r="N355" s="2" t="s">
        <v>2264</v>
      </c>
      <c r="O355" s="2" t="str">
        <f>LEFT(Table2[[#This Row],[Description]],75)</f>
        <v>KAUFMAN HALL</v>
      </c>
      <c r="P355" s="2"/>
    </row>
    <row r="356" spans="1:16" hidden="1">
      <c r="A356" s="2">
        <v>201908</v>
      </c>
      <c r="B356" s="3">
        <v>43692</v>
      </c>
      <c r="C356" s="2" t="s">
        <v>2265</v>
      </c>
      <c r="D356" s="2" t="s">
        <v>1052</v>
      </c>
      <c r="E356" s="2">
        <v>-2570.35</v>
      </c>
      <c r="F356" s="2" t="s">
        <v>63</v>
      </c>
      <c r="J356" s="2">
        <v>2570.35</v>
      </c>
      <c r="K356" s="2" t="b">
        <v>0</v>
      </c>
      <c r="L356" s="2"/>
      <c r="M356" s="2"/>
      <c r="N356" s="4" t="s">
        <v>2273</v>
      </c>
      <c r="O356" s="4" t="str">
        <f>LEFT(Table2[[#This Row],[Description]],75)</f>
        <v>KAUFMAN HALL TYPE DIRECT DEP ID CO KAUFMAN HALL ACH ECC PPD ACH Trace 55623</v>
      </c>
      <c r="P356" s="2" t="s">
        <v>2285</v>
      </c>
    </row>
    <row r="357" spans="1:16" hidden="1">
      <c r="A357" s="2">
        <v>201908</v>
      </c>
      <c r="B357" s="3">
        <v>43692</v>
      </c>
      <c r="C357" s="2" t="s">
        <v>2267</v>
      </c>
      <c r="D357" s="2" t="s">
        <v>1052</v>
      </c>
      <c r="E357" s="2">
        <v>-2570.35</v>
      </c>
      <c r="F357" s="2" t="s">
        <v>63</v>
      </c>
      <c r="J357" s="2">
        <v>2570.35</v>
      </c>
      <c r="K357" s="2" t="b">
        <v>0</v>
      </c>
      <c r="L357" s="2"/>
      <c r="M357" s="2"/>
      <c r="N357" s="2" t="s">
        <v>2264</v>
      </c>
      <c r="O357" s="2" t="str">
        <f>LEFT(Table2[[#This Row],[Description]],75)</f>
        <v>KAUFMAN HALL TYPE DIRECT DEP ID CO KAUFMAN HALL ACH ECC PPD ACH Trace 55623</v>
      </c>
      <c r="P357" s="2"/>
    </row>
    <row r="358" spans="1:16" hidden="1">
      <c r="A358" s="2">
        <v>201908</v>
      </c>
      <c r="B358" s="3">
        <v>43692</v>
      </c>
      <c r="C358" s="2" t="s">
        <v>64</v>
      </c>
      <c r="D358" s="2" t="s">
        <v>1525</v>
      </c>
      <c r="E358" s="2">
        <v>-28.39</v>
      </c>
      <c r="F358" s="2" t="s">
        <v>69</v>
      </c>
      <c r="J358" s="2">
        <v>28.39</v>
      </c>
      <c r="K358" s="2" t="b">
        <v>0</v>
      </c>
      <c r="L358" s="2"/>
      <c r="M358" s="2"/>
      <c r="N358" s="2" t="s">
        <v>2264</v>
      </c>
      <c r="O358" s="2" t="str">
        <f>LEFT(Table2[[#This Row],[Description]],75)</f>
        <v>PROCTER &amp; GAMBLE</v>
      </c>
      <c r="P358" s="2"/>
    </row>
    <row r="359" spans="1:16" hidden="1">
      <c r="A359" s="2">
        <v>201908</v>
      </c>
      <c r="B359" s="3">
        <v>43692</v>
      </c>
      <c r="C359" s="2" t="s">
        <v>2317</v>
      </c>
      <c r="D359" s="2" t="s">
        <v>1525</v>
      </c>
      <c r="E359" s="2">
        <v>-28.39</v>
      </c>
      <c r="F359" s="2" t="s">
        <v>9</v>
      </c>
      <c r="J359" s="2">
        <v>28.39</v>
      </c>
      <c r="K359" s="2" t="b">
        <v>0</v>
      </c>
      <c r="L359" s="2"/>
      <c r="M359" s="2"/>
      <c r="N359" s="2" t="s">
        <v>2264</v>
      </c>
      <c r="O359" s="2" t="str">
        <f>LEFT(Table2[[#This Row],[Description]],75)</f>
        <v>PROCTER &amp; GAMBLE</v>
      </c>
      <c r="P359" s="2"/>
    </row>
    <row r="360" spans="1:16" hidden="1">
      <c r="A360" s="2">
        <v>201908</v>
      </c>
      <c r="B360" s="3">
        <v>43692</v>
      </c>
      <c r="C360" s="2" t="s">
        <v>2275</v>
      </c>
      <c r="D360" s="2" t="s">
        <v>1837</v>
      </c>
      <c r="E360" s="2">
        <v>-211</v>
      </c>
      <c r="F360" s="2" t="s">
        <v>57</v>
      </c>
      <c r="J360" s="2">
        <v>211</v>
      </c>
      <c r="K360" s="2" t="b">
        <v>0</v>
      </c>
      <c r="L360" s="2"/>
      <c r="M360" s="2"/>
      <c r="N360" s="4" t="s">
        <v>2273</v>
      </c>
      <c r="O360" s="4" t="str">
        <f>LEFT(Table2[[#This Row],[Description]],75)</f>
        <v>Tfr JPMORGAN CHASE BAN, KAUFMAN HALL</v>
      </c>
      <c r="P360" s="2" t="s">
        <v>2288</v>
      </c>
    </row>
    <row r="361" spans="1:16" hidden="1">
      <c r="A361" s="2">
        <v>201908</v>
      </c>
      <c r="B361" s="3">
        <v>43692</v>
      </c>
      <c r="C361" s="2" t="s">
        <v>2277</v>
      </c>
      <c r="D361" s="2" t="s">
        <v>1837</v>
      </c>
      <c r="E361" s="2">
        <v>-211</v>
      </c>
      <c r="F361" s="2" t="s">
        <v>57</v>
      </c>
      <c r="J361" s="2">
        <v>211</v>
      </c>
      <c r="K361" s="2" t="b">
        <v>0</v>
      </c>
      <c r="L361" s="2"/>
      <c r="M361" s="2"/>
      <c r="N361" s="2" t="s">
        <v>2264</v>
      </c>
      <c r="O361" s="2" t="str">
        <f>LEFT(Table2[[#This Row],[Description]],75)</f>
        <v>Tfr JPMORGAN CHASE BAN, KAUFMAN HALL</v>
      </c>
      <c r="P361" s="2"/>
    </row>
    <row r="362" spans="1:16" hidden="1">
      <c r="A362" s="2">
        <v>201908</v>
      </c>
      <c r="B362" s="3">
        <v>43692</v>
      </c>
      <c r="C362" s="2" t="s">
        <v>2290</v>
      </c>
      <c r="D362" s="2" t="s">
        <v>2106</v>
      </c>
      <c r="E362" s="2">
        <v>-1058.95</v>
      </c>
      <c r="F362" s="2" t="s">
        <v>54</v>
      </c>
      <c r="J362" s="2">
        <v>1058.95</v>
      </c>
      <c r="K362" s="2" t="b">
        <v>0</v>
      </c>
      <c r="L362" s="2"/>
      <c r="M362" s="2"/>
      <c r="N362" s="2" t="s">
        <v>2264</v>
      </c>
      <c r="O362" s="2" t="str">
        <f>LEFT(Table2[[#This Row],[Description]],75)</f>
        <v>VANG TARGET RET 2050</v>
      </c>
      <c r="P362" s="2"/>
    </row>
    <row r="363" spans="1:16" hidden="1">
      <c r="A363" s="2">
        <v>201908</v>
      </c>
      <c r="B363" s="3">
        <v>43693</v>
      </c>
      <c r="C363" s="2" t="s">
        <v>64</v>
      </c>
      <c r="D363" s="2" t="s">
        <v>164</v>
      </c>
      <c r="E363" s="2">
        <v>42.52</v>
      </c>
      <c r="F363" s="2" t="s">
        <v>69</v>
      </c>
      <c r="J363" s="2">
        <v>42.52</v>
      </c>
      <c r="K363" s="2" t="b">
        <v>0</v>
      </c>
      <c r="L363" s="2"/>
      <c r="M363" s="2"/>
      <c r="N363" s="4" t="s">
        <v>2259</v>
      </c>
      <c r="O363" s="4" t="str">
        <f>LEFT(Table2[[#This Row],[Description]],75)</f>
        <v>APPLE INC</v>
      </c>
      <c r="P363" s="2"/>
    </row>
    <row r="364" spans="1:16" hidden="1">
      <c r="A364" s="2">
        <v>201908</v>
      </c>
      <c r="B364" s="3">
        <v>43693</v>
      </c>
      <c r="C364" s="2" t="s">
        <v>2317</v>
      </c>
      <c r="D364" s="2" t="s">
        <v>164</v>
      </c>
      <c r="E364" s="2">
        <v>42.52</v>
      </c>
      <c r="F364" s="2" t="s">
        <v>9</v>
      </c>
      <c r="J364" s="2">
        <v>42.52</v>
      </c>
      <c r="K364" s="2" t="b">
        <v>0</v>
      </c>
      <c r="L364" s="2"/>
      <c r="M364" s="2"/>
      <c r="N364" s="4" t="s">
        <v>2259</v>
      </c>
      <c r="O364" s="4" t="str">
        <f>LEFT(Table2[[#This Row],[Description]],75)</f>
        <v>APPLE INC</v>
      </c>
      <c r="P364" s="2"/>
    </row>
    <row r="365" spans="1:16" hidden="1">
      <c r="A365" s="2">
        <v>201908</v>
      </c>
      <c r="B365" s="3">
        <v>43693</v>
      </c>
      <c r="C365" s="2" t="s">
        <v>2275</v>
      </c>
      <c r="D365" s="2" t="s">
        <v>231</v>
      </c>
      <c r="E365" s="2">
        <v>-0.19</v>
      </c>
      <c r="F365" s="2">
        <v>0</v>
      </c>
      <c r="J365" s="2">
        <v>0.19</v>
      </c>
      <c r="K365" s="2" t="b">
        <v>0</v>
      </c>
      <c r="L365" s="2"/>
      <c r="M365" s="2"/>
      <c r="N365" s="4" t="s">
        <v>2273</v>
      </c>
      <c r="O365" s="4" t="str">
        <f>LEFT(Table2[[#This Row],[Description]],75)</f>
        <v>BANK INT 071619-081519 SCHWAB BANK</v>
      </c>
      <c r="P365" s="2"/>
    </row>
    <row r="366" spans="1:16" hidden="1">
      <c r="A366" s="2">
        <v>201908</v>
      </c>
      <c r="B366" s="3">
        <v>43693</v>
      </c>
      <c r="C366" s="2" t="s">
        <v>2277</v>
      </c>
      <c r="D366" s="2" t="s">
        <v>231</v>
      </c>
      <c r="E366" s="2">
        <v>-0.32</v>
      </c>
      <c r="F366" s="2" t="s">
        <v>9</v>
      </c>
      <c r="J366" s="2">
        <v>0.32</v>
      </c>
      <c r="K366" s="2" t="b">
        <v>0</v>
      </c>
      <c r="L366" s="2"/>
      <c r="M366" s="2"/>
      <c r="N366" s="2" t="s">
        <v>2264</v>
      </c>
      <c r="O366" s="2" t="str">
        <f>LEFT(Table2[[#This Row],[Description]],75)</f>
        <v>BANK INT 071619-081519 SCHWAB BANK</v>
      </c>
      <c r="P366" s="2"/>
    </row>
    <row r="367" spans="1:16" hidden="1">
      <c r="A367" s="2">
        <v>201908</v>
      </c>
      <c r="B367" s="3">
        <v>43693</v>
      </c>
      <c r="C367" s="2" t="s">
        <v>2262</v>
      </c>
      <c r="D367" s="2" t="s">
        <v>506</v>
      </c>
      <c r="E367" s="2">
        <v>45</v>
      </c>
      <c r="F367" s="2" t="s">
        <v>7</v>
      </c>
      <c r="J367" s="2">
        <v>45</v>
      </c>
      <c r="K367" s="2" t="b">
        <v>0</v>
      </c>
      <c r="L367" s="2"/>
      <c r="M367" s="2"/>
      <c r="N367" s="4" t="s">
        <v>2259</v>
      </c>
      <c r="O367" s="4" t="str">
        <f>LEFT(Table2[[#This Row],[Description]],75)</f>
        <v>CenturyLink</v>
      </c>
      <c r="P367" s="2"/>
    </row>
    <row r="368" spans="1:16" hidden="1">
      <c r="A368" s="2">
        <v>201908</v>
      </c>
      <c r="B368" s="3">
        <v>43693</v>
      </c>
      <c r="C368" s="2" t="s">
        <v>2274</v>
      </c>
      <c r="D368" s="2" t="s">
        <v>976</v>
      </c>
      <c r="E368" s="2">
        <v>35.99</v>
      </c>
      <c r="F368" s="2" t="s">
        <v>9</v>
      </c>
      <c r="J368" s="2">
        <v>35.99</v>
      </c>
      <c r="K368" s="2" t="b">
        <v>0</v>
      </c>
      <c r="L368" s="2"/>
      <c r="M368" s="2"/>
      <c r="N368" s="4" t="s">
        <v>2259</v>
      </c>
      <c r="O368" s="4" t="str">
        <f>LEFT(Table2[[#This Row],[Description]],75)</f>
        <v>INST XFER 190815</v>
      </c>
      <c r="P368" s="2"/>
    </row>
    <row r="369" spans="1:16" hidden="1">
      <c r="A369" s="2">
        <v>201908</v>
      </c>
      <c r="B369" s="3">
        <v>43693</v>
      </c>
      <c r="C369" s="2" t="s">
        <v>2262</v>
      </c>
      <c r="D369" s="2" t="s">
        <v>1102</v>
      </c>
      <c r="E369" s="2">
        <v>9</v>
      </c>
      <c r="F369" s="2" t="s">
        <v>26</v>
      </c>
      <c r="J369" s="2">
        <v>9</v>
      </c>
      <c r="K369" s="2" t="b">
        <v>0</v>
      </c>
      <c r="L369" s="2"/>
      <c r="M369" s="2"/>
      <c r="N369" s="4" t="s">
        <v>2259</v>
      </c>
      <c r="O369" s="4" t="str">
        <f>LEFT(Table2[[#This Row],[Description]],75)</f>
        <v>Leeann Chin</v>
      </c>
      <c r="P369" s="2"/>
    </row>
    <row r="370" spans="1:16" hidden="1">
      <c r="A370" s="2">
        <v>201908</v>
      </c>
      <c r="B370" s="3">
        <v>43693</v>
      </c>
      <c r="C370" s="2" t="s">
        <v>64</v>
      </c>
      <c r="D370" s="2" t="s">
        <v>1525</v>
      </c>
      <c r="E370" s="2">
        <v>28.39</v>
      </c>
      <c r="F370" s="2" t="s">
        <v>69</v>
      </c>
      <c r="J370" s="2">
        <v>28.39</v>
      </c>
      <c r="K370" s="2" t="b">
        <v>0</v>
      </c>
      <c r="L370" s="2"/>
      <c r="M370" s="2"/>
      <c r="N370" s="4" t="s">
        <v>2259</v>
      </c>
      <c r="O370" s="4" t="str">
        <f>LEFT(Table2[[#This Row],[Description]],75)</f>
        <v>PROCTER &amp; GAMBLE</v>
      </c>
      <c r="P370" s="2"/>
    </row>
    <row r="371" spans="1:16" hidden="1">
      <c r="A371" s="2">
        <v>201908</v>
      </c>
      <c r="B371" s="3">
        <v>43693</v>
      </c>
      <c r="C371" s="2" t="s">
        <v>2317</v>
      </c>
      <c r="D371" s="2" t="s">
        <v>1525</v>
      </c>
      <c r="E371" s="2">
        <v>28.39</v>
      </c>
      <c r="F371" s="2" t="s">
        <v>9</v>
      </c>
      <c r="J371" s="2">
        <v>28.39</v>
      </c>
      <c r="K371" s="2" t="b">
        <v>0</v>
      </c>
      <c r="L371" s="2"/>
      <c r="M371" s="2"/>
      <c r="N371" s="4" t="s">
        <v>2259</v>
      </c>
      <c r="O371" s="4" t="str">
        <f>LEFT(Table2[[#This Row],[Description]],75)</f>
        <v>PROCTER &amp; GAMBLE</v>
      </c>
      <c r="P371" s="2"/>
    </row>
    <row r="372" spans="1:16" hidden="1">
      <c r="A372" s="2">
        <v>201908</v>
      </c>
      <c r="B372" s="3">
        <v>43693</v>
      </c>
      <c r="C372" s="2" t="s">
        <v>2262</v>
      </c>
      <c r="D372" s="2" t="s">
        <v>1754</v>
      </c>
      <c r="E372" s="2">
        <v>431.25</v>
      </c>
      <c r="F372" s="2" t="s">
        <v>48</v>
      </c>
      <c r="J372" s="2">
        <v>431.25</v>
      </c>
      <c r="K372" s="2" t="b">
        <v>0</v>
      </c>
      <c r="L372" s="2"/>
      <c r="M372" s="2"/>
      <c r="N372" s="4" t="s">
        <v>2259</v>
      </c>
      <c r="O372" s="4" t="str">
        <f>LEFT(Table2[[#This Row],[Description]],75)</f>
        <v>SQ SEEK EYE CARE PA Victoria MN 244077401</v>
      </c>
      <c r="P372" s="2"/>
    </row>
    <row r="373" spans="1:16" hidden="1">
      <c r="A373" s="2">
        <v>201908</v>
      </c>
      <c r="B373" s="3">
        <v>43694</v>
      </c>
      <c r="C373" s="2" t="s">
        <v>2258</v>
      </c>
      <c r="D373" s="2" t="s">
        <v>460</v>
      </c>
      <c r="E373" s="2">
        <v>107.27</v>
      </c>
      <c r="F373" s="2" t="s">
        <v>26</v>
      </c>
      <c r="J373" s="2">
        <v>107.27</v>
      </c>
      <c r="K373" s="2" t="b">
        <v>0</v>
      </c>
      <c r="L373" s="2"/>
      <c r="M373" s="2"/>
      <c r="N373" s="4" t="s">
        <v>2259</v>
      </c>
      <c r="O373" s="4" t="str">
        <f>LEFT(Table2[[#This Row],[Description]],75)</f>
        <v>Cast &amp; Cru</v>
      </c>
      <c r="P373" s="2" t="s">
        <v>2325</v>
      </c>
    </row>
    <row r="374" spans="1:16" hidden="1">
      <c r="A374" s="2">
        <v>201908</v>
      </c>
      <c r="B374" s="3">
        <v>43694</v>
      </c>
      <c r="C374" s="2" t="s">
        <v>2261</v>
      </c>
      <c r="D374" s="2" t="s">
        <v>460</v>
      </c>
      <c r="E374" s="2">
        <v>107.27</v>
      </c>
      <c r="F374" s="2" t="s">
        <v>26</v>
      </c>
      <c r="J374" s="2">
        <v>107.27</v>
      </c>
      <c r="K374" s="2" t="b">
        <v>0</v>
      </c>
      <c r="L374" s="2"/>
      <c r="M374" s="2"/>
      <c r="N374" s="4" t="s">
        <v>2259</v>
      </c>
      <c r="O374" s="4" t="str">
        <f>LEFT(Table2[[#This Row],[Description]],75)</f>
        <v>Cast &amp; Cru</v>
      </c>
      <c r="P374" s="2"/>
    </row>
    <row r="375" spans="1:16" hidden="1">
      <c r="A375" s="2">
        <v>201908</v>
      </c>
      <c r="B375" s="3">
        <v>43695</v>
      </c>
      <c r="C375" s="2" t="s">
        <v>2262</v>
      </c>
      <c r="D375" s="2" t="s">
        <v>316</v>
      </c>
      <c r="E375" s="2">
        <v>28.1</v>
      </c>
      <c r="F375" s="2" t="s">
        <v>23</v>
      </c>
      <c r="J375" s="2">
        <v>28.1</v>
      </c>
      <c r="K375" s="2" t="b">
        <v>0</v>
      </c>
      <c r="L375" s="2"/>
      <c r="M375" s="2"/>
      <c r="N375" s="4" t="s">
        <v>2259</v>
      </c>
      <c r="O375" s="4" t="str">
        <f>LEFT(Table2[[#This Row],[Description]],75)</f>
        <v>BP</v>
      </c>
      <c r="P375" s="2"/>
    </row>
    <row r="376" spans="1:16" hidden="1">
      <c r="A376" s="2">
        <v>201908</v>
      </c>
      <c r="B376" s="3">
        <v>43695</v>
      </c>
      <c r="C376" s="2" t="s">
        <v>2262</v>
      </c>
      <c r="D376" s="2" t="s">
        <v>338</v>
      </c>
      <c r="E376" s="2">
        <v>168.23</v>
      </c>
      <c r="F376" s="2" t="s">
        <v>28</v>
      </c>
      <c r="J376" s="2">
        <v>168.23</v>
      </c>
      <c r="K376" s="2" t="b">
        <v>0</v>
      </c>
      <c r="L376" s="2"/>
      <c r="M376" s="2"/>
      <c r="N376" s="4" t="s">
        <v>2259</v>
      </c>
      <c r="O376" s="4" t="str">
        <f>LEFT(Table2[[#This Row],[Description]],75)</f>
        <v>Byerly's</v>
      </c>
      <c r="P376" s="2"/>
    </row>
    <row r="377" spans="1:16" hidden="1">
      <c r="A377" s="2">
        <v>201908</v>
      </c>
      <c r="B377" s="3">
        <v>43695</v>
      </c>
      <c r="C377" s="2" t="s">
        <v>2262</v>
      </c>
      <c r="D377" s="2" t="s">
        <v>445</v>
      </c>
      <c r="E377" s="2">
        <v>42.77</v>
      </c>
      <c r="F377" s="2" t="s">
        <v>28</v>
      </c>
      <c r="J377" s="2">
        <v>42.77</v>
      </c>
      <c r="K377" s="2" t="b">
        <v>0</v>
      </c>
      <c r="L377" s="2"/>
      <c r="M377" s="2"/>
      <c r="N377" s="4" t="s">
        <v>2259</v>
      </c>
      <c r="O377" s="4" t="str">
        <f>LEFT(Table2[[#This Row],[Description]],75)</f>
        <v>CARGILL PRODUC20081436 WAYZATA MN 244451314</v>
      </c>
      <c r="P377" s="2"/>
    </row>
    <row r="378" spans="1:16" hidden="1">
      <c r="A378" s="2">
        <v>201908</v>
      </c>
      <c r="B378" s="3">
        <v>43695</v>
      </c>
      <c r="C378" s="2" t="s">
        <v>2262</v>
      </c>
      <c r="D378" s="2" t="s">
        <v>702</v>
      </c>
      <c r="E378" s="2">
        <v>-11.2</v>
      </c>
      <c r="F378" s="2" t="s">
        <v>43</v>
      </c>
      <c r="J378" s="2">
        <v>11.2</v>
      </c>
      <c r="K378" s="2" t="b">
        <v>0</v>
      </c>
      <c r="L378" s="2"/>
      <c r="M378" s="2"/>
      <c r="N378" s="2" t="s">
        <v>2264</v>
      </c>
      <c r="O378" s="2" t="str">
        <f>LEFT(Table2[[#This Row],[Description]],75)</f>
        <v>Delta</v>
      </c>
      <c r="P378" s="2"/>
    </row>
    <row r="379" spans="1:16" hidden="1">
      <c r="A379" s="2">
        <v>201908</v>
      </c>
      <c r="B379" s="3">
        <v>43695</v>
      </c>
      <c r="C379" s="2" t="s">
        <v>2258</v>
      </c>
      <c r="D379" s="2" t="s">
        <v>1357</v>
      </c>
      <c r="E379" s="2">
        <v>69.7</v>
      </c>
      <c r="F379" s="2" t="s">
        <v>26</v>
      </c>
      <c r="J379" s="2">
        <v>69.7</v>
      </c>
      <c r="K379" s="2" t="b">
        <v>0</v>
      </c>
      <c r="L379" s="2"/>
      <c r="M379" s="2"/>
      <c r="N379" s="4" t="s">
        <v>2259</v>
      </c>
      <c r="O379" s="4" t="str">
        <f>LEFT(Table2[[#This Row],[Description]],75)</f>
        <v>NORTH COOP CHAHASSEN MN</v>
      </c>
      <c r="P379" s="2" t="s">
        <v>2326</v>
      </c>
    </row>
    <row r="380" spans="1:16" hidden="1">
      <c r="A380" s="2">
        <v>201908</v>
      </c>
      <c r="B380" s="3">
        <v>43695</v>
      </c>
      <c r="C380" s="2" t="s">
        <v>2261</v>
      </c>
      <c r="D380" s="2" t="s">
        <v>1357</v>
      </c>
      <c r="E380" s="2">
        <v>69.7</v>
      </c>
      <c r="F380" s="2" t="s">
        <v>26</v>
      </c>
      <c r="J380" s="2">
        <v>69.7</v>
      </c>
      <c r="K380" s="2" t="b">
        <v>0</v>
      </c>
      <c r="L380" s="2"/>
      <c r="M380" s="2"/>
      <c r="N380" s="4" t="s">
        <v>2259</v>
      </c>
      <c r="O380" s="4" t="str">
        <f>LEFT(Table2[[#This Row],[Description]],75)</f>
        <v>NORTH COOP CHAHASSEN MN</v>
      </c>
      <c r="P380" s="2"/>
    </row>
    <row r="381" spans="1:16" hidden="1">
      <c r="A381" s="2">
        <v>201908</v>
      </c>
      <c r="B381" s="3">
        <v>43696</v>
      </c>
      <c r="C381" s="2" t="s">
        <v>2258</v>
      </c>
      <c r="D381" s="2" t="s">
        <v>38</v>
      </c>
      <c r="E381" s="2">
        <v>8.58</v>
      </c>
      <c r="F381" s="2" t="s">
        <v>38</v>
      </c>
      <c r="J381" s="2">
        <v>8.58</v>
      </c>
      <c r="K381" s="2" t="b">
        <v>0</v>
      </c>
      <c r="L381" s="2"/>
      <c r="M381" s="2"/>
      <c r="N381" s="4" t="s">
        <v>2259</v>
      </c>
      <c r="O381" s="4" t="str">
        <f>LEFT(Table2[[#This Row],[Description]],75)</f>
        <v>Amazon</v>
      </c>
      <c r="P381" s="2" t="s">
        <v>2260</v>
      </c>
    </row>
    <row r="382" spans="1:16" hidden="1">
      <c r="A382" s="2">
        <v>201908</v>
      </c>
      <c r="B382" s="3">
        <v>43696</v>
      </c>
      <c r="C382" s="2" t="s">
        <v>2261</v>
      </c>
      <c r="D382" s="2" t="s">
        <v>38</v>
      </c>
      <c r="E382" s="2">
        <v>8.58</v>
      </c>
      <c r="F382" s="2" t="s">
        <v>38</v>
      </c>
      <c r="J382" s="2">
        <v>8.58</v>
      </c>
      <c r="K382" s="2" t="b">
        <v>0</v>
      </c>
      <c r="L382" s="2"/>
      <c r="M382" s="2"/>
      <c r="N382" s="4" t="s">
        <v>2259</v>
      </c>
      <c r="O382" s="4" t="str">
        <f>LEFT(Table2[[#This Row],[Description]],75)</f>
        <v>Amazon</v>
      </c>
      <c r="P382" s="2"/>
    </row>
    <row r="383" spans="1:16" hidden="1">
      <c r="A383" s="2">
        <v>201908</v>
      </c>
      <c r="B383" s="3">
        <v>43696</v>
      </c>
      <c r="C383" s="2" t="s">
        <v>2262</v>
      </c>
      <c r="D383" s="2" t="s">
        <v>944</v>
      </c>
      <c r="E383" s="2">
        <v>40.56</v>
      </c>
      <c r="F383" s="2" t="s">
        <v>23</v>
      </c>
      <c r="J383" s="2">
        <v>40.56</v>
      </c>
      <c r="K383" s="2" t="b">
        <v>0</v>
      </c>
      <c r="L383" s="2"/>
      <c r="M383" s="2"/>
      <c r="N383" s="4" t="s">
        <v>2259</v>
      </c>
      <c r="O383" s="4" t="str">
        <f>LEFT(Table2[[#This Row],[Description]],75)</f>
        <v>Holiday Stationstore</v>
      </c>
      <c r="P383" s="2"/>
    </row>
    <row r="384" spans="1:16" hidden="1">
      <c r="A384" s="2">
        <v>201908</v>
      </c>
      <c r="B384" s="3">
        <v>43696</v>
      </c>
      <c r="C384" s="2" t="s">
        <v>2258</v>
      </c>
      <c r="D384" s="2" t="s">
        <v>1104</v>
      </c>
      <c r="E384" s="2">
        <v>9.67</v>
      </c>
      <c r="F384" s="2" t="s">
        <v>26</v>
      </c>
      <c r="J384" s="2">
        <v>9.67</v>
      </c>
      <c r="K384" s="2" t="b">
        <v>0</v>
      </c>
      <c r="L384" s="2"/>
      <c r="M384" s="2"/>
      <c r="N384" s="4" t="s">
        <v>2259</v>
      </c>
      <c r="O384" s="4" t="str">
        <f>LEFT(Table2[[#This Row],[Description]],75)</f>
        <v>LEVELUP*ROTIMODERNMEDI 855-466-5585 MAQVWH4CKC</v>
      </c>
      <c r="P384" s="2" t="s">
        <v>2320</v>
      </c>
    </row>
    <row r="385" spans="1:16" hidden="1">
      <c r="A385" s="2">
        <v>201908</v>
      </c>
      <c r="B385" s="3">
        <v>43696</v>
      </c>
      <c r="C385" s="2" t="s">
        <v>2261</v>
      </c>
      <c r="D385" s="2" t="s">
        <v>1104</v>
      </c>
      <c r="E385" s="2">
        <v>9.67</v>
      </c>
      <c r="F385" s="2" t="s">
        <v>28</v>
      </c>
      <c r="J385" s="2">
        <v>9.67</v>
      </c>
      <c r="K385" s="2" t="b">
        <v>0</v>
      </c>
      <c r="L385" s="2"/>
      <c r="M385" s="2"/>
      <c r="N385" s="4" t="s">
        <v>2259</v>
      </c>
      <c r="O385" s="4" t="str">
        <f>LEFT(Table2[[#This Row],[Description]],75)</f>
        <v>LEVELUP*ROTIMODERNMEDI 855-466-5585 MAQVWH4CKC</v>
      </c>
      <c r="P385" s="2"/>
    </row>
    <row r="386" spans="1:16" hidden="1">
      <c r="A386" s="2">
        <v>201908</v>
      </c>
      <c r="B386" s="3">
        <v>43696</v>
      </c>
      <c r="C386" s="2" t="s">
        <v>2262</v>
      </c>
      <c r="D386" s="2" t="s">
        <v>1562</v>
      </c>
      <c r="E386" s="2">
        <v>38.49</v>
      </c>
      <c r="F386" s="2" t="s">
        <v>26</v>
      </c>
      <c r="J386" s="2">
        <v>38.49</v>
      </c>
      <c r="K386" s="2" t="b">
        <v>0</v>
      </c>
      <c r="L386" s="2"/>
      <c r="M386" s="2"/>
      <c r="N386" s="4" t="s">
        <v>2259</v>
      </c>
      <c r="O386" s="4" t="str">
        <f>LEFT(Table2[[#This Row],[Description]],75)</f>
        <v>Red Wagon Pizza Co</v>
      </c>
      <c r="P386" s="2"/>
    </row>
    <row r="387" spans="1:16" hidden="1">
      <c r="A387" s="2">
        <v>201908</v>
      </c>
      <c r="B387" s="3">
        <v>43697</v>
      </c>
      <c r="C387" s="2" t="s">
        <v>2258</v>
      </c>
      <c r="D387" s="2" t="s">
        <v>38</v>
      </c>
      <c r="E387" s="2">
        <v>25.76</v>
      </c>
      <c r="F387" s="2" t="s">
        <v>38</v>
      </c>
      <c r="J387" s="2">
        <v>25.76</v>
      </c>
      <c r="K387" s="2" t="b">
        <v>0</v>
      </c>
      <c r="L387" s="2"/>
      <c r="M387" s="2"/>
      <c r="N387" s="4" t="s">
        <v>2259</v>
      </c>
      <c r="O387" s="4" t="str">
        <f>LEFT(Table2[[#This Row],[Description]],75)</f>
        <v>Amazon</v>
      </c>
      <c r="P387" s="2" t="s">
        <v>2260</v>
      </c>
    </row>
    <row r="388" spans="1:16" hidden="1">
      <c r="A388" s="2">
        <v>201908</v>
      </c>
      <c r="B388" s="3">
        <v>43697</v>
      </c>
      <c r="C388" s="2" t="s">
        <v>2261</v>
      </c>
      <c r="D388" s="2" t="s">
        <v>38</v>
      </c>
      <c r="E388" s="2">
        <v>25.76</v>
      </c>
      <c r="F388" s="2" t="s">
        <v>38</v>
      </c>
      <c r="J388" s="2">
        <v>25.76</v>
      </c>
      <c r="K388" s="2" t="b">
        <v>0</v>
      </c>
      <c r="L388" s="2"/>
      <c r="M388" s="2"/>
      <c r="N388" s="4" t="s">
        <v>2259</v>
      </c>
      <c r="O388" s="4" t="str">
        <f>LEFT(Table2[[#This Row],[Description]],75)</f>
        <v>Amazon</v>
      </c>
      <c r="P388" s="2"/>
    </row>
    <row r="389" spans="1:16" hidden="1">
      <c r="A389" s="2">
        <v>201908</v>
      </c>
      <c r="B389" s="3">
        <v>43697</v>
      </c>
      <c r="C389" s="2" t="s">
        <v>2277</v>
      </c>
      <c r="D389" s="2" t="s">
        <v>1633</v>
      </c>
      <c r="E389" s="2">
        <v>150</v>
      </c>
      <c r="F389" s="2" t="s">
        <v>9</v>
      </c>
      <c r="J389" s="2">
        <v>150</v>
      </c>
      <c r="K389" s="2" t="b">
        <v>0</v>
      </c>
      <c r="L389" s="2"/>
      <c r="M389" s="2"/>
      <c r="N389" s="4" t="s">
        <v>2259</v>
      </c>
      <c r="O389" s="4" t="str">
        <f>LEFT(Table2[[#This Row],[Description]],75)</f>
        <v>SCHWAB S&amp;P 500 INDEX FD</v>
      </c>
      <c r="P389" s="2" t="s">
        <v>2276</v>
      </c>
    </row>
    <row r="390" spans="1:16" hidden="1">
      <c r="A390" s="2">
        <v>201908</v>
      </c>
      <c r="B390" s="3">
        <v>43698</v>
      </c>
      <c r="C390" s="2" t="s">
        <v>2265</v>
      </c>
      <c r="D390" s="2" t="s">
        <v>1317</v>
      </c>
      <c r="E390" s="2">
        <v>424.25</v>
      </c>
      <c r="F390" s="2" t="s">
        <v>23</v>
      </c>
      <c r="J390" s="2">
        <v>424.25</v>
      </c>
      <c r="K390" s="2" t="b">
        <v>0</v>
      </c>
      <c r="L390" s="2"/>
      <c r="M390" s="2"/>
      <c r="N390" s="4" t="s">
        <v>2259</v>
      </c>
      <c r="O390" s="4" t="str">
        <f>LEFT(Table2[[#This Row],[Description]],75)</f>
        <v xml:space="preserve">MN DVS MLR TYPE epayment ID 416007162P CO MN DVS MLR ACH ECC WEB ACH Trace </v>
      </c>
      <c r="P390" s="2" t="s">
        <v>2327</v>
      </c>
    </row>
    <row r="391" spans="1:16" hidden="1">
      <c r="A391" s="2">
        <v>201908</v>
      </c>
      <c r="B391" s="3">
        <v>43698</v>
      </c>
      <c r="C391" s="2" t="s">
        <v>2267</v>
      </c>
      <c r="D391" s="2" t="s">
        <v>1317</v>
      </c>
      <c r="E391" s="2">
        <v>424.25</v>
      </c>
      <c r="F391" s="2" t="s">
        <v>23</v>
      </c>
      <c r="J391" s="2">
        <v>424.25</v>
      </c>
      <c r="K391" s="2" t="b">
        <v>0</v>
      </c>
      <c r="L391" s="2"/>
      <c r="M391" s="2"/>
      <c r="N391" s="4" t="s">
        <v>2259</v>
      </c>
      <c r="O391" s="4" t="str">
        <f>LEFT(Table2[[#This Row],[Description]],75)</f>
        <v xml:space="preserve">MN DVS MLR TYPE epayment ID 416007162P CO MN DVS MLR ACH ECC WEB ACH Trace </v>
      </c>
      <c r="P391" s="2"/>
    </row>
    <row r="392" spans="1:16" hidden="1">
      <c r="A392" s="2">
        <v>201908</v>
      </c>
      <c r="B392" s="3">
        <v>43698</v>
      </c>
      <c r="C392" s="2" t="s">
        <v>2265</v>
      </c>
      <c r="D392" s="2" t="s">
        <v>392</v>
      </c>
      <c r="E392" s="2">
        <v>-2265.04</v>
      </c>
      <c r="F392" s="2" t="s">
        <v>65</v>
      </c>
      <c r="J392" s="2">
        <v>2265.04</v>
      </c>
      <c r="K392" s="2" t="b">
        <v>0</v>
      </c>
      <c r="L392" s="2"/>
      <c r="M392" s="2"/>
      <c r="N392" s="4" t="s">
        <v>2273</v>
      </c>
      <c r="O392" s="4" t="str">
        <f>LEFT(Table2[[#This Row],[Description]],75)</f>
        <v xml:space="preserve">CARGILL COCOA TYPE DIR DEP ID CO CARGILL COCOA ACH ECC PPD ACH Trace 82270 </v>
      </c>
      <c r="P392" s="2" t="s">
        <v>2284</v>
      </c>
    </row>
    <row r="393" spans="1:16" hidden="1">
      <c r="A393" s="2">
        <v>201908</v>
      </c>
      <c r="B393" s="3">
        <v>43698</v>
      </c>
      <c r="C393" s="2" t="s">
        <v>2267</v>
      </c>
      <c r="D393" s="2" t="s">
        <v>392</v>
      </c>
      <c r="E393" s="2">
        <v>-2265.04</v>
      </c>
      <c r="F393" s="2" t="s">
        <v>65</v>
      </c>
      <c r="J393" s="2">
        <v>2265.04</v>
      </c>
      <c r="K393" s="2" t="b">
        <v>0</v>
      </c>
      <c r="L393" s="2"/>
      <c r="M393" s="2"/>
      <c r="N393" s="2" t="s">
        <v>2264</v>
      </c>
      <c r="O393" s="2" t="str">
        <f>LEFT(Table2[[#This Row],[Description]],75)</f>
        <v xml:space="preserve">CARGILL COCOA TYPE DIR DEP ID CO CARGILL COCOA ACH ECC PPD ACH Trace 82270 </v>
      </c>
      <c r="P393" s="2"/>
    </row>
    <row r="394" spans="1:16" hidden="1">
      <c r="A394" s="2">
        <v>201908</v>
      </c>
      <c r="B394" s="3">
        <v>43698</v>
      </c>
      <c r="C394" s="2" t="s">
        <v>2265</v>
      </c>
      <c r="D394" s="2" t="s">
        <v>472</v>
      </c>
      <c r="E394" s="2">
        <v>247.5</v>
      </c>
      <c r="F394" s="2" t="s">
        <v>20</v>
      </c>
      <c r="J394" s="2">
        <v>247.5</v>
      </c>
      <c r="K394" s="2" t="b">
        <v>0</v>
      </c>
      <c r="L394" s="2"/>
      <c r="M394" s="2"/>
      <c r="N394" s="4" t="s">
        <v>2259</v>
      </c>
      <c r="O394" s="4" t="str">
        <f>LEFT(Table2[[#This Row],[Description]],75)</f>
        <v>CCLC TYPE INTERNET ID CO CCLC ACH ECC WEB ACH Trace 41683 244913434</v>
      </c>
      <c r="P394" s="2" t="s">
        <v>2268</v>
      </c>
    </row>
    <row r="395" spans="1:16" hidden="1">
      <c r="A395" s="2">
        <v>201908</v>
      </c>
      <c r="B395" s="3">
        <v>43698</v>
      </c>
      <c r="C395" s="2" t="s">
        <v>2267</v>
      </c>
      <c r="D395" s="2" t="s">
        <v>472</v>
      </c>
      <c r="E395" s="2">
        <v>247.5</v>
      </c>
      <c r="F395" s="2" t="s">
        <v>20</v>
      </c>
      <c r="J395" s="2">
        <v>247.5</v>
      </c>
      <c r="K395" s="2" t="b">
        <v>0</v>
      </c>
      <c r="L395" s="2"/>
      <c r="M395" s="2"/>
      <c r="N395" s="4" t="s">
        <v>2259</v>
      </c>
      <c r="O395" s="4" t="str">
        <f>LEFT(Table2[[#This Row],[Description]],75)</f>
        <v>CCLC TYPE INTERNET ID CO CCLC ACH ECC WEB ACH Trace 41683 244913434</v>
      </c>
      <c r="P395" s="2"/>
    </row>
    <row r="396" spans="1:16" hidden="1">
      <c r="A396" s="2">
        <v>201908</v>
      </c>
      <c r="B396" s="3">
        <v>43698</v>
      </c>
      <c r="C396" s="2" t="s">
        <v>2265</v>
      </c>
      <c r="D396" s="2" t="s">
        <v>557</v>
      </c>
      <c r="E396" s="2">
        <v>30.92</v>
      </c>
      <c r="F396" s="2" t="s">
        <v>7</v>
      </c>
      <c r="J396" s="2">
        <v>30.92</v>
      </c>
      <c r="K396" s="2" t="b">
        <v>0</v>
      </c>
      <c r="L396" s="2"/>
      <c r="M396" s="2"/>
      <c r="N396" s="4" t="s">
        <v>2259</v>
      </c>
      <c r="O396" s="4" t="str">
        <f>LEFT(Table2[[#This Row],[Description]],75)</f>
        <v>City of Chanhassen</v>
      </c>
      <c r="P396" s="2" t="s">
        <v>2298</v>
      </c>
    </row>
    <row r="397" spans="1:16" hidden="1">
      <c r="A397" s="2">
        <v>201908</v>
      </c>
      <c r="B397" s="3">
        <v>43698</v>
      </c>
      <c r="C397" s="2" t="s">
        <v>2267</v>
      </c>
      <c r="D397" s="2" t="s">
        <v>557</v>
      </c>
      <c r="E397" s="2">
        <v>30.92</v>
      </c>
      <c r="F397" s="2" t="s">
        <v>7</v>
      </c>
      <c r="J397" s="2">
        <v>30.92</v>
      </c>
      <c r="K397" s="2" t="b">
        <v>0</v>
      </c>
      <c r="L397" s="2"/>
      <c r="M397" s="2"/>
      <c r="N397" s="4" t="s">
        <v>2259</v>
      </c>
      <c r="O397" s="4" t="str">
        <f>LEFT(Table2[[#This Row],[Description]],75)</f>
        <v>City of Chanhassen</v>
      </c>
      <c r="P397" s="2"/>
    </row>
    <row r="398" spans="1:16" hidden="1">
      <c r="A398" s="2">
        <v>201908</v>
      </c>
      <c r="B398" s="3">
        <v>43698</v>
      </c>
      <c r="C398" s="2" t="s">
        <v>2265</v>
      </c>
      <c r="D398" s="2" t="s">
        <v>1314</v>
      </c>
      <c r="E398" s="2">
        <v>1.5</v>
      </c>
      <c r="F398" s="2" t="s">
        <v>23</v>
      </c>
      <c r="J398" s="2">
        <v>1.5</v>
      </c>
      <c r="K398" s="2" t="b">
        <v>0</v>
      </c>
      <c r="L398" s="2"/>
      <c r="M398" s="2"/>
      <c r="N398" s="4" t="s">
        <v>2259</v>
      </c>
      <c r="O398" s="4" t="str">
        <f>LEFT(Table2[[#This Row],[Description]],75)</f>
        <v xml:space="preserve">MN DVS MLR TYPE conv fee ID E987654321 CO MN DVS MLR ACH ECC WEB ACH Trace </v>
      </c>
      <c r="P398" s="2" t="s">
        <v>2327</v>
      </c>
    </row>
    <row r="399" spans="1:16" hidden="1">
      <c r="A399" s="2">
        <v>201908</v>
      </c>
      <c r="B399" s="3">
        <v>43698</v>
      </c>
      <c r="C399" s="2" t="s">
        <v>2267</v>
      </c>
      <c r="D399" s="2" t="s">
        <v>1314</v>
      </c>
      <c r="E399" s="2">
        <v>1.5</v>
      </c>
      <c r="F399" s="2" t="s">
        <v>23</v>
      </c>
      <c r="J399" s="2">
        <v>1.5</v>
      </c>
      <c r="K399" s="2" t="b">
        <v>0</v>
      </c>
      <c r="L399" s="2"/>
      <c r="M399" s="2"/>
      <c r="N399" s="4" t="s">
        <v>2259</v>
      </c>
      <c r="O399" s="4" t="str">
        <f>LEFT(Table2[[#This Row],[Description]],75)</f>
        <v xml:space="preserve">MN DVS MLR TYPE conv fee ID E987654321 CO MN DVS MLR ACH ECC WEB ACH Trace </v>
      </c>
      <c r="P399" s="2"/>
    </row>
    <row r="400" spans="1:16" hidden="1">
      <c r="A400" s="2">
        <v>201908</v>
      </c>
      <c r="B400" s="3">
        <v>43698</v>
      </c>
      <c r="C400" s="2" t="s">
        <v>2262</v>
      </c>
      <c r="D400" s="2" t="s">
        <v>1369</v>
      </c>
      <c r="E400" s="2">
        <v>169</v>
      </c>
      <c r="F400" s="2" t="s">
        <v>21</v>
      </c>
      <c r="J400" s="2">
        <v>169</v>
      </c>
      <c r="K400" s="2" t="b">
        <v>0</v>
      </c>
      <c r="L400" s="2"/>
      <c r="M400" s="2"/>
      <c r="N400" s="4" t="s">
        <v>2259</v>
      </c>
      <c r="O400" s="4" t="str">
        <f>LEFT(Table2[[#This Row],[Description]],75)</f>
        <v>North Face</v>
      </c>
      <c r="P400" s="2"/>
    </row>
    <row r="401" spans="1:16" hidden="1">
      <c r="A401" s="2">
        <v>201908</v>
      </c>
      <c r="B401" s="3">
        <v>43699</v>
      </c>
      <c r="C401" s="2" t="s">
        <v>2258</v>
      </c>
      <c r="D401" s="2" t="s">
        <v>997</v>
      </c>
      <c r="E401" s="2">
        <v>-362.4</v>
      </c>
      <c r="F401" s="2" t="s">
        <v>9</v>
      </c>
      <c r="J401" s="2">
        <v>362.4</v>
      </c>
      <c r="K401" s="2" t="b">
        <v>0</v>
      </c>
      <c r="L401" s="2"/>
      <c r="M401" s="2"/>
      <c r="N401" s="4" t="s">
        <v>2273</v>
      </c>
      <c r="O401" s="4" t="str">
        <f>LEFT(Table2[[#This Row],[Description]],75)</f>
        <v>INTERNET PAYMENT - THANK YOU</v>
      </c>
      <c r="P401" s="2" t="s">
        <v>2291</v>
      </c>
    </row>
    <row r="402" spans="1:16" hidden="1">
      <c r="A402" s="2">
        <v>201908</v>
      </c>
      <c r="B402" s="3">
        <v>43699</v>
      </c>
      <c r="C402" s="2" t="s">
        <v>2261</v>
      </c>
      <c r="D402" s="2" t="s">
        <v>997</v>
      </c>
      <c r="E402" s="2">
        <v>-362.4</v>
      </c>
      <c r="F402" s="2" t="s">
        <v>9</v>
      </c>
      <c r="J402" s="2">
        <v>362.4</v>
      </c>
      <c r="K402" s="2" t="b">
        <v>0</v>
      </c>
      <c r="L402" s="2"/>
      <c r="M402" s="2"/>
      <c r="N402" s="2" t="s">
        <v>2264</v>
      </c>
      <c r="O402" s="2" t="str">
        <f>LEFT(Table2[[#This Row],[Description]],75)</f>
        <v>INTERNET PAYMENT - THANK YOU</v>
      </c>
      <c r="P402" s="2"/>
    </row>
    <row r="403" spans="1:16" hidden="1">
      <c r="A403" s="2">
        <v>201908</v>
      </c>
      <c r="B403" s="3">
        <v>43699</v>
      </c>
      <c r="C403" s="2" t="s">
        <v>2265</v>
      </c>
      <c r="D403" s="2" t="s">
        <v>425</v>
      </c>
      <c r="E403" s="2">
        <v>-156.07</v>
      </c>
      <c r="F403" s="2" t="s">
        <v>16</v>
      </c>
      <c r="J403" s="2">
        <v>156.07</v>
      </c>
      <c r="K403" s="2" t="b">
        <v>0</v>
      </c>
      <c r="L403" s="2"/>
      <c r="M403" s="2"/>
      <c r="N403" s="4" t="s">
        <v>2273</v>
      </c>
      <c r="O403" s="4" t="str">
        <f>LEFT(Table2[[#This Row],[Description]],75)</f>
        <v>Cargill Incorpor Type</v>
      </c>
      <c r="P403" s="2" t="s">
        <v>2282</v>
      </c>
    </row>
    <row r="404" spans="1:16" hidden="1">
      <c r="A404" s="2">
        <v>201908</v>
      </c>
      <c r="B404" s="3">
        <v>43699</v>
      </c>
      <c r="C404" s="2" t="s">
        <v>2267</v>
      </c>
      <c r="D404" s="2" t="s">
        <v>425</v>
      </c>
      <c r="E404" s="2">
        <v>-156.07</v>
      </c>
      <c r="F404" s="2" t="s">
        <v>16</v>
      </c>
      <c r="J404" s="2">
        <v>156.07</v>
      </c>
      <c r="K404" s="2" t="b">
        <v>0</v>
      </c>
      <c r="L404" s="2"/>
      <c r="M404" s="2"/>
      <c r="N404" s="2" t="s">
        <v>2264</v>
      </c>
      <c r="O404" s="2" t="str">
        <f>LEFT(Table2[[#This Row],[Description]],75)</f>
        <v>Cargill Incorpor Type</v>
      </c>
      <c r="P404" s="2"/>
    </row>
    <row r="405" spans="1:16" hidden="1">
      <c r="A405" s="2">
        <v>201908</v>
      </c>
      <c r="B405" s="3">
        <v>43699</v>
      </c>
      <c r="C405" s="2" t="s">
        <v>2262</v>
      </c>
      <c r="D405" s="2" t="s">
        <v>1947</v>
      </c>
      <c r="E405" s="2">
        <v>-979.2</v>
      </c>
      <c r="F405" s="2" t="s">
        <v>9</v>
      </c>
      <c r="J405" s="2">
        <v>979.2</v>
      </c>
      <c r="K405" s="2" t="b">
        <v>0</v>
      </c>
      <c r="L405" s="2"/>
      <c r="M405" s="2"/>
      <c r="N405" s="2" t="s">
        <v>2264</v>
      </c>
      <c r="O405" s="2" t="str">
        <f>LEFT(Table2[[#This Row],[Description]],75)</f>
        <v>Transfer from POWERPLUS CHECKING</v>
      </c>
      <c r="P405" s="2"/>
    </row>
    <row r="406" spans="1:16" hidden="1">
      <c r="A406" s="2">
        <v>201908</v>
      </c>
      <c r="B406" s="3">
        <v>43699</v>
      </c>
      <c r="C406" s="2" t="s">
        <v>2265</v>
      </c>
      <c r="D406" s="2" t="s">
        <v>1951</v>
      </c>
      <c r="E406" s="2">
        <v>979.2</v>
      </c>
      <c r="F406" s="2" t="s">
        <v>9</v>
      </c>
      <c r="J406" s="2">
        <v>979.2</v>
      </c>
      <c r="K406" s="2" t="b">
        <v>0</v>
      </c>
      <c r="L406" s="2"/>
      <c r="M406" s="2"/>
      <c r="N406" s="4" t="s">
        <v>2259</v>
      </c>
      <c r="O406" s="4" t="str">
        <f>LEFT(Table2[[#This Row],[Description]],75)</f>
        <v>Transfer to Cash Rewards Visa Signature</v>
      </c>
      <c r="P406" s="2" t="s">
        <v>2266</v>
      </c>
    </row>
    <row r="407" spans="1:16" hidden="1">
      <c r="A407" s="2">
        <v>201908</v>
      </c>
      <c r="B407" s="3">
        <v>43699</v>
      </c>
      <c r="C407" s="2" t="s">
        <v>2267</v>
      </c>
      <c r="D407" s="2" t="s">
        <v>1951</v>
      </c>
      <c r="E407" s="2">
        <v>979.2</v>
      </c>
      <c r="F407" s="2" t="s">
        <v>9</v>
      </c>
      <c r="J407" s="2">
        <v>979.2</v>
      </c>
      <c r="K407" s="2" t="b">
        <v>0</v>
      </c>
      <c r="L407" s="2"/>
      <c r="M407" s="2"/>
      <c r="N407" s="4" t="s">
        <v>2259</v>
      </c>
      <c r="O407" s="4" t="str">
        <f>LEFT(Table2[[#This Row],[Description]],75)</f>
        <v>Transfer to Cash Rewards Visa Signature</v>
      </c>
      <c r="P407" s="2"/>
    </row>
    <row r="408" spans="1:16" hidden="1">
      <c r="A408" s="2">
        <v>201908</v>
      </c>
      <c r="B408" s="3">
        <v>43700</v>
      </c>
      <c r="C408" s="2" t="s">
        <v>2265</v>
      </c>
      <c r="D408" s="2" t="s">
        <v>753</v>
      </c>
      <c r="E408" s="2">
        <v>362.4</v>
      </c>
      <c r="F408" s="2" t="s">
        <v>9</v>
      </c>
      <c r="J408" s="2">
        <v>362.4</v>
      </c>
      <c r="K408" s="2" t="b">
        <v>0</v>
      </c>
      <c r="L408" s="2"/>
      <c r="M408" s="2"/>
      <c r="N408" s="4" t="s">
        <v>2259</v>
      </c>
      <c r="O408" s="4" t="str">
        <f>LEFT(Table2[[#This Row],[Description]],75)</f>
        <v>DISCOVER TYPE EPAYMENT ID CO DISCOVER ACH ECC WEB ACH Trace 17218 245464338</v>
      </c>
      <c r="P408" s="2" t="s">
        <v>2293</v>
      </c>
    </row>
    <row r="409" spans="1:16" hidden="1">
      <c r="A409" s="2">
        <v>201908</v>
      </c>
      <c r="B409" s="3">
        <v>43700</v>
      </c>
      <c r="C409" s="2" t="s">
        <v>2267</v>
      </c>
      <c r="D409" s="2" t="s">
        <v>753</v>
      </c>
      <c r="E409" s="2">
        <v>362.4</v>
      </c>
      <c r="F409" s="2" t="s">
        <v>9</v>
      </c>
      <c r="J409" s="2">
        <v>362.4</v>
      </c>
      <c r="K409" s="2" t="b">
        <v>0</v>
      </c>
      <c r="L409" s="2"/>
      <c r="M409" s="2"/>
      <c r="N409" s="4" t="s">
        <v>2259</v>
      </c>
      <c r="O409" s="4" t="str">
        <f>LEFT(Table2[[#This Row],[Description]],75)</f>
        <v>DISCOVER TYPE EPAYMENT ID CO DISCOVER ACH ECC WEB ACH Trace 17218 245464338</v>
      </c>
      <c r="P409" s="2"/>
    </row>
    <row r="410" spans="1:16" hidden="1">
      <c r="A410" s="2">
        <v>201908</v>
      </c>
      <c r="B410" s="3">
        <v>43700</v>
      </c>
      <c r="C410" s="2" t="s">
        <v>64</v>
      </c>
      <c r="D410" s="2" t="s">
        <v>354</v>
      </c>
      <c r="E410" s="2">
        <v>-200</v>
      </c>
      <c r="F410" s="2" t="s">
        <v>59</v>
      </c>
      <c r="J410" s="2">
        <v>200</v>
      </c>
      <c r="K410" s="2" t="b">
        <v>0</v>
      </c>
      <c r="L410" s="2"/>
      <c r="M410" s="2"/>
      <c r="N410" s="2" t="s">
        <v>2264</v>
      </c>
      <c r="O410" s="2" t="str">
        <f>LEFT(Table2[[#This Row],[Description]],75)</f>
        <v>CARGILL COCOA &amp;</v>
      </c>
      <c r="P410" s="2"/>
    </row>
    <row r="411" spans="1:16" hidden="1">
      <c r="A411" s="2">
        <v>201908</v>
      </c>
      <c r="B411" s="3">
        <v>43700</v>
      </c>
      <c r="C411" s="2" t="s">
        <v>2317</v>
      </c>
      <c r="D411" s="2" t="s">
        <v>354</v>
      </c>
      <c r="E411" s="2">
        <v>-200</v>
      </c>
      <c r="F411" s="2" t="s">
        <v>9</v>
      </c>
      <c r="J411" s="2">
        <v>200</v>
      </c>
      <c r="K411" s="2" t="b">
        <v>0</v>
      </c>
      <c r="L411" s="2"/>
      <c r="M411" s="2"/>
      <c r="N411" s="2" t="s">
        <v>2264</v>
      </c>
      <c r="O411" s="2" t="str">
        <f>LEFT(Table2[[#This Row],[Description]],75)</f>
        <v>CARGILL COCOA &amp;</v>
      </c>
      <c r="P411" s="2"/>
    </row>
    <row r="412" spans="1:16" hidden="1">
      <c r="A412" s="2">
        <v>201908</v>
      </c>
      <c r="B412" s="3">
        <v>43700</v>
      </c>
      <c r="C412" s="2" t="s">
        <v>2258</v>
      </c>
      <c r="D412" s="2" t="s">
        <v>668</v>
      </c>
      <c r="E412" s="2">
        <v>25.14</v>
      </c>
      <c r="F412" s="2" t="s">
        <v>21</v>
      </c>
      <c r="J412" s="2">
        <v>25.14</v>
      </c>
      <c r="K412" s="2" t="b">
        <v>0</v>
      </c>
      <c r="L412" s="2"/>
      <c r="M412" s="2"/>
      <c r="N412" s="4" t="s">
        <v>2259</v>
      </c>
      <c r="O412" s="4" t="str">
        <f>LEFT(Table2[[#This Row],[Description]],75)</f>
        <v>CRAVE EDEN PRAIRIE EDEN PRAIRIE MN</v>
      </c>
      <c r="P412" s="2" t="s">
        <v>2299</v>
      </c>
    </row>
    <row r="413" spans="1:16" hidden="1">
      <c r="A413" s="2">
        <v>201908</v>
      </c>
      <c r="B413" s="3">
        <v>43700</v>
      </c>
      <c r="C413" s="2" t="s">
        <v>2261</v>
      </c>
      <c r="D413" s="2" t="s">
        <v>668</v>
      </c>
      <c r="E413" s="2">
        <v>25.14</v>
      </c>
      <c r="F413" s="2" t="s">
        <v>21</v>
      </c>
      <c r="J413" s="2">
        <v>25.14</v>
      </c>
      <c r="K413" s="2" t="b">
        <v>0</v>
      </c>
      <c r="L413" s="2"/>
      <c r="M413" s="2"/>
      <c r="N413" s="4" t="s">
        <v>2259</v>
      </c>
      <c r="O413" s="4" t="str">
        <f>LEFT(Table2[[#This Row],[Description]],75)</f>
        <v>CRAVE EDEN PRAIRIE EDEN PRAIRIE MN</v>
      </c>
      <c r="P413" s="2"/>
    </row>
    <row r="414" spans="1:16" hidden="1">
      <c r="A414" s="2">
        <v>201908</v>
      </c>
      <c r="B414" s="3">
        <v>43700</v>
      </c>
      <c r="C414" s="2" t="s">
        <v>2274</v>
      </c>
      <c r="D414" s="2" t="s">
        <v>880</v>
      </c>
      <c r="E414" s="2">
        <v>15000</v>
      </c>
      <c r="F414" s="2" t="s">
        <v>9</v>
      </c>
      <c r="J414" s="2">
        <v>15000</v>
      </c>
      <c r="K414" s="2" t="b">
        <v>0</v>
      </c>
      <c r="L414" s="2"/>
      <c r="M414" s="2"/>
      <c r="N414" s="4" t="s">
        <v>2259</v>
      </c>
      <c r="O414" s="4" t="str">
        <f>LEFT(Table2[[#This Row],[Description]],75)</f>
        <v>Funds Transfer to Brokerage -5308</v>
      </c>
      <c r="P414" s="2"/>
    </row>
    <row r="415" spans="1:16" hidden="1">
      <c r="A415" s="2">
        <v>201908</v>
      </c>
      <c r="B415" s="3">
        <v>43700</v>
      </c>
      <c r="C415" s="2" t="s">
        <v>64</v>
      </c>
      <c r="D415" s="2" t="s">
        <v>978</v>
      </c>
      <c r="E415" s="2">
        <v>905.68</v>
      </c>
      <c r="F415" s="2" t="s">
        <v>69</v>
      </c>
      <c r="J415" s="2">
        <v>905.68</v>
      </c>
      <c r="K415" s="2" t="b">
        <v>0</v>
      </c>
      <c r="L415" s="2"/>
      <c r="M415" s="2"/>
      <c r="N415" s="4" t="s">
        <v>2259</v>
      </c>
      <c r="O415" s="4" t="str">
        <f>LEFT(Table2[[#This Row],[Description]],75)</f>
        <v>INTEL CORP</v>
      </c>
      <c r="P415" s="2"/>
    </row>
    <row r="416" spans="1:16" hidden="1">
      <c r="A416" s="2">
        <v>201908</v>
      </c>
      <c r="B416" s="3">
        <v>43700</v>
      </c>
      <c r="C416" s="2" t="s">
        <v>2317</v>
      </c>
      <c r="D416" s="2" t="s">
        <v>978</v>
      </c>
      <c r="E416" s="2">
        <v>905.68</v>
      </c>
      <c r="F416" s="2" t="s">
        <v>9</v>
      </c>
      <c r="J416" s="2">
        <v>905.68</v>
      </c>
      <c r="K416" s="2" t="b">
        <v>0</v>
      </c>
      <c r="L416" s="2"/>
      <c r="M416" s="2"/>
      <c r="N416" s="4" t="s">
        <v>2259</v>
      </c>
      <c r="O416" s="4" t="str">
        <f>LEFT(Table2[[#This Row],[Description]],75)</f>
        <v>INTEL CORP</v>
      </c>
      <c r="P416" s="2"/>
    </row>
    <row r="417" spans="1:16" hidden="1">
      <c r="A417" s="2">
        <v>201908</v>
      </c>
      <c r="B417" s="3">
        <v>43700</v>
      </c>
      <c r="C417" s="2" t="s">
        <v>2262</v>
      </c>
      <c r="D417" s="2" t="s">
        <v>1353</v>
      </c>
      <c r="E417" s="2">
        <v>10.199999999999999</v>
      </c>
      <c r="F417" s="2" t="s">
        <v>26</v>
      </c>
      <c r="J417" s="2">
        <v>10.199999999999999</v>
      </c>
      <c r="K417" s="2" t="b">
        <v>0</v>
      </c>
      <c r="L417" s="2"/>
      <c r="M417" s="2"/>
      <c r="N417" s="4" t="s">
        <v>2259</v>
      </c>
      <c r="O417" s="4" t="str">
        <f>LEFT(Table2[[#This Row],[Description]],75)</f>
        <v>Noodles &amp; Company</v>
      </c>
      <c r="P417" s="2"/>
    </row>
    <row r="418" spans="1:16" hidden="1">
      <c r="A418" s="2">
        <v>201908</v>
      </c>
      <c r="B418" s="3">
        <v>43700</v>
      </c>
      <c r="C418" s="2" t="s">
        <v>2258</v>
      </c>
      <c r="D418" s="2" t="s">
        <v>1381</v>
      </c>
      <c r="E418" s="2">
        <v>73.25</v>
      </c>
      <c r="F418" s="2" t="s">
        <v>26</v>
      </c>
      <c r="J418" s="2">
        <v>73.25</v>
      </c>
      <c r="K418" s="2" t="b">
        <v>0</v>
      </c>
      <c r="L418" s="2"/>
      <c r="M418" s="2"/>
      <c r="N418" s="4" t="s">
        <v>2259</v>
      </c>
      <c r="O418" s="4" t="str">
        <f>LEFT(Table2[[#This Row],[Description]],75)</f>
        <v>Olives Fresh Pizza Bar</v>
      </c>
      <c r="P418" s="2" t="s">
        <v>2328</v>
      </c>
    </row>
    <row r="419" spans="1:16" hidden="1">
      <c r="A419" s="2">
        <v>201908</v>
      </c>
      <c r="B419" s="3">
        <v>43700</v>
      </c>
      <c r="C419" s="2" t="s">
        <v>2261</v>
      </c>
      <c r="D419" s="2" t="s">
        <v>1381</v>
      </c>
      <c r="E419" s="2">
        <v>73.25</v>
      </c>
      <c r="F419" s="2" t="s">
        <v>26</v>
      </c>
      <c r="J419" s="2">
        <v>73.25</v>
      </c>
      <c r="K419" s="2" t="b">
        <v>0</v>
      </c>
      <c r="L419" s="2"/>
      <c r="M419" s="2"/>
      <c r="N419" s="4" t="s">
        <v>2259</v>
      </c>
      <c r="O419" s="4" t="str">
        <f>LEFT(Table2[[#This Row],[Description]],75)</f>
        <v>Olives Fresh Pizza Bar</v>
      </c>
      <c r="P419" s="2"/>
    </row>
    <row r="420" spans="1:16" hidden="1">
      <c r="A420" s="2">
        <v>201908</v>
      </c>
      <c r="B420" s="3">
        <v>43700</v>
      </c>
      <c r="C420" s="2" t="s">
        <v>64</v>
      </c>
      <c r="D420" s="2" t="s">
        <v>1635</v>
      </c>
      <c r="E420" s="2">
        <v>1000</v>
      </c>
      <c r="F420" s="2" t="s">
        <v>9</v>
      </c>
      <c r="J420" s="2">
        <v>1000</v>
      </c>
      <c r="K420" s="2" t="b">
        <v>0</v>
      </c>
      <c r="L420" s="2"/>
      <c r="M420" s="2"/>
      <c r="N420" s="4" t="s">
        <v>2259</v>
      </c>
      <c r="O420" s="4" t="str">
        <f>LEFT(Table2[[#This Row],[Description]],75)</f>
        <v>SCHWAB TOTAL STOCK MKT INDEX</v>
      </c>
      <c r="P420" s="2"/>
    </row>
    <row r="421" spans="1:16" hidden="1">
      <c r="A421" s="2">
        <v>201908</v>
      </c>
      <c r="B421" s="3">
        <v>43700</v>
      </c>
      <c r="C421" s="2" t="s">
        <v>2317</v>
      </c>
      <c r="D421" s="2" t="s">
        <v>1635</v>
      </c>
      <c r="E421" s="2">
        <v>1000</v>
      </c>
      <c r="F421" s="2" t="s">
        <v>9</v>
      </c>
      <c r="J421" s="2">
        <v>1000</v>
      </c>
      <c r="K421" s="2" t="b">
        <v>0</v>
      </c>
      <c r="L421" s="2"/>
      <c r="M421" s="2"/>
      <c r="N421" s="4" t="s">
        <v>2259</v>
      </c>
      <c r="O421" s="4" t="str">
        <f>LEFT(Table2[[#This Row],[Description]],75)</f>
        <v>SCHWAB TOTAL STOCK MKT INDEX</v>
      </c>
      <c r="P421" s="2"/>
    </row>
    <row r="422" spans="1:16" hidden="1">
      <c r="A422" s="2">
        <v>201908</v>
      </c>
      <c r="B422" s="3">
        <v>43700</v>
      </c>
      <c r="C422" s="2" t="s">
        <v>64</v>
      </c>
      <c r="D422" s="2" t="s">
        <v>1774</v>
      </c>
      <c r="E422" s="2">
        <v>-16.28</v>
      </c>
      <c r="F422" s="2" t="s">
        <v>69</v>
      </c>
      <c r="J422" s="2">
        <v>16.28</v>
      </c>
      <c r="K422" s="2" t="b">
        <v>0</v>
      </c>
      <c r="L422" s="2"/>
      <c r="M422" s="2"/>
      <c r="N422" s="2" t="s">
        <v>2264</v>
      </c>
      <c r="O422" s="2" t="str">
        <f>LEFT(Table2[[#This Row],[Description]],75)</f>
        <v>STARBUCKS CORP</v>
      </c>
      <c r="P422" s="2"/>
    </row>
    <row r="423" spans="1:16" hidden="1">
      <c r="A423" s="2">
        <v>201908</v>
      </c>
      <c r="B423" s="3">
        <v>43700</v>
      </c>
      <c r="C423" s="2" t="s">
        <v>2317</v>
      </c>
      <c r="D423" s="2" t="s">
        <v>1774</v>
      </c>
      <c r="E423" s="2">
        <v>-16.28</v>
      </c>
      <c r="F423" s="2" t="s">
        <v>9</v>
      </c>
      <c r="J423" s="2">
        <v>16.28</v>
      </c>
      <c r="K423" s="2" t="b">
        <v>0</v>
      </c>
      <c r="L423" s="2"/>
      <c r="M423" s="2"/>
      <c r="N423" s="2" t="s">
        <v>2264</v>
      </c>
      <c r="O423" s="2" t="str">
        <f>LEFT(Table2[[#This Row],[Description]],75)</f>
        <v>STARBUCKS CORP</v>
      </c>
      <c r="P423" s="2"/>
    </row>
    <row r="424" spans="1:16" hidden="1">
      <c r="A424" s="2">
        <v>201908</v>
      </c>
      <c r="B424" s="3">
        <v>43700</v>
      </c>
      <c r="C424" s="2" t="s">
        <v>2277</v>
      </c>
      <c r="D424" s="2" t="s">
        <v>1834</v>
      </c>
      <c r="E424" s="2">
        <v>-150</v>
      </c>
      <c r="F424" s="2" t="s">
        <v>57</v>
      </c>
      <c r="J424" s="2">
        <v>150</v>
      </c>
      <c r="K424" s="2" t="b">
        <v>0</v>
      </c>
      <c r="L424" s="2"/>
      <c r="M424" s="2"/>
      <c r="N424" s="2" t="s">
        <v>2264</v>
      </c>
      <c r="O424" s="2" t="str">
        <f>LEFT(Table2[[#This Row],[Description]],75)</f>
        <v>Tfr JPMORGAN CHASE BAN, CARGILL COCOA &amp;</v>
      </c>
      <c r="P424" s="2"/>
    </row>
    <row r="425" spans="1:16" hidden="1">
      <c r="A425" s="2">
        <v>201908</v>
      </c>
      <c r="B425" s="3">
        <v>43700</v>
      </c>
      <c r="C425" s="2" t="s">
        <v>64</v>
      </c>
      <c r="D425" s="2" t="s">
        <v>1949</v>
      </c>
      <c r="E425" s="2">
        <v>-15000</v>
      </c>
      <c r="F425" s="2" t="s">
        <v>9</v>
      </c>
      <c r="J425" s="2">
        <v>15000</v>
      </c>
      <c r="K425" s="2" t="b">
        <v>0</v>
      </c>
      <c r="L425" s="2"/>
      <c r="M425" s="2"/>
      <c r="N425" s="2" t="s">
        <v>2264</v>
      </c>
      <c r="O425" s="2" t="str">
        <f>LEFT(Table2[[#This Row],[Description]],75)</f>
        <v>TRANSFER FUNDS FROM SCHWAB BANK - 440020765184</v>
      </c>
      <c r="P425" s="2"/>
    </row>
    <row r="426" spans="1:16" hidden="1">
      <c r="A426" s="2">
        <v>201908</v>
      </c>
      <c r="B426" s="3">
        <v>43700</v>
      </c>
      <c r="C426" s="2" t="s">
        <v>2317</v>
      </c>
      <c r="D426" s="2" t="s">
        <v>1949</v>
      </c>
      <c r="E426" s="2">
        <v>-15000</v>
      </c>
      <c r="F426" s="2" t="s">
        <v>9</v>
      </c>
      <c r="J426" s="2">
        <v>15000</v>
      </c>
      <c r="K426" s="2" t="b">
        <v>0</v>
      </c>
      <c r="L426" s="2"/>
      <c r="M426" s="2"/>
      <c r="N426" s="2" t="s">
        <v>2264</v>
      </c>
      <c r="O426" s="2" t="str">
        <f>LEFT(Table2[[#This Row],[Description]],75)</f>
        <v>TRANSFER FUNDS FROM SCHWAB BANK - 440020765184</v>
      </c>
      <c r="P426" s="2"/>
    </row>
    <row r="427" spans="1:16" hidden="1">
      <c r="A427" s="2">
        <v>201908</v>
      </c>
      <c r="B427" s="3">
        <v>43700</v>
      </c>
      <c r="C427" s="2" t="s">
        <v>64</v>
      </c>
      <c r="D427" s="2" t="s">
        <v>2096</v>
      </c>
      <c r="E427" s="2">
        <v>995.36</v>
      </c>
      <c r="F427" s="2" t="s">
        <v>9</v>
      </c>
      <c r="J427" s="2">
        <v>995.36</v>
      </c>
      <c r="K427" s="2" t="b">
        <v>0</v>
      </c>
      <c r="L427" s="2"/>
      <c r="M427" s="2"/>
      <c r="N427" s="4" t="s">
        <v>2259</v>
      </c>
      <c r="O427" s="4" t="str">
        <f>LEFT(Table2[[#This Row],[Description]],75)</f>
        <v>US TREASURY BILL19U S T BILL DUE 11/21/19</v>
      </c>
      <c r="P427" s="2"/>
    </row>
    <row r="428" spans="1:16" hidden="1">
      <c r="A428" s="2">
        <v>201908</v>
      </c>
      <c r="B428" s="3">
        <v>43700</v>
      </c>
      <c r="C428" s="2" t="s">
        <v>2317</v>
      </c>
      <c r="D428" s="2" t="s">
        <v>2096</v>
      </c>
      <c r="E428" s="2">
        <v>995.36</v>
      </c>
      <c r="F428" s="2" t="s">
        <v>9</v>
      </c>
      <c r="J428" s="2">
        <v>995.36</v>
      </c>
      <c r="K428" s="2" t="b">
        <v>0</v>
      </c>
      <c r="L428" s="2"/>
      <c r="M428" s="2"/>
      <c r="N428" s="4" t="s">
        <v>2259</v>
      </c>
      <c r="O428" s="4" t="str">
        <f>LEFT(Table2[[#This Row],[Description]],75)</f>
        <v>US TREASURY BILL19U S T BILL DUE 11/21/19</v>
      </c>
      <c r="P428" s="2"/>
    </row>
    <row r="429" spans="1:16" hidden="1">
      <c r="A429" s="2">
        <v>201908</v>
      </c>
      <c r="B429" s="3">
        <v>43700</v>
      </c>
      <c r="C429" s="2" t="s">
        <v>2265</v>
      </c>
      <c r="D429" s="2" t="s">
        <v>2109</v>
      </c>
      <c r="E429" s="2">
        <v>50</v>
      </c>
      <c r="F429" s="2">
        <v>0</v>
      </c>
      <c r="J429" s="2">
        <v>50</v>
      </c>
      <c r="K429" s="2" t="b">
        <v>0</v>
      </c>
      <c r="L429" s="2"/>
      <c r="M429" s="2"/>
      <c r="N429" s="4" t="s">
        <v>2259</v>
      </c>
      <c r="O429" s="4" t="str">
        <f>LEFT(Table2[[#This Row],[Description]],75)</f>
        <v>Venmo</v>
      </c>
      <c r="P429" s="2"/>
    </row>
    <row r="430" spans="1:16" hidden="1">
      <c r="A430" s="2">
        <v>201908</v>
      </c>
      <c r="B430" s="3">
        <v>43700</v>
      </c>
      <c r="C430" s="2" t="s">
        <v>2267</v>
      </c>
      <c r="D430" s="2" t="s">
        <v>2109</v>
      </c>
      <c r="E430" s="2">
        <v>50</v>
      </c>
      <c r="F430" s="2" t="s">
        <v>21</v>
      </c>
      <c r="J430" s="2">
        <v>50</v>
      </c>
      <c r="K430" s="2" t="b">
        <v>0</v>
      </c>
      <c r="L430" s="2"/>
      <c r="M430" s="2"/>
      <c r="N430" s="4" t="s">
        <v>2259</v>
      </c>
      <c r="O430" s="4" t="str">
        <f>LEFT(Table2[[#This Row],[Description]],75)</f>
        <v>Venmo</v>
      </c>
      <c r="P430" s="2"/>
    </row>
    <row r="431" spans="1:16" hidden="1">
      <c r="A431" s="2">
        <v>201908</v>
      </c>
      <c r="B431" s="3">
        <v>43701</v>
      </c>
      <c r="C431" s="2" t="s">
        <v>2271</v>
      </c>
      <c r="D431" s="2" t="s">
        <v>185</v>
      </c>
      <c r="E431" s="2">
        <v>-86.2</v>
      </c>
      <c r="F431" s="2" t="s">
        <v>9</v>
      </c>
      <c r="J431" s="2">
        <v>86.2</v>
      </c>
      <c r="K431" s="2" t="b">
        <v>0</v>
      </c>
      <c r="L431" s="2"/>
      <c r="M431" s="2"/>
      <c r="N431" s="2" t="s">
        <v>2264</v>
      </c>
      <c r="O431" s="2" t="str">
        <f>LEFT(Table2[[#This Row],[Description]],75)</f>
        <v>Auto</v>
      </c>
      <c r="P431" s="2"/>
    </row>
    <row r="432" spans="1:16" hidden="1">
      <c r="A432" s="2">
        <v>201908</v>
      </c>
      <c r="B432" s="3">
        <v>43701</v>
      </c>
      <c r="C432" s="2" t="s">
        <v>2300</v>
      </c>
      <c r="D432" s="2" t="s">
        <v>1947</v>
      </c>
      <c r="E432" s="2">
        <v>-200</v>
      </c>
      <c r="F432" s="2" t="s">
        <v>9</v>
      </c>
      <c r="J432" s="2">
        <v>200</v>
      </c>
      <c r="K432" s="2" t="b">
        <v>0</v>
      </c>
      <c r="L432" s="2"/>
      <c r="M432" s="2"/>
      <c r="N432" s="4" t="s">
        <v>2273</v>
      </c>
      <c r="O432" s="4" t="str">
        <f>LEFT(Table2[[#This Row],[Description]],75)</f>
        <v>Transfer from POWERPLUS CHECKING</v>
      </c>
      <c r="P432" s="2" t="s">
        <v>2301</v>
      </c>
    </row>
    <row r="433" spans="1:16" hidden="1">
      <c r="A433" s="2">
        <v>201908</v>
      </c>
      <c r="B433" s="3">
        <v>43701</v>
      </c>
      <c r="C433" s="2" t="s">
        <v>2302</v>
      </c>
      <c r="D433" s="2" t="s">
        <v>1947</v>
      </c>
      <c r="E433" s="2">
        <v>-200</v>
      </c>
      <c r="F433" s="2" t="s">
        <v>9</v>
      </c>
      <c r="J433" s="2">
        <v>200</v>
      </c>
      <c r="K433" s="2" t="b">
        <v>0</v>
      </c>
      <c r="L433" s="2"/>
      <c r="M433" s="2"/>
      <c r="N433" s="2" t="s">
        <v>2264</v>
      </c>
      <c r="O433" s="2" t="str">
        <f>LEFT(Table2[[#This Row],[Description]],75)</f>
        <v>Transfer from POWERPLUS CHECKING</v>
      </c>
      <c r="P433" s="2"/>
    </row>
    <row r="434" spans="1:16" hidden="1">
      <c r="A434" s="2">
        <v>201908</v>
      </c>
      <c r="B434" s="3">
        <v>43701</v>
      </c>
      <c r="C434" s="2" t="s">
        <v>2265</v>
      </c>
      <c r="D434" s="2" t="s">
        <v>1957</v>
      </c>
      <c r="E434" s="2">
        <v>200</v>
      </c>
      <c r="F434" s="2" t="s">
        <v>59</v>
      </c>
      <c r="J434" s="2">
        <v>200</v>
      </c>
      <c r="K434" s="2" t="b">
        <v>0</v>
      </c>
      <c r="L434" s="2"/>
      <c r="M434" s="2"/>
      <c r="N434" s="4" t="s">
        <v>2259</v>
      </c>
      <c r="O434" s="4" t="str">
        <f>LEFT(Table2[[#This Row],[Description]],75)</f>
        <v>Transfer to RAINY DAY SAVINGS</v>
      </c>
      <c r="P434" s="2" t="s">
        <v>2303</v>
      </c>
    </row>
    <row r="435" spans="1:16" hidden="1">
      <c r="A435" s="2">
        <v>201908</v>
      </c>
      <c r="B435" s="3">
        <v>43701</v>
      </c>
      <c r="C435" s="2" t="s">
        <v>2267</v>
      </c>
      <c r="D435" s="2" t="s">
        <v>1957</v>
      </c>
      <c r="E435" s="2">
        <v>200</v>
      </c>
      <c r="F435" s="2" t="s">
        <v>59</v>
      </c>
      <c r="J435" s="2">
        <v>200</v>
      </c>
      <c r="K435" s="2" t="b">
        <v>0</v>
      </c>
      <c r="L435" s="2"/>
      <c r="M435" s="2"/>
      <c r="N435" s="4" t="s">
        <v>2259</v>
      </c>
      <c r="O435" s="4" t="str">
        <f>LEFT(Table2[[#This Row],[Description]],75)</f>
        <v>Transfer to RAINY DAY SAVINGS</v>
      </c>
      <c r="P435" s="2"/>
    </row>
    <row r="436" spans="1:16" hidden="1">
      <c r="A436" s="2">
        <v>201908</v>
      </c>
      <c r="B436" s="3">
        <v>43702</v>
      </c>
      <c r="C436" s="2" t="s">
        <v>2262</v>
      </c>
      <c r="D436" s="2" t="s">
        <v>446</v>
      </c>
      <c r="E436" s="2">
        <v>46.98</v>
      </c>
      <c r="F436" s="2" t="s">
        <v>28</v>
      </c>
      <c r="J436" s="2">
        <v>46.98</v>
      </c>
      <c r="K436" s="2" t="b">
        <v>0</v>
      </c>
      <c r="L436" s="2"/>
      <c r="M436" s="2"/>
      <c r="N436" s="4" t="s">
        <v>2259</v>
      </c>
      <c r="O436" s="4" t="str">
        <f>LEFT(Table2[[#This Row],[Description]],75)</f>
        <v>CARGILL PRODUC20081436 WAYZATA MN 246007947</v>
      </c>
      <c r="P436" s="2"/>
    </row>
    <row r="437" spans="1:16" hidden="1">
      <c r="A437" s="2">
        <v>201908</v>
      </c>
      <c r="B437" s="3">
        <v>43702</v>
      </c>
      <c r="C437" s="2" t="s">
        <v>2262</v>
      </c>
      <c r="D437" s="2" t="s">
        <v>684</v>
      </c>
      <c r="E437" s="2">
        <v>11.97</v>
      </c>
      <c r="F437" s="2" t="s">
        <v>28</v>
      </c>
      <c r="J437" s="2">
        <v>11.97</v>
      </c>
      <c r="K437" s="2" t="b">
        <v>0</v>
      </c>
      <c r="L437" s="2"/>
      <c r="M437" s="2"/>
      <c r="N437" s="4" t="s">
        <v>2259</v>
      </c>
      <c r="O437" s="4" t="str">
        <f>LEFT(Table2[[#This Row],[Description]],75)</f>
        <v>Cub Foods</v>
      </c>
      <c r="P437" s="2"/>
    </row>
    <row r="438" spans="1:16" hidden="1">
      <c r="A438" s="2">
        <v>201908</v>
      </c>
      <c r="B438" s="3">
        <v>43702</v>
      </c>
      <c r="C438" s="2" t="s">
        <v>2262</v>
      </c>
      <c r="D438" s="2" t="s">
        <v>723</v>
      </c>
      <c r="E438" s="2">
        <v>157.54</v>
      </c>
      <c r="F438" s="2" t="s">
        <v>2</v>
      </c>
      <c r="J438" s="2">
        <v>157.54</v>
      </c>
      <c r="K438" s="2" t="b">
        <v>0</v>
      </c>
      <c r="L438" s="2"/>
      <c r="M438" s="2"/>
      <c r="N438" s="4" t="s">
        <v>2259</v>
      </c>
      <c r="O438" s="4" t="str">
        <f>LEFT(Table2[[#This Row],[Description]],75)</f>
        <v>Details</v>
      </c>
      <c r="P438" s="2"/>
    </row>
    <row r="439" spans="1:16" hidden="1">
      <c r="A439" s="2">
        <v>201908</v>
      </c>
      <c r="B439" s="3">
        <v>43702</v>
      </c>
      <c r="C439" s="2" t="s">
        <v>2262</v>
      </c>
      <c r="D439" s="2" t="s">
        <v>790</v>
      </c>
      <c r="E439" s="2">
        <v>23.2</v>
      </c>
      <c r="F439" s="2" t="s">
        <v>21</v>
      </c>
      <c r="J439" s="2">
        <v>23.2</v>
      </c>
      <c r="K439" s="2" t="b">
        <v>0</v>
      </c>
      <c r="L439" s="2"/>
      <c r="M439" s="2"/>
      <c r="N439" s="4" t="s">
        <v>2259</v>
      </c>
      <c r="O439" s="4" t="str">
        <f>LEFT(Table2[[#This Row],[Description]],75)</f>
        <v>DOORDASHSMASHBURGER STRIPECOM CA 246007951</v>
      </c>
      <c r="P439" s="2"/>
    </row>
    <row r="440" spans="1:16" hidden="1">
      <c r="A440" s="2">
        <v>201908</v>
      </c>
      <c r="B440" s="3">
        <v>43702</v>
      </c>
      <c r="C440" s="2" t="s">
        <v>2262</v>
      </c>
      <c r="D440" s="2" t="s">
        <v>2149</v>
      </c>
      <c r="E440" s="2">
        <v>10.07</v>
      </c>
      <c r="F440" s="2" t="s">
        <v>26</v>
      </c>
      <c r="J440" s="2">
        <v>10.07</v>
      </c>
      <c r="K440" s="2" t="b">
        <v>0</v>
      </c>
      <c r="L440" s="2"/>
      <c r="M440" s="2"/>
      <c r="N440" s="4" t="s">
        <v>2259</v>
      </c>
      <c r="O440" s="4" t="str">
        <f>LEFT(Table2[[#This Row],[Description]],75)</f>
        <v>Wendy's</v>
      </c>
      <c r="P440" s="2"/>
    </row>
    <row r="441" spans="1:16" hidden="1">
      <c r="A441" s="2">
        <v>201908</v>
      </c>
      <c r="B441" s="3">
        <v>43703</v>
      </c>
      <c r="C441" s="2" t="s">
        <v>2270</v>
      </c>
      <c r="D441" s="2" t="s">
        <v>1414</v>
      </c>
      <c r="E441" s="2">
        <v>-535.94000000000005</v>
      </c>
      <c r="F441" s="2" t="s">
        <v>9</v>
      </c>
      <c r="J441" s="2">
        <v>535.94000000000005</v>
      </c>
      <c r="K441" s="2" t="b">
        <v>0</v>
      </c>
      <c r="L441" s="2"/>
      <c r="M441" s="2"/>
      <c r="N441" s="2" t="s">
        <v>2264</v>
      </c>
      <c r="O441" s="2" t="str">
        <f>LEFT(Table2[[#This Row],[Description]],75)</f>
        <v>PAYMENT 246472536</v>
      </c>
      <c r="P441" s="2"/>
    </row>
    <row r="442" spans="1:16" hidden="1">
      <c r="A442" s="2">
        <v>201908</v>
      </c>
      <c r="B442" s="3">
        <v>43703</v>
      </c>
      <c r="C442" s="2" t="s">
        <v>2265</v>
      </c>
      <c r="D442" s="2" t="s">
        <v>2207</v>
      </c>
      <c r="E442" s="2">
        <v>2914.59</v>
      </c>
      <c r="F442" s="2" t="s">
        <v>5</v>
      </c>
      <c r="J442" s="2">
        <v>2914.59</v>
      </c>
      <c r="K442" s="2" t="b">
        <v>0</v>
      </c>
      <c r="L442" s="2"/>
      <c r="M442" s="2"/>
      <c r="N442" s="4" t="s">
        <v>2259</v>
      </c>
      <c r="O442" s="4" t="str">
        <f>LEFT(Table2[[#This Row],[Description]],75)</f>
        <v>Withdrawal Home To Loan Mortgage Payment Thank You 246127048</v>
      </c>
      <c r="P442" s="2" t="s">
        <v>2269</v>
      </c>
    </row>
    <row r="443" spans="1:16" hidden="1">
      <c r="A443" s="2">
        <v>201908</v>
      </c>
      <c r="B443" s="3">
        <v>43703</v>
      </c>
      <c r="C443" s="2" t="s">
        <v>2258</v>
      </c>
      <c r="D443" s="2" t="s">
        <v>38</v>
      </c>
      <c r="E443" s="2">
        <v>17.13</v>
      </c>
      <c r="F443" s="2" t="s">
        <v>38</v>
      </c>
      <c r="J443" s="2">
        <v>17.13</v>
      </c>
      <c r="K443" s="2" t="b">
        <v>0</v>
      </c>
      <c r="L443" s="2"/>
      <c r="M443" s="2"/>
      <c r="N443" s="4" t="s">
        <v>2259</v>
      </c>
      <c r="O443" s="4" t="str">
        <f>LEFT(Table2[[#This Row],[Description]],75)</f>
        <v>Amazon</v>
      </c>
      <c r="P443" s="2" t="s">
        <v>2260</v>
      </c>
    </row>
    <row r="444" spans="1:16" hidden="1">
      <c r="A444" s="2">
        <v>201908</v>
      </c>
      <c r="B444" s="3">
        <v>43703</v>
      </c>
      <c r="C444" s="2" t="s">
        <v>2261</v>
      </c>
      <c r="D444" s="2" t="s">
        <v>38</v>
      </c>
      <c r="E444" s="2">
        <v>17.13</v>
      </c>
      <c r="F444" s="2" t="s">
        <v>38</v>
      </c>
      <c r="J444" s="2">
        <v>17.13</v>
      </c>
      <c r="K444" s="2" t="b">
        <v>0</v>
      </c>
      <c r="L444" s="2"/>
      <c r="M444" s="2"/>
      <c r="N444" s="4" t="s">
        <v>2259</v>
      </c>
      <c r="O444" s="4" t="str">
        <f>LEFT(Table2[[#This Row],[Description]],75)</f>
        <v>Amazon</v>
      </c>
      <c r="P444" s="2"/>
    </row>
    <row r="445" spans="1:16" hidden="1">
      <c r="A445" s="2">
        <v>201908</v>
      </c>
      <c r="B445" s="3">
        <v>43703</v>
      </c>
      <c r="C445" s="2" t="s">
        <v>2258</v>
      </c>
      <c r="D445" s="2" t="s">
        <v>1350</v>
      </c>
      <c r="E445" s="2">
        <v>12.99</v>
      </c>
      <c r="F445" s="2" t="s">
        <v>7</v>
      </c>
      <c r="J445" s="2">
        <v>12.99</v>
      </c>
      <c r="K445" s="2" t="b">
        <v>0</v>
      </c>
      <c r="L445" s="2"/>
      <c r="M445" s="2"/>
      <c r="N445" s="4" t="s">
        <v>2259</v>
      </c>
      <c r="O445" s="4" t="str">
        <f>LEFT(Table2[[#This Row],[Description]],75)</f>
        <v>Netflix</v>
      </c>
      <c r="P445" s="2" t="s">
        <v>2306</v>
      </c>
    </row>
    <row r="446" spans="1:16" hidden="1">
      <c r="A446" s="2">
        <v>201908</v>
      </c>
      <c r="B446" s="3">
        <v>43703</v>
      </c>
      <c r="C446" s="2" t="s">
        <v>2261</v>
      </c>
      <c r="D446" s="2" t="s">
        <v>1350</v>
      </c>
      <c r="E446" s="2">
        <v>12.99</v>
      </c>
      <c r="F446" s="2" t="s">
        <v>7</v>
      </c>
      <c r="J446" s="2">
        <v>12.99</v>
      </c>
      <c r="K446" s="2" t="b">
        <v>0</v>
      </c>
      <c r="L446" s="2"/>
      <c r="M446" s="2"/>
      <c r="N446" s="4" t="s">
        <v>2259</v>
      </c>
      <c r="O446" s="4" t="str">
        <f>LEFT(Table2[[#This Row],[Description]],75)</f>
        <v>Netflix</v>
      </c>
      <c r="P446" s="2"/>
    </row>
    <row r="447" spans="1:16" hidden="1">
      <c r="A447" s="2">
        <v>201908</v>
      </c>
      <c r="B447" s="3">
        <v>43703</v>
      </c>
      <c r="C447" s="2" t="s">
        <v>64</v>
      </c>
      <c r="D447" s="2" t="s">
        <v>1774</v>
      </c>
      <c r="E447" s="2">
        <v>16.28</v>
      </c>
      <c r="F447" s="2" t="s">
        <v>69</v>
      </c>
      <c r="J447" s="2">
        <v>16.28</v>
      </c>
      <c r="K447" s="2" t="b">
        <v>0</v>
      </c>
      <c r="L447" s="2"/>
      <c r="M447" s="2"/>
      <c r="N447" s="4" t="s">
        <v>2259</v>
      </c>
      <c r="O447" s="4" t="str">
        <f>LEFT(Table2[[#This Row],[Description]],75)</f>
        <v>STARBUCKS CORP</v>
      </c>
      <c r="P447" s="2"/>
    </row>
    <row r="448" spans="1:16" hidden="1">
      <c r="A448" s="2">
        <v>201908</v>
      </c>
      <c r="B448" s="3">
        <v>43703</v>
      </c>
      <c r="C448" s="2" t="s">
        <v>2317</v>
      </c>
      <c r="D448" s="2" t="s">
        <v>1774</v>
      </c>
      <c r="E448" s="2">
        <v>16.28</v>
      </c>
      <c r="F448" s="2" t="s">
        <v>9</v>
      </c>
      <c r="J448" s="2">
        <v>16.28</v>
      </c>
      <c r="K448" s="2" t="b">
        <v>0</v>
      </c>
      <c r="L448" s="2"/>
      <c r="M448" s="2"/>
      <c r="N448" s="4" t="s">
        <v>2259</v>
      </c>
      <c r="O448" s="4" t="str">
        <f>LEFT(Table2[[#This Row],[Description]],75)</f>
        <v>STARBUCKS CORP</v>
      </c>
      <c r="P448" s="2"/>
    </row>
    <row r="449" spans="1:16" hidden="1">
      <c r="A449" s="2">
        <v>201908</v>
      </c>
      <c r="B449" s="3">
        <v>43703</v>
      </c>
      <c r="C449" s="2" t="s">
        <v>2265</v>
      </c>
      <c r="D449" s="2" t="s">
        <v>31</v>
      </c>
      <c r="E449" s="2">
        <v>86.2</v>
      </c>
      <c r="F449" s="2" t="s">
        <v>31</v>
      </c>
      <c r="J449" s="2">
        <v>86.2</v>
      </c>
      <c r="K449" s="2" t="b">
        <v>0</v>
      </c>
      <c r="L449" s="2"/>
      <c r="M449" s="2"/>
      <c r="N449" s="4" t="s">
        <v>2259</v>
      </c>
      <c r="O449" s="4" t="str">
        <f>LEFT(Table2[[#This Row],[Description]],75)</f>
        <v>Target</v>
      </c>
      <c r="P449" s="2" t="s">
        <v>2309</v>
      </c>
    </row>
    <row r="450" spans="1:16" hidden="1">
      <c r="A450" s="2">
        <v>201908</v>
      </c>
      <c r="B450" s="3">
        <v>43703</v>
      </c>
      <c r="C450" s="2" t="s">
        <v>2267</v>
      </c>
      <c r="D450" s="2" t="s">
        <v>31</v>
      </c>
      <c r="E450" s="2">
        <v>86.2</v>
      </c>
      <c r="F450" s="2" t="s">
        <v>31</v>
      </c>
      <c r="J450" s="2">
        <v>86.2</v>
      </c>
      <c r="K450" s="2" t="b">
        <v>0</v>
      </c>
      <c r="L450" s="2"/>
      <c r="M450" s="2"/>
      <c r="N450" s="4" t="s">
        <v>2259</v>
      </c>
      <c r="O450" s="4" t="str">
        <f>LEFT(Table2[[#This Row],[Description]],75)</f>
        <v>Target</v>
      </c>
      <c r="P450" s="2"/>
    </row>
    <row r="451" spans="1:16" hidden="1">
      <c r="A451" s="2">
        <v>201908</v>
      </c>
      <c r="B451" s="3">
        <v>43704</v>
      </c>
      <c r="C451" s="2" t="s">
        <v>2258</v>
      </c>
      <c r="D451" s="2" t="s">
        <v>348</v>
      </c>
      <c r="E451" s="2">
        <v>5.01</v>
      </c>
      <c r="F451" s="2" t="s">
        <v>26</v>
      </c>
      <c r="J451" s="2">
        <v>5.01</v>
      </c>
      <c r="K451" s="2" t="b">
        <v>0</v>
      </c>
      <c r="L451" s="2"/>
      <c r="M451" s="2"/>
      <c r="N451" s="4" t="s">
        <v>2259</v>
      </c>
      <c r="O451" s="4" t="str">
        <f>LEFT(Table2[[#This Row],[Description]],75)</f>
        <v>CARGILL CAF20014981579 WAYZATA MN</v>
      </c>
      <c r="P451" s="2" t="s">
        <v>2323</v>
      </c>
    </row>
    <row r="452" spans="1:16" hidden="1">
      <c r="A452" s="2">
        <v>201908</v>
      </c>
      <c r="B452" s="3">
        <v>43704</v>
      </c>
      <c r="C452" s="2" t="s">
        <v>2261</v>
      </c>
      <c r="D452" s="2" t="s">
        <v>348</v>
      </c>
      <c r="E452" s="2">
        <v>5.01</v>
      </c>
      <c r="F452" s="2" t="s">
        <v>26</v>
      </c>
      <c r="J452" s="2">
        <v>5.01</v>
      </c>
      <c r="K452" s="2" t="b">
        <v>0</v>
      </c>
      <c r="L452" s="2"/>
      <c r="M452" s="2"/>
      <c r="N452" s="4" t="s">
        <v>2259</v>
      </c>
      <c r="O452" s="4" t="str">
        <f>LEFT(Table2[[#This Row],[Description]],75)</f>
        <v>CARGILL CAF20014981579 WAYZATA MN</v>
      </c>
      <c r="P452" s="2"/>
    </row>
    <row r="453" spans="1:16" hidden="1">
      <c r="A453" s="2">
        <v>201908</v>
      </c>
      <c r="B453" s="3">
        <v>43704</v>
      </c>
      <c r="C453" s="2" t="s">
        <v>2258</v>
      </c>
      <c r="D453" s="2" t="s">
        <v>453</v>
      </c>
      <c r="E453" s="2">
        <v>8.58</v>
      </c>
      <c r="F453" s="2" t="s">
        <v>26</v>
      </c>
      <c r="J453" s="2">
        <v>8.58</v>
      </c>
      <c r="K453" s="2" t="b">
        <v>0</v>
      </c>
      <c r="L453" s="2"/>
      <c r="M453" s="2"/>
      <c r="N453" s="4" t="s">
        <v>2259</v>
      </c>
      <c r="O453" s="4" t="str">
        <f>LEFT(Table2[[#This Row],[Description]],75)</f>
        <v>Caribou Coffee</v>
      </c>
      <c r="P453" s="2" t="s">
        <v>2329</v>
      </c>
    </row>
    <row r="454" spans="1:16" hidden="1">
      <c r="A454" s="2">
        <v>201908</v>
      </c>
      <c r="B454" s="3">
        <v>43704</v>
      </c>
      <c r="C454" s="2" t="s">
        <v>2261</v>
      </c>
      <c r="D454" s="2" t="s">
        <v>453</v>
      </c>
      <c r="E454" s="2">
        <v>8.58</v>
      </c>
      <c r="F454" s="2" t="s">
        <v>26</v>
      </c>
      <c r="J454" s="2">
        <v>8.58</v>
      </c>
      <c r="K454" s="2" t="b">
        <v>0</v>
      </c>
      <c r="L454" s="2"/>
      <c r="M454" s="2"/>
      <c r="N454" s="4" t="s">
        <v>2259</v>
      </c>
      <c r="O454" s="4" t="str">
        <f>LEFT(Table2[[#This Row],[Description]],75)</f>
        <v>Caribou Coffee</v>
      </c>
      <c r="P454" s="2"/>
    </row>
    <row r="455" spans="1:16" hidden="1">
      <c r="A455" s="2">
        <v>201908</v>
      </c>
      <c r="B455" s="3">
        <v>43704</v>
      </c>
      <c r="C455" s="2" t="s">
        <v>2258</v>
      </c>
      <c r="D455" s="2" t="s">
        <v>1342</v>
      </c>
      <c r="E455" s="2">
        <v>55.74</v>
      </c>
      <c r="F455" s="2" t="s">
        <v>26</v>
      </c>
      <c r="J455" s="2">
        <v>55.74</v>
      </c>
      <c r="K455" s="2" t="b">
        <v>0</v>
      </c>
      <c r="L455" s="2"/>
      <c r="M455" s="2"/>
      <c r="N455" s="4" t="s">
        <v>2259</v>
      </c>
      <c r="O455" s="4" t="str">
        <f>LEFT(Table2[[#This Row],[Description]],75)</f>
        <v>Nas Thai Cafe Inc</v>
      </c>
      <c r="P455" s="2" t="s">
        <v>2330</v>
      </c>
    </row>
    <row r="456" spans="1:16" hidden="1">
      <c r="A456" s="2">
        <v>201908</v>
      </c>
      <c r="B456" s="3">
        <v>43704</v>
      </c>
      <c r="C456" s="2" t="s">
        <v>2261</v>
      </c>
      <c r="D456" s="2" t="s">
        <v>1342</v>
      </c>
      <c r="E456" s="2">
        <v>55.74</v>
      </c>
      <c r="F456" s="2" t="s">
        <v>26</v>
      </c>
      <c r="J456" s="2">
        <v>55.74</v>
      </c>
      <c r="K456" s="2" t="b">
        <v>0</v>
      </c>
      <c r="L456" s="2"/>
      <c r="M456" s="2"/>
      <c r="N456" s="4" t="s">
        <v>2259</v>
      </c>
      <c r="O456" s="4" t="str">
        <f>LEFT(Table2[[#This Row],[Description]],75)</f>
        <v>Nas Thai Cafe Inc</v>
      </c>
      <c r="P456" s="2"/>
    </row>
    <row r="457" spans="1:16" hidden="1">
      <c r="A457" s="2">
        <v>201908</v>
      </c>
      <c r="B457" s="3">
        <v>43704</v>
      </c>
      <c r="C457" s="2" t="s">
        <v>2262</v>
      </c>
      <c r="D457" s="2" t="s">
        <v>1681</v>
      </c>
      <c r="E457" s="2">
        <v>54</v>
      </c>
      <c r="F457" s="2" t="s">
        <v>21</v>
      </c>
      <c r="J457" s="2">
        <v>54</v>
      </c>
      <c r="K457" s="2" t="b">
        <v>0</v>
      </c>
      <c r="L457" s="2"/>
      <c r="M457" s="2"/>
      <c r="N457" s="4" t="s">
        <v>2259</v>
      </c>
      <c r="O457" s="4" t="str">
        <f>LEFT(Table2[[#This Row],[Description]],75)</f>
        <v>SOTA CLOTHING ST LOUIS P MN 246489179</v>
      </c>
      <c r="P457" s="2"/>
    </row>
    <row r="458" spans="1:16" hidden="1">
      <c r="A458" s="2">
        <v>201908</v>
      </c>
      <c r="B458" s="3">
        <v>43705</v>
      </c>
      <c r="C458" s="2" t="s">
        <v>2258</v>
      </c>
      <c r="D458" s="2" t="s">
        <v>38</v>
      </c>
      <c r="E458" s="2">
        <v>10.74</v>
      </c>
      <c r="F458" s="2" t="s">
        <v>38</v>
      </c>
      <c r="J458" s="2">
        <v>10.74</v>
      </c>
      <c r="K458" s="2" t="b">
        <v>0</v>
      </c>
      <c r="L458" s="2"/>
      <c r="M458" s="2"/>
      <c r="N458" s="4" t="s">
        <v>2259</v>
      </c>
      <c r="O458" s="4" t="str">
        <f>LEFT(Table2[[#This Row],[Description]],75)</f>
        <v>Amazon</v>
      </c>
      <c r="P458" s="2" t="s">
        <v>2260</v>
      </c>
    </row>
    <row r="459" spans="1:16" hidden="1">
      <c r="A459" s="2">
        <v>201908</v>
      </c>
      <c r="B459" s="3">
        <v>43705</v>
      </c>
      <c r="C459" s="2" t="s">
        <v>2261</v>
      </c>
      <c r="D459" s="2" t="s">
        <v>38</v>
      </c>
      <c r="E459" s="2">
        <v>10.74</v>
      </c>
      <c r="F459" s="2" t="s">
        <v>38</v>
      </c>
      <c r="J459" s="2">
        <v>10.74</v>
      </c>
      <c r="K459" s="2" t="b">
        <v>0</v>
      </c>
      <c r="L459" s="2"/>
      <c r="M459" s="2"/>
      <c r="N459" s="4" t="s">
        <v>2259</v>
      </c>
      <c r="O459" s="4" t="str">
        <f>LEFT(Table2[[#This Row],[Description]],75)</f>
        <v>Amazon</v>
      </c>
      <c r="P459" s="2"/>
    </row>
    <row r="460" spans="1:16" hidden="1">
      <c r="A460" s="2">
        <v>201908</v>
      </c>
      <c r="B460" s="3">
        <v>43706</v>
      </c>
      <c r="C460" s="2" t="s">
        <v>2258</v>
      </c>
      <c r="D460" s="2" t="s">
        <v>38</v>
      </c>
      <c r="E460" s="2">
        <v>7.51</v>
      </c>
      <c r="F460" s="2" t="s">
        <v>38</v>
      </c>
      <c r="J460" s="2">
        <v>7.51</v>
      </c>
      <c r="K460" s="2" t="b">
        <v>0</v>
      </c>
      <c r="L460" s="2"/>
      <c r="M460" s="2"/>
      <c r="N460" s="4" t="s">
        <v>2259</v>
      </c>
      <c r="O460" s="4" t="str">
        <f>LEFT(Table2[[#This Row],[Description]],75)</f>
        <v>Amazon</v>
      </c>
      <c r="P460" s="2" t="s">
        <v>2260</v>
      </c>
    </row>
    <row r="461" spans="1:16" hidden="1">
      <c r="A461" s="2">
        <v>201908</v>
      </c>
      <c r="B461" s="3">
        <v>43706</v>
      </c>
      <c r="C461" s="2" t="s">
        <v>2261</v>
      </c>
      <c r="D461" s="2" t="s">
        <v>38</v>
      </c>
      <c r="E461" s="2">
        <v>7.51</v>
      </c>
      <c r="F461" s="2" t="s">
        <v>38</v>
      </c>
      <c r="J461" s="2">
        <v>7.51</v>
      </c>
      <c r="K461" s="2" t="b">
        <v>0</v>
      </c>
      <c r="L461" s="2"/>
      <c r="M461" s="2"/>
      <c r="N461" s="4" t="s">
        <v>2259</v>
      </c>
      <c r="O461" s="4" t="str">
        <f>LEFT(Table2[[#This Row],[Description]],75)</f>
        <v>Amazon</v>
      </c>
      <c r="P461" s="2"/>
    </row>
    <row r="462" spans="1:16" hidden="1">
      <c r="A462" s="2">
        <v>201908</v>
      </c>
      <c r="B462" s="3">
        <v>43706</v>
      </c>
      <c r="C462" s="2" t="s">
        <v>2265</v>
      </c>
      <c r="D462" s="2" t="s">
        <v>467</v>
      </c>
      <c r="E462" s="2">
        <v>256.5</v>
      </c>
      <c r="F462" s="2" t="s">
        <v>20</v>
      </c>
      <c r="J462" s="2">
        <v>256.5</v>
      </c>
      <c r="K462" s="2" t="b">
        <v>0</v>
      </c>
      <c r="L462" s="2"/>
      <c r="M462" s="2"/>
      <c r="N462" s="4" t="s">
        <v>2259</v>
      </c>
      <c r="O462" s="4" t="str">
        <f>LEFT(Table2[[#This Row],[Description]],75)</f>
        <v>CCLC TYPE INTERNET ID CO CCLC ACH ECC WEB ACH Trace 26790 246798009</v>
      </c>
      <c r="P462" s="2" t="s">
        <v>2268</v>
      </c>
    </row>
    <row r="463" spans="1:16" hidden="1">
      <c r="A463" s="2">
        <v>201908</v>
      </c>
      <c r="B463" s="3">
        <v>43706</v>
      </c>
      <c r="C463" s="2" t="s">
        <v>2267</v>
      </c>
      <c r="D463" s="2" t="s">
        <v>467</v>
      </c>
      <c r="E463" s="2">
        <v>256.5</v>
      </c>
      <c r="F463" s="2" t="s">
        <v>20</v>
      </c>
      <c r="J463" s="2">
        <v>256.5</v>
      </c>
      <c r="K463" s="2" t="b">
        <v>0</v>
      </c>
      <c r="L463" s="2"/>
      <c r="M463" s="2"/>
      <c r="N463" s="4" t="s">
        <v>2259</v>
      </c>
      <c r="O463" s="4" t="str">
        <f>LEFT(Table2[[#This Row],[Description]],75)</f>
        <v>CCLC TYPE INTERNET ID CO CCLC ACH ECC WEB ACH Trace 26790 246798009</v>
      </c>
      <c r="P463" s="2"/>
    </row>
    <row r="464" spans="1:16" hidden="1">
      <c r="A464" s="2">
        <v>201908</v>
      </c>
      <c r="B464" s="3">
        <v>43706</v>
      </c>
      <c r="C464" s="2" t="s">
        <v>2265</v>
      </c>
      <c r="D464" s="2" t="s">
        <v>1046</v>
      </c>
      <c r="E464" s="2">
        <v>-2570.36</v>
      </c>
      <c r="F464" s="2" t="s">
        <v>63</v>
      </c>
      <c r="J464" s="2">
        <v>2570.36</v>
      </c>
      <c r="K464" s="2" t="b">
        <v>0</v>
      </c>
      <c r="L464" s="2"/>
      <c r="M464" s="2"/>
      <c r="N464" s="4" t="s">
        <v>2273</v>
      </c>
      <c r="O464" s="4" t="str">
        <f>LEFT(Table2[[#This Row],[Description]],75)</f>
        <v>KAUFMAN HALL TYPE DIRECT DEP ID CO KAUFMAN HALL ACH ECC PPD ACH Trace 32137</v>
      </c>
      <c r="P464" s="2" t="s">
        <v>2285</v>
      </c>
    </row>
    <row r="465" spans="1:16" hidden="1">
      <c r="A465" s="2">
        <v>201908</v>
      </c>
      <c r="B465" s="3">
        <v>43706</v>
      </c>
      <c r="C465" s="2" t="s">
        <v>2267</v>
      </c>
      <c r="D465" s="2" t="s">
        <v>1046</v>
      </c>
      <c r="E465" s="2">
        <v>-2570.36</v>
      </c>
      <c r="F465" s="2" t="s">
        <v>63</v>
      </c>
      <c r="J465" s="2">
        <v>2570.36</v>
      </c>
      <c r="K465" s="2" t="b">
        <v>0</v>
      </c>
      <c r="L465" s="2"/>
      <c r="M465" s="2"/>
      <c r="N465" s="2" t="s">
        <v>2264</v>
      </c>
      <c r="O465" s="2" t="str">
        <f>LEFT(Table2[[#This Row],[Description]],75)</f>
        <v>KAUFMAN HALL TYPE DIRECT DEP ID CO KAUFMAN HALL ACH ECC PPD ACH Trace 32137</v>
      </c>
      <c r="P465" s="2"/>
    </row>
    <row r="466" spans="1:16" hidden="1">
      <c r="A466" s="2">
        <v>201908</v>
      </c>
      <c r="B466" s="3">
        <v>43706</v>
      </c>
      <c r="C466" s="2" t="s">
        <v>2265</v>
      </c>
      <c r="D466" s="2" t="s">
        <v>1471</v>
      </c>
      <c r="E466" s="2">
        <v>26.87</v>
      </c>
      <c r="F466" s="2" t="s">
        <v>21</v>
      </c>
      <c r="J466" s="2">
        <v>26.87</v>
      </c>
      <c r="K466" s="2" t="b">
        <v>0</v>
      </c>
      <c r="L466" s="2"/>
      <c r="M466" s="2"/>
      <c r="N466" s="4" t="s">
        <v>2259</v>
      </c>
      <c r="O466" s="4" t="str">
        <f>LEFT(Table2[[#This Row],[Description]],75)</f>
        <v>PayPal</v>
      </c>
      <c r="P466" s="2" t="s">
        <v>2322</v>
      </c>
    </row>
    <row r="467" spans="1:16" hidden="1">
      <c r="A467" s="2">
        <v>201908</v>
      </c>
      <c r="B467" s="3">
        <v>43706</v>
      </c>
      <c r="C467" s="2" t="s">
        <v>2267</v>
      </c>
      <c r="D467" s="2" t="s">
        <v>1471</v>
      </c>
      <c r="E467" s="2">
        <v>26.87</v>
      </c>
      <c r="F467" s="2" t="s">
        <v>21</v>
      </c>
      <c r="J467" s="2">
        <v>26.87</v>
      </c>
      <c r="K467" s="2" t="b">
        <v>0</v>
      </c>
      <c r="L467" s="2"/>
      <c r="M467" s="2"/>
      <c r="N467" s="4" t="s">
        <v>2259</v>
      </c>
      <c r="O467" s="4" t="str">
        <f>LEFT(Table2[[#This Row],[Description]],75)</f>
        <v>PayPal</v>
      </c>
      <c r="P467" s="2"/>
    </row>
    <row r="468" spans="1:16" hidden="1">
      <c r="A468" s="2">
        <v>201908</v>
      </c>
      <c r="B468" s="3">
        <v>43706</v>
      </c>
      <c r="C468" s="2" t="s">
        <v>64</v>
      </c>
      <c r="D468" s="2" t="s">
        <v>1641</v>
      </c>
      <c r="E468" s="2">
        <v>-0.6</v>
      </c>
      <c r="F468" s="2" t="s">
        <v>16</v>
      </c>
      <c r="J468" s="2">
        <v>0.6</v>
      </c>
      <c r="K468" s="2" t="b">
        <v>0</v>
      </c>
      <c r="L468" s="2"/>
      <c r="M468" s="2"/>
      <c r="N468" s="2" t="s">
        <v>2264</v>
      </c>
      <c r="O468" s="2" t="str">
        <f>LEFT(Table2[[#This Row],[Description]],75)</f>
        <v>SCHWAB1 INT 07/30-08/28</v>
      </c>
      <c r="P468" s="2"/>
    </row>
    <row r="469" spans="1:16" hidden="1">
      <c r="A469" s="2">
        <v>201908</v>
      </c>
      <c r="B469" s="3">
        <v>43706</v>
      </c>
      <c r="C469" s="2" t="s">
        <v>2317</v>
      </c>
      <c r="D469" s="2" t="s">
        <v>1641</v>
      </c>
      <c r="E469" s="2">
        <v>-0.6</v>
      </c>
      <c r="F469" s="2" t="s">
        <v>9</v>
      </c>
      <c r="J469" s="2">
        <v>0.6</v>
      </c>
      <c r="K469" s="2" t="b">
        <v>0</v>
      </c>
      <c r="L469" s="2"/>
      <c r="M469" s="2"/>
      <c r="N469" s="2" t="s">
        <v>2264</v>
      </c>
      <c r="O469" s="2" t="str">
        <f>LEFT(Table2[[#This Row],[Description]],75)</f>
        <v>SCHWAB1 INT 07/30-08/28</v>
      </c>
      <c r="P469" s="2"/>
    </row>
    <row r="470" spans="1:16" hidden="1">
      <c r="A470" s="2">
        <v>201908</v>
      </c>
      <c r="B470" s="3">
        <v>43706</v>
      </c>
      <c r="C470" s="2" t="s">
        <v>2262</v>
      </c>
      <c r="D470" s="2" t="s">
        <v>1707</v>
      </c>
      <c r="E470" s="2">
        <v>7.17</v>
      </c>
      <c r="F470" s="2" t="s">
        <v>23</v>
      </c>
      <c r="J470" s="2">
        <v>7.17</v>
      </c>
      <c r="K470" s="2" t="b">
        <v>0</v>
      </c>
      <c r="L470" s="2"/>
      <c r="M470" s="2"/>
      <c r="N470" s="4" t="s">
        <v>2259</v>
      </c>
      <c r="O470" s="4" t="str">
        <f>LEFT(Table2[[#This Row],[Description]],75)</f>
        <v>Speedway</v>
      </c>
      <c r="P470" s="2"/>
    </row>
    <row r="471" spans="1:16" hidden="1">
      <c r="A471" s="2">
        <v>201908</v>
      </c>
      <c r="B471" s="3">
        <v>43707</v>
      </c>
      <c r="C471" s="2" t="s">
        <v>2265</v>
      </c>
      <c r="D471" s="2" t="s">
        <v>215</v>
      </c>
      <c r="E471" s="2">
        <v>226.99</v>
      </c>
      <c r="F471" s="2" t="s">
        <v>21</v>
      </c>
      <c r="J471" s="2">
        <v>226.99</v>
      </c>
      <c r="K471" s="2" t="b">
        <v>0</v>
      </c>
      <c r="L471" s="2"/>
      <c r="M471" s="2"/>
      <c r="N471" s="4" t="s">
        <v>2259</v>
      </c>
      <c r="O471" s="4" t="str">
        <f>LEFT(Table2[[#This Row],[Description]],75)</f>
        <v>Banana Visa TYPE BR EPAY ID CO Banana Visa ACH ECC WEB ACH Trace 91862 2470</v>
      </c>
      <c r="P471" s="2" t="s">
        <v>2297</v>
      </c>
    </row>
    <row r="472" spans="1:16" hidden="1">
      <c r="A472" s="2">
        <v>201908</v>
      </c>
      <c r="B472" s="3">
        <v>43707</v>
      </c>
      <c r="C472" s="2" t="s">
        <v>2267</v>
      </c>
      <c r="D472" s="2" t="s">
        <v>215</v>
      </c>
      <c r="E472" s="2">
        <v>226.99</v>
      </c>
      <c r="F472" s="2" t="s">
        <v>21</v>
      </c>
      <c r="J472" s="2">
        <v>226.99</v>
      </c>
      <c r="K472" s="2" t="b">
        <v>0</v>
      </c>
      <c r="L472" s="2"/>
      <c r="M472" s="2"/>
      <c r="N472" s="4" t="s">
        <v>2259</v>
      </c>
      <c r="O472" s="4" t="str">
        <f>LEFT(Table2[[#This Row],[Description]],75)</f>
        <v>Banana Visa TYPE BR EPAY ID CO Banana Visa ACH ECC WEB ACH Trace 91862 2470</v>
      </c>
      <c r="P472" s="2"/>
    </row>
    <row r="473" spans="1:16" hidden="1">
      <c r="A473" s="2">
        <v>201908</v>
      </c>
      <c r="B473" s="3">
        <v>43707</v>
      </c>
      <c r="C473" s="2" t="s">
        <v>2274</v>
      </c>
      <c r="D473" s="2" t="s">
        <v>994</v>
      </c>
      <c r="E473" s="2">
        <v>-1.1200000000000001</v>
      </c>
      <c r="F473" s="2">
        <v>0</v>
      </c>
      <c r="J473" s="2">
        <v>1.1200000000000001</v>
      </c>
      <c r="K473" s="2" t="b">
        <v>0</v>
      </c>
      <c r="L473" s="2"/>
      <c r="M473" s="2"/>
      <c r="N473" s="2" t="s">
        <v>2264</v>
      </c>
      <c r="O473" s="2" t="str">
        <f>LEFT(Table2[[#This Row],[Description]],75)</f>
        <v>Interest Paid</v>
      </c>
      <c r="P473" s="2" t="s">
        <v>2312</v>
      </c>
    </row>
    <row r="474" spans="1:16" hidden="1">
      <c r="A474" s="2">
        <v>201908</v>
      </c>
      <c r="B474" s="3">
        <v>43707</v>
      </c>
      <c r="C474" s="2" t="s">
        <v>64</v>
      </c>
      <c r="D474" s="2" t="s">
        <v>1037</v>
      </c>
      <c r="E474" s="2">
        <v>-200</v>
      </c>
      <c r="F474" s="2" t="s">
        <v>59</v>
      </c>
      <c r="J474" s="2">
        <v>200</v>
      </c>
      <c r="K474" s="2" t="b">
        <v>0</v>
      </c>
      <c r="L474" s="2"/>
      <c r="M474" s="2"/>
      <c r="N474" s="2" t="s">
        <v>2264</v>
      </c>
      <c r="O474" s="2" t="str">
        <f>LEFT(Table2[[#This Row],[Description]],75)</f>
        <v>KAUFMAN HALL</v>
      </c>
      <c r="P474" s="2"/>
    </row>
    <row r="475" spans="1:16" hidden="1">
      <c r="A475" s="2">
        <v>201908</v>
      </c>
      <c r="B475" s="3">
        <v>43707</v>
      </c>
      <c r="C475" s="2" t="s">
        <v>2317</v>
      </c>
      <c r="D475" s="2" t="s">
        <v>1037</v>
      </c>
      <c r="E475" s="2">
        <v>-200</v>
      </c>
      <c r="F475" s="2" t="s">
        <v>9</v>
      </c>
      <c r="J475" s="2">
        <v>200</v>
      </c>
      <c r="K475" s="2" t="b">
        <v>0</v>
      </c>
      <c r="L475" s="2"/>
      <c r="M475" s="2"/>
      <c r="N475" s="2" t="s">
        <v>2264</v>
      </c>
      <c r="O475" s="2" t="str">
        <f>LEFT(Table2[[#This Row],[Description]],75)</f>
        <v>KAUFMAN HALL</v>
      </c>
      <c r="P475" s="2"/>
    </row>
    <row r="476" spans="1:16" hidden="1">
      <c r="A476" s="2">
        <v>201908</v>
      </c>
      <c r="B476" s="3">
        <v>43707</v>
      </c>
      <c r="C476" s="2" t="s">
        <v>2258</v>
      </c>
      <c r="D476" s="2" t="s">
        <v>1597</v>
      </c>
      <c r="E476" s="2">
        <v>26.93</v>
      </c>
      <c r="F476" s="2" t="s">
        <v>26</v>
      </c>
      <c r="J476" s="2">
        <v>26.93</v>
      </c>
      <c r="K476" s="2" t="b">
        <v>0</v>
      </c>
      <c r="L476" s="2"/>
      <c r="M476" s="2"/>
      <c r="N476" s="4" t="s">
        <v>2259</v>
      </c>
      <c r="O476" s="4" t="str">
        <f>LEFT(Table2[[#This Row],[Description]],75)</f>
        <v>RISE BAGEL CO MINNEAPOLIS MN</v>
      </c>
      <c r="P476" s="2" t="s">
        <v>2331</v>
      </c>
    </row>
    <row r="477" spans="1:16" hidden="1">
      <c r="A477" s="2">
        <v>201908</v>
      </c>
      <c r="B477" s="3">
        <v>43707</v>
      </c>
      <c r="C477" s="2" t="s">
        <v>2261</v>
      </c>
      <c r="D477" s="2" t="s">
        <v>1597</v>
      </c>
      <c r="E477" s="2">
        <v>26.93</v>
      </c>
      <c r="F477" s="2" t="s">
        <v>26</v>
      </c>
      <c r="J477" s="2">
        <v>26.93</v>
      </c>
      <c r="K477" s="2" t="b">
        <v>0</v>
      </c>
      <c r="L477" s="2"/>
      <c r="M477" s="2"/>
      <c r="N477" s="4" t="s">
        <v>2259</v>
      </c>
      <c r="O477" s="4" t="str">
        <f>LEFT(Table2[[#This Row],[Description]],75)</f>
        <v>RISE BAGEL CO MINNEAPOLIS MN</v>
      </c>
      <c r="P477" s="2"/>
    </row>
    <row r="478" spans="1:16" hidden="1">
      <c r="A478" s="2">
        <v>201908</v>
      </c>
      <c r="B478" s="3">
        <v>43707</v>
      </c>
      <c r="C478" s="2" t="s">
        <v>2262</v>
      </c>
      <c r="D478" s="2" t="s">
        <v>1707</v>
      </c>
      <c r="E478" s="2">
        <v>11.38</v>
      </c>
      <c r="F478" s="2" t="s">
        <v>23</v>
      </c>
      <c r="J478" s="2">
        <v>11.38</v>
      </c>
      <c r="K478" s="2" t="b">
        <v>0</v>
      </c>
      <c r="L478" s="2"/>
      <c r="M478" s="2"/>
      <c r="N478" s="4" t="s">
        <v>2259</v>
      </c>
      <c r="O478" s="4" t="str">
        <f>LEFT(Table2[[#This Row],[Description]],75)</f>
        <v>Speedway</v>
      </c>
      <c r="P478" s="2"/>
    </row>
    <row r="479" spans="1:16" hidden="1">
      <c r="A479" s="2">
        <v>201908</v>
      </c>
      <c r="B479" s="3">
        <v>43707</v>
      </c>
      <c r="C479" s="2" t="s">
        <v>2262</v>
      </c>
      <c r="D479" s="2" t="s">
        <v>1707</v>
      </c>
      <c r="E479" s="2">
        <v>23.42</v>
      </c>
      <c r="F479" s="2" t="s">
        <v>23</v>
      </c>
      <c r="J479" s="2">
        <v>23.42</v>
      </c>
      <c r="K479" s="2" t="b">
        <v>0</v>
      </c>
      <c r="L479" s="2"/>
      <c r="M479" s="2"/>
      <c r="N479" s="4" t="s">
        <v>2259</v>
      </c>
      <c r="O479" s="4" t="str">
        <f>LEFT(Table2[[#This Row],[Description]],75)</f>
        <v>Speedway</v>
      </c>
      <c r="P479" s="2"/>
    </row>
    <row r="480" spans="1:16" hidden="1">
      <c r="A480" s="2">
        <v>201908</v>
      </c>
      <c r="B480" s="3">
        <v>43707</v>
      </c>
      <c r="C480" s="2" t="s">
        <v>2275</v>
      </c>
      <c r="D480" s="2" t="s">
        <v>1837</v>
      </c>
      <c r="E480" s="2">
        <v>-211</v>
      </c>
      <c r="F480" s="2" t="s">
        <v>57</v>
      </c>
      <c r="J480" s="2">
        <v>211</v>
      </c>
      <c r="K480" s="2" t="b">
        <v>0</v>
      </c>
      <c r="L480" s="2"/>
      <c r="M480" s="2"/>
      <c r="N480" s="4" t="s">
        <v>2273</v>
      </c>
      <c r="O480" s="4" t="str">
        <f>LEFT(Table2[[#This Row],[Description]],75)</f>
        <v>Tfr JPMORGAN CHASE BAN, KAUFMAN HALL</v>
      </c>
      <c r="P480" s="2" t="s">
        <v>2288</v>
      </c>
    </row>
    <row r="481" spans="1:16" hidden="1">
      <c r="A481" s="2">
        <v>201908</v>
      </c>
      <c r="B481" s="3">
        <v>43707</v>
      </c>
      <c r="C481" s="2" t="s">
        <v>2277</v>
      </c>
      <c r="D481" s="2" t="s">
        <v>1837</v>
      </c>
      <c r="E481" s="2">
        <v>-211</v>
      </c>
      <c r="F481" s="2" t="s">
        <v>57</v>
      </c>
      <c r="J481" s="2">
        <v>211</v>
      </c>
      <c r="K481" s="2" t="b">
        <v>0</v>
      </c>
      <c r="L481" s="2"/>
      <c r="M481" s="2"/>
      <c r="N481" s="2" t="s">
        <v>2264</v>
      </c>
      <c r="O481" s="2" t="str">
        <f>LEFT(Table2[[#This Row],[Description]],75)</f>
        <v>Tfr JPMORGAN CHASE BAN, KAUFMAN HALL</v>
      </c>
      <c r="P481" s="2"/>
    </row>
    <row r="482" spans="1:16" hidden="1">
      <c r="A482" s="2">
        <v>201908</v>
      </c>
      <c r="B482" s="3">
        <v>43707</v>
      </c>
      <c r="C482" s="2" t="s">
        <v>2290</v>
      </c>
      <c r="D482" s="2" t="s">
        <v>2106</v>
      </c>
      <c r="E482" s="2">
        <v>-1058.95</v>
      </c>
      <c r="F482" s="2" t="s">
        <v>54</v>
      </c>
      <c r="J482" s="2">
        <v>1058.95</v>
      </c>
      <c r="K482" s="2" t="b">
        <v>0</v>
      </c>
      <c r="L482" s="2"/>
      <c r="M482" s="2"/>
      <c r="N482" s="2" t="s">
        <v>2264</v>
      </c>
      <c r="O482" s="2" t="str">
        <f>LEFT(Table2[[#This Row],[Description]],75)</f>
        <v>VANG TARGET RET 2050</v>
      </c>
      <c r="P482" s="2"/>
    </row>
    <row r="483" spans="1:16" hidden="1">
      <c r="A483" s="2">
        <v>201908</v>
      </c>
      <c r="B483" s="3">
        <v>43708</v>
      </c>
      <c r="C483" s="2" t="s">
        <v>2310</v>
      </c>
      <c r="D483" s="2" t="s">
        <v>167</v>
      </c>
      <c r="E483" s="2">
        <v>-0.02</v>
      </c>
      <c r="F483" s="2">
        <v>0</v>
      </c>
      <c r="J483" s="2">
        <v>0.02</v>
      </c>
      <c r="K483" s="2" t="b">
        <v>0</v>
      </c>
      <c r="L483" s="2"/>
      <c r="M483" s="2"/>
      <c r="N483" s="2" t="s">
        <v>2264</v>
      </c>
      <c r="O483" s="2" t="str">
        <f>LEFT(Table2[[#This Row],[Description]],75)</f>
        <v>Apy Earned</v>
      </c>
      <c r="P483" s="2" t="s">
        <v>2311</v>
      </c>
    </row>
    <row r="484" spans="1:16" hidden="1">
      <c r="A484" s="2">
        <v>201908</v>
      </c>
      <c r="B484" s="3">
        <v>43708</v>
      </c>
      <c r="C484" s="2" t="s">
        <v>2265</v>
      </c>
      <c r="D484" s="2" t="s">
        <v>179</v>
      </c>
      <c r="E484" s="2">
        <v>-3</v>
      </c>
      <c r="F484" s="2" t="s">
        <v>9</v>
      </c>
      <c r="J484" s="2">
        <v>3</v>
      </c>
      <c r="K484" s="2" t="b">
        <v>0</v>
      </c>
      <c r="L484" s="2"/>
      <c r="M484" s="2"/>
      <c r="N484" s="4" t="s">
        <v>2273</v>
      </c>
      <c r="O484" s="4" t="str">
        <f>LEFT(Table2[[#This Row],[Description]],75)</f>
        <v>ATM FEE REFUND 247464311</v>
      </c>
      <c r="P484" s="2" t="s">
        <v>2332</v>
      </c>
    </row>
    <row r="485" spans="1:16" hidden="1">
      <c r="A485" s="2">
        <v>201908</v>
      </c>
      <c r="B485" s="3">
        <v>43708</v>
      </c>
      <c r="C485" s="2" t="s">
        <v>2267</v>
      </c>
      <c r="D485" s="2" t="s">
        <v>179</v>
      </c>
      <c r="E485" s="2">
        <v>-3</v>
      </c>
      <c r="F485" s="2" t="s">
        <v>9</v>
      </c>
      <c r="J485" s="2">
        <v>3</v>
      </c>
      <c r="K485" s="2" t="b">
        <v>0</v>
      </c>
      <c r="L485" s="2"/>
      <c r="M485" s="2"/>
      <c r="N485" s="2" t="s">
        <v>2264</v>
      </c>
      <c r="O485" s="2" t="str">
        <f>LEFT(Table2[[#This Row],[Description]],75)</f>
        <v>ATM FEE REFUND 247464311</v>
      </c>
      <c r="P485" s="2"/>
    </row>
    <row r="486" spans="1:16" hidden="1">
      <c r="A486" s="2">
        <v>201908</v>
      </c>
      <c r="B486" s="3">
        <v>43708</v>
      </c>
      <c r="C486" s="2" t="s">
        <v>2262</v>
      </c>
      <c r="D486" s="2" t="s">
        <v>808</v>
      </c>
      <c r="E486" s="2">
        <v>64</v>
      </c>
      <c r="F486" s="2" t="s">
        <v>40</v>
      </c>
      <c r="J486" s="2">
        <v>64</v>
      </c>
      <c r="K486" s="2" t="b">
        <v>0</v>
      </c>
      <c r="L486" s="2"/>
      <c r="M486" s="2"/>
      <c r="N486" s="4" t="s">
        <v>2259</v>
      </c>
      <c r="O486" s="4" t="str">
        <f>LEFT(Table2[[#This Row],[Description]],75)</f>
        <v>Elite Nails</v>
      </c>
      <c r="P486" s="2"/>
    </row>
    <row r="487" spans="1:16" hidden="1">
      <c r="A487" s="2">
        <v>201908</v>
      </c>
      <c r="B487" s="3">
        <v>43708</v>
      </c>
      <c r="C487" s="2" t="s">
        <v>2258</v>
      </c>
      <c r="D487" s="2" t="s">
        <v>1670</v>
      </c>
      <c r="E487" s="2">
        <v>34.03</v>
      </c>
      <c r="F487" s="2" t="s">
        <v>26</v>
      </c>
      <c r="J487" s="2">
        <v>34.03</v>
      </c>
      <c r="K487" s="2" t="b">
        <v>0</v>
      </c>
      <c r="L487" s="2"/>
      <c r="M487" s="2"/>
      <c r="N487" s="4" t="s">
        <v>2259</v>
      </c>
      <c r="O487" s="4" t="str">
        <f>LEFT(Table2[[#This Row],[Description]],75)</f>
        <v>SMALL CHEVAL CHICAGO IL</v>
      </c>
      <c r="P487" s="2" t="s">
        <v>2333</v>
      </c>
    </row>
    <row r="488" spans="1:16" hidden="1">
      <c r="A488" s="2">
        <v>201908</v>
      </c>
      <c r="B488" s="3">
        <v>43708</v>
      </c>
      <c r="C488" s="2" t="s">
        <v>2261</v>
      </c>
      <c r="D488" s="2" t="s">
        <v>1670</v>
      </c>
      <c r="E488" s="2">
        <v>34.03</v>
      </c>
      <c r="F488" s="2" t="s">
        <v>26</v>
      </c>
      <c r="J488" s="2">
        <v>34.03</v>
      </c>
      <c r="K488" s="2" t="b">
        <v>0</v>
      </c>
      <c r="L488" s="2"/>
      <c r="M488" s="2"/>
      <c r="N488" s="4" t="s">
        <v>2259</v>
      </c>
      <c r="O488" s="4" t="str">
        <f>LEFT(Table2[[#This Row],[Description]],75)</f>
        <v>SMALL CHEVAL CHICAGO IL</v>
      </c>
      <c r="P488" s="2"/>
    </row>
    <row r="489" spans="1:16" hidden="1">
      <c r="A489" s="2">
        <v>201908</v>
      </c>
      <c r="B489" s="3">
        <v>43708</v>
      </c>
      <c r="C489" s="2" t="s">
        <v>2300</v>
      </c>
      <c r="D489" s="2" t="s">
        <v>1709</v>
      </c>
      <c r="E489" s="2">
        <v>-16.77</v>
      </c>
      <c r="F489" s="2" t="s">
        <v>16</v>
      </c>
      <c r="J489" s="2">
        <v>16.77</v>
      </c>
      <c r="K489" s="2" t="b">
        <v>0</v>
      </c>
      <c r="L489" s="2"/>
      <c r="M489" s="2"/>
      <c r="N489" s="4" t="s">
        <v>2273</v>
      </c>
      <c r="O489" s="4" t="str">
        <f>LEFT(Table2[[#This Row],[Description]],75)</f>
        <v>Split Rate Apy</v>
      </c>
      <c r="P489" s="2" t="s">
        <v>2313</v>
      </c>
    </row>
    <row r="490" spans="1:16" hidden="1">
      <c r="A490" s="2">
        <v>201908</v>
      </c>
      <c r="B490" s="3">
        <v>43708</v>
      </c>
      <c r="C490" s="2" t="s">
        <v>2265</v>
      </c>
      <c r="D490" s="2" t="s">
        <v>1709</v>
      </c>
      <c r="E490" s="2">
        <v>-38.380000000000003</v>
      </c>
      <c r="F490" s="2" t="s">
        <v>16</v>
      </c>
      <c r="J490" s="2">
        <v>38.380000000000003</v>
      </c>
      <c r="K490" s="2" t="b">
        <v>0</v>
      </c>
      <c r="L490" s="2"/>
      <c r="M490" s="2"/>
      <c r="N490" s="4" t="s">
        <v>2273</v>
      </c>
      <c r="O490" s="4" t="str">
        <f>LEFT(Table2[[#This Row],[Description]],75)</f>
        <v>Split Rate Apy</v>
      </c>
      <c r="P490" s="2" t="s">
        <v>2313</v>
      </c>
    </row>
    <row r="491" spans="1:16" hidden="1">
      <c r="A491" s="2">
        <v>201908</v>
      </c>
      <c r="B491" s="3">
        <v>43708</v>
      </c>
      <c r="C491" s="2" t="s">
        <v>2302</v>
      </c>
      <c r="D491" s="2" t="s">
        <v>1709</v>
      </c>
      <c r="E491" s="2">
        <v>-16.77</v>
      </c>
      <c r="F491" s="2" t="s">
        <v>16</v>
      </c>
      <c r="J491" s="2">
        <v>16.77</v>
      </c>
      <c r="K491" s="2" t="b">
        <v>0</v>
      </c>
      <c r="L491" s="2"/>
      <c r="M491" s="2"/>
      <c r="N491" s="2" t="s">
        <v>2264</v>
      </c>
      <c r="O491" s="2" t="str">
        <f>LEFT(Table2[[#This Row],[Description]],75)</f>
        <v>Split Rate Apy</v>
      </c>
      <c r="P491" s="2"/>
    </row>
    <row r="492" spans="1:16" hidden="1">
      <c r="A492" s="2">
        <v>201908</v>
      </c>
      <c r="B492" s="3">
        <v>43708</v>
      </c>
      <c r="C492" s="2" t="s">
        <v>2267</v>
      </c>
      <c r="D492" s="2" t="s">
        <v>1709</v>
      </c>
      <c r="E492" s="2">
        <v>-38.380000000000003</v>
      </c>
      <c r="F492" s="2" t="s">
        <v>16</v>
      </c>
      <c r="J492" s="2">
        <v>38.380000000000003</v>
      </c>
      <c r="K492" s="2" t="b">
        <v>0</v>
      </c>
      <c r="L492" s="2"/>
      <c r="M492" s="2"/>
      <c r="N492" s="2" t="s">
        <v>2264</v>
      </c>
      <c r="O492" s="2" t="str">
        <f>LEFT(Table2[[#This Row],[Description]],75)</f>
        <v>Split Rate Apy</v>
      </c>
      <c r="P492" s="2"/>
    </row>
    <row r="493" spans="1:16" hidden="1">
      <c r="A493" s="2">
        <v>201909</v>
      </c>
      <c r="B493" s="3">
        <v>43709</v>
      </c>
      <c r="C493" s="2" t="s">
        <v>2267</v>
      </c>
      <c r="D493" s="2" t="s">
        <v>2207</v>
      </c>
      <c r="E493" s="2">
        <v>2914.59</v>
      </c>
      <c r="F493" s="2" t="s">
        <v>5</v>
      </c>
      <c r="J493" s="2">
        <v>2914.59</v>
      </c>
      <c r="K493" s="2" t="b">
        <v>0</v>
      </c>
      <c r="L493" s="2"/>
      <c r="M493" s="2"/>
      <c r="N493" s="4" t="s">
        <v>2259</v>
      </c>
      <c r="O493" s="4" t="str">
        <f>LEFT(Table2[[#This Row],[Description]],75)</f>
        <v>Withdrawal Home To Loan Mortgage Payment Thank You 246127048</v>
      </c>
      <c r="P493" s="2"/>
    </row>
    <row r="494" spans="1:16" hidden="1">
      <c r="A494" s="2">
        <v>201909</v>
      </c>
      <c r="B494" s="3">
        <v>43709</v>
      </c>
      <c r="C494" s="2" t="s">
        <v>2314</v>
      </c>
      <c r="D494" s="2" t="s">
        <v>861</v>
      </c>
      <c r="E494" s="2">
        <v>-561.45000000000005</v>
      </c>
      <c r="F494" s="2">
        <v>0</v>
      </c>
      <c r="J494" s="2">
        <v>561.45000000000005</v>
      </c>
      <c r="K494" s="2" t="b">
        <v>0</v>
      </c>
      <c r="L494" s="2"/>
      <c r="M494" s="2"/>
      <c r="N494" s="4" t="s">
        <v>2273</v>
      </c>
      <c r="O494" s="4" t="str">
        <f>LEFT(Table2[[#This Row],[Description]],75)</f>
        <v>From Share 70 247530039</v>
      </c>
      <c r="P494" s="2"/>
    </row>
    <row r="495" spans="1:16" hidden="1">
      <c r="A495" s="2">
        <v>201909</v>
      </c>
      <c r="B495" s="3">
        <v>43709</v>
      </c>
      <c r="C495" s="2" t="s">
        <v>2315</v>
      </c>
      <c r="D495" s="2" t="s">
        <v>861</v>
      </c>
      <c r="E495" s="2">
        <v>-561.45000000000005</v>
      </c>
      <c r="F495" s="2" t="s">
        <v>9</v>
      </c>
      <c r="J495" s="2">
        <v>561.45000000000005</v>
      </c>
      <c r="K495" s="2" t="b">
        <v>0</v>
      </c>
      <c r="L495" s="2"/>
      <c r="M495" s="2"/>
      <c r="N495" s="2" t="s">
        <v>2264</v>
      </c>
      <c r="O495" s="2" t="str">
        <f>LEFT(Table2[[#This Row],[Description]],75)</f>
        <v>From Share 70 247530039</v>
      </c>
      <c r="P495" s="2"/>
    </row>
    <row r="496" spans="1:16" hidden="1">
      <c r="A496" s="2">
        <v>201909</v>
      </c>
      <c r="B496" s="3">
        <v>43709</v>
      </c>
      <c r="C496" s="2" t="s">
        <v>2265</v>
      </c>
      <c r="D496" s="2" t="s">
        <v>1879</v>
      </c>
      <c r="E496" s="2">
        <v>618.65</v>
      </c>
      <c r="F496" s="2" t="s">
        <v>11</v>
      </c>
      <c r="J496" s="2">
        <v>618.65</v>
      </c>
      <c r="K496" s="2" t="b">
        <v>0</v>
      </c>
      <c r="L496" s="2"/>
      <c r="M496" s="2"/>
      <c r="N496" s="4" t="s">
        <v>2259</v>
      </c>
      <c r="O496" s="4" t="str">
        <f>LEFT(Table2[[#This Row],[Description]],75)</f>
        <v>To Loan 02 247528486</v>
      </c>
      <c r="P496" s="2" t="s">
        <v>2334</v>
      </c>
    </row>
    <row r="497" spans="1:16" hidden="1">
      <c r="A497" s="2">
        <v>201909</v>
      </c>
      <c r="B497" s="3">
        <v>43709</v>
      </c>
      <c r="C497" s="2" t="s">
        <v>2267</v>
      </c>
      <c r="D497" s="2" t="s">
        <v>1879</v>
      </c>
      <c r="E497" s="2">
        <v>618.65</v>
      </c>
      <c r="F497" s="2" t="s">
        <v>11</v>
      </c>
      <c r="J497" s="2">
        <v>618.65</v>
      </c>
      <c r="K497" s="2" t="b">
        <v>0</v>
      </c>
      <c r="L497" s="2"/>
      <c r="M497" s="2"/>
      <c r="N497" s="4" t="s">
        <v>2259</v>
      </c>
      <c r="O497" s="4" t="str">
        <f>LEFT(Table2[[#This Row],[Description]],75)</f>
        <v>To Loan 02 247528486</v>
      </c>
      <c r="P497" s="2"/>
    </row>
    <row r="498" spans="1:16" hidden="1">
      <c r="A498" s="2">
        <v>201909</v>
      </c>
      <c r="B498" s="3">
        <v>43710</v>
      </c>
      <c r="C498" s="2" t="s">
        <v>2258</v>
      </c>
      <c r="D498" s="2" t="s">
        <v>297</v>
      </c>
      <c r="E498" s="2">
        <v>48.88</v>
      </c>
      <c r="F498" s="2" t="s">
        <v>26</v>
      </c>
      <c r="J498" s="2">
        <v>48.88</v>
      </c>
      <c r="K498" s="2" t="b">
        <v>0</v>
      </c>
      <c r="L498" s="2"/>
      <c r="M498" s="2"/>
      <c r="N498" s="4" t="s">
        <v>2259</v>
      </c>
      <c r="O498" s="4" t="str">
        <f>LEFT(Table2[[#This Row],[Description]],75)</f>
        <v>BLACK SHEEP PIZZA - N WA MINNEAPOLIS MN</v>
      </c>
      <c r="P498" s="2" t="s">
        <v>2335</v>
      </c>
    </row>
    <row r="499" spans="1:16" hidden="1">
      <c r="A499" s="2">
        <v>201909</v>
      </c>
      <c r="B499" s="3">
        <v>43710</v>
      </c>
      <c r="C499" s="2" t="s">
        <v>2261</v>
      </c>
      <c r="D499" s="2" t="s">
        <v>297</v>
      </c>
      <c r="E499" s="2">
        <v>48.88</v>
      </c>
      <c r="F499" s="2" t="s">
        <v>26</v>
      </c>
      <c r="J499" s="2">
        <v>48.88</v>
      </c>
      <c r="K499" s="2" t="b">
        <v>0</v>
      </c>
      <c r="L499" s="2"/>
      <c r="M499" s="2"/>
      <c r="N499" s="4" t="s">
        <v>2259</v>
      </c>
      <c r="O499" s="4" t="str">
        <f>LEFT(Table2[[#This Row],[Description]],75)</f>
        <v>BLACK SHEEP PIZZA - N WA MINNEAPOLIS MN</v>
      </c>
      <c r="P499" s="2"/>
    </row>
    <row r="500" spans="1:16" hidden="1">
      <c r="A500" s="2">
        <v>201909</v>
      </c>
      <c r="B500" s="3">
        <v>43710</v>
      </c>
      <c r="C500" s="2" t="s">
        <v>2262</v>
      </c>
      <c r="D500" s="2" t="s">
        <v>323</v>
      </c>
      <c r="E500" s="2">
        <v>52.54</v>
      </c>
      <c r="F500" s="2" t="s">
        <v>26</v>
      </c>
      <c r="J500" s="2">
        <v>52.54</v>
      </c>
      <c r="K500" s="2" t="b">
        <v>0</v>
      </c>
      <c r="L500" s="2"/>
      <c r="M500" s="2"/>
      <c r="N500" s="4" t="s">
        <v>2259</v>
      </c>
      <c r="O500" s="4" t="str">
        <f>LEFT(Table2[[#This Row],[Description]],75)</f>
        <v>Bub City</v>
      </c>
      <c r="P500" s="2"/>
    </row>
    <row r="501" spans="1:16" hidden="1">
      <c r="A501" s="2">
        <v>201909</v>
      </c>
      <c r="B501" s="3">
        <v>43710</v>
      </c>
      <c r="C501" s="2" t="s">
        <v>2262</v>
      </c>
      <c r="D501" s="2" t="s">
        <v>1007</v>
      </c>
      <c r="E501" s="2">
        <v>10</v>
      </c>
      <c r="F501" s="2" t="s">
        <v>26</v>
      </c>
      <c r="J501" s="2">
        <v>10</v>
      </c>
      <c r="K501" s="2" t="b">
        <v>0</v>
      </c>
      <c r="L501" s="2"/>
      <c r="M501" s="2"/>
      <c r="N501" s="4" t="s">
        <v>2259</v>
      </c>
      <c r="O501" s="4" t="str">
        <f>LEFT(Table2[[#This Row],[Description]],75)</f>
        <v>JACK AND GINGERS CHICAGO IL 248041945</v>
      </c>
      <c r="P501" s="2"/>
    </row>
    <row r="502" spans="1:16" hidden="1">
      <c r="A502" s="2">
        <v>201909</v>
      </c>
      <c r="B502" s="3">
        <v>43710</v>
      </c>
      <c r="C502" s="2" t="s">
        <v>2262</v>
      </c>
      <c r="D502" s="2" t="s">
        <v>1168</v>
      </c>
      <c r="E502" s="2">
        <v>15.04</v>
      </c>
      <c r="F502" s="2" t="s">
        <v>23</v>
      </c>
      <c r="J502" s="2">
        <v>15.04</v>
      </c>
      <c r="K502" s="2" t="b">
        <v>0</v>
      </c>
      <c r="L502" s="2"/>
      <c r="M502" s="2"/>
      <c r="N502" s="4" t="s">
        <v>2259</v>
      </c>
      <c r="O502" s="4" t="str">
        <f>LEFT(Table2[[#This Row],[Description]],75)</f>
        <v>Lyft</v>
      </c>
      <c r="P502" s="2"/>
    </row>
    <row r="503" spans="1:16" hidden="1">
      <c r="A503" s="2">
        <v>201909</v>
      </c>
      <c r="B503" s="3">
        <v>43710</v>
      </c>
      <c r="C503" s="2" t="s">
        <v>2262</v>
      </c>
      <c r="D503" s="2" t="s">
        <v>1168</v>
      </c>
      <c r="E503" s="2">
        <v>27.9</v>
      </c>
      <c r="F503" s="2" t="s">
        <v>23</v>
      </c>
      <c r="J503" s="2">
        <v>27.9</v>
      </c>
      <c r="K503" s="2" t="b">
        <v>0</v>
      </c>
      <c r="L503" s="2"/>
      <c r="M503" s="2"/>
      <c r="N503" s="4" t="s">
        <v>2259</v>
      </c>
      <c r="O503" s="4" t="str">
        <f>LEFT(Table2[[#This Row],[Description]],75)</f>
        <v>Lyft</v>
      </c>
      <c r="P503" s="2"/>
    </row>
    <row r="504" spans="1:16" hidden="1">
      <c r="A504" s="2">
        <v>201909</v>
      </c>
      <c r="B504" s="3">
        <v>43710</v>
      </c>
      <c r="C504" s="2" t="s">
        <v>2262</v>
      </c>
      <c r="D504" s="2" t="s">
        <v>1738</v>
      </c>
      <c r="E504" s="2">
        <v>13.32</v>
      </c>
      <c r="F504" s="2" t="s">
        <v>26</v>
      </c>
      <c r="J504" s="2">
        <v>13.32</v>
      </c>
      <c r="K504" s="2" t="b">
        <v>0</v>
      </c>
      <c r="L504" s="2"/>
      <c r="M504" s="2"/>
      <c r="N504" s="4" t="s">
        <v>2259</v>
      </c>
      <c r="O504" s="4" t="str">
        <f>LEFT(Table2[[#This Row],[Description]],75)</f>
        <v>SQ IPSENTO COFFEE CHICAGO IL 248041948</v>
      </c>
      <c r="P504" s="2"/>
    </row>
    <row r="505" spans="1:16" hidden="1">
      <c r="A505" s="2">
        <v>201909</v>
      </c>
      <c r="B505" s="3">
        <v>43710</v>
      </c>
      <c r="C505" s="2" t="s">
        <v>2265</v>
      </c>
      <c r="D505" s="2" t="s">
        <v>2112</v>
      </c>
      <c r="E505" s="2">
        <v>-28.33</v>
      </c>
      <c r="F505" s="2" t="s">
        <v>9</v>
      </c>
      <c r="J505" s="2">
        <v>28.33</v>
      </c>
      <c r="K505" s="2" t="b">
        <v>0</v>
      </c>
      <c r="L505" s="2"/>
      <c r="M505" s="2"/>
      <c r="N505" s="4" t="s">
        <v>2273</v>
      </c>
      <c r="O505" s="4" t="str">
        <f>LEFT(Table2[[#This Row],[Description]],75)</f>
        <v>Venmo Type Cashout</v>
      </c>
      <c r="P505" s="2" t="s">
        <v>2279</v>
      </c>
    </row>
    <row r="506" spans="1:16" hidden="1">
      <c r="A506" s="2">
        <v>201909</v>
      </c>
      <c r="B506" s="3">
        <v>43710</v>
      </c>
      <c r="C506" s="2" t="s">
        <v>2267</v>
      </c>
      <c r="D506" s="2" t="s">
        <v>2112</v>
      </c>
      <c r="E506" s="2">
        <v>-28.33</v>
      </c>
      <c r="F506" s="2" t="s">
        <v>16</v>
      </c>
      <c r="J506" s="2">
        <v>28.33</v>
      </c>
      <c r="K506" s="2" t="b">
        <v>0</v>
      </c>
      <c r="L506" s="2"/>
      <c r="M506" s="2"/>
      <c r="N506" s="2" t="s">
        <v>2264</v>
      </c>
      <c r="O506" s="2" t="str">
        <f>LEFT(Table2[[#This Row],[Description]],75)</f>
        <v>Venmo Type Cashout</v>
      </c>
      <c r="P506" s="2"/>
    </row>
    <row r="507" spans="1:16" hidden="1">
      <c r="A507" s="2">
        <v>201909</v>
      </c>
      <c r="B507" s="3">
        <v>43710</v>
      </c>
      <c r="C507" s="2" t="s">
        <v>2258</v>
      </c>
      <c r="D507" s="2" t="s">
        <v>2118</v>
      </c>
      <c r="E507" s="2">
        <v>6</v>
      </c>
      <c r="F507" s="2" t="s">
        <v>23</v>
      </c>
      <c r="J507" s="2">
        <v>6</v>
      </c>
      <c r="K507" s="2" t="b">
        <v>0</v>
      </c>
      <c r="L507" s="2"/>
      <c r="M507" s="2"/>
      <c r="N507" s="4" t="s">
        <v>2259</v>
      </c>
      <c r="O507" s="4" t="str">
        <f>LEFT(Table2[[#This Row],[Description]],75)</f>
        <v>VENTRA VENDING 06401 CHICAGO IL</v>
      </c>
      <c r="P507" s="2" t="s">
        <v>2336</v>
      </c>
    </row>
    <row r="508" spans="1:16" hidden="1">
      <c r="A508" s="2">
        <v>201909</v>
      </c>
      <c r="B508" s="3">
        <v>43710</v>
      </c>
      <c r="C508" s="2" t="s">
        <v>2261</v>
      </c>
      <c r="D508" s="2" t="s">
        <v>2118</v>
      </c>
      <c r="E508" s="2">
        <v>6</v>
      </c>
      <c r="F508" s="2" t="s">
        <v>23</v>
      </c>
      <c r="J508" s="2">
        <v>6</v>
      </c>
      <c r="K508" s="2" t="b">
        <v>0</v>
      </c>
      <c r="L508" s="2"/>
      <c r="M508" s="2"/>
      <c r="N508" s="4" t="s">
        <v>2259</v>
      </c>
      <c r="O508" s="4" t="str">
        <f>LEFT(Table2[[#This Row],[Description]],75)</f>
        <v>VENTRA VENDING 06401 CHICAGO IL</v>
      </c>
      <c r="P508" s="2"/>
    </row>
    <row r="509" spans="1:16" hidden="1">
      <c r="A509" s="2">
        <v>201909</v>
      </c>
      <c r="B509" s="3">
        <v>43710</v>
      </c>
      <c r="C509" s="2" t="s">
        <v>2262</v>
      </c>
      <c r="D509" s="2" t="s">
        <v>2119</v>
      </c>
      <c r="E509" s="2">
        <v>6</v>
      </c>
      <c r="F509" s="2" t="s">
        <v>23</v>
      </c>
      <c r="J509" s="2">
        <v>6</v>
      </c>
      <c r="K509" s="2" t="b">
        <v>0</v>
      </c>
      <c r="L509" s="2"/>
      <c r="M509" s="2"/>
      <c r="N509" s="4" t="s">
        <v>2259</v>
      </c>
      <c r="O509" s="4" t="str">
        <f>LEFT(Table2[[#This Row],[Description]],75)</f>
        <v>VENTRA VENDING 06401 CHICAGO IL 248041947</v>
      </c>
      <c r="P509" s="2"/>
    </row>
    <row r="510" spans="1:16" hidden="1">
      <c r="A510" s="2">
        <v>201909</v>
      </c>
      <c r="B510" s="3">
        <v>43711</v>
      </c>
      <c r="C510" s="2" t="s">
        <v>2262</v>
      </c>
      <c r="D510" s="2" t="s">
        <v>78</v>
      </c>
      <c r="E510" s="2">
        <v>188</v>
      </c>
      <c r="F510" s="2" t="s">
        <v>21</v>
      </c>
      <c r="J510" s="2">
        <v>188</v>
      </c>
      <c r="K510" s="2" t="b">
        <v>0</v>
      </c>
      <c r="L510" s="2"/>
      <c r="M510" s="2"/>
      <c r="N510" s="4" t="s">
        <v>2259</v>
      </c>
      <c r="O510" s="4" t="str">
        <f>LEFT(Table2[[#This Row],[Description]],75)</f>
        <v>11003 NORTH LOOP MINNEAPOLIS MN 248335279</v>
      </c>
      <c r="P510" s="2"/>
    </row>
    <row r="511" spans="1:16" hidden="1">
      <c r="A511" s="2">
        <v>201909</v>
      </c>
      <c r="B511" s="3">
        <v>43711</v>
      </c>
      <c r="C511" s="2" t="s">
        <v>2262</v>
      </c>
      <c r="D511" s="2" t="s">
        <v>562</v>
      </c>
      <c r="E511" s="2">
        <v>10.92</v>
      </c>
      <c r="F511" s="2" t="s">
        <v>26</v>
      </c>
      <c r="J511" s="2">
        <v>10.92</v>
      </c>
      <c r="K511" s="2" t="b">
        <v>0</v>
      </c>
      <c r="L511" s="2"/>
      <c r="M511" s="2"/>
      <c r="N511" s="4" t="s">
        <v>2259</v>
      </c>
      <c r="O511" s="4" t="str">
        <f>LEFT(Table2[[#This Row],[Description]],75)</f>
        <v>City Winery Chicago LLC</v>
      </c>
      <c r="P511" s="2"/>
    </row>
    <row r="512" spans="1:16" hidden="1">
      <c r="A512" s="2">
        <v>201909</v>
      </c>
      <c r="B512" s="3">
        <v>43711</v>
      </c>
      <c r="C512" s="2" t="s">
        <v>2265</v>
      </c>
      <c r="D512" s="2" t="s">
        <v>582</v>
      </c>
      <c r="E512" s="2">
        <v>200</v>
      </c>
      <c r="F512" s="2" t="s">
        <v>61</v>
      </c>
      <c r="J512" s="2">
        <v>200</v>
      </c>
      <c r="K512" s="2" t="b">
        <v>0</v>
      </c>
      <c r="L512" s="2"/>
      <c r="M512" s="2"/>
      <c r="N512" s="4" t="s">
        <v>2259</v>
      </c>
      <c r="O512" s="4" t="str">
        <f>LEFT(Table2[[#This Row],[Description]],75)</f>
        <v>College Savings TYPE ACH ID 550895818 CO College Savings ACH ECC PPD ACH Tr</v>
      </c>
      <c r="P512" s="2" t="s">
        <v>2272</v>
      </c>
    </row>
    <row r="513" spans="1:16" hidden="1">
      <c r="A513" s="2">
        <v>201909</v>
      </c>
      <c r="B513" s="3">
        <v>43711</v>
      </c>
      <c r="C513" s="2" t="s">
        <v>2267</v>
      </c>
      <c r="D513" s="2" t="s">
        <v>582</v>
      </c>
      <c r="E513" s="2">
        <v>200</v>
      </c>
      <c r="F513" s="2" t="s">
        <v>61</v>
      </c>
      <c r="J513" s="2">
        <v>200</v>
      </c>
      <c r="K513" s="2" t="b">
        <v>0</v>
      </c>
      <c r="L513" s="2"/>
      <c r="M513" s="2"/>
      <c r="N513" s="4" t="s">
        <v>2259</v>
      </c>
      <c r="O513" s="4" t="str">
        <f>LEFT(Table2[[#This Row],[Description]],75)</f>
        <v>College Savings TYPE ACH ID 550895818 CO College Savings ACH ECC PPD ACH Tr</v>
      </c>
      <c r="P513" s="2"/>
    </row>
    <row r="514" spans="1:16" hidden="1">
      <c r="A514" s="2">
        <v>201909</v>
      </c>
      <c r="B514" s="3">
        <v>43711</v>
      </c>
      <c r="C514" s="2" t="s">
        <v>2258</v>
      </c>
      <c r="D514" s="2" t="s">
        <v>806</v>
      </c>
      <c r="E514" s="2">
        <v>11</v>
      </c>
      <c r="F514" s="2">
        <v>0</v>
      </c>
      <c r="J514" s="2">
        <v>11</v>
      </c>
      <c r="K514" s="2" t="b">
        <v>0</v>
      </c>
      <c r="L514" s="2"/>
      <c r="M514" s="2"/>
      <c r="N514" s="4" t="s">
        <v>2259</v>
      </c>
      <c r="O514" s="4" t="str">
        <f>LEFT(Table2[[#This Row],[Description]],75)</f>
        <v>ELECTRIC MUD COFFEE BAR CHICAGO IL</v>
      </c>
      <c r="P514" s="2"/>
    </row>
    <row r="515" spans="1:16" hidden="1">
      <c r="A515" s="2">
        <v>201909</v>
      </c>
      <c r="B515" s="3">
        <v>43711</v>
      </c>
      <c r="C515" s="2" t="s">
        <v>2261</v>
      </c>
      <c r="D515" s="2" t="s">
        <v>806</v>
      </c>
      <c r="E515" s="2">
        <v>11</v>
      </c>
      <c r="F515" s="2" t="s">
        <v>26</v>
      </c>
      <c r="J515" s="2">
        <v>11</v>
      </c>
      <c r="K515" s="2" t="b">
        <v>0</v>
      </c>
      <c r="L515" s="2"/>
      <c r="M515" s="2"/>
      <c r="N515" s="4" t="s">
        <v>2259</v>
      </c>
      <c r="O515" s="4" t="str">
        <f>LEFT(Table2[[#This Row],[Description]],75)</f>
        <v>ELECTRIC MUD COFFEE BAR CHICAGO IL</v>
      </c>
      <c r="P515" s="2"/>
    </row>
    <row r="516" spans="1:16" hidden="1">
      <c r="A516" s="2">
        <v>201909</v>
      </c>
      <c r="B516" s="3">
        <v>43711</v>
      </c>
      <c r="C516" s="2" t="s">
        <v>64</v>
      </c>
      <c r="D516" s="2" t="s">
        <v>978</v>
      </c>
      <c r="E516" s="2">
        <v>-16.670000000000002</v>
      </c>
      <c r="F516" s="2" t="s">
        <v>69</v>
      </c>
      <c r="J516" s="2">
        <v>16.670000000000002</v>
      </c>
      <c r="K516" s="2" t="b">
        <v>0</v>
      </c>
      <c r="L516" s="2"/>
      <c r="M516" s="2"/>
      <c r="N516" s="2" t="s">
        <v>2264</v>
      </c>
      <c r="O516" s="2" t="str">
        <f>LEFT(Table2[[#This Row],[Description]],75)</f>
        <v>INTEL CORP</v>
      </c>
      <c r="P516" s="2"/>
    </row>
    <row r="517" spans="1:16" hidden="1">
      <c r="A517" s="2">
        <v>201909</v>
      </c>
      <c r="B517" s="3">
        <v>43711</v>
      </c>
      <c r="C517" s="2" t="s">
        <v>2317</v>
      </c>
      <c r="D517" s="2" t="s">
        <v>978</v>
      </c>
      <c r="E517" s="2">
        <v>-16.670000000000002</v>
      </c>
      <c r="F517" s="2" t="s">
        <v>9</v>
      </c>
      <c r="J517" s="2">
        <v>16.670000000000002</v>
      </c>
      <c r="K517" s="2" t="b">
        <v>0</v>
      </c>
      <c r="L517" s="2"/>
      <c r="M517" s="2"/>
      <c r="N517" s="2" t="s">
        <v>2264</v>
      </c>
      <c r="O517" s="2" t="str">
        <f>LEFT(Table2[[#This Row],[Description]],75)</f>
        <v>INTEL CORP</v>
      </c>
      <c r="P517" s="2"/>
    </row>
    <row r="518" spans="1:16" hidden="1">
      <c r="A518" s="2">
        <v>201909</v>
      </c>
      <c r="B518" s="3">
        <v>43711</v>
      </c>
      <c r="C518" s="2" t="s">
        <v>2262</v>
      </c>
      <c r="D518" s="2" t="s">
        <v>1168</v>
      </c>
      <c r="E518" s="2">
        <v>7.82</v>
      </c>
      <c r="F518" s="2" t="s">
        <v>23</v>
      </c>
      <c r="J518" s="2">
        <v>7.82</v>
      </c>
      <c r="K518" s="2" t="b">
        <v>0</v>
      </c>
      <c r="L518" s="2"/>
      <c r="M518" s="2"/>
      <c r="N518" s="4" t="s">
        <v>2259</v>
      </c>
      <c r="O518" s="4" t="str">
        <f>LEFT(Table2[[#This Row],[Description]],75)</f>
        <v>Lyft</v>
      </c>
      <c r="P518" s="2"/>
    </row>
    <row r="519" spans="1:16" hidden="1">
      <c r="A519" s="2">
        <v>201909</v>
      </c>
      <c r="B519" s="3">
        <v>43711</v>
      </c>
      <c r="C519" s="2" t="s">
        <v>2262</v>
      </c>
      <c r="D519" s="2" t="s">
        <v>1258</v>
      </c>
      <c r="E519" s="2">
        <v>144.87</v>
      </c>
      <c r="F519" s="2" t="s">
        <v>26</v>
      </c>
      <c r="J519" s="2">
        <v>144.87</v>
      </c>
      <c r="K519" s="2" t="b">
        <v>0</v>
      </c>
      <c r="L519" s="2"/>
      <c r="M519" s="2"/>
      <c r="N519" s="4" t="s">
        <v>2259</v>
      </c>
      <c r="O519" s="4" t="str">
        <f>LEFT(Table2[[#This Row],[Description]],75)</f>
        <v>Mindys Hot Chocolate Chicago IL 248335272</v>
      </c>
      <c r="P519" s="2"/>
    </row>
    <row r="520" spans="1:16" hidden="1">
      <c r="A520" s="2">
        <v>201909</v>
      </c>
      <c r="B520" s="3">
        <v>43711</v>
      </c>
      <c r="C520" s="2" t="s">
        <v>2262</v>
      </c>
      <c r="D520" s="2" t="s">
        <v>1372</v>
      </c>
      <c r="E520" s="2">
        <v>80.959999999999994</v>
      </c>
      <c r="F520" s="2" t="s">
        <v>26</v>
      </c>
      <c r="J520" s="2">
        <v>80.959999999999994</v>
      </c>
      <c r="K520" s="2" t="b">
        <v>0</v>
      </c>
      <c r="L520" s="2"/>
      <c r="M520" s="2"/>
      <c r="N520" s="4" t="s">
        <v>2259</v>
      </c>
      <c r="O520" s="4" t="str">
        <f>LEFT(Table2[[#This Row],[Description]],75)</f>
        <v>Northside Bar and Grill Chicago IL 248335273</v>
      </c>
      <c r="P520" s="2"/>
    </row>
    <row r="521" spans="1:16" hidden="1">
      <c r="A521" s="2">
        <v>201909</v>
      </c>
      <c r="B521" s="3">
        <v>43711</v>
      </c>
      <c r="C521" s="2" t="s">
        <v>2265</v>
      </c>
      <c r="D521" s="2" t="s">
        <v>1471</v>
      </c>
      <c r="E521" s="2">
        <v>14.99</v>
      </c>
      <c r="F521" s="2" t="s">
        <v>21</v>
      </c>
      <c r="J521" s="2">
        <v>14.99</v>
      </c>
      <c r="K521" s="2" t="b">
        <v>0</v>
      </c>
      <c r="L521" s="2"/>
      <c r="M521" s="2"/>
      <c r="N521" s="4" t="s">
        <v>2259</v>
      </c>
      <c r="O521" s="4" t="str">
        <f>LEFT(Table2[[#This Row],[Description]],75)</f>
        <v>PayPal</v>
      </c>
      <c r="P521" s="2" t="s">
        <v>2322</v>
      </c>
    </row>
    <row r="522" spans="1:16" hidden="1">
      <c r="A522" s="2">
        <v>201909</v>
      </c>
      <c r="B522" s="3">
        <v>43711</v>
      </c>
      <c r="C522" s="2" t="s">
        <v>2267</v>
      </c>
      <c r="D522" s="2" t="s">
        <v>1471</v>
      </c>
      <c r="E522" s="2">
        <v>14.99</v>
      </c>
      <c r="F522" s="2" t="s">
        <v>21</v>
      </c>
      <c r="J522" s="2">
        <v>14.99</v>
      </c>
      <c r="K522" s="2" t="b">
        <v>0</v>
      </c>
      <c r="L522" s="2"/>
      <c r="M522" s="2"/>
      <c r="N522" s="4" t="s">
        <v>2259</v>
      </c>
      <c r="O522" s="4" t="str">
        <f>LEFT(Table2[[#This Row],[Description]],75)</f>
        <v>PayPal</v>
      </c>
      <c r="P522" s="2"/>
    </row>
    <row r="523" spans="1:16" hidden="1">
      <c r="A523" s="2">
        <v>201909</v>
      </c>
      <c r="B523" s="3">
        <v>43711</v>
      </c>
      <c r="C523" s="2" t="s">
        <v>2262</v>
      </c>
      <c r="D523" s="2" t="s">
        <v>1793</v>
      </c>
      <c r="E523" s="2">
        <v>10.63</v>
      </c>
      <c r="F523" s="2" t="s">
        <v>21</v>
      </c>
      <c r="J523" s="2">
        <v>10.63</v>
      </c>
      <c r="K523" s="2" t="b">
        <v>0</v>
      </c>
      <c r="L523" s="2"/>
      <c r="M523" s="2"/>
      <c r="N523" s="4" t="s">
        <v>2259</v>
      </c>
      <c r="O523" s="4" t="str">
        <f>LEFT(Table2[[#This Row],[Description]],75)</f>
        <v>Sur La Table</v>
      </c>
      <c r="P523" s="2"/>
    </row>
    <row r="524" spans="1:16" hidden="1">
      <c r="A524" s="2">
        <v>201909</v>
      </c>
      <c r="B524" s="3">
        <v>43711</v>
      </c>
      <c r="C524" s="2" t="s">
        <v>2262</v>
      </c>
      <c r="D524" s="2" t="s">
        <v>1793</v>
      </c>
      <c r="E524" s="2">
        <v>14.88</v>
      </c>
      <c r="F524" s="2" t="s">
        <v>21</v>
      </c>
      <c r="J524" s="2">
        <v>14.88</v>
      </c>
      <c r="K524" s="2" t="b">
        <v>0</v>
      </c>
      <c r="L524" s="2"/>
      <c r="M524" s="2"/>
      <c r="N524" s="4" t="s">
        <v>2259</v>
      </c>
      <c r="O524" s="4" t="str">
        <f>LEFT(Table2[[#This Row],[Description]],75)</f>
        <v>Sur La Table</v>
      </c>
      <c r="P524" s="2"/>
    </row>
    <row r="525" spans="1:16" hidden="1">
      <c r="A525" s="2">
        <v>201909</v>
      </c>
      <c r="B525" s="3">
        <v>43711</v>
      </c>
      <c r="C525" s="2" t="s">
        <v>2262</v>
      </c>
      <c r="D525" s="2" t="s">
        <v>1793</v>
      </c>
      <c r="E525" s="2">
        <v>17.53</v>
      </c>
      <c r="F525" s="2" t="s">
        <v>21</v>
      </c>
      <c r="J525" s="2">
        <v>17.53</v>
      </c>
      <c r="K525" s="2" t="b">
        <v>0</v>
      </c>
      <c r="L525" s="2"/>
      <c r="M525" s="2"/>
      <c r="N525" s="4" t="s">
        <v>2259</v>
      </c>
      <c r="O525" s="4" t="str">
        <f>LEFT(Table2[[#This Row],[Description]],75)</f>
        <v>Sur La Table</v>
      </c>
      <c r="P525" s="2"/>
    </row>
    <row r="526" spans="1:16" hidden="1">
      <c r="A526" s="2">
        <v>201909</v>
      </c>
      <c r="B526" s="3">
        <v>43711</v>
      </c>
      <c r="C526" s="2" t="s">
        <v>2262</v>
      </c>
      <c r="D526" s="2" t="s">
        <v>1793</v>
      </c>
      <c r="E526" s="2">
        <v>26.56</v>
      </c>
      <c r="F526" s="2" t="s">
        <v>21</v>
      </c>
      <c r="J526" s="2">
        <v>26.56</v>
      </c>
      <c r="K526" s="2" t="b">
        <v>0</v>
      </c>
      <c r="L526" s="2"/>
      <c r="M526" s="2"/>
      <c r="N526" s="4" t="s">
        <v>2259</v>
      </c>
      <c r="O526" s="4" t="str">
        <f>LEFT(Table2[[#This Row],[Description]],75)</f>
        <v>Sur La Table</v>
      </c>
      <c r="P526" s="2"/>
    </row>
    <row r="527" spans="1:16" hidden="1">
      <c r="A527" s="2">
        <v>201909</v>
      </c>
      <c r="B527" s="3">
        <v>43711</v>
      </c>
      <c r="C527" s="2" t="s">
        <v>2265</v>
      </c>
      <c r="D527" s="2" t="s">
        <v>2109</v>
      </c>
      <c r="E527" s="2">
        <v>58</v>
      </c>
      <c r="F527" s="2">
        <v>0</v>
      </c>
      <c r="J527" s="2">
        <v>58</v>
      </c>
      <c r="K527" s="2" t="b">
        <v>0</v>
      </c>
      <c r="L527" s="2"/>
      <c r="M527" s="2"/>
      <c r="N527" s="4" t="s">
        <v>2259</v>
      </c>
      <c r="O527" s="4" t="str">
        <f>LEFT(Table2[[#This Row],[Description]],75)</f>
        <v>Venmo</v>
      </c>
      <c r="P527" s="2"/>
    </row>
    <row r="528" spans="1:16" hidden="1">
      <c r="A528" s="2">
        <v>201909</v>
      </c>
      <c r="B528" s="3">
        <v>43711</v>
      </c>
      <c r="C528" s="2" t="s">
        <v>2265</v>
      </c>
      <c r="D528" s="2" t="s">
        <v>2109</v>
      </c>
      <c r="E528" s="2">
        <v>140</v>
      </c>
      <c r="F528" s="2">
        <v>0</v>
      </c>
      <c r="J528" s="2">
        <v>140</v>
      </c>
      <c r="K528" s="2" t="b">
        <v>0</v>
      </c>
      <c r="L528" s="2"/>
      <c r="M528" s="2"/>
      <c r="N528" s="4" t="s">
        <v>2259</v>
      </c>
      <c r="O528" s="4" t="str">
        <f>LEFT(Table2[[#This Row],[Description]],75)</f>
        <v>Venmo</v>
      </c>
      <c r="P528" s="2"/>
    </row>
    <row r="529" spans="1:16" hidden="1">
      <c r="A529" s="2">
        <v>201909</v>
      </c>
      <c r="B529" s="3">
        <v>43711</v>
      </c>
      <c r="C529" s="2" t="s">
        <v>2267</v>
      </c>
      <c r="D529" s="2" t="s">
        <v>2109</v>
      </c>
      <c r="E529" s="2">
        <v>58</v>
      </c>
      <c r="F529" s="2" t="s">
        <v>21</v>
      </c>
      <c r="J529" s="2">
        <v>58</v>
      </c>
      <c r="K529" s="2" t="b">
        <v>0</v>
      </c>
      <c r="L529" s="2"/>
      <c r="M529" s="2"/>
      <c r="N529" s="4" t="s">
        <v>2259</v>
      </c>
      <c r="O529" s="4" t="str">
        <f>LEFT(Table2[[#This Row],[Description]],75)</f>
        <v>Venmo</v>
      </c>
      <c r="P529" s="2"/>
    </row>
    <row r="530" spans="1:16" hidden="1">
      <c r="A530" s="2">
        <v>201909</v>
      </c>
      <c r="B530" s="3">
        <v>43711</v>
      </c>
      <c r="C530" s="2" t="s">
        <v>2267</v>
      </c>
      <c r="D530" s="2" t="s">
        <v>2109</v>
      </c>
      <c r="E530" s="2">
        <v>140</v>
      </c>
      <c r="F530" s="2" t="s">
        <v>21</v>
      </c>
      <c r="J530" s="2">
        <v>140</v>
      </c>
      <c r="K530" s="2" t="b">
        <v>0</v>
      </c>
      <c r="L530" s="2"/>
      <c r="M530" s="2"/>
      <c r="N530" s="4" t="s">
        <v>2259</v>
      </c>
      <c r="O530" s="4" t="str">
        <f>LEFT(Table2[[#This Row],[Description]],75)</f>
        <v>Venmo</v>
      </c>
      <c r="P530" s="2"/>
    </row>
    <row r="531" spans="1:16" hidden="1">
      <c r="A531" s="2">
        <v>201909</v>
      </c>
      <c r="B531" s="3">
        <v>43711</v>
      </c>
      <c r="C531" s="2" t="s">
        <v>64</v>
      </c>
      <c r="D531" s="2" t="s">
        <v>2130</v>
      </c>
      <c r="E531" s="2">
        <v>-18.649999999999999</v>
      </c>
      <c r="F531" s="2" t="s">
        <v>69</v>
      </c>
      <c r="J531" s="2">
        <v>18.649999999999999</v>
      </c>
      <c r="K531" s="2" t="b">
        <v>0</v>
      </c>
      <c r="L531" s="2"/>
      <c r="M531" s="2"/>
      <c r="N531" s="2" t="s">
        <v>2264</v>
      </c>
      <c r="O531" s="2" t="str">
        <f>LEFT(Table2[[#This Row],[Description]],75)</f>
        <v>VISA INC CLASS A</v>
      </c>
      <c r="P531" s="2"/>
    </row>
    <row r="532" spans="1:16" hidden="1">
      <c r="A532" s="2">
        <v>201909</v>
      </c>
      <c r="B532" s="3">
        <v>43711</v>
      </c>
      <c r="C532" s="2" t="s">
        <v>2317</v>
      </c>
      <c r="D532" s="2" t="s">
        <v>2130</v>
      </c>
      <c r="E532" s="2">
        <v>-18.649999999999999</v>
      </c>
      <c r="F532" s="2" t="s">
        <v>9</v>
      </c>
      <c r="J532" s="2">
        <v>18.649999999999999</v>
      </c>
      <c r="K532" s="2" t="b">
        <v>0</v>
      </c>
      <c r="L532" s="2"/>
      <c r="M532" s="2"/>
      <c r="N532" s="2" t="s">
        <v>2264</v>
      </c>
      <c r="O532" s="2" t="str">
        <f>LEFT(Table2[[#This Row],[Description]],75)</f>
        <v>VISA INC CLASS A</v>
      </c>
      <c r="P532" s="2"/>
    </row>
    <row r="533" spans="1:16" hidden="1">
      <c r="A533" s="2">
        <v>201909</v>
      </c>
      <c r="B533" s="3">
        <v>43712</v>
      </c>
      <c r="C533" s="2" t="s">
        <v>2258</v>
      </c>
      <c r="D533" s="2" t="s">
        <v>38</v>
      </c>
      <c r="E533" s="2">
        <v>10.73</v>
      </c>
      <c r="F533" s="2" t="s">
        <v>38</v>
      </c>
      <c r="J533" s="2">
        <v>10.73</v>
      </c>
      <c r="K533" s="2" t="b">
        <v>0</v>
      </c>
      <c r="L533" s="2"/>
      <c r="M533" s="2"/>
      <c r="N533" s="4" t="s">
        <v>2259</v>
      </c>
      <c r="O533" s="4" t="str">
        <f>LEFT(Table2[[#This Row],[Description]],75)</f>
        <v>Amazon</v>
      </c>
      <c r="P533" s="2" t="s">
        <v>2260</v>
      </c>
    </row>
    <row r="534" spans="1:16" hidden="1">
      <c r="A534" s="2">
        <v>201909</v>
      </c>
      <c r="B534" s="3">
        <v>43712</v>
      </c>
      <c r="C534" s="2" t="s">
        <v>2261</v>
      </c>
      <c r="D534" s="2" t="s">
        <v>38</v>
      </c>
      <c r="E534" s="2">
        <v>10.73</v>
      </c>
      <c r="F534" s="2" t="s">
        <v>38</v>
      </c>
      <c r="J534" s="2">
        <v>10.73</v>
      </c>
      <c r="K534" s="2" t="b">
        <v>0</v>
      </c>
      <c r="L534" s="2"/>
      <c r="M534" s="2"/>
      <c r="N534" s="4" t="s">
        <v>2259</v>
      </c>
      <c r="O534" s="4" t="str">
        <f>LEFT(Table2[[#This Row],[Description]],75)</f>
        <v>Amazon</v>
      </c>
      <c r="P534" s="2"/>
    </row>
    <row r="535" spans="1:16" hidden="1">
      <c r="A535" s="2">
        <v>201909</v>
      </c>
      <c r="B535" s="3">
        <v>43712</v>
      </c>
      <c r="C535" s="2" t="s">
        <v>2262</v>
      </c>
      <c r="D535" s="2" t="s">
        <v>327</v>
      </c>
      <c r="E535" s="2">
        <v>18.940000000000001</v>
      </c>
      <c r="F535" s="2" t="s">
        <v>28</v>
      </c>
      <c r="J535" s="2">
        <v>18.940000000000001</v>
      </c>
      <c r="K535" s="2" t="b">
        <v>0</v>
      </c>
      <c r="L535" s="2"/>
      <c r="M535" s="2"/>
      <c r="N535" s="4" t="s">
        <v>2259</v>
      </c>
      <c r="O535" s="4" t="str">
        <f>LEFT(Table2[[#This Row],[Description]],75)</f>
        <v>Bucktown Food &amp; Liquors Inc.</v>
      </c>
      <c r="P535" s="2"/>
    </row>
    <row r="536" spans="1:16" hidden="1">
      <c r="A536" s="2">
        <v>201909</v>
      </c>
      <c r="B536" s="3">
        <v>43712</v>
      </c>
      <c r="C536" s="2" t="s">
        <v>2262</v>
      </c>
      <c r="D536" s="2" t="s">
        <v>327</v>
      </c>
      <c r="E536" s="2">
        <v>37.880000000000003</v>
      </c>
      <c r="F536" s="2" t="s">
        <v>28</v>
      </c>
      <c r="J536" s="2">
        <v>37.880000000000003</v>
      </c>
      <c r="K536" s="2" t="b">
        <v>0</v>
      </c>
      <c r="L536" s="2"/>
      <c r="M536" s="2"/>
      <c r="N536" s="4" t="s">
        <v>2259</v>
      </c>
      <c r="O536" s="4" t="str">
        <f>LEFT(Table2[[#This Row],[Description]],75)</f>
        <v>Bucktown Food &amp; Liquors Inc.</v>
      </c>
      <c r="P536" s="2"/>
    </row>
    <row r="537" spans="1:16" hidden="1">
      <c r="A537" s="2">
        <v>201909</v>
      </c>
      <c r="B537" s="3">
        <v>43712</v>
      </c>
      <c r="C537" s="2" t="s">
        <v>2265</v>
      </c>
      <c r="D537" s="2" t="s">
        <v>395</v>
      </c>
      <c r="E537" s="2">
        <v>-2265.0300000000002</v>
      </c>
      <c r="F537" s="2" t="s">
        <v>65</v>
      </c>
      <c r="J537" s="2">
        <v>2265.0300000000002</v>
      </c>
      <c r="K537" s="2" t="b">
        <v>0</v>
      </c>
      <c r="L537" s="2"/>
      <c r="M537" s="2"/>
      <c r="N537" s="4" t="s">
        <v>2273</v>
      </c>
      <c r="O537" s="4" t="str">
        <f>LEFT(Table2[[#This Row],[Description]],75)</f>
        <v xml:space="preserve">CARGILL COCOA TYPE DIR DEP ID CO CARGILL COCOA ACH ECC PPD ACH Trace 90979 </v>
      </c>
      <c r="P537" s="2" t="s">
        <v>2284</v>
      </c>
    </row>
    <row r="538" spans="1:16" hidden="1">
      <c r="A538" s="2">
        <v>201909</v>
      </c>
      <c r="B538" s="3">
        <v>43712</v>
      </c>
      <c r="C538" s="2" t="s">
        <v>2267</v>
      </c>
      <c r="D538" s="2" t="s">
        <v>395</v>
      </c>
      <c r="E538" s="2">
        <v>-2265.0300000000002</v>
      </c>
      <c r="F538" s="2" t="s">
        <v>65</v>
      </c>
      <c r="J538" s="2">
        <v>2265.0300000000002</v>
      </c>
      <c r="K538" s="2" t="b">
        <v>0</v>
      </c>
      <c r="L538" s="2"/>
      <c r="M538" s="2"/>
      <c r="N538" s="2" t="s">
        <v>2264</v>
      </c>
      <c r="O538" s="2" t="str">
        <f>LEFT(Table2[[#This Row],[Description]],75)</f>
        <v xml:space="preserve">CARGILL COCOA TYPE DIR DEP ID CO CARGILL COCOA ACH ECC PPD ACH Trace 90979 </v>
      </c>
      <c r="P538" s="2"/>
    </row>
    <row r="539" spans="1:16" hidden="1">
      <c r="A539" s="2">
        <v>201909</v>
      </c>
      <c r="B539" s="3">
        <v>43712</v>
      </c>
      <c r="C539" s="2" t="s">
        <v>2265</v>
      </c>
      <c r="D539" s="2" t="s">
        <v>468</v>
      </c>
      <c r="E539" s="2">
        <v>256.5</v>
      </c>
      <c r="F539" s="2" t="s">
        <v>20</v>
      </c>
      <c r="J539" s="2">
        <v>256.5</v>
      </c>
      <c r="K539" s="2" t="b">
        <v>0</v>
      </c>
      <c r="L539" s="2"/>
      <c r="M539" s="2"/>
      <c r="N539" s="4" t="s">
        <v>2259</v>
      </c>
      <c r="O539" s="4" t="str">
        <f>LEFT(Table2[[#This Row],[Description]],75)</f>
        <v>CCLC TYPE INTERNET ID CO CCLC ACH ECC WEB ACH Trace 27865 248324063</v>
      </c>
      <c r="P539" s="2" t="s">
        <v>2268</v>
      </c>
    </row>
    <row r="540" spans="1:16" hidden="1">
      <c r="A540" s="2">
        <v>201909</v>
      </c>
      <c r="B540" s="3">
        <v>43712</v>
      </c>
      <c r="C540" s="2" t="s">
        <v>2267</v>
      </c>
      <c r="D540" s="2" t="s">
        <v>468</v>
      </c>
      <c r="E540" s="2">
        <v>256.5</v>
      </c>
      <c r="F540" s="2" t="s">
        <v>20</v>
      </c>
      <c r="J540" s="2">
        <v>256.5</v>
      </c>
      <c r="K540" s="2" t="b">
        <v>0</v>
      </c>
      <c r="L540" s="2"/>
      <c r="M540" s="2"/>
      <c r="N540" s="4" t="s">
        <v>2259</v>
      </c>
      <c r="O540" s="4" t="str">
        <f>LEFT(Table2[[#This Row],[Description]],75)</f>
        <v>CCLC TYPE INTERNET ID CO CCLC ACH ECC WEB ACH Trace 27865 248324063</v>
      </c>
      <c r="P540" s="2"/>
    </row>
    <row r="541" spans="1:16" hidden="1">
      <c r="A541" s="2">
        <v>201909</v>
      </c>
      <c r="B541" s="3">
        <v>43712</v>
      </c>
      <c r="C541" s="2" t="s">
        <v>2262</v>
      </c>
      <c r="D541" s="2" t="s">
        <v>684</v>
      </c>
      <c r="E541" s="2">
        <v>96.78</v>
      </c>
      <c r="F541" s="2" t="s">
        <v>28</v>
      </c>
      <c r="J541" s="2">
        <v>96.78</v>
      </c>
      <c r="K541" s="2" t="b">
        <v>0</v>
      </c>
      <c r="L541" s="2"/>
      <c r="M541" s="2"/>
      <c r="N541" s="4" t="s">
        <v>2259</v>
      </c>
      <c r="O541" s="4" t="str">
        <f>LEFT(Table2[[#This Row],[Description]],75)</f>
        <v>Cub Foods</v>
      </c>
      <c r="P541" s="2"/>
    </row>
    <row r="542" spans="1:16" hidden="1">
      <c r="A542" s="2">
        <v>201909</v>
      </c>
      <c r="B542" s="3">
        <v>43712</v>
      </c>
      <c r="C542" s="2" t="s">
        <v>2290</v>
      </c>
      <c r="D542" s="2" t="s">
        <v>839</v>
      </c>
      <c r="E542" s="2">
        <v>-35144.33</v>
      </c>
      <c r="F542" s="2" t="s">
        <v>87</v>
      </c>
      <c r="J542" s="2">
        <v>35144.33</v>
      </c>
      <c r="K542" s="2" t="b">
        <v>0</v>
      </c>
      <c r="L542" s="2"/>
      <c r="M542" s="2"/>
      <c r="N542" s="2" t="s">
        <v>2264</v>
      </c>
      <c r="O542" s="2" t="str">
        <f>LEFT(Table2[[#This Row],[Description]],75)</f>
        <v>FID 500 INDEX</v>
      </c>
      <c r="P542" s="2"/>
    </row>
    <row r="543" spans="1:16" hidden="1">
      <c r="A543" s="2">
        <v>201909</v>
      </c>
      <c r="B543" s="3">
        <v>43712</v>
      </c>
      <c r="C543" s="2" t="s">
        <v>2290</v>
      </c>
      <c r="D543" s="2" t="s">
        <v>841</v>
      </c>
      <c r="E543" s="2">
        <v>-14057.7</v>
      </c>
      <c r="F543" s="2" t="s">
        <v>9</v>
      </c>
      <c r="J543" s="2">
        <v>14057.7</v>
      </c>
      <c r="K543" s="2" t="b">
        <v>0</v>
      </c>
      <c r="L543" s="2"/>
      <c r="M543" s="2"/>
      <c r="N543" s="2" t="s">
        <v>2264</v>
      </c>
      <c r="O543" s="2" t="str">
        <f>LEFT(Table2[[#This Row],[Description]],75)</f>
        <v>FID EXTD MKT IDX</v>
      </c>
      <c r="P543" s="2"/>
    </row>
    <row r="544" spans="1:16" hidden="1">
      <c r="A544" s="2">
        <v>201909</v>
      </c>
      <c r="B544" s="3">
        <v>43712</v>
      </c>
      <c r="C544" s="2" t="s">
        <v>64</v>
      </c>
      <c r="D544" s="2" t="s">
        <v>978</v>
      </c>
      <c r="E544" s="2">
        <v>16.670000000000002</v>
      </c>
      <c r="F544" s="2" t="s">
        <v>69</v>
      </c>
      <c r="J544" s="2">
        <v>16.670000000000002</v>
      </c>
      <c r="K544" s="2" t="b">
        <v>0</v>
      </c>
      <c r="L544" s="2"/>
      <c r="M544" s="2"/>
      <c r="N544" s="4" t="s">
        <v>2259</v>
      </c>
      <c r="O544" s="4" t="str">
        <f>LEFT(Table2[[#This Row],[Description]],75)</f>
        <v>INTEL CORP</v>
      </c>
      <c r="P544" s="2"/>
    </row>
    <row r="545" spans="1:16" hidden="1">
      <c r="A545" s="2">
        <v>201909</v>
      </c>
      <c r="B545" s="3">
        <v>43712</v>
      </c>
      <c r="C545" s="2" t="s">
        <v>2317</v>
      </c>
      <c r="D545" s="2" t="s">
        <v>978</v>
      </c>
      <c r="E545" s="2">
        <v>16.670000000000002</v>
      </c>
      <c r="F545" s="2" t="s">
        <v>9</v>
      </c>
      <c r="J545" s="2">
        <v>16.670000000000002</v>
      </c>
      <c r="K545" s="2" t="b">
        <v>0</v>
      </c>
      <c r="L545" s="2"/>
      <c r="M545" s="2"/>
      <c r="N545" s="4" t="s">
        <v>2259</v>
      </c>
      <c r="O545" s="4" t="str">
        <f>LEFT(Table2[[#This Row],[Description]],75)</f>
        <v>INTEL CORP</v>
      </c>
      <c r="P545" s="2"/>
    </row>
    <row r="546" spans="1:16" hidden="1">
      <c r="A546" s="2">
        <v>201909</v>
      </c>
      <c r="B546" s="3">
        <v>43712</v>
      </c>
      <c r="C546" s="2" t="s">
        <v>2262</v>
      </c>
      <c r="D546" s="2" t="s">
        <v>1947</v>
      </c>
      <c r="E546" s="2">
        <v>-1046.9000000000001</v>
      </c>
      <c r="F546" s="2" t="s">
        <v>9</v>
      </c>
      <c r="J546" s="2">
        <v>1046.9000000000001</v>
      </c>
      <c r="K546" s="2" t="b">
        <v>0</v>
      </c>
      <c r="L546" s="2"/>
      <c r="M546" s="2"/>
      <c r="N546" s="2" t="s">
        <v>2264</v>
      </c>
      <c r="O546" s="2" t="str">
        <f>LEFT(Table2[[#This Row],[Description]],75)</f>
        <v>Transfer from POWERPLUS CHECKING</v>
      </c>
      <c r="P546" s="2"/>
    </row>
    <row r="547" spans="1:16" hidden="1">
      <c r="A547" s="2">
        <v>201909</v>
      </c>
      <c r="B547" s="3">
        <v>43712</v>
      </c>
      <c r="C547" s="2" t="s">
        <v>2265</v>
      </c>
      <c r="D547" s="2" t="s">
        <v>1951</v>
      </c>
      <c r="E547" s="2">
        <v>1046.9000000000001</v>
      </c>
      <c r="F547" s="2" t="s">
        <v>9</v>
      </c>
      <c r="J547" s="2">
        <v>1046.9000000000001</v>
      </c>
      <c r="K547" s="2" t="b">
        <v>0</v>
      </c>
      <c r="L547" s="2"/>
      <c r="M547" s="2"/>
      <c r="N547" s="4" t="s">
        <v>2259</v>
      </c>
      <c r="O547" s="4" t="str">
        <f>LEFT(Table2[[#This Row],[Description]],75)</f>
        <v>Transfer to Cash Rewards Visa Signature</v>
      </c>
      <c r="P547" s="2" t="s">
        <v>2266</v>
      </c>
    </row>
    <row r="548" spans="1:16" hidden="1">
      <c r="A548" s="2">
        <v>201909</v>
      </c>
      <c r="B548" s="3">
        <v>43712</v>
      </c>
      <c r="C548" s="2" t="s">
        <v>2267</v>
      </c>
      <c r="D548" s="2" t="s">
        <v>1951</v>
      </c>
      <c r="E548" s="2">
        <v>1046.9000000000001</v>
      </c>
      <c r="F548" s="2" t="s">
        <v>9</v>
      </c>
      <c r="J548" s="2">
        <v>1046.9000000000001</v>
      </c>
      <c r="K548" s="2" t="b">
        <v>0</v>
      </c>
      <c r="L548" s="2"/>
      <c r="M548" s="2"/>
      <c r="N548" s="4" t="s">
        <v>2259</v>
      </c>
      <c r="O548" s="4" t="str">
        <f>LEFT(Table2[[#This Row],[Description]],75)</f>
        <v>Transfer to Cash Rewards Visa Signature</v>
      </c>
      <c r="P548" s="2"/>
    </row>
    <row r="549" spans="1:16" hidden="1">
      <c r="A549" s="2">
        <v>201909</v>
      </c>
      <c r="B549" s="3">
        <v>43712</v>
      </c>
      <c r="C549" s="2" t="s">
        <v>2290</v>
      </c>
      <c r="D549" s="2" t="s">
        <v>2106</v>
      </c>
      <c r="E549" s="2">
        <v>-3212.35</v>
      </c>
      <c r="F549" s="2" t="s">
        <v>87</v>
      </c>
      <c r="J549" s="2">
        <v>3212.35</v>
      </c>
      <c r="K549" s="2" t="b">
        <v>0</v>
      </c>
      <c r="L549" s="2"/>
      <c r="M549" s="2"/>
      <c r="N549" s="2" t="s">
        <v>2264</v>
      </c>
      <c r="O549" s="2" t="str">
        <f>LEFT(Table2[[#This Row],[Description]],75)</f>
        <v>VANG TARGET RET 2050</v>
      </c>
      <c r="P549" s="2"/>
    </row>
    <row r="550" spans="1:16" hidden="1">
      <c r="A550" s="2">
        <v>201909</v>
      </c>
      <c r="B550" s="3">
        <v>43712</v>
      </c>
      <c r="C550" s="2" t="s">
        <v>2290</v>
      </c>
      <c r="D550" s="2" t="s">
        <v>2106</v>
      </c>
      <c r="E550" s="2">
        <v>49202.03</v>
      </c>
      <c r="F550" s="2" t="s">
        <v>87</v>
      </c>
      <c r="J550" s="2">
        <v>49202.03</v>
      </c>
      <c r="K550" s="2" t="b">
        <v>0</v>
      </c>
      <c r="L550" s="2"/>
      <c r="M550" s="2"/>
      <c r="N550" s="4" t="s">
        <v>2259</v>
      </c>
      <c r="O550" s="4" t="str">
        <f>LEFT(Table2[[#This Row],[Description]],75)</f>
        <v>VANG TARGET RET 2050</v>
      </c>
      <c r="P550" s="2"/>
    </row>
    <row r="551" spans="1:16" hidden="1">
      <c r="A551" s="2">
        <v>201909</v>
      </c>
      <c r="B551" s="3">
        <v>43712</v>
      </c>
      <c r="C551" s="2" t="s">
        <v>64</v>
      </c>
      <c r="D551" s="2" t="s">
        <v>2130</v>
      </c>
      <c r="E551" s="2">
        <v>18.649999999999999</v>
      </c>
      <c r="F551" s="2" t="s">
        <v>69</v>
      </c>
      <c r="J551" s="2">
        <v>18.649999999999999</v>
      </c>
      <c r="K551" s="2" t="b">
        <v>0</v>
      </c>
      <c r="L551" s="2"/>
      <c r="M551" s="2"/>
      <c r="N551" s="4" t="s">
        <v>2259</v>
      </c>
      <c r="O551" s="4" t="str">
        <f>LEFT(Table2[[#This Row],[Description]],75)</f>
        <v>VISA INC CLASS A</v>
      </c>
      <c r="P551" s="2"/>
    </row>
    <row r="552" spans="1:16" hidden="1">
      <c r="A552" s="2">
        <v>201909</v>
      </c>
      <c r="B552" s="3">
        <v>43712</v>
      </c>
      <c r="C552" s="2" t="s">
        <v>2317</v>
      </c>
      <c r="D552" s="2" t="s">
        <v>2130</v>
      </c>
      <c r="E552" s="2">
        <v>18.649999999999999</v>
      </c>
      <c r="F552" s="2" t="s">
        <v>9</v>
      </c>
      <c r="J552" s="2">
        <v>18.649999999999999</v>
      </c>
      <c r="K552" s="2" t="b">
        <v>0</v>
      </c>
      <c r="L552" s="2"/>
      <c r="M552" s="2"/>
      <c r="N552" s="4" t="s">
        <v>2259</v>
      </c>
      <c r="O552" s="4" t="str">
        <f>LEFT(Table2[[#This Row],[Description]],75)</f>
        <v>VISA INC CLASS A</v>
      </c>
      <c r="P552" s="2"/>
    </row>
    <row r="553" spans="1:16" hidden="1">
      <c r="A553" s="2">
        <v>201909</v>
      </c>
      <c r="B553" s="3">
        <v>43713</v>
      </c>
      <c r="C553" s="2" t="s">
        <v>2262</v>
      </c>
      <c r="D553" s="2" t="s">
        <v>280</v>
      </c>
      <c r="E553" s="2">
        <v>32.25</v>
      </c>
      <c r="F553" s="2" t="s">
        <v>21</v>
      </c>
      <c r="J553" s="2">
        <v>32.25</v>
      </c>
      <c r="K553" s="2" t="b">
        <v>0</v>
      </c>
      <c r="L553" s="2"/>
      <c r="M553" s="2"/>
      <c r="N553" s="4" t="s">
        <v>2259</v>
      </c>
      <c r="O553" s="4" t="str">
        <f>LEFT(Table2[[#This Row],[Description]],75)</f>
        <v>Best Buy</v>
      </c>
      <c r="P553" s="2"/>
    </row>
    <row r="554" spans="1:16" hidden="1">
      <c r="A554" s="2">
        <v>201909</v>
      </c>
      <c r="B554" s="3">
        <v>43713</v>
      </c>
      <c r="C554" s="2" t="s">
        <v>2262</v>
      </c>
      <c r="D554" s="2" t="s">
        <v>732</v>
      </c>
      <c r="E554" s="2">
        <v>141.97</v>
      </c>
      <c r="F554" s="2" t="s">
        <v>21</v>
      </c>
      <c r="J554" s="2">
        <v>141.97</v>
      </c>
      <c r="K554" s="2" t="b">
        <v>0</v>
      </c>
      <c r="L554" s="2"/>
      <c r="M554" s="2"/>
      <c r="N554" s="4" t="s">
        <v>2259</v>
      </c>
      <c r="O554" s="4" t="str">
        <f>LEFT(Table2[[#This Row],[Description]],75)</f>
        <v>Dick's Sporting</v>
      </c>
      <c r="P554" s="2"/>
    </row>
    <row r="555" spans="1:16" hidden="1">
      <c r="A555" s="2">
        <v>201909</v>
      </c>
      <c r="B555" s="3">
        <v>43713</v>
      </c>
      <c r="C555" s="2" t="s">
        <v>2258</v>
      </c>
      <c r="D555" s="2" t="s">
        <v>1353</v>
      </c>
      <c r="E555" s="2">
        <v>15.03</v>
      </c>
      <c r="F555" s="2" t="s">
        <v>26</v>
      </c>
      <c r="J555" s="2">
        <v>15.03</v>
      </c>
      <c r="K555" s="2" t="b">
        <v>0</v>
      </c>
      <c r="L555" s="2"/>
      <c r="M555" s="2"/>
      <c r="N555" s="4" t="s">
        <v>2259</v>
      </c>
      <c r="O555" s="4" t="str">
        <f>LEFT(Table2[[#This Row],[Description]],75)</f>
        <v>Noodles &amp; Company</v>
      </c>
      <c r="P555" s="2" t="s">
        <v>2337</v>
      </c>
    </row>
    <row r="556" spans="1:16" hidden="1">
      <c r="A556" s="2">
        <v>201909</v>
      </c>
      <c r="B556" s="3">
        <v>43713</v>
      </c>
      <c r="C556" s="2" t="s">
        <v>2261</v>
      </c>
      <c r="D556" s="2" t="s">
        <v>1353</v>
      </c>
      <c r="E556" s="2">
        <v>15.03</v>
      </c>
      <c r="F556" s="2" t="s">
        <v>26</v>
      </c>
      <c r="J556" s="2">
        <v>15.03</v>
      </c>
      <c r="K556" s="2" t="b">
        <v>0</v>
      </c>
      <c r="L556" s="2"/>
      <c r="M556" s="2"/>
      <c r="N556" s="4" t="s">
        <v>2259</v>
      </c>
      <c r="O556" s="4" t="str">
        <f>LEFT(Table2[[#This Row],[Description]],75)</f>
        <v>Noodles &amp; Company</v>
      </c>
      <c r="P556" s="2"/>
    </row>
    <row r="557" spans="1:16" hidden="1">
      <c r="A557" s="2">
        <v>201909</v>
      </c>
      <c r="B557" s="3">
        <v>43713</v>
      </c>
      <c r="C557" s="2" t="s">
        <v>2275</v>
      </c>
      <c r="D557" s="2" t="s">
        <v>1633</v>
      </c>
      <c r="E557" s="2">
        <v>150</v>
      </c>
      <c r="F557" s="2" t="s">
        <v>9</v>
      </c>
      <c r="J557" s="2">
        <v>150</v>
      </c>
      <c r="K557" s="2" t="b">
        <v>0</v>
      </c>
      <c r="L557" s="2"/>
      <c r="M557" s="2"/>
      <c r="N557" s="4" t="s">
        <v>2259</v>
      </c>
      <c r="O557" s="4" t="str">
        <f>LEFT(Table2[[#This Row],[Description]],75)</f>
        <v>SCHWAB S&amp;P 500 INDEX FD</v>
      </c>
      <c r="P557" s="2" t="s">
        <v>2276</v>
      </c>
    </row>
    <row r="558" spans="1:16" hidden="1">
      <c r="A558" s="2">
        <v>201909</v>
      </c>
      <c r="B558" s="3">
        <v>43713</v>
      </c>
      <c r="C558" s="2" t="s">
        <v>2277</v>
      </c>
      <c r="D558" s="2" t="s">
        <v>1633</v>
      </c>
      <c r="E558" s="2">
        <v>150</v>
      </c>
      <c r="F558" s="2" t="s">
        <v>9</v>
      </c>
      <c r="J558" s="2">
        <v>150</v>
      </c>
      <c r="K558" s="2" t="b">
        <v>0</v>
      </c>
      <c r="L558" s="2"/>
      <c r="M558" s="2"/>
      <c r="N558" s="4" t="s">
        <v>2259</v>
      </c>
      <c r="O558" s="4" t="str">
        <f>LEFT(Table2[[#This Row],[Description]],75)</f>
        <v>SCHWAB S&amp;P 500 INDEX FD</v>
      </c>
      <c r="P558" s="2" t="s">
        <v>2276</v>
      </c>
    </row>
    <row r="559" spans="1:16" hidden="1">
      <c r="A559" s="2">
        <v>201909</v>
      </c>
      <c r="B559" s="3">
        <v>43713</v>
      </c>
      <c r="C559" s="2" t="s">
        <v>2275</v>
      </c>
      <c r="D559" s="2" t="s">
        <v>1635</v>
      </c>
      <c r="E559" s="2">
        <v>150</v>
      </c>
      <c r="F559" s="2" t="s">
        <v>9</v>
      </c>
      <c r="J559" s="2">
        <v>150</v>
      </c>
      <c r="K559" s="2" t="b">
        <v>0</v>
      </c>
      <c r="L559" s="2"/>
      <c r="M559" s="2"/>
      <c r="N559" s="4" t="s">
        <v>2259</v>
      </c>
      <c r="O559" s="4" t="str">
        <f>LEFT(Table2[[#This Row],[Description]],75)</f>
        <v>SCHWAB TOTAL STOCK MKT INDEX</v>
      </c>
      <c r="P559" s="2" t="s">
        <v>2278</v>
      </c>
    </row>
    <row r="560" spans="1:16" hidden="1">
      <c r="A560" s="2">
        <v>201909</v>
      </c>
      <c r="B560" s="3">
        <v>43713</v>
      </c>
      <c r="C560" s="2" t="s">
        <v>2277</v>
      </c>
      <c r="D560" s="2" t="s">
        <v>1635</v>
      </c>
      <c r="E560" s="2">
        <v>150</v>
      </c>
      <c r="F560" s="2" t="s">
        <v>9</v>
      </c>
      <c r="J560" s="2">
        <v>150</v>
      </c>
      <c r="K560" s="2" t="b">
        <v>0</v>
      </c>
      <c r="L560" s="2"/>
      <c r="M560" s="2"/>
      <c r="N560" s="4" t="s">
        <v>2259</v>
      </c>
      <c r="O560" s="4" t="str">
        <f>LEFT(Table2[[#This Row],[Description]],75)</f>
        <v>SCHWAB TOTAL STOCK MKT INDEX</v>
      </c>
      <c r="P560" s="2"/>
    </row>
    <row r="561" spans="1:16" hidden="1">
      <c r="A561" s="2">
        <v>201909</v>
      </c>
      <c r="B561" s="3">
        <v>43713</v>
      </c>
      <c r="C561" s="2" t="s">
        <v>2271</v>
      </c>
      <c r="D561" s="2" t="s">
        <v>31</v>
      </c>
      <c r="E561" s="2">
        <v>36.76</v>
      </c>
      <c r="F561" s="2" t="s">
        <v>31</v>
      </c>
      <c r="J561" s="2">
        <v>36.76</v>
      </c>
      <c r="K561" s="2" t="b">
        <v>0</v>
      </c>
      <c r="L561" s="2"/>
      <c r="M561" s="2"/>
      <c r="N561" s="4" t="s">
        <v>2259</v>
      </c>
      <c r="O561" s="4" t="str">
        <f>LEFT(Table2[[#This Row],[Description]],75)</f>
        <v>Target</v>
      </c>
      <c r="P561" s="2"/>
    </row>
    <row r="562" spans="1:16" hidden="1">
      <c r="A562" s="2">
        <v>201909</v>
      </c>
      <c r="B562" s="3">
        <v>43713</v>
      </c>
      <c r="C562" s="2" t="s">
        <v>2262</v>
      </c>
      <c r="D562" s="2" t="s">
        <v>2151</v>
      </c>
      <c r="E562" s="2">
        <v>475.84</v>
      </c>
      <c r="F562" s="2" t="s">
        <v>48</v>
      </c>
      <c r="J562" s="2">
        <v>475.84</v>
      </c>
      <c r="K562" s="2" t="b">
        <v>0</v>
      </c>
      <c r="L562" s="2"/>
      <c r="M562" s="2"/>
      <c r="N562" s="4" t="s">
        <v>2259</v>
      </c>
      <c r="O562" s="4" t="str">
        <f>LEFT(Table2[[#This Row],[Description]],75)</f>
        <v>Western Ob Gyne Ltd</v>
      </c>
      <c r="P562" s="2"/>
    </row>
    <row r="563" spans="1:16" hidden="1">
      <c r="A563" s="2">
        <v>201909</v>
      </c>
      <c r="B563" s="3">
        <v>43713</v>
      </c>
      <c r="C563" s="2" t="s">
        <v>2265</v>
      </c>
      <c r="D563" s="2" t="s">
        <v>2221</v>
      </c>
      <c r="E563" s="2">
        <v>149.09</v>
      </c>
      <c r="F563" s="2" t="s">
        <v>7</v>
      </c>
      <c r="J563" s="2">
        <v>149.09</v>
      </c>
      <c r="K563" s="2" t="b">
        <v>0</v>
      </c>
      <c r="L563" s="2"/>
      <c r="M563" s="2"/>
      <c r="N563" s="4" t="s">
        <v>2259</v>
      </c>
      <c r="O563" s="4" t="str">
        <f>LEFT(Table2[[#This Row],[Description]],75)</f>
        <v>Xcel Energy</v>
      </c>
      <c r="P563" s="2" t="s">
        <v>2280</v>
      </c>
    </row>
    <row r="564" spans="1:16" hidden="1">
      <c r="A564" s="2">
        <v>201909</v>
      </c>
      <c r="B564" s="3">
        <v>43713</v>
      </c>
      <c r="C564" s="2" t="s">
        <v>2267</v>
      </c>
      <c r="D564" s="2" t="s">
        <v>2221</v>
      </c>
      <c r="E564" s="2">
        <v>149.09</v>
      </c>
      <c r="F564" s="2" t="s">
        <v>7</v>
      </c>
      <c r="J564" s="2">
        <v>149.09</v>
      </c>
      <c r="K564" s="2" t="b">
        <v>0</v>
      </c>
      <c r="L564" s="2"/>
      <c r="M564" s="2"/>
      <c r="N564" s="4" t="s">
        <v>2259</v>
      </c>
      <c r="O564" s="4" t="str">
        <f>LEFT(Table2[[#This Row],[Description]],75)</f>
        <v>Xcel Energy</v>
      </c>
      <c r="P564" s="2"/>
    </row>
    <row r="565" spans="1:16" hidden="1">
      <c r="A565" s="2">
        <v>201909</v>
      </c>
      <c r="B565" s="3">
        <v>43714</v>
      </c>
      <c r="C565" s="2" t="s">
        <v>64</v>
      </c>
      <c r="D565" s="2" t="s">
        <v>305</v>
      </c>
      <c r="E565" s="2">
        <v>-81.72</v>
      </c>
      <c r="F565" s="2" t="s">
        <v>69</v>
      </c>
      <c r="J565" s="2">
        <v>81.72</v>
      </c>
      <c r="K565" s="2" t="b">
        <v>0</v>
      </c>
      <c r="L565" s="2"/>
      <c r="M565" s="2"/>
      <c r="N565" s="2" t="s">
        <v>2264</v>
      </c>
      <c r="O565" s="2" t="str">
        <f>LEFT(Table2[[#This Row],[Description]],75)</f>
        <v>BOEING CO</v>
      </c>
      <c r="P565" s="2"/>
    </row>
    <row r="566" spans="1:16" hidden="1">
      <c r="A566" s="2">
        <v>201909</v>
      </c>
      <c r="B566" s="3">
        <v>43714</v>
      </c>
      <c r="C566" s="2" t="s">
        <v>2317</v>
      </c>
      <c r="D566" s="2" t="s">
        <v>305</v>
      </c>
      <c r="E566" s="2">
        <v>-81.72</v>
      </c>
      <c r="F566" s="2" t="s">
        <v>9</v>
      </c>
      <c r="J566" s="2">
        <v>81.72</v>
      </c>
      <c r="K566" s="2" t="b">
        <v>0</v>
      </c>
      <c r="L566" s="2"/>
      <c r="M566" s="2"/>
      <c r="N566" s="2" t="s">
        <v>2264</v>
      </c>
      <c r="O566" s="2" t="str">
        <f>LEFT(Table2[[#This Row],[Description]],75)</f>
        <v>BOEING CO</v>
      </c>
      <c r="P566" s="2"/>
    </row>
    <row r="567" spans="1:16" hidden="1">
      <c r="A567" s="2">
        <v>201909</v>
      </c>
      <c r="B567" s="3">
        <v>43714</v>
      </c>
      <c r="C567" s="2" t="s">
        <v>2262</v>
      </c>
      <c r="D567" s="2" t="s">
        <v>328</v>
      </c>
      <c r="E567" s="2">
        <v>4.8899999999999997</v>
      </c>
      <c r="F567" s="2" t="s">
        <v>23</v>
      </c>
      <c r="J567" s="2">
        <v>4.8899999999999997</v>
      </c>
      <c r="K567" s="2" t="b">
        <v>0</v>
      </c>
      <c r="L567" s="2"/>
      <c r="M567" s="2"/>
      <c r="N567" s="4" t="s">
        <v>2259</v>
      </c>
      <c r="O567" s="4" t="str">
        <f>LEFT(Table2[[#This Row],[Description]],75)</f>
        <v>Buffalo Niagara Taxi</v>
      </c>
      <c r="P567" s="2"/>
    </row>
    <row r="568" spans="1:16" hidden="1">
      <c r="A568" s="2">
        <v>201909</v>
      </c>
      <c r="B568" s="3">
        <v>43714</v>
      </c>
      <c r="C568" s="2" t="s">
        <v>64</v>
      </c>
      <c r="D568" s="2" t="s">
        <v>354</v>
      </c>
      <c r="E568" s="2">
        <v>-200</v>
      </c>
      <c r="F568" s="2" t="s">
        <v>59</v>
      </c>
      <c r="J568" s="2">
        <v>200</v>
      </c>
      <c r="K568" s="2" t="b">
        <v>0</v>
      </c>
      <c r="L568" s="2"/>
      <c r="M568" s="2"/>
      <c r="N568" s="2" t="s">
        <v>2264</v>
      </c>
      <c r="O568" s="2" t="str">
        <f>LEFT(Table2[[#This Row],[Description]],75)</f>
        <v>CARGILL COCOA &amp;</v>
      </c>
      <c r="P568" s="2"/>
    </row>
    <row r="569" spans="1:16" hidden="1">
      <c r="A569" s="2">
        <v>201909</v>
      </c>
      <c r="B569" s="3">
        <v>43714</v>
      </c>
      <c r="C569" s="2" t="s">
        <v>2317</v>
      </c>
      <c r="D569" s="2" t="s">
        <v>354</v>
      </c>
      <c r="E569" s="2">
        <v>-200</v>
      </c>
      <c r="F569" s="2" t="s">
        <v>9</v>
      </c>
      <c r="J569" s="2">
        <v>200</v>
      </c>
      <c r="K569" s="2" t="b">
        <v>0</v>
      </c>
      <c r="L569" s="2"/>
      <c r="M569" s="2"/>
      <c r="N569" s="2" t="s">
        <v>2264</v>
      </c>
      <c r="O569" s="2" t="str">
        <f>LEFT(Table2[[#This Row],[Description]],75)</f>
        <v>CARGILL COCOA &amp;</v>
      </c>
      <c r="P569" s="2"/>
    </row>
    <row r="570" spans="1:16" hidden="1">
      <c r="A570" s="2">
        <v>201909</v>
      </c>
      <c r="B570" s="3">
        <v>43714</v>
      </c>
      <c r="C570" s="2" t="s">
        <v>2258</v>
      </c>
      <c r="D570" s="2" t="s">
        <v>453</v>
      </c>
      <c r="E570" s="2">
        <v>4.82</v>
      </c>
      <c r="F570" s="2" t="s">
        <v>26</v>
      </c>
      <c r="J570" s="2">
        <v>4.82</v>
      </c>
      <c r="K570" s="2" t="b">
        <v>0</v>
      </c>
      <c r="L570" s="2"/>
      <c r="M570" s="2"/>
      <c r="N570" s="4" t="s">
        <v>2259</v>
      </c>
      <c r="O570" s="4" t="str">
        <f>LEFT(Table2[[#This Row],[Description]],75)</f>
        <v>Caribou Coffee</v>
      </c>
      <c r="P570" s="2" t="s">
        <v>2329</v>
      </c>
    </row>
    <row r="571" spans="1:16" hidden="1">
      <c r="A571" s="2">
        <v>201909</v>
      </c>
      <c r="B571" s="3">
        <v>43714</v>
      </c>
      <c r="C571" s="2" t="s">
        <v>2261</v>
      </c>
      <c r="D571" s="2" t="s">
        <v>453</v>
      </c>
      <c r="E571" s="2">
        <v>4.82</v>
      </c>
      <c r="F571" s="2" t="s">
        <v>26</v>
      </c>
      <c r="J571" s="2">
        <v>4.82</v>
      </c>
      <c r="K571" s="2" t="b">
        <v>0</v>
      </c>
      <c r="L571" s="2"/>
      <c r="M571" s="2"/>
      <c r="N571" s="4" t="s">
        <v>2259</v>
      </c>
      <c r="O571" s="4" t="str">
        <f>LEFT(Table2[[#This Row],[Description]],75)</f>
        <v>Caribou Coffee</v>
      </c>
      <c r="P571" s="2"/>
    </row>
    <row r="572" spans="1:16" hidden="1">
      <c r="A572" s="2">
        <v>201909</v>
      </c>
      <c r="B572" s="3">
        <v>43714</v>
      </c>
      <c r="C572" s="2" t="s">
        <v>2262</v>
      </c>
      <c r="D572" s="2" t="s">
        <v>944</v>
      </c>
      <c r="E572" s="2">
        <v>40.26</v>
      </c>
      <c r="F572" s="2" t="s">
        <v>23</v>
      </c>
      <c r="J572" s="2">
        <v>40.26</v>
      </c>
      <c r="K572" s="2" t="b">
        <v>0</v>
      </c>
      <c r="L572" s="2"/>
      <c r="M572" s="2"/>
      <c r="N572" s="4" t="s">
        <v>2259</v>
      </c>
      <c r="O572" s="4" t="str">
        <f>LEFT(Table2[[#This Row],[Description]],75)</f>
        <v>Holiday Stationstore</v>
      </c>
      <c r="P572" s="2"/>
    </row>
    <row r="573" spans="1:16" hidden="1">
      <c r="A573" s="2">
        <v>201909</v>
      </c>
      <c r="B573" s="3">
        <v>43714</v>
      </c>
      <c r="C573" s="2" t="s">
        <v>2258</v>
      </c>
      <c r="D573" s="2" t="s">
        <v>1257</v>
      </c>
      <c r="E573" s="2">
        <v>39.33</v>
      </c>
      <c r="F573" s="2">
        <v>0</v>
      </c>
      <c r="J573" s="2">
        <v>39.33</v>
      </c>
      <c r="K573" s="2" t="b">
        <v>0</v>
      </c>
      <c r="L573" s="2"/>
      <c r="M573" s="2"/>
      <c r="N573" s="4" t="s">
        <v>2259</v>
      </c>
      <c r="O573" s="4" t="str">
        <f>LEFT(Table2[[#This Row],[Description]],75)</f>
        <v>Mille Lac's Liquor &amp; Gas</v>
      </c>
      <c r="P573" s="2"/>
    </row>
    <row r="574" spans="1:16" hidden="1">
      <c r="A574" s="2">
        <v>201909</v>
      </c>
      <c r="B574" s="3">
        <v>43714</v>
      </c>
      <c r="C574" s="2" t="s">
        <v>2261</v>
      </c>
      <c r="D574" s="2" t="s">
        <v>1257</v>
      </c>
      <c r="E574" s="2">
        <v>39.33</v>
      </c>
      <c r="F574" s="2" t="s">
        <v>23</v>
      </c>
      <c r="J574" s="2">
        <v>39.33</v>
      </c>
      <c r="K574" s="2" t="b">
        <v>0</v>
      </c>
      <c r="L574" s="2"/>
      <c r="M574" s="2"/>
      <c r="N574" s="4" t="s">
        <v>2259</v>
      </c>
      <c r="O574" s="4" t="str">
        <f>LEFT(Table2[[#This Row],[Description]],75)</f>
        <v>Mille Lac's Liquor &amp; Gas</v>
      </c>
      <c r="P574" s="2"/>
    </row>
    <row r="575" spans="1:16" hidden="1">
      <c r="A575" s="2">
        <v>201909</v>
      </c>
      <c r="B575" s="3">
        <v>43714</v>
      </c>
      <c r="C575" s="2" t="s">
        <v>2262</v>
      </c>
      <c r="D575" s="2" t="s">
        <v>1261</v>
      </c>
      <c r="E575" s="2">
        <v>15.19</v>
      </c>
      <c r="F575" s="2" t="s">
        <v>23</v>
      </c>
      <c r="J575" s="2">
        <v>15.19</v>
      </c>
      <c r="K575" s="2" t="b">
        <v>0</v>
      </c>
      <c r="L575" s="2"/>
      <c r="M575" s="2"/>
      <c r="N575" s="4" t="s">
        <v>2259</v>
      </c>
      <c r="O575" s="4" t="str">
        <f>LEFT(Table2[[#This Row],[Description]],75)</f>
        <v>MINNEAPOLIS AIRPORT SAINT PAUL MN 249163412</v>
      </c>
      <c r="P575" s="2"/>
    </row>
    <row r="576" spans="1:16" hidden="1">
      <c r="A576" s="2">
        <v>201909</v>
      </c>
      <c r="B576" s="3">
        <v>43714</v>
      </c>
      <c r="C576" s="2" t="s">
        <v>2271</v>
      </c>
      <c r="D576" s="2" t="s">
        <v>31</v>
      </c>
      <c r="E576" s="2">
        <v>15.19</v>
      </c>
      <c r="F576" s="2" t="s">
        <v>31</v>
      </c>
      <c r="J576" s="2">
        <v>15.19</v>
      </c>
      <c r="K576" s="2" t="b">
        <v>0</v>
      </c>
      <c r="L576" s="2"/>
      <c r="M576" s="2"/>
      <c r="N576" s="4" t="s">
        <v>2259</v>
      </c>
      <c r="O576" s="4" t="str">
        <f>LEFT(Table2[[#This Row],[Description]],75)</f>
        <v>Target</v>
      </c>
      <c r="P576" s="2"/>
    </row>
    <row r="577" spans="1:16" hidden="1">
      <c r="A577" s="2">
        <v>201909</v>
      </c>
      <c r="B577" s="3">
        <v>43714</v>
      </c>
      <c r="C577" s="2" t="s">
        <v>2338</v>
      </c>
      <c r="D577" s="2" t="s">
        <v>1820</v>
      </c>
      <c r="E577" s="2">
        <v>-215.38</v>
      </c>
      <c r="F577" s="2" t="s">
        <v>54</v>
      </c>
      <c r="J577" s="2">
        <v>215.38</v>
      </c>
      <c r="K577" s="2" t="b">
        <v>0</v>
      </c>
      <c r="L577" s="2"/>
      <c r="M577" s="2"/>
      <c r="N577" s="2" t="s">
        <v>2264</v>
      </c>
      <c r="O577" s="2" t="str">
        <f>LEFT(Table2[[#This Row],[Description]],75)</f>
        <v>Target Retire 2055 Tr P - Plan Contribution</v>
      </c>
      <c r="P577" s="2"/>
    </row>
    <row r="578" spans="1:16" hidden="1">
      <c r="A578" s="2">
        <v>201909</v>
      </c>
      <c r="B578" s="3">
        <v>43714</v>
      </c>
      <c r="C578" s="2" t="s">
        <v>2277</v>
      </c>
      <c r="D578" s="2" t="s">
        <v>1834</v>
      </c>
      <c r="E578" s="2">
        <v>-150</v>
      </c>
      <c r="F578" s="2" t="s">
        <v>57</v>
      </c>
      <c r="J578" s="2">
        <v>150</v>
      </c>
      <c r="K578" s="2" t="b">
        <v>0</v>
      </c>
      <c r="L578" s="2"/>
      <c r="M578" s="2"/>
      <c r="N578" s="2" t="s">
        <v>2264</v>
      </c>
      <c r="O578" s="2" t="str">
        <f>LEFT(Table2[[#This Row],[Description]],75)</f>
        <v>Tfr JPMORGAN CHASE BAN, CARGILL COCOA &amp;</v>
      </c>
      <c r="P578" s="2"/>
    </row>
    <row r="579" spans="1:16" hidden="1">
      <c r="A579" s="2">
        <v>201909</v>
      </c>
      <c r="B579" s="3">
        <v>43714</v>
      </c>
      <c r="C579" s="2" t="s">
        <v>64</v>
      </c>
      <c r="D579" s="2" t="s">
        <v>2107</v>
      </c>
      <c r="E579" s="2">
        <v>-4.3099999999999996</v>
      </c>
      <c r="F579" s="2" t="s">
        <v>69</v>
      </c>
      <c r="J579" s="2">
        <v>4.3099999999999996</v>
      </c>
      <c r="K579" s="2" t="b">
        <v>0</v>
      </c>
      <c r="L579" s="2"/>
      <c r="M579" s="2"/>
      <c r="N579" s="2" t="s">
        <v>2264</v>
      </c>
      <c r="O579" s="2" t="str">
        <f>LEFT(Table2[[#This Row],[Description]],75)</f>
        <v>VANGUARD INTRMDIAT TRM TRSRY ETF</v>
      </c>
      <c r="P579" s="2"/>
    </row>
    <row r="580" spans="1:16" hidden="1">
      <c r="A580" s="2">
        <v>201909</v>
      </c>
      <c r="B580" s="3">
        <v>43714</v>
      </c>
      <c r="C580" s="2" t="s">
        <v>2317</v>
      </c>
      <c r="D580" s="2" t="s">
        <v>2107</v>
      </c>
      <c r="E580" s="2">
        <v>-4.3099999999999996</v>
      </c>
      <c r="F580" s="2" t="s">
        <v>9</v>
      </c>
      <c r="J580" s="2">
        <v>4.3099999999999996</v>
      </c>
      <c r="K580" s="2" t="b">
        <v>0</v>
      </c>
      <c r="L580" s="2"/>
      <c r="M580" s="2"/>
      <c r="N580" s="2" t="s">
        <v>2264</v>
      </c>
      <c r="O580" s="2" t="str">
        <f>LEFT(Table2[[#This Row],[Description]],75)</f>
        <v>VANGUARD INTRMDIAT TRM TRSRY ETF</v>
      </c>
      <c r="P580" s="2"/>
    </row>
    <row r="581" spans="1:16" hidden="1">
      <c r="A581" s="2">
        <v>201909</v>
      </c>
      <c r="B581" s="3">
        <v>43714</v>
      </c>
      <c r="C581" s="2" t="s">
        <v>2265</v>
      </c>
      <c r="D581" s="2" t="s">
        <v>2109</v>
      </c>
      <c r="E581" s="2">
        <v>100</v>
      </c>
      <c r="F581" s="2">
        <v>0</v>
      </c>
      <c r="J581" s="2">
        <v>100</v>
      </c>
      <c r="K581" s="2" t="b">
        <v>0</v>
      </c>
      <c r="L581" s="2"/>
      <c r="M581" s="2"/>
      <c r="N581" s="4" t="s">
        <v>2259</v>
      </c>
      <c r="O581" s="4" t="str">
        <f>LEFT(Table2[[#This Row],[Description]],75)</f>
        <v>Venmo</v>
      </c>
      <c r="P581" s="2"/>
    </row>
    <row r="582" spans="1:16" hidden="1">
      <c r="A582" s="2">
        <v>201909</v>
      </c>
      <c r="B582" s="3">
        <v>43714</v>
      </c>
      <c r="C582" s="2" t="s">
        <v>2267</v>
      </c>
      <c r="D582" s="2" t="s">
        <v>2109</v>
      </c>
      <c r="E582" s="2">
        <v>100</v>
      </c>
      <c r="F582" s="2" t="s">
        <v>21</v>
      </c>
      <c r="J582" s="2">
        <v>100</v>
      </c>
      <c r="K582" s="2" t="b">
        <v>0</v>
      </c>
      <c r="L582" s="2"/>
      <c r="M582" s="2"/>
      <c r="N582" s="4" t="s">
        <v>2259</v>
      </c>
      <c r="O582" s="4" t="str">
        <f>LEFT(Table2[[#This Row],[Description]],75)</f>
        <v>Venmo</v>
      </c>
      <c r="P582" s="2"/>
    </row>
    <row r="583" spans="1:16" hidden="1">
      <c r="A583" s="2">
        <v>201909</v>
      </c>
      <c r="B583" s="3">
        <v>43715</v>
      </c>
      <c r="C583" s="2" t="s">
        <v>2265</v>
      </c>
      <c r="D583" s="2" t="s">
        <v>425</v>
      </c>
      <c r="E583" s="2">
        <v>-80.849999999999994</v>
      </c>
      <c r="F583" s="2" t="s">
        <v>16</v>
      </c>
      <c r="J583" s="2">
        <v>80.849999999999994</v>
      </c>
      <c r="K583" s="2" t="b">
        <v>0</v>
      </c>
      <c r="L583" s="2"/>
      <c r="M583" s="2"/>
      <c r="N583" s="4" t="s">
        <v>2273</v>
      </c>
      <c r="O583" s="4" t="str">
        <f>LEFT(Table2[[#This Row],[Description]],75)</f>
        <v>Cargill Incorpor Type</v>
      </c>
      <c r="P583" s="2" t="s">
        <v>2282</v>
      </c>
    </row>
    <row r="584" spans="1:16" hidden="1">
      <c r="A584" s="2">
        <v>201909</v>
      </c>
      <c r="B584" s="3">
        <v>43715</v>
      </c>
      <c r="C584" s="2" t="s">
        <v>2267</v>
      </c>
      <c r="D584" s="2" t="s">
        <v>425</v>
      </c>
      <c r="E584" s="2">
        <v>-80.849999999999994</v>
      </c>
      <c r="F584" s="2" t="s">
        <v>16</v>
      </c>
      <c r="J584" s="2">
        <v>80.849999999999994</v>
      </c>
      <c r="K584" s="2" t="b">
        <v>0</v>
      </c>
      <c r="L584" s="2"/>
      <c r="M584" s="2"/>
      <c r="N584" s="2" t="s">
        <v>2264</v>
      </c>
      <c r="O584" s="2" t="str">
        <f>LEFT(Table2[[#This Row],[Description]],75)</f>
        <v>Cargill Incorpor Type</v>
      </c>
      <c r="P584" s="2"/>
    </row>
    <row r="585" spans="1:16" hidden="1">
      <c r="A585" s="2">
        <v>201909</v>
      </c>
      <c r="B585" s="3">
        <v>43715</v>
      </c>
      <c r="C585" s="2" t="s">
        <v>2258</v>
      </c>
      <c r="D585" s="2" t="s">
        <v>1134</v>
      </c>
      <c r="E585" s="2">
        <v>59.66</v>
      </c>
      <c r="F585" s="2" t="s">
        <v>26</v>
      </c>
      <c r="J585" s="2">
        <v>59.66</v>
      </c>
      <c r="K585" s="2" t="b">
        <v>0</v>
      </c>
      <c r="L585" s="2"/>
      <c r="M585" s="2"/>
      <c r="N585" s="4" t="s">
        <v>2259</v>
      </c>
      <c r="O585" s="4" t="str">
        <f>LEFT(Table2[[#This Row],[Description]],75)</f>
        <v>LONESOME PINE RESTAURANT DEERWOOD MN</v>
      </c>
      <c r="P585" s="2" t="s">
        <v>2339</v>
      </c>
    </row>
    <row r="586" spans="1:16" hidden="1">
      <c r="A586" s="2">
        <v>201909</v>
      </c>
      <c r="B586" s="3">
        <v>43715</v>
      </c>
      <c r="C586" s="2" t="s">
        <v>2261</v>
      </c>
      <c r="D586" s="2" t="s">
        <v>1134</v>
      </c>
      <c r="E586" s="2">
        <v>59.66</v>
      </c>
      <c r="F586" s="2" t="s">
        <v>26</v>
      </c>
      <c r="J586" s="2">
        <v>59.66</v>
      </c>
      <c r="K586" s="2" t="b">
        <v>0</v>
      </c>
      <c r="L586" s="2"/>
      <c r="M586" s="2"/>
      <c r="N586" s="4" t="s">
        <v>2259</v>
      </c>
      <c r="O586" s="4" t="str">
        <f>LEFT(Table2[[#This Row],[Description]],75)</f>
        <v>LONESOME PINE RESTAURANT DEERWOOD MN</v>
      </c>
      <c r="P586" s="2"/>
    </row>
    <row r="587" spans="1:16" hidden="1">
      <c r="A587" s="2">
        <v>201909</v>
      </c>
      <c r="B587" s="3">
        <v>43716</v>
      </c>
      <c r="C587" s="2" t="s">
        <v>2258</v>
      </c>
      <c r="D587" s="2" t="s">
        <v>1188</v>
      </c>
      <c r="E587" s="2">
        <v>10.25</v>
      </c>
      <c r="F587" s="2" t="s">
        <v>26</v>
      </c>
      <c r="J587" s="2">
        <v>10.25</v>
      </c>
      <c r="K587" s="2" t="b">
        <v>0</v>
      </c>
      <c r="L587" s="2"/>
      <c r="M587" s="2"/>
      <c r="N587" s="4" t="s">
        <v>2259</v>
      </c>
      <c r="O587" s="4" t="str">
        <f>LEFT(Table2[[#This Row],[Description]],75)</f>
        <v>McDonald's</v>
      </c>
      <c r="P587" s="2" t="s">
        <v>2340</v>
      </c>
    </row>
    <row r="588" spans="1:16" hidden="1">
      <c r="A588" s="2">
        <v>201909</v>
      </c>
      <c r="B588" s="3">
        <v>43716</v>
      </c>
      <c r="C588" s="2" t="s">
        <v>2261</v>
      </c>
      <c r="D588" s="2" t="s">
        <v>1188</v>
      </c>
      <c r="E588" s="2">
        <v>10.25</v>
      </c>
      <c r="F588" s="2" t="s">
        <v>26</v>
      </c>
      <c r="J588" s="2">
        <v>10.25</v>
      </c>
      <c r="K588" s="2" t="b">
        <v>0</v>
      </c>
      <c r="L588" s="2"/>
      <c r="M588" s="2"/>
      <c r="N588" s="4" t="s">
        <v>2259</v>
      </c>
      <c r="O588" s="4" t="str">
        <f>LEFT(Table2[[#This Row],[Description]],75)</f>
        <v>McDonald's</v>
      </c>
      <c r="P588" s="2"/>
    </row>
    <row r="589" spans="1:16" hidden="1">
      <c r="A589" s="2">
        <v>201909</v>
      </c>
      <c r="B589" s="3">
        <v>43716</v>
      </c>
      <c r="C589" s="2" t="s">
        <v>2262</v>
      </c>
      <c r="D589" s="2" t="s">
        <v>2040</v>
      </c>
      <c r="E589" s="2">
        <v>40.06</v>
      </c>
      <c r="F589" s="2" t="s">
        <v>26</v>
      </c>
      <c r="J589" s="2">
        <v>40.06</v>
      </c>
      <c r="K589" s="2" t="b">
        <v>0</v>
      </c>
      <c r="L589" s="2"/>
      <c r="M589" s="2"/>
      <c r="N589" s="4" t="s">
        <v>2259</v>
      </c>
      <c r="O589" s="4" t="str">
        <f>LEFT(Table2[[#This Row],[Description]],75)</f>
        <v>TST RED RABBIT MINNEAPMINNEAPOLIS MN 249546158</v>
      </c>
      <c r="P589" s="2"/>
    </row>
    <row r="590" spans="1:16" hidden="1">
      <c r="A590" s="2">
        <v>201909</v>
      </c>
      <c r="B590" s="3">
        <v>43716</v>
      </c>
      <c r="C590" s="2" t="s">
        <v>2262</v>
      </c>
      <c r="D590" s="2" t="s">
        <v>2062</v>
      </c>
      <c r="E590" s="2">
        <v>43.39</v>
      </c>
      <c r="F590" s="2" t="s">
        <v>40</v>
      </c>
      <c r="J590" s="2">
        <v>43.39</v>
      </c>
      <c r="K590" s="2" t="b">
        <v>0</v>
      </c>
      <c r="L590" s="2"/>
      <c r="M590" s="2"/>
      <c r="N590" s="4" t="s">
        <v>2259</v>
      </c>
      <c r="O590" s="4" t="str">
        <f>LEFT(Table2[[#This Row],[Description]],75)</f>
        <v>TUTTS BAIT GARRISON MN 249546159</v>
      </c>
      <c r="P590" s="2"/>
    </row>
    <row r="591" spans="1:16" hidden="1">
      <c r="A591" s="2">
        <v>201909</v>
      </c>
      <c r="B591" s="3">
        <v>43717</v>
      </c>
      <c r="C591" s="2" t="s">
        <v>64</v>
      </c>
      <c r="D591" s="2" t="s">
        <v>305</v>
      </c>
      <c r="E591" s="2">
        <v>81.72</v>
      </c>
      <c r="F591" s="2" t="s">
        <v>69</v>
      </c>
      <c r="J591" s="2">
        <v>81.72</v>
      </c>
      <c r="K591" s="2" t="b">
        <v>0</v>
      </c>
      <c r="L591" s="2"/>
      <c r="M591" s="2"/>
      <c r="N591" s="4" t="s">
        <v>2259</v>
      </c>
      <c r="O591" s="4" t="str">
        <f>LEFT(Table2[[#This Row],[Description]],75)</f>
        <v>BOEING CO</v>
      </c>
      <c r="P591" s="2"/>
    </row>
    <row r="592" spans="1:16" hidden="1">
      <c r="A592" s="2">
        <v>201909</v>
      </c>
      <c r="B592" s="3">
        <v>43717</v>
      </c>
      <c r="C592" s="2" t="s">
        <v>2317</v>
      </c>
      <c r="D592" s="2" t="s">
        <v>305</v>
      </c>
      <c r="E592" s="2">
        <v>81.72</v>
      </c>
      <c r="F592" s="2" t="s">
        <v>9</v>
      </c>
      <c r="J592" s="2">
        <v>81.72</v>
      </c>
      <c r="K592" s="2" t="b">
        <v>0</v>
      </c>
      <c r="L592" s="2"/>
      <c r="M592" s="2"/>
      <c r="N592" s="4" t="s">
        <v>2259</v>
      </c>
      <c r="O592" s="4" t="str">
        <f>LEFT(Table2[[#This Row],[Description]],75)</f>
        <v>BOEING CO</v>
      </c>
      <c r="P592" s="2"/>
    </row>
    <row r="593" spans="1:16" hidden="1">
      <c r="A593" s="2">
        <v>201909</v>
      </c>
      <c r="B593" s="3">
        <v>43717</v>
      </c>
      <c r="C593" s="2" t="s">
        <v>2262</v>
      </c>
      <c r="D593" s="2" t="s">
        <v>316</v>
      </c>
      <c r="E593" s="2">
        <v>22.09</v>
      </c>
      <c r="F593" s="2" t="s">
        <v>23</v>
      </c>
      <c r="J593" s="2">
        <v>22.09</v>
      </c>
      <c r="K593" s="2" t="b">
        <v>0</v>
      </c>
      <c r="L593" s="2"/>
      <c r="M593" s="2"/>
      <c r="N593" s="4" t="s">
        <v>2259</v>
      </c>
      <c r="O593" s="4" t="str">
        <f>LEFT(Table2[[#This Row],[Description]],75)</f>
        <v>BP</v>
      </c>
      <c r="P593" s="2"/>
    </row>
    <row r="594" spans="1:16" hidden="1">
      <c r="A594" s="2">
        <v>201909</v>
      </c>
      <c r="B594" s="3">
        <v>43717</v>
      </c>
      <c r="C594" s="2" t="s">
        <v>2258</v>
      </c>
      <c r="D594" s="2" t="s">
        <v>543</v>
      </c>
      <c r="E594" s="2">
        <v>22.76</v>
      </c>
      <c r="F594" s="2" t="s">
        <v>26</v>
      </c>
      <c r="J594" s="2">
        <v>22.76</v>
      </c>
      <c r="K594" s="2" t="b">
        <v>0</v>
      </c>
      <c r="L594" s="2"/>
      <c r="M594" s="2"/>
      <c r="N594" s="4" t="s">
        <v>2259</v>
      </c>
      <c r="O594" s="4" t="str">
        <f>LEFT(Table2[[#This Row],[Description]],75)</f>
        <v>Chipotle</v>
      </c>
      <c r="P594" s="2" t="s">
        <v>2341</v>
      </c>
    </row>
    <row r="595" spans="1:16" hidden="1">
      <c r="A595" s="2">
        <v>201909</v>
      </c>
      <c r="B595" s="3">
        <v>43717</v>
      </c>
      <c r="C595" s="2" t="s">
        <v>2261</v>
      </c>
      <c r="D595" s="2" t="s">
        <v>543</v>
      </c>
      <c r="E595" s="2">
        <v>22.76</v>
      </c>
      <c r="F595" s="2" t="s">
        <v>26</v>
      </c>
      <c r="J595" s="2">
        <v>22.76</v>
      </c>
      <c r="K595" s="2" t="b">
        <v>0</v>
      </c>
      <c r="L595" s="2"/>
      <c r="M595" s="2"/>
      <c r="N595" s="4" t="s">
        <v>2259</v>
      </c>
      <c r="O595" s="4" t="str">
        <f>LEFT(Table2[[#This Row],[Description]],75)</f>
        <v>Chipotle</v>
      </c>
      <c r="P595" s="2"/>
    </row>
    <row r="596" spans="1:16" hidden="1">
      <c r="A596" s="2">
        <v>201909</v>
      </c>
      <c r="B596" s="3">
        <v>43717</v>
      </c>
      <c r="C596" s="2" t="s">
        <v>2262</v>
      </c>
      <c r="D596" s="2" t="s">
        <v>687</v>
      </c>
      <c r="E596" s="2">
        <v>94.48</v>
      </c>
      <c r="F596" s="2" t="s">
        <v>28</v>
      </c>
      <c r="J596" s="2">
        <v>94.48</v>
      </c>
      <c r="K596" s="2" t="b">
        <v>0</v>
      </c>
      <c r="L596" s="2"/>
      <c r="M596" s="2"/>
      <c r="N596" s="4" t="s">
        <v>2259</v>
      </c>
      <c r="O596" s="4" t="str">
        <f>LEFT(Table2[[#This Row],[Description]],75)</f>
        <v>CUB VIA INSTACART HTTPSINSTACARCA 249806671</v>
      </c>
      <c r="P596" s="2"/>
    </row>
    <row r="597" spans="1:16" hidden="1">
      <c r="A597" s="2">
        <v>201909</v>
      </c>
      <c r="B597" s="3">
        <v>43717</v>
      </c>
      <c r="C597" s="2" t="s">
        <v>2262</v>
      </c>
      <c r="D597" s="2" t="s">
        <v>1135</v>
      </c>
      <c r="E597" s="2">
        <v>9.07</v>
      </c>
      <c r="F597" s="2" t="s">
        <v>26</v>
      </c>
      <c r="J597" s="2">
        <v>9.07</v>
      </c>
      <c r="K597" s="2" t="b">
        <v>0</v>
      </c>
      <c r="L597" s="2"/>
      <c r="M597" s="2"/>
      <c r="N597" s="4" t="s">
        <v>2259</v>
      </c>
      <c r="O597" s="4" t="str">
        <f>LEFT(Table2[[#This Row],[Description]],75)</f>
        <v>LONESOME PINE RESTAURANT DEERWOOD MN 249806670</v>
      </c>
      <c r="P597" s="2"/>
    </row>
    <row r="598" spans="1:16" hidden="1">
      <c r="A598" s="2">
        <v>201909</v>
      </c>
      <c r="B598" s="3">
        <v>43717</v>
      </c>
      <c r="C598" s="2" t="s">
        <v>2265</v>
      </c>
      <c r="D598" s="2" t="s">
        <v>1471</v>
      </c>
      <c r="E598" s="2">
        <v>7.43</v>
      </c>
      <c r="F598" s="2" t="s">
        <v>21</v>
      </c>
      <c r="J598" s="2">
        <v>7.43</v>
      </c>
      <c r="K598" s="2" t="b">
        <v>0</v>
      </c>
      <c r="L598" s="2"/>
      <c r="M598" s="2"/>
      <c r="N598" s="4" t="s">
        <v>2259</v>
      </c>
      <c r="O598" s="4" t="str">
        <f>LEFT(Table2[[#This Row],[Description]],75)</f>
        <v>PayPal</v>
      </c>
      <c r="P598" s="2" t="s">
        <v>2322</v>
      </c>
    </row>
    <row r="599" spans="1:16" hidden="1">
      <c r="A599" s="2">
        <v>201909</v>
      </c>
      <c r="B599" s="3">
        <v>43717</v>
      </c>
      <c r="C599" s="2" t="s">
        <v>2267</v>
      </c>
      <c r="D599" s="2" t="s">
        <v>1471</v>
      </c>
      <c r="E599" s="2">
        <v>7.43</v>
      </c>
      <c r="F599" s="2" t="s">
        <v>21</v>
      </c>
      <c r="J599" s="2">
        <v>7.43</v>
      </c>
      <c r="K599" s="2" t="b">
        <v>0</v>
      </c>
      <c r="L599" s="2"/>
      <c r="M599" s="2"/>
      <c r="N599" s="4" t="s">
        <v>2259</v>
      </c>
      <c r="O599" s="4" t="str">
        <f>LEFT(Table2[[#This Row],[Description]],75)</f>
        <v>PayPal</v>
      </c>
      <c r="P599" s="2"/>
    </row>
    <row r="600" spans="1:16" hidden="1">
      <c r="A600" s="2">
        <v>201909</v>
      </c>
      <c r="B600" s="3">
        <v>43717</v>
      </c>
      <c r="C600" s="2" t="s">
        <v>2258</v>
      </c>
      <c r="D600" s="2" t="s">
        <v>1513</v>
      </c>
      <c r="E600" s="2">
        <v>4.28</v>
      </c>
      <c r="F600" s="2" t="s">
        <v>40</v>
      </c>
      <c r="J600" s="2">
        <v>4.28</v>
      </c>
      <c r="K600" s="2" t="b">
        <v>0</v>
      </c>
      <c r="L600" s="2"/>
      <c r="M600" s="2"/>
      <c r="N600" s="4" t="s">
        <v>2259</v>
      </c>
      <c r="O600" s="4" t="str">
        <f>LEFT(Table2[[#This Row],[Description]],75)</f>
        <v>PRIME VIDEO*0G98P3B93 888-802-3080 WA2FIWZX4L0V0</v>
      </c>
      <c r="P600" s="2" t="s">
        <v>2342</v>
      </c>
    </row>
    <row r="601" spans="1:16" hidden="1">
      <c r="A601" s="2">
        <v>201909</v>
      </c>
      <c r="B601" s="3">
        <v>43717</v>
      </c>
      <c r="C601" s="2" t="s">
        <v>2261</v>
      </c>
      <c r="D601" s="2" t="s">
        <v>1513</v>
      </c>
      <c r="E601" s="2">
        <v>4.28</v>
      </c>
      <c r="F601" s="2" t="s">
        <v>40</v>
      </c>
      <c r="J601" s="2">
        <v>4.28</v>
      </c>
      <c r="K601" s="2" t="b">
        <v>0</v>
      </c>
      <c r="L601" s="2"/>
      <c r="M601" s="2"/>
      <c r="N601" s="4" t="s">
        <v>2259</v>
      </c>
      <c r="O601" s="4" t="str">
        <f>LEFT(Table2[[#This Row],[Description]],75)</f>
        <v>PRIME VIDEO*0G98P3B93 888-802-3080 WA2FIWZX4L0V0</v>
      </c>
      <c r="P601" s="2"/>
    </row>
    <row r="602" spans="1:16" hidden="1">
      <c r="A602" s="2">
        <v>201909</v>
      </c>
      <c r="B602" s="3">
        <v>43717</v>
      </c>
      <c r="C602" s="2" t="s">
        <v>2262</v>
      </c>
      <c r="D602" s="2" t="s">
        <v>1947</v>
      </c>
      <c r="E602" s="2">
        <v>-947.45</v>
      </c>
      <c r="F602" s="2" t="s">
        <v>9</v>
      </c>
      <c r="J602" s="2">
        <v>947.45</v>
      </c>
      <c r="K602" s="2" t="b">
        <v>0</v>
      </c>
      <c r="L602" s="2"/>
      <c r="M602" s="2"/>
      <c r="N602" s="2" t="s">
        <v>2264</v>
      </c>
      <c r="O602" s="2" t="str">
        <f>LEFT(Table2[[#This Row],[Description]],75)</f>
        <v>Transfer from POWERPLUS CHECKING</v>
      </c>
      <c r="P602" s="2"/>
    </row>
    <row r="603" spans="1:16" hidden="1">
      <c r="A603" s="2">
        <v>201909</v>
      </c>
      <c r="B603" s="3">
        <v>43717</v>
      </c>
      <c r="C603" s="2" t="s">
        <v>2265</v>
      </c>
      <c r="D603" s="2" t="s">
        <v>1951</v>
      </c>
      <c r="E603" s="2">
        <v>947.45</v>
      </c>
      <c r="F603" s="2" t="s">
        <v>9</v>
      </c>
      <c r="J603" s="2">
        <v>947.45</v>
      </c>
      <c r="K603" s="2" t="b">
        <v>0</v>
      </c>
      <c r="L603" s="2"/>
      <c r="M603" s="2"/>
      <c r="N603" s="4" t="s">
        <v>2259</v>
      </c>
      <c r="O603" s="4" t="str">
        <f>LEFT(Table2[[#This Row],[Description]],75)</f>
        <v>Transfer to Cash Rewards Visa Signature</v>
      </c>
      <c r="P603" s="2" t="s">
        <v>2266</v>
      </c>
    </row>
    <row r="604" spans="1:16" hidden="1">
      <c r="A604" s="2">
        <v>201909</v>
      </c>
      <c r="B604" s="3">
        <v>43717</v>
      </c>
      <c r="C604" s="2" t="s">
        <v>2267</v>
      </c>
      <c r="D604" s="2" t="s">
        <v>1951</v>
      </c>
      <c r="E604" s="2">
        <v>947.45</v>
      </c>
      <c r="F604" s="2" t="s">
        <v>9</v>
      </c>
      <c r="J604" s="2">
        <v>947.45</v>
      </c>
      <c r="K604" s="2" t="b">
        <v>0</v>
      </c>
      <c r="L604" s="2"/>
      <c r="M604" s="2"/>
      <c r="N604" s="4" t="s">
        <v>2259</v>
      </c>
      <c r="O604" s="4" t="str">
        <f>LEFT(Table2[[#This Row],[Description]],75)</f>
        <v>Transfer to Cash Rewards Visa Signature</v>
      </c>
      <c r="P604" s="2"/>
    </row>
    <row r="605" spans="1:16" hidden="1">
      <c r="A605" s="2">
        <v>201909</v>
      </c>
      <c r="B605" s="3">
        <v>43717</v>
      </c>
      <c r="C605" s="2" t="s">
        <v>64</v>
      </c>
      <c r="D605" s="2" t="s">
        <v>2107</v>
      </c>
      <c r="E605" s="2">
        <v>4.3099999999999996</v>
      </c>
      <c r="F605" s="2" t="s">
        <v>69</v>
      </c>
      <c r="J605" s="2">
        <v>4.3099999999999996</v>
      </c>
      <c r="K605" s="2" t="b">
        <v>0</v>
      </c>
      <c r="L605" s="2"/>
      <c r="M605" s="2"/>
      <c r="N605" s="4" t="s">
        <v>2259</v>
      </c>
      <c r="O605" s="4" t="str">
        <f>LEFT(Table2[[#This Row],[Description]],75)</f>
        <v>VANGUARD INTRMDIAT TRM TRSRY ETF</v>
      </c>
      <c r="P605" s="2"/>
    </row>
    <row r="606" spans="1:16" hidden="1">
      <c r="A606" s="2">
        <v>201909</v>
      </c>
      <c r="B606" s="3">
        <v>43717</v>
      </c>
      <c r="C606" s="2" t="s">
        <v>2317</v>
      </c>
      <c r="D606" s="2" t="s">
        <v>2107</v>
      </c>
      <c r="E606" s="2">
        <v>4.3099999999999996</v>
      </c>
      <c r="F606" s="2" t="s">
        <v>9</v>
      </c>
      <c r="J606" s="2">
        <v>4.3099999999999996</v>
      </c>
      <c r="K606" s="2" t="b">
        <v>0</v>
      </c>
      <c r="L606" s="2"/>
      <c r="M606" s="2"/>
      <c r="N606" s="4" t="s">
        <v>2259</v>
      </c>
      <c r="O606" s="4" t="str">
        <f>LEFT(Table2[[#This Row],[Description]],75)</f>
        <v>VANGUARD INTRMDIAT TRM TRSRY ETF</v>
      </c>
      <c r="P606" s="2"/>
    </row>
    <row r="607" spans="1:16" hidden="1">
      <c r="A607" s="2">
        <v>201909</v>
      </c>
      <c r="B607" s="3">
        <v>43718</v>
      </c>
      <c r="C607" s="2" t="s">
        <v>2262</v>
      </c>
      <c r="D607" s="2" t="s">
        <v>188</v>
      </c>
      <c r="E607" s="2">
        <v>180.27</v>
      </c>
      <c r="F607" s="2" t="s">
        <v>28</v>
      </c>
      <c r="J607" s="2">
        <v>180.27</v>
      </c>
      <c r="K607" s="2" t="b">
        <v>0</v>
      </c>
      <c r="L607" s="2"/>
      <c r="M607" s="2"/>
      <c r="N607" s="4" t="s">
        <v>2259</v>
      </c>
      <c r="O607" s="4" t="str">
        <f>LEFT(Table2[[#This Row],[Description]],75)</f>
        <v>AVOADVOCARE INTL 8005424800 TX 249999730</v>
      </c>
      <c r="P607" s="2"/>
    </row>
    <row r="608" spans="1:16" hidden="1">
      <c r="A608" s="2">
        <v>201909</v>
      </c>
      <c r="B608" s="3">
        <v>43718</v>
      </c>
      <c r="C608" s="2" t="s">
        <v>2258</v>
      </c>
      <c r="D608" s="2" t="s">
        <v>348</v>
      </c>
      <c r="E608" s="2">
        <v>6.44</v>
      </c>
      <c r="F608" s="2" t="s">
        <v>26</v>
      </c>
      <c r="J608" s="2">
        <v>6.44</v>
      </c>
      <c r="K608" s="2" t="b">
        <v>0</v>
      </c>
      <c r="L608" s="2"/>
      <c r="M608" s="2"/>
      <c r="N608" s="4" t="s">
        <v>2259</v>
      </c>
      <c r="O608" s="4" t="str">
        <f>LEFT(Table2[[#This Row],[Description]],75)</f>
        <v>CARGILL CAF20014981579 WAYZATA MN</v>
      </c>
      <c r="P608" s="2" t="s">
        <v>2323</v>
      </c>
    </row>
    <row r="609" spans="1:16" hidden="1">
      <c r="A609" s="2">
        <v>201909</v>
      </c>
      <c r="B609" s="3">
        <v>43718</v>
      </c>
      <c r="C609" s="2" t="s">
        <v>2261</v>
      </c>
      <c r="D609" s="2" t="s">
        <v>348</v>
      </c>
      <c r="E609" s="2">
        <v>6.44</v>
      </c>
      <c r="F609" s="2" t="s">
        <v>26</v>
      </c>
      <c r="J609" s="2">
        <v>6.44</v>
      </c>
      <c r="K609" s="2" t="b">
        <v>0</v>
      </c>
      <c r="L609" s="2"/>
      <c r="M609" s="2"/>
      <c r="N609" s="4" t="s">
        <v>2259</v>
      </c>
      <c r="O609" s="4" t="str">
        <f>LEFT(Table2[[#This Row],[Description]],75)</f>
        <v>CARGILL CAF20014981579 WAYZATA MN</v>
      </c>
      <c r="P609" s="2"/>
    </row>
    <row r="610" spans="1:16" hidden="1">
      <c r="A610" s="2">
        <v>201909</v>
      </c>
      <c r="B610" s="3">
        <v>43718</v>
      </c>
      <c r="C610" s="2" t="s">
        <v>2258</v>
      </c>
      <c r="D610" s="2" t="s">
        <v>453</v>
      </c>
      <c r="E610" s="2">
        <v>5.47</v>
      </c>
      <c r="F610" s="2" t="s">
        <v>26</v>
      </c>
      <c r="J610" s="2">
        <v>5.47</v>
      </c>
      <c r="K610" s="2" t="b">
        <v>0</v>
      </c>
      <c r="L610" s="2"/>
      <c r="M610" s="2"/>
      <c r="N610" s="4" t="s">
        <v>2259</v>
      </c>
      <c r="O610" s="4" t="str">
        <f>LEFT(Table2[[#This Row],[Description]],75)</f>
        <v>Caribou Coffee</v>
      </c>
      <c r="P610" s="2" t="s">
        <v>2329</v>
      </c>
    </row>
    <row r="611" spans="1:16" hidden="1">
      <c r="A611" s="2">
        <v>201909</v>
      </c>
      <c r="B611" s="3">
        <v>43718</v>
      </c>
      <c r="C611" s="2" t="s">
        <v>2261</v>
      </c>
      <c r="D611" s="2" t="s">
        <v>453</v>
      </c>
      <c r="E611" s="2">
        <v>5.47</v>
      </c>
      <c r="F611" s="2" t="s">
        <v>26</v>
      </c>
      <c r="J611" s="2">
        <v>5.47</v>
      </c>
      <c r="K611" s="2" t="b">
        <v>0</v>
      </c>
      <c r="L611" s="2"/>
      <c r="M611" s="2"/>
      <c r="N611" s="4" t="s">
        <v>2259</v>
      </c>
      <c r="O611" s="4" t="str">
        <f>LEFT(Table2[[#This Row],[Description]],75)</f>
        <v>Caribou Coffee</v>
      </c>
      <c r="P611" s="2"/>
    </row>
    <row r="612" spans="1:16" hidden="1">
      <c r="A612" s="2">
        <v>201909</v>
      </c>
      <c r="B612" s="3">
        <v>43718</v>
      </c>
      <c r="C612" s="2" t="s">
        <v>64</v>
      </c>
      <c r="D612" s="2" t="s">
        <v>537</v>
      </c>
      <c r="E612" s="2">
        <v>-45.1</v>
      </c>
      <c r="F612" s="2" t="s">
        <v>69</v>
      </c>
      <c r="J612" s="2">
        <v>45.1</v>
      </c>
      <c r="K612" s="2" t="b">
        <v>0</v>
      </c>
      <c r="L612" s="2"/>
      <c r="M612" s="2"/>
      <c r="N612" s="2" t="s">
        <v>2264</v>
      </c>
      <c r="O612" s="2" t="str">
        <f>LEFT(Table2[[#This Row],[Description]],75)</f>
        <v>CHEVRON CORP</v>
      </c>
      <c r="P612" s="2"/>
    </row>
    <row r="613" spans="1:16" hidden="1">
      <c r="A613" s="2">
        <v>201909</v>
      </c>
      <c r="B613" s="3">
        <v>43718</v>
      </c>
      <c r="C613" s="2" t="s">
        <v>2317</v>
      </c>
      <c r="D613" s="2" t="s">
        <v>537</v>
      </c>
      <c r="E613" s="2">
        <v>-45.1</v>
      </c>
      <c r="F613" s="2" t="s">
        <v>9</v>
      </c>
      <c r="J613" s="2">
        <v>45.1</v>
      </c>
      <c r="K613" s="2" t="b">
        <v>0</v>
      </c>
      <c r="L613" s="2"/>
      <c r="M613" s="2"/>
      <c r="N613" s="2" t="s">
        <v>2264</v>
      </c>
      <c r="O613" s="2" t="str">
        <f>LEFT(Table2[[#This Row],[Description]],75)</f>
        <v>CHEVRON CORP</v>
      </c>
      <c r="P613" s="2"/>
    </row>
    <row r="614" spans="1:16" hidden="1">
      <c r="A614" s="2">
        <v>201909</v>
      </c>
      <c r="B614" s="3">
        <v>43718</v>
      </c>
      <c r="C614" s="2" t="s">
        <v>2262</v>
      </c>
      <c r="D614" s="2" t="s">
        <v>1931</v>
      </c>
      <c r="E614" s="2">
        <v>172.53</v>
      </c>
      <c r="F614" s="2" t="s">
        <v>28</v>
      </c>
      <c r="J614" s="2">
        <v>172.53</v>
      </c>
      <c r="K614" s="2" t="b">
        <v>0</v>
      </c>
      <c r="L614" s="2"/>
      <c r="M614" s="2"/>
      <c r="N614" s="4" t="s">
        <v>2259</v>
      </c>
      <c r="O614" s="4" t="str">
        <f>LEFT(Table2[[#This Row],[Description]],75)</f>
        <v>Trader Joe's</v>
      </c>
      <c r="P614" s="2"/>
    </row>
    <row r="615" spans="1:16" hidden="1">
      <c r="A615" s="2">
        <v>201909</v>
      </c>
      <c r="B615" s="3">
        <v>43718</v>
      </c>
      <c r="C615" s="2" t="s">
        <v>2262</v>
      </c>
      <c r="D615" s="2" t="s">
        <v>2135</v>
      </c>
      <c r="E615" s="2">
        <v>77.14</v>
      </c>
      <c r="F615" s="2" t="s">
        <v>21</v>
      </c>
      <c r="J615" s="2">
        <v>77.14</v>
      </c>
      <c r="K615" s="2" t="b">
        <v>0</v>
      </c>
      <c r="L615" s="2"/>
      <c r="M615" s="2"/>
      <c r="N615" s="4" t="s">
        <v>2259</v>
      </c>
      <c r="O615" s="4" t="str">
        <f>LEFT(Table2[[#This Row],[Description]],75)</f>
        <v>Walgreens</v>
      </c>
      <c r="P615" s="2"/>
    </row>
    <row r="616" spans="1:16" hidden="1">
      <c r="A616" s="2">
        <v>201909</v>
      </c>
      <c r="B616" s="3">
        <v>43719</v>
      </c>
      <c r="C616" s="2" t="s">
        <v>2258</v>
      </c>
      <c r="D616" s="2" t="s">
        <v>458</v>
      </c>
      <c r="E616" s="2">
        <v>-22.32</v>
      </c>
      <c r="F616" s="2" t="s">
        <v>9</v>
      </c>
      <c r="J616" s="2">
        <v>22.32</v>
      </c>
      <c r="K616" s="2" t="b">
        <v>0</v>
      </c>
      <c r="L616" s="2"/>
      <c r="M616" s="2"/>
      <c r="N616" s="4" t="s">
        <v>2273</v>
      </c>
      <c r="O616" s="4" t="str">
        <f>LEFT(Table2[[#This Row],[Description]],75)</f>
        <v>CASHBACK BONUS REDEMPTION payment/STMT CRDT</v>
      </c>
      <c r="P616" s="2" t="s">
        <v>2304</v>
      </c>
    </row>
    <row r="617" spans="1:16" hidden="1">
      <c r="A617" s="2">
        <v>201909</v>
      </c>
      <c r="B617" s="3">
        <v>43719</v>
      </c>
      <c r="C617" s="2" t="s">
        <v>2261</v>
      </c>
      <c r="D617" s="2" t="s">
        <v>458</v>
      </c>
      <c r="E617" s="2">
        <v>-22.32</v>
      </c>
      <c r="F617" s="2" t="s">
        <v>9</v>
      </c>
      <c r="J617" s="2">
        <v>22.32</v>
      </c>
      <c r="K617" s="2" t="b">
        <v>0</v>
      </c>
      <c r="L617" s="2"/>
      <c r="M617" s="2"/>
      <c r="N617" s="2" t="s">
        <v>2264</v>
      </c>
      <c r="O617" s="2" t="str">
        <f>LEFT(Table2[[#This Row],[Description]],75)</f>
        <v>CASHBACK BONUS REDEMPTION payment/STMT CRDT</v>
      </c>
      <c r="P617" s="2"/>
    </row>
    <row r="618" spans="1:16" hidden="1">
      <c r="A618" s="2">
        <v>201909</v>
      </c>
      <c r="B618" s="3">
        <v>43719</v>
      </c>
      <c r="C618" s="2" t="s">
        <v>2258</v>
      </c>
      <c r="D618" s="2" t="s">
        <v>997</v>
      </c>
      <c r="E618" s="2">
        <v>-487.47</v>
      </c>
      <c r="F618" s="2" t="s">
        <v>9</v>
      </c>
      <c r="J618" s="2">
        <v>487.47</v>
      </c>
      <c r="K618" s="2" t="b">
        <v>0</v>
      </c>
      <c r="L618" s="2"/>
      <c r="M618" s="2"/>
      <c r="N618" s="4" t="s">
        <v>2273</v>
      </c>
      <c r="O618" s="4" t="str">
        <f>LEFT(Table2[[#This Row],[Description]],75)</f>
        <v>INTERNET PAYMENT - THANK YOU</v>
      </c>
      <c r="P618" s="2" t="s">
        <v>2291</v>
      </c>
    </row>
    <row r="619" spans="1:16" hidden="1">
      <c r="A619" s="2">
        <v>201909</v>
      </c>
      <c r="B619" s="3">
        <v>43719</v>
      </c>
      <c r="C619" s="2" t="s">
        <v>2261</v>
      </c>
      <c r="D619" s="2" t="s">
        <v>997</v>
      </c>
      <c r="E619" s="2">
        <v>-487.47</v>
      </c>
      <c r="F619" s="2" t="s">
        <v>9</v>
      </c>
      <c r="J619" s="2">
        <v>487.47</v>
      </c>
      <c r="K619" s="2" t="b">
        <v>0</v>
      </c>
      <c r="L619" s="2"/>
      <c r="M619" s="2"/>
      <c r="N619" s="2" t="s">
        <v>2264</v>
      </c>
      <c r="O619" s="2" t="str">
        <f>LEFT(Table2[[#This Row],[Description]],75)</f>
        <v>INTERNET PAYMENT - THANK YOU</v>
      </c>
      <c r="P619" s="2"/>
    </row>
    <row r="620" spans="1:16" hidden="1">
      <c r="A620" s="2">
        <v>201909</v>
      </c>
      <c r="B620" s="3">
        <v>43719</v>
      </c>
      <c r="C620" s="2" t="s">
        <v>2262</v>
      </c>
      <c r="D620" s="2" t="s">
        <v>509</v>
      </c>
      <c r="E620" s="2">
        <v>142.43</v>
      </c>
      <c r="F620" s="2" t="s">
        <v>23</v>
      </c>
      <c r="J620" s="2">
        <v>142.43</v>
      </c>
      <c r="K620" s="2" t="b">
        <v>0</v>
      </c>
      <c r="L620" s="2"/>
      <c r="M620" s="2"/>
      <c r="N620" s="4" t="s">
        <v>2259</v>
      </c>
      <c r="O620" s="4" t="str">
        <f>LEFT(Table2[[#This Row],[Description]],75)</f>
        <v>Certified Auto Repair</v>
      </c>
      <c r="P620" s="2"/>
    </row>
    <row r="621" spans="1:16" hidden="1">
      <c r="A621" s="2">
        <v>201909</v>
      </c>
      <c r="B621" s="3">
        <v>43719</v>
      </c>
      <c r="C621" s="2" t="s">
        <v>64</v>
      </c>
      <c r="D621" s="2" t="s">
        <v>537</v>
      </c>
      <c r="E621" s="2">
        <v>45.1</v>
      </c>
      <c r="F621" s="2" t="s">
        <v>69</v>
      </c>
      <c r="J621" s="2">
        <v>45.1</v>
      </c>
      <c r="K621" s="2" t="b">
        <v>0</v>
      </c>
      <c r="L621" s="2"/>
      <c r="M621" s="2"/>
      <c r="N621" s="4" t="s">
        <v>2259</v>
      </c>
      <c r="O621" s="4" t="str">
        <f>LEFT(Table2[[#This Row],[Description]],75)</f>
        <v>CHEVRON CORP</v>
      </c>
      <c r="P621" s="2"/>
    </row>
    <row r="622" spans="1:16" hidden="1">
      <c r="A622" s="2">
        <v>201909</v>
      </c>
      <c r="B622" s="3">
        <v>43719</v>
      </c>
      <c r="C622" s="2" t="s">
        <v>2317</v>
      </c>
      <c r="D622" s="2" t="s">
        <v>537</v>
      </c>
      <c r="E622" s="2">
        <v>45.1</v>
      </c>
      <c r="F622" s="2" t="s">
        <v>9</v>
      </c>
      <c r="J622" s="2">
        <v>45.1</v>
      </c>
      <c r="K622" s="2" t="b">
        <v>0</v>
      </c>
      <c r="L622" s="2"/>
      <c r="M622" s="2"/>
      <c r="N622" s="4" t="s">
        <v>2259</v>
      </c>
      <c r="O622" s="4" t="str">
        <f>LEFT(Table2[[#This Row],[Description]],75)</f>
        <v>CHEVRON CORP</v>
      </c>
      <c r="P622" s="2"/>
    </row>
    <row r="623" spans="1:16" hidden="1">
      <c r="A623" s="2">
        <v>201909</v>
      </c>
      <c r="B623" s="3">
        <v>43719</v>
      </c>
      <c r="C623" s="2" t="s">
        <v>2265</v>
      </c>
      <c r="D623" s="2" t="s">
        <v>736</v>
      </c>
      <c r="E623" s="2">
        <v>-475.84</v>
      </c>
      <c r="F623" s="2" t="s">
        <v>9</v>
      </c>
      <c r="J623" s="2">
        <v>475.84</v>
      </c>
      <c r="K623" s="2" t="b">
        <v>0</v>
      </c>
      <c r="L623" s="2"/>
      <c r="M623" s="2"/>
      <c r="N623" s="4" t="s">
        <v>2273</v>
      </c>
      <c r="O623" s="4" t="str">
        <f>LEFT(Table2[[#This Row],[Description]],75)</f>
        <v>DIRECT PAY HSA TYPE ETRANSFER ID CO DIRECT PAY HSA ACH ECC PPD ACH Trace 76</v>
      </c>
      <c r="P623" s="2" t="s">
        <v>2343</v>
      </c>
    </row>
    <row r="624" spans="1:16" hidden="1">
      <c r="A624" s="2">
        <v>201909</v>
      </c>
      <c r="B624" s="3">
        <v>43719</v>
      </c>
      <c r="C624" s="2" t="s">
        <v>2267</v>
      </c>
      <c r="D624" s="2" t="s">
        <v>736</v>
      </c>
      <c r="E624" s="2">
        <v>-475.84</v>
      </c>
      <c r="F624" s="2" t="s">
        <v>9</v>
      </c>
      <c r="J624" s="2">
        <v>475.84</v>
      </c>
      <c r="K624" s="2" t="b">
        <v>0</v>
      </c>
      <c r="L624" s="2"/>
      <c r="M624" s="2"/>
      <c r="N624" s="2" t="s">
        <v>2264</v>
      </c>
      <c r="O624" s="2" t="str">
        <f>LEFT(Table2[[#This Row],[Description]],75)</f>
        <v>DIRECT PAY HSA TYPE ETRANSFER ID CO DIRECT PAY HSA ACH ECC PPD ACH Trace 76</v>
      </c>
      <c r="P624" s="2"/>
    </row>
    <row r="625" spans="1:16" hidden="1">
      <c r="A625" s="2">
        <v>201909</v>
      </c>
      <c r="B625" s="3">
        <v>43720</v>
      </c>
      <c r="C625" s="2" t="s">
        <v>2265</v>
      </c>
      <c r="D625" s="2" t="s">
        <v>768</v>
      </c>
      <c r="E625" s="2">
        <v>487.47</v>
      </c>
      <c r="F625" s="2" t="s">
        <v>9</v>
      </c>
      <c r="J625" s="2">
        <v>487.47</v>
      </c>
      <c r="K625" s="2" t="b">
        <v>0</v>
      </c>
      <c r="L625" s="2"/>
      <c r="M625" s="2"/>
      <c r="N625" s="4" t="s">
        <v>2259</v>
      </c>
      <c r="O625" s="4" t="str">
        <f>LEFT(Table2[[#This Row],[Description]],75)</f>
        <v>DISCOVER TYPE EPAYMENT ID CO DISCOVER ACH ECC WEB ACH Trace 61084 250274979</v>
      </c>
      <c r="P625" s="2" t="s">
        <v>2293</v>
      </c>
    </row>
    <row r="626" spans="1:16" hidden="1">
      <c r="A626" s="2">
        <v>201909</v>
      </c>
      <c r="B626" s="3">
        <v>43720</v>
      </c>
      <c r="C626" s="2" t="s">
        <v>2267</v>
      </c>
      <c r="D626" s="2" t="s">
        <v>768</v>
      </c>
      <c r="E626" s="2">
        <v>487.47</v>
      </c>
      <c r="F626" s="2" t="s">
        <v>9</v>
      </c>
      <c r="J626" s="2">
        <v>487.47</v>
      </c>
      <c r="K626" s="2" t="b">
        <v>0</v>
      </c>
      <c r="L626" s="2"/>
      <c r="M626" s="2"/>
      <c r="N626" s="4" t="s">
        <v>2259</v>
      </c>
      <c r="O626" s="4" t="str">
        <f>LEFT(Table2[[#This Row],[Description]],75)</f>
        <v>DISCOVER TYPE EPAYMENT ID CO DISCOVER ACH ECC WEB ACH Trace 61084 250274979</v>
      </c>
      <c r="P626" s="2"/>
    </row>
    <row r="627" spans="1:16" hidden="1">
      <c r="A627" s="2">
        <v>201909</v>
      </c>
      <c r="B627" s="3">
        <v>43720</v>
      </c>
      <c r="C627" s="2" t="s">
        <v>2258</v>
      </c>
      <c r="D627" s="2" t="s">
        <v>38</v>
      </c>
      <c r="E627" s="2">
        <v>25.76</v>
      </c>
      <c r="F627" s="2" t="s">
        <v>38</v>
      </c>
      <c r="J627" s="2">
        <v>25.76</v>
      </c>
      <c r="K627" s="2" t="b">
        <v>0</v>
      </c>
      <c r="L627" s="2"/>
      <c r="M627" s="2"/>
      <c r="N627" s="4" t="s">
        <v>2259</v>
      </c>
      <c r="O627" s="4" t="str">
        <f>LEFT(Table2[[#This Row],[Description]],75)</f>
        <v>Amazon</v>
      </c>
      <c r="P627" s="2" t="s">
        <v>2260</v>
      </c>
    </row>
    <row r="628" spans="1:16" hidden="1">
      <c r="A628" s="2">
        <v>201909</v>
      </c>
      <c r="B628" s="3">
        <v>43720</v>
      </c>
      <c r="C628" s="2" t="s">
        <v>2261</v>
      </c>
      <c r="D628" s="2" t="s">
        <v>38</v>
      </c>
      <c r="E628" s="2">
        <v>25.76</v>
      </c>
      <c r="F628" s="2" t="s">
        <v>38</v>
      </c>
      <c r="J628" s="2">
        <v>25.76</v>
      </c>
      <c r="K628" s="2" t="b">
        <v>0</v>
      </c>
      <c r="L628" s="2"/>
      <c r="M628" s="2"/>
      <c r="N628" s="4" t="s">
        <v>2259</v>
      </c>
      <c r="O628" s="4" t="str">
        <f>LEFT(Table2[[#This Row],[Description]],75)</f>
        <v>Amazon</v>
      </c>
      <c r="P628" s="2"/>
    </row>
    <row r="629" spans="1:16" hidden="1">
      <c r="A629" s="2">
        <v>201909</v>
      </c>
      <c r="B629" s="3">
        <v>43720</v>
      </c>
      <c r="C629" s="2" t="s">
        <v>2262</v>
      </c>
      <c r="D629" s="2" t="s">
        <v>447</v>
      </c>
      <c r="E629" s="2">
        <v>56.7</v>
      </c>
      <c r="F629" s="2" t="s">
        <v>28</v>
      </c>
      <c r="J629" s="2">
        <v>56.7</v>
      </c>
      <c r="K629" s="2" t="b">
        <v>0</v>
      </c>
      <c r="L629" s="2"/>
      <c r="M629" s="2"/>
      <c r="N629" s="4" t="s">
        <v>2259</v>
      </c>
      <c r="O629" s="4" t="str">
        <f>LEFT(Table2[[#This Row],[Description]],75)</f>
        <v>CARGILL PRODUC20081436 WAYZATA MN 250485888</v>
      </c>
      <c r="P629" s="2"/>
    </row>
    <row r="630" spans="1:16" hidden="1">
      <c r="A630" s="2">
        <v>201909</v>
      </c>
      <c r="B630" s="3">
        <v>43720</v>
      </c>
      <c r="C630" s="2" t="s">
        <v>2265</v>
      </c>
      <c r="D630" s="2" t="s">
        <v>1061</v>
      </c>
      <c r="E630" s="2">
        <v>-2570.36</v>
      </c>
      <c r="F630" s="2" t="s">
        <v>63</v>
      </c>
      <c r="J630" s="2">
        <v>2570.36</v>
      </c>
      <c r="K630" s="2" t="b">
        <v>0</v>
      </c>
      <c r="L630" s="2"/>
      <c r="M630" s="2"/>
      <c r="N630" s="4" t="s">
        <v>2273</v>
      </c>
      <c r="O630" s="4" t="str">
        <f>LEFT(Table2[[#This Row],[Description]],75)</f>
        <v>KAUFMAN HALL TYPE DIRECT DEP ID CO KAUFMAN HALL ACH ECC PPD ACH Trace 85835</v>
      </c>
      <c r="P630" s="2" t="s">
        <v>2285</v>
      </c>
    </row>
    <row r="631" spans="1:16" hidden="1">
      <c r="A631" s="2">
        <v>201909</v>
      </c>
      <c r="B631" s="3">
        <v>43720</v>
      </c>
      <c r="C631" s="2" t="s">
        <v>2267</v>
      </c>
      <c r="D631" s="2" t="s">
        <v>1061</v>
      </c>
      <c r="E631" s="2">
        <v>-2570.36</v>
      </c>
      <c r="F631" s="2" t="s">
        <v>63</v>
      </c>
      <c r="J631" s="2">
        <v>2570.36</v>
      </c>
      <c r="K631" s="2" t="b">
        <v>0</v>
      </c>
      <c r="L631" s="2"/>
      <c r="M631" s="2"/>
      <c r="N631" s="2" t="s">
        <v>2264</v>
      </c>
      <c r="O631" s="2" t="str">
        <f>LEFT(Table2[[#This Row],[Description]],75)</f>
        <v>KAUFMAN HALL TYPE DIRECT DEP ID CO KAUFMAN HALL ACH ECC PPD ACH Trace 85835</v>
      </c>
      <c r="P631" s="2"/>
    </row>
    <row r="632" spans="1:16" hidden="1">
      <c r="A632" s="2">
        <v>201909</v>
      </c>
      <c r="B632" s="3">
        <v>43721</v>
      </c>
      <c r="C632" s="2" t="s">
        <v>2271</v>
      </c>
      <c r="D632" s="2" t="s">
        <v>502</v>
      </c>
      <c r="E632" s="2">
        <v>194.33</v>
      </c>
      <c r="F632" s="2" t="s">
        <v>21</v>
      </c>
      <c r="J632" s="2">
        <v>194.33</v>
      </c>
      <c r="K632" s="2" t="b">
        <v>0</v>
      </c>
      <c r="L632" s="2"/>
      <c r="M632" s="2"/>
      <c r="N632" s="4" t="s">
        <v>2259</v>
      </c>
      <c r="O632" s="4" t="str">
        <f>LEFT(Table2[[#This Row],[Description]],75)</f>
        <v>CENTRAL CHECKOUT 79999999257086207947911</v>
      </c>
      <c r="P632" s="2"/>
    </row>
    <row r="633" spans="1:16" hidden="1">
      <c r="A633" s="2">
        <v>201909</v>
      </c>
      <c r="B633" s="3">
        <v>43721</v>
      </c>
      <c r="C633" s="2" t="s">
        <v>2262</v>
      </c>
      <c r="D633" s="2" t="s">
        <v>509</v>
      </c>
      <c r="E633" s="2">
        <v>38.11</v>
      </c>
      <c r="F633" s="2" t="s">
        <v>23</v>
      </c>
      <c r="J633" s="2">
        <v>38.11</v>
      </c>
      <c r="K633" s="2" t="b">
        <v>0</v>
      </c>
      <c r="L633" s="2"/>
      <c r="M633" s="2"/>
      <c r="N633" s="4" t="s">
        <v>2259</v>
      </c>
      <c r="O633" s="4" t="str">
        <f>LEFT(Table2[[#This Row],[Description]],75)</f>
        <v>Certified Auto Repair</v>
      </c>
      <c r="P633" s="2"/>
    </row>
    <row r="634" spans="1:16" hidden="1">
      <c r="A634" s="2">
        <v>201909</v>
      </c>
      <c r="B634" s="3">
        <v>43721</v>
      </c>
      <c r="C634" s="2" t="s">
        <v>64</v>
      </c>
      <c r="D634" s="2" t="s">
        <v>1037</v>
      </c>
      <c r="E634" s="2">
        <v>-200</v>
      </c>
      <c r="F634" s="2" t="s">
        <v>59</v>
      </c>
      <c r="J634" s="2">
        <v>200</v>
      </c>
      <c r="K634" s="2" t="b">
        <v>0</v>
      </c>
      <c r="L634" s="2"/>
      <c r="M634" s="2"/>
      <c r="N634" s="2" t="s">
        <v>2264</v>
      </c>
      <c r="O634" s="2" t="str">
        <f>LEFT(Table2[[#This Row],[Description]],75)</f>
        <v>KAUFMAN HALL</v>
      </c>
      <c r="P634" s="2"/>
    </row>
    <row r="635" spans="1:16" hidden="1">
      <c r="A635" s="2">
        <v>201909</v>
      </c>
      <c r="B635" s="3">
        <v>43721</v>
      </c>
      <c r="C635" s="2" t="s">
        <v>2317</v>
      </c>
      <c r="D635" s="2" t="s">
        <v>1037</v>
      </c>
      <c r="E635" s="2">
        <v>-200</v>
      </c>
      <c r="F635" s="2" t="s">
        <v>9</v>
      </c>
      <c r="J635" s="2">
        <v>200</v>
      </c>
      <c r="K635" s="2" t="b">
        <v>0</v>
      </c>
      <c r="L635" s="2"/>
      <c r="M635" s="2"/>
      <c r="N635" s="2" t="s">
        <v>2264</v>
      </c>
      <c r="O635" s="2" t="str">
        <f>LEFT(Table2[[#This Row],[Description]],75)</f>
        <v>KAUFMAN HALL</v>
      </c>
      <c r="P635" s="2"/>
    </row>
    <row r="636" spans="1:16" hidden="1">
      <c r="A636" s="2">
        <v>201909</v>
      </c>
      <c r="B636" s="3">
        <v>43721</v>
      </c>
      <c r="C636" s="2" t="s">
        <v>2258</v>
      </c>
      <c r="D636" s="2" t="s">
        <v>1124</v>
      </c>
      <c r="E636" s="2">
        <v>38.28</v>
      </c>
      <c r="F636" s="2" t="s">
        <v>26</v>
      </c>
      <c r="J636" s="2">
        <v>38.28</v>
      </c>
      <c r="K636" s="2" t="b">
        <v>0</v>
      </c>
      <c r="L636" s="2"/>
      <c r="M636" s="2"/>
      <c r="N636" s="4" t="s">
        <v>2259</v>
      </c>
      <c r="O636" s="4" t="str">
        <f>LEFT(Table2[[#This Row],[Description]],75)</f>
        <v>LIONS TAP EDEN PRAIRIE MN</v>
      </c>
      <c r="P636" s="2" t="s">
        <v>2344</v>
      </c>
    </row>
    <row r="637" spans="1:16" hidden="1">
      <c r="A637" s="2">
        <v>201909</v>
      </c>
      <c r="B637" s="3">
        <v>43721</v>
      </c>
      <c r="C637" s="2" t="s">
        <v>2261</v>
      </c>
      <c r="D637" s="2" t="s">
        <v>1124</v>
      </c>
      <c r="E637" s="2">
        <v>38.28</v>
      </c>
      <c r="F637" s="2" t="s">
        <v>26</v>
      </c>
      <c r="J637" s="2">
        <v>38.28</v>
      </c>
      <c r="K637" s="2" t="b">
        <v>0</v>
      </c>
      <c r="L637" s="2"/>
      <c r="M637" s="2"/>
      <c r="N637" s="4" t="s">
        <v>2259</v>
      </c>
      <c r="O637" s="4" t="str">
        <f>LEFT(Table2[[#This Row],[Description]],75)</f>
        <v>LIONS TAP EDEN PRAIRIE MN</v>
      </c>
      <c r="P637" s="2"/>
    </row>
    <row r="638" spans="1:16" hidden="1">
      <c r="A638" s="2">
        <v>201909</v>
      </c>
      <c r="B638" s="3">
        <v>43721</v>
      </c>
      <c r="C638" s="2" t="s">
        <v>2275</v>
      </c>
      <c r="D638" s="2" t="s">
        <v>1837</v>
      </c>
      <c r="E638" s="2">
        <v>-211</v>
      </c>
      <c r="F638" s="2" t="s">
        <v>57</v>
      </c>
      <c r="J638" s="2">
        <v>211</v>
      </c>
      <c r="K638" s="2" t="b">
        <v>0</v>
      </c>
      <c r="L638" s="2"/>
      <c r="M638" s="2"/>
      <c r="N638" s="4" t="s">
        <v>2273</v>
      </c>
      <c r="O638" s="4" t="str">
        <f>LEFT(Table2[[#This Row],[Description]],75)</f>
        <v>Tfr JPMORGAN CHASE BAN, KAUFMAN HALL</v>
      </c>
      <c r="P638" s="2" t="s">
        <v>2288</v>
      </c>
    </row>
    <row r="639" spans="1:16" hidden="1">
      <c r="A639" s="2">
        <v>201909</v>
      </c>
      <c r="B639" s="3">
        <v>43721</v>
      </c>
      <c r="C639" s="2" t="s">
        <v>2277</v>
      </c>
      <c r="D639" s="2" t="s">
        <v>1837</v>
      </c>
      <c r="E639" s="2">
        <v>-211</v>
      </c>
      <c r="F639" s="2" t="s">
        <v>57</v>
      </c>
      <c r="J639" s="2">
        <v>211</v>
      </c>
      <c r="K639" s="2" t="b">
        <v>0</v>
      </c>
      <c r="L639" s="2"/>
      <c r="M639" s="2"/>
      <c r="N639" s="2" t="s">
        <v>2264</v>
      </c>
      <c r="O639" s="2" t="str">
        <f>LEFT(Table2[[#This Row],[Description]],75)</f>
        <v>Tfr JPMORGAN CHASE BAN, KAUFMAN HALL</v>
      </c>
      <c r="P639" s="2"/>
    </row>
    <row r="640" spans="1:16" hidden="1">
      <c r="A640" s="2">
        <v>201909</v>
      </c>
      <c r="B640" s="3">
        <v>43721</v>
      </c>
      <c r="C640" s="2" t="s">
        <v>2262</v>
      </c>
      <c r="D640" s="2" t="s">
        <v>1947</v>
      </c>
      <c r="E640" s="2">
        <v>-754.71</v>
      </c>
      <c r="F640" s="2" t="s">
        <v>9</v>
      </c>
      <c r="J640" s="2">
        <v>754.71</v>
      </c>
      <c r="K640" s="2" t="b">
        <v>0</v>
      </c>
      <c r="L640" s="2"/>
      <c r="M640" s="2"/>
      <c r="N640" s="2" t="s">
        <v>2264</v>
      </c>
      <c r="O640" s="2" t="str">
        <f>LEFT(Table2[[#This Row],[Description]],75)</f>
        <v>Transfer from POWERPLUS CHECKING</v>
      </c>
      <c r="P640" s="2"/>
    </row>
    <row r="641" spans="1:16" hidden="1">
      <c r="A641" s="2">
        <v>201909</v>
      </c>
      <c r="B641" s="3">
        <v>43721</v>
      </c>
      <c r="C641" s="2" t="s">
        <v>2265</v>
      </c>
      <c r="D641" s="2" t="s">
        <v>1951</v>
      </c>
      <c r="E641" s="2">
        <v>754.71</v>
      </c>
      <c r="F641" s="2" t="s">
        <v>9</v>
      </c>
      <c r="J641" s="2">
        <v>754.71</v>
      </c>
      <c r="K641" s="2" t="b">
        <v>0</v>
      </c>
      <c r="L641" s="2"/>
      <c r="M641" s="2"/>
      <c r="N641" s="4" t="s">
        <v>2259</v>
      </c>
      <c r="O641" s="4" t="str">
        <f>LEFT(Table2[[#This Row],[Description]],75)</f>
        <v>Transfer to Cash Rewards Visa Signature</v>
      </c>
      <c r="P641" s="2" t="s">
        <v>2266</v>
      </c>
    </row>
    <row r="642" spans="1:16" hidden="1">
      <c r="A642" s="2">
        <v>201909</v>
      </c>
      <c r="B642" s="3">
        <v>43721</v>
      </c>
      <c r="C642" s="2" t="s">
        <v>2267</v>
      </c>
      <c r="D642" s="2" t="s">
        <v>1951</v>
      </c>
      <c r="E642" s="2">
        <v>754.71</v>
      </c>
      <c r="F642" s="2" t="s">
        <v>9</v>
      </c>
      <c r="J642" s="2">
        <v>754.71</v>
      </c>
      <c r="K642" s="2" t="b">
        <v>0</v>
      </c>
      <c r="L642" s="2"/>
      <c r="M642" s="2"/>
      <c r="N642" s="4" t="s">
        <v>2259</v>
      </c>
      <c r="O642" s="4" t="str">
        <f>LEFT(Table2[[#This Row],[Description]],75)</f>
        <v>Transfer to Cash Rewards Visa Signature</v>
      </c>
      <c r="P642" s="2"/>
    </row>
    <row r="643" spans="1:16" hidden="1">
      <c r="A643" s="2">
        <v>201909</v>
      </c>
      <c r="B643" s="3">
        <v>43721</v>
      </c>
      <c r="C643" s="2" t="s">
        <v>2290</v>
      </c>
      <c r="D643" s="2" t="s">
        <v>2106</v>
      </c>
      <c r="E643" s="2">
        <v>-1058.95</v>
      </c>
      <c r="F643" s="2" t="s">
        <v>54</v>
      </c>
      <c r="J643" s="2">
        <v>1058.95</v>
      </c>
      <c r="K643" s="2" t="b">
        <v>0</v>
      </c>
      <c r="L643" s="2"/>
      <c r="M643" s="2"/>
      <c r="N643" s="2" t="s">
        <v>2264</v>
      </c>
      <c r="O643" s="2" t="str">
        <f>LEFT(Table2[[#This Row],[Description]],75)</f>
        <v>VANG TARGET RET 2050</v>
      </c>
      <c r="P643" s="2"/>
    </row>
    <row r="644" spans="1:16" hidden="1">
      <c r="A644" s="2">
        <v>201909</v>
      </c>
      <c r="B644" s="3">
        <v>43721</v>
      </c>
      <c r="C644" s="2" t="s">
        <v>2265</v>
      </c>
      <c r="D644" s="2" t="s">
        <v>2109</v>
      </c>
      <c r="E644" s="2">
        <v>270</v>
      </c>
      <c r="F644" s="2">
        <v>0</v>
      </c>
      <c r="J644" s="2">
        <v>270</v>
      </c>
      <c r="K644" s="2" t="b">
        <v>0</v>
      </c>
      <c r="L644" s="2"/>
      <c r="M644" s="2"/>
      <c r="N644" s="4" t="s">
        <v>2259</v>
      </c>
      <c r="O644" s="4" t="str">
        <f>LEFT(Table2[[#This Row],[Description]],75)</f>
        <v>Venmo</v>
      </c>
      <c r="P644" s="2"/>
    </row>
    <row r="645" spans="1:16" hidden="1">
      <c r="A645" s="2">
        <v>201909</v>
      </c>
      <c r="B645" s="3">
        <v>43721</v>
      </c>
      <c r="C645" s="2" t="s">
        <v>2267</v>
      </c>
      <c r="D645" s="2" t="s">
        <v>2109</v>
      </c>
      <c r="E645" s="2">
        <v>270</v>
      </c>
      <c r="F645" s="2" t="s">
        <v>21</v>
      </c>
      <c r="J645" s="2">
        <v>270</v>
      </c>
      <c r="K645" s="2" t="b">
        <v>0</v>
      </c>
      <c r="L645" s="2"/>
      <c r="M645" s="2"/>
      <c r="N645" s="4" t="s">
        <v>2259</v>
      </c>
      <c r="O645" s="4" t="str">
        <f>LEFT(Table2[[#This Row],[Description]],75)</f>
        <v>Venmo</v>
      </c>
      <c r="P645" s="2"/>
    </row>
    <row r="646" spans="1:16" hidden="1">
      <c r="A646" s="2">
        <v>201909</v>
      </c>
      <c r="B646" s="3">
        <v>43722</v>
      </c>
      <c r="C646" s="2" t="s">
        <v>2258</v>
      </c>
      <c r="D646" s="2" t="s">
        <v>1559</v>
      </c>
      <c r="E646" s="2">
        <v>84.4</v>
      </c>
      <c r="F646" s="2" t="s">
        <v>26</v>
      </c>
      <c r="J646" s="2">
        <v>84.4</v>
      </c>
      <c r="K646" s="2" t="b">
        <v>0</v>
      </c>
      <c r="L646" s="2"/>
      <c r="M646" s="2"/>
      <c r="N646" s="4" t="s">
        <v>2259</v>
      </c>
      <c r="O646" s="4" t="str">
        <f>LEFT(Table2[[#This Row],[Description]],75)</f>
        <v>RED SAUCE REBELLION EXCELSIOR MN</v>
      </c>
      <c r="P646" s="2" t="s">
        <v>2294</v>
      </c>
    </row>
    <row r="647" spans="1:16" hidden="1">
      <c r="A647" s="2">
        <v>201909</v>
      </c>
      <c r="B647" s="3">
        <v>43722</v>
      </c>
      <c r="C647" s="2" t="s">
        <v>2261</v>
      </c>
      <c r="D647" s="2" t="s">
        <v>1559</v>
      </c>
      <c r="E647" s="2">
        <v>84.4</v>
      </c>
      <c r="F647" s="2" t="s">
        <v>26</v>
      </c>
      <c r="J647" s="2">
        <v>84.4</v>
      </c>
      <c r="K647" s="2" t="b">
        <v>0</v>
      </c>
      <c r="L647" s="2"/>
      <c r="M647" s="2"/>
      <c r="N647" s="4" t="s">
        <v>2259</v>
      </c>
      <c r="O647" s="4" t="str">
        <f>LEFT(Table2[[#This Row],[Description]],75)</f>
        <v>RED SAUCE REBELLION EXCELSIOR MN</v>
      </c>
      <c r="P647" s="2"/>
    </row>
    <row r="648" spans="1:16" hidden="1">
      <c r="A648" s="2">
        <v>201909</v>
      </c>
      <c r="B648" s="3">
        <v>43723</v>
      </c>
      <c r="C648" s="2" t="s">
        <v>2262</v>
      </c>
      <c r="D648" s="2" t="s">
        <v>283</v>
      </c>
      <c r="E648" s="2">
        <v>66.510000000000005</v>
      </c>
      <c r="F648" s="2" t="s">
        <v>41</v>
      </c>
      <c r="J648" s="2">
        <v>66.510000000000005</v>
      </c>
      <c r="K648" s="2" t="b">
        <v>0</v>
      </c>
      <c r="L648" s="2"/>
      <c r="M648" s="2"/>
      <c r="N648" s="4" t="s">
        <v>2259</v>
      </c>
      <c r="O648" s="4" t="str">
        <f>LEFT(Table2[[#This Row],[Description]],75)</f>
        <v>BEST CLEANERS EX 5 EXCELSIOR MN 251076860</v>
      </c>
      <c r="P648" s="2"/>
    </row>
    <row r="649" spans="1:16" hidden="1">
      <c r="A649" s="2">
        <v>201909</v>
      </c>
      <c r="B649" s="3">
        <v>43723</v>
      </c>
      <c r="C649" s="2" t="s">
        <v>2262</v>
      </c>
      <c r="D649" s="2" t="s">
        <v>506</v>
      </c>
      <c r="E649" s="2">
        <v>45</v>
      </c>
      <c r="F649" s="2" t="s">
        <v>7</v>
      </c>
      <c r="J649" s="2">
        <v>45</v>
      </c>
      <c r="K649" s="2" t="b">
        <v>0</v>
      </c>
      <c r="L649" s="2"/>
      <c r="M649" s="2"/>
      <c r="N649" s="4" t="s">
        <v>2259</v>
      </c>
      <c r="O649" s="4" t="str">
        <f>LEFT(Table2[[#This Row],[Description]],75)</f>
        <v>CenturyLink</v>
      </c>
      <c r="P649" s="2"/>
    </row>
    <row r="650" spans="1:16" hidden="1">
      <c r="A650" s="2">
        <v>201909</v>
      </c>
      <c r="B650" s="3">
        <v>43723</v>
      </c>
      <c r="C650" s="2" t="s">
        <v>2262</v>
      </c>
      <c r="D650" s="2" t="s">
        <v>648</v>
      </c>
      <c r="E650" s="2">
        <v>134.97999999999999</v>
      </c>
      <c r="F650" s="2" t="s">
        <v>28</v>
      </c>
      <c r="J650" s="2">
        <v>134.97999999999999</v>
      </c>
      <c r="K650" s="2" t="b">
        <v>0</v>
      </c>
      <c r="L650" s="2"/>
      <c r="M650" s="2"/>
      <c r="N650" s="4" t="s">
        <v>2259</v>
      </c>
      <c r="O650" s="4" t="str">
        <f>LEFT(Table2[[#This Row],[Description]],75)</f>
        <v>Costco</v>
      </c>
      <c r="P650" s="2"/>
    </row>
    <row r="651" spans="1:16" hidden="1">
      <c r="A651" s="2">
        <v>201909</v>
      </c>
      <c r="B651" s="3">
        <v>43723</v>
      </c>
      <c r="C651" s="2" t="s">
        <v>2262</v>
      </c>
      <c r="D651" s="2" t="s">
        <v>831</v>
      </c>
      <c r="E651" s="2">
        <v>11</v>
      </c>
      <c r="F651" s="2" t="s">
        <v>26</v>
      </c>
      <c r="J651" s="2">
        <v>11</v>
      </c>
      <c r="K651" s="2" t="b">
        <v>0</v>
      </c>
      <c r="L651" s="2"/>
      <c r="M651" s="2"/>
      <c r="N651" s="4" t="s">
        <v>2259</v>
      </c>
      <c r="O651" s="4" t="str">
        <f>LEFT(Table2[[#This Row],[Description]],75)</f>
        <v>Excelsior Brewing</v>
      </c>
      <c r="P651" s="2"/>
    </row>
    <row r="652" spans="1:16" hidden="1">
      <c r="A652" s="2">
        <v>201909</v>
      </c>
      <c r="B652" s="3">
        <v>43723</v>
      </c>
      <c r="C652" s="2" t="s">
        <v>2262</v>
      </c>
      <c r="D652" s="2" t="s">
        <v>948</v>
      </c>
      <c r="E652" s="2">
        <v>23.64</v>
      </c>
      <c r="F652" s="2" t="s">
        <v>21</v>
      </c>
      <c r="J652" s="2">
        <v>23.64</v>
      </c>
      <c r="K652" s="2" t="b">
        <v>0</v>
      </c>
      <c r="L652" s="2"/>
      <c r="M652" s="2"/>
      <c r="N652" s="4" t="s">
        <v>2259</v>
      </c>
      <c r="O652" s="4" t="str">
        <f>LEFT(Table2[[#This Row],[Description]],75)</f>
        <v>Home Goods</v>
      </c>
      <c r="P652" s="2"/>
    </row>
    <row r="653" spans="1:16" hidden="1">
      <c r="A653" s="2">
        <v>201909</v>
      </c>
      <c r="B653" s="3">
        <v>43723</v>
      </c>
      <c r="C653" s="2" t="s">
        <v>2262</v>
      </c>
      <c r="D653" s="2" t="s">
        <v>1793</v>
      </c>
      <c r="E653" s="2">
        <v>214.71</v>
      </c>
      <c r="F653" s="2" t="s">
        <v>21</v>
      </c>
      <c r="J653" s="2">
        <v>214.71</v>
      </c>
      <c r="K653" s="2" t="b">
        <v>0</v>
      </c>
      <c r="L653" s="2"/>
      <c r="M653" s="2"/>
      <c r="N653" s="4" t="s">
        <v>2259</v>
      </c>
      <c r="O653" s="4" t="str">
        <f>LEFT(Table2[[#This Row],[Description]],75)</f>
        <v>Sur La Table</v>
      </c>
      <c r="P653" s="2"/>
    </row>
    <row r="654" spans="1:16" hidden="1">
      <c r="A654" s="2">
        <v>201909</v>
      </c>
      <c r="B654" s="3">
        <v>43724</v>
      </c>
      <c r="C654" s="2" t="s">
        <v>2265</v>
      </c>
      <c r="D654" s="2" t="s">
        <v>131</v>
      </c>
      <c r="E654" s="2">
        <v>99.04</v>
      </c>
      <c r="F654" s="2" t="s">
        <v>18</v>
      </c>
      <c r="J654" s="2">
        <v>99.04</v>
      </c>
      <c r="K654" s="2" t="b">
        <v>0</v>
      </c>
      <c r="L654" s="2"/>
      <c r="M654" s="2"/>
      <c r="N654" s="4" t="s">
        <v>2259</v>
      </c>
      <c r="O654" s="4" t="str">
        <f>LEFT(Table2[[#This Row],[Description]],75)</f>
        <v>American Family Insurance</v>
      </c>
      <c r="P654" s="2" t="s">
        <v>2286</v>
      </c>
    </row>
    <row r="655" spans="1:16" hidden="1">
      <c r="A655" s="2">
        <v>201909</v>
      </c>
      <c r="B655" s="3">
        <v>43724</v>
      </c>
      <c r="C655" s="2" t="s">
        <v>2267</v>
      </c>
      <c r="D655" s="2" t="s">
        <v>131</v>
      </c>
      <c r="E655" s="2">
        <v>99.04</v>
      </c>
      <c r="F655" s="2" t="s">
        <v>18</v>
      </c>
      <c r="J655" s="2">
        <v>99.04</v>
      </c>
      <c r="K655" s="2" t="b">
        <v>0</v>
      </c>
      <c r="L655" s="2"/>
      <c r="M655" s="2"/>
      <c r="N655" s="4" t="s">
        <v>2259</v>
      </c>
      <c r="O655" s="4" t="str">
        <f>LEFT(Table2[[#This Row],[Description]],75)</f>
        <v>American Family Insurance</v>
      </c>
      <c r="P655" s="2"/>
    </row>
    <row r="656" spans="1:16" hidden="1">
      <c r="A656" s="2">
        <v>201909</v>
      </c>
      <c r="B656" s="3">
        <v>43724</v>
      </c>
      <c r="C656" s="2" t="s">
        <v>2262</v>
      </c>
      <c r="D656" s="2" t="s">
        <v>170</v>
      </c>
      <c r="E656" s="2">
        <v>18.899999999999999</v>
      </c>
      <c r="F656" s="2" t="s">
        <v>40</v>
      </c>
      <c r="J656" s="2">
        <v>18.899999999999999</v>
      </c>
      <c r="K656" s="2" t="b">
        <v>0</v>
      </c>
      <c r="L656" s="2"/>
      <c r="M656" s="2"/>
      <c r="N656" s="4" t="s">
        <v>2259</v>
      </c>
      <c r="O656" s="4" t="str">
        <f>LEFT(Table2[[#This Row],[Description]],75)</f>
        <v>ARBORETUM APPLEHOUSE CHASKA MN 251334778</v>
      </c>
      <c r="P656" s="2"/>
    </row>
    <row r="657" spans="1:16" hidden="1">
      <c r="A657" s="2">
        <v>201909</v>
      </c>
      <c r="B657" s="3">
        <v>43724</v>
      </c>
      <c r="C657" s="2" t="s">
        <v>2275</v>
      </c>
      <c r="D657" s="2" t="s">
        <v>234</v>
      </c>
      <c r="E657" s="2">
        <v>-0.17</v>
      </c>
      <c r="F657" s="2">
        <v>0</v>
      </c>
      <c r="J657" s="2">
        <v>0.17</v>
      </c>
      <c r="K657" s="2" t="b">
        <v>0</v>
      </c>
      <c r="L657" s="2"/>
      <c r="M657" s="2"/>
      <c r="N657" s="4" t="s">
        <v>2273</v>
      </c>
      <c r="O657" s="4" t="str">
        <f>LEFT(Table2[[#This Row],[Description]],75)</f>
        <v>BANK INT 081619-091519 SCHWAB BANK</v>
      </c>
      <c r="P657" s="2"/>
    </row>
    <row r="658" spans="1:16" hidden="1">
      <c r="A658" s="2">
        <v>201909</v>
      </c>
      <c r="B658" s="3">
        <v>43724</v>
      </c>
      <c r="C658" s="2" t="s">
        <v>2277</v>
      </c>
      <c r="D658" s="2" t="s">
        <v>234</v>
      </c>
      <c r="E658" s="2">
        <v>-0.3</v>
      </c>
      <c r="F658" s="2" t="s">
        <v>9</v>
      </c>
      <c r="J658" s="2">
        <v>0.3</v>
      </c>
      <c r="K658" s="2" t="b">
        <v>0</v>
      </c>
      <c r="L658" s="2"/>
      <c r="M658" s="2"/>
      <c r="N658" s="2" t="s">
        <v>2264</v>
      </c>
      <c r="O658" s="2" t="str">
        <f>LEFT(Table2[[#This Row],[Description]],75)</f>
        <v>BANK INT 081619-091519 SCHWAB BANK</v>
      </c>
      <c r="P658" s="2"/>
    </row>
    <row r="659" spans="1:16" hidden="1">
      <c r="A659" s="2">
        <v>201909</v>
      </c>
      <c r="B659" s="3">
        <v>43724</v>
      </c>
      <c r="C659" s="2" t="s">
        <v>2262</v>
      </c>
      <c r="D659" s="2" t="s">
        <v>938</v>
      </c>
      <c r="E659" s="2">
        <v>114.74</v>
      </c>
      <c r="F659" s="2" t="s">
        <v>21</v>
      </c>
      <c r="J659" s="2">
        <v>114.74</v>
      </c>
      <c r="K659" s="2" t="b">
        <v>0</v>
      </c>
      <c r="L659" s="2"/>
      <c r="M659" s="2"/>
      <c r="N659" s="4" t="s">
        <v>2259</v>
      </c>
      <c r="O659" s="4" t="str">
        <f>LEFT(Table2[[#This Row],[Description]],75)</f>
        <v>Hobby Lobby</v>
      </c>
      <c r="P659" s="2"/>
    </row>
    <row r="660" spans="1:16" hidden="1">
      <c r="A660" s="2">
        <v>201909</v>
      </c>
      <c r="B660" s="3">
        <v>43725</v>
      </c>
      <c r="C660" s="2" t="s">
        <v>2262</v>
      </c>
      <c r="D660" s="2" t="s">
        <v>453</v>
      </c>
      <c r="E660" s="2">
        <v>10.62</v>
      </c>
      <c r="F660" s="2" t="s">
        <v>26</v>
      </c>
      <c r="J660" s="2">
        <v>10.62</v>
      </c>
      <c r="K660" s="2" t="b">
        <v>0</v>
      </c>
      <c r="L660" s="2"/>
      <c r="M660" s="2"/>
      <c r="N660" s="4" t="s">
        <v>2259</v>
      </c>
      <c r="O660" s="4" t="str">
        <f>LEFT(Table2[[#This Row],[Description]],75)</f>
        <v>Caribou Coffee</v>
      </c>
      <c r="P660" s="2"/>
    </row>
    <row r="661" spans="1:16" hidden="1">
      <c r="A661" s="2">
        <v>201909</v>
      </c>
      <c r="B661" s="3">
        <v>43725</v>
      </c>
      <c r="C661" s="2" t="s">
        <v>2262</v>
      </c>
      <c r="D661" s="2" t="s">
        <v>823</v>
      </c>
      <c r="E661" s="2">
        <v>84.77</v>
      </c>
      <c r="F661" s="2" t="s">
        <v>21</v>
      </c>
      <c r="J661" s="2">
        <v>84.77</v>
      </c>
      <c r="K661" s="2" t="b">
        <v>0</v>
      </c>
      <c r="L661" s="2"/>
      <c r="M661" s="2"/>
      <c r="N661" s="4" t="s">
        <v>2259</v>
      </c>
      <c r="O661" s="4" t="str">
        <f>LEFT(Table2[[#This Row],[Description]],75)</f>
        <v>Etsy.com</v>
      </c>
      <c r="P661" s="2"/>
    </row>
    <row r="662" spans="1:16" hidden="1">
      <c r="A662" s="2">
        <v>201909</v>
      </c>
      <c r="B662" s="3">
        <v>43725</v>
      </c>
      <c r="C662" s="2" t="s">
        <v>2262</v>
      </c>
      <c r="D662" s="2" t="s">
        <v>1262</v>
      </c>
      <c r="E662" s="2">
        <v>7.94</v>
      </c>
      <c r="F662" s="2" t="s">
        <v>23</v>
      </c>
      <c r="J662" s="2">
        <v>7.94</v>
      </c>
      <c r="K662" s="2" t="b">
        <v>0</v>
      </c>
      <c r="L662" s="2"/>
      <c r="M662" s="2"/>
      <c r="N662" s="4" t="s">
        <v>2259</v>
      </c>
      <c r="O662" s="4" t="str">
        <f>LEFT(Table2[[#This Row],[Description]],75)</f>
        <v>MINNEAPOLIS AIRPORT SAINT PAUL MN 251562056</v>
      </c>
      <c r="P662" s="2"/>
    </row>
    <row r="663" spans="1:16" hidden="1">
      <c r="A663" s="2">
        <v>201909</v>
      </c>
      <c r="B663" s="3">
        <v>43725</v>
      </c>
      <c r="C663" s="2" t="s">
        <v>2265</v>
      </c>
      <c r="D663" s="2" t="s">
        <v>1471</v>
      </c>
      <c r="E663" s="2">
        <v>12.99</v>
      </c>
      <c r="F663" s="2" t="s">
        <v>21</v>
      </c>
      <c r="J663" s="2">
        <v>12.99</v>
      </c>
      <c r="K663" s="2" t="b">
        <v>0</v>
      </c>
      <c r="L663" s="2"/>
      <c r="M663" s="2"/>
      <c r="N663" s="4" t="s">
        <v>2259</v>
      </c>
      <c r="O663" s="4" t="str">
        <f>LEFT(Table2[[#This Row],[Description]],75)</f>
        <v>PayPal</v>
      </c>
      <c r="P663" s="2" t="s">
        <v>2322</v>
      </c>
    </row>
    <row r="664" spans="1:16" hidden="1">
      <c r="A664" s="2">
        <v>201909</v>
      </c>
      <c r="B664" s="3">
        <v>43725</v>
      </c>
      <c r="C664" s="2" t="s">
        <v>2267</v>
      </c>
      <c r="D664" s="2" t="s">
        <v>1471</v>
      </c>
      <c r="E664" s="2">
        <v>12.99</v>
      </c>
      <c r="F664" s="2" t="s">
        <v>21</v>
      </c>
      <c r="J664" s="2">
        <v>12.99</v>
      </c>
      <c r="K664" s="2" t="b">
        <v>0</v>
      </c>
      <c r="L664" s="2"/>
      <c r="M664" s="2"/>
      <c r="N664" s="4" t="s">
        <v>2259</v>
      </c>
      <c r="O664" s="4" t="str">
        <f>LEFT(Table2[[#This Row],[Description]],75)</f>
        <v>PayPal</v>
      </c>
      <c r="P664" s="2"/>
    </row>
    <row r="665" spans="1:16" hidden="1">
      <c r="A665" s="2">
        <v>201909</v>
      </c>
      <c r="B665" s="3">
        <v>43725</v>
      </c>
      <c r="C665" s="2" t="s">
        <v>2262</v>
      </c>
      <c r="D665" s="2" t="s">
        <v>1947</v>
      </c>
      <c r="E665" s="2">
        <v>-667.59</v>
      </c>
      <c r="F665" s="2" t="s">
        <v>9</v>
      </c>
      <c r="J665" s="2">
        <v>667.59</v>
      </c>
      <c r="K665" s="2" t="b">
        <v>0</v>
      </c>
      <c r="L665" s="2"/>
      <c r="M665" s="2"/>
      <c r="N665" s="2" t="s">
        <v>2264</v>
      </c>
      <c r="O665" s="2" t="str">
        <f>LEFT(Table2[[#This Row],[Description]],75)</f>
        <v>Transfer from POWERPLUS CHECKING</v>
      </c>
      <c r="P665" s="2"/>
    </row>
    <row r="666" spans="1:16" hidden="1">
      <c r="A666" s="2">
        <v>201909</v>
      </c>
      <c r="B666" s="3">
        <v>43725</v>
      </c>
      <c r="C666" s="2" t="s">
        <v>2265</v>
      </c>
      <c r="D666" s="2" t="s">
        <v>1951</v>
      </c>
      <c r="E666" s="2">
        <v>667.59</v>
      </c>
      <c r="F666" s="2" t="s">
        <v>9</v>
      </c>
      <c r="J666" s="2">
        <v>667.59</v>
      </c>
      <c r="K666" s="2" t="b">
        <v>0</v>
      </c>
      <c r="L666" s="2"/>
      <c r="M666" s="2"/>
      <c r="N666" s="4" t="s">
        <v>2259</v>
      </c>
      <c r="O666" s="4" t="str">
        <f>LEFT(Table2[[#This Row],[Description]],75)</f>
        <v>Transfer to Cash Rewards Visa Signature</v>
      </c>
      <c r="P666" s="2" t="s">
        <v>2266</v>
      </c>
    </row>
    <row r="667" spans="1:16" hidden="1">
      <c r="A667" s="2">
        <v>201909</v>
      </c>
      <c r="B667" s="3">
        <v>43725</v>
      </c>
      <c r="C667" s="2" t="s">
        <v>2267</v>
      </c>
      <c r="D667" s="2" t="s">
        <v>1951</v>
      </c>
      <c r="E667" s="2">
        <v>667.59</v>
      </c>
      <c r="F667" s="2" t="s">
        <v>9</v>
      </c>
      <c r="J667" s="2">
        <v>667.59</v>
      </c>
      <c r="K667" s="2" t="b">
        <v>0</v>
      </c>
      <c r="L667" s="2"/>
      <c r="M667" s="2"/>
      <c r="N667" s="4" t="s">
        <v>2259</v>
      </c>
      <c r="O667" s="4" t="str">
        <f>LEFT(Table2[[#This Row],[Description]],75)</f>
        <v>Transfer to Cash Rewards Visa Signature</v>
      </c>
      <c r="P667" s="2"/>
    </row>
    <row r="668" spans="1:16" hidden="1">
      <c r="A668" s="2">
        <v>201909</v>
      </c>
      <c r="B668" s="3">
        <v>43725</v>
      </c>
      <c r="C668" s="2" t="s">
        <v>2274</v>
      </c>
      <c r="D668" s="2" t="s">
        <v>2093</v>
      </c>
      <c r="E668" s="2">
        <v>200</v>
      </c>
      <c r="F668" s="2" t="s">
        <v>9</v>
      </c>
      <c r="J668" s="2">
        <v>200</v>
      </c>
      <c r="K668" s="2" t="b">
        <v>0</v>
      </c>
      <c r="L668" s="2"/>
      <c r="M668" s="2"/>
      <c r="N668" s="4" t="s">
        <v>2259</v>
      </c>
      <c r="O668" s="4" t="str">
        <f>LEFT(Table2[[#This Row],[Description]],75)</f>
        <v>US Bank</v>
      </c>
      <c r="P668" s="2"/>
    </row>
    <row r="669" spans="1:16" hidden="1">
      <c r="A669" s="2">
        <v>201909</v>
      </c>
      <c r="B669" s="3">
        <v>43726</v>
      </c>
      <c r="C669" s="2" t="s">
        <v>2265</v>
      </c>
      <c r="D669" s="2" t="s">
        <v>378</v>
      </c>
      <c r="E669" s="2">
        <v>-2609.35</v>
      </c>
      <c r="F669" s="2" t="s">
        <v>65</v>
      </c>
      <c r="J669" s="2">
        <v>2609.35</v>
      </c>
      <c r="K669" s="2" t="b">
        <v>0</v>
      </c>
      <c r="L669" s="2"/>
      <c r="M669" s="2"/>
      <c r="N669" s="4" t="s">
        <v>2273</v>
      </c>
      <c r="O669" s="4" t="str">
        <f>LEFT(Table2[[#This Row],[Description]],75)</f>
        <v xml:space="preserve">CARGILL COCOA TYPE DIR DEP ID CO CARGILL COCOA ACH ECC PPD ACH Trace 46957 </v>
      </c>
      <c r="P669" s="2" t="s">
        <v>2284</v>
      </c>
    </row>
    <row r="670" spans="1:16" hidden="1">
      <c r="A670" s="2">
        <v>201909</v>
      </c>
      <c r="B670" s="3">
        <v>43726</v>
      </c>
      <c r="C670" s="2" t="s">
        <v>2267</v>
      </c>
      <c r="D670" s="2" t="s">
        <v>378</v>
      </c>
      <c r="E670" s="2">
        <v>-2609.35</v>
      </c>
      <c r="F670" s="2" t="s">
        <v>65</v>
      </c>
      <c r="J670" s="2">
        <v>2609.35</v>
      </c>
      <c r="K670" s="2" t="b">
        <v>0</v>
      </c>
      <c r="L670" s="2"/>
      <c r="M670" s="2"/>
      <c r="N670" s="2" t="s">
        <v>2264</v>
      </c>
      <c r="O670" s="2" t="str">
        <f>LEFT(Table2[[#This Row],[Description]],75)</f>
        <v xml:space="preserve">CARGILL COCOA TYPE DIR DEP ID CO CARGILL COCOA ACH ECC PPD ACH Trace 46957 </v>
      </c>
      <c r="P670" s="2"/>
    </row>
    <row r="671" spans="1:16" hidden="1">
      <c r="A671" s="2">
        <v>201909</v>
      </c>
      <c r="B671" s="3">
        <v>43726</v>
      </c>
      <c r="C671" s="2" t="s">
        <v>2265</v>
      </c>
      <c r="D671" s="2" t="s">
        <v>481</v>
      </c>
      <c r="E671" s="2">
        <v>138</v>
      </c>
      <c r="F671" s="2" t="s">
        <v>20</v>
      </c>
      <c r="J671" s="2">
        <v>138</v>
      </c>
      <c r="K671" s="2" t="b">
        <v>0</v>
      </c>
      <c r="L671" s="2"/>
      <c r="M671" s="2"/>
      <c r="N671" s="4" t="s">
        <v>2259</v>
      </c>
      <c r="O671" s="4" t="str">
        <f>LEFT(Table2[[#This Row],[Description]],75)</f>
        <v>CCLC TYPE INTERNET ID CO CCLC ACH ECC WEB ACH Trace 58251 251588077</v>
      </c>
      <c r="P671" s="2" t="s">
        <v>2268</v>
      </c>
    </row>
    <row r="672" spans="1:16" hidden="1">
      <c r="A672" s="2">
        <v>201909</v>
      </c>
      <c r="B672" s="3">
        <v>43726</v>
      </c>
      <c r="C672" s="2" t="s">
        <v>2267</v>
      </c>
      <c r="D672" s="2" t="s">
        <v>481</v>
      </c>
      <c r="E672" s="2">
        <v>138</v>
      </c>
      <c r="F672" s="2" t="s">
        <v>20</v>
      </c>
      <c r="J672" s="2">
        <v>138</v>
      </c>
      <c r="K672" s="2" t="b">
        <v>0</v>
      </c>
      <c r="L672" s="2"/>
      <c r="M672" s="2"/>
      <c r="N672" s="4" t="s">
        <v>2259</v>
      </c>
      <c r="O672" s="4" t="str">
        <f>LEFT(Table2[[#This Row],[Description]],75)</f>
        <v>CCLC TYPE INTERNET ID CO CCLC ACH ECC WEB ACH Trace 58251 251588077</v>
      </c>
      <c r="P672" s="2"/>
    </row>
    <row r="673" spans="1:16" hidden="1">
      <c r="A673" s="2">
        <v>201909</v>
      </c>
      <c r="B673" s="3">
        <v>43726</v>
      </c>
      <c r="C673" s="2" t="s">
        <v>2258</v>
      </c>
      <c r="D673" s="2" t="s">
        <v>543</v>
      </c>
      <c r="E673" s="2">
        <v>11.7</v>
      </c>
      <c r="F673" s="2" t="s">
        <v>26</v>
      </c>
      <c r="J673" s="2">
        <v>11.7</v>
      </c>
      <c r="K673" s="2" t="b">
        <v>0</v>
      </c>
      <c r="L673" s="2"/>
      <c r="M673" s="2"/>
      <c r="N673" s="4" t="s">
        <v>2259</v>
      </c>
      <c r="O673" s="4" t="str">
        <f>LEFT(Table2[[#This Row],[Description]],75)</f>
        <v>Chipotle</v>
      </c>
      <c r="P673" s="2" t="s">
        <v>2341</v>
      </c>
    </row>
    <row r="674" spans="1:16" hidden="1">
      <c r="A674" s="2">
        <v>201909</v>
      </c>
      <c r="B674" s="3">
        <v>43726</v>
      </c>
      <c r="C674" s="2" t="s">
        <v>2261</v>
      </c>
      <c r="D674" s="2" t="s">
        <v>543</v>
      </c>
      <c r="E674" s="2">
        <v>11.7</v>
      </c>
      <c r="F674" s="2" t="s">
        <v>26</v>
      </c>
      <c r="J674" s="2">
        <v>11.7</v>
      </c>
      <c r="K674" s="2" t="b">
        <v>0</v>
      </c>
      <c r="L674" s="2"/>
      <c r="M674" s="2"/>
      <c r="N674" s="4" t="s">
        <v>2259</v>
      </c>
      <c r="O674" s="4" t="str">
        <f>LEFT(Table2[[#This Row],[Description]],75)</f>
        <v>Chipotle</v>
      </c>
      <c r="P674" s="2"/>
    </row>
    <row r="675" spans="1:16" hidden="1">
      <c r="A675" s="2">
        <v>201909</v>
      </c>
      <c r="B675" s="3">
        <v>43726</v>
      </c>
      <c r="C675" s="2" t="s">
        <v>2262</v>
      </c>
      <c r="D675" s="2" t="s">
        <v>946</v>
      </c>
      <c r="E675" s="2">
        <v>2</v>
      </c>
      <c r="F675" s="2" t="s">
        <v>23</v>
      </c>
      <c r="J675" s="2">
        <v>2</v>
      </c>
      <c r="K675" s="2" t="b">
        <v>0</v>
      </c>
      <c r="L675" s="2"/>
      <c r="M675" s="2"/>
      <c r="N675" s="4" t="s">
        <v>2259</v>
      </c>
      <c r="O675" s="4" t="str">
        <f>LEFT(Table2[[#This Row],[Description]],75)</f>
        <v>HOME 2 SUITES LOUISVIL LOUISVILLE KY 251815501</v>
      </c>
      <c r="P675" s="2"/>
    </row>
    <row r="676" spans="1:16" hidden="1">
      <c r="A676" s="2">
        <v>201909</v>
      </c>
      <c r="B676" s="3">
        <v>43726</v>
      </c>
      <c r="C676" s="2" t="s">
        <v>2262</v>
      </c>
      <c r="D676" s="2" t="s">
        <v>1874</v>
      </c>
      <c r="E676" s="2">
        <v>92.66</v>
      </c>
      <c r="F676" s="2" t="s">
        <v>26</v>
      </c>
      <c r="J676" s="2">
        <v>92.66</v>
      </c>
      <c r="K676" s="2" t="b">
        <v>0</v>
      </c>
      <c r="L676" s="2"/>
      <c r="M676" s="2"/>
      <c r="N676" s="4" t="s">
        <v>2259</v>
      </c>
      <c r="O676" s="4" t="str">
        <f>LEFT(Table2[[#This Row],[Description]],75)</f>
        <v>TINSLEY FAMILY CON 8632997177 KY 251815500</v>
      </c>
      <c r="P676" s="2"/>
    </row>
    <row r="677" spans="1:16" hidden="1">
      <c r="A677" s="2">
        <v>201909</v>
      </c>
      <c r="B677" s="3">
        <v>43727</v>
      </c>
      <c r="C677" s="2" t="s">
        <v>2271</v>
      </c>
      <c r="D677" s="2" t="s">
        <v>503</v>
      </c>
      <c r="E677" s="2">
        <v>32.35</v>
      </c>
      <c r="F677" s="2" t="s">
        <v>21</v>
      </c>
      <c r="J677" s="2">
        <v>32.35</v>
      </c>
      <c r="K677" s="2" t="b">
        <v>0</v>
      </c>
      <c r="L677" s="2"/>
      <c r="M677" s="2"/>
      <c r="N677" s="4" t="s">
        <v>2259</v>
      </c>
      <c r="O677" s="4" t="str">
        <f>LEFT(Table2[[#This Row],[Description]],75)</f>
        <v>CENTRAL CHECKOUT 79999999263244907546614</v>
      </c>
      <c r="P677" s="2"/>
    </row>
    <row r="678" spans="1:16" hidden="1">
      <c r="A678" s="2">
        <v>201909</v>
      </c>
      <c r="B678" s="3">
        <v>43727</v>
      </c>
      <c r="C678" s="2" t="s">
        <v>2262</v>
      </c>
      <c r="D678" s="2" t="s">
        <v>1096</v>
      </c>
      <c r="E678" s="2">
        <v>15.98</v>
      </c>
      <c r="F678" s="2" t="s">
        <v>9</v>
      </c>
      <c r="J678" s="2">
        <v>15.98</v>
      </c>
      <c r="K678" s="2" t="b">
        <v>0</v>
      </c>
      <c r="L678" s="2"/>
      <c r="M678" s="2"/>
      <c r="N678" s="4" t="s">
        <v>2259</v>
      </c>
      <c r="O678" s="4" t="str">
        <f>LEFT(Table2[[#This Row],[Description]],75)</f>
        <v>LAKEWINDS CHANHASSEN CHANHASSEN MN 252093555</v>
      </c>
      <c r="P678" s="2"/>
    </row>
    <row r="679" spans="1:16" hidden="1">
      <c r="A679" s="2">
        <v>202101</v>
      </c>
      <c r="B679" s="3">
        <v>44200</v>
      </c>
      <c r="C679" s="2" t="s">
        <v>2265</v>
      </c>
      <c r="D679" s="2" t="s">
        <v>257</v>
      </c>
      <c r="E679" s="2">
        <v>2832.55</v>
      </c>
      <c r="F679" s="2" t="e">
        <f>IF(Table2[[#This Row],[Manual Cat Value]]="",VLOOKUP(Table2[[#This Row],[Description]],'Actuals Lookup'!D:F,3,0),Table2[[#This Row],[Manual Cat Value]])</f>
        <v>#N/A</v>
      </c>
      <c r="J679" s="2">
        <v>2832.55</v>
      </c>
      <c r="K679" s="2" t="b">
        <v>0</v>
      </c>
      <c r="L679" s="2"/>
      <c r="M679" s="2"/>
      <c r="N679" s="4" t="s">
        <v>2259</v>
      </c>
      <c r="O679" s="4" t="str">
        <f>LEFT(Table2[[#This Row],[Description]],75)</f>
        <v>BCU MORTGAGE TYPE LOAN PAYMT ID 9DRAFTING CO BCU MORTGAGE ACH ECC WEB ACH T</v>
      </c>
      <c r="P679" s="2" t="s">
        <v>2345</v>
      </c>
    </row>
    <row r="680" spans="1:16" hidden="1">
      <c r="A680" s="2">
        <v>202007</v>
      </c>
      <c r="B680" s="3">
        <v>44018</v>
      </c>
      <c r="C680" s="2" t="s">
        <v>2265</v>
      </c>
      <c r="D680" s="2" t="s">
        <v>258</v>
      </c>
      <c r="E680" s="2">
        <v>2914.59</v>
      </c>
      <c r="F680" s="2" t="e">
        <f>IF(Table2[[#This Row],[Manual Cat Value]]="",VLOOKUP(Table2[[#This Row],[Description]],'Actuals Lookup'!D:F,3,0),Table2[[#This Row],[Manual Cat Value]])</f>
        <v>#N/A</v>
      </c>
      <c r="J680" s="2">
        <v>2914.59</v>
      </c>
      <c r="K680" s="2" t="b">
        <v>0</v>
      </c>
      <c r="L680" s="2"/>
      <c r="M680" s="2"/>
      <c r="N680" s="4" t="s">
        <v>2259</v>
      </c>
      <c r="O680" s="4" t="str">
        <f>LEFT(Table2[[#This Row],[Description]],75)</f>
        <v>BCU MORTGAGE TYPE LOAN PAYMT ID 9DRAFTING CO BCU MORTGAGE ACH ECC WEB ACH T</v>
      </c>
      <c r="P680" s="2" t="s">
        <v>2345</v>
      </c>
    </row>
    <row r="681" spans="1:16" hidden="1">
      <c r="A681" s="2">
        <v>202004</v>
      </c>
      <c r="B681" s="3">
        <v>43927</v>
      </c>
      <c r="C681" s="2" t="s">
        <v>2265</v>
      </c>
      <c r="D681" s="2" t="s">
        <v>259</v>
      </c>
      <c r="E681" s="2">
        <v>2914.59</v>
      </c>
      <c r="F681" s="2" t="e">
        <f>IF(Table2[[#This Row],[Manual Cat Value]]="",VLOOKUP(Table2[[#This Row],[Description]],'Actuals Lookup'!D:F,3,0),Table2[[#This Row],[Manual Cat Value]])</f>
        <v>#N/A</v>
      </c>
      <c r="J681" s="2">
        <v>2914.59</v>
      </c>
      <c r="K681" s="2" t="b">
        <v>0</v>
      </c>
      <c r="L681" s="2"/>
      <c r="M681" s="2"/>
      <c r="N681" s="4" t="s">
        <v>2259</v>
      </c>
      <c r="O681" s="4" t="str">
        <f>LEFT(Table2[[#This Row],[Description]],75)</f>
        <v>BCU MORTGAGE TYPE LOAN PAYMT ID 9DRAFTING CO BCU MORTGAGE ACH ECC WEB ACH T</v>
      </c>
      <c r="P681" s="2" t="s">
        <v>2345</v>
      </c>
    </row>
    <row r="682" spans="1:16" hidden="1">
      <c r="A682" s="2">
        <v>201909</v>
      </c>
      <c r="B682" s="3">
        <v>43727</v>
      </c>
      <c r="C682" s="2" t="s">
        <v>2265</v>
      </c>
      <c r="D682" s="2" t="s">
        <v>1471</v>
      </c>
      <c r="E682" s="2">
        <v>4.25</v>
      </c>
      <c r="F682" s="2" t="s">
        <v>21</v>
      </c>
      <c r="J682" s="2">
        <v>4.25</v>
      </c>
      <c r="K682" s="2" t="b">
        <v>0</v>
      </c>
      <c r="L682" s="2"/>
      <c r="M682" s="2"/>
      <c r="N682" s="4" t="s">
        <v>2259</v>
      </c>
      <c r="O682" s="4" t="str">
        <f>LEFT(Table2[[#This Row],[Description]],75)</f>
        <v>PayPal</v>
      </c>
      <c r="P682" s="2" t="s">
        <v>2322</v>
      </c>
    </row>
    <row r="683" spans="1:16" hidden="1">
      <c r="A683" s="2">
        <v>201909</v>
      </c>
      <c r="B683" s="3">
        <v>43727</v>
      </c>
      <c r="C683" s="2" t="s">
        <v>2267</v>
      </c>
      <c r="D683" s="2" t="s">
        <v>1471</v>
      </c>
      <c r="E683" s="2">
        <v>4.25</v>
      </c>
      <c r="F683" s="2" t="s">
        <v>21</v>
      </c>
      <c r="J683" s="2">
        <v>4.25</v>
      </c>
      <c r="K683" s="2" t="b">
        <v>0</v>
      </c>
      <c r="L683" s="2"/>
      <c r="M683" s="2"/>
      <c r="N683" s="4" t="s">
        <v>2259</v>
      </c>
      <c r="O683" s="4" t="str">
        <f>LEFT(Table2[[#This Row],[Description]],75)</f>
        <v>PayPal</v>
      </c>
      <c r="P683" s="2"/>
    </row>
    <row r="684" spans="1:16" hidden="1">
      <c r="A684" s="2">
        <v>201909</v>
      </c>
      <c r="B684" s="3">
        <v>43727</v>
      </c>
      <c r="C684" s="2" t="s">
        <v>2262</v>
      </c>
      <c r="D684" s="2" t="s">
        <v>1707</v>
      </c>
      <c r="E684" s="2">
        <v>28.9</v>
      </c>
      <c r="F684" s="2" t="s">
        <v>23</v>
      </c>
      <c r="J684" s="2">
        <v>28.9</v>
      </c>
      <c r="K684" s="2" t="b">
        <v>0</v>
      </c>
      <c r="L684" s="2"/>
      <c r="M684" s="2"/>
      <c r="N684" s="4" t="s">
        <v>2259</v>
      </c>
      <c r="O684" s="4" t="str">
        <f>LEFT(Table2[[#This Row],[Description]],75)</f>
        <v>Speedway</v>
      </c>
      <c r="P684" s="2"/>
    </row>
    <row r="685" spans="1:16" hidden="1">
      <c r="A685" s="2">
        <v>201909</v>
      </c>
      <c r="B685" s="3">
        <v>43727</v>
      </c>
      <c r="C685" s="2" t="s">
        <v>2262</v>
      </c>
      <c r="D685" s="2" t="s">
        <v>1707</v>
      </c>
      <c r="E685" s="2">
        <v>31.88</v>
      </c>
      <c r="F685" s="2" t="s">
        <v>23</v>
      </c>
      <c r="J685" s="2">
        <v>31.88</v>
      </c>
      <c r="K685" s="2" t="b">
        <v>0</v>
      </c>
      <c r="L685" s="2"/>
      <c r="M685" s="2"/>
      <c r="N685" s="4" t="s">
        <v>2259</v>
      </c>
      <c r="O685" s="4" t="str">
        <f>LEFT(Table2[[#This Row],[Description]],75)</f>
        <v>Speedway</v>
      </c>
      <c r="P685" s="2"/>
    </row>
    <row r="686" spans="1:16" hidden="1">
      <c r="A686" s="2">
        <v>201909</v>
      </c>
      <c r="B686" s="3">
        <v>43727</v>
      </c>
      <c r="C686" s="2" t="s">
        <v>2274</v>
      </c>
      <c r="D686" s="2" t="s">
        <v>2093</v>
      </c>
      <c r="E686" s="2">
        <v>150</v>
      </c>
      <c r="F686" s="2" t="s">
        <v>9</v>
      </c>
      <c r="J686" s="2">
        <v>150</v>
      </c>
      <c r="K686" s="2" t="b">
        <v>0</v>
      </c>
      <c r="L686" s="2"/>
      <c r="M686" s="2"/>
      <c r="N686" s="4" t="s">
        <v>2259</v>
      </c>
      <c r="O686" s="4" t="str">
        <f>LEFT(Table2[[#This Row],[Description]],75)</f>
        <v>US Bank</v>
      </c>
      <c r="P686" s="2"/>
    </row>
    <row r="687" spans="1:16" hidden="1">
      <c r="A687" s="2">
        <v>201909</v>
      </c>
      <c r="B687" s="3">
        <v>43728</v>
      </c>
      <c r="C687" s="2" t="s">
        <v>64</v>
      </c>
      <c r="D687" s="2" t="s">
        <v>354</v>
      </c>
      <c r="E687" s="2">
        <v>-200</v>
      </c>
      <c r="F687" s="2" t="s">
        <v>59</v>
      </c>
      <c r="J687" s="2">
        <v>200</v>
      </c>
      <c r="K687" s="2" t="b">
        <v>0</v>
      </c>
      <c r="L687" s="2"/>
      <c r="M687" s="2"/>
      <c r="N687" s="2" t="s">
        <v>2264</v>
      </c>
      <c r="O687" s="2" t="str">
        <f>LEFT(Table2[[#This Row],[Description]],75)</f>
        <v>CARGILL COCOA &amp;</v>
      </c>
      <c r="P687" s="2"/>
    </row>
    <row r="688" spans="1:16" hidden="1">
      <c r="A688" s="2">
        <v>201909</v>
      </c>
      <c r="B688" s="3">
        <v>43728</v>
      </c>
      <c r="C688" s="2" t="s">
        <v>2317</v>
      </c>
      <c r="D688" s="2" t="s">
        <v>354</v>
      </c>
      <c r="E688" s="2">
        <v>-200</v>
      </c>
      <c r="F688" s="2" t="s">
        <v>9</v>
      </c>
      <c r="J688" s="2">
        <v>200</v>
      </c>
      <c r="K688" s="2" t="b">
        <v>0</v>
      </c>
      <c r="L688" s="2"/>
      <c r="M688" s="2"/>
      <c r="N688" s="2" t="s">
        <v>2264</v>
      </c>
      <c r="O688" s="2" t="str">
        <f>LEFT(Table2[[#This Row],[Description]],75)</f>
        <v>CARGILL COCOA &amp;</v>
      </c>
      <c r="P688" s="2"/>
    </row>
    <row r="689" spans="1:16" hidden="1">
      <c r="A689" s="2">
        <v>201909</v>
      </c>
      <c r="B689" s="3">
        <v>43728</v>
      </c>
      <c r="C689" s="2" t="s">
        <v>2258</v>
      </c>
      <c r="D689" s="2" t="s">
        <v>1092</v>
      </c>
      <c r="E689" s="2">
        <v>19.559999999999999</v>
      </c>
      <c r="F689" s="2" t="s">
        <v>26</v>
      </c>
      <c r="J689" s="2">
        <v>19.559999999999999</v>
      </c>
      <c r="K689" s="2" t="b">
        <v>0</v>
      </c>
      <c r="L689" s="2"/>
      <c r="M689" s="2"/>
      <c r="N689" s="4" t="s">
        <v>2259</v>
      </c>
      <c r="O689" s="4" t="str">
        <f>LEFT(Table2[[#This Row],[Description]],75)</f>
        <v>Lago Tacos</v>
      </c>
      <c r="P689" s="2" t="s">
        <v>2346</v>
      </c>
    </row>
    <row r="690" spans="1:16" hidden="1">
      <c r="A690" s="2">
        <v>201909</v>
      </c>
      <c r="B690" s="3">
        <v>43728</v>
      </c>
      <c r="C690" s="2" t="s">
        <v>2261</v>
      </c>
      <c r="D690" s="2" t="s">
        <v>1092</v>
      </c>
      <c r="E690" s="2">
        <v>19.559999999999999</v>
      </c>
      <c r="F690" s="2" t="s">
        <v>26</v>
      </c>
      <c r="J690" s="2">
        <v>19.559999999999999</v>
      </c>
      <c r="K690" s="2" t="b">
        <v>0</v>
      </c>
      <c r="L690" s="2"/>
      <c r="M690" s="2"/>
      <c r="N690" s="4" t="s">
        <v>2259</v>
      </c>
      <c r="O690" s="4" t="str">
        <f>LEFT(Table2[[#This Row],[Description]],75)</f>
        <v>Lago Tacos</v>
      </c>
      <c r="P690" s="2"/>
    </row>
    <row r="691" spans="1:16" hidden="1">
      <c r="A691" s="2">
        <v>201909</v>
      </c>
      <c r="B691" s="3">
        <v>43728</v>
      </c>
      <c r="C691" s="2" t="s">
        <v>2277</v>
      </c>
      <c r="D691" s="2" t="s">
        <v>1633</v>
      </c>
      <c r="E691" s="2">
        <v>150</v>
      </c>
      <c r="F691" s="2" t="s">
        <v>9</v>
      </c>
      <c r="J691" s="2">
        <v>150</v>
      </c>
      <c r="K691" s="2" t="b">
        <v>0</v>
      </c>
      <c r="L691" s="2"/>
      <c r="M691" s="2"/>
      <c r="N691" s="4" t="s">
        <v>2259</v>
      </c>
      <c r="O691" s="4" t="str">
        <f>LEFT(Table2[[#This Row],[Description]],75)</f>
        <v>SCHWAB S&amp;P 500 INDEX FD</v>
      </c>
      <c r="P691" s="2" t="s">
        <v>2276</v>
      </c>
    </row>
    <row r="692" spans="1:16" hidden="1">
      <c r="A692" s="2">
        <v>201909</v>
      </c>
      <c r="B692" s="3">
        <v>43728</v>
      </c>
      <c r="C692" s="2" t="s">
        <v>64</v>
      </c>
      <c r="D692" s="2" t="s">
        <v>1633</v>
      </c>
      <c r="E692" s="2">
        <v>200</v>
      </c>
      <c r="F692" s="2" t="s">
        <v>9</v>
      </c>
      <c r="J692" s="2">
        <v>200</v>
      </c>
      <c r="K692" s="2" t="b">
        <v>0</v>
      </c>
      <c r="L692" s="2"/>
      <c r="M692" s="2"/>
      <c r="N692" s="4" t="s">
        <v>2259</v>
      </c>
      <c r="O692" s="4" t="str">
        <f>LEFT(Table2[[#This Row],[Description]],75)</f>
        <v>SCHWAB S&amp;P 500 INDEX FD</v>
      </c>
      <c r="P692" s="2" t="s">
        <v>2276</v>
      </c>
    </row>
    <row r="693" spans="1:16" hidden="1">
      <c r="A693" s="2">
        <v>201909</v>
      </c>
      <c r="B693" s="3">
        <v>43728</v>
      </c>
      <c r="C693" s="2" t="s">
        <v>2317</v>
      </c>
      <c r="D693" s="2" t="s">
        <v>1633</v>
      </c>
      <c r="E693" s="2">
        <v>200</v>
      </c>
      <c r="F693" s="2" t="s">
        <v>9</v>
      </c>
      <c r="J693" s="2">
        <v>200</v>
      </c>
      <c r="K693" s="2" t="b">
        <v>0</v>
      </c>
      <c r="L693" s="2"/>
      <c r="M693" s="2"/>
      <c r="N693" s="4" t="s">
        <v>2259</v>
      </c>
      <c r="O693" s="4" t="str">
        <f>LEFT(Table2[[#This Row],[Description]],75)</f>
        <v>SCHWAB S&amp;P 500 INDEX FD</v>
      </c>
      <c r="P693" s="2"/>
    </row>
    <row r="694" spans="1:16" hidden="1">
      <c r="A694" s="2">
        <v>201909</v>
      </c>
      <c r="B694" s="3">
        <v>43728</v>
      </c>
      <c r="C694" s="2" t="s">
        <v>2275</v>
      </c>
      <c r="D694" s="2" t="s">
        <v>1636</v>
      </c>
      <c r="E694" s="2">
        <v>100</v>
      </c>
      <c r="F694" s="2" t="s">
        <v>9</v>
      </c>
      <c r="J694" s="2">
        <v>100</v>
      </c>
      <c r="K694" s="2" t="b">
        <v>0</v>
      </c>
      <c r="L694" s="2"/>
      <c r="M694" s="2"/>
      <c r="N694" s="4" t="s">
        <v>2259</v>
      </c>
      <c r="O694" s="4" t="str">
        <f>LEFT(Table2[[#This Row],[Description]],75)</f>
        <v>SCHWAB US LARGE CAP GROWTH INDEX FD</v>
      </c>
      <c r="P694" s="2" t="s">
        <v>2347</v>
      </c>
    </row>
    <row r="695" spans="1:16" hidden="1">
      <c r="A695" s="2">
        <v>201909</v>
      </c>
      <c r="B695" s="3">
        <v>43728</v>
      </c>
      <c r="C695" s="2" t="s">
        <v>2277</v>
      </c>
      <c r="D695" s="2" t="s">
        <v>1636</v>
      </c>
      <c r="E695" s="2">
        <v>100</v>
      </c>
      <c r="F695" s="2" t="s">
        <v>9</v>
      </c>
      <c r="J695" s="2">
        <v>100</v>
      </c>
      <c r="K695" s="2" t="b">
        <v>0</v>
      </c>
      <c r="L695" s="2"/>
      <c r="M695" s="2"/>
      <c r="N695" s="4" t="s">
        <v>2259</v>
      </c>
      <c r="O695" s="4" t="str">
        <f>LEFT(Table2[[#This Row],[Description]],75)</f>
        <v>SCHWAB US LARGE CAP GROWTH INDEX FD</v>
      </c>
      <c r="P695" s="2"/>
    </row>
    <row r="696" spans="1:16" hidden="1">
      <c r="A696" s="2">
        <v>201909</v>
      </c>
      <c r="B696" s="3">
        <v>43728</v>
      </c>
      <c r="C696" s="2" t="s">
        <v>2277</v>
      </c>
      <c r="D696" s="2" t="s">
        <v>1834</v>
      </c>
      <c r="E696" s="2">
        <v>-150</v>
      </c>
      <c r="F696" s="2" t="s">
        <v>57</v>
      </c>
      <c r="J696" s="2">
        <v>150</v>
      </c>
      <c r="K696" s="2" t="b">
        <v>0</v>
      </c>
      <c r="L696" s="2"/>
      <c r="M696" s="2"/>
      <c r="N696" s="2" t="s">
        <v>2264</v>
      </c>
      <c r="O696" s="2" t="str">
        <f>LEFT(Table2[[#This Row],[Description]],75)</f>
        <v>Tfr JPMORGAN CHASE BAN, CARGILL COCOA &amp;</v>
      </c>
      <c r="P696" s="2"/>
    </row>
    <row r="697" spans="1:16" hidden="1">
      <c r="A697" s="2">
        <v>201909</v>
      </c>
      <c r="B697" s="3">
        <v>43728</v>
      </c>
      <c r="C697" s="2" t="s">
        <v>2338</v>
      </c>
      <c r="D697" s="2"/>
      <c r="E697" s="2">
        <v>-244.23</v>
      </c>
      <c r="F697" s="2" t="s">
        <v>54</v>
      </c>
      <c r="J697" s="2">
        <v>244.23</v>
      </c>
      <c r="K697" s="2" t="b">
        <v>0</v>
      </c>
      <c r="L697" s="2"/>
      <c r="M697" s="2"/>
      <c r="N697" s="2" t="s">
        <v>2264</v>
      </c>
      <c r="O697" s="2" t="str">
        <f>LEFT(Table2[[#This Row],[Description]],75)</f>
        <v/>
      </c>
      <c r="P697" s="2"/>
    </row>
    <row r="698" spans="1:16" hidden="1">
      <c r="A698" s="2">
        <v>201909</v>
      </c>
      <c r="B698" s="3">
        <v>43729</v>
      </c>
      <c r="C698" s="2" t="s">
        <v>2258</v>
      </c>
      <c r="D698" s="2" t="s">
        <v>38</v>
      </c>
      <c r="E698" s="2">
        <v>10.73</v>
      </c>
      <c r="F698" s="2" t="s">
        <v>38</v>
      </c>
      <c r="J698" s="2">
        <v>10.73</v>
      </c>
      <c r="K698" s="2" t="b">
        <v>0</v>
      </c>
      <c r="L698" s="2"/>
      <c r="M698" s="2"/>
      <c r="N698" s="4" t="s">
        <v>2259</v>
      </c>
      <c r="O698" s="4" t="str">
        <f>LEFT(Table2[[#This Row],[Description]],75)</f>
        <v>Amazon</v>
      </c>
      <c r="P698" s="2" t="s">
        <v>2260</v>
      </c>
    </row>
    <row r="699" spans="1:16" hidden="1">
      <c r="A699" s="2">
        <v>201909</v>
      </c>
      <c r="B699" s="3">
        <v>43729</v>
      </c>
      <c r="C699" s="2" t="s">
        <v>2261</v>
      </c>
      <c r="D699" s="2" t="s">
        <v>38</v>
      </c>
      <c r="E699" s="2">
        <v>10.73</v>
      </c>
      <c r="F699" s="2" t="s">
        <v>38</v>
      </c>
      <c r="J699" s="2">
        <v>10.73</v>
      </c>
      <c r="K699" s="2" t="b">
        <v>0</v>
      </c>
      <c r="L699" s="2"/>
      <c r="M699" s="2"/>
      <c r="N699" s="4" t="s">
        <v>2259</v>
      </c>
      <c r="O699" s="4" t="str">
        <f>LEFT(Table2[[#This Row],[Description]],75)</f>
        <v>Amazon</v>
      </c>
      <c r="P699" s="2"/>
    </row>
    <row r="700" spans="1:16" hidden="1">
      <c r="A700" s="2">
        <v>201909</v>
      </c>
      <c r="B700" s="3">
        <v>43729</v>
      </c>
      <c r="C700" s="2" t="s">
        <v>2274</v>
      </c>
      <c r="D700" s="2" t="s">
        <v>183</v>
      </c>
      <c r="E700" s="2">
        <v>614.66999999999996</v>
      </c>
      <c r="F700" s="2" t="s">
        <v>9</v>
      </c>
      <c r="J700" s="2">
        <v>614.66999999999996</v>
      </c>
      <c r="K700" s="2" t="b">
        <v>0</v>
      </c>
      <c r="L700" s="2"/>
      <c r="M700" s="2"/>
      <c r="N700" s="4" t="s">
        <v>2259</v>
      </c>
      <c r="O700" s="4" t="str">
        <f>LEFT(Table2[[#This Row],[Description]],75)</f>
        <v>ATM T2F S3A/S DPT G47 Paris</v>
      </c>
      <c r="P700" s="2"/>
    </row>
    <row r="701" spans="1:16" hidden="1">
      <c r="A701" s="2">
        <v>202002</v>
      </c>
      <c r="B701" s="3">
        <v>43865</v>
      </c>
      <c r="C701" s="2" t="s">
        <v>2265</v>
      </c>
      <c r="D701" s="2" t="s">
        <v>260</v>
      </c>
      <c r="E701" s="2">
        <v>2914.59</v>
      </c>
      <c r="F701" s="2" t="s">
        <v>5</v>
      </c>
      <c r="J701" s="2">
        <v>2914.59</v>
      </c>
      <c r="K701" s="2" t="b">
        <v>0</v>
      </c>
      <c r="L701" s="2"/>
      <c r="M701" s="2"/>
      <c r="N701" s="4" t="s">
        <v>2259</v>
      </c>
      <c r="O701" s="4" t="str">
        <f>LEFT(Table2[[#This Row],[Description]],75)</f>
        <v>BCU MORTGAGE TYPE LOAN PAYMT ID 9DRAFTING CO BCU MORTGAGE ACH ECC WEB ACH T</v>
      </c>
      <c r="P701" s="2" t="s">
        <v>2345</v>
      </c>
    </row>
    <row r="702" spans="1:16" hidden="1">
      <c r="A702" s="2">
        <v>201909</v>
      </c>
      <c r="B702" s="3">
        <v>43730</v>
      </c>
      <c r="C702" s="2" t="s">
        <v>2262</v>
      </c>
      <c r="D702" s="2" t="s">
        <v>684</v>
      </c>
      <c r="E702" s="2">
        <v>107.05</v>
      </c>
      <c r="F702" s="2" t="s">
        <v>28</v>
      </c>
      <c r="J702" s="2">
        <v>107.05</v>
      </c>
      <c r="K702" s="2" t="b">
        <v>0</v>
      </c>
      <c r="L702" s="2"/>
      <c r="M702" s="2"/>
      <c r="N702" s="4" t="s">
        <v>2259</v>
      </c>
      <c r="O702" s="4" t="str">
        <f>LEFT(Table2[[#This Row],[Description]],75)</f>
        <v>Cub Foods</v>
      </c>
      <c r="P702" s="2"/>
    </row>
    <row r="703" spans="1:16" hidden="1">
      <c r="A703" s="2">
        <v>201909</v>
      </c>
      <c r="B703" s="3">
        <v>43730</v>
      </c>
      <c r="C703" s="2" t="s">
        <v>2262</v>
      </c>
      <c r="D703" s="2" t="s">
        <v>1181</v>
      </c>
      <c r="E703" s="2">
        <v>211.75</v>
      </c>
      <c r="F703" s="2" t="s">
        <v>9</v>
      </c>
      <c r="J703" s="2">
        <v>211.75</v>
      </c>
      <c r="K703" s="2" t="b">
        <v>0</v>
      </c>
      <c r="L703" s="2"/>
      <c r="M703" s="2"/>
      <c r="N703" s="4" t="s">
        <v>2259</v>
      </c>
      <c r="O703" s="4" t="str">
        <f>LEFT(Table2[[#This Row],[Description]],75)</f>
        <v>Marriott</v>
      </c>
      <c r="P703" s="2"/>
    </row>
    <row r="704" spans="1:16" hidden="1">
      <c r="A704" s="2">
        <v>201909</v>
      </c>
      <c r="B704" s="3">
        <v>43731</v>
      </c>
      <c r="C704" s="2" t="s">
        <v>2265</v>
      </c>
      <c r="D704" s="2" t="s">
        <v>557</v>
      </c>
      <c r="E704" s="2">
        <v>30.92</v>
      </c>
      <c r="F704" s="2" t="s">
        <v>7</v>
      </c>
      <c r="J704" s="2">
        <v>30.92</v>
      </c>
      <c r="K704" s="2" t="b">
        <v>0</v>
      </c>
      <c r="L704" s="2"/>
      <c r="M704" s="2"/>
      <c r="N704" s="4" t="s">
        <v>2259</v>
      </c>
      <c r="O704" s="4" t="str">
        <f>LEFT(Table2[[#This Row],[Description]],75)</f>
        <v>City of Chanhassen</v>
      </c>
      <c r="P704" s="2" t="s">
        <v>2298</v>
      </c>
    </row>
    <row r="705" spans="1:16" hidden="1">
      <c r="A705" s="2">
        <v>201909</v>
      </c>
      <c r="B705" s="3">
        <v>43731</v>
      </c>
      <c r="C705" s="2" t="s">
        <v>2267</v>
      </c>
      <c r="D705" s="2" t="s">
        <v>557</v>
      </c>
      <c r="E705" s="2">
        <v>30.92</v>
      </c>
      <c r="F705" s="2" t="s">
        <v>7</v>
      </c>
      <c r="J705" s="2">
        <v>30.92</v>
      </c>
      <c r="K705" s="2" t="b">
        <v>0</v>
      </c>
      <c r="L705" s="2"/>
      <c r="M705" s="2"/>
      <c r="N705" s="4" t="s">
        <v>2259</v>
      </c>
      <c r="O705" s="4" t="str">
        <f>LEFT(Table2[[#This Row],[Description]],75)</f>
        <v>City of Chanhassen</v>
      </c>
      <c r="P705" s="2"/>
    </row>
    <row r="706" spans="1:16" hidden="1">
      <c r="A706" s="2">
        <v>201909</v>
      </c>
      <c r="B706" s="3">
        <v>43731</v>
      </c>
      <c r="C706" s="2" t="s">
        <v>2274</v>
      </c>
      <c r="D706" s="2" t="s">
        <v>879</v>
      </c>
      <c r="E706" s="2">
        <v>-1000</v>
      </c>
      <c r="F706" s="2" t="s">
        <v>9</v>
      </c>
      <c r="J706" s="2">
        <v>1000</v>
      </c>
      <c r="K706" s="2" t="b">
        <v>0</v>
      </c>
      <c r="L706" s="2"/>
      <c r="M706" s="2"/>
      <c r="N706" s="2" t="s">
        <v>2264</v>
      </c>
      <c r="O706" s="2" t="str">
        <f>LEFT(Table2[[#This Row],[Description]],75)</f>
        <v>Funds Transfer from Brokerage -5308</v>
      </c>
      <c r="P706" s="2"/>
    </row>
    <row r="707" spans="1:16" hidden="1">
      <c r="A707" s="2">
        <v>202006</v>
      </c>
      <c r="B707" s="3">
        <v>43986</v>
      </c>
      <c r="C707" s="2" t="s">
        <v>2265</v>
      </c>
      <c r="D707" s="2" t="s">
        <v>261</v>
      </c>
      <c r="E707" s="2">
        <v>2914.59</v>
      </c>
      <c r="F707" s="2" t="e">
        <f>IF(Table2[[#This Row],[Manual Cat Value]]="",VLOOKUP(Table2[[#This Row],[Description]],'Actuals Lookup'!D:F,3,0),Table2[[#This Row],[Manual Cat Value]])</f>
        <v>#N/A</v>
      </c>
      <c r="J707" s="2">
        <v>2914.59</v>
      </c>
      <c r="K707" s="2" t="b">
        <v>0</v>
      </c>
      <c r="L707" s="2"/>
      <c r="M707" s="2"/>
      <c r="N707" s="4" t="s">
        <v>2259</v>
      </c>
      <c r="O707" s="4" t="str">
        <f>LEFT(Table2[[#This Row],[Description]],75)</f>
        <v>BCU MORTGAGE TYPE LOAN PAYMT ID 9DRAFTING CO BCU MORTGAGE ACH ECC WEB ACH T</v>
      </c>
      <c r="P707" s="2" t="s">
        <v>2345</v>
      </c>
    </row>
    <row r="708" spans="1:16" hidden="1">
      <c r="A708" s="2">
        <v>202001</v>
      </c>
      <c r="B708" s="3">
        <v>43836</v>
      </c>
      <c r="C708" s="2" t="s">
        <v>2265</v>
      </c>
      <c r="D708" s="2" t="s">
        <v>262</v>
      </c>
      <c r="E708" s="2">
        <v>2914.59</v>
      </c>
      <c r="F708" s="2" t="s">
        <v>5</v>
      </c>
      <c r="J708" s="2">
        <v>2914.59</v>
      </c>
      <c r="K708" s="2" t="b">
        <v>0</v>
      </c>
      <c r="L708" s="2"/>
      <c r="M708" s="2"/>
      <c r="N708" s="4" t="s">
        <v>2259</v>
      </c>
      <c r="O708" s="4" t="str">
        <f>LEFT(Table2[[#This Row],[Description]],75)</f>
        <v>BCU MORTGAGE TYPE LOAN PAYMT ID 9DRAFTING CO BCU MORTGAGE ACH ECC WEB ACH T</v>
      </c>
      <c r="P708" s="2" t="s">
        <v>2345</v>
      </c>
    </row>
    <row r="709" spans="1:16" hidden="1">
      <c r="A709" s="2">
        <v>201909</v>
      </c>
      <c r="B709" s="3">
        <v>43731</v>
      </c>
      <c r="C709" s="2" t="s">
        <v>2265</v>
      </c>
      <c r="D709" s="2" t="s">
        <v>1471</v>
      </c>
      <c r="E709" s="2">
        <v>14.99</v>
      </c>
      <c r="F709" s="2" t="s">
        <v>21</v>
      </c>
      <c r="J709" s="2">
        <v>14.99</v>
      </c>
      <c r="K709" s="2" t="b">
        <v>0</v>
      </c>
      <c r="L709" s="2"/>
      <c r="M709" s="2"/>
      <c r="N709" s="4" t="s">
        <v>2259</v>
      </c>
      <c r="O709" s="4" t="str">
        <f>LEFT(Table2[[#This Row],[Description]],75)</f>
        <v>PayPal</v>
      </c>
      <c r="P709" s="2" t="s">
        <v>2322</v>
      </c>
    </row>
    <row r="710" spans="1:16" hidden="1">
      <c r="A710" s="2">
        <v>201909</v>
      </c>
      <c r="B710" s="3">
        <v>43731</v>
      </c>
      <c r="C710" s="2" t="s">
        <v>2265</v>
      </c>
      <c r="D710" s="2" t="s">
        <v>1471</v>
      </c>
      <c r="E710" s="2">
        <v>176.85</v>
      </c>
      <c r="F710" s="2" t="s">
        <v>21</v>
      </c>
      <c r="J710" s="2">
        <v>176.85</v>
      </c>
      <c r="K710" s="2" t="b">
        <v>0</v>
      </c>
      <c r="L710" s="2"/>
      <c r="M710" s="2"/>
      <c r="N710" s="4" t="s">
        <v>2259</v>
      </c>
      <c r="O710" s="4" t="str">
        <f>LEFT(Table2[[#This Row],[Description]],75)</f>
        <v>PayPal</v>
      </c>
      <c r="P710" s="2" t="s">
        <v>2322</v>
      </c>
    </row>
    <row r="711" spans="1:16" hidden="1">
      <c r="A711" s="2">
        <v>201909</v>
      </c>
      <c r="B711" s="3">
        <v>43731</v>
      </c>
      <c r="C711" s="2" t="s">
        <v>2267</v>
      </c>
      <c r="D711" s="2" t="s">
        <v>1471</v>
      </c>
      <c r="E711" s="2">
        <v>14.99</v>
      </c>
      <c r="F711" s="2" t="s">
        <v>21</v>
      </c>
      <c r="J711" s="2">
        <v>14.99</v>
      </c>
      <c r="K711" s="2" t="b">
        <v>0</v>
      </c>
      <c r="L711" s="2"/>
      <c r="M711" s="2"/>
      <c r="N711" s="4" t="s">
        <v>2259</v>
      </c>
      <c r="O711" s="4" t="str">
        <f>LEFT(Table2[[#This Row],[Description]],75)</f>
        <v>PayPal</v>
      </c>
      <c r="P711" s="2"/>
    </row>
    <row r="712" spans="1:16" hidden="1">
      <c r="A712" s="2">
        <v>201909</v>
      </c>
      <c r="B712" s="3">
        <v>43731</v>
      </c>
      <c r="C712" s="2" t="s">
        <v>2267</v>
      </c>
      <c r="D712" s="2" t="s">
        <v>1471</v>
      </c>
      <c r="E712" s="2">
        <v>176.85</v>
      </c>
      <c r="F712" s="2" t="s">
        <v>21</v>
      </c>
      <c r="J712" s="2">
        <v>176.85</v>
      </c>
      <c r="K712" s="2" t="b">
        <v>0</v>
      </c>
      <c r="L712" s="2"/>
      <c r="M712" s="2"/>
      <c r="N712" s="4" t="s">
        <v>2259</v>
      </c>
      <c r="O712" s="4" t="str">
        <f>LEFT(Table2[[#This Row],[Description]],75)</f>
        <v>PayPal</v>
      </c>
      <c r="P712" s="2"/>
    </row>
    <row r="713" spans="1:16" hidden="1">
      <c r="A713" s="2">
        <v>201909</v>
      </c>
      <c r="B713" s="3">
        <v>43731</v>
      </c>
      <c r="C713" s="2" t="s">
        <v>64</v>
      </c>
      <c r="D713" s="2" t="s">
        <v>1950</v>
      </c>
      <c r="E713" s="2">
        <v>1000</v>
      </c>
      <c r="F713" s="2" t="s">
        <v>9</v>
      </c>
      <c r="J713" s="2">
        <v>1000</v>
      </c>
      <c r="K713" s="2" t="b">
        <v>0</v>
      </c>
      <c r="L713" s="2"/>
      <c r="M713" s="2"/>
      <c r="N713" s="4" t="s">
        <v>2259</v>
      </c>
      <c r="O713" s="4" t="str">
        <f>LEFT(Table2[[#This Row],[Description]],75)</f>
        <v>TRANSFER FUNDS TO SCHWAB BANK - 440020765184</v>
      </c>
      <c r="P713" s="2"/>
    </row>
    <row r="714" spans="1:16" hidden="1">
      <c r="A714" s="2">
        <v>201909</v>
      </c>
      <c r="B714" s="3">
        <v>43731</v>
      </c>
      <c r="C714" s="2" t="s">
        <v>2317</v>
      </c>
      <c r="D714" s="2" t="s">
        <v>1950</v>
      </c>
      <c r="E714" s="2">
        <v>1000</v>
      </c>
      <c r="F714" s="2" t="s">
        <v>9</v>
      </c>
      <c r="J714" s="2">
        <v>1000</v>
      </c>
      <c r="K714" s="2" t="b">
        <v>0</v>
      </c>
      <c r="L714" s="2"/>
      <c r="M714" s="2"/>
      <c r="N714" s="4" t="s">
        <v>2259</v>
      </c>
      <c r="O714" s="4" t="str">
        <f>LEFT(Table2[[#This Row],[Description]],75)</f>
        <v>TRANSFER FUNDS TO SCHWAB BANK - 440020765184</v>
      </c>
      <c r="P714" s="2"/>
    </row>
    <row r="715" spans="1:16" hidden="1">
      <c r="A715" s="2">
        <v>201909</v>
      </c>
      <c r="B715" s="3">
        <v>43732</v>
      </c>
      <c r="C715" s="2" t="s">
        <v>2258</v>
      </c>
      <c r="D715" s="2" t="s">
        <v>38</v>
      </c>
      <c r="E715" s="2">
        <v>19.059999999999999</v>
      </c>
      <c r="F715" s="2" t="s">
        <v>38</v>
      </c>
      <c r="J715" s="2">
        <v>19.059999999999999</v>
      </c>
      <c r="K715" s="2" t="b">
        <v>0</v>
      </c>
      <c r="L715" s="2"/>
      <c r="M715" s="2"/>
      <c r="N715" s="4" t="s">
        <v>2259</v>
      </c>
      <c r="O715" s="4" t="str">
        <f>LEFT(Table2[[#This Row],[Description]],75)</f>
        <v>Amazon</v>
      </c>
      <c r="P715" s="2" t="s">
        <v>2260</v>
      </c>
    </row>
    <row r="716" spans="1:16" hidden="1">
      <c r="A716" s="2">
        <v>201909</v>
      </c>
      <c r="B716" s="3">
        <v>43732</v>
      </c>
      <c r="C716" s="2" t="s">
        <v>2261</v>
      </c>
      <c r="D716" s="2" t="s">
        <v>38</v>
      </c>
      <c r="E716" s="2">
        <v>19.059999999999999</v>
      </c>
      <c r="F716" s="2" t="s">
        <v>38</v>
      </c>
      <c r="J716" s="2">
        <v>19.059999999999999</v>
      </c>
      <c r="K716" s="2" t="b">
        <v>0</v>
      </c>
      <c r="L716" s="2"/>
      <c r="M716" s="2"/>
      <c r="N716" s="4" t="s">
        <v>2259</v>
      </c>
      <c r="O716" s="4" t="str">
        <f>LEFT(Table2[[#This Row],[Description]],75)</f>
        <v>Amazon</v>
      </c>
      <c r="P716" s="2"/>
    </row>
    <row r="717" spans="1:16" hidden="1">
      <c r="A717" s="2">
        <v>201909</v>
      </c>
      <c r="B717" s="3">
        <v>43732</v>
      </c>
      <c r="C717" s="2" t="s">
        <v>2265</v>
      </c>
      <c r="D717" s="2" t="s">
        <v>521</v>
      </c>
      <c r="E717" s="2">
        <v>37</v>
      </c>
      <c r="F717" s="2">
        <v>0</v>
      </c>
      <c r="J717" s="2">
        <v>37</v>
      </c>
      <c r="K717" s="2" t="b">
        <v>0</v>
      </c>
      <c r="L717" s="2"/>
      <c r="M717" s="2"/>
      <c r="N717" s="4" t="s">
        <v>2259</v>
      </c>
      <c r="O717" s="4" t="str">
        <f>LEFT(Table2[[#This Row],[Description]],75)</f>
        <v>CHECK 2103 2103</v>
      </c>
      <c r="P717" s="2"/>
    </row>
    <row r="718" spans="1:16" hidden="1">
      <c r="A718" s="2">
        <v>201909</v>
      </c>
      <c r="B718" s="3">
        <v>43732</v>
      </c>
      <c r="C718" s="2" t="s">
        <v>2267</v>
      </c>
      <c r="D718" s="2" t="s">
        <v>521</v>
      </c>
      <c r="E718" s="2">
        <v>37</v>
      </c>
      <c r="F718" s="2" t="s">
        <v>40</v>
      </c>
      <c r="J718" s="2">
        <v>37</v>
      </c>
      <c r="K718" s="2" t="b">
        <v>0</v>
      </c>
      <c r="L718" s="2"/>
      <c r="M718" s="2"/>
      <c r="N718" s="4" t="s">
        <v>2259</v>
      </c>
      <c r="O718" s="4" t="str">
        <f>LEFT(Table2[[#This Row],[Description]],75)</f>
        <v>CHECK 2103 2103</v>
      </c>
      <c r="P718" s="2"/>
    </row>
    <row r="719" spans="1:16" hidden="1">
      <c r="A719" s="2">
        <v>201909</v>
      </c>
      <c r="B719" s="3">
        <v>43732</v>
      </c>
      <c r="C719" s="2" t="s">
        <v>2262</v>
      </c>
      <c r="D719" s="2" t="s">
        <v>548</v>
      </c>
      <c r="E719" s="2">
        <v>28.58</v>
      </c>
      <c r="F719" s="2" t="s">
        <v>9</v>
      </c>
      <c r="J719" s="2">
        <v>28.58</v>
      </c>
      <c r="K719" s="2" t="b">
        <v>0</v>
      </c>
      <c r="L719" s="2"/>
      <c r="M719" s="2"/>
      <c r="N719" s="4" t="s">
        <v>2259</v>
      </c>
      <c r="O719" s="4" t="str">
        <f>LEFT(Table2[[#This Row],[Description]],75)</f>
        <v>CHL 02 ABIDJAN CI 253249246</v>
      </c>
      <c r="P719" s="2"/>
    </row>
    <row r="720" spans="1:16" hidden="1">
      <c r="A720" s="2">
        <v>201909</v>
      </c>
      <c r="B720" s="3">
        <v>43732</v>
      </c>
      <c r="C720" s="2" t="s">
        <v>2262</v>
      </c>
      <c r="D720" s="2" t="s">
        <v>1753</v>
      </c>
      <c r="E720" s="2">
        <v>10</v>
      </c>
      <c r="F720" s="2" t="s">
        <v>48</v>
      </c>
      <c r="J720" s="2">
        <v>10</v>
      </c>
      <c r="K720" s="2" t="b">
        <v>0</v>
      </c>
      <c r="L720" s="2"/>
      <c r="M720" s="2"/>
      <c r="N720" s="4" t="s">
        <v>2259</v>
      </c>
      <c r="O720" s="4" t="str">
        <f>LEFT(Table2[[#This Row],[Description]],75)</f>
        <v>SQ SEEK EYE CARE P VICTORIA MN 253249245</v>
      </c>
      <c r="P720" s="2"/>
    </row>
    <row r="721" spans="1:16" hidden="1">
      <c r="A721" s="2">
        <v>201909</v>
      </c>
      <c r="B721" s="3">
        <v>43732</v>
      </c>
      <c r="C721" s="2" t="s">
        <v>2300</v>
      </c>
      <c r="D721" s="2" t="s">
        <v>1947</v>
      </c>
      <c r="E721" s="2">
        <v>-200</v>
      </c>
      <c r="F721" s="2" t="s">
        <v>9</v>
      </c>
      <c r="J721" s="2">
        <v>200</v>
      </c>
      <c r="K721" s="2" t="b">
        <v>0</v>
      </c>
      <c r="L721" s="2"/>
      <c r="M721" s="2"/>
      <c r="N721" s="4" t="s">
        <v>2273</v>
      </c>
      <c r="O721" s="4" t="str">
        <f>LEFT(Table2[[#This Row],[Description]],75)</f>
        <v>Transfer from POWERPLUS CHECKING</v>
      </c>
      <c r="P721" s="2" t="s">
        <v>2301</v>
      </c>
    </row>
    <row r="722" spans="1:16" hidden="1">
      <c r="A722" s="2">
        <v>201909</v>
      </c>
      <c r="B722" s="3">
        <v>43732</v>
      </c>
      <c r="C722" s="2" t="s">
        <v>2300</v>
      </c>
      <c r="D722" s="2" t="s">
        <v>1947</v>
      </c>
      <c r="E722" s="2">
        <v>-300</v>
      </c>
      <c r="F722" s="2" t="s">
        <v>9</v>
      </c>
      <c r="J722" s="2">
        <v>300</v>
      </c>
      <c r="K722" s="2" t="b">
        <v>0</v>
      </c>
      <c r="L722" s="2"/>
      <c r="M722" s="2"/>
      <c r="N722" s="4" t="s">
        <v>2273</v>
      </c>
      <c r="O722" s="4" t="str">
        <f>LEFT(Table2[[#This Row],[Description]],75)</f>
        <v>Transfer from POWERPLUS CHECKING</v>
      </c>
      <c r="P722" s="2" t="s">
        <v>2301</v>
      </c>
    </row>
    <row r="723" spans="1:16" hidden="1">
      <c r="A723" s="2">
        <v>201909</v>
      </c>
      <c r="B723" s="3">
        <v>43732</v>
      </c>
      <c r="C723" s="2" t="s">
        <v>2302</v>
      </c>
      <c r="D723" s="2" t="s">
        <v>1947</v>
      </c>
      <c r="E723" s="2">
        <v>-200</v>
      </c>
      <c r="F723" s="2" t="s">
        <v>9</v>
      </c>
      <c r="J723" s="2">
        <v>200</v>
      </c>
      <c r="K723" s="2" t="b">
        <v>0</v>
      </c>
      <c r="L723" s="2"/>
      <c r="M723" s="2"/>
      <c r="N723" s="2" t="s">
        <v>2264</v>
      </c>
      <c r="O723" s="2" t="str">
        <f>LEFT(Table2[[#This Row],[Description]],75)</f>
        <v>Transfer from POWERPLUS CHECKING</v>
      </c>
      <c r="P723" s="2"/>
    </row>
    <row r="724" spans="1:16" hidden="1">
      <c r="A724" s="2">
        <v>201909</v>
      </c>
      <c r="B724" s="3">
        <v>43732</v>
      </c>
      <c r="C724" s="2" t="s">
        <v>2302</v>
      </c>
      <c r="D724" s="2" t="s">
        <v>1947</v>
      </c>
      <c r="E724" s="2">
        <v>-300</v>
      </c>
      <c r="F724" s="2" t="s">
        <v>9</v>
      </c>
      <c r="J724" s="2">
        <v>300</v>
      </c>
      <c r="K724" s="2" t="b">
        <v>0</v>
      </c>
      <c r="L724" s="2"/>
      <c r="M724" s="2"/>
      <c r="N724" s="2" t="s">
        <v>2264</v>
      </c>
      <c r="O724" s="2" t="str">
        <f>LEFT(Table2[[#This Row],[Description]],75)</f>
        <v>Transfer from POWERPLUS CHECKING</v>
      </c>
      <c r="P724" s="2"/>
    </row>
    <row r="725" spans="1:16" hidden="1">
      <c r="A725" s="2">
        <v>201909</v>
      </c>
      <c r="B725" s="3">
        <v>43732</v>
      </c>
      <c r="C725" s="2" t="s">
        <v>2265</v>
      </c>
      <c r="D725" s="2" t="s">
        <v>1957</v>
      </c>
      <c r="E725" s="2">
        <v>200</v>
      </c>
      <c r="F725" s="2" t="s">
        <v>59</v>
      </c>
      <c r="J725" s="2">
        <v>200</v>
      </c>
      <c r="K725" s="2" t="b">
        <v>0</v>
      </c>
      <c r="L725" s="2"/>
      <c r="M725" s="2"/>
      <c r="N725" s="4" t="s">
        <v>2259</v>
      </c>
      <c r="O725" s="4" t="str">
        <f>LEFT(Table2[[#This Row],[Description]],75)</f>
        <v>Transfer to RAINY DAY SAVINGS</v>
      </c>
      <c r="P725" s="2" t="s">
        <v>2303</v>
      </c>
    </row>
    <row r="726" spans="1:16" hidden="1">
      <c r="A726" s="2">
        <v>201909</v>
      </c>
      <c r="B726" s="3">
        <v>43732</v>
      </c>
      <c r="C726" s="2" t="s">
        <v>2265</v>
      </c>
      <c r="D726" s="2" t="s">
        <v>1957</v>
      </c>
      <c r="E726" s="2">
        <v>300</v>
      </c>
      <c r="F726" s="2" t="s">
        <v>59</v>
      </c>
      <c r="J726" s="2">
        <v>300</v>
      </c>
      <c r="K726" s="2" t="b">
        <v>0</v>
      </c>
      <c r="L726" s="2"/>
      <c r="M726" s="2"/>
      <c r="N726" s="4" t="s">
        <v>2259</v>
      </c>
      <c r="O726" s="4" t="str">
        <f>LEFT(Table2[[#This Row],[Description]],75)</f>
        <v>Transfer to RAINY DAY SAVINGS</v>
      </c>
      <c r="P726" s="2" t="s">
        <v>2303</v>
      </c>
    </row>
    <row r="727" spans="1:16" hidden="1">
      <c r="A727" s="2">
        <v>201909</v>
      </c>
      <c r="B727" s="3">
        <v>43732</v>
      </c>
      <c r="C727" s="2" t="s">
        <v>2267</v>
      </c>
      <c r="D727" s="2" t="s">
        <v>1957</v>
      </c>
      <c r="E727" s="2">
        <v>200</v>
      </c>
      <c r="F727" s="2" t="s">
        <v>59</v>
      </c>
      <c r="J727" s="2">
        <v>200</v>
      </c>
      <c r="K727" s="2" t="b">
        <v>0</v>
      </c>
      <c r="L727" s="2"/>
      <c r="M727" s="2"/>
      <c r="N727" s="4" t="s">
        <v>2259</v>
      </c>
      <c r="O727" s="4" t="str">
        <f>LEFT(Table2[[#This Row],[Description]],75)</f>
        <v>Transfer to RAINY DAY SAVINGS</v>
      </c>
      <c r="P727" s="2"/>
    </row>
    <row r="728" spans="1:16" hidden="1">
      <c r="A728" s="2">
        <v>201909</v>
      </c>
      <c r="B728" s="3">
        <v>43732</v>
      </c>
      <c r="C728" s="2" t="s">
        <v>2267</v>
      </c>
      <c r="D728" s="2" t="s">
        <v>1957</v>
      </c>
      <c r="E728" s="2">
        <v>300</v>
      </c>
      <c r="F728" s="2" t="s">
        <v>59</v>
      </c>
      <c r="J728" s="2">
        <v>300</v>
      </c>
      <c r="K728" s="2" t="b">
        <v>0</v>
      </c>
      <c r="L728" s="2"/>
      <c r="M728" s="2"/>
      <c r="N728" s="4" t="s">
        <v>2259</v>
      </c>
      <c r="O728" s="4" t="str">
        <f>LEFT(Table2[[#This Row],[Description]],75)</f>
        <v>Transfer to RAINY DAY SAVINGS</v>
      </c>
      <c r="P728" s="2"/>
    </row>
    <row r="729" spans="1:16" hidden="1">
      <c r="A729" s="2">
        <v>201909</v>
      </c>
      <c r="B729" s="3">
        <v>43733</v>
      </c>
      <c r="C729" s="2" t="s">
        <v>2265</v>
      </c>
      <c r="D729" s="2" t="s">
        <v>471</v>
      </c>
      <c r="E729" s="2">
        <v>326.25</v>
      </c>
      <c r="F729" s="2" t="s">
        <v>20</v>
      </c>
      <c r="J729" s="2">
        <v>326.25</v>
      </c>
      <c r="K729" s="2" t="b">
        <v>0</v>
      </c>
      <c r="L729" s="2"/>
      <c r="M729" s="2"/>
      <c r="N729" s="4" t="s">
        <v>2259</v>
      </c>
      <c r="O729" s="4" t="str">
        <f>LEFT(Table2[[#This Row],[Description]],75)</f>
        <v>CCLC TYPE INTERNET ID CO CCLC ACH ECC WEB ACH Trace 39889 253216635</v>
      </c>
      <c r="P729" s="2" t="s">
        <v>2268</v>
      </c>
    </row>
    <row r="730" spans="1:16" hidden="1">
      <c r="A730" s="2">
        <v>201909</v>
      </c>
      <c r="B730" s="3">
        <v>43733</v>
      </c>
      <c r="C730" s="2" t="s">
        <v>2267</v>
      </c>
      <c r="D730" s="2" t="s">
        <v>471</v>
      </c>
      <c r="E730" s="2">
        <v>326.25</v>
      </c>
      <c r="F730" s="2" t="s">
        <v>20</v>
      </c>
      <c r="J730" s="2">
        <v>326.25</v>
      </c>
      <c r="K730" s="2" t="b">
        <v>0</v>
      </c>
      <c r="L730" s="2"/>
      <c r="M730" s="2"/>
      <c r="N730" s="4" t="s">
        <v>2259</v>
      </c>
      <c r="O730" s="4" t="str">
        <f>LEFT(Table2[[#This Row],[Description]],75)</f>
        <v>CCLC TYPE INTERNET ID CO CCLC ACH ECC WEB ACH Trace 39889 253216635</v>
      </c>
      <c r="P730" s="2"/>
    </row>
    <row r="731" spans="1:16" hidden="1">
      <c r="A731" s="2">
        <v>201909</v>
      </c>
      <c r="B731" s="3">
        <v>43733</v>
      </c>
      <c r="C731" s="2" t="s">
        <v>2262</v>
      </c>
      <c r="D731" s="2" t="s">
        <v>549</v>
      </c>
      <c r="E731" s="2">
        <v>489.09</v>
      </c>
      <c r="F731" s="2" t="s">
        <v>9</v>
      </c>
      <c r="J731" s="2">
        <v>489.09</v>
      </c>
      <c r="K731" s="2" t="b">
        <v>0</v>
      </c>
      <c r="L731" s="2"/>
      <c r="M731" s="2"/>
      <c r="N731" s="4" t="s">
        <v>2259</v>
      </c>
      <c r="O731" s="4" t="str">
        <f>LEFT(Table2[[#This Row],[Description]],75)</f>
        <v>CHL 02 ABIDJAN CI 253420903</v>
      </c>
      <c r="P731" s="2"/>
    </row>
    <row r="732" spans="1:16" hidden="1">
      <c r="A732" s="2">
        <v>201909</v>
      </c>
      <c r="B732" s="3">
        <v>43733</v>
      </c>
      <c r="C732" s="2" t="s">
        <v>64</v>
      </c>
      <c r="D732" s="2" t="s">
        <v>822</v>
      </c>
      <c r="E732" s="2">
        <v>-7.32</v>
      </c>
      <c r="F732" s="2" t="s">
        <v>69</v>
      </c>
      <c r="J732" s="2">
        <v>7.32</v>
      </c>
      <c r="K732" s="2" t="b">
        <v>0</v>
      </c>
      <c r="L732" s="2"/>
      <c r="M732" s="2"/>
      <c r="N732" s="2" t="s">
        <v>2264</v>
      </c>
      <c r="O732" s="2" t="str">
        <f>LEFT(Table2[[#This Row],[Description]],75)</f>
        <v>ETFMG ALTERNATIVE HARVEST ETF</v>
      </c>
      <c r="P732" s="2"/>
    </row>
    <row r="733" spans="1:16" hidden="1">
      <c r="A733" s="2">
        <v>201909</v>
      </c>
      <c r="B733" s="3">
        <v>43733</v>
      </c>
      <c r="C733" s="2" t="s">
        <v>2317</v>
      </c>
      <c r="D733" s="2" t="s">
        <v>822</v>
      </c>
      <c r="E733" s="2">
        <v>-7.32</v>
      </c>
      <c r="F733" s="2" t="s">
        <v>9</v>
      </c>
      <c r="J733" s="2">
        <v>7.32</v>
      </c>
      <c r="K733" s="2" t="b">
        <v>0</v>
      </c>
      <c r="L733" s="2"/>
      <c r="M733" s="2"/>
      <c r="N733" s="2" t="s">
        <v>2264</v>
      </c>
      <c r="O733" s="2" t="str">
        <f>LEFT(Table2[[#This Row],[Description]],75)</f>
        <v>ETFMG ALTERNATIVE HARVEST ETF</v>
      </c>
      <c r="P733" s="2"/>
    </row>
    <row r="734" spans="1:16" hidden="1">
      <c r="A734" s="2">
        <v>201909</v>
      </c>
      <c r="B734" s="3">
        <v>43733</v>
      </c>
      <c r="C734" s="2" t="s">
        <v>64</v>
      </c>
      <c r="D734" s="2" t="s">
        <v>913</v>
      </c>
      <c r="E734" s="2">
        <v>-0.04</v>
      </c>
      <c r="F734" s="2" t="s">
        <v>69</v>
      </c>
      <c r="J734" s="2">
        <v>0.04</v>
      </c>
      <c r="K734" s="2" t="b">
        <v>0</v>
      </c>
      <c r="L734" s="2"/>
      <c r="M734" s="2"/>
      <c r="N734" s="2" t="s">
        <v>2264</v>
      </c>
      <c r="O734" s="2" t="str">
        <f>LEFT(Table2[[#This Row],[Description]],75)</f>
        <v>HALLIBURTON CO HLDG</v>
      </c>
      <c r="P734" s="2"/>
    </row>
    <row r="735" spans="1:16" hidden="1">
      <c r="A735" s="2">
        <v>201909</v>
      </c>
      <c r="B735" s="3">
        <v>43733</v>
      </c>
      <c r="C735" s="2" t="s">
        <v>2317</v>
      </c>
      <c r="D735" s="2" t="s">
        <v>913</v>
      </c>
      <c r="E735" s="2">
        <v>-0.04</v>
      </c>
      <c r="F735" s="2" t="s">
        <v>9</v>
      </c>
      <c r="J735" s="2">
        <v>0.04</v>
      </c>
      <c r="K735" s="2" t="b">
        <v>0</v>
      </c>
      <c r="L735" s="2"/>
      <c r="M735" s="2"/>
      <c r="N735" s="2" t="s">
        <v>2264</v>
      </c>
      <c r="O735" s="2" t="str">
        <f>LEFT(Table2[[#This Row],[Description]],75)</f>
        <v>HALLIBURTON CO HLDG</v>
      </c>
      <c r="P735" s="2"/>
    </row>
    <row r="736" spans="1:16" hidden="1">
      <c r="A736" s="2">
        <v>201909</v>
      </c>
      <c r="B736" s="3">
        <v>43734</v>
      </c>
      <c r="C736" s="2" t="s">
        <v>64</v>
      </c>
      <c r="D736" s="2" t="s">
        <v>822</v>
      </c>
      <c r="E736" s="2">
        <v>7.32</v>
      </c>
      <c r="F736" s="2" t="s">
        <v>69</v>
      </c>
      <c r="J736" s="2">
        <v>7.32</v>
      </c>
      <c r="K736" s="2" t="b">
        <v>0</v>
      </c>
      <c r="L736" s="2"/>
      <c r="M736" s="2"/>
      <c r="N736" s="4" t="s">
        <v>2259</v>
      </c>
      <c r="O736" s="4" t="str">
        <f>LEFT(Table2[[#This Row],[Description]],75)</f>
        <v>ETFMG ALTERNATIVE HARVEST ETF</v>
      </c>
      <c r="P736" s="2"/>
    </row>
    <row r="737" spans="1:16" hidden="1">
      <c r="A737" s="2">
        <v>201909</v>
      </c>
      <c r="B737" s="3">
        <v>43734</v>
      </c>
      <c r="C737" s="2" t="s">
        <v>2317</v>
      </c>
      <c r="D737" s="2" t="s">
        <v>822</v>
      </c>
      <c r="E737" s="2">
        <v>7.32</v>
      </c>
      <c r="F737" s="2" t="s">
        <v>9</v>
      </c>
      <c r="J737" s="2">
        <v>7.32</v>
      </c>
      <c r="K737" s="2" t="b">
        <v>0</v>
      </c>
      <c r="L737" s="2"/>
      <c r="M737" s="2"/>
      <c r="N737" s="4" t="s">
        <v>2259</v>
      </c>
      <c r="O737" s="4" t="str">
        <f>LEFT(Table2[[#This Row],[Description]],75)</f>
        <v>ETFMG ALTERNATIVE HARVEST ETF</v>
      </c>
      <c r="P737" s="2"/>
    </row>
    <row r="738" spans="1:16" hidden="1">
      <c r="A738" s="2">
        <v>201909</v>
      </c>
      <c r="B738" s="3">
        <v>43734</v>
      </c>
      <c r="C738" s="2" t="s">
        <v>64</v>
      </c>
      <c r="D738" s="2" t="s">
        <v>913</v>
      </c>
      <c r="E738" s="2">
        <v>0.04</v>
      </c>
      <c r="F738" s="2" t="s">
        <v>69</v>
      </c>
      <c r="J738" s="2">
        <v>0.04</v>
      </c>
      <c r="K738" s="2" t="b">
        <v>0</v>
      </c>
      <c r="L738" s="2"/>
      <c r="M738" s="2"/>
      <c r="N738" s="4" t="s">
        <v>2259</v>
      </c>
      <c r="O738" s="4" t="str">
        <f>LEFT(Table2[[#This Row],[Description]],75)</f>
        <v>HALLIBURTON CO HLDG</v>
      </c>
      <c r="P738" s="2"/>
    </row>
    <row r="739" spans="1:16" hidden="1">
      <c r="A739" s="2">
        <v>201909</v>
      </c>
      <c r="B739" s="3">
        <v>43734</v>
      </c>
      <c r="C739" s="2" t="s">
        <v>2317</v>
      </c>
      <c r="D739" s="2" t="s">
        <v>913</v>
      </c>
      <c r="E739" s="2">
        <v>0.04</v>
      </c>
      <c r="F739" s="2" t="s">
        <v>9</v>
      </c>
      <c r="J739" s="2">
        <v>0.04</v>
      </c>
      <c r="K739" s="2" t="b">
        <v>0</v>
      </c>
      <c r="L739" s="2"/>
      <c r="M739" s="2"/>
      <c r="N739" s="4" t="s">
        <v>2259</v>
      </c>
      <c r="O739" s="4" t="str">
        <f>LEFT(Table2[[#This Row],[Description]],75)</f>
        <v>HALLIBURTON CO HLDG</v>
      </c>
      <c r="P739" s="2"/>
    </row>
    <row r="740" spans="1:16" hidden="1">
      <c r="A740" s="2">
        <v>201909</v>
      </c>
      <c r="B740" s="3">
        <v>43734</v>
      </c>
      <c r="C740" s="2" t="s">
        <v>2258</v>
      </c>
      <c r="D740" s="2" t="s">
        <v>1350</v>
      </c>
      <c r="E740" s="2">
        <v>12.99</v>
      </c>
      <c r="F740" s="2" t="s">
        <v>7</v>
      </c>
      <c r="J740" s="2">
        <v>12.99</v>
      </c>
      <c r="K740" s="2" t="b">
        <v>0</v>
      </c>
      <c r="L740" s="2"/>
      <c r="M740" s="2"/>
      <c r="N740" s="4" t="s">
        <v>2259</v>
      </c>
      <c r="O740" s="4" t="str">
        <f>LEFT(Table2[[#This Row],[Description]],75)</f>
        <v>Netflix</v>
      </c>
      <c r="P740" s="2" t="s">
        <v>2306</v>
      </c>
    </row>
    <row r="741" spans="1:16" hidden="1">
      <c r="A741" s="2">
        <v>201909</v>
      </c>
      <c r="B741" s="3">
        <v>43734</v>
      </c>
      <c r="C741" s="2" t="s">
        <v>2261</v>
      </c>
      <c r="D741" s="2" t="s">
        <v>1350</v>
      </c>
      <c r="E741" s="2">
        <v>12.99</v>
      </c>
      <c r="F741" s="2" t="s">
        <v>7</v>
      </c>
      <c r="J741" s="2">
        <v>12.99</v>
      </c>
      <c r="K741" s="2" t="b">
        <v>0</v>
      </c>
      <c r="L741" s="2"/>
      <c r="M741" s="2"/>
      <c r="N741" s="4" t="s">
        <v>2259</v>
      </c>
      <c r="O741" s="4" t="str">
        <f>LEFT(Table2[[#This Row],[Description]],75)</f>
        <v>Netflix</v>
      </c>
      <c r="P741" s="2"/>
    </row>
    <row r="742" spans="1:16" hidden="1">
      <c r="A742" s="2">
        <v>201909</v>
      </c>
      <c r="B742" s="3">
        <v>43734</v>
      </c>
      <c r="C742" s="2" t="s">
        <v>2262</v>
      </c>
      <c r="D742" s="2" t="s">
        <v>1947</v>
      </c>
      <c r="E742" s="2">
        <v>-1121.22</v>
      </c>
      <c r="F742" s="2" t="s">
        <v>9</v>
      </c>
      <c r="J742" s="2">
        <v>1121.22</v>
      </c>
      <c r="K742" s="2" t="b">
        <v>0</v>
      </c>
      <c r="L742" s="2"/>
      <c r="M742" s="2"/>
      <c r="N742" s="2" t="s">
        <v>2264</v>
      </c>
      <c r="O742" s="2" t="str">
        <f>LEFT(Table2[[#This Row],[Description]],75)</f>
        <v>Transfer from POWERPLUS CHECKING</v>
      </c>
      <c r="P742" s="2"/>
    </row>
    <row r="743" spans="1:16" hidden="1">
      <c r="A743" s="2">
        <v>201909</v>
      </c>
      <c r="B743" s="3">
        <v>43734</v>
      </c>
      <c r="C743" s="2" t="s">
        <v>2265</v>
      </c>
      <c r="D743" s="2" t="s">
        <v>1951</v>
      </c>
      <c r="E743" s="2">
        <v>1121.22</v>
      </c>
      <c r="F743" s="2" t="s">
        <v>9</v>
      </c>
      <c r="J743" s="2">
        <v>1121.22</v>
      </c>
      <c r="K743" s="2" t="b">
        <v>0</v>
      </c>
      <c r="L743" s="2"/>
      <c r="M743" s="2"/>
      <c r="N743" s="4" t="s">
        <v>2259</v>
      </c>
      <c r="O743" s="4" t="str">
        <f>LEFT(Table2[[#This Row],[Description]],75)</f>
        <v>Transfer to Cash Rewards Visa Signature</v>
      </c>
      <c r="P743" s="2" t="s">
        <v>2266</v>
      </c>
    </row>
    <row r="744" spans="1:16" hidden="1">
      <c r="A744" s="2">
        <v>201909</v>
      </c>
      <c r="B744" s="3">
        <v>43734</v>
      </c>
      <c r="C744" s="2" t="s">
        <v>2267</v>
      </c>
      <c r="D744" s="2" t="s">
        <v>1951</v>
      </c>
      <c r="E744" s="2">
        <v>1121.22</v>
      </c>
      <c r="F744" s="2" t="s">
        <v>9</v>
      </c>
      <c r="J744" s="2">
        <v>1121.22</v>
      </c>
      <c r="K744" s="2" t="b">
        <v>0</v>
      </c>
      <c r="L744" s="2"/>
      <c r="M744" s="2"/>
      <c r="N744" s="4" t="s">
        <v>2259</v>
      </c>
      <c r="O744" s="4" t="str">
        <f>LEFT(Table2[[#This Row],[Description]],75)</f>
        <v>Transfer to Cash Rewards Visa Signature</v>
      </c>
      <c r="P744" s="2"/>
    </row>
    <row r="745" spans="1:16" hidden="1">
      <c r="A745" s="2">
        <v>201909</v>
      </c>
      <c r="B745" s="3">
        <v>43734</v>
      </c>
      <c r="C745" s="2" t="s">
        <v>2265</v>
      </c>
      <c r="D745" s="2" t="s">
        <v>2072</v>
      </c>
      <c r="E745" s="2">
        <v>-176.85</v>
      </c>
      <c r="F745" s="2" t="s">
        <v>21</v>
      </c>
      <c r="J745" s="2">
        <v>176.85</v>
      </c>
      <c r="K745" s="2" t="b">
        <v>0</v>
      </c>
      <c r="L745" s="2"/>
      <c r="M745" s="2"/>
      <c r="N745" s="4" t="s">
        <v>2273</v>
      </c>
      <c r="O745" s="4" t="str">
        <f>LEFT(Table2[[#This Row],[Description]],75)</f>
        <v>TYPE TRANSFER ID PAYPALSD11 CO PAYPAL ACH ECC PPD ACH Trace 34075 253658499</v>
      </c>
      <c r="P745" s="2" t="s">
        <v>2322</v>
      </c>
    </row>
    <row r="746" spans="1:16" hidden="1">
      <c r="A746" s="2">
        <v>201909</v>
      </c>
      <c r="B746" s="3">
        <v>43734</v>
      </c>
      <c r="C746" s="2" t="s">
        <v>2267</v>
      </c>
      <c r="D746" s="2" t="s">
        <v>2072</v>
      </c>
      <c r="E746" s="2">
        <v>-176.85</v>
      </c>
      <c r="F746" s="2" t="s">
        <v>21</v>
      </c>
      <c r="J746" s="2">
        <v>176.85</v>
      </c>
      <c r="K746" s="2" t="b">
        <v>0</v>
      </c>
      <c r="L746" s="2"/>
      <c r="M746" s="2"/>
      <c r="N746" s="2" t="s">
        <v>2264</v>
      </c>
      <c r="O746" s="2" t="str">
        <f>LEFT(Table2[[#This Row],[Description]],75)</f>
        <v>TYPE TRANSFER ID PAYPALSD11 CO PAYPAL ACH ECC PPD ACH Trace 34075 253658499</v>
      </c>
      <c r="P746" s="2"/>
    </row>
    <row r="747" spans="1:16" hidden="1">
      <c r="A747" s="2">
        <v>201909</v>
      </c>
      <c r="B747" s="3">
        <v>43735</v>
      </c>
      <c r="C747" s="2" t="s">
        <v>2262</v>
      </c>
      <c r="D747" s="2" t="s">
        <v>104</v>
      </c>
      <c r="E747" s="2">
        <v>19.23</v>
      </c>
      <c r="F747" s="2" t="s">
        <v>9</v>
      </c>
      <c r="J747" s="2">
        <v>19.23</v>
      </c>
      <c r="K747" s="2" t="b">
        <v>0</v>
      </c>
      <c r="L747" s="2"/>
      <c r="M747" s="2"/>
      <c r="N747" s="4" t="s">
        <v>2259</v>
      </c>
      <c r="O747" s="4" t="str">
        <f>LEFT(Table2[[#This Row],[Description]],75)</f>
        <v>AIR LOUNGE 2 ABIDJAN CI 253898718</v>
      </c>
      <c r="P747" s="2"/>
    </row>
    <row r="748" spans="1:16" hidden="1">
      <c r="A748" s="2">
        <v>201909</v>
      </c>
      <c r="B748" s="3">
        <v>43735</v>
      </c>
      <c r="C748" s="2" t="s">
        <v>2262</v>
      </c>
      <c r="D748" s="2" t="s">
        <v>723</v>
      </c>
      <c r="E748" s="2">
        <v>182.54</v>
      </c>
      <c r="F748" s="2" t="s">
        <v>2</v>
      </c>
      <c r="J748" s="2">
        <v>182.54</v>
      </c>
      <c r="K748" s="2" t="b">
        <v>0</v>
      </c>
      <c r="L748" s="2"/>
      <c r="M748" s="2"/>
      <c r="N748" s="4" t="s">
        <v>2259</v>
      </c>
      <c r="O748" s="4" t="str">
        <f>LEFT(Table2[[#This Row],[Description]],75)</f>
        <v>Details</v>
      </c>
      <c r="P748" s="2"/>
    </row>
    <row r="749" spans="1:16" hidden="1">
      <c r="A749" s="2">
        <v>201909</v>
      </c>
      <c r="B749" s="3">
        <v>43735</v>
      </c>
      <c r="C749" s="2" t="s">
        <v>2262</v>
      </c>
      <c r="D749" s="2" t="s">
        <v>1019</v>
      </c>
      <c r="E749" s="2">
        <v>37</v>
      </c>
      <c r="F749" s="2" t="s">
        <v>26</v>
      </c>
      <c r="J749" s="2">
        <v>37</v>
      </c>
      <c r="K749" s="2" t="b">
        <v>0</v>
      </c>
      <c r="L749" s="2"/>
      <c r="M749" s="2"/>
      <c r="N749" s="4" t="s">
        <v>2259</v>
      </c>
      <c r="O749" s="4" t="str">
        <f>LEFT(Table2[[#This Row],[Description]],75)</f>
        <v>Joey Novas Pizzeria Deli</v>
      </c>
      <c r="P749" s="2"/>
    </row>
    <row r="750" spans="1:16" hidden="1">
      <c r="A750" s="2">
        <v>201909</v>
      </c>
      <c r="B750" s="3">
        <v>43735</v>
      </c>
      <c r="C750" s="2" t="s">
        <v>2262</v>
      </c>
      <c r="D750" s="2" t="s">
        <v>1090</v>
      </c>
      <c r="E750" s="2">
        <v>35.56</v>
      </c>
      <c r="F750" s="2" t="s">
        <v>9</v>
      </c>
      <c r="J750" s="2">
        <v>35.56</v>
      </c>
      <c r="K750" s="2" t="b">
        <v>0</v>
      </c>
      <c r="L750" s="2"/>
      <c r="M750" s="2"/>
      <c r="N750" s="4" t="s">
        <v>2259</v>
      </c>
      <c r="O750" s="4" t="str">
        <f>LEFT(Table2[[#This Row],[Description]],75)</f>
        <v>LADUREE B84 LE MESNIL AMEFR 253898719</v>
      </c>
      <c r="P750" s="2"/>
    </row>
    <row r="751" spans="1:16" hidden="1">
      <c r="A751" s="2">
        <v>201909</v>
      </c>
      <c r="B751" s="3">
        <v>43735</v>
      </c>
      <c r="C751" s="2" t="s">
        <v>2258</v>
      </c>
      <c r="D751" s="2" t="s">
        <v>1124</v>
      </c>
      <c r="E751" s="2">
        <v>41.84</v>
      </c>
      <c r="F751" s="2" t="s">
        <v>26</v>
      </c>
      <c r="J751" s="2">
        <v>41.84</v>
      </c>
      <c r="K751" s="2" t="b">
        <v>0</v>
      </c>
      <c r="L751" s="2"/>
      <c r="M751" s="2"/>
      <c r="N751" s="4" t="s">
        <v>2259</v>
      </c>
      <c r="O751" s="4" t="str">
        <f>LEFT(Table2[[#This Row],[Description]],75)</f>
        <v>LIONS TAP EDEN PRAIRIE MN</v>
      </c>
      <c r="P751" s="2" t="s">
        <v>2344</v>
      </c>
    </row>
    <row r="752" spans="1:16" hidden="1">
      <c r="A752" s="2">
        <v>201909</v>
      </c>
      <c r="B752" s="3">
        <v>43735</v>
      </c>
      <c r="C752" s="2" t="s">
        <v>2261</v>
      </c>
      <c r="D752" s="2" t="s">
        <v>1124</v>
      </c>
      <c r="E752" s="2">
        <v>41.84</v>
      </c>
      <c r="F752" s="2" t="s">
        <v>26</v>
      </c>
      <c r="J752" s="2">
        <v>41.84</v>
      </c>
      <c r="K752" s="2" t="b">
        <v>0</v>
      </c>
      <c r="L752" s="2"/>
      <c r="M752" s="2"/>
      <c r="N752" s="4" t="s">
        <v>2259</v>
      </c>
      <c r="O752" s="4" t="str">
        <f>LEFT(Table2[[#This Row],[Description]],75)</f>
        <v>LIONS TAP EDEN PRAIRIE MN</v>
      </c>
      <c r="P752" s="2"/>
    </row>
    <row r="753" spans="1:16" hidden="1">
      <c r="A753" s="2">
        <v>201909</v>
      </c>
      <c r="B753" s="3">
        <v>43735</v>
      </c>
      <c r="C753" s="2" t="s">
        <v>64</v>
      </c>
      <c r="D753" s="2" t="s">
        <v>1642</v>
      </c>
      <c r="E753" s="2">
        <v>-1.95</v>
      </c>
      <c r="F753" s="2" t="s">
        <v>16</v>
      </c>
      <c r="J753" s="2">
        <v>1.95</v>
      </c>
      <c r="K753" s="2" t="b">
        <v>0</v>
      </c>
      <c r="L753" s="2"/>
      <c r="M753" s="2"/>
      <c r="N753" s="2" t="s">
        <v>2264</v>
      </c>
      <c r="O753" s="2" t="str">
        <f>LEFT(Table2[[#This Row],[Description]],75)</f>
        <v>SCHWAB1 INT 08/29-09/26</v>
      </c>
      <c r="P753" s="2"/>
    </row>
    <row r="754" spans="1:16" hidden="1">
      <c r="A754" s="2">
        <v>201909</v>
      </c>
      <c r="B754" s="3">
        <v>43735</v>
      </c>
      <c r="C754" s="2" t="s">
        <v>2317</v>
      </c>
      <c r="D754" s="2" t="s">
        <v>1642</v>
      </c>
      <c r="E754" s="2">
        <v>-1.95</v>
      </c>
      <c r="F754" s="2" t="s">
        <v>9</v>
      </c>
      <c r="J754" s="2">
        <v>1.95</v>
      </c>
      <c r="K754" s="2" t="b">
        <v>0</v>
      </c>
      <c r="L754" s="2"/>
      <c r="M754" s="2"/>
      <c r="N754" s="2" t="s">
        <v>2264</v>
      </c>
      <c r="O754" s="2" t="str">
        <f>LEFT(Table2[[#This Row],[Description]],75)</f>
        <v>SCHWAB1 INT 08/29-09/26</v>
      </c>
      <c r="P754" s="2"/>
    </row>
    <row r="755" spans="1:16" hidden="1">
      <c r="A755" s="2">
        <v>201909</v>
      </c>
      <c r="B755" s="3">
        <v>43736</v>
      </c>
      <c r="C755" s="2" t="s">
        <v>2258</v>
      </c>
      <c r="D755" s="2" t="s">
        <v>805</v>
      </c>
      <c r="E755" s="2">
        <v>59.72</v>
      </c>
      <c r="F755" s="2" t="s">
        <v>26</v>
      </c>
      <c r="J755" s="2">
        <v>59.72</v>
      </c>
      <c r="K755" s="2" t="b">
        <v>0</v>
      </c>
      <c r="L755" s="2"/>
      <c r="M755" s="2"/>
      <c r="N755" s="4" t="s">
        <v>2259</v>
      </c>
      <c r="O755" s="4" t="str">
        <f>LEFT(Table2[[#This Row],[Description]],75)</f>
        <v>El Loro</v>
      </c>
      <c r="P755" s="2" t="s">
        <v>2348</v>
      </c>
    </row>
    <row r="756" spans="1:16" hidden="1">
      <c r="A756" s="2">
        <v>201909</v>
      </c>
      <c r="B756" s="3">
        <v>43736</v>
      </c>
      <c r="C756" s="2" t="s">
        <v>2261</v>
      </c>
      <c r="D756" s="2" t="s">
        <v>805</v>
      </c>
      <c r="E756" s="2">
        <v>59.72</v>
      </c>
      <c r="F756" s="2" t="s">
        <v>26</v>
      </c>
      <c r="J756" s="2">
        <v>59.72</v>
      </c>
      <c r="K756" s="2" t="b">
        <v>0</v>
      </c>
      <c r="L756" s="2"/>
      <c r="M756" s="2"/>
      <c r="N756" s="4" t="s">
        <v>2259</v>
      </c>
      <c r="O756" s="4" t="str">
        <f>LEFT(Table2[[#This Row],[Description]],75)</f>
        <v>El Loro</v>
      </c>
      <c r="P756" s="2"/>
    </row>
    <row r="757" spans="1:16" hidden="1">
      <c r="A757" s="2">
        <v>201909</v>
      </c>
      <c r="B757" s="3">
        <v>43737</v>
      </c>
      <c r="C757" s="2" t="s">
        <v>2262</v>
      </c>
      <c r="D757" s="2" t="s">
        <v>702</v>
      </c>
      <c r="E757" s="2">
        <v>11.2</v>
      </c>
      <c r="F757" s="2" t="s">
        <v>43</v>
      </c>
      <c r="J757" s="2">
        <v>11.2</v>
      </c>
      <c r="K757" s="2" t="b">
        <v>0</v>
      </c>
      <c r="L757" s="2"/>
      <c r="M757" s="2"/>
      <c r="N757" s="4" t="s">
        <v>2259</v>
      </c>
      <c r="O757" s="4" t="str">
        <f>LEFT(Table2[[#This Row],[Description]],75)</f>
        <v>Delta</v>
      </c>
      <c r="P757" s="2"/>
    </row>
    <row r="758" spans="1:16" hidden="1">
      <c r="A758" s="2">
        <v>201909</v>
      </c>
      <c r="B758" s="3">
        <v>43737</v>
      </c>
      <c r="C758" s="2" t="s">
        <v>2262</v>
      </c>
      <c r="D758" s="2" t="s">
        <v>1012</v>
      </c>
      <c r="E758" s="2">
        <v>102.81</v>
      </c>
      <c r="F758" s="2" t="s">
        <v>28</v>
      </c>
      <c r="J758" s="2">
        <v>102.81</v>
      </c>
      <c r="K758" s="2" t="b">
        <v>0</v>
      </c>
      <c r="L758" s="2"/>
      <c r="M758" s="2"/>
      <c r="N758" s="4" t="s">
        <v>2259</v>
      </c>
      <c r="O758" s="4" t="str">
        <f>LEFT(Table2[[#This Row],[Description]],75)</f>
        <v>JERRYS FOODS EP EDEN PRAIRIE MN 254261429</v>
      </c>
      <c r="P758" s="2"/>
    </row>
    <row r="759" spans="1:16" hidden="1">
      <c r="A759" s="2">
        <v>201909</v>
      </c>
      <c r="B759" s="3">
        <v>43737</v>
      </c>
      <c r="C759" s="2" t="s">
        <v>2265</v>
      </c>
      <c r="D759" s="2" t="s">
        <v>1065</v>
      </c>
      <c r="E759" s="2">
        <v>-2583.69</v>
      </c>
      <c r="F759" s="2" t="s">
        <v>63</v>
      </c>
      <c r="J759" s="2">
        <v>2583.69</v>
      </c>
      <c r="K759" s="2" t="b">
        <v>0</v>
      </c>
      <c r="L759" s="2"/>
      <c r="M759" s="2"/>
      <c r="N759" s="4" t="s">
        <v>2273</v>
      </c>
      <c r="O759" s="4" t="str">
        <f>LEFT(Table2[[#This Row],[Description]],75)</f>
        <v>KAUFMAN HALL TYPE DIRECT DEP ID CO KAUFMAN HALL ACH ECC PPD ACH Trace 99822</v>
      </c>
      <c r="P759" s="2" t="s">
        <v>2285</v>
      </c>
    </row>
    <row r="760" spans="1:16" hidden="1">
      <c r="A760" s="2">
        <v>201909</v>
      </c>
      <c r="B760" s="3">
        <v>43737</v>
      </c>
      <c r="C760" s="2" t="s">
        <v>2267</v>
      </c>
      <c r="D760" s="2" t="s">
        <v>1065</v>
      </c>
      <c r="E760" s="2">
        <v>-2583.69</v>
      </c>
      <c r="F760" s="2" t="s">
        <v>63</v>
      </c>
      <c r="J760" s="2">
        <v>2583.69</v>
      </c>
      <c r="K760" s="2" t="b">
        <v>0</v>
      </c>
      <c r="L760" s="2"/>
      <c r="M760" s="2"/>
      <c r="N760" s="2" t="s">
        <v>2264</v>
      </c>
      <c r="O760" s="2" t="str">
        <f>LEFT(Table2[[#This Row],[Description]],75)</f>
        <v>KAUFMAN HALL TYPE DIRECT DEP ID CO KAUFMAN HALL ACH ECC PPD ACH Trace 99822</v>
      </c>
      <c r="P760" s="2"/>
    </row>
    <row r="761" spans="1:16" hidden="1">
      <c r="A761" s="2">
        <v>201909</v>
      </c>
      <c r="B761" s="3">
        <v>43737</v>
      </c>
      <c r="C761" s="2" t="s">
        <v>2262</v>
      </c>
      <c r="D761" s="2" t="s">
        <v>1542</v>
      </c>
      <c r="E761" s="2">
        <v>48.97</v>
      </c>
      <c r="F761" s="2" t="s">
        <v>21</v>
      </c>
      <c r="J761" s="2">
        <v>48.97</v>
      </c>
      <c r="K761" s="2" t="b">
        <v>0</v>
      </c>
      <c r="L761" s="2"/>
      <c r="M761" s="2"/>
      <c r="N761" s="4" t="s">
        <v>2259</v>
      </c>
      <c r="O761" s="4" t="str">
        <f>LEFT(Table2[[#This Row],[Description]],75)</f>
        <v>Rally House 8006455409 KS 254261431</v>
      </c>
      <c r="P761" s="2"/>
    </row>
    <row r="762" spans="1:16" hidden="1">
      <c r="A762" s="2">
        <v>201909</v>
      </c>
      <c r="B762" s="3">
        <v>43738</v>
      </c>
      <c r="C762" s="2" t="s">
        <v>2262</v>
      </c>
      <c r="D762" s="2" t="s">
        <v>1424</v>
      </c>
      <c r="E762" s="2">
        <v>-437.31</v>
      </c>
      <c r="F762" s="2" t="s">
        <v>9</v>
      </c>
      <c r="J762" s="2">
        <v>437.31</v>
      </c>
      <c r="K762" s="2" t="b">
        <v>0</v>
      </c>
      <c r="L762" s="2"/>
      <c r="M762" s="2"/>
      <c r="N762" s="2" t="s">
        <v>2264</v>
      </c>
      <c r="O762" s="2" t="str">
        <f>LEFT(Table2[[#This Row],[Description]],75)</f>
        <v>PAYMENT THANK YOU 254969613</v>
      </c>
      <c r="P762" s="2"/>
    </row>
    <row r="763" spans="1:16" hidden="1">
      <c r="A763" s="2">
        <v>201909</v>
      </c>
      <c r="B763" s="3">
        <v>43738</v>
      </c>
      <c r="C763" s="2" t="s">
        <v>2265</v>
      </c>
      <c r="D763" s="2" t="s">
        <v>2169</v>
      </c>
      <c r="E763" s="2">
        <v>437.31</v>
      </c>
      <c r="F763" s="2" t="s">
        <v>9</v>
      </c>
      <c r="J763" s="2">
        <v>437.31</v>
      </c>
      <c r="K763" s="2" t="b">
        <v>0</v>
      </c>
      <c r="L763" s="2"/>
      <c r="M763" s="2"/>
      <c r="N763" s="4" t="s">
        <v>2259</v>
      </c>
      <c r="O763" s="4" t="str">
        <f>LEFT(Table2[[#This Row],[Description]],75)</f>
        <v>Withdrawal Home payment to card 950588 254422203</v>
      </c>
      <c r="P763" s="2" t="s">
        <v>2349</v>
      </c>
    </row>
    <row r="764" spans="1:16" hidden="1">
      <c r="A764" s="2">
        <v>201909</v>
      </c>
      <c r="B764" s="3">
        <v>43738</v>
      </c>
      <c r="C764" s="2" t="s">
        <v>2267</v>
      </c>
      <c r="D764" s="2" t="s">
        <v>2169</v>
      </c>
      <c r="E764" s="2">
        <v>437.31</v>
      </c>
      <c r="F764" s="2" t="s">
        <v>9</v>
      </c>
      <c r="J764" s="2">
        <v>437.31</v>
      </c>
      <c r="K764" s="2" t="b">
        <v>0</v>
      </c>
      <c r="L764" s="2"/>
      <c r="M764" s="2"/>
      <c r="N764" s="4" t="s">
        <v>2259</v>
      </c>
      <c r="O764" s="4" t="str">
        <f>LEFT(Table2[[#This Row],[Description]],75)</f>
        <v>Withdrawal Home payment to card 950588 254422203</v>
      </c>
      <c r="P764" s="2"/>
    </row>
    <row r="765" spans="1:16" hidden="1">
      <c r="A765" s="2">
        <v>201909</v>
      </c>
      <c r="B765" s="3">
        <v>43738</v>
      </c>
      <c r="C765" s="2" t="s">
        <v>2310</v>
      </c>
      <c r="D765" s="2" t="s">
        <v>167</v>
      </c>
      <c r="E765" s="2">
        <v>-0.02</v>
      </c>
      <c r="F765" s="2">
        <v>0</v>
      </c>
      <c r="J765" s="2">
        <v>0.02</v>
      </c>
      <c r="K765" s="2" t="b">
        <v>0</v>
      </c>
      <c r="L765" s="2"/>
      <c r="M765" s="2"/>
      <c r="N765" s="2" t="s">
        <v>2264</v>
      </c>
      <c r="O765" s="2" t="str">
        <f>LEFT(Table2[[#This Row],[Description]],75)</f>
        <v>Apy Earned</v>
      </c>
      <c r="P765" s="2" t="s">
        <v>2311</v>
      </c>
    </row>
    <row r="766" spans="1:16" hidden="1">
      <c r="A766" s="2">
        <v>201909</v>
      </c>
      <c r="B766" s="3">
        <v>43738</v>
      </c>
      <c r="C766" s="2" t="s">
        <v>2274</v>
      </c>
      <c r="D766" s="2" t="s">
        <v>176</v>
      </c>
      <c r="E766" s="2">
        <v>-3.67</v>
      </c>
      <c r="F766" s="2">
        <v>0</v>
      </c>
      <c r="J766" s="2">
        <v>3.67</v>
      </c>
      <c r="K766" s="2" t="b">
        <v>0</v>
      </c>
      <c r="L766" s="2"/>
      <c r="M766" s="2"/>
      <c r="N766" s="2" t="s">
        <v>2264</v>
      </c>
      <c r="O766" s="2" t="str">
        <f>LEFT(Table2[[#This Row],[Description]],75)</f>
        <v>ATM Fee Rebate</v>
      </c>
      <c r="P766" s="2" t="s">
        <v>2350</v>
      </c>
    </row>
    <row r="767" spans="1:16" hidden="1">
      <c r="A767" s="2">
        <v>201909</v>
      </c>
      <c r="B767" s="3">
        <v>43738</v>
      </c>
      <c r="C767" s="2" t="s">
        <v>2274</v>
      </c>
      <c r="D767" s="2" t="s">
        <v>994</v>
      </c>
      <c r="E767" s="2">
        <v>-0.09</v>
      </c>
      <c r="F767" s="2">
        <v>0</v>
      </c>
      <c r="J767" s="2">
        <v>0.09</v>
      </c>
      <c r="K767" s="2" t="b">
        <v>0</v>
      </c>
      <c r="L767" s="2"/>
      <c r="M767" s="2"/>
      <c r="N767" s="2" t="s">
        <v>2264</v>
      </c>
      <c r="O767" s="2" t="str">
        <f>LEFT(Table2[[#This Row],[Description]],75)</f>
        <v>Interest Paid</v>
      </c>
      <c r="P767" s="2" t="s">
        <v>2312</v>
      </c>
    </row>
    <row r="768" spans="1:16" hidden="1">
      <c r="A768" s="2">
        <v>201909</v>
      </c>
      <c r="B768" s="3">
        <v>43738</v>
      </c>
      <c r="C768" s="2" t="s">
        <v>64</v>
      </c>
      <c r="D768" s="2" t="s">
        <v>1037</v>
      </c>
      <c r="E768" s="2">
        <v>-200</v>
      </c>
      <c r="F768" s="2" t="s">
        <v>59</v>
      </c>
      <c r="J768" s="2">
        <v>200</v>
      </c>
      <c r="K768" s="2" t="b">
        <v>0</v>
      </c>
      <c r="L768" s="2"/>
      <c r="M768" s="2"/>
      <c r="N768" s="2" t="s">
        <v>2264</v>
      </c>
      <c r="O768" s="2" t="str">
        <f>LEFT(Table2[[#This Row],[Description]],75)</f>
        <v>KAUFMAN HALL</v>
      </c>
      <c r="P768" s="2"/>
    </row>
    <row r="769" spans="1:16" hidden="1">
      <c r="A769" s="2">
        <v>201909</v>
      </c>
      <c r="B769" s="3">
        <v>43738</v>
      </c>
      <c r="C769" s="2" t="s">
        <v>2317</v>
      </c>
      <c r="D769" s="2" t="s">
        <v>1037</v>
      </c>
      <c r="E769" s="2">
        <v>-200</v>
      </c>
      <c r="F769" s="2" t="s">
        <v>9</v>
      </c>
      <c r="J769" s="2">
        <v>200</v>
      </c>
      <c r="K769" s="2" t="b">
        <v>0</v>
      </c>
      <c r="L769" s="2"/>
      <c r="M769" s="2"/>
      <c r="N769" s="2" t="s">
        <v>2264</v>
      </c>
      <c r="O769" s="2" t="str">
        <f>LEFT(Table2[[#This Row],[Description]],75)</f>
        <v>KAUFMAN HALL</v>
      </c>
      <c r="P769" s="2"/>
    </row>
    <row r="770" spans="1:16" hidden="1">
      <c r="A770" s="2">
        <v>201909</v>
      </c>
      <c r="B770" s="3">
        <v>43738</v>
      </c>
      <c r="C770" s="2" t="s">
        <v>2262</v>
      </c>
      <c r="D770" s="2" t="s">
        <v>1123</v>
      </c>
      <c r="E770" s="2">
        <v>39.71</v>
      </c>
      <c r="F770" s="2" t="s">
        <v>21</v>
      </c>
      <c r="J770" s="2">
        <v>39.71</v>
      </c>
      <c r="K770" s="2" t="b">
        <v>0</v>
      </c>
      <c r="L770" s="2"/>
      <c r="M770" s="2"/>
      <c r="N770" s="4" t="s">
        <v>2259</v>
      </c>
      <c r="O770" s="4" t="str">
        <f>LEFT(Table2[[#This Row],[Description]],75)</f>
        <v>Lifetouch</v>
      </c>
      <c r="P770" s="2"/>
    </row>
    <row r="771" spans="1:16" hidden="1">
      <c r="A771" s="2">
        <v>201909</v>
      </c>
      <c r="B771" s="3">
        <v>43738</v>
      </c>
      <c r="C771" s="2" t="s">
        <v>64</v>
      </c>
      <c r="D771" s="2" t="s">
        <v>1638</v>
      </c>
      <c r="E771" s="2">
        <v>-17.329999999999998</v>
      </c>
      <c r="F771" s="2" t="s">
        <v>69</v>
      </c>
      <c r="J771" s="2">
        <v>17.329999999999998</v>
      </c>
      <c r="K771" s="2" t="b">
        <v>0</v>
      </c>
      <c r="L771" s="2"/>
      <c r="M771" s="2"/>
      <c r="N771" s="2" t="s">
        <v>2264</v>
      </c>
      <c r="O771" s="2" t="str">
        <f>LEFT(Table2[[#This Row],[Description]],75)</f>
        <v>SCHWAB US SMALL CAP ETF</v>
      </c>
      <c r="P771" s="2"/>
    </row>
    <row r="772" spans="1:16" hidden="1">
      <c r="A772" s="2">
        <v>201909</v>
      </c>
      <c r="B772" s="3">
        <v>43738</v>
      </c>
      <c r="C772" s="2" t="s">
        <v>2317</v>
      </c>
      <c r="D772" s="2" t="s">
        <v>1638</v>
      </c>
      <c r="E772" s="2">
        <v>-17.329999999999998</v>
      </c>
      <c r="F772" s="2" t="s">
        <v>9</v>
      </c>
      <c r="J772" s="2">
        <v>17.329999999999998</v>
      </c>
      <c r="K772" s="2" t="b">
        <v>0</v>
      </c>
      <c r="L772" s="2"/>
      <c r="M772" s="2"/>
      <c r="N772" s="2" t="s">
        <v>2264</v>
      </c>
      <c r="O772" s="2" t="str">
        <f>LEFT(Table2[[#This Row],[Description]],75)</f>
        <v>SCHWAB US SMALL CAP ETF</v>
      </c>
      <c r="P772" s="2"/>
    </row>
    <row r="773" spans="1:16" hidden="1">
      <c r="A773" s="2">
        <v>201909</v>
      </c>
      <c r="B773" s="3">
        <v>43738</v>
      </c>
      <c r="C773" s="2" t="s">
        <v>2300</v>
      </c>
      <c r="D773" s="2" t="s">
        <v>1709</v>
      </c>
      <c r="E773" s="2">
        <v>-16.8</v>
      </c>
      <c r="F773" s="2" t="s">
        <v>16</v>
      </c>
      <c r="J773" s="2">
        <v>16.8</v>
      </c>
      <c r="K773" s="2" t="b">
        <v>0</v>
      </c>
      <c r="L773" s="2"/>
      <c r="M773" s="2"/>
      <c r="N773" s="4" t="s">
        <v>2273</v>
      </c>
      <c r="O773" s="4" t="str">
        <f>LEFT(Table2[[#This Row],[Description]],75)</f>
        <v>Split Rate Apy</v>
      </c>
      <c r="P773" s="2" t="s">
        <v>2313</v>
      </c>
    </row>
    <row r="774" spans="1:16" hidden="1">
      <c r="A774" s="2">
        <v>201909</v>
      </c>
      <c r="B774" s="3">
        <v>43738</v>
      </c>
      <c r="C774" s="2" t="s">
        <v>2265</v>
      </c>
      <c r="D774" s="2" t="s">
        <v>1709</v>
      </c>
      <c r="E774" s="2">
        <v>-36.909999999999997</v>
      </c>
      <c r="F774" s="2" t="s">
        <v>16</v>
      </c>
      <c r="J774" s="2">
        <v>36.909999999999997</v>
      </c>
      <c r="K774" s="2" t="b">
        <v>0</v>
      </c>
      <c r="L774" s="2"/>
      <c r="M774" s="2"/>
      <c r="N774" s="4" t="s">
        <v>2273</v>
      </c>
      <c r="O774" s="4" t="str">
        <f>LEFT(Table2[[#This Row],[Description]],75)</f>
        <v>Split Rate Apy</v>
      </c>
      <c r="P774" s="2" t="s">
        <v>2313</v>
      </c>
    </row>
    <row r="775" spans="1:16" hidden="1">
      <c r="A775" s="2">
        <v>201909</v>
      </c>
      <c r="B775" s="3">
        <v>43738</v>
      </c>
      <c r="C775" s="2" t="s">
        <v>2302</v>
      </c>
      <c r="D775" s="2" t="s">
        <v>1709</v>
      </c>
      <c r="E775" s="2">
        <v>-16.8</v>
      </c>
      <c r="F775" s="2" t="s">
        <v>16</v>
      </c>
      <c r="J775" s="2">
        <v>16.8</v>
      </c>
      <c r="K775" s="2" t="b">
        <v>0</v>
      </c>
      <c r="L775" s="2"/>
      <c r="M775" s="2"/>
      <c r="N775" s="2" t="s">
        <v>2264</v>
      </c>
      <c r="O775" s="2" t="str">
        <f>LEFT(Table2[[#This Row],[Description]],75)</f>
        <v>Split Rate Apy</v>
      </c>
      <c r="P775" s="2"/>
    </row>
    <row r="776" spans="1:16" hidden="1">
      <c r="A776" s="2">
        <v>201909</v>
      </c>
      <c r="B776" s="3">
        <v>43738</v>
      </c>
      <c r="C776" s="2" t="s">
        <v>2267</v>
      </c>
      <c r="D776" s="2" t="s">
        <v>1709</v>
      </c>
      <c r="E776" s="2">
        <v>-36.909999999999997</v>
      </c>
      <c r="F776" s="2" t="s">
        <v>16</v>
      </c>
      <c r="J776" s="2">
        <v>36.909999999999997</v>
      </c>
      <c r="K776" s="2" t="b">
        <v>0</v>
      </c>
      <c r="L776" s="2"/>
      <c r="M776" s="2"/>
      <c r="N776" s="2" t="s">
        <v>2264</v>
      </c>
      <c r="O776" s="2" t="str">
        <f>LEFT(Table2[[#This Row],[Description]],75)</f>
        <v>Split Rate Apy</v>
      </c>
      <c r="P776" s="2"/>
    </row>
    <row r="777" spans="1:16" hidden="1">
      <c r="A777" s="2">
        <v>201909</v>
      </c>
      <c r="B777" s="3">
        <v>43738</v>
      </c>
      <c r="C777" s="2" t="s">
        <v>2275</v>
      </c>
      <c r="D777" s="2" t="s">
        <v>1837</v>
      </c>
      <c r="E777" s="2">
        <v>-211</v>
      </c>
      <c r="F777" s="2" t="s">
        <v>57</v>
      </c>
      <c r="J777" s="2">
        <v>211</v>
      </c>
      <c r="K777" s="2" t="b">
        <v>0</v>
      </c>
      <c r="L777" s="2"/>
      <c r="M777" s="2"/>
      <c r="N777" s="4" t="s">
        <v>2273</v>
      </c>
      <c r="O777" s="4" t="str">
        <f>LEFT(Table2[[#This Row],[Description]],75)</f>
        <v>Tfr JPMORGAN CHASE BAN, KAUFMAN HALL</v>
      </c>
      <c r="P777" s="2" t="s">
        <v>2288</v>
      </c>
    </row>
    <row r="778" spans="1:16" hidden="1">
      <c r="A778" s="2">
        <v>201909</v>
      </c>
      <c r="B778" s="3">
        <v>43738</v>
      </c>
      <c r="C778" s="2" t="s">
        <v>2277</v>
      </c>
      <c r="D778" s="2" t="s">
        <v>1837</v>
      </c>
      <c r="E778" s="2">
        <v>-211</v>
      </c>
      <c r="F778" s="2" t="s">
        <v>57</v>
      </c>
      <c r="J778" s="2">
        <v>211</v>
      </c>
      <c r="K778" s="2" t="b">
        <v>0</v>
      </c>
      <c r="L778" s="2"/>
      <c r="M778" s="2"/>
      <c r="N778" s="2" t="s">
        <v>2264</v>
      </c>
      <c r="O778" s="2" t="str">
        <f>LEFT(Table2[[#This Row],[Description]],75)</f>
        <v>Tfr JPMORGAN CHASE BAN, KAUFMAN HALL</v>
      </c>
      <c r="P778" s="2"/>
    </row>
    <row r="779" spans="1:16" hidden="1">
      <c r="A779" s="2">
        <v>201909</v>
      </c>
      <c r="B779" s="3">
        <v>43738</v>
      </c>
      <c r="C779" s="2" t="s">
        <v>2290</v>
      </c>
      <c r="D779" s="2" t="s">
        <v>2106</v>
      </c>
      <c r="E779" s="2">
        <v>-1058.95</v>
      </c>
      <c r="F779" s="2" t="s">
        <v>54</v>
      </c>
      <c r="J779" s="2">
        <v>1058.95</v>
      </c>
      <c r="K779" s="2" t="b">
        <v>0</v>
      </c>
      <c r="L779" s="2"/>
      <c r="M779" s="2"/>
      <c r="N779" s="2" t="s">
        <v>2264</v>
      </c>
      <c r="O779" s="2" t="str">
        <f>LEFT(Table2[[#This Row],[Description]],75)</f>
        <v>VANG TARGET RET 2050</v>
      </c>
      <c r="P779" s="2"/>
    </row>
    <row r="780" spans="1:16" hidden="1">
      <c r="A780" s="2">
        <v>201910</v>
      </c>
      <c r="B780" s="3">
        <v>43739</v>
      </c>
      <c r="C780" s="2" t="s">
        <v>2271</v>
      </c>
      <c r="D780" s="2" t="s">
        <v>816</v>
      </c>
      <c r="E780" s="2">
        <v>-278.63</v>
      </c>
      <c r="F780" s="2" t="s">
        <v>31</v>
      </c>
      <c r="J780" s="2">
        <v>278.63</v>
      </c>
      <c r="K780" s="2" t="b">
        <v>0</v>
      </c>
      <c r="L780" s="2"/>
      <c r="M780" s="2"/>
      <c r="N780" s="2" t="s">
        <v>2264</v>
      </c>
      <c r="O780" s="2" t="str">
        <f>LEFT(Table2[[#This Row],[Description]],75)</f>
        <v>E-PAYMENT, TARGET.COM 75117869274001927737046</v>
      </c>
      <c r="P780" s="2"/>
    </row>
    <row r="781" spans="1:16" hidden="1">
      <c r="A781" s="2">
        <v>201910</v>
      </c>
      <c r="B781" s="3">
        <v>43739</v>
      </c>
      <c r="C781" s="2" t="s">
        <v>2265</v>
      </c>
      <c r="D781" s="2" t="s">
        <v>583</v>
      </c>
      <c r="E781" s="2">
        <v>200</v>
      </c>
      <c r="F781" s="2" t="s">
        <v>61</v>
      </c>
      <c r="J781" s="2">
        <v>200</v>
      </c>
      <c r="K781" s="2" t="b">
        <v>0</v>
      </c>
      <c r="L781" s="2"/>
      <c r="M781" s="2"/>
      <c r="N781" s="4" t="s">
        <v>2259</v>
      </c>
      <c r="O781" s="4" t="str">
        <f>LEFT(Table2[[#This Row],[Description]],75)</f>
        <v>College Savings TYPE ACH ID 550895818 CO College Savings ACH ECC PPD ACH Tr</v>
      </c>
      <c r="P781" s="2" t="s">
        <v>2272</v>
      </c>
    </row>
    <row r="782" spans="1:16" hidden="1">
      <c r="A782" s="2">
        <v>201910</v>
      </c>
      <c r="B782" s="3">
        <v>43739</v>
      </c>
      <c r="C782" s="2" t="s">
        <v>2267</v>
      </c>
      <c r="D782" s="2" t="s">
        <v>583</v>
      </c>
      <c r="E782" s="2">
        <v>200</v>
      </c>
      <c r="F782" s="2" t="s">
        <v>61</v>
      </c>
      <c r="J782" s="2">
        <v>200</v>
      </c>
      <c r="K782" s="2" t="b">
        <v>0</v>
      </c>
      <c r="L782" s="2"/>
      <c r="M782" s="2"/>
      <c r="N782" s="4" t="s">
        <v>2259</v>
      </c>
      <c r="O782" s="4" t="str">
        <f>LEFT(Table2[[#This Row],[Description]],75)</f>
        <v>College Savings TYPE ACH ID 550895818 CO College Savings ACH ECC PPD ACH Tr</v>
      </c>
      <c r="P782" s="2"/>
    </row>
    <row r="783" spans="1:16" hidden="1">
      <c r="A783" s="2">
        <v>201910</v>
      </c>
      <c r="B783" s="3">
        <v>43739</v>
      </c>
      <c r="C783" s="2" t="s">
        <v>2305</v>
      </c>
      <c r="D783" s="2" t="s">
        <v>670</v>
      </c>
      <c r="E783" s="2">
        <v>-156.54</v>
      </c>
      <c r="F783" s="2" t="s">
        <v>16</v>
      </c>
      <c r="J783" s="2">
        <v>156.54</v>
      </c>
      <c r="K783" s="2" t="b">
        <v>0</v>
      </c>
      <c r="L783" s="2"/>
      <c r="M783" s="2"/>
      <c r="N783" s="2" t="s">
        <v>2264</v>
      </c>
      <c r="O783" s="2" t="str">
        <f>LEFT(Table2[[#This Row],[Description]],75)</f>
        <v>Cred Rebate</v>
      </c>
      <c r="P783" s="2"/>
    </row>
    <row r="784" spans="1:16" hidden="1">
      <c r="A784" s="2">
        <v>201910</v>
      </c>
      <c r="B784" s="3">
        <v>43739</v>
      </c>
      <c r="C784" s="2" t="s">
        <v>2314</v>
      </c>
      <c r="D784" s="2" t="s">
        <v>862</v>
      </c>
      <c r="E784" s="2">
        <v>-564.33000000000004</v>
      </c>
      <c r="F784" s="2">
        <v>0</v>
      </c>
      <c r="J784" s="2">
        <v>564.33000000000004</v>
      </c>
      <c r="K784" s="2" t="b">
        <v>0</v>
      </c>
      <c r="L784" s="2"/>
      <c r="M784" s="2"/>
      <c r="N784" s="4" t="s">
        <v>2273</v>
      </c>
      <c r="O784" s="4" t="str">
        <f>LEFT(Table2[[#This Row],[Description]],75)</f>
        <v>From Share 70 254684532</v>
      </c>
      <c r="P784" s="2"/>
    </row>
    <row r="785" spans="1:16" hidden="1">
      <c r="A785" s="2">
        <v>201910</v>
      </c>
      <c r="B785" s="3">
        <v>43739</v>
      </c>
      <c r="C785" s="2" t="s">
        <v>2315</v>
      </c>
      <c r="D785" s="2" t="s">
        <v>862</v>
      </c>
      <c r="E785" s="2">
        <v>-564.33000000000004</v>
      </c>
      <c r="F785" s="2" t="s">
        <v>9</v>
      </c>
      <c r="J785" s="2">
        <v>564.33000000000004</v>
      </c>
      <c r="K785" s="2" t="b">
        <v>0</v>
      </c>
      <c r="L785" s="2"/>
      <c r="M785" s="2"/>
      <c r="N785" s="2" t="s">
        <v>2264</v>
      </c>
      <c r="O785" s="2" t="str">
        <f>LEFT(Table2[[#This Row],[Description]],75)</f>
        <v>From Share 70 254684532</v>
      </c>
      <c r="P785" s="2"/>
    </row>
    <row r="786" spans="1:16" hidden="1">
      <c r="A786" s="2">
        <v>201910</v>
      </c>
      <c r="B786" s="3">
        <v>43739</v>
      </c>
      <c r="C786" s="2" t="s">
        <v>2262</v>
      </c>
      <c r="D786" s="2" t="s">
        <v>947</v>
      </c>
      <c r="E786" s="2">
        <v>55.74</v>
      </c>
      <c r="F786" s="2" t="s">
        <v>2</v>
      </c>
      <c r="J786" s="2">
        <v>55.74</v>
      </c>
      <c r="K786" s="2" t="b">
        <v>0</v>
      </c>
      <c r="L786" s="2"/>
      <c r="M786" s="2"/>
      <c r="N786" s="4" t="s">
        <v>2259</v>
      </c>
      <c r="O786" s="4" t="str">
        <f>LEFT(Table2[[#This Row],[Description]],75)</f>
        <v>Home Depot</v>
      </c>
      <c r="P786" s="2"/>
    </row>
    <row r="787" spans="1:16" hidden="1">
      <c r="A787" s="2">
        <v>201910</v>
      </c>
      <c r="B787" s="3">
        <v>43739</v>
      </c>
      <c r="C787" s="2" t="s">
        <v>2317</v>
      </c>
      <c r="D787" s="2" t="s">
        <v>1638</v>
      </c>
      <c r="E787" s="2">
        <v>17.329999999999998</v>
      </c>
      <c r="F787" s="2" t="s">
        <v>69</v>
      </c>
      <c r="J787" s="2">
        <v>17.329999999999998</v>
      </c>
      <c r="K787" s="2" t="b">
        <v>0</v>
      </c>
      <c r="L787" s="2"/>
      <c r="M787" s="2"/>
      <c r="N787" s="4" t="s">
        <v>2259</v>
      </c>
      <c r="O787" s="4" t="str">
        <f>LEFT(Table2[[#This Row],[Description]],75)</f>
        <v>SCHWAB US SMALL CAP ETF</v>
      </c>
      <c r="P787" s="2" t="s">
        <v>2351</v>
      </c>
    </row>
    <row r="788" spans="1:16" hidden="1">
      <c r="A788" s="2">
        <v>201910</v>
      </c>
      <c r="B788" s="3">
        <v>43739</v>
      </c>
      <c r="C788" s="2" t="s">
        <v>64</v>
      </c>
      <c r="D788" s="2" t="s">
        <v>1638</v>
      </c>
      <c r="E788" s="2">
        <v>17.329999999999998</v>
      </c>
      <c r="F788" s="2" t="s">
        <v>69</v>
      </c>
      <c r="J788" s="2">
        <v>17.329999999999998</v>
      </c>
      <c r="K788" s="2" t="b">
        <v>0</v>
      </c>
      <c r="L788" s="2"/>
      <c r="M788" s="2"/>
      <c r="N788" s="4" t="s">
        <v>2259</v>
      </c>
      <c r="O788" s="4" t="str">
        <f>LEFT(Table2[[#This Row],[Description]],75)</f>
        <v>SCHWAB US SMALL CAP ETF</v>
      </c>
      <c r="P788" s="2"/>
    </row>
    <row r="789" spans="1:16" hidden="1">
      <c r="A789" s="2">
        <v>201910</v>
      </c>
      <c r="B789" s="3">
        <v>43739</v>
      </c>
      <c r="C789" s="2" t="s">
        <v>2265</v>
      </c>
      <c r="D789" s="2" t="s">
        <v>1880</v>
      </c>
      <c r="E789" s="2">
        <v>618.65</v>
      </c>
      <c r="F789" s="2" t="s">
        <v>11</v>
      </c>
      <c r="J789" s="2">
        <v>618.65</v>
      </c>
      <c r="K789" s="2" t="b">
        <v>0</v>
      </c>
      <c r="L789" s="2"/>
      <c r="M789" s="2"/>
      <c r="N789" s="4" t="s">
        <v>2259</v>
      </c>
      <c r="O789" s="4" t="str">
        <f>LEFT(Table2[[#This Row],[Description]],75)</f>
        <v>To Loan 02 254671636</v>
      </c>
      <c r="P789" s="2" t="s">
        <v>2316</v>
      </c>
    </row>
    <row r="790" spans="1:16" hidden="1">
      <c r="A790" s="2">
        <v>201910</v>
      </c>
      <c r="B790" s="3">
        <v>43739</v>
      </c>
      <c r="C790" s="2" t="s">
        <v>2267</v>
      </c>
      <c r="D790" s="2" t="s">
        <v>1880</v>
      </c>
      <c r="E790" s="2">
        <v>618.65</v>
      </c>
      <c r="F790" s="2" t="s">
        <v>11</v>
      </c>
      <c r="J790" s="2">
        <v>618.65</v>
      </c>
      <c r="K790" s="2" t="b">
        <v>0</v>
      </c>
      <c r="L790" s="2"/>
      <c r="M790" s="2"/>
      <c r="N790" s="4" t="s">
        <v>2259</v>
      </c>
      <c r="O790" s="4" t="str">
        <f>LEFT(Table2[[#This Row],[Description]],75)</f>
        <v>To Loan 02 254671636</v>
      </c>
      <c r="P790" s="2"/>
    </row>
    <row r="791" spans="1:16" hidden="1">
      <c r="A791" s="2">
        <v>201910</v>
      </c>
      <c r="B791" s="3">
        <v>43739</v>
      </c>
      <c r="C791" s="2" t="s">
        <v>2265</v>
      </c>
      <c r="D791" s="2" t="s">
        <v>2109</v>
      </c>
      <c r="E791" s="2">
        <v>85.52</v>
      </c>
      <c r="F791" s="2">
        <v>0</v>
      </c>
      <c r="J791" s="2">
        <v>85.52</v>
      </c>
      <c r="K791" s="2" t="b">
        <v>0</v>
      </c>
      <c r="L791" s="2"/>
      <c r="M791" s="2"/>
      <c r="N791" s="4" t="s">
        <v>2259</v>
      </c>
      <c r="O791" s="4" t="str">
        <f>LEFT(Table2[[#This Row],[Description]],75)</f>
        <v>Venmo</v>
      </c>
      <c r="P791" s="2"/>
    </row>
    <row r="792" spans="1:16" hidden="1">
      <c r="A792" s="2">
        <v>201910</v>
      </c>
      <c r="B792" s="3">
        <v>43739</v>
      </c>
      <c r="C792" s="2" t="s">
        <v>2267</v>
      </c>
      <c r="D792" s="2" t="s">
        <v>2109</v>
      </c>
      <c r="E792" s="2">
        <v>85.52</v>
      </c>
      <c r="F792" s="2" t="s">
        <v>21</v>
      </c>
      <c r="J792" s="2">
        <v>85.52</v>
      </c>
      <c r="K792" s="2" t="b">
        <v>0</v>
      </c>
      <c r="L792" s="2"/>
      <c r="M792" s="2"/>
      <c r="N792" s="4" t="s">
        <v>2259</v>
      </c>
      <c r="O792" s="4" t="str">
        <f>LEFT(Table2[[#This Row],[Description]],75)</f>
        <v>Venmo</v>
      </c>
      <c r="P792" s="2"/>
    </row>
    <row r="793" spans="1:16" hidden="1">
      <c r="A793" s="2">
        <v>201910</v>
      </c>
      <c r="B793" s="3">
        <v>43740</v>
      </c>
      <c r="C793" s="2" t="s">
        <v>2265</v>
      </c>
      <c r="D793" s="2" t="s">
        <v>375</v>
      </c>
      <c r="E793" s="2">
        <v>-2609.36</v>
      </c>
      <c r="F793" s="2" t="s">
        <v>65</v>
      </c>
      <c r="J793" s="2">
        <v>2609.36</v>
      </c>
      <c r="K793" s="2" t="b">
        <v>0</v>
      </c>
      <c r="L793" s="2"/>
      <c r="M793" s="2"/>
      <c r="N793" s="4" t="s">
        <v>2273</v>
      </c>
      <c r="O793" s="4" t="str">
        <f>LEFT(Table2[[#This Row],[Description]],75)</f>
        <v xml:space="preserve">CARGILL COCOA TYPE DIR DEP ID CO CARGILL COCOA ACH ECC PPD ACH Trace 41454 </v>
      </c>
      <c r="P793" s="2" t="s">
        <v>2284</v>
      </c>
    </row>
    <row r="794" spans="1:16" hidden="1">
      <c r="A794" s="2">
        <v>201910</v>
      </c>
      <c r="B794" s="3">
        <v>43740</v>
      </c>
      <c r="C794" s="2" t="s">
        <v>2267</v>
      </c>
      <c r="D794" s="2" t="s">
        <v>375</v>
      </c>
      <c r="E794" s="2">
        <v>-2609.36</v>
      </c>
      <c r="F794" s="2" t="s">
        <v>65</v>
      </c>
      <c r="J794" s="2">
        <v>2609.36</v>
      </c>
      <c r="K794" s="2" t="b">
        <v>0</v>
      </c>
      <c r="L794" s="2"/>
      <c r="M794" s="2"/>
      <c r="N794" s="2" t="s">
        <v>2264</v>
      </c>
      <c r="O794" s="2" t="str">
        <f>LEFT(Table2[[#This Row],[Description]],75)</f>
        <v xml:space="preserve">CARGILL COCOA TYPE DIR DEP ID CO CARGILL COCOA ACH ECC PPD ACH Trace 41454 </v>
      </c>
      <c r="P794" s="2"/>
    </row>
    <row r="795" spans="1:16" hidden="1">
      <c r="A795" s="2">
        <v>201910</v>
      </c>
      <c r="B795" s="3">
        <v>43740</v>
      </c>
      <c r="C795" s="2" t="s">
        <v>2265</v>
      </c>
      <c r="D795" s="2" t="s">
        <v>485</v>
      </c>
      <c r="E795" s="2">
        <v>326.25</v>
      </c>
      <c r="F795" s="2" t="s">
        <v>20</v>
      </c>
      <c r="J795" s="2">
        <v>326.25</v>
      </c>
      <c r="K795" s="2" t="b">
        <v>0</v>
      </c>
      <c r="L795" s="2"/>
      <c r="M795" s="2"/>
      <c r="N795" s="4" t="s">
        <v>2259</v>
      </c>
      <c r="O795" s="4" t="str">
        <f>LEFT(Table2[[#This Row],[Description]],75)</f>
        <v>CCLC TYPE INTERNET ID CO CCLC ACH ECC WEB ACH Trace 73930 255027849</v>
      </c>
      <c r="P795" s="2" t="s">
        <v>2268</v>
      </c>
    </row>
    <row r="796" spans="1:16" hidden="1">
      <c r="A796" s="2">
        <v>201910</v>
      </c>
      <c r="B796" s="3">
        <v>43740</v>
      </c>
      <c r="C796" s="2" t="s">
        <v>2267</v>
      </c>
      <c r="D796" s="2" t="s">
        <v>485</v>
      </c>
      <c r="E796" s="2">
        <v>326.25</v>
      </c>
      <c r="F796" s="2" t="s">
        <v>20</v>
      </c>
      <c r="J796" s="2">
        <v>326.25</v>
      </c>
      <c r="K796" s="2" t="b">
        <v>0</v>
      </c>
      <c r="L796" s="2"/>
      <c r="M796" s="2"/>
      <c r="N796" s="4" t="s">
        <v>2259</v>
      </c>
      <c r="O796" s="4" t="str">
        <f>LEFT(Table2[[#This Row],[Description]],75)</f>
        <v>CCLC TYPE INTERNET ID CO CCLC ACH ECC WEB ACH Trace 73930 255027849</v>
      </c>
      <c r="P796" s="2"/>
    </row>
    <row r="797" spans="1:16" hidden="1">
      <c r="A797" s="2">
        <v>201910</v>
      </c>
      <c r="B797" s="3">
        <v>43740</v>
      </c>
      <c r="C797" s="2" t="s">
        <v>2262</v>
      </c>
      <c r="D797" s="2" t="s">
        <v>684</v>
      </c>
      <c r="E797" s="2">
        <v>100.38</v>
      </c>
      <c r="F797" s="2" t="s">
        <v>28</v>
      </c>
      <c r="J797" s="2">
        <v>100.38</v>
      </c>
      <c r="K797" s="2" t="b">
        <v>0</v>
      </c>
      <c r="L797" s="2"/>
      <c r="M797" s="2"/>
      <c r="N797" s="4" t="s">
        <v>2259</v>
      </c>
      <c r="O797" s="4" t="str">
        <f>LEFT(Table2[[#This Row],[Description]],75)</f>
        <v>Cub Foods</v>
      </c>
      <c r="P797" s="2"/>
    </row>
    <row r="798" spans="1:16" hidden="1">
      <c r="A798" s="2">
        <v>201910</v>
      </c>
      <c r="B798" s="3">
        <v>43740</v>
      </c>
      <c r="C798" s="2" t="s">
        <v>2265</v>
      </c>
      <c r="D798" s="2" t="s">
        <v>1355</v>
      </c>
      <c r="E798" s="2">
        <v>55.75</v>
      </c>
      <c r="F798" s="2" t="s">
        <v>21</v>
      </c>
      <c r="J798" s="2">
        <v>55.75</v>
      </c>
      <c r="K798" s="2" t="b">
        <v>0</v>
      </c>
      <c r="L798" s="2"/>
      <c r="M798" s="2"/>
      <c r="N798" s="4" t="s">
        <v>2259</v>
      </c>
      <c r="O798" s="4" t="str">
        <f>LEFT(Table2[[#This Row],[Description]],75)</f>
        <v>Nordstrom</v>
      </c>
      <c r="P798" s="2" t="s">
        <v>2352</v>
      </c>
    </row>
    <row r="799" spans="1:16" hidden="1">
      <c r="A799" s="2">
        <v>201910</v>
      </c>
      <c r="B799" s="3">
        <v>43740</v>
      </c>
      <c r="C799" s="2" t="s">
        <v>2267</v>
      </c>
      <c r="D799" s="2" t="s">
        <v>1355</v>
      </c>
      <c r="E799" s="2">
        <v>55.75</v>
      </c>
      <c r="F799" s="2" t="s">
        <v>21</v>
      </c>
      <c r="J799" s="2">
        <v>55.75</v>
      </c>
      <c r="K799" s="2" t="b">
        <v>0</v>
      </c>
      <c r="L799" s="2"/>
      <c r="M799" s="2"/>
      <c r="N799" s="4" t="s">
        <v>2259</v>
      </c>
      <c r="O799" s="4" t="str">
        <f>LEFT(Table2[[#This Row],[Description]],75)</f>
        <v>Nordstrom</v>
      </c>
      <c r="P799" s="2"/>
    </row>
    <row r="800" spans="1:16" hidden="1">
      <c r="A800" s="2">
        <v>201910</v>
      </c>
      <c r="B800" s="3">
        <v>43740</v>
      </c>
      <c r="C800" s="2" t="s">
        <v>2258</v>
      </c>
      <c r="D800" s="2" t="s">
        <v>1653</v>
      </c>
      <c r="E800" s="2">
        <v>59.75</v>
      </c>
      <c r="F800" s="2" t="s">
        <v>2</v>
      </c>
      <c r="J800" s="2">
        <v>59.75</v>
      </c>
      <c r="K800" s="2" t="b">
        <v>0</v>
      </c>
      <c r="L800" s="2"/>
      <c r="M800" s="2"/>
      <c r="N800" s="4" t="s">
        <v>2259</v>
      </c>
      <c r="O800" s="4" t="str">
        <f>LEFT(Table2[[#This Row],[Description]],75)</f>
        <v>Sherwin Williams</v>
      </c>
      <c r="P800" s="2" t="s">
        <v>2353</v>
      </c>
    </row>
    <row r="801" spans="1:16" hidden="1">
      <c r="A801" s="2">
        <v>201910</v>
      </c>
      <c r="B801" s="3">
        <v>43740</v>
      </c>
      <c r="C801" s="2" t="s">
        <v>2261</v>
      </c>
      <c r="D801" s="2" t="s">
        <v>1653</v>
      </c>
      <c r="E801" s="2">
        <v>59.75</v>
      </c>
      <c r="F801" s="2" t="s">
        <v>2</v>
      </c>
      <c r="J801" s="2">
        <v>59.75</v>
      </c>
      <c r="K801" s="2" t="b">
        <v>0</v>
      </c>
      <c r="L801" s="2"/>
      <c r="M801" s="2"/>
      <c r="N801" s="4" t="s">
        <v>2259</v>
      </c>
      <c r="O801" s="4" t="str">
        <f>LEFT(Table2[[#This Row],[Description]],75)</f>
        <v>Sherwin Williams</v>
      </c>
      <c r="P801" s="2"/>
    </row>
    <row r="802" spans="1:16" hidden="1">
      <c r="A802" s="2">
        <v>201910</v>
      </c>
      <c r="B802" s="3">
        <v>43740</v>
      </c>
      <c r="C802" s="2" t="s">
        <v>2265</v>
      </c>
      <c r="D802" s="2" t="s">
        <v>31</v>
      </c>
      <c r="E802" s="2">
        <v>278.63</v>
      </c>
      <c r="F802" s="2" t="s">
        <v>31</v>
      </c>
      <c r="J802" s="2">
        <v>278.63</v>
      </c>
      <c r="K802" s="2" t="b">
        <v>0</v>
      </c>
      <c r="L802" s="2"/>
      <c r="M802" s="2"/>
      <c r="N802" s="4" t="s">
        <v>2259</v>
      </c>
      <c r="O802" s="4" t="str">
        <f>LEFT(Table2[[#This Row],[Description]],75)</f>
        <v>Target</v>
      </c>
      <c r="P802" s="2" t="s">
        <v>2309</v>
      </c>
    </row>
    <row r="803" spans="1:16" hidden="1">
      <c r="A803" s="2">
        <v>201910</v>
      </c>
      <c r="B803" s="3">
        <v>43740</v>
      </c>
      <c r="C803" s="2" t="s">
        <v>2271</v>
      </c>
      <c r="D803" s="2" t="s">
        <v>31</v>
      </c>
      <c r="E803" s="2">
        <v>30.6</v>
      </c>
      <c r="F803" s="2" t="s">
        <v>31</v>
      </c>
      <c r="J803" s="2">
        <v>30.6</v>
      </c>
      <c r="K803" s="2" t="b">
        <v>0</v>
      </c>
      <c r="L803" s="2"/>
      <c r="M803" s="2"/>
      <c r="N803" s="4" t="s">
        <v>2259</v>
      </c>
      <c r="O803" s="4" t="str">
        <f>LEFT(Table2[[#This Row],[Description]],75)</f>
        <v>Target</v>
      </c>
      <c r="P803" s="2"/>
    </row>
    <row r="804" spans="1:16" hidden="1">
      <c r="A804" s="2">
        <v>201910</v>
      </c>
      <c r="B804" s="3">
        <v>43740</v>
      </c>
      <c r="C804" s="2" t="s">
        <v>2271</v>
      </c>
      <c r="D804" s="2" t="s">
        <v>31</v>
      </c>
      <c r="E804" s="2">
        <v>60.24</v>
      </c>
      <c r="F804" s="2" t="s">
        <v>31</v>
      </c>
      <c r="J804" s="2">
        <v>60.24</v>
      </c>
      <c r="K804" s="2" t="b">
        <v>0</v>
      </c>
      <c r="L804" s="2"/>
      <c r="M804" s="2"/>
      <c r="N804" s="4" t="s">
        <v>2259</v>
      </c>
      <c r="O804" s="4" t="str">
        <f>LEFT(Table2[[#This Row],[Description]],75)</f>
        <v>Target</v>
      </c>
      <c r="P804" s="2"/>
    </row>
    <row r="805" spans="1:16" hidden="1">
      <c r="A805" s="2">
        <v>201910</v>
      </c>
      <c r="B805" s="3">
        <v>43740</v>
      </c>
      <c r="C805" s="2" t="s">
        <v>2267</v>
      </c>
      <c r="D805" s="2" t="s">
        <v>31</v>
      </c>
      <c r="E805" s="2">
        <v>278.63</v>
      </c>
      <c r="F805" s="2" t="s">
        <v>31</v>
      </c>
      <c r="J805" s="2">
        <v>278.63</v>
      </c>
      <c r="K805" s="2" t="b">
        <v>0</v>
      </c>
      <c r="L805" s="2"/>
      <c r="M805" s="2"/>
      <c r="N805" s="4" t="s">
        <v>2259</v>
      </c>
      <c r="O805" s="4" t="str">
        <f>LEFT(Table2[[#This Row],[Description]],75)</f>
        <v>Target</v>
      </c>
      <c r="P805" s="2"/>
    </row>
    <row r="806" spans="1:16" hidden="1">
      <c r="A806" s="2">
        <v>201910</v>
      </c>
      <c r="B806" s="3">
        <v>43740</v>
      </c>
      <c r="C806" s="2" t="s">
        <v>2265</v>
      </c>
      <c r="D806" s="2" t="s">
        <v>2112</v>
      </c>
      <c r="E806" s="2">
        <v>-68.75</v>
      </c>
      <c r="F806" s="2" t="s">
        <v>9</v>
      </c>
      <c r="J806" s="2">
        <v>68.75</v>
      </c>
      <c r="K806" s="2" t="b">
        <v>0</v>
      </c>
      <c r="L806" s="2"/>
      <c r="M806" s="2"/>
      <c r="N806" s="4" t="s">
        <v>2273</v>
      </c>
      <c r="O806" s="4" t="str">
        <f>LEFT(Table2[[#This Row],[Description]],75)</f>
        <v>Venmo Type Cashout</v>
      </c>
      <c r="P806" s="2" t="s">
        <v>2279</v>
      </c>
    </row>
    <row r="807" spans="1:16" hidden="1">
      <c r="A807" s="2">
        <v>201910</v>
      </c>
      <c r="B807" s="3">
        <v>43740</v>
      </c>
      <c r="C807" s="2" t="s">
        <v>2267</v>
      </c>
      <c r="D807" s="2" t="s">
        <v>2112</v>
      </c>
      <c r="E807" s="2">
        <v>-68.75</v>
      </c>
      <c r="F807" s="2" t="s">
        <v>9</v>
      </c>
      <c r="J807" s="2">
        <v>68.75</v>
      </c>
      <c r="K807" s="2" t="b">
        <v>0</v>
      </c>
      <c r="L807" s="2"/>
      <c r="M807" s="2"/>
      <c r="N807" s="2" t="s">
        <v>2264</v>
      </c>
      <c r="O807" s="2" t="str">
        <f>LEFT(Table2[[#This Row],[Description]],75)</f>
        <v>Venmo Type Cashout</v>
      </c>
      <c r="P807" s="2"/>
    </row>
    <row r="808" spans="1:16" hidden="1">
      <c r="A808" s="2">
        <v>201910</v>
      </c>
      <c r="B808" s="3">
        <v>43741</v>
      </c>
      <c r="C808" s="2" t="s">
        <v>2265</v>
      </c>
      <c r="D808" s="2" t="s">
        <v>213</v>
      </c>
      <c r="E808" s="2">
        <v>313.95999999999998</v>
      </c>
      <c r="F808" s="2" t="s">
        <v>21</v>
      </c>
      <c r="J808" s="2">
        <v>313.95999999999998</v>
      </c>
      <c r="K808" s="2" t="b">
        <v>0</v>
      </c>
      <c r="L808" s="2"/>
      <c r="M808" s="2"/>
      <c r="N808" s="4" t="s">
        <v>2259</v>
      </c>
      <c r="O808" s="4" t="str">
        <f>LEFT(Table2[[#This Row],[Description]],75)</f>
        <v>Banana Visa TYPE BR EPAY ID CO Banana Visa ACH ECC WEB ACH Trace 87275 2553</v>
      </c>
      <c r="P808" s="2" t="s">
        <v>2297</v>
      </c>
    </row>
    <row r="809" spans="1:16" hidden="1">
      <c r="A809" s="2">
        <v>201910</v>
      </c>
      <c r="B809" s="3">
        <v>43741</v>
      </c>
      <c r="C809" s="2" t="s">
        <v>2267</v>
      </c>
      <c r="D809" s="2" t="s">
        <v>213</v>
      </c>
      <c r="E809" s="2">
        <v>313.95999999999998</v>
      </c>
      <c r="F809" s="2" t="s">
        <v>21</v>
      </c>
      <c r="J809" s="2">
        <v>313.95999999999998</v>
      </c>
      <c r="K809" s="2" t="b">
        <v>0</v>
      </c>
      <c r="L809" s="2"/>
      <c r="M809" s="2"/>
      <c r="N809" s="4" t="s">
        <v>2259</v>
      </c>
      <c r="O809" s="4" t="str">
        <f>LEFT(Table2[[#This Row],[Description]],75)</f>
        <v>Banana Visa TYPE BR EPAY ID CO Banana Visa ACH ECC WEB ACH Trace 87275 2553</v>
      </c>
      <c r="P809" s="2"/>
    </row>
    <row r="810" spans="1:16" hidden="1">
      <c r="A810" s="2">
        <v>201910</v>
      </c>
      <c r="B810" s="3">
        <v>43741</v>
      </c>
      <c r="C810" s="2" t="s">
        <v>2262</v>
      </c>
      <c r="D810" s="2" t="s">
        <v>435</v>
      </c>
      <c r="E810" s="2">
        <v>3.65</v>
      </c>
      <c r="F810" s="2" t="s">
        <v>26</v>
      </c>
      <c r="J810" s="2">
        <v>3.65</v>
      </c>
      <c r="K810" s="2" t="b">
        <v>0</v>
      </c>
      <c r="L810" s="2"/>
      <c r="M810" s="2"/>
      <c r="N810" s="4" t="s">
        <v>2259</v>
      </c>
      <c r="O810" s="4" t="str">
        <f>LEFT(Table2[[#This Row],[Description]],75)</f>
        <v>CARGILL JAZZMA20029518 WAYZATA MN 255608804</v>
      </c>
      <c r="P810" s="2"/>
    </row>
    <row r="811" spans="1:16" hidden="1">
      <c r="A811" s="2">
        <v>201910</v>
      </c>
      <c r="B811" s="3">
        <v>43741</v>
      </c>
      <c r="C811" s="2" t="s">
        <v>2262</v>
      </c>
      <c r="D811" s="2" t="s">
        <v>448</v>
      </c>
      <c r="E811" s="2">
        <v>129.29</v>
      </c>
      <c r="F811" s="2" t="s">
        <v>28</v>
      </c>
      <c r="J811" s="2">
        <v>129.29</v>
      </c>
      <c r="K811" s="2" t="b">
        <v>0</v>
      </c>
      <c r="L811" s="2"/>
      <c r="M811" s="2"/>
      <c r="N811" s="4" t="s">
        <v>2259</v>
      </c>
      <c r="O811" s="4" t="str">
        <f>LEFT(Table2[[#This Row],[Description]],75)</f>
        <v>CARGILL PRODUC20081436 WAYZATA MN 255608803</v>
      </c>
      <c r="P811" s="2"/>
    </row>
    <row r="812" spans="1:16" hidden="1">
      <c r="A812" s="2">
        <v>201910</v>
      </c>
      <c r="B812" s="3">
        <v>43741</v>
      </c>
      <c r="C812" s="2" t="s">
        <v>2262</v>
      </c>
      <c r="D812" s="2" t="s">
        <v>947</v>
      </c>
      <c r="E812" s="2">
        <v>-33.25</v>
      </c>
      <c r="F812" s="2" t="s">
        <v>2</v>
      </c>
      <c r="J812" s="2">
        <v>33.25</v>
      </c>
      <c r="K812" s="2" t="b">
        <v>0</v>
      </c>
      <c r="L812" s="2"/>
      <c r="M812" s="2"/>
      <c r="N812" s="2" t="s">
        <v>2264</v>
      </c>
      <c r="O812" s="2" t="str">
        <f>LEFT(Table2[[#This Row],[Description]],75)</f>
        <v>Home Depot</v>
      </c>
      <c r="P812" s="2"/>
    </row>
    <row r="813" spans="1:16" hidden="1">
      <c r="A813" s="2">
        <v>201910</v>
      </c>
      <c r="B813" s="3">
        <v>43741</v>
      </c>
      <c r="C813" s="2" t="s">
        <v>2271</v>
      </c>
      <c r="D813" s="2" t="s">
        <v>1707</v>
      </c>
      <c r="E813" s="2">
        <v>28.07</v>
      </c>
      <c r="F813" s="2" t="s">
        <v>23</v>
      </c>
      <c r="J813" s="2">
        <v>28.07</v>
      </c>
      <c r="K813" s="2" t="b">
        <v>0</v>
      </c>
      <c r="L813" s="2"/>
      <c r="M813" s="2"/>
      <c r="N813" s="4" t="s">
        <v>2259</v>
      </c>
      <c r="O813" s="4" t="str">
        <f>LEFT(Table2[[#This Row],[Description]],75)</f>
        <v>Speedway</v>
      </c>
      <c r="P813" s="2"/>
    </row>
    <row r="814" spans="1:16" hidden="1">
      <c r="A814" s="2">
        <v>201910</v>
      </c>
      <c r="B814" s="3">
        <v>43742</v>
      </c>
      <c r="C814" s="2" t="s">
        <v>2270</v>
      </c>
      <c r="D814" s="2" t="s">
        <v>1415</v>
      </c>
      <c r="E814" s="2">
        <v>-538.05999999999995</v>
      </c>
      <c r="F814" s="2" t="s">
        <v>9</v>
      </c>
      <c r="J814" s="2">
        <v>538.05999999999995</v>
      </c>
      <c r="K814" s="2" t="b">
        <v>0</v>
      </c>
      <c r="L814" s="2"/>
      <c r="M814" s="2"/>
      <c r="N814" s="2" t="s">
        <v>2264</v>
      </c>
      <c r="O814" s="2" t="str">
        <f>LEFT(Table2[[#This Row],[Description]],75)</f>
        <v>PAYMENT 256214615</v>
      </c>
      <c r="P814" s="2"/>
    </row>
    <row r="815" spans="1:16" hidden="1">
      <c r="A815" s="2">
        <v>201910</v>
      </c>
      <c r="B815" s="3">
        <v>43742</v>
      </c>
      <c r="C815" s="2" t="s">
        <v>2262</v>
      </c>
      <c r="D815" s="2" t="s">
        <v>1425</v>
      </c>
      <c r="E815" s="2">
        <v>-158.41</v>
      </c>
      <c r="F815" s="2" t="s">
        <v>9</v>
      </c>
      <c r="J815" s="2">
        <v>158.41</v>
      </c>
      <c r="K815" s="2" t="b">
        <v>0</v>
      </c>
      <c r="L815" s="2"/>
      <c r="M815" s="2"/>
      <c r="N815" s="2" t="s">
        <v>2264</v>
      </c>
      <c r="O815" s="2" t="str">
        <f>LEFT(Table2[[#This Row],[Description]],75)</f>
        <v>PAYMENT THANK YOU 256317570</v>
      </c>
      <c r="P815" s="2"/>
    </row>
    <row r="816" spans="1:16" hidden="1">
      <c r="A816" s="2">
        <v>201910</v>
      </c>
      <c r="B816" s="3">
        <v>43742</v>
      </c>
      <c r="C816" s="2" t="s">
        <v>2305</v>
      </c>
      <c r="D816" s="2" t="s">
        <v>2170</v>
      </c>
      <c r="E816" s="2">
        <v>158.41</v>
      </c>
      <c r="F816" s="2" t="s">
        <v>9</v>
      </c>
      <c r="J816" s="2">
        <v>158.41</v>
      </c>
      <c r="K816" s="2" t="b">
        <v>0</v>
      </c>
      <c r="L816" s="2"/>
      <c r="M816" s="2"/>
      <c r="N816" s="4" t="s">
        <v>2259</v>
      </c>
      <c r="O816" s="4" t="str">
        <f>LEFT(Table2[[#This Row],[Description]],75)</f>
        <v>Withdrawal Home payment to card 950588 255775611</v>
      </c>
      <c r="P816" s="2"/>
    </row>
    <row r="817" spans="1:16" hidden="1">
      <c r="A817" s="2">
        <v>202001</v>
      </c>
      <c r="B817" s="3">
        <v>43836</v>
      </c>
      <c r="C817" s="2" t="s">
        <v>2267</v>
      </c>
      <c r="D817" s="2" t="s">
        <v>262</v>
      </c>
      <c r="E817" s="2">
        <v>2914.59</v>
      </c>
      <c r="F817" s="2" t="s">
        <v>5</v>
      </c>
      <c r="J817" s="2">
        <v>2914.59</v>
      </c>
      <c r="K817" s="2" t="b">
        <v>0</v>
      </c>
      <c r="L817" s="2"/>
      <c r="M817" s="2"/>
      <c r="N817" s="4" t="s">
        <v>2259</v>
      </c>
      <c r="O817" s="4" t="str">
        <f>LEFT(Table2[[#This Row],[Description]],75)</f>
        <v>BCU MORTGAGE TYPE LOAN PAYMT ID 9DRAFTING CO BCU MORTGAGE ACH ECC WEB ACH T</v>
      </c>
      <c r="P817" s="2" t="s">
        <v>2345</v>
      </c>
    </row>
    <row r="818" spans="1:16" hidden="1">
      <c r="A818" s="2">
        <v>202008</v>
      </c>
      <c r="B818" s="3">
        <v>44047</v>
      </c>
      <c r="C818" s="2" t="s">
        <v>2265</v>
      </c>
      <c r="D818" s="2" t="s">
        <v>263</v>
      </c>
      <c r="E818" s="2">
        <v>2914.59</v>
      </c>
      <c r="F818" s="2" t="e">
        <f>IF(Table2[[#This Row],[Manual Cat Value]]="",VLOOKUP(Table2[[#This Row],[Description]],'Actuals Lookup'!D:F,3,0),Table2[[#This Row],[Manual Cat Value]])</f>
        <v>#N/A</v>
      </c>
      <c r="J818" s="2">
        <v>2914.59</v>
      </c>
      <c r="K818" s="2" t="b">
        <v>0</v>
      </c>
      <c r="L818" s="2"/>
      <c r="M818" s="2"/>
      <c r="N818" s="4" t="s">
        <v>2259</v>
      </c>
      <c r="O818" s="4" t="str">
        <f>LEFT(Table2[[#This Row],[Description]],75)</f>
        <v>BCU MORTGAGE TYPE LOAN PAYMT ID 9DRAFTING CO BCU MORTGAGE ACH ECC WEB ACH T</v>
      </c>
      <c r="P818" s="2" t="s">
        <v>2345</v>
      </c>
    </row>
    <row r="819" spans="1:16" hidden="1">
      <c r="A819" s="2">
        <v>201910</v>
      </c>
      <c r="B819" s="3">
        <v>43742</v>
      </c>
      <c r="C819" s="2" t="s">
        <v>2317</v>
      </c>
      <c r="D819" s="2" t="s">
        <v>354</v>
      </c>
      <c r="E819" s="2">
        <v>-200</v>
      </c>
      <c r="F819" s="2" t="s">
        <v>57</v>
      </c>
      <c r="J819" s="2">
        <v>200</v>
      </c>
      <c r="K819" s="2" t="b">
        <v>0</v>
      </c>
      <c r="L819" s="2"/>
      <c r="M819" s="2"/>
      <c r="N819" s="4" t="s">
        <v>2273</v>
      </c>
      <c r="O819" s="4" t="str">
        <f>LEFT(Table2[[#This Row],[Description]],75)</f>
        <v>CARGILL COCOA &amp;</v>
      </c>
      <c r="P819" s="2" t="s">
        <v>2354</v>
      </c>
    </row>
    <row r="820" spans="1:16" hidden="1">
      <c r="A820" s="2">
        <v>201910</v>
      </c>
      <c r="B820" s="3">
        <v>43742</v>
      </c>
      <c r="C820" s="2" t="s">
        <v>64</v>
      </c>
      <c r="D820" s="2" t="s">
        <v>354</v>
      </c>
      <c r="E820" s="2">
        <v>-200</v>
      </c>
      <c r="F820" s="2" t="s">
        <v>59</v>
      </c>
      <c r="J820" s="2">
        <v>200</v>
      </c>
      <c r="K820" s="2" t="b">
        <v>0</v>
      </c>
      <c r="L820" s="2"/>
      <c r="M820" s="2"/>
      <c r="N820" s="2" t="s">
        <v>2264</v>
      </c>
      <c r="O820" s="2" t="str">
        <f>LEFT(Table2[[#This Row],[Description]],75)</f>
        <v>CARGILL COCOA &amp;</v>
      </c>
      <c r="P820" s="2"/>
    </row>
    <row r="821" spans="1:16" hidden="1">
      <c r="A821" s="2">
        <v>201910</v>
      </c>
      <c r="B821" s="3">
        <v>43742</v>
      </c>
      <c r="C821" s="2" t="s">
        <v>2262</v>
      </c>
      <c r="D821" s="2" t="s">
        <v>684</v>
      </c>
      <c r="E821" s="2">
        <v>81.78</v>
      </c>
      <c r="F821" s="2" t="s">
        <v>28</v>
      </c>
      <c r="J821" s="2">
        <v>81.78</v>
      </c>
      <c r="K821" s="2" t="b">
        <v>0</v>
      </c>
      <c r="L821" s="2"/>
      <c r="M821" s="2"/>
      <c r="N821" s="4" t="s">
        <v>2259</v>
      </c>
      <c r="O821" s="4" t="str">
        <f>LEFT(Table2[[#This Row],[Description]],75)</f>
        <v>Cub Foods</v>
      </c>
      <c r="P821" s="2"/>
    </row>
    <row r="822" spans="1:16" hidden="1">
      <c r="A822" s="2">
        <v>201910</v>
      </c>
      <c r="B822" s="3">
        <v>43742</v>
      </c>
      <c r="C822" s="2" t="s">
        <v>2290</v>
      </c>
      <c r="D822" s="2" t="s">
        <v>839</v>
      </c>
      <c r="E822" s="2">
        <v>-172.24</v>
      </c>
      <c r="F822" s="2" t="s">
        <v>87</v>
      </c>
      <c r="J822" s="2">
        <v>172.24</v>
      </c>
      <c r="K822" s="2" t="b">
        <v>0</v>
      </c>
      <c r="L822" s="2"/>
      <c r="M822" s="2"/>
      <c r="N822" s="2" t="s">
        <v>2264</v>
      </c>
      <c r="O822" s="2" t="str">
        <f>LEFT(Table2[[#This Row],[Description]],75)</f>
        <v>FID 500 INDEX</v>
      </c>
      <c r="P822" s="2"/>
    </row>
    <row r="823" spans="1:16" hidden="1">
      <c r="A823" s="2">
        <v>201910</v>
      </c>
      <c r="B823" s="3">
        <v>43742</v>
      </c>
      <c r="C823" s="2" t="s">
        <v>2338</v>
      </c>
      <c r="D823" s="2" t="s">
        <v>1820</v>
      </c>
      <c r="E823" s="2">
        <v>-244.23</v>
      </c>
      <c r="F823" s="2" t="s">
        <v>54</v>
      </c>
      <c r="J823" s="2">
        <v>244.23</v>
      </c>
      <c r="K823" s="2" t="b">
        <v>0</v>
      </c>
      <c r="L823" s="2"/>
      <c r="M823" s="2"/>
      <c r="N823" s="2" t="s">
        <v>2264</v>
      </c>
      <c r="O823" s="2" t="str">
        <f>LEFT(Table2[[#This Row],[Description]],75)</f>
        <v>Target Retire 2055 Tr P - Plan Contribution</v>
      </c>
      <c r="P823" s="2"/>
    </row>
    <row r="824" spans="1:16" hidden="1">
      <c r="A824" s="2">
        <v>201910</v>
      </c>
      <c r="B824" s="3">
        <v>43742</v>
      </c>
      <c r="C824" s="2" t="s">
        <v>2355</v>
      </c>
      <c r="D824" s="2" t="s">
        <v>1834</v>
      </c>
      <c r="E824" s="2">
        <v>-150</v>
      </c>
      <c r="F824" s="2" t="s">
        <v>57</v>
      </c>
      <c r="J824" s="2">
        <v>150</v>
      </c>
      <c r="K824" s="2" t="b">
        <v>0</v>
      </c>
      <c r="L824" s="2"/>
      <c r="M824" s="2"/>
      <c r="N824" s="4" t="s">
        <v>2273</v>
      </c>
      <c r="O824" s="4" t="str">
        <f>LEFT(Table2[[#This Row],[Description]],75)</f>
        <v>Tfr JPMORGAN CHASE BAN, CARGILL COCOA &amp;</v>
      </c>
      <c r="P824" s="2" t="s">
        <v>2356</v>
      </c>
    </row>
    <row r="825" spans="1:16" hidden="1">
      <c r="A825" s="2">
        <v>201910</v>
      </c>
      <c r="B825" s="3">
        <v>43742</v>
      </c>
      <c r="C825" s="2" t="s">
        <v>2277</v>
      </c>
      <c r="D825" s="2" t="s">
        <v>1834</v>
      </c>
      <c r="E825" s="2">
        <v>-150</v>
      </c>
      <c r="F825" s="2" t="s">
        <v>57</v>
      </c>
      <c r="J825" s="2">
        <v>150</v>
      </c>
      <c r="K825" s="2" t="b">
        <v>0</v>
      </c>
      <c r="L825" s="2"/>
      <c r="M825" s="2"/>
      <c r="N825" s="2" t="s">
        <v>2264</v>
      </c>
      <c r="O825" s="2" t="str">
        <f>LEFT(Table2[[#This Row],[Description]],75)</f>
        <v>Tfr JPMORGAN CHASE BAN, CARGILL COCOA &amp;</v>
      </c>
      <c r="P825" s="2"/>
    </row>
    <row r="826" spans="1:16" hidden="1">
      <c r="A826" s="2">
        <v>201910</v>
      </c>
      <c r="B826" s="3">
        <v>43742</v>
      </c>
      <c r="C826" s="2" t="s">
        <v>2300</v>
      </c>
      <c r="D826" s="2" t="s">
        <v>1947</v>
      </c>
      <c r="E826" s="2">
        <v>-300</v>
      </c>
      <c r="F826" s="2" t="s">
        <v>9</v>
      </c>
      <c r="J826" s="2">
        <v>300</v>
      </c>
      <c r="K826" s="2" t="b">
        <v>0</v>
      </c>
      <c r="L826" s="2"/>
      <c r="M826" s="2"/>
      <c r="N826" s="4" t="s">
        <v>2273</v>
      </c>
      <c r="O826" s="4" t="str">
        <f>LEFT(Table2[[#This Row],[Description]],75)</f>
        <v>Transfer from POWERPLUS CHECKING</v>
      </c>
      <c r="P826" s="2" t="s">
        <v>2301</v>
      </c>
    </row>
    <row r="827" spans="1:16" hidden="1">
      <c r="A827" s="2">
        <v>201910</v>
      </c>
      <c r="B827" s="3">
        <v>43742</v>
      </c>
      <c r="C827" s="2" t="s">
        <v>2302</v>
      </c>
      <c r="D827" s="2" t="s">
        <v>1947</v>
      </c>
      <c r="E827" s="2">
        <v>-300</v>
      </c>
      <c r="F827" s="2" t="s">
        <v>59</v>
      </c>
      <c r="J827" s="2">
        <v>300</v>
      </c>
      <c r="K827" s="2" t="b">
        <v>0</v>
      </c>
      <c r="L827" s="2"/>
      <c r="M827" s="2"/>
      <c r="N827" s="2" t="s">
        <v>2264</v>
      </c>
      <c r="O827" s="2" t="str">
        <f>LEFT(Table2[[#This Row],[Description]],75)</f>
        <v>Transfer from POWERPLUS CHECKING</v>
      </c>
      <c r="P827" s="2"/>
    </row>
    <row r="828" spans="1:16" hidden="1">
      <c r="A828" s="2">
        <v>201910</v>
      </c>
      <c r="B828" s="3">
        <v>43742</v>
      </c>
      <c r="C828" s="2" t="s">
        <v>2265</v>
      </c>
      <c r="D828" s="2" t="s">
        <v>1957</v>
      </c>
      <c r="E828" s="2">
        <v>300</v>
      </c>
      <c r="F828" s="2" t="s">
        <v>59</v>
      </c>
      <c r="J828" s="2">
        <v>300</v>
      </c>
      <c r="K828" s="2" t="b">
        <v>0</v>
      </c>
      <c r="L828" s="2"/>
      <c r="M828" s="2"/>
      <c r="N828" s="4" t="s">
        <v>2259</v>
      </c>
      <c r="O828" s="4" t="str">
        <f>LEFT(Table2[[#This Row],[Description]],75)</f>
        <v>Transfer to RAINY DAY SAVINGS</v>
      </c>
      <c r="P828" s="2" t="s">
        <v>2303</v>
      </c>
    </row>
    <row r="829" spans="1:16" hidden="1">
      <c r="A829" s="2">
        <v>201910</v>
      </c>
      <c r="B829" s="3">
        <v>43742</v>
      </c>
      <c r="C829" s="2" t="s">
        <v>2267</v>
      </c>
      <c r="D829" s="2" t="s">
        <v>1957</v>
      </c>
      <c r="E829" s="2">
        <v>300</v>
      </c>
      <c r="F829" s="2" t="s">
        <v>59</v>
      </c>
      <c r="J829" s="2">
        <v>300</v>
      </c>
      <c r="K829" s="2" t="b">
        <v>0</v>
      </c>
      <c r="L829" s="2"/>
      <c r="M829" s="2"/>
      <c r="N829" s="4" t="s">
        <v>2259</v>
      </c>
      <c r="O829" s="4" t="str">
        <f>LEFT(Table2[[#This Row],[Description]],75)</f>
        <v>Transfer to RAINY DAY SAVINGS</v>
      </c>
      <c r="P829" s="2"/>
    </row>
    <row r="830" spans="1:16" hidden="1">
      <c r="A830" s="2">
        <v>201910</v>
      </c>
      <c r="B830" s="3">
        <v>43742</v>
      </c>
      <c r="C830" s="2" t="s">
        <v>2317</v>
      </c>
      <c r="D830" s="2" t="s">
        <v>2107</v>
      </c>
      <c r="E830" s="2">
        <v>-4.16</v>
      </c>
      <c r="F830" s="2" t="s">
        <v>69</v>
      </c>
      <c r="J830" s="2">
        <v>4.16</v>
      </c>
      <c r="K830" s="2" t="b">
        <v>0</v>
      </c>
      <c r="L830" s="2"/>
      <c r="M830" s="2"/>
      <c r="N830" s="4" t="s">
        <v>2273</v>
      </c>
      <c r="O830" s="4" t="str">
        <f>LEFT(Table2[[#This Row],[Description]],75)</f>
        <v>VANGUARD INTRMDIAT TRM TRSRY ETF</v>
      </c>
      <c r="P830" s="2" t="s">
        <v>2357</v>
      </c>
    </row>
    <row r="831" spans="1:16" hidden="1">
      <c r="A831" s="2">
        <v>201910</v>
      </c>
      <c r="B831" s="3">
        <v>43742</v>
      </c>
      <c r="C831" s="2" t="s">
        <v>64</v>
      </c>
      <c r="D831" s="2" t="s">
        <v>2107</v>
      </c>
      <c r="E831" s="2">
        <v>-4.16</v>
      </c>
      <c r="F831" s="2" t="s">
        <v>69</v>
      </c>
      <c r="J831" s="2">
        <v>4.16</v>
      </c>
      <c r="K831" s="2" t="b">
        <v>0</v>
      </c>
      <c r="L831" s="2"/>
      <c r="M831" s="2"/>
      <c r="N831" s="2" t="s">
        <v>2264</v>
      </c>
      <c r="O831" s="2" t="str">
        <f>LEFT(Table2[[#This Row],[Description]],75)</f>
        <v>VANGUARD INTRMDIAT TRM TRSRY ETF</v>
      </c>
      <c r="P831" s="2"/>
    </row>
    <row r="832" spans="1:16" hidden="1">
      <c r="A832" s="2">
        <v>201910</v>
      </c>
      <c r="B832" s="3">
        <v>43743</v>
      </c>
      <c r="C832" s="2" t="s">
        <v>2258</v>
      </c>
      <c r="D832" s="2" t="s">
        <v>458</v>
      </c>
      <c r="E832" s="2">
        <v>-28.71</v>
      </c>
      <c r="F832" s="2" t="s">
        <v>9</v>
      </c>
      <c r="J832" s="2">
        <v>28.71</v>
      </c>
      <c r="K832" s="2" t="b">
        <v>0</v>
      </c>
      <c r="L832" s="2"/>
      <c r="M832" s="2"/>
      <c r="N832" s="4" t="s">
        <v>2273</v>
      </c>
      <c r="O832" s="4" t="str">
        <f>LEFT(Table2[[#This Row],[Description]],75)</f>
        <v>CASHBACK BONUS REDEMPTION payment/STMT CRDT</v>
      </c>
      <c r="P832" s="2" t="s">
        <v>2304</v>
      </c>
    </row>
    <row r="833" spans="1:16" hidden="1">
      <c r="A833" s="2">
        <v>201910</v>
      </c>
      <c r="B833" s="3">
        <v>43743</v>
      </c>
      <c r="C833" s="2" t="s">
        <v>2261</v>
      </c>
      <c r="D833" s="2" t="s">
        <v>458</v>
      </c>
      <c r="E833" s="2">
        <v>-28.71</v>
      </c>
      <c r="F833" s="2" t="s">
        <v>9</v>
      </c>
      <c r="J833" s="2">
        <v>28.71</v>
      </c>
      <c r="K833" s="2" t="b">
        <v>0</v>
      </c>
      <c r="L833" s="2"/>
      <c r="M833" s="2"/>
      <c r="N833" s="2" t="s">
        <v>2264</v>
      </c>
      <c r="O833" s="2" t="str">
        <f>LEFT(Table2[[#This Row],[Description]],75)</f>
        <v>CASHBACK BONUS REDEMPTION payment/STMT CRDT</v>
      </c>
      <c r="P833" s="2"/>
    </row>
    <row r="834" spans="1:16" hidden="1">
      <c r="A834" s="2">
        <v>201910</v>
      </c>
      <c r="B834" s="3">
        <v>43743</v>
      </c>
      <c r="C834" s="2" t="s">
        <v>2265</v>
      </c>
      <c r="D834" s="2" t="s">
        <v>425</v>
      </c>
      <c r="E834" s="2">
        <v>-1597.93</v>
      </c>
      <c r="F834" s="2" t="s">
        <v>16</v>
      </c>
      <c r="J834" s="2">
        <v>1597.93</v>
      </c>
      <c r="K834" s="2" t="b">
        <v>0</v>
      </c>
      <c r="L834" s="2"/>
      <c r="M834" s="2"/>
      <c r="N834" s="4" t="s">
        <v>2273</v>
      </c>
      <c r="O834" s="4" t="str">
        <f>LEFT(Table2[[#This Row],[Description]],75)</f>
        <v>Cargill Incorpor Type</v>
      </c>
      <c r="P834" s="2" t="s">
        <v>2282</v>
      </c>
    </row>
    <row r="835" spans="1:16" hidden="1">
      <c r="A835" s="2">
        <v>201910</v>
      </c>
      <c r="B835" s="3">
        <v>43743</v>
      </c>
      <c r="C835" s="2" t="s">
        <v>2267</v>
      </c>
      <c r="D835" s="2" t="s">
        <v>425</v>
      </c>
      <c r="E835" s="2">
        <v>-1597.93</v>
      </c>
      <c r="F835" s="2" t="s">
        <v>16</v>
      </c>
      <c r="J835" s="2">
        <v>1597.93</v>
      </c>
      <c r="K835" s="2" t="b">
        <v>0</v>
      </c>
      <c r="L835" s="2"/>
      <c r="M835" s="2"/>
      <c r="N835" s="2" t="s">
        <v>2264</v>
      </c>
      <c r="O835" s="2" t="str">
        <f>LEFT(Table2[[#This Row],[Description]],75)</f>
        <v>Cargill Incorpor Type</v>
      </c>
      <c r="P835" s="2"/>
    </row>
    <row r="836" spans="1:16" hidden="1">
      <c r="A836" s="2">
        <v>201910</v>
      </c>
      <c r="B836" s="3">
        <v>43743</v>
      </c>
      <c r="C836" s="2" t="s">
        <v>2271</v>
      </c>
      <c r="D836" s="2" t="s">
        <v>31</v>
      </c>
      <c r="E836" s="2">
        <v>6.17</v>
      </c>
      <c r="F836" s="2" t="s">
        <v>31</v>
      </c>
      <c r="J836" s="2">
        <v>6.17</v>
      </c>
      <c r="K836" s="2" t="b">
        <v>0</v>
      </c>
      <c r="L836" s="2"/>
      <c r="M836" s="2"/>
      <c r="N836" s="4" t="s">
        <v>2259</v>
      </c>
      <c r="O836" s="4" t="str">
        <f>LEFT(Table2[[#This Row],[Description]],75)</f>
        <v>Target</v>
      </c>
      <c r="P836" s="2"/>
    </row>
    <row r="837" spans="1:16" hidden="1">
      <c r="A837" s="2">
        <v>201910</v>
      </c>
      <c r="B837" s="3">
        <v>43743</v>
      </c>
      <c r="C837" s="2" t="s">
        <v>2271</v>
      </c>
      <c r="D837" s="2" t="s">
        <v>31</v>
      </c>
      <c r="E837" s="2">
        <v>23.39</v>
      </c>
      <c r="F837" s="2" t="s">
        <v>31</v>
      </c>
      <c r="J837" s="2">
        <v>23.39</v>
      </c>
      <c r="K837" s="2" t="b">
        <v>0</v>
      </c>
      <c r="L837" s="2"/>
      <c r="M837" s="2"/>
      <c r="N837" s="4" t="s">
        <v>2259</v>
      </c>
      <c r="O837" s="4" t="str">
        <f>LEFT(Table2[[#This Row],[Description]],75)</f>
        <v>Target</v>
      </c>
      <c r="P837" s="2"/>
    </row>
    <row r="838" spans="1:16" hidden="1">
      <c r="A838" s="2">
        <v>201910</v>
      </c>
      <c r="B838" s="3">
        <v>43743</v>
      </c>
      <c r="C838" s="2" t="s">
        <v>2258</v>
      </c>
      <c r="D838" s="2" t="s">
        <v>1947</v>
      </c>
      <c r="E838" s="2">
        <v>-173.63</v>
      </c>
      <c r="F838" s="2" t="s">
        <v>9</v>
      </c>
      <c r="J838" s="2">
        <v>173.63</v>
      </c>
      <c r="K838" s="2" t="b">
        <v>0</v>
      </c>
      <c r="L838" s="2"/>
      <c r="M838" s="2"/>
      <c r="N838" s="4" t="s">
        <v>2273</v>
      </c>
      <c r="O838" s="4" t="str">
        <f>LEFT(Table2[[#This Row],[Description]],75)</f>
        <v>Transfer from POWERPLUS CHECKING</v>
      </c>
      <c r="P838" s="2" t="s">
        <v>2301</v>
      </c>
    </row>
    <row r="839" spans="1:16" hidden="1">
      <c r="A839" s="2">
        <v>201910</v>
      </c>
      <c r="B839" s="3">
        <v>43743</v>
      </c>
      <c r="C839" s="2" t="s">
        <v>2261</v>
      </c>
      <c r="D839" s="2" t="s">
        <v>1947</v>
      </c>
      <c r="E839" s="2">
        <v>-173.63</v>
      </c>
      <c r="F839" s="2" t="s">
        <v>9</v>
      </c>
      <c r="J839" s="2">
        <v>173.63</v>
      </c>
      <c r="K839" s="2" t="b">
        <v>0</v>
      </c>
      <c r="L839" s="2"/>
      <c r="M839" s="2"/>
      <c r="N839" s="2" t="s">
        <v>2264</v>
      </c>
      <c r="O839" s="2" t="str">
        <f>LEFT(Table2[[#This Row],[Description]],75)</f>
        <v>Transfer from POWERPLUS CHECKING</v>
      </c>
      <c r="P839" s="2"/>
    </row>
    <row r="840" spans="1:16" hidden="1">
      <c r="A840" s="2">
        <v>201910</v>
      </c>
      <c r="B840" s="3">
        <v>43745</v>
      </c>
      <c r="C840" s="2" t="s">
        <v>2262</v>
      </c>
      <c r="D840" s="2" t="s">
        <v>174</v>
      </c>
      <c r="E840" s="2">
        <v>187</v>
      </c>
      <c r="F840" s="2" t="s">
        <v>21</v>
      </c>
      <c r="J840" s="2">
        <v>187</v>
      </c>
      <c r="K840" s="2" t="b">
        <v>0</v>
      </c>
      <c r="L840" s="2"/>
      <c r="M840" s="2"/>
      <c r="N840" s="4" t="s">
        <v>2259</v>
      </c>
      <c r="O840" s="4" t="str">
        <f>LEFT(Table2[[#This Row],[Description]],75)</f>
        <v>Asos.com</v>
      </c>
      <c r="P840" s="2" t="s">
        <v>2358</v>
      </c>
    </row>
    <row r="841" spans="1:16" hidden="1">
      <c r="A841" s="2">
        <v>201910</v>
      </c>
      <c r="B841" s="3">
        <v>43745</v>
      </c>
      <c r="C841" s="2" t="s">
        <v>2262</v>
      </c>
      <c r="D841" s="2" t="s">
        <v>316</v>
      </c>
      <c r="E841" s="2">
        <v>36.090000000000003</v>
      </c>
      <c r="F841" s="2" t="s">
        <v>23</v>
      </c>
      <c r="J841" s="2">
        <v>36.090000000000003</v>
      </c>
      <c r="K841" s="2" t="b">
        <v>0</v>
      </c>
      <c r="L841" s="2"/>
      <c r="M841" s="2"/>
      <c r="N841" s="4" t="s">
        <v>2259</v>
      </c>
      <c r="O841" s="4" t="str">
        <f>LEFT(Table2[[#This Row],[Description]],75)</f>
        <v>BP</v>
      </c>
      <c r="P841" s="2"/>
    </row>
    <row r="842" spans="1:16" hidden="1">
      <c r="A842" s="2">
        <v>201910</v>
      </c>
      <c r="B842" s="3">
        <v>43745</v>
      </c>
      <c r="C842" s="2" t="s">
        <v>2275</v>
      </c>
      <c r="D842" s="2" t="s">
        <v>1633</v>
      </c>
      <c r="E842" s="2">
        <v>150</v>
      </c>
      <c r="F842" s="2" t="s">
        <v>9</v>
      </c>
      <c r="J842" s="2">
        <v>150</v>
      </c>
      <c r="K842" s="2" t="b">
        <v>0</v>
      </c>
      <c r="L842" s="2"/>
      <c r="M842" s="2"/>
      <c r="N842" s="4" t="s">
        <v>2259</v>
      </c>
      <c r="O842" s="4" t="str">
        <f>LEFT(Table2[[#This Row],[Description]],75)</f>
        <v>SCHWAB S&amp;P 500 INDEX FD</v>
      </c>
      <c r="P842" s="2" t="s">
        <v>2276</v>
      </c>
    </row>
    <row r="843" spans="1:16" hidden="1">
      <c r="A843" s="2">
        <v>201910</v>
      </c>
      <c r="B843" s="3">
        <v>43745</v>
      </c>
      <c r="C843" s="2" t="s">
        <v>2277</v>
      </c>
      <c r="D843" s="2" t="s">
        <v>1633</v>
      </c>
      <c r="E843" s="2">
        <v>150</v>
      </c>
      <c r="F843" s="2" t="s">
        <v>9</v>
      </c>
      <c r="J843" s="2">
        <v>150</v>
      </c>
      <c r="K843" s="2" t="b">
        <v>0</v>
      </c>
      <c r="L843" s="2"/>
      <c r="M843" s="2"/>
      <c r="N843" s="4" t="s">
        <v>2259</v>
      </c>
      <c r="O843" s="4" t="str">
        <f>LEFT(Table2[[#This Row],[Description]],75)</f>
        <v>SCHWAB S&amp;P 500 INDEX FD</v>
      </c>
      <c r="P843" s="2"/>
    </row>
    <row r="844" spans="1:16" hidden="1">
      <c r="A844" s="2">
        <v>201910</v>
      </c>
      <c r="B844" s="3">
        <v>43745</v>
      </c>
      <c r="C844" s="2" t="s">
        <v>2355</v>
      </c>
      <c r="D844" s="2" t="s">
        <v>1635</v>
      </c>
      <c r="E844" s="2">
        <v>150</v>
      </c>
      <c r="F844" s="2" t="s">
        <v>9</v>
      </c>
      <c r="J844" s="2">
        <v>150</v>
      </c>
      <c r="K844" s="2" t="b">
        <v>0</v>
      </c>
      <c r="L844" s="2"/>
      <c r="M844" s="2"/>
      <c r="N844" s="4" t="s">
        <v>2259</v>
      </c>
      <c r="O844" s="4" t="str">
        <f>LEFT(Table2[[#This Row],[Description]],75)</f>
        <v>SCHWAB TOTAL STOCK MKT INDEX</v>
      </c>
      <c r="P844" s="2" t="s">
        <v>2278</v>
      </c>
    </row>
    <row r="845" spans="1:16" hidden="1">
      <c r="A845" s="2">
        <v>201910</v>
      </c>
      <c r="B845" s="3">
        <v>43745</v>
      </c>
      <c r="C845" s="2" t="s">
        <v>2275</v>
      </c>
      <c r="D845" s="2" t="s">
        <v>1635</v>
      </c>
      <c r="E845" s="2">
        <v>150</v>
      </c>
      <c r="F845" s="2" t="s">
        <v>9</v>
      </c>
      <c r="J845" s="2">
        <v>150</v>
      </c>
      <c r="K845" s="2" t="b">
        <v>0</v>
      </c>
      <c r="L845" s="2"/>
      <c r="M845" s="2"/>
      <c r="N845" s="4" t="s">
        <v>2259</v>
      </c>
      <c r="O845" s="4" t="str">
        <f>LEFT(Table2[[#This Row],[Description]],75)</f>
        <v>SCHWAB TOTAL STOCK MKT INDEX</v>
      </c>
      <c r="P845" s="2" t="s">
        <v>2278</v>
      </c>
    </row>
    <row r="846" spans="1:16" hidden="1">
      <c r="A846" s="2">
        <v>201910</v>
      </c>
      <c r="B846" s="3">
        <v>43745</v>
      </c>
      <c r="C846" s="2" t="s">
        <v>2277</v>
      </c>
      <c r="D846" s="2" t="s">
        <v>1635</v>
      </c>
      <c r="E846" s="2">
        <v>150</v>
      </c>
      <c r="F846" s="2" t="s">
        <v>9</v>
      </c>
      <c r="J846" s="2">
        <v>150</v>
      </c>
      <c r="K846" s="2" t="b">
        <v>0</v>
      </c>
      <c r="L846" s="2"/>
      <c r="M846" s="2"/>
      <c r="N846" s="4" t="s">
        <v>2259</v>
      </c>
      <c r="O846" s="4" t="str">
        <f>LEFT(Table2[[#This Row],[Description]],75)</f>
        <v>SCHWAB TOTAL STOCK MKT INDEX</v>
      </c>
      <c r="P846" s="2"/>
    </row>
    <row r="847" spans="1:16" hidden="1">
      <c r="A847" s="2">
        <v>201910</v>
      </c>
      <c r="B847" s="3">
        <v>43745</v>
      </c>
      <c r="C847" s="2" t="s">
        <v>2359</v>
      </c>
      <c r="D847" s="2" t="s">
        <v>1819</v>
      </c>
      <c r="E847" s="2">
        <v>-0.04</v>
      </c>
      <c r="F847" s="2" t="s">
        <v>9</v>
      </c>
      <c r="J847" s="2">
        <v>0.04</v>
      </c>
      <c r="K847" s="2" t="b">
        <v>0</v>
      </c>
      <c r="L847" s="2"/>
      <c r="M847" s="2"/>
      <c r="N847" s="2" t="s">
        <v>2264</v>
      </c>
      <c r="O847" s="2" t="str">
        <f>LEFT(Table2[[#This Row],[Description]],75)</f>
        <v>Target Retire 2055 Tr P - Fee</v>
      </c>
      <c r="P847" s="2"/>
    </row>
    <row r="848" spans="1:16" hidden="1">
      <c r="A848" s="2">
        <v>201910</v>
      </c>
      <c r="B848" s="3">
        <v>43745</v>
      </c>
      <c r="C848" s="2" t="s">
        <v>2338</v>
      </c>
      <c r="D848" s="2" t="s">
        <v>1819</v>
      </c>
      <c r="E848" s="2">
        <v>-5.79</v>
      </c>
      <c r="F848" s="2" t="s">
        <v>9</v>
      </c>
      <c r="J848" s="2">
        <v>5.79</v>
      </c>
      <c r="K848" s="2" t="b">
        <v>0</v>
      </c>
      <c r="L848" s="2"/>
      <c r="M848" s="2"/>
      <c r="N848" s="2" t="s">
        <v>2264</v>
      </c>
      <c r="O848" s="2" t="str">
        <f>LEFT(Table2[[#This Row],[Description]],75)</f>
        <v>Target Retire 2055 Tr P - Fee</v>
      </c>
      <c r="P848" s="2"/>
    </row>
    <row r="849" spans="1:16" hidden="1">
      <c r="A849" s="2">
        <v>201910</v>
      </c>
      <c r="B849" s="3">
        <v>43745</v>
      </c>
      <c r="C849" s="2" t="s">
        <v>2265</v>
      </c>
      <c r="D849" s="2" t="s">
        <v>1952</v>
      </c>
      <c r="E849" s="2">
        <v>173.63</v>
      </c>
      <c r="F849" s="2" t="s">
        <v>9</v>
      </c>
      <c r="J849" s="2">
        <v>173.63</v>
      </c>
      <c r="K849" s="2" t="b">
        <v>0</v>
      </c>
      <c r="L849" s="2"/>
      <c r="M849" s="2"/>
      <c r="N849" s="4" t="s">
        <v>2259</v>
      </c>
      <c r="O849" s="4" t="str">
        <f>LEFT(Table2[[#This Row],[Description]],75)</f>
        <v>Transfer to Discover More Card</v>
      </c>
      <c r="P849" s="2" t="s">
        <v>2360</v>
      </c>
    </row>
    <row r="850" spans="1:16" hidden="1">
      <c r="A850" s="2">
        <v>201910</v>
      </c>
      <c r="B850" s="3">
        <v>43745</v>
      </c>
      <c r="C850" s="2" t="s">
        <v>2267</v>
      </c>
      <c r="D850" s="2" t="s">
        <v>1952</v>
      </c>
      <c r="E850" s="2">
        <v>173.63</v>
      </c>
      <c r="F850" s="2" t="s">
        <v>9</v>
      </c>
      <c r="J850" s="2">
        <v>173.63</v>
      </c>
      <c r="K850" s="2" t="b">
        <v>0</v>
      </c>
      <c r="L850" s="2"/>
      <c r="M850" s="2"/>
      <c r="N850" s="4" t="s">
        <v>2259</v>
      </c>
      <c r="O850" s="4" t="str">
        <f>LEFT(Table2[[#This Row],[Description]],75)</f>
        <v>Transfer to Discover More Card</v>
      </c>
      <c r="P850" s="2"/>
    </row>
    <row r="851" spans="1:16" hidden="1">
      <c r="A851" s="2">
        <v>201910</v>
      </c>
      <c r="B851" s="3">
        <v>43745</v>
      </c>
      <c r="C851" s="2" t="s">
        <v>2317</v>
      </c>
      <c r="D851" s="2" t="s">
        <v>2107</v>
      </c>
      <c r="E851" s="2">
        <v>4.16</v>
      </c>
      <c r="F851" s="2" t="s">
        <v>69</v>
      </c>
      <c r="J851" s="2">
        <v>4.16</v>
      </c>
      <c r="K851" s="2" t="b">
        <v>0</v>
      </c>
      <c r="L851" s="2"/>
      <c r="M851" s="2"/>
      <c r="N851" s="4" t="s">
        <v>2259</v>
      </c>
      <c r="O851" s="4" t="str">
        <f>LEFT(Table2[[#This Row],[Description]],75)</f>
        <v>VANGUARD INTRMDIAT TRM TRSRY ETF</v>
      </c>
      <c r="P851" s="2" t="s">
        <v>2357</v>
      </c>
    </row>
    <row r="852" spans="1:16" hidden="1">
      <c r="A852" s="2">
        <v>201910</v>
      </c>
      <c r="B852" s="3">
        <v>43745</v>
      </c>
      <c r="C852" s="2" t="s">
        <v>64</v>
      </c>
      <c r="D852" s="2" t="s">
        <v>2107</v>
      </c>
      <c r="E852" s="2">
        <v>4.16</v>
      </c>
      <c r="F852" s="2" t="s">
        <v>69</v>
      </c>
      <c r="J852" s="2">
        <v>4.16</v>
      </c>
      <c r="K852" s="2" t="b">
        <v>0</v>
      </c>
      <c r="L852" s="2"/>
      <c r="M852" s="2"/>
      <c r="N852" s="4" t="s">
        <v>2259</v>
      </c>
      <c r="O852" s="4" t="str">
        <f>LEFT(Table2[[#This Row],[Description]],75)</f>
        <v>VANGUARD INTRMDIAT TRM TRSRY ETF</v>
      </c>
      <c r="P852" s="2"/>
    </row>
    <row r="853" spans="1:16" hidden="1">
      <c r="A853" s="2">
        <v>201910</v>
      </c>
      <c r="B853" s="3">
        <v>43746</v>
      </c>
      <c r="C853" s="2" t="s">
        <v>2258</v>
      </c>
      <c r="D853" s="2" t="s">
        <v>38</v>
      </c>
      <c r="E853" s="2">
        <v>35.4</v>
      </c>
      <c r="F853" s="2" t="s">
        <v>38</v>
      </c>
      <c r="J853" s="2">
        <v>35.4</v>
      </c>
      <c r="K853" s="2" t="b">
        <v>0</v>
      </c>
      <c r="L853" s="2"/>
      <c r="M853" s="2"/>
      <c r="N853" s="4" t="s">
        <v>2259</v>
      </c>
      <c r="O853" s="4" t="str">
        <f>LEFT(Table2[[#This Row],[Description]],75)</f>
        <v>Amazon</v>
      </c>
      <c r="P853" s="2" t="s">
        <v>2260</v>
      </c>
    </row>
    <row r="854" spans="1:16" hidden="1">
      <c r="A854" s="2">
        <v>201910</v>
      </c>
      <c r="B854" s="3">
        <v>43746</v>
      </c>
      <c r="C854" s="2" t="s">
        <v>2261</v>
      </c>
      <c r="D854" s="2" t="s">
        <v>38</v>
      </c>
      <c r="E854" s="2">
        <v>35.4</v>
      </c>
      <c r="F854" s="2" t="s">
        <v>38</v>
      </c>
      <c r="J854" s="2">
        <v>35.4</v>
      </c>
      <c r="K854" s="2" t="b">
        <v>0</v>
      </c>
      <c r="L854" s="2"/>
      <c r="M854" s="2"/>
      <c r="N854" s="4" t="s">
        <v>2259</v>
      </c>
      <c r="O854" s="4" t="str">
        <f>LEFT(Table2[[#This Row],[Description]],75)</f>
        <v>Amazon</v>
      </c>
      <c r="P854" s="2"/>
    </row>
    <row r="855" spans="1:16" hidden="1">
      <c r="A855" s="2">
        <v>201910</v>
      </c>
      <c r="B855" s="3">
        <v>43746</v>
      </c>
      <c r="C855" s="2" t="s">
        <v>2262</v>
      </c>
      <c r="D855" s="2" t="s">
        <v>338</v>
      </c>
      <c r="E855" s="2">
        <v>11.2</v>
      </c>
      <c r="F855" s="2" t="s">
        <v>28</v>
      </c>
      <c r="J855" s="2">
        <v>11.2</v>
      </c>
      <c r="K855" s="2" t="b">
        <v>0</v>
      </c>
      <c r="L855" s="2"/>
      <c r="M855" s="2"/>
      <c r="N855" s="4" t="s">
        <v>2259</v>
      </c>
      <c r="O855" s="4" t="str">
        <f>LEFT(Table2[[#This Row],[Description]],75)</f>
        <v>Byerly's</v>
      </c>
      <c r="P855" s="2"/>
    </row>
    <row r="856" spans="1:16" hidden="1">
      <c r="A856" s="2">
        <v>201910</v>
      </c>
      <c r="B856" s="3">
        <v>43746</v>
      </c>
      <c r="C856" s="2" t="s">
        <v>2262</v>
      </c>
      <c r="D856" s="2" t="s">
        <v>338</v>
      </c>
      <c r="E856" s="2">
        <v>62.53</v>
      </c>
      <c r="F856" s="2" t="s">
        <v>28</v>
      </c>
      <c r="J856" s="2">
        <v>62.53</v>
      </c>
      <c r="K856" s="2" t="b">
        <v>0</v>
      </c>
      <c r="L856" s="2"/>
      <c r="M856" s="2"/>
      <c r="N856" s="4" t="s">
        <v>2259</v>
      </c>
      <c r="O856" s="4" t="str">
        <f>LEFT(Table2[[#This Row],[Description]],75)</f>
        <v>Byerly's</v>
      </c>
      <c r="P856" s="2"/>
    </row>
    <row r="857" spans="1:16" hidden="1">
      <c r="A857" s="2">
        <v>201910</v>
      </c>
      <c r="B857" s="3">
        <v>43746</v>
      </c>
      <c r="C857" s="2" t="s">
        <v>2265</v>
      </c>
      <c r="D857" s="2" t="s">
        <v>519</v>
      </c>
      <c r="E857" s="2">
        <v>74.290000000000006</v>
      </c>
      <c r="F857" s="2">
        <v>0</v>
      </c>
      <c r="J857" s="2">
        <v>74.290000000000006</v>
      </c>
      <c r="K857" s="2" t="b">
        <v>0</v>
      </c>
      <c r="L857" s="2"/>
      <c r="M857" s="2"/>
      <c r="N857" s="4" t="s">
        <v>2259</v>
      </c>
      <c r="O857" s="4" t="str">
        <f>LEFT(Table2[[#This Row],[Description]],75)</f>
        <v>CHECK 2098 2098</v>
      </c>
      <c r="P857" s="2"/>
    </row>
    <row r="858" spans="1:16" hidden="1">
      <c r="A858" s="2">
        <v>201910</v>
      </c>
      <c r="B858" s="3">
        <v>43746</v>
      </c>
      <c r="C858" s="2" t="s">
        <v>2267</v>
      </c>
      <c r="D858" s="2" t="s">
        <v>519</v>
      </c>
      <c r="E858" s="2">
        <v>74.290000000000006</v>
      </c>
      <c r="F858" s="2" t="s">
        <v>43</v>
      </c>
      <c r="J858" s="2">
        <v>74.290000000000006</v>
      </c>
      <c r="K858" s="2" t="b">
        <v>0</v>
      </c>
      <c r="L858" s="2"/>
      <c r="M858" s="2"/>
      <c r="N858" s="4" t="s">
        <v>2259</v>
      </c>
      <c r="O858" s="4" t="str">
        <f>LEFT(Table2[[#This Row],[Description]],75)</f>
        <v>CHECK 2098 2098</v>
      </c>
      <c r="P858" s="2"/>
    </row>
    <row r="859" spans="1:16" hidden="1">
      <c r="A859" s="2">
        <v>201910</v>
      </c>
      <c r="B859" s="3">
        <v>43746</v>
      </c>
      <c r="C859" s="2" t="s">
        <v>2262</v>
      </c>
      <c r="D859" s="2" t="s">
        <v>884</v>
      </c>
      <c r="E859" s="2">
        <v>247.3</v>
      </c>
      <c r="F859" s="2" t="s">
        <v>21</v>
      </c>
      <c r="J859" s="2">
        <v>247.3</v>
      </c>
      <c r="K859" s="2" t="b">
        <v>0</v>
      </c>
      <c r="L859" s="2"/>
      <c r="M859" s="2"/>
      <c r="N859" s="4" t="s">
        <v>2259</v>
      </c>
      <c r="O859" s="4" t="str">
        <f>LEFT(Table2[[#This Row],[Description]],75)</f>
        <v>GameStop</v>
      </c>
      <c r="P859" s="2"/>
    </row>
    <row r="860" spans="1:16" hidden="1">
      <c r="A860" s="2">
        <v>201910</v>
      </c>
      <c r="B860" s="3">
        <v>43746</v>
      </c>
      <c r="C860" s="2" t="s">
        <v>2262</v>
      </c>
      <c r="D860" s="2" t="s">
        <v>1496</v>
      </c>
      <c r="E860" s="2">
        <v>21.59</v>
      </c>
      <c r="F860" s="2" t="s">
        <v>21</v>
      </c>
      <c r="J860" s="2">
        <v>21.59</v>
      </c>
      <c r="K860" s="2" t="b">
        <v>0</v>
      </c>
      <c r="L860" s="2"/>
      <c r="M860" s="2"/>
      <c r="N860" s="4" t="s">
        <v>2259</v>
      </c>
      <c r="O860" s="4" t="str">
        <f>LEFT(Table2[[#This Row],[Description]],75)</f>
        <v>Playstation Network</v>
      </c>
      <c r="P860" s="2"/>
    </row>
    <row r="861" spans="1:16" hidden="1">
      <c r="A861" s="2">
        <v>201910</v>
      </c>
      <c r="B861" s="3">
        <v>43746</v>
      </c>
      <c r="C861" s="2" t="s">
        <v>2262</v>
      </c>
      <c r="D861" s="2" t="s">
        <v>1496</v>
      </c>
      <c r="E861" s="2">
        <v>38.869999999999997</v>
      </c>
      <c r="F861" s="2" t="s">
        <v>21</v>
      </c>
      <c r="J861" s="2">
        <v>38.869999999999997</v>
      </c>
      <c r="K861" s="2" t="b">
        <v>0</v>
      </c>
      <c r="L861" s="2"/>
      <c r="M861" s="2"/>
      <c r="N861" s="4" t="s">
        <v>2259</v>
      </c>
      <c r="O861" s="4" t="str">
        <f>LEFT(Table2[[#This Row],[Description]],75)</f>
        <v>Playstation Network</v>
      </c>
      <c r="P861" s="2"/>
    </row>
    <row r="862" spans="1:16" hidden="1">
      <c r="A862" s="2">
        <v>201910</v>
      </c>
      <c r="B862" s="3">
        <v>43746</v>
      </c>
      <c r="C862" s="2" t="s">
        <v>2262</v>
      </c>
      <c r="D862" s="2" t="s">
        <v>1788</v>
      </c>
      <c r="E862" s="2">
        <v>22.2</v>
      </c>
      <c r="F862" s="2" t="s">
        <v>26</v>
      </c>
      <c r="J862" s="2">
        <v>22.2</v>
      </c>
      <c r="K862" s="2" t="b">
        <v>0</v>
      </c>
      <c r="L862" s="2"/>
      <c r="M862" s="2"/>
      <c r="N862" s="4" t="s">
        <v>2259</v>
      </c>
      <c r="O862" s="4" t="str">
        <f>LEFT(Table2[[#This Row],[Description]],75)</f>
        <v>Suburban</v>
      </c>
      <c r="P862" s="2" t="s">
        <v>2361</v>
      </c>
    </row>
    <row r="863" spans="1:16" hidden="1">
      <c r="A863" s="2">
        <v>201910</v>
      </c>
      <c r="B863" s="3">
        <v>43746</v>
      </c>
      <c r="C863" s="2" t="s">
        <v>2258</v>
      </c>
      <c r="D863" s="2" t="s">
        <v>2056</v>
      </c>
      <c r="E863" s="2">
        <v>82.94</v>
      </c>
      <c r="F863" s="2" t="s">
        <v>26</v>
      </c>
      <c r="J863" s="2">
        <v>82.94</v>
      </c>
      <c r="K863" s="2" t="b">
        <v>0</v>
      </c>
      <c r="L863" s="2"/>
      <c r="M863" s="2"/>
      <c r="N863" s="4" t="s">
        <v>2259</v>
      </c>
      <c r="O863" s="4" t="str">
        <f>LEFT(Table2[[#This Row],[Description]],75)</f>
        <v>TST* RED COW - 50TH ST MINNEAPOLIS MN</v>
      </c>
      <c r="P863" s="2" t="s">
        <v>2362</v>
      </c>
    </row>
    <row r="864" spans="1:16" hidden="1">
      <c r="A864" s="2">
        <v>201910</v>
      </c>
      <c r="B864" s="3">
        <v>43746</v>
      </c>
      <c r="C864" s="2" t="s">
        <v>2261</v>
      </c>
      <c r="D864" s="2" t="s">
        <v>2056</v>
      </c>
      <c r="E864" s="2">
        <v>82.94</v>
      </c>
      <c r="F864" s="2" t="s">
        <v>26</v>
      </c>
      <c r="J864" s="2">
        <v>82.94</v>
      </c>
      <c r="K864" s="2" t="b">
        <v>0</v>
      </c>
      <c r="L864" s="2"/>
      <c r="M864" s="2"/>
      <c r="N864" s="4" t="s">
        <v>2259</v>
      </c>
      <c r="O864" s="4" t="str">
        <f>LEFT(Table2[[#This Row],[Description]],75)</f>
        <v>TST* RED COW - 50TH ST MINNEAPOLIS MN</v>
      </c>
      <c r="P864" s="2"/>
    </row>
    <row r="865" spans="1:16" hidden="1">
      <c r="A865" s="2">
        <v>201910</v>
      </c>
      <c r="B865" s="3">
        <v>43747</v>
      </c>
      <c r="C865" s="2" t="s">
        <v>2262</v>
      </c>
      <c r="D865" s="2" t="s">
        <v>453</v>
      </c>
      <c r="E865" s="2">
        <v>4.28</v>
      </c>
      <c r="F865" s="2" t="s">
        <v>26</v>
      </c>
      <c r="J865" s="2">
        <v>4.28</v>
      </c>
      <c r="K865" s="2" t="b">
        <v>0</v>
      </c>
      <c r="L865" s="2"/>
      <c r="M865" s="2"/>
      <c r="N865" s="4" t="s">
        <v>2259</v>
      </c>
      <c r="O865" s="4" t="str">
        <f>LEFT(Table2[[#This Row],[Description]],75)</f>
        <v>Caribou Coffee</v>
      </c>
      <c r="P865" s="2"/>
    </row>
    <row r="866" spans="1:16" hidden="1">
      <c r="A866" s="2">
        <v>201910</v>
      </c>
      <c r="B866" s="3">
        <v>43747</v>
      </c>
      <c r="C866" s="2" t="s">
        <v>2265</v>
      </c>
      <c r="D866" s="2" t="s">
        <v>469</v>
      </c>
      <c r="E866" s="2">
        <v>247.95</v>
      </c>
      <c r="F866" s="2" t="s">
        <v>20</v>
      </c>
      <c r="J866" s="2">
        <v>247.95</v>
      </c>
      <c r="K866" s="2" t="b">
        <v>0</v>
      </c>
      <c r="L866" s="2"/>
      <c r="M866" s="2"/>
      <c r="N866" s="4" t="s">
        <v>2259</v>
      </c>
      <c r="O866" s="4" t="str">
        <f>LEFT(Table2[[#This Row],[Description]],75)</f>
        <v>CCLC TYPE INTERNET ID CO CCLC ACH ECC WEB ACH Trace 31276 256802703</v>
      </c>
      <c r="P866" s="2" t="s">
        <v>2268</v>
      </c>
    </row>
    <row r="867" spans="1:16" hidden="1">
      <c r="A867" s="2">
        <v>201910</v>
      </c>
      <c r="B867" s="3">
        <v>43747</v>
      </c>
      <c r="C867" s="2" t="s">
        <v>2267</v>
      </c>
      <c r="D867" s="2" t="s">
        <v>469</v>
      </c>
      <c r="E867" s="2">
        <v>247.95</v>
      </c>
      <c r="F867" s="2" t="s">
        <v>20</v>
      </c>
      <c r="J867" s="2">
        <v>247.95</v>
      </c>
      <c r="K867" s="2" t="b">
        <v>0</v>
      </c>
      <c r="L867" s="2"/>
      <c r="M867" s="2"/>
      <c r="N867" s="4" t="s">
        <v>2259</v>
      </c>
      <c r="O867" s="4" t="str">
        <f>LEFT(Table2[[#This Row],[Description]],75)</f>
        <v>CCLC TYPE INTERNET ID CO CCLC ACH ECC WEB ACH Trace 31276 256802703</v>
      </c>
      <c r="P867" s="2"/>
    </row>
    <row r="868" spans="1:16" hidden="1">
      <c r="A868" s="2">
        <v>201910</v>
      </c>
      <c r="B868" s="3">
        <v>43747</v>
      </c>
      <c r="C868" s="2" t="s">
        <v>2262</v>
      </c>
      <c r="D868" s="2" t="s">
        <v>947</v>
      </c>
      <c r="E868" s="2">
        <v>22.41</v>
      </c>
      <c r="F868" s="2" t="s">
        <v>2</v>
      </c>
      <c r="J868" s="2">
        <v>22.41</v>
      </c>
      <c r="K868" s="2" t="b">
        <v>0</v>
      </c>
      <c r="L868" s="2"/>
      <c r="M868" s="2"/>
      <c r="N868" s="4" t="s">
        <v>2259</v>
      </c>
      <c r="O868" s="4" t="str">
        <f>LEFT(Table2[[#This Row],[Description]],75)</f>
        <v>Home Depot</v>
      </c>
      <c r="P868" s="2"/>
    </row>
    <row r="869" spans="1:16" hidden="1">
      <c r="A869" s="2">
        <v>201910</v>
      </c>
      <c r="B869" s="3">
        <v>43747</v>
      </c>
      <c r="C869" s="2" t="s">
        <v>2262</v>
      </c>
      <c r="D869" s="2" t="s">
        <v>1369</v>
      </c>
      <c r="E869" s="2">
        <v>-70</v>
      </c>
      <c r="F869" s="2" t="s">
        <v>21</v>
      </c>
      <c r="J869" s="2">
        <v>70</v>
      </c>
      <c r="K869" s="2" t="b">
        <v>0</v>
      </c>
      <c r="L869" s="2"/>
      <c r="M869" s="2"/>
      <c r="N869" s="2" t="s">
        <v>2264</v>
      </c>
      <c r="O869" s="2" t="str">
        <f>LEFT(Table2[[#This Row],[Description]],75)</f>
        <v>North Face</v>
      </c>
      <c r="P869" s="2"/>
    </row>
    <row r="870" spans="1:16" hidden="1">
      <c r="A870" s="2">
        <v>201910</v>
      </c>
      <c r="B870" s="3">
        <v>43747</v>
      </c>
      <c r="C870" s="2" t="s">
        <v>2265</v>
      </c>
      <c r="D870" s="2" t="s">
        <v>1471</v>
      </c>
      <c r="E870" s="2">
        <v>7.43</v>
      </c>
      <c r="F870" s="2" t="s">
        <v>21</v>
      </c>
      <c r="J870" s="2">
        <v>7.43</v>
      </c>
      <c r="K870" s="2" t="b">
        <v>0</v>
      </c>
      <c r="L870" s="2"/>
      <c r="M870" s="2"/>
      <c r="N870" s="4" t="s">
        <v>2259</v>
      </c>
      <c r="O870" s="4" t="str">
        <f>LEFT(Table2[[#This Row],[Description]],75)</f>
        <v>PayPal</v>
      </c>
      <c r="P870" s="2" t="s">
        <v>2322</v>
      </c>
    </row>
    <row r="871" spans="1:16" hidden="1">
      <c r="A871" s="2">
        <v>201910</v>
      </c>
      <c r="B871" s="3">
        <v>43747</v>
      </c>
      <c r="C871" s="2" t="s">
        <v>2267</v>
      </c>
      <c r="D871" s="2" t="s">
        <v>1471</v>
      </c>
      <c r="E871" s="2">
        <v>7.43</v>
      </c>
      <c r="F871" s="2" t="s">
        <v>21</v>
      </c>
      <c r="J871" s="2">
        <v>7.43</v>
      </c>
      <c r="K871" s="2" t="b">
        <v>0</v>
      </c>
      <c r="L871" s="2"/>
      <c r="M871" s="2"/>
      <c r="N871" s="4" t="s">
        <v>2259</v>
      </c>
      <c r="O871" s="4" t="str">
        <f>LEFT(Table2[[#This Row],[Description]],75)</f>
        <v>PayPal</v>
      </c>
      <c r="P871" s="2"/>
    </row>
    <row r="872" spans="1:16" hidden="1">
      <c r="A872" s="2">
        <v>201910</v>
      </c>
      <c r="B872" s="3">
        <v>43747</v>
      </c>
      <c r="C872" s="2" t="s">
        <v>2265</v>
      </c>
      <c r="D872" s="2" t="s">
        <v>2221</v>
      </c>
      <c r="E872" s="2">
        <v>102.78</v>
      </c>
      <c r="F872" s="2" t="s">
        <v>7</v>
      </c>
      <c r="J872" s="2">
        <v>102.78</v>
      </c>
      <c r="K872" s="2" t="b">
        <v>0</v>
      </c>
      <c r="L872" s="2"/>
      <c r="M872" s="2"/>
      <c r="N872" s="4" t="s">
        <v>2259</v>
      </c>
      <c r="O872" s="4" t="str">
        <f>LEFT(Table2[[#This Row],[Description]],75)</f>
        <v>Xcel Energy</v>
      </c>
      <c r="P872" s="2" t="s">
        <v>2280</v>
      </c>
    </row>
    <row r="873" spans="1:16" hidden="1">
      <c r="A873" s="2">
        <v>201910</v>
      </c>
      <c r="B873" s="3">
        <v>43747</v>
      </c>
      <c r="C873" s="2" t="s">
        <v>2267</v>
      </c>
      <c r="D873" s="2" t="s">
        <v>2221</v>
      </c>
      <c r="E873" s="2">
        <v>102.78</v>
      </c>
      <c r="F873" s="2" t="s">
        <v>7</v>
      </c>
      <c r="J873" s="2">
        <v>102.78</v>
      </c>
      <c r="K873" s="2" t="b">
        <v>0</v>
      </c>
      <c r="L873" s="2"/>
      <c r="M873" s="2"/>
      <c r="N873" s="4" t="s">
        <v>2259</v>
      </c>
      <c r="O873" s="4" t="str">
        <f>LEFT(Table2[[#This Row],[Description]],75)</f>
        <v>Xcel Energy</v>
      </c>
      <c r="P873" s="2"/>
    </row>
    <row r="874" spans="1:16" hidden="1">
      <c r="A874" s="2">
        <v>201910</v>
      </c>
      <c r="B874" s="3">
        <v>43768</v>
      </c>
      <c r="C874" s="2" t="s">
        <v>2258</v>
      </c>
      <c r="D874" s="2" t="s">
        <v>103</v>
      </c>
      <c r="E874" s="2">
        <v>173.9</v>
      </c>
      <c r="F874" s="2" t="s">
        <v>28</v>
      </c>
      <c r="J874" s="2">
        <v>173.9</v>
      </c>
      <c r="K874" s="2" t="b">
        <v>0</v>
      </c>
      <c r="L874" s="2"/>
      <c r="M874" s="2"/>
      <c r="N874" s="4" t="s">
        <v>2259</v>
      </c>
      <c r="O874" s="4" t="str">
        <f>LEFT(Table2[[#This Row],[Description]],75)</f>
        <v>Advocare</v>
      </c>
      <c r="P874" s="2" t="s">
        <v>2292</v>
      </c>
    </row>
    <row r="875" spans="1:16" hidden="1">
      <c r="A875" s="2">
        <v>201910</v>
      </c>
      <c r="B875" s="3">
        <v>43768</v>
      </c>
      <c r="C875" s="2" t="s">
        <v>2261</v>
      </c>
      <c r="D875" s="2" t="s">
        <v>103</v>
      </c>
      <c r="E875" s="2">
        <v>173.9</v>
      </c>
      <c r="F875" s="2" t="s">
        <v>28</v>
      </c>
      <c r="J875" s="2">
        <v>173.9</v>
      </c>
      <c r="K875" s="2" t="b">
        <v>0</v>
      </c>
      <c r="L875" s="2"/>
      <c r="M875" s="2"/>
      <c r="N875" s="4" t="s">
        <v>2259</v>
      </c>
      <c r="O875" s="4" t="str">
        <f>LEFT(Table2[[#This Row],[Description]],75)</f>
        <v>Advocare</v>
      </c>
      <c r="P875" s="2" t="s">
        <v>2292</v>
      </c>
    </row>
    <row r="876" spans="1:16" hidden="1">
      <c r="A876" s="2">
        <v>201910</v>
      </c>
      <c r="B876" s="3">
        <v>43768</v>
      </c>
      <c r="C876" s="2" t="s">
        <v>2258</v>
      </c>
      <c r="D876" s="2" t="s">
        <v>38</v>
      </c>
      <c r="E876" s="2">
        <v>5.47</v>
      </c>
      <c r="F876" s="2" t="s">
        <v>38</v>
      </c>
      <c r="J876" s="2">
        <v>5.47</v>
      </c>
      <c r="K876" s="2" t="b">
        <v>0</v>
      </c>
      <c r="L876" s="2"/>
      <c r="M876" s="2"/>
      <c r="N876" s="4" t="s">
        <v>2259</v>
      </c>
      <c r="O876" s="4" t="str">
        <f>LEFT(Table2[[#This Row],[Description]],75)</f>
        <v>Amazon</v>
      </c>
      <c r="P876" s="2" t="s">
        <v>2260</v>
      </c>
    </row>
    <row r="877" spans="1:16" hidden="1">
      <c r="A877" s="2">
        <v>201910</v>
      </c>
      <c r="B877" s="3">
        <v>43768</v>
      </c>
      <c r="C877" s="2" t="s">
        <v>2258</v>
      </c>
      <c r="D877" s="2" t="s">
        <v>38</v>
      </c>
      <c r="E877" s="2">
        <v>27.99</v>
      </c>
      <c r="F877" s="2" t="s">
        <v>38</v>
      </c>
      <c r="J877" s="2">
        <v>27.99</v>
      </c>
      <c r="K877" s="2" t="b">
        <v>0</v>
      </c>
      <c r="L877" s="2"/>
      <c r="M877" s="2"/>
      <c r="N877" s="4" t="s">
        <v>2259</v>
      </c>
      <c r="O877" s="4" t="str">
        <f>LEFT(Table2[[#This Row],[Description]],75)</f>
        <v>Amazon</v>
      </c>
      <c r="P877" s="2" t="s">
        <v>2260</v>
      </c>
    </row>
    <row r="878" spans="1:16" hidden="1">
      <c r="A878" s="2">
        <v>201910</v>
      </c>
      <c r="B878" s="3">
        <v>43768</v>
      </c>
      <c r="C878" s="2" t="s">
        <v>2258</v>
      </c>
      <c r="D878" s="2" t="s">
        <v>38</v>
      </c>
      <c r="E878" s="2">
        <v>39.950000000000003</v>
      </c>
      <c r="F878" s="2" t="s">
        <v>38</v>
      </c>
      <c r="J878" s="2">
        <v>39.950000000000003</v>
      </c>
      <c r="K878" s="2" t="b">
        <v>0</v>
      </c>
      <c r="L878" s="2"/>
      <c r="M878" s="2"/>
      <c r="N878" s="4" t="s">
        <v>2259</v>
      </c>
      <c r="O878" s="4" t="str">
        <f>LEFT(Table2[[#This Row],[Description]],75)</f>
        <v>Amazon</v>
      </c>
      <c r="P878" s="2" t="s">
        <v>2260</v>
      </c>
    </row>
    <row r="879" spans="1:16" hidden="1">
      <c r="A879" s="2">
        <v>201910</v>
      </c>
      <c r="B879" s="3">
        <v>43768</v>
      </c>
      <c r="C879" s="2" t="s">
        <v>2258</v>
      </c>
      <c r="D879" s="2" t="s">
        <v>38</v>
      </c>
      <c r="E879" s="2">
        <v>32.19</v>
      </c>
      <c r="F879" s="2" t="s">
        <v>38</v>
      </c>
      <c r="J879" s="2">
        <v>32.19</v>
      </c>
      <c r="K879" s="2" t="b">
        <v>0</v>
      </c>
      <c r="L879" s="2"/>
      <c r="M879" s="2"/>
      <c r="N879" s="4" t="s">
        <v>2259</v>
      </c>
      <c r="O879" s="4" t="str">
        <f>LEFT(Table2[[#This Row],[Description]],75)</f>
        <v>Amazon</v>
      </c>
      <c r="P879" s="2" t="s">
        <v>2260</v>
      </c>
    </row>
    <row r="880" spans="1:16" hidden="1">
      <c r="A880" s="2">
        <v>201910</v>
      </c>
      <c r="B880" s="3">
        <v>43768</v>
      </c>
      <c r="C880" s="2" t="s">
        <v>2258</v>
      </c>
      <c r="D880" s="2" t="s">
        <v>38</v>
      </c>
      <c r="E880" s="2">
        <v>50.56</v>
      </c>
      <c r="F880" s="2" t="s">
        <v>38</v>
      </c>
      <c r="J880" s="2">
        <v>50.56</v>
      </c>
      <c r="K880" s="2" t="b">
        <v>0</v>
      </c>
      <c r="L880" s="2"/>
      <c r="M880" s="2"/>
      <c r="N880" s="4" t="s">
        <v>2259</v>
      </c>
      <c r="O880" s="4" t="str">
        <f>LEFT(Table2[[#This Row],[Description]],75)</f>
        <v>Amazon</v>
      </c>
      <c r="P880" s="2" t="s">
        <v>2260</v>
      </c>
    </row>
    <row r="881" spans="1:16" hidden="1">
      <c r="A881" s="2">
        <v>201910</v>
      </c>
      <c r="B881" s="3">
        <v>43768</v>
      </c>
      <c r="C881" s="2" t="s">
        <v>2258</v>
      </c>
      <c r="D881" s="2" t="s">
        <v>38</v>
      </c>
      <c r="E881" s="2">
        <v>28.49</v>
      </c>
      <c r="F881" s="2" t="s">
        <v>38</v>
      </c>
      <c r="J881" s="2">
        <v>28.49</v>
      </c>
      <c r="K881" s="2" t="b">
        <v>0</v>
      </c>
      <c r="L881" s="2"/>
      <c r="M881" s="2"/>
      <c r="N881" s="4" t="s">
        <v>2259</v>
      </c>
      <c r="O881" s="4" t="str">
        <f>LEFT(Table2[[#This Row],[Description]],75)</f>
        <v>Amazon</v>
      </c>
      <c r="P881" s="2" t="s">
        <v>2260</v>
      </c>
    </row>
    <row r="882" spans="1:16" hidden="1">
      <c r="A882" s="2">
        <v>201910</v>
      </c>
      <c r="B882" s="3">
        <v>43768</v>
      </c>
      <c r="C882" s="2" t="s">
        <v>2258</v>
      </c>
      <c r="D882" s="2" t="s">
        <v>38</v>
      </c>
      <c r="E882" s="2">
        <v>19.27</v>
      </c>
      <c r="F882" s="2" t="s">
        <v>38</v>
      </c>
      <c r="J882" s="2">
        <v>19.27</v>
      </c>
      <c r="K882" s="2" t="b">
        <v>0</v>
      </c>
      <c r="L882" s="2"/>
      <c r="M882" s="2"/>
      <c r="N882" s="4" t="s">
        <v>2259</v>
      </c>
      <c r="O882" s="4" t="str">
        <f>LEFT(Table2[[#This Row],[Description]],75)</f>
        <v>Amazon</v>
      </c>
      <c r="P882" s="2" t="s">
        <v>2260</v>
      </c>
    </row>
    <row r="883" spans="1:16" hidden="1">
      <c r="A883" s="2">
        <v>201910</v>
      </c>
      <c r="B883" s="3">
        <v>43768</v>
      </c>
      <c r="C883" s="2" t="s">
        <v>2258</v>
      </c>
      <c r="D883" s="2" t="s">
        <v>38</v>
      </c>
      <c r="E883" s="2">
        <v>18.239999999999998</v>
      </c>
      <c r="F883" s="2" t="s">
        <v>38</v>
      </c>
      <c r="J883" s="2">
        <v>18.239999999999998</v>
      </c>
      <c r="K883" s="2" t="b">
        <v>0</v>
      </c>
      <c r="L883" s="2"/>
      <c r="M883" s="2"/>
      <c r="N883" s="4" t="s">
        <v>2259</v>
      </c>
      <c r="O883" s="4" t="str">
        <f>LEFT(Table2[[#This Row],[Description]],75)</f>
        <v>Amazon</v>
      </c>
      <c r="P883" s="2" t="s">
        <v>2260</v>
      </c>
    </row>
    <row r="884" spans="1:16" hidden="1">
      <c r="A884" s="2">
        <v>201910</v>
      </c>
      <c r="B884" s="3">
        <v>43768</v>
      </c>
      <c r="C884" s="2" t="s">
        <v>2258</v>
      </c>
      <c r="D884" s="2" t="s">
        <v>38</v>
      </c>
      <c r="E884" s="2">
        <v>27.56</v>
      </c>
      <c r="F884" s="2" t="s">
        <v>38</v>
      </c>
      <c r="J884" s="2">
        <v>27.56</v>
      </c>
      <c r="K884" s="2" t="b">
        <v>0</v>
      </c>
      <c r="L884" s="2"/>
      <c r="M884" s="2"/>
      <c r="N884" s="4" t="s">
        <v>2259</v>
      </c>
      <c r="O884" s="4" t="str">
        <f>LEFT(Table2[[#This Row],[Description]],75)</f>
        <v>Amazon</v>
      </c>
      <c r="P884" s="2" t="s">
        <v>2260</v>
      </c>
    </row>
    <row r="885" spans="1:16" hidden="1">
      <c r="A885" s="2">
        <v>201910</v>
      </c>
      <c r="B885" s="3">
        <v>43768</v>
      </c>
      <c r="C885" s="2" t="s">
        <v>2258</v>
      </c>
      <c r="D885" s="2" t="s">
        <v>38</v>
      </c>
      <c r="E885" s="2">
        <v>55.61</v>
      </c>
      <c r="F885" s="2" t="s">
        <v>38</v>
      </c>
      <c r="J885" s="2">
        <v>55.61</v>
      </c>
      <c r="K885" s="2" t="b">
        <v>0</v>
      </c>
      <c r="L885" s="2"/>
      <c r="M885" s="2"/>
      <c r="N885" s="4" t="s">
        <v>2259</v>
      </c>
      <c r="O885" s="4" t="str">
        <f>LEFT(Table2[[#This Row],[Description]],75)</f>
        <v>Amazon</v>
      </c>
      <c r="P885" s="2" t="s">
        <v>2260</v>
      </c>
    </row>
    <row r="886" spans="1:16" hidden="1">
      <c r="A886" s="2">
        <v>201910</v>
      </c>
      <c r="B886" s="3">
        <v>43768</v>
      </c>
      <c r="C886" s="2" t="s">
        <v>2258</v>
      </c>
      <c r="D886" s="2" t="s">
        <v>38</v>
      </c>
      <c r="E886" s="2">
        <v>45</v>
      </c>
      <c r="F886" s="2" t="s">
        <v>38</v>
      </c>
      <c r="J886" s="2">
        <v>45</v>
      </c>
      <c r="K886" s="2" t="b">
        <v>0</v>
      </c>
      <c r="L886" s="2"/>
      <c r="M886" s="2"/>
      <c r="N886" s="4" t="s">
        <v>2259</v>
      </c>
      <c r="O886" s="4" t="str">
        <f>LEFT(Table2[[#This Row],[Description]],75)</f>
        <v>Amazon</v>
      </c>
      <c r="P886" s="2" t="s">
        <v>2260</v>
      </c>
    </row>
    <row r="887" spans="1:16" hidden="1">
      <c r="A887" s="2">
        <v>201910</v>
      </c>
      <c r="B887" s="3">
        <v>43768</v>
      </c>
      <c r="C887" s="2" t="s">
        <v>2261</v>
      </c>
      <c r="D887" s="2" t="s">
        <v>38</v>
      </c>
      <c r="E887" s="2">
        <v>27.56</v>
      </c>
      <c r="F887" s="2" t="s">
        <v>38</v>
      </c>
      <c r="J887" s="2">
        <v>27.56</v>
      </c>
      <c r="K887" s="2" t="b">
        <v>0</v>
      </c>
      <c r="L887" s="2"/>
      <c r="M887" s="2"/>
      <c r="N887" s="4" t="s">
        <v>2259</v>
      </c>
      <c r="O887" s="4" t="str">
        <f>LEFT(Table2[[#This Row],[Description]],75)</f>
        <v>Amazon</v>
      </c>
      <c r="P887" s="2" t="s">
        <v>2260</v>
      </c>
    </row>
    <row r="888" spans="1:16" hidden="1">
      <c r="A888" s="2">
        <v>201910</v>
      </c>
      <c r="B888" s="3">
        <v>43768</v>
      </c>
      <c r="C888" s="2" t="s">
        <v>2261</v>
      </c>
      <c r="D888" s="2" t="s">
        <v>38</v>
      </c>
      <c r="E888" s="2">
        <v>55.61</v>
      </c>
      <c r="F888" s="2" t="s">
        <v>38</v>
      </c>
      <c r="J888" s="2">
        <v>55.61</v>
      </c>
      <c r="K888" s="2" t="b">
        <v>0</v>
      </c>
      <c r="L888" s="2"/>
      <c r="M888" s="2"/>
      <c r="N888" s="4" t="s">
        <v>2259</v>
      </c>
      <c r="O888" s="4" t="str">
        <f>LEFT(Table2[[#This Row],[Description]],75)</f>
        <v>Amazon</v>
      </c>
      <c r="P888" s="2" t="s">
        <v>2260</v>
      </c>
    </row>
    <row r="889" spans="1:16" hidden="1">
      <c r="A889" s="2">
        <v>201910</v>
      </c>
      <c r="B889" s="3">
        <v>43768</v>
      </c>
      <c r="C889" s="2" t="s">
        <v>2261</v>
      </c>
      <c r="D889" s="2" t="s">
        <v>38</v>
      </c>
      <c r="E889" s="2">
        <v>45</v>
      </c>
      <c r="F889" s="2" t="s">
        <v>38</v>
      </c>
      <c r="J889" s="2">
        <v>45</v>
      </c>
      <c r="K889" s="2" t="b">
        <v>0</v>
      </c>
      <c r="L889" s="2"/>
      <c r="M889" s="2"/>
      <c r="N889" s="4" t="s">
        <v>2259</v>
      </c>
      <c r="O889" s="4" t="str">
        <f>LEFT(Table2[[#This Row],[Description]],75)</f>
        <v>Amazon</v>
      </c>
      <c r="P889" s="2" t="s">
        <v>2260</v>
      </c>
    </row>
    <row r="890" spans="1:16" hidden="1">
      <c r="A890" s="2">
        <v>201910</v>
      </c>
      <c r="B890" s="3">
        <v>43768</v>
      </c>
      <c r="C890" s="2" t="s">
        <v>2261</v>
      </c>
      <c r="D890" s="2" t="s">
        <v>38</v>
      </c>
      <c r="E890" s="2">
        <v>5.47</v>
      </c>
      <c r="F890" s="2" t="s">
        <v>38</v>
      </c>
      <c r="J890" s="2">
        <v>5.47</v>
      </c>
      <c r="K890" s="2" t="b">
        <v>0</v>
      </c>
      <c r="L890" s="2"/>
      <c r="M890" s="2"/>
      <c r="N890" s="4" t="s">
        <v>2259</v>
      </c>
      <c r="O890" s="4" t="str">
        <f>LEFT(Table2[[#This Row],[Description]],75)</f>
        <v>Amazon</v>
      </c>
      <c r="P890" s="2"/>
    </row>
    <row r="891" spans="1:16" hidden="1">
      <c r="A891" s="2">
        <v>201910</v>
      </c>
      <c r="B891" s="3">
        <v>43768</v>
      </c>
      <c r="C891" s="2" t="s">
        <v>2261</v>
      </c>
      <c r="D891" s="2" t="s">
        <v>38</v>
      </c>
      <c r="E891" s="2">
        <v>27.99</v>
      </c>
      <c r="F891" s="2" t="s">
        <v>38</v>
      </c>
      <c r="J891" s="2">
        <v>27.99</v>
      </c>
      <c r="K891" s="2" t="b">
        <v>0</v>
      </c>
      <c r="L891" s="2"/>
      <c r="M891" s="2"/>
      <c r="N891" s="4" t="s">
        <v>2259</v>
      </c>
      <c r="O891" s="4" t="str">
        <f>LEFT(Table2[[#This Row],[Description]],75)</f>
        <v>Amazon</v>
      </c>
      <c r="P891" s="2"/>
    </row>
    <row r="892" spans="1:16" hidden="1">
      <c r="A892" s="2">
        <v>201910</v>
      </c>
      <c r="B892" s="3">
        <v>43768</v>
      </c>
      <c r="C892" s="2" t="s">
        <v>2261</v>
      </c>
      <c r="D892" s="2" t="s">
        <v>38</v>
      </c>
      <c r="E892" s="2">
        <v>39.950000000000003</v>
      </c>
      <c r="F892" s="2" t="s">
        <v>38</v>
      </c>
      <c r="J892" s="2">
        <v>39.950000000000003</v>
      </c>
      <c r="K892" s="2" t="b">
        <v>0</v>
      </c>
      <c r="L892" s="2"/>
      <c r="M892" s="2"/>
      <c r="N892" s="4" t="s">
        <v>2259</v>
      </c>
      <c r="O892" s="4" t="str">
        <f>LEFT(Table2[[#This Row],[Description]],75)</f>
        <v>Amazon</v>
      </c>
      <c r="P892" s="2"/>
    </row>
    <row r="893" spans="1:16" hidden="1">
      <c r="A893" s="2">
        <v>201910</v>
      </c>
      <c r="B893" s="3">
        <v>43768</v>
      </c>
      <c r="C893" s="2" t="s">
        <v>2261</v>
      </c>
      <c r="D893" s="2" t="s">
        <v>38</v>
      </c>
      <c r="E893" s="2">
        <v>32.19</v>
      </c>
      <c r="F893" s="2" t="s">
        <v>38</v>
      </c>
      <c r="J893" s="2">
        <v>32.19</v>
      </c>
      <c r="K893" s="2" t="b">
        <v>0</v>
      </c>
      <c r="L893" s="2"/>
      <c r="M893" s="2"/>
      <c r="N893" s="4" t="s">
        <v>2259</v>
      </c>
      <c r="O893" s="4" t="str">
        <f>LEFT(Table2[[#This Row],[Description]],75)</f>
        <v>Amazon</v>
      </c>
      <c r="P893" s="2"/>
    </row>
    <row r="894" spans="1:16" hidden="1">
      <c r="A894" s="2">
        <v>201910</v>
      </c>
      <c r="B894" s="3">
        <v>43768</v>
      </c>
      <c r="C894" s="2" t="s">
        <v>2261</v>
      </c>
      <c r="D894" s="2" t="s">
        <v>38</v>
      </c>
      <c r="E894" s="2">
        <v>50.56</v>
      </c>
      <c r="F894" s="2" t="s">
        <v>38</v>
      </c>
      <c r="J894" s="2">
        <v>50.56</v>
      </c>
      <c r="K894" s="2" t="b">
        <v>0</v>
      </c>
      <c r="L894" s="2"/>
      <c r="M894" s="2"/>
      <c r="N894" s="4" t="s">
        <v>2259</v>
      </c>
      <c r="O894" s="4" t="str">
        <f>LEFT(Table2[[#This Row],[Description]],75)</f>
        <v>Amazon</v>
      </c>
      <c r="P894" s="2"/>
    </row>
    <row r="895" spans="1:16" hidden="1">
      <c r="A895" s="2">
        <v>201910</v>
      </c>
      <c r="B895" s="3">
        <v>43768</v>
      </c>
      <c r="C895" s="2" t="s">
        <v>2261</v>
      </c>
      <c r="D895" s="2" t="s">
        <v>38</v>
      </c>
      <c r="E895" s="2">
        <v>50.56</v>
      </c>
      <c r="F895" s="2" t="s">
        <v>38</v>
      </c>
      <c r="J895" s="2">
        <v>50.56</v>
      </c>
      <c r="K895" s="2" t="b">
        <v>0</v>
      </c>
      <c r="L895" s="2"/>
      <c r="M895" s="2"/>
      <c r="N895" s="4" t="s">
        <v>2259</v>
      </c>
      <c r="O895" s="4" t="str">
        <f>LEFT(Table2[[#This Row],[Description]],75)</f>
        <v>Amazon</v>
      </c>
      <c r="P895" s="2" t="s">
        <v>2260</v>
      </c>
    </row>
    <row r="896" spans="1:16" hidden="1">
      <c r="A896" s="2">
        <v>201910</v>
      </c>
      <c r="B896" s="3">
        <v>43768</v>
      </c>
      <c r="C896" s="2" t="s">
        <v>2261</v>
      </c>
      <c r="D896" s="2" t="s">
        <v>38</v>
      </c>
      <c r="E896" s="2">
        <v>28.49</v>
      </c>
      <c r="F896" s="2" t="s">
        <v>38</v>
      </c>
      <c r="J896" s="2">
        <v>28.49</v>
      </c>
      <c r="K896" s="2" t="b">
        <v>0</v>
      </c>
      <c r="L896" s="2"/>
      <c r="M896" s="2"/>
      <c r="N896" s="4" t="s">
        <v>2259</v>
      </c>
      <c r="O896" s="4" t="str">
        <f>LEFT(Table2[[#This Row],[Description]],75)</f>
        <v>Amazon</v>
      </c>
      <c r="P896" s="2" t="s">
        <v>2260</v>
      </c>
    </row>
    <row r="897" spans="1:16" hidden="1">
      <c r="A897" s="2">
        <v>201910</v>
      </c>
      <c r="B897" s="3">
        <v>43768</v>
      </c>
      <c r="C897" s="2" t="s">
        <v>2261</v>
      </c>
      <c r="D897" s="2" t="s">
        <v>38</v>
      </c>
      <c r="E897" s="2">
        <v>19.27</v>
      </c>
      <c r="F897" s="2" t="s">
        <v>38</v>
      </c>
      <c r="J897" s="2">
        <v>19.27</v>
      </c>
      <c r="K897" s="2" t="b">
        <v>0</v>
      </c>
      <c r="L897" s="2"/>
      <c r="M897" s="2"/>
      <c r="N897" s="4" t="s">
        <v>2259</v>
      </c>
      <c r="O897" s="4" t="str">
        <f>LEFT(Table2[[#This Row],[Description]],75)</f>
        <v>Amazon</v>
      </c>
      <c r="P897" s="2" t="s">
        <v>2260</v>
      </c>
    </row>
    <row r="898" spans="1:16" hidden="1">
      <c r="A898" s="2">
        <v>201910</v>
      </c>
      <c r="B898" s="3">
        <v>43768</v>
      </c>
      <c r="C898" s="2" t="s">
        <v>2261</v>
      </c>
      <c r="D898" s="2" t="s">
        <v>38</v>
      </c>
      <c r="E898" s="2">
        <v>18.239999999999998</v>
      </c>
      <c r="F898" s="2" t="s">
        <v>38</v>
      </c>
      <c r="J898" s="2">
        <v>18.239999999999998</v>
      </c>
      <c r="K898" s="2" t="b">
        <v>0</v>
      </c>
      <c r="L898" s="2"/>
      <c r="M898" s="2"/>
      <c r="N898" s="4" t="s">
        <v>2259</v>
      </c>
      <c r="O898" s="4" t="str">
        <f>LEFT(Table2[[#This Row],[Description]],75)</f>
        <v>Amazon</v>
      </c>
      <c r="P898" s="2" t="s">
        <v>2260</v>
      </c>
    </row>
    <row r="899" spans="1:16" hidden="1">
      <c r="A899" s="2">
        <v>201910</v>
      </c>
      <c r="B899" s="3">
        <v>43768</v>
      </c>
      <c r="C899" s="2" t="s">
        <v>2262</v>
      </c>
      <c r="D899" s="2" t="s">
        <v>128</v>
      </c>
      <c r="E899" s="2">
        <v>22.4</v>
      </c>
      <c r="F899" s="2" t="s">
        <v>43</v>
      </c>
      <c r="J899" s="2">
        <v>22.4</v>
      </c>
      <c r="K899" s="2" t="b">
        <v>0</v>
      </c>
      <c r="L899" s="2"/>
      <c r="M899" s="2"/>
      <c r="N899" s="4" t="s">
        <v>2259</v>
      </c>
      <c r="O899" s="4" t="str">
        <f>LEFT(Table2[[#This Row],[Description]],75)</f>
        <v>American Airlines</v>
      </c>
      <c r="P899" s="2"/>
    </row>
    <row r="900" spans="1:16" hidden="1">
      <c r="A900" s="2">
        <v>201910</v>
      </c>
      <c r="B900" s="3">
        <v>43768</v>
      </c>
      <c r="C900" s="2" t="s">
        <v>2265</v>
      </c>
      <c r="D900" s="2" t="s">
        <v>131</v>
      </c>
      <c r="E900" s="2">
        <v>99.04</v>
      </c>
      <c r="F900" s="2" t="s">
        <v>18</v>
      </c>
      <c r="J900" s="2">
        <v>99.04</v>
      </c>
      <c r="K900" s="2" t="b">
        <v>0</v>
      </c>
      <c r="L900" s="2"/>
      <c r="M900" s="2"/>
      <c r="N900" s="4" t="s">
        <v>2259</v>
      </c>
      <c r="O900" s="4" t="str">
        <f>LEFT(Table2[[#This Row],[Description]],75)</f>
        <v>American Family Insurance</v>
      </c>
      <c r="P900" s="2" t="s">
        <v>2286</v>
      </c>
    </row>
    <row r="901" spans="1:16" hidden="1">
      <c r="A901" s="2">
        <v>201910</v>
      </c>
      <c r="B901" s="3">
        <v>43768</v>
      </c>
      <c r="C901" s="2" t="s">
        <v>2267</v>
      </c>
      <c r="D901" s="2" t="s">
        <v>131</v>
      </c>
      <c r="E901" s="2">
        <v>99.04</v>
      </c>
      <c r="F901" s="2" t="s">
        <v>18</v>
      </c>
      <c r="J901" s="2">
        <v>99.04</v>
      </c>
      <c r="K901" s="2" t="b">
        <v>0</v>
      </c>
      <c r="L901" s="2"/>
      <c r="M901" s="2"/>
      <c r="N901" s="4" t="s">
        <v>2259</v>
      </c>
      <c r="O901" s="4" t="str">
        <f>LEFT(Table2[[#This Row],[Description]],75)</f>
        <v>American Family Insurance</v>
      </c>
      <c r="P901" s="2"/>
    </row>
    <row r="902" spans="1:16" hidden="1">
      <c r="A902" s="2">
        <v>201910</v>
      </c>
      <c r="B902" s="3">
        <v>43768</v>
      </c>
      <c r="C902" s="2" t="s">
        <v>2310</v>
      </c>
      <c r="D902" s="2" t="s">
        <v>167</v>
      </c>
      <c r="E902" s="2">
        <v>-0.02</v>
      </c>
      <c r="F902" s="2" t="s">
        <v>9</v>
      </c>
      <c r="J902" s="2">
        <v>0.02</v>
      </c>
      <c r="K902" s="2" t="b">
        <v>0</v>
      </c>
      <c r="L902" s="2"/>
      <c r="M902" s="2"/>
      <c r="N902" s="4" t="s">
        <v>2273</v>
      </c>
      <c r="O902" s="4" t="str">
        <f>LEFT(Table2[[#This Row],[Description]],75)</f>
        <v>Apy Earned</v>
      </c>
      <c r="P902" s="2" t="s">
        <v>2281</v>
      </c>
    </row>
    <row r="903" spans="1:16" hidden="1">
      <c r="A903" s="2">
        <v>201910</v>
      </c>
      <c r="B903" s="3">
        <v>43768</v>
      </c>
      <c r="C903" s="2" t="s">
        <v>2262</v>
      </c>
      <c r="D903" s="2" t="s">
        <v>174</v>
      </c>
      <c r="E903" s="2">
        <v>-123</v>
      </c>
      <c r="F903" s="2" t="s">
        <v>21</v>
      </c>
      <c r="J903" s="2">
        <v>123</v>
      </c>
      <c r="K903" s="2" t="b">
        <v>0</v>
      </c>
      <c r="L903" s="2"/>
      <c r="M903" s="2"/>
      <c r="N903" s="4" t="s">
        <v>2273</v>
      </c>
      <c r="O903" s="4" t="str">
        <f>LEFT(Table2[[#This Row],[Description]],75)</f>
        <v>Asos.com</v>
      </c>
      <c r="P903" s="2" t="s">
        <v>2363</v>
      </c>
    </row>
    <row r="904" spans="1:16" hidden="1">
      <c r="A904" s="2">
        <v>201910</v>
      </c>
      <c r="B904" s="3">
        <v>43768</v>
      </c>
      <c r="C904" s="2" t="s">
        <v>2265</v>
      </c>
      <c r="D904" s="2" t="s">
        <v>180</v>
      </c>
      <c r="E904" s="2">
        <v>-3</v>
      </c>
      <c r="F904" s="2">
        <v>0</v>
      </c>
      <c r="J904" s="2">
        <v>3</v>
      </c>
      <c r="K904" s="2" t="b">
        <v>0</v>
      </c>
      <c r="L904" s="2"/>
      <c r="M904" s="2"/>
      <c r="N904" s="4" t="s">
        <v>2273</v>
      </c>
      <c r="O904" s="4" t="str">
        <f>LEFT(Table2[[#This Row],[Description]],75)</f>
        <v>ATM FEE REFUND 262109505</v>
      </c>
      <c r="P904" s="2"/>
    </row>
    <row r="905" spans="1:16" hidden="1">
      <c r="A905" s="2">
        <v>201910</v>
      </c>
      <c r="B905" s="3">
        <v>43768</v>
      </c>
      <c r="C905" s="2" t="s">
        <v>2267</v>
      </c>
      <c r="D905" s="2" t="s">
        <v>180</v>
      </c>
      <c r="E905" s="2">
        <v>-3</v>
      </c>
      <c r="F905" s="2" t="s">
        <v>9</v>
      </c>
      <c r="J905" s="2">
        <v>3</v>
      </c>
      <c r="K905" s="2" t="b">
        <v>0</v>
      </c>
      <c r="L905" s="2"/>
      <c r="M905" s="2"/>
      <c r="N905" s="4" t="s">
        <v>2273</v>
      </c>
      <c r="O905" s="4" t="str">
        <f>LEFT(Table2[[#This Row],[Description]],75)</f>
        <v>ATM FEE REFUND 262109505</v>
      </c>
      <c r="P905" s="2" t="s">
        <v>2281</v>
      </c>
    </row>
    <row r="906" spans="1:16" hidden="1">
      <c r="A906" s="2">
        <v>201910</v>
      </c>
      <c r="B906" s="3">
        <v>43768</v>
      </c>
      <c r="C906" s="2" t="s">
        <v>2271</v>
      </c>
      <c r="D906" s="2" t="s">
        <v>185</v>
      </c>
      <c r="E906" s="2">
        <v>-148.47</v>
      </c>
      <c r="F906" s="2" t="s">
        <v>26</v>
      </c>
      <c r="J906" s="2">
        <v>148.47</v>
      </c>
      <c r="K906" s="2" t="b">
        <v>0</v>
      </c>
      <c r="L906" s="2"/>
      <c r="M906" s="2"/>
      <c r="N906" s="4" t="s">
        <v>2273</v>
      </c>
      <c r="O906" s="4" t="str">
        <f>LEFT(Table2[[#This Row],[Description]],75)</f>
        <v>Auto</v>
      </c>
      <c r="P906" s="2" t="s">
        <v>2281</v>
      </c>
    </row>
    <row r="907" spans="1:16" hidden="1">
      <c r="A907" s="2">
        <v>201910</v>
      </c>
      <c r="B907" s="3">
        <v>43768</v>
      </c>
      <c r="C907" s="2" t="s">
        <v>2355</v>
      </c>
      <c r="D907" s="2" t="s">
        <v>237</v>
      </c>
      <c r="E907" s="2">
        <v>-0.1</v>
      </c>
      <c r="F907" s="2">
        <v>0</v>
      </c>
      <c r="J907" s="2">
        <v>0.1</v>
      </c>
      <c r="K907" s="2" t="b">
        <v>0</v>
      </c>
      <c r="L907" s="2"/>
      <c r="M907" s="2"/>
      <c r="N907" s="4" t="s">
        <v>2273</v>
      </c>
      <c r="O907" s="4" t="str">
        <f>LEFT(Table2[[#This Row],[Description]],75)</f>
        <v>BANK INT 091619-101519 SCHWAB BANK</v>
      </c>
      <c r="P907" s="2"/>
    </row>
    <row r="908" spans="1:16" hidden="1">
      <c r="A908" s="2">
        <v>201910</v>
      </c>
      <c r="B908" s="3">
        <v>43768</v>
      </c>
      <c r="C908" s="2" t="s">
        <v>2275</v>
      </c>
      <c r="D908" s="2" t="s">
        <v>237</v>
      </c>
      <c r="E908" s="2">
        <v>-0.14000000000000001</v>
      </c>
      <c r="F908" s="2">
        <v>0</v>
      </c>
      <c r="J908" s="2">
        <v>0.14000000000000001</v>
      </c>
      <c r="K908" s="2" t="b">
        <v>0</v>
      </c>
      <c r="L908" s="2"/>
      <c r="M908" s="2"/>
      <c r="N908" s="4" t="s">
        <v>2273</v>
      </c>
      <c r="O908" s="4" t="str">
        <f>LEFT(Table2[[#This Row],[Description]],75)</f>
        <v>BANK INT 091619-101519 SCHWAB BANK</v>
      </c>
      <c r="P908" s="2"/>
    </row>
    <row r="909" spans="1:16" hidden="1">
      <c r="A909" s="2">
        <v>201910</v>
      </c>
      <c r="B909" s="3">
        <v>43768</v>
      </c>
      <c r="C909" s="2" t="s">
        <v>2277</v>
      </c>
      <c r="D909" s="2" t="s">
        <v>237</v>
      </c>
      <c r="E909" s="2">
        <v>-0.24</v>
      </c>
      <c r="F909" s="2" t="s">
        <v>9</v>
      </c>
      <c r="J909" s="2">
        <v>0.24</v>
      </c>
      <c r="K909" s="2" t="b">
        <v>0</v>
      </c>
      <c r="L909" s="2"/>
      <c r="M909" s="2"/>
      <c r="N909" s="2" t="s">
        <v>2264</v>
      </c>
      <c r="O909" s="2" t="str">
        <f>LEFT(Table2[[#This Row],[Description]],75)</f>
        <v>BANK INT 091619-101519 SCHWAB BANK</v>
      </c>
      <c r="P909" s="2"/>
    </row>
    <row r="910" spans="1:16" hidden="1">
      <c r="A910" s="2">
        <v>201910</v>
      </c>
      <c r="B910" s="3">
        <v>43768</v>
      </c>
      <c r="C910" s="2" t="s">
        <v>2262</v>
      </c>
      <c r="D910" s="2" t="s">
        <v>338</v>
      </c>
      <c r="E910" s="2">
        <v>74.489999999999995</v>
      </c>
      <c r="F910" s="2" t="s">
        <v>28</v>
      </c>
      <c r="J910" s="2">
        <v>74.489999999999995</v>
      </c>
      <c r="K910" s="2" t="b">
        <v>0</v>
      </c>
      <c r="L910" s="2"/>
      <c r="M910" s="2"/>
      <c r="N910" s="4" t="s">
        <v>2259</v>
      </c>
      <c r="O910" s="4" t="str">
        <f>LEFT(Table2[[#This Row],[Description]],75)</f>
        <v>Byerly's</v>
      </c>
      <c r="P910" s="2" t="s">
        <v>2364</v>
      </c>
    </row>
    <row r="911" spans="1:16" hidden="1">
      <c r="A911" s="2">
        <v>201910</v>
      </c>
      <c r="B911" s="3">
        <v>43768</v>
      </c>
      <c r="C911" s="2" t="s">
        <v>2262</v>
      </c>
      <c r="D911" s="2" t="s">
        <v>351</v>
      </c>
      <c r="E911" s="2">
        <v>8.01</v>
      </c>
      <c r="F911" s="2" t="s">
        <v>26</v>
      </c>
      <c r="J911" s="2">
        <v>8.01</v>
      </c>
      <c r="K911" s="2" t="b">
        <v>0</v>
      </c>
      <c r="L911" s="2"/>
      <c r="M911" s="2"/>
      <c r="N911" s="4" t="s">
        <v>2259</v>
      </c>
      <c r="O911" s="4" t="str">
        <f>LEFT(Table2[[#This Row],[Description]],75)</f>
        <v>CARGILL CAFE 20014981 WAYZATA MN 260718486</v>
      </c>
      <c r="P911" s="2" t="s">
        <v>2323</v>
      </c>
    </row>
    <row r="912" spans="1:16" hidden="1">
      <c r="A912" s="2">
        <v>201910</v>
      </c>
      <c r="B912" s="3">
        <v>43768</v>
      </c>
      <c r="C912" s="2" t="s">
        <v>2262</v>
      </c>
      <c r="D912" s="2" t="s">
        <v>352</v>
      </c>
      <c r="E912" s="2">
        <v>6.44</v>
      </c>
      <c r="F912" s="2" t="s">
        <v>26</v>
      </c>
      <c r="J912" s="2">
        <v>6.44</v>
      </c>
      <c r="K912" s="2" t="b">
        <v>0</v>
      </c>
      <c r="L912" s="2"/>
      <c r="M912" s="2"/>
      <c r="N912" s="4" t="s">
        <v>2259</v>
      </c>
      <c r="O912" s="4" t="str">
        <f>LEFT(Table2[[#This Row],[Description]],75)</f>
        <v>CARGILL CAFE 20014981 WAYZATA MN 262120557</v>
      </c>
      <c r="P912" s="2" t="s">
        <v>2323</v>
      </c>
    </row>
    <row r="913" spans="1:16" hidden="1">
      <c r="A913" s="2">
        <v>201910</v>
      </c>
      <c r="B913" s="3">
        <v>43768</v>
      </c>
      <c r="C913" s="2" t="s">
        <v>2317</v>
      </c>
      <c r="D913" s="2" t="s">
        <v>354</v>
      </c>
      <c r="E913" s="2">
        <v>-200</v>
      </c>
      <c r="F913" s="2" t="s">
        <v>57</v>
      </c>
      <c r="J913" s="2">
        <v>200</v>
      </c>
      <c r="K913" s="2" t="b">
        <v>0</v>
      </c>
      <c r="L913" s="2"/>
      <c r="M913" s="2"/>
      <c r="N913" s="4" t="s">
        <v>2273</v>
      </c>
      <c r="O913" s="4" t="str">
        <f>LEFT(Table2[[#This Row],[Description]],75)</f>
        <v>CARGILL COCOA &amp;</v>
      </c>
      <c r="P913" s="2" t="s">
        <v>2354</v>
      </c>
    </row>
    <row r="914" spans="1:16" hidden="1">
      <c r="A914" s="2">
        <v>201910</v>
      </c>
      <c r="B914" s="3">
        <v>43768</v>
      </c>
      <c r="C914" s="2" t="s">
        <v>64</v>
      </c>
      <c r="D914" s="2" t="s">
        <v>354</v>
      </c>
      <c r="E914" s="2">
        <v>-200</v>
      </c>
      <c r="F914" s="2" t="s">
        <v>57</v>
      </c>
      <c r="J914" s="2">
        <v>200</v>
      </c>
      <c r="K914" s="2" t="b">
        <v>0</v>
      </c>
      <c r="L914" s="2"/>
      <c r="M914" s="2"/>
      <c r="N914" s="4" t="s">
        <v>2273</v>
      </c>
      <c r="O914" s="4" t="str">
        <f>LEFT(Table2[[#This Row],[Description]],75)</f>
        <v>CARGILL COCOA &amp;</v>
      </c>
      <c r="P914" s="2" t="s">
        <v>2354</v>
      </c>
    </row>
    <row r="915" spans="1:16" hidden="1">
      <c r="A915" s="2">
        <v>201910</v>
      </c>
      <c r="B915" s="3">
        <v>43768</v>
      </c>
      <c r="C915" s="2" t="s">
        <v>2265</v>
      </c>
      <c r="D915" s="2" t="s">
        <v>384</v>
      </c>
      <c r="E915" s="2">
        <v>-2332.1</v>
      </c>
      <c r="F915" s="2" t="s">
        <v>65</v>
      </c>
      <c r="J915" s="2">
        <v>2332.1</v>
      </c>
      <c r="K915" s="2" t="b">
        <v>0</v>
      </c>
      <c r="L915" s="2"/>
      <c r="M915" s="2"/>
      <c r="N915" s="4" t="s">
        <v>2273</v>
      </c>
      <c r="O915" s="4" t="str">
        <f>LEFT(Table2[[#This Row],[Description]],75)</f>
        <v xml:space="preserve">CARGILL COCOA TYPE DIR DEP ID CO CARGILL COCOA ACH ECC PPD ACH Trace 59938 </v>
      </c>
      <c r="P915" s="2" t="s">
        <v>2284</v>
      </c>
    </row>
    <row r="916" spans="1:16" hidden="1">
      <c r="A916" s="2">
        <v>201910</v>
      </c>
      <c r="B916" s="3">
        <v>43768</v>
      </c>
      <c r="C916" s="2" t="s">
        <v>2267</v>
      </c>
      <c r="D916" s="2" t="s">
        <v>384</v>
      </c>
      <c r="E916" s="2">
        <v>-2332.1</v>
      </c>
      <c r="F916" s="2" t="s">
        <v>65</v>
      </c>
      <c r="J916" s="2">
        <v>2332.1</v>
      </c>
      <c r="K916" s="2" t="b">
        <v>0</v>
      </c>
      <c r="L916" s="2"/>
      <c r="M916" s="2"/>
      <c r="N916" s="2" t="s">
        <v>2264</v>
      </c>
      <c r="O916" s="2" t="str">
        <f>LEFT(Table2[[#This Row],[Description]],75)</f>
        <v xml:space="preserve">CARGILL COCOA TYPE DIR DEP ID CO CARGILL COCOA ACH ECC PPD ACH Trace 59938 </v>
      </c>
      <c r="P916" s="2"/>
    </row>
    <row r="917" spans="1:16" hidden="1">
      <c r="A917" s="2">
        <v>201910</v>
      </c>
      <c r="B917" s="3">
        <v>43768</v>
      </c>
      <c r="C917" s="2" t="s">
        <v>2265</v>
      </c>
      <c r="D917" s="2" t="s">
        <v>390</v>
      </c>
      <c r="E917" s="2">
        <v>-2332.1</v>
      </c>
      <c r="F917" s="2" t="s">
        <v>65</v>
      </c>
      <c r="J917" s="2">
        <v>2332.1</v>
      </c>
      <c r="K917" s="2" t="b">
        <v>0</v>
      </c>
      <c r="L917" s="2"/>
      <c r="M917" s="2"/>
      <c r="N917" s="4" t="s">
        <v>2273</v>
      </c>
      <c r="O917" s="4" t="str">
        <f>LEFT(Table2[[#This Row],[Description]],75)</f>
        <v xml:space="preserve">CARGILL COCOA TYPE DIR DEP ID CO CARGILL COCOA ACH ECC PPD ACH Trace 72872 </v>
      </c>
      <c r="P917" s="2" t="s">
        <v>2284</v>
      </c>
    </row>
    <row r="918" spans="1:16" hidden="1">
      <c r="A918" s="2">
        <v>201910</v>
      </c>
      <c r="B918" s="3">
        <v>43768</v>
      </c>
      <c r="C918" s="2" t="s">
        <v>2267</v>
      </c>
      <c r="D918" s="2" t="s">
        <v>390</v>
      </c>
      <c r="E918" s="2">
        <v>-2332.1</v>
      </c>
      <c r="F918" s="2" t="s">
        <v>65</v>
      </c>
      <c r="J918" s="2">
        <v>2332.1</v>
      </c>
      <c r="K918" s="2" t="b">
        <v>0</v>
      </c>
      <c r="L918" s="2"/>
      <c r="M918" s="2"/>
      <c r="N918" s="4" t="s">
        <v>2273</v>
      </c>
      <c r="O918" s="4" t="str">
        <f>LEFT(Table2[[#This Row],[Description]],75)</f>
        <v xml:space="preserve">CARGILL COCOA TYPE DIR DEP ID CO CARGILL COCOA ACH ECC PPD ACH Trace 72872 </v>
      </c>
      <c r="P918" s="2" t="s">
        <v>2284</v>
      </c>
    </row>
    <row r="919" spans="1:16" hidden="1">
      <c r="A919" s="2">
        <v>201910</v>
      </c>
      <c r="B919" s="3">
        <v>43768</v>
      </c>
      <c r="C919" s="2" t="s">
        <v>2258</v>
      </c>
      <c r="D919" s="2" t="s">
        <v>434</v>
      </c>
      <c r="E919" s="2">
        <v>6.21</v>
      </c>
      <c r="F919" s="2" t="s">
        <v>28</v>
      </c>
      <c r="J919" s="2">
        <v>6.21</v>
      </c>
      <c r="K919" s="2" t="b">
        <v>0</v>
      </c>
      <c r="L919" s="2"/>
      <c r="M919" s="2"/>
      <c r="N919" s="4" t="s">
        <v>2259</v>
      </c>
      <c r="O919" s="4" t="str">
        <f>LEFT(Table2[[#This Row],[Description]],75)</f>
        <v>CARGILL JAZ20029518579 WAYZATA MN</v>
      </c>
      <c r="P919" s="2" t="s">
        <v>2365</v>
      </c>
    </row>
    <row r="920" spans="1:16" hidden="1">
      <c r="A920" s="2">
        <v>201910</v>
      </c>
      <c r="B920" s="3">
        <v>43768</v>
      </c>
      <c r="C920" s="2" t="s">
        <v>2261</v>
      </c>
      <c r="D920" s="2" t="s">
        <v>434</v>
      </c>
      <c r="E920" s="2">
        <v>6.21</v>
      </c>
      <c r="F920" s="2" t="s">
        <v>28</v>
      </c>
      <c r="J920" s="2">
        <v>6.21</v>
      </c>
      <c r="K920" s="2" t="b">
        <v>0</v>
      </c>
      <c r="L920" s="2"/>
      <c r="M920" s="2"/>
      <c r="N920" s="4" t="s">
        <v>2259</v>
      </c>
      <c r="O920" s="4" t="str">
        <f>LEFT(Table2[[#This Row],[Description]],75)</f>
        <v>CARGILL JAZ20029518579 WAYZATA MN</v>
      </c>
      <c r="P920" s="2" t="s">
        <v>2365</v>
      </c>
    </row>
    <row r="921" spans="1:16" hidden="1">
      <c r="A921" s="2">
        <v>201910</v>
      </c>
      <c r="B921" s="3">
        <v>43768</v>
      </c>
      <c r="C921" s="2" t="s">
        <v>2262</v>
      </c>
      <c r="D921" s="2" t="s">
        <v>436</v>
      </c>
      <c r="E921" s="2">
        <v>3.86</v>
      </c>
      <c r="F921" s="2" t="s">
        <v>26</v>
      </c>
      <c r="J921" s="2">
        <v>3.86</v>
      </c>
      <c r="K921" s="2" t="b">
        <v>0</v>
      </c>
      <c r="L921" s="2"/>
      <c r="M921" s="2"/>
      <c r="N921" s="4" t="s">
        <v>2259</v>
      </c>
      <c r="O921" s="4" t="str">
        <f>LEFT(Table2[[#This Row],[Description]],75)</f>
        <v>CARGILL JAZZMA20029518 WAYZATA MN 262120556</v>
      </c>
      <c r="P921" s="2" t="s">
        <v>2366</v>
      </c>
    </row>
    <row r="922" spans="1:16" hidden="1">
      <c r="A922" s="2">
        <v>201910</v>
      </c>
      <c r="B922" s="3">
        <v>43768</v>
      </c>
      <c r="C922" s="2" t="s">
        <v>2262</v>
      </c>
      <c r="D922" s="2" t="s">
        <v>449</v>
      </c>
      <c r="E922" s="2">
        <v>15.42</v>
      </c>
      <c r="F922" s="2" t="s">
        <v>28</v>
      </c>
      <c r="J922" s="2">
        <v>15.42</v>
      </c>
      <c r="K922" s="2" t="b">
        <v>0</v>
      </c>
      <c r="L922" s="2"/>
      <c r="M922" s="2"/>
      <c r="N922" s="4" t="s">
        <v>2259</v>
      </c>
      <c r="O922" s="4" t="str">
        <f>LEFT(Table2[[#This Row],[Description]],75)</f>
        <v>CARGILL PRODUC20081436 WAYZATA MN 260718485</v>
      </c>
      <c r="P922" s="2" t="s">
        <v>2367</v>
      </c>
    </row>
    <row r="923" spans="1:16" hidden="1">
      <c r="A923" s="2">
        <v>201910</v>
      </c>
      <c r="B923" s="3">
        <v>43768</v>
      </c>
      <c r="C923" s="2" t="s">
        <v>2265</v>
      </c>
      <c r="D923" s="2" t="s">
        <v>464</v>
      </c>
      <c r="E923" s="2">
        <v>247.95</v>
      </c>
      <c r="F923" s="2" t="s">
        <v>20</v>
      </c>
      <c r="J923" s="2">
        <v>247.95</v>
      </c>
      <c r="K923" s="2" t="b">
        <v>0</v>
      </c>
      <c r="L923" s="2"/>
      <c r="M923" s="2"/>
      <c r="N923" s="4" t="s">
        <v>2259</v>
      </c>
      <c r="O923" s="4" t="str">
        <f>LEFT(Table2[[#This Row],[Description]],75)</f>
        <v>CCLC TYPE INTERNET ID CO CCLC ACH ECC WEB ACH Trace 13050 258364244</v>
      </c>
      <c r="P923" s="2" t="s">
        <v>2268</v>
      </c>
    </row>
    <row r="924" spans="1:16" hidden="1">
      <c r="A924" s="2">
        <v>201910</v>
      </c>
      <c r="B924" s="3">
        <v>43768</v>
      </c>
      <c r="C924" s="2" t="s">
        <v>2267</v>
      </c>
      <c r="D924" s="2" t="s">
        <v>464</v>
      </c>
      <c r="E924" s="2">
        <v>247.95</v>
      </c>
      <c r="F924" s="2" t="s">
        <v>20</v>
      </c>
      <c r="J924" s="2">
        <v>247.95</v>
      </c>
      <c r="K924" s="2" t="b">
        <v>0</v>
      </c>
      <c r="L924" s="2"/>
      <c r="M924" s="2"/>
      <c r="N924" s="4" t="s">
        <v>2259</v>
      </c>
      <c r="O924" s="4" t="str">
        <f>LEFT(Table2[[#This Row],[Description]],75)</f>
        <v>CCLC TYPE INTERNET ID CO CCLC ACH ECC WEB ACH Trace 13050 258364244</v>
      </c>
      <c r="P924" s="2"/>
    </row>
    <row r="925" spans="1:16" hidden="1">
      <c r="A925" s="2">
        <v>201910</v>
      </c>
      <c r="B925" s="3">
        <v>43768</v>
      </c>
      <c r="C925" s="2" t="s">
        <v>2265</v>
      </c>
      <c r="D925" s="2" t="s">
        <v>482</v>
      </c>
      <c r="E925" s="2">
        <v>247.95</v>
      </c>
      <c r="F925" s="2" t="s">
        <v>20</v>
      </c>
      <c r="J925" s="2">
        <v>247.95</v>
      </c>
      <c r="K925" s="2" t="b">
        <v>0</v>
      </c>
      <c r="L925" s="2"/>
      <c r="M925" s="2"/>
      <c r="N925" s="4" t="s">
        <v>2259</v>
      </c>
      <c r="O925" s="4" t="str">
        <f>LEFT(Table2[[#This Row],[Description]],75)</f>
        <v>CCLC TYPE INTERNET ID CO CCLC ACH ECC WEB ACH Trace 60671 260057590</v>
      </c>
      <c r="P925" s="2" t="s">
        <v>2268</v>
      </c>
    </row>
    <row r="926" spans="1:16" hidden="1">
      <c r="A926" s="2">
        <v>201910</v>
      </c>
      <c r="B926" s="3">
        <v>43768</v>
      </c>
      <c r="C926" s="2" t="s">
        <v>2267</v>
      </c>
      <c r="D926" s="2" t="s">
        <v>482</v>
      </c>
      <c r="E926" s="2">
        <v>247.95</v>
      </c>
      <c r="F926" s="2" t="s">
        <v>20</v>
      </c>
      <c r="J926" s="2">
        <v>247.95</v>
      </c>
      <c r="K926" s="2" t="b">
        <v>0</v>
      </c>
      <c r="L926" s="2"/>
      <c r="M926" s="2"/>
      <c r="N926" s="4" t="s">
        <v>2259</v>
      </c>
      <c r="O926" s="4" t="str">
        <f>LEFT(Table2[[#This Row],[Description]],75)</f>
        <v>CCLC TYPE INTERNET ID CO CCLC ACH ECC WEB ACH Trace 60671 260057590</v>
      </c>
      <c r="P926" s="2" t="s">
        <v>2268</v>
      </c>
    </row>
    <row r="927" spans="1:16" hidden="1">
      <c r="A927" s="2">
        <v>201910</v>
      </c>
      <c r="B927" s="3">
        <v>43768</v>
      </c>
      <c r="C927" s="2" t="s">
        <v>2265</v>
      </c>
      <c r="D927" s="2" t="s">
        <v>490</v>
      </c>
      <c r="E927" s="2">
        <v>247.95</v>
      </c>
      <c r="F927" s="2" t="s">
        <v>20</v>
      </c>
      <c r="J927" s="2">
        <v>247.95</v>
      </c>
      <c r="K927" s="2" t="b">
        <v>0</v>
      </c>
      <c r="L927" s="2"/>
      <c r="M927" s="2"/>
      <c r="N927" s="4" t="s">
        <v>2259</v>
      </c>
      <c r="O927" s="4" t="str">
        <f>LEFT(Table2[[#This Row],[Description]],75)</f>
        <v>CCLC TYPE INTERNET ID CO CCLC ACH ECC WEB ACH Trace 89061 261565289</v>
      </c>
      <c r="P927" s="2" t="s">
        <v>2268</v>
      </c>
    </row>
    <row r="928" spans="1:16" hidden="1">
      <c r="A928" s="2">
        <v>201910</v>
      </c>
      <c r="B928" s="3">
        <v>43768</v>
      </c>
      <c r="C928" s="2" t="s">
        <v>2267</v>
      </c>
      <c r="D928" s="2" t="s">
        <v>490</v>
      </c>
      <c r="E928" s="2">
        <v>247.95</v>
      </c>
      <c r="F928" s="2" t="s">
        <v>20</v>
      </c>
      <c r="J928" s="2">
        <v>247.95</v>
      </c>
      <c r="K928" s="2" t="b">
        <v>0</v>
      </c>
      <c r="L928" s="2"/>
      <c r="M928" s="2"/>
      <c r="N928" s="4" t="s">
        <v>2259</v>
      </c>
      <c r="O928" s="4" t="str">
        <f>LEFT(Table2[[#This Row],[Description]],75)</f>
        <v>CCLC TYPE INTERNET ID CO CCLC ACH ECC WEB ACH Trace 89061 261565289</v>
      </c>
      <c r="P928" s="2" t="s">
        <v>2268</v>
      </c>
    </row>
    <row r="929" spans="1:16" hidden="1">
      <c r="A929" s="2">
        <v>201910</v>
      </c>
      <c r="B929" s="3">
        <v>43768</v>
      </c>
      <c r="C929" s="2" t="s">
        <v>2262</v>
      </c>
      <c r="D929" s="2" t="s">
        <v>506</v>
      </c>
      <c r="E929" s="2">
        <v>45</v>
      </c>
      <c r="F929" s="2" t="s">
        <v>7</v>
      </c>
      <c r="J929" s="2">
        <v>45</v>
      </c>
      <c r="K929" s="2" t="b">
        <v>0</v>
      </c>
      <c r="L929" s="2"/>
      <c r="M929" s="2"/>
      <c r="N929" s="4" t="s">
        <v>2259</v>
      </c>
      <c r="O929" s="4" t="str">
        <f>LEFT(Table2[[#This Row],[Description]],75)</f>
        <v>CenturyLink</v>
      </c>
      <c r="P929" s="2"/>
    </row>
    <row r="930" spans="1:16" hidden="1">
      <c r="A930" s="2">
        <v>201910</v>
      </c>
      <c r="B930" s="3">
        <v>43768</v>
      </c>
      <c r="C930" s="2" t="s">
        <v>2258</v>
      </c>
      <c r="D930" s="2" t="s">
        <v>542</v>
      </c>
      <c r="E930" s="2">
        <v>36.979999999999997</v>
      </c>
      <c r="F930" s="2" t="s">
        <v>26</v>
      </c>
      <c r="J930" s="2">
        <v>36.979999999999997</v>
      </c>
      <c r="K930" s="2" t="b">
        <v>0</v>
      </c>
      <c r="L930" s="2"/>
      <c r="M930" s="2"/>
      <c r="N930" s="4" t="s">
        <v>2259</v>
      </c>
      <c r="O930" s="4" t="str">
        <f>LEFT(Table2[[#This Row],[Description]],75)</f>
        <v>CHINA PAGODA 2 CHASKA MN</v>
      </c>
      <c r="P930" s="2" t="s">
        <v>2368</v>
      </c>
    </row>
    <row r="931" spans="1:16" hidden="1">
      <c r="A931" s="2">
        <v>201910</v>
      </c>
      <c r="B931" s="3">
        <v>43768</v>
      </c>
      <c r="C931" s="2" t="s">
        <v>2261</v>
      </c>
      <c r="D931" s="2" t="s">
        <v>542</v>
      </c>
      <c r="E931" s="2">
        <v>36.979999999999997</v>
      </c>
      <c r="F931" s="2" t="s">
        <v>26</v>
      </c>
      <c r="J931" s="2">
        <v>36.979999999999997</v>
      </c>
      <c r="K931" s="2" t="b">
        <v>0</v>
      </c>
      <c r="L931" s="2"/>
      <c r="M931" s="2"/>
      <c r="N931" s="4" t="s">
        <v>2259</v>
      </c>
      <c r="O931" s="4" t="str">
        <f>LEFT(Table2[[#This Row],[Description]],75)</f>
        <v>CHINA PAGODA 2 CHASKA MN</v>
      </c>
      <c r="P931" s="2"/>
    </row>
    <row r="932" spans="1:16" hidden="1">
      <c r="A932" s="2">
        <v>201910</v>
      </c>
      <c r="B932" s="3">
        <v>43768</v>
      </c>
      <c r="C932" s="2" t="s">
        <v>2265</v>
      </c>
      <c r="D932" s="2" t="s">
        <v>557</v>
      </c>
      <c r="E932" s="2">
        <v>30.92</v>
      </c>
      <c r="F932" s="2" t="s">
        <v>7</v>
      </c>
      <c r="J932" s="2">
        <v>30.92</v>
      </c>
      <c r="K932" s="2" t="b">
        <v>0</v>
      </c>
      <c r="L932" s="2"/>
      <c r="M932" s="2"/>
      <c r="N932" s="4" t="s">
        <v>2259</v>
      </c>
      <c r="O932" s="4" t="str">
        <f>LEFT(Table2[[#This Row],[Description]],75)</f>
        <v>City of Chanhassen</v>
      </c>
      <c r="P932" s="2" t="s">
        <v>2298</v>
      </c>
    </row>
    <row r="933" spans="1:16" hidden="1">
      <c r="A933" s="2">
        <v>201910</v>
      </c>
      <c r="B933" s="3">
        <v>43768</v>
      </c>
      <c r="C933" s="2" t="s">
        <v>2267</v>
      </c>
      <c r="D933" s="2" t="s">
        <v>557</v>
      </c>
      <c r="E933" s="2">
        <v>30.92</v>
      </c>
      <c r="F933" s="2" t="s">
        <v>7</v>
      </c>
      <c r="J933" s="2">
        <v>30.92</v>
      </c>
      <c r="K933" s="2" t="b">
        <v>0</v>
      </c>
      <c r="L933" s="2"/>
      <c r="M933" s="2"/>
      <c r="N933" s="4" t="s">
        <v>2259</v>
      </c>
      <c r="O933" s="4" t="str">
        <f>LEFT(Table2[[#This Row],[Description]],75)</f>
        <v>City of Chanhassen</v>
      </c>
      <c r="P933" s="2" t="s">
        <v>2298</v>
      </c>
    </row>
    <row r="934" spans="1:16" hidden="1">
      <c r="A934" s="2">
        <v>201910</v>
      </c>
      <c r="B934" s="3">
        <v>43768</v>
      </c>
      <c r="C934" s="2" t="s">
        <v>2271</v>
      </c>
      <c r="D934" s="2" t="s">
        <v>568</v>
      </c>
      <c r="E934" s="2">
        <v>106.69</v>
      </c>
      <c r="F934" s="2" t="s">
        <v>26</v>
      </c>
      <c r="J934" s="2">
        <v>106.69</v>
      </c>
      <c r="K934" s="2" t="b">
        <v>0</v>
      </c>
      <c r="L934" s="2"/>
      <c r="M934" s="2"/>
      <c r="N934" s="4" t="s">
        <v>2259</v>
      </c>
      <c r="O934" s="4" t="str">
        <f>LEFT(Table2[[#This Row],[Description]],75)</f>
        <v>Coalition Restaurant</v>
      </c>
      <c r="P934" s="2" t="s">
        <v>2369</v>
      </c>
    </row>
    <row r="935" spans="1:16" hidden="1">
      <c r="A935" s="2">
        <v>201910</v>
      </c>
      <c r="B935" s="3">
        <v>43768</v>
      </c>
      <c r="C935" s="2" t="s">
        <v>2258</v>
      </c>
      <c r="D935" s="2" t="s">
        <v>684</v>
      </c>
      <c r="E935" s="2">
        <v>14.05</v>
      </c>
      <c r="F935" s="2" t="s">
        <v>28</v>
      </c>
      <c r="J935" s="2">
        <v>14.05</v>
      </c>
      <c r="K935" s="2" t="b">
        <v>0</v>
      </c>
      <c r="L935" s="2"/>
      <c r="M935" s="2"/>
      <c r="N935" s="4" t="s">
        <v>2259</v>
      </c>
      <c r="O935" s="4" t="str">
        <f>LEFT(Table2[[#This Row],[Description]],75)</f>
        <v>Cub Foods</v>
      </c>
      <c r="P935" s="2" t="s">
        <v>2370</v>
      </c>
    </row>
    <row r="936" spans="1:16" hidden="1">
      <c r="A936" s="2">
        <v>201910</v>
      </c>
      <c r="B936" s="3">
        <v>43768</v>
      </c>
      <c r="C936" s="2" t="s">
        <v>2262</v>
      </c>
      <c r="D936" s="2" t="s">
        <v>684</v>
      </c>
      <c r="E936" s="2">
        <v>18.95</v>
      </c>
      <c r="F936" s="2" t="s">
        <v>28</v>
      </c>
      <c r="J936" s="2">
        <v>18.95</v>
      </c>
      <c r="K936" s="2" t="b">
        <v>0</v>
      </c>
      <c r="L936" s="2"/>
      <c r="M936" s="2"/>
      <c r="N936" s="4" t="s">
        <v>2259</v>
      </c>
      <c r="O936" s="4" t="str">
        <f>LEFT(Table2[[#This Row],[Description]],75)</f>
        <v>Cub Foods</v>
      </c>
      <c r="P936" s="2" t="s">
        <v>2370</v>
      </c>
    </row>
    <row r="937" spans="1:16" hidden="1">
      <c r="A937" s="2">
        <v>201910</v>
      </c>
      <c r="B937" s="3">
        <v>43768</v>
      </c>
      <c r="C937" s="2" t="s">
        <v>2262</v>
      </c>
      <c r="D937" s="2" t="s">
        <v>684</v>
      </c>
      <c r="E937" s="2">
        <v>142.79</v>
      </c>
      <c r="F937" s="2" t="s">
        <v>28</v>
      </c>
      <c r="J937" s="2">
        <v>142.79</v>
      </c>
      <c r="K937" s="2" t="b">
        <v>0</v>
      </c>
      <c r="L937" s="2"/>
      <c r="M937" s="2"/>
      <c r="N937" s="4" t="s">
        <v>2259</v>
      </c>
      <c r="O937" s="4" t="str">
        <f>LEFT(Table2[[#This Row],[Description]],75)</f>
        <v>Cub Foods</v>
      </c>
      <c r="P937" s="2" t="s">
        <v>2370</v>
      </c>
    </row>
    <row r="938" spans="1:16" hidden="1">
      <c r="A938" s="2">
        <v>201910</v>
      </c>
      <c r="B938" s="3">
        <v>43768</v>
      </c>
      <c r="C938" s="2" t="s">
        <v>2262</v>
      </c>
      <c r="D938" s="2" t="s">
        <v>684</v>
      </c>
      <c r="E938" s="2">
        <v>58.7</v>
      </c>
      <c r="F938" s="2" t="s">
        <v>28</v>
      </c>
      <c r="J938" s="2">
        <v>58.7</v>
      </c>
      <c r="K938" s="2" t="b">
        <v>0</v>
      </c>
      <c r="L938" s="2"/>
      <c r="M938" s="2"/>
      <c r="N938" s="4" t="s">
        <v>2259</v>
      </c>
      <c r="O938" s="4" t="str">
        <f>LEFT(Table2[[#This Row],[Description]],75)</f>
        <v>Cub Foods</v>
      </c>
      <c r="P938" s="2"/>
    </row>
    <row r="939" spans="1:16" hidden="1">
      <c r="A939" s="2">
        <v>201910</v>
      </c>
      <c r="B939" s="3">
        <v>43768</v>
      </c>
      <c r="C939" s="2" t="s">
        <v>2261</v>
      </c>
      <c r="D939" s="2" t="s">
        <v>684</v>
      </c>
      <c r="E939" s="2">
        <v>14.05</v>
      </c>
      <c r="F939" s="2" t="s">
        <v>28</v>
      </c>
      <c r="J939" s="2">
        <v>14.05</v>
      </c>
      <c r="K939" s="2" t="b">
        <v>0</v>
      </c>
      <c r="L939" s="2"/>
      <c r="M939" s="2"/>
      <c r="N939" s="4" t="s">
        <v>2259</v>
      </c>
      <c r="O939" s="4" t="str">
        <f>LEFT(Table2[[#This Row],[Description]],75)</f>
        <v>Cub Foods</v>
      </c>
      <c r="P939" s="2"/>
    </row>
    <row r="940" spans="1:16" hidden="1">
      <c r="A940" s="2">
        <v>201910</v>
      </c>
      <c r="B940" s="3">
        <v>43768</v>
      </c>
      <c r="C940" s="2" t="s">
        <v>2262</v>
      </c>
      <c r="D940" s="2" t="s">
        <v>684</v>
      </c>
      <c r="E940" s="2">
        <v>23.48</v>
      </c>
      <c r="F940" s="2" t="s">
        <v>28</v>
      </c>
      <c r="J940" s="2">
        <v>23.48</v>
      </c>
      <c r="K940" s="2" t="b">
        <v>0</v>
      </c>
      <c r="L940" s="2"/>
      <c r="M940" s="2"/>
      <c r="N940" s="4" t="s">
        <v>2259</v>
      </c>
      <c r="O940" s="4" t="str">
        <f>LEFT(Table2[[#This Row],[Description]],75)</f>
        <v>Cub Foods</v>
      </c>
      <c r="P940" s="2" t="s">
        <v>2370</v>
      </c>
    </row>
    <row r="941" spans="1:16" hidden="1">
      <c r="A941" s="2">
        <v>201910</v>
      </c>
      <c r="B941" s="3">
        <v>43768</v>
      </c>
      <c r="C941" s="2" t="s">
        <v>2265</v>
      </c>
      <c r="D941" s="2" t="s">
        <v>714</v>
      </c>
      <c r="E941" s="2">
        <v>-100</v>
      </c>
      <c r="F941" s="2">
        <v>0</v>
      </c>
      <c r="J941" s="2">
        <v>100</v>
      </c>
      <c r="K941" s="2" t="b">
        <v>0</v>
      </c>
      <c r="L941" s="2"/>
      <c r="M941" s="2"/>
      <c r="N941" s="4" t="s">
        <v>2273</v>
      </c>
      <c r="O941" s="4" t="str">
        <f>LEFT(Table2[[#This Row],[Description]],75)</f>
        <v>Deposit by Check Deposit Anywhere check deposit 260291527</v>
      </c>
      <c r="P941" s="2"/>
    </row>
    <row r="942" spans="1:16" hidden="1">
      <c r="A942" s="2">
        <v>201910</v>
      </c>
      <c r="B942" s="3">
        <v>43768</v>
      </c>
      <c r="C942" s="2" t="s">
        <v>2267</v>
      </c>
      <c r="D942" s="2" t="s">
        <v>714</v>
      </c>
      <c r="E942" s="2">
        <v>-100</v>
      </c>
      <c r="F942" s="2" t="s">
        <v>9</v>
      </c>
      <c r="J942" s="2">
        <v>100</v>
      </c>
      <c r="K942" s="2" t="b">
        <v>0</v>
      </c>
      <c r="L942" s="2"/>
      <c r="M942" s="2"/>
      <c r="N942" s="4" t="s">
        <v>2273</v>
      </c>
      <c r="O942" s="4" t="str">
        <f>LEFT(Table2[[#This Row],[Description]],75)</f>
        <v>Deposit by Check Deposit Anywhere check deposit 260291527</v>
      </c>
      <c r="P942" s="2" t="s">
        <v>2281</v>
      </c>
    </row>
    <row r="943" spans="1:16" hidden="1">
      <c r="A943" s="2">
        <v>201910</v>
      </c>
      <c r="B943" s="3">
        <v>43768</v>
      </c>
      <c r="C943" s="2" t="s">
        <v>2262</v>
      </c>
      <c r="D943" s="2" t="s">
        <v>723</v>
      </c>
      <c r="E943" s="2">
        <v>182.54</v>
      </c>
      <c r="F943" s="2" t="s">
        <v>2</v>
      </c>
      <c r="J943" s="2">
        <v>182.54</v>
      </c>
      <c r="K943" s="2" t="b">
        <v>0</v>
      </c>
      <c r="L943" s="2"/>
      <c r="M943" s="2"/>
      <c r="N943" s="4" t="s">
        <v>2259</v>
      </c>
      <c r="O943" s="4" t="str">
        <f>LEFT(Table2[[#This Row],[Description]],75)</f>
        <v>Details</v>
      </c>
      <c r="P943" s="2" t="s">
        <v>2371</v>
      </c>
    </row>
    <row r="944" spans="1:16" hidden="1">
      <c r="A944" s="2">
        <v>201910</v>
      </c>
      <c r="B944" s="3">
        <v>43768</v>
      </c>
      <c r="C944" s="2" t="s">
        <v>2262</v>
      </c>
      <c r="D944" s="2" t="s">
        <v>789</v>
      </c>
      <c r="E944" s="2">
        <v>69.09</v>
      </c>
      <c r="F944" s="2" t="s">
        <v>26</v>
      </c>
      <c r="J944" s="2">
        <v>69.09</v>
      </c>
      <c r="K944" s="2" t="b">
        <v>0</v>
      </c>
      <c r="L944" s="2"/>
      <c r="M944" s="2"/>
      <c r="N944" s="4" t="s">
        <v>2259</v>
      </c>
      <c r="O944" s="4" t="str">
        <f>LEFT(Table2[[#This Row],[Description]],75)</f>
        <v>DOORDASHKAIS SUSHI 6506819470 CA 257881483</v>
      </c>
      <c r="P944" s="2"/>
    </row>
    <row r="945" spans="1:16" hidden="1">
      <c r="A945" s="2">
        <v>201910</v>
      </c>
      <c r="B945" s="3">
        <v>43768</v>
      </c>
      <c r="C945" s="2" t="s">
        <v>2262</v>
      </c>
      <c r="D945" s="2" t="s">
        <v>909</v>
      </c>
      <c r="E945" s="2">
        <v>25.01</v>
      </c>
      <c r="F945" s="2" t="s">
        <v>28</v>
      </c>
      <c r="J945" s="2">
        <v>25.01</v>
      </c>
      <c r="K945" s="2" t="b">
        <v>0</v>
      </c>
      <c r="L945" s="2"/>
      <c r="M945" s="2"/>
      <c r="N945" s="4" t="s">
        <v>2259</v>
      </c>
      <c r="O945" s="4" t="str">
        <f>LEFT(Table2[[#This Row],[Description]],75)</f>
        <v>Greenwood Market</v>
      </c>
      <c r="P945" s="2" t="s">
        <v>2372</v>
      </c>
    </row>
    <row r="946" spans="1:16" hidden="1">
      <c r="A946" s="2">
        <v>201910</v>
      </c>
      <c r="B946" s="3">
        <v>43768</v>
      </c>
      <c r="C946" s="2" t="s">
        <v>2262</v>
      </c>
      <c r="D946" s="2" t="s">
        <v>919</v>
      </c>
      <c r="E946" s="2">
        <v>18</v>
      </c>
      <c r="F946" s="2" t="s">
        <v>40</v>
      </c>
      <c r="J946" s="2">
        <v>18</v>
      </c>
      <c r="K946" s="2" t="b">
        <v>0</v>
      </c>
      <c r="L946" s="2"/>
      <c r="M946" s="2"/>
      <c r="N946" s="4" t="s">
        <v>2259</v>
      </c>
      <c r="O946" s="4" t="str">
        <f>LEFT(Table2[[#This Row],[Description]],75)</f>
        <v>Harvard Business</v>
      </c>
      <c r="P946" s="2"/>
    </row>
    <row r="947" spans="1:16" hidden="1">
      <c r="A947" s="2">
        <v>201910</v>
      </c>
      <c r="B947" s="3">
        <v>43768</v>
      </c>
      <c r="C947" s="2" t="s">
        <v>2262</v>
      </c>
      <c r="D947" s="2" t="s">
        <v>919</v>
      </c>
      <c r="E947" s="2">
        <v>18</v>
      </c>
      <c r="F947" s="2" t="s">
        <v>40</v>
      </c>
      <c r="J947" s="2">
        <v>18</v>
      </c>
      <c r="K947" s="2" t="b">
        <v>0</v>
      </c>
      <c r="L947" s="2"/>
      <c r="M947" s="2"/>
      <c r="N947" s="4" t="s">
        <v>2259</v>
      </c>
      <c r="O947" s="4" t="str">
        <f>LEFT(Table2[[#This Row],[Description]],75)</f>
        <v>Harvard Business</v>
      </c>
      <c r="P947" s="2"/>
    </row>
    <row r="948" spans="1:16" hidden="1">
      <c r="A948" s="2">
        <v>201910</v>
      </c>
      <c r="B948" s="3">
        <v>43768</v>
      </c>
      <c r="C948" s="2" t="s">
        <v>2262</v>
      </c>
      <c r="D948" s="2" t="s">
        <v>939</v>
      </c>
      <c r="E948" s="2">
        <v>13</v>
      </c>
      <c r="F948" s="2" t="s">
        <v>23</v>
      </c>
      <c r="J948" s="2">
        <v>13</v>
      </c>
      <c r="K948" s="2" t="b">
        <v>0</v>
      </c>
      <c r="L948" s="2"/>
      <c r="M948" s="2"/>
      <c r="N948" s="4" t="s">
        <v>2259</v>
      </c>
      <c r="O948" s="4" t="str">
        <f>LEFT(Table2[[#This Row],[Description]],75)</f>
        <v>HOLIDAY CAR WASH 340 CHASKA MN 259787378</v>
      </c>
      <c r="P948" s="2" t="s">
        <v>2373</v>
      </c>
    </row>
    <row r="949" spans="1:16" hidden="1">
      <c r="A949" s="2">
        <v>201910</v>
      </c>
      <c r="B949" s="3">
        <v>43768</v>
      </c>
      <c r="C949" s="2" t="s">
        <v>2258</v>
      </c>
      <c r="D949" s="2" t="s">
        <v>944</v>
      </c>
      <c r="E949" s="2">
        <v>37.82</v>
      </c>
      <c r="F949" s="2" t="s">
        <v>23</v>
      </c>
      <c r="J949" s="2">
        <v>37.82</v>
      </c>
      <c r="K949" s="2" t="b">
        <v>0</v>
      </c>
      <c r="L949" s="2"/>
      <c r="M949" s="2"/>
      <c r="N949" s="4" t="s">
        <v>2259</v>
      </c>
      <c r="O949" s="4" t="str">
        <f>LEFT(Table2[[#This Row],[Description]],75)</f>
        <v>Holiday Stationstore</v>
      </c>
      <c r="P949" s="2" t="s">
        <v>2374</v>
      </c>
    </row>
    <row r="950" spans="1:16" hidden="1">
      <c r="A950" s="2">
        <v>201910</v>
      </c>
      <c r="B950" s="3">
        <v>43768</v>
      </c>
      <c r="C950" s="2" t="s">
        <v>2261</v>
      </c>
      <c r="D950" s="2" t="s">
        <v>944</v>
      </c>
      <c r="E950" s="2">
        <v>37.82</v>
      </c>
      <c r="F950" s="2" t="s">
        <v>23</v>
      </c>
      <c r="J950" s="2">
        <v>37.82</v>
      </c>
      <c r="K950" s="2" t="b">
        <v>0</v>
      </c>
      <c r="L950" s="2"/>
      <c r="M950" s="2"/>
      <c r="N950" s="4" t="s">
        <v>2259</v>
      </c>
      <c r="O950" s="4" t="str">
        <f>LEFT(Table2[[#This Row],[Description]],75)</f>
        <v>Holiday Stationstore</v>
      </c>
      <c r="P950" s="2" t="s">
        <v>2374</v>
      </c>
    </row>
    <row r="951" spans="1:16" hidden="1">
      <c r="A951" s="2">
        <v>201910</v>
      </c>
      <c r="B951" s="3">
        <v>43768</v>
      </c>
      <c r="C951" s="2" t="s">
        <v>2262</v>
      </c>
      <c r="D951" s="2" t="s">
        <v>947</v>
      </c>
      <c r="E951" s="2">
        <v>29.59</v>
      </c>
      <c r="F951" s="2" t="s">
        <v>2</v>
      </c>
      <c r="J951" s="2">
        <v>29.59</v>
      </c>
      <c r="K951" s="2" t="b">
        <v>0</v>
      </c>
      <c r="L951" s="2"/>
      <c r="M951" s="2"/>
      <c r="N951" s="4" t="s">
        <v>2259</v>
      </c>
      <c r="O951" s="4" t="str">
        <f>LEFT(Table2[[#This Row],[Description]],75)</f>
        <v>Home Depot</v>
      </c>
      <c r="P951" s="2"/>
    </row>
    <row r="952" spans="1:16" hidden="1">
      <c r="A952" s="2">
        <v>201910</v>
      </c>
      <c r="B952" s="3">
        <v>43768</v>
      </c>
      <c r="C952" s="2" t="s">
        <v>2274</v>
      </c>
      <c r="D952" s="2" t="s">
        <v>994</v>
      </c>
      <c r="E952" s="2">
        <v>-0.26</v>
      </c>
      <c r="F952" s="2" t="s">
        <v>9</v>
      </c>
      <c r="J952" s="2">
        <v>0.26</v>
      </c>
      <c r="K952" s="2" t="b">
        <v>0</v>
      </c>
      <c r="L952" s="2"/>
      <c r="M952" s="2"/>
      <c r="N952" s="4" t="s">
        <v>2273</v>
      </c>
      <c r="O952" s="4" t="str">
        <f>LEFT(Table2[[#This Row],[Description]],75)</f>
        <v>Interest Paid</v>
      </c>
      <c r="P952" s="2" t="s">
        <v>2281</v>
      </c>
    </row>
    <row r="953" spans="1:16" hidden="1">
      <c r="A953" s="2">
        <v>201910</v>
      </c>
      <c r="B953" s="3">
        <v>43768</v>
      </c>
      <c r="C953" s="2" t="s">
        <v>2317</v>
      </c>
      <c r="D953" s="2" t="s">
        <v>1037</v>
      </c>
      <c r="E953" s="2">
        <v>-200</v>
      </c>
      <c r="F953" s="2" t="s">
        <v>59</v>
      </c>
      <c r="J953" s="2">
        <v>200</v>
      </c>
      <c r="K953" s="2" t="b">
        <v>0</v>
      </c>
      <c r="L953" s="2"/>
      <c r="M953" s="2"/>
      <c r="N953" s="4" t="s">
        <v>2273</v>
      </c>
      <c r="O953" s="4" t="str">
        <f>LEFT(Table2[[#This Row],[Description]],75)</f>
        <v>KAUFMAN HALL</v>
      </c>
      <c r="P953" s="2" t="s">
        <v>2375</v>
      </c>
    </row>
    <row r="954" spans="1:16" hidden="1">
      <c r="A954" s="2">
        <v>201910</v>
      </c>
      <c r="B954" s="3">
        <v>43768</v>
      </c>
      <c r="C954" s="2" t="s">
        <v>2317</v>
      </c>
      <c r="D954" s="2" t="s">
        <v>1037</v>
      </c>
      <c r="E954" s="2">
        <v>-200</v>
      </c>
      <c r="F954" s="2" t="s">
        <v>59</v>
      </c>
      <c r="J954" s="2">
        <v>200</v>
      </c>
      <c r="K954" s="2" t="b">
        <v>0</v>
      </c>
      <c r="L954" s="2"/>
      <c r="M954" s="2"/>
      <c r="N954" s="4" t="s">
        <v>2273</v>
      </c>
      <c r="O954" s="4" t="str">
        <f>LEFT(Table2[[#This Row],[Description]],75)</f>
        <v>KAUFMAN HALL</v>
      </c>
      <c r="P954" s="2" t="s">
        <v>2375</v>
      </c>
    </row>
    <row r="955" spans="1:16" hidden="1">
      <c r="A955" s="2">
        <v>201910</v>
      </c>
      <c r="B955" s="3">
        <v>43768</v>
      </c>
      <c r="C955" s="2" t="s">
        <v>64</v>
      </c>
      <c r="D955" s="2" t="s">
        <v>1037</v>
      </c>
      <c r="E955" s="2">
        <v>-200</v>
      </c>
      <c r="F955" s="2" t="s">
        <v>59</v>
      </c>
      <c r="J955" s="2">
        <v>200</v>
      </c>
      <c r="K955" s="2" t="b">
        <v>0</v>
      </c>
      <c r="L955" s="2"/>
      <c r="M955" s="2"/>
      <c r="N955" s="4" t="s">
        <v>2273</v>
      </c>
      <c r="O955" s="4" t="str">
        <f>LEFT(Table2[[#This Row],[Description]],75)</f>
        <v>KAUFMAN HALL</v>
      </c>
      <c r="P955" s="2" t="s">
        <v>2375</v>
      </c>
    </row>
    <row r="956" spans="1:16" hidden="1">
      <c r="A956" s="2">
        <v>201910</v>
      </c>
      <c r="B956" s="3">
        <v>43768</v>
      </c>
      <c r="C956" s="2" t="s">
        <v>64</v>
      </c>
      <c r="D956" s="2" t="s">
        <v>1037</v>
      </c>
      <c r="E956" s="2">
        <v>-200</v>
      </c>
      <c r="F956" s="2" t="s">
        <v>59</v>
      </c>
      <c r="J956" s="2">
        <v>200</v>
      </c>
      <c r="K956" s="2" t="b">
        <v>0</v>
      </c>
      <c r="L956" s="2"/>
      <c r="M956" s="2"/>
      <c r="N956" s="2" t="s">
        <v>2264</v>
      </c>
      <c r="O956" s="2" t="str">
        <f>LEFT(Table2[[#This Row],[Description]],75)</f>
        <v>KAUFMAN HALL</v>
      </c>
      <c r="P956" s="2"/>
    </row>
    <row r="957" spans="1:16" hidden="1">
      <c r="A957" s="2">
        <v>201910</v>
      </c>
      <c r="B957" s="3">
        <v>43768</v>
      </c>
      <c r="C957" s="2" t="s">
        <v>2265</v>
      </c>
      <c r="D957" s="2" t="s">
        <v>1038</v>
      </c>
      <c r="E957" s="2">
        <v>-60.32</v>
      </c>
      <c r="F957" s="2">
        <v>0</v>
      </c>
      <c r="J957" s="2">
        <v>60.32</v>
      </c>
      <c r="K957" s="2" t="b">
        <v>0</v>
      </c>
      <c r="L957" s="2"/>
      <c r="M957" s="2"/>
      <c r="N957" s="4" t="s">
        <v>2273</v>
      </c>
      <c r="O957" s="4" t="str">
        <f>LEFT(Table2[[#This Row],[Description]],75)</f>
        <v>Kaufman Hall Type</v>
      </c>
      <c r="P957" s="2"/>
    </row>
    <row r="958" spans="1:16" hidden="1">
      <c r="A958" s="2">
        <v>201910</v>
      </c>
      <c r="B958" s="3">
        <v>43768</v>
      </c>
      <c r="C958" s="2" t="s">
        <v>2267</v>
      </c>
      <c r="D958" s="2" t="s">
        <v>1038</v>
      </c>
      <c r="E958" s="2">
        <v>-60.32</v>
      </c>
      <c r="F958" s="2" t="s">
        <v>9</v>
      </c>
      <c r="J958" s="2">
        <v>60.32</v>
      </c>
      <c r="K958" s="2" t="b">
        <v>0</v>
      </c>
      <c r="L958" s="2"/>
      <c r="M958" s="2"/>
      <c r="N958" s="2" t="s">
        <v>2264</v>
      </c>
      <c r="O958" s="2" t="str">
        <f>LEFT(Table2[[#This Row],[Description]],75)</f>
        <v>Kaufman Hall Type</v>
      </c>
      <c r="P958" s="2"/>
    </row>
    <row r="959" spans="1:16" hidden="1">
      <c r="A959" s="2">
        <v>201910</v>
      </c>
      <c r="B959" s="3">
        <v>43768</v>
      </c>
      <c r="C959" s="2" t="s">
        <v>2265</v>
      </c>
      <c r="D959" s="2" t="s">
        <v>1045</v>
      </c>
      <c r="E959" s="2">
        <v>-2583.6999999999998</v>
      </c>
      <c r="F959" s="2" t="s">
        <v>63</v>
      </c>
      <c r="J959" s="2">
        <v>2583.6999999999998</v>
      </c>
      <c r="K959" s="2" t="b">
        <v>0</v>
      </c>
      <c r="L959" s="2"/>
      <c r="M959" s="2"/>
      <c r="N959" s="4" t="s">
        <v>2273</v>
      </c>
      <c r="O959" s="4" t="str">
        <f>LEFT(Table2[[#This Row],[Description]],75)</f>
        <v>KAUFMAN HALL TYPE DIRECT DEP ID CO KAUFMAN HALL ACH ECC PPD ACH Trace 30833</v>
      </c>
      <c r="P959" s="2" t="s">
        <v>2285</v>
      </c>
    </row>
    <row r="960" spans="1:16" hidden="1">
      <c r="A960" s="2">
        <v>201910</v>
      </c>
      <c r="B960" s="3">
        <v>43768</v>
      </c>
      <c r="C960" s="2" t="s">
        <v>2267</v>
      </c>
      <c r="D960" s="2" t="s">
        <v>1045</v>
      </c>
      <c r="E960" s="2">
        <v>-2583.6999999999998</v>
      </c>
      <c r="F960" s="2" t="s">
        <v>63</v>
      </c>
      <c r="J960" s="2">
        <v>2583.6999999999998</v>
      </c>
      <c r="K960" s="2" t="b">
        <v>0</v>
      </c>
      <c r="L960" s="2"/>
      <c r="M960" s="2"/>
      <c r="N960" s="2" t="s">
        <v>2264</v>
      </c>
      <c r="O960" s="2" t="str">
        <f>LEFT(Table2[[#This Row],[Description]],75)</f>
        <v>KAUFMAN HALL TYPE DIRECT DEP ID CO KAUFMAN HALL ACH ECC PPD ACH Trace 30833</v>
      </c>
      <c r="P960" s="2"/>
    </row>
    <row r="961" spans="1:16" hidden="1">
      <c r="A961" s="2">
        <v>201910</v>
      </c>
      <c r="B961" s="3">
        <v>43768</v>
      </c>
      <c r="C961" s="2" t="s">
        <v>2265</v>
      </c>
      <c r="D961" s="2" t="s">
        <v>1064</v>
      </c>
      <c r="E961" s="2">
        <v>-2583.69</v>
      </c>
      <c r="F961" s="2" t="s">
        <v>63</v>
      </c>
      <c r="J961" s="2">
        <v>2583.69</v>
      </c>
      <c r="K961" s="2" t="b">
        <v>0</v>
      </c>
      <c r="L961" s="2"/>
      <c r="M961" s="2"/>
      <c r="N961" s="4" t="s">
        <v>2273</v>
      </c>
      <c r="O961" s="4" t="str">
        <f>LEFT(Table2[[#This Row],[Description]],75)</f>
        <v>KAUFMAN HALL TYPE DIRECT DEP ID CO KAUFMAN HALL ACH ECC PPD ACH Trace 97525</v>
      </c>
      <c r="P961" s="2" t="s">
        <v>2285</v>
      </c>
    </row>
    <row r="962" spans="1:16" hidden="1">
      <c r="A962" s="2">
        <v>201910</v>
      </c>
      <c r="B962" s="3">
        <v>43768</v>
      </c>
      <c r="C962" s="2" t="s">
        <v>2267</v>
      </c>
      <c r="D962" s="2" t="s">
        <v>1064</v>
      </c>
      <c r="E962" s="2">
        <v>-2583.69</v>
      </c>
      <c r="F962" s="2" t="s">
        <v>63</v>
      </c>
      <c r="J962" s="2">
        <v>2583.69</v>
      </c>
      <c r="K962" s="2" t="b">
        <v>0</v>
      </c>
      <c r="L962" s="2"/>
      <c r="M962" s="2"/>
      <c r="N962" s="4" t="s">
        <v>2273</v>
      </c>
      <c r="O962" s="4" t="str">
        <f>LEFT(Table2[[#This Row],[Description]],75)</f>
        <v>KAUFMAN HALL TYPE DIRECT DEP ID CO KAUFMAN HALL ACH ECC PPD ACH Trace 97525</v>
      </c>
      <c r="P962" s="2" t="s">
        <v>2285</v>
      </c>
    </row>
    <row r="963" spans="1:16" hidden="1">
      <c r="A963" s="2">
        <v>201910</v>
      </c>
      <c r="B963" s="3">
        <v>43768</v>
      </c>
      <c r="C963" s="2" t="s">
        <v>2262</v>
      </c>
      <c r="D963" s="2" t="s">
        <v>1108</v>
      </c>
      <c r="E963" s="2">
        <v>53.68</v>
      </c>
      <c r="F963" s="2" t="s">
        <v>26</v>
      </c>
      <c r="J963" s="2">
        <v>53.68</v>
      </c>
      <c r="K963" s="2" t="b">
        <v>0</v>
      </c>
      <c r="L963" s="2"/>
      <c r="M963" s="2"/>
      <c r="N963" s="4" t="s">
        <v>2259</v>
      </c>
      <c r="O963" s="4" t="str">
        <f>LEFT(Table2[[#This Row],[Description]],75)</f>
        <v>LIFE TIME CAFE 151Q48 CHANHASSEN MN 261154408</v>
      </c>
      <c r="P963" s="2" t="s">
        <v>2376</v>
      </c>
    </row>
    <row r="964" spans="1:16" hidden="1">
      <c r="A964" s="2">
        <v>201910</v>
      </c>
      <c r="B964" s="3">
        <v>43768</v>
      </c>
      <c r="C964" s="2" t="s">
        <v>2258</v>
      </c>
      <c r="D964" s="2" t="s">
        <v>1121</v>
      </c>
      <c r="E964" s="2">
        <v>14.39</v>
      </c>
      <c r="F964" s="2" t="s">
        <v>26</v>
      </c>
      <c r="J964" s="2">
        <v>14.39</v>
      </c>
      <c r="K964" s="2" t="b">
        <v>0</v>
      </c>
      <c r="L964" s="2"/>
      <c r="M964" s="2"/>
      <c r="N964" s="4" t="s">
        <v>2259</v>
      </c>
      <c r="O964" s="4" t="str">
        <f>LEFT(Table2[[#This Row],[Description]],75)</f>
        <v>LIFE TIME CAFE 151Q48 CHANHASSEN MN01353B</v>
      </c>
      <c r="P964" s="2" t="s">
        <v>2376</v>
      </c>
    </row>
    <row r="965" spans="1:16" hidden="1">
      <c r="A965" s="2">
        <v>201910</v>
      </c>
      <c r="B965" s="3">
        <v>43768</v>
      </c>
      <c r="C965" s="2" t="s">
        <v>2261</v>
      </c>
      <c r="D965" s="2" t="s">
        <v>1121</v>
      </c>
      <c r="E965" s="2">
        <v>14.39</v>
      </c>
      <c r="F965" s="2" t="s">
        <v>26</v>
      </c>
      <c r="J965" s="2">
        <v>14.39</v>
      </c>
      <c r="K965" s="2" t="b">
        <v>0</v>
      </c>
      <c r="L965" s="2"/>
      <c r="M965" s="2"/>
      <c r="N965" s="4" t="s">
        <v>2259</v>
      </c>
      <c r="O965" s="4" t="str">
        <f>LEFT(Table2[[#This Row],[Description]],75)</f>
        <v>LIFE TIME CAFE 151Q48 CHANHASSEN MN01353B</v>
      </c>
      <c r="P965" s="2"/>
    </row>
    <row r="966" spans="1:16" hidden="1">
      <c r="A966" s="2">
        <v>201910</v>
      </c>
      <c r="B966" s="3">
        <v>43768</v>
      </c>
      <c r="C966" s="2" t="s">
        <v>2262</v>
      </c>
      <c r="D966" s="2" t="s">
        <v>1122</v>
      </c>
      <c r="E966" s="2">
        <v>113.45</v>
      </c>
      <c r="F966" s="2" t="s">
        <v>34</v>
      </c>
      <c r="J966" s="2">
        <v>113.45</v>
      </c>
      <c r="K966" s="2" t="b">
        <v>0</v>
      </c>
      <c r="L966" s="2"/>
      <c r="M966" s="2"/>
      <c r="N966" s="4" t="s">
        <v>2259</v>
      </c>
      <c r="O966" s="4" t="str">
        <f>LEFT(Table2[[#This Row],[Description]],75)</f>
        <v>Life Time Fitness Inc.</v>
      </c>
      <c r="P966" s="2"/>
    </row>
    <row r="967" spans="1:16" hidden="1">
      <c r="A967" s="2">
        <v>201910</v>
      </c>
      <c r="B967" s="3">
        <v>43768</v>
      </c>
      <c r="C967" s="2" t="s">
        <v>2258</v>
      </c>
      <c r="D967" s="2" t="s">
        <v>1350</v>
      </c>
      <c r="E967" s="2">
        <v>12.99</v>
      </c>
      <c r="F967" s="2" t="s">
        <v>7</v>
      </c>
      <c r="J967" s="2">
        <v>12.99</v>
      </c>
      <c r="K967" s="2" t="b">
        <v>0</v>
      </c>
      <c r="L967" s="2"/>
      <c r="M967" s="2"/>
      <c r="N967" s="4" t="s">
        <v>2259</v>
      </c>
      <c r="O967" s="4" t="str">
        <f>LEFT(Table2[[#This Row],[Description]],75)</f>
        <v>Netflix</v>
      </c>
      <c r="P967" s="2" t="s">
        <v>2306</v>
      </c>
    </row>
    <row r="968" spans="1:16" hidden="1">
      <c r="A968" s="2">
        <v>201910</v>
      </c>
      <c r="B968" s="3">
        <v>43768</v>
      </c>
      <c r="C968" s="2" t="s">
        <v>2261</v>
      </c>
      <c r="D968" s="2" t="s">
        <v>1350</v>
      </c>
      <c r="E968" s="2">
        <v>12.99</v>
      </c>
      <c r="F968" s="2" t="s">
        <v>7</v>
      </c>
      <c r="J968" s="2">
        <v>12.99</v>
      </c>
      <c r="K968" s="2" t="b">
        <v>0</v>
      </c>
      <c r="L968" s="2"/>
      <c r="M968" s="2"/>
      <c r="N968" s="4" t="s">
        <v>2259</v>
      </c>
      <c r="O968" s="4" t="str">
        <f>LEFT(Table2[[#This Row],[Description]],75)</f>
        <v>Netflix</v>
      </c>
      <c r="P968" s="2" t="s">
        <v>2306</v>
      </c>
    </row>
    <row r="969" spans="1:16" hidden="1">
      <c r="A969" s="2">
        <v>201910</v>
      </c>
      <c r="B969" s="3">
        <v>43768</v>
      </c>
      <c r="C969" s="2" t="s">
        <v>2262</v>
      </c>
      <c r="D969" s="2" t="s">
        <v>1395</v>
      </c>
      <c r="E969" s="2">
        <v>48.79</v>
      </c>
      <c r="F969" s="2" t="s">
        <v>26</v>
      </c>
      <c r="J969" s="2">
        <v>48.79</v>
      </c>
      <c r="K969" s="2" t="b">
        <v>0</v>
      </c>
      <c r="L969" s="2"/>
      <c r="M969" s="2"/>
      <c r="N969" s="4" t="s">
        <v>2259</v>
      </c>
      <c r="O969" s="4" t="str">
        <f>LEFT(Table2[[#This Row],[Description]],75)</f>
        <v>Papa John's</v>
      </c>
      <c r="P969" s="2" t="s">
        <v>2377</v>
      </c>
    </row>
    <row r="970" spans="1:16" hidden="1">
      <c r="A970" s="2">
        <v>201910</v>
      </c>
      <c r="B970" s="3">
        <v>43768</v>
      </c>
      <c r="C970" s="2" t="s">
        <v>2262</v>
      </c>
      <c r="D970" s="2" t="s">
        <v>1407</v>
      </c>
      <c r="E970" s="2">
        <v>3.22</v>
      </c>
      <c r="F970" s="2" t="s">
        <v>21</v>
      </c>
      <c r="J970" s="2">
        <v>3.22</v>
      </c>
      <c r="K970" s="2" t="b">
        <v>0</v>
      </c>
      <c r="L970" s="2"/>
      <c r="M970" s="2"/>
      <c r="N970" s="4" t="s">
        <v>2259</v>
      </c>
      <c r="O970" s="4" t="str">
        <f>LEFT(Table2[[#This Row],[Description]],75)</f>
        <v>Party City</v>
      </c>
      <c r="P970" s="2" t="s">
        <v>2378</v>
      </c>
    </row>
    <row r="971" spans="1:16" hidden="1">
      <c r="A971" s="2">
        <v>201910</v>
      </c>
      <c r="B971" s="3">
        <v>43768</v>
      </c>
      <c r="C971" s="2" t="s">
        <v>2265</v>
      </c>
      <c r="D971" s="2" t="s">
        <v>1471</v>
      </c>
      <c r="E971" s="2">
        <v>119</v>
      </c>
      <c r="F971" s="2" t="s">
        <v>21</v>
      </c>
      <c r="J971" s="2">
        <v>119</v>
      </c>
      <c r="K971" s="2" t="b">
        <v>0</v>
      </c>
      <c r="L971" s="2"/>
      <c r="M971" s="2"/>
      <c r="N971" s="4" t="s">
        <v>2259</v>
      </c>
      <c r="O971" s="4" t="str">
        <f>LEFT(Table2[[#This Row],[Description]],75)</f>
        <v>PayPal</v>
      </c>
      <c r="P971" s="2" t="s">
        <v>2322</v>
      </c>
    </row>
    <row r="972" spans="1:16" hidden="1">
      <c r="A972" s="2">
        <v>201910</v>
      </c>
      <c r="B972" s="3">
        <v>43768</v>
      </c>
      <c r="C972" s="2" t="s">
        <v>2265</v>
      </c>
      <c r="D972" s="2" t="s">
        <v>1471</v>
      </c>
      <c r="E972" s="2">
        <v>38.659999999999997</v>
      </c>
      <c r="F972" s="2" t="s">
        <v>21</v>
      </c>
      <c r="J972" s="2">
        <v>38.659999999999997</v>
      </c>
      <c r="K972" s="2" t="b">
        <v>0</v>
      </c>
      <c r="L972" s="2"/>
      <c r="M972" s="2"/>
      <c r="N972" s="4" t="s">
        <v>2259</v>
      </c>
      <c r="O972" s="4" t="str">
        <f>LEFT(Table2[[#This Row],[Description]],75)</f>
        <v>PayPal</v>
      </c>
      <c r="P972" s="2" t="s">
        <v>2322</v>
      </c>
    </row>
    <row r="973" spans="1:16" hidden="1">
      <c r="A973" s="2">
        <v>201910</v>
      </c>
      <c r="B973" s="3">
        <v>43768</v>
      </c>
      <c r="C973" s="2" t="s">
        <v>2265</v>
      </c>
      <c r="D973" s="2" t="s">
        <v>1471</v>
      </c>
      <c r="E973" s="2">
        <v>2.25</v>
      </c>
      <c r="F973" s="2" t="s">
        <v>21</v>
      </c>
      <c r="J973" s="2">
        <v>2.25</v>
      </c>
      <c r="K973" s="2" t="b">
        <v>0</v>
      </c>
      <c r="L973" s="2"/>
      <c r="M973" s="2"/>
      <c r="N973" s="4" t="s">
        <v>2259</v>
      </c>
      <c r="O973" s="4" t="str">
        <f>LEFT(Table2[[#This Row],[Description]],75)</f>
        <v>PayPal</v>
      </c>
      <c r="P973" s="2" t="s">
        <v>2322</v>
      </c>
    </row>
    <row r="974" spans="1:16" hidden="1">
      <c r="A974" s="2">
        <v>201910</v>
      </c>
      <c r="B974" s="3">
        <v>43768</v>
      </c>
      <c r="C974" s="2" t="s">
        <v>2267</v>
      </c>
      <c r="D974" s="2" t="s">
        <v>1471</v>
      </c>
      <c r="E974" s="2">
        <v>2.25</v>
      </c>
      <c r="F974" s="2" t="s">
        <v>21</v>
      </c>
      <c r="J974" s="2">
        <v>2.25</v>
      </c>
      <c r="K974" s="2" t="b">
        <v>0</v>
      </c>
      <c r="L974" s="2"/>
      <c r="M974" s="2"/>
      <c r="N974" s="4" t="s">
        <v>2259</v>
      </c>
      <c r="O974" s="4" t="str">
        <f>LEFT(Table2[[#This Row],[Description]],75)</f>
        <v>PayPal</v>
      </c>
      <c r="P974" s="2" t="s">
        <v>2322</v>
      </c>
    </row>
    <row r="975" spans="1:16" hidden="1">
      <c r="A975" s="2">
        <v>201910</v>
      </c>
      <c r="B975" s="3">
        <v>43768</v>
      </c>
      <c r="C975" s="2" t="s">
        <v>2267</v>
      </c>
      <c r="D975" s="2" t="s">
        <v>1471</v>
      </c>
      <c r="E975" s="2">
        <v>119</v>
      </c>
      <c r="F975" s="2" t="s">
        <v>21</v>
      </c>
      <c r="J975" s="2">
        <v>119</v>
      </c>
      <c r="K975" s="2" t="b">
        <v>0</v>
      </c>
      <c r="L975" s="2"/>
      <c r="M975" s="2"/>
      <c r="N975" s="4" t="s">
        <v>2259</v>
      </c>
      <c r="O975" s="4" t="str">
        <f>LEFT(Table2[[#This Row],[Description]],75)</f>
        <v>PayPal</v>
      </c>
      <c r="P975" s="2"/>
    </row>
    <row r="976" spans="1:16" hidden="1">
      <c r="A976" s="2">
        <v>201910</v>
      </c>
      <c r="B976" s="3">
        <v>43768</v>
      </c>
      <c r="C976" s="2" t="s">
        <v>2267</v>
      </c>
      <c r="D976" s="2" t="s">
        <v>1471</v>
      </c>
      <c r="E976" s="2">
        <v>38.659999999999997</v>
      </c>
      <c r="F976" s="2" t="s">
        <v>21</v>
      </c>
      <c r="J976" s="2">
        <v>38.659999999999997</v>
      </c>
      <c r="K976" s="2" t="b">
        <v>0</v>
      </c>
      <c r="L976" s="2"/>
      <c r="M976" s="2"/>
      <c r="N976" s="4" t="s">
        <v>2259</v>
      </c>
      <c r="O976" s="4" t="str">
        <f>LEFT(Table2[[#This Row],[Description]],75)</f>
        <v>PayPal</v>
      </c>
      <c r="P976" s="2"/>
    </row>
    <row r="977" spans="1:16" hidden="1">
      <c r="A977" s="2">
        <v>201910</v>
      </c>
      <c r="B977" s="3">
        <v>43768</v>
      </c>
      <c r="C977" s="2" t="s">
        <v>2262</v>
      </c>
      <c r="D977" s="2" t="s">
        <v>1531</v>
      </c>
      <c r="E977" s="2">
        <v>10.93</v>
      </c>
      <c r="F977" s="2" t="s">
        <v>26</v>
      </c>
      <c r="J977" s="2">
        <v>10.93</v>
      </c>
      <c r="K977" s="2" t="b">
        <v>0</v>
      </c>
      <c r="L977" s="2"/>
      <c r="M977" s="2"/>
      <c r="N977" s="4" t="s">
        <v>2259</v>
      </c>
      <c r="O977" s="4" t="str">
        <f>LEFT(Table2[[#This Row],[Description]],75)</f>
        <v>PUB 819 HOPKINS MN 257881486</v>
      </c>
      <c r="P977" s="2"/>
    </row>
    <row r="978" spans="1:16" hidden="1">
      <c r="A978" s="2">
        <v>201910</v>
      </c>
      <c r="B978" s="3">
        <v>43768</v>
      </c>
      <c r="C978" s="2" t="s">
        <v>2262</v>
      </c>
      <c r="D978" s="2" t="s">
        <v>1532</v>
      </c>
      <c r="E978" s="2">
        <v>119.02</v>
      </c>
      <c r="F978" s="2" t="s">
        <v>26</v>
      </c>
      <c r="J978" s="2">
        <v>119.02</v>
      </c>
      <c r="K978" s="2" t="b">
        <v>0</v>
      </c>
      <c r="L978" s="2"/>
      <c r="M978" s="2"/>
      <c r="N978" s="4" t="s">
        <v>2259</v>
      </c>
      <c r="O978" s="4" t="str">
        <f>LEFT(Table2[[#This Row],[Description]],75)</f>
        <v>PUB 819 HOPKINS MN 257881487</v>
      </c>
      <c r="P978" s="2"/>
    </row>
    <row r="979" spans="1:16" hidden="1">
      <c r="A979" s="2">
        <v>201910</v>
      </c>
      <c r="B979" s="3">
        <v>43768</v>
      </c>
      <c r="C979" s="2" t="s">
        <v>2262</v>
      </c>
      <c r="D979" s="2" t="s">
        <v>1533</v>
      </c>
      <c r="E979" s="2">
        <v>45.17</v>
      </c>
      <c r="F979" s="2" t="s">
        <v>26</v>
      </c>
      <c r="J979" s="2">
        <v>45.17</v>
      </c>
      <c r="K979" s="2" t="b">
        <v>0</v>
      </c>
      <c r="L979" s="2"/>
      <c r="M979" s="2"/>
      <c r="N979" s="4" t="s">
        <v>2259</v>
      </c>
      <c r="O979" s="4" t="str">
        <f>LEFT(Table2[[#This Row],[Description]],75)</f>
        <v>PUB 819 HOPKINS MN 259787379</v>
      </c>
      <c r="P979" s="2" t="s">
        <v>2379</v>
      </c>
    </row>
    <row r="980" spans="1:16" hidden="1">
      <c r="A980" s="2">
        <v>201910</v>
      </c>
      <c r="B980" s="3">
        <v>43768</v>
      </c>
      <c r="C980" s="2" t="s">
        <v>2355</v>
      </c>
      <c r="D980" s="2" t="s">
        <v>1633</v>
      </c>
      <c r="E980" s="2">
        <v>150</v>
      </c>
      <c r="F980" s="2" t="s">
        <v>9</v>
      </c>
      <c r="J980" s="2">
        <v>150</v>
      </c>
      <c r="K980" s="2" t="b">
        <v>0</v>
      </c>
      <c r="L980" s="2"/>
      <c r="M980" s="2"/>
      <c r="N980" s="4" t="s">
        <v>2259</v>
      </c>
      <c r="O980" s="4" t="str">
        <f>LEFT(Table2[[#This Row],[Description]],75)</f>
        <v>SCHWAB S&amp;P 500 INDEX FD</v>
      </c>
      <c r="P980" s="2" t="s">
        <v>2276</v>
      </c>
    </row>
    <row r="981" spans="1:16" hidden="1">
      <c r="A981" s="2">
        <v>201910</v>
      </c>
      <c r="B981" s="3">
        <v>43768</v>
      </c>
      <c r="C981" s="2" t="s">
        <v>2277</v>
      </c>
      <c r="D981" s="2" t="s">
        <v>1633</v>
      </c>
      <c r="E981" s="2">
        <v>150</v>
      </c>
      <c r="F981" s="2" t="s">
        <v>9</v>
      </c>
      <c r="J981" s="2">
        <v>150</v>
      </c>
      <c r="K981" s="2" t="b">
        <v>0</v>
      </c>
      <c r="L981" s="2"/>
      <c r="M981" s="2"/>
      <c r="N981" s="4" t="s">
        <v>2259</v>
      </c>
      <c r="O981" s="4" t="str">
        <f>LEFT(Table2[[#This Row],[Description]],75)</f>
        <v>SCHWAB S&amp;P 500 INDEX FD</v>
      </c>
      <c r="P981" s="2" t="s">
        <v>2276</v>
      </c>
    </row>
    <row r="982" spans="1:16" hidden="1">
      <c r="A982" s="2">
        <v>201910</v>
      </c>
      <c r="B982" s="3">
        <v>43768</v>
      </c>
      <c r="C982" s="2" t="s">
        <v>2275</v>
      </c>
      <c r="D982" s="2" t="s">
        <v>1636</v>
      </c>
      <c r="E982" s="2">
        <v>100</v>
      </c>
      <c r="F982" s="2" t="s">
        <v>9</v>
      </c>
      <c r="J982" s="2">
        <v>100</v>
      </c>
      <c r="K982" s="2" t="b">
        <v>0</v>
      </c>
      <c r="L982" s="2"/>
      <c r="M982" s="2"/>
      <c r="N982" s="4" t="s">
        <v>2259</v>
      </c>
      <c r="O982" s="4" t="str">
        <f>LEFT(Table2[[#This Row],[Description]],75)</f>
        <v>SCHWAB US LARGE CAP GROWTH INDEX FD</v>
      </c>
      <c r="P982" s="2" t="s">
        <v>2347</v>
      </c>
    </row>
    <row r="983" spans="1:16" hidden="1">
      <c r="A983" s="2">
        <v>201910</v>
      </c>
      <c r="B983" s="3">
        <v>43768</v>
      </c>
      <c r="C983" s="2" t="s">
        <v>2277</v>
      </c>
      <c r="D983" s="2" t="s">
        <v>1636</v>
      </c>
      <c r="E983" s="2">
        <v>100</v>
      </c>
      <c r="F983" s="2" t="s">
        <v>9</v>
      </c>
      <c r="J983" s="2">
        <v>100</v>
      </c>
      <c r="K983" s="2" t="b">
        <v>0</v>
      </c>
      <c r="L983" s="2"/>
      <c r="M983" s="2"/>
      <c r="N983" s="4" t="s">
        <v>2259</v>
      </c>
      <c r="O983" s="4" t="str">
        <f>LEFT(Table2[[#This Row],[Description]],75)</f>
        <v>SCHWAB US LARGE CAP GROWTH INDEX FD</v>
      </c>
      <c r="P983" s="2" t="s">
        <v>2347</v>
      </c>
    </row>
    <row r="984" spans="1:16" hidden="1">
      <c r="A984" s="2">
        <v>201910</v>
      </c>
      <c r="B984" s="3">
        <v>43768</v>
      </c>
      <c r="C984" s="2" t="s">
        <v>2317</v>
      </c>
      <c r="D984" s="2" t="s">
        <v>1643</v>
      </c>
      <c r="E984" s="2">
        <v>-1.37</v>
      </c>
      <c r="F984" s="2" t="s">
        <v>16</v>
      </c>
      <c r="J984" s="2">
        <v>1.37</v>
      </c>
      <c r="K984" s="2" t="b">
        <v>0</v>
      </c>
      <c r="L984" s="2"/>
      <c r="M984" s="2"/>
      <c r="N984" s="4" t="s">
        <v>2273</v>
      </c>
      <c r="O984" s="4" t="str">
        <f>LEFT(Table2[[#This Row],[Description]],75)</f>
        <v>SCHWAB1 INT 09/27-10/29</v>
      </c>
      <c r="P984" s="2" t="s">
        <v>2380</v>
      </c>
    </row>
    <row r="985" spans="1:16" hidden="1">
      <c r="A985" s="2">
        <v>201910</v>
      </c>
      <c r="B985" s="3">
        <v>43768</v>
      </c>
      <c r="C985" s="2" t="s">
        <v>64</v>
      </c>
      <c r="D985" s="2" t="s">
        <v>1643</v>
      </c>
      <c r="E985" s="2">
        <v>-1.37</v>
      </c>
      <c r="F985" s="2" t="s">
        <v>16</v>
      </c>
      <c r="J985" s="2">
        <v>1.37</v>
      </c>
      <c r="K985" s="2" t="b">
        <v>0</v>
      </c>
      <c r="L985" s="2"/>
      <c r="M985" s="2"/>
      <c r="N985" s="4" t="s">
        <v>2273</v>
      </c>
      <c r="O985" s="4" t="str">
        <f>LEFT(Table2[[#This Row],[Description]],75)</f>
        <v>SCHWAB1 INT 09/27-10/29</v>
      </c>
      <c r="P985" s="2" t="s">
        <v>2380</v>
      </c>
    </row>
    <row r="986" spans="1:16" hidden="1">
      <c r="A986" s="2">
        <v>201910</v>
      </c>
      <c r="B986" s="3">
        <v>43768</v>
      </c>
      <c r="C986" s="2" t="s">
        <v>2258</v>
      </c>
      <c r="D986" s="2" t="s">
        <v>1653</v>
      </c>
      <c r="E986" s="2">
        <v>32.659999999999997</v>
      </c>
      <c r="F986" s="2" t="s">
        <v>2</v>
      </c>
      <c r="J986" s="2">
        <v>32.659999999999997</v>
      </c>
      <c r="K986" s="2" t="b">
        <v>0</v>
      </c>
      <c r="L986" s="2"/>
      <c r="M986" s="2"/>
      <c r="N986" s="4" t="s">
        <v>2259</v>
      </c>
      <c r="O986" s="4" t="str">
        <f>LEFT(Table2[[#This Row],[Description]],75)</f>
        <v>Sherwin Williams</v>
      </c>
      <c r="P986" s="2" t="s">
        <v>2353</v>
      </c>
    </row>
    <row r="987" spans="1:16" hidden="1">
      <c r="A987" s="2">
        <v>201910</v>
      </c>
      <c r="B987" s="3">
        <v>43768</v>
      </c>
      <c r="C987" s="2" t="s">
        <v>2261</v>
      </c>
      <c r="D987" s="2" t="s">
        <v>1653</v>
      </c>
      <c r="E987" s="2">
        <v>32.659999999999997</v>
      </c>
      <c r="F987" s="2" t="s">
        <v>2</v>
      </c>
      <c r="J987" s="2">
        <v>32.659999999999997</v>
      </c>
      <c r="K987" s="2" t="b">
        <v>0</v>
      </c>
      <c r="L987" s="2"/>
      <c r="M987" s="2"/>
      <c r="N987" s="4" t="s">
        <v>2259</v>
      </c>
      <c r="O987" s="4" t="str">
        <f>LEFT(Table2[[#This Row],[Description]],75)</f>
        <v>Sherwin Williams</v>
      </c>
      <c r="P987" s="2" t="s">
        <v>2353</v>
      </c>
    </row>
    <row r="988" spans="1:16" hidden="1">
      <c r="A988" s="2">
        <v>201910</v>
      </c>
      <c r="B988" s="3">
        <v>43768</v>
      </c>
      <c r="C988" s="2" t="s">
        <v>2262</v>
      </c>
      <c r="D988" s="2" t="s">
        <v>1653</v>
      </c>
      <c r="E988" s="2">
        <v>77.430000000000007</v>
      </c>
      <c r="F988" s="2" t="s">
        <v>2</v>
      </c>
      <c r="J988" s="2">
        <v>77.430000000000007</v>
      </c>
      <c r="K988" s="2" t="b">
        <v>0</v>
      </c>
      <c r="L988" s="2"/>
      <c r="M988" s="2"/>
      <c r="N988" s="4" t="s">
        <v>2259</v>
      </c>
      <c r="O988" s="4" t="str">
        <f>LEFT(Table2[[#This Row],[Description]],75)</f>
        <v>Sherwin Williams</v>
      </c>
      <c r="P988" s="2" t="s">
        <v>2353</v>
      </c>
    </row>
    <row r="989" spans="1:16" hidden="1">
      <c r="A989" s="2">
        <v>201910</v>
      </c>
      <c r="B989" s="3">
        <v>43768</v>
      </c>
      <c r="C989" s="2" t="s">
        <v>2262</v>
      </c>
      <c r="D989" s="2" t="s">
        <v>1707</v>
      </c>
      <c r="E989" s="2">
        <v>22.14</v>
      </c>
      <c r="F989" s="2" t="s">
        <v>23</v>
      </c>
      <c r="J989" s="2">
        <v>22.14</v>
      </c>
      <c r="K989" s="2" t="b">
        <v>0</v>
      </c>
      <c r="L989" s="2"/>
      <c r="M989" s="2"/>
      <c r="N989" s="4" t="s">
        <v>2259</v>
      </c>
      <c r="O989" s="4" t="str">
        <f>LEFT(Table2[[#This Row],[Description]],75)</f>
        <v>Speedway</v>
      </c>
      <c r="P989" s="2" t="s">
        <v>2381</v>
      </c>
    </row>
    <row r="990" spans="1:16" hidden="1">
      <c r="A990" s="2">
        <v>201910</v>
      </c>
      <c r="B990" s="3">
        <v>43768</v>
      </c>
      <c r="C990" s="2" t="s">
        <v>2300</v>
      </c>
      <c r="D990" s="2" t="s">
        <v>1709</v>
      </c>
      <c r="E990" s="2">
        <v>-18.88</v>
      </c>
      <c r="F990" s="2" t="s">
        <v>16</v>
      </c>
      <c r="J990" s="2">
        <v>18.88</v>
      </c>
      <c r="K990" s="2" t="b">
        <v>0</v>
      </c>
      <c r="L990" s="2"/>
      <c r="M990" s="2"/>
      <c r="N990" s="4" t="s">
        <v>2273</v>
      </c>
      <c r="O990" s="4" t="str">
        <f>LEFT(Table2[[#This Row],[Description]],75)</f>
        <v>Split Rate Apy</v>
      </c>
      <c r="P990" s="2" t="s">
        <v>2313</v>
      </c>
    </row>
    <row r="991" spans="1:16" hidden="1">
      <c r="A991" s="2">
        <v>201910</v>
      </c>
      <c r="B991" s="3">
        <v>43768</v>
      </c>
      <c r="C991" s="2" t="s">
        <v>2265</v>
      </c>
      <c r="D991" s="2" t="s">
        <v>1709</v>
      </c>
      <c r="E991" s="2">
        <v>-38.21</v>
      </c>
      <c r="F991" s="2" t="s">
        <v>16</v>
      </c>
      <c r="J991" s="2">
        <v>38.21</v>
      </c>
      <c r="K991" s="2" t="b">
        <v>0</v>
      </c>
      <c r="L991" s="2"/>
      <c r="M991" s="2"/>
      <c r="N991" s="4" t="s">
        <v>2273</v>
      </c>
      <c r="O991" s="4" t="str">
        <f>LEFT(Table2[[#This Row],[Description]],75)</f>
        <v>Split Rate Apy</v>
      </c>
      <c r="P991" s="2" t="s">
        <v>2313</v>
      </c>
    </row>
    <row r="992" spans="1:16" hidden="1">
      <c r="A992" s="2">
        <v>201910</v>
      </c>
      <c r="B992" s="3">
        <v>43768</v>
      </c>
      <c r="C992" s="2" t="s">
        <v>2302</v>
      </c>
      <c r="D992" s="2" t="s">
        <v>1709</v>
      </c>
      <c r="E992" s="2">
        <v>-18.88</v>
      </c>
      <c r="F992" s="2" t="s">
        <v>16</v>
      </c>
      <c r="J992" s="2">
        <v>18.88</v>
      </c>
      <c r="K992" s="2" t="b">
        <v>0</v>
      </c>
      <c r="L992" s="2"/>
      <c r="M992" s="2"/>
      <c r="N992" s="4" t="s">
        <v>2273</v>
      </c>
      <c r="O992" s="4" t="str">
        <f>LEFT(Table2[[#This Row],[Description]],75)</f>
        <v>Split Rate Apy</v>
      </c>
      <c r="P992" s="2" t="s">
        <v>2313</v>
      </c>
    </row>
    <row r="993" spans="1:16" hidden="1">
      <c r="A993" s="2">
        <v>201910</v>
      </c>
      <c r="B993" s="3">
        <v>43768</v>
      </c>
      <c r="C993" s="2" t="s">
        <v>2267</v>
      </c>
      <c r="D993" s="2" t="s">
        <v>1709</v>
      </c>
      <c r="E993" s="2">
        <v>-38.21</v>
      </c>
      <c r="F993" s="2" t="s">
        <v>16</v>
      </c>
      <c r="J993" s="2">
        <v>38.21</v>
      </c>
      <c r="K993" s="2" t="b">
        <v>0</v>
      </c>
      <c r="L993" s="2"/>
      <c r="M993" s="2"/>
      <c r="N993" s="4" t="s">
        <v>2273</v>
      </c>
      <c r="O993" s="4" t="str">
        <f>LEFT(Table2[[#This Row],[Description]],75)</f>
        <v>Split Rate Apy</v>
      </c>
      <c r="P993" s="2" t="s">
        <v>2313</v>
      </c>
    </row>
    <row r="994" spans="1:16" hidden="1">
      <c r="A994" s="2">
        <v>201910</v>
      </c>
      <c r="B994" s="3">
        <v>43768</v>
      </c>
      <c r="C994" s="2" t="s">
        <v>2262</v>
      </c>
      <c r="D994" s="2" t="s">
        <v>1737</v>
      </c>
      <c r="E994" s="2">
        <v>8.2899999999999991</v>
      </c>
      <c r="F994" s="2" t="s">
        <v>26</v>
      </c>
      <c r="J994" s="2">
        <v>8.2899999999999991</v>
      </c>
      <c r="K994" s="2" t="b">
        <v>0</v>
      </c>
      <c r="L994" s="2"/>
      <c r="M994" s="2"/>
      <c r="N994" s="4" t="s">
        <v>2259</v>
      </c>
      <c r="O994" s="4" t="str">
        <f>LEFT(Table2[[#This Row],[Description]],75)</f>
        <v>SQ ICHIGO CREPES CRYSTAL MN 261154406</v>
      </c>
      <c r="P994" s="2" t="s">
        <v>2382</v>
      </c>
    </row>
    <row r="995" spans="1:16" hidden="1">
      <c r="A995" s="2">
        <v>201910</v>
      </c>
      <c r="B995" s="3">
        <v>43768</v>
      </c>
      <c r="C995" s="2" t="s">
        <v>2262</v>
      </c>
      <c r="D995" s="2" t="s">
        <v>1748</v>
      </c>
      <c r="E995" s="2">
        <v>9.9499999999999993</v>
      </c>
      <c r="F995" s="2" t="s">
        <v>26</v>
      </c>
      <c r="J995" s="2">
        <v>9.9499999999999993</v>
      </c>
      <c r="K995" s="2" t="b">
        <v>0</v>
      </c>
      <c r="L995" s="2"/>
      <c r="M995" s="2"/>
      <c r="N995" s="4" t="s">
        <v>2259</v>
      </c>
      <c r="O995" s="4" t="str">
        <f>LEFT(Table2[[#This Row],[Description]],75)</f>
        <v>SQ RED BENCH BAKER CHASKA MN 260718487</v>
      </c>
      <c r="P995" s="2" t="s">
        <v>2383</v>
      </c>
    </row>
    <row r="996" spans="1:16" hidden="1">
      <c r="A996" s="2">
        <v>201910</v>
      </c>
      <c r="B996" s="3">
        <v>43768</v>
      </c>
      <c r="C996" s="2" t="s">
        <v>2262</v>
      </c>
      <c r="D996" s="2" t="s">
        <v>1766</v>
      </c>
      <c r="E996" s="2">
        <v>12.43</v>
      </c>
      <c r="F996" s="2" t="s">
        <v>26</v>
      </c>
      <c r="J996" s="2">
        <v>12.43</v>
      </c>
      <c r="K996" s="2" t="b">
        <v>0</v>
      </c>
      <c r="L996" s="2"/>
      <c r="M996" s="2"/>
      <c r="N996" s="4" t="s">
        <v>2259</v>
      </c>
      <c r="O996" s="4" t="str">
        <f>LEFT(Table2[[#This Row],[Description]],75)</f>
        <v>SQ WEE CLADDAGH SAINT PAUL MN 261154407</v>
      </c>
      <c r="P996" s="2" t="s">
        <v>2384</v>
      </c>
    </row>
    <row r="997" spans="1:16" hidden="1">
      <c r="A997" s="2">
        <v>201910</v>
      </c>
      <c r="B997" s="3">
        <v>43768</v>
      </c>
      <c r="C997" s="2" t="s">
        <v>2317</v>
      </c>
      <c r="D997" s="2" t="s">
        <v>1786</v>
      </c>
      <c r="E997" s="2">
        <v>-18.07</v>
      </c>
      <c r="F997" s="2" t="s">
        <v>9</v>
      </c>
      <c r="J997" s="2">
        <v>18.07</v>
      </c>
      <c r="K997" s="2" t="b">
        <v>0</v>
      </c>
      <c r="L997" s="2"/>
      <c r="M997" s="2"/>
      <c r="N997" s="4" t="s">
        <v>2273</v>
      </c>
      <c r="O997" s="4" t="str">
        <f>LEFT(Table2[[#This Row],[Description]],75)</f>
        <v>STRYKER CORP</v>
      </c>
      <c r="P997" s="2" t="s">
        <v>2385</v>
      </c>
    </row>
    <row r="998" spans="1:16" hidden="1">
      <c r="A998" s="2">
        <v>201910</v>
      </c>
      <c r="B998" s="3">
        <v>43768</v>
      </c>
      <c r="C998" s="2" t="s">
        <v>64</v>
      </c>
      <c r="D998" s="2" t="s">
        <v>1786</v>
      </c>
      <c r="E998" s="2">
        <v>-18.07</v>
      </c>
      <c r="F998" s="2" t="s">
        <v>69</v>
      </c>
      <c r="J998" s="2">
        <v>18.07</v>
      </c>
      <c r="K998" s="2" t="b">
        <v>0</v>
      </c>
      <c r="L998" s="2"/>
      <c r="M998" s="2"/>
      <c r="N998" s="4" t="s">
        <v>2273</v>
      </c>
      <c r="O998" s="4" t="str">
        <f>LEFT(Table2[[#This Row],[Description]],75)</f>
        <v>STRYKER CORP</v>
      </c>
      <c r="P998" s="2" t="s">
        <v>2281</v>
      </c>
    </row>
    <row r="999" spans="1:16" hidden="1">
      <c r="A999" s="2">
        <v>201910</v>
      </c>
      <c r="B999" s="3">
        <v>43768</v>
      </c>
      <c r="C999" s="2" t="s">
        <v>2265</v>
      </c>
      <c r="D999" s="2" t="s">
        <v>31</v>
      </c>
      <c r="E999" s="2">
        <v>148.47</v>
      </c>
      <c r="F999" s="2" t="s">
        <v>31</v>
      </c>
      <c r="J999" s="2">
        <v>148.47</v>
      </c>
      <c r="K999" s="2" t="b">
        <v>0</v>
      </c>
      <c r="L999" s="2"/>
      <c r="M999" s="2"/>
      <c r="N999" s="4" t="s">
        <v>2259</v>
      </c>
      <c r="O999" s="4" t="str">
        <f>LEFT(Table2[[#This Row],[Description]],75)</f>
        <v>Target</v>
      </c>
      <c r="P999" s="2" t="s">
        <v>2309</v>
      </c>
    </row>
    <row r="1000" spans="1:16" hidden="1">
      <c r="A1000" s="2">
        <v>201910</v>
      </c>
      <c r="B1000" s="3">
        <v>43768</v>
      </c>
      <c r="C1000" s="2" t="s">
        <v>2267</v>
      </c>
      <c r="D1000" s="2" t="s">
        <v>31</v>
      </c>
      <c r="E1000" s="2">
        <v>148.47</v>
      </c>
      <c r="F1000" s="2" t="s">
        <v>31</v>
      </c>
      <c r="J1000" s="2">
        <v>148.47</v>
      </c>
      <c r="K1000" s="2" t="b">
        <v>0</v>
      </c>
      <c r="L1000" s="2"/>
      <c r="M1000" s="2"/>
      <c r="N1000" s="4" t="s">
        <v>2259</v>
      </c>
      <c r="O1000" s="4" t="str">
        <f>LEFT(Table2[[#This Row],[Description]],75)</f>
        <v>Target</v>
      </c>
      <c r="P1000" s="2" t="s">
        <v>2309</v>
      </c>
    </row>
    <row r="1001" spans="1:16" hidden="1">
      <c r="A1001" s="2">
        <v>201910</v>
      </c>
      <c r="B1001" s="3">
        <v>43768</v>
      </c>
      <c r="C1001" s="2" t="s">
        <v>2271</v>
      </c>
      <c r="D1001" s="2" t="s">
        <v>31</v>
      </c>
      <c r="E1001" s="2">
        <v>61.41</v>
      </c>
      <c r="F1001" s="2" t="s">
        <v>31</v>
      </c>
      <c r="J1001" s="2">
        <v>61.41</v>
      </c>
      <c r="K1001" s="2" t="b">
        <v>0</v>
      </c>
      <c r="L1001" s="2"/>
      <c r="M1001" s="2"/>
      <c r="N1001" s="4" t="s">
        <v>2259</v>
      </c>
      <c r="O1001" s="4" t="str">
        <f>LEFT(Table2[[#This Row],[Description]],75)</f>
        <v>Target</v>
      </c>
      <c r="P1001" s="2" t="s">
        <v>2309</v>
      </c>
    </row>
    <row r="1002" spans="1:16" hidden="1">
      <c r="A1002" s="2">
        <v>201910</v>
      </c>
      <c r="B1002" s="3">
        <v>43768</v>
      </c>
      <c r="C1002" s="2" t="s">
        <v>2271</v>
      </c>
      <c r="D1002" s="2" t="s">
        <v>31</v>
      </c>
      <c r="E1002" s="2">
        <v>39.880000000000003</v>
      </c>
      <c r="F1002" s="2" t="s">
        <v>31</v>
      </c>
      <c r="J1002" s="2">
        <v>39.880000000000003</v>
      </c>
      <c r="K1002" s="2" t="b">
        <v>0</v>
      </c>
      <c r="L1002" s="2"/>
      <c r="M1002" s="2"/>
      <c r="N1002" s="4" t="s">
        <v>2259</v>
      </c>
      <c r="O1002" s="4" t="str">
        <f>LEFT(Table2[[#This Row],[Description]],75)</f>
        <v>Target</v>
      </c>
      <c r="P1002" s="2" t="s">
        <v>2309</v>
      </c>
    </row>
    <row r="1003" spans="1:16" hidden="1">
      <c r="A1003" s="2">
        <v>201910</v>
      </c>
      <c r="B1003" s="3">
        <v>43768</v>
      </c>
      <c r="C1003" s="2" t="s">
        <v>2271</v>
      </c>
      <c r="D1003" s="2" t="s">
        <v>31</v>
      </c>
      <c r="E1003" s="2">
        <v>56.48</v>
      </c>
      <c r="F1003" s="2" t="s">
        <v>31</v>
      </c>
      <c r="J1003" s="2">
        <v>56.48</v>
      </c>
      <c r="K1003" s="2" t="b">
        <v>0</v>
      </c>
      <c r="L1003" s="2"/>
      <c r="M1003" s="2"/>
      <c r="N1003" s="4" t="s">
        <v>2259</v>
      </c>
      <c r="O1003" s="4" t="str">
        <f>LEFT(Table2[[#This Row],[Description]],75)</f>
        <v>Target</v>
      </c>
      <c r="P1003" s="2" t="s">
        <v>2309</v>
      </c>
    </row>
    <row r="1004" spans="1:16" hidden="1">
      <c r="A1004" s="2">
        <v>201910</v>
      </c>
      <c r="B1004" s="3">
        <v>43768</v>
      </c>
      <c r="C1004" s="2" t="s">
        <v>2338</v>
      </c>
      <c r="D1004" s="2" t="s">
        <v>1820</v>
      </c>
      <c r="E1004" s="2">
        <v>-635</v>
      </c>
      <c r="F1004" s="2" t="s">
        <v>54</v>
      </c>
      <c r="J1004" s="2">
        <v>635</v>
      </c>
      <c r="K1004" s="2" t="b">
        <v>0</v>
      </c>
      <c r="L1004" s="2"/>
      <c r="M1004" s="2"/>
      <c r="N1004" s="4" t="s">
        <v>2273</v>
      </c>
      <c r="O1004" s="4" t="str">
        <f>LEFT(Table2[[#This Row],[Description]],75)</f>
        <v>Target Retire 2055 Tr P - Plan Contribution</v>
      </c>
      <c r="P1004" s="2" t="s">
        <v>2386</v>
      </c>
    </row>
    <row r="1005" spans="1:16" hidden="1">
      <c r="A1005" s="2">
        <v>201910</v>
      </c>
      <c r="B1005" s="3">
        <v>43768</v>
      </c>
      <c r="C1005" s="2" t="s">
        <v>2355</v>
      </c>
      <c r="D1005" s="2" t="s">
        <v>1834</v>
      </c>
      <c r="E1005" s="2">
        <v>-150</v>
      </c>
      <c r="F1005" s="2" t="s">
        <v>57</v>
      </c>
      <c r="J1005" s="2">
        <v>150</v>
      </c>
      <c r="K1005" s="2" t="b">
        <v>0</v>
      </c>
      <c r="L1005" s="2"/>
      <c r="M1005" s="2"/>
      <c r="N1005" s="4" t="s">
        <v>2273</v>
      </c>
      <c r="O1005" s="4" t="str">
        <f>LEFT(Table2[[#This Row],[Description]],75)</f>
        <v>Tfr JPMORGAN CHASE BAN, CARGILL COCOA &amp;</v>
      </c>
      <c r="P1005" s="2" t="s">
        <v>2356</v>
      </c>
    </row>
    <row r="1006" spans="1:16" hidden="1">
      <c r="A1006" s="2">
        <v>201910</v>
      </c>
      <c r="B1006" s="3">
        <v>43768</v>
      </c>
      <c r="C1006" s="2" t="s">
        <v>2277</v>
      </c>
      <c r="D1006" s="2" t="s">
        <v>1834</v>
      </c>
      <c r="E1006" s="2">
        <v>-150</v>
      </c>
      <c r="F1006" s="2" t="s">
        <v>57</v>
      </c>
      <c r="J1006" s="2">
        <v>150</v>
      </c>
      <c r="K1006" s="2" t="b">
        <v>0</v>
      </c>
      <c r="L1006" s="2"/>
      <c r="M1006" s="2"/>
      <c r="N1006" s="4" t="s">
        <v>2273</v>
      </c>
      <c r="O1006" s="4" t="str">
        <f>LEFT(Table2[[#This Row],[Description]],75)</f>
        <v>Tfr JPMORGAN CHASE BAN, CARGILL COCOA &amp;</v>
      </c>
      <c r="P1006" s="2" t="s">
        <v>2356</v>
      </c>
    </row>
    <row r="1007" spans="1:16" hidden="1">
      <c r="A1007" s="2">
        <v>201910</v>
      </c>
      <c r="B1007" s="3">
        <v>43768</v>
      </c>
      <c r="C1007" s="2" t="s">
        <v>2275</v>
      </c>
      <c r="D1007" s="2" t="s">
        <v>1837</v>
      </c>
      <c r="E1007" s="2">
        <v>-211</v>
      </c>
      <c r="F1007" s="2" t="s">
        <v>57</v>
      </c>
      <c r="J1007" s="2">
        <v>211</v>
      </c>
      <c r="K1007" s="2" t="b">
        <v>0</v>
      </c>
      <c r="L1007" s="2"/>
      <c r="M1007" s="2"/>
      <c r="N1007" s="4" t="s">
        <v>2273</v>
      </c>
      <c r="O1007" s="4" t="str">
        <f>LEFT(Table2[[#This Row],[Description]],75)</f>
        <v>Tfr JPMORGAN CHASE BAN, KAUFMAN HALL</v>
      </c>
      <c r="P1007" s="2" t="s">
        <v>2288</v>
      </c>
    </row>
    <row r="1008" spans="1:16" hidden="1">
      <c r="A1008" s="2">
        <v>201910</v>
      </c>
      <c r="B1008" s="3">
        <v>43768</v>
      </c>
      <c r="C1008" s="2" t="s">
        <v>2275</v>
      </c>
      <c r="D1008" s="2" t="s">
        <v>1837</v>
      </c>
      <c r="E1008" s="2">
        <v>-211</v>
      </c>
      <c r="F1008" s="2" t="s">
        <v>57</v>
      </c>
      <c r="J1008" s="2">
        <v>211</v>
      </c>
      <c r="K1008" s="2" t="b">
        <v>0</v>
      </c>
      <c r="L1008" s="2"/>
      <c r="M1008" s="2"/>
      <c r="N1008" s="4" t="s">
        <v>2273</v>
      </c>
      <c r="O1008" s="4" t="str">
        <f>LEFT(Table2[[#This Row],[Description]],75)</f>
        <v>Tfr JPMORGAN CHASE BAN, KAUFMAN HALL</v>
      </c>
      <c r="P1008" s="2" t="s">
        <v>2288</v>
      </c>
    </row>
    <row r="1009" spans="1:16" hidden="1">
      <c r="A1009" s="2">
        <v>201910</v>
      </c>
      <c r="B1009" s="3">
        <v>43768</v>
      </c>
      <c r="C1009" s="2" t="s">
        <v>2277</v>
      </c>
      <c r="D1009" s="2" t="s">
        <v>1837</v>
      </c>
      <c r="E1009" s="2">
        <v>-211</v>
      </c>
      <c r="F1009" s="2" t="s">
        <v>57</v>
      </c>
      <c r="J1009" s="2">
        <v>211</v>
      </c>
      <c r="K1009" s="2" t="b">
        <v>0</v>
      </c>
      <c r="L1009" s="2"/>
      <c r="M1009" s="2"/>
      <c r="N1009" s="4" t="s">
        <v>2273</v>
      </c>
      <c r="O1009" s="4" t="str">
        <f>LEFT(Table2[[#This Row],[Description]],75)</f>
        <v>Tfr JPMORGAN CHASE BAN, KAUFMAN HALL</v>
      </c>
      <c r="P1009" s="2" t="s">
        <v>2288</v>
      </c>
    </row>
    <row r="1010" spans="1:16" hidden="1">
      <c r="A1010" s="2">
        <v>201910</v>
      </c>
      <c r="B1010" s="3">
        <v>43768</v>
      </c>
      <c r="C1010" s="2" t="s">
        <v>2277</v>
      </c>
      <c r="D1010" s="2" t="s">
        <v>1837</v>
      </c>
      <c r="E1010" s="2">
        <v>-211</v>
      </c>
      <c r="F1010" s="2" t="s">
        <v>57</v>
      </c>
      <c r="J1010" s="2">
        <v>211</v>
      </c>
      <c r="K1010" s="2" t="b">
        <v>0</v>
      </c>
      <c r="L1010" s="2"/>
      <c r="M1010" s="2"/>
      <c r="N1010" s="2" t="s">
        <v>2264</v>
      </c>
      <c r="O1010" s="2" t="str">
        <f>LEFT(Table2[[#This Row],[Description]],75)</f>
        <v>Tfr JPMORGAN CHASE BAN, KAUFMAN HALL</v>
      </c>
      <c r="P1010" s="2"/>
    </row>
    <row r="1011" spans="1:16" hidden="1">
      <c r="A1011" s="2">
        <v>201910</v>
      </c>
      <c r="B1011" s="3">
        <v>43768</v>
      </c>
      <c r="C1011" s="2" t="s">
        <v>2262</v>
      </c>
      <c r="D1011" s="2" t="s">
        <v>1931</v>
      </c>
      <c r="E1011" s="2">
        <v>2.77</v>
      </c>
      <c r="F1011" s="2" t="s">
        <v>28</v>
      </c>
      <c r="J1011" s="2">
        <v>2.77</v>
      </c>
      <c r="K1011" s="2" t="b">
        <v>0</v>
      </c>
      <c r="L1011" s="2"/>
      <c r="M1011" s="2"/>
      <c r="N1011" s="4" t="s">
        <v>2259</v>
      </c>
      <c r="O1011" s="4" t="str">
        <f>LEFT(Table2[[#This Row],[Description]],75)</f>
        <v>Trader Joe's</v>
      </c>
      <c r="P1011" s="2"/>
    </row>
    <row r="1012" spans="1:16" hidden="1">
      <c r="A1012" s="2">
        <v>201910</v>
      </c>
      <c r="B1012" s="3">
        <v>43768</v>
      </c>
      <c r="C1012" s="2" t="s">
        <v>2258</v>
      </c>
      <c r="D1012" s="2" t="s">
        <v>1947</v>
      </c>
      <c r="E1012" s="2">
        <v>-533.28</v>
      </c>
      <c r="F1012" s="2" t="s">
        <v>9</v>
      </c>
      <c r="J1012" s="2">
        <v>533.28</v>
      </c>
      <c r="K1012" s="2" t="b">
        <v>0</v>
      </c>
      <c r="L1012" s="2"/>
      <c r="M1012" s="2"/>
      <c r="N1012" s="4" t="s">
        <v>2273</v>
      </c>
      <c r="O1012" s="4" t="str">
        <f>LEFT(Table2[[#This Row],[Description]],75)</f>
        <v>Transfer from POWERPLUS CHECKING</v>
      </c>
      <c r="P1012" s="2" t="s">
        <v>2301</v>
      </c>
    </row>
    <row r="1013" spans="1:16" hidden="1">
      <c r="A1013" s="2">
        <v>201910</v>
      </c>
      <c r="B1013" s="3">
        <v>43768</v>
      </c>
      <c r="C1013" s="2" t="s">
        <v>2300</v>
      </c>
      <c r="D1013" s="2" t="s">
        <v>1947</v>
      </c>
      <c r="E1013" s="2">
        <v>-200</v>
      </c>
      <c r="F1013" s="2" t="s">
        <v>9</v>
      </c>
      <c r="J1013" s="2">
        <v>200</v>
      </c>
      <c r="K1013" s="2" t="b">
        <v>0</v>
      </c>
      <c r="L1013" s="2"/>
      <c r="M1013" s="2"/>
      <c r="N1013" s="4" t="s">
        <v>2273</v>
      </c>
      <c r="O1013" s="4" t="str">
        <f>LEFT(Table2[[#This Row],[Description]],75)</f>
        <v>Transfer from POWERPLUS CHECKING</v>
      </c>
      <c r="P1013" s="2" t="s">
        <v>2301</v>
      </c>
    </row>
    <row r="1014" spans="1:16" hidden="1">
      <c r="A1014" s="2">
        <v>201910</v>
      </c>
      <c r="B1014" s="3">
        <v>43768</v>
      </c>
      <c r="C1014" s="2" t="s">
        <v>2258</v>
      </c>
      <c r="D1014" s="2" t="s">
        <v>1947</v>
      </c>
      <c r="E1014" s="2">
        <v>-374.93</v>
      </c>
      <c r="F1014" s="2" t="s">
        <v>9</v>
      </c>
      <c r="J1014" s="2">
        <v>374.93</v>
      </c>
      <c r="K1014" s="2" t="b">
        <v>0</v>
      </c>
      <c r="L1014" s="2"/>
      <c r="M1014" s="2"/>
      <c r="N1014" s="4" t="s">
        <v>2273</v>
      </c>
      <c r="O1014" s="4" t="str">
        <f>LEFT(Table2[[#This Row],[Description]],75)</f>
        <v>Transfer from POWERPLUS CHECKING</v>
      </c>
      <c r="P1014" s="2" t="s">
        <v>2301</v>
      </c>
    </row>
    <row r="1015" spans="1:16" hidden="1">
      <c r="A1015" s="2">
        <v>201910</v>
      </c>
      <c r="B1015" s="3">
        <v>43768</v>
      </c>
      <c r="C1015" s="2" t="s">
        <v>2302</v>
      </c>
      <c r="D1015" s="2" t="s">
        <v>1947</v>
      </c>
      <c r="E1015" s="2">
        <v>-200</v>
      </c>
      <c r="F1015" s="2" t="s">
        <v>9</v>
      </c>
      <c r="J1015" s="2">
        <v>200</v>
      </c>
      <c r="K1015" s="2" t="b">
        <v>0</v>
      </c>
      <c r="L1015" s="2"/>
      <c r="M1015" s="2"/>
      <c r="N1015" s="4" t="s">
        <v>2273</v>
      </c>
      <c r="O1015" s="4" t="str">
        <f>LEFT(Table2[[#This Row],[Description]],75)</f>
        <v>Transfer from POWERPLUS CHECKING</v>
      </c>
      <c r="P1015" s="2" t="s">
        <v>2301</v>
      </c>
    </row>
    <row r="1016" spans="1:16" hidden="1">
      <c r="A1016" s="2">
        <v>201910</v>
      </c>
      <c r="B1016" s="3">
        <v>43768</v>
      </c>
      <c r="C1016" s="2" t="s">
        <v>2261</v>
      </c>
      <c r="D1016" s="2" t="s">
        <v>1947</v>
      </c>
      <c r="E1016" s="2">
        <v>-374.93</v>
      </c>
      <c r="F1016" s="2" t="s">
        <v>9</v>
      </c>
      <c r="J1016" s="2">
        <v>374.93</v>
      </c>
      <c r="K1016" s="2" t="b">
        <v>0</v>
      </c>
      <c r="L1016" s="2"/>
      <c r="M1016" s="2"/>
      <c r="N1016" s="4" t="s">
        <v>2273</v>
      </c>
      <c r="O1016" s="4" t="str">
        <f>LEFT(Table2[[#This Row],[Description]],75)</f>
        <v>Transfer from POWERPLUS CHECKING</v>
      </c>
      <c r="P1016" s="2" t="s">
        <v>2301</v>
      </c>
    </row>
    <row r="1017" spans="1:16" hidden="1">
      <c r="A1017" s="2">
        <v>201910</v>
      </c>
      <c r="B1017" s="3">
        <v>43768</v>
      </c>
      <c r="C1017" s="2" t="s">
        <v>2274</v>
      </c>
      <c r="D1017" s="2" t="s">
        <v>1947</v>
      </c>
      <c r="E1017" s="2">
        <v>-750</v>
      </c>
      <c r="F1017" s="2" t="s">
        <v>9</v>
      </c>
      <c r="J1017" s="2">
        <v>750</v>
      </c>
      <c r="K1017" s="2" t="b">
        <v>0</v>
      </c>
      <c r="L1017" s="2"/>
      <c r="M1017" s="2"/>
      <c r="N1017" s="2" t="s">
        <v>2264</v>
      </c>
      <c r="O1017" s="2" t="str">
        <f>LEFT(Table2[[#This Row],[Description]],75)</f>
        <v>Transfer from POWERPLUS CHECKING</v>
      </c>
      <c r="P1017" s="2"/>
    </row>
    <row r="1018" spans="1:16" hidden="1">
      <c r="A1018" s="2">
        <v>201910</v>
      </c>
      <c r="B1018" s="3">
        <v>43768</v>
      </c>
      <c r="C1018" s="2" t="s">
        <v>2261</v>
      </c>
      <c r="D1018" s="2" t="s">
        <v>1947</v>
      </c>
      <c r="E1018" s="2">
        <v>-533.28</v>
      </c>
      <c r="F1018" s="2" t="s">
        <v>9</v>
      </c>
      <c r="J1018" s="2">
        <v>533.28</v>
      </c>
      <c r="K1018" s="2" t="b">
        <v>0</v>
      </c>
      <c r="L1018" s="2"/>
      <c r="M1018" s="2"/>
      <c r="N1018" s="4" t="s">
        <v>2273</v>
      </c>
      <c r="O1018" s="4" t="str">
        <f>LEFT(Table2[[#This Row],[Description]],75)</f>
        <v>Transfer from POWERPLUS CHECKING</v>
      </c>
      <c r="P1018" s="2" t="s">
        <v>2301</v>
      </c>
    </row>
    <row r="1019" spans="1:16" hidden="1">
      <c r="A1019" s="2">
        <v>201910</v>
      </c>
      <c r="B1019" s="3">
        <v>43768</v>
      </c>
      <c r="C1019" s="2" t="s">
        <v>2262</v>
      </c>
      <c r="D1019" s="2" t="s">
        <v>1947</v>
      </c>
      <c r="E1019" s="2">
        <v>-432.08</v>
      </c>
      <c r="F1019" s="2" t="s">
        <v>9</v>
      </c>
      <c r="J1019" s="2">
        <v>432.08</v>
      </c>
      <c r="K1019" s="2" t="b">
        <v>0</v>
      </c>
      <c r="L1019" s="2"/>
      <c r="M1019" s="2"/>
      <c r="N1019" s="4" t="s">
        <v>2273</v>
      </c>
      <c r="O1019" s="4" t="str">
        <f>LEFT(Table2[[#This Row],[Description]],75)</f>
        <v>Transfer from POWERPLUS CHECKING</v>
      </c>
      <c r="P1019" s="2" t="s">
        <v>2301</v>
      </c>
    </row>
    <row r="1020" spans="1:16" hidden="1">
      <c r="A1020" s="2">
        <v>201910</v>
      </c>
      <c r="B1020" s="3">
        <v>43768</v>
      </c>
      <c r="C1020" s="2" t="s">
        <v>2265</v>
      </c>
      <c r="D1020" s="2" t="s">
        <v>1951</v>
      </c>
      <c r="E1020" s="2">
        <v>432.08</v>
      </c>
      <c r="F1020" s="2" t="s">
        <v>9</v>
      </c>
      <c r="J1020" s="2">
        <v>432.08</v>
      </c>
      <c r="K1020" s="2" t="b">
        <v>0</v>
      </c>
      <c r="L1020" s="2"/>
      <c r="M1020" s="2"/>
      <c r="N1020" s="4" t="s">
        <v>2259</v>
      </c>
      <c r="O1020" s="4" t="str">
        <f>LEFT(Table2[[#This Row],[Description]],75)</f>
        <v>Transfer to Cash Rewards Visa Signature</v>
      </c>
      <c r="P1020" s="2" t="s">
        <v>2266</v>
      </c>
    </row>
    <row r="1021" spans="1:16" hidden="1">
      <c r="A1021" s="2">
        <v>201910</v>
      </c>
      <c r="B1021" s="3">
        <v>43768</v>
      </c>
      <c r="C1021" s="2" t="s">
        <v>2267</v>
      </c>
      <c r="D1021" s="2" t="s">
        <v>1951</v>
      </c>
      <c r="E1021" s="2">
        <v>432.08</v>
      </c>
      <c r="F1021" s="2" t="s">
        <v>9</v>
      </c>
      <c r="J1021" s="2">
        <v>432.08</v>
      </c>
      <c r="K1021" s="2" t="b">
        <v>0</v>
      </c>
      <c r="L1021" s="2"/>
      <c r="M1021" s="2"/>
      <c r="N1021" s="4" t="s">
        <v>2259</v>
      </c>
      <c r="O1021" s="4" t="str">
        <f>LEFT(Table2[[#This Row],[Description]],75)</f>
        <v>Transfer to Cash Rewards Visa Signature</v>
      </c>
      <c r="P1021" s="2" t="s">
        <v>2266</v>
      </c>
    </row>
    <row r="1022" spans="1:16" hidden="1">
      <c r="A1022" s="2">
        <v>201910</v>
      </c>
      <c r="B1022" s="3">
        <v>43768</v>
      </c>
      <c r="C1022" s="2" t="s">
        <v>2265</v>
      </c>
      <c r="D1022" s="2" t="s">
        <v>1952</v>
      </c>
      <c r="E1022" s="2">
        <v>533.28</v>
      </c>
      <c r="F1022" s="2" t="s">
        <v>9</v>
      </c>
      <c r="J1022" s="2">
        <v>533.28</v>
      </c>
      <c r="K1022" s="2" t="b">
        <v>0</v>
      </c>
      <c r="L1022" s="2"/>
      <c r="M1022" s="2"/>
      <c r="N1022" s="4" t="s">
        <v>2259</v>
      </c>
      <c r="O1022" s="4" t="str">
        <f>LEFT(Table2[[#This Row],[Description]],75)</f>
        <v>Transfer to Discover More Card</v>
      </c>
      <c r="P1022" s="2" t="s">
        <v>2360</v>
      </c>
    </row>
    <row r="1023" spans="1:16" hidden="1">
      <c r="A1023" s="2">
        <v>201910</v>
      </c>
      <c r="B1023" s="3">
        <v>43768</v>
      </c>
      <c r="C1023" s="2" t="s">
        <v>2267</v>
      </c>
      <c r="D1023" s="2" t="s">
        <v>1952</v>
      </c>
      <c r="E1023" s="2">
        <v>533.28</v>
      </c>
      <c r="F1023" s="2" t="s">
        <v>9</v>
      </c>
      <c r="J1023" s="2">
        <v>533.28</v>
      </c>
      <c r="K1023" s="2" t="b">
        <v>0</v>
      </c>
      <c r="L1023" s="2"/>
      <c r="M1023" s="2"/>
      <c r="N1023" s="4" t="s">
        <v>2259</v>
      </c>
      <c r="O1023" s="4" t="str">
        <f>LEFT(Table2[[#This Row],[Description]],75)</f>
        <v>Transfer to Discover More Card</v>
      </c>
      <c r="P1023" s="2" t="s">
        <v>2360</v>
      </c>
    </row>
    <row r="1024" spans="1:16" hidden="1">
      <c r="A1024" s="2">
        <v>201910</v>
      </c>
      <c r="B1024" s="3">
        <v>43768</v>
      </c>
      <c r="C1024" s="2" t="s">
        <v>2265</v>
      </c>
      <c r="D1024" s="2" t="s">
        <v>1954</v>
      </c>
      <c r="E1024" s="2">
        <v>750</v>
      </c>
      <c r="F1024" s="2">
        <v>0</v>
      </c>
      <c r="J1024" s="2">
        <v>750</v>
      </c>
      <c r="K1024" s="2" t="b">
        <v>0</v>
      </c>
      <c r="L1024" s="2"/>
      <c r="M1024" s="2"/>
      <c r="N1024" s="4" t="s">
        <v>2259</v>
      </c>
      <c r="O1024" s="4" t="str">
        <f>LEFT(Table2[[#This Row],[Description]],75)</f>
        <v>Transfer to Investor Checking</v>
      </c>
      <c r="P1024" s="2"/>
    </row>
    <row r="1025" spans="1:16" hidden="1">
      <c r="A1025" s="2">
        <v>201910</v>
      </c>
      <c r="B1025" s="3">
        <v>43768</v>
      </c>
      <c r="C1025" s="2" t="s">
        <v>2267</v>
      </c>
      <c r="D1025" s="2" t="s">
        <v>1954</v>
      </c>
      <c r="E1025" s="2">
        <v>750</v>
      </c>
      <c r="F1025" s="2" t="s">
        <v>9</v>
      </c>
      <c r="J1025" s="2">
        <v>750</v>
      </c>
      <c r="K1025" s="2" t="b">
        <v>0</v>
      </c>
      <c r="L1025" s="2"/>
      <c r="M1025" s="2"/>
      <c r="N1025" s="4" t="s">
        <v>2259</v>
      </c>
      <c r="O1025" s="4" t="str">
        <f>LEFT(Table2[[#This Row],[Description]],75)</f>
        <v>Transfer to Investor Checking</v>
      </c>
      <c r="P1025" s="2"/>
    </row>
    <row r="1026" spans="1:16" hidden="1">
      <c r="A1026" s="2">
        <v>201910</v>
      </c>
      <c r="B1026" s="3">
        <v>43768</v>
      </c>
      <c r="C1026" s="2" t="s">
        <v>2265</v>
      </c>
      <c r="D1026" s="2" t="s">
        <v>1957</v>
      </c>
      <c r="E1026" s="2">
        <v>200</v>
      </c>
      <c r="F1026" s="2" t="s">
        <v>59</v>
      </c>
      <c r="J1026" s="2">
        <v>200</v>
      </c>
      <c r="K1026" s="2" t="b">
        <v>0</v>
      </c>
      <c r="L1026" s="2"/>
      <c r="M1026" s="2"/>
      <c r="N1026" s="4" t="s">
        <v>2259</v>
      </c>
      <c r="O1026" s="4" t="str">
        <f>LEFT(Table2[[#This Row],[Description]],75)</f>
        <v>Transfer to RAINY DAY SAVINGS</v>
      </c>
      <c r="P1026" s="2" t="s">
        <v>2303</v>
      </c>
    </row>
    <row r="1027" spans="1:16" hidden="1">
      <c r="A1027" s="2">
        <v>201910</v>
      </c>
      <c r="B1027" s="3">
        <v>43768</v>
      </c>
      <c r="C1027" s="2" t="s">
        <v>2267</v>
      </c>
      <c r="D1027" s="2" t="s">
        <v>1957</v>
      </c>
      <c r="E1027" s="2">
        <v>200</v>
      </c>
      <c r="F1027" s="2" t="s">
        <v>59</v>
      </c>
      <c r="J1027" s="2">
        <v>200</v>
      </c>
      <c r="K1027" s="2" t="b">
        <v>0</v>
      </c>
      <c r="L1027" s="2"/>
      <c r="M1027" s="2"/>
      <c r="N1027" s="4" t="s">
        <v>2259</v>
      </c>
      <c r="O1027" s="4" t="str">
        <f>LEFT(Table2[[#This Row],[Description]],75)</f>
        <v>Transfer to RAINY DAY SAVINGS</v>
      </c>
      <c r="P1027" s="2" t="s">
        <v>2303</v>
      </c>
    </row>
    <row r="1028" spans="1:16" hidden="1">
      <c r="A1028" s="2">
        <v>201910</v>
      </c>
      <c r="B1028" s="3">
        <v>43768</v>
      </c>
      <c r="C1028" s="2" t="s">
        <v>2262</v>
      </c>
      <c r="D1028" s="2" t="s">
        <v>2000</v>
      </c>
      <c r="E1028" s="2">
        <v>24.76</v>
      </c>
      <c r="F1028" s="2" t="s">
        <v>26</v>
      </c>
      <c r="J1028" s="2">
        <v>24.76</v>
      </c>
      <c r="K1028" s="2" t="b">
        <v>0</v>
      </c>
      <c r="L1028" s="2"/>
      <c r="M1028" s="2"/>
      <c r="N1028" s="4" t="s">
        <v>2259</v>
      </c>
      <c r="O1028" s="4" t="str">
        <f>LEFT(Table2[[#This Row],[Description]],75)</f>
        <v>TRUCE MINNEAPOLIS MN 261293606</v>
      </c>
      <c r="P1028" s="2" t="s">
        <v>2387</v>
      </c>
    </row>
    <row r="1029" spans="1:16" hidden="1">
      <c r="A1029" s="2">
        <v>201910</v>
      </c>
      <c r="B1029" s="3">
        <v>43768</v>
      </c>
      <c r="C1029" s="2" t="s">
        <v>2265</v>
      </c>
      <c r="D1029" s="2" t="s">
        <v>2093</v>
      </c>
      <c r="E1029" s="2">
        <v>103</v>
      </c>
      <c r="F1029" s="2">
        <v>0</v>
      </c>
      <c r="J1029" s="2">
        <v>103</v>
      </c>
      <c r="K1029" s="2" t="b">
        <v>0</v>
      </c>
      <c r="L1029" s="2"/>
      <c r="M1029" s="2"/>
      <c r="N1029" s="4" t="s">
        <v>2259</v>
      </c>
      <c r="O1029" s="4" t="str">
        <f>LEFT(Table2[[#This Row],[Description]],75)</f>
        <v>US Bank</v>
      </c>
      <c r="P1029" s="2"/>
    </row>
    <row r="1030" spans="1:16" hidden="1">
      <c r="A1030" s="2">
        <v>201910</v>
      </c>
      <c r="B1030" s="3">
        <v>43768</v>
      </c>
      <c r="C1030" s="2" t="s">
        <v>2267</v>
      </c>
      <c r="D1030" s="2" t="s">
        <v>2093</v>
      </c>
      <c r="E1030" s="2">
        <v>103</v>
      </c>
      <c r="F1030" s="2" t="s">
        <v>29</v>
      </c>
      <c r="J1030" s="2">
        <v>103</v>
      </c>
      <c r="K1030" s="2" t="b">
        <v>0</v>
      </c>
      <c r="L1030" s="2"/>
      <c r="M1030" s="2"/>
      <c r="N1030" s="4" t="s">
        <v>2259</v>
      </c>
      <c r="O1030" s="4" t="str">
        <f>LEFT(Table2[[#This Row],[Description]],75)</f>
        <v>US Bank</v>
      </c>
      <c r="P1030" s="2" t="s">
        <v>2281</v>
      </c>
    </row>
    <row r="1031" spans="1:16" hidden="1">
      <c r="A1031" s="2">
        <v>201910</v>
      </c>
      <c r="B1031" s="3">
        <v>43768</v>
      </c>
      <c r="C1031" s="2" t="s">
        <v>2290</v>
      </c>
      <c r="D1031" s="2" t="s">
        <v>2106</v>
      </c>
      <c r="E1031" s="2">
        <v>-1058.95</v>
      </c>
      <c r="F1031" s="2" t="s">
        <v>54</v>
      </c>
      <c r="J1031" s="2">
        <v>1058.95</v>
      </c>
      <c r="K1031" s="2" t="b">
        <v>0</v>
      </c>
      <c r="L1031" s="2"/>
      <c r="M1031" s="2"/>
      <c r="N1031" s="4" t="s">
        <v>2273</v>
      </c>
      <c r="O1031" s="4" t="str">
        <f>LEFT(Table2[[#This Row],[Description]],75)</f>
        <v>VANG TARGET RET 2050</v>
      </c>
      <c r="P1031" s="2" t="s">
        <v>2388</v>
      </c>
    </row>
    <row r="1032" spans="1:16" hidden="1">
      <c r="A1032" s="2">
        <v>201910</v>
      </c>
      <c r="B1032" s="3">
        <v>43768</v>
      </c>
      <c r="C1032" s="2" t="s">
        <v>2290</v>
      </c>
      <c r="D1032" s="2" t="s">
        <v>2106</v>
      </c>
      <c r="E1032" s="2">
        <v>-1058.95</v>
      </c>
      <c r="F1032" s="2" t="s">
        <v>87</v>
      </c>
      <c r="J1032" s="2">
        <v>1058.95</v>
      </c>
      <c r="K1032" s="2" t="b">
        <v>0</v>
      </c>
      <c r="L1032" s="2"/>
      <c r="M1032" s="2"/>
      <c r="N1032" s="2" t="s">
        <v>2264</v>
      </c>
      <c r="O1032" s="2" t="str">
        <f>LEFT(Table2[[#This Row],[Description]],75)</f>
        <v>VANG TARGET RET 2050</v>
      </c>
      <c r="P1032" s="2"/>
    </row>
    <row r="1033" spans="1:16" hidden="1">
      <c r="A1033" s="2">
        <v>201910</v>
      </c>
      <c r="B1033" s="3">
        <v>43768</v>
      </c>
      <c r="C1033" s="2" t="s">
        <v>2265</v>
      </c>
      <c r="D1033" s="2" t="s">
        <v>2109</v>
      </c>
      <c r="E1033" s="2">
        <v>11.77</v>
      </c>
      <c r="F1033" s="2">
        <v>0</v>
      </c>
      <c r="J1033" s="2">
        <v>11.77</v>
      </c>
      <c r="K1033" s="2" t="b">
        <v>0</v>
      </c>
      <c r="L1033" s="2"/>
      <c r="M1033" s="2"/>
      <c r="N1033" s="4" t="s">
        <v>2259</v>
      </c>
      <c r="O1033" s="4" t="str">
        <f>LEFT(Table2[[#This Row],[Description]],75)</f>
        <v>Venmo</v>
      </c>
      <c r="P1033" s="2"/>
    </row>
    <row r="1034" spans="1:16" hidden="1">
      <c r="A1034" s="2">
        <v>201910</v>
      </c>
      <c r="B1034" s="3">
        <v>43768</v>
      </c>
      <c r="C1034" s="2" t="s">
        <v>2265</v>
      </c>
      <c r="D1034" s="2" t="s">
        <v>2109</v>
      </c>
      <c r="E1034" s="2">
        <v>31</v>
      </c>
      <c r="F1034" s="2">
        <v>0</v>
      </c>
      <c r="J1034" s="2">
        <v>31</v>
      </c>
      <c r="K1034" s="2" t="b">
        <v>0</v>
      </c>
      <c r="L1034" s="2"/>
      <c r="M1034" s="2"/>
      <c r="N1034" s="4" t="s">
        <v>2259</v>
      </c>
      <c r="O1034" s="4" t="str">
        <f>LEFT(Table2[[#This Row],[Description]],75)</f>
        <v>Venmo</v>
      </c>
      <c r="P1034" s="2"/>
    </row>
    <row r="1035" spans="1:16" hidden="1">
      <c r="A1035" s="2">
        <v>201910</v>
      </c>
      <c r="B1035" s="3">
        <v>43768</v>
      </c>
      <c r="C1035" s="2" t="s">
        <v>2267</v>
      </c>
      <c r="D1035" s="2" t="s">
        <v>2109</v>
      </c>
      <c r="E1035" s="2">
        <v>11.77</v>
      </c>
      <c r="F1035" s="2" t="s">
        <v>9</v>
      </c>
      <c r="J1035" s="2">
        <v>11.77</v>
      </c>
      <c r="K1035" s="2" t="b">
        <v>0</v>
      </c>
      <c r="L1035" s="2"/>
      <c r="M1035" s="2"/>
      <c r="N1035" s="4" t="s">
        <v>2259</v>
      </c>
      <c r="O1035" s="4" t="str">
        <f>LEFT(Table2[[#This Row],[Description]],75)</f>
        <v>Venmo</v>
      </c>
      <c r="P1035" s="2"/>
    </row>
    <row r="1036" spans="1:16" hidden="1">
      <c r="A1036" s="2">
        <v>201910</v>
      </c>
      <c r="B1036" s="3">
        <v>43768</v>
      </c>
      <c r="C1036" s="2" t="s">
        <v>2267</v>
      </c>
      <c r="D1036" s="2" t="s">
        <v>2109</v>
      </c>
      <c r="E1036" s="2">
        <v>31</v>
      </c>
      <c r="F1036" s="2" t="s">
        <v>21</v>
      </c>
      <c r="J1036" s="2">
        <v>31</v>
      </c>
      <c r="K1036" s="2" t="b">
        <v>0</v>
      </c>
      <c r="L1036" s="2"/>
      <c r="M1036" s="2"/>
      <c r="N1036" s="4" t="s">
        <v>2259</v>
      </c>
      <c r="O1036" s="4" t="str">
        <f>LEFT(Table2[[#This Row],[Description]],75)</f>
        <v>Venmo</v>
      </c>
      <c r="P1036" s="2" t="s">
        <v>2281</v>
      </c>
    </row>
    <row r="1037" spans="1:16" hidden="1">
      <c r="A1037" s="2">
        <v>201910</v>
      </c>
      <c r="B1037" s="3">
        <v>43768</v>
      </c>
      <c r="C1037" s="2" t="s">
        <v>2274</v>
      </c>
      <c r="D1037" s="2" t="s">
        <v>2110</v>
      </c>
      <c r="E1037" s="2">
        <v>-40</v>
      </c>
      <c r="F1037" s="2" t="s">
        <v>9</v>
      </c>
      <c r="J1037" s="2">
        <v>40</v>
      </c>
      <c r="K1037" s="2" t="b">
        <v>0</v>
      </c>
      <c r="L1037" s="2"/>
      <c r="M1037" s="2"/>
      <c r="N1037" s="4" t="s">
        <v>2273</v>
      </c>
      <c r="O1037" s="4" t="str">
        <f>LEFT(Table2[[#This Row],[Description]],75)</f>
        <v>Venmo Cashout</v>
      </c>
      <c r="P1037" s="2" t="s">
        <v>2281</v>
      </c>
    </row>
    <row r="1038" spans="1:16" hidden="1">
      <c r="A1038" s="2">
        <v>201910</v>
      </c>
      <c r="B1038" s="3">
        <v>43768</v>
      </c>
      <c r="C1038" s="2" t="s">
        <v>2265</v>
      </c>
      <c r="D1038" s="2" t="s">
        <v>2112</v>
      </c>
      <c r="E1038" s="2">
        <v>-64</v>
      </c>
      <c r="F1038" s="2" t="s">
        <v>9</v>
      </c>
      <c r="J1038" s="2">
        <v>64</v>
      </c>
      <c r="K1038" s="2" t="b">
        <v>0</v>
      </c>
      <c r="L1038" s="2"/>
      <c r="M1038" s="2"/>
      <c r="N1038" s="4" t="s">
        <v>2273</v>
      </c>
      <c r="O1038" s="4" t="str">
        <f>LEFT(Table2[[#This Row],[Description]],75)</f>
        <v>Venmo Type Cashout</v>
      </c>
      <c r="P1038" s="2" t="s">
        <v>2279</v>
      </c>
    </row>
    <row r="1039" spans="1:16" hidden="1">
      <c r="A1039" s="2">
        <v>201910</v>
      </c>
      <c r="B1039" s="3">
        <v>43768</v>
      </c>
      <c r="C1039" s="2" t="s">
        <v>2267</v>
      </c>
      <c r="D1039" s="2" t="s">
        <v>2112</v>
      </c>
      <c r="E1039" s="2">
        <v>-64</v>
      </c>
      <c r="F1039" s="2" t="s">
        <v>9</v>
      </c>
      <c r="J1039" s="2">
        <v>64</v>
      </c>
      <c r="K1039" s="2" t="b">
        <v>0</v>
      </c>
      <c r="L1039" s="2"/>
      <c r="M1039" s="2"/>
      <c r="N1039" s="2" t="s">
        <v>2264</v>
      </c>
      <c r="O1039" s="2" t="str">
        <f>LEFT(Table2[[#This Row],[Description]],75)</f>
        <v>Venmo Type Cashout</v>
      </c>
      <c r="P1039" s="2"/>
    </row>
    <row r="1040" spans="1:16" hidden="1">
      <c r="A1040" s="2">
        <v>201910</v>
      </c>
      <c r="B1040" s="3">
        <v>43768</v>
      </c>
      <c r="C1040" s="2" t="s">
        <v>2262</v>
      </c>
      <c r="D1040" s="2" t="s">
        <v>2135</v>
      </c>
      <c r="E1040" s="2">
        <v>35.700000000000003</v>
      </c>
      <c r="F1040" s="2" t="s">
        <v>21</v>
      </c>
      <c r="J1040" s="2">
        <v>35.700000000000003</v>
      </c>
      <c r="K1040" s="2" t="b">
        <v>0</v>
      </c>
      <c r="L1040" s="2"/>
      <c r="M1040" s="2"/>
      <c r="N1040" s="4" t="s">
        <v>2259</v>
      </c>
      <c r="O1040" s="4" t="str">
        <f>LEFT(Table2[[#This Row],[Description]],75)</f>
        <v>Walgreens</v>
      </c>
      <c r="P1040" s="2" t="s">
        <v>2389</v>
      </c>
    </row>
    <row r="1041" spans="1:16" hidden="1">
      <c r="A1041" s="2">
        <v>201910</v>
      </c>
      <c r="B1041" s="3">
        <v>43768</v>
      </c>
      <c r="C1041" s="2" t="s">
        <v>2262</v>
      </c>
      <c r="D1041" s="2" t="s">
        <v>2154</v>
      </c>
      <c r="E1041" s="2">
        <v>17.260000000000002</v>
      </c>
      <c r="F1041" s="2" t="s">
        <v>28</v>
      </c>
      <c r="J1041" s="2">
        <v>17.260000000000002</v>
      </c>
      <c r="K1041" s="2" t="b">
        <v>0</v>
      </c>
      <c r="L1041" s="2"/>
      <c r="M1041" s="2"/>
      <c r="N1041" s="4" t="s">
        <v>2259</v>
      </c>
      <c r="O1041" s="4" t="str">
        <f>LEFT(Table2[[#This Row],[Description]],75)</f>
        <v>Whole Foods</v>
      </c>
      <c r="P1041" s="2" t="s">
        <v>2390</v>
      </c>
    </row>
    <row r="1042" spans="1:16" hidden="1">
      <c r="A1042" s="2">
        <v>201910</v>
      </c>
      <c r="B1042" s="3">
        <v>43768</v>
      </c>
      <c r="C1042" s="2" t="s">
        <v>2274</v>
      </c>
      <c r="D1042" s="2" t="s">
        <v>275</v>
      </c>
      <c r="E1042" s="2">
        <v>-750</v>
      </c>
      <c r="F1042" s="2" t="s">
        <v>9</v>
      </c>
      <c r="J1042" s="2">
        <v>750</v>
      </c>
      <c r="K1042" s="2" t="b">
        <v>0</v>
      </c>
      <c r="L1042" s="2"/>
      <c r="M1042" s="2"/>
      <c r="N1042" s="2" t="s">
        <v>2264</v>
      </c>
      <c r="O1042" s="2" t="str">
        <f>LEFT(Table2[[#This Row],[Description]],75)</f>
        <v>Bcu Online</v>
      </c>
      <c r="P1042" s="2"/>
    </row>
    <row r="1043" spans="1:16" hidden="1">
      <c r="A1043" s="2">
        <v>201910</v>
      </c>
      <c r="B1043" s="3">
        <v>43768</v>
      </c>
      <c r="C1043" s="2" t="s">
        <v>2262</v>
      </c>
      <c r="D1043" s="2" t="s">
        <v>1426</v>
      </c>
      <c r="E1043" s="2">
        <v>-974.51</v>
      </c>
      <c r="F1043" s="2" t="s">
        <v>9</v>
      </c>
      <c r="J1043" s="2">
        <v>974.51</v>
      </c>
      <c r="K1043" s="2" t="b">
        <v>0</v>
      </c>
      <c r="L1043" s="2"/>
      <c r="M1043" s="2"/>
      <c r="N1043" s="2" t="s">
        <v>2264</v>
      </c>
      <c r="O1043" s="2" t="str">
        <f>LEFT(Table2[[#This Row],[Description]],75)</f>
        <v>PAYMENT THANK YOU 257881480</v>
      </c>
      <c r="P1043" s="2"/>
    </row>
    <row r="1044" spans="1:16" hidden="1">
      <c r="A1044" s="2">
        <v>201910</v>
      </c>
      <c r="B1044" s="3">
        <v>43768</v>
      </c>
      <c r="C1044" s="2" t="s">
        <v>2262</v>
      </c>
      <c r="D1044" s="2" t="s">
        <v>1427</v>
      </c>
      <c r="E1044" s="2">
        <v>-765.23</v>
      </c>
      <c r="F1044" s="2" t="s">
        <v>9</v>
      </c>
      <c r="J1044" s="2">
        <v>765.23</v>
      </c>
      <c r="K1044" s="2" t="b">
        <v>0</v>
      </c>
      <c r="L1044" s="2"/>
      <c r="M1044" s="2"/>
      <c r="N1044" s="4" t="s">
        <v>2273</v>
      </c>
      <c r="O1044" s="4" t="str">
        <f>LEFT(Table2[[#This Row],[Description]],75)</f>
        <v>PAYMENT THANK YOU 262531389</v>
      </c>
      <c r="P1044" s="2" t="s">
        <v>2391</v>
      </c>
    </row>
    <row r="1045" spans="1:16" hidden="1">
      <c r="A1045" s="2">
        <v>201910</v>
      </c>
      <c r="B1045" s="3">
        <v>43768</v>
      </c>
      <c r="C1045" s="2" t="s">
        <v>2265</v>
      </c>
      <c r="D1045" s="2" t="s">
        <v>2171</v>
      </c>
      <c r="E1045" s="2">
        <v>974.51</v>
      </c>
      <c r="F1045" s="2" t="s">
        <v>9</v>
      </c>
      <c r="J1045" s="2">
        <v>974.51</v>
      </c>
      <c r="K1045" s="2" t="b">
        <v>0</v>
      </c>
      <c r="L1045" s="2"/>
      <c r="M1045" s="2"/>
      <c r="N1045" s="4" t="s">
        <v>2259</v>
      </c>
      <c r="O1045" s="4" t="str">
        <f>LEFT(Table2[[#This Row],[Description]],75)</f>
        <v>Withdrawal Home payment to card 950588 257307739</v>
      </c>
      <c r="P1045" s="2" t="s">
        <v>2349</v>
      </c>
    </row>
    <row r="1046" spans="1:16" hidden="1">
      <c r="A1046" s="2">
        <v>201910</v>
      </c>
      <c r="B1046" s="3">
        <v>43768</v>
      </c>
      <c r="C1046" s="2" t="s">
        <v>2267</v>
      </c>
      <c r="D1046" s="2" t="s">
        <v>2171</v>
      </c>
      <c r="E1046" s="2">
        <v>974.51</v>
      </c>
      <c r="F1046" s="2" t="s">
        <v>9</v>
      </c>
      <c r="J1046" s="2">
        <v>974.51</v>
      </c>
      <c r="K1046" s="2" t="b">
        <v>0</v>
      </c>
      <c r="L1046" s="2"/>
      <c r="M1046" s="2"/>
      <c r="N1046" s="4" t="s">
        <v>2259</v>
      </c>
      <c r="O1046" s="4" t="str">
        <f>LEFT(Table2[[#This Row],[Description]],75)</f>
        <v>Withdrawal Home payment to card 950588 257307739</v>
      </c>
      <c r="P1046" s="2"/>
    </row>
    <row r="1047" spans="1:16" hidden="1">
      <c r="A1047" s="2">
        <v>201910</v>
      </c>
      <c r="B1047" s="3">
        <v>43768</v>
      </c>
      <c r="C1047" s="2" t="s">
        <v>2265</v>
      </c>
      <c r="D1047" s="2" t="s">
        <v>2172</v>
      </c>
      <c r="E1047" s="2">
        <v>765.23</v>
      </c>
      <c r="F1047" s="2" t="s">
        <v>9</v>
      </c>
      <c r="J1047" s="2">
        <v>765.23</v>
      </c>
      <c r="K1047" s="2" t="b">
        <v>0</v>
      </c>
      <c r="L1047" s="2"/>
      <c r="M1047" s="2"/>
      <c r="N1047" s="4" t="s">
        <v>2259</v>
      </c>
      <c r="O1047" s="4" t="str">
        <f>LEFT(Table2[[#This Row],[Description]],75)</f>
        <v>Withdrawal Home payment to card 950588 261831395</v>
      </c>
      <c r="P1047" s="2" t="s">
        <v>2349</v>
      </c>
    </row>
    <row r="1048" spans="1:16" hidden="1">
      <c r="A1048" s="2">
        <v>201910</v>
      </c>
      <c r="B1048" s="3">
        <v>43768</v>
      </c>
      <c r="C1048" s="2" t="s">
        <v>2267</v>
      </c>
      <c r="D1048" s="2" t="s">
        <v>2172</v>
      </c>
      <c r="E1048" s="2">
        <v>765.23</v>
      </c>
      <c r="F1048" s="2" t="s">
        <v>9</v>
      </c>
      <c r="J1048" s="2">
        <v>765.23</v>
      </c>
      <c r="K1048" s="2" t="b">
        <v>0</v>
      </c>
      <c r="L1048" s="2"/>
      <c r="M1048" s="2"/>
      <c r="N1048" s="4" t="s">
        <v>2259</v>
      </c>
      <c r="O1048" s="4" t="str">
        <f>LEFT(Table2[[#This Row],[Description]],75)</f>
        <v>Withdrawal Home payment to card 950588 261831395</v>
      </c>
      <c r="P1048" s="2" t="s">
        <v>2349</v>
      </c>
    </row>
    <row r="1049" spans="1:16" hidden="1">
      <c r="A1049" s="2">
        <v>201911</v>
      </c>
      <c r="B1049" s="3">
        <v>43770</v>
      </c>
      <c r="C1049" s="2" t="s">
        <v>2317</v>
      </c>
      <c r="D1049" s="2" t="s">
        <v>93</v>
      </c>
      <c r="E1049" s="2">
        <v>-118.12</v>
      </c>
      <c r="F1049" s="2" t="s">
        <v>69</v>
      </c>
      <c r="J1049" s="2">
        <v>118.12</v>
      </c>
      <c r="K1049" s="2" t="b">
        <v>0</v>
      </c>
      <c r="L1049" s="2"/>
      <c r="M1049" s="2"/>
      <c r="N1049" s="4" t="s">
        <v>2273</v>
      </c>
      <c r="O1049" s="4" t="str">
        <f>LEFT(Table2[[#This Row],[Description]],75)</f>
        <v>A T &amp; T INC</v>
      </c>
      <c r="P1049" s="2" t="s">
        <v>2392</v>
      </c>
    </row>
    <row r="1050" spans="1:16" hidden="1">
      <c r="A1050" s="2">
        <v>201911</v>
      </c>
      <c r="B1050" s="3">
        <v>43770</v>
      </c>
      <c r="C1050" s="2" t="s">
        <v>64</v>
      </c>
      <c r="D1050" s="2" t="s">
        <v>93</v>
      </c>
      <c r="E1050" s="2">
        <v>-118.12</v>
      </c>
      <c r="F1050" s="2" t="s">
        <v>69</v>
      </c>
      <c r="J1050" s="2">
        <v>118.12</v>
      </c>
      <c r="K1050" s="2" t="b">
        <v>0</v>
      </c>
      <c r="L1050" s="2"/>
      <c r="M1050" s="2"/>
      <c r="N1050" s="4" t="s">
        <v>2273</v>
      </c>
      <c r="O1050" s="4" t="str">
        <f>LEFT(Table2[[#This Row],[Description]],75)</f>
        <v>A T &amp; T INC</v>
      </c>
      <c r="P1050" s="2" t="s">
        <v>2281</v>
      </c>
    </row>
    <row r="1051" spans="1:16" hidden="1">
      <c r="A1051" s="2">
        <v>201911</v>
      </c>
      <c r="B1051" s="3">
        <v>43770</v>
      </c>
      <c r="C1051" s="2" t="s">
        <v>2317</v>
      </c>
      <c r="D1051" s="2" t="s">
        <v>354</v>
      </c>
      <c r="E1051" s="2">
        <v>-200</v>
      </c>
      <c r="F1051" s="2" t="s">
        <v>57</v>
      </c>
      <c r="J1051" s="2">
        <v>200</v>
      </c>
      <c r="K1051" s="2" t="b">
        <v>0</v>
      </c>
      <c r="L1051" s="2"/>
      <c r="M1051" s="2"/>
      <c r="N1051" s="4" t="s">
        <v>2273</v>
      </c>
      <c r="O1051" s="4" t="str">
        <f>LEFT(Table2[[#This Row],[Description]],75)</f>
        <v>CARGILL COCOA &amp;</v>
      </c>
      <c r="P1051" s="2" t="s">
        <v>2354</v>
      </c>
    </row>
    <row r="1052" spans="1:16" hidden="1">
      <c r="A1052" s="2">
        <v>201911</v>
      </c>
      <c r="B1052" s="3">
        <v>43770</v>
      </c>
      <c r="C1052" s="2" t="s">
        <v>64</v>
      </c>
      <c r="D1052" s="2" t="s">
        <v>354</v>
      </c>
      <c r="E1052" s="2">
        <v>-200</v>
      </c>
      <c r="F1052" s="2" t="s">
        <v>57</v>
      </c>
      <c r="J1052" s="2">
        <v>200</v>
      </c>
      <c r="K1052" s="2" t="b">
        <v>0</v>
      </c>
      <c r="L1052" s="2"/>
      <c r="M1052" s="2"/>
      <c r="N1052" s="4" t="s">
        <v>2273</v>
      </c>
      <c r="O1052" s="4" t="str">
        <f>LEFT(Table2[[#This Row],[Description]],75)</f>
        <v>CARGILL COCOA &amp;</v>
      </c>
      <c r="P1052" s="2" t="s">
        <v>2354</v>
      </c>
    </row>
    <row r="1053" spans="1:16" hidden="1">
      <c r="A1053" s="2">
        <v>201911</v>
      </c>
      <c r="B1053" s="3">
        <v>43770</v>
      </c>
      <c r="C1053" s="2" t="s">
        <v>2262</v>
      </c>
      <c r="D1053" s="2" t="s">
        <v>437</v>
      </c>
      <c r="E1053" s="2">
        <v>6.21</v>
      </c>
      <c r="F1053" s="2" t="s">
        <v>26</v>
      </c>
      <c r="J1053" s="2">
        <v>6.21</v>
      </c>
      <c r="K1053" s="2" t="b">
        <v>0</v>
      </c>
      <c r="L1053" s="2"/>
      <c r="M1053" s="2"/>
      <c r="N1053" s="4" t="s">
        <v>2259</v>
      </c>
      <c r="O1053" s="4" t="str">
        <f>LEFT(Table2[[#This Row],[Description]],75)</f>
        <v>CARGILL JAZZMA20029518 WAYZATA MN 262531390</v>
      </c>
      <c r="P1053" s="2" t="s">
        <v>2366</v>
      </c>
    </row>
    <row r="1054" spans="1:16" hidden="1">
      <c r="A1054" s="2">
        <v>201911</v>
      </c>
      <c r="B1054" s="3">
        <v>43770</v>
      </c>
      <c r="C1054" s="2" t="s">
        <v>2265</v>
      </c>
      <c r="D1054" s="2" t="s">
        <v>578</v>
      </c>
      <c r="E1054" s="2">
        <v>200</v>
      </c>
      <c r="F1054" s="2" t="s">
        <v>61</v>
      </c>
      <c r="J1054" s="2">
        <v>200</v>
      </c>
      <c r="K1054" s="2" t="b">
        <v>0</v>
      </c>
      <c r="L1054" s="2"/>
      <c r="M1054" s="2"/>
      <c r="N1054" s="4" t="s">
        <v>2259</v>
      </c>
      <c r="O1054" s="4" t="str">
        <f>LEFT(Table2[[#This Row],[Description]],75)</f>
        <v>College Savings TYPE ACH ID 550895818 CO College Savings ACH ECC PPD ACH Tr</v>
      </c>
      <c r="P1054" s="2" t="s">
        <v>2272</v>
      </c>
    </row>
    <row r="1055" spans="1:16" hidden="1">
      <c r="A1055" s="2">
        <v>201911</v>
      </c>
      <c r="B1055" s="3">
        <v>43770</v>
      </c>
      <c r="C1055" s="2" t="s">
        <v>2267</v>
      </c>
      <c r="D1055" s="2" t="s">
        <v>578</v>
      </c>
      <c r="E1055" s="2">
        <v>200</v>
      </c>
      <c r="F1055" s="2" t="s">
        <v>61</v>
      </c>
      <c r="J1055" s="2">
        <v>200</v>
      </c>
      <c r="K1055" s="2" t="b">
        <v>0</v>
      </c>
      <c r="L1055" s="2"/>
      <c r="M1055" s="2"/>
      <c r="N1055" s="4" t="s">
        <v>2259</v>
      </c>
      <c r="O1055" s="4" t="str">
        <f>LEFT(Table2[[#This Row],[Description]],75)</f>
        <v>College Savings TYPE ACH ID 550895818 CO College Savings ACH ECC PPD ACH Tr</v>
      </c>
      <c r="P1055" s="2" t="s">
        <v>2272</v>
      </c>
    </row>
    <row r="1056" spans="1:16" hidden="1">
      <c r="A1056" s="2">
        <v>201911</v>
      </c>
      <c r="B1056" s="3">
        <v>43770</v>
      </c>
      <c r="C1056" s="2" t="s">
        <v>2262</v>
      </c>
      <c r="D1056" s="2" t="s">
        <v>684</v>
      </c>
      <c r="E1056" s="2">
        <v>100.36</v>
      </c>
      <c r="F1056" s="2" t="s">
        <v>28</v>
      </c>
      <c r="J1056" s="2">
        <v>100.36</v>
      </c>
      <c r="K1056" s="2" t="b">
        <v>0</v>
      </c>
      <c r="L1056" s="2"/>
      <c r="M1056" s="2"/>
      <c r="N1056" s="4" t="s">
        <v>2259</v>
      </c>
      <c r="O1056" s="4" t="str">
        <f>LEFT(Table2[[#This Row],[Description]],75)</f>
        <v>Cub Foods</v>
      </c>
      <c r="P1056" s="2" t="s">
        <v>2370</v>
      </c>
    </row>
    <row r="1057" spans="1:16" hidden="1">
      <c r="A1057" s="2">
        <v>201911</v>
      </c>
      <c r="B1057" s="3">
        <v>43770</v>
      </c>
      <c r="C1057" s="2" t="s">
        <v>2290</v>
      </c>
      <c r="D1057" s="2" t="s">
        <v>839</v>
      </c>
      <c r="E1057" s="2">
        <v>-0.28000000000000003</v>
      </c>
      <c r="F1057" s="2" t="s">
        <v>54</v>
      </c>
      <c r="J1057" s="2">
        <v>0.28000000000000003</v>
      </c>
      <c r="K1057" s="2" t="b">
        <v>0</v>
      </c>
      <c r="L1057" s="2"/>
      <c r="M1057" s="2"/>
      <c r="N1057" s="4" t="s">
        <v>2273</v>
      </c>
      <c r="O1057" s="4" t="str">
        <f>LEFT(Table2[[#This Row],[Description]],75)</f>
        <v>FID 500 INDEX</v>
      </c>
      <c r="P1057" s="2" t="s">
        <v>2393</v>
      </c>
    </row>
    <row r="1058" spans="1:16" hidden="1">
      <c r="A1058" s="2">
        <v>201911</v>
      </c>
      <c r="B1058" s="3">
        <v>43770</v>
      </c>
      <c r="C1058" s="2" t="s">
        <v>2290</v>
      </c>
      <c r="D1058" s="2" t="s">
        <v>839</v>
      </c>
      <c r="E1058" s="2">
        <v>7.23</v>
      </c>
      <c r="F1058" s="2" t="s">
        <v>54</v>
      </c>
      <c r="J1058" s="2">
        <v>7.23</v>
      </c>
      <c r="K1058" s="2" t="b">
        <v>0</v>
      </c>
      <c r="L1058" s="2"/>
      <c r="M1058" s="2"/>
      <c r="N1058" s="4" t="s">
        <v>2259</v>
      </c>
      <c r="O1058" s="4" t="str">
        <f>LEFT(Table2[[#This Row],[Description]],75)</f>
        <v>FID 500 INDEX</v>
      </c>
      <c r="P1058" s="2" t="s">
        <v>2393</v>
      </c>
    </row>
    <row r="1059" spans="1:16" hidden="1">
      <c r="A1059" s="2">
        <v>201911</v>
      </c>
      <c r="B1059" s="3">
        <v>43770</v>
      </c>
      <c r="C1059" s="2" t="s">
        <v>2290</v>
      </c>
      <c r="D1059" s="2" t="s">
        <v>841</v>
      </c>
      <c r="E1059" s="2">
        <v>-0.17</v>
      </c>
      <c r="F1059" s="2" t="s">
        <v>9</v>
      </c>
      <c r="J1059" s="2">
        <v>0.17</v>
      </c>
      <c r="K1059" s="2" t="b">
        <v>0</v>
      </c>
      <c r="L1059" s="2"/>
      <c r="M1059" s="2"/>
      <c r="N1059" s="4" t="s">
        <v>2273</v>
      </c>
      <c r="O1059" s="4" t="str">
        <f>LEFT(Table2[[#This Row],[Description]],75)</f>
        <v>FID EXTD MKT IDX</v>
      </c>
      <c r="P1059" s="2" t="s">
        <v>2281</v>
      </c>
    </row>
    <row r="1060" spans="1:16" hidden="1">
      <c r="A1060" s="2">
        <v>201911</v>
      </c>
      <c r="B1060" s="3">
        <v>43770</v>
      </c>
      <c r="C1060" s="2" t="s">
        <v>2290</v>
      </c>
      <c r="D1060" s="2" t="s">
        <v>841</v>
      </c>
      <c r="E1060" s="2">
        <v>2.89</v>
      </c>
      <c r="F1060" s="2" t="s">
        <v>9</v>
      </c>
      <c r="J1060" s="2">
        <v>2.89</v>
      </c>
      <c r="K1060" s="2" t="b">
        <v>0</v>
      </c>
      <c r="L1060" s="2"/>
      <c r="M1060" s="2"/>
      <c r="N1060" s="4" t="s">
        <v>2259</v>
      </c>
      <c r="O1060" s="4" t="str">
        <f>LEFT(Table2[[#This Row],[Description]],75)</f>
        <v>FID EXTD MKT IDX</v>
      </c>
      <c r="P1060" s="2" t="s">
        <v>2394</v>
      </c>
    </row>
    <row r="1061" spans="1:16" hidden="1">
      <c r="A1061" s="2">
        <v>201911</v>
      </c>
      <c r="B1061" s="3">
        <v>43770</v>
      </c>
      <c r="C1061" s="2" t="s">
        <v>2314</v>
      </c>
      <c r="D1061" s="2" t="s">
        <v>863</v>
      </c>
      <c r="E1061" s="2">
        <v>-563.59</v>
      </c>
      <c r="F1061" s="2">
        <v>0</v>
      </c>
      <c r="J1061" s="2">
        <v>563.59</v>
      </c>
      <c r="K1061" s="2" t="b">
        <v>0</v>
      </c>
      <c r="L1061" s="2"/>
      <c r="M1061" s="2"/>
      <c r="N1061" s="4" t="s">
        <v>2273</v>
      </c>
      <c r="O1061" s="4" t="str">
        <f>LEFT(Table2[[#This Row],[Description]],75)</f>
        <v>From Share 70 262432476</v>
      </c>
      <c r="P1061" s="2"/>
    </row>
    <row r="1062" spans="1:16" hidden="1">
      <c r="A1062" s="2">
        <v>201911</v>
      </c>
      <c r="B1062" s="3">
        <v>43770</v>
      </c>
      <c r="C1062" s="2" t="s">
        <v>2315</v>
      </c>
      <c r="D1062" s="2" t="s">
        <v>863</v>
      </c>
      <c r="E1062" s="2">
        <v>-563.59</v>
      </c>
      <c r="F1062" s="2" t="s">
        <v>11</v>
      </c>
      <c r="J1062" s="2">
        <v>563.59</v>
      </c>
      <c r="K1062" s="2" t="b">
        <v>0</v>
      </c>
      <c r="L1062" s="2"/>
      <c r="M1062" s="2"/>
      <c r="N1062" s="4" t="s">
        <v>2273</v>
      </c>
      <c r="O1062" s="4" t="str">
        <f>LEFT(Table2[[#This Row],[Description]],75)</f>
        <v>From Share 70 262432476</v>
      </c>
      <c r="P1062" s="2" t="s">
        <v>2281</v>
      </c>
    </row>
    <row r="1063" spans="1:16" hidden="1">
      <c r="A1063" s="2">
        <v>201911</v>
      </c>
      <c r="B1063" s="3">
        <v>43770</v>
      </c>
      <c r="C1063" s="2" t="s">
        <v>2271</v>
      </c>
      <c r="D1063" s="2" t="s">
        <v>1345</v>
      </c>
      <c r="E1063" s="2">
        <v>71.569999999999993</v>
      </c>
      <c r="F1063" s="2" t="s">
        <v>26</v>
      </c>
      <c r="J1063" s="2">
        <v>71.569999999999993</v>
      </c>
      <c r="K1063" s="2" t="b">
        <v>0</v>
      </c>
      <c r="L1063" s="2"/>
      <c r="M1063" s="2"/>
      <c r="N1063" s="4" t="s">
        <v>2259</v>
      </c>
      <c r="O1063" s="4" t="str">
        <f>LEFT(Table2[[#This Row],[Description]],75)</f>
        <v>Naviya's</v>
      </c>
      <c r="P1063" s="2" t="s">
        <v>2281</v>
      </c>
    </row>
    <row r="1064" spans="1:16" hidden="1">
      <c r="A1064" s="2">
        <v>201911</v>
      </c>
      <c r="B1064" s="3">
        <v>43770</v>
      </c>
      <c r="C1064" s="2" t="s">
        <v>2317</v>
      </c>
      <c r="D1064" s="2" t="s">
        <v>1786</v>
      </c>
      <c r="E1064" s="2">
        <v>18.07</v>
      </c>
      <c r="F1064" s="2" t="s">
        <v>9</v>
      </c>
      <c r="J1064" s="2">
        <v>18.07</v>
      </c>
      <c r="K1064" s="2" t="b">
        <v>0</v>
      </c>
      <c r="L1064" s="2"/>
      <c r="M1064" s="2"/>
      <c r="N1064" s="4" t="s">
        <v>2259</v>
      </c>
      <c r="O1064" s="4" t="str">
        <f>LEFT(Table2[[#This Row],[Description]],75)</f>
        <v>STRYKER CORP</v>
      </c>
      <c r="P1064" s="2" t="s">
        <v>2385</v>
      </c>
    </row>
    <row r="1065" spans="1:16" hidden="1">
      <c r="A1065" s="2">
        <v>201911</v>
      </c>
      <c r="B1065" s="3">
        <v>43770</v>
      </c>
      <c r="C1065" s="2" t="s">
        <v>64</v>
      </c>
      <c r="D1065" s="2" t="s">
        <v>1786</v>
      </c>
      <c r="E1065" s="2">
        <v>18.07</v>
      </c>
      <c r="F1065" s="2" t="s">
        <v>9</v>
      </c>
      <c r="J1065" s="2">
        <v>18.07</v>
      </c>
      <c r="K1065" s="2" t="b">
        <v>0</v>
      </c>
      <c r="L1065" s="2"/>
      <c r="M1065" s="2"/>
      <c r="N1065" s="4" t="s">
        <v>2259</v>
      </c>
      <c r="O1065" s="4" t="str">
        <f>LEFT(Table2[[#This Row],[Description]],75)</f>
        <v>STRYKER CORP</v>
      </c>
      <c r="P1065" s="2" t="s">
        <v>2281</v>
      </c>
    </row>
    <row r="1066" spans="1:16" hidden="1">
      <c r="A1066" s="2">
        <v>201911</v>
      </c>
      <c r="B1066" s="3">
        <v>43770</v>
      </c>
      <c r="C1066" s="2" t="s">
        <v>2338</v>
      </c>
      <c r="D1066" s="2" t="s">
        <v>1820</v>
      </c>
      <c r="E1066" s="2">
        <v>-635</v>
      </c>
      <c r="F1066" s="2" t="s">
        <v>54</v>
      </c>
      <c r="J1066" s="2">
        <v>635</v>
      </c>
      <c r="K1066" s="2" t="b">
        <v>0</v>
      </c>
      <c r="L1066" s="2"/>
      <c r="M1066" s="2"/>
      <c r="N1066" s="4" t="s">
        <v>2273</v>
      </c>
      <c r="O1066" s="4" t="str">
        <f>LEFT(Table2[[#This Row],[Description]],75)</f>
        <v>Target Retire 2055 Tr P - Plan Contribution</v>
      </c>
      <c r="P1066" s="2" t="s">
        <v>2386</v>
      </c>
    </row>
    <row r="1067" spans="1:16" hidden="1">
      <c r="A1067" s="2">
        <v>201911</v>
      </c>
      <c r="B1067" s="3">
        <v>43770</v>
      </c>
      <c r="C1067" s="2" t="s">
        <v>2355</v>
      </c>
      <c r="D1067" s="2" t="s">
        <v>1834</v>
      </c>
      <c r="E1067" s="2">
        <v>-150</v>
      </c>
      <c r="F1067" s="2" t="s">
        <v>57</v>
      </c>
      <c r="J1067" s="2">
        <v>150</v>
      </c>
      <c r="K1067" s="2" t="b">
        <v>0</v>
      </c>
      <c r="L1067" s="2"/>
      <c r="M1067" s="2"/>
      <c r="N1067" s="4" t="s">
        <v>2273</v>
      </c>
      <c r="O1067" s="4" t="str">
        <f>LEFT(Table2[[#This Row],[Description]],75)</f>
        <v>Tfr JPMORGAN CHASE BAN, CARGILL COCOA &amp;</v>
      </c>
      <c r="P1067" s="2" t="s">
        <v>2356</v>
      </c>
    </row>
    <row r="1068" spans="1:16" hidden="1">
      <c r="A1068" s="2">
        <v>201911</v>
      </c>
      <c r="B1068" s="3">
        <v>43770</v>
      </c>
      <c r="C1068" s="2" t="s">
        <v>2277</v>
      </c>
      <c r="D1068" s="2" t="s">
        <v>1834</v>
      </c>
      <c r="E1068" s="2">
        <v>-150</v>
      </c>
      <c r="F1068" s="2" t="s">
        <v>57</v>
      </c>
      <c r="J1068" s="2">
        <v>150</v>
      </c>
      <c r="K1068" s="2" t="b">
        <v>0</v>
      </c>
      <c r="L1068" s="2"/>
      <c r="M1068" s="2"/>
      <c r="N1068" s="4" t="s">
        <v>2273</v>
      </c>
      <c r="O1068" s="4" t="str">
        <f>LEFT(Table2[[#This Row],[Description]],75)</f>
        <v>Tfr JPMORGAN CHASE BAN, CARGILL COCOA &amp;</v>
      </c>
      <c r="P1068" s="2" t="s">
        <v>2356</v>
      </c>
    </row>
    <row r="1069" spans="1:16" hidden="1">
      <c r="A1069" s="2">
        <v>201911</v>
      </c>
      <c r="B1069" s="3">
        <v>43770</v>
      </c>
      <c r="C1069" s="2" t="s">
        <v>2265</v>
      </c>
      <c r="D1069" s="2" t="s">
        <v>1881</v>
      </c>
      <c r="E1069" s="2">
        <v>618.65</v>
      </c>
      <c r="F1069" s="2" t="s">
        <v>11</v>
      </c>
      <c r="J1069" s="2">
        <v>618.65</v>
      </c>
      <c r="K1069" s="2" t="b">
        <v>0</v>
      </c>
      <c r="L1069" s="2"/>
      <c r="M1069" s="2"/>
      <c r="N1069" s="4" t="s">
        <v>2259</v>
      </c>
      <c r="O1069" s="4" t="str">
        <f>LEFT(Table2[[#This Row],[Description]],75)</f>
        <v>To Loan 02 262246147</v>
      </c>
      <c r="P1069" s="2" t="s">
        <v>2316</v>
      </c>
    </row>
    <row r="1070" spans="1:16" hidden="1">
      <c r="A1070" s="2">
        <v>201911</v>
      </c>
      <c r="B1070" s="3">
        <v>43770</v>
      </c>
      <c r="C1070" s="2" t="s">
        <v>2267</v>
      </c>
      <c r="D1070" s="2" t="s">
        <v>1881</v>
      </c>
      <c r="E1070" s="2">
        <v>618.65</v>
      </c>
      <c r="F1070" s="2" t="s">
        <v>11</v>
      </c>
      <c r="J1070" s="2">
        <v>618.65</v>
      </c>
      <c r="K1070" s="2" t="b">
        <v>0</v>
      </c>
      <c r="L1070" s="2"/>
      <c r="M1070" s="2"/>
      <c r="N1070" s="4" t="s">
        <v>2259</v>
      </c>
      <c r="O1070" s="4" t="str">
        <f>LEFT(Table2[[#This Row],[Description]],75)</f>
        <v>To Loan 02 262246147</v>
      </c>
      <c r="P1070" s="2" t="s">
        <v>2316</v>
      </c>
    </row>
    <row r="1071" spans="1:16" hidden="1">
      <c r="A1071" s="2">
        <v>201911</v>
      </c>
      <c r="B1071" s="3">
        <v>43770</v>
      </c>
      <c r="C1071" s="2" t="s">
        <v>2265</v>
      </c>
      <c r="D1071" s="2" t="s">
        <v>1952</v>
      </c>
      <c r="E1071" s="2">
        <v>374.93</v>
      </c>
      <c r="F1071" s="2" t="s">
        <v>9</v>
      </c>
      <c r="J1071" s="2">
        <v>374.93</v>
      </c>
      <c r="K1071" s="2" t="b">
        <v>0</v>
      </c>
      <c r="L1071" s="2"/>
      <c r="M1071" s="2"/>
      <c r="N1071" s="4" t="s">
        <v>2259</v>
      </c>
      <c r="O1071" s="4" t="str">
        <f>LEFT(Table2[[#This Row],[Description]],75)</f>
        <v>Transfer to Discover More Card</v>
      </c>
      <c r="P1071" s="2" t="s">
        <v>2360</v>
      </c>
    </row>
    <row r="1072" spans="1:16" hidden="1">
      <c r="A1072" s="2">
        <v>201911</v>
      </c>
      <c r="B1072" s="3">
        <v>43770</v>
      </c>
      <c r="C1072" s="2" t="s">
        <v>2267</v>
      </c>
      <c r="D1072" s="2" t="s">
        <v>1952</v>
      </c>
      <c r="E1072" s="2">
        <v>374.93</v>
      </c>
      <c r="F1072" s="2" t="s">
        <v>9</v>
      </c>
      <c r="J1072" s="2">
        <v>374.93</v>
      </c>
      <c r="K1072" s="2" t="b">
        <v>0</v>
      </c>
      <c r="L1072" s="2"/>
      <c r="M1072" s="2"/>
      <c r="N1072" s="4" t="s">
        <v>2259</v>
      </c>
      <c r="O1072" s="4" t="str">
        <f>LEFT(Table2[[#This Row],[Description]],75)</f>
        <v>Transfer to Discover More Card</v>
      </c>
      <c r="P1072" s="2" t="s">
        <v>2360</v>
      </c>
    </row>
    <row r="1073" spans="1:16" hidden="1">
      <c r="A1073" s="2">
        <v>201911</v>
      </c>
      <c r="B1073" s="3">
        <v>43770</v>
      </c>
      <c r="C1073" s="2" t="s">
        <v>2290</v>
      </c>
      <c r="D1073" s="2" t="s">
        <v>2106</v>
      </c>
      <c r="E1073" s="2">
        <v>-1.99</v>
      </c>
      <c r="F1073" s="2" t="s">
        <v>54</v>
      </c>
      <c r="J1073" s="2">
        <v>1.99</v>
      </c>
      <c r="K1073" s="2" t="b">
        <v>0</v>
      </c>
      <c r="L1073" s="2"/>
      <c r="M1073" s="2"/>
      <c r="N1073" s="4" t="s">
        <v>2273</v>
      </c>
      <c r="O1073" s="4" t="str">
        <f>LEFT(Table2[[#This Row],[Description]],75)</f>
        <v>VANG TARGET RET 2050</v>
      </c>
      <c r="P1073" s="2" t="s">
        <v>2388</v>
      </c>
    </row>
    <row r="1074" spans="1:16" hidden="1">
      <c r="A1074" s="2">
        <v>201911</v>
      </c>
      <c r="B1074" s="3">
        <v>43770</v>
      </c>
      <c r="C1074" s="2" t="s">
        <v>2290</v>
      </c>
      <c r="D1074" s="2" t="s">
        <v>2106</v>
      </c>
      <c r="E1074" s="2">
        <v>19.63</v>
      </c>
      <c r="F1074" s="2" t="s">
        <v>54</v>
      </c>
      <c r="J1074" s="2">
        <v>19.63</v>
      </c>
      <c r="K1074" s="2" t="b">
        <v>0</v>
      </c>
      <c r="L1074" s="2"/>
      <c r="M1074" s="2"/>
      <c r="N1074" s="4" t="s">
        <v>2259</v>
      </c>
      <c r="O1074" s="4" t="str">
        <f>LEFT(Table2[[#This Row],[Description]],75)</f>
        <v>VANG TARGET RET 2050</v>
      </c>
      <c r="P1074" s="2" t="s">
        <v>2388</v>
      </c>
    </row>
    <row r="1075" spans="1:16" hidden="1">
      <c r="A1075" s="2">
        <v>201911</v>
      </c>
      <c r="B1075" s="3">
        <v>43770</v>
      </c>
      <c r="C1075" s="2" t="s">
        <v>2265</v>
      </c>
      <c r="D1075" s="2" t="s">
        <v>2109</v>
      </c>
      <c r="E1075" s="2">
        <v>30</v>
      </c>
      <c r="F1075" s="2">
        <v>0</v>
      </c>
      <c r="J1075" s="2">
        <v>30</v>
      </c>
      <c r="K1075" s="2" t="b">
        <v>0</v>
      </c>
      <c r="L1075" s="2"/>
      <c r="M1075" s="2"/>
      <c r="N1075" s="4" t="s">
        <v>2259</v>
      </c>
      <c r="O1075" s="4" t="str">
        <f>LEFT(Table2[[#This Row],[Description]],75)</f>
        <v>Venmo</v>
      </c>
      <c r="P1075" s="2"/>
    </row>
    <row r="1076" spans="1:16" hidden="1">
      <c r="A1076" s="2">
        <v>201911</v>
      </c>
      <c r="B1076" s="3">
        <v>43770</v>
      </c>
      <c r="C1076" s="2" t="s">
        <v>2267</v>
      </c>
      <c r="D1076" s="2" t="s">
        <v>2109</v>
      </c>
      <c r="E1076" s="2">
        <v>30</v>
      </c>
      <c r="F1076" s="2" t="s">
        <v>21</v>
      </c>
      <c r="J1076" s="2">
        <v>30</v>
      </c>
      <c r="K1076" s="2" t="b">
        <v>0</v>
      </c>
      <c r="L1076" s="2"/>
      <c r="M1076" s="2"/>
      <c r="N1076" s="4" t="s">
        <v>2259</v>
      </c>
      <c r="O1076" s="4" t="str">
        <f>LEFT(Table2[[#This Row],[Description]],75)</f>
        <v>Venmo</v>
      </c>
      <c r="P1076" s="2" t="s">
        <v>2281</v>
      </c>
    </row>
    <row r="1077" spans="1:16" hidden="1">
      <c r="A1077" s="2">
        <v>201911</v>
      </c>
      <c r="B1077" s="3">
        <v>43772</v>
      </c>
      <c r="C1077" s="2" t="s">
        <v>2271</v>
      </c>
      <c r="D1077" s="2" t="s">
        <v>504</v>
      </c>
      <c r="E1077" s="2">
        <v>-2.1800000000000002</v>
      </c>
      <c r="F1077" s="2" t="s">
        <v>21</v>
      </c>
      <c r="J1077" s="2">
        <v>2.1800000000000002</v>
      </c>
      <c r="K1077" s="2" t="b">
        <v>0</v>
      </c>
      <c r="L1077" s="2"/>
      <c r="M1077" s="2"/>
      <c r="N1077" s="4" t="s">
        <v>2273</v>
      </c>
      <c r="O1077" s="4" t="str">
        <f>LEFT(Table2[[#This Row],[Description]],75)</f>
        <v>CENTRAL CHECKOUT 79999999307135212640720</v>
      </c>
      <c r="P1077" s="2" t="s">
        <v>2395</v>
      </c>
    </row>
    <row r="1078" spans="1:16" hidden="1">
      <c r="A1078" s="2">
        <v>201911</v>
      </c>
      <c r="B1078" s="3">
        <v>43772</v>
      </c>
      <c r="C1078" s="2" t="s">
        <v>2258</v>
      </c>
      <c r="D1078" s="2" t="s">
        <v>947</v>
      </c>
      <c r="E1078" s="2">
        <v>13.82</v>
      </c>
      <c r="F1078" s="2" t="s">
        <v>2</v>
      </c>
      <c r="J1078" s="2">
        <v>13.82</v>
      </c>
      <c r="K1078" s="2" t="b">
        <v>0</v>
      </c>
      <c r="L1078" s="2"/>
      <c r="M1078" s="2"/>
      <c r="N1078" s="4" t="s">
        <v>2259</v>
      </c>
      <c r="O1078" s="4" t="str">
        <f>LEFT(Table2[[#This Row],[Description]],75)</f>
        <v>Home Depot</v>
      </c>
      <c r="P1078" s="2" t="s">
        <v>2396</v>
      </c>
    </row>
    <row r="1079" spans="1:16" hidden="1">
      <c r="A1079" s="2">
        <v>201911</v>
      </c>
      <c r="B1079" s="3">
        <v>43772</v>
      </c>
      <c r="C1079" s="2" t="s">
        <v>2261</v>
      </c>
      <c r="D1079" s="2" t="s">
        <v>947</v>
      </c>
      <c r="E1079" s="2">
        <v>13.82</v>
      </c>
      <c r="F1079" s="2" t="s">
        <v>2</v>
      </c>
      <c r="J1079" s="2">
        <v>13.82</v>
      </c>
      <c r="K1079" s="2" t="b">
        <v>0</v>
      </c>
      <c r="L1079" s="2"/>
      <c r="M1079" s="2"/>
      <c r="N1079" s="4" t="s">
        <v>2259</v>
      </c>
      <c r="O1079" s="4" t="str">
        <f>LEFT(Table2[[#This Row],[Description]],75)</f>
        <v>Home Depot</v>
      </c>
      <c r="P1079" s="2" t="s">
        <v>2396</v>
      </c>
    </row>
    <row r="1080" spans="1:16" hidden="1">
      <c r="A1080" s="2">
        <v>201911</v>
      </c>
      <c r="B1080" s="3">
        <v>43772</v>
      </c>
      <c r="C1080" s="2" t="s">
        <v>2262</v>
      </c>
      <c r="D1080" s="2" t="s">
        <v>1109</v>
      </c>
      <c r="E1080" s="2">
        <v>3.68</v>
      </c>
      <c r="F1080" s="2" t="s">
        <v>26</v>
      </c>
      <c r="J1080" s="2">
        <v>3.68</v>
      </c>
      <c r="K1080" s="2" t="b">
        <v>0</v>
      </c>
      <c r="L1080" s="2"/>
      <c r="M1080" s="2"/>
      <c r="N1080" s="4" t="s">
        <v>2259</v>
      </c>
      <c r="O1080" s="4" t="str">
        <f>LEFT(Table2[[#This Row],[Description]],75)</f>
        <v>LIFE TIME CAFE 151Q48 CHANHASSEN MN 263027716</v>
      </c>
      <c r="P1080" s="2" t="s">
        <v>2376</v>
      </c>
    </row>
    <row r="1081" spans="1:16" hidden="1">
      <c r="A1081" s="2">
        <v>201911</v>
      </c>
      <c r="B1081" s="3">
        <v>43772</v>
      </c>
      <c r="C1081" s="2" t="s">
        <v>2262</v>
      </c>
      <c r="D1081" s="2" t="s">
        <v>1148</v>
      </c>
      <c r="E1081" s="2">
        <v>106.31</v>
      </c>
      <c r="F1081" s="2" t="s">
        <v>34</v>
      </c>
      <c r="J1081" s="2">
        <v>106.31</v>
      </c>
      <c r="K1081" s="2" t="b">
        <v>0</v>
      </c>
      <c r="L1081" s="2"/>
      <c r="M1081" s="2"/>
      <c r="N1081" s="4" t="s">
        <v>2259</v>
      </c>
      <c r="O1081" s="4" t="str">
        <f>LEFT(Table2[[#This Row],[Description]],75)</f>
        <v>LTFLIFE TIME MO DUES 8884306432 MN 263027715</v>
      </c>
      <c r="P1081" s="2" t="s">
        <v>2397</v>
      </c>
    </row>
    <row r="1082" spans="1:16" hidden="1">
      <c r="A1082" s="2">
        <v>201911</v>
      </c>
      <c r="B1082" s="3">
        <v>43772</v>
      </c>
      <c r="C1082" s="2" t="s">
        <v>2271</v>
      </c>
      <c r="D1082" s="2" t="s">
        <v>31</v>
      </c>
      <c r="E1082" s="2">
        <v>70.92</v>
      </c>
      <c r="F1082" s="2" t="s">
        <v>31</v>
      </c>
      <c r="J1082" s="2">
        <v>70.92</v>
      </c>
      <c r="K1082" s="2" t="b">
        <v>0</v>
      </c>
      <c r="L1082" s="2"/>
      <c r="M1082" s="2"/>
      <c r="N1082" s="4" t="s">
        <v>2259</v>
      </c>
      <c r="O1082" s="4" t="str">
        <f>LEFT(Table2[[#This Row],[Description]],75)</f>
        <v>Target</v>
      </c>
      <c r="P1082" s="2" t="s">
        <v>2309</v>
      </c>
    </row>
    <row r="1083" spans="1:16" hidden="1">
      <c r="A1083" s="2">
        <v>201911</v>
      </c>
      <c r="B1083" s="3">
        <v>43773</v>
      </c>
      <c r="C1083" s="2" t="s">
        <v>2270</v>
      </c>
      <c r="D1083" s="2" t="s">
        <v>1416</v>
      </c>
      <c r="E1083" s="2">
        <v>-540.19000000000005</v>
      </c>
      <c r="F1083" s="2">
        <v>0</v>
      </c>
      <c r="J1083" s="2">
        <v>540.19000000000005</v>
      </c>
      <c r="K1083" s="2" t="b">
        <v>0</v>
      </c>
      <c r="L1083" s="2"/>
      <c r="M1083" s="2"/>
      <c r="N1083" s="4" t="s">
        <v>2273</v>
      </c>
      <c r="O1083" s="4" t="str">
        <f>LEFT(Table2[[#This Row],[Description]],75)</f>
        <v>PAYMENT 264572815</v>
      </c>
      <c r="P1083" s="2"/>
    </row>
    <row r="1084" spans="1:16" hidden="1">
      <c r="A1084" s="2">
        <v>202003</v>
      </c>
      <c r="B1084" s="3">
        <v>43894</v>
      </c>
      <c r="C1084" s="2" t="s">
        <v>2265</v>
      </c>
      <c r="D1084" s="2" t="s">
        <v>264</v>
      </c>
      <c r="E1084" s="2">
        <v>2914.59</v>
      </c>
      <c r="F1084" s="2" t="e">
        <f>IF(Table2[[#This Row],[Manual Cat Value]]="",VLOOKUP(Table2[[#This Row],[Description]],'Actuals Lookup'!D:F,3,0),Table2[[#This Row],[Manual Cat Value]])</f>
        <v>#N/A</v>
      </c>
      <c r="J1084" s="2">
        <v>2914.59</v>
      </c>
      <c r="K1084" s="2" t="b">
        <v>0</v>
      </c>
      <c r="L1084" s="2"/>
      <c r="M1084" s="2"/>
      <c r="N1084" s="4" t="s">
        <v>2259</v>
      </c>
      <c r="O1084" s="4" t="str">
        <f>LEFT(Table2[[#This Row],[Description]],75)</f>
        <v>BCU MORTGAGE TYPE LOAN PAYMT ID 9DRAFTING CO BCU MORTGAGE ACH ECC WEB ACH T</v>
      </c>
      <c r="P1084" s="2" t="s">
        <v>2345</v>
      </c>
    </row>
    <row r="1085" spans="1:16" hidden="1">
      <c r="A1085" s="2">
        <v>201912</v>
      </c>
      <c r="B1085" s="3">
        <v>43803</v>
      </c>
      <c r="C1085" s="2" t="s">
        <v>2265</v>
      </c>
      <c r="D1085" s="2" t="s">
        <v>265</v>
      </c>
      <c r="E1085" s="2">
        <v>2914.59</v>
      </c>
      <c r="F1085" s="2" t="s">
        <v>5</v>
      </c>
      <c r="J1085" s="2">
        <v>2914.59</v>
      </c>
      <c r="K1085" s="2" t="b">
        <v>0</v>
      </c>
      <c r="L1085" s="2"/>
      <c r="M1085" s="2"/>
      <c r="N1085" s="4" t="s">
        <v>2259</v>
      </c>
      <c r="O1085" s="4" t="str">
        <f>LEFT(Table2[[#This Row],[Description]],75)</f>
        <v>BCU MORTGAGE TYPE LOAN PAYMT ID 9DRAFTING CO BCU MORTGAGE ACH ECC WEB ACH T</v>
      </c>
      <c r="P1085" s="2" t="s">
        <v>2345</v>
      </c>
    </row>
    <row r="1086" spans="1:16" hidden="1">
      <c r="A1086" s="2">
        <v>201911</v>
      </c>
      <c r="B1086" s="3">
        <v>43773</v>
      </c>
      <c r="C1086" s="2" t="s">
        <v>2317</v>
      </c>
      <c r="D1086" s="2" t="s">
        <v>93</v>
      </c>
      <c r="E1086" s="2">
        <v>118.12</v>
      </c>
      <c r="F1086" s="2" t="s">
        <v>69</v>
      </c>
      <c r="J1086" s="2">
        <v>118.12</v>
      </c>
      <c r="K1086" s="2" t="b">
        <v>0</v>
      </c>
      <c r="L1086" s="2"/>
      <c r="M1086" s="2"/>
      <c r="N1086" s="4" t="s">
        <v>2259</v>
      </c>
      <c r="O1086" s="4" t="str">
        <f>LEFT(Table2[[#This Row],[Description]],75)</f>
        <v>A T &amp; T INC</v>
      </c>
      <c r="P1086" s="2" t="s">
        <v>2392</v>
      </c>
    </row>
    <row r="1087" spans="1:16" hidden="1">
      <c r="A1087" s="2">
        <v>201911</v>
      </c>
      <c r="B1087" s="3">
        <v>43773</v>
      </c>
      <c r="C1087" s="2" t="s">
        <v>64</v>
      </c>
      <c r="D1087" s="2" t="s">
        <v>93</v>
      </c>
      <c r="E1087" s="2">
        <v>118.12</v>
      </c>
      <c r="F1087" s="2" t="s">
        <v>9</v>
      </c>
      <c r="J1087" s="2">
        <v>118.12</v>
      </c>
      <c r="K1087" s="2" t="b">
        <v>0</v>
      </c>
      <c r="L1087" s="2"/>
      <c r="M1087" s="2"/>
      <c r="N1087" s="4" t="s">
        <v>2259</v>
      </c>
      <c r="O1087" s="4" t="str">
        <f>LEFT(Table2[[#This Row],[Description]],75)</f>
        <v>A T &amp; T INC</v>
      </c>
      <c r="P1087" s="2" t="s">
        <v>2398</v>
      </c>
    </row>
    <row r="1088" spans="1:16" hidden="1">
      <c r="A1088" s="2">
        <v>201911</v>
      </c>
      <c r="B1088" s="3">
        <v>43773</v>
      </c>
      <c r="C1088" s="2" t="s">
        <v>2265</v>
      </c>
      <c r="D1088" s="2" t="s">
        <v>208</v>
      </c>
      <c r="E1088" s="2">
        <v>385.69</v>
      </c>
      <c r="F1088" s="2" t="s">
        <v>21</v>
      </c>
      <c r="J1088" s="2">
        <v>385.69</v>
      </c>
      <c r="K1088" s="2" t="b">
        <v>0</v>
      </c>
      <c r="L1088" s="2"/>
      <c r="M1088" s="2"/>
      <c r="N1088" s="4" t="s">
        <v>2259</v>
      </c>
      <c r="O1088" s="4" t="str">
        <f>LEFT(Table2[[#This Row],[Description]],75)</f>
        <v>Banana Visa TYPE BR EPAY ID CO Banana Visa ACH ECC WEB ACH Trace 59069 2630</v>
      </c>
      <c r="P1088" s="2" t="s">
        <v>2297</v>
      </c>
    </row>
    <row r="1089" spans="1:16" hidden="1">
      <c r="A1089" s="2">
        <v>201911</v>
      </c>
      <c r="B1089" s="3">
        <v>43773</v>
      </c>
      <c r="C1089" s="2" t="s">
        <v>2267</v>
      </c>
      <c r="D1089" s="2" t="s">
        <v>208</v>
      </c>
      <c r="E1089" s="2">
        <v>385.69</v>
      </c>
      <c r="F1089" s="2" t="s">
        <v>21</v>
      </c>
      <c r="J1089" s="2">
        <v>385.69</v>
      </c>
      <c r="K1089" s="2" t="b">
        <v>0</v>
      </c>
      <c r="L1089" s="2"/>
      <c r="M1089" s="2"/>
      <c r="N1089" s="4" t="s">
        <v>2259</v>
      </c>
      <c r="O1089" s="4" t="str">
        <f>LEFT(Table2[[#This Row],[Description]],75)</f>
        <v>Banana Visa TYPE BR EPAY ID CO Banana Visa ACH ECC WEB ACH Trace 59069 2630</v>
      </c>
      <c r="P1089" s="2" t="s">
        <v>2297</v>
      </c>
    </row>
    <row r="1090" spans="1:16" hidden="1">
      <c r="A1090" s="2">
        <v>201911</v>
      </c>
      <c r="B1090" s="3">
        <v>43773</v>
      </c>
      <c r="C1090" s="2" t="s">
        <v>2265</v>
      </c>
      <c r="D1090" s="2" t="s">
        <v>666</v>
      </c>
      <c r="E1090" s="2">
        <v>44.32</v>
      </c>
      <c r="F1090" s="2" t="s">
        <v>7</v>
      </c>
      <c r="J1090" s="2">
        <v>44.32</v>
      </c>
      <c r="K1090" s="2" t="b">
        <v>0</v>
      </c>
      <c r="L1090" s="2"/>
      <c r="M1090" s="2"/>
      <c r="N1090" s="4" t="s">
        <v>2259</v>
      </c>
      <c r="O1090" s="4" t="str">
        <f>LEFT(Table2[[#This Row],[Description]],75)</f>
        <v xml:space="preserve">CPENERGY MNGCO TYPE MGC ACH EB ID 176051140S CO CPENERGY MNGCO ACH ECC WEB </v>
      </c>
      <c r="P1090" s="2" t="s">
        <v>2399</v>
      </c>
    </row>
    <row r="1091" spans="1:16" hidden="1">
      <c r="A1091" s="2">
        <v>201911</v>
      </c>
      <c r="B1091" s="3">
        <v>43773</v>
      </c>
      <c r="C1091" s="2" t="s">
        <v>2267</v>
      </c>
      <c r="D1091" s="2" t="s">
        <v>666</v>
      </c>
      <c r="E1091" s="2">
        <v>44.32</v>
      </c>
      <c r="F1091" s="2" t="s">
        <v>9</v>
      </c>
      <c r="J1091" s="2">
        <v>44.32</v>
      </c>
      <c r="K1091" s="2" t="b">
        <v>0</v>
      </c>
      <c r="L1091" s="2"/>
      <c r="M1091" s="2"/>
      <c r="N1091" s="4" t="s">
        <v>2259</v>
      </c>
      <c r="O1091" s="4" t="str">
        <f>LEFT(Table2[[#This Row],[Description]],75)</f>
        <v xml:space="preserve">CPENERGY MNGCO TYPE MGC ACH EB ID 176051140S CO CPENERGY MNGCO ACH ECC WEB </v>
      </c>
      <c r="P1091" s="2" t="s">
        <v>2281</v>
      </c>
    </row>
    <row r="1092" spans="1:16" hidden="1">
      <c r="A1092" s="2">
        <v>201911</v>
      </c>
      <c r="B1092" s="3">
        <v>43773</v>
      </c>
      <c r="C1092" s="2" t="s">
        <v>2262</v>
      </c>
      <c r="D1092" s="2" t="s">
        <v>885</v>
      </c>
      <c r="E1092" s="2">
        <v>170.01</v>
      </c>
      <c r="F1092" s="2" t="s">
        <v>21</v>
      </c>
      <c r="J1092" s="2">
        <v>170.01</v>
      </c>
      <c r="K1092" s="2" t="b">
        <v>0</v>
      </c>
      <c r="L1092" s="2"/>
      <c r="M1092" s="2"/>
      <c r="N1092" s="4" t="s">
        <v>2259</v>
      </c>
      <c r="O1092" s="4" t="str">
        <f>LEFT(Table2[[#This Row],[Description]],75)</f>
        <v>GANDER 682 EDEN PRAIRE MN 263247602</v>
      </c>
      <c r="P1092" s="2" t="s">
        <v>2400</v>
      </c>
    </row>
    <row r="1093" spans="1:16" hidden="1">
      <c r="A1093" s="2">
        <v>201911</v>
      </c>
      <c r="B1093" s="3">
        <v>43773</v>
      </c>
      <c r="C1093" s="2" t="s">
        <v>2258</v>
      </c>
      <c r="D1093" s="2" t="s">
        <v>1070</v>
      </c>
      <c r="E1093" s="2">
        <v>17.5</v>
      </c>
      <c r="F1093" s="2">
        <v>0</v>
      </c>
      <c r="J1093" s="2">
        <v>17.5</v>
      </c>
      <c r="K1093" s="2" t="b">
        <v>0</v>
      </c>
      <c r="L1093" s="2"/>
      <c r="M1093" s="2"/>
      <c r="N1093" s="4" t="s">
        <v>2259</v>
      </c>
      <c r="O1093" s="4" t="str">
        <f>LEFT(Table2[[#This Row],[Description]],75)</f>
        <v>KIDS HAIR CH CHANHASSEN MN</v>
      </c>
      <c r="P1093" s="2"/>
    </row>
    <row r="1094" spans="1:16" hidden="1">
      <c r="A1094" s="2">
        <v>201911</v>
      </c>
      <c r="B1094" s="3">
        <v>43773</v>
      </c>
      <c r="C1094" s="2" t="s">
        <v>2261</v>
      </c>
      <c r="D1094" s="2" t="s">
        <v>1070</v>
      </c>
      <c r="E1094" s="2">
        <v>17.5</v>
      </c>
      <c r="F1094" s="2" t="s">
        <v>29</v>
      </c>
      <c r="J1094" s="2">
        <v>17.5</v>
      </c>
      <c r="K1094" s="2" t="b">
        <v>0</v>
      </c>
      <c r="L1094" s="2"/>
      <c r="M1094" s="2"/>
      <c r="N1094" s="4" t="s">
        <v>2259</v>
      </c>
      <c r="O1094" s="4" t="str">
        <f>LEFT(Table2[[#This Row],[Description]],75)</f>
        <v>KIDS HAIR CH CHANHASSEN MN</v>
      </c>
      <c r="P1094" s="2" t="s">
        <v>2281</v>
      </c>
    </row>
    <row r="1095" spans="1:16" hidden="1">
      <c r="A1095" s="2">
        <v>201911</v>
      </c>
      <c r="B1095" s="3">
        <v>43773</v>
      </c>
      <c r="C1095" s="2" t="s">
        <v>2258</v>
      </c>
      <c r="D1095" s="2" t="s">
        <v>2101</v>
      </c>
      <c r="E1095" s="2">
        <v>55</v>
      </c>
      <c r="F1095" s="2">
        <v>0</v>
      </c>
      <c r="J1095" s="2">
        <v>55</v>
      </c>
      <c r="K1095" s="2" t="b">
        <v>0</v>
      </c>
      <c r="L1095" s="2"/>
      <c r="M1095" s="2"/>
      <c r="N1095" s="4" t="s">
        <v>2259</v>
      </c>
      <c r="O1095" s="4" t="str">
        <f>LEFT(Table2[[#This Row],[Description]],75)</f>
        <v>USPS</v>
      </c>
      <c r="P1095" s="2"/>
    </row>
    <row r="1096" spans="1:16" hidden="1">
      <c r="A1096" s="2">
        <v>201911</v>
      </c>
      <c r="B1096" s="3">
        <v>43773</v>
      </c>
      <c r="C1096" s="2" t="s">
        <v>2261</v>
      </c>
      <c r="D1096" s="2" t="s">
        <v>2101</v>
      </c>
      <c r="E1096" s="2">
        <v>55</v>
      </c>
      <c r="F1096" s="2" t="s">
        <v>29</v>
      </c>
      <c r="J1096" s="2">
        <v>55</v>
      </c>
      <c r="K1096" s="2" t="b">
        <v>0</v>
      </c>
      <c r="L1096" s="2"/>
      <c r="M1096" s="2"/>
      <c r="N1096" s="4" t="s">
        <v>2259</v>
      </c>
      <c r="O1096" s="4" t="str">
        <f>LEFT(Table2[[#This Row],[Description]],75)</f>
        <v>USPS</v>
      </c>
      <c r="P1096" s="2" t="s">
        <v>2281</v>
      </c>
    </row>
    <row r="1097" spans="1:16" hidden="1">
      <c r="A1097" s="2">
        <v>201911</v>
      </c>
      <c r="B1097" s="3">
        <v>43774</v>
      </c>
      <c r="C1097" s="2" t="s">
        <v>2275</v>
      </c>
      <c r="D1097" s="2" t="s">
        <v>1633</v>
      </c>
      <c r="E1097" s="2">
        <v>150</v>
      </c>
      <c r="F1097" s="2" t="s">
        <v>9</v>
      </c>
      <c r="J1097" s="2">
        <v>150</v>
      </c>
      <c r="K1097" s="2" t="b">
        <v>0</v>
      </c>
      <c r="L1097" s="2"/>
      <c r="M1097" s="2"/>
      <c r="N1097" s="4" t="s">
        <v>2259</v>
      </c>
      <c r="O1097" s="4" t="str">
        <f>LEFT(Table2[[#This Row],[Description]],75)</f>
        <v>SCHWAB S&amp;P 500 INDEX FD</v>
      </c>
      <c r="P1097" s="2" t="s">
        <v>2276</v>
      </c>
    </row>
    <row r="1098" spans="1:16" hidden="1">
      <c r="A1098" s="2">
        <v>201911</v>
      </c>
      <c r="B1098" s="3">
        <v>43774</v>
      </c>
      <c r="C1098" s="2" t="s">
        <v>2277</v>
      </c>
      <c r="D1098" s="2" t="s">
        <v>1633</v>
      </c>
      <c r="E1098" s="2">
        <v>150</v>
      </c>
      <c r="F1098" s="2" t="s">
        <v>9</v>
      </c>
      <c r="J1098" s="2">
        <v>150</v>
      </c>
      <c r="K1098" s="2" t="b">
        <v>0</v>
      </c>
      <c r="L1098" s="2"/>
      <c r="M1098" s="2"/>
      <c r="N1098" s="4" t="s">
        <v>2259</v>
      </c>
      <c r="O1098" s="4" t="str">
        <f>LEFT(Table2[[#This Row],[Description]],75)</f>
        <v>SCHWAB S&amp;P 500 INDEX FD</v>
      </c>
      <c r="P1098" s="2" t="s">
        <v>2276</v>
      </c>
    </row>
    <row r="1099" spans="1:16" hidden="1">
      <c r="A1099" s="2">
        <v>201911</v>
      </c>
      <c r="B1099" s="3">
        <v>43774</v>
      </c>
      <c r="C1099" s="2" t="s">
        <v>2355</v>
      </c>
      <c r="D1099" s="2" t="s">
        <v>1635</v>
      </c>
      <c r="E1099" s="2">
        <v>150</v>
      </c>
      <c r="F1099" s="2" t="s">
        <v>9</v>
      </c>
      <c r="J1099" s="2">
        <v>150</v>
      </c>
      <c r="K1099" s="2" t="b">
        <v>0</v>
      </c>
      <c r="L1099" s="2"/>
      <c r="M1099" s="2"/>
      <c r="N1099" s="4" t="s">
        <v>2259</v>
      </c>
      <c r="O1099" s="4" t="str">
        <f>LEFT(Table2[[#This Row],[Description]],75)</f>
        <v>SCHWAB TOTAL STOCK MKT INDEX</v>
      </c>
      <c r="P1099" s="2" t="s">
        <v>2278</v>
      </c>
    </row>
    <row r="1100" spans="1:16" hidden="1">
      <c r="A1100" s="2">
        <v>201911</v>
      </c>
      <c r="B1100" s="3">
        <v>43774</v>
      </c>
      <c r="C1100" s="2" t="s">
        <v>2275</v>
      </c>
      <c r="D1100" s="2" t="s">
        <v>1635</v>
      </c>
      <c r="E1100" s="2">
        <v>150</v>
      </c>
      <c r="F1100" s="2" t="s">
        <v>9</v>
      </c>
      <c r="J1100" s="2">
        <v>150</v>
      </c>
      <c r="K1100" s="2" t="b">
        <v>0</v>
      </c>
      <c r="L1100" s="2"/>
      <c r="M1100" s="2"/>
      <c r="N1100" s="4" t="s">
        <v>2259</v>
      </c>
      <c r="O1100" s="4" t="str">
        <f>LEFT(Table2[[#This Row],[Description]],75)</f>
        <v>SCHWAB TOTAL STOCK MKT INDEX</v>
      </c>
      <c r="P1100" s="2" t="s">
        <v>2278</v>
      </c>
    </row>
    <row r="1101" spans="1:16" hidden="1">
      <c r="A1101" s="2">
        <v>201911</v>
      </c>
      <c r="B1101" s="3">
        <v>43774</v>
      </c>
      <c r="C1101" s="2" t="s">
        <v>2277</v>
      </c>
      <c r="D1101" s="2" t="s">
        <v>1635</v>
      </c>
      <c r="E1101" s="2">
        <v>150</v>
      </c>
      <c r="F1101" s="2" t="s">
        <v>9</v>
      </c>
      <c r="J1101" s="2">
        <v>150</v>
      </c>
      <c r="K1101" s="2" t="b">
        <v>0</v>
      </c>
      <c r="L1101" s="2"/>
      <c r="M1101" s="2"/>
      <c r="N1101" s="4" t="s">
        <v>2259</v>
      </c>
      <c r="O1101" s="4" t="str">
        <f>LEFT(Table2[[#This Row],[Description]],75)</f>
        <v>SCHWAB TOTAL STOCK MKT INDEX</v>
      </c>
      <c r="P1101" s="2" t="s">
        <v>2278</v>
      </c>
    </row>
    <row r="1102" spans="1:16" hidden="1">
      <c r="A1102" s="2">
        <v>201911</v>
      </c>
      <c r="B1102" s="3">
        <v>43774</v>
      </c>
      <c r="C1102" s="2" t="s">
        <v>2262</v>
      </c>
      <c r="D1102" s="2" t="s">
        <v>1707</v>
      </c>
      <c r="E1102" s="2">
        <v>13.08</v>
      </c>
      <c r="F1102" s="2" t="s">
        <v>23</v>
      </c>
      <c r="J1102" s="2">
        <v>13.08</v>
      </c>
      <c r="K1102" s="2" t="b">
        <v>0</v>
      </c>
      <c r="L1102" s="2"/>
      <c r="M1102" s="2"/>
      <c r="N1102" s="4" t="s">
        <v>2259</v>
      </c>
      <c r="O1102" s="4" t="str">
        <f>LEFT(Table2[[#This Row],[Description]],75)</f>
        <v>Speedway</v>
      </c>
      <c r="P1102" s="2" t="s">
        <v>2381</v>
      </c>
    </row>
    <row r="1103" spans="1:16" hidden="1">
      <c r="A1103" s="2">
        <v>201911</v>
      </c>
      <c r="B1103" s="3">
        <v>43774</v>
      </c>
      <c r="C1103" s="2" t="s">
        <v>2262</v>
      </c>
      <c r="D1103" s="2" t="s">
        <v>1707</v>
      </c>
      <c r="E1103" s="2">
        <v>24.71</v>
      </c>
      <c r="F1103" s="2" t="s">
        <v>23</v>
      </c>
      <c r="J1103" s="2">
        <v>24.71</v>
      </c>
      <c r="K1103" s="2" t="b">
        <v>0</v>
      </c>
      <c r="L1103" s="2"/>
      <c r="M1103" s="2"/>
      <c r="N1103" s="4" t="s">
        <v>2259</v>
      </c>
      <c r="O1103" s="4" t="str">
        <f>LEFT(Table2[[#This Row],[Description]],75)</f>
        <v>Speedway</v>
      </c>
      <c r="P1103" s="2" t="s">
        <v>2381</v>
      </c>
    </row>
    <row r="1104" spans="1:16" hidden="1">
      <c r="A1104" s="2">
        <v>201911</v>
      </c>
      <c r="B1104" s="3">
        <v>43774</v>
      </c>
      <c r="C1104" s="2" t="s">
        <v>2265</v>
      </c>
      <c r="D1104" s="2" t="s">
        <v>2112</v>
      </c>
      <c r="E1104" s="2">
        <v>-37.06</v>
      </c>
      <c r="F1104" s="2" t="s">
        <v>9</v>
      </c>
      <c r="J1104" s="2">
        <v>37.06</v>
      </c>
      <c r="K1104" s="2" t="b">
        <v>0</v>
      </c>
      <c r="L1104" s="2"/>
      <c r="M1104" s="2"/>
      <c r="N1104" s="4" t="s">
        <v>2273</v>
      </c>
      <c r="O1104" s="4" t="str">
        <f>LEFT(Table2[[#This Row],[Description]],75)</f>
        <v>Venmo Type Cashout</v>
      </c>
      <c r="P1104" s="2" t="s">
        <v>2279</v>
      </c>
    </row>
    <row r="1105" spans="1:16" hidden="1">
      <c r="A1105" s="2">
        <v>201911</v>
      </c>
      <c r="B1105" s="3">
        <v>43774</v>
      </c>
      <c r="C1105" s="2" t="s">
        <v>2267</v>
      </c>
      <c r="D1105" s="2" t="s">
        <v>2112</v>
      </c>
      <c r="E1105" s="2">
        <v>-37.06</v>
      </c>
      <c r="F1105" s="2" t="s">
        <v>9</v>
      </c>
      <c r="J1105" s="2">
        <v>37.06</v>
      </c>
      <c r="K1105" s="2" t="b">
        <v>0</v>
      </c>
      <c r="L1105" s="2"/>
      <c r="M1105" s="2"/>
      <c r="N1105" s="4" t="s">
        <v>2273</v>
      </c>
      <c r="O1105" s="4" t="str">
        <f>LEFT(Table2[[#This Row],[Description]],75)</f>
        <v>Venmo Type Cashout</v>
      </c>
      <c r="P1105" s="2" t="s">
        <v>2279</v>
      </c>
    </row>
    <row r="1106" spans="1:16" hidden="1">
      <c r="A1106" s="2">
        <v>201911</v>
      </c>
      <c r="B1106" s="3">
        <v>43775</v>
      </c>
      <c r="C1106" s="2" t="s">
        <v>2258</v>
      </c>
      <c r="D1106" s="2" t="s">
        <v>458</v>
      </c>
      <c r="E1106" s="2">
        <v>-14.76</v>
      </c>
      <c r="F1106" s="2" t="s">
        <v>9</v>
      </c>
      <c r="J1106" s="2">
        <v>14.76</v>
      </c>
      <c r="K1106" s="2" t="b">
        <v>0</v>
      </c>
      <c r="L1106" s="2"/>
      <c r="M1106" s="2"/>
      <c r="N1106" s="4" t="s">
        <v>2273</v>
      </c>
      <c r="O1106" s="4" t="str">
        <f>LEFT(Table2[[#This Row],[Description]],75)</f>
        <v>CASHBACK BONUS REDEMPTION payment/STMT CRDT</v>
      </c>
      <c r="P1106" s="2" t="s">
        <v>2304</v>
      </c>
    </row>
    <row r="1107" spans="1:16" hidden="1">
      <c r="A1107" s="2">
        <v>201911</v>
      </c>
      <c r="B1107" s="3">
        <v>43775</v>
      </c>
      <c r="C1107" s="2" t="s">
        <v>2261</v>
      </c>
      <c r="D1107" s="2" t="s">
        <v>458</v>
      </c>
      <c r="E1107" s="2">
        <v>-14.76</v>
      </c>
      <c r="F1107" s="2" t="s">
        <v>9</v>
      </c>
      <c r="J1107" s="2">
        <v>14.76</v>
      </c>
      <c r="K1107" s="2" t="b">
        <v>0</v>
      </c>
      <c r="L1107" s="2"/>
      <c r="M1107" s="2"/>
      <c r="N1107" s="4" t="s">
        <v>2273</v>
      </c>
      <c r="O1107" s="4" t="str">
        <f>LEFT(Table2[[#This Row],[Description]],75)</f>
        <v>CASHBACK BONUS REDEMPTION payment/STMT CRDT</v>
      </c>
      <c r="P1107" s="2" t="s">
        <v>2304</v>
      </c>
    </row>
    <row r="1108" spans="1:16" hidden="1">
      <c r="A1108" s="2">
        <v>201911</v>
      </c>
      <c r="B1108" s="3">
        <v>43775</v>
      </c>
      <c r="C1108" s="2" t="s">
        <v>2258</v>
      </c>
      <c r="D1108" s="2" t="s">
        <v>997</v>
      </c>
      <c r="E1108" s="2">
        <v>-81.88</v>
      </c>
      <c r="F1108" s="2" t="s">
        <v>9</v>
      </c>
      <c r="J1108" s="2">
        <v>81.88</v>
      </c>
      <c r="K1108" s="2" t="b">
        <v>0</v>
      </c>
      <c r="L1108" s="2"/>
      <c r="M1108" s="2"/>
      <c r="N1108" s="4" t="s">
        <v>2273</v>
      </c>
      <c r="O1108" s="4" t="str">
        <f>LEFT(Table2[[#This Row],[Description]],75)</f>
        <v>INTERNET PAYMENT - THANK YOU</v>
      </c>
      <c r="P1108" s="2" t="s">
        <v>2291</v>
      </c>
    </row>
    <row r="1109" spans="1:16" hidden="1">
      <c r="A1109" s="2">
        <v>201911</v>
      </c>
      <c r="B1109" s="3">
        <v>43775</v>
      </c>
      <c r="C1109" s="2" t="s">
        <v>2261</v>
      </c>
      <c r="D1109" s="2" t="s">
        <v>997</v>
      </c>
      <c r="E1109" s="2">
        <v>-81.88</v>
      </c>
      <c r="F1109" s="2" t="s">
        <v>9</v>
      </c>
      <c r="J1109" s="2">
        <v>81.88</v>
      </c>
      <c r="K1109" s="2" t="b">
        <v>0</v>
      </c>
      <c r="L1109" s="2"/>
      <c r="M1109" s="2"/>
      <c r="N1109" s="4" t="s">
        <v>2273</v>
      </c>
      <c r="O1109" s="4" t="str">
        <f>LEFT(Table2[[#This Row],[Description]],75)</f>
        <v>INTERNET PAYMENT - THANK YOU</v>
      </c>
      <c r="P1109" s="2" t="s">
        <v>2291</v>
      </c>
    </row>
    <row r="1110" spans="1:16" hidden="1">
      <c r="A1110" s="2">
        <v>201911</v>
      </c>
      <c r="B1110" s="3">
        <v>43775</v>
      </c>
      <c r="C1110" s="2" t="s">
        <v>2265</v>
      </c>
      <c r="D1110" s="2" t="s">
        <v>474</v>
      </c>
      <c r="E1110" s="2">
        <v>195.75</v>
      </c>
      <c r="F1110" s="2" t="s">
        <v>20</v>
      </c>
      <c r="J1110" s="2">
        <v>195.75</v>
      </c>
      <c r="K1110" s="2" t="b">
        <v>0</v>
      </c>
      <c r="L1110" s="2"/>
      <c r="M1110" s="2"/>
      <c r="N1110" s="4" t="s">
        <v>2259</v>
      </c>
      <c r="O1110" s="4" t="str">
        <f>LEFT(Table2[[#This Row],[Description]],75)</f>
        <v>CCLC TYPE INTERNET ID CO CCLC ACH ECC WEB ACH Trace 44570 263519530</v>
      </c>
      <c r="P1110" s="2" t="s">
        <v>2268</v>
      </c>
    </row>
    <row r="1111" spans="1:16" hidden="1">
      <c r="A1111" s="2">
        <v>201911</v>
      </c>
      <c r="B1111" s="3">
        <v>43775</v>
      </c>
      <c r="C1111" s="2" t="s">
        <v>2267</v>
      </c>
      <c r="D1111" s="2" t="s">
        <v>474</v>
      </c>
      <c r="E1111" s="2">
        <v>195.75</v>
      </c>
      <c r="F1111" s="2" t="s">
        <v>20</v>
      </c>
      <c r="J1111" s="2">
        <v>195.75</v>
      </c>
      <c r="K1111" s="2" t="b">
        <v>0</v>
      </c>
      <c r="L1111" s="2"/>
      <c r="M1111" s="2"/>
      <c r="N1111" s="4" t="s">
        <v>2259</v>
      </c>
      <c r="O1111" s="4" t="str">
        <f>LEFT(Table2[[#This Row],[Description]],75)</f>
        <v>CCLC TYPE INTERNET ID CO CCLC ACH ECC WEB ACH Trace 44570 263519530</v>
      </c>
      <c r="P1111" s="2" t="s">
        <v>2268</v>
      </c>
    </row>
    <row r="1112" spans="1:16" hidden="1">
      <c r="A1112" s="2">
        <v>201911</v>
      </c>
      <c r="B1112" s="3">
        <v>43775</v>
      </c>
      <c r="C1112" s="2" t="s">
        <v>2262</v>
      </c>
      <c r="D1112" s="2" t="s">
        <v>823</v>
      </c>
      <c r="E1112" s="2">
        <v>36.26</v>
      </c>
      <c r="F1112" s="2" t="s">
        <v>21</v>
      </c>
      <c r="J1112" s="2">
        <v>36.26</v>
      </c>
      <c r="K1112" s="2" t="b">
        <v>0</v>
      </c>
      <c r="L1112" s="2"/>
      <c r="M1112" s="2"/>
      <c r="N1112" s="4" t="s">
        <v>2259</v>
      </c>
      <c r="O1112" s="4" t="str">
        <f>LEFT(Table2[[#This Row],[Description]],75)</f>
        <v>Etsy.com</v>
      </c>
      <c r="P1112" s="2" t="s">
        <v>2401</v>
      </c>
    </row>
    <row r="1113" spans="1:16" hidden="1">
      <c r="A1113" s="2">
        <v>201911</v>
      </c>
      <c r="B1113" s="3">
        <v>43775</v>
      </c>
      <c r="C1113" s="2" t="s">
        <v>2317</v>
      </c>
      <c r="D1113" s="2" t="s">
        <v>1139</v>
      </c>
      <c r="E1113" s="2">
        <v>-13.33</v>
      </c>
      <c r="F1113" s="2" t="s">
        <v>2</v>
      </c>
      <c r="J1113" s="2">
        <v>13.33</v>
      </c>
      <c r="K1113" s="2" t="b">
        <v>0</v>
      </c>
      <c r="L1113" s="2"/>
      <c r="M1113" s="2"/>
      <c r="N1113" s="4" t="s">
        <v>2273</v>
      </c>
      <c r="O1113" s="4" t="str">
        <f>LEFT(Table2[[#This Row],[Description]],75)</f>
        <v>LOWES COMPANIES INC</v>
      </c>
      <c r="P1113" s="2" t="s">
        <v>2402</v>
      </c>
    </row>
    <row r="1114" spans="1:16" hidden="1">
      <c r="A1114" s="2">
        <v>201911</v>
      </c>
      <c r="B1114" s="3">
        <v>43775</v>
      </c>
      <c r="C1114" s="2" t="s">
        <v>64</v>
      </c>
      <c r="D1114" s="2" t="s">
        <v>1139</v>
      </c>
      <c r="E1114" s="2">
        <v>-13.33</v>
      </c>
      <c r="F1114" s="2" t="s">
        <v>2</v>
      </c>
      <c r="J1114" s="2">
        <v>13.33</v>
      </c>
      <c r="K1114" s="2" t="b">
        <v>0</v>
      </c>
      <c r="L1114" s="2"/>
      <c r="M1114" s="2"/>
      <c r="N1114" s="4" t="s">
        <v>2273</v>
      </c>
      <c r="O1114" s="4" t="str">
        <f>LEFT(Table2[[#This Row],[Description]],75)</f>
        <v>LOWES COMPANIES INC</v>
      </c>
      <c r="P1114" s="2" t="s">
        <v>2402</v>
      </c>
    </row>
    <row r="1115" spans="1:16" hidden="1">
      <c r="A1115" s="2">
        <v>201911</v>
      </c>
      <c r="B1115" s="3">
        <v>43775</v>
      </c>
      <c r="C1115" s="2" t="s">
        <v>2262</v>
      </c>
      <c r="D1115" s="2" t="s">
        <v>1274</v>
      </c>
      <c r="E1115" s="2">
        <v>138.25</v>
      </c>
      <c r="F1115" s="2" t="s">
        <v>29</v>
      </c>
      <c r="J1115" s="2">
        <v>138.25</v>
      </c>
      <c r="K1115" s="2" t="b">
        <v>0</v>
      </c>
      <c r="L1115" s="2"/>
      <c r="M1115" s="2"/>
      <c r="N1115" s="4" t="s">
        <v>2259</v>
      </c>
      <c r="O1115" s="4" t="str">
        <f>LEFT(Table2[[#This Row],[Description]],75)</f>
        <v>MINTED LLC MINTEDCOM CA 263741857</v>
      </c>
      <c r="P1115" s="2" t="s">
        <v>2281</v>
      </c>
    </row>
    <row r="1116" spans="1:16" hidden="1">
      <c r="A1116" s="2">
        <v>201911</v>
      </c>
      <c r="B1116" s="3">
        <v>43775</v>
      </c>
      <c r="C1116" s="2" t="s">
        <v>2300</v>
      </c>
      <c r="D1116" s="2" t="s">
        <v>1947</v>
      </c>
      <c r="E1116" s="2">
        <v>-300</v>
      </c>
      <c r="F1116" s="2" t="s">
        <v>9</v>
      </c>
      <c r="J1116" s="2">
        <v>300</v>
      </c>
      <c r="K1116" s="2" t="b">
        <v>0</v>
      </c>
      <c r="L1116" s="2"/>
      <c r="M1116" s="2"/>
      <c r="N1116" s="4" t="s">
        <v>2273</v>
      </c>
      <c r="O1116" s="4" t="str">
        <f>LEFT(Table2[[#This Row],[Description]],75)</f>
        <v>Transfer from POWERPLUS CHECKING</v>
      </c>
      <c r="P1116" s="2" t="s">
        <v>2301</v>
      </c>
    </row>
    <row r="1117" spans="1:16" hidden="1">
      <c r="A1117" s="2">
        <v>201911</v>
      </c>
      <c r="B1117" s="3">
        <v>43775</v>
      </c>
      <c r="C1117" s="2" t="s">
        <v>2302</v>
      </c>
      <c r="D1117" s="2" t="s">
        <v>1947</v>
      </c>
      <c r="E1117" s="2">
        <v>-300</v>
      </c>
      <c r="F1117" s="2" t="s">
        <v>9</v>
      </c>
      <c r="J1117" s="2">
        <v>300</v>
      </c>
      <c r="K1117" s="2" t="b">
        <v>0</v>
      </c>
      <c r="L1117" s="2"/>
      <c r="M1117" s="2"/>
      <c r="N1117" s="4" t="s">
        <v>2273</v>
      </c>
      <c r="O1117" s="4" t="str">
        <f>LEFT(Table2[[#This Row],[Description]],75)</f>
        <v>Transfer from POWERPLUS CHECKING</v>
      </c>
      <c r="P1117" s="2" t="s">
        <v>2301</v>
      </c>
    </row>
    <row r="1118" spans="1:16" hidden="1">
      <c r="A1118" s="2">
        <v>201911</v>
      </c>
      <c r="B1118" s="3">
        <v>43775</v>
      </c>
      <c r="C1118" s="2" t="s">
        <v>2265</v>
      </c>
      <c r="D1118" s="2" t="s">
        <v>1957</v>
      </c>
      <c r="E1118" s="2">
        <v>300</v>
      </c>
      <c r="F1118" s="2" t="s">
        <v>59</v>
      </c>
      <c r="J1118" s="2">
        <v>300</v>
      </c>
      <c r="K1118" s="2" t="b">
        <v>0</v>
      </c>
      <c r="L1118" s="2"/>
      <c r="M1118" s="2"/>
      <c r="N1118" s="4" t="s">
        <v>2259</v>
      </c>
      <c r="O1118" s="4" t="str">
        <f>LEFT(Table2[[#This Row],[Description]],75)</f>
        <v>Transfer to RAINY DAY SAVINGS</v>
      </c>
      <c r="P1118" s="2" t="s">
        <v>2303</v>
      </c>
    </row>
    <row r="1119" spans="1:16" hidden="1">
      <c r="A1119" s="2">
        <v>201911</v>
      </c>
      <c r="B1119" s="3">
        <v>43775</v>
      </c>
      <c r="C1119" s="2" t="s">
        <v>2267</v>
      </c>
      <c r="D1119" s="2" t="s">
        <v>1957</v>
      </c>
      <c r="E1119" s="2">
        <v>300</v>
      </c>
      <c r="F1119" s="2" t="s">
        <v>59</v>
      </c>
      <c r="J1119" s="2">
        <v>300</v>
      </c>
      <c r="K1119" s="2" t="b">
        <v>0</v>
      </c>
      <c r="L1119" s="2"/>
      <c r="M1119" s="2"/>
      <c r="N1119" s="4" t="s">
        <v>2259</v>
      </c>
      <c r="O1119" s="4" t="str">
        <f>LEFT(Table2[[#This Row],[Description]],75)</f>
        <v>Transfer to RAINY DAY SAVINGS</v>
      </c>
      <c r="P1119" s="2" t="s">
        <v>2303</v>
      </c>
    </row>
    <row r="1120" spans="1:16" hidden="1">
      <c r="A1120" s="2">
        <v>201911</v>
      </c>
      <c r="B1120" s="3">
        <v>43775</v>
      </c>
      <c r="C1120" s="2" t="s">
        <v>2317</v>
      </c>
      <c r="D1120" s="2" t="s">
        <v>2107</v>
      </c>
      <c r="E1120" s="2">
        <v>-4.28</v>
      </c>
      <c r="F1120" s="2" t="s">
        <v>69</v>
      </c>
      <c r="J1120" s="2">
        <v>4.28</v>
      </c>
      <c r="K1120" s="2" t="b">
        <v>0</v>
      </c>
      <c r="L1120" s="2"/>
      <c r="M1120" s="2"/>
      <c r="N1120" s="4" t="s">
        <v>2273</v>
      </c>
      <c r="O1120" s="4" t="str">
        <f>LEFT(Table2[[#This Row],[Description]],75)</f>
        <v>VANGUARD INTRMDIAT TRM TRSRY ETF</v>
      </c>
      <c r="P1120" s="2" t="s">
        <v>2357</v>
      </c>
    </row>
    <row r="1121" spans="1:16" hidden="1">
      <c r="A1121" s="2">
        <v>201911</v>
      </c>
      <c r="B1121" s="3">
        <v>43775</v>
      </c>
      <c r="C1121" s="2" t="s">
        <v>64</v>
      </c>
      <c r="D1121" s="2" t="s">
        <v>2107</v>
      </c>
      <c r="E1121" s="2">
        <v>-4.28</v>
      </c>
      <c r="F1121" s="2" t="s">
        <v>69</v>
      </c>
      <c r="J1121" s="2">
        <v>4.28</v>
      </c>
      <c r="K1121" s="2" t="b">
        <v>0</v>
      </c>
      <c r="L1121" s="2"/>
      <c r="M1121" s="2"/>
      <c r="N1121" s="4" t="s">
        <v>2273</v>
      </c>
      <c r="O1121" s="4" t="str">
        <f>LEFT(Table2[[#This Row],[Description]],75)</f>
        <v>VANGUARD INTRMDIAT TRM TRSRY ETF</v>
      </c>
      <c r="P1121" s="2" t="s">
        <v>2357</v>
      </c>
    </row>
    <row r="1122" spans="1:16" hidden="1">
      <c r="A1122" s="2">
        <v>201911</v>
      </c>
      <c r="B1122" s="3">
        <v>43775</v>
      </c>
      <c r="C1122" s="2" t="s">
        <v>2265</v>
      </c>
      <c r="D1122" s="2" t="s">
        <v>2109</v>
      </c>
      <c r="E1122" s="2">
        <v>30.5</v>
      </c>
      <c r="F1122" s="2">
        <v>0</v>
      </c>
      <c r="J1122" s="2">
        <v>30.5</v>
      </c>
      <c r="K1122" s="2" t="b">
        <v>0</v>
      </c>
      <c r="L1122" s="2"/>
      <c r="M1122" s="2"/>
      <c r="N1122" s="4" t="s">
        <v>2259</v>
      </c>
      <c r="O1122" s="4" t="str">
        <f>LEFT(Table2[[#This Row],[Description]],75)</f>
        <v>Venmo</v>
      </c>
      <c r="P1122" s="2"/>
    </row>
    <row r="1123" spans="1:16" hidden="1">
      <c r="A1123" s="2">
        <v>201911</v>
      </c>
      <c r="B1123" s="3">
        <v>43775</v>
      </c>
      <c r="C1123" s="2" t="s">
        <v>2267</v>
      </c>
      <c r="D1123" s="2" t="s">
        <v>2109</v>
      </c>
      <c r="E1123" s="2">
        <v>30.5</v>
      </c>
      <c r="F1123" s="2" t="s">
        <v>21</v>
      </c>
      <c r="J1123" s="2">
        <v>30.5</v>
      </c>
      <c r="K1123" s="2" t="b">
        <v>0</v>
      </c>
      <c r="L1123" s="2"/>
      <c r="M1123" s="2"/>
      <c r="N1123" s="4" t="s">
        <v>2259</v>
      </c>
      <c r="O1123" s="4" t="str">
        <f>LEFT(Table2[[#This Row],[Description]],75)</f>
        <v>Venmo</v>
      </c>
      <c r="P1123" s="2" t="s">
        <v>2281</v>
      </c>
    </row>
    <row r="1124" spans="1:16" hidden="1">
      <c r="A1124" s="2">
        <v>201911</v>
      </c>
      <c r="B1124" s="3">
        <v>43775</v>
      </c>
      <c r="C1124" s="2" t="s">
        <v>2265</v>
      </c>
      <c r="D1124" s="2" t="s">
        <v>2221</v>
      </c>
      <c r="E1124" s="2">
        <v>101.82</v>
      </c>
      <c r="F1124" s="2" t="s">
        <v>7</v>
      </c>
      <c r="J1124" s="2">
        <v>101.82</v>
      </c>
      <c r="K1124" s="2" t="b">
        <v>0</v>
      </c>
      <c r="L1124" s="2"/>
      <c r="M1124" s="2"/>
      <c r="N1124" s="4" t="s">
        <v>2259</v>
      </c>
      <c r="O1124" s="4" t="str">
        <f>LEFT(Table2[[#This Row],[Description]],75)</f>
        <v>Xcel Energy</v>
      </c>
      <c r="P1124" s="2" t="s">
        <v>2280</v>
      </c>
    </row>
    <row r="1125" spans="1:16" hidden="1">
      <c r="A1125" s="2">
        <v>201911</v>
      </c>
      <c r="B1125" s="3">
        <v>43775</v>
      </c>
      <c r="C1125" s="2" t="s">
        <v>2267</v>
      </c>
      <c r="D1125" s="2" t="s">
        <v>2221</v>
      </c>
      <c r="E1125" s="2">
        <v>101.82</v>
      </c>
      <c r="F1125" s="2" t="s">
        <v>7</v>
      </c>
      <c r="J1125" s="2">
        <v>101.82</v>
      </c>
      <c r="K1125" s="2" t="b">
        <v>0</v>
      </c>
      <c r="L1125" s="2"/>
      <c r="M1125" s="2"/>
      <c r="N1125" s="4" t="s">
        <v>2259</v>
      </c>
      <c r="O1125" s="4" t="str">
        <f>LEFT(Table2[[#This Row],[Description]],75)</f>
        <v>Xcel Energy</v>
      </c>
      <c r="P1125" s="2" t="s">
        <v>2280</v>
      </c>
    </row>
    <row r="1126" spans="1:16" hidden="1">
      <c r="A1126" s="2">
        <v>201911</v>
      </c>
      <c r="B1126" s="3">
        <v>43776</v>
      </c>
      <c r="C1126" s="2" t="s">
        <v>2265</v>
      </c>
      <c r="D1126" s="2" t="s">
        <v>771</v>
      </c>
      <c r="E1126" s="2">
        <v>81.88</v>
      </c>
      <c r="F1126" s="2" t="s">
        <v>9</v>
      </c>
      <c r="J1126" s="2">
        <v>81.88</v>
      </c>
      <c r="K1126" s="2" t="b">
        <v>0</v>
      </c>
      <c r="L1126" s="2"/>
      <c r="M1126" s="2"/>
      <c r="N1126" s="4" t="s">
        <v>2259</v>
      </c>
      <c r="O1126" s="4" t="str">
        <f>LEFT(Table2[[#This Row],[Description]],75)</f>
        <v>DISCOVER TYPE EPAYMENT ID CO DISCOVER ACH ECC WEB ACH Trace 67980 263786523</v>
      </c>
      <c r="P1126" s="2" t="s">
        <v>2293</v>
      </c>
    </row>
    <row r="1127" spans="1:16" hidden="1">
      <c r="A1127" s="2">
        <v>201911</v>
      </c>
      <c r="B1127" s="3">
        <v>43776</v>
      </c>
      <c r="C1127" s="2" t="s">
        <v>2267</v>
      </c>
      <c r="D1127" s="2" t="s">
        <v>771</v>
      </c>
      <c r="E1127" s="2">
        <v>81.88</v>
      </c>
      <c r="F1127" s="2" t="s">
        <v>9</v>
      </c>
      <c r="J1127" s="2">
        <v>81.88</v>
      </c>
      <c r="K1127" s="2" t="b">
        <v>0</v>
      </c>
      <c r="L1127" s="2"/>
      <c r="M1127" s="2"/>
      <c r="N1127" s="4" t="s">
        <v>2259</v>
      </c>
      <c r="O1127" s="4" t="str">
        <f>LEFT(Table2[[#This Row],[Description]],75)</f>
        <v>DISCOVER TYPE EPAYMENT ID CO DISCOVER ACH ECC WEB ACH Trace 67980 263786523</v>
      </c>
      <c r="P1127" s="2" t="s">
        <v>2293</v>
      </c>
    </row>
    <row r="1128" spans="1:16" hidden="1">
      <c r="A1128" s="2">
        <v>201911</v>
      </c>
      <c r="B1128" s="3">
        <v>43776</v>
      </c>
      <c r="C1128" s="2" t="s">
        <v>2317</v>
      </c>
      <c r="D1128" s="2" t="s">
        <v>1139</v>
      </c>
      <c r="E1128" s="2">
        <v>13.33</v>
      </c>
      <c r="F1128" s="2" t="s">
        <v>2</v>
      </c>
      <c r="J1128" s="2">
        <v>13.33</v>
      </c>
      <c r="K1128" s="2" t="b">
        <v>0</v>
      </c>
      <c r="L1128" s="2"/>
      <c r="M1128" s="2"/>
      <c r="N1128" s="4" t="s">
        <v>2259</v>
      </c>
      <c r="O1128" s="4" t="str">
        <f>LEFT(Table2[[#This Row],[Description]],75)</f>
        <v>LOWES COMPANIES INC</v>
      </c>
      <c r="P1128" s="2" t="s">
        <v>2402</v>
      </c>
    </row>
    <row r="1129" spans="1:16" hidden="1">
      <c r="A1129" s="2">
        <v>201911</v>
      </c>
      <c r="B1129" s="3">
        <v>43776</v>
      </c>
      <c r="C1129" s="2" t="s">
        <v>64</v>
      </c>
      <c r="D1129" s="2" t="s">
        <v>1139</v>
      </c>
      <c r="E1129" s="2">
        <v>13.33</v>
      </c>
      <c r="F1129" s="2" t="s">
        <v>2</v>
      </c>
      <c r="J1129" s="2">
        <v>13.33</v>
      </c>
      <c r="K1129" s="2" t="b">
        <v>0</v>
      </c>
      <c r="L1129" s="2"/>
      <c r="M1129" s="2"/>
      <c r="N1129" s="4" t="s">
        <v>2259</v>
      </c>
      <c r="O1129" s="4" t="str">
        <f>LEFT(Table2[[#This Row],[Description]],75)</f>
        <v>LOWES COMPANIES INC</v>
      </c>
      <c r="P1129" s="2" t="s">
        <v>2402</v>
      </c>
    </row>
    <row r="1130" spans="1:16" hidden="1">
      <c r="A1130" s="2">
        <v>201911</v>
      </c>
      <c r="B1130" s="3">
        <v>43776</v>
      </c>
      <c r="C1130" s="2" t="s">
        <v>2317</v>
      </c>
      <c r="D1130" s="2" t="s">
        <v>1552</v>
      </c>
      <c r="E1130" s="2">
        <v>-58.1</v>
      </c>
      <c r="F1130" s="2" t="s">
        <v>69</v>
      </c>
      <c r="J1130" s="2">
        <v>58.1</v>
      </c>
      <c r="K1130" s="2" t="b">
        <v>0</v>
      </c>
      <c r="L1130" s="2"/>
      <c r="M1130" s="2"/>
      <c r="N1130" s="4" t="s">
        <v>2273</v>
      </c>
      <c r="O1130" s="4" t="str">
        <f>LEFT(Table2[[#This Row],[Description]],75)</f>
        <v>RAYTHEON CO</v>
      </c>
      <c r="P1130" s="2" t="s">
        <v>2403</v>
      </c>
    </row>
    <row r="1131" spans="1:16" hidden="1">
      <c r="A1131" s="2">
        <v>201911</v>
      </c>
      <c r="B1131" s="3">
        <v>43776</v>
      </c>
      <c r="C1131" s="2" t="s">
        <v>64</v>
      </c>
      <c r="D1131" s="2" t="s">
        <v>1552</v>
      </c>
      <c r="E1131" s="2">
        <v>-58.1</v>
      </c>
      <c r="F1131" s="2" t="s">
        <v>69</v>
      </c>
      <c r="J1131" s="2">
        <v>58.1</v>
      </c>
      <c r="K1131" s="2" t="b">
        <v>0</v>
      </c>
      <c r="L1131" s="2"/>
      <c r="M1131" s="2"/>
      <c r="N1131" s="4" t="s">
        <v>2273</v>
      </c>
      <c r="O1131" s="4" t="str">
        <f>LEFT(Table2[[#This Row],[Description]],75)</f>
        <v>RAYTHEON CO</v>
      </c>
      <c r="P1131" s="2" t="s">
        <v>2403</v>
      </c>
    </row>
    <row r="1132" spans="1:16" hidden="1">
      <c r="A1132" s="2">
        <v>201911</v>
      </c>
      <c r="B1132" s="3">
        <v>43776</v>
      </c>
      <c r="C1132" s="2" t="s">
        <v>2317</v>
      </c>
      <c r="D1132" s="2" t="s">
        <v>2107</v>
      </c>
      <c r="E1132" s="2">
        <v>4.28</v>
      </c>
      <c r="F1132" s="2" t="s">
        <v>69</v>
      </c>
      <c r="J1132" s="2">
        <v>4.28</v>
      </c>
      <c r="K1132" s="2" t="b">
        <v>0</v>
      </c>
      <c r="L1132" s="2"/>
      <c r="M1132" s="2"/>
      <c r="N1132" s="4" t="s">
        <v>2259</v>
      </c>
      <c r="O1132" s="4" t="str">
        <f>LEFT(Table2[[#This Row],[Description]],75)</f>
        <v>VANGUARD INTRMDIAT TRM TRSRY ETF</v>
      </c>
      <c r="P1132" s="2" t="s">
        <v>2357</v>
      </c>
    </row>
    <row r="1133" spans="1:16" hidden="1">
      <c r="A1133" s="2">
        <v>201911</v>
      </c>
      <c r="B1133" s="3">
        <v>43776</v>
      </c>
      <c r="C1133" s="2" t="s">
        <v>64</v>
      </c>
      <c r="D1133" s="2" t="s">
        <v>2107</v>
      </c>
      <c r="E1133" s="2">
        <v>4.28</v>
      </c>
      <c r="F1133" s="2" t="s">
        <v>69</v>
      </c>
      <c r="J1133" s="2">
        <v>4.28</v>
      </c>
      <c r="K1133" s="2" t="b">
        <v>0</v>
      </c>
      <c r="L1133" s="2"/>
      <c r="M1133" s="2"/>
      <c r="N1133" s="4" t="s">
        <v>2259</v>
      </c>
      <c r="O1133" s="4" t="str">
        <f>LEFT(Table2[[#This Row],[Description]],75)</f>
        <v>VANGUARD INTRMDIAT TRM TRSRY ETF</v>
      </c>
      <c r="P1133" s="2" t="s">
        <v>2357</v>
      </c>
    </row>
    <row r="1134" spans="1:16" hidden="1">
      <c r="A1134" s="2">
        <v>201911</v>
      </c>
      <c r="B1134" s="3">
        <v>43776</v>
      </c>
      <c r="C1134" s="2" t="s">
        <v>2265</v>
      </c>
      <c r="D1134" s="2" t="s">
        <v>2140</v>
      </c>
      <c r="E1134" s="2">
        <v>104.61</v>
      </c>
      <c r="F1134" s="2" t="s">
        <v>7</v>
      </c>
      <c r="J1134" s="2">
        <v>104.61</v>
      </c>
      <c r="K1134" s="2" t="b">
        <v>0</v>
      </c>
      <c r="L1134" s="2"/>
      <c r="M1134" s="2"/>
      <c r="N1134" s="4" t="s">
        <v>2259</v>
      </c>
      <c r="O1134" s="4" t="str">
        <f>LEFT(Table2[[#This Row],[Description]],75)</f>
        <v>Waste Management</v>
      </c>
      <c r="P1134" s="2" t="s">
        <v>2318</v>
      </c>
    </row>
    <row r="1135" spans="1:16" hidden="1">
      <c r="A1135" s="2">
        <v>201911</v>
      </c>
      <c r="B1135" s="3">
        <v>43776</v>
      </c>
      <c r="C1135" s="2" t="s">
        <v>2267</v>
      </c>
      <c r="D1135" s="2" t="s">
        <v>2140</v>
      </c>
      <c r="E1135" s="2">
        <v>104.61</v>
      </c>
      <c r="F1135" s="2" t="s">
        <v>7</v>
      </c>
      <c r="J1135" s="2">
        <v>104.61</v>
      </c>
      <c r="K1135" s="2" t="b">
        <v>0</v>
      </c>
      <c r="L1135" s="2"/>
      <c r="M1135" s="2"/>
      <c r="N1135" s="4" t="s">
        <v>2259</v>
      </c>
      <c r="O1135" s="4" t="str">
        <f>LEFT(Table2[[#This Row],[Description]],75)</f>
        <v>Waste Management</v>
      </c>
      <c r="P1135" s="2" t="s">
        <v>2318</v>
      </c>
    </row>
    <row r="1136" spans="1:16" hidden="1">
      <c r="A1136" s="2">
        <v>201911</v>
      </c>
      <c r="B1136" s="3">
        <v>43777</v>
      </c>
      <c r="C1136" s="2" t="s">
        <v>2262</v>
      </c>
      <c r="D1136" s="2" t="s">
        <v>847</v>
      </c>
      <c r="E1136" s="2">
        <v>5.9</v>
      </c>
      <c r="F1136" s="2" t="s">
        <v>26</v>
      </c>
      <c r="J1136" s="2">
        <v>5.9</v>
      </c>
      <c r="K1136" s="2" t="b">
        <v>0</v>
      </c>
      <c r="L1136" s="2"/>
      <c r="M1136" s="2"/>
      <c r="N1136" s="4" t="s">
        <v>2259</v>
      </c>
      <c r="O1136" s="4" t="str">
        <f>LEFT(Table2[[#This Row],[Description]],75)</f>
        <v>FOOD HALL P1 8665083558 MN 264236914</v>
      </c>
      <c r="P1136" s="2" t="s">
        <v>2281</v>
      </c>
    </row>
    <row r="1137" spans="1:16" hidden="1">
      <c r="A1137" s="2">
        <v>201911</v>
      </c>
      <c r="B1137" s="3">
        <v>43777</v>
      </c>
      <c r="C1137" s="2" t="s">
        <v>2317</v>
      </c>
      <c r="D1137" s="2" t="s">
        <v>1552</v>
      </c>
      <c r="E1137" s="2">
        <v>58.1</v>
      </c>
      <c r="F1137" s="2" t="s">
        <v>69</v>
      </c>
      <c r="J1137" s="2">
        <v>58.1</v>
      </c>
      <c r="K1137" s="2" t="b">
        <v>0</v>
      </c>
      <c r="L1137" s="2"/>
      <c r="M1137" s="2"/>
      <c r="N1137" s="4" t="s">
        <v>2259</v>
      </c>
      <c r="O1137" s="4" t="str">
        <f>LEFT(Table2[[#This Row],[Description]],75)</f>
        <v>RAYTHEON CO</v>
      </c>
      <c r="P1137" s="2" t="s">
        <v>2403</v>
      </c>
    </row>
    <row r="1138" spans="1:16" hidden="1">
      <c r="A1138" s="2">
        <v>201911</v>
      </c>
      <c r="B1138" s="3">
        <v>43777</v>
      </c>
      <c r="C1138" s="2" t="s">
        <v>2258</v>
      </c>
      <c r="D1138" s="2" t="s">
        <v>1649</v>
      </c>
      <c r="E1138" s="2">
        <v>13.22</v>
      </c>
      <c r="F1138" s="2">
        <v>0</v>
      </c>
      <c r="J1138" s="2">
        <v>13.22</v>
      </c>
      <c r="K1138" s="2" t="b">
        <v>0</v>
      </c>
      <c r="L1138" s="2"/>
      <c r="M1138" s="2"/>
      <c r="N1138" s="4" t="s">
        <v>2259</v>
      </c>
      <c r="O1138" s="4" t="str">
        <f>LEFT(Table2[[#This Row],[Description]],75)</f>
        <v>SHEDD AQUARIUM CHICAGO IL1111000103061911081103</v>
      </c>
      <c r="P1138" s="2"/>
    </row>
    <row r="1139" spans="1:16" hidden="1">
      <c r="A1139" s="2">
        <v>201911</v>
      </c>
      <c r="B1139" s="3">
        <v>43777</v>
      </c>
      <c r="C1139" s="2" t="s">
        <v>2261</v>
      </c>
      <c r="D1139" s="2" t="s">
        <v>1649</v>
      </c>
      <c r="E1139" s="2">
        <v>13.22</v>
      </c>
      <c r="F1139" s="2" t="s">
        <v>40</v>
      </c>
      <c r="J1139" s="2">
        <v>13.22</v>
      </c>
      <c r="K1139" s="2" t="b">
        <v>0</v>
      </c>
      <c r="L1139" s="2"/>
      <c r="M1139" s="2"/>
      <c r="N1139" s="4" t="s">
        <v>2259</v>
      </c>
      <c r="O1139" s="4" t="str">
        <f>LEFT(Table2[[#This Row],[Description]],75)</f>
        <v>SHEDD AQUARIUM CHICAGO IL1111000103061911081103</v>
      </c>
      <c r="P1139" s="2" t="s">
        <v>2281</v>
      </c>
    </row>
    <row r="1140" spans="1:16" hidden="1">
      <c r="A1140" s="2">
        <v>201911</v>
      </c>
      <c r="B1140" s="3">
        <v>43777</v>
      </c>
      <c r="C1140" s="2" t="s">
        <v>2262</v>
      </c>
      <c r="D1140" s="2" t="s">
        <v>1662</v>
      </c>
      <c r="E1140" s="2">
        <v>26.97</v>
      </c>
      <c r="F1140" s="2" t="s">
        <v>28</v>
      </c>
      <c r="J1140" s="2">
        <v>26.97</v>
      </c>
      <c r="K1140" s="2" t="b">
        <v>0</v>
      </c>
      <c r="L1140" s="2"/>
      <c r="M1140" s="2"/>
      <c r="N1140" s="4" t="s">
        <v>2259</v>
      </c>
      <c r="O1140" s="4" t="str">
        <f>LEFT(Table2[[#This Row],[Description]],75)</f>
        <v>SHOYU 8665083558 MN 264236915</v>
      </c>
      <c r="P1140" s="2" t="s">
        <v>2281</v>
      </c>
    </row>
    <row r="1141" spans="1:16" hidden="1">
      <c r="A1141" s="2">
        <v>201911</v>
      </c>
      <c r="B1141" s="3">
        <v>43799</v>
      </c>
      <c r="C1141" s="2" t="s">
        <v>2262</v>
      </c>
      <c r="D1141" s="2" t="s">
        <v>109</v>
      </c>
      <c r="E1141" s="2">
        <v>6</v>
      </c>
      <c r="F1141" s="2" t="s">
        <v>23</v>
      </c>
      <c r="J1141" s="2">
        <v>6</v>
      </c>
      <c r="K1141" s="2" t="b">
        <v>0</v>
      </c>
      <c r="L1141" s="2"/>
      <c r="M1141" s="2"/>
      <c r="N1141" s="4" t="s">
        <v>2259</v>
      </c>
      <c r="O1141" s="4" t="str">
        <f>LEFT(Table2[[#This Row],[Description]],75)</f>
        <v>Allied Parking Inc</v>
      </c>
      <c r="P1141" s="2" t="s">
        <v>2404</v>
      </c>
    </row>
    <row r="1142" spans="1:16" hidden="1">
      <c r="A1142" s="2">
        <v>201911</v>
      </c>
      <c r="B1142" s="3">
        <v>43799</v>
      </c>
      <c r="C1142" s="2" t="s">
        <v>2258</v>
      </c>
      <c r="D1142" s="2" t="s">
        <v>38</v>
      </c>
      <c r="E1142" s="2">
        <v>100.92</v>
      </c>
      <c r="F1142" s="2" t="s">
        <v>38</v>
      </c>
      <c r="J1142" s="2">
        <v>100.92</v>
      </c>
      <c r="K1142" s="2" t="b">
        <v>0</v>
      </c>
      <c r="L1142" s="2"/>
      <c r="M1142" s="2"/>
      <c r="N1142" s="4" t="s">
        <v>2259</v>
      </c>
      <c r="O1142" s="4" t="str">
        <f>LEFT(Table2[[#This Row],[Description]],75)</f>
        <v>Amazon</v>
      </c>
      <c r="P1142" s="2" t="s">
        <v>2260</v>
      </c>
    </row>
    <row r="1143" spans="1:16" hidden="1">
      <c r="A1143" s="2">
        <v>201911</v>
      </c>
      <c r="B1143" s="3">
        <v>43799</v>
      </c>
      <c r="C1143" s="2" t="s">
        <v>2258</v>
      </c>
      <c r="D1143" s="2" t="s">
        <v>38</v>
      </c>
      <c r="E1143" s="2">
        <v>30.05</v>
      </c>
      <c r="F1143" s="2" t="s">
        <v>38</v>
      </c>
      <c r="J1143" s="2">
        <v>30.05</v>
      </c>
      <c r="K1143" s="2" t="b">
        <v>0</v>
      </c>
      <c r="L1143" s="2"/>
      <c r="M1143" s="2"/>
      <c r="N1143" s="4" t="s">
        <v>2259</v>
      </c>
      <c r="O1143" s="4" t="str">
        <f>LEFT(Table2[[#This Row],[Description]],75)</f>
        <v>Amazon</v>
      </c>
      <c r="P1143" s="2" t="s">
        <v>2260</v>
      </c>
    </row>
    <row r="1144" spans="1:16" hidden="1">
      <c r="A1144" s="2">
        <v>201911</v>
      </c>
      <c r="B1144" s="3">
        <v>43799</v>
      </c>
      <c r="C1144" s="2" t="s">
        <v>2258</v>
      </c>
      <c r="D1144" s="2" t="s">
        <v>38</v>
      </c>
      <c r="E1144" s="2">
        <v>31.61</v>
      </c>
      <c r="F1144" s="2" t="s">
        <v>38</v>
      </c>
      <c r="J1144" s="2">
        <v>31.61</v>
      </c>
      <c r="K1144" s="2" t="b">
        <v>0</v>
      </c>
      <c r="L1144" s="2"/>
      <c r="M1144" s="2"/>
      <c r="N1144" s="4" t="s">
        <v>2259</v>
      </c>
      <c r="O1144" s="4" t="str">
        <f>LEFT(Table2[[#This Row],[Description]],75)</f>
        <v>Amazon</v>
      </c>
      <c r="P1144" s="2" t="s">
        <v>2260</v>
      </c>
    </row>
    <row r="1145" spans="1:16" hidden="1">
      <c r="A1145" s="2">
        <v>201911</v>
      </c>
      <c r="B1145" s="3">
        <v>43799</v>
      </c>
      <c r="C1145" s="2" t="s">
        <v>2261</v>
      </c>
      <c r="D1145" s="2" t="s">
        <v>38</v>
      </c>
      <c r="E1145" s="2">
        <v>100.92</v>
      </c>
      <c r="F1145" s="2" t="s">
        <v>38</v>
      </c>
      <c r="J1145" s="2">
        <v>100.92</v>
      </c>
      <c r="K1145" s="2" t="b">
        <v>0</v>
      </c>
      <c r="L1145" s="2"/>
      <c r="M1145" s="2"/>
      <c r="N1145" s="4" t="s">
        <v>2259</v>
      </c>
      <c r="O1145" s="4" t="str">
        <f>LEFT(Table2[[#This Row],[Description]],75)</f>
        <v>Amazon</v>
      </c>
      <c r="P1145" s="2" t="s">
        <v>2260</v>
      </c>
    </row>
    <row r="1146" spans="1:16" hidden="1">
      <c r="A1146" s="2">
        <v>201911</v>
      </c>
      <c r="B1146" s="3">
        <v>43799</v>
      </c>
      <c r="C1146" s="2" t="s">
        <v>2261</v>
      </c>
      <c r="D1146" s="2" t="s">
        <v>38</v>
      </c>
      <c r="E1146" s="2">
        <v>30.05</v>
      </c>
      <c r="F1146" s="2" t="s">
        <v>38</v>
      </c>
      <c r="J1146" s="2">
        <v>30.05</v>
      </c>
      <c r="K1146" s="2" t="b">
        <v>0</v>
      </c>
      <c r="L1146" s="2"/>
      <c r="M1146" s="2"/>
      <c r="N1146" s="4" t="s">
        <v>2259</v>
      </c>
      <c r="O1146" s="4" t="str">
        <f>LEFT(Table2[[#This Row],[Description]],75)</f>
        <v>Amazon</v>
      </c>
      <c r="P1146" s="2" t="s">
        <v>2260</v>
      </c>
    </row>
    <row r="1147" spans="1:16" hidden="1">
      <c r="A1147" s="2">
        <v>201911</v>
      </c>
      <c r="B1147" s="3">
        <v>43799</v>
      </c>
      <c r="C1147" s="2" t="s">
        <v>2261</v>
      </c>
      <c r="D1147" s="2" t="s">
        <v>38</v>
      </c>
      <c r="E1147" s="2">
        <v>31.61</v>
      </c>
      <c r="F1147" s="2" t="s">
        <v>38</v>
      </c>
      <c r="J1147" s="2">
        <v>31.61</v>
      </c>
      <c r="K1147" s="2" t="b">
        <v>0</v>
      </c>
      <c r="L1147" s="2"/>
      <c r="M1147" s="2"/>
      <c r="N1147" s="4" t="s">
        <v>2259</v>
      </c>
      <c r="O1147" s="4" t="str">
        <f>LEFT(Table2[[#This Row],[Description]],75)</f>
        <v>Amazon</v>
      </c>
      <c r="P1147" s="2" t="s">
        <v>2260</v>
      </c>
    </row>
    <row r="1148" spans="1:16" hidden="1">
      <c r="A1148" s="2">
        <v>201911</v>
      </c>
      <c r="B1148" s="3">
        <v>43799</v>
      </c>
      <c r="C1148" s="2" t="s">
        <v>2265</v>
      </c>
      <c r="D1148" s="2" t="s">
        <v>131</v>
      </c>
      <c r="E1148" s="2">
        <v>99.04</v>
      </c>
      <c r="F1148" s="2" t="s">
        <v>18</v>
      </c>
      <c r="J1148" s="2">
        <v>99.04</v>
      </c>
      <c r="K1148" s="2" t="b">
        <v>0</v>
      </c>
      <c r="L1148" s="2"/>
      <c r="M1148" s="2"/>
      <c r="N1148" s="4" t="s">
        <v>2259</v>
      </c>
      <c r="O1148" s="4" t="str">
        <f>LEFT(Table2[[#This Row],[Description]],75)</f>
        <v>American Family Insurance</v>
      </c>
      <c r="P1148" s="2" t="s">
        <v>2286</v>
      </c>
    </row>
    <row r="1149" spans="1:16" hidden="1">
      <c r="A1149" s="2">
        <v>201911</v>
      </c>
      <c r="B1149" s="3">
        <v>43799</v>
      </c>
      <c r="C1149" s="2" t="s">
        <v>2267</v>
      </c>
      <c r="D1149" s="2" t="s">
        <v>131</v>
      </c>
      <c r="E1149" s="2">
        <v>99.04</v>
      </c>
      <c r="F1149" s="2" t="s">
        <v>18</v>
      </c>
      <c r="J1149" s="2">
        <v>99.04</v>
      </c>
      <c r="K1149" s="2" t="b">
        <v>0</v>
      </c>
      <c r="L1149" s="2"/>
      <c r="M1149" s="2"/>
      <c r="N1149" s="4" t="s">
        <v>2259</v>
      </c>
      <c r="O1149" s="4" t="str">
        <f>LEFT(Table2[[#This Row],[Description]],75)</f>
        <v>American Family Insurance</v>
      </c>
      <c r="P1149" s="2" t="s">
        <v>2286</v>
      </c>
    </row>
    <row r="1150" spans="1:16" hidden="1">
      <c r="A1150" s="2">
        <v>201911</v>
      </c>
      <c r="B1150" s="3">
        <v>43799</v>
      </c>
      <c r="C1150" s="2" t="s">
        <v>2317</v>
      </c>
      <c r="D1150" s="2" t="s">
        <v>164</v>
      </c>
      <c r="E1150" s="2">
        <v>-42.68</v>
      </c>
      <c r="F1150" s="2" t="s">
        <v>69</v>
      </c>
      <c r="J1150" s="2">
        <v>42.68</v>
      </c>
      <c r="K1150" s="2" t="b">
        <v>0</v>
      </c>
      <c r="L1150" s="2"/>
      <c r="M1150" s="2"/>
      <c r="N1150" s="4" t="s">
        <v>2273</v>
      </c>
      <c r="O1150" s="4" t="str">
        <f>LEFT(Table2[[#This Row],[Description]],75)</f>
        <v>APPLE INC</v>
      </c>
      <c r="P1150" s="2" t="s">
        <v>2405</v>
      </c>
    </row>
    <row r="1151" spans="1:16" hidden="1">
      <c r="A1151" s="2">
        <v>201911</v>
      </c>
      <c r="B1151" s="3">
        <v>43799</v>
      </c>
      <c r="C1151" s="2" t="s">
        <v>2317</v>
      </c>
      <c r="D1151" s="2" t="s">
        <v>164</v>
      </c>
      <c r="E1151" s="2">
        <v>42.68</v>
      </c>
      <c r="F1151" s="2" t="s">
        <v>69</v>
      </c>
      <c r="J1151" s="2">
        <v>42.68</v>
      </c>
      <c r="K1151" s="2" t="b">
        <v>0</v>
      </c>
      <c r="L1151" s="2"/>
      <c r="M1151" s="2"/>
      <c r="N1151" s="4" t="s">
        <v>2259</v>
      </c>
      <c r="O1151" s="4" t="str">
        <f>LEFT(Table2[[#This Row],[Description]],75)</f>
        <v>APPLE INC</v>
      </c>
      <c r="P1151" s="2" t="s">
        <v>2405</v>
      </c>
    </row>
    <row r="1152" spans="1:16" hidden="1">
      <c r="A1152" s="2">
        <v>201911</v>
      </c>
      <c r="B1152" s="3">
        <v>43799</v>
      </c>
      <c r="C1152" s="2" t="s">
        <v>2310</v>
      </c>
      <c r="D1152" s="2" t="s">
        <v>167</v>
      </c>
      <c r="E1152" s="2">
        <v>-0.02</v>
      </c>
      <c r="F1152" s="2" t="s">
        <v>16</v>
      </c>
      <c r="J1152" s="2">
        <v>0.02</v>
      </c>
      <c r="K1152" s="2" t="b">
        <v>0</v>
      </c>
      <c r="L1152" s="2"/>
      <c r="M1152" s="2"/>
      <c r="N1152" s="4" t="s">
        <v>2273</v>
      </c>
      <c r="O1152" s="4" t="str">
        <f>LEFT(Table2[[#This Row],[Description]],75)</f>
        <v>Apy Earned</v>
      </c>
      <c r="P1152" s="2" t="s">
        <v>2281</v>
      </c>
    </row>
    <row r="1153" spans="1:16" hidden="1">
      <c r="A1153" s="2">
        <v>201911</v>
      </c>
      <c r="B1153" s="3">
        <v>43799</v>
      </c>
      <c r="C1153" s="2" t="s">
        <v>2262</v>
      </c>
      <c r="D1153" s="2" t="s">
        <v>174</v>
      </c>
      <c r="E1153" s="2">
        <v>179</v>
      </c>
      <c r="F1153" s="2" t="s">
        <v>21</v>
      </c>
      <c r="J1153" s="2">
        <v>179</v>
      </c>
      <c r="K1153" s="2" t="b">
        <v>0</v>
      </c>
      <c r="L1153" s="2"/>
      <c r="M1153" s="2"/>
      <c r="N1153" s="4" t="s">
        <v>2259</v>
      </c>
      <c r="O1153" s="4" t="str">
        <f>LEFT(Table2[[#This Row],[Description]],75)</f>
        <v>Asos.com</v>
      </c>
      <c r="P1153" s="2" t="s">
        <v>2363</v>
      </c>
    </row>
    <row r="1154" spans="1:16" hidden="1">
      <c r="A1154" s="2">
        <v>201911</v>
      </c>
      <c r="B1154" s="3">
        <v>43799</v>
      </c>
      <c r="C1154" s="2" t="s">
        <v>2262</v>
      </c>
      <c r="D1154" s="2" t="s">
        <v>174</v>
      </c>
      <c r="E1154" s="2">
        <v>-163</v>
      </c>
      <c r="F1154" s="2" t="s">
        <v>21</v>
      </c>
      <c r="J1154" s="2">
        <v>163</v>
      </c>
      <c r="K1154" s="2" t="b">
        <v>0</v>
      </c>
      <c r="L1154" s="2"/>
      <c r="M1154" s="2"/>
      <c r="N1154" s="4" t="s">
        <v>2273</v>
      </c>
      <c r="O1154" s="4" t="str">
        <f>LEFT(Table2[[#This Row],[Description]],75)</f>
        <v>Asos.com</v>
      </c>
      <c r="P1154" s="2" t="s">
        <v>2363</v>
      </c>
    </row>
    <row r="1155" spans="1:16" hidden="1">
      <c r="A1155" s="2">
        <v>201911</v>
      </c>
      <c r="B1155" s="3">
        <v>43799</v>
      </c>
      <c r="C1155" s="2" t="s">
        <v>2271</v>
      </c>
      <c r="D1155" s="2" t="s">
        <v>185</v>
      </c>
      <c r="E1155" s="2">
        <v>-106.69</v>
      </c>
      <c r="F1155" s="2" t="s">
        <v>21</v>
      </c>
      <c r="J1155" s="2">
        <v>106.69</v>
      </c>
      <c r="K1155" s="2" t="b">
        <v>0</v>
      </c>
      <c r="L1155" s="2"/>
      <c r="M1155" s="2"/>
      <c r="N1155" s="4" t="s">
        <v>2273</v>
      </c>
      <c r="O1155" s="4" t="str">
        <f>LEFT(Table2[[#This Row],[Description]],75)</f>
        <v>Auto</v>
      </c>
      <c r="P1155" s="2" t="s">
        <v>2281</v>
      </c>
    </row>
    <row r="1156" spans="1:16" hidden="1">
      <c r="A1156" s="2">
        <v>201911</v>
      </c>
      <c r="B1156" s="3">
        <v>43799</v>
      </c>
      <c r="C1156" s="2" t="s">
        <v>2355</v>
      </c>
      <c r="D1156" s="2" t="s">
        <v>240</v>
      </c>
      <c r="E1156" s="2">
        <v>-0.06</v>
      </c>
      <c r="F1156" s="2">
        <v>0</v>
      </c>
      <c r="J1156" s="2">
        <v>0.06</v>
      </c>
      <c r="K1156" s="2" t="b">
        <v>0</v>
      </c>
      <c r="L1156" s="2"/>
      <c r="M1156" s="2"/>
      <c r="N1156" s="4" t="s">
        <v>2273</v>
      </c>
      <c r="O1156" s="4" t="str">
        <f>LEFT(Table2[[#This Row],[Description]],75)</f>
        <v>BANK INT 101619-111519 SCHWAB BANK</v>
      </c>
      <c r="P1156" s="2"/>
    </row>
    <row r="1157" spans="1:16" hidden="1">
      <c r="A1157" s="2">
        <v>201911</v>
      </c>
      <c r="B1157" s="3">
        <v>43799</v>
      </c>
      <c r="C1157" s="2" t="s">
        <v>2275</v>
      </c>
      <c r="D1157" s="2" t="s">
        <v>240</v>
      </c>
      <c r="E1157" s="2">
        <v>-0.09</v>
      </c>
      <c r="F1157" s="2">
        <v>0</v>
      </c>
      <c r="J1157" s="2">
        <v>0.09</v>
      </c>
      <c r="K1157" s="2" t="b">
        <v>0</v>
      </c>
      <c r="L1157" s="2"/>
      <c r="M1157" s="2"/>
      <c r="N1157" s="4" t="s">
        <v>2273</v>
      </c>
      <c r="O1157" s="4" t="str">
        <f>LEFT(Table2[[#This Row],[Description]],75)</f>
        <v>BANK INT 101619-111519 SCHWAB BANK</v>
      </c>
      <c r="P1157" s="2"/>
    </row>
    <row r="1158" spans="1:16" hidden="1">
      <c r="A1158" s="2">
        <v>201911</v>
      </c>
      <c r="B1158" s="3">
        <v>43799</v>
      </c>
      <c r="C1158" s="2" t="s">
        <v>2277</v>
      </c>
      <c r="D1158" s="2" t="s">
        <v>240</v>
      </c>
      <c r="E1158" s="2">
        <v>-0.15</v>
      </c>
      <c r="F1158" s="2">
        <v>0</v>
      </c>
      <c r="J1158" s="2">
        <v>0.15</v>
      </c>
      <c r="K1158" s="2" t="b">
        <v>0</v>
      </c>
      <c r="L1158" s="2"/>
      <c r="M1158" s="2"/>
      <c r="N1158" s="4" t="s">
        <v>2273</v>
      </c>
      <c r="O1158" s="4" t="str">
        <f>LEFT(Table2[[#This Row],[Description]],75)</f>
        <v>BANK INT 101619-111519 SCHWAB BANK</v>
      </c>
      <c r="P1158" s="2"/>
    </row>
    <row r="1159" spans="1:16" hidden="1">
      <c r="A1159" s="2">
        <v>201911</v>
      </c>
      <c r="B1159" s="3">
        <v>43799</v>
      </c>
      <c r="C1159" s="2" t="s">
        <v>2262</v>
      </c>
      <c r="D1159" s="2" t="s">
        <v>284</v>
      </c>
      <c r="E1159" s="2">
        <v>68.78</v>
      </c>
      <c r="F1159" s="2" t="s">
        <v>41</v>
      </c>
      <c r="J1159" s="2">
        <v>68.78</v>
      </c>
      <c r="K1159" s="2" t="b">
        <v>0</v>
      </c>
      <c r="L1159" s="2"/>
      <c r="M1159" s="2"/>
      <c r="N1159" s="4" t="s">
        <v>2259</v>
      </c>
      <c r="O1159" s="4" t="str">
        <f>LEFT(Table2[[#This Row],[Description]],75)</f>
        <v>BEST CLEANERS EX 5 EXCELSIOR MN 265419530</v>
      </c>
      <c r="P1159" s="2" t="s">
        <v>2406</v>
      </c>
    </row>
    <row r="1160" spans="1:16" hidden="1">
      <c r="A1160" s="2">
        <v>201911</v>
      </c>
      <c r="B1160" s="3">
        <v>43799</v>
      </c>
      <c r="C1160" s="2" t="s">
        <v>2317</v>
      </c>
      <c r="D1160" s="2" t="s">
        <v>354</v>
      </c>
      <c r="E1160" s="2">
        <v>-200</v>
      </c>
      <c r="F1160" s="2" t="s">
        <v>57</v>
      </c>
      <c r="J1160" s="2">
        <v>200</v>
      </c>
      <c r="K1160" s="2" t="b">
        <v>0</v>
      </c>
      <c r="L1160" s="2"/>
      <c r="M1160" s="2"/>
      <c r="N1160" s="4" t="s">
        <v>2273</v>
      </c>
      <c r="O1160" s="4" t="str">
        <f>LEFT(Table2[[#This Row],[Description]],75)</f>
        <v>CARGILL COCOA &amp;</v>
      </c>
      <c r="P1160" s="2" t="s">
        <v>2354</v>
      </c>
    </row>
    <row r="1161" spans="1:16" hidden="1">
      <c r="A1161" s="2">
        <v>201911</v>
      </c>
      <c r="B1161" s="3">
        <v>43799</v>
      </c>
      <c r="C1161" s="2" t="s">
        <v>2317</v>
      </c>
      <c r="D1161" s="2" t="s">
        <v>354</v>
      </c>
      <c r="E1161" s="2">
        <v>-200</v>
      </c>
      <c r="F1161" s="2" t="s">
        <v>57</v>
      </c>
      <c r="J1161" s="2">
        <v>200</v>
      </c>
      <c r="K1161" s="2" t="b">
        <v>0</v>
      </c>
      <c r="L1161" s="2"/>
      <c r="M1161" s="2"/>
      <c r="N1161" s="4" t="s">
        <v>2273</v>
      </c>
      <c r="O1161" s="4" t="str">
        <f>LEFT(Table2[[#This Row],[Description]],75)</f>
        <v>CARGILL COCOA &amp;</v>
      </c>
      <c r="P1161" s="2" t="s">
        <v>2354</v>
      </c>
    </row>
    <row r="1162" spans="1:16" hidden="1">
      <c r="A1162" s="2">
        <v>201911</v>
      </c>
      <c r="B1162" s="3">
        <v>43799</v>
      </c>
      <c r="C1162" s="2" t="s">
        <v>2265</v>
      </c>
      <c r="D1162" s="2" t="s">
        <v>379</v>
      </c>
      <c r="E1162" s="2">
        <v>-544.44000000000005</v>
      </c>
      <c r="F1162" s="2" t="s">
        <v>65</v>
      </c>
      <c r="J1162" s="2">
        <v>544.44000000000005</v>
      </c>
      <c r="K1162" s="2" t="b">
        <v>0</v>
      </c>
      <c r="L1162" s="2"/>
      <c r="M1162" s="2"/>
      <c r="N1162" s="4" t="s">
        <v>2273</v>
      </c>
      <c r="O1162" s="4" t="str">
        <f>LEFT(Table2[[#This Row],[Description]],75)</f>
        <v xml:space="preserve">CARGILL COCOA TYPE DIR DEP ID CO CARGILL COCOA ACH ECC PPD ACH Trace 47202 </v>
      </c>
      <c r="P1162" s="2" t="s">
        <v>2284</v>
      </c>
    </row>
    <row r="1163" spans="1:16" hidden="1">
      <c r="A1163" s="2">
        <v>201911</v>
      </c>
      <c r="B1163" s="3">
        <v>43799</v>
      </c>
      <c r="C1163" s="2" t="s">
        <v>2267</v>
      </c>
      <c r="D1163" s="2" t="s">
        <v>379</v>
      </c>
      <c r="E1163" s="2">
        <v>-544.44000000000005</v>
      </c>
      <c r="F1163" s="2" t="s">
        <v>65</v>
      </c>
      <c r="J1163" s="2">
        <v>544.44000000000005</v>
      </c>
      <c r="K1163" s="2" t="b">
        <v>0</v>
      </c>
      <c r="L1163" s="2"/>
      <c r="M1163" s="2"/>
      <c r="N1163" s="4" t="s">
        <v>2273</v>
      </c>
      <c r="O1163" s="4" t="str">
        <f>LEFT(Table2[[#This Row],[Description]],75)</f>
        <v xml:space="preserve">CARGILL COCOA TYPE DIR DEP ID CO CARGILL COCOA ACH ECC PPD ACH Trace 47202 </v>
      </c>
      <c r="P1163" s="2" t="s">
        <v>2284</v>
      </c>
    </row>
    <row r="1164" spans="1:16" hidden="1">
      <c r="A1164" s="2">
        <v>201911</v>
      </c>
      <c r="B1164" s="3">
        <v>43799</v>
      </c>
      <c r="C1164" s="2" t="s">
        <v>2265</v>
      </c>
      <c r="D1164" s="2" t="s">
        <v>391</v>
      </c>
      <c r="E1164" s="2">
        <v>-2363.7600000000002</v>
      </c>
      <c r="F1164" s="2" t="s">
        <v>65</v>
      </c>
      <c r="J1164" s="2">
        <v>2363.7600000000002</v>
      </c>
      <c r="K1164" s="2" t="b">
        <v>0</v>
      </c>
      <c r="L1164" s="2"/>
      <c r="M1164" s="2"/>
      <c r="N1164" s="4" t="s">
        <v>2273</v>
      </c>
      <c r="O1164" s="4" t="str">
        <f>LEFT(Table2[[#This Row],[Description]],75)</f>
        <v xml:space="preserve">CARGILL COCOA TYPE DIR DEP ID CO CARGILL COCOA ACH ECC PPD ACH Trace 81531 </v>
      </c>
      <c r="P1164" s="2" t="s">
        <v>2284</v>
      </c>
    </row>
    <row r="1165" spans="1:16" hidden="1">
      <c r="A1165" s="2">
        <v>201911</v>
      </c>
      <c r="B1165" s="3">
        <v>43799</v>
      </c>
      <c r="C1165" s="2" t="s">
        <v>2267</v>
      </c>
      <c r="D1165" s="2" t="s">
        <v>391</v>
      </c>
      <c r="E1165" s="2">
        <v>-2363.7600000000002</v>
      </c>
      <c r="F1165" s="2" t="s">
        <v>65</v>
      </c>
      <c r="J1165" s="2">
        <v>2363.7600000000002</v>
      </c>
      <c r="K1165" s="2" t="b">
        <v>0</v>
      </c>
      <c r="L1165" s="2"/>
      <c r="M1165" s="2"/>
      <c r="N1165" s="4" t="s">
        <v>2273</v>
      </c>
      <c r="O1165" s="4" t="str">
        <f>LEFT(Table2[[#This Row],[Description]],75)</f>
        <v xml:space="preserve">CARGILL COCOA TYPE DIR DEP ID CO CARGILL COCOA ACH ECC PPD ACH Trace 81531 </v>
      </c>
      <c r="P1165" s="2" t="s">
        <v>2284</v>
      </c>
    </row>
    <row r="1166" spans="1:16" hidden="1">
      <c r="A1166" s="2">
        <v>201911</v>
      </c>
      <c r="B1166" s="3">
        <v>43799</v>
      </c>
      <c r="C1166" s="2" t="s">
        <v>2265</v>
      </c>
      <c r="D1166" s="2" t="s">
        <v>425</v>
      </c>
      <c r="E1166" s="2">
        <v>-144.87</v>
      </c>
      <c r="F1166" s="2" t="s">
        <v>16</v>
      </c>
      <c r="J1166" s="2">
        <v>144.87</v>
      </c>
      <c r="K1166" s="2" t="b">
        <v>0</v>
      </c>
      <c r="L1166" s="2"/>
      <c r="M1166" s="2"/>
      <c r="N1166" s="4" t="s">
        <v>2273</v>
      </c>
      <c r="O1166" s="4" t="str">
        <f>LEFT(Table2[[#This Row],[Description]],75)</f>
        <v>Cargill Incorpor Type</v>
      </c>
      <c r="P1166" s="2" t="s">
        <v>2282</v>
      </c>
    </row>
    <row r="1167" spans="1:16" hidden="1">
      <c r="A1167" s="2">
        <v>201911</v>
      </c>
      <c r="B1167" s="3">
        <v>43799</v>
      </c>
      <c r="C1167" s="2" t="s">
        <v>2267</v>
      </c>
      <c r="D1167" s="2" t="s">
        <v>425</v>
      </c>
      <c r="E1167" s="2">
        <v>-144.87</v>
      </c>
      <c r="F1167" s="2" t="s">
        <v>16</v>
      </c>
      <c r="J1167" s="2">
        <v>144.87</v>
      </c>
      <c r="K1167" s="2" t="b">
        <v>0</v>
      </c>
      <c r="L1167" s="2"/>
      <c r="M1167" s="2"/>
      <c r="N1167" s="4" t="s">
        <v>2273</v>
      </c>
      <c r="O1167" s="4" t="str">
        <f>LEFT(Table2[[#This Row],[Description]],75)</f>
        <v>Cargill Incorpor Type</v>
      </c>
      <c r="P1167" s="2" t="s">
        <v>2282</v>
      </c>
    </row>
    <row r="1168" spans="1:16" hidden="1">
      <c r="A1168" s="2">
        <v>201911</v>
      </c>
      <c r="B1168" s="3">
        <v>43799</v>
      </c>
      <c r="C1168" s="2" t="s">
        <v>2265</v>
      </c>
      <c r="D1168" s="2" t="s">
        <v>483</v>
      </c>
      <c r="E1168" s="2">
        <v>142.5</v>
      </c>
      <c r="F1168" s="2" t="s">
        <v>20</v>
      </c>
      <c r="J1168" s="2">
        <v>142.5</v>
      </c>
      <c r="K1168" s="2" t="b">
        <v>0</v>
      </c>
      <c r="L1168" s="2"/>
      <c r="M1168" s="2"/>
      <c r="N1168" s="4" t="s">
        <v>2259</v>
      </c>
      <c r="O1168" s="4" t="str">
        <f>LEFT(Table2[[#This Row],[Description]],75)</f>
        <v>CCLC TYPE INTERNET ID CO CCLC ACH ECC WEB ACH Trace 64860 268184995</v>
      </c>
      <c r="P1168" s="2" t="s">
        <v>2268</v>
      </c>
    </row>
    <row r="1169" spans="1:16" hidden="1">
      <c r="A1169" s="2">
        <v>201911</v>
      </c>
      <c r="B1169" s="3">
        <v>43799</v>
      </c>
      <c r="C1169" s="2" t="s">
        <v>2267</v>
      </c>
      <c r="D1169" s="2" t="s">
        <v>483</v>
      </c>
      <c r="E1169" s="2">
        <v>142.5</v>
      </c>
      <c r="F1169" s="2" t="s">
        <v>20</v>
      </c>
      <c r="J1169" s="2">
        <v>142.5</v>
      </c>
      <c r="K1169" s="2" t="b">
        <v>0</v>
      </c>
      <c r="L1169" s="2"/>
      <c r="M1169" s="2"/>
      <c r="N1169" s="4" t="s">
        <v>2259</v>
      </c>
      <c r="O1169" s="4" t="str">
        <f>LEFT(Table2[[#This Row],[Description]],75)</f>
        <v>CCLC TYPE INTERNET ID CO CCLC ACH ECC WEB ACH Trace 64860 268184995</v>
      </c>
      <c r="P1169" s="2" t="s">
        <v>2268</v>
      </c>
    </row>
    <row r="1170" spans="1:16" hidden="1">
      <c r="A1170" s="2">
        <v>201911</v>
      </c>
      <c r="B1170" s="3">
        <v>43799</v>
      </c>
      <c r="C1170" s="2" t="s">
        <v>2265</v>
      </c>
      <c r="D1170" s="2" t="s">
        <v>486</v>
      </c>
      <c r="E1170" s="2">
        <v>247.95</v>
      </c>
      <c r="F1170" s="2" t="s">
        <v>20</v>
      </c>
      <c r="J1170" s="2">
        <v>247.95</v>
      </c>
      <c r="K1170" s="2" t="b">
        <v>0</v>
      </c>
      <c r="L1170" s="2"/>
      <c r="M1170" s="2"/>
      <c r="N1170" s="4" t="s">
        <v>2259</v>
      </c>
      <c r="O1170" s="4" t="str">
        <f>LEFT(Table2[[#This Row],[Description]],75)</f>
        <v>CCLC TYPE INTERNET ID CO CCLC ACH ECC WEB ACH Trace 75272 265104588</v>
      </c>
      <c r="P1170" s="2" t="s">
        <v>2268</v>
      </c>
    </row>
    <row r="1171" spans="1:16" hidden="1">
      <c r="A1171" s="2">
        <v>201911</v>
      </c>
      <c r="B1171" s="3">
        <v>43799</v>
      </c>
      <c r="C1171" s="2" t="s">
        <v>2267</v>
      </c>
      <c r="D1171" s="2" t="s">
        <v>486</v>
      </c>
      <c r="E1171" s="2">
        <v>247.95</v>
      </c>
      <c r="F1171" s="2" t="s">
        <v>20</v>
      </c>
      <c r="J1171" s="2">
        <v>247.95</v>
      </c>
      <c r="K1171" s="2" t="b">
        <v>0</v>
      </c>
      <c r="L1171" s="2"/>
      <c r="M1171" s="2"/>
      <c r="N1171" s="4" t="s">
        <v>2259</v>
      </c>
      <c r="O1171" s="4" t="str">
        <f>LEFT(Table2[[#This Row],[Description]],75)</f>
        <v>CCLC TYPE INTERNET ID CO CCLC ACH ECC WEB ACH Trace 75272 265104588</v>
      </c>
      <c r="P1171" s="2" t="s">
        <v>2268</v>
      </c>
    </row>
    <row r="1172" spans="1:16" hidden="1">
      <c r="A1172" s="2">
        <v>201911</v>
      </c>
      <c r="B1172" s="3">
        <v>43799</v>
      </c>
      <c r="C1172" s="2" t="s">
        <v>2265</v>
      </c>
      <c r="D1172" s="2" t="s">
        <v>488</v>
      </c>
      <c r="E1172" s="2">
        <v>247.95</v>
      </c>
      <c r="F1172" s="2" t="s">
        <v>20</v>
      </c>
      <c r="J1172" s="2">
        <v>247.95</v>
      </c>
      <c r="K1172" s="2" t="b">
        <v>0</v>
      </c>
      <c r="L1172" s="2"/>
      <c r="M1172" s="2"/>
      <c r="N1172" s="4" t="s">
        <v>2259</v>
      </c>
      <c r="O1172" s="4" t="str">
        <f>LEFT(Table2[[#This Row],[Description]],75)</f>
        <v>CCLC TYPE INTERNET ID CO CCLC ACH ECC WEB ACH Trace 86314 266827683</v>
      </c>
      <c r="P1172" s="2" t="s">
        <v>2268</v>
      </c>
    </row>
    <row r="1173" spans="1:16" hidden="1">
      <c r="A1173" s="2">
        <v>201911</v>
      </c>
      <c r="B1173" s="3">
        <v>43799</v>
      </c>
      <c r="C1173" s="2" t="s">
        <v>2267</v>
      </c>
      <c r="D1173" s="2" t="s">
        <v>488</v>
      </c>
      <c r="E1173" s="2">
        <v>247.95</v>
      </c>
      <c r="F1173" s="2" t="s">
        <v>20</v>
      </c>
      <c r="J1173" s="2">
        <v>247.95</v>
      </c>
      <c r="K1173" s="2" t="b">
        <v>0</v>
      </c>
      <c r="L1173" s="2"/>
      <c r="M1173" s="2"/>
      <c r="N1173" s="4" t="s">
        <v>2259</v>
      </c>
      <c r="O1173" s="4" t="str">
        <f>LEFT(Table2[[#This Row],[Description]],75)</f>
        <v>CCLC TYPE INTERNET ID CO CCLC ACH ECC WEB ACH Trace 86314 266827683</v>
      </c>
      <c r="P1173" s="2" t="s">
        <v>2268</v>
      </c>
    </row>
    <row r="1174" spans="1:16" hidden="1">
      <c r="A1174" s="2">
        <v>201911</v>
      </c>
      <c r="B1174" s="3">
        <v>43799</v>
      </c>
      <c r="C1174" s="2" t="s">
        <v>2262</v>
      </c>
      <c r="D1174" s="2" t="s">
        <v>492</v>
      </c>
      <c r="E1174" s="2">
        <v>5.4</v>
      </c>
      <c r="F1174" s="2" t="s">
        <v>23</v>
      </c>
      <c r="J1174" s="2">
        <v>5.4</v>
      </c>
      <c r="K1174" s="2" t="b">
        <v>0</v>
      </c>
      <c r="L1174" s="2"/>
      <c r="M1174" s="2"/>
      <c r="N1174" s="4" t="s">
        <v>2259</v>
      </c>
      <c r="O1174" s="4" t="str">
        <f>LEFT(Table2[[#This Row],[Description]],75)</f>
        <v>CEFCO 60 FRANKLIN TX 264645343</v>
      </c>
      <c r="P1174" s="2" t="s">
        <v>2407</v>
      </c>
    </row>
    <row r="1175" spans="1:16" hidden="1">
      <c r="A1175" s="2">
        <v>201911</v>
      </c>
      <c r="B1175" s="3">
        <v>43799</v>
      </c>
      <c r="C1175" s="2" t="s">
        <v>2262</v>
      </c>
      <c r="D1175" s="2" t="s">
        <v>506</v>
      </c>
      <c r="E1175" s="2">
        <v>45</v>
      </c>
      <c r="F1175" s="2" t="s">
        <v>7</v>
      </c>
      <c r="J1175" s="2">
        <v>45</v>
      </c>
      <c r="K1175" s="2" t="b">
        <v>0</v>
      </c>
      <c r="L1175" s="2"/>
      <c r="M1175" s="2"/>
      <c r="N1175" s="4" t="s">
        <v>2259</v>
      </c>
      <c r="O1175" s="4" t="str">
        <f>LEFT(Table2[[#This Row],[Description]],75)</f>
        <v>CenturyLink</v>
      </c>
      <c r="P1175" s="2" t="s">
        <v>2408</v>
      </c>
    </row>
    <row r="1176" spans="1:16" hidden="1">
      <c r="A1176" s="2">
        <v>201911</v>
      </c>
      <c r="B1176" s="3">
        <v>43799</v>
      </c>
      <c r="C1176" s="2" t="s">
        <v>2262</v>
      </c>
      <c r="D1176" s="2" t="s">
        <v>539</v>
      </c>
      <c r="E1176" s="2">
        <v>159</v>
      </c>
      <c r="F1176" s="2" t="s">
        <v>21</v>
      </c>
      <c r="J1176" s="2">
        <v>159</v>
      </c>
      <c r="K1176" s="2" t="b">
        <v>0</v>
      </c>
      <c r="L1176" s="2"/>
      <c r="M1176" s="2"/>
      <c r="N1176" s="4" t="s">
        <v>2259</v>
      </c>
      <c r="O1176" s="4" t="str">
        <f>LEFT(Table2[[#This Row],[Description]],75)</f>
        <v>Children's</v>
      </c>
      <c r="P1176" s="2" t="s">
        <v>2281</v>
      </c>
    </row>
    <row r="1177" spans="1:16" hidden="1">
      <c r="A1177" s="2">
        <v>201911</v>
      </c>
      <c r="B1177" s="3">
        <v>43799</v>
      </c>
      <c r="C1177" s="2" t="s">
        <v>2262</v>
      </c>
      <c r="D1177" s="2" t="s">
        <v>648</v>
      </c>
      <c r="E1177" s="2">
        <v>247.93</v>
      </c>
      <c r="F1177" s="2" t="s">
        <v>28</v>
      </c>
      <c r="J1177" s="2">
        <v>247.93</v>
      </c>
      <c r="K1177" s="2" t="b">
        <v>0</v>
      </c>
      <c r="L1177" s="2"/>
      <c r="M1177" s="2"/>
      <c r="N1177" s="4" t="s">
        <v>2259</v>
      </c>
      <c r="O1177" s="4" t="str">
        <f>LEFT(Table2[[#This Row],[Description]],75)</f>
        <v>Costco</v>
      </c>
      <c r="P1177" s="2" t="s">
        <v>2409</v>
      </c>
    </row>
    <row r="1178" spans="1:16" hidden="1">
      <c r="A1178" s="2">
        <v>201911</v>
      </c>
      <c r="B1178" s="3">
        <v>43799</v>
      </c>
      <c r="C1178" s="2" t="s">
        <v>2265</v>
      </c>
      <c r="D1178" s="2" t="s">
        <v>659</v>
      </c>
      <c r="E1178" s="2">
        <v>40.909999999999997</v>
      </c>
      <c r="F1178" s="2" t="s">
        <v>7</v>
      </c>
      <c r="J1178" s="2">
        <v>40.909999999999997</v>
      </c>
      <c r="K1178" s="2" t="b">
        <v>0</v>
      </c>
      <c r="L1178" s="2"/>
      <c r="M1178" s="2"/>
      <c r="N1178" s="4" t="s">
        <v>2259</v>
      </c>
      <c r="O1178" s="4" t="str">
        <f>LEFT(Table2[[#This Row],[Description]],75)</f>
        <v xml:space="preserve">CPENERGY MNGCO TYPE MGC ACH EB ID 176051140S CO CPENERGY MNGCO ACH ECC WEB </v>
      </c>
      <c r="P1178" s="2" t="s">
        <v>2399</v>
      </c>
    </row>
    <row r="1179" spans="1:16" hidden="1">
      <c r="A1179" s="2">
        <v>201911</v>
      </c>
      <c r="B1179" s="3">
        <v>43799</v>
      </c>
      <c r="C1179" s="2" t="s">
        <v>2267</v>
      </c>
      <c r="D1179" s="2" t="s">
        <v>659</v>
      </c>
      <c r="E1179" s="2">
        <v>40.909999999999997</v>
      </c>
      <c r="F1179" s="2" t="s">
        <v>7</v>
      </c>
      <c r="J1179" s="2">
        <v>40.909999999999997</v>
      </c>
      <c r="K1179" s="2" t="b">
        <v>0</v>
      </c>
      <c r="L1179" s="2"/>
      <c r="M1179" s="2"/>
      <c r="N1179" s="4" t="s">
        <v>2259</v>
      </c>
      <c r="O1179" s="4" t="str">
        <f>LEFT(Table2[[#This Row],[Description]],75)</f>
        <v xml:space="preserve">CPENERGY MNGCO TYPE MGC ACH EB ID 176051140S CO CPENERGY MNGCO ACH ECC WEB </v>
      </c>
      <c r="P1179" s="2" t="s">
        <v>2399</v>
      </c>
    </row>
    <row r="1180" spans="1:16" hidden="1">
      <c r="A1180" s="2">
        <v>201911</v>
      </c>
      <c r="B1180" s="3">
        <v>43799</v>
      </c>
      <c r="C1180" s="2" t="s">
        <v>2262</v>
      </c>
      <c r="D1180" s="2" t="s">
        <v>684</v>
      </c>
      <c r="E1180" s="2">
        <v>80.78</v>
      </c>
      <c r="F1180" s="2" t="s">
        <v>28</v>
      </c>
      <c r="J1180" s="2">
        <v>80.78</v>
      </c>
      <c r="K1180" s="2" t="b">
        <v>0</v>
      </c>
      <c r="L1180" s="2"/>
      <c r="M1180" s="2"/>
      <c r="N1180" s="4" t="s">
        <v>2259</v>
      </c>
      <c r="O1180" s="4" t="str">
        <f>LEFT(Table2[[#This Row],[Description]],75)</f>
        <v>Cub Foods</v>
      </c>
      <c r="P1180" s="2" t="s">
        <v>2370</v>
      </c>
    </row>
    <row r="1181" spans="1:16" hidden="1">
      <c r="A1181" s="2">
        <v>201911</v>
      </c>
      <c r="B1181" s="3">
        <v>43799</v>
      </c>
      <c r="C1181" s="2" t="s">
        <v>2262</v>
      </c>
      <c r="D1181" s="2" t="s">
        <v>684</v>
      </c>
      <c r="E1181" s="2">
        <v>132.94999999999999</v>
      </c>
      <c r="F1181" s="2" t="s">
        <v>28</v>
      </c>
      <c r="J1181" s="2">
        <v>132.94999999999999</v>
      </c>
      <c r="K1181" s="2" t="b">
        <v>0</v>
      </c>
      <c r="L1181" s="2"/>
      <c r="M1181" s="2"/>
      <c r="N1181" s="4" t="s">
        <v>2259</v>
      </c>
      <c r="O1181" s="4" t="str">
        <f>LEFT(Table2[[#This Row],[Description]],75)</f>
        <v>Cub Foods</v>
      </c>
      <c r="P1181" s="2" t="s">
        <v>2370</v>
      </c>
    </row>
    <row r="1182" spans="1:16" hidden="1">
      <c r="A1182" s="2">
        <v>201911</v>
      </c>
      <c r="B1182" s="3">
        <v>43799</v>
      </c>
      <c r="C1182" s="2" t="s">
        <v>2262</v>
      </c>
      <c r="D1182" s="2" t="s">
        <v>724</v>
      </c>
      <c r="E1182" s="2">
        <v>182.54</v>
      </c>
      <c r="F1182" s="2" t="s">
        <v>2</v>
      </c>
      <c r="J1182" s="2">
        <v>182.54</v>
      </c>
      <c r="K1182" s="2" t="b">
        <v>0</v>
      </c>
      <c r="L1182" s="2"/>
      <c r="M1182" s="2"/>
      <c r="N1182" s="4" t="s">
        <v>2259</v>
      </c>
      <c r="O1182" s="4" t="str">
        <f>LEFT(Table2[[#This Row],[Description]],75)</f>
        <v>DETAILS RESIDENTIAL SRVC 6122161751 MN 266345819</v>
      </c>
      <c r="P1182" s="2" t="s">
        <v>2281</v>
      </c>
    </row>
    <row r="1183" spans="1:16" hidden="1">
      <c r="A1183" s="2">
        <v>201911</v>
      </c>
      <c r="B1183" s="3">
        <v>43799</v>
      </c>
      <c r="C1183" s="2" t="s">
        <v>2258</v>
      </c>
      <c r="D1183" s="2" t="s">
        <v>830</v>
      </c>
      <c r="E1183" s="2">
        <v>17.66</v>
      </c>
      <c r="F1183" s="2">
        <v>0</v>
      </c>
      <c r="J1183" s="2">
        <v>17.66</v>
      </c>
      <c r="K1183" s="2" t="b">
        <v>0</v>
      </c>
      <c r="L1183" s="2"/>
      <c r="M1183" s="2"/>
      <c r="N1183" s="4" t="s">
        <v>2259</v>
      </c>
      <c r="O1183" s="4" t="str">
        <f>LEFT(Table2[[#This Row],[Description]],75)</f>
        <v>Excelsior</v>
      </c>
      <c r="P1183" s="2"/>
    </row>
    <row r="1184" spans="1:16" hidden="1">
      <c r="A1184" s="2">
        <v>201911</v>
      </c>
      <c r="B1184" s="3">
        <v>43799</v>
      </c>
      <c r="C1184" s="2" t="s">
        <v>2261</v>
      </c>
      <c r="D1184" s="2" t="s">
        <v>830</v>
      </c>
      <c r="E1184" s="2">
        <v>17.66</v>
      </c>
      <c r="F1184" s="2" t="s">
        <v>21</v>
      </c>
      <c r="J1184" s="2">
        <v>17.66</v>
      </c>
      <c r="K1184" s="2" t="b">
        <v>0</v>
      </c>
      <c r="L1184" s="2"/>
      <c r="M1184" s="2"/>
      <c r="N1184" s="4" t="s">
        <v>2259</v>
      </c>
      <c r="O1184" s="4" t="str">
        <f>LEFT(Table2[[#This Row],[Description]],75)</f>
        <v>Excelsior</v>
      </c>
      <c r="P1184" s="2" t="s">
        <v>2281</v>
      </c>
    </row>
    <row r="1185" spans="1:16" hidden="1">
      <c r="A1185" s="2">
        <v>201911</v>
      </c>
      <c r="B1185" s="3">
        <v>43799</v>
      </c>
      <c r="C1185" s="2" t="s">
        <v>2262</v>
      </c>
      <c r="D1185" s="2" t="s">
        <v>831</v>
      </c>
      <c r="E1185" s="2">
        <v>43.2</v>
      </c>
      <c r="F1185" s="2" t="s">
        <v>26</v>
      </c>
      <c r="J1185" s="2">
        <v>43.2</v>
      </c>
      <c r="K1185" s="2" t="b">
        <v>0</v>
      </c>
      <c r="L1185" s="2"/>
      <c r="M1185" s="2"/>
      <c r="N1185" s="4" t="s">
        <v>2259</v>
      </c>
      <c r="O1185" s="4" t="str">
        <f>LEFT(Table2[[#This Row],[Description]],75)</f>
        <v>Excelsior Brewing</v>
      </c>
      <c r="P1185" s="2" t="s">
        <v>2410</v>
      </c>
    </row>
    <row r="1186" spans="1:16" hidden="1">
      <c r="A1186" s="2">
        <v>201911</v>
      </c>
      <c r="B1186" s="3">
        <v>43799</v>
      </c>
      <c r="C1186" s="2" t="s">
        <v>2262</v>
      </c>
      <c r="D1186" s="2" t="s">
        <v>899</v>
      </c>
      <c r="E1186" s="2">
        <v>6.5</v>
      </c>
      <c r="F1186" s="2" t="s">
        <v>23</v>
      </c>
      <c r="J1186" s="2">
        <v>6.5</v>
      </c>
      <c r="K1186" s="2" t="b">
        <v>0</v>
      </c>
      <c r="L1186" s="2"/>
      <c r="M1186" s="2"/>
      <c r="N1186" s="4" t="s">
        <v>2259</v>
      </c>
      <c r="O1186" s="4" t="str">
        <f>LEFT(Table2[[#This Row],[Description]],75)</f>
        <v>GoGoAir</v>
      </c>
      <c r="P1186" s="2" t="s">
        <v>2411</v>
      </c>
    </row>
    <row r="1187" spans="1:16" hidden="1">
      <c r="A1187" s="2">
        <v>201911</v>
      </c>
      <c r="B1187" s="3">
        <v>43799</v>
      </c>
      <c r="C1187" s="2" t="s">
        <v>2262</v>
      </c>
      <c r="D1187" s="2" t="s">
        <v>919</v>
      </c>
      <c r="E1187" s="2">
        <v>18</v>
      </c>
      <c r="F1187" s="2" t="s">
        <v>40</v>
      </c>
      <c r="J1187" s="2">
        <v>18</v>
      </c>
      <c r="K1187" s="2" t="b">
        <v>0</v>
      </c>
      <c r="L1187" s="2"/>
      <c r="M1187" s="2"/>
      <c r="N1187" s="4" t="s">
        <v>2259</v>
      </c>
      <c r="O1187" s="4" t="str">
        <f>LEFT(Table2[[#This Row],[Description]],75)</f>
        <v>Harvard Business</v>
      </c>
      <c r="P1187" s="2" t="s">
        <v>2412</v>
      </c>
    </row>
    <row r="1188" spans="1:16" hidden="1">
      <c r="A1188" s="2">
        <v>201911</v>
      </c>
      <c r="B1188" s="3">
        <v>43799</v>
      </c>
      <c r="C1188" s="2" t="s">
        <v>2262</v>
      </c>
      <c r="D1188" s="2" t="s">
        <v>938</v>
      </c>
      <c r="E1188" s="2">
        <v>-64.45</v>
      </c>
      <c r="F1188" s="2" t="s">
        <v>21</v>
      </c>
      <c r="J1188" s="2">
        <v>64.45</v>
      </c>
      <c r="K1188" s="2" t="b">
        <v>0</v>
      </c>
      <c r="L1188" s="2"/>
      <c r="M1188" s="2"/>
      <c r="N1188" s="4" t="s">
        <v>2273</v>
      </c>
      <c r="O1188" s="4" t="str">
        <f>LEFT(Table2[[#This Row],[Description]],75)</f>
        <v>Hobby Lobby</v>
      </c>
      <c r="P1188" s="2" t="s">
        <v>2413</v>
      </c>
    </row>
    <row r="1189" spans="1:16" hidden="1">
      <c r="A1189" s="2">
        <v>201911</v>
      </c>
      <c r="B1189" s="3">
        <v>43799</v>
      </c>
      <c r="C1189" s="2" t="s">
        <v>2262</v>
      </c>
      <c r="D1189" s="2" t="s">
        <v>944</v>
      </c>
      <c r="E1189" s="2">
        <v>15.87</v>
      </c>
      <c r="F1189" s="2" t="s">
        <v>23</v>
      </c>
      <c r="J1189" s="2">
        <v>15.87</v>
      </c>
      <c r="K1189" s="2" t="b">
        <v>0</v>
      </c>
      <c r="L1189" s="2"/>
      <c r="M1189" s="2"/>
      <c r="N1189" s="4" t="s">
        <v>2259</v>
      </c>
      <c r="O1189" s="4" t="str">
        <f>LEFT(Table2[[#This Row],[Description]],75)</f>
        <v>Holiday Stationstore</v>
      </c>
      <c r="P1189" s="2" t="s">
        <v>2374</v>
      </c>
    </row>
    <row r="1190" spans="1:16" hidden="1">
      <c r="A1190" s="2">
        <v>201911</v>
      </c>
      <c r="B1190" s="3">
        <v>43799</v>
      </c>
      <c r="C1190" s="2" t="s">
        <v>2271</v>
      </c>
      <c r="D1190" s="2" t="s">
        <v>944</v>
      </c>
      <c r="E1190" s="2">
        <v>19.2</v>
      </c>
      <c r="F1190" s="2" t="s">
        <v>23</v>
      </c>
      <c r="J1190" s="2">
        <v>19.2</v>
      </c>
      <c r="K1190" s="2" t="b">
        <v>0</v>
      </c>
      <c r="L1190" s="2"/>
      <c r="M1190" s="2"/>
      <c r="N1190" s="4" t="s">
        <v>2259</v>
      </c>
      <c r="O1190" s="4" t="str">
        <f>LEFT(Table2[[#This Row],[Description]],75)</f>
        <v>Holiday Stationstore</v>
      </c>
      <c r="P1190" s="2" t="s">
        <v>2374</v>
      </c>
    </row>
    <row r="1191" spans="1:16" hidden="1">
      <c r="A1191" s="2">
        <v>201911</v>
      </c>
      <c r="B1191" s="3">
        <v>43799</v>
      </c>
      <c r="C1191" s="2" t="s">
        <v>2262</v>
      </c>
      <c r="D1191" s="2" t="s">
        <v>947</v>
      </c>
      <c r="E1191" s="2">
        <v>10.72</v>
      </c>
      <c r="F1191" s="2" t="s">
        <v>2</v>
      </c>
      <c r="J1191" s="2">
        <v>10.72</v>
      </c>
      <c r="K1191" s="2" t="b">
        <v>0</v>
      </c>
      <c r="L1191" s="2"/>
      <c r="M1191" s="2"/>
      <c r="N1191" s="4" t="s">
        <v>2259</v>
      </c>
      <c r="O1191" s="4" t="str">
        <f>LEFT(Table2[[#This Row],[Description]],75)</f>
        <v>Home Depot</v>
      </c>
      <c r="P1191" s="2" t="s">
        <v>2396</v>
      </c>
    </row>
    <row r="1192" spans="1:16" hidden="1">
      <c r="A1192" s="2">
        <v>201911</v>
      </c>
      <c r="B1192" s="3">
        <v>43799</v>
      </c>
      <c r="C1192" s="2" t="s">
        <v>2262</v>
      </c>
      <c r="D1192" s="2" t="s">
        <v>947</v>
      </c>
      <c r="E1192" s="2">
        <v>5.5</v>
      </c>
      <c r="F1192" s="2" t="s">
        <v>2</v>
      </c>
      <c r="J1192" s="2">
        <v>5.5</v>
      </c>
      <c r="K1192" s="2" t="b">
        <v>0</v>
      </c>
      <c r="L1192" s="2"/>
      <c r="M1192" s="2"/>
      <c r="N1192" s="4" t="s">
        <v>2259</v>
      </c>
      <c r="O1192" s="4" t="str">
        <f>LEFT(Table2[[#This Row],[Description]],75)</f>
        <v>Home Depot</v>
      </c>
      <c r="P1192" s="2" t="s">
        <v>2396</v>
      </c>
    </row>
    <row r="1193" spans="1:16" hidden="1">
      <c r="A1193" s="2">
        <v>201911</v>
      </c>
      <c r="B1193" s="3">
        <v>43799</v>
      </c>
      <c r="C1193" s="2" t="s">
        <v>2262</v>
      </c>
      <c r="D1193" s="2" t="s">
        <v>947</v>
      </c>
      <c r="E1193" s="2">
        <v>62.8</v>
      </c>
      <c r="F1193" s="2" t="s">
        <v>2</v>
      </c>
      <c r="J1193" s="2">
        <v>62.8</v>
      </c>
      <c r="K1193" s="2" t="b">
        <v>0</v>
      </c>
      <c r="L1193" s="2"/>
      <c r="M1193" s="2"/>
      <c r="N1193" s="4" t="s">
        <v>2259</v>
      </c>
      <c r="O1193" s="4" t="str">
        <f>LEFT(Table2[[#This Row],[Description]],75)</f>
        <v>Home Depot</v>
      </c>
      <c r="P1193" s="2" t="s">
        <v>2396</v>
      </c>
    </row>
    <row r="1194" spans="1:16" hidden="1">
      <c r="A1194" s="2">
        <v>201911</v>
      </c>
      <c r="B1194" s="3">
        <v>43799</v>
      </c>
      <c r="C1194" s="2" t="s">
        <v>2274</v>
      </c>
      <c r="D1194" s="2" t="s">
        <v>994</v>
      </c>
      <c r="E1194" s="2">
        <v>-0.23</v>
      </c>
      <c r="F1194" s="2" t="s">
        <v>16</v>
      </c>
      <c r="J1194" s="2">
        <v>0.23</v>
      </c>
      <c r="K1194" s="2" t="b">
        <v>0</v>
      </c>
      <c r="L1194" s="2"/>
      <c r="M1194" s="2"/>
      <c r="N1194" s="4" t="s">
        <v>2273</v>
      </c>
      <c r="O1194" s="4" t="str">
        <f>LEFT(Table2[[#This Row],[Description]],75)</f>
        <v>Interest Paid</v>
      </c>
      <c r="P1194" s="2" t="s">
        <v>2281</v>
      </c>
    </row>
    <row r="1195" spans="1:16" hidden="1">
      <c r="A1195" s="2">
        <v>201911</v>
      </c>
      <c r="B1195" s="3">
        <v>43799</v>
      </c>
      <c r="C1195" s="2" t="s">
        <v>2317</v>
      </c>
      <c r="D1195" s="2" t="s">
        <v>1004</v>
      </c>
      <c r="E1195" s="2">
        <v>-0.04</v>
      </c>
      <c r="F1195" s="2" t="s">
        <v>9</v>
      </c>
      <c r="J1195" s="2">
        <v>0.04</v>
      </c>
      <c r="K1195" s="2" t="b">
        <v>0</v>
      </c>
      <c r="L1195" s="2"/>
      <c r="M1195" s="2"/>
      <c r="N1195" s="4" t="s">
        <v>2273</v>
      </c>
      <c r="O1195" s="4" t="str">
        <f>LEFT(Table2[[#This Row],[Description]],75)</f>
        <v>J8EXCESS FR55051352</v>
      </c>
      <c r="P1195" s="2" t="s">
        <v>2385</v>
      </c>
    </row>
    <row r="1196" spans="1:16" hidden="1">
      <c r="A1196" s="2">
        <v>201911</v>
      </c>
      <c r="B1196" s="3">
        <v>43799</v>
      </c>
      <c r="C1196" s="2" t="s">
        <v>2275</v>
      </c>
      <c r="D1196" s="2" t="s">
        <v>1005</v>
      </c>
      <c r="E1196" s="2">
        <v>2.84</v>
      </c>
      <c r="F1196" s="2">
        <v>0</v>
      </c>
      <c r="J1196" s="2">
        <v>2.84</v>
      </c>
      <c r="K1196" s="2" t="b">
        <v>0</v>
      </c>
      <c r="L1196" s="2"/>
      <c r="M1196" s="2"/>
      <c r="N1196" s="4" t="s">
        <v>2259</v>
      </c>
      <c r="O1196" s="4" t="str">
        <f>LEFT(Table2[[#This Row],[Description]],75)</f>
        <v>J8EXCESS TO89315308</v>
      </c>
      <c r="P1196" s="2"/>
    </row>
    <row r="1197" spans="1:16" hidden="1">
      <c r="A1197" s="2">
        <v>201911</v>
      </c>
      <c r="B1197" s="3">
        <v>43799</v>
      </c>
      <c r="C1197" s="2" t="s">
        <v>2277</v>
      </c>
      <c r="D1197" s="2" t="s">
        <v>1005</v>
      </c>
      <c r="E1197" s="2">
        <v>2.84</v>
      </c>
      <c r="F1197" s="2">
        <v>0</v>
      </c>
      <c r="J1197" s="2">
        <v>2.84</v>
      </c>
      <c r="K1197" s="2" t="b">
        <v>0</v>
      </c>
      <c r="L1197" s="2"/>
      <c r="M1197" s="2"/>
      <c r="N1197" s="4" t="s">
        <v>2259</v>
      </c>
      <c r="O1197" s="4" t="str">
        <f>LEFT(Table2[[#This Row],[Description]],75)</f>
        <v>J8EXCESS TO89315308</v>
      </c>
      <c r="P1197" s="2"/>
    </row>
    <row r="1198" spans="1:16" hidden="1">
      <c r="A1198" s="2">
        <v>201911</v>
      </c>
      <c r="B1198" s="3">
        <v>43799</v>
      </c>
      <c r="C1198" s="2" t="s">
        <v>2355</v>
      </c>
      <c r="D1198" s="2" t="s">
        <v>1005</v>
      </c>
      <c r="E1198" s="2">
        <v>0.04</v>
      </c>
      <c r="F1198" s="2">
        <v>0</v>
      </c>
      <c r="J1198" s="2">
        <v>0.04</v>
      </c>
      <c r="K1198" s="2" t="b">
        <v>0</v>
      </c>
      <c r="L1198" s="2"/>
      <c r="M1198" s="2"/>
      <c r="N1198" s="4" t="s">
        <v>2259</v>
      </c>
      <c r="O1198" s="4" t="str">
        <f>LEFT(Table2[[#This Row],[Description]],75)</f>
        <v>J8EXCESS TO89315308</v>
      </c>
      <c r="P1198" s="2"/>
    </row>
    <row r="1199" spans="1:16" hidden="1">
      <c r="A1199" s="2">
        <v>201911</v>
      </c>
      <c r="B1199" s="3">
        <v>43799</v>
      </c>
      <c r="C1199" s="2" t="s">
        <v>2277</v>
      </c>
      <c r="D1199" s="2" t="s">
        <v>1005</v>
      </c>
      <c r="E1199" s="2">
        <v>0.04</v>
      </c>
      <c r="F1199" s="2">
        <v>0</v>
      </c>
      <c r="J1199" s="2">
        <v>0.04</v>
      </c>
      <c r="K1199" s="2" t="b">
        <v>0</v>
      </c>
      <c r="L1199" s="2"/>
      <c r="M1199" s="2"/>
      <c r="N1199" s="4" t="s">
        <v>2259</v>
      </c>
      <c r="O1199" s="4" t="str">
        <f>LEFT(Table2[[#This Row],[Description]],75)</f>
        <v>J8EXCESS TO89315308</v>
      </c>
      <c r="P1199" s="2"/>
    </row>
    <row r="1200" spans="1:16" hidden="1">
      <c r="A1200" s="2">
        <v>201911</v>
      </c>
      <c r="B1200" s="3">
        <v>43799</v>
      </c>
      <c r="C1200" s="2" t="s">
        <v>2317</v>
      </c>
      <c r="D1200" s="2" t="s">
        <v>1037</v>
      </c>
      <c r="E1200" s="2">
        <v>-200</v>
      </c>
      <c r="F1200" s="2" t="s">
        <v>59</v>
      </c>
      <c r="J1200" s="2">
        <v>200</v>
      </c>
      <c r="K1200" s="2" t="b">
        <v>0</v>
      </c>
      <c r="L1200" s="2"/>
      <c r="M1200" s="2"/>
      <c r="N1200" s="4" t="s">
        <v>2273</v>
      </c>
      <c r="O1200" s="4" t="str">
        <f>LEFT(Table2[[#This Row],[Description]],75)</f>
        <v>KAUFMAN HALL</v>
      </c>
      <c r="P1200" s="2" t="s">
        <v>2375</v>
      </c>
    </row>
    <row r="1201" spans="1:16" hidden="1">
      <c r="A1201" s="2">
        <v>201911</v>
      </c>
      <c r="B1201" s="3">
        <v>43799</v>
      </c>
      <c r="C1201" s="2" t="s">
        <v>2317</v>
      </c>
      <c r="D1201" s="2" t="s">
        <v>1037</v>
      </c>
      <c r="E1201" s="2">
        <v>-200</v>
      </c>
      <c r="F1201" s="2" t="s">
        <v>59</v>
      </c>
      <c r="J1201" s="2">
        <v>200</v>
      </c>
      <c r="K1201" s="2" t="b">
        <v>0</v>
      </c>
      <c r="L1201" s="2"/>
      <c r="M1201" s="2"/>
      <c r="N1201" s="4" t="s">
        <v>2273</v>
      </c>
      <c r="O1201" s="4" t="str">
        <f>LEFT(Table2[[#This Row],[Description]],75)</f>
        <v>KAUFMAN HALL</v>
      </c>
      <c r="P1201" s="2" t="s">
        <v>2375</v>
      </c>
    </row>
    <row r="1202" spans="1:16" hidden="1">
      <c r="A1202" s="2">
        <v>201911</v>
      </c>
      <c r="B1202" s="3">
        <v>43799</v>
      </c>
      <c r="C1202" s="2" t="s">
        <v>2265</v>
      </c>
      <c r="D1202" s="2" t="s">
        <v>1050</v>
      </c>
      <c r="E1202" s="2">
        <v>-2344.69</v>
      </c>
      <c r="F1202" s="2" t="s">
        <v>63</v>
      </c>
      <c r="J1202" s="2">
        <v>2344.69</v>
      </c>
      <c r="K1202" s="2" t="b">
        <v>0</v>
      </c>
      <c r="L1202" s="2"/>
      <c r="M1202" s="2"/>
      <c r="N1202" s="4" t="s">
        <v>2273</v>
      </c>
      <c r="O1202" s="4" t="str">
        <f>LEFT(Table2[[#This Row],[Description]],75)</f>
        <v>KAUFMAN HALL TYPE DIRECT DEP ID CO KAUFMAN HALL ACH ECC PPD ACH Trace 51695</v>
      </c>
      <c r="P1202" s="2" t="s">
        <v>2285</v>
      </c>
    </row>
    <row r="1203" spans="1:16" hidden="1">
      <c r="A1203" s="2">
        <v>201911</v>
      </c>
      <c r="B1203" s="3">
        <v>43799</v>
      </c>
      <c r="C1203" s="2" t="s">
        <v>2267</v>
      </c>
      <c r="D1203" s="2" t="s">
        <v>1050</v>
      </c>
      <c r="E1203" s="2">
        <v>-2344.69</v>
      </c>
      <c r="F1203" s="2" t="s">
        <v>63</v>
      </c>
      <c r="J1203" s="2">
        <v>2344.69</v>
      </c>
      <c r="K1203" s="2" t="b">
        <v>0</v>
      </c>
      <c r="L1203" s="2"/>
      <c r="M1203" s="2"/>
      <c r="N1203" s="4" t="s">
        <v>2273</v>
      </c>
      <c r="O1203" s="4" t="str">
        <f>LEFT(Table2[[#This Row],[Description]],75)</f>
        <v>KAUFMAN HALL TYPE DIRECT DEP ID CO KAUFMAN HALL ACH ECC PPD ACH Trace 51695</v>
      </c>
      <c r="P1203" s="2" t="s">
        <v>2285</v>
      </c>
    </row>
    <row r="1204" spans="1:16" hidden="1">
      <c r="A1204" s="2">
        <v>201911</v>
      </c>
      <c r="B1204" s="3">
        <v>43799</v>
      </c>
      <c r="C1204" s="2" t="s">
        <v>2265</v>
      </c>
      <c r="D1204" s="2" t="s">
        <v>1051</v>
      </c>
      <c r="E1204" s="2">
        <v>-2794.7</v>
      </c>
      <c r="F1204" s="2" t="s">
        <v>63</v>
      </c>
      <c r="J1204" s="2">
        <v>2794.7</v>
      </c>
      <c r="K1204" s="2" t="b">
        <v>0</v>
      </c>
      <c r="L1204" s="2"/>
      <c r="M1204" s="2"/>
      <c r="N1204" s="4" t="s">
        <v>2273</v>
      </c>
      <c r="O1204" s="4" t="str">
        <f>LEFT(Table2[[#This Row],[Description]],75)</f>
        <v>KAUFMAN HALL TYPE DIRECT DEP ID CO KAUFMAN HALL ACH ECC PPD ACH Trace 53450</v>
      </c>
      <c r="P1204" s="2" t="s">
        <v>2285</v>
      </c>
    </row>
    <row r="1205" spans="1:16" hidden="1">
      <c r="A1205" s="2">
        <v>201911</v>
      </c>
      <c r="B1205" s="3">
        <v>43799</v>
      </c>
      <c r="C1205" s="2" t="s">
        <v>2267</v>
      </c>
      <c r="D1205" s="2" t="s">
        <v>1051</v>
      </c>
      <c r="E1205" s="2">
        <v>-2794.7</v>
      </c>
      <c r="F1205" s="2" t="s">
        <v>63</v>
      </c>
      <c r="J1205" s="2">
        <v>2794.7</v>
      </c>
      <c r="K1205" s="2" t="b">
        <v>0</v>
      </c>
      <c r="L1205" s="2"/>
      <c r="M1205" s="2"/>
      <c r="N1205" s="4" t="s">
        <v>2273</v>
      </c>
      <c r="O1205" s="4" t="str">
        <f>LEFT(Table2[[#This Row],[Description]],75)</f>
        <v>KAUFMAN HALL TYPE DIRECT DEP ID CO KAUFMAN HALL ACH ECC PPD ACH Trace 53450</v>
      </c>
      <c r="P1205" s="2" t="s">
        <v>2285</v>
      </c>
    </row>
    <row r="1206" spans="1:16" hidden="1">
      <c r="A1206" s="2">
        <v>201911</v>
      </c>
      <c r="B1206" s="3">
        <v>43799</v>
      </c>
      <c r="C1206" s="2" t="s">
        <v>2262</v>
      </c>
      <c r="D1206" s="2" t="s">
        <v>1110</v>
      </c>
      <c r="E1206" s="2">
        <v>31.89</v>
      </c>
      <c r="F1206" s="2" t="s">
        <v>26</v>
      </c>
      <c r="J1206" s="2">
        <v>31.89</v>
      </c>
      <c r="K1206" s="2" t="b">
        <v>0</v>
      </c>
      <c r="L1206" s="2"/>
      <c r="M1206" s="2"/>
      <c r="N1206" s="4" t="s">
        <v>2259</v>
      </c>
      <c r="O1206" s="4" t="str">
        <f>LEFT(Table2[[#This Row],[Description]],75)</f>
        <v>LIFE TIME CAFE 151Q48 CHANHASSEN MN 265419533</v>
      </c>
      <c r="P1206" s="2" t="s">
        <v>2376</v>
      </c>
    </row>
    <row r="1207" spans="1:16" hidden="1">
      <c r="A1207" s="2">
        <v>201911</v>
      </c>
      <c r="B1207" s="3">
        <v>43799</v>
      </c>
      <c r="C1207" s="2" t="s">
        <v>2262</v>
      </c>
      <c r="D1207" s="2" t="s">
        <v>1111</v>
      </c>
      <c r="E1207" s="2">
        <v>60.87</v>
      </c>
      <c r="F1207" s="2" t="s">
        <v>26</v>
      </c>
      <c r="J1207" s="2">
        <v>60.87</v>
      </c>
      <c r="K1207" s="2" t="b">
        <v>0</v>
      </c>
      <c r="L1207" s="2"/>
      <c r="M1207" s="2"/>
      <c r="N1207" s="4" t="s">
        <v>2259</v>
      </c>
      <c r="O1207" s="4" t="str">
        <f>LEFT(Table2[[#This Row],[Description]],75)</f>
        <v>LIFE TIME CAFE 151Q48 CHANHASSEN MN 268385464</v>
      </c>
      <c r="P1207" s="2" t="s">
        <v>2376</v>
      </c>
    </row>
    <row r="1208" spans="1:16" hidden="1">
      <c r="A1208" s="2">
        <v>201911</v>
      </c>
      <c r="B1208" s="3">
        <v>43799</v>
      </c>
      <c r="C1208" s="2" t="s">
        <v>2262</v>
      </c>
      <c r="D1208" s="2" t="s">
        <v>1112</v>
      </c>
      <c r="E1208" s="2">
        <v>60.87</v>
      </c>
      <c r="F1208" s="2" t="s">
        <v>26</v>
      </c>
      <c r="J1208" s="2">
        <v>60.87</v>
      </c>
      <c r="K1208" s="2" t="b">
        <v>0</v>
      </c>
      <c r="L1208" s="2"/>
      <c r="M1208" s="2"/>
      <c r="N1208" s="4" t="s">
        <v>2259</v>
      </c>
      <c r="O1208" s="4" t="str">
        <f>LEFT(Table2[[#This Row],[Description]],75)</f>
        <v>LIFE TIME CAFE 151Q48 CHANHASSEN MN 272880974</v>
      </c>
      <c r="P1208" s="2" t="s">
        <v>2376</v>
      </c>
    </row>
    <row r="1209" spans="1:16" hidden="1">
      <c r="A1209" s="2">
        <v>201911</v>
      </c>
      <c r="B1209" s="3">
        <v>43799</v>
      </c>
      <c r="C1209" s="2" t="s">
        <v>2258</v>
      </c>
      <c r="D1209" s="2" t="s">
        <v>1168</v>
      </c>
      <c r="E1209" s="2">
        <v>31.36</v>
      </c>
      <c r="F1209" s="2" t="s">
        <v>23</v>
      </c>
      <c r="J1209" s="2">
        <v>31.36</v>
      </c>
      <c r="K1209" s="2" t="b">
        <v>0</v>
      </c>
      <c r="L1209" s="2"/>
      <c r="M1209" s="2"/>
      <c r="N1209" s="4" t="s">
        <v>2259</v>
      </c>
      <c r="O1209" s="4" t="str">
        <f>LEFT(Table2[[#This Row],[Description]],75)</f>
        <v>Lyft</v>
      </c>
      <c r="P1209" s="2" t="s">
        <v>2414</v>
      </c>
    </row>
    <row r="1210" spans="1:16" hidden="1">
      <c r="A1210" s="2">
        <v>201911</v>
      </c>
      <c r="B1210" s="3">
        <v>43799</v>
      </c>
      <c r="C1210" s="2" t="s">
        <v>2261</v>
      </c>
      <c r="D1210" s="2" t="s">
        <v>1168</v>
      </c>
      <c r="E1210" s="2">
        <v>31.36</v>
      </c>
      <c r="F1210" s="2" t="s">
        <v>23</v>
      </c>
      <c r="J1210" s="2">
        <v>31.36</v>
      </c>
      <c r="K1210" s="2" t="b">
        <v>0</v>
      </c>
      <c r="L1210" s="2"/>
      <c r="M1210" s="2"/>
      <c r="N1210" s="4" t="s">
        <v>2259</v>
      </c>
      <c r="O1210" s="4" t="str">
        <f>LEFT(Table2[[#This Row],[Description]],75)</f>
        <v>Lyft</v>
      </c>
      <c r="P1210" s="2" t="s">
        <v>2414</v>
      </c>
    </row>
    <row r="1211" spans="1:16" hidden="1">
      <c r="A1211" s="2">
        <v>201911</v>
      </c>
      <c r="B1211" s="3">
        <v>43799</v>
      </c>
      <c r="C1211" s="2" t="s">
        <v>2258</v>
      </c>
      <c r="D1211" s="2" t="s">
        <v>1350</v>
      </c>
      <c r="E1211" s="2">
        <v>12.99</v>
      </c>
      <c r="F1211" s="2" t="s">
        <v>7</v>
      </c>
      <c r="J1211" s="2">
        <v>12.99</v>
      </c>
      <c r="K1211" s="2" t="b">
        <v>0</v>
      </c>
      <c r="L1211" s="2"/>
      <c r="M1211" s="2"/>
      <c r="N1211" s="4" t="s">
        <v>2259</v>
      </c>
      <c r="O1211" s="4" t="str">
        <f>LEFT(Table2[[#This Row],[Description]],75)</f>
        <v>Netflix</v>
      </c>
      <c r="P1211" s="2" t="s">
        <v>2306</v>
      </c>
    </row>
    <row r="1212" spans="1:16" hidden="1">
      <c r="A1212" s="2">
        <v>201911</v>
      </c>
      <c r="B1212" s="3">
        <v>43799</v>
      </c>
      <c r="C1212" s="2" t="s">
        <v>2261</v>
      </c>
      <c r="D1212" s="2" t="s">
        <v>1350</v>
      </c>
      <c r="E1212" s="2">
        <v>12.99</v>
      </c>
      <c r="F1212" s="2" t="s">
        <v>7</v>
      </c>
      <c r="J1212" s="2">
        <v>12.99</v>
      </c>
      <c r="K1212" s="2" t="b">
        <v>0</v>
      </c>
      <c r="L1212" s="2"/>
      <c r="M1212" s="2"/>
      <c r="N1212" s="4" t="s">
        <v>2259</v>
      </c>
      <c r="O1212" s="4" t="str">
        <f>LEFT(Table2[[#This Row],[Description]],75)</f>
        <v>Netflix</v>
      </c>
      <c r="P1212" s="2" t="s">
        <v>2306</v>
      </c>
    </row>
    <row r="1213" spans="1:16" hidden="1">
      <c r="A1213" s="2">
        <v>201911</v>
      </c>
      <c r="B1213" s="3">
        <v>43799</v>
      </c>
      <c r="C1213" s="2" t="s">
        <v>2265</v>
      </c>
      <c r="D1213" s="2" t="s">
        <v>1355</v>
      </c>
      <c r="E1213" s="2">
        <v>40.21</v>
      </c>
      <c r="F1213" s="2" t="s">
        <v>21</v>
      </c>
      <c r="J1213" s="2">
        <v>40.21</v>
      </c>
      <c r="K1213" s="2" t="b">
        <v>0</v>
      </c>
      <c r="L1213" s="2"/>
      <c r="M1213" s="2"/>
      <c r="N1213" s="4" t="s">
        <v>2259</v>
      </c>
      <c r="O1213" s="4" t="str">
        <f>LEFT(Table2[[#This Row],[Description]],75)</f>
        <v>Nordstrom</v>
      </c>
      <c r="P1213" s="2" t="s">
        <v>2352</v>
      </c>
    </row>
    <row r="1214" spans="1:16" hidden="1">
      <c r="A1214" s="2">
        <v>201911</v>
      </c>
      <c r="B1214" s="3">
        <v>43799</v>
      </c>
      <c r="C1214" s="2" t="s">
        <v>2267</v>
      </c>
      <c r="D1214" s="2" t="s">
        <v>1355</v>
      </c>
      <c r="E1214" s="2">
        <v>40.21</v>
      </c>
      <c r="F1214" s="2" t="s">
        <v>21</v>
      </c>
      <c r="J1214" s="2">
        <v>40.21</v>
      </c>
      <c r="K1214" s="2" t="b">
        <v>0</v>
      </c>
      <c r="L1214" s="2"/>
      <c r="M1214" s="2"/>
      <c r="N1214" s="4" t="s">
        <v>2259</v>
      </c>
      <c r="O1214" s="4" t="str">
        <f>LEFT(Table2[[#This Row],[Description]],75)</f>
        <v>Nordstrom</v>
      </c>
      <c r="P1214" s="2" t="s">
        <v>2352</v>
      </c>
    </row>
    <row r="1215" spans="1:16" hidden="1">
      <c r="A1215" s="2">
        <v>201911</v>
      </c>
      <c r="B1215" s="3">
        <v>43799</v>
      </c>
      <c r="C1215" s="2" t="s">
        <v>2258</v>
      </c>
      <c r="D1215" s="2" t="s">
        <v>1357</v>
      </c>
      <c r="E1215" s="2">
        <v>46.67</v>
      </c>
      <c r="F1215" s="2" t="s">
        <v>26</v>
      </c>
      <c r="J1215" s="2">
        <v>46.67</v>
      </c>
      <c r="K1215" s="2" t="b">
        <v>0</v>
      </c>
      <c r="L1215" s="2"/>
      <c r="M1215" s="2"/>
      <c r="N1215" s="4" t="s">
        <v>2259</v>
      </c>
      <c r="O1215" s="4" t="str">
        <f>LEFT(Table2[[#This Row],[Description]],75)</f>
        <v>NORTH COOP CHAHASSEN MN</v>
      </c>
      <c r="P1215" s="2" t="s">
        <v>2326</v>
      </c>
    </row>
    <row r="1216" spans="1:16" hidden="1">
      <c r="A1216" s="2">
        <v>201911</v>
      </c>
      <c r="B1216" s="3">
        <v>43799</v>
      </c>
      <c r="C1216" s="2" t="s">
        <v>2261</v>
      </c>
      <c r="D1216" s="2" t="s">
        <v>1357</v>
      </c>
      <c r="E1216" s="2">
        <v>46.67</v>
      </c>
      <c r="F1216" s="2" t="s">
        <v>26</v>
      </c>
      <c r="J1216" s="2">
        <v>46.67</v>
      </c>
      <c r="K1216" s="2" t="b">
        <v>0</v>
      </c>
      <c r="L1216" s="2"/>
      <c r="M1216" s="2"/>
      <c r="N1216" s="4" t="s">
        <v>2259</v>
      </c>
      <c r="O1216" s="4" t="str">
        <f>LEFT(Table2[[#This Row],[Description]],75)</f>
        <v>NORTH COOP CHAHASSEN MN</v>
      </c>
      <c r="P1216" s="2" t="s">
        <v>2326</v>
      </c>
    </row>
    <row r="1217" spans="1:16" hidden="1">
      <c r="A1217" s="2">
        <v>201911</v>
      </c>
      <c r="B1217" s="3">
        <v>43799</v>
      </c>
      <c r="C1217" s="2" t="s">
        <v>2271</v>
      </c>
      <c r="D1217" s="2" t="s">
        <v>1381</v>
      </c>
      <c r="E1217" s="2">
        <v>35.57</v>
      </c>
      <c r="F1217" s="2" t="s">
        <v>26</v>
      </c>
      <c r="J1217" s="2">
        <v>35.57</v>
      </c>
      <c r="K1217" s="2" t="b">
        <v>0</v>
      </c>
      <c r="L1217" s="2"/>
      <c r="M1217" s="2"/>
      <c r="N1217" s="4" t="s">
        <v>2259</v>
      </c>
      <c r="O1217" s="4" t="str">
        <f>LEFT(Table2[[#This Row],[Description]],75)</f>
        <v>Olives Fresh Pizza Bar</v>
      </c>
      <c r="P1217" s="2" t="s">
        <v>2328</v>
      </c>
    </row>
    <row r="1218" spans="1:16" hidden="1">
      <c r="A1218" s="2">
        <v>201911</v>
      </c>
      <c r="B1218" s="3">
        <v>43799</v>
      </c>
      <c r="C1218" s="2" t="s">
        <v>2262</v>
      </c>
      <c r="D1218" s="2" t="s">
        <v>1392</v>
      </c>
      <c r="E1218" s="2">
        <v>61</v>
      </c>
      <c r="F1218" s="2" t="s">
        <v>40</v>
      </c>
      <c r="J1218" s="2">
        <v>61</v>
      </c>
      <c r="K1218" s="2" t="b">
        <v>0</v>
      </c>
      <c r="L1218" s="2"/>
      <c r="M1218" s="2"/>
      <c r="N1218" s="4" t="s">
        <v>2259</v>
      </c>
      <c r="O1218" s="4" t="str">
        <f>LEFT(Table2[[#This Row],[Description]],75)</f>
        <v>Pamper Nails and Spa</v>
      </c>
      <c r="P1218" s="2" t="s">
        <v>2281</v>
      </c>
    </row>
    <row r="1219" spans="1:16" hidden="1">
      <c r="A1219" s="2">
        <v>201911</v>
      </c>
      <c r="B1219" s="3">
        <v>43799</v>
      </c>
      <c r="C1219" s="2" t="s">
        <v>2265</v>
      </c>
      <c r="D1219" s="2" t="s">
        <v>1471</v>
      </c>
      <c r="E1219" s="2">
        <v>7.43</v>
      </c>
      <c r="F1219" s="2" t="s">
        <v>21</v>
      </c>
      <c r="J1219" s="2">
        <v>7.43</v>
      </c>
      <c r="K1219" s="2" t="b">
        <v>0</v>
      </c>
      <c r="L1219" s="2"/>
      <c r="M1219" s="2"/>
      <c r="N1219" s="4" t="s">
        <v>2259</v>
      </c>
      <c r="O1219" s="4" t="str">
        <f>LEFT(Table2[[#This Row],[Description]],75)</f>
        <v>PayPal</v>
      </c>
      <c r="P1219" s="2" t="s">
        <v>2322</v>
      </c>
    </row>
    <row r="1220" spans="1:16" hidden="1">
      <c r="A1220" s="2">
        <v>201911</v>
      </c>
      <c r="B1220" s="3">
        <v>43799</v>
      </c>
      <c r="C1220" s="2" t="s">
        <v>2267</v>
      </c>
      <c r="D1220" s="2" t="s">
        <v>1471</v>
      </c>
      <c r="E1220" s="2">
        <v>7.43</v>
      </c>
      <c r="F1220" s="2" t="s">
        <v>21</v>
      </c>
      <c r="J1220" s="2">
        <v>7.43</v>
      </c>
      <c r="K1220" s="2" t="b">
        <v>0</v>
      </c>
      <c r="L1220" s="2"/>
      <c r="M1220" s="2"/>
      <c r="N1220" s="4" t="s">
        <v>2259</v>
      </c>
      <c r="O1220" s="4" t="str">
        <f>LEFT(Table2[[#This Row],[Description]],75)</f>
        <v>PayPal</v>
      </c>
      <c r="P1220" s="2" t="s">
        <v>2322</v>
      </c>
    </row>
    <row r="1221" spans="1:16" hidden="1">
      <c r="A1221" s="2">
        <v>201911</v>
      </c>
      <c r="B1221" s="3">
        <v>43799</v>
      </c>
      <c r="C1221" s="2" t="s">
        <v>2262</v>
      </c>
      <c r="D1221" s="2" t="s">
        <v>1491</v>
      </c>
      <c r="E1221" s="2">
        <v>-67.2</v>
      </c>
      <c r="F1221" s="2" t="s">
        <v>21</v>
      </c>
      <c r="J1221" s="2">
        <v>67.2</v>
      </c>
      <c r="K1221" s="2" t="b">
        <v>0</v>
      </c>
      <c r="L1221" s="2"/>
      <c r="M1221" s="2"/>
      <c r="N1221" s="4" t="s">
        <v>2273</v>
      </c>
      <c r="O1221" s="4" t="str">
        <f>LEFT(Table2[[#This Row],[Description]],75)</f>
        <v>Pinkblush Ca</v>
      </c>
      <c r="P1221" s="2" t="s">
        <v>2281</v>
      </c>
    </row>
    <row r="1222" spans="1:16" hidden="1">
      <c r="A1222" s="2">
        <v>201911</v>
      </c>
      <c r="B1222" s="3">
        <v>43799</v>
      </c>
      <c r="C1222" s="2" t="s">
        <v>2262</v>
      </c>
      <c r="D1222" s="2" t="s">
        <v>1492</v>
      </c>
      <c r="E1222" s="2">
        <v>191.2</v>
      </c>
      <c r="F1222" s="2" t="s">
        <v>21</v>
      </c>
      <c r="J1222" s="2">
        <v>191.2</v>
      </c>
      <c r="K1222" s="2" t="b">
        <v>0</v>
      </c>
      <c r="L1222" s="2"/>
      <c r="M1222" s="2"/>
      <c r="N1222" s="4" t="s">
        <v>2259</v>
      </c>
      <c r="O1222" s="4" t="str">
        <f>LEFT(Table2[[#This Row],[Description]],75)</f>
        <v>PINKBLUSH SHOPPINKBLUSHCA 265626912</v>
      </c>
      <c r="P1222" s="2" t="s">
        <v>2281</v>
      </c>
    </row>
    <row r="1223" spans="1:16" hidden="1">
      <c r="A1223" s="2">
        <v>201911</v>
      </c>
      <c r="B1223" s="3">
        <v>43799</v>
      </c>
      <c r="C1223" s="2" t="s">
        <v>2262</v>
      </c>
      <c r="D1223" s="2" t="s">
        <v>1502</v>
      </c>
      <c r="E1223" s="2">
        <v>82</v>
      </c>
      <c r="F1223" s="2" t="s">
        <v>21</v>
      </c>
      <c r="J1223" s="2">
        <v>82</v>
      </c>
      <c r="K1223" s="2" t="b">
        <v>0</v>
      </c>
      <c r="L1223" s="2"/>
      <c r="M1223" s="2"/>
      <c r="N1223" s="4" t="s">
        <v>2259</v>
      </c>
      <c r="O1223" s="4" t="str">
        <f>LEFT(Table2[[#This Row],[Description]],75)</f>
        <v>Polar Mitts</v>
      </c>
      <c r="P1223" s="2" t="s">
        <v>2281</v>
      </c>
    </row>
    <row r="1224" spans="1:16" hidden="1">
      <c r="A1224" s="2">
        <v>201911</v>
      </c>
      <c r="B1224" s="3">
        <v>43799</v>
      </c>
      <c r="C1224" s="2" t="s">
        <v>2262</v>
      </c>
      <c r="D1224" s="2" t="s">
        <v>1508</v>
      </c>
      <c r="E1224" s="2">
        <v>140.97999999999999</v>
      </c>
      <c r="F1224" s="2" t="s">
        <v>21</v>
      </c>
      <c r="J1224" s="2">
        <v>140.97999999999999</v>
      </c>
      <c r="K1224" s="2" t="b">
        <v>0</v>
      </c>
      <c r="L1224" s="2"/>
      <c r="M1224" s="2"/>
      <c r="N1224" s="4" t="s">
        <v>2259</v>
      </c>
      <c r="O1224" s="4" t="str">
        <f>LEFT(Table2[[#This Row],[Description]],75)</f>
        <v>Pottery Barn</v>
      </c>
      <c r="P1224" s="2" t="s">
        <v>2281</v>
      </c>
    </row>
    <row r="1225" spans="1:16" hidden="1">
      <c r="A1225" s="2">
        <v>201911</v>
      </c>
      <c r="B1225" s="3">
        <v>43799</v>
      </c>
      <c r="C1225" s="2" t="s">
        <v>2317</v>
      </c>
      <c r="D1225" s="2" t="s">
        <v>1525</v>
      </c>
      <c r="E1225" s="2">
        <v>-28.57</v>
      </c>
      <c r="F1225" s="2" t="s">
        <v>69</v>
      </c>
      <c r="J1225" s="2">
        <v>28.57</v>
      </c>
      <c r="K1225" s="2" t="b">
        <v>0</v>
      </c>
      <c r="L1225" s="2"/>
      <c r="M1225" s="2"/>
      <c r="N1225" s="4" t="s">
        <v>2273</v>
      </c>
      <c r="O1225" s="4" t="str">
        <f>LEFT(Table2[[#This Row],[Description]],75)</f>
        <v>PROCTER &amp; GAMBLE</v>
      </c>
      <c r="P1225" s="2" t="s">
        <v>2415</v>
      </c>
    </row>
    <row r="1226" spans="1:16" hidden="1">
      <c r="A1226" s="2">
        <v>201911</v>
      </c>
      <c r="B1226" s="3">
        <v>43799</v>
      </c>
      <c r="C1226" s="2" t="s">
        <v>2317</v>
      </c>
      <c r="D1226" s="2" t="s">
        <v>1525</v>
      </c>
      <c r="E1226" s="2">
        <v>28.57</v>
      </c>
      <c r="F1226" s="2" t="s">
        <v>69</v>
      </c>
      <c r="J1226" s="2">
        <v>28.57</v>
      </c>
      <c r="K1226" s="2" t="b">
        <v>0</v>
      </c>
      <c r="L1226" s="2"/>
      <c r="M1226" s="2"/>
      <c r="N1226" s="4" t="s">
        <v>2259</v>
      </c>
      <c r="O1226" s="4" t="str">
        <f>LEFT(Table2[[#This Row],[Description]],75)</f>
        <v>PROCTER &amp; GAMBLE</v>
      </c>
      <c r="P1226" s="2" t="s">
        <v>2415</v>
      </c>
    </row>
    <row r="1227" spans="1:16" hidden="1">
      <c r="A1227" s="2">
        <v>201911</v>
      </c>
      <c r="B1227" s="3">
        <v>43799</v>
      </c>
      <c r="C1227" s="2" t="s">
        <v>2355</v>
      </c>
      <c r="D1227" s="2" t="s">
        <v>1633</v>
      </c>
      <c r="E1227" s="2">
        <v>150</v>
      </c>
      <c r="F1227" s="2" t="s">
        <v>9</v>
      </c>
      <c r="J1227" s="2">
        <v>150</v>
      </c>
      <c r="K1227" s="2" t="b">
        <v>0</v>
      </c>
      <c r="L1227" s="2"/>
      <c r="M1227" s="2"/>
      <c r="N1227" s="4" t="s">
        <v>2259</v>
      </c>
      <c r="O1227" s="4" t="str">
        <f>LEFT(Table2[[#This Row],[Description]],75)</f>
        <v>SCHWAB S&amp;P 500 INDEX FD</v>
      </c>
      <c r="P1227" s="2" t="s">
        <v>2276</v>
      </c>
    </row>
    <row r="1228" spans="1:16" hidden="1">
      <c r="A1228" s="2">
        <v>201911</v>
      </c>
      <c r="B1228" s="3">
        <v>43799</v>
      </c>
      <c r="C1228" s="2" t="s">
        <v>2277</v>
      </c>
      <c r="D1228" s="2" t="s">
        <v>1633</v>
      </c>
      <c r="E1228" s="2">
        <v>150</v>
      </c>
      <c r="F1228" s="2" t="s">
        <v>9</v>
      </c>
      <c r="J1228" s="2">
        <v>150</v>
      </c>
      <c r="K1228" s="2" t="b">
        <v>0</v>
      </c>
      <c r="L1228" s="2"/>
      <c r="M1228" s="2"/>
      <c r="N1228" s="4" t="s">
        <v>2259</v>
      </c>
      <c r="O1228" s="4" t="str">
        <f>LEFT(Table2[[#This Row],[Description]],75)</f>
        <v>SCHWAB S&amp;P 500 INDEX FD</v>
      </c>
      <c r="P1228" s="2" t="s">
        <v>2276</v>
      </c>
    </row>
    <row r="1229" spans="1:16" hidden="1">
      <c r="A1229" s="2">
        <v>201911</v>
      </c>
      <c r="B1229" s="3">
        <v>43799</v>
      </c>
      <c r="C1229" s="2" t="s">
        <v>2275</v>
      </c>
      <c r="D1229" s="2" t="s">
        <v>1636</v>
      </c>
      <c r="E1229" s="2">
        <v>100</v>
      </c>
      <c r="F1229" s="2" t="s">
        <v>9</v>
      </c>
      <c r="J1229" s="2">
        <v>100</v>
      </c>
      <c r="K1229" s="2" t="b">
        <v>0</v>
      </c>
      <c r="L1229" s="2"/>
      <c r="M1229" s="2"/>
      <c r="N1229" s="4" t="s">
        <v>2259</v>
      </c>
      <c r="O1229" s="4" t="str">
        <f>LEFT(Table2[[#This Row],[Description]],75)</f>
        <v>SCHWAB US LARGE CAP GROWTH INDEX FD</v>
      </c>
      <c r="P1229" s="2" t="s">
        <v>2347</v>
      </c>
    </row>
    <row r="1230" spans="1:16" hidden="1">
      <c r="A1230" s="2">
        <v>201911</v>
      </c>
      <c r="B1230" s="3">
        <v>43799</v>
      </c>
      <c r="C1230" s="2" t="s">
        <v>2277</v>
      </c>
      <c r="D1230" s="2" t="s">
        <v>1636</v>
      </c>
      <c r="E1230" s="2">
        <v>100</v>
      </c>
      <c r="F1230" s="2" t="s">
        <v>9</v>
      </c>
      <c r="J1230" s="2">
        <v>100</v>
      </c>
      <c r="K1230" s="2" t="b">
        <v>0</v>
      </c>
      <c r="L1230" s="2"/>
      <c r="M1230" s="2"/>
      <c r="N1230" s="4" t="s">
        <v>2259</v>
      </c>
      <c r="O1230" s="4" t="str">
        <f>LEFT(Table2[[#This Row],[Description]],75)</f>
        <v>SCHWAB US LARGE CAP GROWTH INDEX FD</v>
      </c>
      <c r="P1230" s="2" t="s">
        <v>2347</v>
      </c>
    </row>
    <row r="1231" spans="1:16" hidden="1">
      <c r="A1231" s="2">
        <v>201911</v>
      </c>
      <c r="B1231" s="3">
        <v>43799</v>
      </c>
      <c r="C1231" s="2" t="s">
        <v>2317</v>
      </c>
      <c r="D1231" s="2" t="s">
        <v>1644</v>
      </c>
      <c r="E1231" s="2">
        <v>-0.66</v>
      </c>
      <c r="F1231" s="2" t="s">
        <v>16</v>
      </c>
      <c r="J1231" s="2">
        <v>0.66</v>
      </c>
      <c r="K1231" s="2" t="b">
        <v>0</v>
      </c>
      <c r="L1231" s="2"/>
      <c r="M1231" s="2"/>
      <c r="N1231" s="4" t="s">
        <v>2273</v>
      </c>
      <c r="O1231" s="4" t="str">
        <f>LEFT(Table2[[#This Row],[Description]],75)</f>
        <v>SCHWAB1 INT 10/30-11/26</v>
      </c>
      <c r="P1231" s="2" t="s">
        <v>2380</v>
      </c>
    </row>
    <row r="1232" spans="1:16" hidden="1">
      <c r="A1232" s="2">
        <v>201911</v>
      </c>
      <c r="B1232" s="3">
        <v>43799</v>
      </c>
      <c r="C1232" s="2" t="s">
        <v>2258</v>
      </c>
      <c r="D1232" s="2" t="s">
        <v>1707</v>
      </c>
      <c r="E1232" s="2">
        <v>40.68</v>
      </c>
      <c r="F1232" s="2" t="s">
        <v>23</v>
      </c>
      <c r="J1232" s="2">
        <v>40.68</v>
      </c>
      <c r="K1232" s="2" t="b">
        <v>0</v>
      </c>
      <c r="L1232" s="2"/>
      <c r="M1232" s="2"/>
      <c r="N1232" s="4" t="s">
        <v>2259</v>
      </c>
      <c r="O1232" s="4" t="str">
        <f>LEFT(Table2[[#This Row],[Description]],75)</f>
        <v>Speedway</v>
      </c>
      <c r="P1232" s="2" t="s">
        <v>2381</v>
      </c>
    </row>
    <row r="1233" spans="1:16" hidden="1">
      <c r="A1233" s="2">
        <v>201911</v>
      </c>
      <c r="B1233" s="3">
        <v>43799</v>
      </c>
      <c r="C1233" s="2" t="s">
        <v>2261</v>
      </c>
      <c r="D1233" s="2" t="s">
        <v>1707</v>
      </c>
      <c r="E1233" s="2">
        <v>40.68</v>
      </c>
      <c r="F1233" s="2" t="s">
        <v>23</v>
      </c>
      <c r="J1233" s="2">
        <v>40.68</v>
      </c>
      <c r="K1233" s="2" t="b">
        <v>0</v>
      </c>
      <c r="L1233" s="2"/>
      <c r="M1233" s="2"/>
      <c r="N1233" s="4" t="s">
        <v>2259</v>
      </c>
      <c r="O1233" s="4" t="str">
        <f>LEFT(Table2[[#This Row],[Description]],75)</f>
        <v>Speedway</v>
      </c>
      <c r="P1233" s="2" t="s">
        <v>2381</v>
      </c>
    </row>
    <row r="1234" spans="1:16" hidden="1">
      <c r="A1234" s="2">
        <v>201911</v>
      </c>
      <c r="B1234" s="3">
        <v>43799</v>
      </c>
      <c r="C1234" s="2" t="s">
        <v>2262</v>
      </c>
      <c r="D1234" s="2" t="s">
        <v>1707</v>
      </c>
      <c r="E1234" s="2">
        <v>16.149999999999999</v>
      </c>
      <c r="F1234" s="2" t="s">
        <v>23</v>
      </c>
      <c r="J1234" s="2">
        <v>16.149999999999999</v>
      </c>
      <c r="K1234" s="2" t="b">
        <v>0</v>
      </c>
      <c r="L1234" s="2"/>
      <c r="M1234" s="2"/>
      <c r="N1234" s="4" t="s">
        <v>2259</v>
      </c>
      <c r="O1234" s="4" t="str">
        <f>LEFT(Table2[[#This Row],[Description]],75)</f>
        <v>Speedway</v>
      </c>
      <c r="P1234" s="2" t="s">
        <v>2381</v>
      </c>
    </row>
    <row r="1235" spans="1:16" hidden="1">
      <c r="A1235" s="2">
        <v>201911</v>
      </c>
      <c r="B1235" s="3">
        <v>43799</v>
      </c>
      <c r="C1235" s="2" t="s">
        <v>2262</v>
      </c>
      <c r="D1235" s="2" t="s">
        <v>1707</v>
      </c>
      <c r="E1235" s="2">
        <v>36.49</v>
      </c>
      <c r="F1235" s="2" t="s">
        <v>23</v>
      </c>
      <c r="J1235" s="2">
        <v>36.49</v>
      </c>
      <c r="K1235" s="2" t="b">
        <v>0</v>
      </c>
      <c r="L1235" s="2"/>
      <c r="M1235" s="2"/>
      <c r="N1235" s="4" t="s">
        <v>2259</v>
      </c>
      <c r="O1235" s="4" t="str">
        <f>LEFT(Table2[[#This Row],[Description]],75)</f>
        <v>Speedway</v>
      </c>
      <c r="P1235" s="2" t="s">
        <v>2381</v>
      </c>
    </row>
    <row r="1236" spans="1:16" hidden="1">
      <c r="A1236" s="2">
        <v>201911</v>
      </c>
      <c r="B1236" s="3">
        <v>43799</v>
      </c>
      <c r="C1236" s="2" t="s">
        <v>2300</v>
      </c>
      <c r="D1236" s="2" t="s">
        <v>1709</v>
      </c>
      <c r="E1236" s="2">
        <v>-19.22</v>
      </c>
      <c r="F1236" s="2" t="s">
        <v>16</v>
      </c>
      <c r="J1236" s="2">
        <v>19.22</v>
      </c>
      <c r="K1236" s="2" t="b">
        <v>0</v>
      </c>
      <c r="L1236" s="2"/>
      <c r="M1236" s="2"/>
      <c r="N1236" s="4" t="s">
        <v>2273</v>
      </c>
      <c r="O1236" s="4" t="str">
        <f>LEFT(Table2[[#This Row],[Description]],75)</f>
        <v>Split Rate Apy</v>
      </c>
      <c r="P1236" s="2" t="s">
        <v>2313</v>
      </c>
    </row>
    <row r="1237" spans="1:16" hidden="1">
      <c r="A1237" s="2">
        <v>201911</v>
      </c>
      <c r="B1237" s="3">
        <v>43799</v>
      </c>
      <c r="C1237" s="2" t="s">
        <v>2265</v>
      </c>
      <c r="D1237" s="2" t="s">
        <v>1709</v>
      </c>
      <c r="E1237" s="2">
        <v>-37.020000000000003</v>
      </c>
      <c r="F1237" s="2" t="s">
        <v>16</v>
      </c>
      <c r="J1237" s="2">
        <v>37.020000000000003</v>
      </c>
      <c r="K1237" s="2" t="b">
        <v>0</v>
      </c>
      <c r="L1237" s="2"/>
      <c r="M1237" s="2"/>
      <c r="N1237" s="4" t="s">
        <v>2273</v>
      </c>
      <c r="O1237" s="4" t="str">
        <f>LEFT(Table2[[#This Row],[Description]],75)</f>
        <v>Split Rate Apy</v>
      </c>
      <c r="P1237" s="2" t="s">
        <v>2313</v>
      </c>
    </row>
    <row r="1238" spans="1:16" hidden="1">
      <c r="A1238" s="2">
        <v>201911</v>
      </c>
      <c r="B1238" s="3">
        <v>43799</v>
      </c>
      <c r="C1238" s="2" t="s">
        <v>2302</v>
      </c>
      <c r="D1238" s="2" t="s">
        <v>1709</v>
      </c>
      <c r="E1238" s="2">
        <v>-19.22</v>
      </c>
      <c r="F1238" s="2" t="s">
        <v>16</v>
      </c>
      <c r="J1238" s="2">
        <v>19.22</v>
      </c>
      <c r="K1238" s="2" t="b">
        <v>0</v>
      </c>
      <c r="L1238" s="2"/>
      <c r="M1238" s="2"/>
      <c r="N1238" s="4" t="s">
        <v>2273</v>
      </c>
      <c r="O1238" s="4" t="str">
        <f>LEFT(Table2[[#This Row],[Description]],75)</f>
        <v>Split Rate Apy</v>
      </c>
      <c r="P1238" s="2" t="s">
        <v>2313</v>
      </c>
    </row>
    <row r="1239" spans="1:16" hidden="1">
      <c r="A1239" s="2">
        <v>201911</v>
      </c>
      <c r="B1239" s="3">
        <v>43799</v>
      </c>
      <c r="C1239" s="2" t="s">
        <v>2267</v>
      </c>
      <c r="D1239" s="2" t="s">
        <v>1709</v>
      </c>
      <c r="E1239" s="2">
        <v>-37.020000000000003</v>
      </c>
      <c r="F1239" s="2" t="s">
        <v>16</v>
      </c>
      <c r="J1239" s="2">
        <v>37.020000000000003</v>
      </c>
      <c r="K1239" s="2" t="b">
        <v>0</v>
      </c>
      <c r="L1239" s="2"/>
      <c r="M1239" s="2"/>
      <c r="N1239" s="4" t="s">
        <v>2273</v>
      </c>
      <c r="O1239" s="4" t="str">
        <f>LEFT(Table2[[#This Row],[Description]],75)</f>
        <v>Split Rate Apy</v>
      </c>
      <c r="P1239" s="2" t="s">
        <v>2313</v>
      </c>
    </row>
    <row r="1240" spans="1:16" hidden="1">
      <c r="A1240" s="2">
        <v>201911</v>
      </c>
      <c r="B1240" s="3">
        <v>43799</v>
      </c>
      <c r="C1240" s="2" t="s">
        <v>2262</v>
      </c>
      <c r="D1240" s="2" t="s">
        <v>1733</v>
      </c>
      <c r="E1240" s="2">
        <v>53.44</v>
      </c>
      <c r="F1240" s="2" t="s">
        <v>21</v>
      </c>
      <c r="J1240" s="2">
        <v>53.44</v>
      </c>
      <c r="K1240" s="2" t="b">
        <v>0</v>
      </c>
      <c r="L1240" s="2"/>
      <c r="M1240" s="2"/>
      <c r="N1240" s="4" t="s">
        <v>2259</v>
      </c>
      <c r="O1240" s="4" t="str">
        <f>LEFT(Table2[[#This Row],[Description]],75)</f>
        <v>SQ HELD COMPANIES CORCORAN MN 269390557</v>
      </c>
      <c r="P1240" s="2" t="s">
        <v>2281</v>
      </c>
    </row>
    <row r="1241" spans="1:16" hidden="1">
      <c r="A1241" s="2">
        <v>201911</v>
      </c>
      <c r="B1241" s="3">
        <v>43799</v>
      </c>
      <c r="C1241" s="2" t="s">
        <v>2262</v>
      </c>
      <c r="D1241" s="2" t="s">
        <v>1734</v>
      </c>
      <c r="E1241" s="2">
        <v>53.44</v>
      </c>
      <c r="F1241" s="2">
        <v>0</v>
      </c>
      <c r="J1241" s="2">
        <v>53.44</v>
      </c>
      <c r="K1241" s="2" t="b">
        <v>0</v>
      </c>
      <c r="L1241" s="2"/>
      <c r="M1241" s="2"/>
      <c r="N1241" s="4" t="s">
        <v>2259</v>
      </c>
      <c r="O1241" s="4" t="str">
        <f>LEFT(Table2[[#This Row],[Description]],75)</f>
        <v>SQ HELD COMPANIES CORCORAN MN 272880983</v>
      </c>
      <c r="P1241" s="2"/>
    </row>
    <row r="1242" spans="1:16" hidden="1">
      <c r="A1242" s="2">
        <v>201911</v>
      </c>
      <c r="B1242" s="3">
        <v>43799</v>
      </c>
      <c r="C1242" s="2" t="s">
        <v>2317</v>
      </c>
      <c r="D1242" s="2" t="s">
        <v>1774</v>
      </c>
      <c r="E1242" s="2">
        <v>-18.61</v>
      </c>
      <c r="F1242" s="2" t="s">
        <v>26</v>
      </c>
      <c r="J1242" s="2">
        <v>18.61</v>
      </c>
      <c r="K1242" s="2" t="b">
        <v>0</v>
      </c>
      <c r="L1242" s="2"/>
      <c r="M1242" s="2"/>
      <c r="N1242" s="4" t="s">
        <v>2273</v>
      </c>
      <c r="O1242" s="4" t="str">
        <f>LEFT(Table2[[#This Row],[Description]],75)</f>
        <v>STARBUCKS CORP</v>
      </c>
      <c r="P1242" s="2" t="s">
        <v>2416</v>
      </c>
    </row>
    <row r="1243" spans="1:16" hidden="1">
      <c r="A1243" s="2">
        <v>201911</v>
      </c>
      <c r="B1243" s="3">
        <v>43799</v>
      </c>
      <c r="C1243" s="2" t="s">
        <v>2262</v>
      </c>
      <c r="D1243" s="2" t="s">
        <v>1793</v>
      </c>
      <c r="E1243" s="2">
        <v>214.71</v>
      </c>
      <c r="F1243" s="2" t="s">
        <v>21</v>
      </c>
      <c r="J1243" s="2">
        <v>214.71</v>
      </c>
      <c r="K1243" s="2" t="b">
        <v>0</v>
      </c>
      <c r="L1243" s="2"/>
      <c r="M1243" s="2"/>
      <c r="N1243" s="4" t="s">
        <v>2259</v>
      </c>
      <c r="O1243" s="4" t="str">
        <f>LEFT(Table2[[#This Row],[Description]],75)</f>
        <v>Sur La Table</v>
      </c>
      <c r="P1243" s="2" t="s">
        <v>2417</v>
      </c>
    </row>
    <row r="1244" spans="1:16" hidden="1">
      <c r="A1244" s="2">
        <v>201911</v>
      </c>
      <c r="B1244" s="3">
        <v>43799</v>
      </c>
      <c r="C1244" s="2" t="s">
        <v>2265</v>
      </c>
      <c r="D1244" s="2" t="s">
        <v>31</v>
      </c>
      <c r="E1244" s="2">
        <v>106.69</v>
      </c>
      <c r="F1244" s="2" t="s">
        <v>31</v>
      </c>
      <c r="J1244" s="2">
        <v>106.69</v>
      </c>
      <c r="K1244" s="2" t="b">
        <v>0</v>
      </c>
      <c r="L1244" s="2"/>
      <c r="M1244" s="2"/>
      <c r="N1244" s="4" t="s">
        <v>2259</v>
      </c>
      <c r="O1244" s="4" t="str">
        <f>LEFT(Table2[[#This Row],[Description]],75)</f>
        <v>Target</v>
      </c>
      <c r="P1244" s="2" t="s">
        <v>2309</v>
      </c>
    </row>
    <row r="1245" spans="1:16" hidden="1">
      <c r="A1245" s="2">
        <v>201911</v>
      </c>
      <c r="B1245" s="3">
        <v>43799</v>
      </c>
      <c r="C1245" s="2" t="s">
        <v>2267</v>
      </c>
      <c r="D1245" s="2" t="s">
        <v>31</v>
      </c>
      <c r="E1245" s="2">
        <v>106.69</v>
      </c>
      <c r="F1245" s="2" t="s">
        <v>31</v>
      </c>
      <c r="J1245" s="2">
        <v>106.69</v>
      </c>
      <c r="K1245" s="2" t="b">
        <v>0</v>
      </c>
      <c r="L1245" s="2"/>
      <c r="M1245" s="2"/>
      <c r="N1245" s="4" t="s">
        <v>2259</v>
      </c>
      <c r="O1245" s="4" t="str">
        <f>LEFT(Table2[[#This Row],[Description]],75)</f>
        <v>Target</v>
      </c>
      <c r="P1245" s="2" t="s">
        <v>2309</v>
      </c>
    </row>
    <row r="1246" spans="1:16" hidden="1">
      <c r="A1246" s="2">
        <v>201911</v>
      </c>
      <c r="B1246" s="3">
        <v>43799</v>
      </c>
      <c r="C1246" s="2" t="s">
        <v>2271</v>
      </c>
      <c r="D1246" s="2" t="s">
        <v>31</v>
      </c>
      <c r="E1246" s="2">
        <v>220.77</v>
      </c>
      <c r="F1246" s="2" t="s">
        <v>31</v>
      </c>
      <c r="J1246" s="2">
        <v>220.77</v>
      </c>
      <c r="K1246" s="2" t="b">
        <v>0</v>
      </c>
      <c r="L1246" s="2"/>
      <c r="M1246" s="2"/>
      <c r="N1246" s="4" t="s">
        <v>2259</v>
      </c>
      <c r="O1246" s="4" t="str">
        <f>LEFT(Table2[[#This Row],[Description]],75)</f>
        <v>Target</v>
      </c>
      <c r="P1246" s="2" t="s">
        <v>2309</v>
      </c>
    </row>
    <row r="1247" spans="1:16" hidden="1">
      <c r="A1247" s="2">
        <v>201911</v>
      </c>
      <c r="B1247" s="3">
        <v>43799</v>
      </c>
      <c r="C1247" s="2" t="s">
        <v>2271</v>
      </c>
      <c r="D1247" s="2" t="s">
        <v>31</v>
      </c>
      <c r="E1247" s="2">
        <v>43.69</v>
      </c>
      <c r="F1247" s="2" t="s">
        <v>31</v>
      </c>
      <c r="J1247" s="2">
        <v>43.69</v>
      </c>
      <c r="K1247" s="2" t="b">
        <v>0</v>
      </c>
      <c r="L1247" s="2"/>
      <c r="M1247" s="2"/>
      <c r="N1247" s="4" t="s">
        <v>2259</v>
      </c>
      <c r="O1247" s="4" t="str">
        <f>LEFT(Table2[[#This Row],[Description]],75)</f>
        <v>Target</v>
      </c>
      <c r="P1247" s="2" t="s">
        <v>2309</v>
      </c>
    </row>
    <row r="1248" spans="1:16" hidden="1">
      <c r="A1248" s="2">
        <v>201911</v>
      </c>
      <c r="B1248" s="3">
        <v>43799</v>
      </c>
      <c r="C1248" s="2" t="s">
        <v>2271</v>
      </c>
      <c r="D1248" s="2" t="s">
        <v>31</v>
      </c>
      <c r="E1248" s="2">
        <v>89.28</v>
      </c>
      <c r="F1248" s="2" t="s">
        <v>31</v>
      </c>
      <c r="J1248" s="2">
        <v>89.28</v>
      </c>
      <c r="K1248" s="2" t="b">
        <v>0</v>
      </c>
      <c r="L1248" s="2"/>
      <c r="M1248" s="2"/>
      <c r="N1248" s="4" t="s">
        <v>2259</v>
      </c>
      <c r="O1248" s="4" t="str">
        <f>LEFT(Table2[[#This Row],[Description]],75)</f>
        <v>Target</v>
      </c>
      <c r="P1248" s="2" t="s">
        <v>2309</v>
      </c>
    </row>
    <row r="1249" spans="1:16" hidden="1">
      <c r="A1249" s="2">
        <v>201911</v>
      </c>
      <c r="B1249" s="3">
        <v>43799</v>
      </c>
      <c r="C1249" s="2" t="s">
        <v>2271</v>
      </c>
      <c r="D1249" s="2" t="s">
        <v>31</v>
      </c>
      <c r="E1249" s="2">
        <v>51.81</v>
      </c>
      <c r="F1249" s="2" t="s">
        <v>31</v>
      </c>
      <c r="J1249" s="2">
        <v>51.81</v>
      </c>
      <c r="K1249" s="2" t="b">
        <v>0</v>
      </c>
      <c r="L1249" s="2"/>
      <c r="M1249" s="2"/>
      <c r="N1249" s="4" t="s">
        <v>2259</v>
      </c>
      <c r="O1249" s="4" t="str">
        <f>LEFT(Table2[[#This Row],[Description]],75)</f>
        <v>Target</v>
      </c>
      <c r="P1249" s="2" t="s">
        <v>2309</v>
      </c>
    </row>
    <row r="1250" spans="1:16" hidden="1">
      <c r="A1250" s="2">
        <v>201911</v>
      </c>
      <c r="B1250" s="3">
        <v>43799</v>
      </c>
      <c r="C1250" s="2" t="s">
        <v>2271</v>
      </c>
      <c r="D1250" s="2" t="s">
        <v>31</v>
      </c>
      <c r="E1250" s="2">
        <v>82.53</v>
      </c>
      <c r="F1250" s="2" t="s">
        <v>31</v>
      </c>
      <c r="J1250" s="2">
        <v>82.53</v>
      </c>
      <c r="K1250" s="2" t="b">
        <v>0</v>
      </c>
      <c r="L1250" s="2"/>
      <c r="M1250" s="2"/>
      <c r="N1250" s="4" t="s">
        <v>2259</v>
      </c>
      <c r="O1250" s="4" t="str">
        <f>LEFT(Table2[[#This Row],[Description]],75)</f>
        <v>Target</v>
      </c>
      <c r="P1250" s="2" t="s">
        <v>2309</v>
      </c>
    </row>
    <row r="1251" spans="1:16" hidden="1">
      <c r="A1251" s="2">
        <v>201911</v>
      </c>
      <c r="B1251" s="3">
        <v>43799</v>
      </c>
      <c r="C1251" s="2" t="s">
        <v>2271</v>
      </c>
      <c r="D1251" s="2" t="s">
        <v>31</v>
      </c>
      <c r="E1251" s="2">
        <v>32.61</v>
      </c>
      <c r="F1251" s="2" t="s">
        <v>31</v>
      </c>
      <c r="J1251" s="2">
        <v>32.61</v>
      </c>
      <c r="K1251" s="2" t="b">
        <v>0</v>
      </c>
      <c r="L1251" s="2"/>
      <c r="M1251" s="2"/>
      <c r="N1251" s="4" t="s">
        <v>2259</v>
      </c>
      <c r="O1251" s="4" t="str">
        <f>LEFT(Table2[[#This Row],[Description]],75)</f>
        <v>Target</v>
      </c>
      <c r="P1251" s="2" t="s">
        <v>2309</v>
      </c>
    </row>
    <row r="1252" spans="1:16" hidden="1">
      <c r="A1252" s="2">
        <v>201911</v>
      </c>
      <c r="B1252" s="3">
        <v>43799</v>
      </c>
      <c r="C1252" s="2" t="s">
        <v>2271</v>
      </c>
      <c r="D1252" s="2" t="s">
        <v>31</v>
      </c>
      <c r="E1252" s="2">
        <v>134.86000000000001</v>
      </c>
      <c r="F1252" s="2" t="s">
        <v>31</v>
      </c>
      <c r="J1252" s="2">
        <v>134.86000000000001</v>
      </c>
      <c r="K1252" s="2" t="b">
        <v>0</v>
      </c>
      <c r="L1252" s="2"/>
      <c r="M1252" s="2"/>
      <c r="N1252" s="4" t="s">
        <v>2259</v>
      </c>
      <c r="O1252" s="4" t="str">
        <f>LEFT(Table2[[#This Row],[Description]],75)</f>
        <v>Target</v>
      </c>
      <c r="P1252" s="2" t="s">
        <v>2309</v>
      </c>
    </row>
    <row r="1253" spans="1:16" hidden="1">
      <c r="A1253" s="2">
        <v>201911</v>
      </c>
      <c r="B1253" s="3">
        <v>43799</v>
      </c>
      <c r="C1253" s="2" t="s">
        <v>2271</v>
      </c>
      <c r="D1253" s="2" t="s">
        <v>31</v>
      </c>
      <c r="E1253" s="2">
        <v>11.21</v>
      </c>
      <c r="F1253" s="2" t="s">
        <v>31</v>
      </c>
      <c r="J1253" s="2">
        <v>11.21</v>
      </c>
      <c r="K1253" s="2" t="b">
        <v>0</v>
      </c>
      <c r="L1253" s="2"/>
      <c r="M1253" s="2"/>
      <c r="N1253" s="4" t="s">
        <v>2259</v>
      </c>
      <c r="O1253" s="4" t="str">
        <f>LEFT(Table2[[#This Row],[Description]],75)</f>
        <v>Target</v>
      </c>
      <c r="P1253" s="2" t="s">
        <v>2309</v>
      </c>
    </row>
    <row r="1254" spans="1:16" hidden="1">
      <c r="A1254" s="2">
        <v>201911</v>
      </c>
      <c r="B1254" s="3">
        <v>43799</v>
      </c>
      <c r="C1254" s="2" t="s">
        <v>2271</v>
      </c>
      <c r="D1254" s="2" t="s">
        <v>31</v>
      </c>
      <c r="E1254" s="2">
        <v>18.350000000000001</v>
      </c>
      <c r="F1254" s="2" t="s">
        <v>31</v>
      </c>
      <c r="J1254" s="2">
        <v>18.350000000000001</v>
      </c>
      <c r="K1254" s="2" t="b">
        <v>0</v>
      </c>
      <c r="L1254" s="2"/>
      <c r="M1254" s="2"/>
      <c r="N1254" s="4" t="s">
        <v>2259</v>
      </c>
      <c r="O1254" s="4" t="str">
        <f>LEFT(Table2[[#This Row],[Description]],75)</f>
        <v>Target</v>
      </c>
      <c r="P1254" s="2" t="s">
        <v>2309</v>
      </c>
    </row>
    <row r="1255" spans="1:16" hidden="1">
      <c r="A1255" s="2">
        <v>201911</v>
      </c>
      <c r="B1255" s="3">
        <v>43799</v>
      </c>
      <c r="C1255" s="2" t="s">
        <v>2271</v>
      </c>
      <c r="D1255" s="2" t="s">
        <v>31</v>
      </c>
      <c r="E1255" s="2">
        <v>71.400000000000006</v>
      </c>
      <c r="F1255" s="2" t="s">
        <v>31</v>
      </c>
      <c r="J1255" s="2">
        <v>71.400000000000006</v>
      </c>
      <c r="K1255" s="2" t="b">
        <v>0</v>
      </c>
      <c r="L1255" s="2"/>
      <c r="M1255" s="2"/>
      <c r="N1255" s="4" t="s">
        <v>2259</v>
      </c>
      <c r="O1255" s="4" t="str">
        <f>LEFT(Table2[[#This Row],[Description]],75)</f>
        <v>Target</v>
      </c>
      <c r="P1255" s="2" t="s">
        <v>2309</v>
      </c>
    </row>
    <row r="1256" spans="1:16" hidden="1">
      <c r="A1256" s="2">
        <v>201911</v>
      </c>
      <c r="B1256" s="3">
        <v>43799</v>
      </c>
      <c r="C1256" s="2" t="s">
        <v>2271</v>
      </c>
      <c r="D1256" s="2" t="s">
        <v>31</v>
      </c>
      <c r="E1256" s="2">
        <v>32.299999999999997</v>
      </c>
      <c r="F1256" s="2" t="s">
        <v>31</v>
      </c>
      <c r="J1256" s="2">
        <v>32.299999999999997</v>
      </c>
      <c r="K1256" s="2" t="b">
        <v>0</v>
      </c>
      <c r="L1256" s="2"/>
      <c r="M1256" s="2"/>
      <c r="N1256" s="4" t="s">
        <v>2259</v>
      </c>
      <c r="O1256" s="4" t="str">
        <f>LEFT(Table2[[#This Row],[Description]],75)</f>
        <v>Target</v>
      </c>
      <c r="P1256" s="2" t="s">
        <v>2309</v>
      </c>
    </row>
    <row r="1257" spans="1:16" hidden="1">
      <c r="A1257" s="2">
        <v>201911</v>
      </c>
      <c r="B1257" s="3">
        <v>43799</v>
      </c>
      <c r="C1257" s="2" t="s">
        <v>2271</v>
      </c>
      <c r="D1257" s="2" t="s">
        <v>31</v>
      </c>
      <c r="E1257" s="2">
        <v>28.49</v>
      </c>
      <c r="F1257" s="2" t="s">
        <v>31</v>
      </c>
      <c r="J1257" s="2">
        <v>28.49</v>
      </c>
      <c r="K1257" s="2" t="b">
        <v>0</v>
      </c>
      <c r="L1257" s="2"/>
      <c r="M1257" s="2"/>
      <c r="N1257" s="4" t="s">
        <v>2259</v>
      </c>
      <c r="O1257" s="4" t="str">
        <f>LEFT(Table2[[#This Row],[Description]],75)</f>
        <v>Target</v>
      </c>
      <c r="P1257" s="2" t="s">
        <v>2309</v>
      </c>
    </row>
    <row r="1258" spans="1:16" hidden="1">
      <c r="A1258" s="2">
        <v>201911</v>
      </c>
      <c r="B1258" s="3">
        <v>43799</v>
      </c>
      <c r="C1258" s="2" t="s">
        <v>2271</v>
      </c>
      <c r="D1258" s="2" t="s">
        <v>31</v>
      </c>
      <c r="E1258" s="2">
        <v>40.79</v>
      </c>
      <c r="F1258" s="2" t="s">
        <v>31</v>
      </c>
      <c r="J1258" s="2">
        <v>40.79</v>
      </c>
      <c r="K1258" s="2" t="b">
        <v>0</v>
      </c>
      <c r="L1258" s="2"/>
      <c r="M1258" s="2"/>
      <c r="N1258" s="4" t="s">
        <v>2259</v>
      </c>
      <c r="O1258" s="4" t="str">
        <f>LEFT(Table2[[#This Row],[Description]],75)</f>
        <v>Target</v>
      </c>
      <c r="P1258" s="2" t="s">
        <v>2309</v>
      </c>
    </row>
    <row r="1259" spans="1:16" hidden="1">
      <c r="A1259" s="2">
        <v>201911</v>
      </c>
      <c r="B1259" s="3">
        <v>43799</v>
      </c>
      <c r="C1259" s="2" t="s">
        <v>2355</v>
      </c>
      <c r="D1259" s="2" t="s">
        <v>1834</v>
      </c>
      <c r="E1259" s="2">
        <v>-150</v>
      </c>
      <c r="F1259" s="2" t="s">
        <v>57</v>
      </c>
      <c r="J1259" s="2">
        <v>150</v>
      </c>
      <c r="K1259" s="2" t="b">
        <v>0</v>
      </c>
      <c r="L1259" s="2"/>
      <c r="M1259" s="2"/>
      <c r="N1259" s="4" t="s">
        <v>2273</v>
      </c>
      <c r="O1259" s="4" t="str">
        <f>LEFT(Table2[[#This Row],[Description]],75)</f>
        <v>Tfr JPMORGAN CHASE BAN, CARGILL COCOA &amp;</v>
      </c>
      <c r="P1259" s="2" t="s">
        <v>2356</v>
      </c>
    </row>
    <row r="1260" spans="1:16" hidden="1">
      <c r="A1260" s="2">
        <v>201911</v>
      </c>
      <c r="B1260" s="3">
        <v>43799</v>
      </c>
      <c r="C1260" s="2" t="s">
        <v>2277</v>
      </c>
      <c r="D1260" s="2" t="s">
        <v>1834</v>
      </c>
      <c r="E1260" s="2">
        <v>-150</v>
      </c>
      <c r="F1260" s="2" t="s">
        <v>57</v>
      </c>
      <c r="J1260" s="2">
        <v>150</v>
      </c>
      <c r="K1260" s="2" t="b">
        <v>0</v>
      </c>
      <c r="L1260" s="2"/>
      <c r="M1260" s="2"/>
      <c r="N1260" s="4" t="s">
        <v>2273</v>
      </c>
      <c r="O1260" s="4" t="str">
        <f>LEFT(Table2[[#This Row],[Description]],75)</f>
        <v>Tfr JPMORGAN CHASE BAN, CARGILL COCOA &amp;</v>
      </c>
      <c r="P1260" s="2" t="s">
        <v>2356</v>
      </c>
    </row>
    <row r="1261" spans="1:16" hidden="1">
      <c r="A1261" s="2">
        <v>201911</v>
      </c>
      <c r="B1261" s="3">
        <v>43799</v>
      </c>
      <c r="C1261" s="2" t="s">
        <v>2262</v>
      </c>
      <c r="D1261" s="2" t="s">
        <v>1863</v>
      </c>
      <c r="E1261" s="2">
        <v>26.62</v>
      </c>
      <c r="F1261" s="2" t="s">
        <v>26</v>
      </c>
      <c r="J1261" s="2">
        <v>26.62</v>
      </c>
      <c r="K1261" s="2" t="b">
        <v>0</v>
      </c>
      <c r="L1261" s="2"/>
      <c r="M1261" s="2"/>
      <c r="N1261" s="4" t="s">
        <v>2259</v>
      </c>
      <c r="O1261" s="4" t="str">
        <f>LEFT(Table2[[#This Row],[Description]],75)</f>
        <v>THR3 JACK MINNEAPOLIS MN 265419534</v>
      </c>
      <c r="P1261" s="2" t="s">
        <v>2418</v>
      </c>
    </row>
    <row r="1262" spans="1:16" hidden="1">
      <c r="A1262" s="2">
        <v>201911</v>
      </c>
      <c r="B1262" s="3">
        <v>43799</v>
      </c>
      <c r="C1262" s="2" t="s">
        <v>2262</v>
      </c>
      <c r="D1262" s="2" t="s">
        <v>1920</v>
      </c>
      <c r="E1262" s="2">
        <v>67.709999999999994</v>
      </c>
      <c r="F1262" s="2" t="s">
        <v>28</v>
      </c>
      <c r="J1262" s="2">
        <v>67.709999999999994</v>
      </c>
      <c r="K1262" s="2" t="b">
        <v>0</v>
      </c>
      <c r="L1262" s="2"/>
      <c r="M1262" s="2"/>
      <c r="N1262" s="4" t="s">
        <v>2259</v>
      </c>
      <c r="O1262" s="4" t="str">
        <f>LEFT(Table2[[#This Row],[Description]],75)</f>
        <v>Top Ten Liquors</v>
      </c>
      <c r="P1262" s="2" t="s">
        <v>2281</v>
      </c>
    </row>
    <row r="1263" spans="1:16" hidden="1">
      <c r="A1263" s="2">
        <v>201911</v>
      </c>
      <c r="B1263" s="3">
        <v>43799</v>
      </c>
      <c r="C1263" s="2" t="s">
        <v>2262</v>
      </c>
      <c r="D1263" s="2" t="s">
        <v>1931</v>
      </c>
      <c r="E1263" s="2">
        <v>7.61</v>
      </c>
      <c r="F1263" s="2" t="s">
        <v>28</v>
      </c>
      <c r="J1263" s="2">
        <v>7.61</v>
      </c>
      <c r="K1263" s="2" t="b">
        <v>0</v>
      </c>
      <c r="L1263" s="2"/>
      <c r="M1263" s="2"/>
      <c r="N1263" s="4" t="s">
        <v>2259</v>
      </c>
      <c r="O1263" s="4" t="str">
        <f>LEFT(Table2[[#This Row],[Description]],75)</f>
        <v>Trader Joe's</v>
      </c>
      <c r="P1263" s="2" t="s">
        <v>2419</v>
      </c>
    </row>
    <row r="1264" spans="1:16" hidden="1">
      <c r="A1264" s="2">
        <v>201911</v>
      </c>
      <c r="B1264" s="3">
        <v>43799</v>
      </c>
      <c r="C1264" s="2" t="s">
        <v>2300</v>
      </c>
      <c r="D1264" s="2" t="s">
        <v>1947</v>
      </c>
      <c r="E1264" s="2">
        <v>-200</v>
      </c>
      <c r="F1264" s="2" t="s">
        <v>9</v>
      </c>
      <c r="J1264" s="2">
        <v>200</v>
      </c>
      <c r="K1264" s="2" t="b">
        <v>0</v>
      </c>
      <c r="L1264" s="2"/>
      <c r="M1264" s="2"/>
      <c r="N1264" s="4" t="s">
        <v>2273</v>
      </c>
      <c r="O1264" s="4" t="str">
        <f>LEFT(Table2[[#This Row],[Description]],75)</f>
        <v>Transfer from POWERPLUS CHECKING</v>
      </c>
      <c r="P1264" s="2" t="s">
        <v>2301</v>
      </c>
    </row>
    <row r="1265" spans="1:16" hidden="1">
      <c r="A1265" s="2">
        <v>201911</v>
      </c>
      <c r="B1265" s="3">
        <v>43799</v>
      </c>
      <c r="C1265" s="2" t="s">
        <v>2262</v>
      </c>
      <c r="D1265" s="2" t="s">
        <v>1947</v>
      </c>
      <c r="E1265" s="2">
        <v>-507.8</v>
      </c>
      <c r="F1265" s="2" t="s">
        <v>9</v>
      </c>
      <c r="J1265" s="2">
        <v>507.8</v>
      </c>
      <c r="K1265" s="2" t="b">
        <v>0</v>
      </c>
      <c r="L1265" s="2"/>
      <c r="M1265" s="2"/>
      <c r="N1265" s="4" t="s">
        <v>2273</v>
      </c>
      <c r="O1265" s="4" t="str">
        <f>LEFT(Table2[[#This Row],[Description]],75)</f>
        <v>Transfer from POWERPLUS CHECKING</v>
      </c>
      <c r="P1265" s="2" t="s">
        <v>2301</v>
      </c>
    </row>
    <row r="1266" spans="1:16" hidden="1">
      <c r="A1266" s="2">
        <v>201911</v>
      </c>
      <c r="B1266" s="3">
        <v>43799</v>
      </c>
      <c r="C1266" s="2" t="s">
        <v>2302</v>
      </c>
      <c r="D1266" s="2" t="s">
        <v>1947</v>
      </c>
      <c r="E1266" s="2">
        <v>-200</v>
      </c>
      <c r="F1266" s="2" t="s">
        <v>9</v>
      </c>
      <c r="J1266" s="2">
        <v>200</v>
      </c>
      <c r="K1266" s="2" t="b">
        <v>0</v>
      </c>
      <c r="L1266" s="2"/>
      <c r="M1266" s="2"/>
      <c r="N1266" s="4" t="s">
        <v>2273</v>
      </c>
      <c r="O1266" s="4" t="str">
        <f>LEFT(Table2[[#This Row],[Description]],75)</f>
        <v>Transfer from POWERPLUS CHECKING</v>
      </c>
      <c r="P1266" s="2" t="s">
        <v>2301</v>
      </c>
    </row>
    <row r="1267" spans="1:16" hidden="1">
      <c r="A1267" s="2">
        <v>201911</v>
      </c>
      <c r="B1267" s="3">
        <v>43799</v>
      </c>
      <c r="C1267" s="2" t="s">
        <v>2265</v>
      </c>
      <c r="D1267" s="2" t="s">
        <v>1951</v>
      </c>
      <c r="E1267" s="2">
        <v>507.8</v>
      </c>
      <c r="F1267" s="2" t="s">
        <v>9</v>
      </c>
      <c r="J1267" s="2">
        <v>507.8</v>
      </c>
      <c r="K1267" s="2" t="b">
        <v>0</v>
      </c>
      <c r="L1267" s="2"/>
      <c r="M1267" s="2"/>
      <c r="N1267" s="4" t="s">
        <v>2259</v>
      </c>
      <c r="O1267" s="4" t="str">
        <f>LEFT(Table2[[#This Row],[Description]],75)</f>
        <v>Transfer to Cash Rewards Visa Signature</v>
      </c>
      <c r="P1267" s="2" t="s">
        <v>2266</v>
      </c>
    </row>
    <row r="1268" spans="1:16" hidden="1">
      <c r="A1268" s="2">
        <v>201911</v>
      </c>
      <c r="B1268" s="3">
        <v>43799</v>
      </c>
      <c r="C1268" s="2" t="s">
        <v>2267</v>
      </c>
      <c r="D1268" s="2" t="s">
        <v>1951</v>
      </c>
      <c r="E1268" s="2">
        <v>507.8</v>
      </c>
      <c r="F1268" s="2" t="s">
        <v>9</v>
      </c>
      <c r="J1268" s="2">
        <v>507.8</v>
      </c>
      <c r="K1268" s="2" t="b">
        <v>0</v>
      </c>
      <c r="L1268" s="2"/>
      <c r="M1268" s="2"/>
      <c r="N1268" s="4" t="s">
        <v>2259</v>
      </c>
      <c r="O1268" s="4" t="str">
        <f>LEFT(Table2[[#This Row],[Description]],75)</f>
        <v>Transfer to Cash Rewards Visa Signature</v>
      </c>
      <c r="P1268" s="2" t="s">
        <v>2266</v>
      </c>
    </row>
    <row r="1269" spans="1:16" hidden="1">
      <c r="A1269" s="2">
        <v>201911</v>
      </c>
      <c r="B1269" s="3">
        <v>43799</v>
      </c>
      <c r="C1269" s="2" t="s">
        <v>2265</v>
      </c>
      <c r="D1269" s="2" t="s">
        <v>1957</v>
      </c>
      <c r="E1269" s="2">
        <v>200</v>
      </c>
      <c r="F1269" s="2" t="s">
        <v>59</v>
      </c>
      <c r="J1269" s="2">
        <v>200</v>
      </c>
      <c r="K1269" s="2" t="b">
        <v>0</v>
      </c>
      <c r="L1269" s="2"/>
      <c r="M1269" s="2"/>
      <c r="N1269" s="4" t="s">
        <v>2259</v>
      </c>
      <c r="O1269" s="4" t="str">
        <f>LEFT(Table2[[#This Row],[Description]],75)</f>
        <v>Transfer to RAINY DAY SAVINGS</v>
      </c>
      <c r="P1269" s="2" t="s">
        <v>2303</v>
      </c>
    </row>
    <row r="1270" spans="1:16" hidden="1">
      <c r="A1270" s="2">
        <v>201911</v>
      </c>
      <c r="B1270" s="3">
        <v>43799</v>
      </c>
      <c r="C1270" s="2" t="s">
        <v>2267</v>
      </c>
      <c r="D1270" s="2" t="s">
        <v>1957</v>
      </c>
      <c r="E1270" s="2">
        <v>200</v>
      </c>
      <c r="F1270" s="2" t="s">
        <v>59</v>
      </c>
      <c r="J1270" s="2">
        <v>200</v>
      </c>
      <c r="K1270" s="2" t="b">
        <v>0</v>
      </c>
      <c r="L1270" s="2"/>
      <c r="M1270" s="2"/>
      <c r="N1270" s="4" t="s">
        <v>2259</v>
      </c>
      <c r="O1270" s="4" t="str">
        <f>LEFT(Table2[[#This Row],[Description]],75)</f>
        <v>Transfer to RAINY DAY SAVINGS</v>
      </c>
      <c r="P1270" s="2" t="s">
        <v>2303</v>
      </c>
    </row>
    <row r="1271" spans="1:16" hidden="1">
      <c r="A1271" s="2">
        <v>201911</v>
      </c>
      <c r="B1271" s="3">
        <v>43799</v>
      </c>
      <c r="C1271" s="2" t="s">
        <v>2317</v>
      </c>
      <c r="D1271" s="2" t="s">
        <v>2097</v>
      </c>
      <c r="E1271" s="2">
        <v>-1000</v>
      </c>
      <c r="F1271" s="2" t="s">
        <v>9</v>
      </c>
      <c r="J1271" s="2">
        <v>1000</v>
      </c>
      <c r="K1271" s="2" t="b">
        <v>0</v>
      </c>
      <c r="L1271" s="2"/>
      <c r="M1271" s="2"/>
      <c r="N1271" s="4" t="s">
        <v>2273</v>
      </c>
      <c r="O1271" s="4" t="str">
        <f>LEFT(Table2[[#This Row],[Description]],75)</f>
        <v>US TREASURY BILXXX**MATURED**</v>
      </c>
      <c r="P1271" s="2" t="s">
        <v>2385</v>
      </c>
    </row>
    <row r="1272" spans="1:16" hidden="1">
      <c r="A1272" s="2">
        <v>201911</v>
      </c>
      <c r="B1272" s="3">
        <v>43799</v>
      </c>
      <c r="C1272" s="2" t="s">
        <v>2265</v>
      </c>
      <c r="D1272" s="2" t="s">
        <v>2109</v>
      </c>
      <c r="E1272" s="2">
        <v>100</v>
      </c>
      <c r="F1272" s="2">
        <v>0</v>
      </c>
      <c r="J1272" s="2">
        <v>100</v>
      </c>
      <c r="K1272" s="2" t="b">
        <v>0</v>
      </c>
      <c r="L1272" s="2"/>
      <c r="M1272" s="2"/>
      <c r="N1272" s="4" t="s">
        <v>2259</v>
      </c>
      <c r="O1272" s="4" t="str">
        <f>LEFT(Table2[[#This Row],[Description]],75)</f>
        <v>Venmo</v>
      </c>
      <c r="P1272" s="2"/>
    </row>
    <row r="1273" spans="1:16" hidden="1">
      <c r="A1273" s="2">
        <v>201911</v>
      </c>
      <c r="B1273" s="3">
        <v>43799</v>
      </c>
      <c r="C1273" s="2" t="s">
        <v>2265</v>
      </c>
      <c r="D1273" s="2" t="s">
        <v>2109</v>
      </c>
      <c r="E1273" s="2">
        <v>9</v>
      </c>
      <c r="F1273" s="2">
        <v>0</v>
      </c>
      <c r="J1273" s="2">
        <v>9</v>
      </c>
      <c r="K1273" s="2" t="b">
        <v>0</v>
      </c>
      <c r="L1273" s="2"/>
      <c r="M1273" s="2"/>
      <c r="N1273" s="4" t="s">
        <v>2259</v>
      </c>
      <c r="O1273" s="4" t="str">
        <f>LEFT(Table2[[#This Row],[Description]],75)</f>
        <v>Venmo</v>
      </c>
      <c r="P1273" s="2"/>
    </row>
    <row r="1274" spans="1:16" hidden="1">
      <c r="A1274" s="2">
        <v>201911</v>
      </c>
      <c r="B1274" s="3">
        <v>43799</v>
      </c>
      <c r="C1274" s="2" t="s">
        <v>2265</v>
      </c>
      <c r="D1274" s="2" t="s">
        <v>2109</v>
      </c>
      <c r="E1274" s="2">
        <v>26</v>
      </c>
      <c r="F1274" s="2">
        <v>0</v>
      </c>
      <c r="J1274" s="2">
        <v>26</v>
      </c>
      <c r="K1274" s="2" t="b">
        <v>0</v>
      </c>
      <c r="L1274" s="2"/>
      <c r="M1274" s="2"/>
      <c r="N1274" s="4" t="s">
        <v>2259</v>
      </c>
      <c r="O1274" s="4" t="str">
        <f>LEFT(Table2[[#This Row],[Description]],75)</f>
        <v>Venmo</v>
      </c>
      <c r="P1274" s="2"/>
    </row>
    <row r="1275" spans="1:16" hidden="1">
      <c r="A1275" s="2">
        <v>201911</v>
      </c>
      <c r="B1275" s="3">
        <v>43799</v>
      </c>
      <c r="C1275" s="2" t="s">
        <v>2267</v>
      </c>
      <c r="D1275" s="2" t="s">
        <v>2109</v>
      </c>
      <c r="E1275" s="2">
        <v>100</v>
      </c>
      <c r="F1275" s="2" t="s">
        <v>21</v>
      </c>
      <c r="J1275" s="2">
        <v>100</v>
      </c>
      <c r="K1275" s="2" t="b">
        <v>0</v>
      </c>
      <c r="L1275" s="2"/>
      <c r="M1275" s="2"/>
      <c r="N1275" s="4" t="s">
        <v>2259</v>
      </c>
      <c r="O1275" s="4" t="str">
        <f>LEFT(Table2[[#This Row],[Description]],75)</f>
        <v>Venmo</v>
      </c>
      <c r="P1275" s="2" t="s">
        <v>2281</v>
      </c>
    </row>
    <row r="1276" spans="1:16" hidden="1">
      <c r="A1276" s="2">
        <v>201911</v>
      </c>
      <c r="B1276" s="3">
        <v>43799</v>
      </c>
      <c r="C1276" s="2" t="s">
        <v>2267</v>
      </c>
      <c r="D1276" s="2" t="s">
        <v>2109</v>
      </c>
      <c r="E1276" s="2">
        <v>9</v>
      </c>
      <c r="F1276" s="2" t="s">
        <v>21</v>
      </c>
      <c r="J1276" s="2">
        <v>9</v>
      </c>
      <c r="K1276" s="2" t="b">
        <v>0</v>
      </c>
      <c r="L1276" s="2"/>
      <c r="M1276" s="2"/>
      <c r="N1276" s="4" t="s">
        <v>2259</v>
      </c>
      <c r="O1276" s="4" t="str">
        <f>LEFT(Table2[[#This Row],[Description]],75)</f>
        <v>Venmo</v>
      </c>
      <c r="P1276" s="2" t="s">
        <v>2281</v>
      </c>
    </row>
    <row r="1277" spans="1:16" hidden="1">
      <c r="A1277" s="2">
        <v>201911</v>
      </c>
      <c r="B1277" s="3">
        <v>43799</v>
      </c>
      <c r="C1277" s="2" t="s">
        <v>2267</v>
      </c>
      <c r="D1277" s="2" t="s">
        <v>2109</v>
      </c>
      <c r="E1277" s="2">
        <v>26</v>
      </c>
      <c r="F1277" s="2" t="s">
        <v>21</v>
      </c>
      <c r="J1277" s="2">
        <v>26</v>
      </c>
      <c r="K1277" s="2" t="b">
        <v>0</v>
      </c>
      <c r="L1277" s="2"/>
      <c r="M1277" s="2"/>
      <c r="N1277" s="4" t="s">
        <v>2259</v>
      </c>
      <c r="O1277" s="4" t="str">
        <f>LEFT(Table2[[#This Row],[Description]],75)</f>
        <v>Venmo</v>
      </c>
      <c r="P1277" s="2" t="s">
        <v>2281</v>
      </c>
    </row>
    <row r="1278" spans="1:16" hidden="1">
      <c r="A1278" s="2">
        <v>201911</v>
      </c>
      <c r="B1278" s="3">
        <v>43799</v>
      </c>
      <c r="C1278" s="2" t="s">
        <v>2262</v>
      </c>
      <c r="D1278" s="2" t="s">
        <v>2135</v>
      </c>
      <c r="E1278" s="2">
        <v>41.68</v>
      </c>
      <c r="F1278" s="2" t="s">
        <v>21</v>
      </c>
      <c r="J1278" s="2">
        <v>41.68</v>
      </c>
      <c r="K1278" s="2" t="b">
        <v>0</v>
      </c>
      <c r="L1278" s="2"/>
      <c r="M1278" s="2"/>
      <c r="N1278" s="4" t="s">
        <v>2259</v>
      </c>
      <c r="O1278" s="4" t="str">
        <f>LEFT(Table2[[#This Row],[Description]],75)</f>
        <v>Walgreens</v>
      </c>
      <c r="P1278" s="2" t="s">
        <v>2389</v>
      </c>
    </row>
    <row r="1279" spans="1:16" hidden="1">
      <c r="A1279" s="2">
        <v>201911</v>
      </c>
      <c r="B1279" s="3">
        <v>43799</v>
      </c>
      <c r="C1279" s="2" t="s">
        <v>2262</v>
      </c>
      <c r="D1279" s="2" t="s">
        <v>2135</v>
      </c>
      <c r="E1279" s="2">
        <v>4.82</v>
      </c>
      <c r="F1279" s="2" t="s">
        <v>21</v>
      </c>
      <c r="J1279" s="2">
        <v>4.82</v>
      </c>
      <c r="K1279" s="2" t="b">
        <v>0</v>
      </c>
      <c r="L1279" s="2"/>
      <c r="M1279" s="2"/>
      <c r="N1279" s="4" t="s">
        <v>2259</v>
      </c>
      <c r="O1279" s="4" t="str">
        <f>LEFT(Table2[[#This Row],[Description]],75)</f>
        <v>Walgreens</v>
      </c>
      <c r="P1279" s="2" t="s">
        <v>2389</v>
      </c>
    </row>
    <row r="1280" spans="1:16" hidden="1">
      <c r="A1280" s="2">
        <v>201911</v>
      </c>
      <c r="B1280" s="3">
        <v>43799</v>
      </c>
      <c r="C1280" s="2" t="s">
        <v>2265</v>
      </c>
      <c r="D1280" s="2" t="s">
        <v>554</v>
      </c>
      <c r="E1280" s="2">
        <v>33.49</v>
      </c>
      <c r="F1280" s="2" t="s">
        <v>7</v>
      </c>
      <c r="J1280" s="2">
        <v>33.49</v>
      </c>
      <c r="K1280" s="2" t="b">
        <v>0</v>
      </c>
      <c r="L1280" s="2"/>
      <c r="M1280" s="2"/>
      <c r="N1280" s="4" t="s">
        <v>2259</v>
      </c>
      <c r="O1280" s="4" t="str">
        <f>LEFT(Table2[[#This Row],[Description]],75)</f>
        <v>City Chanhassen TYPE Payment ID T410885331 CO City Chanhassen ACH ECC PPD A</v>
      </c>
      <c r="P1280" s="2" t="s">
        <v>2420</v>
      </c>
    </row>
    <row r="1281" spans="1:16" hidden="1">
      <c r="A1281" s="2">
        <v>201911</v>
      </c>
      <c r="B1281" s="3">
        <v>43799</v>
      </c>
      <c r="C1281" s="2" t="s">
        <v>2267</v>
      </c>
      <c r="D1281" s="2" t="s">
        <v>554</v>
      </c>
      <c r="E1281" s="2">
        <v>33.49</v>
      </c>
      <c r="F1281" s="2" t="s">
        <v>7</v>
      </c>
      <c r="J1281" s="2">
        <v>33.49</v>
      </c>
      <c r="K1281" s="2" t="b">
        <v>0</v>
      </c>
      <c r="L1281" s="2"/>
      <c r="M1281" s="2"/>
      <c r="N1281" s="4" t="s">
        <v>2259</v>
      </c>
      <c r="O1281" s="4" t="str">
        <f>LEFT(Table2[[#This Row],[Description]],75)</f>
        <v>City Chanhassen TYPE Payment ID T410885331 CO City Chanhassen ACH ECC PPD A</v>
      </c>
      <c r="P1281" s="2" t="s">
        <v>2420</v>
      </c>
    </row>
    <row r="1282" spans="1:16" hidden="1">
      <c r="A1282" s="2">
        <v>201911</v>
      </c>
      <c r="B1282" s="3">
        <v>43799</v>
      </c>
      <c r="C1282" s="2" t="s">
        <v>2262</v>
      </c>
      <c r="D1282" s="2" t="s">
        <v>1428</v>
      </c>
      <c r="E1282" s="2">
        <v>-1162.5899999999999</v>
      </c>
      <c r="F1282" s="2" t="s">
        <v>9</v>
      </c>
      <c r="J1282" s="2">
        <v>1162.5899999999999</v>
      </c>
      <c r="K1282" s="2" t="b">
        <v>0</v>
      </c>
      <c r="L1282" s="2"/>
      <c r="M1282" s="2"/>
      <c r="N1282" s="4" t="s">
        <v>2273</v>
      </c>
      <c r="O1282" s="4" t="str">
        <f>LEFT(Table2[[#This Row],[Description]],75)</f>
        <v>PAYMENT THANK YOU 266345818</v>
      </c>
      <c r="P1282" s="2" t="s">
        <v>2391</v>
      </c>
    </row>
    <row r="1283" spans="1:16" hidden="1">
      <c r="A1283" s="2">
        <v>201911</v>
      </c>
      <c r="B1283" s="3">
        <v>43799</v>
      </c>
      <c r="C1283" s="2" t="s">
        <v>2262</v>
      </c>
      <c r="D1283" s="2" t="s">
        <v>1429</v>
      </c>
      <c r="E1283" s="2">
        <v>-507.8</v>
      </c>
      <c r="F1283" s="2" t="s">
        <v>9</v>
      </c>
      <c r="J1283" s="2">
        <v>507.8</v>
      </c>
      <c r="K1283" s="2" t="b">
        <v>0</v>
      </c>
      <c r="L1283" s="2"/>
      <c r="M1283" s="2"/>
      <c r="N1283" s="4" t="s">
        <v>2273</v>
      </c>
      <c r="O1283" s="4" t="str">
        <f>LEFT(Table2[[#This Row],[Description]],75)</f>
        <v>PAYMENT THANK YOU 272880966</v>
      </c>
      <c r="P1283" s="2" t="s">
        <v>2391</v>
      </c>
    </row>
    <row r="1284" spans="1:16" hidden="1">
      <c r="A1284" s="2">
        <v>201911</v>
      </c>
      <c r="B1284" s="3">
        <v>43799</v>
      </c>
      <c r="C1284" s="2" t="s">
        <v>2265</v>
      </c>
      <c r="D1284" s="2" t="s">
        <v>2173</v>
      </c>
      <c r="E1284" s="2">
        <v>1162.5899999999999</v>
      </c>
      <c r="F1284" s="2" t="s">
        <v>9</v>
      </c>
      <c r="J1284" s="2">
        <v>1162.5899999999999</v>
      </c>
      <c r="K1284" s="2" t="b">
        <v>0</v>
      </c>
      <c r="L1284" s="2"/>
      <c r="M1284" s="2"/>
      <c r="N1284" s="4" t="s">
        <v>2259</v>
      </c>
      <c r="O1284" s="4" t="str">
        <f>LEFT(Table2[[#This Row],[Description]],75)</f>
        <v>Withdrawal Home payment to card 950588 265669594</v>
      </c>
      <c r="P1284" s="2" t="s">
        <v>2349</v>
      </c>
    </row>
    <row r="1285" spans="1:16" hidden="1">
      <c r="A1285" s="2">
        <v>201911</v>
      </c>
      <c r="B1285" s="3">
        <v>43799</v>
      </c>
      <c r="C1285" s="2" t="s">
        <v>2267</v>
      </c>
      <c r="D1285" s="2" t="s">
        <v>2173</v>
      </c>
      <c r="E1285" s="2">
        <v>1162.5899999999999</v>
      </c>
      <c r="F1285" s="2" t="s">
        <v>9</v>
      </c>
      <c r="J1285" s="2">
        <v>1162.5899999999999</v>
      </c>
      <c r="K1285" s="2" t="b">
        <v>0</v>
      </c>
      <c r="L1285" s="2"/>
      <c r="M1285" s="2"/>
      <c r="N1285" s="4" t="s">
        <v>2259</v>
      </c>
      <c r="O1285" s="4" t="str">
        <f>LEFT(Table2[[#This Row],[Description]],75)</f>
        <v>Withdrawal Home payment to card 950588 265669594</v>
      </c>
      <c r="P1285" s="2" t="s">
        <v>2349</v>
      </c>
    </row>
    <row r="1286" spans="1:16" hidden="1">
      <c r="A1286" s="2">
        <v>201912</v>
      </c>
      <c r="B1286" s="3">
        <v>43800</v>
      </c>
      <c r="C1286" s="2" t="s">
        <v>2258</v>
      </c>
      <c r="D1286" s="2" t="s">
        <v>38</v>
      </c>
      <c r="E1286" s="2">
        <v>42.94</v>
      </c>
      <c r="F1286" s="2" t="s">
        <v>38</v>
      </c>
      <c r="J1286" s="2">
        <v>42.94</v>
      </c>
      <c r="K1286" s="2" t="b">
        <v>0</v>
      </c>
      <c r="L1286" s="2"/>
      <c r="M1286" s="2"/>
      <c r="N1286" s="4" t="s">
        <v>2259</v>
      </c>
      <c r="O1286" s="4" t="str">
        <f>LEFT(Table2[[#This Row],[Description]],75)</f>
        <v>Amazon</v>
      </c>
      <c r="P1286" s="2" t="s">
        <v>2260</v>
      </c>
    </row>
    <row r="1287" spans="1:16" hidden="1">
      <c r="A1287" s="2">
        <v>201912</v>
      </c>
      <c r="B1287" s="3">
        <v>43800</v>
      </c>
      <c r="C1287" s="2" t="s">
        <v>2261</v>
      </c>
      <c r="D1287" s="2" t="s">
        <v>38</v>
      </c>
      <c r="E1287" s="2">
        <v>42.94</v>
      </c>
      <c r="F1287" s="2" t="s">
        <v>38</v>
      </c>
      <c r="J1287" s="2">
        <v>42.94</v>
      </c>
      <c r="K1287" s="2" t="b">
        <v>0</v>
      </c>
      <c r="L1287" s="2"/>
      <c r="M1287" s="2"/>
      <c r="N1287" s="4" t="s">
        <v>2259</v>
      </c>
      <c r="O1287" s="4" t="str">
        <f>LEFT(Table2[[#This Row],[Description]],75)</f>
        <v>Amazon</v>
      </c>
      <c r="P1287" s="2" t="s">
        <v>2260</v>
      </c>
    </row>
    <row r="1288" spans="1:16" hidden="1">
      <c r="A1288" s="2">
        <v>201912</v>
      </c>
      <c r="B1288" s="3">
        <v>43800</v>
      </c>
      <c r="C1288" s="2" t="s">
        <v>2314</v>
      </c>
      <c r="D1288" s="2" t="s">
        <v>864</v>
      </c>
      <c r="E1288" s="2">
        <v>-1132.8</v>
      </c>
      <c r="F1288" s="2">
        <v>0</v>
      </c>
      <c r="J1288" s="2">
        <v>1132.8</v>
      </c>
      <c r="K1288" s="2" t="b">
        <v>0</v>
      </c>
      <c r="L1288" s="2"/>
      <c r="M1288" s="2"/>
      <c r="N1288" s="4" t="s">
        <v>2273</v>
      </c>
      <c r="O1288" s="4" t="str">
        <f>LEFT(Table2[[#This Row],[Description]],75)</f>
        <v>From Share 70 269586251</v>
      </c>
      <c r="P1288" s="2"/>
    </row>
    <row r="1289" spans="1:16" hidden="1">
      <c r="A1289" s="2">
        <v>201912</v>
      </c>
      <c r="B1289" s="3">
        <v>43800</v>
      </c>
      <c r="C1289" s="2" t="s">
        <v>2271</v>
      </c>
      <c r="D1289" s="2" t="s">
        <v>31</v>
      </c>
      <c r="E1289" s="2">
        <v>51.11</v>
      </c>
      <c r="F1289" s="2" t="s">
        <v>31</v>
      </c>
      <c r="J1289" s="2">
        <v>51.11</v>
      </c>
      <c r="K1289" s="2" t="b">
        <v>0</v>
      </c>
      <c r="L1289" s="2"/>
      <c r="M1289" s="2"/>
      <c r="N1289" s="4" t="s">
        <v>2259</v>
      </c>
      <c r="O1289" s="4" t="str">
        <f>LEFT(Table2[[#This Row],[Description]],75)</f>
        <v>Target</v>
      </c>
      <c r="P1289" s="2" t="s">
        <v>2309</v>
      </c>
    </row>
    <row r="1290" spans="1:16" hidden="1">
      <c r="A1290" s="2">
        <v>201912</v>
      </c>
      <c r="B1290" s="3">
        <v>43800</v>
      </c>
      <c r="C1290" s="2" t="s">
        <v>2271</v>
      </c>
      <c r="D1290" s="2" t="s">
        <v>31</v>
      </c>
      <c r="E1290" s="2">
        <v>957.47</v>
      </c>
      <c r="F1290" s="2" t="s">
        <v>31</v>
      </c>
      <c r="J1290" s="2">
        <v>957.47</v>
      </c>
      <c r="K1290" s="2" t="b">
        <v>0</v>
      </c>
      <c r="L1290" s="2"/>
      <c r="M1290" s="2"/>
      <c r="N1290" s="4" t="s">
        <v>2259</v>
      </c>
      <c r="O1290" s="4" t="str">
        <f>LEFT(Table2[[#This Row],[Description]],75)</f>
        <v>Target</v>
      </c>
      <c r="P1290" s="2" t="s">
        <v>2309</v>
      </c>
    </row>
    <row r="1291" spans="1:16" hidden="1">
      <c r="A1291" s="2">
        <v>201912</v>
      </c>
      <c r="B1291" s="3">
        <v>43800</v>
      </c>
      <c r="C1291" s="2" t="s">
        <v>2265</v>
      </c>
      <c r="D1291" s="2" t="s">
        <v>1882</v>
      </c>
      <c r="E1291" s="2">
        <v>618.65</v>
      </c>
      <c r="F1291" s="2" t="s">
        <v>11</v>
      </c>
      <c r="J1291" s="2">
        <v>618.65</v>
      </c>
      <c r="K1291" s="2" t="b">
        <v>0</v>
      </c>
      <c r="L1291" s="2"/>
      <c r="M1291" s="2"/>
      <c r="N1291" s="4" t="s">
        <v>2259</v>
      </c>
      <c r="O1291" s="4" t="str">
        <f>LEFT(Table2[[#This Row],[Description]],75)</f>
        <v>To Loan 02 269446959</v>
      </c>
      <c r="P1291" s="2" t="s">
        <v>2316</v>
      </c>
    </row>
    <row r="1292" spans="1:16" hidden="1">
      <c r="A1292" s="2">
        <v>201912</v>
      </c>
      <c r="B1292" s="3">
        <v>43800</v>
      </c>
      <c r="C1292" s="2" t="s">
        <v>2267</v>
      </c>
      <c r="D1292" s="2" t="s">
        <v>1882</v>
      </c>
      <c r="E1292" s="2">
        <v>618.65</v>
      </c>
      <c r="F1292" s="2" t="s">
        <v>11</v>
      </c>
      <c r="J1292" s="2">
        <v>618.65</v>
      </c>
      <c r="K1292" s="2" t="b">
        <v>0</v>
      </c>
      <c r="L1292" s="2"/>
      <c r="M1292" s="2"/>
      <c r="N1292" s="4" t="s">
        <v>2259</v>
      </c>
      <c r="O1292" s="4" t="str">
        <f>LEFT(Table2[[#This Row],[Description]],75)</f>
        <v>To Loan 02 269446959</v>
      </c>
      <c r="P1292" s="2" t="s">
        <v>2316</v>
      </c>
    </row>
    <row r="1293" spans="1:16" hidden="1">
      <c r="A1293" s="2">
        <v>201912</v>
      </c>
      <c r="B1293" s="3">
        <v>43801</v>
      </c>
      <c r="C1293" s="2" t="s">
        <v>2262</v>
      </c>
      <c r="D1293" s="2" t="s">
        <v>1430</v>
      </c>
      <c r="E1293" s="2">
        <v>-861.14</v>
      </c>
      <c r="F1293" s="2" t="s">
        <v>9</v>
      </c>
      <c r="J1293" s="2">
        <v>861.14</v>
      </c>
      <c r="K1293" s="2" t="b">
        <v>0</v>
      </c>
      <c r="L1293" s="2"/>
      <c r="M1293" s="2"/>
      <c r="N1293" s="4" t="s">
        <v>2273</v>
      </c>
      <c r="O1293" s="4" t="str">
        <f>LEFT(Table2[[#This Row],[Description]],75)</f>
        <v>PAYMENT THANK YOU 272880991</v>
      </c>
      <c r="P1293" s="2" t="s">
        <v>2391</v>
      </c>
    </row>
    <row r="1294" spans="1:16" hidden="1">
      <c r="A1294" s="2">
        <v>201912</v>
      </c>
      <c r="B1294" s="3">
        <v>43801</v>
      </c>
      <c r="C1294" s="2" t="s">
        <v>2265</v>
      </c>
      <c r="D1294" s="2" t="s">
        <v>2174</v>
      </c>
      <c r="E1294" s="2">
        <v>861.14</v>
      </c>
      <c r="F1294" s="2" t="s">
        <v>9</v>
      </c>
      <c r="J1294" s="2">
        <v>861.14</v>
      </c>
      <c r="K1294" s="2" t="b">
        <v>0</v>
      </c>
      <c r="L1294" s="2"/>
      <c r="M1294" s="2"/>
      <c r="N1294" s="4" t="s">
        <v>2259</v>
      </c>
      <c r="O1294" s="4" t="str">
        <f>LEFT(Table2[[#This Row],[Description]],75)</f>
        <v>Withdrawal Home payment to card 950588 269820192</v>
      </c>
      <c r="P1294" s="2" t="s">
        <v>2349</v>
      </c>
    </row>
    <row r="1295" spans="1:16" hidden="1">
      <c r="A1295" s="2">
        <v>201912</v>
      </c>
      <c r="B1295" s="3">
        <v>43801</v>
      </c>
      <c r="C1295" s="2" t="s">
        <v>2267</v>
      </c>
      <c r="D1295" s="2" t="s">
        <v>2174</v>
      </c>
      <c r="E1295" s="2">
        <v>861.14</v>
      </c>
      <c r="F1295" s="2" t="s">
        <v>9</v>
      </c>
      <c r="J1295" s="2">
        <v>861.14</v>
      </c>
      <c r="K1295" s="2" t="b">
        <v>0</v>
      </c>
      <c r="L1295" s="2"/>
      <c r="M1295" s="2"/>
      <c r="N1295" s="4" t="s">
        <v>2259</v>
      </c>
      <c r="O1295" s="4" t="str">
        <f>LEFT(Table2[[#This Row],[Description]],75)</f>
        <v>Withdrawal Home payment to card 950588 269820192</v>
      </c>
      <c r="P1295" s="2" t="s">
        <v>2349</v>
      </c>
    </row>
    <row r="1296" spans="1:16" hidden="1">
      <c r="A1296" s="2">
        <v>201912</v>
      </c>
      <c r="B1296" s="3">
        <v>43801</v>
      </c>
      <c r="C1296" s="2" t="s">
        <v>2258</v>
      </c>
      <c r="D1296" s="2" t="s">
        <v>38</v>
      </c>
      <c r="E1296" s="2">
        <v>88</v>
      </c>
      <c r="F1296" s="2" t="s">
        <v>38</v>
      </c>
      <c r="J1296" s="2">
        <v>88</v>
      </c>
      <c r="K1296" s="2" t="b">
        <v>0</v>
      </c>
      <c r="L1296" s="2"/>
      <c r="M1296" s="2"/>
      <c r="N1296" s="4" t="s">
        <v>2259</v>
      </c>
      <c r="O1296" s="4" t="str">
        <f>LEFT(Table2[[#This Row],[Description]],75)</f>
        <v>Amazon</v>
      </c>
      <c r="P1296" s="2" t="s">
        <v>2260</v>
      </c>
    </row>
    <row r="1297" spans="1:16" hidden="1">
      <c r="A1297" s="2">
        <v>201912</v>
      </c>
      <c r="B1297" s="3">
        <v>43801</v>
      </c>
      <c r="C1297" s="2" t="s">
        <v>2258</v>
      </c>
      <c r="D1297" s="2" t="s">
        <v>38</v>
      </c>
      <c r="E1297" s="2">
        <v>112.39</v>
      </c>
      <c r="F1297" s="2" t="s">
        <v>38</v>
      </c>
      <c r="J1297" s="2">
        <v>112.39</v>
      </c>
      <c r="K1297" s="2" t="b">
        <v>0</v>
      </c>
      <c r="L1297" s="2"/>
      <c r="M1297" s="2"/>
      <c r="N1297" s="4" t="s">
        <v>2259</v>
      </c>
      <c r="O1297" s="4" t="str">
        <f>LEFT(Table2[[#This Row],[Description]],75)</f>
        <v>Amazon</v>
      </c>
      <c r="P1297" s="2" t="s">
        <v>2260</v>
      </c>
    </row>
    <row r="1298" spans="1:16" hidden="1">
      <c r="A1298" s="2">
        <v>201912</v>
      </c>
      <c r="B1298" s="3">
        <v>43801</v>
      </c>
      <c r="C1298" s="2" t="s">
        <v>2261</v>
      </c>
      <c r="D1298" s="2" t="s">
        <v>38</v>
      </c>
      <c r="E1298" s="2">
        <v>88</v>
      </c>
      <c r="F1298" s="2" t="s">
        <v>38</v>
      </c>
      <c r="J1298" s="2">
        <v>88</v>
      </c>
      <c r="K1298" s="2" t="b">
        <v>0</v>
      </c>
      <c r="L1298" s="2"/>
      <c r="M1298" s="2"/>
      <c r="N1298" s="4" t="s">
        <v>2259</v>
      </c>
      <c r="O1298" s="4" t="str">
        <f>LEFT(Table2[[#This Row],[Description]],75)</f>
        <v>Amazon</v>
      </c>
      <c r="P1298" s="2" t="s">
        <v>2260</v>
      </c>
    </row>
    <row r="1299" spans="1:16" hidden="1">
      <c r="A1299" s="2">
        <v>201912</v>
      </c>
      <c r="B1299" s="3">
        <v>43801</v>
      </c>
      <c r="C1299" s="2" t="s">
        <v>2261</v>
      </c>
      <c r="D1299" s="2" t="s">
        <v>38</v>
      </c>
      <c r="E1299" s="2">
        <v>112.39</v>
      </c>
      <c r="F1299" s="2" t="s">
        <v>38</v>
      </c>
      <c r="J1299" s="2">
        <v>112.39</v>
      </c>
      <c r="K1299" s="2" t="b">
        <v>0</v>
      </c>
      <c r="L1299" s="2"/>
      <c r="M1299" s="2"/>
      <c r="N1299" s="4" t="s">
        <v>2259</v>
      </c>
      <c r="O1299" s="4" t="str">
        <f>LEFT(Table2[[#This Row],[Description]],75)</f>
        <v>Amazon</v>
      </c>
      <c r="P1299" s="2" t="s">
        <v>2260</v>
      </c>
    </row>
    <row r="1300" spans="1:16" hidden="1">
      <c r="A1300" s="2">
        <v>201912</v>
      </c>
      <c r="B1300" s="3">
        <v>43801</v>
      </c>
      <c r="C1300" s="2" t="s">
        <v>2262</v>
      </c>
      <c r="D1300" s="2" t="s">
        <v>335</v>
      </c>
      <c r="E1300" s="2">
        <v>223.92</v>
      </c>
      <c r="F1300" s="2" t="s">
        <v>9</v>
      </c>
      <c r="J1300" s="2">
        <v>223.92</v>
      </c>
      <c r="K1300" s="2" t="b">
        <v>0</v>
      </c>
      <c r="L1300" s="2"/>
      <c r="M1300" s="2"/>
      <c r="N1300" s="4" t="s">
        <v>2259</v>
      </c>
      <c r="O1300" s="4" t="str">
        <f>LEFT(Table2[[#This Row],[Description]],75)</f>
        <v>BURTON ONLINE WWWBURTONCOVT 272880985</v>
      </c>
      <c r="P1300" s="2" t="s">
        <v>2281</v>
      </c>
    </row>
    <row r="1301" spans="1:16" hidden="1">
      <c r="A1301" s="2">
        <v>201912</v>
      </c>
      <c r="B1301" s="3">
        <v>43801</v>
      </c>
      <c r="C1301" s="2" t="s">
        <v>2265</v>
      </c>
      <c r="D1301" s="2" t="s">
        <v>579</v>
      </c>
      <c r="E1301" s="2">
        <v>200</v>
      </c>
      <c r="F1301" s="2" t="s">
        <v>61</v>
      </c>
      <c r="J1301" s="2">
        <v>200</v>
      </c>
      <c r="K1301" s="2" t="b">
        <v>0</v>
      </c>
      <c r="L1301" s="2"/>
      <c r="M1301" s="2"/>
      <c r="N1301" s="4" t="s">
        <v>2259</v>
      </c>
      <c r="O1301" s="4" t="str">
        <f>LEFT(Table2[[#This Row],[Description]],75)</f>
        <v>College Savings TYPE ACH ID 550895818 CO College Savings ACH ECC PPD ACH Tr</v>
      </c>
      <c r="P1301" s="2" t="s">
        <v>2272</v>
      </c>
    </row>
    <row r="1302" spans="1:16" hidden="1">
      <c r="A1302" s="2">
        <v>201912</v>
      </c>
      <c r="B1302" s="3">
        <v>43801</v>
      </c>
      <c r="C1302" s="2" t="s">
        <v>2267</v>
      </c>
      <c r="D1302" s="2" t="s">
        <v>579</v>
      </c>
      <c r="E1302" s="2">
        <v>200</v>
      </c>
      <c r="F1302" s="2" t="s">
        <v>61</v>
      </c>
      <c r="J1302" s="2">
        <v>200</v>
      </c>
      <c r="K1302" s="2" t="b">
        <v>0</v>
      </c>
      <c r="L1302" s="2"/>
      <c r="M1302" s="2"/>
      <c r="N1302" s="4" t="s">
        <v>2259</v>
      </c>
      <c r="O1302" s="4" t="str">
        <f>LEFT(Table2[[#This Row],[Description]],75)</f>
        <v>College Savings TYPE ACH ID 550895818 CO College Savings ACH ECC PPD ACH Tr</v>
      </c>
      <c r="P1302" s="2" t="s">
        <v>2272</v>
      </c>
    </row>
    <row r="1303" spans="1:16" hidden="1">
      <c r="A1303" s="2">
        <v>201912</v>
      </c>
      <c r="B1303" s="3">
        <v>43801</v>
      </c>
      <c r="C1303" s="2" t="s">
        <v>2262</v>
      </c>
      <c r="D1303" s="2" t="s">
        <v>667</v>
      </c>
      <c r="E1303" s="2">
        <v>228.38</v>
      </c>
      <c r="F1303" s="2" t="s">
        <v>21</v>
      </c>
      <c r="J1303" s="2">
        <v>228.38</v>
      </c>
      <c r="K1303" s="2" t="b">
        <v>0</v>
      </c>
      <c r="L1303" s="2"/>
      <c r="M1303" s="2"/>
      <c r="N1303" s="4" t="s">
        <v>2259</v>
      </c>
      <c r="O1303" s="4" t="str">
        <f>LEFT(Table2[[#This Row],[Description]],75)</f>
        <v>Crate &amp; Barrel</v>
      </c>
      <c r="P1303" s="2" t="s">
        <v>2421</v>
      </c>
    </row>
    <row r="1304" spans="1:16" hidden="1">
      <c r="A1304" s="2">
        <v>201912</v>
      </c>
      <c r="B1304" s="3">
        <v>43801</v>
      </c>
      <c r="C1304" s="2" t="s">
        <v>2317</v>
      </c>
      <c r="D1304" s="2" t="s">
        <v>978</v>
      </c>
      <c r="E1304" s="2">
        <v>-23.08</v>
      </c>
      <c r="F1304" s="2" t="s">
        <v>69</v>
      </c>
      <c r="J1304" s="2">
        <v>23.08</v>
      </c>
      <c r="K1304" s="2" t="b">
        <v>0</v>
      </c>
      <c r="L1304" s="2"/>
      <c r="M1304" s="2"/>
      <c r="N1304" s="4" t="s">
        <v>2273</v>
      </c>
      <c r="O1304" s="4" t="str">
        <f>LEFT(Table2[[#This Row],[Description]],75)</f>
        <v>INTEL CORP</v>
      </c>
      <c r="P1304" s="2" t="s">
        <v>2422</v>
      </c>
    </row>
    <row r="1305" spans="1:16" hidden="1">
      <c r="A1305" s="2">
        <v>201912</v>
      </c>
      <c r="B1305" s="3">
        <v>43801</v>
      </c>
      <c r="C1305" s="2" t="s">
        <v>2262</v>
      </c>
      <c r="D1305" s="2" t="s">
        <v>1149</v>
      </c>
      <c r="E1305" s="2">
        <v>106.31</v>
      </c>
      <c r="F1305" s="2" t="s">
        <v>34</v>
      </c>
      <c r="J1305" s="2">
        <v>106.31</v>
      </c>
      <c r="K1305" s="2" t="b">
        <v>0</v>
      </c>
      <c r="L1305" s="2"/>
      <c r="M1305" s="2"/>
      <c r="N1305" s="4" t="s">
        <v>2259</v>
      </c>
      <c r="O1305" s="4" t="str">
        <f>LEFT(Table2[[#This Row],[Description]],75)</f>
        <v>LTFLIFE TIME MO DUES 8884306432 MN 272880989</v>
      </c>
      <c r="P1305" s="2" t="s">
        <v>2397</v>
      </c>
    </row>
    <row r="1306" spans="1:16" hidden="1">
      <c r="A1306" s="2">
        <v>201912</v>
      </c>
      <c r="B1306" s="3">
        <v>43801</v>
      </c>
      <c r="C1306" s="2" t="s">
        <v>2262</v>
      </c>
      <c r="D1306" s="2" t="s">
        <v>1360</v>
      </c>
      <c r="E1306" s="2">
        <v>134</v>
      </c>
      <c r="F1306" s="2" t="s">
        <v>26</v>
      </c>
      <c r="J1306" s="2">
        <v>134</v>
      </c>
      <c r="K1306" s="2" t="b">
        <v>0</v>
      </c>
      <c r="L1306" s="2"/>
      <c r="M1306" s="2"/>
      <c r="N1306" s="4" t="s">
        <v>2259</v>
      </c>
      <c r="O1306" s="4" t="str">
        <f>LEFT(Table2[[#This Row],[Description]],75)</f>
        <v>NORTH COOP CHAHASSEN MN 272880990</v>
      </c>
      <c r="P1306" s="2" t="s">
        <v>2281</v>
      </c>
    </row>
    <row r="1307" spans="1:16" hidden="1">
      <c r="A1307" s="2">
        <v>201912</v>
      </c>
      <c r="B1307" s="3">
        <v>43801</v>
      </c>
      <c r="C1307" s="2" t="s">
        <v>2262</v>
      </c>
      <c r="D1307" s="2" t="s">
        <v>1692</v>
      </c>
      <c r="E1307" s="2">
        <v>50</v>
      </c>
      <c r="F1307" s="2" t="s">
        <v>21</v>
      </c>
      <c r="J1307" s="2">
        <v>50</v>
      </c>
      <c r="K1307" s="2" t="b">
        <v>0</v>
      </c>
      <c r="L1307" s="2"/>
      <c r="M1307" s="2"/>
      <c r="N1307" s="4" t="s">
        <v>2259</v>
      </c>
      <c r="O1307" s="4" t="str">
        <f>LEFT(Table2[[#This Row],[Description]],75)</f>
        <v>SP INGRID ISABEL HTTPSINGRIDANCA 272880986</v>
      </c>
      <c r="P1307" s="2" t="s">
        <v>2281</v>
      </c>
    </row>
    <row r="1308" spans="1:16" hidden="1">
      <c r="A1308" s="2">
        <v>201912</v>
      </c>
      <c r="B1308" s="3">
        <v>43801</v>
      </c>
      <c r="C1308" s="2" t="s">
        <v>2317</v>
      </c>
      <c r="D1308" s="2" t="s">
        <v>1774</v>
      </c>
      <c r="E1308" s="2">
        <v>18.61</v>
      </c>
      <c r="F1308" s="2" t="s">
        <v>26</v>
      </c>
      <c r="J1308" s="2">
        <v>18.61</v>
      </c>
      <c r="K1308" s="2" t="b">
        <v>0</v>
      </c>
      <c r="L1308" s="2"/>
      <c r="M1308" s="2"/>
      <c r="N1308" s="4" t="s">
        <v>2259</v>
      </c>
      <c r="O1308" s="4" t="str">
        <f>LEFT(Table2[[#This Row],[Description]],75)</f>
        <v>STARBUCKS CORP</v>
      </c>
      <c r="P1308" s="2" t="s">
        <v>2416</v>
      </c>
    </row>
    <row r="1309" spans="1:16" hidden="1">
      <c r="A1309" s="2">
        <v>201912</v>
      </c>
      <c r="B1309" s="3">
        <v>43801</v>
      </c>
      <c r="C1309" s="2" t="s">
        <v>2262</v>
      </c>
      <c r="D1309" s="2" t="s">
        <v>1865</v>
      </c>
      <c r="E1309" s="2">
        <v>113.4</v>
      </c>
      <c r="F1309" s="2" t="s">
        <v>21</v>
      </c>
      <c r="J1309" s="2">
        <v>113.4</v>
      </c>
      <c r="K1309" s="2" t="b">
        <v>0</v>
      </c>
      <c r="L1309" s="2"/>
      <c r="M1309" s="2"/>
      <c r="N1309" s="4" t="s">
        <v>2259</v>
      </c>
      <c r="O1309" s="4" t="str">
        <f>LEFT(Table2[[#This Row],[Description]],75)</f>
        <v>THYMES 6126384467 MN 272880987</v>
      </c>
      <c r="P1309" s="2" t="s">
        <v>2281</v>
      </c>
    </row>
    <row r="1310" spans="1:16" hidden="1">
      <c r="A1310" s="2">
        <v>201912</v>
      </c>
      <c r="B1310" s="3">
        <v>43802</v>
      </c>
      <c r="C1310" s="2" t="s">
        <v>2258</v>
      </c>
      <c r="D1310" s="2" t="s">
        <v>458</v>
      </c>
      <c r="E1310" s="2">
        <v>-12.69</v>
      </c>
      <c r="F1310" s="2" t="s">
        <v>9</v>
      </c>
      <c r="J1310" s="2">
        <v>12.69</v>
      </c>
      <c r="K1310" s="2" t="b">
        <v>0</v>
      </c>
      <c r="L1310" s="2"/>
      <c r="M1310" s="2"/>
      <c r="N1310" s="4" t="s">
        <v>2273</v>
      </c>
      <c r="O1310" s="4" t="str">
        <f>LEFT(Table2[[#This Row],[Description]],75)</f>
        <v>CASHBACK BONUS REDEMPTION payment/STMT CRDT</v>
      </c>
      <c r="P1310" s="2" t="s">
        <v>2304</v>
      </c>
    </row>
    <row r="1311" spans="1:16" hidden="1">
      <c r="A1311" s="2">
        <v>201912</v>
      </c>
      <c r="B1311" s="3">
        <v>43802</v>
      </c>
      <c r="C1311" s="2" t="s">
        <v>2261</v>
      </c>
      <c r="D1311" s="2" t="s">
        <v>458</v>
      </c>
      <c r="E1311" s="2">
        <v>-12.69</v>
      </c>
      <c r="F1311" s="2" t="s">
        <v>9</v>
      </c>
      <c r="J1311" s="2">
        <v>12.69</v>
      </c>
      <c r="K1311" s="2" t="b">
        <v>0</v>
      </c>
      <c r="L1311" s="2"/>
      <c r="M1311" s="2"/>
      <c r="N1311" s="4" t="s">
        <v>2273</v>
      </c>
      <c r="O1311" s="4" t="str">
        <f>LEFT(Table2[[#This Row],[Description]],75)</f>
        <v>CASHBACK BONUS REDEMPTION payment/STMT CRDT</v>
      </c>
      <c r="P1311" s="2" t="s">
        <v>2304</v>
      </c>
    </row>
    <row r="1312" spans="1:16" hidden="1">
      <c r="A1312" s="2">
        <v>201912</v>
      </c>
      <c r="B1312" s="3">
        <v>43802</v>
      </c>
      <c r="C1312" s="2" t="s">
        <v>2258</v>
      </c>
      <c r="D1312" s="2" t="s">
        <v>997</v>
      </c>
      <c r="E1312" s="2">
        <v>-427.91</v>
      </c>
      <c r="F1312" s="2" t="s">
        <v>9</v>
      </c>
      <c r="J1312" s="2">
        <v>427.91</v>
      </c>
      <c r="K1312" s="2" t="b">
        <v>0</v>
      </c>
      <c r="L1312" s="2"/>
      <c r="M1312" s="2"/>
      <c r="N1312" s="4" t="s">
        <v>2273</v>
      </c>
      <c r="O1312" s="4" t="str">
        <f>LEFT(Table2[[#This Row],[Description]],75)</f>
        <v>INTERNET PAYMENT - THANK YOU</v>
      </c>
      <c r="P1312" s="2" t="s">
        <v>2291</v>
      </c>
    </row>
    <row r="1313" spans="1:16" hidden="1">
      <c r="A1313" s="2">
        <v>201912</v>
      </c>
      <c r="B1313" s="3">
        <v>43802</v>
      </c>
      <c r="C1313" s="2" t="s">
        <v>2261</v>
      </c>
      <c r="D1313" s="2" t="s">
        <v>997</v>
      </c>
      <c r="E1313" s="2">
        <v>-427.91</v>
      </c>
      <c r="F1313" s="2" t="s">
        <v>9</v>
      </c>
      <c r="J1313" s="2">
        <v>427.91</v>
      </c>
      <c r="K1313" s="2" t="b">
        <v>0</v>
      </c>
      <c r="L1313" s="2"/>
      <c r="M1313" s="2"/>
      <c r="N1313" s="4" t="s">
        <v>2273</v>
      </c>
      <c r="O1313" s="4" t="str">
        <f>LEFT(Table2[[#This Row],[Description]],75)</f>
        <v>INTERNET PAYMENT - THANK YOU</v>
      </c>
      <c r="P1313" s="2" t="s">
        <v>2291</v>
      </c>
    </row>
    <row r="1314" spans="1:16" hidden="1">
      <c r="A1314" s="2">
        <v>201912</v>
      </c>
      <c r="B1314" s="3">
        <v>43802</v>
      </c>
      <c r="C1314" s="2" t="s">
        <v>2317</v>
      </c>
      <c r="D1314" s="2" t="s">
        <v>121</v>
      </c>
      <c r="E1314" s="2">
        <v>1755.52</v>
      </c>
      <c r="F1314" s="2" t="s">
        <v>9</v>
      </c>
      <c r="J1314" s="2">
        <v>1755.52</v>
      </c>
      <c r="K1314" s="2" t="b">
        <v>0</v>
      </c>
      <c r="L1314" s="2"/>
      <c r="M1314" s="2"/>
      <c r="N1314" s="4" t="s">
        <v>2259</v>
      </c>
      <c r="O1314" s="4" t="str">
        <f>LEFT(Table2[[#This Row],[Description]],75)</f>
        <v>AMAZON.COM INC</v>
      </c>
      <c r="P1314" s="2" t="s">
        <v>2385</v>
      </c>
    </row>
    <row r="1315" spans="1:16" hidden="1">
      <c r="A1315" s="2">
        <v>201912</v>
      </c>
      <c r="B1315" s="3">
        <v>43802</v>
      </c>
      <c r="C1315" s="2" t="s">
        <v>2262</v>
      </c>
      <c r="D1315" s="2" t="s">
        <v>336</v>
      </c>
      <c r="E1315" s="2">
        <v>71.959999999999994</v>
      </c>
      <c r="F1315" s="2" t="s">
        <v>21</v>
      </c>
      <c r="J1315" s="2">
        <v>71.959999999999994</v>
      </c>
      <c r="K1315" s="2" t="b">
        <v>0</v>
      </c>
      <c r="L1315" s="2"/>
      <c r="M1315" s="2"/>
      <c r="N1315" s="4" t="s">
        <v>2259</v>
      </c>
      <c r="O1315" s="4" t="str">
        <f>LEFT(Table2[[#This Row],[Description]],75)</f>
        <v>BURTON ONLINE WWWBURTONCOVT 272880992</v>
      </c>
      <c r="P1315" s="2" t="s">
        <v>2281</v>
      </c>
    </row>
    <row r="1316" spans="1:16" hidden="1">
      <c r="A1316" s="2">
        <v>201912</v>
      </c>
      <c r="B1316" s="3">
        <v>43802</v>
      </c>
      <c r="C1316" s="2" t="s">
        <v>2317</v>
      </c>
      <c r="D1316" s="2" t="s">
        <v>978</v>
      </c>
      <c r="E1316" s="2">
        <v>23.08</v>
      </c>
      <c r="F1316" s="2" t="s">
        <v>69</v>
      </c>
      <c r="J1316" s="2">
        <v>23.08</v>
      </c>
      <c r="K1316" s="2" t="b">
        <v>0</v>
      </c>
      <c r="L1316" s="2"/>
      <c r="M1316" s="2"/>
      <c r="N1316" s="4" t="s">
        <v>2259</v>
      </c>
      <c r="O1316" s="4" t="str">
        <f>LEFT(Table2[[#This Row],[Description]],75)</f>
        <v>INTEL CORP</v>
      </c>
      <c r="P1316" s="2" t="s">
        <v>2422</v>
      </c>
    </row>
    <row r="1317" spans="1:16" hidden="1">
      <c r="A1317" s="2">
        <v>201912</v>
      </c>
      <c r="B1317" s="3">
        <v>43802</v>
      </c>
      <c r="C1317" s="2" t="s">
        <v>2262</v>
      </c>
      <c r="D1317" s="2" t="s">
        <v>1565</v>
      </c>
      <c r="E1317" s="2">
        <v>204.95</v>
      </c>
      <c r="F1317" s="2" t="s">
        <v>45</v>
      </c>
      <c r="J1317" s="2">
        <v>204.95</v>
      </c>
      <c r="K1317" s="2" t="b">
        <v>0</v>
      </c>
      <c r="L1317" s="2"/>
      <c r="M1317" s="2"/>
      <c r="N1317" s="4" t="s">
        <v>2259</v>
      </c>
      <c r="O1317" s="4" t="str">
        <f>LEFT(Table2[[#This Row],[Description]],75)</f>
        <v>REDCOWMNCOM REDCOWMNCOM MN 272880993</v>
      </c>
      <c r="P1317" s="2" t="s">
        <v>2281</v>
      </c>
    </row>
    <row r="1318" spans="1:16" hidden="1">
      <c r="A1318" s="2">
        <v>201912</v>
      </c>
      <c r="B1318" s="3">
        <v>43802</v>
      </c>
      <c r="C1318" s="2" t="s">
        <v>2317</v>
      </c>
      <c r="D1318" s="2" t="s">
        <v>2130</v>
      </c>
      <c r="E1318" s="2">
        <v>-22.41</v>
      </c>
      <c r="F1318" s="2" t="s">
        <v>69</v>
      </c>
      <c r="J1318" s="2">
        <v>22.41</v>
      </c>
      <c r="K1318" s="2" t="b">
        <v>0</v>
      </c>
      <c r="L1318" s="2"/>
      <c r="M1318" s="2"/>
      <c r="N1318" s="4" t="s">
        <v>2273</v>
      </c>
      <c r="O1318" s="4" t="str">
        <f>LEFT(Table2[[#This Row],[Description]],75)</f>
        <v>VISA INC CLASS A</v>
      </c>
      <c r="P1318" s="2" t="s">
        <v>2423</v>
      </c>
    </row>
    <row r="1319" spans="1:16" hidden="1">
      <c r="A1319" s="2">
        <v>201912</v>
      </c>
      <c r="B1319" s="3">
        <v>43803</v>
      </c>
      <c r="C1319" s="2" t="s">
        <v>2265</v>
      </c>
      <c r="D1319" s="2" t="s">
        <v>772</v>
      </c>
      <c r="E1319" s="2">
        <v>427.91</v>
      </c>
      <c r="F1319" s="2" t="s">
        <v>9</v>
      </c>
      <c r="J1319" s="2">
        <v>427.91</v>
      </c>
      <c r="K1319" s="2" t="b">
        <v>0</v>
      </c>
      <c r="L1319" s="2"/>
      <c r="M1319" s="2"/>
      <c r="N1319" s="4" t="s">
        <v>2259</v>
      </c>
      <c r="O1319" s="4" t="str">
        <f>LEFT(Table2[[#This Row],[Description]],75)</f>
        <v>DISCOVER TYPE EPAYMENT ID CO DISCOVER ACH ECC WEB ACH Trace 68708 270408831</v>
      </c>
      <c r="P1319" s="2" t="s">
        <v>2293</v>
      </c>
    </row>
    <row r="1320" spans="1:16" hidden="1">
      <c r="A1320" s="2">
        <v>201912</v>
      </c>
      <c r="B1320" s="3">
        <v>43803</v>
      </c>
      <c r="C1320" s="2" t="s">
        <v>2267</v>
      </c>
      <c r="D1320" s="2" t="s">
        <v>772</v>
      </c>
      <c r="E1320" s="2">
        <v>427.91</v>
      </c>
      <c r="F1320" s="2" t="s">
        <v>9</v>
      </c>
      <c r="J1320" s="2">
        <v>427.91</v>
      </c>
      <c r="K1320" s="2" t="b">
        <v>0</v>
      </c>
      <c r="L1320" s="2"/>
      <c r="M1320" s="2"/>
      <c r="N1320" s="4" t="s">
        <v>2259</v>
      </c>
      <c r="O1320" s="4" t="str">
        <f>LEFT(Table2[[#This Row],[Description]],75)</f>
        <v>DISCOVER TYPE EPAYMENT ID CO DISCOVER ACH ECC WEB ACH Trace 68708 270408831</v>
      </c>
      <c r="P1320" s="2" t="s">
        <v>2293</v>
      </c>
    </row>
    <row r="1321" spans="1:16" hidden="1">
      <c r="A1321" s="2">
        <v>201912</v>
      </c>
      <c r="B1321" s="3">
        <v>43803</v>
      </c>
      <c r="C1321" s="2" t="s">
        <v>2270</v>
      </c>
      <c r="D1321" s="2" t="s">
        <v>1417</v>
      </c>
      <c r="E1321" s="2">
        <v>-1084.6600000000001</v>
      </c>
      <c r="F1321" s="2">
        <v>0</v>
      </c>
      <c r="J1321" s="2">
        <v>1084.6600000000001</v>
      </c>
      <c r="K1321" s="2" t="b">
        <v>0</v>
      </c>
      <c r="L1321" s="2"/>
      <c r="M1321" s="2"/>
      <c r="N1321" s="4" t="s">
        <v>2273</v>
      </c>
      <c r="O1321" s="4" t="str">
        <f>LEFT(Table2[[#This Row],[Description]],75)</f>
        <v>PAYMENT 270891510</v>
      </c>
      <c r="P1321" s="2"/>
    </row>
    <row r="1322" spans="1:16" hidden="1">
      <c r="A1322" s="2">
        <v>201912</v>
      </c>
      <c r="B1322" s="3">
        <v>43803</v>
      </c>
      <c r="C1322" s="2" t="s">
        <v>2267</v>
      </c>
      <c r="D1322" s="2" t="s">
        <v>265</v>
      </c>
      <c r="E1322" s="2">
        <v>2914.59</v>
      </c>
      <c r="F1322" s="2" t="s">
        <v>5</v>
      </c>
      <c r="J1322" s="2">
        <v>2914.59</v>
      </c>
      <c r="K1322" s="2" t="b">
        <v>0</v>
      </c>
      <c r="L1322" s="2"/>
      <c r="M1322" s="2"/>
      <c r="N1322" s="4" t="s">
        <v>2259</v>
      </c>
      <c r="O1322" s="4" t="str">
        <f>LEFT(Table2[[#This Row],[Description]],75)</f>
        <v>BCU MORTGAGE TYPE LOAN PAYMT ID 9DRAFTING CO BCU MORTGAGE ACH ECC WEB ACH T</v>
      </c>
      <c r="P1322" s="2" t="s">
        <v>2345</v>
      </c>
    </row>
    <row r="1323" spans="1:16" hidden="1">
      <c r="A1323" s="2">
        <v>201910</v>
      </c>
      <c r="B1323" s="3">
        <v>43742</v>
      </c>
      <c r="C1323" s="2" t="s">
        <v>2265</v>
      </c>
      <c r="D1323" s="2" t="s">
        <v>266</v>
      </c>
      <c r="E1323" s="2">
        <v>2914.59</v>
      </c>
      <c r="F1323" s="2" t="s">
        <v>5</v>
      </c>
      <c r="J1323" s="2">
        <v>2914.59</v>
      </c>
      <c r="K1323" s="2" t="b">
        <v>0</v>
      </c>
      <c r="L1323" s="2"/>
      <c r="M1323" s="2"/>
      <c r="N1323" s="4" t="s">
        <v>2259</v>
      </c>
      <c r="O1323" s="4" t="str">
        <f>LEFT(Table2[[#This Row],[Description]],75)</f>
        <v>BCU MORTGAGE TYPE LOAN PAYMT ID 9DRAFTING CO BCU MORTGAGE ACH ECC WEB ACH T</v>
      </c>
      <c r="P1323" s="2" t="s">
        <v>2345</v>
      </c>
    </row>
    <row r="1324" spans="1:16" hidden="1">
      <c r="A1324" s="2">
        <v>201912</v>
      </c>
      <c r="B1324" s="3">
        <v>43803</v>
      </c>
      <c r="C1324" s="2" t="s">
        <v>2258</v>
      </c>
      <c r="D1324" s="2" t="s">
        <v>441</v>
      </c>
      <c r="E1324" s="2">
        <v>107.76</v>
      </c>
      <c r="F1324" s="2" t="s">
        <v>26</v>
      </c>
      <c r="J1324" s="2">
        <v>107.76</v>
      </c>
      <c r="K1324" s="2" t="b">
        <v>0</v>
      </c>
      <c r="L1324" s="2"/>
      <c r="M1324" s="2"/>
      <c r="N1324" s="4" t="s">
        <v>2259</v>
      </c>
      <c r="O1324" s="4" t="str">
        <f>LEFT(Table2[[#This Row],[Description]],75)</f>
        <v>CARGILL PRO20081436579 WAYZATA MN</v>
      </c>
      <c r="P1324" s="2" t="s">
        <v>2324</v>
      </c>
    </row>
    <row r="1325" spans="1:16" hidden="1">
      <c r="A1325" s="2">
        <v>201912</v>
      </c>
      <c r="B1325" s="3">
        <v>43803</v>
      </c>
      <c r="C1325" s="2" t="s">
        <v>2261</v>
      </c>
      <c r="D1325" s="2" t="s">
        <v>441</v>
      </c>
      <c r="E1325" s="2">
        <v>107.76</v>
      </c>
      <c r="F1325" s="2" t="s">
        <v>26</v>
      </c>
      <c r="J1325" s="2">
        <v>107.76</v>
      </c>
      <c r="K1325" s="2" t="b">
        <v>0</v>
      </c>
      <c r="L1325" s="2"/>
      <c r="M1325" s="2"/>
      <c r="N1325" s="4" t="s">
        <v>2259</v>
      </c>
      <c r="O1325" s="4" t="str">
        <f>LEFT(Table2[[#This Row],[Description]],75)</f>
        <v>CARGILL PRO20081436579 WAYZATA MN</v>
      </c>
      <c r="P1325" s="2" t="s">
        <v>2324</v>
      </c>
    </row>
    <row r="1326" spans="1:16" hidden="1">
      <c r="A1326" s="2">
        <v>201912</v>
      </c>
      <c r="B1326" s="3">
        <v>43803</v>
      </c>
      <c r="C1326" s="2" t="s">
        <v>2265</v>
      </c>
      <c r="D1326" s="2" t="s">
        <v>480</v>
      </c>
      <c r="E1326" s="2">
        <v>230.2</v>
      </c>
      <c r="F1326" s="2" t="s">
        <v>20</v>
      </c>
      <c r="J1326" s="2">
        <v>230.2</v>
      </c>
      <c r="K1326" s="2" t="b">
        <v>0</v>
      </c>
      <c r="L1326" s="2"/>
      <c r="M1326" s="2"/>
      <c r="N1326" s="4" t="s">
        <v>2259</v>
      </c>
      <c r="O1326" s="4" t="str">
        <f>LEFT(Table2[[#This Row],[Description]],75)</f>
        <v>CCLC TYPE INTERNET ID CO CCLC ACH ECC WEB ACH Trace 54838 270408830</v>
      </c>
      <c r="P1326" s="2" t="s">
        <v>2268</v>
      </c>
    </row>
    <row r="1327" spans="1:16" hidden="1">
      <c r="A1327" s="2">
        <v>201912</v>
      </c>
      <c r="B1327" s="3">
        <v>43803</v>
      </c>
      <c r="C1327" s="2" t="s">
        <v>2267</v>
      </c>
      <c r="D1327" s="2" t="s">
        <v>480</v>
      </c>
      <c r="E1327" s="2">
        <v>230.2</v>
      </c>
      <c r="F1327" s="2" t="s">
        <v>20</v>
      </c>
      <c r="J1327" s="2">
        <v>230.2</v>
      </c>
      <c r="K1327" s="2" t="b">
        <v>0</v>
      </c>
      <c r="L1327" s="2"/>
      <c r="M1327" s="2"/>
      <c r="N1327" s="4" t="s">
        <v>2259</v>
      </c>
      <c r="O1327" s="4" t="str">
        <f>LEFT(Table2[[#This Row],[Description]],75)</f>
        <v>CCLC TYPE INTERNET ID CO CCLC ACH ECC WEB ACH Trace 54838 270408830</v>
      </c>
      <c r="P1327" s="2" t="s">
        <v>2268</v>
      </c>
    </row>
    <row r="1328" spans="1:16" hidden="1">
      <c r="A1328" s="2">
        <v>201912</v>
      </c>
      <c r="B1328" s="3">
        <v>43803</v>
      </c>
      <c r="C1328" s="2" t="s">
        <v>2262</v>
      </c>
      <c r="D1328" s="2" t="s">
        <v>1475</v>
      </c>
      <c r="E1328" s="2">
        <v>131.63999999999999</v>
      </c>
      <c r="F1328" s="2" t="s">
        <v>48</v>
      </c>
      <c r="J1328" s="2">
        <v>131.63999999999999</v>
      </c>
      <c r="K1328" s="2" t="b">
        <v>0</v>
      </c>
      <c r="L1328" s="2"/>
      <c r="M1328" s="2"/>
      <c r="N1328" s="4" t="s">
        <v>2259</v>
      </c>
      <c r="O1328" s="4" t="str">
        <f>LEFT(Table2[[#This Row],[Description]],75)</f>
        <v>Pediatric Services PA</v>
      </c>
      <c r="P1328" s="2" t="s">
        <v>2281</v>
      </c>
    </row>
    <row r="1329" spans="1:16" hidden="1">
      <c r="A1329" s="2">
        <v>201912</v>
      </c>
      <c r="B1329" s="3">
        <v>43803</v>
      </c>
      <c r="C1329" s="2" t="s">
        <v>2265</v>
      </c>
      <c r="D1329" s="2" t="s">
        <v>2093</v>
      </c>
      <c r="E1329" s="2">
        <v>203</v>
      </c>
      <c r="F1329" s="2">
        <v>0</v>
      </c>
      <c r="J1329" s="2">
        <v>203</v>
      </c>
      <c r="K1329" s="2" t="b">
        <v>0</v>
      </c>
      <c r="L1329" s="2"/>
      <c r="M1329" s="2"/>
      <c r="N1329" s="4" t="s">
        <v>2259</v>
      </c>
      <c r="O1329" s="4" t="str">
        <f>LEFT(Table2[[#This Row],[Description]],75)</f>
        <v>US Bank</v>
      </c>
      <c r="P1329" s="2"/>
    </row>
    <row r="1330" spans="1:16" hidden="1">
      <c r="A1330" s="2">
        <v>201912</v>
      </c>
      <c r="B1330" s="3">
        <v>43803</v>
      </c>
      <c r="C1330" s="2" t="s">
        <v>2267</v>
      </c>
      <c r="D1330" s="2" t="s">
        <v>2093</v>
      </c>
      <c r="E1330" s="2">
        <v>203</v>
      </c>
      <c r="F1330" s="2" t="s">
        <v>29</v>
      </c>
      <c r="J1330" s="2">
        <v>203</v>
      </c>
      <c r="K1330" s="2" t="b">
        <v>0</v>
      </c>
      <c r="L1330" s="2"/>
      <c r="M1330" s="2"/>
      <c r="N1330" s="4" t="s">
        <v>2259</v>
      </c>
      <c r="O1330" s="4" t="str">
        <f>LEFT(Table2[[#This Row],[Description]],75)</f>
        <v>US Bank</v>
      </c>
      <c r="P1330" s="2" t="s">
        <v>2281</v>
      </c>
    </row>
    <row r="1331" spans="1:16" hidden="1">
      <c r="A1331" s="2">
        <v>201912</v>
      </c>
      <c r="B1331" s="3">
        <v>43803</v>
      </c>
      <c r="C1331" s="2" t="s">
        <v>2317</v>
      </c>
      <c r="D1331" s="2" t="s">
        <v>2130</v>
      </c>
      <c r="E1331" s="2">
        <v>22.41</v>
      </c>
      <c r="F1331" s="2" t="s">
        <v>69</v>
      </c>
      <c r="J1331" s="2">
        <v>22.41</v>
      </c>
      <c r="K1331" s="2" t="b">
        <v>0</v>
      </c>
      <c r="L1331" s="2"/>
      <c r="M1331" s="2"/>
      <c r="N1331" s="4" t="s">
        <v>2259</v>
      </c>
      <c r="O1331" s="4" t="str">
        <f>LEFT(Table2[[#This Row],[Description]],75)</f>
        <v>VISA INC CLASS A</v>
      </c>
      <c r="P1331" s="2" t="s">
        <v>2423</v>
      </c>
    </row>
    <row r="1332" spans="1:16" hidden="1">
      <c r="A1332" s="2">
        <v>201912</v>
      </c>
      <c r="B1332" s="3">
        <v>43804</v>
      </c>
      <c r="C1332" s="2" t="s">
        <v>2262</v>
      </c>
      <c r="D1332" s="2" t="s">
        <v>1431</v>
      </c>
      <c r="E1332" s="2">
        <v>-1264.56</v>
      </c>
      <c r="F1332" s="2" t="s">
        <v>9</v>
      </c>
      <c r="J1332" s="2">
        <v>1264.56</v>
      </c>
      <c r="K1332" s="2" t="b">
        <v>0</v>
      </c>
      <c r="L1332" s="2"/>
      <c r="M1332" s="2"/>
      <c r="N1332" s="4" t="s">
        <v>2273</v>
      </c>
      <c r="O1332" s="4" t="str">
        <f>LEFT(Table2[[#This Row],[Description]],75)</f>
        <v>PAYMENT THANK YOU 272880999</v>
      </c>
      <c r="P1332" s="2" t="s">
        <v>2391</v>
      </c>
    </row>
    <row r="1333" spans="1:16" hidden="1">
      <c r="A1333" s="2">
        <v>201912</v>
      </c>
      <c r="B1333" s="3">
        <v>43804</v>
      </c>
      <c r="C1333" s="2" t="s">
        <v>2265</v>
      </c>
      <c r="D1333" s="2" t="s">
        <v>2175</v>
      </c>
      <c r="E1333" s="2">
        <v>1264.56</v>
      </c>
      <c r="F1333" s="2" t="s">
        <v>9</v>
      </c>
      <c r="J1333" s="2">
        <v>1264.56</v>
      </c>
      <c r="K1333" s="2" t="b">
        <v>0</v>
      </c>
      <c r="L1333" s="2"/>
      <c r="M1333" s="2"/>
      <c r="N1333" s="4" t="s">
        <v>2259</v>
      </c>
      <c r="O1333" s="4" t="str">
        <f>LEFT(Table2[[#This Row],[Description]],75)</f>
        <v>Withdrawal Home payment to card 950588 270869881</v>
      </c>
      <c r="P1333" s="2" t="s">
        <v>2349</v>
      </c>
    </row>
    <row r="1334" spans="1:16" hidden="1">
      <c r="A1334" s="2">
        <v>201912</v>
      </c>
      <c r="B1334" s="3">
        <v>43804</v>
      </c>
      <c r="C1334" s="2" t="s">
        <v>2267</v>
      </c>
      <c r="D1334" s="2" t="s">
        <v>2175</v>
      </c>
      <c r="E1334" s="2">
        <v>1264.56</v>
      </c>
      <c r="F1334" s="2" t="s">
        <v>9</v>
      </c>
      <c r="J1334" s="2">
        <v>1264.56</v>
      </c>
      <c r="K1334" s="2" t="b">
        <v>0</v>
      </c>
      <c r="L1334" s="2"/>
      <c r="M1334" s="2"/>
      <c r="N1334" s="4" t="s">
        <v>2259</v>
      </c>
      <c r="O1334" s="4" t="str">
        <f>LEFT(Table2[[#This Row],[Description]],75)</f>
        <v>Withdrawal Home payment to card 950588 270869881</v>
      </c>
      <c r="P1334" s="2" t="s">
        <v>2349</v>
      </c>
    </row>
    <row r="1335" spans="1:16" hidden="1">
      <c r="A1335" s="2">
        <v>201912</v>
      </c>
      <c r="B1335" s="3">
        <v>43804</v>
      </c>
      <c r="C1335" s="2" t="s">
        <v>2258</v>
      </c>
      <c r="D1335" s="2" t="s">
        <v>38</v>
      </c>
      <c r="E1335" s="2">
        <v>9.5500000000000007</v>
      </c>
      <c r="F1335" s="2" t="s">
        <v>38</v>
      </c>
      <c r="J1335" s="2">
        <v>9.5500000000000007</v>
      </c>
      <c r="K1335" s="2" t="b">
        <v>0</v>
      </c>
      <c r="L1335" s="2"/>
      <c r="M1335" s="2"/>
      <c r="N1335" s="4" t="s">
        <v>2259</v>
      </c>
      <c r="O1335" s="4" t="str">
        <f>LEFT(Table2[[#This Row],[Description]],75)</f>
        <v>Amazon</v>
      </c>
      <c r="P1335" s="2" t="s">
        <v>2260</v>
      </c>
    </row>
    <row r="1336" spans="1:16" hidden="1">
      <c r="A1336" s="2">
        <v>201912</v>
      </c>
      <c r="B1336" s="3">
        <v>43804</v>
      </c>
      <c r="C1336" s="2" t="s">
        <v>2261</v>
      </c>
      <c r="D1336" s="2" t="s">
        <v>38</v>
      </c>
      <c r="E1336" s="2">
        <v>9.5500000000000007</v>
      </c>
      <c r="F1336" s="2" t="s">
        <v>38</v>
      </c>
      <c r="J1336" s="2">
        <v>9.5500000000000007</v>
      </c>
      <c r="K1336" s="2" t="b">
        <v>0</v>
      </c>
      <c r="L1336" s="2"/>
      <c r="M1336" s="2"/>
      <c r="N1336" s="4" t="s">
        <v>2259</v>
      </c>
      <c r="O1336" s="4" t="str">
        <f>LEFT(Table2[[#This Row],[Description]],75)</f>
        <v>Amazon</v>
      </c>
      <c r="P1336" s="2" t="s">
        <v>2260</v>
      </c>
    </row>
    <row r="1337" spans="1:16" hidden="1">
      <c r="A1337" s="2">
        <v>201912</v>
      </c>
      <c r="B1337" s="3">
        <v>43804</v>
      </c>
      <c r="C1337" s="2" t="s">
        <v>2265</v>
      </c>
      <c r="D1337" s="2" t="s">
        <v>425</v>
      </c>
      <c r="E1337" s="2">
        <v>-124.31</v>
      </c>
      <c r="F1337" s="2" t="s">
        <v>16</v>
      </c>
      <c r="J1337" s="2">
        <v>124.31</v>
      </c>
      <c r="K1337" s="2" t="b">
        <v>0</v>
      </c>
      <c r="L1337" s="2"/>
      <c r="M1337" s="2"/>
      <c r="N1337" s="4" t="s">
        <v>2273</v>
      </c>
      <c r="O1337" s="4" t="str">
        <f>LEFT(Table2[[#This Row],[Description]],75)</f>
        <v>Cargill Incorpor Type</v>
      </c>
      <c r="P1337" s="2" t="s">
        <v>2282</v>
      </c>
    </row>
    <row r="1338" spans="1:16" hidden="1">
      <c r="A1338" s="2">
        <v>201912</v>
      </c>
      <c r="B1338" s="3">
        <v>43804</v>
      </c>
      <c r="C1338" s="2" t="s">
        <v>2267</v>
      </c>
      <c r="D1338" s="2" t="s">
        <v>425</v>
      </c>
      <c r="E1338" s="2">
        <v>-124.31</v>
      </c>
      <c r="F1338" s="2" t="s">
        <v>16</v>
      </c>
      <c r="J1338" s="2">
        <v>124.31</v>
      </c>
      <c r="K1338" s="2" t="b">
        <v>0</v>
      </c>
      <c r="L1338" s="2"/>
      <c r="M1338" s="2"/>
      <c r="N1338" s="4" t="s">
        <v>2273</v>
      </c>
      <c r="O1338" s="4" t="str">
        <f>LEFT(Table2[[#This Row],[Description]],75)</f>
        <v>Cargill Incorpor Type</v>
      </c>
      <c r="P1338" s="2" t="s">
        <v>2282</v>
      </c>
    </row>
    <row r="1339" spans="1:16" hidden="1">
      <c r="A1339" s="2">
        <v>201912</v>
      </c>
      <c r="B1339" s="3">
        <v>43804</v>
      </c>
      <c r="C1339" s="2" t="s">
        <v>2265</v>
      </c>
      <c r="D1339" s="2" t="s">
        <v>637</v>
      </c>
      <c r="E1339" s="2">
        <v>-1720.64</v>
      </c>
      <c r="F1339" s="2">
        <v>0</v>
      </c>
      <c r="J1339" s="2">
        <v>1720.64</v>
      </c>
      <c r="K1339" s="2" t="b">
        <v>0</v>
      </c>
      <c r="L1339" s="2"/>
      <c r="M1339" s="2"/>
      <c r="N1339" s="4" t="s">
        <v>2273</v>
      </c>
      <c r="O1339" s="4" t="str">
        <f>LEFT(Table2[[#This Row],[Description]],75)</f>
        <v>Connectyourcare Type Svbclaims</v>
      </c>
      <c r="P1339" s="2"/>
    </row>
    <row r="1340" spans="1:16" hidden="1">
      <c r="A1340" s="2">
        <v>201912</v>
      </c>
      <c r="B1340" s="3">
        <v>43804</v>
      </c>
      <c r="C1340" s="2" t="s">
        <v>2267</v>
      </c>
      <c r="D1340" s="2" t="s">
        <v>637</v>
      </c>
      <c r="E1340" s="2">
        <v>-1720.64</v>
      </c>
      <c r="F1340" s="2" t="s">
        <v>9</v>
      </c>
      <c r="J1340" s="2">
        <v>1720.64</v>
      </c>
      <c r="K1340" s="2" t="b">
        <v>0</v>
      </c>
      <c r="L1340" s="2"/>
      <c r="M1340" s="2"/>
      <c r="N1340" s="4" t="s">
        <v>2273</v>
      </c>
      <c r="O1340" s="4" t="str">
        <f>LEFT(Table2[[#This Row],[Description]],75)</f>
        <v>Connectyourcare Type Svbclaims</v>
      </c>
      <c r="P1340" s="2" t="s">
        <v>2281</v>
      </c>
    </row>
    <row r="1341" spans="1:16" hidden="1">
      <c r="A1341" s="2">
        <v>201912</v>
      </c>
      <c r="B1341" s="3">
        <v>43804</v>
      </c>
      <c r="C1341" s="2" t="s">
        <v>2262</v>
      </c>
      <c r="D1341" s="2" t="s">
        <v>684</v>
      </c>
      <c r="E1341" s="2">
        <v>52.64</v>
      </c>
      <c r="F1341" s="2" t="s">
        <v>28</v>
      </c>
      <c r="J1341" s="2">
        <v>52.64</v>
      </c>
      <c r="K1341" s="2" t="b">
        <v>0</v>
      </c>
      <c r="L1341" s="2"/>
      <c r="M1341" s="2"/>
      <c r="N1341" s="4" t="s">
        <v>2259</v>
      </c>
      <c r="O1341" s="4" t="str">
        <f>LEFT(Table2[[#This Row],[Description]],75)</f>
        <v>Cub Foods</v>
      </c>
      <c r="P1341" s="2" t="s">
        <v>2370</v>
      </c>
    </row>
    <row r="1342" spans="1:16" hidden="1">
      <c r="A1342" s="2">
        <v>201912</v>
      </c>
      <c r="B1342" s="3">
        <v>43804</v>
      </c>
      <c r="C1342" s="2" t="s">
        <v>2265</v>
      </c>
      <c r="D1342" s="2" t="s">
        <v>1471</v>
      </c>
      <c r="E1342" s="2">
        <v>16.989999999999998</v>
      </c>
      <c r="F1342" s="2" t="s">
        <v>21</v>
      </c>
      <c r="J1342" s="2">
        <v>16.989999999999998</v>
      </c>
      <c r="K1342" s="2" t="b">
        <v>0</v>
      </c>
      <c r="L1342" s="2"/>
      <c r="M1342" s="2"/>
      <c r="N1342" s="4" t="s">
        <v>2259</v>
      </c>
      <c r="O1342" s="4" t="str">
        <f>LEFT(Table2[[#This Row],[Description]],75)</f>
        <v>PayPal</v>
      </c>
      <c r="P1342" s="2" t="s">
        <v>2322</v>
      </c>
    </row>
    <row r="1343" spans="1:16" hidden="1">
      <c r="A1343" s="2">
        <v>201912</v>
      </c>
      <c r="B1343" s="3">
        <v>43804</v>
      </c>
      <c r="C1343" s="2" t="s">
        <v>2267</v>
      </c>
      <c r="D1343" s="2" t="s">
        <v>1471</v>
      </c>
      <c r="E1343" s="2">
        <v>16.989999999999998</v>
      </c>
      <c r="F1343" s="2" t="s">
        <v>21</v>
      </c>
      <c r="J1343" s="2">
        <v>16.989999999999998</v>
      </c>
      <c r="K1343" s="2" t="b">
        <v>0</v>
      </c>
      <c r="L1343" s="2"/>
      <c r="M1343" s="2"/>
      <c r="N1343" s="4" t="s">
        <v>2259</v>
      </c>
      <c r="O1343" s="4" t="str">
        <f>LEFT(Table2[[#This Row],[Description]],75)</f>
        <v>PayPal</v>
      </c>
      <c r="P1343" s="2" t="s">
        <v>2322</v>
      </c>
    </row>
    <row r="1344" spans="1:16" hidden="1">
      <c r="A1344" s="2">
        <v>201912</v>
      </c>
      <c r="B1344" s="3">
        <v>43804</v>
      </c>
      <c r="C1344" s="2" t="s">
        <v>2262</v>
      </c>
      <c r="D1344" s="2" t="s">
        <v>1584</v>
      </c>
      <c r="E1344" s="2">
        <v>40</v>
      </c>
      <c r="F1344" s="2" t="s">
        <v>48</v>
      </c>
      <c r="J1344" s="2">
        <v>40</v>
      </c>
      <c r="K1344" s="2" t="b">
        <v>0</v>
      </c>
      <c r="L1344" s="2"/>
      <c r="M1344" s="2"/>
      <c r="N1344" s="4" t="s">
        <v>2259</v>
      </c>
      <c r="O1344" s="4" t="str">
        <f>LEFT(Table2[[#This Row],[Description]],75)</f>
        <v>RIDGEVIEW HOME MEDICAL EQ9524422283 MN 272880997</v>
      </c>
      <c r="P1344" s="2" t="s">
        <v>2281</v>
      </c>
    </row>
    <row r="1345" spans="1:16" hidden="1">
      <c r="A1345" s="2">
        <v>201912</v>
      </c>
      <c r="B1345" s="3">
        <v>43804</v>
      </c>
      <c r="C1345" s="2" t="s">
        <v>2275</v>
      </c>
      <c r="D1345" s="2" t="s">
        <v>1633</v>
      </c>
      <c r="E1345" s="2">
        <v>150</v>
      </c>
      <c r="F1345" s="2" t="s">
        <v>9</v>
      </c>
      <c r="J1345" s="2">
        <v>150</v>
      </c>
      <c r="K1345" s="2" t="b">
        <v>0</v>
      </c>
      <c r="L1345" s="2"/>
      <c r="M1345" s="2"/>
      <c r="N1345" s="4" t="s">
        <v>2259</v>
      </c>
      <c r="O1345" s="4" t="str">
        <f>LEFT(Table2[[#This Row],[Description]],75)</f>
        <v>SCHWAB S&amp;P 500 INDEX FD</v>
      </c>
      <c r="P1345" s="2" t="s">
        <v>2276</v>
      </c>
    </row>
    <row r="1346" spans="1:16" hidden="1">
      <c r="A1346" s="2">
        <v>201912</v>
      </c>
      <c r="B1346" s="3">
        <v>43804</v>
      </c>
      <c r="C1346" s="2" t="s">
        <v>2277</v>
      </c>
      <c r="D1346" s="2" t="s">
        <v>1633</v>
      </c>
      <c r="E1346" s="2">
        <v>150</v>
      </c>
      <c r="F1346" s="2" t="s">
        <v>9</v>
      </c>
      <c r="J1346" s="2">
        <v>150</v>
      </c>
      <c r="K1346" s="2" t="b">
        <v>0</v>
      </c>
      <c r="L1346" s="2"/>
      <c r="M1346" s="2"/>
      <c r="N1346" s="4" t="s">
        <v>2259</v>
      </c>
      <c r="O1346" s="4" t="str">
        <f>LEFT(Table2[[#This Row],[Description]],75)</f>
        <v>SCHWAB S&amp;P 500 INDEX FD</v>
      </c>
      <c r="P1346" s="2" t="s">
        <v>2276</v>
      </c>
    </row>
    <row r="1347" spans="1:16" hidden="1">
      <c r="A1347" s="2">
        <v>201912</v>
      </c>
      <c r="B1347" s="3">
        <v>43804</v>
      </c>
      <c r="C1347" s="2" t="s">
        <v>2355</v>
      </c>
      <c r="D1347" s="2" t="s">
        <v>1635</v>
      </c>
      <c r="E1347" s="2">
        <v>150</v>
      </c>
      <c r="F1347" s="2" t="s">
        <v>9</v>
      </c>
      <c r="J1347" s="2">
        <v>150</v>
      </c>
      <c r="K1347" s="2" t="b">
        <v>0</v>
      </c>
      <c r="L1347" s="2"/>
      <c r="M1347" s="2"/>
      <c r="N1347" s="4" t="s">
        <v>2259</v>
      </c>
      <c r="O1347" s="4" t="str">
        <f>LEFT(Table2[[#This Row],[Description]],75)</f>
        <v>SCHWAB TOTAL STOCK MKT INDEX</v>
      </c>
      <c r="P1347" s="2" t="s">
        <v>2278</v>
      </c>
    </row>
    <row r="1348" spans="1:16" hidden="1">
      <c r="A1348" s="2">
        <v>201912</v>
      </c>
      <c r="B1348" s="3">
        <v>43804</v>
      </c>
      <c r="C1348" s="2" t="s">
        <v>2275</v>
      </c>
      <c r="D1348" s="2" t="s">
        <v>1635</v>
      </c>
      <c r="E1348" s="2">
        <v>150</v>
      </c>
      <c r="F1348" s="2" t="s">
        <v>9</v>
      </c>
      <c r="J1348" s="2">
        <v>150</v>
      </c>
      <c r="K1348" s="2" t="b">
        <v>0</v>
      </c>
      <c r="L1348" s="2"/>
      <c r="M1348" s="2"/>
      <c r="N1348" s="4" t="s">
        <v>2259</v>
      </c>
      <c r="O1348" s="4" t="str">
        <f>LEFT(Table2[[#This Row],[Description]],75)</f>
        <v>SCHWAB TOTAL STOCK MKT INDEX</v>
      </c>
      <c r="P1348" s="2" t="s">
        <v>2278</v>
      </c>
    </row>
    <row r="1349" spans="1:16" hidden="1">
      <c r="A1349" s="2">
        <v>201912</v>
      </c>
      <c r="B1349" s="3">
        <v>43804</v>
      </c>
      <c r="C1349" s="2" t="s">
        <v>2277</v>
      </c>
      <c r="D1349" s="2" t="s">
        <v>1635</v>
      </c>
      <c r="E1349" s="2">
        <v>150</v>
      </c>
      <c r="F1349" s="2" t="s">
        <v>9</v>
      </c>
      <c r="J1349" s="2">
        <v>150</v>
      </c>
      <c r="K1349" s="2" t="b">
        <v>0</v>
      </c>
      <c r="L1349" s="2"/>
      <c r="M1349" s="2"/>
      <c r="N1349" s="4" t="s">
        <v>2259</v>
      </c>
      <c r="O1349" s="4" t="str">
        <f>LEFT(Table2[[#This Row],[Description]],75)</f>
        <v>SCHWAB TOTAL STOCK MKT INDEX</v>
      </c>
      <c r="P1349" s="2" t="s">
        <v>2278</v>
      </c>
    </row>
    <row r="1350" spans="1:16" hidden="1">
      <c r="A1350" s="2">
        <v>201912</v>
      </c>
      <c r="B1350" s="3">
        <v>43804</v>
      </c>
      <c r="C1350" s="2" t="s">
        <v>2317</v>
      </c>
      <c r="D1350" s="2" t="s">
        <v>2107</v>
      </c>
      <c r="E1350" s="2">
        <v>-4.13</v>
      </c>
      <c r="F1350" s="2" t="s">
        <v>69</v>
      </c>
      <c r="J1350" s="2">
        <v>4.13</v>
      </c>
      <c r="K1350" s="2" t="b">
        <v>0</v>
      </c>
      <c r="L1350" s="2"/>
      <c r="M1350" s="2"/>
      <c r="N1350" s="4" t="s">
        <v>2273</v>
      </c>
      <c r="O1350" s="4" t="str">
        <f>LEFT(Table2[[#This Row],[Description]],75)</f>
        <v>VANGUARD INTRMDIAT TRM TRSRY ETF</v>
      </c>
      <c r="P1350" s="2" t="s">
        <v>2357</v>
      </c>
    </row>
    <row r="1351" spans="1:16" hidden="1">
      <c r="A1351" s="2">
        <v>201912</v>
      </c>
      <c r="B1351" s="3">
        <v>43804</v>
      </c>
      <c r="C1351" s="2" t="s">
        <v>2262</v>
      </c>
      <c r="D1351" s="2" t="s">
        <v>2142</v>
      </c>
      <c r="E1351" s="2">
        <v>326.87</v>
      </c>
      <c r="F1351" s="2" t="s">
        <v>21</v>
      </c>
      <c r="J1351" s="2">
        <v>326.87</v>
      </c>
      <c r="K1351" s="2" t="b">
        <v>0</v>
      </c>
      <c r="L1351" s="2"/>
      <c r="M1351" s="2"/>
      <c r="N1351" s="4" t="s">
        <v>2259</v>
      </c>
      <c r="O1351" s="4" t="str">
        <f>LEFT(Table2[[#This Row],[Description]],75)</f>
        <v>Wayfair</v>
      </c>
      <c r="P1351" s="2" t="s">
        <v>2281</v>
      </c>
    </row>
    <row r="1352" spans="1:16" hidden="1">
      <c r="A1352" s="2">
        <v>201912</v>
      </c>
      <c r="B1352" s="3">
        <v>43804</v>
      </c>
      <c r="C1352" s="2" t="s">
        <v>2262</v>
      </c>
      <c r="D1352" s="2" t="s">
        <v>2151</v>
      </c>
      <c r="E1352" s="2">
        <v>374.28</v>
      </c>
      <c r="F1352" s="2" t="s">
        <v>48</v>
      </c>
      <c r="J1352" s="2">
        <v>374.28</v>
      </c>
      <c r="K1352" s="2" t="b">
        <v>0</v>
      </c>
      <c r="L1352" s="2"/>
      <c r="M1352" s="2"/>
      <c r="N1352" s="4" t="s">
        <v>2259</v>
      </c>
      <c r="O1352" s="4" t="str">
        <f>LEFT(Table2[[#This Row],[Description]],75)</f>
        <v>Western Ob Gyne Ltd</v>
      </c>
      <c r="P1352" s="2" t="s">
        <v>2424</v>
      </c>
    </row>
    <row r="1353" spans="1:16" hidden="1">
      <c r="A1353" s="2">
        <v>201912</v>
      </c>
      <c r="B1353" s="3">
        <v>43804</v>
      </c>
      <c r="C1353" s="2" t="s">
        <v>2265</v>
      </c>
      <c r="D1353" s="2" t="s">
        <v>2221</v>
      </c>
      <c r="E1353" s="2">
        <v>96.43</v>
      </c>
      <c r="F1353" s="2" t="s">
        <v>7</v>
      </c>
      <c r="J1353" s="2">
        <v>96.43</v>
      </c>
      <c r="K1353" s="2" t="b">
        <v>0</v>
      </c>
      <c r="L1353" s="2"/>
      <c r="M1353" s="2"/>
      <c r="N1353" s="4" t="s">
        <v>2259</v>
      </c>
      <c r="O1353" s="4" t="str">
        <f>LEFT(Table2[[#This Row],[Description]],75)</f>
        <v>Xcel Energy</v>
      </c>
      <c r="P1353" s="2" t="s">
        <v>2280</v>
      </c>
    </row>
    <row r="1354" spans="1:16" hidden="1">
      <c r="A1354" s="2">
        <v>201912</v>
      </c>
      <c r="B1354" s="3">
        <v>43804</v>
      </c>
      <c r="C1354" s="2" t="s">
        <v>2267</v>
      </c>
      <c r="D1354" s="2" t="s">
        <v>2221</v>
      </c>
      <c r="E1354" s="2">
        <v>96.43</v>
      </c>
      <c r="F1354" s="2" t="s">
        <v>7</v>
      </c>
      <c r="J1354" s="2">
        <v>96.43</v>
      </c>
      <c r="K1354" s="2" t="b">
        <v>0</v>
      </c>
      <c r="L1354" s="2"/>
      <c r="M1354" s="2"/>
      <c r="N1354" s="4" t="s">
        <v>2259</v>
      </c>
      <c r="O1354" s="4" t="str">
        <f>LEFT(Table2[[#This Row],[Description]],75)</f>
        <v>Xcel Energy</v>
      </c>
      <c r="P1354" s="2" t="s">
        <v>2280</v>
      </c>
    </row>
    <row r="1355" spans="1:16" hidden="1">
      <c r="A1355" s="2">
        <v>201912</v>
      </c>
      <c r="B1355" s="3">
        <v>43805</v>
      </c>
      <c r="C1355" s="2" t="s">
        <v>2258</v>
      </c>
      <c r="D1355" s="2" t="s">
        <v>38</v>
      </c>
      <c r="E1355" s="2">
        <v>67.06</v>
      </c>
      <c r="F1355" s="2" t="s">
        <v>38</v>
      </c>
      <c r="J1355" s="2">
        <v>67.06</v>
      </c>
      <c r="K1355" s="2" t="b">
        <v>0</v>
      </c>
      <c r="L1355" s="2"/>
      <c r="M1355" s="2"/>
      <c r="N1355" s="4" t="s">
        <v>2259</v>
      </c>
      <c r="O1355" s="4" t="str">
        <f>LEFT(Table2[[#This Row],[Description]],75)</f>
        <v>Amazon</v>
      </c>
      <c r="P1355" s="2" t="s">
        <v>2260</v>
      </c>
    </row>
    <row r="1356" spans="1:16" hidden="1">
      <c r="A1356" s="2">
        <v>201912</v>
      </c>
      <c r="B1356" s="3">
        <v>43805</v>
      </c>
      <c r="C1356" s="2" t="s">
        <v>2261</v>
      </c>
      <c r="D1356" s="2" t="s">
        <v>38</v>
      </c>
      <c r="E1356" s="2">
        <v>67.06</v>
      </c>
      <c r="F1356" s="2" t="s">
        <v>38</v>
      </c>
      <c r="J1356" s="2">
        <v>67.06</v>
      </c>
      <c r="K1356" s="2" t="b">
        <v>0</v>
      </c>
      <c r="L1356" s="2"/>
      <c r="M1356" s="2"/>
      <c r="N1356" s="4" t="s">
        <v>2259</v>
      </c>
      <c r="O1356" s="4" t="str">
        <f>LEFT(Table2[[#This Row],[Description]],75)</f>
        <v>Amazon</v>
      </c>
      <c r="P1356" s="2" t="s">
        <v>2260</v>
      </c>
    </row>
    <row r="1357" spans="1:16" hidden="1">
      <c r="A1357" s="2">
        <v>201912</v>
      </c>
      <c r="B1357" s="3">
        <v>43805</v>
      </c>
      <c r="C1357" s="2" t="s">
        <v>2317</v>
      </c>
      <c r="D1357" s="2" t="s">
        <v>305</v>
      </c>
      <c r="E1357" s="2">
        <v>-82.19</v>
      </c>
      <c r="F1357" s="2" t="s">
        <v>69</v>
      </c>
      <c r="J1357" s="2">
        <v>82.19</v>
      </c>
      <c r="K1357" s="2" t="b">
        <v>0</v>
      </c>
      <c r="L1357" s="2"/>
      <c r="M1357" s="2"/>
      <c r="N1357" s="4" t="s">
        <v>2273</v>
      </c>
      <c r="O1357" s="4" t="str">
        <f>LEFT(Table2[[#This Row],[Description]],75)</f>
        <v>BOEING CO</v>
      </c>
      <c r="P1357" s="2" t="s">
        <v>2425</v>
      </c>
    </row>
    <row r="1358" spans="1:16" hidden="1">
      <c r="A1358" s="2">
        <v>201912</v>
      </c>
      <c r="B1358" s="3">
        <v>43805</v>
      </c>
      <c r="C1358" s="2" t="s">
        <v>2262</v>
      </c>
      <c r="D1358" s="2" t="s">
        <v>353</v>
      </c>
      <c r="E1358" s="2">
        <v>6.44</v>
      </c>
      <c r="F1358" s="2" t="s">
        <v>26</v>
      </c>
      <c r="J1358" s="2">
        <v>6.44</v>
      </c>
      <c r="K1358" s="2" t="b">
        <v>0</v>
      </c>
      <c r="L1358" s="2"/>
      <c r="M1358" s="2"/>
      <c r="N1358" s="4" t="s">
        <v>2259</v>
      </c>
      <c r="O1358" s="4" t="str">
        <f>LEFT(Table2[[#This Row],[Description]],75)</f>
        <v>CARGILL CAFE 20014981 WAYZATA MN 272881000</v>
      </c>
      <c r="P1358" s="2" t="s">
        <v>2323</v>
      </c>
    </row>
    <row r="1359" spans="1:16" hidden="1">
      <c r="A1359" s="2">
        <v>201912</v>
      </c>
      <c r="B1359" s="3">
        <v>43805</v>
      </c>
      <c r="C1359" s="2" t="s">
        <v>2258</v>
      </c>
      <c r="D1359" s="2" t="s">
        <v>1075</v>
      </c>
      <c r="E1359" s="2">
        <v>21.75</v>
      </c>
      <c r="F1359" s="2" t="s">
        <v>28</v>
      </c>
      <c r="J1359" s="2">
        <v>21.75</v>
      </c>
      <c r="K1359" s="2" t="b">
        <v>0</v>
      </c>
      <c r="L1359" s="2"/>
      <c r="M1359" s="2"/>
      <c r="N1359" s="4" t="s">
        <v>2259</v>
      </c>
      <c r="O1359" s="4" t="str">
        <f>LEFT(Table2[[#This Row],[Description]],75)</f>
        <v>KNOLLWOOD LIQUOR MINNEAPOLIS MN</v>
      </c>
      <c r="P1359" s="2" t="s">
        <v>2426</v>
      </c>
    </row>
    <row r="1360" spans="1:16" hidden="1">
      <c r="A1360" s="2">
        <v>201912</v>
      </c>
      <c r="B1360" s="3">
        <v>43805</v>
      </c>
      <c r="C1360" s="2" t="s">
        <v>2261</v>
      </c>
      <c r="D1360" s="2" t="s">
        <v>1075</v>
      </c>
      <c r="E1360" s="2">
        <v>21.75</v>
      </c>
      <c r="F1360" s="2" t="s">
        <v>28</v>
      </c>
      <c r="J1360" s="2">
        <v>21.75</v>
      </c>
      <c r="K1360" s="2" t="b">
        <v>0</v>
      </c>
      <c r="L1360" s="2"/>
      <c r="M1360" s="2"/>
      <c r="N1360" s="4" t="s">
        <v>2259</v>
      </c>
      <c r="O1360" s="4" t="str">
        <f>LEFT(Table2[[#This Row],[Description]],75)</f>
        <v>KNOLLWOOD LIQUOR MINNEAPOLIS MN</v>
      </c>
      <c r="P1360" s="2" t="s">
        <v>2426</v>
      </c>
    </row>
    <row r="1361" spans="1:16" hidden="1">
      <c r="A1361" s="2">
        <v>201912</v>
      </c>
      <c r="B1361" s="3">
        <v>43805</v>
      </c>
      <c r="C1361" s="2" t="s">
        <v>2262</v>
      </c>
      <c r="D1361" s="2" t="s">
        <v>1653</v>
      </c>
      <c r="E1361" s="2">
        <v>113.98</v>
      </c>
      <c r="F1361" s="2" t="s">
        <v>2</v>
      </c>
      <c r="J1361" s="2">
        <v>113.98</v>
      </c>
      <c r="K1361" s="2" t="b">
        <v>0</v>
      </c>
      <c r="L1361" s="2"/>
      <c r="M1361" s="2"/>
      <c r="N1361" s="4" t="s">
        <v>2259</v>
      </c>
      <c r="O1361" s="4" t="str">
        <f>LEFT(Table2[[#This Row],[Description]],75)</f>
        <v>Sherwin Williams</v>
      </c>
      <c r="P1361" s="2" t="s">
        <v>2353</v>
      </c>
    </row>
    <row r="1362" spans="1:16" hidden="1">
      <c r="A1362" s="2">
        <v>201912</v>
      </c>
      <c r="B1362" s="3">
        <v>43805</v>
      </c>
      <c r="C1362" s="2" t="s">
        <v>2317</v>
      </c>
      <c r="D1362" s="2" t="s">
        <v>2107</v>
      </c>
      <c r="E1362" s="2">
        <v>4.13</v>
      </c>
      <c r="F1362" s="2" t="s">
        <v>69</v>
      </c>
      <c r="J1362" s="2">
        <v>4.13</v>
      </c>
      <c r="K1362" s="2" t="b">
        <v>0</v>
      </c>
      <c r="L1362" s="2"/>
      <c r="M1362" s="2"/>
      <c r="N1362" s="4" t="s">
        <v>2259</v>
      </c>
      <c r="O1362" s="4" t="str">
        <f>LEFT(Table2[[#This Row],[Description]],75)</f>
        <v>VANGUARD INTRMDIAT TRM TRSRY ETF</v>
      </c>
      <c r="P1362" s="2" t="s">
        <v>2357</v>
      </c>
    </row>
    <row r="1363" spans="1:16" hidden="1">
      <c r="A1363" s="2">
        <v>201912</v>
      </c>
      <c r="B1363" s="3">
        <v>43805</v>
      </c>
      <c r="C1363" s="2" t="s">
        <v>2262</v>
      </c>
      <c r="D1363" s="2" t="s">
        <v>2142</v>
      </c>
      <c r="E1363" s="2">
        <v>61.28</v>
      </c>
      <c r="F1363" s="2" t="s">
        <v>21</v>
      </c>
      <c r="J1363" s="2">
        <v>61.28</v>
      </c>
      <c r="K1363" s="2" t="b">
        <v>0</v>
      </c>
      <c r="L1363" s="2"/>
      <c r="M1363" s="2"/>
      <c r="N1363" s="4" t="s">
        <v>2259</v>
      </c>
      <c r="O1363" s="4" t="str">
        <f>LEFT(Table2[[#This Row],[Description]],75)</f>
        <v>Wayfair</v>
      </c>
      <c r="P1363" s="2" t="s">
        <v>2281</v>
      </c>
    </row>
    <row r="1364" spans="1:16" hidden="1">
      <c r="A1364" s="2">
        <v>201912</v>
      </c>
      <c r="B1364" s="3">
        <v>43805</v>
      </c>
      <c r="C1364" s="2" t="s">
        <v>2262</v>
      </c>
      <c r="D1364" s="2" t="s">
        <v>2142</v>
      </c>
      <c r="E1364" s="2">
        <v>247.3</v>
      </c>
      <c r="F1364" s="2" t="s">
        <v>21</v>
      </c>
      <c r="J1364" s="2">
        <v>247.3</v>
      </c>
      <c r="K1364" s="2" t="b">
        <v>0</v>
      </c>
      <c r="L1364" s="2"/>
      <c r="M1364" s="2"/>
      <c r="N1364" s="4" t="s">
        <v>2259</v>
      </c>
      <c r="O1364" s="4" t="str">
        <f>LEFT(Table2[[#This Row],[Description]],75)</f>
        <v>Wayfair</v>
      </c>
      <c r="P1364" s="2" t="s">
        <v>2427</v>
      </c>
    </row>
    <row r="1365" spans="1:16" hidden="1">
      <c r="A1365" s="2">
        <v>201912</v>
      </c>
      <c r="B1365" s="3">
        <v>43807</v>
      </c>
      <c r="C1365" s="2" t="s">
        <v>2262</v>
      </c>
      <c r="D1365" s="2" t="s">
        <v>1396</v>
      </c>
      <c r="E1365" s="2">
        <v>18.25</v>
      </c>
      <c r="F1365" s="2" t="s">
        <v>26</v>
      </c>
      <c r="J1365" s="2">
        <v>18.25</v>
      </c>
      <c r="K1365" s="2" t="b">
        <v>0</v>
      </c>
      <c r="L1365" s="2"/>
      <c r="M1365" s="2"/>
      <c r="N1365" s="4" t="s">
        <v>2259</v>
      </c>
      <c r="O1365" s="4" t="str">
        <f>LEFT(Table2[[#This Row],[Description]],75)</f>
        <v>Papa Murphy's</v>
      </c>
      <c r="P1365" s="2" t="s">
        <v>2281</v>
      </c>
    </row>
    <row r="1366" spans="1:16" hidden="1">
      <c r="A1366" s="2">
        <v>201912</v>
      </c>
      <c r="B1366" s="3">
        <v>43808</v>
      </c>
      <c r="C1366" s="2" t="s">
        <v>2317</v>
      </c>
      <c r="D1366" s="2" t="s">
        <v>305</v>
      </c>
      <c r="E1366" s="2">
        <v>82.19</v>
      </c>
      <c r="F1366" s="2" t="s">
        <v>69</v>
      </c>
      <c r="J1366" s="2">
        <v>82.19</v>
      </c>
      <c r="K1366" s="2" t="b">
        <v>0</v>
      </c>
      <c r="L1366" s="2"/>
      <c r="M1366" s="2"/>
      <c r="N1366" s="4" t="s">
        <v>2259</v>
      </c>
      <c r="O1366" s="4" t="str">
        <f>LEFT(Table2[[#This Row],[Description]],75)</f>
        <v>BOEING CO</v>
      </c>
      <c r="P1366" s="2" t="s">
        <v>2425</v>
      </c>
    </row>
    <row r="1367" spans="1:16" hidden="1">
      <c r="A1367" s="2">
        <v>201912</v>
      </c>
      <c r="B1367" s="3">
        <v>43808</v>
      </c>
      <c r="C1367" s="2" t="s">
        <v>2265</v>
      </c>
      <c r="D1367" s="2" t="s">
        <v>1471</v>
      </c>
      <c r="E1367" s="2">
        <v>7.43</v>
      </c>
      <c r="F1367" s="2" t="s">
        <v>21</v>
      </c>
      <c r="J1367" s="2">
        <v>7.43</v>
      </c>
      <c r="K1367" s="2" t="b">
        <v>0</v>
      </c>
      <c r="L1367" s="2"/>
      <c r="M1367" s="2"/>
      <c r="N1367" s="4" t="s">
        <v>2259</v>
      </c>
      <c r="O1367" s="4" t="str">
        <f>LEFT(Table2[[#This Row],[Description]],75)</f>
        <v>PayPal</v>
      </c>
      <c r="P1367" s="2" t="s">
        <v>2322</v>
      </c>
    </row>
    <row r="1368" spans="1:16" hidden="1">
      <c r="A1368" s="2">
        <v>201912</v>
      </c>
      <c r="B1368" s="3">
        <v>43808</v>
      </c>
      <c r="C1368" s="2" t="s">
        <v>2267</v>
      </c>
      <c r="D1368" s="2" t="s">
        <v>1471</v>
      </c>
      <c r="E1368" s="2">
        <v>7.43</v>
      </c>
      <c r="F1368" s="2" t="s">
        <v>21</v>
      </c>
      <c r="J1368" s="2">
        <v>7.43</v>
      </c>
      <c r="K1368" s="2" t="b">
        <v>0</v>
      </c>
      <c r="L1368" s="2"/>
      <c r="M1368" s="2"/>
      <c r="N1368" s="4" t="s">
        <v>2259</v>
      </c>
      <c r="O1368" s="4" t="str">
        <f>LEFT(Table2[[#This Row],[Description]],75)</f>
        <v>PayPal</v>
      </c>
      <c r="P1368" s="2" t="s">
        <v>2322</v>
      </c>
    </row>
    <row r="1369" spans="1:16" hidden="1">
      <c r="A1369" s="2">
        <v>201912</v>
      </c>
      <c r="B1369" s="3">
        <v>43808</v>
      </c>
      <c r="C1369" s="2" t="s">
        <v>2265</v>
      </c>
      <c r="D1369" s="2" t="s">
        <v>2109</v>
      </c>
      <c r="E1369" s="2">
        <v>7</v>
      </c>
      <c r="F1369" s="2">
        <v>0</v>
      </c>
      <c r="J1369" s="2">
        <v>7</v>
      </c>
      <c r="K1369" s="2" t="b">
        <v>0</v>
      </c>
      <c r="L1369" s="2"/>
      <c r="M1369" s="2"/>
      <c r="N1369" s="4" t="s">
        <v>2259</v>
      </c>
      <c r="O1369" s="4" t="str">
        <f>LEFT(Table2[[#This Row],[Description]],75)</f>
        <v>Venmo</v>
      </c>
      <c r="P1369" s="2"/>
    </row>
    <row r="1370" spans="1:16" hidden="1">
      <c r="A1370" s="2">
        <v>201912</v>
      </c>
      <c r="B1370" s="3">
        <v>43808</v>
      </c>
      <c r="C1370" s="2" t="s">
        <v>2265</v>
      </c>
      <c r="D1370" s="2" t="s">
        <v>2109</v>
      </c>
      <c r="E1370" s="2">
        <v>44</v>
      </c>
      <c r="F1370" s="2">
        <v>0</v>
      </c>
      <c r="J1370" s="2">
        <v>44</v>
      </c>
      <c r="K1370" s="2" t="b">
        <v>0</v>
      </c>
      <c r="L1370" s="2"/>
      <c r="M1370" s="2"/>
      <c r="N1370" s="4" t="s">
        <v>2259</v>
      </c>
      <c r="O1370" s="4" t="str">
        <f>LEFT(Table2[[#This Row],[Description]],75)</f>
        <v>Venmo</v>
      </c>
      <c r="P1370" s="2"/>
    </row>
    <row r="1371" spans="1:16" hidden="1">
      <c r="A1371" s="2">
        <v>201912</v>
      </c>
      <c r="B1371" s="3">
        <v>43808</v>
      </c>
      <c r="C1371" s="2" t="s">
        <v>2267</v>
      </c>
      <c r="D1371" s="2" t="s">
        <v>2109</v>
      </c>
      <c r="E1371" s="2">
        <v>7</v>
      </c>
      <c r="F1371" s="2" t="s">
        <v>21</v>
      </c>
      <c r="J1371" s="2">
        <v>7</v>
      </c>
      <c r="K1371" s="2" t="b">
        <v>0</v>
      </c>
      <c r="L1371" s="2"/>
      <c r="M1371" s="2"/>
      <c r="N1371" s="4" t="s">
        <v>2259</v>
      </c>
      <c r="O1371" s="4" t="str">
        <f>LEFT(Table2[[#This Row],[Description]],75)</f>
        <v>Venmo</v>
      </c>
      <c r="P1371" s="2" t="s">
        <v>2281</v>
      </c>
    </row>
    <row r="1372" spans="1:16" hidden="1">
      <c r="A1372" s="2">
        <v>201912</v>
      </c>
      <c r="B1372" s="3">
        <v>43808</v>
      </c>
      <c r="C1372" s="2" t="s">
        <v>2267</v>
      </c>
      <c r="D1372" s="2" t="s">
        <v>2109</v>
      </c>
      <c r="E1372" s="2">
        <v>44</v>
      </c>
      <c r="F1372" s="2" t="s">
        <v>21</v>
      </c>
      <c r="J1372" s="2">
        <v>44</v>
      </c>
      <c r="K1372" s="2" t="b">
        <v>0</v>
      </c>
      <c r="L1372" s="2"/>
      <c r="M1372" s="2"/>
      <c r="N1372" s="4" t="s">
        <v>2259</v>
      </c>
      <c r="O1372" s="4" t="str">
        <f>LEFT(Table2[[#This Row],[Description]],75)</f>
        <v>Venmo</v>
      </c>
      <c r="P1372" s="2" t="s">
        <v>2281</v>
      </c>
    </row>
    <row r="1373" spans="1:16" hidden="1">
      <c r="A1373" s="2">
        <v>201912</v>
      </c>
      <c r="B1373" s="3">
        <v>43829</v>
      </c>
      <c r="C1373" s="2" t="s">
        <v>2258</v>
      </c>
      <c r="D1373" s="2" t="s">
        <v>88</v>
      </c>
      <c r="E1373" s="2">
        <v>3.5</v>
      </c>
      <c r="F1373" s="2">
        <v>0</v>
      </c>
      <c r="J1373" s="2">
        <v>3.5</v>
      </c>
      <c r="K1373" s="2" t="b">
        <v>0</v>
      </c>
      <c r="L1373" s="2"/>
      <c r="M1373" s="2"/>
      <c r="N1373" s="4" t="s">
        <v>2259</v>
      </c>
      <c r="O1373" s="4" t="str">
        <f>LEFT(Table2[[#This Row],[Description]],75)</f>
        <v>7-Eleven</v>
      </c>
      <c r="P1373" s="2"/>
    </row>
    <row r="1374" spans="1:16" hidden="1">
      <c r="A1374" s="2">
        <v>201912</v>
      </c>
      <c r="B1374" s="3">
        <v>43829</v>
      </c>
      <c r="C1374" s="2" t="s">
        <v>2261</v>
      </c>
      <c r="D1374" s="2" t="s">
        <v>88</v>
      </c>
      <c r="E1374" s="2">
        <v>3.5</v>
      </c>
      <c r="F1374" s="2" t="s">
        <v>23</v>
      </c>
      <c r="J1374" s="2">
        <v>3.5</v>
      </c>
      <c r="K1374" s="2" t="b">
        <v>0</v>
      </c>
      <c r="L1374" s="2"/>
      <c r="M1374" s="2"/>
      <c r="N1374" s="4" t="s">
        <v>2259</v>
      </c>
      <c r="O1374" s="4" t="str">
        <f>LEFT(Table2[[#This Row],[Description]],75)</f>
        <v>7-Eleven</v>
      </c>
      <c r="P1374" s="2" t="s">
        <v>2281</v>
      </c>
    </row>
    <row r="1375" spans="1:16" hidden="1">
      <c r="A1375" s="2">
        <v>201912</v>
      </c>
      <c r="B1375" s="3">
        <v>43829</v>
      </c>
      <c r="C1375" s="2" t="s">
        <v>2262</v>
      </c>
      <c r="D1375" s="2" t="s">
        <v>102</v>
      </c>
      <c r="E1375" s="2">
        <v>-10.199999999999999</v>
      </c>
      <c r="F1375" s="2" t="s">
        <v>21</v>
      </c>
      <c r="J1375" s="2">
        <v>10.199999999999999</v>
      </c>
      <c r="K1375" s="2" t="b">
        <v>0</v>
      </c>
      <c r="L1375" s="2"/>
      <c r="M1375" s="2"/>
      <c r="N1375" s="4" t="s">
        <v>2273</v>
      </c>
      <c r="O1375" s="4" t="str">
        <f>LEFT(Table2[[#This Row],[Description]],75)</f>
        <v>Adjustmentpurchases</v>
      </c>
      <c r="P1375" s="2" t="s">
        <v>2281</v>
      </c>
    </row>
    <row r="1376" spans="1:16" hidden="1">
      <c r="A1376" s="2">
        <v>201912</v>
      </c>
      <c r="B1376" s="3">
        <v>43829</v>
      </c>
      <c r="C1376" s="2" t="s">
        <v>2262</v>
      </c>
      <c r="D1376" s="2" t="s">
        <v>102</v>
      </c>
      <c r="E1376" s="2">
        <v>-18</v>
      </c>
      <c r="F1376" s="2" t="s">
        <v>21</v>
      </c>
      <c r="J1376" s="2">
        <v>18</v>
      </c>
      <c r="K1376" s="2" t="b">
        <v>0</v>
      </c>
      <c r="L1376" s="2"/>
      <c r="M1376" s="2"/>
      <c r="N1376" s="4" t="s">
        <v>2273</v>
      </c>
      <c r="O1376" s="4" t="str">
        <f>LEFT(Table2[[#This Row],[Description]],75)</f>
        <v>Adjustmentpurchases</v>
      </c>
      <c r="P1376" s="2" t="s">
        <v>2281</v>
      </c>
    </row>
    <row r="1377" spans="1:16" hidden="1">
      <c r="A1377" s="2">
        <v>201912</v>
      </c>
      <c r="B1377" s="3">
        <v>43829</v>
      </c>
      <c r="C1377" s="2" t="s">
        <v>2262</v>
      </c>
      <c r="D1377" s="2" t="s">
        <v>102</v>
      </c>
      <c r="E1377" s="2">
        <v>-19.86</v>
      </c>
      <c r="F1377" s="2" t="s">
        <v>21</v>
      </c>
      <c r="J1377" s="2">
        <v>19.86</v>
      </c>
      <c r="K1377" s="2" t="b">
        <v>0</v>
      </c>
      <c r="L1377" s="2"/>
      <c r="M1377" s="2"/>
      <c r="N1377" s="4" t="s">
        <v>2273</v>
      </c>
      <c r="O1377" s="4" t="str">
        <f>LEFT(Table2[[#This Row],[Description]],75)</f>
        <v>Adjustmentpurchases</v>
      </c>
      <c r="P1377" s="2" t="s">
        <v>2281</v>
      </c>
    </row>
    <row r="1378" spans="1:16" hidden="1">
      <c r="A1378" s="2">
        <v>201912</v>
      </c>
      <c r="B1378" s="3">
        <v>43829</v>
      </c>
      <c r="C1378" s="2" t="s">
        <v>2274</v>
      </c>
      <c r="D1378" s="2" t="s">
        <v>106</v>
      </c>
      <c r="E1378" s="2">
        <v>20.14</v>
      </c>
      <c r="F1378" s="2" t="s">
        <v>26</v>
      </c>
      <c r="J1378" s="2">
        <v>20.14</v>
      </c>
      <c r="K1378" s="2" t="b">
        <v>0</v>
      </c>
      <c r="L1378" s="2"/>
      <c r="M1378" s="2"/>
      <c r="N1378" s="4" t="s">
        <v>2259</v>
      </c>
      <c r="O1378" s="4" t="str">
        <f>LEFT(Table2[[#This Row],[Description]],75)</f>
        <v>ALBERT HEIJN 1653 LUCHTHAVEN SC, #000</v>
      </c>
      <c r="P1378" s="2" t="s">
        <v>2281</v>
      </c>
    </row>
    <row r="1379" spans="1:16" hidden="1">
      <c r="A1379" s="2">
        <v>201912</v>
      </c>
      <c r="B1379" s="3">
        <v>43829</v>
      </c>
      <c r="C1379" s="2" t="s">
        <v>2258</v>
      </c>
      <c r="D1379" s="2" t="s">
        <v>38</v>
      </c>
      <c r="E1379" s="2">
        <v>15.02</v>
      </c>
      <c r="F1379" s="2" t="s">
        <v>38</v>
      </c>
      <c r="J1379" s="2">
        <v>15.02</v>
      </c>
      <c r="K1379" s="2" t="b">
        <v>0</v>
      </c>
      <c r="L1379" s="2"/>
      <c r="M1379" s="2"/>
      <c r="N1379" s="4" t="s">
        <v>2259</v>
      </c>
      <c r="O1379" s="4" t="str">
        <f>LEFT(Table2[[#This Row],[Description]],75)</f>
        <v>Amazon</v>
      </c>
      <c r="P1379" s="2" t="s">
        <v>2260</v>
      </c>
    </row>
    <row r="1380" spans="1:16" hidden="1">
      <c r="A1380" s="2">
        <v>201912</v>
      </c>
      <c r="B1380" s="3">
        <v>43829</v>
      </c>
      <c r="C1380" s="2" t="s">
        <v>2258</v>
      </c>
      <c r="D1380" s="2" t="s">
        <v>38</v>
      </c>
      <c r="E1380" s="2">
        <v>21.48</v>
      </c>
      <c r="F1380" s="2" t="s">
        <v>38</v>
      </c>
      <c r="J1380" s="2">
        <v>21.48</v>
      </c>
      <c r="K1380" s="2" t="b">
        <v>0</v>
      </c>
      <c r="L1380" s="2"/>
      <c r="M1380" s="2"/>
      <c r="N1380" s="4" t="s">
        <v>2259</v>
      </c>
      <c r="O1380" s="4" t="str">
        <f>LEFT(Table2[[#This Row],[Description]],75)</f>
        <v>Amazon</v>
      </c>
      <c r="P1380" s="2" t="s">
        <v>2260</v>
      </c>
    </row>
    <row r="1381" spans="1:16" hidden="1">
      <c r="A1381" s="2">
        <v>201912</v>
      </c>
      <c r="B1381" s="3">
        <v>43829</v>
      </c>
      <c r="C1381" s="2" t="s">
        <v>2258</v>
      </c>
      <c r="D1381" s="2" t="s">
        <v>38</v>
      </c>
      <c r="E1381" s="2">
        <v>57.94</v>
      </c>
      <c r="F1381" s="2" t="s">
        <v>38</v>
      </c>
      <c r="J1381" s="2">
        <v>57.94</v>
      </c>
      <c r="K1381" s="2" t="b">
        <v>0</v>
      </c>
      <c r="L1381" s="2"/>
      <c r="M1381" s="2"/>
      <c r="N1381" s="4" t="s">
        <v>2259</v>
      </c>
      <c r="O1381" s="4" t="str">
        <f>LEFT(Table2[[#This Row],[Description]],75)</f>
        <v>Amazon</v>
      </c>
      <c r="P1381" s="2" t="s">
        <v>2260</v>
      </c>
    </row>
    <row r="1382" spans="1:16" hidden="1">
      <c r="A1382" s="2">
        <v>201912</v>
      </c>
      <c r="B1382" s="3">
        <v>43829</v>
      </c>
      <c r="C1382" s="2" t="s">
        <v>2258</v>
      </c>
      <c r="D1382" s="2" t="s">
        <v>38</v>
      </c>
      <c r="E1382" s="2">
        <v>64.41</v>
      </c>
      <c r="F1382" s="2" t="s">
        <v>38</v>
      </c>
      <c r="J1382" s="2">
        <v>64.41</v>
      </c>
      <c r="K1382" s="2" t="b">
        <v>0</v>
      </c>
      <c r="L1382" s="2"/>
      <c r="M1382" s="2"/>
      <c r="N1382" s="4" t="s">
        <v>2259</v>
      </c>
      <c r="O1382" s="4" t="str">
        <f>LEFT(Table2[[#This Row],[Description]],75)</f>
        <v>Amazon</v>
      </c>
      <c r="P1382" s="2" t="s">
        <v>2260</v>
      </c>
    </row>
    <row r="1383" spans="1:16" hidden="1">
      <c r="A1383" s="2">
        <v>201912</v>
      </c>
      <c r="B1383" s="3">
        <v>43829</v>
      </c>
      <c r="C1383" s="2" t="s">
        <v>2258</v>
      </c>
      <c r="D1383" s="2" t="s">
        <v>38</v>
      </c>
      <c r="E1383" s="2">
        <v>85.85</v>
      </c>
      <c r="F1383" s="2" t="s">
        <v>38</v>
      </c>
      <c r="J1383" s="2">
        <v>85.85</v>
      </c>
      <c r="K1383" s="2" t="b">
        <v>0</v>
      </c>
      <c r="L1383" s="2"/>
      <c r="M1383" s="2"/>
      <c r="N1383" s="4" t="s">
        <v>2259</v>
      </c>
      <c r="O1383" s="4" t="str">
        <f>LEFT(Table2[[#This Row],[Description]],75)</f>
        <v>Amazon</v>
      </c>
      <c r="P1383" s="2" t="s">
        <v>2260</v>
      </c>
    </row>
    <row r="1384" spans="1:16" hidden="1">
      <c r="A1384" s="2">
        <v>201912</v>
      </c>
      <c r="B1384" s="3">
        <v>43829</v>
      </c>
      <c r="C1384" s="2" t="s">
        <v>2258</v>
      </c>
      <c r="D1384" s="2" t="s">
        <v>38</v>
      </c>
      <c r="E1384" s="2">
        <v>17.170000000000002</v>
      </c>
      <c r="F1384" s="2" t="s">
        <v>38</v>
      </c>
      <c r="J1384" s="2">
        <v>17.170000000000002</v>
      </c>
      <c r="K1384" s="2" t="b">
        <v>0</v>
      </c>
      <c r="L1384" s="2"/>
      <c r="M1384" s="2"/>
      <c r="N1384" s="4" t="s">
        <v>2259</v>
      </c>
      <c r="O1384" s="4" t="str">
        <f>LEFT(Table2[[#This Row],[Description]],75)</f>
        <v>Amazon</v>
      </c>
      <c r="P1384" s="2" t="s">
        <v>2260</v>
      </c>
    </row>
    <row r="1385" spans="1:16" hidden="1">
      <c r="A1385" s="2">
        <v>201912</v>
      </c>
      <c r="B1385" s="3">
        <v>43829</v>
      </c>
      <c r="C1385" s="2" t="s">
        <v>2258</v>
      </c>
      <c r="D1385" s="2" t="s">
        <v>38</v>
      </c>
      <c r="E1385" s="2">
        <v>21.22</v>
      </c>
      <c r="F1385" s="2" t="s">
        <v>38</v>
      </c>
      <c r="J1385" s="2">
        <v>21.22</v>
      </c>
      <c r="K1385" s="2" t="b">
        <v>0</v>
      </c>
      <c r="L1385" s="2"/>
      <c r="M1385" s="2"/>
      <c r="N1385" s="4" t="s">
        <v>2259</v>
      </c>
      <c r="O1385" s="4" t="str">
        <f>LEFT(Table2[[#This Row],[Description]],75)</f>
        <v>Amazon</v>
      </c>
      <c r="P1385" s="2" t="s">
        <v>2260</v>
      </c>
    </row>
    <row r="1386" spans="1:16" hidden="1">
      <c r="A1386" s="2">
        <v>201912</v>
      </c>
      <c r="B1386" s="3">
        <v>43829</v>
      </c>
      <c r="C1386" s="2" t="s">
        <v>2258</v>
      </c>
      <c r="D1386" s="2" t="s">
        <v>38</v>
      </c>
      <c r="E1386" s="2">
        <v>54</v>
      </c>
      <c r="F1386" s="2" t="s">
        <v>38</v>
      </c>
      <c r="J1386" s="2">
        <v>54</v>
      </c>
      <c r="K1386" s="2" t="b">
        <v>0</v>
      </c>
      <c r="L1386" s="2"/>
      <c r="M1386" s="2"/>
      <c r="N1386" s="4" t="s">
        <v>2259</v>
      </c>
      <c r="O1386" s="4" t="str">
        <f>LEFT(Table2[[#This Row],[Description]],75)</f>
        <v>Amazon</v>
      </c>
      <c r="P1386" s="2" t="s">
        <v>2260</v>
      </c>
    </row>
    <row r="1387" spans="1:16" hidden="1">
      <c r="A1387" s="2">
        <v>201912</v>
      </c>
      <c r="B1387" s="3">
        <v>43829</v>
      </c>
      <c r="C1387" s="2" t="s">
        <v>2258</v>
      </c>
      <c r="D1387" s="2" t="s">
        <v>38</v>
      </c>
      <c r="E1387" s="2">
        <v>33.75</v>
      </c>
      <c r="F1387" s="2" t="s">
        <v>38</v>
      </c>
      <c r="J1387" s="2">
        <v>33.75</v>
      </c>
      <c r="K1387" s="2" t="b">
        <v>0</v>
      </c>
      <c r="L1387" s="2"/>
      <c r="M1387" s="2"/>
      <c r="N1387" s="4" t="s">
        <v>2259</v>
      </c>
      <c r="O1387" s="4" t="str">
        <f>LEFT(Table2[[#This Row],[Description]],75)</f>
        <v>Amazon</v>
      </c>
      <c r="P1387" s="2" t="s">
        <v>2260</v>
      </c>
    </row>
    <row r="1388" spans="1:16" hidden="1">
      <c r="A1388" s="2">
        <v>201912</v>
      </c>
      <c r="B1388" s="3">
        <v>43829</v>
      </c>
      <c r="C1388" s="2" t="s">
        <v>2258</v>
      </c>
      <c r="D1388" s="2" t="s">
        <v>38</v>
      </c>
      <c r="E1388" s="2">
        <v>6.27</v>
      </c>
      <c r="F1388" s="2" t="s">
        <v>38</v>
      </c>
      <c r="J1388" s="2">
        <v>6.27</v>
      </c>
      <c r="K1388" s="2" t="b">
        <v>0</v>
      </c>
      <c r="L1388" s="2"/>
      <c r="M1388" s="2"/>
      <c r="N1388" s="4" t="s">
        <v>2259</v>
      </c>
      <c r="O1388" s="4" t="str">
        <f>LEFT(Table2[[#This Row],[Description]],75)</f>
        <v>Amazon</v>
      </c>
      <c r="P1388" s="2" t="s">
        <v>2260</v>
      </c>
    </row>
    <row r="1389" spans="1:16" hidden="1">
      <c r="A1389" s="2">
        <v>201912</v>
      </c>
      <c r="B1389" s="3">
        <v>43829</v>
      </c>
      <c r="C1389" s="2" t="s">
        <v>2258</v>
      </c>
      <c r="D1389" s="2" t="s">
        <v>38</v>
      </c>
      <c r="E1389" s="2">
        <v>19.989999999999998</v>
      </c>
      <c r="F1389" s="2" t="s">
        <v>38</v>
      </c>
      <c r="J1389" s="2">
        <v>19.989999999999998</v>
      </c>
      <c r="K1389" s="2" t="b">
        <v>0</v>
      </c>
      <c r="L1389" s="2"/>
      <c r="M1389" s="2"/>
      <c r="N1389" s="4" t="s">
        <v>2259</v>
      </c>
      <c r="O1389" s="4" t="str">
        <f>LEFT(Table2[[#This Row],[Description]],75)</f>
        <v>Amazon</v>
      </c>
      <c r="P1389" s="2" t="s">
        <v>2260</v>
      </c>
    </row>
    <row r="1390" spans="1:16" hidden="1">
      <c r="A1390" s="2">
        <v>201912</v>
      </c>
      <c r="B1390" s="3">
        <v>43829</v>
      </c>
      <c r="C1390" s="2" t="s">
        <v>2258</v>
      </c>
      <c r="D1390" s="2" t="s">
        <v>38</v>
      </c>
      <c r="E1390" s="2">
        <v>21.46</v>
      </c>
      <c r="F1390" s="2" t="s">
        <v>38</v>
      </c>
      <c r="J1390" s="2">
        <v>21.46</v>
      </c>
      <c r="K1390" s="2" t="b">
        <v>0</v>
      </c>
      <c r="L1390" s="2"/>
      <c r="M1390" s="2"/>
      <c r="N1390" s="4" t="s">
        <v>2259</v>
      </c>
      <c r="O1390" s="4" t="str">
        <f>LEFT(Table2[[#This Row],[Description]],75)</f>
        <v>Amazon</v>
      </c>
      <c r="P1390" s="2" t="s">
        <v>2260</v>
      </c>
    </row>
    <row r="1391" spans="1:16" hidden="1">
      <c r="A1391" s="2">
        <v>201912</v>
      </c>
      <c r="B1391" s="3">
        <v>43829</v>
      </c>
      <c r="C1391" s="2" t="s">
        <v>2258</v>
      </c>
      <c r="D1391" s="2" t="s">
        <v>38</v>
      </c>
      <c r="E1391" s="2">
        <v>31.98</v>
      </c>
      <c r="F1391" s="2" t="s">
        <v>38</v>
      </c>
      <c r="J1391" s="2">
        <v>31.98</v>
      </c>
      <c r="K1391" s="2" t="b">
        <v>0</v>
      </c>
      <c r="L1391" s="2"/>
      <c r="M1391" s="2"/>
      <c r="N1391" s="4" t="s">
        <v>2259</v>
      </c>
      <c r="O1391" s="4" t="str">
        <f>LEFT(Table2[[#This Row],[Description]],75)</f>
        <v>Amazon</v>
      </c>
      <c r="P1391" s="2" t="s">
        <v>2260</v>
      </c>
    </row>
    <row r="1392" spans="1:16" hidden="1">
      <c r="A1392" s="2">
        <v>201912</v>
      </c>
      <c r="B1392" s="3">
        <v>43829</v>
      </c>
      <c r="C1392" s="2" t="s">
        <v>2258</v>
      </c>
      <c r="D1392" s="2" t="s">
        <v>38</v>
      </c>
      <c r="E1392" s="2">
        <v>-4.16</v>
      </c>
      <c r="F1392" s="2" t="s">
        <v>38</v>
      </c>
      <c r="J1392" s="2">
        <v>4.16</v>
      </c>
      <c r="K1392" s="2" t="b">
        <v>0</v>
      </c>
      <c r="L1392" s="2"/>
      <c r="M1392" s="2"/>
      <c r="N1392" s="4" t="s">
        <v>2273</v>
      </c>
      <c r="O1392" s="4" t="str">
        <f>LEFT(Table2[[#This Row],[Description]],75)</f>
        <v>Amazon</v>
      </c>
      <c r="P1392" s="2" t="s">
        <v>2260</v>
      </c>
    </row>
    <row r="1393" spans="1:16" hidden="1">
      <c r="A1393" s="2">
        <v>201912</v>
      </c>
      <c r="B1393" s="3">
        <v>43829</v>
      </c>
      <c r="C1393" s="2" t="s">
        <v>2261</v>
      </c>
      <c r="D1393" s="2" t="s">
        <v>38</v>
      </c>
      <c r="E1393" s="2">
        <v>15.02</v>
      </c>
      <c r="F1393" s="2" t="s">
        <v>38</v>
      </c>
      <c r="J1393" s="2">
        <v>15.02</v>
      </c>
      <c r="K1393" s="2" t="b">
        <v>0</v>
      </c>
      <c r="L1393" s="2"/>
      <c r="M1393" s="2"/>
      <c r="N1393" s="4" t="s">
        <v>2259</v>
      </c>
      <c r="O1393" s="4" t="str">
        <f>LEFT(Table2[[#This Row],[Description]],75)</f>
        <v>Amazon</v>
      </c>
      <c r="P1393" s="2" t="s">
        <v>2260</v>
      </c>
    </row>
    <row r="1394" spans="1:16" hidden="1">
      <c r="A1394" s="2">
        <v>201912</v>
      </c>
      <c r="B1394" s="3">
        <v>43829</v>
      </c>
      <c r="C1394" s="2" t="s">
        <v>2261</v>
      </c>
      <c r="D1394" s="2" t="s">
        <v>38</v>
      </c>
      <c r="E1394" s="2">
        <v>21.48</v>
      </c>
      <c r="F1394" s="2" t="s">
        <v>38</v>
      </c>
      <c r="J1394" s="2">
        <v>21.48</v>
      </c>
      <c r="K1394" s="2" t="b">
        <v>0</v>
      </c>
      <c r="L1394" s="2"/>
      <c r="M1394" s="2"/>
      <c r="N1394" s="4" t="s">
        <v>2259</v>
      </c>
      <c r="O1394" s="4" t="str">
        <f>LEFT(Table2[[#This Row],[Description]],75)</f>
        <v>Amazon</v>
      </c>
      <c r="P1394" s="2" t="s">
        <v>2260</v>
      </c>
    </row>
    <row r="1395" spans="1:16" hidden="1">
      <c r="A1395" s="2">
        <v>201912</v>
      </c>
      <c r="B1395" s="3">
        <v>43829</v>
      </c>
      <c r="C1395" s="2" t="s">
        <v>2261</v>
      </c>
      <c r="D1395" s="2" t="s">
        <v>38</v>
      </c>
      <c r="E1395" s="2">
        <v>57.94</v>
      </c>
      <c r="F1395" s="2" t="s">
        <v>38</v>
      </c>
      <c r="J1395" s="2">
        <v>57.94</v>
      </c>
      <c r="K1395" s="2" t="b">
        <v>0</v>
      </c>
      <c r="L1395" s="2"/>
      <c r="M1395" s="2"/>
      <c r="N1395" s="4" t="s">
        <v>2259</v>
      </c>
      <c r="O1395" s="4" t="str">
        <f>LEFT(Table2[[#This Row],[Description]],75)</f>
        <v>Amazon</v>
      </c>
      <c r="P1395" s="2" t="s">
        <v>2260</v>
      </c>
    </row>
    <row r="1396" spans="1:16" hidden="1">
      <c r="A1396" s="2">
        <v>201912</v>
      </c>
      <c r="B1396" s="3">
        <v>43829</v>
      </c>
      <c r="C1396" s="2" t="s">
        <v>2261</v>
      </c>
      <c r="D1396" s="2" t="s">
        <v>38</v>
      </c>
      <c r="E1396" s="2">
        <v>64.41</v>
      </c>
      <c r="F1396" s="2" t="s">
        <v>38</v>
      </c>
      <c r="J1396" s="2">
        <v>64.41</v>
      </c>
      <c r="K1396" s="2" t="b">
        <v>0</v>
      </c>
      <c r="L1396" s="2"/>
      <c r="M1396" s="2"/>
      <c r="N1396" s="4" t="s">
        <v>2259</v>
      </c>
      <c r="O1396" s="4" t="str">
        <f>LEFT(Table2[[#This Row],[Description]],75)</f>
        <v>Amazon</v>
      </c>
      <c r="P1396" s="2" t="s">
        <v>2260</v>
      </c>
    </row>
    <row r="1397" spans="1:16" hidden="1">
      <c r="A1397" s="2">
        <v>201912</v>
      </c>
      <c r="B1397" s="3">
        <v>43829</v>
      </c>
      <c r="C1397" s="2" t="s">
        <v>2261</v>
      </c>
      <c r="D1397" s="2" t="s">
        <v>38</v>
      </c>
      <c r="E1397" s="2">
        <v>85.85</v>
      </c>
      <c r="F1397" s="2" t="s">
        <v>38</v>
      </c>
      <c r="J1397" s="2">
        <v>85.85</v>
      </c>
      <c r="K1397" s="2" t="b">
        <v>0</v>
      </c>
      <c r="L1397" s="2"/>
      <c r="M1397" s="2"/>
      <c r="N1397" s="4" t="s">
        <v>2259</v>
      </c>
      <c r="O1397" s="4" t="str">
        <f>LEFT(Table2[[#This Row],[Description]],75)</f>
        <v>Amazon</v>
      </c>
      <c r="P1397" s="2" t="s">
        <v>2260</v>
      </c>
    </row>
    <row r="1398" spans="1:16" hidden="1">
      <c r="A1398" s="2">
        <v>201912</v>
      </c>
      <c r="B1398" s="3">
        <v>43829</v>
      </c>
      <c r="C1398" s="2" t="s">
        <v>2261</v>
      </c>
      <c r="D1398" s="2" t="s">
        <v>38</v>
      </c>
      <c r="E1398" s="2">
        <v>17.170000000000002</v>
      </c>
      <c r="F1398" s="2" t="s">
        <v>38</v>
      </c>
      <c r="J1398" s="2">
        <v>17.170000000000002</v>
      </c>
      <c r="K1398" s="2" t="b">
        <v>0</v>
      </c>
      <c r="L1398" s="2"/>
      <c r="M1398" s="2"/>
      <c r="N1398" s="4" t="s">
        <v>2259</v>
      </c>
      <c r="O1398" s="4" t="str">
        <f>LEFT(Table2[[#This Row],[Description]],75)</f>
        <v>Amazon</v>
      </c>
      <c r="P1398" s="2" t="s">
        <v>2260</v>
      </c>
    </row>
    <row r="1399" spans="1:16" hidden="1">
      <c r="A1399" s="2">
        <v>201912</v>
      </c>
      <c r="B1399" s="3">
        <v>43829</v>
      </c>
      <c r="C1399" s="2" t="s">
        <v>2261</v>
      </c>
      <c r="D1399" s="2" t="s">
        <v>38</v>
      </c>
      <c r="E1399" s="2">
        <v>21.22</v>
      </c>
      <c r="F1399" s="2" t="s">
        <v>38</v>
      </c>
      <c r="J1399" s="2">
        <v>21.22</v>
      </c>
      <c r="K1399" s="2" t="b">
        <v>0</v>
      </c>
      <c r="L1399" s="2"/>
      <c r="M1399" s="2"/>
      <c r="N1399" s="4" t="s">
        <v>2259</v>
      </c>
      <c r="O1399" s="4" t="str">
        <f>LEFT(Table2[[#This Row],[Description]],75)</f>
        <v>Amazon</v>
      </c>
      <c r="P1399" s="2" t="s">
        <v>2260</v>
      </c>
    </row>
    <row r="1400" spans="1:16" hidden="1">
      <c r="A1400" s="2">
        <v>201912</v>
      </c>
      <c r="B1400" s="3">
        <v>43829</v>
      </c>
      <c r="C1400" s="2" t="s">
        <v>2261</v>
      </c>
      <c r="D1400" s="2" t="s">
        <v>38</v>
      </c>
      <c r="E1400" s="2">
        <v>54</v>
      </c>
      <c r="F1400" s="2" t="s">
        <v>38</v>
      </c>
      <c r="J1400" s="2">
        <v>54</v>
      </c>
      <c r="K1400" s="2" t="b">
        <v>0</v>
      </c>
      <c r="L1400" s="2"/>
      <c r="M1400" s="2"/>
      <c r="N1400" s="4" t="s">
        <v>2259</v>
      </c>
      <c r="O1400" s="4" t="str">
        <f>LEFT(Table2[[#This Row],[Description]],75)</f>
        <v>Amazon</v>
      </c>
      <c r="P1400" s="2" t="s">
        <v>2260</v>
      </c>
    </row>
    <row r="1401" spans="1:16" hidden="1">
      <c r="A1401" s="2">
        <v>201912</v>
      </c>
      <c r="B1401" s="3">
        <v>43829</v>
      </c>
      <c r="C1401" s="2" t="s">
        <v>2261</v>
      </c>
      <c r="D1401" s="2" t="s">
        <v>38</v>
      </c>
      <c r="E1401" s="2">
        <v>33.75</v>
      </c>
      <c r="F1401" s="2" t="s">
        <v>38</v>
      </c>
      <c r="J1401" s="2">
        <v>33.75</v>
      </c>
      <c r="K1401" s="2" t="b">
        <v>0</v>
      </c>
      <c r="L1401" s="2"/>
      <c r="M1401" s="2"/>
      <c r="N1401" s="4" t="s">
        <v>2259</v>
      </c>
      <c r="O1401" s="4" t="str">
        <f>LEFT(Table2[[#This Row],[Description]],75)</f>
        <v>Amazon</v>
      </c>
      <c r="P1401" s="2" t="s">
        <v>2260</v>
      </c>
    </row>
    <row r="1402" spans="1:16" hidden="1">
      <c r="A1402" s="2">
        <v>201912</v>
      </c>
      <c r="B1402" s="3">
        <v>43829</v>
      </c>
      <c r="C1402" s="2" t="s">
        <v>2261</v>
      </c>
      <c r="D1402" s="2" t="s">
        <v>38</v>
      </c>
      <c r="E1402" s="2">
        <v>6.27</v>
      </c>
      <c r="F1402" s="2" t="s">
        <v>38</v>
      </c>
      <c r="J1402" s="2">
        <v>6.27</v>
      </c>
      <c r="K1402" s="2" t="b">
        <v>0</v>
      </c>
      <c r="L1402" s="2"/>
      <c r="M1402" s="2"/>
      <c r="N1402" s="4" t="s">
        <v>2259</v>
      </c>
      <c r="O1402" s="4" t="str">
        <f>LEFT(Table2[[#This Row],[Description]],75)</f>
        <v>Amazon</v>
      </c>
      <c r="P1402" s="2" t="s">
        <v>2260</v>
      </c>
    </row>
    <row r="1403" spans="1:16" hidden="1">
      <c r="A1403" s="2">
        <v>201912</v>
      </c>
      <c r="B1403" s="3">
        <v>43829</v>
      </c>
      <c r="C1403" s="2" t="s">
        <v>2261</v>
      </c>
      <c r="D1403" s="2" t="s">
        <v>38</v>
      </c>
      <c r="E1403" s="2">
        <v>19.989999999999998</v>
      </c>
      <c r="F1403" s="2" t="s">
        <v>38</v>
      </c>
      <c r="J1403" s="2">
        <v>19.989999999999998</v>
      </c>
      <c r="K1403" s="2" t="b">
        <v>0</v>
      </c>
      <c r="L1403" s="2"/>
      <c r="M1403" s="2"/>
      <c r="N1403" s="4" t="s">
        <v>2259</v>
      </c>
      <c r="O1403" s="4" t="str">
        <f>LEFT(Table2[[#This Row],[Description]],75)</f>
        <v>Amazon</v>
      </c>
      <c r="P1403" s="2" t="s">
        <v>2260</v>
      </c>
    </row>
    <row r="1404" spans="1:16" hidden="1">
      <c r="A1404" s="2">
        <v>201912</v>
      </c>
      <c r="B1404" s="3">
        <v>43829</v>
      </c>
      <c r="C1404" s="2" t="s">
        <v>2261</v>
      </c>
      <c r="D1404" s="2" t="s">
        <v>38</v>
      </c>
      <c r="E1404" s="2">
        <v>21.46</v>
      </c>
      <c r="F1404" s="2" t="s">
        <v>38</v>
      </c>
      <c r="J1404" s="2">
        <v>21.46</v>
      </c>
      <c r="K1404" s="2" t="b">
        <v>0</v>
      </c>
      <c r="L1404" s="2"/>
      <c r="M1404" s="2"/>
      <c r="N1404" s="4" t="s">
        <v>2259</v>
      </c>
      <c r="O1404" s="4" t="str">
        <f>LEFT(Table2[[#This Row],[Description]],75)</f>
        <v>Amazon</v>
      </c>
      <c r="P1404" s="2" t="s">
        <v>2260</v>
      </c>
    </row>
    <row r="1405" spans="1:16" hidden="1">
      <c r="A1405" s="2">
        <v>201912</v>
      </c>
      <c r="B1405" s="3">
        <v>43829</v>
      </c>
      <c r="C1405" s="2" t="s">
        <v>2261</v>
      </c>
      <c r="D1405" s="2" t="s">
        <v>38</v>
      </c>
      <c r="E1405" s="2">
        <v>31.98</v>
      </c>
      <c r="F1405" s="2" t="s">
        <v>38</v>
      </c>
      <c r="J1405" s="2">
        <v>31.98</v>
      </c>
      <c r="K1405" s="2" t="b">
        <v>0</v>
      </c>
      <c r="L1405" s="2"/>
      <c r="M1405" s="2"/>
      <c r="N1405" s="4" t="s">
        <v>2259</v>
      </c>
      <c r="O1405" s="4" t="str">
        <f>LEFT(Table2[[#This Row],[Description]],75)</f>
        <v>Amazon</v>
      </c>
      <c r="P1405" s="2" t="s">
        <v>2260</v>
      </c>
    </row>
    <row r="1406" spans="1:16" hidden="1">
      <c r="A1406" s="2">
        <v>201912</v>
      </c>
      <c r="B1406" s="3">
        <v>43829</v>
      </c>
      <c r="C1406" s="2" t="s">
        <v>2261</v>
      </c>
      <c r="D1406" s="2" t="s">
        <v>38</v>
      </c>
      <c r="E1406" s="2">
        <v>-4.16</v>
      </c>
      <c r="F1406" s="2" t="s">
        <v>38</v>
      </c>
      <c r="J1406" s="2">
        <v>4.16</v>
      </c>
      <c r="K1406" s="2" t="b">
        <v>0</v>
      </c>
      <c r="L1406" s="2"/>
      <c r="M1406" s="2"/>
      <c r="N1406" s="4" t="s">
        <v>2273</v>
      </c>
      <c r="O1406" s="4" t="str">
        <f>LEFT(Table2[[#This Row],[Description]],75)</f>
        <v>Amazon</v>
      </c>
      <c r="P1406" s="2" t="s">
        <v>2260</v>
      </c>
    </row>
    <row r="1407" spans="1:16" hidden="1">
      <c r="A1407" s="2">
        <v>201912</v>
      </c>
      <c r="B1407" s="3">
        <v>43829</v>
      </c>
      <c r="C1407" s="2" t="s">
        <v>2261</v>
      </c>
      <c r="D1407" s="2" t="s">
        <v>38</v>
      </c>
      <c r="E1407" s="2">
        <v>11.27</v>
      </c>
      <c r="F1407" s="2" t="s">
        <v>38</v>
      </c>
      <c r="J1407" s="2">
        <v>11.27</v>
      </c>
      <c r="K1407" s="2" t="b">
        <v>0</v>
      </c>
      <c r="L1407" s="2"/>
      <c r="M1407" s="2"/>
      <c r="N1407" s="4" t="s">
        <v>2259</v>
      </c>
      <c r="O1407" s="4" t="str">
        <f>LEFT(Table2[[#This Row],[Description]],75)</f>
        <v>Amazon</v>
      </c>
      <c r="P1407" s="2" t="s">
        <v>2260</v>
      </c>
    </row>
    <row r="1408" spans="1:16" hidden="1">
      <c r="A1408" s="2">
        <v>201912</v>
      </c>
      <c r="B1408" s="3">
        <v>43829</v>
      </c>
      <c r="C1408" s="2" t="s">
        <v>2265</v>
      </c>
      <c r="D1408" s="2" t="s">
        <v>130</v>
      </c>
      <c r="E1408" s="2">
        <v>18.350000000000001</v>
      </c>
      <c r="F1408" s="2">
        <v>0</v>
      </c>
      <c r="J1408" s="2">
        <v>18.350000000000001</v>
      </c>
      <c r="K1408" s="2" t="b">
        <v>0</v>
      </c>
      <c r="L1408" s="2"/>
      <c r="M1408" s="2"/>
      <c r="N1408" s="4" t="s">
        <v>2259</v>
      </c>
      <c r="O1408" s="4" t="str">
        <f>LEFT(Table2[[#This Row],[Description]],75)</f>
        <v>American Express</v>
      </c>
      <c r="P1408" s="2"/>
    </row>
    <row r="1409" spans="1:16" hidden="1">
      <c r="A1409" s="2">
        <v>201912</v>
      </c>
      <c r="B1409" s="3">
        <v>43829</v>
      </c>
      <c r="C1409" s="2" t="s">
        <v>2267</v>
      </c>
      <c r="D1409" s="2" t="s">
        <v>130</v>
      </c>
      <c r="E1409" s="2">
        <v>18.350000000000001</v>
      </c>
      <c r="F1409" s="2" t="s">
        <v>21</v>
      </c>
      <c r="J1409" s="2">
        <v>18.350000000000001</v>
      </c>
      <c r="K1409" s="2" t="b">
        <v>0</v>
      </c>
      <c r="L1409" s="2"/>
      <c r="M1409" s="2"/>
      <c r="N1409" s="4" t="s">
        <v>2259</v>
      </c>
      <c r="O1409" s="4" t="str">
        <f>LEFT(Table2[[#This Row],[Description]],75)</f>
        <v>American Express</v>
      </c>
      <c r="P1409" s="2" t="s">
        <v>2281</v>
      </c>
    </row>
    <row r="1410" spans="1:16" hidden="1">
      <c r="A1410" s="2">
        <v>201912</v>
      </c>
      <c r="B1410" s="3">
        <v>43829</v>
      </c>
      <c r="C1410" s="2" t="s">
        <v>2265</v>
      </c>
      <c r="D1410" s="2" t="s">
        <v>131</v>
      </c>
      <c r="E1410" s="2">
        <v>99.04</v>
      </c>
      <c r="F1410" s="2" t="s">
        <v>18</v>
      </c>
      <c r="J1410" s="2">
        <v>99.04</v>
      </c>
      <c r="K1410" s="2" t="b">
        <v>0</v>
      </c>
      <c r="L1410" s="2"/>
      <c r="M1410" s="2"/>
      <c r="N1410" s="4" t="s">
        <v>2259</v>
      </c>
      <c r="O1410" s="4" t="str">
        <f>LEFT(Table2[[#This Row],[Description]],75)</f>
        <v>American Family Insurance</v>
      </c>
      <c r="P1410" s="2" t="s">
        <v>2286</v>
      </c>
    </row>
    <row r="1411" spans="1:16" hidden="1">
      <c r="A1411" s="2">
        <v>201912</v>
      </c>
      <c r="B1411" s="3">
        <v>43829</v>
      </c>
      <c r="C1411" s="2" t="s">
        <v>2267</v>
      </c>
      <c r="D1411" s="2" t="s">
        <v>131</v>
      </c>
      <c r="E1411" s="2">
        <v>99.04</v>
      </c>
      <c r="F1411" s="2" t="s">
        <v>18</v>
      </c>
      <c r="J1411" s="2">
        <v>99.04</v>
      </c>
      <c r="K1411" s="2" t="b">
        <v>0</v>
      </c>
      <c r="L1411" s="2"/>
      <c r="M1411" s="2"/>
      <c r="N1411" s="4" t="s">
        <v>2259</v>
      </c>
      <c r="O1411" s="4" t="str">
        <f>LEFT(Table2[[#This Row],[Description]],75)</f>
        <v>American Family Insurance</v>
      </c>
      <c r="P1411" s="2" t="s">
        <v>2286</v>
      </c>
    </row>
    <row r="1412" spans="1:16" hidden="1">
      <c r="A1412" s="2">
        <v>201912</v>
      </c>
      <c r="B1412" s="3">
        <v>43829</v>
      </c>
      <c r="C1412" s="2" t="s">
        <v>2310</v>
      </c>
      <c r="D1412" s="2" t="s">
        <v>167</v>
      </c>
      <c r="E1412" s="2">
        <v>-0.02</v>
      </c>
      <c r="F1412" s="2" t="s">
        <v>9</v>
      </c>
      <c r="J1412" s="2">
        <v>0.02</v>
      </c>
      <c r="K1412" s="2" t="b">
        <v>0</v>
      </c>
      <c r="L1412" s="2"/>
      <c r="M1412" s="2"/>
      <c r="N1412" s="4" t="s">
        <v>2273</v>
      </c>
      <c r="O1412" s="4" t="str">
        <f>LEFT(Table2[[#This Row],[Description]],75)</f>
        <v>Apy Earned</v>
      </c>
      <c r="P1412" s="2" t="s">
        <v>2281</v>
      </c>
    </row>
    <row r="1413" spans="1:16" hidden="1">
      <c r="A1413" s="2">
        <v>201912</v>
      </c>
      <c r="B1413" s="3">
        <v>43829</v>
      </c>
      <c r="C1413" s="2" t="s">
        <v>2265</v>
      </c>
      <c r="D1413" s="2" t="s">
        <v>181</v>
      </c>
      <c r="E1413" s="2">
        <v>-3</v>
      </c>
      <c r="F1413" s="2">
        <v>0</v>
      </c>
      <c r="J1413" s="2">
        <v>3</v>
      </c>
      <c r="K1413" s="2" t="b">
        <v>0</v>
      </c>
      <c r="L1413" s="2"/>
      <c r="M1413" s="2"/>
      <c r="N1413" s="4" t="s">
        <v>2273</v>
      </c>
      <c r="O1413" s="4" t="str">
        <f>LEFT(Table2[[#This Row],[Description]],75)</f>
        <v>ATM FEE REFUND 277224499</v>
      </c>
      <c r="P1413" s="2"/>
    </row>
    <row r="1414" spans="1:16" hidden="1">
      <c r="A1414" s="2">
        <v>201912</v>
      </c>
      <c r="B1414" s="3">
        <v>43829</v>
      </c>
      <c r="C1414" s="2" t="s">
        <v>2267</v>
      </c>
      <c r="D1414" s="2" t="s">
        <v>181</v>
      </c>
      <c r="E1414" s="2">
        <v>-3</v>
      </c>
      <c r="F1414" s="2" t="s">
        <v>9</v>
      </c>
      <c r="J1414" s="2">
        <v>3</v>
      </c>
      <c r="K1414" s="2" t="b">
        <v>0</v>
      </c>
      <c r="L1414" s="2"/>
      <c r="M1414" s="2"/>
      <c r="N1414" s="4" t="s">
        <v>2273</v>
      </c>
      <c r="O1414" s="4" t="str">
        <f>LEFT(Table2[[#This Row],[Description]],75)</f>
        <v>ATM FEE REFUND 277224499</v>
      </c>
      <c r="P1414" s="2" t="s">
        <v>2281</v>
      </c>
    </row>
    <row r="1415" spans="1:16" hidden="1">
      <c r="A1415" s="2">
        <v>201912</v>
      </c>
      <c r="B1415" s="3">
        <v>43829</v>
      </c>
      <c r="C1415" s="2" t="s">
        <v>2262</v>
      </c>
      <c r="D1415" s="2" t="s">
        <v>189</v>
      </c>
      <c r="E1415" s="2">
        <v>262.18</v>
      </c>
      <c r="F1415" s="2" t="s">
        <v>28</v>
      </c>
      <c r="J1415" s="2">
        <v>262.18</v>
      </c>
      <c r="K1415" s="2" t="b">
        <v>0</v>
      </c>
      <c r="L1415" s="2"/>
      <c r="M1415" s="2"/>
      <c r="N1415" s="4" t="s">
        <v>2259</v>
      </c>
      <c r="O1415" s="4" t="str">
        <f>LEFT(Table2[[#This Row],[Description]],75)</f>
        <v>AVOADVOCARE INTL 8005424800 TX 274437736</v>
      </c>
      <c r="P1415" s="2" t="s">
        <v>2428</v>
      </c>
    </row>
    <row r="1416" spans="1:16" hidden="1">
      <c r="A1416" s="2">
        <v>201912</v>
      </c>
      <c r="B1416" s="3">
        <v>43829</v>
      </c>
      <c r="C1416" s="2" t="s">
        <v>2262</v>
      </c>
      <c r="D1416" s="2" t="s">
        <v>198</v>
      </c>
      <c r="E1416" s="2">
        <v>507.8</v>
      </c>
      <c r="F1416" s="2" t="s">
        <v>9</v>
      </c>
      <c r="J1416" s="2">
        <v>507.8</v>
      </c>
      <c r="K1416" s="2" t="b">
        <v>0</v>
      </c>
      <c r="L1416" s="2"/>
      <c r="M1416" s="2"/>
      <c r="N1416" s="4" t="s">
        <v>2259</v>
      </c>
      <c r="O1416" s="4" t="str">
        <f>LEFT(Table2[[#This Row],[Description]],75)</f>
        <v>BALANCE TRANSFER FOR ACCT ENDING IN 0588 272881008</v>
      </c>
      <c r="P1416" s="2" t="s">
        <v>2281</v>
      </c>
    </row>
    <row r="1417" spans="1:16" hidden="1">
      <c r="A1417" s="2">
        <v>201912</v>
      </c>
      <c r="B1417" s="3">
        <v>43829</v>
      </c>
      <c r="C1417" s="2" t="s">
        <v>2265</v>
      </c>
      <c r="D1417" s="2" t="s">
        <v>204</v>
      </c>
      <c r="E1417" s="2">
        <v>43.22</v>
      </c>
      <c r="F1417" s="2" t="s">
        <v>21</v>
      </c>
      <c r="J1417" s="2">
        <v>43.22</v>
      </c>
      <c r="K1417" s="2" t="b">
        <v>0</v>
      </c>
      <c r="L1417" s="2"/>
      <c r="M1417" s="2"/>
      <c r="N1417" s="4" t="s">
        <v>2259</v>
      </c>
      <c r="O1417" s="4" t="str">
        <f>LEFT(Table2[[#This Row],[Description]],75)</f>
        <v>Banana Visa TYPE BR EPAY ID CO Banana Visa ACH ECC WEB ACH Trace 31456 2770</v>
      </c>
      <c r="P1417" s="2" t="s">
        <v>2297</v>
      </c>
    </row>
    <row r="1418" spans="1:16" hidden="1">
      <c r="A1418" s="2">
        <v>201912</v>
      </c>
      <c r="B1418" s="3">
        <v>43829</v>
      </c>
      <c r="C1418" s="2" t="s">
        <v>2267</v>
      </c>
      <c r="D1418" s="2" t="s">
        <v>204</v>
      </c>
      <c r="E1418" s="2">
        <v>43.22</v>
      </c>
      <c r="F1418" s="2" t="s">
        <v>21</v>
      </c>
      <c r="J1418" s="2">
        <v>43.22</v>
      </c>
      <c r="K1418" s="2" t="b">
        <v>0</v>
      </c>
      <c r="L1418" s="2"/>
      <c r="M1418" s="2"/>
      <c r="N1418" s="4" t="s">
        <v>2259</v>
      </c>
      <c r="O1418" s="4" t="str">
        <f>LEFT(Table2[[#This Row],[Description]],75)</f>
        <v>Banana Visa TYPE BR EPAY ID CO Banana Visa ACH ECC WEB ACH Trace 31456 2770</v>
      </c>
      <c r="P1418" s="2" t="s">
        <v>2297</v>
      </c>
    </row>
    <row r="1419" spans="1:16" hidden="1">
      <c r="A1419" s="2">
        <v>201912</v>
      </c>
      <c r="B1419" s="3">
        <v>43829</v>
      </c>
      <c r="C1419" s="2" t="s">
        <v>2355</v>
      </c>
      <c r="D1419" s="2" t="s">
        <v>243</v>
      </c>
      <c r="E1419" s="2">
        <v>-0.04</v>
      </c>
      <c r="F1419" s="2">
        <v>0</v>
      </c>
      <c r="J1419" s="2">
        <v>0.04</v>
      </c>
      <c r="K1419" s="2" t="b">
        <v>0</v>
      </c>
      <c r="L1419" s="2"/>
      <c r="M1419" s="2"/>
      <c r="N1419" s="4" t="s">
        <v>2273</v>
      </c>
      <c r="O1419" s="4" t="str">
        <f>LEFT(Table2[[#This Row],[Description]],75)</f>
        <v>BANK INT 111619-121519 SCHWAB BANK</v>
      </c>
      <c r="P1419" s="2"/>
    </row>
    <row r="1420" spans="1:16" hidden="1">
      <c r="A1420" s="2">
        <v>201912</v>
      </c>
      <c r="B1420" s="3">
        <v>43829</v>
      </c>
      <c r="C1420" s="2" t="s">
        <v>2275</v>
      </c>
      <c r="D1420" s="2" t="s">
        <v>243</v>
      </c>
      <c r="E1420" s="2">
        <v>-0.04</v>
      </c>
      <c r="F1420" s="2">
        <v>0</v>
      </c>
      <c r="J1420" s="2">
        <v>0.04</v>
      </c>
      <c r="K1420" s="2" t="b">
        <v>0</v>
      </c>
      <c r="L1420" s="2"/>
      <c r="M1420" s="2"/>
      <c r="N1420" s="4" t="s">
        <v>2273</v>
      </c>
      <c r="O1420" s="4" t="str">
        <f>LEFT(Table2[[#This Row],[Description]],75)</f>
        <v>BANK INT 111619-121519 SCHWAB BANK</v>
      </c>
      <c r="P1420" s="2"/>
    </row>
    <row r="1421" spans="1:16" hidden="1">
      <c r="A1421" s="2">
        <v>201912</v>
      </c>
      <c r="B1421" s="3">
        <v>43829</v>
      </c>
      <c r="C1421" s="2" t="s">
        <v>2277</v>
      </c>
      <c r="D1421" s="2" t="s">
        <v>243</v>
      </c>
      <c r="E1421" s="2">
        <v>-0.04</v>
      </c>
      <c r="F1421" s="2">
        <v>0</v>
      </c>
      <c r="J1421" s="2">
        <v>0.04</v>
      </c>
      <c r="K1421" s="2" t="b">
        <v>0</v>
      </c>
      <c r="L1421" s="2"/>
      <c r="M1421" s="2"/>
      <c r="N1421" s="4" t="s">
        <v>2273</v>
      </c>
      <c r="O1421" s="4" t="str">
        <f>LEFT(Table2[[#This Row],[Description]],75)</f>
        <v>BANK INT 111619-121519 SCHWAB BANK</v>
      </c>
      <c r="P1421" s="2"/>
    </row>
    <row r="1422" spans="1:16" hidden="1">
      <c r="A1422" s="2">
        <v>201912</v>
      </c>
      <c r="B1422" s="3">
        <v>43829</v>
      </c>
      <c r="C1422" s="2" t="s">
        <v>2262</v>
      </c>
      <c r="D1422" s="2" t="s">
        <v>334</v>
      </c>
      <c r="E1422" s="2">
        <v>-55.96</v>
      </c>
      <c r="F1422" s="2" t="s">
        <v>9</v>
      </c>
      <c r="J1422" s="2">
        <v>55.96</v>
      </c>
      <c r="K1422" s="2" t="b">
        <v>0</v>
      </c>
      <c r="L1422" s="2"/>
      <c r="M1422" s="2"/>
      <c r="N1422" s="4" t="s">
        <v>2273</v>
      </c>
      <c r="O1422" s="4" t="str">
        <f>LEFT(Table2[[#This Row],[Description]],75)</f>
        <v>Burton Online Burlington</v>
      </c>
      <c r="P1422" s="2" t="s">
        <v>2281</v>
      </c>
    </row>
    <row r="1423" spans="1:16" hidden="1">
      <c r="A1423" s="2">
        <v>201912</v>
      </c>
      <c r="B1423" s="3">
        <v>43829</v>
      </c>
      <c r="C1423" s="2" t="s">
        <v>2262</v>
      </c>
      <c r="D1423" s="2" t="s">
        <v>334</v>
      </c>
      <c r="E1423" s="2">
        <v>-71.959999999999994</v>
      </c>
      <c r="F1423" s="2" t="s">
        <v>9</v>
      </c>
      <c r="J1423" s="2">
        <v>71.959999999999994</v>
      </c>
      <c r="K1423" s="2" t="b">
        <v>0</v>
      </c>
      <c r="L1423" s="2"/>
      <c r="M1423" s="2"/>
      <c r="N1423" s="4" t="s">
        <v>2273</v>
      </c>
      <c r="O1423" s="4" t="str">
        <f>LEFT(Table2[[#This Row],[Description]],75)</f>
        <v>Burton Online Burlington</v>
      </c>
      <c r="P1423" s="2" t="s">
        <v>2281</v>
      </c>
    </row>
    <row r="1424" spans="1:16" hidden="1">
      <c r="A1424" s="2">
        <v>201912</v>
      </c>
      <c r="B1424" s="3">
        <v>43829</v>
      </c>
      <c r="C1424" s="2" t="s">
        <v>2262</v>
      </c>
      <c r="D1424" s="2" t="s">
        <v>338</v>
      </c>
      <c r="E1424" s="2">
        <v>22.55</v>
      </c>
      <c r="F1424" s="2" t="s">
        <v>28</v>
      </c>
      <c r="J1424" s="2">
        <v>22.55</v>
      </c>
      <c r="K1424" s="2" t="b">
        <v>0</v>
      </c>
      <c r="L1424" s="2"/>
      <c r="M1424" s="2"/>
      <c r="N1424" s="4" t="s">
        <v>2259</v>
      </c>
      <c r="O1424" s="4" t="str">
        <f>LEFT(Table2[[#This Row],[Description]],75)</f>
        <v>Byerly's</v>
      </c>
      <c r="P1424" s="2" t="s">
        <v>2364</v>
      </c>
    </row>
    <row r="1425" spans="1:16" hidden="1">
      <c r="A1425" s="2">
        <v>201912</v>
      </c>
      <c r="B1425" s="3">
        <v>43829</v>
      </c>
      <c r="C1425" s="2" t="s">
        <v>2262</v>
      </c>
      <c r="D1425" s="2" t="s">
        <v>338</v>
      </c>
      <c r="E1425" s="2">
        <v>9.69</v>
      </c>
      <c r="F1425" s="2" t="s">
        <v>28</v>
      </c>
      <c r="J1425" s="2">
        <v>9.69</v>
      </c>
      <c r="K1425" s="2" t="b">
        <v>0</v>
      </c>
      <c r="L1425" s="2"/>
      <c r="M1425" s="2"/>
      <c r="N1425" s="4" t="s">
        <v>2259</v>
      </c>
      <c r="O1425" s="4" t="str">
        <f>LEFT(Table2[[#This Row],[Description]],75)</f>
        <v>Byerly's</v>
      </c>
      <c r="P1425" s="2" t="s">
        <v>2364</v>
      </c>
    </row>
    <row r="1426" spans="1:16" hidden="1">
      <c r="A1426" s="2">
        <v>201912</v>
      </c>
      <c r="B1426" s="3">
        <v>43829</v>
      </c>
      <c r="C1426" s="2" t="s">
        <v>2262</v>
      </c>
      <c r="D1426" s="2" t="s">
        <v>338</v>
      </c>
      <c r="E1426" s="2">
        <v>83.48</v>
      </c>
      <c r="F1426" s="2" t="s">
        <v>28</v>
      </c>
      <c r="J1426" s="2">
        <v>83.48</v>
      </c>
      <c r="K1426" s="2" t="b">
        <v>0</v>
      </c>
      <c r="L1426" s="2"/>
      <c r="M1426" s="2"/>
      <c r="N1426" s="4" t="s">
        <v>2259</v>
      </c>
      <c r="O1426" s="4" t="str">
        <f>LEFT(Table2[[#This Row],[Description]],75)</f>
        <v>Byerly's</v>
      </c>
      <c r="P1426" s="2" t="s">
        <v>2364</v>
      </c>
    </row>
    <row r="1427" spans="1:16" hidden="1">
      <c r="A1427" s="2">
        <v>201912</v>
      </c>
      <c r="B1427" s="3">
        <v>43829</v>
      </c>
      <c r="C1427" s="2" t="s">
        <v>2317</v>
      </c>
      <c r="D1427" s="2" t="s">
        <v>354</v>
      </c>
      <c r="E1427" s="2">
        <v>-200</v>
      </c>
      <c r="F1427" s="2" t="s">
        <v>57</v>
      </c>
      <c r="J1427" s="2">
        <v>200</v>
      </c>
      <c r="K1427" s="2" t="b">
        <v>0</v>
      </c>
      <c r="L1427" s="2"/>
      <c r="M1427" s="2"/>
      <c r="N1427" s="4" t="s">
        <v>2273</v>
      </c>
      <c r="O1427" s="4" t="str">
        <f>LEFT(Table2[[#This Row],[Description]],75)</f>
        <v>CARGILL COCOA &amp;</v>
      </c>
      <c r="P1427" s="2" t="s">
        <v>2354</v>
      </c>
    </row>
    <row r="1428" spans="1:16" hidden="1">
      <c r="A1428" s="2">
        <v>201912</v>
      </c>
      <c r="B1428" s="3">
        <v>43829</v>
      </c>
      <c r="C1428" s="2" t="s">
        <v>2317</v>
      </c>
      <c r="D1428" s="2" t="s">
        <v>354</v>
      </c>
      <c r="E1428" s="2">
        <v>-200</v>
      </c>
      <c r="F1428" s="2" t="s">
        <v>57</v>
      </c>
      <c r="J1428" s="2">
        <v>200</v>
      </c>
      <c r="K1428" s="2" t="b">
        <v>0</v>
      </c>
      <c r="L1428" s="2"/>
      <c r="M1428" s="2"/>
      <c r="N1428" s="4" t="s">
        <v>2273</v>
      </c>
      <c r="O1428" s="4" t="str">
        <f>LEFT(Table2[[#This Row],[Description]],75)</f>
        <v>CARGILL COCOA &amp;</v>
      </c>
      <c r="P1428" s="2" t="s">
        <v>2354</v>
      </c>
    </row>
    <row r="1429" spans="1:16" hidden="1">
      <c r="A1429" s="2">
        <v>201912</v>
      </c>
      <c r="B1429" s="3">
        <v>43829</v>
      </c>
      <c r="C1429" s="2" t="s">
        <v>2265</v>
      </c>
      <c r="D1429" s="2" t="s">
        <v>385</v>
      </c>
      <c r="E1429" s="2">
        <v>-551.47</v>
      </c>
      <c r="F1429" s="2" t="s">
        <v>65</v>
      </c>
      <c r="J1429" s="2">
        <v>551.47</v>
      </c>
      <c r="K1429" s="2" t="b">
        <v>0</v>
      </c>
      <c r="L1429" s="2"/>
      <c r="M1429" s="2"/>
      <c r="N1429" s="4" t="s">
        <v>2273</v>
      </c>
      <c r="O1429" s="4" t="str">
        <f>LEFT(Table2[[#This Row],[Description]],75)</f>
        <v xml:space="preserve">CARGILL COCOA TYPE DIR DEP ID CO CARGILL COCOA ACH ECC PPD ACH Trace 60227 </v>
      </c>
      <c r="P1429" s="2" t="s">
        <v>2284</v>
      </c>
    </row>
    <row r="1430" spans="1:16" hidden="1">
      <c r="A1430" s="2">
        <v>201912</v>
      </c>
      <c r="B1430" s="3">
        <v>43829</v>
      </c>
      <c r="C1430" s="2" t="s">
        <v>2267</v>
      </c>
      <c r="D1430" s="2" t="s">
        <v>385</v>
      </c>
      <c r="E1430" s="2">
        <v>-551.47</v>
      </c>
      <c r="F1430" s="2" t="s">
        <v>65</v>
      </c>
      <c r="J1430" s="2">
        <v>551.47</v>
      </c>
      <c r="K1430" s="2" t="b">
        <v>0</v>
      </c>
      <c r="L1430" s="2"/>
      <c r="M1430" s="2"/>
      <c r="N1430" s="4" t="s">
        <v>2273</v>
      </c>
      <c r="O1430" s="4" t="str">
        <f>LEFT(Table2[[#This Row],[Description]],75)</f>
        <v xml:space="preserve">CARGILL COCOA TYPE DIR DEP ID CO CARGILL COCOA ACH ECC PPD ACH Trace 60227 </v>
      </c>
      <c r="P1430" s="2" t="s">
        <v>2284</v>
      </c>
    </row>
    <row r="1431" spans="1:16" hidden="1">
      <c r="A1431" s="2">
        <v>201912</v>
      </c>
      <c r="B1431" s="3">
        <v>43829</v>
      </c>
      <c r="C1431" s="2" t="s">
        <v>2265</v>
      </c>
      <c r="D1431" s="2" t="s">
        <v>387</v>
      </c>
      <c r="E1431" s="2">
        <v>-551.44000000000005</v>
      </c>
      <c r="F1431" s="2" t="s">
        <v>65</v>
      </c>
      <c r="J1431" s="2">
        <v>551.44000000000005</v>
      </c>
      <c r="K1431" s="2" t="b">
        <v>0</v>
      </c>
      <c r="L1431" s="2"/>
      <c r="M1431" s="2"/>
      <c r="N1431" s="4" t="s">
        <v>2273</v>
      </c>
      <c r="O1431" s="4" t="str">
        <f>LEFT(Table2[[#This Row],[Description]],75)</f>
        <v xml:space="preserve">CARGILL COCOA TYPE DIR DEP ID CO CARGILL COCOA ACH ECC PPD ACH Trace 63156 </v>
      </c>
      <c r="P1431" s="2" t="s">
        <v>2284</v>
      </c>
    </row>
    <row r="1432" spans="1:16" hidden="1">
      <c r="A1432" s="2">
        <v>201912</v>
      </c>
      <c r="B1432" s="3">
        <v>43829</v>
      </c>
      <c r="C1432" s="2" t="s">
        <v>2267</v>
      </c>
      <c r="D1432" s="2" t="s">
        <v>387</v>
      </c>
      <c r="E1432" s="2">
        <v>-551.44000000000005</v>
      </c>
      <c r="F1432" s="2" t="s">
        <v>65</v>
      </c>
      <c r="J1432" s="2">
        <v>551.44000000000005</v>
      </c>
      <c r="K1432" s="2" t="b">
        <v>0</v>
      </c>
      <c r="L1432" s="2"/>
      <c r="M1432" s="2"/>
      <c r="N1432" s="4" t="s">
        <v>2273</v>
      </c>
      <c r="O1432" s="4" t="str">
        <f>LEFT(Table2[[#This Row],[Description]],75)</f>
        <v xml:space="preserve">CARGILL COCOA TYPE DIR DEP ID CO CARGILL COCOA ACH ECC PPD ACH Trace 63156 </v>
      </c>
      <c r="P1432" s="2" t="s">
        <v>2284</v>
      </c>
    </row>
    <row r="1433" spans="1:16" hidden="1">
      <c r="A1433" s="2">
        <v>201912</v>
      </c>
      <c r="B1433" s="3">
        <v>43829</v>
      </c>
      <c r="C1433" s="2" t="s">
        <v>2262</v>
      </c>
      <c r="D1433" s="2" t="s">
        <v>453</v>
      </c>
      <c r="E1433" s="2">
        <v>4.3099999999999996</v>
      </c>
      <c r="F1433" s="2" t="s">
        <v>26</v>
      </c>
      <c r="J1433" s="2">
        <v>4.3099999999999996</v>
      </c>
      <c r="K1433" s="2" t="b">
        <v>0</v>
      </c>
      <c r="L1433" s="2"/>
      <c r="M1433" s="2"/>
      <c r="N1433" s="4" t="s">
        <v>2259</v>
      </c>
      <c r="O1433" s="4" t="str">
        <f>LEFT(Table2[[#This Row],[Description]],75)</f>
        <v>Caribou Coffee</v>
      </c>
      <c r="P1433" s="2" t="s">
        <v>2329</v>
      </c>
    </row>
    <row r="1434" spans="1:16" hidden="1">
      <c r="A1434" s="2">
        <v>201912</v>
      </c>
      <c r="B1434" s="3">
        <v>43829</v>
      </c>
      <c r="C1434" s="2" t="s">
        <v>2265</v>
      </c>
      <c r="D1434" s="2" t="s">
        <v>466</v>
      </c>
      <c r="E1434" s="2">
        <v>142.5</v>
      </c>
      <c r="F1434" s="2" t="s">
        <v>20</v>
      </c>
      <c r="J1434" s="2">
        <v>142.5</v>
      </c>
      <c r="K1434" s="2" t="b">
        <v>0</v>
      </c>
      <c r="L1434" s="2"/>
      <c r="M1434" s="2"/>
      <c r="N1434" s="4" t="s">
        <v>2259</v>
      </c>
      <c r="O1434" s="4" t="str">
        <f>LEFT(Table2[[#This Row],[Description]],75)</f>
        <v>CCLC TYPE INTERNET ID CO CCLC ACH ECC WEB ACH Trace 15823 275432438</v>
      </c>
      <c r="P1434" s="2" t="s">
        <v>2268</v>
      </c>
    </row>
    <row r="1435" spans="1:16" hidden="1">
      <c r="A1435" s="2">
        <v>201912</v>
      </c>
      <c r="B1435" s="3">
        <v>43829</v>
      </c>
      <c r="C1435" s="2" t="s">
        <v>2267</v>
      </c>
      <c r="D1435" s="2" t="s">
        <v>466</v>
      </c>
      <c r="E1435" s="2">
        <v>142.5</v>
      </c>
      <c r="F1435" s="2" t="s">
        <v>20</v>
      </c>
      <c r="J1435" s="2">
        <v>142.5</v>
      </c>
      <c r="K1435" s="2" t="b">
        <v>0</v>
      </c>
      <c r="L1435" s="2"/>
      <c r="M1435" s="2"/>
      <c r="N1435" s="4" t="s">
        <v>2259</v>
      </c>
      <c r="O1435" s="4" t="str">
        <f>LEFT(Table2[[#This Row],[Description]],75)</f>
        <v>CCLC TYPE INTERNET ID CO CCLC ACH ECC WEB ACH Trace 15823 275432438</v>
      </c>
      <c r="P1435" s="2" t="s">
        <v>2268</v>
      </c>
    </row>
    <row r="1436" spans="1:16" hidden="1">
      <c r="A1436" s="2">
        <v>201912</v>
      </c>
      <c r="B1436" s="3">
        <v>43829</v>
      </c>
      <c r="C1436" s="2" t="s">
        <v>2265</v>
      </c>
      <c r="D1436" s="2" t="s">
        <v>475</v>
      </c>
      <c r="E1436" s="2">
        <v>105.45</v>
      </c>
      <c r="F1436" s="2" t="s">
        <v>20</v>
      </c>
      <c r="J1436" s="2">
        <v>105.45</v>
      </c>
      <c r="K1436" s="2" t="b">
        <v>0</v>
      </c>
      <c r="L1436" s="2"/>
      <c r="M1436" s="2"/>
      <c r="N1436" s="4" t="s">
        <v>2259</v>
      </c>
      <c r="O1436" s="4" t="str">
        <f>LEFT(Table2[[#This Row],[Description]],75)</f>
        <v>CCLC TYPE INTERNET ID CO CCLC ACH ECC WEB ACH Trace 46533 273949347</v>
      </c>
      <c r="P1436" s="2" t="s">
        <v>2268</v>
      </c>
    </row>
    <row r="1437" spans="1:16" hidden="1">
      <c r="A1437" s="2">
        <v>201912</v>
      </c>
      <c r="B1437" s="3">
        <v>43829</v>
      </c>
      <c r="C1437" s="2" t="s">
        <v>2267</v>
      </c>
      <c r="D1437" s="2" t="s">
        <v>475</v>
      </c>
      <c r="E1437" s="2">
        <v>105.45</v>
      </c>
      <c r="F1437" s="2" t="s">
        <v>20</v>
      </c>
      <c r="J1437" s="2">
        <v>105.45</v>
      </c>
      <c r="K1437" s="2" t="b">
        <v>0</v>
      </c>
      <c r="L1437" s="2"/>
      <c r="M1437" s="2"/>
      <c r="N1437" s="4" t="s">
        <v>2259</v>
      </c>
      <c r="O1437" s="4" t="str">
        <f>LEFT(Table2[[#This Row],[Description]],75)</f>
        <v>CCLC TYPE INTERNET ID CO CCLC ACH ECC WEB ACH Trace 46533 273949347</v>
      </c>
      <c r="P1437" s="2" t="s">
        <v>2268</v>
      </c>
    </row>
    <row r="1438" spans="1:16" hidden="1">
      <c r="A1438" s="2">
        <v>201912</v>
      </c>
      <c r="B1438" s="3">
        <v>43829</v>
      </c>
      <c r="C1438" s="2" t="s">
        <v>2265</v>
      </c>
      <c r="D1438" s="2" t="s">
        <v>487</v>
      </c>
      <c r="E1438" s="2">
        <v>247.95</v>
      </c>
      <c r="F1438" s="2" t="s">
        <v>20</v>
      </c>
      <c r="J1438" s="2">
        <v>247.95</v>
      </c>
      <c r="K1438" s="2" t="b">
        <v>0</v>
      </c>
      <c r="L1438" s="2"/>
      <c r="M1438" s="2"/>
      <c r="N1438" s="4" t="s">
        <v>2259</v>
      </c>
      <c r="O1438" s="4" t="str">
        <f>LEFT(Table2[[#This Row],[Description]],75)</f>
        <v>CCLC TYPE INTERNET ID CO CCLC ACH ECC WEB ACH Trace 78829 272112306</v>
      </c>
      <c r="P1438" s="2" t="s">
        <v>2268</v>
      </c>
    </row>
    <row r="1439" spans="1:16" hidden="1">
      <c r="A1439" s="2">
        <v>201912</v>
      </c>
      <c r="B1439" s="3">
        <v>43829</v>
      </c>
      <c r="C1439" s="2" t="s">
        <v>2267</v>
      </c>
      <c r="D1439" s="2" t="s">
        <v>487</v>
      </c>
      <c r="E1439" s="2">
        <v>247.95</v>
      </c>
      <c r="F1439" s="2" t="s">
        <v>20</v>
      </c>
      <c r="J1439" s="2">
        <v>247.95</v>
      </c>
      <c r="K1439" s="2" t="b">
        <v>0</v>
      </c>
      <c r="L1439" s="2"/>
      <c r="M1439" s="2"/>
      <c r="N1439" s="4" t="s">
        <v>2259</v>
      </c>
      <c r="O1439" s="4" t="str">
        <f>LEFT(Table2[[#This Row],[Description]],75)</f>
        <v>CCLC TYPE INTERNET ID CO CCLC ACH ECC WEB ACH Trace 78829 272112306</v>
      </c>
      <c r="P1439" s="2" t="s">
        <v>2268</v>
      </c>
    </row>
    <row r="1440" spans="1:16" hidden="1">
      <c r="A1440" s="2">
        <v>201912</v>
      </c>
      <c r="B1440" s="3">
        <v>43829</v>
      </c>
      <c r="C1440" s="2" t="s">
        <v>2265</v>
      </c>
      <c r="D1440" s="2" t="s">
        <v>491</v>
      </c>
      <c r="E1440" s="2">
        <v>142.5</v>
      </c>
      <c r="F1440" s="2" t="s">
        <v>20</v>
      </c>
      <c r="J1440" s="2">
        <v>142.5</v>
      </c>
      <c r="K1440" s="2" t="b">
        <v>0</v>
      </c>
      <c r="L1440" s="2"/>
      <c r="M1440" s="2"/>
      <c r="N1440" s="4" t="s">
        <v>2259</v>
      </c>
      <c r="O1440" s="4" t="str">
        <f>LEFT(Table2[[#This Row],[Description]],75)</f>
        <v>CCLC TYPE INTERNET ID CO CCLC ACH ECC WEB ACH Trace 94221 277010534</v>
      </c>
      <c r="P1440" s="2" t="s">
        <v>2268</v>
      </c>
    </row>
    <row r="1441" spans="1:16" hidden="1">
      <c r="A1441" s="2">
        <v>201912</v>
      </c>
      <c r="B1441" s="3">
        <v>43829</v>
      </c>
      <c r="C1441" s="2" t="s">
        <v>2267</v>
      </c>
      <c r="D1441" s="2" t="s">
        <v>491</v>
      </c>
      <c r="E1441" s="2">
        <v>142.5</v>
      </c>
      <c r="F1441" s="2" t="s">
        <v>20</v>
      </c>
      <c r="J1441" s="2">
        <v>142.5</v>
      </c>
      <c r="K1441" s="2" t="b">
        <v>0</v>
      </c>
      <c r="L1441" s="2"/>
      <c r="M1441" s="2"/>
      <c r="N1441" s="4" t="s">
        <v>2259</v>
      </c>
      <c r="O1441" s="4" t="str">
        <f>LEFT(Table2[[#This Row],[Description]],75)</f>
        <v>CCLC TYPE INTERNET ID CO CCLC ACH ECC WEB ACH Trace 94221 277010534</v>
      </c>
      <c r="P1441" s="2" t="s">
        <v>2268</v>
      </c>
    </row>
    <row r="1442" spans="1:16" hidden="1">
      <c r="A1442" s="2">
        <v>201912</v>
      </c>
      <c r="B1442" s="3">
        <v>43829</v>
      </c>
      <c r="C1442" s="2" t="s">
        <v>2258</v>
      </c>
      <c r="D1442" s="2" t="s">
        <v>506</v>
      </c>
      <c r="E1442" s="2">
        <v>45</v>
      </c>
      <c r="F1442" s="2" t="s">
        <v>7</v>
      </c>
      <c r="J1442" s="2">
        <v>45</v>
      </c>
      <c r="K1442" s="2" t="b">
        <v>0</v>
      </c>
      <c r="L1442" s="2"/>
      <c r="M1442" s="2"/>
      <c r="N1442" s="4" t="s">
        <v>2259</v>
      </c>
      <c r="O1442" s="4" t="str">
        <f>LEFT(Table2[[#This Row],[Description]],75)</f>
        <v>CenturyLink</v>
      </c>
      <c r="P1442" s="2" t="s">
        <v>2408</v>
      </c>
    </row>
    <row r="1443" spans="1:16" hidden="1">
      <c r="A1443" s="2">
        <v>201912</v>
      </c>
      <c r="B1443" s="3">
        <v>43829</v>
      </c>
      <c r="C1443" s="2" t="s">
        <v>2261</v>
      </c>
      <c r="D1443" s="2" t="s">
        <v>506</v>
      </c>
      <c r="E1443" s="2">
        <v>45</v>
      </c>
      <c r="F1443" s="2" t="s">
        <v>7</v>
      </c>
      <c r="J1443" s="2">
        <v>45</v>
      </c>
      <c r="K1443" s="2" t="b">
        <v>0</v>
      </c>
      <c r="L1443" s="2"/>
      <c r="M1443" s="2"/>
      <c r="N1443" s="4" t="s">
        <v>2259</v>
      </c>
      <c r="O1443" s="4" t="str">
        <f>LEFT(Table2[[#This Row],[Description]],75)</f>
        <v>CenturyLink</v>
      </c>
      <c r="P1443" s="2" t="s">
        <v>2408</v>
      </c>
    </row>
    <row r="1444" spans="1:16" hidden="1">
      <c r="A1444" s="2">
        <v>201912</v>
      </c>
      <c r="B1444" s="3">
        <v>43829</v>
      </c>
      <c r="C1444" s="2" t="s">
        <v>2262</v>
      </c>
      <c r="D1444" s="2" t="s">
        <v>536</v>
      </c>
      <c r="E1444" s="2">
        <v>19.46</v>
      </c>
      <c r="F1444" s="2" t="s">
        <v>23</v>
      </c>
      <c r="J1444" s="2">
        <v>19.46</v>
      </c>
      <c r="K1444" s="2" t="b">
        <v>0</v>
      </c>
      <c r="L1444" s="2"/>
      <c r="M1444" s="2"/>
      <c r="N1444" s="4" t="s">
        <v>2259</v>
      </c>
      <c r="O1444" s="4" t="str">
        <f>LEFT(Table2[[#This Row],[Description]],75)</f>
        <v>Chevron</v>
      </c>
      <c r="P1444" s="2" t="s">
        <v>2429</v>
      </c>
    </row>
    <row r="1445" spans="1:16" hidden="1">
      <c r="A1445" s="2">
        <v>201912</v>
      </c>
      <c r="B1445" s="3">
        <v>43829</v>
      </c>
      <c r="C1445" s="2" t="s">
        <v>2317</v>
      </c>
      <c r="D1445" s="2" t="s">
        <v>537</v>
      </c>
      <c r="E1445" s="2">
        <v>-45.54</v>
      </c>
      <c r="F1445" s="2" t="s">
        <v>69</v>
      </c>
      <c r="J1445" s="2">
        <v>45.54</v>
      </c>
      <c r="K1445" s="2" t="b">
        <v>0</v>
      </c>
      <c r="L1445" s="2"/>
      <c r="M1445" s="2"/>
      <c r="N1445" s="4" t="s">
        <v>2273</v>
      </c>
      <c r="O1445" s="4" t="str">
        <f>LEFT(Table2[[#This Row],[Description]],75)</f>
        <v>CHEVRON CORP</v>
      </c>
      <c r="P1445" s="2" t="s">
        <v>2430</v>
      </c>
    </row>
    <row r="1446" spans="1:16" hidden="1">
      <c r="A1446" s="2">
        <v>201912</v>
      </c>
      <c r="B1446" s="3">
        <v>43829</v>
      </c>
      <c r="C1446" s="2" t="s">
        <v>2317</v>
      </c>
      <c r="D1446" s="2" t="s">
        <v>537</v>
      </c>
      <c r="E1446" s="2">
        <v>45.54</v>
      </c>
      <c r="F1446" s="2" t="s">
        <v>69</v>
      </c>
      <c r="J1446" s="2">
        <v>45.54</v>
      </c>
      <c r="K1446" s="2" t="b">
        <v>0</v>
      </c>
      <c r="L1446" s="2"/>
      <c r="M1446" s="2"/>
      <c r="N1446" s="4" t="s">
        <v>2259</v>
      </c>
      <c r="O1446" s="4" t="str">
        <f>LEFT(Table2[[#This Row],[Description]],75)</f>
        <v>CHEVRON CORP</v>
      </c>
      <c r="P1446" s="2" t="s">
        <v>2430</v>
      </c>
    </row>
    <row r="1447" spans="1:16" hidden="1">
      <c r="A1447" s="2">
        <v>201912</v>
      </c>
      <c r="B1447" s="3">
        <v>43829</v>
      </c>
      <c r="C1447" s="2" t="s">
        <v>2258</v>
      </c>
      <c r="D1447" s="2" t="s">
        <v>552</v>
      </c>
      <c r="E1447" s="2">
        <v>5.9</v>
      </c>
      <c r="F1447" s="2">
        <v>0</v>
      </c>
      <c r="J1447" s="2">
        <v>5.9</v>
      </c>
      <c r="K1447" s="2" t="b">
        <v>0</v>
      </c>
      <c r="L1447" s="2"/>
      <c r="M1447" s="2"/>
      <c r="N1447" s="4" t="s">
        <v>2259</v>
      </c>
      <c r="O1447" s="4" t="str">
        <f>LEFT(Table2[[#This Row],[Description]],75)</f>
        <v>CIBO EXPRESS P5 MINNEAPOLIS MN</v>
      </c>
      <c r="P1447" s="2"/>
    </row>
    <row r="1448" spans="1:16" hidden="1">
      <c r="A1448" s="2">
        <v>201912</v>
      </c>
      <c r="B1448" s="3">
        <v>43829</v>
      </c>
      <c r="C1448" s="2" t="s">
        <v>2261</v>
      </c>
      <c r="D1448" s="2" t="s">
        <v>552</v>
      </c>
      <c r="E1448" s="2">
        <v>5.9</v>
      </c>
      <c r="F1448" s="2" t="s">
        <v>26</v>
      </c>
      <c r="J1448" s="2">
        <v>5.9</v>
      </c>
      <c r="K1448" s="2" t="b">
        <v>0</v>
      </c>
      <c r="L1448" s="2"/>
      <c r="M1448" s="2"/>
      <c r="N1448" s="4" t="s">
        <v>2259</v>
      </c>
      <c r="O1448" s="4" t="str">
        <f>LEFT(Table2[[#This Row],[Description]],75)</f>
        <v>CIBO EXPRESS P5 MINNEAPOLIS MN</v>
      </c>
      <c r="P1448" s="2" t="s">
        <v>2281</v>
      </c>
    </row>
    <row r="1449" spans="1:16" hidden="1">
      <c r="A1449" s="2">
        <v>201912</v>
      </c>
      <c r="B1449" s="3">
        <v>43829</v>
      </c>
      <c r="C1449" s="2" t="s">
        <v>2265</v>
      </c>
      <c r="D1449" s="2" t="s">
        <v>557</v>
      </c>
      <c r="E1449" s="2">
        <v>33.49</v>
      </c>
      <c r="F1449" s="2" t="s">
        <v>7</v>
      </c>
      <c r="J1449" s="2">
        <v>33.49</v>
      </c>
      <c r="K1449" s="2" t="b">
        <v>0</v>
      </c>
      <c r="L1449" s="2"/>
      <c r="M1449" s="2"/>
      <c r="N1449" s="4" t="s">
        <v>2259</v>
      </c>
      <c r="O1449" s="4" t="str">
        <f>LEFT(Table2[[#This Row],[Description]],75)</f>
        <v>City of Chanhassen</v>
      </c>
      <c r="P1449" s="2" t="s">
        <v>2298</v>
      </c>
    </row>
    <row r="1450" spans="1:16" hidden="1">
      <c r="A1450" s="2">
        <v>201912</v>
      </c>
      <c r="B1450" s="3">
        <v>43829</v>
      </c>
      <c r="C1450" s="2" t="s">
        <v>2267</v>
      </c>
      <c r="D1450" s="2" t="s">
        <v>557</v>
      </c>
      <c r="E1450" s="2">
        <v>33.49</v>
      </c>
      <c r="F1450" s="2" t="s">
        <v>7</v>
      </c>
      <c r="J1450" s="2">
        <v>33.49</v>
      </c>
      <c r="K1450" s="2" t="b">
        <v>0</v>
      </c>
      <c r="L1450" s="2"/>
      <c r="M1450" s="2"/>
      <c r="N1450" s="4" t="s">
        <v>2259</v>
      </c>
      <c r="O1450" s="4" t="str">
        <f>LEFT(Table2[[#This Row],[Description]],75)</f>
        <v>City of Chanhassen</v>
      </c>
      <c r="P1450" s="2" t="s">
        <v>2298</v>
      </c>
    </row>
    <row r="1451" spans="1:16" hidden="1">
      <c r="A1451" s="2">
        <v>201912</v>
      </c>
      <c r="B1451" s="3">
        <v>43829</v>
      </c>
      <c r="C1451" s="2" t="s">
        <v>2265</v>
      </c>
      <c r="D1451" s="2" t="s">
        <v>653</v>
      </c>
      <c r="E1451" s="2">
        <v>78.12</v>
      </c>
      <c r="F1451" s="2" t="s">
        <v>7</v>
      </c>
      <c r="J1451" s="2">
        <v>78.12</v>
      </c>
      <c r="K1451" s="2" t="b">
        <v>0</v>
      </c>
      <c r="L1451" s="2"/>
      <c r="M1451" s="2"/>
      <c r="N1451" s="4" t="s">
        <v>2259</v>
      </c>
      <c r="O1451" s="4" t="str">
        <f>LEFT(Table2[[#This Row],[Description]],75)</f>
        <v xml:space="preserve">CPENERGY MNGCO TYPE MGC ACH EB ID 176051140S CO CPENERGY MNGCO ACH ECC WEB </v>
      </c>
      <c r="P1451" s="2" t="s">
        <v>2399</v>
      </c>
    </row>
    <row r="1452" spans="1:16" hidden="1">
      <c r="A1452" s="2">
        <v>201912</v>
      </c>
      <c r="B1452" s="3">
        <v>43829</v>
      </c>
      <c r="C1452" s="2" t="s">
        <v>2267</v>
      </c>
      <c r="D1452" s="2" t="s">
        <v>653</v>
      </c>
      <c r="E1452" s="2">
        <v>78.12</v>
      </c>
      <c r="F1452" s="2" t="s">
        <v>7</v>
      </c>
      <c r="J1452" s="2">
        <v>78.12</v>
      </c>
      <c r="K1452" s="2" t="b">
        <v>0</v>
      </c>
      <c r="L1452" s="2"/>
      <c r="M1452" s="2"/>
      <c r="N1452" s="4" t="s">
        <v>2259</v>
      </c>
      <c r="O1452" s="4" t="str">
        <f>LEFT(Table2[[#This Row],[Description]],75)</f>
        <v xml:space="preserve">CPENERGY MNGCO TYPE MGC ACH EB ID 176051140S CO CPENERGY MNGCO ACH ECC WEB </v>
      </c>
      <c r="P1452" s="2" t="s">
        <v>2399</v>
      </c>
    </row>
    <row r="1453" spans="1:16" hidden="1">
      <c r="A1453" s="2">
        <v>201912</v>
      </c>
      <c r="B1453" s="3">
        <v>43829</v>
      </c>
      <c r="C1453" s="2" t="s">
        <v>2262</v>
      </c>
      <c r="D1453" s="2" t="s">
        <v>667</v>
      </c>
      <c r="E1453" s="2">
        <v>-68.28</v>
      </c>
      <c r="F1453" s="2" t="s">
        <v>21</v>
      </c>
      <c r="J1453" s="2">
        <v>68.28</v>
      </c>
      <c r="K1453" s="2" t="b">
        <v>0</v>
      </c>
      <c r="L1453" s="2"/>
      <c r="M1453" s="2"/>
      <c r="N1453" s="4" t="s">
        <v>2273</v>
      </c>
      <c r="O1453" s="4" t="str">
        <f>LEFT(Table2[[#This Row],[Description]],75)</f>
        <v>Crate &amp; Barrel</v>
      </c>
      <c r="P1453" s="2" t="s">
        <v>2421</v>
      </c>
    </row>
    <row r="1454" spans="1:16" hidden="1">
      <c r="A1454" s="2">
        <v>201912</v>
      </c>
      <c r="B1454" s="3">
        <v>43829</v>
      </c>
      <c r="C1454" s="2" t="s">
        <v>2258</v>
      </c>
      <c r="D1454" s="2" t="s">
        <v>684</v>
      </c>
      <c r="E1454" s="2">
        <v>154.18</v>
      </c>
      <c r="F1454" s="2" t="s">
        <v>28</v>
      </c>
      <c r="J1454" s="2">
        <v>154.18</v>
      </c>
      <c r="K1454" s="2" t="b">
        <v>0</v>
      </c>
      <c r="L1454" s="2"/>
      <c r="M1454" s="2"/>
      <c r="N1454" s="4" t="s">
        <v>2259</v>
      </c>
      <c r="O1454" s="4" t="str">
        <f>LEFT(Table2[[#This Row],[Description]],75)</f>
        <v>Cub Foods</v>
      </c>
      <c r="P1454" s="2" t="s">
        <v>2370</v>
      </c>
    </row>
    <row r="1455" spans="1:16" hidden="1">
      <c r="A1455" s="2">
        <v>201912</v>
      </c>
      <c r="B1455" s="3">
        <v>43829</v>
      </c>
      <c r="C1455" s="2" t="s">
        <v>2261</v>
      </c>
      <c r="D1455" s="2" t="s">
        <v>684</v>
      </c>
      <c r="E1455" s="2">
        <v>154.18</v>
      </c>
      <c r="F1455" s="2" t="s">
        <v>28</v>
      </c>
      <c r="J1455" s="2">
        <v>154.18</v>
      </c>
      <c r="K1455" s="2" t="b">
        <v>0</v>
      </c>
      <c r="L1455" s="2"/>
      <c r="M1455" s="2"/>
      <c r="N1455" s="4" t="s">
        <v>2259</v>
      </c>
      <c r="O1455" s="4" t="str">
        <f>LEFT(Table2[[#This Row],[Description]],75)</f>
        <v>Cub Foods</v>
      </c>
      <c r="P1455" s="2" t="s">
        <v>2370</v>
      </c>
    </row>
    <row r="1456" spans="1:16" hidden="1">
      <c r="A1456" s="2">
        <v>201912</v>
      </c>
      <c r="B1456" s="3">
        <v>43829</v>
      </c>
      <c r="C1456" s="2" t="s">
        <v>2262</v>
      </c>
      <c r="D1456" s="2" t="s">
        <v>684</v>
      </c>
      <c r="E1456" s="2">
        <v>109.3</v>
      </c>
      <c r="F1456" s="2" t="s">
        <v>28</v>
      </c>
      <c r="J1456" s="2">
        <v>109.3</v>
      </c>
      <c r="K1456" s="2" t="b">
        <v>0</v>
      </c>
      <c r="L1456" s="2"/>
      <c r="M1456" s="2"/>
      <c r="N1456" s="4" t="s">
        <v>2259</v>
      </c>
      <c r="O1456" s="4" t="str">
        <f>LEFT(Table2[[#This Row],[Description]],75)</f>
        <v>Cub Foods</v>
      </c>
      <c r="P1456" s="2" t="s">
        <v>2370</v>
      </c>
    </row>
    <row r="1457" spans="1:16" hidden="1">
      <c r="A1457" s="2">
        <v>201912</v>
      </c>
      <c r="B1457" s="3">
        <v>43829</v>
      </c>
      <c r="C1457" s="2" t="s">
        <v>2262</v>
      </c>
      <c r="D1457" s="2" t="s">
        <v>684</v>
      </c>
      <c r="E1457" s="2">
        <v>25.9</v>
      </c>
      <c r="F1457" s="2" t="s">
        <v>28</v>
      </c>
      <c r="J1457" s="2">
        <v>25.9</v>
      </c>
      <c r="K1457" s="2" t="b">
        <v>0</v>
      </c>
      <c r="L1457" s="2"/>
      <c r="M1457" s="2"/>
      <c r="N1457" s="4" t="s">
        <v>2259</v>
      </c>
      <c r="O1457" s="4" t="str">
        <f>LEFT(Table2[[#This Row],[Description]],75)</f>
        <v>Cub Foods</v>
      </c>
      <c r="P1457" s="2" t="s">
        <v>2370</v>
      </c>
    </row>
    <row r="1458" spans="1:16" hidden="1">
      <c r="A1458" s="2">
        <v>201912</v>
      </c>
      <c r="B1458" s="3">
        <v>43829</v>
      </c>
      <c r="C1458" s="2" t="s">
        <v>2262</v>
      </c>
      <c r="D1458" s="2" t="s">
        <v>684</v>
      </c>
      <c r="E1458" s="2">
        <v>34.75</v>
      </c>
      <c r="F1458" s="2" t="s">
        <v>28</v>
      </c>
      <c r="J1458" s="2">
        <v>34.75</v>
      </c>
      <c r="K1458" s="2" t="b">
        <v>0</v>
      </c>
      <c r="L1458" s="2"/>
      <c r="M1458" s="2"/>
      <c r="N1458" s="4" t="s">
        <v>2259</v>
      </c>
      <c r="O1458" s="4" t="str">
        <f>LEFT(Table2[[#This Row],[Description]],75)</f>
        <v>Cub Foods</v>
      </c>
      <c r="P1458" s="2" t="s">
        <v>2370</v>
      </c>
    </row>
    <row r="1459" spans="1:16" hidden="1">
      <c r="A1459" s="2">
        <v>201912</v>
      </c>
      <c r="B1459" s="3">
        <v>43829</v>
      </c>
      <c r="C1459" s="2" t="s">
        <v>2262</v>
      </c>
      <c r="D1459" s="2" t="s">
        <v>725</v>
      </c>
      <c r="E1459" s="2">
        <v>182.54</v>
      </c>
      <c r="F1459" s="2" t="s">
        <v>2</v>
      </c>
      <c r="J1459" s="2">
        <v>182.54</v>
      </c>
      <c r="K1459" s="2" t="b">
        <v>0</v>
      </c>
      <c r="L1459" s="2"/>
      <c r="M1459" s="2"/>
      <c r="N1459" s="4" t="s">
        <v>2259</v>
      </c>
      <c r="O1459" s="4" t="str">
        <f>LEFT(Table2[[#This Row],[Description]],75)</f>
        <v>DETAILS RESIDENTIAL SRVC 6122161751 MN 273904138</v>
      </c>
      <c r="P1459" s="2" t="s">
        <v>2281</v>
      </c>
    </row>
    <row r="1460" spans="1:16" hidden="1">
      <c r="A1460" s="2">
        <v>201912</v>
      </c>
      <c r="B1460" s="3">
        <v>43829</v>
      </c>
      <c r="C1460" s="2" t="s">
        <v>2265</v>
      </c>
      <c r="D1460" s="2" t="s">
        <v>735</v>
      </c>
      <c r="E1460" s="2">
        <v>-374.28</v>
      </c>
      <c r="F1460" s="2" t="s">
        <v>9</v>
      </c>
      <c r="J1460" s="2">
        <v>374.28</v>
      </c>
      <c r="K1460" s="2" t="b">
        <v>0</v>
      </c>
      <c r="L1460" s="2"/>
      <c r="M1460" s="2"/>
      <c r="N1460" s="4" t="s">
        <v>2273</v>
      </c>
      <c r="O1460" s="4" t="str">
        <f>LEFT(Table2[[#This Row],[Description]],75)</f>
        <v>DIRECT PAY HSA TYPE ETRANSFER ID CO DIRECT PAY HSA ACH ECC PPD ACH Trace 22</v>
      </c>
      <c r="P1460" s="2" t="s">
        <v>2343</v>
      </c>
    </row>
    <row r="1461" spans="1:16" hidden="1">
      <c r="A1461" s="2">
        <v>201912</v>
      </c>
      <c r="B1461" s="3">
        <v>43829</v>
      </c>
      <c r="C1461" s="2" t="s">
        <v>2267</v>
      </c>
      <c r="D1461" s="2" t="s">
        <v>735</v>
      </c>
      <c r="E1461" s="2">
        <v>-374.28</v>
      </c>
      <c r="F1461" s="2" t="s">
        <v>9</v>
      </c>
      <c r="J1461" s="2">
        <v>374.28</v>
      </c>
      <c r="K1461" s="2" t="b">
        <v>0</v>
      </c>
      <c r="L1461" s="2"/>
      <c r="M1461" s="2"/>
      <c r="N1461" s="4" t="s">
        <v>2273</v>
      </c>
      <c r="O1461" s="4" t="str">
        <f>LEFT(Table2[[#This Row],[Description]],75)</f>
        <v>DIRECT PAY HSA TYPE ETRANSFER ID CO DIRECT PAY HSA ACH ECC PPD ACH Trace 22</v>
      </c>
      <c r="P1461" s="2" t="s">
        <v>2343</v>
      </c>
    </row>
    <row r="1462" spans="1:16" hidden="1">
      <c r="A1462" s="2">
        <v>201912</v>
      </c>
      <c r="B1462" s="3">
        <v>43829</v>
      </c>
      <c r="C1462" s="2" t="s">
        <v>2262</v>
      </c>
      <c r="D1462" s="2" t="s">
        <v>785</v>
      </c>
      <c r="E1462" s="2">
        <v>43.67</v>
      </c>
      <c r="F1462" s="2" t="s">
        <v>26</v>
      </c>
      <c r="J1462" s="2">
        <v>43.67</v>
      </c>
      <c r="K1462" s="2" t="b">
        <v>0</v>
      </c>
      <c r="L1462" s="2"/>
      <c r="M1462" s="2"/>
      <c r="N1462" s="4" t="s">
        <v>2259</v>
      </c>
      <c r="O1462" s="4" t="str">
        <f>LEFT(Table2[[#This Row],[Description]],75)</f>
        <v>Domino's Pizza</v>
      </c>
      <c r="P1462" s="2" t="s">
        <v>2431</v>
      </c>
    </row>
    <row r="1463" spans="1:16" hidden="1">
      <c r="A1463" s="2">
        <v>201912</v>
      </c>
      <c r="B1463" s="3">
        <v>43829</v>
      </c>
      <c r="C1463" s="2" t="s">
        <v>2258</v>
      </c>
      <c r="D1463" s="2" t="s">
        <v>834</v>
      </c>
      <c r="E1463" s="2">
        <v>29.41</v>
      </c>
      <c r="F1463" s="2" t="s">
        <v>23</v>
      </c>
      <c r="J1463" s="2">
        <v>29.41</v>
      </c>
      <c r="K1463" s="2" t="b">
        <v>0</v>
      </c>
      <c r="L1463" s="2"/>
      <c r="M1463" s="2"/>
      <c r="N1463" s="4" t="s">
        <v>2259</v>
      </c>
      <c r="O1463" s="4" t="str">
        <f>LEFT(Table2[[#This Row],[Description]],75)</f>
        <v>Exxon</v>
      </c>
      <c r="P1463" s="2" t="s">
        <v>2432</v>
      </c>
    </row>
    <row r="1464" spans="1:16" hidden="1">
      <c r="A1464" s="2">
        <v>201912</v>
      </c>
      <c r="B1464" s="3">
        <v>43829</v>
      </c>
      <c r="C1464" s="2" t="s">
        <v>2261</v>
      </c>
      <c r="D1464" s="2" t="s">
        <v>834</v>
      </c>
      <c r="E1464" s="2">
        <v>29.41</v>
      </c>
      <c r="F1464" s="2" t="s">
        <v>23</v>
      </c>
      <c r="J1464" s="2">
        <v>29.41</v>
      </c>
      <c r="K1464" s="2" t="b">
        <v>0</v>
      </c>
      <c r="L1464" s="2"/>
      <c r="M1464" s="2"/>
      <c r="N1464" s="4" t="s">
        <v>2259</v>
      </c>
      <c r="O1464" s="4" t="str">
        <f>LEFT(Table2[[#This Row],[Description]],75)</f>
        <v>Exxon</v>
      </c>
      <c r="P1464" s="2" t="s">
        <v>2432</v>
      </c>
    </row>
    <row r="1465" spans="1:16" hidden="1">
      <c r="A1465" s="2">
        <v>201912</v>
      </c>
      <c r="B1465" s="3">
        <v>43829</v>
      </c>
      <c r="C1465" s="2" t="s">
        <v>2290</v>
      </c>
      <c r="D1465" s="2" t="s">
        <v>839</v>
      </c>
      <c r="E1465" s="2">
        <v>-258.89</v>
      </c>
      <c r="F1465" s="2" t="s">
        <v>54</v>
      </c>
      <c r="J1465" s="2">
        <v>258.89</v>
      </c>
      <c r="K1465" s="2" t="b">
        <v>0</v>
      </c>
      <c r="L1465" s="2"/>
      <c r="M1465" s="2"/>
      <c r="N1465" s="4" t="s">
        <v>2273</v>
      </c>
      <c r="O1465" s="4" t="str">
        <f>LEFT(Table2[[#This Row],[Description]],75)</f>
        <v>FID 500 INDEX</v>
      </c>
      <c r="P1465" s="2" t="s">
        <v>2393</v>
      </c>
    </row>
    <row r="1466" spans="1:16" hidden="1">
      <c r="A1466" s="2">
        <v>201912</v>
      </c>
      <c r="B1466" s="3">
        <v>43829</v>
      </c>
      <c r="C1466" s="2" t="s">
        <v>2290</v>
      </c>
      <c r="D1466" s="2" t="s">
        <v>841</v>
      </c>
      <c r="E1466" s="2">
        <v>-416.75</v>
      </c>
      <c r="F1466" s="2" t="s">
        <v>9</v>
      </c>
      <c r="J1466" s="2">
        <v>416.75</v>
      </c>
      <c r="K1466" s="2" t="b">
        <v>0</v>
      </c>
      <c r="L1466" s="2"/>
      <c r="M1466" s="2"/>
      <c r="N1466" s="4" t="s">
        <v>2273</v>
      </c>
      <c r="O1466" s="4" t="str">
        <f>LEFT(Table2[[#This Row],[Description]],75)</f>
        <v>FID EXTD MKT IDX</v>
      </c>
      <c r="P1466" s="2" t="s">
        <v>2394</v>
      </c>
    </row>
    <row r="1467" spans="1:16" hidden="1">
      <c r="A1467" s="2">
        <v>201912</v>
      </c>
      <c r="B1467" s="3">
        <v>43829</v>
      </c>
      <c r="C1467" s="2" t="s">
        <v>2262</v>
      </c>
      <c r="D1467" s="2" t="s">
        <v>851</v>
      </c>
      <c r="E1467" s="2">
        <v>207</v>
      </c>
      <c r="F1467" s="2" t="s">
        <v>20</v>
      </c>
      <c r="J1467" s="2">
        <v>207</v>
      </c>
      <c r="K1467" s="2" t="b">
        <v>0</v>
      </c>
      <c r="L1467" s="2"/>
      <c r="M1467" s="2"/>
      <c r="N1467" s="4" t="s">
        <v>2259</v>
      </c>
      <c r="O1467" s="4" t="str">
        <f>LEFT(Table2[[#This Row],[Description]],75)</f>
        <v>Foss Swim School</v>
      </c>
      <c r="P1467" s="2" t="s">
        <v>2281</v>
      </c>
    </row>
    <row r="1468" spans="1:16" hidden="1">
      <c r="A1468" s="2">
        <v>201912</v>
      </c>
      <c r="B1468" s="3">
        <v>43829</v>
      </c>
      <c r="C1468" s="2" t="s">
        <v>2317</v>
      </c>
      <c r="D1468" s="2" t="s">
        <v>878</v>
      </c>
      <c r="E1468" s="2">
        <v>-1000</v>
      </c>
      <c r="F1468" s="2" t="s">
        <v>9</v>
      </c>
      <c r="J1468" s="2">
        <v>1000</v>
      </c>
      <c r="K1468" s="2" t="b">
        <v>0</v>
      </c>
      <c r="L1468" s="2"/>
      <c r="M1468" s="2"/>
      <c r="N1468" s="4" t="s">
        <v>2273</v>
      </c>
      <c r="O1468" s="4" t="str">
        <f>LEFT(Table2[[#This Row],[Description]],75)</f>
        <v>FUNDS RECEIVED</v>
      </c>
      <c r="P1468" s="2" t="s">
        <v>2385</v>
      </c>
    </row>
    <row r="1469" spans="1:16" hidden="1">
      <c r="A1469" s="2">
        <v>201912</v>
      </c>
      <c r="B1469" s="3">
        <v>43829</v>
      </c>
      <c r="C1469" s="2" t="s">
        <v>2258</v>
      </c>
      <c r="D1469" s="2" t="s">
        <v>899</v>
      </c>
      <c r="E1469" s="2">
        <v>10.77</v>
      </c>
      <c r="F1469" s="2" t="s">
        <v>23</v>
      </c>
      <c r="J1469" s="2">
        <v>10.77</v>
      </c>
      <c r="K1469" s="2" t="b">
        <v>0</v>
      </c>
      <c r="L1469" s="2"/>
      <c r="M1469" s="2"/>
      <c r="N1469" s="4" t="s">
        <v>2259</v>
      </c>
      <c r="O1469" s="4" t="str">
        <f>LEFT(Table2[[#This Row],[Description]],75)</f>
        <v>GoGoAir</v>
      </c>
      <c r="P1469" s="2" t="s">
        <v>2411</v>
      </c>
    </row>
    <row r="1470" spans="1:16" hidden="1">
      <c r="A1470" s="2">
        <v>201912</v>
      </c>
      <c r="B1470" s="3">
        <v>43829</v>
      </c>
      <c r="C1470" s="2" t="s">
        <v>2261</v>
      </c>
      <c r="D1470" s="2" t="s">
        <v>899</v>
      </c>
      <c r="E1470" s="2">
        <v>10.77</v>
      </c>
      <c r="F1470" s="2" t="s">
        <v>23</v>
      </c>
      <c r="J1470" s="2">
        <v>10.77</v>
      </c>
      <c r="K1470" s="2" t="b">
        <v>0</v>
      </c>
      <c r="L1470" s="2"/>
      <c r="M1470" s="2"/>
      <c r="N1470" s="4" t="s">
        <v>2259</v>
      </c>
      <c r="O1470" s="4" t="str">
        <f>LEFT(Table2[[#This Row],[Description]],75)</f>
        <v>GoGoAir</v>
      </c>
      <c r="P1470" s="2" t="s">
        <v>2411</v>
      </c>
    </row>
    <row r="1471" spans="1:16" hidden="1">
      <c r="A1471" s="2">
        <v>201912</v>
      </c>
      <c r="B1471" s="3">
        <v>43829</v>
      </c>
      <c r="C1471" s="2" t="s">
        <v>2317</v>
      </c>
      <c r="D1471" s="2" t="s">
        <v>913</v>
      </c>
      <c r="E1471" s="2">
        <v>-0.05</v>
      </c>
      <c r="F1471" s="2" t="s">
        <v>69</v>
      </c>
      <c r="J1471" s="2">
        <v>0.05</v>
      </c>
      <c r="K1471" s="2" t="b">
        <v>0</v>
      </c>
      <c r="L1471" s="2"/>
      <c r="M1471" s="2"/>
      <c r="N1471" s="4" t="s">
        <v>2273</v>
      </c>
      <c r="O1471" s="4" t="str">
        <f>LEFT(Table2[[#This Row],[Description]],75)</f>
        <v>HALLIBURTON CO HLDG</v>
      </c>
      <c r="P1471" s="2" t="s">
        <v>2433</v>
      </c>
    </row>
    <row r="1472" spans="1:16" hidden="1">
      <c r="A1472" s="2">
        <v>201912</v>
      </c>
      <c r="B1472" s="3">
        <v>43829</v>
      </c>
      <c r="C1472" s="2" t="s">
        <v>2317</v>
      </c>
      <c r="D1472" s="2" t="s">
        <v>913</v>
      </c>
      <c r="E1472" s="2">
        <v>0.05</v>
      </c>
      <c r="F1472" s="2" t="s">
        <v>69</v>
      </c>
      <c r="J1472" s="2">
        <v>0.05</v>
      </c>
      <c r="K1472" s="2" t="b">
        <v>0</v>
      </c>
      <c r="L1472" s="2"/>
      <c r="M1472" s="2"/>
      <c r="N1472" s="4" t="s">
        <v>2259</v>
      </c>
      <c r="O1472" s="4" t="str">
        <f>LEFT(Table2[[#This Row],[Description]],75)</f>
        <v>HALLIBURTON CO HLDG</v>
      </c>
      <c r="P1472" s="2" t="s">
        <v>2433</v>
      </c>
    </row>
    <row r="1473" spans="1:16" hidden="1">
      <c r="A1473" s="2">
        <v>201912</v>
      </c>
      <c r="B1473" s="3">
        <v>43829</v>
      </c>
      <c r="C1473" s="2" t="s">
        <v>2262</v>
      </c>
      <c r="D1473" s="2" t="s">
        <v>919</v>
      </c>
      <c r="E1473" s="2">
        <v>18</v>
      </c>
      <c r="F1473" s="2" t="s">
        <v>40</v>
      </c>
      <c r="J1473" s="2">
        <v>18</v>
      </c>
      <c r="K1473" s="2" t="b">
        <v>0</v>
      </c>
      <c r="L1473" s="2"/>
      <c r="M1473" s="2"/>
      <c r="N1473" s="4" t="s">
        <v>2259</v>
      </c>
      <c r="O1473" s="4" t="str">
        <f>LEFT(Table2[[#This Row],[Description]],75)</f>
        <v>Harvard Business</v>
      </c>
      <c r="P1473" s="2" t="s">
        <v>2412</v>
      </c>
    </row>
    <row r="1474" spans="1:16" hidden="1">
      <c r="A1474" s="2">
        <v>201912</v>
      </c>
      <c r="B1474" s="3">
        <v>43829</v>
      </c>
      <c r="C1474" s="2" t="s">
        <v>2262</v>
      </c>
      <c r="D1474" s="2" t="s">
        <v>944</v>
      </c>
      <c r="E1474" s="2">
        <v>39.159999999999997</v>
      </c>
      <c r="F1474" s="2" t="s">
        <v>23</v>
      </c>
      <c r="J1474" s="2">
        <v>39.159999999999997</v>
      </c>
      <c r="K1474" s="2" t="b">
        <v>0</v>
      </c>
      <c r="L1474" s="2"/>
      <c r="M1474" s="2"/>
      <c r="N1474" s="4" t="s">
        <v>2259</v>
      </c>
      <c r="O1474" s="4" t="str">
        <f>LEFT(Table2[[#This Row],[Description]],75)</f>
        <v>Holiday Stationstore</v>
      </c>
      <c r="P1474" s="2" t="s">
        <v>2374</v>
      </c>
    </row>
    <row r="1475" spans="1:16" hidden="1">
      <c r="A1475" s="2">
        <v>201912</v>
      </c>
      <c r="B1475" s="3">
        <v>43829</v>
      </c>
      <c r="C1475" s="2" t="s">
        <v>2258</v>
      </c>
      <c r="D1475" s="2" t="s">
        <v>947</v>
      </c>
      <c r="E1475" s="2">
        <v>5.36</v>
      </c>
      <c r="F1475" s="2" t="s">
        <v>2</v>
      </c>
      <c r="J1475" s="2">
        <v>5.36</v>
      </c>
      <c r="K1475" s="2" t="b">
        <v>0</v>
      </c>
      <c r="L1475" s="2"/>
      <c r="M1475" s="2"/>
      <c r="N1475" s="4" t="s">
        <v>2259</v>
      </c>
      <c r="O1475" s="4" t="str">
        <f>LEFT(Table2[[#This Row],[Description]],75)</f>
        <v>Home Depot</v>
      </c>
      <c r="P1475" s="2" t="s">
        <v>2396</v>
      </c>
    </row>
    <row r="1476" spans="1:16" hidden="1">
      <c r="A1476" s="2">
        <v>201912</v>
      </c>
      <c r="B1476" s="3">
        <v>43829</v>
      </c>
      <c r="C1476" s="2" t="s">
        <v>2262</v>
      </c>
      <c r="D1476" s="2" t="s">
        <v>947</v>
      </c>
      <c r="E1476" s="2">
        <v>19.86</v>
      </c>
      <c r="F1476" s="2" t="s">
        <v>2</v>
      </c>
      <c r="J1476" s="2">
        <v>19.86</v>
      </c>
      <c r="K1476" s="2" t="b">
        <v>0</v>
      </c>
      <c r="L1476" s="2"/>
      <c r="M1476" s="2"/>
      <c r="N1476" s="4" t="s">
        <v>2259</v>
      </c>
      <c r="O1476" s="4" t="str">
        <f>LEFT(Table2[[#This Row],[Description]],75)</f>
        <v>Home Depot</v>
      </c>
      <c r="P1476" s="2" t="s">
        <v>2396</v>
      </c>
    </row>
    <row r="1477" spans="1:16" hidden="1">
      <c r="A1477" s="2">
        <v>201912</v>
      </c>
      <c r="B1477" s="3">
        <v>43829</v>
      </c>
      <c r="C1477" s="2" t="s">
        <v>2261</v>
      </c>
      <c r="D1477" s="2" t="s">
        <v>947</v>
      </c>
      <c r="E1477" s="2">
        <v>5.36</v>
      </c>
      <c r="F1477" s="2" t="s">
        <v>2</v>
      </c>
      <c r="J1477" s="2">
        <v>5.36</v>
      </c>
      <c r="K1477" s="2" t="b">
        <v>0</v>
      </c>
      <c r="L1477" s="2"/>
      <c r="M1477" s="2"/>
      <c r="N1477" s="4" t="s">
        <v>2259</v>
      </c>
      <c r="O1477" s="4" t="str">
        <f>LEFT(Table2[[#This Row],[Description]],75)</f>
        <v>Home Depot</v>
      </c>
      <c r="P1477" s="2" t="s">
        <v>2396</v>
      </c>
    </row>
    <row r="1478" spans="1:16" hidden="1">
      <c r="A1478" s="2">
        <v>201912</v>
      </c>
      <c r="B1478" s="3">
        <v>43829</v>
      </c>
      <c r="C1478" s="2" t="s">
        <v>2274</v>
      </c>
      <c r="D1478" s="2" t="s">
        <v>994</v>
      </c>
      <c r="E1478" s="2">
        <v>-0.23</v>
      </c>
      <c r="F1478" s="2" t="s">
        <v>9</v>
      </c>
      <c r="J1478" s="2">
        <v>0.23</v>
      </c>
      <c r="K1478" s="2" t="b">
        <v>0</v>
      </c>
      <c r="L1478" s="2"/>
      <c r="M1478" s="2"/>
      <c r="N1478" s="4" t="s">
        <v>2273</v>
      </c>
      <c r="O1478" s="4" t="str">
        <f>LEFT(Table2[[#This Row],[Description]],75)</f>
        <v>Interest Paid</v>
      </c>
      <c r="P1478" s="2" t="s">
        <v>2281</v>
      </c>
    </row>
    <row r="1479" spans="1:16" hidden="1">
      <c r="A1479" s="2">
        <v>201912</v>
      </c>
      <c r="B1479" s="3">
        <v>43829</v>
      </c>
      <c r="C1479" s="2" t="s">
        <v>2434</v>
      </c>
      <c r="D1479" s="2" t="s">
        <v>1000</v>
      </c>
      <c r="E1479" s="2">
        <v>-1000</v>
      </c>
      <c r="F1479" s="2">
        <v>0</v>
      </c>
      <c r="J1479" s="2">
        <v>1000</v>
      </c>
      <c r="K1479" s="2" t="b">
        <v>0</v>
      </c>
      <c r="L1479" s="2"/>
      <c r="M1479" s="2"/>
      <c r="N1479" s="4" t="s">
        <v>2273</v>
      </c>
      <c r="O1479" s="4" t="str">
        <f>LEFT(Table2[[#This Row],[Description]],75)</f>
        <v>IRA REGULAR CONTRIB</v>
      </c>
      <c r="P1479" s="2"/>
    </row>
    <row r="1480" spans="1:16" hidden="1">
      <c r="A1480" s="2">
        <v>201912</v>
      </c>
      <c r="B1480" s="3">
        <v>43829</v>
      </c>
      <c r="C1480" s="2" t="s">
        <v>2435</v>
      </c>
      <c r="D1480" s="2" t="s">
        <v>1000</v>
      </c>
      <c r="E1480" s="2">
        <v>-1000</v>
      </c>
      <c r="F1480" s="2">
        <v>0</v>
      </c>
      <c r="J1480" s="2">
        <v>1000</v>
      </c>
      <c r="K1480" s="2" t="b">
        <v>0</v>
      </c>
      <c r="L1480" s="2"/>
      <c r="M1480" s="2"/>
      <c r="N1480" s="4" t="s">
        <v>2273</v>
      </c>
      <c r="O1480" s="4" t="str">
        <f>LEFT(Table2[[#This Row],[Description]],75)</f>
        <v>IRA REGULAR CONTRIB</v>
      </c>
      <c r="P1480" s="2"/>
    </row>
    <row r="1481" spans="1:16" hidden="1">
      <c r="A1481" s="2">
        <v>201912</v>
      </c>
      <c r="B1481" s="3">
        <v>43829</v>
      </c>
      <c r="C1481" s="2" t="s">
        <v>2317</v>
      </c>
      <c r="D1481" s="2" t="s">
        <v>1020</v>
      </c>
      <c r="E1481" s="2">
        <v>-1000</v>
      </c>
      <c r="F1481" s="2" t="s">
        <v>9</v>
      </c>
      <c r="J1481" s="2">
        <v>1000</v>
      </c>
      <c r="K1481" s="2" t="b">
        <v>0</v>
      </c>
      <c r="L1481" s="2"/>
      <c r="M1481" s="2"/>
      <c r="N1481" s="4" t="s">
        <v>2273</v>
      </c>
      <c r="O1481" s="4" t="str">
        <f>LEFT(Table2[[#This Row],[Description]],75)</f>
        <v>JOURNAL FRM 50117431</v>
      </c>
      <c r="P1481" s="2" t="s">
        <v>2385</v>
      </c>
    </row>
    <row r="1482" spans="1:16" hidden="1">
      <c r="A1482" s="2">
        <v>201912</v>
      </c>
      <c r="B1482" s="3">
        <v>43829</v>
      </c>
      <c r="C1482" s="2" t="s">
        <v>2317</v>
      </c>
      <c r="D1482" s="2" t="s">
        <v>1023</v>
      </c>
      <c r="E1482" s="2">
        <v>1000</v>
      </c>
      <c r="F1482" s="2" t="s">
        <v>9</v>
      </c>
      <c r="J1482" s="2">
        <v>1000</v>
      </c>
      <c r="K1482" s="2" t="b">
        <v>0</v>
      </c>
      <c r="L1482" s="2"/>
      <c r="M1482" s="2"/>
      <c r="N1482" s="4" t="s">
        <v>2259</v>
      </c>
      <c r="O1482" s="4" t="str">
        <f>LEFT(Table2[[#This Row],[Description]],75)</f>
        <v>JOURNAL TO 13697698</v>
      </c>
      <c r="P1482" s="2" t="s">
        <v>2385</v>
      </c>
    </row>
    <row r="1483" spans="1:16" hidden="1">
      <c r="A1483" s="2">
        <v>201912</v>
      </c>
      <c r="B1483" s="3">
        <v>43829</v>
      </c>
      <c r="C1483" s="2" t="s">
        <v>2317</v>
      </c>
      <c r="D1483" s="2" t="s">
        <v>1025</v>
      </c>
      <c r="E1483" s="2">
        <v>1000</v>
      </c>
      <c r="F1483" s="2" t="s">
        <v>9</v>
      </c>
      <c r="J1483" s="2">
        <v>1000</v>
      </c>
      <c r="K1483" s="2" t="b">
        <v>0</v>
      </c>
      <c r="L1483" s="2"/>
      <c r="M1483" s="2"/>
      <c r="N1483" s="4" t="s">
        <v>2259</v>
      </c>
      <c r="O1483" s="4" t="str">
        <f>LEFT(Table2[[#This Row],[Description]],75)</f>
        <v>JOURNAL TO 86850937</v>
      </c>
      <c r="P1483" s="2" t="s">
        <v>2385</v>
      </c>
    </row>
    <row r="1484" spans="1:16" hidden="1">
      <c r="A1484" s="2">
        <v>201912</v>
      </c>
      <c r="B1484" s="3">
        <v>43829</v>
      </c>
      <c r="C1484" s="2" t="s">
        <v>2317</v>
      </c>
      <c r="D1484" s="2" t="s">
        <v>1037</v>
      </c>
      <c r="E1484" s="2">
        <v>-200</v>
      </c>
      <c r="F1484" s="2" t="s">
        <v>59</v>
      </c>
      <c r="J1484" s="2">
        <v>200</v>
      </c>
      <c r="K1484" s="2" t="b">
        <v>0</v>
      </c>
      <c r="L1484" s="2"/>
      <c r="M1484" s="2"/>
      <c r="N1484" s="4" t="s">
        <v>2273</v>
      </c>
      <c r="O1484" s="4" t="str">
        <f>LEFT(Table2[[#This Row],[Description]],75)</f>
        <v>KAUFMAN HALL</v>
      </c>
      <c r="P1484" s="2" t="s">
        <v>2375</v>
      </c>
    </row>
    <row r="1485" spans="1:16" hidden="1">
      <c r="A1485" s="2">
        <v>201912</v>
      </c>
      <c r="B1485" s="3">
        <v>43829</v>
      </c>
      <c r="C1485" s="2" t="s">
        <v>2317</v>
      </c>
      <c r="D1485" s="2" t="s">
        <v>1037</v>
      </c>
      <c r="E1485" s="2">
        <v>-200</v>
      </c>
      <c r="F1485" s="2" t="s">
        <v>59</v>
      </c>
      <c r="J1485" s="2">
        <v>200</v>
      </c>
      <c r="K1485" s="2" t="b">
        <v>0</v>
      </c>
      <c r="L1485" s="2"/>
      <c r="M1485" s="2"/>
      <c r="N1485" s="4" t="s">
        <v>2273</v>
      </c>
      <c r="O1485" s="4" t="str">
        <f>LEFT(Table2[[#This Row],[Description]],75)</f>
        <v>KAUFMAN HALL</v>
      </c>
      <c r="P1485" s="2" t="s">
        <v>2375</v>
      </c>
    </row>
    <row r="1486" spans="1:16" hidden="1">
      <c r="A1486" s="2">
        <v>201912</v>
      </c>
      <c r="B1486" s="3">
        <v>43829</v>
      </c>
      <c r="C1486" s="2" t="s">
        <v>2265</v>
      </c>
      <c r="D1486" s="2" t="s">
        <v>1038</v>
      </c>
      <c r="E1486" s="2">
        <v>-80.260000000000005</v>
      </c>
      <c r="F1486" s="2">
        <v>0</v>
      </c>
      <c r="J1486" s="2">
        <v>80.260000000000005</v>
      </c>
      <c r="K1486" s="2" t="b">
        <v>0</v>
      </c>
      <c r="L1486" s="2"/>
      <c r="M1486" s="2"/>
      <c r="N1486" s="4" t="s">
        <v>2273</v>
      </c>
      <c r="O1486" s="4" t="str">
        <f>LEFT(Table2[[#This Row],[Description]],75)</f>
        <v>Kaufman Hall Type</v>
      </c>
      <c r="P1486" s="2"/>
    </row>
    <row r="1487" spans="1:16" hidden="1">
      <c r="A1487" s="2">
        <v>201912</v>
      </c>
      <c r="B1487" s="3">
        <v>43829</v>
      </c>
      <c r="C1487" s="2" t="s">
        <v>2267</v>
      </c>
      <c r="D1487" s="2" t="s">
        <v>1038</v>
      </c>
      <c r="E1487" s="2">
        <v>-80.260000000000005</v>
      </c>
      <c r="F1487" s="2" t="s">
        <v>9</v>
      </c>
      <c r="J1487" s="2">
        <v>80.260000000000005</v>
      </c>
      <c r="K1487" s="2" t="b">
        <v>0</v>
      </c>
      <c r="L1487" s="2"/>
      <c r="M1487" s="2"/>
      <c r="N1487" s="4" t="s">
        <v>2273</v>
      </c>
      <c r="O1487" s="4" t="str">
        <f>LEFT(Table2[[#This Row],[Description]],75)</f>
        <v>Kaufman Hall Type</v>
      </c>
      <c r="P1487" s="2" t="s">
        <v>2281</v>
      </c>
    </row>
    <row r="1488" spans="1:16" hidden="1">
      <c r="A1488" s="2">
        <v>201912</v>
      </c>
      <c r="B1488" s="3">
        <v>43829</v>
      </c>
      <c r="C1488" s="2" t="s">
        <v>2265</v>
      </c>
      <c r="D1488" s="2" t="s">
        <v>1057</v>
      </c>
      <c r="E1488" s="2">
        <v>-1152.7</v>
      </c>
      <c r="F1488" s="2" t="s">
        <v>63</v>
      </c>
      <c r="J1488" s="2">
        <v>1152.7</v>
      </c>
      <c r="K1488" s="2" t="b">
        <v>0</v>
      </c>
      <c r="L1488" s="2"/>
      <c r="M1488" s="2"/>
      <c r="N1488" s="4" t="s">
        <v>2273</v>
      </c>
      <c r="O1488" s="4" t="str">
        <f>LEFT(Table2[[#This Row],[Description]],75)</f>
        <v>KAUFMAN HALL TYPE DIRECT DEP ID CO KAUFMAN HALL ACH ECC PPD ACH Trace 58075</v>
      </c>
      <c r="P1488" s="2" t="s">
        <v>2285</v>
      </c>
    </row>
    <row r="1489" spans="1:16" hidden="1">
      <c r="A1489" s="2">
        <v>201912</v>
      </c>
      <c r="B1489" s="3">
        <v>43829</v>
      </c>
      <c r="C1489" s="2" t="s">
        <v>2267</v>
      </c>
      <c r="D1489" s="2" t="s">
        <v>1057</v>
      </c>
      <c r="E1489" s="2">
        <v>-1152.7</v>
      </c>
      <c r="F1489" s="2" t="s">
        <v>63</v>
      </c>
      <c r="J1489" s="2">
        <v>1152.7</v>
      </c>
      <c r="K1489" s="2" t="b">
        <v>0</v>
      </c>
      <c r="L1489" s="2"/>
      <c r="M1489" s="2"/>
      <c r="N1489" s="4" t="s">
        <v>2273</v>
      </c>
      <c r="O1489" s="4" t="str">
        <f>LEFT(Table2[[#This Row],[Description]],75)</f>
        <v>KAUFMAN HALL TYPE DIRECT DEP ID CO KAUFMAN HALL ACH ECC PPD ACH Trace 58075</v>
      </c>
      <c r="P1489" s="2" t="s">
        <v>2285</v>
      </c>
    </row>
    <row r="1490" spans="1:16" hidden="1">
      <c r="A1490" s="2">
        <v>201912</v>
      </c>
      <c r="B1490" s="3">
        <v>43829</v>
      </c>
      <c r="C1490" s="2" t="s">
        <v>2265</v>
      </c>
      <c r="D1490" s="2" t="s">
        <v>1060</v>
      </c>
      <c r="E1490" s="2">
        <v>-1215.3599999999999</v>
      </c>
      <c r="F1490" s="2" t="s">
        <v>63</v>
      </c>
      <c r="J1490" s="2">
        <v>1215.3599999999999</v>
      </c>
      <c r="K1490" s="2" t="b">
        <v>0</v>
      </c>
      <c r="L1490" s="2"/>
      <c r="M1490" s="2"/>
      <c r="N1490" s="4" t="s">
        <v>2273</v>
      </c>
      <c r="O1490" s="4" t="str">
        <f>LEFT(Table2[[#This Row],[Description]],75)</f>
        <v>KAUFMAN HALL TYPE DIRECT DEP ID CO KAUFMAN HALL ACH ECC PPD ACH Trace 82004</v>
      </c>
      <c r="P1490" s="2" t="s">
        <v>2285</v>
      </c>
    </row>
    <row r="1491" spans="1:16" hidden="1">
      <c r="A1491" s="2">
        <v>201912</v>
      </c>
      <c r="B1491" s="3">
        <v>43829</v>
      </c>
      <c r="C1491" s="2" t="s">
        <v>2267</v>
      </c>
      <c r="D1491" s="2" t="s">
        <v>1060</v>
      </c>
      <c r="E1491" s="2">
        <v>-1215.3599999999999</v>
      </c>
      <c r="F1491" s="2" t="s">
        <v>63</v>
      </c>
      <c r="J1491" s="2">
        <v>1215.3599999999999</v>
      </c>
      <c r="K1491" s="2" t="b">
        <v>0</v>
      </c>
      <c r="L1491" s="2"/>
      <c r="M1491" s="2"/>
      <c r="N1491" s="4" t="s">
        <v>2273</v>
      </c>
      <c r="O1491" s="4" t="str">
        <f>LEFT(Table2[[#This Row],[Description]],75)</f>
        <v>KAUFMAN HALL TYPE DIRECT DEP ID CO KAUFMAN HALL ACH ECC PPD ACH Trace 82004</v>
      </c>
      <c r="P1491" s="2" t="s">
        <v>2285</v>
      </c>
    </row>
    <row r="1492" spans="1:16" hidden="1">
      <c r="A1492" s="2">
        <v>201912</v>
      </c>
      <c r="B1492" s="3">
        <v>43829</v>
      </c>
      <c r="C1492" s="2" t="s">
        <v>2274</v>
      </c>
      <c r="D1492" s="2" t="s">
        <v>1091</v>
      </c>
      <c r="E1492" s="2">
        <v>24.05</v>
      </c>
      <c r="F1492" s="2" t="s">
        <v>21</v>
      </c>
      <c r="J1492" s="2">
        <v>24.05</v>
      </c>
      <c r="K1492" s="2" t="b">
        <v>0</v>
      </c>
      <c r="L1492" s="2"/>
      <c r="M1492" s="2"/>
      <c r="N1492" s="4" t="s">
        <v>2259</v>
      </c>
      <c r="O1492" s="4" t="str">
        <f>LEFT(Table2[[#This Row],[Description]],75)</f>
        <v>LAEDERACH CHOCOLATGENEVE, #0000001900</v>
      </c>
      <c r="P1492" s="2" t="s">
        <v>2281</v>
      </c>
    </row>
    <row r="1493" spans="1:16" hidden="1">
      <c r="A1493" s="2">
        <v>201912</v>
      </c>
      <c r="B1493" s="3">
        <v>43829</v>
      </c>
      <c r="C1493" s="2" t="s">
        <v>2262</v>
      </c>
      <c r="D1493" s="2" t="s">
        <v>1113</v>
      </c>
      <c r="E1493" s="2">
        <v>10.199999999999999</v>
      </c>
      <c r="F1493" s="2" t="s">
        <v>26</v>
      </c>
      <c r="J1493" s="2">
        <v>10.199999999999999</v>
      </c>
      <c r="K1493" s="2" t="b">
        <v>0</v>
      </c>
      <c r="L1493" s="2"/>
      <c r="M1493" s="2"/>
      <c r="N1493" s="4" t="s">
        <v>2259</v>
      </c>
      <c r="O1493" s="4" t="str">
        <f>LEFT(Table2[[#This Row],[Description]],75)</f>
        <v>LIFE TIME CAFE 151Q48 CHANHASSEN MN 272881011</v>
      </c>
      <c r="P1493" s="2" t="s">
        <v>2376</v>
      </c>
    </row>
    <row r="1494" spans="1:16" hidden="1">
      <c r="A1494" s="2">
        <v>201912</v>
      </c>
      <c r="B1494" s="3">
        <v>43829</v>
      </c>
      <c r="C1494" s="2" t="s">
        <v>2258</v>
      </c>
      <c r="D1494" s="2" t="s">
        <v>1120</v>
      </c>
      <c r="E1494" s="2">
        <v>6.44</v>
      </c>
      <c r="F1494" s="2" t="s">
        <v>26</v>
      </c>
      <c r="J1494" s="2">
        <v>6.44</v>
      </c>
      <c r="K1494" s="2" t="b">
        <v>0</v>
      </c>
      <c r="L1494" s="2"/>
      <c r="M1494" s="2"/>
      <c r="N1494" s="4" t="s">
        <v>2259</v>
      </c>
      <c r="O1494" s="4" t="str">
        <f>LEFT(Table2[[#This Row],[Description]],75)</f>
        <v>LIFE TIME CAFE 151Q48 CHANHASSEN MN01156B</v>
      </c>
      <c r="P1494" s="2" t="s">
        <v>2376</v>
      </c>
    </row>
    <row r="1495" spans="1:16" hidden="1">
      <c r="A1495" s="2">
        <v>201912</v>
      </c>
      <c r="B1495" s="3">
        <v>43829</v>
      </c>
      <c r="C1495" s="2" t="s">
        <v>2261</v>
      </c>
      <c r="D1495" s="2" t="s">
        <v>1120</v>
      </c>
      <c r="E1495" s="2">
        <v>6.44</v>
      </c>
      <c r="F1495" s="2" t="s">
        <v>26</v>
      </c>
      <c r="J1495" s="2">
        <v>6.44</v>
      </c>
      <c r="K1495" s="2" t="b">
        <v>0</v>
      </c>
      <c r="L1495" s="2"/>
      <c r="M1495" s="2"/>
      <c r="N1495" s="4" t="s">
        <v>2259</v>
      </c>
      <c r="O1495" s="4" t="str">
        <f>LEFT(Table2[[#This Row],[Description]],75)</f>
        <v>LIFE TIME CAFE 151Q48 CHANHASSEN MN01156B</v>
      </c>
      <c r="P1495" s="2" t="s">
        <v>2376</v>
      </c>
    </row>
    <row r="1496" spans="1:16" hidden="1">
      <c r="A1496" s="2">
        <v>201912</v>
      </c>
      <c r="B1496" s="3">
        <v>43829</v>
      </c>
      <c r="C1496" s="2" t="s">
        <v>2262</v>
      </c>
      <c r="D1496" s="2" t="s">
        <v>1249</v>
      </c>
      <c r="E1496" s="2">
        <v>7.51</v>
      </c>
      <c r="F1496" s="2" t="s">
        <v>21</v>
      </c>
      <c r="J1496" s="2">
        <v>7.51</v>
      </c>
      <c r="K1496" s="2" t="b">
        <v>0</v>
      </c>
      <c r="L1496" s="2"/>
      <c r="M1496" s="2"/>
      <c r="N1496" s="4" t="s">
        <v>2259</v>
      </c>
      <c r="O1496" s="4" t="str">
        <f>LEFT(Table2[[#This Row],[Description]],75)</f>
        <v>Microsoft</v>
      </c>
      <c r="P1496" s="2" t="s">
        <v>2281</v>
      </c>
    </row>
    <row r="1497" spans="1:16" hidden="1">
      <c r="A1497" s="2">
        <v>201912</v>
      </c>
      <c r="B1497" s="3">
        <v>43829</v>
      </c>
      <c r="C1497" s="2" t="s">
        <v>2258</v>
      </c>
      <c r="D1497" s="2" t="s">
        <v>1350</v>
      </c>
      <c r="E1497" s="2">
        <v>12.99</v>
      </c>
      <c r="F1497" s="2" t="s">
        <v>7</v>
      </c>
      <c r="J1497" s="2">
        <v>12.99</v>
      </c>
      <c r="K1497" s="2" t="b">
        <v>0</v>
      </c>
      <c r="L1497" s="2"/>
      <c r="M1497" s="2"/>
      <c r="N1497" s="4" t="s">
        <v>2259</v>
      </c>
      <c r="O1497" s="4" t="str">
        <f>LEFT(Table2[[#This Row],[Description]],75)</f>
        <v>Netflix</v>
      </c>
      <c r="P1497" s="2" t="s">
        <v>2306</v>
      </c>
    </row>
    <row r="1498" spans="1:16" hidden="1">
      <c r="A1498" s="2">
        <v>201912</v>
      </c>
      <c r="B1498" s="3">
        <v>43829</v>
      </c>
      <c r="C1498" s="2" t="s">
        <v>2261</v>
      </c>
      <c r="D1498" s="2" t="s">
        <v>1350</v>
      </c>
      <c r="E1498" s="2">
        <v>12.99</v>
      </c>
      <c r="F1498" s="2" t="s">
        <v>7</v>
      </c>
      <c r="J1498" s="2">
        <v>12.99</v>
      </c>
      <c r="K1498" s="2" t="b">
        <v>0</v>
      </c>
      <c r="L1498" s="2"/>
      <c r="M1498" s="2"/>
      <c r="N1498" s="4" t="s">
        <v>2259</v>
      </c>
      <c r="O1498" s="4" t="str">
        <f>LEFT(Table2[[#This Row],[Description]],75)</f>
        <v>Netflix</v>
      </c>
      <c r="P1498" s="2" t="s">
        <v>2306</v>
      </c>
    </row>
    <row r="1499" spans="1:16" hidden="1">
      <c r="A1499" s="2">
        <v>201912</v>
      </c>
      <c r="B1499" s="3">
        <v>43829</v>
      </c>
      <c r="C1499" s="2" t="s">
        <v>2265</v>
      </c>
      <c r="D1499" s="2" t="s">
        <v>1355</v>
      </c>
      <c r="E1499" s="2">
        <v>412.64</v>
      </c>
      <c r="F1499" s="2" t="s">
        <v>21</v>
      </c>
      <c r="J1499" s="2">
        <v>412.64</v>
      </c>
      <c r="K1499" s="2" t="b">
        <v>0</v>
      </c>
      <c r="L1499" s="2"/>
      <c r="M1499" s="2"/>
      <c r="N1499" s="4" t="s">
        <v>2259</v>
      </c>
      <c r="O1499" s="4" t="str">
        <f>LEFT(Table2[[#This Row],[Description]],75)</f>
        <v>Nordstrom</v>
      </c>
      <c r="P1499" s="2" t="s">
        <v>2352</v>
      </c>
    </row>
    <row r="1500" spans="1:16" hidden="1">
      <c r="A1500" s="2">
        <v>201912</v>
      </c>
      <c r="B1500" s="3">
        <v>43829</v>
      </c>
      <c r="C1500" s="2" t="s">
        <v>2267</v>
      </c>
      <c r="D1500" s="2" t="s">
        <v>1355</v>
      </c>
      <c r="E1500" s="2">
        <v>412.64</v>
      </c>
      <c r="F1500" s="2" t="s">
        <v>21</v>
      </c>
      <c r="J1500" s="2">
        <v>412.64</v>
      </c>
      <c r="K1500" s="2" t="b">
        <v>0</v>
      </c>
      <c r="L1500" s="2"/>
      <c r="M1500" s="2"/>
      <c r="N1500" s="4" t="s">
        <v>2259</v>
      </c>
      <c r="O1500" s="4" t="str">
        <f>LEFT(Table2[[#This Row],[Description]],75)</f>
        <v>Nordstrom</v>
      </c>
      <c r="P1500" s="2" t="s">
        <v>2352</v>
      </c>
    </row>
    <row r="1501" spans="1:16" hidden="1">
      <c r="A1501" s="2">
        <v>201912</v>
      </c>
      <c r="B1501" s="3">
        <v>43829</v>
      </c>
      <c r="C1501" s="2" t="s">
        <v>2262</v>
      </c>
      <c r="D1501" s="2" t="s">
        <v>1408</v>
      </c>
      <c r="E1501" s="2">
        <v>45</v>
      </c>
      <c r="F1501" s="2" t="s">
        <v>21</v>
      </c>
      <c r="J1501" s="2">
        <v>45</v>
      </c>
      <c r="K1501" s="2" t="b">
        <v>0</v>
      </c>
      <c r="L1501" s="2"/>
      <c r="M1501" s="2"/>
      <c r="N1501" s="4" t="s">
        <v>2259</v>
      </c>
      <c r="O1501" s="4" t="str">
        <f>LEFT(Table2[[#This Row],[Description]],75)</f>
        <v>Patagonia</v>
      </c>
      <c r="P1501" s="2" t="s">
        <v>2436</v>
      </c>
    </row>
    <row r="1502" spans="1:16" hidden="1">
      <c r="A1502" s="2">
        <v>201912</v>
      </c>
      <c r="B1502" s="3">
        <v>43829</v>
      </c>
      <c r="C1502" s="2" t="s">
        <v>2265</v>
      </c>
      <c r="D1502" s="2" t="s">
        <v>1471</v>
      </c>
      <c r="E1502" s="2">
        <v>16.989999999999998</v>
      </c>
      <c r="F1502" s="2" t="s">
        <v>21</v>
      </c>
      <c r="J1502" s="2">
        <v>16.989999999999998</v>
      </c>
      <c r="K1502" s="2" t="b">
        <v>0</v>
      </c>
      <c r="L1502" s="2"/>
      <c r="M1502" s="2"/>
      <c r="N1502" s="4" t="s">
        <v>2259</v>
      </c>
      <c r="O1502" s="4" t="str">
        <f>LEFT(Table2[[#This Row],[Description]],75)</f>
        <v>PayPal</v>
      </c>
      <c r="P1502" s="2" t="s">
        <v>2322</v>
      </c>
    </row>
    <row r="1503" spans="1:16" hidden="1">
      <c r="A1503" s="2">
        <v>201912</v>
      </c>
      <c r="B1503" s="3">
        <v>43829</v>
      </c>
      <c r="C1503" s="2" t="s">
        <v>2265</v>
      </c>
      <c r="D1503" s="2" t="s">
        <v>1471</v>
      </c>
      <c r="E1503" s="2">
        <v>12.99</v>
      </c>
      <c r="F1503" s="2" t="s">
        <v>21</v>
      </c>
      <c r="J1503" s="2">
        <v>12.99</v>
      </c>
      <c r="K1503" s="2" t="b">
        <v>0</v>
      </c>
      <c r="L1503" s="2"/>
      <c r="M1503" s="2"/>
      <c r="N1503" s="4" t="s">
        <v>2259</v>
      </c>
      <c r="O1503" s="4" t="str">
        <f>LEFT(Table2[[#This Row],[Description]],75)</f>
        <v>PayPal</v>
      </c>
      <c r="P1503" s="2" t="s">
        <v>2322</v>
      </c>
    </row>
    <row r="1504" spans="1:16" hidden="1">
      <c r="A1504" s="2">
        <v>201912</v>
      </c>
      <c r="B1504" s="3">
        <v>43829</v>
      </c>
      <c r="C1504" s="2" t="s">
        <v>2265</v>
      </c>
      <c r="D1504" s="2" t="s">
        <v>1471</v>
      </c>
      <c r="E1504" s="2">
        <v>43.5</v>
      </c>
      <c r="F1504" s="2" t="s">
        <v>21</v>
      </c>
      <c r="J1504" s="2">
        <v>43.5</v>
      </c>
      <c r="K1504" s="2" t="b">
        <v>0</v>
      </c>
      <c r="L1504" s="2"/>
      <c r="M1504" s="2"/>
      <c r="N1504" s="4" t="s">
        <v>2259</v>
      </c>
      <c r="O1504" s="4" t="str">
        <f>LEFT(Table2[[#This Row],[Description]],75)</f>
        <v>PayPal</v>
      </c>
      <c r="P1504" s="2" t="s">
        <v>2322</v>
      </c>
    </row>
    <row r="1505" spans="1:16" hidden="1">
      <c r="A1505" s="2">
        <v>201912</v>
      </c>
      <c r="B1505" s="3">
        <v>43829</v>
      </c>
      <c r="C1505" s="2" t="s">
        <v>2265</v>
      </c>
      <c r="D1505" s="2" t="s">
        <v>1471</v>
      </c>
      <c r="E1505" s="2">
        <v>4.5</v>
      </c>
      <c r="F1505" s="2" t="s">
        <v>21</v>
      </c>
      <c r="J1505" s="2">
        <v>4.5</v>
      </c>
      <c r="K1505" s="2" t="b">
        <v>0</v>
      </c>
      <c r="L1505" s="2"/>
      <c r="M1505" s="2"/>
      <c r="N1505" s="4" t="s">
        <v>2259</v>
      </c>
      <c r="O1505" s="4" t="str">
        <f>LEFT(Table2[[#This Row],[Description]],75)</f>
        <v>PayPal</v>
      </c>
      <c r="P1505" s="2" t="s">
        <v>2322</v>
      </c>
    </row>
    <row r="1506" spans="1:16" hidden="1">
      <c r="A1506" s="2">
        <v>201912</v>
      </c>
      <c r="B1506" s="3">
        <v>43829</v>
      </c>
      <c r="C1506" s="2" t="s">
        <v>2265</v>
      </c>
      <c r="D1506" s="2" t="s">
        <v>1471</v>
      </c>
      <c r="E1506" s="2">
        <v>3.25</v>
      </c>
      <c r="F1506" s="2" t="s">
        <v>21</v>
      </c>
      <c r="J1506" s="2">
        <v>3.25</v>
      </c>
      <c r="K1506" s="2" t="b">
        <v>0</v>
      </c>
      <c r="L1506" s="2"/>
      <c r="M1506" s="2"/>
      <c r="N1506" s="4" t="s">
        <v>2259</v>
      </c>
      <c r="O1506" s="4" t="str">
        <f>LEFT(Table2[[#This Row],[Description]],75)</f>
        <v>PayPal</v>
      </c>
      <c r="P1506" s="2" t="s">
        <v>2322</v>
      </c>
    </row>
    <row r="1507" spans="1:16" hidden="1">
      <c r="A1507" s="2">
        <v>201912</v>
      </c>
      <c r="B1507" s="3">
        <v>43829</v>
      </c>
      <c r="C1507" s="2" t="s">
        <v>2265</v>
      </c>
      <c r="D1507" s="2" t="s">
        <v>1471</v>
      </c>
      <c r="E1507" s="2">
        <v>10.99</v>
      </c>
      <c r="F1507" s="2" t="s">
        <v>21</v>
      </c>
      <c r="J1507" s="2">
        <v>10.99</v>
      </c>
      <c r="K1507" s="2" t="b">
        <v>0</v>
      </c>
      <c r="L1507" s="2"/>
      <c r="M1507" s="2"/>
      <c r="N1507" s="4" t="s">
        <v>2259</v>
      </c>
      <c r="O1507" s="4" t="str">
        <f>LEFT(Table2[[#This Row],[Description]],75)</f>
        <v>PayPal</v>
      </c>
      <c r="P1507" s="2" t="s">
        <v>2322</v>
      </c>
    </row>
    <row r="1508" spans="1:16" hidden="1">
      <c r="A1508" s="2">
        <v>201912</v>
      </c>
      <c r="B1508" s="3">
        <v>43829</v>
      </c>
      <c r="C1508" s="2" t="s">
        <v>2265</v>
      </c>
      <c r="D1508" s="2" t="s">
        <v>1471</v>
      </c>
      <c r="E1508" s="2">
        <v>14.99</v>
      </c>
      <c r="F1508" s="2" t="s">
        <v>21</v>
      </c>
      <c r="J1508" s="2">
        <v>14.99</v>
      </c>
      <c r="K1508" s="2" t="b">
        <v>0</v>
      </c>
      <c r="L1508" s="2"/>
      <c r="M1508" s="2"/>
      <c r="N1508" s="4" t="s">
        <v>2259</v>
      </c>
      <c r="O1508" s="4" t="str">
        <f>LEFT(Table2[[#This Row],[Description]],75)</f>
        <v>PayPal</v>
      </c>
      <c r="P1508" s="2" t="s">
        <v>2322</v>
      </c>
    </row>
    <row r="1509" spans="1:16" hidden="1">
      <c r="A1509" s="2">
        <v>201912</v>
      </c>
      <c r="B1509" s="3">
        <v>43829</v>
      </c>
      <c r="C1509" s="2" t="s">
        <v>2267</v>
      </c>
      <c r="D1509" s="2" t="s">
        <v>1471</v>
      </c>
      <c r="E1509" s="2">
        <v>16.989999999999998</v>
      </c>
      <c r="F1509" s="2" t="s">
        <v>21</v>
      </c>
      <c r="J1509" s="2">
        <v>16.989999999999998</v>
      </c>
      <c r="K1509" s="2" t="b">
        <v>0</v>
      </c>
      <c r="L1509" s="2"/>
      <c r="M1509" s="2"/>
      <c r="N1509" s="4" t="s">
        <v>2259</v>
      </c>
      <c r="O1509" s="4" t="str">
        <f>LEFT(Table2[[#This Row],[Description]],75)</f>
        <v>PayPal</v>
      </c>
      <c r="P1509" s="2" t="s">
        <v>2322</v>
      </c>
    </row>
    <row r="1510" spans="1:16" hidden="1">
      <c r="A1510" s="2">
        <v>201912</v>
      </c>
      <c r="B1510" s="3">
        <v>43829</v>
      </c>
      <c r="C1510" s="2" t="s">
        <v>2267</v>
      </c>
      <c r="D1510" s="2" t="s">
        <v>1471</v>
      </c>
      <c r="E1510" s="2">
        <v>12.99</v>
      </c>
      <c r="F1510" s="2" t="s">
        <v>21</v>
      </c>
      <c r="J1510" s="2">
        <v>12.99</v>
      </c>
      <c r="K1510" s="2" t="b">
        <v>0</v>
      </c>
      <c r="L1510" s="2"/>
      <c r="M1510" s="2"/>
      <c r="N1510" s="4" t="s">
        <v>2259</v>
      </c>
      <c r="O1510" s="4" t="str">
        <f>LEFT(Table2[[#This Row],[Description]],75)</f>
        <v>PayPal</v>
      </c>
      <c r="P1510" s="2" t="s">
        <v>2322</v>
      </c>
    </row>
    <row r="1511" spans="1:16" hidden="1">
      <c r="A1511" s="2">
        <v>201912</v>
      </c>
      <c r="B1511" s="3">
        <v>43829</v>
      </c>
      <c r="C1511" s="2" t="s">
        <v>2267</v>
      </c>
      <c r="D1511" s="2" t="s">
        <v>1471</v>
      </c>
      <c r="E1511" s="2">
        <v>43.5</v>
      </c>
      <c r="F1511" s="2" t="s">
        <v>21</v>
      </c>
      <c r="J1511" s="2">
        <v>43.5</v>
      </c>
      <c r="K1511" s="2" t="b">
        <v>0</v>
      </c>
      <c r="L1511" s="2"/>
      <c r="M1511" s="2"/>
      <c r="N1511" s="4" t="s">
        <v>2259</v>
      </c>
      <c r="O1511" s="4" t="str">
        <f>LEFT(Table2[[#This Row],[Description]],75)</f>
        <v>PayPal</v>
      </c>
      <c r="P1511" s="2" t="s">
        <v>2322</v>
      </c>
    </row>
    <row r="1512" spans="1:16" hidden="1">
      <c r="A1512" s="2">
        <v>201912</v>
      </c>
      <c r="B1512" s="3">
        <v>43829</v>
      </c>
      <c r="C1512" s="2" t="s">
        <v>2267</v>
      </c>
      <c r="D1512" s="2" t="s">
        <v>1471</v>
      </c>
      <c r="E1512" s="2">
        <v>4.5</v>
      </c>
      <c r="F1512" s="2" t="s">
        <v>21</v>
      </c>
      <c r="J1512" s="2">
        <v>4.5</v>
      </c>
      <c r="K1512" s="2" t="b">
        <v>0</v>
      </c>
      <c r="L1512" s="2"/>
      <c r="M1512" s="2"/>
      <c r="N1512" s="4" t="s">
        <v>2259</v>
      </c>
      <c r="O1512" s="4" t="str">
        <f>LEFT(Table2[[#This Row],[Description]],75)</f>
        <v>PayPal</v>
      </c>
      <c r="P1512" s="2" t="s">
        <v>2322</v>
      </c>
    </row>
    <row r="1513" spans="1:16" hidden="1">
      <c r="A1513" s="2">
        <v>201912</v>
      </c>
      <c r="B1513" s="3">
        <v>43829</v>
      </c>
      <c r="C1513" s="2" t="s">
        <v>2267</v>
      </c>
      <c r="D1513" s="2" t="s">
        <v>1471</v>
      </c>
      <c r="E1513" s="2">
        <v>3.25</v>
      </c>
      <c r="F1513" s="2" t="s">
        <v>21</v>
      </c>
      <c r="J1513" s="2">
        <v>3.25</v>
      </c>
      <c r="K1513" s="2" t="b">
        <v>0</v>
      </c>
      <c r="L1513" s="2"/>
      <c r="M1513" s="2"/>
      <c r="N1513" s="4" t="s">
        <v>2259</v>
      </c>
      <c r="O1513" s="4" t="str">
        <f>LEFT(Table2[[#This Row],[Description]],75)</f>
        <v>PayPal</v>
      </c>
      <c r="P1513" s="2" t="s">
        <v>2322</v>
      </c>
    </row>
    <row r="1514" spans="1:16" hidden="1">
      <c r="A1514" s="2">
        <v>201912</v>
      </c>
      <c r="B1514" s="3">
        <v>43829</v>
      </c>
      <c r="C1514" s="2" t="s">
        <v>2267</v>
      </c>
      <c r="D1514" s="2" t="s">
        <v>1471</v>
      </c>
      <c r="E1514" s="2">
        <v>10.99</v>
      </c>
      <c r="F1514" s="2" t="s">
        <v>21</v>
      </c>
      <c r="J1514" s="2">
        <v>10.99</v>
      </c>
      <c r="K1514" s="2" t="b">
        <v>0</v>
      </c>
      <c r="L1514" s="2"/>
      <c r="M1514" s="2"/>
      <c r="N1514" s="4" t="s">
        <v>2259</v>
      </c>
      <c r="O1514" s="4" t="str">
        <f>LEFT(Table2[[#This Row],[Description]],75)</f>
        <v>PayPal</v>
      </c>
      <c r="P1514" s="2" t="s">
        <v>2322</v>
      </c>
    </row>
    <row r="1515" spans="1:16" hidden="1">
      <c r="A1515" s="2">
        <v>201912</v>
      </c>
      <c r="B1515" s="3">
        <v>43829</v>
      </c>
      <c r="C1515" s="2" t="s">
        <v>2267</v>
      </c>
      <c r="D1515" s="2" t="s">
        <v>1471</v>
      </c>
      <c r="E1515" s="2">
        <v>14.99</v>
      </c>
      <c r="F1515" s="2" t="s">
        <v>21</v>
      </c>
      <c r="J1515" s="2">
        <v>14.99</v>
      </c>
      <c r="K1515" s="2" t="b">
        <v>0</v>
      </c>
      <c r="L1515" s="2"/>
      <c r="M1515" s="2"/>
      <c r="N1515" s="4" t="s">
        <v>2259</v>
      </c>
      <c r="O1515" s="4" t="str">
        <f>LEFT(Table2[[#This Row],[Description]],75)</f>
        <v>PayPal</v>
      </c>
      <c r="P1515" s="2" t="s">
        <v>2322</v>
      </c>
    </row>
    <row r="1516" spans="1:16" hidden="1">
      <c r="A1516" s="2">
        <v>201912</v>
      </c>
      <c r="B1516" s="3">
        <v>43829</v>
      </c>
      <c r="C1516" s="2" t="s">
        <v>2262</v>
      </c>
      <c r="D1516" s="2" t="s">
        <v>1495</v>
      </c>
      <c r="E1516" s="2">
        <v>104.07</v>
      </c>
      <c r="F1516" s="2" t="s">
        <v>21</v>
      </c>
      <c r="J1516" s="2">
        <v>104.07</v>
      </c>
      <c r="K1516" s="2" t="b">
        <v>0</v>
      </c>
      <c r="L1516" s="2"/>
      <c r="M1516" s="2"/>
      <c r="N1516" s="4" t="s">
        <v>2259</v>
      </c>
      <c r="O1516" s="4" t="str">
        <f>LEFT(Table2[[#This Row],[Description]],75)</f>
        <v>Play It Again Sports</v>
      </c>
      <c r="P1516" s="2" t="s">
        <v>2437</v>
      </c>
    </row>
    <row r="1517" spans="1:16" hidden="1">
      <c r="A1517" s="2">
        <v>201912</v>
      </c>
      <c r="B1517" s="3">
        <v>43829</v>
      </c>
      <c r="C1517" s="2" t="s">
        <v>2262</v>
      </c>
      <c r="D1517" s="2" t="s">
        <v>1508</v>
      </c>
      <c r="E1517" s="2">
        <v>-29.17</v>
      </c>
      <c r="F1517" s="2" t="s">
        <v>21</v>
      </c>
      <c r="J1517" s="2">
        <v>29.17</v>
      </c>
      <c r="K1517" s="2" t="b">
        <v>0</v>
      </c>
      <c r="L1517" s="2"/>
      <c r="M1517" s="2"/>
      <c r="N1517" s="4" t="s">
        <v>2273</v>
      </c>
      <c r="O1517" s="4" t="str">
        <f>LEFT(Table2[[#This Row],[Description]],75)</f>
        <v>Pottery Barn</v>
      </c>
      <c r="P1517" s="2" t="s">
        <v>2438</v>
      </c>
    </row>
    <row r="1518" spans="1:16" hidden="1">
      <c r="A1518" s="2">
        <v>201912</v>
      </c>
      <c r="B1518" s="3">
        <v>43829</v>
      </c>
      <c r="C1518" s="2" t="s">
        <v>2258</v>
      </c>
      <c r="D1518" s="2" t="s">
        <v>1605</v>
      </c>
      <c r="E1518" s="2">
        <v>3.2</v>
      </c>
      <c r="F1518" s="2">
        <v>0</v>
      </c>
      <c r="J1518" s="2">
        <v>3.2</v>
      </c>
      <c r="K1518" s="2" t="b">
        <v>0</v>
      </c>
      <c r="L1518" s="2"/>
      <c r="M1518" s="2"/>
      <c r="N1518" s="4" t="s">
        <v>2259</v>
      </c>
      <c r="O1518" s="4" t="str">
        <f>LEFT(Table2[[#This Row],[Description]],75)</f>
        <v>RUBY'S ROOST BAKER VICTORIA MN0001152921508944</v>
      </c>
      <c r="P1518" s="2"/>
    </row>
    <row r="1519" spans="1:16" hidden="1">
      <c r="A1519" s="2">
        <v>201912</v>
      </c>
      <c r="B1519" s="3">
        <v>43829</v>
      </c>
      <c r="C1519" s="2" t="s">
        <v>2261</v>
      </c>
      <c r="D1519" s="2" t="s">
        <v>1605</v>
      </c>
      <c r="E1519" s="2">
        <v>3.2</v>
      </c>
      <c r="F1519" s="2" t="s">
        <v>26</v>
      </c>
      <c r="J1519" s="2">
        <v>3.2</v>
      </c>
      <c r="K1519" s="2" t="b">
        <v>0</v>
      </c>
      <c r="L1519" s="2"/>
      <c r="M1519" s="2"/>
      <c r="N1519" s="4" t="s">
        <v>2259</v>
      </c>
      <c r="O1519" s="4" t="str">
        <f>LEFT(Table2[[#This Row],[Description]],75)</f>
        <v>RUBY'S ROOST BAKER VICTORIA MN0001152921508944</v>
      </c>
      <c r="P1519" s="2" t="s">
        <v>2281</v>
      </c>
    </row>
    <row r="1520" spans="1:16" hidden="1">
      <c r="A1520" s="2">
        <v>201912</v>
      </c>
      <c r="B1520" s="3">
        <v>43829</v>
      </c>
      <c r="C1520" s="2" t="s">
        <v>2355</v>
      </c>
      <c r="D1520" s="2" t="s">
        <v>1633</v>
      </c>
      <c r="E1520" s="2">
        <v>-11.4</v>
      </c>
      <c r="F1520" s="2">
        <v>0</v>
      </c>
      <c r="J1520" s="2">
        <v>11.4</v>
      </c>
      <c r="K1520" s="2" t="b">
        <v>0</v>
      </c>
      <c r="L1520" s="2"/>
      <c r="M1520" s="2"/>
      <c r="N1520" s="4" t="s">
        <v>2273</v>
      </c>
      <c r="O1520" s="4" t="str">
        <f>LEFT(Table2[[#This Row],[Description]],75)</f>
        <v>SCHWAB S&amp;P 500 INDEX FD</v>
      </c>
      <c r="P1520" s="2"/>
    </row>
    <row r="1521" spans="1:16" hidden="1">
      <c r="A1521" s="2">
        <v>201912</v>
      </c>
      <c r="B1521" s="3">
        <v>43829</v>
      </c>
      <c r="C1521" s="2" t="s">
        <v>2277</v>
      </c>
      <c r="D1521" s="2" t="s">
        <v>1633</v>
      </c>
      <c r="E1521" s="2">
        <v>-11.4</v>
      </c>
      <c r="F1521" s="2">
        <v>0</v>
      </c>
      <c r="J1521" s="2">
        <v>11.4</v>
      </c>
      <c r="K1521" s="2" t="b">
        <v>0</v>
      </c>
      <c r="L1521" s="2"/>
      <c r="M1521" s="2"/>
      <c r="N1521" s="4" t="s">
        <v>2273</v>
      </c>
      <c r="O1521" s="4" t="str">
        <f>LEFT(Table2[[#This Row],[Description]],75)</f>
        <v>SCHWAB S&amp;P 500 INDEX FD</v>
      </c>
      <c r="P1521" s="2"/>
    </row>
    <row r="1522" spans="1:16" hidden="1">
      <c r="A1522" s="2">
        <v>201912</v>
      </c>
      <c r="B1522" s="3">
        <v>43829</v>
      </c>
      <c r="C1522" s="2" t="s">
        <v>2355</v>
      </c>
      <c r="D1522" s="2" t="s">
        <v>1633</v>
      </c>
      <c r="E1522" s="2">
        <v>11.4</v>
      </c>
      <c r="F1522" s="2" t="s">
        <v>9</v>
      </c>
      <c r="J1522" s="2">
        <v>11.4</v>
      </c>
      <c r="K1522" s="2" t="b">
        <v>0</v>
      </c>
      <c r="L1522" s="2"/>
      <c r="M1522" s="2"/>
      <c r="N1522" s="4" t="s">
        <v>2259</v>
      </c>
      <c r="O1522" s="4" t="str">
        <f>LEFT(Table2[[#This Row],[Description]],75)</f>
        <v>SCHWAB S&amp;P 500 INDEX FD</v>
      </c>
      <c r="P1522" s="2" t="s">
        <v>2276</v>
      </c>
    </row>
    <row r="1523" spans="1:16" hidden="1">
      <c r="A1523" s="2">
        <v>201912</v>
      </c>
      <c r="B1523" s="3">
        <v>43829</v>
      </c>
      <c r="C1523" s="2" t="s">
        <v>2277</v>
      </c>
      <c r="D1523" s="2" t="s">
        <v>1633</v>
      </c>
      <c r="E1523" s="2">
        <v>11.4</v>
      </c>
      <c r="F1523" s="2" t="s">
        <v>9</v>
      </c>
      <c r="J1523" s="2">
        <v>11.4</v>
      </c>
      <c r="K1523" s="2" t="b">
        <v>0</v>
      </c>
      <c r="L1523" s="2"/>
      <c r="M1523" s="2"/>
      <c r="N1523" s="4" t="s">
        <v>2259</v>
      </c>
      <c r="O1523" s="4" t="str">
        <f>LEFT(Table2[[#This Row],[Description]],75)</f>
        <v>SCHWAB S&amp;P 500 INDEX FD</v>
      </c>
      <c r="P1523" s="2" t="s">
        <v>2276</v>
      </c>
    </row>
    <row r="1524" spans="1:16" hidden="1">
      <c r="A1524" s="2">
        <v>201912</v>
      </c>
      <c r="B1524" s="3">
        <v>43829</v>
      </c>
      <c r="C1524" s="2" t="s">
        <v>2275</v>
      </c>
      <c r="D1524" s="2" t="s">
        <v>1633</v>
      </c>
      <c r="E1524" s="2">
        <v>-11.5</v>
      </c>
      <c r="F1524" s="2">
        <v>0</v>
      </c>
      <c r="J1524" s="2">
        <v>11.5</v>
      </c>
      <c r="K1524" s="2" t="b">
        <v>0</v>
      </c>
      <c r="L1524" s="2"/>
      <c r="M1524" s="2"/>
      <c r="N1524" s="4" t="s">
        <v>2273</v>
      </c>
      <c r="O1524" s="4" t="str">
        <f>LEFT(Table2[[#This Row],[Description]],75)</f>
        <v>SCHWAB S&amp;P 500 INDEX FD</v>
      </c>
      <c r="P1524" s="2"/>
    </row>
    <row r="1525" spans="1:16" hidden="1">
      <c r="A1525" s="2">
        <v>201912</v>
      </c>
      <c r="B1525" s="3">
        <v>43829</v>
      </c>
      <c r="C1525" s="2" t="s">
        <v>2277</v>
      </c>
      <c r="D1525" s="2" t="s">
        <v>1633</v>
      </c>
      <c r="E1525" s="2">
        <v>-11.5</v>
      </c>
      <c r="F1525" s="2">
        <v>0</v>
      </c>
      <c r="J1525" s="2">
        <v>11.5</v>
      </c>
      <c r="K1525" s="2" t="b">
        <v>0</v>
      </c>
      <c r="L1525" s="2"/>
      <c r="M1525" s="2"/>
      <c r="N1525" s="4" t="s">
        <v>2273</v>
      </c>
      <c r="O1525" s="4" t="str">
        <f>LEFT(Table2[[#This Row],[Description]],75)</f>
        <v>SCHWAB S&amp;P 500 INDEX FD</v>
      </c>
      <c r="P1525" s="2"/>
    </row>
    <row r="1526" spans="1:16" hidden="1">
      <c r="A1526" s="2">
        <v>201912</v>
      </c>
      <c r="B1526" s="3">
        <v>43829</v>
      </c>
      <c r="C1526" s="2" t="s">
        <v>2275</v>
      </c>
      <c r="D1526" s="2" t="s">
        <v>1633</v>
      </c>
      <c r="E1526" s="2">
        <v>11.5</v>
      </c>
      <c r="F1526" s="2" t="s">
        <v>9</v>
      </c>
      <c r="J1526" s="2">
        <v>11.5</v>
      </c>
      <c r="K1526" s="2" t="b">
        <v>0</v>
      </c>
      <c r="L1526" s="2"/>
      <c r="M1526" s="2"/>
      <c r="N1526" s="4" t="s">
        <v>2259</v>
      </c>
      <c r="O1526" s="4" t="str">
        <f>LEFT(Table2[[#This Row],[Description]],75)</f>
        <v>SCHWAB S&amp;P 500 INDEX FD</v>
      </c>
      <c r="P1526" s="2" t="s">
        <v>2276</v>
      </c>
    </row>
    <row r="1527" spans="1:16" hidden="1">
      <c r="A1527" s="2">
        <v>201912</v>
      </c>
      <c r="B1527" s="3">
        <v>43829</v>
      </c>
      <c r="C1527" s="2" t="s">
        <v>2277</v>
      </c>
      <c r="D1527" s="2" t="s">
        <v>1633</v>
      </c>
      <c r="E1527" s="2">
        <v>11.5</v>
      </c>
      <c r="F1527" s="2" t="s">
        <v>9</v>
      </c>
      <c r="J1527" s="2">
        <v>11.5</v>
      </c>
      <c r="K1527" s="2" t="b">
        <v>0</v>
      </c>
      <c r="L1527" s="2"/>
      <c r="M1527" s="2"/>
      <c r="N1527" s="4" t="s">
        <v>2259</v>
      </c>
      <c r="O1527" s="4" t="str">
        <f>LEFT(Table2[[#This Row],[Description]],75)</f>
        <v>SCHWAB S&amp;P 500 INDEX FD</v>
      </c>
      <c r="P1527" s="2" t="s">
        <v>2276</v>
      </c>
    </row>
    <row r="1528" spans="1:16" hidden="1">
      <c r="A1528" s="2">
        <v>201912</v>
      </c>
      <c r="B1528" s="3">
        <v>43829</v>
      </c>
      <c r="C1528" s="2" t="s">
        <v>2355</v>
      </c>
      <c r="D1528" s="2" t="s">
        <v>1633</v>
      </c>
      <c r="E1528" s="2">
        <v>-111.72</v>
      </c>
      <c r="F1528" s="2">
        <v>0</v>
      </c>
      <c r="J1528" s="2">
        <v>111.72</v>
      </c>
      <c r="K1528" s="2" t="b">
        <v>0</v>
      </c>
      <c r="L1528" s="2"/>
      <c r="M1528" s="2"/>
      <c r="N1528" s="4" t="s">
        <v>2273</v>
      </c>
      <c r="O1528" s="4" t="str">
        <f>LEFT(Table2[[#This Row],[Description]],75)</f>
        <v>SCHWAB S&amp;P 500 INDEX FD</v>
      </c>
      <c r="P1528" s="2"/>
    </row>
    <row r="1529" spans="1:16" hidden="1">
      <c r="A1529" s="2">
        <v>201912</v>
      </c>
      <c r="B1529" s="3">
        <v>43829</v>
      </c>
      <c r="C1529" s="2" t="s">
        <v>2277</v>
      </c>
      <c r="D1529" s="2" t="s">
        <v>1633</v>
      </c>
      <c r="E1529" s="2">
        <v>-111.72</v>
      </c>
      <c r="F1529" s="2">
        <v>0</v>
      </c>
      <c r="J1529" s="2">
        <v>111.72</v>
      </c>
      <c r="K1529" s="2" t="b">
        <v>0</v>
      </c>
      <c r="L1529" s="2"/>
      <c r="M1529" s="2"/>
      <c r="N1529" s="4" t="s">
        <v>2273</v>
      </c>
      <c r="O1529" s="4" t="str">
        <f>LEFT(Table2[[#This Row],[Description]],75)</f>
        <v>SCHWAB S&amp;P 500 INDEX FD</v>
      </c>
      <c r="P1529" s="2"/>
    </row>
    <row r="1530" spans="1:16" hidden="1">
      <c r="A1530" s="2">
        <v>201912</v>
      </c>
      <c r="B1530" s="3">
        <v>43829</v>
      </c>
      <c r="C1530" s="2" t="s">
        <v>2355</v>
      </c>
      <c r="D1530" s="2" t="s">
        <v>1633</v>
      </c>
      <c r="E1530" s="2">
        <v>111.72</v>
      </c>
      <c r="F1530" s="2" t="s">
        <v>9</v>
      </c>
      <c r="J1530" s="2">
        <v>111.72</v>
      </c>
      <c r="K1530" s="2" t="b">
        <v>0</v>
      </c>
      <c r="L1530" s="2"/>
      <c r="M1530" s="2"/>
      <c r="N1530" s="4" t="s">
        <v>2259</v>
      </c>
      <c r="O1530" s="4" t="str">
        <f>LEFT(Table2[[#This Row],[Description]],75)</f>
        <v>SCHWAB S&amp;P 500 INDEX FD</v>
      </c>
      <c r="P1530" s="2" t="s">
        <v>2276</v>
      </c>
    </row>
    <row r="1531" spans="1:16" hidden="1">
      <c r="A1531" s="2">
        <v>201912</v>
      </c>
      <c r="B1531" s="3">
        <v>43829</v>
      </c>
      <c r="C1531" s="2" t="s">
        <v>2277</v>
      </c>
      <c r="D1531" s="2" t="s">
        <v>1633</v>
      </c>
      <c r="E1531" s="2">
        <v>111.72</v>
      </c>
      <c r="F1531" s="2" t="s">
        <v>9</v>
      </c>
      <c r="J1531" s="2">
        <v>111.72</v>
      </c>
      <c r="K1531" s="2" t="b">
        <v>0</v>
      </c>
      <c r="L1531" s="2"/>
      <c r="M1531" s="2"/>
      <c r="N1531" s="4" t="s">
        <v>2259</v>
      </c>
      <c r="O1531" s="4" t="str">
        <f>LEFT(Table2[[#This Row],[Description]],75)</f>
        <v>SCHWAB S&amp;P 500 INDEX FD</v>
      </c>
      <c r="P1531" s="2" t="s">
        <v>2276</v>
      </c>
    </row>
    <row r="1532" spans="1:16" hidden="1">
      <c r="A1532" s="2">
        <v>201912</v>
      </c>
      <c r="B1532" s="3">
        <v>43829</v>
      </c>
      <c r="C1532" s="2" t="s">
        <v>2275</v>
      </c>
      <c r="D1532" s="2" t="s">
        <v>1633</v>
      </c>
      <c r="E1532" s="2">
        <v>-112.78</v>
      </c>
      <c r="F1532" s="2">
        <v>0</v>
      </c>
      <c r="J1532" s="2">
        <v>112.78</v>
      </c>
      <c r="K1532" s="2" t="b">
        <v>0</v>
      </c>
      <c r="L1532" s="2"/>
      <c r="M1532" s="2"/>
      <c r="N1532" s="4" t="s">
        <v>2273</v>
      </c>
      <c r="O1532" s="4" t="str">
        <f>LEFT(Table2[[#This Row],[Description]],75)</f>
        <v>SCHWAB S&amp;P 500 INDEX FD</v>
      </c>
      <c r="P1532" s="2"/>
    </row>
    <row r="1533" spans="1:16" hidden="1">
      <c r="A1533" s="2">
        <v>201912</v>
      </c>
      <c r="B1533" s="3">
        <v>43829</v>
      </c>
      <c r="C1533" s="2" t="s">
        <v>2277</v>
      </c>
      <c r="D1533" s="2" t="s">
        <v>1633</v>
      </c>
      <c r="E1533" s="2">
        <v>-112.78</v>
      </c>
      <c r="F1533" s="2">
        <v>0</v>
      </c>
      <c r="J1533" s="2">
        <v>112.78</v>
      </c>
      <c r="K1533" s="2" t="b">
        <v>0</v>
      </c>
      <c r="L1533" s="2"/>
      <c r="M1533" s="2"/>
      <c r="N1533" s="4" t="s">
        <v>2273</v>
      </c>
      <c r="O1533" s="4" t="str">
        <f>LEFT(Table2[[#This Row],[Description]],75)</f>
        <v>SCHWAB S&amp;P 500 INDEX FD</v>
      </c>
      <c r="P1533" s="2"/>
    </row>
    <row r="1534" spans="1:16" hidden="1">
      <c r="A1534" s="2">
        <v>201912</v>
      </c>
      <c r="B1534" s="3">
        <v>43829</v>
      </c>
      <c r="C1534" s="2" t="s">
        <v>2275</v>
      </c>
      <c r="D1534" s="2" t="s">
        <v>1633</v>
      </c>
      <c r="E1534" s="2">
        <v>112.78</v>
      </c>
      <c r="F1534" s="2" t="s">
        <v>9</v>
      </c>
      <c r="J1534" s="2">
        <v>112.78</v>
      </c>
      <c r="K1534" s="2" t="b">
        <v>0</v>
      </c>
      <c r="L1534" s="2"/>
      <c r="M1534" s="2"/>
      <c r="N1534" s="4" t="s">
        <v>2259</v>
      </c>
      <c r="O1534" s="4" t="str">
        <f>LEFT(Table2[[#This Row],[Description]],75)</f>
        <v>SCHWAB S&amp;P 500 INDEX FD</v>
      </c>
      <c r="P1534" s="2" t="s">
        <v>2276</v>
      </c>
    </row>
    <row r="1535" spans="1:16" hidden="1">
      <c r="A1535" s="2">
        <v>201912</v>
      </c>
      <c r="B1535" s="3">
        <v>43829</v>
      </c>
      <c r="C1535" s="2" t="s">
        <v>2277</v>
      </c>
      <c r="D1535" s="2" t="s">
        <v>1633</v>
      </c>
      <c r="E1535" s="2">
        <v>112.78</v>
      </c>
      <c r="F1535" s="2" t="s">
        <v>9</v>
      </c>
      <c r="J1535" s="2">
        <v>112.78</v>
      </c>
      <c r="K1535" s="2" t="b">
        <v>0</v>
      </c>
      <c r="L1535" s="2"/>
      <c r="M1535" s="2"/>
      <c r="N1535" s="4" t="s">
        <v>2259</v>
      </c>
      <c r="O1535" s="4" t="str">
        <f>LEFT(Table2[[#This Row],[Description]],75)</f>
        <v>SCHWAB S&amp;P 500 INDEX FD</v>
      </c>
      <c r="P1535" s="2" t="s">
        <v>2276</v>
      </c>
    </row>
    <row r="1536" spans="1:16" hidden="1">
      <c r="A1536" s="2">
        <v>201912</v>
      </c>
      <c r="B1536" s="3">
        <v>43829</v>
      </c>
      <c r="C1536" s="2" t="s">
        <v>2355</v>
      </c>
      <c r="D1536" s="2" t="s">
        <v>1633</v>
      </c>
      <c r="E1536" s="2">
        <v>150</v>
      </c>
      <c r="F1536" s="2" t="s">
        <v>9</v>
      </c>
      <c r="J1536" s="2">
        <v>150</v>
      </c>
      <c r="K1536" s="2" t="b">
        <v>0</v>
      </c>
      <c r="L1536" s="2"/>
      <c r="M1536" s="2"/>
      <c r="N1536" s="4" t="s">
        <v>2259</v>
      </c>
      <c r="O1536" s="4" t="str">
        <f>LEFT(Table2[[#This Row],[Description]],75)</f>
        <v>SCHWAB S&amp;P 500 INDEX FD</v>
      </c>
      <c r="P1536" s="2" t="s">
        <v>2276</v>
      </c>
    </row>
    <row r="1537" spans="1:16" hidden="1">
      <c r="A1537" s="2">
        <v>201912</v>
      </c>
      <c r="B1537" s="3">
        <v>43829</v>
      </c>
      <c r="C1537" s="2" t="s">
        <v>2277</v>
      </c>
      <c r="D1537" s="2" t="s">
        <v>1633</v>
      </c>
      <c r="E1537" s="2">
        <v>150</v>
      </c>
      <c r="F1537" s="2" t="s">
        <v>9</v>
      </c>
      <c r="J1537" s="2">
        <v>150</v>
      </c>
      <c r="K1537" s="2" t="b">
        <v>0</v>
      </c>
      <c r="L1537" s="2"/>
      <c r="M1537" s="2"/>
      <c r="N1537" s="4" t="s">
        <v>2259</v>
      </c>
      <c r="O1537" s="4" t="str">
        <f>LEFT(Table2[[#This Row],[Description]],75)</f>
        <v>SCHWAB S&amp;P 500 INDEX FD</v>
      </c>
      <c r="P1537" s="2" t="s">
        <v>2276</v>
      </c>
    </row>
    <row r="1538" spans="1:16" hidden="1">
      <c r="A1538" s="2">
        <v>201912</v>
      </c>
      <c r="B1538" s="3">
        <v>43829</v>
      </c>
      <c r="C1538" s="2" t="s">
        <v>2275</v>
      </c>
      <c r="D1538" s="2" t="s">
        <v>1635</v>
      </c>
      <c r="E1538" s="2">
        <v>-3.06</v>
      </c>
      <c r="F1538" s="2">
        <v>0</v>
      </c>
      <c r="J1538" s="2">
        <v>3.06</v>
      </c>
      <c r="K1538" s="2" t="b">
        <v>0</v>
      </c>
      <c r="L1538" s="2"/>
      <c r="M1538" s="2"/>
      <c r="N1538" s="4" t="s">
        <v>2273</v>
      </c>
      <c r="O1538" s="4" t="str">
        <f>LEFT(Table2[[#This Row],[Description]],75)</f>
        <v>SCHWAB TOTAL STOCK MKT INDEX</v>
      </c>
      <c r="P1538" s="2"/>
    </row>
    <row r="1539" spans="1:16" hidden="1">
      <c r="A1539" s="2">
        <v>201912</v>
      </c>
      <c r="B1539" s="3">
        <v>43829</v>
      </c>
      <c r="C1539" s="2" t="s">
        <v>2277</v>
      </c>
      <c r="D1539" s="2" t="s">
        <v>1635</v>
      </c>
      <c r="E1539" s="2">
        <v>-3.06</v>
      </c>
      <c r="F1539" s="2">
        <v>0</v>
      </c>
      <c r="J1539" s="2">
        <v>3.06</v>
      </c>
      <c r="K1539" s="2" t="b">
        <v>0</v>
      </c>
      <c r="L1539" s="2"/>
      <c r="M1539" s="2"/>
      <c r="N1539" s="4" t="s">
        <v>2273</v>
      </c>
      <c r="O1539" s="4" t="str">
        <f>LEFT(Table2[[#This Row],[Description]],75)</f>
        <v>SCHWAB TOTAL STOCK MKT INDEX</v>
      </c>
      <c r="P1539" s="2"/>
    </row>
    <row r="1540" spans="1:16" hidden="1">
      <c r="A1540" s="2">
        <v>201912</v>
      </c>
      <c r="B1540" s="3">
        <v>43829</v>
      </c>
      <c r="C1540" s="2" t="s">
        <v>2275</v>
      </c>
      <c r="D1540" s="2" t="s">
        <v>1635</v>
      </c>
      <c r="E1540" s="2">
        <v>3.06</v>
      </c>
      <c r="F1540" s="2" t="s">
        <v>9</v>
      </c>
      <c r="J1540" s="2">
        <v>3.06</v>
      </c>
      <c r="K1540" s="2" t="b">
        <v>0</v>
      </c>
      <c r="L1540" s="2"/>
      <c r="M1540" s="2"/>
      <c r="N1540" s="4" t="s">
        <v>2259</v>
      </c>
      <c r="O1540" s="4" t="str">
        <f>LEFT(Table2[[#This Row],[Description]],75)</f>
        <v>SCHWAB TOTAL STOCK MKT INDEX</v>
      </c>
      <c r="P1540" s="2" t="s">
        <v>2278</v>
      </c>
    </row>
    <row r="1541" spans="1:16" hidden="1">
      <c r="A1541" s="2">
        <v>201912</v>
      </c>
      <c r="B1541" s="3">
        <v>43829</v>
      </c>
      <c r="C1541" s="2" t="s">
        <v>2277</v>
      </c>
      <c r="D1541" s="2" t="s">
        <v>1635</v>
      </c>
      <c r="E1541" s="2">
        <v>3.06</v>
      </c>
      <c r="F1541" s="2" t="s">
        <v>9</v>
      </c>
      <c r="J1541" s="2">
        <v>3.06</v>
      </c>
      <c r="K1541" s="2" t="b">
        <v>0</v>
      </c>
      <c r="L1541" s="2"/>
      <c r="M1541" s="2"/>
      <c r="N1541" s="4" t="s">
        <v>2259</v>
      </c>
      <c r="O1541" s="4" t="str">
        <f>LEFT(Table2[[#This Row],[Description]],75)</f>
        <v>SCHWAB TOTAL STOCK MKT INDEX</v>
      </c>
      <c r="P1541" s="2" t="s">
        <v>2278</v>
      </c>
    </row>
    <row r="1542" spans="1:16" hidden="1">
      <c r="A1542" s="2">
        <v>201912</v>
      </c>
      <c r="B1542" s="3">
        <v>43829</v>
      </c>
      <c r="C1542" s="2" t="s">
        <v>2355</v>
      </c>
      <c r="D1542" s="2" t="s">
        <v>1635</v>
      </c>
      <c r="E1542" s="2">
        <v>-8.2200000000000006</v>
      </c>
      <c r="F1542" s="2">
        <v>0</v>
      </c>
      <c r="J1542" s="2">
        <v>8.2200000000000006</v>
      </c>
      <c r="K1542" s="2" t="b">
        <v>0</v>
      </c>
      <c r="L1542" s="2"/>
      <c r="M1542" s="2"/>
      <c r="N1542" s="4" t="s">
        <v>2273</v>
      </c>
      <c r="O1542" s="4" t="str">
        <f>LEFT(Table2[[#This Row],[Description]],75)</f>
        <v>SCHWAB TOTAL STOCK MKT INDEX</v>
      </c>
      <c r="P1542" s="2"/>
    </row>
    <row r="1543" spans="1:16" hidden="1">
      <c r="A1543" s="2">
        <v>201912</v>
      </c>
      <c r="B1543" s="3">
        <v>43829</v>
      </c>
      <c r="C1543" s="2" t="s">
        <v>2277</v>
      </c>
      <c r="D1543" s="2" t="s">
        <v>1635</v>
      </c>
      <c r="E1543" s="2">
        <v>-8.2200000000000006</v>
      </c>
      <c r="F1543" s="2">
        <v>0</v>
      </c>
      <c r="J1543" s="2">
        <v>8.2200000000000006</v>
      </c>
      <c r="K1543" s="2" t="b">
        <v>0</v>
      </c>
      <c r="L1543" s="2"/>
      <c r="M1543" s="2"/>
      <c r="N1543" s="4" t="s">
        <v>2273</v>
      </c>
      <c r="O1543" s="4" t="str">
        <f>LEFT(Table2[[#This Row],[Description]],75)</f>
        <v>SCHWAB TOTAL STOCK MKT INDEX</v>
      </c>
      <c r="P1543" s="2"/>
    </row>
    <row r="1544" spans="1:16" hidden="1">
      <c r="A1544" s="2">
        <v>201912</v>
      </c>
      <c r="B1544" s="3">
        <v>43829</v>
      </c>
      <c r="C1544" s="2" t="s">
        <v>2355</v>
      </c>
      <c r="D1544" s="2" t="s">
        <v>1635</v>
      </c>
      <c r="E1544" s="2">
        <v>8.2200000000000006</v>
      </c>
      <c r="F1544" s="2" t="s">
        <v>9</v>
      </c>
      <c r="J1544" s="2">
        <v>8.2200000000000006</v>
      </c>
      <c r="K1544" s="2" t="b">
        <v>0</v>
      </c>
      <c r="L1544" s="2"/>
      <c r="M1544" s="2"/>
      <c r="N1544" s="4" t="s">
        <v>2259</v>
      </c>
      <c r="O1544" s="4" t="str">
        <f>LEFT(Table2[[#This Row],[Description]],75)</f>
        <v>SCHWAB TOTAL STOCK MKT INDEX</v>
      </c>
      <c r="P1544" s="2" t="s">
        <v>2278</v>
      </c>
    </row>
    <row r="1545" spans="1:16" hidden="1">
      <c r="A1545" s="2">
        <v>201912</v>
      </c>
      <c r="B1545" s="3">
        <v>43829</v>
      </c>
      <c r="C1545" s="2" t="s">
        <v>2277</v>
      </c>
      <c r="D1545" s="2" t="s">
        <v>1635</v>
      </c>
      <c r="E1545" s="2">
        <v>8.2200000000000006</v>
      </c>
      <c r="F1545" s="2" t="s">
        <v>9</v>
      </c>
      <c r="J1545" s="2">
        <v>8.2200000000000006</v>
      </c>
      <c r="K1545" s="2" t="b">
        <v>0</v>
      </c>
      <c r="L1545" s="2"/>
      <c r="M1545" s="2"/>
      <c r="N1545" s="4" t="s">
        <v>2259</v>
      </c>
      <c r="O1545" s="4" t="str">
        <f>LEFT(Table2[[#This Row],[Description]],75)</f>
        <v>SCHWAB TOTAL STOCK MKT INDEX</v>
      </c>
      <c r="P1545" s="2" t="s">
        <v>2278</v>
      </c>
    </row>
    <row r="1546" spans="1:16" hidden="1">
      <c r="A1546" s="2">
        <v>201912</v>
      </c>
      <c r="B1546" s="3">
        <v>43829</v>
      </c>
      <c r="C1546" s="2" t="s">
        <v>2275</v>
      </c>
      <c r="D1546" s="2" t="s">
        <v>1635</v>
      </c>
      <c r="E1546" s="2">
        <v>-21.08</v>
      </c>
      <c r="F1546" s="2">
        <v>0</v>
      </c>
      <c r="J1546" s="2">
        <v>21.08</v>
      </c>
      <c r="K1546" s="2" t="b">
        <v>0</v>
      </c>
      <c r="L1546" s="2"/>
      <c r="M1546" s="2"/>
      <c r="N1546" s="4" t="s">
        <v>2273</v>
      </c>
      <c r="O1546" s="4" t="str">
        <f>LEFT(Table2[[#This Row],[Description]],75)</f>
        <v>SCHWAB TOTAL STOCK MKT INDEX</v>
      </c>
      <c r="P1546" s="2"/>
    </row>
    <row r="1547" spans="1:16" hidden="1">
      <c r="A1547" s="2">
        <v>201912</v>
      </c>
      <c r="B1547" s="3">
        <v>43829</v>
      </c>
      <c r="C1547" s="2" t="s">
        <v>2277</v>
      </c>
      <c r="D1547" s="2" t="s">
        <v>1635</v>
      </c>
      <c r="E1547" s="2">
        <v>-21.08</v>
      </c>
      <c r="F1547" s="2">
        <v>0</v>
      </c>
      <c r="J1547" s="2">
        <v>21.08</v>
      </c>
      <c r="K1547" s="2" t="b">
        <v>0</v>
      </c>
      <c r="L1547" s="2"/>
      <c r="M1547" s="2"/>
      <c r="N1547" s="4" t="s">
        <v>2273</v>
      </c>
      <c r="O1547" s="4" t="str">
        <f>LEFT(Table2[[#This Row],[Description]],75)</f>
        <v>SCHWAB TOTAL STOCK MKT INDEX</v>
      </c>
      <c r="P1547" s="2"/>
    </row>
    <row r="1548" spans="1:16" hidden="1">
      <c r="A1548" s="2">
        <v>201912</v>
      </c>
      <c r="B1548" s="3">
        <v>43829</v>
      </c>
      <c r="C1548" s="2" t="s">
        <v>2275</v>
      </c>
      <c r="D1548" s="2" t="s">
        <v>1635</v>
      </c>
      <c r="E1548" s="2">
        <v>21.08</v>
      </c>
      <c r="F1548" s="2" t="s">
        <v>9</v>
      </c>
      <c r="J1548" s="2">
        <v>21.08</v>
      </c>
      <c r="K1548" s="2" t="b">
        <v>0</v>
      </c>
      <c r="L1548" s="2"/>
      <c r="M1548" s="2"/>
      <c r="N1548" s="4" t="s">
        <v>2259</v>
      </c>
      <c r="O1548" s="4" t="str">
        <f>LEFT(Table2[[#This Row],[Description]],75)</f>
        <v>SCHWAB TOTAL STOCK MKT INDEX</v>
      </c>
      <c r="P1548" s="2" t="s">
        <v>2278</v>
      </c>
    </row>
    <row r="1549" spans="1:16" hidden="1">
      <c r="A1549" s="2">
        <v>201912</v>
      </c>
      <c r="B1549" s="3">
        <v>43829</v>
      </c>
      <c r="C1549" s="2" t="s">
        <v>2277</v>
      </c>
      <c r="D1549" s="2" t="s">
        <v>1635</v>
      </c>
      <c r="E1549" s="2">
        <v>21.08</v>
      </c>
      <c r="F1549" s="2" t="s">
        <v>9</v>
      </c>
      <c r="J1549" s="2">
        <v>21.08</v>
      </c>
      <c r="K1549" s="2" t="b">
        <v>0</v>
      </c>
      <c r="L1549" s="2"/>
      <c r="M1549" s="2"/>
      <c r="N1549" s="4" t="s">
        <v>2259</v>
      </c>
      <c r="O1549" s="4" t="str">
        <f>LEFT(Table2[[#This Row],[Description]],75)</f>
        <v>SCHWAB TOTAL STOCK MKT INDEX</v>
      </c>
      <c r="P1549" s="2" t="s">
        <v>2278</v>
      </c>
    </row>
    <row r="1550" spans="1:16" hidden="1">
      <c r="A1550" s="2">
        <v>201912</v>
      </c>
      <c r="B1550" s="3">
        <v>43829</v>
      </c>
      <c r="C1550" s="2" t="s">
        <v>2355</v>
      </c>
      <c r="D1550" s="2" t="s">
        <v>1635</v>
      </c>
      <c r="E1550" s="2">
        <v>-56.54</v>
      </c>
      <c r="F1550" s="2">
        <v>0</v>
      </c>
      <c r="J1550" s="2">
        <v>56.54</v>
      </c>
      <c r="K1550" s="2" t="b">
        <v>0</v>
      </c>
      <c r="L1550" s="2"/>
      <c r="M1550" s="2"/>
      <c r="N1550" s="4" t="s">
        <v>2273</v>
      </c>
      <c r="O1550" s="4" t="str">
        <f>LEFT(Table2[[#This Row],[Description]],75)</f>
        <v>SCHWAB TOTAL STOCK MKT INDEX</v>
      </c>
      <c r="P1550" s="2"/>
    </row>
    <row r="1551" spans="1:16" hidden="1">
      <c r="A1551" s="2">
        <v>201912</v>
      </c>
      <c r="B1551" s="3">
        <v>43829</v>
      </c>
      <c r="C1551" s="2" t="s">
        <v>2277</v>
      </c>
      <c r="D1551" s="2" t="s">
        <v>1635</v>
      </c>
      <c r="E1551" s="2">
        <v>-56.54</v>
      </c>
      <c r="F1551" s="2">
        <v>0</v>
      </c>
      <c r="J1551" s="2">
        <v>56.54</v>
      </c>
      <c r="K1551" s="2" t="b">
        <v>0</v>
      </c>
      <c r="L1551" s="2"/>
      <c r="M1551" s="2"/>
      <c r="N1551" s="4" t="s">
        <v>2273</v>
      </c>
      <c r="O1551" s="4" t="str">
        <f>LEFT(Table2[[#This Row],[Description]],75)</f>
        <v>SCHWAB TOTAL STOCK MKT INDEX</v>
      </c>
      <c r="P1551" s="2"/>
    </row>
    <row r="1552" spans="1:16" hidden="1">
      <c r="A1552" s="2">
        <v>201912</v>
      </c>
      <c r="B1552" s="3">
        <v>43829</v>
      </c>
      <c r="C1552" s="2" t="s">
        <v>2355</v>
      </c>
      <c r="D1552" s="2" t="s">
        <v>1635</v>
      </c>
      <c r="E1552" s="2">
        <v>56.54</v>
      </c>
      <c r="F1552" s="2" t="s">
        <v>9</v>
      </c>
      <c r="J1552" s="2">
        <v>56.54</v>
      </c>
      <c r="K1552" s="2" t="b">
        <v>0</v>
      </c>
      <c r="L1552" s="2"/>
      <c r="M1552" s="2"/>
      <c r="N1552" s="4" t="s">
        <v>2259</v>
      </c>
      <c r="O1552" s="4" t="str">
        <f>LEFT(Table2[[#This Row],[Description]],75)</f>
        <v>SCHWAB TOTAL STOCK MKT INDEX</v>
      </c>
      <c r="P1552" s="2" t="s">
        <v>2278</v>
      </c>
    </row>
    <row r="1553" spans="1:16" hidden="1">
      <c r="A1553" s="2">
        <v>201912</v>
      </c>
      <c r="B1553" s="3">
        <v>43829</v>
      </c>
      <c r="C1553" s="2" t="s">
        <v>2277</v>
      </c>
      <c r="D1553" s="2" t="s">
        <v>1635</v>
      </c>
      <c r="E1553" s="2">
        <v>56.54</v>
      </c>
      <c r="F1553" s="2" t="s">
        <v>9</v>
      </c>
      <c r="J1553" s="2">
        <v>56.54</v>
      </c>
      <c r="K1553" s="2" t="b">
        <v>0</v>
      </c>
      <c r="L1553" s="2"/>
      <c r="M1553" s="2"/>
      <c r="N1553" s="4" t="s">
        <v>2259</v>
      </c>
      <c r="O1553" s="4" t="str">
        <f>LEFT(Table2[[#This Row],[Description]],75)</f>
        <v>SCHWAB TOTAL STOCK MKT INDEX</v>
      </c>
      <c r="P1553" s="2" t="s">
        <v>2278</v>
      </c>
    </row>
    <row r="1554" spans="1:16" hidden="1">
      <c r="A1554" s="2">
        <v>201912</v>
      </c>
      <c r="B1554" s="3">
        <v>43829</v>
      </c>
      <c r="C1554" s="2" t="s">
        <v>2275</v>
      </c>
      <c r="D1554" s="2" t="s">
        <v>1636</v>
      </c>
      <c r="E1554" s="2">
        <v>-12.05</v>
      </c>
      <c r="F1554" s="2">
        <v>0</v>
      </c>
      <c r="J1554" s="2">
        <v>12.05</v>
      </c>
      <c r="K1554" s="2" t="b">
        <v>0</v>
      </c>
      <c r="L1554" s="2"/>
      <c r="M1554" s="2"/>
      <c r="N1554" s="4" t="s">
        <v>2273</v>
      </c>
      <c r="O1554" s="4" t="str">
        <f>LEFT(Table2[[#This Row],[Description]],75)</f>
        <v>SCHWAB US LARGE CAP GROWTH INDEX FD</v>
      </c>
      <c r="P1554" s="2"/>
    </row>
    <row r="1555" spans="1:16" hidden="1">
      <c r="A1555" s="2">
        <v>201912</v>
      </c>
      <c r="B1555" s="3">
        <v>43829</v>
      </c>
      <c r="C1555" s="2" t="s">
        <v>2277</v>
      </c>
      <c r="D1555" s="2" t="s">
        <v>1636</v>
      </c>
      <c r="E1555" s="2">
        <v>-12.05</v>
      </c>
      <c r="F1555" s="2">
        <v>0</v>
      </c>
      <c r="J1555" s="2">
        <v>12.05</v>
      </c>
      <c r="K1555" s="2" t="b">
        <v>0</v>
      </c>
      <c r="L1555" s="2"/>
      <c r="M1555" s="2"/>
      <c r="N1555" s="4" t="s">
        <v>2273</v>
      </c>
      <c r="O1555" s="4" t="str">
        <f>LEFT(Table2[[#This Row],[Description]],75)</f>
        <v>SCHWAB US LARGE CAP GROWTH INDEX FD</v>
      </c>
      <c r="P1555" s="2"/>
    </row>
    <row r="1556" spans="1:16" hidden="1">
      <c r="A1556" s="2">
        <v>201912</v>
      </c>
      <c r="B1556" s="3">
        <v>43829</v>
      </c>
      <c r="C1556" s="2" t="s">
        <v>2275</v>
      </c>
      <c r="D1556" s="2" t="s">
        <v>1636</v>
      </c>
      <c r="E1556" s="2">
        <v>12.05</v>
      </c>
      <c r="F1556" s="2" t="s">
        <v>9</v>
      </c>
      <c r="J1556" s="2">
        <v>12.05</v>
      </c>
      <c r="K1556" s="2" t="b">
        <v>0</v>
      </c>
      <c r="L1556" s="2"/>
      <c r="M1556" s="2"/>
      <c r="N1556" s="4" t="s">
        <v>2259</v>
      </c>
      <c r="O1556" s="4" t="str">
        <f>LEFT(Table2[[#This Row],[Description]],75)</f>
        <v>SCHWAB US LARGE CAP GROWTH INDEX FD</v>
      </c>
      <c r="P1556" s="2" t="s">
        <v>2347</v>
      </c>
    </row>
    <row r="1557" spans="1:16" hidden="1">
      <c r="A1557" s="2">
        <v>201912</v>
      </c>
      <c r="B1557" s="3">
        <v>43829</v>
      </c>
      <c r="C1557" s="2" t="s">
        <v>2277</v>
      </c>
      <c r="D1557" s="2" t="s">
        <v>1636</v>
      </c>
      <c r="E1557" s="2">
        <v>12.05</v>
      </c>
      <c r="F1557" s="2" t="s">
        <v>9</v>
      </c>
      <c r="J1557" s="2">
        <v>12.05</v>
      </c>
      <c r="K1557" s="2" t="b">
        <v>0</v>
      </c>
      <c r="L1557" s="2"/>
      <c r="M1557" s="2"/>
      <c r="N1557" s="4" t="s">
        <v>2259</v>
      </c>
      <c r="O1557" s="4" t="str">
        <f>LEFT(Table2[[#This Row],[Description]],75)</f>
        <v>SCHWAB US LARGE CAP GROWTH INDEX FD</v>
      </c>
      <c r="P1557" s="2" t="s">
        <v>2347</v>
      </c>
    </row>
    <row r="1558" spans="1:16" hidden="1">
      <c r="A1558" s="2">
        <v>201912</v>
      </c>
      <c r="B1558" s="3">
        <v>43829</v>
      </c>
      <c r="C1558" s="2" t="s">
        <v>2275</v>
      </c>
      <c r="D1558" s="2" t="s">
        <v>1636</v>
      </c>
      <c r="E1558" s="2">
        <v>100</v>
      </c>
      <c r="F1558" s="2" t="s">
        <v>9</v>
      </c>
      <c r="J1558" s="2">
        <v>100</v>
      </c>
      <c r="K1558" s="2" t="b">
        <v>0</v>
      </c>
      <c r="L1558" s="2"/>
      <c r="M1558" s="2"/>
      <c r="N1558" s="4" t="s">
        <v>2259</v>
      </c>
      <c r="O1558" s="4" t="str">
        <f>LEFT(Table2[[#This Row],[Description]],75)</f>
        <v>SCHWAB US LARGE CAP GROWTH INDEX FD</v>
      </c>
      <c r="P1558" s="2" t="s">
        <v>2347</v>
      </c>
    </row>
    <row r="1559" spans="1:16" hidden="1">
      <c r="A1559" s="2">
        <v>201912</v>
      </c>
      <c r="B1559" s="3">
        <v>43829</v>
      </c>
      <c r="C1559" s="2" t="s">
        <v>2277</v>
      </c>
      <c r="D1559" s="2" t="s">
        <v>1636</v>
      </c>
      <c r="E1559" s="2">
        <v>100</v>
      </c>
      <c r="F1559" s="2" t="s">
        <v>9</v>
      </c>
      <c r="J1559" s="2">
        <v>100</v>
      </c>
      <c r="K1559" s="2" t="b">
        <v>0</v>
      </c>
      <c r="L1559" s="2"/>
      <c r="M1559" s="2"/>
      <c r="N1559" s="4" t="s">
        <v>2259</v>
      </c>
      <c r="O1559" s="4" t="str">
        <f>LEFT(Table2[[#This Row],[Description]],75)</f>
        <v>SCHWAB US LARGE CAP GROWTH INDEX FD</v>
      </c>
      <c r="P1559" s="2" t="s">
        <v>2347</v>
      </c>
    </row>
    <row r="1560" spans="1:16" hidden="1">
      <c r="A1560" s="2">
        <v>201912</v>
      </c>
      <c r="B1560" s="3">
        <v>43829</v>
      </c>
      <c r="C1560" s="2" t="s">
        <v>2317</v>
      </c>
      <c r="D1560" s="2" t="s">
        <v>1638</v>
      </c>
      <c r="E1560" s="2">
        <v>24.61</v>
      </c>
      <c r="F1560" s="2" t="s">
        <v>69</v>
      </c>
      <c r="J1560" s="2">
        <v>24.61</v>
      </c>
      <c r="K1560" s="2" t="b">
        <v>0</v>
      </c>
      <c r="L1560" s="2"/>
      <c r="M1560" s="2"/>
      <c r="N1560" s="4" t="s">
        <v>2259</v>
      </c>
      <c r="O1560" s="4" t="str">
        <f>LEFT(Table2[[#This Row],[Description]],75)</f>
        <v>SCHWAB US SMALL CAP ETF</v>
      </c>
      <c r="P1560" s="2" t="s">
        <v>2351</v>
      </c>
    </row>
    <row r="1561" spans="1:16" hidden="1">
      <c r="A1561" s="2">
        <v>201912</v>
      </c>
      <c r="B1561" s="3">
        <v>43829</v>
      </c>
      <c r="C1561" s="2" t="s">
        <v>2317</v>
      </c>
      <c r="D1561" s="2" t="s">
        <v>1645</v>
      </c>
      <c r="E1561" s="2">
        <v>-0.66</v>
      </c>
      <c r="F1561" s="2" t="s">
        <v>16</v>
      </c>
      <c r="J1561" s="2">
        <v>0.66</v>
      </c>
      <c r="K1561" s="2" t="b">
        <v>0</v>
      </c>
      <c r="L1561" s="2"/>
      <c r="M1561" s="2"/>
      <c r="N1561" s="4" t="s">
        <v>2273</v>
      </c>
      <c r="O1561" s="4" t="str">
        <f>LEFT(Table2[[#This Row],[Description]],75)</f>
        <v>SCHWAB1 INT 11/27-12/29</v>
      </c>
      <c r="P1561" s="2" t="s">
        <v>2380</v>
      </c>
    </row>
    <row r="1562" spans="1:16" hidden="1">
      <c r="A1562" s="2">
        <v>201912</v>
      </c>
      <c r="B1562" s="3">
        <v>43829</v>
      </c>
      <c r="C1562" s="2" t="s">
        <v>2258</v>
      </c>
      <c r="D1562" s="2" t="s">
        <v>1653</v>
      </c>
      <c r="E1562" s="2">
        <v>232.07</v>
      </c>
      <c r="F1562" s="2" t="s">
        <v>2</v>
      </c>
      <c r="J1562" s="2">
        <v>232.07</v>
      </c>
      <c r="K1562" s="2" t="b">
        <v>0</v>
      </c>
      <c r="L1562" s="2"/>
      <c r="M1562" s="2"/>
      <c r="N1562" s="4" t="s">
        <v>2259</v>
      </c>
      <c r="O1562" s="4" t="str">
        <f>LEFT(Table2[[#This Row],[Description]],75)</f>
        <v>Sherwin Williams</v>
      </c>
      <c r="P1562" s="2" t="s">
        <v>2353</v>
      </c>
    </row>
    <row r="1563" spans="1:16" hidden="1">
      <c r="A1563" s="2">
        <v>201912</v>
      </c>
      <c r="B1563" s="3">
        <v>43829</v>
      </c>
      <c r="C1563" s="2" t="s">
        <v>2261</v>
      </c>
      <c r="D1563" s="2" t="s">
        <v>1653</v>
      </c>
      <c r="E1563" s="2">
        <v>232.07</v>
      </c>
      <c r="F1563" s="2" t="s">
        <v>2</v>
      </c>
      <c r="J1563" s="2">
        <v>232.07</v>
      </c>
      <c r="K1563" s="2" t="b">
        <v>0</v>
      </c>
      <c r="L1563" s="2"/>
      <c r="M1563" s="2"/>
      <c r="N1563" s="4" t="s">
        <v>2259</v>
      </c>
      <c r="O1563" s="4" t="str">
        <f>LEFT(Table2[[#This Row],[Description]],75)</f>
        <v>Sherwin Williams</v>
      </c>
      <c r="P1563" s="2" t="s">
        <v>2353</v>
      </c>
    </row>
    <row r="1564" spans="1:16" hidden="1">
      <c r="A1564" s="2">
        <v>201912</v>
      </c>
      <c r="B1564" s="3">
        <v>43829</v>
      </c>
      <c r="C1564" s="2" t="s">
        <v>2262</v>
      </c>
      <c r="D1564" s="2" t="s">
        <v>1683</v>
      </c>
      <c r="E1564" s="2">
        <v>55.25</v>
      </c>
      <c r="F1564" s="2" t="s">
        <v>28</v>
      </c>
      <c r="J1564" s="2">
        <v>55.25</v>
      </c>
      <c r="K1564" s="2" t="b">
        <v>0</v>
      </c>
      <c r="L1564" s="2"/>
      <c r="M1564" s="2"/>
      <c r="N1564" s="4" t="s">
        <v>2259</v>
      </c>
      <c r="O1564" s="4" t="str">
        <f>LEFT(Table2[[#This Row],[Description]],75)</f>
        <v>SOUTH LYNDALE LIQUORS RETMINNEAPOLIS MN 275614106</v>
      </c>
      <c r="P1564" s="2" t="s">
        <v>2439</v>
      </c>
    </row>
    <row r="1565" spans="1:16" hidden="1">
      <c r="A1565" s="2">
        <v>201912</v>
      </c>
      <c r="B1565" s="3">
        <v>43829</v>
      </c>
      <c r="C1565" s="2" t="s">
        <v>2262</v>
      </c>
      <c r="D1565" s="2" t="s">
        <v>1707</v>
      </c>
      <c r="E1565" s="2">
        <v>4.3899999999999997</v>
      </c>
      <c r="F1565" s="2" t="s">
        <v>23</v>
      </c>
      <c r="J1565" s="2">
        <v>4.3899999999999997</v>
      </c>
      <c r="K1565" s="2" t="b">
        <v>0</v>
      </c>
      <c r="L1565" s="2"/>
      <c r="M1565" s="2"/>
      <c r="N1565" s="4" t="s">
        <v>2259</v>
      </c>
      <c r="O1565" s="4" t="str">
        <f>LEFT(Table2[[#This Row],[Description]],75)</f>
        <v>Speedway</v>
      </c>
      <c r="P1565" s="2" t="s">
        <v>2381</v>
      </c>
    </row>
    <row r="1566" spans="1:16" hidden="1">
      <c r="A1566" s="2">
        <v>201912</v>
      </c>
      <c r="B1566" s="3">
        <v>43829</v>
      </c>
      <c r="C1566" s="2" t="s">
        <v>2262</v>
      </c>
      <c r="D1566" s="2" t="s">
        <v>1707</v>
      </c>
      <c r="E1566" s="2">
        <v>32.33</v>
      </c>
      <c r="F1566" s="2" t="s">
        <v>23</v>
      </c>
      <c r="J1566" s="2">
        <v>32.33</v>
      </c>
      <c r="K1566" s="2" t="b">
        <v>0</v>
      </c>
      <c r="L1566" s="2"/>
      <c r="M1566" s="2"/>
      <c r="N1566" s="4" t="s">
        <v>2259</v>
      </c>
      <c r="O1566" s="4" t="str">
        <f>LEFT(Table2[[#This Row],[Description]],75)</f>
        <v>Speedway</v>
      </c>
      <c r="P1566" s="2" t="s">
        <v>2381</v>
      </c>
    </row>
    <row r="1567" spans="1:16" hidden="1">
      <c r="A1567" s="2">
        <v>201912</v>
      </c>
      <c r="B1567" s="3">
        <v>43829</v>
      </c>
      <c r="C1567" s="2" t="s">
        <v>2300</v>
      </c>
      <c r="D1567" s="2" t="s">
        <v>1709</v>
      </c>
      <c r="E1567" s="2">
        <v>-20.92</v>
      </c>
      <c r="F1567" s="2" t="s">
        <v>16</v>
      </c>
      <c r="J1567" s="2">
        <v>20.92</v>
      </c>
      <c r="K1567" s="2" t="b">
        <v>0</v>
      </c>
      <c r="L1567" s="2"/>
      <c r="M1567" s="2"/>
      <c r="N1567" s="4" t="s">
        <v>2273</v>
      </c>
      <c r="O1567" s="4" t="str">
        <f>LEFT(Table2[[#This Row],[Description]],75)</f>
        <v>Split Rate Apy</v>
      </c>
      <c r="P1567" s="2" t="s">
        <v>2313</v>
      </c>
    </row>
    <row r="1568" spans="1:16" hidden="1">
      <c r="A1568" s="2">
        <v>201912</v>
      </c>
      <c r="B1568" s="3">
        <v>43829</v>
      </c>
      <c r="C1568" s="2" t="s">
        <v>2265</v>
      </c>
      <c r="D1568" s="2" t="s">
        <v>1709</v>
      </c>
      <c r="E1568" s="2">
        <v>-38.130000000000003</v>
      </c>
      <c r="F1568" s="2" t="s">
        <v>16</v>
      </c>
      <c r="J1568" s="2">
        <v>38.130000000000003</v>
      </c>
      <c r="K1568" s="2" t="b">
        <v>0</v>
      </c>
      <c r="L1568" s="2"/>
      <c r="M1568" s="2"/>
      <c r="N1568" s="4" t="s">
        <v>2273</v>
      </c>
      <c r="O1568" s="4" t="str">
        <f>LEFT(Table2[[#This Row],[Description]],75)</f>
        <v>Split Rate Apy</v>
      </c>
      <c r="P1568" s="2" t="s">
        <v>2313</v>
      </c>
    </row>
    <row r="1569" spans="1:16" hidden="1">
      <c r="A1569" s="2">
        <v>201912</v>
      </c>
      <c r="B1569" s="3">
        <v>43829</v>
      </c>
      <c r="C1569" s="2" t="s">
        <v>2302</v>
      </c>
      <c r="D1569" s="2" t="s">
        <v>1709</v>
      </c>
      <c r="E1569" s="2">
        <v>-20.92</v>
      </c>
      <c r="F1569" s="2" t="s">
        <v>16</v>
      </c>
      <c r="J1569" s="2">
        <v>20.92</v>
      </c>
      <c r="K1569" s="2" t="b">
        <v>0</v>
      </c>
      <c r="L1569" s="2"/>
      <c r="M1569" s="2"/>
      <c r="N1569" s="4" t="s">
        <v>2273</v>
      </c>
      <c r="O1569" s="4" t="str">
        <f>LEFT(Table2[[#This Row],[Description]],75)</f>
        <v>Split Rate Apy</v>
      </c>
      <c r="P1569" s="2" t="s">
        <v>2313</v>
      </c>
    </row>
    <row r="1570" spans="1:16" hidden="1">
      <c r="A1570" s="2">
        <v>201912</v>
      </c>
      <c r="B1570" s="3">
        <v>43829</v>
      </c>
      <c r="C1570" s="2" t="s">
        <v>2267</v>
      </c>
      <c r="D1570" s="2" t="s">
        <v>1709</v>
      </c>
      <c r="E1570" s="2">
        <v>-38.130000000000003</v>
      </c>
      <c r="F1570" s="2" t="s">
        <v>16</v>
      </c>
      <c r="J1570" s="2">
        <v>38.130000000000003</v>
      </c>
      <c r="K1570" s="2" t="b">
        <v>0</v>
      </c>
      <c r="L1570" s="2"/>
      <c r="M1570" s="2"/>
      <c r="N1570" s="4" t="s">
        <v>2273</v>
      </c>
      <c r="O1570" s="4" t="str">
        <f>LEFT(Table2[[#This Row],[Description]],75)</f>
        <v>Split Rate Apy</v>
      </c>
      <c r="P1570" s="2" t="s">
        <v>2313</v>
      </c>
    </row>
    <row r="1571" spans="1:16" hidden="1">
      <c r="A1571" s="2">
        <v>201912</v>
      </c>
      <c r="B1571" s="3">
        <v>43829</v>
      </c>
      <c r="C1571" s="2" t="s">
        <v>2265</v>
      </c>
      <c r="D1571" s="2" t="s">
        <v>31</v>
      </c>
      <c r="E1571" s="2">
        <v>1109.3599999999999</v>
      </c>
      <c r="F1571" s="2" t="s">
        <v>31</v>
      </c>
      <c r="J1571" s="2">
        <v>1109.3599999999999</v>
      </c>
      <c r="K1571" s="2" t="b">
        <v>0</v>
      </c>
      <c r="L1571" s="2"/>
      <c r="M1571" s="2"/>
      <c r="N1571" s="4" t="s">
        <v>2259</v>
      </c>
      <c r="O1571" s="4" t="str">
        <f>LEFT(Table2[[#This Row],[Description]],75)</f>
        <v>Target</v>
      </c>
      <c r="P1571" s="2" t="s">
        <v>2309</v>
      </c>
    </row>
    <row r="1572" spans="1:16" hidden="1">
      <c r="A1572" s="2">
        <v>201912</v>
      </c>
      <c r="B1572" s="3">
        <v>43829</v>
      </c>
      <c r="C1572" s="2" t="s">
        <v>2267</v>
      </c>
      <c r="D1572" s="2" t="s">
        <v>31</v>
      </c>
      <c r="E1572" s="2">
        <v>1109.3599999999999</v>
      </c>
      <c r="F1572" s="2" t="s">
        <v>31</v>
      </c>
      <c r="J1572" s="2">
        <v>1109.3599999999999</v>
      </c>
      <c r="K1572" s="2" t="b">
        <v>0</v>
      </c>
      <c r="L1572" s="2"/>
      <c r="M1572" s="2"/>
      <c r="N1572" s="4" t="s">
        <v>2259</v>
      </c>
      <c r="O1572" s="4" t="str">
        <f>LEFT(Table2[[#This Row],[Description]],75)</f>
        <v>Target</v>
      </c>
      <c r="P1572" s="2" t="s">
        <v>2309</v>
      </c>
    </row>
    <row r="1573" spans="1:16" hidden="1">
      <c r="A1573" s="2">
        <v>201912</v>
      </c>
      <c r="B1573" s="3">
        <v>43829</v>
      </c>
      <c r="C1573" s="2" t="s">
        <v>2258</v>
      </c>
      <c r="D1573" s="2" t="s">
        <v>1858</v>
      </c>
      <c r="E1573" s="2">
        <v>34.33</v>
      </c>
      <c r="F1573" s="2" t="s">
        <v>26</v>
      </c>
      <c r="J1573" s="2">
        <v>34.33</v>
      </c>
      <c r="K1573" s="2" t="b">
        <v>0</v>
      </c>
      <c r="L1573" s="2"/>
      <c r="M1573" s="2"/>
      <c r="N1573" s="4" t="s">
        <v>2259</v>
      </c>
      <c r="O1573" s="4" t="str">
        <f>LEFT(Table2[[#This Row],[Description]],75)</f>
        <v>The Suburban</v>
      </c>
      <c r="P1573" s="2" t="s">
        <v>2440</v>
      </c>
    </row>
    <row r="1574" spans="1:16" hidden="1">
      <c r="A1574" s="2">
        <v>201912</v>
      </c>
      <c r="B1574" s="3">
        <v>43829</v>
      </c>
      <c r="C1574" s="2" t="s">
        <v>2261</v>
      </c>
      <c r="D1574" s="2" t="s">
        <v>1858</v>
      </c>
      <c r="E1574" s="2">
        <v>34.33</v>
      </c>
      <c r="F1574" s="2" t="s">
        <v>26</v>
      </c>
      <c r="J1574" s="2">
        <v>34.33</v>
      </c>
      <c r="K1574" s="2" t="b">
        <v>0</v>
      </c>
      <c r="L1574" s="2"/>
      <c r="M1574" s="2"/>
      <c r="N1574" s="4" t="s">
        <v>2259</v>
      </c>
      <c r="O1574" s="4" t="str">
        <f>LEFT(Table2[[#This Row],[Description]],75)</f>
        <v>The Suburban</v>
      </c>
      <c r="P1574" s="2" t="s">
        <v>2281</v>
      </c>
    </row>
    <row r="1575" spans="1:16" hidden="1">
      <c r="A1575" s="2">
        <v>201912</v>
      </c>
      <c r="B1575" s="3">
        <v>43829</v>
      </c>
      <c r="C1575" s="2" t="s">
        <v>2262</v>
      </c>
      <c r="D1575" s="2" t="s">
        <v>1870</v>
      </c>
      <c r="E1575" s="2">
        <v>144</v>
      </c>
      <c r="F1575" s="2" t="s">
        <v>21</v>
      </c>
      <c r="J1575" s="2">
        <v>144</v>
      </c>
      <c r="K1575" s="2" t="b">
        <v>0</v>
      </c>
      <c r="L1575" s="2"/>
      <c r="M1575" s="2"/>
      <c r="N1575" s="4" t="s">
        <v>2259</v>
      </c>
      <c r="O1575" s="4" t="str">
        <f>LEFT(Table2[[#This Row],[Description]],75)</f>
        <v>Timberland</v>
      </c>
      <c r="P1575" s="2" t="s">
        <v>2281</v>
      </c>
    </row>
    <row r="1576" spans="1:16" hidden="1">
      <c r="A1576" s="2">
        <v>201912</v>
      </c>
      <c r="B1576" s="3">
        <v>43829</v>
      </c>
      <c r="C1576" s="2" t="s">
        <v>2262</v>
      </c>
      <c r="D1576" s="2" t="s">
        <v>1920</v>
      </c>
      <c r="E1576" s="2">
        <v>12.07</v>
      </c>
      <c r="F1576" s="2" t="s">
        <v>28</v>
      </c>
      <c r="J1576" s="2">
        <v>12.07</v>
      </c>
      <c r="K1576" s="2" t="b">
        <v>0</v>
      </c>
      <c r="L1576" s="2"/>
      <c r="M1576" s="2"/>
      <c r="N1576" s="4" t="s">
        <v>2259</v>
      </c>
      <c r="O1576" s="4" t="str">
        <f>LEFT(Table2[[#This Row],[Description]],75)</f>
        <v>Top Ten Liquors</v>
      </c>
      <c r="P1576" s="2" t="s">
        <v>2441</v>
      </c>
    </row>
    <row r="1577" spans="1:16" hidden="1">
      <c r="A1577" s="2">
        <v>201912</v>
      </c>
      <c r="B1577" s="3">
        <v>43829</v>
      </c>
      <c r="C1577" s="2" t="s">
        <v>2300</v>
      </c>
      <c r="D1577" s="2" t="s">
        <v>1947</v>
      </c>
      <c r="E1577" s="2">
        <v>-300</v>
      </c>
      <c r="F1577" s="2" t="s">
        <v>9</v>
      </c>
      <c r="J1577" s="2">
        <v>300</v>
      </c>
      <c r="K1577" s="2" t="b">
        <v>0</v>
      </c>
      <c r="L1577" s="2"/>
      <c r="M1577" s="2"/>
      <c r="N1577" s="4" t="s">
        <v>2273</v>
      </c>
      <c r="O1577" s="4" t="str">
        <f>LEFT(Table2[[#This Row],[Description]],75)</f>
        <v>Transfer from POWERPLUS CHECKING</v>
      </c>
      <c r="P1577" s="2" t="s">
        <v>2301</v>
      </c>
    </row>
    <row r="1578" spans="1:16" hidden="1">
      <c r="A1578" s="2">
        <v>201912</v>
      </c>
      <c r="B1578" s="3">
        <v>43829</v>
      </c>
      <c r="C1578" s="2" t="s">
        <v>2300</v>
      </c>
      <c r="D1578" s="2" t="s">
        <v>1947</v>
      </c>
      <c r="E1578" s="2">
        <v>-200</v>
      </c>
      <c r="F1578" s="2" t="s">
        <v>9</v>
      </c>
      <c r="J1578" s="2">
        <v>200</v>
      </c>
      <c r="K1578" s="2" t="b">
        <v>0</v>
      </c>
      <c r="L1578" s="2"/>
      <c r="M1578" s="2"/>
      <c r="N1578" s="4" t="s">
        <v>2273</v>
      </c>
      <c r="O1578" s="4" t="str">
        <f>LEFT(Table2[[#This Row],[Description]],75)</f>
        <v>Transfer from POWERPLUS CHECKING</v>
      </c>
      <c r="P1578" s="2" t="s">
        <v>2301</v>
      </c>
    </row>
    <row r="1579" spans="1:16" hidden="1">
      <c r="A1579" s="2">
        <v>201912</v>
      </c>
      <c r="B1579" s="3">
        <v>43829</v>
      </c>
      <c r="C1579" s="2" t="s">
        <v>2302</v>
      </c>
      <c r="D1579" s="2" t="s">
        <v>1947</v>
      </c>
      <c r="E1579" s="2">
        <v>-300</v>
      </c>
      <c r="F1579" s="2" t="s">
        <v>9</v>
      </c>
      <c r="J1579" s="2">
        <v>300</v>
      </c>
      <c r="K1579" s="2" t="b">
        <v>0</v>
      </c>
      <c r="L1579" s="2"/>
      <c r="M1579" s="2"/>
      <c r="N1579" s="4" t="s">
        <v>2273</v>
      </c>
      <c r="O1579" s="4" t="str">
        <f>LEFT(Table2[[#This Row],[Description]],75)</f>
        <v>Transfer from POWERPLUS CHECKING</v>
      </c>
      <c r="P1579" s="2" t="s">
        <v>2301</v>
      </c>
    </row>
    <row r="1580" spans="1:16" hidden="1">
      <c r="A1580" s="2">
        <v>201912</v>
      </c>
      <c r="B1580" s="3">
        <v>43829</v>
      </c>
      <c r="C1580" s="2" t="s">
        <v>2302</v>
      </c>
      <c r="D1580" s="2" t="s">
        <v>1947</v>
      </c>
      <c r="E1580" s="2">
        <v>-200</v>
      </c>
      <c r="F1580" s="2" t="s">
        <v>9</v>
      </c>
      <c r="J1580" s="2">
        <v>200</v>
      </c>
      <c r="K1580" s="2" t="b">
        <v>0</v>
      </c>
      <c r="L1580" s="2"/>
      <c r="M1580" s="2"/>
      <c r="N1580" s="4" t="s">
        <v>2273</v>
      </c>
      <c r="O1580" s="4" t="str">
        <f>LEFT(Table2[[#This Row],[Description]],75)</f>
        <v>Transfer from POWERPLUS CHECKING</v>
      </c>
      <c r="P1580" s="2" t="s">
        <v>2301</v>
      </c>
    </row>
    <row r="1581" spans="1:16" hidden="1">
      <c r="A1581" s="2">
        <v>201912</v>
      </c>
      <c r="B1581" s="3">
        <v>43829</v>
      </c>
      <c r="C1581" s="2" t="s">
        <v>2265</v>
      </c>
      <c r="D1581" s="2" t="s">
        <v>1957</v>
      </c>
      <c r="E1581" s="2">
        <v>300</v>
      </c>
      <c r="F1581" s="2" t="s">
        <v>59</v>
      </c>
      <c r="J1581" s="2">
        <v>300</v>
      </c>
      <c r="K1581" s="2" t="b">
        <v>0</v>
      </c>
      <c r="L1581" s="2"/>
      <c r="M1581" s="2"/>
      <c r="N1581" s="4" t="s">
        <v>2259</v>
      </c>
      <c r="O1581" s="4" t="str">
        <f>LEFT(Table2[[#This Row],[Description]],75)</f>
        <v>Transfer to RAINY DAY SAVINGS</v>
      </c>
      <c r="P1581" s="2" t="s">
        <v>2303</v>
      </c>
    </row>
    <row r="1582" spans="1:16" hidden="1">
      <c r="A1582" s="2">
        <v>201912</v>
      </c>
      <c r="B1582" s="3">
        <v>43829</v>
      </c>
      <c r="C1582" s="2" t="s">
        <v>2265</v>
      </c>
      <c r="D1582" s="2" t="s">
        <v>1957</v>
      </c>
      <c r="E1582" s="2">
        <v>200</v>
      </c>
      <c r="F1582" s="2" t="s">
        <v>59</v>
      </c>
      <c r="J1582" s="2">
        <v>200</v>
      </c>
      <c r="K1582" s="2" t="b">
        <v>0</v>
      </c>
      <c r="L1582" s="2"/>
      <c r="M1582" s="2"/>
      <c r="N1582" s="4" t="s">
        <v>2259</v>
      </c>
      <c r="O1582" s="4" t="str">
        <f>LEFT(Table2[[#This Row],[Description]],75)</f>
        <v>Transfer to RAINY DAY SAVINGS</v>
      </c>
      <c r="P1582" s="2" t="s">
        <v>2303</v>
      </c>
    </row>
    <row r="1583" spans="1:16" hidden="1">
      <c r="A1583" s="2">
        <v>201912</v>
      </c>
      <c r="B1583" s="3">
        <v>43829</v>
      </c>
      <c r="C1583" s="2" t="s">
        <v>2267</v>
      </c>
      <c r="D1583" s="2" t="s">
        <v>1957</v>
      </c>
      <c r="E1583" s="2">
        <v>300</v>
      </c>
      <c r="F1583" s="2" t="s">
        <v>59</v>
      </c>
      <c r="J1583" s="2">
        <v>300</v>
      </c>
      <c r="K1583" s="2" t="b">
        <v>0</v>
      </c>
      <c r="L1583" s="2"/>
      <c r="M1583" s="2"/>
      <c r="N1583" s="4" t="s">
        <v>2259</v>
      </c>
      <c r="O1583" s="4" t="str">
        <f>LEFT(Table2[[#This Row],[Description]],75)</f>
        <v>Transfer to RAINY DAY SAVINGS</v>
      </c>
      <c r="P1583" s="2" t="s">
        <v>2303</v>
      </c>
    </row>
    <row r="1584" spans="1:16" hidden="1">
      <c r="A1584" s="2">
        <v>201912</v>
      </c>
      <c r="B1584" s="3">
        <v>43829</v>
      </c>
      <c r="C1584" s="2" t="s">
        <v>2267</v>
      </c>
      <c r="D1584" s="2" t="s">
        <v>1957</v>
      </c>
      <c r="E1584" s="2">
        <v>200</v>
      </c>
      <c r="F1584" s="2" t="s">
        <v>59</v>
      </c>
      <c r="J1584" s="2">
        <v>200</v>
      </c>
      <c r="K1584" s="2" t="b">
        <v>0</v>
      </c>
      <c r="L1584" s="2"/>
      <c r="M1584" s="2"/>
      <c r="N1584" s="4" t="s">
        <v>2259</v>
      </c>
      <c r="O1584" s="4" t="str">
        <f>LEFT(Table2[[#This Row],[Description]],75)</f>
        <v>Transfer to RAINY DAY SAVINGS</v>
      </c>
      <c r="P1584" s="2" t="s">
        <v>2303</v>
      </c>
    </row>
    <row r="1585" spans="1:16" hidden="1">
      <c r="A1585" s="2">
        <v>201912</v>
      </c>
      <c r="B1585" s="3">
        <v>43829</v>
      </c>
      <c r="C1585" s="2" t="s">
        <v>2317</v>
      </c>
      <c r="D1585" s="2" t="s">
        <v>2103</v>
      </c>
      <c r="E1585" s="2">
        <v>4.26</v>
      </c>
      <c r="F1585" s="2" t="s">
        <v>9</v>
      </c>
      <c r="J1585" s="2">
        <v>4.26</v>
      </c>
      <c r="K1585" s="2" t="b">
        <v>0</v>
      </c>
      <c r="L1585" s="2"/>
      <c r="M1585" s="2"/>
      <c r="N1585" s="4" t="s">
        <v>2259</v>
      </c>
      <c r="O1585" s="4" t="str">
        <f>LEFT(Table2[[#This Row],[Description]],75)</f>
        <v>VAG ITM-TERM TREASURY ETF</v>
      </c>
      <c r="P1585" s="2" t="s">
        <v>2385</v>
      </c>
    </row>
    <row r="1586" spans="1:16" hidden="1">
      <c r="A1586" s="2">
        <v>201912</v>
      </c>
      <c r="B1586" s="3">
        <v>43829</v>
      </c>
      <c r="C1586" s="2" t="s">
        <v>2317</v>
      </c>
      <c r="D1586" s="2" t="s">
        <v>2108</v>
      </c>
      <c r="E1586" s="2">
        <v>-4.26</v>
      </c>
      <c r="F1586" s="2" t="s">
        <v>9</v>
      </c>
      <c r="J1586" s="2">
        <v>4.26</v>
      </c>
      <c r="K1586" s="2" t="b">
        <v>0</v>
      </c>
      <c r="L1586" s="2"/>
      <c r="M1586" s="2"/>
      <c r="N1586" s="4" t="s">
        <v>2273</v>
      </c>
      <c r="O1586" s="4" t="str">
        <f>LEFT(Table2[[#This Row],[Description]],75)</f>
        <v>VANGUARD INTRMDIAT TRM TRSRY ETF IV</v>
      </c>
      <c r="P1586" s="2" t="s">
        <v>2385</v>
      </c>
    </row>
    <row r="1587" spans="1:16" hidden="1">
      <c r="A1587" s="2">
        <v>201912</v>
      </c>
      <c r="B1587" s="3">
        <v>43829</v>
      </c>
      <c r="C1587" s="2" t="s">
        <v>2265</v>
      </c>
      <c r="D1587" s="2" t="s">
        <v>2109</v>
      </c>
      <c r="E1587" s="2">
        <v>33</v>
      </c>
      <c r="F1587" s="2">
        <v>0</v>
      </c>
      <c r="J1587" s="2">
        <v>33</v>
      </c>
      <c r="K1587" s="2" t="b">
        <v>0</v>
      </c>
      <c r="L1587" s="2"/>
      <c r="M1587" s="2"/>
      <c r="N1587" s="4" t="s">
        <v>2259</v>
      </c>
      <c r="O1587" s="4" t="str">
        <f>LEFT(Table2[[#This Row],[Description]],75)</f>
        <v>Venmo</v>
      </c>
      <c r="P1587" s="2"/>
    </row>
    <row r="1588" spans="1:16" hidden="1">
      <c r="A1588" s="2">
        <v>201912</v>
      </c>
      <c r="B1588" s="3">
        <v>43829</v>
      </c>
      <c r="C1588" s="2" t="s">
        <v>2265</v>
      </c>
      <c r="D1588" s="2" t="s">
        <v>2109</v>
      </c>
      <c r="E1588" s="2">
        <v>14.75</v>
      </c>
      <c r="F1588" s="2">
        <v>0</v>
      </c>
      <c r="J1588" s="2">
        <v>14.75</v>
      </c>
      <c r="K1588" s="2" t="b">
        <v>0</v>
      </c>
      <c r="L1588" s="2"/>
      <c r="M1588" s="2"/>
      <c r="N1588" s="4" t="s">
        <v>2259</v>
      </c>
      <c r="O1588" s="4" t="str">
        <f>LEFT(Table2[[#This Row],[Description]],75)</f>
        <v>Venmo</v>
      </c>
      <c r="P1588" s="2"/>
    </row>
    <row r="1589" spans="1:16" hidden="1">
      <c r="A1589" s="2">
        <v>201912</v>
      </c>
      <c r="B1589" s="3">
        <v>43829</v>
      </c>
      <c r="C1589" s="2" t="s">
        <v>2265</v>
      </c>
      <c r="D1589" s="2" t="s">
        <v>2109</v>
      </c>
      <c r="E1589" s="2">
        <v>26</v>
      </c>
      <c r="F1589" s="2">
        <v>0</v>
      </c>
      <c r="J1589" s="2">
        <v>26</v>
      </c>
      <c r="K1589" s="2" t="b">
        <v>0</v>
      </c>
      <c r="L1589" s="2"/>
      <c r="M1589" s="2"/>
      <c r="N1589" s="4" t="s">
        <v>2259</v>
      </c>
      <c r="O1589" s="4" t="str">
        <f>LEFT(Table2[[#This Row],[Description]],75)</f>
        <v>Venmo</v>
      </c>
      <c r="P1589" s="2"/>
    </row>
    <row r="1590" spans="1:16" hidden="1">
      <c r="A1590" s="2">
        <v>201912</v>
      </c>
      <c r="B1590" s="3">
        <v>43829</v>
      </c>
      <c r="C1590" s="2" t="s">
        <v>2265</v>
      </c>
      <c r="D1590" s="2" t="s">
        <v>2109</v>
      </c>
      <c r="E1590" s="2">
        <v>40</v>
      </c>
      <c r="F1590" s="2">
        <v>0</v>
      </c>
      <c r="J1590" s="2">
        <v>40</v>
      </c>
      <c r="K1590" s="2" t="b">
        <v>0</v>
      </c>
      <c r="L1590" s="2"/>
      <c r="M1590" s="2"/>
      <c r="N1590" s="4" t="s">
        <v>2259</v>
      </c>
      <c r="O1590" s="4" t="str">
        <f>LEFT(Table2[[#This Row],[Description]],75)</f>
        <v>Venmo</v>
      </c>
      <c r="P1590" s="2"/>
    </row>
    <row r="1591" spans="1:16" hidden="1">
      <c r="A1591" s="2">
        <v>201912</v>
      </c>
      <c r="B1591" s="3">
        <v>43829</v>
      </c>
      <c r="C1591" s="2" t="s">
        <v>2267</v>
      </c>
      <c r="D1591" s="2" t="s">
        <v>2109</v>
      </c>
      <c r="E1591" s="2">
        <v>33</v>
      </c>
      <c r="F1591" s="2" t="s">
        <v>21</v>
      </c>
      <c r="J1591" s="2">
        <v>33</v>
      </c>
      <c r="K1591" s="2" t="b">
        <v>0</v>
      </c>
      <c r="L1591" s="2"/>
      <c r="M1591" s="2"/>
      <c r="N1591" s="4" t="s">
        <v>2259</v>
      </c>
      <c r="O1591" s="4" t="str">
        <f>LEFT(Table2[[#This Row],[Description]],75)</f>
        <v>Venmo</v>
      </c>
      <c r="P1591" s="2" t="s">
        <v>2281</v>
      </c>
    </row>
    <row r="1592" spans="1:16" hidden="1">
      <c r="A1592" s="2">
        <v>201912</v>
      </c>
      <c r="B1592" s="3">
        <v>43829</v>
      </c>
      <c r="C1592" s="2" t="s">
        <v>2267</v>
      </c>
      <c r="D1592" s="2" t="s">
        <v>2109</v>
      </c>
      <c r="E1592" s="2">
        <v>14.75</v>
      </c>
      <c r="F1592" s="2" t="s">
        <v>21</v>
      </c>
      <c r="J1592" s="2">
        <v>14.75</v>
      </c>
      <c r="K1592" s="2" t="b">
        <v>0</v>
      </c>
      <c r="L1592" s="2"/>
      <c r="M1592" s="2"/>
      <c r="N1592" s="4" t="s">
        <v>2259</v>
      </c>
      <c r="O1592" s="4" t="str">
        <f>LEFT(Table2[[#This Row],[Description]],75)</f>
        <v>Venmo</v>
      </c>
      <c r="P1592" s="2" t="s">
        <v>2281</v>
      </c>
    </row>
    <row r="1593" spans="1:16" hidden="1">
      <c r="A1593" s="2">
        <v>201912</v>
      </c>
      <c r="B1593" s="3">
        <v>43829</v>
      </c>
      <c r="C1593" s="2" t="s">
        <v>2267</v>
      </c>
      <c r="D1593" s="2" t="s">
        <v>2109</v>
      </c>
      <c r="E1593" s="2">
        <v>26</v>
      </c>
      <c r="F1593" s="2" t="s">
        <v>21</v>
      </c>
      <c r="J1593" s="2">
        <v>26</v>
      </c>
      <c r="K1593" s="2" t="b">
        <v>0</v>
      </c>
      <c r="L1593" s="2"/>
      <c r="M1593" s="2"/>
      <c r="N1593" s="4" t="s">
        <v>2259</v>
      </c>
      <c r="O1593" s="4" t="str">
        <f>LEFT(Table2[[#This Row],[Description]],75)</f>
        <v>Venmo</v>
      </c>
      <c r="P1593" s="2" t="s">
        <v>2281</v>
      </c>
    </row>
    <row r="1594" spans="1:16" hidden="1">
      <c r="A1594" s="2">
        <v>201912</v>
      </c>
      <c r="B1594" s="3">
        <v>43829</v>
      </c>
      <c r="C1594" s="2" t="s">
        <v>2267</v>
      </c>
      <c r="D1594" s="2" t="s">
        <v>2109</v>
      </c>
      <c r="E1594" s="2">
        <v>40</v>
      </c>
      <c r="F1594" s="2" t="s">
        <v>21</v>
      </c>
      <c r="J1594" s="2">
        <v>40</v>
      </c>
      <c r="K1594" s="2" t="b">
        <v>0</v>
      </c>
      <c r="L1594" s="2"/>
      <c r="M1594" s="2"/>
      <c r="N1594" s="4" t="s">
        <v>2259</v>
      </c>
      <c r="O1594" s="4" t="str">
        <f>LEFT(Table2[[#This Row],[Description]],75)</f>
        <v>Venmo</v>
      </c>
      <c r="P1594" s="2" t="s">
        <v>2281</v>
      </c>
    </row>
    <row r="1595" spans="1:16" hidden="1">
      <c r="A1595" s="2">
        <v>201912</v>
      </c>
      <c r="B1595" s="3">
        <v>43829</v>
      </c>
      <c r="C1595" s="2" t="s">
        <v>2265</v>
      </c>
      <c r="D1595" s="2" t="s">
        <v>2112</v>
      </c>
      <c r="E1595" s="2">
        <v>-86.1</v>
      </c>
      <c r="F1595" s="2" t="s">
        <v>9</v>
      </c>
      <c r="J1595" s="2">
        <v>86.1</v>
      </c>
      <c r="K1595" s="2" t="b">
        <v>0</v>
      </c>
      <c r="L1595" s="2"/>
      <c r="M1595" s="2"/>
      <c r="N1595" s="4" t="s">
        <v>2273</v>
      </c>
      <c r="O1595" s="4" t="str">
        <f>LEFT(Table2[[#This Row],[Description]],75)</f>
        <v>Venmo Type Cashout</v>
      </c>
      <c r="P1595" s="2" t="s">
        <v>2279</v>
      </c>
    </row>
    <row r="1596" spans="1:16" hidden="1">
      <c r="A1596" s="2">
        <v>201912</v>
      </c>
      <c r="B1596" s="3">
        <v>43829</v>
      </c>
      <c r="C1596" s="2" t="s">
        <v>2267</v>
      </c>
      <c r="D1596" s="2" t="s">
        <v>2112</v>
      </c>
      <c r="E1596" s="2">
        <v>-86.1</v>
      </c>
      <c r="F1596" s="2" t="s">
        <v>9</v>
      </c>
      <c r="J1596" s="2">
        <v>86.1</v>
      </c>
      <c r="K1596" s="2" t="b">
        <v>0</v>
      </c>
      <c r="L1596" s="2"/>
      <c r="M1596" s="2"/>
      <c r="N1596" s="4" t="s">
        <v>2273</v>
      </c>
      <c r="O1596" s="4" t="str">
        <f>LEFT(Table2[[#This Row],[Description]],75)</f>
        <v>Venmo Type Cashout</v>
      </c>
      <c r="P1596" s="2" t="s">
        <v>2279</v>
      </c>
    </row>
    <row r="1597" spans="1:16" hidden="1">
      <c r="A1597" s="2">
        <v>201912</v>
      </c>
      <c r="B1597" s="3">
        <v>43829</v>
      </c>
      <c r="C1597" s="2" t="s">
        <v>2258</v>
      </c>
      <c r="D1597" s="2" t="s">
        <v>2142</v>
      </c>
      <c r="E1597" s="2">
        <v>20.420000000000002</v>
      </c>
      <c r="F1597" s="2" t="s">
        <v>21</v>
      </c>
      <c r="J1597" s="2">
        <v>20.420000000000002</v>
      </c>
      <c r="K1597" s="2" t="b">
        <v>0</v>
      </c>
      <c r="L1597" s="2"/>
      <c r="M1597" s="2"/>
      <c r="N1597" s="4" t="s">
        <v>2259</v>
      </c>
      <c r="O1597" s="4" t="str">
        <f>LEFT(Table2[[#This Row],[Description]],75)</f>
        <v>Wayfair</v>
      </c>
      <c r="P1597" s="2" t="s">
        <v>2427</v>
      </c>
    </row>
    <row r="1598" spans="1:16" hidden="1">
      <c r="A1598" s="2">
        <v>201912</v>
      </c>
      <c r="B1598" s="3">
        <v>43829</v>
      </c>
      <c r="C1598" s="2" t="s">
        <v>2261</v>
      </c>
      <c r="D1598" s="2" t="s">
        <v>2142</v>
      </c>
      <c r="E1598" s="2">
        <v>20.420000000000002</v>
      </c>
      <c r="F1598" s="2" t="s">
        <v>21</v>
      </c>
      <c r="J1598" s="2">
        <v>20.420000000000002</v>
      </c>
      <c r="K1598" s="2" t="b">
        <v>0</v>
      </c>
      <c r="L1598" s="2"/>
      <c r="M1598" s="2"/>
      <c r="N1598" s="4" t="s">
        <v>2259</v>
      </c>
      <c r="O1598" s="4" t="str">
        <f>LEFT(Table2[[#This Row],[Description]],75)</f>
        <v>Wayfair</v>
      </c>
      <c r="P1598" s="2" t="s">
        <v>2281</v>
      </c>
    </row>
    <row r="1599" spans="1:16" hidden="1">
      <c r="A1599" s="2">
        <v>201912</v>
      </c>
      <c r="B1599" s="3">
        <v>43829</v>
      </c>
      <c r="C1599" s="2" t="s">
        <v>2258</v>
      </c>
      <c r="D1599" s="2" t="s">
        <v>2216</v>
      </c>
      <c r="E1599" s="2">
        <v>9.44</v>
      </c>
      <c r="F1599" s="2" t="s">
        <v>26</v>
      </c>
      <c r="J1599" s="2">
        <v>9.44</v>
      </c>
      <c r="K1599" s="2" t="b">
        <v>0</v>
      </c>
      <c r="L1599" s="2"/>
      <c r="M1599" s="2"/>
      <c r="N1599" s="4" t="s">
        <v>2259</v>
      </c>
      <c r="O1599" s="4" t="str">
        <f>LEFT(Table2[[#This Row],[Description]],75)</f>
        <v>WORLD BEAN MINNEAPOLIS MN</v>
      </c>
      <c r="P1599" s="2" t="s">
        <v>2442</v>
      </c>
    </row>
    <row r="1600" spans="1:16" hidden="1">
      <c r="A1600" s="2">
        <v>201912</v>
      </c>
      <c r="B1600" s="3">
        <v>43829</v>
      </c>
      <c r="C1600" s="2" t="s">
        <v>2261</v>
      </c>
      <c r="D1600" s="2" t="s">
        <v>2216</v>
      </c>
      <c r="E1600" s="2">
        <v>9.44</v>
      </c>
      <c r="F1600" s="2" t="s">
        <v>26</v>
      </c>
      <c r="J1600" s="2">
        <v>9.44</v>
      </c>
      <c r="K1600" s="2" t="b">
        <v>0</v>
      </c>
      <c r="L1600" s="2"/>
      <c r="M1600" s="2"/>
      <c r="N1600" s="4" t="s">
        <v>2259</v>
      </c>
      <c r="O1600" s="4" t="str">
        <f>LEFT(Table2[[#This Row],[Description]],75)</f>
        <v>WORLD BEAN MINNEAPOLIS MN</v>
      </c>
      <c r="P1600" s="2" t="s">
        <v>2442</v>
      </c>
    </row>
    <row r="1601" spans="1:16" hidden="1">
      <c r="A1601" s="2">
        <v>201912</v>
      </c>
      <c r="B1601" s="3">
        <v>43829</v>
      </c>
      <c r="C1601" s="2" t="s">
        <v>2265</v>
      </c>
      <c r="D1601" s="2" t="s">
        <v>754</v>
      </c>
      <c r="E1601" s="2">
        <v>443.01</v>
      </c>
      <c r="F1601" s="2" t="s">
        <v>9</v>
      </c>
      <c r="J1601" s="2">
        <v>443.01</v>
      </c>
      <c r="K1601" s="2" t="b">
        <v>0</v>
      </c>
      <c r="L1601" s="2"/>
      <c r="M1601" s="2"/>
      <c r="N1601" s="4" t="s">
        <v>2259</v>
      </c>
      <c r="O1601" s="4" t="str">
        <f>LEFT(Table2[[#This Row],[Description]],75)</f>
        <v>DISCOVER TYPE EPAYMENT ID CO DISCOVER ACH ECC WEB ACH Trace 17758 272709581</v>
      </c>
      <c r="P1601" s="2" t="s">
        <v>2293</v>
      </c>
    </row>
    <row r="1602" spans="1:16" hidden="1">
      <c r="A1602" s="2">
        <v>201912</v>
      </c>
      <c r="B1602" s="3">
        <v>43829</v>
      </c>
      <c r="C1602" s="2" t="s">
        <v>2267</v>
      </c>
      <c r="D1602" s="2" t="s">
        <v>754</v>
      </c>
      <c r="E1602" s="2">
        <v>443.01</v>
      </c>
      <c r="F1602" s="2" t="s">
        <v>9</v>
      </c>
      <c r="J1602" s="2">
        <v>443.01</v>
      </c>
      <c r="K1602" s="2" t="b">
        <v>0</v>
      </c>
      <c r="L1602" s="2"/>
      <c r="M1602" s="2"/>
      <c r="N1602" s="4" t="s">
        <v>2259</v>
      </c>
      <c r="O1602" s="4" t="str">
        <f>LEFT(Table2[[#This Row],[Description]],75)</f>
        <v>DISCOVER TYPE EPAYMENT ID CO DISCOVER ACH ECC WEB ACH Trace 17758 272709581</v>
      </c>
      <c r="P1602" s="2" t="s">
        <v>2293</v>
      </c>
    </row>
    <row r="1603" spans="1:16" hidden="1">
      <c r="A1603" s="2">
        <v>201912</v>
      </c>
      <c r="B1603" s="3">
        <v>43829</v>
      </c>
      <c r="C1603" s="2" t="s">
        <v>2265</v>
      </c>
      <c r="D1603" s="2" t="s">
        <v>765</v>
      </c>
      <c r="E1603" s="2">
        <v>538.52</v>
      </c>
      <c r="F1603" s="2" t="s">
        <v>9</v>
      </c>
      <c r="J1603" s="2">
        <v>538.52</v>
      </c>
      <c r="K1603" s="2" t="b">
        <v>0</v>
      </c>
      <c r="L1603" s="2"/>
      <c r="M1603" s="2"/>
      <c r="N1603" s="4" t="s">
        <v>2259</v>
      </c>
      <c r="O1603" s="4" t="str">
        <f>LEFT(Table2[[#This Row],[Description]],75)</f>
        <v>DISCOVER TYPE EPAYMENT ID CO DISCOVER ACH ECC WEB ACH Trace 57497 273949348</v>
      </c>
      <c r="P1603" s="2" t="s">
        <v>2293</v>
      </c>
    </row>
    <row r="1604" spans="1:16" hidden="1">
      <c r="A1604" s="2">
        <v>201912</v>
      </c>
      <c r="B1604" s="3">
        <v>43829</v>
      </c>
      <c r="C1604" s="2" t="s">
        <v>2267</v>
      </c>
      <c r="D1604" s="2" t="s">
        <v>765</v>
      </c>
      <c r="E1604" s="2">
        <v>538.52</v>
      </c>
      <c r="F1604" s="2" t="s">
        <v>9</v>
      </c>
      <c r="J1604" s="2">
        <v>538.52</v>
      </c>
      <c r="K1604" s="2" t="b">
        <v>0</v>
      </c>
      <c r="L1604" s="2"/>
      <c r="M1604" s="2"/>
      <c r="N1604" s="4" t="s">
        <v>2259</v>
      </c>
      <c r="O1604" s="4" t="str">
        <f>LEFT(Table2[[#This Row],[Description]],75)</f>
        <v>DISCOVER TYPE EPAYMENT ID CO DISCOVER ACH ECC WEB ACH Trace 57497 273949348</v>
      </c>
      <c r="P1604" s="2" t="s">
        <v>2293</v>
      </c>
    </row>
    <row r="1605" spans="1:16" hidden="1">
      <c r="A1605" s="2">
        <v>201912</v>
      </c>
      <c r="B1605" s="3">
        <v>43829</v>
      </c>
      <c r="C1605" s="2" t="s">
        <v>2258</v>
      </c>
      <c r="D1605" s="2" t="s">
        <v>997</v>
      </c>
      <c r="E1605" s="2">
        <v>-443.01</v>
      </c>
      <c r="F1605" s="2" t="s">
        <v>9</v>
      </c>
      <c r="J1605" s="2">
        <v>443.01</v>
      </c>
      <c r="K1605" s="2" t="b">
        <v>0</v>
      </c>
      <c r="L1605" s="2"/>
      <c r="M1605" s="2"/>
      <c r="N1605" s="4" t="s">
        <v>2273</v>
      </c>
      <c r="O1605" s="4" t="str">
        <f>LEFT(Table2[[#This Row],[Description]],75)</f>
        <v>INTERNET PAYMENT - THANK YOU</v>
      </c>
      <c r="P1605" s="2" t="s">
        <v>2291</v>
      </c>
    </row>
    <row r="1606" spans="1:16" hidden="1">
      <c r="A1606" s="2">
        <v>201912</v>
      </c>
      <c r="B1606" s="3">
        <v>43829</v>
      </c>
      <c r="C1606" s="2" t="s">
        <v>2258</v>
      </c>
      <c r="D1606" s="2" t="s">
        <v>997</v>
      </c>
      <c r="E1606" s="2">
        <v>-538.52</v>
      </c>
      <c r="F1606" s="2" t="s">
        <v>9</v>
      </c>
      <c r="J1606" s="2">
        <v>538.52</v>
      </c>
      <c r="K1606" s="2" t="b">
        <v>0</v>
      </c>
      <c r="L1606" s="2"/>
      <c r="M1606" s="2"/>
      <c r="N1606" s="4" t="s">
        <v>2273</v>
      </c>
      <c r="O1606" s="4" t="str">
        <f>LEFT(Table2[[#This Row],[Description]],75)</f>
        <v>INTERNET PAYMENT - THANK YOU</v>
      </c>
      <c r="P1606" s="2" t="s">
        <v>2291</v>
      </c>
    </row>
    <row r="1607" spans="1:16" hidden="1">
      <c r="A1607" s="2">
        <v>201912</v>
      </c>
      <c r="B1607" s="3">
        <v>43829</v>
      </c>
      <c r="C1607" s="2" t="s">
        <v>2261</v>
      </c>
      <c r="D1607" s="2" t="s">
        <v>997</v>
      </c>
      <c r="E1607" s="2">
        <v>-443.01</v>
      </c>
      <c r="F1607" s="2" t="s">
        <v>9</v>
      </c>
      <c r="J1607" s="2">
        <v>443.01</v>
      </c>
      <c r="K1607" s="2" t="b">
        <v>0</v>
      </c>
      <c r="L1607" s="2"/>
      <c r="M1607" s="2"/>
      <c r="N1607" s="4" t="s">
        <v>2273</v>
      </c>
      <c r="O1607" s="4" t="str">
        <f>LEFT(Table2[[#This Row],[Description]],75)</f>
        <v>INTERNET PAYMENT - THANK YOU</v>
      </c>
      <c r="P1607" s="2" t="s">
        <v>2291</v>
      </c>
    </row>
    <row r="1608" spans="1:16" hidden="1">
      <c r="A1608" s="2">
        <v>201912</v>
      </c>
      <c r="B1608" s="3">
        <v>43829</v>
      </c>
      <c r="C1608" s="2" t="s">
        <v>2261</v>
      </c>
      <c r="D1608" s="2" t="s">
        <v>997</v>
      </c>
      <c r="E1608" s="2">
        <v>-538.52</v>
      </c>
      <c r="F1608" s="2" t="s">
        <v>9</v>
      </c>
      <c r="J1608" s="2">
        <v>538.52</v>
      </c>
      <c r="K1608" s="2" t="b">
        <v>0</v>
      </c>
      <c r="L1608" s="2"/>
      <c r="M1608" s="2"/>
      <c r="N1608" s="4" t="s">
        <v>2273</v>
      </c>
      <c r="O1608" s="4" t="str">
        <f>LEFT(Table2[[#This Row],[Description]],75)</f>
        <v>INTERNET PAYMENT - THANK YOU</v>
      </c>
      <c r="P1608" s="2" t="s">
        <v>2291</v>
      </c>
    </row>
    <row r="1609" spans="1:16" hidden="1">
      <c r="A1609" s="2">
        <v>201912</v>
      </c>
      <c r="B1609" s="3">
        <v>43829</v>
      </c>
      <c r="C1609" s="2" t="s">
        <v>2262</v>
      </c>
      <c r="D1609" s="2" t="s">
        <v>1432</v>
      </c>
      <c r="E1609" s="2">
        <v>-1676.82</v>
      </c>
      <c r="F1609" s="2" t="s">
        <v>9</v>
      </c>
      <c r="J1609" s="2">
        <v>1676.82</v>
      </c>
      <c r="K1609" s="2" t="b">
        <v>0</v>
      </c>
      <c r="L1609" s="2"/>
      <c r="M1609" s="2"/>
      <c r="N1609" s="4" t="s">
        <v>2273</v>
      </c>
      <c r="O1609" s="4" t="str">
        <f>LEFT(Table2[[#This Row],[Description]],75)</f>
        <v>PAYMENT THANK YOU 274168400</v>
      </c>
      <c r="P1609" s="2" t="s">
        <v>2391</v>
      </c>
    </row>
    <row r="1610" spans="1:16" hidden="1">
      <c r="A1610" s="2">
        <v>201912</v>
      </c>
      <c r="B1610" s="3">
        <v>43829</v>
      </c>
      <c r="C1610" s="2" t="s">
        <v>2262</v>
      </c>
      <c r="D1610" s="2" t="s">
        <v>1433</v>
      </c>
      <c r="E1610" s="2">
        <v>-982.47</v>
      </c>
      <c r="F1610" s="2" t="s">
        <v>9</v>
      </c>
      <c r="J1610" s="2">
        <v>982.47</v>
      </c>
      <c r="K1610" s="2" t="b">
        <v>0</v>
      </c>
      <c r="L1610" s="2"/>
      <c r="M1610" s="2"/>
      <c r="N1610" s="4" t="s">
        <v>2273</v>
      </c>
      <c r="O1610" s="4" t="str">
        <f>LEFT(Table2[[#This Row],[Description]],75)</f>
        <v>PAYMENT THANK YOU 276330193</v>
      </c>
      <c r="P1610" s="2" t="s">
        <v>2391</v>
      </c>
    </row>
    <row r="1611" spans="1:16" hidden="1">
      <c r="A1611" s="2">
        <v>201912</v>
      </c>
      <c r="B1611" s="3">
        <v>43829</v>
      </c>
      <c r="C1611" s="2" t="s">
        <v>2265</v>
      </c>
      <c r="D1611" s="2" t="s">
        <v>2177</v>
      </c>
      <c r="E1611" s="2">
        <v>1676.82</v>
      </c>
      <c r="F1611" s="2" t="s">
        <v>9</v>
      </c>
      <c r="J1611" s="2">
        <v>1676.82</v>
      </c>
      <c r="K1611" s="2" t="b">
        <v>0</v>
      </c>
      <c r="L1611" s="2"/>
      <c r="M1611" s="2"/>
      <c r="N1611" s="4" t="s">
        <v>2259</v>
      </c>
      <c r="O1611" s="4" t="str">
        <f>LEFT(Table2[[#This Row],[Description]],75)</f>
        <v>Withdrawal Home payment to card 979181 273702931</v>
      </c>
      <c r="P1611" s="2" t="s">
        <v>2349</v>
      </c>
    </row>
    <row r="1612" spans="1:16" hidden="1">
      <c r="A1612" s="2">
        <v>201912</v>
      </c>
      <c r="B1612" s="3">
        <v>43829</v>
      </c>
      <c r="C1612" s="2" t="s">
        <v>2267</v>
      </c>
      <c r="D1612" s="2" t="s">
        <v>2177</v>
      </c>
      <c r="E1612" s="2">
        <v>1676.82</v>
      </c>
      <c r="F1612" s="2" t="s">
        <v>9</v>
      </c>
      <c r="J1612" s="2">
        <v>1676.82</v>
      </c>
      <c r="K1612" s="2" t="b">
        <v>0</v>
      </c>
      <c r="L1612" s="2"/>
      <c r="M1612" s="2"/>
      <c r="N1612" s="4" t="s">
        <v>2259</v>
      </c>
      <c r="O1612" s="4" t="str">
        <f>LEFT(Table2[[#This Row],[Description]],75)</f>
        <v>Withdrawal Home payment to card 979181 273702931</v>
      </c>
      <c r="P1612" s="2" t="s">
        <v>2349</v>
      </c>
    </row>
    <row r="1613" spans="1:16" hidden="1">
      <c r="A1613" s="2">
        <v>201912</v>
      </c>
      <c r="B1613" s="3">
        <v>43829</v>
      </c>
      <c r="C1613" s="2" t="s">
        <v>2265</v>
      </c>
      <c r="D1613" s="2" t="s">
        <v>2178</v>
      </c>
      <c r="E1613" s="2">
        <v>982.47</v>
      </c>
      <c r="F1613" s="2" t="s">
        <v>9</v>
      </c>
      <c r="J1613" s="2">
        <v>982.47</v>
      </c>
      <c r="K1613" s="2" t="b">
        <v>0</v>
      </c>
      <c r="L1613" s="2"/>
      <c r="M1613" s="2"/>
      <c r="N1613" s="4" t="s">
        <v>2259</v>
      </c>
      <c r="O1613" s="4" t="str">
        <f>LEFT(Table2[[#This Row],[Description]],75)</f>
        <v>Withdrawal Home payment to card 979181 275812401</v>
      </c>
      <c r="P1613" s="2" t="s">
        <v>2349</v>
      </c>
    </row>
    <row r="1614" spans="1:16" hidden="1">
      <c r="A1614" s="2">
        <v>201912</v>
      </c>
      <c r="B1614" s="3">
        <v>43829</v>
      </c>
      <c r="C1614" s="2" t="s">
        <v>2267</v>
      </c>
      <c r="D1614" s="2" t="s">
        <v>2178</v>
      </c>
      <c r="E1614" s="2">
        <v>982.47</v>
      </c>
      <c r="F1614" s="2" t="s">
        <v>9</v>
      </c>
      <c r="J1614" s="2">
        <v>982.47</v>
      </c>
      <c r="K1614" s="2" t="b">
        <v>0</v>
      </c>
      <c r="L1614" s="2"/>
      <c r="M1614" s="2"/>
      <c r="N1614" s="4" t="s">
        <v>2259</v>
      </c>
      <c r="O1614" s="4" t="str">
        <f>LEFT(Table2[[#This Row],[Description]],75)</f>
        <v>Withdrawal Home payment to card 979181 275812401</v>
      </c>
      <c r="P1614" s="2" t="s">
        <v>2349</v>
      </c>
    </row>
    <row r="1615" spans="1:16" hidden="1">
      <c r="A1615" s="2">
        <v>202001</v>
      </c>
      <c r="B1615" s="3">
        <v>43831</v>
      </c>
      <c r="C1615" s="2" t="s">
        <v>2305</v>
      </c>
      <c r="D1615" s="2" t="s">
        <v>670</v>
      </c>
      <c r="E1615" s="2">
        <v>-171.07</v>
      </c>
      <c r="F1615" s="2" t="s">
        <v>16</v>
      </c>
      <c r="J1615" s="2">
        <v>171.07</v>
      </c>
      <c r="K1615" s="2" t="b">
        <v>0</v>
      </c>
      <c r="L1615" s="2"/>
      <c r="M1615" s="2"/>
      <c r="N1615" s="4" t="s">
        <v>2273</v>
      </c>
      <c r="O1615" s="4" t="str">
        <f>LEFT(Table2[[#This Row],[Description]],75)</f>
        <v>Cred Rebate</v>
      </c>
      <c r="P1615" s="2" t="s">
        <v>2443</v>
      </c>
    </row>
    <row r="1616" spans="1:16" hidden="1">
      <c r="A1616" s="2">
        <v>202001</v>
      </c>
      <c r="B1616" s="3">
        <v>43831</v>
      </c>
      <c r="C1616" s="2" t="s">
        <v>2261</v>
      </c>
      <c r="D1616" s="2" t="s">
        <v>684</v>
      </c>
      <c r="E1616" s="2">
        <v>96.95</v>
      </c>
      <c r="F1616" s="2" t="s">
        <v>28</v>
      </c>
      <c r="J1616" s="2">
        <v>96.95</v>
      </c>
      <c r="K1616" s="2" t="b">
        <v>0</v>
      </c>
      <c r="L1616" s="2"/>
      <c r="M1616" s="2"/>
      <c r="N1616" s="4" t="s">
        <v>2259</v>
      </c>
      <c r="O1616" s="4" t="str">
        <f>LEFT(Table2[[#This Row],[Description]],75)</f>
        <v>Cub Foods</v>
      </c>
      <c r="P1616" s="2" t="s">
        <v>2370</v>
      </c>
    </row>
    <row r="1617" spans="1:16" hidden="1">
      <c r="A1617" s="2">
        <v>202001</v>
      </c>
      <c r="B1617" s="3">
        <v>43831</v>
      </c>
      <c r="C1617" s="2" t="s">
        <v>2258</v>
      </c>
      <c r="D1617" s="2" t="s">
        <v>684</v>
      </c>
      <c r="E1617" s="2">
        <v>96.95</v>
      </c>
      <c r="F1617" s="2" t="s">
        <v>28</v>
      </c>
      <c r="J1617" s="2">
        <v>96.95</v>
      </c>
      <c r="K1617" s="2" t="b">
        <v>0</v>
      </c>
      <c r="L1617" s="2"/>
      <c r="M1617" s="2"/>
      <c r="N1617" s="4" t="s">
        <v>2259</v>
      </c>
      <c r="O1617" s="4" t="str">
        <f>LEFT(Table2[[#This Row],[Description]],75)</f>
        <v>Cub Foods</v>
      </c>
      <c r="P1617" s="2" t="s">
        <v>2370</v>
      </c>
    </row>
    <row r="1618" spans="1:16" hidden="1">
      <c r="A1618" s="2">
        <v>202001</v>
      </c>
      <c r="B1618" s="3">
        <v>43831</v>
      </c>
      <c r="C1618" s="2" t="s">
        <v>2314</v>
      </c>
      <c r="D1618" s="2" t="s">
        <v>865</v>
      </c>
      <c r="E1618" s="2">
        <v>-565.74</v>
      </c>
      <c r="F1618" s="2">
        <v>0</v>
      </c>
      <c r="J1618" s="2">
        <v>565.74</v>
      </c>
      <c r="K1618" s="2" t="b">
        <v>0</v>
      </c>
      <c r="L1618" s="2"/>
      <c r="M1618" s="2"/>
      <c r="N1618" s="4" t="s">
        <v>2273</v>
      </c>
      <c r="O1618" s="4" t="str">
        <f>LEFT(Table2[[#This Row],[Description]],75)</f>
        <v>From Share 70 277444321</v>
      </c>
      <c r="P1618" s="2"/>
    </row>
    <row r="1619" spans="1:16" hidden="1">
      <c r="A1619" s="2">
        <v>202001</v>
      </c>
      <c r="B1619" s="3">
        <v>43831</v>
      </c>
      <c r="C1619" s="2" t="s">
        <v>2265</v>
      </c>
      <c r="D1619" s="2" t="s">
        <v>1883</v>
      </c>
      <c r="E1619" s="2">
        <v>618.65</v>
      </c>
      <c r="F1619" s="2" t="s">
        <v>11</v>
      </c>
      <c r="J1619" s="2">
        <v>618.65</v>
      </c>
      <c r="K1619" s="2" t="b">
        <v>0</v>
      </c>
      <c r="L1619" s="2"/>
      <c r="M1619" s="2"/>
      <c r="N1619" s="4" t="s">
        <v>2259</v>
      </c>
      <c r="O1619" s="4" t="str">
        <f>LEFT(Table2[[#This Row],[Description]],75)</f>
        <v>To Loan 02 277305767</v>
      </c>
      <c r="P1619" s="2" t="s">
        <v>2316</v>
      </c>
    </row>
    <row r="1620" spans="1:16" hidden="1">
      <c r="A1620" s="2">
        <v>202001</v>
      </c>
      <c r="B1620" s="3">
        <v>43831</v>
      </c>
      <c r="C1620" s="2" t="s">
        <v>2267</v>
      </c>
      <c r="D1620" s="2" t="s">
        <v>1883</v>
      </c>
      <c r="E1620" s="2">
        <v>618.65</v>
      </c>
      <c r="F1620" s="2" t="s">
        <v>11</v>
      </c>
      <c r="J1620" s="2">
        <v>618.65</v>
      </c>
      <c r="K1620" s="2" t="b">
        <v>0</v>
      </c>
      <c r="L1620" s="2"/>
      <c r="M1620" s="2"/>
      <c r="N1620" s="4" t="s">
        <v>2259</v>
      </c>
      <c r="O1620" s="4" t="str">
        <f>LEFT(Table2[[#This Row],[Description]],75)</f>
        <v>To Loan 02 277305767</v>
      </c>
      <c r="P1620" s="2" t="s">
        <v>2316</v>
      </c>
    </row>
    <row r="1621" spans="1:16" hidden="1">
      <c r="A1621" s="2">
        <v>202001</v>
      </c>
      <c r="B1621" s="3">
        <v>43832</v>
      </c>
      <c r="C1621" s="2" t="s">
        <v>2261</v>
      </c>
      <c r="D1621" s="2" t="s">
        <v>38</v>
      </c>
      <c r="E1621" s="2">
        <v>8.58</v>
      </c>
      <c r="F1621" s="2" t="s">
        <v>38</v>
      </c>
      <c r="J1621" s="2">
        <v>8.58</v>
      </c>
      <c r="K1621" s="2" t="b">
        <v>0</v>
      </c>
      <c r="L1621" s="2"/>
      <c r="M1621" s="2"/>
      <c r="N1621" s="4" t="s">
        <v>2259</v>
      </c>
      <c r="O1621" s="4" t="str">
        <f>LEFT(Table2[[#This Row],[Description]],75)</f>
        <v>Amazon</v>
      </c>
      <c r="P1621" s="2" t="s">
        <v>2260</v>
      </c>
    </row>
    <row r="1622" spans="1:16" hidden="1">
      <c r="A1622" s="2">
        <v>202001</v>
      </c>
      <c r="B1622" s="3">
        <v>43832</v>
      </c>
      <c r="C1622" s="2" t="s">
        <v>2258</v>
      </c>
      <c r="D1622" s="2" t="s">
        <v>38</v>
      </c>
      <c r="E1622" s="2">
        <v>8.58</v>
      </c>
      <c r="F1622" s="2" t="s">
        <v>38</v>
      </c>
      <c r="J1622" s="2">
        <v>8.58</v>
      </c>
      <c r="K1622" s="2" t="b">
        <v>0</v>
      </c>
      <c r="L1622" s="2"/>
      <c r="M1622" s="2"/>
      <c r="N1622" s="4" t="s">
        <v>2259</v>
      </c>
      <c r="O1622" s="4" t="str">
        <f>LEFT(Table2[[#This Row],[Description]],75)</f>
        <v>Amazon</v>
      </c>
      <c r="P1622" s="2" t="s">
        <v>2260</v>
      </c>
    </row>
    <row r="1623" spans="1:16" hidden="1">
      <c r="A1623" s="2">
        <v>202001</v>
      </c>
      <c r="B1623" s="3">
        <v>43832</v>
      </c>
      <c r="C1623" s="2" t="s">
        <v>2265</v>
      </c>
      <c r="D1623" s="2" t="s">
        <v>587</v>
      </c>
      <c r="E1623" s="2">
        <v>200</v>
      </c>
      <c r="F1623" s="2" t="s">
        <v>61</v>
      </c>
      <c r="J1623" s="2">
        <v>200</v>
      </c>
      <c r="K1623" s="2" t="b">
        <v>0</v>
      </c>
      <c r="L1623" s="2"/>
      <c r="M1623" s="2"/>
      <c r="N1623" s="4" t="s">
        <v>2259</v>
      </c>
      <c r="O1623" s="4" t="str">
        <f>LEFT(Table2[[#This Row],[Description]],75)</f>
        <v>College Savings TYPE ACH ID 550895818 CO College Savings ACH ECC PPD ACH Tr</v>
      </c>
      <c r="P1623" s="2" t="s">
        <v>2272</v>
      </c>
    </row>
    <row r="1624" spans="1:16" hidden="1">
      <c r="A1624" s="2">
        <v>202001</v>
      </c>
      <c r="B1624" s="3">
        <v>43832</v>
      </c>
      <c r="C1624" s="2" t="s">
        <v>2267</v>
      </c>
      <c r="D1624" s="2" t="s">
        <v>587</v>
      </c>
      <c r="E1624" s="2">
        <v>200</v>
      </c>
      <c r="F1624" s="2" t="s">
        <v>61</v>
      </c>
      <c r="J1624" s="2">
        <v>200</v>
      </c>
      <c r="K1624" s="2" t="b">
        <v>0</v>
      </c>
      <c r="L1624" s="2"/>
      <c r="M1624" s="2"/>
      <c r="N1624" s="4" t="s">
        <v>2259</v>
      </c>
      <c r="O1624" s="4" t="str">
        <f>LEFT(Table2[[#This Row],[Description]],75)</f>
        <v>College Savings TYPE ACH ID 550895818 CO College Savings ACH ECC PPD ACH Tr</v>
      </c>
      <c r="P1624" s="2" t="s">
        <v>2272</v>
      </c>
    </row>
    <row r="1625" spans="1:16" hidden="1">
      <c r="A1625" s="2">
        <v>202001</v>
      </c>
      <c r="B1625" s="3">
        <v>43832</v>
      </c>
      <c r="C1625" s="2" t="s">
        <v>2262</v>
      </c>
      <c r="D1625" s="2" t="s">
        <v>1353</v>
      </c>
      <c r="E1625" s="2">
        <v>25.05</v>
      </c>
      <c r="F1625" s="2" t="s">
        <v>26</v>
      </c>
      <c r="J1625" s="2">
        <v>25.05</v>
      </c>
      <c r="K1625" s="2" t="b">
        <v>0</v>
      </c>
      <c r="L1625" s="2"/>
      <c r="M1625" s="2"/>
      <c r="N1625" s="4" t="s">
        <v>2259</v>
      </c>
      <c r="O1625" s="4" t="str">
        <f>LEFT(Table2[[#This Row],[Description]],75)</f>
        <v>Noodles &amp; Company</v>
      </c>
      <c r="P1625" s="2" t="s">
        <v>2337</v>
      </c>
    </row>
    <row r="1626" spans="1:16" hidden="1">
      <c r="A1626" s="2">
        <v>202001</v>
      </c>
      <c r="B1626" s="3">
        <v>43832</v>
      </c>
      <c r="C1626" s="2" t="s">
        <v>2265</v>
      </c>
      <c r="D1626" s="2" t="s">
        <v>31</v>
      </c>
      <c r="E1626" s="2">
        <v>1800.32</v>
      </c>
      <c r="F1626" s="2" t="s">
        <v>31</v>
      </c>
      <c r="J1626" s="2">
        <v>1800.32</v>
      </c>
      <c r="K1626" s="2" t="b">
        <v>0</v>
      </c>
      <c r="L1626" s="2"/>
      <c r="M1626" s="2"/>
      <c r="N1626" s="4" t="s">
        <v>2259</v>
      </c>
      <c r="O1626" s="4" t="str">
        <f>LEFT(Table2[[#This Row],[Description]],75)</f>
        <v>Target</v>
      </c>
      <c r="P1626" s="2" t="s">
        <v>2309</v>
      </c>
    </row>
    <row r="1627" spans="1:16" hidden="1">
      <c r="A1627" s="2">
        <v>202001</v>
      </c>
      <c r="B1627" s="3">
        <v>43832</v>
      </c>
      <c r="C1627" s="2" t="s">
        <v>2267</v>
      </c>
      <c r="D1627" s="2" t="s">
        <v>31</v>
      </c>
      <c r="E1627" s="2">
        <v>1800.32</v>
      </c>
      <c r="F1627" s="2" t="s">
        <v>31</v>
      </c>
      <c r="J1627" s="2">
        <v>1800.32</v>
      </c>
      <c r="K1627" s="2" t="b">
        <v>0</v>
      </c>
      <c r="L1627" s="2"/>
      <c r="M1627" s="2"/>
      <c r="N1627" s="4" t="s">
        <v>2259</v>
      </c>
      <c r="O1627" s="4" t="str">
        <f>LEFT(Table2[[#This Row],[Description]],75)</f>
        <v>Target</v>
      </c>
      <c r="P1627" s="2" t="s">
        <v>2309</v>
      </c>
    </row>
    <row r="1628" spans="1:16" hidden="1">
      <c r="A1628" s="2">
        <v>202001</v>
      </c>
      <c r="B1628" s="3">
        <v>43832</v>
      </c>
      <c r="C1628" s="2" t="s">
        <v>2262</v>
      </c>
      <c r="D1628" s="2" t="s">
        <v>2081</v>
      </c>
      <c r="E1628" s="2">
        <v>148.44999999999999</v>
      </c>
      <c r="F1628" s="2" t="s">
        <v>21</v>
      </c>
      <c r="J1628" s="2">
        <v>148.44999999999999</v>
      </c>
      <c r="K1628" s="2" t="b">
        <v>0</v>
      </c>
      <c r="L1628" s="2"/>
      <c r="M1628" s="2"/>
      <c r="N1628" s="4" t="s">
        <v>2259</v>
      </c>
      <c r="O1628" s="4" t="str">
        <f>LEFT(Table2[[#This Row],[Description]],75)</f>
        <v>Under Armour Retail</v>
      </c>
      <c r="P1628" s="2" t="s">
        <v>2444</v>
      </c>
    </row>
    <row r="1629" spans="1:16" hidden="1">
      <c r="A1629" s="2">
        <v>202001</v>
      </c>
      <c r="B1629" s="3">
        <v>43833</v>
      </c>
      <c r="C1629" s="2" t="s">
        <v>2262</v>
      </c>
      <c r="D1629" s="2" t="s">
        <v>109</v>
      </c>
      <c r="E1629" s="2">
        <v>7.5</v>
      </c>
      <c r="F1629" s="2" t="s">
        <v>23</v>
      </c>
      <c r="J1629" s="2">
        <v>7.5</v>
      </c>
      <c r="K1629" s="2" t="b">
        <v>0</v>
      </c>
      <c r="L1629" s="2"/>
      <c r="M1629" s="2"/>
      <c r="N1629" s="4" t="s">
        <v>2259</v>
      </c>
      <c r="O1629" s="4" t="str">
        <f>LEFT(Table2[[#This Row],[Description]],75)</f>
        <v>Allied Parking Inc</v>
      </c>
      <c r="P1629" s="2" t="s">
        <v>2404</v>
      </c>
    </row>
    <row r="1630" spans="1:16" hidden="1">
      <c r="A1630" s="2">
        <v>202001</v>
      </c>
      <c r="B1630" s="3">
        <v>43833</v>
      </c>
      <c r="C1630" s="2" t="s">
        <v>2317</v>
      </c>
      <c r="D1630" s="2" t="s">
        <v>822</v>
      </c>
      <c r="E1630" s="2">
        <v>-8.4700000000000006</v>
      </c>
      <c r="F1630" s="2" t="s">
        <v>69</v>
      </c>
      <c r="J1630" s="2">
        <v>8.4700000000000006</v>
      </c>
      <c r="K1630" s="2" t="b">
        <v>0</v>
      </c>
      <c r="L1630" s="2"/>
      <c r="M1630" s="2"/>
      <c r="N1630" s="4" t="s">
        <v>2273</v>
      </c>
      <c r="O1630" s="4" t="str">
        <f>LEFT(Table2[[#This Row],[Description]],75)</f>
        <v>ETFMG ALTERNATIVE HARVEST ETF</v>
      </c>
      <c r="P1630" s="2" t="s">
        <v>2445</v>
      </c>
    </row>
    <row r="1631" spans="1:16" hidden="1">
      <c r="A1631" s="2">
        <v>202001</v>
      </c>
      <c r="B1631" s="3">
        <v>43833</v>
      </c>
      <c r="C1631" s="2" t="s">
        <v>2262</v>
      </c>
      <c r="D1631" s="2" t="s">
        <v>1830</v>
      </c>
      <c r="E1631" s="2">
        <v>155.11000000000001</v>
      </c>
      <c r="F1631" s="2" t="s">
        <v>26</v>
      </c>
      <c r="J1631" s="2">
        <v>155.11000000000001</v>
      </c>
      <c r="K1631" s="2" t="b">
        <v>0</v>
      </c>
      <c r="L1631" s="2"/>
      <c r="M1631" s="2"/>
      <c r="N1631" s="4" t="s">
        <v>2259</v>
      </c>
      <c r="O1631" s="4" t="str">
        <f>LEFT(Table2[[#This Row],[Description]],75)</f>
        <v>TEQUILA BUTCHER CHANHASSEN MN 278225083</v>
      </c>
      <c r="P1631" s="2" t="s">
        <v>2446</v>
      </c>
    </row>
    <row r="1632" spans="1:16" hidden="1">
      <c r="A1632" s="2">
        <v>202001</v>
      </c>
      <c r="B1632" s="3">
        <v>43834</v>
      </c>
      <c r="C1632" s="2" t="s">
        <v>2447</v>
      </c>
      <c r="D1632" s="2" t="s">
        <v>38</v>
      </c>
      <c r="E1632" s="2">
        <v>11.27</v>
      </c>
      <c r="F1632" s="2" t="s">
        <v>38</v>
      </c>
      <c r="J1632" s="2">
        <v>11.27</v>
      </c>
      <c r="K1632" s="2" t="b">
        <v>0</v>
      </c>
      <c r="L1632" s="2"/>
      <c r="M1632" s="2"/>
      <c r="N1632" s="4" t="s">
        <v>2259</v>
      </c>
      <c r="O1632" s="4" t="str">
        <f>LEFT(Table2[[#This Row],[Description]],75)</f>
        <v>Amazon</v>
      </c>
      <c r="P1632" s="2" t="s">
        <v>2260</v>
      </c>
    </row>
    <row r="1633" spans="1:16" hidden="1">
      <c r="A1633" s="2">
        <v>202001</v>
      </c>
      <c r="B1633" s="3">
        <v>43834</v>
      </c>
      <c r="C1633" s="2" t="s">
        <v>2258</v>
      </c>
      <c r="D1633" s="2" t="s">
        <v>38</v>
      </c>
      <c r="E1633" s="2">
        <v>11.27</v>
      </c>
      <c r="F1633" s="2" t="s">
        <v>38</v>
      </c>
      <c r="J1633" s="2">
        <v>11.27</v>
      </c>
      <c r="K1633" s="2" t="b">
        <v>0</v>
      </c>
      <c r="L1633" s="2"/>
      <c r="M1633" s="2"/>
      <c r="N1633" s="4" t="s">
        <v>2259</v>
      </c>
      <c r="O1633" s="4" t="str">
        <f>LEFT(Table2[[#This Row],[Description]],75)</f>
        <v>Amazon</v>
      </c>
      <c r="P1633" s="2" t="s">
        <v>2260</v>
      </c>
    </row>
    <row r="1634" spans="1:16" hidden="1">
      <c r="A1634" s="2">
        <v>202001</v>
      </c>
      <c r="B1634" s="3">
        <v>43834</v>
      </c>
      <c r="C1634" s="2" t="s">
        <v>2265</v>
      </c>
      <c r="D1634" s="2" t="s">
        <v>425</v>
      </c>
      <c r="E1634" s="2">
        <v>-89.22</v>
      </c>
      <c r="F1634" s="2" t="s">
        <v>16</v>
      </c>
      <c r="J1634" s="2">
        <v>89.22</v>
      </c>
      <c r="K1634" s="2" t="b">
        <v>0</v>
      </c>
      <c r="L1634" s="2"/>
      <c r="M1634" s="2"/>
      <c r="N1634" s="4" t="s">
        <v>2273</v>
      </c>
      <c r="O1634" s="4" t="str">
        <f>LEFT(Table2[[#This Row],[Description]],75)</f>
        <v>Cargill Incorpor Type</v>
      </c>
      <c r="P1634" s="2" t="s">
        <v>2282</v>
      </c>
    </row>
    <row r="1635" spans="1:16" hidden="1">
      <c r="A1635" s="2">
        <v>202001</v>
      </c>
      <c r="B1635" s="3">
        <v>43834</v>
      </c>
      <c r="C1635" s="2" t="s">
        <v>2267</v>
      </c>
      <c r="D1635" s="2" t="s">
        <v>425</v>
      </c>
      <c r="E1635" s="2">
        <v>-89.22</v>
      </c>
      <c r="F1635" s="2" t="s">
        <v>16</v>
      </c>
      <c r="J1635" s="2">
        <v>89.22</v>
      </c>
      <c r="K1635" s="2" t="b">
        <v>0</v>
      </c>
      <c r="L1635" s="2"/>
      <c r="M1635" s="2"/>
      <c r="N1635" s="4" t="s">
        <v>2273</v>
      </c>
      <c r="O1635" s="4" t="str">
        <f>LEFT(Table2[[#This Row],[Description]],75)</f>
        <v>Cargill Incorpor Type</v>
      </c>
      <c r="P1635" s="2" t="s">
        <v>2282</v>
      </c>
    </row>
    <row r="1636" spans="1:16" hidden="1">
      <c r="A1636" s="2">
        <v>202001</v>
      </c>
      <c r="B1636" s="3">
        <v>43835</v>
      </c>
      <c r="C1636" s="2" t="s">
        <v>2262</v>
      </c>
      <c r="D1636" s="2" t="s">
        <v>1150</v>
      </c>
      <c r="E1636" s="2">
        <v>108.26</v>
      </c>
      <c r="F1636" s="2" t="s">
        <v>34</v>
      </c>
      <c r="J1636" s="2">
        <v>108.26</v>
      </c>
      <c r="K1636" s="2" t="b">
        <v>0</v>
      </c>
      <c r="L1636" s="2"/>
      <c r="M1636" s="2"/>
      <c r="N1636" s="4" t="s">
        <v>2259</v>
      </c>
      <c r="O1636" s="4" t="str">
        <f>LEFT(Table2[[#This Row],[Description]],75)</f>
        <v>LTFLIFE TIME MO DUES 8884306432 MN 278573817</v>
      </c>
      <c r="P1636" s="2" t="s">
        <v>2397</v>
      </c>
    </row>
    <row r="1637" spans="1:16" hidden="1">
      <c r="A1637" s="2">
        <v>202001</v>
      </c>
      <c r="B1637" s="3">
        <v>43835</v>
      </c>
      <c r="C1637" s="2" t="s">
        <v>2262</v>
      </c>
      <c r="D1637" s="2" t="s">
        <v>1391</v>
      </c>
      <c r="E1637" s="2">
        <v>72.010000000000005</v>
      </c>
      <c r="F1637" s="2" t="s">
        <v>26</v>
      </c>
      <c r="J1637" s="2">
        <v>72.010000000000005</v>
      </c>
      <c r="K1637" s="2" t="b">
        <v>0</v>
      </c>
      <c r="L1637" s="2"/>
      <c r="M1637" s="2"/>
      <c r="N1637" s="4" t="s">
        <v>2259</v>
      </c>
      <c r="O1637" s="4" t="str">
        <f>LEFT(Table2[[#This Row],[Description]],75)</f>
        <v>PAJARITO SAINT PAUL MN 278573818</v>
      </c>
      <c r="P1637" s="2" t="s">
        <v>2281</v>
      </c>
    </row>
    <row r="1638" spans="1:16" hidden="1">
      <c r="A1638" s="2">
        <v>202001</v>
      </c>
      <c r="B1638" s="3">
        <v>43835</v>
      </c>
      <c r="C1638" s="2" t="s">
        <v>2262</v>
      </c>
      <c r="D1638" s="2" t="s">
        <v>1707</v>
      </c>
      <c r="E1638" s="2">
        <v>24.75</v>
      </c>
      <c r="F1638" s="2" t="s">
        <v>23</v>
      </c>
      <c r="J1638" s="2">
        <v>24.75</v>
      </c>
      <c r="K1638" s="2" t="b">
        <v>0</v>
      </c>
      <c r="L1638" s="2"/>
      <c r="M1638" s="2"/>
      <c r="N1638" s="4" t="s">
        <v>2259</v>
      </c>
      <c r="O1638" s="4" t="str">
        <f>LEFT(Table2[[#This Row],[Description]],75)</f>
        <v>Speedway</v>
      </c>
      <c r="P1638" s="2" t="s">
        <v>2381</v>
      </c>
    </row>
    <row r="1639" spans="1:16" hidden="1">
      <c r="A1639" s="2">
        <v>202001</v>
      </c>
      <c r="B1639" s="3">
        <v>43835</v>
      </c>
      <c r="C1639" s="2" t="s">
        <v>2262</v>
      </c>
      <c r="D1639" s="2" t="s">
        <v>1720</v>
      </c>
      <c r="E1639" s="2">
        <v>11.5</v>
      </c>
      <c r="F1639" s="2">
        <v>0</v>
      </c>
      <c r="J1639" s="2">
        <v>11.5</v>
      </c>
      <c r="K1639" s="2" t="b">
        <v>0</v>
      </c>
      <c r="L1639" s="2"/>
      <c r="M1639" s="2"/>
      <c r="N1639" s="4" t="s">
        <v>2259</v>
      </c>
      <c r="O1639" s="4" t="str">
        <f>LEFT(Table2[[#This Row],[Description]],75)</f>
        <v>SQ CLUTCH BREWING SAINT PAUL MN 278573816</v>
      </c>
      <c r="P1639" s="2" t="s">
        <v>2281</v>
      </c>
    </row>
    <row r="1640" spans="1:16" hidden="1">
      <c r="A1640" s="2">
        <v>202001</v>
      </c>
      <c r="B1640" s="3">
        <v>43836</v>
      </c>
      <c r="C1640" s="2" t="s">
        <v>2447</v>
      </c>
      <c r="D1640" s="2" t="s">
        <v>458</v>
      </c>
      <c r="E1640" s="2">
        <v>-41.02</v>
      </c>
      <c r="F1640" s="2" t="s">
        <v>9</v>
      </c>
      <c r="J1640" s="2">
        <v>41.02</v>
      </c>
      <c r="K1640" s="2" t="b">
        <v>0</v>
      </c>
      <c r="L1640" s="2"/>
      <c r="M1640" s="2"/>
      <c r="N1640" s="4" t="s">
        <v>2273</v>
      </c>
      <c r="O1640" s="4" t="str">
        <f>LEFT(Table2[[#This Row],[Description]],75)</f>
        <v>CASHBACK BONUS REDEMPTION payment/STMT CRDT</v>
      </c>
      <c r="P1640" s="2" t="s">
        <v>2304</v>
      </c>
    </row>
    <row r="1641" spans="1:16" hidden="1">
      <c r="A1641" s="2">
        <v>202001</v>
      </c>
      <c r="B1641" s="3">
        <v>43836</v>
      </c>
      <c r="C1641" s="2" t="s">
        <v>2258</v>
      </c>
      <c r="D1641" s="2" t="s">
        <v>458</v>
      </c>
      <c r="E1641" s="2">
        <v>-41.02</v>
      </c>
      <c r="F1641" s="2" t="s">
        <v>9</v>
      </c>
      <c r="J1641" s="2">
        <v>41.02</v>
      </c>
      <c r="K1641" s="2" t="b">
        <v>0</v>
      </c>
      <c r="L1641" s="2"/>
      <c r="M1641" s="2"/>
      <c r="N1641" s="4" t="s">
        <v>2273</v>
      </c>
      <c r="O1641" s="4" t="str">
        <f>LEFT(Table2[[#This Row],[Description]],75)</f>
        <v>CASHBACK BONUS REDEMPTION payment/STMT CRDT</v>
      </c>
      <c r="P1641" s="2" t="s">
        <v>2304</v>
      </c>
    </row>
    <row r="1642" spans="1:16" hidden="1">
      <c r="A1642" s="2">
        <v>202001</v>
      </c>
      <c r="B1642" s="3">
        <v>43836</v>
      </c>
      <c r="C1642" s="2" t="s">
        <v>2447</v>
      </c>
      <c r="D1642" s="2" t="s">
        <v>997</v>
      </c>
      <c r="E1642" s="2">
        <v>-520.15</v>
      </c>
      <c r="F1642" s="2" t="s">
        <v>9</v>
      </c>
      <c r="J1642" s="2">
        <v>520.15</v>
      </c>
      <c r="K1642" s="2" t="b">
        <v>0</v>
      </c>
      <c r="L1642" s="2"/>
      <c r="M1642" s="2"/>
      <c r="N1642" s="4" t="s">
        <v>2273</v>
      </c>
      <c r="O1642" s="4" t="str">
        <f>LEFT(Table2[[#This Row],[Description]],75)</f>
        <v>INTERNET PAYMENT - THANK YOU</v>
      </c>
      <c r="P1642" s="2" t="s">
        <v>2291</v>
      </c>
    </row>
    <row r="1643" spans="1:16" hidden="1">
      <c r="A1643" s="2">
        <v>202001</v>
      </c>
      <c r="B1643" s="3">
        <v>43836</v>
      </c>
      <c r="C1643" s="2" t="s">
        <v>2258</v>
      </c>
      <c r="D1643" s="2" t="s">
        <v>997</v>
      </c>
      <c r="E1643" s="2">
        <v>-520.15</v>
      </c>
      <c r="F1643" s="2" t="s">
        <v>9</v>
      </c>
      <c r="J1643" s="2">
        <v>520.15</v>
      </c>
      <c r="K1643" s="2" t="b">
        <v>0</v>
      </c>
      <c r="L1643" s="2"/>
      <c r="M1643" s="2"/>
      <c r="N1643" s="4" t="s">
        <v>2273</v>
      </c>
      <c r="O1643" s="4" t="str">
        <f>LEFT(Table2[[#This Row],[Description]],75)</f>
        <v>INTERNET PAYMENT - THANK YOU</v>
      </c>
      <c r="P1643" s="2" t="s">
        <v>2291</v>
      </c>
    </row>
    <row r="1644" spans="1:16" hidden="1">
      <c r="A1644" s="2">
        <v>202001</v>
      </c>
      <c r="B1644" s="3">
        <v>43836</v>
      </c>
      <c r="C1644" s="2" t="s">
        <v>2270</v>
      </c>
      <c r="D1644" s="2" t="s">
        <v>1418</v>
      </c>
      <c r="E1644" s="2">
        <v>-544.47</v>
      </c>
      <c r="F1644" s="2">
        <v>0</v>
      </c>
      <c r="J1644" s="2">
        <v>544.47</v>
      </c>
      <c r="K1644" s="2" t="b">
        <v>0</v>
      </c>
      <c r="L1644" s="2"/>
      <c r="M1644" s="2"/>
      <c r="N1644" s="4" t="s">
        <v>2273</v>
      </c>
      <c r="O1644" s="4" t="str">
        <f>LEFT(Table2[[#This Row],[Description]],75)</f>
        <v>PAYMENT 279045167</v>
      </c>
      <c r="P1644" s="2"/>
    </row>
    <row r="1645" spans="1:16" hidden="1">
      <c r="A1645" s="2">
        <v>202001</v>
      </c>
      <c r="B1645" s="3">
        <v>43836</v>
      </c>
      <c r="C1645" s="2" t="s">
        <v>2262</v>
      </c>
      <c r="D1645" s="2" t="s">
        <v>1434</v>
      </c>
      <c r="E1645" s="2">
        <v>-405.68</v>
      </c>
      <c r="F1645" s="2" t="s">
        <v>9</v>
      </c>
      <c r="J1645" s="2">
        <v>405.68</v>
      </c>
      <c r="K1645" s="2" t="b">
        <v>0</v>
      </c>
      <c r="L1645" s="2"/>
      <c r="M1645" s="2"/>
      <c r="N1645" s="4" t="s">
        <v>2273</v>
      </c>
      <c r="O1645" s="4" t="str">
        <f>LEFT(Table2[[#This Row],[Description]],75)</f>
        <v>PAYMENT THANK YOU 279092507</v>
      </c>
      <c r="P1645" s="2" t="s">
        <v>2391</v>
      </c>
    </row>
    <row r="1646" spans="1:16" hidden="1">
      <c r="A1646" s="2">
        <v>202001</v>
      </c>
      <c r="B1646" s="3">
        <v>43836</v>
      </c>
      <c r="C1646" s="2" t="s">
        <v>2265</v>
      </c>
      <c r="D1646" s="2" t="s">
        <v>2179</v>
      </c>
      <c r="E1646" s="2">
        <v>405.68</v>
      </c>
      <c r="F1646" s="2" t="s">
        <v>9</v>
      </c>
      <c r="J1646" s="2">
        <v>405.68</v>
      </c>
      <c r="K1646" s="2" t="b">
        <v>0</v>
      </c>
      <c r="L1646" s="2"/>
      <c r="M1646" s="2"/>
      <c r="N1646" s="4" t="s">
        <v>2259</v>
      </c>
      <c r="O1646" s="4" t="str">
        <f>LEFT(Table2[[#This Row],[Description]],75)</f>
        <v>Withdrawal Home payment to card 979181 278608583</v>
      </c>
      <c r="P1646" s="2" t="s">
        <v>2349</v>
      </c>
    </row>
    <row r="1647" spans="1:16" hidden="1">
      <c r="A1647" s="2">
        <v>202001</v>
      </c>
      <c r="B1647" s="3">
        <v>43836</v>
      </c>
      <c r="C1647" s="2" t="s">
        <v>2267</v>
      </c>
      <c r="D1647" s="2" t="s">
        <v>2179</v>
      </c>
      <c r="E1647" s="2">
        <v>405.68</v>
      </c>
      <c r="F1647" s="2" t="s">
        <v>9</v>
      </c>
      <c r="J1647" s="2">
        <v>405.68</v>
      </c>
      <c r="K1647" s="2" t="b">
        <v>0</v>
      </c>
      <c r="L1647" s="2"/>
      <c r="M1647" s="2"/>
      <c r="N1647" s="4" t="s">
        <v>2259</v>
      </c>
      <c r="O1647" s="4" t="str">
        <f>LEFT(Table2[[#This Row],[Description]],75)</f>
        <v>Withdrawal Home payment to card 979181 278608583</v>
      </c>
      <c r="P1647" s="2" t="s">
        <v>2349</v>
      </c>
    </row>
    <row r="1648" spans="1:16" hidden="1">
      <c r="A1648" s="2">
        <v>201910</v>
      </c>
      <c r="B1648" s="3">
        <v>43742</v>
      </c>
      <c r="C1648" s="2" t="s">
        <v>2267</v>
      </c>
      <c r="D1648" s="2" t="s">
        <v>266</v>
      </c>
      <c r="E1648" s="2">
        <v>2914.59</v>
      </c>
      <c r="F1648" s="2" t="s">
        <v>5</v>
      </c>
      <c r="J1648" s="2">
        <v>2914.59</v>
      </c>
      <c r="K1648" s="2" t="b">
        <v>0</v>
      </c>
      <c r="L1648" s="2"/>
      <c r="M1648" s="2"/>
      <c r="N1648" s="4" t="s">
        <v>2259</v>
      </c>
      <c r="O1648" s="4" t="str">
        <f>LEFT(Table2[[#This Row],[Description]],75)</f>
        <v>BCU MORTGAGE TYPE LOAN PAYMT ID 9DRAFTING CO BCU MORTGAGE ACH ECC WEB ACH T</v>
      </c>
      <c r="P1648" s="2"/>
    </row>
    <row r="1649" spans="1:16" hidden="1">
      <c r="A1649" s="2">
        <v>202009</v>
      </c>
      <c r="B1649" s="3">
        <v>44078</v>
      </c>
      <c r="C1649" s="2" t="s">
        <v>2265</v>
      </c>
      <c r="D1649" s="2" t="s">
        <v>267</v>
      </c>
      <c r="E1649" s="2">
        <v>2832.51</v>
      </c>
      <c r="F1649" s="2" t="e">
        <f>IF(Table2[[#This Row],[Manual Cat Value]]="",VLOOKUP(Table2[[#This Row],[Description]],'Actuals Lookup'!D:F,3,0),Table2[[#This Row],[Manual Cat Value]])</f>
        <v>#N/A</v>
      </c>
      <c r="J1649" s="2">
        <v>2832.51</v>
      </c>
      <c r="K1649" s="2" t="b">
        <v>0</v>
      </c>
      <c r="L1649" s="2"/>
      <c r="M1649" s="2"/>
      <c r="N1649" s="4" t="s">
        <v>2259</v>
      </c>
      <c r="O1649" s="4" t="str">
        <f>LEFT(Table2[[#This Row],[Description]],75)</f>
        <v>BCU MORTGAGE TYPE LOAN PAYMT ID 9DRAFTING CO BCU MORTGAGE ACH ECC WEB ACH T</v>
      </c>
      <c r="P1649" s="2" t="s">
        <v>2345</v>
      </c>
    </row>
    <row r="1650" spans="1:16" hidden="1">
      <c r="A1650" s="2">
        <v>202001</v>
      </c>
      <c r="B1650" s="3">
        <v>43836</v>
      </c>
      <c r="C1650" s="2" t="s">
        <v>2317</v>
      </c>
      <c r="D1650" s="2" t="s">
        <v>305</v>
      </c>
      <c r="E1650" s="2">
        <v>1647.95</v>
      </c>
      <c r="F1650" s="2" t="s">
        <v>69</v>
      </c>
      <c r="J1650" s="2">
        <v>1647.95</v>
      </c>
      <c r="K1650" s="2" t="b">
        <v>0</v>
      </c>
      <c r="L1650" s="2"/>
      <c r="M1650" s="2"/>
      <c r="N1650" s="4" t="s">
        <v>2259</v>
      </c>
      <c r="O1650" s="4" t="str">
        <f>LEFT(Table2[[#This Row],[Description]],75)</f>
        <v>BOEING CO</v>
      </c>
      <c r="P1650" s="2" t="s">
        <v>2425</v>
      </c>
    </row>
    <row r="1651" spans="1:16" hidden="1">
      <c r="A1651" s="2">
        <v>202001</v>
      </c>
      <c r="B1651" s="3">
        <v>43836</v>
      </c>
      <c r="C1651" s="2" t="s">
        <v>2265</v>
      </c>
      <c r="D1651" s="2" t="s">
        <v>637</v>
      </c>
      <c r="E1651" s="2">
        <v>-4999.99</v>
      </c>
      <c r="F1651" s="2">
        <v>0</v>
      </c>
      <c r="J1651" s="2">
        <v>4999.99</v>
      </c>
      <c r="K1651" s="2" t="b">
        <v>0</v>
      </c>
      <c r="L1651" s="2"/>
      <c r="M1651" s="2"/>
      <c r="N1651" s="4" t="s">
        <v>2273</v>
      </c>
      <c r="O1651" s="4" t="str">
        <f>LEFT(Table2[[#This Row],[Description]],75)</f>
        <v>Connectyourcare Type Svbclaims</v>
      </c>
      <c r="P1651" s="2"/>
    </row>
    <row r="1652" spans="1:16" hidden="1">
      <c r="A1652" s="2">
        <v>202001</v>
      </c>
      <c r="B1652" s="3">
        <v>43836</v>
      </c>
      <c r="C1652" s="2" t="s">
        <v>2267</v>
      </c>
      <c r="D1652" s="2" t="s">
        <v>637</v>
      </c>
      <c r="E1652" s="2">
        <v>-4999.99</v>
      </c>
      <c r="F1652" s="2" t="s">
        <v>9</v>
      </c>
      <c r="J1652" s="2">
        <v>4999.99</v>
      </c>
      <c r="K1652" s="2" t="b">
        <v>0</v>
      </c>
      <c r="L1652" s="2"/>
      <c r="M1652" s="2"/>
      <c r="N1652" s="4" t="s">
        <v>2273</v>
      </c>
      <c r="O1652" s="4" t="str">
        <f>LEFT(Table2[[#This Row],[Description]],75)</f>
        <v>Connectyourcare Type Svbclaims</v>
      </c>
      <c r="P1652" s="2" t="s">
        <v>2281</v>
      </c>
    </row>
    <row r="1653" spans="1:16" hidden="1">
      <c r="A1653" s="2">
        <v>202001</v>
      </c>
      <c r="B1653" s="3">
        <v>43836</v>
      </c>
      <c r="C1653" s="2" t="s">
        <v>2317</v>
      </c>
      <c r="D1653" s="2" t="s">
        <v>822</v>
      </c>
      <c r="E1653" s="2">
        <v>8.4700000000000006</v>
      </c>
      <c r="F1653" s="2" t="s">
        <v>69</v>
      </c>
      <c r="J1653" s="2">
        <v>8.4700000000000006</v>
      </c>
      <c r="K1653" s="2" t="b">
        <v>0</v>
      </c>
      <c r="L1653" s="2"/>
      <c r="M1653" s="2"/>
      <c r="N1653" s="4" t="s">
        <v>2259</v>
      </c>
      <c r="O1653" s="4" t="str">
        <f>LEFT(Table2[[#This Row],[Description]],75)</f>
        <v>ETFMG ALTERNATIVE HARVEST ETF</v>
      </c>
      <c r="P1653" s="2" t="s">
        <v>2445</v>
      </c>
    </row>
    <row r="1654" spans="1:16" hidden="1">
      <c r="A1654" s="2">
        <v>202001</v>
      </c>
      <c r="B1654" s="3">
        <v>43836</v>
      </c>
      <c r="C1654" s="2" t="s">
        <v>2275</v>
      </c>
      <c r="D1654" s="2" t="s">
        <v>1633</v>
      </c>
      <c r="E1654" s="2">
        <v>150</v>
      </c>
      <c r="F1654" s="2" t="s">
        <v>9</v>
      </c>
      <c r="J1654" s="2">
        <v>150</v>
      </c>
      <c r="K1654" s="2" t="b">
        <v>0</v>
      </c>
      <c r="L1654" s="2"/>
      <c r="M1654" s="2"/>
      <c r="N1654" s="4" t="s">
        <v>2259</v>
      </c>
      <c r="O1654" s="4" t="str">
        <f>LEFT(Table2[[#This Row],[Description]],75)</f>
        <v>SCHWAB S&amp;P 500 INDEX FD</v>
      </c>
      <c r="P1654" s="2" t="s">
        <v>2276</v>
      </c>
    </row>
    <row r="1655" spans="1:16" hidden="1">
      <c r="A1655" s="2">
        <v>202001</v>
      </c>
      <c r="B1655" s="3">
        <v>43836</v>
      </c>
      <c r="C1655" s="2" t="s">
        <v>2277</v>
      </c>
      <c r="D1655" s="2" t="s">
        <v>1633</v>
      </c>
      <c r="E1655" s="2">
        <v>150</v>
      </c>
      <c r="F1655" s="2" t="s">
        <v>9</v>
      </c>
      <c r="J1655" s="2">
        <v>150</v>
      </c>
      <c r="K1655" s="2" t="b">
        <v>0</v>
      </c>
      <c r="L1655" s="2"/>
      <c r="M1655" s="2"/>
      <c r="N1655" s="4" t="s">
        <v>2259</v>
      </c>
      <c r="O1655" s="4" t="str">
        <f>LEFT(Table2[[#This Row],[Description]],75)</f>
        <v>SCHWAB S&amp;P 500 INDEX FD</v>
      </c>
      <c r="P1655" s="2" t="s">
        <v>2276</v>
      </c>
    </row>
    <row r="1656" spans="1:16" hidden="1">
      <c r="A1656" s="2">
        <v>202001</v>
      </c>
      <c r="B1656" s="3">
        <v>43836</v>
      </c>
      <c r="C1656" s="2" t="s">
        <v>2355</v>
      </c>
      <c r="D1656" s="2" t="s">
        <v>1635</v>
      </c>
      <c r="E1656" s="2">
        <v>150</v>
      </c>
      <c r="F1656" s="2" t="s">
        <v>9</v>
      </c>
      <c r="J1656" s="2">
        <v>150</v>
      </c>
      <c r="K1656" s="2" t="b">
        <v>0</v>
      </c>
      <c r="L1656" s="2"/>
      <c r="M1656" s="2"/>
      <c r="N1656" s="4" t="s">
        <v>2259</v>
      </c>
      <c r="O1656" s="4" t="str">
        <f>LEFT(Table2[[#This Row],[Description]],75)</f>
        <v>SCHWAB TOTAL STOCK MKT INDEX</v>
      </c>
      <c r="P1656" s="2" t="s">
        <v>2278</v>
      </c>
    </row>
    <row r="1657" spans="1:16" hidden="1">
      <c r="A1657" s="2">
        <v>202001</v>
      </c>
      <c r="B1657" s="3">
        <v>43836</v>
      </c>
      <c r="C1657" s="2" t="s">
        <v>2275</v>
      </c>
      <c r="D1657" s="2" t="s">
        <v>1635</v>
      </c>
      <c r="E1657" s="2">
        <v>150</v>
      </c>
      <c r="F1657" s="2" t="s">
        <v>9</v>
      </c>
      <c r="J1657" s="2">
        <v>150</v>
      </c>
      <c r="K1657" s="2" t="b">
        <v>0</v>
      </c>
      <c r="L1657" s="2"/>
      <c r="M1657" s="2"/>
      <c r="N1657" s="4" t="s">
        <v>2259</v>
      </c>
      <c r="O1657" s="4" t="str">
        <f>LEFT(Table2[[#This Row],[Description]],75)</f>
        <v>SCHWAB TOTAL STOCK MKT INDEX</v>
      </c>
      <c r="P1657" s="2" t="s">
        <v>2278</v>
      </c>
    </row>
    <row r="1658" spans="1:16" hidden="1">
      <c r="A1658" s="2">
        <v>202001</v>
      </c>
      <c r="B1658" s="3">
        <v>43836</v>
      </c>
      <c r="C1658" s="2" t="s">
        <v>2277</v>
      </c>
      <c r="D1658" s="2" t="s">
        <v>1635</v>
      </c>
      <c r="E1658" s="2">
        <v>150</v>
      </c>
      <c r="F1658" s="2" t="s">
        <v>9</v>
      </c>
      <c r="J1658" s="2">
        <v>150</v>
      </c>
      <c r="K1658" s="2" t="b">
        <v>0</v>
      </c>
      <c r="L1658" s="2"/>
      <c r="M1658" s="2"/>
      <c r="N1658" s="4" t="s">
        <v>2259</v>
      </c>
      <c r="O1658" s="4" t="str">
        <f>LEFT(Table2[[#This Row],[Description]],75)</f>
        <v>SCHWAB TOTAL STOCK MKT INDEX</v>
      </c>
      <c r="P1658" s="2" t="s">
        <v>2278</v>
      </c>
    </row>
    <row r="1659" spans="1:16" hidden="1">
      <c r="A1659" s="2">
        <v>202001</v>
      </c>
      <c r="B1659" s="3">
        <v>43836</v>
      </c>
      <c r="C1659" s="2" t="s">
        <v>2265</v>
      </c>
      <c r="D1659" s="2" t="s">
        <v>1648</v>
      </c>
      <c r="E1659" s="2">
        <v>-171</v>
      </c>
      <c r="F1659" s="2" t="s">
        <v>9</v>
      </c>
      <c r="J1659" s="2">
        <v>171</v>
      </c>
      <c r="K1659" s="2" t="b">
        <v>0</v>
      </c>
      <c r="L1659" s="2"/>
      <c r="M1659" s="2"/>
      <c r="N1659" s="4" t="s">
        <v>2273</v>
      </c>
      <c r="O1659" s="4" t="str">
        <f>LEFT(Table2[[#This Row],[Description]],75)</f>
        <v>Share</v>
      </c>
      <c r="P1659" s="2" t="s">
        <v>2448</v>
      </c>
    </row>
    <row r="1660" spans="1:16" hidden="1">
      <c r="A1660" s="2">
        <v>202001</v>
      </c>
      <c r="B1660" s="3">
        <v>43836</v>
      </c>
      <c r="C1660" s="2" t="s">
        <v>2267</v>
      </c>
      <c r="D1660" s="2" t="s">
        <v>1648</v>
      </c>
      <c r="E1660" s="2">
        <v>-171</v>
      </c>
      <c r="F1660" s="2" t="s">
        <v>9</v>
      </c>
      <c r="J1660" s="2">
        <v>171</v>
      </c>
      <c r="K1660" s="2" t="b">
        <v>0</v>
      </c>
      <c r="L1660" s="2"/>
      <c r="M1660" s="2"/>
      <c r="N1660" s="4" t="s">
        <v>2273</v>
      </c>
      <c r="O1660" s="4" t="str">
        <f>LEFT(Table2[[#This Row],[Description]],75)</f>
        <v>Share</v>
      </c>
      <c r="P1660" s="2" t="s">
        <v>2281</v>
      </c>
    </row>
    <row r="1661" spans="1:16" hidden="1">
      <c r="A1661" s="2">
        <v>202001</v>
      </c>
      <c r="B1661" s="3">
        <v>43836</v>
      </c>
      <c r="C1661" s="2" t="s">
        <v>2317</v>
      </c>
      <c r="D1661" s="2" t="s">
        <v>1812</v>
      </c>
      <c r="E1661" s="2">
        <v>1111.02</v>
      </c>
      <c r="F1661" s="2" t="s">
        <v>9</v>
      </c>
      <c r="J1661" s="2">
        <v>1111.02</v>
      </c>
      <c r="K1661" s="2" t="b">
        <v>0</v>
      </c>
      <c r="L1661" s="2"/>
      <c r="M1661" s="2"/>
      <c r="N1661" s="4" t="s">
        <v>2259</v>
      </c>
      <c r="O1661" s="4" t="str">
        <f>LEFT(Table2[[#This Row],[Description]],75)</f>
        <v>TAKE TWO INTERACTV</v>
      </c>
      <c r="P1661" s="2" t="s">
        <v>2385</v>
      </c>
    </row>
    <row r="1662" spans="1:16" hidden="1">
      <c r="A1662" s="2">
        <v>202001</v>
      </c>
      <c r="B1662" s="3">
        <v>43836</v>
      </c>
      <c r="C1662" s="2" t="s">
        <v>2305</v>
      </c>
      <c r="D1662" s="2" t="s">
        <v>1906</v>
      </c>
      <c r="E1662" s="2">
        <v>171</v>
      </c>
      <c r="F1662" s="2" t="s">
        <v>9</v>
      </c>
      <c r="J1662" s="2">
        <v>171</v>
      </c>
      <c r="K1662" s="2" t="b">
        <v>0</v>
      </c>
      <c r="L1662" s="2"/>
      <c r="M1662" s="2"/>
      <c r="N1662" s="4" t="s">
        <v>2259</v>
      </c>
      <c r="O1662" s="4" t="str">
        <f>LEFT(Table2[[#This Row],[Description]],75)</f>
        <v>To Share 70 278609540</v>
      </c>
      <c r="P1662" s="2" t="s">
        <v>2281</v>
      </c>
    </row>
    <row r="1663" spans="1:16" hidden="1">
      <c r="A1663" s="2">
        <v>202001</v>
      </c>
      <c r="B1663" s="3">
        <v>43836</v>
      </c>
      <c r="C1663" s="2" t="s">
        <v>2265</v>
      </c>
      <c r="D1663" s="2" t="s">
        <v>2109</v>
      </c>
      <c r="E1663" s="2">
        <v>20</v>
      </c>
      <c r="F1663" s="2">
        <v>0</v>
      </c>
      <c r="J1663" s="2">
        <v>20</v>
      </c>
      <c r="K1663" s="2" t="b">
        <v>0</v>
      </c>
      <c r="L1663" s="2"/>
      <c r="M1663" s="2"/>
      <c r="N1663" s="4" t="s">
        <v>2259</v>
      </c>
      <c r="O1663" s="4" t="str">
        <f>LEFT(Table2[[#This Row],[Description]],75)</f>
        <v>Venmo</v>
      </c>
      <c r="P1663" s="2"/>
    </row>
    <row r="1664" spans="1:16" hidden="1">
      <c r="A1664" s="2">
        <v>202001</v>
      </c>
      <c r="B1664" s="3">
        <v>43836</v>
      </c>
      <c r="C1664" s="2" t="s">
        <v>2267</v>
      </c>
      <c r="D1664" s="2" t="s">
        <v>2109</v>
      </c>
      <c r="E1664" s="2">
        <v>20</v>
      </c>
      <c r="F1664" s="2" t="s">
        <v>21</v>
      </c>
      <c r="J1664" s="2">
        <v>20</v>
      </c>
      <c r="K1664" s="2" t="b">
        <v>0</v>
      </c>
      <c r="L1664" s="2"/>
      <c r="M1664" s="2"/>
      <c r="N1664" s="4" t="s">
        <v>2259</v>
      </c>
      <c r="O1664" s="4" t="str">
        <f>LEFT(Table2[[#This Row],[Description]],75)</f>
        <v>Venmo</v>
      </c>
      <c r="P1664" s="2" t="s">
        <v>2281</v>
      </c>
    </row>
    <row r="1665" spans="1:16" hidden="1">
      <c r="A1665" s="2">
        <v>202001</v>
      </c>
      <c r="B1665" s="3">
        <v>43837</v>
      </c>
      <c r="C1665" s="2" t="s">
        <v>2265</v>
      </c>
      <c r="D1665" s="2" t="s">
        <v>760</v>
      </c>
      <c r="E1665" s="2">
        <v>520.15</v>
      </c>
      <c r="F1665" s="2" t="s">
        <v>9</v>
      </c>
      <c r="J1665" s="2">
        <v>520.15</v>
      </c>
      <c r="K1665" s="2" t="b">
        <v>0</v>
      </c>
      <c r="L1665" s="2"/>
      <c r="M1665" s="2"/>
      <c r="N1665" s="4" t="s">
        <v>2259</v>
      </c>
      <c r="O1665" s="4" t="str">
        <f>LEFT(Table2[[#This Row],[Description]],75)</f>
        <v>DISCOVER TYPE EPAYMENT ID CO DISCOVER ACH ECC WEB ACH Trace 39035 278871863</v>
      </c>
      <c r="P1665" s="2" t="s">
        <v>2293</v>
      </c>
    </row>
    <row r="1666" spans="1:16" hidden="1">
      <c r="A1666" s="2">
        <v>202001</v>
      </c>
      <c r="B1666" s="3">
        <v>43837</v>
      </c>
      <c r="C1666" s="2" t="s">
        <v>2267</v>
      </c>
      <c r="D1666" s="2" t="s">
        <v>760</v>
      </c>
      <c r="E1666" s="2">
        <v>520.15</v>
      </c>
      <c r="F1666" s="2" t="s">
        <v>9</v>
      </c>
      <c r="J1666" s="2">
        <v>520.15</v>
      </c>
      <c r="K1666" s="2" t="b">
        <v>0</v>
      </c>
      <c r="L1666" s="2"/>
      <c r="M1666" s="2"/>
      <c r="N1666" s="4" t="s">
        <v>2259</v>
      </c>
      <c r="O1666" s="4" t="str">
        <f>LEFT(Table2[[#This Row],[Description]],75)</f>
        <v>DISCOVER TYPE EPAYMENT ID CO DISCOVER ACH ECC WEB ACH Trace 39035 278871863</v>
      </c>
      <c r="P1666" s="2" t="s">
        <v>2293</v>
      </c>
    </row>
    <row r="1667" spans="1:16" hidden="1">
      <c r="A1667" s="2">
        <v>202001</v>
      </c>
      <c r="B1667" s="3">
        <v>43837</v>
      </c>
      <c r="C1667" s="2" t="s">
        <v>2447</v>
      </c>
      <c r="D1667" s="2" t="s">
        <v>38</v>
      </c>
      <c r="E1667" s="2">
        <v>22.02</v>
      </c>
      <c r="F1667" s="2" t="s">
        <v>38</v>
      </c>
      <c r="J1667" s="2">
        <v>22.02</v>
      </c>
      <c r="K1667" s="2" t="b">
        <v>0</v>
      </c>
      <c r="L1667" s="2"/>
      <c r="M1667" s="2"/>
      <c r="N1667" s="4" t="s">
        <v>2259</v>
      </c>
      <c r="O1667" s="4" t="str">
        <f>LEFT(Table2[[#This Row],[Description]],75)</f>
        <v>Amazon</v>
      </c>
      <c r="P1667" s="2" t="s">
        <v>2260</v>
      </c>
    </row>
    <row r="1668" spans="1:16" hidden="1">
      <c r="A1668" s="2">
        <v>202001</v>
      </c>
      <c r="B1668" s="3">
        <v>43837</v>
      </c>
      <c r="C1668" s="2" t="s">
        <v>2447</v>
      </c>
      <c r="D1668" s="2" t="s">
        <v>38</v>
      </c>
      <c r="E1668" s="2">
        <v>127.78</v>
      </c>
      <c r="F1668" s="2" t="s">
        <v>38</v>
      </c>
      <c r="J1668" s="2">
        <v>127.78</v>
      </c>
      <c r="K1668" s="2" t="b">
        <v>0</v>
      </c>
      <c r="L1668" s="2"/>
      <c r="M1668" s="2"/>
      <c r="N1668" s="4" t="s">
        <v>2259</v>
      </c>
      <c r="O1668" s="4" t="str">
        <f>LEFT(Table2[[#This Row],[Description]],75)</f>
        <v>Amazon</v>
      </c>
      <c r="P1668" s="2" t="s">
        <v>2260</v>
      </c>
    </row>
    <row r="1669" spans="1:16" hidden="1">
      <c r="A1669" s="2">
        <v>202001</v>
      </c>
      <c r="B1669" s="3">
        <v>43837</v>
      </c>
      <c r="C1669" s="2" t="s">
        <v>2258</v>
      </c>
      <c r="D1669" s="2" t="s">
        <v>38</v>
      </c>
      <c r="E1669" s="2">
        <v>22.02</v>
      </c>
      <c r="F1669" s="2" t="s">
        <v>38</v>
      </c>
      <c r="J1669" s="2">
        <v>22.02</v>
      </c>
      <c r="K1669" s="2" t="b">
        <v>0</v>
      </c>
      <c r="L1669" s="2"/>
      <c r="M1669" s="2"/>
      <c r="N1669" s="4" t="s">
        <v>2259</v>
      </c>
      <c r="O1669" s="4" t="str">
        <f>LEFT(Table2[[#This Row],[Description]],75)</f>
        <v>Amazon</v>
      </c>
      <c r="P1669" s="2" t="s">
        <v>2260</v>
      </c>
    </row>
    <row r="1670" spans="1:16" hidden="1">
      <c r="A1670" s="2">
        <v>202001</v>
      </c>
      <c r="B1670" s="3">
        <v>43837</v>
      </c>
      <c r="C1670" s="2" t="s">
        <v>2258</v>
      </c>
      <c r="D1670" s="2" t="s">
        <v>38</v>
      </c>
      <c r="E1670" s="2">
        <v>127.78</v>
      </c>
      <c r="F1670" s="2" t="s">
        <v>38</v>
      </c>
      <c r="J1670" s="2">
        <v>127.78</v>
      </c>
      <c r="K1670" s="2" t="b">
        <v>0</v>
      </c>
      <c r="L1670" s="2"/>
      <c r="M1670" s="2"/>
      <c r="N1670" s="4" t="s">
        <v>2259</v>
      </c>
      <c r="O1670" s="4" t="str">
        <f>LEFT(Table2[[#This Row],[Description]],75)</f>
        <v>Amazon</v>
      </c>
      <c r="P1670" s="2" t="s">
        <v>2260</v>
      </c>
    </row>
    <row r="1671" spans="1:16" hidden="1">
      <c r="A1671" s="2">
        <v>202001</v>
      </c>
      <c r="B1671" s="3">
        <v>43837</v>
      </c>
      <c r="C1671" s="2" t="s">
        <v>2262</v>
      </c>
      <c r="D1671" s="2" t="s">
        <v>1361</v>
      </c>
      <c r="E1671" s="2">
        <v>39.25</v>
      </c>
      <c r="F1671" s="2" t="s">
        <v>26</v>
      </c>
      <c r="J1671" s="2">
        <v>39.25</v>
      </c>
      <c r="K1671" s="2" t="b">
        <v>0</v>
      </c>
      <c r="L1671" s="2"/>
      <c r="M1671" s="2"/>
      <c r="N1671" s="4" t="s">
        <v>2259</v>
      </c>
      <c r="O1671" s="4" t="str">
        <f>LEFT(Table2[[#This Row],[Description]],75)</f>
        <v>NORTH COOP CHAHASSEN MN 279092508</v>
      </c>
      <c r="P1671" s="2" t="s">
        <v>2281</v>
      </c>
    </row>
    <row r="1672" spans="1:16" hidden="1">
      <c r="A1672" s="2">
        <v>202001</v>
      </c>
      <c r="B1672" s="3">
        <v>43837</v>
      </c>
      <c r="C1672" s="2" t="s">
        <v>2265</v>
      </c>
      <c r="D1672" s="2" t="s">
        <v>2109</v>
      </c>
      <c r="E1672" s="2">
        <v>49.5</v>
      </c>
      <c r="F1672" s="2">
        <v>0</v>
      </c>
      <c r="J1672" s="2">
        <v>49.5</v>
      </c>
      <c r="K1672" s="2" t="b">
        <v>0</v>
      </c>
      <c r="L1672" s="2"/>
      <c r="M1672" s="2"/>
      <c r="N1672" s="4" t="s">
        <v>2259</v>
      </c>
      <c r="O1672" s="4" t="str">
        <f>LEFT(Table2[[#This Row],[Description]],75)</f>
        <v>Venmo</v>
      </c>
      <c r="P1672" s="2"/>
    </row>
    <row r="1673" spans="1:16" hidden="1">
      <c r="A1673" s="2">
        <v>202001</v>
      </c>
      <c r="B1673" s="3">
        <v>43837</v>
      </c>
      <c r="C1673" s="2" t="s">
        <v>2267</v>
      </c>
      <c r="D1673" s="2" t="s">
        <v>2109</v>
      </c>
      <c r="E1673" s="2">
        <v>49.5</v>
      </c>
      <c r="F1673" s="2" t="s">
        <v>21</v>
      </c>
      <c r="J1673" s="2">
        <v>49.5</v>
      </c>
      <c r="K1673" s="2" t="b">
        <v>0</v>
      </c>
      <c r="L1673" s="2"/>
      <c r="M1673" s="2"/>
      <c r="N1673" s="4" t="s">
        <v>2259</v>
      </c>
      <c r="O1673" s="4" t="str">
        <f>LEFT(Table2[[#This Row],[Description]],75)</f>
        <v>Venmo</v>
      </c>
      <c r="P1673" s="2" t="s">
        <v>2281</v>
      </c>
    </row>
    <row r="1674" spans="1:16" hidden="1">
      <c r="A1674" s="2">
        <v>202001</v>
      </c>
      <c r="B1674" s="3">
        <v>43837</v>
      </c>
      <c r="C1674" s="2" t="s">
        <v>2265</v>
      </c>
      <c r="D1674" s="2" t="s">
        <v>2221</v>
      </c>
      <c r="E1674" s="2">
        <v>83.55</v>
      </c>
      <c r="F1674" s="2" t="s">
        <v>7</v>
      </c>
      <c r="J1674" s="2">
        <v>83.55</v>
      </c>
      <c r="K1674" s="2" t="b">
        <v>0</v>
      </c>
      <c r="L1674" s="2"/>
      <c r="M1674" s="2"/>
      <c r="N1674" s="4" t="s">
        <v>2259</v>
      </c>
      <c r="O1674" s="4" t="str">
        <f>LEFT(Table2[[#This Row],[Description]],75)</f>
        <v>Xcel Energy</v>
      </c>
      <c r="P1674" s="2" t="s">
        <v>2280</v>
      </c>
    </row>
    <row r="1675" spans="1:16" hidden="1">
      <c r="A1675" s="2">
        <v>202001</v>
      </c>
      <c r="B1675" s="3">
        <v>43837</v>
      </c>
      <c r="C1675" s="2" t="s">
        <v>2267</v>
      </c>
      <c r="D1675" s="2" t="s">
        <v>2221</v>
      </c>
      <c r="E1675" s="2">
        <v>83.55</v>
      </c>
      <c r="F1675" s="2" t="s">
        <v>7</v>
      </c>
      <c r="J1675" s="2">
        <v>83.55</v>
      </c>
      <c r="K1675" s="2" t="b">
        <v>0</v>
      </c>
      <c r="L1675" s="2"/>
      <c r="M1675" s="2"/>
      <c r="N1675" s="4" t="s">
        <v>2259</v>
      </c>
      <c r="O1675" s="4" t="str">
        <f>LEFT(Table2[[#This Row],[Description]],75)</f>
        <v>Xcel Energy</v>
      </c>
      <c r="P1675" s="2" t="s">
        <v>2280</v>
      </c>
    </row>
    <row r="1676" spans="1:16" hidden="1">
      <c r="A1676" s="2">
        <v>202001</v>
      </c>
      <c r="B1676" s="3">
        <v>43838</v>
      </c>
      <c r="C1676" s="2" t="s">
        <v>2447</v>
      </c>
      <c r="D1676" s="2" t="s">
        <v>349</v>
      </c>
      <c r="E1676" s="2">
        <v>9.89</v>
      </c>
      <c r="F1676" s="2" t="s">
        <v>26</v>
      </c>
      <c r="J1676" s="2">
        <v>9.89</v>
      </c>
      <c r="K1676" s="2" t="b">
        <v>0</v>
      </c>
      <c r="L1676" s="2"/>
      <c r="M1676" s="2"/>
      <c r="N1676" s="4" t="s">
        <v>2259</v>
      </c>
      <c r="O1676" s="4" t="str">
        <f>LEFT(Table2[[#This Row],[Description]],75)</f>
        <v>CARGILL CAF20014981579 WAYZATA MNAPPLE PAY ENDING</v>
      </c>
      <c r="P1676" s="2" t="s">
        <v>2323</v>
      </c>
    </row>
    <row r="1677" spans="1:16" hidden="1">
      <c r="A1677" s="2">
        <v>202001</v>
      </c>
      <c r="B1677" s="3">
        <v>43838</v>
      </c>
      <c r="C1677" s="2" t="s">
        <v>2258</v>
      </c>
      <c r="D1677" s="2" t="s">
        <v>349</v>
      </c>
      <c r="E1677" s="2">
        <v>9.89</v>
      </c>
      <c r="F1677" s="2" t="s">
        <v>26</v>
      </c>
      <c r="J1677" s="2">
        <v>9.89</v>
      </c>
      <c r="K1677" s="2" t="b">
        <v>0</v>
      </c>
      <c r="L1677" s="2"/>
      <c r="M1677" s="2"/>
      <c r="N1677" s="4" t="s">
        <v>2259</v>
      </c>
      <c r="O1677" s="4" t="str">
        <f>LEFT(Table2[[#This Row],[Description]],75)</f>
        <v>CARGILL CAF20014981579 WAYZATA MNAPPLE PAY ENDING</v>
      </c>
      <c r="P1677" s="2" t="s">
        <v>2323</v>
      </c>
    </row>
    <row r="1678" spans="1:16" hidden="1">
      <c r="A1678" s="2">
        <v>202001</v>
      </c>
      <c r="B1678" s="3">
        <v>43838</v>
      </c>
      <c r="C1678" s="2" t="s">
        <v>2265</v>
      </c>
      <c r="D1678" s="2" t="s">
        <v>355</v>
      </c>
      <c r="E1678" s="2">
        <v>-1726.91</v>
      </c>
      <c r="F1678" s="2" t="s">
        <v>65</v>
      </c>
      <c r="J1678" s="2">
        <v>1726.91</v>
      </c>
      <c r="K1678" s="2" t="b">
        <v>0</v>
      </c>
      <c r="L1678" s="2"/>
      <c r="M1678" s="2"/>
      <c r="N1678" s="4" t="s">
        <v>2273</v>
      </c>
      <c r="O1678" s="4" t="str">
        <f>LEFT(Table2[[#This Row],[Description]],75)</f>
        <v xml:space="preserve">CARGILL COCOA TYPE DIR DEP ID CO CARGILL COCOA ACH ECC PPD ACH Trace 02608 </v>
      </c>
      <c r="P1678" s="2" t="s">
        <v>2284</v>
      </c>
    </row>
    <row r="1679" spans="1:16" hidden="1">
      <c r="A1679" s="2">
        <v>202001</v>
      </c>
      <c r="B1679" s="3">
        <v>43838</v>
      </c>
      <c r="C1679" s="2" t="s">
        <v>2267</v>
      </c>
      <c r="D1679" s="2" t="s">
        <v>355</v>
      </c>
      <c r="E1679" s="2">
        <v>-1726.91</v>
      </c>
      <c r="F1679" s="2" t="s">
        <v>65</v>
      </c>
      <c r="J1679" s="2">
        <v>1726.91</v>
      </c>
      <c r="K1679" s="2" t="b">
        <v>0</v>
      </c>
      <c r="L1679" s="2"/>
      <c r="M1679" s="2"/>
      <c r="N1679" s="4" t="s">
        <v>2273</v>
      </c>
      <c r="O1679" s="4" t="str">
        <f>LEFT(Table2[[#This Row],[Description]],75)</f>
        <v xml:space="preserve">CARGILL COCOA TYPE DIR DEP ID CO CARGILL COCOA ACH ECC PPD ACH Trace 02608 </v>
      </c>
      <c r="P1679" s="2" t="s">
        <v>2284</v>
      </c>
    </row>
    <row r="1680" spans="1:16" hidden="1">
      <c r="A1680" s="2">
        <v>202001</v>
      </c>
      <c r="B1680" s="3">
        <v>43838</v>
      </c>
      <c r="C1680" s="2" t="s">
        <v>2265</v>
      </c>
      <c r="D1680" s="2" t="s">
        <v>484</v>
      </c>
      <c r="E1680" s="2">
        <v>210.91</v>
      </c>
      <c r="F1680" s="2" t="s">
        <v>20</v>
      </c>
      <c r="J1680" s="2">
        <v>210.91</v>
      </c>
      <c r="K1680" s="2" t="b">
        <v>0</v>
      </c>
      <c r="L1680" s="2"/>
      <c r="M1680" s="2"/>
      <c r="N1680" s="4" t="s">
        <v>2259</v>
      </c>
      <c r="O1680" s="4" t="str">
        <f>LEFT(Table2[[#This Row],[Description]],75)</f>
        <v>CCLC TYPE INTERNET ID CO CCLC ACH ECC WEB ACH Trace 67054 279111682</v>
      </c>
      <c r="P1680" s="2" t="s">
        <v>2268</v>
      </c>
    </row>
    <row r="1681" spans="1:16" hidden="1">
      <c r="A1681" s="2">
        <v>202001</v>
      </c>
      <c r="B1681" s="3">
        <v>43838</v>
      </c>
      <c r="C1681" s="2" t="s">
        <v>2267</v>
      </c>
      <c r="D1681" s="2" t="s">
        <v>484</v>
      </c>
      <c r="E1681" s="2">
        <v>210.91</v>
      </c>
      <c r="F1681" s="2" t="s">
        <v>20</v>
      </c>
      <c r="J1681" s="2">
        <v>210.91</v>
      </c>
      <c r="K1681" s="2" t="b">
        <v>0</v>
      </c>
      <c r="L1681" s="2"/>
      <c r="M1681" s="2"/>
      <c r="N1681" s="4" t="s">
        <v>2259</v>
      </c>
      <c r="O1681" s="4" t="str">
        <f>LEFT(Table2[[#This Row],[Description]],75)</f>
        <v>CCLC TYPE INTERNET ID CO CCLC ACH ECC WEB ACH Trace 67054 279111682</v>
      </c>
      <c r="P1681" s="2" t="s">
        <v>2268</v>
      </c>
    </row>
    <row r="1682" spans="1:16" hidden="1">
      <c r="A1682" s="2">
        <v>202001</v>
      </c>
      <c r="B1682" s="3">
        <v>43838</v>
      </c>
      <c r="C1682" s="2" t="s">
        <v>2262</v>
      </c>
      <c r="D1682" s="2" t="s">
        <v>538</v>
      </c>
      <c r="E1682" s="2">
        <v>29.94</v>
      </c>
      <c r="F1682" s="2" t="s">
        <v>26</v>
      </c>
      <c r="J1682" s="2">
        <v>29.94</v>
      </c>
      <c r="K1682" s="2" t="b">
        <v>0</v>
      </c>
      <c r="L1682" s="2"/>
      <c r="M1682" s="2"/>
      <c r="N1682" s="4" t="s">
        <v>2259</v>
      </c>
      <c r="O1682" s="4" t="str">
        <f>LEFT(Table2[[#This Row],[Description]],75)</f>
        <v>Chick-Fil-A</v>
      </c>
      <c r="P1682" s="2" t="s">
        <v>2281</v>
      </c>
    </row>
    <row r="1683" spans="1:16" hidden="1">
      <c r="A1683" s="2">
        <v>202001</v>
      </c>
      <c r="B1683" s="3">
        <v>43838</v>
      </c>
      <c r="C1683" s="2" t="s">
        <v>2262</v>
      </c>
      <c r="D1683" s="2" t="s">
        <v>1114</v>
      </c>
      <c r="E1683" s="2">
        <v>38.64</v>
      </c>
      <c r="F1683" s="2" t="s">
        <v>26</v>
      </c>
      <c r="J1683" s="2">
        <v>38.64</v>
      </c>
      <c r="K1683" s="2" t="b">
        <v>0</v>
      </c>
      <c r="L1683" s="2"/>
      <c r="M1683" s="2"/>
      <c r="N1683" s="4" t="s">
        <v>2259</v>
      </c>
      <c r="O1683" s="4" t="str">
        <f>LEFT(Table2[[#This Row],[Description]],75)</f>
        <v>LIFE TIME CAFE 151Q48 CHANHASSEN MN 279364373</v>
      </c>
      <c r="P1683" s="2" t="s">
        <v>2376</v>
      </c>
    </row>
    <row r="1684" spans="1:16" hidden="1">
      <c r="A1684" s="2">
        <v>202001</v>
      </c>
      <c r="B1684" s="3">
        <v>43838</v>
      </c>
      <c r="C1684" s="2" t="s">
        <v>2262</v>
      </c>
      <c r="D1684" s="2" t="s">
        <v>2135</v>
      </c>
      <c r="E1684" s="2">
        <v>31.94</v>
      </c>
      <c r="F1684" s="2" t="s">
        <v>21</v>
      </c>
      <c r="J1684" s="2">
        <v>31.94</v>
      </c>
      <c r="K1684" s="2" t="b">
        <v>0</v>
      </c>
      <c r="L1684" s="2"/>
      <c r="M1684" s="2"/>
      <c r="N1684" s="4" t="s">
        <v>2259</v>
      </c>
      <c r="O1684" s="4" t="str">
        <f>LEFT(Table2[[#This Row],[Description]],75)</f>
        <v>Walgreens</v>
      </c>
      <c r="P1684" s="2" t="s">
        <v>2389</v>
      </c>
    </row>
    <row r="1685" spans="1:16" hidden="1">
      <c r="A1685" s="2">
        <v>202001</v>
      </c>
      <c r="B1685" s="3">
        <v>43839</v>
      </c>
      <c r="C1685" s="2" t="s">
        <v>2447</v>
      </c>
      <c r="D1685" s="2" t="s">
        <v>38</v>
      </c>
      <c r="E1685" s="2">
        <v>16.489999999999998</v>
      </c>
      <c r="F1685" s="2" t="s">
        <v>38</v>
      </c>
      <c r="J1685" s="2">
        <v>16.489999999999998</v>
      </c>
      <c r="K1685" s="2" t="b">
        <v>0</v>
      </c>
      <c r="L1685" s="2"/>
      <c r="M1685" s="2"/>
      <c r="N1685" s="4" t="s">
        <v>2259</v>
      </c>
      <c r="O1685" s="4" t="str">
        <f>LEFT(Table2[[#This Row],[Description]],75)</f>
        <v>Amazon</v>
      </c>
      <c r="P1685" s="2" t="s">
        <v>2260</v>
      </c>
    </row>
    <row r="1686" spans="1:16" hidden="1">
      <c r="A1686" s="2">
        <v>202001</v>
      </c>
      <c r="B1686" s="3">
        <v>43839</v>
      </c>
      <c r="C1686" s="2" t="s">
        <v>2258</v>
      </c>
      <c r="D1686" s="2" t="s">
        <v>38</v>
      </c>
      <c r="E1686" s="2">
        <v>16.489999999999998</v>
      </c>
      <c r="F1686" s="2" t="s">
        <v>38</v>
      </c>
      <c r="J1686" s="2">
        <v>16.489999999999998</v>
      </c>
      <c r="K1686" s="2" t="b">
        <v>0</v>
      </c>
      <c r="L1686" s="2"/>
      <c r="M1686" s="2"/>
      <c r="N1686" s="4" t="s">
        <v>2259</v>
      </c>
      <c r="O1686" s="4" t="str">
        <f>LEFT(Table2[[#This Row],[Description]],75)</f>
        <v>Amazon</v>
      </c>
      <c r="P1686" s="2" t="s">
        <v>2260</v>
      </c>
    </row>
    <row r="1687" spans="1:16" hidden="1">
      <c r="A1687" s="2">
        <v>202001</v>
      </c>
      <c r="B1687" s="3">
        <v>43839</v>
      </c>
      <c r="C1687" s="2" t="s">
        <v>2262</v>
      </c>
      <c r="D1687" s="2" t="s">
        <v>821</v>
      </c>
      <c r="E1687" s="2">
        <v>52.98</v>
      </c>
      <c r="F1687" s="2" t="s">
        <v>40</v>
      </c>
      <c r="J1687" s="2">
        <v>52.98</v>
      </c>
      <c r="K1687" s="2" t="b">
        <v>0</v>
      </c>
      <c r="L1687" s="2"/>
      <c r="M1687" s="2"/>
      <c r="N1687" s="4" t="s">
        <v>2259</v>
      </c>
      <c r="O1687" s="4" t="str">
        <f>LEFT(Table2[[#This Row],[Description]],75)</f>
        <v>Erik's Bike Shop, Inc.</v>
      </c>
      <c r="P1687" s="2" t="s">
        <v>2281</v>
      </c>
    </row>
    <row r="1688" spans="1:16" hidden="1">
      <c r="A1688" s="2">
        <v>202001</v>
      </c>
      <c r="B1688" s="3">
        <v>43839</v>
      </c>
      <c r="C1688" s="2" t="s">
        <v>2262</v>
      </c>
      <c r="D1688" s="2" t="s">
        <v>1256</v>
      </c>
      <c r="E1688" s="2">
        <v>407.12</v>
      </c>
      <c r="F1688" s="2" t="s">
        <v>48</v>
      </c>
      <c r="J1688" s="2">
        <v>407.12</v>
      </c>
      <c r="K1688" s="2" t="b">
        <v>0</v>
      </c>
      <c r="L1688" s="2"/>
      <c r="M1688" s="2"/>
      <c r="N1688" s="4" t="s">
        <v>2259</v>
      </c>
      <c r="O1688" s="4" t="str">
        <f>LEFT(Table2[[#This Row],[Description]],75)</f>
        <v>MILK MOMS INC 7634130129 MN 279617416</v>
      </c>
      <c r="P1688" s="2" t="s">
        <v>2281</v>
      </c>
    </row>
    <row r="1689" spans="1:16" hidden="1">
      <c r="A1689" s="2">
        <v>202001</v>
      </c>
      <c r="B1689" s="3">
        <v>43839</v>
      </c>
      <c r="C1689" s="2" t="s">
        <v>2265</v>
      </c>
      <c r="D1689" s="2" t="s">
        <v>1471</v>
      </c>
      <c r="E1689" s="2">
        <v>7.43</v>
      </c>
      <c r="F1689" s="2" t="s">
        <v>21</v>
      </c>
      <c r="J1689" s="2">
        <v>7.43</v>
      </c>
      <c r="K1689" s="2" t="b">
        <v>0</v>
      </c>
      <c r="L1689" s="2"/>
      <c r="M1689" s="2"/>
      <c r="N1689" s="4" t="s">
        <v>2259</v>
      </c>
      <c r="O1689" s="4" t="str">
        <f>LEFT(Table2[[#This Row],[Description]],75)</f>
        <v>PayPal</v>
      </c>
      <c r="P1689" s="2" t="s">
        <v>2322</v>
      </c>
    </row>
    <row r="1690" spans="1:16" hidden="1">
      <c r="A1690" s="2">
        <v>202001</v>
      </c>
      <c r="B1690" s="3">
        <v>43839</v>
      </c>
      <c r="C1690" s="2" t="s">
        <v>2267</v>
      </c>
      <c r="D1690" s="2" t="s">
        <v>1471</v>
      </c>
      <c r="E1690" s="2">
        <v>7.43</v>
      </c>
      <c r="F1690" s="2" t="s">
        <v>21</v>
      </c>
      <c r="J1690" s="2">
        <v>7.43</v>
      </c>
      <c r="K1690" s="2" t="b">
        <v>0</v>
      </c>
      <c r="L1690" s="2"/>
      <c r="M1690" s="2"/>
      <c r="N1690" s="4" t="s">
        <v>2259</v>
      </c>
      <c r="O1690" s="4" t="str">
        <f>LEFT(Table2[[#This Row],[Description]],75)</f>
        <v>PayPal</v>
      </c>
      <c r="P1690" s="2" t="s">
        <v>2322</v>
      </c>
    </row>
    <row r="1691" spans="1:16" hidden="1">
      <c r="A1691" s="2">
        <v>202001</v>
      </c>
      <c r="B1691" s="3">
        <v>43839</v>
      </c>
      <c r="C1691" s="2" t="s">
        <v>2262</v>
      </c>
      <c r="D1691" s="2" t="s">
        <v>1707</v>
      </c>
      <c r="E1691" s="2">
        <v>38</v>
      </c>
      <c r="F1691" s="2" t="s">
        <v>23</v>
      </c>
      <c r="J1691" s="2">
        <v>38</v>
      </c>
      <c r="K1691" s="2" t="b">
        <v>0</v>
      </c>
      <c r="L1691" s="2"/>
      <c r="M1691" s="2"/>
      <c r="N1691" s="4" t="s">
        <v>2259</v>
      </c>
      <c r="O1691" s="4" t="str">
        <f>LEFT(Table2[[#This Row],[Description]],75)</f>
        <v>Speedway</v>
      </c>
      <c r="P1691" s="2" t="s">
        <v>2381</v>
      </c>
    </row>
    <row r="1692" spans="1:16" hidden="1">
      <c r="A1692" s="2">
        <v>202001</v>
      </c>
      <c r="B1692" s="3">
        <v>43840</v>
      </c>
      <c r="C1692" s="2" t="s">
        <v>2262</v>
      </c>
      <c r="D1692" s="2" t="s">
        <v>285</v>
      </c>
      <c r="E1692" s="2">
        <v>59.66</v>
      </c>
      <c r="F1692" s="2" t="s">
        <v>41</v>
      </c>
      <c r="J1692" s="2">
        <v>59.66</v>
      </c>
      <c r="K1692" s="2" t="b">
        <v>0</v>
      </c>
      <c r="L1692" s="2"/>
      <c r="M1692" s="2"/>
      <c r="N1692" s="4" t="s">
        <v>2259</v>
      </c>
      <c r="O1692" s="4" t="str">
        <f>LEFT(Table2[[#This Row],[Description]],75)</f>
        <v>BEST CLEANERS EX 5 EXCELSIOR MN 279877914</v>
      </c>
      <c r="P1692" s="2" t="s">
        <v>2406</v>
      </c>
    </row>
    <row r="1693" spans="1:16" hidden="1">
      <c r="A1693" s="2">
        <v>202001</v>
      </c>
      <c r="B1693" s="3">
        <v>43840</v>
      </c>
      <c r="C1693" s="2" t="s">
        <v>2317</v>
      </c>
      <c r="D1693" s="2" t="s">
        <v>354</v>
      </c>
      <c r="E1693" s="2">
        <v>-200</v>
      </c>
      <c r="F1693" s="2" t="s">
        <v>57</v>
      </c>
      <c r="J1693" s="2">
        <v>200</v>
      </c>
      <c r="K1693" s="2" t="b">
        <v>0</v>
      </c>
      <c r="L1693" s="2"/>
      <c r="M1693" s="2"/>
      <c r="N1693" s="4" t="s">
        <v>2273</v>
      </c>
      <c r="O1693" s="4" t="str">
        <f>LEFT(Table2[[#This Row],[Description]],75)</f>
        <v>CARGILL COCOA &amp;</v>
      </c>
      <c r="P1693" s="2" t="s">
        <v>2354</v>
      </c>
    </row>
    <row r="1694" spans="1:16" hidden="1">
      <c r="A1694" s="2">
        <v>202001</v>
      </c>
      <c r="B1694" s="3">
        <v>43840</v>
      </c>
      <c r="C1694" s="2" t="s">
        <v>2262</v>
      </c>
      <c r="D1694" s="2" t="s">
        <v>450</v>
      </c>
      <c r="E1694" s="2">
        <v>55.05</v>
      </c>
      <c r="F1694" s="2" t="s">
        <v>28</v>
      </c>
      <c r="J1694" s="2">
        <v>55.05</v>
      </c>
      <c r="K1694" s="2" t="b">
        <v>0</v>
      </c>
      <c r="L1694" s="2"/>
      <c r="M1694" s="2"/>
      <c r="N1694" s="4" t="s">
        <v>2259</v>
      </c>
      <c r="O1694" s="4" t="str">
        <f>LEFT(Table2[[#This Row],[Description]],75)</f>
        <v>CARGILL PRODUC20081436 WAYZATA MN 279877915</v>
      </c>
      <c r="P1694" s="2" t="s">
        <v>2367</v>
      </c>
    </row>
    <row r="1695" spans="1:16" hidden="1">
      <c r="A1695" s="2">
        <v>202001</v>
      </c>
      <c r="B1695" s="3">
        <v>43840</v>
      </c>
      <c r="C1695" s="2" t="s">
        <v>2265</v>
      </c>
      <c r="D1695" s="2" t="s">
        <v>1038</v>
      </c>
      <c r="E1695" s="2">
        <v>-45</v>
      </c>
      <c r="F1695" s="2">
        <v>0</v>
      </c>
      <c r="J1695" s="2">
        <v>45</v>
      </c>
      <c r="K1695" s="2" t="b">
        <v>0</v>
      </c>
      <c r="L1695" s="2"/>
      <c r="M1695" s="2"/>
      <c r="N1695" s="4" t="s">
        <v>2273</v>
      </c>
      <c r="O1695" s="4" t="str">
        <f>LEFT(Table2[[#This Row],[Description]],75)</f>
        <v>Kaufman Hall Type</v>
      </c>
      <c r="P1695" s="2"/>
    </row>
    <row r="1696" spans="1:16" hidden="1">
      <c r="A1696" s="2">
        <v>202001</v>
      </c>
      <c r="B1696" s="3">
        <v>43840</v>
      </c>
      <c r="C1696" s="2" t="s">
        <v>2267</v>
      </c>
      <c r="D1696" s="2" t="s">
        <v>1038</v>
      </c>
      <c r="E1696" s="2">
        <v>-45</v>
      </c>
      <c r="F1696" s="2" t="s">
        <v>9</v>
      </c>
      <c r="J1696" s="2">
        <v>45</v>
      </c>
      <c r="K1696" s="2" t="b">
        <v>0</v>
      </c>
      <c r="L1696" s="2"/>
      <c r="M1696" s="2"/>
      <c r="N1696" s="4" t="s">
        <v>2273</v>
      </c>
      <c r="O1696" s="4" t="str">
        <f>LEFT(Table2[[#This Row],[Description]],75)</f>
        <v>Kaufman Hall Type</v>
      </c>
      <c r="P1696" s="2" t="s">
        <v>2281</v>
      </c>
    </row>
    <row r="1697" spans="1:16" hidden="1">
      <c r="A1697" s="2">
        <v>202001</v>
      </c>
      <c r="B1697" s="3">
        <v>43840</v>
      </c>
      <c r="C1697" s="2" t="s">
        <v>2262</v>
      </c>
      <c r="D1697" s="2" t="s">
        <v>1155</v>
      </c>
      <c r="E1697" s="2">
        <v>93.99</v>
      </c>
      <c r="F1697" s="2" t="s">
        <v>40</v>
      </c>
      <c r="J1697" s="2">
        <v>93.99</v>
      </c>
      <c r="K1697" s="2" t="b">
        <v>0</v>
      </c>
      <c r="L1697" s="2"/>
      <c r="M1697" s="2"/>
      <c r="N1697" s="4" t="s">
        <v>2259</v>
      </c>
      <c r="O1697" s="4" t="str">
        <f>LEFT(Table2[[#This Row],[Description]],75)</f>
        <v>LTI ARAPAHOE BASIN SK HTTPSWWWLIFTCA 279877916</v>
      </c>
      <c r="P1697" s="2" t="s">
        <v>2281</v>
      </c>
    </row>
    <row r="1698" spans="1:16" hidden="1">
      <c r="A1698" s="2">
        <v>202001</v>
      </c>
      <c r="B1698" s="3">
        <v>43840</v>
      </c>
      <c r="C1698" s="2" t="s">
        <v>2447</v>
      </c>
      <c r="D1698" s="2" t="s">
        <v>1931</v>
      </c>
      <c r="E1698" s="2">
        <v>130.27000000000001</v>
      </c>
      <c r="F1698" s="2" t="s">
        <v>28</v>
      </c>
      <c r="J1698" s="2">
        <v>130.27000000000001</v>
      </c>
      <c r="K1698" s="2" t="b">
        <v>0</v>
      </c>
      <c r="L1698" s="2"/>
      <c r="M1698" s="2"/>
      <c r="N1698" s="4" t="s">
        <v>2259</v>
      </c>
      <c r="O1698" s="4" t="str">
        <f>LEFT(Table2[[#This Row],[Description]],75)</f>
        <v>Trader Joe's</v>
      </c>
      <c r="P1698" s="2" t="s">
        <v>2419</v>
      </c>
    </row>
    <row r="1699" spans="1:16" hidden="1">
      <c r="A1699" s="2">
        <v>202001</v>
      </c>
      <c r="B1699" s="3">
        <v>43840</v>
      </c>
      <c r="C1699" s="2" t="s">
        <v>2258</v>
      </c>
      <c r="D1699" s="2" t="s">
        <v>1931</v>
      </c>
      <c r="E1699" s="2">
        <v>130.27000000000001</v>
      </c>
      <c r="F1699" s="2" t="s">
        <v>28</v>
      </c>
      <c r="J1699" s="2">
        <v>130.27000000000001</v>
      </c>
      <c r="K1699" s="2" t="b">
        <v>0</v>
      </c>
      <c r="L1699" s="2"/>
      <c r="M1699" s="2"/>
      <c r="N1699" s="4" t="s">
        <v>2259</v>
      </c>
      <c r="O1699" s="4" t="str">
        <f>LEFT(Table2[[#This Row],[Description]],75)</f>
        <v>Trader Joe's</v>
      </c>
      <c r="P1699" s="2" t="s">
        <v>2419</v>
      </c>
    </row>
    <row r="1700" spans="1:16" hidden="1">
      <c r="A1700" s="2">
        <v>202001</v>
      </c>
      <c r="B1700" s="3">
        <v>43841</v>
      </c>
      <c r="C1700" s="2" t="s">
        <v>2447</v>
      </c>
      <c r="D1700" s="2" t="s">
        <v>2154</v>
      </c>
      <c r="E1700" s="2">
        <v>46.9</v>
      </c>
      <c r="F1700" s="2" t="s">
        <v>28</v>
      </c>
      <c r="J1700" s="2">
        <v>46.9</v>
      </c>
      <c r="K1700" s="2" t="b">
        <v>0</v>
      </c>
      <c r="L1700" s="2"/>
      <c r="M1700" s="2"/>
      <c r="N1700" s="4" t="s">
        <v>2259</v>
      </c>
      <c r="O1700" s="4" t="str">
        <f>LEFT(Table2[[#This Row],[Description]],75)</f>
        <v>Whole Foods</v>
      </c>
      <c r="P1700" s="2" t="s">
        <v>2390</v>
      </c>
    </row>
    <row r="1701" spans="1:16" hidden="1">
      <c r="A1701" s="2">
        <v>202001</v>
      </c>
      <c r="B1701" s="3">
        <v>43841</v>
      </c>
      <c r="C1701" s="2" t="s">
        <v>2258</v>
      </c>
      <c r="D1701" s="2" t="s">
        <v>2154</v>
      </c>
      <c r="E1701" s="2">
        <v>46.9</v>
      </c>
      <c r="F1701" s="2" t="s">
        <v>28</v>
      </c>
      <c r="J1701" s="2">
        <v>46.9</v>
      </c>
      <c r="K1701" s="2" t="b">
        <v>0</v>
      </c>
      <c r="L1701" s="2"/>
      <c r="M1701" s="2"/>
      <c r="N1701" s="4" t="s">
        <v>2259</v>
      </c>
      <c r="O1701" s="4" t="str">
        <f>LEFT(Table2[[#This Row],[Description]],75)</f>
        <v>Whole Foods</v>
      </c>
      <c r="P1701" s="2" t="s">
        <v>2390</v>
      </c>
    </row>
    <row r="1702" spans="1:16" hidden="1">
      <c r="A1702" s="2">
        <v>202001</v>
      </c>
      <c r="B1702" s="3">
        <v>43842</v>
      </c>
      <c r="C1702" s="2" t="s">
        <v>2262</v>
      </c>
      <c r="D1702" s="2" t="s">
        <v>163</v>
      </c>
      <c r="E1702" s="2">
        <v>39</v>
      </c>
      <c r="F1702" s="2" t="s">
        <v>21</v>
      </c>
      <c r="J1702" s="2">
        <v>39</v>
      </c>
      <c r="K1702" s="2" t="b">
        <v>0</v>
      </c>
      <c r="L1702" s="2"/>
      <c r="M1702" s="2"/>
      <c r="N1702" s="4" t="s">
        <v>2259</v>
      </c>
      <c r="O1702" s="4" t="str">
        <f>LEFT(Table2[[#This Row],[Description]],75)</f>
        <v>Apple</v>
      </c>
      <c r="P1702" s="2" t="s">
        <v>2281</v>
      </c>
    </row>
    <row r="1703" spans="1:16" hidden="1">
      <c r="A1703" s="2">
        <v>202001</v>
      </c>
      <c r="B1703" s="3">
        <v>43842</v>
      </c>
      <c r="C1703" s="2" t="s">
        <v>2447</v>
      </c>
      <c r="D1703" s="2" t="s">
        <v>506</v>
      </c>
      <c r="E1703" s="2">
        <v>45</v>
      </c>
      <c r="F1703" s="2" t="s">
        <v>7</v>
      </c>
      <c r="J1703" s="2">
        <v>45</v>
      </c>
      <c r="K1703" s="2" t="b">
        <v>0</v>
      </c>
      <c r="L1703" s="2"/>
      <c r="M1703" s="2"/>
      <c r="N1703" s="4" t="s">
        <v>2259</v>
      </c>
      <c r="O1703" s="4" t="str">
        <f>LEFT(Table2[[#This Row],[Description]],75)</f>
        <v>CenturyLink</v>
      </c>
      <c r="P1703" s="2" t="s">
        <v>2408</v>
      </c>
    </row>
    <row r="1704" spans="1:16" hidden="1">
      <c r="A1704" s="2">
        <v>202001</v>
      </c>
      <c r="B1704" s="3">
        <v>43842</v>
      </c>
      <c r="C1704" s="2" t="s">
        <v>2258</v>
      </c>
      <c r="D1704" s="2" t="s">
        <v>506</v>
      </c>
      <c r="E1704" s="2">
        <v>45</v>
      </c>
      <c r="F1704" s="2" t="s">
        <v>7</v>
      </c>
      <c r="J1704" s="2">
        <v>45</v>
      </c>
      <c r="K1704" s="2" t="b">
        <v>0</v>
      </c>
      <c r="L1704" s="2"/>
      <c r="M1704" s="2"/>
      <c r="N1704" s="4" t="s">
        <v>2259</v>
      </c>
      <c r="O1704" s="4" t="str">
        <f>LEFT(Table2[[#This Row],[Description]],75)</f>
        <v>CenturyLink</v>
      </c>
      <c r="P1704" s="2" t="s">
        <v>2408</v>
      </c>
    </row>
    <row r="1705" spans="1:16" hidden="1">
      <c r="A1705" s="2">
        <v>202001</v>
      </c>
      <c r="B1705" s="3">
        <v>43842</v>
      </c>
      <c r="C1705" s="2" t="s">
        <v>2262</v>
      </c>
      <c r="D1705" s="2" t="s">
        <v>567</v>
      </c>
      <c r="E1705" s="2">
        <v>102.6</v>
      </c>
      <c r="F1705" s="2" t="s">
        <v>26</v>
      </c>
      <c r="J1705" s="2">
        <v>102.6</v>
      </c>
      <c r="K1705" s="2" t="b">
        <v>0</v>
      </c>
      <c r="L1705" s="2"/>
      <c r="M1705" s="2"/>
      <c r="N1705" s="4" t="s">
        <v>2259</v>
      </c>
      <c r="O1705" s="4" t="str">
        <f>LEFT(Table2[[#This Row],[Description]],75)</f>
        <v>Coalition</v>
      </c>
      <c r="P1705" s="2" t="s">
        <v>2281</v>
      </c>
    </row>
    <row r="1706" spans="1:16" hidden="1">
      <c r="A1706" s="2">
        <v>202001</v>
      </c>
      <c r="B1706" s="3">
        <v>43842</v>
      </c>
      <c r="C1706" s="2" t="s">
        <v>2262</v>
      </c>
      <c r="D1706" s="2" t="s">
        <v>688</v>
      </c>
      <c r="E1706" s="2">
        <v>49.42</v>
      </c>
      <c r="F1706" s="2" t="s">
        <v>26</v>
      </c>
      <c r="J1706" s="2">
        <v>49.42</v>
      </c>
      <c r="K1706" s="2" t="b">
        <v>0</v>
      </c>
      <c r="L1706" s="2"/>
      <c r="M1706" s="2"/>
      <c r="N1706" s="4" t="s">
        <v>2259</v>
      </c>
      <c r="O1706" s="4" t="str">
        <f>LEFT(Table2[[#This Row],[Description]],75)</f>
        <v>Cultivated</v>
      </c>
      <c r="P1706" s="2" t="s">
        <v>2281</v>
      </c>
    </row>
    <row r="1707" spans="1:16" hidden="1">
      <c r="A1707" s="2">
        <v>202001</v>
      </c>
      <c r="B1707" s="3">
        <v>43842</v>
      </c>
      <c r="C1707" s="2" t="s">
        <v>2262</v>
      </c>
      <c r="D1707" s="2" t="s">
        <v>722</v>
      </c>
      <c r="E1707" s="2">
        <v>54.6</v>
      </c>
      <c r="F1707" s="2" t="s">
        <v>40</v>
      </c>
      <c r="J1707" s="2">
        <v>54.6</v>
      </c>
      <c r="K1707" s="2" t="b">
        <v>0</v>
      </c>
      <c r="L1707" s="2"/>
      <c r="M1707" s="2"/>
      <c r="N1707" s="4" t="s">
        <v>2259</v>
      </c>
      <c r="O1707" s="4" t="str">
        <f>LEFT(Table2[[#This Row],[Description]],75)</f>
        <v>Destination Massage</v>
      </c>
      <c r="P1707" s="2" t="s">
        <v>2281</v>
      </c>
    </row>
    <row r="1708" spans="1:16" hidden="1">
      <c r="A1708" s="2">
        <v>202001</v>
      </c>
      <c r="B1708" s="3">
        <v>43842</v>
      </c>
      <c r="C1708" s="2" t="s">
        <v>2262</v>
      </c>
      <c r="D1708" s="2" t="s">
        <v>726</v>
      </c>
      <c r="E1708" s="2">
        <v>236.23</v>
      </c>
      <c r="F1708" s="2" t="s">
        <v>2</v>
      </c>
      <c r="J1708" s="2">
        <v>236.23</v>
      </c>
      <c r="K1708" s="2" t="b">
        <v>0</v>
      </c>
      <c r="L1708" s="2"/>
      <c r="M1708" s="2"/>
      <c r="N1708" s="4" t="s">
        <v>2259</v>
      </c>
      <c r="O1708" s="4" t="str">
        <f>LEFT(Table2[[#This Row],[Description]],75)</f>
        <v>DETAILS RESIDENTIAL SRVC 6122161751 MN 280222012</v>
      </c>
      <c r="P1708" s="2" t="s">
        <v>2449</v>
      </c>
    </row>
    <row r="1709" spans="1:16" hidden="1">
      <c r="A1709" s="2">
        <v>202001</v>
      </c>
      <c r="B1709" s="3">
        <v>43842</v>
      </c>
      <c r="C1709" s="2" t="s">
        <v>2262</v>
      </c>
      <c r="D1709" s="2" t="s">
        <v>1674</v>
      </c>
      <c r="E1709" s="2">
        <v>199</v>
      </c>
      <c r="F1709" s="2" t="s">
        <v>40</v>
      </c>
      <c r="J1709" s="2">
        <v>199</v>
      </c>
      <c r="K1709" s="2" t="b">
        <v>0</v>
      </c>
      <c r="L1709" s="2"/>
      <c r="M1709" s="2"/>
      <c r="N1709" s="4" t="s">
        <v>2259</v>
      </c>
      <c r="O1709" s="4" t="str">
        <f>LEFT(Table2[[#This Row],[Description]],75)</f>
        <v>SNOWCOMVAIL RESORTS SKI8888380495 CO 280222015</v>
      </c>
      <c r="P1709" s="2" t="s">
        <v>2281</v>
      </c>
    </row>
    <row r="1710" spans="1:16" hidden="1">
      <c r="A1710" s="2">
        <v>202001</v>
      </c>
      <c r="B1710" s="3">
        <v>43842</v>
      </c>
      <c r="C1710" s="2" t="s">
        <v>2262</v>
      </c>
      <c r="D1710" s="2" t="s">
        <v>1691</v>
      </c>
      <c r="E1710" s="2">
        <v>-50</v>
      </c>
      <c r="F1710" s="2" t="s">
        <v>21</v>
      </c>
      <c r="J1710" s="2">
        <v>50</v>
      </c>
      <c r="K1710" s="2" t="b">
        <v>0</v>
      </c>
      <c r="L1710" s="2"/>
      <c r="M1710" s="2"/>
      <c r="N1710" s="4" t="s">
        <v>2273</v>
      </c>
      <c r="O1710" s="4" t="str">
        <f>LEFT(Table2[[#This Row],[Description]],75)</f>
        <v>Sp Ingrid Isabel</v>
      </c>
      <c r="P1710" s="2" t="s">
        <v>2281</v>
      </c>
    </row>
    <row r="1711" spans="1:16" hidden="1">
      <c r="A1711" s="2">
        <v>202001</v>
      </c>
      <c r="B1711" s="3">
        <v>43842</v>
      </c>
      <c r="C1711" s="2" t="s">
        <v>2262</v>
      </c>
      <c r="D1711" s="2" t="s">
        <v>1735</v>
      </c>
      <c r="E1711" s="2">
        <v>23.41</v>
      </c>
      <c r="F1711" s="2" t="s">
        <v>26</v>
      </c>
      <c r="J1711" s="2">
        <v>23.41</v>
      </c>
      <c r="K1711" s="2" t="b">
        <v>0</v>
      </c>
      <c r="L1711" s="2"/>
      <c r="M1711" s="2"/>
      <c r="N1711" s="4" t="s">
        <v>2259</v>
      </c>
      <c r="O1711" s="4" t="str">
        <f>LEFT(Table2[[#This Row],[Description]],75)</f>
        <v>SQ HIGHSIDE BREWING Frisco CO 280222016</v>
      </c>
      <c r="P1711" s="2" t="s">
        <v>2281</v>
      </c>
    </row>
    <row r="1712" spans="1:16" hidden="1">
      <c r="A1712" s="2">
        <v>202001</v>
      </c>
      <c r="B1712" s="3">
        <v>43843</v>
      </c>
      <c r="C1712" s="2" t="s">
        <v>2262</v>
      </c>
      <c r="D1712" s="2" t="s">
        <v>538</v>
      </c>
      <c r="E1712" s="2">
        <v>7.42</v>
      </c>
      <c r="F1712" s="2" t="s">
        <v>26</v>
      </c>
      <c r="J1712" s="2">
        <v>7.42</v>
      </c>
      <c r="K1712" s="2" t="b">
        <v>0</v>
      </c>
      <c r="L1712" s="2"/>
      <c r="M1712" s="2"/>
      <c r="N1712" s="4" t="s">
        <v>2259</v>
      </c>
      <c r="O1712" s="4" t="str">
        <f>LEFT(Table2[[#This Row],[Description]],75)</f>
        <v>Chick-Fil-A</v>
      </c>
      <c r="P1712" s="2" t="s">
        <v>2281</v>
      </c>
    </row>
    <row r="1713" spans="1:16" hidden="1">
      <c r="A1713" s="2">
        <v>202001</v>
      </c>
      <c r="B1713" s="3">
        <v>43843</v>
      </c>
      <c r="C1713" s="2" t="s">
        <v>2262</v>
      </c>
      <c r="D1713" s="2" t="s">
        <v>734</v>
      </c>
      <c r="E1713" s="2">
        <v>19.149999999999999</v>
      </c>
      <c r="F1713" s="2" t="s">
        <v>28</v>
      </c>
      <c r="J1713" s="2">
        <v>19.149999999999999</v>
      </c>
      <c r="K1713" s="2" t="b">
        <v>0</v>
      </c>
      <c r="L1713" s="2"/>
      <c r="M1713" s="2"/>
      <c r="N1713" s="4" t="s">
        <v>2259</v>
      </c>
      <c r="O1713" s="4" t="str">
        <f>LEFT(Table2[[#This Row],[Description]],75)</f>
        <v>Dillon's</v>
      </c>
      <c r="P1713" s="2" t="s">
        <v>2281</v>
      </c>
    </row>
    <row r="1714" spans="1:16" hidden="1">
      <c r="A1714" s="2">
        <v>202001</v>
      </c>
      <c r="B1714" s="3">
        <v>43843</v>
      </c>
      <c r="C1714" s="2" t="s">
        <v>2262</v>
      </c>
      <c r="D1714" s="2" t="s">
        <v>734</v>
      </c>
      <c r="E1714" s="2">
        <v>21</v>
      </c>
      <c r="F1714" s="2" t="s">
        <v>28</v>
      </c>
      <c r="J1714" s="2">
        <v>21</v>
      </c>
      <c r="K1714" s="2" t="b">
        <v>0</v>
      </c>
      <c r="L1714" s="2"/>
      <c r="M1714" s="2"/>
      <c r="N1714" s="4" t="s">
        <v>2259</v>
      </c>
      <c r="O1714" s="4" t="str">
        <f>LEFT(Table2[[#This Row],[Description]],75)</f>
        <v>Dillon's</v>
      </c>
      <c r="P1714" s="2" t="s">
        <v>2281</v>
      </c>
    </row>
    <row r="1715" spans="1:16" hidden="1">
      <c r="A1715" s="2">
        <v>202001</v>
      </c>
      <c r="B1715" s="3">
        <v>43843</v>
      </c>
      <c r="C1715" s="2" t="s">
        <v>2262</v>
      </c>
      <c r="D1715" s="2" t="s">
        <v>2138</v>
      </c>
      <c r="E1715" s="2">
        <v>21.97</v>
      </c>
      <c r="F1715" s="2" t="s">
        <v>21</v>
      </c>
      <c r="J1715" s="2">
        <v>21.97</v>
      </c>
      <c r="K1715" s="2" t="b">
        <v>0</v>
      </c>
      <c r="L1715" s="2"/>
      <c r="M1715" s="2"/>
      <c r="N1715" s="4" t="s">
        <v>2259</v>
      </c>
      <c r="O1715" s="4" t="str">
        <f>LEFT(Table2[[#This Row],[Description]],75)</f>
        <v>Wal-Mart</v>
      </c>
      <c r="P1715" s="2" t="s">
        <v>2281</v>
      </c>
    </row>
    <row r="1716" spans="1:16" hidden="1">
      <c r="A1716" s="2">
        <v>202001</v>
      </c>
      <c r="B1716" s="3">
        <v>43844</v>
      </c>
      <c r="C1716" s="2" t="s">
        <v>2262</v>
      </c>
      <c r="D1716" s="2" t="s">
        <v>1435</v>
      </c>
      <c r="E1716" s="2">
        <v>-1570.37</v>
      </c>
      <c r="F1716" s="2" t="s">
        <v>9</v>
      </c>
      <c r="J1716" s="2">
        <v>1570.37</v>
      </c>
      <c r="K1716" s="2" t="b">
        <v>0</v>
      </c>
      <c r="L1716" s="2"/>
      <c r="M1716" s="2"/>
      <c r="N1716" s="4" t="s">
        <v>2273</v>
      </c>
      <c r="O1716" s="4" t="str">
        <f>LEFT(Table2[[#This Row],[Description]],75)</f>
        <v>PAYMENT THANK YOU 280968601</v>
      </c>
      <c r="P1716" s="2" t="s">
        <v>2391</v>
      </c>
    </row>
    <row r="1717" spans="1:16" hidden="1">
      <c r="A1717" s="2">
        <v>202001</v>
      </c>
      <c r="B1717" s="3">
        <v>43844</v>
      </c>
      <c r="C1717" s="2" t="s">
        <v>2265</v>
      </c>
      <c r="D1717" s="2" t="s">
        <v>2180</v>
      </c>
      <c r="E1717" s="2">
        <v>1570.37</v>
      </c>
      <c r="F1717" s="2" t="s">
        <v>9</v>
      </c>
      <c r="J1717" s="2">
        <v>1570.37</v>
      </c>
      <c r="K1717" s="2" t="b">
        <v>0</v>
      </c>
      <c r="L1717" s="2"/>
      <c r="M1717" s="2"/>
      <c r="N1717" s="4" t="s">
        <v>2259</v>
      </c>
      <c r="O1717" s="4" t="str">
        <f>LEFT(Table2[[#This Row],[Description]],75)</f>
        <v>Withdrawal Home payment to card 979181 280489279</v>
      </c>
      <c r="P1717" s="2" t="s">
        <v>2349</v>
      </c>
    </row>
    <row r="1718" spans="1:16" hidden="1">
      <c r="A1718" s="2">
        <v>202001</v>
      </c>
      <c r="B1718" s="3">
        <v>43844</v>
      </c>
      <c r="C1718" s="2" t="s">
        <v>2267</v>
      </c>
      <c r="D1718" s="2" t="s">
        <v>2180</v>
      </c>
      <c r="E1718" s="2">
        <v>1570.37</v>
      </c>
      <c r="F1718" s="2" t="s">
        <v>9</v>
      </c>
      <c r="J1718" s="2">
        <v>1570.37</v>
      </c>
      <c r="K1718" s="2" t="b">
        <v>0</v>
      </c>
      <c r="L1718" s="2"/>
      <c r="M1718" s="2"/>
      <c r="N1718" s="4" t="s">
        <v>2259</v>
      </c>
      <c r="O1718" s="4" t="str">
        <f>LEFT(Table2[[#This Row],[Description]],75)</f>
        <v>Withdrawal Home payment to card 979181 280489279</v>
      </c>
      <c r="P1718" s="2" t="s">
        <v>2349</v>
      </c>
    </row>
    <row r="1719" spans="1:16" hidden="1">
      <c r="A1719" s="2">
        <v>202001</v>
      </c>
      <c r="B1719" s="3">
        <v>43844</v>
      </c>
      <c r="C1719" s="2" t="s">
        <v>2447</v>
      </c>
      <c r="D1719" s="2" t="s">
        <v>38</v>
      </c>
      <c r="E1719" s="2">
        <v>48.84</v>
      </c>
      <c r="F1719" s="2" t="s">
        <v>38</v>
      </c>
      <c r="J1719" s="2">
        <v>48.84</v>
      </c>
      <c r="K1719" s="2" t="b">
        <v>0</v>
      </c>
      <c r="L1719" s="2"/>
      <c r="M1719" s="2"/>
      <c r="N1719" s="4" t="s">
        <v>2259</v>
      </c>
      <c r="O1719" s="4" t="str">
        <f>LEFT(Table2[[#This Row],[Description]],75)</f>
        <v>Amazon</v>
      </c>
      <c r="P1719" s="2" t="s">
        <v>2260</v>
      </c>
    </row>
    <row r="1720" spans="1:16" hidden="1">
      <c r="A1720" s="2">
        <v>202001</v>
      </c>
      <c r="B1720" s="3">
        <v>43844</v>
      </c>
      <c r="C1720" s="2" t="s">
        <v>2258</v>
      </c>
      <c r="D1720" s="2" t="s">
        <v>38</v>
      </c>
      <c r="E1720" s="2">
        <v>48.84</v>
      </c>
      <c r="F1720" s="2" t="s">
        <v>38</v>
      </c>
      <c r="J1720" s="2">
        <v>48.84</v>
      </c>
      <c r="K1720" s="2" t="b">
        <v>0</v>
      </c>
      <c r="L1720" s="2"/>
      <c r="M1720" s="2"/>
      <c r="N1720" s="4" t="s">
        <v>2259</v>
      </c>
      <c r="O1720" s="4" t="str">
        <f>LEFT(Table2[[#This Row],[Description]],75)</f>
        <v>Amazon</v>
      </c>
      <c r="P1720" s="2" t="s">
        <v>2260</v>
      </c>
    </row>
    <row r="1721" spans="1:16" hidden="1">
      <c r="A1721" s="2">
        <v>202001</v>
      </c>
      <c r="B1721" s="3">
        <v>43844</v>
      </c>
      <c r="C1721" s="2" t="s">
        <v>2265</v>
      </c>
      <c r="D1721" s="2" t="s">
        <v>131</v>
      </c>
      <c r="E1721" s="2">
        <v>114.39</v>
      </c>
      <c r="F1721" s="2" t="s">
        <v>18</v>
      </c>
      <c r="J1721" s="2">
        <v>114.39</v>
      </c>
      <c r="K1721" s="2" t="b">
        <v>0</v>
      </c>
      <c r="L1721" s="2"/>
      <c r="M1721" s="2"/>
      <c r="N1721" s="4" t="s">
        <v>2259</v>
      </c>
      <c r="O1721" s="4" t="str">
        <f>LEFT(Table2[[#This Row],[Description]],75)</f>
        <v>American Family Insurance</v>
      </c>
      <c r="P1721" s="2" t="s">
        <v>2286</v>
      </c>
    </row>
    <row r="1722" spans="1:16" hidden="1">
      <c r="A1722" s="2">
        <v>202001</v>
      </c>
      <c r="B1722" s="3">
        <v>43844</v>
      </c>
      <c r="C1722" s="2" t="s">
        <v>2267</v>
      </c>
      <c r="D1722" s="2" t="s">
        <v>131</v>
      </c>
      <c r="E1722" s="2">
        <v>114.39</v>
      </c>
      <c r="F1722" s="2" t="s">
        <v>18</v>
      </c>
      <c r="J1722" s="2">
        <v>114.39</v>
      </c>
      <c r="K1722" s="2" t="b">
        <v>0</v>
      </c>
      <c r="L1722" s="2"/>
      <c r="M1722" s="2"/>
      <c r="N1722" s="4" t="s">
        <v>2259</v>
      </c>
      <c r="O1722" s="4" t="str">
        <f>LEFT(Table2[[#This Row],[Description]],75)</f>
        <v>American Family Insurance</v>
      </c>
      <c r="P1722" s="2" t="s">
        <v>2286</v>
      </c>
    </row>
    <row r="1723" spans="1:16" hidden="1">
      <c r="A1723" s="2">
        <v>202001</v>
      </c>
      <c r="B1723" s="3">
        <v>43844</v>
      </c>
      <c r="C1723" s="2" t="s">
        <v>2262</v>
      </c>
      <c r="D1723" s="2" t="s">
        <v>541</v>
      </c>
      <c r="E1723" s="2">
        <v>11.48</v>
      </c>
      <c r="F1723" s="2" t="s">
        <v>26</v>
      </c>
      <c r="J1723" s="2">
        <v>11.48</v>
      </c>
      <c r="K1723" s="2" t="b">
        <v>0</v>
      </c>
      <c r="L1723" s="2"/>
      <c r="M1723" s="2"/>
      <c r="N1723" s="4" t="s">
        <v>2259</v>
      </c>
      <c r="O1723" s="4" t="str">
        <f>LEFT(Table2[[#This Row],[Description]],75)</f>
        <v>CHIMAYO MEXICAN GRILL DILLON CO 280703580</v>
      </c>
      <c r="P1723" s="2" t="s">
        <v>2281</v>
      </c>
    </row>
    <row r="1724" spans="1:16" hidden="1">
      <c r="A1724" s="2">
        <v>202001</v>
      </c>
      <c r="B1724" s="3">
        <v>43844</v>
      </c>
      <c r="C1724" s="2" t="s">
        <v>2262</v>
      </c>
      <c r="D1724" s="2" t="s">
        <v>639</v>
      </c>
      <c r="E1724" s="2">
        <v>17.98</v>
      </c>
      <c r="F1724" s="2" t="s">
        <v>23</v>
      </c>
      <c r="J1724" s="2">
        <v>17.98</v>
      </c>
      <c r="K1724" s="2" t="b">
        <v>0</v>
      </c>
      <c r="L1724" s="2"/>
      <c r="M1724" s="2"/>
      <c r="N1724" s="4" t="s">
        <v>2259</v>
      </c>
      <c r="O1724" s="4" t="str">
        <f>LEFT(Table2[[#This Row],[Description]],75)</f>
        <v>Conoco</v>
      </c>
      <c r="P1724" s="2" t="s">
        <v>2281</v>
      </c>
    </row>
    <row r="1725" spans="1:16" hidden="1">
      <c r="A1725" s="2">
        <v>202001</v>
      </c>
      <c r="B1725" s="3">
        <v>43844</v>
      </c>
      <c r="C1725" s="2" t="s">
        <v>2262</v>
      </c>
      <c r="D1725" s="2" t="s">
        <v>1603</v>
      </c>
      <c r="E1725" s="2">
        <v>51.59</v>
      </c>
      <c r="F1725" s="2" t="s">
        <v>26</v>
      </c>
      <c r="J1725" s="2">
        <v>51.59</v>
      </c>
      <c r="K1725" s="2" t="b">
        <v>0</v>
      </c>
      <c r="L1725" s="2"/>
      <c r="M1725" s="2"/>
      <c r="N1725" s="4" t="s">
        <v>2259</v>
      </c>
      <c r="O1725" s="4" t="str">
        <f>LEFT(Table2[[#This Row],[Description]],75)</f>
        <v>Roulette's Pizza</v>
      </c>
      <c r="P1725" s="2" t="s">
        <v>2281</v>
      </c>
    </row>
    <row r="1726" spans="1:16" hidden="1">
      <c r="A1726" s="2">
        <v>202001</v>
      </c>
      <c r="B1726" s="3">
        <v>43845</v>
      </c>
      <c r="C1726" s="2" t="s">
        <v>2262</v>
      </c>
      <c r="D1726" s="2" t="s">
        <v>38</v>
      </c>
      <c r="E1726" s="2">
        <v>43.69</v>
      </c>
      <c r="F1726" s="2" t="s">
        <v>38</v>
      </c>
      <c r="J1726" s="2">
        <v>43.69</v>
      </c>
      <c r="K1726" s="2" t="b">
        <v>0</v>
      </c>
      <c r="L1726" s="2"/>
      <c r="M1726" s="2"/>
      <c r="N1726" s="4" t="s">
        <v>2259</v>
      </c>
      <c r="O1726" s="4" t="str">
        <f>LEFT(Table2[[#This Row],[Description]],75)</f>
        <v>Amazon</v>
      </c>
      <c r="P1726" s="2" t="s">
        <v>2260</v>
      </c>
    </row>
    <row r="1727" spans="1:16" hidden="1">
      <c r="A1727" s="2">
        <v>202001</v>
      </c>
      <c r="B1727" s="3">
        <v>43845</v>
      </c>
      <c r="C1727" s="2" t="s">
        <v>2265</v>
      </c>
      <c r="D1727" s="2" t="s">
        <v>130</v>
      </c>
      <c r="E1727" s="2">
        <v>13.3</v>
      </c>
      <c r="F1727" s="2">
        <v>0</v>
      </c>
      <c r="J1727" s="2">
        <v>13.3</v>
      </c>
      <c r="K1727" s="2" t="b">
        <v>0</v>
      </c>
      <c r="L1727" s="2"/>
      <c r="M1727" s="2"/>
      <c r="N1727" s="4" t="s">
        <v>2259</v>
      </c>
      <c r="O1727" s="4" t="str">
        <f>LEFT(Table2[[#This Row],[Description]],75)</f>
        <v>American Express</v>
      </c>
      <c r="P1727" s="2"/>
    </row>
    <row r="1728" spans="1:16" hidden="1">
      <c r="A1728" s="2">
        <v>202001</v>
      </c>
      <c r="B1728" s="3">
        <v>43845</v>
      </c>
      <c r="C1728" s="2" t="s">
        <v>2267</v>
      </c>
      <c r="D1728" s="2" t="s">
        <v>130</v>
      </c>
      <c r="E1728" s="2">
        <v>13.3</v>
      </c>
      <c r="F1728" s="2" t="s">
        <v>9</v>
      </c>
      <c r="J1728" s="2">
        <v>13.3</v>
      </c>
      <c r="K1728" s="2" t="b">
        <v>0</v>
      </c>
      <c r="L1728" s="2"/>
      <c r="M1728" s="2"/>
      <c r="N1728" s="4" t="s">
        <v>2259</v>
      </c>
      <c r="O1728" s="4" t="str">
        <f>LEFT(Table2[[#This Row],[Description]],75)</f>
        <v>American Express</v>
      </c>
      <c r="P1728" s="2" t="s">
        <v>2281</v>
      </c>
    </row>
    <row r="1729" spans="1:16" hidden="1">
      <c r="A1729" s="2">
        <v>202001</v>
      </c>
      <c r="B1729" s="3">
        <v>43845</v>
      </c>
      <c r="C1729" s="2" t="s">
        <v>2265</v>
      </c>
      <c r="D1729" s="2" t="s">
        <v>470</v>
      </c>
      <c r="E1729" s="2">
        <v>247.95</v>
      </c>
      <c r="F1729" s="2" t="s">
        <v>20</v>
      </c>
      <c r="J1729" s="2">
        <v>247.95</v>
      </c>
      <c r="K1729" s="2" t="b">
        <v>0</v>
      </c>
      <c r="L1729" s="2"/>
      <c r="M1729" s="2"/>
      <c r="N1729" s="4" t="s">
        <v>2259</v>
      </c>
      <c r="O1729" s="4" t="str">
        <f>LEFT(Table2[[#This Row],[Description]],75)</f>
        <v>CCLC TYPE INTERNET ID CO CCLC ACH ECC WEB ACH Trace 38360 280703585</v>
      </c>
      <c r="P1729" s="2" t="s">
        <v>2268</v>
      </c>
    </row>
    <row r="1730" spans="1:16" hidden="1">
      <c r="A1730" s="2">
        <v>202001</v>
      </c>
      <c r="B1730" s="3">
        <v>43845</v>
      </c>
      <c r="C1730" s="2" t="s">
        <v>2267</v>
      </c>
      <c r="D1730" s="2" t="s">
        <v>470</v>
      </c>
      <c r="E1730" s="2">
        <v>247.95</v>
      </c>
      <c r="F1730" s="2" t="s">
        <v>20</v>
      </c>
      <c r="J1730" s="2">
        <v>247.95</v>
      </c>
      <c r="K1730" s="2" t="b">
        <v>0</v>
      </c>
      <c r="L1730" s="2"/>
      <c r="M1730" s="2"/>
      <c r="N1730" s="4" t="s">
        <v>2259</v>
      </c>
      <c r="O1730" s="4" t="str">
        <f>LEFT(Table2[[#This Row],[Description]],75)</f>
        <v>CCLC TYPE INTERNET ID CO CCLC ACH ECC WEB ACH Trace 38360 280703585</v>
      </c>
      <c r="P1730" s="2" t="s">
        <v>2268</v>
      </c>
    </row>
    <row r="1731" spans="1:16" hidden="1">
      <c r="A1731" s="2">
        <v>202001</v>
      </c>
      <c r="B1731" s="3">
        <v>43845</v>
      </c>
      <c r="C1731" s="2" t="s">
        <v>2317</v>
      </c>
      <c r="D1731" s="2" t="s">
        <v>1037</v>
      </c>
      <c r="E1731" s="2">
        <v>-250</v>
      </c>
      <c r="F1731" s="2" t="s">
        <v>59</v>
      </c>
      <c r="J1731" s="2">
        <v>250</v>
      </c>
      <c r="K1731" s="2" t="b">
        <v>0</v>
      </c>
      <c r="L1731" s="2"/>
      <c r="M1731" s="2"/>
      <c r="N1731" s="4" t="s">
        <v>2273</v>
      </c>
      <c r="O1731" s="4" t="str">
        <f>LEFT(Table2[[#This Row],[Description]],75)</f>
        <v>KAUFMAN HALL</v>
      </c>
      <c r="P1731" s="2" t="s">
        <v>2375</v>
      </c>
    </row>
    <row r="1732" spans="1:16" hidden="1">
      <c r="A1732" s="2">
        <v>202001</v>
      </c>
      <c r="B1732" s="3">
        <v>43845</v>
      </c>
      <c r="C1732" s="2" t="s">
        <v>2265</v>
      </c>
      <c r="D1732" s="2" t="s">
        <v>1040</v>
      </c>
      <c r="E1732" s="2">
        <v>-1915.1</v>
      </c>
      <c r="F1732" s="2" t="s">
        <v>63</v>
      </c>
      <c r="J1732" s="2">
        <v>1915.1</v>
      </c>
      <c r="K1732" s="2" t="b">
        <v>0</v>
      </c>
      <c r="L1732" s="2"/>
      <c r="M1732" s="2"/>
      <c r="N1732" s="4" t="s">
        <v>2273</v>
      </c>
      <c r="O1732" s="4" t="str">
        <f>LEFT(Table2[[#This Row],[Description]],75)</f>
        <v>KAUFMAN HALL TYPE DIRECT DEP ID CO KAUFMAN HALL ACH ECC PPD ACH Trace 23271</v>
      </c>
      <c r="P1732" s="2" t="s">
        <v>2285</v>
      </c>
    </row>
    <row r="1733" spans="1:16" hidden="1">
      <c r="A1733" s="2">
        <v>202001</v>
      </c>
      <c r="B1733" s="3">
        <v>43845</v>
      </c>
      <c r="C1733" s="2" t="s">
        <v>2267</v>
      </c>
      <c r="D1733" s="2" t="s">
        <v>1040</v>
      </c>
      <c r="E1733" s="2">
        <v>-1915.1</v>
      </c>
      <c r="F1733" s="2" t="s">
        <v>63</v>
      </c>
      <c r="J1733" s="2">
        <v>1915.1</v>
      </c>
      <c r="K1733" s="2" t="b">
        <v>0</v>
      </c>
      <c r="L1733" s="2"/>
      <c r="M1733" s="2"/>
      <c r="N1733" s="4" t="s">
        <v>2273</v>
      </c>
      <c r="O1733" s="4" t="str">
        <f>LEFT(Table2[[#This Row],[Description]],75)</f>
        <v>KAUFMAN HALL TYPE DIRECT DEP ID CO KAUFMAN HALL ACH ECC PPD ACH Trace 23271</v>
      </c>
      <c r="P1733" s="2" t="s">
        <v>2285</v>
      </c>
    </row>
    <row r="1734" spans="1:16" hidden="1">
      <c r="A1734" s="2">
        <v>202001</v>
      </c>
      <c r="B1734" s="3">
        <v>43845</v>
      </c>
      <c r="C1734" s="2" t="s">
        <v>2435</v>
      </c>
      <c r="D1734" s="2" t="s">
        <v>1837</v>
      </c>
      <c r="E1734" s="2">
        <v>-250</v>
      </c>
      <c r="F1734" s="2" t="s">
        <v>57</v>
      </c>
      <c r="J1734" s="2">
        <v>250</v>
      </c>
      <c r="K1734" s="2" t="b">
        <v>0</v>
      </c>
      <c r="L1734" s="2"/>
      <c r="M1734" s="2"/>
      <c r="N1734" s="4" t="s">
        <v>2273</v>
      </c>
      <c r="O1734" s="4" t="str">
        <f>LEFT(Table2[[#This Row],[Description]],75)</f>
        <v>Tfr JPMORGAN CHASE BAN, KAUFMAN HALL</v>
      </c>
      <c r="P1734" s="2" t="s">
        <v>2288</v>
      </c>
    </row>
    <row r="1735" spans="1:16" hidden="1">
      <c r="A1735" s="2">
        <v>202001</v>
      </c>
      <c r="B1735" s="3">
        <v>43845</v>
      </c>
      <c r="C1735" s="2" t="s">
        <v>2265</v>
      </c>
      <c r="D1735" s="2" t="s">
        <v>2109</v>
      </c>
      <c r="E1735" s="2">
        <v>56.23</v>
      </c>
      <c r="F1735" s="2">
        <v>0</v>
      </c>
      <c r="J1735" s="2">
        <v>56.23</v>
      </c>
      <c r="K1735" s="2" t="b">
        <v>0</v>
      </c>
      <c r="L1735" s="2"/>
      <c r="M1735" s="2"/>
      <c r="N1735" s="4" t="s">
        <v>2259</v>
      </c>
      <c r="O1735" s="4" t="str">
        <f>LEFT(Table2[[#This Row],[Description]],75)</f>
        <v>Venmo</v>
      </c>
      <c r="P1735" s="2"/>
    </row>
    <row r="1736" spans="1:16" hidden="1">
      <c r="A1736" s="2">
        <v>202001</v>
      </c>
      <c r="B1736" s="3">
        <v>43845</v>
      </c>
      <c r="C1736" s="2" t="s">
        <v>2267</v>
      </c>
      <c r="D1736" s="2" t="s">
        <v>2109</v>
      </c>
      <c r="E1736" s="2">
        <v>56.23</v>
      </c>
      <c r="F1736" s="2" t="s">
        <v>21</v>
      </c>
      <c r="J1736" s="2">
        <v>56.23</v>
      </c>
      <c r="K1736" s="2" t="b">
        <v>0</v>
      </c>
      <c r="L1736" s="2"/>
      <c r="M1736" s="2"/>
      <c r="N1736" s="4" t="s">
        <v>2259</v>
      </c>
      <c r="O1736" s="4" t="str">
        <f>LEFT(Table2[[#This Row],[Description]],75)</f>
        <v>Venmo</v>
      </c>
      <c r="P1736" s="2" t="s">
        <v>2281</v>
      </c>
    </row>
    <row r="1737" spans="1:16" hidden="1">
      <c r="A1737" s="2">
        <v>202001</v>
      </c>
      <c r="B1737" s="3">
        <v>43846</v>
      </c>
      <c r="C1737" s="2" t="s">
        <v>2355</v>
      </c>
      <c r="D1737" s="2" t="s">
        <v>246</v>
      </c>
      <c r="E1737" s="2">
        <v>-0.03</v>
      </c>
      <c r="F1737" s="2">
        <v>0</v>
      </c>
      <c r="J1737" s="2">
        <v>0.03</v>
      </c>
      <c r="K1737" s="2" t="b">
        <v>0</v>
      </c>
      <c r="L1737" s="2"/>
      <c r="M1737" s="2"/>
      <c r="N1737" s="4" t="s">
        <v>2273</v>
      </c>
      <c r="O1737" s="4" t="str">
        <f>LEFT(Table2[[#This Row],[Description]],75)</f>
        <v>BANK INT 121619-011520 SCHWAB BANK</v>
      </c>
      <c r="P1737" s="2"/>
    </row>
    <row r="1738" spans="1:16" hidden="1">
      <c r="A1738" s="2">
        <v>202001</v>
      </c>
      <c r="B1738" s="3">
        <v>43846</v>
      </c>
      <c r="C1738" s="2" t="s">
        <v>2275</v>
      </c>
      <c r="D1738" s="2" t="s">
        <v>246</v>
      </c>
      <c r="E1738" s="2">
        <v>-0.03</v>
      </c>
      <c r="F1738" s="2">
        <v>0</v>
      </c>
      <c r="J1738" s="2">
        <v>0.03</v>
      </c>
      <c r="K1738" s="2" t="b">
        <v>0</v>
      </c>
      <c r="L1738" s="2"/>
      <c r="M1738" s="2"/>
      <c r="N1738" s="4" t="s">
        <v>2273</v>
      </c>
      <c r="O1738" s="4" t="str">
        <f>LEFT(Table2[[#This Row],[Description]],75)</f>
        <v>BANK INT 121619-011520 SCHWAB BANK</v>
      </c>
      <c r="P1738" s="2"/>
    </row>
    <row r="1739" spans="1:16" hidden="1">
      <c r="A1739" s="2">
        <v>202001</v>
      </c>
      <c r="B1739" s="3">
        <v>43846</v>
      </c>
      <c r="C1739" s="2" t="s">
        <v>2277</v>
      </c>
      <c r="D1739" s="2" t="s">
        <v>246</v>
      </c>
      <c r="E1739" s="2">
        <v>-0.03</v>
      </c>
      <c r="F1739" s="2">
        <v>0</v>
      </c>
      <c r="J1739" s="2">
        <v>0.03</v>
      </c>
      <c r="K1739" s="2" t="b">
        <v>0</v>
      </c>
      <c r="L1739" s="2"/>
      <c r="M1739" s="2"/>
      <c r="N1739" s="4" t="s">
        <v>2273</v>
      </c>
      <c r="O1739" s="4" t="str">
        <f>LEFT(Table2[[#This Row],[Description]],75)</f>
        <v>BANK INT 121619-011520 SCHWAB BANK</v>
      </c>
      <c r="P1739" s="2"/>
    </row>
    <row r="1740" spans="1:16" hidden="1">
      <c r="A1740" s="2">
        <v>202001</v>
      </c>
      <c r="B1740" s="3">
        <v>43846</v>
      </c>
      <c r="C1740" s="2" t="s">
        <v>2434</v>
      </c>
      <c r="D1740" s="2" t="s">
        <v>248</v>
      </c>
      <c r="E1740" s="2">
        <v>-0.03</v>
      </c>
      <c r="F1740" s="2">
        <v>0</v>
      </c>
      <c r="J1740" s="2">
        <v>0.03</v>
      </c>
      <c r="K1740" s="2" t="b">
        <v>0</v>
      </c>
      <c r="L1740" s="2"/>
      <c r="M1740" s="2"/>
      <c r="N1740" s="4" t="s">
        <v>2273</v>
      </c>
      <c r="O1740" s="4" t="str">
        <f>LEFT(Table2[[#This Row],[Description]],75)</f>
        <v>BANK INT 122719-011520 SCHWAB PREMIER BANK</v>
      </c>
      <c r="P1740" s="2"/>
    </row>
    <row r="1741" spans="1:16" hidden="1">
      <c r="A1741" s="2">
        <v>202001</v>
      </c>
      <c r="B1741" s="3">
        <v>43846</v>
      </c>
      <c r="C1741" s="2" t="s">
        <v>2435</v>
      </c>
      <c r="D1741" s="2" t="s">
        <v>248</v>
      </c>
      <c r="E1741" s="2">
        <v>-0.03</v>
      </c>
      <c r="F1741" s="2">
        <v>0</v>
      </c>
      <c r="J1741" s="2">
        <v>0.03</v>
      </c>
      <c r="K1741" s="2" t="b">
        <v>0</v>
      </c>
      <c r="L1741" s="2"/>
      <c r="M1741" s="2"/>
      <c r="N1741" s="4" t="s">
        <v>2273</v>
      </c>
      <c r="O1741" s="4" t="str">
        <f>LEFT(Table2[[#This Row],[Description]],75)</f>
        <v>BANK INT 122719-011520 SCHWAB PREMIER BANK</v>
      </c>
      <c r="P1741" s="2"/>
    </row>
    <row r="1742" spans="1:16" hidden="1">
      <c r="A1742" s="2">
        <v>202001</v>
      </c>
      <c r="B1742" s="3">
        <v>43846</v>
      </c>
      <c r="C1742" s="2" t="s">
        <v>2265</v>
      </c>
      <c r="D1742" s="2" t="s">
        <v>425</v>
      </c>
      <c r="E1742" s="2">
        <v>-166.64</v>
      </c>
      <c r="F1742" s="2" t="s">
        <v>16</v>
      </c>
      <c r="J1742" s="2">
        <v>166.64</v>
      </c>
      <c r="K1742" s="2" t="b">
        <v>0</v>
      </c>
      <c r="L1742" s="2"/>
      <c r="M1742" s="2"/>
      <c r="N1742" s="4" t="s">
        <v>2273</v>
      </c>
      <c r="O1742" s="4" t="str">
        <f>LEFT(Table2[[#This Row],[Description]],75)</f>
        <v>Cargill Incorpor Type</v>
      </c>
      <c r="P1742" s="2" t="s">
        <v>2282</v>
      </c>
    </row>
    <row r="1743" spans="1:16" hidden="1">
      <c r="A1743" s="2">
        <v>202001</v>
      </c>
      <c r="B1743" s="3">
        <v>43846</v>
      </c>
      <c r="C1743" s="2" t="s">
        <v>2267</v>
      </c>
      <c r="D1743" s="2" t="s">
        <v>425</v>
      </c>
      <c r="E1743" s="2">
        <v>-166.64</v>
      </c>
      <c r="F1743" s="2" t="s">
        <v>16</v>
      </c>
      <c r="J1743" s="2">
        <v>166.64</v>
      </c>
      <c r="K1743" s="2" t="b">
        <v>0</v>
      </c>
      <c r="L1743" s="2"/>
      <c r="M1743" s="2"/>
      <c r="N1743" s="4" t="s">
        <v>2273</v>
      </c>
      <c r="O1743" s="4" t="str">
        <f>LEFT(Table2[[#This Row],[Description]],75)</f>
        <v>Cargill Incorpor Type</v>
      </c>
      <c r="P1743" s="2" t="s">
        <v>2282</v>
      </c>
    </row>
    <row r="1744" spans="1:16" hidden="1">
      <c r="A1744" s="2">
        <v>202001</v>
      </c>
      <c r="B1744" s="3">
        <v>43846</v>
      </c>
      <c r="C1744" s="2" t="s">
        <v>2262</v>
      </c>
      <c r="D1744" s="2" t="s">
        <v>543</v>
      </c>
      <c r="E1744" s="2">
        <v>12.51</v>
      </c>
      <c r="F1744" s="2" t="s">
        <v>26</v>
      </c>
      <c r="J1744" s="2">
        <v>12.51</v>
      </c>
      <c r="K1744" s="2" t="b">
        <v>0</v>
      </c>
      <c r="L1744" s="2"/>
      <c r="M1744" s="2"/>
      <c r="N1744" s="4" t="s">
        <v>2259</v>
      </c>
      <c r="O1744" s="4" t="str">
        <f>LEFT(Table2[[#This Row],[Description]],75)</f>
        <v>Chipotle</v>
      </c>
      <c r="P1744" s="2" t="s">
        <v>2341</v>
      </c>
    </row>
    <row r="1745" spans="1:16" hidden="1">
      <c r="A1745" s="2">
        <v>202001</v>
      </c>
      <c r="B1745" s="3">
        <v>43847</v>
      </c>
      <c r="C1745" s="2" t="s">
        <v>2262</v>
      </c>
      <c r="D1745" s="2" t="s">
        <v>337</v>
      </c>
      <c r="E1745" s="2">
        <v>49.87</v>
      </c>
      <c r="F1745" s="2" t="s">
        <v>21</v>
      </c>
      <c r="J1745" s="2">
        <v>49.87</v>
      </c>
      <c r="K1745" s="2" t="b">
        <v>0</v>
      </c>
      <c r="L1745" s="2"/>
      <c r="M1745" s="2"/>
      <c r="N1745" s="4" t="s">
        <v>2259</v>
      </c>
      <c r="O1745" s="4" t="str">
        <f>LEFT(Table2[[#This Row],[Description]],75)</f>
        <v>BuyBuyBaby</v>
      </c>
      <c r="P1745" s="2" t="s">
        <v>2450</v>
      </c>
    </row>
    <row r="1746" spans="1:16" hidden="1">
      <c r="A1746" s="2">
        <v>202001</v>
      </c>
      <c r="B1746" s="3">
        <v>43847</v>
      </c>
      <c r="C1746" s="2" t="s">
        <v>2265</v>
      </c>
      <c r="D1746" s="2" t="s">
        <v>1471</v>
      </c>
      <c r="E1746" s="2">
        <v>8.3000000000000007</v>
      </c>
      <c r="F1746" s="2" t="s">
        <v>21</v>
      </c>
      <c r="J1746" s="2">
        <v>8.3000000000000007</v>
      </c>
      <c r="K1746" s="2" t="b">
        <v>0</v>
      </c>
      <c r="L1746" s="2"/>
      <c r="M1746" s="2"/>
      <c r="N1746" s="4" t="s">
        <v>2259</v>
      </c>
      <c r="O1746" s="4" t="str">
        <f>LEFT(Table2[[#This Row],[Description]],75)</f>
        <v>PayPal</v>
      </c>
      <c r="P1746" s="2" t="s">
        <v>2322</v>
      </c>
    </row>
    <row r="1747" spans="1:16" hidden="1">
      <c r="A1747" s="2">
        <v>202001</v>
      </c>
      <c r="B1747" s="3">
        <v>43847</v>
      </c>
      <c r="C1747" s="2" t="s">
        <v>2267</v>
      </c>
      <c r="D1747" s="2" t="s">
        <v>1471</v>
      </c>
      <c r="E1747" s="2">
        <v>8.3000000000000007</v>
      </c>
      <c r="F1747" s="2" t="s">
        <v>21</v>
      </c>
      <c r="J1747" s="2">
        <v>8.3000000000000007</v>
      </c>
      <c r="K1747" s="2" t="b">
        <v>0</v>
      </c>
      <c r="L1747" s="2"/>
      <c r="M1747" s="2"/>
      <c r="N1747" s="4" t="s">
        <v>2259</v>
      </c>
      <c r="O1747" s="4" t="str">
        <f>LEFT(Table2[[#This Row],[Description]],75)</f>
        <v>PayPal</v>
      </c>
      <c r="P1747" s="2" t="s">
        <v>2322</v>
      </c>
    </row>
    <row r="1748" spans="1:16" hidden="1">
      <c r="A1748" s="2">
        <v>202001</v>
      </c>
      <c r="B1748" s="3">
        <v>43849</v>
      </c>
      <c r="C1748" s="2" t="s">
        <v>2262</v>
      </c>
      <c r="D1748" s="2" t="s">
        <v>38</v>
      </c>
      <c r="E1748" s="2">
        <v>65.209999999999994</v>
      </c>
      <c r="F1748" s="2" t="s">
        <v>38</v>
      </c>
      <c r="J1748" s="2">
        <v>65.209999999999994</v>
      </c>
      <c r="K1748" s="2" t="b">
        <v>0</v>
      </c>
      <c r="L1748" s="2"/>
      <c r="M1748" s="2"/>
      <c r="N1748" s="4" t="s">
        <v>2259</v>
      </c>
      <c r="O1748" s="4" t="str">
        <f>LEFT(Table2[[#This Row],[Description]],75)</f>
        <v>Amazon</v>
      </c>
      <c r="P1748" s="2" t="s">
        <v>2260</v>
      </c>
    </row>
    <row r="1749" spans="1:16" hidden="1">
      <c r="A1749" s="2">
        <v>202001</v>
      </c>
      <c r="B1749" s="3">
        <v>43849</v>
      </c>
      <c r="C1749" s="2" t="s">
        <v>2262</v>
      </c>
      <c r="D1749" s="2" t="s">
        <v>1669</v>
      </c>
      <c r="E1749" s="2">
        <v>46.43</v>
      </c>
      <c r="F1749" s="2" t="s">
        <v>45</v>
      </c>
      <c r="J1749" s="2">
        <v>46.43</v>
      </c>
      <c r="K1749" s="2" t="b">
        <v>0</v>
      </c>
      <c r="L1749" s="2"/>
      <c r="M1749" s="2"/>
      <c r="N1749" s="4" t="s">
        <v>2259</v>
      </c>
      <c r="O1749" s="4" t="str">
        <f>LEFT(Table2[[#This Row],[Description]],75)</f>
        <v>SKYE LIQUOR DENVER CO 281766496</v>
      </c>
      <c r="P1749" s="2" t="s">
        <v>2281</v>
      </c>
    </row>
    <row r="1750" spans="1:16" hidden="1">
      <c r="A1750" s="2">
        <v>202001</v>
      </c>
      <c r="B1750" s="3">
        <v>43849</v>
      </c>
      <c r="C1750" s="2" t="s">
        <v>2262</v>
      </c>
      <c r="D1750" s="2" t="s">
        <v>1833</v>
      </c>
      <c r="E1750" s="2">
        <v>30.34</v>
      </c>
      <c r="F1750" s="2" t="s">
        <v>26</v>
      </c>
      <c r="J1750" s="2">
        <v>30.34</v>
      </c>
      <c r="K1750" s="2" t="b">
        <v>0</v>
      </c>
      <c r="L1750" s="2"/>
      <c r="M1750" s="2"/>
      <c r="N1750" s="4" t="s">
        <v>2259</v>
      </c>
      <c r="O1750" s="4" t="str">
        <f>LEFT(Table2[[#This Row],[Description]],75)</f>
        <v>Terminal Bar</v>
      </c>
      <c r="P1750" s="2" t="s">
        <v>2281</v>
      </c>
    </row>
    <row r="1751" spans="1:16" hidden="1">
      <c r="A1751" s="2">
        <v>202001</v>
      </c>
      <c r="B1751" s="3">
        <v>43849</v>
      </c>
      <c r="C1751" s="2" t="s">
        <v>2262</v>
      </c>
      <c r="D1751" s="2" t="s">
        <v>2017</v>
      </c>
      <c r="E1751" s="2">
        <v>85.2</v>
      </c>
      <c r="F1751" s="2" t="s">
        <v>26</v>
      </c>
      <c r="J1751" s="2">
        <v>85.2</v>
      </c>
      <c r="K1751" s="2" t="b">
        <v>0</v>
      </c>
      <c r="L1751" s="2"/>
      <c r="M1751" s="2"/>
      <c r="N1751" s="4" t="s">
        <v>2259</v>
      </c>
      <c r="O1751" s="4" t="str">
        <f>LEFT(Table2[[#This Row],[Description]],75)</f>
        <v>TST GREEN RUSSELL DENVER CO 281766498</v>
      </c>
      <c r="P1751" s="2" t="s">
        <v>2281</v>
      </c>
    </row>
    <row r="1752" spans="1:16" hidden="1">
      <c r="A1752" s="2">
        <v>202001</v>
      </c>
      <c r="B1752" s="3">
        <v>43849</v>
      </c>
      <c r="C1752" s="2" t="s">
        <v>2262</v>
      </c>
      <c r="D1752" s="2" t="s">
        <v>2215</v>
      </c>
      <c r="E1752" s="2">
        <v>88.85</v>
      </c>
      <c r="F1752" s="2" t="s">
        <v>26</v>
      </c>
      <c r="J1752" s="2">
        <v>88.85</v>
      </c>
      <c r="K1752" s="2" t="b">
        <v>0</v>
      </c>
      <c r="L1752" s="2"/>
      <c r="M1752" s="2"/>
      <c r="N1752" s="4" t="s">
        <v>2259</v>
      </c>
      <c r="O1752" s="4" t="str">
        <f>LEFT(Table2[[#This Row],[Description]],75)</f>
        <v>Work Class DENVER CO 281766497</v>
      </c>
      <c r="P1752" s="2" t="s">
        <v>2281</v>
      </c>
    </row>
    <row r="1753" spans="1:16" hidden="1">
      <c r="A1753" s="2">
        <v>202001</v>
      </c>
      <c r="B1753" s="3">
        <v>43850</v>
      </c>
      <c r="C1753" s="2" t="s">
        <v>2262</v>
      </c>
      <c r="D1753" s="2" t="s">
        <v>38</v>
      </c>
      <c r="E1753" s="2">
        <v>21.46</v>
      </c>
      <c r="F1753" s="2" t="s">
        <v>38</v>
      </c>
      <c r="J1753" s="2">
        <v>21.46</v>
      </c>
      <c r="K1753" s="2" t="b">
        <v>0</v>
      </c>
      <c r="L1753" s="2"/>
      <c r="M1753" s="2"/>
      <c r="N1753" s="4" t="s">
        <v>2259</v>
      </c>
      <c r="O1753" s="4" t="str">
        <f>LEFT(Table2[[#This Row],[Description]],75)</f>
        <v>Amazon</v>
      </c>
      <c r="P1753" s="2" t="s">
        <v>2260</v>
      </c>
    </row>
    <row r="1754" spans="1:16" hidden="1">
      <c r="A1754" s="2">
        <v>202001</v>
      </c>
      <c r="B1754" s="3">
        <v>43850</v>
      </c>
      <c r="C1754" s="2" t="s">
        <v>2447</v>
      </c>
      <c r="D1754" s="2" t="s">
        <v>453</v>
      </c>
      <c r="E1754" s="2">
        <v>10.62</v>
      </c>
      <c r="F1754" s="2" t="s">
        <v>26</v>
      </c>
      <c r="J1754" s="2">
        <v>10.62</v>
      </c>
      <c r="K1754" s="2" t="b">
        <v>0</v>
      </c>
      <c r="L1754" s="2"/>
      <c r="M1754" s="2"/>
      <c r="N1754" s="4" t="s">
        <v>2259</v>
      </c>
      <c r="O1754" s="4" t="str">
        <f>LEFT(Table2[[#This Row],[Description]],75)</f>
        <v>Caribou Coffee</v>
      </c>
      <c r="P1754" s="2" t="s">
        <v>2329</v>
      </c>
    </row>
    <row r="1755" spans="1:16" hidden="1">
      <c r="A1755" s="2">
        <v>202001</v>
      </c>
      <c r="B1755" s="3">
        <v>43850</v>
      </c>
      <c r="C1755" s="2" t="s">
        <v>2258</v>
      </c>
      <c r="D1755" s="2" t="s">
        <v>453</v>
      </c>
      <c r="E1755" s="2">
        <v>10.62</v>
      </c>
      <c r="F1755" s="2" t="s">
        <v>26</v>
      </c>
      <c r="J1755" s="2">
        <v>10.62</v>
      </c>
      <c r="K1755" s="2" t="b">
        <v>0</v>
      </c>
      <c r="L1755" s="2"/>
      <c r="M1755" s="2"/>
      <c r="N1755" s="4" t="s">
        <v>2259</v>
      </c>
      <c r="O1755" s="4" t="str">
        <f>LEFT(Table2[[#This Row],[Description]],75)</f>
        <v>Caribou Coffee</v>
      </c>
      <c r="P1755" s="2" t="s">
        <v>2329</v>
      </c>
    </row>
    <row r="1756" spans="1:16" hidden="1">
      <c r="A1756" s="2">
        <v>202001</v>
      </c>
      <c r="B1756" s="3">
        <v>43850</v>
      </c>
      <c r="C1756" s="2" t="s">
        <v>2262</v>
      </c>
      <c r="D1756" s="2" t="s">
        <v>933</v>
      </c>
      <c r="E1756" s="2">
        <v>62.23</v>
      </c>
      <c r="F1756" s="2" t="s">
        <v>21</v>
      </c>
      <c r="J1756" s="2">
        <v>62.23</v>
      </c>
      <c r="K1756" s="2" t="b">
        <v>0</v>
      </c>
      <c r="L1756" s="2"/>
      <c r="M1756" s="2"/>
      <c r="N1756" s="4" t="s">
        <v>2259</v>
      </c>
      <c r="O1756" s="4" t="str">
        <f>LEFT(Table2[[#This Row],[Description]],75)</f>
        <v>HIRSHFIELDS 34 CHASKACHASKA MN 281976326</v>
      </c>
      <c r="P1756" s="2" t="s">
        <v>2281</v>
      </c>
    </row>
    <row r="1757" spans="1:16" hidden="1">
      <c r="A1757" s="2">
        <v>202001</v>
      </c>
      <c r="B1757" s="3">
        <v>43850</v>
      </c>
      <c r="C1757" s="2" t="s">
        <v>2447</v>
      </c>
      <c r="D1757" s="2" t="s">
        <v>1337</v>
      </c>
      <c r="E1757" s="2">
        <v>4.51</v>
      </c>
      <c r="F1757" s="2">
        <v>0</v>
      </c>
      <c r="J1757" s="2">
        <v>4.51</v>
      </c>
      <c r="K1757" s="2" t="b">
        <v>0</v>
      </c>
      <c r="L1757" s="2"/>
      <c r="M1757" s="2"/>
      <c r="N1757" s="4" t="s">
        <v>2259</v>
      </c>
      <c r="O1757" s="4" t="str">
        <f>LEFT(Table2[[#This Row],[Description]],75)</f>
        <v>MSP CAMDEN FOOD 6751162 SAINT PAUL MN</v>
      </c>
      <c r="P1757" s="2"/>
    </row>
    <row r="1758" spans="1:16" hidden="1">
      <c r="A1758" s="2">
        <v>202001</v>
      </c>
      <c r="B1758" s="3">
        <v>43850</v>
      </c>
      <c r="C1758" s="2" t="s">
        <v>2258</v>
      </c>
      <c r="D1758" s="2" t="s">
        <v>1337</v>
      </c>
      <c r="E1758" s="2">
        <v>4.51</v>
      </c>
      <c r="F1758" s="2" t="s">
        <v>26</v>
      </c>
      <c r="J1758" s="2">
        <v>4.51</v>
      </c>
      <c r="K1758" s="2" t="b">
        <v>0</v>
      </c>
      <c r="L1758" s="2"/>
      <c r="M1758" s="2"/>
      <c r="N1758" s="4" t="s">
        <v>2259</v>
      </c>
      <c r="O1758" s="4" t="str">
        <f>LEFT(Table2[[#This Row],[Description]],75)</f>
        <v>MSP CAMDEN FOOD 6751162 SAINT PAUL MN</v>
      </c>
      <c r="P1758" s="2" t="s">
        <v>2281</v>
      </c>
    </row>
    <row r="1759" spans="1:16" hidden="1">
      <c r="A1759" s="2">
        <v>202001</v>
      </c>
      <c r="B1759" s="3">
        <v>43850</v>
      </c>
      <c r="C1759" s="2" t="s">
        <v>2262</v>
      </c>
      <c r="D1759" s="2" t="s">
        <v>1707</v>
      </c>
      <c r="E1759" s="2">
        <v>2.0299999999999998</v>
      </c>
      <c r="F1759" s="2" t="s">
        <v>23</v>
      </c>
      <c r="J1759" s="2">
        <v>2.0299999999999998</v>
      </c>
      <c r="K1759" s="2" t="b">
        <v>0</v>
      </c>
      <c r="L1759" s="2"/>
      <c r="M1759" s="2"/>
      <c r="N1759" s="4" t="s">
        <v>2259</v>
      </c>
      <c r="O1759" s="4" t="str">
        <f>LEFT(Table2[[#This Row],[Description]],75)</f>
        <v>Speedway</v>
      </c>
      <c r="P1759" s="2" t="s">
        <v>2381</v>
      </c>
    </row>
    <row r="1760" spans="1:16" hidden="1">
      <c r="A1760" s="2">
        <v>202001</v>
      </c>
      <c r="B1760" s="3">
        <v>43850</v>
      </c>
      <c r="C1760" s="2" t="s">
        <v>2262</v>
      </c>
      <c r="D1760" s="2" t="s">
        <v>1707</v>
      </c>
      <c r="E1760" s="2">
        <v>37.659999999999997</v>
      </c>
      <c r="F1760" s="2" t="s">
        <v>23</v>
      </c>
      <c r="J1760" s="2">
        <v>37.659999999999997</v>
      </c>
      <c r="K1760" s="2" t="b">
        <v>0</v>
      </c>
      <c r="L1760" s="2"/>
      <c r="M1760" s="2"/>
      <c r="N1760" s="4" t="s">
        <v>2259</v>
      </c>
      <c r="O1760" s="4" t="str">
        <f>LEFT(Table2[[#This Row],[Description]],75)</f>
        <v>Speedway</v>
      </c>
      <c r="P1760" s="2" t="s">
        <v>2381</v>
      </c>
    </row>
    <row r="1761" spans="1:16" hidden="1">
      <c r="A1761" s="2">
        <v>202001</v>
      </c>
      <c r="B1761" s="3">
        <v>43851</v>
      </c>
      <c r="C1761" s="2" t="s">
        <v>2447</v>
      </c>
      <c r="D1761" s="2" t="s">
        <v>347</v>
      </c>
      <c r="E1761" s="2">
        <v>4.49</v>
      </c>
      <c r="F1761" s="2">
        <v>0</v>
      </c>
      <c r="J1761" s="2">
        <v>4.49</v>
      </c>
      <c r="K1761" s="2" t="b">
        <v>0</v>
      </c>
      <c r="L1761" s="2"/>
      <c r="M1761" s="2"/>
      <c r="N1761" s="4" t="s">
        <v>2259</v>
      </c>
      <c r="O1761" s="4" t="str">
        <f>LEFT(Table2[[#This Row],[Description]],75)</f>
        <v>CARGILL C S20073235579 WAYZATA MNAPPLE PAY ENDING</v>
      </c>
      <c r="P1761" s="2"/>
    </row>
    <row r="1762" spans="1:16" hidden="1">
      <c r="A1762" s="2">
        <v>202001</v>
      </c>
      <c r="B1762" s="3">
        <v>43851</v>
      </c>
      <c r="C1762" s="2" t="s">
        <v>2258</v>
      </c>
      <c r="D1762" s="2" t="s">
        <v>347</v>
      </c>
      <c r="E1762" s="2">
        <v>4.49</v>
      </c>
      <c r="F1762" s="2" t="s">
        <v>26</v>
      </c>
      <c r="J1762" s="2">
        <v>4.49</v>
      </c>
      <c r="K1762" s="2" t="b">
        <v>0</v>
      </c>
      <c r="L1762" s="2"/>
      <c r="M1762" s="2"/>
      <c r="N1762" s="4" t="s">
        <v>2259</v>
      </c>
      <c r="O1762" s="4" t="str">
        <f>LEFT(Table2[[#This Row],[Description]],75)</f>
        <v>CARGILL C S20073235579 WAYZATA MNAPPLE PAY ENDING</v>
      </c>
      <c r="P1762" s="2" t="s">
        <v>2281</v>
      </c>
    </row>
    <row r="1763" spans="1:16" hidden="1">
      <c r="A1763" s="2">
        <v>202001</v>
      </c>
      <c r="B1763" s="3">
        <v>43851</v>
      </c>
      <c r="C1763" s="2" t="s">
        <v>2265</v>
      </c>
      <c r="D1763" s="2" t="s">
        <v>557</v>
      </c>
      <c r="E1763" s="2">
        <v>33.49</v>
      </c>
      <c r="F1763" s="2" t="s">
        <v>7</v>
      </c>
      <c r="J1763" s="2">
        <v>33.49</v>
      </c>
      <c r="K1763" s="2" t="b">
        <v>0</v>
      </c>
      <c r="L1763" s="2"/>
      <c r="M1763" s="2"/>
      <c r="N1763" s="4" t="s">
        <v>2259</v>
      </c>
      <c r="O1763" s="4" t="str">
        <f>LEFT(Table2[[#This Row],[Description]],75)</f>
        <v>City of Chanhassen</v>
      </c>
      <c r="P1763" s="2" t="s">
        <v>2298</v>
      </c>
    </row>
    <row r="1764" spans="1:16" hidden="1">
      <c r="A1764" s="2">
        <v>202001</v>
      </c>
      <c r="B1764" s="3">
        <v>43851</v>
      </c>
      <c r="C1764" s="2" t="s">
        <v>2267</v>
      </c>
      <c r="D1764" s="2" t="s">
        <v>557</v>
      </c>
      <c r="E1764" s="2">
        <v>33.49</v>
      </c>
      <c r="F1764" s="2" t="s">
        <v>7</v>
      </c>
      <c r="J1764" s="2">
        <v>33.49</v>
      </c>
      <c r="K1764" s="2" t="b">
        <v>0</v>
      </c>
      <c r="L1764" s="2"/>
      <c r="M1764" s="2"/>
      <c r="N1764" s="4" t="s">
        <v>2259</v>
      </c>
      <c r="O1764" s="4" t="str">
        <f>LEFT(Table2[[#This Row],[Description]],75)</f>
        <v>City of Chanhassen</v>
      </c>
      <c r="P1764" s="2" t="s">
        <v>2298</v>
      </c>
    </row>
    <row r="1765" spans="1:16" hidden="1">
      <c r="A1765" s="2">
        <v>202001</v>
      </c>
      <c r="B1765" s="3">
        <v>43851</v>
      </c>
      <c r="C1765" s="2" t="s">
        <v>2262</v>
      </c>
      <c r="D1765" s="2" t="s">
        <v>684</v>
      </c>
      <c r="E1765" s="2">
        <v>158.78</v>
      </c>
      <c r="F1765" s="2" t="s">
        <v>28</v>
      </c>
      <c r="J1765" s="2">
        <v>158.78</v>
      </c>
      <c r="K1765" s="2" t="b">
        <v>0</v>
      </c>
      <c r="L1765" s="2"/>
      <c r="M1765" s="2"/>
      <c r="N1765" s="4" t="s">
        <v>2259</v>
      </c>
      <c r="O1765" s="4" t="str">
        <f>LEFT(Table2[[#This Row],[Description]],75)</f>
        <v>Cub Foods</v>
      </c>
      <c r="P1765" s="2" t="s">
        <v>2370</v>
      </c>
    </row>
    <row r="1766" spans="1:16" hidden="1">
      <c r="A1766" s="2">
        <v>202001</v>
      </c>
      <c r="B1766" s="3">
        <v>43851</v>
      </c>
      <c r="C1766" s="2" t="s">
        <v>2317</v>
      </c>
      <c r="D1766" s="2" t="s">
        <v>878</v>
      </c>
      <c r="E1766" s="2">
        <v>-231</v>
      </c>
      <c r="F1766" s="2" t="s">
        <v>9</v>
      </c>
      <c r="J1766" s="2">
        <v>231</v>
      </c>
      <c r="K1766" s="2" t="b">
        <v>0</v>
      </c>
      <c r="L1766" s="2"/>
      <c r="M1766" s="2"/>
      <c r="N1766" s="4" t="s">
        <v>2273</v>
      </c>
      <c r="O1766" s="4" t="str">
        <f>LEFT(Table2[[#This Row],[Description]],75)</f>
        <v>FUNDS RECEIVED</v>
      </c>
      <c r="P1766" s="2" t="s">
        <v>2385</v>
      </c>
    </row>
    <row r="1767" spans="1:16" hidden="1">
      <c r="A1767" s="2">
        <v>202001</v>
      </c>
      <c r="B1767" s="3">
        <v>43851</v>
      </c>
      <c r="C1767" s="2" t="s">
        <v>2435</v>
      </c>
      <c r="D1767" s="2" t="s">
        <v>999</v>
      </c>
      <c r="E1767" s="2">
        <v>-5000</v>
      </c>
      <c r="F1767" s="2">
        <v>0</v>
      </c>
      <c r="J1767" s="2">
        <v>5000</v>
      </c>
      <c r="K1767" s="2" t="b">
        <v>0</v>
      </c>
      <c r="L1767" s="2"/>
      <c r="M1767" s="2"/>
      <c r="N1767" s="4" t="s">
        <v>2273</v>
      </c>
      <c r="O1767" s="4" t="str">
        <f>LEFT(Table2[[#This Row],[Description]],75)</f>
        <v>IRA LAST YEAR CONTRIB</v>
      </c>
      <c r="P1767" s="2"/>
    </row>
    <row r="1768" spans="1:16" hidden="1">
      <c r="A1768" s="2">
        <v>202001</v>
      </c>
      <c r="B1768" s="3">
        <v>43851</v>
      </c>
      <c r="C1768" s="2" t="s">
        <v>2317</v>
      </c>
      <c r="D1768" s="2" t="s">
        <v>1025</v>
      </c>
      <c r="E1768" s="2">
        <v>5000</v>
      </c>
      <c r="F1768" s="2" t="s">
        <v>9</v>
      </c>
      <c r="J1768" s="2">
        <v>5000</v>
      </c>
      <c r="K1768" s="2" t="b">
        <v>0</v>
      </c>
      <c r="L1768" s="2"/>
      <c r="M1768" s="2"/>
      <c r="N1768" s="4" t="s">
        <v>2259</v>
      </c>
      <c r="O1768" s="4" t="str">
        <f>LEFT(Table2[[#This Row],[Description]],75)</f>
        <v>JOURNAL TO 86850937</v>
      </c>
      <c r="P1768" s="2" t="s">
        <v>2385</v>
      </c>
    </row>
    <row r="1769" spans="1:16" hidden="1">
      <c r="A1769" s="2">
        <v>202001</v>
      </c>
      <c r="B1769" s="3">
        <v>43851</v>
      </c>
      <c r="C1769" s="2" t="s">
        <v>2265</v>
      </c>
      <c r="D1769" s="2" t="s">
        <v>1471</v>
      </c>
      <c r="E1769" s="2">
        <v>1</v>
      </c>
      <c r="F1769" s="2" t="s">
        <v>21</v>
      </c>
      <c r="J1769" s="2">
        <v>1</v>
      </c>
      <c r="K1769" s="2" t="b">
        <v>0</v>
      </c>
      <c r="L1769" s="2"/>
      <c r="M1769" s="2"/>
      <c r="N1769" s="4" t="s">
        <v>2259</v>
      </c>
      <c r="O1769" s="4" t="str">
        <f>LEFT(Table2[[#This Row],[Description]],75)</f>
        <v>PayPal</v>
      </c>
      <c r="P1769" s="2" t="s">
        <v>2322</v>
      </c>
    </row>
    <row r="1770" spans="1:16" hidden="1">
      <c r="A1770" s="2">
        <v>202001</v>
      </c>
      <c r="B1770" s="3">
        <v>43851</v>
      </c>
      <c r="C1770" s="2" t="s">
        <v>2265</v>
      </c>
      <c r="D1770" s="2" t="s">
        <v>1471</v>
      </c>
      <c r="E1770" s="2">
        <v>8.3000000000000007</v>
      </c>
      <c r="F1770" s="2" t="s">
        <v>21</v>
      </c>
      <c r="J1770" s="2">
        <v>8.3000000000000007</v>
      </c>
      <c r="K1770" s="2" t="b">
        <v>0</v>
      </c>
      <c r="L1770" s="2"/>
      <c r="M1770" s="2"/>
      <c r="N1770" s="4" t="s">
        <v>2259</v>
      </c>
      <c r="O1770" s="4" t="str">
        <f>LEFT(Table2[[#This Row],[Description]],75)</f>
        <v>PayPal</v>
      </c>
      <c r="P1770" s="2" t="s">
        <v>2322</v>
      </c>
    </row>
    <row r="1771" spans="1:16" hidden="1">
      <c r="A1771" s="2">
        <v>202001</v>
      </c>
      <c r="B1771" s="3">
        <v>43851</v>
      </c>
      <c r="C1771" s="2" t="s">
        <v>2267</v>
      </c>
      <c r="D1771" s="2" t="s">
        <v>1471</v>
      </c>
      <c r="E1771" s="2">
        <v>1</v>
      </c>
      <c r="F1771" s="2" t="s">
        <v>21</v>
      </c>
      <c r="J1771" s="2">
        <v>1</v>
      </c>
      <c r="K1771" s="2" t="b">
        <v>0</v>
      </c>
      <c r="L1771" s="2"/>
      <c r="M1771" s="2"/>
      <c r="N1771" s="4" t="s">
        <v>2259</v>
      </c>
      <c r="O1771" s="4" t="str">
        <f>LEFT(Table2[[#This Row],[Description]],75)</f>
        <v>PayPal</v>
      </c>
      <c r="P1771" s="2" t="s">
        <v>2322</v>
      </c>
    </row>
    <row r="1772" spans="1:16" hidden="1">
      <c r="A1772" s="2">
        <v>202001</v>
      </c>
      <c r="B1772" s="3">
        <v>43851</v>
      </c>
      <c r="C1772" s="2" t="s">
        <v>2267</v>
      </c>
      <c r="D1772" s="2" t="s">
        <v>1471</v>
      </c>
      <c r="E1772" s="2">
        <v>8.3000000000000007</v>
      </c>
      <c r="F1772" s="2" t="s">
        <v>21</v>
      </c>
      <c r="J1772" s="2">
        <v>8.3000000000000007</v>
      </c>
      <c r="K1772" s="2" t="b">
        <v>0</v>
      </c>
      <c r="L1772" s="2"/>
      <c r="M1772" s="2"/>
      <c r="N1772" s="4" t="s">
        <v>2259</v>
      </c>
      <c r="O1772" s="4" t="str">
        <f>LEFT(Table2[[#This Row],[Description]],75)</f>
        <v>PayPal</v>
      </c>
      <c r="P1772" s="2" t="s">
        <v>2322</v>
      </c>
    </row>
    <row r="1773" spans="1:16" hidden="1">
      <c r="A1773" s="2">
        <v>202001</v>
      </c>
      <c r="B1773" s="3">
        <v>43851</v>
      </c>
      <c r="C1773" s="2" t="s">
        <v>2355</v>
      </c>
      <c r="D1773" s="2" t="s">
        <v>1633</v>
      </c>
      <c r="E1773" s="2">
        <v>150</v>
      </c>
      <c r="F1773" s="2" t="s">
        <v>9</v>
      </c>
      <c r="J1773" s="2">
        <v>150</v>
      </c>
      <c r="K1773" s="2" t="b">
        <v>0</v>
      </c>
      <c r="L1773" s="2"/>
      <c r="M1773" s="2"/>
      <c r="N1773" s="4" t="s">
        <v>2259</v>
      </c>
      <c r="O1773" s="4" t="str">
        <f>LEFT(Table2[[#This Row],[Description]],75)</f>
        <v>SCHWAB S&amp;P 500 INDEX FD</v>
      </c>
      <c r="P1773" s="2" t="s">
        <v>2276</v>
      </c>
    </row>
    <row r="1774" spans="1:16" hidden="1">
      <c r="A1774" s="2">
        <v>202001</v>
      </c>
      <c r="B1774" s="3">
        <v>43851</v>
      </c>
      <c r="C1774" s="2" t="s">
        <v>2277</v>
      </c>
      <c r="D1774" s="2" t="s">
        <v>1633</v>
      </c>
      <c r="E1774" s="2">
        <v>150</v>
      </c>
      <c r="F1774" s="2" t="s">
        <v>9</v>
      </c>
      <c r="J1774" s="2">
        <v>150</v>
      </c>
      <c r="K1774" s="2" t="b">
        <v>0</v>
      </c>
      <c r="L1774" s="2"/>
      <c r="M1774" s="2"/>
      <c r="N1774" s="4" t="s">
        <v>2259</v>
      </c>
      <c r="O1774" s="4" t="str">
        <f>LEFT(Table2[[#This Row],[Description]],75)</f>
        <v>SCHWAB S&amp;P 500 INDEX FD</v>
      </c>
      <c r="P1774" s="2" t="s">
        <v>2276</v>
      </c>
    </row>
    <row r="1775" spans="1:16" hidden="1">
      <c r="A1775" s="2">
        <v>202001</v>
      </c>
      <c r="B1775" s="3">
        <v>43851</v>
      </c>
      <c r="C1775" s="2" t="s">
        <v>2275</v>
      </c>
      <c r="D1775" s="2" t="s">
        <v>1636</v>
      </c>
      <c r="E1775" s="2">
        <v>100</v>
      </c>
      <c r="F1775" s="2" t="s">
        <v>9</v>
      </c>
      <c r="J1775" s="2">
        <v>100</v>
      </c>
      <c r="K1775" s="2" t="b">
        <v>0</v>
      </c>
      <c r="L1775" s="2"/>
      <c r="M1775" s="2"/>
      <c r="N1775" s="4" t="s">
        <v>2259</v>
      </c>
      <c r="O1775" s="4" t="str">
        <f>LEFT(Table2[[#This Row],[Description]],75)</f>
        <v>SCHWAB US LARGE CAP GROWTH INDEX FD</v>
      </c>
      <c r="P1775" s="2" t="s">
        <v>2347</v>
      </c>
    </row>
    <row r="1776" spans="1:16" hidden="1">
      <c r="A1776" s="2">
        <v>202001</v>
      </c>
      <c r="B1776" s="3">
        <v>43851</v>
      </c>
      <c r="C1776" s="2" t="s">
        <v>2277</v>
      </c>
      <c r="D1776" s="2" t="s">
        <v>1636</v>
      </c>
      <c r="E1776" s="2">
        <v>100</v>
      </c>
      <c r="F1776" s="2" t="s">
        <v>9</v>
      </c>
      <c r="J1776" s="2">
        <v>100</v>
      </c>
      <c r="K1776" s="2" t="b">
        <v>0</v>
      </c>
      <c r="L1776" s="2"/>
      <c r="M1776" s="2"/>
      <c r="N1776" s="4" t="s">
        <v>2259</v>
      </c>
      <c r="O1776" s="4" t="str">
        <f>LEFT(Table2[[#This Row],[Description]],75)</f>
        <v>SCHWAB US LARGE CAP GROWTH INDEX FD</v>
      </c>
      <c r="P1776" s="2" t="s">
        <v>2347</v>
      </c>
    </row>
    <row r="1777" spans="1:16" hidden="1">
      <c r="A1777" s="2">
        <v>202001</v>
      </c>
      <c r="B1777" s="3">
        <v>43851</v>
      </c>
      <c r="C1777" s="2" t="s">
        <v>2262</v>
      </c>
      <c r="D1777" s="2" t="s">
        <v>2091</v>
      </c>
      <c r="E1777" s="2">
        <v>5.24</v>
      </c>
      <c r="F1777" s="2" t="s">
        <v>29</v>
      </c>
      <c r="J1777" s="2">
        <v>5.24</v>
      </c>
      <c r="K1777" s="2" t="b">
        <v>0</v>
      </c>
      <c r="L1777" s="2"/>
      <c r="M1777" s="2"/>
      <c r="N1777" s="4" t="s">
        <v>2259</v>
      </c>
      <c r="O1777" s="4" t="str">
        <f>LEFT(Table2[[#This Row],[Description]],75)</f>
        <v>UPS</v>
      </c>
      <c r="P1777" s="2" t="s">
        <v>2281</v>
      </c>
    </row>
    <row r="1778" spans="1:16" hidden="1">
      <c r="A1778" s="2">
        <v>202001</v>
      </c>
      <c r="B1778" s="3">
        <v>43851</v>
      </c>
      <c r="C1778" s="2" t="s">
        <v>2265</v>
      </c>
      <c r="D1778" s="2" t="s">
        <v>2109</v>
      </c>
      <c r="E1778" s="2">
        <v>60</v>
      </c>
      <c r="F1778" s="2">
        <v>0</v>
      </c>
      <c r="J1778" s="2">
        <v>60</v>
      </c>
      <c r="K1778" s="2" t="b">
        <v>0</v>
      </c>
      <c r="L1778" s="2"/>
      <c r="M1778" s="2"/>
      <c r="N1778" s="4" t="s">
        <v>2259</v>
      </c>
      <c r="O1778" s="4" t="str">
        <f>LEFT(Table2[[#This Row],[Description]],75)</f>
        <v>Venmo</v>
      </c>
      <c r="P1778" s="2"/>
    </row>
    <row r="1779" spans="1:16" hidden="1">
      <c r="A1779" s="2">
        <v>202001</v>
      </c>
      <c r="B1779" s="3">
        <v>43851</v>
      </c>
      <c r="C1779" s="2" t="s">
        <v>2265</v>
      </c>
      <c r="D1779" s="2" t="s">
        <v>2109</v>
      </c>
      <c r="E1779" s="2">
        <v>72</v>
      </c>
      <c r="F1779" s="2">
        <v>0</v>
      </c>
      <c r="J1779" s="2">
        <v>72</v>
      </c>
      <c r="K1779" s="2" t="b">
        <v>0</v>
      </c>
      <c r="L1779" s="2"/>
      <c r="M1779" s="2"/>
      <c r="N1779" s="4" t="s">
        <v>2259</v>
      </c>
      <c r="O1779" s="4" t="str">
        <f>LEFT(Table2[[#This Row],[Description]],75)</f>
        <v>Venmo</v>
      </c>
      <c r="P1779" s="2"/>
    </row>
    <row r="1780" spans="1:16" hidden="1">
      <c r="A1780" s="2">
        <v>202001</v>
      </c>
      <c r="B1780" s="3">
        <v>43851</v>
      </c>
      <c r="C1780" s="2" t="s">
        <v>2267</v>
      </c>
      <c r="D1780" s="2" t="s">
        <v>2109</v>
      </c>
      <c r="E1780" s="2">
        <v>60</v>
      </c>
      <c r="F1780" s="2" t="s">
        <v>21</v>
      </c>
      <c r="J1780" s="2">
        <v>60</v>
      </c>
      <c r="K1780" s="2" t="b">
        <v>0</v>
      </c>
      <c r="L1780" s="2"/>
      <c r="M1780" s="2"/>
      <c r="N1780" s="4" t="s">
        <v>2259</v>
      </c>
      <c r="O1780" s="4" t="str">
        <f>LEFT(Table2[[#This Row],[Description]],75)</f>
        <v>Venmo</v>
      </c>
      <c r="P1780" s="2" t="s">
        <v>2281</v>
      </c>
    </row>
    <row r="1781" spans="1:16" hidden="1">
      <c r="A1781" s="2">
        <v>202001</v>
      </c>
      <c r="B1781" s="3">
        <v>43851</v>
      </c>
      <c r="C1781" s="2" t="s">
        <v>2267</v>
      </c>
      <c r="D1781" s="2" t="s">
        <v>2109</v>
      </c>
      <c r="E1781" s="2">
        <v>72</v>
      </c>
      <c r="F1781" s="2" t="s">
        <v>21</v>
      </c>
      <c r="J1781" s="2">
        <v>72</v>
      </c>
      <c r="K1781" s="2" t="b">
        <v>0</v>
      </c>
      <c r="L1781" s="2"/>
      <c r="M1781" s="2"/>
      <c r="N1781" s="4" t="s">
        <v>2259</v>
      </c>
      <c r="O1781" s="4" t="str">
        <f>LEFT(Table2[[#This Row],[Description]],75)</f>
        <v>Venmo</v>
      </c>
      <c r="P1781" s="2" t="s">
        <v>2281</v>
      </c>
    </row>
    <row r="1782" spans="1:16" hidden="1">
      <c r="A1782" s="2">
        <v>202001</v>
      </c>
      <c r="B1782" s="3">
        <v>43851</v>
      </c>
      <c r="C1782" s="2" t="s">
        <v>2265</v>
      </c>
      <c r="D1782" s="2" t="s">
        <v>2165</v>
      </c>
      <c r="E1782" s="2">
        <v>4000</v>
      </c>
      <c r="F1782" s="2">
        <v>0</v>
      </c>
      <c r="J1782" s="2">
        <v>4000</v>
      </c>
      <c r="K1782" s="2" t="b">
        <v>0</v>
      </c>
      <c r="L1782" s="2"/>
      <c r="M1782" s="2"/>
      <c r="N1782" s="4" t="s">
        <v>2259</v>
      </c>
      <c r="O1782" s="4" t="str">
        <f>LEFT(Table2[[#This Row],[Description]],75)</f>
        <v>Withdrawal ACH TYPE Online ID ACH ECC WEB 282236837</v>
      </c>
      <c r="P1782" s="2"/>
    </row>
    <row r="1783" spans="1:16" hidden="1">
      <c r="A1783" s="2">
        <v>202001</v>
      </c>
      <c r="B1783" s="3">
        <v>43851</v>
      </c>
      <c r="C1783" s="2" t="s">
        <v>2267</v>
      </c>
      <c r="D1783" s="2" t="s">
        <v>2165</v>
      </c>
      <c r="E1783" s="2">
        <v>4000</v>
      </c>
      <c r="F1783" s="2" t="s">
        <v>9</v>
      </c>
      <c r="J1783" s="2">
        <v>4000</v>
      </c>
      <c r="K1783" s="2" t="b">
        <v>0</v>
      </c>
      <c r="L1783" s="2"/>
      <c r="M1783" s="2"/>
      <c r="N1783" s="4" t="s">
        <v>2259</v>
      </c>
      <c r="O1783" s="4" t="str">
        <f>LEFT(Table2[[#This Row],[Description]],75)</f>
        <v>Withdrawal ACH TYPE Online ID ACH ECC WEB 282236837</v>
      </c>
      <c r="P1783" s="2" t="s">
        <v>2281</v>
      </c>
    </row>
    <row r="1784" spans="1:16" hidden="1">
      <c r="A1784" s="2">
        <v>202001</v>
      </c>
      <c r="B1784" s="3">
        <v>43852</v>
      </c>
      <c r="C1784" s="2" t="s">
        <v>2274</v>
      </c>
      <c r="D1784" s="2" t="s">
        <v>275</v>
      </c>
      <c r="E1784" s="2">
        <v>-4000</v>
      </c>
      <c r="F1784" s="2" t="s">
        <v>9</v>
      </c>
      <c r="J1784" s="2">
        <v>4000</v>
      </c>
      <c r="K1784" s="2" t="b">
        <v>0</v>
      </c>
      <c r="L1784" s="2"/>
      <c r="M1784" s="2"/>
      <c r="N1784" s="4" t="s">
        <v>2273</v>
      </c>
      <c r="O1784" s="4" t="str">
        <f>LEFT(Table2[[#This Row],[Description]],75)</f>
        <v>Bcu Online</v>
      </c>
      <c r="P1784" s="2" t="s">
        <v>2281</v>
      </c>
    </row>
    <row r="1785" spans="1:16" hidden="1">
      <c r="A1785" s="2">
        <v>202001</v>
      </c>
      <c r="B1785" s="3">
        <v>43852</v>
      </c>
      <c r="C1785" s="2" t="s">
        <v>2265</v>
      </c>
      <c r="D1785" s="2" t="s">
        <v>73</v>
      </c>
      <c r="E1785" s="2">
        <v>-30</v>
      </c>
      <c r="F1785" s="2" t="s">
        <v>21</v>
      </c>
      <c r="J1785" s="2">
        <v>30</v>
      </c>
      <c r="K1785" s="2" t="b">
        <v>0</v>
      </c>
      <c r="L1785" s="2"/>
      <c r="M1785" s="2"/>
      <c r="N1785" s="4" t="s">
        <v>2273</v>
      </c>
      <c r="O1785" s="4" t="str">
        <f>LEFT(Table2[[#This Row],[Description]],75)</f>
        <v xml:space="preserve"> TYPE TRANSFER ID PAYPALSD11 CO PAYPAL ACH ECC PPD ACH Trace 22822 28246480</v>
      </c>
      <c r="P1785" s="2" t="s">
        <v>2322</v>
      </c>
    </row>
    <row r="1786" spans="1:16" hidden="1">
      <c r="A1786" s="2">
        <v>202001</v>
      </c>
      <c r="B1786" s="3">
        <v>43852</v>
      </c>
      <c r="C1786" s="2" t="s">
        <v>2317</v>
      </c>
      <c r="D1786" s="2" t="s">
        <v>305</v>
      </c>
      <c r="E1786" s="2">
        <v>930.29</v>
      </c>
      <c r="F1786" s="2" t="s">
        <v>69</v>
      </c>
      <c r="J1786" s="2">
        <v>930.29</v>
      </c>
      <c r="K1786" s="2" t="b">
        <v>0</v>
      </c>
      <c r="L1786" s="2"/>
      <c r="M1786" s="2"/>
      <c r="N1786" s="4" t="s">
        <v>2259</v>
      </c>
      <c r="O1786" s="4" t="str">
        <f>LEFT(Table2[[#This Row],[Description]],75)</f>
        <v>BOEING CO</v>
      </c>
      <c r="P1786" s="2" t="s">
        <v>2425</v>
      </c>
    </row>
    <row r="1787" spans="1:16" hidden="1">
      <c r="A1787" s="2">
        <v>202001</v>
      </c>
      <c r="B1787" s="3">
        <v>43852</v>
      </c>
      <c r="C1787" s="2" t="s">
        <v>2265</v>
      </c>
      <c r="D1787" s="2" t="s">
        <v>356</v>
      </c>
      <c r="E1787" s="2">
        <v>-1957.91</v>
      </c>
      <c r="F1787" s="2" t="s">
        <v>65</v>
      </c>
      <c r="J1787" s="2">
        <v>1957.91</v>
      </c>
      <c r="K1787" s="2" t="b">
        <v>0</v>
      </c>
      <c r="L1787" s="2"/>
      <c r="M1787" s="2"/>
      <c r="N1787" s="4" t="s">
        <v>2273</v>
      </c>
      <c r="O1787" s="4" t="str">
        <f>LEFT(Table2[[#This Row],[Description]],75)</f>
        <v xml:space="preserve">CARGILL COCOA TYPE DIR DEP ID CO CARGILL COCOA ACH ECC PPD ACH Trace 04604 </v>
      </c>
      <c r="P1787" s="2" t="s">
        <v>2284</v>
      </c>
    </row>
    <row r="1788" spans="1:16" hidden="1">
      <c r="A1788" s="2">
        <v>202001</v>
      </c>
      <c r="B1788" s="3">
        <v>43852</v>
      </c>
      <c r="C1788" s="2" t="s">
        <v>2267</v>
      </c>
      <c r="D1788" s="2" t="s">
        <v>356</v>
      </c>
      <c r="E1788" s="2">
        <v>-1957.91</v>
      </c>
      <c r="F1788" s="2" t="s">
        <v>65</v>
      </c>
      <c r="J1788" s="2">
        <v>1957.91</v>
      </c>
      <c r="K1788" s="2" t="b">
        <v>0</v>
      </c>
      <c r="L1788" s="2"/>
      <c r="M1788" s="2"/>
      <c r="N1788" s="4" t="s">
        <v>2273</v>
      </c>
      <c r="O1788" s="4" t="str">
        <f>LEFT(Table2[[#This Row],[Description]],75)</f>
        <v xml:space="preserve">CARGILL COCOA TYPE DIR DEP ID CO CARGILL COCOA ACH ECC PPD ACH Trace 04604 </v>
      </c>
      <c r="P1788" s="2" t="s">
        <v>2284</v>
      </c>
    </row>
    <row r="1789" spans="1:16" hidden="1">
      <c r="A1789" s="2">
        <v>202001</v>
      </c>
      <c r="B1789" s="3">
        <v>43852</v>
      </c>
      <c r="C1789" s="2" t="s">
        <v>2265</v>
      </c>
      <c r="D1789" s="2" t="s">
        <v>465</v>
      </c>
      <c r="E1789" s="2">
        <v>247.95</v>
      </c>
      <c r="F1789" s="2" t="s">
        <v>20</v>
      </c>
      <c r="J1789" s="2">
        <v>247.95</v>
      </c>
      <c r="K1789" s="2" t="b">
        <v>0</v>
      </c>
      <c r="L1789" s="2"/>
      <c r="M1789" s="2"/>
      <c r="N1789" s="4" t="s">
        <v>2259</v>
      </c>
      <c r="O1789" s="4" t="str">
        <f>LEFT(Table2[[#This Row],[Description]],75)</f>
        <v>CCLC TYPE INTERNET ID CO CCLC ACH ECC WEB ACH Trace 15136 282236838</v>
      </c>
      <c r="P1789" s="2" t="s">
        <v>2268</v>
      </c>
    </row>
    <row r="1790" spans="1:16" hidden="1">
      <c r="A1790" s="2">
        <v>202001</v>
      </c>
      <c r="B1790" s="3">
        <v>43852</v>
      </c>
      <c r="C1790" s="2" t="s">
        <v>2267</v>
      </c>
      <c r="D1790" s="2" t="s">
        <v>465</v>
      </c>
      <c r="E1790" s="2">
        <v>247.95</v>
      </c>
      <c r="F1790" s="2" t="s">
        <v>20</v>
      </c>
      <c r="J1790" s="2">
        <v>247.95</v>
      </c>
      <c r="K1790" s="2" t="b">
        <v>0</v>
      </c>
      <c r="L1790" s="2"/>
      <c r="M1790" s="2"/>
      <c r="N1790" s="4" t="s">
        <v>2259</v>
      </c>
      <c r="O1790" s="4" t="str">
        <f>LEFT(Table2[[#This Row],[Description]],75)</f>
        <v>CCLC TYPE INTERNET ID CO CCLC ACH ECC WEB ACH Trace 15136 282236838</v>
      </c>
      <c r="P1790" s="2" t="s">
        <v>2268</v>
      </c>
    </row>
    <row r="1791" spans="1:16" hidden="1">
      <c r="A1791" s="2">
        <v>202001</v>
      </c>
      <c r="B1791" s="3">
        <v>43852</v>
      </c>
      <c r="C1791" s="2" t="s">
        <v>2447</v>
      </c>
      <c r="D1791" s="2" t="s">
        <v>561</v>
      </c>
      <c r="E1791" s="2">
        <v>21.8</v>
      </c>
      <c r="F1791" s="2">
        <v>0</v>
      </c>
      <c r="J1791" s="2">
        <v>21.8</v>
      </c>
      <c r="K1791" s="2" t="b">
        <v>0</v>
      </c>
      <c r="L1791" s="2"/>
      <c r="M1791" s="2"/>
      <c r="N1791" s="4" t="s">
        <v>2259</v>
      </c>
      <c r="O1791" s="4" t="str">
        <f>LEFT(Table2[[#This Row],[Description]],75)</f>
        <v>CITY TAVERN PHILADELPHIA PA</v>
      </c>
      <c r="P1791" s="2"/>
    </row>
    <row r="1792" spans="1:16" hidden="1">
      <c r="A1792" s="2">
        <v>202001</v>
      </c>
      <c r="B1792" s="3">
        <v>43852</v>
      </c>
      <c r="C1792" s="2" t="s">
        <v>2258</v>
      </c>
      <c r="D1792" s="2" t="s">
        <v>561</v>
      </c>
      <c r="E1792" s="2">
        <v>21.8</v>
      </c>
      <c r="F1792" s="2" t="s">
        <v>26</v>
      </c>
      <c r="J1792" s="2">
        <v>21.8</v>
      </c>
      <c r="K1792" s="2" t="b">
        <v>0</v>
      </c>
      <c r="L1792" s="2"/>
      <c r="M1792" s="2"/>
      <c r="N1792" s="4" t="s">
        <v>2259</v>
      </c>
      <c r="O1792" s="4" t="str">
        <f>LEFT(Table2[[#This Row],[Description]],75)</f>
        <v>CITY TAVERN PHILADELPHIA PA</v>
      </c>
      <c r="P1792" s="2" t="s">
        <v>2281</v>
      </c>
    </row>
    <row r="1793" spans="1:16" hidden="1">
      <c r="A1793" s="2">
        <v>202001</v>
      </c>
      <c r="B1793" s="3">
        <v>43852</v>
      </c>
      <c r="C1793" s="2" t="s">
        <v>2447</v>
      </c>
      <c r="D1793" s="2" t="s">
        <v>954</v>
      </c>
      <c r="E1793" s="2">
        <v>4.1900000000000004</v>
      </c>
      <c r="F1793" s="2">
        <v>0</v>
      </c>
      <c r="J1793" s="2">
        <v>4.1900000000000004</v>
      </c>
      <c r="K1793" s="2" t="b">
        <v>0</v>
      </c>
      <c r="L1793" s="2"/>
      <c r="M1793" s="2"/>
      <c r="N1793" s="4" t="s">
        <v>2259</v>
      </c>
      <c r="O1793" s="4" t="str">
        <f>LEFT(Table2[[#This Row],[Description]],75)</f>
        <v>HUDSON ST1854 PHILADELPHIA PA</v>
      </c>
      <c r="P1793" s="2"/>
    </row>
    <row r="1794" spans="1:16" hidden="1">
      <c r="A1794" s="2">
        <v>202001</v>
      </c>
      <c r="B1794" s="3">
        <v>43852</v>
      </c>
      <c r="C1794" s="2" t="s">
        <v>2258</v>
      </c>
      <c r="D1794" s="2" t="s">
        <v>954</v>
      </c>
      <c r="E1794" s="2">
        <v>4.1900000000000004</v>
      </c>
      <c r="F1794" s="2" t="s">
        <v>21</v>
      </c>
      <c r="J1794" s="2">
        <v>4.1900000000000004</v>
      </c>
      <c r="K1794" s="2" t="b">
        <v>0</v>
      </c>
      <c r="L1794" s="2"/>
      <c r="M1794" s="2"/>
      <c r="N1794" s="4" t="s">
        <v>2259</v>
      </c>
      <c r="O1794" s="4" t="str">
        <f>LEFT(Table2[[#This Row],[Description]],75)</f>
        <v>HUDSON ST1854 PHILADELPHIA PA</v>
      </c>
      <c r="P1794" s="2" t="s">
        <v>2281</v>
      </c>
    </row>
    <row r="1795" spans="1:16" hidden="1">
      <c r="A1795" s="2">
        <v>202001</v>
      </c>
      <c r="B1795" s="3">
        <v>43852</v>
      </c>
      <c r="C1795" s="2" t="s">
        <v>2447</v>
      </c>
      <c r="D1795" s="2" t="s">
        <v>1707</v>
      </c>
      <c r="E1795" s="2">
        <v>32.229999999999997</v>
      </c>
      <c r="F1795" s="2" t="s">
        <v>23</v>
      </c>
      <c r="J1795" s="2">
        <v>32.229999999999997</v>
      </c>
      <c r="K1795" s="2" t="b">
        <v>0</v>
      </c>
      <c r="L1795" s="2"/>
      <c r="M1795" s="2"/>
      <c r="N1795" s="4" t="s">
        <v>2259</v>
      </c>
      <c r="O1795" s="4" t="str">
        <f>LEFT(Table2[[#This Row],[Description]],75)</f>
        <v>Speedway</v>
      </c>
      <c r="P1795" s="2" t="s">
        <v>2381</v>
      </c>
    </row>
    <row r="1796" spans="1:16" hidden="1">
      <c r="A1796" s="2">
        <v>202001</v>
      </c>
      <c r="B1796" s="3">
        <v>43852</v>
      </c>
      <c r="C1796" s="2" t="s">
        <v>2258</v>
      </c>
      <c r="D1796" s="2" t="s">
        <v>1707</v>
      </c>
      <c r="E1796" s="2">
        <v>32.229999999999997</v>
      </c>
      <c r="F1796" s="2" t="s">
        <v>23</v>
      </c>
      <c r="J1796" s="2">
        <v>32.229999999999997</v>
      </c>
      <c r="K1796" s="2" t="b">
        <v>0</v>
      </c>
      <c r="L1796" s="2"/>
      <c r="M1796" s="2"/>
      <c r="N1796" s="4" t="s">
        <v>2259</v>
      </c>
      <c r="O1796" s="4" t="str">
        <f>LEFT(Table2[[#This Row],[Description]],75)</f>
        <v>Speedway</v>
      </c>
      <c r="P1796" s="2" t="s">
        <v>2381</v>
      </c>
    </row>
    <row r="1797" spans="1:16" hidden="1">
      <c r="A1797" s="2">
        <v>202001</v>
      </c>
      <c r="B1797" s="3">
        <v>43852</v>
      </c>
      <c r="C1797" s="2" t="s">
        <v>2447</v>
      </c>
      <c r="D1797" s="2" t="s">
        <v>1783</v>
      </c>
      <c r="E1797" s="2">
        <v>16</v>
      </c>
      <c r="F1797" s="2">
        <v>0</v>
      </c>
      <c r="J1797" s="2">
        <v>16</v>
      </c>
      <c r="K1797" s="2" t="b">
        <v>0</v>
      </c>
      <c r="L1797" s="2"/>
      <c r="M1797" s="2"/>
      <c r="N1797" s="4" t="s">
        <v>2259</v>
      </c>
      <c r="O1797" s="4" t="str">
        <f>LEFT(Table2[[#This Row],[Description]],75)</f>
        <v>Stitch House Brewery</v>
      </c>
      <c r="P1797" s="2"/>
    </row>
    <row r="1798" spans="1:16" hidden="1">
      <c r="A1798" s="2">
        <v>202001</v>
      </c>
      <c r="B1798" s="3">
        <v>43852</v>
      </c>
      <c r="C1798" s="2" t="s">
        <v>2258</v>
      </c>
      <c r="D1798" s="2" t="s">
        <v>1783</v>
      </c>
      <c r="E1798" s="2">
        <v>16</v>
      </c>
      <c r="F1798" s="2" t="s">
        <v>26</v>
      </c>
      <c r="J1798" s="2">
        <v>16</v>
      </c>
      <c r="K1798" s="2" t="b">
        <v>0</v>
      </c>
      <c r="L1798" s="2"/>
      <c r="M1798" s="2"/>
      <c r="N1798" s="4" t="s">
        <v>2259</v>
      </c>
      <c r="O1798" s="4" t="str">
        <f>LEFT(Table2[[#This Row],[Description]],75)</f>
        <v>Stitch House Brewery</v>
      </c>
      <c r="P1798" s="2" t="s">
        <v>2281</v>
      </c>
    </row>
    <row r="1799" spans="1:16" hidden="1">
      <c r="A1799" s="2">
        <v>202001</v>
      </c>
      <c r="B1799" s="3">
        <v>43852</v>
      </c>
      <c r="C1799" s="2" t="s">
        <v>2265</v>
      </c>
      <c r="D1799" s="2" t="s">
        <v>2069</v>
      </c>
      <c r="E1799" s="2">
        <v>-30</v>
      </c>
      <c r="F1799" s="2" t="s">
        <v>21</v>
      </c>
      <c r="J1799" s="2">
        <v>30</v>
      </c>
      <c r="K1799" s="2" t="b">
        <v>0</v>
      </c>
      <c r="L1799" s="2"/>
      <c r="M1799" s="2"/>
      <c r="N1799" s="4" t="s">
        <v>2273</v>
      </c>
      <c r="O1799" s="4" t="str">
        <f>LEFT(Table2[[#This Row],[Description]],75)</f>
        <v>TYPE TRANSFER ID PAYPALSD11 CO PAYPAL ACH ECC PPD ACH Trace 22822 282464808</v>
      </c>
      <c r="P1799" s="2" t="s">
        <v>2322</v>
      </c>
    </row>
    <row r="1800" spans="1:16" hidden="1">
      <c r="A1800" s="2">
        <v>202001</v>
      </c>
      <c r="B1800" s="3">
        <v>43852</v>
      </c>
      <c r="C1800" s="2" t="s">
        <v>2267</v>
      </c>
      <c r="D1800" s="2" t="s">
        <v>2069</v>
      </c>
      <c r="E1800" s="2">
        <v>-30</v>
      </c>
      <c r="F1800" s="2" t="s">
        <v>21</v>
      </c>
      <c r="J1800" s="2">
        <v>30</v>
      </c>
      <c r="K1800" s="2" t="b">
        <v>0</v>
      </c>
      <c r="L1800" s="2"/>
      <c r="M1800" s="2"/>
      <c r="N1800" s="4" t="s">
        <v>2273</v>
      </c>
      <c r="O1800" s="4" t="str">
        <f>LEFT(Table2[[#This Row],[Description]],75)</f>
        <v>TYPE TRANSFER ID PAYPALSD11 CO PAYPAL ACH ECC PPD ACH Trace 22822 282464808</v>
      </c>
      <c r="P1800" s="2" t="s">
        <v>2322</v>
      </c>
    </row>
    <row r="1801" spans="1:16" hidden="1">
      <c r="A1801" s="2">
        <v>202001</v>
      </c>
      <c r="B1801" s="3">
        <v>43853</v>
      </c>
      <c r="C1801" s="2" t="s">
        <v>2447</v>
      </c>
      <c r="D1801" s="2" t="s">
        <v>997</v>
      </c>
      <c r="E1801" s="2">
        <v>-484.12</v>
      </c>
      <c r="F1801" s="2" t="s">
        <v>9</v>
      </c>
      <c r="J1801" s="2">
        <v>484.12</v>
      </c>
      <c r="K1801" s="2" t="b">
        <v>0</v>
      </c>
      <c r="L1801" s="2"/>
      <c r="M1801" s="2"/>
      <c r="N1801" s="4" t="s">
        <v>2273</v>
      </c>
      <c r="O1801" s="4" t="str">
        <f>LEFT(Table2[[#This Row],[Description]],75)</f>
        <v>INTERNET PAYMENT - THANK YOU</v>
      </c>
      <c r="P1801" s="2" t="s">
        <v>2291</v>
      </c>
    </row>
    <row r="1802" spans="1:16" hidden="1">
      <c r="A1802" s="2">
        <v>202001</v>
      </c>
      <c r="B1802" s="3">
        <v>43853</v>
      </c>
      <c r="C1802" s="2" t="s">
        <v>2258</v>
      </c>
      <c r="D1802" s="2" t="s">
        <v>997</v>
      </c>
      <c r="E1802" s="2">
        <v>-484.12</v>
      </c>
      <c r="F1802" s="2" t="s">
        <v>9</v>
      </c>
      <c r="J1802" s="2">
        <v>484.12</v>
      </c>
      <c r="K1802" s="2" t="b">
        <v>0</v>
      </c>
      <c r="L1802" s="2"/>
      <c r="M1802" s="2"/>
      <c r="N1802" s="4" t="s">
        <v>2273</v>
      </c>
      <c r="O1802" s="4" t="str">
        <f>LEFT(Table2[[#This Row],[Description]],75)</f>
        <v>INTERNET PAYMENT - THANK YOU</v>
      </c>
      <c r="P1802" s="2" t="s">
        <v>2291</v>
      </c>
    </row>
    <row r="1803" spans="1:16" hidden="1">
      <c r="A1803" s="2">
        <v>202001</v>
      </c>
      <c r="B1803" s="3">
        <v>43853</v>
      </c>
      <c r="C1803" s="2" t="s">
        <v>2338</v>
      </c>
      <c r="D1803" s="2" t="s">
        <v>403</v>
      </c>
      <c r="E1803" s="2">
        <v>-1172.31</v>
      </c>
      <c r="F1803" s="2" t="s">
        <v>9</v>
      </c>
      <c r="J1803" s="2">
        <v>1172.31</v>
      </c>
      <c r="K1803" s="2" t="b">
        <v>0</v>
      </c>
      <c r="L1803" s="2"/>
      <c r="M1803" s="2"/>
      <c r="N1803" s="4" t="s">
        <v>2273</v>
      </c>
      <c r="O1803" s="4" t="str">
        <f>LEFT(Table2[[#This Row],[Description]],75)</f>
        <v>Cargill ESOP Stock Fund - Plan Contribution</v>
      </c>
      <c r="P1803" s="2" t="s">
        <v>2451</v>
      </c>
    </row>
    <row r="1804" spans="1:16" hidden="1">
      <c r="A1804" s="2">
        <v>202001</v>
      </c>
      <c r="B1804" s="3">
        <v>43853</v>
      </c>
      <c r="C1804" s="2" t="s">
        <v>2262</v>
      </c>
      <c r="D1804" s="2" t="s">
        <v>451</v>
      </c>
      <c r="E1804" s="2">
        <v>105.18</v>
      </c>
      <c r="F1804" s="2" t="s">
        <v>28</v>
      </c>
      <c r="J1804" s="2">
        <v>105.18</v>
      </c>
      <c r="K1804" s="2" t="b">
        <v>0</v>
      </c>
      <c r="L1804" s="2"/>
      <c r="M1804" s="2"/>
      <c r="N1804" s="4" t="s">
        <v>2259</v>
      </c>
      <c r="O1804" s="4" t="str">
        <f>LEFT(Table2[[#This Row],[Description]],75)</f>
        <v>CARGILL PRODUC20081436 WAYZATA MN 282750502</v>
      </c>
      <c r="P1804" s="2" t="s">
        <v>2367</v>
      </c>
    </row>
    <row r="1805" spans="1:16" hidden="1">
      <c r="A1805" s="2">
        <v>202001</v>
      </c>
      <c r="B1805" s="3">
        <v>43853</v>
      </c>
      <c r="C1805" s="2" t="s">
        <v>2310</v>
      </c>
      <c r="D1805" s="2" t="s">
        <v>721</v>
      </c>
      <c r="E1805" s="2">
        <v>-100</v>
      </c>
      <c r="F1805" s="2" t="s">
        <v>9</v>
      </c>
      <c r="J1805" s="2">
        <v>100</v>
      </c>
      <c r="K1805" s="2" t="b">
        <v>0</v>
      </c>
      <c r="L1805" s="2"/>
      <c r="M1805" s="2"/>
      <c r="N1805" s="4" t="s">
        <v>2273</v>
      </c>
      <c r="O1805" s="4" t="str">
        <f>LEFT(Table2[[#This Row],[Description]],75)</f>
        <v>Deposit Transfer From TRUITTJEFF B Share 70 282557298</v>
      </c>
      <c r="P1805" s="2" t="s">
        <v>2281</v>
      </c>
    </row>
    <row r="1806" spans="1:16" hidden="1">
      <c r="A1806" s="2">
        <v>202001</v>
      </c>
      <c r="B1806" s="3">
        <v>43853</v>
      </c>
      <c r="C1806" s="2" t="s">
        <v>2274</v>
      </c>
      <c r="D1806" s="2" t="s">
        <v>881</v>
      </c>
      <c r="E1806" s="2">
        <v>5000</v>
      </c>
      <c r="F1806" s="2" t="s">
        <v>9</v>
      </c>
      <c r="J1806" s="2">
        <v>5000</v>
      </c>
      <c r="K1806" s="2" t="b">
        <v>0</v>
      </c>
      <c r="L1806" s="2"/>
      <c r="M1806" s="2"/>
      <c r="N1806" s="4" t="s">
        <v>2259</v>
      </c>
      <c r="O1806" s="4" t="str">
        <f>LEFT(Table2[[#This Row],[Description]],75)</f>
        <v>Funds Transfer to Brokerage -7698</v>
      </c>
      <c r="P1806" s="2" t="s">
        <v>2281</v>
      </c>
    </row>
    <row r="1807" spans="1:16" hidden="1">
      <c r="A1807" s="2">
        <v>202001</v>
      </c>
      <c r="B1807" s="3">
        <v>43853</v>
      </c>
      <c r="C1807" s="2" t="s">
        <v>2434</v>
      </c>
      <c r="D1807" s="2" t="s">
        <v>999</v>
      </c>
      <c r="E1807" s="2">
        <v>-5000</v>
      </c>
      <c r="F1807" s="2">
        <v>0</v>
      </c>
      <c r="J1807" s="2">
        <v>5000</v>
      </c>
      <c r="K1807" s="2" t="b">
        <v>0</v>
      </c>
      <c r="L1807" s="2"/>
      <c r="M1807" s="2"/>
      <c r="N1807" s="4" t="s">
        <v>2273</v>
      </c>
      <c r="O1807" s="4" t="str">
        <f>LEFT(Table2[[#This Row],[Description]],75)</f>
        <v>IRA LAST YEAR CONTRIB</v>
      </c>
      <c r="P1807" s="2"/>
    </row>
    <row r="1808" spans="1:16" hidden="1">
      <c r="A1808" s="2">
        <v>202001</v>
      </c>
      <c r="B1808" s="3">
        <v>43853</v>
      </c>
      <c r="C1808" s="2" t="s">
        <v>2262</v>
      </c>
      <c r="D1808" s="2" t="s">
        <v>1393</v>
      </c>
      <c r="E1808" s="2">
        <v>2.89</v>
      </c>
      <c r="F1808" s="2" t="s">
        <v>26</v>
      </c>
      <c r="J1808" s="2">
        <v>2.89</v>
      </c>
      <c r="K1808" s="2" t="b">
        <v>0</v>
      </c>
      <c r="L1808" s="2"/>
      <c r="M1808" s="2"/>
      <c r="N1808" s="4" t="s">
        <v>2259</v>
      </c>
      <c r="O1808" s="4" t="str">
        <f>LEFT(Table2[[#This Row],[Description]],75)</f>
        <v>Panera Bread</v>
      </c>
      <c r="P1808" s="2" t="s">
        <v>2452</v>
      </c>
    </row>
    <row r="1809" spans="1:16" hidden="1">
      <c r="A1809" s="2">
        <v>202001</v>
      </c>
      <c r="B1809" s="3">
        <v>43853</v>
      </c>
      <c r="C1809" s="2" t="s">
        <v>2300</v>
      </c>
      <c r="D1809" s="2" t="s">
        <v>1648</v>
      </c>
      <c r="E1809" s="2">
        <v>-300</v>
      </c>
      <c r="F1809" s="2" t="s">
        <v>9</v>
      </c>
      <c r="J1809" s="2">
        <v>300</v>
      </c>
      <c r="K1809" s="2" t="b">
        <v>0</v>
      </c>
      <c r="L1809" s="2"/>
      <c r="M1809" s="2"/>
      <c r="N1809" s="4" t="s">
        <v>2273</v>
      </c>
      <c r="O1809" s="4" t="str">
        <f>LEFT(Table2[[#This Row],[Description]],75)</f>
        <v>Share</v>
      </c>
      <c r="P1809" s="2" t="s">
        <v>2448</v>
      </c>
    </row>
    <row r="1810" spans="1:16" hidden="1">
      <c r="A1810" s="2">
        <v>202001</v>
      </c>
      <c r="B1810" s="3">
        <v>43853</v>
      </c>
      <c r="C1810" s="2" t="s">
        <v>2302</v>
      </c>
      <c r="D1810" s="2" t="s">
        <v>1648</v>
      </c>
      <c r="E1810" s="2">
        <v>-300</v>
      </c>
      <c r="F1810" s="2" t="s">
        <v>9</v>
      </c>
      <c r="J1810" s="2">
        <v>300</v>
      </c>
      <c r="K1810" s="2" t="b">
        <v>0</v>
      </c>
      <c r="L1810" s="2"/>
      <c r="M1810" s="2"/>
      <c r="N1810" s="4" t="s">
        <v>2273</v>
      </c>
      <c r="O1810" s="4" t="str">
        <f>LEFT(Table2[[#This Row],[Description]],75)</f>
        <v>Share</v>
      </c>
      <c r="P1810" s="2" t="s">
        <v>2281</v>
      </c>
    </row>
    <row r="1811" spans="1:16" hidden="1">
      <c r="A1811" s="2">
        <v>202001</v>
      </c>
      <c r="B1811" s="3">
        <v>43853</v>
      </c>
      <c r="C1811" s="2" t="s">
        <v>2265</v>
      </c>
      <c r="D1811" s="2" t="s">
        <v>1893</v>
      </c>
      <c r="E1811" s="2">
        <v>300</v>
      </c>
      <c r="F1811" s="2">
        <v>0</v>
      </c>
      <c r="J1811" s="2">
        <v>300</v>
      </c>
      <c r="K1811" s="2" t="b">
        <v>0</v>
      </c>
      <c r="L1811" s="2"/>
      <c r="M1811" s="2"/>
      <c r="N1811" s="4" t="s">
        <v>2259</v>
      </c>
      <c r="O1811" s="4" t="str">
        <f>LEFT(Table2[[#This Row],[Description]],75)</f>
        <v>To Share 12 282557066</v>
      </c>
      <c r="P1811" s="2"/>
    </row>
    <row r="1812" spans="1:16" hidden="1">
      <c r="A1812" s="2">
        <v>202001</v>
      </c>
      <c r="B1812" s="3">
        <v>43853</v>
      </c>
      <c r="C1812" s="2" t="s">
        <v>2267</v>
      </c>
      <c r="D1812" s="2" t="s">
        <v>1893</v>
      </c>
      <c r="E1812" s="2">
        <v>300</v>
      </c>
      <c r="F1812" s="2" t="s">
        <v>9</v>
      </c>
      <c r="J1812" s="2">
        <v>300</v>
      </c>
      <c r="K1812" s="2" t="b">
        <v>0</v>
      </c>
      <c r="L1812" s="2"/>
      <c r="M1812" s="2"/>
      <c r="N1812" s="4" t="s">
        <v>2259</v>
      </c>
      <c r="O1812" s="4" t="str">
        <f>LEFT(Table2[[#This Row],[Description]],75)</f>
        <v>To Share 12 282557066</v>
      </c>
      <c r="P1812" s="2" t="s">
        <v>2281</v>
      </c>
    </row>
    <row r="1813" spans="1:16" hidden="1">
      <c r="A1813" s="2">
        <v>202001</v>
      </c>
      <c r="B1813" s="3">
        <v>43853</v>
      </c>
      <c r="C1813" s="2" t="s">
        <v>2265</v>
      </c>
      <c r="D1813" s="2" t="s">
        <v>2109</v>
      </c>
      <c r="E1813" s="2">
        <v>14</v>
      </c>
      <c r="F1813" s="2">
        <v>0</v>
      </c>
      <c r="J1813" s="2">
        <v>14</v>
      </c>
      <c r="K1813" s="2" t="b">
        <v>0</v>
      </c>
      <c r="L1813" s="2"/>
      <c r="M1813" s="2"/>
      <c r="N1813" s="4" t="s">
        <v>2259</v>
      </c>
      <c r="O1813" s="4" t="str">
        <f>LEFT(Table2[[#This Row],[Description]],75)</f>
        <v>Venmo</v>
      </c>
      <c r="P1813" s="2"/>
    </row>
    <row r="1814" spans="1:16" hidden="1">
      <c r="A1814" s="2">
        <v>202001</v>
      </c>
      <c r="B1814" s="3">
        <v>43853</v>
      </c>
      <c r="C1814" s="2" t="s">
        <v>2267</v>
      </c>
      <c r="D1814" s="2" t="s">
        <v>2109</v>
      </c>
      <c r="E1814" s="2">
        <v>14</v>
      </c>
      <c r="F1814" s="2" t="s">
        <v>21</v>
      </c>
      <c r="J1814" s="2">
        <v>14</v>
      </c>
      <c r="K1814" s="2" t="b">
        <v>0</v>
      </c>
      <c r="L1814" s="2"/>
      <c r="M1814" s="2"/>
      <c r="N1814" s="4" t="s">
        <v>2259</v>
      </c>
      <c r="O1814" s="4" t="str">
        <f>LEFT(Table2[[#This Row],[Description]],75)</f>
        <v>Venmo</v>
      </c>
      <c r="P1814" s="2" t="s">
        <v>2281</v>
      </c>
    </row>
    <row r="1815" spans="1:16" hidden="1">
      <c r="A1815" s="2">
        <v>202001</v>
      </c>
      <c r="B1815" s="3">
        <v>43853</v>
      </c>
      <c r="C1815" s="2" t="s">
        <v>2265</v>
      </c>
      <c r="D1815" s="2" t="s">
        <v>2209</v>
      </c>
      <c r="E1815" s="2">
        <v>100</v>
      </c>
      <c r="F1815" s="2">
        <v>0</v>
      </c>
      <c r="J1815" s="2">
        <v>100</v>
      </c>
      <c r="K1815" s="2" t="b">
        <v>0</v>
      </c>
      <c r="L1815" s="2"/>
      <c r="M1815" s="2"/>
      <c r="N1815" s="4" t="s">
        <v>2259</v>
      </c>
      <c r="O1815" s="4" t="str">
        <f>LEFT(Table2[[#This Row],[Description]],75)</f>
        <v>Withdrawal Trans To TRUITTCOOPER L Share 12 282557299</v>
      </c>
      <c r="P1815" s="2"/>
    </row>
    <row r="1816" spans="1:16" hidden="1">
      <c r="A1816" s="2">
        <v>202001</v>
      </c>
      <c r="B1816" s="3">
        <v>43853</v>
      </c>
      <c r="C1816" s="2" t="s">
        <v>2267</v>
      </c>
      <c r="D1816" s="2" t="s">
        <v>2209</v>
      </c>
      <c r="E1816" s="2">
        <v>100</v>
      </c>
      <c r="F1816" s="2" t="s">
        <v>9</v>
      </c>
      <c r="J1816" s="2">
        <v>100</v>
      </c>
      <c r="K1816" s="2" t="b">
        <v>0</v>
      </c>
      <c r="L1816" s="2"/>
      <c r="M1816" s="2"/>
      <c r="N1816" s="4" t="s">
        <v>2259</v>
      </c>
      <c r="O1816" s="4" t="str">
        <f>LEFT(Table2[[#This Row],[Description]],75)</f>
        <v>Withdrawal Trans To TRUITTCOOPER L Share 12 282557299</v>
      </c>
      <c r="P1816" s="2" t="s">
        <v>2281</v>
      </c>
    </row>
    <row r="1817" spans="1:16" hidden="1">
      <c r="A1817" s="2">
        <v>202001</v>
      </c>
      <c r="B1817" s="3">
        <v>43854</v>
      </c>
      <c r="C1817" s="2" t="s">
        <v>2265</v>
      </c>
      <c r="D1817" s="2" t="s">
        <v>769</v>
      </c>
      <c r="E1817" s="2">
        <v>484.12</v>
      </c>
      <c r="F1817" s="2" t="s">
        <v>9</v>
      </c>
      <c r="J1817" s="2">
        <v>484.12</v>
      </c>
      <c r="K1817" s="2" t="b">
        <v>0</v>
      </c>
      <c r="L1817" s="2"/>
      <c r="M1817" s="2"/>
      <c r="N1817" s="4" t="s">
        <v>2259</v>
      </c>
      <c r="O1817" s="4" t="str">
        <f>LEFT(Table2[[#This Row],[Description]],75)</f>
        <v>DISCOVER TYPE EPAYMENT ID CO DISCOVER ACH ECC WEB ACH Trace 63021 282803685</v>
      </c>
      <c r="P1817" s="2" t="s">
        <v>2293</v>
      </c>
    </row>
    <row r="1818" spans="1:16" hidden="1">
      <c r="A1818" s="2">
        <v>202001</v>
      </c>
      <c r="B1818" s="3">
        <v>43854</v>
      </c>
      <c r="C1818" s="2" t="s">
        <v>2267</v>
      </c>
      <c r="D1818" s="2" t="s">
        <v>769</v>
      </c>
      <c r="E1818" s="2">
        <v>484.12</v>
      </c>
      <c r="F1818" s="2" t="s">
        <v>9</v>
      </c>
      <c r="J1818" s="2">
        <v>484.12</v>
      </c>
      <c r="K1818" s="2" t="b">
        <v>0</v>
      </c>
      <c r="L1818" s="2"/>
      <c r="M1818" s="2"/>
      <c r="N1818" s="4" t="s">
        <v>2259</v>
      </c>
      <c r="O1818" s="4" t="str">
        <f>LEFT(Table2[[#This Row],[Description]],75)</f>
        <v>DISCOVER TYPE EPAYMENT ID CO DISCOVER ACH ECC WEB ACH Trace 63021 282803685</v>
      </c>
      <c r="P1818" s="2" t="s">
        <v>2293</v>
      </c>
    </row>
    <row r="1819" spans="1:16" hidden="1">
      <c r="A1819" s="2">
        <v>202001</v>
      </c>
      <c r="B1819" s="3">
        <v>43854</v>
      </c>
      <c r="C1819" s="2" t="s">
        <v>2262</v>
      </c>
      <c r="D1819" s="2" t="s">
        <v>1436</v>
      </c>
      <c r="E1819" s="2">
        <v>-898.62</v>
      </c>
      <c r="F1819" s="2" t="s">
        <v>9</v>
      </c>
      <c r="J1819" s="2">
        <v>898.62</v>
      </c>
      <c r="K1819" s="2" t="b">
        <v>0</v>
      </c>
      <c r="L1819" s="2"/>
      <c r="M1819" s="2"/>
      <c r="N1819" s="4" t="s">
        <v>2273</v>
      </c>
      <c r="O1819" s="4" t="str">
        <f>LEFT(Table2[[#This Row],[Description]],75)</f>
        <v>PAYMENT THANK YOU 283353090</v>
      </c>
      <c r="P1819" s="2" t="s">
        <v>2391</v>
      </c>
    </row>
    <row r="1820" spans="1:16" hidden="1">
      <c r="A1820" s="2">
        <v>202001</v>
      </c>
      <c r="B1820" s="3">
        <v>43854</v>
      </c>
      <c r="C1820" s="2" t="s">
        <v>2265</v>
      </c>
      <c r="D1820" s="2" t="s">
        <v>2181</v>
      </c>
      <c r="E1820" s="2">
        <v>898.62</v>
      </c>
      <c r="F1820" s="2" t="s">
        <v>9</v>
      </c>
      <c r="J1820" s="2">
        <v>898.62</v>
      </c>
      <c r="K1820" s="2" t="b">
        <v>0</v>
      </c>
      <c r="L1820" s="2"/>
      <c r="M1820" s="2"/>
      <c r="N1820" s="4" t="s">
        <v>2259</v>
      </c>
      <c r="O1820" s="4" t="str">
        <f>LEFT(Table2[[#This Row],[Description]],75)</f>
        <v>Withdrawal Home payment to card 979181 282818180</v>
      </c>
      <c r="P1820" s="2" t="s">
        <v>2349</v>
      </c>
    </row>
    <row r="1821" spans="1:16" hidden="1">
      <c r="A1821" s="2">
        <v>202001</v>
      </c>
      <c r="B1821" s="3">
        <v>43854</v>
      </c>
      <c r="C1821" s="2" t="s">
        <v>2267</v>
      </c>
      <c r="D1821" s="2" t="s">
        <v>2181</v>
      </c>
      <c r="E1821" s="2">
        <v>898.62</v>
      </c>
      <c r="F1821" s="2" t="s">
        <v>9</v>
      </c>
      <c r="J1821" s="2">
        <v>898.62</v>
      </c>
      <c r="K1821" s="2" t="b">
        <v>0</v>
      </c>
      <c r="L1821" s="2"/>
      <c r="M1821" s="2"/>
      <c r="N1821" s="4" t="s">
        <v>2259</v>
      </c>
      <c r="O1821" s="4" t="str">
        <f>LEFT(Table2[[#This Row],[Description]],75)</f>
        <v>Withdrawal Home payment to card 979181 282818180</v>
      </c>
      <c r="P1821" s="2" t="s">
        <v>2349</v>
      </c>
    </row>
    <row r="1822" spans="1:16" hidden="1">
      <c r="A1822" s="2">
        <v>202001</v>
      </c>
      <c r="B1822" s="3">
        <v>43854</v>
      </c>
      <c r="C1822" s="2" t="s">
        <v>2262</v>
      </c>
      <c r="D1822" s="2" t="s">
        <v>81</v>
      </c>
      <c r="E1822" s="2">
        <v>764</v>
      </c>
      <c r="F1822" s="2" t="s">
        <v>2</v>
      </c>
      <c r="J1822" s="2">
        <v>764</v>
      </c>
      <c r="K1822" s="2" t="b">
        <v>0</v>
      </c>
      <c r="L1822" s="2"/>
      <c r="M1822" s="2"/>
      <c r="N1822" s="4" t="s">
        <v>2259</v>
      </c>
      <c r="O1822" s="4" t="str">
        <f>LEFT(Table2[[#This Row],[Description]],75)</f>
        <v>3 DAY BLINDS LLC 8008003329 CA 283004524</v>
      </c>
      <c r="P1822" s="2" t="s">
        <v>2281</v>
      </c>
    </row>
    <row r="1823" spans="1:16" hidden="1">
      <c r="A1823" s="2">
        <v>202001</v>
      </c>
      <c r="B1823" s="3">
        <v>43854</v>
      </c>
      <c r="C1823" s="2" t="s">
        <v>2262</v>
      </c>
      <c r="D1823" s="2" t="s">
        <v>38</v>
      </c>
      <c r="E1823" s="2">
        <v>12.87</v>
      </c>
      <c r="F1823" s="2" t="s">
        <v>38</v>
      </c>
      <c r="J1823" s="2">
        <v>12.87</v>
      </c>
      <c r="K1823" s="2" t="b">
        <v>0</v>
      </c>
      <c r="L1823" s="2"/>
      <c r="M1823" s="2"/>
      <c r="N1823" s="4" t="s">
        <v>2259</v>
      </c>
      <c r="O1823" s="4" t="str">
        <f>LEFT(Table2[[#This Row],[Description]],75)</f>
        <v>Amazon</v>
      </c>
      <c r="P1823" s="2" t="s">
        <v>2260</v>
      </c>
    </row>
    <row r="1824" spans="1:16" hidden="1">
      <c r="A1824" s="2">
        <v>202001</v>
      </c>
      <c r="B1824" s="3">
        <v>43854</v>
      </c>
      <c r="C1824" s="2" t="s">
        <v>2317</v>
      </c>
      <c r="D1824" s="2" t="s">
        <v>354</v>
      </c>
      <c r="E1824" s="2">
        <v>-200</v>
      </c>
      <c r="F1824" s="2" t="s">
        <v>57</v>
      </c>
      <c r="J1824" s="2">
        <v>200</v>
      </c>
      <c r="K1824" s="2" t="b">
        <v>0</v>
      </c>
      <c r="L1824" s="2"/>
      <c r="M1824" s="2"/>
      <c r="N1824" s="4" t="s">
        <v>2273</v>
      </c>
      <c r="O1824" s="4" t="str">
        <f>LEFT(Table2[[#This Row],[Description]],75)</f>
        <v>CARGILL COCOA &amp;</v>
      </c>
      <c r="P1824" s="2" t="s">
        <v>2354</v>
      </c>
    </row>
    <row r="1825" spans="1:16" hidden="1">
      <c r="A1825" s="2">
        <v>202001</v>
      </c>
      <c r="B1825" s="3">
        <v>43854</v>
      </c>
      <c r="C1825" s="2" t="s">
        <v>2262</v>
      </c>
      <c r="D1825" s="2" t="s">
        <v>1014</v>
      </c>
      <c r="E1825" s="2">
        <v>7.51</v>
      </c>
      <c r="F1825" s="2" t="s">
        <v>26</v>
      </c>
      <c r="J1825" s="2">
        <v>7.51</v>
      </c>
      <c r="K1825" s="2" t="b">
        <v>0</v>
      </c>
      <c r="L1825" s="2"/>
      <c r="M1825" s="2"/>
      <c r="N1825" s="4" t="s">
        <v>2259</v>
      </c>
      <c r="O1825" s="4" t="str">
        <f>LEFT(Table2[[#This Row],[Description]],75)</f>
        <v>Jimmy John's</v>
      </c>
      <c r="P1825" s="2" t="s">
        <v>2453</v>
      </c>
    </row>
    <row r="1826" spans="1:16" hidden="1">
      <c r="A1826" s="2">
        <v>202001</v>
      </c>
      <c r="B1826" s="3">
        <v>43854</v>
      </c>
      <c r="C1826" s="2" t="s">
        <v>2300</v>
      </c>
      <c r="D1826" s="2" t="s">
        <v>1648</v>
      </c>
      <c r="E1826" s="2">
        <v>-200</v>
      </c>
      <c r="F1826" s="2" t="s">
        <v>9</v>
      </c>
      <c r="J1826" s="2">
        <v>200</v>
      </c>
      <c r="K1826" s="2" t="b">
        <v>0</v>
      </c>
      <c r="L1826" s="2"/>
      <c r="M1826" s="2"/>
      <c r="N1826" s="4" t="s">
        <v>2273</v>
      </c>
      <c r="O1826" s="4" t="str">
        <f>LEFT(Table2[[#This Row],[Description]],75)</f>
        <v>Share</v>
      </c>
      <c r="P1826" s="2" t="s">
        <v>2448</v>
      </c>
    </row>
    <row r="1827" spans="1:16" hidden="1">
      <c r="A1827" s="2">
        <v>202001</v>
      </c>
      <c r="B1827" s="3">
        <v>43854</v>
      </c>
      <c r="C1827" s="2" t="s">
        <v>2302</v>
      </c>
      <c r="D1827" s="2" t="s">
        <v>1648</v>
      </c>
      <c r="E1827" s="2">
        <v>-200</v>
      </c>
      <c r="F1827" s="2" t="s">
        <v>9</v>
      </c>
      <c r="J1827" s="2">
        <v>200</v>
      </c>
      <c r="K1827" s="2" t="b">
        <v>0</v>
      </c>
      <c r="L1827" s="2"/>
      <c r="M1827" s="2"/>
      <c r="N1827" s="4" t="s">
        <v>2273</v>
      </c>
      <c r="O1827" s="4" t="str">
        <f>LEFT(Table2[[#This Row],[Description]],75)</f>
        <v>Share</v>
      </c>
      <c r="P1827" s="2" t="s">
        <v>2281</v>
      </c>
    </row>
    <row r="1828" spans="1:16" hidden="1">
      <c r="A1828" s="2">
        <v>202001</v>
      </c>
      <c r="B1828" s="3">
        <v>43854</v>
      </c>
      <c r="C1828" s="2" t="s">
        <v>2265</v>
      </c>
      <c r="D1828" s="2" t="s">
        <v>1894</v>
      </c>
      <c r="E1828" s="2">
        <v>200</v>
      </c>
      <c r="F1828" s="2">
        <v>0</v>
      </c>
      <c r="J1828" s="2">
        <v>200</v>
      </c>
      <c r="K1828" s="2" t="b">
        <v>0</v>
      </c>
      <c r="L1828" s="2"/>
      <c r="M1828" s="2"/>
      <c r="N1828" s="4" t="s">
        <v>2259</v>
      </c>
      <c r="O1828" s="4" t="str">
        <f>LEFT(Table2[[#This Row],[Description]],75)</f>
        <v>To Share 12 282803686</v>
      </c>
      <c r="P1828" s="2"/>
    </row>
    <row r="1829" spans="1:16" hidden="1">
      <c r="A1829" s="2">
        <v>202001</v>
      </c>
      <c r="B1829" s="3">
        <v>43854</v>
      </c>
      <c r="C1829" s="2" t="s">
        <v>2267</v>
      </c>
      <c r="D1829" s="2" t="s">
        <v>1894</v>
      </c>
      <c r="E1829" s="2">
        <v>200</v>
      </c>
      <c r="F1829" s="2" t="s">
        <v>9</v>
      </c>
      <c r="J1829" s="2">
        <v>200</v>
      </c>
      <c r="K1829" s="2" t="b">
        <v>0</v>
      </c>
      <c r="L1829" s="2"/>
      <c r="M1829" s="2"/>
      <c r="N1829" s="4" t="s">
        <v>2259</v>
      </c>
      <c r="O1829" s="4" t="str">
        <f>LEFT(Table2[[#This Row],[Description]],75)</f>
        <v>To Share 12 282803686</v>
      </c>
      <c r="P1829" s="2" t="s">
        <v>2281</v>
      </c>
    </row>
    <row r="1830" spans="1:16" hidden="1">
      <c r="A1830" s="2">
        <v>202001</v>
      </c>
      <c r="B1830" s="3">
        <v>43855</v>
      </c>
      <c r="C1830" s="2" t="s">
        <v>2447</v>
      </c>
      <c r="D1830" s="2" t="s">
        <v>38</v>
      </c>
      <c r="E1830" s="2">
        <v>29.11</v>
      </c>
      <c r="F1830" s="2" t="s">
        <v>38</v>
      </c>
      <c r="J1830" s="2">
        <v>29.11</v>
      </c>
      <c r="K1830" s="2" t="b">
        <v>0</v>
      </c>
      <c r="L1830" s="2"/>
      <c r="M1830" s="2"/>
      <c r="N1830" s="4" t="s">
        <v>2259</v>
      </c>
      <c r="O1830" s="4" t="str">
        <f>LEFT(Table2[[#This Row],[Description]],75)</f>
        <v>Amazon</v>
      </c>
      <c r="P1830" s="2" t="s">
        <v>2260</v>
      </c>
    </row>
    <row r="1831" spans="1:16" hidden="1">
      <c r="A1831" s="2">
        <v>202001</v>
      </c>
      <c r="B1831" s="3">
        <v>43855</v>
      </c>
      <c r="C1831" s="2" t="s">
        <v>2258</v>
      </c>
      <c r="D1831" s="2" t="s">
        <v>38</v>
      </c>
      <c r="E1831" s="2">
        <v>29.11</v>
      </c>
      <c r="F1831" s="2" t="s">
        <v>38</v>
      </c>
      <c r="J1831" s="2">
        <v>29.11</v>
      </c>
      <c r="K1831" s="2" t="b">
        <v>0</v>
      </c>
      <c r="L1831" s="2"/>
      <c r="M1831" s="2"/>
      <c r="N1831" s="4" t="s">
        <v>2259</v>
      </c>
      <c r="O1831" s="4" t="str">
        <f>LEFT(Table2[[#This Row],[Description]],75)</f>
        <v>Amazon</v>
      </c>
      <c r="P1831" s="2" t="s">
        <v>2260</v>
      </c>
    </row>
    <row r="1832" spans="1:16" hidden="1">
      <c r="A1832" s="2">
        <v>202001</v>
      </c>
      <c r="B1832" s="3">
        <v>43855</v>
      </c>
      <c r="C1832" s="2" t="s">
        <v>2447</v>
      </c>
      <c r="D1832" s="2" t="s">
        <v>1773</v>
      </c>
      <c r="E1832" s="2">
        <v>20</v>
      </c>
      <c r="F1832" s="2" t="s">
        <v>26</v>
      </c>
      <c r="J1832" s="2">
        <v>20</v>
      </c>
      <c r="K1832" s="2" t="b">
        <v>0</v>
      </c>
      <c r="L1832" s="2"/>
      <c r="M1832" s="2"/>
      <c r="N1832" s="4" t="s">
        <v>2259</v>
      </c>
      <c r="O1832" s="4" t="str">
        <f>LEFT(Table2[[#This Row],[Description]],75)</f>
        <v>Starbucks</v>
      </c>
      <c r="P1832" s="2" t="s">
        <v>2454</v>
      </c>
    </row>
    <row r="1833" spans="1:16" hidden="1">
      <c r="A1833" s="2">
        <v>202001</v>
      </c>
      <c r="B1833" s="3">
        <v>43855</v>
      </c>
      <c r="C1833" s="2" t="s">
        <v>2258</v>
      </c>
      <c r="D1833" s="2" t="s">
        <v>1773</v>
      </c>
      <c r="E1833" s="2">
        <v>20</v>
      </c>
      <c r="F1833" s="2" t="s">
        <v>26</v>
      </c>
      <c r="J1833" s="2">
        <v>20</v>
      </c>
      <c r="K1833" s="2" t="b">
        <v>0</v>
      </c>
      <c r="L1833" s="2"/>
      <c r="M1833" s="2"/>
      <c r="N1833" s="4" t="s">
        <v>2259</v>
      </c>
      <c r="O1833" s="4" t="str">
        <f>LEFT(Table2[[#This Row],[Description]],75)</f>
        <v>Starbucks</v>
      </c>
      <c r="P1833" s="2" t="s">
        <v>2454</v>
      </c>
    </row>
    <row r="1834" spans="1:16" hidden="1">
      <c r="A1834" s="2">
        <v>202001</v>
      </c>
      <c r="B1834" s="3">
        <v>43856</v>
      </c>
      <c r="C1834" s="2" t="s">
        <v>2262</v>
      </c>
      <c r="D1834" s="2" t="s">
        <v>1115</v>
      </c>
      <c r="E1834" s="2">
        <v>64.41</v>
      </c>
      <c r="F1834" s="2" t="s">
        <v>26</v>
      </c>
      <c r="J1834" s="2">
        <v>64.41</v>
      </c>
      <c r="K1834" s="2" t="b">
        <v>0</v>
      </c>
      <c r="L1834" s="2"/>
      <c r="M1834" s="2"/>
      <c r="N1834" s="4" t="s">
        <v>2259</v>
      </c>
      <c r="O1834" s="4" t="str">
        <f>LEFT(Table2[[#This Row],[Description]],75)</f>
        <v>LIFE TIME CAFE 151Q48 CHANHASSEN MN 283353092</v>
      </c>
      <c r="P1834" s="2" t="s">
        <v>2376</v>
      </c>
    </row>
    <row r="1835" spans="1:16" hidden="1">
      <c r="A1835" s="2">
        <v>202001</v>
      </c>
      <c r="B1835" s="3">
        <v>43856</v>
      </c>
      <c r="C1835" s="2" t="s">
        <v>2447</v>
      </c>
      <c r="D1835" s="2" t="s">
        <v>1350</v>
      </c>
      <c r="E1835" s="2">
        <v>12.99</v>
      </c>
      <c r="F1835" s="2" t="s">
        <v>7</v>
      </c>
      <c r="J1835" s="2">
        <v>12.99</v>
      </c>
      <c r="K1835" s="2" t="b">
        <v>0</v>
      </c>
      <c r="L1835" s="2"/>
      <c r="M1835" s="2"/>
      <c r="N1835" s="4" t="s">
        <v>2259</v>
      </c>
      <c r="O1835" s="4" t="str">
        <f>LEFT(Table2[[#This Row],[Description]],75)</f>
        <v>Netflix</v>
      </c>
      <c r="P1835" s="2" t="s">
        <v>2306</v>
      </c>
    </row>
    <row r="1836" spans="1:16" hidden="1">
      <c r="A1836" s="2">
        <v>202001</v>
      </c>
      <c r="B1836" s="3">
        <v>43856</v>
      </c>
      <c r="C1836" s="2" t="s">
        <v>2258</v>
      </c>
      <c r="D1836" s="2" t="s">
        <v>1350</v>
      </c>
      <c r="E1836" s="2">
        <v>12.99</v>
      </c>
      <c r="F1836" s="2" t="s">
        <v>7</v>
      </c>
      <c r="J1836" s="2">
        <v>12.99</v>
      </c>
      <c r="K1836" s="2" t="b">
        <v>0</v>
      </c>
      <c r="L1836" s="2"/>
      <c r="M1836" s="2"/>
      <c r="N1836" s="4" t="s">
        <v>2259</v>
      </c>
      <c r="O1836" s="4" t="str">
        <f>LEFT(Table2[[#This Row],[Description]],75)</f>
        <v>Netflix</v>
      </c>
      <c r="P1836" s="2" t="s">
        <v>2306</v>
      </c>
    </row>
    <row r="1837" spans="1:16" hidden="1">
      <c r="A1837" s="2">
        <v>202001</v>
      </c>
      <c r="B1837" s="3">
        <v>43856</v>
      </c>
      <c r="C1837" s="2" t="s">
        <v>2447</v>
      </c>
      <c r="D1837" s="2" t="s">
        <v>1873</v>
      </c>
      <c r="E1837" s="2">
        <v>32.08</v>
      </c>
      <c r="F1837" s="2" t="s">
        <v>26</v>
      </c>
      <c r="J1837" s="2">
        <v>32.08</v>
      </c>
      <c r="K1837" s="2" t="b">
        <v>0</v>
      </c>
      <c r="L1837" s="2"/>
      <c r="M1837" s="2"/>
      <c r="N1837" s="4" t="s">
        <v>2259</v>
      </c>
      <c r="O1837" s="4" t="str">
        <f>LEFT(Table2[[#This Row],[Description]],75)</f>
        <v>TINO S PIZZERIA SHOREWOOD MN</v>
      </c>
      <c r="P1837" s="2" t="s">
        <v>2455</v>
      </c>
    </row>
    <row r="1838" spans="1:16" hidden="1">
      <c r="A1838" s="2">
        <v>202001</v>
      </c>
      <c r="B1838" s="3">
        <v>43856</v>
      </c>
      <c r="C1838" s="2" t="s">
        <v>2258</v>
      </c>
      <c r="D1838" s="2" t="s">
        <v>1873</v>
      </c>
      <c r="E1838" s="2">
        <v>32.08</v>
      </c>
      <c r="F1838" s="2" t="s">
        <v>26</v>
      </c>
      <c r="J1838" s="2">
        <v>32.08</v>
      </c>
      <c r="K1838" s="2" t="b">
        <v>0</v>
      </c>
      <c r="L1838" s="2"/>
      <c r="M1838" s="2"/>
      <c r="N1838" s="4" t="s">
        <v>2259</v>
      </c>
      <c r="O1838" s="4" t="str">
        <f>LEFT(Table2[[#This Row],[Description]],75)</f>
        <v>TINO S PIZZERIA SHOREWOOD MN</v>
      </c>
      <c r="P1838" s="2" t="s">
        <v>2455</v>
      </c>
    </row>
    <row r="1839" spans="1:16" hidden="1">
      <c r="A1839" s="2">
        <v>202001</v>
      </c>
      <c r="B1839" s="3">
        <v>43856</v>
      </c>
      <c r="C1839" s="2" t="s">
        <v>2447</v>
      </c>
      <c r="D1839" s="2" t="s">
        <v>1931</v>
      </c>
      <c r="E1839" s="2">
        <v>7.52</v>
      </c>
      <c r="F1839" s="2" t="s">
        <v>28</v>
      </c>
      <c r="J1839" s="2">
        <v>7.52</v>
      </c>
      <c r="K1839" s="2" t="b">
        <v>0</v>
      </c>
      <c r="L1839" s="2"/>
      <c r="M1839" s="2"/>
      <c r="N1839" s="4" t="s">
        <v>2259</v>
      </c>
      <c r="O1839" s="4" t="str">
        <f>LEFT(Table2[[#This Row],[Description]],75)</f>
        <v>Trader Joe's</v>
      </c>
      <c r="P1839" s="2" t="s">
        <v>2419</v>
      </c>
    </row>
    <row r="1840" spans="1:16" hidden="1">
      <c r="A1840" s="2">
        <v>202001</v>
      </c>
      <c r="B1840" s="3">
        <v>43856</v>
      </c>
      <c r="C1840" s="2" t="s">
        <v>2258</v>
      </c>
      <c r="D1840" s="2" t="s">
        <v>1931</v>
      </c>
      <c r="E1840" s="2">
        <v>7.52</v>
      </c>
      <c r="F1840" s="2" t="s">
        <v>28</v>
      </c>
      <c r="J1840" s="2">
        <v>7.52</v>
      </c>
      <c r="K1840" s="2" t="b">
        <v>0</v>
      </c>
      <c r="L1840" s="2"/>
      <c r="M1840" s="2"/>
      <c r="N1840" s="4" t="s">
        <v>2259</v>
      </c>
      <c r="O1840" s="4" t="str">
        <f>LEFT(Table2[[#This Row],[Description]],75)</f>
        <v>Trader Joe's</v>
      </c>
      <c r="P1840" s="2" t="s">
        <v>2419</v>
      </c>
    </row>
    <row r="1841" spans="1:16" hidden="1">
      <c r="A1841" s="2">
        <v>202001</v>
      </c>
      <c r="B1841" s="3">
        <v>43856</v>
      </c>
      <c r="C1841" s="2" t="s">
        <v>2262</v>
      </c>
      <c r="D1841" s="2" t="s">
        <v>2232</v>
      </c>
      <c r="E1841" s="2">
        <v>52.63</v>
      </c>
      <c r="F1841" s="2" t="s">
        <v>26</v>
      </c>
      <c r="J1841" s="2">
        <v>52.63</v>
      </c>
      <c r="K1841" s="2" t="b">
        <v>0</v>
      </c>
      <c r="L1841" s="2"/>
      <c r="M1841" s="2"/>
      <c r="N1841" s="4" t="s">
        <v>2259</v>
      </c>
      <c r="O1841" s="4" t="str">
        <f>LEFT(Table2[[#This Row],[Description]],75)</f>
        <v>ZEN BOX IZAKAYA MINNEAPOLIS MN 283353091</v>
      </c>
      <c r="P1841" s="2" t="s">
        <v>2456</v>
      </c>
    </row>
    <row r="1842" spans="1:16" hidden="1">
      <c r="A1842" s="2">
        <v>202001</v>
      </c>
      <c r="B1842" s="3">
        <v>43857</v>
      </c>
      <c r="C1842" s="2" t="s">
        <v>2434</v>
      </c>
      <c r="D1842" s="2" t="s">
        <v>111</v>
      </c>
      <c r="E1842" s="2">
        <v>1423.84</v>
      </c>
      <c r="F1842" s="2">
        <v>0</v>
      </c>
      <c r="J1842" s="2">
        <v>1423.84</v>
      </c>
      <c r="K1842" s="2" t="b">
        <v>0</v>
      </c>
      <c r="L1842" s="2"/>
      <c r="M1842" s="2"/>
      <c r="N1842" s="4" t="s">
        <v>2259</v>
      </c>
      <c r="O1842" s="4" t="str">
        <f>LEFT(Table2[[#This Row],[Description]],75)</f>
        <v>ALPHABET INC. CLASS C</v>
      </c>
      <c r="P1842" s="2"/>
    </row>
    <row r="1843" spans="1:16" hidden="1">
      <c r="A1843" s="2">
        <v>202001</v>
      </c>
      <c r="B1843" s="3">
        <v>43857</v>
      </c>
      <c r="C1843" s="2" t="s">
        <v>2435</v>
      </c>
      <c r="D1843" s="2" t="s">
        <v>164</v>
      </c>
      <c r="E1843" s="2">
        <v>1545.89</v>
      </c>
      <c r="F1843" s="2" t="s">
        <v>69</v>
      </c>
      <c r="J1843" s="2">
        <v>1545.89</v>
      </c>
      <c r="K1843" s="2" t="b">
        <v>0</v>
      </c>
      <c r="L1843" s="2"/>
      <c r="M1843" s="2"/>
      <c r="N1843" s="4" t="s">
        <v>2259</v>
      </c>
      <c r="O1843" s="4" t="str">
        <f>LEFT(Table2[[#This Row],[Description]],75)</f>
        <v>APPLE INC</v>
      </c>
      <c r="P1843" s="2" t="s">
        <v>2405</v>
      </c>
    </row>
    <row r="1844" spans="1:16" hidden="1">
      <c r="A1844" s="2">
        <v>202001</v>
      </c>
      <c r="B1844" s="3">
        <v>43857</v>
      </c>
      <c r="C1844" s="2" t="s">
        <v>2447</v>
      </c>
      <c r="D1844" s="2" t="s">
        <v>442</v>
      </c>
      <c r="E1844" s="2">
        <v>82.72</v>
      </c>
      <c r="F1844" s="2" t="s">
        <v>26</v>
      </c>
      <c r="J1844" s="2">
        <v>82.72</v>
      </c>
      <c r="K1844" s="2" t="b">
        <v>0</v>
      </c>
      <c r="L1844" s="2"/>
      <c r="M1844" s="2"/>
      <c r="N1844" s="4" t="s">
        <v>2259</v>
      </c>
      <c r="O1844" s="4" t="str">
        <f>LEFT(Table2[[#This Row],[Description]],75)</f>
        <v>CARGILL PRO20081436579 WAYZATA MNAPPLE PAY ENDING</v>
      </c>
      <c r="P1844" s="2" t="s">
        <v>2324</v>
      </c>
    </row>
    <row r="1845" spans="1:16" hidden="1">
      <c r="A1845" s="2">
        <v>202001</v>
      </c>
      <c r="B1845" s="3">
        <v>43857</v>
      </c>
      <c r="C1845" s="2" t="s">
        <v>2258</v>
      </c>
      <c r="D1845" s="2" t="s">
        <v>442</v>
      </c>
      <c r="E1845" s="2">
        <v>82.72</v>
      </c>
      <c r="F1845" s="2" t="s">
        <v>28</v>
      </c>
      <c r="J1845" s="2">
        <v>82.72</v>
      </c>
      <c r="K1845" s="2" t="b">
        <v>0</v>
      </c>
      <c r="L1845" s="2"/>
      <c r="M1845" s="2"/>
      <c r="N1845" s="4" t="s">
        <v>2259</v>
      </c>
      <c r="O1845" s="4" t="str">
        <f>LEFT(Table2[[#This Row],[Description]],75)</f>
        <v>CARGILL PRO20081436579 WAYZATA MNAPPLE PAY ENDING</v>
      </c>
      <c r="P1845" s="2" t="s">
        <v>2324</v>
      </c>
    </row>
    <row r="1846" spans="1:16" hidden="1">
      <c r="A1846" s="2">
        <v>202001</v>
      </c>
      <c r="B1846" s="3">
        <v>43857</v>
      </c>
      <c r="C1846" s="2" t="s">
        <v>2447</v>
      </c>
      <c r="D1846" s="2" t="s">
        <v>681</v>
      </c>
      <c r="E1846" s="2">
        <v>12.1</v>
      </c>
      <c r="F1846" s="2" t="s">
        <v>26</v>
      </c>
      <c r="J1846" s="2">
        <v>12.1</v>
      </c>
      <c r="K1846" s="2" t="b">
        <v>0</v>
      </c>
      <c r="L1846" s="2"/>
      <c r="M1846" s="2"/>
      <c r="N1846" s="4" t="s">
        <v>2259</v>
      </c>
      <c r="O1846" s="4" t="str">
        <f>LEFT(Table2[[#This Row],[Description]],75)</f>
        <v>Crisp &amp; Green</v>
      </c>
      <c r="P1846" s="2" t="s">
        <v>2457</v>
      </c>
    </row>
    <row r="1847" spans="1:16" hidden="1">
      <c r="A1847" s="2">
        <v>202001</v>
      </c>
      <c r="B1847" s="3">
        <v>43857</v>
      </c>
      <c r="C1847" s="2" t="s">
        <v>2258</v>
      </c>
      <c r="D1847" s="2" t="s">
        <v>681</v>
      </c>
      <c r="E1847" s="2">
        <v>12.1</v>
      </c>
      <c r="F1847" s="2" t="s">
        <v>26</v>
      </c>
      <c r="J1847" s="2">
        <v>12.1</v>
      </c>
      <c r="K1847" s="2" t="b">
        <v>0</v>
      </c>
      <c r="L1847" s="2"/>
      <c r="M1847" s="2"/>
      <c r="N1847" s="4" t="s">
        <v>2259</v>
      </c>
      <c r="O1847" s="4" t="str">
        <f>LEFT(Table2[[#This Row],[Description]],75)</f>
        <v>Crisp &amp; Green</v>
      </c>
      <c r="P1847" s="2" t="s">
        <v>2457</v>
      </c>
    </row>
    <row r="1848" spans="1:16" hidden="1">
      <c r="A1848" s="2">
        <v>202001</v>
      </c>
      <c r="B1848" s="3">
        <v>43857</v>
      </c>
      <c r="C1848" s="2" t="s">
        <v>2265</v>
      </c>
      <c r="D1848" s="2" t="s">
        <v>31</v>
      </c>
      <c r="E1848" s="2">
        <v>320.35000000000002</v>
      </c>
      <c r="F1848" s="2" t="s">
        <v>31</v>
      </c>
      <c r="J1848" s="2">
        <v>320.35000000000002</v>
      </c>
      <c r="K1848" s="2" t="b">
        <v>0</v>
      </c>
      <c r="L1848" s="2"/>
      <c r="M1848" s="2"/>
      <c r="N1848" s="4" t="s">
        <v>2259</v>
      </c>
      <c r="O1848" s="4" t="str">
        <f>LEFT(Table2[[#This Row],[Description]],75)</f>
        <v>Target</v>
      </c>
      <c r="P1848" s="2" t="s">
        <v>2309</v>
      </c>
    </row>
    <row r="1849" spans="1:16" hidden="1">
      <c r="A1849" s="2">
        <v>202001</v>
      </c>
      <c r="B1849" s="3">
        <v>43857</v>
      </c>
      <c r="C1849" s="2" t="s">
        <v>2267</v>
      </c>
      <c r="D1849" s="2" t="s">
        <v>31</v>
      </c>
      <c r="E1849" s="2">
        <v>320.35000000000002</v>
      </c>
      <c r="F1849" s="2" t="s">
        <v>31</v>
      </c>
      <c r="J1849" s="2">
        <v>320.35000000000002</v>
      </c>
      <c r="K1849" s="2" t="b">
        <v>0</v>
      </c>
      <c r="L1849" s="2"/>
      <c r="M1849" s="2"/>
      <c r="N1849" s="4" t="s">
        <v>2259</v>
      </c>
      <c r="O1849" s="4" t="str">
        <f>LEFT(Table2[[#This Row],[Description]],75)</f>
        <v>Target</v>
      </c>
      <c r="P1849" s="2" t="s">
        <v>2309</v>
      </c>
    </row>
    <row r="1850" spans="1:16" hidden="1">
      <c r="A1850" s="2">
        <v>202001</v>
      </c>
      <c r="B1850" s="3">
        <v>43857</v>
      </c>
      <c r="C1850" s="2" t="s">
        <v>2262</v>
      </c>
      <c r="D1850" s="2" t="s">
        <v>1831</v>
      </c>
      <c r="E1850" s="2">
        <v>19.75</v>
      </c>
      <c r="F1850" s="2" t="s">
        <v>26</v>
      </c>
      <c r="J1850" s="2">
        <v>19.75</v>
      </c>
      <c r="K1850" s="2" t="b">
        <v>0</v>
      </c>
      <c r="L1850" s="2"/>
      <c r="M1850" s="2"/>
      <c r="N1850" s="4" t="s">
        <v>2259</v>
      </c>
      <c r="O1850" s="4" t="str">
        <f>LEFT(Table2[[#This Row],[Description]],75)</f>
        <v>TEQUILA BUTCHER CHANHASSEN MN 283600461</v>
      </c>
      <c r="P1850" s="2" t="s">
        <v>2446</v>
      </c>
    </row>
    <row r="1851" spans="1:16" hidden="1">
      <c r="A1851" s="2">
        <v>202001</v>
      </c>
      <c r="B1851" s="3">
        <v>43857</v>
      </c>
      <c r="C1851" s="2" t="s">
        <v>2262</v>
      </c>
      <c r="D1851" s="2" t="s">
        <v>2061</v>
      </c>
      <c r="E1851" s="2">
        <v>25</v>
      </c>
      <c r="F1851" s="2" t="s">
        <v>29</v>
      </c>
      <c r="J1851" s="2">
        <v>25</v>
      </c>
      <c r="K1851" s="2" t="b">
        <v>0</v>
      </c>
      <c r="L1851" s="2"/>
      <c r="M1851" s="2"/>
      <c r="N1851" s="4" t="s">
        <v>2259</v>
      </c>
      <c r="O1851" s="4" t="str">
        <f>LEFT(Table2[[#This Row],[Description]],75)</f>
        <v>Turbo Nail Spa</v>
      </c>
      <c r="P1851" s="2" t="s">
        <v>2281</v>
      </c>
    </row>
    <row r="1852" spans="1:16" hidden="1">
      <c r="A1852" s="2">
        <v>202001</v>
      </c>
      <c r="B1852" s="3">
        <v>43857</v>
      </c>
      <c r="C1852" s="2" t="s">
        <v>2447</v>
      </c>
      <c r="D1852" s="2" t="s">
        <v>2154</v>
      </c>
      <c r="E1852" s="2">
        <v>121.38</v>
      </c>
      <c r="F1852" s="2" t="s">
        <v>28</v>
      </c>
      <c r="J1852" s="2">
        <v>121.38</v>
      </c>
      <c r="K1852" s="2" t="b">
        <v>0</v>
      </c>
      <c r="L1852" s="2"/>
      <c r="M1852" s="2"/>
      <c r="N1852" s="4" t="s">
        <v>2259</v>
      </c>
      <c r="O1852" s="4" t="str">
        <f>LEFT(Table2[[#This Row],[Description]],75)</f>
        <v>Whole Foods</v>
      </c>
      <c r="P1852" s="2" t="s">
        <v>2390</v>
      </c>
    </row>
    <row r="1853" spans="1:16" hidden="1">
      <c r="A1853" s="2">
        <v>202001</v>
      </c>
      <c r="B1853" s="3">
        <v>43857</v>
      </c>
      <c r="C1853" s="2" t="s">
        <v>2258</v>
      </c>
      <c r="D1853" s="2" t="s">
        <v>2154</v>
      </c>
      <c r="E1853" s="2">
        <v>121.38</v>
      </c>
      <c r="F1853" s="2" t="s">
        <v>28</v>
      </c>
      <c r="J1853" s="2">
        <v>121.38</v>
      </c>
      <c r="K1853" s="2" t="b">
        <v>0</v>
      </c>
      <c r="L1853" s="2"/>
      <c r="M1853" s="2"/>
      <c r="N1853" s="4" t="s">
        <v>2259</v>
      </c>
      <c r="O1853" s="4" t="str">
        <f>LEFT(Table2[[#This Row],[Description]],75)</f>
        <v>Whole Foods</v>
      </c>
      <c r="P1853" s="2" t="s">
        <v>2390</v>
      </c>
    </row>
    <row r="1854" spans="1:16" hidden="1">
      <c r="A1854" s="2">
        <v>202001</v>
      </c>
      <c r="B1854" s="3">
        <v>43858</v>
      </c>
      <c r="C1854" s="2" t="s">
        <v>2262</v>
      </c>
      <c r="D1854" s="2" t="s">
        <v>38</v>
      </c>
      <c r="E1854" s="2">
        <v>-12.37</v>
      </c>
      <c r="F1854" s="2" t="s">
        <v>38</v>
      </c>
      <c r="J1854" s="2">
        <v>12.37</v>
      </c>
      <c r="K1854" s="2" t="b">
        <v>0</v>
      </c>
      <c r="L1854" s="2"/>
      <c r="M1854" s="2"/>
      <c r="N1854" s="4" t="s">
        <v>2273</v>
      </c>
      <c r="O1854" s="4" t="str">
        <f>LEFT(Table2[[#This Row],[Description]],75)</f>
        <v>Amazon</v>
      </c>
      <c r="P1854" s="2" t="s">
        <v>2260</v>
      </c>
    </row>
    <row r="1855" spans="1:16" hidden="1">
      <c r="A1855" s="2">
        <v>202001</v>
      </c>
      <c r="B1855" s="3">
        <v>43858</v>
      </c>
      <c r="C1855" s="2" t="s">
        <v>2262</v>
      </c>
      <c r="D1855" s="2" t="s">
        <v>1483</v>
      </c>
      <c r="E1855" s="2">
        <v>45.76</v>
      </c>
      <c r="F1855" s="2" t="s">
        <v>23</v>
      </c>
      <c r="J1855" s="2">
        <v>45.76</v>
      </c>
      <c r="K1855" s="2" t="b">
        <v>0</v>
      </c>
      <c r="L1855" s="2"/>
      <c r="M1855" s="2"/>
      <c r="N1855" s="4" t="s">
        <v>2259</v>
      </c>
      <c r="O1855" s="4" t="str">
        <f>LEFT(Table2[[#This Row],[Description]],75)</f>
        <v>PENN MINNOCO MINNEAPOLIS MN 283821489</v>
      </c>
      <c r="P1855" s="2" t="s">
        <v>2308</v>
      </c>
    </row>
    <row r="1856" spans="1:16" hidden="1">
      <c r="A1856" s="2">
        <v>202001</v>
      </c>
      <c r="B1856" s="3">
        <v>43859</v>
      </c>
      <c r="C1856" s="2" t="s">
        <v>2262</v>
      </c>
      <c r="D1856" s="2" t="s">
        <v>1437</v>
      </c>
      <c r="E1856" s="2">
        <v>-979.56</v>
      </c>
      <c r="F1856" s="2" t="s">
        <v>9</v>
      </c>
      <c r="J1856" s="2">
        <v>979.56</v>
      </c>
      <c r="K1856" s="2" t="b">
        <v>0</v>
      </c>
      <c r="L1856" s="2"/>
      <c r="M1856" s="2"/>
      <c r="N1856" s="4" t="s">
        <v>2273</v>
      </c>
      <c r="O1856" s="4" t="str">
        <f>LEFT(Table2[[#This Row],[Description]],75)</f>
        <v>PAYMENT THANK YOU 284334887</v>
      </c>
      <c r="P1856" s="2" t="s">
        <v>2391</v>
      </c>
    </row>
    <row r="1857" spans="1:16" hidden="1">
      <c r="A1857" s="2">
        <v>202001</v>
      </c>
      <c r="B1857" s="3">
        <v>43859</v>
      </c>
      <c r="C1857" s="2" t="s">
        <v>2265</v>
      </c>
      <c r="D1857" s="2" t="s">
        <v>2182</v>
      </c>
      <c r="E1857" s="2">
        <v>979.56</v>
      </c>
      <c r="F1857" s="2" t="s">
        <v>9</v>
      </c>
      <c r="J1857" s="2">
        <v>979.56</v>
      </c>
      <c r="K1857" s="2" t="b">
        <v>0</v>
      </c>
      <c r="L1857" s="2"/>
      <c r="M1857" s="2"/>
      <c r="N1857" s="4" t="s">
        <v>2259</v>
      </c>
      <c r="O1857" s="4" t="str">
        <f>LEFT(Table2[[#This Row],[Description]],75)</f>
        <v>Withdrawal Home payment to card 979181 283894239</v>
      </c>
      <c r="P1857" s="2" t="s">
        <v>2349</v>
      </c>
    </row>
    <row r="1858" spans="1:16" hidden="1">
      <c r="A1858" s="2">
        <v>202001</v>
      </c>
      <c r="B1858" s="3">
        <v>43859</v>
      </c>
      <c r="C1858" s="2" t="s">
        <v>2267</v>
      </c>
      <c r="D1858" s="2" t="s">
        <v>2182</v>
      </c>
      <c r="E1858" s="2">
        <v>979.56</v>
      </c>
      <c r="F1858" s="2" t="s">
        <v>9</v>
      </c>
      <c r="J1858" s="2">
        <v>979.56</v>
      </c>
      <c r="K1858" s="2" t="b">
        <v>0</v>
      </c>
      <c r="L1858" s="2"/>
      <c r="M1858" s="2"/>
      <c r="N1858" s="4" t="s">
        <v>2259</v>
      </c>
      <c r="O1858" s="4" t="str">
        <f>LEFT(Table2[[#This Row],[Description]],75)</f>
        <v>Withdrawal Home payment to card 979181 283894239</v>
      </c>
      <c r="P1858" s="2" t="s">
        <v>2349</v>
      </c>
    </row>
    <row r="1859" spans="1:16" hidden="1">
      <c r="A1859" s="2">
        <v>202001</v>
      </c>
      <c r="B1859" s="3">
        <v>43859</v>
      </c>
      <c r="C1859" s="2" t="s">
        <v>2265</v>
      </c>
      <c r="D1859" s="2" t="s">
        <v>463</v>
      </c>
      <c r="E1859" s="2">
        <v>247.95</v>
      </c>
      <c r="F1859" s="2" t="s">
        <v>20</v>
      </c>
      <c r="J1859" s="2">
        <v>247.95</v>
      </c>
      <c r="K1859" s="2" t="b">
        <v>0</v>
      </c>
      <c r="L1859" s="2"/>
      <c r="M1859" s="2"/>
      <c r="N1859" s="4" t="s">
        <v>2259</v>
      </c>
      <c r="O1859" s="4" t="str">
        <f>LEFT(Table2[[#This Row],[Description]],75)</f>
        <v>CCLC TYPE INTERNET ID CO CCLC ACH ECC WEB ACH Trace 11943 283876069</v>
      </c>
      <c r="P1859" s="2" t="s">
        <v>2268</v>
      </c>
    </row>
    <row r="1860" spans="1:16" hidden="1">
      <c r="A1860" s="2">
        <v>202001</v>
      </c>
      <c r="B1860" s="3">
        <v>43859</v>
      </c>
      <c r="C1860" s="2" t="s">
        <v>2267</v>
      </c>
      <c r="D1860" s="2" t="s">
        <v>463</v>
      </c>
      <c r="E1860" s="2">
        <v>247.95</v>
      </c>
      <c r="F1860" s="2" t="s">
        <v>20</v>
      </c>
      <c r="J1860" s="2">
        <v>247.95</v>
      </c>
      <c r="K1860" s="2" t="b">
        <v>0</v>
      </c>
      <c r="L1860" s="2"/>
      <c r="M1860" s="2"/>
      <c r="N1860" s="4" t="s">
        <v>2259</v>
      </c>
      <c r="O1860" s="4" t="str">
        <f>LEFT(Table2[[#This Row],[Description]],75)</f>
        <v>CCLC TYPE INTERNET ID CO CCLC ACH ECC WEB ACH Trace 11943 283876069</v>
      </c>
      <c r="P1860" s="2" t="s">
        <v>2268</v>
      </c>
    </row>
    <row r="1861" spans="1:16" hidden="1">
      <c r="A1861" s="2">
        <v>202001</v>
      </c>
      <c r="B1861" s="3">
        <v>43859</v>
      </c>
      <c r="C1861" s="2" t="s">
        <v>2262</v>
      </c>
      <c r="D1861" s="2" t="s">
        <v>1116</v>
      </c>
      <c r="E1861" s="2">
        <v>20.079999999999998</v>
      </c>
      <c r="F1861" s="2" t="s">
        <v>26</v>
      </c>
      <c r="J1861" s="2">
        <v>20.079999999999998</v>
      </c>
      <c r="K1861" s="2" t="b">
        <v>0</v>
      </c>
      <c r="L1861" s="2"/>
      <c r="M1861" s="2"/>
      <c r="N1861" s="4" t="s">
        <v>2259</v>
      </c>
      <c r="O1861" s="4" t="str">
        <f>LEFT(Table2[[#This Row],[Description]],75)</f>
        <v>LIFE TIME CAFE 151Q48 CHANHASSEN MN 284076139</v>
      </c>
      <c r="P1861" s="2" t="s">
        <v>2376</v>
      </c>
    </row>
    <row r="1862" spans="1:16" hidden="1">
      <c r="A1862" s="2">
        <v>202001</v>
      </c>
      <c r="B1862" s="3">
        <v>43859</v>
      </c>
      <c r="C1862" s="2" t="s">
        <v>2265</v>
      </c>
      <c r="D1862" s="2" t="s">
        <v>1471</v>
      </c>
      <c r="E1862" s="2">
        <v>0.99</v>
      </c>
      <c r="F1862" s="2" t="s">
        <v>21</v>
      </c>
      <c r="J1862" s="2">
        <v>0.99</v>
      </c>
      <c r="K1862" s="2" t="b">
        <v>0</v>
      </c>
      <c r="L1862" s="2"/>
      <c r="M1862" s="2"/>
      <c r="N1862" s="4" t="s">
        <v>2259</v>
      </c>
      <c r="O1862" s="4" t="str">
        <f>LEFT(Table2[[#This Row],[Description]],75)</f>
        <v>PayPal</v>
      </c>
      <c r="P1862" s="2" t="s">
        <v>2322</v>
      </c>
    </row>
    <row r="1863" spans="1:16" hidden="1">
      <c r="A1863" s="2">
        <v>202001</v>
      </c>
      <c r="B1863" s="3">
        <v>43859</v>
      </c>
      <c r="C1863" s="2" t="s">
        <v>2267</v>
      </c>
      <c r="D1863" s="2" t="s">
        <v>1471</v>
      </c>
      <c r="E1863" s="2">
        <v>0.99</v>
      </c>
      <c r="F1863" s="2" t="s">
        <v>21</v>
      </c>
      <c r="J1863" s="2">
        <v>0.99</v>
      </c>
      <c r="K1863" s="2" t="b">
        <v>0</v>
      </c>
      <c r="L1863" s="2"/>
      <c r="M1863" s="2"/>
      <c r="N1863" s="4" t="s">
        <v>2259</v>
      </c>
      <c r="O1863" s="4" t="str">
        <f>LEFT(Table2[[#This Row],[Description]],75)</f>
        <v>PayPal</v>
      </c>
      <c r="P1863" s="2" t="s">
        <v>2322</v>
      </c>
    </row>
    <row r="1864" spans="1:16" hidden="1">
      <c r="A1864" s="2">
        <v>202001</v>
      </c>
      <c r="B1864" s="3">
        <v>43860</v>
      </c>
      <c r="C1864" s="2" t="s">
        <v>2447</v>
      </c>
      <c r="D1864" s="2" t="s">
        <v>684</v>
      </c>
      <c r="E1864" s="2">
        <v>10.74</v>
      </c>
      <c r="F1864" s="2" t="s">
        <v>28</v>
      </c>
      <c r="J1864" s="2">
        <v>10.74</v>
      </c>
      <c r="K1864" s="2" t="b">
        <v>0</v>
      </c>
      <c r="L1864" s="2"/>
      <c r="M1864" s="2"/>
      <c r="N1864" s="4" t="s">
        <v>2259</v>
      </c>
      <c r="O1864" s="4" t="str">
        <f>LEFT(Table2[[#This Row],[Description]],75)</f>
        <v>Cub Foods</v>
      </c>
      <c r="P1864" s="2" t="s">
        <v>2370</v>
      </c>
    </row>
    <row r="1865" spans="1:16" hidden="1">
      <c r="A1865" s="2">
        <v>202001</v>
      </c>
      <c r="B1865" s="3">
        <v>43860</v>
      </c>
      <c r="C1865" s="2" t="s">
        <v>2258</v>
      </c>
      <c r="D1865" s="2" t="s">
        <v>684</v>
      </c>
      <c r="E1865" s="2">
        <v>10.74</v>
      </c>
      <c r="F1865" s="2" t="s">
        <v>28</v>
      </c>
      <c r="J1865" s="2">
        <v>10.74</v>
      </c>
      <c r="K1865" s="2" t="b">
        <v>0</v>
      </c>
      <c r="L1865" s="2"/>
      <c r="M1865" s="2"/>
      <c r="N1865" s="4" t="s">
        <v>2259</v>
      </c>
      <c r="O1865" s="4" t="str">
        <f>LEFT(Table2[[#This Row],[Description]],75)</f>
        <v>Cub Foods</v>
      </c>
      <c r="P1865" s="2" t="s">
        <v>2370</v>
      </c>
    </row>
    <row r="1866" spans="1:16" hidden="1">
      <c r="A1866" s="2">
        <v>202001</v>
      </c>
      <c r="B1866" s="3">
        <v>43860</v>
      </c>
      <c r="C1866" s="2" t="s">
        <v>2265</v>
      </c>
      <c r="D1866" s="2" t="s">
        <v>1049</v>
      </c>
      <c r="E1866" s="2">
        <v>-1915.09</v>
      </c>
      <c r="F1866" s="2" t="s">
        <v>63</v>
      </c>
      <c r="J1866" s="2">
        <v>1915.09</v>
      </c>
      <c r="K1866" s="2" t="b">
        <v>0</v>
      </c>
      <c r="L1866" s="2"/>
      <c r="M1866" s="2"/>
      <c r="N1866" s="4" t="s">
        <v>2273</v>
      </c>
      <c r="O1866" s="4" t="str">
        <f>LEFT(Table2[[#This Row],[Description]],75)</f>
        <v>KAUFMAN HALL TYPE DIRECT DEP ID CO KAUFMAN HALL ACH ECC PPD ACH Trace 48884</v>
      </c>
      <c r="P1866" s="2" t="s">
        <v>2285</v>
      </c>
    </row>
    <row r="1867" spans="1:16" hidden="1">
      <c r="A1867" s="2">
        <v>202001</v>
      </c>
      <c r="B1867" s="3">
        <v>43860</v>
      </c>
      <c r="C1867" s="2" t="s">
        <v>2267</v>
      </c>
      <c r="D1867" s="2" t="s">
        <v>1049</v>
      </c>
      <c r="E1867" s="2">
        <v>-1915.09</v>
      </c>
      <c r="F1867" s="2" t="s">
        <v>63</v>
      </c>
      <c r="J1867" s="2">
        <v>1915.09</v>
      </c>
      <c r="K1867" s="2" t="b">
        <v>0</v>
      </c>
      <c r="L1867" s="2"/>
      <c r="M1867" s="2"/>
      <c r="N1867" s="4" t="s">
        <v>2273</v>
      </c>
      <c r="O1867" s="4" t="str">
        <f>LEFT(Table2[[#This Row],[Description]],75)</f>
        <v>KAUFMAN HALL TYPE DIRECT DEP ID CO KAUFMAN HALL ACH ECC PPD ACH Trace 48884</v>
      </c>
      <c r="P1867" s="2" t="s">
        <v>2285</v>
      </c>
    </row>
    <row r="1868" spans="1:16" hidden="1">
      <c r="A1868" s="2">
        <v>202001</v>
      </c>
      <c r="B1868" s="3">
        <v>43860</v>
      </c>
      <c r="C1868" s="2" t="s">
        <v>2262</v>
      </c>
      <c r="D1868" s="2" t="s">
        <v>1068</v>
      </c>
      <c r="E1868" s="2">
        <v>23.5</v>
      </c>
      <c r="F1868" s="2" t="s">
        <v>40</v>
      </c>
      <c r="J1868" s="2">
        <v>23.5</v>
      </c>
      <c r="K1868" s="2" t="b">
        <v>0</v>
      </c>
      <c r="L1868" s="2"/>
      <c r="M1868" s="2"/>
      <c r="N1868" s="4" t="s">
        <v>2259</v>
      </c>
      <c r="O1868" s="4" t="str">
        <f>LEFT(Table2[[#This Row],[Description]],75)</f>
        <v>Kids Hair</v>
      </c>
      <c r="P1868" s="2" t="s">
        <v>2281</v>
      </c>
    </row>
    <row r="1869" spans="1:16" hidden="1">
      <c r="A1869" s="2">
        <v>202001</v>
      </c>
      <c r="B1869" s="3">
        <v>43860</v>
      </c>
      <c r="C1869" s="2" t="s">
        <v>2265</v>
      </c>
      <c r="D1869" s="2" t="s">
        <v>1355</v>
      </c>
      <c r="E1869" s="2">
        <v>38</v>
      </c>
      <c r="F1869" s="2" t="s">
        <v>21</v>
      </c>
      <c r="J1869" s="2">
        <v>38</v>
      </c>
      <c r="K1869" s="2" t="b">
        <v>0</v>
      </c>
      <c r="L1869" s="2"/>
      <c r="M1869" s="2"/>
      <c r="N1869" s="4" t="s">
        <v>2259</v>
      </c>
      <c r="O1869" s="4" t="str">
        <f>LEFT(Table2[[#This Row],[Description]],75)</f>
        <v>Nordstrom</v>
      </c>
      <c r="P1869" s="2" t="s">
        <v>2352</v>
      </c>
    </row>
    <row r="1870" spans="1:16" hidden="1">
      <c r="A1870" s="2">
        <v>202001</v>
      </c>
      <c r="B1870" s="3">
        <v>43860</v>
      </c>
      <c r="C1870" s="2" t="s">
        <v>2267</v>
      </c>
      <c r="D1870" s="2" t="s">
        <v>1355</v>
      </c>
      <c r="E1870" s="2">
        <v>38</v>
      </c>
      <c r="F1870" s="2" t="s">
        <v>21</v>
      </c>
      <c r="J1870" s="2">
        <v>38</v>
      </c>
      <c r="K1870" s="2" t="b">
        <v>0</v>
      </c>
      <c r="L1870" s="2"/>
      <c r="M1870" s="2"/>
      <c r="N1870" s="4" t="s">
        <v>2259</v>
      </c>
      <c r="O1870" s="4" t="str">
        <f>LEFT(Table2[[#This Row],[Description]],75)</f>
        <v>Nordstrom</v>
      </c>
      <c r="P1870" s="2" t="s">
        <v>2352</v>
      </c>
    </row>
    <row r="1871" spans="1:16" hidden="1">
      <c r="A1871" s="2">
        <v>202001</v>
      </c>
      <c r="B1871" s="3">
        <v>43860</v>
      </c>
      <c r="C1871" s="2" t="s">
        <v>2317</v>
      </c>
      <c r="D1871" s="2" t="s">
        <v>1552</v>
      </c>
      <c r="E1871" s="2">
        <v>-58.36</v>
      </c>
      <c r="F1871" s="2" t="s">
        <v>69</v>
      </c>
      <c r="J1871" s="2">
        <v>58.36</v>
      </c>
      <c r="K1871" s="2" t="b">
        <v>0</v>
      </c>
      <c r="L1871" s="2"/>
      <c r="M1871" s="2"/>
      <c r="N1871" s="4" t="s">
        <v>2273</v>
      </c>
      <c r="O1871" s="4" t="str">
        <f>LEFT(Table2[[#This Row],[Description]],75)</f>
        <v>RAYTHEON CO</v>
      </c>
      <c r="P1871" s="2" t="s">
        <v>2403</v>
      </c>
    </row>
    <row r="1872" spans="1:16" hidden="1">
      <c r="A1872" s="2">
        <v>202001</v>
      </c>
      <c r="B1872" s="3">
        <v>43860</v>
      </c>
      <c r="C1872" s="2" t="s">
        <v>2317</v>
      </c>
      <c r="D1872" s="2" t="s">
        <v>1646</v>
      </c>
      <c r="E1872" s="2">
        <v>-0.53</v>
      </c>
      <c r="F1872" s="2" t="s">
        <v>16</v>
      </c>
      <c r="J1872" s="2">
        <v>0.53</v>
      </c>
      <c r="K1872" s="2" t="b">
        <v>0</v>
      </c>
      <c r="L1872" s="2"/>
      <c r="M1872" s="2"/>
      <c r="N1872" s="4" t="s">
        <v>2273</v>
      </c>
      <c r="O1872" s="4" t="str">
        <f>LEFT(Table2[[#This Row],[Description]],75)</f>
        <v>SCHWAB1 INT 12/30-01/29</v>
      </c>
      <c r="P1872" s="2" t="s">
        <v>2380</v>
      </c>
    </row>
    <row r="1873" spans="1:16" hidden="1">
      <c r="A1873" s="2">
        <v>202001</v>
      </c>
      <c r="B1873" s="3">
        <v>43861</v>
      </c>
      <c r="C1873" s="2" t="s">
        <v>2317</v>
      </c>
      <c r="D1873" s="2" t="s">
        <v>305</v>
      </c>
      <c r="E1873" s="2">
        <v>1917.68</v>
      </c>
      <c r="F1873" s="2" t="s">
        <v>69</v>
      </c>
      <c r="J1873" s="2">
        <v>1917.68</v>
      </c>
      <c r="K1873" s="2" t="b">
        <v>0</v>
      </c>
      <c r="L1873" s="2"/>
      <c r="M1873" s="2"/>
      <c r="N1873" s="4" t="s">
        <v>2259</v>
      </c>
      <c r="O1873" s="4" t="str">
        <f>LEFT(Table2[[#This Row],[Description]],75)</f>
        <v>BOEING CO</v>
      </c>
      <c r="P1873" s="2" t="s">
        <v>2425</v>
      </c>
    </row>
    <row r="1874" spans="1:16" hidden="1">
      <c r="A1874" s="2">
        <v>202001</v>
      </c>
      <c r="B1874" s="3">
        <v>43861</v>
      </c>
      <c r="C1874" s="2" t="s">
        <v>2274</v>
      </c>
      <c r="D1874" s="2" t="s">
        <v>994</v>
      </c>
      <c r="E1874" s="2">
        <v>-0.2</v>
      </c>
      <c r="F1874" s="2" t="s">
        <v>9</v>
      </c>
      <c r="J1874" s="2">
        <v>0.2</v>
      </c>
      <c r="K1874" s="2" t="b">
        <v>0</v>
      </c>
      <c r="L1874" s="2"/>
      <c r="M1874" s="2"/>
      <c r="N1874" s="4" t="s">
        <v>2273</v>
      </c>
      <c r="O1874" s="4" t="str">
        <f>LEFT(Table2[[#This Row],[Description]],75)</f>
        <v>Interest Paid</v>
      </c>
      <c r="P1874" s="2" t="s">
        <v>2281</v>
      </c>
    </row>
    <row r="1875" spans="1:16" hidden="1">
      <c r="A1875" s="2">
        <v>202001</v>
      </c>
      <c r="B1875" s="3">
        <v>43861</v>
      </c>
      <c r="C1875" s="2" t="s">
        <v>2317</v>
      </c>
      <c r="D1875" s="2" t="s">
        <v>1037</v>
      </c>
      <c r="E1875" s="2">
        <v>-250</v>
      </c>
      <c r="F1875" s="2" t="s">
        <v>59</v>
      </c>
      <c r="J1875" s="2">
        <v>250</v>
      </c>
      <c r="K1875" s="2" t="b">
        <v>0</v>
      </c>
      <c r="L1875" s="2"/>
      <c r="M1875" s="2"/>
      <c r="N1875" s="4" t="s">
        <v>2273</v>
      </c>
      <c r="O1875" s="4" t="str">
        <f>LEFT(Table2[[#This Row],[Description]],75)</f>
        <v>KAUFMAN HALL</v>
      </c>
      <c r="P1875" s="2" t="s">
        <v>2375</v>
      </c>
    </row>
    <row r="1876" spans="1:16" hidden="1">
      <c r="A1876" s="2">
        <v>202001</v>
      </c>
      <c r="B1876" s="3">
        <v>43861</v>
      </c>
      <c r="C1876" s="2" t="s">
        <v>2317</v>
      </c>
      <c r="D1876" s="2" t="s">
        <v>1552</v>
      </c>
      <c r="E1876" s="2">
        <v>58.36</v>
      </c>
      <c r="F1876" s="2" t="s">
        <v>69</v>
      </c>
      <c r="J1876" s="2">
        <v>58.36</v>
      </c>
      <c r="K1876" s="2" t="b">
        <v>0</v>
      </c>
      <c r="L1876" s="2"/>
      <c r="M1876" s="2"/>
      <c r="N1876" s="4" t="s">
        <v>2259</v>
      </c>
      <c r="O1876" s="4" t="str">
        <f>LEFT(Table2[[#This Row],[Description]],75)</f>
        <v>RAYTHEON CO</v>
      </c>
      <c r="P1876" s="2" t="s">
        <v>2403</v>
      </c>
    </row>
    <row r="1877" spans="1:16" hidden="1">
      <c r="A1877" s="2">
        <v>202001</v>
      </c>
      <c r="B1877" s="3">
        <v>43861</v>
      </c>
      <c r="C1877" s="2" t="s">
        <v>2262</v>
      </c>
      <c r="D1877" s="2" t="s">
        <v>1707</v>
      </c>
      <c r="E1877" s="2">
        <v>40.54</v>
      </c>
      <c r="F1877" s="2" t="s">
        <v>23</v>
      </c>
      <c r="J1877" s="2">
        <v>40.54</v>
      </c>
      <c r="K1877" s="2" t="b">
        <v>0</v>
      </c>
      <c r="L1877" s="2"/>
      <c r="M1877" s="2"/>
      <c r="N1877" s="4" t="s">
        <v>2259</v>
      </c>
      <c r="O1877" s="4" t="str">
        <f>LEFT(Table2[[#This Row],[Description]],75)</f>
        <v>Speedway</v>
      </c>
      <c r="P1877" s="2" t="s">
        <v>2381</v>
      </c>
    </row>
    <row r="1878" spans="1:16" hidden="1">
      <c r="A1878" s="2">
        <v>202001</v>
      </c>
      <c r="B1878" s="3">
        <v>43861</v>
      </c>
      <c r="C1878" s="2" t="s">
        <v>2300</v>
      </c>
      <c r="D1878" s="2" t="s">
        <v>1709</v>
      </c>
      <c r="E1878" s="2">
        <v>-17.45</v>
      </c>
      <c r="F1878" s="2" t="s">
        <v>16</v>
      </c>
      <c r="J1878" s="2">
        <v>17.45</v>
      </c>
      <c r="K1878" s="2" t="b">
        <v>0</v>
      </c>
      <c r="L1878" s="2"/>
      <c r="M1878" s="2"/>
      <c r="N1878" s="4" t="s">
        <v>2273</v>
      </c>
      <c r="O1878" s="4" t="str">
        <f>LEFT(Table2[[#This Row],[Description]],75)</f>
        <v>Split Rate Apy</v>
      </c>
      <c r="P1878" s="2" t="s">
        <v>2313</v>
      </c>
    </row>
    <row r="1879" spans="1:16" hidden="1">
      <c r="A1879" s="2">
        <v>202001</v>
      </c>
      <c r="B1879" s="3">
        <v>43861</v>
      </c>
      <c r="C1879" s="2" t="s">
        <v>2265</v>
      </c>
      <c r="D1879" s="2" t="s">
        <v>1709</v>
      </c>
      <c r="E1879" s="2">
        <v>-37.96</v>
      </c>
      <c r="F1879" s="2" t="s">
        <v>16</v>
      </c>
      <c r="J1879" s="2">
        <v>37.96</v>
      </c>
      <c r="K1879" s="2" t="b">
        <v>0</v>
      </c>
      <c r="L1879" s="2"/>
      <c r="M1879" s="2"/>
      <c r="N1879" s="4" t="s">
        <v>2273</v>
      </c>
      <c r="O1879" s="4" t="str">
        <f>LEFT(Table2[[#This Row],[Description]],75)</f>
        <v>Split Rate Apy</v>
      </c>
      <c r="P1879" s="2" t="s">
        <v>2313</v>
      </c>
    </row>
    <row r="1880" spans="1:16" hidden="1">
      <c r="A1880" s="2">
        <v>202001</v>
      </c>
      <c r="B1880" s="3">
        <v>43861</v>
      </c>
      <c r="C1880" s="2" t="s">
        <v>2310</v>
      </c>
      <c r="D1880" s="2" t="s">
        <v>1709</v>
      </c>
      <c r="E1880" s="2">
        <v>-0.73</v>
      </c>
      <c r="F1880" s="2" t="s">
        <v>16</v>
      </c>
      <c r="J1880" s="2">
        <v>0.73</v>
      </c>
      <c r="K1880" s="2" t="b">
        <v>0</v>
      </c>
      <c r="L1880" s="2"/>
      <c r="M1880" s="2"/>
      <c r="N1880" s="4" t="s">
        <v>2273</v>
      </c>
      <c r="O1880" s="4" t="str">
        <f>LEFT(Table2[[#This Row],[Description]],75)</f>
        <v>Split Rate Apy</v>
      </c>
      <c r="P1880" s="2" t="s">
        <v>2313</v>
      </c>
    </row>
    <row r="1881" spans="1:16" hidden="1">
      <c r="A1881" s="2">
        <v>202001</v>
      </c>
      <c r="B1881" s="3">
        <v>43861</v>
      </c>
      <c r="C1881" s="2" t="s">
        <v>2302</v>
      </c>
      <c r="D1881" s="2" t="s">
        <v>1709</v>
      </c>
      <c r="E1881" s="2">
        <v>-17.45</v>
      </c>
      <c r="F1881" s="2" t="s">
        <v>16</v>
      </c>
      <c r="J1881" s="2">
        <v>17.45</v>
      </c>
      <c r="K1881" s="2" t="b">
        <v>0</v>
      </c>
      <c r="L1881" s="2"/>
      <c r="M1881" s="2"/>
      <c r="N1881" s="4" t="s">
        <v>2273</v>
      </c>
      <c r="O1881" s="4" t="str">
        <f>LEFT(Table2[[#This Row],[Description]],75)</f>
        <v>Split Rate Apy</v>
      </c>
      <c r="P1881" s="2" t="s">
        <v>2313</v>
      </c>
    </row>
    <row r="1882" spans="1:16" hidden="1">
      <c r="A1882" s="2">
        <v>202001</v>
      </c>
      <c r="B1882" s="3">
        <v>43861</v>
      </c>
      <c r="C1882" s="2" t="s">
        <v>2267</v>
      </c>
      <c r="D1882" s="2" t="s">
        <v>1709</v>
      </c>
      <c r="E1882" s="2">
        <v>-37.96</v>
      </c>
      <c r="F1882" s="2" t="s">
        <v>16</v>
      </c>
      <c r="J1882" s="2">
        <v>37.96</v>
      </c>
      <c r="K1882" s="2" t="b">
        <v>0</v>
      </c>
      <c r="L1882" s="2"/>
      <c r="M1882" s="2"/>
      <c r="N1882" s="4" t="s">
        <v>2273</v>
      </c>
      <c r="O1882" s="4" t="str">
        <f>LEFT(Table2[[#This Row],[Description]],75)</f>
        <v>Split Rate Apy</v>
      </c>
      <c r="P1882" s="2" t="s">
        <v>2313</v>
      </c>
    </row>
    <row r="1883" spans="1:16" hidden="1">
      <c r="A1883" s="2">
        <v>202001</v>
      </c>
      <c r="B1883" s="3">
        <v>43861</v>
      </c>
      <c r="C1883" s="2" t="s">
        <v>2317</v>
      </c>
      <c r="D1883" s="2" t="s">
        <v>1786</v>
      </c>
      <c r="E1883" s="2">
        <v>-20.03</v>
      </c>
      <c r="F1883" s="2" t="s">
        <v>9</v>
      </c>
      <c r="J1883" s="2">
        <v>20.03</v>
      </c>
      <c r="K1883" s="2" t="b">
        <v>0</v>
      </c>
      <c r="L1883" s="2"/>
      <c r="M1883" s="2"/>
      <c r="N1883" s="4" t="s">
        <v>2273</v>
      </c>
      <c r="O1883" s="4" t="str">
        <f>LEFT(Table2[[#This Row],[Description]],75)</f>
        <v>STRYKER CORP</v>
      </c>
      <c r="P1883" s="2" t="s">
        <v>2385</v>
      </c>
    </row>
    <row r="1884" spans="1:16" hidden="1">
      <c r="A1884" s="2">
        <v>202001</v>
      </c>
      <c r="B1884" s="3">
        <v>43861</v>
      </c>
      <c r="C1884" s="2" t="s">
        <v>2435</v>
      </c>
      <c r="D1884" s="2" t="s">
        <v>1837</v>
      </c>
      <c r="E1884" s="2">
        <v>-250</v>
      </c>
      <c r="F1884" s="2" t="s">
        <v>57</v>
      </c>
      <c r="J1884" s="2">
        <v>250</v>
      </c>
      <c r="K1884" s="2" t="b">
        <v>0</v>
      </c>
      <c r="L1884" s="2"/>
      <c r="M1884" s="2"/>
      <c r="N1884" s="4" t="s">
        <v>2273</v>
      </c>
      <c r="O1884" s="4" t="str">
        <f>LEFT(Table2[[#This Row],[Description]],75)</f>
        <v>Tfr JPMORGAN CHASE BAN, KAUFMAN HALL</v>
      </c>
      <c r="P1884" s="2" t="s">
        <v>2288</v>
      </c>
    </row>
    <row r="1885" spans="1:16" hidden="1">
      <c r="A1885" s="2">
        <v>202002</v>
      </c>
      <c r="B1885" s="3">
        <v>43862</v>
      </c>
      <c r="C1885" s="2" t="s">
        <v>2314</v>
      </c>
      <c r="D1885" s="2" t="s">
        <v>866</v>
      </c>
      <c r="E1885" s="2">
        <v>-566.82000000000005</v>
      </c>
      <c r="F1885" s="2">
        <v>0</v>
      </c>
      <c r="J1885" s="2">
        <v>566.82000000000005</v>
      </c>
      <c r="K1885" s="2" t="b">
        <v>0</v>
      </c>
      <c r="L1885" s="2"/>
      <c r="M1885" s="2"/>
      <c r="N1885" s="4" t="s">
        <v>2273</v>
      </c>
      <c r="O1885" s="4" t="str">
        <f>LEFT(Table2[[#This Row],[Description]],75)</f>
        <v>From Share 70 284848095</v>
      </c>
      <c r="P1885" s="2" t="s">
        <v>2281</v>
      </c>
    </row>
    <row r="1886" spans="1:16" hidden="1">
      <c r="A1886" s="2">
        <v>202002</v>
      </c>
      <c r="B1886" s="3">
        <v>43862</v>
      </c>
      <c r="C1886" s="2" t="s">
        <v>2265</v>
      </c>
      <c r="D1886" s="2" t="s">
        <v>1884</v>
      </c>
      <c r="E1886" s="2">
        <v>618.65</v>
      </c>
      <c r="F1886" s="2" t="s">
        <v>11</v>
      </c>
      <c r="J1886" s="2">
        <v>618.65</v>
      </c>
      <c r="K1886" s="2" t="b">
        <v>0</v>
      </c>
      <c r="L1886" s="2"/>
      <c r="M1886" s="2"/>
      <c r="N1886" s="4" t="s">
        <v>2259</v>
      </c>
      <c r="O1886" s="4" t="str">
        <f>LEFT(Table2[[#This Row],[Description]],75)</f>
        <v>To Loan 02 284698387</v>
      </c>
      <c r="P1886" s="2" t="s">
        <v>2316</v>
      </c>
    </row>
    <row r="1887" spans="1:16" hidden="1">
      <c r="A1887" s="2">
        <v>202002</v>
      </c>
      <c r="B1887" s="3">
        <v>43863</v>
      </c>
      <c r="C1887" s="2" t="s">
        <v>2447</v>
      </c>
      <c r="D1887" s="2" t="s">
        <v>38</v>
      </c>
      <c r="E1887" s="2">
        <v>51.46</v>
      </c>
      <c r="F1887" s="2" t="s">
        <v>38</v>
      </c>
      <c r="J1887" s="2">
        <v>51.46</v>
      </c>
      <c r="K1887" s="2" t="b">
        <v>0</v>
      </c>
      <c r="L1887" s="2"/>
      <c r="M1887" s="2"/>
      <c r="N1887" s="4" t="s">
        <v>2259</v>
      </c>
      <c r="O1887" s="4" t="str">
        <f>LEFT(Table2[[#This Row],[Description]],75)</f>
        <v>Amazon</v>
      </c>
      <c r="P1887" s="2" t="s">
        <v>2260</v>
      </c>
    </row>
    <row r="1888" spans="1:16" hidden="1">
      <c r="A1888" s="2">
        <v>202002</v>
      </c>
      <c r="B1888" s="3">
        <v>43863</v>
      </c>
      <c r="C1888" s="2" t="s">
        <v>2258</v>
      </c>
      <c r="D1888" s="2" t="s">
        <v>38</v>
      </c>
      <c r="E1888" s="2">
        <v>51.46</v>
      </c>
      <c r="F1888" s="2" t="s">
        <v>38</v>
      </c>
      <c r="J1888" s="2">
        <v>51.46</v>
      </c>
      <c r="K1888" s="2" t="b">
        <v>0</v>
      </c>
      <c r="L1888" s="2"/>
      <c r="M1888" s="2"/>
      <c r="N1888" s="4" t="s">
        <v>2259</v>
      </c>
      <c r="O1888" s="4" t="str">
        <f>LEFT(Table2[[#This Row],[Description]],75)</f>
        <v>Amazon</v>
      </c>
      <c r="P1888" s="2" t="s">
        <v>2260</v>
      </c>
    </row>
    <row r="1889" spans="1:16" hidden="1">
      <c r="A1889" s="2">
        <v>202002</v>
      </c>
      <c r="B1889" s="3">
        <v>43863</v>
      </c>
      <c r="C1889" s="2" t="s">
        <v>2262</v>
      </c>
      <c r="D1889" s="2" t="s">
        <v>114</v>
      </c>
      <c r="E1889" s="2">
        <v>4.28</v>
      </c>
      <c r="F1889" s="2" t="s">
        <v>21</v>
      </c>
      <c r="J1889" s="2">
        <v>4.28</v>
      </c>
      <c r="K1889" s="2" t="b">
        <v>0</v>
      </c>
      <c r="L1889" s="2"/>
      <c r="M1889" s="2"/>
      <c r="N1889" s="4" t="s">
        <v>2259</v>
      </c>
      <c r="O1889" s="4" t="str">
        <f>LEFT(Table2[[#This Row],[Description]],75)</f>
        <v>Amazon Music</v>
      </c>
      <c r="P1889" s="2" t="s">
        <v>2281</v>
      </c>
    </row>
    <row r="1890" spans="1:16" hidden="1">
      <c r="A1890" s="2">
        <v>202002</v>
      </c>
      <c r="B1890" s="3">
        <v>43863</v>
      </c>
      <c r="C1890" s="2" t="s">
        <v>2262</v>
      </c>
      <c r="D1890" s="2" t="s">
        <v>567</v>
      </c>
      <c r="E1890" s="2">
        <v>18.55</v>
      </c>
      <c r="F1890" s="2" t="s">
        <v>26</v>
      </c>
      <c r="J1890" s="2">
        <v>18.55</v>
      </c>
      <c r="K1890" s="2" t="b">
        <v>0</v>
      </c>
      <c r="L1890" s="2"/>
      <c r="M1890" s="2"/>
      <c r="N1890" s="4" t="s">
        <v>2259</v>
      </c>
      <c r="O1890" s="4" t="str">
        <f>LEFT(Table2[[#This Row],[Description]],75)</f>
        <v>Coalition</v>
      </c>
      <c r="P1890" s="2" t="s">
        <v>2458</v>
      </c>
    </row>
    <row r="1891" spans="1:16" hidden="1">
      <c r="A1891" s="2">
        <v>202002</v>
      </c>
      <c r="B1891" s="3">
        <v>43863</v>
      </c>
      <c r="C1891" s="2" t="s">
        <v>2262</v>
      </c>
      <c r="D1891" s="2" t="s">
        <v>648</v>
      </c>
      <c r="E1891" s="2">
        <v>357.69</v>
      </c>
      <c r="F1891" s="2" t="s">
        <v>28</v>
      </c>
      <c r="J1891" s="2">
        <v>357.69</v>
      </c>
      <c r="K1891" s="2" t="b">
        <v>0</v>
      </c>
      <c r="L1891" s="2"/>
      <c r="M1891" s="2"/>
      <c r="N1891" s="4" t="s">
        <v>2259</v>
      </c>
      <c r="O1891" s="4" t="str">
        <f>LEFT(Table2[[#This Row],[Description]],75)</f>
        <v>Costco</v>
      </c>
      <c r="P1891" s="2" t="s">
        <v>2409</v>
      </c>
    </row>
    <row r="1892" spans="1:16" hidden="1">
      <c r="A1892" s="2">
        <v>202002</v>
      </c>
      <c r="B1892" s="3">
        <v>43863</v>
      </c>
      <c r="C1892" s="2" t="s">
        <v>2447</v>
      </c>
      <c r="D1892" s="2" t="s">
        <v>684</v>
      </c>
      <c r="E1892" s="2">
        <v>151.13</v>
      </c>
      <c r="F1892" s="2" t="s">
        <v>28</v>
      </c>
      <c r="J1892" s="2">
        <v>151.13</v>
      </c>
      <c r="K1892" s="2" t="b">
        <v>0</v>
      </c>
      <c r="L1892" s="2"/>
      <c r="M1892" s="2"/>
      <c r="N1892" s="4" t="s">
        <v>2259</v>
      </c>
      <c r="O1892" s="4" t="str">
        <f>LEFT(Table2[[#This Row],[Description]],75)</f>
        <v>Cub Foods</v>
      </c>
      <c r="P1892" s="2" t="s">
        <v>2370</v>
      </c>
    </row>
    <row r="1893" spans="1:16" hidden="1">
      <c r="A1893" s="2">
        <v>202002</v>
      </c>
      <c r="B1893" s="3">
        <v>43863</v>
      </c>
      <c r="C1893" s="2" t="s">
        <v>2258</v>
      </c>
      <c r="D1893" s="2" t="s">
        <v>684</v>
      </c>
      <c r="E1893" s="2">
        <v>151.13</v>
      </c>
      <c r="F1893" s="2" t="s">
        <v>28</v>
      </c>
      <c r="J1893" s="2">
        <v>151.13</v>
      </c>
      <c r="K1893" s="2" t="b">
        <v>0</v>
      </c>
      <c r="L1893" s="2"/>
      <c r="M1893" s="2"/>
      <c r="N1893" s="4" t="s">
        <v>2259</v>
      </c>
      <c r="O1893" s="4" t="str">
        <f>LEFT(Table2[[#This Row],[Description]],75)</f>
        <v>Cub Foods</v>
      </c>
      <c r="P1893" s="2" t="s">
        <v>2370</v>
      </c>
    </row>
    <row r="1894" spans="1:16" hidden="1">
      <c r="A1894" s="2">
        <v>202002</v>
      </c>
      <c r="B1894" s="3">
        <v>43863</v>
      </c>
      <c r="C1894" s="2" t="s">
        <v>2262</v>
      </c>
      <c r="D1894" s="2" t="s">
        <v>948</v>
      </c>
      <c r="E1894" s="2">
        <v>268.79000000000002</v>
      </c>
      <c r="F1894" s="2" t="s">
        <v>21</v>
      </c>
      <c r="J1894" s="2">
        <v>268.79000000000002</v>
      </c>
      <c r="K1894" s="2" t="b">
        <v>0</v>
      </c>
      <c r="L1894" s="2"/>
      <c r="M1894" s="2"/>
      <c r="N1894" s="4" t="s">
        <v>2259</v>
      </c>
      <c r="O1894" s="4" t="str">
        <f>LEFT(Table2[[#This Row],[Description]],75)</f>
        <v>Home Goods</v>
      </c>
      <c r="P1894" s="2" t="s">
        <v>2459</v>
      </c>
    </row>
    <row r="1895" spans="1:16" hidden="1">
      <c r="A1895" s="2">
        <v>202002</v>
      </c>
      <c r="B1895" s="3">
        <v>43863</v>
      </c>
      <c r="C1895" s="2" t="s">
        <v>2262</v>
      </c>
      <c r="D1895" s="2" t="s">
        <v>1151</v>
      </c>
      <c r="E1895" s="2">
        <v>108.26</v>
      </c>
      <c r="F1895" s="2" t="s">
        <v>34</v>
      </c>
      <c r="J1895" s="2">
        <v>108.26</v>
      </c>
      <c r="K1895" s="2" t="b">
        <v>0</v>
      </c>
      <c r="L1895" s="2"/>
      <c r="M1895" s="2"/>
      <c r="N1895" s="4" t="s">
        <v>2259</v>
      </c>
      <c r="O1895" s="4" t="str">
        <f>LEFT(Table2[[#This Row],[Description]],75)</f>
        <v>LTFLIFE TIME MO DUES 8884306432 MN 285143880</v>
      </c>
      <c r="P1895" s="2" t="s">
        <v>2397</v>
      </c>
    </row>
    <row r="1896" spans="1:16" hidden="1">
      <c r="A1896" s="2">
        <v>202002</v>
      </c>
      <c r="B1896" s="3">
        <v>43863</v>
      </c>
      <c r="C1896" s="2" t="s">
        <v>2262</v>
      </c>
      <c r="D1896" s="2" t="s">
        <v>1560</v>
      </c>
      <c r="E1896" s="2">
        <v>111.77</v>
      </c>
      <c r="F1896" s="2" t="s">
        <v>26</v>
      </c>
      <c r="J1896" s="2">
        <v>111.77</v>
      </c>
      <c r="K1896" s="2" t="b">
        <v>0</v>
      </c>
      <c r="L1896" s="2"/>
      <c r="M1896" s="2"/>
      <c r="N1896" s="4" t="s">
        <v>2259</v>
      </c>
      <c r="O1896" s="4" t="str">
        <f>LEFT(Table2[[#This Row],[Description]],75)</f>
        <v>Red Sauce Rebellion, LLC</v>
      </c>
      <c r="P1896" s="2" t="s">
        <v>2294</v>
      </c>
    </row>
    <row r="1897" spans="1:16" hidden="1">
      <c r="A1897" s="2">
        <v>202002</v>
      </c>
      <c r="B1897" s="3">
        <v>43863</v>
      </c>
      <c r="C1897" s="2" t="s">
        <v>2265</v>
      </c>
      <c r="D1897" s="2" t="s">
        <v>2112</v>
      </c>
      <c r="E1897" s="2">
        <v>-118</v>
      </c>
      <c r="F1897" s="2" t="s">
        <v>9</v>
      </c>
      <c r="J1897" s="2">
        <v>118</v>
      </c>
      <c r="K1897" s="2" t="b">
        <v>0</v>
      </c>
      <c r="L1897" s="2"/>
      <c r="M1897" s="2"/>
      <c r="N1897" s="4" t="s">
        <v>2273</v>
      </c>
      <c r="O1897" s="4" t="str">
        <f>LEFT(Table2[[#This Row],[Description]],75)</f>
        <v>Venmo Type Cashout</v>
      </c>
      <c r="P1897" s="2" t="s">
        <v>2279</v>
      </c>
    </row>
    <row r="1898" spans="1:16" hidden="1">
      <c r="A1898" s="2">
        <v>202002</v>
      </c>
      <c r="B1898" s="3">
        <v>43864</v>
      </c>
      <c r="C1898" s="2" t="s">
        <v>2447</v>
      </c>
      <c r="D1898" s="2" t="s">
        <v>458</v>
      </c>
      <c r="E1898" s="2">
        <v>-21.3</v>
      </c>
      <c r="F1898" s="2" t="s">
        <v>9</v>
      </c>
      <c r="J1898" s="2">
        <v>21.3</v>
      </c>
      <c r="K1898" s="2" t="b">
        <v>0</v>
      </c>
      <c r="L1898" s="2"/>
      <c r="M1898" s="2"/>
      <c r="N1898" s="4" t="s">
        <v>2273</v>
      </c>
      <c r="O1898" s="4" t="str">
        <f>LEFT(Table2[[#This Row],[Description]],75)</f>
        <v>CASHBACK BONUS REDEMPTION payment/STMT CRDT</v>
      </c>
      <c r="P1898" s="2" t="s">
        <v>2304</v>
      </c>
    </row>
    <row r="1899" spans="1:16" hidden="1">
      <c r="A1899" s="2">
        <v>202002</v>
      </c>
      <c r="B1899" s="3">
        <v>43864</v>
      </c>
      <c r="C1899" s="2" t="s">
        <v>2258</v>
      </c>
      <c r="D1899" s="2" t="s">
        <v>458</v>
      </c>
      <c r="E1899" s="2">
        <v>-21.3</v>
      </c>
      <c r="F1899" s="2" t="s">
        <v>9</v>
      </c>
      <c r="J1899" s="2">
        <v>21.3</v>
      </c>
      <c r="K1899" s="2" t="b">
        <v>0</v>
      </c>
      <c r="L1899" s="2"/>
      <c r="M1899" s="2"/>
      <c r="N1899" s="4" t="s">
        <v>2273</v>
      </c>
      <c r="O1899" s="4" t="str">
        <f>LEFT(Table2[[#This Row],[Description]],75)</f>
        <v>CASHBACK BONUS REDEMPTION payment/STMT CRDT</v>
      </c>
      <c r="P1899" s="2" t="s">
        <v>2304</v>
      </c>
    </row>
    <row r="1900" spans="1:16" hidden="1">
      <c r="A1900" s="2">
        <v>202002</v>
      </c>
      <c r="B1900" s="3">
        <v>43864</v>
      </c>
      <c r="C1900" s="2" t="s">
        <v>2447</v>
      </c>
      <c r="D1900" s="2" t="s">
        <v>997</v>
      </c>
      <c r="E1900" s="2">
        <v>-364.25</v>
      </c>
      <c r="F1900" s="2" t="s">
        <v>9</v>
      </c>
      <c r="J1900" s="2">
        <v>364.25</v>
      </c>
      <c r="K1900" s="2" t="b">
        <v>0</v>
      </c>
      <c r="L1900" s="2"/>
      <c r="M1900" s="2"/>
      <c r="N1900" s="4" t="s">
        <v>2273</v>
      </c>
      <c r="O1900" s="4" t="str">
        <f>LEFT(Table2[[#This Row],[Description]],75)</f>
        <v>INTERNET PAYMENT - THANK YOU</v>
      </c>
      <c r="P1900" s="2" t="s">
        <v>2291</v>
      </c>
    </row>
    <row r="1901" spans="1:16" hidden="1">
      <c r="A1901" s="2">
        <v>202002</v>
      </c>
      <c r="B1901" s="3">
        <v>43864</v>
      </c>
      <c r="C1901" s="2" t="s">
        <v>2258</v>
      </c>
      <c r="D1901" s="2" t="s">
        <v>997</v>
      </c>
      <c r="E1901" s="2">
        <v>-364.25</v>
      </c>
      <c r="F1901" s="2" t="s">
        <v>9</v>
      </c>
      <c r="J1901" s="2">
        <v>364.25</v>
      </c>
      <c r="K1901" s="2" t="b">
        <v>0</v>
      </c>
      <c r="L1901" s="2"/>
      <c r="M1901" s="2"/>
      <c r="N1901" s="4" t="s">
        <v>2273</v>
      </c>
      <c r="O1901" s="4" t="str">
        <f>LEFT(Table2[[#This Row],[Description]],75)</f>
        <v>INTERNET PAYMENT - THANK YOU</v>
      </c>
      <c r="P1901" s="2" t="s">
        <v>2291</v>
      </c>
    </row>
    <row r="1902" spans="1:16" hidden="1">
      <c r="A1902" s="2">
        <v>202002</v>
      </c>
      <c r="B1902" s="3">
        <v>43864</v>
      </c>
      <c r="C1902" s="2" t="s">
        <v>2262</v>
      </c>
      <c r="D1902" s="2" t="s">
        <v>1438</v>
      </c>
      <c r="E1902" s="2">
        <v>-953.46</v>
      </c>
      <c r="F1902" s="2" t="s">
        <v>9</v>
      </c>
      <c r="J1902" s="2">
        <v>953.46</v>
      </c>
      <c r="K1902" s="2" t="b">
        <v>0</v>
      </c>
      <c r="L1902" s="2"/>
      <c r="M1902" s="2"/>
      <c r="N1902" s="4" t="s">
        <v>2273</v>
      </c>
      <c r="O1902" s="4" t="str">
        <f>LEFT(Table2[[#This Row],[Description]],75)</f>
        <v>PAYMENT THANK YOU 285712368</v>
      </c>
      <c r="P1902" s="2" t="s">
        <v>2391</v>
      </c>
    </row>
    <row r="1903" spans="1:16" hidden="1">
      <c r="A1903" s="2">
        <v>202002</v>
      </c>
      <c r="B1903" s="3">
        <v>43864</v>
      </c>
      <c r="C1903" s="2" t="s">
        <v>2265</v>
      </c>
      <c r="D1903" s="2" t="s">
        <v>2183</v>
      </c>
      <c r="E1903" s="2">
        <v>953.46</v>
      </c>
      <c r="F1903" s="2" t="s">
        <v>9</v>
      </c>
      <c r="J1903" s="2">
        <v>953.46</v>
      </c>
      <c r="K1903" s="2" t="b">
        <v>0</v>
      </c>
      <c r="L1903" s="2"/>
      <c r="M1903" s="2"/>
      <c r="N1903" s="4" t="s">
        <v>2259</v>
      </c>
      <c r="O1903" s="4" t="str">
        <f>LEFT(Table2[[#This Row],[Description]],75)</f>
        <v>Withdrawal Home payment to card 979181 285286050</v>
      </c>
      <c r="P1903" s="2" t="s">
        <v>2349</v>
      </c>
    </row>
    <row r="1904" spans="1:16" hidden="1">
      <c r="A1904" s="2">
        <v>202002</v>
      </c>
      <c r="B1904" s="3">
        <v>43864</v>
      </c>
      <c r="C1904" s="2" t="s">
        <v>2317</v>
      </c>
      <c r="D1904" s="2" t="s">
        <v>93</v>
      </c>
      <c r="E1904" s="2">
        <v>-122</v>
      </c>
      <c r="F1904" s="2" t="s">
        <v>69</v>
      </c>
      <c r="J1904" s="2">
        <v>122</v>
      </c>
      <c r="K1904" s="2" t="b">
        <v>0</v>
      </c>
      <c r="L1904" s="2"/>
      <c r="M1904" s="2"/>
      <c r="N1904" s="4" t="s">
        <v>2273</v>
      </c>
      <c r="O1904" s="4" t="str">
        <f>LEFT(Table2[[#This Row],[Description]],75)</f>
        <v>A T &amp; T INC</v>
      </c>
      <c r="P1904" s="2" t="s">
        <v>2392</v>
      </c>
    </row>
    <row r="1905" spans="1:16" hidden="1">
      <c r="A1905" s="2">
        <v>202002</v>
      </c>
      <c r="B1905" s="3">
        <v>43864</v>
      </c>
      <c r="C1905" s="2" t="s">
        <v>2460</v>
      </c>
      <c r="D1905" s="2" t="s">
        <v>93</v>
      </c>
      <c r="E1905" s="2">
        <v>-122</v>
      </c>
      <c r="F1905" s="2" t="s">
        <v>69</v>
      </c>
      <c r="J1905" s="2">
        <v>122</v>
      </c>
      <c r="K1905" s="2" t="b">
        <v>0</v>
      </c>
      <c r="L1905" s="2"/>
      <c r="M1905" s="2"/>
      <c r="N1905" s="4" t="s">
        <v>2273</v>
      </c>
      <c r="O1905" s="4" t="str">
        <f>LEFT(Table2[[#This Row],[Description]],75)</f>
        <v>A T &amp; T INC</v>
      </c>
      <c r="P1905" s="2" t="s">
        <v>2392</v>
      </c>
    </row>
    <row r="1906" spans="1:16" hidden="1">
      <c r="A1906" s="2">
        <v>202002</v>
      </c>
      <c r="B1906" s="3">
        <v>43864</v>
      </c>
      <c r="C1906" s="2" t="s">
        <v>2447</v>
      </c>
      <c r="D1906" s="2" t="s">
        <v>38</v>
      </c>
      <c r="E1906" s="2">
        <v>127.78</v>
      </c>
      <c r="F1906" s="2" t="s">
        <v>38</v>
      </c>
      <c r="J1906" s="2">
        <v>127.78</v>
      </c>
      <c r="K1906" s="2" t="b">
        <v>0</v>
      </c>
      <c r="L1906" s="2"/>
      <c r="M1906" s="2"/>
      <c r="N1906" s="4" t="s">
        <v>2259</v>
      </c>
      <c r="O1906" s="4" t="str">
        <f>LEFT(Table2[[#This Row],[Description]],75)</f>
        <v>Amazon</v>
      </c>
      <c r="P1906" s="2" t="s">
        <v>2260</v>
      </c>
    </row>
    <row r="1907" spans="1:16" hidden="1">
      <c r="A1907" s="2">
        <v>202002</v>
      </c>
      <c r="B1907" s="3">
        <v>43864</v>
      </c>
      <c r="C1907" s="2" t="s">
        <v>2262</v>
      </c>
      <c r="D1907" s="2" t="s">
        <v>38</v>
      </c>
      <c r="E1907" s="2">
        <v>2.5499999999999998</v>
      </c>
      <c r="F1907" s="2" t="s">
        <v>38</v>
      </c>
      <c r="J1907" s="2">
        <v>2.5499999999999998</v>
      </c>
      <c r="K1907" s="2" t="b">
        <v>0</v>
      </c>
      <c r="L1907" s="2"/>
      <c r="M1907" s="2"/>
      <c r="N1907" s="4" t="s">
        <v>2259</v>
      </c>
      <c r="O1907" s="4" t="str">
        <f>LEFT(Table2[[#This Row],[Description]],75)</f>
        <v>Amazon</v>
      </c>
      <c r="P1907" s="2" t="s">
        <v>2260</v>
      </c>
    </row>
    <row r="1908" spans="1:16" hidden="1">
      <c r="A1908" s="2">
        <v>202002</v>
      </c>
      <c r="B1908" s="3">
        <v>43864</v>
      </c>
      <c r="C1908" s="2" t="s">
        <v>2258</v>
      </c>
      <c r="D1908" s="2" t="s">
        <v>38</v>
      </c>
      <c r="E1908" s="2">
        <v>127.78</v>
      </c>
      <c r="F1908" s="2" t="s">
        <v>38</v>
      </c>
      <c r="J1908" s="2">
        <v>127.78</v>
      </c>
      <c r="K1908" s="2" t="b">
        <v>0</v>
      </c>
      <c r="L1908" s="2"/>
      <c r="M1908" s="2"/>
      <c r="N1908" s="4" t="s">
        <v>2259</v>
      </c>
      <c r="O1908" s="4" t="str">
        <f>LEFT(Table2[[#This Row],[Description]],75)</f>
        <v>Amazon</v>
      </c>
      <c r="P1908" s="2" t="s">
        <v>2260</v>
      </c>
    </row>
    <row r="1909" spans="1:16" hidden="1">
      <c r="A1909" s="2">
        <v>202002</v>
      </c>
      <c r="B1909" s="3">
        <v>43864</v>
      </c>
      <c r="C1909" s="2" t="s">
        <v>2265</v>
      </c>
      <c r="D1909" s="2" t="s">
        <v>586</v>
      </c>
      <c r="E1909" s="2">
        <v>200</v>
      </c>
      <c r="F1909" s="2" t="s">
        <v>61</v>
      </c>
      <c r="J1909" s="2">
        <v>200</v>
      </c>
      <c r="K1909" s="2" t="b">
        <v>0</v>
      </c>
      <c r="L1909" s="2"/>
      <c r="M1909" s="2"/>
      <c r="N1909" s="4" t="s">
        <v>2259</v>
      </c>
      <c r="O1909" s="4" t="str">
        <f>LEFT(Table2[[#This Row],[Description]],75)</f>
        <v>College Savings TYPE ACH ID 550895818 CO College Savings ACH ECC PPD ACH Tr</v>
      </c>
      <c r="P1909" s="2" t="s">
        <v>2272</v>
      </c>
    </row>
    <row r="1910" spans="1:16" hidden="1">
      <c r="A1910" s="2">
        <v>202002</v>
      </c>
      <c r="B1910" s="3">
        <v>43864</v>
      </c>
      <c r="C1910" s="2" t="s">
        <v>2290</v>
      </c>
      <c r="D1910" s="2" t="s">
        <v>839</v>
      </c>
      <c r="E1910" s="2">
        <v>-0.68</v>
      </c>
      <c r="F1910" s="2" t="s">
        <v>54</v>
      </c>
      <c r="J1910" s="2">
        <v>0.68</v>
      </c>
      <c r="K1910" s="2" t="b">
        <v>0</v>
      </c>
      <c r="L1910" s="2"/>
      <c r="M1910" s="2"/>
      <c r="N1910" s="4" t="s">
        <v>2273</v>
      </c>
      <c r="O1910" s="4" t="str">
        <f>LEFT(Table2[[#This Row],[Description]],75)</f>
        <v>FID 500 INDEX</v>
      </c>
      <c r="P1910" s="2" t="s">
        <v>2393</v>
      </c>
    </row>
    <row r="1911" spans="1:16" hidden="1">
      <c r="A1911" s="2">
        <v>202002</v>
      </c>
      <c r="B1911" s="3">
        <v>43864</v>
      </c>
      <c r="C1911" s="2" t="s">
        <v>2290</v>
      </c>
      <c r="D1911" s="2" t="s">
        <v>839</v>
      </c>
      <c r="E1911" s="2">
        <v>6.91</v>
      </c>
      <c r="F1911" s="2" t="s">
        <v>54</v>
      </c>
      <c r="J1911" s="2">
        <v>6.91</v>
      </c>
      <c r="K1911" s="2" t="b">
        <v>0</v>
      </c>
      <c r="L1911" s="2"/>
      <c r="M1911" s="2"/>
      <c r="N1911" s="4" t="s">
        <v>2259</v>
      </c>
      <c r="O1911" s="4" t="str">
        <f>LEFT(Table2[[#This Row],[Description]],75)</f>
        <v>FID 500 INDEX</v>
      </c>
      <c r="P1911" s="2" t="s">
        <v>2393</v>
      </c>
    </row>
    <row r="1912" spans="1:16" hidden="1">
      <c r="A1912" s="2">
        <v>202002</v>
      </c>
      <c r="B1912" s="3">
        <v>43864</v>
      </c>
      <c r="C1912" s="2" t="s">
        <v>2290</v>
      </c>
      <c r="D1912" s="2" t="s">
        <v>841</v>
      </c>
      <c r="E1912" s="2">
        <v>-0.21</v>
      </c>
      <c r="F1912" s="2" t="s">
        <v>9</v>
      </c>
      <c r="J1912" s="2">
        <v>0.21</v>
      </c>
      <c r="K1912" s="2" t="b">
        <v>0</v>
      </c>
      <c r="L1912" s="2"/>
      <c r="M1912" s="2"/>
      <c r="N1912" s="4" t="s">
        <v>2273</v>
      </c>
      <c r="O1912" s="4" t="str">
        <f>LEFT(Table2[[#This Row],[Description]],75)</f>
        <v>FID EXTD MKT IDX</v>
      </c>
      <c r="P1912" s="2" t="s">
        <v>2394</v>
      </c>
    </row>
    <row r="1913" spans="1:16" hidden="1">
      <c r="A1913" s="2">
        <v>202002</v>
      </c>
      <c r="B1913" s="3">
        <v>43864</v>
      </c>
      <c r="C1913" s="2" t="s">
        <v>2290</v>
      </c>
      <c r="D1913" s="2" t="s">
        <v>841</v>
      </c>
      <c r="E1913" s="2">
        <v>2.75</v>
      </c>
      <c r="F1913" s="2" t="s">
        <v>9</v>
      </c>
      <c r="J1913" s="2">
        <v>2.75</v>
      </c>
      <c r="K1913" s="2" t="b">
        <v>0</v>
      </c>
      <c r="L1913" s="2"/>
      <c r="M1913" s="2"/>
      <c r="N1913" s="4" t="s">
        <v>2259</v>
      </c>
      <c r="O1913" s="4" t="str">
        <f>LEFT(Table2[[#This Row],[Description]],75)</f>
        <v>FID EXTD MKT IDX</v>
      </c>
      <c r="P1913" s="2" t="s">
        <v>2394</v>
      </c>
    </row>
    <row r="1914" spans="1:16" hidden="1">
      <c r="A1914" s="2">
        <v>202002</v>
      </c>
      <c r="B1914" s="3">
        <v>43864</v>
      </c>
      <c r="C1914" s="2" t="s">
        <v>2265</v>
      </c>
      <c r="D1914" s="2" t="s">
        <v>1219</v>
      </c>
      <c r="E1914" s="2">
        <v>405</v>
      </c>
      <c r="F1914" s="2" t="s">
        <v>20</v>
      </c>
      <c r="J1914" s="2">
        <v>405</v>
      </c>
      <c r="K1914" s="2" t="b">
        <v>0</v>
      </c>
      <c r="L1914" s="2"/>
      <c r="M1914" s="2"/>
      <c r="N1914" s="4" t="s">
        <v>2259</v>
      </c>
      <c r="O1914" s="4" t="str">
        <f>LEFT(Table2[[#This Row],[Description]],75)</f>
        <v>MHCHILDCARELLC TYPE DUES ID CO MHCHILDCARELLC ACH ECC PPD ACH Trace 41649 2</v>
      </c>
      <c r="P1914" s="2" t="s">
        <v>2281</v>
      </c>
    </row>
    <row r="1915" spans="1:16" hidden="1">
      <c r="A1915" s="2">
        <v>202002</v>
      </c>
      <c r="B1915" s="3">
        <v>43864</v>
      </c>
      <c r="C1915" s="2" t="s">
        <v>2461</v>
      </c>
      <c r="D1915" s="2" t="s">
        <v>1536</v>
      </c>
      <c r="E1915" s="2">
        <v>98.56</v>
      </c>
      <c r="F1915" s="2" t="s">
        <v>9</v>
      </c>
      <c r="J1915" s="2">
        <v>98.56</v>
      </c>
      <c r="K1915" s="2" t="b">
        <v>0</v>
      </c>
      <c r="L1915" s="2"/>
      <c r="M1915" s="2"/>
      <c r="N1915" s="4" t="s">
        <v>2259</v>
      </c>
      <c r="O1915" s="4" t="str">
        <f>LEFT(Table2[[#This Row],[Description]],75)</f>
        <v>PURCHASE INTO CORE ACCOUNT FIDELITY GOVERNMENT CASH RESERVES (FDRXX) (Cash)</v>
      </c>
      <c r="P1915" s="2" t="s">
        <v>2281</v>
      </c>
    </row>
    <row r="1916" spans="1:16" hidden="1">
      <c r="A1916" s="2">
        <v>202002</v>
      </c>
      <c r="B1916" s="3">
        <v>43864</v>
      </c>
      <c r="C1916" s="2" t="s">
        <v>2262</v>
      </c>
      <c r="D1916" s="2" t="s">
        <v>1659</v>
      </c>
      <c r="E1916" s="2">
        <v>52.66</v>
      </c>
      <c r="F1916" s="2" t="s">
        <v>28</v>
      </c>
      <c r="J1916" s="2">
        <v>52.66</v>
      </c>
      <c r="K1916" s="2" t="b">
        <v>0</v>
      </c>
      <c r="L1916" s="2"/>
      <c r="M1916" s="2"/>
      <c r="N1916" s="4" t="s">
        <v>2259</v>
      </c>
      <c r="O1916" s="4" t="str">
        <f>LEFT(Table2[[#This Row],[Description]],75)</f>
        <v>Shorewood Liquor, LLC</v>
      </c>
      <c r="P1916" s="2" t="s">
        <v>2281</v>
      </c>
    </row>
    <row r="1917" spans="1:16" hidden="1">
      <c r="A1917" s="2">
        <v>202002</v>
      </c>
      <c r="B1917" s="3">
        <v>43864</v>
      </c>
      <c r="C1917" s="2" t="s">
        <v>2317</v>
      </c>
      <c r="D1917" s="2" t="s">
        <v>1786</v>
      </c>
      <c r="E1917" s="2">
        <v>20.03</v>
      </c>
      <c r="F1917" s="2" t="s">
        <v>9</v>
      </c>
      <c r="J1917" s="2">
        <v>20.03</v>
      </c>
      <c r="K1917" s="2" t="b">
        <v>0</v>
      </c>
      <c r="L1917" s="2"/>
      <c r="M1917" s="2"/>
      <c r="N1917" s="4" t="s">
        <v>2259</v>
      </c>
      <c r="O1917" s="4" t="str">
        <f>LEFT(Table2[[#This Row],[Description]],75)</f>
        <v>STRYKER CORP</v>
      </c>
      <c r="P1917" s="2" t="s">
        <v>2385</v>
      </c>
    </row>
    <row r="1918" spans="1:16" hidden="1">
      <c r="A1918" s="2">
        <v>202002</v>
      </c>
      <c r="B1918" s="3">
        <v>43864</v>
      </c>
      <c r="C1918" s="2" t="s">
        <v>2460</v>
      </c>
      <c r="D1918" s="2" t="s">
        <v>1786</v>
      </c>
      <c r="E1918" s="2">
        <v>20.03</v>
      </c>
      <c r="F1918" s="2">
        <v>0</v>
      </c>
      <c r="J1918" s="2">
        <v>20.03</v>
      </c>
      <c r="K1918" s="2" t="b">
        <v>0</v>
      </c>
      <c r="L1918" s="2"/>
      <c r="M1918" s="2"/>
      <c r="N1918" s="4" t="s">
        <v>2259</v>
      </c>
      <c r="O1918" s="4" t="str">
        <f>LEFT(Table2[[#This Row],[Description]],75)</f>
        <v>STRYKER CORP</v>
      </c>
      <c r="P1918" s="2" t="s">
        <v>2281</v>
      </c>
    </row>
    <row r="1919" spans="1:16" hidden="1">
      <c r="A1919" s="2">
        <v>202002</v>
      </c>
      <c r="B1919" s="3">
        <v>43864</v>
      </c>
      <c r="C1919" s="2" t="s">
        <v>2461</v>
      </c>
      <c r="D1919" s="2" t="s">
        <v>1991</v>
      </c>
      <c r="E1919" s="2">
        <v>-98.56</v>
      </c>
      <c r="F1919" s="2">
        <v>0</v>
      </c>
      <c r="J1919" s="2">
        <v>98.56</v>
      </c>
      <c r="K1919" s="2" t="b">
        <v>0</v>
      </c>
      <c r="L1919" s="2"/>
      <c r="M1919" s="2"/>
      <c r="N1919" s="4" t="s">
        <v>2273</v>
      </c>
      <c r="O1919" s="4" t="str">
        <f>LEFT(Table2[[#This Row],[Description]],75)</f>
        <v>TRANSFERRED FROM KAUFMAN HSA TFR (Cash)</v>
      </c>
      <c r="P1919" s="2" t="s">
        <v>2281</v>
      </c>
    </row>
    <row r="1920" spans="1:16" hidden="1">
      <c r="A1920" s="2">
        <v>202002</v>
      </c>
      <c r="B1920" s="3">
        <v>43864</v>
      </c>
      <c r="C1920" s="2" t="s">
        <v>2290</v>
      </c>
      <c r="D1920" s="2" t="s">
        <v>2106</v>
      </c>
      <c r="E1920" s="2">
        <v>-2.12</v>
      </c>
      <c r="F1920" s="2" t="s">
        <v>54</v>
      </c>
      <c r="J1920" s="2">
        <v>2.12</v>
      </c>
      <c r="K1920" s="2" t="b">
        <v>0</v>
      </c>
      <c r="L1920" s="2"/>
      <c r="M1920" s="2"/>
      <c r="N1920" s="4" t="s">
        <v>2273</v>
      </c>
      <c r="O1920" s="4" t="str">
        <f>LEFT(Table2[[#This Row],[Description]],75)</f>
        <v>VANG TARGET RET 2050</v>
      </c>
      <c r="P1920" s="2" t="s">
        <v>2388</v>
      </c>
    </row>
    <row r="1921" spans="1:16" hidden="1">
      <c r="A1921" s="2">
        <v>202002</v>
      </c>
      <c r="B1921" s="3">
        <v>43864</v>
      </c>
      <c r="C1921" s="2" t="s">
        <v>2290</v>
      </c>
      <c r="D1921" s="2" t="s">
        <v>2106</v>
      </c>
      <c r="E1921" s="2">
        <v>20.09</v>
      </c>
      <c r="F1921" s="2" t="s">
        <v>54</v>
      </c>
      <c r="J1921" s="2">
        <v>20.09</v>
      </c>
      <c r="K1921" s="2" t="b">
        <v>0</v>
      </c>
      <c r="L1921" s="2"/>
      <c r="M1921" s="2"/>
      <c r="N1921" s="4" t="s">
        <v>2259</v>
      </c>
      <c r="O1921" s="4" t="str">
        <f>LEFT(Table2[[#This Row],[Description]],75)</f>
        <v>VANG TARGET RET 2050</v>
      </c>
      <c r="P1921" s="2" t="s">
        <v>2388</v>
      </c>
    </row>
    <row r="1922" spans="1:16" hidden="1">
      <c r="A1922" s="2">
        <v>202002</v>
      </c>
      <c r="B1922" s="3">
        <v>43864</v>
      </c>
      <c r="C1922" s="2" t="s">
        <v>2265</v>
      </c>
      <c r="D1922" s="2" t="s">
        <v>2109</v>
      </c>
      <c r="E1922" s="2">
        <v>10</v>
      </c>
      <c r="F1922" s="2">
        <v>0</v>
      </c>
      <c r="J1922" s="2">
        <v>10</v>
      </c>
      <c r="K1922" s="2" t="b">
        <v>0</v>
      </c>
      <c r="L1922" s="2"/>
      <c r="M1922" s="2"/>
      <c r="N1922" s="4" t="s">
        <v>2259</v>
      </c>
      <c r="O1922" s="4" t="str">
        <f>LEFT(Table2[[#This Row],[Description]],75)</f>
        <v>Venmo</v>
      </c>
      <c r="P1922" s="2" t="s">
        <v>2281</v>
      </c>
    </row>
    <row r="1923" spans="1:16" hidden="1">
      <c r="A1923" s="2">
        <v>202002</v>
      </c>
      <c r="B1923" s="3">
        <v>43865</v>
      </c>
      <c r="C1923" s="2" t="s">
        <v>2265</v>
      </c>
      <c r="D1923" s="2" t="s">
        <v>773</v>
      </c>
      <c r="E1923" s="2">
        <v>364.25</v>
      </c>
      <c r="F1923" s="2" t="s">
        <v>9</v>
      </c>
      <c r="J1923" s="2">
        <v>364.25</v>
      </c>
      <c r="K1923" s="2" t="b">
        <v>0</v>
      </c>
      <c r="L1923" s="2"/>
      <c r="M1923" s="2"/>
      <c r="N1923" s="4" t="s">
        <v>2259</v>
      </c>
      <c r="O1923" s="4" t="str">
        <f>LEFT(Table2[[#This Row],[Description]],75)</f>
        <v>DISCOVER TYPE EPAYMENT ID CO DISCOVER ACH ECC WEB ACH Trace 71849 285512728</v>
      </c>
      <c r="P1923" s="2" t="s">
        <v>2293</v>
      </c>
    </row>
    <row r="1924" spans="1:16" hidden="1">
      <c r="A1924" s="2">
        <v>202002</v>
      </c>
      <c r="B1924" s="3">
        <v>43865</v>
      </c>
      <c r="C1924" s="2" t="s">
        <v>2270</v>
      </c>
      <c r="D1924" s="2" t="s">
        <v>1419</v>
      </c>
      <c r="E1924" s="2">
        <v>-546.63</v>
      </c>
      <c r="F1924" s="2">
        <v>0</v>
      </c>
      <c r="J1924" s="2">
        <v>546.63</v>
      </c>
      <c r="K1924" s="2" t="b">
        <v>0</v>
      </c>
      <c r="L1924" s="2"/>
      <c r="M1924" s="2"/>
      <c r="N1924" s="4" t="s">
        <v>2273</v>
      </c>
      <c r="O1924" s="4" t="str">
        <f>LEFT(Table2[[#This Row],[Description]],75)</f>
        <v>PAYMENT 285946976</v>
      </c>
      <c r="P1924" s="2" t="s">
        <v>2281</v>
      </c>
    </row>
    <row r="1925" spans="1:16" hidden="1">
      <c r="A1925" s="2">
        <v>201911</v>
      </c>
      <c r="B1925" s="3">
        <v>43773</v>
      </c>
      <c r="C1925" s="2" t="s">
        <v>2265</v>
      </c>
      <c r="D1925" s="2" t="s">
        <v>268</v>
      </c>
      <c r="E1925" s="2">
        <v>2914.59</v>
      </c>
      <c r="F1925" s="2" t="s">
        <v>5</v>
      </c>
      <c r="J1925" s="2">
        <v>2914.59</v>
      </c>
      <c r="K1925" s="2" t="b">
        <v>0</v>
      </c>
      <c r="L1925" s="2"/>
      <c r="M1925" s="2"/>
      <c r="N1925" s="4" t="s">
        <v>2259</v>
      </c>
      <c r="O1925" s="4" t="str">
        <f>LEFT(Table2[[#This Row],[Description]],75)</f>
        <v>BCU MORTGAGE TYPE LOAN PAYMT ID 9DRAFTING CO BCU MORTGAGE ACH ECC WEB ACH T</v>
      </c>
      <c r="P1925" s="2" t="s">
        <v>2345</v>
      </c>
    </row>
    <row r="1926" spans="1:16" hidden="1">
      <c r="A1926" s="2">
        <v>202002</v>
      </c>
      <c r="B1926" s="3">
        <v>43865</v>
      </c>
      <c r="C1926" s="2" t="s">
        <v>2317</v>
      </c>
      <c r="D1926" s="2" t="s">
        <v>93</v>
      </c>
      <c r="E1926" s="2">
        <v>122</v>
      </c>
      <c r="F1926" s="2" t="s">
        <v>69</v>
      </c>
      <c r="J1926" s="2">
        <v>122</v>
      </c>
      <c r="K1926" s="2" t="b">
        <v>0</v>
      </c>
      <c r="L1926" s="2"/>
      <c r="M1926" s="2"/>
      <c r="N1926" s="4" t="s">
        <v>2259</v>
      </c>
      <c r="O1926" s="4" t="str">
        <f>LEFT(Table2[[#This Row],[Description]],75)</f>
        <v>A T &amp; T INC</v>
      </c>
      <c r="P1926" s="2" t="s">
        <v>2392</v>
      </c>
    </row>
    <row r="1927" spans="1:16" hidden="1">
      <c r="A1927" s="2">
        <v>202002</v>
      </c>
      <c r="B1927" s="3">
        <v>43865</v>
      </c>
      <c r="C1927" s="2" t="s">
        <v>2460</v>
      </c>
      <c r="D1927" s="2" t="s">
        <v>93</v>
      </c>
      <c r="E1927" s="2">
        <v>122</v>
      </c>
      <c r="F1927" s="2" t="s">
        <v>69</v>
      </c>
      <c r="J1927" s="2">
        <v>122</v>
      </c>
      <c r="K1927" s="2" t="b">
        <v>0</v>
      </c>
      <c r="L1927" s="2"/>
      <c r="M1927" s="2"/>
      <c r="N1927" s="4" t="s">
        <v>2259</v>
      </c>
      <c r="O1927" s="4" t="str">
        <f>LEFT(Table2[[#This Row],[Description]],75)</f>
        <v>A T &amp; T INC</v>
      </c>
      <c r="P1927" s="2" t="s">
        <v>2392</v>
      </c>
    </row>
    <row r="1928" spans="1:16" hidden="1">
      <c r="A1928" s="2">
        <v>202002</v>
      </c>
      <c r="B1928" s="3">
        <v>43865</v>
      </c>
      <c r="C1928" s="2" t="s">
        <v>2262</v>
      </c>
      <c r="D1928" s="2" t="s">
        <v>38</v>
      </c>
      <c r="E1928" s="2">
        <v>71.180000000000007</v>
      </c>
      <c r="F1928" s="2" t="s">
        <v>38</v>
      </c>
      <c r="J1928" s="2">
        <v>71.180000000000007</v>
      </c>
      <c r="K1928" s="2" t="b">
        <v>0</v>
      </c>
      <c r="L1928" s="2"/>
      <c r="M1928" s="2"/>
      <c r="N1928" s="4" t="s">
        <v>2259</v>
      </c>
      <c r="O1928" s="4" t="str">
        <f>LEFT(Table2[[#This Row],[Description]],75)</f>
        <v>Amazon</v>
      </c>
      <c r="P1928" s="2" t="s">
        <v>2260</v>
      </c>
    </row>
    <row r="1929" spans="1:16" hidden="1">
      <c r="A1929" s="2">
        <v>202002</v>
      </c>
      <c r="B1929" s="3">
        <v>43865</v>
      </c>
      <c r="C1929" s="2" t="s">
        <v>2262</v>
      </c>
      <c r="D1929" s="2" t="s">
        <v>453</v>
      </c>
      <c r="E1929" s="2">
        <v>9.02</v>
      </c>
      <c r="F1929" s="2" t="s">
        <v>26</v>
      </c>
      <c r="J1929" s="2">
        <v>9.02</v>
      </c>
      <c r="K1929" s="2" t="b">
        <v>0</v>
      </c>
      <c r="L1929" s="2"/>
      <c r="M1929" s="2"/>
      <c r="N1929" s="4" t="s">
        <v>2259</v>
      </c>
      <c r="O1929" s="4" t="str">
        <f>LEFT(Table2[[#This Row],[Description]],75)</f>
        <v>Caribou Coffee</v>
      </c>
      <c r="P1929" s="2" t="s">
        <v>2329</v>
      </c>
    </row>
    <row r="1930" spans="1:16" hidden="1">
      <c r="A1930" s="2">
        <v>202002</v>
      </c>
      <c r="B1930" s="3">
        <v>43865</v>
      </c>
      <c r="C1930" s="2" t="s">
        <v>2317</v>
      </c>
      <c r="D1930" s="2" t="s">
        <v>2100</v>
      </c>
      <c r="E1930" s="2">
        <v>521</v>
      </c>
      <c r="F1930" s="2" t="s">
        <v>9</v>
      </c>
      <c r="J1930" s="2">
        <v>521</v>
      </c>
      <c r="K1930" s="2" t="b">
        <v>0</v>
      </c>
      <c r="L1930" s="2"/>
      <c r="M1930" s="2"/>
      <c r="N1930" s="4" t="s">
        <v>2259</v>
      </c>
      <c r="O1930" s="4" t="str">
        <f>LEFT(Table2[[#This Row],[Description]],75)</f>
        <v>USD PARTNERS LP LP</v>
      </c>
      <c r="P1930" s="2" t="s">
        <v>2385</v>
      </c>
    </row>
    <row r="1931" spans="1:16" hidden="1">
      <c r="A1931" s="2">
        <v>202002</v>
      </c>
      <c r="B1931" s="3">
        <v>43865</v>
      </c>
      <c r="C1931" s="2" t="s">
        <v>2460</v>
      </c>
      <c r="D1931" s="2" t="s">
        <v>2100</v>
      </c>
      <c r="E1931" s="2">
        <v>521</v>
      </c>
      <c r="F1931" s="2">
        <v>0</v>
      </c>
      <c r="J1931" s="2">
        <v>521</v>
      </c>
      <c r="K1931" s="2" t="b">
        <v>0</v>
      </c>
      <c r="L1931" s="2"/>
      <c r="M1931" s="2"/>
      <c r="N1931" s="4" t="s">
        <v>2259</v>
      </c>
      <c r="O1931" s="4" t="str">
        <f>LEFT(Table2[[#This Row],[Description]],75)</f>
        <v>USD PARTNERS LP LP</v>
      </c>
      <c r="P1931" s="2" t="s">
        <v>2281</v>
      </c>
    </row>
    <row r="1932" spans="1:16" hidden="1">
      <c r="A1932" s="2">
        <v>202002</v>
      </c>
      <c r="B1932" s="3">
        <v>43865</v>
      </c>
      <c r="C1932" s="2" t="s">
        <v>2265</v>
      </c>
      <c r="D1932" s="2" t="s">
        <v>2109</v>
      </c>
      <c r="E1932" s="2">
        <v>37.5</v>
      </c>
      <c r="F1932" s="2" t="s">
        <v>21</v>
      </c>
      <c r="J1932" s="2">
        <v>37.5</v>
      </c>
      <c r="K1932" s="2" t="b">
        <v>0</v>
      </c>
      <c r="L1932" s="2"/>
      <c r="M1932" s="2"/>
      <c r="N1932" s="4" t="s">
        <v>2259</v>
      </c>
      <c r="O1932" s="4" t="str">
        <f>LEFT(Table2[[#This Row],[Description]],75)</f>
        <v>Venmo</v>
      </c>
      <c r="P1932" s="2" t="s">
        <v>2281</v>
      </c>
    </row>
    <row r="1933" spans="1:16" hidden="1">
      <c r="A1933" s="2">
        <v>202002</v>
      </c>
      <c r="B1933" s="3">
        <v>43866</v>
      </c>
      <c r="C1933" s="2" t="s">
        <v>2262</v>
      </c>
      <c r="D1933" s="2" t="s">
        <v>82</v>
      </c>
      <c r="E1933" s="2">
        <v>480.7</v>
      </c>
      <c r="F1933" s="2" t="s">
        <v>2</v>
      </c>
      <c r="J1933" s="2">
        <v>480.7</v>
      </c>
      <c r="K1933" s="2" t="b">
        <v>0</v>
      </c>
      <c r="L1933" s="2"/>
      <c r="M1933" s="2"/>
      <c r="N1933" s="4" t="s">
        <v>2259</v>
      </c>
      <c r="O1933" s="4" t="str">
        <f>LEFT(Table2[[#This Row],[Description]],75)</f>
        <v>3 DAY BLINDS LLC 8008003329 CA 285992548</v>
      </c>
      <c r="P1933" s="2" t="s">
        <v>2281</v>
      </c>
    </row>
    <row r="1934" spans="1:16" hidden="1">
      <c r="A1934" s="2">
        <v>202002</v>
      </c>
      <c r="B1934" s="3">
        <v>43866</v>
      </c>
      <c r="C1934" s="2" t="s">
        <v>2265</v>
      </c>
      <c r="D1934" s="2" t="s">
        <v>358</v>
      </c>
      <c r="E1934" s="2">
        <v>-1758.68</v>
      </c>
      <c r="F1934" s="2" t="s">
        <v>65</v>
      </c>
      <c r="J1934" s="2">
        <v>1758.68</v>
      </c>
      <c r="K1934" s="2" t="b">
        <v>0</v>
      </c>
      <c r="L1934" s="2"/>
      <c r="M1934" s="2"/>
      <c r="N1934" s="4" t="s">
        <v>2273</v>
      </c>
      <c r="O1934" s="4" t="str">
        <f>LEFT(Table2[[#This Row],[Description]],75)</f>
        <v xml:space="preserve">CARGILL COCOA TYPE DIR DEP ID CO CARGILL COCOA ACH ECC PPD ACH Trace 08052 </v>
      </c>
      <c r="P1934" s="2" t="s">
        <v>2284</v>
      </c>
    </row>
    <row r="1935" spans="1:16" hidden="1">
      <c r="A1935" s="2">
        <v>202002</v>
      </c>
      <c r="B1935" s="3">
        <v>43866</v>
      </c>
      <c r="C1935" s="2" t="s">
        <v>2265</v>
      </c>
      <c r="D1935" s="2" t="s">
        <v>661</v>
      </c>
      <c r="E1935" s="2">
        <v>111.34</v>
      </c>
      <c r="F1935" s="2" t="s">
        <v>7</v>
      </c>
      <c r="J1935" s="2">
        <v>111.34</v>
      </c>
      <c r="K1935" s="2" t="b">
        <v>0</v>
      </c>
      <c r="L1935" s="2"/>
      <c r="M1935" s="2"/>
      <c r="N1935" s="4" t="s">
        <v>2259</v>
      </c>
      <c r="O1935" s="4" t="str">
        <f>LEFT(Table2[[#This Row],[Description]],75)</f>
        <v xml:space="preserve">CPENERGY MNGCO TYPE MGC ACH EB ID 176051140S CO CPENERGY MNGCO ACH ECC WEB </v>
      </c>
      <c r="P1935" s="2" t="s">
        <v>2399</v>
      </c>
    </row>
    <row r="1936" spans="1:16" hidden="1">
      <c r="A1936" s="2">
        <v>202002</v>
      </c>
      <c r="B1936" s="3">
        <v>43866</v>
      </c>
      <c r="C1936" s="2" t="s">
        <v>2317</v>
      </c>
      <c r="D1936" s="2" t="s">
        <v>1139</v>
      </c>
      <c r="E1936" s="2">
        <v>-13.4</v>
      </c>
      <c r="F1936" s="2" t="s">
        <v>2</v>
      </c>
      <c r="J1936" s="2">
        <v>13.4</v>
      </c>
      <c r="K1936" s="2" t="b">
        <v>0</v>
      </c>
      <c r="L1936" s="2"/>
      <c r="M1936" s="2"/>
      <c r="N1936" s="4" t="s">
        <v>2273</v>
      </c>
      <c r="O1936" s="4" t="str">
        <f>LEFT(Table2[[#This Row],[Description]],75)</f>
        <v>LOWES COMPANIES INC</v>
      </c>
      <c r="P1936" s="2" t="s">
        <v>2402</v>
      </c>
    </row>
    <row r="1937" spans="1:16" hidden="1">
      <c r="A1937" s="2">
        <v>202002</v>
      </c>
      <c r="B1937" s="3">
        <v>43866</v>
      </c>
      <c r="C1937" s="2" t="s">
        <v>2460</v>
      </c>
      <c r="D1937" s="2" t="s">
        <v>1139</v>
      </c>
      <c r="E1937" s="2">
        <v>-13.4</v>
      </c>
      <c r="F1937" s="2" t="s">
        <v>2</v>
      </c>
      <c r="J1937" s="2">
        <v>13.4</v>
      </c>
      <c r="K1937" s="2" t="b">
        <v>0</v>
      </c>
      <c r="L1937" s="2"/>
      <c r="M1937" s="2"/>
      <c r="N1937" s="4" t="s">
        <v>2273</v>
      </c>
      <c r="O1937" s="4" t="str">
        <f>LEFT(Table2[[#This Row],[Description]],75)</f>
        <v>LOWES COMPANIES INC</v>
      </c>
      <c r="P1937" s="2" t="s">
        <v>2402</v>
      </c>
    </row>
    <row r="1938" spans="1:16" hidden="1">
      <c r="A1938" s="2">
        <v>202002</v>
      </c>
      <c r="B1938" s="3">
        <v>43867</v>
      </c>
      <c r="C1938" s="2" t="s">
        <v>2317</v>
      </c>
      <c r="D1938" s="2" t="s">
        <v>1139</v>
      </c>
      <c r="E1938" s="2">
        <v>13.4</v>
      </c>
      <c r="F1938" s="2" t="s">
        <v>2</v>
      </c>
      <c r="J1938" s="2">
        <v>13.4</v>
      </c>
      <c r="K1938" s="2" t="b">
        <v>0</v>
      </c>
      <c r="L1938" s="2"/>
      <c r="M1938" s="2"/>
      <c r="N1938" s="4" t="s">
        <v>2259</v>
      </c>
      <c r="O1938" s="4" t="str">
        <f>LEFT(Table2[[#This Row],[Description]],75)</f>
        <v>LOWES COMPANIES INC</v>
      </c>
      <c r="P1938" s="2" t="s">
        <v>2402</v>
      </c>
    </row>
    <row r="1939" spans="1:16" hidden="1">
      <c r="A1939" s="2">
        <v>202002</v>
      </c>
      <c r="B1939" s="3">
        <v>43867</v>
      </c>
      <c r="C1939" s="2" t="s">
        <v>2460</v>
      </c>
      <c r="D1939" s="2" t="s">
        <v>1139</v>
      </c>
      <c r="E1939" s="2">
        <v>13.4</v>
      </c>
      <c r="F1939" s="2" t="s">
        <v>2</v>
      </c>
      <c r="J1939" s="2">
        <v>13.4</v>
      </c>
      <c r="K1939" s="2" t="b">
        <v>0</v>
      </c>
      <c r="L1939" s="2"/>
      <c r="M1939" s="2"/>
      <c r="N1939" s="4" t="s">
        <v>2259</v>
      </c>
      <c r="O1939" s="4" t="str">
        <f>LEFT(Table2[[#This Row],[Description]],75)</f>
        <v>LOWES COMPANIES INC</v>
      </c>
      <c r="P1939" s="2" t="s">
        <v>2402</v>
      </c>
    </row>
    <row r="1940" spans="1:16" hidden="1">
      <c r="A1940" s="2">
        <v>202002</v>
      </c>
      <c r="B1940" s="3">
        <v>43867</v>
      </c>
      <c r="C1940" s="2" t="s">
        <v>2262</v>
      </c>
      <c r="D1940" s="2" t="s">
        <v>1707</v>
      </c>
      <c r="E1940" s="2">
        <v>22.09</v>
      </c>
      <c r="F1940" s="2" t="s">
        <v>23</v>
      </c>
      <c r="J1940" s="2">
        <v>22.09</v>
      </c>
      <c r="K1940" s="2" t="b">
        <v>0</v>
      </c>
      <c r="L1940" s="2"/>
      <c r="M1940" s="2"/>
      <c r="N1940" s="4" t="s">
        <v>2259</v>
      </c>
      <c r="O1940" s="4" t="str">
        <f>LEFT(Table2[[#This Row],[Description]],75)</f>
        <v>Speedway</v>
      </c>
      <c r="P1940" s="2" t="s">
        <v>2381</v>
      </c>
    </row>
    <row r="1941" spans="1:16" hidden="1">
      <c r="A1941" s="2">
        <v>202002</v>
      </c>
      <c r="B1941" s="3">
        <v>43867</v>
      </c>
      <c r="C1941" s="2" t="s">
        <v>2317</v>
      </c>
      <c r="D1941" s="2" t="s">
        <v>2103</v>
      </c>
      <c r="E1941" s="2">
        <v>-4.1399999999999997</v>
      </c>
      <c r="F1941" s="2" t="s">
        <v>9</v>
      </c>
      <c r="J1941" s="2">
        <v>4.1399999999999997</v>
      </c>
      <c r="K1941" s="2" t="b">
        <v>0</v>
      </c>
      <c r="L1941" s="2"/>
      <c r="M1941" s="2"/>
      <c r="N1941" s="4" t="s">
        <v>2273</v>
      </c>
      <c r="O1941" s="4" t="str">
        <f>LEFT(Table2[[#This Row],[Description]],75)</f>
        <v>VAG ITM-TERM TREASURY ETF</v>
      </c>
      <c r="P1941" s="2" t="s">
        <v>2385</v>
      </c>
    </row>
    <row r="1942" spans="1:16" hidden="1">
      <c r="A1942" s="2">
        <v>202002</v>
      </c>
      <c r="B1942" s="3">
        <v>43867</v>
      </c>
      <c r="C1942" s="2" t="s">
        <v>2460</v>
      </c>
      <c r="D1942" s="2" t="s">
        <v>2103</v>
      </c>
      <c r="E1942" s="2">
        <v>-4.1399999999999997</v>
      </c>
      <c r="F1942" s="2" t="s">
        <v>9</v>
      </c>
      <c r="J1942" s="2">
        <v>4.1399999999999997</v>
      </c>
      <c r="K1942" s="2" t="b">
        <v>0</v>
      </c>
      <c r="L1942" s="2"/>
      <c r="M1942" s="2"/>
      <c r="N1942" s="4" t="s">
        <v>2273</v>
      </c>
      <c r="O1942" s="4" t="str">
        <f>LEFT(Table2[[#This Row],[Description]],75)</f>
        <v>VAG ITM-TERM TREASURY ETF</v>
      </c>
      <c r="P1942" s="2" t="s">
        <v>2281</v>
      </c>
    </row>
    <row r="1943" spans="1:16" hidden="1">
      <c r="A1943" s="2">
        <v>202002</v>
      </c>
      <c r="B1943" s="3">
        <v>43868</v>
      </c>
      <c r="C1943" s="2" t="s">
        <v>2317</v>
      </c>
      <c r="D1943" s="2" t="s">
        <v>354</v>
      </c>
      <c r="E1943" s="2">
        <v>-200</v>
      </c>
      <c r="F1943" s="2" t="s">
        <v>57</v>
      </c>
      <c r="J1943" s="2">
        <v>200</v>
      </c>
      <c r="K1943" s="2" t="b">
        <v>0</v>
      </c>
      <c r="L1943" s="2"/>
      <c r="M1943" s="2"/>
      <c r="N1943" s="4" t="s">
        <v>2273</v>
      </c>
      <c r="O1943" s="4" t="str">
        <f>LEFT(Table2[[#This Row],[Description]],75)</f>
        <v>CARGILL COCOA &amp;</v>
      </c>
      <c r="P1943" s="2" t="s">
        <v>2354</v>
      </c>
    </row>
    <row r="1944" spans="1:16" hidden="1">
      <c r="A1944" s="2">
        <v>202002</v>
      </c>
      <c r="B1944" s="3">
        <v>43868</v>
      </c>
      <c r="C1944" s="2" t="s">
        <v>2460</v>
      </c>
      <c r="D1944" s="2" t="s">
        <v>354</v>
      </c>
      <c r="E1944" s="2">
        <v>-200</v>
      </c>
      <c r="F1944" s="2" t="s">
        <v>57</v>
      </c>
      <c r="J1944" s="2">
        <v>200</v>
      </c>
      <c r="K1944" s="2" t="b">
        <v>0</v>
      </c>
      <c r="L1944" s="2"/>
      <c r="M1944" s="2"/>
      <c r="N1944" s="4" t="s">
        <v>2273</v>
      </c>
      <c r="O1944" s="4" t="str">
        <f>LEFT(Table2[[#This Row],[Description]],75)</f>
        <v>CARGILL COCOA &amp;</v>
      </c>
      <c r="P1944" s="2" t="s">
        <v>2354</v>
      </c>
    </row>
    <row r="1945" spans="1:16" hidden="1">
      <c r="A1945" s="2">
        <v>202002</v>
      </c>
      <c r="B1945" s="3">
        <v>43868</v>
      </c>
      <c r="C1945" s="2" t="s">
        <v>2262</v>
      </c>
      <c r="D1945" s="2" t="s">
        <v>1353</v>
      </c>
      <c r="E1945" s="2">
        <v>19.329999999999998</v>
      </c>
      <c r="F1945" s="2" t="s">
        <v>26</v>
      </c>
      <c r="J1945" s="2">
        <v>19.329999999999998</v>
      </c>
      <c r="K1945" s="2" t="b">
        <v>0</v>
      </c>
      <c r="L1945" s="2"/>
      <c r="M1945" s="2"/>
      <c r="N1945" s="4" t="s">
        <v>2259</v>
      </c>
      <c r="O1945" s="4" t="str">
        <f>LEFT(Table2[[#This Row],[Description]],75)</f>
        <v>Noodles &amp; Company</v>
      </c>
      <c r="P1945" s="2" t="s">
        <v>2337</v>
      </c>
    </row>
    <row r="1946" spans="1:16" hidden="1">
      <c r="A1946" s="2">
        <v>202002</v>
      </c>
      <c r="B1946" s="3">
        <v>43868</v>
      </c>
      <c r="C1946" s="2" t="s">
        <v>2317</v>
      </c>
      <c r="D1946" s="2" t="s">
        <v>1812</v>
      </c>
      <c r="E1946" s="2">
        <v>573.46</v>
      </c>
      <c r="F1946" s="2" t="s">
        <v>9</v>
      </c>
      <c r="J1946" s="2">
        <v>573.46</v>
      </c>
      <c r="K1946" s="2" t="b">
        <v>0</v>
      </c>
      <c r="L1946" s="2"/>
      <c r="M1946" s="2"/>
      <c r="N1946" s="4" t="s">
        <v>2259</v>
      </c>
      <c r="O1946" s="4" t="str">
        <f>LEFT(Table2[[#This Row],[Description]],75)</f>
        <v>TAKE TWO INTERACTV</v>
      </c>
      <c r="P1946" s="2" t="s">
        <v>2385</v>
      </c>
    </row>
    <row r="1947" spans="1:16" hidden="1">
      <c r="A1947" s="2">
        <v>202002</v>
      </c>
      <c r="B1947" s="3">
        <v>43868</v>
      </c>
      <c r="C1947" s="2" t="s">
        <v>2460</v>
      </c>
      <c r="D1947" s="2" t="s">
        <v>1812</v>
      </c>
      <c r="E1947" s="2">
        <v>573.46</v>
      </c>
      <c r="F1947" s="2" t="s">
        <v>9</v>
      </c>
      <c r="J1947" s="2">
        <v>573.46</v>
      </c>
      <c r="K1947" s="2" t="b">
        <v>0</v>
      </c>
      <c r="L1947" s="2"/>
      <c r="M1947" s="2"/>
      <c r="N1947" s="4" t="s">
        <v>2259</v>
      </c>
      <c r="O1947" s="4" t="str">
        <f>LEFT(Table2[[#This Row],[Description]],75)</f>
        <v>TAKE TWO INTERACTV</v>
      </c>
      <c r="P1947" s="2" t="s">
        <v>2281</v>
      </c>
    </row>
    <row r="1948" spans="1:16" hidden="1">
      <c r="A1948" s="2">
        <v>202002</v>
      </c>
      <c r="B1948" s="3">
        <v>43868</v>
      </c>
      <c r="C1948" s="2" t="s">
        <v>2338</v>
      </c>
      <c r="D1948" s="2" t="s">
        <v>1820</v>
      </c>
      <c r="E1948" s="2">
        <v>-732.69</v>
      </c>
      <c r="F1948" s="2" t="s">
        <v>54</v>
      </c>
      <c r="J1948" s="2">
        <v>732.69</v>
      </c>
      <c r="K1948" s="2" t="b">
        <v>0</v>
      </c>
      <c r="L1948" s="2"/>
      <c r="M1948" s="2"/>
      <c r="N1948" s="4" t="s">
        <v>2273</v>
      </c>
      <c r="O1948" s="4" t="str">
        <f>LEFT(Table2[[#This Row],[Description]],75)</f>
        <v>Target Retire 2055 Tr P - Plan Contribution</v>
      </c>
      <c r="P1948" s="2" t="s">
        <v>2386</v>
      </c>
    </row>
    <row r="1949" spans="1:16" hidden="1">
      <c r="A1949" s="2">
        <v>202002</v>
      </c>
      <c r="B1949" s="3">
        <v>43868</v>
      </c>
      <c r="C1949" s="2" t="s">
        <v>2359</v>
      </c>
      <c r="D1949" s="2" t="s">
        <v>1820</v>
      </c>
      <c r="E1949" s="2">
        <v>-2859.91</v>
      </c>
      <c r="F1949" s="2" t="s">
        <v>54</v>
      </c>
      <c r="J1949" s="2">
        <v>2859.91</v>
      </c>
      <c r="K1949" s="2" t="b">
        <v>0</v>
      </c>
      <c r="L1949" s="2"/>
      <c r="M1949" s="2"/>
      <c r="N1949" s="4" t="s">
        <v>2273</v>
      </c>
      <c r="O1949" s="4" t="str">
        <f>LEFT(Table2[[#This Row],[Description]],75)</f>
        <v>Target Retire 2055 Tr P - Plan Contribution</v>
      </c>
      <c r="P1949" s="2" t="s">
        <v>2386</v>
      </c>
    </row>
    <row r="1950" spans="1:16" hidden="1">
      <c r="A1950" s="2">
        <v>202002</v>
      </c>
      <c r="B1950" s="3">
        <v>43868</v>
      </c>
      <c r="C1950" s="2" t="s">
        <v>2434</v>
      </c>
      <c r="D1950" s="2" t="s">
        <v>1834</v>
      </c>
      <c r="E1950" s="2">
        <v>-231</v>
      </c>
      <c r="F1950" s="2" t="s">
        <v>57</v>
      </c>
      <c r="J1950" s="2">
        <v>231</v>
      </c>
      <c r="K1950" s="2" t="b">
        <v>0</v>
      </c>
      <c r="L1950" s="2"/>
      <c r="M1950" s="2"/>
      <c r="N1950" s="4" t="s">
        <v>2273</v>
      </c>
      <c r="O1950" s="4" t="str">
        <f>LEFT(Table2[[#This Row],[Description]],75)</f>
        <v>Tfr JPMORGAN CHASE BAN, CARGILL COCOA &amp;</v>
      </c>
      <c r="P1950" s="2" t="s">
        <v>2356</v>
      </c>
    </row>
    <row r="1951" spans="1:16" hidden="1">
      <c r="A1951" s="2">
        <v>202002</v>
      </c>
      <c r="B1951" s="3">
        <v>43868</v>
      </c>
      <c r="C1951" s="2" t="s">
        <v>2317</v>
      </c>
      <c r="D1951" s="2" t="s">
        <v>2103</v>
      </c>
      <c r="E1951" s="2">
        <v>4.1399999999999997</v>
      </c>
      <c r="F1951" s="2" t="s">
        <v>9</v>
      </c>
      <c r="J1951" s="2">
        <v>4.1399999999999997</v>
      </c>
      <c r="K1951" s="2" t="b">
        <v>0</v>
      </c>
      <c r="L1951" s="2"/>
      <c r="M1951" s="2"/>
      <c r="N1951" s="4" t="s">
        <v>2259</v>
      </c>
      <c r="O1951" s="4" t="str">
        <f>LEFT(Table2[[#This Row],[Description]],75)</f>
        <v>VAG ITM-TERM TREASURY ETF</v>
      </c>
      <c r="P1951" s="2" t="s">
        <v>2385</v>
      </c>
    </row>
    <row r="1952" spans="1:16" hidden="1">
      <c r="A1952" s="2">
        <v>202002</v>
      </c>
      <c r="B1952" s="3">
        <v>43868</v>
      </c>
      <c r="C1952" s="2" t="s">
        <v>2460</v>
      </c>
      <c r="D1952" s="2" t="s">
        <v>2103</v>
      </c>
      <c r="E1952" s="2">
        <v>4.1399999999999997</v>
      </c>
      <c r="F1952" s="2" t="s">
        <v>9</v>
      </c>
      <c r="J1952" s="2">
        <v>4.1399999999999997</v>
      </c>
      <c r="K1952" s="2" t="b">
        <v>0</v>
      </c>
      <c r="L1952" s="2"/>
      <c r="M1952" s="2"/>
      <c r="N1952" s="4" t="s">
        <v>2259</v>
      </c>
      <c r="O1952" s="4" t="str">
        <f>LEFT(Table2[[#This Row],[Description]],75)</f>
        <v>VAG ITM-TERM TREASURY ETF</v>
      </c>
      <c r="P1952" s="2" t="s">
        <v>2281</v>
      </c>
    </row>
    <row r="1953" spans="1:16" hidden="1">
      <c r="A1953" s="2">
        <v>202002</v>
      </c>
      <c r="B1953" s="3">
        <v>43868</v>
      </c>
      <c r="C1953" s="2" t="s">
        <v>2265</v>
      </c>
      <c r="D1953" s="2" t="s">
        <v>2140</v>
      </c>
      <c r="E1953" s="2">
        <v>115.76</v>
      </c>
      <c r="F1953" s="2" t="s">
        <v>7</v>
      </c>
      <c r="J1953" s="2">
        <v>115.76</v>
      </c>
      <c r="K1953" s="2" t="b">
        <v>0</v>
      </c>
      <c r="L1953" s="2"/>
      <c r="M1953" s="2"/>
      <c r="N1953" s="4" t="s">
        <v>2259</v>
      </c>
      <c r="O1953" s="4" t="str">
        <f>LEFT(Table2[[#This Row],[Description]],75)</f>
        <v>Waste Management</v>
      </c>
      <c r="P1953" s="2" t="s">
        <v>2318</v>
      </c>
    </row>
    <row r="1954" spans="1:16" hidden="1">
      <c r="A1954" s="2">
        <v>202002</v>
      </c>
      <c r="B1954" s="3">
        <v>43870</v>
      </c>
      <c r="C1954" s="2" t="s">
        <v>2262</v>
      </c>
      <c r="D1954" s="2" t="s">
        <v>341</v>
      </c>
      <c r="E1954" s="2">
        <v>4.67</v>
      </c>
      <c r="F1954" s="2" t="s">
        <v>40</v>
      </c>
      <c r="J1954" s="2">
        <v>4.67</v>
      </c>
      <c r="K1954" s="2" t="b">
        <v>0</v>
      </c>
      <c r="L1954" s="2"/>
      <c r="M1954" s="2"/>
      <c r="N1954" s="4" t="s">
        <v>2259</v>
      </c>
      <c r="O1954" s="4" t="str">
        <f>LEFT(Table2[[#This Row],[Description]],75)</f>
        <v>Cabin Fever Sporting Goods, Inc.</v>
      </c>
      <c r="P1954" s="2" t="s">
        <v>2281</v>
      </c>
    </row>
    <row r="1955" spans="1:16" hidden="1">
      <c r="A1955" s="2">
        <v>202002</v>
      </c>
      <c r="B1955" s="3">
        <v>43870</v>
      </c>
      <c r="C1955" s="2" t="s">
        <v>2262</v>
      </c>
      <c r="D1955" s="2" t="s">
        <v>727</v>
      </c>
      <c r="E1955" s="2">
        <v>182.54</v>
      </c>
      <c r="F1955" s="2" t="s">
        <v>2</v>
      </c>
      <c r="J1955" s="2">
        <v>182.54</v>
      </c>
      <c r="K1955" s="2" t="b">
        <v>0</v>
      </c>
      <c r="L1955" s="2"/>
      <c r="M1955" s="2"/>
      <c r="N1955" s="4" t="s">
        <v>2259</v>
      </c>
      <c r="O1955" s="4" t="str">
        <f>LEFT(Table2[[#This Row],[Description]],75)</f>
        <v>DETAILS RESIDENTIAL SRVC 6122161751 MN 286924997</v>
      </c>
      <c r="P1955" s="2" t="s">
        <v>2449</v>
      </c>
    </row>
    <row r="1956" spans="1:16" hidden="1">
      <c r="A1956" s="2">
        <v>202002</v>
      </c>
      <c r="B1956" s="3">
        <v>43870</v>
      </c>
      <c r="C1956" s="2" t="s">
        <v>2262</v>
      </c>
      <c r="D1956" s="2" t="s">
        <v>944</v>
      </c>
      <c r="E1956" s="2">
        <v>33.409999999999997</v>
      </c>
      <c r="F1956" s="2" t="s">
        <v>23</v>
      </c>
      <c r="J1956" s="2">
        <v>33.409999999999997</v>
      </c>
      <c r="K1956" s="2" t="b">
        <v>0</v>
      </c>
      <c r="L1956" s="2"/>
      <c r="M1956" s="2"/>
      <c r="N1956" s="4" t="s">
        <v>2259</v>
      </c>
      <c r="O1956" s="4" t="str">
        <f>LEFT(Table2[[#This Row],[Description]],75)</f>
        <v>Holiday Stationstore</v>
      </c>
      <c r="P1956" s="2" t="s">
        <v>2374</v>
      </c>
    </row>
    <row r="1957" spans="1:16" hidden="1">
      <c r="A1957" s="2">
        <v>202002</v>
      </c>
      <c r="B1957" s="3">
        <v>43870</v>
      </c>
      <c r="C1957" s="2" t="s">
        <v>2262</v>
      </c>
      <c r="D1957" s="2" t="s">
        <v>1265</v>
      </c>
      <c r="E1957" s="2">
        <v>23</v>
      </c>
      <c r="F1957" s="2" t="s">
        <v>40</v>
      </c>
      <c r="J1957" s="2">
        <v>23</v>
      </c>
      <c r="K1957" s="2" t="b">
        <v>0</v>
      </c>
      <c r="L1957" s="2"/>
      <c r="M1957" s="2"/>
      <c r="N1957" s="4" t="s">
        <v>2259</v>
      </c>
      <c r="O1957" s="4" t="str">
        <f>LEFT(Table2[[#This Row],[Description]],75)</f>
        <v>Minnesota</v>
      </c>
      <c r="P1957" s="2" t="s">
        <v>2281</v>
      </c>
    </row>
    <row r="1958" spans="1:16" hidden="1">
      <c r="A1958" s="2">
        <v>202002</v>
      </c>
      <c r="B1958" s="3">
        <v>43870</v>
      </c>
      <c r="C1958" s="2" t="s">
        <v>2262</v>
      </c>
      <c r="D1958" s="2" t="s">
        <v>1265</v>
      </c>
      <c r="E1958" s="2">
        <v>26.45</v>
      </c>
      <c r="F1958" s="2" t="s">
        <v>40</v>
      </c>
      <c r="J1958" s="2">
        <v>26.45</v>
      </c>
      <c r="K1958" s="2" t="b">
        <v>0</v>
      </c>
      <c r="L1958" s="2"/>
      <c r="M1958" s="2"/>
      <c r="N1958" s="4" t="s">
        <v>2259</v>
      </c>
      <c r="O1958" s="4" t="str">
        <f>LEFT(Table2[[#This Row],[Description]],75)</f>
        <v>Minnesota</v>
      </c>
      <c r="P1958" s="2" t="s">
        <v>2281</v>
      </c>
    </row>
    <row r="1959" spans="1:16" hidden="1">
      <c r="A1959" s="2">
        <v>202002</v>
      </c>
      <c r="B1959" s="3">
        <v>43870</v>
      </c>
      <c r="C1959" s="2" t="s">
        <v>2262</v>
      </c>
      <c r="D1959" s="2" t="s">
        <v>1406</v>
      </c>
      <c r="E1959" s="2">
        <v>50</v>
      </c>
      <c r="F1959" s="2" t="s">
        <v>26</v>
      </c>
      <c r="J1959" s="2">
        <v>50</v>
      </c>
      <c r="K1959" s="2" t="b">
        <v>0</v>
      </c>
      <c r="L1959" s="2"/>
      <c r="M1959" s="2"/>
      <c r="N1959" s="4" t="s">
        <v>2259</v>
      </c>
      <c r="O1959" s="4" t="str">
        <f>LEFT(Table2[[#This Row],[Description]],75)</f>
        <v>Parlour St Paul</v>
      </c>
      <c r="P1959" s="2" t="s">
        <v>2281</v>
      </c>
    </row>
    <row r="1960" spans="1:16" hidden="1">
      <c r="A1960" s="2">
        <v>202002</v>
      </c>
      <c r="B1960" s="3">
        <v>43870</v>
      </c>
      <c r="C1960" s="2" t="s">
        <v>2262</v>
      </c>
      <c r="D1960" s="2" t="s">
        <v>1725</v>
      </c>
      <c r="E1960" s="2">
        <v>18.7</v>
      </c>
      <c r="F1960" s="2" t="s">
        <v>26</v>
      </c>
      <c r="J1960" s="2">
        <v>18.7</v>
      </c>
      <c r="K1960" s="2" t="b">
        <v>0</v>
      </c>
      <c r="L1960" s="2"/>
      <c r="M1960" s="2"/>
      <c r="N1960" s="4" t="s">
        <v>2259</v>
      </c>
      <c r="O1960" s="4" t="str">
        <f>LEFT(Table2[[#This Row],[Description]],75)</f>
        <v>SQ ENKI BREWING COMPANY Victoria MN 286924998</v>
      </c>
      <c r="P1960" s="2" t="s">
        <v>2281</v>
      </c>
    </row>
    <row r="1961" spans="1:16" hidden="1">
      <c r="A1961" s="2">
        <v>202002</v>
      </c>
      <c r="B1961" s="3">
        <v>43870</v>
      </c>
      <c r="C1961" s="2" t="s">
        <v>2262</v>
      </c>
      <c r="D1961" s="2" t="s">
        <v>2122</v>
      </c>
      <c r="E1961" s="2">
        <v>11.25</v>
      </c>
      <c r="F1961" s="2" t="s">
        <v>26</v>
      </c>
      <c r="J1961" s="2">
        <v>11.25</v>
      </c>
      <c r="K1961" s="2" t="b">
        <v>0</v>
      </c>
      <c r="L1961" s="2"/>
      <c r="M1961" s="2"/>
      <c r="N1961" s="4" t="s">
        <v>2259</v>
      </c>
      <c r="O1961" s="4" t="str">
        <f>LEFT(Table2[[#This Row],[Description]],75)</f>
        <v>VICTORIA BURROW VICTORIA MN 286925000</v>
      </c>
      <c r="P1961" s="2" t="s">
        <v>2281</v>
      </c>
    </row>
    <row r="1962" spans="1:16" hidden="1">
      <c r="A1962" s="2">
        <v>202002</v>
      </c>
      <c r="B1962" s="3">
        <v>43871</v>
      </c>
      <c r="C1962" s="2" t="s">
        <v>2262</v>
      </c>
      <c r="D1962" s="2" t="s">
        <v>1439</v>
      </c>
      <c r="E1962" s="2">
        <v>-1007.55</v>
      </c>
      <c r="F1962" s="2" t="s">
        <v>9</v>
      </c>
      <c r="J1962" s="2">
        <v>1007.55</v>
      </c>
      <c r="K1962" s="2" t="b">
        <v>0</v>
      </c>
      <c r="L1962" s="2"/>
      <c r="M1962" s="2"/>
      <c r="N1962" s="4" t="s">
        <v>2273</v>
      </c>
      <c r="O1962" s="4" t="str">
        <f>LEFT(Table2[[#This Row],[Description]],75)</f>
        <v>PAYMENT THANK YOU 287429453</v>
      </c>
      <c r="P1962" s="2" t="s">
        <v>2391</v>
      </c>
    </row>
    <row r="1963" spans="1:16" hidden="1">
      <c r="A1963" s="2">
        <v>202002</v>
      </c>
      <c r="B1963" s="3">
        <v>43871</v>
      </c>
      <c r="C1963" s="2" t="s">
        <v>2265</v>
      </c>
      <c r="D1963" s="2" t="s">
        <v>2184</v>
      </c>
      <c r="E1963" s="2">
        <v>1007.55</v>
      </c>
      <c r="F1963" s="2" t="s">
        <v>9</v>
      </c>
      <c r="J1963" s="2">
        <v>1007.55</v>
      </c>
      <c r="K1963" s="2" t="b">
        <v>0</v>
      </c>
      <c r="L1963" s="2"/>
      <c r="M1963" s="2"/>
      <c r="N1963" s="4" t="s">
        <v>2259</v>
      </c>
      <c r="O1963" s="4" t="str">
        <f>LEFT(Table2[[#This Row],[Description]],75)</f>
        <v>Withdrawal Home payment to card 979181 286962138</v>
      </c>
      <c r="P1963" s="2" t="s">
        <v>2349</v>
      </c>
    </row>
    <row r="1964" spans="1:16" hidden="1">
      <c r="A1964" s="2">
        <v>202002</v>
      </c>
      <c r="B1964" s="3">
        <v>43871</v>
      </c>
      <c r="C1964" s="2" t="s">
        <v>2262</v>
      </c>
      <c r="D1964" s="2" t="s">
        <v>1117</v>
      </c>
      <c r="E1964" s="2">
        <v>8.8000000000000007</v>
      </c>
      <c r="F1964" s="2" t="s">
        <v>26</v>
      </c>
      <c r="J1964" s="2">
        <v>8.8000000000000007</v>
      </c>
      <c r="K1964" s="2" t="b">
        <v>0</v>
      </c>
      <c r="L1964" s="2"/>
      <c r="M1964" s="2"/>
      <c r="N1964" s="4" t="s">
        <v>2259</v>
      </c>
      <c r="O1964" s="4" t="str">
        <f>LEFT(Table2[[#This Row],[Description]],75)</f>
        <v>LIFE TIME CAFE 151Q48 CHANHASSEN MN 287193126</v>
      </c>
      <c r="P1964" s="2" t="s">
        <v>2376</v>
      </c>
    </row>
    <row r="1965" spans="1:16" hidden="1">
      <c r="A1965" s="2">
        <v>202002</v>
      </c>
      <c r="B1965" s="3">
        <v>43871</v>
      </c>
      <c r="C1965" s="2" t="s">
        <v>2265</v>
      </c>
      <c r="D1965" s="2" t="s">
        <v>1209</v>
      </c>
      <c r="E1965" s="2">
        <v>255</v>
      </c>
      <c r="F1965" s="2" t="s">
        <v>20</v>
      </c>
      <c r="J1965" s="2">
        <v>255</v>
      </c>
      <c r="K1965" s="2" t="b">
        <v>0</v>
      </c>
      <c r="L1965" s="2"/>
      <c r="M1965" s="2"/>
      <c r="N1965" s="4" t="s">
        <v>2259</v>
      </c>
      <c r="O1965" s="4" t="str">
        <f>LEFT(Table2[[#This Row],[Description]],75)</f>
        <v>MHCHILDCARELLC TYPE DUES ID CO MHCHILDCARELLC ACH ECC PPD ACH Trace 12751 2</v>
      </c>
      <c r="P1965" s="2" t="s">
        <v>2281</v>
      </c>
    </row>
    <row r="1966" spans="1:16" hidden="1">
      <c r="A1966" s="2">
        <v>202002</v>
      </c>
      <c r="B1966" s="3">
        <v>43871</v>
      </c>
      <c r="C1966" s="2" t="s">
        <v>2265</v>
      </c>
      <c r="D1966" s="2" t="s">
        <v>1471</v>
      </c>
      <c r="E1966" s="2">
        <v>7.43</v>
      </c>
      <c r="F1966" s="2" t="s">
        <v>21</v>
      </c>
      <c r="J1966" s="2">
        <v>7.43</v>
      </c>
      <c r="K1966" s="2" t="b">
        <v>0</v>
      </c>
      <c r="L1966" s="2"/>
      <c r="M1966" s="2"/>
      <c r="N1966" s="4" t="s">
        <v>2259</v>
      </c>
      <c r="O1966" s="4" t="str">
        <f>LEFT(Table2[[#This Row],[Description]],75)</f>
        <v>PayPal</v>
      </c>
      <c r="P1966" s="2" t="s">
        <v>2322</v>
      </c>
    </row>
    <row r="1967" spans="1:16" hidden="1">
      <c r="A1967" s="2">
        <v>202002</v>
      </c>
      <c r="B1967" s="3">
        <v>43871</v>
      </c>
      <c r="C1967" s="2" t="s">
        <v>2262</v>
      </c>
      <c r="D1967" s="2" t="s">
        <v>1750</v>
      </c>
      <c r="E1967" s="2">
        <v>6.9</v>
      </c>
      <c r="F1967" s="2" t="s">
        <v>26</v>
      </c>
      <c r="J1967" s="2">
        <v>6.9</v>
      </c>
      <c r="K1967" s="2" t="b">
        <v>0</v>
      </c>
      <c r="L1967" s="2"/>
      <c r="M1967" s="2"/>
      <c r="N1967" s="4" t="s">
        <v>2259</v>
      </c>
      <c r="O1967" s="4" t="str">
        <f>LEFT(Table2[[#This Row],[Description]],75)</f>
        <v>SQ RED BENCH BAKERY Excelsior MN 287193125</v>
      </c>
      <c r="P1967" s="2" t="s">
        <v>2281</v>
      </c>
    </row>
    <row r="1968" spans="1:16" hidden="1">
      <c r="A1968" s="2">
        <v>202002</v>
      </c>
      <c r="B1968" s="3">
        <v>43871</v>
      </c>
      <c r="C1968" s="2" t="s">
        <v>2262</v>
      </c>
      <c r="D1968" s="2" t="s">
        <v>1856</v>
      </c>
      <c r="E1968" s="2">
        <v>66.180000000000007</v>
      </c>
      <c r="F1968" s="2" t="s">
        <v>26</v>
      </c>
      <c r="J1968" s="2">
        <v>66.180000000000007</v>
      </c>
      <c r="K1968" s="2" t="b">
        <v>0</v>
      </c>
      <c r="L1968" s="2"/>
      <c r="M1968" s="2"/>
      <c r="N1968" s="4" t="s">
        <v>2259</v>
      </c>
      <c r="O1968" s="4" t="str">
        <f>LEFT(Table2[[#This Row],[Description]],75)</f>
        <v>THE NOBLE LION VICTORIA MN 287193124</v>
      </c>
      <c r="P1968" s="2" t="s">
        <v>2281</v>
      </c>
    </row>
    <row r="1969" spans="1:16" hidden="1">
      <c r="A1969" s="2">
        <v>202002</v>
      </c>
      <c r="B1969" s="3">
        <v>43872</v>
      </c>
      <c r="C1969" s="2" t="s">
        <v>2262</v>
      </c>
      <c r="D1969" s="2" t="s">
        <v>38</v>
      </c>
      <c r="E1969" s="2">
        <v>31.6</v>
      </c>
      <c r="F1969" s="2" t="s">
        <v>38</v>
      </c>
      <c r="J1969" s="2">
        <v>31.6</v>
      </c>
      <c r="K1969" s="2" t="b">
        <v>0</v>
      </c>
      <c r="L1969" s="2"/>
      <c r="M1969" s="2"/>
      <c r="N1969" s="4" t="s">
        <v>2259</v>
      </c>
      <c r="O1969" s="4" t="str">
        <f>LEFT(Table2[[#This Row],[Description]],75)</f>
        <v>Amazon</v>
      </c>
      <c r="P1969" s="2" t="s">
        <v>2260</v>
      </c>
    </row>
    <row r="1970" spans="1:16" hidden="1">
      <c r="A1970" s="2">
        <v>202002</v>
      </c>
      <c r="B1970" s="3">
        <v>43872</v>
      </c>
      <c r="C1970" s="2" t="s">
        <v>2262</v>
      </c>
      <c r="D1970" s="2" t="s">
        <v>338</v>
      </c>
      <c r="E1970" s="2">
        <v>32.200000000000003</v>
      </c>
      <c r="F1970" s="2" t="s">
        <v>28</v>
      </c>
      <c r="J1970" s="2">
        <v>32.200000000000003</v>
      </c>
      <c r="K1970" s="2" t="b">
        <v>0</v>
      </c>
      <c r="L1970" s="2"/>
      <c r="M1970" s="2"/>
      <c r="N1970" s="4" t="s">
        <v>2259</v>
      </c>
      <c r="O1970" s="4" t="str">
        <f>LEFT(Table2[[#This Row],[Description]],75)</f>
        <v>Byerly's</v>
      </c>
      <c r="P1970" s="2" t="s">
        <v>2364</v>
      </c>
    </row>
    <row r="1971" spans="1:16" hidden="1">
      <c r="A1971" s="2">
        <v>202002</v>
      </c>
      <c r="B1971" s="3">
        <v>43872</v>
      </c>
      <c r="C1971" s="2" t="s">
        <v>2447</v>
      </c>
      <c r="D1971" s="2" t="s">
        <v>506</v>
      </c>
      <c r="E1971" s="2">
        <v>45</v>
      </c>
      <c r="F1971" s="2" t="s">
        <v>7</v>
      </c>
      <c r="J1971" s="2">
        <v>45</v>
      </c>
      <c r="K1971" s="2" t="b">
        <v>0</v>
      </c>
      <c r="L1971" s="2"/>
      <c r="M1971" s="2"/>
      <c r="N1971" s="4" t="s">
        <v>2259</v>
      </c>
      <c r="O1971" s="4" t="str">
        <f>LEFT(Table2[[#This Row],[Description]],75)</f>
        <v>CenturyLink</v>
      </c>
      <c r="P1971" s="2" t="s">
        <v>2408</v>
      </c>
    </row>
    <row r="1972" spans="1:16" hidden="1">
      <c r="A1972" s="2">
        <v>202002</v>
      </c>
      <c r="B1972" s="3">
        <v>43872</v>
      </c>
      <c r="C1972" s="2" t="s">
        <v>2258</v>
      </c>
      <c r="D1972" s="2" t="s">
        <v>506</v>
      </c>
      <c r="E1972" s="2">
        <v>45</v>
      </c>
      <c r="F1972" s="2" t="s">
        <v>7</v>
      </c>
      <c r="J1972" s="2">
        <v>45</v>
      </c>
      <c r="K1972" s="2" t="b">
        <v>0</v>
      </c>
      <c r="L1972" s="2"/>
      <c r="M1972" s="2"/>
      <c r="N1972" s="4" t="s">
        <v>2259</v>
      </c>
      <c r="O1972" s="4" t="str">
        <f>LEFT(Table2[[#This Row],[Description]],75)</f>
        <v>CenturyLink</v>
      </c>
      <c r="P1972" s="2" t="s">
        <v>2408</v>
      </c>
    </row>
    <row r="1973" spans="1:16" hidden="1">
      <c r="A1973" s="2">
        <v>202002</v>
      </c>
      <c r="B1973" s="3">
        <v>43872</v>
      </c>
      <c r="C1973" s="2" t="s">
        <v>2262</v>
      </c>
      <c r="D1973" s="2" t="s">
        <v>1929</v>
      </c>
      <c r="E1973" s="2">
        <v>75.56</v>
      </c>
      <c r="F1973" s="2" t="s">
        <v>23</v>
      </c>
      <c r="J1973" s="2">
        <v>75.56</v>
      </c>
      <c r="K1973" s="2" t="b">
        <v>0</v>
      </c>
      <c r="L1973" s="2"/>
      <c r="M1973" s="2"/>
      <c r="N1973" s="4" t="s">
        <v>2259</v>
      </c>
      <c r="O1973" s="4" t="str">
        <f>LEFT(Table2[[#This Row],[Description]],75)</f>
        <v>Toyota</v>
      </c>
      <c r="P1973" s="2" t="s">
        <v>2281</v>
      </c>
    </row>
    <row r="1974" spans="1:16" hidden="1">
      <c r="A1974" s="2">
        <v>202002</v>
      </c>
      <c r="B1974" s="3">
        <v>43872</v>
      </c>
      <c r="C1974" s="2" t="s">
        <v>2265</v>
      </c>
      <c r="D1974" s="2" t="s">
        <v>2221</v>
      </c>
      <c r="E1974" s="2">
        <v>128.13</v>
      </c>
      <c r="F1974" s="2" t="s">
        <v>7</v>
      </c>
      <c r="J1974" s="2">
        <v>128.13</v>
      </c>
      <c r="K1974" s="2" t="b">
        <v>0</v>
      </c>
      <c r="L1974" s="2"/>
      <c r="M1974" s="2"/>
      <c r="N1974" s="4" t="s">
        <v>2259</v>
      </c>
      <c r="O1974" s="4" t="str">
        <f>LEFT(Table2[[#This Row],[Description]],75)</f>
        <v>Xcel Energy</v>
      </c>
      <c r="P1974" s="2" t="s">
        <v>2280</v>
      </c>
    </row>
    <row r="1975" spans="1:16" hidden="1">
      <c r="A1975" s="2">
        <v>202002</v>
      </c>
      <c r="B1975" s="3">
        <v>43873</v>
      </c>
      <c r="C1975" s="2" t="s">
        <v>2265</v>
      </c>
      <c r="D1975" s="2" t="s">
        <v>637</v>
      </c>
      <c r="E1975" s="2">
        <v>-434.12</v>
      </c>
      <c r="F1975" s="2">
        <v>0</v>
      </c>
      <c r="J1975" s="2">
        <v>434.12</v>
      </c>
      <c r="K1975" s="2" t="b">
        <v>0</v>
      </c>
      <c r="L1975" s="2"/>
      <c r="M1975" s="2"/>
      <c r="N1975" s="4" t="s">
        <v>2273</v>
      </c>
      <c r="O1975" s="4" t="str">
        <f>LEFT(Table2[[#This Row],[Description]],75)</f>
        <v>Connectyourcare Type Svbclaims</v>
      </c>
      <c r="P1975" s="2" t="s">
        <v>2281</v>
      </c>
    </row>
    <row r="1976" spans="1:16" hidden="1">
      <c r="A1976" s="2">
        <v>202002</v>
      </c>
      <c r="B1976" s="3">
        <v>43873</v>
      </c>
      <c r="C1976" s="2" t="s">
        <v>2262</v>
      </c>
      <c r="D1976" s="2" t="s">
        <v>646</v>
      </c>
      <c r="E1976" s="2">
        <v>60.97</v>
      </c>
      <c r="F1976" s="2" t="s">
        <v>21</v>
      </c>
      <c r="J1976" s="2">
        <v>60.97</v>
      </c>
      <c r="K1976" s="2" t="b">
        <v>0</v>
      </c>
      <c r="L1976" s="2"/>
      <c r="M1976" s="2"/>
      <c r="N1976" s="4" t="s">
        <v>2259</v>
      </c>
      <c r="O1976" s="4" t="str">
        <f>LEFT(Table2[[#This Row],[Description]],75)</f>
        <v>Corelle Brands LLC</v>
      </c>
      <c r="P1976" s="2" t="s">
        <v>2281</v>
      </c>
    </row>
    <row r="1977" spans="1:16" hidden="1">
      <c r="A1977" s="2">
        <v>202002</v>
      </c>
      <c r="B1977" s="3">
        <v>43873</v>
      </c>
      <c r="C1977" s="2" t="s">
        <v>2262</v>
      </c>
      <c r="D1977" s="2" t="s">
        <v>832</v>
      </c>
      <c r="E1977" s="2">
        <v>27</v>
      </c>
      <c r="F1977" s="2" t="s">
        <v>48</v>
      </c>
      <c r="J1977" s="2">
        <v>27</v>
      </c>
      <c r="K1977" s="2" t="b">
        <v>0</v>
      </c>
      <c r="L1977" s="2"/>
      <c r="M1977" s="2"/>
      <c r="N1977" s="4" t="s">
        <v>2259</v>
      </c>
      <c r="O1977" s="4" t="str">
        <f>LEFT(Table2[[#This Row],[Description]],75)</f>
        <v>Excelsior Family Dental L L C</v>
      </c>
      <c r="P1977" s="2" t="s">
        <v>2281</v>
      </c>
    </row>
    <row r="1978" spans="1:16" hidden="1">
      <c r="A1978" s="2">
        <v>202002</v>
      </c>
      <c r="B1978" s="3">
        <v>43874</v>
      </c>
      <c r="C1978" s="2" t="s">
        <v>2262</v>
      </c>
      <c r="D1978" s="2" t="s">
        <v>38</v>
      </c>
      <c r="E1978" s="2">
        <v>13.74</v>
      </c>
      <c r="F1978" s="2" t="s">
        <v>38</v>
      </c>
      <c r="J1978" s="2">
        <v>13.74</v>
      </c>
      <c r="K1978" s="2" t="b">
        <v>0</v>
      </c>
      <c r="L1978" s="2"/>
      <c r="M1978" s="2"/>
      <c r="N1978" s="4" t="s">
        <v>2259</v>
      </c>
      <c r="O1978" s="4" t="str">
        <f>LEFT(Table2[[#This Row],[Description]],75)</f>
        <v>Amazon</v>
      </c>
      <c r="P1978" s="2" t="s">
        <v>2260</v>
      </c>
    </row>
    <row r="1979" spans="1:16" hidden="1">
      <c r="A1979" s="2">
        <v>202002</v>
      </c>
      <c r="B1979" s="3">
        <v>43874</v>
      </c>
      <c r="C1979" s="2" t="s">
        <v>2317</v>
      </c>
      <c r="D1979" s="2" t="s">
        <v>164</v>
      </c>
      <c r="E1979" s="2">
        <v>-42.81</v>
      </c>
      <c r="F1979" s="2" t="s">
        <v>69</v>
      </c>
      <c r="J1979" s="2">
        <v>42.81</v>
      </c>
      <c r="K1979" s="2" t="b">
        <v>0</v>
      </c>
      <c r="L1979" s="2"/>
      <c r="M1979" s="2"/>
      <c r="N1979" s="4" t="s">
        <v>2273</v>
      </c>
      <c r="O1979" s="4" t="str">
        <f>LEFT(Table2[[#This Row],[Description]],75)</f>
        <v>APPLE INC</v>
      </c>
      <c r="P1979" s="2" t="s">
        <v>2405</v>
      </c>
    </row>
    <row r="1980" spans="1:16" hidden="1">
      <c r="A1980" s="2">
        <v>202002</v>
      </c>
      <c r="B1980" s="3">
        <v>43874</v>
      </c>
      <c r="C1980" s="2" t="s">
        <v>2435</v>
      </c>
      <c r="D1980" s="2" t="s">
        <v>164</v>
      </c>
      <c r="E1980" s="2">
        <v>-3.85</v>
      </c>
      <c r="F1980" s="2" t="s">
        <v>69</v>
      </c>
      <c r="J1980" s="2">
        <v>3.85</v>
      </c>
      <c r="K1980" s="2" t="b">
        <v>0</v>
      </c>
      <c r="L1980" s="2"/>
      <c r="M1980" s="2"/>
      <c r="N1980" s="4" t="s">
        <v>2273</v>
      </c>
      <c r="O1980" s="4" t="str">
        <f>LEFT(Table2[[#This Row],[Description]],75)</f>
        <v>APPLE INC</v>
      </c>
      <c r="P1980" s="2" t="s">
        <v>2405</v>
      </c>
    </row>
    <row r="1981" spans="1:16" hidden="1">
      <c r="A1981" s="2">
        <v>202002</v>
      </c>
      <c r="B1981" s="3">
        <v>43874</v>
      </c>
      <c r="C1981" s="2" t="s">
        <v>2460</v>
      </c>
      <c r="D1981" s="2" t="s">
        <v>164</v>
      </c>
      <c r="E1981" s="2">
        <v>-42.81</v>
      </c>
      <c r="F1981" s="2" t="s">
        <v>69</v>
      </c>
      <c r="J1981" s="2">
        <v>42.81</v>
      </c>
      <c r="K1981" s="2" t="b">
        <v>0</v>
      </c>
      <c r="L1981" s="2"/>
      <c r="M1981" s="2"/>
      <c r="N1981" s="4" t="s">
        <v>2273</v>
      </c>
      <c r="O1981" s="4" t="str">
        <f>LEFT(Table2[[#This Row],[Description]],75)</f>
        <v>APPLE INC</v>
      </c>
      <c r="P1981" s="2" t="s">
        <v>2405</v>
      </c>
    </row>
    <row r="1982" spans="1:16" hidden="1">
      <c r="A1982" s="2">
        <v>202002</v>
      </c>
      <c r="B1982" s="3">
        <v>43874</v>
      </c>
      <c r="C1982" s="2" t="s">
        <v>2265</v>
      </c>
      <c r="D1982" s="2" t="s">
        <v>425</v>
      </c>
      <c r="E1982" s="2">
        <v>-261.8</v>
      </c>
      <c r="F1982" s="2" t="s">
        <v>16</v>
      </c>
      <c r="J1982" s="2">
        <v>261.8</v>
      </c>
      <c r="K1982" s="2" t="b">
        <v>0</v>
      </c>
      <c r="L1982" s="2"/>
      <c r="M1982" s="2"/>
      <c r="N1982" s="4" t="s">
        <v>2273</v>
      </c>
      <c r="O1982" s="4" t="str">
        <f>LEFT(Table2[[#This Row],[Description]],75)</f>
        <v>Cargill Incorpor Type</v>
      </c>
      <c r="P1982" s="2" t="s">
        <v>2282</v>
      </c>
    </row>
    <row r="1983" spans="1:16" hidden="1">
      <c r="A1983" s="2">
        <v>202002</v>
      </c>
      <c r="B1983" s="3">
        <v>43874</v>
      </c>
      <c r="C1983" s="2" t="s">
        <v>2262</v>
      </c>
      <c r="D1983" s="2" t="s">
        <v>1014</v>
      </c>
      <c r="E1983" s="2">
        <v>18.21</v>
      </c>
      <c r="F1983" s="2" t="s">
        <v>26</v>
      </c>
      <c r="J1983" s="2">
        <v>18.21</v>
      </c>
      <c r="K1983" s="2" t="b">
        <v>0</v>
      </c>
      <c r="L1983" s="2"/>
      <c r="M1983" s="2"/>
      <c r="N1983" s="4" t="s">
        <v>2259</v>
      </c>
      <c r="O1983" s="4" t="str">
        <f>LEFT(Table2[[#This Row],[Description]],75)</f>
        <v>Jimmy John's</v>
      </c>
      <c r="P1983" s="2" t="s">
        <v>2453</v>
      </c>
    </row>
    <row r="1984" spans="1:16" hidden="1">
      <c r="A1984" s="2">
        <v>202002</v>
      </c>
      <c r="B1984" s="3">
        <v>43874</v>
      </c>
      <c r="C1984" s="2" t="s">
        <v>2265</v>
      </c>
      <c r="D1984" s="2" t="s">
        <v>1062</v>
      </c>
      <c r="E1984" s="2">
        <v>-2597.14</v>
      </c>
      <c r="F1984" s="2" t="s">
        <v>63</v>
      </c>
      <c r="J1984" s="2">
        <v>2597.14</v>
      </c>
      <c r="K1984" s="2" t="b">
        <v>0</v>
      </c>
      <c r="L1984" s="2"/>
      <c r="M1984" s="2"/>
      <c r="N1984" s="4" t="s">
        <v>2273</v>
      </c>
      <c r="O1984" s="4" t="str">
        <f>LEFT(Table2[[#This Row],[Description]],75)</f>
        <v>KAUFMAN HALL TYPE DIRECT DEP ID CO KAUFMAN HALL ACH ECC PPD ACH Trace 88462</v>
      </c>
      <c r="P1984" s="2" t="s">
        <v>2285</v>
      </c>
    </row>
    <row r="1985" spans="1:16" hidden="1">
      <c r="A1985" s="2">
        <v>202002</v>
      </c>
      <c r="B1985" s="3">
        <v>43874</v>
      </c>
      <c r="C1985" s="2" t="s">
        <v>2262</v>
      </c>
      <c r="D1985" s="2" t="s">
        <v>1585</v>
      </c>
      <c r="E1985" s="2">
        <v>10.83</v>
      </c>
      <c r="F1985" s="2" t="s">
        <v>26</v>
      </c>
      <c r="J1985" s="2">
        <v>10.83</v>
      </c>
      <c r="K1985" s="2" t="b">
        <v>0</v>
      </c>
      <c r="L1985" s="2"/>
      <c r="M1985" s="2"/>
      <c r="N1985" s="4" t="s">
        <v>2259</v>
      </c>
      <c r="O1985" s="4" t="str">
        <f>LEFT(Table2[[#This Row],[Description]],75)</f>
        <v>Ridgeview Medical Center</v>
      </c>
      <c r="P1985" s="2" t="s">
        <v>2281</v>
      </c>
    </row>
    <row r="1986" spans="1:16" hidden="1">
      <c r="A1986" s="2">
        <v>202002</v>
      </c>
      <c r="B1986" s="3">
        <v>43874</v>
      </c>
      <c r="C1986" s="2" t="s">
        <v>2262</v>
      </c>
      <c r="D1986" s="2" t="s">
        <v>2151</v>
      </c>
      <c r="E1986" s="2">
        <v>12.03</v>
      </c>
      <c r="F1986" s="2" t="s">
        <v>48</v>
      </c>
      <c r="J1986" s="2">
        <v>12.03</v>
      </c>
      <c r="K1986" s="2" t="b">
        <v>0</v>
      </c>
      <c r="L1986" s="2"/>
      <c r="M1986" s="2"/>
      <c r="N1986" s="4" t="s">
        <v>2259</v>
      </c>
      <c r="O1986" s="4" t="str">
        <f>LEFT(Table2[[#This Row],[Description]],75)</f>
        <v>Western Ob Gyne Ltd</v>
      </c>
      <c r="P1986" s="2" t="s">
        <v>2424</v>
      </c>
    </row>
    <row r="1987" spans="1:16" hidden="1">
      <c r="A1987" s="2">
        <v>202002</v>
      </c>
      <c r="B1987" s="3">
        <v>43875</v>
      </c>
      <c r="C1987" s="2" t="s">
        <v>2447</v>
      </c>
      <c r="D1987" s="2" t="s">
        <v>997</v>
      </c>
      <c r="E1987" s="2">
        <v>-375.37</v>
      </c>
      <c r="F1987" s="2" t="s">
        <v>9</v>
      </c>
      <c r="J1987" s="2">
        <v>375.37</v>
      </c>
      <c r="K1987" s="2" t="b">
        <v>0</v>
      </c>
      <c r="L1987" s="2"/>
      <c r="M1987" s="2"/>
      <c r="N1987" s="4" t="s">
        <v>2273</v>
      </c>
      <c r="O1987" s="4" t="str">
        <f>LEFT(Table2[[#This Row],[Description]],75)</f>
        <v>INTERNET PAYMENT - THANK YOU</v>
      </c>
      <c r="P1987" s="2" t="s">
        <v>2291</v>
      </c>
    </row>
    <row r="1988" spans="1:16" hidden="1">
      <c r="A1988" s="2">
        <v>202002</v>
      </c>
      <c r="B1988" s="3">
        <v>43875</v>
      </c>
      <c r="C1988" s="2" t="s">
        <v>2258</v>
      </c>
      <c r="D1988" s="2" t="s">
        <v>997</v>
      </c>
      <c r="E1988" s="2">
        <v>-375.37</v>
      </c>
      <c r="F1988" s="2" t="s">
        <v>9</v>
      </c>
      <c r="J1988" s="2">
        <v>375.37</v>
      </c>
      <c r="K1988" s="2" t="b">
        <v>0</v>
      </c>
      <c r="L1988" s="2"/>
      <c r="M1988" s="2"/>
      <c r="N1988" s="4" t="s">
        <v>2273</v>
      </c>
      <c r="O1988" s="4" t="str">
        <f>LEFT(Table2[[#This Row],[Description]],75)</f>
        <v>INTERNET PAYMENT - THANK YOU</v>
      </c>
      <c r="P1988" s="2" t="s">
        <v>2291</v>
      </c>
    </row>
    <row r="1989" spans="1:16" hidden="1">
      <c r="A1989" s="2">
        <v>202002</v>
      </c>
      <c r="B1989" s="3">
        <v>43875</v>
      </c>
      <c r="C1989" s="2" t="s">
        <v>2265</v>
      </c>
      <c r="D1989" s="2" t="s">
        <v>131</v>
      </c>
      <c r="E1989" s="2">
        <v>114.39</v>
      </c>
      <c r="F1989" s="2" t="s">
        <v>18</v>
      </c>
      <c r="J1989" s="2">
        <v>114.39</v>
      </c>
      <c r="K1989" s="2" t="b">
        <v>0</v>
      </c>
      <c r="L1989" s="2"/>
      <c r="M1989" s="2"/>
      <c r="N1989" s="4" t="s">
        <v>2259</v>
      </c>
      <c r="O1989" s="4" t="str">
        <f>LEFT(Table2[[#This Row],[Description]],75)</f>
        <v>American Family Insurance</v>
      </c>
      <c r="P1989" s="2" t="s">
        <v>2286</v>
      </c>
    </row>
    <row r="1990" spans="1:16" hidden="1">
      <c r="A1990" s="2">
        <v>202002</v>
      </c>
      <c r="B1990" s="3">
        <v>43875</v>
      </c>
      <c r="C1990" s="2" t="s">
        <v>2317</v>
      </c>
      <c r="D1990" s="2" t="s">
        <v>164</v>
      </c>
      <c r="E1990" s="2">
        <v>42.81</v>
      </c>
      <c r="F1990" s="2" t="s">
        <v>69</v>
      </c>
      <c r="J1990" s="2">
        <v>42.81</v>
      </c>
      <c r="K1990" s="2" t="b">
        <v>0</v>
      </c>
      <c r="L1990" s="2"/>
      <c r="M1990" s="2"/>
      <c r="N1990" s="4" t="s">
        <v>2259</v>
      </c>
      <c r="O1990" s="4" t="str">
        <f>LEFT(Table2[[#This Row],[Description]],75)</f>
        <v>APPLE INC</v>
      </c>
      <c r="P1990" s="2" t="s">
        <v>2405</v>
      </c>
    </row>
    <row r="1991" spans="1:16" hidden="1">
      <c r="A1991" s="2">
        <v>202002</v>
      </c>
      <c r="B1991" s="3">
        <v>43875</v>
      </c>
      <c r="C1991" s="2" t="s">
        <v>2435</v>
      </c>
      <c r="D1991" s="2" t="s">
        <v>164</v>
      </c>
      <c r="E1991" s="2">
        <v>3.85</v>
      </c>
      <c r="F1991" s="2" t="s">
        <v>69</v>
      </c>
      <c r="J1991" s="2">
        <v>3.85</v>
      </c>
      <c r="K1991" s="2" t="b">
        <v>0</v>
      </c>
      <c r="L1991" s="2"/>
      <c r="M1991" s="2"/>
      <c r="N1991" s="4" t="s">
        <v>2259</v>
      </c>
      <c r="O1991" s="4" t="str">
        <f>LEFT(Table2[[#This Row],[Description]],75)</f>
        <v>APPLE INC</v>
      </c>
      <c r="P1991" s="2" t="s">
        <v>2405</v>
      </c>
    </row>
    <row r="1992" spans="1:16" hidden="1">
      <c r="A1992" s="2">
        <v>202002</v>
      </c>
      <c r="B1992" s="3">
        <v>43875</v>
      </c>
      <c r="C1992" s="2" t="s">
        <v>2460</v>
      </c>
      <c r="D1992" s="2" t="s">
        <v>164</v>
      </c>
      <c r="E1992" s="2">
        <v>42.81</v>
      </c>
      <c r="F1992" s="2" t="s">
        <v>69</v>
      </c>
      <c r="J1992" s="2">
        <v>42.81</v>
      </c>
      <c r="K1992" s="2" t="b">
        <v>0</v>
      </c>
      <c r="L1992" s="2"/>
      <c r="M1992" s="2"/>
      <c r="N1992" s="4" t="s">
        <v>2259</v>
      </c>
      <c r="O1992" s="4" t="str">
        <f>LEFT(Table2[[#This Row],[Description]],75)</f>
        <v>APPLE INC</v>
      </c>
      <c r="P1992" s="2" t="s">
        <v>2405</v>
      </c>
    </row>
    <row r="1993" spans="1:16" hidden="1">
      <c r="A1993" s="2">
        <v>202002</v>
      </c>
      <c r="B1993" s="3">
        <v>43875</v>
      </c>
      <c r="C1993" s="2" t="s">
        <v>2317</v>
      </c>
      <c r="D1993" s="2" t="s">
        <v>1037</v>
      </c>
      <c r="E1993" s="2">
        <v>-250</v>
      </c>
      <c r="F1993" s="2" t="s">
        <v>59</v>
      </c>
      <c r="J1993" s="2">
        <v>250</v>
      </c>
      <c r="K1993" s="2" t="b">
        <v>0</v>
      </c>
      <c r="L1993" s="2"/>
      <c r="M1993" s="2"/>
      <c r="N1993" s="4" t="s">
        <v>2273</v>
      </c>
      <c r="O1993" s="4" t="str">
        <f>LEFT(Table2[[#This Row],[Description]],75)</f>
        <v>KAUFMAN HALL</v>
      </c>
      <c r="P1993" s="2" t="s">
        <v>2375</v>
      </c>
    </row>
    <row r="1994" spans="1:16" hidden="1">
      <c r="A1994" s="2">
        <v>202002</v>
      </c>
      <c r="B1994" s="3">
        <v>43875</v>
      </c>
      <c r="C1994" s="2" t="s">
        <v>2460</v>
      </c>
      <c r="D1994" s="2" t="s">
        <v>1037</v>
      </c>
      <c r="E1994" s="2">
        <v>-250</v>
      </c>
      <c r="F1994" s="2" t="s">
        <v>59</v>
      </c>
      <c r="J1994" s="2">
        <v>250</v>
      </c>
      <c r="K1994" s="2" t="b">
        <v>0</v>
      </c>
      <c r="L1994" s="2"/>
      <c r="M1994" s="2"/>
      <c r="N1994" s="4" t="s">
        <v>2273</v>
      </c>
      <c r="O1994" s="4" t="str">
        <f>LEFT(Table2[[#This Row],[Description]],75)</f>
        <v>KAUFMAN HALL</v>
      </c>
      <c r="P1994" s="2" t="s">
        <v>2375</v>
      </c>
    </row>
    <row r="1995" spans="1:16" hidden="1">
      <c r="A1995" s="2">
        <v>202002</v>
      </c>
      <c r="B1995" s="3">
        <v>43875</v>
      </c>
      <c r="C1995" s="2" t="s">
        <v>2262</v>
      </c>
      <c r="D1995" s="2" t="s">
        <v>1170</v>
      </c>
      <c r="E1995" s="2">
        <v>4.28</v>
      </c>
      <c r="F1995" s="2" t="s">
        <v>26</v>
      </c>
      <c r="J1995" s="2">
        <v>4.28</v>
      </c>
      <c r="K1995" s="2" t="b">
        <v>0</v>
      </c>
      <c r="L1995" s="2"/>
      <c r="M1995" s="2"/>
      <c r="N1995" s="4" t="s">
        <v>2259</v>
      </c>
      <c r="O1995" s="4" t="str">
        <f>LEFT(Table2[[#This Row],[Description]],75)</f>
        <v>MACKENTHUNS CARIBOU WACONIA MN 288192193</v>
      </c>
      <c r="P1995" s="2" t="s">
        <v>2281</v>
      </c>
    </row>
    <row r="1996" spans="1:16" hidden="1">
      <c r="A1996" s="2">
        <v>202002</v>
      </c>
      <c r="B1996" s="3">
        <v>43875</v>
      </c>
      <c r="C1996" s="2" t="s">
        <v>2262</v>
      </c>
      <c r="D1996" s="2" t="s">
        <v>1585</v>
      </c>
      <c r="E1996" s="2">
        <v>11.93</v>
      </c>
      <c r="F1996" s="2" t="s">
        <v>26</v>
      </c>
      <c r="J1996" s="2">
        <v>11.93</v>
      </c>
      <c r="K1996" s="2" t="b">
        <v>0</v>
      </c>
      <c r="L1996" s="2"/>
      <c r="M1996" s="2"/>
      <c r="N1996" s="4" t="s">
        <v>2259</v>
      </c>
      <c r="O1996" s="4" t="str">
        <f>LEFT(Table2[[#This Row],[Description]],75)</f>
        <v>Ridgeview Medical Center</v>
      </c>
      <c r="P1996" s="2" t="s">
        <v>2281</v>
      </c>
    </row>
    <row r="1997" spans="1:16" hidden="1">
      <c r="A1997" s="2">
        <v>202002</v>
      </c>
      <c r="B1997" s="3">
        <v>43875</v>
      </c>
      <c r="C1997" s="2" t="s">
        <v>2435</v>
      </c>
      <c r="D1997" s="2" t="s">
        <v>1837</v>
      </c>
      <c r="E1997" s="2">
        <v>-250</v>
      </c>
      <c r="F1997" s="2" t="s">
        <v>57</v>
      </c>
      <c r="J1997" s="2">
        <v>250</v>
      </c>
      <c r="K1997" s="2" t="b">
        <v>0</v>
      </c>
      <c r="L1997" s="2"/>
      <c r="M1997" s="2"/>
      <c r="N1997" s="4" t="s">
        <v>2273</v>
      </c>
      <c r="O1997" s="4" t="str">
        <f>LEFT(Table2[[#This Row],[Description]],75)</f>
        <v>Tfr JPMORGAN CHASE BAN, KAUFMAN HALL</v>
      </c>
      <c r="P1997" s="2" t="s">
        <v>2288</v>
      </c>
    </row>
    <row r="1998" spans="1:16" hidden="1">
      <c r="A1998" s="2">
        <v>202002</v>
      </c>
      <c r="B1998" s="3">
        <v>43877</v>
      </c>
      <c r="C1998" s="2" t="s">
        <v>2262</v>
      </c>
      <c r="D1998" s="2" t="s">
        <v>1440</v>
      </c>
      <c r="E1998" s="2">
        <v>-380.23</v>
      </c>
      <c r="F1998" s="2" t="s">
        <v>9</v>
      </c>
      <c r="J1998" s="2">
        <v>380.23</v>
      </c>
      <c r="K1998" s="2" t="b">
        <v>0</v>
      </c>
      <c r="L1998" s="2"/>
      <c r="M1998" s="2"/>
      <c r="N1998" s="4" t="s">
        <v>2273</v>
      </c>
      <c r="O1998" s="4" t="str">
        <f>LEFT(Table2[[#This Row],[Description]],75)</f>
        <v>PAYMENT THANK YOU 288763274</v>
      </c>
      <c r="P1998" s="2" t="s">
        <v>2391</v>
      </c>
    </row>
    <row r="1999" spans="1:16" hidden="1">
      <c r="A1999" s="2">
        <v>202002</v>
      </c>
      <c r="B1999" s="3">
        <v>43877</v>
      </c>
      <c r="C1999" s="2" t="s">
        <v>2265</v>
      </c>
      <c r="D1999" s="2" t="s">
        <v>2185</v>
      </c>
      <c r="E1999" s="2">
        <v>380.23</v>
      </c>
      <c r="F1999" s="2" t="s">
        <v>9</v>
      </c>
      <c r="J1999" s="2">
        <v>380.23</v>
      </c>
      <c r="K1999" s="2" t="b">
        <v>0</v>
      </c>
      <c r="L1999" s="2"/>
      <c r="M1999" s="2"/>
      <c r="N1999" s="4" t="s">
        <v>2259</v>
      </c>
      <c r="O1999" s="4" t="str">
        <f>LEFT(Table2[[#This Row],[Description]],75)</f>
        <v>Withdrawal Home payment to card 979181 288490360</v>
      </c>
      <c r="P1999" s="2" t="s">
        <v>2349</v>
      </c>
    </row>
    <row r="2000" spans="1:16" hidden="1">
      <c r="A2000" s="2">
        <v>202002</v>
      </c>
      <c r="B2000" s="3">
        <v>43877</v>
      </c>
      <c r="C2000" s="2" t="s">
        <v>2262</v>
      </c>
      <c r="D2000" s="2" t="s">
        <v>38</v>
      </c>
      <c r="E2000" s="2">
        <v>13.84</v>
      </c>
      <c r="F2000" s="2" t="s">
        <v>38</v>
      </c>
      <c r="J2000" s="2">
        <v>13.84</v>
      </c>
      <c r="K2000" s="2" t="b">
        <v>0</v>
      </c>
      <c r="L2000" s="2"/>
      <c r="M2000" s="2"/>
      <c r="N2000" s="4" t="s">
        <v>2259</v>
      </c>
      <c r="O2000" s="4" t="str">
        <f>LEFT(Table2[[#This Row],[Description]],75)</f>
        <v>Amazon</v>
      </c>
      <c r="P2000" s="2" t="s">
        <v>2260</v>
      </c>
    </row>
    <row r="2001" spans="1:16" hidden="1">
      <c r="A2001" s="2">
        <v>202002</v>
      </c>
      <c r="B2001" s="3">
        <v>43877</v>
      </c>
      <c r="C2001" s="2" t="s">
        <v>2262</v>
      </c>
      <c r="D2001" s="2" t="s">
        <v>453</v>
      </c>
      <c r="E2001" s="2">
        <v>18.21</v>
      </c>
      <c r="F2001" s="2" t="s">
        <v>26</v>
      </c>
      <c r="J2001" s="2">
        <v>18.21</v>
      </c>
      <c r="K2001" s="2" t="b">
        <v>0</v>
      </c>
      <c r="L2001" s="2"/>
      <c r="M2001" s="2"/>
      <c r="N2001" s="4" t="s">
        <v>2259</v>
      </c>
      <c r="O2001" s="4" t="str">
        <f>LEFT(Table2[[#This Row],[Description]],75)</f>
        <v>Caribou Coffee</v>
      </c>
      <c r="P2001" s="2" t="s">
        <v>2329</v>
      </c>
    </row>
    <row r="2002" spans="1:16" hidden="1">
      <c r="A2002" s="2">
        <v>202002</v>
      </c>
      <c r="B2002" s="3">
        <v>43877</v>
      </c>
      <c r="C2002" s="2" t="s">
        <v>2262</v>
      </c>
      <c r="D2002" s="2" t="s">
        <v>453</v>
      </c>
      <c r="E2002" s="2">
        <v>6.42</v>
      </c>
      <c r="F2002" s="2" t="s">
        <v>26</v>
      </c>
      <c r="J2002" s="2">
        <v>6.42</v>
      </c>
      <c r="K2002" s="2" t="b">
        <v>0</v>
      </c>
      <c r="L2002" s="2"/>
      <c r="M2002" s="2"/>
      <c r="N2002" s="4" t="s">
        <v>2259</v>
      </c>
      <c r="O2002" s="4" t="str">
        <f>LEFT(Table2[[#This Row],[Description]],75)</f>
        <v>Caribou Coffee</v>
      </c>
      <c r="P2002" s="2" t="s">
        <v>2329</v>
      </c>
    </row>
    <row r="2003" spans="1:16" hidden="1">
      <c r="A2003" s="2">
        <v>202002</v>
      </c>
      <c r="B2003" s="3">
        <v>43877</v>
      </c>
      <c r="C2003" s="2" t="s">
        <v>2262</v>
      </c>
      <c r="D2003" s="2" t="s">
        <v>684</v>
      </c>
      <c r="E2003" s="2">
        <v>13.11</v>
      </c>
      <c r="F2003" s="2" t="s">
        <v>28</v>
      </c>
      <c r="J2003" s="2">
        <v>13.11</v>
      </c>
      <c r="K2003" s="2" t="b">
        <v>0</v>
      </c>
      <c r="L2003" s="2"/>
      <c r="M2003" s="2"/>
      <c r="N2003" s="4" t="s">
        <v>2259</v>
      </c>
      <c r="O2003" s="4" t="str">
        <f>LEFT(Table2[[#This Row],[Description]],75)</f>
        <v>Cub Foods</v>
      </c>
      <c r="P2003" s="2" t="s">
        <v>2370</v>
      </c>
    </row>
    <row r="2004" spans="1:16" hidden="1">
      <c r="A2004" s="2">
        <v>202002</v>
      </c>
      <c r="B2004" s="3">
        <v>43877</v>
      </c>
      <c r="C2004" s="2" t="s">
        <v>2300</v>
      </c>
      <c r="D2004" s="2" t="s">
        <v>1648</v>
      </c>
      <c r="E2004" s="2">
        <v>-300</v>
      </c>
      <c r="F2004" s="2" t="s">
        <v>9</v>
      </c>
      <c r="J2004" s="2">
        <v>300</v>
      </c>
      <c r="K2004" s="2" t="b">
        <v>0</v>
      </c>
      <c r="L2004" s="2"/>
      <c r="M2004" s="2"/>
      <c r="N2004" s="4" t="s">
        <v>2273</v>
      </c>
      <c r="O2004" s="4" t="str">
        <f>LEFT(Table2[[#This Row],[Description]],75)</f>
        <v>Share</v>
      </c>
      <c r="P2004" s="2" t="s">
        <v>2281</v>
      </c>
    </row>
    <row r="2005" spans="1:16" hidden="1">
      <c r="A2005" s="2">
        <v>202002</v>
      </c>
      <c r="B2005" s="3">
        <v>43877</v>
      </c>
      <c r="C2005" s="2" t="s">
        <v>2265</v>
      </c>
      <c r="D2005" s="2" t="s">
        <v>1895</v>
      </c>
      <c r="E2005" s="2">
        <v>300</v>
      </c>
      <c r="F2005" s="2" t="s">
        <v>9</v>
      </c>
      <c r="J2005" s="2">
        <v>300</v>
      </c>
      <c r="K2005" s="2" t="b">
        <v>0</v>
      </c>
      <c r="L2005" s="2"/>
      <c r="M2005" s="2"/>
      <c r="N2005" s="4" t="s">
        <v>2259</v>
      </c>
      <c r="O2005" s="4" t="str">
        <f>LEFT(Table2[[#This Row],[Description]],75)</f>
        <v>To Share 12 288491109</v>
      </c>
      <c r="P2005" s="2" t="s">
        <v>2281</v>
      </c>
    </row>
    <row r="2006" spans="1:16" hidden="1">
      <c r="A2006" s="2">
        <v>202002</v>
      </c>
      <c r="B2006" s="3">
        <v>43878</v>
      </c>
      <c r="C2006" s="2" t="s">
        <v>2447</v>
      </c>
      <c r="D2006" s="2" t="s">
        <v>684</v>
      </c>
      <c r="E2006" s="2">
        <v>25.49</v>
      </c>
      <c r="F2006" s="2" t="s">
        <v>28</v>
      </c>
      <c r="J2006" s="2">
        <v>25.49</v>
      </c>
      <c r="K2006" s="2" t="b">
        <v>0</v>
      </c>
      <c r="L2006" s="2"/>
      <c r="M2006" s="2"/>
      <c r="N2006" s="4" t="s">
        <v>2259</v>
      </c>
      <c r="O2006" s="4" t="str">
        <f>LEFT(Table2[[#This Row],[Description]],75)</f>
        <v>Cub Foods</v>
      </c>
      <c r="P2006" s="2" t="s">
        <v>2370</v>
      </c>
    </row>
    <row r="2007" spans="1:16" hidden="1">
      <c r="A2007" s="2">
        <v>202002</v>
      </c>
      <c r="B2007" s="3">
        <v>43878</v>
      </c>
      <c r="C2007" s="2" t="s">
        <v>2258</v>
      </c>
      <c r="D2007" s="2" t="s">
        <v>684</v>
      </c>
      <c r="E2007" s="2">
        <v>25.49</v>
      </c>
      <c r="F2007" s="2" t="s">
        <v>28</v>
      </c>
      <c r="J2007" s="2">
        <v>25.49</v>
      </c>
      <c r="K2007" s="2" t="b">
        <v>0</v>
      </c>
      <c r="L2007" s="2"/>
      <c r="M2007" s="2"/>
      <c r="N2007" s="4" t="s">
        <v>2259</v>
      </c>
      <c r="O2007" s="4" t="str">
        <f>LEFT(Table2[[#This Row],[Description]],75)</f>
        <v>Cub Foods</v>
      </c>
      <c r="P2007" s="2" t="s">
        <v>2370</v>
      </c>
    </row>
    <row r="2008" spans="1:16" hidden="1">
      <c r="A2008" s="2">
        <v>202002</v>
      </c>
      <c r="B2008" s="3">
        <v>43878</v>
      </c>
      <c r="C2008" s="2" t="s">
        <v>2262</v>
      </c>
      <c r="D2008" s="2" t="s">
        <v>1118</v>
      </c>
      <c r="E2008" s="2">
        <v>42.35</v>
      </c>
      <c r="F2008" s="2" t="s">
        <v>26</v>
      </c>
      <c r="J2008" s="2">
        <v>42.35</v>
      </c>
      <c r="K2008" s="2" t="b">
        <v>0</v>
      </c>
      <c r="L2008" s="2"/>
      <c r="M2008" s="2"/>
      <c r="N2008" s="4" t="s">
        <v>2259</v>
      </c>
      <c r="O2008" s="4" t="str">
        <f>LEFT(Table2[[#This Row],[Description]],75)</f>
        <v>LIFE TIME CAFE 151Q48 CHANHASSEN MN 288763275</v>
      </c>
      <c r="P2008" s="2" t="s">
        <v>2376</v>
      </c>
    </row>
    <row r="2009" spans="1:16" hidden="1">
      <c r="A2009" s="2">
        <v>202002</v>
      </c>
      <c r="B2009" s="3">
        <v>43879</v>
      </c>
      <c r="C2009" s="2" t="s">
        <v>2265</v>
      </c>
      <c r="D2009" s="2" t="s">
        <v>748</v>
      </c>
      <c r="E2009" s="2">
        <v>375.37</v>
      </c>
      <c r="F2009" s="2" t="s">
        <v>9</v>
      </c>
      <c r="J2009" s="2">
        <v>375.37</v>
      </c>
      <c r="K2009" s="2" t="b">
        <v>0</v>
      </c>
      <c r="L2009" s="2"/>
      <c r="M2009" s="2"/>
      <c r="N2009" s="4" t="s">
        <v>2259</v>
      </c>
      <c r="O2009" s="4" t="str">
        <f>LEFT(Table2[[#This Row],[Description]],75)</f>
        <v>DISCOVER TYPE EPAYMENT ID CO DISCOVER ACH ECC WEB ACH Trace 09136 288830712</v>
      </c>
      <c r="P2009" s="2" t="s">
        <v>2293</v>
      </c>
    </row>
    <row r="2010" spans="1:16" hidden="1">
      <c r="A2010" s="2">
        <v>202002</v>
      </c>
      <c r="B2010" s="3">
        <v>43879</v>
      </c>
      <c r="C2010" s="2" t="s">
        <v>2447</v>
      </c>
      <c r="D2010" s="2" t="s">
        <v>38</v>
      </c>
      <c r="E2010" s="2">
        <v>30.01</v>
      </c>
      <c r="F2010" s="2" t="s">
        <v>38</v>
      </c>
      <c r="J2010" s="2">
        <v>30.01</v>
      </c>
      <c r="K2010" s="2" t="b">
        <v>0</v>
      </c>
      <c r="L2010" s="2"/>
      <c r="M2010" s="2"/>
      <c r="N2010" s="4" t="s">
        <v>2259</v>
      </c>
      <c r="O2010" s="4" t="str">
        <f>LEFT(Table2[[#This Row],[Description]],75)</f>
        <v>Amazon</v>
      </c>
      <c r="P2010" s="2" t="s">
        <v>2260</v>
      </c>
    </row>
    <row r="2011" spans="1:16" hidden="1">
      <c r="A2011" s="2">
        <v>202002</v>
      </c>
      <c r="B2011" s="3">
        <v>43879</v>
      </c>
      <c r="C2011" s="2" t="s">
        <v>2258</v>
      </c>
      <c r="D2011" s="2" t="s">
        <v>38</v>
      </c>
      <c r="E2011" s="2">
        <v>30.01</v>
      </c>
      <c r="F2011" s="2" t="s">
        <v>38</v>
      </c>
      <c r="J2011" s="2">
        <v>30.01</v>
      </c>
      <c r="K2011" s="2" t="b">
        <v>0</v>
      </c>
      <c r="L2011" s="2"/>
      <c r="M2011" s="2"/>
      <c r="N2011" s="4" t="s">
        <v>2259</v>
      </c>
      <c r="O2011" s="4" t="str">
        <f>LEFT(Table2[[#This Row],[Description]],75)</f>
        <v>Amazon</v>
      </c>
      <c r="P2011" s="2" t="s">
        <v>2260</v>
      </c>
    </row>
    <row r="2012" spans="1:16" hidden="1">
      <c r="A2012" s="2">
        <v>202002</v>
      </c>
      <c r="B2012" s="3">
        <v>43879</v>
      </c>
      <c r="C2012" s="2" t="s">
        <v>2265</v>
      </c>
      <c r="D2012" s="2" t="s">
        <v>210</v>
      </c>
      <c r="E2012" s="2">
        <v>63.29</v>
      </c>
      <c r="F2012" s="2" t="s">
        <v>21</v>
      </c>
      <c r="J2012" s="2">
        <v>63.29</v>
      </c>
      <c r="K2012" s="2" t="b">
        <v>0</v>
      </c>
      <c r="L2012" s="2"/>
      <c r="M2012" s="2"/>
      <c r="N2012" s="4" t="s">
        <v>2259</v>
      </c>
      <c r="O2012" s="4" t="str">
        <f>LEFT(Table2[[#This Row],[Description]],75)</f>
        <v>Banana Visa TYPE BR EPAY ID CO Banana Visa ACH ECC WEB ACH Trace 69351 2888</v>
      </c>
      <c r="P2012" s="2" t="s">
        <v>2297</v>
      </c>
    </row>
    <row r="2013" spans="1:16" hidden="1">
      <c r="A2013" s="2">
        <v>202002</v>
      </c>
      <c r="B2013" s="3">
        <v>43879</v>
      </c>
      <c r="C2013" s="2" t="s">
        <v>2355</v>
      </c>
      <c r="D2013" s="2" t="s">
        <v>217</v>
      </c>
      <c r="E2013" s="2">
        <v>-0.02</v>
      </c>
      <c r="F2013" s="2" t="s">
        <v>9</v>
      </c>
      <c r="J2013" s="2">
        <v>0.02</v>
      </c>
      <c r="K2013" s="2" t="b">
        <v>0</v>
      </c>
      <c r="L2013" s="2"/>
      <c r="M2013" s="2"/>
      <c r="N2013" s="4" t="s">
        <v>2273</v>
      </c>
      <c r="O2013" s="4" t="str">
        <f>LEFT(Table2[[#This Row],[Description]],75)</f>
        <v>BANK INT 011620-021520 SCHWAB BANK</v>
      </c>
      <c r="P2013" s="2" t="s">
        <v>2281</v>
      </c>
    </row>
    <row r="2014" spans="1:16" hidden="1">
      <c r="A2014" s="2">
        <v>202002</v>
      </c>
      <c r="B2014" s="3">
        <v>43879</v>
      </c>
      <c r="C2014" s="2" t="s">
        <v>2275</v>
      </c>
      <c r="D2014" s="2" t="s">
        <v>217</v>
      </c>
      <c r="E2014" s="2">
        <v>-0.01</v>
      </c>
      <c r="F2014" s="2" t="s">
        <v>9</v>
      </c>
      <c r="J2014" s="2">
        <v>0.01</v>
      </c>
      <c r="K2014" s="2" t="b">
        <v>0</v>
      </c>
      <c r="L2014" s="2"/>
      <c r="M2014" s="2"/>
      <c r="N2014" s="4" t="s">
        <v>2273</v>
      </c>
      <c r="O2014" s="4" t="str">
        <f>LEFT(Table2[[#This Row],[Description]],75)</f>
        <v>BANK INT 011620-021520 SCHWAB BANK</v>
      </c>
      <c r="P2014" s="2" t="s">
        <v>2281</v>
      </c>
    </row>
    <row r="2015" spans="1:16" hidden="1">
      <c r="A2015" s="2">
        <v>202002</v>
      </c>
      <c r="B2015" s="3">
        <v>43879</v>
      </c>
      <c r="C2015" s="2" t="s">
        <v>2277</v>
      </c>
      <c r="D2015" s="2" t="s">
        <v>217</v>
      </c>
      <c r="E2015" s="2">
        <v>-0.03</v>
      </c>
      <c r="F2015" s="2" t="s">
        <v>9</v>
      </c>
      <c r="J2015" s="2">
        <v>0.03</v>
      </c>
      <c r="K2015" s="2" t="b">
        <v>0</v>
      </c>
      <c r="L2015" s="2"/>
      <c r="M2015" s="2"/>
      <c r="N2015" s="4" t="s">
        <v>2273</v>
      </c>
      <c r="O2015" s="4" t="str">
        <f>LEFT(Table2[[#This Row],[Description]],75)</f>
        <v>BANK INT 011620-021520 SCHWAB BANK</v>
      </c>
      <c r="P2015" s="2" t="s">
        <v>2281</v>
      </c>
    </row>
    <row r="2016" spans="1:16" hidden="1">
      <c r="A2016" s="2">
        <v>202002</v>
      </c>
      <c r="B2016" s="3">
        <v>43879</v>
      </c>
      <c r="C2016" s="2" t="s">
        <v>2434</v>
      </c>
      <c r="D2016" s="2" t="s">
        <v>218</v>
      </c>
      <c r="E2016" s="2">
        <v>-0.2</v>
      </c>
      <c r="F2016" s="2" t="s">
        <v>9</v>
      </c>
      <c r="J2016" s="2">
        <v>0.2</v>
      </c>
      <c r="K2016" s="2" t="b">
        <v>0</v>
      </c>
      <c r="L2016" s="2"/>
      <c r="M2016" s="2"/>
      <c r="N2016" s="4" t="s">
        <v>2273</v>
      </c>
      <c r="O2016" s="4" t="str">
        <f>LEFT(Table2[[#This Row],[Description]],75)</f>
        <v>BANK INT 011620-021520 SCHWAB PREMIER BANK</v>
      </c>
      <c r="P2016" s="2" t="s">
        <v>2281</v>
      </c>
    </row>
    <row r="2017" spans="1:16" hidden="1">
      <c r="A2017" s="2">
        <v>202002</v>
      </c>
      <c r="B2017" s="3">
        <v>43879</v>
      </c>
      <c r="C2017" s="2" t="s">
        <v>2435</v>
      </c>
      <c r="D2017" s="2" t="s">
        <v>218</v>
      </c>
      <c r="E2017" s="2">
        <v>-0.23</v>
      </c>
      <c r="F2017" s="2" t="s">
        <v>9</v>
      </c>
      <c r="J2017" s="2">
        <v>0.23</v>
      </c>
      <c r="K2017" s="2" t="b">
        <v>0</v>
      </c>
      <c r="L2017" s="2"/>
      <c r="M2017" s="2"/>
      <c r="N2017" s="4" t="s">
        <v>2273</v>
      </c>
      <c r="O2017" s="4" t="str">
        <f>LEFT(Table2[[#This Row],[Description]],75)</f>
        <v>BANK INT 011620-021520 SCHWAB PREMIER BANK</v>
      </c>
      <c r="P2017" s="2" t="s">
        <v>2281</v>
      </c>
    </row>
    <row r="2018" spans="1:16" hidden="1">
      <c r="A2018" s="2">
        <v>202002</v>
      </c>
      <c r="B2018" s="3">
        <v>43879</v>
      </c>
      <c r="C2018" s="2" t="s">
        <v>2338</v>
      </c>
      <c r="D2018" s="2" t="s">
        <v>403</v>
      </c>
      <c r="E2018" s="2">
        <v>-226.74</v>
      </c>
      <c r="F2018" s="2" t="s">
        <v>9</v>
      </c>
      <c r="J2018" s="2">
        <v>226.74</v>
      </c>
      <c r="K2018" s="2" t="b">
        <v>0</v>
      </c>
      <c r="L2018" s="2"/>
      <c r="M2018" s="2"/>
      <c r="N2018" s="4" t="s">
        <v>2273</v>
      </c>
      <c r="O2018" s="4" t="str">
        <f>LEFT(Table2[[#This Row],[Description]],75)</f>
        <v>Cargill ESOP Stock Fund - Plan Contribution</v>
      </c>
      <c r="P2018" s="2" t="s">
        <v>2281</v>
      </c>
    </row>
    <row r="2019" spans="1:16" hidden="1">
      <c r="A2019" s="2">
        <v>202002</v>
      </c>
      <c r="B2019" s="3">
        <v>43879</v>
      </c>
      <c r="C2019" s="2" t="s">
        <v>2265</v>
      </c>
      <c r="D2019" s="2" t="s">
        <v>1213</v>
      </c>
      <c r="E2019" s="2">
        <v>255</v>
      </c>
      <c r="F2019" s="2" t="s">
        <v>20</v>
      </c>
      <c r="J2019" s="2">
        <v>255</v>
      </c>
      <c r="K2019" s="2" t="b">
        <v>0</v>
      </c>
      <c r="L2019" s="2"/>
      <c r="M2019" s="2"/>
      <c r="N2019" s="4" t="s">
        <v>2259</v>
      </c>
      <c r="O2019" s="4" t="str">
        <f>LEFT(Table2[[#This Row],[Description]],75)</f>
        <v>MHCHILDCARELLC TYPE DUES ID CO MHCHILDCARELLC ACH ECC PPD ACH Trace 23510 2</v>
      </c>
      <c r="P2019" s="2" t="s">
        <v>2462</v>
      </c>
    </row>
    <row r="2020" spans="1:16" hidden="1">
      <c r="A2020" s="2">
        <v>202002</v>
      </c>
      <c r="B2020" s="3">
        <v>43879</v>
      </c>
      <c r="C2020" s="2" t="s">
        <v>2265</v>
      </c>
      <c r="D2020" s="2" t="s">
        <v>1355</v>
      </c>
      <c r="E2020" s="2">
        <v>58.6</v>
      </c>
      <c r="F2020" s="2" t="s">
        <v>21</v>
      </c>
      <c r="J2020" s="2">
        <v>58.6</v>
      </c>
      <c r="K2020" s="2" t="b">
        <v>0</v>
      </c>
      <c r="L2020" s="2"/>
      <c r="M2020" s="2"/>
      <c r="N2020" s="4" t="s">
        <v>2259</v>
      </c>
      <c r="O2020" s="4" t="str">
        <f>LEFT(Table2[[#This Row],[Description]],75)</f>
        <v>Nordstrom</v>
      </c>
      <c r="P2020" s="2" t="s">
        <v>2352</v>
      </c>
    </row>
    <row r="2021" spans="1:16" hidden="1">
      <c r="A2021" s="2">
        <v>202002</v>
      </c>
      <c r="B2021" s="3">
        <v>43879</v>
      </c>
      <c r="C2021" s="2" t="s">
        <v>2262</v>
      </c>
      <c r="D2021" s="2" t="s">
        <v>1508</v>
      </c>
      <c r="E2021" s="2">
        <v>1603.1</v>
      </c>
      <c r="F2021" s="2" t="s">
        <v>21</v>
      </c>
      <c r="J2021" s="2">
        <v>1603.1</v>
      </c>
      <c r="K2021" s="2" t="b">
        <v>0</v>
      </c>
      <c r="L2021" s="2"/>
      <c r="M2021" s="2"/>
      <c r="N2021" s="4" t="s">
        <v>2259</v>
      </c>
      <c r="O2021" s="4" t="str">
        <f>LEFT(Table2[[#This Row],[Description]],75)</f>
        <v>Pottery Barn</v>
      </c>
      <c r="P2021" s="2" t="s">
        <v>2438</v>
      </c>
    </row>
    <row r="2022" spans="1:16" hidden="1">
      <c r="A2022" s="2">
        <v>202002</v>
      </c>
      <c r="B2022" s="3">
        <v>43879</v>
      </c>
      <c r="C2022" s="2" t="s">
        <v>2317</v>
      </c>
      <c r="D2022" s="2" t="s">
        <v>1525</v>
      </c>
      <c r="E2022" s="2">
        <v>-28.75</v>
      </c>
      <c r="F2022" s="2" t="s">
        <v>69</v>
      </c>
      <c r="J2022" s="2">
        <v>28.75</v>
      </c>
      <c r="K2022" s="2" t="b">
        <v>0</v>
      </c>
      <c r="L2022" s="2"/>
      <c r="M2022" s="2"/>
      <c r="N2022" s="4" t="s">
        <v>2273</v>
      </c>
      <c r="O2022" s="4" t="str">
        <f>LEFT(Table2[[#This Row],[Description]],75)</f>
        <v>PROCTER &amp; GAMBLE</v>
      </c>
      <c r="P2022" s="2" t="s">
        <v>2415</v>
      </c>
    </row>
    <row r="2023" spans="1:16" hidden="1">
      <c r="A2023" s="2">
        <v>202002</v>
      </c>
      <c r="B2023" s="3">
        <v>43879</v>
      </c>
      <c r="C2023" s="2" t="s">
        <v>2460</v>
      </c>
      <c r="D2023" s="2" t="s">
        <v>1525</v>
      </c>
      <c r="E2023" s="2">
        <v>-28.75</v>
      </c>
      <c r="F2023" s="2" t="s">
        <v>69</v>
      </c>
      <c r="J2023" s="2">
        <v>28.75</v>
      </c>
      <c r="K2023" s="2" t="b">
        <v>0</v>
      </c>
      <c r="L2023" s="2"/>
      <c r="M2023" s="2"/>
      <c r="N2023" s="4" t="s">
        <v>2273</v>
      </c>
      <c r="O2023" s="4" t="str">
        <f>LEFT(Table2[[#This Row],[Description]],75)</f>
        <v>PROCTER &amp; GAMBLE</v>
      </c>
      <c r="P2023" s="2" t="s">
        <v>2415</v>
      </c>
    </row>
    <row r="2024" spans="1:16" hidden="1">
      <c r="A2024" s="2">
        <v>202002</v>
      </c>
      <c r="B2024" s="3">
        <v>43880</v>
      </c>
      <c r="C2024" s="2" t="s">
        <v>2262</v>
      </c>
      <c r="D2024" s="2" t="s">
        <v>1441</v>
      </c>
      <c r="E2024" s="2">
        <v>-1697.03</v>
      </c>
      <c r="F2024" s="2" t="s">
        <v>9</v>
      </c>
      <c r="J2024" s="2">
        <v>1697.03</v>
      </c>
      <c r="K2024" s="2" t="b">
        <v>0</v>
      </c>
      <c r="L2024" s="2"/>
      <c r="M2024" s="2"/>
      <c r="N2024" s="4" t="s">
        <v>2273</v>
      </c>
      <c r="O2024" s="4" t="str">
        <f>LEFT(Table2[[#This Row],[Description]],75)</f>
        <v>PAYMENT THANK YOU 289731430</v>
      </c>
      <c r="P2024" s="2" t="s">
        <v>2391</v>
      </c>
    </row>
    <row r="2025" spans="1:16" hidden="1">
      <c r="A2025" s="2">
        <v>202002</v>
      </c>
      <c r="B2025" s="3">
        <v>43880</v>
      </c>
      <c r="C2025" s="2" t="s">
        <v>2265</v>
      </c>
      <c r="D2025" s="2" t="s">
        <v>2186</v>
      </c>
      <c r="E2025" s="2">
        <v>1697.03</v>
      </c>
      <c r="F2025" s="2" t="s">
        <v>9</v>
      </c>
      <c r="J2025" s="2">
        <v>1697.03</v>
      </c>
      <c r="K2025" s="2" t="b">
        <v>0</v>
      </c>
      <c r="L2025" s="2"/>
      <c r="M2025" s="2"/>
      <c r="N2025" s="4" t="s">
        <v>2259</v>
      </c>
      <c r="O2025" s="4" t="str">
        <f>LEFT(Table2[[#This Row],[Description]],75)</f>
        <v>Withdrawal Home payment to card 979181 289145309</v>
      </c>
      <c r="P2025" s="2" t="s">
        <v>2349</v>
      </c>
    </row>
    <row r="2026" spans="1:16" hidden="1">
      <c r="A2026" s="2">
        <v>202002</v>
      </c>
      <c r="B2026" s="3">
        <v>43880</v>
      </c>
      <c r="C2026" s="2" t="s">
        <v>2262</v>
      </c>
      <c r="D2026" s="2" t="s">
        <v>38</v>
      </c>
      <c r="E2026" s="2">
        <v>30.72</v>
      </c>
      <c r="F2026" s="2" t="s">
        <v>38</v>
      </c>
      <c r="J2026" s="2">
        <v>30.72</v>
      </c>
      <c r="K2026" s="2" t="b">
        <v>0</v>
      </c>
      <c r="L2026" s="2"/>
      <c r="M2026" s="2"/>
      <c r="N2026" s="4" t="s">
        <v>2259</v>
      </c>
      <c r="O2026" s="4" t="str">
        <f>LEFT(Table2[[#This Row],[Description]],75)</f>
        <v>Amazon</v>
      </c>
      <c r="P2026" s="2" t="s">
        <v>2260</v>
      </c>
    </row>
    <row r="2027" spans="1:16" hidden="1">
      <c r="A2027" s="2">
        <v>202002</v>
      </c>
      <c r="B2027" s="3">
        <v>43880</v>
      </c>
      <c r="C2027" s="2" t="s">
        <v>2262</v>
      </c>
      <c r="D2027" s="2" t="s">
        <v>286</v>
      </c>
      <c r="E2027" s="2">
        <v>171.07</v>
      </c>
      <c r="F2027" s="2" t="s">
        <v>41</v>
      </c>
      <c r="J2027" s="2">
        <v>171.07</v>
      </c>
      <c r="K2027" s="2" t="b">
        <v>0</v>
      </c>
      <c r="L2027" s="2"/>
      <c r="M2027" s="2"/>
      <c r="N2027" s="4" t="s">
        <v>2259</v>
      </c>
      <c r="O2027" s="4" t="str">
        <f>LEFT(Table2[[#This Row],[Description]],75)</f>
        <v>BEST CLEANERS EX 5 EXCELSIOR MN 289386767</v>
      </c>
      <c r="P2027" s="2" t="s">
        <v>2406</v>
      </c>
    </row>
    <row r="2028" spans="1:16" hidden="1">
      <c r="A2028" s="2">
        <v>202002</v>
      </c>
      <c r="B2028" s="3">
        <v>43880</v>
      </c>
      <c r="C2028" s="2" t="s">
        <v>2265</v>
      </c>
      <c r="D2028" s="2" t="s">
        <v>396</v>
      </c>
      <c r="E2028" s="2">
        <v>-1999.22</v>
      </c>
      <c r="F2028" s="2" t="s">
        <v>65</v>
      </c>
      <c r="J2028" s="2">
        <v>1999.22</v>
      </c>
      <c r="K2028" s="2" t="b">
        <v>0</v>
      </c>
      <c r="L2028" s="2"/>
      <c r="M2028" s="2"/>
      <c r="N2028" s="4" t="s">
        <v>2273</v>
      </c>
      <c r="O2028" s="4" t="str">
        <f>LEFT(Table2[[#This Row],[Description]],75)</f>
        <v xml:space="preserve">CARGILL COCOA TYPE DIR DEP ID CO CARGILL COCOA ACH ECC PPD ACH Trace 92044 </v>
      </c>
      <c r="P2028" s="2" t="s">
        <v>2284</v>
      </c>
    </row>
    <row r="2029" spans="1:16" hidden="1">
      <c r="A2029" s="2">
        <v>202002</v>
      </c>
      <c r="B2029" s="3">
        <v>43880</v>
      </c>
      <c r="C2029" s="2" t="s">
        <v>2262</v>
      </c>
      <c r="D2029" s="2" t="s">
        <v>947</v>
      </c>
      <c r="E2029" s="2">
        <v>110.88</v>
      </c>
      <c r="F2029" s="2" t="s">
        <v>2</v>
      </c>
      <c r="J2029" s="2">
        <v>110.88</v>
      </c>
      <c r="K2029" s="2" t="b">
        <v>0</v>
      </c>
      <c r="L2029" s="2"/>
      <c r="M2029" s="2"/>
      <c r="N2029" s="4" t="s">
        <v>2259</v>
      </c>
      <c r="O2029" s="4" t="str">
        <f>LEFT(Table2[[#This Row],[Description]],75)</f>
        <v>Home Depot</v>
      </c>
      <c r="P2029" s="2" t="s">
        <v>2396</v>
      </c>
    </row>
    <row r="2030" spans="1:16" hidden="1">
      <c r="A2030" s="2">
        <v>202002</v>
      </c>
      <c r="B2030" s="3">
        <v>43880</v>
      </c>
      <c r="C2030" s="2" t="s">
        <v>2262</v>
      </c>
      <c r="D2030" s="2" t="s">
        <v>998</v>
      </c>
      <c r="E2030" s="2">
        <v>110</v>
      </c>
      <c r="F2030" s="2" t="s">
        <v>29</v>
      </c>
      <c r="J2030" s="2">
        <v>110</v>
      </c>
      <c r="K2030" s="2" t="b">
        <v>0</v>
      </c>
      <c r="L2030" s="2"/>
      <c r="M2030" s="2"/>
      <c r="N2030" s="4" t="s">
        <v>2259</v>
      </c>
      <c r="O2030" s="4" t="str">
        <f>LEFT(Table2[[#This Row],[Description]],75)</f>
        <v>Intuit TurboTax</v>
      </c>
      <c r="P2030" s="2" t="s">
        <v>2281</v>
      </c>
    </row>
    <row r="2031" spans="1:16" hidden="1">
      <c r="A2031" s="2">
        <v>202002</v>
      </c>
      <c r="B2031" s="3">
        <v>43880</v>
      </c>
      <c r="C2031" s="2" t="s">
        <v>2265</v>
      </c>
      <c r="D2031" s="2" t="s">
        <v>1319</v>
      </c>
      <c r="E2031" s="2">
        <v>467</v>
      </c>
      <c r="F2031" s="2" t="s">
        <v>9</v>
      </c>
      <c r="J2031" s="2">
        <v>467</v>
      </c>
      <c r="K2031" s="2" t="b">
        <v>0</v>
      </c>
      <c r="L2031" s="2"/>
      <c r="M2031" s="2"/>
      <c r="N2031" s="4" t="s">
        <v>2259</v>
      </c>
      <c r="O2031" s="4" t="str">
        <f>LEFT(Table2[[#This Row],[Description]],75)</f>
        <v>MN State Tax</v>
      </c>
      <c r="P2031" s="2" t="s">
        <v>2281</v>
      </c>
    </row>
    <row r="2032" spans="1:16" hidden="1">
      <c r="A2032" s="2">
        <v>202002</v>
      </c>
      <c r="B2032" s="3">
        <v>43880</v>
      </c>
      <c r="C2032" s="2" t="s">
        <v>2317</v>
      </c>
      <c r="D2032" s="2" t="s">
        <v>1525</v>
      </c>
      <c r="E2032" s="2">
        <v>28.75</v>
      </c>
      <c r="F2032" s="2" t="s">
        <v>69</v>
      </c>
      <c r="J2032" s="2">
        <v>28.75</v>
      </c>
      <c r="K2032" s="2" t="b">
        <v>0</v>
      </c>
      <c r="L2032" s="2"/>
      <c r="M2032" s="2"/>
      <c r="N2032" s="4" t="s">
        <v>2259</v>
      </c>
      <c r="O2032" s="4" t="str">
        <f>LEFT(Table2[[#This Row],[Description]],75)</f>
        <v>PROCTER &amp; GAMBLE</v>
      </c>
      <c r="P2032" s="2" t="s">
        <v>2415</v>
      </c>
    </row>
    <row r="2033" spans="1:16" hidden="1">
      <c r="A2033" s="2">
        <v>202002</v>
      </c>
      <c r="B2033" s="3">
        <v>43880</v>
      </c>
      <c r="C2033" s="2" t="s">
        <v>2460</v>
      </c>
      <c r="D2033" s="2" t="s">
        <v>1525</v>
      </c>
      <c r="E2033" s="2">
        <v>28.75</v>
      </c>
      <c r="F2033" s="2" t="s">
        <v>69</v>
      </c>
      <c r="J2033" s="2">
        <v>28.75</v>
      </c>
      <c r="K2033" s="2" t="b">
        <v>0</v>
      </c>
      <c r="L2033" s="2"/>
      <c r="M2033" s="2"/>
      <c r="N2033" s="4" t="s">
        <v>2259</v>
      </c>
      <c r="O2033" s="4" t="str">
        <f>LEFT(Table2[[#This Row],[Description]],75)</f>
        <v>PROCTER &amp; GAMBLE</v>
      </c>
      <c r="P2033" s="2" t="s">
        <v>2415</v>
      </c>
    </row>
    <row r="2034" spans="1:16" hidden="1">
      <c r="A2034" s="2">
        <v>202002</v>
      </c>
      <c r="B2034" s="3">
        <v>43880</v>
      </c>
      <c r="C2034" s="2" t="s">
        <v>2262</v>
      </c>
      <c r="D2034" s="2" t="s">
        <v>1707</v>
      </c>
      <c r="E2034" s="2">
        <v>29.74</v>
      </c>
      <c r="F2034" s="2" t="s">
        <v>23</v>
      </c>
      <c r="J2034" s="2">
        <v>29.74</v>
      </c>
      <c r="K2034" s="2" t="b">
        <v>0</v>
      </c>
      <c r="L2034" s="2"/>
      <c r="M2034" s="2"/>
      <c r="N2034" s="4" t="s">
        <v>2259</v>
      </c>
      <c r="O2034" s="4" t="str">
        <f>LEFT(Table2[[#This Row],[Description]],75)</f>
        <v>Speedway</v>
      </c>
      <c r="P2034" s="2" t="s">
        <v>2381</v>
      </c>
    </row>
    <row r="2035" spans="1:16" hidden="1">
      <c r="A2035" s="2">
        <v>202002</v>
      </c>
      <c r="B2035" s="3">
        <v>43880</v>
      </c>
      <c r="C2035" s="2" t="s">
        <v>2317</v>
      </c>
      <c r="D2035" s="2" t="s">
        <v>2100</v>
      </c>
      <c r="E2035" s="2">
        <v>-18.5</v>
      </c>
      <c r="F2035" s="2" t="s">
        <v>9</v>
      </c>
      <c r="J2035" s="2">
        <v>18.5</v>
      </c>
      <c r="K2035" s="2" t="b">
        <v>0</v>
      </c>
      <c r="L2035" s="2"/>
      <c r="M2035" s="2"/>
      <c r="N2035" s="4" t="s">
        <v>2273</v>
      </c>
      <c r="O2035" s="4" t="str">
        <f>LEFT(Table2[[#This Row],[Description]],75)</f>
        <v>USD PARTNERS LP LP</v>
      </c>
      <c r="P2035" s="2" t="s">
        <v>2385</v>
      </c>
    </row>
    <row r="2036" spans="1:16" hidden="1">
      <c r="A2036" s="2">
        <v>202002</v>
      </c>
      <c r="B2036" s="3">
        <v>43880</v>
      </c>
      <c r="C2036" s="2" t="s">
        <v>2460</v>
      </c>
      <c r="D2036" s="2" t="s">
        <v>2100</v>
      </c>
      <c r="E2036" s="2">
        <v>-18.5</v>
      </c>
      <c r="F2036" s="2" t="s">
        <v>9</v>
      </c>
      <c r="J2036" s="2">
        <v>18.5</v>
      </c>
      <c r="K2036" s="2" t="b">
        <v>0</v>
      </c>
      <c r="L2036" s="2"/>
      <c r="M2036" s="2"/>
      <c r="N2036" s="4" t="s">
        <v>2273</v>
      </c>
      <c r="O2036" s="4" t="str">
        <f>LEFT(Table2[[#This Row],[Description]],75)</f>
        <v>USD PARTNERS LP LP</v>
      </c>
      <c r="P2036" s="2" t="s">
        <v>2281</v>
      </c>
    </row>
    <row r="2037" spans="1:16" hidden="1">
      <c r="A2037" s="2">
        <v>202002</v>
      </c>
      <c r="B2037" s="3">
        <v>43880</v>
      </c>
      <c r="C2037" s="2" t="s">
        <v>2262</v>
      </c>
      <c r="D2037" s="2" t="s">
        <v>2135</v>
      </c>
      <c r="E2037" s="2">
        <v>32.770000000000003</v>
      </c>
      <c r="F2037" s="2" t="s">
        <v>21</v>
      </c>
      <c r="J2037" s="2">
        <v>32.770000000000003</v>
      </c>
      <c r="K2037" s="2" t="b">
        <v>0</v>
      </c>
      <c r="L2037" s="2"/>
      <c r="M2037" s="2"/>
      <c r="N2037" s="4" t="s">
        <v>2259</v>
      </c>
      <c r="O2037" s="4" t="str">
        <f>LEFT(Table2[[#This Row],[Description]],75)</f>
        <v>Walgreens</v>
      </c>
      <c r="P2037" s="2" t="s">
        <v>2389</v>
      </c>
    </row>
    <row r="2038" spans="1:16" hidden="1">
      <c r="A2038" s="2">
        <v>202002</v>
      </c>
      <c r="B2038" s="3">
        <v>43881</v>
      </c>
      <c r="C2038" s="2" t="s">
        <v>2262</v>
      </c>
      <c r="D2038" s="2" t="s">
        <v>2218</v>
      </c>
      <c r="E2038" s="2">
        <v>26.25</v>
      </c>
      <c r="F2038" s="2" t="s">
        <v>29</v>
      </c>
      <c r="J2038" s="2">
        <v>26.25</v>
      </c>
      <c r="K2038" s="2" t="b">
        <v>0</v>
      </c>
      <c r="L2038" s="2"/>
      <c r="M2038" s="2"/>
      <c r="N2038" s="4" t="s">
        <v>2259</v>
      </c>
      <c r="O2038" s="4" t="str">
        <f>LEFT(Table2[[#This Row],[Description]],75)</f>
        <v>WPYSupport for the Ransb8668191294 CA 289731431</v>
      </c>
      <c r="P2038" s="2" t="s">
        <v>2281</v>
      </c>
    </row>
    <row r="2039" spans="1:16" hidden="1">
      <c r="A2039" s="2">
        <v>202002</v>
      </c>
      <c r="B2039" s="3">
        <v>43882</v>
      </c>
      <c r="C2039" s="2" t="s">
        <v>2317</v>
      </c>
      <c r="D2039" s="2" t="s">
        <v>354</v>
      </c>
      <c r="E2039" s="2">
        <v>-200</v>
      </c>
      <c r="F2039" s="2" t="s">
        <v>57</v>
      </c>
      <c r="J2039" s="2">
        <v>200</v>
      </c>
      <c r="K2039" s="2" t="b">
        <v>0</v>
      </c>
      <c r="L2039" s="2"/>
      <c r="M2039" s="2"/>
      <c r="N2039" s="4" t="s">
        <v>2273</v>
      </c>
      <c r="O2039" s="4" t="str">
        <f>LEFT(Table2[[#This Row],[Description]],75)</f>
        <v>CARGILL COCOA &amp;</v>
      </c>
      <c r="P2039" s="2" t="s">
        <v>2354</v>
      </c>
    </row>
    <row r="2040" spans="1:16" hidden="1">
      <c r="A2040" s="2">
        <v>202002</v>
      </c>
      <c r="B2040" s="3">
        <v>43882</v>
      </c>
      <c r="C2040" s="2" t="s">
        <v>2460</v>
      </c>
      <c r="D2040" s="2" t="s">
        <v>354</v>
      </c>
      <c r="E2040" s="2">
        <v>-200</v>
      </c>
      <c r="F2040" s="2" t="s">
        <v>57</v>
      </c>
      <c r="J2040" s="2">
        <v>200</v>
      </c>
      <c r="K2040" s="2" t="b">
        <v>0</v>
      </c>
      <c r="L2040" s="2"/>
      <c r="M2040" s="2"/>
      <c r="N2040" s="4" t="s">
        <v>2273</v>
      </c>
      <c r="O2040" s="4" t="str">
        <f>LEFT(Table2[[#This Row],[Description]],75)</f>
        <v>CARGILL COCOA &amp;</v>
      </c>
      <c r="P2040" s="2" t="s">
        <v>2354</v>
      </c>
    </row>
    <row r="2041" spans="1:16" hidden="1">
      <c r="A2041" s="2">
        <v>202002</v>
      </c>
      <c r="B2041" s="3">
        <v>43882</v>
      </c>
      <c r="C2041" s="2" t="s">
        <v>2265</v>
      </c>
      <c r="D2041" s="2" t="s">
        <v>557</v>
      </c>
      <c r="E2041" s="2">
        <v>73.19</v>
      </c>
      <c r="F2041" s="2" t="s">
        <v>7</v>
      </c>
      <c r="J2041" s="2">
        <v>73.19</v>
      </c>
      <c r="K2041" s="2" t="b">
        <v>0</v>
      </c>
      <c r="L2041" s="2"/>
      <c r="M2041" s="2"/>
      <c r="N2041" s="4" t="s">
        <v>2259</v>
      </c>
      <c r="O2041" s="4" t="str">
        <f>LEFT(Table2[[#This Row],[Description]],75)</f>
        <v>City of Chanhassen</v>
      </c>
      <c r="P2041" s="2" t="s">
        <v>2298</v>
      </c>
    </row>
    <row r="2042" spans="1:16" hidden="1">
      <c r="A2042" s="2">
        <v>202002</v>
      </c>
      <c r="B2042" s="3">
        <v>43882</v>
      </c>
      <c r="C2042" s="2" t="s">
        <v>2262</v>
      </c>
      <c r="D2042" s="2" t="s">
        <v>947</v>
      </c>
      <c r="E2042" s="2">
        <v>96.61</v>
      </c>
      <c r="F2042" s="2" t="s">
        <v>2</v>
      </c>
      <c r="J2042" s="2">
        <v>96.61</v>
      </c>
      <c r="K2042" s="2" t="b">
        <v>0</v>
      </c>
      <c r="L2042" s="2"/>
      <c r="M2042" s="2"/>
      <c r="N2042" s="4" t="s">
        <v>2259</v>
      </c>
      <c r="O2042" s="4" t="str">
        <f>LEFT(Table2[[#This Row],[Description]],75)</f>
        <v>Home Depot</v>
      </c>
      <c r="P2042" s="2" t="s">
        <v>2396</v>
      </c>
    </row>
    <row r="2043" spans="1:16" hidden="1">
      <c r="A2043" s="2">
        <v>202002</v>
      </c>
      <c r="B2043" s="3">
        <v>43882</v>
      </c>
      <c r="C2043" s="2" t="s">
        <v>2447</v>
      </c>
      <c r="D2043" s="2" t="s">
        <v>1107</v>
      </c>
      <c r="E2043" s="2">
        <v>5.57</v>
      </c>
      <c r="F2043" s="2" t="s">
        <v>26</v>
      </c>
      <c r="J2043" s="2">
        <v>5.57</v>
      </c>
      <c r="K2043" s="2" t="b">
        <v>0</v>
      </c>
      <c r="L2043" s="2"/>
      <c r="M2043" s="2"/>
      <c r="N2043" s="4" t="s">
        <v>2259</v>
      </c>
      <c r="O2043" s="4" t="str">
        <f>LEFT(Table2[[#This Row],[Description]],75)</f>
        <v>LIFE TIME CAFE #172 MINNEAPOLIS MN02145B</v>
      </c>
      <c r="P2043" s="2" t="s">
        <v>2376</v>
      </c>
    </row>
    <row r="2044" spans="1:16" hidden="1">
      <c r="A2044" s="2">
        <v>202002</v>
      </c>
      <c r="B2044" s="3">
        <v>43882</v>
      </c>
      <c r="C2044" s="2" t="s">
        <v>2258</v>
      </c>
      <c r="D2044" s="2" t="s">
        <v>1107</v>
      </c>
      <c r="E2044" s="2">
        <v>5.57</v>
      </c>
      <c r="F2044" s="2" t="s">
        <v>26</v>
      </c>
      <c r="J2044" s="2">
        <v>5.57</v>
      </c>
      <c r="K2044" s="2" t="b">
        <v>0</v>
      </c>
      <c r="L2044" s="2"/>
      <c r="M2044" s="2"/>
      <c r="N2044" s="4" t="s">
        <v>2259</v>
      </c>
      <c r="O2044" s="4" t="str">
        <f>LEFT(Table2[[#This Row],[Description]],75)</f>
        <v>LIFE TIME CAFE #172 MINNEAPOLIS MN02145B</v>
      </c>
      <c r="P2044" s="2" t="s">
        <v>2376</v>
      </c>
    </row>
    <row r="2045" spans="1:16" hidden="1">
      <c r="A2045" s="2">
        <v>202002</v>
      </c>
      <c r="B2045" s="3">
        <v>43882</v>
      </c>
      <c r="C2045" s="2" t="s">
        <v>2317</v>
      </c>
      <c r="D2045" s="2" t="s">
        <v>1774</v>
      </c>
      <c r="E2045" s="2">
        <v>-18.7</v>
      </c>
      <c r="F2045" s="2" t="s">
        <v>26</v>
      </c>
      <c r="J2045" s="2">
        <v>18.7</v>
      </c>
      <c r="K2045" s="2" t="b">
        <v>0</v>
      </c>
      <c r="L2045" s="2"/>
      <c r="M2045" s="2"/>
      <c r="N2045" s="4" t="s">
        <v>2273</v>
      </c>
      <c r="O2045" s="4" t="str">
        <f>LEFT(Table2[[#This Row],[Description]],75)</f>
        <v>STARBUCKS CORP</v>
      </c>
      <c r="P2045" s="2" t="s">
        <v>2416</v>
      </c>
    </row>
    <row r="2046" spans="1:16" hidden="1">
      <c r="A2046" s="2">
        <v>202002</v>
      </c>
      <c r="B2046" s="3">
        <v>43882</v>
      </c>
      <c r="C2046" s="2" t="s">
        <v>2460</v>
      </c>
      <c r="D2046" s="2" t="s">
        <v>1774</v>
      </c>
      <c r="E2046" s="2">
        <v>-18.7</v>
      </c>
      <c r="F2046" s="2" t="s">
        <v>69</v>
      </c>
      <c r="J2046" s="2">
        <v>18.7</v>
      </c>
      <c r="K2046" s="2" t="b">
        <v>0</v>
      </c>
      <c r="L2046" s="2"/>
      <c r="M2046" s="2"/>
      <c r="N2046" s="4" t="s">
        <v>2273</v>
      </c>
      <c r="O2046" s="4" t="str">
        <f>LEFT(Table2[[#This Row],[Description]],75)</f>
        <v>STARBUCKS CORP</v>
      </c>
      <c r="P2046" s="2" t="s">
        <v>2463</v>
      </c>
    </row>
    <row r="2047" spans="1:16" hidden="1">
      <c r="A2047" s="2">
        <v>202002</v>
      </c>
      <c r="B2047" s="3">
        <v>43882</v>
      </c>
      <c r="C2047" s="2" t="s">
        <v>2338</v>
      </c>
      <c r="D2047" s="2" t="s">
        <v>1820</v>
      </c>
      <c r="E2047" s="2">
        <v>-732.69</v>
      </c>
      <c r="F2047" s="2" t="s">
        <v>54</v>
      </c>
      <c r="J2047" s="2">
        <v>732.69</v>
      </c>
      <c r="K2047" s="2" t="b">
        <v>0</v>
      </c>
      <c r="L2047" s="2"/>
      <c r="M2047" s="2"/>
      <c r="N2047" s="4" t="s">
        <v>2273</v>
      </c>
      <c r="O2047" s="4" t="str">
        <f>LEFT(Table2[[#This Row],[Description]],75)</f>
        <v>Target Retire 2055 Tr P - Plan Contribution</v>
      </c>
      <c r="P2047" s="2" t="s">
        <v>2386</v>
      </c>
    </row>
    <row r="2048" spans="1:16" hidden="1">
      <c r="A2048" s="2">
        <v>202002</v>
      </c>
      <c r="B2048" s="3">
        <v>43882</v>
      </c>
      <c r="C2048" s="2" t="s">
        <v>2434</v>
      </c>
      <c r="D2048" s="2" t="s">
        <v>1834</v>
      </c>
      <c r="E2048" s="2">
        <v>-231</v>
      </c>
      <c r="F2048" s="2" t="s">
        <v>57</v>
      </c>
      <c r="J2048" s="2">
        <v>231</v>
      </c>
      <c r="K2048" s="2" t="b">
        <v>0</v>
      </c>
      <c r="L2048" s="2"/>
      <c r="M2048" s="2"/>
      <c r="N2048" s="4" t="s">
        <v>2273</v>
      </c>
      <c r="O2048" s="4" t="str">
        <f>LEFT(Table2[[#This Row],[Description]],75)</f>
        <v>Tfr JPMORGAN CHASE BAN, CARGILL COCOA &amp;</v>
      </c>
      <c r="P2048" s="2" t="s">
        <v>2356</v>
      </c>
    </row>
    <row r="2049" spans="1:16" hidden="1">
      <c r="A2049" s="2">
        <v>202002</v>
      </c>
      <c r="B2049" s="3">
        <v>43883</v>
      </c>
      <c r="C2049" s="2" t="s">
        <v>2262</v>
      </c>
      <c r="D2049" s="2" t="s">
        <v>1442</v>
      </c>
      <c r="E2049" s="2">
        <v>-608.04</v>
      </c>
      <c r="F2049" s="2" t="s">
        <v>9</v>
      </c>
      <c r="J2049" s="2">
        <v>608.04</v>
      </c>
      <c r="K2049" s="2" t="b">
        <v>0</v>
      </c>
      <c r="L2049" s="2"/>
      <c r="M2049" s="2"/>
      <c r="N2049" s="4" t="s">
        <v>2273</v>
      </c>
      <c r="O2049" s="4" t="str">
        <f>LEFT(Table2[[#This Row],[Description]],75)</f>
        <v>PAYMENT THANK YOU 290461314</v>
      </c>
      <c r="P2049" s="2" t="s">
        <v>2391</v>
      </c>
    </row>
    <row r="2050" spans="1:16" hidden="1">
      <c r="A2050" s="2">
        <v>202002</v>
      </c>
      <c r="B2050" s="3">
        <v>43883</v>
      </c>
      <c r="C2050" s="2" t="s">
        <v>2265</v>
      </c>
      <c r="D2050" s="2" t="s">
        <v>2187</v>
      </c>
      <c r="E2050" s="2">
        <v>608.04</v>
      </c>
      <c r="F2050" s="2" t="s">
        <v>9</v>
      </c>
      <c r="J2050" s="2">
        <v>608.04</v>
      </c>
      <c r="K2050" s="2" t="b">
        <v>0</v>
      </c>
      <c r="L2050" s="2"/>
      <c r="M2050" s="2"/>
      <c r="N2050" s="4" t="s">
        <v>2259</v>
      </c>
      <c r="O2050" s="4" t="str">
        <f>LEFT(Table2[[#This Row],[Description]],75)</f>
        <v>Withdrawal Home payment to card 979181 290185819</v>
      </c>
      <c r="P2050" s="2" t="s">
        <v>2349</v>
      </c>
    </row>
    <row r="2051" spans="1:16" hidden="1">
      <c r="A2051" s="2">
        <v>202002</v>
      </c>
      <c r="B2051" s="3">
        <v>43883</v>
      </c>
      <c r="C2051" s="2" t="s">
        <v>2447</v>
      </c>
      <c r="D2051" s="2" t="s">
        <v>103</v>
      </c>
      <c r="E2051" s="2">
        <v>196.9</v>
      </c>
      <c r="F2051" s="2" t="s">
        <v>28</v>
      </c>
      <c r="J2051" s="2">
        <v>196.9</v>
      </c>
      <c r="K2051" s="2" t="b">
        <v>0</v>
      </c>
      <c r="L2051" s="2"/>
      <c r="M2051" s="2"/>
      <c r="N2051" s="4" t="s">
        <v>2259</v>
      </c>
      <c r="O2051" s="4" t="str">
        <f>LEFT(Table2[[#This Row],[Description]],75)</f>
        <v>Advocare</v>
      </c>
      <c r="P2051" s="2" t="s">
        <v>2292</v>
      </c>
    </row>
    <row r="2052" spans="1:16" hidden="1">
      <c r="A2052" s="2">
        <v>202002</v>
      </c>
      <c r="B2052" s="3">
        <v>43883</v>
      </c>
      <c r="C2052" s="2" t="s">
        <v>2258</v>
      </c>
      <c r="D2052" s="2" t="s">
        <v>103</v>
      </c>
      <c r="E2052" s="2">
        <v>196.9</v>
      </c>
      <c r="F2052" s="2" t="s">
        <v>28</v>
      </c>
      <c r="J2052" s="2">
        <v>196.9</v>
      </c>
      <c r="K2052" s="2" t="b">
        <v>0</v>
      </c>
      <c r="L2052" s="2"/>
      <c r="M2052" s="2"/>
      <c r="N2052" s="4" t="s">
        <v>2259</v>
      </c>
      <c r="O2052" s="4" t="str">
        <f>LEFT(Table2[[#This Row],[Description]],75)</f>
        <v>Advocare</v>
      </c>
      <c r="P2052" s="2" t="s">
        <v>2292</v>
      </c>
    </row>
    <row r="2053" spans="1:16" hidden="1">
      <c r="A2053" s="2">
        <v>202002</v>
      </c>
      <c r="B2053" s="3">
        <v>43884</v>
      </c>
      <c r="C2053" s="2" t="s">
        <v>2262</v>
      </c>
      <c r="D2053" s="2" t="s">
        <v>79</v>
      </c>
      <c r="E2053" s="2">
        <v>56</v>
      </c>
      <c r="F2053" s="2" t="s">
        <v>21</v>
      </c>
      <c r="J2053" s="2">
        <v>56</v>
      </c>
      <c r="K2053" s="2" t="b">
        <v>0</v>
      </c>
      <c r="L2053" s="2"/>
      <c r="M2053" s="2"/>
      <c r="N2053" s="4" t="s">
        <v>2259</v>
      </c>
      <c r="O2053" s="4" t="str">
        <f>LEFT(Table2[[#This Row],[Description]],75)</f>
        <v>11003 NORTH LOOP MINNEAPOLIS MN 290461321</v>
      </c>
      <c r="P2053" s="2" t="s">
        <v>2281</v>
      </c>
    </row>
    <row r="2054" spans="1:16" hidden="1">
      <c r="A2054" s="2">
        <v>202002</v>
      </c>
      <c r="B2054" s="3">
        <v>43884</v>
      </c>
      <c r="C2054" s="2" t="s">
        <v>2262</v>
      </c>
      <c r="D2054" s="2" t="s">
        <v>38</v>
      </c>
      <c r="E2054" s="2">
        <v>-0.5</v>
      </c>
      <c r="F2054" s="2" t="s">
        <v>38</v>
      </c>
      <c r="J2054" s="2">
        <v>0.5</v>
      </c>
      <c r="K2054" s="2" t="b">
        <v>0</v>
      </c>
      <c r="L2054" s="2"/>
      <c r="M2054" s="2"/>
      <c r="N2054" s="4" t="s">
        <v>2273</v>
      </c>
      <c r="O2054" s="4" t="str">
        <f>LEFT(Table2[[#This Row],[Description]],75)</f>
        <v>Amazon</v>
      </c>
      <c r="P2054" s="2" t="s">
        <v>2260</v>
      </c>
    </row>
    <row r="2055" spans="1:16" hidden="1">
      <c r="A2055" s="2">
        <v>202002</v>
      </c>
      <c r="B2055" s="3">
        <v>43884</v>
      </c>
      <c r="C2055" s="2" t="s">
        <v>2262</v>
      </c>
      <c r="D2055" s="2" t="s">
        <v>38</v>
      </c>
      <c r="E2055" s="2">
        <v>16.100000000000001</v>
      </c>
      <c r="F2055" s="2" t="s">
        <v>38</v>
      </c>
      <c r="J2055" s="2">
        <v>16.100000000000001</v>
      </c>
      <c r="K2055" s="2" t="b">
        <v>0</v>
      </c>
      <c r="L2055" s="2"/>
      <c r="M2055" s="2"/>
      <c r="N2055" s="4" t="s">
        <v>2259</v>
      </c>
      <c r="O2055" s="4" t="str">
        <f>LEFT(Table2[[#This Row],[Description]],75)</f>
        <v>Amazon</v>
      </c>
      <c r="P2055" s="2" t="s">
        <v>2260</v>
      </c>
    </row>
    <row r="2056" spans="1:16" hidden="1">
      <c r="A2056" s="2">
        <v>202002</v>
      </c>
      <c r="B2056" s="3">
        <v>43884</v>
      </c>
      <c r="C2056" s="2" t="s">
        <v>2262</v>
      </c>
      <c r="D2056" s="2" t="s">
        <v>38</v>
      </c>
      <c r="E2056" s="2">
        <v>40.74</v>
      </c>
      <c r="F2056" s="2" t="s">
        <v>38</v>
      </c>
      <c r="J2056" s="2">
        <v>40.74</v>
      </c>
      <c r="K2056" s="2" t="b">
        <v>0</v>
      </c>
      <c r="L2056" s="2"/>
      <c r="M2056" s="2"/>
      <c r="N2056" s="4" t="s">
        <v>2259</v>
      </c>
      <c r="O2056" s="4" t="str">
        <f>LEFT(Table2[[#This Row],[Description]],75)</f>
        <v>Amazon</v>
      </c>
      <c r="P2056" s="2" t="s">
        <v>2260</v>
      </c>
    </row>
    <row r="2057" spans="1:16" hidden="1">
      <c r="A2057" s="2">
        <v>202002</v>
      </c>
      <c r="B2057" s="3">
        <v>43884</v>
      </c>
      <c r="C2057" s="2" t="s">
        <v>2262</v>
      </c>
      <c r="D2057" s="2" t="s">
        <v>453</v>
      </c>
      <c r="E2057" s="2">
        <v>10.199999999999999</v>
      </c>
      <c r="F2057" s="2" t="s">
        <v>26</v>
      </c>
      <c r="J2057" s="2">
        <v>10.199999999999999</v>
      </c>
      <c r="K2057" s="2" t="b">
        <v>0</v>
      </c>
      <c r="L2057" s="2"/>
      <c r="M2057" s="2"/>
      <c r="N2057" s="4" t="s">
        <v>2259</v>
      </c>
      <c r="O2057" s="4" t="str">
        <f>LEFT(Table2[[#This Row],[Description]],75)</f>
        <v>Caribou Coffee</v>
      </c>
      <c r="P2057" s="2" t="s">
        <v>2329</v>
      </c>
    </row>
    <row r="2058" spans="1:16" hidden="1">
      <c r="A2058" s="2">
        <v>202002</v>
      </c>
      <c r="B2058" s="3">
        <v>43884</v>
      </c>
      <c r="C2058" s="2" t="s">
        <v>2262</v>
      </c>
      <c r="D2058" s="2" t="s">
        <v>851</v>
      </c>
      <c r="E2058" s="2">
        <v>276</v>
      </c>
      <c r="F2058" s="2" t="s">
        <v>20</v>
      </c>
      <c r="J2058" s="2">
        <v>276</v>
      </c>
      <c r="K2058" s="2" t="b">
        <v>0</v>
      </c>
      <c r="L2058" s="2"/>
      <c r="M2058" s="2"/>
      <c r="N2058" s="4" t="s">
        <v>2259</v>
      </c>
      <c r="O2058" s="4" t="str">
        <f>LEFT(Table2[[#This Row],[Description]],75)</f>
        <v>Foss Swim School</v>
      </c>
      <c r="P2058" s="2" t="s">
        <v>2464</v>
      </c>
    </row>
    <row r="2059" spans="1:16" hidden="1">
      <c r="A2059" s="2">
        <v>202002</v>
      </c>
      <c r="B2059" s="3">
        <v>43884</v>
      </c>
      <c r="C2059" s="2" t="s">
        <v>2262</v>
      </c>
      <c r="D2059" s="2" t="s">
        <v>1375</v>
      </c>
      <c r="E2059" s="2">
        <v>9.27</v>
      </c>
      <c r="F2059" s="2" t="s">
        <v>26</v>
      </c>
      <c r="J2059" s="2">
        <v>9.27</v>
      </c>
      <c r="K2059" s="2" t="b">
        <v>0</v>
      </c>
      <c r="L2059" s="2"/>
      <c r="M2059" s="2"/>
      <c r="N2059" s="4" t="s">
        <v>2259</v>
      </c>
      <c r="O2059" s="4" t="str">
        <f>LEFT(Table2[[#This Row],[Description]],75)</f>
        <v>Nothing Bundt Cakes</v>
      </c>
      <c r="P2059" s="2" t="s">
        <v>2281</v>
      </c>
    </row>
    <row r="2060" spans="1:16" hidden="1">
      <c r="A2060" s="2">
        <v>202002</v>
      </c>
      <c r="B2060" s="3">
        <v>43884</v>
      </c>
      <c r="C2060" s="2" t="s">
        <v>2262</v>
      </c>
      <c r="D2060" s="2" t="s">
        <v>1493</v>
      </c>
      <c r="E2060" s="2">
        <v>62.23</v>
      </c>
      <c r="F2060" s="2" t="s">
        <v>26</v>
      </c>
      <c r="J2060" s="2">
        <v>62.23</v>
      </c>
      <c r="K2060" s="2" t="b">
        <v>0</v>
      </c>
      <c r="L2060" s="2"/>
      <c r="M2060" s="2"/>
      <c r="N2060" s="4" t="s">
        <v>2259</v>
      </c>
      <c r="O2060" s="4" t="str">
        <f>LEFT(Table2[[#This Row],[Description]],75)</f>
        <v>Pizza Luce</v>
      </c>
      <c r="P2060" s="2" t="s">
        <v>2281</v>
      </c>
    </row>
    <row r="2061" spans="1:16" hidden="1">
      <c r="A2061" s="2">
        <v>202002</v>
      </c>
      <c r="B2061" s="3">
        <v>43884</v>
      </c>
      <c r="C2061" s="2" t="s">
        <v>2262</v>
      </c>
      <c r="D2061" s="2" t="s">
        <v>1726</v>
      </c>
      <c r="E2061" s="2">
        <v>32.729999999999997</v>
      </c>
      <c r="F2061" s="2" t="s">
        <v>26</v>
      </c>
      <c r="J2061" s="2">
        <v>32.729999999999997</v>
      </c>
      <c r="K2061" s="2" t="b">
        <v>0</v>
      </c>
      <c r="L2061" s="2"/>
      <c r="M2061" s="2"/>
      <c r="N2061" s="4" t="s">
        <v>2259</v>
      </c>
      <c r="O2061" s="4" t="str">
        <f>LEFT(Table2[[#This Row],[Description]],75)</f>
        <v>SQ ENKI BREWING COMPANY Victoria MN 290461320</v>
      </c>
      <c r="P2061" s="2" t="s">
        <v>2281</v>
      </c>
    </row>
    <row r="2062" spans="1:16" hidden="1">
      <c r="A2062" s="2">
        <v>202002</v>
      </c>
      <c r="B2062" s="3">
        <v>43884</v>
      </c>
      <c r="C2062" s="2" t="s">
        <v>2262</v>
      </c>
      <c r="D2062" s="2" t="s">
        <v>2135</v>
      </c>
      <c r="E2062" s="2">
        <v>15</v>
      </c>
      <c r="F2062" s="2" t="s">
        <v>21</v>
      </c>
      <c r="J2062" s="2">
        <v>15</v>
      </c>
      <c r="K2062" s="2" t="b">
        <v>0</v>
      </c>
      <c r="L2062" s="2"/>
      <c r="M2062" s="2"/>
      <c r="N2062" s="4" t="s">
        <v>2259</v>
      </c>
      <c r="O2062" s="4" t="str">
        <f>LEFT(Table2[[#This Row],[Description]],75)</f>
        <v>Walgreens</v>
      </c>
      <c r="P2062" s="2" t="s">
        <v>2389</v>
      </c>
    </row>
    <row r="2063" spans="1:16" hidden="1">
      <c r="A2063" s="2">
        <v>202002</v>
      </c>
      <c r="B2063" s="3">
        <v>43885</v>
      </c>
      <c r="C2063" s="2" t="s">
        <v>2265</v>
      </c>
      <c r="D2063" s="2" t="s">
        <v>995</v>
      </c>
      <c r="E2063" s="2">
        <v>-7081</v>
      </c>
      <c r="F2063" s="2" t="s">
        <v>9</v>
      </c>
      <c r="J2063" s="2">
        <v>7081</v>
      </c>
      <c r="K2063" s="2" t="b">
        <v>0</v>
      </c>
      <c r="L2063" s="2"/>
      <c r="M2063" s="2"/>
      <c r="N2063" s="4" t="s">
        <v>2273</v>
      </c>
      <c r="O2063" s="4" t="str">
        <f>LEFT(Table2[[#This Row],[Description]],75)</f>
        <v>Internal Revenue Service</v>
      </c>
      <c r="P2063" s="2" t="s">
        <v>2281</v>
      </c>
    </row>
    <row r="2064" spans="1:16" hidden="1">
      <c r="A2064" s="2">
        <v>202002</v>
      </c>
      <c r="B2064" s="3">
        <v>43885</v>
      </c>
      <c r="C2064" s="2" t="s">
        <v>2265</v>
      </c>
      <c r="D2064" s="2" t="s">
        <v>1235</v>
      </c>
      <c r="E2064" s="2">
        <v>78.75</v>
      </c>
      <c r="F2064" s="2" t="s">
        <v>48</v>
      </c>
      <c r="J2064" s="2">
        <v>78.75</v>
      </c>
      <c r="K2064" s="2" t="b">
        <v>0</v>
      </c>
      <c r="L2064" s="2"/>
      <c r="M2064" s="2"/>
      <c r="N2064" s="4" t="s">
        <v>2259</v>
      </c>
      <c r="O2064" s="4" t="str">
        <f>LEFT(Table2[[#This Row],[Description]],75)</f>
        <v>MHCHILDCARELLC TYPE DUES ID CO MHCHILDCARELLC ACH ECC PPD ACH Trace 77275 2</v>
      </c>
      <c r="P2064" s="2" t="s">
        <v>2281</v>
      </c>
    </row>
    <row r="2065" spans="1:16" hidden="1">
      <c r="A2065" s="2">
        <v>202002</v>
      </c>
      <c r="B2065" s="3">
        <v>43885</v>
      </c>
      <c r="C2065" s="2" t="s">
        <v>2265</v>
      </c>
      <c r="D2065" s="2" t="s">
        <v>1471</v>
      </c>
      <c r="E2065" s="2">
        <v>0.75</v>
      </c>
      <c r="F2065" s="2" t="s">
        <v>21</v>
      </c>
      <c r="J2065" s="2">
        <v>0.75</v>
      </c>
      <c r="K2065" s="2" t="b">
        <v>0</v>
      </c>
      <c r="L2065" s="2"/>
      <c r="M2065" s="2"/>
      <c r="N2065" s="4" t="s">
        <v>2259</v>
      </c>
      <c r="O2065" s="4" t="str">
        <f>LEFT(Table2[[#This Row],[Description]],75)</f>
        <v>PayPal</v>
      </c>
      <c r="P2065" s="2" t="s">
        <v>2322</v>
      </c>
    </row>
    <row r="2066" spans="1:16" hidden="1">
      <c r="A2066" s="2">
        <v>202002</v>
      </c>
      <c r="B2066" s="3">
        <v>43885</v>
      </c>
      <c r="C2066" s="2" t="s">
        <v>2265</v>
      </c>
      <c r="D2066" s="2" t="s">
        <v>1471</v>
      </c>
      <c r="E2066" s="2">
        <v>53.5</v>
      </c>
      <c r="F2066" s="2" t="s">
        <v>21</v>
      </c>
      <c r="J2066" s="2">
        <v>53.5</v>
      </c>
      <c r="K2066" s="2" t="b">
        <v>0</v>
      </c>
      <c r="L2066" s="2"/>
      <c r="M2066" s="2"/>
      <c r="N2066" s="4" t="s">
        <v>2259</v>
      </c>
      <c r="O2066" s="4" t="str">
        <f>LEFT(Table2[[#This Row],[Description]],75)</f>
        <v>PayPal</v>
      </c>
      <c r="P2066" s="2" t="s">
        <v>2322</v>
      </c>
    </row>
    <row r="2067" spans="1:16" hidden="1">
      <c r="A2067" s="2">
        <v>202002</v>
      </c>
      <c r="B2067" s="3">
        <v>43885</v>
      </c>
      <c r="C2067" s="2" t="s">
        <v>2300</v>
      </c>
      <c r="D2067" s="2" t="s">
        <v>1648</v>
      </c>
      <c r="E2067" s="2">
        <v>-200</v>
      </c>
      <c r="F2067" s="2" t="s">
        <v>9</v>
      </c>
      <c r="J2067" s="2">
        <v>200</v>
      </c>
      <c r="K2067" s="2" t="b">
        <v>0</v>
      </c>
      <c r="L2067" s="2"/>
      <c r="M2067" s="2"/>
      <c r="N2067" s="4" t="s">
        <v>2273</v>
      </c>
      <c r="O2067" s="4" t="str">
        <f>LEFT(Table2[[#This Row],[Description]],75)</f>
        <v>Share</v>
      </c>
      <c r="P2067" s="2" t="s">
        <v>2281</v>
      </c>
    </row>
    <row r="2068" spans="1:16" hidden="1">
      <c r="A2068" s="2">
        <v>202002</v>
      </c>
      <c r="B2068" s="3">
        <v>43885</v>
      </c>
      <c r="C2068" s="2" t="s">
        <v>2317</v>
      </c>
      <c r="D2068" s="2" t="s">
        <v>1774</v>
      </c>
      <c r="E2068" s="2">
        <v>18.7</v>
      </c>
      <c r="F2068" s="2" t="s">
        <v>26</v>
      </c>
      <c r="J2068" s="2">
        <v>18.7</v>
      </c>
      <c r="K2068" s="2" t="b">
        <v>0</v>
      </c>
      <c r="L2068" s="2"/>
      <c r="M2068" s="2"/>
      <c r="N2068" s="4" t="s">
        <v>2259</v>
      </c>
      <c r="O2068" s="4" t="str">
        <f>LEFT(Table2[[#This Row],[Description]],75)</f>
        <v>STARBUCKS CORP</v>
      </c>
      <c r="P2068" s="2" t="s">
        <v>2416</v>
      </c>
    </row>
    <row r="2069" spans="1:16" hidden="1">
      <c r="A2069" s="2">
        <v>202002</v>
      </c>
      <c r="B2069" s="3">
        <v>43885</v>
      </c>
      <c r="C2069" s="2" t="s">
        <v>2460</v>
      </c>
      <c r="D2069" s="2" t="s">
        <v>1774</v>
      </c>
      <c r="E2069" s="2">
        <v>18.7</v>
      </c>
      <c r="F2069" s="2" t="s">
        <v>69</v>
      </c>
      <c r="J2069" s="2">
        <v>18.7</v>
      </c>
      <c r="K2069" s="2" t="b">
        <v>0</v>
      </c>
      <c r="L2069" s="2"/>
      <c r="M2069" s="2"/>
      <c r="N2069" s="4" t="s">
        <v>2259</v>
      </c>
      <c r="O2069" s="4" t="str">
        <f>LEFT(Table2[[#This Row],[Description]],75)</f>
        <v>STARBUCKS CORP</v>
      </c>
      <c r="P2069" s="2" t="s">
        <v>2463</v>
      </c>
    </row>
    <row r="2070" spans="1:16" hidden="1">
      <c r="A2070" s="2">
        <v>202002</v>
      </c>
      <c r="B2070" s="3">
        <v>43885</v>
      </c>
      <c r="C2070" s="2" t="s">
        <v>2265</v>
      </c>
      <c r="D2070" s="2" t="s">
        <v>1896</v>
      </c>
      <c r="E2070" s="2">
        <v>200</v>
      </c>
      <c r="F2070" s="2" t="s">
        <v>9</v>
      </c>
      <c r="J2070" s="2">
        <v>200</v>
      </c>
      <c r="K2070" s="2" t="b">
        <v>0</v>
      </c>
      <c r="L2070" s="2"/>
      <c r="M2070" s="2"/>
      <c r="N2070" s="4" t="s">
        <v>2259</v>
      </c>
      <c r="O2070" s="4" t="str">
        <f>LEFT(Table2[[#This Row],[Description]],75)</f>
        <v>To Share 12 290529207</v>
      </c>
      <c r="P2070" s="2" t="s">
        <v>2281</v>
      </c>
    </row>
    <row r="2071" spans="1:16" hidden="1">
      <c r="A2071" s="2">
        <v>202002</v>
      </c>
      <c r="B2071" s="3">
        <v>43885</v>
      </c>
      <c r="C2071" s="2" t="s">
        <v>2317</v>
      </c>
      <c r="D2071" s="2" t="s">
        <v>2130</v>
      </c>
      <c r="E2071" s="2">
        <v>799.14</v>
      </c>
      <c r="F2071" s="2" t="s">
        <v>69</v>
      </c>
      <c r="J2071" s="2">
        <v>799.14</v>
      </c>
      <c r="K2071" s="2" t="b">
        <v>0</v>
      </c>
      <c r="L2071" s="2"/>
      <c r="M2071" s="2"/>
      <c r="N2071" s="4" t="s">
        <v>2259</v>
      </c>
      <c r="O2071" s="4" t="str">
        <f>LEFT(Table2[[#This Row],[Description]],75)</f>
        <v>VISA INC CLASS A</v>
      </c>
      <c r="P2071" s="2" t="s">
        <v>2423</v>
      </c>
    </row>
    <row r="2072" spans="1:16" hidden="1">
      <c r="A2072" s="2">
        <v>202002</v>
      </c>
      <c r="B2072" s="3">
        <v>43885</v>
      </c>
      <c r="C2072" s="2" t="s">
        <v>2460</v>
      </c>
      <c r="D2072" s="2" t="s">
        <v>2130</v>
      </c>
      <c r="E2072" s="2">
        <v>799.14</v>
      </c>
      <c r="F2072" s="2" t="s">
        <v>69</v>
      </c>
      <c r="J2072" s="2">
        <v>799.14</v>
      </c>
      <c r="K2072" s="2" t="b">
        <v>0</v>
      </c>
      <c r="L2072" s="2"/>
      <c r="M2072" s="2"/>
      <c r="N2072" s="4" t="s">
        <v>2259</v>
      </c>
      <c r="O2072" s="4" t="str">
        <f>LEFT(Table2[[#This Row],[Description]],75)</f>
        <v>VISA INC CLASS A</v>
      </c>
      <c r="P2072" s="2" t="s">
        <v>2423</v>
      </c>
    </row>
    <row r="2073" spans="1:16" hidden="1">
      <c r="A2073" s="2">
        <v>202002</v>
      </c>
      <c r="B2073" s="3">
        <v>43886</v>
      </c>
      <c r="C2073" s="2" t="s">
        <v>2447</v>
      </c>
      <c r="D2073" s="2" t="s">
        <v>458</v>
      </c>
      <c r="E2073" s="2">
        <v>-22.6</v>
      </c>
      <c r="F2073" s="2" t="s">
        <v>9</v>
      </c>
      <c r="J2073" s="2">
        <v>22.6</v>
      </c>
      <c r="K2073" s="2" t="b">
        <v>0</v>
      </c>
      <c r="L2073" s="2"/>
      <c r="M2073" s="2"/>
      <c r="N2073" s="4" t="s">
        <v>2273</v>
      </c>
      <c r="O2073" s="4" t="str">
        <f>LEFT(Table2[[#This Row],[Description]],75)</f>
        <v>CASHBACK BONUS REDEMPTION payment/STMT CRDT</v>
      </c>
      <c r="P2073" s="2" t="s">
        <v>2304</v>
      </c>
    </row>
    <row r="2074" spans="1:16" hidden="1">
      <c r="A2074" s="2">
        <v>202002</v>
      </c>
      <c r="B2074" s="3">
        <v>43886</v>
      </c>
      <c r="C2074" s="2" t="s">
        <v>2258</v>
      </c>
      <c r="D2074" s="2" t="s">
        <v>458</v>
      </c>
      <c r="E2074" s="2">
        <v>-22.6</v>
      </c>
      <c r="F2074" s="2" t="s">
        <v>9</v>
      </c>
      <c r="J2074" s="2">
        <v>22.6</v>
      </c>
      <c r="K2074" s="2" t="b">
        <v>0</v>
      </c>
      <c r="L2074" s="2"/>
      <c r="M2074" s="2"/>
      <c r="N2074" s="4" t="s">
        <v>2273</v>
      </c>
      <c r="O2074" s="4" t="str">
        <f>LEFT(Table2[[#This Row],[Description]],75)</f>
        <v>CASHBACK BONUS REDEMPTION payment/STMT CRDT</v>
      </c>
      <c r="P2074" s="2" t="s">
        <v>2304</v>
      </c>
    </row>
    <row r="2075" spans="1:16" hidden="1">
      <c r="A2075" s="2">
        <v>202002</v>
      </c>
      <c r="B2075" s="3">
        <v>43886</v>
      </c>
      <c r="C2075" s="2" t="s">
        <v>2447</v>
      </c>
      <c r="D2075" s="2" t="s">
        <v>997</v>
      </c>
      <c r="E2075" s="2">
        <v>-235.37</v>
      </c>
      <c r="F2075" s="2" t="s">
        <v>9</v>
      </c>
      <c r="J2075" s="2">
        <v>235.37</v>
      </c>
      <c r="K2075" s="2" t="b">
        <v>0</v>
      </c>
      <c r="L2075" s="2"/>
      <c r="M2075" s="2"/>
      <c r="N2075" s="4" t="s">
        <v>2273</v>
      </c>
      <c r="O2075" s="4" t="str">
        <f>LEFT(Table2[[#This Row],[Description]],75)</f>
        <v>INTERNET PAYMENT - THANK YOU</v>
      </c>
      <c r="P2075" s="2" t="s">
        <v>2291</v>
      </c>
    </row>
    <row r="2076" spans="1:16" hidden="1">
      <c r="A2076" s="2">
        <v>202002</v>
      </c>
      <c r="B2076" s="3">
        <v>43886</v>
      </c>
      <c r="C2076" s="2" t="s">
        <v>2258</v>
      </c>
      <c r="D2076" s="2" t="s">
        <v>997</v>
      </c>
      <c r="E2076" s="2">
        <v>-235.37</v>
      </c>
      <c r="F2076" s="2" t="s">
        <v>9</v>
      </c>
      <c r="J2076" s="2">
        <v>235.37</v>
      </c>
      <c r="K2076" s="2" t="b">
        <v>0</v>
      </c>
      <c r="L2076" s="2"/>
      <c r="M2076" s="2"/>
      <c r="N2076" s="4" t="s">
        <v>2273</v>
      </c>
      <c r="O2076" s="4" t="str">
        <f>LEFT(Table2[[#This Row],[Description]],75)</f>
        <v>INTERNET PAYMENT - THANK YOU</v>
      </c>
      <c r="P2076" s="2" t="s">
        <v>2291</v>
      </c>
    </row>
    <row r="2077" spans="1:16" hidden="1">
      <c r="A2077" s="2">
        <v>202002</v>
      </c>
      <c r="B2077" s="3">
        <v>43886</v>
      </c>
      <c r="C2077" s="2" t="s">
        <v>2262</v>
      </c>
      <c r="D2077" s="2" t="s">
        <v>1443</v>
      </c>
      <c r="E2077" s="2">
        <v>-517.77</v>
      </c>
      <c r="F2077" s="2" t="s">
        <v>9</v>
      </c>
      <c r="J2077" s="2">
        <v>517.77</v>
      </c>
      <c r="K2077" s="2" t="b">
        <v>0</v>
      </c>
      <c r="L2077" s="2"/>
      <c r="M2077" s="2"/>
      <c r="N2077" s="4" t="s">
        <v>2273</v>
      </c>
      <c r="O2077" s="4" t="str">
        <f>LEFT(Table2[[#This Row],[Description]],75)</f>
        <v>PAYMENT THANK YOU 291327784</v>
      </c>
      <c r="P2077" s="2" t="s">
        <v>2391</v>
      </c>
    </row>
    <row r="2078" spans="1:16" hidden="1">
      <c r="A2078" s="2">
        <v>202002</v>
      </c>
      <c r="B2078" s="3">
        <v>43886</v>
      </c>
      <c r="C2078" s="2" t="s">
        <v>2265</v>
      </c>
      <c r="D2078" s="2" t="s">
        <v>2188</v>
      </c>
      <c r="E2078" s="2">
        <v>517.77</v>
      </c>
      <c r="F2078" s="2" t="s">
        <v>9</v>
      </c>
      <c r="J2078" s="2">
        <v>517.77</v>
      </c>
      <c r="K2078" s="2" t="b">
        <v>0</v>
      </c>
      <c r="L2078" s="2"/>
      <c r="M2078" s="2"/>
      <c r="N2078" s="4" t="s">
        <v>2259</v>
      </c>
      <c r="O2078" s="4" t="str">
        <f>LEFT(Table2[[#This Row],[Description]],75)</f>
        <v>Withdrawal Home payment to card 979181 290815402</v>
      </c>
      <c r="P2078" s="2" t="s">
        <v>2349</v>
      </c>
    </row>
    <row r="2079" spans="1:16" hidden="1">
      <c r="A2079" s="2">
        <v>202002</v>
      </c>
      <c r="B2079" s="3">
        <v>43886</v>
      </c>
      <c r="C2079" s="2" t="s">
        <v>2262</v>
      </c>
      <c r="D2079" s="2" t="s">
        <v>38</v>
      </c>
      <c r="E2079" s="2">
        <v>6.78</v>
      </c>
      <c r="F2079" s="2" t="s">
        <v>38</v>
      </c>
      <c r="J2079" s="2">
        <v>6.78</v>
      </c>
      <c r="K2079" s="2" t="b">
        <v>0</v>
      </c>
      <c r="L2079" s="2"/>
      <c r="M2079" s="2"/>
      <c r="N2079" s="4" t="s">
        <v>2259</v>
      </c>
      <c r="O2079" s="4" t="str">
        <f>LEFT(Table2[[#This Row],[Description]],75)</f>
        <v>Amazon</v>
      </c>
      <c r="P2079" s="2" t="s">
        <v>2260</v>
      </c>
    </row>
    <row r="2080" spans="1:16" hidden="1">
      <c r="A2080" s="2">
        <v>202002</v>
      </c>
      <c r="B2080" s="3">
        <v>43886</v>
      </c>
      <c r="C2080" s="2" t="s">
        <v>2262</v>
      </c>
      <c r="D2080" s="2" t="s">
        <v>38</v>
      </c>
      <c r="E2080" s="2">
        <v>9.31</v>
      </c>
      <c r="F2080" s="2" t="s">
        <v>38</v>
      </c>
      <c r="J2080" s="2">
        <v>9.31</v>
      </c>
      <c r="K2080" s="2" t="b">
        <v>0</v>
      </c>
      <c r="L2080" s="2"/>
      <c r="M2080" s="2"/>
      <c r="N2080" s="4" t="s">
        <v>2259</v>
      </c>
      <c r="O2080" s="4" t="str">
        <f>LEFT(Table2[[#This Row],[Description]],75)</f>
        <v>Amazon</v>
      </c>
      <c r="P2080" s="2" t="s">
        <v>2260</v>
      </c>
    </row>
    <row r="2081" spans="1:16" hidden="1">
      <c r="A2081" s="2">
        <v>202002</v>
      </c>
      <c r="B2081" s="3">
        <v>43886</v>
      </c>
      <c r="C2081" s="2" t="s">
        <v>2262</v>
      </c>
      <c r="D2081" s="2" t="s">
        <v>38</v>
      </c>
      <c r="E2081" s="2">
        <v>17.13</v>
      </c>
      <c r="F2081" s="2" t="s">
        <v>38</v>
      </c>
      <c r="J2081" s="2">
        <v>17.13</v>
      </c>
      <c r="K2081" s="2" t="b">
        <v>0</v>
      </c>
      <c r="L2081" s="2"/>
      <c r="M2081" s="2"/>
      <c r="N2081" s="4" t="s">
        <v>2259</v>
      </c>
      <c r="O2081" s="4" t="str">
        <f>LEFT(Table2[[#This Row],[Description]],75)</f>
        <v>Amazon</v>
      </c>
      <c r="P2081" s="2" t="s">
        <v>2260</v>
      </c>
    </row>
    <row r="2082" spans="1:16" hidden="1">
      <c r="A2082" s="2">
        <v>202002</v>
      </c>
      <c r="B2082" s="3">
        <v>43886</v>
      </c>
      <c r="C2082" s="2" t="s">
        <v>2317</v>
      </c>
      <c r="D2082" s="2" t="s">
        <v>305</v>
      </c>
      <c r="E2082" s="2">
        <v>934</v>
      </c>
      <c r="F2082" s="2" t="s">
        <v>69</v>
      </c>
      <c r="J2082" s="2">
        <v>934</v>
      </c>
      <c r="K2082" s="2" t="b">
        <v>0</v>
      </c>
      <c r="L2082" s="2"/>
      <c r="M2082" s="2"/>
      <c r="N2082" s="4" t="s">
        <v>2259</v>
      </c>
      <c r="O2082" s="4" t="str">
        <f>LEFT(Table2[[#This Row],[Description]],75)</f>
        <v>BOEING CO</v>
      </c>
      <c r="P2082" s="2" t="s">
        <v>2425</v>
      </c>
    </row>
    <row r="2083" spans="1:16" hidden="1">
      <c r="A2083" s="2">
        <v>202002</v>
      </c>
      <c r="B2083" s="3">
        <v>43886</v>
      </c>
      <c r="C2083" s="2" t="s">
        <v>2460</v>
      </c>
      <c r="D2083" s="2" t="s">
        <v>305</v>
      </c>
      <c r="E2083" s="2">
        <v>934</v>
      </c>
      <c r="F2083" s="2" t="s">
        <v>69</v>
      </c>
      <c r="J2083" s="2">
        <v>934</v>
      </c>
      <c r="K2083" s="2" t="b">
        <v>0</v>
      </c>
      <c r="L2083" s="2"/>
      <c r="M2083" s="2"/>
      <c r="N2083" s="4" t="s">
        <v>2259</v>
      </c>
      <c r="O2083" s="4" t="str">
        <f>LEFT(Table2[[#This Row],[Description]],75)</f>
        <v>BOEING CO</v>
      </c>
      <c r="P2083" s="2" t="s">
        <v>2425</v>
      </c>
    </row>
    <row r="2084" spans="1:16" hidden="1">
      <c r="A2084" s="2">
        <v>202002</v>
      </c>
      <c r="B2084" s="3">
        <v>43886</v>
      </c>
      <c r="C2084" s="2" t="s">
        <v>2447</v>
      </c>
      <c r="D2084" s="2" t="s">
        <v>1079</v>
      </c>
      <c r="E2084" s="2">
        <v>26.45</v>
      </c>
      <c r="F2084" s="2" t="s">
        <v>28</v>
      </c>
      <c r="J2084" s="2">
        <v>26.45</v>
      </c>
      <c r="K2084" s="2" t="b">
        <v>0</v>
      </c>
      <c r="L2084" s="2"/>
      <c r="M2084" s="2"/>
      <c r="N2084" s="4" t="s">
        <v>2259</v>
      </c>
      <c r="O2084" s="4" t="str">
        <f>LEFT(Table2[[#This Row],[Description]],75)</f>
        <v>Kowalski's</v>
      </c>
      <c r="P2084" s="2" t="s">
        <v>2465</v>
      </c>
    </row>
    <row r="2085" spans="1:16" hidden="1">
      <c r="A2085" s="2">
        <v>202002</v>
      </c>
      <c r="B2085" s="3">
        <v>43886</v>
      </c>
      <c r="C2085" s="2" t="s">
        <v>2258</v>
      </c>
      <c r="D2085" s="2" t="s">
        <v>1079</v>
      </c>
      <c r="E2085" s="2">
        <v>26.45</v>
      </c>
      <c r="F2085" s="2" t="s">
        <v>26</v>
      </c>
      <c r="J2085" s="2">
        <v>26.45</v>
      </c>
      <c r="K2085" s="2" t="b">
        <v>0</v>
      </c>
      <c r="L2085" s="2"/>
      <c r="M2085" s="2"/>
      <c r="N2085" s="4" t="s">
        <v>2259</v>
      </c>
      <c r="O2085" s="4" t="str">
        <f>LEFT(Table2[[#This Row],[Description]],75)</f>
        <v>Kowalski's</v>
      </c>
      <c r="P2085" s="2" t="s">
        <v>2281</v>
      </c>
    </row>
    <row r="2086" spans="1:16" hidden="1">
      <c r="A2086" s="2">
        <v>202002</v>
      </c>
      <c r="B2086" s="3">
        <v>43886</v>
      </c>
      <c r="C2086" s="2" t="s">
        <v>2265</v>
      </c>
      <c r="D2086" s="2" t="s">
        <v>31</v>
      </c>
      <c r="E2086" s="2">
        <v>43.81</v>
      </c>
      <c r="F2086" s="2" t="s">
        <v>31</v>
      </c>
      <c r="J2086" s="2">
        <v>43.81</v>
      </c>
      <c r="K2086" s="2" t="b">
        <v>0</v>
      </c>
      <c r="L2086" s="2"/>
      <c r="M2086" s="2"/>
      <c r="N2086" s="4" t="s">
        <v>2259</v>
      </c>
      <c r="O2086" s="4" t="str">
        <f>LEFT(Table2[[#This Row],[Description]],75)</f>
        <v>Target</v>
      </c>
      <c r="P2086" s="2" t="s">
        <v>2309</v>
      </c>
    </row>
    <row r="2087" spans="1:16" hidden="1">
      <c r="A2087" s="2">
        <v>202002</v>
      </c>
      <c r="B2087" s="3">
        <v>43887</v>
      </c>
      <c r="C2087" s="2" t="s">
        <v>2265</v>
      </c>
      <c r="D2087" s="2" t="s">
        <v>751</v>
      </c>
      <c r="E2087" s="2">
        <v>235.37</v>
      </c>
      <c r="F2087" s="2" t="s">
        <v>9</v>
      </c>
      <c r="J2087" s="2">
        <v>235.37</v>
      </c>
      <c r="K2087" s="2" t="b">
        <v>0</v>
      </c>
      <c r="L2087" s="2"/>
      <c r="M2087" s="2"/>
      <c r="N2087" s="4" t="s">
        <v>2259</v>
      </c>
      <c r="O2087" s="4" t="str">
        <f>LEFT(Table2[[#This Row],[Description]],75)</f>
        <v>DISCOVER TYPE EPAYMENT ID CO DISCOVER ACH ECC WEB ACH Trace 16447 291055607</v>
      </c>
      <c r="P2087" s="2" t="s">
        <v>2293</v>
      </c>
    </row>
    <row r="2088" spans="1:16" hidden="1">
      <c r="A2088" s="2">
        <v>202002</v>
      </c>
      <c r="B2088" s="3">
        <v>43887</v>
      </c>
      <c r="C2088" s="2" t="s">
        <v>2262</v>
      </c>
      <c r="D2088" s="2" t="s">
        <v>831</v>
      </c>
      <c r="E2088" s="2">
        <v>8</v>
      </c>
      <c r="F2088" s="2" t="s">
        <v>26</v>
      </c>
      <c r="J2088" s="2">
        <v>8</v>
      </c>
      <c r="K2088" s="2" t="b">
        <v>0</v>
      </c>
      <c r="L2088" s="2"/>
      <c r="M2088" s="2"/>
      <c r="N2088" s="4" t="s">
        <v>2259</v>
      </c>
      <c r="O2088" s="4" t="str">
        <f>LEFT(Table2[[#This Row],[Description]],75)</f>
        <v>Excelsior Brewing</v>
      </c>
      <c r="P2088" s="2" t="s">
        <v>2410</v>
      </c>
    </row>
    <row r="2089" spans="1:16" hidden="1">
      <c r="A2089" s="2">
        <v>202002</v>
      </c>
      <c r="B2089" s="3">
        <v>43887</v>
      </c>
      <c r="C2089" s="2" t="s">
        <v>2262</v>
      </c>
      <c r="D2089" s="2" t="s">
        <v>831</v>
      </c>
      <c r="E2089" s="2">
        <v>14.4</v>
      </c>
      <c r="F2089" s="2" t="s">
        <v>26</v>
      </c>
      <c r="J2089" s="2">
        <v>14.4</v>
      </c>
      <c r="K2089" s="2" t="b">
        <v>0</v>
      </c>
      <c r="L2089" s="2"/>
      <c r="M2089" s="2"/>
      <c r="N2089" s="4" t="s">
        <v>2259</v>
      </c>
      <c r="O2089" s="4" t="str">
        <f>LEFT(Table2[[#This Row],[Description]],75)</f>
        <v>Excelsior Brewing</v>
      </c>
      <c r="P2089" s="2" t="s">
        <v>2410</v>
      </c>
    </row>
    <row r="2090" spans="1:16" hidden="1">
      <c r="A2090" s="2">
        <v>202002</v>
      </c>
      <c r="B2090" s="3">
        <v>43887</v>
      </c>
      <c r="C2090" s="2" t="s">
        <v>2447</v>
      </c>
      <c r="D2090" s="2" t="s">
        <v>1350</v>
      </c>
      <c r="E2090" s="2">
        <v>12.99</v>
      </c>
      <c r="F2090" s="2" t="s">
        <v>7</v>
      </c>
      <c r="J2090" s="2">
        <v>12.99</v>
      </c>
      <c r="K2090" s="2" t="b">
        <v>0</v>
      </c>
      <c r="L2090" s="2"/>
      <c r="M2090" s="2"/>
      <c r="N2090" s="4" t="s">
        <v>2259</v>
      </c>
      <c r="O2090" s="4" t="str">
        <f>LEFT(Table2[[#This Row],[Description]],75)</f>
        <v>Netflix</v>
      </c>
      <c r="P2090" s="2" t="s">
        <v>2306</v>
      </c>
    </row>
    <row r="2091" spans="1:16" hidden="1">
      <c r="A2091" s="2">
        <v>202002</v>
      </c>
      <c r="B2091" s="3">
        <v>43887</v>
      </c>
      <c r="C2091" s="2" t="s">
        <v>2258</v>
      </c>
      <c r="D2091" s="2" t="s">
        <v>1350</v>
      </c>
      <c r="E2091" s="2">
        <v>12.99</v>
      </c>
      <c r="F2091" s="2" t="s">
        <v>7</v>
      </c>
      <c r="J2091" s="2">
        <v>12.99</v>
      </c>
      <c r="K2091" s="2" t="b">
        <v>0</v>
      </c>
      <c r="L2091" s="2"/>
      <c r="M2091" s="2"/>
      <c r="N2091" s="4" t="s">
        <v>2259</v>
      </c>
      <c r="O2091" s="4" t="str">
        <f>LEFT(Table2[[#This Row],[Description]],75)</f>
        <v>Netflix</v>
      </c>
      <c r="P2091" s="2" t="s">
        <v>2306</v>
      </c>
    </row>
    <row r="2092" spans="1:16" hidden="1">
      <c r="A2092" s="2">
        <v>202002</v>
      </c>
      <c r="B2092" s="3">
        <v>43888</v>
      </c>
      <c r="C2092" s="2" t="s">
        <v>2262</v>
      </c>
      <c r="D2092" s="2" t="s">
        <v>38</v>
      </c>
      <c r="E2092" s="2">
        <v>21.35</v>
      </c>
      <c r="F2092" s="2" t="s">
        <v>38</v>
      </c>
      <c r="J2092" s="2">
        <v>21.35</v>
      </c>
      <c r="K2092" s="2" t="b">
        <v>0</v>
      </c>
      <c r="L2092" s="2"/>
      <c r="M2092" s="2"/>
      <c r="N2092" s="4" t="s">
        <v>2259</v>
      </c>
      <c r="O2092" s="4" t="str">
        <f>LEFT(Table2[[#This Row],[Description]],75)</f>
        <v>Amazon</v>
      </c>
      <c r="P2092" s="2" t="s">
        <v>2260</v>
      </c>
    </row>
    <row r="2093" spans="1:16" hidden="1">
      <c r="A2093" s="2">
        <v>202002</v>
      </c>
      <c r="B2093" s="3">
        <v>43888</v>
      </c>
      <c r="C2093" s="2" t="s">
        <v>2317</v>
      </c>
      <c r="D2093" s="2" t="s">
        <v>305</v>
      </c>
      <c r="E2093" s="2">
        <v>880.61</v>
      </c>
      <c r="F2093" s="2" t="s">
        <v>69</v>
      </c>
      <c r="J2093" s="2">
        <v>880.61</v>
      </c>
      <c r="K2093" s="2" t="b">
        <v>0</v>
      </c>
      <c r="L2093" s="2"/>
      <c r="M2093" s="2"/>
      <c r="N2093" s="4" t="s">
        <v>2259</v>
      </c>
      <c r="O2093" s="4" t="str">
        <f>LEFT(Table2[[#This Row],[Description]],75)</f>
        <v>BOEING CO</v>
      </c>
      <c r="P2093" s="2" t="s">
        <v>2425</v>
      </c>
    </row>
    <row r="2094" spans="1:16" hidden="1">
      <c r="A2094" s="2">
        <v>202002</v>
      </c>
      <c r="B2094" s="3">
        <v>43888</v>
      </c>
      <c r="C2094" s="2" t="s">
        <v>2460</v>
      </c>
      <c r="D2094" s="2" t="s">
        <v>305</v>
      </c>
      <c r="E2094" s="2">
        <v>880.61</v>
      </c>
      <c r="F2094" s="2" t="s">
        <v>69</v>
      </c>
      <c r="J2094" s="2">
        <v>880.61</v>
      </c>
      <c r="K2094" s="2" t="b">
        <v>0</v>
      </c>
      <c r="L2094" s="2"/>
      <c r="M2094" s="2"/>
      <c r="N2094" s="4" t="s">
        <v>2259</v>
      </c>
      <c r="O2094" s="4" t="str">
        <f>LEFT(Table2[[#This Row],[Description]],75)</f>
        <v>BOEING CO</v>
      </c>
      <c r="P2094" s="2" t="s">
        <v>2425</v>
      </c>
    </row>
    <row r="2095" spans="1:16" hidden="1">
      <c r="A2095" s="2">
        <v>202002</v>
      </c>
      <c r="B2095" s="3">
        <v>43888</v>
      </c>
      <c r="C2095" s="2" t="s">
        <v>2317</v>
      </c>
      <c r="D2095" s="2" t="s">
        <v>878</v>
      </c>
      <c r="E2095" s="2">
        <v>-500</v>
      </c>
      <c r="F2095" s="2" t="s">
        <v>9</v>
      </c>
      <c r="J2095" s="2">
        <v>500</v>
      </c>
      <c r="K2095" s="2" t="b">
        <v>0</v>
      </c>
      <c r="L2095" s="2"/>
      <c r="M2095" s="2"/>
      <c r="N2095" s="4" t="s">
        <v>2273</v>
      </c>
      <c r="O2095" s="4" t="str">
        <f>LEFT(Table2[[#This Row],[Description]],75)</f>
        <v>FUNDS RECEIVED</v>
      </c>
      <c r="P2095" s="2" t="s">
        <v>2385</v>
      </c>
    </row>
    <row r="2096" spans="1:16" hidden="1">
      <c r="A2096" s="2">
        <v>202002</v>
      </c>
      <c r="B2096" s="3">
        <v>43888</v>
      </c>
      <c r="C2096" s="2" t="s">
        <v>2460</v>
      </c>
      <c r="D2096" s="2" t="s">
        <v>878</v>
      </c>
      <c r="E2096" s="2">
        <v>-500</v>
      </c>
      <c r="F2096" s="2" t="s">
        <v>9</v>
      </c>
      <c r="J2096" s="2">
        <v>500</v>
      </c>
      <c r="K2096" s="2" t="b">
        <v>0</v>
      </c>
      <c r="L2096" s="2"/>
      <c r="M2096" s="2"/>
      <c r="N2096" s="4" t="s">
        <v>2273</v>
      </c>
      <c r="O2096" s="4" t="str">
        <f>LEFT(Table2[[#This Row],[Description]],75)</f>
        <v>FUNDS RECEIVED</v>
      </c>
      <c r="P2096" s="2" t="s">
        <v>2281</v>
      </c>
    </row>
    <row r="2097" spans="1:16" hidden="1">
      <c r="A2097" s="2">
        <v>202002</v>
      </c>
      <c r="B2097" s="3">
        <v>43888</v>
      </c>
      <c r="C2097" s="2" t="s">
        <v>2262</v>
      </c>
      <c r="D2097" s="2" t="s">
        <v>944</v>
      </c>
      <c r="E2097" s="2">
        <v>36.81</v>
      </c>
      <c r="F2097" s="2" t="s">
        <v>23</v>
      </c>
      <c r="J2097" s="2">
        <v>36.81</v>
      </c>
      <c r="K2097" s="2" t="b">
        <v>0</v>
      </c>
      <c r="L2097" s="2"/>
      <c r="M2097" s="2"/>
      <c r="N2097" s="4" t="s">
        <v>2259</v>
      </c>
      <c r="O2097" s="4" t="str">
        <f>LEFT(Table2[[#This Row],[Description]],75)</f>
        <v>Holiday Stationstore</v>
      </c>
      <c r="P2097" s="2" t="s">
        <v>2374</v>
      </c>
    </row>
    <row r="2098" spans="1:16" hidden="1">
      <c r="A2098" s="2">
        <v>202002</v>
      </c>
      <c r="B2098" s="3">
        <v>43888</v>
      </c>
      <c r="C2098" s="2" t="s">
        <v>2262</v>
      </c>
      <c r="D2098" s="2" t="s">
        <v>947</v>
      </c>
      <c r="E2098" s="2">
        <v>165.96</v>
      </c>
      <c r="F2098" s="2" t="s">
        <v>2</v>
      </c>
      <c r="J2098" s="2">
        <v>165.96</v>
      </c>
      <c r="K2098" s="2" t="b">
        <v>0</v>
      </c>
      <c r="L2098" s="2"/>
      <c r="M2098" s="2"/>
      <c r="N2098" s="4" t="s">
        <v>2259</v>
      </c>
      <c r="O2098" s="4" t="str">
        <f>LEFT(Table2[[#This Row],[Description]],75)</f>
        <v>Home Depot</v>
      </c>
      <c r="P2098" s="2" t="s">
        <v>2396</v>
      </c>
    </row>
    <row r="2099" spans="1:16" hidden="1">
      <c r="A2099" s="2">
        <v>202002</v>
      </c>
      <c r="B2099" s="3">
        <v>43888</v>
      </c>
      <c r="C2099" s="2" t="s">
        <v>2265</v>
      </c>
      <c r="D2099" s="2" t="s">
        <v>1058</v>
      </c>
      <c r="E2099" s="2">
        <v>-2597.13</v>
      </c>
      <c r="F2099" s="2" t="s">
        <v>63</v>
      </c>
      <c r="J2099" s="2">
        <v>2597.13</v>
      </c>
      <c r="K2099" s="2" t="b">
        <v>0</v>
      </c>
      <c r="L2099" s="2"/>
      <c r="M2099" s="2"/>
      <c r="N2099" s="4" t="s">
        <v>2273</v>
      </c>
      <c r="O2099" s="4" t="str">
        <f>LEFT(Table2[[#This Row],[Description]],75)</f>
        <v>KAUFMAN HALL TYPE DIRECT DEP ID CO KAUFMAN HALL ACH ECC PPD ACH Trace 58727</v>
      </c>
      <c r="P2099" s="2" t="s">
        <v>2285</v>
      </c>
    </row>
    <row r="2100" spans="1:16" hidden="1">
      <c r="A2100" s="2">
        <v>202002</v>
      </c>
      <c r="B2100" s="3">
        <v>43888</v>
      </c>
      <c r="C2100" s="2" t="s">
        <v>2317</v>
      </c>
      <c r="D2100" s="2" t="s">
        <v>1639</v>
      </c>
      <c r="E2100" s="2">
        <v>-0.28000000000000003</v>
      </c>
      <c r="F2100" s="2" t="s">
        <v>16</v>
      </c>
      <c r="J2100" s="2">
        <v>0.28000000000000003</v>
      </c>
      <c r="K2100" s="2" t="b">
        <v>0</v>
      </c>
      <c r="L2100" s="2"/>
      <c r="M2100" s="2"/>
      <c r="N2100" s="4" t="s">
        <v>2273</v>
      </c>
      <c r="O2100" s="4" t="str">
        <f>LEFT(Table2[[#This Row],[Description]],75)</f>
        <v>SCHWAB1 INT 01/30-02/26</v>
      </c>
      <c r="P2100" s="2" t="s">
        <v>2380</v>
      </c>
    </row>
    <row r="2101" spans="1:16" hidden="1">
      <c r="A2101" s="2">
        <v>202002</v>
      </c>
      <c r="B2101" s="3">
        <v>43888</v>
      </c>
      <c r="C2101" s="2" t="s">
        <v>2460</v>
      </c>
      <c r="D2101" s="2" t="s">
        <v>1639</v>
      </c>
      <c r="E2101" s="2">
        <v>-0.28000000000000003</v>
      </c>
      <c r="F2101" s="2" t="s">
        <v>16</v>
      </c>
      <c r="J2101" s="2">
        <v>0.28000000000000003</v>
      </c>
      <c r="K2101" s="2" t="b">
        <v>0</v>
      </c>
      <c r="L2101" s="2"/>
      <c r="M2101" s="2"/>
      <c r="N2101" s="4" t="s">
        <v>2273</v>
      </c>
      <c r="O2101" s="4" t="str">
        <f>LEFT(Table2[[#This Row],[Description]],75)</f>
        <v>SCHWAB1 INT 01/30-02/26</v>
      </c>
      <c r="P2101" s="2" t="s">
        <v>2380</v>
      </c>
    </row>
    <row r="2102" spans="1:16" hidden="1">
      <c r="A2102" s="2">
        <v>202002</v>
      </c>
      <c r="B2102" s="3">
        <v>43888</v>
      </c>
      <c r="C2102" s="2" t="s">
        <v>2262</v>
      </c>
      <c r="D2102" s="2" t="s">
        <v>2030</v>
      </c>
      <c r="E2102" s="2">
        <v>37.520000000000003</v>
      </c>
      <c r="F2102" s="2" t="s">
        <v>26</v>
      </c>
      <c r="J2102" s="2">
        <v>37.520000000000003</v>
      </c>
      <c r="K2102" s="2" t="b">
        <v>0</v>
      </c>
      <c r="L2102" s="2"/>
      <c r="M2102" s="2"/>
      <c r="N2102" s="4" t="s">
        <v>2259</v>
      </c>
      <c r="O2102" s="4" t="str">
        <f>LEFT(Table2[[#This Row],[Description]],75)</f>
        <v>TST OLIVE S FRESH EXCELSEXCELSIOR MN 291657928</v>
      </c>
      <c r="P2102" s="2" t="s">
        <v>2281</v>
      </c>
    </row>
    <row r="2103" spans="1:16" hidden="1">
      <c r="A2103" s="2">
        <v>202002</v>
      </c>
      <c r="B2103" s="3">
        <v>43888</v>
      </c>
      <c r="C2103" s="2" t="s">
        <v>2265</v>
      </c>
      <c r="D2103" s="2" t="s">
        <v>2166</v>
      </c>
      <c r="E2103" s="2">
        <v>5000</v>
      </c>
      <c r="F2103" s="2" t="s">
        <v>9</v>
      </c>
      <c r="J2103" s="2">
        <v>5000</v>
      </c>
      <c r="K2103" s="2" t="b">
        <v>0</v>
      </c>
      <c r="L2103" s="2"/>
      <c r="M2103" s="2"/>
      <c r="N2103" s="4" t="s">
        <v>2259</v>
      </c>
      <c r="O2103" s="4" t="str">
        <f>LEFT(Table2[[#This Row],[Description]],75)</f>
        <v>Withdrawal ACH TYPE Online ID ACH ECC WEB 291657927</v>
      </c>
      <c r="P2103" s="2" t="s">
        <v>2281</v>
      </c>
    </row>
    <row r="2104" spans="1:16" hidden="1">
      <c r="A2104" s="2">
        <v>202002</v>
      </c>
      <c r="B2104" s="3">
        <v>43889</v>
      </c>
      <c r="C2104" s="2" t="s">
        <v>2274</v>
      </c>
      <c r="D2104" s="2" t="s">
        <v>275</v>
      </c>
      <c r="E2104" s="2">
        <v>-5000</v>
      </c>
      <c r="F2104" s="2" t="s">
        <v>9</v>
      </c>
      <c r="J2104" s="2">
        <v>5000</v>
      </c>
      <c r="K2104" s="2" t="b">
        <v>0</v>
      </c>
      <c r="L2104" s="2"/>
      <c r="M2104" s="2"/>
      <c r="N2104" s="4" t="s">
        <v>2273</v>
      </c>
      <c r="O2104" s="4" t="str">
        <f>LEFT(Table2[[#This Row],[Description]],75)</f>
        <v>Bcu Online</v>
      </c>
      <c r="P2104" s="2" t="s">
        <v>2281</v>
      </c>
    </row>
    <row r="2105" spans="1:16" hidden="1">
      <c r="A2105" s="2">
        <v>202002</v>
      </c>
      <c r="B2105" s="3">
        <v>43889</v>
      </c>
      <c r="C2105" s="2" t="s">
        <v>2317</v>
      </c>
      <c r="D2105" s="2" t="s">
        <v>305</v>
      </c>
      <c r="E2105" s="2">
        <v>823.54</v>
      </c>
      <c r="F2105" s="2" t="s">
        <v>69</v>
      </c>
      <c r="J2105" s="2">
        <v>823.54</v>
      </c>
      <c r="K2105" s="2" t="b">
        <v>0</v>
      </c>
      <c r="L2105" s="2"/>
      <c r="M2105" s="2"/>
      <c r="N2105" s="4" t="s">
        <v>2259</v>
      </c>
      <c r="O2105" s="4" t="str">
        <f>LEFT(Table2[[#This Row],[Description]],75)</f>
        <v>BOEING CO</v>
      </c>
      <c r="P2105" s="2" t="s">
        <v>2425</v>
      </c>
    </row>
    <row r="2106" spans="1:16" hidden="1">
      <c r="A2106" s="2">
        <v>202002</v>
      </c>
      <c r="B2106" s="3">
        <v>43889</v>
      </c>
      <c r="C2106" s="2" t="s">
        <v>2460</v>
      </c>
      <c r="D2106" s="2" t="s">
        <v>305</v>
      </c>
      <c r="E2106" s="2">
        <v>823.54</v>
      </c>
      <c r="F2106" s="2" t="s">
        <v>69</v>
      </c>
      <c r="J2106" s="2">
        <v>823.54</v>
      </c>
      <c r="K2106" s="2" t="b">
        <v>0</v>
      </c>
      <c r="L2106" s="2"/>
      <c r="M2106" s="2"/>
      <c r="N2106" s="4" t="s">
        <v>2259</v>
      </c>
      <c r="O2106" s="4" t="str">
        <f>LEFT(Table2[[#This Row],[Description]],75)</f>
        <v>BOEING CO</v>
      </c>
      <c r="P2106" s="2" t="s">
        <v>2425</v>
      </c>
    </row>
    <row r="2107" spans="1:16" hidden="1">
      <c r="A2107" s="2">
        <v>202002</v>
      </c>
      <c r="B2107" s="3">
        <v>43889</v>
      </c>
      <c r="C2107" s="2" t="s">
        <v>2262</v>
      </c>
      <c r="D2107" s="2" t="s">
        <v>319</v>
      </c>
      <c r="E2107" s="2">
        <v>43.19</v>
      </c>
      <c r="F2107" s="2" t="s">
        <v>40</v>
      </c>
      <c r="J2107" s="2">
        <v>43.19</v>
      </c>
      <c r="K2107" s="2" t="b">
        <v>0</v>
      </c>
      <c r="L2107" s="2"/>
      <c r="M2107" s="2"/>
      <c r="N2107" s="4" t="s">
        <v>2259</v>
      </c>
      <c r="O2107" s="4" t="str">
        <f>LEFT(Table2[[#This Row],[Description]],75)</f>
        <v>Bridgewater Bank</v>
      </c>
      <c r="P2107" s="2" t="s">
        <v>2281</v>
      </c>
    </row>
    <row r="2108" spans="1:16" hidden="1">
      <c r="A2108" s="2">
        <v>202002</v>
      </c>
      <c r="B2108" s="3">
        <v>43889</v>
      </c>
      <c r="C2108" s="2" t="s">
        <v>2274</v>
      </c>
      <c r="D2108" s="2" t="s">
        <v>880</v>
      </c>
      <c r="E2108" s="2">
        <v>5000</v>
      </c>
      <c r="F2108" s="2" t="s">
        <v>9</v>
      </c>
      <c r="J2108" s="2">
        <v>5000</v>
      </c>
      <c r="K2108" s="2" t="b">
        <v>0</v>
      </c>
      <c r="L2108" s="2"/>
      <c r="M2108" s="2"/>
      <c r="N2108" s="4" t="s">
        <v>2259</v>
      </c>
      <c r="O2108" s="4" t="str">
        <f>LEFT(Table2[[#This Row],[Description]],75)</f>
        <v>Funds Transfer to Brokerage -5308</v>
      </c>
      <c r="P2108" s="2" t="s">
        <v>2281</v>
      </c>
    </row>
    <row r="2109" spans="1:16" hidden="1">
      <c r="A2109" s="2">
        <v>202002</v>
      </c>
      <c r="B2109" s="3">
        <v>43889</v>
      </c>
      <c r="C2109" s="2" t="s">
        <v>2262</v>
      </c>
      <c r="D2109" s="2" t="s">
        <v>947</v>
      </c>
      <c r="E2109" s="2">
        <v>-96.61</v>
      </c>
      <c r="F2109" s="2" t="s">
        <v>2</v>
      </c>
      <c r="J2109" s="2">
        <v>96.61</v>
      </c>
      <c r="K2109" s="2" t="b">
        <v>0</v>
      </c>
      <c r="L2109" s="2"/>
      <c r="M2109" s="2"/>
      <c r="N2109" s="4" t="s">
        <v>2273</v>
      </c>
      <c r="O2109" s="4" t="str">
        <f>LEFT(Table2[[#This Row],[Description]],75)</f>
        <v>Home Depot</v>
      </c>
      <c r="P2109" s="2" t="s">
        <v>2396</v>
      </c>
    </row>
    <row r="2110" spans="1:16" hidden="1">
      <c r="A2110" s="2">
        <v>202002</v>
      </c>
      <c r="B2110" s="3">
        <v>43889</v>
      </c>
      <c r="C2110" s="2" t="s">
        <v>2274</v>
      </c>
      <c r="D2110" s="2" t="s">
        <v>994</v>
      </c>
      <c r="E2110" s="2">
        <v>-0.09</v>
      </c>
      <c r="F2110" s="2" t="s">
        <v>9</v>
      </c>
      <c r="J2110" s="2">
        <v>0.09</v>
      </c>
      <c r="K2110" s="2" t="b">
        <v>0</v>
      </c>
      <c r="L2110" s="2"/>
      <c r="M2110" s="2"/>
      <c r="N2110" s="4" t="s">
        <v>2273</v>
      </c>
      <c r="O2110" s="4" t="str">
        <f>LEFT(Table2[[#This Row],[Description]],75)</f>
        <v>Interest Paid</v>
      </c>
      <c r="P2110" s="2" t="s">
        <v>2281</v>
      </c>
    </row>
    <row r="2111" spans="1:16" hidden="1">
      <c r="A2111" s="2">
        <v>202002</v>
      </c>
      <c r="B2111" s="3">
        <v>43889</v>
      </c>
      <c r="C2111" s="2" t="s">
        <v>2317</v>
      </c>
      <c r="D2111" s="2" t="s">
        <v>1037</v>
      </c>
      <c r="E2111" s="2">
        <v>-250</v>
      </c>
      <c r="F2111" s="2" t="s">
        <v>59</v>
      </c>
      <c r="J2111" s="2">
        <v>250</v>
      </c>
      <c r="K2111" s="2" t="b">
        <v>0</v>
      </c>
      <c r="L2111" s="2"/>
      <c r="M2111" s="2"/>
      <c r="N2111" s="4" t="s">
        <v>2273</v>
      </c>
      <c r="O2111" s="4" t="str">
        <f>LEFT(Table2[[#This Row],[Description]],75)</f>
        <v>KAUFMAN HALL</v>
      </c>
      <c r="P2111" s="2" t="s">
        <v>2375</v>
      </c>
    </row>
    <row r="2112" spans="1:16" hidden="1">
      <c r="A2112" s="2">
        <v>202002</v>
      </c>
      <c r="B2112" s="3">
        <v>43889</v>
      </c>
      <c r="C2112" s="2" t="s">
        <v>2460</v>
      </c>
      <c r="D2112" s="2" t="s">
        <v>1037</v>
      </c>
      <c r="E2112" s="2">
        <v>-250</v>
      </c>
      <c r="F2112" s="2" t="s">
        <v>59</v>
      </c>
      <c r="J2112" s="2">
        <v>250</v>
      </c>
      <c r="K2112" s="2" t="b">
        <v>0</v>
      </c>
      <c r="L2112" s="2"/>
      <c r="M2112" s="2"/>
      <c r="N2112" s="4" t="s">
        <v>2273</v>
      </c>
      <c r="O2112" s="4" t="str">
        <f>LEFT(Table2[[#This Row],[Description]],75)</f>
        <v>KAUFMAN HALL</v>
      </c>
      <c r="P2112" s="2" t="s">
        <v>2375</v>
      </c>
    </row>
    <row r="2113" spans="1:16" hidden="1">
      <c r="A2113" s="2">
        <v>202002</v>
      </c>
      <c r="B2113" s="3">
        <v>43889</v>
      </c>
      <c r="C2113" s="2" t="s">
        <v>2317</v>
      </c>
      <c r="D2113" s="2" t="s">
        <v>1633</v>
      </c>
      <c r="E2113" s="2">
        <v>500</v>
      </c>
      <c r="F2113" s="2" t="s">
        <v>9</v>
      </c>
      <c r="J2113" s="2">
        <v>500</v>
      </c>
      <c r="K2113" s="2" t="b">
        <v>0</v>
      </c>
      <c r="L2113" s="2"/>
      <c r="M2113" s="2"/>
      <c r="N2113" s="4" t="s">
        <v>2259</v>
      </c>
      <c r="O2113" s="4" t="str">
        <f>LEFT(Table2[[#This Row],[Description]],75)</f>
        <v>SCHWAB S&amp;P 500 INDEX FD</v>
      </c>
      <c r="P2113" s="2" t="s">
        <v>2276</v>
      </c>
    </row>
    <row r="2114" spans="1:16" hidden="1">
      <c r="A2114" s="2">
        <v>202002</v>
      </c>
      <c r="B2114" s="3">
        <v>43889</v>
      </c>
      <c r="C2114" s="2" t="s">
        <v>2460</v>
      </c>
      <c r="D2114" s="2" t="s">
        <v>1633</v>
      </c>
      <c r="E2114" s="2">
        <v>500</v>
      </c>
      <c r="F2114" s="2" t="s">
        <v>9</v>
      </c>
      <c r="J2114" s="2">
        <v>500</v>
      </c>
      <c r="K2114" s="2" t="b">
        <v>0</v>
      </c>
      <c r="L2114" s="2"/>
      <c r="M2114" s="2"/>
      <c r="N2114" s="4" t="s">
        <v>2259</v>
      </c>
      <c r="O2114" s="4" t="str">
        <f>LEFT(Table2[[#This Row],[Description]],75)</f>
        <v>SCHWAB S&amp;P 500 INDEX FD</v>
      </c>
      <c r="P2114" s="2" t="s">
        <v>2276</v>
      </c>
    </row>
    <row r="2115" spans="1:16" hidden="1">
      <c r="A2115" s="2">
        <v>202002</v>
      </c>
      <c r="B2115" s="3">
        <v>43889</v>
      </c>
      <c r="C2115" s="2" t="s">
        <v>2317</v>
      </c>
      <c r="D2115" s="2" t="s">
        <v>1635</v>
      </c>
      <c r="E2115" s="2">
        <v>500</v>
      </c>
      <c r="F2115" s="2" t="s">
        <v>9</v>
      </c>
      <c r="J2115" s="2">
        <v>500</v>
      </c>
      <c r="K2115" s="2" t="b">
        <v>0</v>
      </c>
      <c r="L2115" s="2"/>
      <c r="M2115" s="2"/>
      <c r="N2115" s="4" t="s">
        <v>2259</v>
      </c>
      <c r="O2115" s="4" t="str">
        <f>LEFT(Table2[[#This Row],[Description]],75)</f>
        <v>SCHWAB TOTAL STOCK MKT INDEX</v>
      </c>
      <c r="P2115" s="2" t="s">
        <v>2278</v>
      </c>
    </row>
    <row r="2116" spans="1:16" hidden="1">
      <c r="A2116" s="2">
        <v>202002</v>
      </c>
      <c r="B2116" s="3">
        <v>43889</v>
      </c>
      <c r="C2116" s="2" t="s">
        <v>2460</v>
      </c>
      <c r="D2116" s="2" t="s">
        <v>1635</v>
      </c>
      <c r="E2116" s="2">
        <v>500</v>
      </c>
      <c r="F2116" s="2" t="s">
        <v>9</v>
      </c>
      <c r="J2116" s="2">
        <v>500</v>
      </c>
      <c r="K2116" s="2" t="b">
        <v>0</v>
      </c>
      <c r="L2116" s="2"/>
      <c r="M2116" s="2"/>
      <c r="N2116" s="4" t="s">
        <v>2259</v>
      </c>
      <c r="O2116" s="4" t="str">
        <f>LEFT(Table2[[#This Row],[Description]],75)</f>
        <v>SCHWAB TOTAL STOCK MKT INDEX</v>
      </c>
      <c r="P2116" s="2" t="s">
        <v>2278</v>
      </c>
    </row>
    <row r="2117" spans="1:16" hidden="1">
      <c r="A2117" s="2">
        <v>202002</v>
      </c>
      <c r="B2117" s="3">
        <v>43889</v>
      </c>
      <c r="C2117" s="2" t="s">
        <v>2435</v>
      </c>
      <c r="D2117" s="2" t="s">
        <v>1837</v>
      </c>
      <c r="E2117" s="2">
        <v>-250</v>
      </c>
      <c r="F2117" s="2" t="s">
        <v>57</v>
      </c>
      <c r="J2117" s="2">
        <v>250</v>
      </c>
      <c r="K2117" s="2" t="b">
        <v>0</v>
      </c>
      <c r="L2117" s="2"/>
      <c r="M2117" s="2"/>
      <c r="N2117" s="4" t="s">
        <v>2273</v>
      </c>
      <c r="O2117" s="4" t="str">
        <f>LEFT(Table2[[#This Row],[Description]],75)</f>
        <v>Tfr JPMORGAN CHASE BAN, KAUFMAN HALL</v>
      </c>
      <c r="P2117" s="2" t="s">
        <v>2288</v>
      </c>
    </row>
    <row r="2118" spans="1:16" hidden="1">
      <c r="A2118" s="2">
        <v>202002</v>
      </c>
      <c r="B2118" s="3">
        <v>43889</v>
      </c>
      <c r="C2118" s="2" t="s">
        <v>2262</v>
      </c>
      <c r="D2118" s="2" t="s">
        <v>1876</v>
      </c>
      <c r="E2118" s="2">
        <v>-268.79000000000002</v>
      </c>
      <c r="F2118" s="2" t="s">
        <v>21</v>
      </c>
      <c r="J2118" s="2">
        <v>268.79000000000002</v>
      </c>
      <c r="K2118" s="2" t="b">
        <v>0</v>
      </c>
      <c r="L2118" s="2"/>
      <c r="M2118" s="2"/>
      <c r="N2118" s="4" t="s">
        <v>2273</v>
      </c>
      <c r="O2118" s="4" t="str">
        <f>LEFT(Table2[[#This Row],[Description]],75)</f>
        <v>TJ Maxx</v>
      </c>
      <c r="P2118" s="2" t="s">
        <v>2281</v>
      </c>
    </row>
    <row r="2119" spans="1:16" hidden="1">
      <c r="A2119" s="2">
        <v>202002</v>
      </c>
      <c r="B2119" s="3">
        <v>43889</v>
      </c>
      <c r="C2119" s="2" t="s">
        <v>2317</v>
      </c>
      <c r="D2119" s="2" t="s">
        <v>1949</v>
      </c>
      <c r="E2119" s="2">
        <v>-5000</v>
      </c>
      <c r="F2119" s="2" t="s">
        <v>9</v>
      </c>
      <c r="J2119" s="2">
        <v>5000</v>
      </c>
      <c r="K2119" s="2" t="b">
        <v>0</v>
      </c>
      <c r="L2119" s="2"/>
      <c r="M2119" s="2"/>
      <c r="N2119" s="4" t="s">
        <v>2273</v>
      </c>
      <c r="O2119" s="4" t="str">
        <f>LEFT(Table2[[#This Row],[Description]],75)</f>
        <v>TRANSFER FUNDS FROM SCHWAB BANK - 440020765184</v>
      </c>
      <c r="P2119" s="2" t="s">
        <v>2385</v>
      </c>
    </row>
    <row r="2120" spans="1:16" hidden="1">
      <c r="A2120" s="2">
        <v>202002</v>
      </c>
      <c r="B2120" s="3">
        <v>43889</v>
      </c>
      <c r="C2120" s="2" t="s">
        <v>2460</v>
      </c>
      <c r="D2120" s="2" t="s">
        <v>1949</v>
      </c>
      <c r="E2120" s="2">
        <v>-5000</v>
      </c>
      <c r="F2120" s="2" t="s">
        <v>9</v>
      </c>
      <c r="J2120" s="2">
        <v>5000</v>
      </c>
      <c r="K2120" s="2" t="b">
        <v>0</v>
      </c>
      <c r="L2120" s="2"/>
      <c r="M2120" s="2"/>
      <c r="N2120" s="4" t="s">
        <v>2273</v>
      </c>
      <c r="O2120" s="4" t="str">
        <f>LEFT(Table2[[#This Row],[Description]],75)</f>
        <v>TRANSFER FUNDS FROM SCHWAB BANK - 440020765184</v>
      </c>
      <c r="P2120" s="2" t="s">
        <v>2281</v>
      </c>
    </row>
    <row r="2121" spans="1:16" hidden="1">
      <c r="A2121" s="2">
        <v>202002</v>
      </c>
      <c r="B2121" s="3">
        <v>43890</v>
      </c>
      <c r="C2121" s="2" t="s">
        <v>2262</v>
      </c>
      <c r="D2121" s="2" t="s">
        <v>38</v>
      </c>
      <c r="E2121" s="2">
        <v>15.31</v>
      </c>
      <c r="F2121" s="2" t="s">
        <v>38</v>
      </c>
      <c r="J2121" s="2">
        <v>15.31</v>
      </c>
      <c r="K2121" s="2" t="b">
        <v>0</v>
      </c>
      <c r="L2121" s="2"/>
      <c r="M2121" s="2"/>
      <c r="N2121" s="4" t="s">
        <v>2259</v>
      </c>
      <c r="O2121" s="4" t="str">
        <f>LEFT(Table2[[#This Row],[Description]],75)</f>
        <v>Amazon</v>
      </c>
      <c r="P2121" s="2" t="s">
        <v>2260</v>
      </c>
    </row>
    <row r="2122" spans="1:16" hidden="1">
      <c r="A2122" s="2">
        <v>202002</v>
      </c>
      <c r="B2122" s="3">
        <v>43890</v>
      </c>
      <c r="C2122" s="2" t="s">
        <v>2262</v>
      </c>
      <c r="D2122" s="2" t="s">
        <v>38</v>
      </c>
      <c r="E2122" s="2">
        <v>21.46</v>
      </c>
      <c r="F2122" s="2" t="s">
        <v>38</v>
      </c>
      <c r="J2122" s="2">
        <v>21.46</v>
      </c>
      <c r="K2122" s="2" t="b">
        <v>0</v>
      </c>
      <c r="L2122" s="2"/>
      <c r="M2122" s="2"/>
      <c r="N2122" s="4" t="s">
        <v>2259</v>
      </c>
      <c r="O2122" s="4" t="str">
        <f>LEFT(Table2[[#This Row],[Description]],75)</f>
        <v>Amazon</v>
      </c>
      <c r="P2122" s="2" t="s">
        <v>2260</v>
      </c>
    </row>
    <row r="2123" spans="1:16" hidden="1">
      <c r="A2123" s="2">
        <v>202002</v>
      </c>
      <c r="B2123" s="3">
        <v>43890</v>
      </c>
      <c r="C2123" s="2" t="s">
        <v>2310</v>
      </c>
      <c r="D2123" s="2" t="s">
        <v>167</v>
      </c>
      <c r="E2123" s="2">
        <v>-0.02</v>
      </c>
      <c r="F2123" s="2" t="s">
        <v>9</v>
      </c>
      <c r="J2123" s="2">
        <v>0.02</v>
      </c>
      <c r="K2123" s="2" t="b">
        <v>0</v>
      </c>
      <c r="L2123" s="2"/>
      <c r="M2123" s="2"/>
      <c r="N2123" s="4" t="s">
        <v>2273</v>
      </c>
      <c r="O2123" s="4" t="str">
        <f>LEFT(Table2[[#This Row],[Description]],75)</f>
        <v>Apy Earned</v>
      </c>
      <c r="P2123" s="2" t="s">
        <v>2281</v>
      </c>
    </row>
    <row r="2124" spans="1:16" hidden="1">
      <c r="A2124" s="2">
        <v>202002</v>
      </c>
      <c r="B2124" s="3">
        <v>43890</v>
      </c>
      <c r="C2124" s="2" t="s">
        <v>2447</v>
      </c>
      <c r="D2124" s="2" t="s">
        <v>684</v>
      </c>
      <c r="E2124" s="2">
        <v>134.96</v>
      </c>
      <c r="F2124" s="2" t="s">
        <v>28</v>
      </c>
      <c r="J2124" s="2">
        <v>134.96</v>
      </c>
      <c r="K2124" s="2" t="b">
        <v>0</v>
      </c>
      <c r="L2124" s="2"/>
      <c r="M2124" s="2"/>
      <c r="N2124" s="4" t="s">
        <v>2259</v>
      </c>
      <c r="O2124" s="4" t="str">
        <f>LEFT(Table2[[#This Row],[Description]],75)</f>
        <v>Cub Foods</v>
      </c>
      <c r="P2124" s="2" t="s">
        <v>2370</v>
      </c>
    </row>
    <row r="2125" spans="1:16" hidden="1">
      <c r="A2125" s="2">
        <v>202002</v>
      </c>
      <c r="B2125" s="3">
        <v>43890</v>
      </c>
      <c r="C2125" s="2" t="s">
        <v>2258</v>
      </c>
      <c r="D2125" s="2" t="s">
        <v>684</v>
      </c>
      <c r="E2125" s="2">
        <v>134.96</v>
      </c>
      <c r="F2125" s="2" t="s">
        <v>28</v>
      </c>
      <c r="J2125" s="2">
        <v>134.96</v>
      </c>
      <c r="K2125" s="2" t="b">
        <v>0</v>
      </c>
      <c r="L2125" s="2"/>
      <c r="M2125" s="2"/>
      <c r="N2125" s="4" t="s">
        <v>2259</v>
      </c>
      <c r="O2125" s="4" t="str">
        <f>LEFT(Table2[[#This Row],[Description]],75)</f>
        <v>Cub Foods</v>
      </c>
      <c r="P2125" s="2" t="s">
        <v>2370</v>
      </c>
    </row>
    <row r="2126" spans="1:16" hidden="1">
      <c r="A2126" s="2">
        <v>202002</v>
      </c>
      <c r="B2126" s="3">
        <v>43890</v>
      </c>
      <c r="C2126" s="2" t="s">
        <v>2300</v>
      </c>
      <c r="D2126" s="2" t="s">
        <v>1709</v>
      </c>
      <c r="E2126" s="2">
        <v>-17.22</v>
      </c>
      <c r="F2126" s="2" t="s">
        <v>16</v>
      </c>
      <c r="J2126" s="2">
        <v>17.22</v>
      </c>
      <c r="K2126" s="2" t="b">
        <v>0</v>
      </c>
      <c r="L2126" s="2"/>
      <c r="M2126" s="2"/>
      <c r="N2126" s="4" t="s">
        <v>2273</v>
      </c>
      <c r="O2126" s="4" t="str">
        <f>LEFT(Table2[[#This Row],[Description]],75)</f>
        <v>Split Rate Apy</v>
      </c>
      <c r="P2126" s="2" t="s">
        <v>2313</v>
      </c>
    </row>
    <row r="2127" spans="1:16" hidden="1">
      <c r="A2127" s="2">
        <v>202002</v>
      </c>
      <c r="B2127" s="3">
        <v>43890</v>
      </c>
      <c r="C2127" s="2" t="s">
        <v>2265</v>
      </c>
      <c r="D2127" s="2" t="s">
        <v>1709</v>
      </c>
      <c r="E2127" s="2">
        <v>-34.770000000000003</v>
      </c>
      <c r="F2127" s="2" t="s">
        <v>16</v>
      </c>
      <c r="J2127" s="2">
        <v>34.770000000000003</v>
      </c>
      <c r="K2127" s="2" t="b">
        <v>0</v>
      </c>
      <c r="L2127" s="2"/>
      <c r="M2127" s="2"/>
      <c r="N2127" s="4" t="s">
        <v>2273</v>
      </c>
      <c r="O2127" s="4" t="str">
        <f>LEFT(Table2[[#This Row],[Description]],75)</f>
        <v>Split Rate Apy</v>
      </c>
      <c r="P2127" s="2" t="s">
        <v>2313</v>
      </c>
    </row>
    <row r="2128" spans="1:16" hidden="1">
      <c r="A2128" s="2">
        <v>202003</v>
      </c>
      <c r="B2128" s="3">
        <v>43891</v>
      </c>
      <c r="C2128" s="2" t="s">
        <v>2314</v>
      </c>
      <c r="D2128" s="2" t="s">
        <v>867</v>
      </c>
      <c r="E2128" s="2">
        <v>-571.16999999999996</v>
      </c>
      <c r="F2128" s="2" t="e">
        <f>IF(Table2[[#This Row],[Manual Cat Value]]="",VLOOKUP(Table2[[#This Row],[Description]],'Actuals Lookup'!D:F,3,0),Table2[[#This Row],[Manual Cat Value]])</f>
        <v>#N/A</v>
      </c>
      <c r="J2128" s="2">
        <v>571.16999999999996</v>
      </c>
      <c r="K2128" s="2" t="b">
        <v>0</v>
      </c>
      <c r="L2128" s="2"/>
      <c r="M2128" s="2"/>
      <c r="N2128" s="4" t="s">
        <v>2273</v>
      </c>
      <c r="O2128" s="4" t="str">
        <f>LEFT(Table2[[#This Row],[Description]],75)</f>
        <v>From Share 70 292430008</v>
      </c>
      <c r="P2128" s="2"/>
    </row>
    <row r="2129" spans="1:16" hidden="1">
      <c r="A2129" s="2">
        <v>202003</v>
      </c>
      <c r="B2129" s="3">
        <v>43891</v>
      </c>
      <c r="C2129" s="2" t="s">
        <v>2265</v>
      </c>
      <c r="D2129" s="2" t="s">
        <v>1885</v>
      </c>
      <c r="E2129" s="2">
        <v>618.65</v>
      </c>
      <c r="F2129" s="2" t="e">
        <f>IF(Table2[[#This Row],[Manual Cat Value]]="",VLOOKUP(Table2[[#This Row],[Description]],'Actuals Lookup'!D:F,3,0),Table2[[#This Row],[Manual Cat Value]])</f>
        <v>#N/A</v>
      </c>
      <c r="J2129" s="2">
        <v>618.65</v>
      </c>
      <c r="K2129" s="2" t="b">
        <v>0</v>
      </c>
      <c r="L2129" s="2"/>
      <c r="M2129" s="2"/>
      <c r="N2129" s="4" t="s">
        <v>2259</v>
      </c>
      <c r="O2129" s="4" t="str">
        <f>LEFT(Table2[[#This Row],[Description]],75)</f>
        <v>To Loan 02 292299026</v>
      </c>
      <c r="P2129" s="2" t="s">
        <v>2316</v>
      </c>
    </row>
    <row r="2130" spans="1:16" hidden="1">
      <c r="A2130" s="2">
        <v>202003</v>
      </c>
      <c r="B2130" s="3">
        <v>43891</v>
      </c>
      <c r="C2130" s="2" t="s">
        <v>2265</v>
      </c>
      <c r="D2130" s="2" t="s">
        <v>2112</v>
      </c>
      <c r="E2130" s="2">
        <v>-119</v>
      </c>
      <c r="F2130" s="2" t="e">
        <f>IF(Table2[[#This Row],[Manual Cat Value]]="",VLOOKUP(Table2[[#This Row],[Description]],'Actuals Lookup'!D:F,3,0),Table2[[#This Row],[Manual Cat Value]])</f>
        <v>#N/A</v>
      </c>
      <c r="J2130" s="2">
        <v>119</v>
      </c>
      <c r="K2130" s="2" t="b">
        <v>0</v>
      </c>
      <c r="L2130" s="2"/>
      <c r="M2130" s="2"/>
      <c r="N2130" s="4" t="s">
        <v>2273</v>
      </c>
      <c r="O2130" s="4" t="str">
        <f>LEFT(Table2[[#This Row],[Description]],75)</f>
        <v>Venmo Type Cashout</v>
      </c>
      <c r="P2130" s="2" t="s">
        <v>2279</v>
      </c>
    </row>
    <row r="2131" spans="1:16" hidden="1">
      <c r="A2131" s="2">
        <v>202003</v>
      </c>
      <c r="B2131" s="3">
        <v>43891</v>
      </c>
      <c r="C2131" s="2" t="s">
        <v>2265</v>
      </c>
      <c r="D2131" s="2" t="s">
        <v>2114</v>
      </c>
      <c r="E2131" s="2">
        <v>-0.56000000000000005</v>
      </c>
      <c r="F2131" s="2" t="e">
        <f>IF(Table2[[#This Row],[Manual Cat Value]]="",VLOOKUP(Table2[[#This Row],[Description]],'Actuals Lookup'!D:F,3,0),Table2[[#This Row],[Manual Cat Value]])</f>
        <v>#N/A</v>
      </c>
      <c r="J2131" s="2">
        <v>0.56000000000000005</v>
      </c>
      <c r="K2131" s="2" t="b">
        <v>0</v>
      </c>
      <c r="L2131" s="2"/>
      <c r="M2131" s="2"/>
      <c r="N2131" s="4" t="s">
        <v>2273</v>
      </c>
      <c r="O2131" s="4" t="str">
        <f>LEFT(Table2[[#This Row],[Description]],75)</f>
        <v>Venmo Type Verifyban</v>
      </c>
      <c r="P2131" s="2" t="s">
        <v>2281</v>
      </c>
    </row>
    <row r="2132" spans="1:16" hidden="1">
      <c r="A2132" s="2">
        <v>202003</v>
      </c>
      <c r="B2132" s="3">
        <v>43892</v>
      </c>
      <c r="C2132" s="2" t="s">
        <v>2262</v>
      </c>
      <c r="D2132" s="2" t="s">
        <v>114</v>
      </c>
      <c r="E2132" s="2">
        <v>4.28</v>
      </c>
      <c r="F2132" s="2" t="str">
        <f>IF(Table2[[#This Row],[Manual Cat Value]]="",VLOOKUP(Table2[[#This Row],[Description]],'Actuals Lookup'!D:F,3,0),Table2[[#This Row],[Manual Cat Value]])</f>
        <v>Entertainment</v>
      </c>
      <c r="J2132" s="2">
        <v>4.28</v>
      </c>
      <c r="K2132" s="2" t="b">
        <v>0</v>
      </c>
      <c r="L2132" s="2"/>
      <c r="M2132" s="2"/>
      <c r="N2132" s="4" t="s">
        <v>2259</v>
      </c>
      <c r="O2132" s="4" t="str">
        <f>LEFT(Table2[[#This Row],[Description]],75)</f>
        <v>Amazon Music</v>
      </c>
      <c r="P2132" s="2" t="s">
        <v>2466</v>
      </c>
    </row>
    <row r="2133" spans="1:16" hidden="1">
      <c r="A2133" s="2">
        <v>202003</v>
      </c>
      <c r="B2133" s="3">
        <v>43892</v>
      </c>
      <c r="C2133" s="2" t="s">
        <v>2265</v>
      </c>
      <c r="D2133" s="2" t="s">
        <v>589</v>
      </c>
      <c r="E2133" s="2">
        <v>200</v>
      </c>
      <c r="F2133" s="2" t="e">
        <f>IF(Table2[[#This Row],[Manual Cat Value]]="",VLOOKUP(Table2[[#This Row],[Description]],'Actuals Lookup'!D:F,3,0),Table2[[#This Row],[Manual Cat Value]])</f>
        <v>#N/A</v>
      </c>
      <c r="J2133" s="2">
        <v>200</v>
      </c>
      <c r="K2133" s="2" t="b">
        <v>0</v>
      </c>
      <c r="L2133" s="2"/>
      <c r="M2133" s="2"/>
      <c r="N2133" s="4" t="s">
        <v>2259</v>
      </c>
      <c r="O2133" s="4" t="str">
        <f>LEFT(Table2[[#This Row],[Description]],75)</f>
        <v>College Savings TYPE ACH ID 550895818 CO College Savings ACH ECC PPD ACH Tr</v>
      </c>
      <c r="P2133" s="2" t="s">
        <v>2272</v>
      </c>
    </row>
    <row r="2134" spans="1:16" hidden="1">
      <c r="A2134" s="2">
        <v>202003</v>
      </c>
      <c r="B2134" s="3">
        <v>43892</v>
      </c>
      <c r="C2134" s="2" t="s">
        <v>2317</v>
      </c>
      <c r="D2134" s="2" t="s">
        <v>978</v>
      </c>
      <c r="E2134" s="2">
        <v>-24.31</v>
      </c>
      <c r="F2134" s="2" t="e">
        <f>IF(Table2[[#This Row],[Manual Cat Value]]="",VLOOKUP(Table2[[#This Row],[Description]],'Actuals Lookup'!D:F,3,0),Table2[[#This Row],[Manual Cat Value]])</f>
        <v>#N/A</v>
      </c>
      <c r="J2134" s="2">
        <v>24.31</v>
      </c>
      <c r="K2134" s="2" t="b">
        <v>0</v>
      </c>
      <c r="L2134" s="2"/>
      <c r="M2134" s="2"/>
      <c r="N2134" s="4" t="s">
        <v>2273</v>
      </c>
      <c r="O2134" s="4" t="str">
        <f>LEFT(Table2[[#This Row],[Description]],75)</f>
        <v>INTEL CORP</v>
      </c>
      <c r="P2134" s="2" t="s">
        <v>2422</v>
      </c>
    </row>
    <row r="2135" spans="1:16" hidden="1">
      <c r="A2135" s="2">
        <v>202003</v>
      </c>
      <c r="B2135" s="3">
        <v>43892</v>
      </c>
      <c r="C2135" s="2" t="s">
        <v>2262</v>
      </c>
      <c r="D2135" s="2" t="s">
        <v>1152</v>
      </c>
      <c r="E2135" s="2">
        <v>108.56</v>
      </c>
      <c r="F2135" s="2" t="e">
        <f>IF(Table2[[#This Row],[Manual Cat Value]]="",VLOOKUP(Table2[[#This Row],[Description]],'Actuals Lookup'!D:F,3,0),Table2[[#This Row],[Manual Cat Value]])</f>
        <v>#N/A</v>
      </c>
      <c r="J2135" s="2">
        <v>108.56</v>
      </c>
      <c r="K2135" s="2" t="b">
        <v>0</v>
      </c>
      <c r="L2135" s="2"/>
      <c r="M2135" s="2"/>
      <c r="N2135" s="4" t="s">
        <v>2259</v>
      </c>
      <c r="O2135" s="4" t="str">
        <f>LEFT(Table2[[#This Row],[Description]],75)</f>
        <v>LTFLIFE TIME MO DUES 8884306432 MN 292947024</v>
      </c>
      <c r="P2135" s="2" t="s">
        <v>2397</v>
      </c>
    </row>
    <row r="2136" spans="1:16" hidden="1">
      <c r="A2136" s="2">
        <v>202003</v>
      </c>
      <c r="B2136" s="3">
        <v>43892</v>
      </c>
      <c r="C2136" s="2" t="s">
        <v>2265</v>
      </c>
      <c r="D2136" s="2" t="s">
        <v>1236</v>
      </c>
      <c r="E2136" s="2">
        <v>78.75</v>
      </c>
      <c r="F2136" s="2" t="e">
        <f>IF(Table2[[#This Row],[Manual Cat Value]]="",VLOOKUP(Table2[[#This Row],[Description]],'Actuals Lookup'!D:F,3,0),Table2[[#This Row],[Manual Cat Value]])</f>
        <v>#N/A</v>
      </c>
      <c r="J2136" s="2">
        <v>78.75</v>
      </c>
      <c r="K2136" s="2" t="b">
        <v>0</v>
      </c>
      <c r="L2136" s="2"/>
      <c r="M2136" s="2"/>
      <c r="N2136" s="4" t="s">
        <v>2259</v>
      </c>
      <c r="O2136" s="4" t="str">
        <f>LEFT(Table2[[#This Row],[Description]],75)</f>
        <v>MHCHILDCARELLC TYPE DUES ID CO MHCHILDCARELLC ACH ECC PPD ACH Trace 78019 2</v>
      </c>
      <c r="P2136" s="2" t="s">
        <v>2281</v>
      </c>
    </row>
    <row r="2137" spans="1:16" hidden="1">
      <c r="A2137" s="2">
        <v>202003</v>
      </c>
      <c r="B2137" s="3">
        <v>43892</v>
      </c>
      <c r="C2137" s="2" t="s">
        <v>2265</v>
      </c>
      <c r="D2137" s="2" t="s">
        <v>1471</v>
      </c>
      <c r="E2137" s="2">
        <v>0.99</v>
      </c>
      <c r="F2137" s="2" t="str">
        <f>IF(Table2[[#This Row],[Manual Cat Value]]="",VLOOKUP(Table2[[#This Row],[Description]],'Actuals Lookup'!D:F,3,0),Table2[[#This Row],[Manual Cat Value]])</f>
        <v>Shopping</v>
      </c>
      <c r="J2137" s="2">
        <v>0.99</v>
      </c>
      <c r="K2137" s="2" t="b">
        <v>0</v>
      </c>
      <c r="L2137" s="2"/>
      <c r="M2137" s="2"/>
      <c r="N2137" s="4" t="s">
        <v>2259</v>
      </c>
      <c r="O2137" s="4" t="str">
        <f>LEFT(Table2[[#This Row],[Description]],75)</f>
        <v>PayPal</v>
      </c>
      <c r="P2137" s="2" t="s">
        <v>2322</v>
      </c>
    </row>
    <row r="2138" spans="1:16" hidden="1">
      <c r="A2138" s="2">
        <v>202003</v>
      </c>
      <c r="B2138" s="3">
        <v>43892</v>
      </c>
      <c r="C2138" s="2" t="s">
        <v>2262</v>
      </c>
      <c r="D2138" s="2" t="s">
        <v>1543</v>
      </c>
      <c r="E2138" s="2">
        <v>74.98</v>
      </c>
      <c r="F2138" s="2" t="e">
        <f>IF(Table2[[#This Row],[Manual Cat Value]]="",VLOOKUP(Table2[[#This Row],[Description]],'Actuals Lookup'!D:F,3,0),Table2[[#This Row],[Manual Cat Value]])</f>
        <v>#N/A</v>
      </c>
      <c r="J2138" s="2">
        <v>74.98</v>
      </c>
      <c r="K2138" s="2" t="b">
        <v>0</v>
      </c>
      <c r="L2138" s="2"/>
      <c r="M2138" s="2"/>
      <c r="N2138" s="4" t="s">
        <v>2259</v>
      </c>
      <c r="O2138" s="4" t="str">
        <f>LEFT(Table2[[#This Row],[Description]],75)</f>
        <v>Rally House 8006455409 KS 292947026</v>
      </c>
      <c r="P2138" s="2" t="s">
        <v>2467</v>
      </c>
    </row>
    <row r="2139" spans="1:16" hidden="1">
      <c r="A2139" s="2">
        <v>202003</v>
      </c>
      <c r="B2139" s="3">
        <v>43892</v>
      </c>
      <c r="C2139" s="2" t="s">
        <v>2262</v>
      </c>
      <c r="D2139" s="2" t="s">
        <v>1679</v>
      </c>
      <c r="E2139" s="2">
        <v>159</v>
      </c>
      <c r="F2139" s="2" t="e">
        <f>IF(Table2[[#This Row],[Manual Cat Value]]="",VLOOKUP(Table2[[#This Row],[Description]],'Actuals Lookup'!D:F,3,0),Table2[[#This Row],[Manual Cat Value]])</f>
        <v>#N/A</v>
      </c>
      <c r="J2139" s="2">
        <v>159</v>
      </c>
      <c r="K2139" s="2" t="b">
        <v>0</v>
      </c>
      <c r="L2139" s="2"/>
      <c r="M2139" s="2"/>
      <c r="N2139" s="4" t="s">
        <v>2259</v>
      </c>
      <c r="O2139" s="4" t="str">
        <f>LEFT(Table2[[#This Row],[Description]],75)</f>
        <v>SOTA CLOTHING SAINT LOUIS MN 292947023</v>
      </c>
      <c r="P2139" s="2" t="s">
        <v>2468</v>
      </c>
    </row>
    <row r="2140" spans="1:16" hidden="1">
      <c r="A2140" s="2">
        <v>202003</v>
      </c>
      <c r="B2140" s="3">
        <v>43892</v>
      </c>
      <c r="C2140" s="2" t="s">
        <v>2265</v>
      </c>
      <c r="D2140" s="2" t="s">
        <v>2109</v>
      </c>
      <c r="E2140" s="2">
        <v>300</v>
      </c>
      <c r="F2140" s="2" t="str">
        <f>IF(Table2[[#This Row],[Manual Cat Value]]="",VLOOKUP(Table2[[#This Row],[Description]],'Actuals Lookup'!D:F,3,0),Table2[[#This Row],[Manual Cat Value]])</f>
        <v>Shopping</v>
      </c>
      <c r="J2140" s="2">
        <v>300</v>
      </c>
      <c r="K2140" s="2" t="b">
        <v>0</v>
      </c>
      <c r="L2140" s="2"/>
      <c r="M2140" s="2"/>
      <c r="N2140" s="4" t="s">
        <v>2259</v>
      </c>
      <c r="O2140" s="4" t="str">
        <f>LEFT(Table2[[#This Row],[Description]],75)</f>
        <v>Venmo</v>
      </c>
      <c r="P2140" s="2" t="s">
        <v>2281</v>
      </c>
    </row>
    <row r="2141" spans="1:16" hidden="1">
      <c r="A2141" s="2">
        <v>202003</v>
      </c>
      <c r="B2141" s="3">
        <v>43892</v>
      </c>
      <c r="C2141" s="2" t="s">
        <v>2265</v>
      </c>
      <c r="D2141" s="2" t="s">
        <v>2115</v>
      </c>
      <c r="E2141" s="2">
        <v>0.32</v>
      </c>
      <c r="F2141" s="2" t="e">
        <f>IF(Table2[[#This Row],[Manual Cat Value]]="",VLOOKUP(Table2[[#This Row],[Description]],'Actuals Lookup'!D:F,3,0),Table2[[#This Row],[Manual Cat Value]])</f>
        <v>#N/A</v>
      </c>
      <c r="J2141" s="2">
        <v>0.32</v>
      </c>
      <c r="K2141" s="2" t="b">
        <v>0</v>
      </c>
      <c r="L2141" s="2"/>
      <c r="M2141" s="2"/>
      <c r="N2141" s="4" t="s">
        <v>2259</v>
      </c>
      <c r="O2141" s="4" t="str">
        <f>LEFT(Table2[[#This Row],[Description]],75)</f>
        <v>VENMO TYPE VERIFYBAN ID CO VENMO ACH ECC WEB ACH Trace 96623 292751227</v>
      </c>
      <c r="P2141" s="2" t="s">
        <v>2281</v>
      </c>
    </row>
    <row r="2142" spans="1:16" hidden="1">
      <c r="A2142" s="2">
        <v>202003</v>
      </c>
      <c r="B2142" s="3">
        <v>43892</v>
      </c>
      <c r="C2142" s="2" t="s">
        <v>2265</v>
      </c>
      <c r="D2142" s="2" t="s">
        <v>2116</v>
      </c>
      <c r="E2142" s="2">
        <v>0.24</v>
      </c>
      <c r="F2142" s="2" t="e">
        <f>IF(Table2[[#This Row],[Manual Cat Value]]="",VLOOKUP(Table2[[#This Row],[Description]],'Actuals Lookup'!D:F,3,0),Table2[[#This Row],[Manual Cat Value]])</f>
        <v>#N/A</v>
      </c>
      <c r="J2142" s="2">
        <v>0.24</v>
      </c>
      <c r="K2142" s="2" t="b">
        <v>0</v>
      </c>
      <c r="L2142" s="2"/>
      <c r="M2142" s="2"/>
      <c r="N2142" s="4" t="s">
        <v>2259</v>
      </c>
      <c r="O2142" s="4" t="str">
        <f>LEFT(Table2[[#This Row],[Description]],75)</f>
        <v>VENMO TYPE VERIFYBAN ID CO VENMO ACH ECC WEB ACH Trace 96624 292751226</v>
      </c>
      <c r="P2142" s="2" t="s">
        <v>2281</v>
      </c>
    </row>
    <row r="2143" spans="1:16" hidden="1">
      <c r="A2143" s="2">
        <v>202003</v>
      </c>
      <c r="B2143" s="3">
        <v>43893</v>
      </c>
      <c r="C2143" s="2" t="s">
        <v>2317</v>
      </c>
      <c r="D2143" s="2" t="s">
        <v>279</v>
      </c>
      <c r="E2143" s="2">
        <v>848.57</v>
      </c>
      <c r="F2143" s="2" t="e">
        <f>IF(Table2[[#This Row],[Manual Cat Value]]="",VLOOKUP(Table2[[#This Row],[Description]],'Actuals Lookup'!D:F,3,0),Table2[[#This Row],[Manual Cat Value]])</f>
        <v>#N/A</v>
      </c>
      <c r="J2143" s="2">
        <v>848.57</v>
      </c>
      <c r="K2143" s="2" t="b">
        <v>0</v>
      </c>
      <c r="L2143" s="2"/>
      <c r="M2143" s="2"/>
      <c r="N2143" s="4" t="s">
        <v>2259</v>
      </c>
      <c r="O2143" s="4" t="str">
        <f>LEFT(Table2[[#This Row],[Description]],75)</f>
        <v>BERKSHIRE HATHAWAY CLASS B</v>
      </c>
      <c r="P2143" s="2" t="s">
        <v>2385</v>
      </c>
    </row>
    <row r="2144" spans="1:16" hidden="1">
      <c r="A2144" s="2">
        <v>202003</v>
      </c>
      <c r="B2144" s="3">
        <v>43893</v>
      </c>
      <c r="C2144" s="2" t="s">
        <v>2265</v>
      </c>
      <c r="D2144" s="2" t="s">
        <v>660</v>
      </c>
      <c r="E2144" s="2">
        <v>124.96</v>
      </c>
      <c r="F2144" s="2" t="e">
        <f>IF(Table2[[#This Row],[Manual Cat Value]]="",VLOOKUP(Table2[[#This Row],[Description]],'Actuals Lookup'!D:F,3,0),Table2[[#This Row],[Manual Cat Value]])</f>
        <v>#N/A</v>
      </c>
      <c r="J2144" s="2">
        <v>124.96</v>
      </c>
      <c r="K2144" s="2" t="b">
        <v>0</v>
      </c>
      <c r="L2144" s="2"/>
      <c r="M2144" s="2"/>
      <c r="N2144" s="4" t="s">
        <v>2259</v>
      </c>
      <c r="O2144" s="4" t="str">
        <f>LEFT(Table2[[#This Row],[Description]],75)</f>
        <v xml:space="preserve">CPENERGY MNGCO TYPE MGC ACH EB ID 176051140S CO CPENERGY MNGCO ACH ECC WEB </v>
      </c>
      <c r="P2144" s="2" t="s">
        <v>2399</v>
      </c>
    </row>
    <row r="2145" spans="1:16" hidden="1">
      <c r="A2145" s="2">
        <v>202003</v>
      </c>
      <c r="B2145" s="3">
        <v>43893</v>
      </c>
      <c r="C2145" s="2" t="s">
        <v>2317</v>
      </c>
      <c r="D2145" s="2" t="s">
        <v>978</v>
      </c>
      <c r="E2145" s="2">
        <v>24.31</v>
      </c>
      <c r="F2145" s="2" t="e">
        <f>IF(Table2[[#This Row],[Manual Cat Value]]="",VLOOKUP(Table2[[#This Row],[Description]],'Actuals Lookup'!D:F,3,0),Table2[[#This Row],[Manual Cat Value]])</f>
        <v>#N/A</v>
      </c>
      <c r="J2145" s="2">
        <v>24.31</v>
      </c>
      <c r="K2145" s="2" t="b">
        <v>0</v>
      </c>
      <c r="L2145" s="2"/>
      <c r="M2145" s="2"/>
      <c r="N2145" s="4" t="s">
        <v>2259</v>
      </c>
      <c r="O2145" s="4" t="str">
        <f>LEFT(Table2[[#This Row],[Description]],75)</f>
        <v>INTEL CORP</v>
      </c>
      <c r="P2145" s="2" t="s">
        <v>2422</v>
      </c>
    </row>
    <row r="2146" spans="1:16" hidden="1">
      <c r="A2146" s="2">
        <v>202003</v>
      </c>
      <c r="B2146" s="3">
        <v>43893</v>
      </c>
      <c r="C2146" s="2" t="s">
        <v>2265</v>
      </c>
      <c r="D2146" s="2" t="s">
        <v>1288</v>
      </c>
      <c r="E2146" s="2">
        <v>500</v>
      </c>
      <c r="F2146" s="2" t="e">
        <f>IF(Table2[[#This Row],[Manual Cat Value]]="",VLOOKUP(Table2[[#This Row],[Description]],'Actuals Lookup'!D:F,3,0),Table2[[#This Row],[Manual Cat Value]])</f>
        <v>#N/A</v>
      </c>
      <c r="J2146" s="2">
        <v>500</v>
      </c>
      <c r="K2146" s="2" t="b">
        <v>0</v>
      </c>
      <c r="L2146" s="2"/>
      <c r="M2146" s="2"/>
      <c r="N2146" s="4" t="s">
        <v>2259</v>
      </c>
      <c r="O2146" s="4" t="str">
        <f>LEFT(Table2[[#This Row],[Description]],75)</f>
        <v>MN DIR ACH TYPE CONTRIB ID CO MN DIR ACH ACH ECC WEB ACH Trace 04165 292947</v>
      </c>
      <c r="P2146" s="2" t="s">
        <v>2469</v>
      </c>
    </row>
    <row r="2147" spans="1:16" hidden="1">
      <c r="A2147" s="2">
        <v>202003</v>
      </c>
      <c r="B2147" s="3">
        <v>43893</v>
      </c>
      <c r="C2147" s="2" t="s">
        <v>2265</v>
      </c>
      <c r="D2147" s="2" t="s">
        <v>2109</v>
      </c>
      <c r="E2147" s="2">
        <v>27</v>
      </c>
      <c r="F2147" s="2" t="str">
        <f>IF(Table2[[#This Row],[Manual Cat Value]]="",VLOOKUP(Table2[[#This Row],[Description]],'Actuals Lookup'!D:F,3,0),Table2[[#This Row],[Manual Cat Value]])</f>
        <v>Shopping</v>
      </c>
      <c r="J2147" s="2">
        <v>27</v>
      </c>
      <c r="K2147" s="2" t="b">
        <v>0</v>
      </c>
      <c r="L2147" s="2"/>
      <c r="M2147" s="2"/>
      <c r="N2147" s="4" t="s">
        <v>2259</v>
      </c>
      <c r="O2147" s="4" t="str">
        <f>LEFT(Table2[[#This Row],[Description]],75)</f>
        <v>Venmo</v>
      </c>
      <c r="P2147" s="2" t="s">
        <v>2281</v>
      </c>
    </row>
    <row r="2148" spans="1:16" hidden="1">
      <c r="A2148" s="2">
        <v>202003</v>
      </c>
      <c r="B2148" s="3">
        <v>43893</v>
      </c>
      <c r="C2148" s="2" t="s">
        <v>2265</v>
      </c>
      <c r="D2148" s="2" t="s">
        <v>2109</v>
      </c>
      <c r="E2148" s="2">
        <v>75</v>
      </c>
      <c r="F2148" s="2" t="str">
        <f>IF(Table2[[#This Row],[Manual Cat Value]]="",VLOOKUP(Table2[[#This Row],[Description]],'Actuals Lookup'!D:F,3,0),Table2[[#This Row],[Manual Cat Value]])</f>
        <v>Shopping</v>
      </c>
      <c r="J2148" s="2">
        <v>75</v>
      </c>
      <c r="K2148" s="2" t="b">
        <v>0</v>
      </c>
      <c r="L2148" s="2"/>
      <c r="M2148" s="2"/>
      <c r="N2148" s="4" t="s">
        <v>2259</v>
      </c>
      <c r="O2148" s="4" t="str">
        <f>LEFT(Table2[[#This Row],[Description]],75)</f>
        <v>Venmo</v>
      </c>
      <c r="P2148" s="2" t="s">
        <v>2281</v>
      </c>
    </row>
    <row r="2149" spans="1:16" hidden="1">
      <c r="A2149" s="2">
        <v>202003</v>
      </c>
      <c r="B2149" s="3">
        <v>43893</v>
      </c>
      <c r="C2149" s="2" t="s">
        <v>2317</v>
      </c>
      <c r="D2149" s="2" t="s">
        <v>2130</v>
      </c>
      <c r="E2149" s="2">
        <v>-22.44</v>
      </c>
      <c r="F2149" s="2" t="e">
        <f>IF(Table2[[#This Row],[Manual Cat Value]]="",VLOOKUP(Table2[[#This Row],[Description]],'Actuals Lookup'!D:F,3,0),Table2[[#This Row],[Manual Cat Value]])</f>
        <v>#N/A</v>
      </c>
      <c r="J2149" s="2">
        <v>22.44</v>
      </c>
      <c r="K2149" s="2" t="b">
        <v>0</v>
      </c>
      <c r="L2149" s="2"/>
      <c r="M2149" s="2"/>
      <c r="N2149" s="4" t="s">
        <v>2273</v>
      </c>
      <c r="O2149" s="4" t="str">
        <f>LEFT(Table2[[#This Row],[Description]],75)</f>
        <v>VISA INC CLASS A</v>
      </c>
      <c r="P2149" s="2" t="s">
        <v>2423</v>
      </c>
    </row>
    <row r="2150" spans="1:16" hidden="1">
      <c r="A2150" s="2">
        <v>201911</v>
      </c>
      <c r="B2150" s="3">
        <v>43773</v>
      </c>
      <c r="C2150" s="2" t="s">
        <v>2267</v>
      </c>
      <c r="D2150" s="2" t="s">
        <v>268</v>
      </c>
      <c r="E2150" s="2">
        <v>2914.59</v>
      </c>
      <c r="F2150" s="2" t="s">
        <v>5</v>
      </c>
      <c r="J2150" s="2">
        <v>2914.59</v>
      </c>
      <c r="K2150" s="2" t="b">
        <v>0</v>
      </c>
      <c r="L2150" s="2"/>
      <c r="M2150" s="2"/>
      <c r="N2150" s="4" t="s">
        <v>2259</v>
      </c>
      <c r="O2150" s="4" t="str">
        <f>LEFT(Table2[[#This Row],[Description]],75)</f>
        <v>BCU MORTGAGE TYPE LOAN PAYMT ID 9DRAFTING CO BCU MORTGAGE ACH ECC WEB ACH T</v>
      </c>
      <c r="P2150" s="2" t="s">
        <v>2345</v>
      </c>
    </row>
    <row r="2151" spans="1:16" hidden="1">
      <c r="A2151" s="2">
        <v>202003</v>
      </c>
      <c r="B2151" s="3">
        <v>43894</v>
      </c>
      <c r="C2151" s="2" t="s">
        <v>2447</v>
      </c>
      <c r="D2151" s="2" t="s">
        <v>38</v>
      </c>
      <c r="E2151" s="2">
        <v>23.4</v>
      </c>
      <c r="F2151" s="2" t="str">
        <f>IF(Table2[[#This Row],[Manual Cat Value]]="",VLOOKUP(Table2[[#This Row],[Description]],'Actuals Lookup'!D:F,3,0),Table2[[#This Row],[Manual Cat Value]])</f>
        <v>Amazon</v>
      </c>
      <c r="J2151" s="2">
        <v>23.4</v>
      </c>
      <c r="K2151" s="2" t="b">
        <v>0</v>
      </c>
      <c r="L2151" s="2"/>
      <c r="M2151" s="2"/>
      <c r="N2151" s="4" t="s">
        <v>2259</v>
      </c>
      <c r="O2151" s="4" t="str">
        <f>LEFT(Table2[[#This Row],[Description]],75)</f>
        <v>Amazon</v>
      </c>
      <c r="P2151" s="2" t="s">
        <v>2260</v>
      </c>
    </row>
    <row r="2152" spans="1:16" hidden="1">
      <c r="A2152" s="2">
        <v>202003</v>
      </c>
      <c r="B2152" s="3">
        <v>43894</v>
      </c>
      <c r="C2152" s="2" t="s">
        <v>2258</v>
      </c>
      <c r="D2152" s="2" t="s">
        <v>38</v>
      </c>
      <c r="E2152" s="2">
        <v>23.4</v>
      </c>
      <c r="F2152" s="2" t="str">
        <f>IF(Table2[[#This Row],[Manual Cat Value]]="",VLOOKUP(Table2[[#This Row],[Description]],'Actuals Lookup'!D:F,3,0),Table2[[#This Row],[Manual Cat Value]])</f>
        <v>Amazon</v>
      </c>
      <c r="J2152" s="2">
        <v>23.4</v>
      </c>
      <c r="K2152" s="2" t="b">
        <v>0</v>
      </c>
      <c r="L2152" s="2"/>
      <c r="M2152" s="2"/>
      <c r="N2152" s="4" t="s">
        <v>2259</v>
      </c>
      <c r="O2152" s="4" t="str">
        <f>LEFT(Table2[[#This Row],[Description]],75)</f>
        <v>Amazon</v>
      </c>
      <c r="P2152" s="2" t="s">
        <v>2260</v>
      </c>
    </row>
    <row r="2153" spans="1:16" hidden="1">
      <c r="A2153" s="2">
        <v>202003</v>
      </c>
      <c r="B2153" s="3">
        <v>43894</v>
      </c>
      <c r="C2153" s="2" t="s">
        <v>2265</v>
      </c>
      <c r="D2153" s="2" t="s">
        <v>376</v>
      </c>
      <c r="E2153" s="2">
        <v>-1986.9</v>
      </c>
      <c r="F2153" s="2" t="e">
        <f>IF(Table2[[#This Row],[Manual Cat Value]]="",VLOOKUP(Table2[[#This Row],[Description]],'Actuals Lookup'!D:F,3,0),Table2[[#This Row],[Manual Cat Value]])</f>
        <v>#N/A</v>
      </c>
      <c r="J2153" s="2">
        <v>1986.9</v>
      </c>
      <c r="K2153" s="2" t="b">
        <v>0</v>
      </c>
      <c r="L2153" s="2"/>
      <c r="M2153" s="2"/>
      <c r="N2153" s="4" t="s">
        <v>2273</v>
      </c>
      <c r="O2153" s="4" t="str">
        <f>LEFT(Table2[[#This Row],[Description]],75)</f>
        <v xml:space="preserve">CARGILL COCOA TYPE DIR DEP ID CO CARGILL COCOA ACH ECC PPD ACH Trace 45392 </v>
      </c>
      <c r="P2153" s="2" t="s">
        <v>2284</v>
      </c>
    </row>
    <row r="2154" spans="1:16" hidden="1">
      <c r="A2154" s="2">
        <v>202003</v>
      </c>
      <c r="B2154" s="3">
        <v>43894</v>
      </c>
      <c r="C2154" s="2" t="s">
        <v>2262</v>
      </c>
      <c r="D2154" s="2" t="s">
        <v>538</v>
      </c>
      <c r="E2154" s="2">
        <v>24.27</v>
      </c>
      <c r="F2154" s="2" t="str">
        <f>IF(Table2[[#This Row],[Manual Cat Value]]="",VLOOKUP(Table2[[#This Row],[Description]],'Actuals Lookup'!D:F,3,0),Table2[[#This Row],[Manual Cat Value]])</f>
        <v>Restaurants</v>
      </c>
      <c r="J2154" s="2">
        <v>24.27</v>
      </c>
      <c r="K2154" s="2" t="b">
        <v>0</v>
      </c>
      <c r="L2154" s="2"/>
      <c r="M2154" s="2"/>
      <c r="N2154" s="4" t="s">
        <v>2259</v>
      </c>
      <c r="O2154" s="4" t="str">
        <f>LEFT(Table2[[#This Row],[Description]],75)</f>
        <v>Chick-Fil-A</v>
      </c>
      <c r="P2154" s="2" t="s">
        <v>2470</v>
      </c>
    </row>
    <row r="2155" spans="1:16" hidden="1">
      <c r="A2155" s="2">
        <v>202003</v>
      </c>
      <c r="B2155" s="3">
        <v>43894</v>
      </c>
      <c r="C2155" s="2" t="s">
        <v>2270</v>
      </c>
      <c r="D2155" s="2" t="s">
        <v>671</v>
      </c>
      <c r="E2155" s="2">
        <v>-548.79</v>
      </c>
      <c r="F2155" s="2" t="e">
        <f>IF(Table2[[#This Row],[Manual Cat Value]]="",VLOOKUP(Table2[[#This Row],[Description]],'Actuals Lookup'!D:F,3,0),Table2[[#This Row],[Manual Cat Value]])</f>
        <v>#N/A</v>
      </c>
      <c r="J2155" s="2">
        <v>548.79</v>
      </c>
      <c r="K2155" s="2" t="b">
        <v>0</v>
      </c>
      <c r="L2155" s="2"/>
      <c r="M2155" s="2"/>
      <c r="N2155" s="4" t="s">
        <v>2273</v>
      </c>
      <c r="O2155" s="4" t="str">
        <f>LEFT(Table2[[#This Row],[Description]],75)</f>
        <v>CREDIT 293901530</v>
      </c>
      <c r="P2155" s="2"/>
    </row>
    <row r="2156" spans="1:16" hidden="1">
      <c r="A2156" s="2">
        <v>202003</v>
      </c>
      <c r="B2156" s="3">
        <v>43894</v>
      </c>
      <c r="C2156" s="2" t="s">
        <v>2265</v>
      </c>
      <c r="D2156" s="2" t="s">
        <v>1471</v>
      </c>
      <c r="E2156" s="2">
        <v>16.989999999999998</v>
      </c>
      <c r="F2156" s="2" t="str">
        <f>IF(Table2[[#This Row],[Manual Cat Value]]="",VLOOKUP(Table2[[#This Row],[Description]],'Actuals Lookup'!D:F,3,0),Table2[[#This Row],[Manual Cat Value]])</f>
        <v>Shopping</v>
      </c>
      <c r="J2156" s="2">
        <v>16.989999999999998</v>
      </c>
      <c r="K2156" s="2" t="b">
        <v>0</v>
      </c>
      <c r="L2156" s="2"/>
      <c r="M2156" s="2"/>
      <c r="N2156" s="4" t="s">
        <v>2259</v>
      </c>
      <c r="O2156" s="4" t="str">
        <f>LEFT(Table2[[#This Row],[Description]],75)</f>
        <v>PayPal</v>
      </c>
      <c r="P2156" s="2" t="s">
        <v>2322</v>
      </c>
    </row>
    <row r="2157" spans="1:16" hidden="1">
      <c r="A2157" s="2">
        <v>202003</v>
      </c>
      <c r="B2157" s="3">
        <v>43894</v>
      </c>
      <c r="C2157" s="2" t="s">
        <v>2317</v>
      </c>
      <c r="D2157" s="2" t="s">
        <v>2130</v>
      </c>
      <c r="E2157" s="2">
        <v>22.44</v>
      </c>
      <c r="F2157" s="2" t="e">
        <f>IF(Table2[[#This Row],[Manual Cat Value]]="",VLOOKUP(Table2[[#This Row],[Description]],'Actuals Lookup'!D:F,3,0),Table2[[#This Row],[Manual Cat Value]])</f>
        <v>#N/A</v>
      </c>
      <c r="J2157" s="2">
        <v>22.44</v>
      </c>
      <c r="K2157" s="2" t="b">
        <v>0</v>
      </c>
      <c r="L2157" s="2"/>
      <c r="M2157" s="2"/>
      <c r="N2157" s="4" t="s">
        <v>2259</v>
      </c>
      <c r="O2157" s="4" t="str">
        <f>LEFT(Table2[[#This Row],[Description]],75)</f>
        <v>VISA INC CLASS A</v>
      </c>
      <c r="P2157" s="2" t="s">
        <v>2423</v>
      </c>
    </row>
    <row r="2158" spans="1:16" hidden="1">
      <c r="A2158" s="2">
        <v>202003</v>
      </c>
      <c r="B2158" s="3">
        <v>43895</v>
      </c>
      <c r="C2158" s="2" t="s">
        <v>2338</v>
      </c>
      <c r="D2158" s="2" t="s">
        <v>402</v>
      </c>
      <c r="E2158" s="2">
        <v>-4.57</v>
      </c>
      <c r="F2158" s="2" t="e">
        <f>IF(Table2[[#This Row],[Manual Cat Value]]="",VLOOKUP(Table2[[#This Row],[Description]],'Actuals Lookup'!D:F,3,0),Table2[[#This Row],[Manual Cat Value]])</f>
        <v>#N/A</v>
      </c>
      <c r="J2158" s="2">
        <v>4.57</v>
      </c>
      <c r="K2158" s="2" t="b">
        <v>0</v>
      </c>
      <c r="L2158" s="2"/>
      <c r="M2158" s="2"/>
      <c r="N2158" s="4" t="s">
        <v>2273</v>
      </c>
      <c r="O2158" s="4" t="str">
        <f>LEFT(Table2[[#This Row],[Description]],75)</f>
        <v>Cargill ESOP Stock Fund - Dividends Transferred In</v>
      </c>
      <c r="P2158" s="2"/>
    </row>
    <row r="2159" spans="1:16" hidden="1">
      <c r="A2159" s="2">
        <v>202003</v>
      </c>
      <c r="B2159" s="3">
        <v>43895</v>
      </c>
      <c r="C2159" s="2" t="s">
        <v>2338</v>
      </c>
      <c r="D2159" s="2" t="s">
        <v>439</v>
      </c>
      <c r="E2159" s="2">
        <v>-4.57</v>
      </c>
      <c r="F2159" s="2" t="e">
        <f>IF(Table2[[#This Row],[Manual Cat Value]]="",VLOOKUP(Table2[[#This Row],[Description]],'Actuals Lookup'!D:F,3,0),Table2[[#This Row],[Manual Cat Value]])</f>
        <v>#N/A</v>
      </c>
      <c r="J2159" s="2">
        <v>4.57</v>
      </c>
      <c r="K2159" s="2" t="b">
        <v>0</v>
      </c>
      <c r="L2159" s="2"/>
      <c r="M2159" s="2"/>
      <c r="N2159" s="4" t="s">
        <v>2273</v>
      </c>
      <c r="O2159" s="4" t="str">
        <f>LEFT(Table2[[#This Row],[Description]],75)</f>
        <v>Cargill Passthru Div - Dividends on Equity Investments</v>
      </c>
      <c r="P2159" s="2"/>
    </row>
    <row r="2160" spans="1:16" hidden="1">
      <c r="A2160" s="2">
        <v>202003</v>
      </c>
      <c r="B2160" s="3">
        <v>43895</v>
      </c>
      <c r="C2160" s="2" t="s">
        <v>2338</v>
      </c>
      <c r="D2160" s="2" t="s">
        <v>440</v>
      </c>
      <c r="E2160" s="2">
        <v>-4.57</v>
      </c>
      <c r="F2160" s="2" t="e">
        <f>IF(Table2[[#This Row],[Manual Cat Value]]="",VLOOKUP(Table2[[#This Row],[Description]],'Actuals Lookup'!D:F,3,0),Table2[[#This Row],[Manual Cat Value]])</f>
        <v>#N/A</v>
      </c>
      <c r="J2160" s="2">
        <v>4.57</v>
      </c>
      <c r="K2160" s="2" t="b">
        <v>0</v>
      </c>
      <c r="L2160" s="2"/>
      <c r="M2160" s="2"/>
      <c r="N2160" s="4" t="s">
        <v>2273</v>
      </c>
      <c r="O2160" s="4" t="str">
        <f>LEFT(Table2[[#This Row],[Description]],75)</f>
        <v>Cargill Passthru Div - Dividends Transferred Out</v>
      </c>
      <c r="P2160" s="2"/>
    </row>
    <row r="2161" spans="1:16" hidden="1">
      <c r="A2161" s="2">
        <v>202003</v>
      </c>
      <c r="B2161" s="3">
        <v>43895</v>
      </c>
      <c r="C2161" s="2" t="s">
        <v>2265</v>
      </c>
      <c r="D2161" s="2" t="s">
        <v>715</v>
      </c>
      <c r="E2161" s="2">
        <v>-100</v>
      </c>
      <c r="F2161" s="2" t="e">
        <f>IF(Table2[[#This Row],[Manual Cat Value]]="",VLOOKUP(Table2[[#This Row],[Description]],'Actuals Lookup'!D:F,3,0),Table2[[#This Row],[Manual Cat Value]])</f>
        <v>#N/A</v>
      </c>
      <c r="J2161" s="2">
        <v>100</v>
      </c>
      <c r="K2161" s="2" t="b">
        <v>0</v>
      </c>
      <c r="L2161" s="2"/>
      <c r="M2161" s="2"/>
      <c r="N2161" s="4" t="s">
        <v>2273</v>
      </c>
      <c r="O2161" s="4" t="str">
        <f>LEFT(Table2[[#This Row],[Description]],75)</f>
        <v>Deposit by Check Deposit Anywhere check deposit 293744432</v>
      </c>
      <c r="P2161" s="2" t="s">
        <v>2281</v>
      </c>
    </row>
    <row r="2162" spans="1:16" hidden="1">
      <c r="A2162" s="2">
        <v>202003</v>
      </c>
      <c r="B2162" s="3">
        <v>43895</v>
      </c>
      <c r="C2162" s="2" t="s">
        <v>2262</v>
      </c>
      <c r="D2162" s="2" t="s">
        <v>934</v>
      </c>
      <c r="E2162" s="2">
        <v>66.540000000000006</v>
      </c>
      <c r="F2162" s="2" t="e">
        <f>IF(Table2[[#This Row],[Manual Cat Value]]="",VLOOKUP(Table2[[#This Row],[Description]],'Actuals Lookup'!D:F,3,0),Table2[[#This Row],[Manual Cat Value]])</f>
        <v>#N/A</v>
      </c>
      <c r="J2162" s="2">
        <v>66.540000000000006</v>
      </c>
      <c r="K2162" s="2" t="b">
        <v>0</v>
      </c>
      <c r="L2162" s="2"/>
      <c r="M2162" s="2"/>
      <c r="N2162" s="4" t="s">
        <v>2259</v>
      </c>
      <c r="O2162" s="4" t="str">
        <f>LEFT(Table2[[#This Row],[Description]],75)</f>
        <v>HIRSHFIELDS 34 CHASKACHASKA MN 293936096</v>
      </c>
      <c r="P2162" s="2" t="s">
        <v>2281</v>
      </c>
    </row>
    <row r="2163" spans="1:16" hidden="1">
      <c r="A2163" s="2">
        <v>202003</v>
      </c>
      <c r="B2163" s="3">
        <v>43895</v>
      </c>
      <c r="C2163" s="2" t="s">
        <v>2262</v>
      </c>
      <c r="D2163" s="2" t="s">
        <v>1087</v>
      </c>
      <c r="E2163" s="2">
        <v>64</v>
      </c>
      <c r="F2163" s="2" t="e">
        <f>IF(Table2[[#This Row],[Manual Cat Value]]="",VLOOKUP(Table2[[#This Row],[Description]],'Actuals Lookup'!D:F,3,0),Table2[[#This Row],[Manual Cat Value]])</f>
        <v>#N/A</v>
      </c>
      <c r="J2163" s="2">
        <v>64</v>
      </c>
      <c r="K2163" s="2" t="b">
        <v>0</v>
      </c>
      <c r="L2163" s="2"/>
      <c r="M2163" s="2"/>
      <c r="N2163" s="4" t="s">
        <v>2259</v>
      </c>
      <c r="O2163" s="4" t="str">
        <f>LEFT(Table2[[#This Row],[Description]],75)</f>
        <v>L2GCARVER CO RECORDS 952CHASKA MN 293936097</v>
      </c>
      <c r="P2163" s="2" t="s">
        <v>2281</v>
      </c>
    </row>
    <row r="2164" spans="1:16" hidden="1">
      <c r="A2164" s="2">
        <v>202003</v>
      </c>
      <c r="B2164" s="3">
        <v>43895</v>
      </c>
      <c r="C2164" s="2" t="s">
        <v>2262</v>
      </c>
      <c r="D2164" s="2" t="s">
        <v>1119</v>
      </c>
      <c r="E2164" s="2">
        <v>6.44</v>
      </c>
      <c r="F2164" s="2" t="e">
        <f>IF(Table2[[#This Row],[Manual Cat Value]]="",VLOOKUP(Table2[[#This Row],[Description]],'Actuals Lookup'!D:F,3,0),Table2[[#This Row],[Manual Cat Value]])</f>
        <v>#N/A</v>
      </c>
      <c r="J2164" s="2">
        <v>6.44</v>
      </c>
      <c r="K2164" s="2" t="b">
        <v>0</v>
      </c>
      <c r="L2164" s="2"/>
      <c r="M2164" s="2"/>
      <c r="N2164" s="4" t="s">
        <v>2259</v>
      </c>
      <c r="O2164" s="4" t="str">
        <f>LEFT(Table2[[#This Row],[Description]],75)</f>
        <v>LIFE TIME CAFE 151Q48 CHANHASSEN MN 293936098</v>
      </c>
      <c r="P2164" s="2" t="s">
        <v>2376</v>
      </c>
    </row>
    <row r="2165" spans="1:16" hidden="1">
      <c r="A2165" s="2">
        <v>202003</v>
      </c>
      <c r="B2165" s="3">
        <v>43895</v>
      </c>
      <c r="C2165" s="2" t="s">
        <v>2435</v>
      </c>
      <c r="D2165" s="2" t="s">
        <v>1633</v>
      </c>
      <c r="E2165" s="2">
        <v>1500</v>
      </c>
      <c r="F2165" s="2" t="e">
        <f>IF(Table2[[#This Row],[Manual Cat Value]]="",VLOOKUP(Table2[[#This Row],[Description]],'Actuals Lookup'!D:F,3,0),Table2[[#This Row],[Manual Cat Value]])</f>
        <v>#N/A</v>
      </c>
      <c r="J2165" s="2">
        <v>1500</v>
      </c>
      <c r="K2165" s="2" t="b">
        <v>0</v>
      </c>
      <c r="L2165" s="2"/>
      <c r="M2165" s="2"/>
      <c r="N2165" s="4" t="s">
        <v>2259</v>
      </c>
      <c r="O2165" s="4" t="str">
        <f>LEFT(Table2[[#This Row],[Description]],75)</f>
        <v>SCHWAB S&amp;P 500 INDEX FD</v>
      </c>
      <c r="P2165" s="2" t="s">
        <v>2276</v>
      </c>
    </row>
    <row r="2166" spans="1:16" hidden="1">
      <c r="A2166" s="2">
        <v>202003</v>
      </c>
      <c r="B2166" s="3">
        <v>43895</v>
      </c>
      <c r="C2166" s="2" t="s">
        <v>2317</v>
      </c>
      <c r="D2166" s="2" t="s">
        <v>2103</v>
      </c>
      <c r="E2166" s="2">
        <v>-3.85</v>
      </c>
      <c r="F2166" s="2" t="e">
        <f>IF(Table2[[#This Row],[Manual Cat Value]]="",VLOOKUP(Table2[[#This Row],[Description]],'Actuals Lookup'!D:F,3,0),Table2[[#This Row],[Manual Cat Value]])</f>
        <v>#N/A</v>
      </c>
      <c r="J2166" s="2">
        <v>3.85</v>
      </c>
      <c r="K2166" s="2" t="b">
        <v>0</v>
      </c>
      <c r="L2166" s="2"/>
      <c r="M2166" s="2"/>
      <c r="N2166" s="4" t="s">
        <v>2273</v>
      </c>
      <c r="O2166" s="4" t="str">
        <f>LEFT(Table2[[#This Row],[Description]],75)</f>
        <v>VAG ITM-TERM TREASURY ETF</v>
      </c>
      <c r="P2166" s="2" t="s">
        <v>2385</v>
      </c>
    </row>
    <row r="2167" spans="1:16" hidden="1">
      <c r="A2167" s="2">
        <v>202003</v>
      </c>
      <c r="B2167" s="3">
        <v>43896</v>
      </c>
      <c r="C2167" s="2" t="s">
        <v>2262</v>
      </c>
      <c r="D2167" s="2" t="s">
        <v>1444</v>
      </c>
      <c r="E2167" s="2">
        <v>-402.91</v>
      </c>
      <c r="F2167" s="2" t="e">
        <f>IF(Table2[[#This Row],[Manual Cat Value]]="",VLOOKUP(Table2[[#This Row],[Description]],'Actuals Lookup'!D:F,3,0),Table2[[#This Row],[Manual Cat Value]])</f>
        <v>#N/A</v>
      </c>
      <c r="J2167" s="2">
        <v>402.91</v>
      </c>
      <c r="K2167" s="2" t="b">
        <v>0</v>
      </c>
      <c r="L2167" s="2"/>
      <c r="M2167" s="2"/>
      <c r="N2167" s="4" t="s">
        <v>2273</v>
      </c>
      <c r="O2167" s="4" t="str">
        <f>LEFT(Table2[[#This Row],[Description]],75)</f>
        <v>PAYMENT THANK YOU 294678995</v>
      </c>
      <c r="P2167" s="2" t="s">
        <v>2391</v>
      </c>
    </row>
    <row r="2168" spans="1:16" hidden="1">
      <c r="A2168" s="2">
        <v>202003</v>
      </c>
      <c r="B2168" s="3">
        <v>43896</v>
      </c>
      <c r="C2168" s="2" t="s">
        <v>2265</v>
      </c>
      <c r="D2168" s="2" t="s">
        <v>2189</v>
      </c>
      <c r="E2168" s="2">
        <v>402.91</v>
      </c>
      <c r="F2168" s="2" t="e">
        <f>IF(Table2[[#This Row],[Manual Cat Value]]="",VLOOKUP(Table2[[#This Row],[Description]],'Actuals Lookup'!D:F,3,0),Table2[[#This Row],[Manual Cat Value]])</f>
        <v>#N/A</v>
      </c>
      <c r="J2168" s="2">
        <v>402.91</v>
      </c>
      <c r="K2168" s="2" t="b">
        <v>0</v>
      </c>
      <c r="L2168" s="2"/>
      <c r="M2168" s="2"/>
      <c r="N2168" s="4" t="s">
        <v>2259</v>
      </c>
      <c r="O2168" s="4" t="str">
        <f>LEFT(Table2[[#This Row],[Description]],75)</f>
        <v>Withdrawal Home payment to card 979181 294028059</v>
      </c>
      <c r="P2168" s="2" t="s">
        <v>2349</v>
      </c>
    </row>
    <row r="2169" spans="1:16" hidden="1">
      <c r="A2169" s="2">
        <v>202003</v>
      </c>
      <c r="B2169" s="3">
        <v>43896</v>
      </c>
      <c r="C2169" s="2" t="s">
        <v>2317</v>
      </c>
      <c r="D2169" s="2" t="s">
        <v>305</v>
      </c>
      <c r="E2169" s="2">
        <v>-111.44</v>
      </c>
      <c r="F2169" s="2" t="e">
        <f>IF(Table2[[#This Row],[Manual Cat Value]]="",VLOOKUP(Table2[[#This Row],[Description]],'Actuals Lookup'!D:F,3,0),Table2[[#This Row],[Manual Cat Value]])</f>
        <v>#N/A</v>
      </c>
      <c r="J2169" s="2">
        <v>111.44</v>
      </c>
      <c r="K2169" s="2" t="b">
        <v>0</v>
      </c>
      <c r="L2169" s="2"/>
      <c r="M2169" s="2"/>
      <c r="N2169" s="4" t="s">
        <v>2273</v>
      </c>
      <c r="O2169" s="4" t="str">
        <f>LEFT(Table2[[#This Row],[Description]],75)</f>
        <v>BOEING CO</v>
      </c>
      <c r="P2169" s="2" t="s">
        <v>2425</v>
      </c>
    </row>
    <row r="2170" spans="1:16" hidden="1">
      <c r="A2170" s="2">
        <v>202003</v>
      </c>
      <c r="B2170" s="3">
        <v>43896</v>
      </c>
      <c r="C2170" s="2" t="s">
        <v>2317</v>
      </c>
      <c r="D2170" s="2" t="s">
        <v>354</v>
      </c>
      <c r="E2170" s="2">
        <v>-200</v>
      </c>
      <c r="F2170" s="2" t="e">
        <f>IF(Table2[[#This Row],[Manual Cat Value]]="",VLOOKUP(Table2[[#This Row],[Description]],'Actuals Lookup'!D:F,3,0),Table2[[#This Row],[Manual Cat Value]])</f>
        <v>#N/A</v>
      </c>
      <c r="J2170" s="2">
        <v>200</v>
      </c>
      <c r="K2170" s="2" t="b">
        <v>0</v>
      </c>
      <c r="L2170" s="2"/>
      <c r="M2170" s="2"/>
      <c r="N2170" s="4" t="s">
        <v>2273</v>
      </c>
      <c r="O2170" s="4" t="str">
        <f>LEFT(Table2[[#This Row],[Description]],75)</f>
        <v>CARGILL COCOA &amp;</v>
      </c>
      <c r="P2170" s="2" t="s">
        <v>2354</v>
      </c>
    </row>
    <row r="2171" spans="1:16" hidden="1">
      <c r="A2171" s="2">
        <v>202003</v>
      </c>
      <c r="B2171" s="3">
        <v>43896</v>
      </c>
      <c r="C2171" s="2" t="s">
        <v>2447</v>
      </c>
      <c r="D2171" s="2" t="s">
        <v>684</v>
      </c>
      <c r="E2171" s="2">
        <v>109.6</v>
      </c>
      <c r="F2171" s="2" t="str">
        <f>IF(Table2[[#This Row],[Manual Cat Value]]="",VLOOKUP(Table2[[#This Row],[Description]],'Actuals Lookup'!D:F,3,0),Table2[[#This Row],[Manual Cat Value]])</f>
        <v>Groceries</v>
      </c>
      <c r="J2171" s="2">
        <v>109.6</v>
      </c>
      <c r="K2171" s="2" t="b">
        <v>0</v>
      </c>
      <c r="L2171" s="2"/>
      <c r="M2171" s="2"/>
      <c r="N2171" s="4" t="s">
        <v>2259</v>
      </c>
      <c r="O2171" s="4" t="str">
        <f>LEFT(Table2[[#This Row],[Description]],75)</f>
        <v>Cub Foods</v>
      </c>
      <c r="P2171" s="2" t="s">
        <v>2370</v>
      </c>
    </row>
    <row r="2172" spans="1:16" hidden="1">
      <c r="A2172" s="2">
        <v>202003</v>
      </c>
      <c r="B2172" s="3">
        <v>43896</v>
      </c>
      <c r="C2172" s="2" t="s">
        <v>2258</v>
      </c>
      <c r="D2172" s="2" t="s">
        <v>684</v>
      </c>
      <c r="E2172" s="2">
        <v>109.6</v>
      </c>
      <c r="F2172" s="2" t="str">
        <f>IF(Table2[[#This Row],[Manual Cat Value]]="",VLOOKUP(Table2[[#This Row],[Description]],'Actuals Lookup'!D:F,3,0),Table2[[#This Row],[Manual Cat Value]])</f>
        <v>Groceries</v>
      </c>
      <c r="J2172" s="2">
        <v>109.6</v>
      </c>
      <c r="K2172" s="2" t="b">
        <v>0</v>
      </c>
      <c r="L2172" s="2"/>
      <c r="M2172" s="2"/>
      <c r="N2172" s="4" t="s">
        <v>2259</v>
      </c>
      <c r="O2172" s="4" t="str">
        <f>LEFT(Table2[[#This Row],[Description]],75)</f>
        <v>Cub Foods</v>
      </c>
      <c r="P2172" s="2" t="s">
        <v>2370</v>
      </c>
    </row>
    <row r="2173" spans="1:16" hidden="1">
      <c r="A2173" s="2">
        <v>202003</v>
      </c>
      <c r="B2173" s="3">
        <v>43896</v>
      </c>
      <c r="C2173" s="2" t="s">
        <v>2447</v>
      </c>
      <c r="D2173" s="2" t="s">
        <v>1661</v>
      </c>
      <c r="E2173" s="2">
        <v>15.36</v>
      </c>
      <c r="F2173" s="2" t="e">
        <f>IF(Table2[[#This Row],[Manual Cat Value]]="",VLOOKUP(Table2[[#This Row],[Description]],'Actuals Lookup'!D:F,3,0),Table2[[#This Row],[Manual Cat Value]])</f>
        <v>#N/A</v>
      </c>
      <c r="J2173" s="2">
        <v>15.36</v>
      </c>
      <c r="K2173" s="2" t="b">
        <v>0</v>
      </c>
      <c r="L2173" s="2"/>
      <c r="M2173" s="2"/>
      <c r="N2173" s="4" t="s">
        <v>2259</v>
      </c>
      <c r="O2173" s="4" t="str">
        <f>LEFT(Table2[[#This Row],[Description]],75)</f>
        <v>SHOREWOODLIQUOR SHOREWOOD MN</v>
      </c>
      <c r="P2173" s="2" t="s">
        <v>2471</v>
      </c>
    </row>
    <row r="2174" spans="1:16" hidden="1">
      <c r="A2174" s="2">
        <v>202003</v>
      </c>
      <c r="B2174" s="3">
        <v>43896</v>
      </c>
      <c r="C2174" s="2" t="s">
        <v>2258</v>
      </c>
      <c r="D2174" s="2" t="s">
        <v>1661</v>
      </c>
      <c r="E2174" s="2">
        <v>15.36</v>
      </c>
      <c r="F2174" s="2" t="e">
        <f>IF(Table2[[#This Row],[Manual Cat Value]]="",VLOOKUP(Table2[[#This Row],[Description]],'Actuals Lookup'!D:F,3,0),Table2[[#This Row],[Manual Cat Value]])</f>
        <v>#N/A</v>
      </c>
      <c r="J2174" s="2">
        <v>15.36</v>
      </c>
      <c r="K2174" s="2" t="b">
        <v>0</v>
      </c>
      <c r="L2174" s="2"/>
      <c r="M2174" s="2"/>
      <c r="N2174" s="4" t="s">
        <v>2259</v>
      </c>
      <c r="O2174" s="4" t="str">
        <f>LEFT(Table2[[#This Row],[Description]],75)</f>
        <v>SHOREWOODLIQUOR SHOREWOOD MN</v>
      </c>
      <c r="P2174" s="2" t="s">
        <v>2281</v>
      </c>
    </row>
    <row r="2175" spans="1:16" hidden="1">
      <c r="A2175" s="2">
        <v>202003</v>
      </c>
      <c r="B2175" s="3">
        <v>43896</v>
      </c>
      <c r="C2175" s="2" t="s">
        <v>2434</v>
      </c>
      <c r="D2175" s="2" t="s">
        <v>1834</v>
      </c>
      <c r="E2175" s="2">
        <v>-231</v>
      </c>
      <c r="F2175" s="2" t="e">
        <f>IF(Table2[[#This Row],[Manual Cat Value]]="",VLOOKUP(Table2[[#This Row],[Description]],'Actuals Lookup'!D:F,3,0),Table2[[#This Row],[Manual Cat Value]])</f>
        <v>#N/A</v>
      </c>
      <c r="J2175" s="2">
        <v>231</v>
      </c>
      <c r="K2175" s="2" t="b">
        <v>0</v>
      </c>
      <c r="L2175" s="2"/>
      <c r="M2175" s="2"/>
      <c r="N2175" s="4" t="s">
        <v>2273</v>
      </c>
      <c r="O2175" s="4" t="str">
        <f>LEFT(Table2[[#This Row],[Description]],75)</f>
        <v>Tfr JPMORGAN CHASE BAN, CARGILL COCOA &amp;</v>
      </c>
      <c r="P2175" s="2" t="s">
        <v>2356</v>
      </c>
    </row>
    <row r="2176" spans="1:16" hidden="1">
      <c r="A2176" s="2">
        <v>202003</v>
      </c>
      <c r="B2176" s="3">
        <v>43896</v>
      </c>
      <c r="C2176" s="2" t="s">
        <v>2317</v>
      </c>
      <c r="D2176" s="2" t="s">
        <v>2103</v>
      </c>
      <c r="E2176" s="2">
        <v>3.85</v>
      </c>
      <c r="F2176" s="2" t="e">
        <f>IF(Table2[[#This Row],[Manual Cat Value]]="",VLOOKUP(Table2[[#This Row],[Description]],'Actuals Lookup'!D:F,3,0),Table2[[#This Row],[Manual Cat Value]])</f>
        <v>#N/A</v>
      </c>
      <c r="J2176" s="2">
        <v>3.85</v>
      </c>
      <c r="K2176" s="2" t="b">
        <v>0</v>
      </c>
      <c r="L2176" s="2"/>
      <c r="M2176" s="2"/>
      <c r="N2176" s="4" t="s">
        <v>2259</v>
      </c>
      <c r="O2176" s="4" t="str">
        <f>LEFT(Table2[[#This Row],[Description]],75)</f>
        <v>VAG ITM-TERM TREASURY ETF</v>
      </c>
      <c r="P2176" s="2" t="s">
        <v>2385</v>
      </c>
    </row>
    <row r="2177" spans="1:16" hidden="1">
      <c r="A2177" s="2">
        <v>202003</v>
      </c>
      <c r="B2177" s="3">
        <v>43897</v>
      </c>
      <c r="C2177" s="2" t="s">
        <v>2447</v>
      </c>
      <c r="D2177" s="2" t="s">
        <v>38</v>
      </c>
      <c r="E2177" s="2">
        <v>9.3000000000000007</v>
      </c>
      <c r="F2177" s="2" t="str">
        <f>IF(Table2[[#This Row],[Manual Cat Value]]="",VLOOKUP(Table2[[#This Row],[Description]],'Actuals Lookup'!D:F,3,0),Table2[[#This Row],[Manual Cat Value]])</f>
        <v>Amazon</v>
      </c>
      <c r="J2177" s="2">
        <v>9.3000000000000007</v>
      </c>
      <c r="K2177" s="2" t="b">
        <v>0</v>
      </c>
      <c r="L2177" s="2"/>
      <c r="M2177" s="2"/>
      <c r="N2177" s="4" t="s">
        <v>2259</v>
      </c>
      <c r="O2177" s="4" t="str">
        <f>LEFT(Table2[[#This Row],[Description]],75)</f>
        <v>Amazon</v>
      </c>
      <c r="P2177" s="2" t="s">
        <v>2260</v>
      </c>
    </row>
    <row r="2178" spans="1:16" hidden="1">
      <c r="A2178" s="2">
        <v>202003</v>
      </c>
      <c r="B2178" s="3">
        <v>43897</v>
      </c>
      <c r="C2178" s="2" t="s">
        <v>2258</v>
      </c>
      <c r="D2178" s="2" t="s">
        <v>38</v>
      </c>
      <c r="E2178" s="2">
        <v>9.3000000000000007</v>
      </c>
      <c r="F2178" s="2" t="str">
        <f>IF(Table2[[#This Row],[Manual Cat Value]]="",VLOOKUP(Table2[[#This Row],[Description]],'Actuals Lookup'!D:F,3,0),Table2[[#This Row],[Manual Cat Value]])</f>
        <v>Amazon</v>
      </c>
      <c r="J2178" s="2">
        <v>9.3000000000000007</v>
      </c>
      <c r="K2178" s="2" t="b">
        <v>0</v>
      </c>
      <c r="L2178" s="2"/>
      <c r="M2178" s="2"/>
      <c r="N2178" s="4" t="s">
        <v>2259</v>
      </c>
      <c r="O2178" s="4" t="str">
        <f>LEFT(Table2[[#This Row],[Description]],75)</f>
        <v>Amazon</v>
      </c>
      <c r="P2178" s="2" t="s">
        <v>2260</v>
      </c>
    </row>
    <row r="2179" spans="1:16" hidden="1">
      <c r="A2179" s="2">
        <v>202003</v>
      </c>
      <c r="B2179" s="3">
        <v>43897</v>
      </c>
      <c r="C2179" s="2" t="s">
        <v>2447</v>
      </c>
      <c r="D2179" s="2" t="s">
        <v>684</v>
      </c>
      <c r="E2179" s="2">
        <v>7.53</v>
      </c>
      <c r="F2179" s="2" t="str">
        <f>IF(Table2[[#This Row],[Manual Cat Value]]="",VLOOKUP(Table2[[#This Row],[Description]],'Actuals Lookup'!D:F,3,0),Table2[[#This Row],[Manual Cat Value]])</f>
        <v>Groceries</v>
      </c>
      <c r="J2179" s="2">
        <v>7.53</v>
      </c>
      <c r="K2179" s="2" t="b">
        <v>0</v>
      </c>
      <c r="L2179" s="2"/>
      <c r="M2179" s="2"/>
      <c r="N2179" s="4" t="s">
        <v>2259</v>
      </c>
      <c r="O2179" s="4" t="str">
        <f>LEFT(Table2[[#This Row],[Description]],75)</f>
        <v>Cub Foods</v>
      </c>
      <c r="P2179" s="2" t="s">
        <v>2370</v>
      </c>
    </row>
    <row r="2180" spans="1:16" hidden="1">
      <c r="A2180" s="2">
        <v>202003</v>
      </c>
      <c r="B2180" s="3">
        <v>43897</v>
      </c>
      <c r="C2180" s="2" t="s">
        <v>2258</v>
      </c>
      <c r="D2180" s="2" t="s">
        <v>684</v>
      </c>
      <c r="E2180" s="2">
        <v>7.53</v>
      </c>
      <c r="F2180" s="2" t="str">
        <f>IF(Table2[[#This Row],[Manual Cat Value]]="",VLOOKUP(Table2[[#This Row],[Description]],'Actuals Lookup'!D:F,3,0),Table2[[#This Row],[Manual Cat Value]])</f>
        <v>Groceries</v>
      </c>
      <c r="J2180" s="2">
        <v>7.53</v>
      </c>
      <c r="K2180" s="2" t="b">
        <v>0</v>
      </c>
      <c r="L2180" s="2"/>
      <c r="M2180" s="2"/>
      <c r="N2180" s="4" t="s">
        <v>2259</v>
      </c>
      <c r="O2180" s="4" t="str">
        <f>LEFT(Table2[[#This Row],[Description]],75)</f>
        <v>Cub Foods</v>
      </c>
      <c r="P2180" s="2" t="s">
        <v>2370</v>
      </c>
    </row>
    <row r="2181" spans="1:16" hidden="1">
      <c r="A2181" s="2">
        <v>202003</v>
      </c>
      <c r="B2181" s="3">
        <v>43898</v>
      </c>
      <c r="C2181" s="2" t="s">
        <v>2262</v>
      </c>
      <c r="D2181" s="2" t="s">
        <v>252</v>
      </c>
      <c r="E2181" s="2">
        <v>64.2</v>
      </c>
      <c r="F2181" s="2" t="e">
        <f>IF(Table2[[#This Row],[Manual Cat Value]]="",VLOOKUP(Table2[[#This Row],[Description]],'Actuals Lookup'!D:F,3,0),Table2[[#This Row],[Manual Cat Value]])</f>
        <v>#N/A</v>
      </c>
      <c r="J2181" s="2">
        <v>64.2</v>
      </c>
      <c r="K2181" s="2" t="b">
        <v>0</v>
      </c>
      <c r="L2181" s="2"/>
      <c r="M2181" s="2"/>
      <c r="N2181" s="4" t="s">
        <v>2259</v>
      </c>
      <c r="O2181" s="4" t="str">
        <f>LEFT(Table2[[#This Row],[Description]],75)</f>
        <v>BAR LA GRASSA MINNEAPOLIS MN 294678999</v>
      </c>
      <c r="P2181" s="2" t="s">
        <v>2281</v>
      </c>
    </row>
    <row r="2182" spans="1:16" hidden="1">
      <c r="A2182" s="2">
        <v>202003</v>
      </c>
      <c r="B2182" s="3">
        <v>43898</v>
      </c>
      <c r="C2182" s="2" t="s">
        <v>2262</v>
      </c>
      <c r="D2182" s="2" t="s">
        <v>728</v>
      </c>
      <c r="E2182" s="2">
        <v>182.54</v>
      </c>
      <c r="F2182" s="2" t="e">
        <f>IF(Table2[[#This Row],[Manual Cat Value]]="",VLOOKUP(Table2[[#This Row],[Description]],'Actuals Lookup'!D:F,3,0),Table2[[#This Row],[Manual Cat Value]])</f>
        <v>#N/A</v>
      </c>
      <c r="J2182" s="2">
        <v>182.54</v>
      </c>
      <c r="K2182" s="2" t="b">
        <v>0</v>
      </c>
      <c r="L2182" s="2"/>
      <c r="M2182" s="2"/>
      <c r="N2182" s="4" t="s">
        <v>2259</v>
      </c>
      <c r="O2182" s="4" t="str">
        <f>LEFT(Table2[[#This Row],[Description]],75)</f>
        <v>DETAILS RESIDENTIAL SRVC 6122161751 MN 294678998</v>
      </c>
      <c r="P2182" s="2" t="s">
        <v>2449</v>
      </c>
    </row>
    <row r="2183" spans="1:16" hidden="1">
      <c r="A2183" s="2">
        <v>202003</v>
      </c>
      <c r="B2183" s="3">
        <v>43898</v>
      </c>
      <c r="C2183" s="2" t="s">
        <v>2262</v>
      </c>
      <c r="D2183" s="2" t="s">
        <v>910</v>
      </c>
      <c r="E2183" s="2">
        <v>24.62</v>
      </c>
      <c r="F2183" s="2" t="e">
        <f>IF(Table2[[#This Row],[Manual Cat Value]]="",VLOOKUP(Table2[[#This Row],[Description]],'Actuals Lookup'!D:F,3,0),Table2[[#This Row],[Manual Cat Value]])</f>
        <v>#N/A</v>
      </c>
      <c r="J2183" s="2">
        <v>24.62</v>
      </c>
      <c r="K2183" s="2" t="b">
        <v>0</v>
      </c>
      <c r="L2183" s="2"/>
      <c r="M2183" s="2"/>
      <c r="N2183" s="4" t="s">
        <v>2259</v>
      </c>
      <c r="O2183" s="4" t="str">
        <f>LEFT(Table2[[#This Row],[Description]],75)</f>
        <v>Gulf</v>
      </c>
      <c r="P2183" s="2" t="s">
        <v>2281</v>
      </c>
    </row>
    <row r="2184" spans="1:16" hidden="1">
      <c r="A2184" s="2">
        <v>202003</v>
      </c>
      <c r="B2184" s="3">
        <v>43898</v>
      </c>
      <c r="C2184" s="2" t="s">
        <v>2262</v>
      </c>
      <c r="D2184" s="2" t="s">
        <v>1335</v>
      </c>
      <c r="E2184" s="2">
        <v>4.25</v>
      </c>
      <c r="F2184" s="2" t="e">
        <f>IF(Table2[[#This Row],[Manual Cat Value]]="",VLOOKUP(Table2[[#This Row],[Description]],'Actuals Lookup'!D:F,3,0),Table2[[#This Row],[Manual Cat Value]])</f>
        <v>#N/A</v>
      </c>
      <c r="J2184" s="2">
        <v>4.25</v>
      </c>
      <c r="K2184" s="2" t="b">
        <v>0</v>
      </c>
      <c r="L2184" s="2"/>
      <c r="M2184" s="2"/>
      <c r="N2184" s="4" t="s">
        <v>2259</v>
      </c>
      <c r="O2184" s="4" t="str">
        <f>LEFT(Table2[[#This Row],[Description]],75)</f>
        <v>MPLSMETERSAPP 8090 6123437275 MN 294679000</v>
      </c>
      <c r="P2184" s="2" t="s">
        <v>2281</v>
      </c>
    </row>
    <row r="2185" spans="1:16" hidden="1">
      <c r="A2185" s="2">
        <v>202003</v>
      </c>
      <c r="B2185" s="3">
        <v>43898</v>
      </c>
      <c r="C2185" s="2" t="s">
        <v>2262</v>
      </c>
      <c r="D2185" s="2" t="s">
        <v>1707</v>
      </c>
      <c r="E2185" s="2">
        <v>32.840000000000003</v>
      </c>
      <c r="F2185" s="2" t="str">
        <f>IF(Table2[[#This Row],[Manual Cat Value]]="",VLOOKUP(Table2[[#This Row],[Description]],'Actuals Lookup'!D:F,3,0),Table2[[#This Row],[Manual Cat Value]])</f>
        <v>Transportation</v>
      </c>
      <c r="J2185" s="2">
        <v>32.840000000000003</v>
      </c>
      <c r="K2185" s="2" t="b">
        <v>0</v>
      </c>
      <c r="L2185" s="2"/>
      <c r="M2185" s="2"/>
      <c r="N2185" s="4" t="s">
        <v>2259</v>
      </c>
      <c r="O2185" s="4" t="str">
        <f>LEFT(Table2[[#This Row],[Description]],75)</f>
        <v>Speedway</v>
      </c>
      <c r="P2185" s="2" t="s">
        <v>2381</v>
      </c>
    </row>
    <row r="2186" spans="1:16" hidden="1">
      <c r="A2186" s="2">
        <v>202003</v>
      </c>
      <c r="B2186" s="3">
        <v>43899</v>
      </c>
      <c r="C2186" s="2" t="s">
        <v>2447</v>
      </c>
      <c r="D2186" s="2" t="s">
        <v>38</v>
      </c>
      <c r="E2186" s="2">
        <v>27.44</v>
      </c>
      <c r="F2186" s="2" t="str">
        <f>IF(Table2[[#This Row],[Manual Cat Value]]="",VLOOKUP(Table2[[#This Row],[Description]],'Actuals Lookup'!D:F,3,0),Table2[[#This Row],[Manual Cat Value]])</f>
        <v>Amazon</v>
      </c>
      <c r="J2186" s="2">
        <v>27.44</v>
      </c>
      <c r="K2186" s="2" t="b">
        <v>0</v>
      </c>
      <c r="L2186" s="2"/>
      <c r="M2186" s="2"/>
      <c r="N2186" s="4" t="s">
        <v>2259</v>
      </c>
      <c r="O2186" s="4" t="str">
        <f>LEFT(Table2[[#This Row],[Description]],75)</f>
        <v>Amazon</v>
      </c>
      <c r="P2186" s="2" t="s">
        <v>2260</v>
      </c>
    </row>
    <row r="2187" spans="1:16" hidden="1">
      <c r="A2187" s="2">
        <v>202003</v>
      </c>
      <c r="B2187" s="3">
        <v>43899</v>
      </c>
      <c r="C2187" s="2" t="s">
        <v>2258</v>
      </c>
      <c r="D2187" s="2" t="s">
        <v>38</v>
      </c>
      <c r="E2187" s="2">
        <v>27.44</v>
      </c>
      <c r="F2187" s="2" t="str">
        <f>IF(Table2[[#This Row],[Manual Cat Value]]="",VLOOKUP(Table2[[#This Row],[Description]],'Actuals Lookup'!D:F,3,0),Table2[[#This Row],[Manual Cat Value]])</f>
        <v>Amazon</v>
      </c>
      <c r="J2187" s="2">
        <v>27.44</v>
      </c>
      <c r="K2187" s="2" t="b">
        <v>0</v>
      </c>
      <c r="L2187" s="2"/>
      <c r="M2187" s="2"/>
      <c r="N2187" s="4" t="s">
        <v>2259</v>
      </c>
      <c r="O2187" s="4" t="str">
        <f>LEFT(Table2[[#This Row],[Description]],75)</f>
        <v>Amazon</v>
      </c>
      <c r="P2187" s="2" t="s">
        <v>2260</v>
      </c>
    </row>
    <row r="2188" spans="1:16" hidden="1">
      <c r="A2188" s="2">
        <v>202003</v>
      </c>
      <c r="B2188" s="3">
        <v>43899</v>
      </c>
      <c r="C2188" s="2" t="s">
        <v>2317</v>
      </c>
      <c r="D2188" s="2" t="s">
        <v>305</v>
      </c>
      <c r="E2188" s="2">
        <v>111.44</v>
      </c>
      <c r="F2188" s="2" t="e">
        <f>IF(Table2[[#This Row],[Manual Cat Value]]="",VLOOKUP(Table2[[#This Row],[Description]],'Actuals Lookup'!D:F,3,0),Table2[[#This Row],[Manual Cat Value]])</f>
        <v>#N/A</v>
      </c>
      <c r="J2188" s="2">
        <v>111.44</v>
      </c>
      <c r="K2188" s="2" t="b">
        <v>0</v>
      </c>
      <c r="L2188" s="2"/>
      <c r="M2188" s="2"/>
      <c r="N2188" s="4" t="s">
        <v>2259</v>
      </c>
      <c r="O2188" s="4" t="str">
        <f>LEFT(Table2[[#This Row],[Description]],75)</f>
        <v>BOEING CO</v>
      </c>
      <c r="P2188" s="2" t="s">
        <v>2425</v>
      </c>
    </row>
    <row r="2189" spans="1:16" hidden="1">
      <c r="A2189" s="2">
        <v>202003</v>
      </c>
      <c r="B2189" s="3">
        <v>43899</v>
      </c>
      <c r="C2189" s="2" t="s">
        <v>2265</v>
      </c>
      <c r="D2189" s="2" t="s">
        <v>518</v>
      </c>
      <c r="E2189" s="2">
        <v>82.38</v>
      </c>
      <c r="F2189" s="2" t="e">
        <f>IF(Table2[[#This Row],[Manual Cat Value]]="",VLOOKUP(Table2[[#This Row],[Description]],'Actuals Lookup'!D:F,3,0),Table2[[#This Row],[Manual Cat Value]])</f>
        <v>#N/A</v>
      </c>
      <c r="J2189" s="2">
        <v>82.38</v>
      </c>
      <c r="K2189" s="2" t="b">
        <v>0</v>
      </c>
      <c r="L2189" s="2"/>
      <c r="M2189" s="2"/>
      <c r="N2189" s="4" t="s">
        <v>2259</v>
      </c>
      <c r="O2189" s="4" t="str">
        <f>LEFT(Table2[[#This Row],[Description]],75)</f>
        <v>CHECK 2097 2097</v>
      </c>
      <c r="P2189" s="2" t="s">
        <v>2281</v>
      </c>
    </row>
    <row r="2190" spans="1:16" hidden="1">
      <c r="A2190" s="2">
        <v>202003</v>
      </c>
      <c r="B2190" s="3">
        <v>43899</v>
      </c>
      <c r="C2190" s="2" t="s">
        <v>2265</v>
      </c>
      <c r="D2190" s="2" t="s">
        <v>1471</v>
      </c>
      <c r="E2190" s="2">
        <v>7.43</v>
      </c>
      <c r="F2190" s="2" t="str">
        <f>IF(Table2[[#This Row],[Manual Cat Value]]="",VLOOKUP(Table2[[#This Row],[Description]],'Actuals Lookup'!D:F,3,0),Table2[[#This Row],[Manual Cat Value]])</f>
        <v>Shopping</v>
      </c>
      <c r="J2190" s="2">
        <v>7.43</v>
      </c>
      <c r="K2190" s="2" t="b">
        <v>0</v>
      </c>
      <c r="L2190" s="2"/>
      <c r="M2190" s="2"/>
      <c r="N2190" s="4" t="s">
        <v>2259</v>
      </c>
      <c r="O2190" s="4" t="str">
        <f>LEFT(Table2[[#This Row],[Description]],75)</f>
        <v>PayPal</v>
      </c>
      <c r="P2190" s="2" t="s">
        <v>2322</v>
      </c>
    </row>
    <row r="2191" spans="1:16" hidden="1">
      <c r="A2191" s="2">
        <v>202003</v>
      </c>
      <c r="B2191" s="3">
        <v>43899</v>
      </c>
      <c r="C2191" s="2" t="s">
        <v>2435</v>
      </c>
      <c r="D2191" s="2" t="s">
        <v>1633</v>
      </c>
      <c r="E2191" s="2">
        <v>500</v>
      </c>
      <c r="F2191" s="2" t="e">
        <f>IF(Table2[[#This Row],[Manual Cat Value]]="",VLOOKUP(Table2[[#This Row],[Description]],'Actuals Lookup'!D:F,3,0),Table2[[#This Row],[Manual Cat Value]])</f>
        <v>#N/A</v>
      </c>
      <c r="J2191" s="2">
        <v>500</v>
      </c>
      <c r="K2191" s="2" t="b">
        <v>0</v>
      </c>
      <c r="L2191" s="2"/>
      <c r="M2191" s="2"/>
      <c r="N2191" s="4" t="s">
        <v>2259</v>
      </c>
      <c r="O2191" s="4" t="str">
        <f>LEFT(Table2[[#This Row],[Description]],75)</f>
        <v>SCHWAB S&amp;P 500 INDEX FD</v>
      </c>
      <c r="P2191" s="2" t="s">
        <v>2276</v>
      </c>
    </row>
    <row r="2192" spans="1:16" hidden="1">
      <c r="A2192" s="2">
        <v>202003</v>
      </c>
      <c r="B2192" s="3">
        <v>43899</v>
      </c>
      <c r="C2192" s="2" t="s">
        <v>2317</v>
      </c>
      <c r="D2192" s="2" t="s">
        <v>1786</v>
      </c>
      <c r="E2192" s="2">
        <v>875.26</v>
      </c>
      <c r="F2192" s="2" t="e">
        <f>IF(Table2[[#This Row],[Manual Cat Value]]="",VLOOKUP(Table2[[#This Row],[Description]],'Actuals Lookup'!D:F,3,0),Table2[[#This Row],[Manual Cat Value]])</f>
        <v>#N/A</v>
      </c>
      <c r="J2192" s="2">
        <v>875.26</v>
      </c>
      <c r="K2192" s="2" t="b">
        <v>0</v>
      </c>
      <c r="L2192" s="2"/>
      <c r="M2192" s="2"/>
      <c r="N2192" s="4" t="s">
        <v>2259</v>
      </c>
      <c r="O2192" s="4" t="str">
        <f>LEFT(Table2[[#This Row],[Description]],75)</f>
        <v>STRYKER CORP</v>
      </c>
      <c r="P2192" s="2" t="s">
        <v>2385</v>
      </c>
    </row>
    <row r="2193" spans="1:16" hidden="1">
      <c r="A2193" s="2">
        <v>202003</v>
      </c>
      <c r="B2193" s="3">
        <v>43899</v>
      </c>
      <c r="C2193" s="2" t="s">
        <v>2265</v>
      </c>
      <c r="D2193" s="2" t="s">
        <v>2109</v>
      </c>
      <c r="E2193" s="2">
        <v>29</v>
      </c>
      <c r="F2193" s="2" t="str">
        <f>IF(Table2[[#This Row],[Manual Cat Value]]="",VLOOKUP(Table2[[#This Row],[Description]],'Actuals Lookup'!D:F,3,0),Table2[[#This Row],[Manual Cat Value]])</f>
        <v>Shopping</v>
      </c>
      <c r="J2193" s="2">
        <v>29</v>
      </c>
      <c r="K2193" s="2" t="b">
        <v>0</v>
      </c>
      <c r="L2193" s="2"/>
      <c r="M2193" s="2"/>
      <c r="N2193" s="4" t="s">
        <v>2259</v>
      </c>
      <c r="O2193" s="4" t="str">
        <f>LEFT(Table2[[#This Row],[Description]],75)</f>
        <v>Venmo</v>
      </c>
      <c r="P2193" s="2" t="s">
        <v>2281</v>
      </c>
    </row>
    <row r="2194" spans="1:16" hidden="1">
      <c r="A2194" s="2">
        <v>202003</v>
      </c>
      <c r="B2194" s="3">
        <v>43900</v>
      </c>
      <c r="C2194" s="2" t="s">
        <v>2317</v>
      </c>
      <c r="D2194" s="2" t="s">
        <v>305</v>
      </c>
      <c r="E2194" s="2">
        <v>665.77</v>
      </c>
      <c r="F2194" s="2" t="e">
        <f>IF(Table2[[#This Row],[Manual Cat Value]]="",VLOOKUP(Table2[[#This Row],[Description]],'Actuals Lookup'!D:F,3,0),Table2[[#This Row],[Manual Cat Value]])</f>
        <v>#N/A</v>
      </c>
      <c r="J2194" s="2">
        <v>665.77</v>
      </c>
      <c r="K2194" s="2" t="b">
        <v>0</v>
      </c>
      <c r="L2194" s="2"/>
      <c r="M2194" s="2"/>
      <c r="N2194" s="4" t="s">
        <v>2259</v>
      </c>
      <c r="O2194" s="4" t="str">
        <f>LEFT(Table2[[#This Row],[Description]],75)</f>
        <v>BOEING CO</v>
      </c>
      <c r="P2194" s="2" t="s">
        <v>2425</v>
      </c>
    </row>
    <row r="2195" spans="1:16" hidden="1">
      <c r="A2195" s="2">
        <v>202003</v>
      </c>
      <c r="B2195" s="3">
        <v>43900</v>
      </c>
      <c r="C2195" s="2" t="s">
        <v>2317</v>
      </c>
      <c r="D2195" s="2" t="s">
        <v>537</v>
      </c>
      <c r="E2195" s="2">
        <v>-49.87</v>
      </c>
      <c r="F2195" s="2" t="e">
        <f>IF(Table2[[#This Row],[Manual Cat Value]]="",VLOOKUP(Table2[[#This Row],[Description]],'Actuals Lookup'!D:F,3,0),Table2[[#This Row],[Manual Cat Value]])</f>
        <v>#N/A</v>
      </c>
      <c r="J2195" s="2">
        <v>49.87</v>
      </c>
      <c r="K2195" s="2" t="b">
        <v>0</v>
      </c>
      <c r="L2195" s="2"/>
      <c r="M2195" s="2"/>
      <c r="N2195" s="4" t="s">
        <v>2273</v>
      </c>
      <c r="O2195" s="4" t="str">
        <f>LEFT(Table2[[#This Row],[Description]],75)</f>
        <v>CHEVRON CORP</v>
      </c>
      <c r="P2195" s="2" t="s">
        <v>2430</v>
      </c>
    </row>
    <row r="2196" spans="1:16" hidden="1">
      <c r="A2196" s="2">
        <v>202003</v>
      </c>
      <c r="B2196" s="3">
        <v>43900</v>
      </c>
      <c r="C2196" s="2" t="s">
        <v>2265</v>
      </c>
      <c r="D2196" s="2" t="s">
        <v>1214</v>
      </c>
      <c r="E2196" s="2">
        <v>78.75</v>
      </c>
      <c r="F2196" s="2" t="e">
        <f>IF(Table2[[#This Row],[Manual Cat Value]]="",VLOOKUP(Table2[[#This Row],[Description]],'Actuals Lookup'!D:F,3,0),Table2[[#This Row],[Manual Cat Value]])</f>
        <v>#N/A</v>
      </c>
      <c r="J2196" s="2">
        <v>78.75</v>
      </c>
      <c r="K2196" s="2" t="b">
        <v>0</v>
      </c>
      <c r="L2196" s="2"/>
      <c r="M2196" s="2"/>
      <c r="N2196" s="4" t="s">
        <v>2259</v>
      </c>
      <c r="O2196" s="4" t="str">
        <f>LEFT(Table2[[#This Row],[Description]],75)</f>
        <v>MHCHILDCARELLC TYPE DUES ID CO MHCHILDCARELLC ACH ECC PPD ACH Trace 27593 2</v>
      </c>
      <c r="P2196" s="2" t="s">
        <v>2281</v>
      </c>
    </row>
    <row r="2197" spans="1:16" hidden="1">
      <c r="A2197" s="2">
        <v>202003</v>
      </c>
      <c r="B2197" s="3">
        <v>43900</v>
      </c>
      <c r="C2197" s="2" t="s">
        <v>2265</v>
      </c>
      <c r="D2197" s="2" t="s">
        <v>2221</v>
      </c>
      <c r="E2197" s="2">
        <v>101.59</v>
      </c>
      <c r="F2197" s="2" t="str">
        <f>IF(Table2[[#This Row],[Manual Cat Value]]="",VLOOKUP(Table2[[#This Row],[Description]],'Actuals Lookup'!D:F,3,0),Table2[[#This Row],[Manual Cat Value]])</f>
        <v>Utilities</v>
      </c>
      <c r="J2197" s="2">
        <v>101.59</v>
      </c>
      <c r="K2197" s="2" t="b">
        <v>0</v>
      </c>
      <c r="L2197" s="2"/>
      <c r="M2197" s="2"/>
      <c r="N2197" s="4" t="s">
        <v>2259</v>
      </c>
      <c r="O2197" s="4" t="str">
        <f>LEFT(Table2[[#This Row],[Description]],75)</f>
        <v>Xcel Energy</v>
      </c>
      <c r="P2197" s="2" t="s">
        <v>2280</v>
      </c>
    </row>
    <row r="2198" spans="1:16" hidden="1">
      <c r="A2198" s="2">
        <v>202003</v>
      </c>
      <c r="B2198" s="3">
        <v>43901</v>
      </c>
      <c r="C2198" s="2" t="s">
        <v>2317</v>
      </c>
      <c r="D2198" s="2" t="s">
        <v>305</v>
      </c>
      <c r="E2198" s="2">
        <v>761.15</v>
      </c>
      <c r="F2198" s="2" t="e">
        <f>IF(Table2[[#This Row],[Manual Cat Value]]="",VLOOKUP(Table2[[#This Row],[Description]],'Actuals Lookup'!D:F,3,0),Table2[[#This Row],[Manual Cat Value]])</f>
        <v>#N/A</v>
      </c>
      <c r="J2198" s="2">
        <v>761.15</v>
      </c>
      <c r="K2198" s="2" t="b">
        <v>0</v>
      </c>
      <c r="L2198" s="2"/>
      <c r="M2198" s="2"/>
      <c r="N2198" s="4" t="s">
        <v>2259</v>
      </c>
      <c r="O2198" s="4" t="str">
        <f>LEFT(Table2[[#This Row],[Description]],75)</f>
        <v>BOEING CO</v>
      </c>
      <c r="P2198" s="2" t="s">
        <v>2425</v>
      </c>
    </row>
    <row r="2199" spans="1:16" hidden="1">
      <c r="A2199" s="2">
        <v>202003</v>
      </c>
      <c r="B2199" s="3">
        <v>43901</v>
      </c>
      <c r="C2199" s="2" t="s">
        <v>2317</v>
      </c>
      <c r="D2199" s="2" t="s">
        <v>537</v>
      </c>
      <c r="E2199" s="2">
        <v>49.87</v>
      </c>
      <c r="F2199" s="2" t="e">
        <f>IF(Table2[[#This Row],[Manual Cat Value]]="",VLOOKUP(Table2[[#This Row],[Description]],'Actuals Lookup'!D:F,3,0),Table2[[#This Row],[Manual Cat Value]])</f>
        <v>#N/A</v>
      </c>
      <c r="J2199" s="2">
        <v>49.87</v>
      </c>
      <c r="K2199" s="2" t="b">
        <v>0</v>
      </c>
      <c r="L2199" s="2"/>
      <c r="M2199" s="2"/>
      <c r="N2199" s="4" t="s">
        <v>2259</v>
      </c>
      <c r="O2199" s="4" t="str">
        <f>LEFT(Table2[[#This Row],[Description]],75)</f>
        <v>CHEVRON CORP</v>
      </c>
      <c r="P2199" s="2" t="s">
        <v>2430</v>
      </c>
    </row>
    <row r="2200" spans="1:16" hidden="1">
      <c r="A2200" s="2">
        <v>202003</v>
      </c>
      <c r="B2200" s="3">
        <v>43901</v>
      </c>
      <c r="C2200" s="2" t="s">
        <v>2262</v>
      </c>
      <c r="D2200" s="2" t="s">
        <v>919</v>
      </c>
      <c r="E2200" s="2">
        <v>18</v>
      </c>
      <c r="F2200" s="2" t="e">
        <f>IF(Table2[[#This Row],[Manual Cat Value]]="",VLOOKUP(Table2[[#This Row],[Description]],'Actuals Lookup'!D:F,3,0),Table2[[#This Row],[Manual Cat Value]])</f>
        <v>#N/A</v>
      </c>
      <c r="J2200" s="2">
        <v>18</v>
      </c>
      <c r="K2200" s="2" t="b">
        <v>0</v>
      </c>
      <c r="L2200" s="2"/>
      <c r="M2200" s="2"/>
      <c r="N2200" s="4" t="s">
        <v>2259</v>
      </c>
      <c r="O2200" s="4" t="str">
        <f>LEFT(Table2[[#This Row],[Description]],75)</f>
        <v>Harvard Business</v>
      </c>
      <c r="P2200" s="2" t="s">
        <v>2412</v>
      </c>
    </row>
    <row r="2201" spans="1:16" hidden="1">
      <c r="A2201" s="2">
        <v>202003</v>
      </c>
      <c r="B2201" s="3">
        <v>43901</v>
      </c>
      <c r="C2201" s="2" t="s">
        <v>2317</v>
      </c>
      <c r="D2201" s="2" t="s">
        <v>1635</v>
      </c>
      <c r="E2201" s="2">
        <v>500</v>
      </c>
      <c r="F2201" s="2" t="e">
        <f>IF(Table2[[#This Row],[Manual Cat Value]]="",VLOOKUP(Table2[[#This Row],[Description]],'Actuals Lookup'!D:F,3,0),Table2[[#This Row],[Manual Cat Value]])</f>
        <v>#N/A</v>
      </c>
      <c r="J2201" s="2">
        <v>500</v>
      </c>
      <c r="K2201" s="2" t="b">
        <v>0</v>
      </c>
      <c r="L2201" s="2"/>
      <c r="M2201" s="2"/>
      <c r="N2201" s="4" t="s">
        <v>2259</v>
      </c>
      <c r="O2201" s="4" t="str">
        <f>LEFT(Table2[[#This Row],[Description]],75)</f>
        <v>SCHWAB TOTAL STOCK MKT INDEX</v>
      </c>
      <c r="P2201" s="2" t="s">
        <v>2278</v>
      </c>
    </row>
    <row r="2202" spans="1:16" hidden="1">
      <c r="A2202" s="2">
        <v>202003</v>
      </c>
      <c r="B2202" s="3">
        <v>43902</v>
      </c>
      <c r="C2202" s="2" t="s">
        <v>2317</v>
      </c>
      <c r="D2202" s="2" t="s">
        <v>305</v>
      </c>
      <c r="E2202" s="2">
        <v>497</v>
      </c>
      <c r="F2202" s="2" t="e">
        <f>IF(Table2[[#This Row],[Manual Cat Value]]="",VLOOKUP(Table2[[#This Row],[Description]],'Actuals Lookup'!D:F,3,0),Table2[[#This Row],[Manual Cat Value]])</f>
        <v>#N/A</v>
      </c>
      <c r="J2202" s="2">
        <v>497</v>
      </c>
      <c r="K2202" s="2" t="b">
        <v>0</v>
      </c>
      <c r="L2202" s="2"/>
      <c r="M2202" s="2"/>
      <c r="N2202" s="4" t="s">
        <v>2259</v>
      </c>
      <c r="O2202" s="4" t="str">
        <f>LEFT(Table2[[#This Row],[Description]],75)</f>
        <v>BOEING CO</v>
      </c>
      <c r="P2202" s="2" t="s">
        <v>2425</v>
      </c>
    </row>
    <row r="2203" spans="1:16" hidden="1">
      <c r="A2203" s="2">
        <v>202003</v>
      </c>
      <c r="B2203" s="3">
        <v>43902</v>
      </c>
      <c r="C2203" s="2" t="s">
        <v>2447</v>
      </c>
      <c r="D2203" s="2" t="s">
        <v>506</v>
      </c>
      <c r="E2203" s="2">
        <v>45</v>
      </c>
      <c r="F2203" s="2" t="str">
        <f>IF(Table2[[#This Row],[Manual Cat Value]]="",VLOOKUP(Table2[[#This Row],[Description]],'Actuals Lookup'!D:F,3,0),Table2[[#This Row],[Manual Cat Value]])</f>
        <v>Utilities</v>
      </c>
      <c r="J2203" s="2">
        <v>45</v>
      </c>
      <c r="K2203" s="2" t="b">
        <v>0</v>
      </c>
      <c r="L2203" s="2"/>
      <c r="M2203" s="2"/>
      <c r="N2203" s="4" t="s">
        <v>2259</v>
      </c>
      <c r="O2203" s="4" t="str">
        <f>LEFT(Table2[[#This Row],[Description]],75)</f>
        <v>CenturyLink</v>
      </c>
      <c r="P2203" s="2" t="s">
        <v>2408</v>
      </c>
    </row>
    <row r="2204" spans="1:16" hidden="1">
      <c r="A2204" s="2">
        <v>202003</v>
      </c>
      <c r="B2204" s="3">
        <v>43902</v>
      </c>
      <c r="C2204" s="2" t="s">
        <v>2258</v>
      </c>
      <c r="D2204" s="2" t="s">
        <v>506</v>
      </c>
      <c r="E2204" s="2">
        <v>45</v>
      </c>
      <c r="F2204" s="2" t="str">
        <f>IF(Table2[[#This Row],[Manual Cat Value]]="",VLOOKUP(Table2[[#This Row],[Description]],'Actuals Lookup'!D:F,3,0),Table2[[#This Row],[Manual Cat Value]])</f>
        <v>Utilities</v>
      </c>
      <c r="J2204" s="2">
        <v>45</v>
      </c>
      <c r="K2204" s="2" t="b">
        <v>0</v>
      </c>
      <c r="L2204" s="2"/>
      <c r="M2204" s="2"/>
      <c r="N2204" s="4" t="s">
        <v>2259</v>
      </c>
      <c r="O2204" s="4" t="str">
        <f>LEFT(Table2[[#This Row],[Description]],75)</f>
        <v>CenturyLink</v>
      </c>
      <c r="P2204" s="2" t="s">
        <v>2408</v>
      </c>
    </row>
    <row r="2205" spans="1:16" hidden="1">
      <c r="A2205" s="2">
        <v>202003</v>
      </c>
      <c r="B2205" s="3">
        <v>43902</v>
      </c>
      <c r="C2205" s="2" t="s">
        <v>2265</v>
      </c>
      <c r="D2205" s="2" t="s">
        <v>1053</v>
      </c>
      <c r="E2205" s="2">
        <v>-12089.95</v>
      </c>
      <c r="F2205" s="2" t="e">
        <f>IF(Table2[[#This Row],[Manual Cat Value]]="",VLOOKUP(Table2[[#This Row],[Description]],'Actuals Lookup'!D:F,3,0),Table2[[#This Row],[Manual Cat Value]])</f>
        <v>#N/A</v>
      </c>
      <c r="J2205" s="2">
        <v>12089.95</v>
      </c>
      <c r="K2205" s="2" t="b">
        <v>0</v>
      </c>
      <c r="L2205" s="2"/>
      <c r="M2205" s="2"/>
      <c r="N2205" s="4" t="s">
        <v>2273</v>
      </c>
      <c r="O2205" s="4" t="str">
        <f>LEFT(Table2[[#This Row],[Description]],75)</f>
        <v>KAUFMAN HALL TYPE DIRECT DEP ID CO KAUFMAN HALL ACH ECC PPD ACH Trace 56404</v>
      </c>
      <c r="P2205" s="2" t="s">
        <v>2285</v>
      </c>
    </row>
    <row r="2206" spans="1:16" hidden="1">
      <c r="A2206" s="2">
        <v>202003</v>
      </c>
      <c r="B2206" s="3">
        <v>43902</v>
      </c>
      <c r="C2206" s="2" t="s">
        <v>2265</v>
      </c>
      <c r="D2206" s="2" t="s">
        <v>1054</v>
      </c>
      <c r="E2206" s="2">
        <v>-2688.26</v>
      </c>
      <c r="F2206" s="2" t="e">
        <f>IF(Table2[[#This Row],[Manual Cat Value]]="",VLOOKUP(Table2[[#This Row],[Description]],'Actuals Lookup'!D:F,3,0),Table2[[#This Row],[Manual Cat Value]])</f>
        <v>#N/A</v>
      </c>
      <c r="J2206" s="2">
        <v>2688.26</v>
      </c>
      <c r="K2206" s="2" t="b">
        <v>0</v>
      </c>
      <c r="L2206" s="2"/>
      <c r="M2206" s="2"/>
      <c r="N2206" s="4" t="s">
        <v>2273</v>
      </c>
      <c r="O2206" s="4" t="str">
        <f>LEFT(Table2[[#This Row],[Description]],75)</f>
        <v>KAUFMAN HALL TYPE DIRECT DEP ID CO KAUFMAN HALL ACH ECC PPD ACH Trace 56405</v>
      </c>
      <c r="P2206" s="2" t="s">
        <v>2285</v>
      </c>
    </row>
    <row r="2207" spans="1:16" hidden="1">
      <c r="A2207" s="2">
        <v>202003</v>
      </c>
      <c r="B2207" s="3">
        <v>43902</v>
      </c>
      <c r="C2207" s="2" t="s">
        <v>2317</v>
      </c>
      <c r="D2207" s="2" t="s">
        <v>1635</v>
      </c>
      <c r="E2207" s="2">
        <v>500</v>
      </c>
      <c r="F2207" s="2" t="e">
        <f>IF(Table2[[#This Row],[Manual Cat Value]]="",VLOOKUP(Table2[[#This Row],[Description]],'Actuals Lookup'!D:F,3,0),Table2[[#This Row],[Manual Cat Value]])</f>
        <v>#N/A</v>
      </c>
      <c r="J2207" s="2">
        <v>500</v>
      </c>
      <c r="K2207" s="2" t="b">
        <v>0</v>
      </c>
      <c r="L2207" s="2"/>
      <c r="M2207" s="2"/>
      <c r="N2207" s="4" t="s">
        <v>2259</v>
      </c>
      <c r="O2207" s="4" t="str">
        <f>LEFT(Table2[[#This Row],[Description]],75)</f>
        <v>SCHWAB TOTAL STOCK MKT INDEX</v>
      </c>
      <c r="P2207" s="2" t="s">
        <v>2278</v>
      </c>
    </row>
    <row r="2208" spans="1:16" hidden="1">
      <c r="A2208" s="2">
        <v>202003</v>
      </c>
      <c r="B2208" s="3">
        <v>43902</v>
      </c>
      <c r="C2208" s="2" t="s">
        <v>2265</v>
      </c>
      <c r="D2208" s="2" t="s">
        <v>2167</v>
      </c>
      <c r="E2208" s="2">
        <v>5000</v>
      </c>
      <c r="F2208" s="2" t="e">
        <f>IF(Table2[[#This Row],[Manual Cat Value]]="",VLOOKUP(Table2[[#This Row],[Description]],'Actuals Lookup'!D:F,3,0),Table2[[#This Row],[Manual Cat Value]])</f>
        <v>#N/A</v>
      </c>
      <c r="J2208" s="2">
        <v>5000</v>
      </c>
      <c r="K2208" s="2" t="b">
        <v>0</v>
      </c>
      <c r="L2208" s="2"/>
      <c r="M2208" s="2"/>
      <c r="N2208" s="4" t="s">
        <v>2259</v>
      </c>
      <c r="O2208" s="4" t="str">
        <f>LEFT(Table2[[#This Row],[Description]],75)</f>
        <v>Withdrawal ACH TYPE Online ID ACH ECC WEB 295857736</v>
      </c>
      <c r="P2208" s="2" t="s">
        <v>2281</v>
      </c>
    </row>
    <row r="2209" spans="1:16" hidden="1">
      <c r="A2209" s="2">
        <v>202003</v>
      </c>
      <c r="B2209" s="3">
        <v>43903</v>
      </c>
      <c r="C2209" s="2" t="s">
        <v>2447</v>
      </c>
      <c r="D2209" s="2" t="s">
        <v>997</v>
      </c>
      <c r="E2209" s="2">
        <v>-367.03</v>
      </c>
      <c r="F2209" s="2" t="str">
        <f>IF(Table2[[#This Row],[Manual Cat Value]]="",VLOOKUP(Table2[[#This Row],[Description]],'Actuals Lookup'!D:F,3,0),Table2[[#This Row],[Manual Cat Value]])</f>
        <v>Delete</v>
      </c>
      <c r="J2209" s="2">
        <v>367.03</v>
      </c>
      <c r="K2209" s="2" t="b">
        <v>0</v>
      </c>
      <c r="L2209" s="2"/>
      <c r="M2209" s="2"/>
      <c r="N2209" s="4" t="s">
        <v>2273</v>
      </c>
      <c r="O2209" s="4" t="str">
        <f>LEFT(Table2[[#This Row],[Description]],75)</f>
        <v>INTERNET PAYMENT - THANK YOU</v>
      </c>
      <c r="P2209" s="2" t="s">
        <v>2291</v>
      </c>
    </row>
    <row r="2210" spans="1:16" hidden="1">
      <c r="A2210" s="2">
        <v>202003</v>
      </c>
      <c r="B2210" s="3">
        <v>43903</v>
      </c>
      <c r="C2210" s="2" t="s">
        <v>2258</v>
      </c>
      <c r="D2210" s="2" t="s">
        <v>997</v>
      </c>
      <c r="E2210" s="2">
        <v>-367.03</v>
      </c>
      <c r="F2210" s="2" t="str">
        <f>IF(Table2[[#This Row],[Manual Cat Value]]="",VLOOKUP(Table2[[#This Row],[Description]],'Actuals Lookup'!D:F,3,0),Table2[[#This Row],[Manual Cat Value]])</f>
        <v>Delete</v>
      </c>
      <c r="J2210" s="2">
        <v>367.03</v>
      </c>
      <c r="K2210" s="2" t="b">
        <v>0</v>
      </c>
      <c r="L2210" s="2"/>
      <c r="M2210" s="2"/>
      <c r="N2210" s="4" t="s">
        <v>2273</v>
      </c>
      <c r="O2210" s="4" t="str">
        <f>LEFT(Table2[[#This Row],[Description]],75)</f>
        <v>INTERNET PAYMENT - THANK YOU</v>
      </c>
      <c r="P2210" s="2" t="s">
        <v>2291</v>
      </c>
    </row>
    <row r="2211" spans="1:16" hidden="1">
      <c r="A2211" s="2">
        <v>202003</v>
      </c>
      <c r="B2211" s="3">
        <v>43903</v>
      </c>
      <c r="C2211" s="2" t="s">
        <v>2262</v>
      </c>
      <c r="D2211" s="2" t="s">
        <v>1445</v>
      </c>
      <c r="E2211" s="2">
        <v>-481.43</v>
      </c>
      <c r="F2211" s="2" t="e">
        <f>IF(Table2[[#This Row],[Manual Cat Value]]="",VLOOKUP(Table2[[#This Row],[Description]],'Actuals Lookup'!D:F,3,0),Table2[[#This Row],[Manual Cat Value]])</f>
        <v>#N/A</v>
      </c>
      <c r="J2211" s="2">
        <v>481.43</v>
      </c>
      <c r="K2211" s="2" t="b">
        <v>0</v>
      </c>
      <c r="L2211" s="2"/>
      <c r="M2211" s="2"/>
      <c r="N2211" s="4" t="s">
        <v>2273</v>
      </c>
      <c r="O2211" s="4" t="str">
        <f>LEFT(Table2[[#This Row],[Description]],75)</f>
        <v>PAYMENT THANK YOU 296626640</v>
      </c>
      <c r="P2211" s="2" t="s">
        <v>2391</v>
      </c>
    </row>
    <row r="2212" spans="1:16" hidden="1">
      <c r="A2212" s="2">
        <v>202003</v>
      </c>
      <c r="B2212" s="3">
        <v>43903</v>
      </c>
      <c r="C2212" s="2" t="s">
        <v>2265</v>
      </c>
      <c r="D2212" s="2" t="s">
        <v>2190</v>
      </c>
      <c r="E2212" s="2">
        <v>481.43</v>
      </c>
      <c r="F2212" s="2" t="e">
        <f>IF(Table2[[#This Row],[Manual Cat Value]]="",VLOOKUP(Table2[[#This Row],[Description]],'Actuals Lookup'!D:F,3,0),Table2[[#This Row],[Manual Cat Value]])</f>
        <v>#N/A</v>
      </c>
      <c r="J2212" s="2">
        <v>481.43</v>
      </c>
      <c r="K2212" s="2" t="b">
        <v>0</v>
      </c>
      <c r="L2212" s="2"/>
      <c r="M2212" s="2"/>
      <c r="N2212" s="4" t="s">
        <v>2259</v>
      </c>
      <c r="O2212" s="4" t="str">
        <f>LEFT(Table2[[#This Row],[Description]],75)</f>
        <v>Withdrawal Home payment to card 979181 295897206</v>
      </c>
      <c r="P2212" s="2" t="s">
        <v>2349</v>
      </c>
    </row>
    <row r="2213" spans="1:16" hidden="1">
      <c r="A2213" s="2">
        <v>202003</v>
      </c>
      <c r="B2213" s="3">
        <v>43903</v>
      </c>
      <c r="C2213" s="2" t="s">
        <v>2274</v>
      </c>
      <c r="D2213" s="2" t="s">
        <v>275</v>
      </c>
      <c r="E2213" s="2">
        <v>-5000</v>
      </c>
      <c r="F2213" s="2" t="e">
        <f>IF(Table2[[#This Row],[Manual Cat Value]]="",VLOOKUP(Table2[[#This Row],[Description]],'Actuals Lookup'!D:F,3,0),Table2[[#This Row],[Manual Cat Value]])</f>
        <v>#N/A</v>
      </c>
      <c r="J2213" s="2">
        <v>5000</v>
      </c>
      <c r="K2213" s="2" t="b">
        <v>0</v>
      </c>
      <c r="L2213" s="2"/>
      <c r="M2213" s="2"/>
      <c r="N2213" s="4" t="s">
        <v>2273</v>
      </c>
      <c r="O2213" s="4" t="str">
        <f>LEFT(Table2[[#This Row],[Description]],75)</f>
        <v>Bcu Online</v>
      </c>
      <c r="P2213" s="2" t="s">
        <v>2281</v>
      </c>
    </row>
    <row r="2214" spans="1:16" hidden="1">
      <c r="A2214" s="2">
        <v>202003</v>
      </c>
      <c r="B2214" s="3">
        <v>43903</v>
      </c>
      <c r="C2214" s="2" t="s">
        <v>2447</v>
      </c>
      <c r="D2214" s="2" t="s">
        <v>38</v>
      </c>
      <c r="E2214" s="2">
        <v>-27.44</v>
      </c>
      <c r="F2214" s="2" t="str">
        <f>IF(Table2[[#This Row],[Manual Cat Value]]="",VLOOKUP(Table2[[#This Row],[Description]],'Actuals Lookup'!D:F,3,0),Table2[[#This Row],[Manual Cat Value]])</f>
        <v>Amazon</v>
      </c>
      <c r="J2214" s="2">
        <v>27.44</v>
      </c>
      <c r="K2214" s="2" t="b">
        <v>0</v>
      </c>
      <c r="L2214" s="2"/>
      <c r="M2214" s="2"/>
      <c r="N2214" s="4" t="s">
        <v>2273</v>
      </c>
      <c r="O2214" s="4" t="str">
        <f>LEFT(Table2[[#This Row],[Description]],75)</f>
        <v>Amazon</v>
      </c>
      <c r="P2214" s="2" t="s">
        <v>2260</v>
      </c>
    </row>
    <row r="2215" spans="1:16" hidden="1">
      <c r="A2215" s="2">
        <v>202003</v>
      </c>
      <c r="B2215" s="3">
        <v>43903</v>
      </c>
      <c r="C2215" s="2" t="s">
        <v>2262</v>
      </c>
      <c r="D2215" s="2" t="s">
        <v>38</v>
      </c>
      <c r="E2215" s="2">
        <v>14.98</v>
      </c>
      <c r="F2215" s="2" t="str">
        <f>IF(Table2[[#This Row],[Manual Cat Value]]="",VLOOKUP(Table2[[#This Row],[Description]],'Actuals Lookup'!D:F,3,0),Table2[[#This Row],[Manual Cat Value]])</f>
        <v>Amazon</v>
      </c>
      <c r="J2215" s="2">
        <v>14.98</v>
      </c>
      <c r="K2215" s="2" t="b">
        <v>0</v>
      </c>
      <c r="L2215" s="2"/>
      <c r="M2215" s="2"/>
      <c r="N2215" s="4" t="s">
        <v>2259</v>
      </c>
      <c r="O2215" s="4" t="str">
        <f>LEFT(Table2[[#This Row],[Description]],75)</f>
        <v>Amazon</v>
      </c>
      <c r="P2215" s="2" t="s">
        <v>2260</v>
      </c>
    </row>
    <row r="2216" spans="1:16" hidden="1">
      <c r="A2216" s="2">
        <v>202003</v>
      </c>
      <c r="B2216" s="3">
        <v>43903</v>
      </c>
      <c r="C2216" s="2" t="s">
        <v>2258</v>
      </c>
      <c r="D2216" s="2" t="s">
        <v>38</v>
      </c>
      <c r="E2216" s="2">
        <v>-27.44</v>
      </c>
      <c r="F2216" s="2" t="str">
        <f>IF(Table2[[#This Row],[Manual Cat Value]]="",VLOOKUP(Table2[[#This Row],[Description]],'Actuals Lookup'!D:F,3,0),Table2[[#This Row],[Manual Cat Value]])</f>
        <v>Amazon</v>
      </c>
      <c r="J2216" s="2">
        <v>27.44</v>
      </c>
      <c r="K2216" s="2" t="b">
        <v>0</v>
      </c>
      <c r="L2216" s="2"/>
      <c r="M2216" s="2"/>
      <c r="N2216" s="4" t="s">
        <v>2273</v>
      </c>
      <c r="O2216" s="4" t="str">
        <f>LEFT(Table2[[#This Row],[Description]],75)</f>
        <v>Amazon</v>
      </c>
      <c r="P2216" s="2" t="s">
        <v>2260</v>
      </c>
    </row>
    <row r="2217" spans="1:16" hidden="1">
      <c r="A2217" s="2">
        <v>202003</v>
      </c>
      <c r="B2217" s="3">
        <v>43903</v>
      </c>
      <c r="C2217" s="2" t="s">
        <v>2262</v>
      </c>
      <c r="D2217" s="2" t="s">
        <v>38</v>
      </c>
      <c r="E2217" s="2">
        <v>30.05</v>
      </c>
      <c r="F2217" s="2" t="str">
        <f>IF(Table2[[#This Row],[Manual Cat Value]]="",VLOOKUP(Table2[[#This Row],[Description]],'Actuals Lookup'!D:F,3,0),Table2[[#This Row],[Manual Cat Value]])</f>
        <v>Amazon</v>
      </c>
      <c r="J2217" s="2">
        <v>30.05</v>
      </c>
      <c r="K2217" s="2" t="b">
        <v>0</v>
      </c>
      <c r="L2217" s="2"/>
      <c r="M2217" s="2"/>
      <c r="N2217" s="4" t="s">
        <v>2259</v>
      </c>
      <c r="O2217" s="4" t="str">
        <f>LEFT(Table2[[#This Row],[Description]],75)</f>
        <v>Amazon</v>
      </c>
      <c r="P2217" s="2" t="s">
        <v>2260</v>
      </c>
    </row>
    <row r="2218" spans="1:16" hidden="1">
      <c r="A2218" s="2">
        <v>202003</v>
      </c>
      <c r="B2218" s="3">
        <v>43903</v>
      </c>
      <c r="C2218" s="2" t="s">
        <v>2317</v>
      </c>
      <c r="D2218" s="2" t="s">
        <v>305</v>
      </c>
      <c r="E2218" s="2">
        <v>673.85</v>
      </c>
      <c r="F2218" s="2" t="e">
        <f>IF(Table2[[#This Row],[Manual Cat Value]]="",VLOOKUP(Table2[[#This Row],[Description]],'Actuals Lookup'!D:F,3,0),Table2[[#This Row],[Manual Cat Value]])</f>
        <v>#N/A</v>
      </c>
      <c r="J2218" s="2">
        <v>673.85</v>
      </c>
      <c r="K2218" s="2" t="b">
        <v>0</v>
      </c>
      <c r="L2218" s="2"/>
      <c r="M2218" s="2"/>
      <c r="N2218" s="4" t="s">
        <v>2259</v>
      </c>
      <c r="O2218" s="4" t="str">
        <f>LEFT(Table2[[#This Row],[Description]],75)</f>
        <v>BOEING CO</v>
      </c>
      <c r="P2218" s="2" t="s">
        <v>2425</v>
      </c>
    </row>
    <row r="2219" spans="1:16" hidden="1">
      <c r="A2219" s="2">
        <v>202003</v>
      </c>
      <c r="B2219" s="3">
        <v>43903</v>
      </c>
      <c r="C2219" s="2" t="s">
        <v>2274</v>
      </c>
      <c r="D2219" s="2" t="s">
        <v>880</v>
      </c>
      <c r="E2219" s="2">
        <v>5700</v>
      </c>
      <c r="F2219" s="2" t="e">
        <f>IF(Table2[[#This Row],[Manual Cat Value]]="",VLOOKUP(Table2[[#This Row],[Description]],'Actuals Lookup'!D:F,3,0),Table2[[#This Row],[Manual Cat Value]])</f>
        <v>#N/A</v>
      </c>
      <c r="J2219" s="2">
        <v>5700</v>
      </c>
      <c r="K2219" s="2" t="b">
        <v>0</v>
      </c>
      <c r="L2219" s="2"/>
      <c r="M2219" s="2"/>
      <c r="N2219" s="4" t="s">
        <v>2259</v>
      </c>
      <c r="O2219" s="4" t="str">
        <f>LEFT(Table2[[#This Row],[Description]],75)</f>
        <v>Funds Transfer to Brokerage -5308</v>
      </c>
      <c r="P2219" s="2" t="s">
        <v>2281</v>
      </c>
    </row>
    <row r="2220" spans="1:16" hidden="1">
      <c r="A2220" s="2">
        <v>202003</v>
      </c>
      <c r="B2220" s="3">
        <v>43903</v>
      </c>
      <c r="C2220" s="2" t="s">
        <v>2317</v>
      </c>
      <c r="D2220" s="2" t="s">
        <v>1037</v>
      </c>
      <c r="E2220" s="2">
        <v>-250</v>
      </c>
      <c r="F2220" s="2" t="e">
        <f>IF(Table2[[#This Row],[Manual Cat Value]]="",VLOOKUP(Table2[[#This Row],[Description]],'Actuals Lookup'!D:F,3,0),Table2[[#This Row],[Manual Cat Value]])</f>
        <v>#N/A</v>
      </c>
      <c r="J2220" s="2">
        <v>250</v>
      </c>
      <c r="K2220" s="2" t="b">
        <v>0</v>
      </c>
      <c r="L2220" s="2"/>
      <c r="M2220" s="2"/>
      <c r="N2220" s="4" t="s">
        <v>2273</v>
      </c>
      <c r="O2220" s="4" t="str">
        <f>LEFT(Table2[[#This Row],[Description]],75)</f>
        <v>KAUFMAN HALL</v>
      </c>
      <c r="P2220" s="2" t="s">
        <v>2375</v>
      </c>
    </row>
    <row r="2221" spans="1:16" hidden="1">
      <c r="A2221" s="2">
        <v>202003</v>
      </c>
      <c r="B2221" s="3">
        <v>43903</v>
      </c>
      <c r="C2221" s="2" t="s">
        <v>2435</v>
      </c>
      <c r="D2221" s="2" t="s">
        <v>1837</v>
      </c>
      <c r="E2221" s="2">
        <v>-250</v>
      </c>
      <c r="F2221" s="2" t="e">
        <f>IF(Table2[[#This Row],[Manual Cat Value]]="",VLOOKUP(Table2[[#This Row],[Description]],'Actuals Lookup'!D:F,3,0),Table2[[#This Row],[Manual Cat Value]])</f>
        <v>#N/A</v>
      </c>
      <c r="J2221" s="2">
        <v>250</v>
      </c>
      <c r="K2221" s="2" t="b">
        <v>0</v>
      </c>
      <c r="L2221" s="2"/>
      <c r="M2221" s="2"/>
      <c r="N2221" s="4" t="s">
        <v>2273</v>
      </c>
      <c r="O2221" s="4" t="str">
        <f>LEFT(Table2[[#This Row],[Description]],75)</f>
        <v>Tfr JPMORGAN CHASE BAN, KAUFMAN HALL</v>
      </c>
      <c r="P2221" s="2" t="s">
        <v>2288</v>
      </c>
    </row>
    <row r="2222" spans="1:16" hidden="1">
      <c r="A2222" s="2">
        <v>202003</v>
      </c>
      <c r="B2222" s="3">
        <v>43903</v>
      </c>
      <c r="C2222" s="2" t="s">
        <v>2447</v>
      </c>
      <c r="D2222" s="2" t="s">
        <v>1855</v>
      </c>
      <c r="E2222" s="2">
        <v>54.52</v>
      </c>
      <c r="F2222" s="2" t="e">
        <f>IF(Table2[[#This Row],[Manual Cat Value]]="",VLOOKUP(Table2[[#This Row],[Description]],'Actuals Lookup'!D:F,3,0),Table2[[#This Row],[Manual Cat Value]])</f>
        <v>#N/A</v>
      </c>
      <c r="J2222" s="2">
        <v>54.52</v>
      </c>
      <c r="K2222" s="2" t="b">
        <v>0</v>
      </c>
      <c r="L2222" s="2"/>
      <c r="M2222" s="2"/>
      <c r="N2222" s="4" t="s">
        <v>2259</v>
      </c>
      <c r="O2222" s="4" t="str">
        <f>LEFT(Table2[[#This Row],[Description]],75)</f>
        <v>THE NOBLE LION VICTORIA MN</v>
      </c>
      <c r="P2222" s="2"/>
    </row>
    <row r="2223" spans="1:16" hidden="1">
      <c r="A2223" s="2">
        <v>202003</v>
      </c>
      <c r="B2223" s="3">
        <v>43903</v>
      </c>
      <c r="C2223" s="2" t="s">
        <v>2258</v>
      </c>
      <c r="D2223" s="2" t="s">
        <v>1855</v>
      </c>
      <c r="E2223" s="2">
        <v>54.52</v>
      </c>
      <c r="F2223" s="2" t="e">
        <f>IF(Table2[[#This Row],[Manual Cat Value]]="",VLOOKUP(Table2[[#This Row],[Description]],'Actuals Lookup'!D:F,3,0),Table2[[#This Row],[Manual Cat Value]])</f>
        <v>#N/A</v>
      </c>
      <c r="J2223" s="2">
        <v>54.52</v>
      </c>
      <c r="K2223" s="2" t="b">
        <v>0</v>
      </c>
      <c r="L2223" s="2"/>
      <c r="M2223" s="2"/>
      <c r="N2223" s="4" t="s">
        <v>2259</v>
      </c>
      <c r="O2223" s="4" t="str">
        <f>LEFT(Table2[[#This Row],[Description]],75)</f>
        <v>THE NOBLE LION VICTORIA MN</v>
      </c>
      <c r="P2223" s="2" t="s">
        <v>2281</v>
      </c>
    </row>
    <row r="2224" spans="1:16" hidden="1">
      <c r="A2224" s="2">
        <v>202003</v>
      </c>
      <c r="B2224" s="3">
        <v>43903</v>
      </c>
      <c r="C2224" s="2" t="s">
        <v>2317</v>
      </c>
      <c r="D2224" s="2" t="s">
        <v>1949</v>
      </c>
      <c r="E2224" s="2">
        <v>-5700</v>
      </c>
      <c r="F2224" s="2" t="e">
        <f>IF(Table2[[#This Row],[Manual Cat Value]]="",VLOOKUP(Table2[[#This Row],[Description]],'Actuals Lookup'!D:F,3,0),Table2[[#This Row],[Manual Cat Value]])</f>
        <v>#N/A</v>
      </c>
      <c r="J2224" s="2">
        <v>5700</v>
      </c>
      <c r="K2224" s="2" t="b">
        <v>0</v>
      </c>
      <c r="L2224" s="2"/>
      <c r="M2224" s="2"/>
      <c r="N2224" s="4" t="s">
        <v>2273</v>
      </c>
      <c r="O2224" s="4" t="str">
        <f>LEFT(Table2[[#This Row],[Description]],75)</f>
        <v>TRANSFER FUNDS FROM SCHWAB BANK - 440020765184</v>
      </c>
      <c r="P2224" s="2" t="s">
        <v>2385</v>
      </c>
    </row>
    <row r="2225" spans="1:16" hidden="1">
      <c r="A2225" s="2">
        <v>202003</v>
      </c>
      <c r="B2225" s="3">
        <v>43903</v>
      </c>
      <c r="C2225" s="2" t="s">
        <v>2262</v>
      </c>
      <c r="D2225" s="2" t="s">
        <v>2230</v>
      </c>
      <c r="E2225" s="2">
        <v>42.48</v>
      </c>
      <c r="F2225" s="2" t="e">
        <f>IF(Table2[[#This Row],[Manual Cat Value]]="",VLOOKUP(Table2[[#This Row],[Description]],'Actuals Lookup'!D:F,3,0),Table2[[#This Row],[Manual Cat Value]])</f>
        <v>#N/A</v>
      </c>
      <c r="J2225" s="2">
        <v>42.48</v>
      </c>
      <c r="K2225" s="2" t="b">
        <v>0</v>
      </c>
      <c r="L2225" s="2"/>
      <c r="M2225" s="2"/>
      <c r="N2225" s="4" t="s">
        <v>2259</v>
      </c>
      <c r="O2225" s="4" t="str">
        <f>LEFT(Table2[[#This Row],[Description]],75)</f>
        <v>Yzata Brew Works LLC</v>
      </c>
      <c r="P2225" s="2" t="s">
        <v>2281</v>
      </c>
    </row>
    <row r="2226" spans="1:16" hidden="1">
      <c r="A2226" s="2">
        <v>202003</v>
      </c>
      <c r="B2226" s="3">
        <v>43905</v>
      </c>
      <c r="C2226" s="2" t="s">
        <v>2447</v>
      </c>
      <c r="D2226" s="2" t="s">
        <v>338</v>
      </c>
      <c r="E2226" s="2">
        <v>140.29</v>
      </c>
      <c r="F2226" s="2" t="e">
        <f>IF(Table2[[#This Row],[Manual Cat Value]]="",VLOOKUP(Table2[[#This Row],[Description]],'Actuals Lookup'!D:F,3,0),Table2[[#This Row],[Manual Cat Value]])</f>
        <v>#N/A</v>
      </c>
      <c r="J2226" s="2">
        <v>140.29</v>
      </c>
      <c r="K2226" s="2" t="b">
        <v>0</v>
      </c>
      <c r="L2226" s="2"/>
      <c r="M2226" s="2"/>
      <c r="N2226" s="4" t="s">
        <v>2259</v>
      </c>
      <c r="O2226" s="4" t="str">
        <f>LEFT(Table2[[#This Row],[Description]],75)</f>
        <v>Byerly's</v>
      </c>
      <c r="P2226" s="2" t="s">
        <v>2364</v>
      </c>
    </row>
    <row r="2227" spans="1:16" hidden="1">
      <c r="A2227" s="2">
        <v>202003</v>
      </c>
      <c r="B2227" s="3">
        <v>43905</v>
      </c>
      <c r="C2227" s="2" t="s">
        <v>2258</v>
      </c>
      <c r="D2227" s="2" t="s">
        <v>338</v>
      </c>
      <c r="E2227" s="2">
        <v>140.29</v>
      </c>
      <c r="F2227" s="2" t="e">
        <f>IF(Table2[[#This Row],[Manual Cat Value]]="",VLOOKUP(Table2[[#This Row],[Description]],'Actuals Lookup'!D:F,3,0),Table2[[#This Row],[Manual Cat Value]])</f>
        <v>#N/A</v>
      </c>
      <c r="J2227" s="2">
        <v>140.29</v>
      </c>
      <c r="K2227" s="2" t="b">
        <v>0</v>
      </c>
      <c r="L2227" s="2"/>
      <c r="M2227" s="2"/>
      <c r="N2227" s="4" t="s">
        <v>2259</v>
      </c>
      <c r="O2227" s="4" t="str">
        <f>LEFT(Table2[[#This Row],[Description]],75)</f>
        <v>Byerly's</v>
      </c>
      <c r="P2227" s="2" t="s">
        <v>2364</v>
      </c>
    </row>
    <row r="2228" spans="1:16" hidden="1">
      <c r="A2228" s="2">
        <v>202003</v>
      </c>
      <c r="B2228" s="3">
        <v>43905</v>
      </c>
      <c r="C2228" s="2" t="s">
        <v>2262</v>
      </c>
      <c r="D2228" s="2" t="s">
        <v>831</v>
      </c>
      <c r="E2228" s="2">
        <v>15.18</v>
      </c>
      <c r="F2228" s="2" t="e">
        <f>IF(Table2[[#This Row],[Manual Cat Value]]="",VLOOKUP(Table2[[#This Row],[Description]],'Actuals Lookup'!D:F,3,0),Table2[[#This Row],[Manual Cat Value]])</f>
        <v>#N/A</v>
      </c>
      <c r="J2228" s="2">
        <v>15.18</v>
      </c>
      <c r="K2228" s="2" t="b">
        <v>0</v>
      </c>
      <c r="L2228" s="2"/>
      <c r="M2228" s="2"/>
      <c r="N2228" s="4" t="s">
        <v>2259</v>
      </c>
      <c r="O2228" s="4" t="str">
        <f>LEFT(Table2[[#This Row],[Description]],75)</f>
        <v>Excelsior Brewing</v>
      </c>
      <c r="P2228" s="2" t="s">
        <v>2410</v>
      </c>
    </row>
    <row r="2229" spans="1:16" hidden="1">
      <c r="A2229" s="2">
        <v>202003</v>
      </c>
      <c r="B2229" s="3">
        <v>43905</v>
      </c>
      <c r="C2229" s="2" t="s">
        <v>2262</v>
      </c>
      <c r="D2229" s="2" t="s">
        <v>930</v>
      </c>
      <c r="E2229" s="2">
        <v>62.58</v>
      </c>
      <c r="F2229" s="2" t="e">
        <f>IF(Table2[[#This Row],[Manual Cat Value]]="",VLOOKUP(Table2[[#This Row],[Description]],'Actuals Lookup'!D:F,3,0),Table2[[#This Row],[Manual Cat Value]])</f>
        <v>#N/A</v>
      </c>
      <c r="J2229" s="2">
        <v>62.58</v>
      </c>
      <c r="K2229" s="2" t="b">
        <v>0</v>
      </c>
      <c r="L2229" s="2"/>
      <c r="M2229" s="2"/>
      <c r="N2229" s="4" t="s">
        <v>2259</v>
      </c>
      <c r="O2229" s="4" t="str">
        <f>LEFT(Table2[[#This Row],[Description]],75)</f>
        <v>HI 5 LIQUOR VICTORIA MN 296626641</v>
      </c>
      <c r="P2229" s="2" t="s">
        <v>2281</v>
      </c>
    </row>
    <row r="2230" spans="1:16" hidden="1">
      <c r="A2230" s="2">
        <v>202003</v>
      </c>
      <c r="B2230" s="3">
        <v>43905</v>
      </c>
      <c r="C2230" s="2" t="s">
        <v>2262</v>
      </c>
      <c r="D2230" s="2" t="s">
        <v>947</v>
      </c>
      <c r="E2230" s="2">
        <v>41.77</v>
      </c>
      <c r="F2230" s="2" t="e">
        <f>IF(Table2[[#This Row],[Manual Cat Value]]="",VLOOKUP(Table2[[#This Row],[Description]],'Actuals Lookup'!D:F,3,0),Table2[[#This Row],[Manual Cat Value]])</f>
        <v>#N/A</v>
      </c>
      <c r="J2230" s="2">
        <v>41.77</v>
      </c>
      <c r="K2230" s="2" t="b">
        <v>0</v>
      </c>
      <c r="L2230" s="2"/>
      <c r="M2230" s="2"/>
      <c r="N2230" s="4" t="s">
        <v>2259</v>
      </c>
      <c r="O2230" s="4" t="str">
        <f>LEFT(Table2[[#This Row],[Description]],75)</f>
        <v>Home Depot</v>
      </c>
      <c r="P2230" s="2" t="s">
        <v>2396</v>
      </c>
    </row>
    <row r="2231" spans="1:16" hidden="1">
      <c r="A2231" s="2">
        <v>202003</v>
      </c>
      <c r="B2231" s="3">
        <v>43906</v>
      </c>
      <c r="C2231" s="2" t="s">
        <v>2265</v>
      </c>
      <c r="D2231" s="2" t="s">
        <v>777</v>
      </c>
      <c r="E2231" s="2">
        <v>367.03</v>
      </c>
      <c r="F2231" s="2" t="e">
        <f>IF(Table2[[#This Row],[Manual Cat Value]]="",VLOOKUP(Table2[[#This Row],[Description]],'Actuals Lookup'!D:F,3,0),Table2[[#This Row],[Manual Cat Value]])</f>
        <v>#N/A</v>
      </c>
      <c r="J2231" s="2">
        <v>367.03</v>
      </c>
      <c r="K2231" s="2" t="b">
        <v>0</v>
      </c>
      <c r="L2231" s="2"/>
      <c r="M2231" s="2"/>
      <c r="N2231" s="4" t="s">
        <v>2259</v>
      </c>
      <c r="O2231" s="4" t="str">
        <f>LEFT(Table2[[#This Row],[Description]],75)</f>
        <v>DISCOVER TYPE EPAYMENT ID CO DISCOVER ACH ECC WEB ACH Trace 98890 296626646</v>
      </c>
      <c r="P2231" s="2" t="s">
        <v>2293</v>
      </c>
    </row>
    <row r="2232" spans="1:16" hidden="1">
      <c r="A2232" s="2">
        <v>202003</v>
      </c>
      <c r="B2232" s="3">
        <v>43906</v>
      </c>
      <c r="C2232" s="2" t="s">
        <v>2265</v>
      </c>
      <c r="D2232" s="2" t="s">
        <v>131</v>
      </c>
      <c r="E2232" s="2">
        <v>114.39</v>
      </c>
      <c r="F2232" s="2" t="str">
        <f>IF(Table2[[#This Row],[Manual Cat Value]]="",VLOOKUP(Table2[[#This Row],[Description]],'Actuals Lookup'!D:F,3,0),Table2[[#This Row],[Manual Cat Value]])</f>
        <v>Insurance</v>
      </c>
      <c r="J2232" s="2">
        <v>114.39</v>
      </c>
      <c r="K2232" s="2" t="b">
        <v>0</v>
      </c>
      <c r="L2232" s="2"/>
      <c r="M2232" s="2"/>
      <c r="N2232" s="4" t="s">
        <v>2259</v>
      </c>
      <c r="O2232" s="4" t="str">
        <f>LEFT(Table2[[#This Row],[Description]],75)</f>
        <v>American Family Insurance</v>
      </c>
      <c r="P2232" s="2" t="s">
        <v>2286</v>
      </c>
    </row>
    <row r="2233" spans="1:16" hidden="1">
      <c r="A2233" s="2">
        <v>202003</v>
      </c>
      <c r="B2233" s="3">
        <v>43906</v>
      </c>
      <c r="C2233" s="2" t="s">
        <v>2355</v>
      </c>
      <c r="D2233" s="2" t="s">
        <v>220</v>
      </c>
      <c r="E2233" s="2">
        <v>-0.01</v>
      </c>
      <c r="F2233" s="2" t="e">
        <f>IF(Table2[[#This Row],[Manual Cat Value]]="",VLOOKUP(Table2[[#This Row],[Description]],'Actuals Lookup'!D:F,3,0),Table2[[#This Row],[Manual Cat Value]])</f>
        <v>#N/A</v>
      </c>
      <c r="J2233" s="2">
        <v>0.01</v>
      </c>
      <c r="K2233" s="2" t="b">
        <v>0</v>
      </c>
      <c r="L2233" s="2"/>
      <c r="M2233" s="2"/>
      <c r="N2233" s="4" t="s">
        <v>2273</v>
      </c>
      <c r="O2233" s="4" t="str">
        <f>LEFT(Table2[[#This Row],[Description]],75)</f>
        <v>BANK INT 021620-031520 SCHWAB BANK</v>
      </c>
      <c r="P2233" s="2"/>
    </row>
    <row r="2234" spans="1:16" hidden="1">
      <c r="A2234" s="2">
        <v>202003</v>
      </c>
      <c r="B2234" s="3">
        <v>43906</v>
      </c>
      <c r="C2234" s="2" t="s">
        <v>2275</v>
      </c>
      <c r="D2234" s="2" t="s">
        <v>220</v>
      </c>
      <c r="E2234" s="2">
        <v>-0.01</v>
      </c>
      <c r="F2234" s="2" t="e">
        <f>IF(Table2[[#This Row],[Manual Cat Value]]="",VLOOKUP(Table2[[#This Row],[Description]],'Actuals Lookup'!D:F,3,0),Table2[[#This Row],[Manual Cat Value]])</f>
        <v>#N/A</v>
      </c>
      <c r="J2234" s="2">
        <v>0.01</v>
      </c>
      <c r="K2234" s="2" t="b">
        <v>0</v>
      </c>
      <c r="L2234" s="2"/>
      <c r="M2234" s="2"/>
      <c r="N2234" s="4" t="s">
        <v>2273</v>
      </c>
      <c r="O2234" s="4" t="str">
        <f>LEFT(Table2[[#This Row],[Description]],75)</f>
        <v>BANK INT 021620-031520 SCHWAB BANK</v>
      </c>
      <c r="P2234" s="2"/>
    </row>
    <row r="2235" spans="1:16" hidden="1">
      <c r="A2235" s="2">
        <v>202003</v>
      </c>
      <c r="B2235" s="3">
        <v>43906</v>
      </c>
      <c r="C2235" s="2" t="s">
        <v>2277</v>
      </c>
      <c r="D2235" s="2" t="s">
        <v>220</v>
      </c>
      <c r="E2235" s="2">
        <v>-0.01</v>
      </c>
      <c r="F2235" s="2" t="e">
        <f>IF(Table2[[#This Row],[Manual Cat Value]]="",VLOOKUP(Table2[[#This Row],[Description]],'Actuals Lookup'!D:F,3,0),Table2[[#This Row],[Manual Cat Value]])</f>
        <v>#N/A</v>
      </c>
      <c r="J2235" s="2">
        <v>0.01</v>
      </c>
      <c r="K2235" s="2" t="b">
        <v>0</v>
      </c>
      <c r="L2235" s="2"/>
      <c r="M2235" s="2"/>
      <c r="N2235" s="4" t="s">
        <v>2273</v>
      </c>
      <c r="O2235" s="4" t="str">
        <f>LEFT(Table2[[#This Row],[Description]],75)</f>
        <v>BANK INT 021620-031520 SCHWAB BANK</v>
      </c>
      <c r="P2235" s="2"/>
    </row>
    <row r="2236" spans="1:16" hidden="1">
      <c r="A2236" s="2">
        <v>202003</v>
      </c>
      <c r="B2236" s="3">
        <v>43906</v>
      </c>
      <c r="C2236" s="2" t="s">
        <v>2434</v>
      </c>
      <c r="D2236" s="2" t="s">
        <v>221</v>
      </c>
      <c r="E2236" s="2">
        <v>-0.17</v>
      </c>
      <c r="F2236" s="2" t="e">
        <f>IF(Table2[[#This Row],[Manual Cat Value]]="",VLOOKUP(Table2[[#This Row],[Description]],'Actuals Lookup'!D:F,3,0),Table2[[#This Row],[Manual Cat Value]])</f>
        <v>#N/A</v>
      </c>
      <c r="J2236" s="2">
        <v>0.17</v>
      </c>
      <c r="K2236" s="2" t="b">
        <v>0</v>
      </c>
      <c r="L2236" s="2"/>
      <c r="M2236" s="2"/>
      <c r="N2236" s="4" t="s">
        <v>2273</v>
      </c>
      <c r="O2236" s="4" t="str">
        <f>LEFT(Table2[[#This Row],[Description]],75)</f>
        <v>BANK INT 021620-031520 SCHWAB PREMIER BANK</v>
      </c>
      <c r="P2236" s="2"/>
    </row>
    <row r="2237" spans="1:16" hidden="1">
      <c r="A2237" s="2">
        <v>202003</v>
      </c>
      <c r="B2237" s="3">
        <v>43906</v>
      </c>
      <c r="C2237" s="2" t="s">
        <v>2435</v>
      </c>
      <c r="D2237" s="2" t="s">
        <v>221</v>
      </c>
      <c r="E2237" s="2">
        <v>-0.17</v>
      </c>
      <c r="F2237" s="2" t="e">
        <f>IF(Table2[[#This Row],[Manual Cat Value]]="",VLOOKUP(Table2[[#This Row],[Description]],'Actuals Lookup'!D:F,3,0),Table2[[#This Row],[Manual Cat Value]])</f>
        <v>#N/A</v>
      </c>
      <c r="J2237" s="2">
        <v>0.17</v>
      </c>
      <c r="K2237" s="2" t="b">
        <v>0</v>
      </c>
      <c r="L2237" s="2"/>
      <c r="M2237" s="2"/>
      <c r="N2237" s="4" t="s">
        <v>2273</v>
      </c>
      <c r="O2237" s="4" t="str">
        <f>LEFT(Table2[[#This Row],[Description]],75)</f>
        <v>BANK INT 021620-031520 SCHWAB PREMIER BANK</v>
      </c>
      <c r="P2237" s="2"/>
    </row>
    <row r="2238" spans="1:16" hidden="1">
      <c r="A2238" s="2">
        <v>202003</v>
      </c>
      <c r="B2238" s="3">
        <v>43906</v>
      </c>
      <c r="C2238" s="2" t="s">
        <v>2317</v>
      </c>
      <c r="D2238" s="2" t="s">
        <v>305</v>
      </c>
      <c r="E2238" s="2">
        <v>559.49</v>
      </c>
      <c r="F2238" s="2" t="e">
        <f>IF(Table2[[#This Row],[Manual Cat Value]]="",VLOOKUP(Table2[[#This Row],[Description]],'Actuals Lookup'!D:F,3,0),Table2[[#This Row],[Manual Cat Value]])</f>
        <v>#N/A</v>
      </c>
      <c r="J2238" s="2">
        <v>559.49</v>
      </c>
      <c r="K2238" s="2" t="b">
        <v>0</v>
      </c>
      <c r="L2238" s="2"/>
      <c r="M2238" s="2"/>
      <c r="N2238" s="4" t="s">
        <v>2259</v>
      </c>
      <c r="O2238" s="4" t="str">
        <f>LEFT(Table2[[#This Row],[Description]],75)</f>
        <v>BOEING CO</v>
      </c>
      <c r="P2238" s="2" t="s">
        <v>2425</v>
      </c>
    </row>
    <row r="2239" spans="1:16" hidden="1">
      <c r="A2239" s="2">
        <v>202003</v>
      </c>
      <c r="B2239" s="3">
        <v>43906</v>
      </c>
      <c r="C2239" s="2" t="s">
        <v>2262</v>
      </c>
      <c r="D2239" s="2" t="s">
        <v>793</v>
      </c>
      <c r="E2239" s="2">
        <v>41.29</v>
      </c>
      <c r="F2239" s="2" t="e">
        <f>IF(Table2[[#This Row],[Manual Cat Value]]="",VLOOKUP(Table2[[#This Row],[Description]],'Actuals Lookup'!D:F,3,0),Table2[[#This Row],[Manual Cat Value]])</f>
        <v>#N/A</v>
      </c>
      <c r="J2239" s="2">
        <v>41.29</v>
      </c>
      <c r="K2239" s="2" t="b">
        <v>0</v>
      </c>
      <c r="L2239" s="2"/>
      <c r="M2239" s="2"/>
      <c r="N2239" s="4" t="s">
        <v>2259</v>
      </c>
      <c r="O2239" s="4" t="str">
        <f>LEFT(Table2[[#This Row],[Description]],75)</f>
        <v>DSW Designer Shoe Warehouse</v>
      </c>
      <c r="P2239" s="2" t="s">
        <v>2281</v>
      </c>
    </row>
    <row r="2240" spans="1:16" hidden="1">
      <c r="A2240" s="2">
        <v>202003</v>
      </c>
      <c r="B2240" s="3">
        <v>43906</v>
      </c>
      <c r="C2240" s="2" t="s">
        <v>2262</v>
      </c>
      <c r="D2240" s="2" t="s">
        <v>793</v>
      </c>
      <c r="E2240" s="2">
        <v>53.68</v>
      </c>
      <c r="F2240" s="2" t="e">
        <f>IF(Table2[[#This Row],[Manual Cat Value]]="",VLOOKUP(Table2[[#This Row],[Description]],'Actuals Lookup'!D:F,3,0),Table2[[#This Row],[Manual Cat Value]])</f>
        <v>#N/A</v>
      </c>
      <c r="J2240" s="2">
        <v>53.68</v>
      </c>
      <c r="K2240" s="2" t="b">
        <v>0</v>
      </c>
      <c r="L2240" s="2"/>
      <c r="M2240" s="2"/>
      <c r="N2240" s="4" t="s">
        <v>2259</v>
      </c>
      <c r="O2240" s="4" t="str">
        <f>LEFT(Table2[[#This Row],[Description]],75)</f>
        <v>DSW Designer Shoe Warehouse</v>
      </c>
      <c r="P2240" s="2" t="s">
        <v>2281</v>
      </c>
    </row>
    <row r="2241" spans="1:16" hidden="1">
      <c r="A2241" s="2">
        <v>202003</v>
      </c>
      <c r="B2241" s="3">
        <v>43906</v>
      </c>
      <c r="C2241" s="2" t="s">
        <v>2262</v>
      </c>
      <c r="D2241" s="2" t="s">
        <v>944</v>
      </c>
      <c r="E2241" s="2">
        <v>23.61</v>
      </c>
      <c r="F2241" s="2" t="e">
        <f>IF(Table2[[#This Row],[Manual Cat Value]]="",VLOOKUP(Table2[[#This Row],[Description]],'Actuals Lookup'!D:F,3,0),Table2[[#This Row],[Manual Cat Value]])</f>
        <v>#N/A</v>
      </c>
      <c r="J2241" s="2">
        <v>23.61</v>
      </c>
      <c r="K2241" s="2" t="b">
        <v>0</v>
      </c>
      <c r="L2241" s="2"/>
      <c r="M2241" s="2"/>
      <c r="N2241" s="4" t="s">
        <v>2259</v>
      </c>
      <c r="O2241" s="4" t="str">
        <f>LEFT(Table2[[#This Row],[Description]],75)</f>
        <v>Holiday Stationstore</v>
      </c>
      <c r="P2241" s="2" t="s">
        <v>2374</v>
      </c>
    </row>
    <row r="2242" spans="1:16" hidden="1">
      <c r="A2242" s="2">
        <v>202003</v>
      </c>
      <c r="B2242" s="3">
        <v>43906</v>
      </c>
      <c r="C2242" s="2" t="s">
        <v>2262</v>
      </c>
      <c r="D2242" s="2" t="s">
        <v>1362</v>
      </c>
      <c r="E2242" s="2">
        <v>37.33</v>
      </c>
      <c r="F2242" s="2" t="e">
        <f>IF(Table2[[#This Row],[Manual Cat Value]]="",VLOOKUP(Table2[[#This Row],[Description]],'Actuals Lookup'!D:F,3,0),Table2[[#This Row],[Manual Cat Value]])</f>
        <v>#N/A</v>
      </c>
      <c r="J2242" s="2">
        <v>37.33</v>
      </c>
      <c r="K2242" s="2" t="b">
        <v>0</v>
      </c>
      <c r="L2242" s="2"/>
      <c r="M2242" s="2"/>
      <c r="N2242" s="4" t="s">
        <v>2259</v>
      </c>
      <c r="O2242" s="4" t="str">
        <f>LEFT(Table2[[#This Row],[Description]],75)</f>
        <v>NORTH COOP CHAHASSEN MN 296809538</v>
      </c>
      <c r="P2242" s="2" t="s">
        <v>2281</v>
      </c>
    </row>
    <row r="2243" spans="1:16" hidden="1">
      <c r="A2243" s="2">
        <v>202003</v>
      </c>
      <c r="B2243" s="3">
        <v>43906</v>
      </c>
      <c r="C2243" s="2" t="s">
        <v>2262</v>
      </c>
      <c r="D2243" s="2" t="s">
        <v>1521</v>
      </c>
      <c r="E2243" s="2">
        <v>2.13</v>
      </c>
      <c r="F2243" s="2" t="e">
        <f>IF(Table2[[#This Row],[Manual Cat Value]]="",VLOOKUP(Table2[[#This Row],[Description]],'Actuals Lookup'!D:F,3,0),Table2[[#This Row],[Manual Cat Value]])</f>
        <v>#N/A</v>
      </c>
      <c r="J2243" s="2">
        <v>2.13</v>
      </c>
      <c r="K2243" s="2" t="b">
        <v>0</v>
      </c>
      <c r="L2243" s="2"/>
      <c r="M2243" s="2"/>
      <c r="N2243" s="4" t="s">
        <v>2259</v>
      </c>
      <c r="O2243" s="4" t="str">
        <f>LEFT(Table2[[#This Row],[Description]],75)</f>
        <v>Prime VideoXK3796ZZ3 8888023080 WA 296809537</v>
      </c>
      <c r="P2243" s="2" t="s">
        <v>2342</v>
      </c>
    </row>
    <row r="2244" spans="1:16" hidden="1">
      <c r="A2244" s="2">
        <v>202003</v>
      </c>
      <c r="B2244" s="3">
        <v>43906</v>
      </c>
      <c r="C2244" s="2" t="s">
        <v>2435</v>
      </c>
      <c r="D2244" s="2" t="s">
        <v>1633</v>
      </c>
      <c r="E2244" s="2">
        <v>500</v>
      </c>
      <c r="F2244" s="2" t="e">
        <f>IF(Table2[[#This Row],[Manual Cat Value]]="",VLOOKUP(Table2[[#This Row],[Description]],'Actuals Lookup'!D:F,3,0),Table2[[#This Row],[Manual Cat Value]])</f>
        <v>#N/A</v>
      </c>
      <c r="J2244" s="2">
        <v>500</v>
      </c>
      <c r="K2244" s="2" t="b">
        <v>0</v>
      </c>
      <c r="L2244" s="2"/>
      <c r="M2244" s="2"/>
      <c r="N2244" s="4" t="s">
        <v>2259</v>
      </c>
      <c r="O2244" s="4" t="str">
        <f>LEFT(Table2[[#This Row],[Description]],75)</f>
        <v>SCHWAB S&amp;P 500 INDEX FD</v>
      </c>
      <c r="P2244" s="2" t="s">
        <v>2276</v>
      </c>
    </row>
    <row r="2245" spans="1:16" hidden="1">
      <c r="A2245" s="2">
        <v>202003</v>
      </c>
      <c r="B2245" s="3">
        <v>43906</v>
      </c>
      <c r="C2245" s="2" t="s">
        <v>2265</v>
      </c>
      <c r="D2245" s="2" t="s">
        <v>2221</v>
      </c>
      <c r="E2245" s="2">
        <v>122.02</v>
      </c>
      <c r="F2245" s="2" t="str">
        <f>IF(Table2[[#This Row],[Manual Cat Value]]="",VLOOKUP(Table2[[#This Row],[Description]],'Actuals Lookup'!D:F,3,0),Table2[[#This Row],[Manual Cat Value]])</f>
        <v>Utilities</v>
      </c>
      <c r="J2245" s="2">
        <v>122.02</v>
      </c>
      <c r="K2245" s="2" t="b">
        <v>0</v>
      </c>
      <c r="L2245" s="2"/>
      <c r="M2245" s="2"/>
      <c r="N2245" s="4" t="s">
        <v>2259</v>
      </c>
      <c r="O2245" s="4" t="str">
        <f>LEFT(Table2[[#This Row],[Description]],75)</f>
        <v>Xcel Energy</v>
      </c>
      <c r="P2245" s="2" t="s">
        <v>2280</v>
      </c>
    </row>
    <row r="2246" spans="1:16" hidden="1">
      <c r="A2246" s="2">
        <v>202003</v>
      </c>
      <c r="B2246" s="3">
        <v>43907</v>
      </c>
      <c r="C2246" s="2" t="s">
        <v>2262</v>
      </c>
      <c r="D2246" s="2" t="s">
        <v>38</v>
      </c>
      <c r="E2246" s="2">
        <v>28.18</v>
      </c>
      <c r="F2246" s="2" t="str">
        <f>IF(Table2[[#This Row],[Manual Cat Value]]="",VLOOKUP(Table2[[#This Row],[Description]],'Actuals Lookup'!D:F,3,0),Table2[[#This Row],[Manual Cat Value]])</f>
        <v>Amazon</v>
      </c>
      <c r="J2246" s="2">
        <v>28.18</v>
      </c>
      <c r="K2246" s="2" t="b">
        <v>0</v>
      </c>
      <c r="L2246" s="2"/>
      <c r="M2246" s="2"/>
      <c r="N2246" s="4" t="s">
        <v>2259</v>
      </c>
      <c r="O2246" s="4" t="str">
        <f>LEFT(Table2[[#This Row],[Description]],75)</f>
        <v>Amazon</v>
      </c>
      <c r="P2246" s="2" t="s">
        <v>2260</v>
      </c>
    </row>
    <row r="2247" spans="1:16" hidden="1">
      <c r="A2247" s="2">
        <v>202003</v>
      </c>
      <c r="B2247" s="3">
        <v>43907</v>
      </c>
      <c r="C2247" s="2" t="s">
        <v>2265</v>
      </c>
      <c r="D2247" s="2" t="s">
        <v>655</v>
      </c>
      <c r="E2247" s="2">
        <v>133.01</v>
      </c>
      <c r="F2247" s="2" t="e">
        <f>IF(Table2[[#This Row],[Manual Cat Value]]="",VLOOKUP(Table2[[#This Row],[Description]],'Actuals Lookup'!D:F,3,0),Table2[[#This Row],[Manual Cat Value]])</f>
        <v>#N/A</v>
      </c>
      <c r="J2247" s="2">
        <v>133.01</v>
      </c>
      <c r="K2247" s="2" t="b">
        <v>0</v>
      </c>
      <c r="L2247" s="2"/>
      <c r="M2247" s="2"/>
      <c r="N2247" s="4" t="s">
        <v>2259</v>
      </c>
      <c r="O2247" s="4" t="str">
        <f>LEFT(Table2[[#This Row],[Description]],75)</f>
        <v xml:space="preserve">CPENERGY MNGCO TYPE MGC ACH EB ID 176051140S CO CPENERGY MNGCO ACH ECC WEB </v>
      </c>
      <c r="P2247" s="2" t="s">
        <v>2399</v>
      </c>
    </row>
    <row r="2248" spans="1:16" hidden="1">
      <c r="A2248" s="2">
        <v>202003</v>
      </c>
      <c r="B2248" s="3">
        <v>43907</v>
      </c>
      <c r="C2248" s="2" t="s">
        <v>2265</v>
      </c>
      <c r="D2248" s="2" t="s">
        <v>1471</v>
      </c>
      <c r="E2248" s="2">
        <v>32.99</v>
      </c>
      <c r="F2248" s="2" t="str">
        <f>IF(Table2[[#This Row],[Manual Cat Value]]="",VLOOKUP(Table2[[#This Row],[Description]],'Actuals Lookup'!D:F,3,0),Table2[[#This Row],[Manual Cat Value]])</f>
        <v>Shopping</v>
      </c>
      <c r="J2248" s="2">
        <v>32.99</v>
      </c>
      <c r="K2248" s="2" t="b">
        <v>0</v>
      </c>
      <c r="L2248" s="2"/>
      <c r="M2248" s="2"/>
      <c r="N2248" s="4" t="s">
        <v>2259</v>
      </c>
      <c r="O2248" s="4" t="str">
        <f>LEFT(Table2[[#This Row],[Description]],75)</f>
        <v>PayPal</v>
      </c>
      <c r="P2248" s="2" t="s">
        <v>2322</v>
      </c>
    </row>
    <row r="2249" spans="1:16" hidden="1">
      <c r="A2249" s="2">
        <v>202003</v>
      </c>
      <c r="B2249" s="3">
        <v>43907</v>
      </c>
      <c r="C2249" s="2" t="s">
        <v>2262</v>
      </c>
      <c r="D2249" s="2" t="s">
        <v>2037</v>
      </c>
      <c r="E2249" s="2">
        <v>37.93</v>
      </c>
      <c r="F2249" s="2" t="e">
        <f>IF(Table2[[#This Row],[Manual Cat Value]]="",VLOOKUP(Table2[[#This Row],[Description]],'Actuals Lookup'!D:F,3,0),Table2[[#This Row],[Manual Cat Value]])</f>
        <v>#N/A</v>
      </c>
      <c r="J2249" s="2">
        <v>37.93</v>
      </c>
      <c r="K2249" s="2" t="b">
        <v>0</v>
      </c>
      <c r="L2249" s="2"/>
      <c r="M2249" s="2"/>
      <c r="N2249" s="4" t="s">
        <v>2259</v>
      </c>
      <c r="O2249" s="4" t="str">
        <f>LEFT(Table2[[#This Row],[Description]],75)</f>
        <v>TST RED COW 50TH ST MINNEAPOLIS MN 297230716</v>
      </c>
      <c r="P2249" s="2" t="s">
        <v>2362</v>
      </c>
    </row>
    <row r="2250" spans="1:16" hidden="1">
      <c r="A2250" s="2">
        <v>202003</v>
      </c>
      <c r="B2250" s="3">
        <v>43908</v>
      </c>
      <c r="C2250" s="2" t="s">
        <v>2447</v>
      </c>
      <c r="D2250" s="2" t="s">
        <v>38</v>
      </c>
      <c r="E2250" s="2">
        <v>58.12</v>
      </c>
      <c r="F2250" s="2" t="str">
        <f>IF(Table2[[#This Row],[Manual Cat Value]]="",VLOOKUP(Table2[[#This Row],[Description]],'Actuals Lookup'!D:F,3,0),Table2[[#This Row],[Manual Cat Value]])</f>
        <v>Amazon</v>
      </c>
      <c r="J2250" s="2">
        <v>58.12</v>
      </c>
      <c r="K2250" s="2" t="b">
        <v>0</v>
      </c>
      <c r="L2250" s="2"/>
      <c r="M2250" s="2"/>
      <c r="N2250" s="4" t="s">
        <v>2259</v>
      </c>
      <c r="O2250" s="4" t="str">
        <f>LEFT(Table2[[#This Row],[Description]],75)</f>
        <v>Amazon</v>
      </c>
      <c r="P2250" s="2" t="s">
        <v>2260</v>
      </c>
    </row>
    <row r="2251" spans="1:16" hidden="1">
      <c r="A2251" s="2">
        <v>202003</v>
      </c>
      <c r="B2251" s="3">
        <v>43908</v>
      </c>
      <c r="C2251" s="2" t="s">
        <v>2258</v>
      </c>
      <c r="D2251" s="2" t="s">
        <v>38</v>
      </c>
      <c r="E2251" s="2">
        <v>58.12</v>
      </c>
      <c r="F2251" s="2" t="str">
        <f>IF(Table2[[#This Row],[Manual Cat Value]]="",VLOOKUP(Table2[[#This Row],[Description]],'Actuals Lookup'!D:F,3,0),Table2[[#This Row],[Manual Cat Value]])</f>
        <v>Amazon</v>
      </c>
      <c r="J2251" s="2">
        <v>58.12</v>
      </c>
      <c r="K2251" s="2" t="b">
        <v>0</v>
      </c>
      <c r="L2251" s="2"/>
      <c r="M2251" s="2"/>
      <c r="N2251" s="4" t="s">
        <v>2259</v>
      </c>
      <c r="O2251" s="4" t="str">
        <f>LEFT(Table2[[#This Row],[Description]],75)</f>
        <v>Amazon</v>
      </c>
      <c r="P2251" s="2" t="s">
        <v>2260</v>
      </c>
    </row>
    <row r="2252" spans="1:16" hidden="1">
      <c r="A2252" s="2">
        <v>202003</v>
      </c>
      <c r="B2252" s="3">
        <v>43908</v>
      </c>
      <c r="C2252" s="2" t="s">
        <v>2317</v>
      </c>
      <c r="D2252" s="2" t="s">
        <v>305</v>
      </c>
      <c r="E2252" s="2">
        <v>518.45000000000005</v>
      </c>
      <c r="F2252" s="2" t="e">
        <f>IF(Table2[[#This Row],[Manual Cat Value]]="",VLOOKUP(Table2[[#This Row],[Description]],'Actuals Lookup'!D:F,3,0),Table2[[#This Row],[Manual Cat Value]])</f>
        <v>#N/A</v>
      </c>
      <c r="J2252" s="2">
        <v>518.45000000000005</v>
      </c>
      <c r="K2252" s="2" t="b">
        <v>0</v>
      </c>
      <c r="L2252" s="2"/>
      <c r="M2252" s="2"/>
      <c r="N2252" s="4" t="s">
        <v>2259</v>
      </c>
      <c r="O2252" s="4" t="str">
        <f>LEFT(Table2[[#This Row],[Description]],75)</f>
        <v>BOEING CO</v>
      </c>
      <c r="P2252" s="2" t="s">
        <v>2425</v>
      </c>
    </row>
    <row r="2253" spans="1:16" hidden="1">
      <c r="A2253" s="2">
        <v>202003</v>
      </c>
      <c r="B2253" s="3">
        <v>43908</v>
      </c>
      <c r="C2253" s="2" t="s">
        <v>2265</v>
      </c>
      <c r="D2253" s="2" t="s">
        <v>393</v>
      </c>
      <c r="E2253" s="2">
        <v>-1993.06</v>
      </c>
      <c r="F2253" s="2" t="e">
        <f>IF(Table2[[#This Row],[Manual Cat Value]]="",VLOOKUP(Table2[[#This Row],[Description]],'Actuals Lookup'!D:F,3,0),Table2[[#This Row],[Manual Cat Value]])</f>
        <v>#N/A</v>
      </c>
      <c r="J2253" s="2">
        <v>1993.06</v>
      </c>
      <c r="K2253" s="2" t="b">
        <v>0</v>
      </c>
      <c r="L2253" s="2"/>
      <c r="M2253" s="2"/>
      <c r="N2253" s="4" t="s">
        <v>2273</v>
      </c>
      <c r="O2253" s="4" t="str">
        <f>LEFT(Table2[[#This Row],[Description]],75)</f>
        <v xml:space="preserve">CARGILL COCOA TYPE DIR DEP ID CO CARGILL COCOA ACH ECC PPD ACH Trace 88076 </v>
      </c>
      <c r="P2253" s="2" t="s">
        <v>2284</v>
      </c>
    </row>
    <row r="2254" spans="1:16" hidden="1">
      <c r="A2254" s="2">
        <v>202003</v>
      </c>
      <c r="B2254" s="3">
        <v>43908</v>
      </c>
      <c r="C2254" s="2" t="s">
        <v>2262</v>
      </c>
      <c r="D2254" s="2" t="s">
        <v>572</v>
      </c>
      <c r="E2254" s="2">
        <v>49.95</v>
      </c>
      <c r="F2254" s="2" t="e">
        <f>IF(Table2[[#This Row],[Manual Cat Value]]="",VLOOKUP(Table2[[#This Row],[Description]],'Actuals Lookup'!D:F,3,0),Table2[[#This Row],[Manual Cat Value]])</f>
        <v>#N/A</v>
      </c>
      <c r="J2254" s="2">
        <v>49.95</v>
      </c>
      <c r="K2254" s="2" t="b">
        <v>0</v>
      </c>
      <c r="L2254" s="2"/>
      <c r="M2254" s="2"/>
      <c r="N2254" s="4" t="s">
        <v>2259</v>
      </c>
      <c r="O2254" s="4" t="str">
        <f>LEFT(Table2[[#This Row],[Description]],75)</f>
        <v>COLEHAANCOM 8004882000 NH 297353880</v>
      </c>
      <c r="P2254" s="2" t="s">
        <v>2281</v>
      </c>
    </row>
    <row r="2255" spans="1:16" hidden="1">
      <c r="A2255" s="2">
        <v>202003</v>
      </c>
      <c r="B2255" s="3">
        <v>43908</v>
      </c>
      <c r="C2255" s="2" t="s">
        <v>2265</v>
      </c>
      <c r="D2255" s="2" t="s">
        <v>1299</v>
      </c>
      <c r="E2255" s="2">
        <v>200</v>
      </c>
      <c r="F2255" s="2" t="e">
        <f>IF(Table2[[#This Row],[Manual Cat Value]]="",VLOOKUP(Table2[[#This Row],[Description]],'Actuals Lookup'!D:F,3,0),Table2[[#This Row],[Manual Cat Value]])</f>
        <v>#N/A</v>
      </c>
      <c r="J2255" s="2">
        <v>200</v>
      </c>
      <c r="K2255" s="2" t="b">
        <v>0</v>
      </c>
      <c r="L2255" s="2"/>
      <c r="M2255" s="2"/>
      <c r="N2255" s="4" t="s">
        <v>2259</v>
      </c>
      <c r="O2255" s="4" t="str">
        <f>LEFT(Table2[[#This Row],[Description]],75)</f>
        <v>MN DIR ACH TYPE CONTRIB ID CO MN DIR ACH ACH ECC WEB ACH Trace 97941 297122</v>
      </c>
      <c r="P2255" s="2" t="s">
        <v>2469</v>
      </c>
    </row>
    <row r="2256" spans="1:16" hidden="1">
      <c r="A2256" s="2">
        <v>202003</v>
      </c>
      <c r="B2256" s="3">
        <v>43908</v>
      </c>
      <c r="C2256" s="2" t="s">
        <v>2317</v>
      </c>
      <c r="D2256" s="2" t="s">
        <v>1633</v>
      </c>
      <c r="E2256" s="2">
        <v>200</v>
      </c>
      <c r="F2256" s="2" t="e">
        <f>IF(Table2[[#This Row],[Manual Cat Value]]="",VLOOKUP(Table2[[#This Row],[Description]],'Actuals Lookup'!D:F,3,0),Table2[[#This Row],[Manual Cat Value]])</f>
        <v>#N/A</v>
      </c>
      <c r="J2256" s="2">
        <v>200</v>
      </c>
      <c r="K2256" s="2" t="b">
        <v>0</v>
      </c>
      <c r="L2256" s="2"/>
      <c r="M2256" s="2"/>
      <c r="N2256" s="4" t="s">
        <v>2259</v>
      </c>
      <c r="O2256" s="4" t="str">
        <f>LEFT(Table2[[#This Row],[Description]],75)</f>
        <v>SCHWAB S&amp;P 500 INDEX FD</v>
      </c>
      <c r="P2256" s="2" t="s">
        <v>2276</v>
      </c>
    </row>
    <row r="2257" spans="1:16" hidden="1">
      <c r="A2257" s="2">
        <v>202003</v>
      </c>
      <c r="B2257" s="3">
        <v>43909</v>
      </c>
      <c r="C2257" s="2" t="s">
        <v>2262</v>
      </c>
      <c r="D2257" s="2" t="s">
        <v>1446</v>
      </c>
      <c r="E2257" s="2">
        <v>-481.14</v>
      </c>
      <c r="F2257" s="2" t="e">
        <f>IF(Table2[[#This Row],[Manual Cat Value]]="",VLOOKUP(Table2[[#This Row],[Description]],'Actuals Lookup'!D:F,3,0),Table2[[#This Row],[Manual Cat Value]])</f>
        <v>#N/A</v>
      </c>
      <c r="J2257" s="2">
        <v>481.14</v>
      </c>
      <c r="K2257" s="2" t="b">
        <v>0</v>
      </c>
      <c r="L2257" s="2"/>
      <c r="M2257" s="2"/>
      <c r="N2257" s="4" t="s">
        <v>2273</v>
      </c>
      <c r="O2257" s="4" t="str">
        <f>LEFT(Table2[[#This Row],[Description]],75)</f>
        <v>PAYMENT THANK YOU 297916996</v>
      </c>
      <c r="P2257" s="2" t="s">
        <v>2391</v>
      </c>
    </row>
    <row r="2258" spans="1:16" hidden="1">
      <c r="A2258" s="2">
        <v>202003</v>
      </c>
      <c r="B2258" s="3">
        <v>43909</v>
      </c>
      <c r="C2258" s="2" t="s">
        <v>2265</v>
      </c>
      <c r="D2258" s="2" t="s">
        <v>2191</v>
      </c>
      <c r="E2258" s="2">
        <v>481.14</v>
      </c>
      <c r="F2258" s="2" t="e">
        <f>IF(Table2[[#This Row],[Manual Cat Value]]="",VLOOKUP(Table2[[#This Row],[Description]],'Actuals Lookup'!D:F,3,0),Table2[[#This Row],[Manual Cat Value]])</f>
        <v>#N/A</v>
      </c>
      <c r="J2258" s="2">
        <v>481.14</v>
      </c>
      <c r="K2258" s="2" t="b">
        <v>0</v>
      </c>
      <c r="L2258" s="2"/>
      <c r="M2258" s="2"/>
      <c r="N2258" s="4" t="s">
        <v>2259</v>
      </c>
      <c r="O2258" s="4" t="str">
        <f>LEFT(Table2[[#This Row],[Description]],75)</f>
        <v>Withdrawal Home payment to card 979181 297517781</v>
      </c>
      <c r="P2258" s="2" t="s">
        <v>2349</v>
      </c>
    </row>
    <row r="2259" spans="1:16" hidden="1">
      <c r="A2259" s="2">
        <v>202003</v>
      </c>
      <c r="B2259" s="3">
        <v>43909</v>
      </c>
      <c r="C2259" s="2" t="s">
        <v>2262</v>
      </c>
      <c r="D2259" s="2" t="s">
        <v>38</v>
      </c>
      <c r="E2259" s="2">
        <v>5.36</v>
      </c>
      <c r="F2259" s="2" t="str">
        <f>IF(Table2[[#This Row],[Manual Cat Value]]="",VLOOKUP(Table2[[#This Row],[Description]],'Actuals Lookup'!D:F,3,0),Table2[[#This Row],[Manual Cat Value]])</f>
        <v>Amazon</v>
      </c>
      <c r="J2259" s="2">
        <v>5.36</v>
      </c>
      <c r="K2259" s="2" t="b">
        <v>0</v>
      </c>
      <c r="L2259" s="2"/>
      <c r="M2259" s="2"/>
      <c r="N2259" s="4" t="s">
        <v>2259</v>
      </c>
      <c r="O2259" s="4" t="str">
        <f>LEFT(Table2[[#This Row],[Description]],75)</f>
        <v>Amazon</v>
      </c>
      <c r="P2259" s="2" t="s">
        <v>2260</v>
      </c>
    </row>
    <row r="2260" spans="1:16" hidden="1">
      <c r="A2260" s="2">
        <v>202003</v>
      </c>
      <c r="B2260" s="3">
        <v>43909</v>
      </c>
      <c r="C2260" s="2" t="s">
        <v>2262</v>
      </c>
      <c r="D2260" s="2" t="s">
        <v>38</v>
      </c>
      <c r="E2260" s="2">
        <v>13.36</v>
      </c>
      <c r="F2260" s="2" t="str">
        <f>IF(Table2[[#This Row],[Manual Cat Value]]="",VLOOKUP(Table2[[#This Row],[Description]],'Actuals Lookup'!D:F,3,0),Table2[[#This Row],[Manual Cat Value]])</f>
        <v>Amazon</v>
      </c>
      <c r="J2260" s="2">
        <v>13.36</v>
      </c>
      <c r="K2260" s="2" t="b">
        <v>0</v>
      </c>
      <c r="L2260" s="2"/>
      <c r="M2260" s="2"/>
      <c r="N2260" s="4" t="s">
        <v>2259</v>
      </c>
      <c r="O2260" s="4" t="str">
        <f>LEFT(Table2[[#This Row],[Description]],75)</f>
        <v>Amazon</v>
      </c>
      <c r="P2260" s="2" t="s">
        <v>2260</v>
      </c>
    </row>
    <row r="2261" spans="1:16" hidden="1">
      <c r="A2261" s="2">
        <v>202003</v>
      </c>
      <c r="B2261" s="3">
        <v>43909</v>
      </c>
      <c r="C2261" s="2" t="s">
        <v>2262</v>
      </c>
      <c r="D2261" s="2" t="s">
        <v>38</v>
      </c>
      <c r="E2261" s="2">
        <v>16.100000000000001</v>
      </c>
      <c r="F2261" s="2" t="str">
        <f>IF(Table2[[#This Row],[Manual Cat Value]]="",VLOOKUP(Table2[[#This Row],[Description]],'Actuals Lookup'!D:F,3,0),Table2[[#This Row],[Manual Cat Value]])</f>
        <v>Amazon</v>
      </c>
      <c r="J2261" s="2">
        <v>16.100000000000001</v>
      </c>
      <c r="K2261" s="2" t="b">
        <v>0</v>
      </c>
      <c r="L2261" s="2"/>
      <c r="M2261" s="2"/>
      <c r="N2261" s="4" t="s">
        <v>2259</v>
      </c>
      <c r="O2261" s="4" t="str">
        <f>LEFT(Table2[[#This Row],[Description]],75)</f>
        <v>Amazon</v>
      </c>
      <c r="P2261" s="2" t="s">
        <v>2260</v>
      </c>
    </row>
    <row r="2262" spans="1:16" hidden="1">
      <c r="A2262" s="2">
        <v>202003</v>
      </c>
      <c r="B2262" s="3">
        <v>43909</v>
      </c>
      <c r="C2262" s="2" t="s">
        <v>2262</v>
      </c>
      <c r="D2262" s="2" t="s">
        <v>1520</v>
      </c>
      <c r="E2262" s="2">
        <v>21.46</v>
      </c>
      <c r="F2262" s="2" t="e">
        <f>IF(Table2[[#This Row],[Manual Cat Value]]="",VLOOKUP(Table2[[#This Row],[Description]],'Actuals Lookup'!D:F,3,0),Table2[[#This Row],[Manual Cat Value]])</f>
        <v>#N/A</v>
      </c>
      <c r="J2262" s="2">
        <v>21.46</v>
      </c>
      <c r="K2262" s="2" t="b">
        <v>0</v>
      </c>
      <c r="L2262" s="2"/>
      <c r="M2262" s="2"/>
      <c r="N2262" s="4" t="s">
        <v>2259</v>
      </c>
      <c r="O2262" s="4" t="str">
        <f>LEFT(Table2[[#This Row],[Description]],75)</f>
        <v>Prime VideoN970P6J63 8888023080 WA 297651134</v>
      </c>
      <c r="P2262" s="2" t="s">
        <v>2342</v>
      </c>
    </row>
    <row r="2263" spans="1:16" hidden="1">
      <c r="A2263" s="2">
        <v>202003</v>
      </c>
      <c r="B2263" s="3">
        <v>43910</v>
      </c>
      <c r="C2263" s="2" t="s">
        <v>2317</v>
      </c>
      <c r="D2263" s="2" t="s">
        <v>354</v>
      </c>
      <c r="E2263" s="2">
        <v>-200</v>
      </c>
      <c r="F2263" s="2" t="e">
        <f>IF(Table2[[#This Row],[Manual Cat Value]]="",VLOOKUP(Table2[[#This Row],[Description]],'Actuals Lookup'!D:F,3,0),Table2[[#This Row],[Manual Cat Value]])</f>
        <v>#N/A</v>
      </c>
      <c r="J2263" s="2">
        <v>200</v>
      </c>
      <c r="K2263" s="2" t="b">
        <v>0</v>
      </c>
      <c r="L2263" s="2"/>
      <c r="M2263" s="2"/>
      <c r="N2263" s="4" t="s">
        <v>2273</v>
      </c>
      <c r="O2263" s="4" t="str">
        <f>LEFT(Table2[[#This Row],[Description]],75)</f>
        <v>CARGILL COCOA &amp;</v>
      </c>
      <c r="P2263" s="2" t="s">
        <v>2354</v>
      </c>
    </row>
    <row r="2264" spans="1:16" hidden="1">
      <c r="A2264" s="2">
        <v>202003</v>
      </c>
      <c r="B2264" s="3">
        <v>43910</v>
      </c>
      <c r="C2264" s="2" t="s">
        <v>2447</v>
      </c>
      <c r="D2264" s="2" t="s">
        <v>684</v>
      </c>
      <c r="E2264" s="2">
        <v>177.14</v>
      </c>
      <c r="F2264" s="2" t="str">
        <f>IF(Table2[[#This Row],[Manual Cat Value]]="",VLOOKUP(Table2[[#This Row],[Description]],'Actuals Lookup'!D:F,3,0),Table2[[#This Row],[Manual Cat Value]])</f>
        <v>Groceries</v>
      </c>
      <c r="J2264" s="2">
        <v>177.14</v>
      </c>
      <c r="K2264" s="2" t="b">
        <v>0</v>
      </c>
      <c r="L2264" s="2"/>
      <c r="M2264" s="2"/>
      <c r="N2264" s="4" t="s">
        <v>2259</v>
      </c>
      <c r="O2264" s="4" t="str">
        <f>LEFT(Table2[[#This Row],[Description]],75)</f>
        <v>Cub Foods</v>
      </c>
      <c r="P2264" s="2" t="s">
        <v>2370</v>
      </c>
    </row>
    <row r="2265" spans="1:16" hidden="1">
      <c r="A2265" s="2">
        <v>202003</v>
      </c>
      <c r="B2265" s="3">
        <v>43910</v>
      </c>
      <c r="C2265" s="2" t="s">
        <v>2258</v>
      </c>
      <c r="D2265" s="2" t="s">
        <v>684</v>
      </c>
      <c r="E2265" s="2">
        <v>177.14</v>
      </c>
      <c r="F2265" s="2" t="str">
        <f>IF(Table2[[#This Row],[Manual Cat Value]]="",VLOOKUP(Table2[[#This Row],[Description]],'Actuals Lookup'!D:F,3,0),Table2[[#This Row],[Manual Cat Value]])</f>
        <v>Groceries</v>
      </c>
      <c r="J2265" s="2">
        <v>177.14</v>
      </c>
      <c r="K2265" s="2" t="b">
        <v>0</v>
      </c>
      <c r="L2265" s="2"/>
      <c r="M2265" s="2"/>
      <c r="N2265" s="4" t="s">
        <v>2259</v>
      </c>
      <c r="O2265" s="4" t="str">
        <f>LEFT(Table2[[#This Row],[Description]],75)</f>
        <v>Cub Foods</v>
      </c>
      <c r="P2265" s="2" t="s">
        <v>2370</v>
      </c>
    </row>
    <row r="2266" spans="1:16" hidden="1">
      <c r="A2266" s="2">
        <v>202003</v>
      </c>
      <c r="B2266" s="3">
        <v>43910</v>
      </c>
      <c r="C2266" s="2" t="s">
        <v>2317</v>
      </c>
      <c r="D2266" s="2" t="s">
        <v>822</v>
      </c>
      <c r="E2266" s="2">
        <v>-2.7</v>
      </c>
      <c r="F2266" s="2" t="e">
        <f>IF(Table2[[#This Row],[Manual Cat Value]]="",VLOOKUP(Table2[[#This Row],[Description]],'Actuals Lookup'!D:F,3,0),Table2[[#This Row],[Manual Cat Value]])</f>
        <v>#N/A</v>
      </c>
      <c r="J2266" s="2">
        <v>2.7</v>
      </c>
      <c r="K2266" s="2" t="b">
        <v>0</v>
      </c>
      <c r="L2266" s="2"/>
      <c r="M2266" s="2"/>
      <c r="N2266" s="4" t="s">
        <v>2273</v>
      </c>
      <c r="O2266" s="4" t="str">
        <f>LEFT(Table2[[#This Row],[Description]],75)</f>
        <v>ETFMG ALTERNATIVE HARVEST ETF</v>
      </c>
      <c r="P2266" s="2" t="s">
        <v>2445</v>
      </c>
    </row>
    <row r="2267" spans="1:16" hidden="1">
      <c r="A2267" s="2">
        <v>202003</v>
      </c>
      <c r="B2267" s="3">
        <v>43910</v>
      </c>
      <c r="C2267" s="2" t="s">
        <v>2434</v>
      </c>
      <c r="D2267" s="2" t="s">
        <v>1834</v>
      </c>
      <c r="E2267" s="2">
        <v>-231</v>
      </c>
      <c r="F2267" s="2" t="e">
        <f>IF(Table2[[#This Row],[Manual Cat Value]]="",VLOOKUP(Table2[[#This Row],[Description]],'Actuals Lookup'!D:F,3,0),Table2[[#This Row],[Manual Cat Value]])</f>
        <v>#N/A</v>
      </c>
      <c r="J2267" s="2">
        <v>231</v>
      </c>
      <c r="K2267" s="2" t="b">
        <v>0</v>
      </c>
      <c r="L2267" s="2"/>
      <c r="M2267" s="2"/>
      <c r="N2267" s="4" t="s">
        <v>2273</v>
      </c>
      <c r="O2267" s="4" t="str">
        <f>LEFT(Table2[[#This Row],[Description]],75)</f>
        <v>Tfr JPMORGAN CHASE BAN, CARGILL COCOA &amp;</v>
      </c>
      <c r="P2267" s="2" t="s">
        <v>2356</v>
      </c>
    </row>
    <row r="2268" spans="1:16" hidden="1">
      <c r="A2268" s="2">
        <v>202003</v>
      </c>
      <c r="B2268" s="3">
        <v>43911</v>
      </c>
      <c r="C2268" s="2" t="s">
        <v>2447</v>
      </c>
      <c r="D2268" s="2" t="s">
        <v>38</v>
      </c>
      <c r="E2268" s="2">
        <v>17.170000000000002</v>
      </c>
      <c r="F2268" s="2" t="str">
        <f>IF(Table2[[#This Row],[Manual Cat Value]]="",VLOOKUP(Table2[[#This Row],[Description]],'Actuals Lookup'!D:F,3,0),Table2[[#This Row],[Manual Cat Value]])</f>
        <v>Amazon</v>
      </c>
      <c r="J2268" s="2">
        <v>17.170000000000002</v>
      </c>
      <c r="K2268" s="2" t="b">
        <v>0</v>
      </c>
      <c r="L2268" s="2"/>
      <c r="M2268" s="2"/>
      <c r="N2268" s="4" t="s">
        <v>2259</v>
      </c>
      <c r="O2268" s="4" t="str">
        <f>LEFT(Table2[[#This Row],[Description]],75)</f>
        <v>Amazon</v>
      </c>
      <c r="P2268" s="2" t="s">
        <v>2260</v>
      </c>
    </row>
    <row r="2269" spans="1:16" hidden="1">
      <c r="A2269" s="2">
        <v>202003</v>
      </c>
      <c r="B2269" s="3">
        <v>43911</v>
      </c>
      <c r="C2269" s="2" t="s">
        <v>2258</v>
      </c>
      <c r="D2269" s="2" t="s">
        <v>38</v>
      </c>
      <c r="E2269" s="2">
        <v>17.170000000000002</v>
      </c>
      <c r="F2269" s="2" t="str">
        <f>IF(Table2[[#This Row],[Manual Cat Value]]="",VLOOKUP(Table2[[#This Row],[Description]],'Actuals Lookup'!D:F,3,0),Table2[[#This Row],[Manual Cat Value]])</f>
        <v>Amazon</v>
      </c>
      <c r="J2269" s="2">
        <v>17.170000000000002</v>
      </c>
      <c r="K2269" s="2" t="b">
        <v>0</v>
      </c>
      <c r="L2269" s="2"/>
      <c r="M2269" s="2"/>
      <c r="N2269" s="4" t="s">
        <v>2259</v>
      </c>
      <c r="O2269" s="4" t="str">
        <f>LEFT(Table2[[#This Row],[Description]],75)</f>
        <v>Amazon</v>
      </c>
      <c r="P2269" s="2" t="s">
        <v>2260</v>
      </c>
    </row>
    <row r="2270" spans="1:16" hidden="1">
      <c r="A2270" s="2">
        <v>202003</v>
      </c>
      <c r="B2270" s="3">
        <v>43911</v>
      </c>
      <c r="C2270" s="2" t="s">
        <v>2447</v>
      </c>
      <c r="D2270" s="2" t="s">
        <v>684</v>
      </c>
      <c r="E2270" s="2">
        <v>422.24</v>
      </c>
      <c r="F2270" s="2" t="str">
        <f>IF(Table2[[#This Row],[Manual Cat Value]]="",VLOOKUP(Table2[[#This Row],[Description]],'Actuals Lookup'!D:F,3,0),Table2[[#This Row],[Manual Cat Value]])</f>
        <v>Groceries</v>
      </c>
      <c r="J2270" s="2">
        <v>422.24</v>
      </c>
      <c r="K2270" s="2" t="b">
        <v>0</v>
      </c>
      <c r="L2270" s="2"/>
      <c r="M2270" s="2"/>
      <c r="N2270" s="4" t="s">
        <v>2259</v>
      </c>
      <c r="O2270" s="4" t="str">
        <f>LEFT(Table2[[#This Row],[Description]],75)</f>
        <v>Cub Foods</v>
      </c>
      <c r="P2270" s="2" t="s">
        <v>2370</v>
      </c>
    </row>
    <row r="2271" spans="1:16" hidden="1">
      <c r="A2271" s="2">
        <v>202003</v>
      </c>
      <c r="B2271" s="3">
        <v>43911</v>
      </c>
      <c r="C2271" s="2" t="s">
        <v>2258</v>
      </c>
      <c r="D2271" s="2" t="s">
        <v>684</v>
      </c>
      <c r="E2271" s="2">
        <v>422.24</v>
      </c>
      <c r="F2271" s="2" t="str">
        <f>IF(Table2[[#This Row],[Manual Cat Value]]="",VLOOKUP(Table2[[#This Row],[Description]],'Actuals Lookup'!D:F,3,0),Table2[[#This Row],[Manual Cat Value]])</f>
        <v>Groceries</v>
      </c>
      <c r="J2271" s="2">
        <v>422.24</v>
      </c>
      <c r="K2271" s="2" t="b">
        <v>0</v>
      </c>
      <c r="L2271" s="2"/>
      <c r="M2271" s="2"/>
      <c r="N2271" s="4" t="s">
        <v>2259</v>
      </c>
      <c r="O2271" s="4" t="str">
        <f>LEFT(Table2[[#This Row],[Description]],75)</f>
        <v>Cub Foods</v>
      </c>
      <c r="P2271" s="2" t="s">
        <v>2370</v>
      </c>
    </row>
    <row r="2272" spans="1:16" hidden="1">
      <c r="A2272" s="2">
        <v>202003</v>
      </c>
      <c r="B2272" s="3">
        <v>43912</v>
      </c>
      <c r="C2272" s="2" t="s">
        <v>2262</v>
      </c>
      <c r="D2272" s="2" t="s">
        <v>38</v>
      </c>
      <c r="E2272" s="2">
        <v>5.36</v>
      </c>
      <c r="F2272" s="2" t="str">
        <f>IF(Table2[[#This Row],[Manual Cat Value]]="",VLOOKUP(Table2[[#This Row],[Description]],'Actuals Lookup'!D:F,3,0),Table2[[#This Row],[Manual Cat Value]])</f>
        <v>Amazon</v>
      </c>
      <c r="J2272" s="2">
        <v>5.36</v>
      </c>
      <c r="K2272" s="2" t="b">
        <v>0</v>
      </c>
      <c r="L2272" s="2"/>
      <c r="M2272" s="2"/>
      <c r="N2272" s="4" t="s">
        <v>2259</v>
      </c>
      <c r="O2272" s="4" t="str">
        <f>LEFT(Table2[[#This Row],[Description]],75)</f>
        <v>Amazon</v>
      </c>
      <c r="P2272" s="2" t="s">
        <v>2260</v>
      </c>
    </row>
    <row r="2273" spans="1:16" hidden="1">
      <c r="A2273" s="2">
        <v>202003</v>
      </c>
      <c r="B2273" s="3">
        <v>43912</v>
      </c>
      <c r="C2273" s="2" t="s">
        <v>2262</v>
      </c>
      <c r="D2273" s="2" t="s">
        <v>38</v>
      </c>
      <c r="E2273" s="2">
        <v>16.05</v>
      </c>
      <c r="F2273" s="2" t="str">
        <f>IF(Table2[[#This Row],[Manual Cat Value]]="",VLOOKUP(Table2[[#This Row],[Description]],'Actuals Lookup'!D:F,3,0),Table2[[#This Row],[Manual Cat Value]])</f>
        <v>Amazon</v>
      </c>
      <c r="J2273" s="2">
        <v>16.05</v>
      </c>
      <c r="K2273" s="2" t="b">
        <v>0</v>
      </c>
      <c r="L2273" s="2"/>
      <c r="M2273" s="2"/>
      <c r="N2273" s="4" t="s">
        <v>2259</v>
      </c>
      <c r="O2273" s="4" t="str">
        <f>LEFT(Table2[[#This Row],[Description]],75)</f>
        <v>Amazon</v>
      </c>
      <c r="P2273" s="2" t="s">
        <v>2260</v>
      </c>
    </row>
    <row r="2274" spans="1:16" hidden="1">
      <c r="A2274" s="2">
        <v>202003</v>
      </c>
      <c r="B2274" s="3">
        <v>43912</v>
      </c>
      <c r="C2274" s="2" t="s">
        <v>2262</v>
      </c>
      <c r="D2274" s="2" t="s">
        <v>38</v>
      </c>
      <c r="E2274" s="2">
        <v>21.44</v>
      </c>
      <c r="F2274" s="2" t="str">
        <f>IF(Table2[[#This Row],[Manual Cat Value]]="",VLOOKUP(Table2[[#This Row],[Description]],'Actuals Lookup'!D:F,3,0),Table2[[#This Row],[Manual Cat Value]])</f>
        <v>Amazon</v>
      </c>
      <c r="J2274" s="2">
        <v>21.44</v>
      </c>
      <c r="K2274" s="2" t="b">
        <v>0</v>
      </c>
      <c r="L2274" s="2"/>
      <c r="M2274" s="2"/>
      <c r="N2274" s="4" t="s">
        <v>2259</v>
      </c>
      <c r="O2274" s="4" t="str">
        <f>LEFT(Table2[[#This Row],[Description]],75)</f>
        <v>Amazon</v>
      </c>
      <c r="P2274" s="2" t="s">
        <v>2260</v>
      </c>
    </row>
    <row r="2275" spans="1:16" hidden="1">
      <c r="A2275" s="2">
        <v>202003</v>
      </c>
      <c r="B2275" s="3">
        <v>43912</v>
      </c>
      <c r="C2275" s="2" t="s">
        <v>2262</v>
      </c>
      <c r="D2275" s="2" t="s">
        <v>831</v>
      </c>
      <c r="E2275" s="2">
        <v>13.2</v>
      </c>
      <c r="F2275" s="2" t="e">
        <f>IF(Table2[[#This Row],[Manual Cat Value]]="",VLOOKUP(Table2[[#This Row],[Description]],'Actuals Lookup'!D:F,3,0),Table2[[#This Row],[Manual Cat Value]])</f>
        <v>#N/A</v>
      </c>
      <c r="J2275" s="2">
        <v>13.2</v>
      </c>
      <c r="K2275" s="2" t="b">
        <v>0</v>
      </c>
      <c r="L2275" s="2"/>
      <c r="M2275" s="2"/>
      <c r="N2275" s="4" t="s">
        <v>2259</v>
      </c>
      <c r="O2275" s="4" t="str">
        <f>LEFT(Table2[[#This Row],[Description]],75)</f>
        <v>Excelsior Brewing</v>
      </c>
      <c r="P2275" s="2" t="s">
        <v>2410</v>
      </c>
    </row>
    <row r="2276" spans="1:16" hidden="1">
      <c r="A2276" s="2">
        <v>202003</v>
      </c>
      <c r="B2276" s="3">
        <v>43912</v>
      </c>
      <c r="C2276" s="2" t="s">
        <v>2262</v>
      </c>
      <c r="D2276" s="2" t="s">
        <v>947</v>
      </c>
      <c r="E2276" s="2">
        <v>89.14</v>
      </c>
      <c r="F2276" s="2" t="e">
        <f>IF(Table2[[#This Row],[Manual Cat Value]]="",VLOOKUP(Table2[[#This Row],[Description]],'Actuals Lookup'!D:F,3,0),Table2[[#This Row],[Manual Cat Value]])</f>
        <v>#N/A</v>
      </c>
      <c r="J2276" s="2">
        <v>89.14</v>
      </c>
      <c r="K2276" s="2" t="b">
        <v>0</v>
      </c>
      <c r="L2276" s="2"/>
      <c r="M2276" s="2"/>
      <c r="N2276" s="4" t="s">
        <v>2259</v>
      </c>
      <c r="O2276" s="4" t="str">
        <f>LEFT(Table2[[#This Row],[Description]],75)</f>
        <v>Home Depot</v>
      </c>
      <c r="P2276" s="2" t="s">
        <v>2396</v>
      </c>
    </row>
    <row r="2277" spans="1:16" hidden="1">
      <c r="A2277" s="2">
        <v>202003</v>
      </c>
      <c r="B2277" s="3">
        <v>43912</v>
      </c>
      <c r="C2277" s="2" t="s">
        <v>2262</v>
      </c>
      <c r="D2277" s="2" t="s">
        <v>1194</v>
      </c>
      <c r="E2277" s="2">
        <v>57.09</v>
      </c>
      <c r="F2277" s="2" t="str">
        <f>IF(Table2[[#This Row],[Manual Cat Value]]="",VLOOKUP(Table2[[#This Row],[Description]],'Actuals Lookup'!D:F,3,0),Table2[[#This Row],[Manual Cat Value]])</f>
        <v>Groceries</v>
      </c>
      <c r="J2277" s="2">
        <v>57.09</v>
      </c>
      <c r="K2277" s="2" t="b">
        <v>0</v>
      </c>
      <c r="L2277" s="2"/>
      <c r="M2277" s="2"/>
      <c r="N2277" s="4" t="s">
        <v>2259</v>
      </c>
      <c r="O2277" s="4" t="str">
        <f>LEFT(Table2[[#This Row],[Description]],75)</f>
        <v>MGM Liquor Warehouse</v>
      </c>
      <c r="P2277" s="2" t="s">
        <v>2472</v>
      </c>
    </row>
    <row r="2278" spans="1:16" hidden="1">
      <c r="A2278" s="2">
        <v>202003</v>
      </c>
      <c r="B2278" s="3">
        <v>43912</v>
      </c>
      <c r="C2278" s="2" t="s">
        <v>2262</v>
      </c>
      <c r="D2278" s="2" t="s">
        <v>1396</v>
      </c>
      <c r="E2278" s="2">
        <v>35.25</v>
      </c>
      <c r="F2278" s="2" t="str">
        <f>IF(Table2[[#This Row],[Manual Cat Value]]="",VLOOKUP(Table2[[#This Row],[Description]],'Actuals Lookup'!D:F,3,0),Table2[[#This Row],[Manual Cat Value]])</f>
        <v>Restaurants</v>
      </c>
      <c r="J2278" s="2">
        <v>35.25</v>
      </c>
      <c r="K2278" s="2" t="b">
        <v>0</v>
      </c>
      <c r="L2278" s="2"/>
      <c r="M2278" s="2"/>
      <c r="N2278" s="4" t="s">
        <v>2259</v>
      </c>
      <c r="O2278" s="4" t="str">
        <f>LEFT(Table2[[#This Row],[Description]],75)</f>
        <v>Papa Murphy's</v>
      </c>
      <c r="P2278" s="2" t="s">
        <v>2473</v>
      </c>
    </row>
    <row r="2279" spans="1:16" hidden="1">
      <c r="A2279" s="2">
        <v>202003</v>
      </c>
      <c r="B2279" s="3">
        <v>43912</v>
      </c>
      <c r="C2279" s="2" t="s">
        <v>2262</v>
      </c>
      <c r="D2279" s="2" t="s">
        <v>1858</v>
      </c>
      <c r="E2279" s="2">
        <v>52.67</v>
      </c>
      <c r="F2279" s="2" t="e">
        <f>IF(Table2[[#This Row],[Manual Cat Value]]="",VLOOKUP(Table2[[#This Row],[Description]],'Actuals Lookup'!D:F,3,0),Table2[[#This Row],[Manual Cat Value]])</f>
        <v>#N/A</v>
      </c>
      <c r="J2279" s="2">
        <v>52.67</v>
      </c>
      <c r="K2279" s="2" t="b">
        <v>0</v>
      </c>
      <c r="L2279" s="2"/>
      <c r="M2279" s="2"/>
      <c r="N2279" s="4" t="s">
        <v>2259</v>
      </c>
      <c r="O2279" s="4" t="str">
        <f>LEFT(Table2[[#This Row],[Description]],75)</f>
        <v>The Suburban</v>
      </c>
      <c r="P2279" s="2" t="s">
        <v>2440</v>
      </c>
    </row>
    <row r="2280" spans="1:16" hidden="1">
      <c r="A2280" s="2">
        <v>202003</v>
      </c>
      <c r="B2280" s="3">
        <v>43913</v>
      </c>
      <c r="C2280" s="2" t="s">
        <v>2262</v>
      </c>
      <c r="D2280" s="2" t="s">
        <v>38</v>
      </c>
      <c r="E2280" s="2">
        <v>41.87</v>
      </c>
      <c r="F2280" s="2" t="str">
        <f>IF(Table2[[#This Row],[Manual Cat Value]]="",VLOOKUP(Table2[[#This Row],[Description]],'Actuals Lookup'!D:F,3,0),Table2[[#This Row],[Manual Cat Value]])</f>
        <v>Amazon</v>
      </c>
      <c r="J2280" s="2">
        <v>41.87</v>
      </c>
      <c r="K2280" s="2" t="b">
        <v>0</v>
      </c>
      <c r="L2280" s="2"/>
      <c r="M2280" s="2"/>
      <c r="N2280" s="4" t="s">
        <v>2259</v>
      </c>
      <c r="O2280" s="4" t="str">
        <f>LEFT(Table2[[#This Row],[Description]],75)</f>
        <v>Amazon</v>
      </c>
      <c r="P2280" s="2" t="s">
        <v>2260</v>
      </c>
    </row>
    <row r="2281" spans="1:16" hidden="1">
      <c r="A2281" s="2">
        <v>202003</v>
      </c>
      <c r="B2281" s="3">
        <v>43913</v>
      </c>
      <c r="C2281" s="2" t="s">
        <v>2265</v>
      </c>
      <c r="D2281" s="2" t="s">
        <v>557</v>
      </c>
      <c r="E2281" s="2">
        <v>108.87</v>
      </c>
      <c r="F2281" s="2" t="e">
        <f>IF(Table2[[#This Row],[Manual Cat Value]]="",VLOOKUP(Table2[[#This Row],[Description]],'Actuals Lookup'!D:F,3,0),Table2[[#This Row],[Manual Cat Value]])</f>
        <v>#N/A</v>
      </c>
      <c r="J2281" s="2">
        <v>108.87</v>
      </c>
      <c r="K2281" s="2" t="b">
        <v>0</v>
      </c>
      <c r="L2281" s="2"/>
      <c r="M2281" s="2"/>
      <c r="N2281" s="4" t="s">
        <v>2259</v>
      </c>
      <c r="O2281" s="4" t="str">
        <f>LEFT(Table2[[#This Row],[Description]],75)</f>
        <v>City of Chanhassen</v>
      </c>
      <c r="P2281" s="2" t="s">
        <v>2298</v>
      </c>
    </row>
    <row r="2282" spans="1:16" hidden="1">
      <c r="A2282" s="2">
        <v>202003</v>
      </c>
      <c r="B2282" s="3">
        <v>43913</v>
      </c>
      <c r="C2282" s="2" t="s">
        <v>2317</v>
      </c>
      <c r="D2282" s="2" t="s">
        <v>822</v>
      </c>
      <c r="E2282" s="2">
        <v>2.7</v>
      </c>
      <c r="F2282" s="2" t="e">
        <f>IF(Table2[[#This Row],[Manual Cat Value]]="",VLOOKUP(Table2[[#This Row],[Description]],'Actuals Lookup'!D:F,3,0),Table2[[#This Row],[Manual Cat Value]])</f>
        <v>#N/A</v>
      </c>
      <c r="J2282" s="2">
        <v>2.7</v>
      </c>
      <c r="K2282" s="2" t="b">
        <v>0</v>
      </c>
      <c r="L2282" s="2"/>
      <c r="M2282" s="2"/>
      <c r="N2282" s="4" t="s">
        <v>2259</v>
      </c>
      <c r="O2282" s="4" t="str">
        <f>LEFT(Table2[[#This Row],[Description]],75)</f>
        <v>ETFMG ALTERNATIVE HARVEST ETF</v>
      </c>
      <c r="P2282" s="2" t="s">
        <v>2445</v>
      </c>
    </row>
    <row r="2283" spans="1:16" hidden="1">
      <c r="A2283" s="2">
        <v>202003</v>
      </c>
      <c r="B2283" s="3">
        <v>43914</v>
      </c>
      <c r="C2283" s="2" t="s">
        <v>2262</v>
      </c>
      <c r="D2283" s="2" t="s">
        <v>38</v>
      </c>
      <c r="E2283" s="2">
        <v>13.26</v>
      </c>
      <c r="F2283" s="2" t="str">
        <f>IF(Table2[[#This Row],[Manual Cat Value]]="",VLOOKUP(Table2[[#This Row],[Description]],'Actuals Lookup'!D:F,3,0),Table2[[#This Row],[Manual Cat Value]])</f>
        <v>Amazon</v>
      </c>
      <c r="J2283" s="2">
        <v>13.26</v>
      </c>
      <c r="K2283" s="2" t="b">
        <v>0</v>
      </c>
      <c r="L2283" s="2"/>
      <c r="M2283" s="2"/>
      <c r="N2283" s="4" t="s">
        <v>2259</v>
      </c>
      <c r="O2283" s="4" t="str">
        <f>LEFT(Table2[[#This Row],[Description]],75)</f>
        <v>Amazon</v>
      </c>
      <c r="P2283" s="2" t="s">
        <v>2260</v>
      </c>
    </row>
    <row r="2284" spans="1:16" hidden="1">
      <c r="A2284" s="2">
        <v>202003</v>
      </c>
      <c r="B2284" s="3">
        <v>43914</v>
      </c>
      <c r="C2284" s="2" t="s">
        <v>2265</v>
      </c>
      <c r="D2284" s="2" t="s">
        <v>840</v>
      </c>
      <c r="E2284" s="2">
        <v>-98.65</v>
      </c>
      <c r="F2284" s="2" t="e">
        <f>IF(Table2[[#This Row],[Manual Cat Value]]="",VLOOKUP(Table2[[#This Row],[Description]],'Actuals Lookup'!D:F,3,0),Table2[[#This Row],[Manual Cat Value]])</f>
        <v>#N/A</v>
      </c>
      <c r="J2284" s="2">
        <v>98.65</v>
      </c>
      <c r="K2284" s="2" t="b">
        <v>0</v>
      </c>
      <c r="L2284" s="2"/>
      <c r="M2284" s="2"/>
      <c r="N2284" s="4" t="s">
        <v>2273</v>
      </c>
      <c r="O2284" s="4" t="str">
        <f>LEFT(Table2[[#This Row],[Description]],75)</f>
        <v>Fid Bkg Svc</v>
      </c>
      <c r="P2284" s="2" t="s">
        <v>2281</v>
      </c>
    </row>
    <row r="2285" spans="1:16" hidden="1">
      <c r="A2285" s="2">
        <v>202003</v>
      </c>
      <c r="B2285" s="3">
        <v>43914</v>
      </c>
      <c r="C2285" s="2" t="s">
        <v>2300</v>
      </c>
      <c r="D2285" s="2" t="s">
        <v>1648</v>
      </c>
      <c r="E2285" s="2">
        <v>-200</v>
      </c>
      <c r="F2285" s="2" t="e">
        <f>IF(Table2[[#This Row],[Manual Cat Value]]="",VLOOKUP(Table2[[#This Row],[Description]],'Actuals Lookup'!D:F,3,0),Table2[[#This Row],[Manual Cat Value]])</f>
        <v>#N/A</v>
      </c>
      <c r="J2285" s="2">
        <v>200</v>
      </c>
      <c r="K2285" s="2" t="b">
        <v>0</v>
      </c>
      <c r="L2285" s="2"/>
      <c r="M2285" s="2"/>
      <c r="N2285" s="4" t="s">
        <v>2273</v>
      </c>
      <c r="O2285" s="4" t="str">
        <f>LEFT(Table2[[#This Row],[Description]],75)</f>
        <v>Share</v>
      </c>
      <c r="P2285" s="2" t="s">
        <v>2448</v>
      </c>
    </row>
    <row r="2286" spans="1:16" hidden="1">
      <c r="A2286" s="2">
        <v>202003</v>
      </c>
      <c r="B2286" s="3">
        <v>43914</v>
      </c>
      <c r="C2286" s="2" t="s">
        <v>2265</v>
      </c>
      <c r="D2286" s="2" t="s">
        <v>1897</v>
      </c>
      <c r="E2286" s="2">
        <v>200</v>
      </c>
      <c r="F2286" s="2" t="e">
        <f>IF(Table2[[#This Row],[Manual Cat Value]]="",VLOOKUP(Table2[[#This Row],[Description]],'Actuals Lookup'!D:F,3,0),Table2[[#This Row],[Manual Cat Value]])</f>
        <v>#N/A</v>
      </c>
      <c r="J2286" s="2">
        <v>200</v>
      </c>
      <c r="K2286" s="2" t="b">
        <v>0</v>
      </c>
      <c r="L2286" s="2"/>
      <c r="M2286" s="2"/>
      <c r="N2286" s="4" t="s">
        <v>2259</v>
      </c>
      <c r="O2286" s="4" t="str">
        <f>LEFT(Table2[[#This Row],[Description]],75)</f>
        <v>To Share 12 298537861</v>
      </c>
      <c r="P2286" s="2" t="s">
        <v>2281</v>
      </c>
    </row>
    <row r="2287" spans="1:16" hidden="1">
      <c r="A2287" s="2">
        <v>202003</v>
      </c>
      <c r="B2287" s="3">
        <v>43915</v>
      </c>
      <c r="C2287" s="2" t="s">
        <v>2317</v>
      </c>
      <c r="D2287" s="2" t="s">
        <v>305</v>
      </c>
      <c r="E2287" s="2">
        <v>334.59</v>
      </c>
      <c r="F2287" s="2" t="e">
        <f>IF(Table2[[#This Row],[Manual Cat Value]]="",VLOOKUP(Table2[[#This Row],[Description]],'Actuals Lookup'!D:F,3,0),Table2[[#This Row],[Manual Cat Value]])</f>
        <v>#N/A</v>
      </c>
      <c r="J2287" s="2">
        <v>334.59</v>
      </c>
      <c r="K2287" s="2" t="b">
        <v>0</v>
      </c>
      <c r="L2287" s="2"/>
      <c r="M2287" s="2"/>
      <c r="N2287" s="4" t="s">
        <v>2259</v>
      </c>
      <c r="O2287" s="4" t="str">
        <f>LEFT(Table2[[#This Row],[Description]],75)</f>
        <v>BOEING CO</v>
      </c>
      <c r="P2287" s="2" t="s">
        <v>2425</v>
      </c>
    </row>
    <row r="2288" spans="1:16" hidden="1">
      <c r="A2288" s="2">
        <v>202003</v>
      </c>
      <c r="B2288" s="3">
        <v>43915</v>
      </c>
      <c r="C2288" s="2" t="s">
        <v>2317</v>
      </c>
      <c r="D2288" s="2" t="s">
        <v>913</v>
      </c>
      <c r="E2288" s="2">
        <v>-0.05</v>
      </c>
      <c r="F2288" s="2" t="e">
        <f>IF(Table2[[#This Row],[Manual Cat Value]]="",VLOOKUP(Table2[[#This Row],[Description]],'Actuals Lookup'!D:F,3,0),Table2[[#This Row],[Manual Cat Value]])</f>
        <v>#N/A</v>
      </c>
      <c r="J2288" s="2">
        <v>0.05</v>
      </c>
      <c r="K2288" s="2" t="b">
        <v>0</v>
      </c>
      <c r="L2288" s="2"/>
      <c r="M2288" s="2"/>
      <c r="N2288" s="4" t="s">
        <v>2273</v>
      </c>
      <c r="O2288" s="4" t="str">
        <f>LEFT(Table2[[#This Row],[Description]],75)</f>
        <v>HALLIBURTON CO HLDG</v>
      </c>
      <c r="P2288" s="2" t="s">
        <v>2433</v>
      </c>
    </row>
    <row r="2289" spans="1:16" hidden="1">
      <c r="A2289" s="2">
        <v>202003</v>
      </c>
      <c r="B2289" s="3">
        <v>43915</v>
      </c>
      <c r="C2289" s="2" t="s">
        <v>2262</v>
      </c>
      <c r="D2289" s="2" t="s">
        <v>947</v>
      </c>
      <c r="E2289" s="2">
        <v>4.58</v>
      </c>
      <c r="F2289" s="2" t="e">
        <f>IF(Table2[[#This Row],[Manual Cat Value]]="",VLOOKUP(Table2[[#This Row],[Description]],'Actuals Lookup'!D:F,3,0),Table2[[#This Row],[Manual Cat Value]])</f>
        <v>#N/A</v>
      </c>
      <c r="J2289" s="2">
        <v>4.58</v>
      </c>
      <c r="K2289" s="2" t="b">
        <v>0</v>
      </c>
      <c r="L2289" s="2"/>
      <c r="M2289" s="2"/>
      <c r="N2289" s="4" t="s">
        <v>2259</v>
      </c>
      <c r="O2289" s="4" t="str">
        <f>LEFT(Table2[[#This Row],[Description]],75)</f>
        <v>Home Depot</v>
      </c>
      <c r="P2289" s="2" t="s">
        <v>2396</v>
      </c>
    </row>
    <row r="2290" spans="1:16" hidden="1">
      <c r="A2290" s="2">
        <v>202003</v>
      </c>
      <c r="B2290" s="3">
        <v>43915</v>
      </c>
      <c r="C2290" s="2" t="s">
        <v>2262</v>
      </c>
      <c r="D2290" s="2" t="s">
        <v>1583</v>
      </c>
      <c r="E2290" s="2">
        <v>831.9</v>
      </c>
      <c r="F2290" s="2" t="e">
        <f>IF(Table2[[#This Row],[Manual Cat Value]]="",VLOOKUP(Table2[[#This Row],[Description]],'Actuals Lookup'!D:F,3,0),Table2[[#This Row],[Manual Cat Value]])</f>
        <v>#N/A</v>
      </c>
      <c r="J2290" s="2">
        <v>831.9</v>
      </c>
      <c r="K2290" s="2" t="b">
        <v>0</v>
      </c>
      <c r="L2290" s="2"/>
      <c r="M2290" s="2"/>
      <c r="N2290" s="4" t="s">
        <v>2259</v>
      </c>
      <c r="O2290" s="4" t="str">
        <f>LEFT(Table2[[#This Row],[Description]],75)</f>
        <v>Ridgeview Anesthesia</v>
      </c>
      <c r="P2290" s="2" t="s">
        <v>2281</v>
      </c>
    </row>
    <row r="2291" spans="1:16" hidden="1">
      <c r="A2291" s="2">
        <v>202003</v>
      </c>
      <c r="B2291" s="3">
        <v>43915</v>
      </c>
      <c r="C2291" s="2" t="s">
        <v>2262</v>
      </c>
      <c r="D2291" s="2" t="s">
        <v>1653</v>
      </c>
      <c r="E2291" s="2">
        <v>85.93</v>
      </c>
      <c r="F2291" s="2" t="e">
        <f>IF(Table2[[#This Row],[Manual Cat Value]]="",VLOOKUP(Table2[[#This Row],[Description]],'Actuals Lookup'!D:F,3,0),Table2[[#This Row],[Manual Cat Value]])</f>
        <v>#N/A</v>
      </c>
      <c r="J2291" s="2">
        <v>85.93</v>
      </c>
      <c r="K2291" s="2" t="b">
        <v>0</v>
      </c>
      <c r="L2291" s="2"/>
      <c r="M2291" s="2"/>
      <c r="N2291" s="4" t="s">
        <v>2259</v>
      </c>
      <c r="O2291" s="4" t="str">
        <f>LEFT(Table2[[#This Row],[Description]],75)</f>
        <v>Sherwin Williams</v>
      </c>
      <c r="P2291" s="2" t="s">
        <v>2353</v>
      </c>
    </row>
    <row r="2292" spans="1:16" hidden="1">
      <c r="A2292" s="2">
        <v>202003</v>
      </c>
      <c r="B2292" s="3">
        <v>43915</v>
      </c>
      <c r="C2292" s="2" t="s">
        <v>2265</v>
      </c>
      <c r="D2292" s="2" t="s">
        <v>31</v>
      </c>
      <c r="E2292" s="2">
        <v>110.26</v>
      </c>
      <c r="F2292" s="2" t="str">
        <f>IF(Table2[[#This Row],[Manual Cat Value]]="",VLOOKUP(Table2[[#This Row],[Description]],'Actuals Lookup'!D:F,3,0),Table2[[#This Row],[Manual Cat Value]])</f>
        <v>Target</v>
      </c>
      <c r="J2292" s="2">
        <v>110.26</v>
      </c>
      <c r="K2292" s="2" t="b">
        <v>0</v>
      </c>
      <c r="L2292" s="2"/>
      <c r="M2292" s="2"/>
      <c r="N2292" s="4" t="s">
        <v>2259</v>
      </c>
      <c r="O2292" s="4" t="str">
        <f>LEFT(Table2[[#This Row],[Description]],75)</f>
        <v>Target</v>
      </c>
      <c r="P2292" s="2" t="s">
        <v>2309</v>
      </c>
    </row>
    <row r="2293" spans="1:16" hidden="1">
      <c r="A2293" s="2">
        <v>202003</v>
      </c>
      <c r="B2293" s="3">
        <v>43916</v>
      </c>
      <c r="C2293" s="2" t="s">
        <v>2447</v>
      </c>
      <c r="D2293" s="2" t="s">
        <v>38</v>
      </c>
      <c r="E2293" s="2">
        <v>17.13</v>
      </c>
      <c r="F2293" s="2" t="str">
        <f>IF(Table2[[#This Row],[Manual Cat Value]]="",VLOOKUP(Table2[[#This Row],[Description]],'Actuals Lookup'!D:F,3,0),Table2[[#This Row],[Manual Cat Value]])</f>
        <v>Amazon</v>
      </c>
      <c r="J2293" s="2">
        <v>17.13</v>
      </c>
      <c r="K2293" s="2" t="b">
        <v>0</v>
      </c>
      <c r="L2293" s="2"/>
      <c r="M2293" s="2"/>
      <c r="N2293" s="4" t="s">
        <v>2259</v>
      </c>
      <c r="O2293" s="4" t="str">
        <f>LEFT(Table2[[#This Row],[Description]],75)</f>
        <v>Amazon</v>
      </c>
      <c r="P2293" s="2" t="s">
        <v>2260</v>
      </c>
    </row>
    <row r="2294" spans="1:16" hidden="1">
      <c r="A2294" s="2">
        <v>202003</v>
      </c>
      <c r="B2294" s="3">
        <v>43916</v>
      </c>
      <c r="C2294" s="2" t="s">
        <v>2262</v>
      </c>
      <c r="D2294" s="2" t="s">
        <v>38</v>
      </c>
      <c r="E2294" s="2">
        <v>13.95</v>
      </c>
      <c r="F2294" s="2" t="str">
        <f>IF(Table2[[#This Row],[Manual Cat Value]]="",VLOOKUP(Table2[[#This Row],[Description]],'Actuals Lookup'!D:F,3,0),Table2[[#This Row],[Manual Cat Value]])</f>
        <v>Amazon</v>
      </c>
      <c r="J2294" s="2">
        <v>13.95</v>
      </c>
      <c r="K2294" s="2" t="b">
        <v>0</v>
      </c>
      <c r="L2294" s="2"/>
      <c r="M2294" s="2"/>
      <c r="N2294" s="4" t="s">
        <v>2259</v>
      </c>
      <c r="O2294" s="4" t="str">
        <f>LEFT(Table2[[#This Row],[Description]],75)</f>
        <v>Amazon</v>
      </c>
      <c r="P2294" s="2" t="s">
        <v>2260</v>
      </c>
    </row>
    <row r="2295" spans="1:16" hidden="1">
      <c r="A2295" s="2">
        <v>202003</v>
      </c>
      <c r="B2295" s="3">
        <v>43916</v>
      </c>
      <c r="C2295" s="2" t="s">
        <v>2258</v>
      </c>
      <c r="D2295" s="2" t="s">
        <v>38</v>
      </c>
      <c r="E2295" s="2">
        <v>17.13</v>
      </c>
      <c r="F2295" s="2" t="str">
        <f>IF(Table2[[#This Row],[Manual Cat Value]]="",VLOOKUP(Table2[[#This Row],[Description]],'Actuals Lookup'!D:F,3,0),Table2[[#This Row],[Manual Cat Value]])</f>
        <v>Amazon</v>
      </c>
      <c r="J2295" s="2">
        <v>17.13</v>
      </c>
      <c r="K2295" s="2" t="b">
        <v>0</v>
      </c>
      <c r="L2295" s="2"/>
      <c r="M2295" s="2"/>
      <c r="N2295" s="4" t="s">
        <v>2259</v>
      </c>
      <c r="O2295" s="4" t="str">
        <f>LEFT(Table2[[#This Row],[Description]],75)</f>
        <v>Amazon</v>
      </c>
      <c r="P2295" s="2" t="s">
        <v>2260</v>
      </c>
    </row>
    <row r="2296" spans="1:16" hidden="1">
      <c r="A2296" s="2">
        <v>202003</v>
      </c>
      <c r="B2296" s="3">
        <v>43916</v>
      </c>
      <c r="C2296" s="2" t="s">
        <v>2265</v>
      </c>
      <c r="D2296" s="2" t="s">
        <v>637</v>
      </c>
      <c r="E2296" s="2">
        <v>-2199.27</v>
      </c>
      <c r="F2296" s="2" t="e">
        <f>IF(Table2[[#This Row],[Manual Cat Value]]="",VLOOKUP(Table2[[#This Row],[Description]],'Actuals Lookup'!D:F,3,0),Table2[[#This Row],[Manual Cat Value]])</f>
        <v>#N/A</v>
      </c>
      <c r="J2296" s="2">
        <v>2199.27</v>
      </c>
      <c r="K2296" s="2" t="b">
        <v>0</v>
      </c>
      <c r="L2296" s="2"/>
      <c r="M2296" s="2"/>
      <c r="N2296" s="4" t="s">
        <v>2273</v>
      </c>
      <c r="O2296" s="4" t="str">
        <f>LEFT(Table2[[#This Row],[Description]],75)</f>
        <v>Connectyourcare Type Svbclaims</v>
      </c>
      <c r="P2296" s="2" t="s">
        <v>2281</v>
      </c>
    </row>
    <row r="2297" spans="1:16" hidden="1">
      <c r="A2297" s="2">
        <v>202003</v>
      </c>
      <c r="B2297" s="3">
        <v>43916</v>
      </c>
      <c r="C2297" s="2" t="s">
        <v>2317</v>
      </c>
      <c r="D2297" s="2" t="s">
        <v>913</v>
      </c>
      <c r="E2297" s="2">
        <v>0.05</v>
      </c>
      <c r="F2297" s="2" t="e">
        <f>IF(Table2[[#This Row],[Manual Cat Value]]="",VLOOKUP(Table2[[#This Row],[Description]],'Actuals Lookup'!D:F,3,0),Table2[[#This Row],[Manual Cat Value]])</f>
        <v>#N/A</v>
      </c>
      <c r="J2297" s="2">
        <v>0.05</v>
      </c>
      <c r="K2297" s="2" t="b">
        <v>0</v>
      </c>
      <c r="L2297" s="2"/>
      <c r="M2297" s="2"/>
      <c r="N2297" s="4" t="s">
        <v>2259</v>
      </c>
      <c r="O2297" s="4" t="str">
        <f>LEFT(Table2[[#This Row],[Description]],75)</f>
        <v>HALLIBURTON CO HLDG</v>
      </c>
      <c r="P2297" s="2" t="s">
        <v>2433</v>
      </c>
    </row>
    <row r="2298" spans="1:16" hidden="1">
      <c r="A2298" s="2">
        <v>202003</v>
      </c>
      <c r="B2298" s="3">
        <v>43916</v>
      </c>
      <c r="C2298" s="2" t="s">
        <v>2262</v>
      </c>
      <c r="D2298" s="2" t="s">
        <v>947</v>
      </c>
      <c r="E2298" s="2">
        <v>314.61</v>
      </c>
      <c r="F2298" s="2" t="e">
        <f>IF(Table2[[#This Row],[Manual Cat Value]]="",VLOOKUP(Table2[[#This Row],[Description]],'Actuals Lookup'!D:F,3,0),Table2[[#This Row],[Manual Cat Value]])</f>
        <v>#N/A</v>
      </c>
      <c r="J2298" s="2">
        <v>314.61</v>
      </c>
      <c r="K2298" s="2" t="b">
        <v>0</v>
      </c>
      <c r="L2298" s="2"/>
      <c r="M2298" s="2"/>
      <c r="N2298" s="4" t="s">
        <v>2259</v>
      </c>
      <c r="O2298" s="4" t="str">
        <f>LEFT(Table2[[#This Row],[Description]],75)</f>
        <v>Home Depot</v>
      </c>
      <c r="P2298" s="2" t="s">
        <v>2396</v>
      </c>
    </row>
    <row r="2299" spans="1:16" hidden="1">
      <c r="A2299" s="2">
        <v>202003</v>
      </c>
      <c r="B2299" s="3">
        <v>43916</v>
      </c>
      <c r="C2299" s="2" t="s">
        <v>2447</v>
      </c>
      <c r="D2299" s="2" t="s">
        <v>1350</v>
      </c>
      <c r="E2299" s="2">
        <v>12.99</v>
      </c>
      <c r="F2299" s="2" t="str">
        <f>IF(Table2[[#This Row],[Manual Cat Value]]="",VLOOKUP(Table2[[#This Row],[Description]],'Actuals Lookup'!D:F,3,0),Table2[[#This Row],[Manual Cat Value]])</f>
        <v>Utilities</v>
      </c>
      <c r="J2299" s="2">
        <v>12.99</v>
      </c>
      <c r="K2299" s="2" t="b">
        <v>0</v>
      </c>
      <c r="L2299" s="2"/>
      <c r="M2299" s="2"/>
      <c r="N2299" s="4" t="s">
        <v>2259</v>
      </c>
      <c r="O2299" s="4" t="str">
        <f>LEFT(Table2[[#This Row],[Description]],75)</f>
        <v>Netflix</v>
      </c>
      <c r="P2299" s="2" t="s">
        <v>2306</v>
      </c>
    </row>
    <row r="2300" spans="1:16" hidden="1">
      <c r="A2300" s="2">
        <v>202003</v>
      </c>
      <c r="B2300" s="3">
        <v>43916</v>
      </c>
      <c r="C2300" s="2" t="s">
        <v>2258</v>
      </c>
      <c r="D2300" s="2" t="s">
        <v>1350</v>
      </c>
      <c r="E2300" s="2">
        <v>12.99</v>
      </c>
      <c r="F2300" s="2" t="str">
        <f>IF(Table2[[#This Row],[Manual Cat Value]]="",VLOOKUP(Table2[[#This Row],[Description]],'Actuals Lookup'!D:F,3,0),Table2[[#This Row],[Manual Cat Value]])</f>
        <v>Utilities</v>
      </c>
      <c r="J2300" s="2">
        <v>12.99</v>
      </c>
      <c r="K2300" s="2" t="b">
        <v>0</v>
      </c>
      <c r="L2300" s="2"/>
      <c r="M2300" s="2"/>
      <c r="N2300" s="4" t="s">
        <v>2259</v>
      </c>
      <c r="O2300" s="4" t="str">
        <f>LEFT(Table2[[#This Row],[Description]],75)</f>
        <v>Netflix</v>
      </c>
      <c r="P2300" s="2" t="s">
        <v>2306</v>
      </c>
    </row>
    <row r="2301" spans="1:16" hidden="1">
      <c r="A2301" s="2">
        <v>202003</v>
      </c>
      <c r="B2301" s="3">
        <v>43916</v>
      </c>
      <c r="C2301" s="2" t="s">
        <v>2262</v>
      </c>
      <c r="D2301" s="2" t="s">
        <v>1588</v>
      </c>
      <c r="E2301" s="2">
        <v>1348.11</v>
      </c>
      <c r="F2301" s="2" t="e">
        <f>IF(Table2[[#This Row],[Manual Cat Value]]="",VLOOKUP(Table2[[#This Row],[Description]],'Actuals Lookup'!D:F,3,0),Table2[[#This Row],[Manual Cat Value]])</f>
        <v>#N/A</v>
      </c>
      <c r="J2301" s="2">
        <v>1348.11</v>
      </c>
      <c r="K2301" s="2" t="b">
        <v>0</v>
      </c>
      <c r="L2301" s="2"/>
      <c r="M2301" s="2"/>
      <c r="N2301" s="4" t="s">
        <v>2259</v>
      </c>
      <c r="O2301" s="4" t="str">
        <f>LEFT(Table2[[#This Row],[Description]],75)</f>
        <v>RIDGEVIEW MEDICAL CNTHOSWACONIA MN 299152943</v>
      </c>
      <c r="P2301" s="2" t="s">
        <v>2281</v>
      </c>
    </row>
    <row r="2302" spans="1:16" hidden="1">
      <c r="A2302" s="2">
        <v>202003</v>
      </c>
      <c r="B2302" s="3">
        <v>43916</v>
      </c>
      <c r="C2302" s="2" t="s">
        <v>2262</v>
      </c>
      <c r="D2302" s="2" t="s">
        <v>1594</v>
      </c>
      <c r="E2302" s="2">
        <v>19.260000000000002</v>
      </c>
      <c r="F2302" s="2" t="e">
        <f>IF(Table2[[#This Row],[Manual Cat Value]]="",VLOOKUP(Table2[[#This Row],[Description]],'Actuals Lookup'!D:F,3,0),Table2[[#This Row],[Manual Cat Value]])</f>
        <v>#N/A</v>
      </c>
      <c r="J2302" s="2">
        <v>19.260000000000002</v>
      </c>
      <c r="K2302" s="2" t="b">
        <v>0</v>
      </c>
      <c r="L2302" s="2"/>
      <c r="M2302" s="2"/>
      <c r="N2302" s="4" t="s">
        <v>2259</v>
      </c>
      <c r="O2302" s="4" t="str">
        <f>LEFT(Table2[[#This Row],[Description]],75)</f>
        <v>RIDGEVIEW MEDICAL CNTRCLWACONIA MN 299152942</v>
      </c>
      <c r="P2302" s="2" t="s">
        <v>2281</v>
      </c>
    </row>
    <row r="2303" spans="1:16" hidden="1">
      <c r="A2303" s="2">
        <v>202003</v>
      </c>
      <c r="B2303" s="3">
        <v>43916</v>
      </c>
      <c r="C2303" s="2" t="s">
        <v>2262</v>
      </c>
      <c r="D2303" s="2" t="s">
        <v>2151</v>
      </c>
      <c r="E2303" s="2">
        <v>3110.25</v>
      </c>
      <c r="F2303" s="2" t="e">
        <f>IF(Table2[[#This Row],[Manual Cat Value]]="",VLOOKUP(Table2[[#This Row],[Description]],'Actuals Lookup'!D:F,3,0),Table2[[#This Row],[Manual Cat Value]])</f>
        <v>#N/A</v>
      </c>
      <c r="J2303" s="2">
        <v>3110.25</v>
      </c>
      <c r="K2303" s="2" t="b">
        <v>0</v>
      </c>
      <c r="L2303" s="2"/>
      <c r="M2303" s="2"/>
      <c r="N2303" s="4" t="s">
        <v>2259</v>
      </c>
      <c r="O2303" s="4" t="str">
        <f>LEFT(Table2[[#This Row],[Description]],75)</f>
        <v>Western Ob Gyne Ltd</v>
      </c>
      <c r="P2303" s="2" t="s">
        <v>2424</v>
      </c>
    </row>
    <row r="2304" spans="1:16" hidden="1">
      <c r="A2304" s="2">
        <v>202003</v>
      </c>
      <c r="B2304" s="3">
        <v>43917</v>
      </c>
      <c r="C2304" s="2" t="s">
        <v>2317</v>
      </c>
      <c r="D2304" s="2" t="s">
        <v>279</v>
      </c>
      <c r="E2304" s="2">
        <v>900.38</v>
      </c>
      <c r="F2304" s="2" t="e">
        <f>IF(Table2[[#This Row],[Manual Cat Value]]="",VLOOKUP(Table2[[#This Row],[Description]],'Actuals Lookup'!D:F,3,0),Table2[[#This Row],[Manual Cat Value]])</f>
        <v>#N/A</v>
      </c>
      <c r="J2304" s="2">
        <v>900.38</v>
      </c>
      <c r="K2304" s="2" t="b">
        <v>0</v>
      </c>
      <c r="L2304" s="2"/>
      <c r="M2304" s="2"/>
      <c r="N2304" s="4" t="s">
        <v>2259</v>
      </c>
      <c r="O2304" s="4" t="str">
        <f>LEFT(Table2[[#This Row],[Description]],75)</f>
        <v>BERKSHIRE HATHAWAY CLASS B</v>
      </c>
      <c r="P2304" s="2" t="s">
        <v>2385</v>
      </c>
    </row>
    <row r="2305" spans="1:16" hidden="1">
      <c r="A2305" s="2">
        <v>202003</v>
      </c>
      <c r="B2305" s="3">
        <v>43917</v>
      </c>
      <c r="C2305" s="2" t="s">
        <v>2262</v>
      </c>
      <c r="D2305" s="2" t="s">
        <v>1366</v>
      </c>
      <c r="E2305" s="2">
        <v>52.03</v>
      </c>
      <c r="F2305" s="2" t="e">
        <f>IF(Table2[[#This Row],[Manual Cat Value]]="",VLOOKUP(Table2[[#This Row],[Description]],'Actuals Lookup'!D:F,3,0),Table2[[#This Row],[Manual Cat Value]])</f>
        <v>#N/A</v>
      </c>
      <c r="J2305" s="2">
        <v>52.03</v>
      </c>
      <c r="K2305" s="2" t="b">
        <v>0</v>
      </c>
      <c r="L2305" s="2"/>
      <c r="M2305" s="2"/>
      <c r="N2305" s="4" t="s">
        <v>2259</v>
      </c>
      <c r="O2305" s="4" t="str">
        <f>LEFT(Table2[[#This Row],[Description]],75)</f>
        <v>NORTH COOP NORTH COOP STRIPECOM MN 299362794</v>
      </c>
      <c r="P2305" s="2" t="s">
        <v>2474</v>
      </c>
    </row>
    <row r="2306" spans="1:16" hidden="1">
      <c r="A2306" s="2">
        <v>202003</v>
      </c>
      <c r="B2306" s="3">
        <v>43919</v>
      </c>
      <c r="C2306" s="2" t="s">
        <v>2262</v>
      </c>
      <c r="D2306" s="2" t="s">
        <v>947</v>
      </c>
      <c r="E2306" s="2">
        <v>38.1</v>
      </c>
      <c r="F2306" s="2" t="e">
        <f>IF(Table2[[#This Row],[Manual Cat Value]]="",VLOOKUP(Table2[[#This Row],[Description]],'Actuals Lookup'!D:F,3,0),Table2[[#This Row],[Manual Cat Value]])</f>
        <v>#N/A</v>
      </c>
      <c r="J2306" s="2">
        <v>38.1</v>
      </c>
      <c r="K2306" s="2" t="b">
        <v>0</v>
      </c>
      <c r="L2306" s="2"/>
      <c r="M2306" s="2"/>
      <c r="N2306" s="4" t="s">
        <v>2259</v>
      </c>
      <c r="O2306" s="4" t="str">
        <f>LEFT(Table2[[#This Row],[Description]],75)</f>
        <v>Home Depot</v>
      </c>
      <c r="P2306" s="2" t="s">
        <v>2396</v>
      </c>
    </row>
    <row r="2307" spans="1:16" hidden="1">
      <c r="A2307" s="2">
        <v>202003</v>
      </c>
      <c r="B2307" s="3">
        <v>43920</v>
      </c>
      <c r="C2307" s="2" t="s">
        <v>2317</v>
      </c>
      <c r="D2307" s="2" t="s">
        <v>305</v>
      </c>
      <c r="E2307" s="2">
        <v>738.74</v>
      </c>
      <c r="F2307" s="2" t="e">
        <f>IF(Table2[[#This Row],[Manual Cat Value]]="",VLOOKUP(Table2[[#This Row],[Description]],'Actuals Lookup'!D:F,3,0),Table2[[#This Row],[Manual Cat Value]])</f>
        <v>#N/A</v>
      </c>
      <c r="J2307" s="2">
        <v>738.74</v>
      </c>
      <c r="K2307" s="2" t="b">
        <v>0</v>
      </c>
      <c r="L2307" s="2"/>
      <c r="M2307" s="2"/>
      <c r="N2307" s="4" t="s">
        <v>2259</v>
      </c>
      <c r="O2307" s="4" t="str">
        <f>LEFT(Table2[[#This Row],[Description]],75)</f>
        <v>BOEING CO</v>
      </c>
      <c r="P2307" s="2" t="s">
        <v>2425</v>
      </c>
    </row>
    <row r="2308" spans="1:16" hidden="1">
      <c r="A2308" s="2">
        <v>202003</v>
      </c>
      <c r="B2308" s="3">
        <v>43920</v>
      </c>
      <c r="C2308" s="2" t="s">
        <v>2265</v>
      </c>
      <c r="D2308" s="2" t="s">
        <v>1056</v>
      </c>
      <c r="E2308" s="2">
        <v>-2688.26</v>
      </c>
      <c r="F2308" s="2" t="e">
        <f>IF(Table2[[#This Row],[Manual Cat Value]]="",VLOOKUP(Table2[[#This Row],[Description]],'Actuals Lookup'!D:F,3,0),Table2[[#This Row],[Manual Cat Value]])</f>
        <v>#N/A</v>
      </c>
      <c r="J2308" s="2">
        <v>2688.26</v>
      </c>
      <c r="K2308" s="2" t="b">
        <v>0</v>
      </c>
      <c r="L2308" s="2"/>
      <c r="M2308" s="2"/>
      <c r="N2308" s="4" t="s">
        <v>2273</v>
      </c>
      <c r="O2308" s="4" t="str">
        <f>LEFT(Table2[[#This Row],[Description]],75)</f>
        <v>KAUFMAN HALL TYPE DIRECT DEP ID CO KAUFMAN HALL ACH ECC PPD ACH Trace 57761</v>
      </c>
      <c r="P2308" s="2" t="s">
        <v>2285</v>
      </c>
    </row>
    <row r="2309" spans="1:16" hidden="1">
      <c r="A2309" s="2">
        <v>202003</v>
      </c>
      <c r="B2309" s="3">
        <v>43920</v>
      </c>
      <c r="C2309" s="2" t="s">
        <v>2265</v>
      </c>
      <c r="D2309" s="2" t="s">
        <v>1471</v>
      </c>
      <c r="E2309" s="2">
        <v>0.99</v>
      </c>
      <c r="F2309" s="2" t="str">
        <f>IF(Table2[[#This Row],[Manual Cat Value]]="",VLOOKUP(Table2[[#This Row],[Description]],'Actuals Lookup'!D:F,3,0),Table2[[#This Row],[Manual Cat Value]])</f>
        <v>Shopping</v>
      </c>
      <c r="J2309" s="2">
        <v>0.99</v>
      </c>
      <c r="K2309" s="2" t="b">
        <v>0</v>
      </c>
      <c r="L2309" s="2"/>
      <c r="M2309" s="2"/>
      <c r="N2309" s="4" t="s">
        <v>2259</v>
      </c>
      <c r="O2309" s="4" t="str">
        <f>LEFT(Table2[[#This Row],[Description]],75)</f>
        <v>PayPal</v>
      </c>
      <c r="P2309" s="2" t="s">
        <v>2322</v>
      </c>
    </row>
    <row r="2310" spans="1:16" hidden="1">
      <c r="A2310" s="2">
        <v>202003</v>
      </c>
      <c r="B2310" s="3">
        <v>43920</v>
      </c>
      <c r="C2310" s="2" t="s">
        <v>2317</v>
      </c>
      <c r="D2310" s="2" t="s">
        <v>1638</v>
      </c>
      <c r="E2310" s="2">
        <v>-15.14</v>
      </c>
      <c r="F2310" s="2" t="e">
        <f>IF(Table2[[#This Row],[Manual Cat Value]]="",VLOOKUP(Table2[[#This Row],[Description]],'Actuals Lookup'!D:F,3,0),Table2[[#This Row],[Manual Cat Value]])</f>
        <v>#N/A</v>
      </c>
      <c r="J2310" s="2">
        <v>15.14</v>
      </c>
      <c r="K2310" s="2" t="b">
        <v>0</v>
      </c>
      <c r="L2310" s="2"/>
      <c r="M2310" s="2"/>
      <c r="N2310" s="4" t="s">
        <v>2273</v>
      </c>
      <c r="O2310" s="4" t="str">
        <f>LEFT(Table2[[#This Row],[Description]],75)</f>
        <v>SCHWAB US SMALL CAP ETF</v>
      </c>
      <c r="P2310" s="2" t="s">
        <v>2351</v>
      </c>
    </row>
    <row r="2311" spans="1:16" hidden="1">
      <c r="A2311" s="2">
        <v>202003</v>
      </c>
      <c r="B2311" s="3">
        <v>43920</v>
      </c>
      <c r="C2311" s="2" t="s">
        <v>2317</v>
      </c>
      <c r="D2311" s="2" t="s">
        <v>1640</v>
      </c>
      <c r="E2311" s="2">
        <v>-7.0000000000000007E-2</v>
      </c>
      <c r="F2311" s="2" t="e">
        <f>IF(Table2[[#This Row],[Manual Cat Value]]="",VLOOKUP(Table2[[#This Row],[Description]],'Actuals Lookup'!D:F,3,0),Table2[[#This Row],[Manual Cat Value]])</f>
        <v>#N/A</v>
      </c>
      <c r="J2311" s="2">
        <v>7.0000000000000007E-2</v>
      </c>
      <c r="K2311" s="2" t="b">
        <v>0</v>
      </c>
      <c r="L2311" s="2"/>
      <c r="M2311" s="2"/>
      <c r="N2311" s="4" t="s">
        <v>2273</v>
      </c>
      <c r="O2311" s="4" t="str">
        <f>LEFT(Table2[[#This Row],[Description]],75)</f>
        <v>SCHWAB1 INT 02/27-03/29</v>
      </c>
      <c r="P2311" s="2" t="s">
        <v>2380</v>
      </c>
    </row>
    <row r="2312" spans="1:16" hidden="1">
      <c r="A2312" s="2">
        <v>202003</v>
      </c>
      <c r="B2312" s="3">
        <v>43921</v>
      </c>
      <c r="C2312" s="2" t="s">
        <v>2262</v>
      </c>
      <c r="D2312" s="2" t="s">
        <v>38</v>
      </c>
      <c r="E2312" s="2">
        <v>8.43</v>
      </c>
      <c r="F2312" s="2" t="str">
        <f>IF(Table2[[#This Row],[Manual Cat Value]]="",VLOOKUP(Table2[[#This Row],[Description]],'Actuals Lookup'!D:F,3,0),Table2[[#This Row],[Manual Cat Value]])</f>
        <v>Amazon</v>
      </c>
      <c r="J2312" s="2">
        <v>8.43</v>
      </c>
      <c r="K2312" s="2" t="b">
        <v>0</v>
      </c>
      <c r="L2312" s="2"/>
      <c r="M2312" s="2"/>
      <c r="N2312" s="4" t="s">
        <v>2259</v>
      </c>
      <c r="O2312" s="4" t="str">
        <f>LEFT(Table2[[#This Row],[Description]],75)</f>
        <v>Amazon</v>
      </c>
      <c r="P2312" s="2" t="s">
        <v>2260</v>
      </c>
    </row>
    <row r="2313" spans="1:16" hidden="1">
      <c r="A2313" s="2">
        <v>202003</v>
      </c>
      <c r="B2313" s="3">
        <v>43921</v>
      </c>
      <c r="C2313" s="2" t="s">
        <v>2310</v>
      </c>
      <c r="D2313" s="2" t="s">
        <v>167</v>
      </c>
      <c r="E2313" s="2">
        <v>-0.03</v>
      </c>
      <c r="F2313" s="2" t="e">
        <f>IF(Table2[[#This Row],[Manual Cat Value]]="",VLOOKUP(Table2[[#This Row],[Description]],'Actuals Lookup'!D:F,3,0),Table2[[#This Row],[Manual Cat Value]])</f>
        <v>#N/A</v>
      </c>
      <c r="J2313" s="2">
        <v>0.03</v>
      </c>
      <c r="K2313" s="2" t="b">
        <v>0</v>
      </c>
      <c r="L2313" s="2"/>
      <c r="M2313" s="2"/>
      <c r="N2313" s="4" t="s">
        <v>2273</v>
      </c>
      <c r="O2313" s="4" t="str">
        <f>LEFT(Table2[[#This Row],[Description]],75)</f>
        <v>Apy Earned</v>
      </c>
      <c r="P2313" s="2" t="s">
        <v>2311</v>
      </c>
    </row>
    <row r="2314" spans="1:16" hidden="1">
      <c r="A2314" s="2">
        <v>202003</v>
      </c>
      <c r="B2314" s="3">
        <v>43921</v>
      </c>
      <c r="C2314" s="2" t="s">
        <v>2447</v>
      </c>
      <c r="D2314" s="2" t="s">
        <v>684</v>
      </c>
      <c r="E2314" s="2">
        <v>248.57</v>
      </c>
      <c r="F2314" s="2" t="str">
        <f>IF(Table2[[#This Row],[Manual Cat Value]]="",VLOOKUP(Table2[[#This Row],[Description]],'Actuals Lookup'!D:F,3,0),Table2[[#This Row],[Manual Cat Value]])</f>
        <v>Groceries</v>
      </c>
      <c r="J2314" s="2">
        <v>248.57</v>
      </c>
      <c r="K2314" s="2" t="b">
        <v>0</v>
      </c>
      <c r="L2314" s="2"/>
      <c r="M2314" s="2"/>
      <c r="N2314" s="4" t="s">
        <v>2259</v>
      </c>
      <c r="O2314" s="4" t="str">
        <f>LEFT(Table2[[#This Row],[Description]],75)</f>
        <v>Cub Foods</v>
      </c>
      <c r="P2314" s="2" t="s">
        <v>2370</v>
      </c>
    </row>
    <row r="2315" spans="1:16" hidden="1">
      <c r="A2315" s="2">
        <v>202003</v>
      </c>
      <c r="B2315" s="3">
        <v>43921</v>
      </c>
      <c r="C2315" s="2" t="s">
        <v>2258</v>
      </c>
      <c r="D2315" s="2" t="s">
        <v>684</v>
      </c>
      <c r="E2315" s="2">
        <v>248.57</v>
      </c>
      <c r="F2315" s="2" t="str">
        <f>IF(Table2[[#This Row],[Manual Cat Value]]="",VLOOKUP(Table2[[#This Row],[Description]],'Actuals Lookup'!D:F,3,0),Table2[[#This Row],[Manual Cat Value]])</f>
        <v>Groceries</v>
      </c>
      <c r="J2315" s="2">
        <v>248.57</v>
      </c>
      <c r="K2315" s="2" t="b">
        <v>0</v>
      </c>
      <c r="L2315" s="2"/>
      <c r="M2315" s="2"/>
      <c r="N2315" s="4" t="s">
        <v>2259</v>
      </c>
      <c r="O2315" s="4" t="str">
        <f>LEFT(Table2[[#This Row],[Description]],75)</f>
        <v>Cub Foods</v>
      </c>
      <c r="P2315" s="2" t="s">
        <v>2370</v>
      </c>
    </row>
    <row r="2316" spans="1:16" hidden="1">
      <c r="A2316" s="2">
        <v>202003</v>
      </c>
      <c r="B2316" s="3">
        <v>43921</v>
      </c>
      <c r="C2316" s="2" t="s">
        <v>2274</v>
      </c>
      <c r="D2316" s="2" t="s">
        <v>994</v>
      </c>
      <c r="E2316" s="2">
        <v>-0.04</v>
      </c>
      <c r="F2316" s="2" t="e">
        <f>IF(Table2[[#This Row],[Manual Cat Value]]="",VLOOKUP(Table2[[#This Row],[Description]],'Actuals Lookup'!D:F,3,0),Table2[[#This Row],[Manual Cat Value]])</f>
        <v>#N/A</v>
      </c>
      <c r="J2316" s="2">
        <v>0.04</v>
      </c>
      <c r="K2316" s="2" t="b">
        <v>0</v>
      </c>
      <c r="L2316" s="2"/>
      <c r="M2316" s="2"/>
      <c r="N2316" s="4" t="s">
        <v>2273</v>
      </c>
      <c r="O2316" s="4" t="str">
        <f>LEFT(Table2[[#This Row],[Description]],75)</f>
        <v>Interest Paid</v>
      </c>
      <c r="P2316" s="2" t="s">
        <v>2312</v>
      </c>
    </row>
    <row r="2317" spans="1:16" hidden="1">
      <c r="A2317" s="2">
        <v>202003</v>
      </c>
      <c r="B2317" s="3">
        <v>43921</v>
      </c>
      <c r="C2317" s="2" t="s">
        <v>2317</v>
      </c>
      <c r="D2317" s="2" t="s">
        <v>1037</v>
      </c>
      <c r="E2317" s="2">
        <v>-250</v>
      </c>
      <c r="F2317" s="2" t="e">
        <f>IF(Table2[[#This Row],[Manual Cat Value]]="",VLOOKUP(Table2[[#This Row],[Description]],'Actuals Lookup'!D:F,3,0),Table2[[#This Row],[Manual Cat Value]])</f>
        <v>#N/A</v>
      </c>
      <c r="J2317" s="2">
        <v>250</v>
      </c>
      <c r="K2317" s="2" t="b">
        <v>0</v>
      </c>
      <c r="L2317" s="2"/>
      <c r="M2317" s="2"/>
      <c r="N2317" s="4" t="s">
        <v>2273</v>
      </c>
      <c r="O2317" s="4" t="str">
        <f>LEFT(Table2[[#This Row],[Description]],75)</f>
        <v>KAUFMAN HALL</v>
      </c>
      <c r="P2317" s="2" t="s">
        <v>2375</v>
      </c>
    </row>
    <row r="2318" spans="1:16" hidden="1">
      <c r="A2318" s="2">
        <v>202003</v>
      </c>
      <c r="B2318" s="3">
        <v>43921</v>
      </c>
      <c r="C2318" s="2" t="s">
        <v>2317</v>
      </c>
      <c r="D2318" s="2" t="s">
        <v>1638</v>
      </c>
      <c r="E2318" s="2">
        <v>15.14</v>
      </c>
      <c r="F2318" s="2" t="e">
        <f>IF(Table2[[#This Row],[Manual Cat Value]]="",VLOOKUP(Table2[[#This Row],[Description]],'Actuals Lookup'!D:F,3,0),Table2[[#This Row],[Manual Cat Value]])</f>
        <v>#N/A</v>
      </c>
      <c r="J2318" s="2">
        <v>15.14</v>
      </c>
      <c r="K2318" s="2" t="b">
        <v>0</v>
      </c>
      <c r="L2318" s="2"/>
      <c r="M2318" s="2"/>
      <c r="N2318" s="4" t="s">
        <v>2259</v>
      </c>
      <c r="O2318" s="4" t="str">
        <f>LEFT(Table2[[#This Row],[Description]],75)</f>
        <v>SCHWAB US SMALL CAP ETF</v>
      </c>
      <c r="P2318" s="2" t="s">
        <v>2351</v>
      </c>
    </row>
    <row r="2319" spans="1:16" hidden="1">
      <c r="A2319" s="2">
        <v>202003</v>
      </c>
      <c r="B2319" s="3">
        <v>43921</v>
      </c>
      <c r="C2319" s="2" t="s">
        <v>2300</v>
      </c>
      <c r="D2319" s="2" t="s">
        <v>1709</v>
      </c>
      <c r="E2319" s="2">
        <v>-19.05</v>
      </c>
      <c r="F2319" s="2" t="e">
        <f>IF(Table2[[#This Row],[Manual Cat Value]]="",VLOOKUP(Table2[[#This Row],[Description]],'Actuals Lookup'!D:F,3,0),Table2[[#This Row],[Manual Cat Value]])</f>
        <v>#N/A</v>
      </c>
      <c r="J2319" s="2">
        <v>19.05</v>
      </c>
      <c r="K2319" s="2" t="b">
        <v>0</v>
      </c>
      <c r="L2319" s="2"/>
      <c r="M2319" s="2"/>
      <c r="N2319" s="4" t="s">
        <v>2273</v>
      </c>
      <c r="O2319" s="4" t="str">
        <f>LEFT(Table2[[#This Row],[Description]],75)</f>
        <v>Split Rate Apy</v>
      </c>
      <c r="P2319" s="2" t="s">
        <v>2313</v>
      </c>
    </row>
    <row r="2320" spans="1:16" hidden="1">
      <c r="A2320" s="2">
        <v>202003</v>
      </c>
      <c r="B2320" s="3">
        <v>43921</v>
      </c>
      <c r="C2320" s="2" t="s">
        <v>2265</v>
      </c>
      <c r="D2320" s="2" t="s">
        <v>1709</v>
      </c>
      <c r="E2320" s="2">
        <v>-37.909999999999997</v>
      </c>
      <c r="F2320" s="2" t="e">
        <f>IF(Table2[[#This Row],[Manual Cat Value]]="",VLOOKUP(Table2[[#This Row],[Description]],'Actuals Lookup'!D:F,3,0),Table2[[#This Row],[Manual Cat Value]])</f>
        <v>#N/A</v>
      </c>
      <c r="J2320" s="2">
        <v>37.909999999999997</v>
      </c>
      <c r="K2320" s="2" t="b">
        <v>0</v>
      </c>
      <c r="L2320" s="2"/>
      <c r="M2320" s="2"/>
      <c r="N2320" s="4" t="s">
        <v>2273</v>
      </c>
      <c r="O2320" s="4" t="str">
        <f>LEFT(Table2[[#This Row],[Description]],75)</f>
        <v>Split Rate Apy</v>
      </c>
      <c r="P2320" s="2" t="s">
        <v>2313</v>
      </c>
    </row>
    <row r="2321" spans="1:16" hidden="1">
      <c r="A2321" s="2">
        <v>202003</v>
      </c>
      <c r="B2321" s="3">
        <v>43921</v>
      </c>
      <c r="C2321" s="2" t="s">
        <v>2435</v>
      </c>
      <c r="D2321" s="2" t="s">
        <v>1837</v>
      </c>
      <c r="E2321" s="2">
        <v>-250</v>
      </c>
      <c r="F2321" s="2" t="e">
        <f>IF(Table2[[#This Row],[Manual Cat Value]]="",VLOOKUP(Table2[[#This Row],[Description]],'Actuals Lookup'!D:F,3,0),Table2[[#This Row],[Manual Cat Value]])</f>
        <v>#N/A</v>
      </c>
      <c r="J2321" s="2">
        <v>250</v>
      </c>
      <c r="K2321" s="2" t="b">
        <v>0</v>
      </c>
      <c r="L2321" s="2"/>
      <c r="M2321" s="2"/>
      <c r="N2321" s="4" t="s">
        <v>2273</v>
      </c>
      <c r="O2321" s="4" t="str">
        <f>LEFT(Table2[[#This Row],[Description]],75)</f>
        <v>Tfr JPMORGAN CHASE BAN, KAUFMAN HALL</v>
      </c>
      <c r="P2321" s="2" t="s">
        <v>2288</v>
      </c>
    </row>
    <row r="2322" spans="1:16" hidden="1">
      <c r="A2322" s="2">
        <v>202004</v>
      </c>
      <c r="B2322" s="3">
        <v>43922</v>
      </c>
      <c r="C2322" s="2" t="s">
        <v>2262</v>
      </c>
      <c r="D2322" s="2" t="s">
        <v>1447</v>
      </c>
      <c r="E2322" s="2">
        <v>-6228.76</v>
      </c>
      <c r="F2322" s="2" t="e">
        <f>IF(Table2[[#This Row],[Manual Cat Value]]="",VLOOKUP(Table2[[#This Row],[Description]],'Actuals Lookup'!D:F,3,0),Table2[[#This Row],[Manual Cat Value]])</f>
        <v>#N/A</v>
      </c>
      <c r="J2322" s="2">
        <v>6228.76</v>
      </c>
      <c r="K2322" s="2" t="b">
        <v>0</v>
      </c>
      <c r="L2322" s="2"/>
      <c r="M2322" s="2"/>
      <c r="N2322" s="4" t="s">
        <v>2273</v>
      </c>
      <c r="O2322" s="4" t="str">
        <f>LEFT(Table2[[#This Row],[Description]],75)</f>
        <v>PAYMENT THANK YOU 301157421</v>
      </c>
      <c r="P2322" s="2" t="s">
        <v>2391</v>
      </c>
    </row>
    <row r="2323" spans="1:16" hidden="1">
      <c r="A2323" s="2">
        <v>202004</v>
      </c>
      <c r="B2323" s="3">
        <v>43922</v>
      </c>
      <c r="C2323" s="2" t="s">
        <v>2265</v>
      </c>
      <c r="D2323" s="2" t="s">
        <v>2192</v>
      </c>
      <c r="E2323" s="2">
        <v>6228.76</v>
      </c>
      <c r="F2323" s="2" t="e">
        <f>IF(Table2[[#This Row],[Manual Cat Value]]="",VLOOKUP(Table2[[#This Row],[Description]],'Actuals Lookup'!D:F,3,0),Table2[[#This Row],[Manual Cat Value]])</f>
        <v>#N/A</v>
      </c>
      <c r="J2323" s="2">
        <v>6228.76</v>
      </c>
      <c r="K2323" s="2" t="b">
        <v>0</v>
      </c>
      <c r="L2323" s="2"/>
      <c r="M2323" s="2"/>
      <c r="N2323" s="4" t="s">
        <v>2259</v>
      </c>
      <c r="O2323" s="4" t="str">
        <f>LEFT(Table2[[#This Row],[Description]],75)</f>
        <v>Withdrawal Home payment to card 979181 300367184</v>
      </c>
      <c r="P2323" s="2" t="s">
        <v>2349</v>
      </c>
    </row>
    <row r="2324" spans="1:16" hidden="1">
      <c r="A2324" s="2">
        <v>202004</v>
      </c>
      <c r="B2324" s="3">
        <v>43922</v>
      </c>
      <c r="C2324" s="2" t="s">
        <v>2262</v>
      </c>
      <c r="D2324" s="2" t="s">
        <v>114</v>
      </c>
      <c r="E2324" s="2">
        <v>4.28</v>
      </c>
      <c r="F2324" s="2" t="str">
        <f>IF(Table2[[#This Row],[Manual Cat Value]]="",VLOOKUP(Table2[[#This Row],[Description]],'Actuals Lookup'!D:F,3,0),Table2[[#This Row],[Manual Cat Value]])</f>
        <v>Entertainment</v>
      </c>
      <c r="J2324" s="2">
        <v>4.28</v>
      </c>
      <c r="K2324" s="2" t="b">
        <v>0</v>
      </c>
      <c r="L2324" s="2"/>
      <c r="M2324" s="2"/>
      <c r="N2324" s="4" t="s">
        <v>2259</v>
      </c>
      <c r="O2324" s="4" t="str">
        <f>LEFT(Table2[[#This Row],[Description]],75)</f>
        <v>Amazon Music</v>
      </c>
      <c r="P2324" s="2" t="s">
        <v>2466</v>
      </c>
    </row>
    <row r="2325" spans="1:16" hidden="1">
      <c r="A2325" s="2">
        <v>202004</v>
      </c>
      <c r="B2325" s="3">
        <v>43922</v>
      </c>
      <c r="C2325" s="2" t="s">
        <v>2265</v>
      </c>
      <c r="D2325" s="2" t="s">
        <v>399</v>
      </c>
      <c r="E2325" s="2">
        <v>-1993.07</v>
      </c>
      <c r="F2325" s="2" t="e">
        <f>IF(Table2[[#This Row],[Manual Cat Value]]="",VLOOKUP(Table2[[#This Row],[Description]],'Actuals Lookup'!D:F,3,0),Table2[[#This Row],[Manual Cat Value]])</f>
        <v>#N/A</v>
      </c>
      <c r="J2325" s="2">
        <v>1993.07</v>
      </c>
      <c r="K2325" s="2" t="b">
        <v>0</v>
      </c>
      <c r="L2325" s="2"/>
      <c r="M2325" s="2"/>
      <c r="N2325" s="4" t="s">
        <v>2273</v>
      </c>
      <c r="O2325" s="4" t="str">
        <f>LEFT(Table2[[#This Row],[Description]],75)</f>
        <v xml:space="preserve">CARGILL COCOA TYPE DIR DEP ID CO CARGILL COCOA ACH ECC PPD ACH Trace 96903 </v>
      </c>
      <c r="P2325" s="2" t="s">
        <v>2284</v>
      </c>
    </row>
    <row r="2326" spans="1:16" hidden="1">
      <c r="A2326" s="2">
        <v>202004</v>
      </c>
      <c r="B2326" s="3">
        <v>43922</v>
      </c>
      <c r="C2326" s="2" t="s">
        <v>2265</v>
      </c>
      <c r="D2326" s="2" t="s">
        <v>576</v>
      </c>
      <c r="E2326" s="2">
        <v>200</v>
      </c>
      <c r="F2326" s="2" t="e">
        <f>IF(Table2[[#This Row],[Manual Cat Value]]="",VLOOKUP(Table2[[#This Row],[Description]],'Actuals Lookup'!D:F,3,0),Table2[[#This Row],[Manual Cat Value]])</f>
        <v>#N/A</v>
      </c>
      <c r="J2326" s="2">
        <v>200</v>
      </c>
      <c r="K2326" s="2" t="b">
        <v>0</v>
      </c>
      <c r="L2326" s="2"/>
      <c r="M2326" s="2"/>
      <c r="N2326" s="4" t="s">
        <v>2259</v>
      </c>
      <c r="O2326" s="4" t="str">
        <f>LEFT(Table2[[#This Row],[Description]],75)</f>
        <v>College Savings TYPE ACH ID 550895818 CO College Savings ACH ECC PPD ACH Tr</v>
      </c>
      <c r="P2326" s="2" t="s">
        <v>2272</v>
      </c>
    </row>
    <row r="2327" spans="1:16" hidden="1">
      <c r="A2327" s="2">
        <v>202004</v>
      </c>
      <c r="B2327" s="3">
        <v>43922</v>
      </c>
      <c r="C2327" s="2" t="s">
        <v>2305</v>
      </c>
      <c r="D2327" s="2" t="s">
        <v>670</v>
      </c>
      <c r="E2327" s="2">
        <v>-164.65</v>
      </c>
      <c r="F2327" s="2" t="e">
        <f>IF(Table2[[#This Row],[Manual Cat Value]]="",VLOOKUP(Table2[[#This Row],[Description]],'Actuals Lookup'!D:F,3,0),Table2[[#This Row],[Manual Cat Value]])</f>
        <v>#N/A</v>
      </c>
      <c r="J2327" s="2">
        <v>164.65</v>
      </c>
      <c r="K2327" s="2" t="b">
        <v>0</v>
      </c>
      <c r="L2327" s="2"/>
      <c r="M2327" s="2"/>
      <c r="N2327" s="4" t="s">
        <v>2273</v>
      </c>
      <c r="O2327" s="4" t="str">
        <f>LEFT(Table2[[#This Row],[Description]],75)</f>
        <v>Cred Rebate</v>
      </c>
      <c r="P2327" s="2" t="s">
        <v>2443</v>
      </c>
    </row>
    <row r="2328" spans="1:16" hidden="1">
      <c r="A2328" s="2">
        <v>202004</v>
      </c>
      <c r="B2328" s="3">
        <v>43922</v>
      </c>
      <c r="C2328" s="2" t="s">
        <v>2314</v>
      </c>
      <c r="D2328" s="2" t="s">
        <v>868</v>
      </c>
      <c r="E2328" s="2">
        <v>-568.98</v>
      </c>
      <c r="F2328" s="2" t="e">
        <f>IF(Table2[[#This Row],[Manual Cat Value]]="",VLOOKUP(Table2[[#This Row],[Description]],'Actuals Lookup'!D:F,3,0),Table2[[#This Row],[Manual Cat Value]])</f>
        <v>#N/A</v>
      </c>
      <c r="J2328" s="2">
        <v>568.98</v>
      </c>
      <c r="K2328" s="2" t="b">
        <v>0</v>
      </c>
      <c r="L2328" s="2"/>
      <c r="M2328" s="2"/>
      <c r="N2328" s="4" t="s">
        <v>2273</v>
      </c>
      <c r="O2328" s="4" t="str">
        <f>LEFT(Table2[[#This Row],[Description]],75)</f>
        <v>From Share 70 300366731</v>
      </c>
      <c r="P2328" s="2" t="s">
        <v>2281</v>
      </c>
    </row>
    <row r="2329" spans="1:16" hidden="1">
      <c r="A2329" s="2">
        <v>202004</v>
      </c>
      <c r="B2329" s="3">
        <v>43922</v>
      </c>
      <c r="C2329" s="2" t="s">
        <v>2265</v>
      </c>
      <c r="D2329" s="2" t="s">
        <v>1244</v>
      </c>
      <c r="E2329" s="2">
        <v>78.75</v>
      </c>
      <c r="F2329" s="2" t="e">
        <f>IF(Table2[[#This Row],[Manual Cat Value]]="",VLOOKUP(Table2[[#This Row],[Description]],'Actuals Lookup'!D:F,3,0),Table2[[#This Row],[Manual Cat Value]])</f>
        <v>#N/A</v>
      </c>
      <c r="J2329" s="2">
        <v>78.75</v>
      </c>
      <c r="K2329" s="2" t="b">
        <v>0</v>
      </c>
      <c r="L2329" s="2"/>
      <c r="M2329" s="2"/>
      <c r="N2329" s="4" t="s">
        <v>2259</v>
      </c>
      <c r="O2329" s="4" t="str">
        <f>LEFT(Table2[[#This Row],[Description]],75)</f>
        <v>MHCHILDCARELLC TYPE DUES ID CO MHCHILDCARELLC ACH ECC PPD ACH Trace 97179 3</v>
      </c>
      <c r="P2329" s="2" t="s">
        <v>2475</v>
      </c>
    </row>
    <row r="2330" spans="1:16" hidden="1">
      <c r="A2330" s="2">
        <v>202004</v>
      </c>
      <c r="B2330" s="3">
        <v>43922</v>
      </c>
      <c r="C2330" s="2" t="s">
        <v>2265</v>
      </c>
      <c r="D2330" s="2" t="s">
        <v>1886</v>
      </c>
      <c r="E2330" s="2">
        <v>618.65</v>
      </c>
      <c r="F2330" s="2" t="e">
        <f>IF(Table2[[#This Row],[Manual Cat Value]]="",VLOOKUP(Table2[[#This Row],[Description]],'Actuals Lookup'!D:F,3,0),Table2[[#This Row],[Manual Cat Value]])</f>
        <v>#N/A</v>
      </c>
      <c r="J2330" s="2">
        <v>618.65</v>
      </c>
      <c r="K2330" s="2" t="b">
        <v>0</v>
      </c>
      <c r="L2330" s="2"/>
      <c r="M2330" s="2"/>
      <c r="N2330" s="4" t="s">
        <v>2259</v>
      </c>
      <c r="O2330" s="4" t="str">
        <f>LEFT(Table2[[#This Row],[Description]],75)</f>
        <v>To Loan 02 300319717</v>
      </c>
      <c r="P2330" s="2" t="s">
        <v>2316</v>
      </c>
    </row>
    <row r="2331" spans="1:16" hidden="1">
      <c r="A2331" s="2">
        <v>202004</v>
      </c>
      <c r="B2331" s="3">
        <v>43922</v>
      </c>
      <c r="C2331" s="2" t="s">
        <v>2265</v>
      </c>
      <c r="D2331" s="2" t="s">
        <v>2109</v>
      </c>
      <c r="E2331" s="2">
        <v>6</v>
      </c>
      <c r="F2331" s="2" t="str">
        <f>IF(Table2[[#This Row],[Manual Cat Value]]="",VLOOKUP(Table2[[#This Row],[Description]],'Actuals Lookup'!D:F,3,0),Table2[[#This Row],[Manual Cat Value]])</f>
        <v>Shopping</v>
      </c>
      <c r="J2331" s="2">
        <v>6</v>
      </c>
      <c r="K2331" s="2" t="b">
        <v>0</v>
      </c>
      <c r="L2331" s="2"/>
      <c r="M2331" s="2"/>
      <c r="N2331" s="4" t="s">
        <v>2259</v>
      </c>
      <c r="O2331" s="4" t="str">
        <f>LEFT(Table2[[#This Row],[Description]],75)</f>
        <v>Venmo</v>
      </c>
      <c r="P2331" s="2" t="s">
        <v>2281</v>
      </c>
    </row>
    <row r="2332" spans="1:16" hidden="1">
      <c r="A2332" s="2">
        <v>202004</v>
      </c>
      <c r="B2332" s="3">
        <v>43922</v>
      </c>
      <c r="C2332" s="2" t="s">
        <v>2274</v>
      </c>
      <c r="D2332" s="2" t="s">
        <v>2110</v>
      </c>
      <c r="E2332" s="2">
        <v>-62</v>
      </c>
      <c r="F2332" s="2" t="e">
        <f>IF(Table2[[#This Row],[Manual Cat Value]]="",VLOOKUP(Table2[[#This Row],[Description]],'Actuals Lookup'!D:F,3,0),Table2[[#This Row],[Manual Cat Value]])</f>
        <v>#N/A</v>
      </c>
      <c r="J2332" s="2">
        <v>62</v>
      </c>
      <c r="K2332" s="2" t="b">
        <v>0</v>
      </c>
      <c r="L2332" s="2"/>
      <c r="M2332" s="2"/>
      <c r="N2332" s="4" t="s">
        <v>2273</v>
      </c>
      <c r="O2332" s="4" t="str">
        <f>LEFT(Table2[[#This Row],[Description]],75)</f>
        <v>Venmo Cashout</v>
      </c>
      <c r="P2332" s="2" t="s">
        <v>2281</v>
      </c>
    </row>
    <row r="2333" spans="1:16" hidden="1">
      <c r="A2333" s="2">
        <v>202004</v>
      </c>
      <c r="B2333" s="3">
        <v>43923</v>
      </c>
      <c r="C2333" s="2" t="s">
        <v>2447</v>
      </c>
      <c r="D2333" s="2" t="s">
        <v>38</v>
      </c>
      <c r="E2333" s="2">
        <v>37.57</v>
      </c>
      <c r="F2333" s="2" t="str">
        <f>IF(Table2[[#This Row],[Manual Cat Value]]="",VLOOKUP(Table2[[#This Row],[Description]],'Actuals Lookup'!D:F,3,0),Table2[[#This Row],[Manual Cat Value]])</f>
        <v>Amazon</v>
      </c>
      <c r="J2333" s="2">
        <v>37.57</v>
      </c>
      <c r="K2333" s="2" t="b">
        <v>0</v>
      </c>
      <c r="L2333" s="2"/>
      <c r="M2333" s="2"/>
      <c r="N2333" s="4" t="s">
        <v>2259</v>
      </c>
      <c r="O2333" s="4" t="str">
        <f>LEFT(Table2[[#This Row],[Description]],75)</f>
        <v>Amazon</v>
      </c>
      <c r="P2333" s="2" t="s">
        <v>2260</v>
      </c>
    </row>
    <row r="2334" spans="1:16" hidden="1">
      <c r="A2334" s="2">
        <v>202004</v>
      </c>
      <c r="B2334" s="3">
        <v>43923</v>
      </c>
      <c r="C2334" s="2" t="s">
        <v>2258</v>
      </c>
      <c r="D2334" s="2" t="s">
        <v>38</v>
      </c>
      <c r="E2334" s="2">
        <v>37.57</v>
      </c>
      <c r="F2334" s="2" t="str">
        <f>IF(Table2[[#This Row],[Manual Cat Value]]="",VLOOKUP(Table2[[#This Row],[Description]],'Actuals Lookup'!D:F,3,0),Table2[[#This Row],[Manual Cat Value]])</f>
        <v>Amazon</v>
      </c>
      <c r="J2334" s="2">
        <v>37.57</v>
      </c>
      <c r="K2334" s="2" t="b">
        <v>0</v>
      </c>
      <c r="L2334" s="2"/>
      <c r="M2334" s="2"/>
      <c r="N2334" s="4" t="s">
        <v>2259</v>
      </c>
      <c r="O2334" s="4" t="str">
        <f>LEFT(Table2[[#This Row],[Description]],75)</f>
        <v>Amazon</v>
      </c>
      <c r="P2334" s="2" t="s">
        <v>2260</v>
      </c>
    </row>
    <row r="2335" spans="1:16" hidden="1">
      <c r="A2335" s="2">
        <v>202004</v>
      </c>
      <c r="B2335" s="3">
        <v>43923</v>
      </c>
      <c r="C2335" s="2" t="s">
        <v>2262</v>
      </c>
      <c r="D2335" s="2" t="s">
        <v>1254</v>
      </c>
      <c r="E2335" s="2">
        <v>18</v>
      </c>
      <c r="F2335" s="2" t="e">
        <f>IF(Table2[[#This Row],[Manual Cat Value]]="",VLOOKUP(Table2[[#This Row],[Description]],'Actuals Lookup'!D:F,3,0),Table2[[#This Row],[Manual Cat Value]])</f>
        <v>#N/A</v>
      </c>
      <c r="J2335" s="2">
        <v>18</v>
      </c>
      <c r="K2335" s="2" t="b">
        <v>0</v>
      </c>
      <c r="L2335" s="2"/>
      <c r="M2335" s="2"/>
      <c r="N2335" s="4" t="s">
        <v>2259</v>
      </c>
      <c r="O2335" s="4" t="str">
        <f>LEFT(Table2[[#This Row],[Description]],75)</f>
        <v>Milios Sandwiches</v>
      </c>
      <c r="P2335" s="2" t="s">
        <v>2476</v>
      </c>
    </row>
    <row r="2336" spans="1:16" hidden="1">
      <c r="A2336" s="2">
        <v>202004</v>
      </c>
      <c r="B2336" s="3">
        <v>43924</v>
      </c>
      <c r="C2336" s="2" t="s">
        <v>2317</v>
      </c>
      <c r="D2336" s="2" t="s">
        <v>354</v>
      </c>
      <c r="E2336" s="2">
        <v>-200</v>
      </c>
      <c r="F2336" s="2" t="e">
        <f>IF(Table2[[#This Row],[Manual Cat Value]]="",VLOOKUP(Table2[[#This Row],[Description]],'Actuals Lookup'!D:F,3,0),Table2[[#This Row],[Manual Cat Value]])</f>
        <v>#N/A</v>
      </c>
      <c r="J2336" s="2">
        <v>200</v>
      </c>
      <c r="K2336" s="2" t="b">
        <v>0</v>
      </c>
      <c r="L2336" s="2"/>
      <c r="M2336" s="2"/>
      <c r="N2336" s="4" t="s">
        <v>2273</v>
      </c>
      <c r="O2336" s="4" t="str">
        <f>LEFT(Table2[[#This Row],[Description]],75)</f>
        <v>CARGILL COCOA &amp;</v>
      </c>
      <c r="P2336" s="2" t="s">
        <v>2354</v>
      </c>
    </row>
    <row r="2337" spans="1:16" hidden="1">
      <c r="A2337" s="2">
        <v>202004</v>
      </c>
      <c r="B2337" s="3">
        <v>43924</v>
      </c>
      <c r="C2337" s="2" t="s">
        <v>2460</v>
      </c>
      <c r="D2337" s="2" t="s">
        <v>354</v>
      </c>
      <c r="E2337" s="2">
        <v>-200</v>
      </c>
      <c r="F2337" s="2" t="e">
        <f>IF(Table2[[#This Row],[Manual Cat Value]]="",VLOOKUP(Table2[[#This Row],[Description]],'Actuals Lookup'!D:F,3,0),Table2[[#This Row],[Manual Cat Value]])</f>
        <v>#N/A</v>
      </c>
      <c r="J2337" s="2">
        <v>200</v>
      </c>
      <c r="K2337" s="2" t="b">
        <v>0</v>
      </c>
      <c r="L2337" s="2"/>
      <c r="M2337" s="2"/>
      <c r="N2337" s="4" t="s">
        <v>2273</v>
      </c>
      <c r="O2337" s="4" t="str">
        <f>LEFT(Table2[[#This Row],[Description]],75)</f>
        <v>CARGILL COCOA &amp;</v>
      </c>
      <c r="P2337" s="2" t="s">
        <v>2354</v>
      </c>
    </row>
    <row r="2338" spans="1:16" hidden="1">
      <c r="A2338" s="2">
        <v>202004</v>
      </c>
      <c r="B2338" s="3">
        <v>43924</v>
      </c>
      <c r="C2338" s="2" t="s">
        <v>2338</v>
      </c>
      <c r="D2338" s="2" t="s">
        <v>1820</v>
      </c>
      <c r="E2338" s="2">
        <v>-732.69</v>
      </c>
      <c r="F2338" s="2" t="e">
        <f>IF(Table2[[#This Row],[Manual Cat Value]]="",VLOOKUP(Table2[[#This Row],[Description]],'Actuals Lookup'!D:F,3,0),Table2[[#This Row],[Manual Cat Value]])</f>
        <v>#N/A</v>
      </c>
      <c r="J2338" s="2">
        <v>732.69</v>
      </c>
      <c r="K2338" s="2" t="b">
        <v>0</v>
      </c>
      <c r="L2338" s="2"/>
      <c r="M2338" s="2"/>
      <c r="N2338" s="4" t="s">
        <v>2273</v>
      </c>
      <c r="O2338" s="4" t="str">
        <f>LEFT(Table2[[#This Row],[Description]],75)</f>
        <v>Target Retire 2055 Tr P - Plan Contribution</v>
      </c>
      <c r="P2338" s="2" t="s">
        <v>2386</v>
      </c>
    </row>
    <row r="2339" spans="1:16" hidden="1">
      <c r="A2339" s="2">
        <v>202004</v>
      </c>
      <c r="B2339" s="3">
        <v>43924</v>
      </c>
      <c r="C2339" s="2" t="s">
        <v>2434</v>
      </c>
      <c r="D2339" s="2" t="s">
        <v>1834</v>
      </c>
      <c r="E2339" s="2">
        <v>-231</v>
      </c>
      <c r="F2339" s="2" t="e">
        <f>IF(Table2[[#This Row],[Manual Cat Value]]="",VLOOKUP(Table2[[#This Row],[Description]],'Actuals Lookup'!D:F,3,0),Table2[[#This Row],[Manual Cat Value]])</f>
        <v>#N/A</v>
      </c>
      <c r="J2339" s="2">
        <v>231</v>
      </c>
      <c r="K2339" s="2" t="b">
        <v>0</v>
      </c>
      <c r="L2339" s="2"/>
      <c r="M2339" s="2"/>
      <c r="N2339" s="4" t="s">
        <v>2273</v>
      </c>
      <c r="O2339" s="4" t="str">
        <f>LEFT(Table2[[#This Row],[Description]],75)</f>
        <v>Tfr JPMORGAN CHASE BAN, CARGILL COCOA &amp;</v>
      </c>
      <c r="P2339" s="2" t="s">
        <v>2356</v>
      </c>
    </row>
    <row r="2340" spans="1:16" hidden="1">
      <c r="A2340" s="2">
        <v>202004</v>
      </c>
      <c r="B2340" s="3">
        <v>43926</v>
      </c>
      <c r="C2340" s="2" t="s">
        <v>2262</v>
      </c>
      <c r="D2340" s="2" t="s">
        <v>38</v>
      </c>
      <c r="E2340" s="2">
        <v>10.73</v>
      </c>
      <c r="F2340" s="2" t="str">
        <f>IF(Table2[[#This Row],[Manual Cat Value]]="",VLOOKUP(Table2[[#This Row],[Description]],'Actuals Lookup'!D:F,3,0),Table2[[#This Row],[Manual Cat Value]])</f>
        <v>Amazon</v>
      </c>
      <c r="J2340" s="2">
        <v>10.73</v>
      </c>
      <c r="K2340" s="2" t="b">
        <v>0</v>
      </c>
      <c r="L2340" s="2"/>
      <c r="M2340" s="2"/>
      <c r="N2340" s="4" t="s">
        <v>2259</v>
      </c>
      <c r="O2340" s="4" t="str">
        <f>LEFT(Table2[[#This Row],[Description]],75)</f>
        <v>Amazon</v>
      </c>
      <c r="P2340" s="2" t="s">
        <v>2260</v>
      </c>
    </row>
    <row r="2341" spans="1:16" hidden="1">
      <c r="A2341" s="2">
        <v>202004</v>
      </c>
      <c r="B2341" s="3">
        <v>43926</v>
      </c>
      <c r="C2341" s="2" t="s">
        <v>2262</v>
      </c>
      <c r="D2341" s="2" t="s">
        <v>38</v>
      </c>
      <c r="E2341" s="2">
        <v>14.94</v>
      </c>
      <c r="F2341" s="2" t="str">
        <f>IF(Table2[[#This Row],[Manual Cat Value]]="",VLOOKUP(Table2[[#This Row],[Description]],'Actuals Lookup'!D:F,3,0),Table2[[#This Row],[Manual Cat Value]])</f>
        <v>Amazon</v>
      </c>
      <c r="J2341" s="2">
        <v>14.94</v>
      </c>
      <c r="K2341" s="2" t="b">
        <v>0</v>
      </c>
      <c r="L2341" s="2"/>
      <c r="M2341" s="2"/>
      <c r="N2341" s="4" t="s">
        <v>2259</v>
      </c>
      <c r="O2341" s="4" t="str">
        <f>LEFT(Table2[[#This Row],[Description]],75)</f>
        <v>Amazon</v>
      </c>
      <c r="P2341" s="2" t="s">
        <v>2260</v>
      </c>
    </row>
    <row r="2342" spans="1:16" hidden="1">
      <c r="A2342" s="2">
        <v>202005</v>
      </c>
      <c r="B2342" s="3">
        <v>43955</v>
      </c>
      <c r="C2342" s="2" t="s">
        <v>2265</v>
      </c>
      <c r="D2342" s="2" t="s">
        <v>269</v>
      </c>
      <c r="E2342" s="2">
        <v>2914.59</v>
      </c>
      <c r="F2342" s="2" t="e">
        <f>IF(Table2[[#This Row],[Manual Cat Value]]="",VLOOKUP(Table2[[#This Row],[Description]],'Actuals Lookup'!D:F,3,0),Table2[[#This Row],[Manual Cat Value]])</f>
        <v>#N/A</v>
      </c>
      <c r="J2342" s="2">
        <v>2914.59</v>
      </c>
      <c r="K2342" s="2" t="b">
        <v>0</v>
      </c>
      <c r="L2342" s="2"/>
      <c r="M2342" s="2"/>
      <c r="N2342" s="4" t="s">
        <v>2259</v>
      </c>
      <c r="O2342" s="4" t="str">
        <f>LEFT(Table2[[#This Row],[Description]],75)</f>
        <v>BCU MORTGAGE TYPE LOAN PAYMT ID 9DRAFTING CO BCU MORTGAGE ACH ECC WEB ACH T</v>
      </c>
      <c r="P2342" s="2" t="s">
        <v>2345</v>
      </c>
    </row>
    <row r="2343" spans="1:16" hidden="1">
      <c r="A2343" s="2">
        <v>202004</v>
      </c>
      <c r="B2343" s="3">
        <v>43927</v>
      </c>
      <c r="C2343" s="2" t="s">
        <v>2258</v>
      </c>
      <c r="D2343" s="2" t="s">
        <v>38</v>
      </c>
      <c r="E2343" s="2">
        <v>5.87</v>
      </c>
      <c r="F2343" s="2" t="str">
        <f>IF(Table2[[#This Row],[Manual Cat Value]]="",VLOOKUP(Table2[[#This Row],[Description]],'Actuals Lookup'!D:F,3,0),Table2[[#This Row],[Manual Cat Value]])</f>
        <v>Amazon</v>
      </c>
      <c r="J2343" s="2">
        <v>5.87</v>
      </c>
      <c r="K2343" s="2" t="b">
        <v>0</v>
      </c>
      <c r="L2343" s="2"/>
      <c r="M2343" s="2"/>
      <c r="N2343" s="4" t="s">
        <v>2259</v>
      </c>
      <c r="O2343" s="4" t="str">
        <f>LEFT(Table2[[#This Row],[Description]],75)</f>
        <v>Amazon</v>
      </c>
      <c r="P2343" s="2" t="s">
        <v>2260</v>
      </c>
    </row>
    <row r="2344" spans="1:16" hidden="1">
      <c r="A2344" s="2">
        <v>202004</v>
      </c>
      <c r="B2344" s="3">
        <v>43927</v>
      </c>
      <c r="C2344" s="2" t="s">
        <v>2270</v>
      </c>
      <c r="D2344" s="2" t="s">
        <v>672</v>
      </c>
      <c r="E2344" s="2">
        <v>-550.96</v>
      </c>
      <c r="F2344" s="2" t="e">
        <f>IF(Table2[[#This Row],[Manual Cat Value]]="",VLOOKUP(Table2[[#This Row],[Description]],'Actuals Lookup'!D:F,3,0),Table2[[#This Row],[Manual Cat Value]])</f>
        <v>#N/A</v>
      </c>
      <c r="J2344" s="2">
        <v>550.96</v>
      </c>
      <c r="K2344" s="2" t="b">
        <v>0</v>
      </c>
      <c r="L2344" s="2"/>
      <c r="M2344" s="2"/>
      <c r="N2344" s="4" t="s">
        <v>2273</v>
      </c>
      <c r="O2344" s="4" t="str">
        <f>LEFT(Table2[[#This Row],[Description]],75)</f>
        <v>CREDIT 301988969</v>
      </c>
      <c r="P2344" s="2" t="s">
        <v>2281</v>
      </c>
    </row>
    <row r="2345" spans="1:16" hidden="1">
      <c r="A2345" s="2">
        <v>202004</v>
      </c>
      <c r="B2345" s="3">
        <v>43927</v>
      </c>
      <c r="C2345" s="2" t="s">
        <v>2317</v>
      </c>
      <c r="D2345" s="2" t="s">
        <v>1553</v>
      </c>
      <c r="E2345" s="2">
        <v>-10.56</v>
      </c>
      <c r="F2345" s="2" t="e">
        <f>IF(Table2[[#This Row],[Manual Cat Value]]="",VLOOKUP(Table2[[#This Row],[Description]],'Actuals Lookup'!D:F,3,0),Table2[[#This Row],[Manual Cat Value]])</f>
        <v>#N/A</v>
      </c>
      <c r="J2345" s="2">
        <v>10.56</v>
      </c>
      <c r="K2345" s="2" t="b">
        <v>0</v>
      </c>
      <c r="L2345" s="2"/>
      <c r="M2345" s="2"/>
      <c r="N2345" s="4" t="s">
        <v>2273</v>
      </c>
      <c r="O2345" s="4" t="str">
        <f>LEFT(Table2[[#This Row],[Description]],75)</f>
        <v>RAYTHEON TECHNOLOGIES CO</v>
      </c>
      <c r="P2345" s="2" t="s">
        <v>2385</v>
      </c>
    </row>
    <row r="2346" spans="1:16" hidden="1">
      <c r="A2346" s="2">
        <v>202004</v>
      </c>
      <c r="B2346" s="3">
        <v>43927</v>
      </c>
      <c r="C2346" s="2" t="s">
        <v>2460</v>
      </c>
      <c r="D2346" s="2" t="s">
        <v>1553</v>
      </c>
      <c r="E2346" s="2">
        <v>-10.56</v>
      </c>
      <c r="F2346" s="2" t="e">
        <f>IF(Table2[[#This Row],[Manual Cat Value]]="",VLOOKUP(Table2[[#This Row],[Description]],'Actuals Lookup'!D:F,3,0),Table2[[#This Row],[Manual Cat Value]])</f>
        <v>#N/A</v>
      </c>
      <c r="J2346" s="2">
        <v>10.56</v>
      </c>
      <c r="K2346" s="2" t="b">
        <v>0</v>
      </c>
      <c r="L2346" s="2"/>
      <c r="M2346" s="2"/>
      <c r="N2346" s="4" t="s">
        <v>2273</v>
      </c>
      <c r="O2346" s="4" t="str">
        <f>LEFT(Table2[[#This Row],[Description]],75)</f>
        <v>RAYTHEON TECHNOLOGIES CO</v>
      </c>
      <c r="P2346" s="2" t="s">
        <v>2281</v>
      </c>
    </row>
    <row r="2347" spans="1:16" hidden="1">
      <c r="A2347" s="2">
        <v>202004</v>
      </c>
      <c r="B2347" s="3">
        <v>43927</v>
      </c>
      <c r="C2347" s="2" t="s">
        <v>2262</v>
      </c>
      <c r="D2347" s="2" t="s">
        <v>1659</v>
      </c>
      <c r="E2347" s="2">
        <v>88.3</v>
      </c>
      <c r="F2347" s="2" t="e">
        <f>IF(Table2[[#This Row],[Manual Cat Value]]="",VLOOKUP(Table2[[#This Row],[Description]],'Actuals Lookup'!D:F,3,0),Table2[[#This Row],[Manual Cat Value]])</f>
        <v>#N/A</v>
      </c>
      <c r="J2347" s="2">
        <v>88.3</v>
      </c>
      <c r="K2347" s="2" t="b">
        <v>0</v>
      </c>
      <c r="L2347" s="2"/>
      <c r="M2347" s="2"/>
      <c r="N2347" s="4" t="s">
        <v>2259</v>
      </c>
      <c r="O2347" s="4" t="str">
        <f>LEFT(Table2[[#This Row],[Description]],75)</f>
        <v>Shorewood Liquor, LLC</v>
      </c>
      <c r="P2347" s="2" t="s">
        <v>2477</v>
      </c>
    </row>
    <row r="2348" spans="1:16" hidden="1">
      <c r="A2348" s="2">
        <v>202004</v>
      </c>
      <c r="B2348" s="3">
        <v>43927</v>
      </c>
      <c r="C2348" s="2" t="s">
        <v>2317</v>
      </c>
      <c r="D2348" s="2" t="s">
        <v>2108</v>
      </c>
      <c r="E2348" s="2">
        <v>-3.83</v>
      </c>
      <c r="F2348" s="2" t="e">
        <f>IF(Table2[[#This Row],[Manual Cat Value]]="",VLOOKUP(Table2[[#This Row],[Description]],'Actuals Lookup'!D:F,3,0),Table2[[#This Row],[Manual Cat Value]])</f>
        <v>#N/A</v>
      </c>
      <c r="J2348" s="2">
        <v>3.83</v>
      </c>
      <c r="K2348" s="2" t="b">
        <v>0</v>
      </c>
      <c r="L2348" s="2"/>
      <c r="M2348" s="2"/>
      <c r="N2348" s="4" t="s">
        <v>2273</v>
      </c>
      <c r="O2348" s="4" t="str">
        <f>LEFT(Table2[[#This Row],[Description]],75)</f>
        <v>VANGUARD INTRMDIAT TRM TRSRY ETF IV</v>
      </c>
      <c r="P2348" s="2" t="s">
        <v>2385</v>
      </c>
    </row>
    <row r="2349" spans="1:16" hidden="1">
      <c r="A2349" s="2">
        <v>202004</v>
      </c>
      <c r="B2349" s="3">
        <v>43927</v>
      </c>
      <c r="C2349" s="2" t="s">
        <v>2460</v>
      </c>
      <c r="D2349" s="2" t="s">
        <v>2108</v>
      </c>
      <c r="E2349" s="2">
        <v>-3.83</v>
      </c>
      <c r="F2349" s="2" t="e">
        <f>IF(Table2[[#This Row],[Manual Cat Value]]="",VLOOKUP(Table2[[#This Row],[Description]],'Actuals Lookup'!D:F,3,0),Table2[[#This Row],[Manual Cat Value]])</f>
        <v>#N/A</v>
      </c>
      <c r="J2349" s="2">
        <v>3.83</v>
      </c>
      <c r="K2349" s="2" t="b">
        <v>0</v>
      </c>
      <c r="L2349" s="2"/>
      <c r="M2349" s="2"/>
      <c r="N2349" s="4" t="s">
        <v>2273</v>
      </c>
      <c r="O2349" s="4" t="str">
        <f>LEFT(Table2[[#This Row],[Description]],75)</f>
        <v>VANGUARD INTRMDIAT TRM TRSRY ETF IV</v>
      </c>
      <c r="P2349" s="2" t="s">
        <v>2281</v>
      </c>
    </row>
    <row r="2350" spans="1:16" hidden="1">
      <c r="A2350" s="2">
        <v>202004</v>
      </c>
      <c r="B2350" s="3">
        <v>43928</v>
      </c>
      <c r="C2350" s="2" t="s">
        <v>2447</v>
      </c>
      <c r="D2350" s="2" t="s">
        <v>38</v>
      </c>
      <c r="E2350" s="2">
        <v>5.87</v>
      </c>
      <c r="F2350" s="2" t="str">
        <f>IF(Table2[[#This Row],[Manual Cat Value]]="",VLOOKUP(Table2[[#This Row],[Description]],'Actuals Lookup'!D:F,3,0),Table2[[#This Row],[Manual Cat Value]])</f>
        <v>Amazon</v>
      </c>
      <c r="J2350" s="2">
        <v>5.87</v>
      </c>
      <c r="K2350" s="2" t="b">
        <v>0</v>
      </c>
      <c r="L2350" s="2"/>
      <c r="M2350" s="2"/>
      <c r="N2350" s="4" t="s">
        <v>2259</v>
      </c>
      <c r="O2350" s="4" t="str">
        <f>LEFT(Table2[[#This Row],[Description]],75)</f>
        <v>Amazon</v>
      </c>
      <c r="P2350" s="2" t="s">
        <v>2260</v>
      </c>
    </row>
    <row r="2351" spans="1:16" hidden="1">
      <c r="A2351" s="2">
        <v>202004</v>
      </c>
      <c r="B2351" s="3">
        <v>43928</v>
      </c>
      <c r="C2351" s="2" t="s">
        <v>2258</v>
      </c>
      <c r="D2351" s="2" t="s">
        <v>38</v>
      </c>
      <c r="E2351" s="2">
        <v>5.87</v>
      </c>
      <c r="F2351" s="2" t="str">
        <f>IF(Table2[[#This Row],[Manual Cat Value]]="",VLOOKUP(Table2[[#This Row],[Description]],'Actuals Lookup'!D:F,3,0),Table2[[#This Row],[Manual Cat Value]])</f>
        <v>Amazon</v>
      </c>
      <c r="J2351" s="2">
        <v>5.87</v>
      </c>
      <c r="K2351" s="2" t="b">
        <v>0</v>
      </c>
      <c r="L2351" s="2"/>
      <c r="M2351" s="2"/>
      <c r="N2351" s="4" t="s">
        <v>2259</v>
      </c>
      <c r="O2351" s="4" t="str">
        <f>LEFT(Table2[[#This Row],[Description]],75)</f>
        <v>Amazon</v>
      </c>
      <c r="P2351" s="2" t="s">
        <v>2260</v>
      </c>
    </row>
    <row r="2352" spans="1:16" hidden="1">
      <c r="A2352" s="2">
        <v>202004</v>
      </c>
      <c r="B2352" s="3">
        <v>43928</v>
      </c>
      <c r="C2352" s="2" t="s">
        <v>2317</v>
      </c>
      <c r="D2352" s="2" t="s">
        <v>2108</v>
      </c>
      <c r="E2352" s="2">
        <v>3.83</v>
      </c>
      <c r="F2352" s="2" t="e">
        <f>IF(Table2[[#This Row],[Manual Cat Value]]="",VLOOKUP(Table2[[#This Row],[Description]],'Actuals Lookup'!D:F,3,0),Table2[[#This Row],[Manual Cat Value]])</f>
        <v>#N/A</v>
      </c>
      <c r="J2352" s="2">
        <v>3.83</v>
      </c>
      <c r="K2352" s="2" t="b">
        <v>0</v>
      </c>
      <c r="L2352" s="2"/>
      <c r="M2352" s="2"/>
      <c r="N2352" s="4" t="s">
        <v>2259</v>
      </c>
      <c r="O2352" s="4" t="str">
        <f>LEFT(Table2[[#This Row],[Description]],75)</f>
        <v>VANGUARD INTRMDIAT TRM TRSRY ETF IV</v>
      </c>
      <c r="P2352" s="2" t="s">
        <v>2385</v>
      </c>
    </row>
    <row r="2353" spans="1:16" hidden="1">
      <c r="A2353" s="2">
        <v>202004</v>
      </c>
      <c r="B2353" s="3">
        <v>43928</v>
      </c>
      <c r="C2353" s="2" t="s">
        <v>2460</v>
      </c>
      <c r="D2353" s="2" t="s">
        <v>2108</v>
      </c>
      <c r="E2353" s="2">
        <v>3.83</v>
      </c>
      <c r="F2353" s="2" t="e">
        <f>IF(Table2[[#This Row],[Manual Cat Value]]="",VLOOKUP(Table2[[#This Row],[Description]],'Actuals Lookup'!D:F,3,0),Table2[[#This Row],[Manual Cat Value]])</f>
        <v>#N/A</v>
      </c>
      <c r="J2353" s="2">
        <v>3.83</v>
      </c>
      <c r="K2353" s="2" t="b">
        <v>0</v>
      </c>
      <c r="L2353" s="2"/>
      <c r="M2353" s="2"/>
      <c r="N2353" s="4" t="s">
        <v>2259</v>
      </c>
      <c r="O2353" s="4" t="str">
        <f>LEFT(Table2[[#This Row],[Description]],75)</f>
        <v>VANGUARD INTRMDIAT TRM TRSRY ETF IV</v>
      </c>
      <c r="P2353" s="2" t="s">
        <v>2281</v>
      </c>
    </row>
    <row r="2354" spans="1:16" hidden="1">
      <c r="A2354" s="2">
        <v>202004</v>
      </c>
      <c r="B2354" s="3">
        <v>43930</v>
      </c>
      <c r="C2354" s="2" t="s">
        <v>2265</v>
      </c>
      <c r="D2354" s="2" t="s">
        <v>1471</v>
      </c>
      <c r="E2354" s="2">
        <v>7.43</v>
      </c>
      <c r="F2354" s="2" t="str">
        <f>IF(Table2[[#This Row],[Manual Cat Value]]="",VLOOKUP(Table2[[#This Row],[Description]],'Actuals Lookup'!D:F,3,0),Table2[[#This Row],[Manual Cat Value]])</f>
        <v>Shopping</v>
      </c>
      <c r="J2354" s="2">
        <v>7.43</v>
      </c>
      <c r="K2354" s="2" t="b">
        <v>0</v>
      </c>
      <c r="L2354" s="2"/>
      <c r="M2354" s="2"/>
      <c r="N2354" s="4" t="s">
        <v>2259</v>
      </c>
      <c r="O2354" s="4" t="str">
        <f>LEFT(Table2[[#This Row],[Description]],75)</f>
        <v>PayPal</v>
      </c>
      <c r="P2354" s="2" t="s">
        <v>2322</v>
      </c>
    </row>
    <row r="2355" spans="1:16" hidden="1">
      <c r="A2355" s="2">
        <v>202004</v>
      </c>
      <c r="B2355" s="3">
        <v>43931</v>
      </c>
      <c r="C2355" s="2" t="s">
        <v>2265</v>
      </c>
      <c r="D2355" s="2" t="s">
        <v>2109</v>
      </c>
      <c r="E2355" s="2">
        <v>20</v>
      </c>
      <c r="F2355" s="2" t="str">
        <f>IF(Table2[[#This Row],[Manual Cat Value]]="",VLOOKUP(Table2[[#This Row],[Description]],'Actuals Lookup'!D:F,3,0),Table2[[#This Row],[Manual Cat Value]])</f>
        <v>Shopping</v>
      </c>
      <c r="J2355" s="2">
        <v>20</v>
      </c>
      <c r="K2355" s="2" t="b">
        <v>0</v>
      </c>
      <c r="L2355" s="2"/>
      <c r="M2355" s="2"/>
      <c r="N2355" s="4" t="s">
        <v>2259</v>
      </c>
      <c r="O2355" s="4" t="str">
        <f>LEFT(Table2[[#This Row],[Description]],75)</f>
        <v>Venmo</v>
      </c>
      <c r="P2355" s="2" t="s">
        <v>2281</v>
      </c>
    </row>
    <row r="2356" spans="1:16" hidden="1">
      <c r="A2356" s="2">
        <v>202004</v>
      </c>
      <c r="B2356" s="3">
        <v>43932</v>
      </c>
      <c r="C2356" s="2" t="s">
        <v>2447</v>
      </c>
      <c r="D2356" s="2" t="s">
        <v>506</v>
      </c>
      <c r="E2356" s="2">
        <v>45</v>
      </c>
      <c r="F2356" s="2" t="str">
        <f>IF(Table2[[#This Row],[Manual Cat Value]]="",VLOOKUP(Table2[[#This Row],[Description]],'Actuals Lookup'!D:F,3,0),Table2[[#This Row],[Manual Cat Value]])</f>
        <v>Utilities</v>
      </c>
      <c r="J2356" s="2">
        <v>45</v>
      </c>
      <c r="K2356" s="2" t="b">
        <v>0</v>
      </c>
      <c r="L2356" s="2"/>
      <c r="M2356" s="2"/>
      <c r="N2356" s="4" t="s">
        <v>2259</v>
      </c>
      <c r="O2356" s="4" t="str">
        <f>LEFT(Table2[[#This Row],[Description]],75)</f>
        <v>CenturyLink</v>
      </c>
      <c r="P2356" s="2" t="s">
        <v>2408</v>
      </c>
    </row>
    <row r="2357" spans="1:16" hidden="1">
      <c r="A2357" s="2">
        <v>202004</v>
      </c>
      <c r="B2357" s="3">
        <v>43932</v>
      </c>
      <c r="C2357" s="2" t="s">
        <v>2258</v>
      </c>
      <c r="D2357" s="2" t="s">
        <v>506</v>
      </c>
      <c r="E2357" s="2">
        <v>45</v>
      </c>
      <c r="F2357" s="2" t="str">
        <f>IF(Table2[[#This Row],[Manual Cat Value]]="",VLOOKUP(Table2[[#This Row],[Description]],'Actuals Lookup'!D:F,3,0),Table2[[#This Row],[Manual Cat Value]])</f>
        <v>Utilities</v>
      </c>
      <c r="J2357" s="2">
        <v>45</v>
      </c>
      <c r="K2357" s="2" t="b">
        <v>0</v>
      </c>
      <c r="L2357" s="2"/>
      <c r="M2357" s="2"/>
      <c r="N2357" s="4" t="s">
        <v>2259</v>
      </c>
      <c r="O2357" s="4" t="str">
        <f>LEFT(Table2[[#This Row],[Description]],75)</f>
        <v>CenturyLink</v>
      </c>
      <c r="P2357" s="2" t="s">
        <v>2408</v>
      </c>
    </row>
    <row r="2358" spans="1:16" hidden="1">
      <c r="A2358" s="2">
        <v>202004</v>
      </c>
      <c r="B2358" s="3">
        <v>43933</v>
      </c>
      <c r="C2358" s="2" t="s">
        <v>2447</v>
      </c>
      <c r="D2358" s="2" t="s">
        <v>458</v>
      </c>
      <c r="E2358" s="2">
        <v>-48.91</v>
      </c>
      <c r="F2358" s="2" t="e">
        <f>IF(Table2[[#This Row],[Manual Cat Value]]="",VLOOKUP(Table2[[#This Row],[Description]],'Actuals Lookup'!D:F,3,0),Table2[[#This Row],[Manual Cat Value]])</f>
        <v>#N/A</v>
      </c>
      <c r="J2358" s="2">
        <v>48.91</v>
      </c>
      <c r="K2358" s="2" t="b">
        <v>0</v>
      </c>
      <c r="L2358" s="2"/>
      <c r="M2358" s="2"/>
      <c r="N2358" s="4" t="s">
        <v>2273</v>
      </c>
      <c r="O2358" s="4" t="str">
        <f>LEFT(Table2[[#This Row],[Description]],75)</f>
        <v>CASHBACK BONUS REDEMPTION payment/STMT CRDT</v>
      </c>
      <c r="P2358" s="2" t="s">
        <v>2304</v>
      </c>
    </row>
    <row r="2359" spans="1:16" hidden="1">
      <c r="A2359" s="2">
        <v>202004</v>
      </c>
      <c r="B2359" s="3">
        <v>43933</v>
      </c>
      <c r="C2359" s="2" t="s">
        <v>2258</v>
      </c>
      <c r="D2359" s="2" t="s">
        <v>458</v>
      </c>
      <c r="E2359" s="2">
        <v>-48.91</v>
      </c>
      <c r="F2359" s="2" t="e">
        <f>IF(Table2[[#This Row],[Manual Cat Value]]="",VLOOKUP(Table2[[#This Row],[Description]],'Actuals Lookup'!D:F,3,0),Table2[[#This Row],[Manual Cat Value]])</f>
        <v>#N/A</v>
      </c>
      <c r="J2359" s="2">
        <v>48.91</v>
      </c>
      <c r="K2359" s="2" t="b">
        <v>0</v>
      </c>
      <c r="L2359" s="2"/>
      <c r="M2359" s="2"/>
      <c r="N2359" s="4" t="s">
        <v>2273</v>
      </c>
      <c r="O2359" s="4" t="str">
        <f>LEFT(Table2[[#This Row],[Description]],75)</f>
        <v>CASHBACK BONUS REDEMPTION payment/STMT CRDT</v>
      </c>
      <c r="P2359" s="2" t="s">
        <v>2304</v>
      </c>
    </row>
    <row r="2360" spans="1:16" hidden="1">
      <c r="A2360" s="2">
        <v>202004</v>
      </c>
      <c r="B2360" s="3">
        <v>43933</v>
      </c>
      <c r="C2360" s="2" t="s">
        <v>2447</v>
      </c>
      <c r="D2360" s="2" t="s">
        <v>997</v>
      </c>
      <c r="E2360" s="2">
        <v>-1160.26</v>
      </c>
      <c r="F2360" s="2" t="str">
        <f>IF(Table2[[#This Row],[Manual Cat Value]]="",VLOOKUP(Table2[[#This Row],[Description]],'Actuals Lookup'!D:F,3,0),Table2[[#This Row],[Manual Cat Value]])</f>
        <v>Delete</v>
      </c>
      <c r="J2360" s="2">
        <v>1160.26</v>
      </c>
      <c r="K2360" s="2" t="b">
        <v>0</v>
      </c>
      <c r="L2360" s="2"/>
      <c r="M2360" s="2"/>
      <c r="N2360" s="4" t="s">
        <v>2273</v>
      </c>
      <c r="O2360" s="4" t="str">
        <f>LEFT(Table2[[#This Row],[Description]],75)</f>
        <v>INTERNET PAYMENT - THANK YOU</v>
      </c>
      <c r="P2360" s="2" t="s">
        <v>2291</v>
      </c>
    </row>
    <row r="2361" spans="1:16" hidden="1">
      <c r="A2361" s="2">
        <v>202004</v>
      </c>
      <c r="B2361" s="3">
        <v>43933</v>
      </c>
      <c r="C2361" s="2" t="s">
        <v>2258</v>
      </c>
      <c r="D2361" s="2" t="s">
        <v>997</v>
      </c>
      <c r="E2361" s="2">
        <v>-1160.26</v>
      </c>
      <c r="F2361" s="2" t="str">
        <f>IF(Table2[[#This Row],[Manual Cat Value]]="",VLOOKUP(Table2[[#This Row],[Description]],'Actuals Lookup'!D:F,3,0),Table2[[#This Row],[Manual Cat Value]])</f>
        <v>Delete</v>
      </c>
      <c r="J2361" s="2">
        <v>1160.26</v>
      </c>
      <c r="K2361" s="2" t="b">
        <v>0</v>
      </c>
      <c r="L2361" s="2"/>
      <c r="M2361" s="2"/>
      <c r="N2361" s="4" t="s">
        <v>2273</v>
      </c>
      <c r="O2361" s="4" t="str">
        <f>LEFT(Table2[[#This Row],[Description]],75)</f>
        <v>INTERNET PAYMENT - THANK YOU</v>
      </c>
      <c r="P2361" s="2" t="s">
        <v>2291</v>
      </c>
    </row>
    <row r="2362" spans="1:16" hidden="1">
      <c r="A2362" s="2">
        <v>202004</v>
      </c>
      <c r="B2362" s="3">
        <v>43933</v>
      </c>
      <c r="C2362" s="2" t="s">
        <v>2262</v>
      </c>
      <c r="D2362" s="2" t="s">
        <v>293</v>
      </c>
      <c r="E2362" s="2">
        <v>49.38</v>
      </c>
      <c r="F2362" s="2" t="e">
        <f>IF(Table2[[#This Row],[Manual Cat Value]]="",VLOOKUP(Table2[[#This Row],[Description]],'Actuals Lookup'!D:F,3,0),Table2[[#This Row],[Manual Cat Value]])</f>
        <v>#N/A</v>
      </c>
      <c r="J2362" s="2">
        <v>49.38</v>
      </c>
      <c r="K2362" s="2" t="b">
        <v>0</v>
      </c>
      <c r="L2362" s="2"/>
      <c r="M2362" s="2"/>
      <c r="N2362" s="4" t="s">
        <v>2259</v>
      </c>
      <c r="O2362" s="4" t="str">
        <f>LEFT(Table2[[#This Row],[Description]],75)</f>
        <v>BITE SQUAD 6122947125 MN 302995083</v>
      </c>
      <c r="P2362" s="2" t="s">
        <v>2478</v>
      </c>
    </row>
    <row r="2363" spans="1:16" hidden="1">
      <c r="A2363" s="2">
        <v>202004</v>
      </c>
      <c r="B2363" s="3">
        <v>43933</v>
      </c>
      <c r="C2363" s="2" t="s">
        <v>2262</v>
      </c>
      <c r="D2363" s="2" t="s">
        <v>294</v>
      </c>
      <c r="E2363" s="2">
        <v>7</v>
      </c>
      <c r="F2363" s="2" t="e">
        <f>IF(Table2[[#This Row],[Manual Cat Value]]="",VLOOKUP(Table2[[#This Row],[Description]],'Actuals Lookup'!D:F,3,0),Table2[[#This Row],[Manual Cat Value]])</f>
        <v>#N/A</v>
      </c>
      <c r="J2363" s="2">
        <v>7</v>
      </c>
      <c r="K2363" s="2" t="b">
        <v>0</v>
      </c>
      <c r="L2363" s="2"/>
      <c r="M2363" s="2"/>
      <c r="N2363" s="4" t="s">
        <v>2259</v>
      </c>
      <c r="O2363" s="4" t="str">
        <f>LEFT(Table2[[#This Row],[Description]],75)</f>
        <v>BITE SQUAD 6122947125 MN 302995084</v>
      </c>
      <c r="P2363" s="2" t="s">
        <v>2281</v>
      </c>
    </row>
    <row r="2364" spans="1:16" hidden="1">
      <c r="A2364" s="2">
        <v>202004</v>
      </c>
      <c r="B2364" s="3">
        <v>43934</v>
      </c>
      <c r="C2364" s="2" t="s">
        <v>2265</v>
      </c>
      <c r="D2364" s="2" t="s">
        <v>761</v>
      </c>
      <c r="E2364" s="2">
        <v>1160.26</v>
      </c>
      <c r="F2364" s="2" t="e">
        <f>IF(Table2[[#This Row],[Manual Cat Value]]="",VLOOKUP(Table2[[#This Row],[Description]],'Actuals Lookup'!D:F,3,0),Table2[[#This Row],[Manual Cat Value]])</f>
        <v>#N/A</v>
      </c>
      <c r="J2364" s="2">
        <v>1160.26</v>
      </c>
      <c r="K2364" s="2" t="b">
        <v>0</v>
      </c>
      <c r="L2364" s="2"/>
      <c r="M2364" s="2"/>
      <c r="N2364" s="4" t="s">
        <v>2259</v>
      </c>
      <c r="O2364" s="4" t="str">
        <f>LEFT(Table2[[#This Row],[Description]],75)</f>
        <v>DISCOVER TYPE EPAYMENT ID CO DISCOVER ACH ECC WEB ACH Trace 40664 303072059</v>
      </c>
      <c r="P2364" s="2" t="s">
        <v>2293</v>
      </c>
    </row>
    <row r="2365" spans="1:16" hidden="1">
      <c r="A2365" s="2">
        <v>202004</v>
      </c>
      <c r="B2365" s="3">
        <v>43934</v>
      </c>
      <c r="C2365" s="2" t="s">
        <v>2447</v>
      </c>
      <c r="D2365" s="2" t="s">
        <v>944</v>
      </c>
      <c r="E2365" s="2">
        <v>20.97</v>
      </c>
      <c r="F2365" s="2" t="e">
        <f>IF(Table2[[#This Row],[Manual Cat Value]]="",VLOOKUP(Table2[[#This Row],[Description]],'Actuals Lookup'!D:F,3,0),Table2[[#This Row],[Manual Cat Value]])</f>
        <v>#N/A</v>
      </c>
      <c r="J2365" s="2">
        <v>20.97</v>
      </c>
      <c r="K2365" s="2" t="b">
        <v>0</v>
      </c>
      <c r="L2365" s="2"/>
      <c r="M2365" s="2"/>
      <c r="N2365" s="4" t="s">
        <v>2259</v>
      </c>
      <c r="O2365" s="4" t="str">
        <f>LEFT(Table2[[#This Row],[Description]],75)</f>
        <v>Holiday Stationstore</v>
      </c>
      <c r="P2365" s="2" t="s">
        <v>2374</v>
      </c>
    </row>
    <row r="2366" spans="1:16" hidden="1">
      <c r="A2366" s="2">
        <v>202004</v>
      </c>
      <c r="B2366" s="3">
        <v>43934</v>
      </c>
      <c r="C2366" s="2" t="s">
        <v>2258</v>
      </c>
      <c r="D2366" s="2" t="s">
        <v>944</v>
      </c>
      <c r="E2366" s="2">
        <v>20.97</v>
      </c>
      <c r="F2366" s="2" t="e">
        <f>IF(Table2[[#This Row],[Manual Cat Value]]="",VLOOKUP(Table2[[#This Row],[Description]],'Actuals Lookup'!D:F,3,0),Table2[[#This Row],[Manual Cat Value]])</f>
        <v>#N/A</v>
      </c>
      <c r="J2366" s="2">
        <v>20.97</v>
      </c>
      <c r="K2366" s="2" t="b">
        <v>0</v>
      </c>
      <c r="L2366" s="2"/>
      <c r="M2366" s="2"/>
      <c r="N2366" s="4" t="s">
        <v>2259</v>
      </c>
      <c r="O2366" s="4" t="str">
        <f>LEFT(Table2[[#This Row],[Description]],75)</f>
        <v>Holiday Stationstore</v>
      </c>
      <c r="P2366" s="2" t="s">
        <v>2374</v>
      </c>
    </row>
    <row r="2367" spans="1:16" hidden="1">
      <c r="A2367" s="2">
        <v>202004</v>
      </c>
      <c r="B2367" s="3">
        <v>43934</v>
      </c>
      <c r="C2367" s="2" t="s">
        <v>2265</v>
      </c>
      <c r="D2367" s="2" t="s">
        <v>2109</v>
      </c>
      <c r="E2367" s="2">
        <v>51</v>
      </c>
      <c r="F2367" s="2" t="str">
        <f>IF(Table2[[#This Row],[Manual Cat Value]]="",VLOOKUP(Table2[[#This Row],[Description]],'Actuals Lookup'!D:F,3,0),Table2[[#This Row],[Manual Cat Value]])</f>
        <v>Shopping</v>
      </c>
      <c r="J2367" s="2">
        <v>51</v>
      </c>
      <c r="K2367" s="2" t="b">
        <v>0</v>
      </c>
      <c r="L2367" s="2"/>
      <c r="M2367" s="2"/>
      <c r="N2367" s="4" t="s">
        <v>2259</v>
      </c>
      <c r="O2367" s="4" t="str">
        <f>LEFT(Table2[[#This Row],[Description]],75)</f>
        <v>Venmo</v>
      </c>
      <c r="P2367" s="2" t="s">
        <v>2281</v>
      </c>
    </row>
    <row r="2368" spans="1:16" hidden="1">
      <c r="A2368" s="2">
        <v>202004</v>
      </c>
      <c r="B2368" s="3">
        <v>43935</v>
      </c>
      <c r="C2368" s="2" t="s">
        <v>2265</v>
      </c>
      <c r="D2368" s="2" t="s">
        <v>131</v>
      </c>
      <c r="E2368" s="2">
        <v>114.39</v>
      </c>
      <c r="F2368" s="2" t="str">
        <f>IF(Table2[[#This Row],[Manual Cat Value]]="",VLOOKUP(Table2[[#This Row],[Description]],'Actuals Lookup'!D:F,3,0),Table2[[#This Row],[Manual Cat Value]])</f>
        <v>Insurance</v>
      </c>
      <c r="J2368" s="2">
        <v>114.39</v>
      </c>
      <c r="K2368" s="2" t="b">
        <v>0</v>
      </c>
      <c r="L2368" s="2"/>
      <c r="M2368" s="2"/>
      <c r="N2368" s="4" t="s">
        <v>2259</v>
      </c>
      <c r="O2368" s="4" t="str">
        <f>LEFT(Table2[[#This Row],[Description]],75)</f>
        <v>American Family Insurance</v>
      </c>
      <c r="P2368" s="2" t="s">
        <v>2286</v>
      </c>
    </row>
    <row r="2369" spans="1:16" hidden="1">
      <c r="A2369" s="2">
        <v>202004</v>
      </c>
      <c r="B2369" s="3">
        <v>43935</v>
      </c>
      <c r="C2369" s="2" t="s">
        <v>2265</v>
      </c>
      <c r="D2369" s="2" t="s">
        <v>1044</v>
      </c>
      <c r="E2369" s="2">
        <v>-2688.28</v>
      </c>
      <c r="F2369" s="2" t="e">
        <f>IF(Table2[[#This Row],[Manual Cat Value]]="",VLOOKUP(Table2[[#This Row],[Description]],'Actuals Lookup'!D:F,3,0),Table2[[#This Row],[Manual Cat Value]])</f>
        <v>#N/A</v>
      </c>
      <c r="J2369" s="2">
        <v>2688.28</v>
      </c>
      <c r="K2369" s="2" t="b">
        <v>0</v>
      </c>
      <c r="L2369" s="2"/>
      <c r="M2369" s="2"/>
      <c r="N2369" s="4" t="s">
        <v>2273</v>
      </c>
      <c r="O2369" s="4" t="str">
        <f>LEFT(Table2[[#This Row],[Description]],75)</f>
        <v>KAUFMAN HALL TYPE DIRECT DEP ID CO KAUFMAN HALL ACH ECC PPD ACH Trace 30482</v>
      </c>
      <c r="P2369" s="2" t="s">
        <v>2285</v>
      </c>
    </row>
    <row r="2370" spans="1:16" hidden="1">
      <c r="A2370" s="2">
        <v>202004</v>
      </c>
      <c r="B2370" s="3">
        <v>43935</v>
      </c>
      <c r="C2370" s="2" t="s">
        <v>2262</v>
      </c>
      <c r="D2370" s="2" t="s">
        <v>1527</v>
      </c>
      <c r="E2370" s="2">
        <v>31.53</v>
      </c>
      <c r="F2370" s="2" t="e">
        <f>IF(Table2[[#This Row],[Manual Cat Value]]="",VLOOKUP(Table2[[#This Row],[Description]],'Actuals Lookup'!D:F,3,0),Table2[[#This Row],[Manual Cat Value]])</f>
        <v>#N/A</v>
      </c>
      <c r="J2370" s="2">
        <v>31.53</v>
      </c>
      <c r="K2370" s="2" t="b">
        <v>0</v>
      </c>
      <c r="L2370" s="2"/>
      <c r="M2370" s="2"/>
      <c r="N2370" s="4" t="s">
        <v>2259</v>
      </c>
      <c r="O2370" s="4" t="str">
        <f>LEFT(Table2[[#This Row],[Description]],75)</f>
        <v>Pryes Brewing Company, LLC</v>
      </c>
      <c r="P2370" s="2" t="s">
        <v>2281</v>
      </c>
    </row>
    <row r="2371" spans="1:16" hidden="1">
      <c r="A2371" s="2">
        <v>202004</v>
      </c>
      <c r="B2371" s="3">
        <v>43936</v>
      </c>
      <c r="C2371" s="2" t="s">
        <v>2262</v>
      </c>
      <c r="D2371" s="2" t="s">
        <v>38</v>
      </c>
      <c r="E2371" s="2">
        <v>23.93</v>
      </c>
      <c r="F2371" s="2" t="str">
        <f>IF(Table2[[#This Row],[Manual Cat Value]]="",VLOOKUP(Table2[[#This Row],[Description]],'Actuals Lookup'!D:F,3,0),Table2[[#This Row],[Manual Cat Value]])</f>
        <v>Amazon</v>
      </c>
      <c r="J2371" s="2">
        <v>23.93</v>
      </c>
      <c r="K2371" s="2" t="b">
        <v>0</v>
      </c>
      <c r="L2371" s="2"/>
      <c r="M2371" s="2"/>
      <c r="N2371" s="4" t="s">
        <v>2259</v>
      </c>
      <c r="O2371" s="4" t="str">
        <f>LEFT(Table2[[#This Row],[Description]],75)</f>
        <v>Amazon</v>
      </c>
      <c r="P2371" s="2" t="s">
        <v>2260</v>
      </c>
    </row>
    <row r="2372" spans="1:16" hidden="1">
      <c r="A2372" s="2">
        <v>202004</v>
      </c>
      <c r="B2372" s="3">
        <v>43936</v>
      </c>
      <c r="C2372" s="2" t="s">
        <v>2265</v>
      </c>
      <c r="D2372" s="2" t="s">
        <v>377</v>
      </c>
      <c r="E2372" s="2">
        <v>-1993.06</v>
      </c>
      <c r="F2372" s="2" t="e">
        <f>IF(Table2[[#This Row],[Manual Cat Value]]="",VLOOKUP(Table2[[#This Row],[Description]],'Actuals Lookup'!D:F,3,0),Table2[[#This Row],[Manual Cat Value]])</f>
        <v>#N/A</v>
      </c>
      <c r="J2372" s="2">
        <v>1993.06</v>
      </c>
      <c r="K2372" s="2" t="b">
        <v>0</v>
      </c>
      <c r="L2372" s="2"/>
      <c r="M2372" s="2"/>
      <c r="N2372" s="4" t="s">
        <v>2273</v>
      </c>
      <c r="O2372" s="4" t="str">
        <f>LEFT(Table2[[#This Row],[Description]],75)</f>
        <v xml:space="preserve">CARGILL COCOA TYPE DIR DEP ID CO CARGILL COCOA ACH ECC PPD ACH Trace 46228 </v>
      </c>
      <c r="P2372" s="2" t="s">
        <v>2284</v>
      </c>
    </row>
    <row r="2373" spans="1:16" hidden="1">
      <c r="A2373" s="2">
        <v>202004</v>
      </c>
      <c r="B2373" s="3">
        <v>43936</v>
      </c>
      <c r="C2373" s="2" t="s">
        <v>2262</v>
      </c>
      <c r="D2373" s="2" t="s">
        <v>538</v>
      </c>
      <c r="E2373" s="2">
        <v>22.3</v>
      </c>
      <c r="F2373" s="2" t="str">
        <f>IF(Table2[[#This Row],[Manual Cat Value]]="",VLOOKUP(Table2[[#This Row],[Description]],'Actuals Lookup'!D:F,3,0),Table2[[#This Row],[Manual Cat Value]])</f>
        <v>Restaurants</v>
      </c>
      <c r="J2373" s="2">
        <v>22.3</v>
      </c>
      <c r="K2373" s="2" t="b">
        <v>0</v>
      </c>
      <c r="L2373" s="2"/>
      <c r="M2373" s="2"/>
      <c r="N2373" s="4" t="s">
        <v>2259</v>
      </c>
      <c r="O2373" s="4" t="str">
        <f>LEFT(Table2[[#This Row],[Description]],75)</f>
        <v>Chick-Fil-A</v>
      </c>
      <c r="P2373" s="2" t="s">
        <v>2470</v>
      </c>
    </row>
    <row r="2374" spans="1:16" hidden="1">
      <c r="A2374" s="2">
        <v>202004</v>
      </c>
      <c r="B2374" s="3">
        <v>43936</v>
      </c>
      <c r="C2374" s="2" t="s">
        <v>2262</v>
      </c>
      <c r="D2374" s="2" t="s">
        <v>919</v>
      </c>
      <c r="E2374" s="2">
        <v>18</v>
      </c>
      <c r="F2374" s="2" t="e">
        <f>IF(Table2[[#This Row],[Manual Cat Value]]="",VLOOKUP(Table2[[#This Row],[Description]],'Actuals Lookup'!D:F,3,0),Table2[[#This Row],[Manual Cat Value]])</f>
        <v>#N/A</v>
      </c>
      <c r="J2374" s="2">
        <v>18</v>
      </c>
      <c r="K2374" s="2" t="b">
        <v>0</v>
      </c>
      <c r="L2374" s="2"/>
      <c r="M2374" s="2"/>
      <c r="N2374" s="4" t="s">
        <v>2259</v>
      </c>
      <c r="O2374" s="4" t="str">
        <f>LEFT(Table2[[#This Row],[Description]],75)</f>
        <v>Harvard Business</v>
      </c>
      <c r="P2374" s="2" t="s">
        <v>2412</v>
      </c>
    </row>
    <row r="2375" spans="1:16" hidden="1">
      <c r="A2375" s="2">
        <v>202004</v>
      </c>
      <c r="B2375" s="3">
        <v>43936</v>
      </c>
      <c r="C2375" s="2" t="s">
        <v>2317</v>
      </c>
      <c r="D2375" s="2" t="s">
        <v>1037</v>
      </c>
      <c r="E2375" s="2">
        <v>-250</v>
      </c>
      <c r="F2375" s="2" t="e">
        <f>IF(Table2[[#This Row],[Manual Cat Value]]="",VLOOKUP(Table2[[#This Row],[Description]],'Actuals Lookup'!D:F,3,0),Table2[[#This Row],[Manual Cat Value]])</f>
        <v>#N/A</v>
      </c>
      <c r="J2375" s="2">
        <v>250</v>
      </c>
      <c r="K2375" s="2" t="b">
        <v>0</v>
      </c>
      <c r="L2375" s="2"/>
      <c r="M2375" s="2"/>
      <c r="N2375" s="4" t="s">
        <v>2273</v>
      </c>
      <c r="O2375" s="4" t="str">
        <f>LEFT(Table2[[#This Row],[Description]],75)</f>
        <v>KAUFMAN HALL</v>
      </c>
      <c r="P2375" s="2" t="s">
        <v>2375</v>
      </c>
    </row>
    <row r="2376" spans="1:16" hidden="1">
      <c r="A2376" s="2">
        <v>202004</v>
      </c>
      <c r="B2376" s="3">
        <v>43936</v>
      </c>
      <c r="C2376" s="2" t="s">
        <v>2460</v>
      </c>
      <c r="D2376" s="2" t="s">
        <v>1037</v>
      </c>
      <c r="E2376" s="2">
        <v>-250</v>
      </c>
      <c r="F2376" s="2" t="e">
        <f>IF(Table2[[#This Row],[Manual Cat Value]]="",VLOOKUP(Table2[[#This Row],[Description]],'Actuals Lookup'!D:F,3,0),Table2[[#This Row],[Manual Cat Value]])</f>
        <v>#N/A</v>
      </c>
      <c r="J2376" s="2">
        <v>250</v>
      </c>
      <c r="K2376" s="2" t="b">
        <v>0</v>
      </c>
      <c r="L2376" s="2"/>
      <c r="M2376" s="2"/>
      <c r="N2376" s="4" t="s">
        <v>2273</v>
      </c>
      <c r="O2376" s="4" t="str">
        <f>LEFT(Table2[[#This Row],[Description]],75)</f>
        <v>KAUFMAN HALL</v>
      </c>
      <c r="P2376" s="2" t="s">
        <v>2375</v>
      </c>
    </row>
    <row r="2377" spans="1:16" hidden="1">
      <c r="A2377" s="2">
        <v>202004</v>
      </c>
      <c r="B2377" s="3">
        <v>43936</v>
      </c>
      <c r="C2377" s="2" t="s">
        <v>2359</v>
      </c>
      <c r="D2377" s="2" t="s">
        <v>1819</v>
      </c>
      <c r="E2377" s="2">
        <v>-0.19</v>
      </c>
      <c r="F2377" s="2" t="e">
        <f>IF(Table2[[#This Row],[Manual Cat Value]]="",VLOOKUP(Table2[[#This Row],[Description]],'Actuals Lookup'!D:F,3,0),Table2[[#This Row],[Manual Cat Value]])</f>
        <v>#N/A</v>
      </c>
      <c r="J2377" s="2">
        <v>0.19</v>
      </c>
      <c r="K2377" s="2" t="b">
        <v>0</v>
      </c>
      <c r="L2377" s="2"/>
      <c r="M2377" s="2"/>
      <c r="N2377" s="4" t="s">
        <v>2273</v>
      </c>
      <c r="O2377" s="4" t="str">
        <f>LEFT(Table2[[#This Row],[Description]],75)</f>
        <v>Target Retire 2055 Tr P - Fee</v>
      </c>
      <c r="P2377" s="2" t="s">
        <v>2479</v>
      </c>
    </row>
    <row r="2378" spans="1:16" hidden="1">
      <c r="A2378" s="2">
        <v>202004</v>
      </c>
      <c r="B2378" s="3">
        <v>43936</v>
      </c>
      <c r="C2378" s="2" t="s">
        <v>2338</v>
      </c>
      <c r="D2378" s="2" t="s">
        <v>1819</v>
      </c>
      <c r="E2378" s="2">
        <v>-6.8</v>
      </c>
      <c r="F2378" s="2" t="e">
        <f>IF(Table2[[#This Row],[Manual Cat Value]]="",VLOOKUP(Table2[[#This Row],[Description]],'Actuals Lookup'!D:F,3,0),Table2[[#This Row],[Manual Cat Value]])</f>
        <v>#N/A</v>
      </c>
      <c r="J2378" s="2">
        <v>6.8</v>
      </c>
      <c r="K2378" s="2" t="b">
        <v>0</v>
      </c>
      <c r="L2378" s="2"/>
      <c r="M2378" s="2"/>
      <c r="N2378" s="4" t="s">
        <v>2273</v>
      </c>
      <c r="O2378" s="4" t="str">
        <f>LEFT(Table2[[#This Row],[Description]],75)</f>
        <v>Target Retire 2055 Tr P - Fee</v>
      </c>
      <c r="P2378" s="2" t="s">
        <v>2479</v>
      </c>
    </row>
    <row r="2379" spans="1:16" hidden="1">
      <c r="A2379" s="2">
        <v>202004</v>
      </c>
      <c r="B2379" s="3">
        <v>43936</v>
      </c>
      <c r="C2379" s="2" t="s">
        <v>2435</v>
      </c>
      <c r="D2379" s="2" t="s">
        <v>1837</v>
      </c>
      <c r="E2379" s="2">
        <v>-250</v>
      </c>
      <c r="F2379" s="2" t="e">
        <f>IF(Table2[[#This Row],[Manual Cat Value]]="",VLOOKUP(Table2[[#This Row],[Description]],'Actuals Lookup'!D:F,3,0),Table2[[#This Row],[Manual Cat Value]])</f>
        <v>#N/A</v>
      </c>
      <c r="J2379" s="2">
        <v>250</v>
      </c>
      <c r="K2379" s="2" t="b">
        <v>0</v>
      </c>
      <c r="L2379" s="2"/>
      <c r="M2379" s="2"/>
      <c r="N2379" s="4" t="s">
        <v>2273</v>
      </c>
      <c r="O2379" s="4" t="str">
        <f>LEFT(Table2[[#This Row],[Description]],75)</f>
        <v>Tfr JPMORGAN CHASE BAN, KAUFMAN HALL</v>
      </c>
      <c r="P2379" s="2" t="s">
        <v>2288</v>
      </c>
    </row>
    <row r="2380" spans="1:16" hidden="1">
      <c r="A2380" s="2">
        <v>202004</v>
      </c>
      <c r="B2380" s="3">
        <v>43936</v>
      </c>
      <c r="C2380" s="2" t="s">
        <v>2262</v>
      </c>
      <c r="D2380" s="2" t="s">
        <v>2124</v>
      </c>
      <c r="E2380" s="2">
        <v>17.079999999999998</v>
      </c>
      <c r="F2380" s="2" t="e">
        <f>IF(Table2[[#This Row],[Manual Cat Value]]="",VLOOKUP(Table2[[#This Row],[Description]],'Actuals Lookup'!D:F,3,0),Table2[[#This Row],[Manual Cat Value]])</f>
        <v>#N/A</v>
      </c>
      <c r="J2380" s="2">
        <v>17.079999999999998</v>
      </c>
      <c r="K2380" s="2" t="b">
        <v>0</v>
      </c>
      <c r="L2380" s="2"/>
      <c r="M2380" s="2"/>
      <c r="N2380" s="4" t="s">
        <v>2259</v>
      </c>
      <c r="O2380" s="4" t="str">
        <f>LEFT(Table2[[#This Row],[Description]],75)</f>
        <v>VIET HOA CHINESE CUISINE MINNETONKA MN 303891670</v>
      </c>
      <c r="P2380" s="2" t="s">
        <v>2281</v>
      </c>
    </row>
    <row r="2381" spans="1:16" hidden="1">
      <c r="A2381" s="2">
        <v>202004</v>
      </c>
      <c r="B2381" s="3">
        <v>43937</v>
      </c>
      <c r="C2381" s="2" t="s">
        <v>2434</v>
      </c>
      <c r="D2381" s="2" t="s">
        <v>222</v>
      </c>
      <c r="E2381" s="2">
        <v>-0.05</v>
      </c>
      <c r="F2381" s="2" t="e">
        <f>IF(Table2[[#This Row],[Manual Cat Value]]="",VLOOKUP(Table2[[#This Row],[Description]],'Actuals Lookup'!D:F,3,0),Table2[[#This Row],[Manual Cat Value]])</f>
        <v>#N/A</v>
      </c>
      <c r="J2381" s="2">
        <v>0.05</v>
      </c>
      <c r="K2381" s="2" t="b">
        <v>0</v>
      </c>
      <c r="L2381" s="2"/>
      <c r="M2381" s="2"/>
      <c r="N2381" s="4" t="s">
        <v>2273</v>
      </c>
      <c r="O2381" s="4" t="str">
        <f>LEFT(Table2[[#This Row],[Description]],75)</f>
        <v>BANK INT 031620-041520 SCHWAB PREMIER BANK</v>
      </c>
      <c r="P2381" s="2" t="s">
        <v>2281</v>
      </c>
    </row>
    <row r="2382" spans="1:16" hidden="1">
      <c r="A2382" s="2">
        <v>202004</v>
      </c>
      <c r="B2382" s="3">
        <v>43937</v>
      </c>
      <c r="C2382" s="2" t="s">
        <v>2435</v>
      </c>
      <c r="D2382" s="2" t="s">
        <v>222</v>
      </c>
      <c r="E2382" s="2">
        <v>-0.03</v>
      </c>
      <c r="F2382" s="2" t="e">
        <f>IF(Table2[[#This Row],[Manual Cat Value]]="",VLOOKUP(Table2[[#This Row],[Description]],'Actuals Lookup'!D:F,3,0),Table2[[#This Row],[Manual Cat Value]])</f>
        <v>#N/A</v>
      </c>
      <c r="J2382" s="2">
        <v>0.03</v>
      </c>
      <c r="K2382" s="2" t="b">
        <v>0</v>
      </c>
      <c r="L2382" s="2"/>
      <c r="M2382" s="2"/>
      <c r="N2382" s="4" t="s">
        <v>2273</v>
      </c>
      <c r="O2382" s="4" t="str">
        <f>LEFT(Table2[[#This Row],[Description]],75)</f>
        <v>BANK INT 031620-041520 SCHWAB PREMIER BANK</v>
      </c>
      <c r="P2382" s="2" t="s">
        <v>2281</v>
      </c>
    </row>
    <row r="2383" spans="1:16" hidden="1">
      <c r="A2383" s="2">
        <v>202004</v>
      </c>
      <c r="B2383" s="3">
        <v>43937</v>
      </c>
      <c r="C2383" s="2" t="s">
        <v>2262</v>
      </c>
      <c r="D2383" s="2" t="s">
        <v>1682</v>
      </c>
      <c r="E2383" s="2">
        <v>136.75</v>
      </c>
      <c r="F2383" s="2" t="str">
        <f>IF(Table2[[#This Row],[Manual Cat Value]]="",VLOOKUP(Table2[[#This Row],[Description]],'Actuals Lookup'!D:F,3,0),Table2[[#This Row],[Manual Cat Value]])</f>
        <v>Healthcare</v>
      </c>
      <c r="J2383" s="2">
        <v>136.75</v>
      </c>
      <c r="K2383" s="2" t="b">
        <v>0</v>
      </c>
      <c r="L2383" s="2"/>
      <c r="M2383" s="2"/>
      <c r="N2383" s="4" t="s">
        <v>2259</v>
      </c>
      <c r="O2383" s="4" t="str">
        <f>LEFT(Table2[[#This Row],[Description]],75)</f>
        <v>South Lake Pediatrics</v>
      </c>
      <c r="P2383" s="2" t="s">
        <v>2281</v>
      </c>
    </row>
    <row r="2384" spans="1:16" hidden="1">
      <c r="A2384" s="2">
        <v>202004</v>
      </c>
      <c r="B2384" s="3">
        <v>43938</v>
      </c>
      <c r="C2384" s="2" t="s">
        <v>2262</v>
      </c>
      <c r="D2384" s="2" t="s">
        <v>1448</v>
      </c>
      <c r="E2384" s="2">
        <v>-442.22</v>
      </c>
      <c r="F2384" s="2" t="e">
        <f>IF(Table2[[#This Row],[Manual Cat Value]]="",VLOOKUP(Table2[[#This Row],[Description]],'Actuals Lookup'!D:F,3,0),Table2[[#This Row],[Manual Cat Value]])</f>
        <v>#N/A</v>
      </c>
      <c r="J2384" s="2">
        <v>442.22</v>
      </c>
      <c r="K2384" s="2" t="b">
        <v>0</v>
      </c>
      <c r="L2384" s="2"/>
      <c r="M2384" s="2"/>
      <c r="N2384" s="4" t="s">
        <v>2273</v>
      </c>
      <c r="O2384" s="4" t="str">
        <f>LEFT(Table2[[#This Row],[Description]],75)</f>
        <v>PAYMENT THANK YOU 304766117</v>
      </c>
      <c r="P2384" s="2" t="s">
        <v>2391</v>
      </c>
    </row>
    <row r="2385" spans="1:16" hidden="1">
      <c r="A2385" s="2">
        <v>202004</v>
      </c>
      <c r="B2385" s="3">
        <v>43938</v>
      </c>
      <c r="C2385" s="2" t="s">
        <v>2265</v>
      </c>
      <c r="D2385" s="2" t="s">
        <v>2193</v>
      </c>
      <c r="E2385" s="2">
        <v>442.22</v>
      </c>
      <c r="F2385" s="2" t="e">
        <f>IF(Table2[[#This Row],[Manual Cat Value]]="",VLOOKUP(Table2[[#This Row],[Description]],'Actuals Lookup'!D:F,3,0),Table2[[#This Row],[Manual Cat Value]])</f>
        <v>#N/A</v>
      </c>
      <c r="J2385" s="2">
        <v>442.22</v>
      </c>
      <c r="K2385" s="2" t="b">
        <v>0</v>
      </c>
      <c r="L2385" s="2"/>
      <c r="M2385" s="2"/>
      <c r="N2385" s="4" t="s">
        <v>2259</v>
      </c>
      <c r="O2385" s="4" t="str">
        <f>LEFT(Table2[[#This Row],[Description]],75)</f>
        <v>Withdrawal Home payment to card 979181 304320586</v>
      </c>
      <c r="P2385" s="2" t="s">
        <v>2349</v>
      </c>
    </row>
    <row r="2386" spans="1:16" hidden="1">
      <c r="A2386" s="2">
        <v>202004</v>
      </c>
      <c r="B2386" s="3">
        <v>43938</v>
      </c>
      <c r="C2386" s="2" t="s">
        <v>2317</v>
      </c>
      <c r="D2386" s="2" t="s">
        <v>354</v>
      </c>
      <c r="E2386" s="2">
        <v>-200</v>
      </c>
      <c r="F2386" s="2" t="e">
        <f>IF(Table2[[#This Row],[Manual Cat Value]]="",VLOOKUP(Table2[[#This Row],[Description]],'Actuals Lookup'!D:F,3,0),Table2[[#This Row],[Manual Cat Value]])</f>
        <v>#N/A</v>
      </c>
      <c r="J2386" s="2">
        <v>200</v>
      </c>
      <c r="K2386" s="2" t="b">
        <v>0</v>
      </c>
      <c r="L2386" s="2"/>
      <c r="M2386" s="2"/>
      <c r="N2386" s="4" t="s">
        <v>2273</v>
      </c>
      <c r="O2386" s="4" t="str">
        <f>LEFT(Table2[[#This Row],[Description]],75)</f>
        <v>CARGILL COCOA &amp;</v>
      </c>
      <c r="P2386" s="2" t="s">
        <v>2354</v>
      </c>
    </row>
    <row r="2387" spans="1:16" hidden="1">
      <c r="A2387" s="2">
        <v>202004</v>
      </c>
      <c r="B2387" s="3">
        <v>43938</v>
      </c>
      <c r="C2387" s="2" t="s">
        <v>2460</v>
      </c>
      <c r="D2387" s="2" t="s">
        <v>354</v>
      </c>
      <c r="E2387" s="2">
        <v>-200</v>
      </c>
      <c r="F2387" s="2" t="e">
        <f>IF(Table2[[#This Row],[Manual Cat Value]]="",VLOOKUP(Table2[[#This Row],[Description]],'Actuals Lookup'!D:F,3,0),Table2[[#This Row],[Manual Cat Value]])</f>
        <v>#N/A</v>
      </c>
      <c r="J2387" s="2">
        <v>200</v>
      </c>
      <c r="K2387" s="2" t="b">
        <v>0</v>
      </c>
      <c r="L2387" s="2"/>
      <c r="M2387" s="2"/>
      <c r="N2387" s="4" t="s">
        <v>2273</v>
      </c>
      <c r="O2387" s="4" t="str">
        <f>LEFT(Table2[[#This Row],[Description]],75)</f>
        <v>CARGILL COCOA &amp;</v>
      </c>
      <c r="P2387" s="2" t="s">
        <v>2354</v>
      </c>
    </row>
    <row r="2388" spans="1:16" hidden="1">
      <c r="A2388" s="2">
        <v>202004</v>
      </c>
      <c r="B2388" s="3">
        <v>43938</v>
      </c>
      <c r="C2388" s="2" t="s">
        <v>2447</v>
      </c>
      <c r="D2388" s="2" t="s">
        <v>947</v>
      </c>
      <c r="E2388" s="2">
        <v>119.88</v>
      </c>
      <c r="F2388" s="2" t="e">
        <f>IF(Table2[[#This Row],[Manual Cat Value]]="",VLOOKUP(Table2[[#This Row],[Description]],'Actuals Lookup'!D:F,3,0),Table2[[#This Row],[Manual Cat Value]])</f>
        <v>#N/A</v>
      </c>
      <c r="J2388" s="2">
        <v>119.88</v>
      </c>
      <c r="K2388" s="2" t="b">
        <v>0</v>
      </c>
      <c r="L2388" s="2"/>
      <c r="M2388" s="2"/>
      <c r="N2388" s="4" t="s">
        <v>2259</v>
      </c>
      <c r="O2388" s="4" t="str">
        <f>LEFT(Table2[[#This Row],[Description]],75)</f>
        <v>Home Depot</v>
      </c>
      <c r="P2388" s="2" t="s">
        <v>2396</v>
      </c>
    </row>
    <row r="2389" spans="1:16" hidden="1">
      <c r="A2389" s="2">
        <v>202004</v>
      </c>
      <c r="B2389" s="3">
        <v>43938</v>
      </c>
      <c r="C2389" s="2" t="s">
        <v>2258</v>
      </c>
      <c r="D2389" s="2" t="s">
        <v>947</v>
      </c>
      <c r="E2389" s="2">
        <v>119.88</v>
      </c>
      <c r="F2389" s="2" t="e">
        <f>IF(Table2[[#This Row],[Manual Cat Value]]="",VLOOKUP(Table2[[#This Row],[Description]],'Actuals Lookup'!D:F,3,0),Table2[[#This Row],[Manual Cat Value]])</f>
        <v>#N/A</v>
      </c>
      <c r="J2389" s="2">
        <v>119.88</v>
      </c>
      <c r="K2389" s="2" t="b">
        <v>0</v>
      </c>
      <c r="L2389" s="2"/>
      <c r="M2389" s="2"/>
      <c r="N2389" s="4" t="s">
        <v>2259</v>
      </c>
      <c r="O2389" s="4" t="str">
        <f>LEFT(Table2[[#This Row],[Description]],75)</f>
        <v>Home Depot</v>
      </c>
      <c r="P2389" s="2" t="s">
        <v>2396</v>
      </c>
    </row>
    <row r="2390" spans="1:16" hidden="1">
      <c r="A2390" s="2">
        <v>202004</v>
      </c>
      <c r="B2390" s="3">
        <v>43938</v>
      </c>
      <c r="C2390" s="2" t="s">
        <v>2262</v>
      </c>
      <c r="D2390" s="2" t="s">
        <v>1589</v>
      </c>
      <c r="E2390" s="2">
        <v>397.29</v>
      </c>
      <c r="F2390" s="2" t="e">
        <f>IF(Table2[[#This Row],[Manual Cat Value]]="",VLOOKUP(Table2[[#This Row],[Description]],'Actuals Lookup'!D:F,3,0),Table2[[#This Row],[Manual Cat Value]])</f>
        <v>#N/A</v>
      </c>
      <c r="J2390" s="2">
        <v>397.29</v>
      </c>
      <c r="K2390" s="2" t="b">
        <v>0</v>
      </c>
      <c r="L2390" s="2"/>
      <c r="M2390" s="2"/>
      <c r="N2390" s="4" t="s">
        <v>2259</v>
      </c>
      <c r="O2390" s="4" t="str">
        <f>LEFT(Table2[[#This Row],[Description]],75)</f>
        <v>RIDGEVIEW MEDICAL CNTHOSWACONIA MN 304549459</v>
      </c>
      <c r="P2390" s="2" t="s">
        <v>2281</v>
      </c>
    </row>
    <row r="2391" spans="1:16" hidden="1">
      <c r="A2391" s="2">
        <v>202004</v>
      </c>
      <c r="B2391" s="3">
        <v>43938</v>
      </c>
      <c r="C2391" s="2" t="s">
        <v>2338</v>
      </c>
      <c r="D2391" s="2" t="s">
        <v>1820</v>
      </c>
      <c r="E2391" s="2">
        <v>-732.69</v>
      </c>
      <c r="F2391" s="2" t="e">
        <f>IF(Table2[[#This Row],[Manual Cat Value]]="",VLOOKUP(Table2[[#This Row],[Description]],'Actuals Lookup'!D:F,3,0),Table2[[#This Row],[Manual Cat Value]])</f>
        <v>#N/A</v>
      </c>
      <c r="J2391" s="2">
        <v>732.69</v>
      </c>
      <c r="K2391" s="2" t="b">
        <v>0</v>
      </c>
      <c r="L2391" s="2"/>
      <c r="M2391" s="2"/>
      <c r="N2391" s="4" t="s">
        <v>2273</v>
      </c>
      <c r="O2391" s="4" t="str">
        <f>LEFT(Table2[[#This Row],[Description]],75)</f>
        <v>Target Retire 2055 Tr P - Plan Contribution</v>
      </c>
      <c r="P2391" s="2" t="s">
        <v>2386</v>
      </c>
    </row>
    <row r="2392" spans="1:16" hidden="1">
      <c r="A2392" s="2">
        <v>202004</v>
      </c>
      <c r="B2392" s="3">
        <v>43938</v>
      </c>
      <c r="C2392" s="2" t="s">
        <v>2434</v>
      </c>
      <c r="D2392" s="2" t="s">
        <v>1834</v>
      </c>
      <c r="E2392" s="2">
        <v>-231</v>
      </c>
      <c r="F2392" s="2" t="e">
        <f>IF(Table2[[#This Row],[Manual Cat Value]]="",VLOOKUP(Table2[[#This Row],[Description]],'Actuals Lookup'!D:F,3,0),Table2[[#This Row],[Manual Cat Value]])</f>
        <v>#N/A</v>
      </c>
      <c r="J2392" s="2">
        <v>231</v>
      </c>
      <c r="K2392" s="2" t="b">
        <v>0</v>
      </c>
      <c r="L2392" s="2"/>
      <c r="M2392" s="2"/>
      <c r="N2392" s="4" t="s">
        <v>2273</v>
      </c>
      <c r="O2392" s="4" t="str">
        <f>LEFT(Table2[[#This Row],[Description]],75)</f>
        <v>Tfr JPMORGAN CHASE BAN, CARGILL COCOA &amp;</v>
      </c>
      <c r="P2392" s="2" t="s">
        <v>2356</v>
      </c>
    </row>
    <row r="2393" spans="1:16" hidden="1">
      <c r="A2393" s="2">
        <v>202004</v>
      </c>
      <c r="B2393" s="3">
        <v>43938</v>
      </c>
      <c r="C2393" s="2" t="s">
        <v>2262</v>
      </c>
      <c r="D2393" s="2" t="s">
        <v>2151</v>
      </c>
      <c r="E2393" s="2">
        <v>53.6</v>
      </c>
      <c r="F2393" s="2" t="e">
        <f>IF(Table2[[#This Row],[Manual Cat Value]]="",VLOOKUP(Table2[[#This Row],[Description]],'Actuals Lookup'!D:F,3,0),Table2[[#This Row],[Manual Cat Value]])</f>
        <v>#N/A</v>
      </c>
      <c r="J2393" s="2">
        <v>53.6</v>
      </c>
      <c r="K2393" s="2" t="b">
        <v>0</v>
      </c>
      <c r="L2393" s="2"/>
      <c r="M2393" s="2"/>
      <c r="N2393" s="4" t="s">
        <v>2259</v>
      </c>
      <c r="O2393" s="4" t="str">
        <f>LEFT(Table2[[#This Row],[Description]],75)</f>
        <v>Western Ob Gyne Ltd</v>
      </c>
      <c r="P2393" s="2" t="s">
        <v>2424</v>
      </c>
    </row>
    <row r="2394" spans="1:16" hidden="1">
      <c r="A2394" s="2">
        <v>202004</v>
      </c>
      <c r="B2394" s="3">
        <v>43939</v>
      </c>
      <c r="C2394" s="2" t="s">
        <v>2447</v>
      </c>
      <c r="D2394" s="2" t="s">
        <v>103</v>
      </c>
      <c r="E2394" s="2">
        <v>161.49</v>
      </c>
      <c r="F2394" s="2" t="str">
        <f>IF(Table2[[#This Row],[Manual Cat Value]]="",VLOOKUP(Table2[[#This Row],[Description]],'Actuals Lookup'!D:F,3,0),Table2[[#This Row],[Manual Cat Value]])</f>
        <v>Healthcare</v>
      </c>
      <c r="J2394" s="2">
        <v>161.49</v>
      </c>
      <c r="K2394" s="2" t="b">
        <v>0</v>
      </c>
      <c r="L2394" s="2"/>
      <c r="M2394" s="2"/>
      <c r="N2394" s="4" t="s">
        <v>2259</v>
      </c>
      <c r="O2394" s="4" t="str">
        <f>LEFT(Table2[[#This Row],[Description]],75)</f>
        <v>Advocare</v>
      </c>
      <c r="P2394" s="2" t="s">
        <v>2292</v>
      </c>
    </row>
    <row r="2395" spans="1:16" hidden="1">
      <c r="A2395" s="2">
        <v>202004</v>
      </c>
      <c r="B2395" s="3">
        <v>43939</v>
      </c>
      <c r="C2395" s="2" t="s">
        <v>2258</v>
      </c>
      <c r="D2395" s="2" t="s">
        <v>103</v>
      </c>
      <c r="E2395" s="2">
        <v>161.49</v>
      </c>
      <c r="F2395" s="2" t="str">
        <f>IF(Table2[[#This Row],[Manual Cat Value]]="",VLOOKUP(Table2[[#This Row],[Description]],'Actuals Lookup'!D:F,3,0),Table2[[#This Row],[Manual Cat Value]])</f>
        <v>Healthcare</v>
      </c>
      <c r="J2395" s="2">
        <v>161.49</v>
      </c>
      <c r="K2395" s="2" t="b">
        <v>0</v>
      </c>
      <c r="L2395" s="2"/>
      <c r="M2395" s="2"/>
      <c r="N2395" s="4" t="s">
        <v>2259</v>
      </c>
      <c r="O2395" s="4" t="str">
        <f>LEFT(Table2[[#This Row],[Description]],75)</f>
        <v>Advocare</v>
      </c>
      <c r="P2395" s="2" t="s">
        <v>2292</v>
      </c>
    </row>
    <row r="2396" spans="1:16" hidden="1">
      <c r="A2396" s="2">
        <v>202004</v>
      </c>
      <c r="B2396" s="3">
        <v>43941</v>
      </c>
      <c r="C2396" s="2" t="s">
        <v>2447</v>
      </c>
      <c r="D2396" s="2" t="s">
        <v>38</v>
      </c>
      <c r="E2396" s="2">
        <v>26.83</v>
      </c>
      <c r="F2396" s="2" t="str">
        <f>IF(Table2[[#This Row],[Manual Cat Value]]="",VLOOKUP(Table2[[#This Row],[Description]],'Actuals Lookup'!D:F,3,0),Table2[[#This Row],[Manual Cat Value]])</f>
        <v>Amazon</v>
      </c>
      <c r="J2396" s="2">
        <v>26.83</v>
      </c>
      <c r="K2396" s="2" t="b">
        <v>0</v>
      </c>
      <c r="L2396" s="2"/>
      <c r="M2396" s="2"/>
      <c r="N2396" s="4" t="s">
        <v>2259</v>
      </c>
      <c r="O2396" s="4" t="str">
        <f>LEFT(Table2[[#This Row],[Description]],75)</f>
        <v>Amazon</v>
      </c>
      <c r="P2396" s="2" t="s">
        <v>2260</v>
      </c>
    </row>
    <row r="2397" spans="1:16" hidden="1">
      <c r="A2397" s="2">
        <v>202004</v>
      </c>
      <c r="B2397" s="3">
        <v>43941</v>
      </c>
      <c r="C2397" s="2" t="s">
        <v>2258</v>
      </c>
      <c r="D2397" s="2" t="s">
        <v>38</v>
      </c>
      <c r="E2397" s="2">
        <v>26.83</v>
      </c>
      <c r="F2397" s="2" t="str">
        <f>IF(Table2[[#This Row],[Manual Cat Value]]="",VLOOKUP(Table2[[#This Row],[Description]],'Actuals Lookup'!D:F,3,0),Table2[[#This Row],[Manual Cat Value]])</f>
        <v>Amazon</v>
      </c>
      <c r="J2397" s="2">
        <v>26.83</v>
      </c>
      <c r="K2397" s="2" t="b">
        <v>0</v>
      </c>
      <c r="L2397" s="2"/>
      <c r="M2397" s="2"/>
      <c r="N2397" s="4" t="s">
        <v>2259</v>
      </c>
      <c r="O2397" s="4" t="str">
        <f>LEFT(Table2[[#This Row],[Description]],75)</f>
        <v>Amazon</v>
      </c>
      <c r="P2397" s="2" t="s">
        <v>2260</v>
      </c>
    </row>
    <row r="2398" spans="1:16" hidden="1">
      <c r="A2398" s="2">
        <v>202004</v>
      </c>
      <c r="B2398" s="3">
        <v>43941</v>
      </c>
      <c r="C2398" s="2" t="s">
        <v>2338</v>
      </c>
      <c r="D2398" s="2" t="s">
        <v>403</v>
      </c>
      <c r="E2398" s="2">
        <v>-1172.31</v>
      </c>
      <c r="F2398" s="2" t="e">
        <f>IF(Table2[[#This Row],[Manual Cat Value]]="",VLOOKUP(Table2[[#This Row],[Description]],'Actuals Lookup'!D:F,3,0),Table2[[#This Row],[Manual Cat Value]])</f>
        <v>#N/A</v>
      </c>
      <c r="J2398" s="2">
        <v>1172.31</v>
      </c>
      <c r="K2398" s="2" t="b">
        <v>0</v>
      </c>
      <c r="L2398" s="2"/>
      <c r="M2398" s="2"/>
      <c r="N2398" s="4" t="s">
        <v>2273</v>
      </c>
      <c r="O2398" s="4" t="str">
        <f>LEFT(Table2[[#This Row],[Description]],75)</f>
        <v>Cargill ESOP Stock Fund - Plan Contribution</v>
      </c>
      <c r="P2398" s="2" t="s">
        <v>2451</v>
      </c>
    </row>
    <row r="2399" spans="1:16" hidden="1">
      <c r="A2399" s="2">
        <v>202004</v>
      </c>
      <c r="B2399" s="3">
        <v>43941</v>
      </c>
      <c r="C2399" s="2" t="s">
        <v>2265</v>
      </c>
      <c r="D2399" s="2" t="s">
        <v>1296</v>
      </c>
      <c r="E2399" s="2">
        <v>200</v>
      </c>
      <c r="F2399" s="2" t="e">
        <f>IF(Table2[[#This Row],[Manual Cat Value]]="",VLOOKUP(Table2[[#This Row],[Description]],'Actuals Lookup'!D:F,3,0),Table2[[#This Row],[Manual Cat Value]])</f>
        <v>#N/A</v>
      </c>
      <c r="J2399" s="2">
        <v>200</v>
      </c>
      <c r="K2399" s="2" t="b">
        <v>0</v>
      </c>
      <c r="L2399" s="2"/>
      <c r="M2399" s="2"/>
      <c r="N2399" s="4" t="s">
        <v>2259</v>
      </c>
      <c r="O2399" s="4" t="str">
        <f>LEFT(Table2[[#This Row],[Description]],75)</f>
        <v>MN DIR ACH TYPE CONTRIB ID CO MN DIR ACH ACH ECC WEB ACH Trace 68811 304831</v>
      </c>
      <c r="P2399" s="2" t="s">
        <v>2469</v>
      </c>
    </row>
    <row r="2400" spans="1:16" hidden="1">
      <c r="A2400" s="2">
        <v>202004</v>
      </c>
      <c r="B2400" s="3">
        <v>43942</v>
      </c>
      <c r="C2400" s="2" t="s">
        <v>2447</v>
      </c>
      <c r="D2400" s="2" t="s">
        <v>997</v>
      </c>
      <c r="E2400" s="2">
        <v>-347.34</v>
      </c>
      <c r="F2400" s="2" t="str">
        <f>IF(Table2[[#This Row],[Manual Cat Value]]="",VLOOKUP(Table2[[#This Row],[Description]],'Actuals Lookup'!D:F,3,0),Table2[[#This Row],[Manual Cat Value]])</f>
        <v>Delete</v>
      </c>
      <c r="J2400" s="2">
        <v>347.34</v>
      </c>
      <c r="K2400" s="2" t="b">
        <v>0</v>
      </c>
      <c r="L2400" s="2"/>
      <c r="M2400" s="2"/>
      <c r="N2400" s="4" t="s">
        <v>2273</v>
      </c>
      <c r="O2400" s="4" t="str">
        <f>LEFT(Table2[[#This Row],[Description]],75)</f>
        <v>INTERNET PAYMENT - THANK YOU</v>
      </c>
      <c r="P2400" s="2" t="s">
        <v>2291</v>
      </c>
    </row>
    <row r="2401" spans="1:16" hidden="1">
      <c r="A2401" s="2">
        <v>202004</v>
      </c>
      <c r="B2401" s="3">
        <v>43942</v>
      </c>
      <c r="C2401" s="2" t="s">
        <v>2258</v>
      </c>
      <c r="D2401" s="2" t="s">
        <v>997</v>
      </c>
      <c r="E2401" s="2">
        <v>-347.34</v>
      </c>
      <c r="F2401" s="2" t="str">
        <f>IF(Table2[[#This Row],[Manual Cat Value]]="",VLOOKUP(Table2[[#This Row],[Description]],'Actuals Lookup'!D:F,3,0),Table2[[#This Row],[Manual Cat Value]])</f>
        <v>Delete</v>
      </c>
      <c r="J2401" s="2">
        <v>347.34</v>
      </c>
      <c r="K2401" s="2" t="b">
        <v>0</v>
      </c>
      <c r="L2401" s="2"/>
      <c r="M2401" s="2"/>
      <c r="N2401" s="4" t="s">
        <v>2273</v>
      </c>
      <c r="O2401" s="4" t="str">
        <f>LEFT(Table2[[#This Row],[Description]],75)</f>
        <v>INTERNET PAYMENT - THANK YOU</v>
      </c>
      <c r="P2401" s="2" t="s">
        <v>2291</v>
      </c>
    </row>
    <row r="2402" spans="1:16" hidden="1">
      <c r="A2402" s="2">
        <v>202004</v>
      </c>
      <c r="B2402" s="3">
        <v>43942</v>
      </c>
      <c r="C2402" s="2" t="s">
        <v>2265</v>
      </c>
      <c r="D2402" s="2" t="s">
        <v>557</v>
      </c>
      <c r="E2402" s="2">
        <v>117.79</v>
      </c>
      <c r="F2402" s="2" t="e">
        <f>IF(Table2[[#This Row],[Manual Cat Value]]="",VLOOKUP(Table2[[#This Row],[Description]],'Actuals Lookup'!D:F,3,0),Table2[[#This Row],[Manual Cat Value]])</f>
        <v>#N/A</v>
      </c>
      <c r="J2402" s="2">
        <v>117.79</v>
      </c>
      <c r="K2402" s="2" t="b">
        <v>0</v>
      </c>
      <c r="L2402" s="2"/>
      <c r="M2402" s="2"/>
      <c r="N2402" s="4" t="s">
        <v>2259</v>
      </c>
      <c r="O2402" s="4" t="str">
        <f>LEFT(Table2[[#This Row],[Description]],75)</f>
        <v>City of Chanhassen</v>
      </c>
      <c r="P2402" s="2" t="s">
        <v>2298</v>
      </c>
    </row>
    <row r="2403" spans="1:16" hidden="1">
      <c r="A2403" s="2">
        <v>202004</v>
      </c>
      <c r="B2403" s="3">
        <v>43942</v>
      </c>
      <c r="C2403" s="2" t="s">
        <v>2262</v>
      </c>
      <c r="D2403" s="2" t="s">
        <v>947</v>
      </c>
      <c r="E2403" s="2">
        <v>187.46</v>
      </c>
      <c r="F2403" s="2" t="e">
        <f>IF(Table2[[#This Row],[Manual Cat Value]]="",VLOOKUP(Table2[[#This Row],[Description]],'Actuals Lookup'!D:F,3,0),Table2[[#This Row],[Manual Cat Value]])</f>
        <v>#N/A</v>
      </c>
      <c r="J2403" s="2">
        <v>187.46</v>
      </c>
      <c r="K2403" s="2" t="b">
        <v>0</v>
      </c>
      <c r="L2403" s="2"/>
      <c r="M2403" s="2"/>
      <c r="N2403" s="4" t="s">
        <v>2259</v>
      </c>
      <c r="O2403" s="4" t="str">
        <f>LEFT(Table2[[#This Row],[Description]],75)</f>
        <v>Home Depot</v>
      </c>
      <c r="P2403" s="2" t="s">
        <v>2396</v>
      </c>
    </row>
    <row r="2404" spans="1:16" hidden="1">
      <c r="A2404" s="2">
        <v>202004</v>
      </c>
      <c r="B2404" s="3">
        <v>43942</v>
      </c>
      <c r="C2404" s="2" t="s">
        <v>2262</v>
      </c>
      <c r="D2404" s="2" t="s">
        <v>947</v>
      </c>
      <c r="E2404" s="2">
        <v>193.03</v>
      </c>
      <c r="F2404" s="2" t="e">
        <f>IF(Table2[[#This Row],[Manual Cat Value]]="",VLOOKUP(Table2[[#This Row],[Description]],'Actuals Lookup'!D:F,3,0),Table2[[#This Row],[Manual Cat Value]])</f>
        <v>#N/A</v>
      </c>
      <c r="J2404" s="2">
        <v>193.03</v>
      </c>
      <c r="K2404" s="2" t="b">
        <v>0</v>
      </c>
      <c r="L2404" s="2"/>
      <c r="M2404" s="2"/>
      <c r="N2404" s="4" t="s">
        <v>2259</v>
      </c>
      <c r="O2404" s="4" t="str">
        <f>LEFT(Table2[[#This Row],[Description]],75)</f>
        <v>Home Depot</v>
      </c>
      <c r="P2404" s="2" t="s">
        <v>2396</v>
      </c>
    </row>
    <row r="2405" spans="1:16" hidden="1">
      <c r="A2405" s="2">
        <v>202004</v>
      </c>
      <c r="B2405" s="3">
        <v>43943</v>
      </c>
      <c r="C2405" s="2" t="s">
        <v>2265</v>
      </c>
      <c r="D2405" s="2" t="s">
        <v>752</v>
      </c>
      <c r="E2405" s="2">
        <v>347.34</v>
      </c>
      <c r="F2405" s="2" t="e">
        <f>IF(Table2[[#This Row],[Manual Cat Value]]="",VLOOKUP(Table2[[#This Row],[Description]],'Actuals Lookup'!D:F,3,0),Table2[[#This Row],[Manual Cat Value]])</f>
        <v>#N/A</v>
      </c>
      <c r="J2405" s="2">
        <v>347.34</v>
      </c>
      <c r="K2405" s="2" t="b">
        <v>0</v>
      </c>
      <c r="L2405" s="2"/>
      <c r="M2405" s="2"/>
      <c r="N2405" s="4" t="s">
        <v>2259</v>
      </c>
      <c r="O2405" s="4" t="str">
        <f>LEFT(Table2[[#This Row],[Description]],75)</f>
        <v>DISCOVER TYPE EPAYMENT ID CO DISCOVER ACH ECC WEB ACH Trace 17003 305306644</v>
      </c>
      <c r="P2405" s="2" t="s">
        <v>2293</v>
      </c>
    </row>
    <row r="2406" spans="1:16" hidden="1">
      <c r="A2406" s="2">
        <v>202004</v>
      </c>
      <c r="B2406" s="3">
        <v>43943</v>
      </c>
      <c r="C2406" s="2" t="s">
        <v>2265</v>
      </c>
      <c r="D2406" s="2" t="s">
        <v>1175</v>
      </c>
      <c r="E2406" s="2">
        <v>467.52</v>
      </c>
      <c r="F2406" s="2" t="e">
        <f>IF(Table2[[#This Row],[Manual Cat Value]]="",VLOOKUP(Table2[[#This Row],[Description]],'Actuals Lookup'!D:F,3,0),Table2[[#This Row],[Manual Cat Value]])</f>
        <v>#N/A</v>
      </c>
      <c r="J2406" s="2">
        <v>467.52</v>
      </c>
      <c r="K2406" s="2" t="b">
        <v>0</v>
      </c>
      <c r="L2406" s="2"/>
      <c r="M2406" s="2"/>
      <c r="N2406" s="4" t="s">
        <v>2259</v>
      </c>
      <c r="O2406" s="4" t="str">
        <f>LEFT(Table2[[#This Row],[Description]],75)</f>
        <v>MACYS TYPE PAYMENT ID CITIGPUFDR CO MACYS ACH ECC PPD ACH Trace 07912 30530</v>
      </c>
      <c r="P2406" s="2" t="s">
        <v>2281</v>
      </c>
    </row>
    <row r="2407" spans="1:16" hidden="1">
      <c r="A2407" s="2">
        <v>202004</v>
      </c>
      <c r="B2407" s="3">
        <v>43943</v>
      </c>
      <c r="C2407" s="2" t="s">
        <v>2262</v>
      </c>
      <c r="D2407" s="2" t="s">
        <v>1449</v>
      </c>
      <c r="E2407" s="2">
        <v>-831.38</v>
      </c>
      <c r="F2407" s="2" t="e">
        <f>IF(Table2[[#This Row],[Manual Cat Value]]="",VLOOKUP(Table2[[#This Row],[Description]],'Actuals Lookup'!D:F,3,0),Table2[[#This Row],[Manual Cat Value]])</f>
        <v>#N/A</v>
      </c>
      <c r="J2407" s="2">
        <v>831.38</v>
      </c>
      <c r="K2407" s="2" t="b">
        <v>0</v>
      </c>
      <c r="L2407" s="2"/>
      <c r="M2407" s="2"/>
      <c r="N2407" s="4" t="s">
        <v>2273</v>
      </c>
      <c r="O2407" s="4" t="str">
        <f>LEFT(Table2[[#This Row],[Description]],75)</f>
        <v>PAYMENT THANK YOU 305725375</v>
      </c>
      <c r="P2407" s="2" t="s">
        <v>2391</v>
      </c>
    </row>
    <row r="2408" spans="1:16" hidden="1">
      <c r="A2408" s="2">
        <v>202004</v>
      </c>
      <c r="B2408" s="3">
        <v>43943</v>
      </c>
      <c r="C2408" s="2" t="s">
        <v>2265</v>
      </c>
      <c r="D2408" s="2" t="s">
        <v>2194</v>
      </c>
      <c r="E2408" s="2">
        <v>831.38</v>
      </c>
      <c r="F2408" s="2" t="e">
        <f>IF(Table2[[#This Row],[Manual Cat Value]]="",VLOOKUP(Table2[[#This Row],[Description]],'Actuals Lookup'!D:F,3,0),Table2[[#This Row],[Manual Cat Value]])</f>
        <v>#N/A</v>
      </c>
      <c r="J2408" s="2">
        <v>831.38</v>
      </c>
      <c r="K2408" s="2" t="b">
        <v>0</v>
      </c>
      <c r="L2408" s="2"/>
      <c r="M2408" s="2"/>
      <c r="N2408" s="4" t="s">
        <v>2259</v>
      </c>
      <c r="O2408" s="4" t="str">
        <f>LEFT(Table2[[#This Row],[Description]],75)</f>
        <v>Withdrawal Home payment to card 979181 305394381</v>
      </c>
      <c r="P2408" s="2" t="s">
        <v>2349</v>
      </c>
    </row>
    <row r="2409" spans="1:16" hidden="1">
      <c r="A2409" s="2">
        <v>202004</v>
      </c>
      <c r="B2409" s="3">
        <v>43943</v>
      </c>
      <c r="C2409" s="2" t="s">
        <v>2262</v>
      </c>
      <c r="D2409" s="2" t="s">
        <v>947</v>
      </c>
      <c r="E2409" s="2">
        <v>28.95</v>
      </c>
      <c r="F2409" s="2" t="e">
        <f>IF(Table2[[#This Row],[Manual Cat Value]]="",VLOOKUP(Table2[[#This Row],[Description]],'Actuals Lookup'!D:F,3,0),Table2[[#This Row],[Manual Cat Value]])</f>
        <v>#N/A</v>
      </c>
      <c r="J2409" s="2">
        <v>28.95</v>
      </c>
      <c r="K2409" s="2" t="b">
        <v>0</v>
      </c>
      <c r="L2409" s="2"/>
      <c r="M2409" s="2"/>
      <c r="N2409" s="4" t="s">
        <v>2259</v>
      </c>
      <c r="O2409" s="4" t="str">
        <f>LEFT(Table2[[#This Row],[Description]],75)</f>
        <v>Home Depot</v>
      </c>
      <c r="P2409" s="2" t="s">
        <v>2396</v>
      </c>
    </row>
    <row r="2410" spans="1:16" hidden="1">
      <c r="A2410" s="2">
        <v>202004</v>
      </c>
      <c r="B2410" s="3">
        <v>43944</v>
      </c>
      <c r="C2410" s="2" t="s">
        <v>2317</v>
      </c>
      <c r="D2410" s="2" t="s">
        <v>305</v>
      </c>
      <c r="E2410" s="2">
        <v>690</v>
      </c>
      <c r="F2410" s="2" t="e">
        <f>IF(Table2[[#This Row],[Manual Cat Value]]="",VLOOKUP(Table2[[#This Row],[Description]],'Actuals Lookup'!D:F,3,0),Table2[[#This Row],[Manual Cat Value]])</f>
        <v>#N/A</v>
      </c>
      <c r="J2410" s="2">
        <v>690</v>
      </c>
      <c r="K2410" s="2" t="b">
        <v>0</v>
      </c>
      <c r="L2410" s="2"/>
      <c r="M2410" s="2"/>
      <c r="N2410" s="4" t="s">
        <v>2259</v>
      </c>
      <c r="O2410" s="4" t="str">
        <f>LEFT(Table2[[#This Row],[Description]],75)</f>
        <v>BOEING CO</v>
      </c>
      <c r="P2410" s="2" t="s">
        <v>2425</v>
      </c>
    </row>
    <row r="2411" spans="1:16" hidden="1">
      <c r="A2411" s="2">
        <v>202004</v>
      </c>
      <c r="B2411" s="3">
        <v>43944</v>
      </c>
      <c r="C2411" s="2" t="s">
        <v>2460</v>
      </c>
      <c r="D2411" s="2" t="s">
        <v>305</v>
      </c>
      <c r="E2411" s="2">
        <v>690</v>
      </c>
      <c r="F2411" s="2" t="e">
        <f>IF(Table2[[#This Row],[Manual Cat Value]]="",VLOOKUP(Table2[[#This Row],[Description]],'Actuals Lookup'!D:F,3,0),Table2[[#This Row],[Manual Cat Value]])</f>
        <v>#N/A</v>
      </c>
      <c r="J2411" s="2">
        <v>690</v>
      </c>
      <c r="K2411" s="2" t="b">
        <v>0</v>
      </c>
      <c r="L2411" s="2"/>
      <c r="M2411" s="2"/>
      <c r="N2411" s="4" t="s">
        <v>2259</v>
      </c>
      <c r="O2411" s="4" t="str">
        <f>LEFT(Table2[[#This Row],[Description]],75)</f>
        <v>BOEING CO</v>
      </c>
      <c r="P2411" s="2" t="s">
        <v>2425</v>
      </c>
    </row>
    <row r="2412" spans="1:16" hidden="1">
      <c r="A2412" s="2">
        <v>202004</v>
      </c>
      <c r="B2412" s="3">
        <v>43944</v>
      </c>
      <c r="C2412" s="2" t="s">
        <v>2265</v>
      </c>
      <c r="D2412" s="2" t="s">
        <v>2109</v>
      </c>
      <c r="E2412" s="2">
        <v>203.6</v>
      </c>
      <c r="F2412" s="2" t="str">
        <f>IF(Table2[[#This Row],[Manual Cat Value]]="",VLOOKUP(Table2[[#This Row],[Description]],'Actuals Lookup'!D:F,3,0),Table2[[#This Row],[Manual Cat Value]])</f>
        <v>Shopping</v>
      </c>
      <c r="J2412" s="2">
        <v>203.6</v>
      </c>
      <c r="K2412" s="2" t="b">
        <v>0</v>
      </c>
      <c r="L2412" s="2"/>
      <c r="M2412" s="2"/>
      <c r="N2412" s="4" t="s">
        <v>2259</v>
      </c>
      <c r="O2412" s="4" t="str">
        <f>LEFT(Table2[[#This Row],[Description]],75)</f>
        <v>Venmo</v>
      </c>
      <c r="P2412" s="2" t="s">
        <v>2281</v>
      </c>
    </row>
    <row r="2413" spans="1:16" hidden="1">
      <c r="A2413" s="2">
        <v>202004</v>
      </c>
      <c r="B2413" s="3">
        <v>43945</v>
      </c>
      <c r="C2413" s="2" t="s">
        <v>2300</v>
      </c>
      <c r="D2413" s="2" t="s">
        <v>1648</v>
      </c>
      <c r="E2413" s="2">
        <v>-200</v>
      </c>
      <c r="F2413" s="2" t="e">
        <f>IF(Table2[[#This Row],[Manual Cat Value]]="",VLOOKUP(Table2[[#This Row],[Description]],'Actuals Lookup'!D:F,3,0),Table2[[#This Row],[Manual Cat Value]])</f>
        <v>#N/A</v>
      </c>
      <c r="J2413" s="2">
        <v>200</v>
      </c>
      <c r="K2413" s="2" t="b">
        <v>0</v>
      </c>
      <c r="L2413" s="2"/>
      <c r="M2413" s="2"/>
      <c r="N2413" s="4" t="s">
        <v>2273</v>
      </c>
      <c r="O2413" s="4" t="str">
        <f>LEFT(Table2[[#This Row],[Description]],75)</f>
        <v>Share</v>
      </c>
      <c r="P2413" s="2" t="s">
        <v>2281</v>
      </c>
    </row>
    <row r="2414" spans="1:16" hidden="1">
      <c r="A2414" s="2">
        <v>202004</v>
      </c>
      <c r="B2414" s="3">
        <v>43945</v>
      </c>
      <c r="C2414" s="2" t="s">
        <v>2265</v>
      </c>
      <c r="D2414" s="2" t="s">
        <v>1898</v>
      </c>
      <c r="E2414" s="2">
        <v>200</v>
      </c>
      <c r="F2414" s="2" t="e">
        <f>IF(Table2[[#This Row],[Manual Cat Value]]="",VLOOKUP(Table2[[#This Row],[Description]],'Actuals Lookup'!D:F,3,0),Table2[[#This Row],[Manual Cat Value]])</f>
        <v>#N/A</v>
      </c>
      <c r="J2414" s="2">
        <v>200</v>
      </c>
      <c r="K2414" s="2" t="b">
        <v>0</v>
      </c>
      <c r="L2414" s="2"/>
      <c r="M2414" s="2"/>
      <c r="N2414" s="4" t="s">
        <v>2259</v>
      </c>
      <c r="O2414" s="4" t="str">
        <f>LEFT(Table2[[#This Row],[Description]],75)</f>
        <v>To Share 12 305789623</v>
      </c>
      <c r="P2414" s="2" t="s">
        <v>2281</v>
      </c>
    </row>
    <row r="2415" spans="1:16" hidden="1">
      <c r="A2415" s="2">
        <v>202004</v>
      </c>
      <c r="B2415" s="3">
        <v>43947</v>
      </c>
      <c r="C2415" s="2" t="s">
        <v>2262</v>
      </c>
      <c r="D2415" s="2" t="s">
        <v>947</v>
      </c>
      <c r="E2415" s="2">
        <v>74.55</v>
      </c>
      <c r="F2415" s="2" t="e">
        <f>IF(Table2[[#This Row],[Manual Cat Value]]="",VLOOKUP(Table2[[#This Row],[Description]],'Actuals Lookup'!D:F,3,0),Table2[[#This Row],[Manual Cat Value]])</f>
        <v>#N/A</v>
      </c>
      <c r="J2415" s="2">
        <v>74.55</v>
      </c>
      <c r="K2415" s="2" t="b">
        <v>0</v>
      </c>
      <c r="L2415" s="2"/>
      <c r="M2415" s="2"/>
      <c r="N2415" s="4" t="s">
        <v>2259</v>
      </c>
      <c r="O2415" s="4" t="str">
        <f>LEFT(Table2[[#This Row],[Description]],75)</f>
        <v>Home Depot</v>
      </c>
      <c r="P2415" s="2" t="s">
        <v>2396</v>
      </c>
    </row>
    <row r="2416" spans="1:16" hidden="1">
      <c r="A2416" s="2">
        <v>202004</v>
      </c>
      <c r="B2416" s="3">
        <v>43947</v>
      </c>
      <c r="C2416" s="2" t="s">
        <v>2262</v>
      </c>
      <c r="D2416" s="2" t="s">
        <v>947</v>
      </c>
      <c r="E2416" s="2">
        <v>79.349999999999994</v>
      </c>
      <c r="F2416" s="2" t="e">
        <f>IF(Table2[[#This Row],[Manual Cat Value]]="",VLOOKUP(Table2[[#This Row],[Description]],'Actuals Lookup'!D:F,3,0),Table2[[#This Row],[Manual Cat Value]])</f>
        <v>#N/A</v>
      </c>
      <c r="J2416" s="2">
        <v>79.349999999999994</v>
      </c>
      <c r="K2416" s="2" t="b">
        <v>0</v>
      </c>
      <c r="L2416" s="2"/>
      <c r="M2416" s="2"/>
      <c r="N2416" s="4" t="s">
        <v>2259</v>
      </c>
      <c r="O2416" s="4" t="str">
        <f>LEFT(Table2[[#This Row],[Description]],75)</f>
        <v>Home Depot</v>
      </c>
      <c r="P2416" s="2" t="s">
        <v>2396</v>
      </c>
    </row>
    <row r="2417" spans="1:16" hidden="1">
      <c r="A2417" s="2">
        <v>202004</v>
      </c>
      <c r="B2417" s="3">
        <v>43947</v>
      </c>
      <c r="C2417" s="2" t="s">
        <v>2447</v>
      </c>
      <c r="D2417" s="2" t="s">
        <v>1350</v>
      </c>
      <c r="E2417" s="2">
        <v>12.99</v>
      </c>
      <c r="F2417" s="2" t="str">
        <f>IF(Table2[[#This Row],[Manual Cat Value]]="",VLOOKUP(Table2[[#This Row],[Description]],'Actuals Lookup'!D:F,3,0),Table2[[#This Row],[Manual Cat Value]])</f>
        <v>Utilities</v>
      </c>
      <c r="J2417" s="2">
        <v>12.99</v>
      </c>
      <c r="K2417" s="2" t="b">
        <v>0</v>
      </c>
      <c r="L2417" s="2"/>
      <c r="M2417" s="2"/>
      <c r="N2417" s="4" t="s">
        <v>2259</v>
      </c>
      <c r="O2417" s="4" t="str">
        <f>LEFT(Table2[[#This Row],[Description]],75)</f>
        <v>Netflix</v>
      </c>
      <c r="P2417" s="2" t="s">
        <v>2306</v>
      </c>
    </row>
    <row r="2418" spans="1:16" hidden="1">
      <c r="A2418" s="2">
        <v>202004</v>
      </c>
      <c r="B2418" s="3">
        <v>43947</v>
      </c>
      <c r="C2418" s="2" t="s">
        <v>2258</v>
      </c>
      <c r="D2418" s="2" t="s">
        <v>1350</v>
      </c>
      <c r="E2418" s="2">
        <v>12.99</v>
      </c>
      <c r="F2418" s="2" t="str">
        <f>IF(Table2[[#This Row],[Manual Cat Value]]="",VLOOKUP(Table2[[#This Row],[Description]],'Actuals Lookup'!D:F,3,0),Table2[[#This Row],[Manual Cat Value]])</f>
        <v>Utilities</v>
      </c>
      <c r="J2418" s="2">
        <v>12.99</v>
      </c>
      <c r="K2418" s="2" t="b">
        <v>0</v>
      </c>
      <c r="L2418" s="2"/>
      <c r="M2418" s="2"/>
      <c r="N2418" s="4" t="s">
        <v>2259</v>
      </c>
      <c r="O2418" s="4" t="str">
        <f>LEFT(Table2[[#This Row],[Description]],75)</f>
        <v>Netflix</v>
      </c>
      <c r="P2418" s="2" t="s">
        <v>2306</v>
      </c>
    </row>
    <row r="2419" spans="1:16" hidden="1">
      <c r="A2419" s="2">
        <v>202004</v>
      </c>
      <c r="B2419" s="3">
        <v>43947</v>
      </c>
      <c r="C2419" s="2" t="s">
        <v>2262</v>
      </c>
      <c r="D2419" s="2" t="s">
        <v>1367</v>
      </c>
      <c r="E2419" s="2">
        <v>106.15</v>
      </c>
      <c r="F2419" s="2" t="e">
        <f>IF(Table2[[#This Row],[Manual Cat Value]]="",VLOOKUP(Table2[[#This Row],[Description]],'Actuals Lookup'!D:F,3,0),Table2[[#This Row],[Manual Cat Value]])</f>
        <v>#N/A</v>
      </c>
      <c r="J2419" s="2">
        <v>106.15</v>
      </c>
      <c r="K2419" s="2" t="b">
        <v>0</v>
      </c>
      <c r="L2419" s="2"/>
      <c r="M2419" s="2"/>
      <c r="N2419" s="4" t="s">
        <v>2259</v>
      </c>
      <c r="O2419" s="4" t="str">
        <f>LEFT(Table2[[#This Row],[Description]],75)</f>
        <v>NORTH COOP NORTH COOP STRIPECOM MN 306249213</v>
      </c>
      <c r="P2419" s="2" t="s">
        <v>2480</v>
      </c>
    </row>
    <row r="2420" spans="1:16" hidden="1">
      <c r="A2420" s="2">
        <v>202004</v>
      </c>
      <c r="B2420" s="3">
        <v>43948</v>
      </c>
      <c r="C2420" s="2" t="s">
        <v>2265</v>
      </c>
      <c r="D2420" s="2" t="s">
        <v>1471</v>
      </c>
      <c r="E2420" s="2">
        <v>5.44</v>
      </c>
      <c r="F2420" s="2" t="str">
        <f>IF(Table2[[#This Row],[Manual Cat Value]]="",VLOOKUP(Table2[[#This Row],[Description]],'Actuals Lookup'!D:F,3,0),Table2[[#This Row],[Manual Cat Value]])</f>
        <v>Shopping</v>
      </c>
      <c r="J2420" s="2">
        <v>5.44</v>
      </c>
      <c r="K2420" s="2" t="b">
        <v>0</v>
      </c>
      <c r="L2420" s="2"/>
      <c r="M2420" s="2"/>
      <c r="N2420" s="4" t="s">
        <v>2259</v>
      </c>
      <c r="O2420" s="4" t="str">
        <f>LEFT(Table2[[#This Row],[Description]],75)</f>
        <v>PayPal</v>
      </c>
      <c r="P2420" s="2" t="s">
        <v>2322</v>
      </c>
    </row>
    <row r="2421" spans="1:16" hidden="1">
      <c r="A2421" s="2">
        <v>202004</v>
      </c>
      <c r="B2421" s="3">
        <v>43948</v>
      </c>
      <c r="C2421" s="2" t="s">
        <v>2265</v>
      </c>
      <c r="D2421" s="2" t="s">
        <v>31</v>
      </c>
      <c r="E2421" s="2">
        <v>99.86</v>
      </c>
      <c r="F2421" s="2" t="str">
        <f>IF(Table2[[#This Row],[Manual Cat Value]]="",VLOOKUP(Table2[[#This Row],[Description]],'Actuals Lookup'!D:F,3,0),Table2[[#This Row],[Manual Cat Value]])</f>
        <v>Target</v>
      </c>
      <c r="J2421" s="2">
        <v>99.86</v>
      </c>
      <c r="K2421" s="2" t="b">
        <v>0</v>
      </c>
      <c r="L2421" s="2"/>
      <c r="M2421" s="2"/>
      <c r="N2421" s="4" t="s">
        <v>2259</v>
      </c>
      <c r="O2421" s="4" t="str">
        <f>LEFT(Table2[[#This Row],[Description]],75)</f>
        <v>Target</v>
      </c>
      <c r="P2421" s="2" t="s">
        <v>2309</v>
      </c>
    </row>
    <row r="2422" spans="1:16" hidden="1">
      <c r="A2422" s="2">
        <v>202004</v>
      </c>
      <c r="B2422" s="3">
        <v>43948</v>
      </c>
      <c r="C2422" s="2" t="s">
        <v>2262</v>
      </c>
      <c r="D2422" s="2" t="s">
        <v>2064</v>
      </c>
      <c r="E2422" s="2">
        <v>30.17</v>
      </c>
      <c r="F2422" s="2" t="e">
        <f>IF(Table2[[#This Row],[Manual Cat Value]]="",VLOOKUP(Table2[[#This Row],[Description]],'Actuals Lookup'!D:F,3,0),Table2[[#This Row],[Manual Cat Value]])</f>
        <v>#N/A</v>
      </c>
      <c r="J2422" s="2">
        <v>30.17</v>
      </c>
      <c r="K2422" s="2" t="b">
        <v>0</v>
      </c>
      <c r="L2422" s="2"/>
      <c r="M2422" s="2"/>
      <c r="N2422" s="4" t="s">
        <v>2259</v>
      </c>
      <c r="O2422" s="4" t="str">
        <f>LEFT(Table2[[#This Row],[Description]],75)</f>
        <v>Twin Orchards Nurser Y</v>
      </c>
      <c r="P2422" s="2" t="s">
        <v>2481</v>
      </c>
    </row>
    <row r="2423" spans="1:16" hidden="1">
      <c r="A2423" s="2">
        <v>202004</v>
      </c>
      <c r="B2423" s="3">
        <v>43948</v>
      </c>
      <c r="C2423" s="2" t="s">
        <v>2265</v>
      </c>
      <c r="D2423" s="2" t="s">
        <v>2109</v>
      </c>
      <c r="E2423" s="2">
        <v>5</v>
      </c>
      <c r="F2423" s="2" t="str">
        <f>IF(Table2[[#This Row],[Manual Cat Value]]="",VLOOKUP(Table2[[#This Row],[Description]],'Actuals Lookup'!D:F,3,0),Table2[[#This Row],[Manual Cat Value]])</f>
        <v>Shopping</v>
      </c>
      <c r="J2423" s="2">
        <v>5</v>
      </c>
      <c r="K2423" s="2" t="b">
        <v>0</v>
      </c>
      <c r="L2423" s="2"/>
      <c r="M2423" s="2"/>
      <c r="N2423" s="4" t="s">
        <v>2259</v>
      </c>
      <c r="O2423" s="4" t="str">
        <f>LEFT(Table2[[#This Row],[Description]],75)</f>
        <v>Venmo</v>
      </c>
      <c r="P2423" s="2" t="s">
        <v>2281</v>
      </c>
    </row>
    <row r="2424" spans="1:16" hidden="1">
      <c r="A2424" s="2">
        <v>202004</v>
      </c>
      <c r="B2424" s="3">
        <v>43949</v>
      </c>
      <c r="C2424" s="2" t="s">
        <v>2262</v>
      </c>
      <c r="D2424" s="2" t="s">
        <v>38</v>
      </c>
      <c r="E2424" s="2">
        <v>-30.05</v>
      </c>
      <c r="F2424" s="2" t="str">
        <f>IF(Table2[[#This Row],[Manual Cat Value]]="",VLOOKUP(Table2[[#This Row],[Description]],'Actuals Lookup'!D:F,3,0),Table2[[#This Row],[Manual Cat Value]])</f>
        <v>Amazon</v>
      </c>
      <c r="J2424" s="2">
        <v>30.05</v>
      </c>
      <c r="K2424" s="2" t="b">
        <v>0</v>
      </c>
      <c r="L2424" s="2"/>
      <c r="M2424" s="2"/>
      <c r="N2424" s="4" t="s">
        <v>2273</v>
      </c>
      <c r="O2424" s="4" t="str">
        <f>LEFT(Table2[[#This Row],[Description]],75)</f>
        <v>Amazon</v>
      </c>
      <c r="P2424" s="2" t="s">
        <v>2260</v>
      </c>
    </row>
    <row r="2425" spans="1:16" hidden="1">
      <c r="A2425" s="2">
        <v>202004</v>
      </c>
      <c r="B2425" s="3">
        <v>43949</v>
      </c>
      <c r="C2425" s="2" t="s">
        <v>2265</v>
      </c>
      <c r="D2425" s="2" t="s">
        <v>526</v>
      </c>
      <c r="E2425" s="2">
        <v>575</v>
      </c>
      <c r="F2425" s="2" t="e">
        <f>IF(Table2[[#This Row],[Manual Cat Value]]="",VLOOKUP(Table2[[#This Row],[Description]],'Actuals Lookup'!D:F,3,0),Table2[[#This Row],[Manual Cat Value]])</f>
        <v>#N/A</v>
      </c>
      <c r="J2425" s="2">
        <v>575</v>
      </c>
      <c r="K2425" s="2" t="b">
        <v>0</v>
      </c>
      <c r="L2425" s="2"/>
      <c r="M2425" s="2"/>
      <c r="N2425" s="4" t="s">
        <v>2259</v>
      </c>
      <c r="O2425" s="4" t="str">
        <f>LEFT(Table2[[#This Row],[Description]],75)</f>
        <v>CHECK 2179 2179</v>
      </c>
      <c r="P2425" s="2" t="s">
        <v>2281</v>
      </c>
    </row>
    <row r="2426" spans="1:16" hidden="1">
      <c r="A2426" s="2">
        <v>202004</v>
      </c>
      <c r="B2426" s="3">
        <v>43949</v>
      </c>
      <c r="C2426" s="2" t="s">
        <v>2262</v>
      </c>
      <c r="D2426" s="2" t="s">
        <v>1508</v>
      </c>
      <c r="E2426" s="2">
        <v>33.729999999999997</v>
      </c>
      <c r="F2426" s="2" t="str">
        <f>IF(Table2[[#This Row],[Manual Cat Value]]="",VLOOKUP(Table2[[#This Row],[Description]],'Actuals Lookup'!D:F,3,0),Table2[[#This Row],[Manual Cat Value]])</f>
        <v>Shopping</v>
      </c>
      <c r="J2426" s="2">
        <v>33.729999999999997</v>
      </c>
      <c r="K2426" s="2" t="b">
        <v>0</v>
      </c>
      <c r="L2426" s="2"/>
      <c r="M2426" s="2"/>
      <c r="N2426" s="4" t="s">
        <v>2259</v>
      </c>
      <c r="O2426" s="4" t="str">
        <f>LEFT(Table2[[#This Row],[Description]],75)</f>
        <v>Pottery Barn</v>
      </c>
      <c r="P2426" s="2" t="s">
        <v>2438</v>
      </c>
    </row>
    <row r="2427" spans="1:16" hidden="1">
      <c r="A2427" s="2">
        <v>202004</v>
      </c>
      <c r="B2427" s="3">
        <v>43949</v>
      </c>
      <c r="C2427" s="2" t="s">
        <v>2274</v>
      </c>
      <c r="D2427" s="2" t="s">
        <v>2110</v>
      </c>
      <c r="E2427" s="2">
        <v>-113.41</v>
      </c>
      <c r="F2427" s="2" t="e">
        <f>IF(Table2[[#This Row],[Manual Cat Value]]="",VLOOKUP(Table2[[#This Row],[Description]],'Actuals Lookup'!D:F,3,0),Table2[[#This Row],[Manual Cat Value]])</f>
        <v>#N/A</v>
      </c>
      <c r="J2427" s="2">
        <v>113.41</v>
      </c>
      <c r="K2427" s="2" t="b">
        <v>0</v>
      </c>
      <c r="L2427" s="2"/>
      <c r="M2427" s="2"/>
      <c r="N2427" s="4" t="s">
        <v>2273</v>
      </c>
      <c r="O2427" s="4" t="str">
        <f>LEFT(Table2[[#This Row],[Description]],75)</f>
        <v>Venmo Cashout</v>
      </c>
      <c r="P2427" s="2" t="s">
        <v>2281</v>
      </c>
    </row>
    <row r="2428" spans="1:16" hidden="1">
      <c r="A2428" s="2">
        <v>202004</v>
      </c>
      <c r="B2428" s="3">
        <v>43949</v>
      </c>
      <c r="C2428" s="2" t="s">
        <v>2262</v>
      </c>
      <c r="D2428" s="2" t="s">
        <v>2159</v>
      </c>
      <c r="E2428" s="2">
        <v>260.45999999999998</v>
      </c>
      <c r="F2428" s="2" t="e">
        <f>IF(Table2[[#This Row],[Manual Cat Value]]="",VLOOKUP(Table2[[#This Row],[Description]],'Actuals Lookup'!D:F,3,0),Table2[[#This Row],[Manual Cat Value]])</f>
        <v>#N/A</v>
      </c>
      <c r="J2428" s="2">
        <v>260.45999999999998</v>
      </c>
      <c r="K2428" s="2" t="b">
        <v>0</v>
      </c>
      <c r="L2428" s="2"/>
      <c r="M2428" s="2"/>
      <c r="N2428" s="4" t="s">
        <v>2259</v>
      </c>
      <c r="O2428" s="4" t="str">
        <f>LEFT(Table2[[#This Row],[Description]],75)</f>
        <v>Wine.com</v>
      </c>
      <c r="P2428" s="2" t="s">
        <v>2482</v>
      </c>
    </row>
    <row r="2429" spans="1:16" hidden="1">
      <c r="A2429" s="2">
        <v>202004</v>
      </c>
      <c r="B2429" s="3">
        <v>43950</v>
      </c>
      <c r="C2429" s="2" t="s">
        <v>2262</v>
      </c>
      <c r="D2429" s="2" t="s">
        <v>190</v>
      </c>
      <c r="E2429" s="2">
        <v>113.41</v>
      </c>
      <c r="F2429" s="2" t="e">
        <f>IF(Table2[[#This Row],[Manual Cat Value]]="",VLOOKUP(Table2[[#This Row],[Description]],'Actuals Lookup'!D:F,3,0),Table2[[#This Row],[Manual Cat Value]])</f>
        <v>#N/A</v>
      </c>
      <c r="J2429" s="2">
        <v>113.41</v>
      </c>
      <c r="K2429" s="2" t="b">
        <v>0</v>
      </c>
      <c r="L2429" s="2"/>
      <c r="M2429" s="2"/>
      <c r="N2429" s="4" t="s">
        <v>2259</v>
      </c>
      <c r="O2429" s="4" t="str">
        <f>LEFT(Table2[[#This Row],[Description]],75)</f>
        <v>AVOADVOCARE INTL 8005424800 TX 307039276</v>
      </c>
      <c r="P2429" s="2" t="s">
        <v>2428</v>
      </c>
    </row>
    <row r="2430" spans="1:16" hidden="1">
      <c r="A2430" s="2">
        <v>202004</v>
      </c>
      <c r="B2430" s="3">
        <v>43950</v>
      </c>
      <c r="C2430" s="2" t="s">
        <v>2265</v>
      </c>
      <c r="D2430" s="2" t="s">
        <v>209</v>
      </c>
      <c r="E2430" s="2">
        <v>529.84</v>
      </c>
      <c r="F2430" s="2" t="e">
        <f>IF(Table2[[#This Row],[Manual Cat Value]]="",VLOOKUP(Table2[[#This Row],[Description]],'Actuals Lookup'!D:F,3,0),Table2[[#This Row],[Manual Cat Value]])</f>
        <v>#N/A</v>
      </c>
      <c r="J2430" s="2">
        <v>529.84</v>
      </c>
      <c r="K2430" s="2" t="b">
        <v>0</v>
      </c>
      <c r="L2430" s="2"/>
      <c r="M2430" s="2"/>
      <c r="N2430" s="4" t="s">
        <v>2259</v>
      </c>
      <c r="O2430" s="4" t="str">
        <f>LEFT(Table2[[#This Row],[Description]],75)</f>
        <v>Banana Visa TYPE BR EPAY ID CO Banana Visa ACH ECC WEB ACH Trace 61552 3068</v>
      </c>
      <c r="P2430" s="2" t="s">
        <v>2297</v>
      </c>
    </row>
    <row r="2431" spans="1:16" hidden="1">
      <c r="A2431" s="2">
        <v>202004</v>
      </c>
      <c r="B2431" s="3">
        <v>43950</v>
      </c>
      <c r="C2431" s="2" t="s">
        <v>2265</v>
      </c>
      <c r="D2431" s="2" t="s">
        <v>362</v>
      </c>
      <c r="E2431" s="2">
        <v>-1993.07</v>
      </c>
      <c r="F2431" s="2" t="e">
        <f>IF(Table2[[#This Row],[Manual Cat Value]]="",VLOOKUP(Table2[[#This Row],[Description]],'Actuals Lookup'!D:F,3,0),Table2[[#This Row],[Manual Cat Value]])</f>
        <v>#N/A</v>
      </c>
      <c r="J2431" s="2">
        <v>1993.07</v>
      </c>
      <c r="K2431" s="2" t="b">
        <v>0</v>
      </c>
      <c r="L2431" s="2"/>
      <c r="M2431" s="2"/>
      <c r="N2431" s="4" t="s">
        <v>2273</v>
      </c>
      <c r="O2431" s="4" t="str">
        <f>LEFT(Table2[[#This Row],[Description]],75)</f>
        <v xml:space="preserve">CARGILL COCOA TYPE DIR DEP ID CO CARGILL COCOA ACH ECC PPD ACH Trace 21192 </v>
      </c>
      <c r="P2431" s="2" t="s">
        <v>2284</v>
      </c>
    </row>
    <row r="2432" spans="1:16" hidden="1">
      <c r="A2432" s="2">
        <v>202004</v>
      </c>
      <c r="B2432" s="3">
        <v>43950</v>
      </c>
      <c r="C2432" s="2" t="s">
        <v>2265</v>
      </c>
      <c r="D2432" s="2" t="s">
        <v>1042</v>
      </c>
      <c r="E2432" s="2">
        <v>-2688.27</v>
      </c>
      <c r="F2432" s="2" t="e">
        <f>IF(Table2[[#This Row],[Manual Cat Value]]="",VLOOKUP(Table2[[#This Row],[Description]],'Actuals Lookup'!D:F,3,0),Table2[[#This Row],[Manual Cat Value]])</f>
        <v>#N/A</v>
      </c>
      <c r="J2432" s="2">
        <v>2688.27</v>
      </c>
      <c r="K2432" s="2" t="b">
        <v>0</v>
      </c>
      <c r="L2432" s="2"/>
      <c r="M2432" s="2"/>
      <c r="N2432" s="4" t="s">
        <v>2273</v>
      </c>
      <c r="O2432" s="4" t="str">
        <f>LEFT(Table2[[#This Row],[Description]],75)</f>
        <v>KAUFMAN HALL TYPE DIRECT DEP ID CO KAUFMAN HALL ACH ECC PPD ACH Trace 27130</v>
      </c>
      <c r="P2432" s="2" t="s">
        <v>2285</v>
      </c>
    </row>
    <row r="2433" spans="1:16" hidden="1">
      <c r="A2433" s="2">
        <v>202004</v>
      </c>
      <c r="B2433" s="3">
        <v>43950</v>
      </c>
      <c r="C2433" s="2" t="s">
        <v>2265</v>
      </c>
      <c r="D2433" s="2" t="s">
        <v>1471</v>
      </c>
      <c r="E2433" s="2">
        <v>0.99</v>
      </c>
      <c r="F2433" s="2" t="str">
        <f>IF(Table2[[#This Row],[Manual Cat Value]]="",VLOOKUP(Table2[[#This Row],[Description]],'Actuals Lookup'!D:F,3,0),Table2[[#This Row],[Manual Cat Value]])</f>
        <v>Shopping</v>
      </c>
      <c r="J2433" s="2">
        <v>0.99</v>
      </c>
      <c r="K2433" s="2" t="b">
        <v>0</v>
      </c>
      <c r="L2433" s="2"/>
      <c r="M2433" s="2"/>
      <c r="N2433" s="4" t="s">
        <v>2259</v>
      </c>
      <c r="O2433" s="4" t="str">
        <f>LEFT(Table2[[#This Row],[Description]],75)</f>
        <v>PayPal</v>
      </c>
      <c r="P2433" s="2" t="s">
        <v>2322</v>
      </c>
    </row>
    <row r="2434" spans="1:16" hidden="1">
      <c r="A2434" s="2">
        <v>202004</v>
      </c>
      <c r="B2434" s="3">
        <v>43950</v>
      </c>
      <c r="C2434" s="2" t="s">
        <v>2447</v>
      </c>
      <c r="D2434" s="2" t="s">
        <v>1707</v>
      </c>
      <c r="E2434" s="2">
        <v>22.37</v>
      </c>
      <c r="F2434" s="2" t="str">
        <f>IF(Table2[[#This Row],[Manual Cat Value]]="",VLOOKUP(Table2[[#This Row],[Description]],'Actuals Lookup'!D:F,3,0),Table2[[#This Row],[Manual Cat Value]])</f>
        <v>Transportation</v>
      </c>
      <c r="J2434" s="2">
        <v>22.37</v>
      </c>
      <c r="K2434" s="2" t="b">
        <v>0</v>
      </c>
      <c r="L2434" s="2"/>
      <c r="M2434" s="2"/>
      <c r="N2434" s="4" t="s">
        <v>2259</v>
      </c>
      <c r="O2434" s="4" t="str">
        <f>LEFT(Table2[[#This Row],[Description]],75)</f>
        <v>Speedway</v>
      </c>
      <c r="P2434" s="2" t="s">
        <v>2381</v>
      </c>
    </row>
    <row r="2435" spans="1:16" hidden="1">
      <c r="A2435" s="2">
        <v>202004</v>
      </c>
      <c r="B2435" s="3">
        <v>43950</v>
      </c>
      <c r="C2435" s="2" t="s">
        <v>2258</v>
      </c>
      <c r="D2435" s="2" t="s">
        <v>1707</v>
      </c>
      <c r="E2435" s="2">
        <v>22.37</v>
      </c>
      <c r="F2435" s="2" t="str">
        <f>IF(Table2[[#This Row],[Manual Cat Value]]="",VLOOKUP(Table2[[#This Row],[Description]],'Actuals Lookup'!D:F,3,0),Table2[[#This Row],[Manual Cat Value]])</f>
        <v>Transportation</v>
      </c>
      <c r="J2435" s="2">
        <v>22.37</v>
      </c>
      <c r="K2435" s="2" t="b">
        <v>0</v>
      </c>
      <c r="L2435" s="2"/>
      <c r="M2435" s="2"/>
      <c r="N2435" s="4" t="s">
        <v>2259</v>
      </c>
      <c r="O2435" s="4" t="str">
        <f>LEFT(Table2[[#This Row],[Description]],75)</f>
        <v>Speedway</v>
      </c>
      <c r="P2435" s="2" t="s">
        <v>2381</v>
      </c>
    </row>
    <row r="2436" spans="1:16" hidden="1">
      <c r="A2436" s="2">
        <v>202004</v>
      </c>
      <c r="B2436" s="3">
        <v>43950</v>
      </c>
      <c r="C2436" s="2" t="s">
        <v>2274</v>
      </c>
      <c r="D2436" s="2" t="s">
        <v>2110</v>
      </c>
      <c r="E2436" s="2">
        <v>-84</v>
      </c>
      <c r="F2436" s="2" t="e">
        <f>IF(Table2[[#This Row],[Manual Cat Value]]="",VLOOKUP(Table2[[#This Row],[Description]],'Actuals Lookup'!D:F,3,0),Table2[[#This Row],[Manual Cat Value]])</f>
        <v>#N/A</v>
      </c>
      <c r="J2436" s="2">
        <v>84</v>
      </c>
      <c r="K2436" s="2" t="b">
        <v>0</v>
      </c>
      <c r="L2436" s="2"/>
      <c r="M2436" s="2"/>
      <c r="N2436" s="4" t="s">
        <v>2273</v>
      </c>
      <c r="O2436" s="4" t="str">
        <f>LEFT(Table2[[#This Row],[Description]],75)</f>
        <v>Venmo Cashout</v>
      </c>
      <c r="P2436" s="2" t="s">
        <v>2281</v>
      </c>
    </row>
    <row r="2437" spans="1:16" hidden="1">
      <c r="A2437" s="2">
        <v>202004</v>
      </c>
      <c r="B2437" s="3">
        <v>43951</v>
      </c>
      <c r="C2437" s="2" t="s">
        <v>2447</v>
      </c>
      <c r="D2437" s="2" t="s">
        <v>458</v>
      </c>
      <c r="E2437" s="2">
        <v>-7.81</v>
      </c>
      <c r="F2437" s="2" t="e">
        <f>IF(Table2[[#This Row],[Manual Cat Value]]="",VLOOKUP(Table2[[#This Row],[Description]],'Actuals Lookup'!D:F,3,0),Table2[[#This Row],[Manual Cat Value]])</f>
        <v>#N/A</v>
      </c>
      <c r="J2437" s="2">
        <v>7.81</v>
      </c>
      <c r="K2437" s="2" t="b">
        <v>0</v>
      </c>
      <c r="L2437" s="2"/>
      <c r="M2437" s="2"/>
      <c r="N2437" s="4" t="s">
        <v>2273</v>
      </c>
      <c r="O2437" s="4" t="str">
        <f>LEFT(Table2[[#This Row],[Description]],75)</f>
        <v>CASHBACK BONUS REDEMPTION payment/STMT CRDT</v>
      </c>
      <c r="P2437" s="2" t="s">
        <v>2304</v>
      </c>
    </row>
    <row r="2438" spans="1:16" hidden="1">
      <c r="A2438" s="2">
        <v>202004</v>
      </c>
      <c r="B2438" s="3">
        <v>43951</v>
      </c>
      <c r="C2438" s="2" t="s">
        <v>2258</v>
      </c>
      <c r="D2438" s="2" t="s">
        <v>458</v>
      </c>
      <c r="E2438" s="2">
        <v>-7.81</v>
      </c>
      <c r="F2438" s="2" t="e">
        <f>IF(Table2[[#This Row],[Manual Cat Value]]="",VLOOKUP(Table2[[#This Row],[Description]],'Actuals Lookup'!D:F,3,0),Table2[[#This Row],[Manual Cat Value]])</f>
        <v>#N/A</v>
      </c>
      <c r="J2438" s="2">
        <v>7.81</v>
      </c>
      <c r="K2438" s="2" t="b">
        <v>0</v>
      </c>
      <c r="L2438" s="2"/>
      <c r="M2438" s="2"/>
      <c r="N2438" s="4" t="s">
        <v>2273</v>
      </c>
      <c r="O2438" s="4" t="str">
        <f>LEFT(Table2[[#This Row],[Description]],75)</f>
        <v>CASHBACK BONUS REDEMPTION payment/STMT CRDT</v>
      </c>
      <c r="P2438" s="2" t="s">
        <v>2304</v>
      </c>
    </row>
    <row r="2439" spans="1:16" hidden="1">
      <c r="A2439" s="2">
        <v>202004</v>
      </c>
      <c r="B2439" s="3">
        <v>43951</v>
      </c>
      <c r="C2439" s="2" t="s">
        <v>2447</v>
      </c>
      <c r="D2439" s="2" t="s">
        <v>997</v>
      </c>
      <c r="E2439" s="2">
        <v>-32.01</v>
      </c>
      <c r="F2439" s="2" t="str">
        <f>IF(Table2[[#This Row],[Manual Cat Value]]="",VLOOKUP(Table2[[#This Row],[Description]],'Actuals Lookup'!D:F,3,0),Table2[[#This Row],[Manual Cat Value]])</f>
        <v>Delete</v>
      </c>
      <c r="J2439" s="2">
        <v>32.01</v>
      </c>
      <c r="K2439" s="2" t="b">
        <v>0</v>
      </c>
      <c r="L2439" s="2"/>
      <c r="M2439" s="2"/>
      <c r="N2439" s="4" t="s">
        <v>2273</v>
      </c>
      <c r="O2439" s="4" t="str">
        <f>LEFT(Table2[[#This Row],[Description]],75)</f>
        <v>INTERNET PAYMENT - THANK YOU</v>
      </c>
      <c r="P2439" s="2" t="s">
        <v>2291</v>
      </c>
    </row>
    <row r="2440" spans="1:16" hidden="1">
      <c r="A2440" s="2">
        <v>202004</v>
      </c>
      <c r="B2440" s="3">
        <v>43951</v>
      </c>
      <c r="C2440" s="2" t="s">
        <v>2258</v>
      </c>
      <c r="D2440" s="2" t="s">
        <v>997</v>
      </c>
      <c r="E2440" s="2">
        <v>-32.01</v>
      </c>
      <c r="F2440" s="2" t="str">
        <f>IF(Table2[[#This Row],[Manual Cat Value]]="",VLOOKUP(Table2[[#This Row],[Description]],'Actuals Lookup'!D:F,3,0),Table2[[#This Row],[Manual Cat Value]])</f>
        <v>Delete</v>
      </c>
      <c r="J2440" s="2">
        <v>32.01</v>
      </c>
      <c r="K2440" s="2" t="b">
        <v>0</v>
      </c>
      <c r="L2440" s="2"/>
      <c r="M2440" s="2"/>
      <c r="N2440" s="4" t="s">
        <v>2273</v>
      </c>
      <c r="O2440" s="4" t="str">
        <f>LEFT(Table2[[#This Row],[Description]],75)</f>
        <v>INTERNET PAYMENT - THANK YOU</v>
      </c>
      <c r="P2440" s="2" t="s">
        <v>2291</v>
      </c>
    </row>
    <row r="2441" spans="1:16" hidden="1">
      <c r="A2441" s="2">
        <v>202004</v>
      </c>
      <c r="B2441" s="3">
        <v>43951</v>
      </c>
      <c r="C2441" s="2" t="s">
        <v>2262</v>
      </c>
      <c r="D2441" s="2" t="s">
        <v>1450</v>
      </c>
      <c r="E2441" s="2">
        <v>-696.72</v>
      </c>
      <c r="F2441" s="2" t="e">
        <f>IF(Table2[[#This Row],[Manual Cat Value]]="",VLOOKUP(Table2[[#This Row],[Description]],'Actuals Lookup'!D:F,3,0),Table2[[#This Row],[Manual Cat Value]])</f>
        <v>#N/A</v>
      </c>
      <c r="J2441" s="2">
        <v>696.72</v>
      </c>
      <c r="K2441" s="2" t="b">
        <v>0</v>
      </c>
      <c r="L2441" s="2"/>
      <c r="M2441" s="2"/>
      <c r="N2441" s="4" t="s">
        <v>2273</v>
      </c>
      <c r="O2441" s="4" t="str">
        <f>LEFT(Table2[[#This Row],[Description]],75)</f>
        <v>PAYMENT THANK YOU 307788792</v>
      </c>
      <c r="P2441" s="2" t="s">
        <v>2391</v>
      </c>
    </row>
    <row r="2442" spans="1:16" hidden="1">
      <c r="A2442" s="2">
        <v>202004</v>
      </c>
      <c r="B2442" s="3">
        <v>43951</v>
      </c>
      <c r="C2442" s="2" t="s">
        <v>2265</v>
      </c>
      <c r="D2442" s="2" t="s">
        <v>2195</v>
      </c>
      <c r="E2442" s="2">
        <v>696.72</v>
      </c>
      <c r="F2442" s="2" t="e">
        <f>IF(Table2[[#This Row],[Manual Cat Value]]="",VLOOKUP(Table2[[#This Row],[Description]],'Actuals Lookup'!D:F,3,0),Table2[[#This Row],[Manual Cat Value]])</f>
        <v>#N/A</v>
      </c>
      <c r="J2442" s="2">
        <v>696.72</v>
      </c>
      <c r="K2442" s="2" t="b">
        <v>0</v>
      </c>
      <c r="L2442" s="2"/>
      <c r="M2442" s="2"/>
      <c r="N2442" s="4" t="s">
        <v>2259</v>
      </c>
      <c r="O2442" s="4" t="str">
        <f>LEFT(Table2[[#This Row],[Description]],75)</f>
        <v>Withdrawal Home payment to card 979181 307076214</v>
      </c>
      <c r="P2442" s="2" t="s">
        <v>2349</v>
      </c>
    </row>
    <row r="2443" spans="1:16" hidden="1">
      <c r="A2443" s="2">
        <v>202004</v>
      </c>
      <c r="B2443" s="3">
        <v>43951</v>
      </c>
      <c r="C2443" s="2" t="s">
        <v>2274</v>
      </c>
      <c r="D2443" s="2" t="s">
        <v>994</v>
      </c>
      <c r="E2443" s="2">
        <v>0</v>
      </c>
      <c r="F2443" s="2" t="e">
        <f>IF(Table2[[#This Row],[Manual Cat Value]]="",VLOOKUP(Table2[[#This Row],[Description]],'Actuals Lookup'!D:F,3,0),Table2[[#This Row],[Manual Cat Value]])</f>
        <v>#N/A</v>
      </c>
      <c r="J2443" s="2">
        <v>0</v>
      </c>
      <c r="K2443" s="2" t="b">
        <v>0</v>
      </c>
      <c r="L2443" s="2"/>
      <c r="M2443" s="2"/>
      <c r="N2443" s="4" t="s">
        <v>2273</v>
      </c>
      <c r="O2443" s="4" t="str">
        <f>LEFT(Table2[[#This Row],[Description]],75)</f>
        <v>Interest Paid</v>
      </c>
      <c r="P2443" s="2" t="s">
        <v>2281</v>
      </c>
    </row>
    <row r="2444" spans="1:16" hidden="1">
      <c r="A2444" s="2">
        <v>202004</v>
      </c>
      <c r="B2444" s="3">
        <v>43951</v>
      </c>
      <c r="C2444" s="2" t="s">
        <v>2317</v>
      </c>
      <c r="D2444" s="2" t="s">
        <v>1037</v>
      </c>
      <c r="E2444" s="2">
        <v>-250</v>
      </c>
      <c r="F2444" s="2" t="e">
        <f>IF(Table2[[#This Row],[Manual Cat Value]]="",VLOOKUP(Table2[[#This Row],[Description]],'Actuals Lookup'!D:F,3,0),Table2[[#This Row],[Manual Cat Value]])</f>
        <v>#N/A</v>
      </c>
      <c r="J2444" s="2">
        <v>250</v>
      </c>
      <c r="K2444" s="2" t="b">
        <v>0</v>
      </c>
      <c r="L2444" s="2"/>
      <c r="M2444" s="2"/>
      <c r="N2444" s="4" t="s">
        <v>2273</v>
      </c>
      <c r="O2444" s="4" t="str">
        <f>LEFT(Table2[[#This Row],[Description]],75)</f>
        <v>KAUFMAN HALL</v>
      </c>
      <c r="P2444" s="2" t="s">
        <v>2375</v>
      </c>
    </row>
    <row r="2445" spans="1:16" hidden="1">
      <c r="A2445" s="2">
        <v>202004</v>
      </c>
      <c r="B2445" s="3">
        <v>43951</v>
      </c>
      <c r="C2445" s="2" t="s">
        <v>2460</v>
      </c>
      <c r="D2445" s="2" t="s">
        <v>1037</v>
      </c>
      <c r="E2445" s="2">
        <v>-250</v>
      </c>
      <c r="F2445" s="2" t="e">
        <f>IF(Table2[[#This Row],[Manual Cat Value]]="",VLOOKUP(Table2[[#This Row],[Description]],'Actuals Lookup'!D:F,3,0),Table2[[#This Row],[Manual Cat Value]])</f>
        <v>#N/A</v>
      </c>
      <c r="J2445" s="2">
        <v>250</v>
      </c>
      <c r="K2445" s="2" t="b">
        <v>0</v>
      </c>
      <c r="L2445" s="2"/>
      <c r="M2445" s="2"/>
      <c r="N2445" s="4" t="s">
        <v>2273</v>
      </c>
      <c r="O2445" s="4" t="str">
        <f>LEFT(Table2[[#This Row],[Description]],75)</f>
        <v>KAUFMAN HALL</v>
      </c>
      <c r="P2445" s="2" t="s">
        <v>2375</v>
      </c>
    </row>
    <row r="2446" spans="1:16" hidden="1">
      <c r="A2446" s="2">
        <v>202004</v>
      </c>
      <c r="B2446" s="3">
        <v>43951</v>
      </c>
      <c r="C2446" s="2" t="s">
        <v>2300</v>
      </c>
      <c r="D2446" s="2" t="s">
        <v>1709</v>
      </c>
      <c r="E2446" s="2">
        <v>-18.78</v>
      </c>
      <c r="F2446" s="2" t="e">
        <f>IF(Table2[[#This Row],[Manual Cat Value]]="",VLOOKUP(Table2[[#This Row],[Description]],'Actuals Lookup'!D:F,3,0),Table2[[#This Row],[Manual Cat Value]])</f>
        <v>#N/A</v>
      </c>
      <c r="J2446" s="2">
        <v>18.78</v>
      </c>
      <c r="K2446" s="2" t="b">
        <v>0</v>
      </c>
      <c r="L2446" s="2"/>
      <c r="M2446" s="2"/>
      <c r="N2446" s="4" t="s">
        <v>2273</v>
      </c>
      <c r="O2446" s="4" t="str">
        <f>LEFT(Table2[[#This Row],[Description]],75)</f>
        <v>Split Rate Apy</v>
      </c>
      <c r="P2446" s="2" t="s">
        <v>2313</v>
      </c>
    </row>
    <row r="2447" spans="1:16" hidden="1">
      <c r="A2447" s="2">
        <v>202004</v>
      </c>
      <c r="B2447" s="3">
        <v>43951</v>
      </c>
      <c r="C2447" s="2" t="s">
        <v>2265</v>
      </c>
      <c r="D2447" s="2" t="s">
        <v>1709</v>
      </c>
      <c r="E2447" s="2">
        <v>-24.5</v>
      </c>
      <c r="F2447" s="2" t="e">
        <f>IF(Table2[[#This Row],[Manual Cat Value]]="",VLOOKUP(Table2[[#This Row],[Description]],'Actuals Lookup'!D:F,3,0),Table2[[#This Row],[Manual Cat Value]])</f>
        <v>#N/A</v>
      </c>
      <c r="J2447" s="2">
        <v>24.5</v>
      </c>
      <c r="K2447" s="2" t="b">
        <v>0</v>
      </c>
      <c r="L2447" s="2"/>
      <c r="M2447" s="2"/>
      <c r="N2447" s="4" t="s">
        <v>2273</v>
      </c>
      <c r="O2447" s="4" t="str">
        <f>LEFT(Table2[[#This Row],[Description]],75)</f>
        <v>Split Rate Apy</v>
      </c>
      <c r="P2447" s="2" t="s">
        <v>2313</v>
      </c>
    </row>
    <row r="2448" spans="1:16" hidden="1">
      <c r="A2448" s="2">
        <v>202004</v>
      </c>
      <c r="B2448" s="3">
        <v>43951</v>
      </c>
      <c r="C2448" s="2" t="s">
        <v>2317</v>
      </c>
      <c r="D2448" s="2" t="s">
        <v>1786</v>
      </c>
      <c r="E2448" s="2">
        <v>-22.96</v>
      </c>
      <c r="F2448" s="2" t="e">
        <f>IF(Table2[[#This Row],[Manual Cat Value]]="",VLOOKUP(Table2[[#This Row],[Description]],'Actuals Lookup'!D:F,3,0),Table2[[#This Row],[Manual Cat Value]])</f>
        <v>#N/A</v>
      </c>
      <c r="J2448" s="2">
        <v>22.96</v>
      </c>
      <c r="K2448" s="2" t="b">
        <v>0</v>
      </c>
      <c r="L2448" s="2"/>
      <c r="M2448" s="2"/>
      <c r="N2448" s="4" t="s">
        <v>2273</v>
      </c>
      <c r="O2448" s="4" t="str">
        <f>LEFT(Table2[[#This Row],[Description]],75)</f>
        <v>STRYKER CORP</v>
      </c>
      <c r="P2448" s="2" t="s">
        <v>2385</v>
      </c>
    </row>
    <row r="2449" spans="1:16" hidden="1">
      <c r="A2449" s="2">
        <v>202004</v>
      </c>
      <c r="B2449" s="3">
        <v>43951</v>
      </c>
      <c r="C2449" s="2" t="s">
        <v>2460</v>
      </c>
      <c r="D2449" s="2" t="s">
        <v>1786</v>
      </c>
      <c r="E2449" s="2">
        <v>-22.96</v>
      </c>
      <c r="F2449" s="2" t="e">
        <f>IF(Table2[[#This Row],[Manual Cat Value]]="",VLOOKUP(Table2[[#This Row],[Description]],'Actuals Lookup'!D:F,3,0),Table2[[#This Row],[Manual Cat Value]])</f>
        <v>#N/A</v>
      </c>
      <c r="J2449" s="2">
        <v>22.96</v>
      </c>
      <c r="K2449" s="2" t="b">
        <v>0</v>
      </c>
      <c r="L2449" s="2"/>
      <c r="M2449" s="2"/>
      <c r="N2449" s="4" t="s">
        <v>2273</v>
      </c>
      <c r="O2449" s="4" t="str">
        <f>LEFT(Table2[[#This Row],[Description]],75)</f>
        <v>STRYKER CORP</v>
      </c>
      <c r="P2449" s="2" t="s">
        <v>2281</v>
      </c>
    </row>
    <row r="2450" spans="1:16" hidden="1">
      <c r="A2450" s="2">
        <v>202004</v>
      </c>
      <c r="B2450" s="3">
        <v>43951</v>
      </c>
      <c r="C2450" s="2" t="s">
        <v>2435</v>
      </c>
      <c r="D2450" s="2" t="s">
        <v>1837</v>
      </c>
      <c r="E2450" s="2">
        <v>-250</v>
      </c>
      <c r="F2450" s="2" t="e">
        <f>IF(Table2[[#This Row],[Manual Cat Value]]="",VLOOKUP(Table2[[#This Row],[Description]],'Actuals Lookup'!D:F,3,0),Table2[[#This Row],[Manual Cat Value]])</f>
        <v>#N/A</v>
      </c>
      <c r="J2450" s="2">
        <v>250</v>
      </c>
      <c r="K2450" s="2" t="b">
        <v>0</v>
      </c>
      <c r="L2450" s="2"/>
      <c r="M2450" s="2"/>
      <c r="N2450" s="4" t="s">
        <v>2273</v>
      </c>
      <c r="O2450" s="4" t="str">
        <f>LEFT(Table2[[#This Row],[Description]],75)</f>
        <v>Tfr JPMORGAN CHASE BAN, KAUFMAN HALL</v>
      </c>
      <c r="P2450" s="2" t="s">
        <v>2288</v>
      </c>
    </row>
    <row r="2451" spans="1:16" hidden="1">
      <c r="A2451" s="2">
        <v>202005</v>
      </c>
      <c r="B2451" s="3">
        <v>43952</v>
      </c>
      <c r="C2451" s="2" t="s">
        <v>2265</v>
      </c>
      <c r="D2451" s="2" t="s">
        <v>774</v>
      </c>
      <c r="E2451" s="2">
        <v>32.01</v>
      </c>
      <c r="F2451" s="2" t="e">
        <f>IF(Table2[[#This Row],[Manual Cat Value]]="",VLOOKUP(Table2[[#This Row],[Description]],'Actuals Lookup'!D:F,3,0),Table2[[#This Row],[Manual Cat Value]])</f>
        <v>#N/A</v>
      </c>
      <c r="J2451" s="2">
        <v>32.01</v>
      </c>
      <c r="K2451" s="2" t="b">
        <v>0</v>
      </c>
      <c r="L2451" s="2"/>
      <c r="M2451" s="2"/>
      <c r="N2451" s="4" t="s">
        <v>2259</v>
      </c>
      <c r="O2451" s="4" t="str">
        <f>LEFT(Table2[[#This Row],[Description]],75)</f>
        <v>DISCOVER TYPE EPAYMENT ID CO DISCOVER ACH ECC WEB ACH Trace 72685 307537521</v>
      </c>
      <c r="P2451" s="2" t="s">
        <v>2293</v>
      </c>
    </row>
    <row r="2452" spans="1:16" hidden="1">
      <c r="A2452" s="2">
        <v>202005</v>
      </c>
      <c r="B2452" s="3">
        <v>43952</v>
      </c>
      <c r="C2452" s="2" t="s">
        <v>2317</v>
      </c>
      <c r="D2452" s="2" t="s">
        <v>93</v>
      </c>
      <c r="E2452" s="2">
        <v>-123.69</v>
      </c>
      <c r="F2452" s="2" t="e">
        <f>IF(Table2[[#This Row],[Manual Cat Value]]="",VLOOKUP(Table2[[#This Row],[Description]],'Actuals Lookup'!D:F,3,0),Table2[[#This Row],[Manual Cat Value]])</f>
        <v>#N/A</v>
      </c>
      <c r="J2452" s="2">
        <v>123.69</v>
      </c>
      <c r="K2452" s="2" t="b">
        <v>0</v>
      </c>
      <c r="L2452" s="2"/>
      <c r="M2452" s="2"/>
      <c r="N2452" s="4" t="s">
        <v>2273</v>
      </c>
      <c r="O2452" s="4" t="str">
        <f>LEFT(Table2[[#This Row],[Description]],75)</f>
        <v>A T &amp; T INC</v>
      </c>
      <c r="P2452" s="2" t="s">
        <v>2392</v>
      </c>
    </row>
    <row r="2453" spans="1:16" hidden="1">
      <c r="A2453" s="2">
        <v>202005</v>
      </c>
      <c r="B2453" s="3">
        <v>43952</v>
      </c>
      <c r="C2453" s="2" t="s">
        <v>2460</v>
      </c>
      <c r="D2453" s="2" t="s">
        <v>93</v>
      </c>
      <c r="E2453" s="2">
        <v>-123.69</v>
      </c>
      <c r="F2453" s="2" t="e">
        <f>IF(Table2[[#This Row],[Manual Cat Value]]="",VLOOKUP(Table2[[#This Row],[Description]],'Actuals Lookup'!D:F,3,0),Table2[[#This Row],[Manual Cat Value]])</f>
        <v>#N/A</v>
      </c>
      <c r="J2453" s="2">
        <v>123.69</v>
      </c>
      <c r="K2453" s="2" t="b">
        <v>0</v>
      </c>
      <c r="L2453" s="2"/>
      <c r="M2453" s="2"/>
      <c r="N2453" s="4" t="s">
        <v>2273</v>
      </c>
      <c r="O2453" s="4" t="str">
        <f>LEFT(Table2[[#This Row],[Description]],75)</f>
        <v>A T &amp; T INC</v>
      </c>
      <c r="P2453" s="2" t="s">
        <v>2392</v>
      </c>
    </row>
    <row r="2454" spans="1:16" hidden="1">
      <c r="A2454" s="2">
        <v>202005</v>
      </c>
      <c r="B2454" s="3">
        <v>43952</v>
      </c>
      <c r="C2454" s="2" t="s">
        <v>2262</v>
      </c>
      <c r="D2454" s="2" t="s">
        <v>114</v>
      </c>
      <c r="E2454" s="2">
        <v>4.28</v>
      </c>
      <c r="F2454" s="2" t="str">
        <f>IF(Table2[[#This Row],[Manual Cat Value]]="",VLOOKUP(Table2[[#This Row],[Description]],'Actuals Lookup'!D:F,3,0),Table2[[#This Row],[Manual Cat Value]])</f>
        <v>Entertainment</v>
      </c>
      <c r="J2454" s="2">
        <v>4.28</v>
      </c>
      <c r="K2454" s="2" t="b">
        <v>0</v>
      </c>
      <c r="L2454" s="2"/>
      <c r="M2454" s="2"/>
      <c r="N2454" s="4" t="s">
        <v>2259</v>
      </c>
      <c r="O2454" s="4" t="str">
        <f>LEFT(Table2[[#This Row],[Description]],75)</f>
        <v>Amazon Music</v>
      </c>
      <c r="P2454" s="2" t="s">
        <v>2466</v>
      </c>
    </row>
    <row r="2455" spans="1:16" hidden="1">
      <c r="A2455" s="2">
        <v>202005</v>
      </c>
      <c r="B2455" s="3">
        <v>43952</v>
      </c>
      <c r="C2455" s="2" t="s">
        <v>2317</v>
      </c>
      <c r="D2455" s="2" t="s">
        <v>354</v>
      </c>
      <c r="E2455" s="2">
        <v>-200</v>
      </c>
      <c r="F2455" s="2" t="e">
        <f>IF(Table2[[#This Row],[Manual Cat Value]]="",VLOOKUP(Table2[[#This Row],[Description]],'Actuals Lookup'!D:F,3,0),Table2[[#This Row],[Manual Cat Value]])</f>
        <v>#N/A</v>
      </c>
      <c r="J2455" s="2">
        <v>200</v>
      </c>
      <c r="K2455" s="2" t="b">
        <v>0</v>
      </c>
      <c r="L2455" s="2"/>
      <c r="M2455" s="2"/>
      <c r="N2455" s="4" t="s">
        <v>2273</v>
      </c>
      <c r="O2455" s="4" t="str">
        <f>LEFT(Table2[[#This Row],[Description]],75)</f>
        <v>CARGILL COCOA &amp;</v>
      </c>
      <c r="P2455" s="2" t="s">
        <v>2354</v>
      </c>
    </row>
    <row r="2456" spans="1:16" hidden="1">
      <c r="A2456" s="2">
        <v>202005</v>
      </c>
      <c r="B2456" s="3">
        <v>43952</v>
      </c>
      <c r="C2456" s="2" t="s">
        <v>2460</v>
      </c>
      <c r="D2456" s="2" t="s">
        <v>354</v>
      </c>
      <c r="E2456" s="2">
        <v>-200</v>
      </c>
      <c r="F2456" s="2" t="e">
        <f>IF(Table2[[#This Row],[Manual Cat Value]]="",VLOOKUP(Table2[[#This Row],[Description]],'Actuals Lookup'!D:F,3,0),Table2[[#This Row],[Manual Cat Value]])</f>
        <v>#N/A</v>
      </c>
      <c r="J2456" s="2">
        <v>200</v>
      </c>
      <c r="K2456" s="2" t="b">
        <v>0</v>
      </c>
      <c r="L2456" s="2"/>
      <c r="M2456" s="2"/>
      <c r="N2456" s="4" t="s">
        <v>2273</v>
      </c>
      <c r="O2456" s="4" t="str">
        <f>LEFT(Table2[[#This Row],[Description]],75)</f>
        <v>CARGILL COCOA &amp;</v>
      </c>
      <c r="P2456" s="2" t="s">
        <v>2354</v>
      </c>
    </row>
    <row r="2457" spans="1:16" hidden="1">
      <c r="A2457" s="2">
        <v>202005</v>
      </c>
      <c r="B2457" s="3">
        <v>43952</v>
      </c>
      <c r="C2457" s="2" t="s">
        <v>2265</v>
      </c>
      <c r="D2457" s="2" t="s">
        <v>590</v>
      </c>
      <c r="E2457" s="2">
        <v>200</v>
      </c>
      <c r="F2457" s="2" t="e">
        <f>IF(Table2[[#This Row],[Manual Cat Value]]="",VLOOKUP(Table2[[#This Row],[Description]],'Actuals Lookup'!D:F,3,0),Table2[[#This Row],[Manual Cat Value]])</f>
        <v>#N/A</v>
      </c>
      <c r="J2457" s="2">
        <v>200</v>
      </c>
      <c r="K2457" s="2" t="b">
        <v>0</v>
      </c>
      <c r="L2457" s="2"/>
      <c r="M2457" s="2"/>
      <c r="N2457" s="4" t="s">
        <v>2259</v>
      </c>
      <c r="O2457" s="4" t="str">
        <f>LEFT(Table2[[#This Row],[Description]],75)</f>
        <v>College Savings TYPE ACH ID 550895818 CO College Savings ACH ECC PPD ACH Tr</v>
      </c>
      <c r="P2457" s="2" t="s">
        <v>2272</v>
      </c>
    </row>
    <row r="2458" spans="1:16" hidden="1">
      <c r="A2458" s="2">
        <v>202005</v>
      </c>
      <c r="B2458" s="3">
        <v>43952</v>
      </c>
      <c r="C2458" s="2" t="s">
        <v>2314</v>
      </c>
      <c r="D2458" s="2" t="s">
        <v>869</v>
      </c>
      <c r="E2458" s="2">
        <v>-571.63</v>
      </c>
      <c r="F2458" s="2" t="e">
        <f>IF(Table2[[#This Row],[Manual Cat Value]]="",VLOOKUP(Table2[[#This Row],[Description]],'Actuals Lookup'!D:F,3,0),Table2[[#This Row],[Manual Cat Value]])</f>
        <v>#N/A</v>
      </c>
      <c r="J2458" s="2">
        <v>571.63</v>
      </c>
      <c r="K2458" s="2" t="b">
        <v>0</v>
      </c>
      <c r="L2458" s="2"/>
      <c r="M2458" s="2"/>
      <c r="N2458" s="4" t="s">
        <v>2273</v>
      </c>
      <c r="O2458" s="4" t="str">
        <f>LEFT(Table2[[#This Row],[Description]],75)</f>
        <v>From Share 70 307691904</v>
      </c>
      <c r="P2458" s="2" t="s">
        <v>2281</v>
      </c>
    </row>
    <row r="2459" spans="1:16" hidden="1">
      <c r="A2459" s="2">
        <v>202005</v>
      </c>
      <c r="B2459" s="3">
        <v>43952</v>
      </c>
      <c r="C2459" s="2" t="s">
        <v>2317</v>
      </c>
      <c r="D2459" s="2" t="s">
        <v>1786</v>
      </c>
      <c r="E2459" s="2">
        <v>22.96</v>
      </c>
      <c r="F2459" s="2" t="e">
        <f>IF(Table2[[#This Row],[Manual Cat Value]]="",VLOOKUP(Table2[[#This Row],[Description]],'Actuals Lookup'!D:F,3,0),Table2[[#This Row],[Manual Cat Value]])</f>
        <v>#N/A</v>
      </c>
      <c r="J2459" s="2">
        <v>22.96</v>
      </c>
      <c r="K2459" s="2" t="b">
        <v>0</v>
      </c>
      <c r="L2459" s="2"/>
      <c r="M2459" s="2"/>
      <c r="N2459" s="4" t="s">
        <v>2259</v>
      </c>
      <c r="O2459" s="4" t="str">
        <f>LEFT(Table2[[#This Row],[Description]],75)</f>
        <v>STRYKER CORP</v>
      </c>
      <c r="P2459" s="2" t="s">
        <v>2385</v>
      </c>
    </row>
    <row r="2460" spans="1:16" hidden="1">
      <c r="A2460" s="2">
        <v>202005</v>
      </c>
      <c r="B2460" s="3">
        <v>43952</v>
      </c>
      <c r="C2460" s="2" t="s">
        <v>2460</v>
      </c>
      <c r="D2460" s="2" t="s">
        <v>1786</v>
      </c>
      <c r="E2460" s="2">
        <v>22.96</v>
      </c>
      <c r="F2460" s="2" t="e">
        <f>IF(Table2[[#This Row],[Manual Cat Value]]="",VLOOKUP(Table2[[#This Row],[Description]],'Actuals Lookup'!D:F,3,0),Table2[[#This Row],[Manual Cat Value]])</f>
        <v>#N/A</v>
      </c>
      <c r="J2460" s="2">
        <v>22.96</v>
      </c>
      <c r="K2460" s="2" t="b">
        <v>0</v>
      </c>
      <c r="L2460" s="2"/>
      <c r="M2460" s="2"/>
      <c r="N2460" s="4" t="s">
        <v>2259</v>
      </c>
      <c r="O2460" s="4" t="str">
        <f>LEFT(Table2[[#This Row],[Description]],75)</f>
        <v>STRYKER CORP</v>
      </c>
      <c r="P2460" s="2" t="s">
        <v>2281</v>
      </c>
    </row>
    <row r="2461" spans="1:16" hidden="1">
      <c r="A2461" s="2">
        <v>202005</v>
      </c>
      <c r="B2461" s="3">
        <v>43952</v>
      </c>
      <c r="C2461" s="2" t="s">
        <v>2338</v>
      </c>
      <c r="D2461" s="2" t="s">
        <v>1820</v>
      </c>
      <c r="E2461" s="2">
        <v>-732.69</v>
      </c>
      <c r="F2461" s="2" t="e">
        <f>IF(Table2[[#This Row],[Manual Cat Value]]="",VLOOKUP(Table2[[#This Row],[Description]],'Actuals Lookup'!D:F,3,0),Table2[[#This Row],[Manual Cat Value]])</f>
        <v>#N/A</v>
      </c>
      <c r="J2461" s="2">
        <v>732.69</v>
      </c>
      <c r="K2461" s="2" t="b">
        <v>0</v>
      </c>
      <c r="L2461" s="2"/>
      <c r="M2461" s="2"/>
      <c r="N2461" s="4" t="s">
        <v>2273</v>
      </c>
      <c r="O2461" s="4" t="str">
        <f>LEFT(Table2[[#This Row],[Description]],75)</f>
        <v>Target Retire 2055 Tr P - Plan Contribution</v>
      </c>
      <c r="P2461" s="2" t="s">
        <v>2386</v>
      </c>
    </row>
    <row r="2462" spans="1:16" hidden="1">
      <c r="A2462" s="2">
        <v>202005</v>
      </c>
      <c r="B2462" s="3">
        <v>43952</v>
      </c>
      <c r="C2462" s="2" t="s">
        <v>2434</v>
      </c>
      <c r="D2462" s="2" t="s">
        <v>1834</v>
      </c>
      <c r="E2462" s="2">
        <v>-231</v>
      </c>
      <c r="F2462" s="2" t="e">
        <f>IF(Table2[[#This Row],[Manual Cat Value]]="",VLOOKUP(Table2[[#This Row],[Description]],'Actuals Lookup'!D:F,3,0),Table2[[#This Row],[Manual Cat Value]])</f>
        <v>#N/A</v>
      </c>
      <c r="J2462" s="2">
        <v>231</v>
      </c>
      <c r="K2462" s="2" t="b">
        <v>0</v>
      </c>
      <c r="L2462" s="2"/>
      <c r="M2462" s="2"/>
      <c r="N2462" s="4" t="s">
        <v>2273</v>
      </c>
      <c r="O2462" s="4" t="str">
        <f>LEFT(Table2[[#This Row],[Description]],75)</f>
        <v>Tfr JPMORGAN CHASE BAN, CARGILL COCOA &amp;</v>
      </c>
      <c r="P2462" s="2" t="s">
        <v>2356</v>
      </c>
    </row>
    <row r="2463" spans="1:16" hidden="1">
      <c r="A2463" s="2">
        <v>202005</v>
      </c>
      <c r="B2463" s="3">
        <v>43952</v>
      </c>
      <c r="C2463" s="2" t="s">
        <v>2265</v>
      </c>
      <c r="D2463" s="2" t="s">
        <v>1887</v>
      </c>
      <c r="E2463" s="2">
        <v>618.65</v>
      </c>
      <c r="F2463" s="2" t="e">
        <f>IF(Table2[[#This Row],[Manual Cat Value]]="",VLOOKUP(Table2[[#This Row],[Description]],'Actuals Lookup'!D:F,3,0),Table2[[#This Row],[Manual Cat Value]])</f>
        <v>#N/A</v>
      </c>
      <c r="J2463" s="2">
        <v>618.65</v>
      </c>
      <c r="K2463" s="2" t="b">
        <v>0</v>
      </c>
      <c r="L2463" s="2"/>
      <c r="M2463" s="2"/>
      <c r="N2463" s="4" t="s">
        <v>2259</v>
      </c>
      <c r="O2463" s="4" t="str">
        <f>LEFT(Table2[[#This Row],[Description]],75)</f>
        <v>To Loan 02 307537523</v>
      </c>
      <c r="P2463" s="2" t="s">
        <v>2316</v>
      </c>
    </row>
    <row r="2464" spans="1:16" hidden="1">
      <c r="A2464" s="2">
        <v>202005</v>
      </c>
      <c r="B2464" s="3">
        <v>43954</v>
      </c>
      <c r="C2464" s="2" t="s">
        <v>2258</v>
      </c>
      <c r="D2464" s="2" t="s">
        <v>543</v>
      </c>
      <c r="E2464" s="2">
        <v>22.76</v>
      </c>
      <c r="F2464" s="2" t="e">
        <f>IF(Table2[[#This Row],[Manual Cat Value]]="",VLOOKUP(Table2[[#This Row],[Description]],'Actuals Lookup'!D:F,3,0),Table2[[#This Row],[Manual Cat Value]])</f>
        <v>#N/A</v>
      </c>
      <c r="J2464" s="2">
        <v>22.76</v>
      </c>
      <c r="K2464" s="2" t="b">
        <v>0</v>
      </c>
      <c r="L2464" s="2"/>
      <c r="M2464" s="2"/>
      <c r="N2464" s="4" t="s">
        <v>2259</v>
      </c>
      <c r="O2464" s="4" t="str">
        <f>LEFT(Table2[[#This Row],[Description]],75)</f>
        <v>Chipotle</v>
      </c>
      <c r="P2464" s="2" t="s">
        <v>2341</v>
      </c>
    </row>
    <row r="2465" spans="1:16" hidden="1">
      <c r="A2465" s="2">
        <v>202005</v>
      </c>
      <c r="B2465" s="3">
        <v>43954</v>
      </c>
      <c r="C2465" s="2" t="s">
        <v>2262</v>
      </c>
      <c r="D2465" s="2" t="s">
        <v>875</v>
      </c>
      <c r="E2465" s="2">
        <v>75.59</v>
      </c>
      <c r="F2465" s="2" t="e">
        <f>IF(Table2[[#This Row],[Manual Cat Value]]="",VLOOKUP(Table2[[#This Row],[Description]],'Actuals Lookup'!D:F,3,0),Table2[[#This Row],[Manual Cat Value]])</f>
        <v>#N/A</v>
      </c>
      <c r="J2465" s="2">
        <v>75.59</v>
      </c>
      <c r="K2465" s="2" t="b">
        <v>0</v>
      </c>
      <c r="L2465" s="2"/>
      <c r="M2465" s="2"/>
      <c r="N2465" s="4" t="s">
        <v>2259</v>
      </c>
      <c r="O2465" s="4" t="str">
        <f>LEFT(Table2[[#This Row],[Description]],75)</f>
        <v>FTDCOM 8007363383 IL 308375848</v>
      </c>
      <c r="P2465" s="2" t="s">
        <v>2281</v>
      </c>
    </row>
    <row r="2466" spans="1:16" hidden="1">
      <c r="A2466" s="2">
        <v>202005</v>
      </c>
      <c r="B2466" s="3">
        <v>43954</v>
      </c>
      <c r="C2466" s="2" t="s">
        <v>2262</v>
      </c>
      <c r="D2466" s="2" t="s">
        <v>1158</v>
      </c>
      <c r="E2466" s="2">
        <v>68</v>
      </c>
      <c r="F2466" s="2" t="e">
        <f>IF(Table2[[#This Row],[Manual Cat Value]]="",VLOOKUP(Table2[[#This Row],[Description]],'Actuals Lookup'!D:F,3,0),Table2[[#This Row],[Manual Cat Value]])</f>
        <v>#N/A</v>
      </c>
      <c r="J2466" s="2">
        <v>68</v>
      </c>
      <c r="K2466" s="2" t="b">
        <v>0</v>
      </c>
      <c r="L2466" s="2"/>
      <c r="M2466" s="2"/>
      <c r="N2466" s="4" t="s">
        <v>2259</v>
      </c>
      <c r="O2466" s="4" t="str">
        <f>LEFT(Table2[[#This Row],[Description]],75)</f>
        <v>Lululemon</v>
      </c>
      <c r="P2466" s="2" t="s">
        <v>2287</v>
      </c>
    </row>
    <row r="2467" spans="1:16" hidden="1">
      <c r="A2467" s="2">
        <v>202005</v>
      </c>
      <c r="B2467" s="3">
        <v>43954</v>
      </c>
      <c r="C2467" s="2" t="s">
        <v>2262</v>
      </c>
      <c r="D2467" s="2" t="s">
        <v>2002</v>
      </c>
      <c r="E2467" s="2">
        <v>146.01</v>
      </c>
      <c r="F2467" s="2" t="e">
        <f>IF(Table2[[#This Row],[Manual Cat Value]]="",VLOOKUP(Table2[[#This Row],[Description]],'Actuals Lookup'!D:F,3,0),Table2[[#This Row],[Manual Cat Value]])</f>
        <v>#N/A</v>
      </c>
      <c r="J2467" s="2">
        <v>146.01</v>
      </c>
      <c r="K2467" s="2" t="b">
        <v>0</v>
      </c>
      <c r="L2467" s="2"/>
      <c r="M2467" s="2"/>
      <c r="N2467" s="4" t="s">
        <v>2259</v>
      </c>
      <c r="O2467" s="4" t="str">
        <f>LEFT(Table2[[#This Row],[Description]],75)</f>
        <v>True Value</v>
      </c>
      <c r="P2467" s="2" t="s">
        <v>2281</v>
      </c>
    </row>
    <row r="2468" spans="1:16" hidden="1">
      <c r="A2468" s="2">
        <v>202005</v>
      </c>
      <c r="B2468" s="3">
        <v>43955</v>
      </c>
      <c r="C2468" s="2" t="s">
        <v>2270</v>
      </c>
      <c r="D2468" s="2" t="s">
        <v>1420</v>
      </c>
      <c r="E2468" s="2">
        <v>-553.15</v>
      </c>
      <c r="F2468" s="2" t="e">
        <f>IF(Table2[[#This Row],[Manual Cat Value]]="",VLOOKUP(Table2[[#This Row],[Description]],'Actuals Lookup'!D:F,3,0),Table2[[#This Row],[Manual Cat Value]])</f>
        <v>#N/A</v>
      </c>
      <c r="J2468" s="2">
        <v>553.15</v>
      </c>
      <c r="K2468" s="2" t="b">
        <v>0</v>
      </c>
      <c r="L2468" s="2"/>
      <c r="M2468" s="2"/>
      <c r="N2468" s="4" t="s">
        <v>2273</v>
      </c>
      <c r="O2468" s="4" t="str">
        <f>LEFT(Table2[[#This Row],[Description]],75)</f>
        <v>PAYMENT 308697727</v>
      </c>
      <c r="P2468" s="2" t="s">
        <v>2281</v>
      </c>
    </row>
    <row r="2469" spans="1:16" hidden="1">
      <c r="A2469" s="2">
        <v>202104</v>
      </c>
      <c r="B2469" s="3">
        <v>44287</v>
      </c>
      <c r="C2469" s="2" t="s">
        <v>2265</v>
      </c>
      <c r="D2469" s="2" t="s">
        <v>270</v>
      </c>
      <c r="E2469" s="2">
        <v>2832.55</v>
      </c>
      <c r="F2469" s="2" t="e">
        <f>IF(Table2[[#This Row],[Manual Cat Value]]="",VLOOKUP(Table2[[#This Row],[Description]],'Actuals Lookup'!D:F,3,0),Table2[[#This Row],[Manual Cat Value]])</f>
        <v>#N/A</v>
      </c>
      <c r="J2469" s="2">
        <v>2832.55</v>
      </c>
      <c r="K2469" s="2" t="b">
        <v>0</v>
      </c>
      <c r="L2469" s="2"/>
      <c r="M2469" s="2"/>
      <c r="N2469" s="4" t="s">
        <v>2259</v>
      </c>
      <c r="O2469" s="4" t="str">
        <f>LEFT(Table2[[#This Row],[Description]],75)</f>
        <v>BCU MORTGAGE TYPE LOAN PAYMT ID 9DRAFTING CO BCU MORTGAGE ACH ECC WEB ACH T</v>
      </c>
      <c r="P2469" s="2" t="s">
        <v>2345</v>
      </c>
    </row>
    <row r="2470" spans="1:16" hidden="1">
      <c r="A2470" s="2">
        <v>202005</v>
      </c>
      <c r="B2470" s="3">
        <v>43955</v>
      </c>
      <c r="C2470" s="2" t="s">
        <v>2317</v>
      </c>
      <c r="D2470" s="2" t="s">
        <v>93</v>
      </c>
      <c r="E2470" s="2">
        <v>123.69</v>
      </c>
      <c r="F2470" s="2" t="e">
        <f>IF(Table2[[#This Row],[Manual Cat Value]]="",VLOOKUP(Table2[[#This Row],[Description]],'Actuals Lookup'!D:F,3,0),Table2[[#This Row],[Manual Cat Value]])</f>
        <v>#N/A</v>
      </c>
      <c r="J2470" s="2">
        <v>123.69</v>
      </c>
      <c r="K2470" s="2" t="b">
        <v>0</v>
      </c>
      <c r="L2470" s="2"/>
      <c r="M2470" s="2"/>
      <c r="N2470" s="4" t="s">
        <v>2259</v>
      </c>
      <c r="O2470" s="4" t="str">
        <f>LEFT(Table2[[#This Row],[Description]],75)</f>
        <v>A T &amp; T INC</v>
      </c>
      <c r="P2470" s="2" t="s">
        <v>2392</v>
      </c>
    </row>
    <row r="2471" spans="1:16" hidden="1">
      <c r="A2471" s="2">
        <v>202005</v>
      </c>
      <c r="B2471" s="3">
        <v>43955</v>
      </c>
      <c r="C2471" s="2" t="s">
        <v>2460</v>
      </c>
      <c r="D2471" s="2" t="s">
        <v>93</v>
      </c>
      <c r="E2471" s="2">
        <v>123.69</v>
      </c>
      <c r="F2471" s="2" t="e">
        <f>IF(Table2[[#This Row],[Manual Cat Value]]="",VLOOKUP(Table2[[#This Row],[Description]],'Actuals Lookup'!D:F,3,0),Table2[[#This Row],[Manual Cat Value]])</f>
        <v>#N/A</v>
      </c>
      <c r="J2471" s="2">
        <v>123.69</v>
      </c>
      <c r="K2471" s="2" t="b">
        <v>0</v>
      </c>
      <c r="L2471" s="2"/>
      <c r="M2471" s="2"/>
      <c r="N2471" s="4" t="s">
        <v>2259</v>
      </c>
      <c r="O2471" s="4" t="str">
        <f>LEFT(Table2[[#This Row],[Description]],75)</f>
        <v>A T &amp; T INC</v>
      </c>
      <c r="P2471" s="2" t="s">
        <v>2392</v>
      </c>
    </row>
    <row r="2472" spans="1:16" hidden="1">
      <c r="A2472" s="2">
        <v>202005</v>
      </c>
      <c r="B2472" s="3">
        <v>43955</v>
      </c>
      <c r="C2472" s="2" t="s">
        <v>2262</v>
      </c>
      <c r="D2472" s="2" t="s">
        <v>338</v>
      </c>
      <c r="E2472" s="2">
        <v>61.51</v>
      </c>
      <c r="F2472" s="2" t="e">
        <f>IF(Table2[[#This Row],[Manual Cat Value]]="",VLOOKUP(Table2[[#This Row],[Description]],'Actuals Lookup'!D:F,3,0),Table2[[#This Row],[Manual Cat Value]])</f>
        <v>#N/A</v>
      </c>
      <c r="J2472" s="2">
        <v>61.51</v>
      </c>
      <c r="K2472" s="2" t="b">
        <v>0</v>
      </c>
      <c r="L2472" s="2"/>
      <c r="M2472" s="2"/>
      <c r="N2472" s="4" t="s">
        <v>2259</v>
      </c>
      <c r="O2472" s="4" t="str">
        <f>LEFT(Table2[[#This Row],[Description]],75)</f>
        <v>Byerly's</v>
      </c>
      <c r="P2472" s="2" t="s">
        <v>2364</v>
      </c>
    </row>
    <row r="2473" spans="1:16" hidden="1">
      <c r="A2473" s="2">
        <v>202005</v>
      </c>
      <c r="B2473" s="3">
        <v>43955</v>
      </c>
      <c r="C2473" s="2" t="s">
        <v>2262</v>
      </c>
      <c r="D2473" s="2" t="s">
        <v>338</v>
      </c>
      <c r="E2473" s="2">
        <v>92.16</v>
      </c>
      <c r="F2473" s="2" t="e">
        <f>IF(Table2[[#This Row],[Manual Cat Value]]="",VLOOKUP(Table2[[#This Row],[Description]],'Actuals Lookup'!D:F,3,0),Table2[[#This Row],[Manual Cat Value]])</f>
        <v>#N/A</v>
      </c>
      <c r="J2473" s="2">
        <v>92.16</v>
      </c>
      <c r="K2473" s="2" t="b">
        <v>0</v>
      </c>
      <c r="L2473" s="2"/>
      <c r="M2473" s="2"/>
      <c r="N2473" s="4" t="s">
        <v>2259</v>
      </c>
      <c r="O2473" s="4" t="str">
        <f>LEFT(Table2[[#This Row],[Description]],75)</f>
        <v>Byerly's</v>
      </c>
      <c r="P2473" s="2" t="s">
        <v>2364</v>
      </c>
    </row>
    <row r="2474" spans="1:16" hidden="1">
      <c r="A2474" s="2">
        <v>202005</v>
      </c>
      <c r="B2474" s="3">
        <v>43955</v>
      </c>
      <c r="C2474" s="2" t="s">
        <v>2447</v>
      </c>
      <c r="D2474" s="2" t="s">
        <v>543</v>
      </c>
      <c r="E2474" s="2">
        <v>22.76</v>
      </c>
      <c r="F2474" s="2" t="e">
        <f>IF(Table2[[#This Row],[Manual Cat Value]]="",VLOOKUP(Table2[[#This Row],[Description]],'Actuals Lookup'!D:F,3,0),Table2[[#This Row],[Manual Cat Value]])</f>
        <v>#N/A</v>
      </c>
      <c r="J2474" s="2">
        <v>22.76</v>
      </c>
      <c r="K2474" s="2" t="b">
        <v>0</v>
      </c>
      <c r="L2474" s="2"/>
      <c r="M2474" s="2"/>
      <c r="N2474" s="4" t="s">
        <v>2259</v>
      </c>
      <c r="O2474" s="4" t="str">
        <f>LEFT(Table2[[#This Row],[Description]],75)</f>
        <v>Chipotle</v>
      </c>
      <c r="P2474" s="2" t="s">
        <v>2341</v>
      </c>
    </row>
    <row r="2475" spans="1:16" hidden="1">
      <c r="A2475" s="2">
        <v>202005</v>
      </c>
      <c r="B2475" s="3">
        <v>43955</v>
      </c>
      <c r="C2475" s="2" t="s">
        <v>2258</v>
      </c>
      <c r="D2475" s="2" t="s">
        <v>543</v>
      </c>
      <c r="E2475" s="2">
        <v>22.76</v>
      </c>
      <c r="F2475" s="2" t="e">
        <f>IF(Table2[[#This Row],[Manual Cat Value]]="",VLOOKUP(Table2[[#This Row],[Description]],'Actuals Lookup'!D:F,3,0),Table2[[#This Row],[Manual Cat Value]])</f>
        <v>#N/A</v>
      </c>
      <c r="J2475" s="2">
        <v>22.76</v>
      </c>
      <c r="K2475" s="2" t="b">
        <v>0</v>
      </c>
      <c r="L2475" s="2"/>
      <c r="M2475" s="2"/>
      <c r="N2475" s="4" t="s">
        <v>2259</v>
      </c>
      <c r="O2475" s="4" t="str">
        <f>LEFT(Table2[[#This Row],[Description]],75)</f>
        <v>Chipotle</v>
      </c>
      <c r="P2475" s="2" t="s">
        <v>2341</v>
      </c>
    </row>
    <row r="2476" spans="1:16" hidden="1">
      <c r="A2476" s="2">
        <v>202005</v>
      </c>
      <c r="B2476" s="3">
        <v>43955</v>
      </c>
      <c r="C2476" s="2" t="s">
        <v>2262</v>
      </c>
      <c r="D2476" s="2" t="s">
        <v>2028</v>
      </c>
      <c r="E2476" s="2">
        <v>29.53</v>
      </c>
      <c r="F2476" s="2" t="e">
        <f>IF(Table2[[#This Row],[Manual Cat Value]]="",VLOOKUP(Table2[[#This Row],[Description]],'Actuals Lookup'!D:F,3,0),Table2[[#This Row],[Manual Cat Value]])</f>
        <v>#N/A</v>
      </c>
      <c r="J2476" s="2">
        <v>29.53</v>
      </c>
      <c r="K2476" s="2" t="b">
        <v>0</v>
      </c>
      <c r="L2476" s="2"/>
      <c r="M2476" s="2"/>
      <c r="N2476" s="4" t="s">
        <v>2259</v>
      </c>
      <c r="O2476" s="4" t="str">
        <f>LEFT(Table2[[#This Row],[Description]],75)</f>
        <v>TST OLIVE S FRESH EXCELS6122324677 MN 308465740</v>
      </c>
      <c r="P2476" s="2" t="s">
        <v>2483</v>
      </c>
    </row>
    <row r="2477" spans="1:16" hidden="1">
      <c r="A2477" s="2">
        <v>202005</v>
      </c>
      <c r="B2477" s="3">
        <v>43955</v>
      </c>
      <c r="C2477" s="2" t="s">
        <v>2262</v>
      </c>
      <c r="D2477" s="2" t="s">
        <v>2159</v>
      </c>
      <c r="E2477" s="2">
        <v>115.08</v>
      </c>
      <c r="F2477" s="2" t="e">
        <f>IF(Table2[[#This Row],[Manual Cat Value]]="",VLOOKUP(Table2[[#This Row],[Description]],'Actuals Lookup'!D:F,3,0),Table2[[#This Row],[Manual Cat Value]])</f>
        <v>#N/A</v>
      </c>
      <c r="J2477" s="2">
        <v>115.08</v>
      </c>
      <c r="K2477" s="2" t="b">
        <v>0</v>
      </c>
      <c r="L2477" s="2"/>
      <c r="M2477" s="2"/>
      <c r="N2477" s="4" t="s">
        <v>2259</v>
      </c>
      <c r="O2477" s="4" t="str">
        <f>LEFT(Table2[[#This Row],[Description]],75)</f>
        <v>Wine.com</v>
      </c>
      <c r="P2477" s="2" t="s">
        <v>2482</v>
      </c>
    </row>
    <row r="2478" spans="1:16" hidden="1">
      <c r="A2478" s="2">
        <v>202005</v>
      </c>
      <c r="B2478" s="3">
        <v>43957</v>
      </c>
      <c r="C2478" s="2" t="s">
        <v>2317</v>
      </c>
      <c r="D2478" s="2" t="s">
        <v>305</v>
      </c>
      <c r="E2478" s="2">
        <v>494.18</v>
      </c>
      <c r="F2478" s="2" t="e">
        <f>IF(Table2[[#This Row],[Manual Cat Value]]="",VLOOKUP(Table2[[#This Row],[Description]],'Actuals Lookup'!D:F,3,0),Table2[[#This Row],[Manual Cat Value]])</f>
        <v>#N/A</v>
      </c>
      <c r="J2478" s="2">
        <v>494.18</v>
      </c>
      <c r="K2478" s="2" t="b">
        <v>0</v>
      </c>
      <c r="L2478" s="2"/>
      <c r="M2478" s="2"/>
      <c r="N2478" s="4" t="s">
        <v>2259</v>
      </c>
      <c r="O2478" s="4" t="str">
        <f>LEFT(Table2[[#This Row],[Description]],75)</f>
        <v>BOEING CO</v>
      </c>
      <c r="P2478" s="2" t="s">
        <v>2425</v>
      </c>
    </row>
    <row r="2479" spans="1:16" hidden="1">
      <c r="A2479" s="2">
        <v>202005</v>
      </c>
      <c r="B2479" s="3">
        <v>43957</v>
      </c>
      <c r="C2479" s="2" t="s">
        <v>2460</v>
      </c>
      <c r="D2479" s="2" t="s">
        <v>305</v>
      </c>
      <c r="E2479" s="2">
        <v>494.18</v>
      </c>
      <c r="F2479" s="2" t="e">
        <f>IF(Table2[[#This Row],[Manual Cat Value]]="",VLOOKUP(Table2[[#This Row],[Description]],'Actuals Lookup'!D:F,3,0),Table2[[#This Row],[Manual Cat Value]])</f>
        <v>#N/A</v>
      </c>
      <c r="J2479" s="2">
        <v>494.18</v>
      </c>
      <c r="K2479" s="2" t="b">
        <v>0</v>
      </c>
      <c r="L2479" s="2"/>
      <c r="M2479" s="2"/>
      <c r="N2479" s="4" t="s">
        <v>2259</v>
      </c>
      <c r="O2479" s="4" t="str">
        <f>LEFT(Table2[[#This Row],[Description]],75)</f>
        <v>BOEING CO</v>
      </c>
      <c r="P2479" s="2" t="s">
        <v>2425</v>
      </c>
    </row>
    <row r="2480" spans="1:16" hidden="1">
      <c r="A2480" s="2">
        <v>202005</v>
      </c>
      <c r="B2480" s="3">
        <v>43957</v>
      </c>
      <c r="C2480" s="2" t="s">
        <v>2262</v>
      </c>
      <c r="D2480" s="2" t="s">
        <v>947</v>
      </c>
      <c r="E2480" s="2">
        <v>554.25</v>
      </c>
      <c r="F2480" s="2" t="e">
        <f>IF(Table2[[#This Row],[Manual Cat Value]]="",VLOOKUP(Table2[[#This Row],[Description]],'Actuals Lookup'!D:F,3,0),Table2[[#This Row],[Manual Cat Value]])</f>
        <v>#N/A</v>
      </c>
      <c r="J2480" s="2">
        <v>554.25</v>
      </c>
      <c r="K2480" s="2" t="b">
        <v>0</v>
      </c>
      <c r="L2480" s="2"/>
      <c r="M2480" s="2"/>
      <c r="N2480" s="4" t="s">
        <v>2259</v>
      </c>
      <c r="O2480" s="4" t="str">
        <f>LEFT(Table2[[#This Row],[Description]],75)</f>
        <v>Home Depot</v>
      </c>
      <c r="P2480" s="2" t="s">
        <v>2396</v>
      </c>
    </row>
    <row r="2481" spans="1:16" hidden="1">
      <c r="A2481" s="2">
        <v>202005</v>
      </c>
      <c r="B2481" s="3">
        <v>43957</v>
      </c>
      <c r="C2481" s="2" t="s">
        <v>2317</v>
      </c>
      <c r="D2481" s="2" t="s">
        <v>1139</v>
      </c>
      <c r="E2481" s="2">
        <v>-13.46</v>
      </c>
      <c r="F2481" s="2" t="e">
        <f>IF(Table2[[#This Row],[Manual Cat Value]]="",VLOOKUP(Table2[[#This Row],[Description]],'Actuals Lookup'!D:F,3,0),Table2[[#This Row],[Manual Cat Value]])</f>
        <v>#N/A</v>
      </c>
      <c r="J2481" s="2">
        <v>13.46</v>
      </c>
      <c r="K2481" s="2" t="b">
        <v>0</v>
      </c>
      <c r="L2481" s="2"/>
      <c r="M2481" s="2"/>
      <c r="N2481" s="4" t="s">
        <v>2273</v>
      </c>
      <c r="O2481" s="4" t="str">
        <f>LEFT(Table2[[#This Row],[Description]],75)</f>
        <v>LOWES COMPANIES INC</v>
      </c>
      <c r="P2481" s="2" t="s">
        <v>2402</v>
      </c>
    </row>
    <row r="2482" spans="1:16" hidden="1">
      <c r="A2482" s="2">
        <v>202005</v>
      </c>
      <c r="B2482" s="3">
        <v>43957</v>
      </c>
      <c r="C2482" s="2" t="s">
        <v>2460</v>
      </c>
      <c r="D2482" s="2" t="s">
        <v>1139</v>
      </c>
      <c r="E2482" s="2">
        <v>-13.46</v>
      </c>
      <c r="F2482" s="2" t="e">
        <f>IF(Table2[[#This Row],[Manual Cat Value]]="",VLOOKUP(Table2[[#This Row],[Description]],'Actuals Lookup'!D:F,3,0),Table2[[#This Row],[Manual Cat Value]])</f>
        <v>#N/A</v>
      </c>
      <c r="J2482" s="2">
        <v>13.46</v>
      </c>
      <c r="K2482" s="2" t="b">
        <v>0</v>
      </c>
      <c r="L2482" s="2"/>
      <c r="M2482" s="2"/>
      <c r="N2482" s="4" t="s">
        <v>2273</v>
      </c>
      <c r="O2482" s="4" t="str">
        <f>LEFT(Table2[[#This Row],[Description]],75)</f>
        <v>LOWES COMPANIES INC</v>
      </c>
      <c r="P2482" s="2" t="s">
        <v>2402</v>
      </c>
    </row>
    <row r="2483" spans="1:16" hidden="1">
      <c r="A2483" s="2">
        <v>202005</v>
      </c>
      <c r="B2483" s="3">
        <v>43957</v>
      </c>
      <c r="C2483" s="2" t="s">
        <v>2317</v>
      </c>
      <c r="D2483" s="2" t="s">
        <v>2108</v>
      </c>
      <c r="E2483" s="2">
        <v>-3.34</v>
      </c>
      <c r="F2483" s="2" t="e">
        <f>IF(Table2[[#This Row],[Manual Cat Value]]="",VLOOKUP(Table2[[#This Row],[Description]],'Actuals Lookup'!D:F,3,0),Table2[[#This Row],[Manual Cat Value]])</f>
        <v>#N/A</v>
      </c>
      <c r="J2483" s="2">
        <v>3.34</v>
      </c>
      <c r="K2483" s="2" t="b">
        <v>0</v>
      </c>
      <c r="L2483" s="2"/>
      <c r="M2483" s="2"/>
      <c r="N2483" s="4" t="s">
        <v>2273</v>
      </c>
      <c r="O2483" s="4" t="str">
        <f>LEFT(Table2[[#This Row],[Description]],75)</f>
        <v>VANGUARD INTRMDIAT TRM TRSRY ETF IV</v>
      </c>
      <c r="P2483" s="2" t="s">
        <v>2385</v>
      </c>
    </row>
    <row r="2484" spans="1:16" hidden="1">
      <c r="A2484" s="2">
        <v>202005</v>
      </c>
      <c r="B2484" s="3">
        <v>43957</v>
      </c>
      <c r="C2484" s="2" t="s">
        <v>2460</v>
      </c>
      <c r="D2484" s="2" t="s">
        <v>2108</v>
      </c>
      <c r="E2484" s="2">
        <v>-3.34</v>
      </c>
      <c r="F2484" s="2" t="e">
        <f>IF(Table2[[#This Row],[Manual Cat Value]]="",VLOOKUP(Table2[[#This Row],[Description]],'Actuals Lookup'!D:F,3,0),Table2[[#This Row],[Manual Cat Value]])</f>
        <v>#N/A</v>
      </c>
      <c r="J2484" s="2">
        <v>3.34</v>
      </c>
      <c r="K2484" s="2" t="b">
        <v>0</v>
      </c>
      <c r="L2484" s="2"/>
      <c r="M2484" s="2"/>
      <c r="N2484" s="4" t="s">
        <v>2273</v>
      </c>
      <c r="O2484" s="4" t="str">
        <f>LEFT(Table2[[#This Row],[Description]],75)</f>
        <v>VANGUARD INTRMDIAT TRM TRSRY ETF IV</v>
      </c>
      <c r="P2484" s="2" t="s">
        <v>2281</v>
      </c>
    </row>
    <row r="2485" spans="1:16" hidden="1">
      <c r="A2485" s="2">
        <v>202005</v>
      </c>
      <c r="B2485" s="3">
        <v>43957</v>
      </c>
      <c r="C2485" s="2" t="s">
        <v>2262</v>
      </c>
      <c r="D2485" s="2" t="s">
        <v>2142</v>
      </c>
      <c r="E2485" s="2">
        <v>118.27</v>
      </c>
      <c r="F2485" s="2" t="str">
        <f>IF(Table2[[#This Row],[Manual Cat Value]]="",VLOOKUP(Table2[[#This Row],[Description]],'Actuals Lookup'!D:F,3,0),Table2[[#This Row],[Manual Cat Value]])</f>
        <v>House</v>
      </c>
      <c r="J2485" s="2">
        <v>118.27</v>
      </c>
      <c r="K2485" s="2" t="b">
        <v>0</v>
      </c>
      <c r="L2485" s="2"/>
      <c r="M2485" s="2"/>
      <c r="N2485" s="4" t="s">
        <v>2259</v>
      </c>
      <c r="O2485" s="4" t="str">
        <f>LEFT(Table2[[#This Row],[Description]],75)</f>
        <v>Wayfair</v>
      </c>
      <c r="P2485" s="2" t="s">
        <v>2427</v>
      </c>
    </row>
    <row r="2486" spans="1:16" hidden="1">
      <c r="A2486" s="2">
        <v>202005</v>
      </c>
      <c r="B2486" s="3">
        <v>43957</v>
      </c>
      <c r="C2486" s="2" t="s">
        <v>2265</v>
      </c>
      <c r="D2486" s="2" t="s">
        <v>2221</v>
      </c>
      <c r="E2486" s="2">
        <v>121.44</v>
      </c>
      <c r="F2486" s="2" t="str">
        <f>IF(Table2[[#This Row],[Manual Cat Value]]="",VLOOKUP(Table2[[#This Row],[Description]],'Actuals Lookup'!D:F,3,0),Table2[[#This Row],[Manual Cat Value]])</f>
        <v>Utilities</v>
      </c>
      <c r="J2486" s="2">
        <v>121.44</v>
      </c>
      <c r="K2486" s="2" t="b">
        <v>0</v>
      </c>
      <c r="L2486" s="2"/>
      <c r="M2486" s="2"/>
      <c r="N2486" s="4" t="s">
        <v>2259</v>
      </c>
      <c r="O2486" s="4" t="str">
        <f>LEFT(Table2[[#This Row],[Description]],75)</f>
        <v>Xcel Energy</v>
      </c>
      <c r="P2486" s="2" t="s">
        <v>2280</v>
      </c>
    </row>
    <row r="2487" spans="1:16" hidden="1">
      <c r="A2487" s="2">
        <v>202005</v>
      </c>
      <c r="B2487" s="3">
        <v>43958</v>
      </c>
      <c r="C2487" s="2" t="s">
        <v>2265</v>
      </c>
      <c r="D2487" s="2" t="s">
        <v>637</v>
      </c>
      <c r="E2487" s="2">
        <v>-3561.14</v>
      </c>
      <c r="F2487" s="2" t="e">
        <f>IF(Table2[[#This Row],[Manual Cat Value]]="",VLOOKUP(Table2[[#This Row],[Description]],'Actuals Lookup'!D:F,3,0),Table2[[#This Row],[Manual Cat Value]])</f>
        <v>#N/A</v>
      </c>
      <c r="J2487" s="2">
        <v>3561.14</v>
      </c>
      <c r="K2487" s="2" t="b">
        <v>0</v>
      </c>
      <c r="L2487" s="2"/>
      <c r="M2487" s="2"/>
      <c r="N2487" s="4" t="s">
        <v>2273</v>
      </c>
      <c r="O2487" s="4" t="str">
        <f>LEFT(Table2[[#This Row],[Description]],75)</f>
        <v>Connectyourcare Type Svbclaims</v>
      </c>
      <c r="P2487" s="2" t="s">
        <v>2281</v>
      </c>
    </row>
    <row r="2488" spans="1:16" hidden="1">
      <c r="A2488" s="2">
        <v>202005</v>
      </c>
      <c r="B2488" s="3">
        <v>43958</v>
      </c>
      <c r="C2488" s="2" t="s">
        <v>2317</v>
      </c>
      <c r="D2488" s="2" t="s">
        <v>1139</v>
      </c>
      <c r="E2488" s="2">
        <v>13.46</v>
      </c>
      <c r="F2488" s="2" t="e">
        <f>IF(Table2[[#This Row],[Manual Cat Value]]="",VLOOKUP(Table2[[#This Row],[Description]],'Actuals Lookup'!D:F,3,0),Table2[[#This Row],[Manual Cat Value]])</f>
        <v>#N/A</v>
      </c>
      <c r="J2488" s="2">
        <v>13.46</v>
      </c>
      <c r="K2488" s="2" t="b">
        <v>0</v>
      </c>
      <c r="L2488" s="2"/>
      <c r="M2488" s="2"/>
      <c r="N2488" s="4" t="s">
        <v>2259</v>
      </c>
      <c r="O2488" s="4" t="str">
        <f>LEFT(Table2[[#This Row],[Description]],75)</f>
        <v>LOWES COMPANIES INC</v>
      </c>
      <c r="P2488" s="2" t="s">
        <v>2402</v>
      </c>
    </row>
    <row r="2489" spans="1:16" hidden="1">
      <c r="A2489" s="2">
        <v>202005</v>
      </c>
      <c r="B2489" s="3">
        <v>43958</v>
      </c>
      <c r="C2489" s="2" t="s">
        <v>2460</v>
      </c>
      <c r="D2489" s="2" t="s">
        <v>1139</v>
      </c>
      <c r="E2489" s="2">
        <v>13.46</v>
      </c>
      <c r="F2489" s="2" t="e">
        <f>IF(Table2[[#This Row],[Manual Cat Value]]="",VLOOKUP(Table2[[#This Row],[Description]],'Actuals Lookup'!D:F,3,0),Table2[[#This Row],[Manual Cat Value]])</f>
        <v>#N/A</v>
      </c>
      <c r="J2489" s="2">
        <v>13.46</v>
      </c>
      <c r="K2489" s="2" t="b">
        <v>0</v>
      </c>
      <c r="L2489" s="2"/>
      <c r="M2489" s="2"/>
      <c r="N2489" s="4" t="s">
        <v>2259</v>
      </c>
      <c r="O2489" s="4" t="str">
        <f>LEFT(Table2[[#This Row],[Description]],75)</f>
        <v>LOWES COMPANIES INC</v>
      </c>
      <c r="P2489" s="2" t="s">
        <v>2402</v>
      </c>
    </row>
    <row r="2490" spans="1:16" hidden="1">
      <c r="A2490" s="2">
        <v>202005</v>
      </c>
      <c r="B2490" s="3">
        <v>43958</v>
      </c>
      <c r="C2490" s="2" t="s">
        <v>2317</v>
      </c>
      <c r="D2490" s="2" t="s">
        <v>2108</v>
      </c>
      <c r="E2490" s="2">
        <v>3.34</v>
      </c>
      <c r="F2490" s="2" t="e">
        <f>IF(Table2[[#This Row],[Manual Cat Value]]="",VLOOKUP(Table2[[#This Row],[Description]],'Actuals Lookup'!D:F,3,0),Table2[[#This Row],[Manual Cat Value]])</f>
        <v>#N/A</v>
      </c>
      <c r="J2490" s="2">
        <v>3.34</v>
      </c>
      <c r="K2490" s="2" t="b">
        <v>0</v>
      </c>
      <c r="L2490" s="2"/>
      <c r="M2490" s="2"/>
      <c r="N2490" s="4" t="s">
        <v>2259</v>
      </c>
      <c r="O2490" s="4" t="str">
        <f>LEFT(Table2[[#This Row],[Description]],75)</f>
        <v>VANGUARD INTRMDIAT TRM TRSRY ETF IV</v>
      </c>
      <c r="P2490" s="2" t="s">
        <v>2385</v>
      </c>
    </row>
    <row r="2491" spans="1:16" hidden="1">
      <c r="A2491" s="2">
        <v>202005</v>
      </c>
      <c r="B2491" s="3">
        <v>43958</v>
      </c>
      <c r="C2491" s="2" t="s">
        <v>2460</v>
      </c>
      <c r="D2491" s="2" t="s">
        <v>2108</v>
      </c>
      <c r="E2491" s="2">
        <v>3.34</v>
      </c>
      <c r="F2491" s="2" t="e">
        <f>IF(Table2[[#This Row],[Manual Cat Value]]="",VLOOKUP(Table2[[#This Row],[Description]],'Actuals Lookup'!D:F,3,0),Table2[[#This Row],[Manual Cat Value]])</f>
        <v>#N/A</v>
      </c>
      <c r="J2491" s="2">
        <v>3.34</v>
      </c>
      <c r="K2491" s="2" t="b">
        <v>0</v>
      </c>
      <c r="L2491" s="2"/>
      <c r="M2491" s="2"/>
      <c r="N2491" s="4" t="s">
        <v>2259</v>
      </c>
      <c r="O2491" s="4" t="str">
        <f>LEFT(Table2[[#This Row],[Description]],75)</f>
        <v>VANGUARD INTRMDIAT TRM TRSRY ETF IV</v>
      </c>
      <c r="P2491" s="2" t="s">
        <v>2281</v>
      </c>
    </row>
    <row r="2492" spans="1:16" hidden="1">
      <c r="A2492" s="2">
        <v>202005</v>
      </c>
      <c r="B2492" s="3">
        <v>43959</v>
      </c>
      <c r="C2492" s="2" t="s">
        <v>2262</v>
      </c>
      <c r="D2492" s="2" t="s">
        <v>684</v>
      </c>
      <c r="E2492" s="2">
        <v>22.93</v>
      </c>
      <c r="F2492" s="2" t="str">
        <f>IF(Table2[[#This Row],[Manual Cat Value]]="",VLOOKUP(Table2[[#This Row],[Description]],'Actuals Lookup'!D:F,3,0),Table2[[#This Row],[Manual Cat Value]])</f>
        <v>Groceries</v>
      </c>
      <c r="J2492" s="2">
        <v>22.93</v>
      </c>
      <c r="K2492" s="2" t="b">
        <v>0</v>
      </c>
      <c r="L2492" s="2"/>
      <c r="M2492" s="2"/>
      <c r="N2492" s="4" t="s">
        <v>2259</v>
      </c>
      <c r="O2492" s="4" t="str">
        <f>LEFT(Table2[[#This Row],[Description]],75)</f>
        <v>Cub Foods</v>
      </c>
      <c r="P2492" s="2" t="s">
        <v>2370</v>
      </c>
    </row>
    <row r="2493" spans="1:16" hidden="1">
      <c r="A2493" s="2">
        <v>202005</v>
      </c>
      <c r="B2493" s="3">
        <v>43959</v>
      </c>
      <c r="C2493" s="2" t="s">
        <v>2262</v>
      </c>
      <c r="D2493" s="2" t="s">
        <v>684</v>
      </c>
      <c r="E2493" s="2">
        <v>26.83</v>
      </c>
      <c r="F2493" s="2" t="str">
        <f>IF(Table2[[#This Row],[Manual Cat Value]]="",VLOOKUP(Table2[[#This Row],[Description]],'Actuals Lookup'!D:F,3,0),Table2[[#This Row],[Manual Cat Value]])</f>
        <v>Groceries</v>
      </c>
      <c r="J2493" s="2">
        <v>26.83</v>
      </c>
      <c r="K2493" s="2" t="b">
        <v>0</v>
      </c>
      <c r="L2493" s="2"/>
      <c r="M2493" s="2"/>
      <c r="N2493" s="4" t="s">
        <v>2259</v>
      </c>
      <c r="O2493" s="4" t="str">
        <f>LEFT(Table2[[#This Row],[Description]],75)</f>
        <v>Cub Foods</v>
      </c>
      <c r="P2493" s="2" t="s">
        <v>2370</v>
      </c>
    </row>
    <row r="2494" spans="1:16" hidden="1">
      <c r="A2494" s="2">
        <v>202005</v>
      </c>
      <c r="B2494" s="3">
        <v>43959</v>
      </c>
      <c r="C2494" s="2" t="s">
        <v>2265</v>
      </c>
      <c r="D2494" s="2" t="s">
        <v>2140</v>
      </c>
      <c r="E2494" s="2">
        <v>113.84</v>
      </c>
      <c r="F2494" s="2" t="e">
        <f>IF(Table2[[#This Row],[Manual Cat Value]]="",VLOOKUP(Table2[[#This Row],[Description]],'Actuals Lookup'!D:F,3,0),Table2[[#This Row],[Manual Cat Value]])</f>
        <v>#N/A</v>
      </c>
      <c r="J2494" s="2">
        <v>113.84</v>
      </c>
      <c r="K2494" s="2" t="b">
        <v>0</v>
      </c>
      <c r="L2494" s="2"/>
      <c r="M2494" s="2"/>
      <c r="N2494" s="4" t="s">
        <v>2259</v>
      </c>
      <c r="O2494" s="4" t="str">
        <f>LEFT(Table2[[#This Row],[Description]],75)</f>
        <v>Waste Management</v>
      </c>
      <c r="P2494" s="2" t="s">
        <v>2318</v>
      </c>
    </row>
    <row r="2495" spans="1:16" hidden="1">
      <c r="A2495" s="2">
        <v>202005</v>
      </c>
      <c r="B2495" s="3">
        <v>43961</v>
      </c>
      <c r="C2495" s="2" t="s">
        <v>2262</v>
      </c>
      <c r="D2495" s="2" t="s">
        <v>831</v>
      </c>
      <c r="E2495" s="2">
        <v>45.14</v>
      </c>
      <c r="F2495" s="2" t="e">
        <f>IF(Table2[[#This Row],[Manual Cat Value]]="",VLOOKUP(Table2[[#This Row],[Description]],'Actuals Lookup'!D:F,3,0),Table2[[#This Row],[Manual Cat Value]])</f>
        <v>#N/A</v>
      </c>
      <c r="J2495" s="2">
        <v>45.14</v>
      </c>
      <c r="K2495" s="2" t="b">
        <v>0</v>
      </c>
      <c r="L2495" s="2"/>
      <c r="M2495" s="2"/>
      <c r="N2495" s="4" t="s">
        <v>2259</v>
      </c>
      <c r="O2495" s="4" t="str">
        <f>LEFT(Table2[[#This Row],[Description]],75)</f>
        <v>Excelsior Brewing</v>
      </c>
      <c r="P2495" s="2" t="s">
        <v>2410</v>
      </c>
    </row>
    <row r="2496" spans="1:16" hidden="1">
      <c r="A2496" s="2">
        <v>202005</v>
      </c>
      <c r="B2496" s="3">
        <v>43961</v>
      </c>
      <c r="C2496" s="2" t="s">
        <v>2265</v>
      </c>
      <c r="D2496" s="2" t="s">
        <v>1038</v>
      </c>
      <c r="E2496" s="2">
        <v>-45</v>
      </c>
      <c r="F2496" s="2" t="e">
        <f>IF(Table2[[#This Row],[Manual Cat Value]]="",VLOOKUP(Table2[[#This Row],[Description]],'Actuals Lookup'!D:F,3,0),Table2[[#This Row],[Manual Cat Value]])</f>
        <v>#N/A</v>
      </c>
      <c r="J2496" s="2">
        <v>45</v>
      </c>
      <c r="K2496" s="2" t="b">
        <v>0</v>
      </c>
      <c r="L2496" s="2"/>
      <c r="M2496" s="2"/>
      <c r="N2496" s="4" t="s">
        <v>2273</v>
      </c>
      <c r="O2496" s="4" t="str">
        <f>LEFT(Table2[[#This Row],[Description]],75)</f>
        <v>Kaufman Hall Type</v>
      </c>
      <c r="P2496" s="2" t="s">
        <v>2281</v>
      </c>
    </row>
    <row r="2497" spans="1:16" hidden="1">
      <c r="A2497" s="2">
        <v>202005</v>
      </c>
      <c r="B2497" s="3">
        <v>43961</v>
      </c>
      <c r="C2497" s="2" t="s">
        <v>2262</v>
      </c>
      <c r="D2497" s="2" t="s">
        <v>1653</v>
      </c>
      <c r="E2497" s="2">
        <v>48.03</v>
      </c>
      <c r="F2497" s="2" t="e">
        <f>IF(Table2[[#This Row],[Manual Cat Value]]="",VLOOKUP(Table2[[#This Row],[Description]],'Actuals Lookup'!D:F,3,0),Table2[[#This Row],[Manual Cat Value]])</f>
        <v>#N/A</v>
      </c>
      <c r="J2497" s="2">
        <v>48.03</v>
      </c>
      <c r="K2497" s="2" t="b">
        <v>0</v>
      </c>
      <c r="L2497" s="2"/>
      <c r="M2497" s="2"/>
      <c r="N2497" s="4" t="s">
        <v>2259</v>
      </c>
      <c r="O2497" s="4" t="str">
        <f>LEFT(Table2[[#This Row],[Description]],75)</f>
        <v>Sherwin Williams</v>
      </c>
      <c r="P2497" s="2" t="s">
        <v>2353</v>
      </c>
    </row>
    <row r="2498" spans="1:16" hidden="1">
      <c r="A2498" s="2">
        <v>202005</v>
      </c>
      <c r="B2498" s="3">
        <v>43961</v>
      </c>
      <c r="C2498" s="2" t="s">
        <v>2262</v>
      </c>
      <c r="D2498" s="2" t="s">
        <v>2029</v>
      </c>
      <c r="E2498" s="2">
        <v>68.77</v>
      </c>
      <c r="F2498" s="2" t="e">
        <f>IF(Table2[[#This Row],[Manual Cat Value]]="",VLOOKUP(Table2[[#This Row],[Description]],'Actuals Lookup'!D:F,3,0),Table2[[#This Row],[Manual Cat Value]])</f>
        <v>#N/A</v>
      </c>
      <c r="J2498" s="2">
        <v>68.77</v>
      </c>
      <c r="K2498" s="2" t="b">
        <v>0</v>
      </c>
      <c r="L2498" s="2"/>
      <c r="M2498" s="2"/>
      <c r="N2498" s="4" t="s">
        <v>2259</v>
      </c>
      <c r="O2498" s="4" t="str">
        <f>LEFT(Table2[[#This Row],[Description]],75)</f>
        <v>TST OLIVE S FRESH EXCELS6122324677 MN 309740559</v>
      </c>
      <c r="P2498" s="2" t="s">
        <v>2483</v>
      </c>
    </row>
    <row r="2499" spans="1:16" hidden="1">
      <c r="A2499" s="2">
        <v>202005</v>
      </c>
      <c r="B2499" s="3">
        <v>43962</v>
      </c>
      <c r="C2499" s="2" t="s">
        <v>2262</v>
      </c>
      <c r="D2499" s="2" t="s">
        <v>1451</v>
      </c>
      <c r="E2499" s="2">
        <v>-1544.38</v>
      </c>
      <c r="F2499" s="2" t="e">
        <f>IF(Table2[[#This Row],[Manual Cat Value]]="",VLOOKUP(Table2[[#This Row],[Description]],'Actuals Lookup'!D:F,3,0),Table2[[#This Row],[Manual Cat Value]])</f>
        <v>#N/A</v>
      </c>
      <c r="J2499" s="2">
        <v>1544.38</v>
      </c>
      <c r="K2499" s="2" t="b">
        <v>0</v>
      </c>
      <c r="L2499" s="2"/>
      <c r="M2499" s="2"/>
      <c r="N2499" s="4" t="s">
        <v>2273</v>
      </c>
      <c r="O2499" s="4" t="str">
        <f>LEFT(Table2[[#This Row],[Description]],75)</f>
        <v>PAYMENT THANK YOU 310208856</v>
      </c>
      <c r="P2499" s="2" t="s">
        <v>2391</v>
      </c>
    </row>
    <row r="2500" spans="1:16" hidden="1">
      <c r="A2500" s="2">
        <v>202005</v>
      </c>
      <c r="B2500" s="3">
        <v>43962</v>
      </c>
      <c r="C2500" s="2" t="s">
        <v>2265</v>
      </c>
      <c r="D2500" s="2" t="s">
        <v>2196</v>
      </c>
      <c r="E2500" s="2">
        <v>1544.38</v>
      </c>
      <c r="F2500" s="2" t="e">
        <f>IF(Table2[[#This Row],[Manual Cat Value]]="",VLOOKUP(Table2[[#This Row],[Description]],'Actuals Lookup'!D:F,3,0),Table2[[#This Row],[Manual Cat Value]])</f>
        <v>#N/A</v>
      </c>
      <c r="J2500" s="2">
        <v>1544.38</v>
      </c>
      <c r="K2500" s="2" t="b">
        <v>0</v>
      </c>
      <c r="L2500" s="2"/>
      <c r="M2500" s="2"/>
      <c r="N2500" s="4" t="s">
        <v>2259</v>
      </c>
      <c r="O2500" s="4" t="str">
        <f>LEFT(Table2[[#This Row],[Description]],75)</f>
        <v>Withdrawal Home payment to card 979181 309863835</v>
      </c>
      <c r="P2500" s="2" t="s">
        <v>2349</v>
      </c>
    </row>
    <row r="2501" spans="1:16" hidden="1">
      <c r="A2501" s="2">
        <v>202005</v>
      </c>
      <c r="B2501" s="3">
        <v>43962</v>
      </c>
      <c r="C2501" s="2" t="s">
        <v>2447</v>
      </c>
      <c r="D2501" s="2" t="s">
        <v>506</v>
      </c>
      <c r="E2501" s="2">
        <v>45</v>
      </c>
      <c r="F2501" s="2" t="str">
        <f>IF(Table2[[#This Row],[Manual Cat Value]]="",VLOOKUP(Table2[[#This Row],[Description]],'Actuals Lookup'!D:F,3,0),Table2[[#This Row],[Manual Cat Value]])</f>
        <v>Utilities</v>
      </c>
      <c r="J2501" s="2">
        <v>45</v>
      </c>
      <c r="K2501" s="2" t="b">
        <v>0</v>
      </c>
      <c r="L2501" s="2"/>
      <c r="M2501" s="2"/>
      <c r="N2501" s="4" t="s">
        <v>2259</v>
      </c>
      <c r="O2501" s="4" t="str">
        <f>LEFT(Table2[[#This Row],[Description]],75)</f>
        <v>CenturyLink</v>
      </c>
      <c r="P2501" s="2" t="s">
        <v>2408</v>
      </c>
    </row>
    <row r="2502" spans="1:16" hidden="1">
      <c r="A2502" s="2">
        <v>202005</v>
      </c>
      <c r="B2502" s="3">
        <v>43962</v>
      </c>
      <c r="C2502" s="2" t="s">
        <v>2258</v>
      </c>
      <c r="D2502" s="2" t="s">
        <v>506</v>
      </c>
      <c r="E2502" s="2">
        <v>45</v>
      </c>
      <c r="F2502" s="2" t="str">
        <f>IF(Table2[[#This Row],[Manual Cat Value]]="",VLOOKUP(Table2[[#This Row],[Description]],'Actuals Lookup'!D:F,3,0),Table2[[#This Row],[Manual Cat Value]])</f>
        <v>Utilities</v>
      </c>
      <c r="J2502" s="2">
        <v>45</v>
      </c>
      <c r="K2502" s="2" t="b">
        <v>0</v>
      </c>
      <c r="L2502" s="2"/>
      <c r="M2502" s="2"/>
      <c r="N2502" s="4" t="s">
        <v>2259</v>
      </c>
      <c r="O2502" s="4" t="str">
        <f>LEFT(Table2[[#This Row],[Description]],75)</f>
        <v>CenturyLink</v>
      </c>
      <c r="P2502" s="2" t="s">
        <v>2408</v>
      </c>
    </row>
    <row r="2503" spans="1:16" hidden="1">
      <c r="A2503" s="2">
        <v>202005</v>
      </c>
      <c r="B2503" s="3">
        <v>43962</v>
      </c>
      <c r="C2503" s="2" t="s">
        <v>2265</v>
      </c>
      <c r="D2503" s="2" t="s">
        <v>654</v>
      </c>
      <c r="E2503" s="2">
        <v>133.68</v>
      </c>
      <c r="F2503" s="2" t="e">
        <f>IF(Table2[[#This Row],[Manual Cat Value]]="",VLOOKUP(Table2[[#This Row],[Description]],'Actuals Lookup'!D:F,3,0),Table2[[#This Row],[Manual Cat Value]])</f>
        <v>#N/A</v>
      </c>
      <c r="J2503" s="2">
        <v>133.68</v>
      </c>
      <c r="K2503" s="2" t="b">
        <v>0</v>
      </c>
      <c r="L2503" s="2"/>
      <c r="M2503" s="2"/>
      <c r="N2503" s="4" t="s">
        <v>2259</v>
      </c>
      <c r="O2503" s="4" t="str">
        <f>LEFT(Table2[[#This Row],[Description]],75)</f>
        <v xml:space="preserve">CPENERGY MNGCO TYPE MGC ACH EB ID 176051140S CO CPENERGY MNGCO ACH ECC WEB </v>
      </c>
      <c r="P2503" s="2" t="s">
        <v>2399</v>
      </c>
    </row>
    <row r="2504" spans="1:16" hidden="1">
      <c r="A2504" s="2">
        <v>202005</v>
      </c>
      <c r="B2504" s="3">
        <v>43962</v>
      </c>
      <c r="C2504" s="2" t="s">
        <v>2447</v>
      </c>
      <c r="D2504" s="2" t="s">
        <v>1014</v>
      </c>
      <c r="E2504" s="2">
        <v>8.15</v>
      </c>
      <c r="F2504" s="2" t="str">
        <f>IF(Table2[[#This Row],[Manual Cat Value]]="",VLOOKUP(Table2[[#This Row],[Description]],'Actuals Lookup'!D:F,3,0),Table2[[#This Row],[Manual Cat Value]])</f>
        <v>Restaurants</v>
      </c>
      <c r="J2504" s="2">
        <v>8.15</v>
      </c>
      <c r="K2504" s="2" t="b">
        <v>0</v>
      </c>
      <c r="L2504" s="2"/>
      <c r="M2504" s="2"/>
      <c r="N2504" s="4" t="s">
        <v>2259</v>
      </c>
      <c r="O2504" s="4" t="str">
        <f>LEFT(Table2[[#This Row],[Description]],75)</f>
        <v>Jimmy John's</v>
      </c>
      <c r="P2504" s="2" t="s">
        <v>2453</v>
      </c>
    </row>
    <row r="2505" spans="1:16" hidden="1">
      <c r="A2505" s="2">
        <v>202005</v>
      </c>
      <c r="B2505" s="3">
        <v>43962</v>
      </c>
      <c r="C2505" s="2" t="s">
        <v>2258</v>
      </c>
      <c r="D2505" s="2" t="s">
        <v>1014</v>
      </c>
      <c r="E2505" s="2">
        <v>8.15</v>
      </c>
      <c r="F2505" s="2" t="str">
        <f>IF(Table2[[#This Row],[Manual Cat Value]]="",VLOOKUP(Table2[[#This Row],[Description]],'Actuals Lookup'!D:F,3,0),Table2[[#This Row],[Manual Cat Value]])</f>
        <v>Restaurants</v>
      </c>
      <c r="J2505" s="2">
        <v>8.15</v>
      </c>
      <c r="K2505" s="2" t="b">
        <v>0</v>
      </c>
      <c r="L2505" s="2"/>
      <c r="M2505" s="2"/>
      <c r="N2505" s="4" t="s">
        <v>2259</v>
      </c>
      <c r="O2505" s="4" t="str">
        <f>LEFT(Table2[[#This Row],[Description]],75)</f>
        <v>Jimmy John's</v>
      </c>
      <c r="P2505" s="2" t="s">
        <v>2453</v>
      </c>
    </row>
    <row r="2506" spans="1:16" hidden="1">
      <c r="A2506" s="2">
        <v>202005</v>
      </c>
      <c r="B2506" s="3">
        <v>43962</v>
      </c>
      <c r="C2506" s="2" t="s">
        <v>2262</v>
      </c>
      <c r="D2506" s="2" t="s">
        <v>1079</v>
      </c>
      <c r="E2506" s="2">
        <v>40.68</v>
      </c>
      <c r="F2506" s="2" t="e">
        <f>IF(Table2[[#This Row],[Manual Cat Value]]="",VLOOKUP(Table2[[#This Row],[Description]],'Actuals Lookup'!D:F,3,0),Table2[[#This Row],[Manual Cat Value]])</f>
        <v>#N/A</v>
      </c>
      <c r="J2506" s="2">
        <v>40.68</v>
      </c>
      <c r="K2506" s="2" t="b">
        <v>0</v>
      </c>
      <c r="L2506" s="2"/>
      <c r="M2506" s="2"/>
      <c r="N2506" s="4" t="s">
        <v>2259</v>
      </c>
      <c r="O2506" s="4" t="str">
        <f>LEFT(Table2[[#This Row],[Description]],75)</f>
        <v>Kowalski's</v>
      </c>
      <c r="P2506" s="2" t="s">
        <v>2281</v>
      </c>
    </row>
    <row r="2507" spans="1:16" hidden="1">
      <c r="A2507" s="2">
        <v>202005</v>
      </c>
      <c r="B2507" s="3">
        <v>43962</v>
      </c>
      <c r="C2507" s="2" t="s">
        <v>2265</v>
      </c>
      <c r="D2507" s="2" t="s">
        <v>1471</v>
      </c>
      <c r="E2507" s="2">
        <v>7.43</v>
      </c>
      <c r="F2507" s="2" t="str">
        <f>IF(Table2[[#This Row],[Manual Cat Value]]="",VLOOKUP(Table2[[#This Row],[Description]],'Actuals Lookup'!D:F,3,0),Table2[[#This Row],[Manual Cat Value]])</f>
        <v>Shopping</v>
      </c>
      <c r="J2507" s="2">
        <v>7.43</v>
      </c>
      <c r="K2507" s="2" t="b">
        <v>0</v>
      </c>
      <c r="L2507" s="2"/>
      <c r="M2507" s="2"/>
      <c r="N2507" s="4" t="s">
        <v>2259</v>
      </c>
      <c r="O2507" s="4" t="str">
        <f>LEFT(Table2[[#This Row],[Description]],75)</f>
        <v>PayPal</v>
      </c>
      <c r="P2507" s="2" t="s">
        <v>2322</v>
      </c>
    </row>
    <row r="2508" spans="1:16" hidden="1">
      <c r="A2508" s="2">
        <v>202005</v>
      </c>
      <c r="B2508" s="3">
        <v>43962</v>
      </c>
      <c r="C2508" s="2" t="s">
        <v>2262</v>
      </c>
      <c r="D2508" s="2" t="s">
        <v>2229</v>
      </c>
      <c r="E2508" s="2">
        <v>117.45</v>
      </c>
      <c r="F2508" s="2" t="e">
        <f>IF(Table2[[#This Row],[Manual Cat Value]]="",VLOOKUP(Table2[[#This Row],[Description]],'Actuals Lookup'!D:F,3,0),Table2[[#This Row],[Manual Cat Value]])</f>
        <v>#N/A</v>
      </c>
      <c r="J2508" s="2">
        <v>117.45</v>
      </c>
      <c r="K2508" s="2" t="b">
        <v>0</v>
      </c>
      <c r="L2508" s="2"/>
      <c r="M2508" s="2"/>
      <c r="N2508" s="4" t="s">
        <v>2259</v>
      </c>
      <c r="O2508" s="4" t="str">
        <f>LEFT(Table2[[#This Row],[Description]],75)</f>
        <v>Yumi's Sushi Bar</v>
      </c>
      <c r="P2508" s="2" t="s">
        <v>2281</v>
      </c>
    </row>
    <row r="2509" spans="1:16" hidden="1">
      <c r="A2509" s="2">
        <v>202005</v>
      </c>
      <c r="B2509" s="3">
        <v>43964</v>
      </c>
      <c r="C2509" s="2" t="s">
        <v>2265</v>
      </c>
      <c r="D2509" s="2" t="s">
        <v>373</v>
      </c>
      <c r="E2509" s="2">
        <v>-2744.61</v>
      </c>
      <c r="F2509" s="2" t="e">
        <f>IF(Table2[[#This Row],[Manual Cat Value]]="",VLOOKUP(Table2[[#This Row],[Description]],'Actuals Lookup'!D:F,3,0),Table2[[#This Row],[Manual Cat Value]])</f>
        <v>#N/A</v>
      </c>
      <c r="J2509" s="2">
        <v>2744.61</v>
      </c>
      <c r="K2509" s="2" t="b">
        <v>0</v>
      </c>
      <c r="L2509" s="2"/>
      <c r="M2509" s="2"/>
      <c r="N2509" s="4" t="s">
        <v>2273</v>
      </c>
      <c r="O2509" s="4" t="str">
        <f>LEFT(Table2[[#This Row],[Description]],75)</f>
        <v xml:space="preserve">CARGILL COCOA TYPE DIR DEP ID CO CARGILL COCOA ACH ECC PPD ACH Trace 32186 </v>
      </c>
      <c r="P2509" s="2" t="s">
        <v>2284</v>
      </c>
    </row>
    <row r="2510" spans="1:16" hidden="1">
      <c r="A2510" s="2">
        <v>202005</v>
      </c>
      <c r="B2510" s="3">
        <v>43964</v>
      </c>
      <c r="C2510" s="2" t="s">
        <v>2262</v>
      </c>
      <c r="D2510" s="2" t="s">
        <v>793</v>
      </c>
      <c r="E2510" s="2">
        <v>-94.97</v>
      </c>
      <c r="F2510" s="2" t="e">
        <f>IF(Table2[[#This Row],[Manual Cat Value]]="",VLOOKUP(Table2[[#This Row],[Description]],'Actuals Lookup'!D:F,3,0),Table2[[#This Row],[Manual Cat Value]])</f>
        <v>#N/A</v>
      </c>
      <c r="J2510" s="2">
        <v>94.97</v>
      </c>
      <c r="K2510" s="2" t="b">
        <v>0</v>
      </c>
      <c r="L2510" s="2"/>
      <c r="M2510" s="2"/>
      <c r="N2510" s="4" t="s">
        <v>2273</v>
      </c>
      <c r="O2510" s="4" t="str">
        <f>LEFT(Table2[[#This Row],[Description]],75)</f>
        <v>DSW Designer Shoe Warehouse</v>
      </c>
      <c r="P2510" s="2" t="s">
        <v>2281</v>
      </c>
    </row>
    <row r="2511" spans="1:16" hidden="1">
      <c r="A2511" s="2">
        <v>202005</v>
      </c>
      <c r="B2511" s="3">
        <v>43964</v>
      </c>
      <c r="C2511" s="2" t="s">
        <v>2262</v>
      </c>
      <c r="D2511" s="2" t="s">
        <v>919</v>
      </c>
      <c r="E2511" s="2">
        <v>18</v>
      </c>
      <c r="F2511" s="2" t="e">
        <f>IF(Table2[[#This Row],[Manual Cat Value]]="",VLOOKUP(Table2[[#This Row],[Description]],'Actuals Lookup'!D:F,3,0),Table2[[#This Row],[Manual Cat Value]])</f>
        <v>#N/A</v>
      </c>
      <c r="J2511" s="2">
        <v>18</v>
      </c>
      <c r="K2511" s="2" t="b">
        <v>0</v>
      </c>
      <c r="L2511" s="2"/>
      <c r="M2511" s="2"/>
      <c r="N2511" s="4" t="s">
        <v>2259</v>
      </c>
      <c r="O2511" s="4" t="str">
        <f>LEFT(Table2[[#This Row],[Description]],75)</f>
        <v>Harvard Business</v>
      </c>
      <c r="P2511" s="2" t="s">
        <v>2412</v>
      </c>
    </row>
    <row r="2512" spans="1:16" hidden="1">
      <c r="A2512" s="2">
        <v>202005</v>
      </c>
      <c r="B2512" s="3">
        <v>43965</v>
      </c>
      <c r="C2512" s="2" t="s">
        <v>2265</v>
      </c>
      <c r="D2512" s="2" t="s">
        <v>131</v>
      </c>
      <c r="E2512" s="2">
        <v>114.38</v>
      </c>
      <c r="F2512" s="2" t="str">
        <f>IF(Table2[[#This Row],[Manual Cat Value]]="",VLOOKUP(Table2[[#This Row],[Description]],'Actuals Lookup'!D:F,3,0),Table2[[#This Row],[Manual Cat Value]])</f>
        <v>Insurance</v>
      </c>
      <c r="J2512" s="2">
        <v>114.38</v>
      </c>
      <c r="K2512" s="2" t="b">
        <v>0</v>
      </c>
      <c r="L2512" s="2"/>
      <c r="M2512" s="2"/>
      <c r="N2512" s="4" t="s">
        <v>2259</v>
      </c>
      <c r="O2512" s="4" t="str">
        <f>LEFT(Table2[[#This Row],[Description]],75)</f>
        <v>American Family Insurance</v>
      </c>
      <c r="P2512" s="2" t="s">
        <v>2286</v>
      </c>
    </row>
    <row r="2513" spans="1:16" hidden="1">
      <c r="A2513" s="2">
        <v>202005</v>
      </c>
      <c r="B2513" s="3">
        <v>43965</v>
      </c>
      <c r="C2513" s="2" t="s">
        <v>2317</v>
      </c>
      <c r="D2513" s="2" t="s">
        <v>164</v>
      </c>
      <c r="E2513" s="2">
        <v>-45.69</v>
      </c>
      <c r="F2513" s="2" t="e">
        <f>IF(Table2[[#This Row],[Manual Cat Value]]="",VLOOKUP(Table2[[#This Row],[Description]],'Actuals Lookup'!D:F,3,0),Table2[[#This Row],[Manual Cat Value]])</f>
        <v>#N/A</v>
      </c>
      <c r="J2513" s="2">
        <v>45.69</v>
      </c>
      <c r="K2513" s="2" t="b">
        <v>0</v>
      </c>
      <c r="L2513" s="2"/>
      <c r="M2513" s="2"/>
      <c r="N2513" s="4" t="s">
        <v>2273</v>
      </c>
      <c r="O2513" s="4" t="str">
        <f>LEFT(Table2[[#This Row],[Description]],75)</f>
        <v>APPLE INC</v>
      </c>
      <c r="P2513" s="2" t="s">
        <v>2405</v>
      </c>
    </row>
    <row r="2514" spans="1:16" hidden="1">
      <c r="A2514" s="2">
        <v>202005</v>
      </c>
      <c r="B2514" s="3">
        <v>43965</v>
      </c>
      <c r="C2514" s="2" t="s">
        <v>2435</v>
      </c>
      <c r="D2514" s="2" t="s">
        <v>164</v>
      </c>
      <c r="E2514" s="2">
        <v>-4.1100000000000003</v>
      </c>
      <c r="F2514" s="2" t="e">
        <f>IF(Table2[[#This Row],[Manual Cat Value]]="",VLOOKUP(Table2[[#This Row],[Description]],'Actuals Lookup'!D:F,3,0),Table2[[#This Row],[Manual Cat Value]])</f>
        <v>#N/A</v>
      </c>
      <c r="J2514" s="2">
        <v>4.1100000000000003</v>
      </c>
      <c r="K2514" s="2" t="b">
        <v>0</v>
      </c>
      <c r="L2514" s="2"/>
      <c r="M2514" s="2"/>
      <c r="N2514" s="4" t="s">
        <v>2273</v>
      </c>
      <c r="O2514" s="4" t="str">
        <f>LEFT(Table2[[#This Row],[Description]],75)</f>
        <v>APPLE INC</v>
      </c>
      <c r="P2514" s="2" t="s">
        <v>2405</v>
      </c>
    </row>
    <row r="2515" spans="1:16" hidden="1">
      <c r="A2515" s="2">
        <v>202005</v>
      </c>
      <c r="B2515" s="3">
        <v>43965</v>
      </c>
      <c r="C2515" s="2" t="s">
        <v>2460</v>
      </c>
      <c r="D2515" s="2" t="s">
        <v>164</v>
      </c>
      <c r="E2515" s="2">
        <v>-45.69</v>
      </c>
      <c r="F2515" s="2" t="e">
        <f>IF(Table2[[#This Row],[Manual Cat Value]]="",VLOOKUP(Table2[[#This Row],[Description]],'Actuals Lookup'!D:F,3,0),Table2[[#This Row],[Manual Cat Value]])</f>
        <v>#N/A</v>
      </c>
      <c r="J2515" s="2">
        <v>45.69</v>
      </c>
      <c r="K2515" s="2" t="b">
        <v>0</v>
      </c>
      <c r="L2515" s="2"/>
      <c r="M2515" s="2"/>
      <c r="N2515" s="4" t="s">
        <v>2273</v>
      </c>
      <c r="O2515" s="4" t="str">
        <f>LEFT(Table2[[#This Row],[Description]],75)</f>
        <v>APPLE INC</v>
      </c>
      <c r="P2515" s="2" t="s">
        <v>2405</v>
      </c>
    </row>
    <row r="2516" spans="1:16" hidden="1">
      <c r="A2516" s="2">
        <v>202005</v>
      </c>
      <c r="B2516" s="3">
        <v>43965</v>
      </c>
      <c r="C2516" s="2" t="s">
        <v>2265</v>
      </c>
      <c r="D2516" s="2" t="s">
        <v>1055</v>
      </c>
      <c r="E2516" s="2">
        <v>-2688.26</v>
      </c>
      <c r="F2516" s="2" t="e">
        <f>IF(Table2[[#This Row],[Manual Cat Value]]="",VLOOKUP(Table2[[#This Row],[Description]],'Actuals Lookup'!D:F,3,0),Table2[[#This Row],[Manual Cat Value]])</f>
        <v>#N/A</v>
      </c>
      <c r="J2516" s="2">
        <v>2688.26</v>
      </c>
      <c r="K2516" s="2" t="b">
        <v>0</v>
      </c>
      <c r="L2516" s="2"/>
      <c r="M2516" s="2"/>
      <c r="N2516" s="4" t="s">
        <v>2273</v>
      </c>
      <c r="O2516" s="4" t="str">
        <f>LEFT(Table2[[#This Row],[Description]],75)</f>
        <v>KAUFMAN HALL TYPE DIRECT DEP ID CO KAUFMAN HALL ACH ECC PPD ACH Trace 57012</v>
      </c>
      <c r="P2516" s="2" t="s">
        <v>2285</v>
      </c>
    </row>
    <row r="2517" spans="1:16" hidden="1">
      <c r="A2517" s="2">
        <v>202005</v>
      </c>
      <c r="B2517" s="3">
        <v>43965</v>
      </c>
      <c r="C2517" s="2" t="s">
        <v>2262</v>
      </c>
      <c r="D2517" s="2" t="s">
        <v>1368</v>
      </c>
      <c r="E2517" s="2">
        <v>40.26</v>
      </c>
      <c r="F2517" s="2" t="e">
        <f>IF(Table2[[#This Row],[Manual Cat Value]]="",VLOOKUP(Table2[[#This Row],[Description]],'Actuals Lookup'!D:F,3,0),Table2[[#This Row],[Manual Cat Value]])</f>
        <v>#N/A</v>
      </c>
      <c r="J2517" s="2">
        <v>40.26</v>
      </c>
      <c r="K2517" s="2" t="b">
        <v>0</v>
      </c>
      <c r="L2517" s="2"/>
      <c r="M2517" s="2"/>
      <c r="N2517" s="4" t="s">
        <v>2259</v>
      </c>
      <c r="O2517" s="4" t="str">
        <f>LEFT(Table2[[#This Row],[Description]],75)</f>
        <v>NORTH COOP NORTH COOP STRIPECOM MN 310745293</v>
      </c>
      <c r="P2517" s="2" t="s">
        <v>2480</v>
      </c>
    </row>
    <row r="2518" spans="1:16" hidden="1">
      <c r="A2518" s="2">
        <v>202005</v>
      </c>
      <c r="B2518" s="3">
        <v>43965</v>
      </c>
      <c r="C2518" s="2" t="s">
        <v>2262</v>
      </c>
      <c r="D2518" s="2" t="s">
        <v>1707</v>
      </c>
      <c r="E2518" s="2">
        <v>26.77</v>
      </c>
      <c r="F2518" s="2" t="str">
        <f>IF(Table2[[#This Row],[Manual Cat Value]]="",VLOOKUP(Table2[[#This Row],[Description]],'Actuals Lookup'!D:F,3,0),Table2[[#This Row],[Manual Cat Value]])</f>
        <v>Transportation</v>
      </c>
      <c r="J2518" s="2">
        <v>26.77</v>
      </c>
      <c r="K2518" s="2" t="b">
        <v>0</v>
      </c>
      <c r="L2518" s="2"/>
      <c r="M2518" s="2"/>
      <c r="N2518" s="4" t="s">
        <v>2259</v>
      </c>
      <c r="O2518" s="4" t="str">
        <f>LEFT(Table2[[#This Row],[Description]],75)</f>
        <v>Speedway</v>
      </c>
      <c r="P2518" s="2" t="s">
        <v>2381</v>
      </c>
    </row>
    <row r="2519" spans="1:16" hidden="1">
      <c r="A2519" s="2">
        <v>202005</v>
      </c>
      <c r="B2519" s="3">
        <v>43965</v>
      </c>
      <c r="C2519" s="2" t="s">
        <v>2262</v>
      </c>
      <c r="D2519" s="2" t="s">
        <v>2002</v>
      </c>
      <c r="E2519" s="2">
        <v>24.71</v>
      </c>
      <c r="F2519" s="2" t="e">
        <f>IF(Table2[[#This Row],[Manual Cat Value]]="",VLOOKUP(Table2[[#This Row],[Description]],'Actuals Lookup'!D:F,3,0),Table2[[#This Row],[Manual Cat Value]])</f>
        <v>#N/A</v>
      </c>
      <c r="J2519" s="2">
        <v>24.71</v>
      </c>
      <c r="K2519" s="2" t="b">
        <v>0</v>
      </c>
      <c r="L2519" s="2"/>
      <c r="M2519" s="2"/>
      <c r="N2519" s="4" t="s">
        <v>2259</v>
      </c>
      <c r="O2519" s="4" t="str">
        <f>LEFT(Table2[[#This Row],[Description]],75)</f>
        <v>True Value</v>
      </c>
      <c r="P2519" s="2" t="s">
        <v>2281</v>
      </c>
    </row>
    <row r="2520" spans="1:16" hidden="1">
      <c r="A2520" s="2">
        <v>202005</v>
      </c>
      <c r="B2520" s="3">
        <v>43966</v>
      </c>
      <c r="C2520" s="2" t="s">
        <v>2262</v>
      </c>
      <c r="D2520" s="2" t="s">
        <v>38</v>
      </c>
      <c r="E2520" s="2">
        <v>64.41</v>
      </c>
      <c r="F2520" s="2" t="str">
        <f>IF(Table2[[#This Row],[Manual Cat Value]]="",VLOOKUP(Table2[[#This Row],[Description]],'Actuals Lookup'!D:F,3,0),Table2[[#This Row],[Manual Cat Value]])</f>
        <v>Amazon</v>
      </c>
      <c r="J2520" s="2">
        <v>64.41</v>
      </c>
      <c r="K2520" s="2" t="b">
        <v>0</v>
      </c>
      <c r="L2520" s="2"/>
      <c r="M2520" s="2"/>
      <c r="N2520" s="4" t="s">
        <v>2259</v>
      </c>
      <c r="O2520" s="4" t="str">
        <f>LEFT(Table2[[#This Row],[Description]],75)</f>
        <v>Amazon</v>
      </c>
      <c r="P2520" s="2" t="s">
        <v>2260</v>
      </c>
    </row>
    <row r="2521" spans="1:16" hidden="1">
      <c r="A2521" s="2">
        <v>202005</v>
      </c>
      <c r="B2521" s="3">
        <v>43966</v>
      </c>
      <c r="C2521" s="2" t="s">
        <v>2317</v>
      </c>
      <c r="D2521" s="2" t="s">
        <v>164</v>
      </c>
      <c r="E2521" s="2">
        <v>45.69</v>
      </c>
      <c r="F2521" s="2" t="e">
        <f>IF(Table2[[#This Row],[Manual Cat Value]]="",VLOOKUP(Table2[[#This Row],[Description]],'Actuals Lookup'!D:F,3,0),Table2[[#This Row],[Manual Cat Value]])</f>
        <v>#N/A</v>
      </c>
      <c r="J2521" s="2">
        <v>45.69</v>
      </c>
      <c r="K2521" s="2" t="b">
        <v>0</v>
      </c>
      <c r="L2521" s="2"/>
      <c r="M2521" s="2"/>
      <c r="N2521" s="4" t="s">
        <v>2259</v>
      </c>
      <c r="O2521" s="4" t="str">
        <f>LEFT(Table2[[#This Row],[Description]],75)</f>
        <v>APPLE INC</v>
      </c>
      <c r="P2521" s="2" t="s">
        <v>2405</v>
      </c>
    </row>
    <row r="2522" spans="1:16" hidden="1">
      <c r="A2522" s="2">
        <v>202005</v>
      </c>
      <c r="B2522" s="3">
        <v>43966</v>
      </c>
      <c r="C2522" s="2" t="s">
        <v>2435</v>
      </c>
      <c r="D2522" s="2" t="s">
        <v>164</v>
      </c>
      <c r="E2522" s="2">
        <v>4.1100000000000003</v>
      </c>
      <c r="F2522" s="2" t="e">
        <f>IF(Table2[[#This Row],[Manual Cat Value]]="",VLOOKUP(Table2[[#This Row],[Description]],'Actuals Lookup'!D:F,3,0),Table2[[#This Row],[Manual Cat Value]])</f>
        <v>#N/A</v>
      </c>
      <c r="J2522" s="2">
        <v>4.1100000000000003</v>
      </c>
      <c r="K2522" s="2" t="b">
        <v>0</v>
      </c>
      <c r="L2522" s="2"/>
      <c r="M2522" s="2"/>
      <c r="N2522" s="4" t="s">
        <v>2259</v>
      </c>
      <c r="O2522" s="4" t="str">
        <f>LEFT(Table2[[#This Row],[Description]],75)</f>
        <v>APPLE INC</v>
      </c>
      <c r="P2522" s="2" t="s">
        <v>2405</v>
      </c>
    </row>
    <row r="2523" spans="1:16" hidden="1">
      <c r="A2523" s="2">
        <v>202005</v>
      </c>
      <c r="B2523" s="3">
        <v>43966</v>
      </c>
      <c r="C2523" s="2" t="s">
        <v>2460</v>
      </c>
      <c r="D2523" s="2" t="s">
        <v>164</v>
      </c>
      <c r="E2523" s="2">
        <v>45.69</v>
      </c>
      <c r="F2523" s="2" t="e">
        <f>IF(Table2[[#This Row],[Manual Cat Value]]="",VLOOKUP(Table2[[#This Row],[Description]],'Actuals Lookup'!D:F,3,0),Table2[[#This Row],[Manual Cat Value]])</f>
        <v>#N/A</v>
      </c>
      <c r="J2523" s="2">
        <v>45.69</v>
      </c>
      <c r="K2523" s="2" t="b">
        <v>0</v>
      </c>
      <c r="L2523" s="2"/>
      <c r="M2523" s="2"/>
      <c r="N2523" s="4" t="s">
        <v>2259</v>
      </c>
      <c r="O2523" s="4" t="str">
        <f>LEFT(Table2[[#This Row],[Description]],75)</f>
        <v>APPLE INC</v>
      </c>
      <c r="P2523" s="2" t="s">
        <v>2405</v>
      </c>
    </row>
    <row r="2524" spans="1:16" hidden="1">
      <c r="A2524" s="2">
        <v>202005</v>
      </c>
      <c r="B2524" s="3">
        <v>43966</v>
      </c>
      <c r="C2524" s="2" t="s">
        <v>2317</v>
      </c>
      <c r="D2524" s="2" t="s">
        <v>354</v>
      </c>
      <c r="E2524" s="2">
        <v>-200</v>
      </c>
      <c r="F2524" s="2" t="e">
        <f>IF(Table2[[#This Row],[Manual Cat Value]]="",VLOOKUP(Table2[[#This Row],[Description]],'Actuals Lookup'!D:F,3,0),Table2[[#This Row],[Manual Cat Value]])</f>
        <v>#N/A</v>
      </c>
      <c r="J2524" s="2">
        <v>200</v>
      </c>
      <c r="K2524" s="2" t="b">
        <v>0</v>
      </c>
      <c r="L2524" s="2"/>
      <c r="M2524" s="2"/>
      <c r="N2524" s="4" t="s">
        <v>2273</v>
      </c>
      <c r="O2524" s="4" t="str">
        <f>LEFT(Table2[[#This Row],[Description]],75)</f>
        <v>CARGILL COCOA &amp;</v>
      </c>
      <c r="P2524" s="2" t="s">
        <v>2354</v>
      </c>
    </row>
    <row r="2525" spans="1:16" hidden="1">
      <c r="A2525" s="2">
        <v>202005</v>
      </c>
      <c r="B2525" s="3">
        <v>43966</v>
      </c>
      <c r="C2525" s="2" t="s">
        <v>2460</v>
      </c>
      <c r="D2525" s="2" t="s">
        <v>354</v>
      </c>
      <c r="E2525" s="2">
        <v>-200</v>
      </c>
      <c r="F2525" s="2" t="e">
        <f>IF(Table2[[#This Row],[Manual Cat Value]]="",VLOOKUP(Table2[[#This Row],[Description]],'Actuals Lookup'!D:F,3,0),Table2[[#This Row],[Manual Cat Value]])</f>
        <v>#N/A</v>
      </c>
      <c r="J2525" s="2">
        <v>200</v>
      </c>
      <c r="K2525" s="2" t="b">
        <v>0</v>
      </c>
      <c r="L2525" s="2"/>
      <c r="M2525" s="2"/>
      <c r="N2525" s="4" t="s">
        <v>2273</v>
      </c>
      <c r="O2525" s="4" t="str">
        <f>LEFT(Table2[[#This Row],[Description]],75)</f>
        <v>CARGILL COCOA &amp;</v>
      </c>
      <c r="P2525" s="2" t="s">
        <v>2354</v>
      </c>
    </row>
    <row r="2526" spans="1:16" hidden="1">
      <c r="A2526" s="2">
        <v>202005</v>
      </c>
      <c r="B2526" s="3">
        <v>43966</v>
      </c>
      <c r="C2526" s="2" t="s">
        <v>2262</v>
      </c>
      <c r="D2526" s="2" t="s">
        <v>947</v>
      </c>
      <c r="E2526" s="2">
        <v>52.96</v>
      </c>
      <c r="F2526" s="2" t="e">
        <f>IF(Table2[[#This Row],[Manual Cat Value]]="",VLOOKUP(Table2[[#This Row],[Description]],'Actuals Lookup'!D:F,3,0),Table2[[#This Row],[Manual Cat Value]])</f>
        <v>#N/A</v>
      </c>
      <c r="J2526" s="2">
        <v>52.96</v>
      </c>
      <c r="K2526" s="2" t="b">
        <v>0</v>
      </c>
      <c r="L2526" s="2"/>
      <c r="M2526" s="2"/>
      <c r="N2526" s="4" t="s">
        <v>2259</v>
      </c>
      <c r="O2526" s="4" t="str">
        <f>LEFT(Table2[[#This Row],[Description]],75)</f>
        <v>Home Depot</v>
      </c>
      <c r="P2526" s="2" t="s">
        <v>2396</v>
      </c>
    </row>
    <row r="2527" spans="1:16" hidden="1">
      <c r="A2527" s="2">
        <v>202005</v>
      </c>
      <c r="B2527" s="3">
        <v>43966</v>
      </c>
      <c r="C2527" s="2" t="s">
        <v>2262</v>
      </c>
      <c r="D2527" s="2" t="s">
        <v>947</v>
      </c>
      <c r="E2527" s="2">
        <v>-56.18</v>
      </c>
      <c r="F2527" s="2" t="e">
        <f>IF(Table2[[#This Row],[Manual Cat Value]]="",VLOOKUP(Table2[[#This Row],[Description]],'Actuals Lookup'!D:F,3,0),Table2[[#This Row],[Manual Cat Value]])</f>
        <v>#N/A</v>
      </c>
      <c r="J2527" s="2">
        <v>56.18</v>
      </c>
      <c r="K2527" s="2" t="b">
        <v>0</v>
      </c>
      <c r="L2527" s="2"/>
      <c r="M2527" s="2"/>
      <c r="N2527" s="4" t="s">
        <v>2273</v>
      </c>
      <c r="O2527" s="4" t="str">
        <f>LEFT(Table2[[#This Row],[Description]],75)</f>
        <v>Home Depot</v>
      </c>
      <c r="P2527" s="2" t="s">
        <v>2396</v>
      </c>
    </row>
    <row r="2528" spans="1:16" hidden="1">
      <c r="A2528" s="2">
        <v>202005</v>
      </c>
      <c r="B2528" s="3">
        <v>43966</v>
      </c>
      <c r="C2528" s="2" t="s">
        <v>2262</v>
      </c>
      <c r="D2528" s="2" t="s">
        <v>947</v>
      </c>
      <c r="E2528" s="2">
        <v>112.28</v>
      </c>
      <c r="F2528" s="2" t="e">
        <f>IF(Table2[[#This Row],[Manual Cat Value]]="",VLOOKUP(Table2[[#This Row],[Description]],'Actuals Lookup'!D:F,3,0),Table2[[#This Row],[Manual Cat Value]])</f>
        <v>#N/A</v>
      </c>
      <c r="J2528" s="2">
        <v>112.28</v>
      </c>
      <c r="K2528" s="2" t="b">
        <v>0</v>
      </c>
      <c r="L2528" s="2"/>
      <c r="M2528" s="2"/>
      <c r="N2528" s="4" t="s">
        <v>2259</v>
      </c>
      <c r="O2528" s="4" t="str">
        <f>LEFT(Table2[[#This Row],[Description]],75)</f>
        <v>Home Depot</v>
      </c>
      <c r="P2528" s="2" t="s">
        <v>2396</v>
      </c>
    </row>
    <row r="2529" spans="1:16" hidden="1">
      <c r="A2529" s="2">
        <v>202005</v>
      </c>
      <c r="B2529" s="3">
        <v>43966</v>
      </c>
      <c r="C2529" s="2" t="s">
        <v>2317</v>
      </c>
      <c r="D2529" s="2" t="s">
        <v>1037</v>
      </c>
      <c r="E2529" s="2">
        <v>-250</v>
      </c>
      <c r="F2529" s="2" t="e">
        <f>IF(Table2[[#This Row],[Manual Cat Value]]="",VLOOKUP(Table2[[#This Row],[Description]],'Actuals Lookup'!D:F,3,0),Table2[[#This Row],[Manual Cat Value]])</f>
        <v>#N/A</v>
      </c>
      <c r="J2529" s="2">
        <v>250</v>
      </c>
      <c r="K2529" s="2" t="b">
        <v>0</v>
      </c>
      <c r="L2529" s="2"/>
      <c r="M2529" s="2"/>
      <c r="N2529" s="4" t="s">
        <v>2273</v>
      </c>
      <c r="O2529" s="4" t="str">
        <f>LEFT(Table2[[#This Row],[Description]],75)</f>
        <v>KAUFMAN HALL</v>
      </c>
      <c r="P2529" s="2" t="s">
        <v>2375</v>
      </c>
    </row>
    <row r="2530" spans="1:16" hidden="1">
      <c r="A2530" s="2">
        <v>202005</v>
      </c>
      <c r="B2530" s="3">
        <v>43966</v>
      </c>
      <c r="C2530" s="2" t="s">
        <v>2460</v>
      </c>
      <c r="D2530" s="2" t="s">
        <v>1037</v>
      </c>
      <c r="E2530" s="2">
        <v>-250</v>
      </c>
      <c r="F2530" s="2" t="e">
        <f>IF(Table2[[#This Row],[Manual Cat Value]]="",VLOOKUP(Table2[[#This Row],[Description]],'Actuals Lookup'!D:F,3,0),Table2[[#This Row],[Manual Cat Value]])</f>
        <v>#N/A</v>
      </c>
      <c r="J2530" s="2">
        <v>250</v>
      </c>
      <c r="K2530" s="2" t="b">
        <v>0</v>
      </c>
      <c r="L2530" s="2"/>
      <c r="M2530" s="2"/>
      <c r="N2530" s="4" t="s">
        <v>2273</v>
      </c>
      <c r="O2530" s="4" t="str">
        <f>LEFT(Table2[[#This Row],[Description]],75)</f>
        <v>KAUFMAN HALL</v>
      </c>
      <c r="P2530" s="2" t="s">
        <v>2375</v>
      </c>
    </row>
    <row r="2531" spans="1:16" hidden="1">
      <c r="A2531" s="2">
        <v>202005</v>
      </c>
      <c r="B2531" s="3">
        <v>43966</v>
      </c>
      <c r="C2531" s="2" t="s">
        <v>2317</v>
      </c>
      <c r="D2531" s="2" t="s">
        <v>1525</v>
      </c>
      <c r="E2531" s="2">
        <v>-30.65</v>
      </c>
      <c r="F2531" s="2" t="e">
        <f>IF(Table2[[#This Row],[Manual Cat Value]]="",VLOOKUP(Table2[[#This Row],[Description]],'Actuals Lookup'!D:F,3,0),Table2[[#This Row],[Manual Cat Value]])</f>
        <v>#N/A</v>
      </c>
      <c r="J2531" s="2">
        <v>30.65</v>
      </c>
      <c r="K2531" s="2" t="b">
        <v>0</v>
      </c>
      <c r="L2531" s="2"/>
      <c r="M2531" s="2"/>
      <c r="N2531" s="4" t="s">
        <v>2273</v>
      </c>
      <c r="O2531" s="4" t="str">
        <f>LEFT(Table2[[#This Row],[Description]],75)</f>
        <v>PROCTER &amp; GAMBLE</v>
      </c>
      <c r="P2531" s="2" t="s">
        <v>2415</v>
      </c>
    </row>
    <row r="2532" spans="1:16" hidden="1">
      <c r="A2532" s="2">
        <v>202005</v>
      </c>
      <c r="B2532" s="3">
        <v>43966</v>
      </c>
      <c r="C2532" s="2" t="s">
        <v>2460</v>
      </c>
      <c r="D2532" s="2" t="s">
        <v>1525</v>
      </c>
      <c r="E2532" s="2">
        <v>-30.65</v>
      </c>
      <c r="F2532" s="2" t="e">
        <f>IF(Table2[[#This Row],[Manual Cat Value]]="",VLOOKUP(Table2[[#This Row],[Description]],'Actuals Lookup'!D:F,3,0),Table2[[#This Row],[Manual Cat Value]])</f>
        <v>#N/A</v>
      </c>
      <c r="J2532" s="2">
        <v>30.65</v>
      </c>
      <c r="K2532" s="2" t="b">
        <v>0</v>
      </c>
      <c r="L2532" s="2"/>
      <c r="M2532" s="2"/>
      <c r="N2532" s="4" t="s">
        <v>2273</v>
      </c>
      <c r="O2532" s="4" t="str">
        <f>LEFT(Table2[[#This Row],[Description]],75)</f>
        <v>PROCTER &amp; GAMBLE</v>
      </c>
      <c r="P2532" s="2" t="s">
        <v>2415</v>
      </c>
    </row>
    <row r="2533" spans="1:16" hidden="1">
      <c r="A2533" s="2">
        <v>202005</v>
      </c>
      <c r="B2533" s="3">
        <v>43966</v>
      </c>
      <c r="C2533" s="2" t="s">
        <v>2338</v>
      </c>
      <c r="D2533" s="2" t="s">
        <v>1820</v>
      </c>
      <c r="E2533" s="2">
        <v>-952.5</v>
      </c>
      <c r="F2533" s="2" t="e">
        <f>IF(Table2[[#This Row],[Manual Cat Value]]="",VLOOKUP(Table2[[#This Row],[Description]],'Actuals Lookup'!D:F,3,0),Table2[[#This Row],[Manual Cat Value]])</f>
        <v>#N/A</v>
      </c>
      <c r="J2533" s="2">
        <v>952.5</v>
      </c>
      <c r="K2533" s="2" t="b">
        <v>0</v>
      </c>
      <c r="L2533" s="2"/>
      <c r="M2533" s="2"/>
      <c r="N2533" s="4" t="s">
        <v>2273</v>
      </c>
      <c r="O2533" s="4" t="str">
        <f>LEFT(Table2[[#This Row],[Description]],75)</f>
        <v>Target Retire 2055 Tr P - Plan Contribution</v>
      </c>
      <c r="P2533" s="2" t="s">
        <v>2386</v>
      </c>
    </row>
    <row r="2534" spans="1:16" hidden="1">
      <c r="A2534" s="2">
        <v>202005</v>
      </c>
      <c r="B2534" s="3">
        <v>43966</v>
      </c>
      <c r="C2534" s="2" t="s">
        <v>2434</v>
      </c>
      <c r="D2534" s="2" t="s">
        <v>1834</v>
      </c>
      <c r="E2534" s="2">
        <v>-231</v>
      </c>
      <c r="F2534" s="2" t="e">
        <f>IF(Table2[[#This Row],[Manual Cat Value]]="",VLOOKUP(Table2[[#This Row],[Description]],'Actuals Lookup'!D:F,3,0),Table2[[#This Row],[Manual Cat Value]])</f>
        <v>#N/A</v>
      </c>
      <c r="J2534" s="2">
        <v>231</v>
      </c>
      <c r="K2534" s="2" t="b">
        <v>0</v>
      </c>
      <c r="L2534" s="2"/>
      <c r="M2534" s="2"/>
      <c r="N2534" s="4" t="s">
        <v>2273</v>
      </c>
      <c r="O2534" s="4" t="str">
        <f>LEFT(Table2[[#This Row],[Description]],75)</f>
        <v>Tfr JPMORGAN CHASE BAN, CARGILL COCOA &amp;</v>
      </c>
      <c r="P2534" s="2" t="s">
        <v>2356</v>
      </c>
    </row>
    <row r="2535" spans="1:16" hidden="1">
      <c r="A2535" s="2">
        <v>202005</v>
      </c>
      <c r="B2535" s="3">
        <v>43966</v>
      </c>
      <c r="C2535" s="2" t="s">
        <v>2435</v>
      </c>
      <c r="D2535" s="2" t="s">
        <v>1837</v>
      </c>
      <c r="E2535" s="2">
        <v>-250</v>
      </c>
      <c r="F2535" s="2" t="e">
        <f>IF(Table2[[#This Row],[Manual Cat Value]]="",VLOOKUP(Table2[[#This Row],[Description]],'Actuals Lookup'!D:F,3,0),Table2[[#This Row],[Manual Cat Value]])</f>
        <v>#N/A</v>
      </c>
      <c r="J2535" s="2">
        <v>250</v>
      </c>
      <c r="K2535" s="2" t="b">
        <v>0</v>
      </c>
      <c r="L2535" s="2"/>
      <c r="M2535" s="2"/>
      <c r="N2535" s="4" t="s">
        <v>2273</v>
      </c>
      <c r="O2535" s="4" t="str">
        <f>LEFT(Table2[[#This Row],[Description]],75)</f>
        <v>Tfr JPMORGAN CHASE BAN, KAUFMAN HALL</v>
      </c>
      <c r="P2535" s="2" t="s">
        <v>2288</v>
      </c>
    </row>
    <row r="2536" spans="1:16" hidden="1">
      <c r="A2536" s="2">
        <v>202005</v>
      </c>
      <c r="B2536" s="3">
        <v>43966</v>
      </c>
      <c r="C2536" s="2" t="s">
        <v>2317</v>
      </c>
      <c r="D2536" s="2" t="s">
        <v>2100</v>
      </c>
      <c r="E2536" s="2">
        <v>-5.55</v>
      </c>
      <c r="F2536" s="2" t="e">
        <f>IF(Table2[[#This Row],[Manual Cat Value]]="",VLOOKUP(Table2[[#This Row],[Description]],'Actuals Lookup'!D:F,3,0),Table2[[#This Row],[Manual Cat Value]])</f>
        <v>#N/A</v>
      </c>
      <c r="J2536" s="2">
        <v>5.55</v>
      </c>
      <c r="K2536" s="2" t="b">
        <v>0</v>
      </c>
      <c r="L2536" s="2"/>
      <c r="M2536" s="2"/>
      <c r="N2536" s="4" t="s">
        <v>2273</v>
      </c>
      <c r="O2536" s="4" t="str">
        <f>LEFT(Table2[[#This Row],[Description]],75)</f>
        <v>USD PARTNERS LP LP</v>
      </c>
      <c r="P2536" s="2" t="s">
        <v>2385</v>
      </c>
    </row>
    <row r="2537" spans="1:16" hidden="1">
      <c r="A2537" s="2">
        <v>202005</v>
      </c>
      <c r="B2537" s="3">
        <v>43966</v>
      </c>
      <c r="C2537" s="2" t="s">
        <v>2460</v>
      </c>
      <c r="D2537" s="2" t="s">
        <v>2100</v>
      </c>
      <c r="E2537" s="2">
        <v>-5.55</v>
      </c>
      <c r="F2537" s="2" t="e">
        <f>IF(Table2[[#This Row],[Manual Cat Value]]="",VLOOKUP(Table2[[#This Row],[Description]],'Actuals Lookup'!D:F,3,0),Table2[[#This Row],[Manual Cat Value]])</f>
        <v>#N/A</v>
      </c>
      <c r="J2537" s="2">
        <v>5.55</v>
      </c>
      <c r="K2537" s="2" t="b">
        <v>0</v>
      </c>
      <c r="L2537" s="2"/>
      <c r="M2537" s="2"/>
      <c r="N2537" s="4" t="s">
        <v>2273</v>
      </c>
      <c r="O2537" s="4" t="str">
        <f>LEFT(Table2[[#This Row],[Description]],75)</f>
        <v>USD PARTNERS LP LP</v>
      </c>
      <c r="P2537" s="2" t="s">
        <v>2281</v>
      </c>
    </row>
    <row r="2538" spans="1:16" hidden="1">
      <c r="A2538" s="2">
        <v>202005</v>
      </c>
      <c r="B2538" s="3">
        <v>43967</v>
      </c>
      <c r="C2538" s="2" t="s">
        <v>2447</v>
      </c>
      <c r="D2538" s="2" t="s">
        <v>38</v>
      </c>
      <c r="E2538" s="2">
        <v>7.51</v>
      </c>
      <c r="F2538" s="2" t="str">
        <f>IF(Table2[[#This Row],[Manual Cat Value]]="",VLOOKUP(Table2[[#This Row],[Description]],'Actuals Lookup'!D:F,3,0),Table2[[#This Row],[Manual Cat Value]])</f>
        <v>Amazon</v>
      </c>
      <c r="J2538" s="2">
        <v>7.51</v>
      </c>
      <c r="K2538" s="2" t="b">
        <v>0</v>
      </c>
      <c r="L2538" s="2"/>
      <c r="M2538" s="2"/>
      <c r="N2538" s="4" t="s">
        <v>2259</v>
      </c>
      <c r="O2538" s="4" t="str">
        <f>LEFT(Table2[[#This Row],[Description]],75)</f>
        <v>Amazon</v>
      </c>
      <c r="P2538" s="2" t="s">
        <v>2260</v>
      </c>
    </row>
    <row r="2539" spans="1:16" hidden="1">
      <c r="A2539" s="2">
        <v>202005</v>
      </c>
      <c r="B2539" s="3">
        <v>43967</v>
      </c>
      <c r="C2539" s="2" t="s">
        <v>2258</v>
      </c>
      <c r="D2539" s="2" t="s">
        <v>38</v>
      </c>
      <c r="E2539" s="2">
        <v>7.51</v>
      </c>
      <c r="F2539" s="2" t="str">
        <f>IF(Table2[[#This Row],[Manual Cat Value]]="",VLOOKUP(Table2[[#This Row],[Description]],'Actuals Lookup'!D:F,3,0),Table2[[#This Row],[Manual Cat Value]])</f>
        <v>Amazon</v>
      </c>
      <c r="J2539" s="2">
        <v>7.51</v>
      </c>
      <c r="K2539" s="2" t="b">
        <v>0</v>
      </c>
      <c r="L2539" s="2"/>
      <c r="M2539" s="2"/>
      <c r="N2539" s="4" t="s">
        <v>2259</v>
      </c>
      <c r="O2539" s="4" t="str">
        <f>LEFT(Table2[[#This Row],[Description]],75)</f>
        <v>Amazon</v>
      </c>
      <c r="P2539" s="2" t="s">
        <v>2260</v>
      </c>
    </row>
    <row r="2540" spans="1:16" hidden="1">
      <c r="A2540" s="2">
        <v>202005</v>
      </c>
      <c r="B2540" s="3">
        <v>43967</v>
      </c>
      <c r="C2540" s="2" t="s">
        <v>2447</v>
      </c>
      <c r="D2540" s="2" t="s">
        <v>316</v>
      </c>
      <c r="E2540" s="2">
        <v>62.41</v>
      </c>
      <c r="F2540" s="2" t="e">
        <f>IF(Table2[[#This Row],[Manual Cat Value]]="",VLOOKUP(Table2[[#This Row],[Description]],'Actuals Lookup'!D:F,3,0),Table2[[#This Row],[Manual Cat Value]])</f>
        <v>#N/A</v>
      </c>
      <c r="J2540" s="2">
        <v>62.41</v>
      </c>
      <c r="K2540" s="2" t="b">
        <v>0</v>
      </c>
      <c r="L2540" s="2"/>
      <c r="M2540" s="2"/>
      <c r="N2540" s="4" t="s">
        <v>2259</v>
      </c>
      <c r="O2540" s="4" t="str">
        <f>LEFT(Table2[[#This Row],[Description]],75)</f>
        <v>BP</v>
      </c>
      <c r="P2540" s="2" t="s">
        <v>2484</v>
      </c>
    </row>
    <row r="2541" spans="1:16" hidden="1">
      <c r="A2541" s="2">
        <v>202005</v>
      </c>
      <c r="B2541" s="3">
        <v>43967</v>
      </c>
      <c r="C2541" s="2" t="s">
        <v>2258</v>
      </c>
      <c r="D2541" s="2" t="s">
        <v>316</v>
      </c>
      <c r="E2541" s="2">
        <v>62.41</v>
      </c>
      <c r="F2541" s="2" t="e">
        <f>IF(Table2[[#This Row],[Manual Cat Value]]="",VLOOKUP(Table2[[#This Row],[Description]],'Actuals Lookup'!D:F,3,0),Table2[[#This Row],[Manual Cat Value]])</f>
        <v>#N/A</v>
      </c>
      <c r="J2541" s="2">
        <v>62.41</v>
      </c>
      <c r="K2541" s="2" t="b">
        <v>0</v>
      </c>
      <c r="L2541" s="2"/>
      <c r="M2541" s="2"/>
      <c r="N2541" s="4" t="s">
        <v>2259</v>
      </c>
      <c r="O2541" s="4" t="str">
        <f>LEFT(Table2[[#This Row],[Description]],75)</f>
        <v>BP</v>
      </c>
      <c r="P2541" s="2" t="s">
        <v>2484</v>
      </c>
    </row>
    <row r="2542" spans="1:16" hidden="1">
      <c r="A2542" s="2">
        <v>202005</v>
      </c>
      <c r="B2542" s="3">
        <v>43968</v>
      </c>
      <c r="C2542" s="2" t="s">
        <v>2262</v>
      </c>
      <c r="D2542" s="2" t="s">
        <v>38</v>
      </c>
      <c r="E2542" s="2">
        <v>55.77</v>
      </c>
      <c r="F2542" s="2" t="str">
        <f>IF(Table2[[#This Row],[Manual Cat Value]]="",VLOOKUP(Table2[[#This Row],[Description]],'Actuals Lookup'!D:F,3,0),Table2[[#This Row],[Manual Cat Value]])</f>
        <v>Amazon</v>
      </c>
      <c r="J2542" s="2">
        <v>55.77</v>
      </c>
      <c r="K2542" s="2" t="b">
        <v>0</v>
      </c>
      <c r="L2542" s="2"/>
      <c r="M2542" s="2"/>
      <c r="N2542" s="4" t="s">
        <v>2259</v>
      </c>
      <c r="O2542" s="4" t="str">
        <f>LEFT(Table2[[#This Row],[Description]],75)</f>
        <v>Amazon</v>
      </c>
      <c r="P2542" s="2" t="s">
        <v>2260</v>
      </c>
    </row>
    <row r="2543" spans="1:16" hidden="1">
      <c r="A2543" s="2">
        <v>202005</v>
      </c>
      <c r="B2543" s="3">
        <v>43968</v>
      </c>
      <c r="C2543" s="2" t="s">
        <v>2262</v>
      </c>
      <c r="D2543" s="2" t="s">
        <v>1188</v>
      </c>
      <c r="E2543" s="2">
        <v>11.07</v>
      </c>
      <c r="F2543" s="2" t="str">
        <f>IF(Table2[[#This Row],[Manual Cat Value]]="",VLOOKUP(Table2[[#This Row],[Description]],'Actuals Lookup'!D:F,3,0),Table2[[#This Row],[Manual Cat Value]])</f>
        <v>Restaurants</v>
      </c>
      <c r="J2543" s="2">
        <v>11.07</v>
      </c>
      <c r="K2543" s="2" t="b">
        <v>0</v>
      </c>
      <c r="L2543" s="2"/>
      <c r="M2543" s="2"/>
      <c r="N2543" s="4" t="s">
        <v>2259</v>
      </c>
      <c r="O2543" s="4" t="str">
        <f>LEFT(Table2[[#This Row],[Description]],75)</f>
        <v>McDonald's</v>
      </c>
      <c r="P2543" s="2" t="s">
        <v>2340</v>
      </c>
    </row>
    <row r="2544" spans="1:16" hidden="1">
      <c r="A2544" s="2">
        <v>202005</v>
      </c>
      <c r="B2544" s="3">
        <v>43968</v>
      </c>
      <c r="C2544" s="2" t="s">
        <v>2265</v>
      </c>
      <c r="D2544" s="2" t="s">
        <v>2112</v>
      </c>
      <c r="E2544" s="2">
        <v>-65</v>
      </c>
      <c r="F2544" s="2" t="e">
        <f>IF(Table2[[#This Row],[Manual Cat Value]]="",VLOOKUP(Table2[[#This Row],[Description]],'Actuals Lookup'!D:F,3,0),Table2[[#This Row],[Manual Cat Value]])</f>
        <v>#N/A</v>
      </c>
      <c r="J2544" s="2">
        <v>65</v>
      </c>
      <c r="K2544" s="2" t="b">
        <v>0</v>
      </c>
      <c r="L2544" s="2"/>
      <c r="M2544" s="2"/>
      <c r="N2544" s="4" t="s">
        <v>2273</v>
      </c>
      <c r="O2544" s="4" t="str">
        <f>LEFT(Table2[[#This Row],[Description]],75)</f>
        <v>Venmo Type Cashout</v>
      </c>
      <c r="P2544" s="2" t="s">
        <v>2279</v>
      </c>
    </row>
    <row r="2545" spans="1:16" hidden="1">
      <c r="A2545" s="2">
        <v>202005</v>
      </c>
      <c r="B2545" s="3">
        <v>43969</v>
      </c>
      <c r="C2545" s="2" t="s">
        <v>2262</v>
      </c>
      <c r="D2545" s="2" t="s">
        <v>1452</v>
      </c>
      <c r="E2545" s="2">
        <v>-413.21</v>
      </c>
      <c r="F2545" s="2" t="e">
        <f>IF(Table2[[#This Row],[Manual Cat Value]]="",VLOOKUP(Table2[[#This Row],[Description]],'Actuals Lookup'!D:F,3,0),Table2[[#This Row],[Manual Cat Value]])</f>
        <v>#N/A</v>
      </c>
      <c r="J2545" s="2">
        <v>413.21</v>
      </c>
      <c r="K2545" s="2" t="b">
        <v>0</v>
      </c>
      <c r="L2545" s="2"/>
      <c r="M2545" s="2"/>
      <c r="N2545" s="4" t="s">
        <v>2273</v>
      </c>
      <c r="O2545" s="4" t="str">
        <f>LEFT(Table2[[#This Row],[Description]],75)</f>
        <v>PAYMENT THANK YOU 311807115</v>
      </c>
      <c r="P2545" s="2" t="s">
        <v>2391</v>
      </c>
    </row>
    <row r="2546" spans="1:16" hidden="1">
      <c r="A2546" s="2">
        <v>202005</v>
      </c>
      <c r="B2546" s="3">
        <v>43969</v>
      </c>
      <c r="C2546" s="2" t="s">
        <v>2265</v>
      </c>
      <c r="D2546" s="2" t="s">
        <v>2197</v>
      </c>
      <c r="E2546" s="2">
        <v>413.21</v>
      </c>
      <c r="F2546" s="2" t="e">
        <f>IF(Table2[[#This Row],[Manual Cat Value]]="",VLOOKUP(Table2[[#This Row],[Description]],'Actuals Lookup'!D:F,3,0),Table2[[#This Row],[Manual Cat Value]])</f>
        <v>#N/A</v>
      </c>
      <c r="J2546" s="2">
        <v>413.21</v>
      </c>
      <c r="K2546" s="2" t="b">
        <v>0</v>
      </c>
      <c r="L2546" s="2"/>
      <c r="M2546" s="2"/>
      <c r="N2546" s="4" t="s">
        <v>2259</v>
      </c>
      <c r="O2546" s="4" t="str">
        <f>LEFT(Table2[[#This Row],[Description]],75)</f>
        <v>Withdrawal Home payment to card 979181 311438930</v>
      </c>
      <c r="P2546" s="2" t="s">
        <v>2349</v>
      </c>
    </row>
    <row r="2547" spans="1:16" hidden="1">
      <c r="A2547" s="2">
        <v>202005</v>
      </c>
      <c r="B2547" s="3">
        <v>43969</v>
      </c>
      <c r="C2547" s="2" t="s">
        <v>2434</v>
      </c>
      <c r="D2547" s="2" t="s">
        <v>224</v>
      </c>
      <c r="E2547" s="2">
        <v>-0.05</v>
      </c>
      <c r="F2547" s="2" t="e">
        <f>IF(Table2[[#This Row],[Manual Cat Value]]="",VLOOKUP(Table2[[#This Row],[Description]],'Actuals Lookup'!D:F,3,0),Table2[[#This Row],[Manual Cat Value]])</f>
        <v>#N/A</v>
      </c>
      <c r="J2547" s="2">
        <v>0.05</v>
      </c>
      <c r="K2547" s="2" t="b">
        <v>0</v>
      </c>
      <c r="L2547" s="2"/>
      <c r="M2547" s="2"/>
      <c r="N2547" s="4" t="s">
        <v>2273</v>
      </c>
      <c r="O2547" s="4" t="str">
        <f>LEFT(Table2[[#This Row],[Description]],75)</f>
        <v>BANK INT 041620-051520 SCHWAB PREMIER BANK</v>
      </c>
      <c r="P2547" s="2" t="s">
        <v>2281</v>
      </c>
    </row>
    <row r="2548" spans="1:16" hidden="1">
      <c r="A2548" s="2">
        <v>202005</v>
      </c>
      <c r="B2548" s="3">
        <v>43969</v>
      </c>
      <c r="C2548" s="2" t="s">
        <v>2435</v>
      </c>
      <c r="D2548" s="2" t="s">
        <v>224</v>
      </c>
      <c r="E2548" s="2">
        <v>-0.03</v>
      </c>
      <c r="F2548" s="2" t="e">
        <f>IF(Table2[[#This Row],[Manual Cat Value]]="",VLOOKUP(Table2[[#This Row],[Description]],'Actuals Lookup'!D:F,3,0),Table2[[#This Row],[Manual Cat Value]])</f>
        <v>#N/A</v>
      </c>
      <c r="J2548" s="2">
        <v>0.03</v>
      </c>
      <c r="K2548" s="2" t="b">
        <v>0</v>
      </c>
      <c r="L2548" s="2"/>
      <c r="M2548" s="2"/>
      <c r="N2548" s="4" t="s">
        <v>2273</v>
      </c>
      <c r="O2548" s="4" t="str">
        <f>LEFT(Table2[[#This Row],[Description]],75)</f>
        <v>BANK INT 041620-051520 SCHWAB PREMIER BANK</v>
      </c>
      <c r="P2548" s="2" t="s">
        <v>2281</v>
      </c>
    </row>
    <row r="2549" spans="1:16" hidden="1">
      <c r="A2549" s="2">
        <v>202005</v>
      </c>
      <c r="B2549" s="3">
        <v>43969</v>
      </c>
      <c r="C2549" s="2" t="s">
        <v>2265</v>
      </c>
      <c r="D2549" s="2" t="s">
        <v>1292</v>
      </c>
      <c r="E2549" s="2">
        <v>200</v>
      </c>
      <c r="F2549" s="2" t="e">
        <f>IF(Table2[[#This Row],[Manual Cat Value]]="",VLOOKUP(Table2[[#This Row],[Description]],'Actuals Lookup'!D:F,3,0),Table2[[#This Row],[Manual Cat Value]])</f>
        <v>#N/A</v>
      </c>
      <c r="J2549" s="2">
        <v>200</v>
      </c>
      <c r="K2549" s="2" t="b">
        <v>0</v>
      </c>
      <c r="L2549" s="2"/>
      <c r="M2549" s="2"/>
      <c r="N2549" s="4" t="s">
        <v>2259</v>
      </c>
      <c r="O2549" s="4" t="str">
        <f>LEFT(Table2[[#This Row],[Description]],75)</f>
        <v>MN DIR ACH TYPE CONTRIB ID CO MN DIR ACH ACH ECC WEB ACH Trace 46107 311381</v>
      </c>
      <c r="P2549" s="2" t="s">
        <v>2469</v>
      </c>
    </row>
    <row r="2550" spans="1:16" hidden="1">
      <c r="A2550" s="2">
        <v>202005</v>
      </c>
      <c r="B2550" s="3">
        <v>43969</v>
      </c>
      <c r="C2550" s="2" t="s">
        <v>2265</v>
      </c>
      <c r="D2550" s="2" t="s">
        <v>1471</v>
      </c>
      <c r="E2550" s="2">
        <v>39.99</v>
      </c>
      <c r="F2550" s="2" t="str">
        <f>IF(Table2[[#This Row],[Manual Cat Value]]="",VLOOKUP(Table2[[#This Row],[Description]],'Actuals Lookup'!D:F,3,0),Table2[[#This Row],[Manual Cat Value]])</f>
        <v>Shopping</v>
      </c>
      <c r="J2550" s="2">
        <v>39.99</v>
      </c>
      <c r="K2550" s="2" t="b">
        <v>0</v>
      </c>
      <c r="L2550" s="2"/>
      <c r="M2550" s="2"/>
      <c r="N2550" s="4" t="s">
        <v>2259</v>
      </c>
      <c r="O2550" s="4" t="str">
        <f>LEFT(Table2[[#This Row],[Description]],75)</f>
        <v>PayPal</v>
      </c>
      <c r="P2550" s="2" t="s">
        <v>2322</v>
      </c>
    </row>
    <row r="2551" spans="1:16" hidden="1">
      <c r="A2551" s="2">
        <v>202005</v>
      </c>
      <c r="B2551" s="3">
        <v>43969</v>
      </c>
      <c r="C2551" s="2" t="s">
        <v>2317</v>
      </c>
      <c r="D2551" s="2" t="s">
        <v>1525</v>
      </c>
      <c r="E2551" s="2">
        <v>30.65</v>
      </c>
      <c r="F2551" s="2" t="e">
        <f>IF(Table2[[#This Row],[Manual Cat Value]]="",VLOOKUP(Table2[[#This Row],[Description]],'Actuals Lookup'!D:F,3,0),Table2[[#This Row],[Manual Cat Value]])</f>
        <v>#N/A</v>
      </c>
      <c r="J2551" s="2">
        <v>30.65</v>
      </c>
      <c r="K2551" s="2" t="b">
        <v>0</v>
      </c>
      <c r="L2551" s="2"/>
      <c r="M2551" s="2"/>
      <c r="N2551" s="4" t="s">
        <v>2259</v>
      </c>
      <c r="O2551" s="4" t="str">
        <f>LEFT(Table2[[#This Row],[Description]],75)</f>
        <v>PROCTER &amp; GAMBLE</v>
      </c>
      <c r="P2551" s="2" t="s">
        <v>2415</v>
      </c>
    </row>
    <row r="2552" spans="1:16" hidden="1">
      <c r="A2552" s="2">
        <v>202005</v>
      </c>
      <c r="B2552" s="3">
        <v>43969</v>
      </c>
      <c r="C2552" s="2" t="s">
        <v>2460</v>
      </c>
      <c r="D2552" s="2" t="s">
        <v>1525</v>
      </c>
      <c r="E2552" s="2">
        <v>30.65</v>
      </c>
      <c r="F2552" s="2" t="e">
        <f>IF(Table2[[#This Row],[Manual Cat Value]]="",VLOOKUP(Table2[[#This Row],[Description]],'Actuals Lookup'!D:F,3,0),Table2[[#This Row],[Manual Cat Value]])</f>
        <v>#N/A</v>
      </c>
      <c r="J2552" s="2">
        <v>30.65</v>
      </c>
      <c r="K2552" s="2" t="b">
        <v>0</v>
      </c>
      <c r="L2552" s="2"/>
      <c r="M2552" s="2"/>
      <c r="N2552" s="4" t="s">
        <v>2259</v>
      </c>
      <c r="O2552" s="4" t="str">
        <f>LEFT(Table2[[#This Row],[Description]],75)</f>
        <v>PROCTER &amp; GAMBLE</v>
      </c>
      <c r="P2552" s="2" t="s">
        <v>2415</v>
      </c>
    </row>
    <row r="2553" spans="1:16" hidden="1">
      <c r="A2553" s="2">
        <v>202005</v>
      </c>
      <c r="B2553" s="3">
        <v>43969</v>
      </c>
      <c r="C2553" s="2" t="s">
        <v>2274</v>
      </c>
      <c r="D2553" s="2" t="s">
        <v>2110</v>
      </c>
      <c r="E2553" s="2">
        <v>-16.010000000000002</v>
      </c>
      <c r="F2553" s="2" t="e">
        <f>IF(Table2[[#This Row],[Manual Cat Value]]="",VLOOKUP(Table2[[#This Row],[Description]],'Actuals Lookup'!D:F,3,0),Table2[[#This Row],[Manual Cat Value]])</f>
        <v>#N/A</v>
      </c>
      <c r="J2553" s="2">
        <v>16.010000000000002</v>
      </c>
      <c r="K2553" s="2" t="b">
        <v>0</v>
      </c>
      <c r="L2553" s="2"/>
      <c r="M2553" s="2"/>
      <c r="N2553" s="4" t="s">
        <v>2273</v>
      </c>
      <c r="O2553" s="4" t="str">
        <f>LEFT(Table2[[#This Row],[Description]],75)</f>
        <v>Venmo Cashout</v>
      </c>
      <c r="P2553" s="2" t="s">
        <v>2281</v>
      </c>
    </row>
    <row r="2554" spans="1:16" hidden="1">
      <c r="A2554" s="2">
        <v>202005</v>
      </c>
      <c r="B2554" s="3">
        <v>43970</v>
      </c>
      <c r="C2554" s="2" t="s">
        <v>2262</v>
      </c>
      <c r="D2554" s="2" t="s">
        <v>510</v>
      </c>
      <c r="E2554" s="2">
        <v>84.42</v>
      </c>
      <c r="F2554" s="2" t="e">
        <f>IF(Table2[[#This Row],[Manual Cat Value]]="",VLOOKUP(Table2[[#This Row],[Description]],'Actuals Lookup'!D:F,3,0),Table2[[#This Row],[Manual Cat Value]])</f>
        <v>#N/A</v>
      </c>
      <c r="J2554" s="2">
        <v>84.42</v>
      </c>
      <c r="K2554" s="2" t="b">
        <v>0</v>
      </c>
      <c r="L2554" s="2"/>
      <c r="M2554" s="2"/>
      <c r="N2554" s="4" t="s">
        <v>2259</v>
      </c>
      <c r="O2554" s="4" t="str">
        <f>LEFT(Table2[[#This Row],[Description]],75)</f>
        <v>Certified Auto Repair Inc</v>
      </c>
      <c r="P2554" s="2" t="s">
        <v>2485</v>
      </c>
    </row>
    <row r="2555" spans="1:16" hidden="1">
      <c r="A2555" s="2">
        <v>202005</v>
      </c>
      <c r="B2555" s="3">
        <v>43970</v>
      </c>
      <c r="C2555" s="2" t="s">
        <v>2265</v>
      </c>
      <c r="D2555" s="2" t="s">
        <v>1648</v>
      </c>
      <c r="E2555" s="2">
        <v>-164</v>
      </c>
      <c r="F2555" s="2" t="e">
        <f>IF(Table2[[#This Row],[Manual Cat Value]]="",VLOOKUP(Table2[[#This Row],[Description]],'Actuals Lookup'!D:F,3,0),Table2[[#This Row],[Manual Cat Value]])</f>
        <v>#N/A</v>
      </c>
      <c r="J2555" s="2">
        <v>164</v>
      </c>
      <c r="K2555" s="2" t="b">
        <v>0</v>
      </c>
      <c r="L2555" s="2"/>
      <c r="M2555" s="2"/>
      <c r="N2555" s="4" t="s">
        <v>2273</v>
      </c>
      <c r="O2555" s="4" t="str">
        <f>LEFT(Table2[[#This Row],[Description]],75)</f>
        <v>Share</v>
      </c>
      <c r="P2555" s="2" t="s">
        <v>2281</v>
      </c>
    </row>
    <row r="2556" spans="1:16" hidden="1">
      <c r="A2556" s="2">
        <v>202005</v>
      </c>
      <c r="B2556" s="3">
        <v>43970</v>
      </c>
      <c r="C2556" s="2" t="s">
        <v>2300</v>
      </c>
      <c r="D2556" s="2" t="s">
        <v>1648</v>
      </c>
      <c r="E2556" s="2">
        <v>-300</v>
      </c>
      <c r="F2556" s="2" t="e">
        <f>IF(Table2[[#This Row],[Manual Cat Value]]="",VLOOKUP(Table2[[#This Row],[Description]],'Actuals Lookup'!D:F,3,0),Table2[[#This Row],[Manual Cat Value]])</f>
        <v>#N/A</v>
      </c>
      <c r="J2556" s="2">
        <v>300</v>
      </c>
      <c r="K2556" s="2" t="b">
        <v>0</v>
      </c>
      <c r="L2556" s="2"/>
      <c r="M2556" s="2"/>
      <c r="N2556" s="4" t="s">
        <v>2273</v>
      </c>
      <c r="O2556" s="4" t="str">
        <f>LEFT(Table2[[#This Row],[Description]],75)</f>
        <v>Share</v>
      </c>
      <c r="P2556" s="2" t="s">
        <v>2448</v>
      </c>
    </row>
    <row r="2557" spans="1:16" hidden="1">
      <c r="A2557" s="2">
        <v>202005</v>
      </c>
      <c r="B2557" s="3">
        <v>43970</v>
      </c>
      <c r="C2557" s="2" t="s">
        <v>2265</v>
      </c>
      <c r="D2557" s="2" t="s">
        <v>1899</v>
      </c>
      <c r="E2557" s="2">
        <v>300</v>
      </c>
      <c r="F2557" s="2" t="e">
        <f>IF(Table2[[#This Row],[Manual Cat Value]]="",VLOOKUP(Table2[[#This Row],[Description]],'Actuals Lookup'!D:F,3,0),Table2[[#This Row],[Manual Cat Value]])</f>
        <v>#N/A</v>
      </c>
      <c r="J2557" s="2">
        <v>300</v>
      </c>
      <c r="K2557" s="2" t="b">
        <v>0</v>
      </c>
      <c r="L2557" s="2"/>
      <c r="M2557" s="2"/>
      <c r="N2557" s="4" t="s">
        <v>2259</v>
      </c>
      <c r="O2557" s="4" t="str">
        <f>LEFT(Table2[[#This Row],[Description]],75)</f>
        <v>To Share 12 311598843</v>
      </c>
      <c r="P2557" s="2" t="s">
        <v>2281</v>
      </c>
    </row>
    <row r="2558" spans="1:16" hidden="1">
      <c r="A2558" s="2">
        <v>202005</v>
      </c>
      <c r="B2558" s="3">
        <v>43970</v>
      </c>
      <c r="C2558" s="2" t="s">
        <v>2305</v>
      </c>
      <c r="D2558" s="2" t="s">
        <v>1907</v>
      </c>
      <c r="E2558" s="2">
        <v>164</v>
      </c>
      <c r="F2558" s="2" t="e">
        <f>IF(Table2[[#This Row],[Manual Cat Value]]="",VLOOKUP(Table2[[#This Row],[Description]],'Actuals Lookup'!D:F,3,0),Table2[[#This Row],[Manual Cat Value]])</f>
        <v>#N/A</v>
      </c>
      <c r="J2558" s="2">
        <v>164</v>
      </c>
      <c r="K2558" s="2" t="b">
        <v>0</v>
      </c>
      <c r="L2558" s="2"/>
      <c r="M2558" s="2"/>
      <c r="N2558" s="4" t="s">
        <v>2259</v>
      </c>
      <c r="O2558" s="4" t="str">
        <f>LEFT(Table2[[#This Row],[Description]],75)</f>
        <v>To Share 70 311600167</v>
      </c>
      <c r="P2558" s="2" t="s">
        <v>2281</v>
      </c>
    </row>
    <row r="2559" spans="1:16" hidden="1">
      <c r="A2559" s="2">
        <v>202005</v>
      </c>
      <c r="B2559" s="3">
        <v>43970</v>
      </c>
      <c r="C2559" s="2" t="s">
        <v>2265</v>
      </c>
      <c r="D2559" s="2" t="s">
        <v>2109</v>
      </c>
      <c r="E2559" s="2">
        <v>300</v>
      </c>
      <c r="F2559" s="2" t="str">
        <f>IF(Table2[[#This Row],[Manual Cat Value]]="",VLOOKUP(Table2[[#This Row],[Description]],'Actuals Lookup'!D:F,3,0),Table2[[#This Row],[Manual Cat Value]])</f>
        <v>Shopping</v>
      </c>
      <c r="J2559" s="2">
        <v>300</v>
      </c>
      <c r="K2559" s="2" t="b">
        <v>0</v>
      </c>
      <c r="L2559" s="2"/>
      <c r="M2559" s="2"/>
      <c r="N2559" s="4" t="s">
        <v>2259</v>
      </c>
      <c r="O2559" s="4" t="str">
        <f>LEFT(Table2[[#This Row],[Description]],75)</f>
        <v>Venmo</v>
      </c>
      <c r="P2559" s="2" t="s">
        <v>2281</v>
      </c>
    </row>
    <row r="2560" spans="1:16" hidden="1">
      <c r="A2560" s="2">
        <v>202005</v>
      </c>
      <c r="B2560" s="3">
        <v>43971</v>
      </c>
      <c r="C2560" s="2" t="s">
        <v>2265</v>
      </c>
      <c r="D2560" s="2" t="s">
        <v>75</v>
      </c>
      <c r="E2560" s="2">
        <v>-26.04</v>
      </c>
      <c r="F2560" s="2" t="e">
        <f>IF(Table2[[#This Row],[Manual Cat Value]]="",VLOOKUP(Table2[[#This Row],[Description]],'Actuals Lookup'!D:F,3,0),Table2[[#This Row],[Manual Cat Value]])</f>
        <v>#N/A</v>
      </c>
      <c r="J2560" s="2">
        <v>26.04</v>
      </c>
      <c r="K2560" s="2" t="b">
        <v>0</v>
      </c>
      <c r="L2560" s="2"/>
      <c r="M2560" s="2"/>
      <c r="N2560" s="4" t="s">
        <v>2273</v>
      </c>
      <c r="O2560" s="4" t="str">
        <f>LEFT(Table2[[#This Row],[Description]],75)</f>
        <v xml:space="preserve"> TYPE TRANSFER ID PAYPALSD11 CO PAYPAL ACH ECC PPD ACH Trace 96587 31186713</v>
      </c>
      <c r="P2560" s="2" t="s">
        <v>2322</v>
      </c>
    </row>
    <row r="2561" spans="1:16" hidden="1">
      <c r="A2561" s="2">
        <v>202005</v>
      </c>
      <c r="B2561" s="3">
        <v>43971</v>
      </c>
      <c r="C2561" s="2" t="s">
        <v>2262</v>
      </c>
      <c r="D2561" s="2" t="s">
        <v>38</v>
      </c>
      <c r="E2561" s="2">
        <v>21.44</v>
      </c>
      <c r="F2561" s="2" t="str">
        <f>IF(Table2[[#This Row],[Manual Cat Value]]="",VLOOKUP(Table2[[#This Row],[Description]],'Actuals Lookup'!D:F,3,0),Table2[[#This Row],[Manual Cat Value]])</f>
        <v>Amazon</v>
      </c>
      <c r="J2561" s="2">
        <v>21.44</v>
      </c>
      <c r="K2561" s="2" t="b">
        <v>0</v>
      </c>
      <c r="L2561" s="2"/>
      <c r="M2561" s="2"/>
      <c r="N2561" s="4" t="s">
        <v>2259</v>
      </c>
      <c r="O2561" s="4" t="str">
        <f>LEFT(Table2[[#This Row],[Description]],75)</f>
        <v>Amazon</v>
      </c>
      <c r="P2561" s="2" t="s">
        <v>2260</v>
      </c>
    </row>
    <row r="2562" spans="1:16" hidden="1">
      <c r="A2562" s="2">
        <v>202005</v>
      </c>
      <c r="B2562" s="3">
        <v>43971</v>
      </c>
      <c r="C2562" s="2" t="s">
        <v>2262</v>
      </c>
      <c r="D2562" s="2" t="s">
        <v>38</v>
      </c>
      <c r="E2562" s="2">
        <v>38.520000000000003</v>
      </c>
      <c r="F2562" s="2" t="str">
        <f>IF(Table2[[#This Row],[Manual Cat Value]]="",VLOOKUP(Table2[[#This Row],[Description]],'Actuals Lookup'!D:F,3,0),Table2[[#This Row],[Manual Cat Value]])</f>
        <v>Amazon</v>
      </c>
      <c r="J2562" s="2">
        <v>38.520000000000003</v>
      </c>
      <c r="K2562" s="2" t="b">
        <v>0</v>
      </c>
      <c r="L2562" s="2"/>
      <c r="M2562" s="2"/>
      <c r="N2562" s="4" t="s">
        <v>2259</v>
      </c>
      <c r="O2562" s="4" t="str">
        <f>LEFT(Table2[[#This Row],[Description]],75)</f>
        <v>Amazon</v>
      </c>
      <c r="P2562" s="2" t="s">
        <v>2260</v>
      </c>
    </row>
    <row r="2563" spans="1:16" hidden="1">
      <c r="A2563" s="2">
        <v>202005</v>
      </c>
      <c r="B2563" s="3">
        <v>43971</v>
      </c>
      <c r="C2563" s="2" t="s">
        <v>2265</v>
      </c>
      <c r="D2563" s="2" t="s">
        <v>1471</v>
      </c>
      <c r="E2563" s="2">
        <v>53</v>
      </c>
      <c r="F2563" s="2" t="str">
        <f>IF(Table2[[#This Row],[Manual Cat Value]]="",VLOOKUP(Table2[[#This Row],[Description]],'Actuals Lookup'!D:F,3,0),Table2[[#This Row],[Manual Cat Value]])</f>
        <v>Shopping</v>
      </c>
      <c r="J2563" s="2">
        <v>53</v>
      </c>
      <c r="K2563" s="2" t="b">
        <v>0</v>
      </c>
      <c r="L2563" s="2"/>
      <c r="M2563" s="2"/>
      <c r="N2563" s="4" t="s">
        <v>2259</v>
      </c>
      <c r="O2563" s="4" t="str">
        <f>LEFT(Table2[[#This Row],[Description]],75)</f>
        <v>PayPal</v>
      </c>
      <c r="P2563" s="2" t="s">
        <v>2322</v>
      </c>
    </row>
    <row r="2564" spans="1:16" hidden="1">
      <c r="A2564" s="2">
        <v>202005</v>
      </c>
      <c r="B2564" s="3">
        <v>43971</v>
      </c>
      <c r="C2564" s="2" t="s">
        <v>2262</v>
      </c>
      <c r="D2564" s="2" t="s">
        <v>2064</v>
      </c>
      <c r="E2564" s="2">
        <v>187.74</v>
      </c>
      <c r="F2564" s="2" t="e">
        <f>IF(Table2[[#This Row],[Manual Cat Value]]="",VLOOKUP(Table2[[#This Row],[Description]],'Actuals Lookup'!D:F,3,0),Table2[[#This Row],[Manual Cat Value]])</f>
        <v>#N/A</v>
      </c>
      <c r="J2564" s="2">
        <v>187.74</v>
      </c>
      <c r="K2564" s="2" t="b">
        <v>0</v>
      </c>
      <c r="L2564" s="2"/>
      <c r="M2564" s="2"/>
      <c r="N2564" s="4" t="s">
        <v>2259</v>
      </c>
      <c r="O2564" s="4" t="str">
        <f>LEFT(Table2[[#This Row],[Description]],75)</f>
        <v>Twin Orchards Nurser Y</v>
      </c>
      <c r="P2564" s="2" t="s">
        <v>2481</v>
      </c>
    </row>
    <row r="2565" spans="1:16" hidden="1">
      <c r="A2565" s="2">
        <v>202005</v>
      </c>
      <c r="B2565" s="3">
        <v>43971</v>
      </c>
      <c r="C2565" s="2" t="s">
        <v>2265</v>
      </c>
      <c r="D2565" s="2" t="s">
        <v>2074</v>
      </c>
      <c r="E2565" s="2">
        <v>-26.04</v>
      </c>
      <c r="F2565" s="2" t="e">
        <f>IF(Table2[[#This Row],[Manual Cat Value]]="",VLOOKUP(Table2[[#This Row],[Description]],'Actuals Lookup'!D:F,3,0),Table2[[#This Row],[Manual Cat Value]])</f>
        <v>#N/A</v>
      </c>
      <c r="J2565" s="2">
        <v>26.04</v>
      </c>
      <c r="K2565" s="2" t="b">
        <v>0</v>
      </c>
      <c r="L2565" s="2"/>
      <c r="M2565" s="2"/>
      <c r="N2565" s="4" t="s">
        <v>2273</v>
      </c>
      <c r="O2565" s="4" t="str">
        <f>LEFT(Table2[[#This Row],[Description]],75)</f>
        <v>TYPE TRANSFER ID PAYPALSD11 CO PAYPAL ACH ECC PPD ACH Trace 96587 311867131</v>
      </c>
      <c r="P2565" s="2" t="s">
        <v>2322</v>
      </c>
    </row>
    <row r="2566" spans="1:16" hidden="1">
      <c r="A2566" s="2">
        <v>202005</v>
      </c>
      <c r="B2566" s="3">
        <v>43972</v>
      </c>
      <c r="C2566" s="2" t="s">
        <v>2447</v>
      </c>
      <c r="D2566" s="2" t="s">
        <v>543</v>
      </c>
      <c r="E2566" s="2">
        <v>32.86</v>
      </c>
      <c r="F2566" s="2" t="e">
        <f>IF(Table2[[#This Row],[Manual Cat Value]]="",VLOOKUP(Table2[[#This Row],[Description]],'Actuals Lookup'!D:F,3,0),Table2[[#This Row],[Manual Cat Value]])</f>
        <v>#N/A</v>
      </c>
      <c r="J2566" s="2">
        <v>32.86</v>
      </c>
      <c r="K2566" s="2" t="b">
        <v>0</v>
      </c>
      <c r="L2566" s="2"/>
      <c r="M2566" s="2"/>
      <c r="N2566" s="4" t="s">
        <v>2259</v>
      </c>
      <c r="O2566" s="4" t="str">
        <f>LEFT(Table2[[#This Row],[Description]],75)</f>
        <v>Chipotle</v>
      </c>
      <c r="P2566" s="2" t="s">
        <v>2341</v>
      </c>
    </row>
    <row r="2567" spans="1:16" hidden="1">
      <c r="A2567" s="2">
        <v>202005</v>
      </c>
      <c r="B2567" s="3">
        <v>43972</v>
      </c>
      <c r="C2567" s="2" t="s">
        <v>2258</v>
      </c>
      <c r="D2567" s="2" t="s">
        <v>543</v>
      </c>
      <c r="E2567" s="2">
        <v>32.86</v>
      </c>
      <c r="F2567" s="2" t="e">
        <f>IF(Table2[[#This Row],[Manual Cat Value]]="",VLOOKUP(Table2[[#This Row],[Description]],'Actuals Lookup'!D:F,3,0),Table2[[#This Row],[Manual Cat Value]])</f>
        <v>#N/A</v>
      </c>
      <c r="J2567" s="2">
        <v>32.86</v>
      </c>
      <c r="K2567" s="2" t="b">
        <v>0</v>
      </c>
      <c r="L2567" s="2"/>
      <c r="M2567" s="2"/>
      <c r="N2567" s="4" t="s">
        <v>2259</v>
      </c>
      <c r="O2567" s="4" t="str">
        <f>LEFT(Table2[[#This Row],[Description]],75)</f>
        <v>Chipotle</v>
      </c>
      <c r="P2567" s="2" t="s">
        <v>2341</v>
      </c>
    </row>
    <row r="2568" spans="1:16" hidden="1">
      <c r="A2568" s="2">
        <v>202005</v>
      </c>
      <c r="B2568" s="3">
        <v>43972</v>
      </c>
      <c r="C2568" s="2" t="s">
        <v>2265</v>
      </c>
      <c r="D2568" s="2" t="s">
        <v>557</v>
      </c>
      <c r="E2568" s="2">
        <v>130.04</v>
      </c>
      <c r="F2568" s="2" t="e">
        <f>IF(Table2[[#This Row],[Manual Cat Value]]="",VLOOKUP(Table2[[#This Row],[Description]],'Actuals Lookup'!D:F,3,0),Table2[[#This Row],[Manual Cat Value]])</f>
        <v>#N/A</v>
      </c>
      <c r="J2568" s="2">
        <v>130.04</v>
      </c>
      <c r="K2568" s="2" t="b">
        <v>0</v>
      </c>
      <c r="L2568" s="2"/>
      <c r="M2568" s="2"/>
      <c r="N2568" s="4" t="s">
        <v>2259</v>
      </c>
      <c r="O2568" s="4" t="str">
        <f>LEFT(Table2[[#This Row],[Description]],75)</f>
        <v>City of Chanhassen</v>
      </c>
      <c r="P2568" s="2" t="s">
        <v>2298</v>
      </c>
    </row>
    <row r="2569" spans="1:16" hidden="1">
      <c r="A2569" s="2">
        <v>202005</v>
      </c>
      <c r="B2569" s="3">
        <v>43972</v>
      </c>
      <c r="C2569" s="2" t="s">
        <v>2262</v>
      </c>
      <c r="D2569" s="2" t="s">
        <v>947</v>
      </c>
      <c r="E2569" s="2">
        <v>43.16</v>
      </c>
      <c r="F2569" s="2" t="e">
        <f>IF(Table2[[#This Row],[Manual Cat Value]]="",VLOOKUP(Table2[[#This Row],[Description]],'Actuals Lookup'!D:F,3,0),Table2[[#This Row],[Manual Cat Value]])</f>
        <v>#N/A</v>
      </c>
      <c r="J2569" s="2">
        <v>43.16</v>
      </c>
      <c r="K2569" s="2" t="b">
        <v>0</v>
      </c>
      <c r="L2569" s="2"/>
      <c r="M2569" s="2"/>
      <c r="N2569" s="4" t="s">
        <v>2259</v>
      </c>
      <c r="O2569" s="4" t="str">
        <f>LEFT(Table2[[#This Row],[Description]],75)</f>
        <v>Home Depot</v>
      </c>
      <c r="P2569" s="2" t="s">
        <v>2396</v>
      </c>
    </row>
    <row r="2570" spans="1:16" hidden="1">
      <c r="A2570" s="2">
        <v>202005</v>
      </c>
      <c r="B2570" s="3">
        <v>43973</v>
      </c>
      <c r="C2570" s="2" t="s">
        <v>2262</v>
      </c>
      <c r="D2570" s="2" t="s">
        <v>38</v>
      </c>
      <c r="E2570" s="2">
        <v>8.26</v>
      </c>
      <c r="F2570" s="2" t="str">
        <f>IF(Table2[[#This Row],[Manual Cat Value]]="",VLOOKUP(Table2[[#This Row],[Description]],'Actuals Lookup'!D:F,3,0),Table2[[#This Row],[Manual Cat Value]])</f>
        <v>Amazon</v>
      </c>
      <c r="J2570" s="2">
        <v>8.26</v>
      </c>
      <c r="K2570" s="2" t="b">
        <v>0</v>
      </c>
      <c r="L2570" s="2"/>
      <c r="M2570" s="2"/>
      <c r="N2570" s="4" t="s">
        <v>2259</v>
      </c>
      <c r="O2570" s="4" t="str">
        <f>LEFT(Table2[[#This Row],[Description]],75)</f>
        <v>Amazon</v>
      </c>
      <c r="P2570" s="2" t="s">
        <v>2260</v>
      </c>
    </row>
    <row r="2571" spans="1:16" hidden="1">
      <c r="A2571" s="2">
        <v>202005</v>
      </c>
      <c r="B2571" s="3">
        <v>43973</v>
      </c>
      <c r="C2571" s="2" t="s">
        <v>2262</v>
      </c>
      <c r="D2571" s="2" t="s">
        <v>1081</v>
      </c>
      <c r="E2571" s="2">
        <v>13.69</v>
      </c>
      <c r="F2571" s="2" t="e">
        <f>IF(Table2[[#This Row],[Manual Cat Value]]="",VLOOKUP(Table2[[#This Row],[Description]],'Actuals Lookup'!D:F,3,0),Table2[[#This Row],[Manual Cat Value]])</f>
        <v>#N/A</v>
      </c>
      <c r="J2571" s="2">
        <v>13.69</v>
      </c>
      <c r="K2571" s="2" t="b">
        <v>0</v>
      </c>
      <c r="L2571" s="2"/>
      <c r="M2571" s="2"/>
      <c r="N2571" s="4" t="s">
        <v>2259</v>
      </c>
      <c r="O2571" s="4" t="str">
        <f>LEFT(Table2[[#This Row],[Description]],75)</f>
        <v>Kum &amp; Go</v>
      </c>
      <c r="P2571" s="2" t="s">
        <v>2281</v>
      </c>
    </row>
    <row r="2572" spans="1:16" hidden="1">
      <c r="A2572" s="2">
        <v>202005</v>
      </c>
      <c r="B2572" s="3">
        <v>43973</v>
      </c>
      <c r="C2572" s="2" t="s">
        <v>2262</v>
      </c>
      <c r="D2572" s="2" t="s">
        <v>1676</v>
      </c>
      <c r="E2572" s="2">
        <v>24.34</v>
      </c>
      <c r="F2572" s="2" t="e">
        <f>IF(Table2[[#This Row],[Manual Cat Value]]="",VLOOKUP(Table2[[#This Row],[Description]],'Actuals Lookup'!D:F,3,0),Table2[[#This Row],[Manual Cat Value]])</f>
        <v>#N/A</v>
      </c>
      <c r="J2572" s="2">
        <v>24.34</v>
      </c>
      <c r="K2572" s="2" t="b">
        <v>0</v>
      </c>
      <c r="L2572" s="2"/>
      <c r="M2572" s="2"/>
      <c r="N2572" s="4" t="s">
        <v>2259</v>
      </c>
      <c r="O2572" s="4" t="str">
        <f>LEFT(Table2[[#This Row],[Description]],75)</f>
        <v>Sonic</v>
      </c>
      <c r="P2572" s="2" t="s">
        <v>2281</v>
      </c>
    </row>
    <row r="2573" spans="1:16" hidden="1">
      <c r="A2573" s="2">
        <v>202005</v>
      </c>
      <c r="B2573" s="3">
        <v>43973</v>
      </c>
      <c r="C2573" s="2" t="s">
        <v>2262</v>
      </c>
      <c r="D2573" s="2" t="s">
        <v>1707</v>
      </c>
      <c r="E2573" s="2">
        <v>19.559999999999999</v>
      </c>
      <c r="F2573" s="2" t="str">
        <f>IF(Table2[[#This Row],[Manual Cat Value]]="",VLOOKUP(Table2[[#This Row],[Description]],'Actuals Lookup'!D:F,3,0),Table2[[#This Row],[Manual Cat Value]])</f>
        <v>Transportation</v>
      </c>
      <c r="J2573" s="2">
        <v>19.559999999999999</v>
      </c>
      <c r="K2573" s="2" t="b">
        <v>0</v>
      </c>
      <c r="L2573" s="2"/>
      <c r="M2573" s="2"/>
      <c r="N2573" s="4" t="s">
        <v>2259</v>
      </c>
      <c r="O2573" s="4" t="str">
        <f>LEFT(Table2[[#This Row],[Description]],75)</f>
        <v>Speedway</v>
      </c>
      <c r="P2573" s="2" t="s">
        <v>2381</v>
      </c>
    </row>
    <row r="2574" spans="1:16" hidden="1">
      <c r="A2574" s="2">
        <v>202005</v>
      </c>
      <c r="B2574" s="3">
        <v>43973</v>
      </c>
      <c r="C2574" s="2" t="s">
        <v>2317</v>
      </c>
      <c r="D2574" s="2" t="s">
        <v>1774</v>
      </c>
      <c r="E2574" s="2">
        <v>-18.79</v>
      </c>
      <c r="F2574" s="2" t="e">
        <f>IF(Table2[[#This Row],[Manual Cat Value]]="",VLOOKUP(Table2[[#This Row],[Description]],'Actuals Lookup'!D:F,3,0),Table2[[#This Row],[Manual Cat Value]])</f>
        <v>#N/A</v>
      </c>
      <c r="J2574" s="2">
        <v>18.79</v>
      </c>
      <c r="K2574" s="2" t="b">
        <v>0</v>
      </c>
      <c r="L2574" s="2"/>
      <c r="M2574" s="2"/>
      <c r="N2574" s="4" t="s">
        <v>2273</v>
      </c>
      <c r="O2574" s="4" t="str">
        <f>LEFT(Table2[[#This Row],[Description]],75)</f>
        <v>STARBUCKS CORP</v>
      </c>
      <c r="P2574" s="2" t="s">
        <v>2416</v>
      </c>
    </row>
    <row r="2575" spans="1:16" hidden="1">
      <c r="A2575" s="2">
        <v>202005</v>
      </c>
      <c r="B2575" s="3">
        <v>43973</v>
      </c>
      <c r="C2575" s="2" t="s">
        <v>2460</v>
      </c>
      <c r="D2575" s="2" t="s">
        <v>1774</v>
      </c>
      <c r="E2575" s="2">
        <v>-18.79</v>
      </c>
      <c r="F2575" s="2" t="e">
        <f>IF(Table2[[#This Row],[Manual Cat Value]]="",VLOOKUP(Table2[[#This Row],[Description]],'Actuals Lookup'!D:F,3,0),Table2[[#This Row],[Manual Cat Value]])</f>
        <v>#N/A</v>
      </c>
      <c r="J2575" s="2">
        <v>18.79</v>
      </c>
      <c r="K2575" s="2" t="b">
        <v>0</v>
      </c>
      <c r="L2575" s="2"/>
      <c r="M2575" s="2"/>
      <c r="N2575" s="4" t="s">
        <v>2273</v>
      </c>
      <c r="O2575" s="4" t="str">
        <f>LEFT(Table2[[#This Row],[Description]],75)</f>
        <v>STARBUCKS CORP</v>
      </c>
      <c r="P2575" s="2" t="s">
        <v>2463</v>
      </c>
    </row>
    <row r="2576" spans="1:16" hidden="1">
      <c r="A2576" s="2">
        <v>202005</v>
      </c>
      <c r="B2576" s="3">
        <v>43973</v>
      </c>
      <c r="C2576" s="2" t="s">
        <v>2265</v>
      </c>
      <c r="D2576" s="2" t="s">
        <v>2109</v>
      </c>
      <c r="E2576" s="2">
        <v>25.4</v>
      </c>
      <c r="F2576" s="2" t="str">
        <f>IF(Table2[[#This Row],[Manual Cat Value]]="",VLOOKUP(Table2[[#This Row],[Description]],'Actuals Lookup'!D:F,3,0),Table2[[#This Row],[Manual Cat Value]])</f>
        <v>Shopping</v>
      </c>
      <c r="J2576" s="2">
        <v>25.4</v>
      </c>
      <c r="K2576" s="2" t="b">
        <v>0</v>
      </c>
      <c r="L2576" s="2"/>
      <c r="M2576" s="2"/>
      <c r="N2576" s="4" t="s">
        <v>2259</v>
      </c>
      <c r="O2576" s="4" t="str">
        <f>LEFT(Table2[[#This Row],[Description]],75)</f>
        <v>Venmo</v>
      </c>
      <c r="P2576" s="2" t="s">
        <v>2281</v>
      </c>
    </row>
    <row r="2577" spans="1:16" hidden="1">
      <c r="A2577" s="2">
        <v>202005</v>
      </c>
      <c r="B2577" s="3">
        <v>43975</v>
      </c>
      <c r="C2577" s="2" t="s">
        <v>2262</v>
      </c>
      <c r="D2577" s="2" t="s">
        <v>947</v>
      </c>
      <c r="E2577" s="2">
        <v>35.159999999999997</v>
      </c>
      <c r="F2577" s="2" t="e">
        <f>IF(Table2[[#This Row],[Manual Cat Value]]="",VLOOKUP(Table2[[#This Row],[Description]],'Actuals Lookup'!D:F,3,0),Table2[[#This Row],[Manual Cat Value]])</f>
        <v>#N/A</v>
      </c>
      <c r="J2577" s="2">
        <v>35.159999999999997</v>
      </c>
      <c r="K2577" s="2" t="b">
        <v>0</v>
      </c>
      <c r="L2577" s="2"/>
      <c r="M2577" s="2"/>
      <c r="N2577" s="4" t="s">
        <v>2259</v>
      </c>
      <c r="O2577" s="4" t="str">
        <f>LEFT(Table2[[#This Row],[Description]],75)</f>
        <v>Home Depot</v>
      </c>
      <c r="P2577" s="2" t="s">
        <v>2396</v>
      </c>
    </row>
    <row r="2578" spans="1:16" hidden="1">
      <c r="A2578" s="2">
        <v>202005</v>
      </c>
      <c r="B2578" s="3">
        <v>43975</v>
      </c>
      <c r="C2578" s="2" t="s">
        <v>2262</v>
      </c>
      <c r="D2578" s="2" t="s">
        <v>947</v>
      </c>
      <c r="E2578" s="2">
        <v>65.069999999999993</v>
      </c>
      <c r="F2578" s="2" t="e">
        <f>IF(Table2[[#This Row],[Manual Cat Value]]="",VLOOKUP(Table2[[#This Row],[Description]],'Actuals Lookup'!D:F,3,0),Table2[[#This Row],[Manual Cat Value]])</f>
        <v>#N/A</v>
      </c>
      <c r="J2578" s="2">
        <v>65.069999999999993</v>
      </c>
      <c r="K2578" s="2" t="b">
        <v>0</v>
      </c>
      <c r="L2578" s="2"/>
      <c r="M2578" s="2"/>
      <c r="N2578" s="4" t="s">
        <v>2259</v>
      </c>
      <c r="O2578" s="4" t="str">
        <f>LEFT(Table2[[#This Row],[Description]],75)</f>
        <v>Home Depot</v>
      </c>
      <c r="P2578" s="2" t="s">
        <v>2396</v>
      </c>
    </row>
    <row r="2579" spans="1:16" hidden="1">
      <c r="A2579" s="2">
        <v>202005</v>
      </c>
      <c r="B2579" s="3">
        <v>43975</v>
      </c>
      <c r="C2579" s="2" t="s">
        <v>2262</v>
      </c>
      <c r="D2579" s="2" t="s">
        <v>950</v>
      </c>
      <c r="E2579" s="2">
        <v>48.3</v>
      </c>
      <c r="F2579" s="2" t="e">
        <f>IF(Table2[[#This Row],[Manual Cat Value]]="",VLOOKUP(Table2[[#This Row],[Description]],'Actuals Lookup'!D:F,3,0),Table2[[#This Row],[Manual Cat Value]])</f>
        <v>#N/A</v>
      </c>
      <c r="J2579" s="2">
        <v>48.3</v>
      </c>
      <c r="K2579" s="2" t="b">
        <v>0</v>
      </c>
      <c r="L2579" s="2"/>
      <c r="M2579" s="2"/>
      <c r="N2579" s="4" t="s">
        <v>2259</v>
      </c>
      <c r="O2579" s="4" t="str">
        <f>LEFT(Table2[[#This Row],[Description]],75)</f>
        <v>HORRAYHEREOS COM SALEM MA 312830396</v>
      </c>
      <c r="P2579" s="2" t="s">
        <v>2281</v>
      </c>
    </row>
    <row r="2580" spans="1:16" hidden="1">
      <c r="A2580" s="2">
        <v>202005</v>
      </c>
      <c r="B2580" s="3">
        <v>43975</v>
      </c>
      <c r="C2580" s="2" t="s">
        <v>2262</v>
      </c>
      <c r="D2580" s="2" t="s">
        <v>1016</v>
      </c>
      <c r="E2580" s="2">
        <v>143.68</v>
      </c>
      <c r="F2580" s="2" t="e">
        <f>IF(Table2[[#This Row],[Manual Cat Value]]="",VLOOKUP(Table2[[#This Row],[Description]],'Actuals Lookup'!D:F,3,0),Table2[[#This Row],[Manual Cat Value]])</f>
        <v>#N/A</v>
      </c>
      <c r="J2580" s="2">
        <v>143.68</v>
      </c>
      <c r="K2580" s="2" t="b">
        <v>0</v>
      </c>
      <c r="L2580" s="2"/>
      <c r="M2580" s="2"/>
      <c r="N2580" s="4" t="s">
        <v>2259</v>
      </c>
      <c r="O2580" s="4" t="str">
        <f>LEFT(Table2[[#This Row],[Description]],75)</f>
        <v>Joe S Kansas City Ba</v>
      </c>
      <c r="P2580" s="2" t="s">
        <v>2281</v>
      </c>
    </row>
    <row r="2581" spans="1:16" hidden="1">
      <c r="A2581" s="2">
        <v>202005</v>
      </c>
      <c r="B2581" s="3">
        <v>43975</v>
      </c>
      <c r="C2581" s="2" t="s">
        <v>2262</v>
      </c>
      <c r="D2581" s="2" t="s">
        <v>1189</v>
      </c>
      <c r="E2581" s="2">
        <v>64.75</v>
      </c>
      <c r="F2581" s="2" t="e">
        <f>IF(Table2[[#This Row],[Manual Cat Value]]="",VLOOKUP(Table2[[#This Row],[Description]],'Actuals Lookup'!D:F,3,0),Table2[[#This Row],[Manual Cat Value]])</f>
        <v>#N/A</v>
      </c>
      <c r="J2581" s="2">
        <v>64.75</v>
      </c>
      <c r="K2581" s="2" t="b">
        <v>0</v>
      </c>
      <c r="L2581" s="2"/>
      <c r="M2581" s="2"/>
      <c r="N2581" s="4" t="s">
        <v>2259</v>
      </c>
      <c r="O2581" s="4" t="str">
        <f>LEFT(Table2[[#This Row],[Description]],75)</f>
        <v>McLains Bakery</v>
      </c>
      <c r="P2581" s="2" t="s">
        <v>2281</v>
      </c>
    </row>
    <row r="2582" spans="1:16" hidden="1">
      <c r="A2582" s="2">
        <v>202005</v>
      </c>
      <c r="B2582" s="3">
        <v>43975</v>
      </c>
      <c r="C2582" s="2" t="s">
        <v>2262</v>
      </c>
      <c r="D2582" s="2" t="s">
        <v>1193</v>
      </c>
      <c r="E2582" s="2">
        <v>130.72</v>
      </c>
      <c r="F2582" s="2" t="e">
        <f>IF(Table2[[#This Row],[Manual Cat Value]]="",VLOOKUP(Table2[[#This Row],[Description]],'Actuals Lookup'!D:F,3,0),Table2[[#This Row],[Manual Cat Value]])</f>
        <v>#N/A</v>
      </c>
      <c r="J2582" s="2">
        <v>130.72</v>
      </c>
      <c r="K2582" s="2" t="b">
        <v>0</v>
      </c>
      <c r="L2582" s="2"/>
      <c r="M2582" s="2"/>
      <c r="N2582" s="4" t="s">
        <v>2259</v>
      </c>
      <c r="O2582" s="4" t="str">
        <f>LEFT(Table2[[#This Row],[Description]],75)</f>
        <v>METCALF LIQUORS OVERLAND PARKKS 312830393</v>
      </c>
      <c r="P2582" s="2" t="s">
        <v>2281</v>
      </c>
    </row>
    <row r="2583" spans="1:16" hidden="1">
      <c r="A2583" s="2">
        <v>202005</v>
      </c>
      <c r="B2583" s="3">
        <v>43975</v>
      </c>
      <c r="C2583" s="2" t="s">
        <v>2262</v>
      </c>
      <c r="D2583" s="2" t="s">
        <v>1512</v>
      </c>
      <c r="E2583" s="2">
        <v>18.309999999999999</v>
      </c>
      <c r="F2583" s="2" t="e">
        <f>IF(Table2[[#This Row],[Manual Cat Value]]="",VLOOKUP(Table2[[#This Row],[Description]],'Actuals Lookup'!D:F,3,0),Table2[[#This Row],[Manual Cat Value]])</f>
        <v>#N/A</v>
      </c>
      <c r="J2583" s="2">
        <v>18.309999999999999</v>
      </c>
      <c r="K2583" s="2" t="b">
        <v>0</v>
      </c>
      <c r="L2583" s="2"/>
      <c r="M2583" s="2"/>
      <c r="N2583" s="4" t="s">
        <v>2259</v>
      </c>
      <c r="O2583" s="4" t="str">
        <f>LEFT(Table2[[#This Row],[Description]],75)</f>
        <v>Price Chopper</v>
      </c>
      <c r="P2583" s="2" t="s">
        <v>2281</v>
      </c>
    </row>
    <row r="2584" spans="1:16" hidden="1">
      <c r="A2584" s="2">
        <v>202005</v>
      </c>
      <c r="B2584" s="3">
        <v>43975</v>
      </c>
      <c r="C2584" s="2" t="s">
        <v>2300</v>
      </c>
      <c r="D2584" s="2" t="s">
        <v>1648</v>
      </c>
      <c r="E2584" s="2">
        <v>-200</v>
      </c>
      <c r="F2584" s="2" t="e">
        <f>IF(Table2[[#This Row],[Manual Cat Value]]="",VLOOKUP(Table2[[#This Row],[Description]],'Actuals Lookup'!D:F,3,0),Table2[[#This Row],[Manual Cat Value]])</f>
        <v>#N/A</v>
      </c>
      <c r="J2584" s="2">
        <v>200</v>
      </c>
      <c r="K2584" s="2" t="b">
        <v>0</v>
      </c>
      <c r="L2584" s="2"/>
      <c r="M2584" s="2"/>
      <c r="N2584" s="4" t="s">
        <v>2273</v>
      </c>
      <c r="O2584" s="4" t="str">
        <f>LEFT(Table2[[#This Row],[Description]],75)</f>
        <v>Share</v>
      </c>
      <c r="P2584" s="2" t="s">
        <v>2448</v>
      </c>
    </row>
    <row r="2585" spans="1:16" hidden="1">
      <c r="A2585" s="2">
        <v>202005</v>
      </c>
      <c r="B2585" s="3">
        <v>43975</v>
      </c>
      <c r="C2585" s="2" t="s">
        <v>2265</v>
      </c>
      <c r="D2585" s="2" t="s">
        <v>1900</v>
      </c>
      <c r="E2585" s="2">
        <v>200</v>
      </c>
      <c r="F2585" s="2" t="e">
        <f>IF(Table2[[#This Row],[Manual Cat Value]]="",VLOOKUP(Table2[[#This Row],[Description]],'Actuals Lookup'!D:F,3,0),Table2[[#This Row],[Manual Cat Value]])</f>
        <v>#N/A</v>
      </c>
      <c r="J2585" s="2">
        <v>200</v>
      </c>
      <c r="K2585" s="2" t="b">
        <v>0</v>
      </c>
      <c r="L2585" s="2"/>
      <c r="M2585" s="2"/>
      <c r="N2585" s="4" t="s">
        <v>2259</v>
      </c>
      <c r="O2585" s="4" t="str">
        <f>LEFT(Table2[[#This Row],[Description]],75)</f>
        <v>To Share 12 312709890</v>
      </c>
      <c r="P2585" s="2" t="s">
        <v>2281</v>
      </c>
    </row>
    <row r="2586" spans="1:16" hidden="1">
      <c r="A2586" s="2">
        <v>202005</v>
      </c>
      <c r="B2586" s="3">
        <v>43976</v>
      </c>
      <c r="C2586" s="2" t="s">
        <v>2447</v>
      </c>
      <c r="D2586" s="2" t="s">
        <v>543</v>
      </c>
      <c r="E2586" s="2">
        <v>29.42</v>
      </c>
      <c r="F2586" s="2" t="e">
        <f>IF(Table2[[#This Row],[Manual Cat Value]]="",VLOOKUP(Table2[[#This Row],[Description]],'Actuals Lookup'!D:F,3,0),Table2[[#This Row],[Manual Cat Value]])</f>
        <v>#N/A</v>
      </c>
      <c r="J2586" s="2">
        <v>29.42</v>
      </c>
      <c r="K2586" s="2" t="b">
        <v>0</v>
      </c>
      <c r="L2586" s="2"/>
      <c r="M2586" s="2"/>
      <c r="N2586" s="4" t="s">
        <v>2259</v>
      </c>
      <c r="O2586" s="4" t="str">
        <f>LEFT(Table2[[#This Row],[Description]],75)</f>
        <v>Chipotle</v>
      </c>
      <c r="P2586" s="2" t="s">
        <v>2341</v>
      </c>
    </row>
    <row r="2587" spans="1:16" hidden="1">
      <c r="A2587" s="2">
        <v>202005</v>
      </c>
      <c r="B2587" s="3">
        <v>43976</v>
      </c>
      <c r="C2587" s="2" t="s">
        <v>2258</v>
      </c>
      <c r="D2587" s="2" t="s">
        <v>543</v>
      </c>
      <c r="E2587" s="2">
        <v>29.42</v>
      </c>
      <c r="F2587" s="2" t="e">
        <f>IF(Table2[[#This Row],[Manual Cat Value]]="",VLOOKUP(Table2[[#This Row],[Description]],'Actuals Lookup'!D:F,3,0),Table2[[#This Row],[Manual Cat Value]])</f>
        <v>#N/A</v>
      </c>
      <c r="J2587" s="2">
        <v>29.42</v>
      </c>
      <c r="K2587" s="2" t="b">
        <v>0</v>
      </c>
      <c r="L2587" s="2"/>
      <c r="M2587" s="2"/>
      <c r="N2587" s="4" t="s">
        <v>2259</v>
      </c>
      <c r="O2587" s="4" t="str">
        <f>LEFT(Table2[[#This Row],[Description]],75)</f>
        <v>Chipotle</v>
      </c>
      <c r="P2587" s="2" t="s">
        <v>2341</v>
      </c>
    </row>
    <row r="2588" spans="1:16" hidden="1">
      <c r="A2588" s="2">
        <v>202005</v>
      </c>
      <c r="B2588" s="3">
        <v>43976</v>
      </c>
      <c r="C2588" s="2" t="s">
        <v>2447</v>
      </c>
      <c r="D2588" s="2" t="s">
        <v>944</v>
      </c>
      <c r="E2588" s="2">
        <v>5.69</v>
      </c>
      <c r="F2588" s="2" t="e">
        <f>IF(Table2[[#This Row],[Manual Cat Value]]="",VLOOKUP(Table2[[#This Row],[Description]],'Actuals Lookup'!D:F,3,0),Table2[[#This Row],[Manual Cat Value]])</f>
        <v>#N/A</v>
      </c>
      <c r="J2588" s="2">
        <v>5.69</v>
      </c>
      <c r="K2588" s="2" t="b">
        <v>0</v>
      </c>
      <c r="L2588" s="2"/>
      <c r="M2588" s="2"/>
      <c r="N2588" s="4" t="s">
        <v>2259</v>
      </c>
      <c r="O2588" s="4" t="str">
        <f>LEFT(Table2[[#This Row],[Description]],75)</f>
        <v>Holiday Stationstore</v>
      </c>
      <c r="P2588" s="2" t="s">
        <v>2374</v>
      </c>
    </row>
    <row r="2589" spans="1:16" hidden="1">
      <c r="A2589" s="2">
        <v>202005</v>
      </c>
      <c r="B2589" s="3">
        <v>43976</v>
      </c>
      <c r="C2589" s="2" t="s">
        <v>2447</v>
      </c>
      <c r="D2589" s="2" t="s">
        <v>944</v>
      </c>
      <c r="E2589" s="2">
        <v>12.43</v>
      </c>
      <c r="F2589" s="2" t="e">
        <f>IF(Table2[[#This Row],[Manual Cat Value]]="",VLOOKUP(Table2[[#This Row],[Description]],'Actuals Lookup'!D:F,3,0),Table2[[#This Row],[Manual Cat Value]])</f>
        <v>#N/A</v>
      </c>
      <c r="J2589" s="2">
        <v>12.43</v>
      </c>
      <c r="K2589" s="2" t="b">
        <v>0</v>
      </c>
      <c r="L2589" s="2"/>
      <c r="M2589" s="2"/>
      <c r="N2589" s="4" t="s">
        <v>2259</v>
      </c>
      <c r="O2589" s="4" t="str">
        <f>LEFT(Table2[[#This Row],[Description]],75)</f>
        <v>Holiday Stationstore</v>
      </c>
      <c r="P2589" s="2" t="s">
        <v>2374</v>
      </c>
    </row>
    <row r="2590" spans="1:16" hidden="1">
      <c r="A2590" s="2">
        <v>202005</v>
      </c>
      <c r="B2590" s="3">
        <v>43976</v>
      </c>
      <c r="C2590" s="2" t="s">
        <v>2258</v>
      </c>
      <c r="D2590" s="2" t="s">
        <v>944</v>
      </c>
      <c r="E2590" s="2">
        <v>5.69</v>
      </c>
      <c r="F2590" s="2" t="e">
        <f>IF(Table2[[#This Row],[Manual Cat Value]]="",VLOOKUP(Table2[[#This Row],[Description]],'Actuals Lookup'!D:F,3,0),Table2[[#This Row],[Manual Cat Value]])</f>
        <v>#N/A</v>
      </c>
      <c r="J2590" s="2">
        <v>5.69</v>
      </c>
      <c r="K2590" s="2" t="b">
        <v>0</v>
      </c>
      <c r="L2590" s="2"/>
      <c r="M2590" s="2"/>
      <c r="N2590" s="4" t="s">
        <v>2259</v>
      </c>
      <c r="O2590" s="4" t="str">
        <f>LEFT(Table2[[#This Row],[Description]],75)</f>
        <v>Holiday Stationstore</v>
      </c>
      <c r="P2590" s="2" t="s">
        <v>2374</v>
      </c>
    </row>
    <row r="2591" spans="1:16" hidden="1">
      <c r="A2591" s="2">
        <v>202005</v>
      </c>
      <c r="B2591" s="3">
        <v>43976</v>
      </c>
      <c r="C2591" s="2" t="s">
        <v>2258</v>
      </c>
      <c r="D2591" s="2" t="s">
        <v>944</v>
      </c>
      <c r="E2591" s="2">
        <v>12.43</v>
      </c>
      <c r="F2591" s="2" t="e">
        <f>IF(Table2[[#This Row],[Manual Cat Value]]="",VLOOKUP(Table2[[#This Row],[Description]],'Actuals Lookup'!D:F,3,0),Table2[[#This Row],[Manual Cat Value]])</f>
        <v>#N/A</v>
      </c>
      <c r="J2591" s="2">
        <v>12.43</v>
      </c>
      <c r="K2591" s="2" t="b">
        <v>0</v>
      </c>
      <c r="L2591" s="2"/>
      <c r="M2591" s="2"/>
      <c r="N2591" s="4" t="s">
        <v>2259</v>
      </c>
      <c r="O2591" s="4" t="str">
        <f>LEFT(Table2[[#This Row],[Description]],75)</f>
        <v>Holiday Stationstore</v>
      </c>
      <c r="P2591" s="2" t="s">
        <v>2374</v>
      </c>
    </row>
    <row r="2592" spans="1:16" hidden="1">
      <c r="A2592" s="2">
        <v>202005</v>
      </c>
      <c r="B2592" s="3">
        <v>43976</v>
      </c>
      <c r="C2592" s="2" t="s">
        <v>2262</v>
      </c>
      <c r="D2592" s="2" t="s">
        <v>956</v>
      </c>
      <c r="E2592" s="2">
        <v>11.53</v>
      </c>
      <c r="F2592" s="2" t="str">
        <f>IF(Table2[[#This Row],[Manual Cat Value]]="",VLOOKUP(Table2[[#This Row],[Description]],'Actuals Lookup'!D:F,3,0),Table2[[#This Row],[Manual Cat Value]])</f>
        <v>Groceries</v>
      </c>
      <c r="J2592" s="2">
        <v>11.53</v>
      </c>
      <c r="K2592" s="2" t="b">
        <v>0</v>
      </c>
      <c r="L2592" s="2"/>
      <c r="M2592" s="2"/>
      <c r="N2592" s="4" t="s">
        <v>2259</v>
      </c>
      <c r="O2592" s="4" t="str">
        <f>LEFT(Table2[[#This Row],[Description]],75)</f>
        <v>Hy-Vee</v>
      </c>
      <c r="P2592" s="2" t="s">
        <v>2281</v>
      </c>
    </row>
    <row r="2593" spans="1:16" hidden="1">
      <c r="A2593" s="2">
        <v>202005</v>
      </c>
      <c r="B2593" s="3">
        <v>43976</v>
      </c>
      <c r="C2593" s="2" t="s">
        <v>2262</v>
      </c>
      <c r="D2593" s="2" t="s">
        <v>956</v>
      </c>
      <c r="E2593" s="2">
        <v>89.88</v>
      </c>
      <c r="F2593" s="2" t="str">
        <f>IF(Table2[[#This Row],[Manual Cat Value]]="",VLOOKUP(Table2[[#This Row],[Description]],'Actuals Lookup'!D:F,3,0),Table2[[#This Row],[Manual Cat Value]])</f>
        <v>Groceries</v>
      </c>
      <c r="J2593" s="2">
        <v>89.88</v>
      </c>
      <c r="K2593" s="2" t="b">
        <v>0</v>
      </c>
      <c r="L2593" s="2"/>
      <c r="M2593" s="2"/>
      <c r="N2593" s="4" t="s">
        <v>2259</v>
      </c>
      <c r="O2593" s="4" t="str">
        <f>LEFT(Table2[[#This Row],[Description]],75)</f>
        <v>Hy-Vee</v>
      </c>
      <c r="P2593" s="2" t="s">
        <v>2281</v>
      </c>
    </row>
    <row r="2594" spans="1:16" hidden="1">
      <c r="A2594" s="2">
        <v>202005</v>
      </c>
      <c r="B2594" s="3">
        <v>43976</v>
      </c>
      <c r="C2594" s="2" t="s">
        <v>2447</v>
      </c>
      <c r="D2594" s="2" t="s">
        <v>1014</v>
      </c>
      <c r="E2594" s="2">
        <v>2.14</v>
      </c>
      <c r="F2594" s="2" t="str">
        <f>IF(Table2[[#This Row],[Manual Cat Value]]="",VLOOKUP(Table2[[#This Row],[Description]],'Actuals Lookup'!D:F,3,0),Table2[[#This Row],[Manual Cat Value]])</f>
        <v>Restaurants</v>
      </c>
      <c r="J2594" s="2">
        <v>2.14</v>
      </c>
      <c r="K2594" s="2" t="b">
        <v>0</v>
      </c>
      <c r="L2594" s="2"/>
      <c r="M2594" s="2"/>
      <c r="N2594" s="4" t="s">
        <v>2259</v>
      </c>
      <c r="O2594" s="4" t="str">
        <f>LEFT(Table2[[#This Row],[Description]],75)</f>
        <v>Jimmy John's</v>
      </c>
      <c r="P2594" s="2" t="s">
        <v>2453</v>
      </c>
    </row>
    <row r="2595" spans="1:16" hidden="1">
      <c r="A2595" s="2">
        <v>202005</v>
      </c>
      <c r="B2595" s="3">
        <v>43976</v>
      </c>
      <c r="C2595" s="2" t="s">
        <v>2447</v>
      </c>
      <c r="D2595" s="2" t="s">
        <v>1014</v>
      </c>
      <c r="E2595" s="2">
        <v>26.77</v>
      </c>
      <c r="F2595" s="2" t="str">
        <f>IF(Table2[[#This Row],[Manual Cat Value]]="",VLOOKUP(Table2[[#This Row],[Description]],'Actuals Lookup'!D:F,3,0),Table2[[#This Row],[Manual Cat Value]])</f>
        <v>Restaurants</v>
      </c>
      <c r="J2595" s="2">
        <v>26.77</v>
      </c>
      <c r="K2595" s="2" t="b">
        <v>0</v>
      </c>
      <c r="L2595" s="2"/>
      <c r="M2595" s="2"/>
      <c r="N2595" s="4" t="s">
        <v>2259</v>
      </c>
      <c r="O2595" s="4" t="str">
        <f>LEFT(Table2[[#This Row],[Description]],75)</f>
        <v>Jimmy John's</v>
      </c>
      <c r="P2595" s="2" t="s">
        <v>2453</v>
      </c>
    </row>
    <row r="2596" spans="1:16" hidden="1">
      <c r="A2596" s="2">
        <v>202005</v>
      </c>
      <c r="B2596" s="3">
        <v>43976</v>
      </c>
      <c r="C2596" s="2" t="s">
        <v>2258</v>
      </c>
      <c r="D2596" s="2" t="s">
        <v>1014</v>
      </c>
      <c r="E2596" s="2">
        <v>2.14</v>
      </c>
      <c r="F2596" s="2" t="str">
        <f>IF(Table2[[#This Row],[Manual Cat Value]]="",VLOOKUP(Table2[[#This Row],[Description]],'Actuals Lookup'!D:F,3,0),Table2[[#This Row],[Manual Cat Value]])</f>
        <v>Restaurants</v>
      </c>
      <c r="J2596" s="2">
        <v>2.14</v>
      </c>
      <c r="K2596" s="2" t="b">
        <v>0</v>
      </c>
      <c r="L2596" s="2"/>
      <c r="M2596" s="2"/>
      <c r="N2596" s="4" t="s">
        <v>2259</v>
      </c>
      <c r="O2596" s="4" t="str">
        <f>LEFT(Table2[[#This Row],[Description]],75)</f>
        <v>Jimmy John's</v>
      </c>
      <c r="P2596" s="2" t="s">
        <v>2453</v>
      </c>
    </row>
    <row r="2597" spans="1:16" hidden="1">
      <c r="A2597" s="2">
        <v>202005</v>
      </c>
      <c r="B2597" s="3">
        <v>43976</v>
      </c>
      <c r="C2597" s="2" t="s">
        <v>2258</v>
      </c>
      <c r="D2597" s="2" t="s">
        <v>1014</v>
      </c>
      <c r="E2597" s="2">
        <v>26.77</v>
      </c>
      <c r="F2597" s="2" t="str">
        <f>IF(Table2[[#This Row],[Manual Cat Value]]="",VLOOKUP(Table2[[#This Row],[Description]],'Actuals Lookup'!D:F,3,0),Table2[[#This Row],[Manual Cat Value]])</f>
        <v>Restaurants</v>
      </c>
      <c r="J2597" s="2">
        <v>26.77</v>
      </c>
      <c r="K2597" s="2" t="b">
        <v>0</v>
      </c>
      <c r="L2597" s="2"/>
      <c r="M2597" s="2"/>
      <c r="N2597" s="4" t="s">
        <v>2259</v>
      </c>
      <c r="O2597" s="4" t="str">
        <f>LEFT(Table2[[#This Row],[Description]],75)</f>
        <v>Jimmy John's</v>
      </c>
      <c r="P2597" s="2" t="s">
        <v>2453</v>
      </c>
    </row>
    <row r="2598" spans="1:16" hidden="1">
      <c r="A2598" s="2">
        <v>202005</v>
      </c>
      <c r="B2598" s="3">
        <v>43977</v>
      </c>
      <c r="C2598" s="2" t="s">
        <v>2262</v>
      </c>
      <c r="D2598" s="2" t="s">
        <v>456</v>
      </c>
      <c r="E2598" s="2">
        <v>10.08</v>
      </c>
      <c r="F2598" s="2" t="e">
        <f>IF(Table2[[#This Row],[Manual Cat Value]]="",VLOOKUP(Table2[[#This Row],[Description]],'Actuals Lookup'!D:F,3,0),Table2[[#This Row],[Manual Cat Value]])</f>
        <v>#N/A</v>
      </c>
      <c r="J2598" s="2">
        <v>10.08</v>
      </c>
      <c r="K2598" s="2" t="b">
        <v>0</v>
      </c>
      <c r="L2598" s="2"/>
      <c r="M2598" s="2"/>
      <c r="N2598" s="4" t="s">
        <v>2259</v>
      </c>
      <c r="O2598" s="4" t="str">
        <f>LEFT(Table2[[#This Row],[Description]],75)</f>
        <v>Casey's</v>
      </c>
      <c r="P2598" s="2" t="s">
        <v>2281</v>
      </c>
    </row>
    <row r="2599" spans="1:16" hidden="1">
      <c r="A2599" s="2">
        <v>202005</v>
      </c>
      <c r="B2599" s="3">
        <v>43977</v>
      </c>
      <c r="C2599" s="2" t="s">
        <v>2262</v>
      </c>
      <c r="D2599" s="2" t="s">
        <v>887</v>
      </c>
      <c r="E2599" s="2">
        <v>11.56</v>
      </c>
      <c r="F2599" s="2" t="e">
        <f>IF(Table2[[#This Row],[Manual Cat Value]]="",VLOOKUP(Table2[[#This Row],[Description]],'Actuals Lookup'!D:F,3,0),Table2[[#This Row],[Manual Cat Value]])</f>
        <v>#N/A</v>
      </c>
      <c r="J2599" s="2">
        <v>11.56</v>
      </c>
      <c r="K2599" s="2" t="b">
        <v>0</v>
      </c>
      <c r="L2599" s="2"/>
      <c r="M2599" s="2"/>
      <c r="N2599" s="4" t="s">
        <v>2259</v>
      </c>
      <c r="O2599" s="4" t="str">
        <f>LEFT(Table2[[#This Row],[Description]],75)</f>
        <v>Garrison Family Foods</v>
      </c>
      <c r="P2599" s="2" t="s">
        <v>2281</v>
      </c>
    </row>
    <row r="2600" spans="1:16" hidden="1">
      <c r="A2600" s="2">
        <v>202005</v>
      </c>
      <c r="B2600" s="3">
        <v>43977</v>
      </c>
      <c r="C2600" s="2" t="s">
        <v>2262</v>
      </c>
      <c r="D2600" s="2" t="s">
        <v>944</v>
      </c>
      <c r="E2600" s="2">
        <v>5.69</v>
      </c>
      <c r="F2600" s="2" t="e">
        <f>IF(Table2[[#This Row],[Manual Cat Value]]="",VLOOKUP(Table2[[#This Row],[Description]],'Actuals Lookup'!D:F,3,0),Table2[[#This Row],[Manual Cat Value]])</f>
        <v>#N/A</v>
      </c>
      <c r="J2600" s="2">
        <v>5.69</v>
      </c>
      <c r="K2600" s="2" t="b">
        <v>0</v>
      </c>
      <c r="L2600" s="2"/>
      <c r="M2600" s="2"/>
      <c r="N2600" s="4" t="s">
        <v>2259</v>
      </c>
      <c r="O2600" s="4" t="str">
        <f>LEFT(Table2[[#This Row],[Description]],75)</f>
        <v>Holiday Stationstore</v>
      </c>
      <c r="P2600" s="2" t="s">
        <v>2374</v>
      </c>
    </row>
    <row r="2601" spans="1:16" hidden="1">
      <c r="A2601" s="2">
        <v>202005</v>
      </c>
      <c r="B2601" s="3">
        <v>43977</v>
      </c>
      <c r="C2601" s="2" t="s">
        <v>2262</v>
      </c>
      <c r="D2601" s="2" t="s">
        <v>944</v>
      </c>
      <c r="E2601" s="2">
        <v>61.72</v>
      </c>
      <c r="F2601" s="2" t="e">
        <f>IF(Table2[[#This Row],[Manual Cat Value]]="",VLOOKUP(Table2[[#This Row],[Description]],'Actuals Lookup'!D:F,3,0),Table2[[#This Row],[Manual Cat Value]])</f>
        <v>#N/A</v>
      </c>
      <c r="J2601" s="2">
        <v>61.72</v>
      </c>
      <c r="K2601" s="2" t="b">
        <v>0</v>
      </c>
      <c r="L2601" s="2"/>
      <c r="M2601" s="2"/>
      <c r="N2601" s="4" t="s">
        <v>2259</v>
      </c>
      <c r="O2601" s="4" t="str">
        <f>LEFT(Table2[[#This Row],[Description]],75)</f>
        <v>Holiday Stationstore</v>
      </c>
      <c r="P2601" s="2" t="s">
        <v>2374</v>
      </c>
    </row>
    <row r="2602" spans="1:16" hidden="1">
      <c r="A2602" s="2">
        <v>202005</v>
      </c>
      <c r="B2602" s="3">
        <v>43977</v>
      </c>
      <c r="C2602" s="2" t="s">
        <v>2447</v>
      </c>
      <c r="D2602" s="2" t="s">
        <v>1350</v>
      </c>
      <c r="E2602" s="2">
        <v>12.99</v>
      </c>
      <c r="F2602" s="2" t="str">
        <f>IF(Table2[[#This Row],[Manual Cat Value]]="",VLOOKUP(Table2[[#This Row],[Description]],'Actuals Lookup'!D:F,3,0),Table2[[#This Row],[Manual Cat Value]])</f>
        <v>Utilities</v>
      </c>
      <c r="J2602" s="2">
        <v>12.99</v>
      </c>
      <c r="K2602" s="2" t="b">
        <v>0</v>
      </c>
      <c r="L2602" s="2"/>
      <c r="M2602" s="2"/>
      <c r="N2602" s="4" t="s">
        <v>2259</v>
      </c>
      <c r="O2602" s="4" t="str">
        <f>LEFT(Table2[[#This Row],[Description]],75)</f>
        <v>Netflix</v>
      </c>
      <c r="P2602" s="2" t="s">
        <v>2306</v>
      </c>
    </row>
    <row r="2603" spans="1:16" hidden="1">
      <c r="A2603" s="2">
        <v>202005</v>
      </c>
      <c r="B2603" s="3">
        <v>43977</v>
      </c>
      <c r="C2603" s="2" t="s">
        <v>2258</v>
      </c>
      <c r="D2603" s="2" t="s">
        <v>1350</v>
      </c>
      <c r="E2603" s="2">
        <v>12.99</v>
      </c>
      <c r="F2603" s="2" t="str">
        <f>IF(Table2[[#This Row],[Manual Cat Value]]="",VLOOKUP(Table2[[#This Row],[Description]],'Actuals Lookup'!D:F,3,0),Table2[[#This Row],[Manual Cat Value]])</f>
        <v>Utilities</v>
      </c>
      <c r="J2603" s="2">
        <v>12.99</v>
      </c>
      <c r="K2603" s="2" t="b">
        <v>0</v>
      </c>
      <c r="L2603" s="2"/>
      <c r="M2603" s="2"/>
      <c r="N2603" s="4" t="s">
        <v>2259</v>
      </c>
      <c r="O2603" s="4" t="str">
        <f>LEFT(Table2[[#This Row],[Description]],75)</f>
        <v>Netflix</v>
      </c>
      <c r="P2603" s="2" t="s">
        <v>2306</v>
      </c>
    </row>
    <row r="2604" spans="1:16" hidden="1">
      <c r="A2604" s="2">
        <v>202005</v>
      </c>
      <c r="B2604" s="3">
        <v>43977</v>
      </c>
      <c r="C2604" s="2" t="s">
        <v>2317</v>
      </c>
      <c r="D2604" s="2" t="s">
        <v>1774</v>
      </c>
      <c r="E2604" s="2">
        <v>18.79</v>
      </c>
      <c r="F2604" s="2" t="e">
        <f>IF(Table2[[#This Row],[Manual Cat Value]]="",VLOOKUP(Table2[[#This Row],[Description]],'Actuals Lookup'!D:F,3,0),Table2[[#This Row],[Manual Cat Value]])</f>
        <v>#N/A</v>
      </c>
      <c r="J2604" s="2">
        <v>18.79</v>
      </c>
      <c r="K2604" s="2" t="b">
        <v>0</v>
      </c>
      <c r="L2604" s="2"/>
      <c r="M2604" s="2"/>
      <c r="N2604" s="4" t="s">
        <v>2259</v>
      </c>
      <c r="O2604" s="4" t="str">
        <f>LEFT(Table2[[#This Row],[Description]],75)</f>
        <v>STARBUCKS CORP</v>
      </c>
      <c r="P2604" s="2" t="s">
        <v>2416</v>
      </c>
    </row>
    <row r="2605" spans="1:16" hidden="1">
      <c r="A2605" s="2">
        <v>202005</v>
      </c>
      <c r="B2605" s="3">
        <v>43977</v>
      </c>
      <c r="C2605" s="2" t="s">
        <v>2460</v>
      </c>
      <c r="D2605" s="2" t="s">
        <v>1774</v>
      </c>
      <c r="E2605" s="2">
        <v>18.79</v>
      </c>
      <c r="F2605" s="2" t="e">
        <f>IF(Table2[[#This Row],[Manual Cat Value]]="",VLOOKUP(Table2[[#This Row],[Description]],'Actuals Lookup'!D:F,3,0),Table2[[#This Row],[Manual Cat Value]])</f>
        <v>#N/A</v>
      </c>
      <c r="J2605" s="2">
        <v>18.79</v>
      </c>
      <c r="K2605" s="2" t="b">
        <v>0</v>
      </c>
      <c r="L2605" s="2"/>
      <c r="M2605" s="2"/>
      <c r="N2605" s="4" t="s">
        <v>2259</v>
      </c>
      <c r="O2605" s="4" t="str">
        <f>LEFT(Table2[[#This Row],[Description]],75)</f>
        <v>STARBUCKS CORP</v>
      </c>
      <c r="P2605" s="2" t="s">
        <v>2463</v>
      </c>
    </row>
    <row r="2606" spans="1:16" hidden="1">
      <c r="A2606" s="2">
        <v>202005</v>
      </c>
      <c r="B2606" s="3">
        <v>43977</v>
      </c>
      <c r="C2606" s="2" t="s">
        <v>2265</v>
      </c>
      <c r="D2606" s="2" t="s">
        <v>31</v>
      </c>
      <c r="E2606" s="2">
        <v>466.38</v>
      </c>
      <c r="F2606" s="2" t="str">
        <f>IF(Table2[[#This Row],[Manual Cat Value]]="",VLOOKUP(Table2[[#This Row],[Description]],'Actuals Lookup'!D:F,3,0),Table2[[#This Row],[Manual Cat Value]])</f>
        <v>Target</v>
      </c>
      <c r="J2606" s="2">
        <v>466.38</v>
      </c>
      <c r="K2606" s="2" t="b">
        <v>0</v>
      </c>
      <c r="L2606" s="2"/>
      <c r="M2606" s="2"/>
      <c r="N2606" s="4" t="s">
        <v>2259</v>
      </c>
      <c r="O2606" s="4" t="str">
        <f>LEFT(Table2[[#This Row],[Description]],75)</f>
        <v>Target</v>
      </c>
      <c r="P2606" s="2" t="s">
        <v>2309</v>
      </c>
    </row>
    <row r="2607" spans="1:16" hidden="1">
      <c r="A2607" s="2">
        <v>202005</v>
      </c>
      <c r="B2607" s="3">
        <v>43977</v>
      </c>
      <c r="C2607" s="2" t="s">
        <v>2274</v>
      </c>
      <c r="D2607" s="2" t="s">
        <v>2110</v>
      </c>
      <c r="E2607" s="2">
        <v>-110.76</v>
      </c>
      <c r="F2607" s="2" t="e">
        <f>IF(Table2[[#This Row],[Manual Cat Value]]="",VLOOKUP(Table2[[#This Row],[Description]],'Actuals Lookup'!D:F,3,0),Table2[[#This Row],[Manual Cat Value]])</f>
        <v>#N/A</v>
      </c>
      <c r="J2607" s="2">
        <v>110.76</v>
      </c>
      <c r="K2607" s="2" t="b">
        <v>0</v>
      </c>
      <c r="L2607" s="2"/>
      <c r="M2607" s="2"/>
      <c r="N2607" s="4" t="s">
        <v>2273</v>
      </c>
      <c r="O2607" s="4" t="str">
        <f>LEFT(Table2[[#This Row],[Description]],75)</f>
        <v>Venmo Cashout</v>
      </c>
      <c r="P2607" s="2" t="s">
        <v>2281</v>
      </c>
    </row>
    <row r="2608" spans="1:16" hidden="1">
      <c r="A2608" s="2">
        <v>202005</v>
      </c>
      <c r="B2608" s="3">
        <v>43978</v>
      </c>
      <c r="C2608" s="2" t="s">
        <v>2262</v>
      </c>
      <c r="D2608" s="2" t="s">
        <v>1453</v>
      </c>
      <c r="E2608" s="2">
        <v>-1137.58</v>
      </c>
      <c r="F2608" s="2" t="e">
        <f>IF(Table2[[#This Row],[Manual Cat Value]]="",VLOOKUP(Table2[[#This Row],[Description]],'Actuals Lookup'!D:F,3,0),Table2[[#This Row],[Manual Cat Value]])</f>
        <v>#N/A</v>
      </c>
      <c r="J2608" s="2">
        <v>1137.58</v>
      </c>
      <c r="K2608" s="2" t="b">
        <v>0</v>
      </c>
      <c r="L2608" s="2"/>
      <c r="M2608" s="2"/>
      <c r="N2608" s="4" t="s">
        <v>2273</v>
      </c>
      <c r="O2608" s="4" t="str">
        <f>LEFT(Table2[[#This Row],[Description]],75)</f>
        <v>PAYMENT THANK YOU 313824775</v>
      </c>
      <c r="P2608" s="2" t="s">
        <v>2391</v>
      </c>
    </row>
    <row r="2609" spans="1:16" hidden="1">
      <c r="A2609" s="2">
        <v>202005</v>
      </c>
      <c r="B2609" s="3">
        <v>43978</v>
      </c>
      <c r="C2609" s="2" t="s">
        <v>2265</v>
      </c>
      <c r="D2609" s="2" t="s">
        <v>2198</v>
      </c>
      <c r="E2609" s="2">
        <v>1137.58</v>
      </c>
      <c r="F2609" s="2" t="e">
        <f>IF(Table2[[#This Row],[Manual Cat Value]]="",VLOOKUP(Table2[[#This Row],[Description]],'Actuals Lookup'!D:F,3,0),Table2[[#This Row],[Manual Cat Value]])</f>
        <v>#N/A</v>
      </c>
      <c r="J2609" s="2">
        <v>1137.58</v>
      </c>
      <c r="K2609" s="2" t="b">
        <v>0</v>
      </c>
      <c r="L2609" s="2"/>
      <c r="M2609" s="2"/>
      <c r="N2609" s="4" t="s">
        <v>2259</v>
      </c>
      <c r="O2609" s="4" t="str">
        <f>LEFT(Table2[[#This Row],[Description]],75)</f>
        <v>Withdrawal Home payment to card 979181 313309910</v>
      </c>
      <c r="P2609" s="2" t="s">
        <v>2349</v>
      </c>
    </row>
    <row r="2610" spans="1:16" hidden="1">
      <c r="A2610" s="2">
        <v>202005</v>
      </c>
      <c r="B2610" s="3">
        <v>43978</v>
      </c>
      <c r="C2610" s="2" t="s">
        <v>2262</v>
      </c>
      <c r="D2610" s="2" t="s">
        <v>80</v>
      </c>
      <c r="E2610" s="2">
        <v>54.1</v>
      </c>
      <c r="F2610" s="2" t="e">
        <f>IF(Table2[[#This Row],[Manual Cat Value]]="",VLOOKUP(Table2[[#This Row],[Description]],'Actuals Lookup'!D:F,3,0),Table2[[#This Row],[Manual Cat Value]])</f>
        <v>#N/A</v>
      </c>
      <c r="J2610" s="2">
        <v>54.1</v>
      </c>
      <c r="K2610" s="2" t="b">
        <v>0</v>
      </c>
      <c r="L2610" s="2"/>
      <c r="M2610" s="2"/>
      <c r="N2610" s="4" t="s">
        <v>2259</v>
      </c>
      <c r="O2610" s="4" t="str">
        <f>LEFT(Table2[[#This Row],[Description]],75)</f>
        <v>2020 OUTRUN ALD VIRTUA HTTPSRACEROSTMA 313537608</v>
      </c>
      <c r="P2610" s="2" t="s">
        <v>2281</v>
      </c>
    </row>
    <row r="2611" spans="1:16" hidden="1">
      <c r="A2611" s="2">
        <v>202005</v>
      </c>
      <c r="B2611" s="3">
        <v>43978</v>
      </c>
      <c r="C2611" s="2" t="s">
        <v>2265</v>
      </c>
      <c r="D2611" s="2" t="s">
        <v>381</v>
      </c>
      <c r="E2611" s="2">
        <v>-1777.67</v>
      </c>
      <c r="F2611" s="2" t="e">
        <f>IF(Table2[[#This Row],[Manual Cat Value]]="",VLOOKUP(Table2[[#This Row],[Description]],'Actuals Lookup'!D:F,3,0),Table2[[#This Row],[Manual Cat Value]])</f>
        <v>#N/A</v>
      </c>
      <c r="J2611" s="2">
        <v>1777.67</v>
      </c>
      <c r="K2611" s="2" t="b">
        <v>0</v>
      </c>
      <c r="L2611" s="2"/>
      <c r="M2611" s="2"/>
      <c r="N2611" s="4" t="s">
        <v>2273</v>
      </c>
      <c r="O2611" s="4" t="str">
        <f>LEFT(Table2[[#This Row],[Description]],75)</f>
        <v xml:space="preserve">CARGILL COCOA TYPE DIR DEP ID CO CARGILL COCOA ACH ECC PPD ACH Trace 52042 </v>
      </c>
      <c r="P2611" s="2" t="s">
        <v>2284</v>
      </c>
    </row>
    <row r="2612" spans="1:16" hidden="1">
      <c r="A2612" s="2">
        <v>202005</v>
      </c>
      <c r="B2612" s="3">
        <v>43979</v>
      </c>
      <c r="C2612" s="2" t="s">
        <v>2265</v>
      </c>
      <c r="D2612" s="2" t="s">
        <v>211</v>
      </c>
      <c r="E2612" s="2">
        <v>108.59</v>
      </c>
      <c r="F2612" s="2" t="e">
        <f>IF(Table2[[#This Row],[Manual Cat Value]]="",VLOOKUP(Table2[[#This Row],[Description]],'Actuals Lookup'!D:F,3,0),Table2[[#This Row],[Manual Cat Value]])</f>
        <v>#N/A</v>
      </c>
      <c r="J2612" s="2">
        <v>108.59</v>
      </c>
      <c r="K2612" s="2" t="b">
        <v>0</v>
      </c>
      <c r="L2612" s="2"/>
      <c r="M2612" s="2"/>
      <c r="N2612" s="4" t="s">
        <v>2259</v>
      </c>
      <c r="O2612" s="4" t="str">
        <f>LEFT(Table2[[#This Row],[Description]],75)</f>
        <v>Banana Visa TYPE BR EPAY ID CO Banana Visa ACH ECC WEB ACH Trace 78260 3135</v>
      </c>
      <c r="P2612" s="2" t="s">
        <v>2297</v>
      </c>
    </row>
    <row r="2613" spans="1:16" hidden="1">
      <c r="A2613" s="2">
        <v>202005</v>
      </c>
      <c r="B2613" s="3">
        <v>43979</v>
      </c>
      <c r="C2613" s="2" t="s">
        <v>2265</v>
      </c>
      <c r="D2613" s="2" t="s">
        <v>1039</v>
      </c>
      <c r="E2613" s="2">
        <v>-2688.28</v>
      </c>
      <c r="F2613" s="2" t="e">
        <f>IF(Table2[[#This Row],[Manual Cat Value]]="",VLOOKUP(Table2[[#This Row],[Description]],'Actuals Lookup'!D:F,3,0),Table2[[#This Row],[Manual Cat Value]])</f>
        <v>#N/A</v>
      </c>
      <c r="J2613" s="2">
        <v>2688.28</v>
      </c>
      <c r="K2613" s="2" t="b">
        <v>0</v>
      </c>
      <c r="L2613" s="2"/>
      <c r="M2613" s="2"/>
      <c r="N2613" s="4" t="s">
        <v>2273</v>
      </c>
      <c r="O2613" s="4" t="str">
        <f>LEFT(Table2[[#This Row],[Description]],75)</f>
        <v>KAUFMAN HALL TYPE DIRECT DEP ID CO KAUFMAN HALL ACH ECC PPD ACH Trace 04238</v>
      </c>
      <c r="P2613" s="2" t="s">
        <v>2285</v>
      </c>
    </row>
    <row r="2614" spans="1:16" hidden="1">
      <c r="A2614" s="2">
        <v>202005</v>
      </c>
      <c r="B2614" s="3">
        <v>43979</v>
      </c>
      <c r="C2614" s="2" t="s">
        <v>2262</v>
      </c>
      <c r="D2614" s="2" t="s">
        <v>1490</v>
      </c>
      <c r="E2614" s="2">
        <v>36.14</v>
      </c>
      <c r="F2614" s="2" t="e">
        <f>IF(Table2[[#This Row],[Manual Cat Value]]="",VLOOKUP(Table2[[#This Row],[Description]],'Actuals Lookup'!D:F,3,0),Table2[[#This Row],[Manual Cat Value]])</f>
        <v>#N/A</v>
      </c>
      <c r="J2614" s="2">
        <v>36.14</v>
      </c>
      <c r="K2614" s="2" t="b">
        <v>0</v>
      </c>
      <c r="L2614" s="2"/>
      <c r="M2614" s="2"/>
      <c r="N2614" s="4" t="s">
        <v>2259</v>
      </c>
      <c r="O2614" s="4" t="str">
        <f>LEFT(Table2[[#This Row],[Description]],75)</f>
        <v>PINE RIVER FAMILY M PINE RIVER MN 313824777</v>
      </c>
      <c r="P2614" s="2" t="s">
        <v>2281</v>
      </c>
    </row>
    <row r="2615" spans="1:16" hidden="1">
      <c r="A2615" s="2">
        <v>202005</v>
      </c>
      <c r="B2615" s="3">
        <v>43979</v>
      </c>
      <c r="C2615" s="2" t="s">
        <v>2262</v>
      </c>
      <c r="D2615" s="2" t="s">
        <v>1777</v>
      </c>
      <c r="E2615" s="2">
        <v>4.24</v>
      </c>
      <c r="F2615" s="2" t="e">
        <f>IF(Table2[[#This Row],[Manual Cat Value]]="",VLOOKUP(Table2[[#This Row],[Description]],'Actuals Lookup'!D:F,3,0),Table2[[#This Row],[Manual Cat Value]])</f>
        <v>#N/A</v>
      </c>
      <c r="J2615" s="2">
        <v>4.24</v>
      </c>
      <c r="K2615" s="2" t="b">
        <v>0</v>
      </c>
      <c r="L2615" s="2"/>
      <c r="M2615" s="2"/>
      <c r="N2615" s="4" t="s">
        <v>2259</v>
      </c>
      <c r="O2615" s="4" t="str">
        <f>LEFT(Table2[[#This Row],[Description]],75)</f>
        <v>Station</v>
      </c>
      <c r="P2615" s="2" t="s">
        <v>2281</v>
      </c>
    </row>
    <row r="2616" spans="1:16" hidden="1">
      <c r="A2616" s="2">
        <v>202005</v>
      </c>
      <c r="B2616" s="3">
        <v>43980</v>
      </c>
      <c r="C2616" s="2" t="s">
        <v>2317</v>
      </c>
      <c r="D2616" s="2" t="s">
        <v>354</v>
      </c>
      <c r="E2616" s="2">
        <v>-200</v>
      </c>
      <c r="F2616" s="2" t="e">
        <f>IF(Table2[[#This Row],[Manual Cat Value]]="",VLOOKUP(Table2[[#This Row],[Description]],'Actuals Lookup'!D:F,3,0),Table2[[#This Row],[Manual Cat Value]])</f>
        <v>#N/A</v>
      </c>
      <c r="J2616" s="2">
        <v>200</v>
      </c>
      <c r="K2616" s="2" t="b">
        <v>0</v>
      </c>
      <c r="L2616" s="2"/>
      <c r="M2616" s="2"/>
      <c r="N2616" s="4" t="s">
        <v>2273</v>
      </c>
      <c r="O2616" s="4" t="str">
        <f>LEFT(Table2[[#This Row],[Description]],75)</f>
        <v>CARGILL COCOA &amp;</v>
      </c>
      <c r="P2616" s="2" t="s">
        <v>2354</v>
      </c>
    </row>
    <row r="2617" spans="1:16" hidden="1">
      <c r="A2617" s="2">
        <v>202005</v>
      </c>
      <c r="B2617" s="3">
        <v>43980</v>
      </c>
      <c r="C2617" s="2" t="s">
        <v>2460</v>
      </c>
      <c r="D2617" s="2" t="s">
        <v>354</v>
      </c>
      <c r="E2617" s="2">
        <v>-200</v>
      </c>
      <c r="F2617" s="2" t="e">
        <f>IF(Table2[[#This Row],[Manual Cat Value]]="",VLOOKUP(Table2[[#This Row],[Description]],'Actuals Lookup'!D:F,3,0),Table2[[#This Row],[Manual Cat Value]])</f>
        <v>#N/A</v>
      </c>
      <c r="J2617" s="2">
        <v>200</v>
      </c>
      <c r="K2617" s="2" t="b">
        <v>0</v>
      </c>
      <c r="L2617" s="2"/>
      <c r="M2617" s="2"/>
      <c r="N2617" s="4" t="s">
        <v>2273</v>
      </c>
      <c r="O2617" s="4" t="str">
        <f>LEFT(Table2[[#This Row],[Description]],75)</f>
        <v>CARGILL COCOA &amp;</v>
      </c>
      <c r="P2617" s="2" t="s">
        <v>2354</v>
      </c>
    </row>
    <row r="2618" spans="1:16" hidden="1">
      <c r="A2618" s="2">
        <v>202005</v>
      </c>
      <c r="B2618" s="3">
        <v>43980</v>
      </c>
      <c r="C2618" s="2" t="s">
        <v>2274</v>
      </c>
      <c r="D2618" s="2" t="s">
        <v>994</v>
      </c>
      <c r="E2618" s="2">
        <v>-0.01</v>
      </c>
      <c r="F2618" s="2" t="e">
        <f>IF(Table2[[#This Row],[Manual Cat Value]]="",VLOOKUP(Table2[[#This Row],[Description]],'Actuals Lookup'!D:F,3,0),Table2[[#This Row],[Manual Cat Value]])</f>
        <v>#N/A</v>
      </c>
      <c r="J2618" s="2">
        <v>0.01</v>
      </c>
      <c r="K2618" s="2" t="b">
        <v>0</v>
      </c>
      <c r="L2618" s="2"/>
      <c r="M2618" s="2"/>
      <c r="N2618" s="4" t="s">
        <v>2273</v>
      </c>
      <c r="O2618" s="4" t="str">
        <f>LEFT(Table2[[#This Row],[Description]],75)</f>
        <v>Interest Paid</v>
      </c>
      <c r="P2618" s="2" t="s">
        <v>2312</v>
      </c>
    </row>
    <row r="2619" spans="1:16" hidden="1">
      <c r="A2619" s="2">
        <v>202005</v>
      </c>
      <c r="B2619" s="3">
        <v>43980</v>
      </c>
      <c r="C2619" s="2" t="s">
        <v>2317</v>
      </c>
      <c r="D2619" s="2" t="s">
        <v>1037</v>
      </c>
      <c r="E2619" s="2">
        <v>-250</v>
      </c>
      <c r="F2619" s="2" t="e">
        <f>IF(Table2[[#This Row],[Manual Cat Value]]="",VLOOKUP(Table2[[#This Row],[Description]],'Actuals Lookup'!D:F,3,0),Table2[[#This Row],[Manual Cat Value]])</f>
        <v>#N/A</v>
      </c>
      <c r="J2619" s="2">
        <v>250</v>
      </c>
      <c r="K2619" s="2" t="b">
        <v>0</v>
      </c>
      <c r="L2619" s="2"/>
      <c r="M2619" s="2"/>
      <c r="N2619" s="4" t="s">
        <v>2273</v>
      </c>
      <c r="O2619" s="4" t="str">
        <f>LEFT(Table2[[#This Row],[Description]],75)</f>
        <v>KAUFMAN HALL</v>
      </c>
      <c r="P2619" s="2" t="s">
        <v>2375</v>
      </c>
    </row>
    <row r="2620" spans="1:16" hidden="1">
      <c r="A2620" s="2">
        <v>202005</v>
      </c>
      <c r="B2620" s="3">
        <v>43980</v>
      </c>
      <c r="C2620" s="2" t="s">
        <v>2460</v>
      </c>
      <c r="D2620" s="2" t="s">
        <v>1037</v>
      </c>
      <c r="E2620" s="2">
        <v>-250</v>
      </c>
      <c r="F2620" s="2" t="e">
        <f>IF(Table2[[#This Row],[Manual Cat Value]]="",VLOOKUP(Table2[[#This Row],[Description]],'Actuals Lookup'!D:F,3,0),Table2[[#This Row],[Manual Cat Value]])</f>
        <v>#N/A</v>
      </c>
      <c r="J2620" s="2">
        <v>250</v>
      </c>
      <c r="K2620" s="2" t="b">
        <v>0</v>
      </c>
      <c r="L2620" s="2"/>
      <c r="M2620" s="2"/>
      <c r="N2620" s="4" t="s">
        <v>2273</v>
      </c>
      <c r="O2620" s="4" t="str">
        <f>LEFT(Table2[[#This Row],[Description]],75)</f>
        <v>KAUFMAN HALL</v>
      </c>
      <c r="P2620" s="2" t="s">
        <v>2375</v>
      </c>
    </row>
    <row r="2621" spans="1:16" hidden="1">
      <c r="A2621" s="2">
        <v>202005</v>
      </c>
      <c r="B2621" s="3">
        <v>43980</v>
      </c>
      <c r="C2621" s="2" t="s">
        <v>2265</v>
      </c>
      <c r="D2621" s="2" t="s">
        <v>1471</v>
      </c>
      <c r="E2621" s="2">
        <v>0.99</v>
      </c>
      <c r="F2621" s="2" t="str">
        <f>IF(Table2[[#This Row],[Manual Cat Value]]="",VLOOKUP(Table2[[#This Row],[Description]],'Actuals Lookup'!D:F,3,0),Table2[[#This Row],[Manual Cat Value]])</f>
        <v>Shopping</v>
      </c>
      <c r="J2621" s="2">
        <v>0.99</v>
      </c>
      <c r="K2621" s="2" t="b">
        <v>0</v>
      </c>
      <c r="L2621" s="2"/>
      <c r="M2621" s="2"/>
      <c r="N2621" s="4" t="s">
        <v>2259</v>
      </c>
      <c r="O2621" s="4" t="str">
        <f>LEFT(Table2[[#This Row],[Description]],75)</f>
        <v>PayPal</v>
      </c>
      <c r="P2621" s="2" t="s">
        <v>2322</v>
      </c>
    </row>
    <row r="2622" spans="1:16" hidden="1">
      <c r="A2622" s="2">
        <v>202005</v>
      </c>
      <c r="B2622" s="3">
        <v>43980</v>
      </c>
      <c r="C2622" s="2" t="s">
        <v>2447</v>
      </c>
      <c r="D2622" s="2" t="s">
        <v>1567</v>
      </c>
      <c r="E2622" s="2">
        <v>27.67</v>
      </c>
      <c r="F2622" s="2" t="e">
        <f>IF(Table2[[#This Row],[Manual Cat Value]]="",VLOOKUP(Table2[[#This Row],[Description]],'Actuals Lookup'!D:F,3,0),Table2[[#This Row],[Manual Cat Value]])</f>
        <v>#N/A</v>
      </c>
      <c r="J2622" s="2">
        <v>27.67</v>
      </c>
      <c r="K2622" s="2" t="b">
        <v>0</v>
      </c>
      <c r="L2622" s="2"/>
      <c r="M2622" s="2"/>
      <c r="N2622" s="4" t="s">
        <v>2259</v>
      </c>
      <c r="O2622" s="4" t="str">
        <f>LEFT(Table2[[#This Row],[Description]],75)</f>
        <v>REDDINGS SPORTS &amp; SPIRIT EMILY MN</v>
      </c>
      <c r="P2622" s="2"/>
    </row>
    <row r="2623" spans="1:16" hidden="1">
      <c r="A2623" s="2">
        <v>202005</v>
      </c>
      <c r="B2623" s="3">
        <v>43980</v>
      </c>
      <c r="C2623" s="2" t="s">
        <v>2258</v>
      </c>
      <c r="D2623" s="2" t="s">
        <v>1567</v>
      </c>
      <c r="E2623" s="2">
        <v>27.67</v>
      </c>
      <c r="F2623" s="2" t="e">
        <f>IF(Table2[[#This Row],[Manual Cat Value]]="",VLOOKUP(Table2[[#This Row],[Description]],'Actuals Lookup'!D:F,3,0),Table2[[#This Row],[Manual Cat Value]])</f>
        <v>#N/A</v>
      </c>
      <c r="J2623" s="2">
        <v>27.67</v>
      </c>
      <c r="K2623" s="2" t="b">
        <v>0</v>
      </c>
      <c r="L2623" s="2"/>
      <c r="M2623" s="2"/>
      <c r="N2623" s="4" t="s">
        <v>2259</v>
      </c>
      <c r="O2623" s="4" t="str">
        <f>LEFT(Table2[[#This Row],[Description]],75)</f>
        <v>REDDINGS SPORTS &amp; SPIRIT EMILY MN</v>
      </c>
      <c r="P2623" s="2" t="s">
        <v>2281</v>
      </c>
    </row>
    <row r="2624" spans="1:16" hidden="1">
      <c r="A2624" s="2">
        <v>202005</v>
      </c>
      <c r="B2624" s="3">
        <v>43980</v>
      </c>
      <c r="C2624" s="2" t="s">
        <v>2338</v>
      </c>
      <c r="D2624" s="2" t="s">
        <v>1820</v>
      </c>
      <c r="E2624" s="2">
        <v>-732.69</v>
      </c>
      <c r="F2624" s="2" t="e">
        <f>IF(Table2[[#This Row],[Manual Cat Value]]="",VLOOKUP(Table2[[#This Row],[Description]],'Actuals Lookup'!D:F,3,0),Table2[[#This Row],[Manual Cat Value]])</f>
        <v>#N/A</v>
      </c>
      <c r="J2624" s="2">
        <v>732.69</v>
      </c>
      <c r="K2624" s="2" t="b">
        <v>0</v>
      </c>
      <c r="L2624" s="2"/>
      <c r="M2624" s="2"/>
      <c r="N2624" s="4" t="s">
        <v>2273</v>
      </c>
      <c r="O2624" s="4" t="str">
        <f>LEFT(Table2[[#This Row],[Description]],75)</f>
        <v>Target Retire 2055 Tr P - Plan Contribution</v>
      </c>
      <c r="P2624" s="2" t="s">
        <v>2386</v>
      </c>
    </row>
    <row r="2625" spans="1:16" hidden="1">
      <c r="A2625" s="2">
        <v>202005</v>
      </c>
      <c r="B2625" s="3">
        <v>43980</v>
      </c>
      <c r="C2625" s="2" t="s">
        <v>2434</v>
      </c>
      <c r="D2625" s="2" t="s">
        <v>1834</v>
      </c>
      <c r="E2625" s="2">
        <v>-231</v>
      </c>
      <c r="F2625" s="2" t="e">
        <f>IF(Table2[[#This Row],[Manual Cat Value]]="",VLOOKUP(Table2[[#This Row],[Description]],'Actuals Lookup'!D:F,3,0),Table2[[#This Row],[Manual Cat Value]])</f>
        <v>#N/A</v>
      </c>
      <c r="J2625" s="2">
        <v>231</v>
      </c>
      <c r="K2625" s="2" t="b">
        <v>0</v>
      </c>
      <c r="L2625" s="2"/>
      <c r="M2625" s="2"/>
      <c r="N2625" s="4" t="s">
        <v>2273</v>
      </c>
      <c r="O2625" s="4" t="str">
        <f>LEFT(Table2[[#This Row],[Description]],75)</f>
        <v>Tfr JPMORGAN CHASE BAN, CARGILL COCOA &amp;</v>
      </c>
      <c r="P2625" s="2" t="s">
        <v>2356</v>
      </c>
    </row>
    <row r="2626" spans="1:16" hidden="1">
      <c r="A2626" s="2">
        <v>202005</v>
      </c>
      <c r="B2626" s="3">
        <v>43980</v>
      </c>
      <c r="C2626" s="2" t="s">
        <v>2435</v>
      </c>
      <c r="D2626" s="2" t="s">
        <v>1837</v>
      </c>
      <c r="E2626" s="2">
        <v>-250</v>
      </c>
      <c r="F2626" s="2" t="e">
        <f>IF(Table2[[#This Row],[Manual Cat Value]]="",VLOOKUP(Table2[[#This Row],[Description]],'Actuals Lookup'!D:F,3,0),Table2[[#This Row],[Manual Cat Value]])</f>
        <v>#N/A</v>
      </c>
      <c r="J2626" s="2">
        <v>250</v>
      </c>
      <c r="K2626" s="2" t="b">
        <v>0</v>
      </c>
      <c r="L2626" s="2"/>
      <c r="M2626" s="2"/>
      <c r="N2626" s="4" t="s">
        <v>2273</v>
      </c>
      <c r="O2626" s="4" t="str">
        <f>LEFT(Table2[[#This Row],[Description]],75)</f>
        <v>Tfr JPMORGAN CHASE BAN, KAUFMAN HALL</v>
      </c>
      <c r="P2626" s="2" t="s">
        <v>2288</v>
      </c>
    </row>
    <row r="2627" spans="1:16" hidden="1">
      <c r="A2627" s="2">
        <v>202005</v>
      </c>
      <c r="B2627" s="3">
        <v>43982</v>
      </c>
      <c r="C2627" s="2" t="s">
        <v>2300</v>
      </c>
      <c r="D2627" s="2" t="s">
        <v>1709</v>
      </c>
      <c r="E2627" s="2">
        <v>-20</v>
      </c>
      <c r="F2627" s="2" t="e">
        <f>IF(Table2[[#This Row],[Manual Cat Value]]="",VLOOKUP(Table2[[#This Row],[Description]],'Actuals Lookup'!D:F,3,0),Table2[[#This Row],[Manual Cat Value]])</f>
        <v>#N/A</v>
      </c>
      <c r="J2627" s="2">
        <v>20</v>
      </c>
      <c r="K2627" s="2" t="b">
        <v>0</v>
      </c>
      <c r="L2627" s="2"/>
      <c r="M2627" s="2"/>
      <c r="N2627" s="4" t="s">
        <v>2273</v>
      </c>
      <c r="O2627" s="4" t="str">
        <f>LEFT(Table2[[#This Row],[Description]],75)</f>
        <v>Split Rate Apy</v>
      </c>
      <c r="P2627" s="2" t="s">
        <v>2313</v>
      </c>
    </row>
    <row r="2628" spans="1:16" hidden="1">
      <c r="A2628" s="2">
        <v>202005</v>
      </c>
      <c r="B2628" s="3">
        <v>43982</v>
      </c>
      <c r="C2628" s="2" t="s">
        <v>2265</v>
      </c>
      <c r="D2628" s="2" t="s">
        <v>1709</v>
      </c>
      <c r="E2628" s="2">
        <v>-25.34</v>
      </c>
      <c r="F2628" s="2" t="e">
        <f>IF(Table2[[#This Row],[Manual Cat Value]]="",VLOOKUP(Table2[[#This Row],[Description]],'Actuals Lookup'!D:F,3,0),Table2[[#This Row],[Manual Cat Value]])</f>
        <v>#N/A</v>
      </c>
      <c r="J2628" s="2">
        <v>25.34</v>
      </c>
      <c r="K2628" s="2" t="b">
        <v>0</v>
      </c>
      <c r="L2628" s="2"/>
      <c r="M2628" s="2"/>
      <c r="N2628" s="4" t="s">
        <v>2273</v>
      </c>
      <c r="O2628" s="4" t="str">
        <f>LEFT(Table2[[#This Row],[Description]],75)</f>
        <v>Split Rate Apy</v>
      </c>
      <c r="P2628" s="2" t="s">
        <v>2313</v>
      </c>
    </row>
    <row r="2629" spans="1:16" hidden="1">
      <c r="A2629" s="2">
        <v>202005</v>
      </c>
      <c r="B2629" s="3">
        <v>43982</v>
      </c>
      <c r="C2629" s="2" t="s">
        <v>2262</v>
      </c>
      <c r="D2629" s="2" t="s">
        <v>1791</v>
      </c>
      <c r="E2629" s="2">
        <v>6.32</v>
      </c>
      <c r="F2629" s="2" t="e">
        <f>IF(Table2[[#This Row],[Manual Cat Value]]="",VLOOKUP(Table2[[#This Row],[Description]],'Actuals Lookup'!D:F,3,0),Table2[[#This Row],[Manual Cat Value]])</f>
        <v>#N/A</v>
      </c>
      <c r="J2629" s="2">
        <v>6.32</v>
      </c>
      <c r="K2629" s="2" t="b">
        <v>0</v>
      </c>
      <c r="L2629" s="2"/>
      <c r="M2629" s="2"/>
      <c r="N2629" s="4" t="s">
        <v>2259</v>
      </c>
      <c r="O2629" s="4" t="str">
        <f>LEFT(Table2[[#This Row],[Description]],75)</f>
        <v>Super</v>
      </c>
      <c r="P2629" s="2" t="s">
        <v>2281</v>
      </c>
    </row>
    <row r="2630" spans="1:16" hidden="1">
      <c r="A2630" s="2">
        <v>202005</v>
      </c>
      <c r="B2630" s="3">
        <v>43982</v>
      </c>
      <c r="C2630" s="2" t="s">
        <v>2262</v>
      </c>
      <c r="D2630" s="2" t="s">
        <v>2234</v>
      </c>
      <c r="E2630" s="2">
        <v>73.08</v>
      </c>
      <c r="F2630" s="2" t="e">
        <f>IF(Table2[[#This Row],[Manual Cat Value]]="",VLOOKUP(Table2[[#This Row],[Description]],'Actuals Lookup'!D:F,3,0),Table2[[#This Row],[Manual Cat Value]])</f>
        <v>#N/A</v>
      </c>
      <c r="J2630" s="2">
        <v>73.08</v>
      </c>
      <c r="K2630" s="2" t="b">
        <v>0</v>
      </c>
      <c r="L2630" s="2"/>
      <c r="M2630" s="2"/>
      <c r="N2630" s="4" t="s">
        <v>2259</v>
      </c>
      <c r="O2630" s="4" t="str">
        <f>LEFT(Table2[[#This Row],[Description]],75)</f>
        <v>ZORBAZ OF CROSSLAKE CROSSLAKE MN 314452666</v>
      </c>
      <c r="P2630" s="2" t="s">
        <v>2281</v>
      </c>
    </row>
    <row r="2631" spans="1:16" hidden="1">
      <c r="A2631" s="2">
        <v>202006</v>
      </c>
      <c r="B2631" s="3">
        <v>43983</v>
      </c>
      <c r="C2631" s="2" t="s">
        <v>2262</v>
      </c>
      <c r="D2631" s="2" t="s">
        <v>38</v>
      </c>
      <c r="E2631" s="2">
        <v>3</v>
      </c>
      <c r="F2631" s="2" t="str">
        <f>IF(Table2[[#This Row],[Manual Cat Value]]="",VLOOKUP(Table2[[#This Row],[Description]],'Actuals Lookup'!D:F,3,0),Table2[[#This Row],[Manual Cat Value]])</f>
        <v>Amazon</v>
      </c>
      <c r="J2631" s="2">
        <v>3</v>
      </c>
      <c r="K2631" s="2" t="b">
        <v>0</v>
      </c>
      <c r="L2631" s="2"/>
      <c r="M2631" s="2"/>
      <c r="N2631" s="4" t="s">
        <v>2259</v>
      </c>
      <c r="O2631" s="4" t="str">
        <f>LEFT(Table2[[#This Row],[Description]],75)</f>
        <v>Amazon</v>
      </c>
      <c r="P2631" s="2" t="s">
        <v>2260</v>
      </c>
    </row>
    <row r="2632" spans="1:16" hidden="1">
      <c r="A2632" s="2">
        <v>202006</v>
      </c>
      <c r="B2632" s="3">
        <v>43983</v>
      </c>
      <c r="C2632" s="2" t="s">
        <v>2262</v>
      </c>
      <c r="D2632" s="2" t="s">
        <v>38</v>
      </c>
      <c r="E2632" s="2">
        <v>4.79</v>
      </c>
      <c r="F2632" s="2" t="str">
        <f>IF(Table2[[#This Row],[Manual Cat Value]]="",VLOOKUP(Table2[[#This Row],[Description]],'Actuals Lookup'!D:F,3,0),Table2[[#This Row],[Manual Cat Value]])</f>
        <v>Amazon</v>
      </c>
      <c r="J2632" s="2">
        <v>4.79</v>
      </c>
      <c r="K2632" s="2" t="b">
        <v>0</v>
      </c>
      <c r="L2632" s="2"/>
      <c r="M2632" s="2"/>
      <c r="N2632" s="4" t="s">
        <v>2259</v>
      </c>
      <c r="O2632" s="4" t="str">
        <f>LEFT(Table2[[#This Row],[Description]],75)</f>
        <v>Amazon</v>
      </c>
      <c r="P2632" s="2" t="s">
        <v>2260</v>
      </c>
    </row>
    <row r="2633" spans="1:16" hidden="1">
      <c r="A2633" s="2">
        <v>202006</v>
      </c>
      <c r="B2633" s="3">
        <v>43983</v>
      </c>
      <c r="C2633" s="2" t="s">
        <v>2262</v>
      </c>
      <c r="D2633" s="2" t="s">
        <v>114</v>
      </c>
      <c r="E2633" s="2">
        <v>4.28</v>
      </c>
      <c r="F2633" s="2" t="str">
        <f>IF(Table2[[#This Row],[Manual Cat Value]]="",VLOOKUP(Table2[[#This Row],[Description]],'Actuals Lookup'!D:F,3,0),Table2[[#This Row],[Manual Cat Value]])</f>
        <v>Entertainment</v>
      </c>
      <c r="J2633" s="2">
        <v>4.28</v>
      </c>
      <c r="K2633" s="2" t="b">
        <v>0</v>
      </c>
      <c r="L2633" s="2"/>
      <c r="M2633" s="2"/>
      <c r="N2633" s="4" t="s">
        <v>2259</v>
      </c>
      <c r="O2633" s="4" t="str">
        <f>LEFT(Table2[[#This Row],[Description]],75)</f>
        <v>Amazon Music</v>
      </c>
      <c r="P2633" s="2" t="s">
        <v>2466</v>
      </c>
    </row>
    <row r="2634" spans="1:16" hidden="1">
      <c r="A2634" s="2">
        <v>202006</v>
      </c>
      <c r="B2634" s="3">
        <v>43983</v>
      </c>
      <c r="C2634" s="2" t="s">
        <v>2265</v>
      </c>
      <c r="D2634" s="2" t="s">
        <v>577</v>
      </c>
      <c r="E2634" s="2">
        <v>200</v>
      </c>
      <c r="F2634" s="2" t="e">
        <f>IF(Table2[[#This Row],[Manual Cat Value]]="",VLOOKUP(Table2[[#This Row],[Description]],'Actuals Lookup'!D:F,3,0),Table2[[#This Row],[Manual Cat Value]])</f>
        <v>#N/A</v>
      </c>
      <c r="J2634" s="2">
        <v>200</v>
      </c>
      <c r="K2634" s="2" t="b">
        <v>0</v>
      </c>
      <c r="L2634" s="2"/>
      <c r="M2634" s="2"/>
      <c r="N2634" s="4" t="s">
        <v>2259</v>
      </c>
      <c r="O2634" s="4" t="str">
        <f>LEFT(Table2[[#This Row],[Description]],75)</f>
        <v>College Savings TYPE ACH ID 550895818 CO College Savings ACH ECC PPD ACH Tr</v>
      </c>
      <c r="P2634" s="2" t="s">
        <v>2272</v>
      </c>
    </row>
    <row r="2635" spans="1:16" hidden="1">
      <c r="A2635" s="2">
        <v>202006</v>
      </c>
      <c r="B2635" s="3">
        <v>43983</v>
      </c>
      <c r="C2635" s="2" t="s">
        <v>2314</v>
      </c>
      <c r="D2635" s="2" t="s">
        <v>870</v>
      </c>
      <c r="E2635" s="2">
        <v>-571.15</v>
      </c>
      <c r="F2635" s="2" t="e">
        <f>IF(Table2[[#This Row],[Manual Cat Value]]="",VLOOKUP(Table2[[#This Row],[Description]],'Actuals Lookup'!D:F,3,0),Table2[[#This Row],[Manual Cat Value]])</f>
        <v>#N/A</v>
      </c>
      <c r="J2635" s="2">
        <v>571.15</v>
      </c>
      <c r="K2635" s="2" t="b">
        <v>0</v>
      </c>
      <c r="L2635" s="2"/>
      <c r="M2635" s="2"/>
      <c r="N2635" s="4" t="s">
        <v>2273</v>
      </c>
      <c r="O2635" s="4" t="str">
        <f>LEFT(Table2[[#This Row],[Description]],75)</f>
        <v>From Share 70 314664372</v>
      </c>
      <c r="P2635" s="2" t="s">
        <v>2281</v>
      </c>
    </row>
    <row r="2636" spans="1:16" hidden="1">
      <c r="A2636" s="2">
        <v>202006</v>
      </c>
      <c r="B2636" s="3">
        <v>43983</v>
      </c>
      <c r="C2636" s="2" t="s">
        <v>2262</v>
      </c>
      <c r="D2636" s="2" t="s">
        <v>900</v>
      </c>
      <c r="E2636" s="2">
        <v>78</v>
      </c>
      <c r="F2636" s="2" t="e">
        <f>IF(Table2[[#This Row],[Manual Cat Value]]="",VLOOKUP(Table2[[#This Row],[Description]],'Actuals Lookup'!D:F,3,0),Table2[[#This Row],[Manual Cat Value]])</f>
        <v>#N/A</v>
      </c>
      <c r="J2636" s="2">
        <v>78</v>
      </c>
      <c r="K2636" s="2" t="b">
        <v>0</v>
      </c>
      <c r="L2636" s="2"/>
      <c r="M2636" s="2"/>
      <c r="N2636" s="4" t="s">
        <v>2259</v>
      </c>
      <c r="O2636" s="4" t="str">
        <f>LEFT(Table2[[#This Row],[Description]],75)</f>
        <v>GOLDEN EAGLE GOLF CLUB FIFTY LAKES MN 314866779</v>
      </c>
      <c r="P2636" s="2" t="s">
        <v>2281</v>
      </c>
    </row>
    <row r="2637" spans="1:16" hidden="1">
      <c r="A2637" s="2">
        <v>202006</v>
      </c>
      <c r="B2637" s="3">
        <v>43983</v>
      </c>
      <c r="C2637" s="2" t="s">
        <v>2317</v>
      </c>
      <c r="D2637" s="2" t="s">
        <v>978</v>
      </c>
      <c r="E2637" s="2">
        <v>-24.45</v>
      </c>
      <c r="F2637" s="2" t="e">
        <f>IF(Table2[[#This Row],[Manual Cat Value]]="",VLOOKUP(Table2[[#This Row],[Description]],'Actuals Lookup'!D:F,3,0),Table2[[#This Row],[Manual Cat Value]])</f>
        <v>#N/A</v>
      </c>
      <c r="J2637" s="2">
        <v>24.45</v>
      </c>
      <c r="K2637" s="2" t="b">
        <v>0</v>
      </c>
      <c r="L2637" s="2"/>
      <c r="M2637" s="2"/>
      <c r="N2637" s="4" t="s">
        <v>2273</v>
      </c>
      <c r="O2637" s="4" t="str">
        <f>LEFT(Table2[[#This Row],[Description]],75)</f>
        <v>INTEL CORP</v>
      </c>
      <c r="P2637" s="2" t="s">
        <v>2422</v>
      </c>
    </row>
    <row r="2638" spans="1:16" hidden="1">
      <c r="A2638" s="2">
        <v>202006</v>
      </c>
      <c r="B2638" s="3">
        <v>43983</v>
      </c>
      <c r="C2638" s="2" t="s">
        <v>2460</v>
      </c>
      <c r="D2638" s="2" t="s">
        <v>978</v>
      </c>
      <c r="E2638" s="2">
        <v>-24.45</v>
      </c>
      <c r="F2638" s="2" t="e">
        <f>IF(Table2[[#This Row],[Manual Cat Value]]="",VLOOKUP(Table2[[#This Row],[Description]],'Actuals Lookup'!D:F,3,0),Table2[[#This Row],[Manual Cat Value]])</f>
        <v>#N/A</v>
      </c>
      <c r="J2638" s="2">
        <v>24.45</v>
      </c>
      <c r="K2638" s="2" t="b">
        <v>0</v>
      </c>
      <c r="L2638" s="2"/>
      <c r="M2638" s="2"/>
      <c r="N2638" s="4" t="s">
        <v>2273</v>
      </c>
      <c r="O2638" s="4" t="str">
        <f>LEFT(Table2[[#This Row],[Description]],75)</f>
        <v>INTEL CORP</v>
      </c>
      <c r="P2638" s="2" t="s">
        <v>2422</v>
      </c>
    </row>
    <row r="2639" spans="1:16" hidden="1">
      <c r="A2639" s="2">
        <v>202006</v>
      </c>
      <c r="B2639" s="3">
        <v>43983</v>
      </c>
      <c r="C2639" s="2" t="s">
        <v>2262</v>
      </c>
      <c r="D2639" s="2" t="s">
        <v>1001</v>
      </c>
      <c r="E2639" s="2">
        <v>18.03</v>
      </c>
      <c r="F2639" s="2" t="e">
        <f>IF(Table2[[#This Row],[Manual Cat Value]]="",VLOOKUP(Table2[[#This Row],[Description]],'Actuals Lookup'!D:F,3,0),Table2[[#This Row],[Manual Cat Value]])</f>
        <v>#N/A</v>
      </c>
      <c r="J2639" s="2">
        <v>18.03</v>
      </c>
      <c r="K2639" s="2" t="b">
        <v>0</v>
      </c>
      <c r="L2639" s="2"/>
      <c r="M2639" s="2"/>
      <c r="N2639" s="4" t="s">
        <v>2259</v>
      </c>
      <c r="O2639" s="4" t="str">
        <f>LEFT(Table2[[#This Row],[Description]],75)</f>
        <v>Iron Ranger</v>
      </c>
      <c r="P2639" s="2" t="s">
        <v>2281</v>
      </c>
    </row>
    <row r="2640" spans="1:16" hidden="1">
      <c r="A2640" s="2">
        <v>202006</v>
      </c>
      <c r="B2640" s="3">
        <v>43983</v>
      </c>
      <c r="C2640" s="2" t="s">
        <v>2265</v>
      </c>
      <c r="D2640" s="2" t="s">
        <v>1471</v>
      </c>
      <c r="E2640" s="2">
        <v>39.99</v>
      </c>
      <c r="F2640" s="2" t="str">
        <f>IF(Table2[[#This Row],[Manual Cat Value]]="",VLOOKUP(Table2[[#This Row],[Description]],'Actuals Lookup'!D:F,3,0),Table2[[#This Row],[Manual Cat Value]])</f>
        <v>Shopping</v>
      </c>
      <c r="J2640" s="2">
        <v>39.99</v>
      </c>
      <c r="K2640" s="2" t="b">
        <v>0</v>
      </c>
      <c r="L2640" s="2"/>
      <c r="M2640" s="2"/>
      <c r="N2640" s="4" t="s">
        <v>2259</v>
      </c>
      <c r="O2640" s="4" t="str">
        <f>LEFT(Table2[[#This Row],[Description]],75)</f>
        <v>PayPal</v>
      </c>
      <c r="P2640" s="2" t="s">
        <v>2322</v>
      </c>
    </row>
    <row r="2641" spans="1:16" hidden="1">
      <c r="A2641" s="2">
        <v>202006</v>
      </c>
      <c r="B2641" s="3">
        <v>43983</v>
      </c>
      <c r="C2641" s="2" t="s">
        <v>2265</v>
      </c>
      <c r="D2641" s="2" t="s">
        <v>1471</v>
      </c>
      <c r="E2641" s="2">
        <v>128.63999999999999</v>
      </c>
      <c r="F2641" s="2" t="str">
        <f>IF(Table2[[#This Row],[Manual Cat Value]]="",VLOOKUP(Table2[[#This Row],[Description]],'Actuals Lookup'!D:F,3,0),Table2[[#This Row],[Manual Cat Value]])</f>
        <v>Shopping</v>
      </c>
      <c r="J2641" s="2">
        <v>128.63999999999999</v>
      </c>
      <c r="K2641" s="2" t="b">
        <v>0</v>
      </c>
      <c r="L2641" s="2"/>
      <c r="M2641" s="2"/>
      <c r="N2641" s="4" t="s">
        <v>2259</v>
      </c>
      <c r="O2641" s="4" t="str">
        <f>LEFT(Table2[[#This Row],[Description]],75)</f>
        <v>PayPal</v>
      </c>
      <c r="P2641" s="2" t="s">
        <v>2322</v>
      </c>
    </row>
    <row r="2642" spans="1:16" hidden="1">
      <c r="A2642" s="2">
        <v>202006</v>
      </c>
      <c r="B2642" s="3">
        <v>43983</v>
      </c>
      <c r="C2642" s="2" t="s">
        <v>2262</v>
      </c>
      <c r="D2642" s="2" t="s">
        <v>1603</v>
      </c>
      <c r="E2642" s="2">
        <v>57.39</v>
      </c>
      <c r="F2642" s="2" t="e">
        <f>IF(Table2[[#This Row],[Manual Cat Value]]="",VLOOKUP(Table2[[#This Row],[Description]],'Actuals Lookup'!D:F,3,0),Table2[[#This Row],[Manual Cat Value]])</f>
        <v>#N/A</v>
      </c>
      <c r="J2642" s="2">
        <v>57.39</v>
      </c>
      <c r="K2642" s="2" t="b">
        <v>0</v>
      </c>
      <c r="L2642" s="2"/>
      <c r="M2642" s="2"/>
      <c r="N2642" s="4" t="s">
        <v>2259</v>
      </c>
      <c r="O2642" s="4" t="str">
        <f>LEFT(Table2[[#This Row],[Description]],75)</f>
        <v>Roulette's Pizza</v>
      </c>
      <c r="P2642" s="2" t="s">
        <v>2281</v>
      </c>
    </row>
    <row r="2643" spans="1:16" hidden="1">
      <c r="A2643" s="2">
        <v>202006</v>
      </c>
      <c r="B2643" s="3">
        <v>43983</v>
      </c>
      <c r="C2643" s="2" t="s">
        <v>2265</v>
      </c>
      <c r="D2643" s="2" t="s">
        <v>1888</v>
      </c>
      <c r="E2643" s="2">
        <v>618.65</v>
      </c>
      <c r="F2643" s="2" t="e">
        <f>IF(Table2[[#This Row],[Manual Cat Value]]="",VLOOKUP(Table2[[#This Row],[Description]],'Actuals Lookup'!D:F,3,0),Table2[[#This Row],[Manual Cat Value]])</f>
        <v>#N/A</v>
      </c>
      <c r="J2643" s="2">
        <v>618.65</v>
      </c>
      <c r="K2643" s="2" t="b">
        <v>0</v>
      </c>
      <c r="L2643" s="2"/>
      <c r="M2643" s="2"/>
      <c r="N2643" s="4" t="s">
        <v>2259</v>
      </c>
      <c r="O2643" s="4" t="str">
        <f>LEFT(Table2[[#This Row],[Description]],75)</f>
        <v>To Loan 02 314589475</v>
      </c>
      <c r="P2643" s="2" t="s">
        <v>2316</v>
      </c>
    </row>
    <row r="2644" spans="1:16" hidden="1">
      <c r="A2644" s="2">
        <v>202006</v>
      </c>
      <c r="B2644" s="3">
        <v>43983</v>
      </c>
      <c r="C2644" s="2" t="s">
        <v>2265</v>
      </c>
      <c r="D2644" s="2" t="s">
        <v>2109</v>
      </c>
      <c r="E2644" s="2">
        <v>100</v>
      </c>
      <c r="F2644" s="2" t="str">
        <f>IF(Table2[[#This Row],[Manual Cat Value]]="",VLOOKUP(Table2[[#This Row],[Description]],'Actuals Lookup'!D:F,3,0),Table2[[#This Row],[Manual Cat Value]])</f>
        <v>Shopping</v>
      </c>
      <c r="J2644" s="2">
        <v>100</v>
      </c>
      <c r="K2644" s="2" t="b">
        <v>0</v>
      </c>
      <c r="L2644" s="2"/>
      <c r="M2644" s="2"/>
      <c r="N2644" s="4" t="s">
        <v>2259</v>
      </c>
      <c r="O2644" s="4" t="str">
        <f>LEFT(Table2[[#This Row],[Description]],75)</f>
        <v>Venmo</v>
      </c>
      <c r="P2644" s="2" t="s">
        <v>2281</v>
      </c>
    </row>
    <row r="2645" spans="1:16" hidden="1">
      <c r="A2645" s="2">
        <v>202006</v>
      </c>
      <c r="B2645" s="3">
        <v>43984</v>
      </c>
      <c r="C2645" s="2" t="s">
        <v>2447</v>
      </c>
      <c r="D2645" s="2" t="s">
        <v>38</v>
      </c>
      <c r="E2645" s="2">
        <v>7.99</v>
      </c>
      <c r="F2645" s="2" t="str">
        <f>IF(Table2[[#This Row],[Manual Cat Value]]="",VLOOKUP(Table2[[#This Row],[Description]],'Actuals Lookup'!D:F,3,0),Table2[[#This Row],[Manual Cat Value]])</f>
        <v>Amazon</v>
      </c>
      <c r="J2645" s="2">
        <v>7.99</v>
      </c>
      <c r="K2645" s="2" t="b">
        <v>0</v>
      </c>
      <c r="L2645" s="2"/>
      <c r="M2645" s="2"/>
      <c r="N2645" s="4" t="s">
        <v>2259</v>
      </c>
      <c r="O2645" s="4" t="str">
        <f>LEFT(Table2[[#This Row],[Description]],75)</f>
        <v>Amazon</v>
      </c>
      <c r="P2645" s="2" t="s">
        <v>2260</v>
      </c>
    </row>
    <row r="2646" spans="1:16" hidden="1">
      <c r="A2646" s="2">
        <v>202006</v>
      </c>
      <c r="B2646" s="3">
        <v>43984</v>
      </c>
      <c r="C2646" s="2" t="s">
        <v>2258</v>
      </c>
      <c r="D2646" s="2" t="s">
        <v>38</v>
      </c>
      <c r="E2646" s="2">
        <v>7.99</v>
      </c>
      <c r="F2646" s="2" t="str">
        <f>IF(Table2[[#This Row],[Manual Cat Value]]="",VLOOKUP(Table2[[#This Row],[Description]],'Actuals Lookup'!D:F,3,0),Table2[[#This Row],[Manual Cat Value]])</f>
        <v>Amazon</v>
      </c>
      <c r="J2646" s="2">
        <v>7.99</v>
      </c>
      <c r="K2646" s="2" t="b">
        <v>0</v>
      </c>
      <c r="L2646" s="2"/>
      <c r="M2646" s="2"/>
      <c r="N2646" s="4" t="s">
        <v>2259</v>
      </c>
      <c r="O2646" s="4" t="str">
        <f>LEFT(Table2[[#This Row],[Description]],75)</f>
        <v>Amazon</v>
      </c>
      <c r="P2646" s="2" t="s">
        <v>2260</v>
      </c>
    </row>
    <row r="2647" spans="1:16" hidden="1">
      <c r="A2647" s="2">
        <v>202006</v>
      </c>
      <c r="B2647" s="3">
        <v>43984</v>
      </c>
      <c r="C2647" s="2" t="s">
        <v>2262</v>
      </c>
      <c r="D2647" s="2" t="s">
        <v>38</v>
      </c>
      <c r="E2647" s="2">
        <v>12.83</v>
      </c>
      <c r="F2647" s="2" t="str">
        <f>IF(Table2[[#This Row],[Manual Cat Value]]="",VLOOKUP(Table2[[#This Row],[Description]],'Actuals Lookup'!D:F,3,0),Table2[[#This Row],[Manual Cat Value]])</f>
        <v>Amazon</v>
      </c>
      <c r="J2647" s="2">
        <v>12.83</v>
      </c>
      <c r="K2647" s="2" t="b">
        <v>0</v>
      </c>
      <c r="L2647" s="2"/>
      <c r="M2647" s="2"/>
      <c r="N2647" s="4" t="s">
        <v>2259</v>
      </c>
      <c r="O2647" s="4" t="str">
        <f>LEFT(Table2[[#This Row],[Description]],75)</f>
        <v>Amazon</v>
      </c>
      <c r="P2647" s="2" t="s">
        <v>2260</v>
      </c>
    </row>
    <row r="2648" spans="1:16" hidden="1">
      <c r="A2648" s="2">
        <v>202006</v>
      </c>
      <c r="B2648" s="3">
        <v>43984</v>
      </c>
      <c r="C2648" s="2" t="s">
        <v>2262</v>
      </c>
      <c r="D2648" s="2" t="s">
        <v>38</v>
      </c>
      <c r="E2648" s="2">
        <v>26.07</v>
      </c>
      <c r="F2648" s="2" t="str">
        <f>IF(Table2[[#This Row],[Manual Cat Value]]="",VLOOKUP(Table2[[#This Row],[Description]],'Actuals Lookup'!D:F,3,0),Table2[[#This Row],[Manual Cat Value]])</f>
        <v>Amazon</v>
      </c>
      <c r="J2648" s="2">
        <v>26.07</v>
      </c>
      <c r="K2648" s="2" t="b">
        <v>0</v>
      </c>
      <c r="L2648" s="2"/>
      <c r="M2648" s="2"/>
      <c r="N2648" s="4" t="s">
        <v>2259</v>
      </c>
      <c r="O2648" s="4" t="str">
        <f>LEFT(Table2[[#This Row],[Description]],75)</f>
        <v>Amazon</v>
      </c>
      <c r="P2648" s="2" t="s">
        <v>2260</v>
      </c>
    </row>
    <row r="2649" spans="1:16" hidden="1">
      <c r="A2649" s="2">
        <v>202006</v>
      </c>
      <c r="B2649" s="3">
        <v>43984</v>
      </c>
      <c r="C2649" s="2" t="s">
        <v>2265</v>
      </c>
      <c r="D2649" s="2" t="s">
        <v>130</v>
      </c>
      <c r="E2649" s="2">
        <v>15</v>
      </c>
      <c r="F2649" s="2" t="str">
        <f>IF(Table2[[#This Row],[Manual Cat Value]]="",VLOOKUP(Table2[[#This Row],[Description]],'Actuals Lookup'!D:F,3,0),Table2[[#This Row],[Manual Cat Value]])</f>
        <v>Delete</v>
      </c>
      <c r="J2649" s="2">
        <v>15</v>
      </c>
      <c r="K2649" s="2" t="b">
        <v>0</v>
      </c>
      <c r="L2649" s="2"/>
      <c r="M2649" s="2"/>
      <c r="N2649" s="4" t="s">
        <v>2259</v>
      </c>
      <c r="O2649" s="4" t="str">
        <f>LEFT(Table2[[#This Row],[Description]],75)</f>
        <v>American Express</v>
      </c>
      <c r="P2649" s="2" t="s">
        <v>2281</v>
      </c>
    </row>
    <row r="2650" spans="1:16" hidden="1">
      <c r="A2650" s="2">
        <v>202006</v>
      </c>
      <c r="B2650" s="3">
        <v>43984</v>
      </c>
      <c r="C2650" s="2" t="s">
        <v>2317</v>
      </c>
      <c r="D2650" s="2" t="s">
        <v>978</v>
      </c>
      <c r="E2650" s="2">
        <v>24.45</v>
      </c>
      <c r="F2650" s="2" t="e">
        <f>IF(Table2[[#This Row],[Manual Cat Value]]="",VLOOKUP(Table2[[#This Row],[Description]],'Actuals Lookup'!D:F,3,0),Table2[[#This Row],[Manual Cat Value]])</f>
        <v>#N/A</v>
      </c>
      <c r="J2650" s="2">
        <v>24.45</v>
      </c>
      <c r="K2650" s="2" t="b">
        <v>0</v>
      </c>
      <c r="L2650" s="2"/>
      <c r="M2650" s="2"/>
      <c r="N2650" s="4" t="s">
        <v>2259</v>
      </c>
      <c r="O2650" s="4" t="str">
        <f>LEFT(Table2[[#This Row],[Description]],75)</f>
        <v>INTEL CORP</v>
      </c>
      <c r="P2650" s="2" t="s">
        <v>2422</v>
      </c>
    </row>
    <row r="2651" spans="1:16" hidden="1">
      <c r="A2651" s="2">
        <v>202006</v>
      </c>
      <c r="B2651" s="3">
        <v>43984</v>
      </c>
      <c r="C2651" s="2" t="s">
        <v>2460</v>
      </c>
      <c r="D2651" s="2" t="s">
        <v>978</v>
      </c>
      <c r="E2651" s="2">
        <v>24.45</v>
      </c>
      <c r="F2651" s="2" t="e">
        <f>IF(Table2[[#This Row],[Manual Cat Value]]="",VLOOKUP(Table2[[#This Row],[Description]],'Actuals Lookup'!D:F,3,0),Table2[[#This Row],[Manual Cat Value]])</f>
        <v>#N/A</v>
      </c>
      <c r="J2651" s="2">
        <v>24.45</v>
      </c>
      <c r="K2651" s="2" t="b">
        <v>0</v>
      </c>
      <c r="L2651" s="2"/>
      <c r="M2651" s="2"/>
      <c r="N2651" s="4" t="s">
        <v>2259</v>
      </c>
      <c r="O2651" s="4" t="str">
        <f>LEFT(Table2[[#This Row],[Description]],75)</f>
        <v>INTEL CORP</v>
      </c>
      <c r="P2651" s="2" t="s">
        <v>2422</v>
      </c>
    </row>
    <row r="2652" spans="1:16" hidden="1">
      <c r="A2652" s="2">
        <v>202006</v>
      </c>
      <c r="B2652" s="3">
        <v>43984</v>
      </c>
      <c r="C2652" s="2" t="s">
        <v>2262</v>
      </c>
      <c r="D2652" s="2" t="s">
        <v>1083</v>
      </c>
      <c r="E2652" s="2">
        <v>22.65</v>
      </c>
      <c r="F2652" s="2" t="str">
        <f>IF(Table2[[#This Row],[Manual Cat Value]]="",VLOOKUP(Table2[[#This Row],[Description]],'Actuals Lookup'!D:F,3,0),Table2[[#This Row],[Manual Cat Value]])</f>
        <v>Transportation</v>
      </c>
      <c r="J2652" s="2">
        <v>22.65</v>
      </c>
      <c r="K2652" s="2" t="b">
        <v>0</v>
      </c>
      <c r="L2652" s="2"/>
      <c r="M2652" s="2"/>
      <c r="N2652" s="4" t="s">
        <v>2259</v>
      </c>
      <c r="O2652" s="4" t="str">
        <f>LEFT(Table2[[#This Row],[Description]],75)</f>
        <v>Kwik Trip</v>
      </c>
      <c r="P2652" s="2" t="s">
        <v>2281</v>
      </c>
    </row>
    <row r="2653" spans="1:16" hidden="1">
      <c r="A2653" s="2">
        <v>202006</v>
      </c>
      <c r="B2653" s="3">
        <v>43984</v>
      </c>
      <c r="C2653" s="2" t="s">
        <v>2262</v>
      </c>
      <c r="D2653" s="2" t="s">
        <v>1158</v>
      </c>
      <c r="E2653" s="2">
        <v>206</v>
      </c>
      <c r="F2653" s="2" t="e">
        <f>IF(Table2[[#This Row],[Manual Cat Value]]="",VLOOKUP(Table2[[#This Row],[Description]],'Actuals Lookup'!D:F,3,0),Table2[[#This Row],[Manual Cat Value]])</f>
        <v>#N/A</v>
      </c>
      <c r="J2653" s="2">
        <v>206</v>
      </c>
      <c r="K2653" s="2" t="b">
        <v>0</v>
      </c>
      <c r="L2653" s="2"/>
      <c r="M2653" s="2"/>
      <c r="N2653" s="4" t="s">
        <v>2259</v>
      </c>
      <c r="O2653" s="4" t="str">
        <f>LEFT(Table2[[#This Row],[Description]],75)</f>
        <v>Lululemon</v>
      </c>
      <c r="P2653" s="2" t="s">
        <v>2287</v>
      </c>
    </row>
    <row r="2654" spans="1:16" hidden="1">
      <c r="A2654" s="2">
        <v>202006</v>
      </c>
      <c r="B2654" s="3">
        <v>43984</v>
      </c>
      <c r="C2654" s="2" t="s">
        <v>2265</v>
      </c>
      <c r="D2654" s="2" t="s">
        <v>2109</v>
      </c>
      <c r="E2654" s="2">
        <v>200</v>
      </c>
      <c r="F2654" s="2" t="str">
        <f>IF(Table2[[#This Row],[Manual Cat Value]]="",VLOOKUP(Table2[[#This Row],[Description]],'Actuals Lookup'!D:F,3,0),Table2[[#This Row],[Manual Cat Value]])</f>
        <v>Shopping</v>
      </c>
      <c r="J2654" s="2">
        <v>200</v>
      </c>
      <c r="K2654" s="2" t="b">
        <v>0</v>
      </c>
      <c r="L2654" s="2"/>
      <c r="M2654" s="2"/>
      <c r="N2654" s="4" t="s">
        <v>2259</v>
      </c>
      <c r="O2654" s="4" t="str">
        <f>LEFT(Table2[[#This Row],[Description]],75)</f>
        <v>Venmo</v>
      </c>
      <c r="P2654" s="2" t="s">
        <v>2281</v>
      </c>
    </row>
    <row r="2655" spans="1:16" hidden="1">
      <c r="A2655" s="2">
        <v>202006</v>
      </c>
      <c r="B2655" s="3">
        <v>43984</v>
      </c>
      <c r="C2655" s="2" t="s">
        <v>2317</v>
      </c>
      <c r="D2655" s="2" t="s">
        <v>2130</v>
      </c>
      <c r="E2655" s="2">
        <v>-23.68</v>
      </c>
      <c r="F2655" s="2" t="e">
        <f>IF(Table2[[#This Row],[Manual Cat Value]]="",VLOOKUP(Table2[[#This Row],[Description]],'Actuals Lookup'!D:F,3,0),Table2[[#This Row],[Manual Cat Value]])</f>
        <v>#N/A</v>
      </c>
      <c r="J2655" s="2">
        <v>23.68</v>
      </c>
      <c r="K2655" s="2" t="b">
        <v>0</v>
      </c>
      <c r="L2655" s="2"/>
      <c r="M2655" s="2"/>
      <c r="N2655" s="4" t="s">
        <v>2273</v>
      </c>
      <c r="O2655" s="4" t="str">
        <f>LEFT(Table2[[#This Row],[Description]],75)</f>
        <v>VISA INC CLASS A</v>
      </c>
      <c r="P2655" s="2" t="s">
        <v>2423</v>
      </c>
    </row>
    <row r="2656" spans="1:16" hidden="1">
      <c r="A2656" s="2">
        <v>202006</v>
      </c>
      <c r="B2656" s="3">
        <v>43984</v>
      </c>
      <c r="C2656" s="2" t="s">
        <v>2460</v>
      </c>
      <c r="D2656" s="2" t="s">
        <v>2130</v>
      </c>
      <c r="E2656" s="2">
        <v>-23.68</v>
      </c>
      <c r="F2656" s="2" t="e">
        <f>IF(Table2[[#This Row],[Manual Cat Value]]="",VLOOKUP(Table2[[#This Row],[Description]],'Actuals Lookup'!D:F,3,0),Table2[[#This Row],[Manual Cat Value]])</f>
        <v>#N/A</v>
      </c>
      <c r="J2656" s="2">
        <v>23.68</v>
      </c>
      <c r="K2656" s="2" t="b">
        <v>0</v>
      </c>
      <c r="L2656" s="2"/>
      <c r="M2656" s="2"/>
      <c r="N2656" s="4" t="s">
        <v>2273</v>
      </c>
      <c r="O2656" s="4" t="str">
        <f>LEFT(Table2[[#This Row],[Description]],75)</f>
        <v>VISA INC CLASS A</v>
      </c>
      <c r="P2656" s="2" t="s">
        <v>2423</v>
      </c>
    </row>
    <row r="2657" spans="1:16" hidden="1">
      <c r="A2657" s="2">
        <v>202006</v>
      </c>
      <c r="B2657" s="3">
        <v>43985</v>
      </c>
      <c r="C2657" s="2" t="s">
        <v>2317</v>
      </c>
      <c r="D2657" s="2" t="s">
        <v>2130</v>
      </c>
      <c r="E2657" s="2">
        <v>23.68</v>
      </c>
      <c r="F2657" s="2" t="e">
        <f>IF(Table2[[#This Row],[Manual Cat Value]]="",VLOOKUP(Table2[[#This Row],[Description]],'Actuals Lookup'!D:F,3,0),Table2[[#This Row],[Manual Cat Value]])</f>
        <v>#N/A</v>
      </c>
      <c r="J2657" s="2">
        <v>23.68</v>
      </c>
      <c r="K2657" s="2" t="b">
        <v>0</v>
      </c>
      <c r="L2657" s="2"/>
      <c r="M2657" s="2"/>
      <c r="N2657" s="4" t="s">
        <v>2259</v>
      </c>
      <c r="O2657" s="4" t="str">
        <f>LEFT(Table2[[#This Row],[Description]],75)</f>
        <v>VISA INC CLASS A</v>
      </c>
      <c r="P2657" s="2" t="s">
        <v>2423</v>
      </c>
    </row>
    <row r="2658" spans="1:16" hidden="1">
      <c r="A2658" s="2">
        <v>202006</v>
      </c>
      <c r="B2658" s="3">
        <v>43985</v>
      </c>
      <c r="C2658" s="2" t="s">
        <v>2460</v>
      </c>
      <c r="D2658" s="2" t="s">
        <v>2130</v>
      </c>
      <c r="E2658" s="2">
        <v>23.68</v>
      </c>
      <c r="F2658" s="2" t="e">
        <f>IF(Table2[[#This Row],[Manual Cat Value]]="",VLOOKUP(Table2[[#This Row],[Description]],'Actuals Lookup'!D:F,3,0),Table2[[#This Row],[Manual Cat Value]])</f>
        <v>#N/A</v>
      </c>
      <c r="J2658" s="2">
        <v>23.68</v>
      </c>
      <c r="K2658" s="2" t="b">
        <v>0</v>
      </c>
      <c r="L2658" s="2"/>
      <c r="M2658" s="2"/>
      <c r="N2658" s="4" t="s">
        <v>2259</v>
      </c>
      <c r="O2658" s="4" t="str">
        <f>LEFT(Table2[[#This Row],[Description]],75)</f>
        <v>VISA INC CLASS A</v>
      </c>
      <c r="P2658" s="2" t="s">
        <v>2423</v>
      </c>
    </row>
    <row r="2659" spans="1:16" hidden="1">
      <c r="A2659" s="2">
        <v>202006</v>
      </c>
      <c r="B2659" s="3">
        <v>43986</v>
      </c>
      <c r="C2659" s="2" t="s">
        <v>2270</v>
      </c>
      <c r="D2659" s="2" t="s">
        <v>1421</v>
      </c>
      <c r="E2659" s="2">
        <v>-555.34</v>
      </c>
      <c r="F2659" s="2" t="e">
        <f>IF(Table2[[#This Row],[Manual Cat Value]]="",VLOOKUP(Table2[[#This Row],[Description]],'Actuals Lookup'!D:F,3,0),Table2[[#This Row],[Manual Cat Value]])</f>
        <v>#N/A</v>
      </c>
      <c r="J2659" s="2">
        <v>555.34</v>
      </c>
      <c r="K2659" s="2" t="b">
        <v>0</v>
      </c>
      <c r="L2659" s="2"/>
      <c r="M2659" s="2"/>
      <c r="N2659" s="4" t="s">
        <v>2273</v>
      </c>
      <c r="O2659" s="4" t="str">
        <f>LEFT(Table2[[#This Row],[Description]],75)</f>
        <v>PAYMENT 316248098</v>
      </c>
      <c r="P2659" s="2" t="s">
        <v>2281</v>
      </c>
    </row>
    <row r="2660" spans="1:16" hidden="1">
      <c r="A2660" s="2">
        <v>202103</v>
      </c>
      <c r="B2660" s="3">
        <v>44256</v>
      </c>
      <c r="C2660" s="2" t="s">
        <v>2265</v>
      </c>
      <c r="D2660" s="2" t="s">
        <v>271</v>
      </c>
      <c r="E2660" s="2">
        <v>2832.55</v>
      </c>
      <c r="F2660" s="2" t="e">
        <f>IF(Table2[[#This Row],[Manual Cat Value]]="",VLOOKUP(Table2[[#This Row],[Description]],'Actuals Lookup'!D:F,3,0),Table2[[#This Row],[Manual Cat Value]])</f>
        <v>#N/A</v>
      </c>
      <c r="J2660" s="2">
        <v>2832.55</v>
      </c>
      <c r="K2660" s="2" t="b">
        <v>0</v>
      </c>
      <c r="L2660" s="2"/>
      <c r="M2660" s="2"/>
      <c r="N2660" s="4" t="s">
        <v>2259</v>
      </c>
      <c r="O2660" s="4" t="str">
        <f>LEFT(Table2[[#This Row],[Description]],75)</f>
        <v>BCU MORTGAGE TYPE LOAN PAYMT ID 9DRAFTING CO BCU MORTGAGE ACH ECC WEB ACH T</v>
      </c>
      <c r="P2660" s="2" t="s">
        <v>2345</v>
      </c>
    </row>
    <row r="2661" spans="1:16" hidden="1">
      <c r="A2661" s="2">
        <v>202006</v>
      </c>
      <c r="B2661" s="3">
        <v>43986</v>
      </c>
      <c r="C2661" s="2" t="s">
        <v>2262</v>
      </c>
      <c r="D2661" s="2" t="s">
        <v>38</v>
      </c>
      <c r="E2661" s="2">
        <v>19.32</v>
      </c>
      <c r="F2661" s="2" t="str">
        <f>IF(Table2[[#This Row],[Manual Cat Value]]="",VLOOKUP(Table2[[#This Row],[Description]],'Actuals Lookup'!D:F,3,0),Table2[[#This Row],[Manual Cat Value]])</f>
        <v>Amazon</v>
      </c>
      <c r="J2661" s="2">
        <v>19.32</v>
      </c>
      <c r="K2661" s="2" t="b">
        <v>0</v>
      </c>
      <c r="L2661" s="2"/>
      <c r="M2661" s="2"/>
      <c r="N2661" s="4" t="s">
        <v>2259</v>
      </c>
      <c r="O2661" s="4" t="str">
        <f>LEFT(Table2[[#This Row],[Description]],75)</f>
        <v>Amazon</v>
      </c>
      <c r="P2661" s="2" t="s">
        <v>2260</v>
      </c>
    </row>
    <row r="2662" spans="1:16" hidden="1">
      <c r="A2662" s="2">
        <v>202006</v>
      </c>
      <c r="B2662" s="3">
        <v>43986</v>
      </c>
      <c r="C2662" s="2" t="s">
        <v>2338</v>
      </c>
      <c r="D2662" s="2" t="s">
        <v>402</v>
      </c>
      <c r="E2662" s="2">
        <v>-9.1</v>
      </c>
      <c r="F2662" s="2" t="e">
        <f>IF(Table2[[#This Row],[Manual Cat Value]]="",VLOOKUP(Table2[[#This Row],[Description]],'Actuals Lookup'!D:F,3,0),Table2[[#This Row],[Manual Cat Value]])</f>
        <v>#N/A</v>
      </c>
      <c r="J2662" s="2">
        <v>9.1</v>
      </c>
      <c r="K2662" s="2" t="b">
        <v>0</v>
      </c>
      <c r="L2662" s="2"/>
      <c r="M2662" s="2"/>
      <c r="N2662" s="4" t="s">
        <v>2273</v>
      </c>
      <c r="O2662" s="4" t="str">
        <f>LEFT(Table2[[#This Row],[Description]],75)</f>
        <v>Cargill ESOP Stock Fund - Dividends Transferred In</v>
      </c>
      <c r="P2662" s="2" t="s">
        <v>2281</v>
      </c>
    </row>
    <row r="2663" spans="1:16" hidden="1">
      <c r="A2663" s="2">
        <v>202006</v>
      </c>
      <c r="B2663" s="3">
        <v>43986</v>
      </c>
      <c r="C2663" s="2" t="s">
        <v>2265</v>
      </c>
      <c r="D2663" s="2" t="s">
        <v>425</v>
      </c>
      <c r="E2663" s="2">
        <v>-225</v>
      </c>
      <c r="F2663" s="2" t="e">
        <f>IF(Table2[[#This Row],[Manual Cat Value]]="",VLOOKUP(Table2[[#This Row],[Description]],'Actuals Lookup'!D:F,3,0),Table2[[#This Row],[Manual Cat Value]])</f>
        <v>#N/A</v>
      </c>
      <c r="J2663" s="2">
        <v>225</v>
      </c>
      <c r="K2663" s="2" t="b">
        <v>0</v>
      </c>
      <c r="L2663" s="2"/>
      <c r="M2663" s="2"/>
      <c r="N2663" s="4" t="s">
        <v>2273</v>
      </c>
      <c r="O2663" s="4" t="str">
        <f>LEFT(Table2[[#This Row],[Description]],75)</f>
        <v>Cargill Incorpor Type</v>
      </c>
      <c r="P2663" s="2" t="s">
        <v>2282</v>
      </c>
    </row>
    <row r="2664" spans="1:16" hidden="1">
      <c r="A2664" s="2">
        <v>202006</v>
      </c>
      <c r="B2664" s="3">
        <v>43986</v>
      </c>
      <c r="C2664" s="2" t="s">
        <v>2338</v>
      </c>
      <c r="D2664" s="2" t="s">
        <v>439</v>
      </c>
      <c r="E2664" s="2">
        <v>-9.1</v>
      </c>
      <c r="F2664" s="2" t="e">
        <f>IF(Table2[[#This Row],[Manual Cat Value]]="",VLOOKUP(Table2[[#This Row],[Description]],'Actuals Lookup'!D:F,3,0),Table2[[#This Row],[Manual Cat Value]])</f>
        <v>#N/A</v>
      </c>
      <c r="J2664" s="2">
        <v>9.1</v>
      </c>
      <c r="K2664" s="2" t="b">
        <v>0</v>
      </c>
      <c r="L2664" s="2"/>
      <c r="M2664" s="2"/>
      <c r="N2664" s="4" t="s">
        <v>2273</v>
      </c>
      <c r="O2664" s="4" t="str">
        <f>LEFT(Table2[[#This Row],[Description]],75)</f>
        <v>Cargill Passthru Div - Dividends on Equity Investments</v>
      </c>
      <c r="P2664" s="2" t="s">
        <v>2281</v>
      </c>
    </row>
    <row r="2665" spans="1:16" hidden="1">
      <c r="A2665" s="2">
        <v>202006</v>
      </c>
      <c r="B2665" s="3">
        <v>43986</v>
      </c>
      <c r="C2665" s="2" t="s">
        <v>2338</v>
      </c>
      <c r="D2665" s="2" t="s">
        <v>440</v>
      </c>
      <c r="E2665" s="2">
        <v>-9.1</v>
      </c>
      <c r="F2665" s="2" t="e">
        <f>IF(Table2[[#This Row],[Manual Cat Value]]="",VLOOKUP(Table2[[#This Row],[Description]],'Actuals Lookup'!D:F,3,0),Table2[[#This Row],[Manual Cat Value]])</f>
        <v>#N/A</v>
      </c>
      <c r="J2665" s="2">
        <v>9.1</v>
      </c>
      <c r="K2665" s="2" t="b">
        <v>0</v>
      </c>
      <c r="L2665" s="2"/>
      <c r="M2665" s="2"/>
      <c r="N2665" s="4" t="s">
        <v>2273</v>
      </c>
      <c r="O2665" s="4" t="str">
        <f>LEFT(Table2[[#This Row],[Description]],75)</f>
        <v>Cargill Passthru Div - Dividends Transferred Out</v>
      </c>
      <c r="P2665" s="2" t="s">
        <v>2281</v>
      </c>
    </row>
    <row r="2666" spans="1:16" hidden="1">
      <c r="A2666" s="2">
        <v>202006</v>
      </c>
      <c r="B2666" s="3">
        <v>43986</v>
      </c>
      <c r="C2666" s="2" t="s">
        <v>2274</v>
      </c>
      <c r="D2666" s="2" t="s">
        <v>534</v>
      </c>
      <c r="E2666" s="2">
        <v>16</v>
      </c>
      <c r="F2666" s="2" t="e">
        <f>IF(Table2[[#This Row],[Manual Cat Value]]="",VLOOKUP(Table2[[#This Row],[Description]],'Actuals Lookup'!D:F,3,0),Table2[[#This Row],[Manual Cat Value]])</f>
        <v>#N/A</v>
      </c>
      <c r="J2666" s="2">
        <v>16</v>
      </c>
      <c r="K2666" s="2" t="b">
        <v>0</v>
      </c>
      <c r="L2666" s="2"/>
      <c r="M2666" s="2"/>
      <c r="N2666" s="4" t="s">
        <v>2259</v>
      </c>
      <c r="O2666" s="4" t="str">
        <f>LEFT(Table2[[#This Row],[Description]],75)</f>
        <v>Check Paid #1139</v>
      </c>
      <c r="P2666" s="2" t="s">
        <v>2281</v>
      </c>
    </row>
    <row r="2667" spans="1:16" hidden="1">
      <c r="A2667" s="2">
        <v>202006</v>
      </c>
      <c r="B2667" s="3">
        <v>43986</v>
      </c>
      <c r="C2667" s="2" t="s">
        <v>2265</v>
      </c>
      <c r="D2667" s="2" t="s">
        <v>637</v>
      </c>
      <c r="E2667" s="2">
        <v>-141.19999999999999</v>
      </c>
      <c r="F2667" s="2" t="e">
        <f>IF(Table2[[#This Row],[Manual Cat Value]]="",VLOOKUP(Table2[[#This Row],[Description]],'Actuals Lookup'!D:F,3,0),Table2[[#This Row],[Manual Cat Value]])</f>
        <v>#N/A</v>
      </c>
      <c r="J2667" s="2">
        <v>141.19999999999999</v>
      </c>
      <c r="K2667" s="2" t="b">
        <v>0</v>
      </c>
      <c r="L2667" s="2"/>
      <c r="M2667" s="2"/>
      <c r="N2667" s="4" t="s">
        <v>2273</v>
      </c>
      <c r="O2667" s="4" t="str">
        <f>LEFT(Table2[[#This Row],[Description]],75)</f>
        <v>Connectyourcare Type Svbclaims</v>
      </c>
      <c r="P2667" s="2" t="s">
        <v>2281</v>
      </c>
    </row>
    <row r="2668" spans="1:16" hidden="1">
      <c r="A2668" s="2">
        <v>202006</v>
      </c>
      <c r="B2668" s="3">
        <v>43986</v>
      </c>
      <c r="C2668" s="2" t="s">
        <v>2262</v>
      </c>
      <c r="D2668" s="2" t="s">
        <v>1158</v>
      </c>
      <c r="E2668" s="2">
        <v>166</v>
      </c>
      <c r="F2668" s="2" t="e">
        <f>IF(Table2[[#This Row],[Manual Cat Value]]="",VLOOKUP(Table2[[#This Row],[Description]],'Actuals Lookup'!D:F,3,0),Table2[[#This Row],[Manual Cat Value]])</f>
        <v>#N/A</v>
      </c>
      <c r="J2668" s="2">
        <v>166</v>
      </c>
      <c r="K2668" s="2" t="b">
        <v>0</v>
      </c>
      <c r="L2668" s="2"/>
      <c r="M2668" s="2"/>
      <c r="N2668" s="4" t="s">
        <v>2259</v>
      </c>
      <c r="O2668" s="4" t="str">
        <f>LEFT(Table2[[#This Row],[Description]],75)</f>
        <v>Lululemon</v>
      </c>
      <c r="P2668" s="2" t="s">
        <v>2287</v>
      </c>
    </row>
    <row r="2669" spans="1:16" hidden="1">
      <c r="A2669" s="2">
        <v>202006</v>
      </c>
      <c r="B2669" s="3">
        <v>43986</v>
      </c>
      <c r="C2669" s="2" t="s">
        <v>2262</v>
      </c>
      <c r="D2669" s="2" t="s">
        <v>1595</v>
      </c>
      <c r="E2669" s="2">
        <v>4.45</v>
      </c>
      <c r="F2669" s="2" t="e">
        <f>IF(Table2[[#This Row],[Manual Cat Value]]="",VLOOKUP(Table2[[#This Row],[Description]],'Actuals Lookup'!D:F,3,0),Table2[[#This Row],[Manual Cat Value]])</f>
        <v>#N/A</v>
      </c>
      <c r="J2669" s="2">
        <v>4.45</v>
      </c>
      <c r="K2669" s="2" t="b">
        <v>0</v>
      </c>
      <c r="L2669" s="2"/>
      <c r="M2669" s="2"/>
      <c r="N2669" s="4" t="s">
        <v>2259</v>
      </c>
      <c r="O2669" s="4" t="str">
        <f>LEFT(Table2[[#This Row],[Description]],75)</f>
        <v>RIDGEVIEW MEDICAL CNTRCLWACONIA MN 315678412</v>
      </c>
      <c r="P2669" s="2" t="s">
        <v>2281</v>
      </c>
    </row>
    <row r="2670" spans="1:16" hidden="1">
      <c r="A2670" s="2">
        <v>202006</v>
      </c>
      <c r="B2670" s="3">
        <v>43986</v>
      </c>
      <c r="C2670" s="2" t="s">
        <v>2317</v>
      </c>
      <c r="D2670" s="2" t="s">
        <v>2108</v>
      </c>
      <c r="E2670" s="2">
        <v>-3.39</v>
      </c>
      <c r="F2670" s="2" t="e">
        <f>IF(Table2[[#This Row],[Manual Cat Value]]="",VLOOKUP(Table2[[#This Row],[Description]],'Actuals Lookup'!D:F,3,0),Table2[[#This Row],[Manual Cat Value]])</f>
        <v>#N/A</v>
      </c>
      <c r="J2670" s="2">
        <v>3.39</v>
      </c>
      <c r="K2670" s="2" t="b">
        <v>0</v>
      </c>
      <c r="L2670" s="2"/>
      <c r="M2670" s="2"/>
      <c r="N2670" s="4" t="s">
        <v>2273</v>
      </c>
      <c r="O2670" s="4" t="str">
        <f>LEFT(Table2[[#This Row],[Description]],75)</f>
        <v>VANGUARD INTRMDIAT TRM TRSRY ETF IV</v>
      </c>
      <c r="P2670" s="2" t="s">
        <v>2385</v>
      </c>
    </row>
    <row r="2671" spans="1:16" hidden="1">
      <c r="A2671" s="2">
        <v>202006</v>
      </c>
      <c r="B2671" s="3">
        <v>43986</v>
      </c>
      <c r="C2671" s="2" t="s">
        <v>2460</v>
      </c>
      <c r="D2671" s="2" t="s">
        <v>2108</v>
      </c>
      <c r="E2671" s="2">
        <v>-3.39</v>
      </c>
      <c r="F2671" s="2" t="e">
        <f>IF(Table2[[#This Row],[Manual Cat Value]]="",VLOOKUP(Table2[[#This Row],[Description]],'Actuals Lookup'!D:F,3,0),Table2[[#This Row],[Manual Cat Value]])</f>
        <v>#N/A</v>
      </c>
      <c r="J2671" s="2">
        <v>3.39</v>
      </c>
      <c r="K2671" s="2" t="b">
        <v>0</v>
      </c>
      <c r="L2671" s="2"/>
      <c r="M2671" s="2"/>
      <c r="N2671" s="4" t="s">
        <v>2273</v>
      </c>
      <c r="O2671" s="4" t="str">
        <f>LEFT(Table2[[#This Row],[Description]],75)</f>
        <v>VANGUARD INTRMDIAT TRM TRSRY ETF IV</v>
      </c>
      <c r="P2671" s="2" t="s">
        <v>2281</v>
      </c>
    </row>
    <row r="2672" spans="1:16" hidden="1">
      <c r="A2672" s="2">
        <v>202006</v>
      </c>
      <c r="B2672" s="3">
        <v>43986</v>
      </c>
      <c r="C2672" s="2" t="s">
        <v>2265</v>
      </c>
      <c r="D2672" s="2" t="s">
        <v>2109</v>
      </c>
      <c r="E2672" s="2">
        <v>5</v>
      </c>
      <c r="F2672" s="2" t="str">
        <f>IF(Table2[[#This Row],[Manual Cat Value]]="",VLOOKUP(Table2[[#This Row],[Description]],'Actuals Lookup'!D:F,3,0),Table2[[#This Row],[Manual Cat Value]])</f>
        <v>Shopping</v>
      </c>
      <c r="J2672" s="2">
        <v>5</v>
      </c>
      <c r="K2672" s="2" t="b">
        <v>0</v>
      </c>
      <c r="L2672" s="2"/>
      <c r="M2672" s="2"/>
      <c r="N2672" s="4" t="s">
        <v>2259</v>
      </c>
      <c r="O2672" s="4" t="str">
        <f>LEFT(Table2[[#This Row],[Description]],75)</f>
        <v>Venmo</v>
      </c>
      <c r="P2672" s="2" t="s">
        <v>2281</v>
      </c>
    </row>
    <row r="2673" spans="1:16" hidden="1">
      <c r="A2673" s="2">
        <v>202006</v>
      </c>
      <c r="B2673" s="3">
        <v>43987</v>
      </c>
      <c r="C2673" s="2" t="s">
        <v>2317</v>
      </c>
      <c r="D2673" s="2" t="s">
        <v>2108</v>
      </c>
      <c r="E2673" s="2">
        <v>3.39</v>
      </c>
      <c r="F2673" s="2" t="e">
        <f>IF(Table2[[#This Row],[Manual Cat Value]]="",VLOOKUP(Table2[[#This Row],[Description]],'Actuals Lookup'!D:F,3,0),Table2[[#This Row],[Manual Cat Value]])</f>
        <v>#N/A</v>
      </c>
      <c r="J2673" s="2">
        <v>3.39</v>
      </c>
      <c r="K2673" s="2" t="b">
        <v>0</v>
      </c>
      <c r="L2673" s="2"/>
      <c r="M2673" s="2"/>
      <c r="N2673" s="4" t="s">
        <v>2259</v>
      </c>
      <c r="O2673" s="4" t="str">
        <f>LEFT(Table2[[#This Row],[Description]],75)</f>
        <v>VANGUARD INTRMDIAT TRM TRSRY ETF IV</v>
      </c>
      <c r="P2673" s="2" t="s">
        <v>2385</v>
      </c>
    </row>
    <row r="2674" spans="1:16" hidden="1">
      <c r="A2674" s="2">
        <v>202006</v>
      </c>
      <c r="B2674" s="3">
        <v>43987</v>
      </c>
      <c r="C2674" s="2" t="s">
        <v>2460</v>
      </c>
      <c r="D2674" s="2" t="s">
        <v>2108</v>
      </c>
      <c r="E2674" s="2">
        <v>3.39</v>
      </c>
      <c r="F2674" s="2" t="e">
        <f>IF(Table2[[#This Row],[Manual Cat Value]]="",VLOOKUP(Table2[[#This Row],[Description]],'Actuals Lookup'!D:F,3,0),Table2[[#This Row],[Manual Cat Value]])</f>
        <v>#N/A</v>
      </c>
      <c r="J2674" s="2">
        <v>3.39</v>
      </c>
      <c r="K2674" s="2" t="b">
        <v>0</v>
      </c>
      <c r="L2674" s="2"/>
      <c r="M2674" s="2"/>
      <c r="N2674" s="4" t="s">
        <v>2259</v>
      </c>
      <c r="O2674" s="4" t="str">
        <f>LEFT(Table2[[#This Row],[Description]],75)</f>
        <v>VANGUARD INTRMDIAT TRM TRSRY ETF IV</v>
      </c>
      <c r="P2674" s="2" t="s">
        <v>2281</v>
      </c>
    </row>
    <row r="2675" spans="1:16" hidden="1">
      <c r="A2675" s="2">
        <v>202006</v>
      </c>
      <c r="B2675" s="3">
        <v>43989</v>
      </c>
      <c r="C2675" s="2" t="s">
        <v>2262</v>
      </c>
      <c r="D2675" s="2" t="s">
        <v>341</v>
      </c>
      <c r="E2675" s="2">
        <v>2.68</v>
      </c>
      <c r="F2675" s="2" t="e">
        <f>IF(Table2[[#This Row],[Manual Cat Value]]="",VLOOKUP(Table2[[#This Row],[Description]],'Actuals Lookup'!D:F,3,0),Table2[[#This Row],[Manual Cat Value]])</f>
        <v>#N/A</v>
      </c>
      <c r="J2675" s="2">
        <v>2.68</v>
      </c>
      <c r="K2675" s="2" t="b">
        <v>0</v>
      </c>
      <c r="L2675" s="2"/>
      <c r="M2675" s="2"/>
      <c r="N2675" s="4" t="s">
        <v>2259</v>
      </c>
      <c r="O2675" s="4" t="str">
        <f>LEFT(Table2[[#This Row],[Description]],75)</f>
        <v>Cabin Fever Sporting Goods, Inc.</v>
      </c>
      <c r="P2675" s="2" t="s">
        <v>2486</v>
      </c>
    </row>
    <row r="2676" spans="1:16" hidden="1">
      <c r="A2676" s="2">
        <v>202006</v>
      </c>
      <c r="B2676" s="3">
        <v>43989</v>
      </c>
      <c r="C2676" s="2" t="s">
        <v>2262</v>
      </c>
      <c r="D2676" s="2" t="s">
        <v>684</v>
      </c>
      <c r="E2676" s="2">
        <v>5.49</v>
      </c>
      <c r="F2676" s="2" t="str">
        <f>IF(Table2[[#This Row],[Manual Cat Value]]="",VLOOKUP(Table2[[#This Row],[Description]],'Actuals Lookup'!D:F,3,0),Table2[[#This Row],[Manual Cat Value]])</f>
        <v>Groceries</v>
      </c>
      <c r="J2676" s="2">
        <v>5.49</v>
      </c>
      <c r="K2676" s="2" t="b">
        <v>0</v>
      </c>
      <c r="L2676" s="2"/>
      <c r="M2676" s="2"/>
      <c r="N2676" s="4" t="s">
        <v>2259</v>
      </c>
      <c r="O2676" s="4" t="str">
        <f>LEFT(Table2[[#This Row],[Description]],75)</f>
        <v>Cub Foods</v>
      </c>
      <c r="P2676" s="2" t="s">
        <v>2370</v>
      </c>
    </row>
    <row r="2677" spans="1:16" hidden="1">
      <c r="A2677" s="2">
        <v>202006</v>
      </c>
      <c r="B2677" s="3">
        <v>43989</v>
      </c>
      <c r="C2677" s="2" t="s">
        <v>2262</v>
      </c>
      <c r="D2677" s="2" t="s">
        <v>1396</v>
      </c>
      <c r="E2677" s="2">
        <v>38</v>
      </c>
      <c r="F2677" s="2" t="str">
        <f>IF(Table2[[#This Row],[Manual Cat Value]]="",VLOOKUP(Table2[[#This Row],[Description]],'Actuals Lookup'!D:F,3,0),Table2[[#This Row],[Manual Cat Value]])</f>
        <v>Restaurants</v>
      </c>
      <c r="J2677" s="2">
        <v>38</v>
      </c>
      <c r="K2677" s="2" t="b">
        <v>0</v>
      </c>
      <c r="L2677" s="2"/>
      <c r="M2677" s="2"/>
      <c r="N2677" s="4" t="s">
        <v>2259</v>
      </c>
      <c r="O2677" s="4" t="str">
        <f>LEFT(Table2[[#This Row],[Description]],75)</f>
        <v>Papa Murphy's</v>
      </c>
      <c r="P2677" s="2" t="s">
        <v>2473</v>
      </c>
    </row>
    <row r="2678" spans="1:16" hidden="1">
      <c r="A2678" s="2">
        <v>202006</v>
      </c>
      <c r="B2678" s="3">
        <v>43989</v>
      </c>
      <c r="C2678" s="2" t="s">
        <v>2262</v>
      </c>
      <c r="D2678" s="2" t="s">
        <v>1407</v>
      </c>
      <c r="E2678" s="2">
        <v>36.61</v>
      </c>
      <c r="F2678" s="2" t="e">
        <f>IF(Table2[[#This Row],[Manual Cat Value]]="",VLOOKUP(Table2[[#This Row],[Description]],'Actuals Lookup'!D:F,3,0),Table2[[#This Row],[Manual Cat Value]])</f>
        <v>#N/A</v>
      </c>
      <c r="J2678" s="2">
        <v>36.61</v>
      </c>
      <c r="K2678" s="2" t="b">
        <v>0</v>
      </c>
      <c r="L2678" s="2"/>
      <c r="M2678" s="2"/>
      <c r="N2678" s="4" t="s">
        <v>2259</v>
      </c>
      <c r="O2678" s="4" t="str">
        <f>LEFT(Table2[[#This Row],[Description]],75)</f>
        <v>Party City</v>
      </c>
      <c r="P2678" s="2" t="s">
        <v>2378</v>
      </c>
    </row>
    <row r="2679" spans="1:16" hidden="1">
      <c r="A2679" s="2">
        <v>202006</v>
      </c>
      <c r="B2679" s="3">
        <v>43989</v>
      </c>
      <c r="C2679" s="2" t="s">
        <v>2262</v>
      </c>
      <c r="D2679" s="2" t="s">
        <v>1707</v>
      </c>
      <c r="E2679" s="2">
        <v>4.99</v>
      </c>
      <c r="F2679" s="2" t="str">
        <f>IF(Table2[[#This Row],[Manual Cat Value]]="",VLOOKUP(Table2[[#This Row],[Description]],'Actuals Lookup'!D:F,3,0),Table2[[#This Row],[Manual Cat Value]])</f>
        <v>Transportation</v>
      </c>
      <c r="J2679" s="2">
        <v>4.99</v>
      </c>
      <c r="K2679" s="2" t="b">
        <v>0</v>
      </c>
      <c r="L2679" s="2"/>
      <c r="M2679" s="2"/>
      <c r="N2679" s="4" t="s">
        <v>2259</v>
      </c>
      <c r="O2679" s="4" t="str">
        <f>LEFT(Table2[[#This Row],[Description]],75)</f>
        <v>Speedway</v>
      </c>
      <c r="P2679" s="2" t="s">
        <v>2381</v>
      </c>
    </row>
    <row r="2680" spans="1:16" hidden="1">
      <c r="A2680" s="2">
        <v>202006</v>
      </c>
      <c r="B2680" s="3">
        <v>43989</v>
      </c>
      <c r="C2680" s="2" t="s">
        <v>2262</v>
      </c>
      <c r="D2680" s="2" t="s">
        <v>2159</v>
      </c>
      <c r="E2680" s="2">
        <v>91.1</v>
      </c>
      <c r="F2680" s="2" t="e">
        <f>IF(Table2[[#This Row],[Manual Cat Value]]="",VLOOKUP(Table2[[#This Row],[Description]],'Actuals Lookup'!D:F,3,0),Table2[[#This Row],[Manual Cat Value]])</f>
        <v>#N/A</v>
      </c>
      <c r="J2680" s="2">
        <v>91.1</v>
      </c>
      <c r="K2680" s="2" t="b">
        <v>0</v>
      </c>
      <c r="L2680" s="2"/>
      <c r="M2680" s="2"/>
      <c r="N2680" s="4" t="s">
        <v>2259</v>
      </c>
      <c r="O2680" s="4" t="str">
        <f>LEFT(Table2[[#This Row],[Description]],75)</f>
        <v>Wine.com</v>
      </c>
      <c r="P2680" s="2" t="s">
        <v>2482</v>
      </c>
    </row>
    <row r="2681" spans="1:16" hidden="1">
      <c r="A2681" s="2">
        <v>202006</v>
      </c>
      <c r="B2681" s="3">
        <v>43990</v>
      </c>
      <c r="C2681" s="2" t="s">
        <v>2447</v>
      </c>
      <c r="D2681" s="2" t="s">
        <v>38</v>
      </c>
      <c r="E2681" s="2">
        <v>154.56</v>
      </c>
      <c r="F2681" s="2" t="str">
        <f>IF(Table2[[#This Row],[Manual Cat Value]]="",VLOOKUP(Table2[[#This Row],[Description]],'Actuals Lookup'!D:F,3,0),Table2[[#This Row],[Manual Cat Value]])</f>
        <v>Amazon</v>
      </c>
      <c r="J2681" s="2">
        <v>154.56</v>
      </c>
      <c r="K2681" s="2" t="b">
        <v>0</v>
      </c>
      <c r="L2681" s="2"/>
      <c r="M2681" s="2"/>
      <c r="N2681" s="4" t="s">
        <v>2259</v>
      </c>
      <c r="O2681" s="4" t="str">
        <f>LEFT(Table2[[#This Row],[Description]],75)</f>
        <v>Amazon</v>
      </c>
      <c r="P2681" s="2" t="s">
        <v>2260</v>
      </c>
    </row>
    <row r="2682" spans="1:16" hidden="1">
      <c r="A2682" s="2">
        <v>202006</v>
      </c>
      <c r="B2682" s="3">
        <v>43990</v>
      </c>
      <c r="C2682" s="2" t="s">
        <v>2258</v>
      </c>
      <c r="D2682" s="2" t="s">
        <v>38</v>
      </c>
      <c r="E2682" s="2">
        <v>154.56</v>
      </c>
      <c r="F2682" s="2" t="str">
        <f>IF(Table2[[#This Row],[Manual Cat Value]]="",VLOOKUP(Table2[[#This Row],[Description]],'Actuals Lookup'!D:F,3,0),Table2[[#This Row],[Manual Cat Value]])</f>
        <v>Amazon</v>
      </c>
      <c r="J2682" s="2">
        <v>154.56</v>
      </c>
      <c r="K2682" s="2" t="b">
        <v>0</v>
      </c>
      <c r="L2682" s="2"/>
      <c r="M2682" s="2"/>
      <c r="N2682" s="4" t="s">
        <v>2259</v>
      </c>
      <c r="O2682" s="4" t="str">
        <f>LEFT(Table2[[#This Row],[Description]],75)</f>
        <v>Amazon</v>
      </c>
      <c r="P2682" s="2" t="s">
        <v>2260</v>
      </c>
    </row>
    <row r="2683" spans="1:16" hidden="1">
      <c r="A2683" s="2">
        <v>202006</v>
      </c>
      <c r="B2683" s="3">
        <v>43990</v>
      </c>
      <c r="C2683" s="2" t="s">
        <v>2262</v>
      </c>
      <c r="D2683" s="2" t="s">
        <v>684</v>
      </c>
      <c r="E2683" s="2">
        <v>165.85</v>
      </c>
      <c r="F2683" s="2" t="str">
        <f>IF(Table2[[#This Row],[Manual Cat Value]]="",VLOOKUP(Table2[[#This Row],[Description]],'Actuals Lookup'!D:F,3,0),Table2[[#This Row],[Manual Cat Value]])</f>
        <v>Groceries</v>
      </c>
      <c r="J2683" s="2">
        <v>165.85</v>
      </c>
      <c r="K2683" s="2" t="b">
        <v>0</v>
      </c>
      <c r="L2683" s="2"/>
      <c r="M2683" s="2"/>
      <c r="N2683" s="4" t="s">
        <v>2259</v>
      </c>
      <c r="O2683" s="4" t="str">
        <f>LEFT(Table2[[#This Row],[Description]],75)</f>
        <v>Cub Foods</v>
      </c>
      <c r="P2683" s="2" t="s">
        <v>2370</v>
      </c>
    </row>
    <row r="2684" spans="1:16" hidden="1">
      <c r="A2684" s="2">
        <v>202006</v>
      </c>
      <c r="B2684" s="3">
        <v>43990</v>
      </c>
      <c r="C2684" s="2" t="s">
        <v>2262</v>
      </c>
      <c r="D2684" s="2" t="s">
        <v>1699</v>
      </c>
      <c r="E2684" s="2">
        <v>192.17</v>
      </c>
      <c r="F2684" s="2" t="e">
        <f>IF(Table2[[#This Row],[Manual Cat Value]]="",VLOOKUP(Table2[[#This Row],[Description]],'Actuals Lookup'!D:F,3,0),Table2[[#This Row],[Manual Cat Value]])</f>
        <v>#N/A</v>
      </c>
      <c r="J2684" s="2">
        <v>192.17</v>
      </c>
      <c r="K2684" s="2" t="b">
        <v>0</v>
      </c>
      <c r="L2684" s="2"/>
      <c r="M2684" s="2"/>
      <c r="N2684" s="4" t="s">
        <v>2259</v>
      </c>
      <c r="O2684" s="4" t="str">
        <f>LEFT(Table2[[#This Row],[Description]],75)</f>
        <v>SP SENDJOESKCBBQ SENDJOESBARBQKS 316529567</v>
      </c>
      <c r="P2684" s="2" t="s">
        <v>2281</v>
      </c>
    </row>
    <row r="2685" spans="1:16" hidden="1">
      <c r="A2685" s="2">
        <v>202006</v>
      </c>
      <c r="B2685" s="3">
        <v>43991</v>
      </c>
      <c r="C2685" s="2" t="s">
        <v>2262</v>
      </c>
      <c r="D2685" s="2" t="s">
        <v>1454</v>
      </c>
      <c r="E2685" s="2">
        <v>-1333.58</v>
      </c>
      <c r="F2685" s="2" t="e">
        <f>IF(Table2[[#This Row],[Manual Cat Value]]="",VLOOKUP(Table2[[#This Row],[Description]],'Actuals Lookup'!D:F,3,0),Table2[[#This Row],[Manual Cat Value]])</f>
        <v>#N/A</v>
      </c>
      <c r="J2685" s="2">
        <v>1333.58</v>
      </c>
      <c r="K2685" s="2" t="b">
        <v>0</v>
      </c>
      <c r="L2685" s="2"/>
      <c r="M2685" s="2"/>
      <c r="N2685" s="4" t="s">
        <v>2273</v>
      </c>
      <c r="O2685" s="4" t="str">
        <f>LEFT(Table2[[#This Row],[Description]],75)</f>
        <v>PAYMENT THANK YOU 317034628</v>
      </c>
      <c r="P2685" s="2" t="s">
        <v>2391</v>
      </c>
    </row>
    <row r="2686" spans="1:16" hidden="1">
      <c r="A2686" s="2">
        <v>202006</v>
      </c>
      <c r="B2686" s="3">
        <v>43991</v>
      </c>
      <c r="C2686" s="2" t="s">
        <v>2265</v>
      </c>
      <c r="D2686" s="2" t="s">
        <v>2199</v>
      </c>
      <c r="E2686" s="2">
        <v>1333.58</v>
      </c>
      <c r="F2686" s="2" t="e">
        <f>IF(Table2[[#This Row],[Manual Cat Value]]="",VLOOKUP(Table2[[#This Row],[Description]],'Actuals Lookup'!D:F,3,0),Table2[[#This Row],[Manual Cat Value]])</f>
        <v>#N/A</v>
      </c>
      <c r="J2686" s="2">
        <v>1333.58</v>
      </c>
      <c r="K2686" s="2" t="b">
        <v>0</v>
      </c>
      <c r="L2686" s="2"/>
      <c r="M2686" s="2"/>
      <c r="N2686" s="4" t="s">
        <v>2259</v>
      </c>
      <c r="O2686" s="4" t="str">
        <f>LEFT(Table2[[#This Row],[Description]],75)</f>
        <v>Withdrawal Home payment to card 979181 316598055</v>
      </c>
      <c r="P2686" s="2" t="s">
        <v>2349</v>
      </c>
    </row>
    <row r="2687" spans="1:16" hidden="1">
      <c r="A2687" s="2">
        <v>202006</v>
      </c>
      <c r="B2687" s="3">
        <v>43991</v>
      </c>
      <c r="C2687" s="2" t="s">
        <v>2265</v>
      </c>
      <c r="D2687" s="2" t="s">
        <v>1471</v>
      </c>
      <c r="E2687" s="2">
        <v>7.43</v>
      </c>
      <c r="F2687" s="2" t="str">
        <f>IF(Table2[[#This Row],[Manual Cat Value]]="",VLOOKUP(Table2[[#This Row],[Description]],'Actuals Lookup'!D:F,3,0),Table2[[#This Row],[Manual Cat Value]])</f>
        <v>Shopping</v>
      </c>
      <c r="J2687" s="2">
        <v>7.43</v>
      </c>
      <c r="K2687" s="2" t="b">
        <v>0</v>
      </c>
      <c r="L2687" s="2"/>
      <c r="M2687" s="2"/>
      <c r="N2687" s="4" t="s">
        <v>2259</v>
      </c>
      <c r="O2687" s="4" t="str">
        <f>LEFT(Table2[[#This Row],[Description]],75)</f>
        <v>PayPal</v>
      </c>
      <c r="P2687" s="2" t="s">
        <v>2322</v>
      </c>
    </row>
    <row r="2688" spans="1:16" hidden="1">
      <c r="A2688" s="2">
        <v>202006</v>
      </c>
      <c r="B2688" s="3">
        <v>43991</v>
      </c>
      <c r="C2688" s="2" t="s">
        <v>2317</v>
      </c>
      <c r="D2688" s="2" t="s">
        <v>1633</v>
      </c>
      <c r="E2688" s="2">
        <v>1000</v>
      </c>
      <c r="F2688" s="2" t="e">
        <f>IF(Table2[[#This Row],[Manual Cat Value]]="",VLOOKUP(Table2[[#This Row],[Description]],'Actuals Lookup'!D:F,3,0),Table2[[#This Row],[Manual Cat Value]])</f>
        <v>#N/A</v>
      </c>
      <c r="J2688" s="2">
        <v>1000</v>
      </c>
      <c r="K2688" s="2" t="b">
        <v>0</v>
      </c>
      <c r="L2688" s="2"/>
      <c r="M2688" s="2"/>
      <c r="N2688" s="4" t="s">
        <v>2259</v>
      </c>
      <c r="O2688" s="4" t="str">
        <f>LEFT(Table2[[#This Row],[Description]],75)</f>
        <v>SCHWAB S&amp;P 500 INDEX FD</v>
      </c>
      <c r="P2688" s="2" t="s">
        <v>2276</v>
      </c>
    </row>
    <row r="2689" spans="1:16" hidden="1">
      <c r="A2689" s="2">
        <v>202006</v>
      </c>
      <c r="B2689" s="3">
        <v>43991</v>
      </c>
      <c r="C2689" s="2" t="s">
        <v>2460</v>
      </c>
      <c r="D2689" s="2" t="s">
        <v>1633</v>
      </c>
      <c r="E2689" s="2">
        <v>1000</v>
      </c>
      <c r="F2689" s="2" t="e">
        <f>IF(Table2[[#This Row],[Manual Cat Value]]="",VLOOKUP(Table2[[#This Row],[Description]],'Actuals Lookup'!D:F,3,0),Table2[[#This Row],[Manual Cat Value]])</f>
        <v>#N/A</v>
      </c>
      <c r="J2689" s="2">
        <v>1000</v>
      </c>
      <c r="K2689" s="2" t="b">
        <v>0</v>
      </c>
      <c r="L2689" s="2"/>
      <c r="M2689" s="2"/>
      <c r="N2689" s="4" t="s">
        <v>2259</v>
      </c>
      <c r="O2689" s="4" t="str">
        <f>LEFT(Table2[[#This Row],[Description]],75)</f>
        <v>SCHWAB S&amp;P 500 INDEX FD</v>
      </c>
      <c r="P2689" s="2" t="s">
        <v>2276</v>
      </c>
    </row>
    <row r="2690" spans="1:16" hidden="1">
      <c r="A2690" s="2">
        <v>202006</v>
      </c>
      <c r="B2690" s="3">
        <v>43991</v>
      </c>
      <c r="C2690" s="2" t="s">
        <v>2265</v>
      </c>
      <c r="D2690" s="2" t="s">
        <v>2109</v>
      </c>
      <c r="E2690" s="2">
        <v>155</v>
      </c>
      <c r="F2690" s="2" t="str">
        <f>IF(Table2[[#This Row],[Manual Cat Value]]="",VLOOKUP(Table2[[#This Row],[Description]],'Actuals Lookup'!D:F,3,0),Table2[[#This Row],[Manual Cat Value]])</f>
        <v>Shopping</v>
      </c>
      <c r="J2690" s="2">
        <v>155</v>
      </c>
      <c r="K2690" s="2" t="b">
        <v>0</v>
      </c>
      <c r="L2690" s="2"/>
      <c r="M2690" s="2"/>
      <c r="N2690" s="4" t="s">
        <v>2259</v>
      </c>
      <c r="O2690" s="4" t="str">
        <f>LEFT(Table2[[#This Row],[Description]],75)</f>
        <v>Venmo</v>
      </c>
      <c r="P2690" s="2" t="s">
        <v>2281</v>
      </c>
    </row>
    <row r="2691" spans="1:16" hidden="1">
      <c r="A2691" s="2">
        <v>202006</v>
      </c>
      <c r="B2691" s="3">
        <v>43991</v>
      </c>
      <c r="C2691" s="2" t="s">
        <v>2265</v>
      </c>
      <c r="D2691" s="2" t="s">
        <v>2221</v>
      </c>
      <c r="E2691" s="2">
        <v>121.53</v>
      </c>
      <c r="F2691" s="2" t="str">
        <f>IF(Table2[[#This Row],[Manual Cat Value]]="",VLOOKUP(Table2[[#This Row],[Description]],'Actuals Lookup'!D:F,3,0),Table2[[#This Row],[Manual Cat Value]])</f>
        <v>Utilities</v>
      </c>
      <c r="J2691" s="2">
        <v>121.53</v>
      </c>
      <c r="K2691" s="2" t="b">
        <v>0</v>
      </c>
      <c r="L2691" s="2"/>
      <c r="M2691" s="2"/>
      <c r="N2691" s="4" t="s">
        <v>2259</v>
      </c>
      <c r="O2691" s="4" t="str">
        <f>LEFT(Table2[[#This Row],[Description]],75)</f>
        <v>Xcel Energy</v>
      </c>
      <c r="P2691" s="2" t="s">
        <v>2280</v>
      </c>
    </row>
    <row r="2692" spans="1:16" hidden="1">
      <c r="A2692" s="2">
        <v>202006</v>
      </c>
      <c r="B2692" s="3">
        <v>43992</v>
      </c>
      <c r="C2692" s="2" t="s">
        <v>2317</v>
      </c>
      <c r="D2692" s="2" t="s">
        <v>129</v>
      </c>
      <c r="E2692" s="2">
        <v>250</v>
      </c>
      <c r="F2692" s="2" t="e">
        <f>IF(Table2[[#This Row],[Manual Cat Value]]="",VLOOKUP(Table2[[#This Row],[Description]],'Actuals Lookup'!D:F,3,0),Table2[[#This Row],[Manual Cat Value]])</f>
        <v>#N/A</v>
      </c>
      <c r="J2692" s="2">
        <v>250</v>
      </c>
      <c r="K2692" s="2" t="b">
        <v>0</v>
      </c>
      <c r="L2692" s="2"/>
      <c r="M2692" s="2"/>
      <c r="N2692" s="4" t="s">
        <v>2259</v>
      </c>
      <c r="O2692" s="4" t="str">
        <f>LEFT(Table2[[#This Row],[Description]],75)</f>
        <v>AMERICAN AIRLS GROUP</v>
      </c>
      <c r="P2692" s="2" t="s">
        <v>2385</v>
      </c>
    </row>
    <row r="2693" spans="1:16" hidden="1">
      <c r="A2693" s="2">
        <v>202006</v>
      </c>
      <c r="B2693" s="3">
        <v>43992</v>
      </c>
      <c r="C2693" s="2" t="s">
        <v>2460</v>
      </c>
      <c r="D2693" s="2" t="s">
        <v>129</v>
      </c>
      <c r="E2693" s="2">
        <v>250</v>
      </c>
      <c r="F2693" s="2" t="e">
        <f>IF(Table2[[#This Row],[Manual Cat Value]]="",VLOOKUP(Table2[[#This Row],[Description]],'Actuals Lookup'!D:F,3,0),Table2[[#This Row],[Manual Cat Value]])</f>
        <v>#N/A</v>
      </c>
      <c r="J2693" s="2">
        <v>250</v>
      </c>
      <c r="K2693" s="2" t="b">
        <v>0</v>
      </c>
      <c r="L2693" s="2"/>
      <c r="M2693" s="2"/>
      <c r="N2693" s="4" t="s">
        <v>2259</v>
      </c>
      <c r="O2693" s="4" t="str">
        <f>LEFT(Table2[[#This Row],[Description]],75)</f>
        <v>AMERICAN AIRLS GROUP</v>
      </c>
      <c r="P2693" s="2" t="s">
        <v>2281</v>
      </c>
    </row>
    <row r="2694" spans="1:16" hidden="1">
      <c r="A2694" s="2">
        <v>202006</v>
      </c>
      <c r="B2694" s="3">
        <v>43992</v>
      </c>
      <c r="C2694" s="2" t="s">
        <v>2262</v>
      </c>
      <c r="D2694" s="2" t="s">
        <v>315</v>
      </c>
      <c r="E2694" s="2">
        <v>128.85</v>
      </c>
      <c r="F2694" s="2" t="e">
        <f>IF(Table2[[#This Row],[Manual Cat Value]]="",VLOOKUP(Table2[[#This Row],[Description]],'Actuals Lookup'!D:F,3,0),Table2[[#This Row],[Manual Cat Value]])</f>
        <v>#N/A</v>
      </c>
      <c r="J2694" s="2">
        <v>128.85</v>
      </c>
      <c r="K2694" s="2" t="b">
        <v>0</v>
      </c>
      <c r="L2694" s="2"/>
      <c r="M2694" s="2"/>
      <c r="N2694" s="4" t="s">
        <v>2259</v>
      </c>
      <c r="O2694" s="4" t="str">
        <f>LEFT(Table2[[#This Row],[Description]],75)</f>
        <v>Boutique Ca</v>
      </c>
      <c r="P2694" s="2" t="s">
        <v>2281</v>
      </c>
    </row>
    <row r="2695" spans="1:16" hidden="1">
      <c r="A2695" s="2">
        <v>202006</v>
      </c>
      <c r="B2695" s="3">
        <v>43992</v>
      </c>
      <c r="C2695" s="2" t="s">
        <v>2265</v>
      </c>
      <c r="D2695" s="2" t="s">
        <v>360</v>
      </c>
      <c r="E2695" s="2">
        <v>-1993.06</v>
      </c>
      <c r="F2695" s="2" t="e">
        <f>IF(Table2[[#This Row],[Manual Cat Value]]="",VLOOKUP(Table2[[#This Row],[Description]],'Actuals Lookup'!D:F,3,0),Table2[[#This Row],[Manual Cat Value]])</f>
        <v>#N/A</v>
      </c>
      <c r="J2695" s="2">
        <v>1993.06</v>
      </c>
      <c r="K2695" s="2" t="b">
        <v>0</v>
      </c>
      <c r="L2695" s="2"/>
      <c r="M2695" s="2"/>
      <c r="N2695" s="4" t="s">
        <v>2273</v>
      </c>
      <c r="O2695" s="4" t="str">
        <f>LEFT(Table2[[#This Row],[Description]],75)</f>
        <v xml:space="preserve">CARGILL COCOA TYPE DIR DEP ID CO CARGILL COCOA ACH ECC PPD ACH Trace 19700 </v>
      </c>
      <c r="P2695" s="2" t="s">
        <v>2284</v>
      </c>
    </row>
    <row r="2696" spans="1:16" hidden="1">
      <c r="A2696" s="2">
        <v>202006</v>
      </c>
      <c r="B2696" s="3">
        <v>43992</v>
      </c>
      <c r="C2696" s="2" t="s">
        <v>2447</v>
      </c>
      <c r="D2696" s="2" t="s">
        <v>506</v>
      </c>
      <c r="E2696" s="2">
        <v>45</v>
      </c>
      <c r="F2696" s="2" t="str">
        <f>IF(Table2[[#This Row],[Manual Cat Value]]="",VLOOKUP(Table2[[#This Row],[Description]],'Actuals Lookup'!D:F,3,0),Table2[[#This Row],[Manual Cat Value]])</f>
        <v>Utilities</v>
      </c>
      <c r="J2696" s="2">
        <v>45</v>
      </c>
      <c r="K2696" s="2" t="b">
        <v>0</v>
      </c>
      <c r="L2696" s="2"/>
      <c r="M2696" s="2"/>
      <c r="N2696" s="4" t="s">
        <v>2259</v>
      </c>
      <c r="O2696" s="4" t="str">
        <f>LEFT(Table2[[#This Row],[Description]],75)</f>
        <v>CenturyLink</v>
      </c>
      <c r="P2696" s="2" t="s">
        <v>2408</v>
      </c>
    </row>
    <row r="2697" spans="1:16" hidden="1">
      <c r="A2697" s="2">
        <v>202006</v>
      </c>
      <c r="B2697" s="3">
        <v>43992</v>
      </c>
      <c r="C2697" s="2" t="s">
        <v>2258</v>
      </c>
      <c r="D2697" s="2" t="s">
        <v>506</v>
      </c>
      <c r="E2697" s="2">
        <v>45</v>
      </c>
      <c r="F2697" s="2" t="str">
        <f>IF(Table2[[#This Row],[Manual Cat Value]]="",VLOOKUP(Table2[[#This Row],[Description]],'Actuals Lookup'!D:F,3,0),Table2[[#This Row],[Manual Cat Value]])</f>
        <v>Utilities</v>
      </c>
      <c r="J2697" s="2">
        <v>45</v>
      </c>
      <c r="K2697" s="2" t="b">
        <v>0</v>
      </c>
      <c r="L2697" s="2"/>
      <c r="M2697" s="2"/>
      <c r="N2697" s="4" t="s">
        <v>2259</v>
      </c>
      <c r="O2697" s="4" t="str">
        <f>LEFT(Table2[[#This Row],[Description]],75)</f>
        <v>CenturyLink</v>
      </c>
      <c r="P2697" s="2" t="s">
        <v>2408</v>
      </c>
    </row>
    <row r="2698" spans="1:16" hidden="1">
      <c r="A2698" s="2">
        <v>202006</v>
      </c>
      <c r="B2698" s="3">
        <v>43992</v>
      </c>
      <c r="C2698" s="2" t="s">
        <v>2317</v>
      </c>
      <c r="D2698" s="2" t="s">
        <v>537</v>
      </c>
      <c r="E2698" s="2">
        <v>-50.64</v>
      </c>
      <c r="F2698" s="2" t="e">
        <f>IF(Table2[[#This Row],[Manual Cat Value]]="",VLOOKUP(Table2[[#This Row],[Description]],'Actuals Lookup'!D:F,3,0),Table2[[#This Row],[Manual Cat Value]])</f>
        <v>#N/A</v>
      </c>
      <c r="J2698" s="2">
        <v>50.64</v>
      </c>
      <c r="K2698" s="2" t="b">
        <v>0</v>
      </c>
      <c r="L2698" s="2"/>
      <c r="M2698" s="2"/>
      <c r="N2698" s="4" t="s">
        <v>2273</v>
      </c>
      <c r="O2698" s="4" t="str">
        <f>LEFT(Table2[[#This Row],[Description]],75)</f>
        <v>CHEVRON CORP</v>
      </c>
      <c r="P2698" s="2" t="s">
        <v>2430</v>
      </c>
    </row>
    <row r="2699" spans="1:16" hidden="1">
      <c r="A2699" s="2">
        <v>202006</v>
      </c>
      <c r="B2699" s="3">
        <v>43992</v>
      </c>
      <c r="C2699" s="2" t="s">
        <v>2460</v>
      </c>
      <c r="D2699" s="2" t="s">
        <v>537</v>
      </c>
      <c r="E2699" s="2">
        <v>-50.64</v>
      </c>
      <c r="F2699" s="2" t="e">
        <f>IF(Table2[[#This Row],[Manual Cat Value]]="",VLOOKUP(Table2[[#This Row],[Description]],'Actuals Lookup'!D:F,3,0),Table2[[#This Row],[Manual Cat Value]])</f>
        <v>#N/A</v>
      </c>
      <c r="J2699" s="2">
        <v>50.64</v>
      </c>
      <c r="K2699" s="2" t="b">
        <v>0</v>
      </c>
      <c r="L2699" s="2"/>
      <c r="M2699" s="2"/>
      <c r="N2699" s="4" t="s">
        <v>2273</v>
      </c>
      <c r="O2699" s="4" t="str">
        <f>LEFT(Table2[[#This Row],[Description]],75)</f>
        <v>CHEVRON CORP</v>
      </c>
      <c r="P2699" s="2" t="s">
        <v>2430</v>
      </c>
    </row>
    <row r="2700" spans="1:16" hidden="1">
      <c r="A2700" s="2">
        <v>202006</v>
      </c>
      <c r="B2700" s="3">
        <v>43992</v>
      </c>
      <c r="C2700" s="2" t="s">
        <v>2262</v>
      </c>
      <c r="D2700" s="2" t="s">
        <v>678</v>
      </c>
      <c r="E2700" s="2">
        <v>50</v>
      </c>
      <c r="F2700" s="2" t="e">
        <f>IF(Table2[[#This Row],[Manual Cat Value]]="",VLOOKUP(Table2[[#This Row],[Description]],'Actuals Lookup'!D:F,3,0),Table2[[#This Row],[Manual Cat Value]])</f>
        <v>#N/A</v>
      </c>
      <c r="J2700" s="2">
        <v>50</v>
      </c>
      <c r="K2700" s="2" t="b">
        <v>0</v>
      </c>
      <c r="L2700" s="2"/>
      <c r="M2700" s="2"/>
      <c r="N2700" s="4" t="s">
        <v>2259</v>
      </c>
      <c r="O2700" s="4" t="str">
        <f>LEFT(Table2[[#This Row],[Description]],75)</f>
        <v>CREEDE SNOWSHOE LODGE CREEDE CO 317034629</v>
      </c>
      <c r="P2700" s="2" t="s">
        <v>2281</v>
      </c>
    </row>
    <row r="2701" spans="1:16" hidden="1">
      <c r="A2701" s="2">
        <v>202006</v>
      </c>
      <c r="B2701" s="3">
        <v>43992</v>
      </c>
      <c r="C2701" s="2" t="s">
        <v>2317</v>
      </c>
      <c r="D2701" s="2" t="s">
        <v>704</v>
      </c>
      <c r="E2701" s="2">
        <v>250</v>
      </c>
      <c r="F2701" s="2" t="e">
        <f>IF(Table2[[#This Row],[Manual Cat Value]]="",VLOOKUP(Table2[[#This Row],[Description]],'Actuals Lookup'!D:F,3,0),Table2[[#This Row],[Manual Cat Value]])</f>
        <v>#N/A</v>
      </c>
      <c r="J2701" s="2">
        <v>250</v>
      </c>
      <c r="K2701" s="2" t="b">
        <v>0</v>
      </c>
      <c r="L2701" s="2"/>
      <c r="M2701" s="2"/>
      <c r="N2701" s="4" t="s">
        <v>2259</v>
      </c>
      <c r="O2701" s="4" t="str">
        <f>LEFT(Table2[[#This Row],[Description]],75)</f>
        <v>DELTA AIR LINES INC DEL</v>
      </c>
      <c r="P2701" s="2" t="s">
        <v>2385</v>
      </c>
    </row>
    <row r="2702" spans="1:16" hidden="1">
      <c r="A2702" s="2">
        <v>202006</v>
      </c>
      <c r="B2702" s="3">
        <v>43992</v>
      </c>
      <c r="C2702" s="2" t="s">
        <v>2460</v>
      </c>
      <c r="D2702" s="2" t="s">
        <v>704</v>
      </c>
      <c r="E2702" s="2">
        <v>250</v>
      </c>
      <c r="F2702" s="2" t="e">
        <f>IF(Table2[[#This Row],[Manual Cat Value]]="",VLOOKUP(Table2[[#This Row],[Description]],'Actuals Lookup'!D:F,3,0),Table2[[#This Row],[Manual Cat Value]])</f>
        <v>#N/A</v>
      </c>
      <c r="J2702" s="2">
        <v>250</v>
      </c>
      <c r="K2702" s="2" t="b">
        <v>0</v>
      </c>
      <c r="L2702" s="2"/>
      <c r="M2702" s="2"/>
      <c r="N2702" s="4" t="s">
        <v>2259</v>
      </c>
      <c r="O2702" s="4" t="str">
        <f>LEFT(Table2[[#This Row],[Description]],75)</f>
        <v>DELTA AIR LINES INC DEL</v>
      </c>
      <c r="P2702" s="2" t="s">
        <v>2281</v>
      </c>
    </row>
    <row r="2703" spans="1:16" hidden="1">
      <c r="A2703" s="2">
        <v>202006</v>
      </c>
      <c r="B2703" s="3">
        <v>43992</v>
      </c>
      <c r="C2703" s="2" t="s">
        <v>2262</v>
      </c>
      <c r="D2703" s="2" t="s">
        <v>928</v>
      </c>
      <c r="E2703" s="2">
        <v>89</v>
      </c>
      <c r="F2703" s="2" t="e">
        <f>IF(Table2[[#This Row],[Manual Cat Value]]="",VLOOKUP(Table2[[#This Row],[Description]],'Actuals Lookup'!D:F,3,0),Table2[[#This Row],[Manual Cat Value]])</f>
        <v>#N/A</v>
      </c>
      <c r="J2703" s="2">
        <v>89</v>
      </c>
      <c r="K2703" s="2" t="b">
        <v>0</v>
      </c>
      <c r="L2703" s="2"/>
      <c r="M2703" s="2"/>
      <c r="N2703" s="4" t="s">
        <v>2259</v>
      </c>
      <c r="O2703" s="4" t="str">
        <f>LEFT(Table2[[#This Row],[Description]],75)</f>
        <v>Hero</v>
      </c>
      <c r="P2703" s="2" t="s">
        <v>2281</v>
      </c>
    </row>
    <row r="2704" spans="1:16" hidden="1">
      <c r="A2704" s="2">
        <v>202006</v>
      </c>
      <c r="B2704" s="3">
        <v>43992</v>
      </c>
      <c r="C2704" s="2" t="s">
        <v>2265</v>
      </c>
      <c r="D2704" s="2" t="s">
        <v>1269</v>
      </c>
      <c r="E2704" s="2">
        <v>118</v>
      </c>
      <c r="F2704" s="2" t="e">
        <f>IF(Table2[[#This Row],[Manual Cat Value]]="",VLOOKUP(Table2[[#This Row],[Description]],'Actuals Lookup'!D:F,3,0),Table2[[#This Row],[Manual Cat Value]])</f>
        <v>#N/A</v>
      </c>
      <c r="J2704" s="2">
        <v>118</v>
      </c>
      <c r="K2704" s="2" t="b">
        <v>0</v>
      </c>
      <c r="L2704" s="2"/>
      <c r="M2704" s="2"/>
      <c r="N2704" s="4" t="s">
        <v>2259</v>
      </c>
      <c r="O2704" s="4" t="str">
        <f>LEFT(Table2[[#This Row],[Description]],75)</f>
        <v>MinnetonkaCommEd TYPE PURCHASE ID CO MinnetonkaCommEd ACH ECC WEB ACH Trace</v>
      </c>
      <c r="P2704" s="2" t="s">
        <v>2281</v>
      </c>
    </row>
    <row r="2705" spans="1:16" hidden="1">
      <c r="A2705" s="2">
        <v>202006</v>
      </c>
      <c r="B2705" s="3">
        <v>43992</v>
      </c>
      <c r="C2705" s="2" t="s">
        <v>2265</v>
      </c>
      <c r="D2705" s="2" t="s">
        <v>1471</v>
      </c>
      <c r="E2705" s="2">
        <v>175</v>
      </c>
      <c r="F2705" s="2" t="str">
        <f>IF(Table2[[#This Row],[Manual Cat Value]]="",VLOOKUP(Table2[[#This Row],[Description]],'Actuals Lookup'!D:F,3,0),Table2[[#This Row],[Manual Cat Value]])</f>
        <v>Shopping</v>
      </c>
      <c r="J2705" s="2">
        <v>175</v>
      </c>
      <c r="K2705" s="2" t="b">
        <v>0</v>
      </c>
      <c r="L2705" s="2"/>
      <c r="M2705" s="2"/>
      <c r="N2705" s="4" t="s">
        <v>2259</v>
      </c>
      <c r="O2705" s="4" t="str">
        <f>LEFT(Table2[[#This Row],[Description]],75)</f>
        <v>PayPal</v>
      </c>
      <c r="P2705" s="2" t="s">
        <v>2322</v>
      </c>
    </row>
    <row r="2706" spans="1:16" hidden="1">
      <c r="A2706" s="2">
        <v>202006</v>
      </c>
      <c r="B2706" s="3">
        <v>43992</v>
      </c>
      <c r="C2706" s="2" t="s">
        <v>2300</v>
      </c>
      <c r="D2706" s="2" t="s">
        <v>1648</v>
      </c>
      <c r="E2706" s="2">
        <v>-300</v>
      </c>
      <c r="F2706" s="2" t="e">
        <f>IF(Table2[[#This Row],[Manual Cat Value]]="",VLOOKUP(Table2[[#This Row],[Description]],'Actuals Lookup'!D:F,3,0),Table2[[#This Row],[Manual Cat Value]])</f>
        <v>#N/A</v>
      </c>
      <c r="J2706" s="2">
        <v>300</v>
      </c>
      <c r="K2706" s="2" t="b">
        <v>0</v>
      </c>
      <c r="L2706" s="2"/>
      <c r="M2706" s="2"/>
      <c r="N2706" s="4" t="s">
        <v>2273</v>
      </c>
      <c r="O2706" s="4" t="str">
        <f>LEFT(Table2[[#This Row],[Description]],75)</f>
        <v>Share</v>
      </c>
      <c r="P2706" s="2" t="s">
        <v>2448</v>
      </c>
    </row>
    <row r="2707" spans="1:16" hidden="1">
      <c r="A2707" s="2">
        <v>202006</v>
      </c>
      <c r="B2707" s="3">
        <v>43992</v>
      </c>
      <c r="C2707" s="2" t="s">
        <v>2262</v>
      </c>
      <c r="D2707" s="2" t="s">
        <v>1664</v>
      </c>
      <c r="E2707" s="2">
        <v>43.74</v>
      </c>
      <c r="F2707" s="2" t="str">
        <f>IF(Table2[[#This Row],[Manual Cat Value]]="",VLOOKUP(Table2[[#This Row],[Description]],'Actuals Lookup'!D:F,3,0),Table2[[#This Row],[Manual Cat Value]])</f>
        <v>Gifts</v>
      </c>
      <c r="J2707" s="2">
        <v>43.74</v>
      </c>
      <c r="K2707" s="2" t="b">
        <v>0</v>
      </c>
      <c r="L2707" s="2"/>
      <c r="M2707" s="2"/>
      <c r="N2707" s="4" t="s">
        <v>2259</v>
      </c>
      <c r="O2707" s="4" t="str">
        <f>LEFT(Table2[[#This Row],[Description]],75)</f>
        <v>Shutterfly</v>
      </c>
      <c r="P2707" s="2" t="s">
        <v>2281</v>
      </c>
    </row>
    <row r="2708" spans="1:16" hidden="1">
      <c r="A2708" s="2">
        <v>202006</v>
      </c>
      <c r="B2708" s="3">
        <v>43992</v>
      </c>
      <c r="C2708" s="2" t="s">
        <v>2262</v>
      </c>
      <c r="D2708" s="2" t="s">
        <v>1684</v>
      </c>
      <c r="E2708" s="2">
        <v>157.96</v>
      </c>
      <c r="F2708" s="2" t="e">
        <f>IF(Table2[[#This Row],[Manual Cat Value]]="",VLOOKUP(Table2[[#This Row],[Description]],'Actuals Lookup'!D:F,3,0),Table2[[#This Row],[Manual Cat Value]])</f>
        <v>#N/A</v>
      </c>
      <c r="J2708" s="2">
        <v>157.96</v>
      </c>
      <c r="K2708" s="2" t="b">
        <v>0</v>
      </c>
      <c r="L2708" s="2"/>
      <c r="M2708" s="2"/>
      <c r="N2708" s="4" t="s">
        <v>2259</v>
      </c>
      <c r="O2708" s="4" t="str">
        <f>LEFT(Table2[[#This Row],[Description]],75)</f>
        <v>Southwest Airlines</v>
      </c>
      <c r="P2708" s="2" t="s">
        <v>2281</v>
      </c>
    </row>
    <row r="2709" spans="1:16" hidden="1">
      <c r="A2709" s="2">
        <v>202006</v>
      </c>
      <c r="B2709" s="3">
        <v>43992</v>
      </c>
      <c r="C2709" s="2" t="s">
        <v>2265</v>
      </c>
      <c r="D2709" s="2" t="s">
        <v>1901</v>
      </c>
      <c r="E2709" s="2">
        <v>300</v>
      </c>
      <c r="F2709" s="2" t="e">
        <f>IF(Table2[[#This Row],[Manual Cat Value]]="",VLOOKUP(Table2[[#This Row],[Description]],'Actuals Lookup'!D:F,3,0),Table2[[#This Row],[Manual Cat Value]])</f>
        <v>#N/A</v>
      </c>
      <c r="J2709" s="2">
        <v>300</v>
      </c>
      <c r="K2709" s="2" t="b">
        <v>0</v>
      </c>
      <c r="L2709" s="2"/>
      <c r="M2709" s="2"/>
      <c r="N2709" s="4" t="s">
        <v>2259</v>
      </c>
      <c r="O2709" s="4" t="str">
        <f>LEFT(Table2[[#This Row],[Description]],75)</f>
        <v>To Share 12 316885392</v>
      </c>
      <c r="P2709" s="2" t="s">
        <v>2281</v>
      </c>
    </row>
    <row r="2710" spans="1:16" hidden="1">
      <c r="A2710" s="2">
        <v>202006</v>
      </c>
      <c r="B2710" s="3">
        <v>43992</v>
      </c>
      <c r="C2710" s="2" t="s">
        <v>2262</v>
      </c>
      <c r="D2710" s="2" t="s">
        <v>2159</v>
      </c>
      <c r="E2710" s="2">
        <v>36.229999999999997</v>
      </c>
      <c r="F2710" s="2" t="e">
        <f>IF(Table2[[#This Row],[Manual Cat Value]]="",VLOOKUP(Table2[[#This Row],[Description]],'Actuals Lookup'!D:F,3,0),Table2[[#This Row],[Manual Cat Value]])</f>
        <v>#N/A</v>
      </c>
      <c r="J2710" s="2">
        <v>36.229999999999997</v>
      </c>
      <c r="K2710" s="2" t="b">
        <v>0</v>
      </c>
      <c r="L2710" s="2"/>
      <c r="M2710" s="2"/>
      <c r="N2710" s="4" t="s">
        <v>2259</v>
      </c>
      <c r="O2710" s="4" t="str">
        <f>LEFT(Table2[[#This Row],[Description]],75)</f>
        <v>Wine.com</v>
      </c>
      <c r="P2710" s="2" t="s">
        <v>2482</v>
      </c>
    </row>
    <row r="2711" spans="1:16" hidden="1">
      <c r="A2711" s="2">
        <v>202006</v>
      </c>
      <c r="B2711" s="3">
        <v>43993</v>
      </c>
      <c r="C2711" s="2" t="s">
        <v>2317</v>
      </c>
      <c r="D2711" s="2" t="s">
        <v>305</v>
      </c>
      <c r="E2711" s="2">
        <v>180.75</v>
      </c>
      <c r="F2711" s="2" t="e">
        <f>IF(Table2[[#This Row],[Manual Cat Value]]="",VLOOKUP(Table2[[#This Row],[Description]],'Actuals Lookup'!D:F,3,0),Table2[[#This Row],[Manual Cat Value]])</f>
        <v>#N/A</v>
      </c>
      <c r="J2711" s="2">
        <v>180.75</v>
      </c>
      <c r="K2711" s="2" t="b">
        <v>0</v>
      </c>
      <c r="L2711" s="2"/>
      <c r="M2711" s="2"/>
      <c r="N2711" s="4" t="s">
        <v>2259</v>
      </c>
      <c r="O2711" s="4" t="str">
        <f>LEFT(Table2[[#This Row],[Description]],75)</f>
        <v>BOEING CO</v>
      </c>
      <c r="P2711" s="2" t="s">
        <v>2425</v>
      </c>
    </row>
    <row r="2712" spans="1:16" hidden="1">
      <c r="A2712" s="2">
        <v>202006</v>
      </c>
      <c r="B2712" s="3">
        <v>43993</v>
      </c>
      <c r="C2712" s="2" t="s">
        <v>2317</v>
      </c>
      <c r="D2712" s="2" t="s">
        <v>305</v>
      </c>
      <c r="E2712" s="2">
        <v>723</v>
      </c>
      <c r="F2712" s="2" t="e">
        <f>IF(Table2[[#This Row],[Manual Cat Value]]="",VLOOKUP(Table2[[#This Row],[Description]],'Actuals Lookup'!D:F,3,0),Table2[[#This Row],[Manual Cat Value]])</f>
        <v>#N/A</v>
      </c>
      <c r="J2712" s="2">
        <v>723</v>
      </c>
      <c r="K2712" s="2" t="b">
        <v>0</v>
      </c>
      <c r="L2712" s="2"/>
      <c r="M2712" s="2"/>
      <c r="N2712" s="4" t="s">
        <v>2259</v>
      </c>
      <c r="O2712" s="4" t="str">
        <f>LEFT(Table2[[#This Row],[Description]],75)</f>
        <v>BOEING CO</v>
      </c>
      <c r="P2712" s="2" t="s">
        <v>2425</v>
      </c>
    </row>
    <row r="2713" spans="1:16" hidden="1">
      <c r="A2713" s="2">
        <v>202006</v>
      </c>
      <c r="B2713" s="3">
        <v>43993</v>
      </c>
      <c r="C2713" s="2" t="s">
        <v>2460</v>
      </c>
      <c r="D2713" s="2" t="s">
        <v>305</v>
      </c>
      <c r="E2713" s="2">
        <v>180.75</v>
      </c>
      <c r="F2713" s="2" t="e">
        <f>IF(Table2[[#This Row],[Manual Cat Value]]="",VLOOKUP(Table2[[#This Row],[Description]],'Actuals Lookup'!D:F,3,0),Table2[[#This Row],[Manual Cat Value]])</f>
        <v>#N/A</v>
      </c>
      <c r="J2713" s="2">
        <v>180.75</v>
      </c>
      <c r="K2713" s="2" t="b">
        <v>0</v>
      </c>
      <c r="L2713" s="2"/>
      <c r="M2713" s="2"/>
      <c r="N2713" s="4" t="s">
        <v>2259</v>
      </c>
      <c r="O2713" s="4" t="str">
        <f>LEFT(Table2[[#This Row],[Description]],75)</f>
        <v>BOEING CO</v>
      </c>
      <c r="P2713" s="2" t="s">
        <v>2425</v>
      </c>
    </row>
    <row r="2714" spans="1:16" hidden="1">
      <c r="A2714" s="2">
        <v>202006</v>
      </c>
      <c r="B2714" s="3">
        <v>43993</v>
      </c>
      <c r="C2714" s="2" t="s">
        <v>2460</v>
      </c>
      <c r="D2714" s="2" t="s">
        <v>305</v>
      </c>
      <c r="E2714" s="2">
        <v>723</v>
      </c>
      <c r="F2714" s="2" t="e">
        <f>IF(Table2[[#This Row],[Manual Cat Value]]="",VLOOKUP(Table2[[#This Row],[Description]],'Actuals Lookup'!D:F,3,0),Table2[[#This Row],[Manual Cat Value]])</f>
        <v>#N/A</v>
      </c>
      <c r="J2714" s="2">
        <v>723</v>
      </c>
      <c r="K2714" s="2" t="b">
        <v>0</v>
      </c>
      <c r="L2714" s="2"/>
      <c r="M2714" s="2"/>
      <c r="N2714" s="4" t="s">
        <v>2259</v>
      </c>
      <c r="O2714" s="4" t="str">
        <f>LEFT(Table2[[#This Row],[Description]],75)</f>
        <v>BOEING CO</v>
      </c>
      <c r="P2714" s="2" t="s">
        <v>2425</v>
      </c>
    </row>
    <row r="2715" spans="1:16" hidden="1">
      <c r="A2715" s="2">
        <v>202006</v>
      </c>
      <c r="B2715" s="3">
        <v>43993</v>
      </c>
      <c r="C2715" s="2" t="s">
        <v>2317</v>
      </c>
      <c r="D2715" s="2" t="s">
        <v>537</v>
      </c>
      <c r="E2715" s="2">
        <v>50.64</v>
      </c>
      <c r="F2715" s="2" t="e">
        <f>IF(Table2[[#This Row],[Manual Cat Value]]="",VLOOKUP(Table2[[#This Row],[Description]],'Actuals Lookup'!D:F,3,0),Table2[[#This Row],[Manual Cat Value]])</f>
        <v>#N/A</v>
      </c>
      <c r="J2715" s="2">
        <v>50.64</v>
      </c>
      <c r="K2715" s="2" t="b">
        <v>0</v>
      </c>
      <c r="L2715" s="2"/>
      <c r="M2715" s="2"/>
      <c r="N2715" s="4" t="s">
        <v>2259</v>
      </c>
      <c r="O2715" s="4" t="str">
        <f>LEFT(Table2[[#This Row],[Description]],75)</f>
        <v>CHEVRON CORP</v>
      </c>
      <c r="P2715" s="2" t="s">
        <v>2430</v>
      </c>
    </row>
    <row r="2716" spans="1:16" hidden="1">
      <c r="A2716" s="2">
        <v>202006</v>
      </c>
      <c r="B2716" s="3">
        <v>43993</v>
      </c>
      <c r="C2716" s="2" t="s">
        <v>2460</v>
      </c>
      <c r="D2716" s="2" t="s">
        <v>537</v>
      </c>
      <c r="E2716" s="2">
        <v>50.64</v>
      </c>
      <c r="F2716" s="2" t="e">
        <f>IF(Table2[[#This Row],[Manual Cat Value]]="",VLOOKUP(Table2[[#This Row],[Description]],'Actuals Lookup'!D:F,3,0),Table2[[#This Row],[Manual Cat Value]])</f>
        <v>#N/A</v>
      </c>
      <c r="J2716" s="2">
        <v>50.64</v>
      </c>
      <c r="K2716" s="2" t="b">
        <v>0</v>
      </c>
      <c r="L2716" s="2"/>
      <c r="M2716" s="2"/>
      <c r="N2716" s="4" t="s">
        <v>2259</v>
      </c>
      <c r="O2716" s="4" t="str">
        <f>LEFT(Table2[[#This Row],[Description]],75)</f>
        <v>CHEVRON CORP</v>
      </c>
      <c r="P2716" s="2" t="s">
        <v>2430</v>
      </c>
    </row>
    <row r="2717" spans="1:16" hidden="1">
      <c r="A2717" s="2">
        <v>202006</v>
      </c>
      <c r="B2717" s="3">
        <v>43993</v>
      </c>
      <c r="C2717" s="2" t="s">
        <v>2265</v>
      </c>
      <c r="D2717" s="2" t="s">
        <v>663</v>
      </c>
      <c r="E2717" s="2">
        <v>34.909999999999997</v>
      </c>
      <c r="F2717" s="2" t="e">
        <f>IF(Table2[[#This Row],[Manual Cat Value]]="",VLOOKUP(Table2[[#This Row],[Description]],'Actuals Lookup'!D:F,3,0),Table2[[#This Row],[Manual Cat Value]])</f>
        <v>#N/A</v>
      </c>
      <c r="J2717" s="2">
        <v>34.909999999999997</v>
      </c>
      <c r="K2717" s="2" t="b">
        <v>0</v>
      </c>
      <c r="L2717" s="2"/>
      <c r="M2717" s="2"/>
      <c r="N2717" s="4" t="s">
        <v>2259</v>
      </c>
      <c r="O2717" s="4" t="str">
        <f>LEFT(Table2[[#This Row],[Description]],75)</f>
        <v xml:space="preserve">CPENERGY MNGCO TYPE MGC ACH EB ID 176051140S CO CPENERGY MNGCO ACH ECC WEB </v>
      </c>
      <c r="P2717" s="2" t="s">
        <v>2399</v>
      </c>
    </row>
    <row r="2718" spans="1:16" hidden="1">
      <c r="A2718" s="2">
        <v>202006</v>
      </c>
      <c r="B2718" s="3">
        <v>43993</v>
      </c>
      <c r="C2718" s="2" t="s">
        <v>2262</v>
      </c>
      <c r="D2718" s="2" t="s">
        <v>693</v>
      </c>
      <c r="E2718" s="2">
        <v>79.63</v>
      </c>
      <c r="F2718" s="2" t="e">
        <f>IF(Table2[[#This Row],[Manual Cat Value]]="",VLOOKUP(Table2[[#This Row],[Description]],'Actuals Lookup'!D:F,3,0),Table2[[#This Row],[Manual Cat Value]])</f>
        <v>#N/A</v>
      </c>
      <c r="J2718" s="2">
        <v>79.63</v>
      </c>
      <c r="K2718" s="2" t="b">
        <v>0</v>
      </c>
      <c r="L2718" s="2"/>
      <c r="M2718" s="2"/>
      <c r="N2718" s="4" t="s">
        <v>2259</v>
      </c>
      <c r="O2718" s="4" t="str">
        <f>LEFT(Table2[[#This Row],[Description]],75)</f>
        <v>D'Amico Sons</v>
      </c>
      <c r="P2718" s="2" t="s">
        <v>2281</v>
      </c>
    </row>
    <row r="2719" spans="1:16" hidden="1">
      <c r="A2719" s="2">
        <v>202006</v>
      </c>
      <c r="B2719" s="3">
        <v>43993</v>
      </c>
      <c r="C2719" s="2" t="s">
        <v>2262</v>
      </c>
      <c r="D2719" s="2" t="s">
        <v>919</v>
      </c>
      <c r="E2719" s="2">
        <v>18</v>
      </c>
      <c r="F2719" s="2" t="e">
        <f>IF(Table2[[#This Row],[Manual Cat Value]]="",VLOOKUP(Table2[[#This Row],[Description]],'Actuals Lookup'!D:F,3,0),Table2[[#This Row],[Manual Cat Value]])</f>
        <v>#N/A</v>
      </c>
      <c r="J2719" s="2">
        <v>18</v>
      </c>
      <c r="K2719" s="2" t="b">
        <v>0</v>
      </c>
      <c r="L2719" s="2"/>
      <c r="M2719" s="2"/>
      <c r="N2719" s="4" t="s">
        <v>2259</v>
      </c>
      <c r="O2719" s="4" t="str">
        <f>LEFT(Table2[[#This Row],[Description]],75)</f>
        <v>Harvard Business</v>
      </c>
      <c r="P2719" s="2" t="s">
        <v>2412</v>
      </c>
    </row>
    <row r="2720" spans="1:16" hidden="1">
      <c r="A2720" s="2">
        <v>202006</v>
      </c>
      <c r="B2720" s="3">
        <v>43993</v>
      </c>
      <c r="C2720" s="2" t="s">
        <v>2262</v>
      </c>
      <c r="D2720" s="2" t="s">
        <v>1153</v>
      </c>
      <c r="E2720" s="2">
        <v>22.97</v>
      </c>
      <c r="F2720" s="2" t="e">
        <f>IF(Table2[[#This Row],[Manual Cat Value]]="",VLOOKUP(Table2[[#This Row],[Description]],'Actuals Lookup'!D:F,3,0),Table2[[#This Row],[Manual Cat Value]])</f>
        <v>#N/A</v>
      </c>
      <c r="J2720" s="2">
        <v>22.97</v>
      </c>
      <c r="K2720" s="2" t="b">
        <v>0</v>
      </c>
      <c r="L2720" s="2"/>
      <c r="M2720" s="2"/>
      <c r="N2720" s="4" t="s">
        <v>2259</v>
      </c>
      <c r="O2720" s="4" t="str">
        <f>LEFT(Table2[[#This Row],[Description]],75)</f>
        <v>LTFLIFE TIME MO DUES 8884306432 MN 317374249</v>
      </c>
      <c r="P2720" s="2" t="s">
        <v>2397</v>
      </c>
    </row>
    <row r="2721" spans="1:16" hidden="1">
      <c r="A2721" s="2">
        <v>202006</v>
      </c>
      <c r="B2721" s="3">
        <v>43993</v>
      </c>
      <c r="C2721" s="2" t="s">
        <v>2262</v>
      </c>
      <c r="D2721" s="2" t="s">
        <v>1158</v>
      </c>
      <c r="E2721" s="2">
        <v>-68</v>
      </c>
      <c r="F2721" s="2" t="e">
        <f>IF(Table2[[#This Row],[Manual Cat Value]]="",VLOOKUP(Table2[[#This Row],[Description]],'Actuals Lookup'!D:F,3,0),Table2[[#This Row],[Manual Cat Value]])</f>
        <v>#N/A</v>
      </c>
      <c r="J2721" s="2">
        <v>68</v>
      </c>
      <c r="K2721" s="2" t="b">
        <v>0</v>
      </c>
      <c r="L2721" s="2"/>
      <c r="M2721" s="2"/>
      <c r="N2721" s="4" t="s">
        <v>2273</v>
      </c>
      <c r="O2721" s="4" t="str">
        <f>LEFT(Table2[[#This Row],[Description]],75)</f>
        <v>Lululemon</v>
      </c>
      <c r="P2721" s="2" t="s">
        <v>2287</v>
      </c>
    </row>
    <row r="2722" spans="1:16" hidden="1">
      <c r="A2722" s="2">
        <v>202006</v>
      </c>
      <c r="B2722" s="3">
        <v>43993</v>
      </c>
      <c r="C2722" s="2" t="s">
        <v>2262</v>
      </c>
      <c r="D2722" s="2" t="s">
        <v>1353</v>
      </c>
      <c r="E2722" s="2">
        <v>31.14</v>
      </c>
      <c r="F2722" s="2" t="str">
        <f>IF(Table2[[#This Row],[Manual Cat Value]]="",VLOOKUP(Table2[[#This Row],[Description]],'Actuals Lookup'!D:F,3,0),Table2[[#This Row],[Manual Cat Value]])</f>
        <v>Restaurants</v>
      </c>
      <c r="J2722" s="2">
        <v>31.14</v>
      </c>
      <c r="K2722" s="2" t="b">
        <v>0</v>
      </c>
      <c r="L2722" s="2"/>
      <c r="M2722" s="2"/>
      <c r="N2722" s="4" t="s">
        <v>2259</v>
      </c>
      <c r="O2722" s="4" t="str">
        <f>LEFT(Table2[[#This Row],[Description]],75)</f>
        <v>Noodles &amp; Company</v>
      </c>
      <c r="P2722" s="2" t="s">
        <v>2337</v>
      </c>
    </row>
    <row r="2723" spans="1:16" hidden="1">
      <c r="A2723" s="2">
        <v>202006</v>
      </c>
      <c r="B2723" s="3">
        <v>43994</v>
      </c>
      <c r="C2723" s="2" t="s">
        <v>2447</v>
      </c>
      <c r="D2723" s="2" t="s">
        <v>458</v>
      </c>
      <c r="E2723" s="2">
        <v>-5.54</v>
      </c>
      <c r="F2723" s="2" t="e">
        <f>IF(Table2[[#This Row],[Manual Cat Value]]="",VLOOKUP(Table2[[#This Row],[Description]],'Actuals Lookup'!D:F,3,0),Table2[[#This Row],[Manual Cat Value]])</f>
        <v>#N/A</v>
      </c>
      <c r="J2723" s="2">
        <v>5.54</v>
      </c>
      <c r="K2723" s="2" t="b">
        <v>0</v>
      </c>
      <c r="L2723" s="2"/>
      <c r="M2723" s="2"/>
      <c r="N2723" s="4" t="s">
        <v>2273</v>
      </c>
      <c r="O2723" s="4" t="str">
        <f>LEFT(Table2[[#This Row],[Description]],75)</f>
        <v>CASHBACK BONUS REDEMPTION payment/STMT CRDT</v>
      </c>
      <c r="P2723" s="2" t="s">
        <v>2304</v>
      </c>
    </row>
    <row r="2724" spans="1:16" hidden="1">
      <c r="A2724" s="2">
        <v>202006</v>
      </c>
      <c r="B2724" s="3">
        <v>43994</v>
      </c>
      <c r="C2724" s="2" t="s">
        <v>2258</v>
      </c>
      <c r="D2724" s="2" t="s">
        <v>458</v>
      </c>
      <c r="E2724" s="2">
        <v>-5.54</v>
      </c>
      <c r="F2724" s="2" t="e">
        <f>IF(Table2[[#This Row],[Manual Cat Value]]="",VLOOKUP(Table2[[#This Row],[Description]],'Actuals Lookup'!D:F,3,0),Table2[[#This Row],[Manual Cat Value]])</f>
        <v>#N/A</v>
      </c>
      <c r="J2724" s="2">
        <v>5.54</v>
      </c>
      <c r="K2724" s="2" t="b">
        <v>0</v>
      </c>
      <c r="L2724" s="2"/>
      <c r="M2724" s="2"/>
      <c r="N2724" s="4" t="s">
        <v>2273</v>
      </c>
      <c r="O2724" s="4" t="str">
        <f>LEFT(Table2[[#This Row],[Description]],75)</f>
        <v>CASHBACK BONUS REDEMPTION payment/STMT CRDT</v>
      </c>
      <c r="P2724" s="2" t="s">
        <v>2304</v>
      </c>
    </row>
    <row r="2725" spans="1:16" hidden="1">
      <c r="A2725" s="2">
        <v>202006</v>
      </c>
      <c r="B2725" s="3">
        <v>43994</v>
      </c>
      <c r="C2725" s="2" t="s">
        <v>2447</v>
      </c>
      <c r="D2725" s="2" t="s">
        <v>997</v>
      </c>
      <c r="E2725" s="2">
        <v>-475.18</v>
      </c>
      <c r="F2725" s="2" t="str">
        <f>IF(Table2[[#This Row],[Manual Cat Value]]="",VLOOKUP(Table2[[#This Row],[Description]],'Actuals Lookup'!D:F,3,0),Table2[[#This Row],[Manual Cat Value]])</f>
        <v>Delete</v>
      </c>
      <c r="J2725" s="2">
        <v>475.18</v>
      </c>
      <c r="K2725" s="2" t="b">
        <v>0</v>
      </c>
      <c r="L2725" s="2"/>
      <c r="M2725" s="2"/>
      <c r="N2725" s="4" t="s">
        <v>2273</v>
      </c>
      <c r="O2725" s="4" t="str">
        <f>LEFT(Table2[[#This Row],[Description]],75)</f>
        <v>INTERNET PAYMENT - THANK YOU</v>
      </c>
      <c r="P2725" s="2" t="s">
        <v>2291</v>
      </c>
    </row>
    <row r="2726" spans="1:16" hidden="1">
      <c r="A2726" s="2">
        <v>202006</v>
      </c>
      <c r="B2726" s="3">
        <v>43994</v>
      </c>
      <c r="C2726" s="2" t="s">
        <v>2258</v>
      </c>
      <c r="D2726" s="2" t="s">
        <v>997</v>
      </c>
      <c r="E2726" s="2">
        <v>-475.18</v>
      </c>
      <c r="F2726" s="2" t="str">
        <f>IF(Table2[[#This Row],[Manual Cat Value]]="",VLOOKUP(Table2[[#This Row],[Description]],'Actuals Lookup'!D:F,3,0),Table2[[#This Row],[Manual Cat Value]])</f>
        <v>Delete</v>
      </c>
      <c r="J2726" s="2">
        <v>475.18</v>
      </c>
      <c r="K2726" s="2" t="b">
        <v>0</v>
      </c>
      <c r="L2726" s="2"/>
      <c r="M2726" s="2"/>
      <c r="N2726" s="4" t="s">
        <v>2273</v>
      </c>
      <c r="O2726" s="4" t="str">
        <f>LEFT(Table2[[#This Row],[Description]],75)</f>
        <v>INTERNET PAYMENT - THANK YOU</v>
      </c>
      <c r="P2726" s="2" t="s">
        <v>2291</v>
      </c>
    </row>
    <row r="2727" spans="1:16" hidden="1">
      <c r="A2727" s="2">
        <v>202006</v>
      </c>
      <c r="B2727" s="3">
        <v>43994</v>
      </c>
      <c r="C2727" s="2" t="s">
        <v>2317</v>
      </c>
      <c r="D2727" s="2" t="s">
        <v>354</v>
      </c>
      <c r="E2727" s="2">
        <v>-200</v>
      </c>
      <c r="F2727" s="2" t="e">
        <f>IF(Table2[[#This Row],[Manual Cat Value]]="",VLOOKUP(Table2[[#This Row],[Description]],'Actuals Lookup'!D:F,3,0),Table2[[#This Row],[Manual Cat Value]])</f>
        <v>#N/A</v>
      </c>
      <c r="J2727" s="2">
        <v>200</v>
      </c>
      <c r="K2727" s="2" t="b">
        <v>0</v>
      </c>
      <c r="L2727" s="2"/>
      <c r="M2727" s="2"/>
      <c r="N2727" s="4" t="s">
        <v>2273</v>
      </c>
      <c r="O2727" s="4" t="str">
        <f>LEFT(Table2[[#This Row],[Description]],75)</f>
        <v>CARGILL COCOA &amp;</v>
      </c>
      <c r="P2727" s="2" t="s">
        <v>2354</v>
      </c>
    </row>
    <row r="2728" spans="1:16" hidden="1">
      <c r="A2728" s="2">
        <v>202006</v>
      </c>
      <c r="B2728" s="3">
        <v>43994</v>
      </c>
      <c r="C2728" s="2" t="s">
        <v>2460</v>
      </c>
      <c r="D2728" s="2" t="s">
        <v>354</v>
      </c>
      <c r="E2728" s="2">
        <v>-200</v>
      </c>
      <c r="F2728" s="2" t="e">
        <f>IF(Table2[[#This Row],[Manual Cat Value]]="",VLOOKUP(Table2[[#This Row],[Description]],'Actuals Lookup'!D:F,3,0),Table2[[#This Row],[Manual Cat Value]])</f>
        <v>#N/A</v>
      </c>
      <c r="J2728" s="2">
        <v>200</v>
      </c>
      <c r="K2728" s="2" t="b">
        <v>0</v>
      </c>
      <c r="L2728" s="2"/>
      <c r="M2728" s="2"/>
      <c r="N2728" s="4" t="s">
        <v>2273</v>
      </c>
      <c r="O2728" s="4" t="str">
        <f>LEFT(Table2[[#This Row],[Description]],75)</f>
        <v>CARGILL COCOA &amp;</v>
      </c>
      <c r="P2728" s="2" t="s">
        <v>2354</v>
      </c>
    </row>
    <row r="2729" spans="1:16" hidden="1">
      <c r="A2729" s="2">
        <v>202006</v>
      </c>
      <c r="B2729" s="3">
        <v>43994</v>
      </c>
      <c r="C2729" s="2" t="s">
        <v>2317</v>
      </c>
      <c r="D2729" s="2" t="s">
        <v>1633</v>
      </c>
      <c r="E2729" s="2">
        <v>500</v>
      </c>
      <c r="F2729" s="2" t="e">
        <f>IF(Table2[[#This Row],[Manual Cat Value]]="",VLOOKUP(Table2[[#This Row],[Description]],'Actuals Lookup'!D:F,3,0),Table2[[#This Row],[Manual Cat Value]])</f>
        <v>#N/A</v>
      </c>
      <c r="J2729" s="2">
        <v>500</v>
      </c>
      <c r="K2729" s="2" t="b">
        <v>0</v>
      </c>
      <c r="L2729" s="2"/>
      <c r="M2729" s="2"/>
      <c r="N2729" s="4" t="s">
        <v>2259</v>
      </c>
      <c r="O2729" s="4" t="str">
        <f>LEFT(Table2[[#This Row],[Description]],75)</f>
        <v>SCHWAB S&amp;P 500 INDEX FD</v>
      </c>
      <c r="P2729" s="2" t="s">
        <v>2276</v>
      </c>
    </row>
    <row r="2730" spans="1:16" hidden="1">
      <c r="A2730" s="2">
        <v>202006</v>
      </c>
      <c r="B2730" s="3">
        <v>43994</v>
      </c>
      <c r="C2730" s="2" t="s">
        <v>2460</v>
      </c>
      <c r="D2730" s="2" t="s">
        <v>1633</v>
      </c>
      <c r="E2730" s="2">
        <v>500</v>
      </c>
      <c r="F2730" s="2" t="e">
        <f>IF(Table2[[#This Row],[Manual Cat Value]]="",VLOOKUP(Table2[[#This Row],[Description]],'Actuals Lookup'!D:F,3,0),Table2[[#This Row],[Manual Cat Value]])</f>
        <v>#N/A</v>
      </c>
      <c r="J2730" s="2">
        <v>500</v>
      </c>
      <c r="K2730" s="2" t="b">
        <v>0</v>
      </c>
      <c r="L2730" s="2"/>
      <c r="M2730" s="2"/>
      <c r="N2730" s="4" t="s">
        <v>2259</v>
      </c>
      <c r="O2730" s="4" t="str">
        <f>LEFT(Table2[[#This Row],[Description]],75)</f>
        <v>SCHWAB S&amp;P 500 INDEX FD</v>
      </c>
      <c r="P2730" s="2" t="s">
        <v>2276</v>
      </c>
    </row>
    <row r="2731" spans="1:16" hidden="1">
      <c r="A2731" s="2">
        <v>202006</v>
      </c>
      <c r="B2731" s="3">
        <v>43994</v>
      </c>
      <c r="C2731" s="2" t="s">
        <v>2262</v>
      </c>
      <c r="D2731" s="2" t="s">
        <v>1697</v>
      </c>
      <c r="E2731" s="2">
        <v>-33</v>
      </c>
      <c r="F2731" s="2" t="e">
        <f>IF(Table2[[#This Row],[Manual Cat Value]]="",VLOOKUP(Table2[[#This Row],[Description]],'Actuals Lookup'!D:F,3,0),Table2[[#This Row],[Manual Cat Value]])</f>
        <v>#N/A</v>
      </c>
      <c r="J2731" s="2">
        <v>33</v>
      </c>
      <c r="K2731" s="2" t="b">
        <v>0</v>
      </c>
      <c r="L2731" s="2"/>
      <c r="M2731" s="2"/>
      <c r="N2731" s="4" t="s">
        <v>2273</v>
      </c>
      <c r="O2731" s="4" t="str">
        <f>LEFT(Table2[[#This Row],[Description]],75)</f>
        <v>Sp Sendjoeskcbbq Ks</v>
      </c>
      <c r="P2731" s="2" t="s">
        <v>2281</v>
      </c>
    </row>
    <row r="2732" spans="1:16" hidden="1">
      <c r="A2732" s="2">
        <v>202006</v>
      </c>
      <c r="B2732" s="3">
        <v>43994</v>
      </c>
      <c r="C2732" s="2" t="s">
        <v>2338</v>
      </c>
      <c r="D2732" s="2" t="s">
        <v>1820</v>
      </c>
      <c r="E2732" s="2">
        <v>-732.69</v>
      </c>
      <c r="F2732" s="2" t="e">
        <f>IF(Table2[[#This Row],[Manual Cat Value]]="",VLOOKUP(Table2[[#This Row],[Description]],'Actuals Lookup'!D:F,3,0),Table2[[#This Row],[Manual Cat Value]])</f>
        <v>#N/A</v>
      </c>
      <c r="J2732" s="2">
        <v>732.69</v>
      </c>
      <c r="K2732" s="2" t="b">
        <v>0</v>
      </c>
      <c r="L2732" s="2"/>
      <c r="M2732" s="2"/>
      <c r="N2732" s="4" t="s">
        <v>2273</v>
      </c>
      <c r="O2732" s="4" t="str">
        <f>LEFT(Table2[[#This Row],[Description]],75)</f>
        <v>Target Retire 2055 Tr P - Plan Contribution</v>
      </c>
      <c r="P2732" s="2" t="s">
        <v>2386</v>
      </c>
    </row>
    <row r="2733" spans="1:16" hidden="1">
      <c r="A2733" s="2">
        <v>202006</v>
      </c>
      <c r="B2733" s="3">
        <v>43994</v>
      </c>
      <c r="C2733" s="2" t="s">
        <v>2434</v>
      </c>
      <c r="D2733" s="2" t="s">
        <v>1834</v>
      </c>
      <c r="E2733" s="2">
        <v>-231</v>
      </c>
      <c r="F2733" s="2" t="e">
        <f>IF(Table2[[#This Row],[Manual Cat Value]]="",VLOOKUP(Table2[[#This Row],[Description]],'Actuals Lookup'!D:F,3,0),Table2[[#This Row],[Manual Cat Value]])</f>
        <v>#N/A</v>
      </c>
      <c r="J2733" s="2">
        <v>231</v>
      </c>
      <c r="K2733" s="2" t="b">
        <v>0</v>
      </c>
      <c r="L2733" s="2"/>
      <c r="M2733" s="2"/>
      <c r="N2733" s="4" t="s">
        <v>2273</v>
      </c>
      <c r="O2733" s="4" t="str">
        <f>LEFT(Table2[[#This Row],[Description]],75)</f>
        <v>Tfr JPMORGAN CHASE BAN, CARGILL COCOA &amp;</v>
      </c>
      <c r="P2733" s="2" t="s">
        <v>2356</v>
      </c>
    </row>
    <row r="2734" spans="1:16" hidden="1">
      <c r="A2734" s="2">
        <v>202006</v>
      </c>
      <c r="B2734" s="3">
        <v>43994</v>
      </c>
      <c r="C2734" s="2" t="s">
        <v>2265</v>
      </c>
      <c r="D2734" s="2" t="s">
        <v>2147</v>
      </c>
      <c r="E2734" s="2">
        <v>203</v>
      </c>
      <c r="F2734" s="2" t="e">
        <f>IF(Table2[[#This Row],[Manual Cat Value]]="",VLOOKUP(Table2[[#This Row],[Description]],'Actuals Lookup'!D:F,3,0),Table2[[#This Row],[Manual Cat Value]])</f>
        <v>#N/A</v>
      </c>
      <c r="J2734" s="2">
        <v>203</v>
      </c>
      <c r="K2734" s="2" t="b">
        <v>0</v>
      </c>
      <c r="L2734" s="2"/>
      <c r="M2734" s="2"/>
      <c r="N2734" s="4" t="s">
        <v>2259</v>
      </c>
      <c r="O2734" s="4" t="str">
        <f>LEFT(Table2[[#This Row],[Description]],75)</f>
        <v>Wells Fargo Bank</v>
      </c>
      <c r="P2734" s="2" t="s">
        <v>2281</v>
      </c>
    </row>
    <row r="2735" spans="1:16" hidden="1">
      <c r="A2735" s="2">
        <v>202006</v>
      </c>
      <c r="B2735" s="3">
        <v>43996</v>
      </c>
      <c r="C2735" s="2" t="s">
        <v>2262</v>
      </c>
      <c r="D2735" s="2" t="s">
        <v>684</v>
      </c>
      <c r="E2735" s="2">
        <v>45.51</v>
      </c>
      <c r="F2735" s="2" t="str">
        <f>IF(Table2[[#This Row],[Manual Cat Value]]="",VLOOKUP(Table2[[#This Row],[Description]],'Actuals Lookup'!D:F,3,0),Table2[[#This Row],[Manual Cat Value]])</f>
        <v>Groceries</v>
      </c>
      <c r="J2735" s="2">
        <v>45.51</v>
      </c>
      <c r="K2735" s="2" t="b">
        <v>0</v>
      </c>
      <c r="L2735" s="2"/>
      <c r="M2735" s="2"/>
      <c r="N2735" s="4" t="s">
        <v>2259</v>
      </c>
      <c r="O2735" s="4" t="str">
        <f>LEFT(Table2[[#This Row],[Description]],75)</f>
        <v>Cub Foods</v>
      </c>
      <c r="P2735" s="2" t="s">
        <v>2370</v>
      </c>
    </row>
    <row r="2736" spans="1:16" hidden="1">
      <c r="A2736" s="2">
        <v>202006</v>
      </c>
      <c r="B2736" s="3">
        <v>43996</v>
      </c>
      <c r="C2736" s="2" t="s">
        <v>2262</v>
      </c>
      <c r="D2736" s="2" t="s">
        <v>808</v>
      </c>
      <c r="E2736" s="2">
        <v>35</v>
      </c>
      <c r="F2736" s="2" t="str">
        <f>IF(Table2[[#This Row],[Manual Cat Value]]="",VLOOKUP(Table2[[#This Row],[Description]],'Actuals Lookup'!D:F,3,0),Table2[[#This Row],[Manual Cat Value]])</f>
        <v>Misc</v>
      </c>
      <c r="J2736" s="2">
        <v>35</v>
      </c>
      <c r="K2736" s="2" t="b">
        <v>0</v>
      </c>
      <c r="L2736" s="2"/>
      <c r="M2736" s="2"/>
      <c r="N2736" s="4" t="s">
        <v>2259</v>
      </c>
      <c r="O2736" s="4" t="str">
        <f>LEFT(Table2[[#This Row],[Description]],75)</f>
        <v>Elite Nails</v>
      </c>
      <c r="P2736" s="2" t="s">
        <v>2487</v>
      </c>
    </row>
    <row r="2737" spans="1:16" hidden="1">
      <c r="A2737" s="2">
        <v>202006</v>
      </c>
      <c r="B2737" s="3">
        <v>43996</v>
      </c>
      <c r="C2737" s="2" t="s">
        <v>2262</v>
      </c>
      <c r="D2737" s="2" t="s">
        <v>944</v>
      </c>
      <c r="E2737" s="2">
        <v>29.57</v>
      </c>
      <c r="F2737" s="2" t="e">
        <f>IF(Table2[[#This Row],[Manual Cat Value]]="",VLOOKUP(Table2[[#This Row],[Description]],'Actuals Lookup'!D:F,3,0),Table2[[#This Row],[Manual Cat Value]])</f>
        <v>#N/A</v>
      </c>
      <c r="J2737" s="2">
        <v>29.57</v>
      </c>
      <c r="K2737" s="2" t="b">
        <v>0</v>
      </c>
      <c r="L2737" s="2"/>
      <c r="M2737" s="2"/>
      <c r="N2737" s="4" t="s">
        <v>2259</v>
      </c>
      <c r="O2737" s="4" t="str">
        <f>LEFT(Table2[[#This Row],[Description]],75)</f>
        <v>Holiday Stationstore</v>
      </c>
      <c r="P2737" s="2" t="s">
        <v>2374</v>
      </c>
    </row>
    <row r="2738" spans="1:16" hidden="1">
      <c r="A2738" s="2">
        <v>202006</v>
      </c>
      <c r="B2738" s="3">
        <v>43996</v>
      </c>
      <c r="C2738" s="2" t="s">
        <v>2265</v>
      </c>
      <c r="D2738" s="2" t="s">
        <v>1063</v>
      </c>
      <c r="E2738" s="2">
        <v>-2688.27</v>
      </c>
      <c r="F2738" s="2" t="e">
        <f>IF(Table2[[#This Row],[Manual Cat Value]]="",VLOOKUP(Table2[[#This Row],[Description]],'Actuals Lookup'!D:F,3,0),Table2[[#This Row],[Manual Cat Value]])</f>
        <v>#N/A</v>
      </c>
      <c r="J2738" s="2">
        <v>2688.27</v>
      </c>
      <c r="K2738" s="2" t="b">
        <v>0</v>
      </c>
      <c r="L2738" s="2"/>
      <c r="M2738" s="2"/>
      <c r="N2738" s="4" t="s">
        <v>2273</v>
      </c>
      <c r="O2738" s="4" t="str">
        <f>LEFT(Table2[[#This Row],[Description]],75)</f>
        <v>KAUFMAN HALL TYPE DIRECT DEP ID CO KAUFMAN HALL ACH ECC PPD ACH Trace 93065</v>
      </c>
      <c r="P2738" s="2" t="s">
        <v>2285</v>
      </c>
    </row>
    <row r="2739" spans="1:16" hidden="1">
      <c r="A2739" s="2">
        <v>202006</v>
      </c>
      <c r="B2739" s="3">
        <v>43996</v>
      </c>
      <c r="C2739" s="2" t="s">
        <v>2262</v>
      </c>
      <c r="D2739" s="2" t="s">
        <v>1079</v>
      </c>
      <c r="E2739" s="2">
        <v>52.59</v>
      </c>
      <c r="F2739" s="2" t="e">
        <f>IF(Table2[[#This Row],[Manual Cat Value]]="",VLOOKUP(Table2[[#This Row],[Description]],'Actuals Lookup'!D:F,3,0),Table2[[#This Row],[Manual Cat Value]])</f>
        <v>#N/A</v>
      </c>
      <c r="J2739" s="2">
        <v>52.59</v>
      </c>
      <c r="K2739" s="2" t="b">
        <v>0</v>
      </c>
      <c r="L2739" s="2"/>
      <c r="M2739" s="2"/>
      <c r="N2739" s="4" t="s">
        <v>2259</v>
      </c>
      <c r="O2739" s="4" t="str">
        <f>LEFT(Table2[[#This Row],[Description]],75)</f>
        <v>Kowalski's</v>
      </c>
      <c r="P2739" s="2" t="s">
        <v>2281</v>
      </c>
    </row>
    <row r="2740" spans="1:16" hidden="1">
      <c r="A2740" s="2">
        <v>202006</v>
      </c>
      <c r="B2740" s="3">
        <v>43996</v>
      </c>
      <c r="C2740" s="2" t="s">
        <v>2447</v>
      </c>
      <c r="D2740" s="2" t="s">
        <v>1773</v>
      </c>
      <c r="E2740" s="2">
        <v>15</v>
      </c>
      <c r="F2740" s="2" t="str">
        <f>IF(Table2[[#This Row],[Manual Cat Value]]="",VLOOKUP(Table2[[#This Row],[Description]],'Actuals Lookup'!D:F,3,0),Table2[[#This Row],[Manual Cat Value]])</f>
        <v>Restaurants</v>
      </c>
      <c r="J2740" s="2">
        <v>15</v>
      </c>
      <c r="K2740" s="2" t="b">
        <v>0</v>
      </c>
      <c r="L2740" s="2"/>
      <c r="M2740" s="2"/>
      <c r="N2740" s="4" t="s">
        <v>2259</v>
      </c>
      <c r="O2740" s="4" t="str">
        <f>LEFT(Table2[[#This Row],[Description]],75)</f>
        <v>Starbucks</v>
      </c>
      <c r="P2740" s="2" t="s">
        <v>2454</v>
      </c>
    </row>
    <row r="2741" spans="1:16" hidden="1">
      <c r="A2741" s="2">
        <v>202006</v>
      </c>
      <c r="B2741" s="3">
        <v>43996</v>
      </c>
      <c r="C2741" s="2" t="s">
        <v>2258</v>
      </c>
      <c r="D2741" s="2" t="s">
        <v>1773</v>
      </c>
      <c r="E2741" s="2">
        <v>15</v>
      </c>
      <c r="F2741" s="2" t="str">
        <f>IF(Table2[[#This Row],[Manual Cat Value]]="",VLOOKUP(Table2[[#This Row],[Description]],'Actuals Lookup'!D:F,3,0),Table2[[#This Row],[Manual Cat Value]])</f>
        <v>Restaurants</v>
      </c>
      <c r="J2741" s="2">
        <v>15</v>
      </c>
      <c r="K2741" s="2" t="b">
        <v>0</v>
      </c>
      <c r="L2741" s="2"/>
      <c r="M2741" s="2"/>
      <c r="N2741" s="4" t="s">
        <v>2259</v>
      </c>
      <c r="O2741" s="4" t="str">
        <f>LEFT(Table2[[#This Row],[Description]],75)</f>
        <v>Starbucks</v>
      </c>
      <c r="P2741" s="2" t="s">
        <v>2454</v>
      </c>
    </row>
    <row r="2742" spans="1:16" hidden="1">
      <c r="A2742" s="2">
        <v>202006</v>
      </c>
      <c r="B2742" s="3">
        <v>43997</v>
      </c>
      <c r="C2742" s="2" t="s">
        <v>2265</v>
      </c>
      <c r="D2742" s="2" t="s">
        <v>756</v>
      </c>
      <c r="E2742" s="2">
        <v>475.18</v>
      </c>
      <c r="F2742" s="2" t="e">
        <f>IF(Table2[[#This Row],[Manual Cat Value]]="",VLOOKUP(Table2[[#This Row],[Description]],'Actuals Lookup'!D:F,3,0),Table2[[#This Row],[Manual Cat Value]])</f>
        <v>#N/A</v>
      </c>
      <c r="J2742" s="2">
        <v>475.18</v>
      </c>
      <c r="K2742" s="2" t="b">
        <v>0</v>
      </c>
      <c r="L2742" s="2"/>
      <c r="M2742" s="2"/>
      <c r="N2742" s="4" t="s">
        <v>2259</v>
      </c>
      <c r="O2742" s="4" t="str">
        <f>LEFT(Table2[[#This Row],[Description]],75)</f>
        <v>DISCOVER TYPE EPAYMENT ID CO DISCOVER ACH ECC WEB ACH Trace 30184 318454192</v>
      </c>
      <c r="P2742" s="2" t="s">
        <v>2293</v>
      </c>
    </row>
    <row r="2743" spans="1:16" hidden="1">
      <c r="A2743" s="2">
        <v>202006</v>
      </c>
      <c r="B2743" s="3">
        <v>43997</v>
      </c>
      <c r="C2743" s="2" t="s">
        <v>2265</v>
      </c>
      <c r="D2743" s="2" t="s">
        <v>131</v>
      </c>
      <c r="E2743" s="2">
        <v>114.38</v>
      </c>
      <c r="F2743" s="2" t="str">
        <f>IF(Table2[[#This Row],[Manual Cat Value]]="",VLOOKUP(Table2[[#This Row],[Description]],'Actuals Lookup'!D:F,3,0),Table2[[#This Row],[Manual Cat Value]])</f>
        <v>Insurance</v>
      </c>
      <c r="J2743" s="2">
        <v>114.38</v>
      </c>
      <c r="K2743" s="2" t="b">
        <v>0</v>
      </c>
      <c r="L2743" s="2"/>
      <c r="M2743" s="2"/>
      <c r="N2743" s="4" t="s">
        <v>2259</v>
      </c>
      <c r="O2743" s="4" t="str">
        <f>LEFT(Table2[[#This Row],[Description]],75)</f>
        <v>American Family Insurance</v>
      </c>
      <c r="P2743" s="2" t="s">
        <v>2286</v>
      </c>
    </row>
    <row r="2744" spans="1:16" hidden="1">
      <c r="A2744" s="2">
        <v>202006</v>
      </c>
      <c r="B2744" s="3">
        <v>43997</v>
      </c>
      <c r="C2744" s="2" t="s">
        <v>2317</v>
      </c>
      <c r="D2744" s="2" t="s">
        <v>1037</v>
      </c>
      <c r="E2744" s="2">
        <v>-250</v>
      </c>
      <c r="F2744" s="2" t="e">
        <f>IF(Table2[[#This Row],[Manual Cat Value]]="",VLOOKUP(Table2[[#This Row],[Description]],'Actuals Lookup'!D:F,3,0),Table2[[#This Row],[Manual Cat Value]])</f>
        <v>#N/A</v>
      </c>
      <c r="J2744" s="2">
        <v>250</v>
      </c>
      <c r="K2744" s="2" t="b">
        <v>0</v>
      </c>
      <c r="L2744" s="2"/>
      <c r="M2744" s="2"/>
      <c r="N2744" s="4" t="s">
        <v>2273</v>
      </c>
      <c r="O2744" s="4" t="str">
        <f>LEFT(Table2[[#This Row],[Description]],75)</f>
        <v>KAUFMAN HALL</v>
      </c>
      <c r="P2744" s="2" t="s">
        <v>2375</v>
      </c>
    </row>
    <row r="2745" spans="1:16" hidden="1">
      <c r="A2745" s="2">
        <v>202006</v>
      </c>
      <c r="B2745" s="3">
        <v>43997</v>
      </c>
      <c r="C2745" s="2" t="s">
        <v>2460</v>
      </c>
      <c r="D2745" s="2" t="s">
        <v>1037</v>
      </c>
      <c r="E2745" s="2">
        <v>-250</v>
      </c>
      <c r="F2745" s="2" t="e">
        <f>IF(Table2[[#This Row],[Manual Cat Value]]="",VLOOKUP(Table2[[#This Row],[Description]],'Actuals Lookup'!D:F,3,0),Table2[[#This Row],[Manual Cat Value]])</f>
        <v>#N/A</v>
      </c>
      <c r="J2745" s="2">
        <v>250</v>
      </c>
      <c r="K2745" s="2" t="b">
        <v>0</v>
      </c>
      <c r="L2745" s="2"/>
      <c r="M2745" s="2"/>
      <c r="N2745" s="4" t="s">
        <v>2273</v>
      </c>
      <c r="O2745" s="4" t="str">
        <f>LEFT(Table2[[#This Row],[Description]],75)</f>
        <v>KAUFMAN HALL</v>
      </c>
      <c r="P2745" s="2" t="s">
        <v>2375</v>
      </c>
    </row>
    <row r="2746" spans="1:16" hidden="1">
      <c r="A2746" s="2">
        <v>202006</v>
      </c>
      <c r="B2746" s="3">
        <v>43997</v>
      </c>
      <c r="C2746" s="2" t="s">
        <v>2262</v>
      </c>
      <c r="D2746" s="2" t="s">
        <v>1188</v>
      </c>
      <c r="E2746" s="2">
        <v>11.77</v>
      </c>
      <c r="F2746" s="2" t="str">
        <f>IF(Table2[[#This Row],[Manual Cat Value]]="",VLOOKUP(Table2[[#This Row],[Description]],'Actuals Lookup'!D:F,3,0),Table2[[#This Row],[Manual Cat Value]])</f>
        <v>Restaurants</v>
      </c>
      <c r="J2746" s="2">
        <v>11.77</v>
      </c>
      <c r="K2746" s="2" t="b">
        <v>0</v>
      </c>
      <c r="L2746" s="2"/>
      <c r="M2746" s="2"/>
      <c r="N2746" s="4" t="s">
        <v>2259</v>
      </c>
      <c r="O2746" s="4" t="str">
        <f>LEFT(Table2[[#This Row],[Description]],75)</f>
        <v>McDonald's</v>
      </c>
      <c r="P2746" s="2" t="s">
        <v>2340</v>
      </c>
    </row>
    <row r="2747" spans="1:16" hidden="1">
      <c r="A2747" s="2">
        <v>202006</v>
      </c>
      <c r="B2747" s="3">
        <v>43997</v>
      </c>
      <c r="C2747" s="2" t="s">
        <v>2262</v>
      </c>
      <c r="D2747" s="2" t="s">
        <v>1659</v>
      </c>
      <c r="E2747" s="2">
        <v>25.24</v>
      </c>
      <c r="F2747" s="2" t="e">
        <f>IF(Table2[[#This Row],[Manual Cat Value]]="",VLOOKUP(Table2[[#This Row],[Description]],'Actuals Lookup'!D:F,3,0),Table2[[#This Row],[Manual Cat Value]])</f>
        <v>#N/A</v>
      </c>
      <c r="J2747" s="2">
        <v>25.24</v>
      </c>
      <c r="K2747" s="2" t="b">
        <v>0</v>
      </c>
      <c r="L2747" s="2"/>
      <c r="M2747" s="2"/>
      <c r="N2747" s="4" t="s">
        <v>2259</v>
      </c>
      <c r="O2747" s="4" t="str">
        <f>LEFT(Table2[[#This Row],[Description]],75)</f>
        <v>Shorewood Liquor, LLC</v>
      </c>
      <c r="P2747" s="2" t="s">
        <v>2477</v>
      </c>
    </row>
    <row r="2748" spans="1:16" hidden="1">
      <c r="A2748" s="2">
        <v>202006</v>
      </c>
      <c r="B2748" s="3">
        <v>43997</v>
      </c>
      <c r="C2748" s="2" t="s">
        <v>2435</v>
      </c>
      <c r="D2748" s="2" t="s">
        <v>1837</v>
      </c>
      <c r="E2748" s="2">
        <v>-250</v>
      </c>
      <c r="F2748" s="2" t="e">
        <f>IF(Table2[[#This Row],[Manual Cat Value]]="",VLOOKUP(Table2[[#This Row],[Description]],'Actuals Lookup'!D:F,3,0),Table2[[#This Row],[Manual Cat Value]])</f>
        <v>#N/A</v>
      </c>
      <c r="J2748" s="2">
        <v>250</v>
      </c>
      <c r="K2748" s="2" t="b">
        <v>0</v>
      </c>
      <c r="L2748" s="2"/>
      <c r="M2748" s="2"/>
      <c r="N2748" s="4" t="s">
        <v>2273</v>
      </c>
      <c r="O2748" s="4" t="str">
        <f>LEFT(Table2[[#This Row],[Description]],75)</f>
        <v>Tfr JPMORGAN CHASE BAN, KAUFMAN HALL</v>
      </c>
      <c r="P2748" s="2" t="s">
        <v>2288</v>
      </c>
    </row>
    <row r="2749" spans="1:16" hidden="1">
      <c r="A2749" s="2">
        <v>202006</v>
      </c>
      <c r="B2749" s="3">
        <v>43997</v>
      </c>
      <c r="C2749" s="2" t="s">
        <v>2265</v>
      </c>
      <c r="D2749" s="2" t="s">
        <v>2109</v>
      </c>
      <c r="E2749" s="2">
        <v>30</v>
      </c>
      <c r="F2749" s="2" t="str">
        <f>IF(Table2[[#This Row],[Manual Cat Value]]="",VLOOKUP(Table2[[#This Row],[Description]],'Actuals Lookup'!D:F,3,0),Table2[[#This Row],[Manual Cat Value]])</f>
        <v>Shopping</v>
      </c>
      <c r="J2749" s="2">
        <v>30</v>
      </c>
      <c r="K2749" s="2" t="b">
        <v>0</v>
      </c>
      <c r="L2749" s="2"/>
      <c r="M2749" s="2"/>
      <c r="N2749" s="4" t="s">
        <v>2259</v>
      </c>
      <c r="O2749" s="4" t="str">
        <f>LEFT(Table2[[#This Row],[Description]],75)</f>
        <v>Venmo</v>
      </c>
      <c r="P2749" s="2" t="s">
        <v>2281</v>
      </c>
    </row>
    <row r="2750" spans="1:16" hidden="1">
      <c r="A2750" s="2">
        <v>202006</v>
      </c>
      <c r="B2750" s="3">
        <v>43997</v>
      </c>
      <c r="C2750" s="2" t="s">
        <v>2265</v>
      </c>
      <c r="D2750" s="2" t="s">
        <v>2109</v>
      </c>
      <c r="E2750" s="2">
        <v>60</v>
      </c>
      <c r="F2750" s="2" t="str">
        <f>IF(Table2[[#This Row],[Manual Cat Value]]="",VLOOKUP(Table2[[#This Row],[Description]],'Actuals Lookup'!D:F,3,0),Table2[[#This Row],[Manual Cat Value]])</f>
        <v>Shopping</v>
      </c>
      <c r="J2750" s="2">
        <v>60</v>
      </c>
      <c r="K2750" s="2" t="b">
        <v>0</v>
      </c>
      <c r="L2750" s="2"/>
      <c r="M2750" s="2"/>
      <c r="N2750" s="4" t="s">
        <v>2259</v>
      </c>
      <c r="O2750" s="4" t="str">
        <f>LEFT(Table2[[#This Row],[Description]],75)</f>
        <v>Venmo</v>
      </c>
      <c r="P2750" s="2" t="s">
        <v>2281</v>
      </c>
    </row>
    <row r="2751" spans="1:16" hidden="1">
      <c r="A2751" s="2">
        <v>202006</v>
      </c>
      <c r="B2751" s="3">
        <v>43997</v>
      </c>
      <c r="C2751" s="2" t="s">
        <v>2265</v>
      </c>
      <c r="D2751" s="2" t="s">
        <v>2109</v>
      </c>
      <c r="E2751" s="2">
        <v>400</v>
      </c>
      <c r="F2751" s="2" t="str">
        <f>IF(Table2[[#This Row],[Manual Cat Value]]="",VLOOKUP(Table2[[#This Row],[Description]],'Actuals Lookup'!D:F,3,0),Table2[[#This Row],[Manual Cat Value]])</f>
        <v>Shopping</v>
      </c>
      <c r="J2751" s="2">
        <v>400</v>
      </c>
      <c r="K2751" s="2" t="b">
        <v>0</v>
      </c>
      <c r="L2751" s="2"/>
      <c r="M2751" s="2"/>
      <c r="N2751" s="4" t="s">
        <v>2259</v>
      </c>
      <c r="O2751" s="4" t="str">
        <f>LEFT(Table2[[#This Row],[Description]],75)</f>
        <v>Venmo</v>
      </c>
      <c r="P2751" s="2" t="s">
        <v>2281</v>
      </c>
    </row>
    <row r="2752" spans="1:16" hidden="1">
      <c r="A2752" s="2">
        <v>202006</v>
      </c>
      <c r="B2752" s="3">
        <v>43997</v>
      </c>
      <c r="C2752" s="2" t="s">
        <v>2274</v>
      </c>
      <c r="D2752" s="2" t="s">
        <v>2110</v>
      </c>
      <c r="E2752" s="2">
        <v>-150</v>
      </c>
      <c r="F2752" s="2" t="e">
        <f>IF(Table2[[#This Row],[Manual Cat Value]]="",VLOOKUP(Table2[[#This Row],[Description]],'Actuals Lookup'!D:F,3,0),Table2[[#This Row],[Manual Cat Value]])</f>
        <v>#N/A</v>
      </c>
      <c r="J2752" s="2">
        <v>150</v>
      </c>
      <c r="K2752" s="2" t="b">
        <v>0</v>
      </c>
      <c r="L2752" s="2"/>
      <c r="M2752" s="2"/>
      <c r="N2752" s="4" t="s">
        <v>2273</v>
      </c>
      <c r="O2752" s="4" t="str">
        <f>LEFT(Table2[[#This Row],[Description]],75)</f>
        <v>Venmo Cashout</v>
      </c>
      <c r="P2752" s="2" t="s">
        <v>2281</v>
      </c>
    </row>
    <row r="2753" spans="1:16" hidden="1">
      <c r="A2753" s="2">
        <v>202006</v>
      </c>
      <c r="B2753" s="3">
        <v>43998</v>
      </c>
      <c r="C2753" s="2" t="s">
        <v>2434</v>
      </c>
      <c r="D2753" s="2" t="s">
        <v>226</v>
      </c>
      <c r="E2753" s="2">
        <v>-0.06</v>
      </c>
      <c r="F2753" s="2" t="e">
        <f>IF(Table2[[#This Row],[Manual Cat Value]]="",VLOOKUP(Table2[[#This Row],[Description]],'Actuals Lookup'!D:F,3,0),Table2[[#This Row],[Manual Cat Value]])</f>
        <v>#N/A</v>
      </c>
      <c r="J2753" s="2">
        <v>0.06</v>
      </c>
      <c r="K2753" s="2" t="b">
        <v>0</v>
      </c>
      <c r="L2753" s="2"/>
      <c r="M2753" s="2"/>
      <c r="N2753" s="4" t="s">
        <v>2273</v>
      </c>
      <c r="O2753" s="4" t="str">
        <f>LEFT(Table2[[#This Row],[Description]],75)</f>
        <v>BANK INT 051620-061520 SCHWAB PREMIER BANK</v>
      </c>
      <c r="P2753" s="2" t="s">
        <v>2281</v>
      </c>
    </row>
    <row r="2754" spans="1:16" hidden="1">
      <c r="A2754" s="2">
        <v>202006</v>
      </c>
      <c r="B2754" s="3">
        <v>43998</v>
      </c>
      <c r="C2754" s="2" t="s">
        <v>2435</v>
      </c>
      <c r="D2754" s="2" t="s">
        <v>226</v>
      </c>
      <c r="E2754" s="2">
        <v>-0.04</v>
      </c>
      <c r="F2754" s="2" t="e">
        <f>IF(Table2[[#This Row],[Manual Cat Value]]="",VLOOKUP(Table2[[#This Row],[Description]],'Actuals Lookup'!D:F,3,0),Table2[[#This Row],[Manual Cat Value]])</f>
        <v>#N/A</v>
      </c>
      <c r="J2754" s="2">
        <v>0.04</v>
      </c>
      <c r="K2754" s="2" t="b">
        <v>0</v>
      </c>
      <c r="L2754" s="2"/>
      <c r="M2754" s="2"/>
      <c r="N2754" s="4" t="s">
        <v>2273</v>
      </c>
      <c r="O2754" s="4" t="str">
        <f>LEFT(Table2[[#This Row],[Description]],75)</f>
        <v>BANK INT 051620-061520 SCHWAB PREMIER BANK</v>
      </c>
      <c r="P2754" s="2" t="s">
        <v>2281</v>
      </c>
    </row>
    <row r="2755" spans="1:16" hidden="1">
      <c r="A2755" s="2">
        <v>202006</v>
      </c>
      <c r="B2755" s="3">
        <v>43998</v>
      </c>
      <c r="C2755" s="2" t="s">
        <v>2262</v>
      </c>
      <c r="D2755" s="2" t="s">
        <v>684</v>
      </c>
      <c r="E2755" s="2">
        <v>5.16</v>
      </c>
      <c r="F2755" s="2" t="str">
        <f>IF(Table2[[#This Row],[Manual Cat Value]]="",VLOOKUP(Table2[[#This Row],[Description]],'Actuals Lookup'!D:F,3,0),Table2[[#This Row],[Manual Cat Value]])</f>
        <v>Groceries</v>
      </c>
      <c r="J2755" s="2">
        <v>5.16</v>
      </c>
      <c r="K2755" s="2" t="b">
        <v>0</v>
      </c>
      <c r="L2755" s="2"/>
      <c r="M2755" s="2"/>
      <c r="N2755" s="4" t="s">
        <v>2259</v>
      </c>
      <c r="O2755" s="4" t="str">
        <f>LEFT(Table2[[#This Row],[Description]],75)</f>
        <v>Cub Foods</v>
      </c>
      <c r="P2755" s="2" t="s">
        <v>2370</v>
      </c>
    </row>
    <row r="2756" spans="1:16" hidden="1">
      <c r="A2756" s="2">
        <v>202006</v>
      </c>
      <c r="B2756" s="3">
        <v>43998</v>
      </c>
      <c r="C2756" s="2" t="s">
        <v>2262</v>
      </c>
      <c r="D2756" s="2" t="s">
        <v>684</v>
      </c>
      <c r="E2756" s="2">
        <v>9.3800000000000008</v>
      </c>
      <c r="F2756" s="2" t="str">
        <f>IF(Table2[[#This Row],[Manual Cat Value]]="",VLOOKUP(Table2[[#This Row],[Description]],'Actuals Lookup'!D:F,3,0),Table2[[#This Row],[Manual Cat Value]])</f>
        <v>Groceries</v>
      </c>
      <c r="J2756" s="2">
        <v>9.3800000000000008</v>
      </c>
      <c r="K2756" s="2" t="b">
        <v>0</v>
      </c>
      <c r="L2756" s="2"/>
      <c r="M2756" s="2"/>
      <c r="N2756" s="4" t="s">
        <v>2259</v>
      </c>
      <c r="O2756" s="4" t="str">
        <f>LEFT(Table2[[#This Row],[Description]],75)</f>
        <v>Cub Foods</v>
      </c>
      <c r="P2756" s="2" t="s">
        <v>2370</v>
      </c>
    </row>
    <row r="2757" spans="1:16" hidden="1">
      <c r="A2757" s="2">
        <v>202006</v>
      </c>
      <c r="B2757" s="3">
        <v>43998</v>
      </c>
      <c r="C2757" s="2" t="s">
        <v>2262</v>
      </c>
      <c r="D2757" s="2" t="s">
        <v>947</v>
      </c>
      <c r="E2757" s="2">
        <v>-41.19</v>
      </c>
      <c r="F2757" s="2" t="e">
        <f>IF(Table2[[#This Row],[Manual Cat Value]]="",VLOOKUP(Table2[[#This Row],[Description]],'Actuals Lookup'!D:F,3,0),Table2[[#This Row],[Manual Cat Value]])</f>
        <v>#N/A</v>
      </c>
      <c r="J2757" s="2">
        <v>41.19</v>
      </c>
      <c r="K2757" s="2" t="b">
        <v>0</v>
      </c>
      <c r="L2757" s="2"/>
      <c r="M2757" s="2"/>
      <c r="N2757" s="4" t="s">
        <v>2273</v>
      </c>
      <c r="O2757" s="4" t="str">
        <f>LEFT(Table2[[#This Row],[Description]],75)</f>
        <v>Home Depot</v>
      </c>
      <c r="P2757" s="2" t="s">
        <v>2396</v>
      </c>
    </row>
    <row r="2758" spans="1:16" hidden="1">
      <c r="A2758" s="2">
        <v>202006</v>
      </c>
      <c r="B2758" s="3">
        <v>43998</v>
      </c>
      <c r="C2758" s="2" t="s">
        <v>2265</v>
      </c>
      <c r="D2758" s="2" t="s">
        <v>1471</v>
      </c>
      <c r="E2758" s="2">
        <v>120.55</v>
      </c>
      <c r="F2758" s="2" t="str">
        <f>IF(Table2[[#This Row],[Manual Cat Value]]="",VLOOKUP(Table2[[#This Row],[Description]],'Actuals Lookup'!D:F,3,0),Table2[[#This Row],[Manual Cat Value]])</f>
        <v>Shopping</v>
      </c>
      <c r="J2758" s="2">
        <v>120.55</v>
      </c>
      <c r="K2758" s="2" t="b">
        <v>0</v>
      </c>
      <c r="L2758" s="2"/>
      <c r="M2758" s="2"/>
      <c r="N2758" s="4" t="s">
        <v>2259</v>
      </c>
      <c r="O2758" s="4" t="str">
        <f>LEFT(Table2[[#This Row],[Description]],75)</f>
        <v>PayPal</v>
      </c>
      <c r="P2758" s="2" t="s">
        <v>2322</v>
      </c>
    </row>
    <row r="2759" spans="1:16" hidden="1">
      <c r="A2759" s="2">
        <v>202006</v>
      </c>
      <c r="B2759" s="3">
        <v>43999</v>
      </c>
      <c r="C2759" s="2" t="s">
        <v>2447</v>
      </c>
      <c r="D2759" s="2" t="s">
        <v>38</v>
      </c>
      <c r="E2759" s="2">
        <v>27.31</v>
      </c>
      <c r="F2759" s="2" t="str">
        <f>IF(Table2[[#This Row],[Manual Cat Value]]="",VLOOKUP(Table2[[#This Row],[Description]],'Actuals Lookup'!D:F,3,0),Table2[[#This Row],[Manual Cat Value]])</f>
        <v>Amazon</v>
      </c>
      <c r="J2759" s="2">
        <v>27.31</v>
      </c>
      <c r="K2759" s="2" t="b">
        <v>0</v>
      </c>
      <c r="L2759" s="2"/>
      <c r="M2759" s="2"/>
      <c r="N2759" s="4" t="s">
        <v>2259</v>
      </c>
      <c r="O2759" s="4" t="str">
        <f>LEFT(Table2[[#This Row],[Description]],75)</f>
        <v>Amazon</v>
      </c>
      <c r="P2759" s="2" t="s">
        <v>2260</v>
      </c>
    </row>
    <row r="2760" spans="1:16" hidden="1">
      <c r="A2760" s="2">
        <v>202006</v>
      </c>
      <c r="B2760" s="3">
        <v>43999</v>
      </c>
      <c r="C2760" s="2" t="s">
        <v>2258</v>
      </c>
      <c r="D2760" s="2" t="s">
        <v>38</v>
      </c>
      <c r="E2760" s="2">
        <v>27.31</v>
      </c>
      <c r="F2760" s="2" t="str">
        <f>IF(Table2[[#This Row],[Manual Cat Value]]="",VLOOKUP(Table2[[#This Row],[Description]],'Actuals Lookup'!D:F,3,0),Table2[[#This Row],[Manual Cat Value]])</f>
        <v>Amazon</v>
      </c>
      <c r="J2760" s="2">
        <v>27.31</v>
      </c>
      <c r="K2760" s="2" t="b">
        <v>0</v>
      </c>
      <c r="L2760" s="2"/>
      <c r="M2760" s="2"/>
      <c r="N2760" s="4" t="s">
        <v>2259</v>
      </c>
      <c r="O2760" s="4" t="str">
        <f>LEFT(Table2[[#This Row],[Description]],75)</f>
        <v>Amazon</v>
      </c>
      <c r="P2760" s="2" t="s">
        <v>2260</v>
      </c>
    </row>
    <row r="2761" spans="1:16" hidden="1">
      <c r="A2761" s="2">
        <v>202006</v>
      </c>
      <c r="B2761" s="3">
        <v>43999</v>
      </c>
      <c r="C2761" s="2" t="s">
        <v>2262</v>
      </c>
      <c r="D2761" s="2" t="s">
        <v>453</v>
      </c>
      <c r="E2761" s="2">
        <v>5.57</v>
      </c>
      <c r="F2761" s="2" t="str">
        <f>IF(Table2[[#This Row],[Manual Cat Value]]="",VLOOKUP(Table2[[#This Row],[Description]],'Actuals Lookup'!D:F,3,0),Table2[[#This Row],[Manual Cat Value]])</f>
        <v>Restaurants</v>
      </c>
      <c r="J2761" s="2">
        <v>5.57</v>
      </c>
      <c r="K2761" s="2" t="b">
        <v>0</v>
      </c>
      <c r="L2761" s="2"/>
      <c r="M2761" s="2"/>
      <c r="N2761" s="4" t="s">
        <v>2259</v>
      </c>
      <c r="O2761" s="4" t="str">
        <f>LEFT(Table2[[#This Row],[Description]],75)</f>
        <v>Caribou Coffee</v>
      </c>
      <c r="P2761" s="2" t="s">
        <v>2329</v>
      </c>
    </row>
    <row r="2762" spans="1:16" hidden="1">
      <c r="A2762" s="2">
        <v>202006</v>
      </c>
      <c r="B2762" s="3">
        <v>43999</v>
      </c>
      <c r="C2762" s="2" t="s">
        <v>2262</v>
      </c>
      <c r="D2762" s="2" t="s">
        <v>823</v>
      </c>
      <c r="E2762" s="2">
        <v>117.78</v>
      </c>
      <c r="F2762" s="2" t="e">
        <f>IF(Table2[[#This Row],[Manual Cat Value]]="",VLOOKUP(Table2[[#This Row],[Description]],'Actuals Lookup'!D:F,3,0),Table2[[#This Row],[Manual Cat Value]])</f>
        <v>#N/A</v>
      </c>
      <c r="J2762" s="2">
        <v>117.78</v>
      </c>
      <c r="K2762" s="2" t="b">
        <v>0</v>
      </c>
      <c r="L2762" s="2"/>
      <c r="M2762" s="2"/>
      <c r="N2762" s="4" t="s">
        <v>2259</v>
      </c>
      <c r="O2762" s="4" t="str">
        <f>LEFT(Table2[[#This Row],[Description]],75)</f>
        <v>Etsy.com</v>
      </c>
      <c r="P2762" s="2" t="s">
        <v>2401</v>
      </c>
    </row>
    <row r="2763" spans="1:16" hidden="1">
      <c r="A2763" s="2">
        <v>202006</v>
      </c>
      <c r="B2763" s="3">
        <v>43999</v>
      </c>
      <c r="C2763" s="2" t="s">
        <v>2274</v>
      </c>
      <c r="D2763" s="2" t="s">
        <v>2110</v>
      </c>
      <c r="E2763" s="2">
        <v>-100</v>
      </c>
      <c r="F2763" s="2" t="e">
        <f>IF(Table2[[#This Row],[Manual Cat Value]]="",VLOOKUP(Table2[[#This Row],[Description]],'Actuals Lookup'!D:F,3,0),Table2[[#This Row],[Manual Cat Value]])</f>
        <v>#N/A</v>
      </c>
      <c r="J2763" s="2">
        <v>100</v>
      </c>
      <c r="K2763" s="2" t="b">
        <v>0</v>
      </c>
      <c r="L2763" s="2"/>
      <c r="M2763" s="2"/>
      <c r="N2763" s="4" t="s">
        <v>2273</v>
      </c>
      <c r="O2763" s="4" t="str">
        <f>LEFT(Table2[[#This Row],[Description]],75)</f>
        <v>Venmo Cashout</v>
      </c>
      <c r="P2763" s="2" t="s">
        <v>2281</v>
      </c>
    </row>
    <row r="2764" spans="1:16" hidden="1">
      <c r="A2764" s="2">
        <v>202006</v>
      </c>
      <c r="B2764" s="3">
        <v>44000</v>
      </c>
      <c r="C2764" s="2" t="s">
        <v>2447</v>
      </c>
      <c r="D2764" s="2" t="s">
        <v>38</v>
      </c>
      <c r="E2764" s="2">
        <v>25.7</v>
      </c>
      <c r="F2764" s="2" t="str">
        <f>IF(Table2[[#This Row],[Manual Cat Value]]="",VLOOKUP(Table2[[#This Row],[Description]],'Actuals Lookup'!D:F,3,0),Table2[[#This Row],[Manual Cat Value]])</f>
        <v>Amazon</v>
      </c>
      <c r="J2764" s="2">
        <v>25.7</v>
      </c>
      <c r="K2764" s="2" t="b">
        <v>0</v>
      </c>
      <c r="L2764" s="2"/>
      <c r="M2764" s="2"/>
      <c r="N2764" s="4" t="s">
        <v>2259</v>
      </c>
      <c r="O2764" s="4" t="str">
        <f>LEFT(Table2[[#This Row],[Description]],75)</f>
        <v>Amazon</v>
      </c>
      <c r="P2764" s="2" t="s">
        <v>2260</v>
      </c>
    </row>
    <row r="2765" spans="1:16" hidden="1">
      <c r="A2765" s="2">
        <v>202006</v>
      </c>
      <c r="B2765" s="3">
        <v>44000</v>
      </c>
      <c r="C2765" s="2" t="s">
        <v>2258</v>
      </c>
      <c r="D2765" s="2" t="s">
        <v>38</v>
      </c>
      <c r="E2765" s="2">
        <v>25.7</v>
      </c>
      <c r="F2765" s="2" t="str">
        <f>IF(Table2[[#This Row],[Manual Cat Value]]="",VLOOKUP(Table2[[#This Row],[Description]],'Actuals Lookup'!D:F,3,0),Table2[[#This Row],[Manual Cat Value]])</f>
        <v>Amazon</v>
      </c>
      <c r="J2765" s="2">
        <v>25.7</v>
      </c>
      <c r="K2765" s="2" t="b">
        <v>0</v>
      </c>
      <c r="L2765" s="2"/>
      <c r="M2765" s="2"/>
      <c r="N2765" s="4" t="s">
        <v>2259</v>
      </c>
      <c r="O2765" s="4" t="str">
        <f>LEFT(Table2[[#This Row],[Description]],75)</f>
        <v>Amazon</v>
      </c>
      <c r="P2765" s="2" t="s">
        <v>2260</v>
      </c>
    </row>
    <row r="2766" spans="1:16" hidden="1">
      <c r="A2766" s="2">
        <v>202006</v>
      </c>
      <c r="B2766" s="3">
        <v>44000</v>
      </c>
      <c r="C2766" s="2" t="s">
        <v>2317</v>
      </c>
      <c r="D2766" s="2" t="s">
        <v>822</v>
      </c>
      <c r="E2766" s="2">
        <v>-7.63</v>
      </c>
      <c r="F2766" s="2" t="e">
        <f>IF(Table2[[#This Row],[Manual Cat Value]]="",VLOOKUP(Table2[[#This Row],[Description]],'Actuals Lookup'!D:F,3,0),Table2[[#This Row],[Manual Cat Value]])</f>
        <v>#N/A</v>
      </c>
      <c r="J2766" s="2">
        <v>7.63</v>
      </c>
      <c r="K2766" s="2" t="b">
        <v>0</v>
      </c>
      <c r="L2766" s="2"/>
      <c r="M2766" s="2"/>
      <c r="N2766" s="4" t="s">
        <v>2273</v>
      </c>
      <c r="O2766" s="4" t="str">
        <f>LEFT(Table2[[#This Row],[Description]],75)</f>
        <v>ETFMG ALTERNATIVE HARVEST ETF</v>
      </c>
      <c r="P2766" s="2" t="s">
        <v>2445</v>
      </c>
    </row>
    <row r="2767" spans="1:16" hidden="1">
      <c r="A2767" s="2">
        <v>202006</v>
      </c>
      <c r="B2767" s="3">
        <v>44000</v>
      </c>
      <c r="C2767" s="2" t="s">
        <v>2460</v>
      </c>
      <c r="D2767" s="2" t="s">
        <v>822</v>
      </c>
      <c r="E2767" s="2">
        <v>-7.63</v>
      </c>
      <c r="F2767" s="2" t="e">
        <f>IF(Table2[[#This Row],[Manual Cat Value]]="",VLOOKUP(Table2[[#This Row],[Description]],'Actuals Lookup'!D:F,3,0),Table2[[#This Row],[Manual Cat Value]])</f>
        <v>#N/A</v>
      </c>
      <c r="J2767" s="2">
        <v>7.63</v>
      </c>
      <c r="K2767" s="2" t="b">
        <v>0</v>
      </c>
      <c r="L2767" s="2"/>
      <c r="M2767" s="2"/>
      <c r="N2767" s="4" t="s">
        <v>2273</v>
      </c>
      <c r="O2767" s="4" t="str">
        <f>LEFT(Table2[[#This Row],[Description]],75)</f>
        <v>ETFMG ALTERNATIVE HARVEST ETF</v>
      </c>
      <c r="P2767" s="2" t="s">
        <v>2445</v>
      </c>
    </row>
    <row r="2768" spans="1:16" hidden="1">
      <c r="A2768" s="2">
        <v>202006</v>
      </c>
      <c r="B2768" s="3">
        <v>44000</v>
      </c>
      <c r="C2768" s="2" t="s">
        <v>2265</v>
      </c>
      <c r="D2768" s="2" t="s">
        <v>1295</v>
      </c>
      <c r="E2768" s="2">
        <v>200</v>
      </c>
      <c r="F2768" s="2" t="e">
        <f>IF(Table2[[#This Row],[Manual Cat Value]]="",VLOOKUP(Table2[[#This Row],[Description]],'Actuals Lookup'!D:F,3,0),Table2[[#This Row],[Manual Cat Value]])</f>
        <v>#N/A</v>
      </c>
      <c r="J2768" s="2">
        <v>200</v>
      </c>
      <c r="K2768" s="2" t="b">
        <v>0</v>
      </c>
      <c r="L2768" s="2"/>
      <c r="M2768" s="2"/>
      <c r="N2768" s="4" t="s">
        <v>2259</v>
      </c>
      <c r="O2768" s="4" t="str">
        <f>LEFT(Table2[[#This Row],[Description]],75)</f>
        <v>MN DIR ACH TYPE CONTRIB ID CO MN DIR ACH ACH ECC WEB ACH Trace 55661 319352</v>
      </c>
      <c r="P2768" s="2" t="s">
        <v>2469</v>
      </c>
    </row>
    <row r="2769" spans="1:16" hidden="1">
      <c r="A2769" s="2">
        <v>202006</v>
      </c>
      <c r="B2769" s="3">
        <v>44000</v>
      </c>
      <c r="C2769" s="2" t="s">
        <v>2262</v>
      </c>
      <c r="D2769" s="2" t="s">
        <v>1407</v>
      </c>
      <c r="E2769" s="2">
        <v>27.9</v>
      </c>
      <c r="F2769" s="2" t="e">
        <f>IF(Table2[[#This Row],[Manual Cat Value]]="",VLOOKUP(Table2[[#This Row],[Description]],'Actuals Lookup'!D:F,3,0),Table2[[#This Row],[Manual Cat Value]])</f>
        <v>#N/A</v>
      </c>
      <c r="J2769" s="2">
        <v>27.9</v>
      </c>
      <c r="K2769" s="2" t="b">
        <v>0</v>
      </c>
      <c r="L2769" s="2"/>
      <c r="M2769" s="2"/>
      <c r="N2769" s="4" t="s">
        <v>2259</v>
      </c>
      <c r="O2769" s="4" t="str">
        <f>LEFT(Table2[[#This Row],[Description]],75)</f>
        <v>Party City</v>
      </c>
      <c r="P2769" s="2" t="s">
        <v>2378</v>
      </c>
    </row>
    <row r="2770" spans="1:16" hidden="1">
      <c r="A2770" s="2">
        <v>202006</v>
      </c>
      <c r="B2770" s="3">
        <v>44000</v>
      </c>
      <c r="C2770" s="2" t="s">
        <v>2317</v>
      </c>
      <c r="D2770" s="2" t="s">
        <v>1553</v>
      </c>
      <c r="E2770" s="2">
        <v>-68.88</v>
      </c>
      <c r="F2770" s="2" t="e">
        <f>IF(Table2[[#This Row],[Manual Cat Value]]="",VLOOKUP(Table2[[#This Row],[Description]],'Actuals Lookup'!D:F,3,0),Table2[[#This Row],[Manual Cat Value]])</f>
        <v>#N/A</v>
      </c>
      <c r="J2770" s="2">
        <v>68.88</v>
      </c>
      <c r="K2770" s="2" t="b">
        <v>0</v>
      </c>
      <c r="L2770" s="2"/>
      <c r="M2770" s="2"/>
      <c r="N2770" s="4" t="s">
        <v>2273</v>
      </c>
      <c r="O2770" s="4" t="str">
        <f>LEFT(Table2[[#This Row],[Description]],75)</f>
        <v>RAYTHEON TECHNOLOGIES CO</v>
      </c>
      <c r="P2770" s="2" t="s">
        <v>2385</v>
      </c>
    </row>
    <row r="2771" spans="1:16" hidden="1">
      <c r="A2771" s="2">
        <v>202006</v>
      </c>
      <c r="B2771" s="3">
        <v>44000</v>
      </c>
      <c r="C2771" s="2" t="s">
        <v>2460</v>
      </c>
      <c r="D2771" s="2" t="s">
        <v>1553</v>
      </c>
      <c r="E2771" s="2">
        <v>-68.88</v>
      </c>
      <c r="F2771" s="2" t="e">
        <f>IF(Table2[[#This Row],[Manual Cat Value]]="",VLOOKUP(Table2[[#This Row],[Description]],'Actuals Lookup'!D:F,3,0),Table2[[#This Row],[Manual Cat Value]])</f>
        <v>#N/A</v>
      </c>
      <c r="J2771" s="2">
        <v>68.88</v>
      </c>
      <c r="K2771" s="2" t="b">
        <v>0</v>
      </c>
      <c r="L2771" s="2"/>
      <c r="M2771" s="2"/>
      <c r="N2771" s="4" t="s">
        <v>2273</v>
      </c>
      <c r="O2771" s="4" t="str">
        <f>LEFT(Table2[[#This Row],[Description]],75)</f>
        <v>RAYTHEON TECHNOLOGIES CO</v>
      </c>
      <c r="P2771" s="2" t="s">
        <v>2281</v>
      </c>
    </row>
    <row r="2772" spans="1:16" hidden="1">
      <c r="A2772" s="2">
        <v>202006</v>
      </c>
      <c r="B2772" s="3">
        <v>44000</v>
      </c>
      <c r="C2772" s="2" t="s">
        <v>2265</v>
      </c>
      <c r="D2772" s="2" t="s">
        <v>2109</v>
      </c>
      <c r="E2772" s="2">
        <v>86</v>
      </c>
      <c r="F2772" s="2" t="str">
        <f>IF(Table2[[#This Row],[Manual Cat Value]]="",VLOOKUP(Table2[[#This Row],[Description]],'Actuals Lookup'!D:F,3,0),Table2[[#This Row],[Manual Cat Value]])</f>
        <v>Shopping</v>
      </c>
      <c r="J2772" s="2">
        <v>86</v>
      </c>
      <c r="K2772" s="2" t="b">
        <v>0</v>
      </c>
      <c r="L2772" s="2"/>
      <c r="M2772" s="2"/>
      <c r="N2772" s="4" t="s">
        <v>2259</v>
      </c>
      <c r="O2772" s="4" t="str">
        <f>LEFT(Table2[[#This Row],[Description]],75)</f>
        <v>Venmo</v>
      </c>
      <c r="P2772" s="2" t="s">
        <v>2281</v>
      </c>
    </row>
    <row r="2773" spans="1:16" hidden="1">
      <c r="A2773" s="2">
        <v>202006</v>
      </c>
      <c r="B2773" s="3">
        <v>44001</v>
      </c>
      <c r="C2773" s="2" t="s">
        <v>2447</v>
      </c>
      <c r="D2773" s="2" t="s">
        <v>38</v>
      </c>
      <c r="E2773" s="2">
        <v>41.9</v>
      </c>
      <c r="F2773" s="2" t="str">
        <f>IF(Table2[[#This Row],[Manual Cat Value]]="",VLOOKUP(Table2[[#This Row],[Description]],'Actuals Lookup'!D:F,3,0),Table2[[#This Row],[Manual Cat Value]])</f>
        <v>Amazon</v>
      </c>
      <c r="J2773" s="2">
        <v>41.9</v>
      </c>
      <c r="K2773" s="2" t="b">
        <v>0</v>
      </c>
      <c r="L2773" s="2"/>
      <c r="M2773" s="2"/>
      <c r="N2773" s="4" t="s">
        <v>2259</v>
      </c>
      <c r="O2773" s="4" t="str">
        <f>LEFT(Table2[[#This Row],[Description]],75)</f>
        <v>Amazon</v>
      </c>
      <c r="P2773" s="2" t="s">
        <v>2260</v>
      </c>
    </row>
    <row r="2774" spans="1:16" hidden="1">
      <c r="A2774" s="2">
        <v>202006</v>
      </c>
      <c r="B2774" s="3">
        <v>44001</v>
      </c>
      <c r="C2774" s="2" t="s">
        <v>2258</v>
      </c>
      <c r="D2774" s="2" t="s">
        <v>38</v>
      </c>
      <c r="E2774" s="2">
        <v>41.9</v>
      </c>
      <c r="F2774" s="2" t="str">
        <f>IF(Table2[[#This Row],[Manual Cat Value]]="",VLOOKUP(Table2[[#This Row],[Description]],'Actuals Lookup'!D:F,3,0),Table2[[#This Row],[Manual Cat Value]])</f>
        <v>Amazon</v>
      </c>
      <c r="J2774" s="2">
        <v>41.9</v>
      </c>
      <c r="K2774" s="2" t="b">
        <v>0</v>
      </c>
      <c r="L2774" s="2"/>
      <c r="M2774" s="2"/>
      <c r="N2774" s="4" t="s">
        <v>2259</v>
      </c>
      <c r="O2774" s="4" t="str">
        <f>LEFT(Table2[[#This Row],[Description]],75)</f>
        <v>Amazon</v>
      </c>
      <c r="P2774" s="2" t="s">
        <v>2260</v>
      </c>
    </row>
    <row r="2775" spans="1:16" hidden="1">
      <c r="A2775" s="2">
        <v>202006</v>
      </c>
      <c r="B2775" s="3">
        <v>44001</v>
      </c>
      <c r="C2775" s="2" t="s">
        <v>2262</v>
      </c>
      <c r="D2775" s="2" t="s">
        <v>694</v>
      </c>
      <c r="E2775" s="2">
        <v>-79.63</v>
      </c>
      <c r="F2775" s="2" t="e">
        <f>IF(Table2[[#This Row],[Manual Cat Value]]="",VLOOKUP(Table2[[#This Row],[Description]],'Actuals Lookup'!D:F,3,0),Table2[[#This Row],[Manual Cat Value]])</f>
        <v>#N/A</v>
      </c>
      <c r="J2775" s="2">
        <v>79.63</v>
      </c>
      <c r="K2775" s="2" t="b">
        <v>0</v>
      </c>
      <c r="L2775" s="2"/>
      <c r="M2775" s="2"/>
      <c r="N2775" s="4" t="s">
        <v>2273</v>
      </c>
      <c r="O2775" s="4" t="str">
        <f>LEFT(Table2[[#This Row],[Description]],75)</f>
        <v>Damico Sonsgolden Vallgolden</v>
      </c>
      <c r="P2775" s="2" t="s">
        <v>2281</v>
      </c>
    </row>
    <row r="2776" spans="1:16" hidden="1">
      <c r="A2776" s="2">
        <v>202006</v>
      </c>
      <c r="B2776" s="3">
        <v>44001</v>
      </c>
      <c r="C2776" s="2" t="s">
        <v>2317</v>
      </c>
      <c r="D2776" s="2" t="s">
        <v>822</v>
      </c>
      <c r="E2776" s="2">
        <v>7.63</v>
      </c>
      <c r="F2776" s="2" t="e">
        <f>IF(Table2[[#This Row],[Manual Cat Value]]="",VLOOKUP(Table2[[#This Row],[Description]],'Actuals Lookup'!D:F,3,0),Table2[[#This Row],[Manual Cat Value]])</f>
        <v>#N/A</v>
      </c>
      <c r="J2776" s="2">
        <v>7.63</v>
      </c>
      <c r="K2776" s="2" t="b">
        <v>0</v>
      </c>
      <c r="L2776" s="2"/>
      <c r="M2776" s="2"/>
      <c r="N2776" s="4" t="s">
        <v>2259</v>
      </c>
      <c r="O2776" s="4" t="str">
        <f>LEFT(Table2[[#This Row],[Description]],75)</f>
        <v>ETFMG ALTERNATIVE HARVEST ETF</v>
      </c>
      <c r="P2776" s="2" t="s">
        <v>2445</v>
      </c>
    </row>
    <row r="2777" spans="1:16" hidden="1">
      <c r="A2777" s="2">
        <v>202006</v>
      </c>
      <c r="B2777" s="3">
        <v>44001</v>
      </c>
      <c r="C2777" s="2" t="s">
        <v>2460</v>
      </c>
      <c r="D2777" s="2" t="s">
        <v>822</v>
      </c>
      <c r="E2777" s="2">
        <v>7.63</v>
      </c>
      <c r="F2777" s="2" t="e">
        <f>IF(Table2[[#This Row],[Manual Cat Value]]="",VLOOKUP(Table2[[#This Row],[Description]],'Actuals Lookup'!D:F,3,0),Table2[[#This Row],[Manual Cat Value]])</f>
        <v>#N/A</v>
      </c>
      <c r="J2777" s="2">
        <v>7.63</v>
      </c>
      <c r="K2777" s="2" t="b">
        <v>0</v>
      </c>
      <c r="L2777" s="2"/>
      <c r="M2777" s="2"/>
      <c r="N2777" s="4" t="s">
        <v>2259</v>
      </c>
      <c r="O2777" s="4" t="str">
        <f>LEFT(Table2[[#This Row],[Description]],75)</f>
        <v>ETFMG ALTERNATIVE HARVEST ETF</v>
      </c>
      <c r="P2777" s="2" t="s">
        <v>2445</v>
      </c>
    </row>
    <row r="2778" spans="1:16" hidden="1">
      <c r="A2778" s="2">
        <v>202006</v>
      </c>
      <c r="B2778" s="3">
        <v>44001</v>
      </c>
      <c r="C2778" s="2" t="s">
        <v>2317</v>
      </c>
      <c r="D2778" s="2" t="s">
        <v>1553</v>
      </c>
      <c r="E2778" s="2">
        <v>68.88</v>
      </c>
      <c r="F2778" s="2" t="e">
        <f>IF(Table2[[#This Row],[Manual Cat Value]]="",VLOOKUP(Table2[[#This Row],[Description]],'Actuals Lookup'!D:F,3,0),Table2[[#This Row],[Manual Cat Value]])</f>
        <v>#N/A</v>
      </c>
      <c r="J2778" s="2">
        <v>68.88</v>
      </c>
      <c r="K2778" s="2" t="b">
        <v>0</v>
      </c>
      <c r="L2778" s="2"/>
      <c r="M2778" s="2"/>
      <c r="N2778" s="4" t="s">
        <v>2259</v>
      </c>
      <c r="O2778" s="4" t="str">
        <f>LEFT(Table2[[#This Row],[Description]],75)</f>
        <v>RAYTHEON TECHNOLOGIES CO</v>
      </c>
      <c r="P2778" s="2" t="s">
        <v>2385</v>
      </c>
    </row>
    <row r="2779" spans="1:16" hidden="1">
      <c r="A2779" s="2">
        <v>202006</v>
      </c>
      <c r="B2779" s="3">
        <v>44001</v>
      </c>
      <c r="C2779" s="2" t="s">
        <v>2460</v>
      </c>
      <c r="D2779" s="2" t="s">
        <v>1553</v>
      </c>
      <c r="E2779" s="2">
        <v>68.88</v>
      </c>
      <c r="F2779" s="2" t="e">
        <f>IF(Table2[[#This Row],[Manual Cat Value]]="",VLOOKUP(Table2[[#This Row],[Description]],'Actuals Lookup'!D:F,3,0),Table2[[#This Row],[Manual Cat Value]])</f>
        <v>#N/A</v>
      </c>
      <c r="J2779" s="2">
        <v>68.88</v>
      </c>
      <c r="K2779" s="2" t="b">
        <v>0</v>
      </c>
      <c r="L2779" s="2"/>
      <c r="M2779" s="2"/>
      <c r="N2779" s="4" t="s">
        <v>2259</v>
      </c>
      <c r="O2779" s="4" t="str">
        <f>LEFT(Table2[[#This Row],[Description]],75)</f>
        <v>RAYTHEON TECHNOLOGIES CO</v>
      </c>
      <c r="P2779" s="2" t="s">
        <v>2281</v>
      </c>
    </row>
    <row r="2780" spans="1:16" hidden="1">
      <c r="A2780" s="2">
        <v>202006</v>
      </c>
      <c r="B2780" s="3">
        <v>44002</v>
      </c>
      <c r="C2780" s="2" t="s">
        <v>2447</v>
      </c>
      <c r="D2780" s="2" t="s">
        <v>1014</v>
      </c>
      <c r="E2780" s="2">
        <v>27.54</v>
      </c>
      <c r="F2780" s="2" t="str">
        <f>IF(Table2[[#This Row],[Manual Cat Value]]="",VLOOKUP(Table2[[#This Row],[Description]],'Actuals Lookup'!D:F,3,0),Table2[[#This Row],[Manual Cat Value]])</f>
        <v>Restaurants</v>
      </c>
      <c r="J2780" s="2">
        <v>27.54</v>
      </c>
      <c r="K2780" s="2" t="b">
        <v>0</v>
      </c>
      <c r="L2780" s="2"/>
      <c r="M2780" s="2"/>
      <c r="N2780" s="4" t="s">
        <v>2259</v>
      </c>
      <c r="O2780" s="4" t="str">
        <f>LEFT(Table2[[#This Row],[Description]],75)</f>
        <v>Jimmy John's</v>
      </c>
      <c r="P2780" s="2" t="s">
        <v>2453</v>
      </c>
    </row>
    <row r="2781" spans="1:16" hidden="1">
      <c r="A2781" s="2">
        <v>202006</v>
      </c>
      <c r="B2781" s="3">
        <v>44002</v>
      </c>
      <c r="C2781" s="2" t="s">
        <v>2258</v>
      </c>
      <c r="D2781" s="2" t="s">
        <v>1014</v>
      </c>
      <c r="E2781" s="2">
        <v>27.54</v>
      </c>
      <c r="F2781" s="2" t="str">
        <f>IF(Table2[[#This Row],[Manual Cat Value]]="",VLOOKUP(Table2[[#This Row],[Description]],'Actuals Lookup'!D:F,3,0),Table2[[#This Row],[Manual Cat Value]])</f>
        <v>Restaurants</v>
      </c>
      <c r="J2781" s="2">
        <v>27.54</v>
      </c>
      <c r="K2781" s="2" t="b">
        <v>0</v>
      </c>
      <c r="L2781" s="2"/>
      <c r="M2781" s="2"/>
      <c r="N2781" s="4" t="s">
        <v>2259</v>
      </c>
      <c r="O2781" s="4" t="str">
        <f>LEFT(Table2[[#This Row],[Description]],75)</f>
        <v>Jimmy John's</v>
      </c>
      <c r="P2781" s="2" t="s">
        <v>2453</v>
      </c>
    </row>
    <row r="2782" spans="1:16" hidden="1">
      <c r="A2782" s="2">
        <v>202006</v>
      </c>
      <c r="B2782" s="3">
        <v>44003</v>
      </c>
      <c r="C2782" s="2" t="s">
        <v>2262</v>
      </c>
      <c r="D2782" s="2" t="s">
        <v>38</v>
      </c>
      <c r="E2782" s="2">
        <v>40.78</v>
      </c>
      <c r="F2782" s="2" t="str">
        <f>IF(Table2[[#This Row],[Manual Cat Value]]="",VLOOKUP(Table2[[#This Row],[Description]],'Actuals Lookup'!D:F,3,0),Table2[[#This Row],[Manual Cat Value]])</f>
        <v>Amazon</v>
      </c>
      <c r="J2782" s="2">
        <v>40.78</v>
      </c>
      <c r="K2782" s="2" t="b">
        <v>0</v>
      </c>
      <c r="L2782" s="2"/>
      <c r="M2782" s="2"/>
      <c r="N2782" s="4" t="s">
        <v>2259</v>
      </c>
      <c r="O2782" s="4" t="str">
        <f>LEFT(Table2[[#This Row],[Description]],75)</f>
        <v>Amazon</v>
      </c>
      <c r="P2782" s="2" t="s">
        <v>2260</v>
      </c>
    </row>
    <row r="2783" spans="1:16" hidden="1">
      <c r="A2783" s="2">
        <v>202006</v>
      </c>
      <c r="B2783" s="3">
        <v>44003</v>
      </c>
      <c r="C2783" s="2" t="s">
        <v>2262</v>
      </c>
      <c r="D2783" s="2" t="s">
        <v>831</v>
      </c>
      <c r="E2783" s="2">
        <v>15.84</v>
      </c>
      <c r="F2783" s="2" t="e">
        <f>IF(Table2[[#This Row],[Manual Cat Value]]="",VLOOKUP(Table2[[#This Row],[Description]],'Actuals Lookup'!D:F,3,0),Table2[[#This Row],[Manual Cat Value]])</f>
        <v>#N/A</v>
      </c>
      <c r="J2783" s="2">
        <v>15.84</v>
      </c>
      <c r="K2783" s="2" t="b">
        <v>0</v>
      </c>
      <c r="L2783" s="2"/>
      <c r="M2783" s="2"/>
      <c r="N2783" s="4" t="s">
        <v>2259</v>
      </c>
      <c r="O2783" s="4" t="str">
        <f>LEFT(Table2[[#This Row],[Description]],75)</f>
        <v>Excelsior Brewing</v>
      </c>
      <c r="P2783" s="2" t="s">
        <v>2410</v>
      </c>
    </row>
    <row r="2784" spans="1:16" hidden="1">
      <c r="A2784" s="2">
        <v>202006</v>
      </c>
      <c r="B2784" s="3">
        <v>44003</v>
      </c>
      <c r="C2784" s="2" t="s">
        <v>2262</v>
      </c>
      <c r="D2784" s="2" t="s">
        <v>1403</v>
      </c>
      <c r="E2784" s="2">
        <v>25</v>
      </c>
      <c r="F2784" s="2" t="e">
        <f>IF(Table2[[#This Row],[Manual Cat Value]]="",VLOOKUP(Table2[[#This Row],[Description]],'Actuals Lookup'!D:F,3,0),Table2[[#This Row],[Manual Cat Value]])</f>
        <v>#N/A</v>
      </c>
      <c r="J2784" s="2">
        <v>25</v>
      </c>
      <c r="K2784" s="2" t="b">
        <v>0</v>
      </c>
      <c r="L2784" s="2"/>
      <c r="M2784" s="2"/>
      <c r="N2784" s="4" t="s">
        <v>2259</v>
      </c>
      <c r="O2784" s="4" t="str">
        <f>LEFT(Table2[[#This Row],[Description]],75)</f>
        <v>Parley Lake Winery, LLP</v>
      </c>
      <c r="P2784" s="2" t="s">
        <v>2281</v>
      </c>
    </row>
    <row r="2785" spans="1:16" hidden="1">
      <c r="A2785" s="2">
        <v>202006</v>
      </c>
      <c r="B2785" s="3">
        <v>44003</v>
      </c>
      <c r="C2785" s="2" t="s">
        <v>2262</v>
      </c>
      <c r="D2785" s="2" t="s">
        <v>1707</v>
      </c>
      <c r="E2785" s="2">
        <v>36.53</v>
      </c>
      <c r="F2785" s="2" t="str">
        <f>IF(Table2[[#This Row],[Manual Cat Value]]="",VLOOKUP(Table2[[#This Row],[Description]],'Actuals Lookup'!D:F,3,0),Table2[[#This Row],[Manual Cat Value]])</f>
        <v>Transportation</v>
      </c>
      <c r="J2785" s="2">
        <v>36.53</v>
      </c>
      <c r="K2785" s="2" t="b">
        <v>0</v>
      </c>
      <c r="L2785" s="2"/>
      <c r="M2785" s="2"/>
      <c r="N2785" s="4" t="s">
        <v>2259</v>
      </c>
      <c r="O2785" s="4" t="str">
        <f>LEFT(Table2[[#This Row],[Description]],75)</f>
        <v>Speedway</v>
      </c>
      <c r="P2785" s="2" t="s">
        <v>2381</v>
      </c>
    </row>
    <row r="2786" spans="1:16" hidden="1">
      <c r="A2786" s="2">
        <v>202006</v>
      </c>
      <c r="B2786" s="3">
        <v>44004</v>
      </c>
      <c r="C2786" s="2" t="s">
        <v>2262</v>
      </c>
      <c r="D2786" s="2" t="s">
        <v>38</v>
      </c>
      <c r="E2786" s="2">
        <v>3.32</v>
      </c>
      <c r="F2786" s="2" t="str">
        <f>IF(Table2[[#This Row],[Manual Cat Value]]="",VLOOKUP(Table2[[#This Row],[Description]],'Actuals Lookup'!D:F,3,0),Table2[[#This Row],[Manual Cat Value]])</f>
        <v>Amazon</v>
      </c>
      <c r="J2786" s="2">
        <v>3.32</v>
      </c>
      <c r="K2786" s="2" t="b">
        <v>0</v>
      </c>
      <c r="L2786" s="2"/>
      <c r="M2786" s="2"/>
      <c r="N2786" s="4" t="s">
        <v>2259</v>
      </c>
      <c r="O2786" s="4" t="str">
        <f>LEFT(Table2[[#This Row],[Description]],75)</f>
        <v>Amazon</v>
      </c>
      <c r="P2786" s="2" t="s">
        <v>2260</v>
      </c>
    </row>
    <row r="2787" spans="1:16" hidden="1">
      <c r="A2787" s="2">
        <v>202006</v>
      </c>
      <c r="B2787" s="3">
        <v>44004</v>
      </c>
      <c r="C2787" s="2" t="s">
        <v>2265</v>
      </c>
      <c r="D2787" s="2" t="s">
        <v>557</v>
      </c>
      <c r="E2787" s="2">
        <v>40.869999999999997</v>
      </c>
      <c r="F2787" s="2" t="e">
        <f>IF(Table2[[#This Row],[Manual Cat Value]]="",VLOOKUP(Table2[[#This Row],[Description]],'Actuals Lookup'!D:F,3,0),Table2[[#This Row],[Manual Cat Value]])</f>
        <v>#N/A</v>
      </c>
      <c r="J2787" s="2">
        <v>40.869999999999997</v>
      </c>
      <c r="K2787" s="2" t="b">
        <v>0</v>
      </c>
      <c r="L2787" s="2"/>
      <c r="M2787" s="2"/>
      <c r="N2787" s="4" t="s">
        <v>2259</v>
      </c>
      <c r="O2787" s="4" t="str">
        <f>LEFT(Table2[[#This Row],[Description]],75)</f>
        <v>City of Chanhassen</v>
      </c>
      <c r="P2787" s="2" t="s">
        <v>2298</v>
      </c>
    </row>
    <row r="2788" spans="1:16" hidden="1">
      <c r="A2788" s="2">
        <v>202006</v>
      </c>
      <c r="B2788" s="3">
        <v>44004</v>
      </c>
      <c r="C2788" s="2" t="s">
        <v>2265</v>
      </c>
      <c r="D2788" s="2" t="s">
        <v>637</v>
      </c>
      <c r="E2788" s="2">
        <v>-5.16</v>
      </c>
      <c r="F2788" s="2" t="e">
        <f>IF(Table2[[#This Row],[Manual Cat Value]]="",VLOOKUP(Table2[[#This Row],[Description]],'Actuals Lookup'!D:F,3,0),Table2[[#This Row],[Manual Cat Value]])</f>
        <v>#N/A</v>
      </c>
      <c r="J2788" s="2">
        <v>5.16</v>
      </c>
      <c r="K2788" s="2" t="b">
        <v>0</v>
      </c>
      <c r="L2788" s="2"/>
      <c r="M2788" s="2"/>
      <c r="N2788" s="4" t="s">
        <v>2273</v>
      </c>
      <c r="O2788" s="4" t="str">
        <f>LEFT(Table2[[#This Row],[Description]],75)</f>
        <v>Connectyourcare Type Svbclaims</v>
      </c>
      <c r="P2788" s="2" t="s">
        <v>2281</v>
      </c>
    </row>
    <row r="2789" spans="1:16" hidden="1">
      <c r="A2789" s="2">
        <v>202006</v>
      </c>
      <c r="B2789" s="3">
        <v>44004</v>
      </c>
      <c r="C2789" s="2" t="s">
        <v>2262</v>
      </c>
      <c r="D2789" s="2" t="s">
        <v>947</v>
      </c>
      <c r="E2789" s="2">
        <v>64.44</v>
      </c>
      <c r="F2789" s="2" t="e">
        <f>IF(Table2[[#This Row],[Manual Cat Value]]="",VLOOKUP(Table2[[#This Row],[Description]],'Actuals Lookup'!D:F,3,0),Table2[[#This Row],[Manual Cat Value]])</f>
        <v>#N/A</v>
      </c>
      <c r="J2789" s="2">
        <v>64.44</v>
      </c>
      <c r="K2789" s="2" t="b">
        <v>0</v>
      </c>
      <c r="L2789" s="2"/>
      <c r="M2789" s="2"/>
      <c r="N2789" s="4" t="s">
        <v>2259</v>
      </c>
      <c r="O2789" s="4" t="str">
        <f>LEFT(Table2[[#This Row],[Description]],75)</f>
        <v>Home Depot</v>
      </c>
      <c r="P2789" s="2" t="s">
        <v>2396</v>
      </c>
    </row>
    <row r="2790" spans="1:16" hidden="1">
      <c r="A2790" s="2">
        <v>202006</v>
      </c>
      <c r="B2790" s="3">
        <v>44004</v>
      </c>
      <c r="C2790" s="2" t="s">
        <v>2265</v>
      </c>
      <c r="D2790" s="2" t="s">
        <v>1471</v>
      </c>
      <c r="E2790" s="2">
        <v>37.1</v>
      </c>
      <c r="F2790" s="2" t="str">
        <f>IF(Table2[[#This Row],[Manual Cat Value]]="",VLOOKUP(Table2[[#This Row],[Description]],'Actuals Lookup'!D:F,3,0),Table2[[#This Row],[Manual Cat Value]])</f>
        <v>Shopping</v>
      </c>
      <c r="J2790" s="2">
        <v>37.1</v>
      </c>
      <c r="K2790" s="2" t="b">
        <v>0</v>
      </c>
      <c r="L2790" s="2"/>
      <c r="M2790" s="2"/>
      <c r="N2790" s="4" t="s">
        <v>2259</v>
      </c>
      <c r="O2790" s="4" t="str">
        <f>LEFT(Table2[[#This Row],[Description]],75)</f>
        <v>PayPal</v>
      </c>
      <c r="P2790" s="2" t="s">
        <v>2322</v>
      </c>
    </row>
    <row r="2791" spans="1:16" hidden="1">
      <c r="A2791" s="2">
        <v>202006</v>
      </c>
      <c r="B2791" s="3">
        <v>44004</v>
      </c>
      <c r="C2791" s="2" t="s">
        <v>2262</v>
      </c>
      <c r="D2791" s="2" t="s">
        <v>2009</v>
      </c>
      <c r="E2791" s="2">
        <v>56.14</v>
      </c>
      <c r="F2791" s="2" t="e">
        <f>IF(Table2[[#This Row],[Manual Cat Value]]="",VLOOKUP(Table2[[#This Row],[Description]],'Actuals Lookup'!D:F,3,0),Table2[[#This Row],[Manual Cat Value]])</f>
        <v>#N/A</v>
      </c>
      <c r="J2791" s="2">
        <v>56.14</v>
      </c>
      <c r="K2791" s="2" t="b">
        <v>0</v>
      </c>
      <c r="L2791" s="2"/>
      <c r="M2791" s="2"/>
      <c r="N2791" s="4" t="s">
        <v>2259</v>
      </c>
      <c r="O2791" s="4" t="str">
        <f>LEFT(Table2[[#This Row],[Description]],75)</f>
        <v>TST COPPER COW MINNETONKA MN 320484804</v>
      </c>
      <c r="P2791" s="2" t="s">
        <v>2281</v>
      </c>
    </row>
    <row r="2792" spans="1:16" hidden="1">
      <c r="A2792" s="2">
        <v>202006</v>
      </c>
      <c r="B2792" s="3">
        <v>44004</v>
      </c>
      <c r="C2792" s="2" t="s">
        <v>2274</v>
      </c>
      <c r="D2792" s="2" t="s">
        <v>2110</v>
      </c>
      <c r="E2792" s="2">
        <v>-20</v>
      </c>
      <c r="F2792" s="2" t="e">
        <f>IF(Table2[[#This Row],[Manual Cat Value]]="",VLOOKUP(Table2[[#This Row],[Description]],'Actuals Lookup'!D:F,3,0),Table2[[#This Row],[Manual Cat Value]])</f>
        <v>#N/A</v>
      </c>
      <c r="J2792" s="2">
        <v>20</v>
      </c>
      <c r="K2792" s="2" t="b">
        <v>0</v>
      </c>
      <c r="L2792" s="2"/>
      <c r="M2792" s="2"/>
      <c r="N2792" s="4" t="s">
        <v>2273</v>
      </c>
      <c r="O2792" s="4" t="str">
        <f>LEFT(Table2[[#This Row],[Description]],75)</f>
        <v>Venmo Cashout</v>
      </c>
      <c r="P2792" s="2" t="s">
        <v>2281</v>
      </c>
    </row>
    <row r="2793" spans="1:16" hidden="1">
      <c r="A2793" s="2">
        <v>202006</v>
      </c>
      <c r="B2793" s="3">
        <v>44005</v>
      </c>
      <c r="C2793" s="2" t="s">
        <v>2262</v>
      </c>
      <c r="D2793" s="2" t="s">
        <v>38</v>
      </c>
      <c r="E2793" s="2">
        <v>12.87</v>
      </c>
      <c r="F2793" s="2" t="str">
        <f>IF(Table2[[#This Row],[Manual Cat Value]]="",VLOOKUP(Table2[[#This Row],[Description]],'Actuals Lookup'!D:F,3,0),Table2[[#This Row],[Manual Cat Value]])</f>
        <v>Amazon</v>
      </c>
      <c r="J2793" s="2">
        <v>12.87</v>
      </c>
      <c r="K2793" s="2" t="b">
        <v>0</v>
      </c>
      <c r="L2793" s="2"/>
      <c r="M2793" s="2"/>
      <c r="N2793" s="4" t="s">
        <v>2259</v>
      </c>
      <c r="O2793" s="4" t="str">
        <f>LEFT(Table2[[#This Row],[Description]],75)</f>
        <v>Amazon</v>
      </c>
      <c r="P2793" s="2" t="s">
        <v>2260</v>
      </c>
    </row>
    <row r="2794" spans="1:16" hidden="1">
      <c r="A2794" s="2">
        <v>202006</v>
      </c>
      <c r="B2794" s="3">
        <v>44005</v>
      </c>
      <c r="C2794" s="2" t="s">
        <v>2262</v>
      </c>
      <c r="D2794" s="2" t="s">
        <v>38</v>
      </c>
      <c r="E2794" s="2">
        <v>17.170000000000002</v>
      </c>
      <c r="F2794" s="2" t="str">
        <f>IF(Table2[[#This Row],[Manual Cat Value]]="",VLOOKUP(Table2[[#This Row],[Description]],'Actuals Lookup'!D:F,3,0),Table2[[#This Row],[Manual Cat Value]])</f>
        <v>Amazon</v>
      </c>
      <c r="J2794" s="2">
        <v>17.170000000000002</v>
      </c>
      <c r="K2794" s="2" t="b">
        <v>0</v>
      </c>
      <c r="L2794" s="2"/>
      <c r="M2794" s="2"/>
      <c r="N2794" s="4" t="s">
        <v>2259</v>
      </c>
      <c r="O2794" s="4" t="str">
        <f>LEFT(Table2[[#This Row],[Description]],75)</f>
        <v>Amazon</v>
      </c>
      <c r="P2794" s="2" t="s">
        <v>2260</v>
      </c>
    </row>
    <row r="2795" spans="1:16" hidden="1">
      <c r="A2795" s="2">
        <v>202006</v>
      </c>
      <c r="B2795" s="3">
        <v>44005</v>
      </c>
      <c r="C2795" s="2" t="s">
        <v>2265</v>
      </c>
      <c r="D2795" s="2" t="s">
        <v>637</v>
      </c>
      <c r="E2795" s="2">
        <v>-137.1</v>
      </c>
      <c r="F2795" s="2" t="e">
        <f>IF(Table2[[#This Row],[Manual Cat Value]]="",VLOOKUP(Table2[[#This Row],[Description]],'Actuals Lookup'!D:F,3,0),Table2[[#This Row],[Manual Cat Value]])</f>
        <v>#N/A</v>
      </c>
      <c r="J2795" s="2">
        <v>137.1</v>
      </c>
      <c r="K2795" s="2" t="b">
        <v>0</v>
      </c>
      <c r="L2795" s="2"/>
      <c r="M2795" s="2"/>
      <c r="N2795" s="4" t="s">
        <v>2273</v>
      </c>
      <c r="O2795" s="4" t="str">
        <f>LEFT(Table2[[#This Row],[Description]],75)</f>
        <v>Connectyourcare Type Svbclaims</v>
      </c>
      <c r="P2795" s="2" t="s">
        <v>2281</v>
      </c>
    </row>
    <row r="2796" spans="1:16" hidden="1">
      <c r="A2796" s="2">
        <v>202006</v>
      </c>
      <c r="B2796" s="3">
        <v>44005</v>
      </c>
      <c r="C2796" s="2" t="s">
        <v>2262</v>
      </c>
      <c r="D2796" s="2" t="s">
        <v>700</v>
      </c>
      <c r="E2796" s="2">
        <v>81.61</v>
      </c>
      <c r="F2796" s="2" t="e">
        <f>IF(Table2[[#This Row],[Manual Cat Value]]="",VLOOKUP(Table2[[#This Row],[Description]],'Actuals Lookup'!D:F,3,0),Table2[[#This Row],[Manual Cat Value]])</f>
        <v>#N/A</v>
      </c>
      <c r="J2796" s="2">
        <v>81.61</v>
      </c>
      <c r="K2796" s="2" t="b">
        <v>0</v>
      </c>
      <c r="L2796" s="2"/>
      <c r="M2796" s="2"/>
      <c r="N2796" s="4" t="s">
        <v>2259</v>
      </c>
      <c r="O2796" s="4" t="str">
        <f>LEFT(Table2[[#This Row],[Description]],75)</f>
        <v>Deer Run Golf Club, LLC</v>
      </c>
      <c r="P2796" s="2" t="s">
        <v>2281</v>
      </c>
    </row>
    <row r="2797" spans="1:16" hidden="1">
      <c r="A2797" s="2">
        <v>202006</v>
      </c>
      <c r="B2797" s="3">
        <v>44005</v>
      </c>
      <c r="C2797" s="2" t="s">
        <v>2262</v>
      </c>
      <c r="D2797" s="2" t="s">
        <v>1079</v>
      </c>
      <c r="E2797" s="2">
        <v>56.64</v>
      </c>
      <c r="F2797" s="2" t="e">
        <f>IF(Table2[[#This Row],[Manual Cat Value]]="",VLOOKUP(Table2[[#This Row],[Description]],'Actuals Lookup'!D:F,3,0),Table2[[#This Row],[Manual Cat Value]])</f>
        <v>#N/A</v>
      </c>
      <c r="J2797" s="2">
        <v>56.64</v>
      </c>
      <c r="K2797" s="2" t="b">
        <v>0</v>
      </c>
      <c r="L2797" s="2"/>
      <c r="M2797" s="2"/>
      <c r="N2797" s="4" t="s">
        <v>2259</v>
      </c>
      <c r="O2797" s="4" t="str">
        <f>LEFT(Table2[[#This Row],[Description]],75)</f>
        <v>Kowalski's</v>
      </c>
      <c r="P2797" s="2" t="s">
        <v>2281</v>
      </c>
    </row>
    <row r="2798" spans="1:16" hidden="1">
      <c r="A2798" s="2">
        <v>202006</v>
      </c>
      <c r="B2798" s="3">
        <v>44005</v>
      </c>
      <c r="C2798" s="2" t="s">
        <v>2265</v>
      </c>
      <c r="D2798" s="2" t="s">
        <v>1471</v>
      </c>
      <c r="E2798" s="2">
        <v>52.97</v>
      </c>
      <c r="F2798" s="2" t="str">
        <f>IF(Table2[[#This Row],[Manual Cat Value]]="",VLOOKUP(Table2[[#This Row],[Description]],'Actuals Lookup'!D:F,3,0),Table2[[#This Row],[Manual Cat Value]])</f>
        <v>Shopping</v>
      </c>
      <c r="J2798" s="2">
        <v>52.97</v>
      </c>
      <c r="K2798" s="2" t="b">
        <v>0</v>
      </c>
      <c r="L2798" s="2"/>
      <c r="M2798" s="2"/>
      <c r="N2798" s="4" t="s">
        <v>2259</v>
      </c>
      <c r="O2798" s="4" t="str">
        <f>LEFT(Table2[[#This Row],[Description]],75)</f>
        <v>PayPal</v>
      </c>
      <c r="P2798" s="2" t="s">
        <v>2322</v>
      </c>
    </row>
    <row r="2799" spans="1:16" hidden="1">
      <c r="A2799" s="2">
        <v>202006</v>
      </c>
      <c r="B2799" s="3">
        <v>44005</v>
      </c>
      <c r="C2799" s="2" t="s">
        <v>2262</v>
      </c>
      <c r="D2799" s="2" t="s">
        <v>2229</v>
      </c>
      <c r="E2799" s="2">
        <v>97.25</v>
      </c>
      <c r="F2799" s="2" t="e">
        <f>IF(Table2[[#This Row],[Manual Cat Value]]="",VLOOKUP(Table2[[#This Row],[Description]],'Actuals Lookup'!D:F,3,0),Table2[[#This Row],[Manual Cat Value]])</f>
        <v>#N/A</v>
      </c>
      <c r="J2799" s="2">
        <v>97.25</v>
      </c>
      <c r="K2799" s="2" t="b">
        <v>0</v>
      </c>
      <c r="L2799" s="2"/>
      <c r="M2799" s="2"/>
      <c r="N2799" s="4" t="s">
        <v>2259</v>
      </c>
      <c r="O2799" s="4" t="str">
        <f>LEFT(Table2[[#This Row],[Description]],75)</f>
        <v>Yumi's Sushi Bar</v>
      </c>
      <c r="P2799" s="2" t="s">
        <v>2281</v>
      </c>
    </row>
    <row r="2800" spans="1:16" hidden="1">
      <c r="A2800" s="2">
        <v>202006</v>
      </c>
      <c r="B2800" s="3">
        <v>44006</v>
      </c>
      <c r="C2800" s="2" t="s">
        <v>2265</v>
      </c>
      <c r="D2800" s="2" t="s">
        <v>359</v>
      </c>
      <c r="E2800" s="2">
        <v>-1993.07</v>
      </c>
      <c r="F2800" s="2" t="e">
        <f>IF(Table2[[#This Row],[Manual Cat Value]]="",VLOOKUP(Table2[[#This Row],[Description]],'Actuals Lookup'!D:F,3,0),Table2[[#This Row],[Manual Cat Value]])</f>
        <v>#N/A</v>
      </c>
      <c r="J2800" s="2">
        <v>1993.07</v>
      </c>
      <c r="K2800" s="2" t="b">
        <v>0</v>
      </c>
      <c r="L2800" s="2"/>
      <c r="M2800" s="2"/>
      <c r="N2800" s="4" t="s">
        <v>2273</v>
      </c>
      <c r="O2800" s="4" t="str">
        <f>LEFT(Table2[[#This Row],[Description]],75)</f>
        <v xml:space="preserve">CARGILL COCOA TYPE DIR DEP ID CO CARGILL COCOA ACH ECC PPD ACH Trace 12047 </v>
      </c>
      <c r="P2800" s="2" t="s">
        <v>2284</v>
      </c>
    </row>
    <row r="2801" spans="1:16" hidden="1">
      <c r="A2801" s="2">
        <v>202006</v>
      </c>
      <c r="B2801" s="3">
        <v>44006</v>
      </c>
      <c r="C2801" s="2" t="s">
        <v>2488</v>
      </c>
      <c r="D2801" s="2" t="s">
        <v>878</v>
      </c>
      <c r="E2801" s="2">
        <v>-100</v>
      </c>
      <c r="F2801" s="2" t="e">
        <f>IF(Table2[[#This Row],[Manual Cat Value]]="",VLOOKUP(Table2[[#This Row],[Description]],'Actuals Lookup'!D:F,3,0),Table2[[#This Row],[Manual Cat Value]])</f>
        <v>#N/A</v>
      </c>
      <c r="J2801" s="2">
        <v>100</v>
      </c>
      <c r="K2801" s="2" t="b">
        <v>0</v>
      </c>
      <c r="L2801" s="2"/>
      <c r="M2801" s="2"/>
      <c r="N2801" s="4" t="s">
        <v>2273</v>
      </c>
      <c r="O2801" s="4" t="str">
        <f>LEFT(Table2[[#This Row],[Description]],75)</f>
        <v>FUNDS RECEIVED</v>
      </c>
      <c r="P2801" s="2" t="s">
        <v>2281</v>
      </c>
    </row>
    <row r="2802" spans="1:16" hidden="1">
      <c r="A2802" s="2">
        <v>202006</v>
      </c>
      <c r="B2802" s="3">
        <v>44006</v>
      </c>
      <c r="C2802" s="2" t="s">
        <v>2317</v>
      </c>
      <c r="D2802" s="2" t="s">
        <v>913</v>
      </c>
      <c r="E2802" s="2">
        <v>-0.01</v>
      </c>
      <c r="F2802" s="2" t="e">
        <f>IF(Table2[[#This Row],[Manual Cat Value]]="",VLOOKUP(Table2[[#This Row],[Description]],'Actuals Lookup'!D:F,3,0),Table2[[#This Row],[Manual Cat Value]])</f>
        <v>#N/A</v>
      </c>
      <c r="J2802" s="2">
        <v>0.01</v>
      </c>
      <c r="K2802" s="2" t="b">
        <v>0</v>
      </c>
      <c r="L2802" s="2"/>
      <c r="M2802" s="2"/>
      <c r="N2802" s="4" t="s">
        <v>2273</v>
      </c>
      <c r="O2802" s="4" t="str">
        <f>LEFT(Table2[[#This Row],[Description]],75)</f>
        <v>HALLIBURTON CO HLDG</v>
      </c>
      <c r="P2802" s="2" t="s">
        <v>2433</v>
      </c>
    </row>
    <row r="2803" spans="1:16" hidden="1">
      <c r="A2803" s="2">
        <v>202006</v>
      </c>
      <c r="B2803" s="3">
        <v>44006</v>
      </c>
      <c r="C2803" s="2" t="s">
        <v>2460</v>
      </c>
      <c r="D2803" s="2" t="s">
        <v>913</v>
      </c>
      <c r="E2803" s="2">
        <v>-0.01</v>
      </c>
      <c r="F2803" s="2" t="e">
        <f>IF(Table2[[#This Row],[Manual Cat Value]]="",VLOOKUP(Table2[[#This Row],[Description]],'Actuals Lookup'!D:F,3,0),Table2[[#This Row],[Manual Cat Value]])</f>
        <v>#N/A</v>
      </c>
      <c r="J2803" s="2">
        <v>0.01</v>
      </c>
      <c r="K2803" s="2" t="b">
        <v>0</v>
      </c>
      <c r="L2803" s="2"/>
      <c r="M2803" s="2"/>
      <c r="N2803" s="4" t="s">
        <v>2273</v>
      </c>
      <c r="O2803" s="4" t="str">
        <f>LEFT(Table2[[#This Row],[Description]],75)</f>
        <v>HALLIBURTON CO HLDG</v>
      </c>
      <c r="P2803" s="2" t="s">
        <v>2433</v>
      </c>
    </row>
    <row r="2804" spans="1:16" hidden="1">
      <c r="A2804" s="2">
        <v>202006</v>
      </c>
      <c r="B2804" s="3">
        <v>44006</v>
      </c>
      <c r="C2804" s="2" t="s">
        <v>2300</v>
      </c>
      <c r="D2804" s="2" t="s">
        <v>1648</v>
      </c>
      <c r="E2804" s="2">
        <v>-200</v>
      </c>
      <c r="F2804" s="2" t="e">
        <f>IF(Table2[[#This Row],[Manual Cat Value]]="",VLOOKUP(Table2[[#This Row],[Description]],'Actuals Lookup'!D:F,3,0),Table2[[#This Row],[Manual Cat Value]])</f>
        <v>#N/A</v>
      </c>
      <c r="J2804" s="2">
        <v>200</v>
      </c>
      <c r="K2804" s="2" t="b">
        <v>0</v>
      </c>
      <c r="L2804" s="2"/>
      <c r="M2804" s="2"/>
      <c r="N2804" s="4" t="s">
        <v>2273</v>
      </c>
      <c r="O2804" s="4" t="str">
        <f>LEFT(Table2[[#This Row],[Description]],75)</f>
        <v>Share</v>
      </c>
      <c r="P2804" s="2" t="s">
        <v>2448</v>
      </c>
    </row>
    <row r="2805" spans="1:16" hidden="1">
      <c r="A2805" s="2">
        <v>202006</v>
      </c>
      <c r="B2805" s="3">
        <v>44006</v>
      </c>
      <c r="C2805" s="2" t="s">
        <v>2262</v>
      </c>
      <c r="D2805" s="2" t="s">
        <v>1707</v>
      </c>
      <c r="E2805" s="2">
        <v>33.01</v>
      </c>
      <c r="F2805" s="2" t="str">
        <f>IF(Table2[[#This Row],[Manual Cat Value]]="",VLOOKUP(Table2[[#This Row],[Description]],'Actuals Lookup'!D:F,3,0),Table2[[#This Row],[Manual Cat Value]])</f>
        <v>Transportation</v>
      </c>
      <c r="J2805" s="2">
        <v>33.01</v>
      </c>
      <c r="K2805" s="2" t="b">
        <v>0</v>
      </c>
      <c r="L2805" s="2"/>
      <c r="M2805" s="2"/>
      <c r="N2805" s="4" t="s">
        <v>2259</v>
      </c>
      <c r="O2805" s="4" t="str">
        <f>LEFT(Table2[[#This Row],[Description]],75)</f>
        <v>Speedway</v>
      </c>
      <c r="P2805" s="2" t="s">
        <v>2381</v>
      </c>
    </row>
    <row r="2806" spans="1:16" hidden="1">
      <c r="A2806" s="2">
        <v>202006</v>
      </c>
      <c r="B2806" s="3">
        <v>44006</v>
      </c>
      <c r="C2806" s="2" t="s">
        <v>2265</v>
      </c>
      <c r="D2806" s="2" t="s">
        <v>1902</v>
      </c>
      <c r="E2806" s="2">
        <v>200</v>
      </c>
      <c r="F2806" s="2" t="e">
        <f>IF(Table2[[#This Row],[Manual Cat Value]]="",VLOOKUP(Table2[[#This Row],[Description]],'Actuals Lookup'!D:F,3,0),Table2[[#This Row],[Manual Cat Value]])</f>
        <v>#N/A</v>
      </c>
      <c r="J2806" s="2">
        <v>200</v>
      </c>
      <c r="K2806" s="2" t="b">
        <v>0</v>
      </c>
      <c r="L2806" s="2"/>
      <c r="M2806" s="2"/>
      <c r="N2806" s="4" t="s">
        <v>2259</v>
      </c>
      <c r="O2806" s="4" t="str">
        <f>LEFT(Table2[[#This Row],[Description]],75)</f>
        <v>To Share 12 320792909</v>
      </c>
      <c r="P2806" s="2" t="s">
        <v>2281</v>
      </c>
    </row>
    <row r="2807" spans="1:16" hidden="1">
      <c r="A2807" s="2">
        <v>202006</v>
      </c>
      <c r="B2807" s="3">
        <v>44007</v>
      </c>
      <c r="C2807" s="2" t="s">
        <v>2317</v>
      </c>
      <c r="D2807" s="2" t="s">
        <v>305</v>
      </c>
      <c r="E2807" s="2">
        <v>516.75</v>
      </c>
      <c r="F2807" s="2" t="e">
        <f>IF(Table2[[#This Row],[Manual Cat Value]]="",VLOOKUP(Table2[[#This Row],[Description]],'Actuals Lookup'!D:F,3,0),Table2[[#This Row],[Manual Cat Value]])</f>
        <v>#N/A</v>
      </c>
      <c r="J2807" s="2">
        <v>516.75</v>
      </c>
      <c r="K2807" s="2" t="b">
        <v>0</v>
      </c>
      <c r="L2807" s="2"/>
      <c r="M2807" s="2"/>
      <c r="N2807" s="4" t="s">
        <v>2259</v>
      </c>
      <c r="O2807" s="4" t="str">
        <f>LEFT(Table2[[#This Row],[Description]],75)</f>
        <v>BOEING CO</v>
      </c>
      <c r="P2807" s="2" t="s">
        <v>2425</v>
      </c>
    </row>
    <row r="2808" spans="1:16" hidden="1">
      <c r="A2808" s="2">
        <v>202006</v>
      </c>
      <c r="B2808" s="3">
        <v>44007</v>
      </c>
      <c r="C2808" s="2" t="s">
        <v>2460</v>
      </c>
      <c r="D2808" s="2" t="s">
        <v>305</v>
      </c>
      <c r="E2808" s="2">
        <v>516.75</v>
      </c>
      <c r="F2808" s="2" t="e">
        <f>IF(Table2[[#This Row],[Manual Cat Value]]="",VLOOKUP(Table2[[#This Row],[Description]],'Actuals Lookup'!D:F,3,0),Table2[[#This Row],[Manual Cat Value]])</f>
        <v>#N/A</v>
      </c>
      <c r="J2808" s="2">
        <v>516.75</v>
      </c>
      <c r="K2808" s="2" t="b">
        <v>0</v>
      </c>
      <c r="L2808" s="2"/>
      <c r="M2808" s="2"/>
      <c r="N2808" s="4" t="s">
        <v>2259</v>
      </c>
      <c r="O2808" s="4" t="str">
        <f>LEFT(Table2[[#This Row],[Description]],75)</f>
        <v>BOEING CO</v>
      </c>
      <c r="P2808" s="2" t="s">
        <v>2425</v>
      </c>
    </row>
    <row r="2809" spans="1:16" hidden="1">
      <c r="A2809" s="2">
        <v>202006</v>
      </c>
      <c r="B2809" s="3">
        <v>44007</v>
      </c>
      <c r="C2809" s="2" t="s">
        <v>2447</v>
      </c>
      <c r="D2809" s="2" t="s">
        <v>543</v>
      </c>
      <c r="E2809" s="2">
        <v>17.77</v>
      </c>
      <c r="F2809" s="2" t="e">
        <f>IF(Table2[[#This Row],[Manual Cat Value]]="",VLOOKUP(Table2[[#This Row],[Description]],'Actuals Lookup'!D:F,3,0),Table2[[#This Row],[Manual Cat Value]])</f>
        <v>#N/A</v>
      </c>
      <c r="J2809" s="2">
        <v>17.77</v>
      </c>
      <c r="K2809" s="2" t="b">
        <v>0</v>
      </c>
      <c r="L2809" s="2"/>
      <c r="M2809" s="2"/>
      <c r="N2809" s="4" t="s">
        <v>2259</v>
      </c>
      <c r="O2809" s="4" t="str">
        <f>LEFT(Table2[[#This Row],[Description]],75)</f>
        <v>Chipotle</v>
      </c>
      <c r="P2809" s="2" t="s">
        <v>2341</v>
      </c>
    </row>
    <row r="2810" spans="1:16" hidden="1">
      <c r="A2810" s="2">
        <v>202006</v>
      </c>
      <c r="B2810" s="3">
        <v>44007</v>
      </c>
      <c r="C2810" s="2" t="s">
        <v>2258</v>
      </c>
      <c r="D2810" s="2" t="s">
        <v>543</v>
      </c>
      <c r="E2810" s="2">
        <v>17.77</v>
      </c>
      <c r="F2810" s="2" t="e">
        <f>IF(Table2[[#This Row],[Manual Cat Value]]="",VLOOKUP(Table2[[#This Row],[Description]],'Actuals Lookup'!D:F,3,0),Table2[[#This Row],[Manual Cat Value]])</f>
        <v>#N/A</v>
      </c>
      <c r="J2810" s="2">
        <v>17.77</v>
      </c>
      <c r="K2810" s="2" t="b">
        <v>0</v>
      </c>
      <c r="L2810" s="2"/>
      <c r="M2810" s="2"/>
      <c r="N2810" s="4" t="s">
        <v>2259</v>
      </c>
      <c r="O2810" s="4" t="str">
        <f>LEFT(Table2[[#This Row],[Description]],75)</f>
        <v>Chipotle</v>
      </c>
      <c r="P2810" s="2" t="s">
        <v>2341</v>
      </c>
    </row>
    <row r="2811" spans="1:16" hidden="1">
      <c r="A2811" s="2">
        <v>202006</v>
      </c>
      <c r="B2811" s="3">
        <v>44007</v>
      </c>
      <c r="C2811" s="2" t="s">
        <v>2317</v>
      </c>
      <c r="D2811" s="2" t="s">
        <v>913</v>
      </c>
      <c r="E2811" s="2">
        <v>0.01</v>
      </c>
      <c r="F2811" s="2" t="e">
        <f>IF(Table2[[#This Row],[Manual Cat Value]]="",VLOOKUP(Table2[[#This Row],[Description]],'Actuals Lookup'!D:F,3,0),Table2[[#This Row],[Manual Cat Value]])</f>
        <v>#N/A</v>
      </c>
      <c r="J2811" s="2">
        <v>0.01</v>
      </c>
      <c r="K2811" s="2" t="b">
        <v>0</v>
      </c>
      <c r="L2811" s="2"/>
      <c r="M2811" s="2"/>
      <c r="N2811" s="4" t="s">
        <v>2259</v>
      </c>
      <c r="O2811" s="4" t="str">
        <f>LEFT(Table2[[#This Row],[Description]],75)</f>
        <v>HALLIBURTON CO HLDG</v>
      </c>
      <c r="P2811" s="2" t="s">
        <v>2433</v>
      </c>
    </row>
    <row r="2812" spans="1:16" hidden="1">
      <c r="A2812" s="2">
        <v>202006</v>
      </c>
      <c r="B2812" s="3">
        <v>44007</v>
      </c>
      <c r="C2812" s="2" t="s">
        <v>2460</v>
      </c>
      <c r="D2812" s="2" t="s">
        <v>913</v>
      </c>
      <c r="E2812" s="2">
        <v>0.01</v>
      </c>
      <c r="F2812" s="2" t="e">
        <f>IF(Table2[[#This Row],[Manual Cat Value]]="",VLOOKUP(Table2[[#This Row],[Description]],'Actuals Lookup'!D:F,3,0),Table2[[#This Row],[Manual Cat Value]])</f>
        <v>#N/A</v>
      </c>
      <c r="J2812" s="2">
        <v>0.01</v>
      </c>
      <c r="K2812" s="2" t="b">
        <v>0</v>
      </c>
      <c r="L2812" s="2"/>
      <c r="M2812" s="2"/>
      <c r="N2812" s="4" t="s">
        <v>2259</v>
      </c>
      <c r="O2812" s="4" t="str">
        <f>LEFT(Table2[[#This Row],[Description]],75)</f>
        <v>HALLIBURTON CO HLDG</v>
      </c>
      <c r="P2812" s="2" t="s">
        <v>2433</v>
      </c>
    </row>
    <row r="2813" spans="1:16" hidden="1">
      <c r="A2813" s="2">
        <v>202006</v>
      </c>
      <c r="B2813" s="3">
        <v>44007</v>
      </c>
      <c r="C2813" s="2" t="s">
        <v>2262</v>
      </c>
      <c r="D2813" s="2" t="s">
        <v>1590</v>
      </c>
      <c r="E2813" s="2">
        <v>122.37</v>
      </c>
      <c r="F2813" s="2" t="e">
        <f>IF(Table2[[#This Row],[Manual Cat Value]]="",VLOOKUP(Table2[[#This Row],[Description]],'Actuals Lookup'!D:F,3,0),Table2[[#This Row],[Manual Cat Value]])</f>
        <v>#N/A</v>
      </c>
      <c r="J2813" s="2">
        <v>122.37</v>
      </c>
      <c r="K2813" s="2" t="b">
        <v>0</v>
      </c>
      <c r="L2813" s="2"/>
      <c r="M2813" s="2"/>
      <c r="N2813" s="4" t="s">
        <v>2259</v>
      </c>
      <c r="O2813" s="4" t="str">
        <f>LEFT(Table2[[#This Row],[Description]],75)</f>
        <v>RIDGEVIEW MEDICAL CNTHOSWACONIA MN 321302814</v>
      </c>
      <c r="P2813" s="2" t="s">
        <v>2281</v>
      </c>
    </row>
    <row r="2814" spans="1:16" hidden="1">
      <c r="A2814" s="2">
        <v>202006</v>
      </c>
      <c r="B2814" s="3">
        <v>44008</v>
      </c>
      <c r="C2814" s="2" t="s">
        <v>2317</v>
      </c>
      <c r="D2814" s="2" t="s">
        <v>354</v>
      </c>
      <c r="E2814" s="2">
        <v>-200</v>
      </c>
      <c r="F2814" s="2" t="e">
        <f>IF(Table2[[#This Row],[Manual Cat Value]]="",VLOOKUP(Table2[[#This Row],[Description]],'Actuals Lookup'!D:F,3,0),Table2[[#This Row],[Manual Cat Value]])</f>
        <v>#N/A</v>
      </c>
      <c r="J2814" s="2">
        <v>200</v>
      </c>
      <c r="K2814" s="2" t="b">
        <v>0</v>
      </c>
      <c r="L2814" s="2"/>
      <c r="M2814" s="2"/>
      <c r="N2814" s="4" t="s">
        <v>2273</v>
      </c>
      <c r="O2814" s="4" t="str">
        <f>LEFT(Table2[[#This Row],[Description]],75)</f>
        <v>CARGILL COCOA &amp;</v>
      </c>
      <c r="P2814" s="2" t="s">
        <v>2354</v>
      </c>
    </row>
    <row r="2815" spans="1:16" hidden="1">
      <c r="A2815" s="2">
        <v>202006</v>
      </c>
      <c r="B2815" s="3">
        <v>44008</v>
      </c>
      <c r="C2815" s="2" t="s">
        <v>2460</v>
      </c>
      <c r="D2815" s="2" t="s">
        <v>354</v>
      </c>
      <c r="E2815" s="2">
        <v>-200</v>
      </c>
      <c r="F2815" s="2" t="e">
        <f>IF(Table2[[#This Row],[Manual Cat Value]]="",VLOOKUP(Table2[[#This Row],[Description]],'Actuals Lookup'!D:F,3,0),Table2[[#This Row],[Manual Cat Value]])</f>
        <v>#N/A</v>
      </c>
      <c r="J2815" s="2">
        <v>200</v>
      </c>
      <c r="K2815" s="2" t="b">
        <v>0</v>
      </c>
      <c r="L2815" s="2"/>
      <c r="M2815" s="2"/>
      <c r="N2815" s="4" t="s">
        <v>2273</v>
      </c>
      <c r="O2815" s="4" t="str">
        <f>LEFT(Table2[[#This Row],[Description]],75)</f>
        <v>CARGILL COCOA &amp;</v>
      </c>
      <c r="P2815" s="2" t="s">
        <v>2354</v>
      </c>
    </row>
    <row r="2816" spans="1:16" hidden="1">
      <c r="A2816" s="2">
        <v>202006</v>
      </c>
      <c r="B2816" s="3">
        <v>44008</v>
      </c>
      <c r="C2816" s="2" t="s">
        <v>2262</v>
      </c>
      <c r="D2816" s="2" t="s">
        <v>684</v>
      </c>
      <c r="E2816" s="2">
        <v>59.64</v>
      </c>
      <c r="F2816" s="2" t="str">
        <f>IF(Table2[[#This Row],[Manual Cat Value]]="",VLOOKUP(Table2[[#This Row],[Description]],'Actuals Lookup'!D:F,3,0),Table2[[#This Row],[Manual Cat Value]])</f>
        <v>Groceries</v>
      </c>
      <c r="J2816" s="2">
        <v>59.64</v>
      </c>
      <c r="K2816" s="2" t="b">
        <v>0</v>
      </c>
      <c r="L2816" s="2"/>
      <c r="M2816" s="2"/>
      <c r="N2816" s="4" t="s">
        <v>2259</v>
      </c>
      <c r="O2816" s="4" t="str">
        <f>LEFT(Table2[[#This Row],[Description]],75)</f>
        <v>Cub Foods</v>
      </c>
      <c r="P2816" s="2" t="s">
        <v>2370</v>
      </c>
    </row>
    <row r="2817" spans="1:16" hidden="1">
      <c r="A2817" s="2">
        <v>202006</v>
      </c>
      <c r="B2817" s="3">
        <v>44008</v>
      </c>
      <c r="C2817" s="2" t="s">
        <v>2265</v>
      </c>
      <c r="D2817" s="2" t="s">
        <v>1234</v>
      </c>
      <c r="E2817" s="2">
        <v>755.95</v>
      </c>
      <c r="F2817" s="2" t="e">
        <f>IF(Table2[[#This Row],[Manual Cat Value]]="",VLOOKUP(Table2[[#This Row],[Description]],'Actuals Lookup'!D:F,3,0),Table2[[#This Row],[Manual Cat Value]])</f>
        <v>#N/A</v>
      </c>
      <c r="J2817" s="2">
        <v>755.95</v>
      </c>
      <c r="K2817" s="2" t="b">
        <v>0</v>
      </c>
      <c r="L2817" s="2"/>
      <c r="M2817" s="2"/>
      <c r="N2817" s="4" t="s">
        <v>2259</v>
      </c>
      <c r="O2817" s="4" t="str">
        <f>LEFT(Table2[[#This Row],[Description]],75)</f>
        <v>MHCHILDCARELLC TYPE DUES ID CO MHCHILDCARELLC ACH ECC PPD ACH Trace 76926 3</v>
      </c>
      <c r="P2817" s="2" t="s">
        <v>2281</v>
      </c>
    </row>
    <row r="2818" spans="1:16" hidden="1">
      <c r="A2818" s="2">
        <v>202006</v>
      </c>
      <c r="B2818" s="3">
        <v>44008</v>
      </c>
      <c r="C2818" s="2" t="s">
        <v>2447</v>
      </c>
      <c r="D2818" s="2" t="s">
        <v>1350</v>
      </c>
      <c r="E2818" s="2">
        <v>12.99</v>
      </c>
      <c r="F2818" s="2" t="str">
        <f>IF(Table2[[#This Row],[Manual Cat Value]]="",VLOOKUP(Table2[[#This Row],[Description]],'Actuals Lookup'!D:F,3,0),Table2[[#This Row],[Manual Cat Value]])</f>
        <v>Utilities</v>
      </c>
      <c r="J2818" s="2">
        <v>12.99</v>
      </c>
      <c r="K2818" s="2" t="b">
        <v>0</v>
      </c>
      <c r="L2818" s="2"/>
      <c r="M2818" s="2"/>
      <c r="N2818" s="4" t="s">
        <v>2259</v>
      </c>
      <c r="O2818" s="4" t="str">
        <f>LEFT(Table2[[#This Row],[Description]],75)</f>
        <v>Netflix</v>
      </c>
      <c r="P2818" s="2" t="s">
        <v>2306</v>
      </c>
    </row>
    <row r="2819" spans="1:16" hidden="1">
      <c r="A2819" s="2">
        <v>202006</v>
      </c>
      <c r="B2819" s="3">
        <v>44008</v>
      </c>
      <c r="C2819" s="2" t="s">
        <v>2258</v>
      </c>
      <c r="D2819" s="2" t="s">
        <v>1350</v>
      </c>
      <c r="E2819" s="2">
        <v>12.99</v>
      </c>
      <c r="F2819" s="2" t="str">
        <f>IF(Table2[[#This Row],[Manual Cat Value]]="",VLOOKUP(Table2[[#This Row],[Description]],'Actuals Lookup'!D:F,3,0),Table2[[#This Row],[Manual Cat Value]])</f>
        <v>Utilities</v>
      </c>
      <c r="J2819" s="2">
        <v>12.99</v>
      </c>
      <c r="K2819" s="2" t="b">
        <v>0</v>
      </c>
      <c r="L2819" s="2"/>
      <c r="M2819" s="2"/>
      <c r="N2819" s="4" t="s">
        <v>2259</v>
      </c>
      <c r="O2819" s="4" t="str">
        <f>LEFT(Table2[[#This Row],[Description]],75)</f>
        <v>Netflix</v>
      </c>
      <c r="P2819" s="2" t="s">
        <v>2306</v>
      </c>
    </row>
    <row r="2820" spans="1:16" hidden="1">
      <c r="A2820" s="2">
        <v>202006</v>
      </c>
      <c r="B2820" s="3">
        <v>44008</v>
      </c>
      <c r="C2820" s="2" t="s">
        <v>2262</v>
      </c>
      <c r="D2820" s="2" t="s">
        <v>1500</v>
      </c>
      <c r="E2820" s="2">
        <v>161.06</v>
      </c>
      <c r="F2820" s="2" t="e">
        <f>IF(Table2[[#This Row],[Manual Cat Value]]="",VLOOKUP(Table2[[#This Row],[Description]],'Actuals Lookup'!D:F,3,0),Table2[[#This Row],[Manual Cat Value]])</f>
        <v>#N/A</v>
      </c>
      <c r="J2820" s="2">
        <v>161.06</v>
      </c>
      <c r="K2820" s="2" t="b">
        <v>0</v>
      </c>
      <c r="L2820" s="2"/>
      <c r="M2820" s="2"/>
      <c r="N2820" s="4" t="s">
        <v>2259</v>
      </c>
      <c r="O2820" s="4" t="str">
        <f>LEFT(Table2[[#This Row],[Description]],75)</f>
        <v>PLUNKETTS PEST CONTROL MINNEAPOLIS MN 321554457</v>
      </c>
      <c r="P2820" s="2" t="s">
        <v>2281</v>
      </c>
    </row>
    <row r="2821" spans="1:16" hidden="1">
      <c r="A2821" s="2">
        <v>202006</v>
      </c>
      <c r="B2821" s="3">
        <v>44008</v>
      </c>
      <c r="C2821" s="2" t="s">
        <v>2265</v>
      </c>
      <c r="D2821" s="2" t="s">
        <v>31</v>
      </c>
      <c r="E2821" s="2">
        <v>273.97000000000003</v>
      </c>
      <c r="F2821" s="2" t="str">
        <f>IF(Table2[[#This Row],[Manual Cat Value]]="",VLOOKUP(Table2[[#This Row],[Description]],'Actuals Lookup'!D:F,3,0),Table2[[#This Row],[Manual Cat Value]])</f>
        <v>Target</v>
      </c>
      <c r="J2821" s="2">
        <v>273.97000000000003</v>
      </c>
      <c r="K2821" s="2" t="b">
        <v>0</v>
      </c>
      <c r="L2821" s="2"/>
      <c r="M2821" s="2"/>
      <c r="N2821" s="4" t="s">
        <v>2259</v>
      </c>
      <c r="O2821" s="4" t="str">
        <f>LEFT(Table2[[#This Row],[Description]],75)</f>
        <v>Target</v>
      </c>
      <c r="P2821" s="2" t="s">
        <v>2309</v>
      </c>
    </row>
    <row r="2822" spans="1:16" hidden="1">
      <c r="A2822" s="2">
        <v>202006</v>
      </c>
      <c r="B2822" s="3">
        <v>44008</v>
      </c>
      <c r="C2822" s="2" t="s">
        <v>2338</v>
      </c>
      <c r="D2822" s="2" t="s">
        <v>1820</v>
      </c>
      <c r="E2822" s="2">
        <v>-732.69</v>
      </c>
      <c r="F2822" s="2" t="e">
        <f>IF(Table2[[#This Row],[Manual Cat Value]]="",VLOOKUP(Table2[[#This Row],[Description]],'Actuals Lookup'!D:F,3,0),Table2[[#This Row],[Manual Cat Value]])</f>
        <v>#N/A</v>
      </c>
      <c r="J2822" s="2">
        <v>732.69</v>
      </c>
      <c r="K2822" s="2" t="b">
        <v>0</v>
      </c>
      <c r="L2822" s="2"/>
      <c r="M2822" s="2"/>
      <c r="N2822" s="4" t="s">
        <v>2273</v>
      </c>
      <c r="O2822" s="4" t="str">
        <f>LEFT(Table2[[#This Row],[Description]],75)</f>
        <v>Target Retire 2055 Tr P - Plan Contribution</v>
      </c>
      <c r="P2822" s="2" t="s">
        <v>2386</v>
      </c>
    </row>
    <row r="2823" spans="1:16" hidden="1">
      <c r="A2823" s="2">
        <v>202006</v>
      </c>
      <c r="B2823" s="3">
        <v>44008</v>
      </c>
      <c r="C2823" s="2" t="s">
        <v>2434</v>
      </c>
      <c r="D2823" s="2" t="s">
        <v>1834</v>
      </c>
      <c r="E2823" s="2">
        <v>-231</v>
      </c>
      <c r="F2823" s="2" t="e">
        <f>IF(Table2[[#This Row],[Manual Cat Value]]="",VLOOKUP(Table2[[#This Row],[Description]],'Actuals Lookup'!D:F,3,0),Table2[[#This Row],[Manual Cat Value]])</f>
        <v>#N/A</v>
      </c>
      <c r="J2823" s="2">
        <v>231</v>
      </c>
      <c r="K2823" s="2" t="b">
        <v>0</v>
      </c>
      <c r="L2823" s="2"/>
      <c r="M2823" s="2"/>
      <c r="N2823" s="4" t="s">
        <v>2273</v>
      </c>
      <c r="O2823" s="4" t="str">
        <f>LEFT(Table2[[#This Row],[Description]],75)</f>
        <v>Tfr JPMORGAN CHASE BAN, CARGILL COCOA &amp;</v>
      </c>
      <c r="P2823" s="2" t="s">
        <v>2356</v>
      </c>
    </row>
    <row r="2824" spans="1:16" hidden="1">
      <c r="A2824" s="2">
        <v>202006</v>
      </c>
      <c r="B2824" s="3">
        <v>44009</v>
      </c>
      <c r="C2824" s="2" t="s">
        <v>2447</v>
      </c>
      <c r="D2824" s="2" t="s">
        <v>38</v>
      </c>
      <c r="E2824" s="2">
        <v>14.17</v>
      </c>
      <c r="F2824" s="2" t="str">
        <f>IF(Table2[[#This Row],[Manual Cat Value]]="",VLOOKUP(Table2[[#This Row],[Description]],'Actuals Lookup'!D:F,3,0),Table2[[#This Row],[Manual Cat Value]])</f>
        <v>Amazon</v>
      </c>
      <c r="J2824" s="2">
        <v>14.17</v>
      </c>
      <c r="K2824" s="2" t="b">
        <v>0</v>
      </c>
      <c r="L2824" s="2"/>
      <c r="M2824" s="2"/>
      <c r="N2824" s="4" t="s">
        <v>2259</v>
      </c>
      <c r="O2824" s="4" t="str">
        <f>LEFT(Table2[[#This Row],[Description]],75)</f>
        <v>Amazon</v>
      </c>
      <c r="P2824" s="2" t="s">
        <v>2260</v>
      </c>
    </row>
    <row r="2825" spans="1:16" hidden="1">
      <c r="A2825" s="2">
        <v>202006</v>
      </c>
      <c r="B2825" s="3">
        <v>44009</v>
      </c>
      <c r="C2825" s="2" t="s">
        <v>2258</v>
      </c>
      <c r="D2825" s="2" t="s">
        <v>38</v>
      </c>
      <c r="E2825" s="2">
        <v>14.17</v>
      </c>
      <c r="F2825" s="2" t="str">
        <f>IF(Table2[[#This Row],[Manual Cat Value]]="",VLOOKUP(Table2[[#This Row],[Description]],'Actuals Lookup'!D:F,3,0),Table2[[#This Row],[Manual Cat Value]])</f>
        <v>Amazon</v>
      </c>
      <c r="J2825" s="2">
        <v>14.17</v>
      </c>
      <c r="K2825" s="2" t="b">
        <v>0</v>
      </c>
      <c r="L2825" s="2"/>
      <c r="M2825" s="2"/>
      <c r="N2825" s="4" t="s">
        <v>2259</v>
      </c>
      <c r="O2825" s="4" t="str">
        <f>LEFT(Table2[[#This Row],[Description]],75)</f>
        <v>Amazon</v>
      </c>
      <c r="P2825" s="2" t="s">
        <v>2260</v>
      </c>
    </row>
    <row r="2826" spans="1:16" hidden="1">
      <c r="A2826" s="2">
        <v>202006</v>
      </c>
      <c r="B2826" s="3">
        <v>44010</v>
      </c>
      <c r="C2826" s="2" t="s">
        <v>2262</v>
      </c>
      <c r="D2826" s="2" t="s">
        <v>1455</v>
      </c>
      <c r="E2826" s="2">
        <v>-1684.84</v>
      </c>
      <c r="F2826" s="2" t="e">
        <f>IF(Table2[[#This Row],[Manual Cat Value]]="",VLOOKUP(Table2[[#This Row],[Description]],'Actuals Lookup'!D:F,3,0),Table2[[#This Row],[Manual Cat Value]])</f>
        <v>#N/A</v>
      </c>
      <c r="J2826" s="2">
        <v>1684.84</v>
      </c>
      <c r="K2826" s="2" t="b">
        <v>0</v>
      </c>
      <c r="L2826" s="2"/>
      <c r="M2826" s="2"/>
      <c r="N2826" s="4" t="s">
        <v>2273</v>
      </c>
      <c r="O2826" s="4" t="str">
        <f>LEFT(Table2[[#This Row],[Description]],75)</f>
        <v>PAYMENT THANK YOU 322220064</v>
      </c>
      <c r="P2826" s="2" t="s">
        <v>2391</v>
      </c>
    </row>
    <row r="2827" spans="1:16" hidden="1">
      <c r="A2827" s="2">
        <v>202006</v>
      </c>
      <c r="B2827" s="3">
        <v>44010</v>
      </c>
      <c r="C2827" s="2" t="s">
        <v>2265</v>
      </c>
      <c r="D2827" s="2" t="s">
        <v>2200</v>
      </c>
      <c r="E2827" s="2">
        <v>1684.84</v>
      </c>
      <c r="F2827" s="2" t="e">
        <f>IF(Table2[[#This Row],[Manual Cat Value]]="",VLOOKUP(Table2[[#This Row],[Description]],'Actuals Lookup'!D:F,3,0),Table2[[#This Row],[Manual Cat Value]])</f>
        <v>#N/A</v>
      </c>
      <c r="J2827" s="2">
        <v>1684.84</v>
      </c>
      <c r="K2827" s="2" t="b">
        <v>0</v>
      </c>
      <c r="L2827" s="2"/>
      <c r="M2827" s="2"/>
      <c r="N2827" s="4" t="s">
        <v>2259</v>
      </c>
      <c r="O2827" s="4" t="str">
        <f>LEFT(Table2[[#This Row],[Description]],75)</f>
        <v>Withdrawal Home payment to card 979181 321867876</v>
      </c>
      <c r="P2827" s="2" t="s">
        <v>2349</v>
      </c>
    </row>
    <row r="2828" spans="1:16" hidden="1">
      <c r="A2828" s="2">
        <v>202006</v>
      </c>
      <c r="B2828" s="3">
        <v>44010</v>
      </c>
      <c r="C2828" s="2" t="s">
        <v>2265</v>
      </c>
      <c r="D2828" s="2" t="s">
        <v>74</v>
      </c>
      <c r="E2828" s="2">
        <v>-35</v>
      </c>
      <c r="F2828" s="2" t="e">
        <f>IF(Table2[[#This Row],[Manual Cat Value]]="",VLOOKUP(Table2[[#This Row],[Description]],'Actuals Lookup'!D:F,3,0),Table2[[#This Row],[Manual Cat Value]])</f>
        <v>#N/A</v>
      </c>
      <c r="J2828" s="2">
        <v>35</v>
      </c>
      <c r="K2828" s="2" t="b">
        <v>0</v>
      </c>
      <c r="L2828" s="2"/>
      <c r="M2828" s="2"/>
      <c r="N2828" s="4" t="s">
        <v>2273</v>
      </c>
      <c r="O2828" s="4" t="str">
        <f>LEFT(Table2[[#This Row],[Description]],75)</f>
        <v xml:space="preserve"> TYPE TRANSFER ID PAYPALSD11 CO PAYPAL ACH ECC PPD ACH Trace 23715 32192471</v>
      </c>
      <c r="P2828" s="2" t="s">
        <v>2322</v>
      </c>
    </row>
    <row r="2829" spans="1:16" hidden="1">
      <c r="A2829" s="2">
        <v>202006</v>
      </c>
      <c r="B2829" s="3">
        <v>44010</v>
      </c>
      <c r="C2829" s="2" t="s">
        <v>2262</v>
      </c>
      <c r="D2829" s="2" t="s">
        <v>302</v>
      </c>
      <c r="E2829" s="2">
        <v>30</v>
      </c>
      <c r="F2829" s="2" t="e">
        <f>IF(Table2[[#This Row],[Manual Cat Value]]="",VLOOKUP(Table2[[#This Row],[Description]],'Actuals Lookup'!D:F,3,0),Table2[[#This Row],[Manual Cat Value]])</f>
        <v>#N/A</v>
      </c>
      <c r="J2829" s="2">
        <v>30</v>
      </c>
      <c r="K2829" s="2" t="b">
        <v>0</v>
      </c>
      <c r="L2829" s="2"/>
      <c r="M2829" s="2"/>
      <c r="N2829" s="4" t="s">
        <v>2259</v>
      </c>
      <c r="O2829" s="4" t="str">
        <f>LEFT(Table2[[#This Row],[Description]],75)</f>
        <v>BOAT HOUSE GRILL AND BAR WASECA MN 321934380</v>
      </c>
      <c r="P2829" s="2" t="s">
        <v>2281</v>
      </c>
    </row>
    <row r="2830" spans="1:16" hidden="1">
      <c r="A2830" s="2">
        <v>202006</v>
      </c>
      <c r="B2830" s="3">
        <v>44010</v>
      </c>
      <c r="C2830" s="2" t="s">
        <v>2262</v>
      </c>
      <c r="D2830" s="2" t="s">
        <v>456</v>
      </c>
      <c r="E2830" s="2">
        <v>17.989999999999998</v>
      </c>
      <c r="F2830" s="2" t="e">
        <f>IF(Table2[[#This Row],[Manual Cat Value]]="",VLOOKUP(Table2[[#This Row],[Description]],'Actuals Lookup'!D:F,3,0),Table2[[#This Row],[Manual Cat Value]])</f>
        <v>#N/A</v>
      </c>
      <c r="J2830" s="2">
        <v>17.989999999999998</v>
      </c>
      <c r="K2830" s="2" t="b">
        <v>0</v>
      </c>
      <c r="L2830" s="2"/>
      <c r="M2830" s="2"/>
      <c r="N2830" s="4" t="s">
        <v>2259</v>
      </c>
      <c r="O2830" s="4" t="str">
        <f>LEFT(Table2[[#This Row],[Description]],75)</f>
        <v>Casey's</v>
      </c>
      <c r="P2830" s="2" t="s">
        <v>2281</v>
      </c>
    </row>
    <row r="2831" spans="1:16" hidden="1">
      <c r="A2831" s="2">
        <v>202006</v>
      </c>
      <c r="B2831" s="3">
        <v>44010</v>
      </c>
      <c r="C2831" s="2" t="s">
        <v>2265</v>
      </c>
      <c r="D2831" s="2" t="s">
        <v>637</v>
      </c>
      <c r="E2831" s="2">
        <v>-122.37</v>
      </c>
      <c r="F2831" s="2" t="e">
        <f>IF(Table2[[#This Row],[Manual Cat Value]]="",VLOOKUP(Table2[[#This Row],[Description]],'Actuals Lookup'!D:F,3,0),Table2[[#This Row],[Manual Cat Value]])</f>
        <v>#N/A</v>
      </c>
      <c r="J2831" s="2">
        <v>122.37</v>
      </c>
      <c r="K2831" s="2" t="b">
        <v>0</v>
      </c>
      <c r="L2831" s="2"/>
      <c r="M2831" s="2"/>
      <c r="N2831" s="4" t="s">
        <v>2273</v>
      </c>
      <c r="O2831" s="4" t="str">
        <f>LEFT(Table2[[#This Row],[Description]],75)</f>
        <v>Connectyourcare Type Svbclaims</v>
      </c>
      <c r="P2831" s="2" t="s">
        <v>2281</v>
      </c>
    </row>
    <row r="2832" spans="1:16" hidden="1">
      <c r="A2832" s="2">
        <v>202006</v>
      </c>
      <c r="B2832" s="3">
        <v>44010</v>
      </c>
      <c r="C2832" s="2" t="s">
        <v>2262</v>
      </c>
      <c r="D2832" s="2" t="s">
        <v>1158</v>
      </c>
      <c r="E2832" s="2">
        <v>-264</v>
      </c>
      <c r="F2832" s="2" t="e">
        <f>IF(Table2[[#This Row],[Manual Cat Value]]="",VLOOKUP(Table2[[#This Row],[Description]],'Actuals Lookup'!D:F,3,0),Table2[[#This Row],[Manual Cat Value]])</f>
        <v>#N/A</v>
      </c>
      <c r="J2832" s="2">
        <v>264</v>
      </c>
      <c r="K2832" s="2" t="b">
        <v>0</v>
      </c>
      <c r="L2832" s="2"/>
      <c r="M2832" s="2"/>
      <c r="N2832" s="4" t="s">
        <v>2273</v>
      </c>
      <c r="O2832" s="4" t="str">
        <f>LEFT(Table2[[#This Row],[Description]],75)</f>
        <v>Lululemon</v>
      </c>
      <c r="P2832" s="2" t="s">
        <v>2287</v>
      </c>
    </row>
    <row r="2833" spans="1:16" hidden="1">
      <c r="A2833" s="2">
        <v>202006</v>
      </c>
      <c r="B2833" s="3">
        <v>44010</v>
      </c>
      <c r="C2833" s="2" t="s">
        <v>2262</v>
      </c>
      <c r="D2833" s="2" t="s">
        <v>1509</v>
      </c>
      <c r="E2833" s="2">
        <v>23.5</v>
      </c>
      <c r="F2833" s="2" t="e">
        <f>IF(Table2[[#This Row],[Manual Cat Value]]="",VLOOKUP(Table2[[#This Row],[Description]],'Actuals Lookup'!D:F,3,0),Table2[[#This Row],[Manual Cat Value]])</f>
        <v>#N/A</v>
      </c>
      <c r="J2833" s="2">
        <v>23.5</v>
      </c>
      <c r="K2833" s="2" t="b">
        <v>0</v>
      </c>
      <c r="L2833" s="2"/>
      <c r="M2833" s="2"/>
      <c r="N2833" s="4" t="s">
        <v>2259</v>
      </c>
      <c r="O2833" s="4" t="str">
        <f>LEFT(Table2[[#This Row],[Description]],75)</f>
        <v>PRAIRIE RIDGE GOLF COURSEJANESVILLE MN 321934379</v>
      </c>
      <c r="P2833" s="2" t="s">
        <v>2281</v>
      </c>
    </row>
    <row r="2834" spans="1:16" hidden="1">
      <c r="A2834" s="2">
        <v>202006</v>
      </c>
      <c r="B2834" s="3">
        <v>44010</v>
      </c>
      <c r="C2834" s="2" t="s">
        <v>2262</v>
      </c>
      <c r="D2834" s="2" t="s">
        <v>2032</v>
      </c>
      <c r="E2834" s="2">
        <v>36.200000000000003</v>
      </c>
      <c r="F2834" s="2" t="e">
        <f>IF(Table2[[#This Row],[Manual Cat Value]]="",VLOOKUP(Table2[[#This Row],[Description]],'Actuals Lookup'!D:F,3,0),Table2[[#This Row],[Manual Cat Value]])</f>
        <v>#N/A</v>
      </c>
      <c r="J2834" s="2">
        <v>36.200000000000003</v>
      </c>
      <c r="K2834" s="2" t="b">
        <v>0</v>
      </c>
      <c r="L2834" s="2"/>
      <c r="M2834" s="2"/>
      <c r="N2834" s="4" t="s">
        <v>2259</v>
      </c>
      <c r="O2834" s="4" t="str">
        <f>LEFT(Table2[[#This Row],[Description]],75)</f>
        <v>TST RED COW 1ST AVE 6122380050 MN 321934378</v>
      </c>
      <c r="P2834" s="2" t="s">
        <v>2362</v>
      </c>
    </row>
    <row r="2835" spans="1:16" hidden="1">
      <c r="A2835" s="2">
        <v>202006</v>
      </c>
      <c r="B2835" s="3">
        <v>44010</v>
      </c>
      <c r="C2835" s="2" t="s">
        <v>2265</v>
      </c>
      <c r="D2835" s="2" t="s">
        <v>2070</v>
      </c>
      <c r="E2835" s="2">
        <v>-35</v>
      </c>
      <c r="F2835" s="2" t="e">
        <f>IF(Table2[[#This Row],[Manual Cat Value]]="",VLOOKUP(Table2[[#This Row],[Description]],'Actuals Lookup'!D:F,3,0),Table2[[#This Row],[Manual Cat Value]])</f>
        <v>#N/A</v>
      </c>
      <c r="J2835" s="2">
        <v>35</v>
      </c>
      <c r="K2835" s="2" t="b">
        <v>0</v>
      </c>
      <c r="L2835" s="2"/>
      <c r="M2835" s="2"/>
      <c r="N2835" s="4" t="s">
        <v>2273</v>
      </c>
      <c r="O2835" s="4" t="str">
        <f>LEFT(Table2[[#This Row],[Description]],75)</f>
        <v>TYPE TRANSFER ID PAYPALSD11 CO PAYPAL ACH ECC PPD ACH Trace 23715 321924713</v>
      </c>
      <c r="P2835" s="2" t="s">
        <v>2322</v>
      </c>
    </row>
    <row r="2836" spans="1:16" hidden="1">
      <c r="A2836" s="2">
        <v>202006</v>
      </c>
      <c r="B2836" s="3">
        <v>44011</v>
      </c>
      <c r="C2836" s="2" t="s">
        <v>2265</v>
      </c>
      <c r="D2836" s="2" t="s">
        <v>1059</v>
      </c>
      <c r="E2836" s="2">
        <v>-2688.26</v>
      </c>
      <c r="F2836" s="2" t="e">
        <f>IF(Table2[[#This Row],[Manual Cat Value]]="",VLOOKUP(Table2[[#This Row],[Description]],'Actuals Lookup'!D:F,3,0),Table2[[#This Row],[Manual Cat Value]])</f>
        <v>#N/A</v>
      </c>
      <c r="J2836" s="2">
        <v>2688.26</v>
      </c>
      <c r="K2836" s="2" t="b">
        <v>0</v>
      </c>
      <c r="L2836" s="2"/>
      <c r="M2836" s="2"/>
      <c r="N2836" s="4" t="s">
        <v>2273</v>
      </c>
      <c r="O2836" s="4" t="str">
        <f>LEFT(Table2[[#This Row],[Description]],75)</f>
        <v>KAUFMAN HALL TYPE DIRECT DEP ID CO KAUFMAN HALL ACH ECC PPD ACH Trace 63599</v>
      </c>
      <c r="P2836" s="2" t="s">
        <v>2285</v>
      </c>
    </row>
    <row r="2837" spans="1:16" hidden="1">
      <c r="A2837" s="2">
        <v>202006</v>
      </c>
      <c r="B2837" s="3">
        <v>44011</v>
      </c>
      <c r="C2837" s="2" t="s">
        <v>2262</v>
      </c>
      <c r="D2837" s="2" t="s">
        <v>1125</v>
      </c>
      <c r="E2837" s="2">
        <v>49.1</v>
      </c>
      <c r="F2837" s="2" t="e">
        <f>IF(Table2[[#This Row],[Manual Cat Value]]="",VLOOKUP(Table2[[#This Row],[Description]],'Actuals Lookup'!D:F,3,0),Table2[[#This Row],[Manual Cat Value]])</f>
        <v>#N/A</v>
      </c>
      <c r="J2837" s="2">
        <v>49.1</v>
      </c>
      <c r="K2837" s="2" t="b">
        <v>0</v>
      </c>
      <c r="L2837" s="2"/>
      <c r="M2837" s="2"/>
      <c r="N2837" s="4" t="s">
        <v>2259</v>
      </c>
      <c r="O2837" s="4" t="str">
        <f>LEFT(Table2[[#This Row],[Description]],75)</f>
        <v>LIONS TAP EDEN PRAIRIE MN 322220065</v>
      </c>
      <c r="P2837" s="2" t="s">
        <v>2344</v>
      </c>
    </row>
    <row r="2838" spans="1:16" hidden="1">
      <c r="A2838" s="2">
        <v>202006</v>
      </c>
      <c r="B2838" s="3">
        <v>44011</v>
      </c>
      <c r="C2838" s="2" t="s">
        <v>2265</v>
      </c>
      <c r="D2838" s="2" t="s">
        <v>1471</v>
      </c>
      <c r="E2838" s="2">
        <v>0.99</v>
      </c>
      <c r="F2838" s="2" t="str">
        <f>IF(Table2[[#This Row],[Manual Cat Value]]="",VLOOKUP(Table2[[#This Row],[Description]],'Actuals Lookup'!D:F,3,0),Table2[[#This Row],[Manual Cat Value]])</f>
        <v>Shopping</v>
      </c>
      <c r="J2838" s="2">
        <v>0.99</v>
      </c>
      <c r="K2838" s="2" t="b">
        <v>0</v>
      </c>
      <c r="L2838" s="2"/>
      <c r="M2838" s="2"/>
      <c r="N2838" s="4" t="s">
        <v>2259</v>
      </c>
      <c r="O2838" s="4" t="str">
        <f>LEFT(Table2[[#This Row],[Description]],75)</f>
        <v>PayPal</v>
      </c>
      <c r="P2838" s="2" t="s">
        <v>2322</v>
      </c>
    </row>
    <row r="2839" spans="1:16" hidden="1">
      <c r="A2839" s="2">
        <v>202006</v>
      </c>
      <c r="B2839" s="3">
        <v>44011</v>
      </c>
      <c r="C2839" s="2" t="s">
        <v>2317</v>
      </c>
      <c r="D2839" s="2" t="s">
        <v>1638</v>
      </c>
      <c r="E2839" s="2">
        <v>-7.84</v>
      </c>
      <c r="F2839" s="2" t="e">
        <f>IF(Table2[[#This Row],[Manual Cat Value]]="",VLOOKUP(Table2[[#This Row],[Description]],'Actuals Lookup'!D:F,3,0),Table2[[#This Row],[Manual Cat Value]])</f>
        <v>#N/A</v>
      </c>
      <c r="J2839" s="2">
        <v>7.84</v>
      </c>
      <c r="K2839" s="2" t="b">
        <v>0</v>
      </c>
      <c r="L2839" s="2"/>
      <c r="M2839" s="2"/>
      <c r="N2839" s="4" t="s">
        <v>2273</v>
      </c>
      <c r="O2839" s="4" t="str">
        <f>LEFT(Table2[[#This Row],[Description]],75)</f>
        <v>SCHWAB US SMALL CAP ETF</v>
      </c>
      <c r="P2839" s="2" t="s">
        <v>2351</v>
      </c>
    </row>
    <row r="2840" spans="1:16" hidden="1">
      <c r="A2840" s="2">
        <v>202006</v>
      </c>
      <c r="B2840" s="3">
        <v>44011</v>
      </c>
      <c r="C2840" s="2" t="s">
        <v>2460</v>
      </c>
      <c r="D2840" s="2" t="s">
        <v>1638</v>
      </c>
      <c r="E2840" s="2">
        <v>-7.84</v>
      </c>
      <c r="F2840" s="2" t="e">
        <f>IF(Table2[[#This Row],[Manual Cat Value]]="",VLOOKUP(Table2[[#This Row],[Description]],'Actuals Lookup'!D:F,3,0),Table2[[#This Row],[Manual Cat Value]])</f>
        <v>#N/A</v>
      </c>
      <c r="J2840" s="2">
        <v>7.84</v>
      </c>
      <c r="K2840" s="2" t="b">
        <v>0</v>
      </c>
      <c r="L2840" s="2"/>
      <c r="M2840" s="2"/>
      <c r="N2840" s="4" t="s">
        <v>2273</v>
      </c>
      <c r="O2840" s="4" t="str">
        <f>LEFT(Table2[[#This Row],[Description]],75)</f>
        <v>SCHWAB US SMALL CAP ETF</v>
      </c>
      <c r="P2840" s="2" t="s">
        <v>2351</v>
      </c>
    </row>
    <row r="2841" spans="1:16" hidden="1">
      <c r="A2841" s="2">
        <v>202006</v>
      </c>
      <c r="B2841" s="3">
        <v>44011</v>
      </c>
      <c r="C2841" s="2" t="s">
        <v>2265</v>
      </c>
      <c r="D2841" s="2" t="s">
        <v>2109</v>
      </c>
      <c r="E2841" s="2">
        <v>23</v>
      </c>
      <c r="F2841" s="2" t="str">
        <f>IF(Table2[[#This Row],[Manual Cat Value]]="",VLOOKUP(Table2[[#This Row],[Description]],'Actuals Lookup'!D:F,3,0),Table2[[#This Row],[Manual Cat Value]])</f>
        <v>Shopping</v>
      </c>
      <c r="J2841" s="2">
        <v>23</v>
      </c>
      <c r="K2841" s="2" t="b">
        <v>0</v>
      </c>
      <c r="L2841" s="2"/>
      <c r="M2841" s="2"/>
      <c r="N2841" s="4" t="s">
        <v>2259</v>
      </c>
      <c r="O2841" s="4" t="str">
        <f>LEFT(Table2[[#This Row],[Description]],75)</f>
        <v>Venmo</v>
      </c>
      <c r="P2841" s="2" t="s">
        <v>2281</v>
      </c>
    </row>
    <row r="2842" spans="1:16" hidden="1">
      <c r="A2842" s="2">
        <v>202006</v>
      </c>
      <c r="B2842" s="3">
        <v>44012</v>
      </c>
      <c r="C2842" s="2" t="s">
        <v>2262</v>
      </c>
      <c r="D2842" s="2" t="s">
        <v>38</v>
      </c>
      <c r="E2842" s="2">
        <v>15.99</v>
      </c>
      <c r="F2842" s="2" t="str">
        <f>IF(Table2[[#This Row],[Manual Cat Value]]="",VLOOKUP(Table2[[#This Row],[Description]],'Actuals Lookup'!D:F,3,0),Table2[[#This Row],[Manual Cat Value]])</f>
        <v>Amazon</v>
      </c>
      <c r="J2842" s="2">
        <v>15.99</v>
      </c>
      <c r="K2842" s="2" t="b">
        <v>0</v>
      </c>
      <c r="L2842" s="2"/>
      <c r="M2842" s="2"/>
      <c r="N2842" s="4" t="s">
        <v>2259</v>
      </c>
      <c r="O2842" s="4" t="str">
        <f>LEFT(Table2[[#This Row],[Description]],75)</f>
        <v>Amazon</v>
      </c>
      <c r="P2842" s="2" t="s">
        <v>2260</v>
      </c>
    </row>
    <row r="2843" spans="1:16" hidden="1">
      <c r="A2843" s="2">
        <v>202006</v>
      </c>
      <c r="B2843" s="3">
        <v>44012</v>
      </c>
      <c r="C2843" s="2" t="s">
        <v>2265</v>
      </c>
      <c r="D2843" s="2" t="s">
        <v>182</v>
      </c>
      <c r="E2843" s="2">
        <v>-3</v>
      </c>
      <c r="F2843" s="2" t="e">
        <f>IF(Table2[[#This Row],[Manual Cat Value]]="",VLOOKUP(Table2[[#This Row],[Description]],'Actuals Lookup'!D:F,3,0),Table2[[#This Row],[Manual Cat Value]])</f>
        <v>#N/A</v>
      </c>
      <c r="J2843" s="2">
        <v>3</v>
      </c>
      <c r="K2843" s="2" t="b">
        <v>0</v>
      </c>
      <c r="L2843" s="2"/>
      <c r="M2843" s="2"/>
      <c r="N2843" s="4" t="s">
        <v>2273</v>
      </c>
      <c r="O2843" s="4" t="str">
        <f>LEFT(Table2[[#This Row],[Description]],75)</f>
        <v>ATM FEE REFUND 322510735</v>
      </c>
      <c r="P2843" s="2" t="s">
        <v>2281</v>
      </c>
    </row>
    <row r="2844" spans="1:16" hidden="1">
      <c r="A2844" s="2">
        <v>202006</v>
      </c>
      <c r="B2844" s="3">
        <v>44012</v>
      </c>
      <c r="C2844" s="2" t="s">
        <v>2274</v>
      </c>
      <c r="D2844" s="2" t="s">
        <v>994</v>
      </c>
      <c r="E2844" s="2">
        <v>-0.01</v>
      </c>
      <c r="F2844" s="2" t="e">
        <f>IF(Table2[[#This Row],[Manual Cat Value]]="",VLOOKUP(Table2[[#This Row],[Description]],'Actuals Lookup'!D:F,3,0),Table2[[#This Row],[Manual Cat Value]])</f>
        <v>#N/A</v>
      </c>
      <c r="J2844" s="2">
        <v>0.01</v>
      </c>
      <c r="K2844" s="2" t="b">
        <v>0</v>
      </c>
      <c r="L2844" s="2"/>
      <c r="M2844" s="2"/>
      <c r="N2844" s="4" t="s">
        <v>2273</v>
      </c>
      <c r="O2844" s="4" t="str">
        <f>LEFT(Table2[[#This Row],[Description]],75)</f>
        <v>Interest Paid</v>
      </c>
      <c r="P2844" s="2" t="s">
        <v>2281</v>
      </c>
    </row>
    <row r="2845" spans="1:16" hidden="1">
      <c r="A2845" s="2">
        <v>202006</v>
      </c>
      <c r="B2845" s="3">
        <v>44012</v>
      </c>
      <c r="C2845" s="2" t="s">
        <v>2317</v>
      </c>
      <c r="D2845" s="2" t="s">
        <v>1037</v>
      </c>
      <c r="E2845" s="2">
        <v>-250</v>
      </c>
      <c r="F2845" s="2" t="e">
        <f>IF(Table2[[#This Row],[Manual Cat Value]]="",VLOOKUP(Table2[[#This Row],[Description]],'Actuals Lookup'!D:F,3,0),Table2[[#This Row],[Manual Cat Value]])</f>
        <v>#N/A</v>
      </c>
      <c r="J2845" s="2">
        <v>250</v>
      </c>
      <c r="K2845" s="2" t="b">
        <v>0</v>
      </c>
      <c r="L2845" s="2"/>
      <c r="M2845" s="2"/>
      <c r="N2845" s="4" t="s">
        <v>2273</v>
      </c>
      <c r="O2845" s="4" t="str">
        <f>LEFT(Table2[[#This Row],[Description]],75)</f>
        <v>KAUFMAN HALL</v>
      </c>
      <c r="P2845" s="2" t="s">
        <v>2375</v>
      </c>
    </row>
    <row r="2846" spans="1:16" hidden="1">
      <c r="A2846" s="2">
        <v>202006</v>
      </c>
      <c r="B2846" s="3">
        <v>44012</v>
      </c>
      <c r="C2846" s="2" t="s">
        <v>2460</v>
      </c>
      <c r="D2846" s="2" t="s">
        <v>1037</v>
      </c>
      <c r="E2846" s="2">
        <v>-250</v>
      </c>
      <c r="F2846" s="2" t="e">
        <f>IF(Table2[[#This Row],[Manual Cat Value]]="",VLOOKUP(Table2[[#This Row],[Description]],'Actuals Lookup'!D:F,3,0),Table2[[#This Row],[Manual Cat Value]])</f>
        <v>#N/A</v>
      </c>
      <c r="J2846" s="2">
        <v>250</v>
      </c>
      <c r="K2846" s="2" t="b">
        <v>0</v>
      </c>
      <c r="L2846" s="2"/>
      <c r="M2846" s="2"/>
      <c r="N2846" s="4" t="s">
        <v>2273</v>
      </c>
      <c r="O2846" s="4" t="str">
        <f>LEFT(Table2[[#This Row],[Description]],75)</f>
        <v>KAUFMAN HALL</v>
      </c>
      <c r="P2846" s="2" t="s">
        <v>2375</v>
      </c>
    </row>
    <row r="2847" spans="1:16" hidden="1">
      <c r="A2847" s="2">
        <v>202006</v>
      </c>
      <c r="B2847" s="3">
        <v>44012</v>
      </c>
      <c r="C2847" s="2" t="s">
        <v>2265</v>
      </c>
      <c r="D2847" s="2" t="s">
        <v>1225</v>
      </c>
      <c r="E2847" s="2">
        <v>415.65</v>
      </c>
      <c r="F2847" s="2" t="e">
        <f>IF(Table2[[#This Row],[Manual Cat Value]]="",VLOOKUP(Table2[[#This Row],[Description]],'Actuals Lookup'!D:F,3,0),Table2[[#This Row],[Manual Cat Value]])</f>
        <v>#N/A</v>
      </c>
      <c r="J2847" s="2">
        <v>415.65</v>
      </c>
      <c r="K2847" s="2" t="b">
        <v>0</v>
      </c>
      <c r="L2847" s="2"/>
      <c r="M2847" s="2"/>
      <c r="N2847" s="4" t="s">
        <v>2259</v>
      </c>
      <c r="O2847" s="4" t="str">
        <f>LEFT(Table2[[#This Row],[Description]],75)</f>
        <v>MHCHILDCARELLC TYPE DUES ID CO MHCHILDCARELLC ACH ECC PPD ACH Trace 50408 3</v>
      </c>
      <c r="P2847" s="2" t="s">
        <v>2281</v>
      </c>
    </row>
    <row r="2848" spans="1:16" hidden="1">
      <c r="A2848" s="2">
        <v>202006</v>
      </c>
      <c r="B2848" s="3">
        <v>44012</v>
      </c>
      <c r="C2848" s="2" t="s">
        <v>2317</v>
      </c>
      <c r="D2848" s="2" t="s">
        <v>1638</v>
      </c>
      <c r="E2848" s="2">
        <v>7.84</v>
      </c>
      <c r="F2848" s="2" t="e">
        <f>IF(Table2[[#This Row],[Manual Cat Value]]="",VLOOKUP(Table2[[#This Row],[Description]],'Actuals Lookup'!D:F,3,0),Table2[[#This Row],[Manual Cat Value]])</f>
        <v>#N/A</v>
      </c>
      <c r="J2848" s="2">
        <v>7.84</v>
      </c>
      <c r="K2848" s="2" t="b">
        <v>0</v>
      </c>
      <c r="L2848" s="2"/>
      <c r="M2848" s="2"/>
      <c r="N2848" s="4" t="s">
        <v>2259</v>
      </c>
      <c r="O2848" s="4" t="str">
        <f>LEFT(Table2[[#This Row],[Description]],75)</f>
        <v>SCHWAB US SMALL CAP ETF</v>
      </c>
      <c r="P2848" s="2" t="s">
        <v>2351</v>
      </c>
    </row>
    <row r="2849" spans="1:16" hidden="1">
      <c r="A2849" s="2">
        <v>202006</v>
      </c>
      <c r="B2849" s="3">
        <v>44012</v>
      </c>
      <c r="C2849" s="2" t="s">
        <v>2460</v>
      </c>
      <c r="D2849" s="2" t="s">
        <v>1638</v>
      </c>
      <c r="E2849" s="2">
        <v>7.84</v>
      </c>
      <c r="F2849" s="2" t="e">
        <f>IF(Table2[[#This Row],[Manual Cat Value]]="",VLOOKUP(Table2[[#This Row],[Description]],'Actuals Lookup'!D:F,3,0),Table2[[#This Row],[Manual Cat Value]])</f>
        <v>#N/A</v>
      </c>
      <c r="J2849" s="2">
        <v>7.84</v>
      </c>
      <c r="K2849" s="2" t="b">
        <v>0</v>
      </c>
      <c r="L2849" s="2"/>
      <c r="M2849" s="2"/>
      <c r="N2849" s="4" t="s">
        <v>2259</v>
      </c>
      <c r="O2849" s="4" t="str">
        <f>LEFT(Table2[[#This Row],[Description]],75)</f>
        <v>SCHWAB US SMALL CAP ETF</v>
      </c>
      <c r="P2849" s="2" t="s">
        <v>2351</v>
      </c>
    </row>
    <row r="2850" spans="1:16" hidden="1">
      <c r="A2850" s="2">
        <v>202006</v>
      </c>
      <c r="B2850" s="3">
        <v>44012</v>
      </c>
      <c r="C2850" s="2" t="s">
        <v>2300</v>
      </c>
      <c r="D2850" s="2" t="s">
        <v>1709</v>
      </c>
      <c r="E2850" s="2">
        <v>-20.329999999999998</v>
      </c>
      <c r="F2850" s="2" t="e">
        <f>IF(Table2[[#This Row],[Manual Cat Value]]="",VLOOKUP(Table2[[#This Row],[Description]],'Actuals Lookup'!D:F,3,0),Table2[[#This Row],[Manual Cat Value]])</f>
        <v>#N/A</v>
      </c>
      <c r="J2850" s="2">
        <v>20.329999999999998</v>
      </c>
      <c r="K2850" s="2" t="b">
        <v>0</v>
      </c>
      <c r="L2850" s="2"/>
      <c r="M2850" s="2"/>
      <c r="N2850" s="4" t="s">
        <v>2273</v>
      </c>
      <c r="O2850" s="4" t="str">
        <f>LEFT(Table2[[#This Row],[Description]],75)</f>
        <v>Split Rate Apy</v>
      </c>
      <c r="P2850" s="2" t="s">
        <v>2313</v>
      </c>
    </row>
    <row r="2851" spans="1:16" hidden="1">
      <c r="A2851" s="2">
        <v>202006</v>
      </c>
      <c r="B2851" s="3">
        <v>44012</v>
      </c>
      <c r="C2851" s="2" t="s">
        <v>2265</v>
      </c>
      <c r="D2851" s="2" t="s">
        <v>1709</v>
      </c>
      <c r="E2851" s="2">
        <v>-24.53</v>
      </c>
      <c r="F2851" s="2" t="e">
        <f>IF(Table2[[#This Row],[Manual Cat Value]]="",VLOOKUP(Table2[[#This Row],[Description]],'Actuals Lookup'!D:F,3,0),Table2[[#This Row],[Manual Cat Value]])</f>
        <v>#N/A</v>
      </c>
      <c r="J2851" s="2">
        <v>24.53</v>
      </c>
      <c r="K2851" s="2" t="b">
        <v>0</v>
      </c>
      <c r="L2851" s="2"/>
      <c r="M2851" s="2"/>
      <c r="N2851" s="4" t="s">
        <v>2273</v>
      </c>
      <c r="O2851" s="4" t="str">
        <f>LEFT(Table2[[#This Row],[Description]],75)</f>
        <v>Split Rate Apy</v>
      </c>
      <c r="P2851" s="2" t="s">
        <v>2313</v>
      </c>
    </row>
    <row r="2852" spans="1:16" hidden="1">
      <c r="A2852" s="2">
        <v>202006</v>
      </c>
      <c r="B2852" s="3">
        <v>44012</v>
      </c>
      <c r="C2852" s="2" t="s">
        <v>2262</v>
      </c>
      <c r="D2852" s="2" t="s">
        <v>1713</v>
      </c>
      <c r="E2852" s="2">
        <v>-65.69</v>
      </c>
      <c r="F2852" s="2" t="e">
        <f>IF(Table2[[#This Row],[Manual Cat Value]]="",VLOOKUP(Table2[[#This Row],[Description]],'Actuals Lookup'!D:F,3,0),Table2[[#This Row],[Manual Cat Value]])</f>
        <v>#N/A</v>
      </c>
      <c r="J2852" s="2">
        <v>65.69</v>
      </c>
      <c r="K2852" s="2" t="b">
        <v>0</v>
      </c>
      <c r="L2852" s="2"/>
      <c r="M2852" s="2"/>
      <c r="N2852" s="4" t="s">
        <v>2273</v>
      </c>
      <c r="O2852" s="4" t="str">
        <f>LEFT(Table2[[#This Row],[Description]],75)</f>
        <v>SPRING USAGE PROMO BONUS 322515219</v>
      </c>
      <c r="P2852" s="2" t="s">
        <v>2281</v>
      </c>
    </row>
    <row r="2853" spans="1:16" hidden="1">
      <c r="A2853" s="2">
        <v>202006</v>
      </c>
      <c r="B2853" s="3">
        <v>44012</v>
      </c>
      <c r="C2853" s="2" t="s">
        <v>2435</v>
      </c>
      <c r="D2853" s="2" t="s">
        <v>1837</v>
      </c>
      <c r="E2853" s="2">
        <v>-250</v>
      </c>
      <c r="F2853" s="2" t="e">
        <f>IF(Table2[[#This Row],[Manual Cat Value]]="",VLOOKUP(Table2[[#This Row],[Description]],'Actuals Lookup'!D:F,3,0),Table2[[#This Row],[Manual Cat Value]])</f>
        <v>#N/A</v>
      </c>
      <c r="J2853" s="2">
        <v>250</v>
      </c>
      <c r="K2853" s="2" t="b">
        <v>0</v>
      </c>
      <c r="L2853" s="2"/>
      <c r="M2853" s="2"/>
      <c r="N2853" s="4" t="s">
        <v>2273</v>
      </c>
      <c r="O2853" s="4" t="str">
        <f>LEFT(Table2[[#This Row],[Description]],75)</f>
        <v>Tfr JPMORGAN CHASE BAN, KAUFMAN HALL</v>
      </c>
      <c r="P2853" s="2" t="s">
        <v>2288</v>
      </c>
    </row>
    <row r="2854" spans="1:16" hidden="1">
      <c r="A2854" s="2">
        <v>202006</v>
      </c>
      <c r="B2854" s="3">
        <v>44012</v>
      </c>
      <c r="C2854" s="2" t="s">
        <v>2265</v>
      </c>
      <c r="D2854" s="2" t="s">
        <v>2109</v>
      </c>
      <c r="E2854" s="2">
        <v>61</v>
      </c>
      <c r="F2854" s="2" t="str">
        <f>IF(Table2[[#This Row],[Manual Cat Value]]="",VLOOKUP(Table2[[#This Row],[Description]],'Actuals Lookup'!D:F,3,0),Table2[[#This Row],[Manual Cat Value]])</f>
        <v>Shopping</v>
      </c>
      <c r="J2854" s="2">
        <v>61</v>
      </c>
      <c r="K2854" s="2" t="b">
        <v>0</v>
      </c>
      <c r="L2854" s="2"/>
      <c r="M2854" s="2"/>
      <c r="N2854" s="4" t="s">
        <v>2259</v>
      </c>
      <c r="O2854" s="4" t="str">
        <f>LEFT(Table2[[#This Row],[Description]],75)</f>
        <v>Venmo</v>
      </c>
      <c r="P2854" s="2" t="s">
        <v>2281</v>
      </c>
    </row>
    <row r="2855" spans="1:16" hidden="1">
      <c r="A2855" s="2">
        <v>202006</v>
      </c>
      <c r="B2855" s="3">
        <v>44012</v>
      </c>
      <c r="C2855" s="2" t="s">
        <v>2265</v>
      </c>
      <c r="D2855" s="2" t="s">
        <v>2109</v>
      </c>
      <c r="E2855" s="2">
        <v>250</v>
      </c>
      <c r="F2855" s="2" t="str">
        <f>IF(Table2[[#This Row],[Manual Cat Value]]="",VLOOKUP(Table2[[#This Row],[Description]],'Actuals Lookup'!D:F,3,0),Table2[[#This Row],[Manual Cat Value]])</f>
        <v>Shopping</v>
      </c>
      <c r="J2855" s="2">
        <v>250</v>
      </c>
      <c r="K2855" s="2" t="b">
        <v>0</v>
      </c>
      <c r="L2855" s="2"/>
      <c r="M2855" s="2"/>
      <c r="N2855" s="4" t="s">
        <v>2259</v>
      </c>
      <c r="O2855" s="4" t="str">
        <f>LEFT(Table2[[#This Row],[Description]],75)</f>
        <v>Venmo</v>
      </c>
      <c r="P2855" s="2" t="s">
        <v>2281</v>
      </c>
    </row>
    <row r="2856" spans="1:16" hidden="1">
      <c r="A2856" s="2">
        <v>202007</v>
      </c>
      <c r="B2856" s="3">
        <v>44013</v>
      </c>
      <c r="C2856" s="2" t="s">
        <v>2447</v>
      </c>
      <c r="D2856" s="2" t="s">
        <v>458</v>
      </c>
      <c r="E2856" s="2">
        <v>-5.35</v>
      </c>
      <c r="F2856" s="2" t="e">
        <f>IF(Table2[[#This Row],[Manual Cat Value]]="",VLOOKUP(Table2[[#This Row],[Description]],'Actuals Lookup'!D:F,3,0),Table2[[#This Row],[Manual Cat Value]])</f>
        <v>#N/A</v>
      </c>
      <c r="J2856" s="2">
        <v>5.35</v>
      </c>
      <c r="K2856" s="2" t="b">
        <v>0</v>
      </c>
      <c r="L2856" s="2"/>
      <c r="M2856" s="2"/>
      <c r="N2856" s="4" t="s">
        <v>2273</v>
      </c>
      <c r="O2856" s="4" t="str">
        <f>LEFT(Table2[[#This Row],[Description]],75)</f>
        <v>CASHBACK BONUS REDEMPTION payment/STMT CRDT</v>
      </c>
      <c r="P2856" s="2" t="s">
        <v>2304</v>
      </c>
    </row>
    <row r="2857" spans="1:16" hidden="1">
      <c r="A2857" s="2">
        <v>202007</v>
      </c>
      <c r="B2857" s="3">
        <v>44013</v>
      </c>
      <c r="C2857" s="2" t="s">
        <v>2258</v>
      </c>
      <c r="D2857" s="2" t="s">
        <v>458</v>
      </c>
      <c r="E2857" s="2">
        <v>-5.35</v>
      </c>
      <c r="F2857" s="2" t="e">
        <f>IF(Table2[[#This Row],[Manual Cat Value]]="",VLOOKUP(Table2[[#This Row],[Description]],'Actuals Lookup'!D:F,3,0),Table2[[#This Row],[Manual Cat Value]])</f>
        <v>#N/A</v>
      </c>
      <c r="J2857" s="2">
        <v>5.35</v>
      </c>
      <c r="K2857" s="2" t="b">
        <v>0</v>
      </c>
      <c r="L2857" s="2"/>
      <c r="M2857" s="2"/>
      <c r="N2857" s="4" t="s">
        <v>2273</v>
      </c>
      <c r="O2857" s="4" t="str">
        <f>LEFT(Table2[[#This Row],[Description]],75)</f>
        <v>CASHBACK BONUS REDEMPTION payment/STMT CRDT</v>
      </c>
      <c r="P2857" s="2" t="s">
        <v>2304</v>
      </c>
    </row>
    <row r="2858" spans="1:16" hidden="1">
      <c r="A2858" s="2">
        <v>202007</v>
      </c>
      <c r="B2858" s="3">
        <v>44013</v>
      </c>
      <c r="C2858" s="2" t="s">
        <v>2447</v>
      </c>
      <c r="D2858" s="2" t="s">
        <v>997</v>
      </c>
      <c r="E2858" s="2">
        <v>-222.03</v>
      </c>
      <c r="F2858" s="2" t="str">
        <f>IF(Table2[[#This Row],[Manual Cat Value]]="",VLOOKUP(Table2[[#This Row],[Description]],'Actuals Lookup'!D:F,3,0),Table2[[#This Row],[Manual Cat Value]])</f>
        <v>Delete</v>
      </c>
      <c r="J2858" s="2">
        <v>222.03</v>
      </c>
      <c r="K2858" s="2" t="b">
        <v>0</v>
      </c>
      <c r="L2858" s="2"/>
      <c r="M2858" s="2"/>
      <c r="N2858" s="4" t="s">
        <v>2273</v>
      </c>
      <c r="O2858" s="4" t="str">
        <f>LEFT(Table2[[#This Row],[Description]],75)</f>
        <v>INTERNET PAYMENT - THANK YOU</v>
      </c>
      <c r="P2858" s="2" t="s">
        <v>2291</v>
      </c>
    </row>
    <row r="2859" spans="1:16" hidden="1">
      <c r="A2859" s="2">
        <v>202007</v>
      </c>
      <c r="B2859" s="3">
        <v>44013</v>
      </c>
      <c r="C2859" s="2" t="s">
        <v>2258</v>
      </c>
      <c r="D2859" s="2" t="s">
        <v>997</v>
      </c>
      <c r="E2859" s="2">
        <v>-222.03</v>
      </c>
      <c r="F2859" s="2" t="str">
        <f>IF(Table2[[#This Row],[Manual Cat Value]]="",VLOOKUP(Table2[[#This Row],[Description]],'Actuals Lookup'!D:F,3,0),Table2[[#This Row],[Manual Cat Value]])</f>
        <v>Delete</v>
      </c>
      <c r="J2859" s="2">
        <v>222.03</v>
      </c>
      <c r="K2859" s="2" t="b">
        <v>0</v>
      </c>
      <c r="L2859" s="2"/>
      <c r="M2859" s="2"/>
      <c r="N2859" s="4" t="s">
        <v>2273</v>
      </c>
      <c r="O2859" s="4" t="str">
        <f>LEFT(Table2[[#This Row],[Description]],75)</f>
        <v>INTERNET PAYMENT - THANK YOU</v>
      </c>
      <c r="P2859" s="2" t="s">
        <v>2291</v>
      </c>
    </row>
    <row r="2860" spans="1:16" hidden="1">
      <c r="A2860" s="2">
        <v>202007</v>
      </c>
      <c r="B2860" s="3">
        <v>44013</v>
      </c>
      <c r="C2860" s="2" t="s">
        <v>2265</v>
      </c>
      <c r="D2860" s="2" t="s">
        <v>575</v>
      </c>
      <c r="E2860" s="2">
        <v>200</v>
      </c>
      <c r="F2860" s="2" t="e">
        <f>IF(Table2[[#This Row],[Manual Cat Value]]="",VLOOKUP(Table2[[#This Row],[Description]],'Actuals Lookup'!D:F,3,0),Table2[[#This Row],[Manual Cat Value]])</f>
        <v>#N/A</v>
      </c>
      <c r="J2860" s="2">
        <v>200</v>
      </c>
      <c r="K2860" s="2" t="b">
        <v>0</v>
      </c>
      <c r="L2860" s="2"/>
      <c r="M2860" s="2"/>
      <c r="N2860" s="4" t="s">
        <v>2259</v>
      </c>
      <c r="O2860" s="4" t="str">
        <f>LEFT(Table2[[#This Row],[Description]],75)</f>
        <v>College Savings TYPE ACH ID 550895818 CO College Savings ACH ECC PPD ACH Tr</v>
      </c>
      <c r="P2860" s="2" t="s">
        <v>2272</v>
      </c>
    </row>
    <row r="2861" spans="1:16" hidden="1">
      <c r="A2861" s="2">
        <v>202007</v>
      </c>
      <c r="B2861" s="3">
        <v>44013</v>
      </c>
      <c r="C2861" s="2" t="s">
        <v>2305</v>
      </c>
      <c r="D2861" s="2" t="s">
        <v>670</v>
      </c>
      <c r="E2861" s="2">
        <v>-202.61</v>
      </c>
      <c r="F2861" s="2" t="e">
        <f>IF(Table2[[#This Row],[Manual Cat Value]]="",VLOOKUP(Table2[[#This Row],[Description]],'Actuals Lookup'!D:F,3,0),Table2[[#This Row],[Manual Cat Value]])</f>
        <v>#N/A</v>
      </c>
      <c r="J2861" s="2">
        <v>202.61</v>
      </c>
      <c r="K2861" s="2" t="b">
        <v>0</v>
      </c>
      <c r="L2861" s="2"/>
      <c r="M2861" s="2"/>
      <c r="N2861" s="4" t="s">
        <v>2273</v>
      </c>
      <c r="O2861" s="4" t="str">
        <f>LEFT(Table2[[#This Row],[Description]],75)</f>
        <v>Cred Rebate</v>
      </c>
      <c r="P2861" s="2" t="s">
        <v>2443</v>
      </c>
    </row>
    <row r="2862" spans="1:16" hidden="1">
      <c r="A2862" s="2">
        <v>202007</v>
      </c>
      <c r="B2862" s="3">
        <v>44013</v>
      </c>
      <c r="C2862" s="2" t="s">
        <v>2314</v>
      </c>
      <c r="D2862" s="2" t="s">
        <v>871</v>
      </c>
      <c r="E2862" s="2">
        <v>-573.74</v>
      </c>
      <c r="F2862" s="2" t="e">
        <f>IF(Table2[[#This Row],[Manual Cat Value]]="",VLOOKUP(Table2[[#This Row],[Description]],'Actuals Lookup'!D:F,3,0),Table2[[#This Row],[Manual Cat Value]])</f>
        <v>#N/A</v>
      </c>
      <c r="J2862" s="2">
        <v>573.74</v>
      </c>
      <c r="K2862" s="2" t="b">
        <v>0</v>
      </c>
      <c r="L2862" s="2"/>
      <c r="M2862" s="2"/>
      <c r="N2862" s="4" t="s">
        <v>2273</v>
      </c>
      <c r="O2862" s="4" t="str">
        <f>LEFT(Table2[[#This Row],[Description]],75)</f>
        <v>From Share 70 322673692</v>
      </c>
      <c r="P2862" s="2"/>
    </row>
    <row r="2863" spans="1:16" hidden="1">
      <c r="A2863" s="2">
        <v>202007</v>
      </c>
      <c r="B2863" s="3">
        <v>44013</v>
      </c>
      <c r="C2863" s="2" t="s">
        <v>2265</v>
      </c>
      <c r="D2863" s="2" t="s">
        <v>1471</v>
      </c>
      <c r="E2863" s="2">
        <v>213.68</v>
      </c>
      <c r="F2863" s="2" t="str">
        <f>IF(Table2[[#This Row],[Manual Cat Value]]="",VLOOKUP(Table2[[#This Row],[Description]],'Actuals Lookup'!D:F,3,0),Table2[[#This Row],[Manual Cat Value]])</f>
        <v>Shopping</v>
      </c>
      <c r="J2863" s="2">
        <v>213.68</v>
      </c>
      <c r="K2863" s="2" t="b">
        <v>0</v>
      </c>
      <c r="L2863" s="2"/>
      <c r="M2863" s="2"/>
      <c r="N2863" s="4" t="s">
        <v>2259</v>
      </c>
      <c r="O2863" s="4" t="str">
        <f>LEFT(Table2[[#This Row],[Description]],75)</f>
        <v>PayPal</v>
      </c>
      <c r="P2863" s="2" t="s">
        <v>2322</v>
      </c>
    </row>
    <row r="2864" spans="1:16" hidden="1">
      <c r="A2864" s="2">
        <v>202007</v>
      </c>
      <c r="B2864" s="3">
        <v>44013</v>
      </c>
      <c r="C2864" s="2" t="s">
        <v>2265</v>
      </c>
      <c r="D2864" s="2" t="s">
        <v>1889</v>
      </c>
      <c r="E2864" s="2">
        <v>618.65</v>
      </c>
      <c r="F2864" s="2" t="e">
        <f>IF(Table2[[#This Row],[Manual Cat Value]]="",VLOOKUP(Table2[[#This Row],[Description]],'Actuals Lookup'!D:F,3,0),Table2[[#This Row],[Manual Cat Value]])</f>
        <v>#N/A</v>
      </c>
      <c r="J2864" s="2">
        <v>618.65</v>
      </c>
      <c r="K2864" s="2" t="b">
        <v>0</v>
      </c>
      <c r="L2864" s="2"/>
      <c r="M2864" s="2"/>
      <c r="N2864" s="4" t="s">
        <v>2259</v>
      </c>
      <c r="O2864" s="4" t="str">
        <f>LEFT(Table2[[#This Row],[Description]],75)</f>
        <v>To Loan 02 322673691</v>
      </c>
      <c r="P2864" s="2" t="s">
        <v>2316</v>
      </c>
    </row>
    <row r="2865" spans="1:16" hidden="1">
      <c r="A2865" s="2">
        <v>202007</v>
      </c>
      <c r="B2865" s="3">
        <v>44014</v>
      </c>
      <c r="C2865" s="2" t="s">
        <v>2265</v>
      </c>
      <c r="D2865" s="2" t="s">
        <v>770</v>
      </c>
      <c r="E2865" s="2">
        <v>222.03</v>
      </c>
      <c r="F2865" s="2" t="e">
        <f>IF(Table2[[#This Row],[Manual Cat Value]]="",VLOOKUP(Table2[[#This Row],[Description]],'Actuals Lookup'!D:F,3,0),Table2[[#This Row],[Manual Cat Value]])</f>
        <v>#N/A</v>
      </c>
      <c r="J2865" s="2">
        <v>222.03</v>
      </c>
      <c r="K2865" s="2" t="b">
        <v>0</v>
      </c>
      <c r="L2865" s="2"/>
      <c r="M2865" s="2"/>
      <c r="N2865" s="4" t="s">
        <v>2259</v>
      </c>
      <c r="O2865" s="4" t="str">
        <f>LEFT(Table2[[#This Row],[Description]],75)</f>
        <v>DISCOVER TYPE EPAYMENT ID CO DISCOVER ACH ECC WEB ACH Trace 66555 323108195</v>
      </c>
      <c r="P2865" s="2" t="s">
        <v>2293</v>
      </c>
    </row>
    <row r="2866" spans="1:16" hidden="1">
      <c r="A2866" s="2">
        <v>202007</v>
      </c>
      <c r="B2866" s="3">
        <v>44014</v>
      </c>
      <c r="C2866" s="2" t="s">
        <v>2262</v>
      </c>
      <c r="D2866" s="2" t="s">
        <v>38</v>
      </c>
      <c r="E2866" s="2">
        <v>22.52</v>
      </c>
      <c r="F2866" s="2" t="str">
        <f>IF(Table2[[#This Row],[Manual Cat Value]]="",VLOOKUP(Table2[[#This Row],[Description]],'Actuals Lookup'!D:F,3,0),Table2[[#This Row],[Manual Cat Value]])</f>
        <v>Amazon</v>
      </c>
      <c r="J2866" s="2">
        <v>22.52</v>
      </c>
      <c r="K2866" s="2" t="b">
        <v>0</v>
      </c>
      <c r="L2866" s="2"/>
      <c r="M2866" s="2"/>
      <c r="N2866" s="4" t="s">
        <v>2259</v>
      </c>
      <c r="O2866" s="4" t="str">
        <f>LEFT(Table2[[#This Row],[Description]],75)</f>
        <v>Amazon</v>
      </c>
      <c r="P2866" s="2" t="s">
        <v>2260</v>
      </c>
    </row>
    <row r="2867" spans="1:16" hidden="1">
      <c r="A2867" s="2">
        <v>202007</v>
      </c>
      <c r="B2867" s="3">
        <v>44014</v>
      </c>
      <c r="C2867" s="2" t="s">
        <v>2262</v>
      </c>
      <c r="D2867" s="2" t="s">
        <v>38</v>
      </c>
      <c r="E2867" s="2">
        <v>224.41</v>
      </c>
      <c r="F2867" s="2" t="str">
        <f>IF(Table2[[#This Row],[Manual Cat Value]]="",VLOOKUP(Table2[[#This Row],[Description]],'Actuals Lookup'!D:F,3,0),Table2[[#This Row],[Manual Cat Value]])</f>
        <v>Amazon</v>
      </c>
      <c r="J2867" s="2">
        <v>224.41</v>
      </c>
      <c r="K2867" s="2" t="b">
        <v>0</v>
      </c>
      <c r="L2867" s="2"/>
      <c r="M2867" s="2"/>
      <c r="N2867" s="4" t="s">
        <v>2259</v>
      </c>
      <c r="O2867" s="4" t="str">
        <f>LEFT(Table2[[#This Row],[Description]],75)</f>
        <v>Amazon</v>
      </c>
      <c r="P2867" s="2" t="s">
        <v>2260</v>
      </c>
    </row>
    <row r="2868" spans="1:16" hidden="1">
      <c r="A2868" s="2">
        <v>202007</v>
      </c>
      <c r="B2868" s="3">
        <v>44014</v>
      </c>
      <c r="C2868" s="2" t="s">
        <v>2262</v>
      </c>
      <c r="D2868" s="2" t="s">
        <v>114</v>
      </c>
      <c r="E2868" s="2">
        <v>4.28</v>
      </c>
      <c r="F2868" s="2" t="str">
        <f>IF(Table2[[#This Row],[Manual Cat Value]]="",VLOOKUP(Table2[[#This Row],[Description]],'Actuals Lookup'!D:F,3,0),Table2[[#This Row],[Manual Cat Value]])</f>
        <v>Entertainment</v>
      </c>
      <c r="J2868" s="2">
        <v>4.28</v>
      </c>
      <c r="K2868" s="2" t="b">
        <v>0</v>
      </c>
      <c r="L2868" s="2"/>
      <c r="M2868" s="2"/>
      <c r="N2868" s="4" t="s">
        <v>2259</v>
      </c>
      <c r="O2868" s="4" t="str">
        <f>LEFT(Table2[[#This Row],[Description]],75)</f>
        <v>Amazon Music</v>
      </c>
      <c r="P2868" s="2" t="s">
        <v>2466</v>
      </c>
    </row>
    <row r="2869" spans="1:16" hidden="1">
      <c r="A2869" s="2">
        <v>202007</v>
      </c>
      <c r="B2869" s="3">
        <v>44014</v>
      </c>
      <c r="C2869" s="2" t="s">
        <v>2262</v>
      </c>
      <c r="D2869" s="2" t="s">
        <v>648</v>
      </c>
      <c r="E2869" s="2">
        <v>343.5</v>
      </c>
      <c r="F2869" s="2" t="str">
        <f>IF(Table2[[#This Row],[Manual Cat Value]]="",VLOOKUP(Table2[[#This Row],[Description]],'Actuals Lookup'!D:F,3,0),Table2[[#This Row],[Manual Cat Value]])</f>
        <v>Groceries</v>
      </c>
      <c r="J2869" s="2">
        <v>343.5</v>
      </c>
      <c r="K2869" s="2" t="b">
        <v>0</v>
      </c>
      <c r="L2869" s="2"/>
      <c r="M2869" s="2"/>
      <c r="N2869" s="4" t="s">
        <v>2259</v>
      </c>
      <c r="O2869" s="4" t="str">
        <f>LEFT(Table2[[#This Row],[Description]],75)</f>
        <v>Costco</v>
      </c>
      <c r="P2869" s="2" t="s">
        <v>2409</v>
      </c>
    </row>
    <row r="2870" spans="1:16" hidden="1">
      <c r="A2870" s="2">
        <v>202007</v>
      </c>
      <c r="B2870" s="3">
        <v>44014</v>
      </c>
      <c r="C2870" s="2" t="s">
        <v>2262</v>
      </c>
      <c r="D2870" s="2" t="s">
        <v>1154</v>
      </c>
      <c r="E2870" s="2">
        <v>108.56</v>
      </c>
      <c r="F2870" s="2" t="e">
        <f>IF(Table2[[#This Row],[Manual Cat Value]]="",VLOOKUP(Table2[[#This Row],[Description]],'Actuals Lookup'!D:F,3,0),Table2[[#This Row],[Manual Cat Value]])</f>
        <v>#N/A</v>
      </c>
      <c r="J2870" s="2">
        <v>108.56</v>
      </c>
      <c r="K2870" s="2" t="b">
        <v>0</v>
      </c>
      <c r="L2870" s="2"/>
      <c r="M2870" s="2"/>
      <c r="N2870" s="4" t="s">
        <v>2259</v>
      </c>
      <c r="O2870" s="4" t="str">
        <f>LEFT(Table2[[#This Row],[Description]],75)</f>
        <v>LTFLIFE TIME MO DUES 8884306432 MN 323336208</v>
      </c>
      <c r="P2870" s="2" t="s">
        <v>2397</v>
      </c>
    </row>
    <row r="2871" spans="1:16" hidden="1">
      <c r="A2871" s="2">
        <v>202007</v>
      </c>
      <c r="B2871" s="3">
        <v>44014</v>
      </c>
      <c r="C2871" s="2" t="s">
        <v>2262</v>
      </c>
      <c r="D2871" s="2" t="s">
        <v>2135</v>
      </c>
      <c r="E2871" s="2">
        <v>24.9</v>
      </c>
      <c r="F2871" s="2" t="str">
        <f>IF(Table2[[#This Row],[Manual Cat Value]]="",VLOOKUP(Table2[[#This Row],[Description]],'Actuals Lookup'!D:F,3,0),Table2[[#This Row],[Manual Cat Value]])</f>
        <v>Groceries</v>
      </c>
      <c r="J2871" s="2">
        <v>24.9</v>
      </c>
      <c r="K2871" s="2" t="b">
        <v>0</v>
      </c>
      <c r="L2871" s="2"/>
      <c r="M2871" s="2"/>
      <c r="N2871" s="4" t="s">
        <v>2259</v>
      </c>
      <c r="O2871" s="4" t="str">
        <f>LEFT(Table2[[#This Row],[Description]],75)</f>
        <v>Walgreens</v>
      </c>
      <c r="P2871" s="2" t="s">
        <v>2389</v>
      </c>
    </row>
    <row r="2872" spans="1:16" hidden="1">
      <c r="A2872" s="2">
        <v>202007</v>
      </c>
      <c r="B2872" s="3">
        <v>44015</v>
      </c>
      <c r="C2872" s="2" t="s">
        <v>2262</v>
      </c>
      <c r="D2872" s="2" t="s">
        <v>947</v>
      </c>
      <c r="E2872" s="2">
        <v>-554.25</v>
      </c>
      <c r="F2872" s="2" t="e">
        <f>IF(Table2[[#This Row],[Manual Cat Value]]="",VLOOKUP(Table2[[#This Row],[Description]],'Actuals Lookup'!D:F,3,0),Table2[[#This Row],[Manual Cat Value]])</f>
        <v>#N/A</v>
      </c>
      <c r="J2872" s="2">
        <v>554.25</v>
      </c>
      <c r="K2872" s="2" t="b">
        <v>0</v>
      </c>
      <c r="L2872" s="2"/>
      <c r="M2872" s="2"/>
      <c r="N2872" s="4" t="s">
        <v>2273</v>
      </c>
      <c r="O2872" s="4" t="str">
        <f>LEFT(Table2[[#This Row],[Description]],75)</f>
        <v>Home Depot</v>
      </c>
      <c r="P2872" s="2" t="s">
        <v>2396</v>
      </c>
    </row>
    <row r="2873" spans="1:16" hidden="1">
      <c r="A2873" s="2">
        <v>202007</v>
      </c>
      <c r="B2873" s="3">
        <v>44015</v>
      </c>
      <c r="C2873" s="2" t="s">
        <v>2262</v>
      </c>
      <c r="D2873" s="2" t="s">
        <v>1176</v>
      </c>
      <c r="E2873" s="2">
        <v>14.5</v>
      </c>
      <c r="F2873" s="2" t="e">
        <f>IF(Table2[[#This Row],[Manual Cat Value]]="",VLOOKUP(Table2[[#This Row],[Description]],'Actuals Lookup'!D:F,3,0),Table2[[#This Row],[Manual Cat Value]])</f>
        <v>#N/A</v>
      </c>
      <c r="J2873" s="2">
        <v>14.5</v>
      </c>
      <c r="K2873" s="2" t="b">
        <v>0</v>
      </c>
      <c r="L2873" s="2"/>
      <c r="M2873" s="2"/>
      <c r="N2873" s="4" t="s">
        <v>2259</v>
      </c>
      <c r="O2873" s="4" t="str">
        <f>LEFT(Table2[[#This Row],[Description]],75)</f>
        <v>MADEWELLCOM 8665441937 NY 323603621</v>
      </c>
      <c r="P2873" s="2" t="s">
        <v>2281</v>
      </c>
    </row>
    <row r="2874" spans="1:16" hidden="1">
      <c r="A2874" s="2">
        <v>202007</v>
      </c>
      <c r="B2874" s="3">
        <v>44015</v>
      </c>
      <c r="C2874" s="2" t="s">
        <v>2265</v>
      </c>
      <c r="D2874" s="2" t="s">
        <v>1270</v>
      </c>
      <c r="E2874" s="2">
        <v>-98</v>
      </c>
      <c r="F2874" s="2" t="e">
        <f>IF(Table2[[#This Row],[Manual Cat Value]]="",VLOOKUP(Table2[[#This Row],[Description]],'Actuals Lookup'!D:F,3,0),Table2[[#This Row],[Manual Cat Value]])</f>
        <v>#N/A</v>
      </c>
      <c r="J2874" s="2">
        <v>98</v>
      </c>
      <c r="K2874" s="2" t="b">
        <v>0</v>
      </c>
      <c r="L2874" s="2"/>
      <c r="M2874" s="2"/>
      <c r="N2874" s="4" t="s">
        <v>2273</v>
      </c>
      <c r="O2874" s="4" t="str">
        <f>LEFT(Table2[[#This Row],[Description]],75)</f>
        <v>Minnetonkacommed Type Reversal</v>
      </c>
      <c r="P2874" s="2" t="s">
        <v>2281</v>
      </c>
    </row>
    <row r="2875" spans="1:16" hidden="1">
      <c r="A2875" s="2">
        <v>202007</v>
      </c>
      <c r="B2875" s="3">
        <v>44015</v>
      </c>
      <c r="C2875" s="2" t="s">
        <v>2265</v>
      </c>
      <c r="D2875" s="2" t="s">
        <v>2109</v>
      </c>
      <c r="E2875" s="2">
        <v>16.2</v>
      </c>
      <c r="F2875" s="2" t="str">
        <f>IF(Table2[[#This Row],[Manual Cat Value]]="",VLOOKUP(Table2[[#This Row],[Description]],'Actuals Lookup'!D:F,3,0),Table2[[#This Row],[Manual Cat Value]])</f>
        <v>Shopping</v>
      </c>
      <c r="J2875" s="2">
        <v>16.2</v>
      </c>
      <c r="K2875" s="2" t="b">
        <v>0</v>
      </c>
      <c r="L2875" s="2"/>
      <c r="M2875" s="2"/>
      <c r="N2875" s="4" t="s">
        <v>2259</v>
      </c>
      <c r="O2875" s="4" t="str">
        <f>LEFT(Table2[[#This Row],[Description]],75)</f>
        <v>Venmo</v>
      </c>
      <c r="P2875" s="2" t="s">
        <v>2281</v>
      </c>
    </row>
    <row r="2876" spans="1:16" hidden="1">
      <c r="A2876" s="2">
        <v>202007</v>
      </c>
      <c r="B2876" s="3">
        <v>44015</v>
      </c>
      <c r="C2876" s="2" t="s">
        <v>2265</v>
      </c>
      <c r="D2876" s="2" t="s">
        <v>2109</v>
      </c>
      <c r="E2876" s="2">
        <v>215</v>
      </c>
      <c r="F2876" s="2" t="str">
        <f>IF(Table2[[#This Row],[Manual Cat Value]]="",VLOOKUP(Table2[[#This Row],[Description]],'Actuals Lookup'!D:F,3,0),Table2[[#This Row],[Manual Cat Value]])</f>
        <v>Shopping</v>
      </c>
      <c r="J2876" s="2">
        <v>215</v>
      </c>
      <c r="K2876" s="2" t="b">
        <v>0</v>
      </c>
      <c r="L2876" s="2"/>
      <c r="M2876" s="2"/>
      <c r="N2876" s="4" t="s">
        <v>2259</v>
      </c>
      <c r="O2876" s="4" t="str">
        <f>LEFT(Table2[[#This Row],[Description]],75)</f>
        <v>Venmo</v>
      </c>
      <c r="P2876" s="2" t="s">
        <v>2281</v>
      </c>
    </row>
    <row r="2877" spans="1:16" hidden="1">
      <c r="A2877" s="2">
        <v>202007</v>
      </c>
      <c r="B2877" s="3">
        <v>44015</v>
      </c>
      <c r="C2877" s="2" t="s">
        <v>2274</v>
      </c>
      <c r="D2877" s="2" t="s">
        <v>2110</v>
      </c>
      <c r="E2877" s="2">
        <v>-139.46</v>
      </c>
      <c r="F2877" s="2" t="e">
        <f>IF(Table2[[#This Row],[Manual Cat Value]]="",VLOOKUP(Table2[[#This Row],[Description]],'Actuals Lookup'!D:F,3,0),Table2[[#This Row],[Manual Cat Value]])</f>
        <v>#N/A</v>
      </c>
      <c r="J2877" s="2">
        <v>139.46</v>
      </c>
      <c r="K2877" s="2" t="b">
        <v>0</v>
      </c>
      <c r="L2877" s="2"/>
      <c r="M2877" s="2"/>
      <c r="N2877" s="4" t="s">
        <v>2273</v>
      </c>
      <c r="O2877" s="4" t="str">
        <f>LEFT(Table2[[#This Row],[Description]],75)</f>
        <v>Venmo Cashout</v>
      </c>
      <c r="P2877" s="2" t="s">
        <v>2281</v>
      </c>
    </row>
    <row r="2878" spans="1:16" hidden="1">
      <c r="A2878" s="2">
        <v>202007</v>
      </c>
      <c r="B2878" s="3">
        <v>44015</v>
      </c>
      <c r="C2878" s="2" t="s">
        <v>2262</v>
      </c>
      <c r="D2878" s="2" t="s">
        <v>2214</v>
      </c>
      <c r="E2878" s="2">
        <v>29.22</v>
      </c>
      <c r="F2878" s="2" t="e">
        <f>IF(Table2[[#This Row],[Manual Cat Value]]="",VLOOKUP(Table2[[#This Row],[Description]],'Actuals Lookup'!D:F,3,0),Table2[[#This Row],[Manual Cat Value]])</f>
        <v>#N/A</v>
      </c>
      <c r="J2878" s="2">
        <v>29.22</v>
      </c>
      <c r="K2878" s="2" t="b">
        <v>0</v>
      </c>
      <c r="L2878" s="2"/>
      <c r="M2878" s="2"/>
      <c r="N2878" s="4" t="s">
        <v>2259</v>
      </c>
      <c r="O2878" s="4" t="str">
        <f>LEFT(Table2[[#This Row],[Description]],75)</f>
        <v>WOODENHILL1 EDINA MN 323603620</v>
      </c>
      <c r="P2878" s="2" t="s">
        <v>2281</v>
      </c>
    </row>
    <row r="2879" spans="1:16" hidden="1">
      <c r="A2879" s="2">
        <v>202007</v>
      </c>
      <c r="B2879" s="3">
        <v>44017</v>
      </c>
      <c r="C2879" s="2" t="s">
        <v>2262</v>
      </c>
      <c r="D2879" s="2" t="s">
        <v>38</v>
      </c>
      <c r="E2879" s="2">
        <v>10.18</v>
      </c>
      <c r="F2879" s="2" t="str">
        <f>IF(Table2[[#This Row],[Manual Cat Value]]="",VLOOKUP(Table2[[#This Row],[Description]],'Actuals Lookup'!D:F,3,0),Table2[[#This Row],[Manual Cat Value]])</f>
        <v>Amazon</v>
      </c>
      <c r="J2879" s="2">
        <v>10.18</v>
      </c>
      <c r="K2879" s="2" t="b">
        <v>0</v>
      </c>
      <c r="L2879" s="2"/>
      <c r="M2879" s="2"/>
      <c r="N2879" s="4" t="s">
        <v>2259</v>
      </c>
      <c r="O2879" s="4" t="str">
        <f>LEFT(Table2[[#This Row],[Description]],75)</f>
        <v>Amazon</v>
      </c>
      <c r="P2879" s="2" t="s">
        <v>2260</v>
      </c>
    </row>
    <row r="2880" spans="1:16" hidden="1">
      <c r="A2880" s="2">
        <v>202007</v>
      </c>
      <c r="B2880" s="3">
        <v>44017</v>
      </c>
      <c r="C2880" s="2" t="s">
        <v>2262</v>
      </c>
      <c r="D2880" s="2" t="s">
        <v>38</v>
      </c>
      <c r="E2880" s="2">
        <v>43.96</v>
      </c>
      <c r="F2880" s="2" t="str">
        <f>IF(Table2[[#This Row],[Manual Cat Value]]="",VLOOKUP(Table2[[#This Row],[Description]],'Actuals Lookup'!D:F,3,0),Table2[[#This Row],[Manual Cat Value]])</f>
        <v>Amazon</v>
      </c>
      <c r="J2880" s="2">
        <v>43.96</v>
      </c>
      <c r="K2880" s="2" t="b">
        <v>0</v>
      </c>
      <c r="L2880" s="2"/>
      <c r="M2880" s="2"/>
      <c r="N2880" s="4" t="s">
        <v>2259</v>
      </c>
      <c r="O2880" s="4" t="str">
        <f>LEFT(Table2[[#This Row],[Description]],75)</f>
        <v>Amazon</v>
      </c>
      <c r="P2880" s="2" t="s">
        <v>2260</v>
      </c>
    </row>
    <row r="2881" spans="1:16" hidden="1">
      <c r="A2881" s="2">
        <v>202007</v>
      </c>
      <c r="B2881" s="3">
        <v>44017</v>
      </c>
      <c r="C2881" s="2" t="s">
        <v>2262</v>
      </c>
      <c r="D2881" s="2" t="s">
        <v>684</v>
      </c>
      <c r="E2881" s="2">
        <v>42.74</v>
      </c>
      <c r="F2881" s="2" t="str">
        <f>IF(Table2[[#This Row],[Manual Cat Value]]="",VLOOKUP(Table2[[#This Row],[Description]],'Actuals Lookup'!D:F,3,0),Table2[[#This Row],[Manual Cat Value]])</f>
        <v>Groceries</v>
      </c>
      <c r="J2881" s="2">
        <v>42.74</v>
      </c>
      <c r="K2881" s="2" t="b">
        <v>0</v>
      </c>
      <c r="L2881" s="2"/>
      <c r="M2881" s="2"/>
      <c r="N2881" s="4" t="s">
        <v>2259</v>
      </c>
      <c r="O2881" s="4" t="str">
        <f>LEFT(Table2[[#This Row],[Description]],75)</f>
        <v>Cub Foods</v>
      </c>
      <c r="P2881" s="2" t="s">
        <v>2370</v>
      </c>
    </row>
    <row r="2882" spans="1:16" hidden="1">
      <c r="A2882" s="2">
        <v>202007</v>
      </c>
      <c r="B2882" s="3">
        <v>44017</v>
      </c>
      <c r="C2882" s="2" t="s">
        <v>2262</v>
      </c>
      <c r="D2882" s="2" t="s">
        <v>944</v>
      </c>
      <c r="E2882" s="2">
        <v>32.840000000000003</v>
      </c>
      <c r="F2882" s="2" t="e">
        <f>IF(Table2[[#This Row],[Manual Cat Value]]="",VLOOKUP(Table2[[#This Row],[Description]],'Actuals Lookup'!D:F,3,0),Table2[[#This Row],[Manual Cat Value]])</f>
        <v>#N/A</v>
      </c>
      <c r="J2882" s="2">
        <v>32.840000000000003</v>
      </c>
      <c r="K2882" s="2" t="b">
        <v>0</v>
      </c>
      <c r="L2882" s="2"/>
      <c r="M2882" s="2"/>
      <c r="N2882" s="4" t="s">
        <v>2259</v>
      </c>
      <c r="O2882" s="4" t="str">
        <f>LEFT(Table2[[#This Row],[Description]],75)</f>
        <v>Holiday Stationstore</v>
      </c>
      <c r="P2882" s="2" t="s">
        <v>2374</v>
      </c>
    </row>
    <row r="2883" spans="1:16" hidden="1">
      <c r="A2883" s="2">
        <v>202007</v>
      </c>
      <c r="B2883" s="3">
        <v>44017</v>
      </c>
      <c r="C2883" s="2" t="s">
        <v>2262</v>
      </c>
      <c r="D2883" s="2" t="s">
        <v>1579</v>
      </c>
      <c r="E2883" s="2">
        <v>155.11000000000001</v>
      </c>
      <c r="F2883" s="2" t="e">
        <f>IF(Table2[[#This Row],[Manual Cat Value]]="",VLOOKUP(Table2[[#This Row],[Description]],'Actuals Lookup'!D:F,3,0),Table2[[#This Row],[Manual Cat Value]])</f>
        <v>#N/A</v>
      </c>
      <c r="J2883" s="2">
        <v>155.11000000000001</v>
      </c>
      <c r="K2883" s="2" t="b">
        <v>0</v>
      </c>
      <c r="L2883" s="2"/>
      <c r="M2883" s="2"/>
      <c r="N2883" s="4" t="s">
        <v>2259</v>
      </c>
      <c r="O2883" s="4" t="str">
        <f>LEFT(Table2[[#This Row],[Description]],75)</f>
        <v>Restoration Hardware</v>
      </c>
      <c r="P2883" s="2" t="s">
        <v>2281</v>
      </c>
    </row>
    <row r="2884" spans="1:16" hidden="1">
      <c r="A2884" s="2">
        <v>202007</v>
      </c>
      <c r="B2884" s="3">
        <v>44018</v>
      </c>
      <c r="C2884" s="2" t="s">
        <v>2270</v>
      </c>
      <c r="D2884" s="2" t="s">
        <v>1422</v>
      </c>
      <c r="E2884" s="2">
        <v>-557.53</v>
      </c>
      <c r="F2884" s="2" t="e">
        <f>IF(Table2[[#This Row],[Manual Cat Value]]="",VLOOKUP(Table2[[#This Row],[Description]],'Actuals Lookup'!D:F,3,0),Table2[[#This Row],[Manual Cat Value]])</f>
        <v>#N/A</v>
      </c>
      <c r="J2884" s="2">
        <v>557.53</v>
      </c>
      <c r="K2884" s="2" t="b">
        <v>0</v>
      </c>
      <c r="L2884" s="2"/>
      <c r="M2884" s="2"/>
      <c r="N2884" s="4" t="s">
        <v>2273</v>
      </c>
      <c r="O2884" s="4" t="str">
        <f>LEFT(Table2[[#This Row],[Description]],75)</f>
        <v>PAYMENT 324488559</v>
      </c>
      <c r="P2884" s="2"/>
    </row>
    <row r="2885" spans="1:16" hidden="1">
      <c r="A2885" s="2">
        <v>202011</v>
      </c>
      <c r="B2885" s="3">
        <v>44137</v>
      </c>
      <c r="C2885" s="2" t="s">
        <v>2265</v>
      </c>
      <c r="D2885" s="2" t="s">
        <v>272</v>
      </c>
      <c r="E2885" s="2">
        <v>2832.55</v>
      </c>
      <c r="F2885" s="2" t="e">
        <f>IF(Table2[[#This Row],[Manual Cat Value]]="",VLOOKUP(Table2[[#This Row],[Description]],'Actuals Lookup'!D:F,3,0),Table2[[#This Row],[Manual Cat Value]])</f>
        <v>#N/A</v>
      </c>
      <c r="J2885" s="2">
        <v>2832.55</v>
      </c>
      <c r="K2885" s="2" t="b">
        <v>0</v>
      </c>
      <c r="L2885" s="2"/>
      <c r="M2885" s="2"/>
      <c r="N2885" s="4" t="s">
        <v>2259</v>
      </c>
      <c r="O2885" s="4" t="str">
        <f>LEFT(Table2[[#This Row],[Description]],75)</f>
        <v>BCU MORTGAGE TYPE LOAN PAYMT ID 9DRAFTING CO BCU MORTGAGE ACH ECC WEB ACH T</v>
      </c>
      <c r="P2885" s="2" t="s">
        <v>2345</v>
      </c>
    </row>
    <row r="2886" spans="1:16" hidden="1">
      <c r="A2886" s="2">
        <v>202007</v>
      </c>
      <c r="B2886" s="3">
        <v>44018</v>
      </c>
      <c r="C2886" s="2" t="s">
        <v>2265</v>
      </c>
      <c r="D2886" s="2" t="s">
        <v>1471</v>
      </c>
      <c r="E2886" s="2">
        <v>71.2</v>
      </c>
      <c r="F2886" s="2" t="str">
        <f>IF(Table2[[#This Row],[Manual Cat Value]]="",VLOOKUP(Table2[[#This Row],[Description]],'Actuals Lookup'!D:F,3,0),Table2[[#This Row],[Manual Cat Value]])</f>
        <v>Shopping</v>
      </c>
      <c r="J2886" s="2">
        <v>71.2</v>
      </c>
      <c r="K2886" s="2" t="b">
        <v>0</v>
      </c>
      <c r="L2886" s="2"/>
      <c r="M2886" s="2"/>
      <c r="N2886" s="4" t="s">
        <v>2259</v>
      </c>
      <c r="O2886" s="4" t="str">
        <f>LEFT(Table2[[#This Row],[Description]],75)</f>
        <v>PayPal</v>
      </c>
      <c r="P2886" s="2" t="s">
        <v>2322</v>
      </c>
    </row>
    <row r="2887" spans="1:16" hidden="1">
      <c r="A2887" s="2">
        <v>202007</v>
      </c>
      <c r="B2887" s="3">
        <v>44018</v>
      </c>
      <c r="C2887" s="2" t="s">
        <v>2262</v>
      </c>
      <c r="D2887" s="2" t="s">
        <v>1694</v>
      </c>
      <c r="E2887" s="2">
        <v>31.59</v>
      </c>
      <c r="F2887" s="2" t="e">
        <f>IF(Table2[[#This Row],[Manual Cat Value]]="",VLOOKUP(Table2[[#This Row],[Description]],'Actuals Lookup'!D:F,3,0),Table2[[#This Row],[Manual Cat Value]])</f>
        <v>#N/A</v>
      </c>
      <c r="J2887" s="2">
        <v>31.59</v>
      </c>
      <c r="K2887" s="2" t="b">
        <v>0</v>
      </c>
      <c r="L2887" s="2"/>
      <c r="M2887" s="2"/>
      <c r="N2887" s="4" t="s">
        <v>2259</v>
      </c>
      <c r="O2887" s="4" t="str">
        <f>LEFT(Table2[[#This Row],[Description]],75)</f>
        <v>SP LIQUID IV 8553864021 CA 324250739</v>
      </c>
      <c r="P2887" s="2" t="s">
        <v>2281</v>
      </c>
    </row>
    <row r="2888" spans="1:16" hidden="1">
      <c r="A2888" s="2">
        <v>202007</v>
      </c>
      <c r="B2888" s="3">
        <v>44018</v>
      </c>
      <c r="C2888" s="2" t="s">
        <v>2265</v>
      </c>
      <c r="D2888" s="2" t="s">
        <v>2109</v>
      </c>
      <c r="E2888" s="2">
        <v>50</v>
      </c>
      <c r="F2888" s="2" t="str">
        <f>IF(Table2[[#This Row],[Manual Cat Value]]="",VLOOKUP(Table2[[#This Row],[Description]],'Actuals Lookup'!D:F,3,0),Table2[[#This Row],[Manual Cat Value]])</f>
        <v>Shopping</v>
      </c>
      <c r="J2888" s="2">
        <v>50</v>
      </c>
      <c r="K2888" s="2" t="b">
        <v>0</v>
      </c>
      <c r="L2888" s="2"/>
      <c r="M2888" s="2"/>
      <c r="N2888" s="4" t="s">
        <v>2259</v>
      </c>
      <c r="O2888" s="4" t="str">
        <f>LEFT(Table2[[#This Row],[Description]],75)</f>
        <v>Venmo</v>
      </c>
      <c r="P2888" s="2" t="s">
        <v>2281</v>
      </c>
    </row>
    <row r="2889" spans="1:16" hidden="1">
      <c r="A2889" s="2">
        <v>202007</v>
      </c>
      <c r="B2889" s="3">
        <v>44019</v>
      </c>
      <c r="C2889" s="2" t="s">
        <v>2447</v>
      </c>
      <c r="D2889" s="2" t="s">
        <v>38</v>
      </c>
      <c r="E2889" s="2">
        <v>19.32</v>
      </c>
      <c r="F2889" s="2" t="str">
        <f>IF(Table2[[#This Row],[Manual Cat Value]]="",VLOOKUP(Table2[[#This Row],[Description]],'Actuals Lookup'!D:F,3,0),Table2[[#This Row],[Manual Cat Value]])</f>
        <v>Amazon</v>
      </c>
      <c r="J2889" s="2">
        <v>19.32</v>
      </c>
      <c r="K2889" s="2" t="b">
        <v>0</v>
      </c>
      <c r="L2889" s="2"/>
      <c r="M2889" s="2"/>
      <c r="N2889" s="4" t="s">
        <v>2259</v>
      </c>
      <c r="O2889" s="4" t="str">
        <f>LEFT(Table2[[#This Row],[Description]],75)</f>
        <v>Amazon</v>
      </c>
      <c r="P2889" s="2" t="s">
        <v>2260</v>
      </c>
    </row>
    <row r="2890" spans="1:16" hidden="1">
      <c r="A2890" s="2">
        <v>202007</v>
      </c>
      <c r="B2890" s="3">
        <v>44019</v>
      </c>
      <c r="C2890" s="2" t="s">
        <v>2258</v>
      </c>
      <c r="D2890" s="2" t="s">
        <v>38</v>
      </c>
      <c r="E2890" s="2">
        <v>19.32</v>
      </c>
      <c r="F2890" s="2" t="str">
        <f>IF(Table2[[#This Row],[Manual Cat Value]]="",VLOOKUP(Table2[[#This Row],[Description]],'Actuals Lookup'!D:F,3,0),Table2[[#This Row],[Manual Cat Value]])</f>
        <v>Amazon</v>
      </c>
      <c r="J2890" s="2">
        <v>19.32</v>
      </c>
      <c r="K2890" s="2" t="b">
        <v>0</v>
      </c>
      <c r="L2890" s="2"/>
      <c r="M2890" s="2"/>
      <c r="N2890" s="4" t="s">
        <v>2259</v>
      </c>
      <c r="O2890" s="4" t="str">
        <f>LEFT(Table2[[#This Row],[Description]],75)</f>
        <v>Amazon</v>
      </c>
      <c r="P2890" s="2" t="s">
        <v>2260</v>
      </c>
    </row>
    <row r="2891" spans="1:16" hidden="1">
      <c r="A2891" s="2">
        <v>202007</v>
      </c>
      <c r="B2891" s="3">
        <v>44019</v>
      </c>
      <c r="C2891" s="2" t="s">
        <v>2265</v>
      </c>
      <c r="D2891" s="2" t="s">
        <v>201</v>
      </c>
      <c r="E2891" s="2">
        <v>7.84</v>
      </c>
      <c r="F2891" s="2" t="e">
        <f>IF(Table2[[#This Row],[Manual Cat Value]]="",VLOOKUP(Table2[[#This Row],[Description]],'Actuals Lookup'!D:F,3,0),Table2[[#This Row],[Manual Cat Value]])</f>
        <v>#N/A</v>
      </c>
      <c r="J2891" s="2">
        <v>7.84</v>
      </c>
      <c r="K2891" s="2" t="b">
        <v>0</v>
      </c>
      <c r="L2891" s="2"/>
      <c r="M2891" s="2"/>
      <c r="N2891" s="4" t="s">
        <v>2259</v>
      </c>
      <c r="O2891" s="4" t="str">
        <f>LEFT(Table2[[#This Row],[Description]],75)</f>
        <v>Banana Visa TYPE BR EPAY ID CO Banana Visa ACH ECC WEB ACH Trace 03624 3243</v>
      </c>
      <c r="P2891" s="2" t="s">
        <v>2297</v>
      </c>
    </row>
    <row r="2892" spans="1:16" hidden="1">
      <c r="A2892" s="2">
        <v>202007</v>
      </c>
      <c r="B2892" s="3">
        <v>44019</v>
      </c>
      <c r="C2892" s="2" t="s">
        <v>2265</v>
      </c>
      <c r="D2892" s="2" t="s">
        <v>1208</v>
      </c>
      <c r="E2892" s="2">
        <v>415.65</v>
      </c>
      <c r="F2892" s="2" t="e">
        <f>IF(Table2[[#This Row],[Manual Cat Value]]="",VLOOKUP(Table2[[#This Row],[Description]],'Actuals Lookup'!D:F,3,0),Table2[[#This Row],[Manual Cat Value]])</f>
        <v>#N/A</v>
      </c>
      <c r="J2892" s="2">
        <v>415.65</v>
      </c>
      <c r="K2892" s="2" t="b">
        <v>0</v>
      </c>
      <c r="L2892" s="2"/>
      <c r="M2892" s="2"/>
      <c r="N2892" s="4" t="s">
        <v>2259</v>
      </c>
      <c r="O2892" s="4" t="str">
        <f>LEFT(Table2[[#This Row],[Description]],75)</f>
        <v>MHCHILDCARELLC TYPE DUES ID CO MHCHILDCARELLC ACH ECC PPD ACH Trace 11884 3</v>
      </c>
      <c r="P2892" s="2" t="s">
        <v>2281</v>
      </c>
    </row>
    <row r="2893" spans="1:16" hidden="1">
      <c r="A2893" s="2">
        <v>202007</v>
      </c>
      <c r="B2893" s="3">
        <v>44019</v>
      </c>
      <c r="C2893" s="2" t="s">
        <v>2262</v>
      </c>
      <c r="D2893" s="2" t="s">
        <v>1363</v>
      </c>
      <c r="E2893" s="2">
        <v>88.44</v>
      </c>
      <c r="F2893" s="2" t="e">
        <f>IF(Table2[[#This Row],[Manual Cat Value]]="",VLOOKUP(Table2[[#This Row],[Description]],'Actuals Lookup'!D:F,3,0),Table2[[#This Row],[Manual Cat Value]])</f>
        <v>#N/A</v>
      </c>
      <c r="J2893" s="2">
        <v>88.44</v>
      </c>
      <c r="K2893" s="2" t="b">
        <v>0</v>
      </c>
      <c r="L2893" s="2"/>
      <c r="M2893" s="2"/>
      <c r="N2893" s="4" t="s">
        <v>2259</v>
      </c>
      <c r="O2893" s="4" t="str">
        <f>LEFT(Table2[[#This Row],[Description]],75)</f>
        <v>NORTH COOP CHAHASSEN MN 324502088</v>
      </c>
      <c r="P2893" s="2" t="s">
        <v>2281</v>
      </c>
    </row>
    <row r="2894" spans="1:16" hidden="1">
      <c r="A2894" s="2">
        <v>202007</v>
      </c>
      <c r="B2894" s="3">
        <v>44019</v>
      </c>
      <c r="C2894" s="2" t="s">
        <v>2262</v>
      </c>
      <c r="D2894" s="2" t="s">
        <v>1408</v>
      </c>
      <c r="E2894" s="2">
        <v>238</v>
      </c>
      <c r="F2894" s="2" t="str">
        <f>IF(Table2[[#This Row],[Manual Cat Value]]="",VLOOKUP(Table2[[#This Row],[Description]],'Actuals Lookup'!D:F,3,0),Table2[[#This Row],[Manual Cat Value]])</f>
        <v>Shopping</v>
      </c>
      <c r="J2894" s="2">
        <v>238</v>
      </c>
      <c r="K2894" s="2" t="b">
        <v>0</v>
      </c>
      <c r="L2894" s="2"/>
      <c r="M2894" s="2"/>
      <c r="N2894" s="4" t="s">
        <v>2259</v>
      </c>
      <c r="O2894" s="4" t="str">
        <f>LEFT(Table2[[#This Row],[Description]],75)</f>
        <v>Patagonia</v>
      </c>
      <c r="P2894" s="2" t="s">
        <v>2436</v>
      </c>
    </row>
    <row r="2895" spans="1:16" hidden="1">
      <c r="A2895" s="2">
        <v>202007</v>
      </c>
      <c r="B2895" s="3">
        <v>44019</v>
      </c>
      <c r="C2895" s="2" t="s">
        <v>2265</v>
      </c>
      <c r="D2895" s="2" t="s">
        <v>1471</v>
      </c>
      <c r="E2895" s="2">
        <v>7.43</v>
      </c>
      <c r="F2895" s="2" t="str">
        <f>IF(Table2[[#This Row],[Manual Cat Value]]="",VLOOKUP(Table2[[#This Row],[Description]],'Actuals Lookup'!D:F,3,0),Table2[[#This Row],[Manual Cat Value]])</f>
        <v>Shopping</v>
      </c>
      <c r="J2895" s="2">
        <v>7.43</v>
      </c>
      <c r="K2895" s="2" t="b">
        <v>0</v>
      </c>
      <c r="L2895" s="2"/>
      <c r="M2895" s="2"/>
      <c r="N2895" s="4" t="s">
        <v>2259</v>
      </c>
      <c r="O2895" s="4" t="str">
        <f>LEFT(Table2[[#This Row],[Description]],75)</f>
        <v>PayPal</v>
      </c>
      <c r="P2895" s="2" t="s">
        <v>2322</v>
      </c>
    </row>
    <row r="2896" spans="1:16" hidden="1">
      <c r="A2896" s="2">
        <v>202007</v>
      </c>
      <c r="B2896" s="3">
        <v>44019</v>
      </c>
      <c r="C2896" s="2" t="s">
        <v>2262</v>
      </c>
      <c r="D2896" s="2" t="s">
        <v>1654</v>
      </c>
      <c r="E2896" s="2">
        <v>51.49</v>
      </c>
      <c r="F2896" s="2" t="e">
        <f>IF(Table2[[#This Row],[Manual Cat Value]]="",VLOOKUP(Table2[[#This Row],[Description]],'Actuals Lookup'!D:F,3,0),Table2[[#This Row],[Manual Cat Value]])</f>
        <v>#N/A</v>
      </c>
      <c r="J2896" s="2">
        <v>51.49</v>
      </c>
      <c r="K2896" s="2" t="b">
        <v>0</v>
      </c>
      <c r="L2896" s="2"/>
      <c r="M2896" s="2"/>
      <c r="N2896" s="4" t="s">
        <v>2259</v>
      </c>
      <c r="O2896" s="4" t="str">
        <f>LEFT(Table2[[#This Row],[Description]],75)</f>
        <v>SHOREWOOD CIGARS TOBAC EXCELSIOR MN 324502085</v>
      </c>
      <c r="P2896" s="2" t="s">
        <v>2281</v>
      </c>
    </row>
    <row r="2897" spans="1:16" hidden="1">
      <c r="A2897" s="2">
        <v>202007</v>
      </c>
      <c r="B2897" s="3">
        <v>44019</v>
      </c>
      <c r="C2897" s="2" t="s">
        <v>2262</v>
      </c>
      <c r="D2897" s="2" t="s">
        <v>31</v>
      </c>
      <c r="E2897" s="2">
        <v>66.739999999999995</v>
      </c>
      <c r="F2897" s="2" t="str">
        <f>IF(Table2[[#This Row],[Manual Cat Value]]="",VLOOKUP(Table2[[#This Row],[Description]],'Actuals Lookup'!D:F,3,0),Table2[[#This Row],[Manual Cat Value]])</f>
        <v>Target</v>
      </c>
      <c r="J2897" s="2">
        <v>66.739999999999995</v>
      </c>
      <c r="K2897" s="2" t="b">
        <v>0</v>
      </c>
      <c r="L2897" s="2"/>
      <c r="M2897" s="2"/>
      <c r="N2897" s="4" t="s">
        <v>2259</v>
      </c>
      <c r="O2897" s="4" t="str">
        <f>LEFT(Table2[[#This Row],[Description]],75)</f>
        <v>Target</v>
      </c>
      <c r="P2897" s="2" t="s">
        <v>2309</v>
      </c>
    </row>
    <row r="2898" spans="1:16" hidden="1">
      <c r="A2898" s="2">
        <v>202007</v>
      </c>
      <c r="B2898" s="3">
        <v>44019</v>
      </c>
      <c r="C2898" s="2" t="s">
        <v>2317</v>
      </c>
      <c r="D2898" s="2" t="s">
        <v>2107</v>
      </c>
      <c r="E2898" s="2">
        <v>-3.07</v>
      </c>
      <c r="F2898" s="2" t="e">
        <f>IF(Table2[[#This Row],[Manual Cat Value]]="",VLOOKUP(Table2[[#This Row],[Description]],'Actuals Lookup'!D:F,3,0),Table2[[#This Row],[Manual Cat Value]])</f>
        <v>#N/A</v>
      </c>
      <c r="J2898" s="2">
        <v>3.07</v>
      </c>
      <c r="K2898" s="2" t="b">
        <v>0</v>
      </c>
      <c r="L2898" s="2"/>
      <c r="M2898" s="2"/>
      <c r="N2898" s="4" t="s">
        <v>2273</v>
      </c>
      <c r="O2898" s="4" t="str">
        <f>LEFT(Table2[[#This Row],[Description]],75)</f>
        <v>VANGUARD INTRMDIAT TRM TRSRY ETF</v>
      </c>
      <c r="P2898" s="2" t="s">
        <v>2357</v>
      </c>
    </row>
    <row r="2899" spans="1:16" hidden="1">
      <c r="A2899" s="2">
        <v>202007</v>
      </c>
      <c r="B2899" s="3">
        <v>44019</v>
      </c>
      <c r="C2899" s="2" t="s">
        <v>2265</v>
      </c>
      <c r="D2899" s="2" t="s">
        <v>2109</v>
      </c>
      <c r="E2899" s="2">
        <v>60</v>
      </c>
      <c r="F2899" s="2" t="str">
        <f>IF(Table2[[#This Row],[Manual Cat Value]]="",VLOOKUP(Table2[[#This Row],[Description]],'Actuals Lookup'!D:F,3,0),Table2[[#This Row],[Manual Cat Value]])</f>
        <v>Shopping</v>
      </c>
      <c r="J2899" s="2">
        <v>60</v>
      </c>
      <c r="K2899" s="2" t="b">
        <v>0</v>
      </c>
      <c r="L2899" s="2"/>
      <c r="M2899" s="2"/>
      <c r="N2899" s="4" t="s">
        <v>2259</v>
      </c>
      <c r="O2899" s="4" t="str">
        <f>LEFT(Table2[[#This Row],[Description]],75)</f>
        <v>Venmo</v>
      </c>
      <c r="P2899" s="2" t="s">
        <v>2281</v>
      </c>
    </row>
    <row r="2900" spans="1:16" hidden="1">
      <c r="A2900" s="2">
        <v>202007</v>
      </c>
      <c r="B2900" s="3">
        <v>44019</v>
      </c>
      <c r="C2900" s="2" t="s">
        <v>2265</v>
      </c>
      <c r="D2900" s="2" t="s">
        <v>2221</v>
      </c>
      <c r="E2900" s="2">
        <v>154.13999999999999</v>
      </c>
      <c r="F2900" s="2" t="str">
        <f>IF(Table2[[#This Row],[Manual Cat Value]]="",VLOOKUP(Table2[[#This Row],[Description]],'Actuals Lookup'!D:F,3,0),Table2[[#This Row],[Manual Cat Value]])</f>
        <v>Utilities</v>
      </c>
      <c r="J2900" s="2">
        <v>154.13999999999999</v>
      </c>
      <c r="K2900" s="2" t="b">
        <v>0</v>
      </c>
      <c r="L2900" s="2"/>
      <c r="M2900" s="2"/>
      <c r="N2900" s="4" t="s">
        <v>2259</v>
      </c>
      <c r="O2900" s="4" t="str">
        <f>LEFT(Table2[[#This Row],[Description]],75)</f>
        <v>Xcel Energy</v>
      </c>
      <c r="P2900" s="2" t="s">
        <v>2280</v>
      </c>
    </row>
    <row r="2901" spans="1:16" hidden="1">
      <c r="A2901" s="2">
        <v>202007</v>
      </c>
      <c r="B2901" s="3">
        <v>44020</v>
      </c>
      <c r="C2901" s="2" t="s">
        <v>2265</v>
      </c>
      <c r="D2901" s="2" t="s">
        <v>400</v>
      </c>
      <c r="E2901" s="2">
        <v>-1993.06</v>
      </c>
      <c r="F2901" s="2" t="e">
        <f>IF(Table2[[#This Row],[Manual Cat Value]]="",VLOOKUP(Table2[[#This Row],[Description]],'Actuals Lookup'!D:F,3,0),Table2[[#This Row],[Manual Cat Value]])</f>
        <v>#N/A</v>
      </c>
      <c r="J2901" s="2">
        <v>1993.06</v>
      </c>
      <c r="K2901" s="2" t="b">
        <v>0</v>
      </c>
      <c r="L2901" s="2"/>
      <c r="M2901" s="2"/>
      <c r="N2901" s="4" t="s">
        <v>2273</v>
      </c>
      <c r="O2901" s="4" t="str">
        <f>LEFT(Table2[[#This Row],[Description]],75)</f>
        <v xml:space="preserve">CARGILL COCOA TYPE DIR DEP ID CO CARGILL COCOA ACH ECC PPD ACH Trace 97142 </v>
      </c>
      <c r="P2901" s="2" t="s">
        <v>2284</v>
      </c>
    </row>
    <row r="2902" spans="1:16" hidden="1">
      <c r="A2902" s="2">
        <v>202007</v>
      </c>
      <c r="B2902" s="3">
        <v>44020</v>
      </c>
      <c r="C2902" s="2" t="s">
        <v>2262</v>
      </c>
      <c r="D2902" s="2" t="s">
        <v>1572</v>
      </c>
      <c r="E2902" s="2">
        <v>180.74</v>
      </c>
      <c r="F2902" s="2" t="e">
        <f>IF(Table2[[#This Row],[Manual Cat Value]]="",VLOOKUP(Table2[[#This Row],[Description]],'Actuals Lookup'!D:F,3,0),Table2[[#This Row],[Manual Cat Value]])</f>
        <v>#N/A</v>
      </c>
      <c r="J2902" s="2">
        <v>180.74</v>
      </c>
      <c r="K2902" s="2" t="b">
        <v>0</v>
      </c>
      <c r="L2902" s="2"/>
      <c r="M2902" s="2"/>
      <c r="N2902" s="4" t="s">
        <v>2259</v>
      </c>
      <c r="O2902" s="4" t="str">
        <f>LEFT(Table2[[#This Row],[Description]],75)</f>
        <v>REI</v>
      </c>
      <c r="P2902" s="2" t="s">
        <v>2281</v>
      </c>
    </row>
    <row r="2903" spans="1:16" hidden="1">
      <c r="A2903" s="2">
        <v>202007</v>
      </c>
      <c r="B2903" s="3">
        <v>44020</v>
      </c>
      <c r="C2903" s="2" t="s">
        <v>2262</v>
      </c>
      <c r="D2903" s="2" t="s">
        <v>1659</v>
      </c>
      <c r="E2903" s="2">
        <v>31.82</v>
      </c>
      <c r="F2903" s="2" t="e">
        <f>IF(Table2[[#This Row],[Manual Cat Value]]="",VLOOKUP(Table2[[#This Row],[Description]],'Actuals Lookup'!D:F,3,0),Table2[[#This Row],[Manual Cat Value]])</f>
        <v>#N/A</v>
      </c>
      <c r="J2903" s="2">
        <v>31.82</v>
      </c>
      <c r="K2903" s="2" t="b">
        <v>0</v>
      </c>
      <c r="L2903" s="2"/>
      <c r="M2903" s="2"/>
      <c r="N2903" s="4" t="s">
        <v>2259</v>
      </c>
      <c r="O2903" s="4" t="str">
        <f>LEFT(Table2[[#This Row],[Description]],75)</f>
        <v>Shorewood Liquor, LLC</v>
      </c>
      <c r="P2903" s="2" t="s">
        <v>2477</v>
      </c>
    </row>
    <row r="2904" spans="1:16" hidden="1">
      <c r="A2904" s="2">
        <v>202007</v>
      </c>
      <c r="B2904" s="3">
        <v>44020</v>
      </c>
      <c r="C2904" s="2" t="s">
        <v>2262</v>
      </c>
      <c r="D2904" s="2" t="s">
        <v>1773</v>
      </c>
      <c r="E2904" s="2">
        <v>30</v>
      </c>
      <c r="F2904" s="2" t="str">
        <f>IF(Table2[[#This Row],[Manual Cat Value]]="",VLOOKUP(Table2[[#This Row],[Description]],'Actuals Lookup'!D:F,3,0),Table2[[#This Row],[Manual Cat Value]])</f>
        <v>Restaurants</v>
      </c>
      <c r="J2904" s="2">
        <v>30</v>
      </c>
      <c r="K2904" s="2" t="b">
        <v>0</v>
      </c>
      <c r="L2904" s="2"/>
      <c r="M2904" s="2"/>
      <c r="N2904" s="4" t="s">
        <v>2259</v>
      </c>
      <c r="O2904" s="4" t="str">
        <f>LEFT(Table2[[#This Row],[Description]],75)</f>
        <v>Starbucks</v>
      </c>
      <c r="P2904" s="2" t="s">
        <v>2454</v>
      </c>
    </row>
    <row r="2905" spans="1:16" hidden="1">
      <c r="A2905" s="2">
        <v>202007</v>
      </c>
      <c r="B2905" s="3">
        <v>44020</v>
      </c>
      <c r="C2905" s="2" t="s">
        <v>2317</v>
      </c>
      <c r="D2905" s="2" t="s">
        <v>2107</v>
      </c>
      <c r="E2905" s="2">
        <v>3.07</v>
      </c>
      <c r="F2905" s="2" t="e">
        <f>IF(Table2[[#This Row],[Manual Cat Value]]="",VLOOKUP(Table2[[#This Row],[Description]],'Actuals Lookup'!D:F,3,0),Table2[[#This Row],[Manual Cat Value]])</f>
        <v>#N/A</v>
      </c>
      <c r="J2905" s="2">
        <v>3.07</v>
      </c>
      <c r="K2905" s="2" t="b">
        <v>0</v>
      </c>
      <c r="L2905" s="2"/>
      <c r="M2905" s="2"/>
      <c r="N2905" s="4" t="s">
        <v>2259</v>
      </c>
      <c r="O2905" s="4" t="str">
        <f>LEFT(Table2[[#This Row],[Description]],75)</f>
        <v>VANGUARD INTRMDIAT TRM TRSRY ETF</v>
      </c>
      <c r="P2905" s="2" t="s">
        <v>2357</v>
      </c>
    </row>
    <row r="2906" spans="1:16" hidden="1">
      <c r="A2906" s="2">
        <v>202007</v>
      </c>
      <c r="B2906" s="3">
        <v>44020</v>
      </c>
      <c r="C2906" s="2" t="s">
        <v>2265</v>
      </c>
      <c r="D2906" s="2" t="s">
        <v>2109</v>
      </c>
      <c r="E2906" s="2">
        <v>62.44</v>
      </c>
      <c r="F2906" s="2" t="str">
        <f>IF(Table2[[#This Row],[Manual Cat Value]]="",VLOOKUP(Table2[[#This Row],[Description]],'Actuals Lookup'!D:F,3,0),Table2[[#This Row],[Manual Cat Value]])</f>
        <v>Shopping</v>
      </c>
      <c r="J2906" s="2">
        <v>62.44</v>
      </c>
      <c r="K2906" s="2" t="b">
        <v>0</v>
      </c>
      <c r="L2906" s="2"/>
      <c r="M2906" s="2"/>
      <c r="N2906" s="4" t="s">
        <v>2259</v>
      </c>
      <c r="O2906" s="4" t="str">
        <f>LEFT(Table2[[#This Row],[Description]],75)</f>
        <v>Venmo</v>
      </c>
      <c r="P2906" s="2" t="s">
        <v>2281</v>
      </c>
    </row>
    <row r="2907" spans="1:16" hidden="1">
      <c r="A2907" s="2">
        <v>202007</v>
      </c>
      <c r="B2907" s="3">
        <v>44021</v>
      </c>
      <c r="C2907" s="2" t="s">
        <v>2447</v>
      </c>
      <c r="D2907" s="2" t="s">
        <v>38</v>
      </c>
      <c r="E2907" s="2">
        <v>22.32</v>
      </c>
      <c r="F2907" s="2" t="str">
        <f>IF(Table2[[#This Row],[Manual Cat Value]]="",VLOOKUP(Table2[[#This Row],[Description]],'Actuals Lookup'!D:F,3,0),Table2[[#This Row],[Manual Cat Value]])</f>
        <v>Amazon</v>
      </c>
      <c r="J2907" s="2">
        <v>22.32</v>
      </c>
      <c r="K2907" s="2" t="b">
        <v>0</v>
      </c>
      <c r="L2907" s="2"/>
      <c r="M2907" s="2"/>
      <c r="N2907" s="4" t="s">
        <v>2259</v>
      </c>
      <c r="O2907" s="4" t="str">
        <f>LEFT(Table2[[#This Row],[Description]],75)</f>
        <v>Amazon</v>
      </c>
      <c r="P2907" s="2" t="s">
        <v>2260</v>
      </c>
    </row>
    <row r="2908" spans="1:16" hidden="1">
      <c r="A2908" s="2">
        <v>202007</v>
      </c>
      <c r="B2908" s="3">
        <v>44021</v>
      </c>
      <c r="C2908" s="2" t="s">
        <v>2447</v>
      </c>
      <c r="D2908" s="2" t="s">
        <v>38</v>
      </c>
      <c r="E2908" s="2">
        <v>89.39</v>
      </c>
      <c r="F2908" s="2" t="str">
        <f>IF(Table2[[#This Row],[Manual Cat Value]]="",VLOOKUP(Table2[[#This Row],[Description]],'Actuals Lookup'!D:F,3,0),Table2[[#This Row],[Manual Cat Value]])</f>
        <v>Amazon</v>
      </c>
      <c r="J2908" s="2">
        <v>89.39</v>
      </c>
      <c r="K2908" s="2" t="b">
        <v>0</v>
      </c>
      <c r="L2908" s="2"/>
      <c r="M2908" s="2"/>
      <c r="N2908" s="4" t="s">
        <v>2259</v>
      </c>
      <c r="O2908" s="4" t="str">
        <f>LEFT(Table2[[#This Row],[Description]],75)</f>
        <v>Amazon</v>
      </c>
      <c r="P2908" s="2" t="s">
        <v>2260</v>
      </c>
    </row>
    <row r="2909" spans="1:16" hidden="1">
      <c r="A2909" s="2">
        <v>202007</v>
      </c>
      <c r="B2909" s="3">
        <v>44021</v>
      </c>
      <c r="C2909" s="2" t="s">
        <v>2258</v>
      </c>
      <c r="D2909" s="2" t="s">
        <v>38</v>
      </c>
      <c r="E2909" s="2">
        <v>22.32</v>
      </c>
      <c r="F2909" s="2" t="str">
        <f>IF(Table2[[#This Row],[Manual Cat Value]]="",VLOOKUP(Table2[[#This Row],[Description]],'Actuals Lookup'!D:F,3,0),Table2[[#This Row],[Manual Cat Value]])</f>
        <v>Amazon</v>
      </c>
      <c r="J2909" s="2">
        <v>22.32</v>
      </c>
      <c r="K2909" s="2" t="b">
        <v>0</v>
      </c>
      <c r="L2909" s="2"/>
      <c r="M2909" s="2"/>
      <c r="N2909" s="4" t="s">
        <v>2259</v>
      </c>
      <c r="O2909" s="4" t="str">
        <f>LEFT(Table2[[#This Row],[Description]],75)</f>
        <v>Amazon</v>
      </c>
      <c r="P2909" s="2" t="s">
        <v>2260</v>
      </c>
    </row>
    <row r="2910" spans="1:16" hidden="1">
      <c r="A2910" s="2">
        <v>202007</v>
      </c>
      <c r="B2910" s="3">
        <v>44021</v>
      </c>
      <c r="C2910" s="2" t="s">
        <v>2258</v>
      </c>
      <c r="D2910" s="2" t="s">
        <v>38</v>
      </c>
      <c r="E2910" s="2">
        <v>89.39</v>
      </c>
      <c r="F2910" s="2" t="str">
        <f>IF(Table2[[#This Row],[Manual Cat Value]]="",VLOOKUP(Table2[[#This Row],[Description]],'Actuals Lookup'!D:F,3,0),Table2[[#This Row],[Manual Cat Value]])</f>
        <v>Amazon</v>
      </c>
      <c r="J2910" s="2">
        <v>89.39</v>
      </c>
      <c r="K2910" s="2" t="b">
        <v>0</v>
      </c>
      <c r="L2910" s="2"/>
      <c r="M2910" s="2"/>
      <c r="N2910" s="4" t="s">
        <v>2259</v>
      </c>
      <c r="O2910" s="4" t="str">
        <f>LEFT(Table2[[#This Row],[Description]],75)</f>
        <v>Amazon</v>
      </c>
      <c r="P2910" s="2" t="s">
        <v>2260</v>
      </c>
    </row>
    <row r="2911" spans="1:16" hidden="1">
      <c r="A2911" s="2">
        <v>202007</v>
      </c>
      <c r="B2911" s="3">
        <v>44021</v>
      </c>
      <c r="C2911" s="2" t="s">
        <v>2262</v>
      </c>
      <c r="D2911" s="2" t="s">
        <v>543</v>
      </c>
      <c r="E2911" s="2">
        <v>26.52</v>
      </c>
      <c r="F2911" s="2" t="e">
        <f>IF(Table2[[#This Row],[Manual Cat Value]]="",VLOOKUP(Table2[[#This Row],[Description]],'Actuals Lookup'!D:F,3,0),Table2[[#This Row],[Manual Cat Value]])</f>
        <v>#N/A</v>
      </c>
      <c r="J2911" s="2">
        <v>26.52</v>
      </c>
      <c r="K2911" s="2" t="b">
        <v>0</v>
      </c>
      <c r="L2911" s="2"/>
      <c r="M2911" s="2"/>
      <c r="N2911" s="4" t="s">
        <v>2259</v>
      </c>
      <c r="O2911" s="4" t="str">
        <f>LEFT(Table2[[#This Row],[Description]],75)</f>
        <v>Chipotle</v>
      </c>
      <c r="P2911" s="2" t="s">
        <v>2341</v>
      </c>
    </row>
    <row r="2912" spans="1:16" hidden="1">
      <c r="A2912" s="2">
        <v>202007</v>
      </c>
      <c r="B2912" s="3">
        <v>44022</v>
      </c>
      <c r="C2912" s="2" t="s">
        <v>2317</v>
      </c>
      <c r="D2912" s="2" t="s">
        <v>354</v>
      </c>
      <c r="E2912" s="2">
        <v>-200</v>
      </c>
      <c r="F2912" s="2" t="e">
        <f>IF(Table2[[#This Row],[Manual Cat Value]]="",VLOOKUP(Table2[[#This Row],[Description]],'Actuals Lookup'!D:F,3,0),Table2[[#This Row],[Manual Cat Value]])</f>
        <v>#N/A</v>
      </c>
      <c r="J2912" s="2">
        <v>200</v>
      </c>
      <c r="K2912" s="2" t="b">
        <v>0</v>
      </c>
      <c r="L2912" s="2"/>
      <c r="M2912" s="2"/>
      <c r="N2912" s="4" t="s">
        <v>2273</v>
      </c>
      <c r="O2912" s="4" t="str">
        <f>LEFT(Table2[[#This Row],[Description]],75)</f>
        <v>CARGILL COCOA &amp;</v>
      </c>
      <c r="P2912" s="2" t="s">
        <v>2354</v>
      </c>
    </row>
    <row r="2913" spans="1:16" hidden="1">
      <c r="A2913" s="2">
        <v>202007</v>
      </c>
      <c r="B2913" s="3">
        <v>44022</v>
      </c>
      <c r="C2913" s="2" t="s">
        <v>2447</v>
      </c>
      <c r="D2913" s="2" t="s">
        <v>506</v>
      </c>
      <c r="E2913" s="2">
        <v>45</v>
      </c>
      <c r="F2913" s="2" t="str">
        <f>IF(Table2[[#This Row],[Manual Cat Value]]="",VLOOKUP(Table2[[#This Row],[Description]],'Actuals Lookup'!D:F,3,0),Table2[[#This Row],[Manual Cat Value]])</f>
        <v>Utilities</v>
      </c>
      <c r="J2913" s="2">
        <v>45</v>
      </c>
      <c r="K2913" s="2" t="b">
        <v>0</v>
      </c>
      <c r="L2913" s="2"/>
      <c r="M2913" s="2"/>
      <c r="N2913" s="4" t="s">
        <v>2259</v>
      </c>
      <c r="O2913" s="4" t="str">
        <f>LEFT(Table2[[#This Row],[Description]],75)</f>
        <v>CenturyLink</v>
      </c>
      <c r="P2913" s="2" t="s">
        <v>2408</v>
      </c>
    </row>
    <row r="2914" spans="1:16" hidden="1">
      <c r="A2914" s="2">
        <v>202007</v>
      </c>
      <c r="B2914" s="3">
        <v>44022</v>
      </c>
      <c r="C2914" s="2" t="s">
        <v>2258</v>
      </c>
      <c r="D2914" s="2" t="s">
        <v>506</v>
      </c>
      <c r="E2914" s="2">
        <v>45</v>
      </c>
      <c r="F2914" s="2" t="str">
        <f>IF(Table2[[#This Row],[Manual Cat Value]]="",VLOOKUP(Table2[[#This Row],[Description]],'Actuals Lookup'!D:F,3,0),Table2[[#This Row],[Manual Cat Value]])</f>
        <v>Utilities</v>
      </c>
      <c r="J2914" s="2">
        <v>45</v>
      </c>
      <c r="K2914" s="2" t="b">
        <v>0</v>
      </c>
      <c r="L2914" s="2"/>
      <c r="M2914" s="2"/>
      <c r="N2914" s="4" t="s">
        <v>2259</v>
      </c>
      <c r="O2914" s="4" t="str">
        <f>LEFT(Table2[[#This Row],[Description]],75)</f>
        <v>CenturyLink</v>
      </c>
      <c r="P2914" s="2" t="s">
        <v>2408</v>
      </c>
    </row>
    <row r="2915" spans="1:16" hidden="1">
      <c r="A2915" s="2">
        <v>202007</v>
      </c>
      <c r="B2915" s="3">
        <v>44022</v>
      </c>
      <c r="C2915" s="2" t="s">
        <v>2265</v>
      </c>
      <c r="D2915" s="2" t="s">
        <v>1471</v>
      </c>
      <c r="E2915" s="2">
        <v>2.75</v>
      </c>
      <c r="F2915" s="2" t="str">
        <f>IF(Table2[[#This Row],[Manual Cat Value]]="",VLOOKUP(Table2[[#This Row],[Description]],'Actuals Lookup'!D:F,3,0),Table2[[#This Row],[Manual Cat Value]])</f>
        <v>Shopping</v>
      </c>
      <c r="J2915" s="2">
        <v>2.75</v>
      </c>
      <c r="K2915" s="2" t="b">
        <v>0</v>
      </c>
      <c r="L2915" s="2"/>
      <c r="M2915" s="2"/>
      <c r="N2915" s="4" t="s">
        <v>2259</v>
      </c>
      <c r="O2915" s="4" t="str">
        <f>LEFT(Table2[[#This Row],[Description]],75)</f>
        <v>PayPal</v>
      </c>
      <c r="P2915" s="2" t="s">
        <v>2322</v>
      </c>
    </row>
    <row r="2916" spans="1:16" hidden="1">
      <c r="A2916" s="2">
        <v>202007</v>
      </c>
      <c r="B2916" s="3">
        <v>44022</v>
      </c>
      <c r="C2916" s="2" t="s">
        <v>2434</v>
      </c>
      <c r="D2916" s="2" t="s">
        <v>1834</v>
      </c>
      <c r="E2916" s="2">
        <v>-231</v>
      </c>
      <c r="F2916" s="2" t="e">
        <f>IF(Table2[[#This Row],[Manual Cat Value]]="",VLOOKUP(Table2[[#This Row],[Description]],'Actuals Lookup'!D:F,3,0),Table2[[#This Row],[Manual Cat Value]])</f>
        <v>#N/A</v>
      </c>
      <c r="J2916" s="2">
        <v>231</v>
      </c>
      <c r="K2916" s="2" t="b">
        <v>0</v>
      </c>
      <c r="L2916" s="2"/>
      <c r="M2916" s="2"/>
      <c r="N2916" s="4" t="s">
        <v>2273</v>
      </c>
      <c r="O2916" s="4" t="str">
        <f>LEFT(Table2[[#This Row],[Description]],75)</f>
        <v>Tfr JPMORGAN CHASE BAN, CARGILL COCOA &amp;</v>
      </c>
      <c r="P2916" s="2" t="s">
        <v>2356</v>
      </c>
    </row>
    <row r="2917" spans="1:16" hidden="1">
      <c r="A2917" s="2">
        <v>202007</v>
      </c>
      <c r="B2917" s="3">
        <v>44024</v>
      </c>
      <c r="C2917" s="2" t="s">
        <v>2447</v>
      </c>
      <c r="D2917" s="2" t="s">
        <v>38</v>
      </c>
      <c r="E2917" s="2">
        <v>21.42</v>
      </c>
      <c r="F2917" s="2" t="str">
        <f>IF(Table2[[#This Row],[Manual Cat Value]]="",VLOOKUP(Table2[[#This Row],[Description]],'Actuals Lookup'!D:F,3,0),Table2[[#This Row],[Manual Cat Value]])</f>
        <v>Amazon</v>
      </c>
      <c r="J2917" s="2">
        <v>21.42</v>
      </c>
      <c r="K2917" s="2" t="b">
        <v>0</v>
      </c>
      <c r="L2917" s="2"/>
      <c r="M2917" s="2"/>
      <c r="N2917" s="4" t="s">
        <v>2259</v>
      </c>
      <c r="O2917" s="4" t="str">
        <f>LEFT(Table2[[#This Row],[Description]],75)</f>
        <v>Amazon</v>
      </c>
      <c r="P2917" s="2" t="s">
        <v>2260</v>
      </c>
    </row>
    <row r="2918" spans="1:16" hidden="1">
      <c r="A2918" s="2">
        <v>202007</v>
      </c>
      <c r="B2918" s="3">
        <v>44024</v>
      </c>
      <c r="C2918" s="2" t="s">
        <v>2258</v>
      </c>
      <c r="D2918" s="2" t="s">
        <v>38</v>
      </c>
      <c r="E2918" s="2">
        <v>21.42</v>
      </c>
      <c r="F2918" s="2" t="str">
        <f>IF(Table2[[#This Row],[Manual Cat Value]]="",VLOOKUP(Table2[[#This Row],[Description]],'Actuals Lookup'!D:F,3,0),Table2[[#This Row],[Manual Cat Value]])</f>
        <v>Amazon</v>
      </c>
      <c r="J2918" s="2">
        <v>21.42</v>
      </c>
      <c r="K2918" s="2" t="b">
        <v>0</v>
      </c>
      <c r="L2918" s="2"/>
      <c r="M2918" s="2"/>
      <c r="N2918" s="4" t="s">
        <v>2259</v>
      </c>
      <c r="O2918" s="4" t="str">
        <f>LEFT(Table2[[#This Row],[Description]],75)</f>
        <v>Amazon</v>
      </c>
      <c r="P2918" s="2" t="s">
        <v>2260</v>
      </c>
    </row>
    <row r="2919" spans="1:16" hidden="1">
      <c r="A2919" s="2">
        <v>202007</v>
      </c>
      <c r="B2919" s="3">
        <v>44024</v>
      </c>
      <c r="C2919" s="2" t="s">
        <v>2262</v>
      </c>
      <c r="D2919" s="2" t="s">
        <v>338</v>
      </c>
      <c r="E2919" s="2">
        <v>26.45</v>
      </c>
      <c r="F2919" s="2" t="e">
        <f>IF(Table2[[#This Row],[Manual Cat Value]]="",VLOOKUP(Table2[[#This Row],[Description]],'Actuals Lookup'!D:F,3,0),Table2[[#This Row],[Manual Cat Value]])</f>
        <v>#N/A</v>
      </c>
      <c r="J2919" s="2">
        <v>26.45</v>
      </c>
      <c r="K2919" s="2" t="b">
        <v>0</v>
      </c>
      <c r="L2919" s="2"/>
      <c r="M2919" s="2"/>
      <c r="N2919" s="4" t="s">
        <v>2259</v>
      </c>
      <c r="O2919" s="4" t="str">
        <f>LEFT(Table2[[#This Row],[Description]],75)</f>
        <v>Byerly's</v>
      </c>
      <c r="P2919" s="2" t="s">
        <v>2364</v>
      </c>
    </row>
    <row r="2920" spans="1:16" hidden="1">
      <c r="A2920" s="2">
        <v>202007</v>
      </c>
      <c r="B2920" s="3">
        <v>44024</v>
      </c>
      <c r="C2920" s="2" t="s">
        <v>2262</v>
      </c>
      <c r="D2920" s="2" t="s">
        <v>600</v>
      </c>
      <c r="E2920" s="2">
        <v>8</v>
      </c>
      <c r="F2920" s="2" t="e">
        <f>IF(Table2[[#This Row],[Manual Cat Value]]="",VLOOKUP(Table2[[#This Row],[Description]],'Actuals Lookup'!D:F,3,0),Table2[[#This Row],[Manual Cat Value]])</f>
        <v>#N/A</v>
      </c>
      <c r="J2920" s="2">
        <v>8</v>
      </c>
      <c r="K2920" s="2" t="b">
        <v>0</v>
      </c>
      <c r="L2920" s="2"/>
      <c r="M2920" s="2"/>
      <c r="N2920" s="4" t="s">
        <v>2259</v>
      </c>
      <c r="O2920" s="4" t="str">
        <f>LEFT(Table2[[#This Row],[Description]],75)</f>
        <v>COLLEGE TRANSCRIPT 8477163000 IL 325735429</v>
      </c>
      <c r="P2920" s="2" t="s">
        <v>2281</v>
      </c>
    </row>
    <row r="2921" spans="1:16" hidden="1">
      <c r="A2921" s="2">
        <v>202007</v>
      </c>
      <c r="B2921" s="3">
        <v>44024</v>
      </c>
      <c r="C2921" s="2" t="s">
        <v>2262</v>
      </c>
      <c r="D2921" s="2" t="s">
        <v>778</v>
      </c>
      <c r="E2921" s="2">
        <v>7.55</v>
      </c>
      <c r="F2921" s="2" t="e">
        <f>IF(Table2[[#This Row],[Manual Cat Value]]="",VLOOKUP(Table2[[#This Row],[Description]],'Actuals Lookup'!D:F,3,0),Table2[[#This Row],[Manual Cat Value]])</f>
        <v>#N/A</v>
      </c>
      <c r="J2921" s="2">
        <v>7.55</v>
      </c>
      <c r="K2921" s="2" t="b">
        <v>0</v>
      </c>
      <c r="L2921" s="2"/>
      <c r="M2921" s="2"/>
      <c r="N2921" s="4" t="s">
        <v>2259</v>
      </c>
      <c r="O2921" s="4" t="str">
        <f>LEFT(Table2[[#This Row],[Description]],75)</f>
        <v>Disney</v>
      </c>
      <c r="P2921" s="2" t="s">
        <v>2281</v>
      </c>
    </row>
    <row r="2922" spans="1:16" hidden="1">
      <c r="A2922" s="2">
        <v>202007</v>
      </c>
      <c r="B2922" s="3">
        <v>44024</v>
      </c>
      <c r="C2922" s="2" t="s">
        <v>2262</v>
      </c>
      <c r="D2922" s="2" t="s">
        <v>1773</v>
      </c>
      <c r="E2922" s="2">
        <v>25</v>
      </c>
      <c r="F2922" s="2" t="str">
        <f>IF(Table2[[#This Row],[Manual Cat Value]]="",VLOOKUP(Table2[[#This Row],[Description]],'Actuals Lookup'!D:F,3,0),Table2[[#This Row],[Manual Cat Value]])</f>
        <v>Restaurants</v>
      </c>
      <c r="J2922" s="2">
        <v>25</v>
      </c>
      <c r="K2922" s="2" t="b">
        <v>0</v>
      </c>
      <c r="L2922" s="2"/>
      <c r="M2922" s="2"/>
      <c r="N2922" s="4" t="s">
        <v>2259</v>
      </c>
      <c r="O2922" s="4" t="str">
        <f>LEFT(Table2[[#This Row],[Description]],75)</f>
        <v>Starbucks</v>
      </c>
      <c r="P2922" s="2" t="s">
        <v>2454</v>
      </c>
    </row>
    <row r="2923" spans="1:16" hidden="1">
      <c r="A2923" s="2">
        <v>202007</v>
      </c>
      <c r="B2923" s="3">
        <v>44024</v>
      </c>
      <c r="C2923" s="2" t="s">
        <v>2262</v>
      </c>
      <c r="D2923" s="2" t="s">
        <v>2135</v>
      </c>
      <c r="E2923" s="2">
        <v>5.36</v>
      </c>
      <c r="F2923" s="2" t="str">
        <f>IF(Table2[[#This Row],[Manual Cat Value]]="",VLOOKUP(Table2[[#This Row],[Description]],'Actuals Lookup'!D:F,3,0),Table2[[#This Row],[Manual Cat Value]])</f>
        <v>Groceries</v>
      </c>
      <c r="J2923" s="2">
        <v>5.36</v>
      </c>
      <c r="K2923" s="2" t="b">
        <v>0</v>
      </c>
      <c r="L2923" s="2"/>
      <c r="M2923" s="2"/>
      <c r="N2923" s="4" t="s">
        <v>2259</v>
      </c>
      <c r="O2923" s="4" t="str">
        <f>LEFT(Table2[[#This Row],[Description]],75)</f>
        <v>Walgreens</v>
      </c>
      <c r="P2923" s="2" t="s">
        <v>2389</v>
      </c>
    </row>
    <row r="2924" spans="1:16" hidden="1">
      <c r="A2924" s="2">
        <v>202007</v>
      </c>
      <c r="B2924" s="3">
        <v>44025</v>
      </c>
      <c r="C2924" s="2" t="s">
        <v>2262</v>
      </c>
      <c r="D2924" s="2" t="s">
        <v>692</v>
      </c>
      <c r="E2924" s="2">
        <v>15</v>
      </c>
      <c r="F2924" s="2" t="str">
        <f>IF(Table2[[#This Row],[Manual Cat Value]]="",VLOOKUP(Table2[[#This Row],[Description]],'Actuals Lookup'!D:F,3,0),Table2[[#This Row],[Manual Cat Value]])</f>
        <v>Restaurants</v>
      </c>
      <c r="J2924" s="2">
        <v>15</v>
      </c>
      <c r="K2924" s="2" t="b">
        <v>0</v>
      </c>
      <c r="L2924" s="2"/>
      <c r="M2924" s="2"/>
      <c r="N2924" s="4" t="s">
        <v>2259</v>
      </c>
      <c r="O2924" s="4" t="str">
        <f>LEFT(Table2[[#This Row],[Description]],75)</f>
        <v>Dairy Queen</v>
      </c>
      <c r="P2924" s="2" t="s">
        <v>2281</v>
      </c>
    </row>
    <row r="2925" spans="1:16" hidden="1">
      <c r="A2925" s="2">
        <v>202007</v>
      </c>
      <c r="B2925" s="3">
        <v>44025</v>
      </c>
      <c r="C2925" s="2" t="s">
        <v>2262</v>
      </c>
      <c r="D2925" s="2" t="s">
        <v>947</v>
      </c>
      <c r="E2925" s="2">
        <v>111.35</v>
      </c>
      <c r="F2925" s="2" t="e">
        <f>IF(Table2[[#This Row],[Manual Cat Value]]="",VLOOKUP(Table2[[#This Row],[Description]],'Actuals Lookup'!D:F,3,0),Table2[[#This Row],[Manual Cat Value]])</f>
        <v>#N/A</v>
      </c>
      <c r="J2925" s="2">
        <v>111.35</v>
      </c>
      <c r="K2925" s="2" t="b">
        <v>0</v>
      </c>
      <c r="L2925" s="2"/>
      <c r="M2925" s="2"/>
      <c r="N2925" s="4" t="s">
        <v>2259</v>
      </c>
      <c r="O2925" s="4" t="str">
        <f>LEFT(Table2[[#This Row],[Description]],75)</f>
        <v>Home Depot</v>
      </c>
      <c r="P2925" s="2" t="s">
        <v>2396</v>
      </c>
    </row>
    <row r="2926" spans="1:16" hidden="1">
      <c r="A2926" s="2">
        <v>202007</v>
      </c>
      <c r="B2926" s="3">
        <v>44025</v>
      </c>
      <c r="C2926" s="2" t="s">
        <v>2258</v>
      </c>
      <c r="D2926" s="2" t="s">
        <v>31</v>
      </c>
      <c r="E2926" s="2">
        <v>26.83</v>
      </c>
      <c r="F2926" s="2" t="str">
        <f>IF(Table2[[#This Row],[Manual Cat Value]]="",VLOOKUP(Table2[[#This Row],[Description]],'Actuals Lookup'!D:F,3,0),Table2[[#This Row],[Manual Cat Value]])</f>
        <v>Target</v>
      </c>
      <c r="J2926" s="2">
        <v>26.83</v>
      </c>
      <c r="K2926" s="2" t="b">
        <v>0</v>
      </c>
      <c r="L2926" s="2"/>
      <c r="M2926" s="2"/>
      <c r="N2926" s="4" t="s">
        <v>2259</v>
      </c>
      <c r="O2926" s="4" t="str">
        <f>LEFT(Table2[[#This Row],[Description]],75)</f>
        <v>Target</v>
      </c>
      <c r="P2926" s="2" t="s">
        <v>2309</v>
      </c>
    </row>
    <row r="2927" spans="1:16" hidden="1">
      <c r="A2927" s="2">
        <v>202007</v>
      </c>
      <c r="B2927" s="3">
        <v>44025</v>
      </c>
      <c r="C2927" s="2" t="s">
        <v>2265</v>
      </c>
      <c r="D2927" s="2" t="s">
        <v>2109</v>
      </c>
      <c r="E2927" s="2">
        <v>50</v>
      </c>
      <c r="F2927" s="2" t="str">
        <f>IF(Table2[[#This Row],[Manual Cat Value]]="",VLOOKUP(Table2[[#This Row],[Description]],'Actuals Lookup'!D:F,3,0),Table2[[#This Row],[Manual Cat Value]])</f>
        <v>Shopping</v>
      </c>
      <c r="J2927" s="2">
        <v>50</v>
      </c>
      <c r="K2927" s="2" t="b">
        <v>0</v>
      </c>
      <c r="L2927" s="2"/>
      <c r="M2927" s="2"/>
      <c r="N2927" s="4" t="s">
        <v>2259</v>
      </c>
      <c r="O2927" s="4" t="str">
        <f>LEFT(Table2[[#This Row],[Description]],75)</f>
        <v>Venmo</v>
      </c>
      <c r="P2927" s="2" t="s">
        <v>2281</v>
      </c>
    </row>
    <row r="2928" spans="1:16" hidden="1">
      <c r="A2928" s="2">
        <v>202007</v>
      </c>
      <c r="B2928" s="3">
        <v>44026</v>
      </c>
      <c r="C2928" s="2" t="s">
        <v>2265</v>
      </c>
      <c r="D2928" s="2" t="s">
        <v>131</v>
      </c>
      <c r="E2928" s="2">
        <v>102.94</v>
      </c>
      <c r="F2928" s="2" t="str">
        <f>IF(Table2[[#This Row],[Manual Cat Value]]="",VLOOKUP(Table2[[#This Row],[Description]],'Actuals Lookup'!D:F,3,0),Table2[[#This Row],[Manual Cat Value]])</f>
        <v>Insurance</v>
      </c>
      <c r="J2928" s="2">
        <v>102.94</v>
      </c>
      <c r="K2928" s="2" t="b">
        <v>0</v>
      </c>
      <c r="L2928" s="2"/>
      <c r="M2928" s="2"/>
      <c r="N2928" s="4" t="s">
        <v>2259</v>
      </c>
      <c r="O2928" s="4" t="str">
        <f>LEFT(Table2[[#This Row],[Description]],75)</f>
        <v>American Family Insurance</v>
      </c>
      <c r="P2928" s="2" t="s">
        <v>2286</v>
      </c>
    </row>
    <row r="2929" spans="1:16" hidden="1">
      <c r="A2929" s="2">
        <v>202007</v>
      </c>
      <c r="B2929" s="3">
        <v>44026</v>
      </c>
      <c r="C2929" s="2" t="s">
        <v>2262</v>
      </c>
      <c r="D2929" s="2" t="s">
        <v>684</v>
      </c>
      <c r="E2929" s="2">
        <v>0.46</v>
      </c>
      <c r="F2929" s="2" t="str">
        <f>IF(Table2[[#This Row],[Manual Cat Value]]="",VLOOKUP(Table2[[#This Row],[Description]],'Actuals Lookup'!D:F,3,0),Table2[[#This Row],[Manual Cat Value]])</f>
        <v>Groceries</v>
      </c>
      <c r="J2929" s="2">
        <v>0.46</v>
      </c>
      <c r="K2929" s="2" t="b">
        <v>0</v>
      </c>
      <c r="L2929" s="2"/>
      <c r="M2929" s="2"/>
      <c r="N2929" s="4" t="s">
        <v>2259</v>
      </c>
      <c r="O2929" s="4" t="str">
        <f>LEFT(Table2[[#This Row],[Description]],75)</f>
        <v>Cub Foods</v>
      </c>
      <c r="P2929" s="2" t="s">
        <v>2370</v>
      </c>
    </row>
    <row r="2930" spans="1:16" hidden="1">
      <c r="A2930" s="2">
        <v>202007</v>
      </c>
      <c r="B2930" s="3">
        <v>44026</v>
      </c>
      <c r="C2930" s="2" t="s">
        <v>2265</v>
      </c>
      <c r="D2930" s="2" t="s">
        <v>716</v>
      </c>
      <c r="E2930" s="2">
        <v>-50</v>
      </c>
      <c r="F2930" s="2" t="e">
        <f>IF(Table2[[#This Row],[Manual Cat Value]]="",VLOOKUP(Table2[[#This Row],[Description]],'Actuals Lookup'!D:F,3,0),Table2[[#This Row],[Manual Cat Value]])</f>
        <v>#N/A</v>
      </c>
      <c r="J2930" s="2">
        <v>50</v>
      </c>
      <c r="K2930" s="2" t="b">
        <v>0</v>
      </c>
      <c r="L2930" s="2"/>
      <c r="M2930" s="2"/>
      <c r="N2930" s="4" t="s">
        <v>2273</v>
      </c>
      <c r="O2930" s="4" t="str">
        <f>LEFT(Table2[[#This Row],[Description]],75)</f>
        <v>Deposit by Check Deposit Anywhere check deposit 326292919</v>
      </c>
      <c r="P2930" s="2" t="s">
        <v>2281</v>
      </c>
    </row>
    <row r="2931" spans="1:16" hidden="1">
      <c r="A2931" s="2">
        <v>202007</v>
      </c>
      <c r="B2931" s="3">
        <v>44026</v>
      </c>
      <c r="C2931" s="2" t="s">
        <v>2265</v>
      </c>
      <c r="D2931" s="2" t="s">
        <v>1041</v>
      </c>
      <c r="E2931" s="2">
        <v>-2688.28</v>
      </c>
      <c r="F2931" s="2" t="e">
        <f>IF(Table2[[#This Row],[Manual Cat Value]]="",VLOOKUP(Table2[[#This Row],[Description]],'Actuals Lookup'!D:F,3,0),Table2[[#This Row],[Manual Cat Value]])</f>
        <v>#N/A</v>
      </c>
      <c r="J2931" s="2">
        <v>2688.28</v>
      </c>
      <c r="K2931" s="2" t="b">
        <v>0</v>
      </c>
      <c r="L2931" s="2"/>
      <c r="M2931" s="2"/>
      <c r="N2931" s="4" t="s">
        <v>2273</v>
      </c>
      <c r="O2931" s="4" t="str">
        <f>LEFT(Table2[[#This Row],[Description]],75)</f>
        <v>KAUFMAN HALL TYPE DIRECT DEP ID CO KAUFMAN HALL ACH ECC PPD ACH Trace 23813</v>
      </c>
      <c r="P2931" s="2" t="s">
        <v>2285</v>
      </c>
    </row>
    <row r="2932" spans="1:16" hidden="1">
      <c r="A2932" s="2">
        <v>202007</v>
      </c>
      <c r="B2932" s="3">
        <v>44026</v>
      </c>
      <c r="C2932" s="2" t="s">
        <v>2265</v>
      </c>
      <c r="D2932" s="2" t="s">
        <v>1215</v>
      </c>
      <c r="E2932" s="2">
        <v>211.22</v>
      </c>
      <c r="F2932" s="2" t="e">
        <f>IF(Table2[[#This Row],[Manual Cat Value]]="",VLOOKUP(Table2[[#This Row],[Description]],'Actuals Lookup'!D:F,3,0),Table2[[#This Row],[Manual Cat Value]])</f>
        <v>#N/A</v>
      </c>
      <c r="J2932" s="2">
        <v>211.22</v>
      </c>
      <c r="K2932" s="2" t="b">
        <v>0</v>
      </c>
      <c r="L2932" s="2"/>
      <c r="M2932" s="2"/>
      <c r="N2932" s="4" t="s">
        <v>2259</v>
      </c>
      <c r="O2932" s="4" t="str">
        <f>LEFT(Table2[[#This Row],[Description]],75)</f>
        <v>MHCHILDCARELLC TYPE DUES ID CO MHCHILDCARELLC ACH ECC PPD ACH Trace 28065 3</v>
      </c>
      <c r="P2932" s="2" t="s">
        <v>2281</v>
      </c>
    </row>
    <row r="2933" spans="1:16" hidden="1">
      <c r="A2933" s="2">
        <v>202007</v>
      </c>
      <c r="B2933" s="3">
        <v>44026</v>
      </c>
      <c r="C2933" s="2" t="s">
        <v>2265</v>
      </c>
      <c r="D2933" s="2" t="s">
        <v>1599</v>
      </c>
      <c r="E2933" s="2">
        <v>100</v>
      </c>
      <c r="F2933" s="2" t="e">
        <f>IF(Table2[[#This Row],[Manual Cat Value]]="",VLOOKUP(Table2[[#This Row],[Description]],'Actuals Lookup'!D:F,3,0),Table2[[#This Row],[Manual Cat Value]])</f>
        <v>#N/A</v>
      </c>
      <c r="J2933" s="2">
        <v>100</v>
      </c>
      <c r="K2933" s="2" t="b">
        <v>0</v>
      </c>
      <c r="L2933" s="2"/>
      <c r="M2933" s="2"/>
      <c r="N2933" s="4" t="s">
        <v>2259</v>
      </c>
      <c r="O2933" s="4" t="str">
        <f>LEFT(Table2[[#This Row],[Description]],75)</f>
        <v>Robinhood</v>
      </c>
      <c r="P2933" s="2" t="s">
        <v>2281</v>
      </c>
    </row>
    <row r="2934" spans="1:16" hidden="1">
      <c r="A2934" s="2">
        <v>202007</v>
      </c>
      <c r="B2934" s="3">
        <v>44026</v>
      </c>
      <c r="C2934" s="2" t="s">
        <v>2262</v>
      </c>
      <c r="D2934" s="2" t="s">
        <v>1707</v>
      </c>
      <c r="E2934" s="2">
        <v>37.049999999999997</v>
      </c>
      <c r="F2934" s="2" t="str">
        <f>IF(Table2[[#This Row],[Manual Cat Value]]="",VLOOKUP(Table2[[#This Row],[Description]],'Actuals Lookup'!D:F,3,0),Table2[[#This Row],[Manual Cat Value]])</f>
        <v>Transportation</v>
      </c>
      <c r="J2934" s="2">
        <v>37.049999999999997</v>
      </c>
      <c r="K2934" s="2" t="b">
        <v>0</v>
      </c>
      <c r="L2934" s="2"/>
      <c r="M2934" s="2"/>
      <c r="N2934" s="4" t="s">
        <v>2259</v>
      </c>
      <c r="O2934" s="4" t="str">
        <f>LEFT(Table2[[#This Row],[Description]],75)</f>
        <v>Speedway</v>
      </c>
      <c r="P2934" s="2" t="s">
        <v>2381</v>
      </c>
    </row>
    <row r="2935" spans="1:16" hidden="1">
      <c r="A2935" s="2">
        <v>202007</v>
      </c>
      <c r="B2935" s="3">
        <v>44026</v>
      </c>
      <c r="C2935" s="2" t="s">
        <v>2262</v>
      </c>
      <c r="D2935" s="2" t="s">
        <v>2022</v>
      </c>
      <c r="E2935" s="2">
        <v>94.81</v>
      </c>
      <c r="F2935" s="2" t="e">
        <f>IF(Table2[[#This Row],[Manual Cat Value]]="",VLOOKUP(Table2[[#This Row],[Description]],'Actuals Lookup'!D:F,3,0),Table2[[#This Row],[Manual Cat Value]])</f>
        <v>#N/A</v>
      </c>
      <c r="J2935" s="2">
        <v>94.81</v>
      </c>
      <c r="K2935" s="2" t="b">
        <v>0</v>
      </c>
      <c r="L2935" s="2"/>
      <c r="M2935" s="2"/>
      <c r="N2935" s="4" t="s">
        <v>2259</v>
      </c>
      <c r="O2935" s="4" t="str">
        <f>LEFT(Table2[[#This Row],[Description]],75)</f>
        <v>TST LOLA S LAKEHOUSE WACONIA MN 326309885</v>
      </c>
      <c r="P2935" s="2" t="s">
        <v>2281</v>
      </c>
    </row>
    <row r="2936" spans="1:16" hidden="1">
      <c r="A2936" s="2">
        <v>202007</v>
      </c>
      <c r="B2936" s="3">
        <v>44027</v>
      </c>
      <c r="C2936" s="2" t="s">
        <v>2262</v>
      </c>
      <c r="D2936" s="2" t="s">
        <v>1456</v>
      </c>
      <c r="E2936" s="2">
        <v>-1421.93</v>
      </c>
      <c r="F2936" s="2" t="e">
        <f>IF(Table2[[#This Row],[Manual Cat Value]]="",VLOOKUP(Table2[[#This Row],[Description]],'Actuals Lookup'!D:F,3,0),Table2[[#This Row],[Manual Cat Value]])</f>
        <v>#N/A</v>
      </c>
      <c r="J2936" s="2">
        <v>1421.93</v>
      </c>
      <c r="K2936" s="2" t="b">
        <v>0</v>
      </c>
      <c r="L2936" s="2"/>
      <c r="M2936" s="2"/>
      <c r="N2936" s="4" t="s">
        <v>2273</v>
      </c>
      <c r="O2936" s="4" t="str">
        <f>LEFT(Table2[[#This Row],[Description]],75)</f>
        <v>PAYMENT THANK YOU 327023370</v>
      </c>
      <c r="P2936" s="2" t="s">
        <v>2391</v>
      </c>
    </row>
    <row r="2937" spans="1:16" hidden="1">
      <c r="A2937" s="2">
        <v>202007</v>
      </c>
      <c r="B2937" s="3">
        <v>44027</v>
      </c>
      <c r="C2937" s="2" t="s">
        <v>2265</v>
      </c>
      <c r="D2937" s="2" t="s">
        <v>2201</v>
      </c>
      <c r="E2937" s="2">
        <v>1421.93</v>
      </c>
      <c r="F2937" s="2" t="e">
        <f>IF(Table2[[#This Row],[Manual Cat Value]]="",VLOOKUP(Table2[[#This Row],[Description]],'Actuals Lookup'!D:F,3,0),Table2[[#This Row],[Manual Cat Value]])</f>
        <v>#N/A</v>
      </c>
      <c r="J2937" s="2">
        <v>1421.93</v>
      </c>
      <c r="K2937" s="2" t="b">
        <v>0</v>
      </c>
      <c r="L2937" s="2"/>
      <c r="M2937" s="2"/>
      <c r="N2937" s="4" t="s">
        <v>2259</v>
      </c>
      <c r="O2937" s="4" t="str">
        <f>LEFT(Table2[[#This Row],[Description]],75)</f>
        <v>Withdrawal Home payment to card 979181 326342535</v>
      </c>
      <c r="P2937" s="2" t="s">
        <v>2349</v>
      </c>
    </row>
    <row r="2938" spans="1:16" hidden="1">
      <c r="A2938" s="2">
        <v>202007</v>
      </c>
      <c r="B2938" s="3">
        <v>44027</v>
      </c>
      <c r="C2938" s="2" t="s">
        <v>2265</v>
      </c>
      <c r="D2938" s="2" t="s">
        <v>83</v>
      </c>
      <c r="E2938" s="2">
        <v>80</v>
      </c>
      <c r="F2938" s="2" t="e">
        <f>IF(Table2[[#This Row],[Manual Cat Value]]="",VLOOKUP(Table2[[#This Row],[Description]],'Actuals Lookup'!D:F,3,0),Table2[[#This Row],[Manual Cat Value]])</f>
        <v>#N/A</v>
      </c>
      <c r="J2938" s="2">
        <v>80</v>
      </c>
      <c r="K2938" s="2" t="b">
        <v>0</v>
      </c>
      <c r="L2938" s="2"/>
      <c r="M2938" s="2"/>
      <c r="N2938" s="4" t="s">
        <v>2259</v>
      </c>
      <c r="O2938" s="4" t="str">
        <f>LEFT(Table2[[#This Row],[Description]],75)</f>
        <v>47 Cardtronics C2 1301 MAIN ST ALAMOSA CO 326479211</v>
      </c>
      <c r="P2938" s="2" t="s">
        <v>2281</v>
      </c>
    </row>
    <row r="2939" spans="1:16" hidden="1">
      <c r="A2939" s="2">
        <v>202007</v>
      </c>
      <c r="B2939" s="3">
        <v>44027</v>
      </c>
      <c r="C2939" s="2" t="s">
        <v>2262</v>
      </c>
      <c r="D2939" s="2" t="s">
        <v>38</v>
      </c>
      <c r="E2939" s="2">
        <v>5.38</v>
      </c>
      <c r="F2939" s="2" t="str">
        <f>IF(Table2[[#This Row],[Manual Cat Value]]="",VLOOKUP(Table2[[#This Row],[Description]],'Actuals Lookup'!D:F,3,0),Table2[[#This Row],[Manual Cat Value]])</f>
        <v>Amazon</v>
      </c>
      <c r="J2939" s="2">
        <v>5.38</v>
      </c>
      <c r="K2939" s="2" t="b">
        <v>0</v>
      </c>
      <c r="L2939" s="2"/>
      <c r="M2939" s="2"/>
      <c r="N2939" s="4" t="s">
        <v>2259</v>
      </c>
      <c r="O2939" s="4" t="str">
        <f>LEFT(Table2[[#This Row],[Description]],75)</f>
        <v>Amazon</v>
      </c>
      <c r="P2939" s="2" t="s">
        <v>2260</v>
      </c>
    </row>
    <row r="2940" spans="1:16" hidden="1">
      <c r="A2940" s="2">
        <v>202007</v>
      </c>
      <c r="B2940" s="3">
        <v>44027</v>
      </c>
      <c r="C2940" s="2" t="s">
        <v>2265</v>
      </c>
      <c r="D2940" s="2" t="s">
        <v>637</v>
      </c>
      <c r="E2940" s="2">
        <v>-7.45</v>
      </c>
      <c r="F2940" s="2" t="e">
        <f>IF(Table2[[#This Row],[Manual Cat Value]]="",VLOOKUP(Table2[[#This Row],[Description]],'Actuals Lookup'!D:F,3,0),Table2[[#This Row],[Manual Cat Value]])</f>
        <v>#N/A</v>
      </c>
      <c r="J2940" s="2">
        <v>7.45</v>
      </c>
      <c r="K2940" s="2" t="b">
        <v>0</v>
      </c>
      <c r="L2940" s="2"/>
      <c r="M2940" s="2"/>
      <c r="N2940" s="4" t="s">
        <v>2273</v>
      </c>
      <c r="O2940" s="4" t="str">
        <f>LEFT(Table2[[#This Row],[Description]],75)</f>
        <v>Connectyourcare Type Svbclaims</v>
      </c>
      <c r="P2940" s="2" t="s">
        <v>2281</v>
      </c>
    </row>
    <row r="2941" spans="1:16" hidden="1">
      <c r="A2941" s="2">
        <v>202007</v>
      </c>
      <c r="B2941" s="3">
        <v>44027</v>
      </c>
      <c r="C2941" s="2" t="s">
        <v>2262</v>
      </c>
      <c r="D2941" s="2" t="s">
        <v>919</v>
      </c>
      <c r="E2941" s="2">
        <v>18</v>
      </c>
      <c r="F2941" s="2" t="e">
        <f>IF(Table2[[#This Row],[Manual Cat Value]]="",VLOOKUP(Table2[[#This Row],[Description]],'Actuals Lookup'!D:F,3,0),Table2[[#This Row],[Manual Cat Value]])</f>
        <v>#N/A</v>
      </c>
      <c r="J2941" s="2">
        <v>18</v>
      </c>
      <c r="K2941" s="2" t="b">
        <v>0</v>
      </c>
      <c r="L2941" s="2"/>
      <c r="M2941" s="2"/>
      <c r="N2941" s="4" t="s">
        <v>2259</v>
      </c>
      <c r="O2941" s="4" t="str">
        <f>LEFT(Table2[[#This Row],[Description]],75)</f>
        <v>Harvard Business</v>
      </c>
      <c r="P2941" s="2" t="s">
        <v>2412</v>
      </c>
    </row>
    <row r="2942" spans="1:16" hidden="1">
      <c r="A2942" s="2">
        <v>202007</v>
      </c>
      <c r="B2942" s="3">
        <v>44027</v>
      </c>
      <c r="C2942" s="2" t="s">
        <v>2317</v>
      </c>
      <c r="D2942" s="2" t="s">
        <v>1037</v>
      </c>
      <c r="E2942" s="2">
        <v>-250</v>
      </c>
      <c r="F2942" s="2" t="e">
        <f>IF(Table2[[#This Row],[Manual Cat Value]]="",VLOOKUP(Table2[[#This Row],[Description]],'Actuals Lookup'!D:F,3,0),Table2[[#This Row],[Manual Cat Value]])</f>
        <v>#N/A</v>
      </c>
      <c r="J2942" s="2">
        <v>250</v>
      </c>
      <c r="K2942" s="2" t="b">
        <v>0</v>
      </c>
      <c r="L2942" s="2"/>
      <c r="M2942" s="2"/>
      <c r="N2942" s="4" t="s">
        <v>2273</v>
      </c>
      <c r="O2942" s="4" t="str">
        <f>LEFT(Table2[[#This Row],[Description]],75)</f>
        <v>KAUFMAN HALL</v>
      </c>
      <c r="P2942" s="2" t="s">
        <v>2375</v>
      </c>
    </row>
    <row r="2943" spans="1:16" hidden="1">
      <c r="A2943" s="2">
        <v>202007</v>
      </c>
      <c r="B2943" s="3">
        <v>44027</v>
      </c>
      <c r="C2943" s="2" t="s">
        <v>2435</v>
      </c>
      <c r="D2943" s="2" t="s">
        <v>1837</v>
      </c>
      <c r="E2943" s="2">
        <v>-250</v>
      </c>
      <c r="F2943" s="2" t="e">
        <f>IF(Table2[[#This Row],[Manual Cat Value]]="",VLOOKUP(Table2[[#This Row],[Description]],'Actuals Lookup'!D:F,3,0),Table2[[#This Row],[Manual Cat Value]])</f>
        <v>#N/A</v>
      </c>
      <c r="J2943" s="2">
        <v>250</v>
      </c>
      <c r="K2943" s="2" t="b">
        <v>0</v>
      </c>
      <c r="L2943" s="2"/>
      <c r="M2943" s="2"/>
      <c r="N2943" s="4" t="s">
        <v>2273</v>
      </c>
      <c r="O2943" s="4" t="str">
        <f>LEFT(Table2[[#This Row],[Description]],75)</f>
        <v>Tfr JPMORGAN CHASE BAN, KAUFMAN HALL</v>
      </c>
      <c r="P2943" s="2" t="s">
        <v>2288</v>
      </c>
    </row>
    <row r="2944" spans="1:16" hidden="1">
      <c r="A2944" s="2">
        <v>202007</v>
      </c>
      <c r="B2944" s="3">
        <v>44028</v>
      </c>
      <c r="C2944" s="2" t="s">
        <v>2434</v>
      </c>
      <c r="D2944" s="2" t="s">
        <v>229</v>
      </c>
      <c r="E2944" s="2">
        <v>-0.06</v>
      </c>
      <c r="F2944" s="2" t="e">
        <f>IF(Table2[[#This Row],[Manual Cat Value]]="",VLOOKUP(Table2[[#This Row],[Description]],'Actuals Lookup'!D:F,3,0),Table2[[#This Row],[Manual Cat Value]])</f>
        <v>#N/A</v>
      </c>
      <c r="J2944" s="2">
        <v>0.06</v>
      </c>
      <c r="K2944" s="2" t="b">
        <v>0</v>
      </c>
      <c r="L2944" s="2"/>
      <c r="M2944" s="2"/>
      <c r="N2944" s="4" t="s">
        <v>2273</v>
      </c>
      <c r="O2944" s="4" t="str">
        <f>LEFT(Table2[[#This Row],[Description]],75)</f>
        <v>BANK INT 061620-071520 SCHWAB PREMIER BANK</v>
      </c>
      <c r="P2944" s="2"/>
    </row>
    <row r="2945" spans="1:16" hidden="1">
      <c r="A2945" s="2">
        <v>202007</v>
      </c>
      <c r="B2945" s="3">
        <v>44028</v>
      </c>
      <c r="C2945" s="2" t="s">
        <v>2435</v>
      </c>
      <c r="D2945" s="2" t="s">
        <v>229</v>
      </c>
      <c r="E2945" s="2">
        <v>-0.04</v>
      </c>
      <c r="F2945" s="2" t="e">
        <f>IF(Table2[[#This Row],[Manual Cat Value]]="",VLOOKUP(Table2[[#This Row],[Description]],'Actuals Lookup'!D:F,3,0),Table2[[#This Row],[Manual Cat Value]])</f>
        <v>#N/A</v>
      </c>
      <c r="J2945" s="2">
        <v>0.04</v>
      </c>
      <c r="K2945" s="2" t="b">
        <v>0</v>
      </c>
      <c r="L2945" s="2"/>
      <c r="M2945" s="2"/>
      <c r="N2945" s="4" t="s">
        <v>2273</v>
      </c>
      <c r="O2945" s="4" t="str">
        <f>LEFT(Table2[[#This Row],[Description]],75)</f>
        <v>BANK INT 061620-071520 SCHWAB PREMIER BANK</v>
      </c>
      <c r="P2945" s="2"/>
    </row>
    <row r="2946" spans="1:16" hidden="1">
      <c r="A2946" s="2">
        <v>202007</v>
      </c>
      <c r="B2946" s="3">
        <v>44028</v>
      </c>
      <c r="C2946" s="2" t="s">
        <v>2338</v>
      </c>
      <c r="D2946" s="2" t="s">
        <v>403</v>
      </c>
      <c r="E2946" s="2">
        <v>-1426.31</v>
      </c>
      <c r="F2946" s="2" t="e">
        <f>IF(Table2[[#This Row],[Manual Cat Value]]="",VLOOKUP(Table2[[#This Row],[Description]],'Actuals Lookup'!D:F,3,0),Table2[[#This Row],[Manual Cat Value]])</f>
        <v>#N/A</v>
      </c>
      <c r="J2946" s="2">
        <v>1426.31</v>
      </c>
      <c r="K2946" s="2" t="b">
        <v>0</v>
      </c>
      <c r="L2946" s="2"/>
      <c r="M2946" s="2"/>
      <c r="N2946" s="4" t="s">
        <v>2273</v>
      </c>
      <c r="O2946" s="4" t="str">
        <f>LEFT(Table2[[#This Row],[Description]],75)</f>
        <v>Cargill ESOP Stock Fund - Plan Contribution</v>
      </c>
      <c r="P2946" s="2" t="s">
        <v>2451</v>
      </c>
    </row>
    <row r="2947" spans="1:16" hidden="1">
      <c r="A2947" s="2">
        <v>202007</v>
      </c>
      <c r="B2947" s="3">
        <v>44028</v>
      </c>
      <c r="C2947" s="2" t="s">
        <v>2262</v>
      </c>
      <c r="D2947" s="2" t="s">
        <v>684</v>
      </c>
      <c r="E2947" s="2">
        <v>39.46</v>
      </c>
      <c r="F2947" s="2" t="str">
        <f>IF(Table2[[#This Row],[Manual Cat Value]]="",VLOOKUP(Table2[[#This Row],[Description]],'Actuals Lookup'!D:F,3,0),Table2[[#This Row],[Manual Cat Value]])</f>
        <v>Groceries</v>
      </c>
      <c r="J2947" s="2">
        <v>39.46</v>
      </c>
      <c r="K2947" s="2" t="b">
        <v>0</v>
      </c>
      <c r="L2947" s="2"/>
      <c r="M2947" s="2"/>
      <c r="N2947" s="4" t="s">
        <v>2259</v>
      </c>
      <c r="O2947" s="4" t="str">
        <f>LEFT(Table2[[#This Row],[Description]],75)</f>
        <v>Cub Foods</v>
      </c>
      <c r="P2947" s="2" t="s">
        <v>2370</v>
      </c>
    </row>
    <row r="2948" spans="1:16" hidden="1">
      <c r="A2948" s="2">
        <v>202007</v>
      </c>
      <c r="B2948" s="3">
        <v>44028</v>
      </c>
      <c r="C2948" s="2" t="s">
        <v>2262</v>
      </c>
      <c r="D2948" s="2" t="s">
        <v>808</v>
      </c>
      <c r="E2948" s="2">
        <v>27</v>
      </c>
      <c r="F2948" s="2" t="str">
        <f>IF(Table2[[#This Row],[Manual Cat Value]]="",VLOOKUP(Table2[[#This Row],[Description]],'Actuals Lookup'!D:F,3,0),Table2[[#This Row],[Manual Cat Value]])</f>
        <v>Misc</v>
      </c>
      <c r="J2948" s="2">
        <v>27</v>
      </c>
      <c r="K2948" s="2" t="b">
        <v>0</v>
      </c>
      <c r="L2948" s="2"/>
      <c r="M2948" s="2"/>
      <c r="N2948" s="4" t="s">
        <v>2259</v>
      </c>
      <c r="O2948" s="4" t="str">
        <f>LEFT(Table2[[#This Row],[Description]],75)</f>
        <v>Elite Nails</v>
      </c>
      <c r="P2948" s="2" t="s">
        <v>2487</v>
      </c>
    </row>
    <row r="2949" spans="1:16" hidden="1">
      <c r="A2949" s="2">
        <v>202007</v>
      </c>
      <c r="B2949" s="3">
        <v>44028</v>
      </c>
      <c r="C2949" s="2" t="s">
        <v>2262</v>
      </c>
      <c r="D2949" s="2" t="s">
        <v>1128</v>
      </c>
      <c r="E2949" s="2">
        <v>20.89</v>
      </c>
      <c r="F2949" s="2" t="e">
        <f>IF(Table2[[#This Row],[Manual Cat Value]]="",VLOOKUP(Table2[[#This Row],[Description]],'Actuals Lookup'!D:F,3,0),Table2[[#This Row],[Manual Cat Value]])</f>
        <v>#N/A</v>
      </c>
      <c r="J2949" s="2">
        <v>20.89</v>
      </c>
      <c r="K2949" s="2" t="b">
        <v>0</v>
      </c>
      <c r="L2949" s="2"/>
      <c r="M2949" s="2"/>
      <c r="N2949" s="4" t="s">
        <v>2259</v>
      </c>
      <c r="O2949" s="4" t="str">
        <f>LEFT(Table2[[#This Row],[Description]],75)</f>
        <v>LIQUID AMBITIONS LIQUOR CREEDE CO 327023375</v>
      </c>
      <c r="P2949" s="2" t="s">
        <v>2281</v>
      </c>
    </row>
    <row r="2950" spans="1:16" hidden="1">
      <c r="A2950" s="2">
        <v>202007</v>
      </c>
      <c r="B2950" s="3">
        <v>44028</v>
      </c>
      <c r="C2950" s="2" t="s">
        <v>2262</v>
      </c>
      <c r="D2950" s="2" t="s">
        <v>1785</v>
      </c>
      <c r="E2950" s="2">
        <v>4.29</v>
      </c>
      <c r="F2950" s="2" t="e">
        <f>IF(Table2[[#This Row],[Manual Cat Value]]="",VLOOKUP(Table2[[#This Row],[Description]],'Actuals Lookup'!D:F,3,0),Table2[[#This Row],[Manual Cat Value]])</f>
        <v>#N/A</v>
      </c>
      <c r="J2950" s="2">
        <v>4.29</v>
      </c>
      <c r="K2950" s="2" t="b">
        <v>0</v>
      </c>
      <c r="L2950" s="2"/>
      <c r="M2950" s="2"/>
      <c r="N2950" s="4" t="s">
        <v>2259</v>
      </c>
      <c r="O2950" s="4" t="str">
        <f>LEFT(Table2[[#This Row],[Description]],75)</f>
        <v>STPAULMAGST2607 SAINT PAUL MN 327023374</v>
      </c>
      <c r="P2950" s="2" t="s">
        <v>2281</v>
      </c>
    </row>
    <row r="2951" spans="1:16" hidden="1">
      <c r="A2951" s="2">
        <v>202007</v>
      </c>
      <c r="B2951" s="3">
        <v>44028</v>
      </c>
      <c r="C2951" s="2" t="s">
        <v>2262</v>
      </c>
      <c r="D2951" s="2" t="s">
        <v>2101</v>
      </c>
      <c r="E2951" s="2">
        <v>14.33</v>
      </c>
      <c r="F2951" s="2" t="str">
        <f>IF(Table2[[#This Row],[Manual Cat Value]]="",VLOOKUP(Table2[[#This Row],[Description]],'Actuals Lookup'!D:F,3,0),Table2[[#This Row],[Manual Cat Value]])</f>
        <v>Misc</v>
      </c>
      <c r="J2951" s="2">
        <v>14.33</v>
      </c>
      <c r="K2951" s="2" t="b">
        <v>0</v>
      </c>
      <c r="L2951" s="2"/>
      <c r="M2951" s="2"/>
      <c r="N2951" s="4" t="s">
        <v>2259</v>
      </c>
      <c r="O2951" s="4" t="str">
        <f>LEFT(Table2[[#This Row],[Description]],75)</f>
        <v>USPS</v>
      </c>
      <c r="P2951" s="2" t="s">
        <v>2281</v>
      </c>
    </row>
    <row r="2952" spans="1:16" hidden="1">
      <c r="A2952" s="2">
        <v>202007</v>
      </c>
      <c r="B2952" s="3">
        <v>44029</v>
      </c>
      <c r="C2952" s="2" t="s">
        <v>2262</v>
      </c>
      <c r="D2952" s="2" t="s">
        <v>453</v>
      </c>
      <c r="E2952" s="2">
        <v>4.96</v>
      </c>
      <c r="F2952" s="2" t="str">
        <f>IF(Table2[[#This Row],[Manual Cat Value]]="",VLOOKUP(Table2[[#This Row],[Description]],'Actuals Lookup'!D:F,3,0),Table2[[#This Row],[Manual Cat Value]])</f>
        <v>Restaurants</v>
      </c>
      <c r="J2952" s="2">
        <v>4.96</v>
      </c>
      <c r="K2952" s="2" t="b">
        <v>0</v>
      </c>
      <c r="L2952" s="2"/>
      <c r="M2952" s="2"/>
      <c r="N2952" s="4" t="s">
        <v>2259</v>
      </c>
      <c r="O2952" s="4" t="str">
        <f>LEFT(Table2[[#This Row],[Description]],75)</f>
        <v>Caribou Coffee</v>
      </c>
      <c r="P2952" s="2" t="s">
        <v>2329</v>
      </c>
    </row>
    <row r="2953" spans="1:16" hidden="1">
      <c r="A2953" s="2">
        <v>202007</v>
      </c>
      <c r="B2953" s="3">
        <v>44029</v>
      </c>
      <c r="C2953" s="2" t="s">
        <v>2262</v>
      </c>
      <c r="D2953" s="2" t="s">
        <v>679</v>
      </c>
      <c r="E2953" s="2">
        <v>75.930000000000007</v>
      </c>
      <c r="F2953" s="2" t="e">
        <f>IF(Table2[[#This Row],[Manual Cat Value]]="",VLOOKUP(Table2[[#This Row],[Description]],'Actuals Lookup'!D:F,3,0),Table2[[#This Row],[Manual Cat Value]])</f>
        <v>#N/A</v>
      </c>
      <c r="J2953" s="2">
        <v>75.930000000000007</v>
      </c>
      <c r="K2953" s="2" t="b">
        <v>0</v>
      </c>
      <c r="L2953" s="2"/>
      <c r="M2953" s="2"/>
      <c r="N2953" s="4" t="s">
        <v>2259</v>
      </c>
      <c r="O2953" s="4" t="str">
        <f>LEFT(Table2[[#This Row],[Description]],75)</f>
        <v>CREEDE SNOWSHOE LODGE CREEDE CO 327216195</v>
      </c>
      <c r="P2953" s="2" t="s">
        <v>2281</v>
      </c>
    </row>
    <row r="2954" spans="1:16" hidden="1">
      <c r="A2954" s="2">
        <v>202007</v>
      </c>
      <c r="B2954" s="3">
        <v>44029</v>
      </c>
      <c r="C2954" s="2" t="s">
        <v>2262</v>
      </c>
      <c r="D2954" s="2" t="s">
        <v>705</v>
      </c>
      <c r="E2954" s="2">
        <v>12.31</v>
      </c>
      <c r="F2954" s="2" t="e">
        <f>IF(Table2[[#This Row],[Manual Cat Value]]="",VLOOKUP(Table2[[#This Row],[Description]],'Actuals Lookup'!D:F,3,0),Table2[[#This Row],[Manual Cat Value]])</f>
        <v>#N/A</v>
      </c>
      <c r="J2954" s="2">
        <v>12.31</v>
      </c>
      <c r="K2954" s="2" t="b">
        <v>0</v>
      </c>
      <c r="L2954" s="2"/>
      <c r="M2954" s="2"/>
      <c r="N2954" s="4" t="s">
        <v>2259</v>
      </c>
      <c r="O2954" s="4" t="str">
        <f>LEFT(Table2[[#This Row],[Description]],75)</f>
        <v>DEN SNARFS SANDWICHES DENVER CO 327216198</v>
      </c>
      <c r="P2954" s="2" t="s">
        <v>2281</v>
      </c>
    </row>
    <row r="2955" spans="1:16" hidden="1">
      <c r="A2955" s="2">
        <v>202007</v>
      </c>
      <c r="B2955" s="3">
        <v>44029</v>
      </c>
      <c r="C2955" s="2" t="s">
        <v>2262</v>
      </c>
      <c r="D2955" s="2" t="s">
        <v>833</v>
      </c>
      <c r="E2955" s="2">
        <v>11.13</v>
      </c>
      <c r="F2955" s="2" t="e">
        <f>IF(Table2[[#This Row],[Manual Cat Value]]="",VLOOKUP(Table2[[#This Row],[Description]],'Actuals Lookup'!D:F,3,0),Table2[[#This Row],[Manual Cat Value]])</f>
        <v>#N/A</v>
      </c>
      <c r="J2955" s="2">
        <v>11.13</v>
      </c>
      <c r="K2955" s="2" t="b">
        <v>0</v>
      </c>
      <c r="L2955" s="2"/>
      <c r="M2955" s="2"/>
      <c r="N2955" s="4" t="s">
        <v>2259</v>
      </c>
      <c r="O2955" s="4" t="str">
        <f>LEFT(Table2[[#This Row],[Description]],75)</f>
        <v>EXPRESS MARKET CON C DENVER CO 327216199</v>
      </c>
      <c r="P2955" s="2" t="s">
        <v>2281</v>
      </c>
    </row>
    <row r="2956" spans="1:16" hidden="1">
      <c r="A2956" s="2">
        <v>202007</v>
      </c>
      <c r="B2956" s="3">
        <v>44029</v>
      </c>
      <c r="C2956" s="2" t="s">
        <v>2262</v>
      </c>
      <c r="D2956" s="2" t="s">
        <v>1614</v>
      </c>
      <c r="E2956" s="2">
        <v>38.409999999999997</v>
      </c>
      <c r="F2956" s="2" t="e">
        <f>IF(Table2[[#This Row],[Manual Cat Value]]="",VLOOKUP(Table2[[#This Row],[Description]],'Actuals Lookup'!D:F,3,0),Table2[[#This Row],[Manual Cat Value]])</f>
        <v>#N/A</v>
      </c>
      <c r="J2956" s="2">
        <v>38.409999999999997</v>
      </c>
      <c r="K2956" s="2" t="b">
        <v>0</v>
      </c>
      <c r="L2956" s="2"/>
      <c r="M2956" s="2"/>
      <c r="N2956" s="4" t="s">
        <v>2259</v>
      </c>
      <c r="O2956" s="4" t="str">
        <f>LEFT(Table2[[#This Row],[Description]],75)</f>
        <v>Safeway</v>
      </c>
      <c r="P2956" s="2" t="s">
        <v>2281</v>
      </c>
    </row>
    <row r="2957" spans="1:16" hidden="1">
      <c r="A2957" s="2">
        <v>202007</v>
      </c>
      <c r="B2957" s="3">
        <v>44031</v>
      </c>
      <c r="C2957" s="2" t="s">
        <v>2262</v>
      </c>
      <c r="D2957" s="2" t="s">
        <v>338</v>
      </c>
      <c r="E2957" s="2">
        <v>40.65</v>
      </c>
      <c r="F2957" s="2" t="e">
        <f>IF(Table2[[#This Row],[Manual Cat Value]]="",VLOOKUP(Table2[[#This Row],[Description]],'Actuals Lookup'!D:F,3,0),Table2[[#This Row],[Manual Cat Value]])</f>
        <v>#N/A</v>
      </c>
      <c r="J2957" s="2">
        <v>40.65</v>
      </c>
      <c r="K2957" s="2" t="b">
        <v>0</v>
      </c>
      <c r="L2957" s="2"/>
      <c r="M2957" s="2"/>
      <c r="N2957" s="4" t="s">
        <v>2259</v>
      </c>
      <c r="O2957" s="4" t="str">
        <f>LEFT(Table2[[#This Row],[Description]],75)</f>
        <v>Byerly's</v>
      </c>
      <c r="P2957" s="2" t="s">
        <v>2364</v>
      </c>
    </row>
    <row r="2958" spans="1:16" hidden="1">
      <c r="A2958" s="2">
        <v>202007</v>
      </c>
      <c r="B2958" s="3">
        <v>44031</v>
      </c>
      <c r="C2958" s="2" t="s">
        <v>2262</v>
      </c>
      <c r="D2958" s="2" t="s">
        <v>1503</v>
      </c>
      <c r="E2958" s="2">
        <v>24.3</v>
      </c>
      <c r="F2958" s="2" t="e">
        <f>IF(Table2[[#This Row],[Manual Cat Value]]="",VLOOKUP(Table2[[#This Row],[Description]],'Actuals Lookup'!D:F,3,0),Table2[[#This Row],[Manual Cat Value]])</f>
        <v>#N/A</v>
      </c>
      <c r="J2958" s="2">
        <v>24.3</v>
      </c>
      <c r="K2958" s="2" t="b">
        <v>0</v>
      </c>
      <c r="L2958" s="2"/>
      <c r="M2958" s="2"/>
      <c r="N2958" s="4" t="s">
        <v>2259</v>
      </c>
      <c r="O2958" s="4" t="str">
        <f>LEFT(Table2[[#This Row],[Description]],75)</f>
        <v>POLORL EAGAN 238 EAGAN MN 327446106</v>
      </c>
      <c r="P2958" s="2" t="s">
        <v>2281</v>
      </c>
    </row>
    <row r="2959" spans="1:16" hidden="1">
      <c r="A2959" s="2">
        <v>202007</v>
      </c>
      <c r="B2959" s="3">
        <v>44032</v>
      </c>
      <c r="C2959" s="2" t="s">
        <v>2262</v>
      </c>
      <c r="D2959" s="2" t="s">
        <v>38</v>
      </c>
      <c r="E2959" s="2">
        <v>9.81</v>
      </c>
      <c r="F2959" s="2" t="str">
        <f>IF(Table2[[#This Row],[Manual Cat Value]]="",VLOOKUP(Table2[[#This Row],[Description]],'Actuals Lookup'!D:F,3,0),Table2[[#This Row],[Manual Cat Value]])</f>
        <v>Amazon</v>
      </c>
      <c r="J2959" s="2">
        <v>9.81</v>
      </c>
      <c r="K2959" s="2" t="b">
        <v>0</v>
      </c>
      <c r="L2959" s="2"/>
      <c r="M2959" s="2"/>
      <c r="N2959" s="4" t="s">
        <v>2259</v>
      </c>
      <c r="O2959" s="4" t="str">
        <f>LEFT(Table2[[#This Row],[Description]],75)</f>
        <v>Amazon</v>
      </c>
      <c r="P2959" s="2" t="s">
        <v>2260</v>
      </c>
    </row>
    <row r="2960" spans="1:16" hidden="1">
      <c r="A2960" s="2">
        <v>202007</v>
      </c>
      <c r="B2960" s="3">
        <v>44032</v>
      </c>
      <c r="C2960" s="2" t="s">
        <v>2262</v>
      </c>
      <c r="D2960" s="2" t="s">
        <v>455</v>
      </c>
      <c r="E2960" s="2">
        <v>37.15</v>
      </c>
      <c r="F2960" s="2" t="e">
        <f>IF(Table2[[#This Row],[Manual Cat Value]]="",VLOOKUP(Table2[[#This Row],[Description]],'Actuals Lookup'!D:F,3,0),Table2[[#This Row],[Manual Cat Value]])</f>
        <v>#N/A</v>
      </c>
      <c r="J2960" s="2">
        <v>37.15</v>
      </c>
      <c r="K2960" s="2" t="b">
        <v>0</v>
      </c>
      <c r="L2960" s="2"/>
      <c r="M2960" s="2"/>
      <c r="N2960" s="4" t="s">
        <v>2259</v>
      </c>
      <c r="O2960" s="4" t="str">
        <f>LEFT(Table2[[#This Row],[Description]],75)</f>
        <v>Carter's</v>
      </c>
      <c r="P2960" s="2" t="s">
        <v>2281</v>
      </c>
    </row>
    <row r="2961" spans="1:16" hidden="1">
      <c r="A2961" s="2">
        <v>202007</v>
      </c>
      <c r="B2961" s="3">
        <v>44032</v>
      </c>
      <c r="C2961" s="2" t="s">
        <v>2265</v>
      </c>
      <c r="D2961" s="2" t="s">
        <v>1289</v>
      </c>
      <c r="E2961" s="2">
        <v>200</v>
      </c>
      <c r="F2961" s="2" t="e">
        <f>IF(Table2[[#This Row],[Manual Cat Value]]="",VLOOKUP(Table2[[#This Row],[Description]],'Actuals Lookup'!D:F,3,0),Table2[[#This Row],[Manual Cat Value]])</f>
        <v>#N/A</v>
      </c>
      <c r="J2961" s="2">
        <v>200</v>
      </c>
      <c r="K2961" s="2" t="b">
        <v>0</v>
      </c>
      <c r="L2961" s="2"/>
      <c r="M2961" s="2"/>
      <c r="N2961" s="4" t="s">
        <v>2259</v>
      </c>
      <c r="O2961" s="4" t="str">
        <f>LEFT(Table2[[#This Row],[Description]],75)</f>
        <v>MN DIR ACH TYPE CONTRIB ID CO MN DIR ACH ACH ECC WEB ACH Trace 04651 327536</v>
      </c>
      <c r="P2961" s="2" t="s">
        <v>2469</v>
      </c>
    </row>
    <row r="2962" spans="1:16" hidden="1">
      <c r="A2962" s="2">
        <v>202007</v>
      </c>
      <c r="B2962" s="3">
        <v>44032</v>
      </c>
      <c r="C2962" s="2" t="s">
        <v>2262</v>
      </c>
      <c r="D2962" s="2" t="s">
        <v>1793</v>
      </c>
      <c r="E2962" s="2">
        <v>24.92</v>
      </c>
      <c r="F2962" s="2" t="e">
        <f>IF(Table2[[#This Row],[Manual Cat Value]]="",VLOOKUP(Table2[[#This Row],[Description]],'Actuals Lookup'!D:F,3,0),Table2[[#This Row],[Manual Cat Value]])</f>
        <v>#N/A</v>
      </c>
      <c r="J2962" s="2">
        <v>24.92</v>
      </c>
      <c r="K2962" s="2" t="b">
        <v>0</v>
      </c>
      <c r="L2962" s="2"/>
      <c r="M2962" s="2"/>
      <c r="N2962" s="4" t="s">
        <v>2259</v>
      </c>
      <c r="O2962" s="4" t="str">
        <f>LEFT(Table2[[#This Row],[Description]],75)</f>
        <v>Sur La Table</v>
      </c>
      <c r="P2962" s="2" t="s">
        <v>2417</v>
      </c>
    </row>
    <row r="2963" spans="1:16" hidden="1">
      <c r="A2963" s="2">
        <v>202007</v>
      </c>
      <c r="B2963" s="3">
        <v>44033</v>
      </c>
      <c r="C2963" s="2" t="s">
        <v>2265</v>
      </c>
      <c r="D2963" s="2" t="s">
        <v>557</v>
      </c>
      <c r="E2963" s="2">
        <v>73.19</v>
      </c>
      <c r="F2963" s="2" t="e">
        <f>IF(Table2[[#This Row],[Manual Cat Value]]="",VLOOKUP(Table2[[#This Row],[Description]],'Actuals Lookup'!D:F,3,0),Table2[[#This Row],[Manual Cat Value]])</f>
        <v>#N/A</v>
      </c>
      <c r="J2963" s="2">
        <v>73.19</v>
      </c>
      <c r="K2963" s="2" t="b">
        <v>0</v>
      </c>
      <c r="L2963" s="2"/>
      <c r="M2963" s="2"/>
      <c r="N2963" s="4" t="s">
        <v>2259</v>
      </c>
      <c r="O2963" s="4" t="str">
        <f>LEFT(Table2[[#This Row],[Description]],75)</f>
        <v>City of Chanhassen</v>
      </c>
      <c r="P2963" s="2" t="s">
        <v>2298</v>
      </c>
    </row>
    <row r="2964" spans="1:16" hidden="1">
      <c r="A2964" s="2">
        <v>202007</v>
      </c>
      <c r="B2964" s="3">
        <v>44033</v>
      </c>
      <c r="C2964" s="2" t="s">
        <v>2262</v>
      </c>
      <c r="D2964" s="2" t="s">
        <v>1143</v>
      </c>
      <c r="E2964" s="2">
        <v>59.08</v>
      </c>
      <c r="F2964" s="2" t="e">
        <f>IF(Table2[[#This Row],[Manual Cat Value]]="",VLOOKUP(Table2[[#This Row],[Description]],'Actuals Lookup'!D:F,3,0),Table2[[#This Row],[Manual Cat Value]])</f>
        <v>#N/A</v>
      </c>
      <c r="J2964" s="2">
        <v>59.08</v>
      </c>
      <c r="K2964" s="2" t="b">
        <v>0</v>
      </c>
      <c r="L2964" s="2"/>
      <c r="M2964" s="2"/>
      <c r="N2964" s="4" t="s">
        <v>2259</v>
      </c>
      <c r="O2964" s="4" t="str">
        <f>LEFT(Table2[[#This Row],[Description]],75)</f>
        <v>LS SAN JUAN SPORTS CREEDE CO 327985893</v>
      </c>
      <c r="P2964" s="2" t="s">
        <v>2281</v>
      </c>
    </row>
    <row r="2965" spans="1:16" hidden="1">
      <c r="A2965" s="2">
        <v>202007</v>
      </c>
      <c r="B2965" s="3">
        <v>44033</v>
      </c>
      <c r="C2965" s="2" t="s">
        <v>2262</v>
      </c>
      <c r="D2965" s="2" t="s">
        <v>1917</v>
      </c>
      <c r="E2965" s="2">
        <v>121</v>
      </c>
      <c r="F2965" s="2" t="e">
        <f>IF(Table2[[#This Row],[Manual Cat Value]]="",VLOOKUP(Table2[[#This Row],[Description]],'Actuals Lookup'!D:F,3,0),Table2[[#This Row],[Manual Cat Value]])</f>
        <v>#N/A</v>
      </c>
      <c r="J2965" s="2">
        <v>121</v>
      </c>
      <c r="K2965" s="2" t="b">
        <v>0</v>
      </c>
      <c r="L2965" s="2"/>
      <c r="M2965" s="2"/>
      <c r="N2965" s="4" t="s">
        <v>2259</v>
      </c>
      <c r="O2965" s="4" t="str">
        <f>LEFT(Table2[[#This Row],[Description]],75)</f>
        <v>TOMMYKNOCKER TAVERN CREEDE CO 327985894</v>
      </c>
      <c r="P2965" s="2" t="s">
        <v>2281</v>
      </c>
    </row>
    <row r="2966" spans="1:16" hidden="1">
      <c r="A2966" s="2">
        <v>202007</v>
      </c>
      <c r="B2966" s="3">
        <v>44034</v>
      </c>
      <c r="C2966" s="2" t="s">
        <v>2265</v>
      </c>
      <c r="D2966" s="2" t="s">
        <v>388</v>
      </c>
      <c r="E2966" s="2">
        <v>-1993.07</v>
      </c>
      <c r="F2966" s="2" t="e">
        <f>IF(Table2[[#This Row],[Manual Cat Value]]="",VLOOKUP(Table2[[#This Row],[Description]],'Actuals Lookup'!D:F,3,0),Table2[[#This Row],[Manual Cat Value]])</f>
        <v>#N/A</v>
      </c>
      <c r="J2966" s="2">
        <v>1993.07</v>
      </c>
      <c r="K2966" s="2" t="b">
        <v>0</v>
      </c>
      <c r="L2966" s="2"/>
      <c r="M2966" s="2"/>
      <c r="N2966" s="4" t="s">
        <v>2273</v>
      </c>
      <c r="O2966" s="4" t="str">
        <f>LEFT(Table2[[#This Row],[Description]],75)</f>
        <v xml:space="preserve">CARGILL COCOA TYPE DIR DEP ID CO CARGILL COCOA ACH ECC PPD ACH Trace 64192 </v>
      </c>
      <c r="P2966" s="2" t="s">
        <v>2284</v>
      </c>
    </row>
    <row r="2967" spans="1:16" hidden="1">
      <c r="A2967" s="2">
        <v>202007</v>
      </c>
      <c r="B2967" s="3">
        <v>44034</v>
      </c>
      <c r="C2967" s="2" t="s">
        <v>2265</v>
      </c>
      <c r="D2967" s="2" t="s">
        <v>1211</v>
      </c>
      <c r="E2967" s="2">
        <v>391.2</v>
      </c>
      <c r="F2967" s="2" t="e">
        <f>IF(Table2[[#This Row],[Manual Cat Value]]="",VLOOKUP(Table2[[#This Row],[Description]],'Actuals Lookup'!D:F,3,0),Table2[[#This Row],[Manual Cat Value]])</f>
        <v>#N/A</v>
      </c>
      <c r="J2967" s="2">
        <v>391.2</v>
      </c>
      <c r="K2967" s="2" t="b">
        <v>0</v>
      </c>
      <c r="L2967" s="2"/>
      <c r="M2967" s="2"/>
      <c r="N2967" s="4" t="s">
        <v>2259</v>
      </c>
      <c r="O2967" s="4" t="str">
        <f>LEFT(Table2[[#This Row],[Description]],75)</f>
        <v>MHCHILDCARELLC TYPE DUES ID CO MHCHILDCARELLC ACH ECC PPD ACH Trace 18699 3</v>
      </c>
      <c r="P2967" s="2" t="s">
        <v>2281</v>
      </c>
    </row>
    <row r="2968" spans="1:16" hidden="1">
      <c r="A2968" s="2">
        <v>202007</v>
      </c>
      <c r="B2968" s="3">
        <v>44035</v>
      </c>
      <c r="C2968" s="2" t="s">
        <v>2262</v>
      </c>
      <c r="D2968" s="2" t="s">
        <v>1408</v>
      </c>
      <c r="E2968" s="2">
        <v>-119</v>
      </c>
      <c r="F2968" s="2" t="str">
        <f>IF(Table2[[#This Row],[Manual Cat Value]]="",VLOOKUP(Table2[[#This Row],[Description]],'Actuals Lookup'!D:F,3,0),Table2[[#This Row],[Manual Cat Value]])</f>
        <v>Shopping</v>
      </c>
      <c r="J2968" s="2">
        <v>119</v>
      </c>
      <c r="K2968" s="2" t="b">
        <v>0</v>
      </c>
      <c r="L2968" s="2"/>
      <c r="M2968" s="2"/>
      <c r="N2968" s="4" t="s">
        <v>2273</v>
      </c>
      <c r="O2968" s="4" t="str">
        <f>LEFT(Table2[[#This Row],[Description]],75)</f>
        <v>Patagonia</v>
      </c>
      <c r="P2968" s="2" t="s">
        <v>2436</v>
      </c>
    </row>
    <row r="2969" spans="1:16" hidden="1">
      <c r="A2969" s="2">
        <v>202007</v>
      </c>
      <c r="B2969" s="3">
        <v>44035</v>
      </c>
      <c r="C2969" s="2" t="s">
        <v>2265</v>
      </c>
      <c r="D2969" s="2" t="s">
        <v>1471</v>
      </c>
      <c r="E2969" s="2">
        <v>9.99</v>
      </c>
      <c r="F2969" s="2" t="str">
        <f>IF(Table2[[#This Row],[Manual Cat Value]]="",VLOOKUP(Table2[[#This Row],[Description]],'Actuals Lookup'!D:F,3,0),Table2[[#This Row],[Manual Cat Value]])</f>
        <v>Shopping</v>
      </c>
      <c r="J2969" s="2">
        <v>9.99</v>
      </c>
      <c r="K2969" s="2" t="b">
        <v>0</v>
      </c>
      <c r="L2969" s="2"/>
      <c r="M2969" s="2"/>
      <c r="N2969" s="4" t="s">
        <v>2259</v>
      </c>
      <c r="O2969" s="4" t="str">
        <f>LEFT(Table2[[#This Row],[Description]],75)</f>
        <v>PayPal</v>
      </c>
      <c r="P2969" s="2" t="s">
        <v>2322</v>
      </c>
    </row>
    <row r="2970" spans="1:16" hidden="1">
      <c r="A2970" s="2">
        <v>202007</v>
      </c>
      <c r="B2970" s="3">
        <v>44035</v>
      </c>
      <c r="C2970" s="2" t="s">
        <v>2262</v>
      </c>
      <c r="D2970" s="2" t="s">
        <v>1773</v>
      </c>
      <c r="E2970" s="2">
        <v>25</v>
      </c>
      <c r="F2970" s="2" t="str">
        <f>IF(Table2[[#This Row],[Manual Cat Value]]="",VLOOKUP(Table2[[#This Row],[Description]],'Actuals Lookup'!D:F,3,0),Table2[[#This Row],[Manual Cat Value]])</f>
        <v>Restaurants</v>
      </c>
      <c r="J2970" s="2">
        <v>25</v>
      </c>
      <c r="K2970" s="2" t="b">
        <v>0</v>
      </c>
      <c r="L2970" s="2"/>
      <c r="M2970" s="2"/>
      <c r="N2970" s="4" t="s">
        <v>2259</v>
      </c>
      <c r="O2970" s="4" t="str">
        <f>LEFT(Table2[[#This Row],[Description]],75)</f>
        <v>Starbucks</v>
      </c>
      <c r="P2970" s="2" t="s">
        <v>2454</v>
      </c>
    </row>
    <row r="2971" spans="1:16" hidden="1">
      <c r="A2971" s="2">
        <v>202007</v>
      </c>
      <c r="B2971" s="3">
        <v>44036</v>
      </c>
      <c r="C2971" s="2" t="s">
        <v>2447</v>
      </c>
      <c r="D2971" s="2" t="s">
        <v>458</v>
      </c>
      <c r="E2971" s="2">
        <v>-2.48</v>
      </c>
      <c r="F2971" s="2" t="e">
        <f>IF(Table2[[#This Row],[Manual Cat Value]]="",VLOOKUP(Table2[[#This Row],[Description]],'Actuals Lookup'!D:F,3,0),Table2[[#This Row],[Manual Cat Value]])</f>
        <v>#N/A</v>
      </c>
      <c r="J2971" s="2">
        <v>2.48</v>
      </c>
      <c r="K2971" s="2" t="b">
        <v>0</v>
      </c>
      <c r="L2971" s="2"/>
      <c r="M2971" s="2"/>
      <c r="N2971" s="4" t="s">
        <v>2273</v>
      </c>
      <c r="O2971" s="4" t="str">
        <f>LEFT(Table2[[#This Row],[Description]],75)</f>
        <v>CASHBACK BONUS REDEMPTION payment/STMT CRDT</v>
      </c>
      <c r="P2971" s="2" t="s">
        <v>2304</v>
      </c>
    </row>
    <row r="2972" spans="1:16" hidden="1">
      <c r="A2972" s="2">
        <v>202007</v>
      </c>
      <c r="B2972" s="3">
        <v>44036</v>
      </c>
      <c r="C2972" s="2" t="s">
        <v>2258</v>
      </c>
      <c r="D2972" s="2" t="s">
        <v>458</v>
      </c>
      <c r="E2972" s="2">
        <v>-2.48</v>
      </c>
      <c r="F2972" s="2" t="e">
        <f>IF(Table2[[#This Row],[Manual Cat Value]]="",VLOOKUP(Table2[[#This Row],[Description]],'Actuals Lookup'!D:F,3,0),Table2[[#This Row],[Manual Cat Value]])</f>
        <v>#N/A</v>
      </c>
      <c r="J2972" s="2">
        <v>2.48</v>
      </c>
      <c r="K2972" s="2" t="b">
        <v>0</v>
      </c>
      <c r="L2972" s="2"/>
      <c r="M2972" s="2"/>
      <c r="N2972" s="4" t="s">
        <v>2273</v>
      </c>
      <c r="O2972" s="4" t="str">
        <f>LEFT(Table2[[#This Row],[Description]],75)</f>
        <v>CASHBACK BONUS REDEMPTION payment/STMT CRDT</v>
      </c>
      <c r="P2972" s="2" t="s">
        <v>2304</v>
      </c>
    </row>
    <row r="2973" spans="1:16" hidden="1">
      <c r="A2973" s="2">
        <v>202007</v>
      </c>
      <c r="B2973" s="3">
        <v>44036</v>
      </c>
      <c r="C2973" s="2" t="s">
        <v>2447</v>
      </c>
      <c r="D2973" s="2" t="s">
        <v>997</v>
      </c>
      <c r="E2973" s="2">
        <v>-221.8</v>
      </c>
      <c r="F2973" s="2" t="str">
        <f>IF(Table2[[#This Row],[Manual Cat Value]]="",VLOOKUP(Table2[[#This Row],[Description]],'Actuals Lookup'!D:F,3,0),Table2[[#This Row],[Manual Cat Value]])</f>
        <v>Delete</v>
      </c>
      <c r="J2973" s="2">
        <v>221.8</v>
      </c>
      <c r="K2973" s="2" t="b">
        <v>0</v>
      </c>
      <c r="L2973" s="2"/>
      <c r="M2973" s="2"/>
      <c r="N2973" s="4" t="s">
        <v>2273</v>
      </c>
      <c r="O2973" s="4" t="str">
        <f>LEFT(Table2[[#This Row],[Description]],75)</f>
        <v>INTERNET PAYMENT - THANK YOU</v>
      </c>
      <c r="P2973" s="2" t="s">
        <v>2291</v>
      </c>
    </row>
    <row r="2974" spans="1:16" hidden="1">
      <c r="A2974" s="2">
        <v>202007</v>
      </c>
      <c r="B2974" s="3">
        <v>44036</v>
      </c>
      <c r="C2974" s="2" t="s">
        <v>2258</v>
      </c>
      <c r="D2974" s="2" t="s">
        <v>997</v>
      </c>
      <c r="E2974" s="2">
        <v>-221.8</v>
      </c>
      <c r="F2974" s="2" t="str">
        <f>IF(Table2[[#This Row],[Manual Cat Value]]="",VLOOKUP(Table2[[#This Row],[Description]],'Actuals Lookup'!D:F,3,0),Table2[[#This Row],[Manual Cat Value]])</f>
        <v>Delete</v>
      </c>
      <c r="J2974" s="2">
        <v>221.8</v>
      </c>
      <c r="K2974" s="2" t="b">
        <v>0</v>
      </c>
      <c r="L2974" s="2"/>
      <c r="M2974" s="2"/>
      <c r="N2974" s="4" t="s">
        <v>2273</v>
      </c>
      <c r="O2974" s="4" t="str">
        <f>LEFT(Table2[[#This Row],[Description]],75)</f>
        <v>INTERNET PAYMENT - THANK YOU</v>
      </c>
      <c r="P2974" s="2" t="s">
        <v>2291</v>
      </c>
    </row>
    <row r="2975" spans="1:16" hidden="1">
      <c r="A2975" s="2">
        <v>202007</v>
      </c>
      <c r="B2975" s="3">
        <v>44036</v>
      </c>
      <c r="C2975" s="2" t="s">
        <v>2262</v>
      </c>
      <c r="D2975" s="2" t="s">
        <v>288</v>
      </c>
      <c r="E2975" s="2">
        <v>96.74</v>
      </c>
      <c r="F2975" s="2" t="str">
        <f>IF(Table2[[#This Row],[Manual Cat Value]]="",VLOOKUP(Table2[[#This Row],[Description]],'Actuals Lookup'!D:F,3,0),Table2[[#This Row],[Manual Cat Value]])</f>
        <v>Travel</v>
      </c>
      <c r="J2975" s="2">
        <v>96.74</v>
      </c>
      <c r="K2975" s="2" t="b">
        <v>0</v>
      </c>
      <c r="L2975" s="2"/>
      <c r="M2975" s="2"/>
      <c r="N2975" s="4" t="s">
        <v>2259</v>
      </c>
      <c r="O2975" s="4" t="str">
        <f>LEFT(Table2[[#This Row],[Description]],75)</f>
        <v>Best Western</v>
      </c>
      <c r="P2975" s="2" t="s">
        <v>2489</v>
      </c>
    </row>
    <row r="2976" spans="1:16" hidden="1">
      <c r="A2976" s="2">
        <v>202007</v>
      </c>
      <c r="B2976" s="3">
        <v>44036</v>
      </c>
      <c r="C2976" s="2" t="s">
        <v>2317</v>
      </c>
      <c r="D2976" s="2" t="s">
        <v>354</v>
      </c>
      <c r="E2976" s="2">
        <v>-200</v>
      </c>
      <c r="F2976" s="2" t="e">
        <f>IF(Table2[[#This Row],[Manual Cat Value]]="",VLOOKUP(Table2[[#This Row],[Description]],'Actuals Lookup'!D:F,3,0),Table2[[#This Row],[Manual Cat Value]])</f>
        <v>#N/A</v>
      </c>
      <c r="J2976" s="2">
        <v>200</v>
      </c>
      <c r="K2976" s="2" t="b">
        <v>0</v>
      </c>
      <c r="L2976" s="2"/>
      <c r="M2976" s="2"/>
      <c r="N2976" s="4" t="s">
        <v>2273</v>
      </c>
      <c r="O2976" s="4" t="str">
        <f>LEFT(Table2[[#This Row],[Description]],75)</f>
        <v>CARGILL COCOA &amp;</v>
      </c>
      <c r="P2976" s="2" t="s">
        <v>2354</v>
      </c>
    </row>
    <row r="2977" spans="1:16" hidden="1">
      <c r="A2977" s="2">
        <v>202007</v>
      </c>
      <c r="B2977" s="3">
        <v>44036</v>
      </c>
      <c r="C2977" s="2" t="s">
        <v>2300</v>
      </c>
      <c r="D2977" s="2" t="s">
        <v>1648</v>
      </c>
      <c r="E2977" s="2">
        <v>-200</v>
      </c>
      <c r="F2977" s="2" t="e">
        <f>IF(Table2[[#This Row],[Manual Cat Value]]="",VLOOKUP(Table2[[#This Row],[Description]],'Actuals Lookup'!D:F,3,0),Table2[[#This Row],[Manual Cat Value]])</f>
        <v>#N/A</v>
      </c>
      <c r="J2977" s="2">
        <v>200</v>
      </c>
      <c r="K2977" s="2" t="b">
        <v>0</v>
      </c>
      <c r="L2977" s="2"/>
      <c r="M2977" s="2"/>
      <c r="N2977" s="4" t="s">
        <v>2273</v>
      </c>
      <c r="O2977" s="4" t="str">
        <f>LEFT(Table2[[#This Row],[Description]],75)</f>
        <v>Share</v>
      </c>
      <c r="P2977" s="2" t="s">
        <v>2448</v>
      </c>
    </row>
    <row r="2978" spans="1:16" hidden="1">
      <c r="A2978" s="2">
        <v>202007</v>
      </c>
      <c r="B2978" s="3">
        <v>44036</v>
      </c>
      <c r="C2978" s="2" t="s">
        <v>2447</v>
      </c>
      <c r="D2978" s="2" t="s">
        <v>1707</v>
      </c>
      <c r="E2978" s="2">
        <v>34.03</v>
      </c>
      <c r="F2978" s="2" t="str">
        <f>IF(Table2[[#This Row],[Manual Cat Value]]="",VLOOKUP(Table2[[#This Row],[Description]],'Actuals Lookup'!D:F,3,0),Table2[[#This Row],[Manual Cat Value]])</f>
        <v>Transportation</v>
      </c>
      <c r="J2978" s="2">
        <v>34.03</v>
      </c>
      <c r="K2978" s="2" t="b">
        <v>0</v>
      </c>
      <c r="L2978" s="2"/>
      <c r="M2978" s="2"/>
      <c r="N2978" s="4" t="s">
        <v>2259</v>
      </c>
      <c r="O2978" s="4" t="str">
        <f>LEFT(Table2[[#This Row],[Description]],75)</f>
        <v>Speedway</v>
      </c>
      <c r="P2978" s="2" t="s">
        <v>2381</v>
      </c>
    </row>
    <row r="2979" spans="1:16" hidden="1">
      <c r="A2979" s="2">
        <v>202007</v>
      </c>
      <c r="B2979" s="3">
        <v>44036</v>
      </c>
      <c r="C2979" s="2" t="s">
        <v>2262</v>
      </c>
      <c r="D2979" s="2" t="s">
        <v>1707</v>
      </c>
      <c r="E2979" s="2">
        <v>24.54</v>
      </c>
      <c r="F2979" s="2" t="str">
        <f>IF(Table2[[#This Row],[Manual Cat Value]]="",VLOOKUP(Table2[[#This Row],[Description]],'Actuals Lookup'!D:F,3,0),Table2[[#This Row],[Manual Cat Value]])</f>
        <v>Transportation</v>
      </c>
      <c r="J2979" s="2">
        <v>24.54</v>
      </c>
      <c r="K2979" s="2" t="b">
        <v>0</v>
      </c>
      <c r="L2979" s="2"/>
      <c r="M2979" s="2"/>
      <c r="N2979" s="4" t="s">
        <v>2259</v>
      </c>
      <c r="O2979" s="4" t="str">
        <f>LEFT(Table2[[#This Row],[Description]],75)</f>
        <v>Speedway</v>
      </c>
      <c r="P2979" s="2" t="s">
        <v>2381</v>
      </c>
    </row>
    <row r="2980" spans="1:16" hidden="1">
      <c r="A2980" s="2">
        <v>202007</v>
      </c>
      <c r="B2980" s="3">
        <v>44036</v>
      </c>
      <c r="C2980" s="2" t="s">
        <v>2258</v>
      </c>
      <c r="D2980" s="2" t="s">
        <v>1707</v>
      </c>
      <c r="E2980" s="2">
        <v>34.03</v>
      </c>
      <c r="F2980" s="2" t="str">
        <f>IF(Table2[[#This Row],[Manual Cat Value]]="",VLOOKUP(Table2[[#This Row],[Description]],'Actuals Lookup'!D:F,3,0),Table2[[#This Row],[Manual Cat Value]])</f>
        <v>Transportation</v>
      </c>
      <c r="J2980" s="2">
        <v>34.03</v>
      </c>
      <c r="K2980" s="2" t="b">
        <v>0</v>
      </c>
      <c r="L2980" s="2"/>
      <c r="M2980" s="2"/>
      <c r="N2980" s="4" t="s">
        <v>2259</v>
      </c>
      <c r="O2980" s="4" t="str">
        <f>LEFT(Table2[[#This Row],[Description]],75)</f>
        <v>Speedway</v>
      </c>
      <c r="P2980" s="2" t="s">
        <v>2381</v>
      </c>
    </row>
    <row r="2981" spans="1:16" hidden="1">
      <c r="A2981" s="2">
        <v>202007</v>
      </c>
      <c r="B2981" s="3">
        <v>44036</v>
      </c>
      <c r="C2981" s="2" t="s">
        <v>2434</v>
      </c>
      <c r="D2981" s="2" t="s">
        <v>1834</v>
      </c>
      <c r="E2981" s="2">
        <v>-231</v>
      </c>
      <c r="F2981" s="2" t="e">
        <f>IF(Table2[[#This Row],[Manual Cat Value]]="",VLOOKUP(Table2[[#This Row],[Description]],'Actuals Lookup'!D:F,3,0),Table2[[#This Row],[Manual Cat Value]])</f>
        <v>#N/A</v>
      </c>
      <c r="J2981" s="2">
        <v>231</v>
      </c>
      <c r="K2981" s="2" t="b">
        <v>0</v>
      </c>
      <c r="L2981" s="2"/>
      <c r="M2981" s="2"/>
      <c r="N2981" s="4" t="s">
        <v>2273</v>
      </c>
      <c r="O2981" s="4" t="str">
        <f>LEFT(Table2[[#This Row],[Description]],75)</f>
        <v>Tfr JPMORGAN CHASE BAN, CARGILL COCOA &amp;</v>
      </c>
      <c r="P2981" s="2" t="s">
        <v>2356</v>
      </c>
    </row>
    <row r="2982" spans="1:16" hidden="1">
      <c r="A2982" s="2">
        <v>202007</v>
      </c>
      <c r="B2982" s="3">
        <v>44036</v>
      </c>
      <c r="C2982" s="2" t="s">
        <v>2265</v>
      </c>
      <c r="D2982" s="2" t="s">
        <v>1903</v>
      </c>
      <c r="E2982" s="2">
        <v>200</v>
      </c>
      <c r="F2982" s="2" t="e">
        <f>IF(Table2[[#This Row],[Manual Cat Value]]="",VLOOKUP(Table2[[#This Row],[Description]],'Actuals Lookup'!D:F,3,0),Table2[[#This Row],[Manual Cat Value]])</f>
        <v>#N/A</v>
      </c>
      <c r="J2982" s="2">
        <v>200</v>
      </c>
      <c r="K2982" s="2" t="b">
        <v>0</v>
      </c>
      <c r="L2982" s="2"/>
      <c r="M2982" s="2"/>
      <c r="N2982" s="4" t="s">
        <v>2259</v>
      </c>
      <c r="O2982" s="4" t="str">
        <f>LEFT(Table2[[#This Row],[Description]],75)</f>
        <v>To Share 12 328622183</v>
      </c>
      <c r="P2982" s="2" t="s">
        <v>2281</v>
      </c>
    </row>
    <row r="2983" spans="1:16" hidden="1">
      <c r="A2983" s="2">
        <v>202007</v>
      </c>
      <c r="B2983" s="3">
        <v>44038</v>
      </c>
      <c r="C2983" s="2" t="s">
        <v>2262</v>
      </c>
      <c r="D2983" s="2" t="s">
        <v>191</v>
      </c>
      <c r="E2983" s="2">
        <v>86.81</v>
      </c>
      <c r="F2983" s="2" t="e">
        <f>IF(Table2[[#This Row],[Manual Cat Value]]="",VLOOKUP(Table2[[#This Row],[Description]],'Actuals Lookup'!D:F,3,0),Table2[[#This Row],[Manual Cat Value]])</f>
        <v>#N/A</v>
      </c>
      <c r="J2983" s="2">
        <v>86.81</v>
      </c>
      <c r="K2983" s="2" t="b">
        <v>0</v>
      </c>
      <c r="L2983" s="2"/>
      <c r="M2983" s="2"/>
      <c r="N2983" s="4" t="s">
        <v>2259</v>
      </c>
      <c r="O2983" s="4" t="str">
        <f>LEFT(Table2[[#This Row],[Description]],75)</f>
        <v>AVOADVOCARE INTL 8005424800 TX 329163763</v>
      </c>
      <c r="P2983" s="2" t="s">
        <v>2428</v>
      </c>
    </row>
    <row r="2984" spans="1:16" hidden="1">
      <c r="A2984" s="2">
        <v>202007</v>
      </c>
      <c r="B2984" s="3">
        <v>44038</v>
      </c>
      <c r="C2984" s="2" t="s">
        <v>2262</v>
      </c>
      <c r="D2984" s="2" t="s">
        <v>684</v>
      </c>
      <c r="E2984" s="2">
        <v>54.05</v>
      </c>
      <c r="F2984" s="2" t="str">
        <f>IF(Table2[[#This Row],[Manual Cat Value]]="",VLOOKUP(Table2[[#This Row],[Description]],'Actuals Lookup'!D:F,3,0),Table2[[#This Row],[Manual Cat Value]])</f>
        <v>Groceries</v>
      </c>
      <c r="J2984" s="2">
        <v>54.05</v>
      </c>
      <c r="K2984" s="2" t="b">
        <v>0</v>
      </c>
      <c r="L2984" s="2"/>
      <c r="M2984" s="2"/>
      <c r="N2984" s="4" t="s">
        <v>2259</v>
      </c>
      <c r="O2984" s="4" t="str">
        <f>LEFT(Table2[[#This Row],[Description]],75)</f>
        <v>Cub Foods</v>
      </c>
      <c r="P2984" s="2" t="s">
        <v>2370</v>
      </c>
    </row>
    <row r="2985" spans="1:16" hidden="1">
      <c r="A2985" s="2">
        <v>202007</v>
      </c>
      <c r="B2985" s="3">
        <v>44038</v>
      </c>
      <c r="C2985" s="2" t="s">
        <v>2447</v>
      </c>
      <c r="D2985" s="2" t="s">
        <v>1350</v>
      </c>
      <c r="E2985" s="2">
        <v>12.99</v>
      </c>
      <c r="F2985" s="2" t="str">
        <f>IF(Table2[[#This Row],[Manual Cat Value]]="",VLOOKUP(Table2[[#This Row],[Description]],'Actuals Lookup'!D:F,3,0),Table2[[#This Row],[Manual Cat Value]])</f>
        <v>Utilities</v>
      </c>
      <c r="J2985" s="2">
        <v>12.99</v>
      </c>
      <c r="K2985" s="2" t="b">
        <v>0</v>
      </c>
      <c r="L2985" s="2"/>
      <c r="M2985" s="2"/>
      <c r="N2985" s="4" t="s">
        <v>2259</v>
      </c>
      <c r="O2985" s="4" t="str">
        <f>LEFT(Table2[[#This Row],[Description]],75)</f>
        <v>Netflix</v>
      </c>
      <c r="P2985" s="2" t="s">
        <v>2306</v>
      </c>
    </row>
    <row r="2986" spans="1:16" hidden="1">
      <c r="A2986" s="2">
        <v>202007</v>
      </c>
      <c r="B2986" s="3">
        <v>44038</v>
      </c>
      <c r="C2986" s="2" t="s">
        <v>2258</v>
      </c>
      <c r="D2986" s="2" t="s">
        <v>1350</v>
      </c>
      <c r="E2986" s="2">
        <v>12.99</v>
      </c>
      <c r="F2986" s="2" t="str">
        <f>IF(Table2[[#This Row],[Manual Cat Value]]="",VLOOKUP(Table2[[#This Row],[Description]],'Actuals Lookup'!D:F,3,0),Table2[[#This Row],[Manual Cat Value]])</f>
        <v>Utilities</v>
      </c>
      <c r="J2986" s="2">
        <v>12.99</v>
      </c>
      <c r="K2986" s="2" t="b">
        <v>0</v>
      </c>
      <c r="L2986" s="2"/>
      <c r="M2986" s="2"/>
      <c r="N2986" s="4" t="s">
        <v>2259</v>
      </c>
      <c r="O2986" s="4" t="str">
        <f>LEFT(Table2[[#This Row],[Description]],75)</f>
        <v>Netflix</v>
      </c>
      <c r="P2986" s="2" t="s">
        <v>2306</v>
      </c>
    </row>
    <row r="2987" spans="1:16" hidden="1">
      <c r="A2987" s="2">
        <v>202007</v>
      </c>
      <c r="B2987" s="3">
        <v>44038</v>
      </c>
      <c r="C2987" s="2" t="s">
        <v>2262</v>
      </c>
      <c r="D2987" s="2" t="s">
        <v>2002</v>
      </c>
      <c r="E2987" s="2">
        <v>76.78</v>
      </c>
      <c r="F2987" s="2" t="e">
        <f>IF(Table2[[#This Row],[Manual Cat Value]]="",VLOOKUP(Table2[[#This Row],[Description]],'Actuals Lookup'!D:F,3,0),Table2[[#This Row],[Manual Cat Value]])</f>
        <v>#N/A</v>
      </c>
      <c r="J2987" s="2">
        <v>76.78</v>
      </c>
      <c r="K2987" s="2" t="b">
        <v>0</v>
      </c>
      <c r="L2987" s="2"/>
      <c r="M2987" s="2"/>
      <c r="N2987" s="4" t="s">
        <v>2259</v>
      </c>
      <c r="O2987" s="4" t="str">
        <f>LEFT(Table2[[#This Row],[Description]],75)</f>
        <v>True Value</v>
      </c>
      <c r="P2987" s="2" t="s">
        <v>2490</v>
      </c>
    </row>
    <row r="2988" spans="1:16" hidden="1">
      <c r="A2988" s="2">
        <v>202007</v>
      </c>
      <c r="B2988" s="3">
        <v>44039</v>
      </c>
      <c r="C2988" s="2" t="s">
        <v>2265</v>
      </c>
      <c r="D2988" s="2" t="s">
        <v>763</v>
      </c>
      <c r="E2988" s="2">
        <v>221.8</v>
      </c>
      <c r="F2988" s="2" t="e">
        <f>IF(Table2[[#This Row],[Manual Cat Value]]="",VLOOKUP(Table2[[#This Row],[Description]],'Actuals Lookup'!D:F,3,0),Table2[[#This Row],[Manual Cat Value]])</f>
        <v>#N/A</v>
      </c>
      <c r="J2988" s="2">
        <v>221.8</v>
      </c>
      <c r="K2988" s="2" t="b">
        <v>0</v>
      </c>
      <c r="L2988" s="2"/>
      <c r="M2988" s="2"/>
      <c r="N2988" s="4" t="s">
        <v>2259</v>
      </c>
      <c r="O2988" s="4" t="str">
        <f>LEFT(Table2[[#This Row],[Description]],75)</f>
        <v>DISCOVER TYPE EPAYMENT ID CO DISCOVER ACH ECC WEB ACH Trace 51260 329242914</v>
      </c>
      <c r="P2988" s="2" t="s">
        <v>2293</v>
      </c>
    </row>
    <row r="2989" spans="1:16" hidden="1">
      <c r="A2989" s="2">
        <v>202007</v>
      </c>
      <c r="B2989" s="3">
        <v>44039</v>
      </c>
      <c r="C2989" s="2" t="s">
        <v>2447</v>
      </c>
      <c r="D2989" s="2" t="s">
        <v>38</v>
      </c>
      <c r="E2989" s="2">
        <v>43.78</v>
      </c>
      <c r="F2989" s="2" t="str">
        <f>IF(Table2[[#This Row],[Manual Cat Value]]="",VLOOKUP(Table2[[#This Row],[Description]],'Actuals Lookup'!D:F,3,0),Table2[[#This Row],[Manual Cat Value]])</f>
        <v>Amazon</v>
      </c>
      <c r="J2989" s="2">
        <v>43.78</v>
      </c>
      <c r="K2989" s="2" t="b">
        <v>0</v>
      </c>
      <c r="L2989" s="2"/>
      <c r="M2989" s="2"/>
      <c r="N2989" s="4" t="s">
        <v>2259</v>
      </c>
      <c r="O2989" s="4" t="str">
        <f>LEFT(Table2[[#This Row],[Description]],75)</f>
        <v>Amazon</v>
      </c>
      <c r="P2989" s="2" t="s">
        <v>2260</v>
      </c>
    </row>
    <row r="2990" spans="1:16" hidden="1">
      <c r="A2990" s="2">
        <v>202007</v>
      </c>
      <c r="B2990" s="3">
        <v>44039</v>
      </c>
      <c r="C2990" s="2" t="s">
        <v>2258</v>
      </c>
      <c r="D2990" s="2" t="s">
        <v>38</v>
      </c>
      <c r="E2990" s="2">
        <v>43.78</v>
      </c>
      <c r="F2990" s="2" t="str">
        <f>IF(Table2[[#This Row],[Manual Cat Value]]="",VLOOKUP(Table2[[#This Row],[Description]],'Actuals Lookup'!D:F,3,0),Table2[[#This Row],[Manual Cat Value]])</f>
        <v>Amazon</v>
      </c>
      <c r="J2990" s="2">
        <v>43.78</v>
      </c>
      <c r="K2990" s="2" t="b">
        <v>0</v>
      </c>
      <c r="L2990" s="2"/>
      <c r="M2990" s="2"/>
      <c r="N2990" s="4" t="s">
        <v>2259</v>
      </c>
      <c r="O2990" s="4" t="str">
        <f>LEFT(Table2[[#This Row],[Description]],75)</f>
        <v>Amazon</v>
      </c>
      <c r="P2990" s="2" t="s">
        <v>2260</v>
      </c>
    </row>
    <row r="2991" spans="1:16" hidden="1">
      <c r="A2991" s="2">
        <v>202007</v>
      </c>
      <c r="B2991" s="3">
        <v>44039</v>
      </c>
      <c r="C2991" s="2" t="s">
        <v>2262</v>
      </c>
      <c r="D2991" s="2" t="s">
        <v>192</v>
      </c>
      <c r="E2991" s="2">
        <v>181.26</v>
      </c>
      <c r="F2991" s="2" t="e">
        <f>IF(Table2[[#This Row],[Manual Cat Value]]="",VLOOKUP(Table2[[#This Row],[Description]],'Actuals Lookup'!D:F,3,0),Table2[[#This Row],[Manual Cat Value]])</f>
        <v>#N/A</v>
      </c>
      <c r="J2991" s="2">
        <v>181.26</v>
      </c>
      <c r="K2991" s="2" t="b">
        <v>0</v>
      </c>
      <c r="L2991" s="2"/>
      <c r="M2991" s="2"/>
      <c r="N2991" s="4" t="s">
        <v>2259</v>
      </c>
      <c r="O2991" s="4" t="str">
        <f>LEFT(Table2[[#This Row],[Description]],75)</f>
        <v>AVOADVOCARE INTL 8005424800 TX 329455457</v>
      </c>
      <c r="P2991" s="2" t="s">
        <v>2428</v>
      </c>
    </row>
    <row r="2992" spans="1:16" hidden="1">
      <c r="A2992" s="2">
        <v>202007</v>
      </c>
      <c r="B2992" s="3">
        <v>44039</v>
      </c>
      <c r="C2992" s="2" t="s">
        <v>2262</v>
      </c>
      <c r="D2992" s="2" t="s">
        <v>453</v>
      </c>
      <c r="E2992" s="2">
        <v>9.9700000000000006</v>
      </c>
      <c r="F2992" s="2" t="str">
        <f>IF(Table2[[#This Row],[Manual Cat Value]]="",VLOOKUP(Table2[[#This Row],[Description]],'Actuals Lookup'!D:F,3,0),Table2[[#This Row],[Manual Cat Value]])</f>
        <v>Restaurants</v>
      </c>
      <c r="J2992" s="2">
        <v>9.9700000000000006</v>
      </c>
      <c r="K2992" s="2" t="b">
        <v>0</v>
      </c>
      <c r="L2992" s="2"/>
      <c r="M2992" s="2"/>
      <c r="N2992" s="4" t="s">
        <v>2259</v>
      </c>
      <c r="O2992" s="4" t="str">
        <f>LEFT(Table2[[#This Row],[Description]],75)</f>
        <v>Caribou Coffee</v>
      </c>
      <c r="P2992" s="2" t="s">
        <v>2329</v>
      </c>
    </row>
    <row r="2993" spans="1:16" hidden="1">
      <c r="A2993" s="2">
        <v>202007</v>
      </c>
      <c r="B2993" s="3">
        <v>44039</v>
      </c>
      <c r="C2993" s="2" t="s">
        <v>2262</v>
      </c>
      <c r="D2993" s="2" t="s">
        <v>557</v>
      </c>
      <c r="E2993" s="2">
        <v>52</v>
      </c>
      <c r="F2993" s="2" t="e">
        <f>IF(Table2[[#This Row],[Manual Cat Value]]="",VLOOKUP(Table2[[#This Row],[Description]],'Actuals Lookup'!D:F,3,0),Table2[[#This Row],[Manual Cat Value]])</f>
        <v>#N/A</v>
      </c>
      <c r="J2993" s="2">
        <v>52</v>
      </c>
      <c r="K2993" s="2" t="b">
        <v>0</v>
      </c>
      <c r="L2993" s="2"/>
      <c r="M2993" s="2"/>
      <c r="N2993" s="4" t="s">
        <v>2259</v>
      </c>
      <c r="O2993" s="4" t="str">
        <f>LEFT(Table2[[#This Row],[Description]],75)</f>
        <v>City of Chanhassen</v>
      </c>
      <c r="P2993" s="2" t="s">
        <v>2298</v>
      </c>
    </row>
    <row r="2994" spans="1:16" hidden="1">
      <c r="A2994" s="2">
        <v>202007</v>
      </c>
      <c r="B2994" s="3">
        <v>44039</v>
      </c>
      <c r="C2994" s="2" t="s">
        <v>2265</v>
      </c>
      <c r="D2994" s="2" t="s">
        <v>1471</v>
      </c>
      <c r="E2994" s="2">
        <v>5</v>
      </c>
      <c r="F2994" s="2" t="str">
        <f>IF(Table2[[#This Row],[Manual Cat Value]]="",VLOOKUP(Table2[[#This Row],[Description]],'Actuals Lookup'!D:F,3,0),Table2[[#This Row],[Manual Cat Value]])</f>
        <v>Shopping</v>
      </c>
      <c r="J2994" s="2">
        <v>5</v>
      </c>
      <c r="K2994" s="2" t="b">
        <v>0</v>
      </c>
      <c r="L2994" s="2"/>
      <c r="M2994" s="2"/>
      <c r="N2994" s="4" t="s">
        <v>2259</v>
      </c>
      <c r="O2994" s="4" t="str">
        <f>LEFT(Table2[[#This Row],[Description]],75)</f>
        <v>PayPal</v>
      </c>
      <c r="P2994" s="2" t="s">
        <v>2322</v>
      </c>
    </row>
    <row r="2995" spans="1:16" hidden="1">
      <c r="A2995" s="2">
        <v>202007</v>
      </c>
      <c r="B2995" s="3">
        <v>44039</v>
      </c>
      <c r="C2995" s="2" t="s">
        <v>2262</v>
      </c>
      <c r="D2995" s="2" t="s">
        <v>1606</v>
      </c>
      <c r="E2995" s="2">
        <v>100</v>
      </c>
      <c r="F2995" s="2" t="e">
        <f>IF(Table2[[#This Row],[Manual Cat Value]]="",VLOOKUP(Table2[[#This Row],[Description]],'Actuals Lookup'!D:F,3,0),Table2[[#This Row],[Manual Cat Value]])</f>
        <v>#N/A</v>
      </c>
      <c r="J2995" s="2">
        <v>100</v>
      </c>
      <c r="K2995" s="2" t="b">
        <v>0</v>
      </c>
      <c r="L2995" s="2"/>
      <c r="M2995" s="2"/>
      <c r="N2995" s="4" t="s">
        <v>2259</v>
      </c>
      <c r="O2995" s="4" t="str">
        <f>LEFT(Table2[[#This Row],[Description]],75)</f>
        <v>RUSSELL HE 1 OF 2 PA STRIPECOM MN 329455456</v>
      </c>
      <c r="P2995" s="2" t="s">
        <v>2281</v>
      </c>
    </row>
    <row r="2996" spans="1:16" hidden="1">
      <c r="A2996" s="2">
        <v>202007</v>
      </c>
      <c r="B2996" s="3">
        <v>44039</v>
      </c>
      <c r="C2996" s="2" t="s">
        <v>2265</v>
      </c>
      <c r="D2996" s="2" t="s">
        <v>31</v>
      </c>
      <c r="E2996" s="2">
        <v>166.12</v>
      </c>
      <c r="F2996" s="2" t="str">
        <f>IF(Table2[[#This Row],[Manual Cat Value]]="",VLOOKUP(Table2[[#This Row],[Description]],'Actuals Lookup'!D:F,3,0),Table2[[#This Row],[Manual Cat Value]])</f>
        <v>Target</v>
      </c>
      <c r="J2996" s="2">
        <v>166.12</v>
      </c>
      <c r="K2996" s="2" t="b">
        <v>0</v>
      </c>
      <c r="L2996" s="2"/>
      <c r="M2996" s="2"/>
      <c r="N2996" s="4" t="s">
        <v>2259</v>
      </c>
      <c r="O2996" s="4" t="str">
        <f>LEFT(Table2[[#This Row],[Description]],75)</f>
        <v>Target</v>
      </c>
      <c r="P2996" s="2" t="s">
        <v>2309</v>
      </c>
    </row>
    <row r="2997" spans="1:16" hidden="1">
      <c r="A2997" s="2">
        <v>202007</v>
      </c>
      <c r="B2997" s="3">
        <v>44039</v>
      </c>
      <c r="C2997" s="2" t="s">
        <v>2265</v>
      </c>
      <c r="D2997" s="2" t="s">
        <v>2208</v>
      </c>
      <c r="E2997" s="2">
        <v>400</v>
      </c>
      <c r="F2997" s="2" t="e">
        <f>IF(Table2[[#This Row],[Manual Cat Value]]="",VLOOKUP(Table2[[#This Row],[Description]],'Actuals Lookup'!D:F,3,0),Table2[[#This Row],[Manual Cat Value]])</f>
        <v>#N/A</v>
      </c>
      <c r="J2997" s="2">
        <v>400</v>
      </c>
      <c r="K2997" s="2" t="b">
        <v>0</v>
      </c>
      <c r="L2997" s="2"/>
      <c r="M2997" s="2"/>
      <c r="N2997" s="4" t="s">
        <v>2259</v>
      </c>
      <c r="O2997" s="4" t="str">
        <f>LEFT(Table2[[#This Row],[Description]],75)</f>
        <v>Withdrawal THANK YOU FOR YOUR MORTGAGE APPLICATION 329364143</v>
      </c>
      <c r="P2997" s="2" t="s">
        <v>2281</v>
      </c>
    </row>
    <row r="2998" spans="1:16" hidden="1">
      <c r="A2998" s="2">
        <v>202007</v>
      </c>
      <c r="B2998" s="3">
        <v>44039</v>
      </c>
      <c r="C2998" s="2" t="s">
        <v>2262</v>
      </c>
      <c r="D2998" s="2" t="s">
        <v>2226</v>
      </c>
      <c r="E2998" s="2">
        <v>343.58</v>
      </c>
      <c r="F2998" s="2" t="e">
        <f>IF(Table2[[#This Row],[Manual Cat Value]]="",VLOOKUP(Table2[[#This Row],[Description]],'Actuals Lookup'!D:F,3,0),Table2[[#This Row],[Manual Cat Value]])</f>
        <v>#N/A</v>
      </c>
      <c r="J2998" s="2">
        <v>343.58</v>
      </c>
      <c r="K2998" s="2" t="b">
        <v>0</v>
      </c>
      <c r="L2998" s="2"/>
      <c r="M2998" s="2"/>
      <c r="N2998" s="4" t="s">
        <v>2259</v>
      </c>
      <c r="O2998" s="4" t="str">
        <f>LEFT(Table2[[#This Row],[Description]],75)</f>
        <v>YETI COOLERS 5123949384 TX 329455459</v>
      </c>
      <c r="P2998" s="2" t="s">
        <v>2281</v>
      </c>
    </row>
    <row r="2999" spans="1:16" hidden="1">
      <c r="A2999" s="2">
        <v>202007</v>
      </c>
      <c r="B2999" s="3">
        <v>44040</v>
      </c>
      <c r="C2999" s="2" t="s">
        <v>2265</v>
      </c>
      <c r="D2999" s="2" t="s">
        <v>1228</v>
      </c>
      <c r="E2999" s="2">
        <v>391.2</v>
      </c>
      <c r="F2999" s="2" t="e">
        <f>IF(Table2[[#This Row],[Manual Cat Value]]="",VLOOKUP(Table2[[#This Row],[Description]],'Actuals Lookup'!D:F,3,0),Table2[[#This Row],[Manual Cat Value]])</f>
        <v>#N/A</v>
      </c>
      <c r="J2999" s="2">
        <v>391.2</v>
      </c>
      <c r="K2999" s="2" t="b">
        <v>0</v>
      </c>
      <c r="L2999" s="2"/>
      <c r="M2999" s="2"/>
      <c r="N2999" s="4" t="s">
        <v>2259</v>
      </c>
      <c r="O2999" s="4" t="str">
        <f>LEFT(Table2[[#This Row],[Description]],75)</f>
        <v>MHCHILDCARELLC TYPE DUES ID CO MHCHILDCARELLC ACH ECC PPD ACH Trace 61880 3</v>
      </c>
      <c r="P2999" s="2" t="s">
        <v>2491</v>
      </c>
    </row>
    <row r="3000" spans="1:16" hidden="1">
      <c r="A3000" s="2">
        <v>202007</v>
      </c>
      <c r="B3000" s="3">
        <v>44041</v>
      </c>
      <c r="C3000" s="2" t="s">
        <v>2262</v>
      </c>
      <c r="D3000" s="2" t="s">
        <v>1457</v>
      </c>
      <c r="E3000" s="2">
        <v>-1520.73</v>
      </c>
      <c r="F3000" s="2" t="e">
        <f>IF(Table2[[#This Row],[Manual Cat Value]]="",VLOOKUP(Table2[[#This Row],[Description]],'Actuals Lookup'!D:F,3,0),Table2[[#This Row],[Manual Cat Value]])</f>
        <v>#N/A</v>
      </c>
      <c r="J3000" s="2">
        <v>1520.73</v>
      </c>
      <c r="K3000" s="2" t="b">
        <v>0</v>
      </c>
      <c r="L3000" s="2"/>
      <c r="M3000" s="2"/>
      <c r="N3000" s="4" t="s">
        <v>2273</v>
      </c>
      <c r="O3000" s="4" t="str">
        <f>LEFT(Table2[[#This Row],[Description]],75)</f>
        <v>PAYMENT THANK YOU 330418320</v>
      </c>
      <c r="P3000" s="2" t="s">
        <v>2391</v>
      </c>
    </row>
    <row r="3001" spans="1:16" hidden="1">
      <c r="A3001" s="2">
        <v>202007</v>
      </c>
      <c r="B3001" s="3">
        <v>44041</v>
      </c>
      <c r="C3001" s="2" t="s">
        <v>2265</v>
      </c>
      <c r="D3001" s="2" t="s">
        <v>2202</v>
      </c>
      <c r="E3001" s="2">
        <v>1520.73</v>
      </c>
      <c r="F3001" s="2" t="e">
        <f>IF(Table2[[#This Row],[Manual Cat Value]]="",VLOOKUP(Table2[[#This Row],[Description]],'Actuals Lookup'!D:F,3,0),Table2[[#This Row],[Manual Cat Value]])</f>
        <v>#N/A</v>
      </c>
      <c r="J3001" s="2">
        <v>1520.73</v>
      </c>
      <c r="K3001" s="2" t="b">
        <v>0</v>
      </c>
      <c r="L3001" s="2"/>
      <c r="M3001" s="2"/>
      <c r="N3001" s="4" t="s">
        <v>2259</v>
      </c>
      <c r="O3001" s="4" t="str">
        <f>LEFT(Table2[[#This Row],[Description]],75)</f>
        <v>Withdrawal Home payment to card 979181 329824392</v>
      </c>
      <c r="P3001" s="2" t="s">
        <v>2349</v>
      </c>
    </row>
    <row r="3002" spans="1:16" hidden="1">
      <c r="A3002" s="2">
        <v>202007</v>
      </c>
      <c r="B3002" s="3">
        <v>44041</v>
      </c>
      <c r="C3002" s="2" t="s">
        <v>2265</v>
      </c>
      <c r="D3002" s="2" t="s">
        <v>366</v>
      </c>
      <c r="E3002" s="2">
        <v>-11355.52</v>
      </c>
      <c r="F3002" s="2" t="e">
        <f>IF(Table2[[#This Row],[Manual Cat Value]]="",VLOOKUP(Table2[[#This Row],[Description]],'Actuals Lookup'!D:F,3,0),Table2[[#This Row],[Manual Cat Value]])</f>
        <v>#N/A</v>
      </c>
      <c r="J3002" s="2">
        <v>11355.52</v>
      </c>
      <c r="K3002" s="2" t="b">
        <v>0</v>
      </c>
      <c r="L3002" s="2"/>
      <c r="M3002" s="2"/>
      <c r="N3002" s="4" t="s">
        <v>2273</v>
      </c>
      <c r="O3002" s="4" t="str">
        <f>LEFT(Table2[[#This Row],[Description]],75)</f>
        <v xml:space="preserve">CARGILL COCOA TYPE DIR DEP ID CO CARGILL COCOA ACH ECC PPD ACH Trace 27359 </v>
      </c>
      <c r="P3002" s="2" t="s">
        <v>2284</v>
      </c>
    </row>
    <row r="3003" spans="1:16" hidden="1">
      <c r="A3003" s="2">
        <v>202007</v>
      </c>
      <c r="B3003" s="3">
        <v>44041</v>
      </c>
      <c r="C3003" s="2" t="s">
        <v>2265</v>
      </c>
      <c r="D3003" s="2" t="s">
        <v>1471</v>
      </c>
      <c r="E3003" s="2">
        <v>0.99</v>
      </c>
      <c r="F3003" s="2" t="str">
        <f>IF(Table2[[#This Row],[Manual Cat Value]]="",VLOOKUP(Table2[[#This Row],[Description]],'Actuals Lookup'!D:F,3,0),Table2[[#This Row],[Manual Cat Value]])</f>
        <v>Shopping</v>
      </c>
      <c r="J3003" s="2">
        <v>0.99</v>
      </c>
      <c r="K3003" s="2" t="b">
        <v>0</v>
      </c>
      <c r="L3003" s="2"/>
      <c r="M3003" s="2"/>
      <c r="N3003" s="4" t="s">
        <v>2259</v>
      </c>
      <c r="O3003" s="4" t="str">
        <f>LEFT(Table2[[#This Row],[Description]],75)</f>
        <v>PayPal</v>
      </c>
      <c r="P3003" s="2" t="s">
        <v>2322</v>
      </c>
    </row>
    <row r="3004" spans="1:16" hidden="1">
      <c r="A3004" s="2">
        <v>202007</v>
      </c>
      <c r="B3004" s="3">
        <v>44041</v>
      </c>
      <c r="C3004" s="2" t="s">
        <v>2262</v>
      </c>
      <c r="D3004" s="2" t="s">
        <v>1682</v>
      </c>
      <c r="E3004" s="2">
        <v>66.31</v>
      </c>
      <c r="F3004" s="2" t="str">
        <f>IF(Table2[[#This Row],[Manual Cat Value]]="",VLOOKUP(Table2[[#This Row],[Description]],'Actuals Lookup'!D:F,3,0),Table2[[#This Row],[Manual Cat Value]])</f>
        <v>Healthcare</v>
      </c>
      <c r="J3004" s="2">
        <v>66.31</v>
      </c>
      <c r="K3004" s="2" t="b">
        <v>0</v>
      </c>
      <c r="L3004" s="2"/>
      <c r="M3004" s="2"/>
      <c r="N3004" s="4" t="s">
        <v>2259</v>
      </c>
      <c r="O3004" s="4" t="str">
        <f>LEFT(Table2[[#This Row],[Description]],75)</f>
        <v>South Lake Pediatrics</v>
      </c>
      <c r="P3004" s="2" t="s">
        <v>2281</v>
      </c>
    </row>
    <row r="3005" spans="1:16" hidden="1">
      <c r="A3005" s="2">
        <v>202007</v>
      </c>
      <c r="B3005" s="3">
        <v>44041</v>
      </c>
      <c r="C3005" s="2" t="s">
        <v>2265</v>
      </c>
      <c r="D3005" s="2" t="s">
        <v>2112</v>
      </c>
      <c r="E3005" s="2">
        <v>-141.19999999999999</v>
      </c>
      <c r="F3005" s="2" t="e">
        <f>IF(Table2[[#This Row],[Manual Cat Value]]="",VLOOKUP(Table2[[#This Row],[Description]],'Actuals Lookup'!D:F,3,0),Table2[[#This Row],[Manual Cat Value]])</f>
        <v>#N/A</v>
      </c>
      <c r="J3005" s="2">
        <v>141.19999999999999</v>
      </c>
      <c r="K3005" s="2" t="b">
        <v>0</v>
      </c>
      <c r="L3005" s="2"/>
      <c r="M3005" s="2"/>
      <c r="N3005" s="4" t="s">
        <v>2273</v>
      </c>
      <c r="O3005" s="4" t="str">
        <f>LEFT(Table2[[#This Row],[Description]],75)</f>
        <v>Venmo Type Cashout</v>
      </c>
      <c r="P3005" s="2" t="s">
        <v>2279</v>
      </c>
    </row>
    <row r="3006" spans="1:16" hidden="1">
      <c r="A3006" s="2">
        <v>202007</v>
      </c>
      <c r="B3006" s="3">
        <v>44042</v>
      </c>
      <c r="C3006" s="2" t="s">
        <v>2265</v>
      </c>
      <c r="D3006" s="2" t="s">
        <v>637</v>
      </c>
      <c r="E3006" s="2">
        <v>-87.3</v>
      </c>
      <c r="F3006" s="2" t="e">
        <f>IF(Table2[[#This Row],[Manual Cat Value]]="",VLOOKUP(Table2[[#This Row],[Description]],'Actuals Lookup'!D:F,3,0),Table2[[#This Row],[Manual Cat Value]])</f>
        <v>#N/A</v>
      </c>
      <c r="J3006" s="2">
        <v>87.3</v>
      </c>
      <c r="K3006" s="2" t="b">
        <v>0</v>
      </c>
      <c r="L3006" s="2"/>
      <c r="M3006" s="2"/>
      <c r="N3006" s="4" t="s">
        <v>2273</v>
      </c>
      <c r="O3006" s="4" t="str">
        <f>LEFT(Table2[[#This Row],[Description]],75)</f>
        <v>Connectyourcare Type Svbclaims</v>
      </c>
      <c r="P3006" s="2" t="s">
        <v>2281</v>
      </c>
    </row>
    <row r="3007" spans="1:16" hidden="1">
      <c r="A3007" s="2">
        <v>202007</v>
      </c>
      <c r="B3007" s="3">
        <v>44042</v>
      </c>
      <c r="C3007" s="2" t="s">
        <v>2265</v>
      </c>
      <c r="D3007" s="2" t="s">
        <v>1047</v>
      </c>
      <c r="E3007" s="2">
        <v>-2688.27</v>
      </c>
      <c r="F3007" s="2" t="e">
        <f>IF(Table2[[#This Row],[Manual Cat Value]]="",VLOOKUP(Table2[[#This Row],[Description]],'Actuals Lookup'!D:F,3,0),Table2[[#This Row],[Manual Cat Value]])</f>
        <v>#N/A</v>
      </c>
      <c r="J3007" s="2">
        <v>2688.27</v>
      </c>
      <c r="K3007" s="2" t="b">
        <v>0</v>
      </c>
      <c r="L3007" s="2"/>
      <c r="M3007" s="2"/>
      <c r="N3007" s="4" t="s">
        <v>2273</v>
      </c>
      <c r="O3007" s="4" t="str">
        <f>LEFT(Table2[[#This Row],[Description]],75)</f>
        <v>KAUFMAN HALL TYPE DIRECT DEP ID CO KAUFMAN HALL ACH ECC PPD ACH Trace 33315</v>
      </c>
      <c r="P3007" s="2" t="s">
        <v>2285</v>
      </c>
    </row>
    <row r="3008" spans="1:16" hidden="1">
      <c r="A3008" s="2">
        <v>202007</v>
      </c>
      <c r="B3008" s="3">
        <v>44042</v>
      </c>
      <c r="C3008" s="2" t="s">
        <v>2300</v>
      </c>
      <c r="D3008" s="2" t="s">
        <v>1648</v>
      </c>
      <c r="E3008" s="2">
        <v>-300</v>
      </c>
      <c r="F3008" s="2" t="e">
        <f>IF(Table2[[#This Row],[Manual Cat Value]]="",VLOOKUP(Table2[[#This Row],[Description]],'Actuals Lookup'!D:F,3,0),Table2[[#This Row],[Manual Cat Value]])</f>
        <v>#N/A</v>
      </c>
      <c r="J3008" s="2">
        <v>300</v>
      </c>
      <c r="K3008" s="2" t="b">
        <v>0</v>
      </c>
      <c r="L3008" s="2"/>
      <c r="M3008" s="2"/>
      <c r="N3008" s="4" t="s">
        <v>2273</v>
      </c>
      <c r="O3008" s="4" t="str">
        <f>LEFT(Table2[[#This Row],[Description]],75)</f>
        <v>Share</v>
      </c>
      <c r="P3008" s="2" t="s">
        <v>2448</v>
      </c>
    </row>
    <row r="3009" spans="1:16" hidden="1">
      <c r="A3009" s="2">
        <v>202007</v>
      </c>
      <c r="B3009" s="3">
        <v>44042</v>
      </c>
      <c r="C3009" s="2" t="s">
        <v>2265</v>
      </c>
      <c r="D3009" s="2" t="s">
        <v>1904</v>
      </c>
      <c r="E3009" s="2">
        <v>300</v>
      </c>
      <c r="F3009" s="2" t="e">
        <f>IF(Table2[[#This Row],[Manual Cat Value]]="",VLOOKUP(Table2[[#This Row],[Description]],'Actuals Lookup'!D:F,3,0),Table2[[#This Row],[Manual Cat Value]])</f>
        <v>#N/A</v>
      </c>
      <c r="J3009" s="2">
        <v>300</v>
      </c>
      <c r="K3009" s="2" t="b">
        <v>0</v>
      </c>
      <c r="L3009" s="2"/>
      <c r="M3009" s="2"/>
      <c r="N3009" s="4" t="s">
        <v>2259</v>
      </c>
      <c r="O3009" s="4" t="str">
        <f>LEFT(Table2[[#This Row],[Description]],75)</f>
        <v>To Share 12 330084317</v>
      </c>
      <c r="P3009" s="2" t="s">
        <v>2281</v>
      </c>
    </row>
    <row r="3010" spans="1:16" hidden="1">
      <c r="A3010" s="2">
        <v>202007</v>
      </c>
      <c r="B3010" s="3">
        <v>44043</v>
      </c>
      <c r="C3010" s="2" t="s">
        <v>2317</v>
      </c>
      <c r="D3010" s="2" t="s">
        <v>354</v>
      </c>
      <c r="E3010" s="2">
        <v>-200</v>
      </c>
      <c r="F3010" s="2" t="e">
        <f>IF(Table2[[#This Row],[Manual Cat Value]]="",VLOOKUP(Table2[[#This Row],[Description]],'Actuals Lookup'!D:F,3,0),Table2[[#This Row],[Manual Cat Value]])</f>
        <v>#N/A</v>
      </c>
      <c r="J3010" s="2">
        <v>200</v>
      </c>
      <c r="K3010" s="2" t="b">
        <v>0</v>
      </c>
      <c r="L3010" s="2"/>
      <c r="M3010" s="2"/>
      <c r="N3010" s="4" t="s">
        <v>2273</v>
      </c>
      <c r="O3010" s="4" t="str">
        <f>LEFT(Table2[[#This Row],[Description]],75)</f>
        <v>CARGILL COCOA &amp;</v>
      </c>
      <c r="P3010" s="2" t="s">
        <v>2354</v>
      </c>
    </row>
    <row r="3011" spans="1:16" hidden="1">
      <c r="A3011" s="2">
        <v>202007</v>
      </c>
      <c r="B3011" s="3">
        <v>44043</v>
      </c>
      <c r="C3011" s="2" t="s">
        <v>2262</v>
      </c>
      <c r="D3011" s="2" t="s">
        <v>796</v>
      </c>
      <c r="E3011" s="2">
        <v>9.4700000000000006</v>
      </c>
      <c r="F3011" s="2" t="e">
        <f>IF(Table2[[#This Row],[Manual Cat Value]]="",VLOOKUP(Table2[[#This Row],[Description]],'Actuals Lookup'!D:F,3,0),Table2[[#This Row],[Manual Cat Value]])</f>
        <v>#N/A</v>
      </c>
      <c r="J3011" s="2">
        <v>9.4700000000000006</v>
      </c>
      <c r="K3011" s="2" t="b">
        <v>0</v>
      </c>
      <c r="L3011" s="2"/>
      <c r="M3011" s="2"/>
      <c r="N3011" s="4" t="s">
        <v>2259</v>
      </c>
      <c r="O3011" s="4" t="str">
        <f>LEFT(Table2[[#This Row],[Description]],75)</f>
        <v>DVS MNLARS SERVICE FEE 6512966297 MN 330505980</v>
      </c>
      <c r="P3011" s="2" t="s">
        <v>2281</v>
      </c>
    </row>
    <row r="3012" spans="1:16" hidden="1">
      <c r="A3012" s="2">
        <v>202007</v>
      </c>
      <c r="B3012" s="3">
        <v>44043</v>
      </c>
      <c r="C3012" s="2" t="s">
        <v>2262</v>
      </c>
      <c r="D3012" s="2" t="s">
        <v>797</v>
      </c>
      <c r="E3012" s="2">
        <v>380.25</v>
      </c>
      <c r="F3012" s="2" t="e">
        <f>IF(Table2[[#This Row],[Manual Cat Value]]="",VLOOKUP(Table2[[#This Row],[Description]],'Actuals Lookup'!D:F,3,0),Table2[[#This Row],[Manual Cat Value]])</f>
        <v>#N/A</v>
      </c>
      <c r="J3012" s="2">
        <v>380.25</v>
      </c>
      <c r="K3012" s="2" t="b">
        <v>0</v>
      </c>
      <c r="L3012" s="2"/>
      <c r="M3012" s="2"/>
      <c r="N3012" s="4" t="s">
        <v>2259</v>
      </c>
      <c r="O3012" s="4" t="str">
        <f>LEFT(Table2[[#This Row],[Description]],75)</f>
        <v>DVS ONLINE TAB RENEWAL 6512966297 MN 330505981</v>
      </c>
      <c r="P3012" s="2" t="s">
        <v>2281</v>
      </c>
    </row>
    <row r="3013" spans="1:16" hidden="1">
      <c r="A3013" s="2">
        <v>202007</v>
      </c>
      <c r="B3013" s="3">
        <v>44043</v>
      </c>
      <c r="C3013" s="2" t="s">
        <v>2274</v>
      </c>
      <c r="D3013" s="2" t="s">
        <v>994</v>
      </c>
      <c r="E3013" s="2">
        <v>-0.02</v>
      </c>
      <c r="F3013" s="2" t="e">
        <f>IF(Table2[[#This Row],[Manual Cat Value]]="",VLOOKUP(Table2[[#This Row],[Description]],'Actuals Lookup'!D:F,3,0),Table2[[#This Row],[Manual Cat Value]])</f>
        <v>#N/A</v>
      </c>
      <c r="J3013" s="2">
        <v>0.02</v>
      </c>
      <c r="K3013" s="2" t="b">
        <v>0</v>
      </c>
      <c r="L3013" s="2"/>
      <c r="M3013" s="2"/>
      <c r="N3013" s="4" t="s">
        <v>2273</v>
      </c>
      <c r="O3013" s="4" t="str">
        <f>LEFT(Table2[[#This Row],[Description]],75)</f>
        <v>Interest Paid</v>
      </c>
      <c r="P3013" s="2" t="s">
        <v>2312</v>
      </c>
    </row>
    <row r="3014" spans="1:16" hidden="1">
      <c r="A3014" s="2">
        <v>202007</v>
      </c>
      <c r="B3014" s="3">
        <v>44043</v>
      </c>
      <c r="C3014" s="2" t="s">
        <v>2317</v>
      </c>
      <c r="D3014" s="2" t="s">
        <v>1037</v>
      </c>
      <c r="E3014" s="2">
        <v>-250</v>
      </c>
      <c r="F3014" s="2" t="e">
        <f>IF(Table2[[#This Row],[Manual Cat Value]]="",VLOOKUP(Table2[[#This Row],[Description]],'Actuals Lookup'!D:F,3,0),Table2[[#This Row],[Manual Cat Value]])</f>
        <v>#N/A</v>
      </c>
      <c r="J3014" s="2">
        <v>250</v>
      </c>
      <c r="K3014" s="2" t="b">
        <v>0</v>
      </c>
      <c r="L3014" s="2"/>
      <c r="M3014" s="2"/>
      <c r="N3014" s="4" t="s">
        <v>2273</v>
      </c>
      <c r="O3014" s="4" t="str">
        <f>LEFT(Table2[[#This Row],[Description]],75)</f>
        <v>KAUFMAN HALL</v>
      </c>
      <c r="P3014" s="2" t="s">
        <v>2375</v>
      </c>
    </row>
    <row r="3015" spans="1:16" hidden="1">
      <c r="A3015" s="2">
        <v>202007</v>
      </c>
      <c r="B3015" s="3">
        <v>44043</v>
      </c>
      <c r="C3015" s="2" t="s">
        <v>2300</v>
      </c>
      <c r="D3015" s="2" t="s">
        <v>1709</v>
      </c>
      <c r="E3015" s="2">
        <v>-13.53</v>
      </c>
      <c r="F3015" s="2" t="e">
        <f>IF(Table2[[#This Row],[Manual Cat Value]]="",VLOOKUP(Table2[[#This Row],[Description]],'Actuals Lookup'!D:F,3,0),Table2[[#This Row],[Manual Cat Value]])</f>
        <v>#N/A</v>
      </c>
      <c r="J3015" s="2">
        <v>13.53</v>
      </c>
      <c r="K3015" s="2" t="b">
        <v>0</v>
      </c>
      <c r="L3015" s="2"/>
      <c r="M3015" s="2"/>
      <c r="N3015" s="4" t="s">
        <v>2273</v>
      </c>
      <c r="O3015" s="4" t="str">
        <f>LEFT(Table2[[#This Row],[Description]],75)</f>
        <v>Split Rate Apy</v>
      </c>
      <c r="P3015" s="2" t="s">
        <v>2313</v>
      </c>
    </row>
    <row r="3016" spans="1:16" hidden="1">
      <c r="A3016" s="2">
        <v>202007</v>
      </c>
      <c r="B3016" s="3">
        <v>44043</v>
      </c>
      <c r="C3016" s="2" t="s">
        <v>2265</v>
      </c>
      <c r="D3016" s="2" t="s">
        <v>1709</v>
      </c>
      <c r="E3016" s="2">
        <v>-25.35</v>
      </c>
      <c r="F3016" s="2" t="e">
        <f>IF(Table2[[#This Row],[Manual Cat Value]]="",VLOOKUP(Table2[[#This Row],[Description]],'Actuals Lookup'!D:F,3,0),Table2[[#This Row],[Manual Cat Value]])</f>
        <v>#N/A</v>
      </c>
      <c r="J3016" s="2">
        <v>25.35</v>
      </c>
      <c r="K3016" s="2" t="b">
        <v>0</v>
      </c>
      <c r="L3016" s="2"/>
      <c r="M3016" s="2"/>
      <c r="N3016" s="4" t="s">
        <v>2273</v>
      </c>
      <c r="O3016" s="4" t="str">
        <f>LEFT(Table2[[#This Row],[Description]],75)</f>
        <v>Split Rate Apy</v>
      </c>
      <c r="P3016" s="2" t="s">
        <v>2313</v>
      </c>
    </row>
    <row r="3017" spans="1:16" hidden="1">
      <c r="A3017" s="2">
        <v>202007</v>
      </c>
      <c r="B3017" s="3">
        <v>44043</v>
      </c>
      <c r="C3017" s="2" t="s">
        <v>2317</v>
      </c>
      <c r="D3017" s="2" t="s">
        <v>1786</v>
      </c>
      <c r="E3017" s="2">
        <v>-23.03</v>
      </c>
      <c r="F3017" s="2" t="e">
        <f>IF(Table2[[#This Row],[Manual Cat Value]]="",VLOOKUP(Table2[[#This Row],[Description]],'Actuals Lookup'!D:F,3,0),Table2[[#This Row],[Manual Cat Value]])</f>
        <v>#N/A</v>
      </c>
      <c r="J3017" s="2">
        <v>23.03</v>
      </c>
      <c r="K3017" s="2" t="b">
        <v>0</v>
      </c>
      <c r="L3017" s="2"/>
      <c r="M3017" s="2"/>
      <c r="N3017" s="4" t="s">
        <v>2273</v>
      </c>
      <c r="O3017" s="4" t="str">
        <f>LEFT(Table2[[#This Row],[Description]],75)</f>
        <v>STRYKER CORP</v>
      </c>
      <c r="P3017" s="2" t="s">
        <v>2385</v>
      </c>
    </row>
    <row r="3018" spans="1:16" hidden="1">
      <c r="A3018" s="2">
        <v>202007</v>
      </c>
      <c r="B3018" s="3">
        <v>44043</v>
      </c>
      <c r="C3018" s="2" t="s">
        <v>2434</v>
      </c>
      <c r="D3018" s="2" t="s">
        <v>1834</v>
      </c>
      <c r="E3018" s="2">
        <v>-231</v>
      </c>
      <c r="F3018" s="2" t="e">
        <f>IF(Table2[[#This Row],[Manual Cat Value]]="",VLOOKUP(Table2[[#This Row],[Description]],'Actuals Lookup'!D:F,3,0),Table2[[#This Row],[Manual Cat Value]])</f>
        <v>#N/A</v>
      </c>
      <c r="J3018" s="2">
        <v>231</v>
      </c>
      <c r="K3018" s="2" t="b">
        <v>0</v>
      </c>
      <c r="L3018" s="2"/>
      <c r="M3018" s="2"/>
      <c r="N3018" s="4" t="s">
        <v>2273</v>
      </c>
      <c r="O3018" s="4" t="str">
        <f>LEFT(Table2[[#This Row],[Description]],75)</f>
        <v>Tfr JPMORGAN CHASE BAN, CARGILL COCOA &amp;</v>
      </c>
      <c r="P3018" s="2" t="s">
        <v>2356</v>
      </c>
    </row>
    <row r="3019" spans="1:16" hidden="1">
      <c r="A3019" s="2">
        <v>202007</v>
      </c>
      <c r="B3019" s="3">
        <v>44043</v>
      </c>
      <c r="C3019" s="2" t="s">
        <v>2435</v>
      </c>
      <c r="D3019" s="2" t="s">
        <v>1837</v>
      </c>
      <c r="E3019" s="2">
        <v>-250</v>
      </c>
      <c r="F3019" s="2" t="e">
        <f>IF(Table2[[#This Row],[Manual Cat Value]]="",VLOOKUP(Table2[[#This Row],[Description]],'Actuals Lookup'!D:F,3,0),Table2[[#This Row],[Manual Cat Value]])</f>
        <v>#N/A</v>
      </c>
      <c r="J3019" s="2">
        <v>250</v>
      </c>
      <c r="K3019" s="2" t="b">
        <v>0</v>
      </c>
      <c r="L3019" s="2"/>
      <c r="M3019" s="2"/>
      <c r="N3019" s="4" t="s">
        <v>2273</v>
      </c>
      <c r="O3019" s="4" t="str">
        <f>LEFT(Table2[[#This Row],[Description]],75)</f>
        <v>Tfr JPMORGAN CHASE BAN, KAUFMAN HALL</v>
      </c>
      <c r="P3019" s="2" t="s">
        <v>2288</v>
      </c>
    </row>
    <row r="3020" spans="1:16" hidden="1">
      <c r="A3020" s="2">
        <v>202007</v>
      </c>
      <c r="B3020" s="3">
        <v>44043</v>
      </c>
      <c r="C3020" s="2" t="s">
        <v>2262</v>
      </c>
      <c r="D3020" s="2" t="s">
        <v>1926</v>
      </c>
      <c r="E3020" s="2">
        <v>172.86</v>
      </c>
      <c r="F3020" s="2" t="e">
        <f>IF(Table2[[#This Row],[Manual Cat Value]]="",VLOOKUP(Table2[[#This Row],[Description]],'Actuals Lookup'!D:F,3,0),Table2[[#This Row],[Manual Cat Value]])</f>
        <v>#N/A</v>
      </c>
      <c r="J3020" s="2">
        <v>172.86</v>
      </c>
      <c r="K3020" s="2" t="b">
        <v>0</v>
      </c>
      <c r="L3020" s="2"/>
      <c r="M3020" s="2"/>
      <c r="N3020" s="4" t="s">
        <v>2259</v>
      </c>
      <c r="O3020" s="4" t="str">
        <f>LEFT(Table2[[#This Row],[Description]],75)</f>
        <v>Total Wine and More</v>
      </c>
      <c r="P3020" s="2" t="s">
        <v>2281</v>
      </c>
    </row>
    <row r="3021" spans="1:16" hidden="1">
      <c r="A3021" s="2">
        <v>202007</v>
      </c>
      <c r="B3021" s="3">
        <v>44043</v>
      </c>
      <c r="C3021" s="2" t="s">
        <v>2265</v>
      </c>
      <c r="D3021" s="2" t="s">
        <v>2109</v>
      </c>
      <c r="E3021" s="2">
        <v>175</v>
      </c>
      <c r="F3021" s="2" t="str">
        <f>IF(Table2[[#This Row],[Manual Cat Value]]="",VLOOKUP(Table2[[#This Row],[Description]],'Actuals Lookup'!D:F,3,0),Table2[[#This Row],[Manual Cat Value]])</f>
        <v>Shopping</v>
      </c>
      <c r="J3021" s="2">
        <v>175</v>
      </c>
      <c r="K3021" s="2" t="b">
        <v>0</v>
      </c>
      <c r="L3021" s="2"/>
      <c r="M3021" s="2"/>
      <c r="N3021" s="4" t="s">
        <v>2259</v>
      </c>
      <c r="O3021" s="4" t="str">
        <f>LEFT(Table2[[#This Row],[Description]],75)</f>
        <v>Venmo</v>
      </c>
      <c r="P3021" s="2" t="s">
        <v>2281</v>
      </c>
    </row>
    <row r="3022" spans="1:16" hidden="1">
      <c r="A3022" s="2">
        <v>202008</v>
      </c>
      <c r="B3022" s="3">
        <v>44044</v>
      </c>
      <c r="C3022" s="2" t="s">
        <v>2314</v>
      </c>
      <c r="D3022" s="2" t="s">
        <v>872</v>
      </c>
      <c r="E3022" s="2">
        <v>-573.33000000000004</v>
      </c>
      <c r="F3022" s="2" t="e">
        <f>IF(Table2[[#This Row],[Manual Cat Value]]="",VLOOKUP(Table2[[#This Row],[Description]],'Actuals Lookup'!D:F,3,0),Table2[[#This Row],[Manual Cat Value]])</f>
        <v>#N/A</v>
      </c>
      <c r="J3022" s="2">
        <v>573.33000000000004</v>
      </c>
      <c r="K3022" s="2" t="b">
        <v>0</v>
      </c>
      <c r="L3022" s="2"/>
      <c r="M3022" s="2"/>
      <c r="N3022" s="4" t="s">
        <v>2273</v>
      </c>
      <c r="O3022" s="4" t="str">
        <f>LEFT(Table2[[#This Row],[Description]],75)</f>
        <v>From Share 70 330752260</v>
      </c>
      <c r="P3022" s="2"/>
    </row>
    <row r="3023" spans="1:16" hidden="1">
      <c r="A3023" s="2">
        <v>202008</v>
      </c>
      <c r="B3023" s="3">
        <v>44044</v>
      </c>
      <c r="C3023" s="2" t="s">
        <v>2265</v>
      </c>
      <c r="D3023" s="2" t="s">
        <v>1890</v>
      </c>
      <c r="E3023" s="2">
        <v>618.65</v>
      </c>
      <c r="F3023" s="2" t="e">
        <f>IF(Table2[[#This Row],[Manual Cat Value]]="",VLOOKUP(Table2[[#This Row],[Description]],'Actuals Lookup'!D:F,3,0),Table2[[#This Row],[Manual Cat Value]])</f>
        <v>#N/A</v>
      </c>
      <c r="J3023" s="2">
        <v>618.65</v>
      </c>
      <c r="K3023" s="2" t="b">
        <v>0</v>
      </c>
      <c r="L3023" s="2"/>
      <c r="M3023" s="2"/>
      <c r="N3023" s="4" t="s">
        <v>2259</v>
      </c>
      <c r="O3023" s="4" t="str">
        <f>LEFT(Table2[[#This Row],[Description]],75)</f>
        <v>To Loan 02 330627218</v>
      </c>
      <c r="P3023" s="2" t="s">
        <v>2316</v>
      </c>
    </row>
    <row r="3024" spans="1:16" hidden="1">
      <c r="A3024" s="2">
        <v>202008</v>
      </c>
      <c r="B3024" s="3">
        <v>44045</v>
      </c>
      <c r="C3024" s="2" t="s">
        <v>2262</v>
      </c>
      <c r="D3024" s="2" t="s">
        <v>114</v>
      </c>
      <c r="E3024" s="2">
        <v>4.28</v>
      </c>
      <c r="F3024" s="2" t="str">
        <f>IF(Table2[[#This Row],[Manual Cat Value]]="",VLOOKUP(Table2[[#This Row],[Description]],'Actuals Lookup'!D:F,3,0),Table2[[#This Row],[Manual Cat Value]])</f>
        <v>Entertainment</v>
      </c>
      <c r="J3024" s="2">
        <v>4.28</v>
      </c>
      <c r="K3024" s="2" t="b">
        <v>0</v>
      </c>
      <c r="L3024" s="2"/>
      <c r="M3024" s="2"/>
      <c r="N3024" s="4" t="s">
        <v>2259</v>
      </c>
      <c r="O3024" s="4" t="str">
        <f>LEFT(Table2[[#This Row],[Description]],75)</f>
        <v>Amazon Music</v>
      </c>
      <c r="P3024" s="2" t="s">
        <v>2466</v>
      </c>
    </row>
    <row r="3025" spans="1:16" hidden="1">
      <c r="A3025" s="2">
        <v>202008</v>
      </c>
      <c r="B3025" s="3">
        <v>44045</v>
      </c>
      <c r="C3025" s="2" t="s">
        <v>2262</v>
      </c>
      <c r="D3025" s="2" t="s">
        <v>684</v>
      </c>
      <c r="E3025" s="2">
        <v>17.47</v>
      </c>
      <c r="F3025" s="2" t="str">
        <f>IF(Table2[[#This Row],[Manual Cat Value]]="",VLOOKUP(Table2[[#This Row],[Description]],'Actuals Lookup'!D:F,3,0),Table2[[#This Row],[Manual Cat Value]])</f>
        <v>Groceries</v>
      </c>
      <c r="J3025" s="2">
        <v>17.47</v>
      </c>
      <c r="K3025" s="2" t="b">
        <v>0</v>
      </c>
      <c r="L3025" s="2"/>
      <c r="M3025" s="2"/>
      <c r="N3025" s="4" t="s">
        <v>2259</v>
      </c>
      <c r="O3025" s="4" t="str">
        <f>LEFT(Table2[[#This Row],[Description]],75)</f>
        <v>Cub Foods</v>
      </c>
      <c r="P3025" s="2" t="s">
        <v>2370</v>
      </c>
    </row>
    <row r="3026" spans="1:16" hidden="1">
      <c r="A3026" s="2">
        <v>202008</v>
      </c>
      <c r="B3026" s="3">
        <v>44045</v>
      </c>
      <c r="C3026" s="2" t="s">
        <v>2262</v>
      </c>
      <c r="D3026" s="2" t="s">
        <v>803</v>
      </c>
      <c r="E3026" s="2">
        <v>401.19</v>
      </c>
      <c r="F3026" s="2" t="e">
        <f>IF(Table2[[#This Row],[Manual Cat Value]]="",VLOOKUP(Table2[[#This Row],[Description]],'Actuals Lookup'!D:F,3,0),Table2[[#This Row],[Manual Cat Value]])</f>
        <v>#N/A</v>
      </c>
      <c r="J3026" s="2">
        <v>401.19</v>
      </c>
      <c r="K3026" s="2" t="b">
        <v>0</v>
      </c>
      <c r="L3026" s="2"/>
      <c r="M3026" s="2"/>
      <c r="N3026" s="4" t="s">
        <v>2259</v>
      </c>
      <c r="O3026" s="4" t="str">
        <f>LEFT(Table2[[#This Row],[Description]],75)</f>
        <v>Eden Prairie Scheels</v>
      </c>
      <c r="P3026" s="2" t="s">
        <v>2281</v>
      </c>
    </row>
    <row r="3027" spans="1:16" hidden="1">
      <c r="A3027" s="2">
        <v>202008</v>
      </c>
      <c r="B3027" s="3">
        <v>44045</v>
      </c>
      <c r="C3027" s="2" t="s">
        <v>2447</v>
      </c>
      <c r="D3027" s="2" t="s">
        <v>1014</v>
      </c>
      <c r="E3027" s="2">
        <v>33.770000000000003</v>
      </c>
      <c r="F3027" s="2" t="str">
        <f>IF(Table2[[#This Row],[Manual Cat Value]]="",VLOOKUP(Table2[[#This Row],[Description]],'Actuals Lookup'!D:F,3,0),Table2[[#This Row],[Manual Cat Value]])</f>
        <v>Restaurants</v>
      </c>
      <c r="J3027" s="2">
        <v>33.770000000000003</v>
      </c>
      <c r="K3027" s="2" t="b">
        <v>0</v>
      </c>
      <c r="L3027" s="2"/>
      <c r="M3027" s="2"/>
      <c r="N3027" s="4" t="s">
        <v>2259</v>
      </c>
      <c r="O3027" s="4" t="str">
        <f>LEFT(Table2[[#This Row],[Description]],75)</f>
        <v>Jimmy John's</v>
      </c>
      <c r="P3027" s="2" t="s">
        <v>2453</v>
      </c>
    </row>
    <row r="3028" spans="1:16" hidden="1">
      <c r="A3028" s="2">
        <v>202008</v>
      </c>
      <c r="B3028" s="3">
        <v>44045</v>
      </c>
      <c r="C3028" s="2" t="s">
        <v>2258</v>
      </c>
      <c r="D3028" s="2" t="s">
        <v>1014</v>
      </c>
      <c r="E3028" s="2">
        <v>33.770000000000003</v>
      </c>
      <c r="F3028" s="2" t="str">
        <f>IF(Table2[[#This Row],[Manual Cat Value]]="",VLOOKUP(Table2[[#This Row],[Description]],'Actuals Lookup'!D:F,3,0),Table2[[#This Row],[Manual Cat Value]])</f>
        <v>Restaurants</v>
      </c>
      <c r="J3028" s="2">
        <v>33.770000000000003</v>
      </c>
      <c r="K3028" s="2" t="b">
        <v>0</v>
      </c>
      <c r="L3028" s="2"/>
      <c r="M3028" s="2"/>
      <c r="N3028" s="4" t="s">
        <v>2259</v>
      </c>
      <c r="O3028" s="4" t="str">
        <f>LEFT(Table2[[#This Row],[Description]],75)</f>
        <v>Jimmy John's</v>
      </c>
      <c r="P3028" s="2" t="s">
        <v>2453</v>
      </c>
    </row>
    <row r="3029" spans="1:16" hidden="1">
      <c r="A3029" s="2">
        <v>202008</v>
      </c>
      <c r="B3029" s="3">
        <v>44045</v>
      </c>
      <c r="C3029" s="2" t="s">
        <v>2262</v>
      </c>
      <c r="D3029" s="2" t="s">
        <v>1678</v>
      </c>
      <c r="E3029" s="2">
        <v>100.38</v>
      </c>
      <c r="F3029" s="2" t="e">
        <f>IF(Table2[[#This Row],[Manual Cat Value]]="",VLOOKUP(Table2[[#This Row],[Description]],'Actuals Lookup'!D:F,3,0),Table2[[#This Row],[Manual Cat Value]])</f>
        <v>#N/A</v>
      </c>
      <c r="J3029" s="2">
        <v>100.38</v>
      </c>
      <c r="K3029" s="2" t="b">
        <v>0</v>
      </c>
      <c r="L3029" s="2"/>
      <c r="M3029" s="2"/>
      <c r="N3029" s="4" t="s">
        <v>2259</v>
      </c>
      <c r="O3029" s="4" t="str">
        <f>LEFT(Table2[[#This Row],[Description]],75)</f>
        <v>SOTA CLOTHING EDEN PRAIRI MN 331050065</v>
      </c>
      <c r="P3029" s="2" t="s">
        <v>2468</v>
      </c>
    </row>
    <row r="3030" spans="1:16" hidden="1">
      <c r="A3030" s="2">
        <v>202008</v>
      </c>
      <c r="B3030" s="3">
        <v>44045</v>
      </c>
      <c r="C3030" s="2" t="s">
        <v>2262</v>
      </c>
      <c r="D3030" s="2" t="s">
        <v>1832</v>
      </c>
      <c r="E3030" s="2">
        <v>77.459999999999994</v>
      </c>
      <c r="F3030" s="2" t="e">
        <f>IF(Table2[[#This Row],[Manual Cat Value]]="",VLOOKUP(Table2[[#This Row],[Description]],'Actuals Lookup'!D:F,3,0),Table2[[#This Row],[Manual Cat Value]])</f>
        <v>#N/A</v>
      </c>
      <c r="J3030" s="2">
        <v>77.459999999999994</v>
      </c>
      <c r="K3030" s="2" t="b">
        <v>0</v>
      </c>
      <c r="L3030" s="2"/>
      <c r="M3030" s="2"/>
      <c r="N3030" s="4" t="s">
        <v>2259</v>
      </c>
      <c r="O3030" s="4" t="str">
        <f>LEFT(Table2[[#This Row],[Description]],75)</f>
        <v>TEQUILA BUTCHER CHANHASSEN MN 331050062</v>
      </c>
      <c r="P3030" s="2" t="s">
        <v>2446</v>
      </c>
    </row>
    <row r="3031" spans="1:16" hidden="1">
      <c r="A3031" s="2">
        <v>202008</v>
      </c>
      <c r="B3031" s="3">
        <v>44045</v>
      </c>
      <c r="C3031" s="2" t="s">
        <v>2262</v>
      </c>
      <c r="D3031" s="2" t="s">
        <v>2002</v>
      </c>
      <c r="E3031" s="2">
        <v>47.29</v>
      </c>
      <c r="F3031" s="2" t="e">
        <f>IF(Table2[[#This Row],[Manual Cat Value]]="",VLOOKUP(Table2[[#This Row],[Description]],'Actuals Lookup'!D:F,3,0),Table2[[#This Row],[Manual Cat Value]])</f>
        <v>#N/A</v>
      </c>
      <c r="J3031" s="2">
        <v>47.29</v>
      </c>
      <c r="K3031" s="2" t="b">
        <v>0</v>
      </c>
      <c r="L3031" s="2"/>
      <c r="M3031" s="2"/>
      <c r="N3031" s="4" t="s">
        <v>2259</v>
      </c>
      <c r="O3031" s="4" t="str">
        <f>LEFT(Table2[[#This Row],[Description]],75)</f>
        <v>True Value</v>
      </c>
      <c r="P3031" s="2" t="s">
        <v>2490</v>
      </c>
    </row>
    <row r="3032" spans="1:16" hidden="1">
      <c r="A3032" s="2">
        <v>202008</v>
      </c>
      <c r="B3032" s="3">
        <v>44046</v>
      </c>
      <c r="C3032" s="2" t="s">
        <v>2317</v>
      </c>
      <c r="D3032" s="2" t="s">
        <v>93</v>
      </c>
      <c r="E3032" s="2">
        <v>-125.87</v>
      </c>
      <c r="F3032" s="2" t="e">
        <f>IF(Table2[[#This Row],[Manual Cat Value]]="",VLOOKUP(Table2[[#This Row],[Description]],'Actuals Lookup'!D:F,3,0),Table2[[#This Row],[Manual Cat Value]])</f>
        <v>#N/A</v>
      </c>
      <c r="J3032" s="2">
        <v>125.87</v>
      </c>
      <c r="K3032" s="2" t="b">
        <v>0</v>
      </c>
      <c r="L3032" s="2"/>
      <c r="M3032" s="2"/>
      <c r="N3032" s="4" t="s">
        <v>2273</v>
      </c>
      <c r="O3032" s="4" t="str">
        <f>LEFT(Table2[[#This Row],[Description]],75)</f>
        <v>A T &amp; T INC</v>
      </c>
      <c r="P3032" s="2" t="s">
        <v>2392</v>
      </c>
    </row>
    <row r="3033" spans="1:16" hidden="1">
      <c r="A3033" s="2">
        <v>202008</v>
      </c>
      <c r="B3033" s="3">
        <v>44046</v>
      </c>
      <c r="C3033" s="2" t="s">
        <v>2447</v>
      </c>
      <c r="D3033" s="2" t="s">
        <v>38</v>
      </c>
      <c r="E3033" s="2">
        <v>71.67</v>
      </c>
      <c r="F3033" s="2" t="str">
        <f>IF(Table2[[#This Row],[Manual Cat Value]]="",VLOOKUP(Table2[[#This Row],[Description]],'Actuals Lookup'!D:F,3,0),Table2[[#This Row],[Manual Cat Value]])</f>
        <v>Amazon</v>
      </c>
      <c r="J3033" s="2">
        <v>71.67</v>
      </c>
      <c r="K3033" s="2" t="b">
        <v>0</v>
      </c>
      <c r="L3033" s="2"/>
      <c r="M3033" s="2"/>
      <c r="N3033" s="4" t="s">
        <v>2259</v>
      </c>
      <c r="O3033" s="4" t="str">
        <f>LEFT(Table2[[#This Row],[Description]],75)</f>
        <v>Amazon</v>
      </c>
      <c r="P3033" s="2" t="s">
        <v>2260</v>
      </c>
    </row>
    <row r="3034" spans="1:16" hidden="1">
      <c r="A3034" s="2">
        <v>202008</v>
      </c>
      <c r="B3034" s="3">
        <v>44046</v>
      </c>
      <c r="C3034" s="2" t="s">
        <v>2258</v>
      </c>
      <c r="D3034" s="2" t="s">
        <v>38</v>
      </c>
      <c r="E3034" s="2">
        <v>71.67</v>
      </c>
      <c r="F3034" s="2" t="str">
        <f>IF(Table2[[#This Row],[Manual Cat Value]]="",VLOOKUP(Table2[[#This Row],[Description]],'Actuals Lookup'!D:F,3,0),Table2[[#This Row],[Manual Cat Value]])</f>
        <v>Amazon</v>
      </c>
      <c r="J3034" s="2">
        <v>71.67</v>
      </c>
      <c r="K3034" s="2" t="b">
        <v>0</v>
      </c>
      <c r="L3034" s="2"/>
      <c r="M3034" s="2"/>
      <c r="N3034" s="4" t="s">
        <v>2259</v>
      </c>
      <c r="O3034" s="4" t="str">
        <f>LEFT(Table2[[#This Row],[Description]],75)</f>
        <v>Amazon</v>
      </c>
      <c r="P3034" s="2" t="s">
        <v>2260</v>
      </c>
    </row>
    <row r="3035" spans="1:16" hidden="1">
      <c r="A3035" s="2">
        <v>202008</v>
      </c>
      <c r="B3035" s="3">
        <v>44046</v>
      </c>
      <c r="C3035" s="2" t="s">
        <v>2317</v>
      </c>
      <c r="D3035" s="2" t="s">
        <v>305</v>
      </c>
      <c r="E3035" s="2">
        <v>782.5</v>
      </c>
      <c r="F3035" s="2" t="e">
        <f>IF(Table2[[#This Row],[Manual Cat Value]]="",VLOOKUP(Table2[[#This Row],[Description]],'Actuals Lookup'!D:F,3,0),Table2[[#This Row],[Manual Cat Value]])</f>
        <v>#N/A</v>
      </c>
      <c r="J3035" s="2">
        <v>782.5</v>
      </c>
      <c r="K3035" s="2" t="b">
        <v>0</v>
      </c>
      <c r="L3035" s="2"/>
      <c r="M3035" s="2"/>
      <c r="N3035" s="4" t="s">
        <v>2259</v>
      </c>
      <c r="O3035" s="4" t="str">
        <f>LEFT(Table2[[#This Row],[Description]],75)</f>
        <v>BOEING CO</v>
      </c>
      <c r="P3035" s="2" t="s">
        <v>2425</v>
      </c>
    </row>
    <row r="3036" spans="1:16" hidden="1">
      <c r="A3036" s="2">
        <v>202008</v>
      </c>
      <c r="B3036" s="3">
        <v>44046</v>
      </c>
      <c r="C3036" s="2" t="s">
        <v>2262</v>
      </c>
      <c r="D3036" s="2" t="s">
        <v>453</v>
      </c>
      <c r="E3036" s="2">
        <v>3.97</v>
      </c>
      <c r="F3036" s="2" t="str">
        <f>IF(Table2[[#This Row],[Manual Cat Value]]="",VLOOKUP(Table2[[#This Row],[Description]],'Actuals Lookup'!D:F,3,0),Table2[[#This Row],[Manual Cat Value]])</f>
        <v>Restaurants</v>
      </c>
      <c r="J3036" s="2">
        <v>3.97</v>
      </c>
      <c r="K3036" s="2" t="b">
        <v>0</v>
      </c>
      <c r="L3036" s="2"/>
      <c r="M3036" s="2"/>
      <c r="N3036" s="4" t="s">
        <v>2259</v>
      </c>
      <c r="O3036" s="4" t="str">
        <f>LEFT(Table2[[#This Row],[Description]],75)</f>
        <v>Caribou Coffee</v>
      </c>
      <c r="P3036" s="2" t="s">
        <v>2329</v>
      </c>
    </row>
    <row r="3037" spans="1:16" hidden="1">
      <c r="A3037" s="2">
        <v>202008</v>
      </c>
      <c r="B3037" s="3">
        <v>44046</v>
      </c>
      <c r="C3037" s="2" t="s">
        <v>2265</v>
      </c>
      <c r="D3037" s="2" t="s">
        <v>581</v>
      </c>
      <c r="E3037" s="2">
        <v>200</v>
      </c>
      <c r="F3037" s="2" t="e">
        <f>IF(Table2[[#This Row],[Manual Cat Value]]="",VLOOKUP(Table2[[#This Row],[Description]],'Actuals Lookup'!D:F,3,0),Table2[[#This Row],[Manual Cat Value]])</f>
        <v>#N/A</v>
      </c>
      <c r="J3037" s="2">
        <v>200</v>
      </c>
      <c r="K3037" s="2" t="b">
        <v>0</v>
      </c>
      <c r="L3037" s="2"/>
      <c r="M3037" s="2"/>
      <c r="N3037" s="4" t="s">
        <v>2259</v>
      </c>
      <c r="O3037" s="4" t="str">
        <f>LEFT(Table2[[#This Row],[Description]],75)</f>
        <v>College Savings TYPE ACH ID 550895818 CO College Savings ACH ECC PPD ACH Tr</v>
      </c>
      <c r="P3037" s="2" t="s">
        <v>2272</v>
      </c>
    </row>
    <row r="3038" spans="1:16" hidden="1">
      <c r="A3038" s="2">
        <v>202008</v>
      </c>
      <c r="B3038" s="3">
        <v>44046</v>
      </c>
      <c r="C3038" s="2" t="s">
        <v>2262</v>
      </c>
      <c r="D3038" s="2" t="s">
        <v>684</v>
      </c>
      <c r="E3038" s="2">
        <v>5.47</v>
      </c>
      <c r="F3038" s="2" t="str">
        <f>IF(Table2[[#This Row],[Manual Cat Value]]="",VLOOKUP(Table2[[#This Row],[Description]],'Actuals Lookup'!D:F,3,0),Table2[[#This Row],[Manual Cat Value]])</f>
        <v>Groceries</v>
      </c>
      <c r="J3038" s="2">
        <v>5.47</v>
      </c>
      <c r="K3038" s="2" t="b">
        <v>0</v>
      </c>
      <c r="L3038" s="2"/>
      <c r="M3038" s="2"/>
      <c r="N3038" s="4" t="s">
        <v>2259</v>
      </c>
      <c r="O3038" s="4" t="str">
        <f>LEFT(Table2[[#This Row],[Description]],75)</f>
        <v>Cub Foods</v>
      </c>
      <c r="P3038" s="2" t="s">
        <v>2370</v>
      </c>
    </row>
    <row r="3039" spans="1:16" hidden="1">
      <c r="A3039" s="2">
        <v>202008</v>
      </c>
      <c r="B3039" s="3">
        <v>44046</v>
      </c>
      <c r="C3039" s="2" t="s">
        <v>2265</v>
      </c>
      <c r="D3039" s="2" t="s">
        <v>1241</v>
      </c>
      <c r="E3039" s="2">
        <v>391.2</v>
      </c>
      <c r="F3039" s="2" t="e">
        <f>IF(Table2[[#This Row],[Manual Cat Value]]="",VLOOKUP(Table2[[#This Row],[Description]],'Actuals Lookup'!D:F,3,0),Table2[[#This Row],[Manual Cat Value]])</f>
        <v>#N/A</v>
      </c>
      <c r="J3039" s="2">
        <v>391.2</v>
      </c>
      <c r="K3039" s="2" t="b">
        <v>0</v>
      </c>
      <c r="L3039" s="2"/>
      <c r="M3039" s="2"/>
      <c r="N3039" s="4" t="s">
        <v>2259</v>
      </c>
      <c r="O3039" s="4" t="str">
        <f>LEFT(Table2[[#This Row],[Description]],75)</f>
        <v>MHCHILDCARELLC TYPE DUES ID CO MHCHILDCARELLC ACH ECC PPD ACH Trace 85450</v>
      </c>
      <c r="P3039" s="2" t="s">
        <v>2281</v>
      </c>
    </row>
    <row r="3040" spans="1:16" hidden="1">
      <c r="A3040" s="2">
        <v>202008</v>
      </c>
      <c r="B3040" s="3">
        <v>44046</v>
      </c>
      <c r="C3040" s="2" t="s">
        <v>2317</v>
      </c>
      <c r="D3040" s="2" t="s">
        <v>1786</v>
      </c>
      <c r="E3040" s="2">
        <v>23.03</v>
      </c>
      <c r="F3040" s="2" t="e">
        <f>IF(Table2[[#This Row],[Manual Cat Value]]="",VLOOKUP(Table2[[#This Row],[Description]],'Actuals Lookup'!D:F,3,0),Table2[[#This Row],[Manual Cat Value]])</f>
        <v>#N/A</v>
      </c>
      <c r="J3040" s="2">
        <v>23.03</v>
      </c>
      <c r="K3040" s="2" t="b">
        <v>0</v>
      </c>
      <c r="L3040" s="2"/>
      <c r="M3040" s="2"/>
      <c r="N3040" s="4" t="s">
        <v>2259</v>
      </c>
      <c r="O3040" s="4" t="str">
        <f>LEFT(Table2[[#This Row],[Description]],75)</f>
        <v>STRYKER CORP</v>
      </c>
      <c r="P3040" s="2" t="s">
        <v>2385</v>
      </c>
    </row>
    <row r="3041" spans="1:16" hidden="1">
      <c r="A3041" s="2">
        <v>202008</v>
      </c>
      <c r="B3041" s="3">
        <v>44046</v>
      </c>
      <c r="C3041" s="2" t="s">
        <v>2262</v>
      </c>
      <c r="D3041" s="2" t="s">
        <v>2002</v>
      </c>
      <c r="E3041" s="2">
        <v>26.87</v>
      </c>
      <c r="F3041" s="2" t="e">
        <f>IF(Table2[[#This Row],[Manual Cat Value]]="",VLOOKUP(Table2[[#This Row],[Description]],'Actuals Lookup'!D:F,3,0),Table2[[#This Row],[Manual Cat Value]])</f>
        <v>#N/A</v>
      </c>
      <c r="J3041" s="2">
        <v>26.87</v>
      </c>
      <c r="K3041" s="2" t="b">
        <v>0</v>
      </c>
      <c r="L3041" s="2"/>
      <c r="M3041" s="2"/>
      <c r="N3041" s="4" t="s">
        <v>2259</v>
      </c>
      <c r="O3041" s="4" t="str">
        <f>LEFT(Table2[[#This Row],[Description]],75)</f>
        <v>True Value</v>
      </c>
      <c r="P3041" s="2" t="s">
        <v>2490</v>
      </c>
    </row>
    <row r="3042" spans="1:16" hidden="1">
      <c r="A3042" s="2">
        <v>202008</v>
      </c>
      <c r="B3042" s="3">
        <v>44047</v>
      </c>
      <c r="C3042" s="2" t="s">
        <v>2270</v>
      </c>
      <c r="D3042" s="2" t="s">
        <v>1410</v>
      </c>
      <c r="E3042" s="2">
        <v>-559.74</v>
      </c>
      <c r="F3042" s="2" t="str">
        <f>IF(Table2[[#This Row],[Manual Cat Value]]="",VLOOKUP(Table2[[#This Row],[Description]],'Actuals Lookup'!D:F,3,0),Table2[[#This Row],[Manual Cat Value]])</f>
        <v>Delete</v>
      </c>
      <c r="J3042" s="2">
        <v>559.74</v>
      </c>
      <c r="K3042" s="2" t="b">
        <v>0</v>
      </c>
      <c r="L3042" s="2"/>
      <c r="M3042" s="2"/>
      <c r="N3042" s="4" t="s">
        <v>2273</v>
      </c>
      <c r="O3042" s="4" t="str">
        <f>LEFT(Table2[[#This Row],[Description]],75)</f>
        <v>PAYMENT</v>
      </c>
      <c r="P3042" s="2" t="s">
        <v>2492</v>
      </c>
    </row>
    <row r="3043" spans="1:16" hidden="1">
      <c r="A3043" s="2">
        <v>202008</v>
      </c>
      <c r="B3043" s="3">
        <v>44047</v>
      </c>
      <c r="C3043" s="2" t="s">
        <v>2262</v>
      </c>
      <c r="D3043" s="2" t="s">
        <v>1423</v>
      </c>
      <c r="E3043" s="2">
        <v>-1313.27</v>
      </c>
      <c r="F3043" s="2" t="e">
        <f>IF(Table2[[#This Row],[Manual Cat Value]]="",VLOOKUP(Table2[[#This Row],[Description]],'Actuals Lookup'!D:F,3,0),Table2[[#This Row],[Manual Cat Value]])</f>
        <v>#N/A</v>
      </c>
      <c r="J3043" s="2">
        <v>1313.27</v>
      </c>
      <c r="K3043" s="2" t="b">
        <v>0</v>
      </c>
      <c r="L3043" s="2"/>
      <c r="M3043" s="2"/>
      <c r="N3043" s="4" t="s">
        <v>2273</v>
      </c>
      <c r="O3043" s="4" t="str">
        <f>LEFT(Table2[[#This Row],[Description]],75)</f>
        <v>PAYMENT THANK YOU</v>
      </c>
      <c r="P3043" s="2" t="s">
        <v>2391</v>
      </c>
    </row>
    <row r="3044" spans="1:16" hidden="1">
      <c r="A3044" s="2">
        <v>202008</v>
      </c>
      <c r="B3044" s="3">
        <v>44047</v>
      </c>
      <c r="C3044" s="2" t="s">
        <v>2265</v>
      </c>
      <c r="D3044" s="2" t="s">
        <v>2176</v>
      </c>
      <c r="E3044" s="2">
        <v>1313.27</v>
      </c>
      <c r="F3044" s="2" t="e">
        <f>IF(Table2[[#This Row],[Manual Cat Value]]="",VLOOKUP(Table2[[#This Row],[Description]],'Actuals Lookup'!D:F,3,0),Table2[[#This Row],[Manual Cat Value]])</f>
        <v>#N/A</v>
      </c>
      <c r="J3044" s="2">
        <v>1313.27</v>
      </c>
      <c r="K3044" s="2" t="b">
        <v>0</v>
      </c>
      <c r="L3044" s="2"/>
      <c r="M3044" s="2"/>
      <c r="N3044" s="4" t="s">
        <v>2259</v>
      </c>
      <c r="O3044" s="4" t="str">
        <f>LEFT(Table2[[#This Row],[Description]],75)</f>
        <v>Withdrawal Home payment to card 979181</v>
      </c>
      <c r="P3044" s="2" t="s">
        <v>2349</v>
      </c>
    </row>
    <row r="3045" spans="1:16" hidden="1">
      <c r="A3045" s="2">
        <v>202102</v>
      </c>
      <c r="B3045" s="3">
        <v>44228</v>
      </c>
      <c r="C3045" s="2" t="s">
        <v>2265</v>
      </c>
      <c r="D3045" s="2" t="s">
        <v>273</v>
      </c>
      <c r="E3045" s="2">
        <v>2832.55</v>
      </c>
      <c r="F3045" s="2" t="e">
        <f>IF(Table2[[#This Row],[Manual Cat Value]]="",VLOOKUP(Table2[[#This Row],[Description]],'Actuals Lookup'!D:F,3,0),Table2[[#This Row],[Manual Cat Value]])</f>
        <v>#N/A</v>
      </c>
      <c r="J3045" s="2">
        <v>2832.55</v>
      </c>
      <c r="K3045" s="2" t="b">
        <v>0</v>
      </c>
      <c r="L3045" s="2"/>
      <c r="M3045" s="2"/>
      <c r="N3045" s="4" t="s">
        <v>2259</v>
      </c>
      <c r="O3045" s="4" t="str">
        <f>LEFT(Table2[[#This Row],[Description]],75)</f>
        <v>BCU MORTGAGE TYPE LOAN PAYMT ID 9DRAFTING CO BCU MORTGAGE ACH ECC WEB ACH T</v>
      </c>
      <c r="P3045" s="2" t="s">
        <v>2345</v>
      </c>
    </row>
    <row r="3046" spans="1:16" hidden="1">
      <c r="A3046" s="2">
        <v>202008</v>
      </c>
      <c r="B3046" s="3">
        <v>44047</v>
      </c>
      <c r="C3046" s="2" t="s">
        <v>2317</v>
      </c>
      <c r="D3046" s="2" t="s">
        <v>93</v>
      </c>
      <c r="E3046" s="2">
        <v>125.87</v>
      </c>
      <c r="F3046" s="2" t="e">
        <f>IF(Table2[[#This Row],[Manual Cat Value]]="",VLOOKUP(Table2[[#This Row],[Description]],'Actuals Lookup'!D:F,3,0),Table2[[#This Row],[Manual Cat Value]])</f>
        <v>#N/A</v>
      </c>
      <c r="J3046" s="2">
        <v>125.87</v>
      </c>
      <c r="K3046" s="2" t="b">
        <v>0</v>
      </c>
      <c r="L3046" s="2"/>
      <c r="M3046" s="2"/>
      <c r="N3046" s="4" t="s">
        <v>2259</v>
      </c>
      <c r="O3046" s="4" t="str">
        <f>LEFT(Table2[[#This Row],[Description]],75)</f>
        <v>A T &amp; T INC</v>
      </c>
      <c r="P3046" s="2" t="s">
        <v>2392</v>
      </c>
    </row>
    <row r="3047" spans="1:16" hidden="1">
      <c r="A3047" s="2">
        <v>202008</v>
      </c>
      <c r="B3047" s="3">
        <v>44047</v>
      </c>
      <c r="C3047" s="2" t="s">
        <v>2447</v>
      </c>
      <c r="D3047" s="2" t="s">
        <v>38</v>
      </c>
      <c r="E3047" s="2">
        <v>7.51</v>
      </c>
      <c r="F3047" s="2" t="str">
        <f>IF(Table2[[#This Row],[Manual Cat Value]]="",VLOOKUP(Table2[[#This Row],[Description]],'Actuals Lookup'!D:F,3,0),Table2[[#This Row],[Manual Cat Value]])</f>
        <v>Amazon</v>
      </c>
      <c r="J3047" s="2">
        <v>7.51</v>
      </c>
      <c r="K3047" s="2" t="b">
        <v>0</v>
      </c>
      <c r="L3047" s="2"/>
      <c r="M3047" s="2"/>
      <c r="N3047" s="4" t="s">
        <v>2259</v>
      </c>
      <c r="O3047" s="4" t="str">
        <f>LEFT(Table2[[#This Row],[Description]],75)</f>
        <v>Amazon</v>
      </c>
      <c r="P3047" s="2" t="s">
        <v>2260</v>
      </c>
    </row>
    <row r="3048" spans="1:16" hidden="1">
      <c r="A3048" s="2">
        <v>202008</v>
      </c>
      <c r="B3048" s="3">
        <v>44047</v>
      </c>
      <c r="C3048" s="2" t="s">
        <v>2258</v>
      </c>
      <c r="D3048" s="2" t="s">
        <v>38</v>
      </c>
      <c r="E3048" s="2">
        <v>7.51</v>
      </c>
      <c r="F3048" s="2" t="str">
        <f>IF(Table2[[#This Row],[Manual Cat Value]]="",VLOOKUP(Table2[[#This Row],[Description]],'Actuals Lookup'!D:F,3,0),Table2[[#This Row],[Manual Cat Value]])</f>
        <v>Amazon</v>
      </c>
      <c r="J3048" s="2">
        <v>7.51</v>
      </c>
      <c r="K3048" s="2" t="b">
        <v>0</v>
      </c>
      <c r="L3048" s="2"/>
      <c r="M3048" s="2"/>
      <c r="N3048" s="4" t="s">
        <v>2259</v>
      </c>
      <c r="O3048" s="4" t="str">
        <f>LEFT(Table2[[#This Row],[Description]],75)</f>
        <v>Amazon</v>
      </c>
      <c r="P3048" s="2" t="s">
        <v>2260</v>
      </c>
    </row>
    <row r="3049" spans="1:16" hidden="1">
      <c r="A3049" s="2">
        <v>202008</v>
      </c>
      <c r="B3049" s="3">
        <v>44047</v>
      </c>
      <c r="C3049" s="2" t="s">
        <v>2262</v>
      </c>
      <c r="D3049" s="2" t="s">
        <v>1707</v>
      </c>
      <c r="E3049" s="2">
        <v>33.25</v>
      </c>
      <c r="F3049" s="2" t="str">
        <f>IF(Table2[[#This Row],[Manual Cat Value]]="",VLOOKUP(Table2[[#This Row],[Description]],'Actuals Lookup'!D:F,3,0),Table2[[#This Row],[Manual Cat Value]])</f>
        <v>Transportation</v>
      </c>
      <c r="J3049" s="2">
        <v>33.25</v>
      </c>
      <c r="K3049" s="2" t="b">
        <v>0</v>
      </c>
      <c r="L3049" s="2"/>
      <c r="M3049" s="2"/>
      <c r="N3049" s="4" t="s">
        <v>2259</v>
      </c>
      <c r="O3049" s="4" t="str">
        <f>LEFT(Table2[[#This Row],[Description]],75)</f>
        <v>Speedway</v>
      </c>
      <c r="P3049" s="2" t="s">
        <v>2381</v>
      </c>
    </row>
    <row r="3050" spans="1:16" hidden="1">
      <c r="A3050" s="2">
        <v>202008</v>
      </c>
      <c r="B3050" s="3">
        <v>44047</v>
      </c>
      <c r="C3050" s="2" t="s">
        <v>2262</v>
      </c>
      <c r="D3050" s="2" t="s">
        <v>1776</v>
      </c>
      <c r="E3050" s="2">
        <v>157</v>
      </c>
      <c r="F3050" s="2" t="e">
        <f>IF(Table2[[#This Row],[Manual Cat Value]]="",VLOOKUP(Table2[[#This Row],[Description]],'Actuals Lookup'!D:F,3,0),Table2[[#This Row],[Manual Cat Value]])</f>
        <v>#N/A</v>
      </c>
      <c r="J3050" s="2">
        <v>157</v>
      </c>
      <c r="K3050" s="2" t="b">
        <v>0</v>
      </c>
      <c r="L3050" s="2"/>
      <c r="M3050" s="2"/>
      <c r="N3050" s="4" t="s">
        <v>2259</v>
      </c>
      <c r="O3050" s="4" t="str">
        <f>LEFT(Table2[[#This Row],[Description]],75)</f>
        <v>State Parks</v>
      </c>
      <c r="P3050" s="2" t="s">
        <v>2281</v>
      </c>
    </row>
    <row r="3051" spans="1:16" hidden="1">
      <c r="A3051" s="2">
        <v>202008</v>
      </c>
      <c r="B3051" s="3">
        <v>44048</v>
      </c>
      <c r="C3051" s="2" t="s">
        <v>2262</v>
      </c>
      <c r="D3051" s="2" t="s">
        <v>38</v>
      </c>
      <c r="E3051" s="2">
        <v>16.14</v>
      </c>
      <c r="F3051" s="2" t="str">
        <f>IF(Table2[[#This Row],[Manual Cat Value]]="",VLOOKUP(Table2[[#This Row],[Description]],'Actuals Lookup'!D:F,3,0),Table2[[#This Row],[Manual Cat Value]])</f>
        <v>Amazon</v>
      </c>
      <c r="J3051" s="2">
        <v>16.14</v>
      </c>
      <c r="K3051" s="2" t="b">
        <v>0</v>
      </c>
      <c r="L3051" s="2"/>
      <c r="M3051" s="2"/>
      <c r="N3051" s="4" t="s">
        <v>2259</v>
      </c>
      <c r="O3051" s="4" t="str">
        <f>LEFT(Table2[[#This Row],[Description]],75)</f>
        <v>Amazon</v>
      </c>
      <c r="P3051" s="2" t="s">
        <v>2260</v>
      </c>
    </row>
    <row r="3052" spans="1:16" hidden="1">
      <c r="A3052" s="2">
        <v>202008</v>
      </c>
      <c r="B3052" s="3">
        <v>44048</v>
      </c>
      <c r="C3052" s="2" t="s">
        <v>2265</v>
      </c>
      <c r="D3052" s="2" t="s">
        <v>368</v>
      </c>
      <c r="E3052" s="2">
        <v>-1993.07</v>
      </c>
      <c r="F3052" s="2" t="e">
        <f>IF(Table2[[#This Row],[Manual Cat Value]]="",VLOOKUP(Table2[[#This Row],[Description]],'Actuals Lookup'!D:F,3,0),Table2[[#This Row],[Manual Cat Value]])</f>
        <v>#N/A</v>
      </c>
      <c r="J3052" s="2">
        <v>1993.07</v>
      </c>
      <c r="K3052" s="2" t="b">
        <v>0</v>
      </c>
      <c r="L3052" s="2"/>
      <c r="M3052" s="2"/>
      <c r="N3052" s="4" t="s">
        <v>2273</v>
      </c>
      <c r="O3052" s="4" t="str">
        <f>LEFT(Table2[[#This Row],[Description]],75)</f>
        <v>CARGILL COCOA TYPE DIR DEP ID CO CARGILL COCOA ACH ECC PPD ACH Trace 29864</v>
      </c>
      <c r="P3052" s="2" t="s">
        <v>2284</v>
      </c>
    </row>
    <row r="3053" spans="1:16" hidden="1">
      <c r="A3053" s="2">
        <v>202008</v>
      </c>
      <c r="B3053" s="3">
        <v>44048</v>
      </c>
      <c r="C3053" s="2" t="s">
        <v>2262</v>
      </c>
      <c r="D3053" s="2" t="s">
        <v>642</v>
      </c>
      <c r="E3053" s="2">
        <v>34.200000000000003</v>
      </c>
      <c r="F3053" s="2" t="e">
        <f>IF(Table2[[#This Row],[Manual Cat Value]]="",VLOOKUP(Table2[[#This Row],[Description]],'Actuals Lookup'!D:F,3,0),Table2[[#This Row],[Manual Cat Value]])</f>
        <v>#N/A</v>
      </c>
      <c r="J3053" s="2">
        <v>34.200000000000003</v>
      </c>
      <c r="K3053" s="2" t="b">
        <v>0</v>
      </c>
      <c r="L3053" s="2"/>
      <c r="M3053" s="2"/>
      <c r="N3053" s="4" t="s">
        <v>2259</v>
      </c>
      <c r="O3053" s="4" t="str">
        <f>LEFT(Table2[[#This Row],[Description]],75)</f>
        <v>Consulting Radiologists, Ltd.</v>
      </c>
      <c r="P3053" s="2" t="s">
        <v>2281</v>
      </c>
    </row>
    <row r="3054" spans="1:16" hidden="1">
      <c r="A3054" s="2">
        <v>202008</v>
      </c>
      <c r="B3054" s="3">
        <v>44048</v>
      </c>
      <c r="C3054" s="2" t="s">
        <v>2317</v>
      </c>
      <c r="D3054" s="2" t="s">
        <v>1139</v>
      </c>
      <c r="E3054" s="2">
        <v>-13.52</v>
      </c>
      <c r="F3054" s="2" t="e">
        <f>IF(Table2[[#This Row],[Manual Cat Value]]="",VLOOKUP(Table2[[#This Row],[Description]],'Actuals Lookup'!D:F,3,0),Table2[[#This Row],[Manual Cat Value]])</f>
        <v>#N/A</v>
      </c>
      <c r="J3054" s="2">
        <v>13.52</v>
      </c>
      <c r="K3054" s="2" t="b">
        <v>0</v>
      </c>
      <c r="L3054" s="2"/>
      <c r="M3054" s="2"/>
      <c r="N3054" s="4" t="s">
        <v>2273</v>
      </c>
      <c r="O3054" s="4" t="str">
        <f>LEFT(Table2[[#This Row],[Description]],75)</f>
        <v>LOWES COMPANIES INC</v>
      </c>
      <c r="P3054" s="2" t="s">
        <v>2402</v>
      </c>
    </row>
    <row r="3055" spans="1:16" hidden="1">
      <c r="A3055" s="2">
        <v>202008</v>
      </c>
      <c r="B3055" s="3">
        <v>44048</v>
      </c>
      <c r="C3055" s="2" t="s">
        <v>2265</v>
      </c>
      <c r="D3055" s="2" t="s">
        <v>2221</v>
      </c>
      <c r="E3055" s="2">
        <v>213.22</v>
      </c>
      <c r="F3055" s="2" t="str">
        <f>IF(Table2[[#This Row],[Manual Cat Value]]="",VLOOKUP(Table2[[#This Row],[Description]],'Actuals Lookup'!D:F,3,0),Table2[[#This Row],[Manual Cat Value]])</f>
        <v>Utilities</v>
      </c>
      <c r="J3055" s="2">
        <v>213.22</v>
      </c>
      <c r="K3055" s="2" t="b">
        <v>0</v>
      </c>
      <c r="L3055" s="2"/>
      <c r="M3055" s="2"/>
      <c r="N3055" s="4" t="s">
        <v>2259</v>
      </c>
      <c r="O3055" s="4" t="str">
        <f>LEFT(Table2[[#This Row],[Description]],75)</f>
        <v>Xcel Energy</v>
      </c>
      <c r="P3055" s="2" t="s">
        <v>2280</v>
      </c>
    </row>
    <row r="3056" spans="1:16" hidden="1">
      <c r="A3056" s="2">
        <v>202008</v>
      </c>
      <c r="B3056" s="3">
        <v>44049</v>
      </c>
      <c r="C3056" s="2" t="s">
        <v>2262</v>
      </c>
      <c r="D3056" s="2" t="s">
        <v>38</v>
      </c>
      <c r="E3056" s="2">
        <v>22.22</v>
      </c>
      <c r="F3056" s="2" t="str">
        <f>IF(Table2[[#This Row],[Manual Cat Value]]="",VLOOKUP(Table2[[#This Row],[Description]],'Actuals Lookup'!D:F,3,0),Table2[[#This Row],[Manual Cat Value]])</f>
        <v>Amazon</v>
      </c>
      <c r="J3056" s="2">
        <v>22.22</v>
      </c>
      <c r="K3056" s="2" t="b">
        <v>0</v>
      </c>
      <c r="L3056" s="2"/>
      <c r="M3056" s="2"/>
      <c r="N3056" s="4" t="s">
        <v>2259</v>
      </c>
      <c r="O3056" s="4" t="str">
        <f>LEFT(Table2[[#This Row],[Description]],75)</f>
        <v>Amazon</v>
      </c>
      <c r="P3056" s="2" t="s">
        <v>2260</v>
      </c>
    </row>
    <row r="3057" spans="1:16" hidden="1">
      <c r="A3057" s="2">
        <v>202008</v>
      </c>
      <c r="B3057" s="3">
        <v>44049</v>
      </c>
      <c r="C3057" s="2" t="s">
        <v>2317</v>
      </c>
      <c r="D3057" s="2" t="s">
        <v>129</v>
      </c>
      <c r="E3057" s="2">
        <v>-5.22</v>
      </c>
      <c r="F3057" s="2" t="e">
        <f>IF(Table2[[#This Row],[Manual Cat Value]]="",VLOOKUP(Table2[[#This Row],[Description]],'Actuals Lookup'!D:F,3,0),Table2[[#This Row],[Manual Cat Value]])</f>
        <v>#N/A</v>
      </c>
      <c r="J3057" s="2">
        <v>5.22</v>
      </c>
      <c r="K3057" s="2" t="b">
        <v>0</v>
      </c>
      <c r="L3057" s="2"/>
      <c r="M3057" s="2"/>
      <c r="N3057" s="4" t="s">
        <v>2273</v>
      </c>
      <c r="O3057" s="4" t="str">
        <f>LEFT(Table2[[#This Row],[Description]],75)</f>
        <v>AMERICAN AIRLS GROUP</v>
      </c>
      <c r="P3057" s="2" t="s">
        <v>2385</v>
      </c>
    </row>
    <row r="3058" spans="1:16" hidden="1">
      <c r="A3058" s="2">
        <v>202008</v>
      </c>
      <c r="B3058" s="3">
        <v>44049</v>
      </c>
      <c r="C3058" s="2" t="s">
        <v>2317</v>
      </c>
      <c r="D3058" s="2" t="s">
        <v>129</v>
      </c>
      <c r="E3058" s="2">
        <v>-178.31</v>
      </c>
      <c r="F3058" s="2" t="e">
        <f>IF(Table2[[#This Row],[Manual Cat Value]]="",VLOOKUP(Table2[[#This Row],[Description]],'Actuals Lookup'!D:F,3,0),Table2[[#This Row],[Manual Cat Value]])</f>
        <v>#N/A</v>
      </c>
      <c r="J3058" s="2">
        <v>178.31</v>
      </c>
      <c r="K3058" s="2" t="b">
        <v>0</v>
      </c>
      <c r="L3058" s="2"/>
      <c r="M3058" s="2"/>
      <c r="N3058" s="4" t="s">
        <v>2273</v>
      </c>
      <c r="O3058" s="4" t="str">
        <f>LEFT(Table2[[#This Row],[Description]],75)</f>
        <v>AMERICAN AIRLS GROUP</v>
      </c>
      <c r="P3058" s="2" t="s">
        <v>2385</v>
      </c>
    </row>
    <row r="3059" spans="1:16" hidden="1">
      <c r="A3059" s="2">
        <v>202008</v>
      </c>
      <c r="B3059" s="3">
        <v>44049</v>
      </c>
      <c r="C3059" s="2" t="s">
        <v>2265</v>
      </c>
      <c r="D3059" s="2" t="s">
        <v>425</v>
      </c>
      <c r="E3059" s="2">
        <v>-150</v>
      </c>
      <c r="F3059" s="2" t="e">
        <f>IF(Table2[[#This Row],[Manual Cat Value]]="",VLOOKUP(Table2[[#This Row],[Description]],'Actuals Lookup'!D:F,3,0),Table2[[#This Row],[Manual Cat Value]])</f>
        <v>#N/A</v>
      </c>
      <c r="J3059" s="2">
        <v>150</v>
      </c>
      <c r="K3059" s="2" t="b">
        <v>0</v>
      </c>
      <c r="L3059" s="2"/>
      <c r="M3059" s="2"/>
      <c r="N3059" s="4" t="s">
        <v>2273</v>
      </c>
      <c r="O3059" s="4" t="str">
        <f>LEFT(Table2[[#This Row],[Description]],75)</f>
        <v>Cargill Incorpor Type</v>
      </c>
      <c r="P3059" s="2" t="s">
        <v>2282</v>
      </c>
    </row>
    <row r="3060" spans="1:16" hidden="1">
      <c r="A3060" s="2">
        <v>202008</v>
      </c>
      <c r="B3060" s="3">
        <v>44049</v>
      </c>
      <c r="C3060" s="2" t="s">
        <v>2262</v>
      </c>
      <c r="D3060" s="2" t="s">
        <v>543</v>
      </c>
      <c r="E3060" s="2">
        <v>10.09</v>
      </c>
      <c r="F3060" s="2" t="e">
        <f>IF(Table2[[#This Row],[Manual Cat Value]]="",VLOOKUP(Table2[[#This Row],[Description]],'Actuals Lookup'!D:F,3,0),Table2[[#This Row],[Manual Cat Value]])</f>
        <v>#N/A</v>
      </c>
      <c r="J3060" s="2">
        <v>10.09</v>
      </c>
      <c r="K3060" s="2" t="b">
        <v>0</v>
      </c>
      <c r="L3060" s="2"/>
      <c r="M3060" s="2"/>
      <c r="N3060" s="4" t="s">
        <v>2259</v>
      </c>
      <c r="O3060" s="4" t="str">
        <f>LEFT(Table2[[#This Row],[Description]],75)</f>
        <v>Chipotle</v>
      </c>
      <c r="P3060" s="2" t="s">
        <v>2341</v>
      </c>
    </row>
    <row r="3061" spans="1:16" hidden="1">
      <c r="A3061" s="2">
        <v>202008</v>
      </c>
      <c r="B3061" s="3">
        <v>44049</v>
      </c>
      <c r="C3061" s="2" t="s">
        <v>2317</v>
      </c>
      <c r="D3061" s="2" t="s">
        <v>704</v>
      </c>
      <c r="E3061" s="2">
        <v>-21.93</v>
      </c>
      <c r="F3061" s="2" t="e">
        <f>IF(Table2[[#This Row],[Manual Cat Value]]="",VLOOKUP(Table2[[#This Row],[Description]],'Actuals Lookup'!D:F,3,0),Table2[[#This Row],[Manual Cat Value]])</f>
        <v>#N/A</v>
      </c>
      <c r="J3061" s="2">
        <v>21.93</v>
      </c>
      <c r="K3061" s="2" t="b">
        <v>0</v>
      </c>
      <c r="L3061" s="2"/>
      <c r="M3061" s="2"/>
      <c r="N3061" s="4" t="s">
        <v>2273</v>
      </c>
      <c r="O3061" s="4" t="str">
        <f>LEFT(Table2[[#This Row],[Description]],75)</f>
        <v>DELTA AIR LINES INC DEL</v>
      </c>
      <c r="P3061" s="2" t="s">
        <v>2385</v>
      </c>
    </row>
    <row r="3062" spans="1:16" hidden="1">
      <c r="A3062" s="2">
        <v>202008</v>
      </c>
      <c r="B3062" s="3">
        <v>44049</v>
      </c>
      <c r="C3062" s="2" t="s">
        <v>2317</v>
      </c>
      <c r="D3062" s="2" t="s">
        <v>704</v>
      </c>
      <c r="E3062" s="2">
        <v>-185.85</v>
      </c>
      <c r="F3062" s="2" t="e">
        <f>IF(Table2[[#This Row],[Manual Cat Value]]="",VLOOKUP(Table2[[#This Row],[Description]],'Actuals Lookup'!D:F,3,0),Table2[[#This Row],[Manual Cat Value]])</f>
        <v>#N/A</v>
      </c>
      <c r="J3062" s="2">
        <v>185.85</v>
      </c>
      <c r="K3062" s="2" t="b">
        <v>0</v>
      </c>
      <c r="L3062" s="2"/>
      <c r="M3062" s="2"/>
      <c r="N3062" s="4" t="s">
        <v>2273</v>
      </c>
      <c r="O3062" s="4" t="str">
        <f>LEFT(Table2[[#This Row],[Description]],75)</f>
        <v>DELTA AIR LINES INC DEL</v>
      </c>
      <c r="P3062" s="2" t="s">
        <v>2385</v>
      </c>
    </row>
    <row r="3063" spans="1:16" hidden="1">
      <c r="A3063" s="2">
        <v>202008</v>
      </c>
      <c r="B3063" s="3">
        <v>44049</v>
      </c>
      <c r="C3063" s="2" t="s">
        <v>2317</v>
      </c>
      <c r="D3063" s="2" t="s">
        <v>822</v>
      </c>
      <c r="E3063" s="2">
        <v>-10.67</v>
      </c>
      <c r="F3063" s="2" t="e">
        <f>IF(Table2[[#This Row],[Manual Cat Value]]="",VLOOKUP(Table2[[#This Row],[Description]],'Actuals Lookup'!D:F,3,0),Table2[[#This Row],[Manual Cat Value]])</f>
        <v>#N/A</v>
      </c>
      <c r="J3063" s="2">
        <v>10.67</v>
      </c>
      <c r="K3063" s="2" t="b">
        <v>0</v>
      </c>
      <c r="L3063" s="2"/>
      <c r="M3063" s="2"/>
      <c r="N3063" s="4" t="s">
        <v>2273</v>
      </c>
      <c r="O3063" s="4" t="str">
        <f>LEFT(Table2[[#This Row],[Description]],75)</f>
        <v>ETFMG ALTERNATIVE HARVEST ETF</v>
      </c>
      <c r="P3063" s="2" t="s">
        <v>2445</v>
      </c>
    </row>
    <row r="3064" spans="1:16" hidden="1">
      <c r="A3064" s="2">
        <v>202008</v>
      </c>
      <c r="B3064" s="3">
        <v>44049</v>
      </c>
      <c r="C3064" s="2" t="s">
        <v>2317</v>
      </c>
      <c r="D3064" s="2" t="s">
        <v>822</v>
      </c>
      <c r="E3064" s="2">
        <v>-64.92</v>
      </c>
      <c r="F3064" s="2" t="e">
        <f>IF(Table2[[#This Row],[Manual Cat Value]]="",VLOOKUP(Table2[[#This Row],[Description]],'Actuals Lookup'!D:F,3,0),Table2[[#This Row],[Manual Cat Value]])</f>
        <v>#N/A</v>
      </c>
      <c r="J3064" s="2">
        <v>64.92</v>
      </c>
      <c r="K3064" s="2" t="b">
        <v>0</v>
      </c>
      <c r="L3064" s="2"/>
      <c r="M3064" s="2"/>
      <c r="N3064" s="4" t="s">
        <v>2273</v>
      </c>
      <c r="O3064" s="4" t="str">
        <f>LEFT(Table2[[#This Row],[Description]],75)</f>
        <v>ETFMG ALTERNATIVE HARVEST ETF</v>
      </c>
      <c r="P3064" s="2" t="s">
        <v>2445</v>
      </c>
    </row>
    <row r="3065" spans="1:16" hidden="1">
      <c r="A3065" s="2">
        <v>202008</v>
      </c>
      <c r="B3065" s="3">
        <v>44049</v>
      </c>
      <c r="C3065" s="2" t="s">
        <v>2317</v>
      </c>
      <c r="D3065" s="2" t="s">
        <v>822</v>
      </c>
      <c r="E3065" s="2">
        <v>-285.66000000000003</v>
      </c>
      <c r="F3065" s="2" t="e">
        <f>IF(Table2[[#This Row],[Manual Cat Value]]="",VLOOKUP(Table2[[#This Row],[Description]],'Actuals Lookup'!D:F,3,0),Table2[[#This Row],[Manual Cat Value]])</f>
        <v>#N/A</v>
      </c>
      <c r="J3065" s="2">
        <v>285.66000000000003</v>
      </c>
      <c r="K3065" s="2" t="b">
        <v>0</v>
      </c>
      <c r="L3065" s="2"/>
      <c r="M3065" s="2"/>
      <c r="N3065" s="4" t="s">
        <v>2273</v>
      </c>
      <c r="O3065" s="4" t="str">
        <f>LEFT(Table2[[#This Row],[Description]],75)</f>
        <v>ETFMG ALTERNATIVE HARVEST ETF</v>
      </c>
      <c r="P3065" s="2" t="s">
        <v>2445</v>
      </c>
    </row>
    <row r="3066" spans="1:16" hidden="1">
      <c r="A3066" s="2">
        <v>202008</v>
      </c>
      <c r="B3066" s="3">
        <v>44049</v>
      </c>
      <c r="C3066" s="2" t="s">
        <v>2317</v>
      </c>
      <c r="D3066" s="2" t="s">
        <v>1139</v>
      </c>
      <c r="E3066" s="2">
        <v>13.52</v>
      </c>
      <c r="F3066" s="2" t="e">
        <f>IF(Table2[[#This Row],[Manual Cat Value]]="",VLOOKUP(Table2[[#This Row],[Description]],'Actuals Lookup'!D:F,3,0),Table2[[#This Row],[Manual Cat Value]])</f>
        <v>#N/A</v>
      </c>
      <c r="J3066" s="2">
        <v>13.52</v>
      </c>
      <c r="K3066" s="2" t="b">
        <v>0</v>
      </c>
      <c r="L3066" s="2"/>
      <c r="M3066" s="2"/>
      <c r="N3066" s="4" t="s">
        <v>2259</v>
      </c>
      <c r="O3066" s="4" t="str">
        <f>LEFT(Table2[[#This Row],[Description]],75)</f>
        <v>LOWES COMPANIES INC</v>
      </c>
      <c r="P3066" s="2" t="s">
        <v>2402</v>
      </c>
    </row>
    <row r="3067" spans="1:16" hidden="1">
      <c r="A3067" s="2">
        <v>202008</v>
      </c>
      <c r="B3067" s="3">
        <v>44049</v>
      </c>
      <c r="C3067" s="2" t="s">
        <v>2265</v>
      </c>
      <c r="D3067" s="2" t="s">
        <v>1471</v>
      </c>
      <c r="E3067" s="2">
        <v>16.989999999999998</v>
      </c>
      <c r="F3067" s="2" t="str">
        <f>IF(Table2[[#This Row],[Manual Cat Value]]="",VLOOKUP(Table2[[#This Row],[Description]],'Actuals Lookup'!D:F,3,0),Table2[[#This Row],[Manual Cat Value]])</f>
        <v>Shopping</v>
      </c>
      <c r="J3067" s="2">
        <v>16.989999999999998</v>
      </c>
      <c r="K3067" s="2" t="b">
        <v>0</v>
      </c>
      <c r="L3067" s="2"/>
      <c r="M3067" s="2"/>
      <c r="N3067" s="4" t="s">
        <v>2259</v>
      </c>
      <c r="O3067" s="4" t="str">
        <f>LEFT(Table2[[#This Row],[Description]],75)</f>
        <v>PayPal</v>
      </c>
      <c r="P3067" s="2" t="s">
        <v>2322</v>
      </c>
    </row>
    <row r="3068" spans="1:16" hidden="1">
      <c r="A3068" s="2">
        <v>202008</v>
      </c>
      <c r="B3068" s="3">
        <v>44049</v>
      </c>
      <c r="C3068" s="2" t="s">
        <v>2447</v>
      </c>
      <c r="D3068" s="2" t="s">
        <v>1773</v>
      </c>
      <c r="E3068" s="2">
        <v>25</v>
      </c>
      <c r="F3068" s="2" t="str">
        <f>IF(Table2[[#This Row],[Manual Cat Value]]="",VLOOKUP(Table2[[#This Row],[Description]],'Actuals Lookup'!D:F,3,0),Table2[[#This Row],[Manual Cat Value]])</f>
        <v>Restaurants</v>
      </c>
      <c r="J3068" s="2">
        <v>25</v>
      </c>
      <c r="K3068" s="2" t="b">
        <v>0</v>
      </c>
      <c r="L3068" s="2"/>
      <c r="M3068" s="2"/>
      <c r="N3068" s="4" t="s">
        <v>2259</v>
      </c>
      <c r="O3068" s="4" t="str">
        <f>LEFT(Table2[[#This Row],[Description]],75)</f>
        <v>Starbucks</v>
      </c>
      <c r="P3068" s="2" t="s">
        <v>2454</v>
      </c>
    </row>
    <row r="3069" spans="1:16" hidden="1">
      <c r="A3069" s="2">
        <v>202008</v>
      </c>
      <c r="B3069" s="3">
        <v>44049</v>
      </c>
      <c r="C3069" s="2" t="s">
        <v>2258</v>
      </c>
      <c r="D3069" s="2" t="s">
        <v>1773</v>
      </c>
      <c r="E3069" s="2">
        <v>25</v>
      </c>
      <c r="F3069" s="2" t="str">
        <f>IF(Table2[[#This Row],[Manual Cat Value]]="",VLOOKUP(Table2[[#This Row],[Description]],'Actuals Lookup'!D:F,3,0),Table2[[#This Row],[Manual Cat Value]])</f>
        <v>Restaurants</v>
      </c>
      <c r="J3069" s="2">
        <v>25</v>
      </c>
      <c r="K3069" s="2" t="b">
        <v>0</v>
      </c>
      <c r="L3069" s="2"/>
      <c r="M3069" s="2"/>
      <c r="N3069" s="4" t="s">
        <v>2259</v>
      </c>
      <c r="O3069" s="4" t="str">
        <f>LEFT(Table2[[#This Row],[Description]],75)</f>
        <v>Starbucks</v>
      </c>
      <c r="P3069" s="2" t="s">
        <v>2454</v>
      </c>
    </row>
    <row r="3070" spans="1:16" hidden="1">
      <c r="A3070" s="2">
        <v>202008</v>
      </c>
      <c r="B3070" s="3">
        <v>44049</v>
      </c>
      <c r="C3070" s="2" t="s">
        <v>2317</v>
      </c>
      <c r="D3070" s="2" t="s">
        <v>2107</v>
      </c>
      <c r="E3070" s="2">
        <v>-3.04</v>
      </c>
      <c r="F3070" s="2" t="e">
        <f>IF(Table2[[#This Row],[Manual Cat Value]]="",VLOOKUP(Table2[[#This Row],[Description]],'Actuals Lookup'!D:F,3,0),Table2[[#This Row],[Manual Cat Value]])</f>
        <v>#N/A</v>
      </c>
      <c r="J3070" s="2">
        <v>3.04</v>
      </c>
      <c r="K3070" s="2" t="b">
        <v>0</v>
      </c>
      <c r="L3070" s="2"/>
      <c r="M3070" s="2"/>
      <c r="N3070" s="4" t="s">
        <v>2273</v>
      </c>
      <c r="O3070" s="4" t="str">
        <f>LEFT(Table2[[#This Row],[Description]],75)</f>
        <v>VANGUARD INTRMDIAT TRM TRSRY ETF</v>
      </c>
      <c r="P3070" s="2" t="s">
        <v>2357</v>
      </c>
    </row>
    <row r="3071" spans="1:16" hidden="1">
      <c r="A3071" s="2">
        <v>202008</v>
      </c>
      <c r="B3071" s="3">
        <v>44049</v>
      </c>
      <c r="C3071" s="2" t="s">
        <v>2265</v>
      </c>
      <c r="D3071" s="2" t="s">
        <v>2109</v>
      </c>
      <c r="E3071" s="2">
        <v>290.18</v>
      </c>
      <c r="F3071" s="2" t="str">
        <f>IF(Table2[[#This Row],[Manual Cat Value]]="",VLOOKUP(Table2[[#This Row],[Description]],'Actuals Lookup'!D:F,3,0),Table2[[#This Row],[Manual Cat Value]])</f>
        <v>Shopping</v>
      </c>
      <c r="J3071" s="2">
        <v>290.18</v>
      </c>
      <c r="K3071" s="2" t="b">
        <v>0</v>
      </c>
      <c r="L3071" s="2"/>
      <c r="M3071" s="2"/>
      <c r="N3071" s="4" t="s">
        <v>2259</v>
      </c>
      <c r="O3071" s="4" t="str">
        <f>LEFT(Table2[[#This Row],[Description]],75)</f>
        <v>Venmo</v>
      </c>
      <c r="P3071" s="2" t="s">
        <v>2281</v>
      </c>
    </row>
    <row r="3072" spans="1:16" hidden="1">
      <c r="A3072" s="2">
        <v>202008</v>
      </c>
      <c r="B3072" s="3">
        <v>44050</v>
      </c>
      <c r="C3072" s="2" t="s">
        <v>2262</v>
      </c>
      <c r="D3072" s="2" t="s">
        <v>38</v>
      </c>
      <c r="E3072" s="2">
        <v>7.51</v>
      </c>
      <c r="F3072" s="2" t="str">
        <f>IF(Table2[[#This Row],[Manual Cat Value]]="",VLOOKUP(Table2[[#This Row],[Description]],'Actuals Lookup'!D:F,3,0),Table2[[#This Row],[Manual Cat Value]])</f>
        <v>Amazon</v>
      </c>
      <c r="J3072" s="2">
        <v>7.51</v>
      </c>
      <c r="K3072" s="2" t="b">
        <v>0</v>
      </c>
      <c r="L3072" s="2"/>
      <c r="M3072" s="2"/>
      <c r="N3072" s="4" t="s">
        <v>2259</v>
      </c>
      <c r="O3072" s="4" t="str">
        <f>LEFT(Table2[[#This Row],[Description]],75)</f>
        <v>Amazon</v>
      </c>
      <c r="P3072" s="2" t="s">
        <v>2260</v>
      </c>
    </row>
    <row r="3073" spans="1:16" hidden="1">
      <c r="A3073" s="2">
        <v>202008</v>
      </c>
      <c r="B3073" s="3">
        <v>44050</v>
      </c>
      <c r="C3073" s="2" t="s">
        <v>2317</v>
      </c>
      <c r="D3073" s="2" t="s">
        <v>354</v>
      </c>
      <c r="E3073" s="2">
        <v>-200</v>
      </c>
      <c r="F3073" s="2" t="e">
        <f>IF(Table2[[#This Row],[Manual Cat Value]]="",VLOOKUP(Table2[[#This Row],[Description]],'Actuals Lookup'!D:F,3,0),Table2[[#This Row],[Manual Cat Value]])</f>
        <v>#N/A</v>
      </c>
      <c r="J3073" s="2">
        <v>200</v>
      </c>
      <c r="K3073" s="2" t="b">
        <v>0</v>
      </c>
      <c r="L3073" s="2"/>
      <c r="M3073" s="2"/>
      <c r="N3073" s="4" t="s">
        <v>2273</v>
      </c>
      <c r="O3073" s="4" t="str">
        <f>LEFT(Table2[[#This Row],[Description]],75)</f>
        <v>CARGILL COCOA &amp;</v>
      </c>
      <c r="P3073" s="2" t="s">
        <v>2354</v>
      </c>
    </row>
    <row r="3074" spans="1:16" hidden="1">
      <c r="A3074" s="2">
        <v>202008</v>
      </c>
      <c r="B3074" s="3">
        <v>44050</v>
      </c>
      <c r="C3074" s="2" t="s">
        <v>2262</v>
      </c>
      <c r="D3074" s="2" t="s">
        <v>684</v>
      </c>
      <c r="E3074" s="2">
        <v>112.36</v>
      </c>
      <c r="F3074" s="2" t="str">
        <f>IF(Table2[[#This Row],[Manual Cat Value]]="",VLOOKUP(Table2[[#This Row],[Description]],'Actuals Lookup'!D:F,3,0),Table2[[#This Row],[Manual Cat Value]])</f>
        <v>Groceries</v>
      </c>
      <c r="J3074" s="2">
        <v>112.36</v>
      </c>
      <c r="K3074" s="2" t="b">
        <v>0</v>
      </c>
      <c r="L3074" s="2"/>
      <c r="M3074" s="2"/>
      <c r="N3074" s="4" t="s">
        <v>2259</v>
      </c>
      <c r="O3074" s="4" t="str">
        <f>LEFT(Table2[[#This Row],[Description]],75)</f>
        <v>Cub Foods</v>
      </c>
      <c r="P3074" s="2" t="s">
        <v>2370</v>
      </c>
    </row>
    <row r="3075" spans="1:16" hidden="1">
      <c r="A3075" s="2">
        <v>202008</v>
      </c>
      <c r="B3075" s="3">
        <v>44050</v>
      </c>
      <c r="C3075" s="2" t="s">
        <v>2434</v>
      </c>
      <c r="D3075" s="2" t="s">
        <v>1834</v>
      </c>
      <c r="E3075" s="2">
        <v>-231</v>
      </c>
      <c r="F3075" s="2" t="e">
        <f>IF(Table2[[#This Row],[Manual Cat Value]]="",VLOOKUP(Table2[[#This Row],[Description]],'Actuals Lookup'!D:F,3,0),Table2[[#This Row],[Manual Cat Value]])</f>
        <v>#N/A</v>
      </c>
      <c r="J3075" s="2">
        <v>231</v>
      </c>
      <c r="K3075" s="2" t="b">
        <v>0</v>
      </c>
      <c r="L3075" s="2"/>
      <c r="M3075" s="2"/>
      <c r="N3075" s="4" t="s">
        <v>2273</v>
      </c>
      <c r="O3075" s="4" t="str">
        <f>LEFT(Table2[[#This Row],[Description]],75)</f>
        <v>Tfr JPMORGAN CHASE BAN, CARGILL COCOA &amp;</v>
      </c>
      <c r="P3075" s="2" t="s">
        <v>2356</v>
      </c>
    </row>
    <row r="3076" spans="1:16" hidden="1">
      <c r="A3076" s="2">
        <v>202008</v>
      </c>
      <c r="B3076" s="3">
        <v>44050</v>
      </c>
      <c r="C3076" s="2" t="s">
        <v>2262</v>
      </c>
      <c r="D3076" s="2" t="s">
        <v>2002</v>
      </c>
      <c r="E3076" s="2">
        <v>12.54</v>
      </c>
      <c r="F3076" s="2" t="e">
        <f>IF(Table2[[#This Row],[Manual Cat Value]]="",VLOOKUP(Table2[[#This Row],[Description]],'Actuals Lookup'!D:F,3,0),Table2[[#This Row],[Manual Cat Value]])</f>
        <v>#N/A</v>
      </c>
      <c r="J3076" s="2">
        <v>12.54</v>
      </c>
      <c r="K3076" s="2" t="b">
        <v>0</v>
      </c>
      <c r="L3076" s="2"/>
      <c r="M3076" s="2"/>
      <c r="N3076" s="4" t="s">
        <v>2259</v>
      </c>
      <c r="O3076" s="4" t="str">
        <f>LEFT(Table2[[#This Row],[Description]],75)</f>
        <v>True Value</v>
      </c>
      <c r="P3076" s="2" t="s">
        <v>2490</v>
      </c>
    </row>
    <row r="3077" spans="1:16" hidden="1">
      <c r="A3077" s="2">
        <v>202008</v>
      </c>
      <c r="B3077" s="3">
        <v>44050</v>
      </c>
      <c r="C3077" s="2" t="s">
        <v>2317</v>
      </c>
      <c r="D3077" s="2" t="s">
        <v>2107</v>
      </c>
      <c r="E3077" s="2">
        <v>3.04</v>
      </c>
      <c r="F3077" s="2" t="e">
        <f>IF(Table2[[#This Row],[Manual Cat Value]]="",VLOOKUP(Table2[[#This Row],[Description]],'Actuals Lookup'!D:F,3,0),Table2[[#This Row],[Manual Cat Value]])</f>
        <v>#N/A</v>
      </c>
      <c r="J3077" s="2">
        <v>3.04</v>
      </c>
      <c r="K3077" s="2" t="b">
        <v>0</v>
      </c>
      <c r="L3077" s="2"/>
      <c r="M3077" s="2"/>
      <c r="N3077" s="4" t="s">
        <v>2259</v>
      </c>
      <c r="O3077" s="4" t="str">
        <f>LEFT(Table2[[#This Row],[Description]],75)</f>
        <v>VANGUARD INTRMDIAT TRM TRSRY ETF</v>
      </c>
      <c r="P3077" s="2" t="s">
        <v>2357</v>
      </c>
    </row>
    <row r="3078" spans="1:16" hidden="1">
      <c r="A3078" s="2">
        <v>202008</v>
      </c>
      <c r="B3078" s="3">
        <v>44050</v>
      </c>
      <c r="C3078" s="2" t="s">
        <v>2265</v>
      </c>
      <c r="D3078" s="2" t="s">
        <v>2140</v>
      </c>
      <c r="E3078" s="2">
        <v>112.72</v>
      </c>
      <c r="F3078" s="2" t="e">
        <f>IF(Table2[[#This Row],[Manual Cat Value]]="",VLOOKUP(Table2[[#This Row],[Description]],'Actuals Lookup'!D:F,3,0),Table2[[#This Row],[Manual Cat Value]])</f>
        <v>#N/A</v>
      </c>
      <c r="J3078" s="2">
        <v>112.72</v>
      </c>
      <c r="K3078" s="2" t="b">
        <v>0</v>
      </c>
      <c r="L3078" s="2"/>
      <c r="M3078" s="2"/>
      <c r="N3078" s="4" t="s">
        <v>2259</v>
      </c>
      <c r="O3078" s="4" t="str">
        <f>LEFT(Table2[[#This Row],[Description]],75)</f>
        <v>Waste Management</v>
      </c>
      <c r="P3078" s="2" t="s">
        <v>2318</v>
      </c>
    </row>
    <row r="3079" spans="1:16" hidden="1">
      <c r="A3079" s="2">
        <v>202008</v>
      </c>
      <c r="B3079" s="3">
        <v>44052</v>
      </c>
      <c r="C3079" s="2" t="s">
        <v>2265</v>
      </c>
      <c r="D3079" s="2" t="s">
        <v>1038</v>
      </c>
      <c r="E3079" s="2">
        <v>-45</v>
      </c>
      <c r="F3079" s="2" t="e">
        <f>IF(Table2[[#This Row],[Manual Cat Value]]="",VLOOKUP(Table2[[#This Row],[Description]],'Actuals Lookup'!D:F,3,0),Table2[[#This Row],[Manual Cat Value]])</f>
        <v>#N/A</v>
      </c>
      <c r="J3079" s="2">
        <v>45</v>
      </c>
      <c r="K3079" s="2" t="b">
        <v>0</v>
      </c>
      <c r="L3079" s="2"/>
      <c r="M3079" s="2"/>
      <c r="N3079" s="4" t="s">
        <v>2273</v>
      </c>
      <c r="O3079" s="4" t="str">
        <f>LEFT(Table2[[#This Row],[Description]],75)</f>
        <v>Kaufman Hall Type</v>
      </c>
      <c r="P3079" s="2" t="s">
        <v>2281</v>
      </c>
    </row>
    <row r="3080" spans="1:16" hidden="1">
      <c r="A3080" s="2">
        <v>202008</v>
      </c>
      <c r="B3080" s="3">
        <v>44052</v>
      </c>
      <c r="C3080" s="2" t="s">
        <v>2262</v>
      </c>
      <c r="D3080" s="2" t="s">
        <v>1254</v>
      </c>
      <c r="E3080" s="2">
        <v>44.47</v>
      </c>
      <c r="F3080" s="2" t="e">
        <f>IF(Table2[[#This Row],[Manual Cat Value]]="",VLOOKUP(Table2[[#This Row],[Description]],'Actuals Lookup'!D:F,3,0),Table2[[#This Row],[Manual Cat Value]])</f>
        <v>#N/A</v>
      </c>
      <c r="J3080" s="2">
        <v>44.47</v>
      </c>
      <c r="K3080" s="2" t="b">
        <v>0</v>
      </c>
      <c r="L3080" s="2"/>
      <c r="M3080" s="2"/>
      <c r="N3080" s="4" t="s">
        <v>2259</v>
      </c>
      <c r="O3080" s="4" t="str">
        <f>LEFT(Table2[[#This Row],[Description]],75)</f>
        <v>Milios Sandwiches</v>
      </c>
      <c r="P3080" s="2" t="s">
        <v>2476</v>
      </c>
    </row>
    <row r="3081" spans="1:16" hidden="1">
      <c r="A3081" s="2">
        <v>202008</v>
      </c>
      <c r="B3081" s="3">
        <v>44052</v>
      </c>
      <c r="C3081" s="2" t="s">
        <v>2262</v>
      </c>
      <c r="D3081" s="2" t="s">
        <v>1776</v>
      </c>
      <c r="E3081" s="2">
        <v>14</v>
      </c>
      <c r="F3081" s="2" t="e">
        <f>IF(Table2[[#This Row],[Manual Cat Value]]="",VLOOKUP(Table2[[#This Row],[Description]],'Actuals Lookup'!D:F,3,0),Table2[[#This Row],[Manual Cat Value]])</f>
        <v>#N/A</v>
      </c>
      <c r="J3081" s="2">
        <v>14</v>
      </c>
      <c r="K3081" s="2" t="b">
        <v>0</v>
      </c>
      <c r="L3081" s="2"/>
      <c r="M3081" s="2"/>
      <c r="N3081" s="4" t="s">
        <v>2259</v>
      </c>
      <c r="O3081" s="4" t="str">
        <f>LEFT(Table2[[#This Row],[Description]],75)</f>
        <v>State Parks</v>
      </c>
      <c r="P3081" s="2" t="s">
        <v>2281</v>
      </c>
    </row>
    <row r="3082" spans="1:16" hidden="1">
      <c r="A3082" s="2">
        <v>202008</v>
      </c>
      <c r="B3082" s="3">
        <v>44053</v>
      </c>
      <c r="C3082" s="2" t="s">
        <v>2317</v>
      </c>
      <c r="D3082" s="2" t="s">
        <v>164</v>
      </c>
      <c r="E3082" s="2">
        <v>-2254.98</v>
      </c>
      <c r="F3082" s="2" t="e">
        <f>IF(Table2[[#This Row],[Manual Cat Value]]="",VLOOKUP(Table2[[#This Row],[Description]],'Actuals Lookup'!D:F,3,0),Table2[[#This Row],[Manual Cat Value]])</f>
        <v>#N/A</v>
      </c>
      <c r="J3082" s="2">
        <v>2254.98</v>
      </c>
      <c r="K3082" s="2" t="b">
        <v>0</v>
      </c>
      <c r="L3082" s="2"/>
      <c r="M3082" s="2"/>
      <c r="N3082" s="4" t="s">
        <v>2273</v>
      </c>
      <c r="O3082" s="4" t="str">
        <f>LEFT(Table2[[#This Row],[Description]],75)</f>
        <v>APPLE INC</v>
      </c>
      <c r="P3082" s="2" t="s">
        <v>2405</v>
      </c>
    </row>
    <row r="3083" spans="1:16" hidden="1">
      <c r="A3083" s="2">
        <v>202008</v>
      </c>
      <c r="B3083" s="3">
        <v>44053</v>
      </c>
      <c r="C3083" s="2" t="s">
        <v>2262</v>
      </c>
      <c r="D3083" s="2" t="s">
        <v>456</v>
      </c>
      <c r="E3083" s="2">
        <v>10.050000000000001</v>
      </c>
      <c r="F3083" s="2" t="e">
        <f>IF(Table2[[#This Row],[Manual Cat Value]]="",VLOOKUP(Table2[[#This Row],[Description]],'Actuals Lookup'!D:F,3,0),Table2[[#This Row],[Manual Cat Value]])</f>
        <v>#N/A</v>
      </c>
      <c r="J3083" s="2">
        <v>10.050000000000001</v>
      </c>
      <c r="K3083" s="2" t="b">
        <v>0</v>
      </c>
      <c r="L3083" s="2"/>
      <c r="M3083" s="2"/>
      <c r="N3083" s="4" t="s">
        <v>2259</v>
      </c>
      <c r="O3083" s="4" t="str">
        <f>LEFT(Table2[[#This Row],[Description]],75)</f>
        <v>Casey's</v>
      </c>
      <c r="P3083" s="2" t="s">
        <v>2281</v>
      </c>
    </row>
    <row r="3084" spans="1:16" hidden="1">
      <c r="A3084" s="2">
        <v>202008</v>
      </c>
      <c r="B3084" s="3">
        <v>44053</v>
      </c>
      <c r="C3084" s="2" t="s">
        <v>2262</v>
      </c>
      <c r="D3084" s="2" t="s">
        <v>456</v>
      </c>
      <c r="E3084" s="2">
        <v>18.41</v>
      </c>
      <c r="F3084" s="2" t="e">
        <f>IF(Table2[[#This Row],[Manual Cat Value]]="",VLOOKUP(Table2[[#This Row],[Description]],'Actuals Lookup'!D:F,3,0),Table2[[#This Row],[Manual Cat Value]])</f>
        <v>#N/A</v>
      </c>
      <c r="J3084" s="2">
        <v>18.41</v>
      </c>
      <c r="K3084" s="2" t="b">
        <v>0</v>
      </c>
      <c r="L3084" s="2"/>
      <c r="M3084" s="2"/>
      <c r="N3084" s="4" t="s">
        <v>2259</v>
      </c>
      <c r="O3084" s="4" t="str">
        <f>LEFT(Table2[[#This Row],[Description]],75)</f>
        <v>Casey's</v>
      </c>
      <c r="P3084" s="2" t="s">
        <v>2281</v>
      </c>
    </row>
    <row r="3085" spans="1:16" hidden="1">
      <c r="A3085" s="2">
        <v>202008</v>
      </c>
      <c r="B3085" s="3">
        <v>44053</v>
      </c>
      <c r="C3085" s="2" t="s">
        <v>2262</v>
      </c>
      <c r="D3085" s="2" t="s">
        <v>456</v>
      </c>
      <c r="E3085" s="2">
        <v>19.5</v>
      </c>
      <c r="F3085" s="2" t="e">
        <f>IF(Table2[[#This Row],[Manual Cat Value]]="",VLOOKUP(Table2[[#This Row],[Description]],'Actuals Lookup'!D:F,3,0),Table2[[#This Row],[Manual Cat Value]])</f>
        <v>#N/A</v>
      </c>
      <c r="J3085" s="2">
        <v>19.5</v>
      </c>
      <c r="K3085" s="2" t="b">
        <v>0</v>
      </c>
      <c r="L3085" s="2"/>
      <c r="M3085" s="2"/>
      <c r="N3085" s="4" t="s">
        <v>2259</v>
      </c>
      <c r="O3085" s="4" t="str">
        <f>LEFT(Table2[[#This Row],[Description]],75)</f>
        <v>Casey's</v>
      </c>
      <c r="P3085" s="2" t="s">
        <v>2281</v>
      </c>
    </row>
    <row r="3086" spans="1:16" hidden="1">
      <c r="A3086" s="2">
        <v>202008</v>
      </c>
      <c r="B3086" s="3">
        <v>44053</v>
      </c>
      <c r="C3086" s="2" t="s">
        <v>2447</v>
      </c>
      <c r="D3086" s="2" t="s">
        <v>506</v>
      </c>
      <c r="E3086" s="2">
        <v>45</v>
      </c>
      <c r="F3086" s="2" t="str">
        <f>IF(Table2[[#This Row],[Manual Cat Value]]="",VLOOKUP(Table2[[#This Row],[Description]],'Actuals Lookup'!D:F,3,0),Table2[[#This Row],[Manual Cat Value]])</f>
        <v>Utilities</v>
      </c>
      <c r="J3086" s="2">
        <v>45</v>
      </c>
      <c r="K3086" s="2" t="b">
        <v>0</v>
      </c>
      <c r="L3086" s="2"/>
      <c r="M3086" s="2"/>
      <c r="N3086" s="4" t="s">
        <v>2259</v>
      </c>
      <c r="O3086" s="4" t="str">
        <f>LEFT(Table2[[#This Row],[Description]],75)</f>
        <v>CenturyLink</v>
      </c>
      <c r="P3086" s="2" t="s">
        <v>2408</v>
      </c>
    </row>
    <row r="3087" spans="1:16" hidden="1">
      <c r="A3087" s="2">
        <v>202008</v>
      </c>
      <c r="B3087" s="3">
        <v>44053</v>
      </c>
      <c r="C3087" s="2" t="s">
        <v>2258</v>
      </c>
      <c r="D3087" s="2" t="s">
        <v>506</v>
      </c>
      <c r="E3087" s="2">
        <v>45</v>
      </c>
      <c r="F3087" s="2" t="str">
        <f>IF(Table2[[#This Row],[Manual Cat Value]]="",VLOOKUP(Table2[[#This Row],[Description]],'Actuals Lookup'!D:F,3,0),Table2[[#This Row],[Manual Cat Value]])</f>
        <v>Utilities</v>
      </c>
      <c r="J3087" s="2">
        <v>45</v>
      </c>
      <c r="K3087" s="2" t="b">
        <v>0</v>
      </c>
      <c r="L3087" s="2"/>
      <c r="M3087" s="2"/>
      <c r="N3087" s="4" t="s">
        <v>2259</v>
      </c>
      <c r="O3087" s="4" t="str">
        <f>LEFT(Table2[[#This Row],[Description]],75)</f>
        <v>CenturyLink</v>
      </c>
      <c r="P3087" s="2" t="s">
        <v>2408</v>
      </c>
    </row>
    <row r="3088" spans="1:16" hidden="1">
      <c r="A3088" s="2">
        <v>202008</v>
      </c>
      <c r="B3088" s="3">
        <v>44053</v>
      </c>
      <c r="C3088" s="2" t="s">
        <v>2317</v>
      </c>
      <c r="D3088" s="2" t="s">
        <v>537</v>
      </c>
      <c r="E3088" s="2">
        <v>-887.9</v>
      </c>
      <c r="F3088" s="2" t="e">
        <f>IF(Table2[[#This Row],[Manual Cat Value]]="",VLOOKUP(Table2[[#This Row],[Description]],'Actuals Lookup'!D:F,3,0),Table2[[#This Row],[Manual Cat Value]])</f>
        <v>#N/A</v>
      </c>
      <c r="J3088" s="2">
        <v>887.9</v>
      </c>
      <c r="K3088" s="2" t="b">
        <v>0</v>
      </c>
      <c r="L3088" s="2"/>
      <c r="M3088" s="2"/>
      <c r="N3088" s="4" t="s">
        <v>2273</v>
      </c>
      <c r="O3088" s="4" t="str">
        <f>LEFT(Table2[[#This Row],[Description]],75)</f>
        <v>CHEVRON CORP</v>
      </c>
      <c r="P3088" s="2" t="s">
        <v>2430</v>
      </c>
    </row>
    <row r="3089" spans="1:16" hidden="1">
      <c r="A3089" s="2">
        <v>202008</v>
      </c>
      <c r="B3089" s="3">
        <v>44053</v>
      </c>
      <c r="C3089" s="2" t="s">
        <v>2317</v>
      </c>
      <c r="D3089" s="2" t="s">
        <v>546</v>
      </c>
      <c r="E3089" s="2">
        <v>-2327.9699999999998</v>
      </c>
      <c r="F3089" s="2" t="e">
        <f>IF(Table2[[#This Row],[Manual Cat Value]]="",VLOOKUP(Table2[[#This Row],[Description]],'Actuals Lookup'!D:F,3,0),Table2[[#This Row],[Manual Cat Value]])</f>
        <v>#N/A</v>
      </c>
      <c r="J3089" s="2">
        <v>2327.9699999999998</v>
      </c>
      <c r="K3089" s="2" t="b">
        <v>0</v>
      </c>
      <c r="L3089" s="2"/>
      <c r="M3089" s="2"/>
      <c r="N3089" s="4" t="s">
        <v>2273</v>
      </c>
      <c r="O3089" s="4" t="str">
        <f>LEFT(Table2[[#This Row],[Description]],75)</f>
        <v>CHIPOTLE MEXICAN GRL</v>
      </c>
      <c r="P3089" s="2" t="s">
        <v>2385</v>
      </c>
    </row>
    <row r="3090" spans="1:16" hidden="1">
      <c r="A3090" s="2">
        <v>202008</v>
      </c>
      <c r="B3090" s="3">
        <v>44053</v>
      </c>
      <c r="C3090" s="2" t="s">
        <v>2262</v>
      </c>
      <c r="D3090" s="2" t="s">
        <v>1188</v>
      </c>
      <c r="E3090" s="2">
        <v>11.23</v>
      </c>
      <c r="F3090" s="2" t="str">
        <f>IF(Table2[[#This Row],[Manual Cat Value]]="",VLOOKUP(Table2[[#This Row],[Description]],'Actuals Lookup'!D:F,3,0),Table2[[#This Row],[Manual Cat Value]])</f>
        <v>Restaurants</v>
      </c>
      <c r="J3090" s="2">
        <v>11.23</v>
      </c>
      <c r="K3090" s="2" t="b">
        <v>0</v>
      </c>
      <c r="L3090" s="2"/>
      <c r="M3090" s="2"/>
      <c r="N3090" s="4" t="s">
        <v>2259</v>
      </c>
      <c r="O3090" s="4" t="str">
        <f>LEFT(Table2[[#This Row],[Description]],75)</f>
        <v>McDonald's</v>
      </c>
      <c r="P3090" s="2" t="s">
        <v>2340</v>
      </c>
    </row>
    <row r="3091" spans="1:16" hidden="1">
      <c r="A3091" s="2">
        <v>202008</v>
      </c>
      <c r="B3091" s="3">
        <v>44053</v>
      </c>
      <c r="C3091" s="2" t="s">
        <v>2262</v>
      </c>
      <c r="D3091" s="2" t="s">
        <v>1365</v>
      </c>
      <c r="E3091" s="2">
        <v>53.23</v>
      </c>
      <c r="F3091" s="2" t="e">
        <f>IF(Table2[[#This Row],[Manual Cat Value]]="",VLOOKUP(Table2[[#This Row],[Description]],'Actuals Lookup'!D:F,3,0),Table2[[#This Row],[Manual Cat Value]])</f>
        <v>#N/A</v>
      </c>
      <c r="J3091" s="2">
        <v>53.23</v>
      </c>
      <c r="K3091" s="2" t="b">
        <v>0</v>
      </c>
      <c r="L3091" s="2"/>
      <c r="M3091" s="2"/>
      <c r="N3091" s="4" t="s">
        <v>2259</v>
      </c>
      <c r="O3091" s="4" t="str">
        <f>LEFT(Table2[[#This Row],[Description]],75)</f>
        <v>NORTH COOP NORTH COOP STRIPECOM MN</v>
      </c>
      <c r="P3091" s="2" t="s">
        <v>2480</v>
      </c>
    </row>
    <row r="3092" spans="1:16" hidden="1">
      <c r="A3092" s="2">
        <v>202008</v>
      </c>
      <c r="B3092" s="3">
        <v>44053</v>
      </c>
      <c r="C3092" s="2" t="s">
        <v>2265</v>
      </c>
      <c r="D3092" s="2" t="s">
        <v>1471</v>
      </c>
      <c r="E3092" s="2">
        <v>7.43</v>
      </c>
      <c r="F3092" s="2" t="str">
        <f>IF(Table2[[#This Row],[Manual Cat Value]]="",VLOOKUP(Table2[[#This Row],[Description]],'Actuals Lookup'!D:F,3,0),Table2[[#This Row],[Manual Cat Value]])</f>
        <v>Shopping</v>
      </c>
      <c r="J3092" s="2">
        <v>7.43</v>
      </c>
      <c r="K3092" s="2" t="b">
        <v>0</v>
      </c>
      <c r="L3092" s="2"/>
      <c r="M3092" s="2"/>
      <c r="N3092" s="4" t="s">
        <v>2259</v>
      </c>
      <c r="O3092" s="4" t="str">
        <f>LEFT(Table2[[#This Row],[Description]],75)</f>
        <v>PayPal</v>
      </c>
      <c r="P3092" s="2" t="s">
        <v>2322</v>
      </c>
    </row>
    <row r="3093" spans="1:16" hidden="1">
      <c r="A3093" s="2">
        <v>202008</v>
      </c>
      <c r="B3093" s="3">
        <v>44053</v>
      </c>
      <c r="C3093" s="2" t="s">
        <v>2265</v>
      </c>
      <c r="D3093" s="2" t="s">
        <v>1471</v>
      </c>
      <c r="E3093" s="2">
        <v>90</v>
      </c>
      <c r="F3093" s="2" t="str">
        <f>IF(Table2[[#This Row],[Manual Cat Value]]="",VLOOKUP(Table2[[#This Row],[Description]],'Actuals Lookup'!D:F,3,0),Table2[[#This Row],[Manual Cat Value]])</f>
        <v>Shopping</v>
      </c>
      <c r="J3093" s="2">
        <v>90</v>
      </c>
      <c r="K3093" s="2" t="b">
        <v>0</v>
      </c>
      <c r="L3093" s="2"/>
      <c r="M3093" s="2"/>
      <c r="N3093" s="4" t="s">
        <v>2259</v>
      </c>
      <c r="O3093" s="4" t="str">
        <f>LEFT(Table2[[#This Row],[Description]],75)</f>
        <v>PayPal</v>
      </c>
      <c r="P3093" s="2" t="s">
        <v>2322</v>
      </c>
    </row>
    <row r="3094" spans="1:16" hidden="1">
      <c r="A3094" s="2">
        <v>202008</v>
      </c>
      <c r="B3094" s="3">
        <v>44053</v>
      </c>
      <c r="C3094" s="2" t="s">
        <v>2262</v>
      </c>
      <c r="D3094" s="2" t="s">
        <v>1827</v>
      </c>
      <c r="E3094" s="2">
        <v>17.149999999999999</v>
      </c>
      <c r="F3094" s="2" t="e">
        <f>IF(Table2[[#This Row],[Manual Cat Value]]="",VLOOKUP(Table2[[#This Row],[Description]],'Actuals Lookup'!D:F,3,0),Table2[[#This Row],[Manual Cat Value]])</f>
        <v>#N/A</v>
      </c>
      <c r="J3094" s="2">
        <v>17.149999999999999</v>
      </c>
      <c r="K3094" s="2" t="b">
        <v>0</v>
      </c>
      <c r="L3094" s="2"/>
      <c r="M3094" s="2"/>
      <c r="N3094" s="4" t="s">
        <v>2259</v>
      </c>
      <c r="O3094" s="4" t="str">
        <f>LEFT(Table2[[#This Row],[Description]],75)</f>
        <v>TCH of The Day Liquor Inc</v>
      </c>
      <c r="P3094" s="2" t="s">
        <v>2281</v>
      </c>
    </row>
    <row r="3095" spans="1:16" hidden="1">
      <c r="A3095" s="2">
        <v>202008</v>
      </c>
      <c r="B3095" s="3">
        <v>44053</v>
      </c>
      <c r="C3095" s="2" t="s">
        <v>2435</v>
      </c>
      <c r="D3095" s="2" t="s">
        <v>2227</v>
      </c>
      <c r="E3095" s="2">
        <v>961.15</v>
      </c>
      <c r="F3095" s="2" t="e">
        <f>IF(Table2[[#This Row],[Manual Cat Value]]="",VLOOKUP(Table2[[#This Row],[Description]],'Actuals Lookup'!D:F,3,0),Table2[[#This Row],[Manual Cat Value]])</f>
        <v>#N/A</v>
      </c>
      <c r="J3095" s="2">
        <v>961.15</v>
      </c>
      <c r="K3095" s="2" t="b">
        <v>0</v>
      </c>
      <c r="L3095" s="2"/>
      <c r="M3095" s="2"/>
      <c r="N3095" s="4" t="s">
        <v>2259</v>
      </c>
      <c r="O3095" s="4" t="str">
        <f>LEFT(Table2[[#This Row],[Description]],75)</f>
        <v>YETI HOLDINGS INCORPORAT</v>
      </c>
      <c r="P3095" s="2"/>
    </row>
    <row r="3096" spans="1:16" hidden="1">
      <c r="A3096" s="2">
        <v>202008</v>
      </c>
      <c r="B3096" s="3">
        <v>44055</v>
      </c>
      <c r="C3096" s="2" t="s">
        <v>2262</v>
      </c>
      <c r="D3096" s="2" t="s">
        <v>38</v>
      </c>
      <c r="E3096" s="2">
        <v>13.95</v>
      </c>
      <c r="F3096" s="2" t="str">
        <f>IF(Table2[[#This Row],[Manual Cat Value]]="",VLOOKUP(Table2[[#This Row],[Description]],'Actuals Lookup'!D:F,3,0),Table2[[#This Row],[Manual Cat Value]])</f>
        <v>Amazon</v>
      </c>
      <c r="J3096" s="2">
        <v>13.95</v>
      </c>
      <c r="K3096" s="2" t="b">
        <v>0</v>
      </c>
      <c r="L3096" s="2"/>
      <c r="M3096" s="2"/>
      <c r="N3096" s="4" t="s">
        <v>2259</v>
      </c>
      <c r="O3096" s="4" t="str">
        <f>LEFT(Table2[[#This Row],[Description]],75)</f>
        <v>Amazon</v>
      </c>
      <c r="P3096" s="2" t="s">
        <v>2260</v>
      </c>
    </row>
    <row r="3097" spans="1:16" hidden="1">
      <c r="A3097" s="2">
        <v>202008</v>
      </c>
      <c r="B3097" s="3">
        <v>44055</v>
      </c>
      <c r="C3097" s="2" t="s">
        <v>2262</v>
      </c>
      <c r="D3097" s="2" t="s">
        <v>778</v>
      </c>
      <c r="E3097" s="2">
        <v>7.55</v>
      </c>
      <c r="F3097" s="2" t="e">
        <f>IF(Table2[[#This Row],[Manual Cat Value]]="",VLOOKUP(Table2[[#This Row],[Description]],'Actuals Lookup'!D:F,3,0),Table2[[#This Row],[Manual Cat Value]])</f>
        <v>#N/A</v>
      </c>
      <c r="J3097" s="2">
        <v>7.55</v>
      </c>
      <c r="K3097" s="2" t="b">
        <v>0</v>
      </c>
      <c r="L3097" s="2"/>
      <c r="M3097" s="2"/>
      <c r="N3097" s="4" t="s">
        <v>2259</v>
      </c>
      <c r="O3097" s="4" t="str">
        <f>LEFT(Table2[[#This Row],[Description]],75)</f>
        <v>Disney</v>
      </c>
      <c r="P3097" s="2" t="s">
        <v>2281</v>
      </c>
    </row>
    <row r="3098" spans="1:16" hidden="1">
      <c r="A3098" s="2">
        <v>202008</v>
      </c>
      <c r="B3098" s="3">
        <v>44055</v>
      </c>
      <c r="C3098" s="2" t="s">
        <v>2265</v>
      </c>
      <c r="D3098" s="2" t="s">
        <v>1201</v>
      </c>
      <c r="E3098" s="2">
        <v>391.2</v>
      </c>
      <c r="F3098" s="2" t="e">
        <f>IF(Table2[[#This Row],[Manual Cat Value]]="",VLOOKUP(Table2[[#This Row],[Description]],'Actuals Lookup'!D:F,3,0),Table2[[#This Row],[Manual Cat Value]])</f>
        <v>#N/A</v>
      </c>
      <c r="J3098" s="2">
        <v>391.2</v>
      </c>
      <c r="K3098" s="2" t="b">
        <v>0</v>
      </c>
      <c r="L3098" s="2"/>
      <c r="M3098" s="2"/>
      <c r="N3098" s="4" t="s">
        <v>2259</v>
      </c>
      <c r="O3098" s="4" t="str">
        <f>LEFT(Table2[[#This Row],[Description]],75)</f>
        <v>MHCHILDCARELLC TYPE DUES ID CO MHCHILDCARELLC ACH ECC PPD ACH Trace 05955</v>
      </c>
      <c r="P3098" s="2" t="s">
        <v>2281</v>
      </c>
    </row>
    <row r="3099" spans="1:16" hidden="1">
      <c r="A3099" s="2">
        <v>202008</v>
      </c>
      <c r="B3099" s="3">
        <v>44055</v>
      </c>
      <c r="C3099" s="2" t="s">
        <v>2317</v>
      </c>
      <c r="D3099" s="2" t="s">
        <v>2107</v>
      </c>
      <c r="E3099" s="2">
        <v>-66.38</v>
      </c>
      <c r="F3099" s="2" t="e">
        <f>IF(Table2[[#This Row],[Manual Cat Value]]="",VLOOKUP(Table2[[#This Row],[Description]],'Actuals Lookup'!D:F,3,0),Table2[[#This Row],[Manual Cat Value]])</f>
        <v>#N/A</v>
      </c>
      <c r="J3099" s="2">
        <v>66.38</v>
      </c>
      <c r="K3099" s="2" t="b">
        <v>0</v>
      </c>
      <c r="L3099" s="2"/>
      <c r="M3099" s="2"/>
      <c r="N3099" s="4" t="s">
        <v>2273</v>
      </c>
      <c r="O3099" s="4" t="str">
        <f>LEFT(Table2[[#This Row],[Description]],75)</f>
        <v>VANGUARD INTRMDIAT TRM TRSRY ETF</v>
      </c>
      <c r="P3099" s="2" t="s">
        <v>2357</v>
      </c>
    </row>
    <row r="3100" spans="1:16" hidden="1">
      <c r="A3100" s="2">
        <v>202008</v>
      </c>
      <c r="B3100" s="3">
        <v>44055</v>
      </c>
      <c r="C3100" s="2" t="s">
        <v>2317</v>
      </c>
      <c r="D3100" s="2" t="s">
        <v>2107</v>
      </c>
      <c r="E3100" s="2">
        <v>-2463.4</v>
      </c>
      <c r="F3100" s="2" t="e">
        <f>IF(Table2[[#This Row],[Manual Cat Value]]="",VLOOKUP(Table2[[#This Row],[Description]],'Actuals Lookup'!D:F,3,0),Table2[[#This Row],[Manual Cat Value]])</f>
        <v>#N/A</v>
      </c>
      <c r="J3100" s="2">
        <v>2463.4</v>
      </c>
      <c r="K3100" s="2" t="b">
        <v>0</v>
      </c>
      <c r="L3100" s="2"/>
      <c r="M3100" s="2"/>
      <c r="N3100" s="4" t="s">
        <v>2273</v>
      </c>
      <c r="O3100" s="4" t="str">
        <f>LEFT(Table2[[#This Row],[Description]],75)</f>
        <v>VANGUARD INTRMDIAT TRM TRSRY ETF</v>
      </c>
      <c r="P3100" s="2" t="s">
        <v>2357</v>
      </c>
    </row>
    <row r="3101" spans="1:16" hidden="1">
      <c r="A3101" s="2">
        <v>202008</v>
      </c>
      <c r="B3101" s="3">
        <v>44056</v>
      </c>
      <c r="C3101" s="2" t="s">
        <v>2435</v>
      </c>
      <c r="D3101" s="2" t="s">
        <v>164</v>
      </c>
      <c r="E3101" s="2">
        <v>-4.12</v>
      </c>
      <c r="F3101" s="2" t="e">
        <f>IF(Table2[[#This Row],[Manual Cat Value]]="",VLOOKUP(Table2[[#This Row],[Description]],'Actuals Lookup'!D:F,3,0),Table2[[#This Row],[Manual Cat Value]])</f>
        <v>#N/A</v>
      </c>
      <c r="J3101" s="2">
        <v>4.12</v>
      </c>
      <c r="K3101" s="2" t="b">
        <v>0</v>
      </c>
      <c r="L3101" s="2"/>
      <c r="M3101" s="2"/>
      <c r="N3101" s="4" t="s">
        <v>2273</v>
      </c>
      <c r="O3101" s="4" t="str">
        <f>LEFT(Table2[[#This Row],[Description]],75)</f>
        <v>APPLE INC</v>
      </c>
      <c r="P3101" s="2" t="s">
        <v>2405</v>
      </c>
    </row>
    <row r="3102" spans="1:16" hidden="1">
      <c r="A3102" s="2">
        <v>202008</v>
      </c>
      <c r="B3102" s="3">
        <v>44056</v>
      </c>
      <c r="C3102" s="2" t="s">
        <v>2317</v>
      </c>
      <c r="D3102" s="2" t="s">
        <v>164</v>
      </c>
      <c r="E3102" s="2">
        <v>-45.82</v>
      </c>
      <c r="F3102" s="2" t="e">
        <f>IF(Table2[[#This Row],[Manual Cat Value]]="",VLOOKUP(Table2[[#This Row],[Description]],'Actuals Lookup'!D:F,3,0),Table2[[#This Row],[Manual Cat Value]])</f>
        <v>#N/A</v>
      </c>
      <c r="J3102" s="2">
        <v>45.82</v>
      </c>
      <c r="K3102" s="2" t="b">
        <v>0</v>
      </c>
      <c r="L3102" s="2"/>
      <c r="M3102" s="2"/>
      <c r="N3102" s="4" t="s">
        <v>2273</v>
      </c>
      <c r="O3102" s="4" t="str">
        <f>LEFT(Table2[[#This Row],[Description]],75)</f>
        <v>APPLE INC</v>
      </c>
      <c r="P3102" s="2" t="s">
        <v>2405</v>
      </c>
    </row>
    <row r="3103" spans="1:16" hidden="1">
      <c r="A3103" s="2">
        <v>202008</v>
      </c>
      <c r="B3103" s="3">
        <v>44056</v>
      </c>
      <c r="C3103" s="2" t="s">
        <v>2265</v>
      </c>
      <c r="D3103" s="2" t="s">
        <v>615</v>
      </c>
      <c r="E3103" s="2">
        <v>-2833.92</v>
      </c>
      <c r="F3103" s="2" t="e">
        <f>IF(Table2[[#This Row],[Manual Cat Value]]="",VLOOKUP(Table2[[#This Row],[Description]],'Actuals Lookup'!D:F,3,0),Table2[[#This Row],[Manual Cat Value]])</f>
        <v>#N/A</v>
      </c>
      <c r="J3103" s="2">
        <v>2833.92</v>
      </c>
      <c r="K3103" s="2" t="b">
        <v>0</v>
      </c>
      <c r="L3103" s="2"/>
      <c r="M3103" s="2"/>
      <c r="N3103" s="4" t="s">
        <v>2273</v>
      </c>
      <c r="O3103" s="4" t="str">
        <f>LEFT(Table2[[#This Row],[Description]],75)</f>
        <v>CONNECTED ANALYT TYPE DIRECT DEP ID CO CONNECTED ANALYT ACH ECC PPD ACH Tra</v>
      </c>
      <c r="P3103" s="2" t="s">
        <v>2281</v>
      </c>
    </row>
    <row r="3104" spans="1:16" hidden="1">
      <c r="A3104" s="2">
        <v>202008</v>
      </c>
      <c r="B3104" s="3">
        <v>44056</v>
      </c>
      <c r="C3104" s="2" t="s">
        <v>2262</v>
      </c>
      <c r="D3104" s="2" t="s">
        <v>684</v>
      </c>
      <c r="E3104" s="2">
        <v>86.81</v>
      </c>
      <c r="F3104" s="2" t="str">
        <f>IF(Table2[[#This Row],[Manual Cat Value]]="",VLOOKUP(Table2[[#This Row],[Description]],'Actuals Lookup'!D:F,3,0),Table2[[#This Row],[Manual Cat Value]])</f>
        <v>Groceries</v>
      </c>
      <c r="J3104" s="2">
        <v>86.81</v>
      </c>
      <c r="K3104" s="2" t="b">
        <v>0</v>
      </c>
      <c r="L3104" s="2"/>
      <c r="M3104" s="2"/>
      <c r="N3104" s="4" t="s">
        <v>2259</v>
      </c>
      <c r="O3104" s="4" t="str">
        <f>LEFT(Table2[[#This Row],[Description]],75)</f>
        <v>Cub Foods</v>
      </c>
      <c r="P3104" s="2" t="s">
        <v>2370</v>
      </c>
    </row>
    <row r="3105" spans="1:16" hidden="1">
      <c r="A3105" s="2">
        <v>202008</v>
      </c>
      <c r="B3105" s="3">
        <v>44056</v>
      </c>
      <c r="C3105" s="2" t="s">
        <v>2262</v>
      </c>
      <c r="D3105" s="2" t="s">
        <v>919</v>
      </c>
      <c r="E3105" s="2">
        <v>18</v>
      </c>
      <c r="F3105" s="2" t="e">
        <f>IF(Table2[[#This Row],[Manual Cat Value]]="",VLOOKUP(Table2[[#This Row],[Description]],'Actuals Lookup'!D:F,3,0),Table2[[#This Row],[Manual Cat Value]])</f>
        <v>#N/A</v>
      </c>
      <c r="J3105" s="2">
        <v>18</v>
      </c>
      <c r="K3105" s="2" t="b">
        <v>0</v>
      </c>
      <c r="L3105" s="2"/>
      <c r="M3105" s="2"/>
      <c r="N3105" s="4" t="s">
        <v>2259</v>
      </c>
      <c r="O3105" s="4" t="str">
        <f>LEFT(Table2[[#This Row],[Description]],75)</f>
        <v>Harvard Business</v>
      </c>
      <c r="P3105" s="2" t="s">
        <v>2412</v>
      </c>
    </row>
    <row r="3106" spans="1:16" hidden="1">
      <c r="A3106" s="2">
        <v>202008</v>
      </c>
      <c r="B3106" s="3">
        <v>44056</v>
      </c>
      <c r="C3106" s="2" t="s">
        <v>2262</v>
      </c>
      <c r="D3106" s="2" t="s">
        <v>1593</v>
      </c>
      <c r="E3106" s="2">
        <v>56.7</v>
      </c>
      <c r="F3106" s="2" t="e">
        <f>IF(Table2[[#This Row],[Manual Cat Value]]="",VLOOKUP(Table2[[#This Row],[Description]],'Actuals Lookup'!D:F,3,0),Table2[[#This Row],[Manual Cat Value]])</f>
        <v>#N/A</v>
      </c>
      <c r="J3106" s="2">
        <v>56.7</v>
      </c>
      <c r="K3106" s="2" t="b">
        <v>0</v>
      </c>
      <c r="L3106" s="2"/>
      <c r="M3106" s="2"/>
      <c r="N3106" s="4" t="s">
        <v>2259</v>
      </c>
      <c r="O3106" s="4" t="str">
        <f>LEFT(Table2[[#This Row],[Description]],75)</f>
        <v>RIDGEVIEW MEDICAL CNTRCLWACONIA MN</v>
      </c>
      <c r="P3106" s="2" t="s">
        <v>2281</v>
      </c>
    </row>
    <row r="3107" spans="1:16" hidden="1">
      <c r="A3107" s="2">
        <v>202008</v>
      </c>
      <c r="B3107" s="3">
        <v>44056</v>
      </c>
      <c r="C3107" s="2" t="s">
        <v>2262</v>
      </c>
      <c r="D3107" s="2" t="s">
        <v>1609</v>
      </c>
      <c r="E3107" s="2">
        <v>220.5</v>
      </c>
      <c r="F3107" s="2" t="e">
        <f>IF(Table2[[#This Row],[Manual Cat Value]]="",VLOOKUP(Table2[[#This Row],[Description]],'Actuals Lookup'!D:F,3,0),Table2[[#This Row],[Manual Cat Value]])</f>
        <v>#N/A</v>
      </c>
      <c r="J3107" s="2">
        <v>220.5</v>
      </c>
      <c r="K3107" s="2" t="b">
        <v>0</v>
      </c>
      <c r="L3107" s="2"/>
      <c r="M3107" s="2"/>
      <c r="N3107" s="4" t="s">
        <v>2259</v>
      </c>
      <c r="O3107" s="4" t="str">
        <f>LEFT(Table2[[#This Row],[Description]],75)</f>
        <v>RUTTGERS BAY LAKE LODGE 2186782885 MN</v>
      </c>
      <c r="P3107" s="2" t="s">
        <v>2281</v>
      </c>
    </row>
    <row r="3108" spans="1:16" hidden="1">
      <c r="A3108" s="2">
        <v>202008</v>
      </c>
      <c r="B3108" s="3">
        <v>44057</v>
      </c>
      <c r="C3108" s="2" t="s">
        <v>2262</v>
      </c>
      <c r="D3108" s="2" t="s">
        <v>1423</v>
      </c>
      <c r="E3108" s="2">
        <v>-996.86</v>
      </c>
      <c r="F3108" s="2" t="e">
        <f>IF(Table2[[#This Row],[Manual Cat Value]]="",VLOOKUP(Table2[[#This Row],[Description]],'Actuals Lookup'!D:F,3,0),Table2[[#This Row],[Manual Cat Value]])</f>
        <v>#N/A</v>
      </c>
      <c r="J3108" s="2">
        <v>996.86</v>
      </c>
      <c r="K3108" s="2" t="b">
        <v>0</v>
      </c>
      <c r="L3108" s="2"/>
      <c r="M3108" s="2"/>
      <c r="N3108" s="4" t="s">
        <v>2273</v>
      </c>
      <c r="O3108" s="4" t="str">
        <f>LEFT(Table2[[#This Row],[Description]],75)</f>
        <v>PAYMENT THANK YOU</v>
      </c>
      <c r="P3108" s="2" t="s">
        <v>2391</v>
      </c>
    </row>
    <row r="3109" spans="1:16" hidden="1">
      <c r="A3109" s="2">
        <v>202008</v>
      </c>
      <c r="B3109" s="3">
        <v>44057</v>
      </c>
      <c r="C3109" s="2" t="s">
        <v>2265</v>
      </c>
      <c r="D3109" s="2" t="s">
        <v>2176</v>
      </c>
      <c r="E3109" s="2">
        <v>996.86</v>
      </c>
      <c r="F3109" s="2" t="e">
        <f>IF(Table2[[#This Row],[Manual Cat Value]]="",VLOOKUP(Table2[[#This Row],[Description]],'Actuals Lookup'!D:F,3,0),Table2[[#This Row],[Manual Cat Value]])</f>
        <v>#N/A</v>
      </c>
      <c r="J3109" s="2">
        <v>996.86</v>
      </c>
      <c r="K3109" s="2" t="b">
        <v>0</v>
      </c>
      <c r="L3109" s="2"/>
      <c r="M3109" s="2"/>
      <c r="N3109" s="4" t="s">
        <v>2259</v>
      </c>
      <c r="O3109" s="4" t="str">
        <f>LEFT(Table2[[#This Row],[Description]],75)</f>
        <v>Withdrawal Home payment to card 979181</v>
      </c>
      <c r="P3109" s="2" t="s">
        <v>2349</v>
      </c>
    </row>
    <row r="3110" spans="1:16" hidden="1">
      <c r="A3110" s="2">
        <v>202008</v>
      </c>
      <c r="B3110" s="3">
        <v>44057</v>
      </c>
      <c r="C3110" s="2" t="s">
        <v>2262</v>
      </c>
      <c r="D3110" s="2" t="s">
        <v>38</v>
      </c>
      <c r="E3110" s="2">
        <v>64.41</v>
      </c>
      <c r="F3110" s="2" t="str">
        <f>IF(Table2[[#This Row],[Manual Cat Value]]="",VLOOKUP(Table2[[#This Row],[Description]],'Actuals Lookup'!D:F,3,0),Table2[[#This Row],[Manual Cat Value]])</f>
        <v>Amazon</v>
      </c>
      <c r="J3110" s="2">
        <v>64.41</v>
      </c>
      <c r="K3110" s="2" t="b">
        <v>0</v>
      </c>
      <c r="L3110" s="2"/>
      <c r="M3110" s="2"/>
      <c r="N3110" s="4" t="s">
        <v>2259</v>
      </c>
      <c r="O3110" s="4" t="str">
        <f>LEFT(Table2[[#This Row],[Description]],75)</f>
        <v>Amazon</v>
      </c>
      <c r="P3110" s="2" t="s">
        <v>2260</v>
      </c>
    </row>
    <row r="3111" spans="1:16" hidden="1">
      <c r="A3111" s="2">
        <v>202008</v>
      </c>
      <c r="B3111" s="3">
        <v>44057</v>
      </c>
      <c r="C3111" s="2" t="s">
        <v>2265</v>
      </c>
      <c r="D3111" s="2" t="s">
        <v>131</v>
      </c>
      <c r="E3111" s="2">
        <v>102.94</v>
      </c>
      <c r="F3111" s="2" t="str">
        <f>IF(Table2[[#This Row],[Manual Cat Value]]="",VLOOKUP(Table2[[#This Row],[Description]],'Actuals Lookup'!D:F,3,0),Table2[[#This Row],[Manual Cat Value]])</f>
        <v>Insurance</v>
      </c>
      <c r="J3111" s="2">
        <v>102.94</v>
      </c>
      <c r="K3111" s="2" t="b">
        <v>0</v>
      </c>
      <c r="L3111" s="2"/>
      <c r="M3111" s="2"/>
      <c r="N3111" s="4" t="s">
        <v>2259</v>
      </c>
      <c r="O3111" s="4" t="str">
        <f>LEFT(Table2[[#This Row],[Description]],75)</f>
        <v>American Family Insurance</v>
      </c>
      <c r="P3111" s="2" t="s">
        <v>2286</v>
      </c>
    </row>
    <row r="3112" spans="1:16" hidden="1">
      <c r="A3112" s="2">
        <v>202008</v>
      </c>
      <c r="B3112" s="3">
        <v>44057</v>
      </c>
      <c r="C3112" s="2" t="s">
        <v>2435</v>
      </c>
      <c r="D3112" s="2" t="s">
        <v>164</v>
      </c>
      <c r="E3112" s="2">
        <v>4.12</v>
      </c>
      <c r="F3112" s="2" t="e">
        <f>IF(Table2[[#This Row],[Manual Cat Value]]="",VLOOKUP(Table2[[#This Row],[Description]],'Actuals Lookup'!D:F,3,0),Table2[[#This Row],[Manual Cat Value]])</f>
        <v>#N/A</v>
      </c>
      <c r="J3112" s="2">
        <v>4.12</v>
      </c>
      <c r="K3112" s="2" t="b">
        <v>0</v>
      </c>
      <c r="L3112" s="2"/>
      <c r="M3112" s="2"/>
      <c r="N3112" s="4" t="s">
        <v>2259</v>
      </c>
      <c r="O3112" s="4" t="str">
        <f>LEFT(Table2[[#This Row],[Description]],75)</f>
        <v>APPLE INC</v>
      </c>
      <c r="P3112" s="2" t="s">
        <v>2405</v>
      </c>
    </row>
    <row r="3113" spans="1:16" hidden="1">
      <c r="A3113" s="2">
        <v>202008</v>
      </c>
      <c r="B3113" s="3">
        <v>44057</v>
      </c>
      <c r="C3113" s="2" t="s">
        <v>2317</v>
      </c>
      <c r="D3113" s="2" t="s">
        <v>164</v>
      </c>
      <c r="E3113" s="2">
        <v>45.82</v>
      </c>
      <c r="F3113" s="2" t="e">
        <f>IF(Table2[[#This Row],[Manual Cat Value]]="",VLOOKUP(Table2[[#This Row],[Description]],'Actuals Lookup'!D:F,3,0),Table2[[#This Row],[Manual Cat Value]])</f>
        <v>#N/A</v>
      </c>
      <c r="J3113" s="2">
        <v>45.82</v>
      </c>
      <c r="K3113" s="2" t="b">
        <v>0</v>
      </c>
      <c r="L3113" s="2"/>
      <c r="M3113" s="2"/>
      <c r="N3113" s="4" t="s">
        <v>2259</v>
      </c>
      <c r="O3113" s="4" t="str">
        <f>LEFT(Table2[[#This Row],[Description]],75)</f>
        <v>APPLE INC</v>
      </c>
      <c r="P3113" s="2" t="s">
        <v>2405</v>
      </c>
    </row>
    <row r="3114" spans="1:16" hidden="1">
      <c r="A3114" s="2">
        <v>202008</v>
      </c>
      <c r="B3114" s="3">
        <v>44057</v>
      </c>
      <c r="C3114" s="2" t="s">
        <v>2317</v>
      </c>
      <c r="D3114" s="2" t="s">
        <v>605</v>
      </c>
      <c r="E3114" s="2">
        <v>-250</v>
      </c>
      <c r="F3114" s="2" t="e">
        <f>IF(Table2[[#This Row],[Manual Cat Value]]="",VLOOKUP(Table2[[#This Row],[Description]],'Actuals Lookup'!D:F,3,0),Table2[[#This Row],[Manual Cat Value]])</f>
        <v>#N/A</v>
      </c>
      <c r="J3114" s="2">
        <v>250</v>
      </c>
      <c r="K3114" s="2" t="b">
        <v>0</v>
      </c>
      <c r="L3114" s="2"/>
      <c r="M3114" s="2"/>
      <c r="N3114" s="4" t="s">
        <v>2273</v>
      </c>
      <c r="O3114" s="4" t="str">
        <f>LEFT(Table2[[#This Row],[Description]],75)</f>
        <v>CONNECTED ANALYT</v>
      </c>
      <c r="P3114" s="2" t="s">
        <v>2493</v>
      </c>
    </row>
    <row r="3115" spans="1:16" hidden="1">
      <c r="A3115" s="2">
        <v>202008</v>
      </c>
      <c r="B3115" s="3">
        <v>44057</v>
      </c>
      <c r="C3115" s="2" t="s">
        <v>2265</v>
      </c>
      <c r="D3115" s="2" t="s">
        <v>1471</v>
      </c>
      <c r="E3115" s="2">
        <v>68.989999999999995</v>
      </c>
      <c r="F3115" s="2" t="str">
        <f>IF(Table2[[#This Row],[Manual Cat Value]]="",VLOOKUP(Table2[[#This Row],[Description]],'Actuals Lookup'!D:F,3,0),Table2[[#This Row],[Manual Cat Value]])</f>
        <v>Shopping</v>
      </c>
      <c r="J3115" s="2">
        <v>68.989999999999995</v>
      </c>
      <c r="K3115" s="2" t="b">
        <v>0</v>
      </c>
      <c r="L3115" s="2"/>
      <c r="M3115" s="2"/>
      <c r="N3115" s="4" t="s">
        <v>2259</v>
      </c>
      <c r="O3115" s="4" t="str">
        <f>LEFT(Table2[[#This Row],[Description]],75)</f>
        <v>PayPal</v>
      </c>
      <c r="P3115" s="2" t="s">
        <v>2322</v>
      </c>
    </row>
    <row r="3116" spans="1:16" hidden="1">
      <c r="A3116" s="2">
        <v>202008</v>
      </c>
      <c r="B3116" s="3">
        <v>44057</v>
      </c>
      <c r="C3116" s="2" t="s">
        <v>2300</v>
      </c>
      <c r="D3116" s="2" t="s">
        <v>1648</v>
      </c>
      <c r="E3116" s="2">
        <v>-300</v>
      </c>
      <c r="F3116" s="2" t="e">
        <f>IF(Table2[[#This Row],[Manual Cat Value]]="",VLOOKUP(Table2[[#This Row],[Description]],'Actuals Lookup'!D:F,3,0),Table2[[#This Row],[Manual Cat Value]])</f>
        <v>#N/A</v>
      </c>
      <c r="J3116" s="2">
        <v>300</v>
      </c>
      <c r="K3116" s="2" t="b">
        <v>0</v>
      </c>
      <c r="L3116" s="2"/>
      <c r="M3116" s="2"/>
      <c r="N3116" s="4" t="s">
        <v>2273</v>
      </c>
      <c r="O3116" s="4" t="str">
        <f>LEFT(Table2[[#This Row],[Description]],75)</f>
        <v>Share</v>
      </c>
      <c r="P3116" s="2" t="s">
        <v>2448</v>
      </c>
    </row>
    <row r="3117" spans="1:16" hidden="1">
      <c r="A3117" s="2">
        <v>202008</v>
      </c>
      <c r="B3117" s="3">
        <v>44057</v>
      </c>
      <c r="C3117" s="2" t="s">
        <v>2435</v>
      </c>
      <c r="D3117" s="2" t="s">
        <v>1836</v>
      </c>
      <c r="E3117" s="2">
        <v>-250</v>
      </c>
      <c r="F3117" s="2" t="e">
        <f>IF(Table2[[#This Row],[Manual Cat Value]]="",VLOOKUP(Table2[[#This Row],[Description]],'Actuals Lookup'!D:F,3,0),Table2[[#This Row],[Manual Cat Value]])</f>
        <v>#N/A</v>
      </c>
      <c r="J3117" s="2">
        <v>250</v>
      </c>
      <c r="K3117" s="2" t="b">
        <v>0</v>
      </c>
      <c r="L3117" s="2"/>
      <c r="M3117" s="2"/>
      <c r="N3117" s="4" t="s">
        <v>2273</v>
      </c>
      <c r="O3117" s="4" t="str">
        <f>LEFT(Table2[[#This Row],[Description]],75)</f>
        <v>Tfr JPMORGAN CHASE BAN, CONNECTED ANALYT</v>
      </c>
      <c r="P3117" s="2" t="s">
        <v>2493</v>
      </c>
    </row>
    <row r="3118" spans="1:16" hidden="1">
      <c r="A3118" s="2">
        <v>202008</v>
      </c>
      <c r="B3118" s="3">
        <v>44057</v>
      </c>
      <c r="C3118" s="2" t="s">
        <v>2265</v>
      </c>
      <c r="D3118" s="2" t="s">
        <v>1892</v>
      </c>
      <c r="E3118" s="2">
        <v>300</v>
      </c>
      <c r="F3118" s="2" t="e">
        <f>IF(Table2[[#This Row],[Manual Cat Value]]="",VLOOKUP(Table2[[#This Row],[Description]],'Actuals Lookup'!D:F,3,0),Table2[[#This Row],[Manual Cat Value]])</f>
        <v>#N/A</v>
      </c>
      <c r="J3118" s="2">
        <v>300</v>
      </c>
      <c r="K3118" s="2" t="b">
        <v>0</v>
      </c>
      <c r="L3118" s="2"/>
      <c r="M3118" s="2"/>
      <c r="N3118" s="4" t="s">
        <v>2259</v>
      </c>
      <c r="O3118" s="4" t="str">
        <f>LEFT(Table2[[#This Row],[Description]],75)</f>
        <v>To Share 12</v>
      </c>
      <c r="P3118" s="2" t="s">
        <v>2494</v>
      </c>
    </row>
    <row r="3119" spans="1:16" hidden="1">
      <c r="A3119" s="2">
        <v>202008</v>
      </c>
      <c r="B3119" s="3">
        <v>44057</v>
      </c>
      <c r="C3119" s="2" t="s">
        <v>2317</v>
      </c>
      <c r="D3119" s="2" t="s">
        <v>2100</v>
      </c>
      <c r="E3119" s="2">
        <v>-5.55</v>
      </c>
      <c r="F3119" s="2" t="e">
        <f>IF(Table2[[#This Row],[Manual Cat Value]]="",VLOOKUP(Table2[[#This Row],[Description]],'Actuals Lookup'!D:F,3,0),Table2[[#This Row],[Manual Cat Value]])</f>
        <v>#N/A</v>
      </c>
      <c r="J3119" s="2">
        <v>5.55</v>
      </c>
      <c r="K3119" s="2" t="b">
        <v>0</v>
      </c>
      <c r="L3119" s="2"/>
      <c r="M3119" s="2"/>
      <c r="N3119" s="4" t="s">
        <v>2273</v>
      </c>
      <c r="O3119" s="4" t="str">
        <f>LEFT(Table2[[#This Row],[Description]],75)</f>
        <v>USD PARTNERS LP LP</v>
      </c>
      <c r="P3119" s="2" t="s">
        <v>2385</v>
      </c>
    </row>
    <row r="3120" spans="1:16" hidden="1">
      <c r="A3120" s="2">
        <v>202008</v>
      </c>
      <c r="B3120" s="3">
        <v>44058</v>
      </c>
      <c r="C3120" s="2" t="s">
        <v>2262</v>
      </c>
      <c r="D3120" s="2" t="s">
        <v>1423</v>
      </c>
      <c r="E3120" s="2">
        <v>-1061.27</v>
      </c>
      <c r="F3120" s="2" t="e">
        <f>IF(Table2[[#This Row],[Manual Cat Value]]="",VLOOKUP(Table2[[#This Row],[Description]],'Actuals Lookup'!D:F,3,0),Table2[[#This Row],[Manual Cat Value]])</f>
        <v>#N/A</v>
      </c>
      <c r="J3120" s="2">
        <v>1061.27</v>
      </c>
      <c r="K3120" s="2" t="b">
        <v>0</v>
      </c>
      <c r="L3120" s="2"/>
      <c r="M3120" s="2"/>
      <c r="N3120" s="4" t="s">
        <v>2273</v>
      </c>
      <c r="O3120" s="4" t="str">
        <f>LEFT(Table2[[#This Row],[Description]],75)</f>
        <v>PAYMENT THANK YOU</v>
      </c>
      <c r="P3120" s="2" t="s">
        <v>2391</v>
      </c>
    </row>
    <row r="3121" spans="1:16" hidden="1">
      <c r="A3121" s="2">
        <v>202008</v>
      </c>
      <c r="B3121" s="3">
        <v>44058</v>
      </c>
      <c r="C3121" s="2" t="s">
        <v>2265</v>
      </c>
      <c r="D3121" s="2" t="s">
        <v>2176</v>
      </c>
      <c r="E3121" s="2">
        <v>1061.27</v>
      </c>
      <c r="F3121" s="2" t="e">
        <f>IF(Table2[[#This Row],[Manual Cat Value]]="",VLOOKUP(Table2[[#This Row],[Description]],'Actuals Lookup'!D:F,3,0),Table2[[#This Row],[Manual Cat Value]])</f>
        <v>#N/A</v>
      </c>
      <c r="J3121" s="2">
        <v>1061.27</v>
      </c>
      <c r="K3121" s="2" t="b">
        <v>0</v>
      </c>
      <c r="L3121" s="2"/>
      <c r="M3121" s="2"/>
      <c r="N3121" s="4" t="s">
        <v>2259</v>
      </c>
      <c r="O3121" s="4" t="str">
        <f>LEFT(Table2[[#This Row],[Description]],75)</f>
        <v>Withdrawal Home payment to card 979181</v>
      </c>
      <c r="P3121" s="2" t="s">
        <v>2349</v>
      </c>
    </row>
    <row r="3122" spans="1:16" hidden="1">
      <c r="A3122" s="2">
        <v>202008</v>
      </c>
      <c r="B3122" s="3">
        <v>44058</v>
      </c>
      <c r="C3122" s="2" t="s">
        <v>2447</v>
      </c>
      <c r="D3122" s="2" t="s">
        <v>38</v>
      </c>
      <c r="E3122" s="2">
        <v>11.78</v>
      </c>
      <c r="F3122" s="2" t="str">
        <f>IF(Table2[[#This Row],[Manual Cat Value]]="",VLOOKUP(Table2[[#This Row],[Description]],'Actuals Lookup'!D:F,3,0),Table2[[#This Row],[Manual Cat Value]])</f>
        <v>Amazon</v>
      </c>
      <c r="J3122" s="2">
        <v>11.78</v>
      </c>
      <c r="K3122" s="2" t="b">
        <v>0</v>
      </c>
      <c r="L3122" s="2"/>
      <c r="M3122" s="2"/>
      <c r="N3122" s="4" t="s">
        <v>2259</v>
      </c>
      <c r="O3122" s="4" t="str">
        <f>LEFT(Table2[[#This Row],[Description]],75)</f>
        <v>Amazon</v>
      </c>
      <c r="P3122" s="2" t="s">
        <v>2260</v>
      </c>
    </row>
    <row r="3123" spans="1:16" hidden="1">
      <c r="A3123" s="2">
        <v>202008</v>
      </c>
      <c r="B3123" s="3">
        <v>44058</v>
      </c>
      <c r="C3123" s="2" t="s">
        <v>2258</v>
      </c>
      <c r="D3123" s="2" t="s">
        <v>38</v>
      </c>
      <c r="E3123" s="2">
        <v>11.78</v>
      </c>
      <c r="F3123" s="2" t="str">
        <f>IF(Table2[[#This Row],[Manual Cat Value]]="",VLOOKUP(Table2[[#This Row],[Description]],'Actuals Lookup'!D:F,3,0),Table2[[#This Row],[Manual Cat Value]])</f>
        <v>Amazon</v>
      </c>
      <c r="J3123" s="2">
        <v>11.78</v>
      </c>
      <c r="K3123" s="2" t="b">
        <v>0</v>
      </c>
      <c r="L3123" s="2"/>
      <c r="M3123" s="2"/>
      <c r="N3123" s="4" t="s">
        <v>2259</v>
      </c>
      <c r="O3123" s="4" t="str">
        <f>LEFT(Table2[[#This Row],[Description]],75)</f>
        <v>Amazon</v>
      </c>
      <c r="P3123" s="2" t="s">
        <v>2260</v>
      </c>
    </row>
    <row r="3124" spans="1:16" hidden="1">
      <c r="A3124" s="2">
        <v>202008</v>
      </c>
      <c r="B3124" s="3">
        <v>44058</v>
      </c>
      <c r="C3124" s="2" t="s">
        <v>2265</v>
      </c>
      <c r="D3124" s="2" t="s">
        <v>1648</v>
      </c>
      <c r="E3124" s="2">
        <v>-203</v>
      </c>
      <c r="F3124" s="2" t="e">
        <f>IF(Table2[[#This Row],[Manual Cat Value]]="",VLOOKUP(Table2[[#This Row],[Description]],'Actuals Lookup'!D:F,3,0),Table2[[#This Row],[Manual Cat Value]])</f>
        <v>#N/A</v>
      </c>
      <c r="J3124" s="2">
        <v>203</v>
      </c>
      <c r="K3124" s="2" t="b">
        <v>0</v>
      </c>
      <c r="L3124" s="2"/>
      <c r="M3124" s="2"/>
      <c r="N3124" s="4" t="s">
        <v>2273</v>
      </c>
      <c r="O3124" s="4" t="str">
        <f>LEFT(Table2[[#This Row],[Description]],75)</f>
        <v>Share</v>
      </c>
      <c r="P3124" s="2" t="s">
        <v>2448</v>
      </c>
    </row>
    <row r="3125" spans="1:16" hidden="1">
      <c r="A3125" s="2">
        <v>202008</v>
      </c>
      <c r="B3125" s="3">
        <v>44058</v>
      </c>
      <c r="C3125" s="2" t="s">
        <v>2305</v>
      </c>
      <c r="D3125" s="2" t="s">
        <v>1905</v>
      </c>
      <c r="E3125" s="2">
        <v>203</v>
      </c>
      <c r="F3125" s="2" t="e">
        <f>IF(Table2[[#This Row],[Manual Cat Value]]="",VLOOKUP(Table2[[#This Row],[Description]],'Actuals Lookup'!D:F,3,0),Table2[[#This Row],[Manual Cat Value]])</f>
        <v>#N/A</v>
      </c>
      <c r="J3125" s="2">
        <v>203</v>
      </c>
      <c r="K3125" s="2" t="b">
        <v>0</v>
      </c>
      <c r="L3125" s="2"/>
      <c r="M3125" s="2"/>
      <c r="N3125" s="4" t="s">
        <v>2259</v>
      </c>
      <c r="O3125" s="4" t="str">
        <f>LEFT(Table2[[#This Row],[Description]],75)</f>
        <v>To Share 70</v>
      </c>
      <c r="P3125" s="2" t="s">
        <v>2281</v>
      </c>
    </row>
    <row r="3126" spans="1:16" hidden="1">
      <c r="A3126" s="2">
        <v>202008</v>
      </c>
      <c r="B3126" s="3">
        <v>44059</v>
      </c>
      <c r="C3126" s="2" t="s">
        <v>2265</v>
      </c>
      <c r="D3126" s="2" t="s">
        <v>637</v>
      </c>
      <c r="E3126" s="2">
        <v>-56.7</v>
      </c>
      <c r="F3126" s="2" t="e">
        <f>IF(Table2[[#This Row],[Manual Cat Value]]="",VLOOKUP(Table2[[#This Row],[Description]],'Actuals Lookup'!D:F,3,0),Table2[[#This Row],[Manual Cat Value]])</f>
        <v>#N/A</v>
      </c>
      <c r="J3126" s="2">
        <v>56.7</v>
      </c>
      <c r="K3126" s="2" t="b">
        <v>0</v>
      </c>
      <c r="L3126" s="2"/>
      <c r="M3126" s="2"/>
      <c r="N3126" s="4" t="s">
        <v>2273</v>
      </c>
      <c r="O3126" s="4" t="str">
        <f>LEFT(Table2[[#This Row],[Description]],75)</f>
        <v>Connectyourcare Type Svbclaims</v>
      </c>
      <c r="P3126" s="2" t="s">
        <v>2281</v>
      </c>
    </row>
    <row r="3127" spans="1:16" hidden="1">
      <c r="A3127" s="2">
        <v>202008</v>
      </c>
      <c r="B3127" s="3">
        <v>44059</v>
      </c>
      <c r="C3127" s="2" t="s">
        <v>2262</v>
      </c>
      <c r="D3127" s="2" t="s">
        <v>684</v>
      </c>
      <c r="E3127" s="2">
        <v>51.38</v>
      </c>
      <c r="F3127" s="2" t="str">
        <f>IF(Table2[[#This Row],[Manual Cat Value]]="",VLOOKUP(Table2[[#This Row],[Description]],'Actuals Lookup'!D:F,3,0),Table2[[#This Row],[Manual Cat Value]])</f>
        <v>Groceries</v>
      </c>
      <c r="J3127" s="2">
        <v>51.38</v>
      </c>
      <c r="K3127" s="2" t="b">
        <v>0</v>
      </c>
      <c r="L3127" s="2"/>
      <c r="M3127" s="2"/>
      <c r="N3127" s="4" t="s">
        <v>2259</v>
      </c>
      <c r="O3127" s="4" t="str">
        <f>LEFT(Table2[[#This Row],[Description]],75)</f>
        <v>Cub Foods</v>
      </c>
      <c r="P3127" s="2" t="s">
        <v>2370</v>
      </c>
    </row>
    <row r="3128" spans="1:16" hidden="1">
      <c r="A3128" s="2">
        <v>202008</v>
      </c>
      <c r="B3128" s="3">
        <v>44059</v>
      </c>
      <c r="C3128" s="2" t="s">
        <v>2262</v>
      </c>
      <c r="D3128" s="2" t="s">
        <v>944</v>
      </c>
      <c r="E3128" s="2">
        <v>29.13</v>
      </c>
      <c r="F3128" s="2" t="e">
        <f>IF(Table2[[#This Row],[Manual Cat Value]]="",VLOOKUP(Table2[[#This Row],[Description]],'Actuals Lookup'!D:F,3,0),Table2[[#This Row],[Manual Cat Value]])</f>
        <v>#N/A</v>
      </c>
      <c r="J3128" s="2">
        <v>29.13</v>
      </c>
      <c r="K3128" s="2" t="b">
        <v>0</v>
      </c>
      <c r="L3128" s="2"/>
      <c r="M3128" s="2"/>
      <c r="N3128" s="4" t="s">
        <v>2259</v>
      </c>
      <c r="O3128" s="4" t="str">
        <f>LEFT(Table2[[#This Row],[Description]],75)</f>
        <v>Holiday Stationstore</v>
      </c>
      <c r="P3128" s="2" t="s">
        <v>2374</v>
      </c>
    </row>
    <row r="3129" spans="1:16" hidden="1">
      <c r="A3129" s="2">
        <v>202008</v>
      </c>
      <c r="B3129" s="3">
        <v>44059</v>
      </c>
      <c r="C3129" s="2" t="s">
        <v>2262</v>
      </c>
      <c r="D3129" s="2" t="s">
        <v>1597</v>
      </c>
      <c r="E3129" s="2">
        <v>32.950000000000003</v>
      </c>
      <c r="F3129" s="2" t="e">
        <f>IF(Table2[[#This Row],[Manual Cat Value]]="",VLOOKUP(Table2[[#This Row],[Description]],'Actuals Lookup'!D:F,3,0),Table2[[#This Row],[Manual Cat Value]])</f>
        <v>#N/A</v>
      </c>
      <c r="J3129" s="2">
        <v>32.950000000000003</v>
      </c>
      <c r="K3129" s="2" t="b">
        <v>0</v>
      </c>
      <c r="L3129" s="2"/>
      <c r="M3129" s="2"/>
      <c r="N3129" s="4" t="s">
        <v>2259</v>
      </c>
      <c r="O3129" s="4" t="str">
        <f>LEFT(Table2[[#This Row],[Description]],75)</f>
        <v>RISE BAGEL CO MINNEAPOLIS MN</v>
      </c>
      <c r="P3129" s="2" t="s">
        <v>2331</v>
      </c>
    </row>
    <row r="3130" spans="1:16" hidden="1">
      <c r="A3130" s="2">
        <v>202008</v>
      </c>
      <c r="B3130" s="3">
        <v>44059</v>
      </c>
      <c r="C3130" s="2" t="s">
        <v>2262</v>
      </c>
      <c r="D3130" s="2" t="s">
        <v>1929</v>
      </c>
      <c r="E3130" s="2">
        <v>68.37</v>
      </c>
      <c r="F3130" s="2" t="str">
        <f>IF(Table2[[#This Row],[Manual Cat Value]]="",VLOOKUP(Table2[[#This Row],[Description]],'Actuals Lookup'!D:F,3,0),Table2[[#This Row],[Manual Cat Value]])</f>
        <v>Transportation</v>
      </c>
      <c r="J3130" s="2">
        <v>68.37</v>
      </c>
      <c r="K3130" s="2" t="b">
        <v>0</v>
      </c>
      <c r="L3130" s="2"/>
      <c r="M3130" s="2"/>
      <c r="N3130" s="4" t="s">
        <v>2259</v>
      </c>
      <c r="O3130" s="4" t="str">
        <f>LEFT(Table2[[#This Row],[Description]],75)</f>
        <v>Toyota</v>
      </c>
      <c r="P3130" s="2" t="s">
        <v>2281</v>
      </c>
    </row>
    <row r="3131" spans="1:16" hidden="1">
      <c r="A3131" s="2">
        <v>202008</v>
      </c>
      <c r="B3131" s="3">
        <v>44060</v>
      </c>
      <c r="C3131" s="2" t="s">
        <v>2434</v>
      </c>
      <c r="D3131" s="2" t="s">
        <v>232</v>
      </c>
      <c r="E3131" s="2">
        <v>-0.06</v>
      </c>
      <c r="F3131" s="2" t="e">
        <f>IF(Table2[[#This Row],[Manual Cat Value]]="",VLOOKUP(Table2[[#This Row],[Description]],'Actuals Lookup'!D:F,3,0),Table2[[#This Row],[Manual Cat Value]])</f>
        <v>#N/A</v>
      </c>
      <c r="J3131" s="2">
        <v>0.06</v>
      </c>
      <c r="K3131" s="2" t="b">
        <v>0</v>
      </c>
      <c r="L3131" s="2"/>
      <c r="M3131" s="2"/>
      <c r="N3131" s="4" t="s">
        <v>2273</v>
      </c>
      <c r="O3131" s="4" t="str">
        <f>LEFT(Table2[[#This Row],[Description]],75)</f>
        <v>BANK INT 071620-081520 SCHWAB PREMIER BANK</v>
      </c>
      <c r="P3131" s="2"/>
    </row>
    <row r="3132" spans="1:16" hidden="1">
      <c r="A3132" s="2">
        <v>202008</v>
      </c>
      <c r="B3132" s="3">
        <v>44060</v>
      </c>
      <c r="C3132" s="2" t="s">
        <v>2435</v>
      </c>
      <c r="D3132" s="2" t="s">
        <v>232</v>
      </c>
      <c r="E3132" s="2">
        <v>-0.04</v>
      </c>
      <c r="F3132" s="2" t="e">
        <f>IF(Table2[[#This Row],[Manual Cat Value]]="",VLOOKUP(Table2[[#This Row],[Description]],'Actuals Lookup'!D:F,3,0),Table2[[#This Row],[Manual Cat Value]])</f>
        <v>#N/A</v>
      </c>
      <c r="J3132" s="2">
        <v>0.04</v>
      </c>
      <c r="K3132" s="2" t="b">
        <v>0</v>
      </c>
      <c r="L3132" s="2"/>
      <c r="M3132" s="2"/>
      <c r="N3132" s="4" t="s">
        <v>2273</v>
      </c>
      <c r="O3132" s="4" t="str">
        <f>LEFT(Table2[[#This Row],[Description]],75)</f>
        <v>BANK INT 071620-081520 SCHWAB PREMIER BANK</v>
      </c>
      <c r="P3132" s="2"/>
    </row>
    <row r="3133" spans="1:16" hidden="1">
      <c r="A3133" s="2">
        <v>202008</v>
      </c>
      <c r="B3133" s="3">
        <v>44060</v>
      </c>
      <c r="C3133" s="2" t="s">
        <v>2262</v>
      </c>
      <c r="D3133" s="2" t="s">
        <v>291</v>
      </c>
      <c r="E3133" s="2">
        <v>17.399999999999999</v>
      </c>
      <c r="F3133" s="2" t="e">
        <f>IF(Table2[[#This Row],[Manual Cat Value]]="",VLOOKUP(Table2[[#This Row],[Description]],'Actuals Lookup'!D:F,3,0),Table2[[#This Row],[Manual Cat Value]])</f>
        <v>#N/A</v>
      </c>
      <c r="J3133" s="2">
        <v>17.399999999999999</v>
      </c>
      <c r="K3133" s="2" t="b">
        <v>0</v>
      </c>
      <c r="L3133" s="2"/>
      <c r="M3133" s="2"/>
      <c r="N3133" s="4" t="s">
        <v>2259</v>
      </c>
      <c r="O3133" s="4" t="str">
        <f>LEFT(Table2[[#This Row],[Description]],75)</f>
        <v>Birchs</v>
      </c>
      <c r="P3133" s="2" t="s">
        <v>2281</v>
      </c>
    </row>
    <row r="3134" spans="1:16" hidden="1">
      <c r="A3134" s="2">
        <v>202008</v>
      </c>
      <c r="B3134" s="3">
        <v>44060</v>
      </c>
      <c r="C3134" s="2" t="s">
        <v>2262</v>
      </c>
      <c r="D3134" s="2" t="s">
        <v>291</v>
      </c>
      <c r="E3134" s="2">
        <v>113</v>
      </c>
      <c r="F3134" s="2" t="e">
        <f>IF(Table2[[#This Row],[Manual Cat Value]]="",VLOOKUP(Table2[[#This Row],[Description]],'Actuals Lookup'!D:F,3,0),Table2[[#This Row],[Manual Cat Value]])</f>
        <v>#N/A</v>
      </c>
      <c r="J3134" s="2">
        <v>113</v>
      </c>
      <c r="K3134" s="2" t="b">
        <v>0</v>
      </c>
      <c r="L3134" s="2"/>
      <c r="M3134" s="2"/>
      <c r="N3134" s="4" t="s">
        <v>2259</v>
      </c>
      <c r="O3134" s="4" t="str">
        <f>LEFT(Table2[[#This Row],[Description]],75)</f>
        <v>Birchs</v>
      </c>
      <c r="P3134" s="2" t="s">
        <v>2281</v>
      </c>
    </row>
    <row r="3135" spans="1:16" hidden="1">
      <c r="A3135" s="2">
        <v>202008</v>
      </c>
      <c r="B3135" s="3">
        <v>44060</v>
      </c>
      <c r="C3135" s="2" t="s">
        <v>2265</v>
      </c>
      <c r="D3135" s="2" t="s">
        <v>652</v>
      </c>
      <c r="E3135" s="2">
        <v>60.01</v>
      </c>
      <c r="F3135" s="2" t="e">
        <f>IF(Table2[[#This Row],[Manual Cat Value]]="",VLOOKUP(Table2[[#This Row],[Description]],'Actuals Lookup'!D:F,3,0),Table2[[#This Row],[Manual Cat Value]])</f>
        <v>#N/A</v>
      </c>
      <c r="J3135" s="2">
        <v>60.01</v>
      </c>
      <c r="K3135" s="2" t="b">
        <v>0</v>
      </c>
      <c r="L3135" s="2"/>
      <c r="M3135" s="2"/>
      <c r="N3135" s="4" t="s">
        <v>2259</v>
      </c>
      <c r="O3135" s="4" t="str">
        <f>LEFT(Table2[[#This Row],[Description]],75)</f>
        <v xml:space="preserve">CPENERGY MNGCO TYPE MGC ACH EB ID 176051140S CO CPENERGY MNGCO ACH ECC WEB </v>
      </c>
      <c r="P3135" s="2" t="s">
        <v>2399</v>
      </c>
    </row>
    <row r="3136" spans="1:16" hidden="1">
      <c r="A3136" s="2">
        <v>202008</v>
      </c>
      <c r="B3136" s="3">
        <v>44060</v>
      </c>
      <c r="C3136" s="2" t="s">
        <v>2262</v>
      </c>
      <c r="D3136" s="2" t="s">
        <v>692</v>
      </c>
      <c r="E3136" s="2">
        <v>9.11</v>
      </c>
      <c r="F3136" s="2" t="str">
        <f>IF(Table2[[#This Row],[Manual Cat Value]]="",VLOOKUP(Table2[[#This Row],[Description]],'Actuals Lookup'!D:F,3,0),Table2[[#This Row],[Manual Cat Value]])</f>
        <v>Restaurants</v>
      </c>
      <c r="J3136" s="2">
        <v>9.11</v>
      </c>
      <c r="K3136" s="2" t="b">
        <v>0</v>
      </c>
      <c r="L3136" s="2"/>
      <c r="M3136" s="2"/>
      <c r="N3136" s="4" t="s">
        <v>2259</v>
      </c>
      <c r="O3136" s="4" t="str">
        <f>LEFT(Table2[[#This Row],[Description]],75)</f>
        <v>Dairy Queen</v>
      </c>
      <c r="P3136" s="2" t="s">
        <v>2281</v>
      </c>
    </row>
    <row r="3137" spans="1:16" hidden="1">
      <c r="A3137" s="2">
        <v>202008</v>
      </c>
      <c r="B3137" s="3">
        <v>44060</v>
      </c>
      <c r="C3137" s="2" t="s">
        <v>2317</v>
      </c>
      <c r="D3137" s="2" t="s">
        <v>1525</v>
      </c>
      <c r="E3137" s="2">
        <v>-30.86</v>
      </c>
      <c r="F3137" s="2" t="e">
        <f>IF(Table2[[#This Row],[Manual Cat Value]]="",VLOOKUP(Table2[[#This Row],[Description]],'Actuals Lookup'!D:F,3,0),Table2[[#This Row],[Manual Cat Value]])</f>
        <v>#N/A</v>
      </c>
      <c r="J3137" s="2">
        <v>30.86</v>
      </c>
      <c r="K3137" s="2" t="b">
        <v>0</v>
      </c>
      <c r="L3137" s="2"/>
      <c r="M3137" s="2"/>
      <c r="N3137" s="4" t="s">
        <v>2273</v>
      </c>
      <c r="O3137" s="4" t="str">
        <f>LEFT(Table2[[#This Row],[Description]],75)</f>
        <v>PROCTER &amp; GAMBLE</v>
      </c>
      <c r="P3137" s="2" t="s">
        <v>2415</v>
      </c>
    </row>
    <row r="3138" spans="1:16" hidden="1">
      <c r="A3138" s="2">
        <v>202008</v>
      </c>
      <c r="B3138" s="3">
        <v>44060</v>
      </c>
      <c r="C3138" s="2" t="s">
        <v>2262</v>
      </c>
      <c r="D3138" s="2" t="s">
        <v>1527</v>
      </c>
      <c r="E3138" s="2">
        <v>35.15</v>
      </c>
      <c r="F3138" s="2" t="e">
        <f>IF(Table2[[#This Row],[Manual Cat Value]]="",VLOOKUP(Table2[[#This Row],[Description]],'Actuals Lookup'!D:F,3,0),Table2[[#This Row],[Manual Cat Value]])</f>
        <v>#N/A</v>
      </c>
      <c r="J3138" s="2">
        <v>35.15</v>
      </c>
      <c r="K3138" s="2" t="b">
        <v>0</v>
      </c>
      <c r="L3138" s="2"/>
      <c r="M3138" s="2"/>
      <c r="N3138" s="4" t="s">
        <v>2259</v>
      </c>
      <c r="O3138" s="4" t="str">
        <f>LEFT(Table2[[#This Row],[Description]],75)</f>
        <v>Pryes Brewing Company, LLC</v>
      </c>
      <c r="P3138" s="2" t="s">
        <v>2281</v>
      </c>
    </row>
    <row r="3139" spans="1:16" hidden="1">
      <c r="A3139" s="2">
        <v>202008</v>
      </c>
      <c r="B3139" s="3">
        <v>44061</v>
      </c>
      <c r="C3139" s="2" t="s">
        <v>2262</v>
      </c>
      <c r="D3139" s="2" t="s">
        <v>823</v>
      </c>
      <c r="E3139" s="2">
        <v>74.540000000000006</v>
      </c>
      <c r="F3139" s="2" t="e">
        <f>IF(Table2[[#This Row],[Manual Cat Value]]="",VLOOKUP(Table2[[#This Row],[Description]],'Actuals Lookup'!D:F,3,0),Table2[[#This Row],[Manual Cat Value]])</f>
        <v>#N/A</v>
      </c>
      <c r="J3139" s="2">
        <v>74.540000000000006</v>
      </c>
      <c r="K3139" s="2" t="b">
        <v>0</v>
      </c>
      <c r="L3139" s="2"/>
      <c r="M3139" s="2"/>
      <c r="N3139" s="4" t="s">
        <v>2259</v>
      </c>
      <c r="O3139" s="4" t="str">
        <f>LEFT(Table2[[#This Row],[Description]],75)</f>
        <v>Etsy.com</v>
      </c>
      <c r="P3139" s="2" t="s">
        <v>2401</v>
      </c>
    </row>
    <row r="3140" spans="1:16" hidden="1">
      <c r="A3140" s="2">
        <v>202008</v>
      </c>
      <c r="B3140" s="3">
        <v>44061</v>
      </c>
      <c r="C3140" s="2" t="s">
        <v>2265</v>
      </c>
      <c r="D3140" s="2" t="s">
        <v>1294</v>
      </c>
      <c r="E3140" s="2">
        <v>200</v>
      </c>
      <c r="F3140" s="2" t="e">
        <f>IF(Table2[[#This Row],[Manual Cat Value]]="",VLOOKUP(Table2[[#This Row],[Description]],'Actuals Lookup'!D:F,3,0),Table2[[#This Row],[Manual Cat Value]])</f>
        <v>#N/A</v>
      </c>
      <c r="J3140" s="2">
        <v>200</v>
      </c>
      <c r="K3140" s="2" t="b">
        <v>0</v>
      </c>
      <c r="L3140" s="2"/>
      <c r="M3140" s="2"/>
      <c r="N3140" s="4" t="s">
        <v>2259</v>
      </c>
      <c r="O3140" s="4" t="str">
        <f>LEFT(Table2[[#This Row],[Description]],75)</f>
        <v>MN DIR ACH TYPE CONTRIB ID CO MN DIR ACH ACH ECC WEB ACH Trace 51871</v>
      </c>
      <c r="P3140" s="2" t="s">
        <v>2469</v>
      </c>
    </row>
    <row r="3141" spans="1:16" hidden="1">
      <c r="A3141" s="2">
        <v>202008</v>
      </c>
      <c r="B3141" s="3">
        <v>44061</v>
      </c>
      <c r="C3141" s="2" t="s">
        <v>2265</v>
      </c>
      <c r="D3141" s="2" t="s">
        <v>1471</v>
      </c>
      <c r="E3141" s="2">
        <v>14.99</v>
      </c>
      <c r="F3141" s="2" t="str">
        <f>IF(Table2[[#This Row],[Manual Cat Value]]="",VLOOKUP(Table2[[#This Row],[Description]],'Actuals Lookup'!D:F,3,0),Table2[[#This Row],[Manual Cat Value]])</f>
        <v>Shopping</v>
      </c>
      <c r="J3141" s="2">
        <v>14.99</v>
      </c>
      <c r="K3141" s="2" t="b">
        <v>0</v>
      </c>
      <c r="L3141" s="2"/>
      <c r="M3141" s="2"/>
      <c r="N3141" s="4" t="s">
        <v>2259</v>
      </c>
      <c r="O3141" s="4" t="str">
        <f>LEFT(Table2[[#This Row],[Description]],75)</f>
        <v>PayPal</v>
      </c>
      <c r="P3141" s="2" t="s">
        <v>2322</v>
      </c>
    </row>
    <row r="3142" spans="1:16" hidden="1">
      <c r="A3142" s="2">
        <v>202008</v>
      </c>
      <c r="B3142" s="3">
        <v>44061</v>
      </c>
      <c r="C3142" s="2" t="s">
        <v>2317</v>
      </c>
      <c r="D3142" s="2" t="s">
        <v>1525</v>
      </c>
      <c r="E3142" s="2">
        <v>30.86</v>
      </c>
      <c r="F3142" s="2" t="e">
        <f>IF(Table2[[#This Row],[Manual Cat Value]]="",VLOOKUP(Table2[[#This Row],[Description]],'Actuals Lookup'!D:F,3,0),Table2[[#This Row],[Manual Cat Value]])</f>
        <v>#N/A</v>
      </c>
      <c r="J3142" s="2">
        <v>30.86</v>
      </c>
      <c r="K3142" s="2" t="b">
        <v>0</v>
      </c>
      <c r="L3142" s="2"/>
      <c r="M3142" s="2"/>
      <c r="N3142" s="4" t="s">
        <v>2259</v>
      </c>
      <c r="O3142" s="4" t="str">
        <f>LEFT(Table2[[#This Row],[Description]],75)</f>
        <v>PROCTER &amp; GAMBLE</v>
      </c>
      <c r="P3142" s="2" t="s">
        <v>2415</v>
      </c>
    </row>
    <row r="3143" spans="1:16" hidden="1">
      <c r="A3143" s="2">
        <v>202008</v>
      </c>
      <c r="B3143" s="3">
        <v>44062</v>
      </c>
      <c r="C3143" s="2" t="s">
        <v>2265</v>
      </c>
      <c r="D3143" s="2" t="s">
        <v>394</v>
      </c>
      <c r="E3143" s="2">
        <v>-1993.07</v>
      </c>
      <c r="F3143" s="2" t="e">
        <f>IF(Table2[[#This Row],[Manual Cat Value]]="",VLOOKUP(Table2[[#This Row],[Description]],'Actuals Lookup'!D:F,3,0),Table2[[#This Row],[Manual Cat Value]])</f>
        <v>#N/A</v>
      </c>
      <c r="J3143" s="2">
        <v>1993.07</v>
      </c>
      <c r="K3143" s="2" t="b">
        <v>0</v>
      </c>
      <c r="L3143" s="2"/>
      <c r="M3143" s="2"/>
      <c r="N3143" s="4" t="s">
        <v>2273</v>
      </c>
      <c r="O3143" s="4" t="str">
        <f>LEFT(Table2[[#This Row],[Description]],75)</f>
        <v>CARGILL COCOA TYPE DIR DEP ID CO CARGILL COCOA ACH ECC PPD ACH Trace 90715</v>
      </c>
      <c r="P3143" s="2" t="s">
        <v>2284</v>
      </c>
    </row>
    <row r="3144" spans="1:16" hidden="1">
      <c r="A3144" s="2">
        <v>202008</v>
      </c>
      <c r="B3144" s="3">
        <v>44062</v>
      </c>
      <c r="C3144" s="2" t="s">
        <v>2265</v>
      </c>
      <c r="D3144" s="2" t="s">
        <v>1471</v>
      </c>
      <c r="E3144" s="2">
        <v>68.989999999999995</v>
      </c>
      <c r="F3144" s="2" t="str">
        <f>IF(Table2[[#This Row],[Manual Cat Value]]="",VLOOKUP(Table2[[#This Row],[Description]],'Actuals Lookup'!D:F,3,0),Table2[[#This Row],[Manual Cat Value]])</f>
        <v>Shopping</v>
      </c>
      <c r="J3144" s="2">
        <v>68.989999999999995</v>
      </c>
      <c r="K3144" s="2" t="b">
        <v>0</v>
      </c>
      <c r="L3144" s="2"/>
      <c r="M3144" s="2"/>
      <c r="N3144" s="4" t="s">
        <v>2259</v>
      </c>
      <c r="O3144" s="4" t="str">
        <f>LEFT(Table2[[#This Row],[Description]],75)</f>
        <v>PayPal</v>
      </c>
      <c r="P3144" s="2" t="s">
        <v>2322</v>
      </c>
    </row>
    <row r="3145" spans="1:16" hidden="1">
      <c r="A3145" s="2">
        <v>202008</v>
      </c>
      <c r="B3145" s="3">
        <v>44062</v>
      </c>
      <c r="C3145" s="2" t="s">
        <v>2262</v>
      </c>
      <c r="D3145" s="2" t="s">
        <v>1926</v>
      </c>
      <c r="E3145" s="2">
        <v>68.08</v>
      </c>
      <c r="F3145" s="2" t="e">
        <f>IF(Table2[[#This Row],[Manual Cat Value]]="",VLOOKUP(Table2[[#This Row],[Description]],'Actuals Lookup'!D:F,3,0),Table2[[#This Row],[Manual Cat Value]])</f>
        <v>#N/A</v>
      </c>
      <c r="J3145" s="2">
        <v>68.08</v>
      </c>
      <c r="K3145" s="2" t="b">
        <v>0</v>
      </c>
      <c r="L3145" s="2"/>
      <c r="M3145" s="2"/>
      <c r="N3145" s="4" t="s">
        <v>2259</v>
      </c>
      <c r="O3145" s="4" t="str">
        <f>LEFT(Table2[[#This Row],[Description]],75)</f>
        <v>Total Wine and More</v>
      </c>
      <c r="P3145" s="2" t="s">
        <v>2281</v>
      </c>
    </row>
    <row r="3146" spans="1:16" hidden="1">
      <c r="A3146" s="2">
        <v>202008</v>
      </c>
      <c r="B3146" s="3">
        <v>44063</v>
      </c>
      <c r="C3146" s="2" t="s">
        <v>2317</v>
      </c>
      <c r="D3146" s="2" t="s">
        <v>305</v>
      </c>
      <c r="E3146" s="2">
        <v>502.05</v>
      </c>
      <c r="F3146" s="2" t="e">
        <f>IF(Table2[[#This Row],[Manual Cat Value]]="",VLOOKUP(Table2[[#This Row],[Description]],'Actuals Lookup'!D:F,3,0),Table2[[#This Row],[Manual Cat Value]])</f>
        <v>#N/A</v>
      </c>
      <c r="J3146" s="2">
        <v>502.05</v>
      </c>
      <c r="K3146" s="2" t="b">
        <v>0</v>
      </c>
      <c r="L3146" s="2"/>
      <c r="M3146" s="2"/>
      <c r="N3146" s="4" t="s">
        <v>2259</v>
      </c>
      <c r="O3146" s="4" t="str">
        <f>LEFT(Table2[[#This Row],[Description]],75)</f>
        <v>BOEING CO</v>
      </c>
      <c r="P3146" s="2" t="s">
        <v>2425</v>
      </c>
    </row>
    <row r="3147" spans="1:16" hidden="1">
      <c r="A3147" s="2">
        <v>202008</v>
      </c>
      <c r="B3147" s="3">
        <v>44063</v>
      </c>
      <c r="C3147" s="2" t="s">
        <v>2262</v>
      </c>
      <c r="D3147" s="2" t="s">
        <v>684</v>
      </c>
      <c r="E3147" s="2">
        <v>72.03</v>
      </c>
      <c r="F3147" s="2" t="str">
        <f>IF(Table2[[#This Row],[Manual Cat Value]]="",VLOOKUP(Table2[[#This Row],[Description]],'Actuals Lookup'!D:F,3,0),Table2[[#This Row],[Manual Cat Value]])</f>
        <v>Groceries</v>
      </c>
      <c r="J3147" s="2">
        <v>72.03</v>
      </c>
      <c r="K3147" s="2" t="b">
        <v>0</v>
      </c>
      <c r="L3147" s="2"/>
      <c r="M3147" s="2"/>
      <c r="N3147" s="4" t="s">
        <v>2259</v>
      </c>
      <c r="O3147" s="4" t="str">
        <f>LEFT(Table2[[#This Row],[Description]],75)</f>
        <v>Cub Foods</v>
      </c>
      <c r="P3147" s="2" t="s">
        <v>2370</v>
      </c>
    </row>
    <row r="3148" spans="1:16" hidden="1">
      <c r="A3148" s="2">
        <v>202008</v>
      </c>
      <c r="B3148" s="3">
        <v>44063</v>
      </c>
      <c r="C3148" s="2" t="s">
        <v>2447</v>
      </c>
      <c r="D3148" s="2" t="s">
        <v>910</v>
      </c>
      <c r="E3148" s="2">
        <v>33.11</v>
      </c>
      <c r="F3148" s="2" t="e">
        <f>IF(Table2[[#This Row],[Manual Cat Value]]="",VLOOKUP(Table2[[#This Row],[Description]],'Actuals Lookup'!D:F,3,0),Table2[[#This Row],[Manual Cat Value]])</f>
        <v>#N/A</v>
      </c>
      <c r="J3148" s="2">
        <v>33.11</v>
      </c>
      <c r="K3148" s="2" t="b">
        <v>0</v>
      </c>
      <c r="L3148" s="2"/>
      <c r="M3148" s="2"/>
      <c r="N3148" s="4" t="s">
        <v>2259</v>
      </c>
      <c r="O3148" s="4" t="str">
        <f>LEFT(Table2[[#This Row],[Description]],75)</f>
        <v>Gulf</v>
      </c>
      <c r="P3148" s="2"/>
    </row>
    <row r="3149" spans="1:16" hidden="1">
      <c r="A3149" s="2">
        <v>202008</v>
      </c>
      <c r="B3149" s="3">
        <v>44063</v>
      </c>
      <c r="C3149" s="2" t="s">
        <v>2258</v>
      </c>
      <c r="D3149" s="2" t="s">
        <v>910</v>
      </c>
      <c r="E3149" s="2">
        <v>33.11</v>
      </c>
      <c r="F3149" s="2" t="e">
        <f>IF(Table2[[#This Row],[Manual Cat Value]]="",VLOOKUP(Table2[[#This Row],[Description]],'Actuals Lookup'!D:F,3,0),Table2[[#This Row],[Manual Cat Value]])</f>
        <v>#N/A</v>
      </c>
      <c r="J3149" s="2">
        <v>33.11</v>
      </c>
      <c r="K3149" s="2" t="b">
        <v>0</v>
      </c>
      <c r="L3149" s="2"/>
      <c r="M3149" s="2"/>
      <c r="N3149" s="4" t="s">
        <v>2259</v>
      </c>
      <c r="O3149" s="4" t="str">
        <f>LEFT(Table2[[#This Row],[Description]],75)</f>
        <v>Gulf</v>
      </c>
      <c r="P3149" s="2" t="s">
        <v>2281</v>
      </c>
    </row>
    <row r="3150" spans="1:16" hidden="1">
      <c r="A3150" s="2">
        <v>202008</v>
      </c>
      <c r="B3150" s="3">
        <v>44063</v>
      </c>
      <c r="C3150" s="2" t="s">
        <v>2317</v>
      </c>
      <c r="D3150" s="2" t="s">
        <v>1022</v>
      </c>
      <c r="E3150" s="2">
        <v>-50</v>
      </c>
      <c r="F3150" s="2" t="e">
        <f>IF(Table2[[#This Row],[Manual Cat Value]]="",VLOOKUP(Table2[[#This Row],[Description]],'Actuals Lookup'!D:F,3,0),Table2[[#This Row],[Manual Cat Value]])</f>
        <v>#N/A</v>
      </c>
      <c r="J3150" s="2">
        <v>50</v>
      </c>
      <c r="K3150" s="2" t="b">
        <v>0</v>
      </c>
      <c r="L3150" s="2"/>
      <c r="M3150" s="2"/>
      <c r="N3150" s="4" t="s">
        <v>2273</v>
      </c>
      <c r="O3150" s="4" t="str">
        <f>LEFT(Table2[[#This Row],[Description]],75)</f>
        <v>JOURNAL FRM 89316103</v>
      </c>
      <c r="P3150" s="2" t="s">
        <v>2385</v>
      </c>
    </row>
    <row r="3151" spans="1:16" hidden="1">
      <c r="A3151" s="2">
        <v>202008</v>
      </c>
      <c r="B3151" s="3">
        <v>44063</v>
      </c>
      <c r="C3151" s="2" t="s">
        <v>2265</v>
      </c>
      <c r="D3151" s="2" t="s">
        <v>1232</v>
      </c>
      <c r="E3151" s="2">
        <v>391.2</v>
      </c>
      <c r="F3151" s="2" t="e">
        <f>IF(Table2[[#This Row],[Manual Cat Value]]="",VLOOKUP(Table2[[#This Row],[Description]],'Actuals Lookup'!D:F,3,0),Table2[[#This Row],[Manual Cat Value]])</f>
        <v>#N/A</v>
      </c>
      <c r="J3151" s="2">
        <v>391.2</v>
      </c>
      <c r="K3151" s="2" t="b">
        <v>0</v>
      </c>
      <c r="L3151" s="2"/>
      <c r="M3151" s="2"/>
      <c r="N3151" s="4" t="s">
        <v>2259</v>
      </c>
      <c r="O3151" s="4" t="str">
        <f>LEFT(Table2[[#This Row],[Description]],75)</f>
        <v>MHCHILDCARELLC TYPE DUES ID CO MHCHILDCARELLC ACH ECC PPD ACH Trace 70218</v>
      </c>
      <c r="P3151" s="2" t="s">
        <v>2281</v>
      </c>
    </row>
    <row r="3152" spans="1:16" hidden="1">
      <c r="A3152" s="2">
        <v>202008</v>
      </c>
      <c r="B3152" s="3">
        <v>44063</v>
      </c>
      <c r="C3152" s="2" t="s">
        <v>2317</v>
      </c>
      <c r="D3152" s="2" t="s">
        <v>1633</v>
      </c>
      <c r="E3152" s="2">
        <v>200</v>
      </c>
      <c r="F3152" s="2" t="e">
        <f>IF(Table2[[#This Row],[Manual Cat Value]]="",VLOOKUP(Table2[[#This Row],[Description]],'Actuals Lookup'!D:F,3,0),Table2[[#This Row],[Manual Cat Value]])</f>
        <v>#N/A</v>
      </c>
      <c r="J3152" s="2">
        <v>200</v>
      </c>
      <c r="K3152" s="2" t="b">
        <v>0</v>
      </c>
      <c r="L3152" s="2"/>
      <c r="M3152" s="2"/>
      <c r="N3152" s="4" t="s">
        <v>2259</v>
      </c>
      <c r="O3152" s="4" t="str">
        <f>LEFT(Table2[[#This Row],[Description]],75)</f>
        <v>SCHWAB S&amp;P 500 INDEX FD</v>
      </c>
      <c r="P3152" s="2" t="s">
        <v>2276</v>
      </c>
    </row>
    <row r="3153" spans="1:16" hidden="1">
      <c r="A3153" s="2">
        <v>202008</v>
      </c>
      <c r="B3153" s="3">
        <v>44063</v>
      </c>
      <c r="C3153" s="2" t="s">
        <v>2317</v>
      </c>
      <c r="D3153" s="2" t="s">
        <v>1635</v>
      </c>
      <c r="E3153" s="2">
        <v>200</v>
      </c>
      <c r="F3153" s="2" t="e">
        <f>IF(Table2[[#This Row],[Manual Cat Value]]="",VLOOKUP(Table2[[#This Row],[Description]],'Actuals Lookup'!D:F,3,0),Table2[[#This Row],[Manual Cat Value]])</f>
        <v>#N/A</v>
      </c>
      <c r="J3153" s="2">
        <v>200</v>
      </c>
      <c r="K3153" s="2" t="b">
        <v>0</v>
      </c>
      <c r="L3153" s="2"/>
      <c r="M3153" s="2"/>
      <c r="N3153" s="4" t="s">
        <v>2259</v>
      </c>
      <c r="O3153" s="4" t="str">
        <f>LEFT(Table2[[#This Row],[Description]],75)</f>
        <v>SCHWAB TOTAL STOCK MKT INDEX</v>
      </c>
      <c r="P3153" s="2" t="s">
        <v>2278</v>
      </c>
    </row>
    <row r="3154" spans="1:16" hidden="1">
      <c r="A3154" s="2">
        <v>202008</v>
      </c>
      <c r="B3154" s="3">
        <v>44064</v>
      </c>
      <c r="C3154" s="2" t="s">
        <v>2447</v>
      </c>
      <c r="D3154" s="2" t="s">
        <v>38</v>
      </c>
      <c r="E3154" s="2">
        <v>-71.67</v>
      </c>
      <c r="F3154" s="2" t="str">
        <f>IF(Table2[[#This Row],[Manual Cat Value]]="",VLOOKUP(Table2[[#This Row],[Description]],'Actuals Lookup'!D:F,3,0),Table2[[#This Row],[Manual Cat Value]])</f>
        <v>Amazon</v>
      </c>
      <c r="J3154" s="2">
        <v>71.67</v>
      </c>
      <c r="K3154" s="2" t="b">
        <v>0</v>
      </c>
      <c r="L3154" s="2"/>
      <c r="M3154" s="2"/>
      <c r="N3154" s="4" t="s">
        <v>2273</v>
      </c>
      <c r="O3154" s="4" t="str">
        <f>LEFT(Table2[[#This Row],[Description]],75)</f>
        <v>Amazon</v>
      </c>
      <c r="P3154" s="2" t="s">
        <v>2260</v>
      </c>
    </row>
    <row r="3155" spans="1:16" hidden="1">
      <c r="A3155" s="2">
        <v>202008</v>
      </c>
      <c r="B3155" s="3">
        <v>44064</v>
      </c>
      <c r="C3155" s="2" t="s">
        <v>2258</v>
      </c>
      <c r="D3155" s="2" t="s">
        <v>38</v>
      </c>
      <c r="E3155" s="2">
        <v>-71.67</v>
      </c>
      <c r="F3155" s="2" t="str">
        <f>IF(Table2[[#This Row],[Manual Cat Value]]="",VLOOKUP(Table2[[#This Row],[Description]],'Actuals Lookup'!D:F,3,0),Table2[[#This Row],[Manual Cat Value]])</f>
        <v>Amazon</v>
      </c>
      <c r="J3155" s="2">
        <v>71.67</v>
      </c>
      <c r="K3155" s="2" t="b">
        <v>0</v>
      </c>
      <c r="L3155" s="2"/>
      <c r="M3155" s="2"/>
      <c r="N3155" s="4" t="s">
        <v>2273</v>
      </c>
      <c r="O3155" s="4" t="str">
        <f>LEFT(Table2[[#This Row],[Description]],75)</f>
        <v>Amazon</v>
      </c>
      <c r="P3155" s="2" t="s">
        <v>2260</v>
      </c>
    </row>
    <row r="3156" spans="1:16" hidden="1">
      <c r="A3156" s="2">
        <v>202008</v>
      </c>
      <c r="B3156" s="3">
        <v>44064</v>
      </c>
      <c r="C3156" s="2" t="s">
        <v>2265</v>
      </c>
      <c r="D3156" s="2" t="s">
        <v>203</v>
      </c>
      <c r="E3156" s="2">
        <v>91.38</v>
      </c>
      <c r="F3156" s="2" t="e">
        <f>IF(Table2[[#This Row],[Manual Cat Value]]="",VLOOKUP(Table2[[#This Row],[Description]],'Actuals Lookup'!D:F,3,0),Table2[[#This Row],[Manual Cat Value]])</f>
        <v>#N/A</v>
      </c>
      <c r="J3156" s="2">
        <v>91.38</v>
      </c>
      <c r="K3156" s="2" t="b">
        <v>0</v>
      </c>
      <c r="L3156" s="2"/>
      <c r="M3156" s="2"/>
      <c r="N3156" s="4" t="s">
        <v>2259</v>
      </c>
      <c r="O3156" s="4" t="str">
        <f>LEFT(Table2[[#This Row],[Description]],75)</f>
        <v>Banana Visa TYPE BR EPAY ID CO Banana Visa ACH ECC WEB ACH Trace 27370</v>
      </c>
      <c r="P3156" s="2" t="s">
        <v>2297</v>
      </c>
    </row>
    <row r="3157" spans="1:16" hidden="1">
      <c r="A3157" s="2">
        <v>202008</v>
      </c>
      <c r="B3157" s="3">
        <v>44064</v>
      </c>
      <c r="C3157" s="2" t="s">
        <v>2317</v>
      </c>
      <c r="D3157" s="2" t="s">
        <v>354</v>
      </c>
      <c r="E3157" s="2">
        <v>-200</v>
      </c>
      <c r="F3157" s="2" t="e">
        <f>IF(Table2[[#This Row],[Manual Cat Value]]="",VLOOKUP(Table2[[#This Row],[Description]],'Actuals Lookup'!D:F,3,0),Table2[[#This Row],[Manual Cat Value]])</f>
        <v>#N/A</v>
      </c>
      <c r="J3157" s="2">
        <v>200</v>
      </c>
      <c r="K3157" s="2" t="b">
        <v>0</v>
      </c>
      <c r="L3157" s="2"/>
      <c r="M3157" s="2"/>
      <c r="N3157" s="4" t="s">
        <v>2273</v>
      </c>
      <c r="O3157" s="4" t="str">
        <f>LEFT(Table2[[#This Row],[Description]],75)</f>
        <v>CARGILL COCOA &amp;</v>
      </c>
      <c r="P3157" s="2" t="s">
        <v>2354</v>
      </c>
    </row>
    <row r="3158" spans="1:16" hidden="1">
      <c r="A3158" s="2">
        <v>202008</v>
      </c>
      <c r="B3158" s="3">
        <v>44064</v>
      </c>
      <c r="C3158" s="2" t="s">
        <v>2265</v>
      </c>
      <c r="D3158" s="2" t="s">
        <v>557</v>
      </c>
      <c r="E3158" s="2">
        <v>117.65</v>
      </c>
      <c r="F3158" s="2" t="e">
        <f>IF(Table2[[#This Row],[Manual Cat Value]]="",VLOOKUP(Table2[[#This Row],[Description]],'Actuals Lookup'!D:F,3,0),Table2[[#This Row],[Manual Cat Value]])</f>
        <v>#N/A</v>
      </c>
      <c r="J3158" s="2">
        <v>117.65</v>
      </c>
      <c r="K3158" s="2" t="b">
        <v>0</v>
      </c>
      <c r="L3158" s="2"/>
      <c r="M3158" s="2"/>
      <c r="N3158" s="4" t="s">
        <v>2259</v>
      </c>
      <c r="O3158" s="4" t="str">
        <f>LEFT(Table2[[#This Row],[Description]],75)</f>
        <v>City of Chanhassen</v>
      </c>
      <c r="P3158" s="2" t="s">
        <v>2298</v>
      </c>
    </row>
    <row r="3159" spans="1:16" hidden="1">
      <c r="A3159" s="2">
        <v>202008</v>
      </c>
      <c r="B3159" s="3">
        <v>44064</v>
      </c>
      <c r="C3159" s="2" t="s">
        <v>2317</v>
      </c>
      <c r="D3159" s="2" t="s">
        <v>1774</v>
      </c>
      <c r="E3159" s="2">
        <v>-18.88</v>
      </c>
      <c r="F3159" s="2" t="e">
        <f>IF(Table2[[#This Row],[Manual Cat Value]]="",VLOOKUP(Table2[[#This Row],[Description]],'Actuals Lookup'!D:F,3,0),Table2[[#This Row],[Manual Cat Value]])</f>
        <v>#N/A</v>
      </c>
      <c r="J3159" s="2">
        <v>18.88</v>
      </c>
      <c r="K3159" s="2" t="b">
        <v>0</v>
      </c>
      <c r="L3159" s="2"/>
      <c r="M3159" s="2"/>
      <c r="N3159" s="4" t="s">
        <v>2273</v>
      </c>
      <c r="O3159" s="4" t="str">
        <f>LEFT(Table2[[#This Row],[Description]],75)</f>
        <v>STARBUCKS CORP</v>
      </c>
      <c r="P3159" s="2" t="s">
        <v>2416</v>
      </c>
    </row>
    <row r="3160" spans="1:16" hidden="1">
      <c r="A3160" s="2">
        <v>202008</v>
      </c>
      <c r="B3160" s="3">
        <v>44064</v>
      </c>
      <c r="C3160" s="2" t="s">
        <v>2434</v>
      </c>
      <c r="D3160" s="2" t="s">
        <v>1834</v>
      </c>
      <c r="E3160" s="2">
        <v>-231</v>
      </c>
      <c r="F3160" s="2" t="e">
        <f>IF(Table2[[#This Row],[Manual Cat Value]]="",VLOOKUP(Table2[[#This Row],[Description]],'Actuals Lookup'!D:F,3,0),Table2[[#This Row],[Manual Cat Value]])</f>
        <v>#N/A</v>
      </c>
      <c r="J3160" s="2">
        <v>231</v>
      </c>
      <c r="K3160" s="2" t="b">
        <v>0</v>
      </c>
      <c r="L3160" s="2"/>
      <c r="M3160" s="2"/>
      <c r="N3160" s="4" t="s">
        <v>2273</v>
      </c>
      <c r="O3160" s="4" t="str">
        <f>LEFT(Table2[[#This Row],[Description]],75)</f>
        <v>Tfr JPMORGAN CHASE BAN, CARGILL COCOA &amp;</v>
      </c>
      <c r="P3160" s="2" t="s">
        <v>2356</v>
      </c>
    </row>
    <row r="3161" spans="1:16" hidden="1">
      <c r="A3161" s="2">
        <v>202008</v>
      </c>
      <c r="B3161" s="3">
        <v>44066</v>
      </c>
      <c r="C3161" s="2" t="s">
        <v>2447</v>
      </c>
      <c r="D3161" s="2" t="s">
        <v>944</v>
      </c>
      <c r="E3161" s="2">
        <v>13.88</v>
      </c>
      <c r="F3161" s="2" t="e">
        <f>IF(Table2[[#This Row],[Manual Cat Value]]="",VLOOKUP(Table2[[#This Row],[Description]],'Actuals Lookup'!D:F,3,0),Table2[[#This Row],[Manual Cat Value]])</f>
        <v>#N/A</v>
      </c>
      <c r="J3161" s="2">
        <v>13.88</v>
      </c>
      <c r="K3161" s="2" t="b">
        <v>0</v>
      </c>
      <c r="L3161" s="2"/>
      <c r="M3161" s="2"/>
      <c r="N3161" s="4" t="s">
        <v>2259</v>
      </c>
      <c r="O3161" s="4" t="str">
        <f>LEFT(Table2[[#This Row],[Description]],75)</f>
        <v>Holiday Stationstore</v>
      </c>
      <c r="P3161" s="2" t="s">
        <v>2374</v>
      </c>
    </row>
    <row r="3162" spans="1:16" hidden="1">
      <c r="A3162" s="2">
        <v>202008</v>
      </c>
      <c r="B3162" s="3">
        <v>44066</v>
      </c>
      <c r="C3162" s="2" t="s">
        <v>2258</v>
      </c>
      <c r="D3162" s="2" t="s">
        <v>944</v>
      </c>
      <c r="E3162" s="2">
        <v>13.88</v>
      </c>
      <c r="F3162" s="2" t="e">
        <f>IF(Table2[[#This Row],[Manual Cat Value]]="",VLOOKUP(Table2[[#This Row],[Description]],'Actuals Lookup'!D:F,3,0),Table2[[#This Row],[Manual Cat Value]])</f>
        <v>#N/A</v>
      </c>
      <c r="J3162" s="2">
        <v>13.88</v>
      </c>
      <c r="K3162" s="2" t="b">
        <v>0</v>
      </c>
      <c r="L3162" s="2"/>
      <c r="M3162" s="2"/>
      <c r="N3162" s="4" t="s">
        <v>2259</v>
      </c>
      <c r="O3162" s="4" t="str">
        <f>LEFT(Table2[[#This Row],[Description]],75)</f>
        <v>Holiday Stationstore</v>
      </c>
      <c r="P3162" s="2" t="s">
        <v>2374</v>
      </c>
    </row>
    <row r="3163" spans="1:16" hidden="1">
      <c r="A3163" s="2">
        <v>202008</v>
      </c>
      <c r="B3163" s="3">
        <v>44066</v>
      </c>
      <c r="C3163" s="2" t="s">
        <v>2274</v>
      </c>
      <c r="D3163" s="2" t="s">
        <v>1133</v>
      </c>
      <c r="E3163" s="2">
        <v>68.239999999999995</v>
      </c>
      <c r="F3163" s="2" t="e">
        <f>IF(Table2[[#This Row],[Manual Cat Value]]="",VLOOKUP(Table2[[#This Row],[Description]],'Actuals Lookup'!D:F,3,0),Table2[[#This Row],[Manual Cat Value]])</f>
        <v>#N/A</v>
      </c>
      <c r="J3163" s="2">
        <v>68.239999999999995</v>
      </c>
      <c r="K3163" s="2" t="b">
        <v>0</v>
      </c>
      <c r="L3163" s="2"/>
      <c r="M3163" s="2"/>
      <c r="N3163" s="4" t="s">
        <v>2259</v>
      </c>
      <c r="O3163" s="4" t="str">
        <f>LEFT(Table2[[#This Row],[Description]],75)</f>
        <v>Lonesome Pine LLC</v>
      </c>
      <c r="P3163" s="2" t="s">
        <v>2281</v>
      </c>
    </row>
    <row r="3164" spans="1:16" hidden="1">
      <c r="A3164" s="2">
        <v>202008</v>
      </c>
      <c r="B3164" s="3">
        <v>44066</v>
      </c>
      <c r="C3164" s="2" t="s">
        <v>2262</v>
      </c>
      <c r="D3164" s="2" t="s">
        <v>1611</v>
      </c>
      <c r="E3164" s="2">
        <v>6.44</v>
      </c>
      <c r="F3164" s="2" t="e">
        <f>IF(Table2[[#This Row],[Manual Cat Value]]="",VLOOKUP(Table2[[#This Row],[Description]],'Actuals Lookup'!D:F,3,0),Table2[[#This Row],[Manual Cat Value]])</f>
        <v>#N/A</v>
      </c>
      <c r="J3164" s="2">
        <v>6.44</v>
      </c>
      <c r="K3164" s="2" t="b">
        <v>0</v>
      </c>
      <c r="L3164" s="2"/>
      <c r="M3164" s="2"/>
      <c r="N3164" s="4" t="s">
        <v>2259</v>
      </c>
      <c r="O3164" s="4" t="str">
        <f>LEFT(Table2[[#This Row],[Description]],75)</f>
        <v>RUTTGERS DINING DEERWOOD MN</v>
      </c>
      <c r="P3164" s="2" t="s">
        <v>2281</v>
      </c>
    </row>
    <row r="3165" spans="1:16" hidden="1">
      <c r="A3165" s="2">
        <v>202008</v>
      </c>
      <c r="B3165" s="3">
        <v>44066</v>
      </c>
      <c r="C3165" s="2" t="s">
        <v>2262</v>
      </c>
      <c r="D3165" s="2" t="s">
        <v>1612</v>
      </c>
      <c r="E3165" s="2">
        <v>10.72</v>
      </c>
      <c r="F3165" s="2" t="e">
        <f>IF(Table2[[#This Row],[Manual Cat Value]]="",VLOOKUP(Table2[[#This Row],[Description]],'Actuals Lookup'!D:F,3,0),Table2[[#This Row],[Manual Cat Value]])</f>
        <v>#N/A</v>
      </c>
      <c r="J3165" s="2">
        <v>10.72</v>
      </c>
      <c r="K3165" s="2" t="b">
        <v>0</v>
      </c>
      <c r="L3165" s="2"/>
      <c r="M3165" s="2"/>
      <c r="N3165" s="4" t="s">
        <v>2259</v>
      </c>
      <c r="O3165" s="4" t="str">
        <f>LEFT(Table2[[#This Row],[Description]],75)</f>
        <v>RUTTGERS RETAIL AND GOLF DEERWOOD MN</v>
      </c>
      <c r="P3165" s="2" t="s">
        <v>2281</v>
      </c>
    </row>
    <row r="3166" spans="1:16" hidden="1">
      <c r="A3166" s="2">
        <v>202008</v>
      </c>
      <c r="B3166" s="3">
        <v>44066</v>
      </c>
      <c r="C3166" s="2" t="s">
        <v>2262</v>
      </c>
      <c r="D3166" s="2" t="s">
        <v>1773</v>
      </c>
      <c r="E3166" s="2">
        <v>25</v>
      </c>
      <c r="F3166" s="2" t="str">
        <f>IF(Table2[[#This Row],[Manual Cat Value]]="",VLOOKUP(Table2[[#This Row],[Description]],'Actuals Lookup'!D:F,3,0),Table2[[#This Row],[Manual Cat Value]])</f>
        <v>Restaurants</v>
      </c>
      <c r="J3166" s="2">
        <v>25</v>
      </c>
      <c r="K3166" s="2" t="b">
        <v>0</v>
      </c>
      <c r="L3166" s="2"/>
      <c r="M3166" s="2"/>
      <c r="N3166" s="4" t="s">
        <v>2259</v>
      </c>
      <c r="O3166" s="4" t="str">
        <f>LEFT(Table2[[#This Row],[Description]],75)</f>
        <v>Starbucks</v>
      </c>
      <c r="P3166" s="2" t="s">
        <v>2454</v>
      </c>
    </row>
    <row r="3167" spans="1:16" hidden="1">
      <c r="A3167" s="2">
        <v>202008</v>
      </c>
      <c r="B3167" s="3">
        <v>44066</v>
      </c>
      <c r="C3167" s="2" t="s">
        <v>2262</v>
      </c>
      <c r="D3167" s="2" t="s">
        <v>2035</v>
      </c>
      <c r="E3167" s="2">
        <v>67.44</v>
      </c>
      <c r="F3167" s="2" t="e">
        <f>IF(Table2[[#This Row],[Manual Cat Value]]="",VLOOKUP(Table2[[#This Row],[Description]],'Actuals Lookup'!D:F,3,0),Table2[[#This Row],[Manual Cat Value]])</f>
        <v>#N/A</v>
      </c>
      <c r="J3167" s="2">
        <v>67.44</v>
      </c>
      <c r="K3167" s="2" t="b">
        <v>0</v>
      </c>
      <c r="L3167" s="2"/>
      <c r="M3167" s="2"/>
      <c r="N3167" s="4" t="s">
        <v>2259</v>
      </c>
      <c r="O3167" s="4" t="str">
        <f>LEFT(Table2[[#This Row],[Description]],75)</f>
        <v>TST RED COW 50TH ST MINNEAPOLIS MN</v>
      </c>
      <c r="P3167" s="2" t="s">
        <v>2362</v>
      </c>
    </row>
    <row r="3168" spans="1:16" hidden="1">
      <c r="A3168" s="2">
        <v>202008</v>
      </c>
      <c r="B3168" s="3">
        <v>44067</v>
      </c>
      <c r="C3168" s="2" t="s">
        <v>2262</v>
      </c>
      <c r="D3168" s="2" t="s">
        <v>944</v>
      </c>
      <c r="E3168" s="2">
        <v>2.27</v>
      </c>
      <c r="F3168" s="2" t="e">
        <f>IF(Table2[[#This Row],[Manual Cat Value]]="",VLOOKUP(Table2[[#This Row],[Description]],'Actuals Lookup'!D:F,3,0),Table2[[#This Row],[Manual Cat Value]])</f>
        <v>#N/A</v>
      </c>
      <c r="J3168" s="2">
        <v>2.27</v>
      </c>
      <c r="K3168" s="2" t="b">
        <v>0</v>
      </c>
      <c r="L3168" s="2"/>
      <c r="M3168" s="2"/>
      <c r="N3168" s="4" t="s">
        <v>2259</v>
      </c>
      <c r="O3168" s="4" t="str">
        <f>LEFT(Table2[[#This Row],[Description]],75)</f>
        <v>Holiday Stationstore</v>
      </c>
      <c r="P3168" s="2" t="s">
        <v>2374</v>
      </c>
    </row>
    <row r="3169" spans="1:16" hidden="1">
      <c r="A3169" s="2">
        <v>202008</v>
      </c>
      <c r="B3169" s="3">
        <v>44067</v>
      </c>
      <c r="C3169" s="2" t="s">
        <v>2265</v>
      </c>
      <c r="D3169" s="2" t="s">
        <v>1202</v>
      </c>
      <c r="E3169" s="2">
        <v>391.2</v>
      </c>
      <c r="F3169" s="2" t="e">
        <f>IF(Table2[[#This Row],[Manual Cat Value]]="",VLOOKUP(Table2[[#This Row],[Description]],'Actuals Lookup'!D:F,3,0),Table2[[#This Row],[Manual Cat Value]])</f>
        <v>#N/A</v>
      </c>
      <c r="J3169" s="2">
        <v>391.2</v>
      </c>
      <c r="K3169" s="2" t="b">
        <v>0</v>
      </c>
      <c r="L3169" s="2"/>
      <c r="M3169" s="2"/>
      <c r="N3169" s="4" t="s">
        <v>2259</v>
      </c>
      <c r="O3169" s="4" t="str">
        <f>LEFT(Table2[[#This Row],[Description]],75)</f>
        <v>MHCHILDCARELLC TYPE DUES ID CO MHCHILDCARELLC ACH ECC PPD ACH Trace 07207</v>
      </c>
      <c r="P3169" s="2" t="s">
        <v>2281</v>
      </c>
    </row>
    <row r="3170" spans="1:16" hidden="1">
      <c r="A3170" s="2">
        <v>202008</v>
      </c>
      <c r="B3170" s="3">
        <v>44067</v>
      </c>
      <c r="C3170" s="2" t="s">
        <v>2265</v>
      </c>
      <c r="D3170" s="2" t="s">
        <v>1471</v>
      </c>
      <c r="E3170" s="2">
        <v>14.99</v>
      </c>
      <c r="F3170" s="2" t="str">
        <f>IF(Table2[[#This Row],[Manual Cat Value]]="",VLOOKUP(Table2[[#This Row],[Description]],'Actuals Lookup'!D:F,3,0),Table2[[#This Row],[Manual Cat Value]])</f>
        <v>Shopping</v>
      </c>
      <c r="J3170" s="2">
        <v>14.99</v>
      </c>
      <c r="K3170" s="2" t="b">
        <v>0</v>
      </c>
      <c r="L3170" s="2"/>
      <c r="M3170" s="2"/>
      <c r="N3170" s="4" t="s">
        <v>2259</v>
      </c>
      <c r="O3170" s="4" t="str">
        <f>LEFT(Table2[[#This Row],[Description]],75)</f>
        <v>PayPal</v>
      </c>
      <c r="P3170" s="2" t="s">
        <v>2322</v>
      </c>
    </row>
    <row r="3171" spans="1:16" hidden="1">
      <c r="A3171" s="2">
        <v>202008</v>
      </c>
      <c r="B3171" s="3">
        <v>44067</v>
      </c>
      <c r="C3171" s="2" t="s">
        <v>2300</v>
      </c>
      <c r="D3171" s="2" t="s">
        <v>1648</v>
      </c>
      <c r="E3171" s="2">
        <v>-200</v>
      </c>
      <c r="F3171" s="2" t="e">
        <f>IF(Table2[[#This Row],[Manual Cat Value]]="",VLOOKUP(Table2[[#This Row],[Description]],'Actuals Lookup'!D:F,3,0),Table2[[#This Row],[Manual Cat Value]])</f>
        <v>#N/A</v>
      </c>
      <c r="J3171" s="2">
        <v>200</v>
      </c>
      <c r="K3171" s="2" t="b">
        <v>0</v>
      </c>
      <c r="L3171" s="2"/>
      <c r="M3171" s="2"/>
      <c r="N3171" s="4" t="s">
        <v>2273</v>
      </c>
      <c r="O3171" s="4" t="str">
        <f>LEFT(Table2[[#This Row],[Description]],75)</f>
        <v>Share</v>
      </c>
      <c r="P3171" s="2" t="s">
        <v>2448</v>
      </c>
    </row>
    <row r="3172" spans="1:16" hidden="1">
      <c r="A3172" s="2">
        <v>202008</v>
      </c>
      <c r="B3172" s="3">
        <v>44067</v>
      </c>
      <c r="C3172" s="2" t="s">
        <v>2317</v>
      </c>
      <c r="D3172" s="2" t="s">
        <v>1774</v>
      </c>
      <c r="E3172" s="2">
        <v>18.88</v>
      </c>
      <c r="F3172" s="2" t="e">
        <f>IF(Table2[[#This Row],[Manual Cat Value]]="",VLOOKUP(Table2[[#This Row],[Description]],'Actuals Lookup'!D:F,3,0),Table2[[#This Row],[Manual Cat Value]])</f>
        <v>#N/A</v>
      </c>
      <c r="J3172" s="2">
        <v>18.88</v>
      </c>
      <c r="K3172" s="2" t="b">
        <v>0</v>
      </c>
      <c r="L3172" s="2"/>
      <c r="M3172" s="2"/>
      <c r="N3172" s="4" t="s">
        <v>2259</v>
      </c>
      <c r="O3172" s="4" t="str">
        <f>LEFT(Table2[[#This Row],[Description]],75)</f>
        <v>STARBUCKS CORP</v>
      </c>
      <c r="P3172" s="2" t="s">
        <v>2416</v>
      </c>
    </row>
    <row r="3173" spans="1:16" hidden="1">
      <c r="A3173" s="2">
        <v>202008</v>
      </c>
      <c r="B3173" s="3">
        <v>44067</v>
      </c>
      <c r="C3173" s="2" t="s">
        <v>2265</v>
      </c>
      <c r="D3173" s="2" t="s">
        <v>1892</v>
      </c>
      <c r="E3173" s="2">
        <v>200</v>
      </c>
      <c r="F3173" s="2" t="e">
        <f>IF(Table2[[#This Row],[Manual Cat Value]]="",VLOOKUP(Table2[[#This Row],[Description]],'Actuals Lookup'!D:F,3,0),Table2[[#This Row],[Manual Cat Value]])</f>
        <v>#N/A</v>
      </c>
      <c r="J3173" s="2">
        <v>200</v>
      </c>
      <c r="K3173" s="2" t="b">
        <v>0</v>
      </c>
      <c r="L3173" s="2"/>
      <c r="M3173" s="2"/>
      <c r="N3173" s="4" t="s">
        <v>2259</v>
      </c>
      <c r="O3173" s="4" t="str">
        <f>LEFT(Table2[[#This Row],[Description]],75)</f>
        <v>To Share 12</v>
      </c>
      <c r="P3173" s="2" t="s">
        <v>2494</v>
      </c>
    </row>
    <row r="3174" spans="1:16" hidden="1">
      <c r="A3174" s="2">
        <v>202008</v>
      </c>
      <c r="B3174" s="3">
        <v>44068</v>
      </c>
      <c r="C3174" s="2" t="s">
        <v>2262</v>
      </c>
      <c r="D3174" s="2" t="s">
        <v>1001</v>
      </c>
      <c r="E3174" s="2">
        <v>69.73</v>
      </c>
      <c r="F3174" s="2" t="e">
        <f>IF(Table2[[#This Row],[Manual Cat Value]]="",VLOOKUP(Table2[[#This Row],[Description]],'Actuals Lookup'!D:F,3,0),Table2[[#This Row],[Manual Cat Value]])</f>
        <v>#N/A</v>
      </c>
      <c r="J3174" s="2">
        <v>69.73</v>
      </c>
      <c r="K3174" s="2" t="b">
        <v>0</v>
      </c>
      <c r="L3174" s="2"/>
      <c r="M3174" s="2"/>
      <c r="N3174" s="4" t="s">
        <v>2259</v>
      </c>
      <c r="O3174" s="4" t="str">
        <f>LEFT(Table2[[#This Row],[Description]],75)</f>
        <v>Iron Ranger</v>
      </c>
      <c r="P3174" s="2" t="s">
        <v>2281</v>
      </c>
    </row>
    <row r="3175" spans="1:16" hidden="1">
      <c r="A3175" s="2">
        <v>202008</v>
      </c>
      <c r="B3175" s="3">
        <v>44068</v>
      </c>
      <c r="C3175" s="2" t="s">
        <v>2262</v>
      </c>
      <c r="D3175" s="2" t="s">
        <v>1609</v>
      </c>
      <c r="E3175" s="2">
        <v>770.58</v>
      </c>
      <c r="F3175" s="2" t="e">
        <f>IF(Table2[[#This Row],[Manual Cat Value]]="",VLOOKUP(Table2[[#This Row],[Description]],'Actuals Lookup'!D:F,3,0),Table2[[#This Row],[Manual Cat Value]])</f>
        <v>#N/A</v>
      </c>
      <c r="J3175" s="2">
        <v>770.58</v>
      </c>
      <c r="K3175" s="2" t="b">
        <v>0</v>
      </c>
      <c r="L3175" s="2"/>
      <c r="M3175" s="2"/>
      <c r="N3175" s="4" t="s">
        <v>2259</v>
      </c>
      <c r="O3175" s="4" t="str">
        <f>LEFT(Table2[[#This Row],[Description]],75)</f>
        <v>RUTTGERS BAY LAKE LODGE 2186782885 MN</v>
      </c>
      <c r="P3175" s="2" t="s">
        <v>2281</v>
      </c>
    </row>
    <row r="3176" spans="1:16" hidden="1">
      <c r="A3176" s="2">
        <v>202008</v>
      </c>
      <c r="B3176" s="3">
        <v>44068</v>
      </c>
      <c r="C3176" s="2" t="s">
        <v>2265</v>
      </c>
      <c r="D3176" s="2" t="s">
        <v>31</v>
      </c>
      <c r="E3176" s="2">
        <v>207.79</v>
      </c>
      <c r="F3176" s="2" t="str">
        <f>IF(Table2[[#This Row],[Manual Cat Value]]="",VLOOKUP(Table2[[#This Row],[Description]],'Actuals Lookup'!D:F,3,0),Table2[[#This Row],[Manual Cat Value]])</f>
        <v>Target</v>
      </c>
      <c r="J3176" s="2">
        <v>207.79</v>
      </c>
      <c r="K3176" s="2" t="b">
        <v>0</v>
      </c>
      <c r="L3176" s="2"/>
      <c r="M3176" s="2"/>
      <c r="N3176" s="4" t="s">
        <v>2259</v>
      </c>
      <c r="O3176" s="4" t="str">
        <f>LEFT(Table2[[#This Row],[Description]],75)</f>
        <v>Target</v>
      </c>
      <c r="P3176" s="2" t="s">
        <v>2309</v>
      </c>
    </row>
    <row r="3177" spans="1:16" hidden="1">
      <c r="A3177" s="2">
        <v>202008</v>
      </c>
      <c r="B3177" s="3">
        <v>44069</v>
      </c>
      <c r="C3177" s="2" t="s">
        <v>2262</v>
      </c>
      <c r="D3177" s="2" t="s">
        <v>1034</v>
      </c>
      <c r="E3177" s="2">
        <v>88.32</v>
      </c>
      <c r="F3177" s="2" t="e">
        <f>IF(Table2[[#This Row],[Manual Cat Value]]="",VLOOKUP(Table2[[#This Row],[Description]],'Actuals Lookup'!D:F,3,0),Table2[[#This Row],[Manual Cat Value]])</f>
        <v>#N/A</v>
      </c>
      <c r="J3177" s="2">
        <v>88.32</v>
      </c>
      <c r="K3177" s="2" t="b">
        <v>0</v>
      </c>
      <c r="L3177" s="2"/>
      <c r="M3177" s="2"/>
      <c r="N3177" s="4" t="s">
        <v>2259</v>
      </c>
      <c r="O3177" s="4" t="str">
        <f>LEFT(Table2[[#This Row],[Description]],75)</f>
        <v>KAIS SUSHI GRILL 9529232456 MN</v>
      </c>
      <c r="P3177" s="2" t="s">
        <v>2281</v>
      </c>
    </row>
    <row r="3178" spans="1:16" hidden="1">
      <c r="A3178" s="2">
        <v>202008</v>
      </c>
      <c r="B3178" s="3">
        <v>44069</v>
      </c>
      <c r="C3178" s="2" t="s">
        <v>2262</v>
      </c>
      <c r="D3178" s="2" t="s">
        <v>1068</v>
      </c>
      <c r="E3178" s="2">
        <v>23.5</v>
      </c>
      <c r="F3178" s="2" t="str">
        <f>IF(Table2[[#This Row],[Manual Cat Value]]="",VLOOKUP(Table2[[#This Row],[Description]],'Actuals Lookup'!D:F,3,0),Table2[[#This Row],[Manual Cat Value]])</f>
        <v>Misc</v>
      </c>
      <c r="J3178" s="2">
        <v>23.5</v>
      </c>
      <c r="K3178" s="2" t="b">
        <v>0</v>
      </c>
      <c r="L3178" s="2"/>
      <c r="M3178" s="2"/>
      <c r="N3178" s="4" t="s">
        <v>2259</v>
      </c>
      <c r="O3178" s="4" t="str">
        <f>LEFT(Table2[[#This Row],[Description]],75)</f>
        <v>Kids Hair</v>
      </c>
      <c r="P3178" s="2" t="s">
        <v>2281</v>
      </c>
    </row>
    <row r="3179" spans="1:16" hidden="1">
      <c r="A3179" s="2">
        <v>202008</v>
      </c>
      <c r="B3179" s="3">
        <v>44069</v>
      </c>
      <c r="C3179" s="2" t="s">
        <v>2447</v>
      </c>
      <c r="D3179" s="2" t="s">
        <v>1350</v>
      </c>
      <c r="E3179" s="2">
        <v>12.99</v>
      </c>
      <c r="F3179" s="2" t="str">
        <f>IF(Table2[[#This Row],[Manual Cat Value]]="",VLOOKUP(Table2[[#This Row],[Description]],'Actuals Lookup'!D:F,3,0),Table2[[#This Row],[Manual Cat Value]])</f>
        <v>Utilities</v>
      </c>
      <c r="J3179" s="2">
        <v>12.99</v>
      </c>
      <c r="K3179" s="2" t="b">
        <v>0</v>
      </c>
      <c r="L3179" s="2"/>
      <c r="M3179" s="2"/>
      <c r="N3179" s="4" t="s">
        <v>2259</v>
      </c>
      <c r="O3179" s="4" t="str">
        <f>LEFT(Table2[[#This Row],[Description]],75)</f>
        <v>Netflix</v>
      </c>
      <c r="P3179" s="2" t="s">
        <v>2306</v>
      </c>
    </row>
    <row r="3180" spans="1:16" hidden="1">
      <c r="A3180" s="2">
        <v>202008</v>
      </c>
      <c r="B3180" s="3">
        <v>44069</v>
      </c>
      <c r="C3180" s="2" t="s">
        <v>2258</v>
      </c>
      <c r="D3180" s="2" t="s">
        <v>1350</v>
      </c>
      <c r="E3180" s="2">
        <v>12.99</v>
      </c>
      <c r="F3180" s="2" t="str">
        <f>IF(Table2[[#This Row],[Manual Cat Value]]="",VLOOKUP(Table2[[#This Row],[Description]],'Actuals Lookup'!D:F,3,0),Table2[[#This Row],[Manual Cat Value]])</f>
        <v>Utilities</v>
      </c>
      <c r="J3180" s="2">
        <v>12.99</v>
      </c>
      <c r="K3180" s="2" t="b">
        <v>0</v>
      </c>
      <c r="L3180" s="2"/>
      <c r="M3180" s="2"/>
      <c r="N3180" s="4" t="s">
        <v>2259</v>
      </c>
      <c r="O3180" s="4" t="str">
        <f>LEFT(Table2[[#This Row],[Description]],75)</f>
        <v>Netflix</v>
      </c>
      <c r="P3180" s="2" t="s">
        <v>2306</v>
      </c>
    </row>
    <row r="3181" spans="1:16" hidden="1">
      <c r="A3181" s="2">
        <v>202008</v>
      </c>
      <c r="B3181" s="3">
        <v>44069</v>
      </c>
      <c r="C3181" s="2" t="s">
        <v>2262</v>
      </c>
      <c r="D3181" s="2" t="s">
        <v>1607</v>
      </c>
      <c r="E3181" s="2">
        <v>175</v>
      </c>
      <c r="F3181" s="2" t="e">
        <f>IF(Table2[[#This Row],[Manual Cat Value]]="",VLOOKUP(Table2[[#This Row],[Description]],'Actuals Lookup'!D:F,3,0),Table2[[#This Row],[Manual Cat Value]])</f>
        <v>#N/A</v>
      </c>
      <c r="J3181" s="2">
        <v>175</v>
      </c>
      <c r="K3181" s="2" t="b">
        <v>0</v>
      </c>
      <c r="L3181" s="2"/>
      <c r="M3181" s="2"/>
      <c r="N3181" s="4" t="s">
        <v>2259</v>
      </c>
      <c r="O3181" s="4" t="str">
        <f>LEFT(Table2[[#This Row],[Description]],75)</f>
        <v>RUSSELL HE 2 OF 2 PA STRIPECOM MN</v>
      </c>
      <c r="P3181" s="2" t="s">
        <v>2281</v>
      </c>
    </row>
    <row r="3182" spans="1:16" hidden="1">
      <c r="A3182" s="2">
        <v>202008</v>
      </c>
      <c r="B3182" s="3">
        <v>44069</v>
      </c>
      <c r="C3182" s="2" t="s">
        <v>2262</v>
      </c>
      <c r="D3182" s="2" t="s">
        <v>2135</v>
      </c>
      <c r="E3182" s="2">
        <v>41.71</v>
      </c>
      <c r="F3182" s="2" t="str">
        <f>IF(Table2[[#This Row],[Manual Cat Value]]="",VLOOKUP(Table2[[#This Row],[Description]],'Actuals Lookup'!D:F,3,0),Table2[[#This Row],[Manual Cat Value]])</f>
        <v>Groceries</v>
      </c>
      <c r="J3182" s="2">
        <v>41.71</v>
      </c>
      <c r="K3182" s="2" t="b">
        <v>0</v>
      </c>
      <c r="L3182" s="2"/>
      <c r="M3182" s="2"/>
      <c r="N3182" s="4" t="s">
        <v>2259</v>
      </c>
      <c r="O3182" s="4" t="str">
        <f>LEFT(Table2[[#This Row],[Description]],75)</f>
        <v>Walgreens</v>
      </c>
      <c r="P3182" s="2" t="s">
        <v>2389</v>
      </c>
    </row>
    <row r="3183" spans="1:16" hidden="1">
      <c r="A3183" s="2">
        <v>202008</v>
      </c>
      <c r="B3183" s="3">
        <v>44069</v>
      </c>
      <c r="C3183" s="2" t="s">
        <v>2447</v>
      </c>
      <c r="D3183" s="2" t="s">
        <v>2157</v>
      </c>
      <c r="E3183" s="2">
        <v>35.99</v>
      </c>
      <c r="F3183" s="2" t="e">
        <f>IF(Table2[[#This Row],[Manual Cat Value]]="",VLOOKUP(Table2[[#This Row],[Description]],'Actuals Lookup'!D:F,3,0),Table2[[#This Row],[Manual Cat Value]])</f>
        <v>#N/A</v>
      </c>
      <c r="J3183" s="2">
        <v>35.99</v>
      </c>
      <c r="K3183" s="2" t="b">
        <v>0</v>
      </c>
      <c r="L3183" s="2"/>
      <c r="M3183" s="2"/>
      <c r="N3183" s="4" t="s">
        <v>2259</v>
      </c>
      <c r="O3183" s="4" t="str">
        <f>LEFT(Table2[[#This Row],[Description]],75)</f>
        <v>WINCHESTER AND RYE VICTORIA MN</v>
      </c>
      <c r="P3183" s="2" t="s">
        <v>2307</v>
      </c>
    </row>
    <row r="3184" spans="1:16" hidden="1">
      <c r="A3184" s="2">
        <v>202008</v>
      </c>
      <c r="B3184" s="3">
        <v>44069</v>
      </c>
      <c r="C3184" s="2" t="s">
        <v>2258</v>
      </c>
      <c r="D3184" s="2" t="s">
        <v>2157</v>
      </c>
      <c r="E3184" s="2">
        <v>35.99</v>
      </c>
      <c r="F3184" s="2" t="e">
        <f>IF(Table2[[#This Row],[Manual Cat Value]]="",VLOOKUP(Table2[[#This Row],[Description]],'Actuals Lookup'!D:F,3,0),Table2[[#This Row],[Manual Cat Value]])</f>
        <v>#N/A</v>
      </c>
      <c r="J3184" s="2">
        <v>35.99</v>
      </c>
      <c r="K3184" s="2" t="b">
        <v>0</v>
      </c>
      <c r="L3184" s="2"/>
      <c r="M3184" s="2"/>
      <c r="N3184" s="4" t="s">
        <v>2259</v>
      </c>
      <c r="O3184" s="4" t="str">
        <f>LEFT(Table2[[#This Row],[Description]],75)</f>
        <v>WINCHESTER AND RYE VICTORIA MN</v>
      </c>
      <c r="P3184" s="2" t="s">
        <v>2281</v>
      </c>
    </row>
    <row r="3185" spans="1:16" hidden="1">
      <c r="A3185" s="2">
        <v>202008</v>
      </c>
      <c r="B3185" s="3">
        <v>44070</v>
      </c>
      <c r="C3185" s="2" t="s">
        <v>2262</v>
      </c>
      <c r="D3185" s="2" t="s">
        <v>684</v>
      </c>
      <c r="E3185" s="2">
        <v>96.38</v>
      </c>
      <c r="F3185" s="2" t="str">
        <f>IF(Table2[[#This Row],[Manual Cat Value]]="",VLOOKUP(Table2[[#This Row],[Description]],'Actuals Lookup'!D:F,3,0),Table2[[#This Row],[Manual Cat Value]])</f>
        <v>Groceries</v>
      </c>
      <c r="J3185" s="2">
        <v>96.38</v>
      </c>
      <c r="K3185" s="2" t="b">
        <v>0</v>
      </c>
      <c r="L3185" s="2"/>
      <c r="M3185" s="2"/>
      <c r="N3185" s="4" t="s">
        <v>2259</v>
      </c>
      <c r="O3185" s="4" t="str">
        <f>LEFT(Table2[[#This Row],[Description]],75)</f>
        <v>Cub Foods</v>
      </c>
      <c r="P3185" s="2" t="s">
        <v>2370</v>
      </c>
    </row>
    <row r="3186" spans="1:16" hidden="1">
      <c r="A3186" s="2">
        <v>202008</v>
      </c>
      <c r="B3186" s="3">
        <v>44070</v>
      </c>
      <c r="C3186" s="2" t="s">
        <v>2262</v>
      </c>
      <c r="D3186" s="2" t="s">
        <v>808</v>
      </c>
      <c r="E3186" s="2">
        <v>47</v>
      </c>
      <c r="F3186" s="2" t="str">
        <f>IF(Table2[[#This Row],[Manual Cat Value]]="",VLOOKUP(Table2[[#This Row],[Description]],'Actuals Lookup'!D:F,3,0),Table2[[#This Row],[Manual Cat Value]])</f>
        <v>Misc</v>
      </c>
      <c r="J3186" s="2">
        <v>47</v>
      </c>
      <c r="K3186" s="2" t="b">
        <v>0</v>
      </c>
      <c r="L3186" s="2"/>
      <c r="M3186" s="2"/>
      <c r="N3186" s="4" t="s">
        <v>2259</v>
      </c>
      <c r="O3186" s="4" t="str">
        <f>LEFT(Table2[[#This Row],[Description]],75)</f>
        <v>Elite Nails</v>
      </c>
      <c r="P3186" s="2" t="s">
        <v>2487</v>
      </c>
    </row>
    <row r="3187" spans="1:16" hidden="1">
      <c r="A3187" s="2">
        <v>202008</v>
      </c>
      <c r="B3187" s="3">
        <v>44070</v>
      </c>
      <c r="C3187" s="2" t="s">
        <v>2262</v>
      </c>
      <c r="D3187" s="2" t="s">
        <v>1763</v>
      </c>
      <c r="E3187" s="2">
        <v>3</v>
      </c>
      <c r="F3187" s="2" t="e">
        <f>IF(Table2[[#This Row],[Manual Cat Value]]="",VLOOKUP(Table2[[#This Row],[Description]],'Actuals Lookup'!D:F,3,0),Table2[[#This Row],[Manual Cat Value]])</f>
        <v>#N/A</v>
      </c>
      <c r="J3187" s="2">
        <v>3</v>
      </c>
      <c r="K3187" s="2" t="b">
        <v>0</v>
      </c>
      <c r="L3187" s="2"/>
      <c r="M3187" s="2"/>
      <c r="N3187" s="4" t="s">
        <v>2259</v>
      </c>
      <c r="O3187" s="4" t="str">
        <f>LEFT(Table2[[#This Row],[Description]],75)</f>
        <v>SQ THE SOCIAL ICE CREAM Victoria MN</v>
      </c>
      <c r="P3187" s="2" t="s">
        <v>2281</v>
      </c>
    </row>
    <row r="3188" spans="1:16" hidden="1">
      <c r="A3188" s="2">
        <v>202008</v>
      </c>
      <c r="B3188" s="3">
        <v>44070</v>
      </c>
      <c r="C3188" s="2" t="s">
        <v>2265</v>
      </c>
      <c r="D3188" s="2" t="s">
        <v>2109</v>
      </c>
      <c r="E3188" s="2">
        <v>160</v>
      </c>
      <c r="F3188" s="2" t="str">
        <f>IF(Table2[[#This Row],[Manual Cat Value]]="",VLOOKUP(Table2[[#This Row],[Description]],'Actuals Lookup'!D:F,3,0),Table2[[#This Row],[Manual Cat Value]])</f>
        <v>Shopping</v>
      </c>
      <c r="J3188" s="2">
        <v>160</v>
      </c>
      <c r="K3188" s="2" t="b">
        <v>0</v>
      </c>
      <c r="L3188" s="2"/>
      <c r="M3188" s="2"/>
      <c r="N3188" s="4" t="s">
        <v>2259</v>
      </c>
      <c r="O3188" s="4" t="str">
        <f>LEFT(Table2[[#This Row],[Description]],75)</f>
        <v>Venmo</v>
      </c>
      <c r="P3188" s="2" t="s">
        <v>2281</v>
      </c>
    </row>
    <row r="3189" spans="1:16" hidden="1">
      <c r="A3189" s="2">
        <v>202008</v>
      </c>
      <c r="B3189" s="3">
        <v>44071</v>
      </c>
      <c r="C3189" s="2" t="s">
        <v>2265</v>
      </c>
      <c r="D3189" s="2" t="s">
        <v>2109</v>
      </c>
      <c r="E3189" s="2">
        <v>50</v>
      </c>
      <c r="F3189" s="2" t="str">
        <f>IF(Table2[[#This Row],[Manual Cat Value]]="",VLOOKUP(Table2[[#This Row],[Description]],'Actuals Lookup'!D:F,3,0),Table2[[#This Row],[Manual Cat Value]])</f>
        <v>Shopping</v>
      </c>
      <c r="J3189" s="2">
        <v>50</v>
      </c>
      <c r="K3189" s="2" t="b">
        <v>0</v>
      </c>
      <c r="L3189" s="2"/>
      <c r="M3189" s="2"/>
      <c r="N3189" s="4" t="s">
        <v>2259</v>
      </c>
      <c r="O3189" s="4" t="str">
        <f>LEFT(Table2[[#This Row],[Description]],75)</f>
        <v>Venmo</v>
      </c>
      <c r="P3189" s="2" t="s">
        <v>2281</v>
      </c>
    </row>
    <row r="3190" spans="1:16" hidden="1">
      <c r="A3190" s="2">
        <v>202008</v>
      </c>
      <c r="B3190" s="3">
        <v>44073</v>
      </c>
      <c r="C3190" s="2" t="s">
        <v>2265</v>
      </c>
      <c r="D3190" s="2" t="s">
        <v>634</v>
      </c>
      <c r="E3190" s="2">
        <v>-2833.94</v>
      </c>
      <c r="F3190" s="2" t="e">
        <f>IF(Table2[[#This Row],[Manual Cat Value]]="",VLOOKUP(Table2[[#This Row],[Description]],'Actuals Lookup'!D:F,3,0),Table2[[#This Row],[Manual Cat Value]])</f>
        <v>#N/A</v>
      </c>
      <c r="J3190" s="2">
        <v>2833.94</v>
      </c>
      <c r="K3190" s="2" t="b">
        <v>0</v>
      </c>
      <c r="L3190" s="2"/>
      <c r="M3190" s="2"/>
      <c r="N3190" s="4" t="s">
        <v>2273</v>
      </c>
      <c r="O3190" s="4" t="str">
        <f>LEFT(Table2[[#This Row],[Description]],75)</f>
        <v>CONNECTED ANALYT TYPE DIRECT DEP ID CO CONNECTED ANALYT ACH ECC PPD ACH Tra</v>
      </c>
      <c r="P3190" s="2" t="s">
        <v>2281</v>
      </c>
    </row>
    <row r="3191" spans="1:16" hidden="1">
      <c r="A3191" s="2">
        <v>202008</v>
      </c>
      <c r="B3191" s="3">
        <v>44073</v>
      </c>
      <c r="C3191" s="2" t="s">
        <v>2262</v>
      </c>
      <c r="D3191" s="2" t="s">
        <v>1718</v>
      </c>
      <c r="E3191" s="2">
        <v>14.98</v>
      </c>
      <c r="F3191" s="2" t="e">
        <f>IF(Table2[[#This Row],[Manual Cat Value]]="",VLOOKUP(Table2[[#This Row],[Description]],'Actuals Lookup'!D:F,3,0),Table2[[#This Row],[Manual Cat Value]])</f>
        <v>#N/A</v>
      </c>
      <c r="J3191" s="2">
        <v>14.98</v>
      </c>
      <c r="K3191" s="2" t="b">
        <v>0</v>
      </c>
      <c r="L3191" s="2"/>
      <c r="M3191" s="2"/>
      <c r="N3191" s="4" t="s">
        <v>2259</v>
      </c>
      <c r="O3191" s="4" t="str">
        <f>LEFT(Table2[[#This Row],[Description]],75)</f>
        <v>SQ BUDDY BOY FINE BARBEQMinnetrista MN</v>
      </c>
      <c r="P3191" s="2" t="s">
        <v>2281</v>
      </c>
    </row>
    <row r="3192" spans="1:16" hidden="1">
      <c r="A3192" s="2">
        <v>202008</v>
      </c>
      <c r="B3192" s="3">
        <v>44073</v>
      </c>
      <c r="C3192" s="2" t="s">
        <v>2262</v>
      </c>
      <c r="D3192" s="2" t="s">
        <v>1718</v>
      </c>
      <c r="E3192" s="2">
        <v>78.02</v>
      </c>
      <c r="F3192" s="2" t="e">
        <f>IF(Table2[[#This Row],[Manual Cat Value]]="",VLOOKUP(Table2[[#This Row],[Description]],'Actuals Lookup'!D:F,3,0),Table2[[#This Row],[Manual Cat Value]])</f>
        <v>#N/A</v>
      </c>
      <c r="J3192" s="2">
        <v>78.02</v>
      </c>
      <c r="K3192" s="2" t="b">
        <v>0</v>
      </c>
      <c r="L3192" s="2"/>
      <c r="M3192" s="2"/>
      <c r="N3192" s="4" t="s">
        <v>2259</v>
      </c>
      <c r="O3192" s="4" t="str">
        <f>LEFT(Table2[[#This Row],[Description]],75)</f>
        <v>SQ BUDDY BOY FINE BARBEQMinnetrista MN</v>
      </c>
      <c r="P3192" s="2" t="s">
        <v>2281</v>
      </c>
    </row>
    <row r="3193" spans="1:16" hidden="1">
      <c r="A3193" s="2">
        <v>202008</v>
      </c>
      <c r="B3193" s="3">
        <v>44073</v>
      </c>
      <c r="C3193" s="2" t="s">
        <v>2262</v>
      </c>
      <c r="D3193" s="2" t="s">
        <v>2132</v>
      </c>
      <c r="E3193" s="2">
        <v>75</v>
      </c>
      <c r="F3193" s="2" t="e">
        <f>IF(Table2[[#This Row],[Manual Cat Value]]="",VLOOKUP(Table2[[#This Row],[Description]],'Actuals Lookup'!D:F,3,0),Table2[[#This Row],[Manual Cat Value]])</f>
        <v>#N/A</v>
      </c>
      <c r="J3193" s="2">
        <v>75</v>
      </c>
      <c r="K3193" s="2" t="b">
        <v>0</v>
      </c>
      <c r="L3193" s="2"/>
      <c r="M3193" s="2"/>
      <c r="N3193" s="4" t="s">
        <v>2259</v>
      </c>
      <c r="O3193" s="4" t="str">
        <f>LEFT(Table2[[#This Row],[Description]],75)</f>
        <v>Vrbo Fee 5127590902 TX</v>
      </c>
      <c r="P3193" s="2" t="s">
        <v>2281</v>
      </c>
    </row>
    <row r="3194" spans="1:16" hidden="1">
      <c r="A3194" s="2">
        <v>202008</v>
      </c>
      <c r="B3194" s="3">
        <v>44074</v>
      </c>
      <c r="C3194" s="2" t="s">
        <v>2262</v>
      </c>
      <c r="D3194" s="2" t="s">
        <v>1423</v>
      </c>
      <c r="E3194" s="2">
        <v>-1169.3699999999999</v>
      </c>
      <c r="F3194" s="2" t="e">
        <f>IF(Table2[[#This Row],[Manual Cat Value]]="",VLOOKUP(Table2[[#This Row],[Description]],'Actuals Lookup'!D:F,3,0),Table2[[#This Row],[Manual Cat Value]])</f>
        <v>#N/A</v>
      </c>
      <c r="J3194" s="2">
        <v>1169.3699999999999</v>
      </c>
      <c r="K3194" s="2" t="b">
        <v>0</v>
      </c>
      <c r="L3194" s="2"/>
      <c r="M3194" s="2"/>
      <c r="N3194" s="4" t="s">
        <v>2273</v>
      </c>
      <c r="O3194" s="4" t="str">
        <f>LEFT(Table2[[#This Row],[Description]],75)</f>
        <v>PAYMENT THANK YOU</v>
      </c>
      <c r="P3194" s="2" t="s">
        <v>2391</v>
      </c>
    </row>
    <row r="3195" spans="1:16" hidden="1">
      <c r="A3195" s="2">
        <v>202008</v>
      </c>
      <c r="B3195" s="3">
        <v>44074</v>
      </c>
      <c r="C3195" s="2" t="s">
        <v>2265</v>
      </c>
      <c r="D3195" s="2" t="s">
        <v>2176</v>
      </c>
      <c r="E3195" s="2">
        <v>1169.3699999999999</v>
      </c>
      <c r="F3195" s="2" t="e">
        <f>IF(Table2[[#This Row],[Manual Cat Value]]="",VLOOKUP(Table2[[#This Row],[Description]],'Actuals Lookup'!D:F,3,0),Table2[[#This Row],[Manual Cat Value]])</f>
        <v>#N/A</v>
      </c>
      <c r="J3195" s="2">
        <v>1169.3699999999999</v>
      </c>
      <c r="K3195" s="2" t="b">
        <v>0</v>
      </c>
      <c r="L3195" s="2"/>
      <c r="M3195" s="2"/>
      <c r="N3195" s="4" t="s">
        <v>2259</v>
      </c>
      <c r="O3195" s="4" t="str">
        <f>LEFT(Table2[[#This Row],[Description]],75)</f>
        <v>Withdrawal Home payment to card 979181</v>
      </c>
      <c r="P3195" s="2" t="s">
        <v>2349</v>
      </c>
    </row>
    <row r="3196" spans="1:16" hidden="1">
      <c r="A3196" s="2">
        <v>202008</v>
      </c>
      <c r="B3196" s="3">
        <v>44074</v>
      </c>
      <c r="C3196" s="2" t="s">
        <v>2317</v>
      </c>
      <c r="D3196" s="2" t="s">
        <v>605</v>
      </c>
      <c r="E3196" s="2">
        <v>-250</v>
      </c>
      <c r="F3196" s="2" t="e">
        <f>IF(Table2[[#This Row],[Manual Cat Value]]="",VLOOKUP(Table2[[#This Row],[Description]],'Actuals Lookup'!D:F,3,0),Table2[[#This Row],[Manual Cat Value]])</f>
        <v>#N/A</v>
      </c>
      <c r="J3196" s="2">
        <v>250</v>
      </c>
      <c r="K3196" s="2" t="b">
        <v>0</v>
      </c>
      <c r="L3196" s="2"/>
      <c r="M3196" s="2"/>
      <c r="N3196" s="4" t="s">
        <v>2273</v>
      </c>
      <c r="O3196" s="4" t="str">
        <f>LEFT(Table2[[#This Row],[Description]],75)</f>
        <v>CONNECTED ANALYT</v>
      </c>
      <c r="P3196" s="2" t="s">
        <v>2493</v>
      </c>
    </row>
    <row r="3197" spans="1:16" hidden="1">
      <c r="A3197" s="2">
        <v>202008</v>
      </c>
      <c r="B3197" s="3">
        <v>44074</v>
      </c>
      <c r="C3197" s="2" t="s">
        <v>2274</v>
      </c>
      <c r="D3197" s="2" t="s">
        <v>994</v>
      </c>
      <c r="E3197" s="2">
        <v>-0.02</v>
      </c>
      <c r="F3197" s="2" t="e">
        <f>IF(Table2[[#This Row],[Manual Cat Value]]="",VLOOKUP(Table2[[#This Row],[Description]],'Actuals Lookup'!D:F,3,0),Table2[[#This Row],[Manual Cat Value]])</f>
        <v>#N/A</v>
      </c>
      <c r="J3197" s="2">
        <v>0.02</v>
      </c>
      <c r="K3197" s="2" t="b">
        <v>0</v>
      </c>
      <c r="L3197" s="2"/>
      <c r="M3197" s="2"/>
      <c r="N3197" s="4" t="s">
        <v>2273</v>
      </c>
      <c r="O3197" s="4" t="str">
        <f>LEFT(Table2[[#This Row],[Description]],75)</f>
        <v>Interest Paid</v>
      </c>
      <c r="P3197" s="2" t="s">
        <v>2281</v>
      </c>
    </row>
    <row r="3198" spans="1:16" hidden="1">
      <c r="A3198" s="2">
        <v>202008</v>
      </c>
      <c r="B3198" s="3">
        <v>44074</v>
      </c>
      <c r="C3198" s="2" t="s">
        <v>2265</v>
      </c>
      <c r="D3198" s="2" t="s">
        <v>1220</v>
      </c>
      <c r="E3198" s="2">
        <v>391.2</v>
      </c>
      <c r="F3198" s="2" t="e">
        <f>IF(Table2[[#This Row],[Manual Cat Value]]="",VLOOKUP(Table2[[#This Row],[Description]],'Actuals Lookup'!D:F,3,0),Table2[[#This Row],[Manual Cat Value]])</f>
        <v>#N/A</v>
      </c>
      <c r="J3198" s="2">
        <v>391.2</v>
      </c>
      <c r="K3198" s="2" t="b">
        <v>0</v>
      </c>
      <c r="L3198" s="2"/>
      <c r="M3198" s="2"/>
      <c r="N3198" s="4" t="s">
        <v>2259</v>
      </c>
      <c r="O3198" s="4" t="str">
        <f>LEFT(Table2[[#This Row],[Description]],75)</f>
        <v>MHCHILDCARELLC TYPE DUES ID CO MHCHILDCARELLC ACH ECC PPD ACH Trace 42103</v>
      </c>
      <c r="P3198" s="2" t="s">
        <v>2281</v>
      </c>
    </row>
    <row r="3199" spans="1:16" hidden="1">
      <c r="A3199" s="2">
        <v>202008</v>
      </c>
      <c r="B3199" s="3">
        <v>44074</v>
      </c>
      <c r="C3199" s="2" t="s">
        <v>2265</v>
      </c>
      <c r="D3199" s="2" t="s">
        <v>1471</v>
      </c>
      <c r="E3199" s="2">
        <v>0.99</v>
      </c>
      <c r="F3199" s="2" t="str">
        <f>IF(Table2[[#This Row],[Manual Cat Value]]="",VLOOKUP(Table2[[#This Row],[Description]],'Actuals Lookup'!D:F,3,0),Table2[[#This Row],[Manual Cat Value]])</f>
        <v>Shopping</v>
      </c>
      <c r="J3199" s="2">
        <v>0.99</v>
      </c>
      <c r="K3199" s="2" t="b">
        <v>0</v>
      </c>
      <c r="L3199" s="2"/>
      <c r="M3199" s="2"/>
      <c r="N3199" s="4" t="s">
        <v>2259</v>
      </c>
      <c r="O3199" s="4" t="str">
        <f>LEFT(Table2[[#This Row],[Description]],75)</f>
        <v>PayPal</v>
      </c>
      <c r="P3199" s="2" t="s">
        <v>2322</v>
      </c>
    </row>
    <row r="3200" spans="1:16" hidden="1">
      <c r="A3200" s="2">
        <v>202008</v>
      </c>
      <c r="B3200" s="3">
        <v>44074</v>
      </c>
      <c r="C3200" s="2" t="s">
        <v>2265</v>
      </c>
      <c r="D3200" s="2" t="s">
        <v>1471</v>
      </c>
      <c r="E3200" s="2">
        <v>14.99</v>
      </c>
      <c r="F3200" s="2" t="str">
        <f>IF(Table2[[#This Row],[Manual Cat Value]]="",VLOOKUP(Table2[[#This Row],[Description]],'Actuals Lookup'!D:F,3,0),Table2[[#This Row],[Manual Cat Value]])</f>
        <v>Shopping</v>
      </c>
      <c r="J3200" s="2">
        <v>14.99</v>
      </c>
      <c r="K3200" s="2" t="b">
        <v>0</v>
      </c>
      <c r="L3200" s="2"/>
      <c r="M3200" s="2"/>
      <c r="N3200" s="4" t="s">
        <v>2259</v>
      </c>
      <c r="O3200" s="4" t="str">
        <f>LEFT(Table2[[#This Row],[Description]],75)</f>
        <v>PayPal</v>
      </c>
      <c r="P3200" s="2" t="s">
        <v>2322</v>
      </c>
    </row>
    <row r="3201" spans="1:16" hidden="1">
      <c r="A3201" s="2">
        <v>202008</v>
      </c>
      <c r="B3201" s="3">
        <v>44074</v>
      </c>
      <c r="C3201" s="2" t="s">
        <v>2265</v>
      </c>
      <c r="D3201" s="2" t="s">
        <v>1471</v>
      </c>
      <c r="E3201" s="2">
        <v>19.98</v>
      </c>
      <c r="F3201" s="2" t="str">
        <f>IF(Table2[[#This Row],[Manual Cat Value]]="",VLOOKUP(Table2[[#This Row],[Description]],'Actuals Lookup'!D:F,3,0),Table2[[#This Row],[Manual Cat Value]])</f>
        <v>Shopping</v>
      </c>
      <c r="J3201" s="2">
        <v>19.98</v>
      </c>
      <c r="K3201" s="2" t="b">
        <v>0</v>
      </c>
      <c r="L3201" s="2"/>
      <c r="M3201" s="2"/>
      <c r="N3201" s="4" t="s">
        <v>2259</v>
      </c>
      <c r="O3201" s="4" t="str">
        <f>LEFT(Table2[[#This Row],[Description]],75)</f>
        <v>PayPal</v>
      </c>
      <c r="P3201" s="2" t="s">
        <v>2322</v>
      </c>
    </row>
    <row r="3202" spans="1:16" hidden="1">
      <c r="A3202" s="2">
        <v>202008</v>
      </c>
      <c r="B3202" s="3">
        <v>44074</v>
      </c>
      <c r="C3202" s="2" t="s">
        <v>2262</v>
      </c>
      <c r="D3202" s="2" t="s">
        <v>1562</v>
      </c>
      <c r="E3202" s="2">
        <v>41.64</v>
      </c>
      <c r="F3202" s="2" t="e">
        <f>IF(Table2[[#This Row],[Manual Cat Value]]="",VLOOKUP(Table2[[#This Row],[Description]],'Actuals Lookup'!D:F,3,0),Table2[[#This Row],[Manual Cat Value]])</f>
        <v>#N/A</v>
      </c>
      <c r="J3202" s="2">
        <v>41.64</v>
      </c>
      <c r="K3202" s="2" t="b">
        <v>0</v>
      </c>
      <c r="L3202" s="2"/>
      <c r="M3202" s="2"/>
      <c r="N3202" s="4" t="s">
        <v>2259</v>
      </c>
      <c r="O3202" s="4" t="str">
        <f>LEFT(Table2[[#This Row],[Description]],75)</f>
        <v>Red Wagon Pizza Co</v>
      </c>
      <c r="P3202" s="2" t="s">
        <v>2495</v>
      </c>
    </row>
    <row r="3203" spans="1:16" hidden="1">
      <c r="A3203" s="2">
        <v>202008</v>
      </c>
      <c r="B3203" s="3">
        <v>44074</v>
      </c>
      <c r="C3203" s="2" t="s">
        <v>2274</v>
      </c>
      <c r="D3203" s="2" t="s">
        <v>1627</v>
      </c>
      <c r="E3203" s="2">
        <v>8.32</v>
      </c>
      <c r="F3203" s="2" t="e">
        <f>IF(Table2[[#This Row],[Manual Cat Value]]="",VLOOKUP(Table2[[#This Row],[Description]],'Actuals Lookup'!D:F,3,0),Table2[[#This Row],[Manual Cat Value]])</f>
        <v>#N/A</v>
      </c>
      <c r="J3203" s="2">
        <v>8.32</v>
      </c>
      <c r="K3203" s="2" t="b">
        <v>0</v>
      </c>
      <c r="L3203" s="2"/>
      <c r="M3203" s="2"/>
      <c r="N3203" s="4" t="s">
        <v>2259</v>
      </c>
      <c r="O3203" s="4" t="str">
        <f>LEFT(Table2[[#This Row],[Description]],75)</f>
        <v>School of the WiseVictoria, MN #00000019</v>
      </c>
      <c r="P3203" s="2" t="s">
        <v>2281</v>
      </c>
    </row>
    <row r="3204" spans="1:16" hidden="1">
      <c r="A3204" s="2">
        <v>202008</v>
      </c>
      <c r="B3204" s="3">
        <v>44074</v>
      </c>
      <c r="C3204" s="2" t="s">
        <v>2300</v>
      </c>
      <c r="D3204" s="2" t="s">
        <v>1709</v>
      </c>
      <c r="E3204" s="2">
        <v>-14.23</v>
      </c>
      <c r="F3204" s="2" t="e">
        <f>IF(Table2[[#This Row],[Manual Cat Value]]="",VLOOKUP(Table2[[#This Row],[Description]],'Actuals Lookup'!D:F,3,0),Table2[[#This Row],[Manual Cat Value]])</f>
        <v>#N/A</v>
      </c>
      <c r="J3204" s="2">
        <v>14.23</v>
      </c>
      <c r="K3204" s="2" t="b">
        <v>0</v>
      </c>
      <c r="L3204" s="2"/>
      <c r="M3204" s="2"/>
      <c r="N3204" s="4" t="s">
        <v>2273</v>
      </c>
      <c r="O3204" s="4" t="str">
        <f>LEFT(Table2[[#This Row],[Description]],75)</f>
        <v>Split Rate Apy</v>
      </c>
      <c r="P3204" s="2" t="s">
        <v>2313</v>
      </c>
    </row>
    <row r="3205" spans="1:16" hidden="1">
      <c r="A3205" s="2">
        <v>202008</v>
      </c>
      <c r="B3205" s="3">
        <v>44074</v>
      </c>
      <c r="C3205" s="2" t="s">
        <v>2265</v>
      </c>
      <c r="D3205" s="2" t="s">
        <v>1709</v>
      </c>
      <c r="E3205" s="2">
        <v>-25.41</v>
      </c>
      <c r="F3205" s="2" t="e">
        <f>IF(Table2[[#This Row],[Manual Cat Value]]="",VLOOKUP(Table2[[#This Row],[Description]],'Actuals Lookup'!D:F,3,0),Table2[[#This Row],[Manual Cat Value]])</f>
        <v>#N/A</v>
      </c>
      <c r="J3205" s="2">
        <v>25.41</v>
      </c>
      <c r="K3205" s="2" t="b">
        <v>0</v>
      </c>
      <c r="L3205" s="2"/>
      <c r="M3205" s="2"/>
      <c r="N3205" s="4" t="s">
        <v>2273</v>
      </c>
      <c r="O3205" s="4" t="str">
        <f>LEFT(Table2[[#This Row],[Description]],75)</f>
        <v>Split Rate Apy</v>
      </c>
      <c r="P3205" s="2" t="s">
        <v>2313</v>
      </c>
    </row>
    <row r="3206" spans="1:16" hidden="1">
      <c r="A3206" s="2">
        <v>202008</v>
      </c>
      <c r="B3206" s="3">
        <v>44074</v>
      </c>
      <c r="C3206" s="2" t="s">
        <v>2435</v>
      </c>
      <c r="D3206" s="2" t="s">
        <v>1836</v>
      </c>
      <c r="E3206" s="2">
        <v>-250</v>
      </c>
      <c r="F3206" s="2" t="e">
        <f>IF(Table2[[#This Row],[Manual Cat Value]]="",VLOOKUP(Table2[[#This Row],[Description]],'Actuals Lookup'!D:F,3,0),Table2[[#This Row],[Manual Cat Value]])</f>
        <v>#N/A</v>
      </c>
      <c r="J3206" s="2">
        <v>250</v>
      </c>
      <c r="K3206" s="2" t="b">
        <v>0</v>
      </c>
      <c r="L3206" s="2"/>
      <c r="M3206" s="2"/>
      <c r="N3206" s="4" t="s">
        <v>2273</v>
      </c>
      <c r="O3206" s="4" t="str">
        <f>LEFT(Table2[[#This Row],[Description]],75)</f>
        <v>Tfr JPMORGAN CHASE BAN, CONNECTED ANALYT</v>
      </c>
      <c r="P3206" s="2" t="s">
        <v>2493</v>
      </c>
    </row>
    <row r="3207" spans="1:16" hidden="1">
      <c r="A3207" s="2">
        <v>202009</v>
      </c>
      <c r="B3207" s="3">
        <v>44075</v>
      </c>
      <c r="C3207" s="2" t="s">
        <v>2262</v>
      </c>
      <c r="D3207" s="2" t="s">
        <v>38</v>
      </c>
      <c r="E3207" s="2">
        <v>36.44</v>
      </c>
      <c r="F3207" s="2" t="str">
        <f>IF(Table2[[#This Row],[Manual Cat Value]]="",VLOOKUP(Table2[[#This Row],[Description]],'Actuals Lookup'!D:F,3,0),Table2[[#This Row],[Manual Cat Value]])</f>
        <v>Amazon</v>
      </c>
      <c r="J3207" s="2">
        <v>36.44</v>
      </c>
      <c r="K3207" s="2" t="b">
        <v>0</v>
      </c>
      <c r="L3207" s="2"/>
      <c r="M3207" s="2"/>
      <c r="N3207" s="4" t="s">
        <v>2259</v>
      </c>
      <c r="O3207" s="4" t="str">
        <f>LEFT(Table2[[#This Row],[Description]],75)</f>
        <v>Amazon</v>
      </c>
      <c r="P3207" s="2" t="s">
        <v>2260</v>
      </c>
    </row>
    <row r="3208" spans="1:16" hidden="1">
      <c r="A3208" s="2">
        <v>202009</v>
      </c>
      <c r="B3208" s="3">
        <v>44075</v>
      </c>
      <c r="C3208" s="2" t="s">
        <v>2262</v>
      </c>
      <c r="D3208" s="2" t="s">
        <v>38</v>
      </c>
      <c r="E3208" s="2">
        <v>56.85</v>
      </c>
      <c r="F3208" s="2" t="str">
        <f>IF(Table2[[#This Row],[Manual Cat Value]]="",VLOOKUP(Table2[[#This Row],[Description]],'Actuals Lookup'!D:F,3,0),Table2[[#This Row],[Manual Cat Value]])</f>
        <v>Amazon</v>
      </c>
      <c r="J3208" s="2">
        <v>56.85</v>
      </c>
      <c r="K3208" s="2" t="b">
        <v>0</v>
      </c>
      <c r="L3208" s="2"/>
      <c r="M3208" s="2"/>
      <c r="N3208" s="4" t="s">
        <v>2259</v>
      </c>
      <c r="O3208" s="4" t="str">
        <f>LEFT(Table2[[#This Row],[Description]],75)</f>
        <v>Amazon</v>
      </c>
      <c r="P3208" s="2" t="s">
        <v>2260</v>
      </c>
    </row>
    <row r="3209" spans="1:16" hidden="1">
      <c r="A3209" s="2">
        <v>202009</v>
      </c>
      <c r="B3209" s="3">
        <v>44075</v>
      </c>
      <c r="C3209" s="2" t="s">
        <v>2262</v>
      </c>
      <c r="D3209" s="2" t="s">
        <v>114</v>
      </c>
      <c r="E3209" s="2">
        <v>4.28</v>
      </c>
      <c r="F3209" s="2" t="str">
        <f>IF(Table2[[#This Row],[Manual Cat Value]]="",VLOOKUP(Table2[[#This Row],[Description]],'Actuals Lookup'!D:F,3,0),Table2[[#This Row],[Manual Cat Value]])</f>
        <v>Entertainment</v>
      </c>
      <c r="J3209" s="2">
        <v>4.28</v>
      </c>
      <c r="K3209" s="2" t="b">
        <v>0</v>
      </c>
      <c r="L3209" s="2"/>
      <c r="M3209" s="2"/>
      <c r="N3209" s="4" t="s">
        <v>2259</v>
      </c>
      <c r="O3209" s="4" t="str">
        <f>LEFT(Table2[[#This Row],[Description]],75)</f>
        <v>Amazon Music</v>
      </c>
      <c r="P3209" s="2" t="s">
        <v>2466</v>
      </c>
    </row>
    <row r="3210" spans="1:16" hidden="1">
      <c r="A3210" s="2">
        <v>202009</v>
      </c>
      <c r="B3210" s="3">
        <v>44075</v>
      </c>
      <c r="C3210" s="2" t="s">
        <v>2265</v>
      </c>
      <c r="D3210" s="2" t="s">
        <v>594</v>
      </c>
      <c r="E3210" s="2">
        <v>200</v>
      </c>
      <c r="F3210" s="2" t="e">
        <f>IF(Table2[[#This Row],[Manual Cat Value]]="",VLOOKUP(Table2[[#This Row],[Description]],'Actuals Lookup'!D:F,3,0),Table2[[#This Row],[Manual Cat Value]])</f>
        <v>#N/A</v>
      </c>
      <c r="J3210" s="2">
        <v>200</v>
      </c>
      <c r="K3210" s="2" t="b">
        <v>0</v>
      </c>
      <c r="L3210" s="2"/>
      <c r="M3210" s="2"/>
      <c r="N3210" s="4" t="s">
        <v>2259</v>
      </c>
      <c r="O3210" s="4" t="str">
        <f>LEFT(Table2[[#This Row],[Description]],75)</f>
        <v>College Savings TYPE ACH ID 550895818 CO College Savings ACH ECC PPD ACH Tr</v>
      </c>
      <c r="P3210" s="2" t="s">
        <v>2272</v>
      </c>
    </row>
    <row r="3211" spans="1:16" hidden="1">
      <c r="A3211" s="2">
        <v>202009</v>
      </c>
      <c r="B3211" s="3">
        <v>44075</v>
      </c>
      <c r="C3211" s="2" t="s">
        <v>2265</v>
      </c>
      <c r="D3211" s="2" t="s">
        <v>637</v>
      </c>
      <c r="E3211" s="2">
        <v>-159.88999999999999</v>
      </c>
      <c r="F3211" s="2" t="e">
        <f>IF(Table2[[#This Row],[Manual Cat Value]]="",VLOOKUP(Table2[[#This Row],[Description]],'Actuals Lookup'!D:F,3,0),Table2[[#This Row],[Manual Cat Value]])</f>
        <v>#N/A</v>
      </c>
      <c r="J3211" s="2">
        <v>159.88999999999999</v>
      </c>
      <c r="K3211" s="2" t="b">
        <v>0</v>
      </c>
      <c r="L3211" s="2"/>
      <c r="M3211" s="2"/>
      <c r="N3211" s="4" t="s">
        <v>2273</v>
      </c>
      <c r="O3211" s="4" t="str">
        <f>LEFT(Table2[[#This Row],[Description]],75)</f>
        <v>Connectyourcare Type Svbclaims</v>
      </c>
      <c r="P3211" s="2" t="s">
        <v>2281</v>
      </c>
    </row>
    <row r="3212" spans="1:16" hidden="1">
      <c r="A3212" s="2">
        <v>202009</v>
      </c>
      <c r="B3212" s="3">
        <v>44075</v>
      </c>
      <c r="C3212" s="2" t="s">
        <v>2314</v>
      </c>
      <c r="D3212" s="2" t="s">
        <v>859</v>
      </c>
      <c r="E3212" s="2">
        <v>-574.41999999999996</v>
      </c>
      <c r="F3212" s="2" t="e">
        <f>IF(Table2[[#This Row],[Manual Cat Value]]="",VLOOKUP(Table2[[#This Row],[Description]],'Actuals Lookup'!D:F,3,0),Table2[[#This Row],[Manual Cat Value]])</f>
        <v>#N/A</v>
      </c>
      <c r="J3212" s="2">
        <v>574.41999999999996</v>
      </c>
      <c r="K3212" s="2" t="b">
        <v>0</v>
      </c>
      <c r="L3212" s="2"/>
      <c r="M3212" s="2"/>
      <c r="N3212" s="4" t="s">
        <v>2273</v>
      </c>
      <c r="O3212" s="4" t="str">
        <f>LEFT(Table2[[#This Row],[Description]],75)</f>
        <v>From Share 70</v>
      </c>
      <c r="P3212" s="2" t="s">
        <v>2496</v>
      </c>
    </row>
    <row r="3213" spans="1:16" hidden="1">
      <c r="A3213" s="2">
        <v>202009</v>
      </c>
      <c r="B3213" s="3">
        <v>44075</v>
      </c>
      <c r="C3213" s="2" t="s">
        <v>2317</v>
      </c>
      <c r="D3213" s="2" t="s">
        <v>978</v>
      </c>
      <c r="E3213" s="2">
        <v>-24.58</v>
      </c>
      <c r="F3213" s="2" t="e">
        <f>IF(Table2[[#This Row],[Manual Cat Value]]="",VLOOKUP(Table2[[#This Row],[Description]],'Actuals Lookup'!D:F,3,0),Table2[[#This Row],[Manual Cat Value]])</f>
        <v>#N/A</v>
      </c>
      <c r="J3213" s="2">
        <v>24.58</v>
      </c>
      <c r="K3213" s="2" t="b">
        <v>0</v>
      </c>
      <c r="L3213" s="2"/>
      <c r="M3213" s="2"/>
      <c r="N3213" s="4" t="s">
        <v>2273</v>
      </c>
      <c r="O3213" s="4" t="str">
        <f>LEFT(Table2[[#This Row],[Description]],75)</f>
        <v>INTEL CORP</v>
      </c>
      <c r="P3213" s="2" t="s">
        <v>2422</v>
      </c>
    </row>
    <row r="3214" spans="1:16" hidden="1">
      <c r="A3214" s="2">
        <v>202009</v>
      </c>
      <c r="B3214" s="3">
        <v>44075</v>
      </c>
      <c r="C3214" s="2" t="s">
        <v>2262</v>
      </c>
      <c r="D3214" s="2" t="s">
        <v>1277</v>
      </c>
      <c r="E3214" s="2">
        <v>99.87</v>
      </c>
      <c r="F3214" s="2" t="str">
        <f>IF(Table2[[#This Row],[Manual Cat Value]]="",VLOOKUP(Table2[[#This Row],[Description]],'Actuals Lookup'!D:F,3,0),Table2[[#This Row],[Manual Cat Value]])</f>
        <v>Restaurants</v>
      </c>
      <c r="J3214" s="2">
        <v>99.87</v>
      </c>
      <c r="K3214" s="2" t="b">
        <v>0</v>
      </c>
      <c r="L3214" s="2"/>
      <c r="M3214" s="2"/>
      <c r="N3214" s="4" t="s">
        <v>2259</v>
      </c>
      <c r="O3214" s="4" t="str">
        <f>LEFT(Table2[[#This Row],[Description]],75)</f>
        <v>Miyabi</v>
      </c>
      <c r="P3214" s="2" t="s">
        <v>2281</v>
      </c>
    </row>
    <row r="3215" spans="1:16" hidden="1">
      <c r="A3215" s="2">
        <v>202009</v>
      </c>
      <c r="B3215" s="3">
        <v>44075</v>
      </c>
      <c r="C3215" s="2" t="s">
        <v>2262</v>
      </c>
      <c r="D3215" s="2" t="s">
        <v>1329</v>
      </c>
      <c r="E3215" s="2">
        <v>694.47</v>
      </c>
      <c r="F3215" s="2" t="e">
        <f>IF(Table2[[#This Row],[Manual Cat Value]]="",VLOOKUP(Table2[[#This Row],[Description]],'Actuals Lookup'!D:F,3,0),Table2[[#This Row],[Manual Cat Value]])</f>
        <v>#N/A</v>
      </c>
      <c r="J3215" s="2">
        <v>694.47</v>
      </c>
      <c r="K3215" s="2" t="b">
        <v>0</v>
      </c>
      <c r="L3215" s="2"/>
      <c r="M3215" s="2"/>
      <c r="N3215" s="4" t="s">
        <v>2259</v>
      </c>
      <c r="O3215" s="4" t="str">
        <f>LEFT(Table2[[#This Row],[Description]],75)</f>
        <v>MOUNTAIN RESORTS LLC 9708751933 CO</v>
      </c>
      <c r="P3215" s="2" t="s">
        <v>2281</v>
      </c>
    </row>
    <row r="3216" spans="1:16" hidden="1">
      <c r="A3216" s="2">
        <v>202009</v>
      </c>
      <c r="B3216" s="3">
        <v>44075</v>
      </c>
      <c r="C3216" s="2" t="s">
        <v>2265</v>
      </c>
      <c r="D3216" s="2" t="s">
        <v>1877</v>
      </c>
      <c r="E3216" s="2">
        <v>618.65</v>
      </c>
      <c r="F3216" s="2" t="e">
        <f>IF(Table2[[#This Row],[Manual Cat Value]]="",VLOOKUP(Table2[[#This Row],[Description]],'Actuals Lookup'!D:F,3,0),Table2[[#This Row],[Manual Cat Value]])</f>
        <v>#N/A</v>
      </c>
      <c r="J3216" s="2">
        <v>618.65</v>
      </c>
      <c r="K3216" s="2" t="b">
        <v>0</v>
      </c>
      <c r="L3216" s="2"/>
      <c r="M3216" s="2"/>
      <c r="N3216" s="4" t="s">
        <v>2259</v>
      </c>
      <c r="O3216" s="4" t="str">
        <f>LEFT(Table2[[#This Row],[Description]],75)</f>
        <v>To Loan 02</v>
      </c>
      <c r="P3216" s="2" t="s">
        <v>2316</v>
      </c>
    </row>
    <row r="3217" spans="1:16" hidden="1">
      <c r="A3217" s="2">
        <v>202009</v>
      </c>
      <c r="B3217" s="3">
        <v>44075</v>
      </c>
      <c r="C3217" s="2" t="s">
        <v>2317</v>
      </c>
      <c r="D3217" s="2" t="s">
        <v>2130</v>
      </c>
      <c r="E3217" s="2">
        <v>-23.72</v>
      </c>
      <c r="F3217" s="2" t="e">
        <f>IF(Table2[[#This Row],[Manual Cat Value]]="",VLOOKUP(Table2[[#This Row],[Description]],'Actuals Lookup'!D:F,3,0),Table2[[#This Row],[Manual Cat Value]])</f>
        <v>#N/A</v>
      </c>
      <c r="J3217" s="2">
        <v>23.72</v>
      </c>
      <c r="K3217" s="2" t="b">
        <v>0</v>
      </c>
      <c r="L3217" s="2"/>
      <c r="M3217" s="2"/>
      <c r="N3217" s="4" t="s">
        <v>2273</v>
      </c>
      <c r="O3217" s="4" t="str">
        <f>LEFT(Table2[[#This Row],[Description]],75)</f>
        <v>VISA INC CLASS A</v>
      </c>
      <c r="P3217" s="2" t="s">
        <v>2423</v>
      </c>
    </row>
    <row r="3218" spans="1:16" hidden="1">
      <c r="A3218" s="2">
        <v>202009</v>
      </c>
      <c r="B3218" s="3">
        <v>44076</v>
      </c>
      <c r="C3218" s="2" t="s">
        <v>2262</v>
      </c>
      <c r="D3218" s="2" t="s">
        <v>38</v>
      </c>
      <c r="E3218" s="2">
        <v>10.73</v>
      </c>
      <c r="F3218" s="2" t="str">
        <f>IF(Table2[[#This Row],[Manual Cat Value]]="",VLOOKUP(Table2[[#This Row],[Description]],'Actuals Lookup'!D:F,3,0),Table2[[#This Row],[Manual Cat Value]])</f>
        <v>Amazon</v>
      </c>
      <c r="J3218" s="2">
        <v>10.73</v>
      </c>
      <c r="K3218" s="2" t="b">
        <v>0</v>
      </c>
      <c r="L3218" s="2"/>
      <c r="M3218" s="2"/>
      <c r="N3218" s="4" t="s">
        <v>2259</v>
      </c>
      <c r="O3218" s="4" t="str">
        <f>LEFT(Table2[[#This Row],[Description]],75)</f>
        <v>Amazon</v>
      </c>
      <c r="P3218" s="2" t="s">
        <v>2260</v>
      </c>
    </row>
    <row r="3219" spans="1:16" hidden="1">
      <c r="A3219" s="2">
        <v>202009</v>
      </c>
      <c r="B3219" s="3">
        <v>44076</v>
      </c>
      <c r="C3219" s="2" t="s">
        <v>2262</v>
      </c>
      <c r="D3219" s="2" t="s">
        <v>187</v>
      </c>
      <c r="E3219" s="2">
        <v>154.11000000000001</v>
      </c>
      <c r="F3219" s="2" t="e">
        <f>IF(Table2[[#This Row],[Manual Cat Value]]="",VLOOKUP(Table2[[#This Row],[Description]],'Actuals Lookup'!D:F,3,0),Table2[[#This Row],[Manual Cat Value]])</f>
        <v>#N/A</v>
      </c>
      <c r="J3219" s="2">
        <v>154.11000000000001</v>
      </c>
      <c r="K3219" s="2" t="b">
        <v>0</v>
      </c>
      <c r="L3219" s="2"/>
      <c r="M3219" s="2"/>
      <c r="N3219" s="4" t="s">
        <v>2259</v>
      </c>
      <c r="O3219" s="4" t="str">
        <f>LEFT(Table2[[#This Row],[Description]],75)</f>
        <v>AVOADVOCARE INTL 8005424800 TX</v>
      </c>
      <c r="P3219" s="2" t="s">
        <v>2428</v>
      </c>
    </row>
    <row r="3220" spans="1:16" hidden="1">
      <c r="A3220" s="2">
        <v>202009</v>
      </c>
      <c r="B3220" s="3">
        <v>44076</v>
      </c>
      <c r="C3220" s="2" t="s">
        <v>2265</v>
      </c>
      <c r="D3220" s="2" t="s">
        <v>397</v>
      </c>
      <c r="E3220" s="2">
        <v>-1993.07</v>
      </c>
      <c r="F3220" s="2" t="e">
        <f>IF(Table2[[#This Row],[Manual Cat Value]]="",VLOOKUP(Table2[[#This Row],[Description]],'Actuals Lookup'!D:F,3,0),Table2[[#This Row],[Manual Cat Value]])</f>
        <v>#N/A</v>
      </c>
      <c r="J3220" s="2">
        <v>1993.07</v>
      </c>
      <c r="K3220" s="2" t="b">
        <v>0</v>
      </c>
      <c r="L3220" s="2"/>
      <c r="M3220" s="2"/>
      <c r="N3220" s="4" t="s">
        <v>2273</v>
      </c>
      <c r="O3220" s="4" t="str">
        <f>LEFT(Table2[[#This Row],[Description]],75)</f>
        <v>CARGILL COCOA TYPE DIR DEP ID CO CARGILL COCOA ACH ECC PPD ACH Trace 94501</v>
      </c>
      <c r="P3220" s="2" t="s">
        <v>2284</v>
      </c>
    </row>
    <row r="3221" spans="1:16" hidden="1">
      <c r="A3221" s="2">
        <v>202009</v>
      </c>
      <c r="B3221" s="3">
        <v>44076</v>
      </c>
      <c r="C3221" s="2" t="s">
        <v>2447</v>
      </c>
      <c r="D3221" s="2" t="s">
        <v>543</v>
      </c>
      <c r="E3221" s="2">
        <v>25.18</v>
      </c>
      <c r="F3221" s="2" t="e">
        <f>IF(Table2[[#This Row],[Manual Cat Value]]="",VLOOKUP(Table2[[#This Row],[Description]],'Actuals Lookup'!D:F,3,0),Table2[[#This Row],[Manual Cat Value]])</f>
        <v>#N/A</v>
      </c>
      <c r="J3221" s="2">
        <v>25.18</v>
      </c>
      <c r="K3221" s="2" t="b">
        <v>0</v>
      </c>
      <c r="L3221" s="2"/>
      <c r="M3221" s="2"/>
      <c r="N3221" s="4" t="s">
        <v>2259</v>
      </c>
      <c r="O3221" s="4" t="str">
        <f>LEFT(Table2[[#This Row],[Description]],75)</f>
        <v>Chipotle</v>
      </c>
      <c r="P3221" s="2" t="s">
        <v>2341</v>
      </c>
    </row>
    <row r="3222" spans="1:16" hidden="1">
      <c r="A3222" s="2">
        <v>202009</v>
      </c>
      <c r="B3222" s="3">
        <v>44076</v>
      </c>
      <c r="C3222" s="2" t="s">
        <v>2258</v>
      </c>
      <c r="D3222" s="2" t="s">
        <v>543</v>
      </c>
      <c r="E3222" s="2">
        <v>25.18</v>
      </c>
      <c r="F3222" s="2" t="e">
        <f>IF(Table2[[#This Row],[Manual Cat Value]]="",VLOOKUP(Table2[[#This Row],[Description]],'Actuals Lookup'!D:F,3,0),Table2[[#This Row],[Manual Cat Value]])</f>
        <v>#N/A</v>
      </c>
      <c r="J3222" s="2">
        <v>25.18</v>
      </c>
      <c r="K3222" s="2" t="b">
        <v>0</v>
      </c>
      <c r="L3222" s="2"/>
      <c r="M3222" s="2"/>
      <c r="N3222" s="4" t="s">
        <v>2259</v>
      </c>
      <c r="O3222" s="4" t="str">
        <f>LEFT(Table2[[#This Row],[Description]],75)</f>
        <v>Chipotle</v>
      </c>
      <c r="P3222" s="2" t="s">
        <v>2341</v>
      </c>
    </row>
    <row r="3223" spans="1:16" hidden="1">
      <c r="A3223" s="2">
        <v>202009</v>
      </c>
      <c r="B3223" s="3">
        <v>44076</v>
      </c>
      <c r="C3223" s="2" t="s">
        <v>2317</v>
      </c>
      <c r="D3223" s="2" t="s">
        <v>978</v>
      </c>
      <c r="E3223" s="2">
        <v>24.58</v>
      </c>
      <c r="F3223" s="2" t="e">
        <f>IF(Table2[[#This Row],[Manual Cat Value]]="",VLOOKUP(Table2[[#This Row],[Description]],'Actuals Lookup'!D:F,3,0),Table2[[#This Row],[Manual Cat Value]])</f>
        <v>#N/A</v>
      </c>
      <c r="J3223" s="2">
        <v>24.58</v>
      </c>
      <c r="K3223" s="2" t="b">
        <v>0</v>
      </c>
      <c r="L3223" s="2"/>
      <c r="M3223" s="2"/>
      <c r="N3223" s="4" t="s">
        <v>2259</v>
      </c>
      <c r="O3223" s="4" t="str">
        <f>LEFT(Table2[[#This Row],[Description]],75)</f>
        <v>INTEL CORP</v>
      </c>
      <c r="P3223" s="2" t="s">
        <v>2422</v>
      </c>
    </row>
    <row r="3224" spans="1:16" hidden="1">
      <c r="A3224" s="2">
        <v>202009</v>
      </c>
      <c r="B3224" s="3">
        <v>44076</v>
      </c>
      <c r="C3224" s="2" t="s">
        <v>2262</v>
      </c>
      <c r="D3224" s="2" t="s">
        <v>1587</v>
      </c>
      <c r="E3224" s="2">
        <v>138.93</v>
      </c>
      <c r="F3224" s="2" t="e">
        <f>IF(Table2[[#This Row],[Manual Cat Value]]="",VLOOKUP(Table2[[#This Row],[Description]],'Actuals Lookup'!D:F,3,0),Table2[[#This Row],[Manual Cat Value]])</f>
        <v>#N/A</v>
      </c>
      <c r="J3224" s="2">
        <v>138.93</v>
      </c>
      <c r="K3224" s="2" t="b">
        <v>0</v>
      </c>
      <c r="L3224" s="2"/>
      <c r="M3224" s="2"/>
      <c r="N3224" s="4" t="s">
        <v>2259</v>
      </c>
      <c r="O3224" s="4" t="str">
        <f>LEFT(Table2[[#This Row],[Description]],75)</f>
        <v>RIDGEVIEW MEDICAL CNTHOSWACONIA MN</v>
      </c>
      <c r="P3224" s="2" t="s">
        <v>2281</v>
      </c>
    </row>
    <row r="3225" spans="1:16" hidden="1">
      <c r="A3225" s="2">
        <v>202009</v>
      </c>
      <c r="B3225" s="3">
        <v>44076</v>
      </c>
      <c r="C3225" s="2" t="s">
        <v>2262</v>
      </c>
      <c r="D3225" s="2" t="s">
        <v>1872</v>
      </c>
      <c r="E3225" s="2">
        <v>2182.09</v>
      </c>
      <c r="F3225" s="2" t="e">
        <f>IF(Table2[[#This Row],[Manual Cat Value]]="",VLOOKUP(Table2[[#This Row],[Description]],'Actuals Lookup'!D:F,3,0),Table2[[#This Row],[Manual Cat Value]])</f>
        <v>#N/A</v>
      </c>
      <c r="J3225" s="2">
        <v>2182.09</v>
      </c>
      <c r="K3225" s="2" t="b">
        <v>0</v>
      </c>
      <c r="L3225" s="2"/>
      <c r="M3225" s="2"/>
      <c r="N3225" s="4" t="s">
        <v>2259</v>
      </c>
      <c r="O3225" s="4" t="str">
        <f>LEFT(Table2[[#This Row],[Description]],75)</f>
        <v>TIMBERWALL LANDSCAPE M VICTORIA MN</v>
      </c>
      <c r="P3225" s="2" t="s">
        <v>2281</v>
      </c>
    </row>
    <row r="3226" spans="1:16" hidden="1">
      <c r="A3226" s="2">
        <v>202009</v>
      </c>
      <c r="B3226" s="3">
        <v>44076</v>
      </c>
      <c r="C3226" s="2" t="s">
        <v>2317</v>
      </c>
      <c r="D3226" s="2" t="s">
        <v>2130</v>
      </c>
      <c r="E3226" s="2">
        <v>23.72</v>
      </c>
      <c r="F3226" s="2" t="e">
        <f>IF(Table2[[#This Row],[Manual Cat Value]]="",VLOOKUP(Table2[[#This Row],[Description]],'Actuals Lookup'!D:F,3,0),Table2[[#This Row],[Manual Cat Value]])</f>
        <v>#N/A</v>
      </c>
      <c r="J3226" s="2">
        <v>23.72</v>
      </c>
      <c r="K3226" s="2" t="b">
        <v>0</v>
      </c>
      <c r="L3226" s="2"/>
      <c r="M3226" s="2"/>
      <c r="N3226" s="4" t="s">
        <v>2259</v>
      </c>
      <c r="O3226" s="4" t="str">
        <f>LEFT(Table2[[#This Row],[Description]],75)</f>
        <v>VISA INC CLASS A</v>
      </c>
      <c r="P3226" s="2" t="s">
        <v>2423</v>
      </c>
    </row>
    <row r="3227" spans="1:16" hidden="1">
      <c r="A3227" s="2">
        <v>202009</v>
      </c>
      <c r="B3227" s="3">
        <v>44077</v>
      </c>
      <c r="C3227" s="2" t="s">
        <v>2262</v>
      </c>
      <c r="D3227" s="2" t="s">
        <v>1423</v>
      </c>
      <c r="E3227" s="2">
        <v>-3419.41</v>
      </c>
      <c r="F3227" s="2" t="e">
        <f>IF(Table2[[#This Row],[Manual Cat Value]]="",VLOOKUP(Table2[[#This Row],[Description]],'Actuals Lookup'!D:F,3,0),Table2[[#This Row],[Manual Cat Value]])</f>
        <v>#N/A</v>
      </c>
      <c r="J3227" s="2">
        <v>3419.41</v>
      </c>
      <c r="K3227" s="2" t="b">
        <v>0</v>
      </c>
      <c r="L3227" s="2"/>
      <c r="M3227" s="2"/>
      <c r="N3227" s="4" t="s">
        <v>2273</v>
      </c>
      <c r="O3227" s="4" t="str">
        <f>LEFT(Table2[[#This Row],[Description]],75)</f>
        <v>PAYMENT THANK YOU</v>
      </c>
      <c r="P3227" s="2" t="s">
        <v>2391</v>
      </c>
    </row>
    <row r="3228" spans="1:16" hidden="1">
      <c r="A3228" s="2">
        <v>202009</v>
      </c>
      <c r="B3228" s="3">
        <v>44077</v>
      </c>
      <c r="C3228" s="2" t="s">
        <v>2265</v>
      </c>
      <c r="D3228" s="2" t="s">
        <v>2176</v>
      </c>
      <c r="E3228" s="2">
        <v>3419.41</v>
      </c>
      <c r="F3228" s="2" t="e">
        <f>IF(Table2[[#This Row],[Manual Cat Value]]="",VLOOKUP(Table2[[#This Row],[Description]],'Actuals Lookup'!D:F,3,0),Table2[[#This Row],[Manual Cat Value]])</f>
        <v>#N/A</v>
      </c>
      <c r="J3228" s="2">
        <v>3419.41</v>
      </c>
      <c r="K3228" s="2" t="b">
        <v>0</v>
      </c>
      <c r="L3228" s="2"/>
      <c r="M3228" s="2"/>
      <c r="N3228" s="4" t="s">
        <v>2259</v>
      </c>
      <c r="O3228" s="4" t="str">
        <f>LEFT(Table2[[#This Row],[Description]],75)</f>
        <v>Withdrawal Home payment to card 979181</v>
      </c>
      <c r="P3228" s="2" t="s">
        <v>2349</v>
      </c>
    </row>
    <row r="3229" spans="1:16" hidden="1">
      <c r="A3229" s="2">
        <v>202009</v>
      </c>
      <c r="B3229" s="3">
        <v>44077</v>
      </c>
      <c r="C3229" s="2" t="s">
        <v>2265</v>
      </c>
      <c r="D3229" s="2" t="s">
        <v>425</v>
      </c>
      <c r="E3229" s="2">
        <v>-75</v>
      </c>
      <c r="F3229" s="2" t="e">
        <f>IF(Table2[[#This Row],[Manual Cat Value]]="",VLOOKUP(Table2[[#This Row],[Description]],'Actuals Lookup'!D:F,3,0),Table2[[#This Row],[Manual Cat Value]])</f>
        <v>#N/A</v>
      </c>
      <c r="J3229" s="2">
        <v>75</v>
      </c>
      <c r="K3229" s="2" t="b">
        <v>0</v>
      </c>
      <c r="L3229" s="2"/>
      <c r="M3229" s="2"/>
      <c r="N3229" s="4" t="s">
        <v>2273</v>
      </c>
      <c r="O3229" s="4" t="str">
        <f>LEFT(Table2[[#This Row],[Description]],75)</f>
        <v>Cargill Incorpor Type</v>
      </c>
      <c r="P3229" s="2" t="s">
        <v>2282</v>
      </c>
    </row>
    <row r="3230" spans="1:16" hidden="1">
      <c r="A3230" s="2">
        <v>202009</v>
      </c>
      <c r="B3230" s="3">
        <v>44077</v>
      </c>
      <c r="C3230" s="2" t="s">
        <v>2317</v>
      </c>
      <c r="D3230" s="2" t="s">
        <v>2130</v>
      </c>
      <c r="E3230" s="2">
        <v>1043.82</v>
      </c>
      <c r="F3230" s="2" t="e">
        <f>IF(Table2[[#This Row],[Manual Cat Value]]="",VLOOKUP(Table2[[#This Row],[Description]],'Actuals Lookup'!D:F,3,0),Table2[[#This Row],[Manual Cat Value]])</f>
        <v>#N/A</v>
      </c>
      <c r="J3230" s="2">
        <v>1043.82</v>
      </c>
      <c r="K3230" s="2" t="b">
        <v>0</v>
      </c>
      <c r="L3230" s="2"/>
      <c r="M3230" s="2"/>
      <c r="N3230" s="4" t="s">
        <v>2259</v>
      </c>
      <c r="O3230" s="4" t="str">
        <f>LEFT(Table2[[#This Row],[Description]],75)</f>
        <v>VISA INC CLASS A</v>
      </c>
      <c r="P3230" s="2" t="s">
        <v>2423</v>
      </c>
    </row>
    <row r="3231" spans="1:16" hidden="1">
      <c r="A3231" s="2">
        <v>202009</v>
      </c>
      <c r="B3231" s="3">
        <v>44077</v>
      </c>
      <c r="C3231" s="2" t="s">
        <v>2265</v>
      </c>
      <c r="D3231" s="2" t="s">
        <v>2221</v>
      </c>
      <c r="E3231" s="2">
        <v>196.35</v>
      </c>
      <c r="F3231" s="2" t="str">
        <f>IF(Table2[[#This Row],[Manual Cat Value]]="",VLOOKUP(Table2[[#This Row],[Description]],'Actuals Lookup'!D:F,3,0),Table2[[#This Row],[Manual Cat Value]])</f>
        <v>Utilities</v>
      </c>
      <c r="J3231" s="2">
        <v>196.35</v>
      </c>
      <c r="K3231" s="2" t="b">
        <v>0</v>
      </c>
      <c r="L3231" s="2"/>
      <c r="M3231" s="2"/>
      <c r="N3231" s="4" t="s">
        <v>2259</v>
      </c>
      <c r="O3231" s="4" t="str">
        <f>LEFT(Table2[[#This Row],[Description]],75)</f>
        <v>Xcel Energy</v>
      </c>
      <c r="P3231" s="2" t="s">
        <v>2280</v>
      </c>
    </row>
    <row r="3232" spans="1:16" hidden="1">
      <c r="A3232" s="2">
        <v>202009</v>
      </c>
      <c r="B3232" s="3">
        <v>44078</v>
      </c>
      <c r="C3232" s="2" t="s">
        <v>2265</v>
      </c>
      <c r="D3232" s="2" t="s">
        <v>1316</v>
      </c>
      <c r="E3232" s="2">
        <v>123.25</v>
      </c>
      <c r="F3232" s="2" t="e">
        <f>IF(Table2[[#This Row],[Manual Cat Value]]="",VLOOKUP(Table2[[#This Row],[Description]],'Actuals Lookup'!D:F,3,0),Table2[[#This Row],[Manual Cat Value]])</f>
        <v>#N/A</v>
      </c>
      <c r="J3232" s="2">
        <v>123.25</v>
      </c>
      <c r="K3232" s="2" t="b">
        <v>0</v>
      </c>
      <c r="L3232" s="2"/>
      <c r="M3232" s="2"/>
      <c r="N3232" s="4" t="s">
        <v>2259</v>
      </c>
      <c r="O3232" s="4" t="str">
        <f>LEFT(Table2[[#This Row],[Description]],75)</f>
        <v xml:space="preserve">MN DVS MLR TYPE epayment ID 416007162P CO MN DVS MLR ACH ECC WEB ACH Trace </v>
      </c>
      <c r="P3232" s="2" t="s">
        <v>2327</v>
      </c>
    </row>
    <row r="3233" spans="1:16" hidden="1">
      <c r="A3233" s="2">
        <v>202009</v>
      </c>
      <c r="B3233" s="3">
        <v>44078</v>
      </c>
      <c r="C3233" s="2" t="s">
        <v>2270</v>
      </c>
      <c r="D3233" s="2" t="s">
        <v>1410</v>
      </c>
      <c r="E3233" s="2">
        <v>-561.96</v>
      </c>
      <c r="F3233" s="2" t="str">
        <f>IF(Table2[[#This Row],[Manual Cat Value]]="",VLOOKUP(Table2[[#This Row],[Description]],'Actuals Lookup'!D:F,3,0),Table2[[#This Row],[Manual Cat Value]])</f>
        <v>Delete</v>
      </c>
      <c r="J3233" s="2">
        <v>561.96</v>
      </c>
      <c r="K3233" s="2" t="b">
        <v>0</v>
      </c>
      <c r="L3233" s="2"/>
      <c r="M3233" s="2"/>
      <c r="N3233" s="4" t="s">
        <v>2273</v>
      </c>
      <c r="O3233" s="4" t="str">
        <f>LEFT(Table2[[#This Row],[Description]],75)</f>
        <v>PAYMENT</v>
      </c>
      <c r="P3233" s="2" t="s">
        <v>2492</v>
      </c>
    </row>
    <row r="3234" spans="1:16" hidden="1">
      <c r="A3234" s="2">
        <v>202012</v>
      </c>
      <c r="B3234" s="3">
        <v>44166</v>
      </c>
      <c r="C3234" s="2" t="s">
        <v>2265</v>
      </c>
      <c r="D3234" s="2" t="s">
        <v>274</v>
      </c>
      <c r="E3234" s="2">
        <v>2832.55</v>
      </c>
      <c r="F3234" s="2" t="e">
        <f>IF(Table2[[#This Row],[Manual Cat Value]]="",VLOOKUP(Table2[[#This Row],[Description]],'Actuals Lookup'!D:F,3,0),Table2[[#This Row],[Manual Cat Value]])</f>
        <v>#N/A</v>
      </c>
      <c r="J3234" s="2">
        <v>2832.55</v>
      </c>
      <c r="K3234" s="2" t="b">
        <v>0</v>
      </c>
      <c r="L3234" s="2"/>
      <c r="M3234" s="2"/>
      <c r="N3234" s="4" t="s">
        <v>2259</v>
      </c>
      <c r="O3234" s="4" t="str">
        <f>LEFT(Table2[[#This Row],[Description]],75)</f>
        <v>BCU MORTGAGE TYPE LOAN PAYMT ID 9DRAFTING CO BCU MORTGAGE ACH ECC WEB ACH T</v>
      </c>
      <c r="P3234" s="2" t="s">
        <v>2345</v>
      </c>
    </row>
    <row r="3235" spans="1:16" hidden="1">
      <c r="A3235" s="2">
        <v>202009</v>
      </c>
      <c r="B3235" s="3">
        <v>44078</v>
      </c>
      <c r="C3235" s="2" t="s">
        <v>2317</v>
      </c>
      <c r="D3235" s="2" t="s">
        <v>354</v>
      </c>
      <c r="E3235" s="2">
        <v>-200</v>
      </c>
      <c r="F3235" s="2" t="e">
        <f>IF(Table2[[#This Row],[Manual Cat Value]]="",VLOOKUP(Table2[[#This Row],[Description]],'Actuals Lookup'!D:F,3,0),Table2[[#This Row],[Manual Cat Value]])</f>
        <v>#N/A</v>
      </c>
      <c r="J3235" s="2">
        <v>200</v>
      </c>
      <c r="K3235" s="2" t="b">
        <v>0</v>
      </c>
      <c r="L3235" s="2"/>
      <c r="M3235" s="2"/>
      <c r="N3235" s="4" t="s">
        <v>2273</v>
      </c>
      <c r="O3235" s="4" t="str">
        <f>LEFT(Table2[[#This Row],[Description]],75)</f>
        <v>CARGILL COCOA &amp;</v>
      </c>
      <c r="P3235" s="2" t="s">
        <v>2354</v>
      </c>
    </row>
    <row r="3236" spans="1:16" hidden="1">
      <c r="A3236" s="2">
        <v>202009</v>
      </c>
      <c r="B3236" s="3">
        <v>44078</v>
      </c>
      <c r="C3236" s="2" t="s">
        <v>2338</v>
      </c>
      <c r="D3236" s="2" t="s">
        <v>402</v>
      </c>
      <c r="E3236" s="2">
        <v>-15.22</v>
      </c>
      <c r="F3236" s="2" t="e">
        <f>IF(Table2[[#This Row],[Manual Cat Value]]="",VLOOKUP(Table2[[#This Row],[Description]],'Actuals Lookup'!D:F,3,0),Table2[[#This Row],[Manual Cat Value]])</f>
        <v>#N/A</v>
      </c>
      <c r="J3236" s="2">
        <v>15.22</v>
      </c>
      <c r="K3236" s="2" t="b">
        <v>0</v>
      </c>
      <c r="L3236" s="2"/>
      <c r="M3236" s="2"/>
      <c r="N3236" s="4" t="s">
        <v>2273</v>
      </c>
      <c r="O3236" s="4" t="str">
        <f>LEFT(Table2[[#This Row],[Description]],75)</f>
        <v>Cargill ESOP Stock Fund - Dividends Transferred In</v>
      </c>
      <c r="P3236" s="2"/>
    </row>
    <row r="3237" spans="1:16" hidden="1">
      <c r="A3237" s="2">
        <v>202009</v>
      </c>
      <c r="B3237" s="3">
        <v>44078</v>
      </c>
      <c r="C3237" s="2" t="s">
        <v>2338</v>
      </c>
      <c r="D3237" s="2" t="s">
        <v>439</v>
      </c>
      <c r="E3237" s="2">
        <v>-15.22</v>
      </c>
      <c r="F3237" s="2" t="e">
        <f>IF(Table2[[#This Row],[Manual Cat Value]]="",VLOOKUP(Table2[[#This Row],[Description]],'Actuals Lookup'!D:F,3,0),Table2[[#This Row],[Manual Cat Value]])</f>
        <v>#N/A</v>
      </c>
      <c r="J3237" s="2">
        <v>15.22</v>
      </c>
      <c r="K3237" s="2" t="b">
        <v>0</v>
      </c>
      <c r="L3237" s="2"/>
      <c r="M3237" s="2"/>
      <c r="N3237" s="4" t="s">
        <v>2273</v>
      </c>
      <c r="O3237" s="4" t="str">
        <f>LEFT(Table2[[#This Row],[Description]],75)</f>
        <v>Cargill Passthru Div - Dividends on Equity Investments</v>
      </c>
      <c r="P3237" s="2"/>
    </row>
    <row r="3238" spans="1:16" hidden="1">
      <c r="A3238" s="2">
        <v>202009</v>
      </c>
      <c r="B3238" s="3">
        <v>44078</v>
      </c>
      <c r="C3238" s="2" t="s">
        <v>2338</v>
      </c>
      <c r="D3238" s="2" t="s">
        <v>440</v>
      </c>
      <c r="E3238" s="2">
        <v>-15.22</v>
      </c>
      <c r="F3238" s="2" t="e">
        <f>IF(Table2[[#This Row],[Manual Cat Value]]="",VLOOKUP(Table2[[#This Row],[Description]],'Actuals Lookup'!D:F,3,0),Table2[[#This Row],[Manual Cat Value]])</f>
        <v>#N/A</v>
      </c>
      <c r="J3238" s="2">
        <v>15.22</v>
      </c>
      <c r="K3238" s="2" t="b">
        <v>0</v>
      </c>
      <c r="L3238" s="2"/>
      <c r="M3238" s="2"/>
      <c r="N3238" s="4" t="s">
        <v>2273</v>
      </c>
      <c r="O3238" s="4" t="str">
        <f>LEFT(Table2[[#This Row],[Description]],75)</f>
        <v>Cargill Passthru Div - Dividends Transferred Out</v>
      </c>
      <c r="P3238" s="2"/>
    </row>
    <row r="3239" spans="1:16" hidden="1">
      <c r="A3239" s="2">
        <v>202009</v>
      </c>
      <c r="B3239" s="3">
        <v>44078</v>
      </c>
      <c r="C3239" s="2" t="s">
        <v>2447</v>
      </c>
      <c r="D3239" s="2" t="s">
        <v>834</v>
      </c>
      <c r="E3239" s="2">
        <v>6.27</v>
      </c>
      <c r="F3239" s="2" t="e">
        <f>IF(Table2[[#This Row],[Manual Cat Value]]="",VLOOKUP(Table2[[#This Row],[Description]],'Actuals Lookup'!D:F,3,0),Table2[[#This Row],[Manual Cat Value]])</f>
        <v>#N/A</v>
      </c>
      <c r="J3239" s="2">
        <v>6.27</v>
      </c>
      <c r="K3239" s="2" t="b">
        <v>0</v>
      </c>
      <c r="L3239" s="2"/>
      <c r="M3239" s="2"/>
      <c r="N3239" s="4" t="s">
        <v>2259</v>
      </c>
      <c r="O3239" s="4" t="str">
        <f>LEFT(Table2[[#This Row],[Description]],75)</f>
        <v>Exxon</v>
      </c>
      <c r="P3239" s="2" t="s">
        <v>2432</v>
      </c>
    </row>
    <row r="3240" spans="1:16" hidden="1">
      <c r="A3240" s="2">
        <v>202009</v>
      </c>
      <c r="B3240" s="3">
        <v>44078</v>
      </c>
      <c r="C3240" s="2" t="s">
        <v>2258</v>
      </c>
      <c r="D3240" s="2" t="s">
        <v>834</v>
      </c>
      <c r="E3240" s="2">
        <v>6.27</v>
      </c>
      <c r="F3240" s="2" t="e">
        <f>IF(Table2[[#This Row],[Manual Cat Value]]="",VLOOKUP(Table2[[#This Row],[Description]],'Actuals Lookup'!D:F,3,0),Table2[[#This Row],[Manual Cat Value]])</f>
        <v>#N/A</v>
      </c>
      <c r="J3240" s="2">
        <v>6.27</v>
      </c>
      <c r="K3240" s="2" t="b">
        <v>0</v>
      </c>
      <c r="L3240" s="2"/>
      <c r="M3240" s="2"/>
      <c r="N3240" s="4" t="s">
        <v>2259</v>
      </c>
      <c r="O3240" s="4" t="str">
        <f>LEFT(Table2[[#This Row],[Description]],75)</f>
        <v>Exxon</v>
      </c>
      <c r="P3240" s="2" t="s">
        <v>2432</v>
      </c>
    </row>
    <row r="3241" spans="1:16" hidden="1">
      <c r="A3241" s="2">
        <v>202009</v>
      </c>
      <c r="B3241" s="3">
        <v>44078</v>
      </c>
      <c r="C3241" s="2" t="s">
        <v>2265</v>
      </c>
      <c r="D3241" s="2" t="s">
        <v>1315</v>
      </c>
      <c r="E3241" s="2">
        <v>1.5</v>
      </c>
      <c r="F3241" s="2" t="e">
        <f>IF(Table2[[#This Row],[Manual Cat Value]]="",VLOOKUP(Table2[[#This Row],[Description]],'Actuals Lookup'!D:F,3,0),Table2[[#This Row],[Manual Cat Value]])</f>
        <v>#N/A</v>
      </c>
      <c r="J3241" s="2">
        <v>1.5</v>
      </c>
      <c r="K3241" s="2" t="b">
        <v>0</v>
      </c>
      <c r="L3241" s="2"/>
      <c r="M3241" s="2"/>
      <c r="N3241" s="4" t="s">
        <v>2259</v>
      </c>
      <c r="O3241" s="4" t="str">
        <f>LEFT(Table2[[#This Row],[Description]],75)</f>
        <v xml:space="preserve">MN DVS MLR TYPE conv fee ID E987654321 CO MN DVS MLR ACH ECC WEB ACH Trace </v>
      </c>
      <c r="P3241" s="2" t="s">
        <v>2327</v>
      </c>
    </row>
    <row r="3242" spans="1:16" hidden="1">
      <c r="A3242" s="2">
        <v>202009</v>
      </c>
      <c r="B3242" s="3">
        <v>44078</v>
      </c>
      <c r="C3242" s="2" t="s">
        <v>2265</v>
      </c>
      <c r="D3242" s="2" t="s">
        <v>1471</v>
      </c>
      <c r="E3242" s="2">
        <v>19.989999999999998</v>
      </c>
      <c r="F3242" s="2" t="str">
        <f>IF(Table2[[#This Row],[Manual Cat Value]]="",VLOOKUP(Table2[[#This Row],[Description]],'Actuals Lookup'!D:F,3,0),Table2[[#This Row],[Manual Cat Value]])</f>
        <v>Shopping</v>
      </c>
      <c r="J3242" s="2">
        <v>19.989999999999998</v>
      </c>
      <c r="K3242" s="2" t="b">
        <v>0</v>
      </c>
      <c r="L3242" s="2"/>
      <c r="M3242" s="2"/>
      <c r="N3242" s="4" t="s">
        <v>2259</v>
      </c>
      <c r="O3242" s="4" t="str">
        <f>LEFT(Table2[[#This Row],[Description]],75)</f>
        <v>PayPal</v>
      </c>
      <c r="P3242" s="2" t="s">
        <v>2322</v>
      </c>
    </row>
    <row r="3243" spans="1:16" hidden="1">
      <c r="A3243" s="2">
        <v>202009</v>
      </c>
      <c r="B3243" s="3">
        <v>44078</v>
      </c>
      <c r="C3243" s="2" t="s">
        <v>2434</v>
      </c>
      <c r="D3243" s="2" t="s">
        <v>1834</v>
      </c>
      <c r="E3243" s="2">
        <v>-231</v>
      </c>
      <c r="F3243" s="2" t="e">
        <f>IF(Table2[[#This Row],[Manual Cat Value]]="",VLOOKUP(Table2[[#This Row],[Description]],'Actuals Lookup'!D:F,3,0),Table2[[#This Row],[Manual Cat Value]])</f>
        <v>#N/A</v>
      </c>
      <c r="J3243" s="2">
        <v>231</v>
      </c>
      <c r="K3243" s="2" t="b">
        <v>0</v>
      </c>
      <c r="L3243" s="2"/>
      <c r="M3243" s="2"/>
      <c r="N3243" s="4" t="s">
        <v>2273</v>
      </c>
      <c r="O3243" s="4" t="str">
        <f>LEFT(Table2[[#This Row],[Description]],75)</f>
        <v>Tfr JPMORGAN CHASE BAN, CARGILL COCOA &amp;</v>
      </c>
      <c r="P3243" s="2" t="s">
        <v>2356</v>
      </c>
    </row>
    <row r="3244" spans="1:16" hidden="1">
      <c r="A3244" s="2">
        <v>202009</v>
      </c>
      <c r="B3244" s="3">
        <v>44080</v>
      </c>
      <c r="C3244" s="2" t="s">
        <v>2262</v>
      </c>
      <c r="D3244" s="2" t="s">
        <v>38</v>
      </c>
      <c r="E3244" s="2">
        <v>22.53</v>
      </c>
      <c r="F3244" s="2" t="str">
        <f>IF(Table2[[#This Row],[Manual Cat Value]]="",VLOOKUP(Table2[[#This Row],[Description]],'Actuals Lookup'!D:F,3,0),Table2[[#This Row],[Manual Cat Value]])</f>
        <v>Amazon</v>
      </c>
      <c r="J3244" s="2">
        <v>22.53</v>
      </c>
      <c r="K3244" s="2" t="b">
        <v>0</v>
      </c>
      <c r="L3244" s="2"/>
      <c r="M3244" s="2"/>
      <c r="N3244" s="4" t="s">
        <v>2259</v>
      </c>
      <c r="O3244" s="4" t="str">
        <f>LEFT(Table2[[#This Row],[Description]],75)</f>
        <v>Amazon</v>
      </c>
      <c r="P3244" s="2" t="s">
        <v>2260</v>
      </c>
    </row>
    <row r="3245" spans="1:16" hidden="1">
      <c r="A3245" s="2">
        <v>202009</v>
      </c>
      <c r="B3245" s="3">
        <v>44080</v>
      </c>
      <c r="C3245" s="2" t="s">
        <v>2262</v>
      </c>
      <c r="D3245" s="2" t="s">
        <v>564</v>
      </c>
      <c r="E3245" s="2">
        <v>33</v>
      </c>
      <c r="F3245" s="2" t="e">
        <f>IF(Table2[[#This Row],[Manual Cat Value]]="",VLOOKUP(Table2[[#This Row],[Description]],'Actuals Lookup'!D:F,3,0),Table2[[#This Row],[Manual Cat Value]])</f>
        <v>#N/A</v>
      </c>
      <c r="J3245" s="2">
        <v>33</v>
      </c>
      <c r="K3245" s="2" t="b">
        <v>0</v>
      </c>
      <c r="L3245" s="2"/>
      <c r="M3245" s="2"/>
      <c r="N3245" s="4" t="s">
        <v>2259</v>
      </c>
      <c r="O3245" s="4" t="str">
        <f>LEFT(Table2[[#This Row],[Description]],75)</f>
        <v>Clark Oil</v>
      </c>
      <c r="P3245" s="2" t="s">
        <v>2281</v>
      </c>
    </row>
    <row r="3246" spans="1:16" hidden="1">
      <c r="A3246" s="2">
        <v>202009</v>
      </c>
      <c r="B3246" s="3">
        <v>44080</v>
      </c>
      <c r="C3246" s="2" t="s">
        <v>2262</v>
      </c>
      <c r="D3246" s="2" t="s">
        <v>837</v>
      </c>
      <c r="E3246" s="2">
        <v>50</v>
      </c>
      <c r="F3246" s="2" t="e">
        <f>IF(Table2[[#This Row],[Manual Cat Value]]="",VLOOKUP(Table2[[#This Row],[Description]],'Actuals Lookup'!D:F,3,0),Table2[[#This Row],[Manual Cat Value]])</f>
        <v>#N/A</v>
      </c>
      <c r="J3246" s="2">
        <v>50</v>
      </c>
      <c r="K3246" s="2" t="b">
        <v>0</v>
      </c>
      <c r="L3246" s="2"/>
      <c r="M3246" s="2"/>
      <c r="N3246" s="4" t="s">
        <v>2259</v>
      </c>
      <c r="O3246" s="4" t="str">
        <f>LEFT(Table2[[#This Row],[Description]],75)</f>
        <v>FBPAY AlzheimersAsso donatefbcomCA</v>
      </c>
      <c r="P3246" s="2" t="s">
        <v>2281</v>
      </c>
    </row>
    <row r="3247" spans="1:16" hidden="1">
      <c r="A3247" s="2">
        <v>202009</v>
      </c>
      <c r="B3247" s="3">
        <v>44080</v>
      </c>
      <c r="C3247" s="2" t="s">
        <v>2262</v>
      </c>
      <c r="D3247" s="2" t="s">
        <v>1331</v>
      </c>
      <c r="E3247" s="2">
        <v>16.09</v>
      </c>
      <c r="F3247" s="2" t="e">
        <f>IF(Table2[[#This Row],[Manual Cat Value]]="",VLOOKUP(Table2[[#This Row],[Description]],'Actuals Lookup'!D:F,3,0),Table2[[#This Row],[Manual Cat Value]])</f>
        <v>#N/A</v>
      </c>
      <c r="J3247" s="2">
        <v>16.09</v>
      </c>
      <c r="K3247" s="2" t="b">
        <v>0</v>
      </c>
      <c r="L3247" s="2"/>
      <c r="M3247" s="2"/>
      <c r="N3247" s="4" t="s">
        <v>2259</v>
      </c>
      <c r="O3247" s="4" t="str">
        <f>LEFT(Table2[[#This Row],[Description]],75)</f>
        <v>MOUNTAIN TAP BREWERY STEAMBOAT SPRCO</v>
      </c>
      <c r="P3247" s="2" t="s">
        <v>2281</v>
      </c>
    </row>
    <row r="3248" spans="1:16" hidden="1">
      <c r="A3248" s="2">
        <v>202009</v>
      </c>
      <c r="B3248" s="3">
        <v>44080</v>
      </c>
      <c r="C3248" s="2" t="s">
        <v>2262</v>
      </c>
      <c r="D3248" s="2" t="s">
        <v>1332</v>
      </c>
      <c r="E3248" s="2">
        <v>11</v>
      </c>
      <c r="F3248" s="2" t="e">
        <f>IF(Table2[[#This Row],[Manual Cat Value]]="",VLOOKUP(Table2[[#This Row],[Description]],'Actuals Lookup'!D:F,3,0),Table2[[#This Row],[Manual Cat Value]])</f>
        <v>#N/A</v>
      </c>
      <c r="J3248" s="2">
        <v>11</v>
      </c>
      <c r="K3248" s="2" t="b">
        <v>0</v>
      </c>
      <c r="L3248" s="2"/>
      <c r="M3248" s="2"/>
      <c r="N3248" s="4" t="s">
        <v>2259</v>
      </c>
      <c r="O3248" s="4" t="str">
        <f>LEFT(Table2[[#This Row],[Description]],75)</f>
        <v>MOUNTAIN VIEW CAR WASH STEAMBOAT SPRCO</v>
      </c>
      <c r="P3248" s="2" t="s">
        <v>2281</v>
      </c>
    </row>
    <row r="3249" spans="1:16" hidden="1">
      <c r="A3249" s="2">
        <v>202009</v>
      </c>
      <c r="B3249" s="3">
        <v>44080</v>
      </c>
      <c r="C3249" s="2" t="s">
        <v>2262</v>
      </c>
      <c r="D3249" s="2" t="s">
        <v>1486</v>
      </c>
      <c r="E3249" s="2">
        <v>24.36</v>
      </c>
      <c r="F3249" s="2" t="e">
        <f>IF(Table2[[#This Row],[Manual Cat Value]]="",VLOOKUP(Table2[[#This Row],[Description]],'Actuals Lookup'!D:F,3,0),Table2[[#This Row],[Manual Cat Value]])</f>
        <v>#N/A</v>
      </c>
      <c r="J3249" s="2">
        <v>24.36</v>
      </c>
      <c r="K3249" s="2" t="b">
        <v>0</v>
      </c>
      <c r="L3249" s="2"/>
      <c r="M3249" s="2"/>
      <c r="N3249" s="4" t="s">
        <v>2259</v>
      </c>
      <c r="O3249" s="4" t="str">
        <f>LEFT(Table2[[#This Row],[Description]],75)</f>
        <v>Phillips</v>
      </c>
      <c r="P3249" s="2" t="s">
        <v>2281</v>
      </c>
    </row>
    <row r="3250" spans="1:16" hidden="1">
      <c r="A3250" s="2">
        <v>202009</v>
      </c>
      <c r="B3250" s="3">
        <v>44080</v>
      </c>
      <c r="C3250" s="2" t="s">
        <v>2262</v>
      </c>
      <c r="D3250" s="2" t="s">
        <v>1616</v>
      </c>
      <c r="E3250" s="2">
        <v>70.58</v>
      </c>
      <c r="F3250" s="2" t="e">
        <f>IF(Table2[[#This Row],[Manual Cat Value]]="",VLOOKUP(Table2[[#This Row],[Description]],'Actuals Lookup'!D:F,3,0),Table2[[#This Row],[Manual Cat Value]])</f>
        <v>#N/A</v>
      </c>
      <c r="J3250" s="2">
        <v>70.58</v>
      </c>
      <c r="K3250" s="2" t="b">
        <v>0</v>
      </c>
      <c r="L3250" s="2"/>
      <c r="M3250" s="2"/>
      <c r="N3250" s="4" t="s">
        <v>2259</v>
      </c>
      <c r="O3250" s="4" t="str">
        <f>LEFT(Table2[[#This Row],[Description]],75)</f>
        <v>SALT LIM SALT LIM WWWSUCKALIMECO</v>
      </c>
      <c r="P3250" s="2" t="s">
        <v>2281</v>
      </c>
    </row>
    <row r="3251" spans="1:16" hidden="1">
      <c r="A3251" s="2">
        <v>202009</v>
      </c>
      <c r="B3251" s="3">
        <v>44080</v>
      </c>
      <c r="C3251" s="2" t="s">
        <v>2262</v>
      </c>
      <c r="D3251" s="2" t="s">
        <v>1758</v>
      </c>
      <c r="E3251" s="2">
        <v>70.25</v>
      </c>
      <c r="F3251" s="2" t="e">
        <f>IF(Table2[[#This Row],[Manual Cat Value]]="",VLOOKUP(Table2[[#This Row],[Description]],'Actuals Lookup'!D:F,3,0),Table2[[#This Row],[Manual Cat Value]])</f>
        <v>#N/A</v>
      </c>
      <c r="J3251" s="2">
        <v>70.25</v>
      </c>
      <c r="K3251" s="2" t="b">
        <v>0</v>
      </c>
      <c r="L3251" s="2"/>
      <c r="M3251" s="2"/>
      <c r="N3251" s="4" t="s">
        <v>2259</v>
      </c>
      <c r="O3251" s="4" t="str">
        <f>LEFT(Table2[[#This Row],[Description]],75)</f>
        <v>SQ STEAMBOAT WHISKEY COMSteamboat SprCO</v>
      </c>
      <c r="P3251" s="2" t="s">
        <v>2281</v>
      </c>
    </row>
    <row r="3252" spans="1:16" hidden="1">
      <c r="A3252" s="2">
        <v>202009</v>
      </c>
      <c r="B3252" s="3">
        <v>44080</v>
      </c>
      <c r="C3252" s="2" t="s">
        <v>2262</v>
      </c>
      <c r="D3252" s="2" t="s">
        <v>2012</v>
      </c>
      <c r="E3252" s="2">
        <v>31.74</v>
      </c>
      <c r="F3252" s="2" t="e">
        <f>IF(Table2[[#This Row],[Manual Cat Value]]="",VLOOKUP(Table2[[#This Row],[Description]],'Actuals Lookup'!D:F,3,0),Table2[[#This Row],[Manual Cat Value]])</f>
        <v>#N/A</v>
      </c>
      <c r="J3252" s="2">
        <v>31.74</v>
      </c>
      <c r="K3252" s="2" t="b">
        <v>0</v>
      </c>
      <c r="L3252" s="2"/>
      <c r="M3252" s="2"/>
      <c r="N3252" s="4" t="s">
        <v>2259</v>
      </c>
      <c r="O3252" s="4" t="str">
        <f>LEFT(Table2[[#This Row],[Description]],75)</f>
        <v>TST CRUISERS SUB SHOP STEAMBOAT SPRCO</v>
      </c>
      <c r="P3252" s="2" t="s">
        <v>2281</v>
      </c>
    </row>
    <row r="3253" spans="1:16" hidden="1">
      <c r="A3253" s="2">
        <v>202009</v>
      </c>
      <c r="B3253" s="3">
        <v>44080</v>
      </c>
      <c r="C3253" s="2" t="s">
        <v>2262</v>
      </c>
      <c r="D3253" s="2" t="s">
        <v>2219</v>
      </c>
      <c r="E3253" s="2">
        <v>33.85</v>
      </c>
      <c r="F3253" s="2" t="e">
        <f>IF(Table2[[#This Row],[Manual Cat Value]]="",VLOOKUP(Table2[[#This Row],[Description]],'Actuals Lookup'!D:F,3,0),Table2[[#This Row],[Manual Cat Value]])</f>
        <v>#N/A</v>
      </c>
      <c r="J3253" s="2">
        <v>33.85</v>
      </c>
      <c r="K3253" s="2" t="b">
        <v>0</v>
      </c>
      <c r="L3253" s="2"/>
      <c r="M3253" s="2"/>
      <c r="N3253" s="4" t="s">
        <v>2259</v>
      </c>
      <c r="O3253" s="4" t="str">
        <f>LEFT(Table2[[#This Row],[Description]],75)</f>
        <v>WT GAS GO LAGRANGE WY</v>
      </c>
      <c r="P3253" s="2" t="s">
        <v>2281</v>
      </c>
    </row>
    <row r="3254" spans="1:16" hidden="1">
      <c r="A3254" s="2">
        <v>202009</v>
      </c>
      <c r="B3254" s="3">
        <v>44081</v>
      </c>
      <c r="C3254" s="2" t="s">
        <v>2262</v>
      </c>
      <c r="D3254" s="2" t="s">
        <v>89</v>
      </c>
      <c r="E3254" s="2">
        <v>27.08</v>
      </c>
      <c r="F3254" s="2" t="e">
        <f>IF(Table2[[#This Row],[Manual Cat Value]]="",VLOOKUP(Table2[[#This Row],[Description]],'Actuals Lookup'!D:F,3,0),Table2[[#This Row],[Manual Cat Value]])</f>
        <v>#N/A</v>
      </c>
      <c r="J3254" s="2">
        <v>27.08</v>
      </c>
      <c r="K3254" s="2" t="b">
        <v>0</v>
      </c>
      <c r="L3254" s="2"/>
      <c r="M3254" s="2"/>
      <c r="N3254" s="4" t="s">
        <v>2259</v>
      </c>
      <c r="O3254" s="4" t="str">
        <f>LEFT(Table2[[#This Row],[Description]],75)</f>
        <v>7TH STREET LIQUOR STEAMBOAT SPRCO</v>
      </c>
      <c r="P3254" s="2" t="s">
        <v>2281</v>
      </c>
    </row>
    <row r="3255" spans="1:16" hidden="1">
      <c r="A3255" s="2">
        <v>202009</v>
      </c>
      <c r="B3255" s="3">
        <v>44081</v>
      </c>
      <c r="C3255" s="2" t="s">
        <v>2262</v>
      </c>
      <c r="D3255" s="2" t="s">
        <v>1101</v>
      </c>
      <c r="E3255" s="2">
        <v>147.03</v>
      </c>
      <c r="F3255" s="2" t="e">
        <f>IF(Table2[[#This Row],[Manual Cat Value]]="",VLOOKUP(Table2[[#This Row],[Description]],'Actuals Lookup'!D:F,3,0),Table2[[#This Row],[Manual Cat Value]])</f>
        <v>#N/A</v>
      </c>
      <c r="J3255" s="2">
        <v>147.03</v>
      </c>
      <c r="K3255" s="2" t="b">
        <v>0</v>
      </c>
      <c r="L3255" s="2"/>
      <c r="M3255" s="2"/>
      <c r="N3255" s="4" t="s">
        <v>2259</v>
      </c>
      <c r="O3255" s="4" t="str">
        <f>LEFT(Table2[[#This Row],[Description]],75)</f>
        <v>LAUNDRY STEAMBOAT CO</v>
      </c>
      <c r="P3255" s="2" t="s">
        <v>2281</v>
      </c>
    </row>
    <row r="3256" spans="1:16" hidden="1">
      <c r="A3256" s="2">
        <v>202009</v>
      </c>
      <c r="B3256" s="3">
        <v>44081</v>
      </c>
      <c r="C3256" s="2" t="s">
        <v>2262</v>
      </c>
      <c r="D3256" s="2" t="s">
        <v>1614</v>
      </c>
      <c r="E3256" s="2">
        <v>18.649999999999999</v>
      </c>
      <c r="F3256" s="2" t="e">
        <f>IF(Table2[[#This Row],[Manual Cat Value]]="",VLOOKUP(Table2[[#This Row],[Description]],'Actuals Lookup'!D:F,3,0),Table2[[#This Row],[Manual Cat Value]])</f>
        <v>#N/A</v>
      </c>
      <c r="J3256" s="2">
        <v>18.649999999999999</v>
      </c>
      <c r="K3256" s="2" t="b">
        <v>0</v>
      </c>
      <c r="L3256" s="2"/>
      <c r="M3256" s="2"/>
      <c r="N3256" s="4" t="s">
        <v>2259</v>
      </c>
      <c r="O3256" s="4" t="str">
        <f>LEFT(Table2[[#This Row],[Description]],75)</f>
        <v>Safeway</v>
      </c>
      <c r="P3256" s="2" t="s">
        <v>2281</v>
      </c>
    </row>
    <row r="3257" spans="1:16" hidden="1">
      <c r="A3257" s="2">
        <v>202009</v>
      </c>
      <c r="B3257" s="3">
        <v>44081</v>
      </c>
      <c r="C3257" s="2" t="s">
        <v>2262</v>
      </c>
      <c r="D3257" s="2" t="s">
        <v>1773</v>
      </c>
      <c r="E3257" s="2">
        <v>25</v>
      </c>
      <c r="F3257" s="2" t="str">
        <f>IF(Table2[[#This Row],[Manual Cat Value]]="",VLOOKUP(Table2[[#This Row],[Description]],'Actuals Lookup'!D:F,3,0),Table2[[#This Row],[Manual Cat Value]])</f>
        <v>Restaurants</v>
      </c>
      <c r="J3257" s="2">
        <v>25</v>
      </c>
      <c r="K3257" s="2" t="b">
        <v>0</v>
      </c>
      <c r="L3257" s="2"/>
      <c r="M3257" s="2"/>
      <c r="N3257" s="4" t="s">
        <v>2259</v>
      </c>
      <c r="O3257" s="4" t="str">
        <f>LEFT(Table2[[#This Row],[Description]],75)</f>
        <v>Starbucks</v>
      </c>
      <c r="P3257" s="2" t="s">
        <v>2454</v>
      </c>
    </row>
    <row r="3258" spans="1:16" hidden="1">
      <c r="A3258" s="2">
        <v>202009</v>
      </c>
      <c r="B3258" s="3">
        <v>44081</v>
      </c>
      <c r="C3258" s="2" t="s">
        <v>2262</v>
      </c>
      <c r="D3258" s="2" t="s">
        <v>1779</v>
      </c>
      <c r="E3258" s="2">
        <v>20.010000000000002</v>
      </c>
      <c r="F3258" s="2" t="e">
        <f>IF(Table2[[#This Row],[Manual Cat Value]]="",VLOOKUP(Table2[[#This Row],[Description]],'Actuals Lookup'!D:F,3,0),Table2[[#This Row],[Manual Cat Value]])</f>
        <v>#N/A</v>
      </c>
      <c r="J3258" s="2">
        <v>20.010000000000002</v>
      </c>
      <c r="K3258" s="2" t="b">
        <v>0</v>
      </c>
      <c r="L3258" s="2"/>
      <c r="M3258" s="2"/>
      <c r="N3258" s="4" t="s">
        <v>2259</v>
      </c>
      <c r="O3258" s="4" t="str">
        <f>LEFT(Table2[[#This Row],[Description]],75)</f>
        <v>STEAMBOAT DISCOUNT LIQUORSTEAMBOAT SPRCO</v>
      </c>
      <c r="P3258" s="2" t="s">
        <v>2281</v>
      </c>
    </row>
    <row r="3259" spans="1:16" hidden="1">
      <c r="A3259" s="2">
        <v>202009</v>
      </c>
      <c r="B3259" s="3">
        <v>44081</v>
      </c>
      <c r="C3259" s="2" t="s">
        <v>2262</v>
      </c>
      <c r="D3259" s="2" t="s">
        <v>1780</v>
      </c>
      <c r="E3259" s="2">
        <v>3.35</v>
      </c>
      <c r="F3259" s="2" t="e">
        <f>IF(Table2[[#This Row],[Manual Cat Value]]="",VLOOKUP(Table2[[#This Row],[Description]],'Actuals Lookup'!D:F,3,0),Table2[[#This Row],[Manual Cat Value]])</f>
        <v>#N/A</v>
      </c>
      <c r="J3259" s="2">
        <v>3.35</v>
      </c>
      <c r="K3259" s="2" t="b">
        <v>0</v>
      </c>
      <c r="L3259" s="2"/>
      <c r="M3259" s="2"/>
      <c r="N3259" s="4" t="s">
        <v>2259</v>
      </c>
      <c r="O3259" s="4" t="str">
        <f>LEFT(Table2[[#This Row],[Description]],75)</f>
        <v>STEAMBOAT PARKING STRUCTU9708976111 CO</v>
      </c>
      <c r="P3259" s="2" t="s">
        <v>2281</v>
      </c>
    </row>
    <row r="3260" spans="1:16" hidden="1">
      <c r="A3260" s="2">
        <v>202009</v>
      </c>
      <c r="B3260" s="3">
        <v>44082</v>
      </c>
      <c r="C3260" s="2" t="s">
        <v>2265</v>
      </c>
      <c r="D3260" s="2" t="s">
        <v>1199</v>
      </c>
      <c r="E3260" s="2">
        <v>391.2</v>
      </c>
      <c r="F3260" s="2" t="e">
        <f>IF(Table2[[#This Row],[Manual Cat Value]]="",VLOOKUP(Table2[[#This Row],[Description]],'Actuals Lookup'!D:F,3,0),Table2[[#This Row],[Manual Cat Value]])</f>
        <v>#N/A</v>
      </c>
      <c r="J3260" s="2">
        <v>391.2</v>
      </c>
      <c r="K3260" s="2" t="b">
        <v>0</v>
      </c>
      <c r="L3260" s="2"/>
      <c r="M3260" s="2"/>
      <c r="N3260" s="4" t="s">
        <v>2259</v>
      </c>
      <c r="O3260" s="4" t="str">
        <f>LEFT(Table2[[#This Row],[Description]],75)</f>
        <v>MHCHILDCARELLC TYPE DUES ID CO MHCHILDCARELLC ACH ECC PPD ACH Trace 01956</v>
      </c>
      <c r="P3260" s="2" t="s">
        <v>2497</v>
      </c>
    </row>
    <row r="3261" spans="1:16" hidden="1">
      <c r="A3261" s="2">
        <v>202009</v>
      </c>
      <c r="B3261" s="3">
        <v>44082</v>
      </c>
      <c r="C3261" s="2" t="s">
        <v>2265</v>
      </c>
      <c r="D3261" s="2" t="s">
        <v>1471</v>
      </c>
      <c r="E3261" s="2">
        <v>216.84</v>
      </c>
      <c r="F3261" s="2" t="str">
        <f>IF(Table2[[#This Row],[Manual Cat Value]]="",VLOOKUP(Table2[[#This Row],[Description]],'Actuals Lookup'!D:F,3,0),Table2[[#This Row],[Manual Cat Value]])</f>
        <v>Shopping</v>
      </c>
      <c r="J3261" s="2">
        <v>216.84</v>
      </c>
      <c r="K3261" s="2" t="b">
        <v>0</v>
      </c>
      <c r="L3261" s="2"/>
      <c r="M3261" s="2"/>
      <c r="N3261" s="4" t="s">
        <v>2259</v>
      </c>
      <c r="O3261" s="4" t="str">
        <f>LEFT(Table2[[#This Row],[Description]],75)</f>
        <v>PayPal</v>
      </c>
      <c r="P3261" s="2" t="s">
        <v>2322</v>
      </c>
    </row>
    <row r="3262" spans="1:16" hidden="1">
      <c r="A3262" s="2">
        <v>202009</v>
      </c>
      <c r="B3262" s="3">
        <v>44082</v>
      </c>
      <c r="C3262" s="2" t="s">
        <v>2317</v>
      </c>
      <c r="D3262" s="2" t="s">
        <v>1635</v>
      </c>
      <c r="E3262" s="2">
        <v>200</v>
      </c>
      <c r="F3262" s="2" t="e">
        <f>IF(Table2[[#This Row],[Manual Cat Value]]="",VLOOKUP(Table2[[#This Row],[Description]],'Actuals Lookup'!D:F,3,0),Table2[[#This Row],[Manual Cat Value]])</f>
        <v>#N/A</v>
      </c>
      <c r="J3262" s="2">
        <v>200</v>
      </c>
      <c r="K3262" s="2" t="b">
        <v>0</v>
      </c>
      <c r="L3262" s="2"/>
      <c r="M3262" s="2"/>
      <c r="N3262" s="4" t="s">
        <v>2259</v>
      </c>
      <c r="O3262" s="4" t="str">
        <f>LEFT(Table2[[#This Row],[Description]],75)</f>
        <v>SCHWAB TOTAL STOCK MKT INDEX</v>
      </c>
      <c r="P3262" s="2" t="s">
        <v>2278</v>
      </c>
    </row>
    <row r="3263" spans="1:16" hidden="1">
      <c r="A3263" s="2">
        <v>202009</v>
      </c>
      <c r="B3263" s="3">
        <v>44082</v>
      </c>
      <c r="C3263" s="2" t="s">
        <v>2262</v>
      </c>
      <c r="D3263" s="2" t="s">
        <v>1652</v>
      </c>
      <c r="E3263" s="2">
        <v>60</v>
      </c>
      <c r="F3263" s="2" t="e">
        <f>IF(Table2[[#This Row],[Manual Cat Value]]="",VLOOKUP(Table2[[#This Row],[Description]],'Actuals Lookup'!D:F,3,0),Table2[[#This Row],[Manual Cat Value]])</f>
        <v>#N/A</v>
      </c>
      <c r="J3263" s="2">
        <v>60</v>
      </c>
      <c r="K3263" s="2" t="b">
        <v>0</v>
      </c>
      <c r="L3263" s="2"/>
      <c r="M3263" s="2"/>
      <c r="N3263" s="4" t="s">
        <v>2259</v>
      </c>
      <c r="O3263" s="4" t="str">
        <f>LEFT(Table2[[#This Row],[Description]],75)</f>
        <v>Sheraton</v>
      </c>
      <c r="P3263" s="2" t="s">
        <v>2281</v>
      </c>
    </row>
    <row r="3264" spans="1:16" hidden="1">
      <c r="A3264" s="2">
        <v>202009</v>
      </c>
      <c r="B3264" s="3">
        <v>44082</v>
      </c>
      <c r="C3264" s="2" t="s">
        <v>2262</v>
      </c>
      <c r="D3264" s="2" t="s">
        <v>1864</v>
      </c>
      <c r="E3264" s="2">
        <v>66.77</v>
      </c>
      <c r="F3264" s="2" t="e">
        <f>IF(Table2[[#This Row],[Manual Cat Value]]="",VLOOKUP(Table2[[#This Row],[Description]],'Actuals Lookup'!D:F,3,0),Table2[[#This Row],[Manual Cat Value]])</f>
        <v>#N/A</v>
      </c>
      <c r="J3264" s="2">
        <v>66.77</v>
      </c>
      <c r="K3264" s="2" t="b">
        <v>0</v>
      </c>
      <c r="L3264" s="2"/>
      <c r="M3264" s="2"/>
      <c r="N3264" s="4" t="s">
        <v>2259</v>
      </c>
      <c r="O3264" s="4" t="str">
        <f>LEFT(Table2[[#This Row],[Description]],75)</f>
        <v>THUNDERHEAD STEAMBOAT STEAMBOAT SPRCO</v>
      </c>
      <c r="P3264" s="2" t="s">
        <v>2281</v>
      </c>
    </row>
    <row r="3265" spans="1:16" hidden="1">
      <c r="A3265" s="2">
        <v>202009</v>
      </c>
      <c r="B3265" s="3">
        <v>44082</v>
      </c>
      <c r="C3265" s="2" t="s">
        <v>2262</v>
      </c>
      <c r="D3265" s="2" t="s">
        <v>1869</v>
      </c>
      <c r="E3265" s="2">
        <v>21.5</v>
      </c>
      <c r="F3265" s="2" t="e">
        <f>IF(Table2[[#This Row],[Manual Cat Value]]="",VLOOKUP(Table2[[#This Row],[Description]],'Actuals Lookup'!D:F,3,0),Table2[[#This Row],[Manual Cat Value]])</f>
        <v>#N/A</v>
      </c>
      <c r="J3265" s="2">
        <v>21.5</v>
      </c>
      <c r="K3265" s="2" t="b">
        <v>0</v>
      </c>
      <c r="L3265" s="2"/>
      <c r="M3265" s="2"/>
      <c r="N3265" s="4" t="s">
        <v>2259</v>
      </c>
      <c r="O3265" s="4" t="str">
        <f>LEFT(Table2[[#This Row],[Description]],75)</f>
        <v>TIMBER AND TORCH STEAMBOAT SPRCO</v>
      </c>
      <c r="P3265" s="2" t="s">
        <v>2281</v>
      </c>
    </row>
    <row r="3266" spans="1:16" hidden="1">
      <c r="A3266" s="2">
        <v>202009</v>
      </c>
      <c r="B3266" s="3">
        <v>44082</v>
      </c>
      <c r="C3266" s="2" t="s">
        <v>2265</v>
      </c>
      <c r="D3266" s="2" t="s">
        <v>2109</v>
      </c>
      <c r="E3266" s="2">
        <v>29</v>
      </c>
      <c r="F3266" s="2" t="str">
        <f>IF(Table2[[#This Row],[Manual Cat Value]]="",VLOOKUP(Table2[[#This Row],[Description]],'Actuals Lookup'!D:F,3,0),Table2[[#This Row],[Manual Cat Value]])</f>
        <v>Shopping</v>
      </c>
      <c r="J3266" s="2">
        <v>29</v>
      </c>
      <c r="K3266" s="2" t="b">
        <v>0</v>
      </c>
      <c r="L3266" s="2"/>
      <c r="M3266" s="2"/>
      <c r="N3266" s="4" t="s">
        <v>2259</v>
      </c>
      <c r="O3266" s="4" t="str">
        <f>LEFT(Table2[[#This Row],[Description]],75)</f>
        <v>Venmo</v>
      </c>
      <c r="P3266" s="2" t="s">
        <v>2281</v>
      </c>
    </row>
    <row r="3267" spans="1:16" hidden="1">
      <c r="A3267" s="2">
        <v>202009</v>
      </c>
      <c r="B3267" s="3">
        <v>44082</v>
      </c>
      <c r="C3267" s="2" t="s">
        <v>2274</v>
      </c>
      <c r="D3267" s="2" t="s">
        <v>2111</v>
      </c>
      <c r="E3267" s="2">
        <v>-23.09</v>
      </c>
      <c r="F3267" s="2" t="e">
        <f>IF(Table2[[#This Row],[Manual Cat Value]]="",VLOOKUP(Table2[[#This Row],[Description]],'Actuals Lookup'!D:F,3,0),Table2[[#This Row],[Manual Cat Value]])</f>
        <v>#N/A</v>
      </c>
      <c r="J3267" s="2">
        <v>23.09</v>
      </c>
      <c r="K3267" s="2" t="b">
        <v>0</v>
      </c>
      <c r="L3267" s="2"/>
      <c r="M3267" s="2"/>
      <c r="N3267" s="4" t="s">
        <v>2273</v>
      </c>
      <c r="O3267" s="4" t="str">
        <f>LEFT(Table2[[#This Row],[Description]],75)</f>
        <v>Venmo Cashout Tran</v>
      </c>
      <c r="P3267" s="2" t="s">
        <v>2281</v>
      </c>
    </row>
    <row r="3268" spans="1:16" hidden="1">
      <c r="A3268" s="2">
        <v>202009</v>
      </c>
      <c r="B3268" s="3">
        <v>44082</v>
      </c>
      <c r="C3268" s="2" t="s">
        <v>2262</v>
      </c>
      <c r="D3268" s="2" t="s">
        <v>2135</v>
      </c>
      <c r="E3268" s="2">
        <v>78.02</v>
      </c>
      <c r="F3268" s="2" t="str">
        <f>IF(Table2[[#This Row],[Manual Cat Value]]="",VLOOKUP(Table2[[#This Row],[Description]],'Actuals Lookup'!D:F,3,0),Table2[[#This Row],[Manual Cat Value]])</f>
        <v>Groceries</v>
      </c>
      <c r="J3268" s="2">
        <v>78.02</v>
      </c>
      <c r="K3268" s="2" t="b">
        <v>0</v>
      </c>
      <c r="L3268" s="2"/>
      <c r="M3268" s="2"/>
      <c r="N3268" s="4" t="s">
        <v>2259</v>
      </c>
      <c r="O3268" s="4" t="str">
        <f>LEFT(Table2[[#This Row],[Description]],75)</f>
        <v>Walgreens</v>
      </c>
      <c r="P3268" s="2" t="s">
        <v>2389</v>
      </c>
    </row>
    <row r="3269" spans="1:16" hidden="1">
      <c r="A3269" s="2">
        <v>202009</v>
      </c>
      <c r="B3269" s="3">
        <v>44082</v>
      </c>
      <c r="C3269" s="2" t="s">
        <v>2265</v>
      </c>
      <c r="D3269" s="2" t="s">
        <v>2147</v>
      </c>
      <c r="E3269" s="2">
        <v>353</v>
      </c>
      <c r="F3269" s="2" t="e">
        <f>IF(Table2[[#This Row],[Manual Cat Value]]="",VLOOKUP(Table2[[#This Row],[Description]],'Actuals Lookup'!D:F,3,0),Table2[[#This Row],[Manual Cat Value]])</f>
        <v>#N/A</v>
      </c>
      <c r="J3269" s="2">
        <v>353</v>
      </c>
      <c r="K3269" s="2" t="b">
        <v>0</v>
      </c>
      <c r="L3269" s="2"/>
      <c r="M3269" s="2"/>
      <c r="N3269" s="4" t="s">
        <v>2259</v>
      </c>
      <c r="O3269" s="4" t="str">
        <f>LEFT(Table2[[#This Row],[Description]],75)</f>
        <v>Wells Fargo Bank</v>
      </c>
      <c r="P3269" s="2" t="s">
        <v>2281</v>
      </c>
    </row>
    <row r="3270" spans="1:16" hidden="1">
      <c r="A3270" s="2">
        <v>202009</v>
      </c>
      <c r="B3270" s="3">
        <v>44083</v>
      </c>
      <c r="C3270" s="2" t="s">
        <v>2265</v>
      </c>
      <c r="D3270" s="2" t="s">
        <v>1471</v>
      </c>
      <c r="E3270" s="2">
        <v>7.43</v>
      </c>
      <c r="F3270" s="2" t="str">
        <f>IF(Table2[[#This Row],[Manual Cat Value]]="",VLOOKUP(Table2[[#This Row],[Description]],'Actuals Lookup'!D:F,3,0),Table2[[#This Row],[Manual Cat Value]])</f>
        <v>Shopping</v>
      </c>
      <c r="J3270" s="2">
        <v>7.43</v>
      </c>
      <c r="K3270" s="2" t="b">
        <v>0</v>
      </c>
      <c r="L3270" s="2"/>
      <c r="M3270" s="2"/>
      <c r="N3270" s="4" t="s">
        <v>2259</v>
      </c>
      <c r="O3270" s="4" t="str">
        <f>LEFT(Table2[[#This Row],[Description]],75)</f>
        <v>PayPal</v>
      </c>
      <c r="P3270" s="2" t="s">
        <v>2322</v>
      </c>
    </row>
    <row r="3271" spans="1:16" hidden="1">
      <c r="A3271" s="2">
        <v>202009</v>
      </c>
      <c r="B3271" s="3">
        <v>44083</v>
      </c>
      <c r="C3271" s="2" t="s">
        <v>2262</v>
      </c>
      <c r="D3271" s="2" t="s">
        <v>1740</v>
      </c>
      <c r="E3271" s="2">
        <v>22.57</v>
      </c>
      <c r="F3271" s="2" t="e">
        <f>IF(Table2[[#This Row],[Manual Cat Value]]="",VLOOKUP(Table2[[#This Row],[Description]],'Actuals Lookup'!D:F,3,0),Table2[[#This Row],[Manual Cat Value]])</f>
        <v>#N/A</v>
      </c>
      <c r="J3271" s="2">
        <v>22.57</v>
      </c>
      <c r="K3271" s="2" t="b">
        <v>0</v>
      </c>
      <c r="L3271" s="2"/>
      <c r="M3271" s="2"/>
      <c r="N3271" s="4" t="s">
        <v>2259</v>
      </c>
      <c r="O3271" s="4" t="str">
        <f>LEFT(Table2[[#This Row],[Description]],75)</f>
        <v>SQ KIWI INTERNATIONAL DEAvon CO</v>
      </c>
      <c r="P3271" s="2" t="s">
        <v>2281</v>
      </c>
    </row>
    <row r="3272" spans="1:16" hidden="1">
      <c r="A3272" s="2">
        <v>202009</v>
      </c>
      <c r="B3272" s="3">
        <v>44083</v>
      </c>
      <c r="C3272" s="2" t="s">
        <v>2274</v>
      </c>
      <c r="D3272" s="2" t="s">
        <v>2060</v>
      </c>
      <c r="E3272" s="2">
        <v>102.75</v>
      </c>
      <c r="F3272" s="2" t="e">
        <f>IF(Table2[[#This Row],[Manual Cat Value]]="",VLOOKUP(Table2[[#This Row],[Description]],'Actuals Lookup'!D:F,3,0),Table2[[#This Row],[Manual Cat Value]])</f>
        <v>#N/A</v>
      </c>
      <c r="J3272" s="2">
        <v>102.75</v>
      </c>
      <c r="K3272" s="2" t="b">
        <v>0</v>
      </c>
      <c r="L3272" s="2"/>
      <c r="M3272" s="2"/>
      <c r="N3272" s="4" t="s">
        <v>2259</v>
      </c>
      <c r="O3272" s="4" t="str">
        <f>LEFT(Table2[[#This Row],[Description]],75)</f>
        <v>Tumbleweed Liqu 57 Edwa Edwards</v>
      </c>
      <c r="P3272" s="2" t="s">
        <v>2281</v>
      </c>
    </row>
    <row r="3273" spans="1:16" hidden="1">
      <c r="A3273" s="2">
        <v>202009</v>
      </c>
      <c r="B3273" s="3">
        <v>44084</v>
      </c>
      <c r="C3273" s="2" t="s">
        <v>2262</v>
      </c>
      <c r="D3273" s="2" t="s">
        <v>193</v>
      </c>
      <c r="E3273" s="2">
        <v>50.96</v>
      </c>
      <c r="F3273" s="2" t="e">
        <f>IF(Table2[[#This Row],[Manual Cat Value]]="",VLOOKUP(Table2[[#This Row],[Description]],'Actuals Lookup'!D:F,3,0),Table2[[#This Row],[Manual Cat Value]])</f>
        <v>#N/A</v>
      </c>
      <c r="J3273" s="2">
        <v>50.96</v>
      </c>
      <c r="K3273" s="2" t="b">
        <v>0</v>
      </c>
      <c r="L3273" s="2"/>
      <c r="M3273" s="2"/>
      <c r="N3273" s="4" t="s">
        <v>2259</v>
      </c>
      <c r="O3273" s="4" t="str">
        <f>LEFT(Table2[[#This Row],[Description]],75)</f>
        <v>Avon</v>
      </c>
      <c r="P3273" s="2" t="s">
        <v>2281</v>
      </c>
    </row>
    <row r="3274" spans="1:16" hidden="1">
      <c r="A3274" s="2">
        <v>202009</v>
      </c>
      <c r="B3274" s="3">
        <v>44084</v>
      </c>
      <c r="C3274" s="2" t="s">
        <v>2447</v>
      </c>
      <c r="D3274" s="2" t="s">
        <v>506</v>
      </c>
      <c r="E3274" s="2">
        <v>45</v>
      </c>
      <c r="F3274" s="2" t="str">
        <f>IF(Table2[[#This Row],[Manual Cat Value]]="",VLOOKUP(Table2[[#This Row],[Description]],'Actuals Lookup'!D:F,3,0),Table2[[#This Row],[Manual Cat Value]])</f>
        <v>Utilities</v>
      </c>
      <c r="J3274" s="2">
        <v>45</v>
      </c>
      <c r="K3274" s="2" t="b">
        <v>0</v>
      </c>
      <c r="L3274" s="2"/>
      <c r="M3274" s="2"/>
      <c r="N3274" s="4" t="s">
        <v>2259</v>
      </c>
      <c r="O3274" s="4" t="str">
        <f>LEFT(Table2[[#This Row],[Description]],75)</f>
        <v>CenturyLink</v>
      </c>
      <c r="P3274" s="2" t="s">
        <v>2408</v>
      </c>
    </row>
    <row r="3275" spans="1:16" hidden="1">
      <c r="A3275" s="2">
        <v>202009</v>
      </c>
      <c r="B3275" s="3">
        <v>44084</v>
      </c>
      <c r="C3275" s="2" t="s">
        <v>2258</v>
      </c>
      <c r="D3275" s="2" t="s">
        <v>506</v>
      </c>
      <c r="E3275" s="2">
        <v>45</v>
      </c>
      <c r="F3275" s="2" t="str">
        <f>IF(Table2[[#This Row],[Manual Cat Value]]="",VLOOKUP(Table2[[#This Row],[Description]],'Actuals Lookup'!D:F,3,0),Table2[[#This Row],[Manual Cat Value]])</f>
        <v>Utilities</v>
      </c>
      <c r="J3275" s="2">
        <v>45</v>
      </c>
      <c r="K3275" s="2" t="b">
        <v>0</v>
      </c>
      <c r="L3275" s="2"/>
      <c r="M3275" s="2"/>
      <c r="N3275" s="4" t="s">
        <v>2259</v>
      </c>
      <c r="O3275" s="4" t="str">
        <f>LEFT(Table2[[#This Row],[Description]],75)</f>
        <v>CenturyLink</v>
      </c>
      <c r="P3275" s="2" t="s">
        <v>2408</v>
      </c>
    </row>
    <row r="3276" spans="1:16" hidden="1">
      <c r="A3276" s="2">
        <v>202009</v>
      </c>
      <c r="B3276" s="3">
        <v>44084</v>
      </c>
      <c r="C3276" s="2" t="s">
        <v>2317</v>
      </c>
      <c r="D3276" s="2" t="s">
        <v>537</v>
      </c>
      <c r="E3276" s="2">
        <v>-38.44</v>
      </c>
      <c r="F3276" s="2" t="e">
        <f>IF(Table2[[#This Row],[Manual Cat Value]]="",VLOOKUP(Table2[[#This Row],[Description]],'Actuals Lookup'!D:F,3,0),Table2[[#This Row],[Manual Cat Value]])</f>
        <v>#N/A</v>
      </c>
      <c r="J3276" s="2">
        <v>38.44</v>
      </c>
      <c r="K3276" s="2" t="b">
        <v>0</v>
      </c>
      <c r="L3276" s="2"/>
      <c r="M3276" s="2"/>
      <c r="N3276" s="4" t="s">
        <v>2273</v>
      </c>
      <c r="O3276" s="4" t="str">
        <f>LEFT(Table2[[#This Row],[Description]],75)</f>
        <v>CHEVRON CORP</v>
      </c>
      <c r="P3276" s="2" t="s">
        <v>2430</v>
      </c>
    </row>
    <row r="3277" spans="1:16" hidden="1">
      <c r="A3277" s="2">
        <v>202009</v>
      </c>
      <c r="B3277" s="3">
        <v>44084</v>
      </c>
      <c r="C3277" s="2" t="s">
        <v>2274</v>
      </c>
      <c r="D3277" s="2" t="s">
        <v>807</v>
      </c>
      <c r="E3277" s="2">
        <v>7000</v>
      </c>
      <c r="F3277" s="2" t="e">
        <f>IF(Table2[[#This Row],[Manual Cat Value]]="",VLOOKUP(Table2[[#This Row],[Description]],'Actuals Lookup'!D:F,3,0),Table2[[#This Row],[Manual Cat Value]])</f>
        <v>#N/A</v>
      </c>
      <c r="J3277" s="2">
        <v>7000</v>
      </c>
      <c r="K3277" s="2" t="b">
        <v>0</v>
      </c>
      <c r="L3277" s="2"/>
      <c r="M3277" s="2"/>
      <c r="N3277" s="4" t="s">
        <v>2259</v>
      </c>
      <c r="O3277" s="4" t="str">
        <f>LEFT(Table2[[#This Row],[Description]],75)</f>
        <v>Electronic Withdrawal</v>
      </c>
      <c r="P3277" s="2" t="s">
        <v>2281</v>
      </c>
    </row>
    <row r="3278" spans="1:16" hidden="1">
      <c r="A3278" s="2">
        <v>202009</v>
      </c>
      <c r="B3278" s="3">
        <v>44084</v>
      </c>
      <c r="C3278" s="2" t="s">
        <v>2274</v>
      </c>
      <c r="D3278" s="2" t="s">
        <v>879</v>
      </c>
      <c r="E3278" s="2">
        <v>-6500</v>
      </c>
      <c r="F3278" s="2" t="e">
        <f>IF(Table2[[#This Row],[Manual Cat Value]]="",VLOOKUP(Table2[[#This Row],[Description]],'Actuals Lookup'!D:F,3,0),Table2[[#This Row],[Manual Cat Value]])</f>
        <v>#N/A</v>
      </c>
      <c r="J3278" s="2">
        <v>6500</v>
      </c>
      <c r="K3278" s="2" t="b">
        <v>0</v>
      </c>
      <c r="L3278" s="2"/>
      <c r="M3278" s="2"/>
      <c r="N3278" s="4" t="s">
        <v>2273</v>
      </c>
      <c r="O3278" s="4" t="str">
        <f>LEFT(Table2[[#This Row],[Description]],75)</f>
        <v>Funds Transfer from Brokerage -5308</v>
      </c>
      <c r="P3278" s="2" t="s">
        <v>2498</v>
      </c>
    </row>
    <row r="3279" spans="1:16" hidden="1">
      <c r="A3279" s="2">
        <v>202009</v>
      </c>
      <c r="B3279" s="3">
        <v>44084</v>
      </c>
      <c r="C3279" s="2" t="s">
        <v>2265</v>
      </c>
      <c r="D3279" s="2" t="s">
        <v>1010</v>
      </c>
      <c r="E3279" s="2">
        <v>-7000</v>
      </c>
      <c r="F3279" s="2" t="e">
        <f>IF(Table2[[#This Row],[Manual Cat Value]]="",VLOOKUP(Table2[[#This Row],[Description]],'Actuals Lookup'!D:F,3,0),Table2[[#This Row],[Manual Cat Value]])</f>
        <v>#N/A</v>
      </c>
      <c r="J3279" s="2">
        <v>7000</v>
      </c>
      <c r="K3279" s="2" t="b">
        <v>0</v>
      </c>
      <c r="L3279" s="2"/>
      <c r="M3279" s="2"/>
      <c r="N3279" s="4" t="s">
        <v>2273</v>
      </c>
      <c r="O3279" s="4" t="str">
        <f>LEFT(Table2[[#This Row],[Description]],75)</f>
        <v>Jeffrey Bryan T</v>
      </c>
      <c r="P3279" s="2" t="s">
        <v>2281</v>
      </c>
    </row>
    <row r="3280" spans="1:16" hidden="1">
      <c r="A3280" s="2">
        <v>202009</v>
      </c>
      <c r="B3280" s="3">
        <v>44084</v>
      </c>
      <c r="C3280" s="2" t="s">
        <v>2265</v>
      </c>
      <c r="D3280" s="2" t="s">
        <v>1038</v>
      </c>
      <c r="E3280" s="2">
        <v>-45</v>
      </c>
      <c r="F3280" s="2" t="e">
        <f>IF(Table2[[#This Row],[Manual Cat Value]]="",VLOOKUP(Table2[[#This Row],[Description]],'Actuals Lookup'!D:F,3,0),Table2[[#This Row],[Manual Cat Value]])</f>
        <v>#N/A</v>
      </c>
      <c r="J3280" s="2">
        <v>45</v>
      </c>
      <c r="K3280" s="2" t="b">
        <v>0</v>
      </c>
      <c r="L3280" s="2"/>
      <c r="M3280" s="2"/>
      <c r="N3280" s="4" t="s">
        <v>2273</v>
      </c>
      <c r="O3280" s="4" t="str">
        <f>LEFT(Table2[[#This Row],[Description]],75)</f>
        <v>Kaufman Hall Type</v>
      </c>
      <c r="P3280" s="2" t="s">
        <v>2281</v>
      </c>
    </row>
    <row r="3281" spans="1:16" hidden="1">
      <c r="A3281" s="2">
        <v>202009</v>
      </c>
      <c r="B3281" s="3">
        <v>44084</v>
      </c>
      <c r="C3281" s="2" t="s">
        <v>2262</v>
      </c>
      <c r="D3281" s="2" t="s">
        <v>1530</v>
      </c>
      <c r="E3281" s="2">
        <v>61.42</v>
      </c>
      <c r="F3281" s="2" t="e">
        <f>IF(Table2[[#This Row],[Manual Cat Value]]="",VLOOKUP(Table2[[#This Row],[Description]],'Actuals Lookup'!D:F,3,0),Table2[[#This Row],[Manual Cat Value]])</f>
        <v>#N/A</v>
      </c>
      <c r="J3281" s="2">
        <v>61.42</v>
      </c>
      <c r="K3281" s="2" t="b">
        <v>0</v>
      </c>
      <c r="L3281" s="2"/>
      <c r="M3281" s="2"/>
      <c r="N3281" s="4" t="s">
        <v>2259</v>
      </c>
      <c r="O3281" s="4" t="str">
        <f>LEFT(Table2[[#This Row],[Description]],75)</f>
        <v>PTARMIGAN SPORTS EDWARDS CO</v>
      </c>
      <c r="P3281" s="2" t="s">
        <v>2281</v>
      </c>
    </row>
    <row r="3282" spans="1:16" hidden="1">
      <c r="A3282" s="2">
        <v>202009</v>
      </c>
      <c r="B3282" s="3">
        <v>44084</v>
      </c>
      <c r="C3282" s="2" t="s">
        <v>2317</v>
      </c>
      <c r="D3282" s="2" t="s">
        <v>1553</v>
      </c>
      <c r="E3282" s="2">
        <v>-69.37</v>
      </c>
      <c r="F3282" s="2" t="e">
        <f>IF(Table2[[#This Row],[Manual Cat Value]]="",VLOOKUP(Table2[[#This Row],[Description]],'Actuals Lookup'!D:F,3,0),Table2[[#This Row],[Manual Cat Value]])</f>
        <v>#N/A</v>
      </c>
      <c r="J3282" s="2">
        <v>69.37</v>
      </c>
      <c r="K3282" s="2" t="b">
        <v>0</v>
      </c>
      <c r="L3282" s="2"/>
      <c r="M3282" s="2"/>
      <c r="N3282" s="4" t="s">
        <v>2273</v>
      </c>
      <c r="O3282" s="4" t="str">
        <f>LEFT(Table2[[#This Row],[Description]],75)</f>
        <v>RAYTHEON TECHNOLOGIES CO</v>
      </c>
      <c r="P3282" s="2" t="s">
        <v>2385</v>
      </c>
    </row>
    <row r="3283" spans="1:16" hidden="1">
      <c r="A3283" s="2">
        <v>202009</v>
      </c>
      <c r="B3283" s="3">
        <v>44084</v>
      </c>
      <c r="C3283" s="2" t="s">
        <v>2317</v>
      </c>
      <c r="D3283" s="2" t="s">
        <v>1950</v>
      </c>
      <c r="E3283" s="2">
        <v>6500</v>
      </c>
      <c r="F3283" s="2" t="e">
        <f>IF(Table2[[#This Row],[Manual Cat Value]]="",VLOOKUP(Table2[[#This Row],[Description]],'Actuals Lookup'!D:F,3,0),Table2[[#This Row],[Manual Cat Value]])</f>
        <v>#N/A</v>
      </c>
      <c r="J3283" s="2">
        <v>6500</v>
      </c>
      <c r="K3283" s="2" t="b">
        <v>0</v>
      </c>
      <c r="L3283" s="2"/>
      <c r="M3283" s="2"/>
      <c r="N3283" s="4" t="s">
        <v>2259</v>
      </c>
      <c r="O3283" s="4" t="str">
        <f>LEFT(Table2[[#This Row],[Description]],75)</f>
        <v>TRANSFER FUNDS TO SCHWAB BANK - 440020765184</v>
      </c>
      <c r="P3283" s="2" t="s">
        <v>2385</v>
      </c>
    </row>
    <row r="3284" spans="1:16" hidden="1">
      <c r="A3284" s="2">
        <v>202009</v>
      </c>
      <c r="B3284" s="3">
        <v>44084</v>
      </c>
      <c r="C3284" s="2" t="s">
        <v>2262</v>
      </c>
      <c r="D3284" s="2" t="s">
        <v>2104</v>
      </c>
      <c r="E3284" s="2">
        <v>25.42</v>
      </c>
      <c r="F3284" s="2" t="e">
        <f>IF(Table2[[#This Row],[Manual Cat Value]]="",VLOOKUP(Table2[[#This Row],[Description]],'Actuals Lookup'!D:F,3,0),Table2[[#This Row],[Manual Cat Value]])</f>
        <v>#N/A</v>
      </c>
      <c r="J3284" s="2">
        <v>25.42</v>
      </c>
      <c r="K3284" s="2" t="b">
        <v>0</v>
      </c>
      <c r="L3284" s="2"/>
      <c r="M3284" s="2"/>
      <c r="N3284" s="4" t="s">
        <v>2259</v>
      </c>
      <c r="O3284" s="4" t="str">
        <f>LEFT(Table2[[#This Row],[Description]],75)</f>
        <v>VAIL VALLEY ANGLERS EDWARDS CO</v>
      </c>
      <c r="P3284" s="2" t="s">
        <v>2281</v>
      </c>
    </row>
    <row r="3285" spans="1:16" hidden="1">
      <c r="A3285" s="2">
        <v>202009</v>
      </c>
      <c r="B3285" s="3">
        <v>44084</v>
      </c>
      <c r="C3285" s="2" t="s">
        <v>2262</v>
      </c>
      <c r="D3285" s="2" t="s">
        <v>2104</v>
      </c>
      <c r="E3285" s="2">
        <v>74.09</v>
      </c>
      <c r="F3285" s="2" t="e">
        <f>IF(Table2[[#This Row],[Manual Cat Value]]="",VLOOKUP(Table2[[#This Row],[Description]],'Actuals Lookup'!D:F,3,0),Table2[[#This Row],[Manual Cat Value]])</f>
        <v>#N/A</v>
      </c>
      <c r="J3285" s="2">
        <v>74.09</v>
      </c>
      <c r="K3285" s="2" t="b">
        <v>0</v>
      </c>
      <c r="L3285" s="2"/>
      <c r="M3285" s="2"/>
      <c r="N3285" s="4" t="s">
        <v>2259</v>
      </c>
      <c r="O3285" s="4" t="str">
        <f>LEFT(Table2[[#This Row],[Description]],75)</f>
        <v>VAIL VALLEY ANGLERS EDWARDS CO</v>
      </c>
      <c r="P3285" s="2" t="s">
        <v>2281</v>
      </c>
    </row>
    <row r="3286" spans="1:16" hidden="1">
      <c r="A3286" s="2">
        <v>202009</v>
      </c>
      <c r="B3286" s="3">
        <v>44084</v>
      </c>
      <c r="C3286" s="2" t="s">
        <v>2265</v>
      </c>
      <c r="D3286" s="2" t="s">
        <v>2161</v>
      </c>
      <c r="E3286" s="2">
        <v>25000</v>
      </c>
      <c r="F3286" s="2" t="e">
        <f>IF(Table2[[#This Row],[Manual Cat Value]]="",VLOOKUP(Table2[[#This Row],[Description]],'Actuals Lookup'!D:F,3,0),Table2[[#This Row],[Manual Cat Value]])</f>
        <v>#N/A</v>
      </c>
      <c r="J3286" s="2">
        <v>25000</v>
      </c>
      <c r="K3286" s="2" t="b">
        <v>0</v>
      </c>
      <c r="L3286" s="2"/>
      <c r="M3286" s="2"/>
      <c r="N3286" s="4" t="s">
        <v>2259</v>
      </c>
      <c r="O3286" s="4" t="str">
        <f>LEFT(Table2[[#This Row],[Description]],75)</f>
        <v>Wire</v>
      </c>
      <c r="P3286" s="2" t="s">
        <v>2281</v>
      </c>
    </row>
    <row r="3287" spans="1:16" hidden="1">
      <c r="A3287" s="2">
        <v>202009</v>
      </c>
      <c r="B3287" s="3">
        <v>44084</v>
      </c>
      <c r="C3287" s="2" t="s">
        <v>2265</v>
      </c>
      <c r="D3287" s="2" t="s">
        <v>2212</v>
      </c>
      <c r="E3287" s="2">
        <v>35</v>
      </c>
      <c r="F3287" s="2" t="e">
        <f>IF(Table2[[#This Row],[Manual Cat Value]]="",VLOOKUP(Table2[[#This Row],[Description]],'Actuals Lookup'!D:F,3,0),Table2[[#This Row],[Manual Cat Value]])</f>
        <v>#N/A</v>
      </c>
      <c r="J3287" s="2">
        <v>35</v>
      </c>
      <c r="K3287" s="2" t="b">
        <v>0</v>
      </c>
      <c r="L3287" s="2"/>
      <c r="M3287" s="2"/>
      <c r="N3287" s="4" t="s">
        <v>2259</v>
      </c>
      <c r="O3287" s="4" t="str">
        <f>LEFT(Table2[[#This Row],[Description]],75)</f>
        <v>Withdrawal WIRE TRANSFER FEE</v>
      </c>
      <c r="P3287" s="2" t="s">
        <v>2281</v>
      </c>
    </row>
    <row r="3288" spans="1:16" hidden="1">
      <c r="A3288" s="2">
        <v>202009</v>
      </c>
      <c r="B3288" s="3">
        <v>44085</v>
      </c>
      <c r="C3288" s="2" t="s">
        <v>2262</v>
      </c>
      <c r="D3288" s="2" t="s">
        <v>1423</v>
      </c>
      <c r="E3288" s="2">
        <v>-1065.27</v>
      </c>
      <c r="F3288" s="2" t="e">
        <f>IF(Table2[[#This Row],[Manual Cat Value]]="",VLOOKUP(Table2[[#This Row],[Description]],'Actuals Lookup'!D:F,3,0),Table2[[#This Row],[Manual Cat Value]])</f>
        <v>#N/A</v>
      </c>
      <c r="J3288" s="2">
        <v>1065.27</v>
      </c>
      <c r="K3288" s="2" t="b">
        <v>0</v>
      </c>
      <c r="L3288" s="2"/>
      <c r="M3288" s="2"/>
      <c r="N3288" s="4" t="s">
        <v>2273</v>
      </c>
      <c r="O3288" s="4" t="str">
        <f>LEFT(Table2[[#This Row],[Description]],75)</f>
        <v>PAYMENT THANK YOU</v>
      </c>
      <c r="P3288" s="2" t="s">
        <v>2391</v>
      </c>
    </row>
    <row r="3289" spans="1:16" hidden="1">
      <c r="A3289" s="2">
        <v>202009</v>
      </c>
      <c r="B3289" s="3">
        <v>44085</v>
      </c>
      <c r="C3289" s="2" t="s">
        <v>2265</v>
      </c>
      <c r="D3289" s="2" t="s">
        <v>2176</v>
      </c>
      <c r="E3289" s="2">
        <v>1065.27</v>
      </c>
      <c r="F3289" s="2" t="e">
        <f>IF(Table2[[#This Row],[Manual Cat Value]]="",VLOOKUP(Table2[[#This Row],[Description]],'Actuals Lookup'!D:F,3,0),Table2[[#This Row],[Manual Cat Value]])</f>
        <v>#N/A</v>
      </c>
      <c r="J3289" s="2">
        <v>1065.27</v>
      </c>
      <c r="K3289" s="2" t="b">
        <v>0</v>
      </c>
      <c r="L3289" s="2"/>
      <c r="M3289" s="2"/>
      <c r="N3289" s="4" t="s">
        <v>2259</v>
      </c>
      <c r="O3289" s="4" t="str">
        <f>LEFT(Table2[[#This Row],[Description]],75)</f>
        <v>Withdrawal Home payment to card 979181</v>
      </c>
      <c r="P3289" s="2" t="s">
        <v>2349</v>
      </c>
    </row>
    <row r="3290" spans="1:16" hidden="1">
      <c r="A3290" s="2">
        <v>202009</v>
      </c>
      <c r="B3290" s="3">
        <v>44085</v>
      </c>
      <c r="C3290" s="2" t="s">
        <v>2317</v>
      </c>
      <c r="D3290" s="2" t="s">
        <v>537</v>
      </c>
      <c r="E3290" s="2">
        <v>38.44</v>
      </c>
      <c r="F3290" s="2" t="e">
        <f>IF(Table2[[#This Row],[Manual Cat Value]]="",VLOOKUP(Table2[[#This Row],[Description]],'Actuals Lookup'!D:F,3,0),Table2[[#This Row],[Manual Cat Value]])</f>
        <v>#N/A</v>
      </c>
      <c r="J3290" s="2">
        <v>38.44</v>
      </c>
      <c r="K3290" s="2" t="b">
        <v>0</v>
      </c>
      <c r="L3290" s="2"/>
      <c r="M3290" s="2"/>
      <c r="N3290" s="4" t="s">
        <v>2259</v>
      </c>
      <c r="O3290" s="4" t="str">
        <f>LEFT(Table2[[#This Row],[Description]],75)</f>
        <v>CHEVRON CORP</v>
      </c>
      <c r="P3290" s="2" t="s">
        <v>2430</v>
      </c>
    </row>
    <row r="3291" spans="1:16" hidden="1">
      <c r="A3291" s="2">
        <v>202009</v>
      </c>
      <c r="B3291" s="3">
        <v>44085</v>
      </c>
      <c r="C3291" s="2" t="s">
        <v>2262</v>
      </c>
      <c r="D3291" s="2" t="s">
        <v>555</v>
      </c>
      <c r="E3291" s="2">
        <v>29.24</v>
      </c>
      <c r="F3291" s="2" t="e">
        <f>IF(Table2[[#This Row],[Manual Cat Value]]="",VLOOKUP(Table2[[#This Row],[Description]],'Actuals Lookup'!D:F,3,0),Table2[[#This Row],[Manual Cat Value]])</f>
        <v>#N/A</v>
      </c>
      <c r="J3291" s="2">
        <v>29.24</v>
      </c>
      <c r="K3291" s="2" t="b">
        <v>0</v>
      </c>
      <c r="L3291" s="2"/>
      <c r="M3291" s="2"/>
      <c r="N3291" s="4" t="s">
        <v>2259</v>
      </c>
      <c r="O3291" s="4" t="str">
        <f>LEFT(Table2[[#This Row],[Description]],75)</f>
        <v>City Market</v>
      </c>
      <c r="P3291" s="2" t="s">
        <v>2281</v>
      </c>
    </row>
    <row r="3292" spans="1:16" hidden="1">
      <c r="A3292" s="2">
        <v>202009</v>
      </c>
      <c r="B3292" s="3">
        <v>44085</v>
      </c>
      <c r="C3292" s="2" t="s">
        <v>2262</v>
      </c>
      <c r="D3292" s="2" t="s">
        <v>1550</v>
      </c>
      <c r="E3292" s="2">
        <v>16.940000000000001</v>
      </c>
      <c r="F3292" s="2" t="e">
        <f>IF(Table2[[#This Row],[Manual Cat Value]]="",VLOOKUP(Table2[[#This Row],[Description]],'Actuals Lookup'!D:F,3,0),Table2[[#This Row],[Manual Cat Value]])</f>
        <v>#N/A</v>
      </c>
      <c r="J3292" s="2">
        <v>16.940000000000001</v>
      </c>
      <c r="K3292" s="2" t="b">
        <v>0</v>
      </c>
      <c r="L3292" s="2"/>
      <c r="M3292" s="2"/>
      <c r="N3292" s="4" t="s">
        <v>2259</v>
      </c>
      <c r="O3292" s="4" t="str">
        <f>LEFT(Table2[[#This Row],[Description]],75)</f>
        <v>RAOCOPARKSWILDLIFE CO DENVER CO TX</v>
      </c>
      <c r="P3292" s="2" t="s">
        <v>2281</v>
      </c>
    </row>
    <row r="3293" spans="1:16" hidden="1">
      <c r="A3293" s="2">
        <v>202009</v>
      </c>
      <c r="B3293" s="3">
        <v>44085</v>
      </c>
      <c r="C3293" s="2" t="s">
        <v>2317</v>
      </c>
      <c r="D3293" s="2" t="s">
        <v>1553</v>
      </c>
      <c r="E3293" s="2">
        <v>69.37</v>
      </c>
      <c r="F3293" s="2" t="e">
        <f>IF(Table2[[#This Row],[Manual Cat Value]]="",VLOOKUP(Table2[[#This Row],[Description]],'Actuals Lookup'!D:F,3,0),Table2[[#This Row],[Manual Cat Value]])</f>
        <v>#N/A</v>
      </c>
      <c r="J3293" s="2">
        <v>69.37</v>
      </c>
      <c r="K3293" s="2" t="b">
        <v>0</v>
      </c>
      <c r="L3293" s="2"/>
      <c r="M3293" s="2"/>
      <c r="N3293" s="4" t="s">
        <v>2259</v>
      </c>
      <c r="O3293" s="4" t="str">
        <f>LEFT(Table2[[#This Row],[Description]],75)</f>
        <v>RAYTHEON TECHNOLOGIES CO</v>
      </c>
      <c r="P3293" s="2" t="s">
        <v>2385</v>
      </c>
    </row>
    <row r="3294" spans="1:16" hidden="1">
      <c r="A3294" s="2">
        <v>202009</v>
      </c>
      <c r="B3294" s="3">
        <v>44087</v>
      </c>
      <c r="C3294" s="2" t="s">
        <v>2265</v>
      </c>
      <c r="D3294" s="2" t="s">
        <v>628</v>
      </c>
      <c r="E3294" s="2">
        <v>-2335.5700000000002</v>
      </c>
      <c r="F3294" s="2" t="e">
        <f>IF(Table2[[#This Row],[Manual Cat Value]]="",VLOOKUP(Table2[[#This Row],[Description]],'Actuals Lookup'!D:F,3,0),Table2[[#This Row],[Manual Cat Value]])</f>
        <v>#N/A</v>
      </c>
      <c r="J3294" s="2">
        <v>2335.5700000000002</v>
      </c>
      <c r="K3294" s="2" t="b">
        <v>0</v>
      </c>
      <c r="L3294" s="2"/>
      <c r="M3294" s="2"/>
      <c r="N3294" s="4" t="s">
        <v>2273</v>
      </c>
      <c r="O3294" s="4" t="str">
        <f>LEFT(Table2[[#This Row],[Description]],75)</f>
        <v>CONNECTED ANALYT TYPE DIRECT DEP ID CO CONNECTED ANALYT ACH ECC PPD ACH Tra</v>
      </c>
      <c r="P3294" s="2" t="s">
        <v>2281</v>
      </c>
    </row>
    <row r="3295" spans="1:16" hidden="1">
      <c r="A3295" s="2">
        <v>202009</v>
      </c>
      <c r="B3295" s="3">
        <v>44087</v>
      </c>
      <c r="C3295" s="2" t="s">
        <v>2262</v>
      </c>
      <c r="D3295" s="2" t="s">
        <v>815</v>
      </c>
      <c r="E3295" s="2">
        <v>13</v>
      </c>
      <c r="F3295" s="2" t="e">
        <f>IF(Table2[[#This Row],[Manual Cat Value]]="",VLOOKUP(Table2[[#This Row],[Description]],'Actuals Lookup'!D:F,3,0),Table2[[#This Row],[Manual Cat Value]])</f>
        <v>#N/A</v>
      </c>
      <c r="J3295" s="2">
        <v>13</v>
      </c>
      <c r="K3295" s="2" t="b">
        <v>0</v>
      </c>
      <c r="L3295" s="2"/>
      <c r="M3295" s="2"/>
      <c r="N3295" s="4" t="s">
        <v>2259</v>
      </c>
      <c r="O3295" s="4" t="str">
        <f>LEFT(Table2[[#This Row],[Description]],75)</f>
        <v>Envy Brewing</v>
      </c>
      <c r="P3295" s="2" t="s">
        <v>2281</v>
      </c>
    </row>
    <row r="3296" spans="1:16" hidden="1">
      <c r="A3296" s="2">
        <v>202009</v>
      </c>
      <c r="B3296" s="3">
        <v>44087</v>
      </c>
      <c r="C3296" s="2" t="s">
        <v>2262</v>
      </c>
      <c r="D3296" s="2" t="s">
        <v>1017</v>
      </c>
      <c r="E3296" s="2">
        <v>14.08</v>
      </c>
      <c r="F3296" s="2" t="e">
        <f>IF(Table2[[#This Row],[Manual Cat Value]]="",VLOOKUP(Table2[[#This Row],[Description]],'Actuals Lookup'!D:F,3,0),Table2[[#This Row],[Manual Cat Value]])</f>
        <v>#N/A</v>
      </c>
      <c r="J3296" s="2">
        <v>14.08</v>
      </c>
      <c r="K3296" s="2" t="b">
        <v>0</v>
      </c>
      <c r="L3296" s="2"/>
      <c r="M3296" s="2"/>
      <c r="N3296" s="4" t="s">
        <v>2259</v>
      </c>
      <c r="O3296" s="4" t="str">
        <f>LEFT(Table2[[#This Row],[Description]],75)</f>
        <v>Joe's Liquors</v>
      </c>
      <c r="P3296" s="2" t="s">
        <v>2281</v>
      </c>
    </row>
    <row r="3297" spans="1:16" hidden="1">
      <c r="A3297" s="2">
        <v>202009</v>
      </c>
      <c r="B3297" s="3">
        <v>44087</v>
      </c>
      <c r="C3297" s="2" t="s">
        <v>2262</v>
      </c>
      <c r="D3297" s="2" t="s">
        <v>1081</v>
      </c>
      <c r="E3297" s="2">
        <v>32.42</v>
      </c>
      <c r="F3297" s="2" t="e">
        <f>IF(Table2[[#This Row],[Manual Cat Value]]="",VLOOKUP(Table2[[#This Row],[Description]],'Actuals Lookup'!D:F,3,0),Table2[[#This Row],[Manual Cat Value]])</f>
        <v>#N/A</v>
      </c>
      <c r="J3297" s="2">
        <v>32.42</v>
      </c>
      <c r="K3297" s="2" t="b">
        <v>0</v>
      </c>
      <c r="L3297" s="2"/>
      <c r="M3297" s="2"/>
      <c r="N3297" s="4" t="s">
        <v>2259</v>
      </c>
      <c r="O3297" s="4" t="str">
        <f>LEFT(Table2[[#This Row],[Description]],75)</f>
        <v>Kum &amp; Go</v>
      </c>
      <c r="P3297" s="2" t="s">
        <v>2499</v>
      </c>
    </row>
    <row r="3298" spans="1:16" hidden="1">
      <c r="A3298" s="2">
        <v>202009</v>
      </c>
      <c r="B3298" s="3">
        <v>44087</v>
      </c>
      <c r="C3298" s="2" t="s">
        <v>2262</v>
      </c>
      <c r="D3298" s="2" t="s">
        <v>1182</v>
      </c>
      <c r="E3298" s="2">
        <v>1.29</v>
      </c>
      <c r="F3298" s="2" t="e">
        <f>IF(Table2[[#This Row],[Manual Cat Value]]="",VLOOKUP(Table2[[#This Row],[Description]],'Actuals Lookup'!D:F,3,0),Table2[[#This Row],[Manual Cat Value]])</f>
        <v>#N/A</v>
      </c>
      <c r="J3298" s="2">
        <v>1.29</v>
      </c>
      <c r="K3298" s="2" t="b">
        <v>0</v>
      </c>
      <c r="L3298" s="2"/>
      <c r="M3298" s="2"/>
      <c r="N3298" s="4" t="s">
        <v>2259</v>
      </c>
      <c r="O3298" s="4" t="str">
        <f>LEFT(Table2[[#This Row],[Description]],75)</f>
        <v>MAVERIK 502 ALLIANCE NE</v>
      </c>
      <c r="P3298" s="2" t="s">
        <v>2500</v>
      </c>
    </row>
    <row r="3299" spans="1:16" hidden="1">
      <c r="A3299" s="2">
        <v>202009</v>
      </c>
      <c r="B3299" s="3">
        <v>44087</v>
      </c>
      <c r="C3299" s="2" t="s">
        <v>2262</v>
      </c>
      <c r="D3299" s="2" t="s">
        <v>1182</v>
      </c>
      <c r="E3299" s="2">
        <v>22.04</v>
      </c>
      <c r="F3299" s="2" t="e">
        <f>IF(Table2[[#This Row],[Manual Cat Value]]="",VLOOKUP(Table2[[#This Row],[Description]],'Actuals Lookup'!D:F,3,0),Table2[[#This Row],[Manual Cat Value]])</f>
        <v>#N/A</v>
      </c>
      <c r="J3299" s="2">
        <v>22.04</v>
      </c>
      <c r="K3299" s="2" t="b">
        <v>0</v>
      </c>
      <c r="L3299" s="2"/>
      <c r="M3299" s="2"/>
      <c r="N3299" s="4" t="s">
        <v>2259</v>
      </c>
      <c r="O3299" s="4" t="str">
        <f>LEFT(Table2[[#This Row],[Description]],75)</f>
        <v>MAVERIK 502 ALLIANCE NE</v>
      </c>
      <c r="P3299" s="2" t="s">
        <v>2500</v>
      </c>
    </row>
    <row r="3300" spans="1:16" hidden="1">
      <c r="A3300" s="2">
        <v>202009</v>
      </c>
      <c r="B3300" s="3">
        <v>44087</v>
      </c>
      <c r="C3300" s="2" t="s">
        <v>2262</v>
      </c>
      <c r="D3300" s="2" t="s">
        <v>1677</v>
      </c>
      <c r="E3300" s="2">
        <v>165.21</v>
      </c>
      <c r="F3300" s="2" t="e">
        <f>IF(Table2[[#This Row],[Manual Cat Value]]="",VLOOKUP(Table2[[#This Row],[Description]],'Actuals Lookup'!D:F,3,0),Table2[[#This Row],[Manual Cat Value]])</f>
        <v>#N/A</v>
      </c>
      <c r="J3300" s="2">
        <v>165.21</v>
      </c>
      <c r="K3300" s="2" t="b">
        <v>0</v>
      </c>
      <c r="L3300" s="2"/>
      <c r="M3300" s="2"/>
      <c r="N3300" s="4" t="s">
        <v>2259</v>
      </c>
      <c r="O3300" s="4" t="str">
        <f>LEFT(Table2[[#This Row],[Description]],75)</f>
        <v>SONNENALP BULLY RANCH VAIL CO</v>
      </c>
      <c r="P3300" s="2" t="s">
        <v>2281</v>
      </c>
    </row>
    <row r="3301" spans="1:16" hidden="1">
      <c r="A3301" s="2">
        <v>202009</v>
      </c>
      <c r="B3301" s="3">
        <v>44087</v>
      </c>
      <c r="C3301" s="2" t="s">
        <v>2262</v>
      </c>
      <c r="D3301" s="2" t="s">
        <v>2005</v>
      </c>
      <c r="E3301" s="2">
        <v>29.02</v>
      </c>
      <c r="F3301" s="2" t="e">
        <f>IF(Table2[[#This Row],[Manual Cat Value]]="",VLOOKUP(Table2[[#This Row],[Description]],'Actuals Lookup'!D:F,3,0),Table2[[#This Row],[Manual Cat Value]])</f>
        <v>#N/A</v>
      </c>
      <c r="J3301" s="2">
        <v>29.02</v>
      </c>
      <c r="K3301" s="2" t="b">
        <v>0</v>
      </c>
      <c r="L3301" s="2"/>
      <c r="M3301" s="2"/>
      <c r="N3301" s="4" t="s">
        <v>2259</v>
      </c>
      <c r="O3301" s="4" t="str">
        <f>LEFT(Table2[[#This Row],[Description]],75)</f>
        <v>TST BLUE MOOSE BEAVER BEAVER CREEK CO</v>
      </c>
      <c r="P3301" s="2" t="s">
        <v>2501</v>
      </c>
    </row>
    <row r="3302" spans="1:16" hidden="1">
      <c r="A3302" s="2">
        <v>202009</v>
      </c>
      <c r="B3302" s="3">
        <v>44088</v>
      </c>
      <c r="C3302" s="2" t="s">
        <v>2447</v>
      </c>
      <c r="D3302" s="2" t="s">
        <v>458</v>
      </c>
      <c r="E3302" s="2">
        <v>-4.83</v>
      </c>
      <c r="F3302" s="2" t="e">
        <f>IF(Table2[[#This Row],[Manual Cat Value]]="",VLOOKUP(Table2[[#This Row],[Description]],'Actuals Lookup'!D:F,3,0),Table2[[#This Row],[Manual Cat Value]])</f>
        <v>#N/A</v>
      </c>
      <c r="J3302" s="2">
        <v>4.83</v>
      </c>
      <c r="K3302" s="2" t="b">
        <v>0</v>
      </c>
      <c r="L3302" s="2"/>
      <c r="M3302" s="2"/>
      <c r="N3302" s="4" t="s">
        <v>2273</v>
      </c>
      <c r="O3302" s="4" t="str">
        <f>LEFT(Table2[[#This Row],[Description]],75)</f>
        <v>CASHBACK BONUS REDEMPTION payment/STMT CRDT</v>
      </c>
      <c r="P3302" s="2" t="s">
        <v>2304</v>
      </c>
    </row>
    <row r="3303" spans="1:16" hidden="1">
      <c r="A3303" s="2">
        <v>202009</v>
      </c>
      <c r="B3303" s="3">
        <v>44088</v>
      </c>
      <c r="C3303" s="2" t="s">
        <v>2258</v>
      </c>
      <c r="D3303" s="2" t="s">
        <v>458</v>
      </c>
      <c r="E3303" s="2">
        <v>-4.83</v>
      </c>
      <c r="F3303" s="2" t="e">
        <f>IF(Table2[[#This Row],[Manual Cat Value]]="",VLOOKUP(Table2[[#This Row],[Description]],'Actuals Lookup'!D:F,3,0),Table2[[#This Row],[Manual Cat Value]])</f>
        <v>#N/A</v>
      </c>
      <c r="J3303" s="2">
        <v>4.83</v>
      </c>
      <c r="K3303" s="2" t="b">
        <v>0</v>
      </c>
      <c r="L3303" s="2"/>
      <c r="M3303" s="2"/>
      <c r="N3303" s="4" t="s">
        <v>2273</v>
      </c>
      <c r="O3303" s="4" t="str">
        <f>LEFT(Table2[[#This Row],[Description]],75)</f>
        <v>CASHBACK BONUS REDEMPTION payment/STMT CRDT</v>
      </c>
      <c r="P3303" s="2" t="s">
        <v>2304</v>
      </c>
    </row>
    <row r="3304" spans="1:16" hidden="1">
      <c r="A3304" s="2">
        <v>202009</v>
      </c>
      <c r="B3304" s="3">
        <v>44088</v>
      </c>
      <c r="C3304" s="2" t="s">
        <v>2447</v>
      </c>
      <c r="D3304" s="2" t="s">
        <v>997</v>
      </c>
      <c r="E3304" s="2">
        <v>-381.45</v>
      </c>
      <c r="F3304" s="2" t="str">
        <f>IF(Table2[[#This Row],[Manual Cat Value]]="",VLOOKUP(Table2[[#This Row],[Description]],'Actuals Lookup'!D:F,3,0),Table2[[#This Row],[Manual Cat Value]])</f>
        <v>Delete</v>
      </c>
      <c r="J3304" s="2">
        <v>381.45</v>
      </c>
      <c r="K3304" s="2" t="b">
        <v>0</v>
      </c>
      <c r="L3304" s="2"/>
      <c r="M3304" s="2"/>
      <c r="N3304" s="4" t="s">
        <v>2273</v>
      </c>
      <c r="O3304" s="4" t="str">
        <f>LEFT(Table2[[#This Row],[Description]],75)</f>
        <v>INTERNET PAYMENT - THANK YOU</v>
      </c>
      <c r="P3304" s="2" t="s">
        <v>2291</v>
      </c>
    </row>
    <row r="3305" spans="1:16" hidden="1">
      <c r="A3305" s="2">
        <v>202009</v>
      </c>
      <c r="B3305" s="3">
        <v>44088</v>
      </c>
      <c r="C3305" s="2" t="s">
        <v>2258</v>
      </c>
      <c r="D3305" s="2" t="s">
        <v>997</v>
      </c>
      <c r="E3305" s="2">
        <v>-381.45</v>
      </c>
      <c r="F3305" s="2" t="str">
        <f>IF(Table2[[#This Row],[Manual Cat Value]]="",VLOOKUP(Table2[[#This Row],[Description]],'Actuals Lookup'!D:F,3,0),Table2[[#This Row],[Manual Cat Value]])</f>
        <v>Delete</v>
      </c>
      <c r="J3305" s="2">
        <v>381.45</v>
      </c>
      <c r="K3305" s="2" t="b">
        <v>0</v>
      </c>
      <c r="L3305" s="2"/>
      <c r="M3305" s="2"/>
      <c r="N3305" s="4" t="s">
        <v>2273</v>
      </c>
      <c r="O3305" s="4" t="str">
        <f>LEFT(Table2[[#This Row],[Description]],75)</f>
        <v>INTERNET PAYMENT - THANK YOU</v>
      </c>
      <c r="P3305" s="2" t="s">
        <v>2291</v>
      </c>
    </row>
    <row r="3306" spans="1:16" hidden="1">
      <c r="A3306" s="2">
        <v>202009</v>
      </c>
      <c r="B3306" s="3">
        <v>44088</v>
      </c>
      <c r="C3306" s="2" t="s">
        <v>2265</v>
      </c>
      <c r="D3306" s="2" t="s">
        <v>131</v>
      </c>
      <c r="E3306" s="2">
        <v>80.03</v>
      </c>
      <c r="F3306" s="2" t="str">
        <f>IF(Table2[[#This Row],[Manual Cat Value]]="",VLOOKUP(Table2[[#This Row],[Description]],'Actuals Lookup'!D:F,3,0),Table2[[#This Row],[Manual Cat Value]])</f>
        <v>Insurance</v>
      </c>
      <c r="J3306" s="2">
        <v>80.03</v>
      </c>
      <c r="K3306" s="2" t="b">
        <v>0</v>
      </c>
      <c r="L3306" s="2"/>
      <c r="M3306" s="2"/>
      <c r="N3306" s="4" t="s">
        <v>2259</v>
      </c>
      <c r="O3306" s="4" t="str">
        <f>LEFT(Table2[[#This Row],[Description]],75)</f>
        <v>American Family Insurance</v>
      </c>
      <c r="P3306" s="2" t="s">
        <v>2286</v>
      </c>
    </row>
    <row r="3307" spans="1:16" hidden="1">
      <c r="A3307" s="2">
        <v>202009</v>
      </c>
      <c r="B3307" s="3">
        <v>44088</v>
      </c>
      <c r="C3307" s="2" t="s">
        <v>2262</v>
      </c>
      <c r="D3307" s="2" t="s">
        <v>493</v>
      </c>
      <c r="E3307" s="2">
        <v>22.93</v>
      </c>
      <c r="F3307" s="2" t="e">
        <f>IF(Table2[[#This Row],[Manual Cat Value]]="",VLOOKUP(Table2[[#This Row],[Description]],'Actuals Lookup'!D:F,3,0),Table2[[#This Row],[Manual Cat Value]])</f>
        <v>#N/A</v>
      </c>
      <c r="J3307" s="2">
        <v>22.93</v>
      </c>
      <c r="K3307" s="2" t="b">
        <v>0</v>
      </c>
      <c r="L3307" s="2"/>
      <c r="M3307" s="2"/>
      <c r="N3307" s="4" t="s">
        <v>2259</v>
      </c>
      <c r="O3307" s="4" t="str">
        <f>LEFT(Table2[[#This Row],[Description]],75)</f>
        <v>Cenex</v>
      </c>
      <c r="P3307" s="2" t="s">
        <v>2502</v>
      </c>
    </row>
    <row r="3308" spans="1:16" hidden="1">
      <c r="A3308" s="2">
        <v>202009</v>
      </c>
      <c r="B3308" s="3">
        <v>44088</v>
      </c>
      <c r="C3308" s="2" t="s">
        <v>2262</v>
      </c>
      <c r="D3308" s="2" t="s">
        <v>944</v>
      </c>
      <c r="E3308" s="2">
        <v>4.13</v>
      </c>
      <c r="F3308" s="2" t="e">
        <f>IF(Table2[[#This Row],[Manual Cat Value]]="",VLOOKUP(Table2[[#This Row],[Description]],'Actuals Lookup'!D:F,3,0),Table2[[#This Row],[Manual Cat Value]])</f>
        <v>#N/A</v>
      </c>
      <c r="J3308" s="2">
        <v>4.13</v>
      </c>
      <c r="K3308" s="2" t="b">
        <v>0</v>
      </c>
      <c r="L3308" s="2"/>
      <c r="M3308" s="2"/>
      <c r="N3308" s="4" t="s">
        <v>2259</v>
      </c>
      <c r="O3308" s="4" t="str">
        <f>LEFT(Table2[[#This Row],[Description]],75)</f>
        <v>Holiday Stationstore</v>
      </c>
      <c r="P3308" s="2" t="s">
        <v>2374</v>
      </c>
    </row>
    <row r="3309" spans="1:16" hidden="1">
      <c r="A3309" s="2">
        <v>202009</v>
      </c>
      <c r="B3309" s="3">
        <v>44088</v>
      </c>
      <c r="C3309" s="2" t="s">
        <v>2262</v>
      </c>
      <c r="D3309" s="2" t="s">
        <v>1081</v>
      </c>
      <c r="E3309" s="2">
        <v>5.18</v>
      </c>
      <c r="F3309" s="2" t="e">
        <f>IF(Table2[[#This Row],[Manual Cat Value]]="",VLOOKUP(Table2[[#This Row],[Description]],'Actuals Lookup'!D:F,3,0),Table2[[#This Row],[Manual Cat Value]])</f>
        <v>#N/A</v>
      </c>
      <c r="J3309" s="2">
        <v>5.18</v>
      </c>
      <c r="K3309" s="2" t="b">
        <v>0</v>
      </c>
      <c r="L3309" s="2"/>
      <c r="M3309" s="2"/>
      <c r="N3309" s="4" t="s">
        <v>2259</v>
      </c>
      <c r="O3309" s="4" t="str">
        <f>LEFT(Table2[[#This Row],[Description]],75)</f>
        <v>Kum &amp; Go</v>
      </c>
      <c r="P3309" s="2" t="s">
        <v>2499</v>
      </c>
    </row>
    <row r="3310" spans="1:16" hidden="1">
      <c r="A3310" s="2">
        <v>202009</v>
      </c>
      <c r="B3310" s="3">
        <v>44088</v>
      </c>
      <c r="C3310" s="2" t="s">
        <v>2262</v>
      </c>
      <c r="D3310" s="2" t="s">
        <v>1081</v>
      </c>
      <c r="E3310" s="2">
        <v>20.55</v>
      </c>
      <c r="F3310" s="2" t="e">
        <f>IF(Table2[[#This Row],[Manual Cat Value]]="",VLOOKUP(Table2[[#This Row],[Description]],'Actuals Lookup'!D:F,3,0),Table2[[#This Row],[Manual Cat Value]])</f>
        <v>#N/A</v>
      </c>
      <c r="J3310" s="2">
        <v>20.55</v>
      </c>
      <c r="K3310" s="2" t="b">
        <v>0</v>
      </c>
      <c r="L3310" s="2"/>
      <c r="M3310" s="2"/>
      <c r="N3310" s="4" t="s">
        <v>2259</v>
      </c>
      <c r="O3310" s="4" t="str">
        <f>LEFT(Table2[[#This Row],[Description]],75)</f>
        <v>Kum &amp; Go</v>
      </c>
      <c r="P3310" s="2" t="s">
        <v>2499</v>
      </c>
    </row>
    <row r="3311" spans="1:16" hidden="1">
      <c r="A3311" s="2">
        <v>202009</v>
      </c>
      <c r="B3311" s="3">
        <v>44088</v>
      </c>
      <c r="C3311" s="2" t="s">
        <v>2262</v>
      </c>
      <c r="D3311" s="2" t="s">
        <v>1188</v>
      </c>
      <c r="E3311" s="2">
        <v>15.32</v>
      </c>
      <c r="F3311" s="2" t="str">
        <f>IF(Table2[[#This Row],[Manual Cat Value]]="",VLOOKUP(Table2[[#This Row],[Description]],'Actuals Lookup'!D:F,3,0),Table2[[#This Row],[Manual Cat Value]])</f>
        <v>Restaurants</v>
      </c>
      <c r="J3311" s="2">
        <v>15.32</v>
      </c>
      <c r="K3311" s="2" t="b">
        <v>0</v>
      </c>
      <c r="L3311" s="2"/>
      <c r="M3311" s="2"/>
      <c r="N3311" s="4" t="s">
        <v>2259</v>
      </c>
      <c r="O3311" s="4" t="str">
        <f>LEFT(Table2[[#This Row],[Description]],75)</f>
        <v>McDonald's</v>
      </c>
      <c r="P3311" s="2" t="s">
        <v>2340</v>
      </c>
    </row>
    <row r="3312" spans="1:16" hidden="1">
      <c r="A3312" s="2">
        <v>202009</v>
      </c>
      <c r="B3312" s="3">
        <v>44088</v>
      </c>
      <c r="C3312" s="2" t="s">
        <v>2265</v>
      </c>
      <c r="D3312" s="2" t="s">
        <v>1222</v>
      </c>
      <c r="E3312" s="2">
        <v>391.2</v>
      </c>
      <c r="F3312" s="2" t="e">
        <f>IF(Table2[[#This Row],[Manual Cat Value]]="",VLOOKUP(Table2[[#This Row],[Description]],'Actuals Lookup'!D:F,3,0),Table2[[#This Row],[Manual Cat Value]])</f>
        <v>#N/A</v>
      </c>
      <c r="J3312" s="2">
        <v>391.2</v>
      </c>
      <c r="K3312" s="2" t="b">
        <v>0</v>
      </c>
      <c r="L3312" s="2"/>
      <c r="M3312" s="2"/>
      <c r="N3312" s="4" t="s">
        <v>2259</v>
      </c>
      <c r="O3312" s="4" t="str">
        <f>LEFT(Table2[[#This Row],[Description]],75)</f>
        <v>MHCHILDCARELLC TYPE DUES ID CO MHCHILDCARELLC ACH ECC PPD ACH Trace 45745</v>
      </c>
      <c r="P3312" s="2" t="s">
        <v>2497</v>
      </c>
    </row>
    <row r="3313" spans="1:16" hidden="1">
      <c r="A3313" s="2">
        <v>202009</v>
      </c>
      <c r="B3313" s="3">
        <v>44088</v>
      </c>
      <c r="C3313" s="2" t="s">
        <v>2265</v>
      </c>
      <c r="D3313" s="2" t="s">
        <v>1471</v>
      </c>
      <c r="E3313" s="2">
        <v>11.99</v>
      </c>
      <c r="F3313" s="2" t="str">
        <f>IF(Table2[[#This Row],[Manual Cat Value]]="",VLOOKUP(Table2[[#This Row],[Description]],'Actuals Lookup'!D:F,3,0),Table2[[#This Row],[Manual Cat Value]])</f>
        <v>Shopping</v>
      </c>
      <c r="J3313" s="2">
        <v>11.99</v>
      </c>
      <c r="K3313" s="2" t="b">
        <v>0</v>
      </c>
      <c r="L3313" s="2"/>
      <c r="M3313" s="2"/>
      <c r="N3313" s="4" t="s">
        <v>2259</v>
      </c>
      <c r="O3313" s="4" t="str">
        <f>LEFT(Table2[[#This Row],[Description]],75)</f>
        <v>PayPal</v>
      </c>
      <c r="P3313" s="2" t="s">
        <v>2322</v>
      </c>
    </row>
    <row r="3314" spans="1:16" hidden="1">
      <c r="A3314" s="2">
        <v>202009</v>
      </c>
      <c r="B3314" s="3">
        <v>44089</v>
      </c>
      <c r="C3314" s="2" t="s">
        <v>2265</v>
      </c>
      <c r="D3314" s="2" t="s">
        <v>764</v>
      </c>
      <c r="E3314" s="2">
        <v>381.45</v>
      </c>
      <c r="F3314" s="2" t="e">
        <f>IF(Table2[[#This Row],[Manual Cat Value]]="",VLOOKUP(Table2[[#This Row],[Description]],'Actuals Lookup'!D:F,3,0),Table2[[#This Row],[Manual Cat Value]])</f>
        <v>#N/A</v>
      </c>
      <c r="J3314" s="2">
        <v>381.45</v>
      </c>
      <c r="K3314" s="2" t="b">
        <v>0</v>
      </c>
      <c r="L3314" s="2"/>
      <c r="M3314" s="2"/>
      <c r="N3314" s="4" t="s">
        <v>2259</v>
      </c>
      <c r="O3314" s="4" t="str">
        <f>LEFT(Table2[[#This Row],[Description]],75)</f>
        <v>DISCOVER TYPE EPAYMENT ID CO DISCOVER ACH ECC WEB ACH Trace 56486</v>
      </c>
      <c r="P3314" s="2" t="s">
        <v>2293</v>
      </c>
    </row>
    <row r="3315" spans="1:16" hidden="1">
      <c r="A3315" s="2">
        <v>202009</v>
      </c>
      <c r="B3315" s="3">
        <v>44089</v>
      </c>
      <c r="C3315" s="2" t="s">
        <v>2317</v>
      </c>
      <c r="D3315" s="2" t="s">
        <v>605</v>
      </c>
      <c r="E3315" s="2">
        <v>-250</v>
      </c>
      <c r="F3315" s="2" t="e">
        <f>IF(Table2[[#This Row],[Manual Cat Value]]="",VLOOKUP(Table2[[#This Row],[Description]],'Actuals Lookup'!D:F,3,0),Table2[[#This Row],[Manual Cat Value]])</f>
        <v>#N/A</v>
      </c>
      <c r="J3315" s="2">
        <v>250</v>
      </c>
      <c r="K3315" s="2" t="b">
        <v>0</v>
      </c>
      <c r="L3315" s="2"/>
      <c r="M3315" s="2"/>
      <c r="N3315" s="4" t="s">
        <v>2273</v>
      </c>
      <c r="O3315" s="4" t="str">
        <f>LEFT(Table2[[#This Row],[Description]],75)</f>
        <v>CONNECTED ANALYT</v>
      </c>
      <c r="P3315" s="2" t="s">
        <v>2493</v>
      </c>
    </row>
    <row r="3316" spans="1:16" hidden="1">
      <c r="A3316" s="2">
        <v>202009</v>
      </c>
      <c r="B3316" s="3">
        <v>44089</v>
      </c>
      <c r="C3316" s="2" t="s">
        <v>2262</v>
      </c>
      <c r="D3316" s="2" t="s">
        <v>648</v>
      </c>
      <c r="E3316" s="2">
        <v>258.47000000000003</v>
      </c>
      <c r="F3316" s="2" t="str">
        <f>IF(Table2[[#This Row],[Manual Cat Value]]="",VLOOKUP(Table2[[#This Row],[Description]],'Actuals Lookup'!D:F,3,0),Table2[[#This Row],[Manual Cat Value]])</f>
        <v>Groceries</v>
      </c>
      <c r="J3316" s="2">
        <v>258.47000000000003</v>
      </c>
      <c r="K3316" s="2" t="b">
        <v>0</v>
      </c>
      <c r="L3316" s="2"/>
      <c r="M3316" s="2"/>
      <c r="N3316" s="4" t="s">
        <v>2259</v>
      </c>
      <c r="O3316" s="4" t="str">
        <f>LEFT(Table2[[#This Row],[Description]],75)</f>
        <v>Costco</v>
      </c>
      <c r="P3316" s="2" t="s">
        <v>2409</v>
      </c>
    </row>
    <row r="3317" spans="1:16" hidden="1">
      <c r="A3317" s="2">
        <v>202009</v>
      </c>
      <c r="B3317" s="3">
        <v>44089</v>
      </c>
      <c r="C3317" s="2" t="s">
        <v>2435</v>
      </c>
      <c r="D3317" s="2" t="s">
        <v>1836</v>
      </c>
      <c r="E3317" s="2">
        <v>-250</v>
      </c>
      <c r="F3317" s="2" t="e">
        <f>IF(Table2[[#This Row],[Manual Cat Value]]="",VLOOKUP(Table2[[#This Row],[Description]],'Actuals Lookup'!D:F,3,0),Table2[[#This Row],[Manual Cat Value]])</f>
        <v>#N/A</v>
      </c>
      <c r="J3317" s="2">
        <v>250</v>
      </c>
      <c r="K3317" s="2" t="b">
        <v>0</v>
      </c>
      <c r="L3317" s="2"/>
      <c r="M3317" s="2"/>
      <c r="N3317" s="4" t="s">
        <v>2273</v>
      </c>
      <c r="O3317" s="4" t="str">
        <f>LEFT(Table2[[#This Row],[Description]],75)</f>
        <v>Tfr JPMORGAN CHASE BAN, CONNECTED ANALYT</v>
      </c>
      <c r="P3317" s="2" t="s">
        <v>2493</v>
      </c>
    </row>
    <row r="3318" spans="1:16" hidden="1">
      <c r="A3318" s="2">
        <v>202009</v>
      </c>
      <c r="B3318" s="3">
        <v>44089</v>
      </c>
      <c r="C3318" s="2" t="s">
        <v>2262</v>
      </c>
      <c r="D3318" s="2" t="s">
        <v>2027</v>
      </c>
      <c r="E3318" s="2">
        <v>57.03</v>
      </c>
      <c r="F3318" s="2" t="e">
        <f>IF(Table2[[#This Row],[Manual Cat Value]]="",VLOOKUP(Table2[[#This Row],[Description]],'Actuals Lookup'!D:F,3,0),Table2[[#This Row],[Manual Cat Value]])</f>
        <v>#N/A</v>
      </c>
      <c r="J3318" s="2">
        <v>57.03</v>
      </c>
      <c r="K3318" s="2" t="b">
        <v>0</v>
      </c>
      <c r="L3318" s="2"/>
      <c r="M3318" s="2"/>
      <c r="N3318" s="4" t="s">
        <v>2259</v>
      </c>
      <c r="O3318" s="4" t="str">
        <f>LEFT(Table2[[#This Row],[Description]],75)</f>
        <v>TST OLIVE S FRESH EXCELS6122324677 MN</v>
      </c>
      <c r="P3318" s="2" t="s">
        <v>2483</v>
      </c>
    </row>
    <row r="3319" spans="1:16" hidden="1">
      <c r="A3319" s="2">
        <v>202009</v>
      </c>
      <c r="B3319" s="3">
        <v>44090</v>
      </c>
      <c r="C3319" s="2" t="s">
        <v>2434</v>
      </c>
      <c r="D3319" s="2" t="s">
        <v>235</v>
      </c>
      <c r="E3319" s="2">
        <v>-7.0000000000000007E-2</v>
      </c>
      <c r="F3319" s="2" t="e">
        <f>IF(Table2[[#This Row],[Manual Cat Value]]="",VLOOKUP(Table2[[#This Row],[Description]],'Actuals Lookup'!D:F,3,0),Table2[[#This Row],[Manual Cat Value]])</f>
        <v>#N/A</v>
      </c>
      <c r="J3319" s="2">
        <v>7.0000000000000007E-2</v>
      </c>
      <c r="K3319" s="2" t="b">
        <v>0</v>
      </c>
      <c r="L3319" s="2"/>
      <c r="M3319" s="2"/>
      <c r="N3319" s="4" t="s">
        <v>2273</v>
      </c>
      <c r="O3319" s="4" t="str">
        <f>LEFT(Table2[[#This Row],[Description]],75)</f>
        <v>BANK INT 081620-091520 SCHWAB PREMIER BANK</v>
      </c>
      <c r="P3319" s="2"/>
    </row>
    <row r="3320" spans="1:16" hidden="1">
      <c r="A3320" s="2">
        <v>202009</v>
      </c>
      <c r="B3320" s="3">
        <v>44090</v>
      </c>
      <c r="C3320" s="2" t="s">
        <v>2435</v>
      </c>
      <c r="D3320" s="2" t="s">
        <v>235</v>
      </c>
      <c r="E3320" s="2">
        <v>-0.04</v>
      </c>
      <c r="F3320" s="2" t="e">
        <f>IF(Table2[[#This Row],[Manual Cat Value]]="",VLOOKUP(Table2[[#This Row],[Description]],'Actuals Lookup'!D:F,3,0),Table2[[#This Row],[Manual Cat Value]])</f>
        <v>#N/A</v>
      </c>
      <c r="J3320" s="2">
        <v>0.04</v>
      </c>
      <c r="K3320" s="2" t="b">
        <v>0</v>
      </c>
      <c r="L3320" s="2"/>
      <c r="M3320" s="2"/>
      <c r="N3320" s="4" t="s">
        <v>2273</v>
      </c>
      <c r="O3320" s="4" t="str">
        <f>LEFT(Table2[[#This Row],[Description]],75)</f>
        <v>BANK INT 081620-091520 SCHWAB PREMIER BANK</v>
      </c>
      <c r="P3320" s="2"/>
    </row>
    <row r="3321" spans="1:16" hidden="1">
      <c r="A3321" s="2">
        <v>202009</v>
      </c>
      <c r="B3321" s="3">
        <v>44090</v>
      </c>
      <c r="C3321" s="2" t="s">
        <v>2265</v>
      </c>
      <c r="D3321" s="2" t="s">
        <v>364</v>
      </c>
      <c r="E3321" s="2">
        <v>-1993.08</v>
      </c>
      <c r="F3321" s="2" t="e">
        <f>IF(Table2[[#This Row],[Manual Cat Value]]="",VLOOKUP(Table2[[#This Row],[Description]],'Actuals Lookup'!D:F,3,0),Table2[[#This Row],[Manual Cat Value]])</f>
        <v>#N/A</v>
      </c>
      <c r="J3321" s="2">
        <v>1993.08</v>
      </c>
      <c r="K3321" s="2" t="b">
        <v>0</v>
      </c>
      <c r="L3321" s="2"/>
      <c r="M3321" s="2"/>
      <c r="N3321" s="4" t="s">
        <v>2273</v>
      </c>
      <c r="O3321" s="4" t="str">
        <f>LEFT(Table2[[#This Row],[Description]],75)</f>
        <v>CARGILL COCOA TYPE DIR DEP ID CO CARGILL COCOA ACH ECC PPD ACH Trace 22473</v>
      </c>
      <c r="P3321" s="2" t="s">
        <v>2284</v>
      </c>
    </row>
    <row r="3322" spans="1:16" hidden="1">
      <c r="A3322" s="2">
        <v>202009</v>
      </c>
      <c r="B3322" s="3">
        <v>44090</v>
      </c>
      <c r="C3322" s="2" t="s">
        <v>2262</v>
      </c>
      <c r="D3322" s="2" t="s">
        <v>919</v>
      </c>
      <c r="E3322" s="2">
        <v>18</v>
      </c>
      <c r="F3322" s="2" t="e">
        <f>IF(Table2[[#This Row],[Manual Cat Value]]="",VLOOKUP(Table2[[#This Row],[Description]],'Actuals Lookup'!D:F,3,0),Table2[[#This Row],[Manual Cat Value]])</f>
        <v>#N/A</v>
      </c>
      <c r="J3322" s="2">
        <v>18</v>
      </c>
      <c r="K3322" s="2" t="b">
        <v>0</v>
      </c>
      <c r="L3322" s="2"/>
      <c r="M3322" s="2"/>
      <c r="N3322" s="4" t="s">
        <v>2259</v>
      </c>
      <c r="O3322" s="4" t="str">
        <f>LEFT(Table2[[#This Row],[Description]],75)</f>
        <v>Harvard Business</v>
      </c>
      <c r="P3322" s="2" t="s">
        <v>2412</v>
      </c>
    </row>
    <row r="3323" spans="1:16" hidden="1">
      <c r="A3323" s="2">
        <v>202009</v>
      </c>
      <c r="B3323" s="3">
        <v>44091</v>
      </c>
      <c r="C3323" s="2" t="s">
        <v>2262</v>
      </c>
      <c r="D3323" s="2" t="s">
        <v>1423</v>
      </c>
      <c r="E3323" s="2">
        <v>-724.85</v>
      </c>
      <c r="F3323" s="2" t="e">
        <f>IF(Table2[[#This Row],[Manual Cat Value]]="",VLOOKUP(Table2[[#This Row],[Description]],'Actuals Lookup'!D:F,3,0),Table2[[#This Row],[Manual Cat Value]])</f>
        <v>#N/A</v>
      </c>
      <c r="J3323" s="2">
        <v>724.85</v>
      </c>
      <c r="K3323" s="2" t="b">
        <v>0</v>
      </c>
      <c r="L3323" s="2"/>
      <c r="M3323" s="2"/>
      <c r="N3323" s="4" t="s">
        <v>2273</v>
      </c>
      <c r="O3323" s="4" t="str">
        <f>LEFT(Table2[[#This Row],[Description]],75)</f>
        <v>PAYMENT THANK YOU</v>
      </c>
      <c r="P3323" s="2" t="s">
        <v>2391</v>
      </c>
    </row>
    <row r="3324" spans="1:16" hidden="1">
      <c r="A3324" s="2">
        <v>202009</v>
      </c>
      <c r="B3324" s="3">
        <v>44091</v>
      </c>
      <c r="C3324" s="2" t="s">
        <v>2265</v>
      </c>
      <c r="D3324" s="2" t="s">
        <v>2176</v>
      </c>
      <c r="E3324" s="2">
        <v>724.85</v>
      </c>
      <c r="F3324" s="2" t="e">
        <f>IF(Table2[[#This Row],[Manual Cat Value]]="",VLOOKUP(Table2[[#This Row],[Description]],'Actuals Lookup'!D:F,3,0),Table2[[#This Row],[Manual Cat Value]])</f>
        <v>#N/A</v>
      </c>
      <c r="J3324" s="2">
        <v>724.85</v>
      </c>
      <c r="K3324" s="2" t="b">
        <v>0</v>
      </c>
      <c r="L3324" s="2"/>
      <c r="M3324" s="2"/>
      <c r="N3324" s="4" t="s">
        <v>2259</v>
      </c>
      <c r="O3324" s="4" t="str">
        <f>LEFT(Table2[[#This Row],[Description]],75)</f>
        <v>Withdrawal Home payment to card 979181</v>
      </c>
      <c r="P3324" s="2" t="s">
        <v>2349</v>
      </c>
    </row>
    <row r="3325" spans="1:16" hidden="1">
      <c r="A3325" s="2">
        <v>202009</v>
      </c>
      <c r="B3325" s="3">
        <v>44091</v>
      </c>
      <c r="C3325" s="2" t="s">
        <v>2262</v>
      </c>
      <c r="D3325" s="2" t="s">
        <v>543</v>
      </c>
      <c r="E3325" s="2">
        <v>17.5</v>
      </c>
      <c r="F3325" s="2" t="e">
        <f>IF(Table2[[#This Row],[Manual Cat Value]]="",VLOOKUP(Table2[[#This Row],[Description]],'Actuals Lookup'!D:F,3,0),Table2[[#This Row],[Manual Cat Value]])</f>
        <v>#N/A</v>
      </c>
      <c r="J3325" s="2">
        <v>17.5</v>
      </c>
      <c r="K3325" s="2" t="b">
        <v>0</v>
      </c>
      <c r="L3325" s="2"/>
      <c r="M3325" s="2"/>
      <c r="N3325" s="4" t="s">
        <v>2259</v>
      </c>
      <c r="O3325" s="4" t="str">
        <f>LEFT(Table2[[#This Row],[Description]],75)</f>
        <v>Chipotle</v>
      </c>
      <c r="P3325" s="2" t="s">
        <v>2341</v>
      </c>
    </row>
    <row r="3326" spans="1:16" hidden="1">
      <c r="A3326" s="2">
        <v>202009</v>
      </c>
      <c r="B3326" s="3">
        <v>44091</v>
      </c>
      <c r="C3326" s="2" t="s">
        <v>2265</v>
      </c>
      <c r="D3326" s="2" t="s">
        <v>662</v>
      </c>
      <c r="E3326" s="2">
        <v>29.63</v>
      </c>
      <c r="F3326" s="2" t="e">
        <f>IF(Table2[[#This Row],[Manual Cat Value]]="",VLOOKUP(Table2[[#This Row],[Description]],'Actuals Lookup'!D:F,3,0),Table2[[#This Row],[Manual Cat Value]])</f>
        <v>#N/A</v>
      </c>
      <c r="J3326" s="2">
        <v>29.63</v>
      </c>
      <c r="K3326" s="2" t="b">
        <v>0</v>
      </c>
      <c r="L3326" s="2"/>
      <c r="M3326" s="2"/>
      <c r="N3326" s="4" t="s">
        <v>2259</v>
      </c>
      <c r="O3326" s="4" t="str">
        <f>LEFT(Table2[[#This Row],[Description]],75)</f>
        <v xml:space="preserve">CPENERGY MNGCO TYPE MGC ACH EB ID 176051140S CO CPENERGY MNGCO ACH ECC WEB </v>
      </c>
      <c r="P3326" s="2" t="s">
        <v>2399</v>
      </c>
    </row>
    <row r="3327" spans="1:16" hidden="1">
      <c r="A3327" s="2">
        <v>202009</v>
      </c>
      <c r="B3327" s="3">
        <v>44091</v>
      </c>
      <c r="C3327" s="2" t="s">
        <v>2300</v>
      </c>
      <c r="D3327" s="2" t="s">
        <v>1648</v>
      </c>
      <c r="E3327" s="2">
        <v>-300</v>
      </c>
      <c r="F3327" s="2" t="e">
        <f>IF(Table2[[#This Row],[Manual Cat Value]]="",VLOOKUP(Table2[[#This Row],[Description]],'Actuals Lookup'!D:F,3,0),Table2[[#This Row],[Manual Cat Value]])</f>
        <v>#N/A</v>
      </c>
      <c r="J3327" s="2">
        <v>300</v>
      </c>
      <c r="K3327" s="2" t="b">
        <v>0</v>
      </c>
      <c r="L3327" s="2"/>
      <c r="M3327" s="2"/>
      <c r="N3327" s="4" t="s">
        <v>2273</v>
      </c>
      <c r="O3327" s="4" t="str">
        <f>LEFT(Table2[[#This Row],[Description]],75)</f>
        <v>Share</v>
      </c>
      <c r="P3327" s="2" t="s">
        <v>2448</v>
      </c>
    </row>
    <row r="3328" spans="1:16" hidden="1">
      <c r="A3328" s="2">
        <v>202009</v>
      </c>
      <c r="B3328" s="3">
        <v>44091</v>
      </c>
      <c r="C3328" s="2" t="s">
        <v>2447</v>
      </c>
      <c r="D3328" s="2" t="s">
        <v>1707</v>
      </c>
      <c r="E3328" s="2">
        <v>39.19</v>
      </c>
      <c r="F3328" s="2" t="str">
        <f>IF(Table2[[#This Row],[Manual Cat Value]]="",VLOOKUP(Table2[[#This Row],[Description]],'Actuals Lookup'!D:F,3,0),Table2[[#This Row],[Manual Cat Value]])</f>
        <v>Transportation</v>
      </c>
      <c r="J3328" s="2">
        <v>39.19</v>
      </c>
      <c r="K3328" s="2" t="b">
        <v>0</v>
      </c>
      <c r="L3328" s="2"/>
      <c r="M3328" s="2"/>
      <c r="N3328" s="4" t="s">
        <v>2259</v>
      </c>
      <c r="O3328" s="4" t="str">
        <f>LEFT(Table2[[#This Row],[Description]],75)</f>
        <v>Speedway</v>
      </c>
      <c r="P3328" s="2" t="s">
        <v>2381</v>
      </c>
    </row>
    <row r="3329" spans="1:16" hidden="1">
      <c r="A3329" s="2">
        <v>202009</v>
      </c>
      <c r="B3329" s="3">
        <v>44091</v>
      </c>
      <c r="C3329" s="2" t="s">
        <v>2258</v>
      </c>
      <c r="D3329" s="2" t="s">
        <v>1707</v>
      </c>
      <c r="E3329" s="2">
        <v>39.19</v>
      </c>
      <c r="F3329" s="2" t="str">
        <f>IF(Table2[[#This Row],[Manual Cat Value]]="",VLOOKUP(Table2[[#This Row],[Description]],'Actuals Lookup'!D:F,3,0),Table2[[#This Row],[Manual Cat Value]])</f>
        <v>Transportation</v>
      </c>
      <c r="J3329" s="2">
        <v>39.19</v>
      </c>
      <c r="K3329" s="2" t="b">
        <v>0</v>
      </c>
      <c r="L3329" s="2"/>
      <c r="M3329" s="2"/>
      <c r="N3329" s="4" t="s">
        <v>2259</v>
      </c>
      <c r="O3329" s="4" t="str">
        <f>LEFT(Table2[[#This Row],[Description]],75)</f>
        <v>Speedway</v>
      </c>
      <c r="P3329" s="2" t="s">
        <v>2381</v>
      </c>
    </row>
    <row r="3330" spans="1:16" hidden="1">
      <c r="A3330" s="2">
        <v>202009</v>
      </c>
      <c r="B3330" s="3">
        <v>44091</v>
      </c>
      <c r="C3330" s="2" t="s">
        <v>2265</v>
      </c>
      <c r="D3330" s="2" t="s">
        <v>1892</v>
      </c>
      <c r="E3330" s="2">
        <v>300</v>
      </c>
      <c r="F3330" s="2" t="e">
        <f>IF(Table2[[#This Row],[Manual Cat Value]]="",VLOOKUP(Table2[[#This Row],[Description]],'Actuals Lookup'!D:F,3,0),Table2[[#This Row],[Manual Cat Value]])</f>
        <v>#N/A</v>
      </c>
      <c r="J3330" s="2">
        <v>300</v>
      </c>
      <c r="K3330" s="2" t="b">
        <v>0</v>
      </c>
      <c r="L3330" s="2"/>
      <c r="M3330" s="2"/>
      <c r="N3330" s="4" t="s">
        <v>2259</v>
      </c>
      <c r="O3330" s="4" t="str">
        <f>LEFT(Table2[[#This Row],[Description]],75)</f>
        <v>To Share 12</v>
      </c>
      <c r="P3330" s="2" t="s">
        <v>2494</v>
      </c>
    </row>
    <row r="3331" spans="1:16" hidden="1">
      <c r="A3331" s="2">
        <v>202009</v>
      </c>
      <c r="B3331" s="3">
        <v>44092</v>
      </c>
      <c r="C3331" s="2" t="s">
        <v>2317</v>
      </c>
      <c r="D3331" s="2" t="s">
        <v>354</v>
      </c>
      <c r="E3331" s="2">
        <v>-200</v>
      </c>
      <c r="F3331" s="2" t="e">
        <f>IF(Table2[[#This Row],[Manual Cat Value]]="",VLOOKUP(Table2[[#This Row],[Description]],'Actuals Lookup'!D:F,3,0),Table2[[#This Row],[Manual Cat Value]])</f>
        <v>#N/A</v>
      </c>
      <c r="J3331" s="2">
        <v>200</v>
      </c>
      <c r="K3331" s="2" t="b">
        <v>0</v>
      </c>
      <c r="L3331" s="2"/>
      <c r="M3331" s="2"/>
      <c r="N3331" s="4" t="s">
        <v>2273</v>
      </c>
      <c r="O3331" s="4" t="str">
        <f>LEFT(Table2[[#This Row],[Description]],75)</f>
        <v>CARGILL COCOA &amp;</v>
      </c>
      <c r="P3331" s="2" t="s">
        <v>2354</v>
      </c>
    </row>
    <row r="3332" spans="1:16" hidden="1">
      <c r="A3332" s="2">
        <v>202009</v>
      </c>
      <c r="B3332" s="3">
        <v>44092</v>
      </c>
      <c r="C3332" s="2" t="s">
        <v>2262</v>
      </c>
      <c r="D3332" s="2" t="s">
        <v>947</v>
      </c>
      <c r="E3332" s="2">
        <v>22.4</v>
      </c>
      <c r="F3332" s="2" t="e">
        <f>IF(Table2[[#This Row],[Manual Cat Value]]="",VLOOKUP(Table2[[#This Row],[Description]],'Actuals Lookup'!D:F,3,0),Table2[[#This Row],[Manual Cat Value]])</f>
        <v>#N/A</v>
      </c>
      <c r="J3332" s="2">
        <v>22.4</v>
      </c>
      <c r="K3332" s="2" t="b">
        <v>0</v>
      </c>
      <c r="L3332" s="2"/>
      <c r="M3332" s="2"/>
      <c r="N3332" s="4" t="s">
        <v>2259</v>
      </c>
      <c r="O3332" s="4" t="str">
        <f>LEFT(Table2[[#This Row],[Description]],75)</f>
        <v>Home Depot</v>
      </c>
      <c r="P3332" s="2" t="s">
        <v>2396</v>
      </c>
    </row>
    <row r="3333" spans="1:16" hidden="1">
      <c r="A3333" s="2">
        <v>202009</v>
      </c>
      <c r="B3333" s="3">
        <v>44092</v>
      </c>
      <c r="C3333" s="2" t="s">
        <v>2265</v>
      </c>
      <c r="D3333" s="2" t="s">
        <v>1290</v>
      </c>
      <c r="E3333" s="2">
        <v>200</v>
      </c>
      <c r="F3333" s="2" t="e">
        <f>IF(Table2[[#This Row],[Manual Cat Value]]="",VLOOKUP(Table2[[#This Row],[Description]],'Actuals Lookup'!D:F,3,0),Table2[[#This Row],[Manual Cat Value]])</f>
        <v>#N/A</v>
      </c>
      <c r="J3333" s="2">
        <v>200</v>
      </c>
      <c r="K3333" s="2" t="b">
        <v>0</v>
      </c>
      <c r="L3333" s="2"/>
      <c r="M3333" s="2"/>
      <c r="N3333" s="4" t="s">
        <v>2259</v>
      </c>
      <c r="O3333" s="4" t="str">
        <f>LEFT(Table2[[#This Row],[Description]],75)</f>
        <v>MN DIR ACH TYPE CONTRIB ID CO MN DIR ACH ACH ECC WEB ACH Trace 11205</v>
      </c>
      <c r="P3333" s="2" t="s">
        <v>2469</v>
      </c>
    </row>
    <row r="3334" spans="1:16" hidden="1">
      <c r="A3334" s="2">
        <v>202009</v>
      </c>
      <c r="B3334" s="3">
        <v>44092</v>
      </c>
      <c r="C3334" s="2" t="s">
        <v>2262</v>
      </c>
      <c r="D3334" s="2" t="s">
        <v>1540</v>
      </c>
      <c r="E3334" s="2">
        <v>32.58</v>
      </c>
      <c r="F3334" s="2" t="e">
        <f>IF(Table2[[#This Row],[Manual Cat Value]]="",VLOOKUP(Table2[[#This Row],[Description]],'Actuals Lookup'!D:F,3,0),Table2[[#This Row],[Manual Cat Value]])</f>
        <v>#N/A</v>
      </c>
      <c r="J3334" s="2">
        <v>32.58</v>
      </c>
      <c r="K3334" s="2" t="b">
        <v>0</v>
      </c>
      <c r="L3334" s="2"/>
      <c r="M3334" s="2"/>
      <c r="N3334" s="4" t="s">
        <v>2259</v>
      </c>
      <c r="O3334" s="4" t="str">
        <f>LEFT(Table2[[#This Row],[Description]],75)</f>
        <v>RAKU RESTAURANT EDINA MN</v>
      </c>
      <c r="P3334" s="2" t="s">
        <v>2503</v>
      </c>
    </row>
    <row r="3335" spans="1:16" hidden="1">
      <c r="A3335" s="2">
        <v>202009</v>
      </c>
      <c r="B3335" s="3">
        <v>44092</v>
      </c>
      <c r="C3335" s="2" t="s">
        <v>2434</v>
      </c>
      <c r="D3335" s="2" t="s">
        <v>1834</v>
      </c>
      <c r="E3335" s="2">
        <v>-231</v>
      </c>
      <c r="F3335" s="2" t="e">
        <f>IF(Table2[[#This Row],[Manual Cat Value]]="",VLOOKUP(Table2[[#This Row],[Description]],'Actuals Lookup'!D:F,3,0),Table2[[#This Row],[Manual Cat Value]])</f>
        <v>#N/A</v>
      </c>
      <c r="J3335" s="2">
        <v>231</v>
      </c>
      <c r="K3335" s="2" t="b">
        <v>0</v>
      </c>
      <c r="L3335" s="2"/>
      <c r="M3335" s="2"/>
      <c r="N3335" s="4" t="s">
        <v>2273</v>
      </c>
      <c r="O3335" s="4" t="str">
        <f>LEFT(Table2[[#This Row],[Description]],75)</f>
        <v>Tfr JPMORGAN CHASE BAN, CARGILL COCOA &amp;</v>
      </c>
      <c r="P3335" s="2" t="s">
        <v>2356</v>
      </c>
    </row>
    <row r="3336" spans="1:16" hidden="1">
      <c r="A3336" s="2">
        <v>202009</v>
      </c>
      <c r="B3336" s="3">
        <v>44094</v>
      </c>
      <c r="C3336" s="2" t="s">
        <v>2262</v>
      </c>
      <c r="D3336" s="2" t="s">
        <v>1184</v>
      </c>
      <c r="E3336" s="2">
        <v>44.4</v>
      </c>
      <c r="F3336" s="2" t="e">
        <f>IF(Table2[[#This Row],[Manual Cat Value]]="",VLOOKUP(Table2[[#This Row],[Description]],'Actuals Lookup'!D:F,3,0),Table2[[#This Row],[Manual Cat Value]])</f>
        <v>#N/A</v>
      </c>
      <c r="J3336" s="2">
        <v>44.4</v>
      </c>
      <c r="K3336" s="2" t="b">
        <v>0</v>
      </c>
      <c r="L3336" s="2"/>
      <c r="M3336" s="2"/>
      <c r="N3336" s="4" t="s">
        <v>2259</v>
      </c>
      <c r="O3336" s="4" t="str">
        <f>LEFT(Table2[[#This Row],[Description]],75)</f>
        <v>Maynard's</v>
      </c>
      <c r="P3336" s="2" t="s">
        <v>2504</v>
      </c>
    </row>
    <row r="3337" spans="1:16" hidden="1">
      <c r="A3337" s="2">
        <v>202009</v>
      </c>
      <c r="B3337" s="3">
        <v>44095</v>
      </c>
      <c r="C3337" s="2" t="s">
        <v>2262</v>
      </c>
      <c r="D3337" s="2" t="s">
        <v>94</v>
      </c>
      <c r="E3337" s="2">
        <v>70.319999999999993</v>
      </c>
      <c r="F3337" s="2" t="e">
        <f>IF(Table2[[#This Row],[Manual Cat Value]]="",VLOOKUP(Table2[[#This Row],[Description]],'Actuals Lookup'!D:F,3,0),Table2[[#This Row],[Manual Cat Value]])</f>
        <v>#N/A</v>
      </c>
      <c r="J3337" s="2">
        <v>70.319999999999993</v>
      </c>
      <c r="K3337" s="2" t="b">
        <v>0</v>
      </c>
      <c r="L3337" s="2"/>
      <c r="M3337" s="2"/>
      <c r="N3337" s="4" t="s">
        <v>2259</v>
      </c>
      <c r="O3337" s="4" t="str">
        <f>LEFT(Table2[[#This Row],[Description]],75)</f>
        <v>A TO Z RENTAL 9529448040 MN</v>
      </c>
      <c r="P3337" s="2" t="s">
        <v>2281</v>
      </c>
    </row>
    <row r="3338" spans="1:16" hidden="1">
      <c r="A3338" s="2">
        <v>202009</v>
      </c>
      <c r="B3338" s="3">
        <v>44095</v>
      </c>
      <c r="C3338" s="2" t="s">
        <v>2265</v>
      </c>
      <c r="D3338" s="2" t="s">
        <v>557</v>
      </c>
      <c r="E3338" s="2">
        <v>183.73</v>
      </c>
      <c r="F3338" s="2" t="e">
        <f>IF(Table2[[#This Row],[Manual Cat Value]]="",VLOOKUP(Table2[[#This Row],[Description]],'Actuals Lookup'!D:F,3,0),Table2[[#This Row],[Manual Cat Value]])</f>
        <v>#N/A</v>
      </c>
      <c r="J3338" s="2">
        <v>183.73</v>
      </c>
      <c r="K3338" s="2" t="b">
        <v>0</v>
      </c>
      <c r="L3338" s="2"/>
      <c r="M3338" s="2"/>
      <c r="N3338" s="4" t="s">
        <v>2259</v>
      </c>
      <c r="O3338" s="4" t="str">
        <f>LEFT(Table2[[#This Row],[Description]],75)</f>
        <v>City of Chanhassen</v>
      </c>
      <c r="P3338" s="2" t="s">
        <v>2298</v>
      </c>
    </row>
    <row r="3339" spans="1:16" hidden="1">
      <c r="A3339" s="2">
        <v>202009</v>
      </c>
      <c r="B3339" s="3">
        <v>44095</v>
      </c>
      <c r="C3339" s="2" t="s">
        <v>2262</v>
      </c>
      <c r="D3339" s="2" t="s">
        <v>1357</v>
      </c>
      <c r="E3339" s="2">
        <v>62.23</v>
      </c>
      <c r="F3339" s="2" t="e">
        <f>IF(Table2[[#This Row],[Manual Cat Value]]="",VLOOKUP(Table2[[#This Row],[Description]],'Actuals Lookup'!D:F,3,0),Table2[[#This Row],[Manual Cat Value]])</f>
        <v>#N/A</v>
      </c>
      <c r="J3339" s="2">
        <v>62.23</v>
      </c>
      <c r="K3339" s="2" t="b">
        <v>0</v>
      </c>
      <c r="L3339" s="2"/>
      <c r="M3339" s="2"/>
      <c r="N3339" s="4" t="s">
        <v>2259</v>
      </c>
      <c r="O3339" s="4" t="str">
        <f>LEFT(Table2[[#This Row],[Description]],75)</f>
        <v>NORTH COOP CHAHASSEN MN</v>
      </c>
      <c r="P3339" s="2" t="s">
        <v>2326</v>
      </c>
    </row>
    <row r="3340" spans="1:16" hidden="1">
      <c r="A3340" s="2">
        <v>202009</v>
      </c>
      <c r="B3340" s="3">
        <v>44095</v>
      </c>
      <c r="C3340" s="2" t="s">
        <v>2317</v>
      </c>
      <c r="D3340" s="2" t="s">
        <v>1633</v>
      </c>
      <c r="E3340" s="2">
        <v>200</v>
      </c>
      <c r="F3340" s="2" t="e">
        <f>IF(Table2[[#This Row],[Manual Cat Value]]="",VLOOKUP(Table2[[#This Row],[Description]],'Actuals Lookup'!D:F,3,0),Table2[[#This Row],[Manual Cat Value]])</f>
        <v>#N/A</v>
      </c>
      <c r="J3340" s="2">
        <v>200</v>
      </c>
      <c r="K3340" s="2" t="b">
        <v>0</v>
      </c>
      <c r="L3340" s="2"/>
      <c r="M3340" s="2"/>
      <c r="N3340" s="4" t="s">
        <v>2259</v>
      </c>
      <c r="O3340" s="4" t="str">
        <f>LEFT(Table2[[#This Row],[Description]],75)</f>
        <v>SCHWAB S&amp;P 500 INDEX FD</v>
      </c>
      <c r="P3340" s="2" t="s">
        <v>2276</v>
      </c>
    </row>
    <row r="3341" spans="1:16" hidden="1">
      <c r="A3341" s="2">
        <v>202009</v>
      </c>
      <c r="B3341" s="3">
        <v>44095</v>
      </c>
      <c r="C3341" s="2" t="s">
        <v>2317</v>
      </c>
      <c r="D3341" s="2" t="s">
        <v>1635</v>
      </c>
      <c r="E3341" s="2">
        <v>200</v>
      </c>
      <c r="F3341" s="2" t="e">
        <f>IF(Table2[[#This Row],[Manual Cat Value]]="",VLOOKUP(Table2[[#This Row],[Description]],'Actuals Lookup'!D:F,3,0),Table2[[#This Row],[Manual Cat Value]])</f>
        <v>#N/A</v>
      </c>
      <c r="J3341" s="2">
        <v>200</v>
      </c>
      <c r="K3341" s="2" t="b">
        <v>0</v>
      </c>
      <c r="L3341" s="2"/>
      <c r="M3341" s="2"/>
      <c r="N3341" s="4" t="s">
        <v>2259</v>
      </c>
      <c r="O3341" s="4" t="str">
        <f>LEFT(Table2[[#This Row],[Description]],75)</f>
        <v>SCHWAB TOTAL STOCK MKT INDEX</v>
      </c>
      <c r="P3341" s="2" t="s">
        <v>2278</v>
      </c>
    </row>
    <row r="3342" spans="1:16" hidden="1">
      <c r="A3342" s="2">
        <v>202009</v>
      </c>
      <c r="B3342" s="3">
        <v>44096</v>
      </c>
      <c r="C3342" s="2" t="s">
        <v>2262</v>
      </c>
      <c r="D3342" s="2" t="s">
        <v>947</v>
      </c>
      <c r="E3342" s="2">
        <v>15.02</v>
      </c>
      <c r="F3342" s="2" t="e">
        <f>IF(Table2[[#This Row],[Manual Cat Value]]="",VLOOKUP(Table2[[#This Row],[Description]],'Actuals Lookup'!D:F,3,0),Table2[[#This Row],[Manual Cat Value]])</f>
        <v>#N/A</v>
      </c>
      <c r="J3342" s="2">
        <v>15.02</v>
      </c>
      <c r="K3342" s="2" t="b">
        <v>0</v>
      </c>
      <c r="L3342" s="2"/>
      <c r="M3342" s="2"/>
      <c r="N3342" s="4" t="s">
        <v>2259</v>
      </c>
      <c r="O3342" s="4" t="str">
        <f>LEFT(Table2[[#This Row],[Description]],75)</f>
        <v>Home Depot</v>
      </c>
      <c r="P3342" s="2" t="s">
        <v>2396</v>
      </c>
    </row>
    <row r="3343" spans="1:16" hidden="1">
      <c r="A3343" s="2">
        <v>202009</v>
      </c>
      <c r="B3343" s="3">
        <v>44096</v>
      </c>
      <c r="C3343" s="2" t="s">
        <v>2262</v>
      </c>
      <c r="D3343" s="2" t="s">
        <v>947</v>
      </c>
      <c r="E3343" s="2">
        <v>27.84</v>
      </c>
      <c r="F3343" s="2" t="e">
        <f>IF(Table2[[#This Row],[Manual Cat Value]]="",VLOOKUP(Table2[[#This Row],[Description]],'Actuals Lookup'!D:F,3,0),Table2[[#This Row],[Manual Cat Value]])</f>
        <v>#N/A</v>
      </c>
      <c r="J3343" s="2">
        <v>27.84</v>
      </c>
      <c r="K3343" s="2" t="b">
        <v>0</v>
      </c>
      <c r="L3343" s="2"/>
      <c r="M3343" s="2"/>
      <c r="N3343" s="4" t="s">
        <v>2259</v>
      </c>
      <c r="O3343" s="4" t="str">
        <f>LEFT(Table2[[#This Row],[Description]],75)</f>
        <v>Home Depot</v>
      </c>
      <c r="P3343" s="2" t="s">
        <v>2396</v>
      </c>
    </row>
    <row r="3344" spans="1:16" hidden="1">
      <c r="A3344" s="2">
        <v>202009</v>
      </c>
      <c r="B3344" s="3">
        <v>44096</v>
      </c>
      <c r="C3344" s="2" t="s">
        <v>2262</v>
      </c>
      <c r="D3344" s="2" t="s">
        <v>947</v>
      </c>
      <c r="E3344" s="2">
        <v>127.95</v>
      </c>
      <c r="F3344" s="2" t="e">
        <f>IF(Table2[[#This Row],[Manual Cat Value]]="",VLOOKUP(Table2[[#This Row],[Description]],'Actuals Lookup'!D:F,3,0),Table2[[#This Row],[Manual Cat Value]])</f>
        <v>#N/A</v>
      </c>
      <c r="J3344" s="2">
        <v>127.95</v>
      </c>
      <c r="K3344" s="2" t="b">
        <v>0</v>
      </c>
      <c r="L3344" s="2"/>
      <c r="M3344" s="2"/>
      <c r="N3344" s="4" t="s">
        <v>2259</v>
      </c>
      <c r="O3344" s="4" t="str">
        <f>LEFT(Table2[[#This Row],[Description]],75)</f>
        <v>Home Depot</v>
      </c>
      <c r="P3344" s="2" t="s">
        <v>2396</v>
      </c>
    </row>
    <row r="3345" spans="1:16" hidden="1">
      <c r="A3345" s="2">
        <v>202009</v>
      </c>
      <c r="B3345" s="3">
        <v>44096</v>
      </c>
      <c r="C3345" s="2" t="s">
        <v>2262</v>
      </c>
      <c r="D3345" s="2" t="s">
        <v>1191</v>
      </c>
      <c r="E3345" s="2">
        <v>21.49</v>
      </c>
      <c r="F3345" s="2" t="e">
        <f>IF(Table2[[#This Row],[Manual Cat Value]]="",VLOOKUP(Table2[[#This Row],[Description]],'Actuals Lookup'!D:F,3,0),Table2[[#This Row],[Manual Cat Value]])</f>
        <v>#N/A</v>
      </c>
      <c r="J3345" s="2">
        <v>21.49</v>
      </c>
      <c r="K3345" s="2" t="b">
        <v>0</v>
      </c>
      <c r="L3345" s="2"/>
      <c r="M3345" s="2"/>
      <c r="N3345" s="4" t="s">
        <v>2259</v>
      </c>
      <c r="O3345" s="4" t="str">
        <f>LEFT(Table2[[#This Row],[Description]],75)</f>
        <v>Menard</v>
      </c>
      <c r="P3345" s="2" t="s">
        <v>2281</v>
      </c>
    </row>
    <row r="3346" spans="1:16" hidden="1">
      <c r="A3346" s="2">
        <v>202009</v>
      </c>
      <c r="B3346" s="3">
        <v>44096</v>
      </c>
      <c r="C3346" s="2" t="s">
        <v>2262</v>
      </c>
      <c r="D3346" s="2" t="s">
        <v>2142</v>
      </c>
      <c r="E3346" s="2">
        <v>144.96</v>
      </c>
      <c r="F3346" s="2" t="str">
        <f>IF(Table2[[#This Row],[Manual Cat Value]]="",VLOOKUP(Table2[[#This Row],[Description]],'Actuals Lookup'!D:F,3,0),Table2[[#This Row],[Manual Cat Value]])</f>
        <v>House</v>
      </c>
      <c r="J3346" s="2">
        <v>144.96</v>
      </c>
      <c r="K3346" s="2" t="b">
        <v>0</v>
      </c>
      <c r="L3346" s="2"/>
      <c r="M3346" s="2"/>
      <c r="N3346" s="4" t="s">
        <v>2259</v>
      </c>
      <c r="O3346" s="4" t="str">
        <f>LEFT(Table2[[#This Row],[Description]],75)</f>
        <v>Wayfair</v>
      </c>
      <c r="P3346" s="2" t="s">
        <v>2427</v>
      </c>
    </row>
    <row r="3347" spans="1:16" hidden="1">
      <c r="A3347" s="2">
        <v>202009</v>
      </c>
      <c r="B3347" s="3">
        <v>44097</v>
      </c>
      <c r="C3347" s="2" t="s">
        <v>2317</v>
      </c>
      <c r="D3347" s="2" t="s">
        <v>913</v>
      </c>
      <c r="E3347" s="2">
        <v>-0.01</v>
      </c>
      <c r="F3347" s="2" t="e">
        <f>IF(Table2[[#This Row],[Manual Cat Value]]="",VLOOKUP(Table2[[#This Row],[Description]],'Actuals Lookup'!D:F,3,0),Table2[[#This Row],[Manual Cat Value]])</f>
        <v>#N/A</v>
      </c>
      <c r="J3347" s="2">
        <v>0.01</v>
      </c>
      <c r="K3347" s="2" t="b">
        <v>0</v>
      </c>
      <c r="L3347" s="2"/>
      <c r="M3347" s="2"/>
      <c r="N3347" s="4" t="s">
        <v>2273</v>
      </c>
      <c r="O3347" s="4" t="str">
        <f>LEFT(Table2[[#This Row],[Description]],75)</f>
        <v>HALLIBURTON CO HLDG</v>
      </c>
      <c r="P3347" s="2" t="s">
        <v>2433</v>
      </c>
    </row>
    <row r="3348" spans="1:16" hidden="1">
      <c r="A3348" s="2">
        <v>202009</v>
      </c>
      <c r="B3348" s="3">
        <v>44097</v>
      </c>
      <c r="C3348" s="2" t="s">
        <v>2265</v>
      </c>
      <c r="D3348" s="2" t="s">
        <v>1216</v>
      </c>
      <c r="E3348" s="2">
        <v>391.2</v>
      </c>
      <c r="F3348" s="2" t="e">
        <f>IF(Table2[[#This Row],[Manual Cat Value]]="",VLOOKUP(Table2[[#This Row],[Description]],'Actuals Lookup'!D:F,3,0),Table2[[#This Row],[Manual Cat Value]])</f>
        <v>#N/A</v>
      </c>
      <c r="J3348" s="2">
        <v>391.2</v>
      </c>
      <c r="K3348" s="2" t="b">
        <v>0</v>
      </c>
      <c r="L3348" s="2"/>
      <c r="M3348" s="2"/>
      <c r="N3348" s="4" t="s">
        <v>2259</v>
      </c>
      <c r="O3348" s="4" t="str">
        <f>LEFT(Table2[[#This Row],[Description]],75)</f>
        <v>MHCHILDCARELLC TYPE DUES ID CO MHCHILDCARELLC ACH ECC PPD ACH Trace 35958</v>
      </c>
      <c r="P3348" s="2" t="s">
        <v>2497</v>
      </c>
    </row>
    <row r="3349" spans="1:16" hidden="1">
      <c r="A3349" s="2">
        <v>202009</v>
      </c>
      <c r="B3349" s="3">
        <v>44097</v>
      </c>
      <c r="C3349" s="2" t="s">
        <v>2262</v>
      </c>
      <c r="D3349" s="2" t="s">
        <v>1707</v>
      </c>
      <c r="E3349" s="2">
        <v>22.24</v>
      </c>
      <c r="F3349" s="2" t="str">
        <f>IF(Table2[[#This Row],[Manual Cat Value]]="",VLOOKUP(Table2[[#This Row],[Description]],'Actuals Lookup'!D:F,3,0),Table2[[#This Row],[Manual Cat Value]])</f>
        <v>Transportation</v>
      </c>
      <c r="J3349" s="2">
        <v>22.24</v>
      </c>
      <c r="K3349" s="2" t="b">
        <v>0</v>
      </c>
      <c r="L3349" s="2"/>
      <c r="M3349" s="2"/>
      <c r="N3349" s="4" t="s">
        <v>2259</v>
      </c>
      <c r="O3349" s="4" t="str">
        <f>LEFT(Table2[[#This Row],[Description]],75)</f>
        <v>Speedway</v>
      </c>
      <c r="P3349" s="2" t="s">
        <v>2381</v>
      </c>
    </row>
    <row r="3350" spans="1:16" hidden="1">
      <c r="A3350" s="2">
        <v>202009</v>
      </c>
      <c r="B3350" s="3">
        <v>44097</v>
      </c>
      <c r="C3350" s="2" t="s">
        <v>2265</v>
      </c>
      <c r="D3350" s="2" t="s">
        <v>2109</v>
      </c>
      <c r="E3350" s="2">
        <v>52</v>
      </c>
      <c r="F3350" s="2" t="str">
        <f>IF(Table2[[#This Row],[Manual Cat Value]]="",VLOOKUP(Table2[[#This Row],[Description]],'Actuals Lookup'!D:F,3,0),Table2[[#This Row],[Manual Cat Value]])</f>
        <v>Shopping</v>
      </c>
      <c r="J3350" s="2">
        <v>52</v>
      </c>
      <c r="K3350" s="2" t="b">
        <v>0</v>
      </c>
      <c r="L3350" s="2"/>
      <c r="M3350" s="2"/>
      <c r="N3350" s="4" t="s">
        <v>2259</v>
      </c>
      <c r="O3350" s="4" t="str">
        <f>LEFT(Table2[[#This Row],[Description]],75)</f>
        <v>Venmo</v>
      </c>
      <c r="P3350" s="2" t="s">
        <v>2281</v>
      </c>
    </row>
    <row r="3351" spans="1:16" hidden="1">
      <c r="A3351" s="2">
        <v>202009</v>
      </c>
      <c r="B3351" s="3">
        <v>44097</v>
      </c>
      <c r="C3351" s="2" t="s">
        <v>2265</v>
      </c>
      <c r="D3351" s="2" t="s">
        <v>2109</v>
      </c>
      <c r="E3351" s="2">
        <v>84.84</v>
      </c>
      <c r="F3351" s="2" t="str">
        <f>IF(Table2[[#This Row],[Manual Cat Value]]="",VLOOKUP(Table2[[#This Row],[Description]],'Actuals Lookup'!D:F,3,0),Table2[[#This Row],[Manual Cat Value]])</f>
        <v>Shopping</v>
      </c>
      <c r="J3351" s="2">
        <v>84.84</v>
      </c>
      <c r="K3351" s="2" t="b">
        <v>0</v>
      </c>
      <c r="L3351" s="2"/>
      <c r="M3351" s="2"/>
      <c r="N3351" s="4" t="s">
        <v>2259</v>
      </c>
      <c r="O3351" s="4" t="str">
        <f>LEFT(Table2[[#This Row],[Description]],75)</f>
        <v>Venmo</v>
      </c>
      <c r="P3351" s="2" t="s">
        <v>2281</v>
      </c>
    </row>
    <row r="3352" spans="1:16" hidden="1">
      <c r="A3352" s="2">
        <v>202009</v>
      </c>
      <c r="B3352" s="3">
        <v>44098</v>
      </c>
      <c r="C3352" s="2" t="s">
        <v>2317</v>
      </c>
      <c r="D3352" s="2" t="s">
        <v>913</v>
      </c>
      <c r="E3352" s="2">
        <v>0.01</v>
      </c>
      <c r="F3352" s="2" t="e">
        <f>IF(Table2[[#This Row],[Manual Cat Value]]="",VLOOKUP(Table2[[#This Row],[Description]],'Actuals Lookup'!D:F,3,0),Table2[[#This Row],[Manual Cat Value]])</f>
        <v>#N/A</v>
      </c>
      <c r="J3352" s="2">
        <v>0.01</v>
      </c>
      <c r="K3352" s="2" t="b">
        <v>0</v>
      </c>
      <c r="L3352" s="2"/>
      <c r="M3352" s="2"/>
      <c r="N3352" s="4" t="s">
        <v>2259</v>
      </c>
      <c r="O3352" s="4" t="str">
        <f>LEFT(Table2[[#This Row],[Description]],75)</f>
        <v>HALLIBURTON CO HLDG</v>
      </c>
      <c r="P3352" s="2" t="s">
        <v>2433</v>
      </c>
    </row>
    <row r="3353" spans="1:16" hidden="1">
      <c r="A3353" s="2">
        <v>202009</v>
      </c>
      <c r="B3353" s="3">
        <v>44098</v>
      </c>
      <c r="C3353" s="2" t="s">
        <v>2262</v>
      </c>
      <c r="D3353" s="2" t="s">
        <v>1586</v>
      </c>
      <c r="E3353" s="2">
        <v>-18.760000000000002</v>
      </c>
      <c r="F3353" s="2" t="e">
        <f>IF(Table2[[#This Row],[Manual Cat Value]]="",VLOOKUP(Table2[[#This Row],[Description]],'Actuals Lookup'!D:F,3,0),Table2[[#This Row],[Manual Cat Value]])</f>
        <v>#N/A</v>
      </c>
      <c r="J3353" s="2">
        <v>18.760000000000002</v>
      </c>
      <c r="K3353" s="2" t="b">
        <v>0</v>
      </c>
      <c r="L3353" s="2"/>
      <c r="M3353" s="2"/>
      <c r="N3353" s="4" t="s">
        <v>2273</v>
      </c>
      <c r="O3353" s="4" t="str">
        <f>LEFT(Table2[[#This Row],[Description]],75)</f>
        <v>Ridgeview Medical Cnthoswaconia</v>
      </c>
      <c r="P3353" s="2" t="s">
        <v>2281</v>
      </c>
    </row>
    <row r="3354" spans="1:16" hidden="1">
      <c r="A3354" s="2">
        <v>202009</v>
      </c>
      <c r="B3354" s="3">
        <v>44098</v>
      </c>
      <c r="C3354" s="2" t="s">
        <v>2300</v>
      </c>
      <c r="D3354" s="2" t="s">
        <v>1648</v>
      </c>
      <c r="E3354" s="2">
        <v>-200</v>
      </c>
      <c r="F3354" s="2" t="e">
        <f>IF(Table2[[#This Row],[Manual Cat Value]]="",VLOOKUP(Table2[[#This Row],[Description]],'Actuals Lookup'!D:F,3,0),Table2[[#This Row],[Manual Cat Value]])</f>
        <v>#N/A</v>
      </c>
      <c r="J3354" s="2">
        <v>200</v>
      </c>
      <c r="K3354" s="2" t="b">
        <v>0</v>
      </c>
      <c r="L3354" s="2"/>
      <c r="M3354" s="2"/>
      <c r="N3354" s="4" t="s">
        <v>2273</v>
      </c>
      <c r="O3354" s="4" t="str">
        <f>LEFT(Table2[[#This Row],[Description]],75)</f>
        <v>Share</v>
      </c>
      <c r="P3354" s="2" t="s">
        <v>2448</v>
      </c>
    </row>
    <row r="3355" spans="1:16" hidden="1">
      <c r="A3355" s="2">
        <v>202009</v>
      </c>
      <c r="B3355" s="3">
        <v>44098</v>
      </c>
      <c r="C3355" s="2" t="s">
        <v>2265</v>
      </c>
      <c r="D3355" s="2" t="s">
        <v>1892</v>
      </c>
      <c r="E3355" s="2">
        <v>200</v>
      </c>
      <c r="F3355" s="2" t="e">
        <f>IF(Table2[[#This Row],[Manual Cat Value]]="",VLOOKUP(Table2[[#This Row],[Description]],'Actuals Lookup'!D:F,3,0),Table2[[#This Row],[Manual Cat Value]])</f>
        <v>#N/A</v>
      </c>
      <c r="J3355" s="2">
        <v>200</v>
      </c>
      <c r="K3355" s="2" t="b">
        <v>0</v>
      </c>
      <c r="L3355" s="2"/>
      <c r="M3355" s="2"/>
      <c r="N3355" s="4" t="s">
        <v>2259</v>
      </c>
      <c r="O3355" s="4" t="str">
        <f>LEFT(Table2[[#This Row],[Description]],75)</f>
        <v>To Share 12</v>
      </c>
      <c r="P3355" s="2" t="s">
        <v>2494</v>
      </c>
    </row>
    <row r="3356" spans="1:16" hidden="1">
      <c r="A3356" s="2">
        <v>202009</v>
      </c>
      <c r="B3356" s="3">
        <v>44099</v>
      </c>
      <c r="C3356" s="2" t="s">
        <v>2262</v>
      </c>
      <c r="D3356" s="2" t="s">
        <v>1423</v>
      </c>
      <c r="E3356" s="2">
        <v>-590.16999999999996</v>
      </c>
      <c r="F3356" s="2" t="e">
        <f>IF(Table2[[#This Row],[Manual Cat Value]]="",VLOOKUP(Table2[[#This Row],[Description]],'Actuals Lookup'!D:F,3,0),Table2[[#This Row],[Manual Cat Value]])</f>
        <v>#N/A</v>
      </c>
      <c r="J3356" s="2">
        <v>590.16999999999996</v>
      </c>
      <c r="K3356" s="2" t="b">
        <v>0</v>
      </c>
      <c r="L3356" s="2"/>
      <c r="M3356" s="2"/>
      <c r="N3356" s="4" t="s">
        <v>2273</v>
      </c>
      <c r="O3356" s="4" t="str">
        <f>LEFT(Table2[[#This Row],[Description]],75)</f>
        <v>PAYMENT THANK YOU</v>
      </c>
      <c r="P3356" s="2" t="s">
        <v>2391</v>
      </c>
    </row>
    <row r="3357" spans="1:16" hidden="1">
      <c r="A3357" s="2">
        <v>202009</v>
      </c>
      <c r="B3357" s="3">
        <v>44099</v>
      </c>
      <c r="C3357" s="2" t="s">
        <v>2265</v>
      </c>
      <c r="D3357" s="2" t="s">
        <v>2176</v>
      </c>
      <c r="E3357" s="2">
        <v>590.16999999999996</v>
      </c>
      <c r="F3357" s="2" t="e">
        <f>IF(Table2[[#This Row],[Manual Cat Value]]="",VLOOKUP(Table2[[#This Row],[Description]],'Actuals Lookup'!D:F,3,0),Table2[[#This Row],[Manual Cat Value]])</f>
        <v>#N/A</v>
      </c>
      <c r="J3357" s="2">
        <v>590.16999999999996</v>
      </c>
      <c r="K3357" s="2" t="b">
        <v>0</v>
      </c>
      <c r="L3357" s="2"/>
      <c r="M3357" s="2"/>
      <c r="N3357" s="4" t="s">
        <v>2259</v>
      </c>
      <c r="O3357" s="4" t="str">
        <f>LEFT(Table2[[#This Row],[Description]],75)</f>
        <v>Withdrawal Home payment to card 979181</v>
      </c>
      <c r="P3357" s="2" t="s">
        <v>2349</v>
      </c>
    </row>
    <row r="3358" spans="1:16" hidden="1">
      <c r="A3358" s="2">
        <v>202009</v>
      </c>
      <c r="B3358" s="3">
        <v>44099</v>
      </c>
      <c r="C3358" s="2" t="s">
        <v>2265</v>
      </c>
      <c r="D3358" s="2" t="s">
        <v>31</v>
      </c>
      <c r="E3358" s="2">
        <v>172.53</v>
      </c>
      <c r="F3358" s="2" t="str">
        <f>IF(Table2[[#This Row],[Manual Cat Value]]="",VLOOKUP(Table2[[#This Row],[Description]],'Actuals Lookup'!D:F,3,0),Table2[[#This Row],[Manual Cat Value]])</f>
        <v>Target</v>
      </c>
      <c r="J3358" s="2">
        <v>172.53</v>
      </c>
      <c r="K3358" s="2" t="b">
        <v>0</v>
      </c>
      <c r="L3358" s="2"/>
      <c r="M3358" s="2"/>
      <c r="N3358" s="4" t="s">
        <v>2259</v>
      </c>
      <c r="O3358" s="4" t="str">
        <f>LEFT(Table2[[#This Row],[Description]],75)</f>
        <v>Target</v>
      </c>
      <c r="P3358" s="2" t="s">
        <v>2309</v>
      </c>
    </row>
    <row r="3359" spans="1:16" hidden="1">
      <c r="A3359" s="2">
        <v>202009</v>
      </c>
      <c r="B3359" s="3">
        <v>44100</v>
      </c>
      <c r="C3359" s="2" t="s">
        <v>2447</v>
      </c>
      <c r="D3359" s="2" t="s">
        <v>787</v>
      </c>
      <c r="E3359" s="2">
        <v>53.79</v>
      </c>
      <c r="F3359" s="2" t="e">
        <f>IF(Table2[[#This Row],[Manual Cat Value]]="",VLOOKUP(Table2[[#This Row],[Description]],'Actuals Lookup'!D:F,3,0),Table2[[#This Row],[Manual Cat Value]])</f>
        <v>#N/A</v>
      </c>
      <c r="J3359" s="2">
        <v>53.79</v>
      </c>
      <c r="K3359" s="2" t="b">
        <v>0</v>
      </c>
      <c r="L3359" s="2"/>
      <c r="M3359" s="2"/>
      <c r="N3359" s="4" t="s">
        <v>2259</v>
      </c>
      <c r="O3359" s="4" t="str">
        <f>LEFT(Table2[[#This Row],[Description]],75)</f>
        <v>DOORDASH*KAIS SUSHI &amp; 6506819470 CAAPPLE PAY ENDIN</v>
      </c>
      <c r="P3359" s="2" t="s">
        <v>2505</v>
      </c>
    </row>
    <row r="3360" spans="1:16" hidden="1">
      <c r="A3360" s="2">
        <v>202009</v>
      </c>
      <c r="B3360" s="3">
        <v>44100</v>
      </c>
      <c r="C3360" s="2" t="s">
        <v>2258</v>
      </c>
      <c r="D3360" s="2" t="s">
        <v>787</v>
      </c>
      <c r="E3360" s="2">
        <v>53.79</v>
      </c>
      <c r="F3360" s="2" t="e">
        <f>IF(Table2[[#This Row],[Manual Cat Value]]="",VLOOKUP(Table2[[#This Row],[Description]],'Actuals Lookup'!D:F,3,0),Table2[[#This Row],[Manual Cat Value]])</f>
        <v>#N/A</v>
      </c>
      <c r="J3360" s="2">
        <v>53.79</v>
      </c>
      <c r="K3360" s="2" t="b">
        <v>0</v>
      </c>
      <c r="L3360" s="2"/>
      <c r="M3360" s="2"/>
      <c r="N3360" s="4" t="s">
        <v>2259</v>
      </c>
      <c r="O3360" s="4" t="str">
        <f>LEFT(Table2[[#This Row],[Description]],75)</f>
        <v>DOORDASH*KAIS SUSHI &amp; 6506819470 CAAPPLE PAY ENDIN</v>
      </c>
      <c r="P3360" s="2" t="s">
        <v>2505</v>
      </c>
    </row>
    <row r="3361" spans="1:16" hidden="1">
      <c r="A3361" s="2">
        <v>202009</v>
      </c>
      <c r="B3361" s="3">
        <v>44100</v>
      </c>
      <c r="C3361" s="2" t="s">
        <v>2447</v>
      </c>
      <c r="D3361" s="2" t="s">
        <v>1350</v>
      </c>
      <c r="E3361" s="2">
        <v>12.99</v>
      </c>
      <c r="F3361" s="2" t="str">
        <f>IF(Table2[[#This Row],[Manual Cat Value]]="",VLOOKUP(Table2[[#This Row],[Description]],'Actuals Lookup'!D:F,3,0),Table2[[#This Row],[Manual Cat Value]])</f>
        <v>Utilities</v>
      </c>
      <c r="J3361" s="2">
        <v>12.99</v>
      </c>
      <c r="K3361" s="2" t="b">
        <v>0</v>
      </c>
      <c r="L3361" s="2"/>
      <c r="M3361" s="2"/>
      <c r="N3361" s="4" t="s">
        <v>2259</v>
      </c>
      <c r="O3361" s="4" t="str">
        <f>LEFT(Table2[[#This Row],[Description]],75)</f>
        <v>Netflix</v>
      </c>
      <c r="P3361" s="2" t="s">
        <v>2306</v>
      </c>
    </row>
    <row r="3362" spans="1:16" hidden="1">
      <c r="A3362" s="2">
        <v>202009</v>
      </c>
      <c r="B3362" s="3">
        <v>44100</v>
      </c>
      <c r="C3362" s="2" t="s">
        <v>2258</v>
      </c>
      <c r="D3362" s="2" t="s">
        <v>1350</v>
      </c>
      <c r="E3362" s="2">
        <v>12.99</v>
      </c>
      <c r="F3362" s="2" t="str">
        <f>IF(Table2[[#This Row],[Manual Cat Value]]="",VLOOKUP(Table2[[#This Row],[Description]],'Actuals Lookup'!D:F,3,0),Table2[[#This Row],[Manual Cat Value]])</f>
        <v>Utilities</v>
      </c>
      <c r="J3362" s="2">
        <v>12.99</v>
      </c>
      <c r="K3362" s="2" t="b">
        <v>0</v>
      </c>
      <c r="L3362" s="2"/>
      <c r="M3362" s="2"/>
      <c r="N3362" s="4" t="s">
        <v>2259</v>
      </c>
      <c r="O3362" s="4" t="str">
        <f>LEFT(Table2[[#This Row],[Description]],75)</f>
        <v>Netflix</v>
      </c>
      <c r="P3362" s="2" t="s">
        <v>2306</v>
      </c>
    </row>
    <row r="3363" spans="1:16" hidden="1">
      <c r="A3363" s="2">
        <v>202009</v>
      </c>
      <c r="B3363" s="3">
        <v>44100</v>
      </c>
      <c r="C3363" s="2" t="s">
        <v>2274</v>
      </c>
      <c r="D3363" s="2" t="s">
        <v>2147</v>
      </c>
      <c r="E3363" s="2">
        <v>103</v>
      </c>
      <c r="F3363" s="2" t="e">
        <f>IF(Table2[[#This Row],[Manual Cat Value]]="",VLOOKUP(Table2[[#This Row],[Description]],'Actuals Lookup'!D:F,3,0),Table2[[#This Row],[Manual Cat Value]])</f>
        <v>#N/A</v>
      </c>
      <c r="J3363" s="2">
        <v>103</v>
      </c>
      <c r="K3363" s="2" t="b">
        <v>0</v>
      </c>
      <c r="L3363" s="2"/>
      <c r="M3363" s="2"/>
      <c r="N3363" s="4" t="s">
        <v>2259</v>
      </c>
      <c r="O3363" s="4" t="str">
        <f>LEFT(Table2[[#This Row],[Description]],75)</f>
        <v>Wells Fargo Bank</v>
      </c>
      <c r="P3363" s="2" t="s">
        <v>2281</v>
      </c>
    </row>
    <row r="3364" spans="1:16" hidden="1">
      <c r="A3364" s="2">
        <v>202009</v>
      </c>
      <c r="B3364" s="3">
        <v>44101</v>
      </c>
      <c r="C3364" s="2" t="s">
        <v>2262</v>
      </c>
      <c r="D3364" s="2" t="s">
        <v>566</v>
      </c>
      <c r="E3364" s="2">
        <v>14.95</v>
      </c>
      <c r="F3364" s="2" t="e">
        <f>IF(Table2[[#This Row],[Manual Cat Value]]="",VLOOKUP(Table2[[#This Row],[Description]],'Actuals Lookup'!D:F,3,0),Table2[[#This Row],[Manual Cat Value]])</f>
        <v>#N/A</v>
      </c>
      <c r="J3364" s="2">
        <v>14.95</v>
      </c>
      <c r="K3364" s="2" t="b">
        <v>0</v>
      </c>
      <c r="L3364" s="2"/>
      <c r="M3364" s="2"/>
      <c r="N3364" s="4" t="s">
        <v>2259</v>
      </c>
      <c r="O3364" s="4" t="str">
        <f>LEFT(Table2[[#This Row],[Description]],75)</f>
        <v>Clutch Brewing Co LLC</v>
      </c>
      <c r="P3364" s="2" t="s">
        <v>2506</v>
      </c>
    </row>
    <row r="3365" spans="1:16" hidden="1">
      <c r="A3365" s="2">
        <v>202009</v>
      </c>
      <c r="B3365" s="3">
        <v>44101</v>
      </c>
      <c r="C3365" s="2" t="s">
        <v>2262</v>
      </c>
      <c r="D3365" s="2" t="s">
        <v>947</v>
      </c>
      <c r="E3365" s="2">
        <v>-127.95</v>
      </c>
      <c r="F3365" s="2" t="e">
        <f>IF(Table2[[#This Row],[Manual Cat Value]]="",VLOOKUP(Table2[[#This Row],[Description]],'Actuals Lookup'!D:F,3,0),Table2[[#This Row],[Manual Cat Value]])</f>
        <v>#N/A</v>
      </c>
      <c r="J3365" s="2">
        <v>127.95</v>
      </c>
      <c r="K3365" s="2" t="b">
        <v>0</v>
      </c>
      <c r="L3365" s="2"/>
      <c r="M3365" s="2"/>
      <c r="N3365" s="4" t="s">
        <v>2273</v>
      </c>
      <c r="O3365" s="4" t="str">
        <f>LEFT(Table2[[#This Row],[Description]],75)</f>
        <v>Home Depot</v>
      </c>
      <c r="P3365" s="2" t="s">
        <v>2396</v>
      </c>
    </row>
    <row r="3366" spans="1:16" hidden="1">
      <c r="A3366" s="2">
        <v>202009</v>
      </c>
      <c r="B3366" s="3">
        <v>44101</v>
      </c>
      <c r="C3366" s="2" t="s">
        <v>2447</v>
      </c>
      <c r="D3366" s="2" t="s">
        <v>1773</v>
      </c>
      <c r="E3366" s="2">
        <v>25</v>
      </c>
      <c r="F3366" s="2" t="str">
        <f>IF(Table2[[#This Row],[Manual Cat Value]]="",VLOOKUP(Table2[[#This Row],[Description]],'Actuals Lookup'!D:F,3,0),Table2[[#This Row],[Manual Cat Value]])</f>
        <v>Restaurants</v>
      </c>
      <c r="J3366" s="2">
        <v>25</v>
      </c>
      <c r="K3366" s="2" t="b">
        <v>0</v>
      </c>
      <c r="L3366" s="2"/>
      <c r="M3366" s="2"/>
      <c r="N3366" s="4" t="s">
        <v>2259</v>
      </c>
      <c r="O3366" s="4" t="str">
        <f>LEFT(Table2[[#This Row],[Description]],75)</f>
        <v>Starbucks</v>
      </c>
      <c r="P3366" s="2" t="s">
        <v>2454</v>
      </c>
    </row>
    <row r="3367" spans="1:16" hidden="1">
      <c r="A3367" s="2">
        <v>202009</v>
      </c>
      <c r="B3367" s="3">
        <v>44101</v>
      </c>
      <c r="C3367" s="2" t="s">
        <v>2258</v>
      </c>
      <c r="D3367" s="2" t="s">
        <v>1773</v>
      </c>
      <c r="E3367" s="2">
        <v>25</v>
      </c>
      <c r="F3367" s="2" t="str">
        <f>IF(Table2[[#This Row],[Manual Cat Value]]="",VLOOKUP(Table2[[#This Row],[Description]],'Actuals Lookup'!D:F,3,0),Table2[[#This Row],[Manual Cat Value]])</f>
        <v>Restaurants</v>
      </c>
      <c r="J3367" s="2">
        <v>25</v>
      </c>
      <c r="K3367" s="2" t="b">
        <v>0</v>
      </c>
      <c r="L3367" s="2"/>
      <c r="M3367" s="2"/>
      <c r="N3367" s="4" t="s">
        <v>2259</v>
      </c>
      <c r="O3367" s="4" t="str">
        <f>LEFT(Table2[[#This Row],[Description]],75)</f>
        <v>Starbucks</v>
      </c>
      <c r="P3367" s="2" t="s">
        <v>2454</v>
      </c>
    </row>
    <row r="3368" spans="1:16" hidden="1">
      <c r="A3368" s="2">
        <v>202009</v>
      </c>
      <c r="B3368" s="3">
        <v>44101</v>
      </c>
      <c r="C3368" s="2" t="s">
        <v>2262</v>
      </c>
      <c r="D3368" s="2" t="s">
        <v>2149</v>
      </c>
      <c r="E3368" s="2">
        <v>10.39</v>
      </c>
      <c r="F3368" s="2" t="str">
        <f>IF(Table2[[#This Row],[Manual Cat Value]]="",VLOOKUP(Table2[[#This Row],[Description]],'Actuals Lookup'!D:F,3,0),Table2[[#This Row],[Manual Cat Value]])</f>
        <v>Restaurants</v>
      </c>
      <c r="J3368" s="2">
        <v>10.39</v>
      </c>
      <c r="K3368" s="2" t="b">
        <v>0</v>
      </c>
      <c r="L3368" s="2"/>
      <c r="M3368" s="2"/>
      <c r="N3368" s="4" t="s">
        <v>2259</v>
      </c>
      <c r="O3368" s="4" t="str">
        <f>LEFT(Table2[[#This Row],[Description]],75)</f>
        <v>Wendy's</v>
      </c>
      <c r="P3368" s="2" t="s">
        <v>2507</v>
      </c>
    </row>
    <row r="3369" spans="1:16" hidden="1">
      <c r="A3369" s="2">
        <v>202009</v>
      </c>
      <c r="B3369" s="3">
        <v>44102</v>
      </c>
      <c r="C3369" s="2" t="s">
        <v>2270</v>
      </c>
      <c r="D3369" s="2" t="s">
        <v>1410</v>
      </c>
      <c r="E3369" s="2" t="s">
        <v>2508</v>
      </c>
      <c r="F3369" s="2" t="str">
        <f>IF(Table2[[#This Row],[Manual Cat Value]]="",VLOOKUP(Table2[[#This Row],[Description]],'Actuals Lookup'!D:F,3,0),Table2[[#This Row],[Manual Cat Value]])</f>
        <v>Delete</v>
      </c>
      <c r="J3369" s="2">
        <v>407277.27</v>
      </c>
      <c r="K3369" s="2" t="b">
        <v>0</v>
      </c>
      <c r="L3369" s="2"/>
      <c r="M3369" s="2"/>
      <c r="N3369" s="4" t="s">
        <v>2273</v>
      </c>
      <c r="O3369" s="4" t="str">
        <f>LEFT(Table2[[#This Row],[Description]],75)</f>
        <v>PAYMENT</v>
      </c>
      <c r="P3369" s="2" t="s">
        <v>2492</v>
      </c>
    </row>
    <row r="3370" spans="1:16" hidden="1">
      <c r="A3370" s="2">
        <v>202009</v>
      </c>
      <c r="B3370" s="3">
        <v>44102</v>
      </c>
      <c r="C3370" s="2" t="s">
        <v>2447</v>
      </c>
      <c r="D3370" s="2" t="s">
        <v>316</v>
      </c>
      <c r="E3370" s="2">
        <v>31.95</v>
      </c>
      <c r="F3370" s="2" t="e">
        <f>IF(Table2[[#This Row],[Manual Cat Value]]="",VLOOKUP(Table2[[#This Row],[Description]],'Actuals Lookup'!D:F,3,0),Table2[[#This Row],[Manual Cat Value]])</f>
        <v>#N/A</v>
      </c>
      <c r="J3370" s="2">
        <v>31.95</v>
      </c>
      <c r="K3370" s="2" t="b">
        <v>0</v>
      </c>
      <c r="L3370" s="2"/>
      <c r="M3370" s="2"/>
      <c r="N3370" s="4" t="s">
        <v>2259</v>
      </c>
      <c r="O3370" s="4" t="str">
        <f>LEFT(Table2[[#This Row],[Description]],75)</f>
        <v>BP</v>
      </c>
      <c r="P3370" s="2" t="s">
        <v>2484</v>
      </c>
    </row>
    <row r="3371" spans="1:16" hidden="1">
      <c r="A3371" s="2">
        <v>202009</v>
      </c>
      <c r="B3371" s="3">
        <v>44102</v>
      </c>
      <c r="C3371" s="2" t="s">
        <v>2258</v>
      </c>
      <c r="D3371" s="2" t="s">
        <v>316</v>
      </c>
      <c r="E3371" s="2">
        <v>31.95</v>
      </c>
      <c r="F3371" s="2" t="e">
        <f>IF(Table2[[#This Row],[Manual Cat Value]]="",VLOOKUP(Table2[[#This Row],[Description]],'Actuals Lookup'!D:F,3,0),Table2[[#This Row],[Manual Cat Value]])</f>
        <v>#N/A</v>
      </c>
      <c r="J3371" s="2">
        <v>31.95</v>
      </c>
      <c r="K3371" s="2" t="b">
        <v>0</v>
      </c>
      <c r="L3371" s="2"/>
      <c r="M3371" s="2"/>
      <c r="N3371" s="4" t="s">
        <v>2259</v>
      </c>
      <c r="O3371" s="4" t="str">
        <f>LEFT(Table2[[#This Row],[Description]],75)</f>
        <v>BP</v>
      </c>
      <c r="P3371" s="2" t="s">
        <v>2484</v>
      </c>
    </row>
    <row r="3372" spans="1:16" hidden="1">
      <c r="A3372" s="2">
        <v>202009</v>
      </c>
      <c r="B3372" s="3">
        <v>44102</v>
      </c>
      <c r="C3372" s="2" t="s">
        <v>2265</v>
      </c>
      <c r="D3372" s="2" t="s">
        <v>632</v>
      </c>
      <c r="E3372" s="2">
        <v>-2385.58</v>
      </c>
      <c r="F3372" s="2" t="e">
        <f>IF(Table2[[#This Row],[Manual Cat Value]]="",VLOOKUP(Table2[[#This Row],[Description]],'Actuals Lookup'!D:F,3,0),Table2[[#This Row],[Manual Cat Value]])</f>
        <v>#N/A</v>
      </c>
      <c r="J3372" s="2">
        <v>2385.58</v>
      </c>
      <c r="K3372" s="2" t="b">
        <v>0</v>
      </c>
      <c r="L3372" s="2"/>
      <c r="M3372" s="2"/>
      <c r="N3372" s="4" t="s">
        <v>2273</v>
      </c>
      <c r="O3372" s="4" t="str">
        <f>LEFT(Table2[[#This Row],[Description]],75)</f>
        <v>CONNECTED ANALYT TYPE DIRECT DEP ID CO CONNECTED ANALYT ACH ECC PPD ACH Tra</v>
      </c>
      <c r="P3372" s="2" t="s">
        <v>2281</v>
      </c>
    </row>
    <row r="3373" spans="1:16" hidden="1">
      <c r="A3373" s="2">
        <v>202009</v>
      </c>
      <c r="B3373" s="3">
        <v>44102</v>
      </c>
      <c r="C3373" s="2" t="s">
        <v>2262</v>
      </c>
      <c r="D3373" s="2" t="s">
        <v>831</v>
      </c>
      <c r="E3373" s="2">
        <v>22.85</v>
      </c>
      <c r="F3373" s="2" t="e">
        <f>IF(Table2[[#This Row],[Manual Cat Value]]="",VLOOKUP(Table2[[#This Row],[Description]],'Actuals Lookup'!D:F,3,0),Table2[[#This Row],[Manual Cat Value]])</f>
        <v>#N/A</v>
      </c>
      <c r="J3373" s="2">
        <v>22.85</v>
      </c>
      <c r="K3373" s="2" t="b">
        <v>0</v>
      </c>
      <c r="L3373" s="2"/>
      <c r="M3373" s="2"/>
      <c r="N3373" s="4" t="s">
        <v>2259</v>
      </c>
      <c r="O3373" s="4" t="str">
        <f>LEFT(Table2[[#This Row],[Description]],75)</f>
        <v>Excelsior Brewing</v>
      </c>
      <c r="P3373" s="2" t="s">
        <v>2410</v>
      </c>
    </row>
    <row r="3374" spans="1:16" hidden="1">
      <c r="A3374" s="2">
        <v>202009</v>
      </c>
      <c r="B3374" s="3">
        <v>44102</v>
      </c>
      <c r="C3374" s="2" t="s">
        <v>2265</v>
      </c>
      <c r="D3374" s="2" t="s">
        <v>1205</v>
      </c>
      <c r="E3374" s="2">
        <v>391.2</v>
      </c>
      <c r="F3374" s="2" t="e">
        <f>IF(Table2[[#This Row],[Manual Cat Value]]="",VLOOKUP(Table2[[#This Row],[Description]],'Actuals Lookup'!D:F,3,0),Table2[[#This Row],[Manual Cat Value]])</f>
        <v>#N/A</v>
      </c>
      <c r="J3374" s="2">
        <v>391.2</v>
      </c>
      <c r="K3374" s="2" t="b">
        <v>0</v>
      </c>
      <c r="L3374" s="2"/>
      <c r="M3374" s="2"/>
      <c r="N3374" s="4" t="s">
        <v>2259</v>
      </c>
      <c r="O3374" s="4" t="str">
        <f>LEFT(Table2[[#This Row],[Description]],75)</f>
        <v>MHCHILDCARELLC TYPE DUES ID CO MHCHILDCARELLC ACH ECC PPD ACH Trace 11534</v>
      </c>
      <c r="P3374" s="2" t="s">
        <v>2281</v>
      </c>
    </row>
    <row r="3375" spans="1:16" hidden="1">
      <c r="A3375" s="2">
        <v>202009</v>
      </c>
      <c r="B3375" s="3">
        <v>44102</v>
      </c>
      <c r="C3375" s="2" t="s">
        <v>2317</v>
      </c>
      <c r="D3375" s="2" t="s">
        <v>1638</v>
      </c>
      <c r="E3375" s="2">
        <v>-18.649999999999999</v>
      </c>
      <c r="F3375" s="2" t="e">
        <f>IF(Table2[[#This Row],[Manual Cat Value]]="",VLOOKUP(Table2[[#This Row],[Description]],'Actuals Lookup'!D:F,3,0),Table2[[#This Row],[Manual Cat Value]])</f>
        <v>#N/A</v>
      </c>
      <c r="J3375" s="2">
        <v>18.649999999999999</v>
      </c>
      <c r="K3375" s="2" t="b">
        <v>0</v>
      </c>
      <c r="L3375" s="2"/>
      <c r="M3375" s="2"/>
      <c r="N3375" s="4" t="s">
        <v>2273</v>
      </c>
      <c r="O3375" s="4" t="str">
        <f>LEFT(Table2[[#This Row],[Description]],75)</f>
        <v>SCHWAB US SMALL CAP ETF</v>
      </c>
      <c r="P3375" s="2" t="s">
        <v>2351</v>
      </c>
    </row>
    <row r="3376" spans="1:16" hidden="1">
      <c r="A3376" s="2">
        <v>202009</v>
      </c>
      <c r="B3376" s="3">
        <v>44102</v>
      </c>
      <c r="C3376" s="2" t="s">
        <v>2262</v>
      </c>
      <c r="D3376" s="2" t="s">
        <v>2135</v>
      </c>
      <c r="E3376" s="2">
        <v>26.83</v>
      </c>
      <c r="F3376" s="2" t="str">
        <f>IF(Table2[[#This Row],[Manual Cat Value]]="",VLOOKUP(Table2[[#This Row],[Description]],'Actuals Lookup'!D:F,3,0),Table2[[#This Row],[Manual Cat Value]])</f>
        <v>Groceries</v>
      </c>
      <c r="J3376" s="2">
        <v>26.83</v>
      </c>
      <c r="K3376" s="2" t="b">
        <v>0</v>
      </c>
      <c r="L3376" s="2"/>
      <c r="M3376" s="2"/>
      <c r="N3376" s="4" t="s">
        <v>2259</v>
      </c>
      <c r="O3376" s="4" t="str">
        <f>LEFT(Table2[[#This Row],[Description]],75)</f>
        <v>Walgreens</v>
      </c>
      <c r="P3376" s="2" t="s">
        <v>2389</v>
      </c>
    </row>
    <row r="3377" spans="1:16" hidden="1">
      <c r="A3377" s="2">
        <v>202009</v>
      </c>
      <c r="B3377" s="3">
        <v>44103</v>
      </c>
      <c r="C3377" s="2" t="s">
        <v>2447</v>
      </c>
      <c r="D3377" s="2" t="s">
        <v>458</v>
      </c>
      <c r="E3377" s="2">
        <v>-3.35</v>
      </c>
      <c r="F3377" s="2" t="e">
        <f>IF(Table2[[#This Row],[Manual Cat Value]]="",VLOOKUP(Table2[[#This Row],[Description]],'Actuals Lookup'!D:F,3,0),Table2[[#This Row],[Manual Cat Value]])</f>
        <v>#N/A</v>
      </c>
      <c r="J3377" s="2">
        <v>3.35</v>
      </c>
      <c r="K3377" s="2" t="b">
        <v>0</v>
      </c>
      <c r="L3377" s="2"/>
      <c r="M3377" s="2"/>
      <c r="N3377" s="4" t="s">
        <v>2273</v>
      </c>
      <c r="O3377" s="4" t="str">
        <f>LEFT(Table2[[#This Row],[Description]],75)</f>
        <v>CASHBACK BONUS REDEMPTION payment/STMT CRDT</v>
      </c>
      <c r="P3377" s="2" t="s">
        <v>2304</v>
      </c>
    </row>
    <row r="3378" spans="1:16" hidden="1">
      <c r="A3378" s="2">
        <v>202009</v>
      </c>
      <c r="B3378" s="3">
        <v>44103</v>
      </c>
      <c r="C3378" s="2" t="s">
        <v>2258</v>
      </c>
      <c r="D3378" s="2" t="s">
        <v>458</v>
      </c>
      <c r="E3378" s="2">
        <v>-3.35</v>
      </c>
      <c r="F3378" s="2" t="e">
        <f>IF(Table2[[#This Row],[Manual Cat Value]]="",VLOOKUP(Table2[[#This Row],[Description]],'Actuals Lookup'!D:F,3,0),Table2[[#This Row],[Manual Cat Value]])</f>
        <v>#N/A</v>
      </c>
      <c r="J3378" s="2">
        <v>3.35</v>
      </c>
      <c r="K3378" s="2" t="b">
        <v>0</v>
      </c>
      <c r="L3378" s="2"/>
      <c r="M3378" s="2"/>
      <c r="N3378" s="4" t="s">
        <v>2273</v>
      </c>
      <c r="O3378" s="4" t="str">
        <f>LEFT(Table2[[#This Row],[Description]],75)</f>
        <v>CASHBACK BONUS REDEMPTION payment/STMT CRDT</v>
      </c>
      <c r="P3378" s="2" t="s">
        <v>2304</v>
      </c>
    </row>
    <row r="3379" spans="1:16" hidden="1">
      <c r="A3379" s="2">
        <v>202009</v>
      </c>
      <c r="B3379" s="3">
        <v>44103</v>
      </c>
      <c r="C3379" s="2" t="s">
        <v>2447</v>
      </c>
      <c r="D3379" s="2" t="s">
        <v>997</v>
      </c>
      <c r="E3379" s="2">
        <v>-127.62</v>
      </c>
      <c r="F3379" s="2" t="str">
        <f>IF(Table2[[#This Row],[Manual Cat Value]]="",VLOOKUP(Table2[[#This Row],[Description]],'Actuals Lookup'!D:F,3,0),Table2[[#This Row],[Manual Cat Value]])</f>
        <v>Delete</v>
      </c>
      <c r="J3379" s="2">
        <v>127.62</v>
      </c>
      <c r="K3379" s="2" t="b">
        <v>0</v>
      </c>
      <c r="L3379" s="2"/>
      <c r="M3379" s="2"/>
      <c r="N3379" s="4" t="s">
        <v>2273</v>
      </c>
      <c r="O3379" s="4" t="str">
        <f>LEFT(Table2[[#This Row],[Description]],75)</f>
        <v>INTERNET PAYMENT - THANK YOU</v>
      </c>
      <c r="P3379" s="2" t="s">
        <v>2291</v>
      </c>
    </row>
    <row r="3380" spans="1:16" hidden="1">
      <c r="A3380" s="2">
        <v>202009</v>
      </c>
      <c r="B3380" s="3">
        <v>44103</v>
      </c>
      <c r="C3380" s="2" t="s">
        <v>2258</v>
      </c>
      <c r="D3380" s="2" t="s">
        <v>997</v>
      </c>
      <c r="E3380" s="2">
        <v>-127.62</v>
      </c>
      <c r="F3380" s="2" t="str">
        <f>IF(Table2[[#This Row],[Manual Cat Value]]="",VLOOKUP(Table2[[#This Row],[Description]],'Actuals Lookup'!D:F,3,0),Table2[[#This Row],[Manual Cat Value]])</f>
        <v>Delete</v>
      </c>
      <c r="J3380" s="2">
        <v>127.62</v>
      </c>
      <c r="K3380" s="2" t="b">
        <v>0</v>
      </c>
      <c r="L3380" s="2"/>
      <c r="M3380" s="2"/>
      <c r="N3380" s="4" t="s">
        <v>2273</v>
      </c>
      <c r="O3380" s="4" t="str">
        <f>LEFT(Table2[[#This Row],[Description]],75)</f>
        <v>INTERNET PAYMENT - THANK YOU</v>
      </c>
      <c r="P3380" s="2" t="s">
        <v>2291</v>
      </c>
    </row>
    <row r="3381" spans="1:16" hidden="1">
      <c r="A3381" s="2">
        <v>202009</v>
      </c>
      <c r="B3381" s="3">
        <v>44103</v>
      </c>
      <c r="C3381" s="2" t="s">
        <v>2262</v>
      </c>
      <c r="D3381" s="2" t="s">
        <v>38</v>
      </c>
      <c r="E3381" s="2">
        <v>16.2</v>
      </c>
      <c r="F3381" s="2" t="str">
        <f>IF(Table2[[#This Row],[Manual Cat Value]]="",VLOOKUP(Table2[[#This Row],[Description]],'Actuals Lookup'!D:F,3,0),Table2[[#This Row],[Manual Cat Value]])</f>
        <v>Amazon</v>
      </c>
      <c r="J3381" s="2">
        <v>16.2</v>
      </c>
      <c r="K3381" s="2" t="b">
        <v>0</v>
      </c>
      <c r="L3381" s="2"/>
      <c r="M3381" s="2"/>
      <c r="N3381" s="4" t="s">
        <v>2259</v>
      </c>
      <c r="O3381" s="4" t="str">
        <f>LEFT(Table2[[#This Row],[Description]],75)</f>
        <v>Amazon</v>
      </c>
      <c r="P3381" s="2" t="s">
        <v>2260</v>
      </c>
    </row>
    <row r="3382" spans="1:16" hidden="1">
      <c r="A3382" s="2">
        <v>202009</v>
      </c>
      <c r="B3382" s="3">
        <v>44103</v>
      </c>
      <c r="C3382" s="2" t="s">
        <v>2262</v>
      </c>
      <c r="D3382" s="2" t="s">
        <v>38</v>
      </c>
      <c r="E3382" s="2">
        <v>27.53</v>
      </c>
      <c r="F3382" s="2" t="str">
        <f>IF(Table2[[#This Row],[Manual Cat Value]]="",VLOOKUP(Table2[[#This Row],[Description]],'Actuals Lookup'!D:F,3,0),Table2[[#This Row],[Manual Cat Value]])</f>
        <v>Amazon</v>
      </c>
      <c r="J3382" s="2">
        <v>27.53</v>
      </c>
      <c r="K3382" s="2" t="b">
        <v>0</v>
      </c>
      <c r="L3382" s="2"/>
      <c r="M3382" s="2"/>
      <c r="N3382" s="4" t="s">
        <v>2259</v>
      </c>
      <c r="O3382" s="4" t="str">
        <f>LEFT(Table2[[#This Row],[Description]],75)</f>
        <v>Amazon</v>
      </c>
      <c r="P3382" s="2" t="s">
        <v>2260</v>
      </c>
    </row>
    <row r="3383" spans="1:16" hidden="1">
      <c r="A3383" s="2">
        <v>202009</v>
      </c>
      <c r="B3383" s="3">
        <v>44103</v>
      </c>
      <c r="C3383" s="2" t="s">
        <v>2262</v>
      </c>
      <c r="D3383" s="2" t="s">
        <v>684</v>
      </c>
      <c r="E3383" s="2">
        <v>144.86000000000001</v>
      </c>
      <c r="F3383" s="2" t="str">
        <f>IF(Table2[[#This Row],[Manual Cat Value]]="",VLOOKUP(Table2[[#This Row],[Description]],'Actuals Lookup'!D:F,3,0),Table2[[#This Row],[Manual Cat Value]])</f>
        <v>Groceries</v>
      </c>
      <c r="J3383" s="2">
        <v>144.86000000000001</v>
      </c>
      <c r="K3383" s="2" t="b">
        <v>0</v>
      </c>
      <c r="L3383" s="2"/>
      <c r="M3383" s="2"/>
      <c r="N3383" s="4" t="s">
        <v>2259</v>
      </c>
      <c r="O3383" s="4" t="str">
        <f>LEFT(Table2[[#This Row],[Description]],75)</f>
        <v>Cub Foods</v>
      </c>
      <c r="P3383" s="2" t="s">
        <v>2370</v>
      </c>
    </row>
    <row r="3384" spans="1:16" hidden="1">
      <c r="A3384" s="2">
        <v>202009</v>
      </c>
      <c r="B3384" s="3">
        <v>44103</v>
      </c>
      <c r="C3384" s="2" t="s">
        <v>2265</v>
      </c>
      <c r="D3384" s="2" t="s">
        <v>1471</v>
      </c>
      <c r="E3384" s="2">
        <v>0.99</v>
      </c>
      <c r="F3384" s="2" t="str">
        <f>IF(Table2[[#This Row],[Manual Cat Value]]="",VLOOKUP(Table2[[#This Row],[Description]],'Actuals Lookup'!D:F,3,0),Table2[[#This Row],[Manual Cat Value]])</f>
        <v>Shopping</v>
      </c>
      <c r="J3384" s="2">
        <v>0.99</v>
      </c>
      <c r="K3384" s="2" t="b">
        <v>0</v>
      </c>
      <c r="L3384" s="2"/>
      <c r="M3384" s="2"/>
      <c r="N3384" s="4" t="s">
        <v>2259</v>
      </c>
      <c r="O3384" s="4" t="str">
        <f>LEFT(Table2[[#This Row],[Description]],75)</f>
        <v>PayPal</v>
      </c>
      <c r="P3384" s="2" t="s">
        <v>2322</v>
      </c>
    </row>
    <row r="3385" spans="1:16" hidden="1">
      <c r="A3385" s="2">
        <v>202009</v>
      </c>
      <c r="B3385" s="3">
        <v>44103</v>
      </c>
      <c r="C3385" s="2" t="s">
        <v>2317</v>
      </c>
      <c r="D3385" s="2" t="s">
        <v>1638</v>
      </c>
      <c r="E3385" s="2">
        <v>18.649999999999999</v>
      </c>
      <c r="F3385" s="2" t="e">
        <f>IF(Table2[[#This Row],[Manual Cat Value]]="",VLOOKUP(Table2[[#This Row],[Description]],'Actuals Lookup'!D:F,3,0),Table2[[#This Row],[Manual Cat Value]])</f>
        <v>#N/A</v>
      </c>
      <c r="J3385" s="2">
        <v>18.649999999999999</v>
      </c>
      <c r="K3385" s="2" t="b">
        <v>0</v>
      </c>
      <c r="L3385" s="2"/>
      <c r="M3385" s="2"/>
      <c r="N3385" s="4" t="s">
        <v>2259</v>
      </c>
      <c r="O3385" s="4" t="str">
        <f>LEFT(Table2[[#This Row],[Description]],75)</f>
        <v>SCHWAB US SMALL CAP ETF</v>
      </c>
      <c r="P3385" s="2" t="s">
        <v>2351</v>
      </c>
    </row>
    <row r="3386" spans="1:16" hidden="1">
      <c r="A3386" s="2">
        <v>202009</v>
      </c>
      <c r="B3386" s="3">
        <v>44104</v>
      </c>
      <c r="C3386" s="2" t="s">
        <v>2265</v>
      </c>
      <c r="D3386" s="2" t="s">
        <v>758</v>
      </c>
      <c r="E3386" s="2">
        <v>127.62</v>
      </c>
      <c r="F3386" s="2" t="e">
        <f>IF(Table2[[#This Row],[Manual Cat Value]]="",VLOOKUP(Table2[[#This Row],[Description]],'Actuals Lookup'!D:F,3,0),Table2[[#This Row],[Manual Cat Value]])</f>
        <v>#N/A</v>
      </c>
      <c r="J3386" s="2">
        <v>127.62</v>
      </c>
      <c r="K3386" s="2" t="b">
        <v>0</v>
      </c>
      <c r="L3386" s="2"/>
      <c r="M3386" s="2"/>
      <c r="N3386" s="4" t="s">
        <v>2259</v>
      </c>
      <c r="O3386" s="4" t="str">
        <f>LEFT(Table2[[#This Row],[Description]],75)</f>
        <v>DISCOVER TYPE EPAYMENT ID CO DISCOVER ACH ECC WEB ACH Trace 31598</v>
      </c>
      <c r="P3386" s="2" t="s">
        <v>2293</v>
      </c>
    </row>
    <row r="3387" spans="1:16" hidden="1">
      <c r="A3387" s="2">
        <v>202009</v>
      </c>
      <c r="B3387" s="3">
        <v>44104</v>
      </c>
      <c r="C3387" s="2" t="s">
        <v>2274</v>
      </c>
      <c r="D3387" s="2" t="s">
        <v>176</v>
      </c>
      <c r="E3387" s="2">
        <v>-5.75</v>
      </c>
      <c r="F3387" s="2" t="e">
        <f>IF(Table2[[#This Row],[Manual Cat Value]]="",VLOOKUP(Table2[[#This Row],[Description]],'Actuals Lookup'!D:F,3,0),Table2[[#This Row],[Manual Cat Value]])</f>
        <v>#N/A</v>
      </c>
      <c r="J3387" s="2">
        <v>5.75</v>
      </c>
      <c r="K3387" s="2" t="b">
        <v>0</v>
      </c>
      <c r="L3387" s="2"/>
      <c r="M3387" s="2"/>
      <c r="N3387" s="4" t="s">
        <v>2273</v>
      </c>
      <c r="O3387" s="4" t="str">
        <f>LEFT(Table2[[#This Row],[Description]],75)</f>
        <v>ATM Fee Rebate</v>
      </c>
      <c r="P3387" s="2" t="s">
        <v>2281</v>
      </c>
    </row>
    <row r="3388" spans="1:16" hidden="1">
      <c r="A3388" s="2">
        <v>202009</v>
      </c>
      <c r="B3388" s="3">
        <v>44104</v>
      </c>
      <c r="C3388" s="2" t="s">
        <v>2265</v>
      </c>
      <c r="D3388" s="2" t="s">
        <v>177</v>
      </c>
      <c r="E3388" s="2">
        <v>-3</v>
      </c>
      <c r="F3388" s="2" t="e">
        <f>IF(Table2[[#This Row],[Manual Cat Value]]="",VLOOKUP(Table2[[#This Row],[Description]],'Actuals Lookup'!D:F,3,0),Table2[[#This Row],[Manual Cat Value]])</f>
        <v>#N/A</v>
      </c>
      <c r="J3388" s="2">
        <v>3</v>
      </c>
      <c r="K3388" s="2" t="b">
        <v>0</v>
      </c>
      <c r="L3388" s="2"/>
      <c r="M3388" s="2"/>
      <c r="N3388" s="4" t="s">
        <v>2273</v>
      </c>
      <c r="O3388" s="4" t="str">
        <f>LEFT(Table2[[#This Row],[Description]],75)</f>
        <v>ATM FEE REFUND</v>
      </c>
      <c r="P3388" s="2" t="s">
        <v>2281</v>
      </c>
    </row>
    <row r="3389" spans="1:16" hidden="1">
      <c r="A3389" s="2">
        <v>202009</v>
      </c>
      <c r="B3389" s="3">
        <v>44104</v>
      </c>
      <c r="C3389" s="2" t="s">
        <v>2265</v>
      </c>
      <c r="D3389" s="2" t="s">
        <v>369</v>
      </c>
      <c r="E3389" s="2">
        <v>-1993.07</v>
      </c>
      <c r="F3389" s="2" t="e">
        <f>IF(Table2[[#This Row],[Manual Cat Value]]="",VLOOKUP(Table2[[#This Row],[Description]],'Actuals Lookup'!D:F,3,0),Table2[[#This Row],[Manual Cat Value]])</f>
        <v>#N/A</v>
      </c>
      <c r="J3389" s="2">
        <v>1993.07</v>
      </c>
      <c r="K3389" s="2" t="b">
        <v>0</v>
      </c>
      <c r="L3389" s="2"/>
      <c r="M3389" s="2"/>
      <c r="N3389" s="4" t="s">
        <v>2273</v>
      </c>
      <c r="O3389" s="4" t="str">
        <f>LEFT(Table2[[#This Row],[Description]],75)</f>
        <v>CARGILL COCOA TYPE DIR DEP ID CO CARGILL COCOA ACH ECC PPD ACH Trace 30192</v>
      </c>
      <c r="P3389" s="2" t="s">
        <v>2284</v>
      </c>
    </row>
    <row r="3390" spans="1:16" hidden="1">
      <c r="A3390" s="2">
        <v>202009</v>
      </c>
      <c r="B3390" s="3">
        <v>44104</v>
      </c>
      <c r="C3390" s="2" t="s">
        <v>2317</v>
      </c>
      <c r="D3390" s="2" t="s">
        <v>605</v>
      </c>
      <c r="E3390" s="2">
        <v>-250</v>
      </c>
      <c r="F3390" s="2" t="e">
        <f>IF(Table2[[#This Row],[Manual Cat Value]]="",VLOOKUP(Table2[[#This Row],[Description]],'Actuals Lookup'!D:F,3,0),Table2[[#This Row],[Manual Cat Value]])</f>
        <v>#N/A</v>
      </c>
      <c r="J3390" s="2">
        <v>250</v>
      </c>
      <c r="K3390" s="2" t="b">
        <v>0</v>
      </c>
      <c r="L3390" s="2"/>
      <c r="M3390" s="2"/>
      <c r="N3390" s="4" t="s">
        <v>2273</v>
      </c>
      <c r="O3390" s="4" t="str">
        <f>LEFT(Table2[[#This Row],[Description]],75)</f>
        <v>CONNECTED ANALYT</v>
      </c>
      <c r="P3390" s="2" t="s">
        <v>2493</v>
      </c>
    </row>
    <row r="3391" spans="1:16" hidden="1">
      <c r="A3391" s="2">
        <v>202009</v>
      </c>
      <c r="B3391" s="3">
        <v>44104</v>
      </c>
      <c r="C3391" s="2" t="s">
        <v>2274</v>
      </c>
      <c r="D3391" s="2" t="s">
        <v>994</v>
      </c>
      <c r="E3391" s="2">
        <v>-0.01</v>
      </c>
      <c r="F3391" s="2" t="e">
        <f>IF(Table2[[#This Row],[Manual Cat Value]]="",VLOOKUP(Table2[[#This Row],[Description]],'Actuals Lookup'!D:F,3,0),Table2[[#This Row],[Manual Cat Value]])</f>
        <v>#N/A</v>
      </c>
      <c r="J3391" s="2">
        <v>0.01</v>
      </c>
      <c r="K3391" s="2" t="b">
        <v>0</v>
      </c>
      <c r="L3391" s="2"/>
      <c r="M3391" s="2"/>
      <c r="N3391" s="4" t="s">
        <v>2273</v>
      </c>
      <c r="O3391" s="4" t="str">
        <f>LEFT(Table2[[#This Row],[Description]],75)</f>
        <v>Interest Paid</v>
      </c>
      <c r="P3391" s="2" t="s">
        <v>2312</v>
      </c>
    </row>
    <row r="3392" spans="1:16" hidden="1">
      <c r="A3392" s="2">
        <v>202009</v>
      </c>
      <c r="B3392" s="3">
        <v>44104</v>
      </c>
      <c r="C3392" s="2" t="s">
        <v>2300</v>
      </c>
      <c r="D3392" s="2" t="s">
        <v>1709</v>
      </c>
      <c r="E3392" s="2">
        <v>-14.26</v>
      </c>
      <c r="F3392" s="2" t="e">
        <f>IF(Table2[[#This Row],[Manual Cat Value]]="",VLOOKUP(Table2[[#This Row],[Description]],'Actuals Lookup'!D:F,3,0),Table2[[#This Row],[Manual Cat Value]])</f>
        <v>#N/A</v>
      </c>
      <c r="J3392" s="2">
        <v>14.26</v>
      </c>
      <c r="K3392" s="2" t="b">
        <v>0</v>
      </c>
      <c r="L3392" s="2"/>
      <c r="M3392" s="2"/>
      <c r="N3392" s="4" t="s">
        <v>2273</v>
      </c>
      <c r="O3392" s="4" t="str">
        <f>LEFT(Table2[[#This Row],[Description]],75)</f>
        <v>Split Rate Apy</v>
      </c>
      <c r="P3392" s="2" t="s">
        <v>2313</v>
      </c>
    </row>
    <row r="3393" spans="1:16" hidden="1">
      <c r="A3393" s="2">
        <v>202009</v>
      </c>
      <c r="B3393" s="3">
        <v>44104</v>
      </c>
      <c r="C3393" s="2" t="s">
        <v>2265</v>
      </c>
      <c r="D3393" s="2" t="s">
        <v>1709</v>
      </c>
      <c r="E3393" s="2">
        <v>-19.850000000000001</v>
      </c>
      <c r="F3393" s="2" t="e">
        <f>IF(Table2[[#This Row],[Manual Cat Value]]="",VLOOKUP(Table2[[#This Row],[Description]],'Actuals Lookup'!D:F,3,0),Table2[[#This Row],[Manual Cat Value]])</f>
        <v>#N/A</v>
      </c>
      <c r="J3393" s="2">
        <v>19.850000000000001</v>
      </c>
      <c r="K3393" s="2" t="b">
        <v>0</v>
      </c>
      <c r="L3393" s="2"/>
      <c r="M3393" s="2"/>
      <c r="N3393" s="4" t="s">
        <v>2273</v>
      </c>
      <c r="O3393" s="4" t="str">
        <f>LEFT(Table2[[#This Row],[Description]],75)</f>
        <v>Split Rate Apy</v>
      </c>
      <c r="P3393" s="2" t="s">
        <v>2313</v>
      </c>
    </row>
    <row r="3394" spans="1:16" hidden="1">
      <c r="A3394" s="2">
        <v>202009</v>
      </c>
      <c r="B3394" s="3">
        <v>44104</v>
      </c>
      <c r="C3394" s="2" t="s">
        <v>2435</v>
      </c>
      <c r="D3394" s="2" t="s">
        <v>1836</v>
      </c>
      <c r="E3394" s="2">
        <v>-250</v>
      </c>
      <c r="F3394" s="2" t="e">
        <f>IF(Table2[[#This Row],[Manual Cat Value]]="",VLOOKUP(Table2[[#This Row],[Description]],'Actuals Lookup'!D:F,3,0),Table2[[#This Row],[Manual Cat Value]])</f>
        <v>#N/A</v>
      </c>
      <c r="J3394" s="2">
        <v>250</v>
      </c>
      <c r="K3394" s="2" t="b">
        <v>0</v>
      </c>
      <c r="L3394" s="2"/>
      <c r="M3394" s="2"/>
      <c r="N3394" s="4" t="s">
        <v>2273</v>
      </c>
      <c r="O3394" s="4" t="str">
        <f>LEFT(Table2[[#This Row],[Description]],75)</f>
        <v>Tfr JPMORGAN CHASE BAN, CONNECTED ANALYT</v>
      </c>
      <c r="P3394" s="2" t="s">
        <v>2493</v>
      </c>
    </row>
    <row r="3395" spans="1:16" hidden="1">
      <c r="A3395" s="2">
        <v>202009</v>
      </c>
      <c r="B3395" s="3">
        <v>44104</v>
      </c>
      <c r="C3395" s="2" t="s">
        <v>2262</v>
      </c>
      <c r="D3395" s="2" t="s">
        <v>1871</v>
      </c>
      <c r="E3395" s="2">
        <v>-45.91</v>
      </c>
      <c r="F3395" s="2" t="e">
        <f>IF(Table2[[#This Row],[Manual Cat Value]]="",VLOOKUP(Table2[[#This Row],[Description]],'Actuals Lookup'!D:F,3,0),Table2[[#This Row],[Manual Cat Value]])</f>
        <v>#N/A</v>
      </c>
      <c r="J3395" s="2">
        <v>45.91</v>
      </c>
      <c r="K3395" s="2" t="b">
        <v>0</v>
      </c>
      <c r="L3395" s="2"/>
      <c r="M3395" s="2"/>
      <c r="N3395" s="4" t="s">
        <v>2273</v>
      </c>
      <c r="O3395" s="4" t="str">
        <f>LEFT(Table2[[#This Row],[Description]],75)</f>
        <v>Timberwall Landscape M</v>
      </c>
      <c r="P3395" s="2" t="s">
        <v>2281</v>
      </c>
    </row>
    <row r="3396" spans="1:16" hidden="1">
      <c r="A3396" s="2">
        <v>202010</v>
      </c>
      <c r="B3396" s="3">
        <v>44105</v>
      </c>
      <c r="C3396" s="2" t="s">
        <v>2265</v>
      </c>
      <c r="D3396" s="2" t="s">
        <v>596</v>
      </c>
      <c r="E3396" s="2">
        <v>200</v>
      </c>
      <c r="F3396" s="2" t="e">
        <f>IF(Table2[[#This Row],[Manual Cat Value]]="",VLOOKUP(Table2[[#This Row],[Description]],'Actuals Lookup'!D:F,3,0),Table2[[#This Row],[Manual Cat Value]])</f>
        <v>#N/A</v>
      </c>
      <c r="J3396" s="2">
        <v>200</v>
      </c>
      <c r="K3396" s="2" t="b">
        <v>0</v>
      </c>
      <c r="L3396" s="2"/>
      <c r="M3396" s="2"/>
      <c r="N3396" s="4" t="s">
        <v>2259</v>
      </c>
      <c r="O3396" s="4" t="str">
        <f>LEFT(Table2[[#This Row],[Description]],75)</f>
        <v>College Savings TYPE ACH ID 550895818 CO College Savings ACH ECC PPD ACH Tr</v>
      </c>
      <c r="P3396" s="2" t="s">
        <v>2272</v>
      </c>
    </row>
    <row r="3397" spans="1:16" hidden="1">
      <c r="A3397" s="2">
        <v>202010</v>
      </c>
      <c r="B3397" s="3">
        <v>44105</v>
      </c>
      <c r="C3397" s="2" t="s">
        <v>2305</v>
      </c>
      <c r="D3397" s="2" t="s">
        <v>670</v>
      </c>
      <c r="E3397" s="2">
        <v>-251.64</v>
      </c>
      <c r="F3397" s="2" t="e">
        <f>IF(Table2[[#This Row],[Manual Cat Value]]="",VLOOKUP(Table2[[#This Row],[Description]],'Actuals Lookup'!D:F,3,0),Table2[[#This Row],[Manual Cat Value]])</f>
        <v>#N/A</v>
      </c>
      <c r="J3397" s="2">
        <v>251.64</v>
      </c>
      <c r="K3397" s="2" t="b">
        <v>0</v>
      </c>
      <c r="L3397" s="2"/>
      <c r="M3397" s="2"/>
      <c r="N3397" s="4" t="s">
        <v>2273</v>
      </c>
      <c r="O3397" s="4" t="str">
        <f>LEFT(Table2[[#This Row],[Description]],75)</f>
        <v>Cred Rebate</v>
      </c>
      <c r="P3397" s="2" t="s">
        <v>2443</v>
      </c>
    </row>
    <row r="3398" spans="1:16" hidden="1">
      <c r="A3398" s="2">
        <v>202010</v>
      </c>
      <c r="B3398" s="3">
        <v>44105</v>
      </c>
      <c r="C3398" s="2" t="s">
        <v>2314</v>
      </c>
      <c r="D3398" s="2" t="s">
        <v>859</v>
      </c>
      <c r="E3398" s="2">
        <v>-576.9</v>
      </c>
      <c r="F3398" s="2" t="e">
        <f>IF(Table2[[#This Row],[Manual Cat Value]]="",VLOOKUP(Table2[[#This Row],[Description]],'Actuals Lookup'!D:F,3,0),Table2[[#This Row],[Manual Cat Value]])</f>
        <v>#N/A</v>
      </c>
      <c r="J3398" s="2">
        <v>576.9</v>
      </c>
      <c r="K3398" s="2" t="b">
        <v>0</v>
      </c>
      <c r="L3398" s="2"/>
      <c r="M3398" s="2"/>
      <c r="N3398" s="4" t="s">
        <v>2273</v>
      </c>
      <c r="O3398" s="4" t="str">
        <f>LEFT(Table2[[#This Row],[Description]],75)</f>
        <v>From Share 70</v>
      </c>
      <c r="P3398" s="2" t="s">
        <v>2496</v>
      </c>
    </row>
    <row r="3399" spans="1:16" hidden="1">
      <c r="A3399" s="2">
        <v>202010</v>
      </c>
      <c r="B3399" s="3">
        <v>44105</v>
      </c>
      <c r="C3399" s="2" t="s">
        <v>2262</v>
      </c>
      <c r="D3399" s="2" t="s">
        <v>1501</v>
      </c>
      <c r="E3399" s="2">
        <v>161.06</v>
      </c>
      <c r="F3399" s="2" t="e">
        <f>IF(Table2[[#This Row],[Manual Cat Value]]="",VLOOKUP(Table2[[#This Row],[Description]],'Actuals Lookup'!D:F,3,0),Table2[[#This Row],[Manual Cat Value]])</f>
        <v>#N/A</v>
      </c>
      <c r="J3399" s="2">
        <v>161.06</v>
      </c>
      <c r="K3399" s="2" t="b">
        <v>0</v>
      </c>
      <c r="L3399" s="2"/>
      <c r="M3399" s="2"/>
      <c r="N3399" s="4" t="s">
        <v>2259</v>
      </c>
      <c r="O3399" s="4" t="str">
        <f>LEFT(Table2[[#This Row],[Description]],75)</f>
        <v>Plunkett's Pest Control, Inc.</v>
      </c>
      <c r="P3399" s="2" t="s">
        <v>2281</v>
      </c>
    </row>
    <row r="3400" spans="1:16" hidden="1">
      <c r="A3400" s="2">
        <v>202010</v>
      </c>
      <c r="B3400" s="3">
        <v>44105</v>
      </c>
      <c r="C3400" s="2" t="s">
        <v>2265</v>
      </c>
      <c r="D3400" s="2" t="s">
        <v>1648</v>
      </c>
      <c r="E3400" s="2">
        <v>-251</v>
      </c>
      <c r="F3400" s="2" t="e">
        <f>IF(Table2[[#This Row],[Manual Cat Value]]="",VLOOKUP(Table2[[#This Row],[Description]],'Actuals Lookup'!D:F,3,0),Table2[[#This Row],[Manual Cat Value]])</f>
        <v>#N/A</v>
      </c>
      <c r="J3400" s="2">
        <v>251</v>
      </c>
      <c r="K3400" s="2" t="b">
        <v>0</v>
      </c>
      <c r="L3400" s="2"/>
      <c r="M3400" s="2"/>
      <c r="N3400" s="4" t="s">
        <v>2273</v>
      </c>
      <c r="O3400" s="4" t="str">
        <f>LEFT(Table2[[#This Row],[Description]],75)</f>
        <v>Share</v>
      </c>
      <c r="P3400" s="2" t="s">
        <v>2448</v>
      </c>
    </row>
    <row r="3401" spans="1:16" hidden="1">
      <c r="A3401" s="2">
        <v>202010</v>
      </c>
      <c r="B3401" s="3">
        <v>44105</v>
      </c>
      <c r="C3401" s="2" t="s">
        <v>2300</v>
      </c>
      <c r="D3401" s="2" t="s">
        <v>1648</v>
      </c>
      <c r="E3401" s="2">
        <v>-300</v>
      </c>
      <c r="F3401" s="2" t="e">
        <f>IF(Table2[[#This Row],[Manual Cat Value]]="",VLOOKUP(Table2[[#This Row],[Description]],'Actuals Lookup'!D:F,3,0),Table2[[#This Row],[Manual Cat Value]])</f>
        <v>#N/A</v>
      </c>
      <c r="J3401" s="2">
        <v>300</v>
      </c>
      <c r="K3401" s="2" t="b">
        <v>0</v>
      </c>
      <c r="L3401" s="2"/>
      <c r="M3401" s="2"/>
      <c r="N3401" s="4" t="s">
        <v>2273</v>
      </c>
      <c r="O3401" s="4" t="str">
        <f>LEFT(Table2[[#This Row],[Description]],75)</f>
        <v>Share</v>
      </c>
      <c r="P3401" s="2" t="s">
        <v>2448</v>
      </c>
    </row>
    <row r="3402" spans="1:16" hidden="1">
      <c r="A3402" s="2">
        <v>202010</v>
      </c>
      <c r="B3402" s="3">
        <v>44105</v>
      </c>
      <c r="C3402" s="2" t="s">
        <v>2265</v>
      </c>
      <c r="D3402" s="2" t="s">
        <v>1877</v>
      </c>
      <c r="E3402" s="2">
        <v>618.65</v>
      </c>
      <c r="F3402" s="2" t="e">
        <f>IF(Table2[[#This Row],[Manual Cat Value]]="",VLOOKUP(Table2[[#This Row],[Description]],'Actuals Lookup'!D:F,3,0),Table2[[#This Row],[Manual Cat Value]])</f>
        <v>#N/A</v>
      </c>
      <c r="J3402" s="2">
        <v>618.65</v>
      </c>
      <c r="K3402" s="2" t="b">
        <v>0</v>
      </c>
      <c r="L3402" s="2"/>
      <c r="M3402" s="2"/>
      <c r="N3402" s="4" t="s">
        <v>2259</v>
      </c>
      <c r="O3402" s="4" t="str">
        <f>LEFT(Table2[[#This Row],[Description]],75)</f>
        <v>To Loan 02</v>
      </c>
      <c r="P3402" s="2" t="s">
        <v>2316</v>
      </c>
    </row>
    <row r="3403" spans="1:16" hidden="1">
      <c r="A3403" s="2">
        <v>202010</v>
      </c>
      <c r="B3403" s="3">
        <v>44105</v>
      </c>
      <c r="C3403" s="2" t="s">
        <v>2265</v>
      </c>
      <c r="D3403" s="2" t="s">
        <v>1892</v>
      </c>
      <c r="E3403" s="2">
        <v>300</v>
      </c>
      <c r="F3403" s="2" t="e">
        <f>IF(Table2[[#This Row],[Manual Cat Value]]="",VLOOKUP(Table2[[#This Row],[Description]],'Actuals Lookup'!D:F,3,0),Table2[[#This Row],[Manual Cat Value]])</f>
        <v>#N/A</v>
      </c>
      <c r="J3403" s="2">
        <v>300</v>
      </c>
      <c r="K3403" s="2" t="b">
        <v>0</v>
      </c>
      <c r="L3403" s="2"/>
      <c r="M3403" s="2"/>
      <c r="N3403" s="4" t="s">
        <v>2259</v>
      </c>
      <c r="O3403" s="4" t="str">
        <f>LEFT(Table2[[#This Row],[Description]],75)</f>
        <v>To Share 12</v>
      </c>
      <c r="P3403" s="2" t="s">
        <v>2494</v>
      </c>
    </row>
    <row r="3404" spans="1:16" hidden="1">
      <c r="A3404" s="2">
        <v>202010</v>
      </c>
      <c r="B3404" s="3">
        <v>44105</v>
      </c>
      <c r="C3404" s="2" t="s">
        <v>2305</v>
      </c>
      <c r="D3404" s="2" t="s">
        <v>1905</v>
      </c>
      <c r="E3404" s="2">
        <v>251</v>
      </c>
      <c r="F3404" s="2" t="e">
        <f>IF(Table2[[#This Row],[Manual Cat Value]]="",VLOOKUP(Table2[[#This Row],[Description]],'Actuals Lookup'!D:F,3,0),Table2[[#This Row],[Manual Cat Value]])</f>
        <v>#N/A</v>
      </c>
      <c r="J3404" s="2">
        <v>251</v>
      </c>
      <c r="K3404" s="2" t="b">
        <v>0</v>
      </c>
      <c r="L3404" s="2"/>
      <c r="M3404" s="2"/>
      <c r="N3404" s="4" t="s">
        <v>2259</v>
      </c>
      <c r="O3404" s="4" t="str">
        <f>LEFT(Table2[[#This Row],[Description]],75)</f>
        <v>To Share 70</v>
      </c>
      <c r="P3404" s="2" t="s">
        <v>2281</v>
      </c>
    </row>
    <row r="3405" spans="1:16" hidden="1">
      <c r="A3405" s="2">
        <v>202010</v>
      </c>
      <c r="B3405" s="3">
        <v>44106</v>
      </c>
      <c r="C3405" s="2" t="s">
        <v>2262</v>
      </c>
      <c r="D3405" s="2" t="s">
        <v>114</v>
      </c>
      <c r="E3405" s="2">
        <v>4.28</v>
      </c>
      <c r="F3405" s="2" t="str">
        <f>IF(Table2[[#This Row],[Manual Cat Value]]="",VLOOKUP(Table2[[#This Row],[Description]],'Actuals Lookup'!D:F,3,0),Table2[[#This Row],[Manual Cat Value]])</f>
        <v>Entertainment</v>
      </c>
      <c r="J3405" s="2">
        <v>4.28</v>
      </c>
      <c r="K3405" s="2" t="b">
        <v>0</v>
      </c>
      <c r="L3405" s="2"/>
      <c r="M3405" s="2"/>
      <c r="N3405" s="4" t="s">
        <v>2259</v>
      </c>
      <c r="O3405" s="4" t="str">
        <f>LEFT(Table2[[#This Row],[Description]],75)</f>
        <v>Amazon Music</v>
      </c>
      <c r="P3405" s="2" t="s">
        <v>2466</v>
      </c>
    </row>
    <row r="3406" spans="1:16" hidden="1">
      <c r="A3406" s="2">
        <v>202010</v>
      </c>
      <c r="B3406" s="3">
        <v>44106</v>
      </c>
      <c r="C3406" s="2" t="s">
        <v>2317</v>
      </c>
      <c r="D3406" s="2" t="s">
        <v>354</v>
      </c>
      <c r="E3406" s="2">
        <v>-200</v>
      </c>
      <c r="F3406" s="2" t="e">
        <f>IF(Table2[[#This Row],[Manual Cat Value]]="",VLOOKUP(Table2[[#This Row],[Description]],'Actuals Lookup'!D:F,3,0),Table2[[#This Row],[Manual Cat Value]])</f>
        <v>#N/A</v>
      </c>
      <c r="J3406" s="2">
        <v>200</v>
      </c>
      <c r="K3406" s="2" t="b">
        <v>0</v>
      </c>
      <c r="L3406" s="2"/>
      <c r="M3406" s="2"/>
      <c r="N3406" s="4" t="s">
        <v>2273</v>
      </c>
      <c r="O3406" s="4" t="str">
        <f>LEFT(Table2[[#This Row],[Description]],75)</f>
        <v>CARGILL COCOA &amp;</v>
      </c>
      <c r="P3406" s="2" t="s">
        <v>2354</v>
      </c>
    </row>
    <row r="3407" spans="1:16" hidden="1">
      <c r="A3407" s="2">
        <v>202010</v>
      </c>
      <c r="B3407" s="3">
        <v>44106</v>
      </c>
      <c r="C3407" s="2" t="s">
        <v>2265</v>
      </c>
      <c r="D3407" s="2" t="s">
        <v>1471</v>
      </c>
      <c r="E3407" s="2">
        <v>31.87</v>
      </c>
      <c r="F3407" s="2" t="str">
        <f>IF(Table2[[#This Row],[Manual Cat Value]]="",VLOOKUP(Table2[[#This Row],[Description]],'Actuals Lookup'!D:F,3,0),Table2[[#This Row],[Manual Cat Value]])</f>
        <v>Shopping</v>
      </c>
      <c r="J3407" s="2">
        <v>31.87</v>
      </c>
      <c r="K3407" s="2" t="b">
        <v>0</v>
      </c>
      <c r="L3407" s="2"/>
      <c r="M3407" s="2"/>
      <c r="N3407" s="4" t="s">
        <v>2259</v>
      </c>
      <c r="O3407" s="4" t="str">
        <f>LEFT(Table2[[#This Row],[Description]],75)</f>
        <v>PayPal</v>
      </c>
      <c r="P3407" s="2" t="s">
        <v>2322</v>
      </c>
    </row>
    <row r="3408" spans="1:16" hidden="1">
      <c r="A3408" s="2">
        <v>202010</v>
      </c>
      <c r="B3408" s="3">
        <v>44106</v>
      </c>
      <c r="C3408" s="2" t="s">
        <v>2262</v>
      </c>
      <c r="D3408" s="2" t="s">
        <v>1764</v>
      </c>
      <c r="E3408" s="2">
        <v>175</v>
      </c>
      <c r="F3408" s="2" t="e">
        <f>IF(Table2[[#This Row],[Manual Cat Value]]="",VLOOKUP(Table2[[#This Row],[Description]],'Actuals Lookup'!D:F,3,0),Table2[[#This Row],[Manual Cat Value]])</f>
        <v>#N/A</v>
      </c>
      <c r="J3408" s="2">
        <v>175</v>
      </c>
      <c r="K3408" s="2" t="b">
        <v>0</v>
      </c>
      <c r="L3408" s="2"/>
      <c r="M3408" s="2"/>
      <c r="N3408" s="4" t="s">
        <v>2259</v>
      </c>
      <c r="O3408" s="4" t="str">
        <f>LEFT(Table2[[#This Row],[Description]],75)</f>
        <v>SQ THE WILSON WEIGH Excelsior MN</v>
      </c>
      <c r="P3408" s="2" t="s">
        <v>2281</v>
      </c>
    </row>
    <row r="3409" spans="1:16" hidden="1">
      <c r="A3409" s="2">
        <v>202010</v>
      </c>
      <c r="B3409" s="3">
        <v>44106</v>
      </c>
      <c r="C3409" s="2" t="s">
        <v>2434</v>
      </c>
      <c r="D3409" s="2" t="s">
        <v>1834</v>
      </c>
      <c r="E3409" s="2">
        <v>-231</v>
      </c>
      <c r="F3409" s="2" t="e">
        <f>IF(Table2[[#This Row],[Manual Cat Value]]="",VLOOKUP(Table2[[#This Row],[Description]],'Actuals Lookup'!D:F,3,0),Table2[[#This Row],[Manual Cat Value]])</f>
        <v>#N/A</v>
      </c>
      <c r="J3409" s="2">
        <v>231</v>
      </c>
      <c r="K3409" s="2" t="b">
        <v>0</v>
      </c>
      <c r="L3409" s="2"/>
      <c r="M3409" s="2"/>
      <c r="N3409" s="4" t="s">
        <v>2273</v>
      </c>
      <c r="O3409" s="4" t="str">
        <f>LEFT(Table2[[#This Row],[Description]],75)</f>
        <v>Tfr JPMORGAN CHASE BAN, CARGILL COCOA &amp;</v>
      </c>
      <c r="P3409" s="2" t="s">
        <v>2356</v>
      </c>
    </row>
    <row r="3410" spans="1:16" hidden="1">
      <c r="A3410" s="2">
        <v>202010</v>
      </c>
      <c r="B3410" s="3">
        <v>44107</v>
      </c>
      <c r="C3410" s="2" t="s">
        <v>2447</v>
      </c>
      <c r="D3410" s="2" t="s">
        <v>831</v>
      </c>
      <c r="E3410" s="2">
        <v>15.25</v>
      </c>
      <c r="F3410" s="2" t="e">
        <f>IF(Table2[[#This Row],[Manual Cat Value]]="",VLOOKUP(Table2[[#This Row],[Description]],'Actuals Lookup'!D:F,3,0),Table2[[#This Row],[Manual Cat Value]])</f>
        <v>#N/A</v>
      </c>
      <c r="J3410" s="2">
        <v>15.25</v>
      </c>
      <c r="K3410" s="2" t="b">
        <v>0</v>
      </c>
      <c r="L3410" s="2"/>
      <c r="M3410" s="2"/>
      <c r="N3410" s="4" t="s">
        <v>2259</v>
      </c>
      <c r="O3410" s="4" t="str">
        <f>LEFT(Table2[[#This Row],[Description]],75)</f>
        <v>Excelsior Brewing</v>
      </c>
      <c r="P3410" s="2" t="s">
        <v>2410</v>
      </c>
    </row>
    <row r="3411" spans="1:16" hidden="1">
      <c r="A3411" s="2">
        <v>202010</v>
      </c>
      <c r="B3411" s="3">
        <v>44107</v>
      </c>
      <c r="C3411" s="2" t="s">
        <v>2258</v>
      </c>
      <c r="D3411" s="2" t="s">
        <v>831</v>
      </c>
      <c r="E3411" s="2">
        <v>15.25</v>
      </c>
      <c r="F3411" s="2" t="e">
        <f>IF(Table2[[#This Row],[Manual Cat Value]]="",VLOOKUP(Table2[[#This Row],[Description]],'Actuals Lookup'!D:F,3,0),Table2[[#This Row],[Manual Cat Value]])</f>
        <v>#N/A</v>
      </c>
      <c r="J3411" s="2">
        <v>15.25</v>
      </c>
      <c r="K3411" s="2" t="b">
        <v>0</v>
      </c>
      <c r="L3411" s="2"/>
      <c r="M3411" s="2"/>
      <c r="N3411" s="4" t="s">
        <v>2259</v>
      </c>
      <c r="O3411" s="4" t="str">
        <f>LEFT(Table2[[#This Row],[Description]],75)</f>
        <v>Excelsior Brewing</v>
      </c>
      <c r="P3411" s="2" t="s">
        <v>2410</v>
      </c>
    </row>
    <row r="3412" spans="1:16" hidden="1">
      <c r="A3412" s="2">
        <v>202010</v>
      </c>
      <c r="B3412" s="3">
        <v>44108</v>
      </c>
      <c r="C3412" s="2" t="s">
        <v>2262</v>
      </c>
      <c r="D3412" s="2" t="s">
        <v>1266</v>
      </c>
      <c r="E3412" s="2">
        <v>25.93</v>
      </c>
      <c r="F3412" s="2" t="e">
        <f>IF(Table2[[#This Row],[Manual Cat Value]]="",VLOOKUP(Table2[[#This Row],[Description]],'Actuals Lookup'!D:F,3,0),Table2[[#This Row],[Manual Cat Value]])</f>
        <v>#N/A</v>
      </c>
      <c r="J3412" s="2">
        <v>25.93</v>
      </c>
      <c r="K3412" s="2" t="b">
        <v>0</v>
      </c>
      <c r="L3412" s="2"/>
      <c r="M3412" s="2"/>
      <c r="N3412" s="4" t="s">
        <v>2259</v>
      </c>
      <c r="O3412" s="4" t="str">
        <f>LEFT(Table2[[#This Row],[Description]],75)</f>
        <v>Minnesota Makers</v>
      </c>
      <c r="P3412" s="2" t="s">
        <v>2281</v>
      </c>
    </row>
    <row r="3413" spans="1:16" hidden="1">
      <c r="A3413" s="2">
        <v>202010</v>
      </c>
      <c r="B3413" s="3">
        <v>44109</v>
      </c>
      <c r="C3413" s="2" t="s">
        <v>2262</v>
      </c>
      <c r="D3413" s="2" t="s">
        <v>684</v>
      </c>
      <c r="E3413" s="2">
        <v>98.6</v>
      </c>
      <c r="F3413" s="2" t="str">
        <f>IF(Table2[[#This Row],[Manual Cat Value]]="",VLOOKUP(Table2[[#This Row],[Description]],'Actuals Lookup'!D:F,3,0),Table2[[#This Row],[Manual Cat Value]])</f>
        <v>Groceries</v>
      </c>
      <c r="J3413" s="2">
        <v>98.6</v>
      </c>
      <c r="K3413" s="2" t="b">
        <v>0</v>
      </c>
      <c r="L3413" s="2"/>
      <c r="M3413" s="2"/>
      <c r="N3413" s="4" t="s">
        <v>2259</v>
      </c>
      <c r="O3413" s="4" t="str">
        <f>LEFT(Table2[[#This Row],[Description]],75)</f>
        <v>Cub Foods</v>
      </c>
      <c r="P3413" s="2" t="s">
        <v>2370</v>
      </c>
    </row>
    <row r="3414" spans="1:16" hidden="1">
      <c r="A3414" s="2">
        <v>202010</v>
      </c>
      <c r="B3414" s="3">
        <v>44109</v>
      </c>
      <c r="C3414" s="2" t="s">
        <v>2262</v>
      </c>
      <c r="D3414" s="2" t="s">
        <v>785</v>
      </c>
      <c r="E3414" s="2">
        <v>64.849999999999994</v>
      </c>
      <c r="F3414" s="2" t="str">
        <f>IF(Table2[[#This Row],[Manual Cat Value]]="",VLOOKUP(Table2[[#This Row],[Description]],'Actuals Lookup'!D:F,3,0),Table2[[#This Row],[Manual Cat Value]])</f>
        <v>Restaurants</v>
      </c>
      <c r="J3414" s="2">
        <v>64.849999999999994</v>
      </c>
      <c r="K3414" s="2" t="b">
        <v>0</v>
      </c>
      <c r="L3414" s="2"/>
      <c r="M3414" s="2"/>
      <c r="N3414" s="4" t="s">
        <v>2259</v>
      </c>
      <c r="O3414" s="4" t="str">
        <f>LEFT(Table2[[#This Row],[Description]],75)</f>
        <v>Domino's Pizza</v>
      </c>
      <c r="P3414" s="2" t="s">
        <v>2431</v>
      </c>
    </row>
    <row r="3415" spans="1:16" hidden="1">
      <c r="A3415" s="2">
        <v>202010</v>
      </c>
      <c r="B3415" s="3">
        <v>44109</v>
      </c>
      <c r="C3415" s="2" t="s">
        <v>2262</v>
      </c>
      <c r="D3415" s="2" t="s">
        <v>964</v>
      </c>
      <c r="E3415" s="2">
        <v>31</v>
      </c>
      <c r="F3415" s="2" t="e">
        <f>IF(Table2[[#This Row],[Manual Cat Value]]="",VLOOKUP(Table2[[#This Row],[Description]],'Actuals Lookup'!D:F,3,0),Table2[[#This Row],[Manual Cat Value]])</f>
        <v>#N/A</v>
      </c>
      <c r="J3415" s="2">
        <v>31</v>
      </c>
      <c r="K3415" s="2" t="b">
        <v>0</v>
      </c>
      <c r="L3415" s="2"/>
      <c r="M3415" s="2"/>
      <c r="N3415" s="4" t="s">
        <v>2259</v>
      </c>
      <c r="O3415" s="4" t="str">
        <f>LEFT(Table2[[#This Row],[Description]],75)</f>
        <v>IN NORTHERN FIRE GRILLINMINNETONKA MN</v>
      </c>
      <c r="P3415" s="2" t="s">
        <v>2281</v>
      </c>
    </row>
    <row r="3416" spans="1:16" hidden="1">
      <c r="A3416" s="2">
        <v>202010</v>
      </c>
      <c r="B3416" s="3">
        <v>44109</v>
      </c>
      <c r="C3416" s="2" t="s">
        <v>2265</v>
      </c>
      <c r="D3416" s="2" t="s">
        <v>1471</v>
      </c>
      <c r="E3416" s="2">
        <v>11.99</v>
      </c>
      <c r="F3416" s="2" t="str">
        <f>IF(Table2[[#This Row],[Manual Cat Value]]="",VLOOKUP(Table2[[#This Row],[Description]],'Actuals Lookup'!D:F,3,0),Table2[[#This Row],[Manual Cat Value]])</f>
        <v>Shopping</v>
      </c>
      <c r="J3416" s="2">
        <v>11.99</v>
      </c>
      <c r="K3416" s="2" t="b">
        <v>0</v>
      </c>
      <c r="L3416" s="2"/>
      <c r="M3416" s="2"/>
      <c r="N3416" s="4" t="s">
        <v>2259</v>
      </c>
      <c r="O3416" s="4" t="str">
        <f>LEFT(Table2[[#This Row],[Description]],75)</f>
        <v>PayPal</v>
      </c>
      <c r="P3416" s="2" t="s">
        <v>2322</v>
      </c>
    </row>
    <row r="3417" spans="1:16" hidden="1">
      <c r="A3417" s="2">
        <v>202010</v>
      </c>
      <c r="B3417" s="3">
        <v>44109</v>
      </c>
      <c r="C3417" s="2" t="s">
        <v>2262</v>
      </c>
      <c r="D3417" s="2" t="s">
        <v>1578</v>
      </c>
      <c r="E3417" s="2">
        <v>151</v>
      </c>
      <c r="F3417" s="2" t="e">
        <f>IF(Table2[[#This Row],[Manual Cat Value]]="",VLOOKUP(Table2[[#This Row],[Description]],'Actuals Lookup'!D:F,3,0),Table2[[#This Row],[Manual Cat Value]])</f>
        <v>#N/A</v>
      </c>
      <c r="J3417" s="2">
        <v>151</v>
      </c>
      <c r="K3417" s="2" t="b">
        <v>0</v>
      </c>
      <c r="L3417" s="2"/>
      <c r="M3417" s="2"/>
      <c r="N3417" s="4" t="s">
        <v>2259</v>
      </c>
      <c r="O3417" s="4" t="str">
        <f>LEFT(Table2[[#This Row],[Description]],75)</f>
        <v>Restaurant.com</v>
      </c>
      <c r="P3417" s="2" t="s">
        <v>2281</v>
      </c>
    </row>
    <row r="3418" spans="1:16" hidden="1">
      <c r="A3418" s="2">
        <v>202010</v>
      </c>
      <c r="B3418" s="3">
        <v>44109</v>
      </c>
      <c r="C3418" s="2" t="s">
        <v>2317</v>
      </c>
      <c r="D3418" s="2" t="s">
        <v>1635</v>
      </c>
      <c r="E3418" s="2">
        <v>200</v>
      </c>
      <c r="F3418" s="2" t="e">
        <f>IF(Table2[[#This Row],[Manual Cat Value]]="",VLOOKUP(Table2[[#This Row],[Description]],'Actuals Lookup'!D:F,3,0),Table2[[#This Row],[Manual Cat Value]])</f>
        <v>#N/A</v>
      </c>
      <c r="J3418" s="2">
        <v>200</v>
      </c>
      <c r="K3418" s="2" t="b">
        <v>0</v>
      </c>
      <c r="L3418" s="2"/>
      <c r="M3418" s="2"/>
      <c r="N3418" s="4" t="s">
        <v>2259</v>
      </c>
      <c r="O3418" s="4" t="str">
        <f>LEFT(Table2[[#This Row],[Description]],75)</f>
        <v>SCHWAB TOTAL STOCK MKT INDEX</v>
      </c>
      <c r="P3418" s="2" t="s">
        <v>2278</v>
      </c>
    </row>
    <row r="3419" spans="1:16" hidden="1">
      <c r="A3419" s="2">
        <v>202010</v>
      </c>
      <c r="B3419" s="3">
        <v>44109</v>
      </c>
      <c r="C3419" s="2" t="s">
        <v>2265</v>
      </c>
      <c r="D3419" s="2" t="s">
        <v>2109</v>
      </c>
      <c r="E3419" s="2">
        <v>76.88</v>
      </c>
      <c r="F3419" s="2" t="str">
        <f>IF(Table2[[#This Row],[Manual Cat Value]]="",VLOOKUP(Table2[[#This Row],[Description]],'Actuals Lookup'!D:F,3,0),Table2[[#This Row],[Manual Cat Value]])</f>
        <v>Shopping</v>
      </c>
      <c r="J3419" s="2">
        <v>76.88</v>
      </c>
      <c r="K3419" s="2" t="b">
        <v>0</v>
      </c>
      <c r="L3419" s="2"/>
      <c r="M3419" s="2"/>
      <c r="N3419" s="4" t="s">
        <v>2259</v>
      </c>
      <c r="O3419" s="4" t="str">
        <f>LEFT(Table2[[#This Row],[Description]],75)</f>
        <v>Venmo</v>
      </c>
      <c r="P3419" s="2" t="s">
        <v>2281</v>
      </c>
    </row>
    <row r="3420" spans="1:16" hidden="1">
      <c r="A3420" s="2">
        <v>202010</v>
      </c>
      <c r="B3420" s="3">
        <v>44110</v>
      </c>
      <c r="C3420" s="2" t="s">
        <v>2262</v>
      </c>
      <c r="D3420" s="2" t="s">
        <v>187</v>
      </c>
      <c r="E3420" s="2">
        <v>172.79</v>
      </c>
      <c r="F3420" s="2" t="e">
        <f>IF(Table2[[#This Row],[Manual Cat Value]]="",VLOOKUP(Table2[[#This Row],[Description]],'Actuals Lookup'!D:F,3,0),Table2[[#This Row],[Manual Cat Value]])</f>
        <v>#N/A</v>
      </c>
      <c r="J3420" s="2">
        <v>172.79</v>
      </c>
      <c r="K3420" s="2" t="b">
        <v>0</v>
      </c>
      <c r="L3420" s="2"/>
      <c r="M3420" s="2"/>
      <c r="N3420" s="4" t="s">
        <v>2259</v>
      </c>
      <c r="O3420" s="4" t="str">
        <f>LEFT(Table2[[#This Row],[Description]],75)</f>
        <v>AVOADVOCARE INTL 8005424800 TX</v>
      </c>
      <c r="P3420" s="2" t="s">
        <v>2428</v>
      </c>
    </row>
    <row r="3421" spans="1:16" hidden="1">
      <c r="A3421" s="2">
        <v>202010</v>
      </c>
      <c r="B3421" s="3">
        <v>44110</v>
      </c>
      <c r="C3421" s="2" t="s">
        <v>2262</v>
      </c>
      <c r="D3421" s="2" t="s">
        <v>316</v>
      </c>
      <c r="E3421" s="2">
        <v>7.04</v>
      </c>
      <c r="F3421" s="2" t="e">
        <f>IF(Table2[[#This Row],[Manual Cat Value]]="",VLOOKUP(Table2[[#This Row],[Description]],'Actuals Lookup'!D:F,3,0),Table2[[#This Row],[Manual Cat Value]])</f>
        <v>#N/A</v>
      </c>
      <c r="J3421" s="2">
        <v>7.04</v>
      </c>
      <c r="K3421" s="2" t="b">
        <v>0</v>
      </c>
      <c r="L3421" s="2"/>
      <c r="M3421" s="2"/>
      <c r="N3421" s="4" t="s">
        <v>2259</v>
      </c>
      <c r="O3421" s="4" t="str">
        <f>LEFT(Table2[[#This Row],[Description]],75)</f>
        <v>BP</v>
      </c>
      <c r="P3421" s="2" t="s">
        <v>2484</v>
      </c>
    </row>
    <row r="3422" spans="1:16" hidden="1">
      <c r="A3422" s="2">
        <v>202010</v>
      </c>
      <c r="B3422" s="3">
        <v>44110</v>
      </c>
      <c r="C3422" s="2" t="s">
        <v>2262</v>
      </c>
      <c r="D3422" s="2" t="s">
        <v>338</v>
      </c>
      <c r="E3422" s="2">
        <v>62.6</v>
      </c>
      <c r="F3422" s="2" t="e">
        <f>IF(Table2[[#This Row],[Manual Cat Value]]="",VLOOKUP(Table2[[#This Row],[Description]],'Actuals Lookup'!D:F,3,0),Table2[[#This Row],[Manual Cat Value]])</f>
        <v>#N/A</v>
      </c>
      <c r="J3422" s="2">
        <v>62.6</v>
      </c>
      <c r="K3422" s="2" t="b">
        <v>0</v>
      </c>
      <c r="L3422" s="2"/>
      <c r="M3422" s="2"/>
      <c r="N3422" s="4" t="s">
        <v>2259</v>
      </c>
      <c r="O3422" s="4" t="str">
        <f>LEFT(Table2[[#This Row],[Description]],75)</f>
        <v>Byerly's</v>
      </c>
      <c r="P3422" s="2" t="s">
        <v>2364</v>
      </c>
    </row>
    <row r="3423" spans="1:16" hidden="1">
      <c r="A3423" s="2">
        <v>202010</v>
      </c>
      <c r="B3423" s="3">
        <v>44110</v>
      </c>
      <c r="C3423" s="2" t="s">
        <v>2265</v>
      </c>
      <c r="D3423" s="2" t="s">
        <v>1242</v>
      </c>
      <c r="E3423" s="2">
        <v>391.2</v>
      </c>
      <c r="F3423" s="2" t="e">
        <f>IF(Table2[[#This Row],[Manual Cat Value]]="",VLOOKUP(Table2[[#This Row],[Description]],'Actuals Lookup'!D:F,3,0),Table2[[#This Row],[Manual Cat Value]])</f>
        <v>#N/A</v>
      </c>
      <c r="J3423" s="2">
        <v>391.2</v>
      </c>
      <c r="K3423" s="2" t="b">
        <v>0</v>
      </c>
      <c r="L3423" s="2"/>
      <c r="M3423" s="2"/>
      <c r="N3423" s="4" t="s">
        <v>2259</v>
      </c>
      <c r="O3423" s="4" t="str">
        <f>LEFT(Table2[[#This Row],[Description]],75)</f>
        <v>MHCHILDCARELLC TYPE DUES ID CO MHCHILDCARELLC ACH ECC PPD ACH Trace 85615</v>
      </c>
      <c r="P3423" s="2" t="s">
        <v>2497</v>
      </c>
    </row>
    <row r="3424" spans="1:16" hidden="1">
      <c r="A3424" s="2">
        <v>202010</v>
      </c>
      <c r="B3424" s="3">
        <v>44110</v>
      </c>
      <c r="C3424" s="2" t="s">
        <v>2262</v>
      </c>
      <c r="D3424" s="2" t="s">
        <v>31</v>
      </c>
      <c r="E3424" s="2">
        <v>35.07</v>
      </c>
      <c r="F3424" s="2" t="str">
        <f>IF(Table2[[#This Row],[Manual Cat Value]]="",VLOOKUP(Table2[[#This Row],[Description]],'Actuals Lookup'!D:F,3,0),Table2[[#This Row],[Manual Cat Value]])</f>
        <v>Target</v>
      </c>
      <c r="J3424" s="2">
        <v>35.07</v>
      </c>
      <c r="K3424" s="2" t="b">
        <v>0</v>
      </c>
      <c r="L3424" s="2"/>
      <c r="M3424" s="2"/>
      <c r="N3424" s="4" t="s">
        <v>2259</v>
      </c>
      <c r="O3424" s="4" t="str">
        <f>LEFT(Table2[[#This Row],[Description]],75)</f>
        <v>Target</v>
      </c>
      <c r="P3424" s="2" t="s">
        <v>2309</v>
      </c>
    </row>
    <row r="3425" spans="1:16" hidden="1">
      <c r="A3425" s="2">
        <v>202010</v>
      </c>
      <c r="B3425" s="3">
        <v>44110</v>
      </c>
      <c r="C3425" s="2" t="s">
        <v>2265</v>
      </c>
      <c r="D3425" s="2" t="s">
        <v>2221</v>
      </c>
      <c r="E3425" s="2">
        <v>118.63</v>
      </c>
      <c r="F3425" s="2" t="str">
        <f>IF(Table2[[#This Row],[Manual Cat Value]]="",VLOOKUP(Table2[[#This Row],[Description]],'Actuals Lookup'!D:F,3,0),Table2[[#This Row],[Manual Cat Value]])</f>
        <v>Utilities</v>
      </c>
      <c r="J3425" s="2">
        <v>118.63</v>
      </c>
      <c r="K3425" s="2" t="b">
        <v>0</v>
      </c>
      <c r="L3425" s="2"/>
      <c r="M3425" s="2"/>
      <c r="N3425" s="4" t="s">
        <v>2259</v>
      </c>
      <c r="O3425" s="4" t="str">
        <f>LEFT(Table2[[#This Row],[Description]],75)</f>
        <v>Xcel Energy</v>
      </c>
      <c r="P3425" s="2" t="s">
        <v>2280</v>
      </c>
    </row>
    <row r="3426" spans="1:16" hidden="1">
      <c r="A3426" s="2">
        <v>202010</v>
      </c>
      <c r="B3426" s="3">
        <v>44111</v>
      </c>
      <c r="C3426" s="2" t="s">
        <v>2262</v>
      </c>
      <c r="D3426" s="2" t="s">
        <v>1423</v>
      </c>
      <c r="E3426" s="2">
        <v>-1078.97</v>
      </c>
      <c r="F3426" s="2" t="e">
        <f>IF(Table2[[#This Row],[Manual Cat Value]]="",VLOOKUP(Table2[[#This Row],[Description]],'Actuals Lookup'!D:F,3,0),Table2[[#This Row],[Manual Cat Value]])</f>
        <v>#N/A</v>
      </c>
      <c r="J3426" s="2">
        <v>1078.97</v>
      </c>
      <c r="K3426" s="2" t="b">
        <v>0</v>
      </c>
      <c r="L3426" s="2"/>
      <c r="M3426" s="2"/>
      <c r="N3426" s="4" t="s">
        <v>2273</v>
      </c>
      <c r="O3426" s="4" t="str">
        <f>LEFT(Table2[[#This Row],[Description]],75)</f>
        <v>PAYMENT THANK YOU</v>
      </c>
      <c r="P3426" s="2" t="s">
        <v>2391</v>
      </c>
    </row>
    <row r="3427" spans="1:16" hidden="1">
      <c r="A3427" s="2">
        <v>202010</v>
      </c>
      <c r="B3427" s="3">
        <v>44111</v>
      </c>
      <c r="C3427" s="2" t="s">
        <v>2265</v>
      </c>
      <c r="D3427" s="2" t="s">
        <v>2176</v>
      </c>
      <c r="E3427" s="2">
        <v>1078.97</v>
      </c>
      <c r="F3427" s="2" t="e">
        <f>IF(Table2[[#This Row],[Manual Cat Value]]="",VLOOKUP(Table2[[#This Row],[Description]],'Actuals Lookup'!D:F,3,0),Table2[[#This Row],[Manual Cat Value]])</f>
        <v>#N/A</v>
      </c>
      <c r="J3427" s="2">
        <v>1078.97</v>
      </c>
      <c r="K3427" s="2" t="b">
        <v>0</v>
      </c>
      <c r="L3427" s="2"/>
      <c r="M3427" s="2"/>
      <c r="N3427" s="4" t="s">
        <v>2259</v>
      </c>
      <c r="O3427" s="4" t="str">
        <f>LEFT(Table2[[#This Row],[Description]],75)</f>
        <v>Withdrawal Home payment to card 979181</v>
      </c>
      <c r="P3427" s="2" t="s">
        <v>2349</v>
      </c>
    </row>
    <row r="3428" spans="1:16" hidden="1">
      <c r="A3428" s="2">
        <v>202010</v>
      </c>
      <c r="B3428" s="3">
        <v>44111</v>
      </c>
      <c r="C3428" s="2" t="s">
        <v>2262</v>
      </c>
      <c r="D3428" s="2" t="s">
        <v>38</v>
      </c>
      <c r="E3428" s="2">
        <v>66.58</v>
      </c>
      <c r="F3428" s="2" t="str">
        <f>IF(Table2[[#This Row],[Manual Cat Value]]="",VLOOKUP(Table2[[#This Row],[Description]],'Actuals Lookup'!D:F,3,0),Table2[[#This Row],[Manual Cat Value]])</f>
        <v>Amazon</v>
      </c>
      <c r="J3428" s="2">
        <v>66.58</v>
      </c>
      <c r="K3428" s="2" t="b">
        <v>0</v>
      </c>
      <c r="L3428" s="2"/>
      <c r="M3428" s="2"/>
      <c r="N3428" s="4" t="s">
        <v>2259</v>
      </c>
      <c r="O3428" s="4" t="str">
        <f>LEFT(Table2[[#This Row],[Description]],75)</f>
        <v>Amazon</v>
      </c>
      <c r="P3428" s="2" t="s">
        <v>2260</v>
      </c>
    </row>
    <row r="3429" spans="1:16" hidden="1">
      <c r="A3429" s="2">
        <v>202010</v>
      </c>
      <c r="B3429" s="3">
        <v>44111</v>
      </c>
      <c r="C3429" s="2" t="s">
        <v>2262</v>
      </c>
      <c r="D3429" s="2" t="s">
        <v>543</v>
      </c>
      <c r="E3429" s="2">
        <v>25.18</v>
      </c>
      <c r="F3429" s="2" t="e">
        <f>IF(Table2[[#This Row],[Manual Cat Value]]="",VLOOKUP(Table2[[#This Row],[Description]],'Actuals Lookup'!D:F,3,0),Table2[[#This Row],[Manual Cat Value]])</f>
        <v>#N/A</v>
      </c>
      <c r="J3429" s="2">
        <v>25.18</v>
      </c>
      <c r="K3429" s="2" t="b">
        <v>0</v>
      </c>
      <c r="L3429" s="2"/>
      <c r="M3429" s="2"/>
      <c r="N3429" s="4" t="s">
        <v>2259</v>
      </c>
      <c r="O3429" s="4" t="str">
        <f>LEFT(Table2[[#This Row],[Description]],75)</f>
        <v>Chipotle</v>
      </c>
      <c r="P3429" s="2" t="s">
        <v>2341</v>
      </c>
    </row>
    <row r="3430" spans="1:16" hidden="1">
      <c r="A3430" s="2">
        <v>202010</v>
      </c>
      <c r="B3430" s="3">
        <v>44111</v>
      </c>
      <c r="C3430" s="2" t="s">
        <v>2447</v>
      </c>
      <c r="D3430" s="2" t="s">
        <v>1083</v>
      </c>
      <c r="E3430" s="2">
        <v>27.7</v>
      </c>
      <c r="F3430" s="2" t="str">
        <f>IF(Table2[[#This Row],[Manual Cat Value]]="",VLOOKUP(Table2[[#This Row],[Description]],'Actuals Lookup'!D:F,3,0),Table2[[#This Row],[Manual Cat Value]])</f>
        <v>Transportation</v>
      </c>
      <c r="J3430" s="2">
        <v>27.7</v>
      </c>
      <c r="K3430" s="2" t="b">
        <v>0</v>
      </c>
      <c r="L3430" s="2"/>
      <c r="M3430" s="2"/>
      <c r="N3430" s="4" t="s">
        <v>2259</v>
      </c>
      <c r="O3430" s="4" t="str">
        <f>LEFT(Table2[[#This Row],[Description]],75)</f>
        <v>Kwik Trip</v>
      </c>
      <c r="P3430" s="2" t="s">
        <v>2509</v>
      </c>
    </row>
    <row r="3431" spans="1:16" hidden="1">
      <c r="A3431" s="2">
        <v>202010</v>
      </c>
      <c r="B3431" s="3">
        <v>44111</v>
      </c>
      <c r="C3431" s="2" t="s">
        <v>2258</v>
      </c>
      <c r="D3431" s="2" t="s">
        <v>1083</v>
      </c>
      <c r="E3431" s="2">
        <v>27.7</v>
      </c>
      <c r="F3431" s="2" t="str">
        <f>IF(Table2[[#This Row],[Manual Cat Value]]="",VLOOKUP(Table2[[#This Row],[Description]],'Actuals Lookup'!D:F,3,0),Table2[[#This Row],[Manual Cat Value]])</f>
        <v>Transportation</v>
      </c>
      <c r="J3431" s="2">
        <v>27.7</v>
      </c>
      <c r="K3431" s="2" t="b">
        <v>0</v>
      </c>
      <c r="L3431" s="2"/>
      <c r="M3431" s="2"/>
      <c r="N3431" s="4" t="s">
        <v>2259</v>
      </c>
      <c r="O3431" s="4" t="str">
        <f>LEFT(Table2[[#This Row],[Description]],75)</f>
        <v>Kwik Trip</v>
      </c>
      <c r="P3431" s="2" t="s">
        <v>2509</v>
      </c>
    </row>
    <row r="3432" spans="1:16" hidden="1">
      <c r="A3432" s="2">
        <v>202010</v>
      </c>
      <c r="B3432" s="3">
        <v>44112</v>
      </c>
      <c r="C3432" s="2" t="s">
        <v>2262</v>
      </c>
      <c r="D3432" s="2" t="s">
        <v>684</v>
      </c>
      <c r="E3432" s="2">
        <v>8.25</v>
      </c>
      <c r="F3432" s="2" t="str">
        <f>IF(Table2[[#This Row],[Manual Cat Value]]="",VLOOKUP(Table2[[#This Row],[Description]],'Actuals Lookup'!D:F,3,0),Table2[[#This Row],[Manual Cat Value]])</f>
        <v>Groceries</v>
      </c>
      <c r="J3432" s="2">
        <v>8.25</v>
      </c>
      <c r="K3432" s="2" t="b">
        <v>0</v>
      </c>
      <c r="L3432" s="2"/>
      <c r="M3432" s="2"/>
      <c r="N3432" s="4" t="s">
        <v>2259</v>
      </c>
      <c r="O3432" s="4" t="str">
        <f>LEFT(Table2[[#This Row],[Description]],75)</f>
        <v>Cub Foods</v>
      </c>
      <c r="P3432" s="2" t="s">
        <v>2370</v>
      </c>
    </row>
    <row r="3433" spans="1:16" hidden="1">
      <c r="A3433" s="2">
        <v>202010</v>
      </c>
      <c r="B3433" s="3">
        <v>44113</v>
      </c>
      <c r="C3433" s="2" t="s">
        <v>2447</v>
      </c>
      <c r="D3433" s="2" t="s">
        <v>944</v>
      </c>
      <c r="E3433" s="2">
        <v>11.38</v>
      </c>
      <c r="F3433" s="2" t="e">
        <f>IF(Table2[[#This Row],[Manual Cat Value]]="",VLOOKUP(Table2[[#This Row],[Description]],'Actuals Lookup'!D:F,3,0),Table2[[#This Row],[Manual Cat Value]])</f>
        <v>#N/A</v>
      </c>
      <c r="J3433" s="2">
        <v>11.38</v>
      </c>
      <c r="K3433" s="2" t="b">
        <v>0</v>
      </c>
      <c r="L3433" s="2"/>
      <c r="M3433" s="2"/>
      <c r="N3433" s="4" t="s">
        <v>2259</v>
      </c>
      <c r="O3433" s="4" t="str">
        <f>LEFT(Table2[[#This Row],[Description]],75)</f>
        <v>Holiday Stationstore</v>
      </c>
      <c r="P3433" s="2" t="s">
        <v>2374</v>
      </c>
    </row>
    <row r="3434" spans="1:16" hidden="1">
      <c r="A3434" s="2">
        <v>202010</v>
      </c>
      <c r="B3434" s="3">
        <v>44113</v>
      </c>
      <c r="C3434" s="2" t="s">
        <v>2258</v>
      </c>
      <c r="D3434" s="2" t="s">
        <v>944</v>
      </c>
      <c r="E3434" s="2">
        <v>11.38</v>
      </c>
      <c r="F3434" s="2" t="e">
        <f>IF(Table2[[#This Row],[Manual Cat Value]]="",VLOOKUP(Table2[[#This Row],[Description]],'Actuals Lookup'!D:F,3,0),Table2[[#This Row],[Manual Cat Value]])</f>
        <v>#N/A</v>
      </c>
      <c r="J3434" s="2">
        <v>11.38</v>
      </c>
      <c r="K3434" s="2" t="b">
        <v>0</v>
      </c>
      <c r="L3434" s="2"/>
      <c r="M3434" s="2"/>
      <c r="N3434" s="4" t="s">
        <v>2259</v>
      </c>
      <c r="O3434" s="4" t="str">
        <f>LEFT(Table2[[#This Row],[Description]],75)</f>
        <v>Holiday Stationstore</v>
      </c>
      <c r="P3434" s="2" t="s">
        <v>2374</v>
      </c>
    </row>
    <row r="3435" spans="1:16" hidden="1">
      <c r="A3435" s="2">
        <v>202010</v>
      </c>
      <c r="B3435" s="3">
        <v>44113</v>
      </c>
      <c r="C3435" s="2" t="s">
        <v>2270</v>
      </c>
      <c r="D3435" s="2" t="s">
        <v>968</v>
      </c>
      <c r="E3435" s="2">
        <v>0</v>
      </c>
      <c r="F3435" s="2" t="e">
        <f>IF(Table2[[#This Row],[Manual Cat Value]]="",VLOOKUP(Table2[[#This Row],[Description]],'Actuals Lookup'!D:F,3,0),Table2[[#This Row],[Manual Cat Value]])</f>
        <v>#N/A</v>
      </c>
      <c r="J3435" s="2">
        <v>0</v>
      </c>
      <c r="K3435" s="2" t="b">
        <v>0</v>
      </c>
      <c r="L3435" s="2"/>
      <c r="M3435" s="2"/>
      <c r="N3435" s="4" t="s">
        <v>2273</v>
      </c>
      <c r="O3435" s="4" t="str">
        <f>LEFT(Table2[[#This Row],[Description]],75)</f>
        <v>Initial InterestEscrow Deposit</v>
      </c>
      <c r="P3435" s="2"/>
    </row>
    <row r="3436" spans="1:16" hidden="1">
      <c r="A3436" s="2">
        <v>202010</v>
      </c>
      <c r="B3436" s="3">
        <v>44113</v>
      </c>
      <c r="C3436" s="2" t="s">
        <v>2265</v>
      </c>
      <c r="D3436" s="2" t="s">
        <v>1471</v>
      </c>
      <c r="E3436" s="2">
        <v>7.43</v>
      </c>
      <c r="F3436" s="2" t="str">
        <f>IF(Table2[[#This Row],[Manual Cat Value]]="",VLOOKUP(Table2[[#This Row],[Description]],'Actuals Lookup'!D:F,3,0),Table2[[#This Row],[Manual Cat Value]])</f>
        <v>Shopping</v>
      </c>
      <c r="J3436" s="2">
        <v>7.43</v>
      </c>
      <c r="K3436" s="2" t="b">
        <v>0</v>
      </c>
      <c r="L3436" s="2"/>
      <c r="M3436" s="2"/>
      <c r="N3436" s="4" t="s">
        <v>2259</v>
      </c>
      <c r="O3436" s="4" t="str">
        <f>LEFT(Table2[[#This Row],[Description]],75)</f>
        <v>PayPal</v>
      </c>
      <c r="P3436" s="2" t="s">
        <v>2322</v>
      </c>
    </row>
    <row r="3437" spans="1:16" hidden="1">
      <c r="A3437" s="2">
        <v>202010</v>
      </c>
      <c r="B3437" s="3">
        <v>44113</v>
      </c>
      <c r="C3437" s="2" t="s">
        <v>2265</v>
      </c>
      <c r="D3437" s="2" t="s">
        <v>2109</v>
      </c>
      <c r="E3437" s="2">
        <v>126.63</v>
      </c>
      <c r="F3437" s="2" t="str">
        <f>IF(Table2[[#This Row],[Manual Cat Value]]="",VLOOKUP(Table2[[#This Row],[Description]],'Actuals Lookup'!D:F,3,0),Table2[[#This Row],[Manual Cat Value]])</f>
        <v>Shopping</v>
      </c>
      <c r="J3437" s="2">
        <v>126.63</v>
      </c>
      <c r="K3437" s="2" t="b">
        <v>0</v>
      </c>
      <c r="L3437" s="2"/>
      <c r="M3437" s="2"/>
      <c r="N3437" s="4" t="s">
        <v>2259</v>
      </c>
      <c r="O3437" s="4" t="str">
        <f>LEFT(Table2[[#This Row],[Description]],75)</f>
        <v>Venmo</v>
      </c>
      <c r="P3437" s="2" t="s">
        <v>2281</v>
      </c>
    </row>
    <row r="3438" spans="1:16" hidden="1">
      <c r="A3438" s="2">
        <v>202010</v>
      </c>
      <c r="B3438" s="3">
        <v>44134</v>
      </c>
      <c r="C3438" s="2" t="s">
        <v>2262</v>
      </c>
      <c r="D3438" s="2" t="s">
        <v>77</v>
      </c>
      <c r="E3438" s="2">
        <v>56</v>
      </c>
      <c r="F3438" s="2" t="e">
        <f>IF(Table2[[#This Row],[Manual Cat Value]]="",VLOOKUP(Table2[[#This Row],[Description]],'Actuals Lookup'!D:F,3,0),Table2[[#This Row],[Manual Cat Value]])</f>
        <v>#N/A</v>
      </c>
      <c r="J3438" s="2">
        <v>56</v>
      </c>
      <c r="K3438" s="2" t="b">
        <v>0</v>
      </c>
      <c r="L3438" s="2"/>
      <c r="M3438" s="2"/>
      <c r="N3438" s="4" t="s">
        <v>2259</v>
      </c>
      <c r="O3438" s="4" t="str">
        <f>LEFT(Table2[[#This Row],[Description]],75)</f>
        <v>11003 NORTH LOOP MINNEAPOLIS MN</v>
      </c>
      <c r="P3438" s="2" t="s">
        <v>2281</v>
      </c>
    </row>
    <row r="3439" spans="1:16" hidden="1">
      <c r="A3439" s="2">
        <v>202010</v>
      </c>
      <c r="B3439" s="3">
        <v>44134</v>
      </c>
      <c r="C3439" s="2" t="s">
        <v>2447</v>
      </c>
      <c r="D3439" s="2" t="s">
        <v>38</v>
      </c>
      <c r="E3439" s="2">
        <v>145.91999999999999</v>
      </c>
      <c r="F3439" s="2" t="str">
        <f>IF(Table2[[#This Row],[Manual Cat Value]]="",VLOOKUP(Table2[[#This Row],[Description]],'Actuals Lookup'!D:F,3,0),Table2[[#This Row],[Manual Cat Value]])</f>
        <v>Amazon</v>
      </c>
      <c r="J3439" s="2">
        <v>145.91999999999999</v>
      </c>
      <c r="K3439" s="2" t="b">
        <v>0</v>
      </c>
      <c r="L3439" s="2"/>
      <c r="M3439" s="2"/>
      <c r="N3439" s="4" t="s">
        <v>2259</v>
      </c>
      <c r="O3439" s="4" t="str">
        <f>LEFT(Table2[[#This Row],[Description]],75)</f>
        <v>Amazon</v>
      </c>
      <c r="P3439" s="2" t="s">
        <v>2260</v>
      </c>
    </row>
    <row r="3440" spans="1:16" hidden="1">
      <c r="A3440" s="2">
        <v>202010</v>
      </c>
      <c r="B3440" s="3">
        <v>44134</v>
      </c>
      <c r="C3440" s="2" t="s">
        <v>2447</v>
      </c>
      <c r="D3440" s="2" t="s">
        <v>38</v>
      </c>
      <c r="E3440" s="2">
        <v>7.51</v>
      </c>
      <c r="F3440" s="2" t="str">
        <f>IF(Table2[[#This Row],[Manual Cat Value]]="",VLOOKUP(Table2[[#This Row],[Description]],'Actuals Lookup'!D:F,3,0),Table2[[#This Row],[Manual Cat Value]])</f>
        <v>Amazon</v>
      </c>
      <c r="J3440" s="2">
        <v>7.51</v>
      </c>
      <c r="K3440" s="2" t="b">
        <v>0</v>
      </c>
      <c r="L3440" s="2"/>
      <c r="M3440" s="2"/>
      <c r="N3440" s="4" t="s">
        <v>2259</v>
      </c>
      <c r="O3440" s="4" t="str">
        <f>LEFT(Table2[[#This Row],[Description]],75)</f>
        <v>Amazon</v>
      </c>
      <c r="P3440" s="2" t="s">
        <v>2260</v>
      </c>
    </row>
    <row r="3441" spans="1:16" hidden="1">
      <c r="A3441" s="2">
        <v>202010</v>
      </c>
      <c r="B3441" s="3">
        <v>44134</v>
      </c>
      <c r="C3441" s="2" t="s">
        <v>2447</v>
      </c>
      <c r="D3441" s="2" t="s">
        <v>38</v>
      </c>
      <c r="E3441" s="2">
        <v>19.21</v>
      </c>
      <c r="F3441" s="2" t="str">
        <f>IF(Table2[[#This Row],[Manual Cat Value]]="",VLOOKUP(Table2[[#This Row],[Description]],'Actuals Lookup'!D:F,3,0),Table2[[#This Row],[Manual Cat Value]])</f>
        <v>Amazon</v>
      </c>
      <c r="J3441" s="2">
        <v>19.21</v>
      </c>
      <c r="K3441" s="2" t="b">
        <v>0</v>
      </c>
      <c r="L3441" s="2"/>
      <c r="M3441" s="2"/>
      <c r="N3441" s="4" t="s">
        <v>2259</v>
      </c>
      <c r="O3441" s="4" t="str">
        <f>LEFT(Table2[[#This Row],[Description]],75)</f>
        <v>Amazon</v>
      </c>
      <c r="P3441" s="2" t="s">
        <v>2260</v>
      </c>
    </row>
    <row r="3442" spans="1:16" hidden="1">
      <c r="A3442" s="2">
        <v>202010</v>
      </c>
      <c r="B3442" s="3">
        <v>44134</v>
      </c>
      <c r="C3442" s="2" t="s">
        <v>2447</v>
      </c>
      <c r="D3442" s="2" t="s">
        <v>38</v>
      </c>
      <c r="E3442" s="2">
        <v>19.5</v>
      </c>
      <c r="F3442" s="2" t="str">
        <f>IF(Table2[[#This Row],[Manual Cat Value]]="",VLOOKUP(Table2[[#This Row],[Description]],'Actuals Lookup'!D:F,3,0),Table2[[#This Row],[Manual Cat Value]])</f>
        <v>Amazon</v>
      </c>
      <c r="J3442" s="2">
        <v>19.5</v>
      </c>
      <c r="K3442" s="2" t="b">
        <v>0</v>
      </c>
      <c r="L3442" s="2"/>
      <c r="M3442" s="2"/>
      <c r="N3442" s="4" t="s">
        <v>2259</v>
      </c>
      <c r="O3442" s="4" t="str">
        <f>LEFT(Table2[[#This Row],[Description]],75)</f>
        <v>Amazon</v>
      </c>
      <c r="P3442" s="2" t="s">
        <v>2260</v>
      </c>
    </row>
    <row r="3443" spans="1:16" hidden="1">
      <c r="A3443" s="2">
        <v>202010</v>
      </c>
      <c r="B3443" s="3">
        <v>44134</v>
      </c>
      <c r="C3443" s="2" t="s">
        <v>2447</v>
      </c>
      <c r="D3443" s="2" t="s">
        <v>38</v>
      </c>
      <c r="E3443" s="2">
        <v>38.64</v>
      </c>
      <c r="F3443" s="2" t="str">
        <f>IF(Table2[[#This Row],[Manual Cat Value]]="",VLOOKUP(Table2[[#This Row],[Description]],'Actuals Lookup'!D:F,3,0),Table2[[#This Row],[Manual Cat Value]])</f>
        <v>Amazon</v>
      </c>
      <c r="J3443" s="2">
        <v>38.64</v>
      </c>
      <c r="K3443" s="2" t="b">
        <v>0</v>
      </c>
      <c r="L3443" s="2"/>
      <c r="M3443" s="2"/>
      <c r="N3443" s="4" t="s">
        <v>2259</v>
      </c>
      <c r="O3443" s="4" t="str">
        <f>LEFT(Table2[[#This Row],[Description]],75)</f>
        <v>Amazon</v>
      </c>
      <c r="P3443" s="2" t="s">
        <v>2260</v>
      </c>
    </row>
    <row r="3444" spans="1:16" hidden="1">
      <c r="A3444" s="2">
        <v>202010</v>
      </c>
      <c r="B3444" s="3">
        <v>44134</v>
      </c>
      <c r="C3444" s="2" t="s">
        <v>2447</v>
      </c>
      <c r="D3444" s="2" t="s">
        <v>38</v>
      </c>
      <c r="E3444" s="2">
        <v>4.9000000000000004</v>
      </c>
      <c r="F3444" s="2" t="str">
        <f>IF(Table2[[#This Row],[Manual Cat Value]]="",VLOOKUP(Table2[[#This Row],[Description]],'Actuals Lookup'!D:F,3,0),Table2[[#This Row],[Manual Cat Value]])</f>
        <v>Amazon</v>
      </c>
      <c r="J3444" s="2">
        <v>4.9000000000000004</v>
      </c>
      <c r="K3444" s="2" t="b">
        <v>0</v>
      </c>
      <c r="L3444" s="2"/>
      <c r="M3444" s="2"/>
      <c r="N3444" s="4" t="s">
        <v>2259</v>
      </c>
      <c r="O3444" s="4" t="str">
        <f>LEFT(Table2[[#This Row],[Description]],75)</f>
        <v>Amazon</v>
      </c>
      <c r="P3444" s="2" t="s">
        <v>2260</v>
      </c>
    </row>
    <row r="3445" spans="1:16" hidden="1">
      <c r="A3445" s="2">
        <v>202010</v>
      </c>
      <c r="B3445" s="3">
        <v>44134</v>
      </c>
      <c r="C3445" s="2" t="s">
        <v>2447</v>
      </c>
      <c r="D3445" s="2" t="s">
        <v>38</v>
      </c>
      <c r="E3445" s="2">
        <v>19.5</v>
      </c>
      <c r="F3445" s="2" t="str">
        <f>IF(Table2[[#This Row],[Manual Cat Value]]="",VLOOKUP(Table2[[#This Row],[Description]],'Actuals Lookup'!D:F,3,0),Table2[[#This Row],[Manual Cat Value]])</f>
        <v>Amazon</v>
      </c>
      <c r="J3445" s="2">
        <v>19.5</v>
      </c>
      <c r="K3445" s="2" t="b">
        <v>0</v>
      </c>
      <c r="L3445" s="2"/>
      <c r="M3445" s="2"/>
      <c r="N3445" s="4" t="s">
        <v>2259</v>
      </c>
      <c r="O3445" s="4" t="str">
        <f>LEFT(Table2[[#This Row],[Description]],75)</f>
        <v>Amazon</v>
      </c>
      <c r="P3445" s="2" t="s">
        <v>2260</v>
      </c>
    </row>
    <row r="3446" spans="1:16" hidden="1">
      <c r="A3446" s="2">
        <v>202010</v>
      </c>
      <c r="B3446" s="3">
        <v>44134</v>
      </c>
      <c r="C3446" s="2" t="s">
        <v>2258</v>
      </c>
      <c r="D3446" s="2" t="s">
        <v>38</v>
      </c>
      <c r="E3446" s="2">
        <v>145.91999999999999</v>
      </c>
      <c r="F3446" s="2" t="str">
        <f>IF(Table2[[#This Row],[Manual Cat Value]]="",VLOOKUP(Table2[[#This Row],[Description]],'Actuals Lookup'!D:F,3,0),Table2[[#This Row],[Manual Cat Value]])</f>
        <v>Amazon</v>
      </c>
      <c r="J3446" s="2">
        <v>145.91999999999999</v>
      </c>
      <c r="K3446" s="2" t="b">
        <v>0</v>
      </c>
      <c r="L3446" s="2"/>
      <c r="M3446" s="2"/>
      <c r="N3446" s="4" t="s">
        <v>2259</v>
      </c>
      <c r="O3446" s="4" t="str">
        <f>LEFT(Table2[[#This Row],[Description]],75)</f>
        <v>Amazon</v>
      </c>
      <c r="P3446" s="2" t="s">
        <v>2260</v>
      </c>
    </row>
    <row r="3447" spans="1:16" hidden="1">
      <c r="A3447" s="2">
        <v>202010</v>
      </c>
      <c r="B3447" s="3">
        <v>44134</v>
      </c>
      <c r="C3447" s="2" t="s">
        <v>2258</v>
      </c>
      <c r="D3447" s="2" t="s">
        <v>38</v>
      </c>
      <c r="E3447" s="2">
        <v>7.51</v>
      </c>
      <c r="F3447" s="2" t="str">
        <f>IF(Table2[[#This Row],[Manual Cat Value]]="",VLOOKUP(Table2[[#This Row],[Description]],'Actuals Lookup'!D:F,3,0),Table2[[#This Row],[Manual Cat Value]])</f>
        <v>Amazon</v>
      </c>
      <c r="J3447" s="2">
        <v>7.51</v>
      </c>
      <c r="K3447" s="2" t="b">
        <v>0</v>
      </c>
      <c r="L3447" s="2"/>
      <c r="M3447" s="2"/>
      <c r="N3447" s="4" t="s">
        <v>2259</v>
      </c>
      <c r="O3447" s="4" t="str">
        <f>LEFT(Table2[[#This Row],[Description]],75)</f>
        <v>Amazon</v>
      </c>
      <c r="P3447" s="2" t="s">
        <v>2260</v>
      </c>
    </row>
    <row r="3448" spans="1:16" hidden="1">
      <c r="A3448" s="2">
        <v>202010</v>
      </c>
      <c r="B3448" s="3">
        <v>44134</v>
      </c>
      <c r="C3448" s="2" t="s">
        <v>2262</v>
      </c>
      <c r="D3448" s="2" t="s">
        <v>38</v>
      </c>
      <c r="E3448" s="2">
        <v>18.239999999999998</v>
      </c>
      <c r="F3448" s="2" t="str">
        <f>IF(Table2[[#This Row],[Manual Cat Value]]="",VLOOKUP(Table2[[#This Row],[Description]],'Actuals Lookup'!D:F,3,0),Table2[[#This Row],[Manual Cat Value]])</f>
        <v>Amazon</v>
      </c>
      <c r="J3448" s="2">
        <v>18.239999999999998</v>
      </c>
      <c r="K3448" s="2" t="b">
        <v>0</v>
      </c>
      <c r="L3448" s="2"/>
      <c r="M3448" s="2"/>
      <c r="N3448" s="4" t="s">
        <v>2259</v>
      </c>
      <c r="O3448" s="4" t="str">
        <f>LEFT(Table2[[#This Row],[Description]],75)</f>
        <v>Amazon</v>
      </c>
      <c r="P3448" s="2" t="s">
        <v>2260</v>
      </c>
    </row>
    <row r="3449" spans="1:16" hidden="1">
      <c r="A3449" s="2">
        <v>202010</v>
      </c>
      <c r="B3449" s="3">
        <v>44134</v>
      </c>
      <c r="C3449" s="2" t="s">
        <v>2258</v>
      </c>
      <c r="D3449" s="2" t="s">
        <v>38</v>
      </c>
      <c r="E3449" s="2">
        <v>19.21</v>
      </c>
      <c r="F3449" s="2" t="str">
        <f>IF(Table2[[#This Row],[Manual Cat Value]]="",VLOOKUP(Table2[[#This Row],[Description]],'Actuals Lookup'!D:F,3,0),Table2[[#This Row],[Manual Cat Value]])</f>
        <v>Amazon</v>
      </c>
      <c r="J3449" s="2">
        <v>19.21</v>
      </c>
      <c r="K3449" s="2" t="b">
        <v>0</v>
      </c>
      <c r="L3449" s="2"/>
      <c r="M3449" s="2"/>
      <c r="N3449" s="4" t="s">
        <v>2259</v>
      </c>
      <c r="O3449" s="4" t="str">
        <f>LEFT(Table2[[#This Row],[Description]],75)</f>
        <v>Amazon</v>
      </c>
      <c r="P3449" s="2" t="s">
        <v>2260</v>
      </c>
    </row>
    <row r="3450" spans="1:16" hidden="1">
      <c r="A3450" s="2">
        <v>202010</v>
      </c>
      <c r="B3450" s="3">
        <v>44134</v>
      </c>
      <c r="C3450" s="2" t="s">
        <v>2262</v>
      </c>
      <c r="D3450" s="2" t="s">
        <v>38</v>
      </c>
      <c r="E3450" s="2">
        <v>14.97</v>
      </c>
      <c r="F3450" s="2" t="str">
        <f>IF(Table2[[#This Row],[Manual Cat Value]]="",VLOOKUP(Table2[[#This Row],[Description]],'Actuals Lookup'!D:F,3,0),Table2[[#This Row],[Manual Cat Value]])</f>
        <v>Amazon</v>
      </c>
      <c r="J3450" s="2">
        <v>14.97</v>
      </c>
      <c r="K3450" s="2" t="b">
        <v>0</v>
      </c>
      <c r="L3450" s="2"/>
      <c r="M3450" s="2"/>
      <c r="N3450" s="4" t="s">
        <v>2259</v>
      </c>
      <c r="O3450" s="4" t="str">
        <f>LEFT(Table2[[#This Row],[Description]],75)</f>
        <v>Amazon</v>
      </c>
      <c r="P3450" s="2" t="s">
        <v>2260</v>
      </c>
    </row>
    <row r="3451" spans="1:16" hidden="1">
      <c r="A3451" s="2">
        <v>202010</v>
      </c>
      <c r="B3451" s="3">
        <v>44134</v>
      </c>
      <c r="C3451" s="2" t="s">
        <v>2262</v>
      </c>
      <c r="D3451" s="2" t="s">
        <v>38</v>
      </c>
      <c r="E3451" s="2">
        <v>16.59</v>
      </c>
      <c r="F3451" s="2" t="str">
        <f>IF(Table2[[#This Row],[Manual Cat Value]]="",VLOOKUP(Table2[[#This Row],[Description]],'Actuals Lookup'!D:F,3,0),Table2[[#This Row],[Manual Cat Value]])</f>
        <v>Amazon</v>
      </c>
      <c r="J3451" s="2">
        <v>16.59</v>
      </c>
      <c r="K3451" s="2" t="b">
        <v>0</v>
      </c>
      <c r="L3451" s="2"/>
      <c r="M3451" s="2"/>
      <c r="N3451" s="4" t="s">
        <v>2259</v>
      </c>
      <c r="O3451" s="4" t="str">
        <f>LEFT(Table2[[#This Row],[Description]],75)</f>
        <v>Amazon</v>
      </c>
      <c r="P3451" s="2" t="s">
        <v>2260</v>
      </c>
    </row>
    <row r="3452" spans="1:16" hidden="1">
      <c r="A3452" s="2">
        <v>202010</v>
      </c>
      <c r="B3452" s="3">
        <v>44134</v>
      </c>
      <c r="C3452" s="2" t="s">
        <v>2258</v>
      </c>
      <c r="D3452" s="2" t="s">
        <v>38</v>
      </c>
      <c r="E3452" s="2">
        <v>19.5</v>
      </c>
      <c r="F3452" s="2" t="str">
        <f>IF(Table2[[#This Row],[Manual Cat Value]]="",VLOOKUP(Table2[[#This Row],[Description]],'Actuals Lookup'!D:F,3,0),Table2[[#This Row],[Manual Cat Value]])</f>
        <v>Amazon</v>
      </c>
      <c r="J3452" s="2">
        <v>19.5</v>
      </c>
      <c r="K3452" s="2" t="b">
        <v>0</v>
      </c>
      <c r="L3452" s="2"/>
      <c r="M3452" s="2"/>
      <c r="N3452" s="4" t="s">
        <v>2259</v>
      </c>
      <c r="O3452" s="4" t="str">
        <f>LEFT(Table2[[#This Row],[Description]],75)</f>
        <v>Amazon</v>
      </c>
      <c r="P3452" s="2" t="s">
        <v>2260</v>
      </c>
    </row>
    <row r="3453" spans="1:16" hidden="1">
      <c r="A3453" s="2">
        <v>202010</v>
      </c>
      <c r="B3453" s="3">
        <v>44134</v>
      </c>
      <c r="C3453" s="2" t="s">
        <v>2258</v>
      </c>
      <c r="D3453" s="2" t="s">
        <v>38</v>
      </c>
      <c r="E3453" s="2">
        <v>38.64</v>
      </c>
      <c r="F3453" s="2" t="str">
        <f>IF(Table2[[#This Row],[Manual Cat Value]]="",VLOOKUP(Table2[[#This Row],[Description]],'Actuals Lookup'!D:F,3,0),Table2[[#This Row],[Manual Cat Value]])</f>
        <v>Amazon</v>
      </c>
      <c r="J3453" s="2">
        <v>38.64</v>
      </c>
      <c r="K3453" s="2" t="b">
        <v>0</v>
      </c>
      <c r="L3453" s="2"/>
      <c r="M3453" s="2"/>
      <c r="N3453" s="4" t="s">
        <v>2259</v>
      </c>
      <c r="O3453" s="4" t="str">
        <f>LEFT(Table2[[#This Row],[Description]],75)</f>
        <v>Amazon</v>
      </c>
      <c r="P3453" s="2" t="s">
        <v>2260</v>
      </c>
    </row>
    <row r="3454" spans="1:16" hidden="1">
      <c r="A3454" s="2">
        <v>202010</v>
      </c>
      <c r="B3454" s="3">
        <v>44134</v>
      </c>
      <c r="C3454" s="2" t="s">
        <v>2262</v>
      </c>
      <c r="D3454" s="2" t="s">
        <v>38</v>
      </c>
      <c r="E3454" s="2">
        <v>10.97</v>
      </c>
      <c r="F3454" s="2" t="str">
        <f>IF(Table2[[#This Row],[Manual Cat Value]]="",VLOOKUP(Table2[[#This Row],[Description]],'Actuals Lookup'!D:F,3,0),Table2[[#This Row],[Manual Cat Value]])</f>
        <v>Amazon</v>
      </c>
      <c r="J3454" s="2">
        <v>10.97</v>
      </c>
      <c r="K3454" s="2" t="b">
        <v>0</v>
      </c>
      <c r="L3454" s="2"/>
      <c r="M3454" s="2"/>
      <c r="N3454" s="4" t="s">
        <v>2259</v>
      </c>
      <c r="O3454" s="4" t="str">
        <f>LEFT(Table2[[#This Row],[Description]],75)</f>
        <v>Amazon</v>
      </c>
      <c r="P3454" s="2" t="s">
        <v>2260</v>
      </c>
    </row>
    <row r="3455" spans="1:16" hidden="1">
      <c r="A3455" s="2">
        <v>202010</v>
      </c>
      <c r="B3455" s="3">
        <v>44134</v>
      </c>
      <c r="C3455" s="2" t="s">
        <v>2258</v>
      </c>
      <c r="D3455" s="2" t="s">
        <v>38</v>
      </c>
      <c r="E3455" s="2">
        <v>4.9000000000000004</v>
      </c>
      <c r="F3455" s="2" t="str">
        <f>IF(Table2[[#This Row],[Manual Cat Value]]="",VLOOKUP(Table2[[#This Row],[Description]],'Actuals Lookup'!D:F,3,0),Table2[[#This Row],[Manual Cat Value]])</f>
        <v>Amazon</v>
      </c>
      <c r="J3455" s="2">
        <v>4.9000000000000004</v>
      </c>
      <c r="K3455" s="2" t="b">
        <v>0</v>
      </c>
      <c r="L3455" s="2"/>
      <c r="M3455" s="2"/>
      <c r="N3455" s="4" t="s">
        <v>2259</v>
      </c>
      <c r="O3455" s="4" t="str">
        <f>LEFT(Table2[[#This Row],[Description]],75)</f>
        <v>Amazon</v>
      </c>
      <c r="P3455" s="2" t="s">
        <v>2260</v>
      </c>
    </row>
    <row r="3456" spans="1:16" hidden="1">
      <c r="A3456" s="2">
        <v>202010</v>
      </c>
      <c r="B3456" s="3">
        <v>44134</v>
      </c>
      <c r="C3456" s="2" t="s">
        <v>2262</v>
      </c>
      <c r="D3456" s="2" t="s">
        <v>38</v>
      </c>
      <c r="E3456" s="2">
        <v>45</v>
      </c>
      <c r="F3456" s="2" t="str">
        <f>IF(Table2[[#This Row],[Manual Cat Value]]="",VLOOKUP(Table2[[#This Row],[Description]],'Actuals Lookup'!D:F,3,0),Table2[[#This Row],[Manual Cat Value]])</f>
        <v>Amazon</v>
      </c>
      <c r="J3456" s="2">
        <v>45</v>
      </c>
      <c r="K3456" s="2" t="b">
        <v>0</v>
      </c>
      <c r="L3456" s="2"/>
      <c r="M3456" s="2"/>
      <c r="N3456" s="4" t="s">
        <v>2259</v>
      </c>
      <c r="O3456" s="4" t="str">
        <f>LEFT(Table2[[#This Row],[Description]],75)</f>
        <v>Amazon</v>
      </c>
      <c r="P3456" s="2" t="s">
        <v>2260</v>
      </c>
    </row>
    <row r="3457" spans="1:16" hidden="1">
      <c r="A3457" s="2">
        <v>202010</v>
      </c>
      <c r="B3457" s="3">
        <v>44134</v>
      </c>
      <c r="C3457" s="2" t="s">
        <v>2258</v>
      </c>
      <c r="D3457" s="2" t="s">
        <v>38</v>
      </c>
      <c r="E3457" s="2">
        <v>19.5</v>
      </c>
      <c r="F3457" s="2" t="str">
        <f>IF(Table2[[#This Row],[Manual Cat Value]]="",VLOOKUP(Table2[[#This Row],[Description]],'Actuals Lookup'!D:F,3,0),Table2[[#This Row],[Manual Cat Value]])</f>
        <v>Amazon</v>
      </c>
      <c r="J3457" s="2">
        <v>19.5</v>
      </c>
      <c r="K3457" s="2" t="b">
        <v>0</v>
      </c>
      <c r="L3457" s="2"/>
      <c r="M3457" s="2"/>
      <c r="N3457" s="4" t="s">
        <v>2259</v>
      </c>
      <c r="O3457" s="4" t="str">
        <f>LEFT(Table2[[#This Row],[Description]],75)</f>
        <v>Amazon</v>
      </c>
      <c r="P3457" s="2" t="s">
        <v>2260</v>
      </c>
    </row>
    <row r="3458" spans="1:16" hidden="1">
      <c r="A3458" s="2">
        <v>202010</v>
      </c>
      <c r="B3458" s="3">
        <v>44134</v>
      </c>
      <c r="C3458" s="2" t="s">
        <v>2435</v>
      </c>
      <c r="D3458" s="2" t="s">
        <v>121</v>
      </c>
      <c r="E3458" s="2">
        <v>3203.64</v>
      </c>
      <c r="F3458" s="2" t="e">
        <f>IF(Table2[[#This Row],[Manual Cat Value]]="",VLOOKUP(Table2[[#This Row],[Description]],'Actuals Lookup'!D:F,3,0),Table2[[#This Row],[Manual Cat Value]])</f>
        <v>#N/A</v>
      </c>
      <c r="J3458" s="2">
        <v>3203.64</v>
      </c>
      <c r="K3458" s="2" t="b">
        <v>0</v>
      </c>
      <c r="L3458" s="2"/>
      <c r="M3458" s="2"/>
      <c r="N3458" s="4" t="s">
        <v>2259</v>
      </c>
      <c r="O3458" s="4" t="str">
        <f>LEFT(Table2[[#This Row],[Description]],75)</f>
        <v>AMAZON.COM INC</v>
      </c>
      <c r="P3458" s="2"/>
    </row>
    <row r="3459" spans="1:16" hidden="1">
      <c r="A3459" s="2">
        <v>202010</v>
      </c>
      <c r="B3459" s="3">
        <v>44134</v>
      </c>
      <c r="C3459" s="2" t="s">
        <v>2265</v>
      </c>
      <c r="D3459" s="2" t="s">
        <v>131</v>
      </c>
      <c r="E3459" s="2">
        <v>102.94</v>
      </c>
      <c r="F3459" s="2" t="str">
        <f>IF(Table2[[#This Row],[Manual Cat Value]]="",VLOOKUP(Table2[[#This Row],[Description]],'Actuals Lookup'!D:F,3,0),Table2[[#This Row],[Manual Cat Value]])</f>
        <v>Insurance</v>
      </c>
      <c r="J3459" s="2">
        <v>102.94</v>
      </c>
      <c r="K3459" s="2" t="b">
        <v>0</v>
      </c>
      <c r="L3459" s="2"/>
      <c r="M3459" s="2"/>
      <c r="N3459" s="4" t="s">
        <v>2259</v>
      </c>
      <c r="O3459" s="4" t="str">
        <f>LEFT(Table2[[#This Row],[Description]],75)</f>
        <v>American Family Insurance</v>
      </c>
      <c r="P3459" s="2" t="s">
        <v>2286</v>
      </c>
    </row>
    <row r="3460" spans="1:16" hidden="1">
      <c r="A3460" s="2">
        <v>202010</v>
      </c>
      <c r="B3460" s="3">
        <v>44134</v>
      </c>
      <c r="C3460" s="2" t="s">
        <v>2262</v>
      </c>
      <c r="D3460" s="2" t="s">
        <v>169</v>
      </c>
      <c r="E3460" s="2">
        <v>28.09</v>
      </c>
      <c r="F3460" s="2" t="e">
        <f>IF(Table2[[#This Row],[Manual Cat Value]]="",VLOOKUP(Table2[[#This Row],[Description]],'Actuals Lookup'!D:F,3,0),Table2[[#This Row],[Manual Cat Value]])</f>
        <v>#N/A</v>
      </c>
      <c r="J3460" s="2">
        <v>28.09</v>
      </c>
      <c r="K3460" s="2" t="b">
        <v>0</v>
      </c>
      <c r="L3460" s="2"/>
      <c r="M3460" s="2"/>
      <c r="N3460" s="4" t="s">
        <v>2259</v>
      </c>
      <c r="O3460" s="4" t="str">
        <f>LEFT(Table2[[#This Row],[Description]],75)</f>
        <v>ARBORETUM APPLEHOUSE CHASKA MN</v>
      </c>
      <c r="P3460" s="2" t="s">
        <v>2281</v>
      </c>
    </row>
    <row r="3461" spans="1:16" hidden="1">
      <c r="A3461" s="2">
        <v>202010</v>
      </c>
      <c r="B3461" s="3">
        <v>44134</v>
      </c>
      <c r="C3461" s="2" t="s">
        <v>2434</v>
      </c>
      <c r="D3461" s="2" t="s">
        <v>238</v>
      </c>
      <c r="E3461" s="2">
        <v>-7.0000000000000007E-2</v>
      </c>
      <c r="F3461" s="2" t="e">
        <f>IF(Table2[[#This Row],[Manual Cat Value]]="",VLOOKUP(Table2[[#This Row],[Description]],'Actuals Lookup'!D:F,3,0),Table2[[#This Row],[Manual Cat Value]])</f>
        <v>#N/A</v>
      </c>
      <c r="J3461" s="2">
        <v>7.0000000000000007E-2</v>
      </c>
      <c r="K3461" s="2" t="b">
        <v>0</v>
      </c>
      <c r="L3461" s="2"/>
      <c r="M3461" s="2"/>
      <c r="N3461" s="4" t="s">
        <v>2273</v>
      </c>
      <c r="O3461" s="4" t="str">
        <f>LEFT(Table2[[#This Row],[Description]],75)</f>
        <v>BANK INT 091620-101520 SCHWAB PREMIER BANK</v>
      </c>
      <c r="P3461" s="2"/>
    </row>
    <row r="3462" spans="1:16" hidden="1">
      <c r="A3462" s="2">
        <v>202010</v>
      </c>
      <c r="B3462" s="3">
        <v>44134</v>
      </c>
      <c r="C3462" s="2" t="s">
        <v>2435</v>
      </c>
      <c r="D3462" s="2" t="s">
        <v>238</v>
      </c>
      <c r="E3462" s="2">
        <v>-0.04</v>
      </c>
      <c r="F3462" s="2" t="e">
        <f>IF(Table2[[#This Row],[Manual Cat Value]]="",VLOOKUP(Table2[[#This Row],[Description]],'Actuals Lookup'!D:F,3,0),Table2[[#This Row],[Manual Cat Value]])</f>
        <v>#N/A</v>
      </c>
      <c r="J3462" s="2">
        <v>0.04</v>
      </c>
      <c r="K3462" s="2" t="b">
        <v>0</v>
      </c>
      <c r="L3462" s="2"/>
      <c r="M3462" s="2"/>
      <c r="N3462" s="4" t="s">
        <v>2273</v>
      </c>
      <c r="O3462" s="4" t="str">
        <f>LEFT(Table2[[#This Row],[Description]],75)</f>
        <v>BANK INT 091620-101520 SCHWAB PREMIER BANK</v>
      </c>
      <c r="P3462" s="2"/>
    </row>
    <row r="3463" spans="1:16" hidden="1">
      <c r="A3463" s="2">
        <v>202010</v>
      </c>
      <c r="B3463" s="3">
        <v>44134</v>
      </c>
      <c r="C3463" s="2" t="s">
        <v>2262</v>
      </c>
      <c r="D3463" s="2" t="s">
        <v>304</v>
      </c>
      <c r="E3463" s="2">
        <v>67.989999999999995</v>
      </c>
      <c r="F3463" s="2" t="e">
        <f>IF(Table2[[#This Row],[Manual Cat Value]]="",VLOOKUP(Table2[[#This Row],[Description]],'Actuals Lookup'!D:F,3,0),Table2[[#This Row],[Manual Cat Value]])</f>
        <v>#N/A</v>
      </c>
      <c r="J3463" s="2">
        <v>67.989999999999995</v>
      </c>
      <c r="K3463" s="2" t="b">
        <v>0</v>
      </c>
      <c r="L3463" s="2"/>
      <c r="M3463" s="2"/>
      <c r="N3463" s="4" t="s">
        <v>2259</v>
      </c>
      <c r="O3463" s="4" t="str">
        <f>LEFT(Table2[[#This Row],[Description]],75)</f>
        <v>BOBSTORESCOM 8663332627 PA</v>
      </c>
      <c r="P3463" s="2" t="s">
        <v>2281</v>
      </c>
    </row>
    <row r="3464" spans="1:16" hidden="1">
      <c r="A3464" s="2">
        <v>202010</v>
      </c>
      <c r="B3464" s="3">
        <v>44134</v>
      </c>
      <c r="C3464" s="2" t="s">
        <v>2262</v>
      </c>
      <c r="D3464" s="2" t="s">
        <v>312</v>
      </c>
      <c r="E3464" s="2">
        <v>98</v>
      </c>
      <c r="F3464" s="2" t="e">
        <f>IF(Table2[[#This Row],[Manual Cat Value]]="",VLOOKUP(Table2[[#This Row],[Description]],'Actuals Lookup'!D:F,3,0),Table2[[#This Row],[Manual Cat Value]])</f>
        <v>#N/A</v>
      </c>
      <c r="J3464" s="2">
        <v>98</v>
      </c>
      <c r="K3464" s="2" t="b">
        <v>0</v>
      </c>
      <c r="L3464" s="2"/>
      <c r="M3464" s="2"/>
      <c r="N3464" s="4" t="s">
        <v>2259</v>
      </c>
      <c r="O3464" s="4" t="str">
        <f>LEFT(Table2[[#This Row],[Description]],75)</f>
        <v>BONFES SOUTH SAINT PMN</v>
      </c>
      <c r="P3464" s="2" t="s">
        <v>2281</v>
      </c>
    </row>
    <row r="3465" spans="1:16" hidden="1">
      <c r="A3465" s="2">
        <v>202010</v>
      </c>
      <c r="B3465" s="3">
        <v>44134</v>
      </c>
      <c r="C3465" s="2" t="s">
        <v>2262</v>
      </c>
      <c r="D3465" s="2" t="s">
        <v>312</v>
      </c>
      <c r="E3465" s="2">
        <v>2847</v>
      </c>
      <c r="F3465" s="2" t="e">
        <f>IF(Table2[[#This Row],[Manual Cat Value]]="",VLOOKUP(Table2[[#This Row],[Description]],'Actuals Lookup'!D:F,3,0),Table2[[#This Row],[Manual Cat Value]])</f>
        <v>#N/A</v>
      </c>
      <c r="J3465" s="2">
        <v>2847</v>
      </c>
      <c r="K3465" s="2" t="b">
        <v>0</v>
      </c>
      <c r="L3465" s="2"/>
      <c r="M3465" s="2"/>
      <c r="N3465" s="4" t="s">
        <v>2259</v>
      </c>
      <c r="O3465" s="4" t="str">
        <f>LEFT(Table2[[#This Row],[Description]],75)</f>
        <v>BONFES SOUTH SAINT PMN</v>
      </c>
      <c r="P3465" s="2" t="s">
        <v>2281</v>
      </c>
    </row>
    <row r="3466" spans="1:16" hidden="1">
      <c r="A3466" s="2">
        <v>202010</v>
      </c>
      <c r="B3466" s="3">
        <v>44134</v>
      </c>
      <c r="C3466" s="2" t="s">
        <v>2262</v>
      </c>
      <c r="D3466" s="2" t="s">
        <v>345</v>
      </c>
      <c r="E3466" s="2">
        <v>138.47999999999999</v>
      </c>
      <c r="F3466" s="2" t="e">
        <f>IF(Table2[[#This Row],[Manual Cat Value]]="",VLOOKUP(Table2[[#This Row],[Description]],'Actuals Lookup'!D:F,3,0),Table2[[#This Row],[Manual Cat Value]])</f>
        <v>#N/A</v>
      </c>
      <c r="J3466" s="2">
        <v>138.47999999999999</v>
      </c>
      <c r="K3466" s="2" t="b">
        <v>0</v>
      </c>
      <c r="L3466" s="2"/>
      <c r="M3466" s="2"/>
      <c r="N3466" s="4" t="s">
        <v>2259</v>
      </c>
      <c r="O3466" s="4" t="str">
        <f>LEFT(Table2[[#This Row],[Description]],75)</f>
        <v>CAMPSAVER 8778836276 IL</v>
      </c>
      <c r="P3466" s="2" t="s">
        <v>2281</v>
      </c>
    </row>
    <row r="3467" spans="1:16" hidden="1">
      <c r="A3467" s="2">
        <v>202010</v>
      </c>
      <c r="B3467" s="3">
        <v>44134</v>
      </c>
      <c r="C3467" s="2" t="s">
        <v>2317</v>
      </c>
      <c r="D3467" s="2" t="s">
        <v>354</v>
      </c>
      <c r="E3467" s="2">
        <v>-200</v>
      </c>
      <c r="F3467" s="2" t="e">
        <f>IF(Table2[[#This Row],[Manual Cat Value]]="",VLOOKUP(Table2[[#This Row],[Description]],'Actuals Lookup'!D:F,3,0),Table2[[#This Row],[Manual Cat Value]])</f>
        <v>#N/A</v>
      </c>
      <c r="J3467" s="2">
        <v>200</v>
      </c>
      <c r="K3467" s="2" t="b">
        <v>0</v>
      </c>
      <c r="L3467" s="2"/>
      <c r="M3467" s="2"/>
      <c r="N3467" s="4" t="s">
        <v>2273</v>
      </c>
      <c r="O3467" s="4" t="str">
        <f>LEFT(Table2[[#This Row],[Description]],75)</f>
        <v>CARGILL COCOA &amp;</v>
      </c>
      <c r="P3467" s="2" t="s">
        <v>2354</v>
      </c>
    </row>
    <row r="3468" spans="1:16" hidden="1">
      <c r="A3468" s="2">
        <v>202010</v>
      </c>
      <c r="B3468" s="3">
        <v>44134</v>
      </c>
      <c r="C3468" s="2" t="s">
        <v>2317</v>
      </c>
      <c r="D3468" s="2" t="s">
        <v>354</v>
      </c>
      <c r="E3468" s="2">
        <v>-200</v>
      </c>
      <c r="F3468" s="2" t="e">
        <f>IF(Table2[[#This Row],[Manual Cat Value]]="",VLOOKUP(Table2[[#This Row],[Description]],'Actuals Lookup'!D:F,3,0),Table2[[#This Row],[Manual Cat Value]])</f>
        <v>#N/A</v>
      </c>
      <c r="J3468" s="2">
        <v>200</v>
      </c>
      <c r="K3468" s="2" t="b">
        <v>0</v>
      </c>
      <c r="L3468" s="2"/>
      <c r="M3468" s="2"/>
      <c r="N3468" s="4" t="s">
        <v>2273</v>
      </c>
      <c r="O3468" s="4" t="str">
        <f>LEFT(Table2[[#This Row],[Description]],75)</f>
        <v>CARGILL COCOA &amp;</v>
      </c>
      <c r="P3468" s="2" t="s">
        <v>2354</v>
      </c>
    </row>
    <row r="3469" spans="1:16" hidden="1">
      <c r="A3469" s="2">
        <v>202010</v>
      </c>
      <c r="B3469" s="3">
        <v>44134</v>
      </c>
      <c r="C3469" s="2" t="s">
        <v>2265</v>
      </c>
      <c r="D3469" s="2" t="s">
        <v>363</v>
      </c>
      <c r="E3469" s="2">
        <v>-1993.06</v>
      </c>
      <c r="F3469" s="2" t="e">
        <f>IF(Table2[[#This Row],[Manual Cat Value]]="",VLOOKUP(Table2[[#This Row],[Description]],'Actuals Lookup'!D:F,3,0),Table2[[#This Row],[Manual Cat Value]])</f>
        <v>#N/A</v>
      </c>
      <c r="J3469" s="2">
        <v>1993.06</v>
      </c>
      <c r="K3469" s="2" t="b">
        <v>0</v>
      </c>
      <c r="L3469" s="2"/>
      <c r="M3469" s="2"/>
      <c r="N3469" s="4" t="s">
        <v>2273</v>
      </c>
      <c r="O3469" s="4" t="str">
        <f>LEFT(Table2[[#This Row],[Description]],75)</f>
        <v>CARGILL COCOA TYPE DIR DEP ID CO CARGILL COCOA ACH ECC PPD ACH Trace 21729</v>
      </c>
      <c r="P3469" s="2" t="s">
        <v>2284</v>
      </c>
    </row>
    <row r="3470" spans="1:16" hidden="1">
      <c r="A3470" s="2">
        <v>202010</v>
      </c>
      <c r="B3470" s="3">
        <v>44134</v>
      </c>
      <c r="C3470" s="2" t="s">
        <v>2265</v>
      </c>
      <c r="D3470" s="2" t="s">
        <v>386</v>
      </c>
      <c r="E3470" s="2">
        <v>-2101.15</v>
      </c>
      <c r="F3470" s="2" t="e">
        <f>IF(Table2[[#This Row],[Manual Cat Value]]="",VLOOKUP(Table2[[#This Row],[Description]],'Actuals Lookup'!D:F,3,0),Table2[[#This Row],[Manual Cat Value]])</f>
        <v>#N/A</v>
      </c>
      <c r="J3470" s="2">
        <v>2101.15</v>
      </c>
      <c r="K3470" s="2" t="b">
        <v>0</v>
      </c>
      <c r="L3470" s="2"/>
      <c r="M3470" s="2"/>
      <c r="N3470" s="4" t="s">
        <v>2273</v>
      </c>
      <c r="O3470" s="4" t="str">
        <f>LEFT(Table2[[#This Row],[Description]],75)</f>
        <v>CARGILL COCOA TYPE DIR DEP ID CO CARGILL COCOA ACH ECC PPD ACH Trace 63125</v>
      </c>
      <c r="P3470" s="2" t="s">
        <v>2284</v>
      </c>
    </row>
    <row r="3471" spans="1:16" hidden="1">
      <c r="A3471" s="2">
        <v>202010</v>
      </c>
      <c r="B3471" s="3">
        <v>44134</v>
      </c>
      <c r="C3471" s="2" t="s">
        <v>2338</v>
      </c>
      <c r="D3471" s="2" t="s">
        <v>403</v>
      </c>
      <c r="E3471" s="2">
        <v>-2056.23</v>
      </c>
      <c r="F3471" s="2" t="e">
        <f>IF(Table2[[#This Row],[Manual Cat Value]]="",VLOOKUP(Table2[[#This Row],[Description]],'Actuals Lookup'!D:F,3,0),Table2[[#This Row],[Manual Cat Value]])</f>
        <v>#N/A</v>
      </c>
      <c r="J3471" s="2">
        <v>2056.23</v>
      </c>
      <c r="K3471" s="2" t="b">
        <v>0</v>
      </c>
      <c r="L3471" s="2"/>
      <c r="M3471" s="2"/>
      <c r="N3471" s="4" t="s">
        <v>2273</v>
      </c>
      <c r="O3471" s="4" t="str">
        <f>LEFT(Table2[[#This Row],[Description]],75)</f>
        <v>Cargill ESOP Stock Fund - Plan Contribution</v>
      </c>
      <c r="P3471" s="2" t="s">
        <v>2451</v>
      </c>
    </row>
    <row r="3472" spans="1:16" hidden="1">
      <c r="A3472" s="2">
        <v>202010</v>
      </c>
      <c r="B3472" s="3">
        <v>44134</v>
      </c>
      <c r="C3472" s="2" t="s">
        <v>2265</v>
      </c>
      <c r="D3472" s="2" t="s">
        <v>425</v>
      </c>
      <c r="E3472" s="2">
        <v>-75</v>
      </c>
      <c r="F3472" s="2" t="e">
        <f>IF(Table2[[#This Row],[Manual Cat Value]]="",VLOOKUP(Table2[[#This Row],[Description]],'Actuals Lookup'!D:F,3,0),Table2[[#This Row],[Manual Cat Value]])</f>
        <v>#N/A</v>
      </c>
      <c r="J3472" s="2">
        <v>75</v>
      </c>
      <c r="K3472" s="2" t="b">
        <v>0</v>
      </c>
      <c r="L3472" s="2"/>
      <c r="M3472" s="2"/>
      <c r="N3472" s="4" t="s">
        <v>2273</v>
      </c>
      <c r="O3472" s="4" t="str">
        <f>LEFT(Table2[[#This Row],[Description]],75)</f>
        <v>Cargill Incorpor Type</v>
      </c>
      <c r="P3472" s="2" t="s">
        <v>2282</v>
      </c>
    </row>
    <row r="3473" spans="1:16" hidden="1">
      <c r="A3473" s="2">
        <v>202010</v>
      </c>
      <c r="B3473" s="3">
        <v>44134</v>
      </c>
      <c r="C3473" s="2" t="s">
        <v>2265</v>
      </c>
      <c r="D3473" s="2" t="s">
        <v>425</v>
      </c>
      <c r="E3473" s="2">
        <v>-75</v>
      </c>
      <c r="F3473" s="2" t="e">
        <f>IF(Table2[[#This Row],[Manual Cat Value]]="",VLOOKUP(Table2[[#This Row],[Description]],'Actuals Lookup'!D:F,3,0),Table2[[#This Row],[Manual Cat Value]])</f>
        <v>#N/A</v>
      </c>
      <c r="J3473" s="2">
        <v>75</v>
      </c>
      <c r="K3473" s="2" t="b">
        <v>0</v>
      </c>
      <c r="L3473" s="2"/>
      <c r="M3473" s="2"/>
      <c r="N3473" s="4" t="s">
        <v>2273</v>
      </c>
      <c r="O3473" s="4" t="str">
        <f>LEFT(Table2[[#This Row],[Description]],75)</f>
        <v>Cargill Incorpor Type</v>
      </c>
      <c r="P3473" s="2" t="s">
        <v>2282</v>
      </c>
    </row>
    <row r="3474" spans="1:16" hidden="1">
      <c r="A3474" s="2">
        <v>202010</v>
      </c>
      <c r="B3474" s="3">
        <v>44134</v>
      </c>
      <c r="C3474" s="2" t="s">
        <v>2262</v>
      </c>
      <c r="D3474" s="2" t="s">
        <v>453</v>
      </c>
      <c r="E3474" s="2">
        <v>25.86</v>
      </c>
      <c r="F3474" s="2" t="str">
        <f>IF(Table2[[#This Row],[Manual Cat Value]]="",VLOOKUP(Table2[[#This Row],[Description]],'Actuals Lookup'!D:F,3,0),Table2[[#This Row],[Manual Cat Value]])</f>
        <v>Restaurants</v>
      </c>
      <c r="J3474" s="2">
        <v>25.86</v>
      </c>
      <c r="K3474" s="2" t="b">
        <v>0</v>
      </c>
      <c r="L3474" s="2"/>
      <c r="M3474" s="2"/>
      <c r="N3474" s="4" t="s">
        <v>2259</v>
      </c>
      <c r="O3474" s="4" t="str">
        <f>LEFT(Table2[[#This Row],[Description]],75)</f>
        <v>Caribou Coffee</v>
      </c>
      <c r="P3474" s="2" t="s">
        <v>2329</v>
      </c>
    </row>
    <row r="3475" spans="1:16" hidden="1">
      <c r="A3475" s="2">
        <v>202010</v>
      </c>
      <c r="B3475" s="3">
        <v>44134</v>
      </c>
      <c r="C3475" s="2" t="s">
        <v>2447</v>
      </c>
      <c r="D3475" s="2" t="s">
        <v>506</v>
      </c>
      <c r="E3475" s="2">
        <v>45</v>
      </c>
      <c r="F3475" s="2" t="str">
        <f>IF(Table2[[#This Row],[Manual Cat Value]]="",VLOOKUP(Table2[[#This Row],[Description]],'Actuals Lookup'!D:F,3,0),Table2[[#This Row],[Manual Cat Value]])</f>
        <v>Utilities</v>
      </c>
      <c r="J3475" s="2">
        <v>45</v>
      </c>
      <c r="K3475" s="2" t="b">
        <v>0</v>
      </c>
      <c r="L3475" s="2"/>
      <c r="M3475" s="2"/>
      <c r="N3475" s="4" t="s">
        <v>2259</v>
      </c>
      <c r="O3475" s="4" t="str">
        <f>LEFT(Table2[[#This Row],[Description]],75)</f>
        <v>CenturyLink</v>
      </c>
      <c r="P3475" s="2" t="s">
        <v>2408</v>
      </c>
    </row>
    <row r="3476" spans="1:16" hidden="1">
      <c r="A3476" s="2">
        <v>202010</v>
      </c>
      <c r="B3476" s="3">
        <v>44134</v>
      </c>
      <c r="C3476" s="2" t="s">
        <v>2258</v>
      </c>
      <c r="D3476" s="2" t="s">
        <v>506</v>
      </c>
      <c r="E3476" s="2">
        <v>45</v>
      </c>
      <c r="F3476" s="2" t="str">
        <f>IF(Table2[[#This Row],[Manual Cat Value]]="",VLOOKUP(Table2[[#This Row],[Description]],'Actuals Lookup'!D:F,3,0),Table2[[#This Row],[Manual Cat Value]])</f>
        <v>Utilities</v>
      </c>
      <c r="J3476" s="2">
        <v>45</v>
      </c>
      <c r="K3476" s="2" t="b">
        <v>0</v>
      </c>
      <c r="L3476" s="2"/>
      <c r="M3476" s="2"/>
      <c r="N3476" s="4" t="s">
        <v>2259</v>
      </c>
      <c r="O3476" s="4" t="str">
        <f>LEFT(Table2[[#This Row],[Description]],75)</f>
        <v>CenturyLink</v>
      </c>
      <c r="P3476" s="2" t="s">
        <v>2408</v>
      </c>
    </row>
    <row r="3477" spans="1:16" hidden="1">
      <c r="A3477" s="2">
        <v>202010</v>
      </c>
      <c r="B3477" s="3">
        <v>44134</v>
      </c>
      <c r="C3477" s="2" t="s">
        <v>2265</v>
      </c>
      <c r="D3477" s="2" t="s">
        <v>527</v>
      </c>
      <c r="E3477" s="2">
        <v>80</v>
      </c>
      <c r="F3477" s="2" t="e">
        <f>IF(Table2[[#This Row],[Manual Cat Value]]="",VLOOKUP(Table2[[#This Row],[Description]],'Actuals Lookup'!D:F,3,0),Table2[[#This Row],[Manual Cat Value]])</f>
        <v>#N/A</v>
      </c>
      <c r="J3477" s="2">
        <v>80</v>
      </c>
      <c r="K3477" s="2" t="b">
        <v>0</v>
      </c>
      <c r="L3477" s="2"/>
      <c r="M3477" s="2"/>
      <c r="N3477" s="4" t="s">
        <v>2259</v>
      </c>
      <c r="O3477" s="4" t="str">
        <f>LEFT(Table2[[#This Row],[Description]],75)</f>
        <v>CHECK 2180 2180</v>
      </c>
      <c r="P3477" s="2" t="s">
        <v>2281</v>
      </c>
    </row>
    <row r="3478" spans="1:16" hidden="1">
      <c r="A3478" s="2">
        <v>202010</v>
      </c>
      <c r="B3478" s="3">
        <v>44134</v>
      </c>
      <c r="C3478" s="2" t="s">
        <v>2265</v>
      </c>
      <c r="D3478" s="2" t="s">
        <v>528</v>
      </c>
      <c r="E3478" s="2">
        <v>50</v>
      </c>
      <c r="F3478" s="2" t="e">
        <f>IF(Table2[[#This Row],[Manual Cat Value]]="",VLOOKUP(Table2[[#This Row],[Description]],'Actuals Lookup'!D:F,3,0),Table2[[#This Row],[Manual Cat Value]])</f>
        <v>#N/A</v>
      </c>
      <c r="J3478" s="2">
        <v>50</v>
      </c>
      <c r="K3478" s="2" t="b">
        <v>0</v>
      </c>
      <c r="L3478" s="2"/>
      <c r="M3478" s="2"/>
      <c r="N3478" s="4" t="s">
        <v>2259</v>
      </c>
      <c r="O3478" s="4" t="str">
        <f>LEFT(Table2[[#This Row],[Description]],75)</f>
        <v>CHECK 2182 2182</v>
      </c>
      <c r="P3478" s="2" t="s">
        <v>2281</v>
      </c>
    </row>
    <row r="3479" spans="1:16" hidden="1">
      <c r="A3479" s="2">
        <v>202010</v>
      </c>
      <c r="B3479" s="3">
        <v>44134</v>
      </c>
      <c r="C3479" s="2" t="s">
        <v>2262</v>
      </c>
      <c r="D3479" s="2" t="s">
        <v>543</v>
      </c>
      <c r="E3479" s="2">
        <v>22.6</v>
      </c>
      <c r="F3479" s="2" t="e">
        <f>IF(Table2[[#This Row],[Manual Cat Value]]="",VLOOKUP(Table2[[#This Row],[Description]],'Actuals Lookup'!D:F,3,0),Table2[[#This Row],[Manual Cat Value]])</f>
        <v>#N/A</v>
      </c>
      <c r="J3479" s="2">
        <v>22.6</v>
      </c>
      <c r="K3479" s="2" t="b">
        <v>0</v>
      </c>
      <c r="L3479" s="2"/>
      <c r="M3479" s="2"/>
      <c r="N3479" s="4" t="s">
        <v>2259</v>
      </c>
      <c r="O3479" s="4" t="str">
        <f>LEFT(Table2[[#This Row],[Description]],75)</f>
        <v>Chipotle</v>
      </c>
      <c r="P3479" s="2" t="s">
        <v>2341</v>
      </c>
    </row>
    <row r="3480" spans="1:16" hidden="1">
      <c r="A3480" s="2">
        <v>202010</v>
      </c>
      <c r="B3480" s="3">
        <v>44134</v>
      </c>
      <c r="C3480" s="2" t="s">
        <v>2265</v>
      </c>
      <c r="D3480" s="2" t="s">
        <v>557</v>
      </c>
      <c r="E3480" s="2">
        <v>163.08000000000001</v>
      </c>
      <c r="F3480" s="2" t="e">
        <f>IF(Table2[[#This Row],[Manual Cat Value]]="",VLOOKUP(Table2[[#This Row],[Description]],'Actuals Lookup'!D:F,3,0),Table2[[#This Row],[Manual Cat Value]])</f>
        <v>#N/A</v>
      </c>
      <c r="J3480" s="2">
        <v>163.08000000000001</v>
      </c>
      <c r="K3480" s="2" t="b">
        <v>0</v>
      </c>
      <c r="L3480" s="2"/>
      <c r="M3480" s="2"/>
      <c r="N3480" s="4" t="s">
        <v>2259</v>
      </c>
      <c r="O3480" s="4" t="str">
        <f>LEFT(Table2[[#This Row],[Description]],75)</f>
        <v>City of Chanhassen</v>
      </c>
      <c r="P3480" s="2" t="s">
        <v>2298</v>
      </c>
    </row>
    <row r="3481" spans="1:16" hidden="1">
      <c r="A3481" s="2">
        <v>202010</v>
      </c>
      <c r="B3481" s="3">
        <v>44134</v>
      </c>
      <c r="C3481" s="2" t="s">
        <v>2262</v>
      </c>
      <c r="D3481" s="2" t="s">
        <v>567</v>
      </c>
      <c r="E3481" s="2">
        <v>153.03</v>
      </c>
      <c r="F3481" s="2" t="e">
        <f>IF(Table2[[#This Row],[Manual Cat Value]]="",VLOOKUP(Table2[[#This Row],[Description]],'Actuals Lookup'!D:F,3,0),Table2[[#This Row],[Manual Cat Value]])</f>
        <v>#N/A</v>
      </c>
      <c r="J3481" s="2">
        <v>153.03</v>
      </c>
      <c r="K3481" s="2" t="b">
        <v>0</v>
      </c>
      <c r="L3481" s="2"/>
      <c r="M3481" s="2"/>
      <c r="N3481" s="4" t="s">
        <v>2259</v>
      </c>
      <c r="O3481" s="4" t="str">
        <f>LEFT(Table2[[#This Row],[Description]],75)</f>
        <v>Coalition</v>
      </c>
      <c r="P3481" s="2" t="s">
        <v>2458</v>
      </c>
    </row>
    <row r="3482" spans="1:16" hidden="1">
      <c r="A3482" s="2">
        <v>202010</v>
      </c>
      <c r="B3482" s="3">
        <v>44134</v>
      </c>
      <c r="C3482" s="2" t="s">
        <v>2317</v>
      </c>
      <c r="D3482" s="2" t="s">
        <v>605</v>
      </c>
      <c r="E3482" s="2">
        <v>-250</v>
      </c>
      <c r="F3482" s="2" t="e">
        <f>IF(Table2[[#This Row],[Manual Cat Value]]="",VLOOKUP(Table2[[#This Row],[Description]],'Actuals Lookup'!D:F,3,0),Table2[[#This Row],[Manual Cat Value]])</f>
        <v>#N/A</v>
      </c>
      <c r="J3482" s="2">
        <v>250</v>
      </c>
      <c r="K3482" s="2" t="b">
        <v>0</v>
      </c>
      <c r="L3482" s="2"/>
      <c r="M3482" s="2"/>
      <c r="N3482" s="4" t="s">
        <v>2273</v>
      </c>
      <c r="O3482" s="4" t="str">
        <f>LEFT(Table2[[#This Row],[Description]],75)</f>
        <v>CONNECTED ANALYT</v>
      </c>
      <c r="P3482" s="2" t="s">
        <v>2493</v>
      </c>
    </row>
    <row r="3483" spans="1:16" hidden="1">
      <c r="A3483" s="2">
        <v>202010</v>
      </c>
      <c r="B3483" s="3">
        <v>44134</v>
      </c>
      <c r="C3483" s="2" t="s">
        <v>2317</v>
      </c>
      <c r="D3483" s="2" t="s">
        <v>605</v>
      </c>
      <c r="E3483" s="2">
        <v>-250</v>
      </c>
      <c r="F3483" s="2" t="e">
        <f>IF(Table2[[#This Row],[Manual Cat Value]]="",VLOOKUP(Table2[[#This Row],[Description]],'Actuals Lookup'!D:F,3,0),Table2[[#This Row],[Manual Cat Value]])</f>
        <v>#N/A</v>
      </c>
      <c r="J3483" s="2">
        <v>250</v>
      </c>
      <c r="K3483" s="2" t="b">
        <v>0</v>
      </c>
      <c r="L3483" s="2"/>
      <c r="M3483" s="2"/>
      <c r="N3483" s="4" t="s">
        <v>2273</v>
      </c>
      <c r="O3483" s="4" t="str">
        <f>LEFT(Table2[[#This Row],[Description]],75)</f>
        <v>CONNECTED ANALYT</v>
      </c>
      <c r="P3483" s="2" t="s">
        <v>2493</v>
      </c>
    </row>
    <row r="3484" spans="1:16" hidden="1">
      <c r="A3484" s="2">
        <v>202010</v>
      </c>
      <c r="B3484" s="3">
        <v>44134</v>
      </c>
      <c r="C3484" s="2" t="s">
        <v>2265</v>
      </c>
      <c r="D3484" s="2" t="s">
        <v>613</v>
      </c>
      <c r="E3484" s="2">
        <v>-2385.5700000000002</v>
      </c>
      <c r="F3484" s="2" t="e">
        <f>IF(Table2[[#This Row],[Manual Cat Value]]="",VLOOKUP(Table2[[#This Row],[Description]],'Actuals Lookup'!D:F,3,0),Table2[[#This Row],[Manual Cat Value]])</f>
        <v>#N/A</v>
      </c>
      <c r="J3484" s="2">
        <v>2385.5700000000002</v>
      </c>
      <c r="K3484" s="2" t="b">
        <v>0</v>
      </c>
      <c r="L3484" s="2"/>
      <c r="M3484" s="2"/>
      <c r="N3484" s="4" t="s">
        <v>2273</v>
      </c>
      <c r="O3484" s="4" t="str">
        <f>LEFT(Table2[[#This Row],[Description]],75)</f>
        <v>CONNECTED ANALYT TYPE DIRECT DEP ID CO CONNECTED ANALYT ACH ECC PPD ACH Tra</v>
      </c>
      <c r="P3484" s="2" t="s">
        <v>2281</v>
      </c>
    </row>
    <row r="3485" spans="1:16" hidden="1">
      <c r="A3485" s="2">
        <v>202010</v>
      </c>
      <c r="B3485" s="3">
        <v>44134</v>
      </c>
      <c r="C3485" s="2" t="s">
        <v>2265</v>
      </c>
      <c r="D3485" s="2" t="s">
        <v>627</v>
      </c>
      <c r="E3485" s="2">
        <v>-2335.59</v>
      </c>
      <c r="F3485" s="2" t="e">
        <f>IF(Table2[[#This Row],[Manual Cat Value]]="",VLOOKUP(Table2[[#This Row],[Description]],'Actuals Lookup'!D:F,3,0),Table2[[#This Row],[Manual Cat Value]])</f>
        <v>#N/A</v>
      </c>
      <c r="J3485" s="2">
        <v>2335.59</v>
      </c>
      <c r="K3485" s="2" t="b">
        <v>0</v>
      </c>
      <c r="L3485" s="2"/>
      <c r="M3485" s="2"/>
      <c r="N3485" s="4" t="s">
        <v>2273</v>
      </c>
      <c r="O3485" s="4" t="str">
        <f>LEFT(Table2[[#This Row],[Description]],75)</f>
        <v>CONNECTED ANALYT TYPE DIRECT DEP ID CO CONNECTED ANALYT ACH ECC PPD ACH Tra</v>
      </c>
      <c r="P3485" s="2" t="s">
        <v>2281</v>
      </c>
    </row>
    <row r="3486" spans="1:16" hidden="1">
      <c r="A3486" s="2">
        <v>202010</v>
      </c>
      <c r="B3486" s="3">
        <v>44134</v>
      </c>
      <c r="C3486" s="2" t="s">
        <v>2265</v>
      </c>
      <c r="D3486" s="2" t="s">
        <v>637</v>
      </c>
      <c r="E3486" s="2">
        <v>-22.53</v>
      </c>
      <c r="F3486" s="2" t="e">
        <f>IF(Table2[[#This Row],[Manual Cat Value]]="",VLOOKUP(Table2[[#This Row],[Description]],'Actuals Lookup'!D:F,3,0),Table2[[#This Row],[Manual Cat Value]])</f>
        <v>#N/A</v>
      </c>
      <c r="J3486" s="2">
        <v>22.53</v>
      </c>
      <c r="K3486" s="2" t="b">
        <v>0</v>
      </c>
      <c r="L3486" s="2"/>
      <c r="M3486" s="2"/>
      <c r="N3486" s="4" t="s">
        <v>2273</v>
      </c>
      <c r="O3486" s="4" t="str">
        <f>LEFT(Table2[[#This Row],[Description]],75)</f>
        <v>Connectyourcare Type Svbclaims</v>
      </c>
      <c r="P3486" s="2" t="s">
        <v>2281</v>
      </c>
    </row>
    <row r="3487" spans="1:16" hidden="1">
      <c r="A3487" s="2">
        <v>202010</v>
      </c>
      <c r="B3487" s="3">
        <v>44134</v>
      </c>
      <c r="C3487" s="2" t="s">
        <v>2265</v>
      </c>
      <c r="D3487" s="2" t="s">
        <v>665</v>
      </c>
      <c r="E3487" s="2">
        <v>33.770000000000003</v>
      </c>
      <c r="F3487" s="2" t="e">
        <f>IF(Table2[[#This Row],[Manual Cat Value]]="",VLOOKUP(Table2[[#This Row],[Description]],'Actuals Lookup'!D:F,3,0),Table2[[#This Row],[Manual Cat Value]])</f>
        <v>#N/A</v>
      </c>
      <c r="J3487" s="2">
        <v>33.770000000000003</v>
      </c>
      <c r="K3487" s="2" t="b">
        <v>0</v>
      </c>
      <c r="L3487" s="2"/>
      <c r="M3487" s="2"/>
      <c r="N3487" s="4" t="s">
        <v>2259</v>
      </c>
      <c r="O3487" s="4" t="str">
        <f>LEFT(Table2[[#This Row],[Description]],75)</f>
        <v xml:space="preserve">CPENERGY MNGCO TYPE MGC ACH EB ID 176051140S CO CPENERGY MNGCO ACH ECC WEB </v>
      </c>
      <c r="P3487" s="2" t="s">
        <v>2399</v>
      </c>
    </row>
    <row r="3488" spans="1:16" hidden="1">
      <c r="A3488" s="2">
        <v>202010</v>
      </c>
      <c r="B3488" s="3">
        <v>44134</v>
      </c>
      <c r="C3488" s="2" t="s">
        <v>2447</v>
      </c>
      <c r="D3488" s="2" t="s">
        <v>684</v>
      </c>
      <c r="E3488" s="2">
        <v>9.4700000000000006</v>
      </c>
      <c r="F3488" s="2" t="str">
        <f>IF(Table2[[#This Row],[Manual Cat Value]]="",VLOOKUP(Table2[[#This Row],[Description]],'Actuals Lookup'!D:F,3,0),Table2[[#This Row],[Manual Cat Value]])</f>
        <v>Groceries</v>
      </c>
      <c r="J3488" s="2">
        <v>9.4700000000000006</v>
      </c>
      <c r="K3488" s="2" t="b">
        <v>0</v>
      </c>
      <c r="L3488" s="2"/>
      <c r="M3488" s="2"/>
      <c r="N3488" s="4" t="s">
        <v>2259</v>
      </c>
      <c r="O3488" s="4" t="str">
        <f>LEFT(Table2[[#This Row],[Description]],75)</f>
        <v>Cub Foods</v>
      </c>
      <c r="P3488" s="2" t="s">
        <v>2370</v>
      </c>
    </row>
    <row r="3489" spans="1:16" hidden="1">
      <c r="A3489" s="2">
        <v>202010</v>
      </c>
      <c r="B3489" s="3">
        <v>44134</v>
      </c>
      <c r="C3489" s="2" t="s">
        <v>2262</v>
      </c>
      <c r="D3489" s="2" t="s">
        <v>684</v>
      </c>
      <c r="E3489" s="2">
        <v>115.06</v>
      </c>
      <c r="F3489" s="2" t="str">
        <f>IF(Table2[[#This Row],[Manual Cat Value]]="",VLOOKUP(Table2[[#This Row],[Description]],'Actuals Lookup'!D:F,3,0),Table2[[#This Row],[Manual Cat Value]])</f>
        <v>Groceries</v>
      </c>
      <c r="J3489" s="2">
        <v>115.06</v>
      </c>
      <c r="K3489" s="2" t="b">
        <v>0</v>
      </c>
      <c r="L3489" s="2"/>
      <c r="M3489" s="2"/>
      <c r="N3489" s="4" t="s">
        <v>2259</v>
      </c>
      <c r="O3489" s="4" t="str">
        <f>LEFT(Table2[[#This Row],[Description]],75)</f>
        <v>Cub Foods</v>
      </c>
      <c r="P3489" s="2" t="s">
        <v>2370</v>
      </c>
    </row>
    <row r="3490" spans="1:16" hidden="1">
      <c r="A3490" s="2">
        <v>202010</v>
      </c>
      <c r="B3490" s="3">
        <v>44134</v>
      </c>
      <c r="C3490" s="2" t="s">
        <v>2258</v>
      </c>
      <c r="D3490" s="2" t="s">
        <v>684</v>
      </c>
      <c r="E3490" s="2">
        <v>9.4700000000000006</v>
      </c>
      <c r="F3490" s="2" t="str">
        <f>IF(Table2[[#This Row],[Manual Cat Value]]="",VLOOKUP(Table2[[#This Row],[Description]],'Actuals Lookup'!D:F,3,0),Table2[[#This Row],[Manual Cat Value]])</f>
        <v>Groceries</v>
      </c>
      <c r="J3490" s="2">
        <v>9.4700000000000006</v>
      </c>
      <c r="K3490" s="2" t="b">
        <v>0</v>
      </c>
      <c r="L3490" s="2"/>
      <c r="M3490" s="2"/>
      <c r="N3490" s="4" t="s">
        <v>2259</v>
      </c>
      <c r="O3490" s="4" t="str">
        <f>LEFT(Table2[[#This Row],[Description]],75)</f>
        <v>Cub Foods</v>
      </c>
      <c r="P3490" s="2" t="s">
        <v>2370</v>
      </c>
    </row>
    <row r="3491" spans="1:16" hidden="1">
      <c r="A3491" s="2">
        <v>202010</v>
      </c>
      <c r="B3491" s="3">
        <v>44134</v>
      </c>
      <c r="C3491" s="2" t="s">
        <v>2262</v>
      </c>
      <c r="D3491" s="2" t="s">
        <v>684</v>
      </c>
      <c r="E3491" s="2">
        <v>72.790000000000006</v>
      </c>
      <c r="F3491" s="2" t="str">
        <f>IF(Table2[[#This Row],[Manual Cat Value]]="",VLOOKUP(Table2[[#This Row],[Description]],'Actuals Lookup'!D:F,3,0),Table2[[#This Row],[Manual Cat Value]])</f>
        <v>Groceries</v>
      </c>
      <c r="J3491" s="2">
        <v>72.790000000000006</v>
      </c>
      <c r="K3491" s="2" t="b">
        <v>0</v>
      </c>
      <c r="L3491" s="2"/>
      <c r="M3491" s="2"/>
      <c r="N3491" s="4" t="s">
        <v>2259</v>
      </c>
      <c r="O3491" s="4" t="str">
        <f>LEFT(Table2[[#This Row],[Description]],75)</f>
        <v>Cub Foods</v>
      </c>
      <c r="P3491" s="2" t="s">
        <v>2370</v>
      </c>
    </row>
    <row r="3492" spans="1:16" hidden="1">
      <c r="A3492" s="2">
        <v>202010</v>
      </c>
      <c r="B3492" s="3">
        <v>44134</v>
      </c>
      <c r="C3492" s="2" t="s">
        <v>2262</v>
      </c>
      <c r="D3492" s="2" t="s">
        <v>698</v>
      </c>
      <c r="E3492" s="2">
        <v>5</v>
      </c>
      <c r="F3492" s="2" t="e">
        <f>IF(Table2[[#This Row],[Manual Cat Value]]="",VLOOKUP(Table2[[#This Row],[Description]],'Actuals Lookup'!D:F,3,0),Table2[[#This Row],[Manual Cat Value]])</f>
        <v>#N/A</v>
      </c>
      <c r="J3492" s="2">
        <v>5</v>
      </c>
      <c r="K3492" s="2" t="b">
        <v>0</v>
      </c>
      <c r="L3492" s="2"/>
      <c r="M3492" s="2"/>
      <c r="N3492" s="4" t="s">
        <v>2259</v>
      </c>
      <c r="O3492" s="4" t="str">
        <f>LEFT(Table2[[#This Row],[Description]],75)</f>
        <v>Dean Vending Inc</v>
      </c>
      <c r="P3492" s="2" t="s">
        <v>2281</v>
      </c>
    </row>
    <row r="3493" spans="1:16" hidden="1">
      <c r="A3493" s="2">
        <v>202010</v>
      </c>
      <c r="B3493" s="3">
        <v>44134</v>
      </c>
      <c r="C3493" s="2" t="s">
        <v>2262</v>
      </c>
      <c r="D3493" s="2" t="s">
        <v>702</v>
      </c>
      <c r="E3493" s="2">
        <v>46.55</v>
      </c>
      <c r="F3493" s="2" t="e">
        <f>IF(Table2[[#This Row],[Manual Cat Value]]="",VLOOKUP(Table2[[#This Row],[Description]],'Actuals Lookup'!D:F,3,0),Table2[[#This Row],[Manual Cat Value]])</f>
        <v>#N/A</v>
      </c>
      <c r="J3493" s="2">
        <v>46.55</v>
      </c>
      <c r="K3493" s="2" t="b">
        <v>0</v>
      </c>
      <c r="L3493" s="2"/>
      <c r="M3493" s="2"/>
      <c r="N3493" s="4" t="s">
        <v>2259</v>
      </c>
      <c r="O3493" s="4" t="str">
        <f>LEFT(Table2[[#This Row],[Description]],75)</f>
        <v>Delta</v>
      </c>
      <c r="P3493" s="2" t="s">
        <v>2510</v>
      </c>
    </row>
    <row r="3494" spans="1:16" hidden="1">
      <c r="A3494" s="2">
        <v>202010</v>
      </c>
      <c r="B3494" s="3">
        <v>44134</v>
      </c>
      <c r="C3494" s="2" t="s">
        <v>2262</v>
      </c>
      <c r="D3494" s="2" t="s">
        <v>702</v>
      </c>
      <c r="E3494" s="2">
        <v>1040.82</v>
      </c>
      <c r="F3494" s="2" t="e">
        <f>IF(Table2[[#This Row],[Manual Cat Value]]="",VLOOKUP(Table2[[#This Row],[Description]],'Actuals Lookup'!D:F,3,0),Table2[[#This Row],[Manual Cat Value]])</f>
        <v>#N/A</v>
      </c>
      <c r="J3494" s="2">
        <v>1040.82</v>
      </c>
      <c r="K3494" s="2" t="b">
        <v>0</v>
      </c>
      <c r="L3494" s="2"/>
      <c r="M3494" s="2"/>
      <c r="N3494" s="4" t="s">
        <v>2259</v>
      </c>
      <c r="O3494" s="4" t="str">
        <f>LEFT(Table2[[#This Row],[Description]],75)</f>
        <v>Delta</v>
      </c>
      <c r="P3494" s="2" t="s">
        <v>2510</v>
      </c>
    </row>
    <row r="3495" spans="1:16" hidden="1">
      <c r="A3495" s="2">
        <v>202010</v>
      </c>
      <c r="B3495" s="3">
        <v>44134</v>
      </c>
      <c r="C3495" s="2" t="s">
        <v>2300</v>
      </c>
      <c r="D3495" s="2" t="s">
        <v>710</v>
      </c>
      <c r="E3495" s="2">
        <v>-163.72</v>
      </c>
      <c r="F3495" s="2" t="str">
        <f>IF(Table2[[#This Row],[Manual Cat Value]]="",VLOOKUP(Table2[[#This Row],[Description]],'Actuals Lookup'!D:F,3,0),Table2[[#This Row],[Manual Cat Value]])</f>
        <v>Delete</v>
      </c>
      <c r="J3495" s="2">
        <v>163.72</v>
      </c>
      <c r="K3495" s="2" t="b">
        <v>0</v>
      </c>
      <c r="L3495" s="2"/>
      <c r="M3495" s="2"/>
      <c r="N3495" s="4" t="s">
        <v>2273</v>
      </c>
      <c r="O3495" s="4" t="str">
        <f>LEFT(Table2[[#This Row],[Description]],75)</f>
        <v>Deposit by Check Deposit Anywhere check deposit</v>
      </c>
      <c r="P3495" s="2" t="s">
        <v>2281</v>
      </c>
    </row>
    <row r="3496" spans="1:16" hidden="1">
      <c r="A3496" s="2">
        <v>202010</v>
      </c>
      <c r="B3496" s="3">
        <v>44134</v>
      </c>
      <c r="C3496" s="2" t="s">
        <v>2262</v>
      </c>
      <c r="D3496" s="2" t="s">
        <v>856</v>
      </c>
      <c r="E3496" s="2">
        <v>30</v>
      </c>
      <c r="F3496" s="2" t="e">
        <f>IF(Table2[[#This Row],[Manual Cat Value]]="",VLOOKUP(Table2[[#This Row],[Description]],'Actuals Lookup'!D:F,3,0),Table2[[#This Row],[Manual Cat Value]])</f>
        <v>#N/A</v>
      </c>
      <c r="J3496" s="2">
        <v>30</v>
      </c>
      <c r="K3496" s="2" t="b">
        <v>0</v>
      </c>
      <c r="L3496" s="2"/>
      <c r="M3496" s="2"/>
      <c r="N3496" s="4" t="s">
        <v>2259</v>
      </c>
      <c r="O3496" s="4" t="str">
        <f>LEFT(Table2[[#This Row],[Description]],75)</f>
        <v>FREEGEEK TWINCITIES FREEGEEKTWINCMN</v>
      </c>
      <c r="P3496" s="2" t="s">
        <v>2281</v>
      </c>
    </row>
    <row r="3497" spans="1:16" hidden="1">
      <c r="A3497" s="2">
        <v>202010</v>
      </c>
      <c r="B3497" s="3">
        <v>44134</v>
      </c>
      <c r="C3497" s="2" t="s">
        <v>2317</v>
      </c>
      <c r="D3497" s="2" t="s">
        <v>878</v>
      </c>
      <c r="E3497" s="2">
        <v>-100</v>
      </c>
      <c r="F3497" s="2" t="e">
        <f>IF(Table2[[#This Row],[Manual Cat Value]]="",VLOOKUP(Table2[[#This Row],[Description]],'Actuals Lookup'!D:F,3,0),Table2[[#This Row],[Manual Cat Value]])</f>
        <v>#N/A</v>
      </c>
      <c r="J3497" s="2">
        <v>100</v>
      </c>
      <c r="K3497" s="2" t="b">
        <v>0</v>
      </c>
      <c r="L3497" s="2"/>
      <c r="M3497" s="2"/>
      <c r="N3497" s="4" t="s">
        <v>2273</v>
      </c>
      <c r="O3497" s="4" t="str">
        <f>LEFT(Table2[[#This Row],[Description]],75)</f>
        <v>FUNDS RECEIVED</v>
      </c>
      <c r="P3497" s="2" t="s">
        <v>2385</v>
      </c>
    </row>
    <row r="3498" spans="1:16" hidden="1">
      <c r="A3498" s="2">
        <v>202010</v>
      </c>
      <c r="B3498" s="3">
        <v>44134</v>
      </c>
      <c r="C3498" s="2" t="s">
        <v>2262</v>
      </c>
      <c r="D3498" s="2" t="s">
        <v>947</v>
      </c>
      <c r="E3498" s="2">
        <v>14.56</v>
      </c>
      <c r="F3498" s="2" t="e">
        <f>IF(Table2[[#This Row],[Manual Cat Value]]="",VLOOKUP(Table2[[#This Row],[Description]],'Actuals Lookup'!D:F,3,0),Table2[[#This Row],[Manual Cat Value]])</f>
        <v>#N/A</v>
      </c>
      <c r="J3498" s="2">
        <v>14.56</v>
      </c>
      <c r="K3498" s="2" t="b">
        <v>0</v>
      </c>
      <c r="L3498" s="2"/>
      <c r="M3498" s="2"/>
      <c r="N3498" s="4" t="s">
        <v>2259</v>
      </c>
      <c r="O3498" s="4" t="str">
        <f>LEFT(Table2[[#This Row],[Description]],75)</f>
        <v>Home Depot</v>
      </c>
      <c r="P3498" s="2" t="s">
        <v>2396</v>
      </c>
    </row>
    <row r="3499" spans="1:16" hidden="1">
      <c r="A3499" s="2">
        <v>202010</v>
      </c>
      <c r="B3499" s="3">
        <v>44134</v>
      </c>
      <c r="C3499" s="2" t="s">
        <v>2262</v>
      </c>
      <c r="D3499" s="2" t="s">
        <v>947</v>
      </c>
      <c r="E3499" s="2">
        <v>11.76</v>
      </c>
      <c r="F3499" s="2" t="e">
        <f>IF(Table2[[#This Row],[Manual Cat Value]]="",VLOOKUP(Table2[[#This Row],[Description]],'Actuals Lookup'!D:F,3,0),Table2[[#This Row],[Manual Cat Value]])</f>
        <v>#N/A</v>
      </c>
      <c r="J3499" s="2">
        <v>11.76</v>
      </c>
      <c r="K3499" s="2" t="b">
        <v>0</v>
      </c>
      <c r="L3499" s="2"/>
      <c r="M3499" s="2"/>
      <c r="N3499" s="4" t="s">
        <v>2259</v>
      </c>
      <c r="O3499" s="4" t="str">
        <f>LEFT(Table2[[#This Row],[Description]],75)</f>
        <v>Home Depot</v>
      </c>
      <c r="P3499" s="2" t="s">
        <v>2396</v>
      </c>
    </row>
    <row r="3500" spans="1:16" hidden="1">
      <c r="A3500" s="2">
        <v>202010</v>
      </c>
      <c r="B3500" s="3">
        <v>44134</v>
      </c>
      <c r="C3500" s="2" t="s">
        <v>2262</v>
      </c>
      <c r="D3500" s="2" t="s">
        <v>947</v>
      </c>
      <c r="E3500" s="2">
        <v>25.59</v>
      </c>
      <c r="F3500" s="2" t="e">
        <f>IF(Table2[[#This Row],[Manual Cat Value]]="",VLOOKUP(Table2[[#This Row],[Description]],'Actuals Lookup'!D:F,3,0),Table2[[#This Row],[Manual Cat Value]])</f>
        <v>#N/A</v>
      </c>
      <c r="J3500" s="2">
        <v>25.59</v>
      </c>
      <c r="K3500" s="2" t="b">
        <v>0</v>
      </c>
      <c r="L3500" s="2"/>
      <c r="M3500" s="2"/>
      <c r="N3500" s="4" t="s">
        <v>2259</v>
      </c>
      <c r="O3500" s="4" t="str">
        <f>LEFT(Table2[[#This Row],[Description]],75)</f>
        <v>Home Depot</v>
      </c>
      <c r="P3500" s="2" t="s">
        <v>2396</v>
      </c>
    </row>
    <row r="3501" spans="1:16" hidden="1">
      <c r="A3501" s="2">
        <v>202010</v>
      </c>
      <c r="B3501" s="3">
        <v>44134</v>
      </c>
      <c r="C3501" s="2" t="s">
        <v>2262</v>
      </c>
      <c r="D3501" s="2" t="s">
        <v>947</v>
      </c>
      <c r="E3501" s="2">
        <v>150.51</v>
      </c>
      <c r="F3501" s="2" t="e">
        <f>IF(Table2[[#This Row],[Manual Cat Value]]="",VLOOKUP(Table2[[#This Row],[Description]],'Actuals Lookup'!D:F,3,0),Table2[[#This Row],[Manual Cat Value]])</f>
        <v>#N/A</v>
      </c>
      <c r="J3501" s="2">
        <v>150.51</v>
      </c>
      <c r="K3501" s="2" t="b">
        <v>0</v>
      </c>
      <c r="L3501" s="2"/>
      <c r="M3501" s="2"/>
      <c r="N3501" s="4" t="s">
        <v>2259</v>
      </c>
      <c r="O3501" s="4" t="str">
        <f>LEFT(Table2[[#This Row],[Description]],75)</f>
        <v>Home Depot</v>
      </c>
      <c r="P3501" s="2" t="s">
        <v>2396</v>
      </c>
    </row>
    <row r="3502" spans="1:16" hidden="1">
      <c r="A3502" s="2">
        <v>202010</v>
      </c>
      <c r="B3502" s="3">
        <v>44134</v>
      </c>
      <c r="C3502" s="2" t="s">
        <v>2262</v>
      </c>
      <c r="D3502" s="2" t="s">
        <v>947</v>
      </c>
      <c r="E3502" s="2">
        <v>213.97</v>
      </c>
      <c r="F3502" s="2" t="e">
        <f>IF(Table2[[#This Row],[Manual Cat Value]]="",VLOOKUP(Table2[[#This Row],[Description]],'Actuals Lookup'!D:F,3,0),Table2[[#This Row],[Manual Cat Value]])</f>
        <v>#N/A</v>
      </c>
      <c r="J3502" s="2">
        <v>213.97</v>
      </c>
      <c r="K3502" s="2" t="b">
        <v>0</v>
      </c>
      <c r="L3502" s="2"/>
      <c r="M3502" s="2"/>
      <c r="N3502" s="4" t="s">
        <v>2259</v>
      </c>
      <c r="O3502" s="4" t="str">
        <f>LEFT(Table2[[#This Row],[Description]],75)</f>
        <v>Home Depot</v>
      </c>
      <c r="P3502" s="2" t="s">
        <v>2396</v>
      </c>
    </row>
    <row r="3503" spans="1:16" hidden="1">
      <c r="A3503" s="2">
        <v>202010</v>
      </c>
      <c r="B3503" s="3">
        <v>44134</v>
      </c>
      <c r="C3503" s="2" t="s">
        <v>2262</v>
      </c>
      <c r="D3503" s="2" t="s">
        <v>947</v>
      </c>
      <c r="E3503" s="2">
        <v>64.34</v>
      </c>
      <c r="F3503" s="2" t="e">
        <f>IF(Table2[[#This Row],[Manual Cat Value]]="",VLOOKUP(Table2[[#This Row],[Description]],'Actuals Lookup'!D:F,3,0),Table2[[#This Row],[Manual Cat Value]])</f>
        <v>#N/A</v>
      </c>
      <c r="J3503" s="2">
        <v>64.34</v>
      </c>
      <c r="K3503" s="2" t="b">
        <v>0</v>
      </c>
      <c r="L3503" s="2"/>
      <c r="M3503" s="2"/>
      <c r="N3503" s="4" t="s">
        <v>2259</v>
      </c>
      <c r="O3503" s="4" t="str">
        <f>LEFT(Table2[[#This Row],[Description]],75)</f>
        <v>Home Depot</v>
      </c>
      <c r="P3503" s="2" t="s">
        <v>2396</v>
      </c>
    </row>
    <row r="3504" spans="1:16" hidden="1">
      <c r="A3504" s="2">
        <v>202010</v>
      </c>
      <c r="B3504" s="3">
        <v>44134</v>
      </c>
      <c r="C3504" s="2" t="s">
        <v>2317</v>
      </c>
      <c r="D3504" s="2" t="s">
        <v>978</v>
      </c>
      <c r="E3504" s="2">
        <v>464.75</v>
      </c>
      <c r="F3504" s="2" t="e">
        <f>IF(Table2[[#This Row],[Manual Cat Value]]="",VLOOKUP(Table2[[#This Row],[Description]],'Actuals Lookup'!D:F,3,0),Table2[[#This Row],[Manual Cat Value]])</f>
        <v>#N/A</v>
      </c>
      <c r="J3504" s="2">
        <v>464.75</v>
      </c>
      <c r="K3504" s="2" t="b">
        <v>0</v>
      </c>
      <c r="L3504" s="2"/>
      <c r="M3504" s="2"/>
      <c r="N3504" s="4" t="s">
        <v>2259</v>
      </c>
      <c r="O3504" s="4" t="str">
        <f>LEFT(Table2[[#This Row],[Description]],75)</f>
        <v>INTEL CORP</v>
      </c>
      <c r="P3504" s="2" t="s">
        <v>2422</v>
      </c>
    </row>
    <row r="3505" spans="1:16" hidden="1">
      <c r="A3505" s="2">
        <v>202010</v>
      </c>
      <c r="B3505" s="3">
        <v>44134</v>
      </c>
      <c r="C3505" s="2" t="s">
        <v>2274</v>
      </c>
      <c r="D3505" s="2" t="s">
        <v>994</v>
      </c>
      <c r="E3505" s="2">
        <v>-0.01</v>
      </c>
      <c r="F3505" s="2" t="e">
        <f>IF(Table2[[#This Row],[Manual Cat Value]]="",VLOOKUP(Table2[[#This Row],[Description]],'Actuals Lookup'!D:F,3,0),Table2[[#This Row],[Manual Cat Value]])</f>
        <v>#N/A</v>
      </c>
      <c r="J3505" s="2">
        <v>0.01</v>
      </c>
      <c r="K3505" s="2" t="b">
        <v>0</v>
      </c>
      <c r="L3505" s="2"/>
      <c r="M3505" s="2"/>
      <c r="N3505" s="4" t="s">
        <v>2273</v>
      </c>
      <c r="O3505" s="4" t="str">
        <f>LEFT(Table2[[#This Row],[Description]],75)</f>
        <v>Interest Paid</v>
      </c>
      <c r="P3505" s="2" t="s">
        <v>2312</v>
      </c>
    </row>
    <row r="3506" spans="1:16" hidden="1">
      <c r="A3506" s="2">
        <v>202010</v>
      </c>
      <c r="B3506" s="3">
        <v>44134</v>
      </c>
      <c r="C3506" s="2" t="s">
        <v>2262</v>
      </c>
      <c r="D3506" s="2" t="s">
        <v>1014</v>
      </c>
      <c r="E3506" s="2">
        <v>27.65</v>
      </c>
      <c r="F3506" s="2" t="str">
        <f>IF(Table2[[#This Row],[Manual Cat Value]]="",VLOOKUP(Table2[[#This Row],[Description]],'Actuals Lookup'!D:F,3,0),Table2[[#This Row],[Manual Cat Value]])</f>
        <v>Restaurants</v>
      </c>
      <c r="J3506" s="2">
        <v>27.65</v>
      </c>
      <c r="K3506" s="2" t="b">
        <v>0</v>
      </c>
      <c r="L3506" s="2"/>
      <c r="M3506" s="2"/>
      <c r="N3506" s="4" t="s">
        <v>2259</v>
      </c>
      <c r="O3506" s="4" t="str">
        <f>LEFT(Table2[[#This Row],[Description]],75)</f>
        <v>Jimmy John's</v>
      </c>
      <c r="P3506" s="2" t="s">
        <v>2453</v>
      </c>
    </row>
    <row r="3507" spans="1:16" hidden="1">
      <c r="A3507" s="2">
        <v>202010</v>
      </c>
      <c r="B3507" s="3">
        <v>44134</v>
      </c>
      <c r="C3507" s="2" t="s">
        <v>2265</v>
      </c>
      <c r="D3507" s="2" t="s">
        <v>1038</v>
      </c>
      <c r="E3507" s="2">
        <v>-45</v>
      </c>
      <c r="F3507" s="2" t="e">
        <f>IF(Table2[[#This Row],[Manual Cat Value]]="",VLOOKUP(Table2[[#This Row],[Description]],'Actuals Lookup'!D:F,3,0),Table2[[#This Row],[Manual Cat Value]])</f>
        <v>#N/A</v>
      </c>
      <c r="J3507" s="2">
        <v>45</v>
      </c>
      <c r="K3507" s="2" t="b">
        <v>0</v>
      </c>
      <c r="L3507" s="2"/>
      <c r="M3507" s="2"/>
      <c r="N3507" s="4" t="s">
        <v>2273</v>
      </c>
      <c r="O3507" s="4" t="str">
        <f>LEFT(Table2[[#This Row],[Description]],75)</f>
        <v>Kaufman Hall Type</v>
      </c>
      <c r="P3507" s="2" t="s">
        <v>2281</v>
      </c>
    </row>
    <row r="3508" spans="1:16" hidden="1">
      <c r="A3508" s="2">
        <v>202010</v>
      </c>
      <c r="B3508" s="3">
        <v>44134</v>
      </c>
      <c r="C3508" s="2" t="s">
        <v>2262</v>
      </c>
      <c r="D3508" s="2" t="s">
        <v>1068</v>
      </c>
      <c r="E3508" s="2">
        <v>22.5</v>
      </c>
      <c r="F3508" s="2" t="str">
        <f>IF(Table2[[#This Row],[Manual Cat Value]]="",VLOOKUP(Table2[[#This Row],[Description]],'Actuals Lookup'!D:F,3,0),Table2[[#This Row],[Manual Cat Value]])</f>
        <v>Misc</v>
      </c>
      <c r="J3508" s="2">
        <v>22.5</v>
      </c>
      <c r="K3508" s="2" t="b">
        <v>0</v>
      </c>
      <c r="L3508" s="2"/>
      <c r="M3508" s="2"/>
      <c r="N3508" s="4" t="s">
        <v>2259</v>
      </c>
      <c r="O3508" s="4" t="str">
        <f>LEFT(Table2[[#This Row],[Description]],75)</f>
        <v>Kids Hair</v>
      </c>
      <c r="P3508" s="2" t="s">
        <v>2281</v>
      </c>
    </row>
    <row r="3509" spans="1:16" hidden="1">
      <c r="A3509" s="2">
        <v>202010</v>
      </c>
      <c r="B3509" s="3">
        <v>44134</v>
      </c>
      <c r="C3509" s="2" t="s">
        <v>2262</v>
      </c>
      <c r="D3509" s="2" t="s">
        <v>1158</v>
      </c>
      <c r="E3509" s="2">
        <v>398</v>
      </c>
      <c r="F3509" s="2" t="e">
        <f>IF(Table2[[#This Row],[Manual Cat Value]]="",VLOOKUP(Table2[[#This Row],[Description]],'Actuals Lookup'!D:F,3,0),Table2[[#This Row],[Manual Cat Value]])</f>
        <v>#N/A</v>
      </c>
      <c r="J3509" s="2">
        <v>398</v>
      </c>
      <c r="K3509" s="2" t="b">
        <v>0</v>
      </c>
      <c r="L3509" s="2"/>
      <c r="M3509" s="2"/>
      <c r="N3509" s="4" t="s">
        <v>2259</v>
      </c>
      <c r="O3509" s="4" t="str">
        <f>LEFT(Table2[[#This Row],[Description]],75)</f>
        <v>Lululemon</v>
      </c>
      <c r="P3509" s="2" t="s">
        <v>2287</v>
      </c>
    </row>
    <row r="3510" spans="1:16" hidden="1">
      <c r="A3510" s="2">
        <v>202010</v>
      </c>
      <c r="B3510" s="3">
        <v>44134</v>
      </c>
      <c r="C3510" s="2" t="s">
        <v>2262</v>
      </c>
      <c r="D3510" s="2" t="s">
        <v>1158</v>
      </c>
      <c r="E3510" s="2">
        <v>448</v>
      </c>
      <c r="F3510" s="2" t="e">
        <f>IF(Table2[[#This Row],[Manual Cat Value]]="",VLOOKUP(Table2[[#This Row],[Description]],'Actuals Lookup'!D:F,3,0),Table2[[#This Row],[Manual Cat Value]])</f>
        <v>#N/A</v>
      </c>
      <c r="J3510" s="2">
        <v>448</v>
      </c>
      <c r="K3510" s="2" t="b">
        <v>0</v>
      </c>
      <c r="L3510" s="2"/>
      <c r="M3510" s="2"/>
      <c r="N3510" s="4" t="s">
        <v>2259</v>
      </c>
      <c r="O3510" s="4" t="str">
        <f>LEFT(Table2[[#This Row],[Description]],75)</f>
        <v>Lululemon</v>
      </c>
      <c r="P3510" s="2" t="s">
        <v>2287</v>
      </c>
    </row>
    <row r="3511" spans="1:16" hidden="1">
      <c r="A3511" s="2">
        <v>202010</v>
      </c>
      <c r="B3511" s="3">
        <v>44134</v>
      </c>
      <c r="C3511" s="2" t="s">
        <v>2262</v>
      </c>
      <c r="D3511" s="2" t="s">
        <v>1172</v>
      </c>
      <c r="E3511" s="2">
        <v>45.77</v>
      </c>
      <c r="F3511" s="2" t="e">
        <f>IF(Table2[[#This Row],[Manual Cat Value]]="",VLOOKUP(Table2[[#This Row],[Description]],'Actuals Lookup'!D:F,3,0),Table2[[#This Row],[Manual Cat Value]])</f>
        <v>#N/A</v>
      </c>
      <c r="J3511" s="2">
        <v>45.77</v>
      </c>
      <c r="K3511" s="2" t="b">
        <v>0</v>
      </c>
      <c r="L3511" s="2"/>
      <c r="M3511" s="2"/>
      <c r="N3511" s="4" t="s">
        <v>2259</v>
      </c>
      <c r="O3511" s="4" t="str">
        <f>LEFT(Table2[[#This Row],[Description]],75)</f>
        <v>MACKENTHUNSMEATSANDDELI ST BONIFACIUSMN</v>
      </c>
      <c r="P3511" s="2" t="s">
        <v>2281</v>
      </c>
    </row>
    <row r="3512" spans="1:16" hidden="1">
      <c r="A3512" s="2">
        <v>202010</v>
      </c>
      <c r="B3512" s="3">
        <v>44134</v>
      </c>
      <c r="C3512" s="2" t="s">
        <v>2265</v>
      </c>
      <c r="D3512" s="2" t="s">
        <v>1200</v>
      </c>
      <c r="E3512" s="2">
        <v>391.2</v>
      </c>
      <c r="F3512" s="2" t="e">
        <f>IF(Table2[[#This Row],[Manual Cat Value]]="",VLOOKUP(Table2[[#This Row],[Description]],'Actuals Lookup'!D:F,3,0),Table2[[#This Row],[Manual Cat Value]])</f>
        <v>#N/A</v>
      </c>
      <c r="J3512" s="2">
        <v>391.2</v>
      </c>
      <c r="K3512" s="2" t="b">
        <v>0</v>
      </c>
      <c r="L3512" s="2"/>
      <c r="M3512" s="2"/>
      <c r="N3512" s="4" t="s">
        <v>2259</v>
      </c>
      <c r="O3512" s="4" t="str">
        <f>LEFT(Table2[[#This Row],[Description]],75)</f>
        <v>MHCHILDCARELLC TYPE DUES ID CO MHCHILDCARELLC ACH ECC PPD ACH Trace 02204</v>
      </c>
      <c r="P3512" s="2" t="s">
        <v>2497</v>
      </c>
    </row>
    <row r="3513" spans="1:16" hidden="1">
      <c r="A3513" s="2">
        <v>202010</v>
      </c>
      <c r="B3513" s="3">
        <v>44134</v>
      </c>
      <c r="C3513" s="2" t="s">
        <v>2265</v>
      </c>
      <c r="D3513" s="2" t="s">
        <v>1210</v>
      </c>
      <c r="E3513" s="2">
        <v>391.2</v>
      </c>
      <c r="F3513" s="2" t="e">
        <f>IF(Table2[[#This Row],[Manual Cat Value]]="",VLOOKUP(Table2[[#This Row],[Description]],'Actuals Lookup'!D:F,3,0),Table2[[#This Row],[Manual Cat Value]])</f>
        <v>#N/A</v>
      </c>
      <c r="J3513" s="2">
        <v>391.2</v>
      </c>
      <c r="K3513" s="2" t="b">
        <v>0</v>
      </c>
      <c r="L3513" s="2"/>
      <c r="M3513" s="2"/>
      <c r="N3513" s="4" t="s">
        <v>2259</v>
      </c>
      <c r="O3513" s="4" t="str">
        <f>LEFT(Table2[[#This Row],[Description]],75)</f>
        <v>MHCHILDCARELLC TYPE DUES ID CO MHCHILDCARELLC ACH ECC PPD ACH Trace 16096</v>
      </c>
      <c r="P3513" s="2" t="s">
        <v>2497</v>
      </c>
    </row>
    <row r="3514" spans="1:16" hidden="1">
      <c r="A3514" s="2">
        <v>202010</v>
      </c>
      <c r="B3514" s="3">
        <v>44134</v>
      </c>
      <c r="C3514" s="2" t="s">
        <v>2265</v>
      </c>
      <c r="D3514" s="2" t="s">
        <v>1238</v>
      </c>
      <c r="E3514" s="2">
        <v>391.2</v>
      </c>
      <c r="F3514" s="2" t="e">
        <f>IF(Table2[[#This Row],[Manual Cat Value]]="",VLOOKUP(Table2[[#This Row],[Description]],'Actuals Lookup'!D:F,3,0),Table2[[#This Row],[Manual Cat Value]])</f>
        <v>#N/A</v>
      </c>
      <c r="J3514" s="2">
        <v>391.2</v>
      </c>
      <c r="K3514" s="2" t="b">
        <v>0</v>
      </c>
      <c r="L3514" s="2"/>
      <c r="M3514" s="2"/>
      <c r="N3514" s="4" t="s">
        <v>2259</v>
      </c>
      <c r="O3514" s="4" t="str">
        <f>LEFT(Table2[[#This Row],[Description]],75)</f>
        <v>MHCHILDCARELLC TYPE DUES ID CO MHCHILDCARELLC ACH ECC PPD ACH Trace 80504</v>
      </c>
      <c r="P3514" s="2" t="s">
        <v>2497</v>
      </c>
    </row>
    <row r="3515" spans="1:16" hidden="1">
      <c r="A3515" s="2">
        <v>202010</v>
      </c>
      <c r="B3515" s="3">
        <v>44134</v>
      </c>
      <c r="C3515" s="2" t="s">
        <v>2265</v>
      </c>
      <c r="D3515" s="2" t="s">
        <v>1297</v>
      </c>
      <c r="E3515" s="2">
        <v>200</v>
      </c>
      <c r="F3515" s="2" t="e">
        <f>IF(Table2[[#This Row],[Manual Cat Value]]="",VLOOKUP(Table2[[#This Row],[Description]],'Actuals Lookup'!D:F,3,0),Table2[[#This Row],[Manual Cat Value]])</f>
        <v>#N/A</v>
      </c>
      <c r="J3515" s="2">
        <v>200</v>
      </c>
      <c r="K3515" s="2" t="b">
        <v>0</v>
      </c>
      <c r="L3515" s="2"/>
      <c r="M3515" s="2"/>
      <c r="N3515" s="4" t="s">
        <v>2259</v>
      </c>
      <c r="O3515" s="4" t="str">
        <f>LEFT(Table2[[#This Row],[Description]],75)</f>
        <v>MN DIR ACH TYPE CONTRIB ID CO MN DIR ACH ACH ECC WEB ACH Trace 71599</v>
      </c>
      <c r="P3515" s="2" t="s">
        <v>2469</v>
      </c>
    </row>
    <row r="3516" spans="1:16" hidden="1">
      <c r="A3516" s="2">
        <v>202010</v>
      </c>
      <c r="B3516" s="3">
        <v>44134</v>
      </c>
      <c r="C3516" s="2" t="s">
        <v>2262</v>
      </c>
      <c r="D3516" s="2" t="s">
        <v>1334</v>
      </c>
      <c r="E3516" s="2">
        <v>4.25</v>
      </c>
      <c r="F3516" s="2" t="e">
        <f>IF(Table2[[#This Row],[Manual Cat Value]]="",VLOOKUP(Table2[[#This Row],[Description]],'Actuals Lookup'!D:F,3,0),Table2[[#This Row],[Manual Cat Value]])</f>
        <v>#N/A</v>
      </c>
      <c r="J3516" s="2">
        <v>4.25</v>
      </c>
      <c r="K3516" s="2" t="b">
        <v>0</v>
      </c>
      <c r="L3516" s="2"/>
      <c r="M3516" s="2"/>
      <c r="N3516" s="4" t="s">
        <v>2259</v>
      </c>
      <c r="O3516" s="4" t="str">
        <f>LEFT(Table2[[#This Row],[Description]],75)</f>
        <v>MPLSMETERSAPP 8090 6123437275 MN</v>
      </c>
      <c r="P3516" s="2" t="s">
        <v>2281</v>
      </c>
    </row>
    <row r="3517" spans="1:16" hidden="1">
      <c r="A3517" s="2">
        <v>202010</v>
      </c>
      <c r="B3517" s="3">
        <v>44134</v>
      </c>
      <c r="C3517" s="2" t="s">
        <v>2447</v>
      </c>
      <c r="D3517" s="2" t="s">
        <v>1350</v>
      </c>
      <c r="E3517" s="2">
        <v>12.99</v>
      </c>
      <c r="F3517" s="2" t="str">
        <f>IF(Table2[[#This Row],[Manual Cat Value]]="",VLOOKUP(Table2[[#This Row],[Description]],'Actuals Lookup'!D:F,3,0),Table2[[#This Row],[Manual Cat Value]])</f>
        <v>Utilities</v>
      </c>
      <c r="J3517" s="2">
        <v>12.99</v>
      </c>
      <c r="K3517" s="2" t="b">
        <v>0</v>
      </c>
      <c r="L3517" s="2"/>
      <c r="M3517" s="2"/>
      <c r="N3517" s="4" t="s">
        <v>2259</v>
      </c>
      <c r="O3517" s="4" t="str">
        <f>LEFT(Table2[[#This Row],[Description]],75)</f>
        <v>Netflix</v>
      </c>
      <c r="P3517" s="2" t="s">
        <v>2306</v>
      </c>
    </row>
    <row r="3518" spans="1:16" hidden="1">
      <c r="A3518" s="2">
        <v>202010</v>
      </c>
      <c r="B3518" s="3">
        <v>44134</v>
      </c>
      <c r="C3518" s="2" t="s">
        <v>2258</v>
      </c>
      <c r="D3518" s="2" t="s">
        <v>1350</v>
      </c>
      <c r="E3518" s="2">
        <v>12.99</v>
      </c>
      <c r="F3518" s="2" t="str">
        <f>IF(Table2[[#This Row],[Manual Cat Value]]="",VLOOKUP(Table2[[#This Row],[Description]],'Actuals Lookup'!D:F,3,0),Table2[[#This Row],[Manual Cat Value]])</f>
        <v>Utilities</v>
      </c>
      <c r="J3518" s="2">
        <v>12.99</v>
      </c>
      <c r="K3518" s="2" t="b">
        <v>0</v>
      </c>
      <c r="L3518" s="2"/>
      <c r="M3518" s="2"/>
      <c r="N3518" s="4" t="s">
        <v>2259</v>
      </c>
      <c r="O3518" s="4" t="str">
        <f>LEFT(Table2[[#This Row],[Description]],75)</f>
        <v>Netflix</v>
      </c>
      <c r="P3518" s="2" t="s">
        <v>2306</v>
      </c>
    </row>
    <row r="3519" spans="1:16" hidden="1">
      <c r="A3519" s="2">
        <v>202010</v>
      </c>
      <c r="B3519" s="3">
        <v>44134</v>
      </c>
      <c r="C3519" s="2" t="s">
        <v>2262</v>
      </c>
      <c r="D3519" s="2" t="s">
        <v>1357</v>
      </c>
      <c r="E3519" s="2">
        <v>30.37</v>
      </c>
      <c r="F3519" s="2" t="e">
        <f>IF(Table2[[#This Row],[Manual Cat Value]]="",VLOOKUP(Table2[[#This Row],[Description]],'Actuals Lookup'!D:F,3,0),Table2[[#This Row],[Manual Cat Value]])</f>
        <v>#N/A</v>
      </c>
      <c r="J3519" s="2">
        <v>30.37</v>
      </c>
      <c r="K3519" s="2" t="b">
        <v>0</v>
      </c>
      <c r="L3519" s="2"/>
      <c r="M3519" s="2"/>
      <c r="N3519" s="4" t="s">
        <v>2259</v>
      </c>
      <c r="O3519" s="4" t="str">
        <f>LEFT(Table2[[#This Row],[Description]],75)</f>
        <v>NORTH COOP CHAHASSEN MN</v>
      </c>
      <c r="P3519" s="2" t="s">
        <v>2326</v>
      </c>
    </row>
    <row r="3520" spans="1:16" hidden="1">
      <c r="A3520" s="2">
        <v>202010</v>
      </c>
      <c r="B3520" s="3">
        <v>44134</v>
      </c>
      <c r="C3520" s="2" t="s">
        <v>2262</v>
      </c>
      <c r="D3520" s="2" t="s">
        <v>1357</v>
      </c>
      <c r="E3520" s="2">
        <v>50.87</v>
      </c>
      <c r="F3520" s="2" t="e">
        <f>IF(Table2[[#This Row],[Manual Cat Value]]="",VLOOKUP(Table2[[#This Row],[Description]],'Actuals Lookup'!D:F,3,0),Table2[[#This Row],[Manual Cat Value]])</f>
        <v>#N/A</v>
      </c>
      <c r="J3520" s="2">
        <v>50.87</v>
      </c>
      <c r="K3520" s="2" t="b">
        <v>0</v>
      </c>
      <c r="L3520" s="2"/>
      <c r="M3520" s="2"/>
      <c r="N3520" s="4" t="s">
        <v>2259</v>
      </c>
      <c r="O3520" s="4" t="str">
        <f>LEFT(Table2[[#This Row],[Description]],75)</f>
        <v>NORTH COOP CHAHASSEN MN</v>
      </c>
      <c r="P3520" s="2" t="s">
        <v>2326</v>
      </c>
    </row>
    <row r="3521" spans="1:16" hidden="1">
      <c r="A3521" s="2">
        <v>202010</v>
      </c>
      <c r="B3521" s="3">
        <v>44134</v>
      </c>
      <c r="C3521" s="2" t="s">
        <v>2265</v>
      </c>
      <c r="D3521" s="2" t="s">
        <v>1471</v>
      </c>
      <c r="E3521" s="2">
        <v>17.989999999999998</v>
      </c>
      <c r="F3521" s="2" t="str">
        <f>IF(Table2[[#This Row],[Manual Cat Value]]="",VLOOKUP(Table2[[#This Row],[Description]],'Actuals Lookup'!D:F,3,0),Table2[[#This Row],[Manual Cat Value]])</f>
        <v>Shopping</v>
      </c>
      <c r="J3521" s="2">
        <v>17.989999999999998</v>
      </c>
      <c r="K3521" s="2" t="b">
        <v>0</v>
      </c>
      <c r="L3521" s="2"/>
      <c r="M3521" s="2"/>
      <c r="N3521" s="4" t="s">
        <v>2259</v>
      </c>
      <c r="O3521" s="4" t="str">
        <f>LEFT(Table2[[#This Row],[Description]],75)</f>
        <v>PayPal</v>
      </c>
      <c r="P3521" s="2" t="s">
        <v>2322</v>
      </c>
    </row>
    <row r="3522" spans="1:16" hidden="1">
      <c r="A3522" s="2">
        <v>202010</v>
      </c>
      <c r="B3522" s="3">
        <v>44134</v>
      </c>
      <c r="C3522" s="2" t="s">
        <v>2265</v>
      </c>
      <c r="D3522" s="2" t="s">
        <v>1471</v>
      </c>
      <c r="E3522" s="2">
        <v>0.99</v>
      </c>
      <c r="F3522" s="2" t="str">
        <f>IF(Table2[[#This Row],[Manual Cat Value]]="",VLOOKUP(Table2[[#This Row],[Description]],'Actuals Lookup'!D:F,3,0),Table2[[#This Row],[Manual Cat Value]])</f>
        <v>Shopping</v>
      </c>
      <c r="J3522" s="2">
        <v>0.99</v>
      </c>
      <c r="K3522" s="2" t="b">
        <v>0</v>
      </c>
      <c r="L3522" s="2"/>
      <c r="M3522" s="2"/>
      <c r="N3522" s="4" t="s">
        <v>2259</v>
      </c>
      <c r="O3522" s="4" t="str">
        <f>LEFT(Table2[[#This Row],[Description]],75)</f>
        <v>PayPal</v>
      </c>
      <c r="P3522" s="2" t="s">
        <v>2322</v>
      </c>
    </row>
    <row r="3523" spans="1:16" hidden="1">
      <c r="A3523" s="2">
        <v>202010</v>
      </c>
      <c r="B3523" s="3">
        <v>44134</v>
      </c>
      <c r="C3523" s="2" t="s">
        <v>2262</v>
      </c>
      <c r="D3523" s="2" t="s">
        <v>1622</v>
      </c>
      <c r="E3523" s="2">
        <v>-299</v>
      </c>
      <c r="F3523" s="2" t="e">
        <f>IF(Table2[[#This Row],[Manual Cat Value]]="",VLOOKUP(Table2[[#This Row],[Description]],'Actuals Lookup'!D:F,3,0),Table2[[#This Row],[Manual Cat Value]])</f>
        <v>#N/A</v>
      </c>
      <c r="J3523" s="2">
        <v>299</v>
      </c>
      <c r="K3523" s="2" t="b">
        <v>0</v>
      </c>
      <c r="L3523" s="2"/>
      <c r="M3523" s="2"/>
      <c r="N3523" s="4" t="s">
        <v>2273</v>
      </c>
      <c r="O3523" s="4" t="str">
        <f>LEFT(Table2[[#This Row],[Description]],75)</f>
        <v>Scheels Eden Prairie</v>
      </c>
      <c r="P3523" s="2" t="s">
        <v>2281</v>
      </c>
    </row>
    <row r="3524" spans="1:16" hidden="1">
      <c r="A3524" s="2">
        <v>202010</v>
      </c>
      <c r="B3524" s="3">
        <v>44134</v>
      </c>
      <c r="C3524" s="2" t="s">
        <v>2262</v>
      </c>
      <c r="D3524" s="2" t="s">
        <v>1624</v>
      </c>
      <c r="E3524" s="2">
        <v>313.99</v>
      </c>
      <c r="F3524" s="2" t="e">
        <f>IF(Table2[[#This Row],[Manual Cat Value]]="",VLOOKUP(Table2[[#This Row],[Description]],'Actuals Lookup'!D:F,3,0),Table2[[#This Row],[Manual Cat Value]])</f>
        <v>#N/A</v>
      </c>
      <c r="J3524" s="2">
        <v>313.99</v>
      </c>
      <c r="K3524" s="2" t="b">
        <v>0</v>
      </c>
      <c r="L3524" s="2"/>
      <c r="M3524" s="2"/>
      <c r="N3524" s="4" t="s">
        <v>2259</v>
      </c>
      <c r="O3524" s="4" t="str">
        <f>LEFT(Table2[[#This Row],[Description]],75)</f>
        <v>SCHEELS EDEN PRAIRIE EDEN PRAIRIE MN</v>
      </c>
      <c r="P3524" s="2" t="s">
        <v>2281</v>
      </c>
    </row>
    <row r="3525" spans="1:16" hidden="1">
      <c r="A3525" s="2">
        <v>202010</v>
      </c>
      <c r="B3525" s="3">
        <v>44134</v>
      </c>
      <c r="C3525" s="2" t="s">
        <v>2435</v>
      </c>
      <c r="D3525" s="2" t="s">
        <v>1633</v>
      </c>
      <c r="E3525" s="2">
        <v>700</v>
      </c>
      <c r="F3525" s="2" t="e">
        <f>IF(Table2[[#This Row],[Manual Cat Value]]="",VLOOKUP(Table2[[#This Row],[Description]],'Actuals Lookup'!D:F,3,0),Table2[[#This Row],[Manual Cat Value]])</f>
        <v>#N/A</v>
      </c>
      <c r="J3525" s="2">
        <v>700</v>
      </c>
      <c r="K3525" s="2" t="b">
        <v>0</v>
      </c>
      <c r="L3525" s="2"/>
      <c r="M3525" s="2"/>
      <c r="N3525" s="4" t="s">
        <v>2259</v>
      </c>
      <c r="O3525" s="4" t="str">
        <f>LEFT(Table2[[#This Row],[Description]],75)</f>
        <v>SCHWAB S&amp;P 500 INDEX FD</v>
      </c>
      <c r="P3525" s="2" t="s">
        <v>2276</v>
      </c>
    </row>
    <row r="3526" spans="1:16" hidden="1">
      <c r="A3526" s="2">
        <v>202010</v>
      </c>
      <c r="B3526" s="3">
        <v>44134</v>
      </c>
      <c r="C3526" s="2" t="s">
        <v>2317</v>
      </c>
      <c r="D3526" s="2" t="s">
        <v>1633</v>
      </c>
      <c r="E3526" s="2">
        <v>200</v>
      </c>
      <c r="F3526" s="2" t="e">
        <f>IF(Table2[[#This Row],[Manual Cat Value]]="",VLOOKUP(Table2[[#This Row],[Description]],'Actuals Lookup'!D:F,3,0),Table2[[#This Row],[Manual Cat Value]])</f>
        <v>#N/A</v>
      </c>
      <c r="J3526" s="2">
        <v>200</v>
      </c>
      <c r="K3526" s="2" t="b">
        <v>0</v>
      </c>
      <c r="L3526" s="2"/>
      <c r="M3526" s="2"/>
      <c r="N3526" s="4" t="s">
        <v>2259</v>
      </c>
      <c r="O3526" s="4" t="str">
        <f>LEFT(Table2[[#This Row],[Description]],75)</f>
        <v>SCHWAB S&amp;P 500 INDEX FD</v>
      </c>
      <c r="P3526" s="2" t="s">
        <v>2276</v>
      </c>
    </row>
    <row r="3527" spans="1:16" hidden="1">
      <c r="A3527" s="2">
        <v>202010</v>
      </c>
      <c r="B3527" s="3">
        <v>44134</v>
      </c>
      <c r="C3527" s="2" t="s">
        <v>2317</v>
      </c>
      <c r="D3527" s="2" t="s">
        <v>1635</v>
      </c>
      <c r="E3527" s="2">
        <v>200</v>
      </c>
      <c r="F3527" s="2" t="e">
        <f>IF(Table2[[#This Row],[Manual Cat Value]]="",VLOOKUP(Table2[[#This Row],[Description]],'Actuals Lookup'!D:F,3,0),Table2[[#This Row],[Manual Cat Value]])</f>
        <v>#N/A</v>
      </c>
      <c r="J3527" s="2">
        <v>200</v>
      </c>
      <c r="K3527" s="2" t="b">
        <v>0</v>
      </c>
      <c r="L3527" s="2"/>
      <c r="M3527" s="2"/>
      <c r="N3527" s="4" t="s">
        <v>2259</v>
      </c>
      <c r="O3527" s="4" t="str">
        <f>LEFT(Table2[[#This Row],[Description]],75)</f>
        <v>SCHWAB TOTAL STOCK MKT INDEX</v>
      </c>
      <c r="P3527" s="2" t="s">
        <v>2278</v>
      </c>
    </row>
    <row r="3528" spans="1:16" hidden="1">
      <c r="A3528" s="2">
        <v>202010</v>
      </c>
      <c r="B3528" s="3">
        <v>44134</v>
      </c>
      <c r="C3528" s="2" t="s">
        <v>2317</v>
      </c>
      <c r="D3528" s="2" t="s">
        <v>1635</v>
      </c>
      <c r="E3528" s="2">
        <v>500</v>
      </c>
      <c r="F3528" s="2" t="e">
        <f>IF(Table2[[#This Row],[Manual Cat Value]]="",VLOOKUP(Table2[[#This Row],[Description]],'Actuals Lookup'!D:F,3,0),Table2[[#This Row],[Manual Cat Value]])</f>
        <v>#N/A</v>
      </c>
      <c r="J3528" s="2">
        <v>500</v>
      </c>
      <c r="K3528" s="2" t="b">
        <v>0</v>
      </c>
      <c r="L3528" s="2"/>
      <c r="M3528" s="2"/>
      <c r="N3528" s="4" t="s">
        <v>2259</v>
      </c>
      <c r="O3528" s="4" t="str">
        <f>LEFT(Table2[[#This Row],[Description]],75)</f>
        <v>SCHWAB TOTAL STOCK MKT INDEX</v>
      </c>
      <c r="P3528" s="2" t="s">
        <v>2278</v>
      </c>
    </row>
    <row r="3529" spans="1:16" hidden="1">
      <c r="A3529" s="2">
        <v>202010</v>
      </c>
      <c r="B3529" s="3">
        <v>44134</v>
      </c>
      <c r="C3529" s="2" t="s">
        <v>2300</v>
      </c>
      <c r="D3529" s="2" t="s">
        <v>1648</v>
      </c>
      <c r="E3529" s="2">
        <v>-200</v>
      </c>
      <c r="F3529" s="2" t="e">
        <f>IF(Table2[[#This Row],[Manual Cat Value]]="",VLOOKUP(Table2[[#This Row],[Description]],'Actuals Lookup'!D:F,3,0),Table2[[#This Row],[Manual Cat Value]])</f>
        <v>#N/A</v>
      </c>
      <c r="J3529" s="2">
        <v>200</v>
      </c>
      <c r="K3529" s="2" t="b">
        <v>0</v>
      </c>
      <c r="L3529" s="2"/>
      <c r="M3529" s="2"/>
      <c r="N3529" s="4" t="s">
        <v>2273</v>
      </c>
      <c r="O3529" s="4" t="str">
        <f>LEFT(Table2[[#This Row],[Description]],75)</f>
        <v>Share</v>
      </c>
      <c r="P3529" s="2" t="s">
        <v>2448</v>
      </c>
    </row>
    <row r="3530" spans="1:16" hidden="1">
      <c r="A3530" s="2">
        <v>202010</v>
      </c>
      <c r="B3530" s="3">
        <v>44134</v>
      </c>
      <c r="C3530" s="2" t="s">
        <v>2305</v>
      </c>
      <c r="D3530" s="2" t="s">
        <v>1648</v>
      </c>
      <c r="E3530" s="2">
        <v>-163.72</v>
      </c>
      <c r="F3530" s="2" t="e">
        <f>IF(Table2[[#This Row],[Manual Cat Value]]="",VLOOKUP(Table2[[#This Row],[Description]],'Actuals Lookup'!D:F,3,0),Table2[[#This Row],[Manual Cat Value]])</f>
        <v>#N/A</v>
      </c>
      <c r="J3530" s="2">
        <v>163.72</v>
      </c>
      <c r="K3530" s="2" t="b">
        <v>0</v>
      </c>
      <c r="L3530" s="2"/>
      <c r="M3530" s="2"/>
      <c r="N3530" s="4" t="s">
        <v>2273</v>
      </c>
      <c r="O3530" s="4" t="str">
        <f>LEFT(Table2[[#This Row],[Description]],75)</f>
        <v>Share</v>
      </c>
      <c r="P3530" s="2" t="s">
        <v>2448</v>
      </c>
    </row>
    <row r="3531" spans="1:16" hidden="1">
      <c r="A3531" s="2">
        <v>202010</v>
      </c>
      <c r="B3531" s="3">
        <v>44134</v>
      </c>
      <c r="C3531" s="2" t="s">
        <v>2262</v>
      </c>
      <c r="D3531" s="2" t="s">
        <v>1664</v>
      </c>
      <c r="E3531" s="2">
        <v>220.99</v>
      </c>
      <c r="F3531" s="2" t="str">
        <f>IF(Table2[[#This Row],[Manual Cat Value]]="",VLOOKUP(Table2[[#This Row],[Description]],'Actuals Lookup'!D:F,3,0),Table2[[#This Row],[Manual Cat Value]])</f>
        <v>Gifts</v>
      </c>
      <c r="J3531" s="2">
        <v>220.99</v>
      </c>
      <c r="K3531" s="2" t="b">
        <v>0</v>
      </c>
      <c r="L3531" s="2"/>
      <c r="M3531" s="2"/>
      <c r="N3531" s="4" t="s">
        <v>2259</v>
      </c>
      <c r="O3531" s="4" t="str">
        <f>LEFT(Table2[[#This Row],[Description]],75)</f>
        <v>Shutterfly</v>
      </c>
      <c r="P3531" s="2" t="s">
        <v>2281</v>
      </c>
    </row>
    <row r="3532" spans="1:16" hidden="1">
      <c r="A3532" s="2">
        <v>202010</v>
      </c>
      <c r="B3532" s="3">
        <v>44134</v>
      </c>
      <c r="C3532" s="2" t="s">
        <v>2262</v>
      </c>
      <c r="D3532" s="2" t="s">
        <v>1707</v>
      </c>
      <c r="E3532" s="2">
        <v>31.83</v>
      </c>
      <c r="F3532" s="2" t="str">
        <f>IF(Table2[[#This Row],[Manual Cat Value]]="",VLOOKUP(Table2[[#This Row],[Description]],'Actuals Lookup'!D:F,3,0),Table2[[#This Row],[Manual Cat Value]])</f>
        <v>Transportation</v>
      </c>
      <c r="J3532" s="2">
        <v>31.83</v>
      </c>
      <c r="K3532" s="2" t="b">
        <v>0</v>
      </c>
      <c r="L3532" s="2"/>
      <c r="M3532" s="2"/>
      <c r="N3532" s="4" t="s">
        <v>2259</v>
      </c>
      <c r="O3532" s="4" t="str">
        <f>LEFT(Table2[[#This Row],[Description]],75)</f>
        <v>Speedway</v>
      </c>
      <c r="P3532" s="2" t="s">
        <v>2381</v>
      </c>
    </row>
    <row r="3533" spans="1:16" hidden="1">
      <c r="A3533" s="2">
        <v>202010</v>
      </c>
      <c r="B3533" s="3">
        <v>44134</v>
      </c>
      <c r="C3533" s="2" t="s">
        <v>2262</v>
      </c>
      <c r="D3533" s="2" t="s">
        <v>1707</v>
      </c>
      <c r="E3533" s="2">
        <v>31.14</v>
      </c>
      <c r="F3533" s="2" t="str">
        <f>IF(Table2[[#This Row],[Manual Cat Value]]="",VLOOKUP(Table2[[#This Row],[Description]],'Actuals Lookup'!D:F,3,0),Table2[[#This Row],[Manual Cat Value]])</f>
        <v>Transportation</v>
      </c>
      <c r="J3533" s="2">
        <v>31.14</v>
      </c>
      <c r="K3533" s="2" t="b">
        <v>0</v>
      </c>
      <c r="L3533" s="2"/>
      <c r="M3533" s="2"/>
      <c r="N3533" s="4" t="s">
        <v>2259</v>
      </c>
      <c r="O3533" s="4" t="str">
        <f>LEFT(Table2[[#This Row],[Description]],75)</f>
        <v>Speedway</v>
      </c>
      <c r="P3533" s="2" t="s">
        <v>2381</v>
      </c>
    </row>
    <row r="3534" spans="1:16" hidden="1">
      <c r="A3534" s="2">
        <v>202010</v>
      </c>
      <c r="B3534" s="3">
        <v>44134</v>
      </c>
      <c r="C3534" s="2" t="s">
        <v>2262</v>
      </c>
      <c r="D3534" s="2" t="s">
        <v>1707</v>
      </c>
      <c r="E3534" s="2">
        <v>24.67</v>
      </c>
      <c r="F3534" s="2" t="str">
        <f>IF(Table2[[#This Row],[Manual Cat Value]]="",VLOOKUP(Table2[[#This Row],[Description]],'Actuals Lookup'!D:F,3,0),Table2[[#This Row],[Manual Cat Value]])</f>
        <v>Transportation</v>
      </c>
      <c r="J3534" s="2">
        <v>24.67</v>
      </c>
      <c r="K3534" s="2" t="b">
        <v>0</v>
      </c>
      <c r="L3534" s="2"/>
      <c r="M3534" s="2"/>
      <c r="N3534" s="4" t="s">
        <v>2259</v>
      </c>
      <c r="O3534" s="4" t="str">
        <f>LEFT(Table2[[#This Row],[Description]],75)</f>
        <v>Speedway</v>
      </c>
      <c r="P3534" s="2" t="s">
        <v>2381</v>
      </c>
    </row>
    <row r="3535" spans="1:16" hidden="1">
      <c r="A3535" s="2">
        <v>202010</v>
      </c>
      <c r="B3535" s="3">
        <v>44134</v>
      </c>
      <c r="C3535" s="2" t="s">
        <v>2262</v>
      </c>
      <c r="D3535" s="2" t="s">
        <v>1707</v>
      </c>
      <c r="E3535" s="2">
        <v>32.93</v>
      </c>
      <c r="F3535" s="2" t="str">
        <f>IF(Table2[[#This Row],[Manual Cat Value]]="",VLOOKUP(Table2[[#This Row],[Description]],'Actuals Lookup'!D:F,3,0),Table2[[#This Row],[Manual Cat Value]])</f>
        <v>Transportation</v>
      </c>
      <c r="J3535" s="2">
        <v>32.93</v>
      </c>
      <c r="K3535" s="2" t="b">
        <v>0</v>
      </c>
      <c r="L3535" s="2"/>
      <c r="M3535" s="2"/>
      <c r="N3535" s="4" t="s">
        <v>2259</v>
      </c>
      <c r="O3535" s="4" t="str">
        <f>LEFT(Table2[[#This Row],[Description]],75)</f>
        <v>Speedway</v>
      </c>
      <c r="P3535" s="2" t="s">
        <v>2381</v>
      </c>
    </row>
    <row r="3536" spans="1:16" hidden="1">
      <c r="A3536" s="2">
        <v>202010</v>
      </c>
      <c r="B3536" s="3">
        <v>44134</v>
      </c>
      <c r="C3536" s="2" t="s">
        <v>2300</v>
      </c>
      <c r="D3536" s="2" t="s">
        <v>1709</v>
      </c>
      <c r="E3536" s="2">
        <v>-12.4</v>
      </c>
      <c r="F3536" s="2" t="e">
        <f>IF(Table2[[#This Row],[Manual Cat Value]]="",VLOOKUP(Table2[[#This Row],[Description]],'Actuals Lookup'!D:F,3,0),Table2[[#This Row],[Manual Cat Value]])</f>
        <v>#N/A</v>
      </c>
      <c r="J3536" s="2">
        <v>12.4</v>
      </c>
      <c r="K3536" s="2" t="b">
        <v>0</v>
      </c>
      <c r="L3536" s="2"/>
      <c r="M3536" s="2"/>
      <c r="N3536" s="4" t="s">
        <v>2273</v>
      </c>
      <c r="O3536" s="4" t="str">
        <f>LEFT(Table2[[#This Row],[Description]],75)</f>
        <v>Split Rate Apy</v>
      </c>
      <c r="P3536" s="2" t="s">
        <v>2313</v>
      </c>
    </row>
    <row r="3537" spans="1:16" hidden="1">
      <c r="A3537" s="2">
        <v>202010</v>
      </c>
      <c r="B3537" s="3">
        <v>44134</v>
      </c>
      <c r="C3537" s="2" t="s">
        <v>2265</v>
      </c>
      <c r="D3537" s="2" t="s">
        <v>1709</v>
      </c>
      <c r="E3537" s="2">
        <v>-19.940000000000001</v>
      </c>
      <c r="F3537" s="2" t="e">
        <f>IF(Table2[[#This Row],[Manual Cat Value]]="",VLOOKUP(Table2[[#This Row],[Description]],'Actuals Lookup'!D:F,3,0),Table2[[#This Row],[Manual Cat Value]])</f>
        <v>#N/A</v>
      </c>
      <c r="J3537" s="2">
        <v>19.940000000000001</v>
      </c>
      <c r="K3537" s="2" t="b">
        <v>0</v>
      </c>
      <c r="L3537" s="2"/>
      <c r="M3537" s="2"/>
      <c r="N3537" s="4" t="s">
        <v>2273</v>
      </c>
      <c r="O3537" s="4" t="str">
        <f>LEFT(Table2[[#This Row],[Description]],75)</f>
        <v>Split Rate Apy</v>
      </c>
      <c r="P3537" s="2" t="s">
        <v>2313</v>
      </c>
    </row>
    <row r="3538" spans="1:16" hidden="1">
      <c r="A3538" s="2">
        <v>202010</v>
      </c>
      <c r="B3538" s="3">
        <v>44134</v>
      </c>
      <c r="C3538" s="2" t="s">
        <v>2262</v>
      </c>
      <c r="D3538" s="2" t="s">
        <v>1711</v>
      </c>
      <c r="E3538" s="2">
        <v>131.22</v>
      </c>
      <c r="F3538" s="2" t="e">
        <f>IF(Table2[[#This Row],[Manual Cat Value]]="",VLOOKUP(Table2[[#This Row],[Description]],'Actuals Lookup'!D:F,3,0),Table2[[#This Row],[Manual Cat Value]])</f>
        <v>#N/A</v>
      </c>
      <c r="J3538" s="2">
        <v>131.22</v>
      </c>
      <c r="K3538" s="2" t="b">
        <v>0</v>
      </c>
      <c r="L3538" s="2"/>
      <c r="M3538" s="2"/>
      <c r="N3538" s="4" t="s">
        <v>2259</v>
      </c>
      <c r="O3538" s="4" t="str">
        <f>LEFT(Table2[[#This Row],[Description]],75)</f>
        <v>Spoon and Stable</v>
      </c>
      <c r="P3538" s="2" t="s">
        <v>2511</v>
      </c>
    </row>
    <row r="3539" spans="1:16" hidden="1">
      <c r="A3539" s="2">
        <v>202010</v>
      </c>
      <c r="B3539" s="3">
        <v>44134</v>
      </c>
      <c r="C3539" s="2" t="s">
        <v>2262</v>
      </c>
      <c r="D3539" s="2" t="s">
        <v>1745</v>
      </c>
      <c r="E3539" s="2">
        <v>11</v>
      </c>
      <c r="F3539" s="2" t="e">
        <f>IF(Table2[[#This Row],[Manual Cat Value]]="",VLOOKUP(Table2[[#This Row],[Description]],'Actuals Lookup'!D:F,3,0),Table2[[#This Row],[Manual Cat Value]])</f>
        <v>#N/A</v>
      </c>
      <c r="J3539" s="2">
        <v>11</v>
      </c>
      <c r="K3539" s="2" t="b">
        <v>0</v>
      </c>
      <c r="L3539" s="2"/>
      <c r="M3539" s="2"/>
      <c r="N3539" s="4" t="s">
        <v>2259</v>
      </c>
      <c r="O3539" s="4" t="str">
        <f>LEFT(Table2[[#This Row],[Description]],75)</f>
        <v>SQ NORTH STAR DONUTS Victoria MN</v>
      </c>
      <c r="P3539" s="2" t="s">
        <v>2281</v>
      </c>
    </row>
    <row r="3540" spans="1:16" hidden="1">
      <c r="A3540" s="2">
        <v>202010</v>
      </c>
      <c r="B3540" s="3">
        <v>44134</v>
      </c>
      <c r="C3540" s="2" t="s">
        <v>2262</v>
      </c>
      <c r="D3540" s="2" t="s">
        <v>1765</v>
      </c>
      <c r="E3540" s="2">
        <v>83</v>
      </c>
      <c r="F3540" s="2" t="e">
        <f>IF(Table2[[#This Row],[Manual Cat Value]]="",VLOOKUP(Table2[[#This Row],[Description]],'Actuals Lookup'!D:F,3,0),Table2[[#This Row],[Manual Cat Value]])</f>
        <v>#N/A</v>
      </c>
      <c r="J3540" s="2">
        <v>83</v>
      </c>
      <c r="K3540" s="2" t="b">
        <v>0</v>
      </c>
      <c r="L3540" s="2"/>
      <c r="M3540" s="2"/>
      <c r="N3540" s="4" t="s">
        <v>2259</v>
      </c>
      <c r="O3540" s="4" t="str">
        <f>LEFT(Table2[[#This Row],[Description]],75)</f>
        <v>SQ THE WILSON WEIGH Saint Paul MN</v>
      </c>
      <c r="P3540" s="2" t="s">
        <v>2281</v>
      </c>
    </row>
    <row r="3541" spans="1:16" hidden="1">
      <c r="A3541" s="2">
        <v>202010</v>
      </c>
      <c r="B3541" s="3">
        <v>44134</v>
      </c>
      <c r="C3541" s="2" t="s">
        <v>2262</v>
      </c>
      <c r="D3541" s="2" t="s">
        <v>1773</v>
      </c>
      <c r="E3541" s="2">
        <v>25</v>
      </c>
      <c r="F3541" s="2" t="str">
        <f>IF(Table2[[#This Row],[Manual Cat Value]]="",VLOOKUP(Table2[[#This Row],[Description]],'Actuals Lookup'!D:F,3,0),Table2[[#This Row],[Manual Cat Value]])</f>
        <v>Restaurants</v>
      </c>
      <c r="J3541" s="2">
        <v>25</v>
      </c>
      <c r="K3541" s="2" t="b">
        <v>0</v>
      </c>
      <c r="L3541" s="2"/>
      <c r="M3541" s="2"/>
      <c r="N3541" s="4" t="s">
        <v>2259</v>
      </c>
      <c r="O3541" s="4" t="str">
        <f>LEFT(Table2[[#This Row],[Description]],75)</f>
        <v>Starbucks</v>
      </c>
      <c r="P3541" s="2" t="s">
        <v>2454</v>
      </c>
    </row>
    <row r="3542" spans="1:16" hidden="1">
      <c r="A3542" s="2">
        <v>202010</v>
      </c>
      <c r="B3542" s="3">
        <v>44134</v>
      </c>
      <c r="C3542" s="2" t="s">
        <v>2317</v>
      </c>
      <c r="D3542" s="2" t="s">
        <v>1786</v>
      </c>
      <c r="E3542" s="2">
        <v>-23.1</v>
      </c>
      <c r="F3542" s="2" t="e">
        <f>IF(Table2[[#This Row],[Manual Cat Value]]="",VLOOKUP(Table2[[#This Row],[Description]],'Actuals Lookup'!D:F,3,0),Table2[[#This Row],[Manual Cat Value]])</f>
        <v>#N/A</v>
      </c>
      <c r="J3542" s="2">
        <v>23.1</v>
      </c>
      <c r="K3542" s="2" t="b">
        <v>0</v>
      </c>
      <c r="L3542" s="2"/>
      <c r="M3542" s="2"/>
      <c r="N3542" s="4" t="s">
        <v>2273</v>
      </c>
      <c r="O3542" s="4" t="str">
        <f>LEFT(Table2[[#This Row],[Description]],75)</f>
        <v>STRYKER CORP</v>
      </c>
      <c r="P3542" s="2" t="s">
        <v>2385</v>
      </c>
    </row>
    <row r="3543" spans="1:16" hidden="1">
      <c r="A3543" s="2">
        <v>202010</v>
      </c>
      <c r="B3543" s="3">
        <v>44134</v>
      </c>
      <c r="C3543" s="2" t="s">
        <v>2265</v>
      </c>
      <c r="D3543" s="2" t="s">
        <v>31</v>
      </c>
      <c r="E3543" s="2">
        <v>269.58</v>
      </c>
      <c r="F3543" s="2" t="str">
        <f>IF(Table2[[#This Row],[Manual Cat Value]]="",VLOOKUP(Table2[[#This Row],[Description]],'Actuals Lookup'!D:F,3,0),Table2[[#This Row],[Manual Cat Value]])</f>
        <v>Target</v>
      </c>
      <c r="J3543" s="2">
        <v>269.58</v>
      </c>
      <c r="K3543" s="2" t="b">
        <v>0</v>
      </c>
      <c r="L3543" s="2"/>
      <c r="M3543" s="2"/>
      <c r="N3543" s="4" t="s">
        <v>2259</v>
      </c>
      <c r="O3543" s="4" t="str">
        <f>LEFT(Table2[[#This Row],[Description]],75)</f>
        <v>Target</v>
      </c>
      <c r="P3543" s="2" t="s">
        <v>2309</v>
      </c>
    </row>
    <row r="3544" spans="1:16" hidden="1">
      <c r="A3544" s="2">
        <v>202010</v>
      </c>
      <c r="B3544" s="3">
        <v>44134</v>
      </c>
      <c r="C3544" s="2" t="s">
        <v>2434</v>
      </c>
      <c r="D3544" s="2" t="s">
        <v>1834</v>
      </c>
      <c r="E3544" s="2">
        <v>-231</v>
      </c>
      <c r="F3544" s="2" t="e">
        <f>IF(Table2[[#This Row],[Manual Cat Value]]="",VLOOKUP(Table2[[#This Row],[Description]],'Actuals Lookup'!D:F,3,0),Table2[[#This Row],[Manual Cat Value]])</f>
        <v>#N/A</v>
      </c>
      <c r="J3544" s="2">
        <v>231</v>
      </c>
      <c r="K3544" s="2" t="b">
        <v>0</v>
      </c>
      <c r="L3544" s="2"/>
      <c r="M3544" s="2"/>
      <c r="N3544" s="4" t="s">
        <v>2273</v>
      </c>
      <c r="O3544" s="4" t="str">
        <f>LEFT(Table2[[#This Row],[Description]],75)</f>
        <v>Tfr JPMORGAN CHASE BAN, CARGILL COCOA &amp;</v>
      </c>
      <c r="P3544" s="2" t="s">
        <v>2356</v>
      </c>
    </row>
    <row r="3545" spans="1:16" hidden="1">
      <c r="A3545" s="2">
        <v>202010</v>
      </c>
      <c r="B3545" s="3">
        <v>44134</v>
      </c>
      <c r="C3545" s="2" t="s">
        <v>2434</v>
      </c>
      <c r="D3545" s="2" t="s">
        <v>1834</v>
      </c>
      <c r="E3545" s="2">
        <v>-231</v>
      </c>
      <c r="F3545" s="2" t="e">
        <f>IF(Table2[[#This Row],[Manual Cat Value]]="",VLOOKUP(Table2[[#This Row],[Description]],'Actuals Lookup'!D:F,3,0),Table2[[#This Row],[Manual Cat Value]])</f>
        <v>#N/A</v>
      </c>
      <c r="J3545" s="2">
        <v>231</v>
      </c>
      <c r="K3545" s="2" t="b">
        <v>0</v>
      </c>
      <c r="L3545" s="2"/>
      <c r="M3545" s="2"/>
      <c r="N3545" s="4" t="s">
        <v>2273</v>
      </c>
      <c r="O3545" s="4" t="str">
        <f>LEFT(Table2[[#This Row],[Description]],75)</f>
        <v>Tfr JPMORGAN CHASE BAN, CARGILL COCOA &amp;</v>
      </c>
      <c r="P3545" s="2" t="s">
        <v>2356</v>
      </c>
    </row>
    <row r="3546" spans="1:16" hidden="1">
      <c r="A3546" s="2">
        <v>202010</v>
      </c>
      <c r="B3546" s="3">
        <v>44134</v>
      </c>
      <c r="C3546" s="2" t="s">
        <v>2435</v>
      </c>
      <c r="D3546" s="2" t="s">
        <v>1836</v>
      </c>
      <c r="E3546" s="2">
        <v>-250</v>
      </c>
      <c r="F3546" s="2" t="e">
        <f>IF(Table2[[#This Row],[Manual Cat Value]]="",VLOOKUP(Table2[[#This Row],[Description]],'Actuals Lookup'!D:F,3,0),Table2[[#This Row],[Manual Cat Value]])</f>
        <v>#N/A</v>
      </c>
      <c r="J3546" s="2">
        <v>250</v>
      </c>
      <c r="K3546" s="2" t="b">
        <v>0</v>
      </c>
      <c r="L3546" s="2"/>
      <c r="M3546" s="2"/>
      <c r="N3546" s="4" t="s">
        <v>2273</v>
      </c>
      <c r="O3546" s="4" t="str">
        <f>LEFT(Table2[[#This Row],[Description]],75)</f>
        <v>Tfr JPMORGAN CHASE BAN, CONNECTED ANALYT</v>
      </c>
      <c r="P3546" s="2" t="s">
        <v>2493</v>
      </c>
    </row>
    <row r="3547" spans="1:16" hidden="1">
      <c r="A3547" s="2">
        <v>202010</v>
      </c>
      <c r="B3547" s="3">
        <v>44134</v>
      </c>
      <c r="C3547" s="2" t="s">
        <v>2435</v>
      </c>
      <c r="D3547" s="2" t="s">
        <v>1836</v>
      </c>
      <c r="E3547" s="2">
        <v>-250</v>
      </c>
      <c r="F3547" s="2" t="e">
        <f>IF(Table2[[#This Row],[Manual Cat Value]]="",VLOOKUP(Table2[[#This Row],[Description]],'Actuals Lookup'!D:F,3,0),Table2[[#This Row],[Manual Cat Value]])</f>
        <v>#N/A</v>
      </c>
      <c r="J3547" s="2">
        <v>250</v>
      </c>
      <c r="K3547" s="2" t="b">
        <v>0</v>
      </c>
      <c r="L3547" s="2"/>
      <c r="M3547" s="2"/>
      <c r="N3547" s="4" t="s">
        <v>2273</v>
      </c>
      <c r="O3547" s="4" t="str">
        <f>LEFT(Table2[[#This Row],[Description]],75)</f>
        <v>Tfr JPMORGAN CHASE BAN, CONNECTED ANALYT</v>
      </c>
      <c r="P3547" s="2" t="s">
        <v>2493</v>
      </c>
    </row>
    <row r="3548" spans="1:16" hidden="1">
      <c r="A3548" s="2">
        <v>202010</v>
      </c>
      <c r="B3548" s="3">
        <v>44134</v>
      </c>
      <c r="C3548" s="2" t="s">
        <v>2300</v>
      </c>
      <c r="D3548" s="2" t="s">
        <v>1891</v>
      </c>
      <c r="E3548" s="2">
        <v>163.72</v>
      </c>
      <c r="F3548" s="2" t="e">
        <f>IF(Table2[[#This Row],[Manual Cat Value]]="",VLOOKUP(Table2[[#This Row],[Description]],'Actuals Lookup'!D:F,3,0),Table2[[#This Row],[Manual Cat Value]])</f>
        <v>#N/A</v>
      </c>
      <c r="J3548" s="2">
        <v>163.72</v>
      </c>
      <c r="K3548" s="2" t="b">
        <v>0</v>
      </c>
      <c r="L3548" s="2"/>
      <c r="M3548" s="2"/>
      <c r="N3548" s="4" t="s">
        <v>2259</v>
      </c>
      <c r="O3548" s="4" t="str">
        <f>LEFT(Table2[[#This Row],[Description]],75)</f>
        <v>To Share 01</v>
      </c>
      <c r="P3548" s="2" t="s">
        <v>2281</v>
      </c>
    </row>
    <row r="3549" spans="1:16" hidden="1">
      <c r="A3549" s="2">
        <v>202010</v>
      </c>
      <c r="B3549" s="3">
        <v>44134</v>
      </c>
      <c r="C3549" s="2" t="s">
        <v>2265</v>
      </c>
      <c r="D3549" s="2" t="s">
        <v>1892</v>
      </c>
      <c r="E3549" s="2">
        <v>200</v>
      </c>
      <c r="F3549" s="2" t="e">
        <f>IF(Table2[[#This Row],[Manual Cat Value]]="",VLOOKUP(Table2[[#This Row],[Description]],'Actuals Lookup'!D:F,3,0),Table2[[#This Row],[Manual Cat Value]])</f>
        <v>#N/A</v>
      </c>
      <c r="J3549" s="2">
        <v>200</v>
      </c>
      <c r="K3549" s="2" t="b">
        <v>0</v>
      </c>
      <c r="L3549" s="2"/>
      <c r="M3549" s="2"/>
      <c r="N3549" s="4" t="s">
        <v>2259</v>
      </c>
      <c r="O3549" s="4" t="str">
        <f>LEFT(Table2[[#This Row],[Description]],75)</f>
        <v>To Share 12</v>
      </c>
      <c r="P3549" s="2" t="s">
        <v>2494</v>
      </c>
    </row>
    <row r="3550" spans="1:16" hidden="1">
      <c r="A3550" s="2">
        <v>202010</v>
      </c>
      <c r="B3550" s="3">
        <v>44134</v>
      </c>
      <c r="C3550" s="2" t="s">
        <v>2262</v>
      </c>
      <c r="D3550" s="2" t="s">
        <v>1926</v>
      </c>
      <c r="E3550" s="2">
        <v>117.45</v>
      </c>
      <c r="F3550" s="2" t="e">
        <f>IF(Table2[[#This Row],[Manual Cat Value]]="",VLOOKUP(Table2[[#This Row],[Description]],'Actuals Lookup'!D:F,3,0),Table2[[#This Row],[Manual Cat Value]])</f>
        <v>#N/A</v>
      </c>
      <c r="J3550" s="2">
        <v>117.45</v>
      </c>
      <c r="K3550" s="2" t="b">
        <v>0</v>
      </c>
      <c r="L3550" s="2"/>
      <c r="M3550" s="2"/>
      <c r="N3550" s="4" t="s">
        <v>2259</v>
      </c>
      <c r="O3550" s="4" t="str">
        <f>LEFT(Table2[[#This Row],[Description]],75)</f>
        <v>Total Wine and More</v>
      </c>
      <c r="P3550" s="2" t="s">
        <v>2281</v>
      </c>
    </row>
    <row r="3551" spans="1:16" hidden="1">
      <c r="A3551" s="2">
        <v>202010</v>
      </c>
      <c r="B3551" s="3">
        <v>44134</v>
      </c>
      <c r="C3551" s="2" t="s">
        <v>2262</v>
      </c>
      <c r="D3551" s="2" t="s">
        <v>1926</v>
      </c>
      <c r="E3551" s="2">
        <v>138.35</v>
      </c>
      <c r="F3551" s="2" t="e">
        <f>IF(Table2[[#This Row],[Manual Cat Value]]="",VLOOKUP(Table2[[#This Row],[Description]],'Actuals Lookup'!D:F,3,0),Table2[[#This Row],[Manual Cat Value]])</f>
        <v>#N/A</v>
      </c>
      <c r="J3551" s="2">
        <v>138.35</v>
      </c>
      <c r="K3551" s="2" t="b">
        <v>0</v>
      </c>
      <c r="L3551" s="2"/>
      <c r="M3551" s="2"/>
      <c r="N3551" s="4" t="s">
        <v>2259</v>
      </c>
      <c r="O3551" s="4" t="str">
        <f>LEFT(Table2[[#This Row],[Description]],75)</f>
        <v>Total Wine and More</v>
      </c>
      <c r="P3551" s="2" t="s">
        <v>2289</v>
      </c>
    </row>
    <row r="3552" spans="1:16" hidden="1">
      <c r="A3552" s="2">
        <v>202010</v>
      </c>
      <c r="B3552" s="3">
        <v>44134</v>
      </c>
      <c r="C3552" s="2" t="s">
        <v>2262</v>
      </c>
      <c r="D3552" s="2" t="s">
        <v>2099</v>
      </c>
      <c r="E3552" s="2">
        <v>1.75</v>
      </c>
      <c r="F3552" s="2" t="e">
        <f>IF(Table2[[#This Row],[Manual Cat Value]]="",VLOOKUP(Table2[[#This Row],[Description]],'Actuals Lookup'!D:F,3,0),Table2[[#This Row],[Manual Cat Value]])</f>
        <v>#N/A</v>
      </c>
      <c r="J3552" s="2">
        <v>1.75</v>
      </c>
      <c r="K3552" s="2" t="b">
        <v>0</v>
      </c>
      <c r="L3552" s="2"/>
      <c r="M3552" s="2"/>
      <c r="N3552" s="4" t="s">
        <v>2259</v>
      </c>
      <c r="O3552" s="4" t="str">
        <f>LEFT(Table2[[#This Row],[Description]],75)</f>
        <v>USAVEND AT AIR SERV CHANHASSEN MN</v>
      </c>
      <c r="P3552" s="2" t="s">
        <v>2281</v>
      </c>
    </row>
    <row r="3553" spans="1:16" hidden="1">
      <c r="A3553" s="2">
        <v>202010</v>
      </c>
      <c r="B3553" s="3">
        <v>44134</v>
      </c>
      <c r="C3553" s="2" t="s">
        <v>2265</v>
      </c>
      <c r="D3553" s="2" t="s">
        <v>2109</v>
      </c>
      <c r="E3553" s="2">
        <v>110.72</v>
      </c>
      <c r="F3553" s="2" t="str">
        <f>IF(Table2[[#This Row],[Manual Cat Value]]="",VLOOKUP(Table2[[#This Row],[Description]],'Actuals Lookup'!D:F,3,0),Table2[[#This Row],[Manual Cat Value]])</f>
        <v>Shopping</v>
      </c>
      <c r="J3553" s="2">
        <v>110.72</v>
      </c>
      <c r="K3553" s="2" t="b">
        <v>0</v>
      </c>
      <c r="L3553" s="2"/>
      <c r="M3553" s="2"/>
      <c r="N3553" s="4" t="s">
        <v>2259</v>
      </c>
      <c r="O3553" s="4" t="str">
        <f>LEFT(Table2[[#This Row],[Description]],75)</f>
        <v>Venmo</v>
      </c>
      <c r="P3553" s="2" t="s">
        <v>2281</v>
      </c>
    </row>
    <row r="3554" spans="1:16" hidden="1">
      <c r="A3554" s="2">
        <v>202010</v>
      </c>
      <c r="B3554" s="3">
        <v>44134</v>
      </c>
      <c r="C3554" s="2" t="s">
        <v>2265</v>
      </c>
      <c r="D3554" s="2" t="s">
        <v>2109</v>
      </c>
      <c r="E3554" s="2">
        <v>300</v>
      </c>
      <c r="F3554" s="2" t="str">
        <f>IF(Table2[[#This Row],[Manual Cat Value]]="",VLOOKUP(Table2[[#This Row],[Description]],'Actuals Lookup'!D:F,3,0),Table2[[#This Row],[Manual Cat Value]])</f>
        <v>Shopping</v>
      </c>
      <c r="J3554" s="2">
        <v>300</v>
      </c>
      <c r="K3554" s="2" t="b">
        <v>0</v>
      </c>
      <c r="L3554" s="2"/>
      <c r="M3554" s="2"/>
      <c r="N3554" s="4" t="s">
        <v>2259</v>
      </c>
      <c r="O3554" s="4" t="str">
        <f>LEFT(Table2[[#This Row],[Description]],75)</f>
        <v>Venmo</v>
      </c>
      <c r="P3554" s="2" t="s">
        <v>2281</v>
      </c>
    </row>
    <row r="3555" spans="1:16" hidden="1">
      <c r="A3555" s="2">
        <v>202010</v>
      </c>
      <c r="B3555" s="3">
        <v>44134</v>
      </c>
      <c r="C3555" s="2" t="s">
        <v>2274</v>
      </c>
      <c r="D3555" s="2" t="s">
        <v>2110</v>
      </c>
      <c r="E3555" s="2">
        <v>-228</v>
      </c>
      <c r="F3555" s="2" t="e">
        <f>IF(Table2[[#This Row],[Manual Cat Value]]="",VLOOKUP(Table2[[#This Row],[Description]],'Actuals Lookup'!D:F,3,0),Table2[[#This Row],[Manual Cat Value]])</f>
        <v>#N/A</v>
      </c>
      <c r="J3555" s="2">
        <v>228</v>
      </c>
      <c r="K3555" s="2" t="b">
        <v>0</v>
      </c>
      <c r="L3555" s="2"/>
      <c r="M3555" s="2"/>
      <c r="N3555" s="4" t="s">
        <v>2273</v>
      </c>
      <c r="O3555" s="4" t="str">
        <f>LEFT(Table2[[#This Row],[Description]],75)</f>
        <v>Venmo Cashout</v>
      </c>
      <c r="P3555" s="2" t="s">
        <v>2281</v>
      </c>
    </row>
    <row r="3556" spans="1:16" hidden="1">
      <c r="A3556" s="2">
        <v>202010</v>
      </c>
      <c r="B3556" s="3">
        <v>44134</v>
      </c>
      <c r="C3556" s="2" t="s">
        <v>2262</v>
      </c>
      <c r="D3556" s="2" t="s">
        <v>2121</v>
      </c>
      <c r="E3556" s="2">
        <v>75.760000000000005</v>
      </c>
      <c r="F3556" s="2" t="e">
        <f>IF(Table2[[#This Row],[Manual Cat Value]]="",VLOOKUP(Table2[[#This Row],[Description]],'Actuals Lookup'!D:F,3,0),Table2[[#This Row],[Manual Cat Value]])</f>
        <v>#N/A</v>
      </c>
      <c r="J3556" s="2">
        <v>75.760000000000005</v>
      </c>
      <c r="K3556" s="2" t="b">
        <v>0</v>
      </c>
      <c r="L3556" s="2"/>
      <c r="M3556" s="2"/>
      <c r="N3556" s="4" t="s">
        <v>2259</v>
      </c>
      <c r="O3556" s="4" t="str">
        <f>LEFT(Table2[[#This Row],[Description]],75)</f>
        <v>VICTORIA BURROW 9522065050 MN</v>
      </c>
      <c r="P3556" s="2" t="s">
        <v>2281</v>
      </c>
    </row>
    <row r="3557" spans="1:16" hidden="1">
      <c r="A3557" s="2">
        <v>202010</v>
      </c>
      <c r="B3557" s="3">
        <v>44134</v>
      </c>
      <c r="C3557" s="2" t="s">
        <v>2262</v>
      </c>
      <c r="D3557" s="2" t="s">
        <v>2128</v>
      </c>
      <c r="E3557" s="2">
        <v>331.85</v>
      </c>
      <c r="F3557" s="2" t="e">
        <f>IF(Table2[[#This Row],[Manual Cat Value]]="",VLOOKUP(Table2[[#This Row],[Description]],'Actuals Lookup'!D:F,3,0),Table2[[#This Row],[Manual Cat Value]])</f>
        <v>#N/A</v>
      </c>
      <c r="J3557" s="2">
        <v>331.85</v>
      </c>
      <c r="K3557" s="2" t="b">
        <v>0</v>
      </c>
      <c r="L3557" s="2"/>
      <c r="M3557" s="2"/>
      <c r="N3557" s="4" t="s">
        <v>2259</v>
      </c>
      <c r="O3557" s="4" t="str">
        <f>LEFT(Table2[[#This Row],[Description]],75)</f>
        <v>VIOC 010018 SHOREWOOD MN</v>
      </c>
      <c r="P3557" s="2" t="s">
        <v>2281</v>
      </c>
    </row>
    <row r="3558" spans="1:16" hidden="1">
      <c r="A3558" s="2">
        <v>202010</v>
      </c>
      <c r="B3558" s="3">
        <v>44134</v>
      </c>
      <c r="C3558" s="2" t="s">
        <v>2262</v>
      </c>
      <c r="D3558" s="2" t="s">
        <v>2135</v>
      </c>
      <c r="E3558" s="2">
        <v>44.15</v>
      </c>
      <c r="F3558" s="2" t="str">
        <f>IF(Table2[[#This Row],[Manual Cat Value]]="",VLOOKUP(Table2[[#This Row],[Description]],'Actuals Lookup'!D:F,3,0),Table2[[#This Row],[Manual Cat Value]])</f>
        <v>Groceries</v>
      </c>
      <c r="J3558" s="2">
        <v>44.15</v>
      </c>
      <c r="K3558" s="2" t="b">
        <v>0</v>
      </c>
      <c r="L3558" s="2"/>
      <c r="M3558" s="2"/>
      <c r="N3558" s="4" t="s">
        <v>2259</v>
      </c>
      <c r="O3558" s="4" t="str">
        <f>LEFT(Table2[[#This Row],[Description]],75)</f>
        <v>Walgreens</v>
      </c>
      <c r="P3558" s="2" t="s">
        <v>2389</v>
      </c>
    </row>
    <row r="3559" spans="1:16" hidden="1">
      <c r="A3559" s="2">
        <v>202010</v>
      </c>
      <c r="B3559" s="3">
        <v>44134</v>
      </c>
      <c r="C3559" s="2" t="s">
        <v>2262</v>
      </c>
      <c r="D3559" s="2" t="s">
        <v>2135</v>
      </c>
      <c r="E3559" s="2">
        <v>8.0399999999999991</v>
      </c>
      <c r="F3559" s="2" t="str">
        <f>IF(Table2[[#This Row],[Manual Cat Value]]="",VLOOKUP(Table2[[#This Row],[Description]],'Actuals Lookup'!D:F,3,0),Table2[[#This Row],[Manual Cat Value]])</f>
        <v>Groceries</v>
      </c>
      <c r="J3559" s="2">
        <v>8.0399999999999991</v>
      </c>
      <c r="K3559" s="2" t="b">
        <v>0</v>
      </c>
      <c r="L3559" s="2"/>
      <c r="M3559" s="2"/>
      <c r="N3559" s="4" t="s">
        <v>2259</v>
      </c>
      <c r="O3559" s="4" t="str">
        <f>LEFT(Table2[[#This Row],[Description]],75)</f>
        <v>Walgreens</v>
      </c>
      <c r="P3559" s="2" t="s">
        <v>2389</v>
      </c>
    </row>
    <row r="3560" spans="1:16" hidden="1">
      <c r="A3560" s="2">
        <v>202010</v>
      </c>
      <c r="B3560" s="3">
        <v>44134</v>
      </c>
      <c r="C3560" s="2" t="s">
        <v>2262</v>
      </c>
      <c r="D3560" s="2" t="s">
        <v>2142</v>
      </c>
      <c r="E3560" s="2">
        <v>125.62</v>
      </c>
      <c r="F3560" s="2" t="str">
        <f>IF(Table2[[#This Row],[Manual Cat Value]]="",VLOOKUP(Table2[[#This Row],[Description]],'Actuals Lookup'!D:F,3,0),Table2[[#This Row],[Manual Cat Value]])</f>
        <v>House</v>
      </c>
      <c r="J3560" s="2">
        <v>125.62</v>
      </c>
      <c r="K3560" s="2" t="b">
        <v>0</v>
      </c>
      <c r="L3560" s="2"/>
      <c r="M3560" s="2"/>
      <c r="N3560" s="4" t="s">
        <v>2259</v>
      </c>
      <c r="O3560" s="4" t="str">
        <f>LEFT(Table2[[#This Row],[Description]],75)</f>
        <v>Wayfair</v>
      </c>
      <c r="P3560" s="2" t="s">
        <v>2427</v>
      </c>
    </row>
    <row r="3561" spans="1:16" hidden="1">
      <c r="A3561" s="2">
        <v>202010</v>
      </c>
      <c r="B3561" s="3">
        <v>44134</v>
      </c>
      <c r="C3561" s="2" t="s">
        <v>2262</v>
      </c>
      <c r="D3561" s="2" t="s">
        <v>2142</v>
      </c>
      <c r="E3561" s="2">
        <v>190.03</v>
      </c>
      <c r="F3561" s="2" t="str">
        <f>IF(Table2[[#This Row],[Manual Cat Value]]="",VLOOKUP(Table2[[#This Row],[Description]],'Actuals Lookup'!D:F,3,0),Table2[[#This Row],[Manual Cat Value]])</f>
        <v>House</v>
      </c>
      <c r="J3561" s="2">
        <v>190.03</v>
      </c>
      <c r="K3561" s="2" t="b">
        <v>0</v>
      </c>
      <c r="L3561" s="2"/>
      <c r="M3561" s="2"/>
      <c r="N3561" s="4" t="s">
        <v>2259</v>
      </c>
      <c r="O3561" s="4" t="str">
        <f>LEFT(Table2[[#This Row],[Description]],75)</f>
        <v>Wayfair</v>
      </c>
      <c r="P3561" s="2" t="s">
        <v>2427</v>
      </c>
    </row>
    <row r="3562" spans="1:16" hidden="1">
      <c r="A3562" s="2">
        <v>202010</v>
      </c>
      <c r="B3562" s="3">
        <v>44134</v>
      </c>
      <c r="C3562" s="2" t="s">
        <v>2262</v>
      </c>
      <c r="D3562" s="2" t="s">
        <v>1423</v>
      </c>
      <c r="E3562" s="2">
        <v>-247.63</v>
      </c>
      <c r="F3562" s="2" t="e">
        <f>IF(Table2[[#This Row],[Manual Cat Value]]="",VLOOKUP(Table2[[#This Row],[Description]],'Actuals Lookup'!D:F,3,0),Table2[[#This Row],[Manual Cat Value]])</f>
        <v>#N/A</v>
      </c>
      <c r="J3562" s="2">
        <v>247.63</v>
      </c>
      <c r="K3562" s="2" t="b">
        <v>0</v>
      </c>
      <c r="L3562" s="2"/>
      <c r="M3562" s="2"/>
      <c r="N3562" s="4" t="s">
        <v>2273</v>
      </c>
      <c r="O3562" s="4" t="str">
        <f>LEFT(Table2[[#This Row],[Description]],75)</f>
        <v>PAYMENT THANK YOU</v>
      </c>
      <c r="P3562" s="2" t="s">
        <v>2391</v>
      </c>
    </row>
    <row r="3563" spans="1:16" hidden="1">
      <c r="A3563" s="2">
        <v>202010</v>
      </c>
      <c r="B3563" s="3">
        <v>44134</v>
      </c>
      <c r="C3563" s="2" t="s">
        <v>2262</v>
      </c>
      <c r="D3563" s="2" t="s">
        <v>1423</v>
      </c>
      <c r="E3563" s="2">
        <v>-889.13</v>
      </c>
      <c r="F3563" s="2" t="e">
        <f>IF(Table2[[#This Row],[Manual Cat Value]]="",VLOOKUP(Table2[[#This Row],[Description]],'Actuals Lookup'!D:F,3,0),Table2[[#This Row],[Manual Cat Value]])</f>
        <v>#N/A</v>
      </c>
      <c r="J3563" s="2">
        <v>889.13</v>
      </c>
      <c r="K3563" s="2" t="b">
        <v>0</v>
      </c>
      <c r="L3563" s="2"/>
      <c r="M3563" s="2"/>
      <c r="N3563" s="4" t="s">
        <v>2273</v>
      </c>
      <c r="O3563" s="4" t="str">
        <f>LEFT(Table2[[#This Row],[Description]],75)</f>
        <v>PAYMENT THANK YOU</v>
      </c>
      <c r="P3563" s="2" t="s">
        <v>2391</v>
      </c>
    </row>
    <row r="3564" spans="1:16" hidden="1">
      <c r="A3564" s="2">
        <v>202010</v>
      </c>
      <c r="B3564" s="3">
        <v>44134</v>
      </c>
      <c r="C3564" s="2" t="s">
        <v>2262</v>
      </c>
      <c r="D3564" s="2" t="s">
        <v>1423</v>
      </c>
      <c r="E3564" s="2">
        <v>-1436.4</v>
      </c>
      <c r="F3564" s="2" t="e">
        <f>IF(Table2[[#This Row],[Manual Cat Value]]="",VLOOKUP(Table2[[#This Row],[Description]],'Actuals Lookup'!D:F,3,0),Table2[[#This Row],[Manual Cat Value]])</f>
        <v>#N/A</v>
      </c>
      <c r="J3564" s="2">
        <v>1436.4</v>
      </c>
      <c r="K3564" s="2" t="b">
        <v>0</v>
      </c>
      <c r="L3564" s="2"/>
      <c r="M3564" s="2"/>
      <c r="N3564" s="4" t="s">
        <v>2273</v>
      </c>
      <c r="O3564" s="4" t="str">
        <f>LEFT(Table2[[#This Row],[Description]],75)</f>
        <v>PAYMENT THANK YOU</v>
      </c>
      <c r="P3564" s="2" t="s">
        <v>2391</v>
      </c>
    </row>
    <row r="3565" spans="1:16" hidden="1">
      <c r="A3565" s="2">
        <v>202010</v>
      </c>
      <c r="B3565" s="3">
        <v>44134</v>
      </c>
      <c r="C3565" s="2" t="s">
        <v>2262</v>
      </c>
      <c r="D3565" s="2" t="s">
        <v>1423</v>
      </c>
      <c r="E3565" s="2">
        <v>-1229.51</v>
      </c>
      <c r="F3565" s="2" t="e">
        <f>IF(Table2[[#This Row],[Manual Cat Value]]="",VLOOKUP(Table2[[#This Row],[Description]],'Actuals Lookup'!D:F,3,0),Table2[[#This Row],[Manual Cat Value]])</f>
        <v>#N/A</v>
      </c>
      <c r="J3565" s="2">
        <v>1229.51</v>
      </c>
      <c r="K3565" s="2" t="b">
        <v>0</v>
      </c>
      <c r="L3565" s="2"/>
      <c r="M3565" s="2"/>
      <c r="N3565" s="4" t="s">
        <v>2273</v>
      </c>
      <c r="O3565" s="4" t="str">
        <f>LEFT(Table2[[#This Row],[Description]],75)</f>
        <v>PAYMENT THANK YOU</v>
      </c>
      <c r="P3565" s="2" t="s">
        <v>2391</v>
      </c>
    </row>
    <row r="3566" spans="1:16" hidden="1">
      <c r="A3566" s="2">
        <v>202010</v>
      </c>
      <c r="B3566" s="3">
        <v>44134</v>
      </c>
      <c r="C3566" s="2" t="s">
        <v>2262</v>
      </c>
      <c r="D3566" s="2" t="s">
        <v>1423</v>
      </c>
      <c r="E3566" s="2">
        <v>-3226.79</v>
      </c>
      <c r="F3566" s="2" t="e">
        <f>IF(Table2[[#This Row],[Manual Cat Value]]="",VLOOKUP(Table2[[#This Row],[Description]],'Actuals Lookup'!D:F,3,0),Table2[[#This Row],[Manual Cat Value]])</f>
        <v>#N/A</v>
      </c>
      <c r="J3566" s="2">
        <v>3226.79</v>
      </c>
      <c r="K3566" s="2" t="b">
        <v>0</v>
      </c>
      <c r="L3566" s="2"/>
      <c r="M3566" s="2"/>
      <c r="N3566" s="4" t="s">
        <v>2273</v>
      </c>
      <c r="O3566" s="4" t="str">
        <f>LEFT(Table2[[#This Row],[Description]],75)</f>
        <v>PAYMENT THANK YOU</v>
      </c>
      <c r="P3566" s="2" t="s">
        <v>2391</v>
      </c>
    </row>
    <row r="3567" spans="1:16" hidden="1">
      <c r="A3567" s="2">
        <v>202010</v>
      </c>
      <c r="B3567" s="3">
        <v>44134</v>
      </c>
      <c r="C3567" s="2" t="s">
        <v>2265</v>
      </c>
      <c r="D3567" s="2" t="s">
        <v>2176</v>
      </c>
      <c r="E3567" s="2">
        <v>247.63</v>
      </c>
      <c r="F3567" s="2" t="e">
        <f>IF(Table2[[#This Row],[Manual Cat Value]]="",VLOOKUP(Table2[[#This Row],[Description]],'Actuals Lookup'!D:F,3,0),Table2[[#This Row],[Manual Cat Value]])</f>
        <v>#N/A</v>
      </c>
      <c r="J3567" s="2">
        <v>247.63</v>
      </c>
      <c r="K3567" s="2" t="b">
        <v>0</v>
      </c>
      <c r="L3567" s="2"/>
      <c r="M3567" s="2"/>
      <c r="N3567" s="4" t="s">
        <v>2259</v>
      </c>
      <c r="O3567" s="4" t="str">
        <f>LEFT(Table2[[#This Row],[Description]],75)</f>
        <v>Withdrawal Home payment to card 979181</v>
      </c>
      <c r="P3567" s="2" t="s">
        <v>2349</v>
      </c>
    </row>
    <row r="3568" spans="1:16" hidden="1">
      <c r="A3568" s="2">
        <v>202010</v>
      </c>
      <c r="B3568" s="3">
        <v>44134</v>
      </c>
      <c r="C3568" s="2" t="s">
        <v>2265</v>
      </c>
      <c r="D3568" s="2" t="s">
        <v>2176</v>
      </c>
      <c r="E3568" s="2">
        <v>889.13</v>
      </c>
      <c r="F3568" s="2" t="e">
        <f>IF(Table2[[#This Row],[Manual Cat Value]]="",VLOOKUP(Table2[[#This Row],[Description]],'Actuals Lookup'!D:F,3,0),Table2[[#This Row],[Manual Cat Value]])</f>
        <v>#N/A</v>
      </c>
      <c r="J3568" s="2">
        <v>889.13</v>
      </c>
      <c r="K3568" s="2" t="b">
        <v>0</v>
      </c>
      <c r="L3568" s="2"/>
      <c r="M3568" s="2"/>
      <c r="N3568" s="4" t="s">
        <v>2259</v>
      </c>
      <c r="O3568" s="4" t="str">
        <f>LEFT(Table2[[#This Row],[Description]],75)</f>
        <v>Withdrawal Home payment to card 979181</v>
      </c>
      <c r="P3568" s="2" t="s">
        <v>2349</v>
      </c>
    </row>
    <row r="3569" spans="1:16" hidden="1">
      <c r="A3569" s="2">
        <v>202010</v>
      </c>
      <c r="B3569" s="3">
        <v>44134</v>
      </c>
      <c r="C3569" s="2" t="s">
        <v>2265</v>
      </c>
      <c r="D3569" s="2" t="s">
        <v>2176</v>
      </c>
      <c r="E3569" s="2">
        <v>1436.4</v>
      </c>
      <c r="F3569" s="2" t="e">
        <f>IF(Table2[[#This Row],[Manual Cat Value]]="",VLOOKUP(Table2[[#This Row],[Description]],'Actuals Lookup'!D:F,3,0),Table2[[#This Row],[Manual Cat Value]])</f>
        <v>#N/A</v>
      </c>
      <c r="J3569" s="2">
        <v>1436.4</v>
      </c>
      <c r="K3569" s="2" t="b">
        <v>0</v>
      </c>
      <c r="L3569" s="2"/>
      <c r="M3569" s="2"/>
      <c r="N3569" s="4" t="s">
        <v>2259</v>
      </c>
      <c r="O3569" s="4" t="str">
        <f>LEFT(Table2[[#This Row],[Description]],75)</f>
        <v>Withdrawal Home payment to card 979181</v>
      </c>
      <c r="P3569" s="2" t="s">
        <v>2349</v>
      </c>
    </row>
    <row r="3570" spans="1:16" hidden="1">
      <c r="A3570" s="2">
        <v>202010</v>
      </c>
      <c r="B3570" s="3">
        <v>44134</v>
      </c>
      <c r="C3570" s="2" t="s">
        <v>2265</v>
      </c>
      <c r="D3570" s="2" t="s">
        <v>2176</v>
      </c>
      <c r="E3570" s="2">
        <v>1229.51</v>
      </c>
      <c r="F3570" s="2" t="e">
        <f>IF(Table2[[#This Row],[Manual Cat Value]]="",VLOOKUP(Table2[[#This Row],[Description]],'Actuals Lookup'!D:F,3,0),Table2[[#This Row],[Manual Cat Value]])</f>
        <v>#N/A</v>
      </c>
      <c r="J3570" s="2">
        <v>1229.51</v>
      </c>
      <c r="K3570" s="2" t="b">
        <v>0</v>
      </c>
      <c r="L3570" s="2"/>
      <c r="M3570" s="2"/>
      <c r="N3570" s="4" t="s">
        <v>2259</v>
      </c>
      <c r="O3570" s="4" t="str">
        <f>LEFT(Table2[[#This Row],[Description]],75)</f>
        <v>Withdrawal Home payment to card 979181</v>
      </c>
      <c r="P3570" s="2" t="s">
        <v>2349</v>
      </c>
    </row>
    <row r="3571" spans="1:16" hidden="1">
      <c r="A3571" s="2">
        <v>202010</v>
      </c>
      <c r="B3571" s="3">
        <v>44134</v>
      </c>
      <c r="C3571" s="2" t="s">
        <v>2265</v>
      </c>
      <c r="D3571" s="2" t="s">
        <v>2176</v>
      </c>
      <c r="E3571" s="2">
        <v>3226.79</v>
      </c>
      <c r="F3571" s="2" t="e">
        <f>IF(Table2[[#This Row],[Manual Cat Value]]="",VLOOKUP(Table2[[#This Row],[Description]],'Actuals Lookup'!D:F,3,0),Table2[[#This Row],[Manual Cat Value]])</f>
        <v>#N/A</v>
      </c>
      <c r="J3571" s="2">
        <v>3226.79</v>
      </c>
      <c r="K3571" s="2" t="b">
        <v>0</v>
      </c>
      <c r="L3571" s="2"/>
      <c r="M3571" s="2"/>
      <c r="N3571" s="4" t="s">
        <v>2259</v>
      </c>
      <c r="O3571" s="4" t="str">
        <f>LEFT(Table2[[#This Row],[Description]],75)</f>
        <v>Withdrawal Home payment to card 979181</v>
      </c>
      <c r="P3571" s="2" t="s">
        <v>2349</v>
      </c>
    </row>
    <row r="3572" spans="1:16" hidden="1">
      <c r="A3572" s="2">
        <v>202011</v>
      </c>
      <c r="B3572" s="3">
        <v>44136</v>
      </c>
      <c r="C3572" s="2" t="s">
        <v>2314</v>
      </c>
      <c r="D3572" s="2" t="s">
        <v>859</v>
      </c>
      <c r="E3572" s="2">
        <v>-576.61</v>
      </c>
      <c r="F3572" s="2" t="e">
        <f>IF(Table2[[#This Row],[Manual Cat Value]]="",VLOOKUP(Table2[[#This Row],[Description]],'Actuals Lookup'!D:F,3,0),Table2[[#This Row],[Manual Cat Value]])</f>
        <v>#N/A</v>
      </c>
      <c r="J3572" s="2">
        <v>576.61</v>
      </c>
      <c r="K3572" s="2" t="b">
        <v>0</v>
      </c>
      <c r="L3572" s="2"/>
      <c r="M3572" s="2"/>
      <c r="N3572" s="4" t="s">
        <v>2273</v>
      </c>
      <c r="O3572" s="4" t="str">
        <f>LEFT(Table2[[#This Row],[Description]],75)</f>
        <v>From Share 70</v>
      </c>
      <c r="P3572" s="2" t="s">
        <v>2496</v>
      </c>
    </row>
    <row r="3573" spans="1:16" hidden="1">
      <c r="A3573" s="2">
        <v>202011</v>
      </c>
      <c r="B3573" s="3">
        <v>44136</v>
      </c>
      <c r="C3573" s="2" t="s">
        <v>2265</v>
      </c>
      <c r="D3573" s="2" t="s">
        <v>1877</v>
      </c>
      <c r="E3573" s="2">
        <v>618.65</v>
      </c>
      <c r="F3573" s="2" t="e">
        <f>IF(Table2[[#This Row],[Manual Cat Value]]="",VLOOKUP(Table2[[#This Row],[Description]],'Actuals Lookup'!D:F,3,0),Table2[[#This Row],[Manual Cat Value]])</f>
        <v>#N/A</v>
      </c>
      <c r="J3573" s="2">
        <v>618.65</v>
      </c>
      <c r="K3573" s="2" t="b">
        <v>0</v>
      </c>
      <c r="L3573" s="2"/>
      <c r="M3573" s="2"/>
      <c r="N3573" s="4" t="s">
        <v>2259</v>
      </c>
      <c r="O3573" s="4" t="str">
        <f>LEFT(Table2[[#This Row],[Description]],75)</f>
        <v>To Loan 02</v>
      </c>
      <c r="P3573" s="2" t="s">
        <v>2316</v>
      </c>
    </row>
    <row r="3574" spans="1:16" hidden="1">
      <c r="A3574" s="2">
        <v>202011</v>
      </c>
      <c r="B3574" s="3">
        <v>44137</v>
      </c>
      <c r="C3574" s="2" t="s">
        <v>2270</v>
      </c>
      <c r="D3574" s="2" t="s">
        <v>1410</v>
      </c>
      <c r="E3574" s="2">
        <v>-713.87</v>
      </c>
      <c r="F3574" s="2" t="str">
        <f>IF(Table2[[#This Row],[Manual Cat Value]]="",VLOOKUP(Table2[[#This Row],[Description]],'Actuals Lookup'!D:F,3,0),Table2[[#This Row],[Manual Cat Value]])</f>
        <v>Delete</v>
      </c>
      <c r="J3574" s="2">
        <v>713.87</v>
      </c>
      <c r="K3574" s="2" t="b">
        <v>0</v>
      </c>
      <c r="L3574" s="2"/>
      <c r="M3574" s="2"/>
      <c r="N3574" s="4" t="s">
        <v>2273</v>
      </c>
      <c r="O3574" s="4" t="str">
        <f>LEFT(Table2[[#This Row],[Description]],75)</f>
        <v>PAYMENT</v>
      </c>
      <c r="P3574" s="2" t="s">
        <v>2492</v>
      </c>
    </row>
    <row r="3575" spans="1:16" hidden="1">
      <c r="A3575" s="2">
        <v>202011</v>
      </c>
      <c r="B3575" s="3">
        <v>44137</v>
      </c>
      <c r="C3575" s="2" t="s">
        <v>2262</v>
      </c>
      <c r="D3575" s="2" t="s">
        <v>1423</v>
      </c>
      <c r="E3575" s="2">
        <v>-1071.5</v>
      </c>
      <c r="F3575" s="2" t="e">
        <f>IF(Table2[[#This Row],[Manual Cat Value]]="",VLOOKUP(Table2[[#This Row],[Description]],'Actuals Lookup'!D:F,3,0),Table2[[#This Row],[Manual Cat Value]])</f>
        <v>#N/A</v>
      </c>
      <c r="J3575" s="2">
        <v>1071.5</v>
      </c>
      <c r="K3575" s="2" t="b">
        <v>0</v>
      </c>
      <c r="L3575" s="2"/>
      <c r="M3575" s="2"/>
      <c r="N3575" s="4" t="s">
        <v>2273</v>
      </c>
      <c r="O3575" s="4" t="str">
        <f>LEFT(Table2[[#This Row],[Description]],75)</f>
        <v>PAYMENT THANK YOU</v>
      </c>
      <c r="P3575" s="2" t="s">
        <v>2391</v>
      </c>
    </row>
    <row r="3576" spans="1:16" hidden="1">
      <c r="A3576" s="2">
        <v>202011</v>
      </c>
      <c r="B3576" s="3">
        <v>44137</v>
      </c>
      <c r="C3576" s="2" t="s">
        <v>2265</v>
      </c>
      <c r="D3576" s="2" t="s">
        <v>2176</v>
      </c>
      <c r="E3576" s="2">
        <v>1071.5</v>
      </c>
      <c r="F3576" s="2" t="e">
        <f>IF(Table2[[#This Row],[Manual Cat Value]]="",VLOOKUP(Table2[[#This Row],[Description]],'Actuals Lookup'!D:F,3,0),Table2[[#This Row],[Manual Cat Value]])</f>
        <v>#N/A</v>
      </c>
      <c r="J3576" s="2">
        <v>1071.5</v>
      </c>
      <c r="K3576" s="2" t="b">
        <v>0</v>
      </c>
      <c r="L3576" s="2"/>
      <c r="M3576" s="2"/>
      <c r="N3576" s="4" t="s">
        <v>2259</v>
      </c>
      <c r="O3576" s="4" t="str">
        <f>LEFT(Table2[[#This Row],[Description]],75)</f>
        <v>Withdrawal Home payment to card 979181</v>
      </c>
      <c r="P3576" s="2" t="s">
        <v>2349</v>
      </c>
    </row>
    <row r="3577" spans="1:16" hidden="1">
      <c r="A3577" s="25">
        <f>VALUE(YEAR(Table2[[#This Row],[Date]])&amp;TEXT(MONTH(Table2[[#This Row],[Date]]),"00"))</f>
        <v>202212</v>
      </c>
      <c r="B3577" s="6">
        <v>44911</v>
      </c>
      <c r="C3577" t="s">
        <v>2265</v>
      </c>
      <c r="D3577" t="s">
        <v>2512</v>
      </c>
      <c r="E3577">
        <f>IF(M3577="credit",-1*J3577,J3577)</f>
        <v>11515.7</v>
      </c>
      <c r="F3577" s="2" t="str">
        <f>IF(Table2[[#This Row],[Manual Cat Value]]="",VLOOKUP(Table2[[#This Row],[Description]],'Actuals Lookup'!D:F,3,0),Table2[[#This Row],[Manual Cat Value]])</f>
        <v>Exp - House</v>
      </c>
      <c r="G3577" t="e">
        <f>VLOOKUP(D3577,Lookup!G:H,2,0)</f>
        <v>#N/A</v>
      </c>
      <c r="H3577" s="8" t="s">
        <v>49</v>
      </c>
      <c r="I3577" s="8"/>
      <c r="J3577">
        <v>11515.7</v>
      </c>
      <c r="M3577" t="s">
        <v>2513</v>
      </c>
      <c r="O3577" t="str">
        <f>LEFT(Table2[[#This Row],[Description]],75)</f>
        <v>Draft 2126 Tracer 990002258</v>
      </c>
    </row>
    <row r="3578" spans="1:16" hidden="1">
      <c r="A3578" s="2">
        <v>202011</v>
      </c>
      <c r="B3578" s="3">
        <v>44137</v>
      </c>
      <c r="C3578" s="2" t="s">
        <v>2317</v>
      </c>
      <c r="D3578" s="2" t="s">
        <v>93</v>
      </c>
      <c r="E3578" s="2">
        <v>-128.05000000000001</v>
      </c>
      <c r="F3578" s="2" t="e">
        <f>IF(Table2[[#This Row],[Manual Cat Value]]="",VLOOKUP(Table2[[#This Row],[Description]],'Actuals Lookup'!D:F,3,0),Table2[[#This Row],[Manual Cat Value]])</f>
        <v>#N/A</v>
      </c>
      <c r="J3578" s="2">
        <v>128.05000000000001</v>
      </c>
      <c r="K3578" s="2" t="b">
        <v>0</v>
      </c>
      <c r="L3578" s="2"/>
      <c r="M3578" s="2"/>
      <c r="N3578" s="4" t="s">
        <v>2273</v>
      </c>
      <c r="O3578" s="4" t="str">
        <f>LEFT(Table2[[#This Row],[Description]],75)</f>
        <v>A T &amp; T INC</v>
      </c>
      <c r="P3578" s="2" t="s">
        <v>2392</v>
      </c>
    </row>
    <row r="3579" spans="1:16" hidden="1">
      <c r="A3579" s="2">
        <v>202011</v>
      </c>
      <c r="B3579" s="3">
        <v>44137</v>
      </c>
      <c r="C3579" s="2" t="s">
        <v>2262</v>
      </c>
      <c r="D3579" s="2" t="s">
        <v>114</v>
      </c>
      <c r="E3579" s="2">
        <v>4.28</v>
      </c>
      <c r="F3579" s="2" t="str">
        <f>IF(Table2[[#This Row],[Manual Cat Value]]="",VLOOKUP(Table2[[#This Row],[Description]],'Actuals Lookup'!D:F,3,0),Table2[[#This Row],[Manual Cat Value]])</f>
        <v>Entertainment</v>
      </c>
      <c r="J3579" s="2">
        <v>4.28</v>
      </c>
      <c r="K3579" s="2" t="b">
        <v>0</v>
      </c>
      <c r="L3579" s="2"/>
      <c r="M3579" s="2"/>
      <c r="N3579" s="4" t="s">
        <v>2259</v>
      </c>
      <c r="O3579" s="4" t="str">
        <f>LEFT(Table2[[#This Row],[Description]],75)</f>
        <v>Amazon Music</v>
      </c>
      <c r="P3579" s="2" t="s">
        <v>2466</v>
      </c>
    </row>
    <row r="3580" spans="1:16" hidden="1">
      <c r="A3580" s="2">
        <v>202011</v>
      </c>
      <c r="B3580" s="3">
        <v>44137</v>
      </c>
      <c r="C3580" s="2" t="s">
        <v>2262</v>
      </c>
      <c r="D3580" s="2" t="s">
        <v>197</v>
      </c>
      <c r="E3580" s="2">
        <v>7.5</v>
      </c>
      <c r="F3580" s="2" t="e">
        <f>IF(Table2[[#This Row],[Manual Cat Value]]="",VLOOKUP(Table2[[#This Row],[Description]],'Actuals Lookup'!D:F,3,0),Table2[[#This Row],[Manual Cat Value]])</f>
        <v>#N/A</v>
      </c>
      <c r="J3580" s="2">
        <v>7.5</v>
      </c>
      <c r="K3580" s="2" t="b">
        <v>0</v>
      </c>
      <c r="L3580" s="2"/>
      <c r="M3580" s="2"/>
      <c r="N3580" s="4" t="s">
        <v>2259</v>
      </c>
      <c r="O3580" s="4" t="str">
        <f>LEFT(Table2[[#This Row],[Description]],75)</f>
        <v>Back Channel Brewing Collectiv</v>
      </c>
      <c r="P3580" s="2" t="s">
        <v>2281</v>
      </c>
    </row>
    <row r="3581" spans="1:16" hidden="1">
      <c r="A3581" s="2">
        <v>202011</v>
      </c>
      <c r="B3581" s="3">
        <v>44137</v>
      </c>
      <c r="C3581" s="2" t="s">
        <v>2262</v>
      </c>
      <c r="D3581" s="2" t="s">
        <v>197</v>
      </c>
      <c r="E3581" s="2">
        <v>15.6</v>
      </c>
      <c r="F3581" s="2" t="e">
        <f>IF(Table2[[#This Row],[Manual Cat Value]]="",VLOOKUP(Table2[[#This Row],[Description]],'Actuals Lookup'!D:F,3,0),Table2[[#This Row],[Manual Cat Value]])</f>
        <v>#N/A</v>
      </c>
      <c r="J3581" s="2">
        <v>15.6</v>
      </c>
      <c r="K3581" s="2" t="b">
        <v>0</v>
      </c>
      <c r="L3581" s="2"/>
      <c r="M3581" s="2"/>
      <c r="N3581" s="4" t="s">
        <v>2259</v>
      </c>
      <c r="O3581" s="4" t="str">
        <f>LEFT(Table2[[#This Row],[Description]],75)</f>
        <v>Back Channel Brewing Collectiv</v>
      </c>
      <c r="P3581" s="2" t="s">
        <v>2281</v>
      </c>
    </row>
    <row r="3582" spans="1:16" hidden="1">
      <c r="A3582" s="2">
        <v>202011</v>
      </c>
      <c r="B3582" s="3">
        <v>44137</v>
      </c>
      <c r="C3582" s="2" t="s">
        <v>2262</v>
      </c>
      <c r="D3582" s="2" t="s">
        <v>538</v>
      </c>
      <c r="E3582" s="2">
        <v>21.26</v>
      </c>
      <c r="F3582" s="2" t="str">
        <f>IF(Table2[[#This Row],[Manual Cat Value]]="",VLOOKUP(Table2[[#This Row],[Description]],'Actuals Lookup'!D:F,3,0),Table2[[#This Row],[Manual Cat Value]])</f>
        <v>Restaurants</v>
      </c>
      <c r="J3582" s="2">
        <v>21.26</v>
      </c>
      <c r="K3582" s="2" t="b">
        <v>0</v>
      </c>
      <c r="L3582" s="2"/>
      <c r="M3582" s="2"/>
      <c r="N3582" s="4" t="s">
        <v>2259</v>
      </c>
      <c r="O3582" s="4" t="str">
        <f>LEFT(Table2[[#This Row],[Description]],75)</f>
        <v>Chick-Fil-A</v>
      </c>
      <c r="P3582" s="2" t="s">
        <v>2470</v>
      </c>
    </row>
    <row r="3583" spans="1:16" hidden="1">
      <c r="A3583" s="2">
        <v>202011</v>
      </c>
      <c r="B3583" s="3">
        <v>44137</v>
      </c>
      <c r="C3583" s="2" t="s">
        <v>2265</v>
      </c>
      <c r="D3583" s="2" t="s">
        <v>580</v>
      </c>
      <c r="E3583" s="2">
        <v>200</v>
      </c>
      <c r="F3583" s="2" t="e">
        <f>IF(Table2[[#This Row],[Manual Cat Value]]="",VLOOKUP(Table2[[#This Row],[Description]],'Actuals Lookup'!D:F,3,0),Table2[[#This Row],[Manual Cat Value]])</f>
        <v>#N/A</v>
      </c>
      <c r="J3583" s="2">
        <v>200</v>
      </c>
      <c r="K3583" s="2" t="b">
        <v>0</v>
      </c>
      <c r="L3583" s="2"/>
      <c r="M3583" s="2"/>
      <c r="N3583" s="4" t="s">
        <v>2259</v>
      </c>
      <c r="O3583" s="4" t="str">
        <f>LEFT(Table2[[#This Row],[Description]],75)</f>
        <v>College Savings TYPE ACH ID 550895818 CO College Savings ACH ECC PPD ACH Tr</v>
      </c>
      <c r="P3583" s="2" t="s">
        <v>2272</v>
      </c>
    </row>
    <row r="3584" spans="1:16" hidden="1">
      <c r="A3584" s="2">
        <v>202011</v>
      </c>
      <c r="B3584" s="3">
        <v>44137</v>
      </c>
      <c r="C3584" s="2" t="s">
        <v>2262</v>
      </c>
      <c r="D3584" s="2" t="s">
        <v>684</v>
      </c>
      <c r="E3584" s="2">
        <v>133.69</v>
      </c>
      <c r="F3584" s="2" t="str">
        <f>IF(Table2[[#This Row],[Manual Cat Value]]="",VLOOKUP(Table2[[#This Row],[Description]],'Actuals Lookup'!D:F,3,0),Table2[[#This Row],[Manual Cat Value]])</f>
        <v>Groceries</v>
      </c>
      <c r="J3584" s="2">
        <v>133.69</v>
      </c>
      <c r="K3584" s="2" t="b">
        <v>0</v>
      </c>
      <c r="L3584" s="2"/>
      <c r="M3584" s="2"/>
      <c r="N3584" s="4" t="s">
        <v>2259</v>
      </c>
      <c r="O3584" s="4" t="str">
        <f>LEFT(Table2[[#This Row],[Description]],75)</f>
        <v>Cub Foods</v>
      </c>
      <c r="P3584" s="2" t="s">
        <v>2370</v>
      </c>
    </row>
    <row r="3585" spans="1:16" hidden="1">
      <c r="A3585" s="2">
        <v>202011</v>
      </c>
      <c r="B3585" s="3">
        <v>44137</v>
      </c>
      <c r="C3585" s="2" t="s">
        <v>2262</v>
      </c>
      <c r="D3585" s="2" t="s">
        <v>1396</v>
      </c>
      <c r="E3585" s="2">
        <v>37.5</v>
      </c>
      <c r="F3585" s="2" t="str">
        <f>IF(Table2[[#This Row],[Manual Cat Value]]="",VLOOKUP(Table2[[#This Row],[Description]],'Actuals Lookup'!D:F,3,0),Table2[[#This Row],[Manual Cat Value]])</f>
        <v>Restaurants</v>
      </c>
      <c r="J3585" s="2">
        <v>37.5</v>
      </c>
      <c r="K3585" s="2" t="b">
        <v>0</v>
      </c>
      <c r="L3585" s="2"/>
      <c r="M3585" s="2"/>
      <c r="N3585" s="4" t="s">
        <v>2259</v>
      </c>
      <c r="O3585" s="4" t="str">
        <f>LEFT(Table2[[#This Row],[Description]],75)</f>
        <v>Papa Murphy's</v>
      </c>
      <c r="P3585" s="2" t="s">
        <v>2473</v>
      </c>
    </row>
    <row r="3586" spans="1:16" hidden="1">
      <c r="A3586" s="2">
        <v>202011</v>
      </c>
      <c r="B3586" s="3">
        <v>44137</v>
      </c>
      <c r="C3586" s="2" t="s">
        <v>2270</v>
      </c>
      <c r="D3586" s="2" t="s">
        <v>1524</v>
      </c>
      <c r="E3586" s="2">
        <v>-431</v>
      </c>
      <c r="F3586" s="2" t="e">
        <f>IF(Table2[[#This Row],[Manual Cat Value]]="",VLOOKUP(Table2[[#This Row],[Description]],'Actuals Lookup'!D:F,3,0),Table2[[#This Row],[Manual Cat Value]])</f>
        <v>#N/A</v>
      </c>
      <c r="J3586" s="2">
        <v>431</v>
      </c>
      <c r="K3586" s="2" t="b">
        <v>0</v>
      </c>
      <c r="L3586" s="2"/>
      <c r="M3586" s="2"/>
      <c r="N3586" s="4" t="s">
        <v>2273</v>
      </c>
      <c r="O3586" s="4" t="str">
        <f>LEFT(Table2[[#This Row],[Description]],75)</f>
        <v>Principal Curtailment</v>
      </c>
      <c r="P3586" s="2" t="s">
        <v>2514</v>
      </c>
    </row>
    <row r="3587" spans="1:16" hidden="1">
      <c r="A3587" s="2">
        <v>202011</v>
      </c>
      <c r="B3587" s="3">
        <v>44137</v>
      </c>
      <c r="C3587" s="2" t="s">
        <v>2317</v>
      </c>
      <c r="D3587" s="2" t="s">
        <v>1786</v>
      </c>
      <c r="E3587" s="2">
        <v>23.1</v>
      </c>
      <c r="F3587" s="2" t="e">
        <f>IF(Table2[[#This Row],[Manual Cat Value]]="",VLOOKUP(Table2[[#This Row],[Description]],'Actuals Lookup'!D:F,3,0),Table2[[#This Row],[Manual Cat Value]])</f>
        <v>#N/A</v>
      </c>
      <c r="J3587" s="2">
        <v>23.1</v>
      </c>
      <c r="K3587" s="2" t="b">
        <v>0</v>
      </c>
      <c r="L3587" s="2"/>
      <c r="M3587" s="2"/>
      <c r="N3587" s="4" t="s">
        <v>2259</v>
      </c>
      <c r="O3587" s="4" t="str">
        <f>LEFT(Table2[[#This Row],[Description]],75)</f>
        <v>STRYKER CORP</v>
      </c>
      <c r="P3587" s="2" t="s">
        <v>2385</v>
      </c>
    </row>
    <row r="3588" spans="1:16" hidden="1">
      <c r="A3588" s="2">
        <v>202011</v>
      </c>
      <c r="B3588" s="3">
        <v>44137</v>
      </c>
      <c r="C3588" s="2" t="s">
        <v>2262</v>
      </c>
      <c r="D3588" s="2" t="s">
        <v>2025</v>
      </c>
      <c r="E3588" s="2">
        <v>120.05</v>
      </c>
      <c r="F3588" s="2" t="e">
        <f>IF(Table2[[#This Row],[Manual Cat Value]]="",VLOOKUP(Table2[[#This Row],[Description]],'Actuals Lookup'!D:F,3,0),Table2[[#This Row],[Manual Cat Value]])</f>
        <v>#N/A</v>
      </c>
      <c r="J3588" s="2">
        <v>120.05</v>
      </c>
      <c r="K3588" s="2" t="b">
        <v>0</v>
      </c>
      <c r="L3588" s="2"/>
      <c r="M3588" s="2"/>
      <c r="N3588" s="4" t="s">
        <v>2259</v>
      </c>
      <c r="O3588" s="4" t="str">
        <f>LEFT(Table2[[#This Row],[Description]],75)</f>
        <v>TST LYN 65 RICHFIELD MN</v>
      </c>
      <c r="P3588" s="2" t="s">
        <v>2281</v>
      </c>
    </row>
    <row r="3589" spans="1:16" hidden="1">
      <c r="A3589" s="2">
        <v>202011</v>
      </c>
      <c r="B3589" s="3">
        <v>44137</v>
      </c>
      <c r="C3589" s="2" t="s">
        <v>2265</v>
      </c>
      <c r="D3589" s="2" t="s">
        <v>2109</v>
      </c>
      <c r="E3589" s="2">
        <v>16</v>
      </c>
      <c r="F3589" s="2" t="str">
        <f>IF(Table2[[#This Row],[Manual Cat Value]]="",VLOOKUP(Table2[[#This Row],[Description]],'Actuals Lookup'!D:F,3,0),Table2[[#This Row],[Manual Cat Value]])</f>
        <v>Shopping</v>
      </c>
      <c r="J3589" s="2">
        <v>16</v>
      </c>
      <c r="K3589" s="2" t="b">
        <v>0</v>
      </c>
      <c r="L3589" s="2"/>
      <c r="M3589" s="2"/>
      <c r="N3589" s="4" t="s">
        <v>2259</v>
      </c>
      <c r="O3589" s="4" t="str">
        <f>LEFT(Table2[[#This Row],[Description]],75)</f>
        <v>Venmo</v>
      </c>
      <c r="P3589" s="2" t="s">
        <v>2281</v>
      </c>
    </row>
    <row r="3590" spans="1:16" hidden="1">
      <c r="A3590" s="2">
        <v>202011</v>
      </c>
      <c r="B3590" s="3">
        <v>44137</v>
      </c>
      <c r="C3590" s="2" t="s">
        <v>2274</v>
      </c>
      <c r="D3590" s="2" t="s">
        <v>2110</v>
      </c>
      <c r="E3590" s="2">
        <v>-300</v>
      </c>
      <c r="F3590" s="2" t="e">
        <f>IF(Table2[[#This Row],[Manual Cat Value]]="",VLOOKUP(Table2[[#This Row],[Description]],'Actuals Lookup'!D:F,3,0),Table2[[#This Row],[Manual Cat Value]])</f>
        <v>#N/A</v>
      </c>
      <c r="J3590" s="2">
        <v>300</v>
      </c>
      <c r="K3590" s="2" t="b">
        <v>0</v>
      </c>
      <c r="L3590" s="2"/>
      <c r="M3590" s="2"/>
      <c r="N3590" s="4" t="s">
        <v>2273</v>
      </c>
      <c r="O3590" s="4" t="str">
        <f>LEFT(Table2[[#This Row],[Description]],75)</f>
        <v>Venmo Cashout</v>
      </c>
      <c r="P3590" s="2" t="s">
        <v>2281</v>
      </c>
    </row>
    <row r="3591" spans="1:16" hidden="1">
      <c r="A3591" s="2">
        <v>202011</v>
      </c>
      <c r="B3591" s="3">
        <v>44138</v>
      </c>
      <c r="C3591" s="2" t="s">
        <v>2447</v>
      </c>
      <c r="D3591" s="2" t="s">
        <v>458</v>
      </c>
      <c r="E3591" s="2">
        <v>-15.87</v>
      </c>
      <c r="F3591" s="2" t="e">
        <f>IF(Table2[[#This Row],[Manual Cat Value]]="",VLOOKUP(Table2[[#This Row],[Description]],'Actuals Lookup'!D:F,3,0),Table2[[#This Row],[Manual Cat Value]])</f>
        <v>#N/A</v>
      </c>
      <c r="J3591" s="2">
        <v>15.87</v>
      </c>
      <c r="K3591" s="2" t="b">
        <v>0</v>
      </c>
      <c r="L3591" s="2"/>
      <c r="M3591" s="2"/>
      <c r="N3591" s="4" t="s">
        <v>2273</v>
      </c>
      <c r="O3591" s="4" t="str">
        <f>LEFT(Table2[[#This Row],[Description]],75)</f>
        <v>CASHBACK BONUS REDEMPTION payment/STMT CRDT</v>
      </c>
      <c r="P3591" s="2" t="s">
        <v>2304</v>
      </c>
    </row>
    <row r="3592" spans="1:16" hidden="1">
      <c r="A3592" s="2">
        <v>202011</v>
      </c>
      <c r="B3592" s="3">
        <v>44138</v>
      </c>
      <c r="C3592" s="2" t="s">
        <v>2258</v>
      </c>
      <c r="D3592" s="2" t="s">
        <v>458</v>
      </c>
      <c r="E3592" s="2">
        <v>-15.87</v>
      </c>
      <c r="F3592" s="2" t="e">
        <f>IF(Table2[[#This Row],[Manual Cat Value]]="",VLOOKUP(Table2[[#This Row],[Description]],'Actuals Lookup'!D:F,3,0),Table2[[#This Row],[Manual Cat Value]])</f>
        <v>#N/A</v>
      </c>
      <c r="J3592" s="2">
        <v>15.87</v>
      </c>
      <c r="K3592" s="2" t="b">
        <v>0</v>
      </c>
      <c r="L3592" s="2"/>
      <c r="M3592" s="2"/>
      <c r="N3592" s="4" t="s">
        <v>2273</v>
      </c>
      <c r="O3592" s="4" t="str">
        <f>LEFT(Table2[[#This Row],[Description]],75)</f>
        <v>CASHBACK BONUS REDEMPTION payment/STMT CRDT</v>
      </c>
      <c r="P3592" s="2" t="s">
        <v>2304</v>
      </c>
    </row>
    <row r="3593" spans="1:16" hidden="1">
      <c r="A3593" s="2">
        <v>202011</v>
      </c>
      <c r="B3593" s="3">
        <v>44138</v>
      </c>
      <c r="C3593" s="2" t="s">
        <v>2447</v>
      </c>
      <c r="D3593" s="2" t="s">
        <v>997</v>
      </c>
      <c r="E3593" s="2">
        <v>-393.05</v>
      </c>
      <c r="F3593" s="2" t="str">
        <f>IF(Table2[[#This Row],[Manual Cat Value]]="",VLOOKUP(Table2[[#This Row],[Description]],'Actuals Lookup'!D:F,3,0),Table2[[#This Row],[Manual Cat Value]])</f>
        <v>Delete</v>
      </c>
      <c r="J3593" s="2">
        <v>393.05</v>
      </c>
      <c r="K3593" s="2" t="b">
        <v>0</v>
      </c>
      <c r="L3593" s="2"/>
      <c r="M3593" s="2"/>
      <c r="N3593" s="4" t="s">
        <v>2273</v>
      </c>
      <c r="O3593" s="4" t="str">
        <f>LEFT(Table2[[#This Row],[Description]],75)</f>
        <v>INTERNET PAYMENT - THANK YOU</v>
      </c>
      <c r="P3593" s="2" t="s">
        <v>2291</v>
      </c>
    </row>
    <row r="3594" spans="1:16" hidden="1">
      <c r="A3594" s="2">
        <v>202011</v>
      </c>
      <c r="B3594" s="3">
        <v>44138</v>
      </c>
      <c r="C3594" s="2" t="s">
        <v>2258</v>
      </c>
      <c r="D3594" s="2" t="s">
        <v>997</v>
      </c>
      <c r="E3594" s="2">
        <v>-393.05</v>
      </c>
      <c r="F3594" s="2" t="str">
        <f>IF(Table2[[#This Row],[Manual Cat Value]]="",VLOOKUP(Table2[[#This Row],[Description]],'Actuals Lookup'!D:F,3,0),Table2[[#This Row],[Manual Cat Value]])</f>
        <v>Delete</v>
      </c>
      <c r="J3594" s="2">
        <v>393.05</v>
      </c>
      <c r="K3594" s="2" t="b">
        <v>0</v>
      </c>
      <c r="L3594" s="2"/>
      <c r="M3594" s="2"/>
      <c r="N3594" s="4" t="s">
        <v>2273</v>
      </c>
      <c r="O3594" s="4" t="str">
        <f>LEFT(Table2[[#This Row],[Description]],75)</f>
        <v>INTERNET PAYMENT - THANK YOU</v>
      </c>
      <c r="P3594" s="2" t="s">
        <v>2291</v>
      </c>
    </row>
    <row r="3595" spans="1:16" hidden="1">
      <c r="A3595" s="2">
        <v>202011</v>
      </c>
      <c r="B3595" s="3">
        <v>44138</v>
      </c>
      <c r="C3595" s="2" t="s">
        <v>2317</v>
      </c>
      <c r="D3595" s="2" t="s">
        <v>93</v>
      </c>
      <c r="E3595" s="2">
        <v>128.05000000000001</v>
      </c>
      <c r="F3595" s="2" t="e">
        <f>IF(Table2[[#This Row],[Manual Cat Value]]="",VLOOKUP(Table2[[#This Row],[Description]],'Actuals Lookup'!D:F,3,0),Table2[[#This Row],[Manual Cat Value]])</f>
        <v>#N/A</v>
      </c>
      <c r="J3595" s="2">
        <v>128.05000000000001</v>
      </c>
      <c r="K3595" s="2" t="b">
        <v>0</v>
      </c>
      <c r="L3595" s="2"/>
      <c r="M3595" s="2"/>
      <c r="N3595" s="4" t="s">
        <v>2259</v>
      </c>
      <c r="O3595" s="4" t="str">
        <f>LEFT(Table2[[#This Row],[Description]],75)</f>
        <v>A T &amp; T INC</v>
      </c>
      <c r="P3595" s="2" t="s">
        <v>2392</v>
      </c>
    </row>
    <row r="3596" spans="1:16" hidden="1">
      <c r="A3596" s="2">
        <v>202011</v>
      </c>
      <c r="B3596" s="3">
        <v>44138</v>
      </c>
      <c r="C3596" s="2" t="s">
        <v>2447</v>
      </c>
      <c r="D3596" s="2" t="s">
        <v>38</v>
      </c>
      <c r="E3596" s="2">
        <v>15.98</v>
      </c>
      <c r="F3596" s="2" t="str">
        <f>IF(Table2[[#This Row],[Manual Cat Value]]="",VLOOKUP(Table2[[#This Row],[Description]],'Actuals Lookup'!D:F,3,0),Table2[[#This Row],[Manual Cat Value]])</f>
        <v>Amazon</v>
      </c>
      <c r="J3596" s="2">
        <v>15.98</v>
      </c>
      <c r="K3596" s="2" t="b">
        <v>0</v>
      </c>
      <c r="L3596" s="2"/>
      <c r="M3596" s="2"/>
      <c r="N3596" s="4" t="s">
        <v>2259</v>
      </c>
      <c r="O3596" s="4" t="str">
        <f>LEFT(Table2[[#This Row],[Description]],75)</f>
        <v>Amazon</v>
      </c>
      <c r="P3596" s="2" t="s">
        <v>2260</v>
      </c>
    </row>
    <row r="3597" spans="1:16" hidden="1">
      <c r="A3597" s="2">
        <v>202011</v>
      </c>
      <c r="B3597" s="3">
        <v>44138</v>
      </c>
      <c r="C3597" s="2" t="s">
        <v>2258</v>
      </c>
      <c r="D3597" s="2" t="s">
        <v>38</v>
      </c>
      <c r="E3597" s="2">
        <v>15.98</v>
      </c>
      <c r="F3597" s="2" t="str">
        <f>IF(Table2[[#This Row],[Manual Cat Value]]="",VLOOKUP(Table2[[#This Row],[Description]],'Actuals Lookup'!D:F,3,0),Table2[[#This Row],[Manual Cat Value]])</f>
        <v>Amazon</v>
      </c>
      <c r="J3597" s="2">
        <v>15.98</v>
      </c>
      <c r="K3597" s="2" t="b">
        <v>0</v>
      </c>
      <c r="L3597" s="2"/>
      <c r="M3597" s="2"/>
      <c r="N3597" s="4" t="s">
        <v>2259</v>
      </c>
      <c r="O3597" s="4" t="str">
        <f>LEFT(Table2[[#This Row],[Description]],75)</f>
        <v>Amazon</v>
      </c>
      <c r="P3597" s="2" t="s">
        <v>2260</v>
      </c>
    </row>
    <row r="3598" spans="1:16" hidden="1">
      <c r="A3598" s="2">
        <v>202011</v>
      </c>
      <c r="B3598" s="3">
        <v>44138</v>
      </c>
      <c r="C3598" s="2" t="s">
        <v>2262</v>
      </c>
      <c r="D3598" s="2" t="s">
        <v>1158</v>
      </c>
      <c r="E3598" s="2">
        <v>12.96</v>
      </c>
      <c r="F3598" s="2" t="e">
        <f>IF(Table2[[#This Row],[Manual Cat Value]]="",VLOOKUP(Table2[[#This Row],[Description]],'Actuals Lookup'!D:F,3,0),Table2[[#This Row],[Manual Cat Value]])</f>
        <v>#N/A</v>
      </c>
      <c r="J3598" s="2">
        <v>12.96</v>
      </c>
      <c r="K3598" s="2" t="b">
        <v>0</v>
      </c>
      <c r="L3598" s="2"/>
      <c r="M3598" s="2"/>
      <c r="N3598" s="4" t="s">
        <v>2259</v>
      </c>
      <c r="O3598" s="4" t="str">
        <f>LEFT(Table2[[#This Row],[Description]],75)</f>
        <v>Lululemon</v>
      </c>
      <c r="P3598" s="2" t="s">
        <v>2287</v>
      </c>
    </row>
    <row r="3599" spans="1:16" hidden="1">
      <c r="A3599" s="2">
        <v>202011</v>
      </c>
      <c r="B3599" s="3">
        <v>44138</v>
      </c>
      <c r="C3599" s="2" t="s">
        <v>2265</v>
      </c>
      <c r="D3599" s="2" t="s">
        <v>1218</v>
      </c>
      <c r="E3599" s="2">
        <v>391.2</v>
      </c>
      <c r="F3599" s="2" t="e">
        <f>IF(Table2[[#This Row],[Manual Cat Value]]="",VLOOKUP(Table2[[#This Row],[Description]],'Actuals Lookup'!D:F,3,0),Table2[[#This Row],[Manual Cat Value]])</f>
        <v>#N/A</v>
      </c>
      <c r="J3599" s="2">
        <v>391.2</v>
      </c>
      <c r="K3599" s="2" t="b">
        <v>0</v>
      </c>
      <c r="L3599" s="2"/>
      <c r="M3599" s="2"/>
      <c r="N3599" s="4" t="s">
        <v>2259</v>
      </c>
      <c r="O3599" s="4" t="str">
        <f>LEFT(Table2[[#This Row],[Description]],75)</f>
        <v>MHCHILDCARELLC TYPE DUES ID CO MHCHILDCARELLC ACH ECC PPD ACH Trace 37638</v>
      </c>
      <c r="P3599" s="2" t="s">
        <v>2497</v>
      </c>
    </row>
    <row r="3600" spans="1:16" hidden="1">
      <c r="A3600" s="2">
        <v>202011</v>
      </c>
      <c r="B3600" s="3">
        <v>44138</v>
      </c>
      <c r="C3600" s="2" t="s">
        <v>2262</v>
      </c>
      <c r="D3600" s="2" t="s">
        <v>1653</v>
      </c>
      <c r="E3600" s="2">
        <v>31.26</v>
      </c>
      <c r="F3600" s="2" t="e">
        <f>IF(Table2[[#This Row],[Manual Cat Value]]="",VLOOKUP(Table2[[#This Row],[Description]],'Actuals Lookup'!D:F,3,0),Table2[[#This Row],[Manual Cat Value]])</f>
        <v>#N/A</v>
      </c>
      <c r="J3600" s="2">
        <v>31.26</v>
      </c>
      <c r="K3600" s="2" t="b">
        <v>0</v>
      </c>
      <c r="L3600" s="2"/>
      <c r="M3600" s="2"/>
      <c r="N3600" s="4" t="s">
        <v>2259</v>
      </c>
      <c r="O3600" s="4" t="str">
        <f>LEFT(Table2[[#This Row],[Description]],75)</f>
        <v>Sherwin Williams</v>
      </c>
      <c r="P3600" s="2" t="s">
        <v>2353</v>
      </c>
    </row>
    <row r="3601" spans="1:16" hidden="1">
      <c r="A3601" s="2">
        <v>202011</v>
      </c>
      <c r="B3601" s="3">
        <v>44138</v>
      </c>
      <c r="C3601" s="2" t="s">
        <v>2265</v>
      </c>
      <c r="D3601" s="2" t="s">
        <v>2221</v>
      </c>
      <c r="E3601" s="2">
        <v>182.74</v>
      </c>
      <c r="F3601" s="2" t="str">
        <f>IF(Table2[[#This Row],[Manual Cat Value]]="",VLOOKUP(Table2[[#This Row],[Description]],'Actuals Lookup'!D:F,3,0),Table2[[#This Row],[Manual Cat Value]])</f>
        <v>Utilities</v>
      </c>
      <c r="J3601" s="2">
        <v>182.74</v>
      </c>
      <c r="K3601" s="2" t="b">
        <v>0</v>
      </c>
      <c r="L3601" s="2"/>
      <c r="M3601" s="2"/>
      <c r="N3601" s="4" t="s">
        <v>2259</v>
      </c>
      <c r="O3601" s="4" t="str">
        <f>LEFT(Table2[[#This Row],[Description]],75)</f>
        <v>Xcel Energy</v>
      </c>
      <c r="P3601" s="2" t="s">
        <v>2280</v>
      </c>
    </row>
    <row r="3602" spans="1:16" hidden="1">
      <c r="A3602" s="2">
        <v>202011</v>
      </c>
      <c r="B3602" s="3">
        <v>44139</v>
      </c>
      <c r="C3602" s="2" t="s">
        <v>2265</v>
      </c>
      <c r="D3602" s="2" t="s">
        <v>747</v>
      </c>
      <c r="E3602" s="2">
        <v>393.05</v>
      </c>
      <c r="F3602" s="2" t="e">
        <f>IF(Table2[[#This Row],[Manual Cat Value]]="",VLOOKUP(Table2[[#This Row],[Description]],'Actuals Lookup'!D:F,3,0),Table2[[#This Row],[Manual Cat Value]])</f>
        <v>#N/A</v>
      </c>
      <c r="J3602" s="2">
        <v>393.05</v>
      </c>
      <c r="K3602" s="2" t="b">
        <v>0</v>
      </c>
      <c r="L3602" s="2"/>
      <c r="M3602" s="2"/>
      <c r="N3602" s="4" t="s">
        <v>2259</v>
      </c>
      <c r="O3602" s="4" t="str">
        <f>LEFT(Table2[[#This Row],[Description]],75)</f>
        <v>DISCOVER TYPE EPAYMENT ID CO DISCOVER ACH ECC WEB ACH Trace 04894</v>
      </c>
      <c r="P3602" s="2" t="s">
        <v>2293</v>
      </c>
    </row>
    <row r="3603" spans="1:16" hidden="1">
      <c r="A3603" s="2">
        <v>202011</v>
      </c>
      <c r="B3603" s="3">
        <v>44139</v>
      </c>
      <c r="C3603" s="2" t="s">
        <v>2317</v>
      </c>
      <c r="D3603" s="2" t="s">
        <v>1140</v>
      </c>
      <c r="E3603" s="2">
        <v>-14.81</v>
      </c>
      <c r="F3603" s="2" t="e">
        <f>IF(Table2[[#This Row],[Manual Cat Value]]="",VLOOKUP(Table2[[#This Row],[Description]],'Actuals Lookup'!D:F,3,0),Table2[[#This Row],[Manual Cat Value]])</f>
        <v>#N/A</v>
      </c>
      <c r="J3603" s="2">
        <v>14.81</v>
      </c>
      <c r="K3603" s="2" t="b">
        <v>0</v>
      </c>
      <c r="L3603" s="2"/>
      <c r="M3603" s="2"/>
      <c r="N3603" s="4" t="s">
        <v>2273</v>
      </c>
      <c r="O3603" s="4" t="str">
        <f>LEFT(Table2[[#This Row],[Description]],75)</f>
        <v>LOWES COS INC</v>
      </c>
      <c r="P3603" s="2" t="s">
        <v>2515</v>
      </c>
    </row>
    <row r="3604" spans="1:16" hidden="1">
      <c r="A3604" s="2">
        <v>202011</v>
      </c>
      <c r="B3604" s="3">
        <v>44139</v>
      </c>
      <c r="C3604" s="2" t="s">
        <v>2265</v>
      </c>
      <c r="D3604" s="2" t="s">
        <v>1471</v>
      </c>
      <c r="E3604" s="2">
        <v>19.98</v>
      </c>
      <c r="F3604" s="2" t="str">
        <f>IF(Table2[[#This Row],[Manual Cat Value]]="",VLOOKUP(Table2[[#This Row],[Description]],'Actuals Lookup'!D:F,3,0),Table2[[#This Row],[Manual Cat Value]])</f>
        <v>Shopping</v>
      </c>
      <c r="J3604" s="2">
        <v>19.98</v>
      </c>
      <c r="K3604" s="2" t="b">
        <v>0</v>
      </c>
      <c r="L3604" s="2"/>
      <c r="M3604" s="2"/>
      <c r="N3604" s="4" t="s">
        <v>2259</v>
      </c>
      <c r="O3604" s="4" t="str">
        <f>LEFT(Table2[[#This Row],[Description]],75)</f>
        <v>PayPal</v>
      </c>
      <c r="P3604" s="2" t="s">
        <v>2322</v>
      </c>
    </row>
    <row r="3605" spans="1:16" hidden="1">
      <c r="A3605" s="2">
        <v>202011</v>
      </c>
      <c r="B3605" s="3">
        <v>44140</v>
      </c>
      <c r="C3605" s="2" t="s">
        <v>2262</v>
      </c>
      <c r="D3605" s="2" t="s">
        <v>557</v>
      </c>
      <c r="E3605" s="2">
        <v>52</v>
      </c>
      <c r="F3605" s="2" t="e">
        <f>IF(Table2[[#This Row],[Manual Cat Value]]="",VLOOKUP(Table2[[#This Row],[Description]],'Actuals Lookup'!D:F,3,0),Table2[[#This Row],[Manual Cat Value]])</f>
        <v>#N/A</v>
      </c>
      <c r="J3605" s="2">
        <v>52</v>
      </c>
      <c r="K3605" s="2" t="b">
        <v>0</v>
      </c>
      <c r="L3605" s="2"/>
      <c r="M3605" s="2"/>
      <c r="N3605" s="4" t="s">
        <v>2259</v>
      </c>
      <c r="O3605" s="4" t="str">
        <f>LEFT(Table2[[#This Row],[Description]],75)</f>
        <v>City of Chanhassen</v>
      </c>
      <c r="P3605" s="2" t="s">
        <v>2298</v>
      </c>
    </row>
    <row r="3606" spans="1:16" hidden="1">
      <c r="A3606" s="2">
        <v>202011</v>
      </c>
      <c r="B3606" s="3">
        <v>44140</v>
      </c>
      <c r="C3606" s="2" t="s">
        <v>2317</v>
      </c>
      <c r="D3606" s="2" t="s">
        <v>1140</v>
      </c>
      <c r="E3606" s="2">
        <v>14.81</v>
      </c>
      <c r="F3606" s="2" t="e">
        <f>IF(Table2[[#This Row],[Manual Cat Value]]="",VLOOKUP(Table2[[#This Row],[Description]],'Actuals Lookup'!D:F,3,0),Table2[[#This Row],[Manual Cat Value]])</f>
        <v>#N/A</v>
      </c>
      <c r="J3606" s="2">
        <v>14.81</v>
      </c>
      <c r="K3606" s="2" t="b">
        <v>0</v>
      </c>
      <c r="L3606" s="2"/>
      <c r="M3606" s="2"/>
      <c r="N3606" s="4" t="s">
        <v>2259</v>
      </c>
      <c r="O3606" s="4" t="str">
        <f>LEFT(Table2[[#This Row],[Description]],75)</f>
        <v>LOWES COS INC</v>
      </c>
      <c r="P3606" s="2" t="s">
        <v>2515</v>
      </c>
    </row>
    <row r="3607" spans="1:16" hidden="1">
      <c r="A3607" s="2">
        <v>202011</v>
      </c>
      <c r="B3607" s="3">
        <v>44140</v>
      </c>
      <c r="C3607" s="2" t="s">
        <v>2317</v>
      </c>
      <c r="D3607" s="2" t="s">
        <v>1635</v>
      </c>
      <c r="E3607" s="2">
        <v>200</v>
      </c>
      <c r="F3607" s="2" t="e">
        <f>IF(Table2[[#This Row],[Manual Cat Value]]="",VLOOKUP(Table2[[#This Row],[Description]],'Actuals Lookup'!D:F,3,0),Table2[[#This Row],[Manual Cat Value]])</f>
        <v>#N/A</v>
      </c>
      <c r="J3607" s="2">
        <v>200</v>
      </c>
      <c r="K3607" s="2" t="b">
        <v>0</v>
      </c>
      <c r="L3607" s="2"/>
      <c r="M3607" s="2"/>
      <c r="N3607" s="4" t="s">
        <v>2259</v>
      </c>
      <c r="O3607" s="4" t="str">
        <f>LEFT(Table2[[#This Row],[Description]],75)</f>
        <v>SCHWAB TOTAL STOCK MKT INDEX</v>
      </c>
      <c r="P3607" s="2" t="s">
        <v>2278</v>
      </c>
    </row>
    <row r="3608" spans="1:16" hidden="1">
      <c r="A3608" s="2">
        <v>202011</v>
      </c>
      <c r="B3608" s="3">
        <v>44140</v>
      </c>
      <c r="C3608" s="2" t="s">
        <v>2262</v>
      </c>
      <c r="D3608" s="2" t="s">
        <v>2135</v>
      </c>
      <c r="E3608" s="2">
        <v>27.5</v>
      </c>
      <c r="F3608" s="2" t="str">
        <f>IF(Table2[[#This Row],[Manual Cat Value]]="",VLOOKUP(Table2[[#This Row],[Description]],'Actuals Lookup'!D:F,3,0),Table2[[#This Row],[Manual Cat Value]])</f>
        <v>Groceries</v>
      </c>
      <c r="J3608" s="2">
        <v>27.5</v>
      </c>
      <c r="K3608" s="2" t="b">
        <v>0</v>
      </c>
      <c r="L3608" s="2"/>
      <c r="M3608" s="2"/>
      <c r="N3608" s="4" t="s">
        <v>2259</v>
      </c>
      <c r="O3608" s="4" t="str">
        <f>LEFT(Table2[[#This Row],[Description]],75)</f>
        <v>Walgreens</v>
      </c>
      <c r="P3608" s="2" t="s">
        <v>2389</v>
      </c>
    </row>
    <row r="3609" spans="1:16" hidden="1">
      <c r="A3609" s="2">
        <v>202011</v>
      </c>
      <c r="B3609" s="3">
        <v>44141</v>
      </c>
      <c r="C3609" s="2" t="s">
        <v>2262</v>
      </c>
      <c r="D3609" s="2" t="s">
        <v>536</v>
      </c>
      <c r="E3609" s="2">
        <v>5.46</v>
      </c>
      <c r="F3609" s="2" t="e">
        <f>IF(Table2[[#This Row],[Manual Cat Value]]="",VLOOKUP(Table2[[#This Row],[Description]],'Actuals Lookup'!D:F,3,0),Table2[[#This Row],[Manual Cat Value]])</f>
        <v>#N/A</v>
      </c>
      <c r="J3609" s="2">
        <v>5.46</v>
      </c>
      <c r="K3609" s="2" t="b">
        <v>0</v>
      </c>
      <c r="L3609" s="2"/>
      <c r="M3609" s="2"/>
      <c r="N3609" s="4" t="s">
        <v>2259</v>
      </c>
      <c r="O3609" s="4" t="str">
        <f>LEFT(Table2[[#This Row],[Description]],75)</f>
        <v>Chevron</v>
      </c>
      <c r="P3609" s="2" t="s">
        <v>2429</v>
      </c>
    </row>
    <row r="3610" spans="1:16" hidden="1">
      <c r="A3610" s="2">
        <v>202011</v>
      </c>
      <c r="B3610" s="3">
        <v>44141</v>
      </c>
      <c r="C3610" s="2" t="s">
        <v>2262</v>
      </c>
      <c r="D3610" s="2" t="s">
        <v>538</v>
      </c>
      <c r="E3610" s="2">
        <v>11.59</v>
      </c>
      <c r="F3610" s="2" t="str">
        <f>IF(Table2[[#This Row],[Manual Cat Value]]="",VLOOKUP(Table2[[#This Row],[Description]],'Actuals Lookup'!D:F,3,0),Table2[[#This Row],[Manual Cat Value]])</f>
        <v>Restaurants</v>
      </c>
      <c r="J3610" s="2">
        <v>11.59</v>
      </c>
      <c r="K3610" s="2" t="b">
        <v>0</v>
      </c>
      <c r="L3610" s="2"/>
      <c r="M3610" s="2"/>
      <c r="N3610" s="4" t="s">
        <v>2259</v>
      </c>
      <c r="O3610" s="4" t="str">
        <f>LEFT(Table2[[#This Row],[Description]],75)</f>
        <v>Chick-Fil-A</v>
      </c>
      <c r="P3610" s="2" t="s">
        <v>2470</v>
      </c>
    </row>
    <row r="3611" spans="1:16" hidden="1">
      <c r="A3611" s="2">
        <v>202011</v>
      </c>
      <c r="B3611" s="3">
        <v>44141</v>
      </c>
      <c r="C3611" s="2" t="s">
        <v>2262</v>
      </c>
      <c r="D3611" s="2" t="s">
        <v>1172</v>
      </c>
      <c r="E3611" s="2">
        <v>139.59</v>
      </c>
      <c r="F3611" s="2" t="e">
        <f>IF(Table2[[#This Row],[Manual Cat Value]]="",VLOOKUP(Table2[[#This Row],[Description]],'Actuals Lookup'!D:F,3,0),Table2[[#This Row],[Manual Cat Value]])</f>
        <v>#N/A</v>
      </c>
      <c r="J3611" s="2">
        <v>139.59</v>
      </c>
      <c r="K3611" s="2" t="b">
        <v>0</v>
      </c>
      <c r="L3611" s="2"/>
      <c r="M3611" s="2"/>
      <c r="N3611" s="4" t="s">
        <v>2259</v>
      </c>
      <c r="O3611" s="4" t="str">
        <f>LEFT(Table2[[#This Row],[Description]],75)</f>
        <v>MACKENTHUNSMEATSANDDELI ST BONIFACIUSMN</v>
      </c>
      <c r="P3611" s="2" t="s">
        <v>2516</v>
      </c>
    </row>
    <row r="3612" spans="1:16" hidden="1">
      <c r="A3612" s="2">
        <v>202011</v>
      </c>
      <c r="B3612" s="3">
        <v>44141</v>
      </c>
      <c r="C3612" s="2" t="s">
        <v>2262</v>
      </c>
      <c r="D3612" s="2" t="s">
        <v>1742</v>
      </c>
      <c r="E3612" s="2">
        <v>57</v>
      </c>
      <c r="F3612" s="2" t="e">
        <f>IF(Table2[[#This Row],[Manual Cat Value]]="",VLOOKUP(Table2[[#This Row],[Description]],'Actuals Lookup'!D:F,3,0),Table2[[#This Row],[Manual Cat Value]])</f>
        <v>#N/A</v>
      </c>
      <c r="J3612" s="2">
        <v>57</v>
      </c>
      <c r="K3612" s="2" t="b">
        <v>0</v>
      </c>
      <c r="L3612" s="2"/>
      <c r="M3612" s="2"/>
      <c r="N3612" s="4" t="s">
        <v>2259</v>
      </c>
      <c r="O3612" s="4" t="str">
        <f>LEFT(Table2[[#This Row],[Description]],75)</f>
        <v>SQ LUCE LINE ORCHARD ANDWatertown MN</v>
      </c>
      <c r="P3612" s="2" t="s">
        <v>2281</v>
      </c>
    </row>
    <row r="3613" spans="1:16" hidden="1">
      <c r="A3613" s="2">
        <v>202011</v>
      </c>
      <c r="B3613" s="3">
        <v>44141</v>
      </c>
      <c r="C3613" s="2" t="s">
        <v>2265</v>
      </c>
      <c r="D3613" s="2" t="s">
        <v>2140</v>
      </c>
      <c r="E3613" s="2">
        <v>112.83</v>
      </c>
      <c r="F3613" s="2" t="e">
        <f>IF(Table2[[#This Row],[Manual Cat Value]]="",VLOOKUP(Table2[[#This Row],[Description]],'Actuals Lookup'!D:F,3,0),Table2[[#This Row],[Manual Cat Value]])</f>
        <v>#N/A</v>
      </c>
      <c r="J3613" s="2">
        <v>112.83</v>
      </c>
      <c r="K3613" s="2" t="b">
        <v>0</v>
      </c>
      <c r="L3613" s="2"/>
      <c r="M3613" s="2"/>
      <c r="N3613" s="4" t="s">
        <v>2259</v>
      </c>
      <c r="O3613" s="4" t="str">
        <f>LEFT(Table2[[#This Row],[Description]],75)</f>
        <v>Waste Management</v>
      </c>
      <c r="P3613" s="2" t="s">
        <v>2318</v>
      </c>
    </row>
    <row r="3614" spans="1:16" hidden="1">
      <c r="A3614" s="2">
        <v>202011</v>
      </c>
      <c r="B3614" s="3">
        <v>44143</v>
      </c>
      <c r="C3614" s="2" t="s">
        <v>2262</v>
      </c>
      <c r="D3614" s="2" t="s">
        <v>944</v>
      </c>
      <c r="E3614" s="2">
        <v>26.74</v>
      </c>
      <c r="F3614" s="2" t="e">
        <f>IF(Table2[[#This Row],[Manual Cat Value]]="",VLOOKUP(Table2[[#This Row],[Description]],'Actuals Lookup'!D:F,3,0),Table2[[#This Row],[Manual Cat Value]])</f>
        <v>#N/A</v>
      </c>
      <c r="J3614" s="2">
        <v>26.74</v>
      </c>
      <c r="K3614" s="2" t="b">
        <v>0</v>
      </c>
      <c r="L3614" s="2"/>
      <c r="M3614" s="2"/>
      <c r="N3614" s="4" t="s">
        <v>2259</v>
      </c>
      <c r="O3614" s="4" t="str">
        <f>LEFT(Table2[[#This Row],[Description]],75)</f>
        <v>Holiday Stationstore</v>
      </c>
      <c r="P3614" s="2" t="s">
        <v>2374</v>
      </c>
    </row>
    <row r="3615" spans="1:16" hidden="1">
      <c r="A3615" s="2">
        <v>202011</v>
      </c>
      <c r="B3615" s="3">
        <v>44143</v>
      </c>
      <c r="C3615" s="2" t="s">
        <v>2262</v>
      </c>
      <c r="D3615" s="2" t="s">
        <v>1158</v>
      </c>
      <c r="E3615" s="2">
        <v>-398</v>
      </c>
      <c r="F3615" s="2" t="e">
        <f>IF(Table2[[#This Row],[Manual Cat Value]]="",VLOOKUP(Table2[[#This Row],[Description]],'Actuals Lookup'!D:F,3,0),Table2[[#This Row],[Manual Cat Value]])</f>
        <v>#N/A</v>
      </c>
      <c r="J3615" s="2">
        <v>398</v>
      </c>
      <c r="K3615" s="2" t="b">
        <v>0</v>
      </c>
      <c r="L3615" s="2"/>
      <c r="M3615" s="2"/>
      <c r="N3615" s="4" t="s">
        <v>2273</v>
      </c>
      <c r="O3615" s="4" t="str">
        <f>LEFT(Table2[[#This Row],[Description]],75)</f>
        <v>Lululemon</v>
      </c>
      <c r="P3615" s="2" t="s">
        <v>2287</v>
      </c>
    </row>
    <row r="3616" spans="1:16" hidden="1">
      <c r="A3616" s="2">
        <v>202011</v>
      </c>
      <c r="B3616" s="3">
        <v>44143</v>
      </c>
      <c r="C3616" s="2" t="s">
        <v>2262</v>
      </c>
      <c r="D3616" s="2" t="s">
        <v>1158</v>
      </c>
      <c r="E3616" s="2">
        <v>-448</v>
      </c>
      <c r="F3616" s="2" t="e">
        <f>IF(Table2[[#This Row],[Manual Cat Value]]="",VLOOKUP(Table2[[#This Row],[Description]],'Actuals Lookup'!D:F,3,0),Table2[[#This Row],[Manual Cat Value]])</f>
        <v>#N/A</v>
      </c>
      <c r="J3616" s="2">
        <v>448</v>
      </c>
      <c r="K3616" s="2" t="b">
        <v>0</v>
      </c>
      <c r="L3616" s="2"/>
      <c r="M3616" s="2"/>
      <c r="N3616" s="4" t="s">
        <v>2273</v>
      </c>
      <c r="O3616" s="4" t="str">
        <f>LEFT(Table2[[#This Row],[Description]],75)</f>
        <v>Lululemon</v>
      </c>
      <c r="P3616" s="2" t="s">
        <v>2287</v>
      </c>
    </row>
    <row r="3617" spans="1:16" hidden="1">
      <c r="A3617" s="2">
        <v>202011</v>
      </c>
      <c r="B3617" s="3">
        <v>44144</v>
      </c>
      <c r="C3617" s="2" t="s">
        <v>2265</v>
      </c>
      <c r="D3617" s="2" t="s">
        <v>1471</v>
      </c>
      <c r="E3617" s="2">
        <v>7.43</v>
      </c>
      <c r="F3617" s="2" t="str">
        <f>IF(Table2[[#This Row],[Manual Cat Value]]="",VLOOKUP(Table2[[#This Row],[Description]],'Actuals Lookup'!D:F,3,0),Table2[[#This Row],[Manual Cat Value]])</f>
        <v>Shopping</v>
      </c>
      <c r="J3617" s="2">
        <v>7.43</v>
      </c>
      <c r="K3617" s="2" t="b">
        <v>0</v>
      </c>
      <c r="L3617" s="2"/>
      <c r="M3617" s="2"/>
      <c r="N3617" s="4" t="s">
        <v>2259</v>
      </c>
      <c r="O3617" s="4" t="str">
        <f>LEFT(Table2[[#This Row],[Description]],75)</f>
        <v>PayPal</v>
      </c>
      <c r="P3617" s="2" t="s">
        <v>2322</v>
      </c>
    </row>
    <row r="3618" spans="1:16" hidden="1">
      <c r="A3618" s="2">
        <v>202011</v>
      </c>
      <c r="B3618" s="3">
        <v>44144</v>
      </c>
      <c r="C3618" s="2" t="s">
        <v>2265</v>
      </c>
      <c r="D3618" s="2" t="s">
        <v>1648</v>
      </c>
      <c r="E3618" s="2">
        <v>-164</v>
      </c>
      <c r="F3618" s="2" t="e">
        <f>IF(Table2[[#This Row],[Manual Cat Value]]="",VLOOKUP(Table2[[#This Row],[Description]],'Actuals Lookup'!D:F,3,0),Table2[[#This Row],[Manual Cat Value]])</f>
        <v>#N/A</v>
      </c>
      <c r="J3618" s="2">
        <v>164</v>
      </c>
      <c r="K3618" s="2" t="b">
        <v>0</v>
      </c>
      <c r="L3618" s="2"/>
      <c r="M3618" s="2"/>
      <c r="N3618" s="4" t="s">
        <v>2273</v>
      </c>
      <c r="O3618" s="4" t="str">
        <f>LEFT(Table2[[#This Row],[Description]],75)</f>
        <v>Share</v>
      </c>
      <c r="P3618" s="2" t="s">
        <v>2448</v>
      </c>
    </row>
    <row r="3619" spans="1:16" hidden="1">
      <c r="A3619" s="2">
        <v>202011</v>
      </c>
      <c r="B3619" s="3">
        <v>44144</v>
      </c>
      <c r="C3619" s="2" t="s">
        <v>2305</v>
      </c>
      <c r="D3619" s="2" t="s">
        <v>1905</v>
      </c>
      <c r="E3619" s="2">
        <v>164</v>
      </c>
      <c r="F3619" s="2" t="e">
        <f>IF(Table2[[#This Row],[Manual Cat Value]]="",VLOOKUP(Table2[[#This Row],[Description]],'Actuals Lookup'!D:F,3,0),Table2[[#This Row],[Manual Cat Value]])</f>
        <v>#N/A</v>
      </c>
      <c r="J3619" s="2">
        <v>164</v>
      </c>
      <c r="K3619" s="2" t="b">
        <v>0</v>
      </c>
      <c r="L3619" s="2"/>
      <c r="M3619" s="2"/>
      <c r="N3619" s="4" t="s">
        <v>2259</v>
      </c>
      <c r="O3619" s="4" t="str">
        <f>LEFT(Table2[[#This Row],[Description]],75)</f>
        <v>To Share 70</v>
      </c>
      <c r="P3619" s="2" t="s">
        <v>2281</v>
      </c>
    </row>
    <row r="3620" spans="1:16" hidden="1">
      <c r="A3620" s="2">
        <v>202011</v>
      </c>
      <c r="B3620" s="3">
        <v>44144</v>
      </c>
      <c r="C3620" s="2" t="s">
        <v>2262</v>
      </c>
      <c r="D3620" s="2" t="s">
        <v>2031</v>
      </c>
      <c r="E3620" s="2">
        <v>35.35</v>
      </c>
      <c r="F3620" s="2" t="e">
        <f>IF(Table2[[#This Row],[Manual Cat Value]]="",VLOOKUP(Table2[[#This Row],[Description]],'Actuals Lookup'!D:F,3,0),Table2[[#This Row],[Manual Cat Value]])</f>
        <v>#N/A</v>
      </c>
      <c r="J3620" s="2">
        <v>35.35</v>
      </c>
      <c r="K3620" s="2" t="b">
        <v>0</v>
      </c>
      <c r="L3620" s="2"/>
      <c r="M3620" s="2"/>
      <c r="N3620" s="4" t="s">
        <v>2259</v>
      </c>
      <c r="O3620" s="4" t="str">
        <f>LEFT(Table2[[#This Row],[Description]],75)</f>
        <v>TST RED COW 1ST AVE 6122380050 MN</v>
      </c>
      <c r="P3620" s="2" t="s">
        <v>2362</v>
      </c>
    </row>
    <row r="3621" spans="1:16" hidden="1">
      <c r="A3621" s="2">
        <v>202011</v>
      </c>
      <c r="B3621" s="3">
        <v>44144</v>
      </c>
      <c r="C3621" s="2" t="s">
        <v>2262</v>
      </c>
      <c r="D3621" s="2" t="s">
        <v>2146</v>
      </c>
      <c r="E3621" s="2">
        <v>18</v>
      </c>
      <c r="F3621" s="2" t="e">
        <f>IF(Table2[[#This Row],[Manual Cat Value]]="",VLOOKUP(Table2[[#This Row],[Description]],'Actuals Lookup'!D:F,3,0),Table2[[#This Row],[Manual Cat Value]])</f>
        <v>#N/A</v>
      </c>
      <c r="J3621" s="2">
        <v>18</v>
      </c>
      <c r="K3621" s="2" t="b">
        <v>0</v>
      </c>
      <c r="L3621" s="2"/>
      <c r="M3621" s="2"/>
      <c r="N3621" s="4" t="s">
        <v>2259</v>
      </c>
      <c r="O3621" s="4" t="str">
        <f>LEFT(Table2[[#This Row],[Description]],75)</f>
        <v>WEBONLINE 8009880886 MA</v>
      </c>
      <c r="P3621" s="2" t="s">
        <v>2281</v>
      </c>
    </row>
    <row r="3622" spans="1:16" hidden="1">
      <c r="A3622" s="2">
        <v>202011</v>
      </c>
      <c r="B3622" s="3">
        <v>44144</v>
      </c>
      <c r="C3622" s="2" t="s">
        <v>2435</v>
      </c>
      <c r="D3622" s="2" t="s">
        <v>2227</v>
      </c>
      <c r="E3622" s="2">
        <v>312.83999999999997</v>
      </c>
      <c r="F3622" s="2" t="e">
        <f>IF(Table2[[#This Row],[Manual Cat Value]]="",VLOOKUP(Table2[[#This Row],[Description]],'Actuals Lookup'!D:F,3,0),Table2[[#This Row],[Manual Cat Value]])</f>
        <v>#N/A</v>
      </c>
      <c r="J3622" s="2">
        <v>312.83999999999997</v>
      </c>
      <c r="K3622" s="2" t="b">
        <v>0</v>
      </c>
      <c r="L3622" s="2"/>
      <c r="M3622" s="2"/>
      <c r="N3622" s="4" t="s">
        <v>2259</v>
      </c>
      <c r="O3622" s="4" t="str">
        <f>LEFT(Table2[[#This Row],[Description]],75)</f>
        <v>YETI HOLDINGS INCORPORAT</v>
      </c>
      <c r="P3622" s="2"/>
    </row>
    <row r="3623" spans="1:16" hidden="1">
      <c r="A3623" s="2">
        <v>202011</v>
      </c>
      <c r="B3623" s="3">
        <v>44165</v>
      </c>
      <c r="C3623" s="2" t="s">
        <v>2262</v>
      </c>
      <c r="D3623" s="2" t="s">
        <v>100</v>
      </c>
      <c r="E3623" s="2">
        <v>-31</v>
      </c>
      <c r="F3623" s="2" t="e">
        <f>IF(Table2[[#This Row],[Manual Cat Value]]="",VLOOKUP(Table2[[#This Row],[Description]],'Actuals Lookup'!D:F,3,0),Table2[[#This Row],[Manual Cat Value]])</f>
        <v>#N/A</v>
      </c>
      <c r="J3623" s="2">
        <v>31</v>
      </c>
      <c r="K3623" s="2" t="b">
        <v>0</v>
      </c>
      <c r="L3623" s="2"/>
      <c r="M3623" s="2"/>
      <c r="N3623" s="4" t="s">
        <v>2273</v>
      </c>
      <c r="O3623" s="4" t="str">
        <f>LEFT(Table2[[#This Row],[Description]],75)</f>
        <v>Actcity Chanhassen Mn</v>
      </c>
      <c r="P3623" s="2" t="s">
        <v>2281</v>
      </c>
    </row>
    <row r="3624" spans="1:16" hidden="1">
      <c r="A3624" s="2">
        <v>202011</v>
      </c>
      <c r="B3624" s="3">
        <v>44165</v>
      </c>
      <c r="C3624" s="2" t="s">
        <v>2447</v>
      </c>
      <c r="D3624" s="2" t="s">
        <v>38</v>
      </c>
      <c r="E3624" s="2">
        <v>10</v>
      </c>
      <c r="F3624" s="2" t="str">
        <f>IF(Table2[[#This Row],[Manual Cat Value]]="",VLOOKUP(Table2[[#This Row],[Description]],'Actuals Lookup'!D:F,3,0),Table2[[#This Row],[Manual Cat Value]])</f>
        <v>Amazon</v>
      </c>
      <c r="J3624" s="2">
        <v>10</v>
      </c>
      <c r="K3624" s="2" t="b">
        <v>0</v>
      </c>
      <c r="L3624" s="2"/>
      <c r="M3624" s="2"/>
      <c r="N3624" s="4" t="s">
        <v>2259</v>
      </c>
      <c r="O3624" s="4" t="str">
        <f>LEFT(Table2[[#This Row],[Description]],75)</f>
        <v>Amazon</v>
      </c>
      <c r="P3624" s="2" t="s">
        <v>2260</v>
      </c>
    </row>
    <row r="3625" spans="1:16" hidden="1">
      <c r="A3625" s="2">
        <v>202011</v>
      </c>
      <c r="B3625" s="3">
        <v>44165</v>
      </c>
      <c r="C3625" s="2" t="s">
        <v>2447</v>
      </c>
      <c r="D3625" s="2" t="s">
        <v>38</v>
      </c>
      <c r="E3625" s="2">
        <v>12</v>
      </c>
      <c r="F3625" s="2" t="str">
        <f>IF(Table2[[#This Row],[Manual Cat Value]]="",VLOOKUP(Table2[[#This Row],[Description]],'Actuals Lookup'!D:F,3,0),Table2[[#This Row],[Manual Cat Value]])</f>
        <v>Amazon</v>
      </c>
      <c r="J3625" s="2">
        <v>12</v>
      </c>
      <c r="K3625" s="2" t="b">
        <v>0</v>
      </c>
      <c r="L3625" s="2"/>
      <c r="M3625" s="2"/>
      <c r="N3625" s="4" t="s">
        <v>2259</v>
      </c>
      <c r="O3625" s="4" t="str">
        <f>LEFT(Table2[[#This Row],[Description]],75)</f>
        <v>Amazon</v>
      </c>
      <c r="P3625" s="2" t="s">
        <v>2260</v>
      </c>
    </row>
    <row r="3626" spans="1:16" hidden="1">
      <c r="A3626" s="2">
        <v>202011</v>
      </c>
      <c r="B3626" s="3">
        <v>44165</v>
      </c>
      <c r="C3626" s="2" t="s">
        <v>2447</v>
      </c>
      <c r="D3626" s="2" t="s">
        <v>38</v>
      </c>
      <c r="E3626" s="2">
        <v>5.15</v>
      </c>
      <c r="F3626" s="2" t="str">
        <f>IF(Table2[[#This Row],[Manual Cat Value]]="",VLOOKUP(Table2[[#This Row],[Description]],'Actuals Lookup'!D:F,3,0),Table2[[#This Row],[Manual Cat Value]])</f>
        <v>Amazon</v>
      </c>
      <c r="J3626" s="2">
        <v>5.15</v>
      </c>
      <c r="K3626" s="2" t="b">
        <v>0</v>
      </c>
      <c r="L3626" s="2"/>
      <c r="M3626" s="2"/>
      <c r="N3626" s="4" t="s">
        <v>2259</v>
      </c>
      <c r="O3626" s="4" t="str">
        <f>LEFT(Table2[[#This Row],[Description]],75)</f>
        <v>Amazon</v>
      </c>
      <c r="P3626" s="2" t="s">
        <v>2260</v>
      </c>
    </row>
    <row r="3627" spans="1:16" hidden="1">
      <c r="A3627" s="2">
        <v>202011</v>
      </c>
      <c r="B3627" s="3">
        <v>44165</v>
      </c>
      <c r="C3627" s="2" t="s">
        <v>2447</v>
      </c>
      <c r="D3627" s="2" t="s">
        <v>38</v>
      </c>
      <c r="E3627" s="2">
        <v>32.94</v>
      </c>
      <c r="F3627" s="2" t="str">
        <f>IF(Table2[[#This Row],[Manual Cat Value]]="",VLOOKUP(Table2[[#This Row],[Description]],'Actuals Lookup'!D:F,3,0),Table2[[#This Row],[Manual Cat Value]])</f>
        <v>Amazon</v>
      </c>
      <c r="J3627" s="2">
        <v>32.94</v>
      </c>
      <c r="K3627" s="2" t="b">
        <v>0</v>
      </c>
      <c r="L3627" s="2"/>
      <c r="M3627" s="2"/>
      <c r="N3627" s="4" t="s">
        <v>2259</v>
      </c>
      <c r="O3627" s="4" t="str">
        <f>LEFT(Table2[[#This Row],[Description]],75)</f>
        <v>Amazon</v>
      </c>
      <c r="P3627" s="2" t="s">
        <v>2260</v>
      </c>
    </row>
    <row r="3628" spans="1:16" hidden="1">
      <c r="A3628" s="2">
        <v>202011</v>
      </c>
      <c r="B3628" s="3">
        <v>44165</v>
      </c>
      <c r="C3628" s="2" t="s">
        <v>2447</v>
      </c>
      <c r="D3628" s="2" t="s">
        <v>38</v>
      </c>
      <c r="E3628" s="2">
        <v>9.65</v>
      </c>
      <c r="F3628" s="2" t="str">
        <f>IF(Table2[[#This Row],[Manual Cat Value]]="",VLOOKUP(Table2[[#This Row],[Description]],'Actuals Lookup'!D:F,3,0),Table2[[#This Row],[Manual Cat Value]])</f>
        <v>Amazon</v>
      </c>
      <c r="J3628" s="2">
        <v>9.65</v>
      </c>
      <c r="K3628" s="2" t="b">
        <v>0</v>
      </c>
      <c r="L3628" s="2"/>
      <c r="M3628" s="2"/>
      <c r="N3628" s="4" t="s">
        <v>2259</v>
      </c>
      <c r="O3628" s="4" t="str">
        <f>LEFT(Table2[[#This Row],[Description]],75)</f>
        <v>Amazon</v>
      </c>
      <c r="P3628" s="2" t="s">
        <v>2260</v>
      </c>
    </row>
    <row r="3629" spans="1:16" hidden="1">
      <c r="A3629" s="2">
        <v>202011</v>
      </c>
      <c r="B3629" s="3">
        <v>44165</v>
      </c>
      <c r="C3629" s="2" t="s">
        <v>2262</v>
      </c>
      <c r="D3629" s="2" t="s">
        <v>38</v>
      </c>
      <c r="E3629" s="2">
        <v>3.76</v>
      </c>
      <c r="F3629" s="2" t="str">
        <f>IF(Table2[[#This Row],[Manual Cat Value]]="",VLOOKUP(Table2[[#This Row],[Description]],'Actuals Lookup'!D:F,3,0),Table2[[#This Row],[Manual Cat Value]])</f>
        <v>Amazon</v>
      </c>
      <c r="J3629" s="2">
        <v>3.76</v>
      </c>
      <c r="K3629" s="2" t="b">
        <v>0</v>
      </c>
      <c r="L3629" s="2"/>
      <c r="M3629" s="2"/>
      <c r="N3629" s="4" t="s">
        <v>2259</v>
      </c>
      <c r="O3629" s="4" t="str">
        <f>LEFT(Table2[[#This Row],[Description]],75)</f>
        <v>Amazon</v>
      </c>
      <c r="P3629" s="2" t="s">
        <v>2260</v>
      </c>
    </row>
    <row r="3630" spans="1:16" hidden="1">
      <c r="A3630" s="2">
        <v>202011</v>
      </c>
      <c r="B3630" s="3">
        <v>44165</v>
      </c>
      <c r="C3630" s="2" t="s">
        <v>2258</v>
      </c>
      <c r="D3630" s="2" t="s">
        <v>38</v>
      </c>
      <c r="E3630" s="2">
        <v>10</v>
      </c>
      <c r="F3630" s="2" t="str">
        <f>IF(Table2[[#This Row],[Manual Cat Value]]="",VLOOKUP(Table2[[#This Row],[Description]],'Actuals Lookup'!D:F,3,0),Table2[[#This Row],[Manual Cat Value]])</f>
        <v>Amazon</v>
      </c>
      <c r="J3630" s="2">
        <v>10</v>
      </c>
      <c r="K3630" s="2" t="b">
        <v>0</v>
      </c>
      <c r="L3630" s="2"/>
      <c r="M3630" s="2"/>
      <c r="N3630" s="4" t="s">
        <v>2259</v>
      </c>
      <c r="O3630" s="4" t="str">
        <f>LEFT(Table2[[#This Row],[Description]],75)</f>
        <v>Amazon</v>
      </c>
      <c r="P3630" s="2" t="s">
        <v>2260</v>
      </c>
    </row>
    <row r="3631" spans="1:16" hidden="1">
      <c r="A3631" s="2">
        <v>202011</v>
      </c>
      <c r="B3631" s="3">
        <v>44165</v>
      </c>
      <c r="C3631" s="2" t="s">
        <v>2262</v>
      </c>
      <c r="D3631" s="2" t="s">
        <v>38</v>
      </c>
      <c r="E3631" s="2">
        <v>13.77</v>
      </c>
      <c r="F3631" s="2" t="str">
        <f>IF(Table2[[#This Row],[Manual Cat Value]]="",VLOOKUP(Table2[[#This Row],[Description]],'Actuals Lookup'!D:F,3,0),Table2[[#This Row],[Manual Cat Value]])</f>
        <v>Amazon</v>
      </c>
      <c r="J3631" s="2">
        <v>13.77</v>
      </c>
      <c r="K3631" s="2" t="b">
        <v>0</v>
      </c>
      <c r="L3631" s="2"/>
      <c r="M3631" s="2"/>
      <c r="N3631" s="4" t="s">
        <v>2259</v>
      </c>
      <c r="O3631" s="4" t="str">
        <f>LEFT(Table2[[#This Row],[Description]],75)</f>
        <v>Amazon</v>
      </c>
      <c r="P3631" s="2" t="s">
        <v>2260</v>
      </c>
    </row>
    <row r="3632" spans="1:16" hidden="1">
      <c r="A3632" s="2">
        <v>202011</v>
      </c>
      <c r="B3632" s="3">
        <v>44165</v>
      </c>
      <c r="C3632" s="2" t="s">
        <v>2262</v>
      </c>
      <c r="D3632" s="2" t="s">
        <v>38</v>
      </c>
      <c r="E3632" s="2">
        <v>-3.76</v>
      </c>
      <c r="F3632" s="2" t="str">
        <f>IF(Table2[[#This Row],[Manual Cat Value]]="",VLOOKUP(Table2[[#This Row],[Description]],'Actuals Lookup'!D:F,3,0),Table2[[#This Row],[Manual Cat Value]])</f>
        <v>Amazon</v>
      </c>
      <c r="J3632" s="2">
        <v>3.76</v>
      </c>
      <c r="K3632" s="2" t="b">
        <v>0</v>
      </c>
      <c r="L3632" s="2"/>
      <c r="M3632" s="2"/>
      <c r="N3632" s="4" t="s">
        <v>2273</v>
      </c>
      <c r="O3632" s="4" t="str">
        <f>LEFT(Table2[[#This Row],[Description]],75)</f>
        <v>Amazon</v>
      </c>
      <c r="P3632" s="2" t="s">
        <v>2260</v>
      </c>
    </row>
    <row r="3633" spans="1:16" hidden="1">
      <c r="A3633" s="2">
        <v>202011</v>
      </c>
      <c r="B3633" s="3">
        <v>44165</v>
      </c>
      <c r="C3633" s="2" t="s">
        <v>2262</v>
      </c>
      <c r="D3633" s="2" t="s">
        <v>38</v>
      </c>
      <c r="E3633" s="2">
        <v>27.37</v>
      </c>
      <c r="F3633" s="2" t="str">
        <f>IF(Table2[[#This Row],[Manual Cat Value]]="",VLOOKUP(Table2[[#This Row],[Description]],'Actuals Lookup'!D:F,3,0),Table2[[#This Row],[Manual Cat Value]])</f>
        <v>Amazon</v>
      </c>
      <c r="J3633" s="2">
        <v>27.37</v>
      </c>
      <c r="K3633" s="2" t="b">
        <v>0</v>
      </c>
      <c r="L3633" s="2"/>
      <c r="M3633" s="2"/>
      <c r="N3633" s="4" t="s">
        <v>2259</v>
      </c>
      <c r="O3633" s="4" t="str">
        <f>LEFT(Table2[[#This Row],[Description]],75)</f>
        <v>Amazon</v>
      </c>
      <c r="P3633" s="2" t="s">
        <v>2260</v>
      </c>
    </row>
    <row r="3634" spans="1:16" hidden="1">
      <c r="A3634" s="2">
        <v>202011</v>
      </c>
      <c r="B3634" s="3">
        <v>44165</v>
      </c>
      <c r="C3634" s="2" t="s">
        <v>2258</v>
      </c>
      <c r="D3634" s="2" t="s">
        <v>38</v>
      </c>
      <c r="E3634" s="2">
        <v>12</v>
      </c>
      <c r="F3634" s="2" t="str">
        <f>IF(Table2[[#This Row],[Manual Cat Value]]="",VLOOKUP(Table2[[#This Row],[Description]],'Actuals Lookup'!D:F,3,0),Table2[[#This Row],[Manual Cat Value]])</f>
        <v>Amazon</v>
      </c>
      <c r="J3634" s="2">
        <v>12</v>
      </c>
      <c r="K3634" s="2" t="b">
        <v>0</v>
      </c>
      <c r="L3634" s="2"/>
      <c r="M3634" s="2"/>
      <c r="N3634" s="4" t="s">
        <v>2259</v>
      </c>
      <c r="O3634" s="4" t="str">
        <f>LEFT(Table2[[#This Row],[Description]],75)</f>
        <v>Amazon</v>
      </c>
      <c r="P3634" s="2" t="s">
        <v>2260</v>
      </c>
    </row>
    <row r="3635" spans="1:16" hidden="1">
      <c r="A3635" s="2">
        <v>202011</v>
      </c>
      <c r="B3635" s="3">
        <v>44165</v>
      </c>
      <c r="C3635" s="2" t="s">
        <v>2262</v>
      </c>
      <c r="D3635" s="2" t="s">
        <v>38</v>
      </c>
      <c r="E3635" s="2">
        <v>-20.14</v>
      </c>
      <c r="F3635" s="2" t="str">
        <f>IF(Table2[[#This Row],[Manual Cat Value]]="",VLOOKUP(Table2[[#This Row],[Description]],'Actuals Lookup'!D:F,3,0),Table2[[#This Row],[Manual Cat Value]])</f>
        <v>Amazon</v>
      </c>
      <c r="J3635" s="2">
        <v>20.14</v>
      </c>
      <c r="K3635" s="2" t="b">
        <v>0</v>
      </c>
      <c r="L3635" s="2"/>
      <c r="M3635" s="2"/>
      <c r="N3635" s="4" t="s">
        <v>2273</v>
      </c>
      <c r="O3635" s="4" t="str">
        <f>LEFT(Table2[[#This Row],[Description]],75)</f>
        <v>Amazon</v>
      </c>
      <c r="P3635" s="2" t="s">
        <v>2260</v>
      </c>
    </row>
    <row r="3636" spans="1:16" hidden="1">
      <c r="A3636" s="2">
        <v>202011</v>
      </c>
      <c r="B3636" s="3">
        <v>44165</v>
      </c>
      <c r="C3636" s="2" t="s">
        <v>2258</v>
      </c>
      <c r="D3636" s="2" t="s">
        <v>38</v>
      </c>
      <c r="E3636" s="2">
        <v>5.15</v>
      </c>
      <c r="F3636" s="2" t="str">
        <f>IF(Table2[[#This Row],[Manual Cat Value]]="",VLOOKUP(Table2[[#This Row],[Description]],'Actuals Lookup'!D:F,3,0),Table2[[#This Row],[Manual Cat Value]])</f>
        <v>Amazon</v>
      </c>
      <c r="J3636" s="2">
        <v>5.15</v>
      </c>
      <c r="K3636" s="2" t="b">
        <v>0</v>
      </c>
      <c r="L3636" s="2"/>
      <c r="M3636" s="2"/>
      <c r="N3636" s="4" t="s">
        <v>2259</v>
      </c>
      <c r="O3636" s="4" t="str">
        <f>LEFT(Table2[[#This Row],[Description]],75)</f>
        <v>Amazon</v>
      </c>
      <c r="P3636" s="2" t="s">
        <v>2260</v>
      </c>
    </row>
    <row r="3637" spans="1:16" hidden="1">
      <c r="A3637" s="2">
        <v>202011</v>
      </c>
      <c r="B3637" s="3">
        <v>44165</v>
      </c>
      <c r="C3637" s="2" t="s">
        <v>2262</v>
      </c>
      <c r="D3637" s="2" t="s">
        <v>38</v>
      </c>
      <c r="E3637" s="2">
        <v>-14.97</v>
      </c>
      <c r="F3637" s="2" t="str">
        <f>IF(Table2[[#This Row],[Manual Cat Value]]="",VLOOKUP(Table2[[#This Row],[Description]],'Actuals Lookup'!D:F,3,0),Table2[[#This Row],[Manual Cat Value]])</f>
        <v>Amazon</v>
      </c>
      <c r="J3637" s="2">
        <v>14.97</v>
      </c>
      <c r="K3637" s="2" t="b">
        <v>0</v>
      </c>
      <c r="L3637" s="2"/>
      <c r="M3637" s="2"/>
      <c r="N3637" s="4" t="s">
        <v>2273</v>
      </c>
      <c r="O3637" s="4" t="str">
        <f>LEFT(Table2[[#This Row],[Description]],75)</f>
        <v>Amazon</v>
      </c>
      <c r="P3637" s="2" t="s">
        <v>2260</v>
      </c>
    </row>
    <row r="3638" spans="1:16" hidden="1">
      <c r="A3638" s="2">
        <v>202011</v>
      </c>
      <c r="B3638" s="3">
        <v>44165</v>
      </c>
      <c r="C3638" s="2" t="s">
        <v>2262</v>
      </c>
      <c r="D3638" s="2" t="s">
        <v>38</v>
      </c>
      <c r="E3638" s="2">
        <v>7.09</v>
      </c>
      <c r="F3638" s="2" t="str">
        <f>IF(Table2[[#This Row],[Manual Cat Value]]="",VLOOKUP(Table2[[#This Row],[Description]],'Actuals Lookup'!D:F,3,0),Table2[[#This Row],[Manual Cat Value]])</f>
        <v>Amazon</v>
      </c>
      <c r="J3638" s="2">
        <v>7.09</v>
      </c>
      <c r="K3638" s="2" t="b">
        <v>0</v>
      </c>
      <c r="L3638" s="2"/>
      <c r="M3638" s="2"/>
      <c r="N3638" s="4" t="s">
        <v>2259</v>
      </c>
      <c r="O3638" s="4" t="str">
        <f>LEFT(Table2[[#This Row],[Description]],75)</f>
        <v>Amazon</v>
      </c>
      <c r="P3638" s="2" t="s">
        <v>2260</v>
      </c>
    </row>
    <row r="3639" spans="1:16" hidden="1">
      <c r="A3639" s="2">
        <v>202011</v>
      </c>
      <c r="B3639" s="3">
        <v>44165</v>
      </c>
      <c r="C3639" s="2" t="s">
        <v>2258</v>
      </c>
      <c r="D3639" s="2" t="s">
        <v>38</v>
      </c>
      <c r="E3639" s="2">
        <v>32.94</v>
      </c>
      <c r="F3639" s="2" t="str">
        <f>IF(Table2[[#This Row],[Manual Cat Value]]="",VLOOKUP(Table2[[#This Row],[Description]],'Actuals Lookup'!D:F,3,0),Table2[[#This Row],[Manual Cat Value]])</f>
        <v>Amazon</v>
      </c>
      <c r="J3639" s="2">
        <v>32.94</v>
      </c>
      <c r="K3639" s="2" t="b">
        <v>0</v>
      </c>
      <c r="L3639" s="2"/>
      <c r="M3639" s="2"/>
      <c r="N3639" s="4" t="s">
        <v>2259</v>
      </c>
      <c r="O3639" s="4" t="str">
        <f>LEFT(Table2[[#This Row],[Description]],75)</f>
        <v>Amazon</v>
      </c>
      <c r="P3639" s="2" t="s">
        <v>2260</v>
      </c>
    </row>
    <row r="3640" spans="1:16" hidden="1">
      <c r="A3640" s="2">
        <v>202011</v>
      </c>
      <c r="B3640" s="3">
        <v>44165</v>
      </c>
      <c r="C3640" s="2" t="s">
        <v>2258</v>
      </c>
      <c r="D3640" s="2" t="s">
        <v>38</v>
      </c>
      <c r="E3640" s="2">
        <v>9.65</v>
      </c>
      <c r="F3640" s="2" t="str">
        <f>IF(Table2[[#This Row],[Manual Cat Value]]="",VLOOKUP(Table2[[#This Row],[Description]],'Actuals Lookup'!D:F,3,0),Table2[[#This Row],[Manual Cat Value]])</f>
        <v>Amazon</v>
      </c>
      <c r="J3640" s="2">
        <v>9.65</v>
      </c>
      <c r="K3640" s="2" t="b">
        <v>0</v>
      </c>
      <c r="L3640" s="2"/>
      <c r="M3640" s="2"/>
      <c r="N3640" s="4" t="s">
        <v>2259</v>
      </c>
      <c r="O3640" s="4" t="str">
        <f>LEFT(Table2[[#This Row],[Description]],75)</f>
        <v>Amazon</v>
      </c>
      <c r="P3640" s="2" t="s">
        <v>2260</v>
      </c>
    </row>
    <row r="3641" spans="1:16" hidden="1">
      <c r="A3641" s="2">
        <v>202011</v>
      </c>
      <c r="B3641" s="3">
        <v>44165</v>
      </c>
      <c r="C3641" s="2" t="s">
        <v>2262</v>
      </c>
      <c r="D3641" s="2" t="s">
        <v>38</v>
      </c>
      <c r="E3641" s="2">
        <v>17.09</v>
      </c>
      <c r="F3641" s="2" t="str">
        <f>IF(Table2[[#This Row],[Manual Cat Value]]="",VLOOKUP(Table2[[#This Row],[Description]],'Actuals Lookup'!D:F,3,0),Table2[[#This Row],[Manual Cat Value]])</f>
        <v>Amazon</v>
      </c>
      <c r="J3641" s="2">
        <v>17.09</v>
      </c>
      <c r="K3641" s="2" t="b">
        <v>0</v>
      </c>
      <c r="L3641" s="2"/>
      <c r="M3641" s="2"/>
      <c r="N3641" s="4" t="s">
        <v>2259</v>
      </c>
      <c r="O3641" s="4" t="str">
        <f>LEFT(Table2[[#This Row],[Description]],75)</f>
        <v>Amazon</v>
      </c>
      <c r="P3641" s="2" t="s">
        <v>2260</v>
      </c>
    </row>
    <row r="3642" spans="1:16" hidden="1">
      <c r="A3642" s="2">
        <v>202011</v>
      </c>
      <c r="B3642" s="3">
        <v>44165</v>
      </c>
      <c r="C3642" s="2" t="s">
        <v>2265</v>
      </c>
      <c r="D3642" s="2" t="s">
        <v>131</v>
      </c>
      <c r="E3642" s="2">
        <v>102.94</v>
      </c>
      <c r="F3642" s="2" t="str">
        <f>IF(Table2[[#This Row],[Manual Cat Value]]="",VLOOKUP(Table2[[#This Row],[Description]],'Actuals Lookup'!D:F,3,0),Table2[[#This Row],[Manual Cat Value]])</f>
        <v>Insurance</v>
      </c>
      <c r="J3642" s="2">
        <v>102.94</v>
      </c>
      <c r="K3642" s="2" t="b">
        <v>0</v>
      </c>
      <c r="L3642" s="2"/>
      <c r="M3642" s="2"/>
      <c r="N3642" s="4" t="s">
        <v>2259</v>
      </c>
      <c r="O3642" s="4" t="str">
        <f>LEFT(Table2[[#This Row],[Description]],75)</f>
        <v>American Family Insurance</v>
      </c>
      <c r="P3642" s="2" t="s">
        <v>2286</v>
      </c>
    </row>
    <row r="3643" spans="1:16" hidden="1">
      <c r="A3643" s="2">
        <v>202011</v>
      </c>
      <c r="B3643" s="3">
        <v>44165</v>
      </c>
      <c r="C3643" s="2" t="s">
        <v>2435</v>
      </c>
      <c r="D3643" s="2" t="s">
        <v>164</v>
      </c>
      <c r="E3643" s="2">
        <v>-4.13</v>
      </c>
      <c r="F3643" s="2" t="e">
        <f>IF(Table2[[#This Row],[Manual Cat Value]]="",VLOOKUP(Table2[[#This Row],[Description]],'Actuals Lookup'!D:F,3,0),Table2[[#This Row],[Manual Cat Value]])</f>
        <v>#N/A</v>
      </c>
      <c r="J3643" s="2">
        <v>4.13</v>
      </c>
      <c r="K3643" s="2" t="b">
        <v>0</v>
      </c>
      <c r="L3643" s="2"/>
      <c r="M3643" s="2"/>
      <c r="N3643" s="4" t="s">
        <v>2273</v>
      </c>
      <c r="O3643" s="4" t="str">
        <f>LEFT(Table2[[#This Row],[Description]],75)</f>
        <v>APPLE INC</v>
      </c>
      <c r="P3643" s="2" t="s">
        <v>2405</v>
      </c>
    </row>
    <row r="3644" spans="1:16" hidden="1">
      <c r="A3644" s="2">
        <v>202011</v>
      </c>
      <c r="B3644" s="3">
        <v>44165</v>
      </c>
      <c r="C3644" s="2" t="s">
        <v>2317</v>
      </c>
      <c r="D3644" s="2" t="s">
        <v>164</v>
      </c>
      <c r="E3644" s="2">
        <v>-41.8</v>
      </c>
      <c r="F3644" s="2" t="e">
        <f>IF(Table2[[#This Row],[Manual Cat Value]]="",VLOOKUP(Table2[[#This Row],[Description]],'Actuals Lookup'!D:F,3,0),Table2[[#This Row],[Manual Cat Value]])</f>
        <v>#N/A</v>
      </c>
      <c r="J3644" s="2">
        <v>41.8</v>
      </c>
      <c r="K3644" s="2" t="b">
        <v>0</v>
      </c>
      <c r="L3644" s="2"/>
      <c r="M3644" s="2"/>
      <c r="N3644" s="4" t="s">
        <v>2273</v>
      </c>
      <c r="O3644" s="4" t="str">
        <f>LEFT(Table2[[#This Row],[Description]],75)</f>
        <v>APPLE INC</v>
      </c>
      <c r="P3644" s="2" t="s">
        <v>2405</v>
      </c>
    </row>
    <row r="3645" spans="1:16" hidden="1">
      <c r="A3645" s="2">
        <v>202011</v>
      </c>
      <c r="B3645" s="3">
        <v>44165</v>
      </c>
      <c r="C3645" s="2" t="s">
        <v>2435</v>
      </c>
      <c r="D3645" s="2" t="s">
        <v>164</v>
      </c>
      <c r="E3645" s="2">
        <v>4.13</v>
      </c>
      <c r="F3645" s="2" t="e">
        <f>IF(Table2[[#This Row],[Manual Cat Value]]="",VLOOKUP(Table2[[#This Row],[Description]],'Actuals Lookup'!D:F,3,0),Table2[[#This Row],[Manual Cat Value]])</f>
        <v>#N/A</v>
      </c>
      <c r="J3645" s="2">
        <v>4.13</v>
      </c>
      <c r="K3645" s="2" t="b">
        <v>0</v>
      </c>
      <c r="L3645" s="2"/>
      <c r="M3645" s="2"/>
      <c r="N3645" s="4" t="s">
        <v>2259</v>
      </c>
      <c r="O3645" s="4" t="str">
        <f>LEFT(Table2[[#This Row],[Description]],75)</f>
        <v>APPLE INC</v>
      </c>
      <c r="P3645" s="2" t="s">
        <v>2405</v>
      </c>
    </row>
    <row r="3646" spans="1:16" hidden="1">
      <c r="A3646" s="2">
        <v>202011</v>
      </c>
      <c r="B3646" s="3">
        <v>44165</v>
      </c>
      <c r="C3646" s="2" t="s">
        <v>2317</v>
      </c>
      <c r="D3646" s="2" t="s">
        <v>164</v>
      </c>
      <c r="E3646" s="2">
        <v>41.8</v>
      </c>
      <c r="F3646" s="2" t="e">
        <f>IF(Table2[[#This Row],[Manual Cat Value]]="",VLOOKUP(Table2[[#This Row],[Description]],'Actuals Lookup'!D:F,3,0),Table2[[#This Row],[Manual Cat Value]])</f>
        <v>#N/A</v>
      </c>
      <c r="J3646" s="2">
        <v>41.8</v>
      </c>
      <c r="K3646" s="2" t="b">
        <v>0</v>
      </c>
      <c r="L3646" s="2"/>
      <c r="M3646" s="2"/>
      <c r="N3646" s="4" t="s">
        <v>2259</v>
      </c>
      <c r="O3646" s="4" t="str">
        <f>LEFT(Table2[[#This Row],[Description]],75)</f>
        <v>APPLE INC</v>
      </c>
      <c r="P3646" s="2" t="s">
        <v>2405</v>
      </c>
    </row>
    <row r="3647" spans="1:16" hidden="1">
      <c r="A3647" s="2">
        <v>202011</v>
      </c>
      <c r="B3647" s="3">
        <v>44165</v>
      </c>
      <c r="C3647" s="2" t="s">
        <v>2262</v>
      </c>
      <c r="D3647" s="2" t="s">
        <v>187</v>
      </c>
      <c r="E3647" s="2">
        <v>167.17</v>
      </c>
      <c r="F3647" s="2" t="e">
        <f>IF(Table2[[#This Row],[Manual Cat Value]]="",VLOOKUP(Table2[[#This Row],[Description]],'Actuals Lookup'!D:F,3,0),Table2[[#This Row],[Manual Cat Value]])</f>
        <v>#N/A</v>
      </c>
      <c r="J3647" s="2">
        <v>167.17</v>
      </c>
      <c r="K3647" s="2" t="b">
        <v>0</v>
      </c>
      <c r="L3647" s="2"/>
      <c r="M3647" s="2"/>
      <c r="N3647" s="4" t="s">
        <v>2259</v>
      </c>
      <c r="O3647" s="4" t="str">
        <f>LEFT(Table2[[#This Row],[Description]],75)</f>
        <v>AVOADVOCARE INTL 8005424800 TX</v>
      </c>
      <c r="P3647" s="2" t="s">
        <v>2428</v>
      </c>
    </row>
    <row r="3648" spans="1:16" hidden="1">
      <c r="A3648" s="2">
        <v>202011</v>
      </c>
      <c r="B3648" s="3">
        <v>44165</v>
      </c>
      <c r="C3648" s="2" t="s">
        <v>2265</v>
      </c>
      <c r="D3648" s="2" t="s">
        <v>206</v>
      </c>
      <c r="E3648" s="2">
        <v>286.14</v>
      </c>
      <c r="F3648" s="2" t="e">
        <f>IF(Table2[[#This Row],[Manual Cat Value]]="",VLOOKUP(Table2[[#This Row],[Description]],'Actuals Lookup'!D:F,3,0),Table2[[#This Row],[Manual Cat Value]])</f>
        <v>#N/A</v>
      </c>
      <c r="J3648" s="2">
        <v>286.14</v>
      </c>
      <c r="K3648" s="2" t="b">
        <v>0</v>
      </c>
      <c r="L3648" s="2"/>
      <c r="M3648" s="2"/>
      <c r="N3648" s="4" t="s">
        <v>2259</v>
      </c>
      <c r="O3648" s="4" t="str">
        <f>LEFT(Table2[[#This Row],[Description]],75)</f>
        <v>Banana Visa TYPE BR EPAY ID CO Banana Visa ACH ECC WEB ACH Trace 38742</v>
      </c>
      <c r="P3648" s="2" t="s">
        <v>2297</v>
      </c>
    </row>
    <row r="3649" spans="1:16" hidden="1">
      <c r="A3649" s="2">
        <v>202011</v>
      </c>
      <c r="B3649" s="3">
        <v>44165</v>
      </c>
      <c r="C3649" s="2" t="s">
        <v>2434</v>
      </c>
      <c r="D3649" s="2" t="s">
        <v>241</v>
      </c>
      <c r="E3649" s="2">
        <v>-0.08</v>
      </c>
      <c r="F3649" s="2" t="e">
        <f>IF(Table2[[#This Row],[Manual Cat Value]]="",VLOOKUP(Table2[[#This Row],[Description]],'Actuals Lookup'!D:F,3,0),Table2[[#This Row],[Manual Cat Value]])</f>
        <v>#N/A</v>
      </c>
      <c r="J3649" s="2">
        <v>0.08</v>
      </c>
      <c r="K3649" s="2" t="b">
        <v>0</v>
      </c>
      <c r="L3649" s="2"/>
      <c r="M3649" s="2"/>
      <c r="N3649" s="4" t="s">
        <v>2273</v>
      </c>
      <c r="O3649" s="4" t="str">
        <f>LEFT(Table2[[#This Row],[Description]],75)</f>
        <v>BANK INT 101620-111520 SCHWAB PREMIER BANK</v>
      </c>
      <c r="P3649" s="2"/>
    </row>
    <row r="3650" spans="1:16" hidden="1">
      <c r="A3650" s="2">
        <v>202011</v>
      </c>
      <c r="B3650" s="3">
        <v>44165</v>
      </c>
      <c r="C3650" s="2" t="s">
        <v>2435</v>
      </c>
      <c r="D3650" s="2" t="s">
        <v>241</v>
      </c>
      <c r="E3650" s="2">
        <v>-0.02</v>
      </c>
      <c r="F3650" s="2" t="e">
        <f>IF(Table2[[#This Row],[Manual Cat Value]]="",VLOOKUP(Table2[[#This Row],[Description]],'Actuals Lookup'!D:F,3,0),Table2[[#This Row],[Manual Cat Value]])</f>
        <v>#N/A</v>
      </c>
      <c r="J3650" s="2">
        <v>0.02</v>
      </c>
      <c r="K3650" s="2" t="b">
        <v>0</v>
      </c>
      <c r="L3650" s="2"/>
      <c r="M3650" s="2"/>
      <c r="N3650" s="4" t="s">
        <v>2273</v>
      </c>
      <c r="O3650" s="4" t="str">
        <f>LEFT(Table2[[#This Row],[Description]],75)</f>
        <v>BANK INT 101620-111520 SCHWAB PREMIER BANK</v>
      </c>
      <c r="P3650" s="2"/>
    </row>
    <row r="3651" spans="1:16" hidden="1">
      <c r="A3651" s="2">
        <v>202011</v>
      </c>
      <c r="B3651" s="3">
        <v>44165</v>
      </c>
      <c r="C3651" s="2" t="s">
        <v>2317</v>
      </c>
      <c r="D3651" s="2" t="s">
        <v>305</v>
      </c>
      <c r="E3651" s="2">
        <v>-1926.21</v>
      </c>
      <c r="F3651" s="2" t="e">
        <f>IF(Table2[[#This Row],[Manual Cat Value]]="",VLOOKUP(Table2[[#This Row],[Description]],'Actuals Lookup'!D:F,3,0),Table2[[#This Row],[Manual Cat Value]])</f>
        <v>#N/A</v>
      </c>
      <c r="J3651" s="2">
        <v>1926.21</v>
      </c>
      <c r="K3651" s="2" t="b">
        <v>0</v>
      </c>
      <c r="L3651" s="2"/>
      <c r="M3651" s="2"/>
      <c r="N3651" s="4" t="s">
        <v>2273</v>
      </c>
      <c r="O3651" s="4" t="str">
        <f>LEFT(Table2[[#This Row],[Description]],75)</f>
        <v>BOEING CO</v>
      </c>
      <c r="P3651" s="2" t="s">
        <v>2425</v>
      </c>
    </row>
    <row r="3652" spans="1:16" hidden="1">
      <c r="A3652" s="2">
        <v>202011</v>
      </c>
      <c r="B3652" s="3">
        <v>44165</v>
      </c>
      <c r="C3652" s="2" t="s">
        <v>2262</v>
      </c>
      <c r="D3652" s="2" t="s">
        <v>306</v>
      </c>
      <c r="E3652" s="2">
        <v>9</v>
      </c>
      <c r="F3652" s="2" t="e">
        <f>IF(Table2[[#This Row],[Manual Cat Value]]="",VLOOKUP(Table2[[#This Row],[Description]],'Actuals Lookup'!D:F,3,0),Table2[[#This Row],[Manual Cat Value]])</f>
        <v>#N/A</v>
      </c>
      <c r="J3652" s="2">
        <v>9</v>
      </c>
      <c r="K3652" s="2" t="b">
        <v>0</v>
      </c>
      <c r="L3652" s="2"/>
      <c r="M3652" s="2"/>
      <c r="N3652" s="4" t="s">
        <v>2259</v>
      </c>
      <c r="O3652" s="4" t="str">
        <f>LEFT(Table2[[#This Row],[Description]],75)</f>
        <v>BONFES 6513326633 MN</v>
      </c>
      <c r="P3652" s="2" t="s">
        <v>2281</v>
      </c>
    </row>
    <row r="3653" spans="1:16" hidden="1">
      <c r="A3653" s="2">
        <v>202011</v>
      </c>
      <c r="B3653" s="3">
        <v>44165</v>
      </c>
      <c r="C3653" s="2" t="s">
        <v>2262</v>
      </c>
      <c r="D3653" s="2" t="s">
        <v>312</v>
      </c>
      <c r="E3653" s="2">
        <v>89</v>
      </c>
      <c r="F3653" s="2" t="e">
        <f>IF(Table2[[#This Row],[Manual Cat Value]]="",VLOOKUP(Table2[[#This Row],[Description]],'Actuals Lookup'!D:F,3,0),Table2[[#This Row],[Manual Cat Value]])</f>
        <v>#N/A</v>
      </c>
      <c r="J3653" s="2">
        <v>89</v>
      </c>
      <c r="K3653" s="2" t="b">
        <v>0</v>
      </c>
      <c r="L3653" s="2"/>
      <c r="M3653" s="2"/>
      <c r="N3653" s="4" t="s">
        <v>2259</v>
      </c>
      <c r="O3653" s="4" t="str">
        <f>LEFT(Table2[[#This Row],[Description]],75)</f>
        <v>BONFES SOUTH SAINT PMN</v>
      </c>
      <c r="P3653" s="2" t="s">
        <v>2281</v>
      </c>
    </row>
    <row r="3654" spans="1:16" hidden="1">
      <c r="A3654" s="2">
        <v>202011</v>
      </c>
      <c r="B3654" s="3">
        <v>44165</v>
      </c>
      <c r="C3654" s="2" t="s">
        <v>2262</v>
      </c>
      <c r="D3654" s="2" t="s">
        <v>338</v>
      </c>
      <c r="E3654" s="2">
        <v>30.75</v>
      </c>
      <c r="F3654" s="2" t="e">
        <f>IF(Table2[[#This Row],[Manual Cat Value]]="",VLOOKUP(Table2[[#This Row],[Description]],'Actuals Lookup'!D:F,3,0),Table2[[#This Row],[Manual Cat Value]])</f>
        <v>#N/A</v>
      </c>
      <c r="J3654" s="2">
        <v>30.75</v>
      </c>
      <c r="K3654" s="2" t="b">
        <v>0</v>
      </c>
      <c r="L3654" s="2"/>
      <c r="M3654" s="2"/>
      <c r="N3654" s="4" t="s">
        <v>2259</v>
      </c>
      <c r="O3654" s="4" t="str">
        <f>LEFT(Table2[[#This Row],[Description]],75)</f>
        <v>Byerly's</v>
      </c>
      <c r="P3654" s="2" t="s">
        <v>2364</v>
      </c>
    </row>
    <row r="3655" spans="1:16" hidden="1">
      <c r="A3655" s="2">
        <v>202011</v>
      </c>
      <c r="B3655" s="3">
        <v>44165</v>
      </c>
      <c r="C3655" s="2" t="s">
        <v>2317</v>
      </c>
      <c r="D3655" s="2" t="s">
        <v>354</v>
      </c>
      <c r="E3655" s="2">
        <v>-200</v>
      </c>
      <c r="F3655" s="2" t="e">
        <f>IF(Table2[[#This Row],[Manual Cat Value]]="",VLOOKUP(Table2[[#This Row],[Description]],'Actuals Lookup'!D:F,3,0),Table2[[#This Row],[Manual Cat Value]])</f>
        <v>#N/A</v>
      </c>
      <c r="J3655" s="2">
        <v>200</v>
      </c>
      <c r="K3655" s="2" t="b">
        <v>0</v>
      </c>
      <c r="L3655" s="2"/>
      <c r="M3655" s="2"/>
      <c r="N3655" s="4" t="s">
        <v>2273</v>
      </c>
      <c r="O3655" s="4" t="str">
        <f>LEFT(Table2[[#This Row],[Description]],75)</f>
        <v>CARGILL COCOA &amp;</v>
      </c>
      <c r="P3655" s="2" t="s">
        <v>2354</v>
      </c>
    </row>
    <row r="3656" spans="1:16" hidden="1">
      <c r="A3656" s="2">
        <v>202011</v>
      </c>
      <c r="B3656" s="3">
        <v>44165</v>
      </c>
      <c r="C3656" s="2" t="s">
        <v>2317</v>
      </c>
      <c r="D3656" s="2" t="s">
        <v>354</v>
      </c>
      <c r="E3656" s="2">
        <v>-200</v>
      </c>
      <c r="F3656" s="2" t="e">
        <f>IF(Table2[[#This Row],[Manual Cat Value]]="",VLOOKUP(Table2[[#This Row],[Description]],'Actuals Lookup'!D:F,3,0),Table2[[#This Row],[Manual Cat Value]])</f>
        <v>#N/A</v>
      </c>
      <c r="J3656" s="2">
        <v>200</v>
      </c>
      <c r="K3656" s="2" t="b">
        <v>0</v>
      </c>
      <c r="L3656" s="2"/>
      <c r="M3656" s="2"/>
      <c r="N3656" s="4" t="s">
        <v>2273</v>
      </c>
      <c r="O3656" s="4" t="str">
        <f>LEFT(Table2[[#This Row],[Description]],75)</f>
        <v>CARGILL COCOA &amp;</v>
      </c>
      <c r="P3656" s="2" t="s">
        <v>2354</v>
      </c>
    </row>
    <row r="3657" spans="1:16" hidden="1">
      <c r="A3657" s="2">
        <v>202011</v>
      </c>
      <c r="B3657" s="3">
        <v>44165</v>
      </c>
      <c r="C3657" s="2" t="s">
        <v>2265</v>
      </c>
      <c r="D3657" s="2" t="s">
        <v>374</v>
      </c>
      <c r="E3657" s="2">
        <v>-2607.65</v>
      </c>
      <c r="F3657" s="2" t="e">
        <f>IF(Table2[[#This Row],[Manual Cat Value]]="",VLOOKUP(Table2[[#This Row],[Description]],'Actuals Lookup'!D:F,3,0),Table2[[#This Row],[Manual Cat Value]])</f>
        <v>#N/A</v>
      </c>
      <c r="J3657" s="2">
        <v>2607.65</v>
      </c>
      <c r="K3657" s="2" t="b">
        <v>0</v>
      </c>
      <c r="L3657" s="2"/>
      <c r="M3657" s="2"/>
      <c r="N3657" s="4" t="s">
        <v>2273</v>
      </c>
      <c r="O3657" s="4" t="str">
        <f>LEFT(Table2[[#This Row],[Description]],75)</f>
        <v>CARGILL COCOA TYPE DIR DEP ID CO CARGILL COCOA ACH ECC PPD ACH Trace 33959</v>
      </c>
      <c r="P3657" s="2" t="s">
        <v>2284</v>
      </c>
    </row>
    <row r="3658" spans="1:16" hidden="1">
      <c r="A3658" s="2">
        <v>202011</v>
      </c>
      <c r="B3658" s="3">
        <v>44165</v>
      </c>
      <c r="C3658" s="2" t="s">
        <v>2265</v>
      </c>
      <c r="D3658" s="2" t="s">
        <v>382</v>
      </c>
      <c r="E3658" s="2">
        <v>-2713.75</v>
      </c>
      <c r="F3658" s="2" t="e">
        <f>IF(Table2[[#This Row],[Manual Cat Value]]="",VLOOKUP(Table2[[#This Row],[Description]],'Actuals Lookup'!D:F,3,0),Table2[[#This Row],[Manual Cat Value]])</f>
        <v>#N/A</v>
      </c>
      <c r="J3658" s="2">
        <v>2713.75</v>
      </c>
      <c r="K3658" s="2" t="b">
        <v>0</v>
      </c>
      <c r="L3658" s="2"/>
      <c r="M3658" s="2"/>
      <c r="N3658" s="4" t="s">
        <v>2273</v>
      </c>
      <c r="O3658" s="4" t="str">
        <f>LEFT(Table2[[#This Row],[Description]],75)</f>
        <v>CARGILL COCOA TYPE DIR DEP ID CO CARGILL COCOA ACH ECC PPD ACH Trace 54295</v>
      </c>
      <c r="P3658" s="2" t="s">
        <v>2284</v>
      </c>
    </row>
    <row r="3659" spans="1:16" hidden="1">
      <c r="A3659" s="2">
        <v>202011</v>
      </c>
      <c r="B3659" s="3">
        <v>44165</v>
      </c>
      <c r="C3659" s="2" t="s">
        <v>2265</v>
      </c>
      <c r="D3659" s="2" t="s">
        <v>425</v>
      </c>
      <c r="E3659" s="2">
        <v>-75</v>
      </c>
      <c r="F3659" s="2" t="e">
        <f>IF(Table2[[#This Row],[Manual Cat Value]]="",VLOOKUP(Table2[[#This Row],[Description]],'Actuals Lookup'!D:F,3,0),Table2[[#This Row],[Manual Cat Value]])</f>
        <v>#N/A</v>
      </c>
      <c r="J3659" s="2">
        <v>75</v>
      </c>
      <c r="K3659" s="2" t="b">
        <v>0</v>
      </c>
      <c r="L3659" s="2"/>
      <c r="M3659" s="2"/>
      <c r="N3659" s="4" t="s">
        <v>2273</v>
      </c>
      <c r="O3659" s="4" t="str">
        <f>LEFT(Table2[[#This Row],[Description]],75)</f>
        <v>Cargill Incorpor Type</v>
      </c>
      <c r="P3659" s="2" t="s">
        <v>2282</v>
      </c>
    </row>
    <row r="3660" spans="1:16" hidden="1">
      <c r="A3660" s="2">
        <v>202011</v>
      </c>
      <c r="B3660" s="3">
        <v>44165</v>
      </c>
      <c r="C3660" s="2" t="s">
        <v>2262</v>
      </c>
      <c r="D3660" s="2" t="s">
        <v>453</v>
      </c>
      <c r="E3660" s="2">
        <v>14.59</v>
      </c>
      <c r="F3660" s="2" t="str">
        <f>IF(Table2[[#This Row],[Manual Cat Value]]="",VLOOKUP(Table2[[#This Row],[Description]],'Actuals Lookup'!D:F,3,0),Table2[[#This Row],[Manual Cat Value]])</f>
        <v>Restaurants</v>
      </c>
      <c r="J3660" s="2">
        <v>14.59</v>
      </c>
      <c r="K3660" s="2" t="b">
        <v>0</v>
      </c>
      <c r="L3660" s="2"/>
      <c r="M3660" s="2"/>
      <c r="N3660" s="4" t="s">
        <v>2259</v>
      </c>
      <c r="O3660" s="4" t="str">
        <f>LEFT(Table2[[#This Row],[Description]],75)</f>
        <v>Caribou Coffee</v>
      </c>
      <c r="P3660" s="2" t="s">
        <v>2329</v>
      </c>
    </row>
    <row r="3661" spans="1:16" hidden="1">
      <c r="A3661" s="2">
        <v>202011</v>
      </c>
      <c r="B3661" s="3">
        <v>44165</v>
      </c>
      <c r="C3661" s="2" t="s">
        <v>2447</v>
      </c>
      <c r="D3661" s="2" t="s">
        <v>506</v>
      </c>
      <c r="E3661" s="2">
        <v>45</v>
      </c>
      <c r="F3661" s="2" t="str">
        <f>IF(Table2[[#This Row],[Manual Cat Value]]="",VLOOKUP(Table2[[#This Row],[Description]],'Actuals Lookup'!D:F,3,0),Table2[[#This Row],[Manual Cat Value]])</f>
        <v>Utilities</v>
      </c>
      <c r="J3661" s="2">
        <v>45</v>
      </c>
      <c r="K3661" s="2" t="b">
        <v>0</v>
      </c>
      <c r="L3661" s="2"/>
      <c r="M3661" s="2"/>
      <c r="N3661" s="4" t="s">
        <v>2259</v>
      </c>
      <c r="O3661" s="4" t="str">
        <f>LEFT(Table2[[#This Row],[Description]],75)</f>
        <v>CenturyLink</v>
      </c>
      <c r="P3661" s="2" t="s">
        <v>2408</v>
      </c>
    </row>
    <row r="3662" spans="1:16" hidden="1">
      <c r="A3662" s="2">
        <v>202011</v>
      </c>
      <c r="B3662" s="3">
        <v>44165</v>
      </c>
      <c r="C3662" s="2" t="s">
        <v>2258</v>
      </c>
      <c r="D3662" s="2" t="s">
        <v>506</v>
      </c>
      <c r="E3662" s="2">
        <v>45</v>
      </c>
      <c r="F3662" s="2" t="str">
        <f>IF(Table2[[#This Row],[Manual Cat Value]]="",VLOOKUP(Table2[[#This Row],[Description]],'Actuals Lookup'!D:F,3,0),Table2[[#This Row],[Manual Cat Value]])</f>
        <v>Utilities</v>
      </c>
      <c r="J3662" s="2">
        <v>45</v>
      </c>
      <c r="K3662" s="2" t="b">
        <v>0</v>
      </c>
      <c r="L3662" s="2"/>
      <c r="M3662" s="2"/>
      <c r="N3662" s="4" t="s">
        <v>2259</v>
      </c>
      <c r="O3662" s="4" t="str">
        <f>LEFT(Table2[[#This Row],[Description]],75)</f>
        <v>CenturyLink</v>
      </c>
      <c r="P3662" s="2" t="s">
        <v>2408</v>
      </c>
    </row>
    <row r="3663" spans="1:16" hidden="1">
      <c r="A3663" s="2">
        <v>202011</v>
      </c>
      <c r="B3663" s="3">
        <v>44165</v>
      </c>
      <c r="C3663" s="2" t="s">
        <v>2265</v>
      </c>
      <c r="D3663" s="2" t="s">
        <v>529</v>
      </c>
      <c r="E3663" s="2">
        <v>350</v>
      </c>
      <c r="F3663" s="2" t="e">
        <f>IF(Table2[[#This Row],[Manual Cat Value]]="",VLOOKUP(Table2[[#This Row],[Description]],'Actuals Lookup'!D:F,3,0),Table2[[#This Row],[Manual Cat Value]])</f>
        <v>#N/A</v>
      </c>
      <c r="J3663" s="2">
        <v>350</v>
      </c>
      <c r="K3663" s="2" t="b">
        <v>0</v>
      </c>
      <c r="L3663" s="2"/>
      <c r="M3663" s="2"/>
      <c r="N3663" s="4" t="s">
        <v>2259</v>
      </c>
      <c r="O3663" s="4" t="str">
        <f>LEFT(Table2[[#This Row],[Description]],75)</f>
        <v>CHECK 2183 2183</v>
      </c>
      <c r="P3663" s="2" t="s">
        <v>2281</v>
      </c>
    </row>
    <row r="3664" spans="1:16" hidden="1">
      <c r="A3664" s="2">
        <v>202011</v>
      </c>
      <c r="B3664" s="3">
        <v>44165</v>
      </c>
      <c r="C3664" s="2" t="s">
        <v>2265</v>
      </c>
      <c r="D3664" s="2" t="s">
        <v>557</v>
      </c>
      <c r="E3664" s="2">
        <v>208.82</v>
      </c>
      <c r="F3664" s="2" t="e">
        <f>IF(Table2[[#This Row],[Manual Cat Value]]="",VLOOKUP(Table2[[#This Row],[Description]],'Actuals Lookup'!D:F,3,0),Table2[[#This Row],[Manual Cat Value]])</f>
        <v>#N/A</v>
      </c>
      <c r="J3664" s="2">
        <v>208.82</v>
      </c>
      <c r="K3664" s="2" t="b">
        <v>0</v>
      </c>
      <c r="L3664" s="2"/>
      <c r="M3664" s="2"/>
      <c r="N3664" s="4" t="s">
        <v>2259</v>
      </c>
      <c r="O3664" s="4" t="str">
        <f>LEFT(Table2[[#This Row],[Description]],75)</f>
        <v>City of Chanhassen</v>
      </c>
      <c r="P3664" s="2" t="s">
        <v>2298</v>
      </c>
    </row>
    <row r="3665" spans="1:16" hidden="1">
      <c r="A3665" s="2">
        <v>202011</v>
      </c>
      <c r="B3665" s="3">
        <v>44165</v>
      </c>
      <c r="C3665" s="2" t="s">
        <v>2317</v>
      </c>
      <c r="D3665" s="2" t="s">
        <v>605</v>
      </c>
      <c r="E3665" s="2">
        <v>-250</v>
      </c>
      <c r="F3665" s="2" t="e">
        <f>IF(Table2[[#This Row],[Manual Cat Value]]="",VLOOKUP(Table2[[#This Row],[Description]],'Actuals Lookup'!D:F,3,0),Table2[[#This Row],[Manual Cat Value]])</f>
        <v>#N/A</v>
      </c>
      <c r="J3665" s="2">
        <v>250</v>
      </c>
      <c r="K3665" s="2" t="b">
        <v>0</v>
      </c>
      <c r="L3665" s="2"/>
      <c r="M3665" s="2"/>
      <c r="N3665" s="4" t="s">
        <v>2273</v>
      </c>
      <c r="O3665" s="4" t="str">
        <f>LEFT(Table2[[#This Row],[Description]],75)</f>
        <v>CONNECTED ANALYT</v>
      </c>
      <c r="P3665" s="2" t="s">
        <v>2493</v>
      </c>
    </row>
    <row r="3666" spans="1:16" hidden="1">
      <c r="A3666" s="2">
        <v>202011</v>
      </c>
      <c r="B3666" s="3">
        <v>44165</v>
      </c>
      <c r="C3666" s="2" t="s">
        <v>2317</v>
      </c>
      <c r="D3666" s="2" t="s">
        <v>605</v>
      </c>
      <c r="E3666" s="2">
        <v>-250</v>
      </c>
      <c r="F3666" s="2" t="e">
        <f>IF(Table2[[#This Row],[Manual Cat Value]]="",VLOOKUP(Table2[[#This Row],[Description]],'Actuals Lookup'!D:F,3,0),Table2[[#This Row],[Manual Cat Value]])</f>
        <v>#N/A</v>
      </c>
      <c r="J3666" s="2">
        <v>250</v>
      </c>
      <c r="K3666" s="2" t="b">
        <v>0</v>
      </c>
      <c r="L3666" s="2"/>
      <c r="M3666" s="2"/>
      <c r="N3666" s="4" t="s">
        <v>2273</v>
      </c>
      <c r="O3666" s="4" t="str">
        <f>LEFT(Table2[[#This Row],[Description]],75)</f>
        <v>CONNECTED ANALYT</v>
      </c>
      <c r="P3666" s="2" t="s">
        <v>2493</v>
      </c>
    </row>
    <row r="3667" spans="1:16" hidden="1">
      <c r="A3667" s="2">
        <v>202011</v>
      </c>
      <c r="B3667" s="3">
        <v>44165</v>
      </c>
      <c r="C3667" s="2" t="s">
        <v>2265</v>
      </c>
      <c r="D3667" s="2" t="s">
        <v>624</v>
      </c>
      <c r="E3667" s="2">
        <v>-2385.59</v>
      </c>
      <c r="F3667" s="2" t="e">
        <f>IF(Table2[[#This Row],[Manual Cat Value]]="",VLOOKUP(Table2[[#This Row],[Description]],'Actuals Lookup'!D:F,3,0),Table2[[#This Row],[Manual Cat Value]])</f>
        <v>#N/A</v>
      </c>
      <c r="J3667" s="2">
        <v>2385.59</v>
      </c>
      <c r="K3667" s="2" t="b">
        <v>0</v>
      </c>
      <c r="L3667" s="2"/>
      <c r="M3667" s="2"/>
      <c r="N3667" s="4" t="s">
        <v>2273</v>
      </c>
      <c r="O3667" s="4" t="str">
        <f>LEFT(Table2[[#This Row],[Description]],75)</f>
        <v>CONNECTED ANALYT TYPE DIRECT DEP ID CO CONNECTED ANALYT ACH ECC PPD ACH Tra</v>
      </c>
      <c r="P3667" s="2" t="s">
        <v>2281</v>
      </c>
    </row>
    <row r="3668" spans="1:16" hidden="1">
      <c r="A3668" s="2">
        <v>202011</v>
      </c>
      <c r="B3668" s="3">
        <v>44165</v>
      </c>
      <c r="C3668" s="2" t="s">
        <v>2265</v>
      </c>
      <c r="D3668" s="2" t="s">
        <v>636</v>
      </c>
      <c r="E3668" s="2">
        <v>-2335.58</v>
      </c>
      <c r="F3668" s="2" t="e">
        <f>IF(Table2[[#This Row],[Manual Cat Value]]="",VLOOKUP(Table2[[#This Row],[Description]],'Actuals Lookup'!D:F,3,0),Table2[[#This Row],[Manual Cat Value]])</f>
        <v>#N/A</v>
      </c>
      <c r="J3668" s="2">
        <v>2335.58</v>
      </c>
      <c r="K3668" s="2" t="b">
        <v>0</v>
      </c>
      <c r="L3668" s="2"/>
      <c r="M3668" s="2"/>
      <c r="N3668" s="4" t="s">
        <v>2273</v>
      </c>
      <c r="O3668" s="4" t="str">
        <f>LEFT(Table2[[#This Row],[Description]],75)</f>
        <v>CONNECTED ANALYT TYPE DIRECT DEP ID CO CONNECTED ANALYT ACH ECC PPD ACH Tra</v>
      </c>
      <c r="P3668" s="2" t="s">
        <v>2281</v>
      </c>
    </row>
    <row r="3669" spans="1:16" hidden="1">
      <c r="A3669" s="2">
        <v>202011</v>
      </c>
      <c r="B3669" s="3">
        <v>44165</v>
      </c>
      <c r="C3669" s="2" t="s">
        <v>2265</v>
      </c>
      <c r="D3669" s="2" t="s">
        <v>637</v>
      </c>
      <c r="E3669" s="2">
        <v>-61.63</v>
      </c>
      <c r="F3669" s="2" t="e">
        <f>IF(Table2[[#This Row],[Manual Cat Value]]="",VLOOKUP(Table2[[#This Row],[Description]],'Actuals Lookup'!D:F,3,0),Table2[[#This Row],[Manual Cat Value]])</f>
        <v>#N/A</v>
      </c>
      <c r="J3669" s="2">
        <v>61.63</v>
      </c>
      <c r="K3669" s="2" t="b">
        <v>0</v>
      </c>
      <c r="L3669" s="2"/>
      <c r="M3669" s="2"/>
      <c r="N3669" s="4" t="s">
        <v>2273</v>
      </c>
      <c r="O3669" s="4" t="str">
        <f>LEFT(Table2[[#This Row],[Description]],75)</f>
        <v>Connectyourcare Type Svbclaims</v>
      </c>
      <c r="P3669" s="2" t="s">
        <v>2281</v>
      </c>
    </row>
    <row r="3670" spans="1:16" hidden="1">
      <c r="A3670" s="2">
        <v>202011</v>
      </c>
      <c r="B3670" s="3">
        <v>44165</v>
      </c>
      <c r="C3670" s="2" t="s">
        <v>2265</v>
      </c>
      <c r="D3670" s="2" t="s">
        <v>637</v>
      </c>
      <c r="E3670" s="2">
        <v>-24.52</v>
      </c>
      <c r="F3670" s="2" t="e">
        <f>IF(Table2[[#This Row],[Manual Cat Value]]="",VLOOKUP(Table2[[#This Row],[Description]],'Actuals Lookup'!D:F,3,0),Table2[[#This Row],[Manual Cat Value]])</f>
        <v>#N/A</v>
      </c>
      <c r="J3670" s="2">
        <v>24.52</v>
      </c>
      <c r="K3670" s="2" t="b">
        <v>0</v>
      </c>
      <c r="L3670" s="2"/>
      <c r="M3670" s="2"/>
      <c r="N3670" s="4" t="s">
        <v>2273</v>
      </c>
      <c r="O3670" s="4" t="str">
        <f>LEFT(Table2[[#This Row],[Description]],75)</f>
        <v>Connectyourcare Type Svbclaims</v>
      </c>
      <c r="P3670" s="2" t="s">
        <v>2281</v>
      </c>
    </row>
    <row r="3671" spans="1:16" hidden="1">
      <c r="A3671" s="2">
        <v>202011</v>
      </c>
      <c r="B3671" s="3">
        <v>44165</v>
      </c>
      <c r="C3671" s="2" t="s">
        <v>2262</v>
      </c>
      <c r="D3671" s="2" t="s">
        <v>684</v>
      </c>
      <c r="E3671" s="2">
        <v>135.31</v>
      </c>
      <c r="F3671" s="2" t="str">
        <f>IF(Table2[[#This Row],[Manual Cat Value]]="",VLOOKUP(Table2[[#This Row],[Description]],'Actuals Lookup'!D:F,3,0),Table2[[#This Row],[Manual Cat Value]])</f>
        <v>Groceries</v>
      </c>
      <c r="J3671" s="2">
        <v>135.31</v>
      </c>
      <c r="K3671" s="2" t="b">
        <v>0</v>
      </c>
      <c r="L3671" s="2"/>
      <c r="M3671" s="2"/>
      <c r="N3671" s="4" t="s">
        <v>2259</v>
      </c>
      <c r="O3671" s="4" t="str">
        <f>LEFT(Table2[[#This Row],[Description]],75)</f>
        <v>Cub Foods</v>
      </c>
      <c r="P3671" s="2" t="s">
        <v>2370</v>
      </c>
    </row>
    <row r="3672" spans="1:16" hidden="1">
      <c r="A3672" s="2">
        <v>202011</v>
      </c>
      <c r="B3672" s="3">
        <v>44165</v>
      </c>
      <c r="C3672" s="2" t="s">
        <v>2262</v>
      </c>
      <c r="D3672" s="2" t="s">
        <v>684</v>
      </c>
      <c r="E3672" s="2">
        <v>142.46</v>
      </c>
      <c r="F3672" s="2" t="str">
        <f>IF(Table2[[#This Row],[Manual Cat Value]]="",VLOOKUP(Table2[[#This Row],[Description]],'Actuals Lookup'!D:F,3,0),Table2[[#This Row],[Manual Cat Value]])</f>
        <v>Groceries</v>
      </c>
      <c r="J3672" s="2">
        <v>142.46</v>
      </c>
      <c r="K3672" s="2" t="b">
        <v>0</v>
      </c>
      <c r="L3672" s="2"/>
      <c r="M3672" s="2"/>
      <c r="N3672" s="4" t="s">
        <v>2259</v>
      </c>
      <c r="O3672" s="4" t="str">
        <f>LEFT(Table2[[#This Row],[Description]],75)</f>
        <v>Cub Foods</v>
      </c>
      <c r="P3672" s="2" t="s">
        <v>2370</v>
      </c>
    </row>
    <row r="3673" spans="1:16" hidden="1">
      <c r="A3673" s="2">
        <v>202011</v>
      </c>
      <c r="B3673" s="3">
        <v>44165</v>
      </c>
      <c r="C3673" s="2" t="s">
        <v>2262</v>
      </c>
      <c r="D3673" s="2" t="s">
        <v>684</v>
      </c>
      <c r="E3673" s="2">
        <v>67.36</v>
      </c>
      <c r="F3673" s="2" t="str">
        <f>IF(Table2[[#This Row],[Manual Cat Value]]="",VLOOKUP(Table2[[#This Row],[Description]],'Actuals Lookup'!D:F,3,0),Table2[[#This Row],[Manual Cat Value]])</f>
        <v>Groceries</v>
      </c>
      <c r="J3673" s="2">
        <v>67.36</v>
      </c>
      <c r="K3673" s="2" t="b">
        <v>0</v>
      </c>
      <c r="L3673" s="2"/>
      <c r="M3673" s="2"/>
      <c r="N3673" s="4" t="s">
        <v>2259</v>
      </c>
      <c r="O3673" s="4" t="str">
        <f>LEFT(Table2[[#This Row],[Description]],75)</f>
        <v>Cub Foods</v>
      </c>
      <c r="P3673" s="2" t="s">
        <v>2370</v>
      </c>
    </row>
    <row r="3674" spans="1:16" hidden="1">
      <c r="A3674" s="2">
        <v>202011</v>
      </c>
      <c r="B3674" s="3">
        <v>44165</v>
      </c>
      <c r="C3674" s="2" t="s">
        <v>2265</v>
      </c>
      <c r="D3674" s="2" t="s">
        <v>710</v>
      </c>
      <c r="E3674" s="2">
        <v>-4529.76</v>
      </c>
      <c r="F3674" s="2" t="str">
        <f>IF(Table2[[#This Row],[Manual Cat Value]]="",VLOOKUP(Table2[[#This Row],[Description]],'Actuals Lookup'!D:F,3,0),Table2[[#This Row],[Manual Cat Value]])</f>
        <v>Delete</v>
      </c>
      <c r="J3674" s="2">
        <v>4529.76</v>
      </c>
      <c r="K3674" s="2" t="b">
        <v>0</v>
      </c>
      <c r="L3674" s="2"/>
      <c r="M3674" s="2"/>
      <c r="N3674" s="4" t="s">
        <v>2273</v>
      </c>
      <c r="O3674" s="4" t="str">
        <f>LEFT(Table2[[#This Row],[Description]],75)</f>
        <v>Deposit by Check Deposit Anywhere check deposit</v>
      </c>
      <c r="P3674" s="2" t="s">
        <v>2281</v>
      </c>
    </row>
    <row r="3675" spans="1:16" hidden="1">
      <c r="A3675" s="2">
        <v>202011</v>
      </c>
      <c r="B3675" s="3">
        <v>44165</v>
      </c>
      <c r="C3675" s="2" t="s">
        <v>2265</v>
      </c>
      <c r="D3675" s="2" t="s">
        <v>710</v>
      </c>
      <c r="E3675" s="2">
        <v>-100</v>
      </c>
      <c r="F3675" s="2" t="str">
        <f>IF(Table2[[#This Row],[Manual Cat Value]]="",VLOOKUP(Table2[[#This Row],[Description]],'Actuals Lookup'!D:F,3,0),Table2[[#This Row],[Manual Cat Value]])</f>
        <v>Delete</v>
      </c>
      <c r="J3675" s="2">
        <v>100</v>
      </c>
      <c r="K3675" s="2" t="b">
        <v>0</v>
      </c>
      <c r="L3675" s="2"/>
      <c r="M3675" s="2"/>
      <c r="N3675" s="4" t="s">
        <v>2273</v>
      </c>
      <c r="O3675" s="4" t="str">
        <f>LEFT(Table2[[#This Row],[Description]],75)</f>
        <v>Deposit by Check Deposit Anywhere check deposit</v>
      </c>
      <c r="P3675" s="2" t="s">
        <v>2281</v>
      </c>
    </row>
    <row r="3676" spans="1:16" hidden="1">
      <c r="A3676" s="2">
        <v>202011</v>
      </c>
      <c r="B3676" s="3">
        <v>44165</v>
      </c>
      <c r="C3676" s="2" t="s">
        <v>2262</v>
      </c>
      <c r="D3676" s="2" t="s">
        <v>808</v>
      </c>
      <c r="E3676" s="2">
        <v>52</v>
      </c>
      <c r="F3676" s="2" t="str">
        <f>IF(Table2[[#This Row],[Manual Cat Value]]="",VLOOKUP(Table2[[#This Row],[Description]],'Actuals Lookup'!D:F,3,0),Table2[[#This Row],[Manual Cat Value]])</f>
        <v>Misc</v>
      </c>
      <c r="J3676" s="2">
        <v>52</v>
      </c>
      <c r="K3676" s="2" t="b">
        <v>0</v>
      </c>
      <c r="L3676" s="2"/>
      <c r="M3676" s="2"/>
      <c r="N3676" s="4" t="s">
        <v>2259</v>
      </c>
      <c r="O3676" s="4" t="str">
        <f>LEFT(Table2[[#This Row],[Description]],75)</f>
        <v>Elite Nails</v>
      </c>
      <c r="P3676" s="2" t="s">
        <v>2487</v>
      </c>
    </row>
    <row r="3677" spans="1:16" hidden="1">
      <c r="A3677" s="2">
        <v>202011</v>
      </c>
      <c r="B3677" s="3">
        <v>44165</v>
      </c>
      <c r="C3677" s="2" t="s">
        <v>2262</v>
      </c>
      <c r="D3677" s="2" t="s">
        <v>842</v>
      </c>
      <c r="E3677" s="2">
        <v>71.739999999999995</v>
      </c>
      <c r="F3677" s="2" t="e">
        <f>IF(Table2[[#This Row],[Manual Cat Value]]="",VLOOKUP(Table2[[#This Row],[Description]],'Actuals Lookup'!D:F,3,0),Table2[[#This Row],[Manual Cat Value]])</f>
        <v>#N/A</v>
      </c>
      <c r="J3677" s="2">
        <v>71.739999999999995</v>
      </c>
      <c r="K3677" s="2" t="b">
        <v>0</v>
      </c>
      <c r="L3677" s="2"/>
      <c r="M3677" s="2"/>
      <c r="N3677" s="4" t="s">
        <v>2259</v>
      </c>
      <c r="O3677" s="4" t="str">
        <f>LEFT(Table2[[#This Row],[Description]],75)</f>
        <v>Fields</v>
      </c>
      <c r="P3677" s="2" t="s">
        <v>2281</v>
      </c>
    </row>
    <row r="3678" spans="1:16" hidden="1">
      <c r="A3678" s="2">
        <v>202011</v>
      </c>
      <c r="B3678" s="3">
        <v>44165</v>
      </c>
      <c r="C3678" s="2" t="s">
        <v>2274</v>
      </c>
      <c r="D3678" s="2" t="s">
        <v>994</v>
      </c>
      <c r="E3678" s="2">
        <v>-0.02</v>
      </c>
      <c r="F3678" s="2" t="e">
        <f>IF(Table2[[#This Row],[Manual Cat Value]]="",VLOOKUP(Table2[[#This Row],[Description]],'Actuals Lookup'!D:F,3,0),Table2[[#This Row],[Manual Cat Value]])</f>
        <v>#N/A</v>
      </c>
      <c r="J3678" s="2">
        <v>0.02</v>
      </c>
      <c r="K3678" s="2" t="b">
        <v>0</v>
      </c>
      <c r="L3678" s="2"/>
      <c r="M3678" s="2"/>
      <c r="N3678" s="4" t="s">
        <v>2273</v>
      </c>
      <c r="O3678" s="4" t="str">
        <f>LEFT(Table2[[#This Row],[Description]],75)</f>
        <v>Interest Paid</v>
      </c>
      <c r="P3678" s="2" t="s">
        <v>2312</v>
      </c>
    </row>
    <row r="3679" spans="1:16" hidden="1">
      <c r="A3679" s="2">
        <v>202011</v>
      </c>
      <c r="B3679" s="3">
        <v>44165</v>
      </c>
      <c r="C3679" s="2" t="s">
        <v>2262</v>
      </c>
      <c r="D3679" s="2" t="s">
        <v>1068</v>
      </c>
      <c r="E3679" s="2">
        <v>23.5</v>
      </c>
      <c r="F3679" s="2" t="str">
        <f>IF(Table2[[#This Row],[Manual Cat Value]]="",VLOOKUP(Table2[[#This Row],[Description]],'Actuals Lookup'!D:F,3,0),Table2[[#This Row],[Manual Cat Value]])</f>
        <v>Misc</v>
      </c>
      <c r="J3679" s="2">
        <v>23.5</v>
      </c>
      <c r="K3679" s="2" t="b">
        <v>0</v>
      </c>
      <c r="L3679" s="2"/>
      <c r="M3679" s="2"/>
      <c r="N3679" s="4" t="s">
        <v>2259</v>
      </c>
      <c r="O3679" s="4" t="str">
        <f>LEFT(Table2[[#This Row],[Description]],75)</f>
        <v>Kids Hair</v>
      </c>
      <c r="P3679" s="2" t="s">
        <v>2281</v>
      </c>
    </row>
    <row r="3680" spans="1:16" hidden="1">
      <c r="A3680" s="2">
        <v>202011</v>
      </c>
      <c r="B3680" s="3">
        <v>44165</v>
      </c>
      <c r="C3680" s="2" t="s">
        <v>2262</v>
      </c>
      <c r="D3680" s="2" t="s">
        <v>1095</v>
      </c>
      <c r="E3680" s="2">
        <v>3.68</v>
      </c>
      <c r="F3680" s="2" t="e">
        <f>IF(Table2[[#This Row],[Manual Cat Value]]="",VLOOKUP(Table2[[#This Row],[Description]],'Actuals Lookup'!D:F,3,0),Table2[[#This Row],[Manual Cat Value]])</f>
        <v>#N/A</v>
      </c>
      <c r="J3680" s="2">
        <v>3.68</v>
      </c>
      <c r="K3680" s="2" t="b">
        <v>0</v>
      </c>
      <c r="L3680" s="2"/>
      <c r="M3680" s="2"/>
      <c r="N3680" s="4" t="s">
        <v>2259</v>
      </c>
      <c r="O3680" s="4" t="str">
        <f>LEFT(Table2[[#This Row],[Description]],75)</f>
        <v>LAKEWINDS CHANHASSEN CHANHASSEN MN</v>
      </c>
      <c r="P3680" s="2" t="s">
        <v>2517</v>
      </c>
    </row>
    <row r="3681" spans="1:16" hidden="1">
      <c r="A3681" s="2">
        <v>202011</v>
      </c>
      <c r="B3681" s="3">
        <v>44165</v>
      </c>
      <c r="C3681" s="2" t="s">
        <v>2447</v>
      </c>
      <c r="D3681" s="2" t="s">
        <v>1168</v>
      </c>
      <c r="E3681" s="2">
        <v>29.14</v>
      </c>
      <c r="F3681" s="2" t="str">
        <f>IF(Table2[[#This Row],[Manual Cat Value]]="",VLOOKUP(Table2[[#This Row],[Description]],'Actuals Lookup'!D:F,3,0),Table2[[#This Row],[Manual Cat Value]])</f>
        <v>Transportation</v>
      </c>
      <c r="J3681" s="2">
        <v>29.14</v>
      </c>
      <c r="K3681" s="2" t="b">
        <v>0</v>
      </c>
      <c r="L3681" s="2"/>
      <c r="M3681" s="2"/>
      <c r="N3681" s="4" t="s">
        <v>2259</v>
      </c>
      <c r="O3681" s="4" t="str">
        <f>LEFT(Table2[[#This Row],[Description]],75)</f>
        <v>Lyft</v>
      </c>
      <c r="P3681" s="2" t="s">
        <v>2414</v>
      </c>
    </row>
    <row r="3682" spans="1:16" hidden="1">
      <c r="A3682" s="2">
        <v>202011</v>
      </c>
      <c r="B3682" s="3">
        <v>44165</v>
      </c>
      <c r="C3682" s="2" t="s">
        <v>2258</v>
      </c>
      <c r="D3682" s="2" t="s">
        <v>1168</v>
      </c>
      <c r="E3682" s="2">
        <v>29.14</v>
      </c>
      <c r="F3682" s="2" t="str">
        <f>IF(Table2[[#This Row],[Manual Cat Value]]="",VLOOKUP(Table2[[#This Row],[Description]],'Actuals Lookup'!D:F,3,0),Table2[[#This Row],[Manual Cat Value]])</f>
        <v>Transportation</v>
      </c>
      <c r="J3682" s="2">
        <v>29.14</v>
      </c>
      <c r="K3682" s="2" t="b">
        <v>0</v>
      </c>
      <c r="L3682" s="2"/>
      <c r="M3682" s="2"/>
      <c r="N3682" s="4" t="s">
        <v>2259</v>
      </c>
      <c r="O3682" s="4" t="str">
        <f>LEFT(Table2[[#This Row],[Description]],75)</f>
        <v>Lyft</v>
      </c>
      <c r="P3682" s="2" t="s">
        <v>2414</v>
      </c>
    </row>
    <row r="3683" spans="1:16" hidden="1">
      <c r="A3683" s="2">
        <v>202011</v>
      </c>
      <c r="B3683" s="3">
        <v>44165</v>
      </c>
      <c r="C3683" s="2" t="s">
        <v>2262</v>
      </c>
      <c r="D3683" s="2" t="s">
        <v>1172</v>
      </c>
      <c r="E3683" s="2">
        <v>69.7</v>
      </c>
      <c r="F3683" s="2" t="e">
        <f>IF(Table2[[#This Row],[Manual Cat Value]]="",VLOOKUP(Table2[[#This Row],[Description]],'Actuals Lookup'!D:F,3,0),Table2[[#This Row],[Manual Cat Value]])</f>
        <v>#N/A</v>
      </c>
      <c r="J3683" s="2">
        <v>69.7</v>
      </c>
      <c r="K3683" s="2" t="b">
        <v>0</v>
      </c>
      <c r="L3683" s="2"/>
      <c r="M3683" s="2"/>
      <c r="N3683" s="4" t="s">
        <v>2259</v>
      </c>
      <c r="O3683" s="4" t="str">
        <f>LEFT(Table2[[#This Row],[Description]],75)</f>
        <v>MACKENTHUNSMEATSANDDELI ST BONIFACIUSMN</v>
      </c>
      <c r="P3683" s="2" t="s">
        <v>2516</v>
      </c>
    </row>
    <row r="3684" spans="1:16" hidden="1">
      <c r="A3684" s="2">
        <v>202011</v>
      </c>
      <c r="B3684" s="3">
        <v>44165</v>
      </c>
      <c r="C3684" s="2" t="s">
        <v>2262</v>
      </c>
      <c r="D3684" s="2" t="s">
        <v>1177</v>
      </c>
      <c r="E3684" s="2">
        <v>26.98</v>
      </c>
      <c r="F3684" s="2" t="e">
        <f>IF(Table2[[#This Row],[Manual Cat Value]]="",VLOOKUP(Table2[[#This Row],[Description]],'Actuals Lookup'!D:F,3,0),Table2[[#This Row],[Manual Cat Value]])</f>
        <v>#N/A</v>
      </c>
      <c r="J3684" s="2">
        <v>26.98</v>
      </c>
      <c r="K3684" s="2" t="b">
        <v>0</v>
      </c>
      <c r="L3684" s="2"/>
      <c r="M3684" s="2"/>
      <c r="N3684" s="4" t="s">
        <v>2259</v>
      </c>
      <c r="O3684" s="4" t="str">
        <f>LEFT(Table2[[#This Row],[Description]],75)</f>
        <v>MAGERS AND QUINN BOOKSELLMINNEAPOLIS MN</v>
      </c>
      <c r="P3684" s="2" t="s">
        <v>2281</v>
      </c>
    </row>
    <row r="3685" spans="1:16" hidden="1">
      <c r="A3685" s="2">
        <v>202011</v>
      </c>
      <c r="B3685" s="3">
        <v>44165</v>
      </c>
      <c r="C3685" s="2" t="s">
        <v>2265</v>
      </c>
      <c r="D3685" s="2" t="s">
        <v>1197</v>
      </c>
      <c r="E3685" s="2">
        <v>391.2</v>
      </c>
      <c r="F3685" s="2" t="e">
        <f>IF(Table2[[#This Row],[Manual Cat Value]]="",VLOOKUP(Table2[[#This Row],[Description]],'Actuals Lookup'!D:F,3,0),Table2[[#This Row],[Manual Cat Value]])</f>
        <v>#N/A</v>
      </c>
      <c r="J3685" s="2">
        <v>391.2</v>
      </c>
      <c r="K3685" s="2" t="b">
        <v>0</v>
      </c>
      <c r="L3685" s="2"/>
      <c r="M3685" s="2"/>
      <c r="N3685" s="4" t="s">
        <v>2259</v>
      </c>
      <c r="O3685" s="4" t="str">
        <f>LEFT(Table2[[#This Row],[Description]],75)</f>
        <v>MHCHILDCARELLC TYPE DUES ID CO MHCHILDCARELLC ACH ECC PPD ACH Trace 00898</v>
      </c>
      <c r="P3685" s="2" t="s">
        <v>2497</v>
      </c>
    </row>
    <row r="3686" spans="1:16" hidden="1">
      <c r="A3686" s="2">
        <v>202011</v>
      </c>
      <c r="B3686" s="3">
        <v>44165</v>
      </c>
      <c r="C3686" s="2" t="s">
        <v>2265</v>
      </c>
      <c r="D3686" s="2" t="s">
        <v>1206</v>
      </c>
      <c r="E3686" s="2">
        <v>391.2</v>
      </c>
      <c r="F3686" s="2" t="e">
        <f>IF(Table2[[#This Row],[Manual Cat Value]]="",VLOOKUP(Table2[[#This Row],[Description]],'Actuals Lookup'!D:F,3,0),Table2[[#This Row],[Manual Cat Value]])</f>
        <v>#N/A</v>
      </c>
      <c r="J3686" s="2">
        <v>391.2</v>
      </c>
      <c r="K3686" s="2" t="b">
        <v>0</v>
      </c>
      <c r="L3686" s="2"/>
      <c r="M3686" s="2"/>
      <c r="N3686" s="4" t="s">
        <v>2259</v>
      </c>
      <c r="O3686" s="4" t="str">
        <f>LEFT(Table2[[#This Row],[Description]],75)</f>
        <v>MHCHILDCARELLC TYPE DUES ID CO MHCHILDCARELLC ACH ECC PPD ACH Trace 11581</v>
      </c>
      <c r="P3686" s="2" t="s">
        <v>2497</v>
      </c>
    </row>
    <row r="3687" spans="1:16" hidden="1">
      <c r="A3687" s="2">
        <v>202011</v>
      </c>
      <c r="B3687" s="3">
        <v>44165</v>
      </c>
      <c r="C3687" s="2" t="s">
        <v>2265</v>
      </c>
      <c r="D3687" s="2" t="s">
        <v>1240</v>
      </c>
      <c r="E3687" s="2">
        <v>391.2</v>
      </c>
      <c r="F3687" s="2" t="e">
        <f>IF(Table2[[#This Row],[Manual Cat Value]]="",VLOOKUP(Table2[[#This Row],[Description]],'Actuals Lookup'!D:F,3,0),Table2[[#This Row],[Manual Cat Value]])</f>
        <v>#N/A</v>
      </c>
      <c r="J3687" s="2">
        <v>391.2</v>
      </c>
      <c r="K3687" s="2" t="b">
        <v>0</v>
      </c>
      <c r="L3687" s="2"/>
      <c r="M3687" s="2"/>
      <c r="N3687" s="4" t="s">
        <v>2259</v>
      </c>
      <c r="O3687" s="4" t="str">
        <f>LEFT(Table2[[#This Row],[Description]],75)</f>
        <v>MHCHILDCARELLC TYPE DUES ID CO MHCHILDCARELLC ACH ECC PPD ACH Trace 82900</v>
      </c>
      <c r="P3687" s="2" t="s">
        <v>2497</v>
      </c>
    </row>
    <row r="3688" spans="1:16" hidden="1">
      <c r="A3688" s="2">
        <v>202011</v>
      </c>
      <c r="B3688" s="3">
        <v>44165</v>
      </c>
      <c r="C3688" s="2" t="s">
        <v>2262</v>
      </c>
      <c r="D3688" s="2" t="s">
        <v>1254</v>
      </c>
      <c r="E3688" s="2">
        <v>15.42</v>
      </c>
      <c r="F3688" s="2" t="e">
        <f>IF(Table2[[#This Row],[Manual Cat Value]]="",VLOOKUP(Table2[[#This Row],[Description]],'Actuals Lookup'!D:F,3,0),Table2[[#This Row],[Manual Cat Value]])</f>
        <v>#N/A</v>
      </c>
      <c r="J3688" s="2">
        <v>15.42</v>
      </c>
      <c r="K3688" s="2" t="b">
        <v>0</v>
      </c>
      <c r="L3688" s="2"/>
      <c r="M3688" s="2"/>
      <c r="N3688" s="4" t="s">
        <v>2259</v>
      </c>
      <c r="O3688" s="4" t="str">
        <f>LEFT(Table2[[#This Row],[Description]],75)</f>
        <v>Milios Sandwiches</v>
      </c>
      <c r="P3688" s="2" t="s">
        <v>2476</v>
      </c>
    </row>
    <row r="3689" spans="1:16" hidden="1">
      <c r="A3689" s="2">
        <v>202011</v>
      </c>
      <c r="B3689" s="3">
        <v>44165</v>
      </c>
      <c r="C3689" s="2" t="s">
        <v>2262</v>
      </c>
      <c r="D3689" s="2" t="s">
        <v>1275</v>
      </c>
      <c r="E3689" s="2">
        <v>26</v>
      </c>
      <c r="F3689" s="2" t="str">
        <f>IF(Table2[[#This Row],[Manual Cat Value]]="",VLOOKUP(Table2[[#This Row],[Description]],'Actuals Lookup'!D:F,3,0),Table2[[#This Row],[Manual Cat Value]])</f>
        <v>Transportation</v>
      </c>
      <c r="J3689" s="2">
        <v>26</v>
      </c>
      <c r="K3689" s="2" t="b">
        <v>0</v>
      </c>
      <c r="L3689" s="2"/>
      <c r="M3689" s="2"/>
      <c r="N3689" s="4" t="s">
        <v>2259</v>
      </c>
      <c r="O3689" s="4" t="str">
        <f>LEFT(Table2[[#This Row],[Description]],75)</f>
        <v>Mister Car Wash</v>
      </c>
      <c r="P3689" s="2" t="s">
        <v>2281</v>
      </c>
    </row>
    <row r="3690" spans="1:16" hidden="1">
      <c r="A3690" s="2">
        <v>202011</v>
      </c>
      <c r="B3690" s="3">
        <v>44165</v>
      </c>
      <c r="C3690" s="2" t="s">
        <v>2265</v>
      </c>
      <c r="D3690" s="2" t="s">
        <v>1287</v>
      </c>
      <c r="E3690" s="2">
        <v>200</v>
      </c>
      <c r="F3690" s="2" t="e">
        <f>IF(Table2[[#This Row],[Manual Cat Value]]="",VLOOKUP(Table2[[#This Row],[Description]],'Actuals Lookup'!D:F,3,0),Table2[[#This Row],[Manual Cat Value]])</f>
        <v>#N/A</v>
      </c>
      <c r="J3690" s="2">
        <v>200</v>
      </c>
      <c r="K3690" s="2" t="b">
        <v>0</v>
      </c>
      <c r="L3690" s="2"/>
      <c r="M3690" s="2"/>
      <c r="N3690" s="4" t="s">
        <v>2259</v>
      </c>
      <c r="O3690" s="4" t="str">
        <f>LEFT(Table2[[#This Row],[Description]],75)</f>
        <v>MN DIR ACH TYPE CONTRIB ID CO MN DIR ACH ACH ECC WEB ACH Trace 01531</v>
      </c>
      <c r="P3690" s="2" t="s">
        <v>2469</v>
      </c>
    </row>
    <row r="3691" spans="1:16" hidden="1">
      <c r="A3691" s="2">
        <v>202011</v>
      </c>
      <c r="B3691" s="3">
        <v>44165</v>
      </c>
      <c r="C3691" s="2" t="s">
        <v>2447</v>
      </c>
      <c r="D3691" s="2" t="s">
        <v>1350</v>
      </c>
      <c r="E3691" s="2">
        <v>12.99</v>
      </c>
      <c r="F3691" s="2" t="str">
        <f>IF(Table2[[#This Row],[Manual Cat Value]]="",VLOOKUP(Table2[[#This Row],[Description]],'Actuals Lookup'!D:F,3,0),Table2[[#This Row],[Manual Cat Value]])</f>
        <v>Utilities</v>
      </c>
      <c r="J3691" s="2">
        <v>12.99</v>
      </c>
      <c r="K3691" s="2" t="b">
        <v>0</v>
      </c>
      <c r="L3691" s="2"/>
      <c r="M3691" s="2"/>
      <c r="N3691" s="4" t="s">
        <v>2259</v>
      </c>
      <c r="O3691" s="4" t="str">
        <f>LEFT(Table2[[#This Row],[Description]],75)</f>
        <v>Netflix</v>
      </c>
      <c r="P3691" s="2" t="s">
        <v>2306</v>
      </c>
    </row>
    <row r="3692" spans="1:16" hidden="1">
      <c r="A3692" s="2">
        <v>202011</v>
      </c>
      <c r="B3692" s="3">
        <v>44165</v>
      </c>
      <c r="C3692" s="2" t="s">
        <v>2258</v>
      </c>
      <c r="D3692" s="2" t="s">
        <v>1350</v>
      </c>
      <c r="E3692" s="2">
        <v>12.99</v>
      </c>
      <c r="F3692" s="2" t="str">
        <f>IF(Table2[[#This Row],[Manual Cat Value]]="",VLOOKUP(Table2[[#This Row],[Description]],'Actuals Lookup'!D:F,3,0),Table2[[#This Row],[Manual Cat Value]])</f>
        <v>Utilities</v>
      </c>
      <c r="J3692" s="2">
        <v>12.99</v>
      </c>
      <c r="K3692" s="2" t="b">
        <v>0</v>
      </c>
      <c r="L3692" s="2"/>
      <c r="M3692" s="2"/>
      <c r="N3692" s="4" t="s">
        <v>2259</v>
      </c>
      <c r="O3692" s="4" t="str">
        <f>LEFT(Table2[[#This Row],[Description]],75)</f>
        <v>Netflix</v>
      </c>
      <c r="P3692" s="2" t="s">
        <v>2306</v>
      </c>
    </row>
    <row r="3693" spans="1:16" hidden="1">
      <c r="A3693" s="2">
        <v>202011</v>
      </c>
      <c r="B3693" s="3">
        <v>44165</v>
      </c>
      <c r="C3693" s="2" t="s">
        <v>2262</v>
      </c>
      <c r="D3693" s="2" t="s">
        <v>1382</v>
      </c>
      <c r="E3693" s="2">
        <v>-5.49</v>
      </c>
      <c r="F3693" s="2" t="e">
        <f>IF(Table2[[#This Row],[Manual Cat Value]]="",VLOOKUP(Table2[[#This Row],[Description]],'Actuals Lookup'!D:F,3,0),Table2[[#This Row],[Manual Cat Value]])</f>
        <v>#N/A</v>
      </c>
      <c r="J3693" s="2">
        <v>5.49</v>
      </c>
      <c r="K3693" s="2" t="b">
        <v>0</v>
      </c>
      <c r="L3693" s="2"/>
      <c r="M3693" s="2"/>
      <c r="N3693" s="4" t="s">
        <v>2273</v>
      </c>
      <c r="O3693" s="4" t="str">
        <f>LEFT(Table2[[#This Row],[Description]],75)</f>
        <v>Online Retail Promo</v>
      </c>
      <c r="P3693" s="2" t="s">
        <v>2281</v>
      </c>
    </row>
    <row r="3694" spans="1:16" hidden="1">
      <c r="A3694" s="2">
        <v>202011</v>
      </c>
      <c r="B3694" s="3">
        <v>44165</v>
      </c>
      <c r="C3694" s="2" t="s">
        <v>2262</v>
      </c>
      <c r="D3694" s="2" t="s">
        <v>1390</v>
      </c>
      <c r="E3694" s="2">
        <v>142.28</v>
      </c>
      <c r="F3694" s="2" t="e">
        <f>IF(Table2[[#This Row],[Manual Cat Value]]="",VLOOKUP(Table2[[#This Row],[Description]],'Actuals Lookup'!D:F,3,0),Table2[[#This Row],[Manual Cat Value]])</f>
        <v>#N/A</v>
      </c>
      <c r="J3694" s="2">
        <v>142.28</v>
      </c>
      <c r="K3694" s="2" t="b">
        <v>0</v>
      </c>
      <c r="L3694" s="2"/>
      <c r="M3694" s="2"/>
      <c r="N3694" s="4" t="s">
        <v>2259</v>
      </c>
      <c r="O3694" s="4" t="str">
        <f>LEFT(Table2[[#This Row],[Description]],75)</f>
        <v>PAJARITO EDINA EDINA MN</v>
      </c>
      <c r="P3694" s="2" t="s">
        <v>2281</v>
      </c>
    </row>
    <row r="3695" spans="1:16" hidden="1">
      <c r="A3695" s="2">
        <v>202011</v>
      </c>
      <c r="B3695" s="3">
        <v>44165</v>
      </c>
      <c r="C3695" s="2" t="s">
        <v>2265</v>
      </c>
      <c r="D3695" s="2" t="s">
        <v>1471</v>
      </c>
      <c r="E3695" s="2">
        <v>1.25</v>
      </c>
      <c r="F3695" s="2" t="str">
        <f>IF(Table2[[#This Row],[Manual Cat Value]]="",VLOOKUP(Table2[[#This Row],[Description]],'Actuals Lookup'!D:F,3,0),Table2[[#This Row],[Manual Cat Value]])</f>
        <v>Shopping</v>
      </c>
      <c r="J3695" s="2">
        <v>1.25</v>
      </c>
      <c r="K3695" s="2" t="b">
        <v>0</v>
      </c>
      <c r="L3695" s="2"/>
      <c r="M3695" s="2"/>
      <c r="N3695" s="4" t="s">
        <v>2259</v>
      </c>
      <c r="O3695" s="4" t="str">
        <f>LEFT(Table2[[#This Row],[Description]],75)</f>
        <v>PayPal</v>
      </c>
      <c r="P3695" s="2" t="s">
        <v>2322</v>
      </c>
    </row>
    <row r="3696" spans="1:16" hidden="1">
      <c r="A3696" s="2">
        <v>202011</v>
      </c>
      <c r="B3696" s="3">
        <v>44165</v>
      </c>
      <c r="C3696" s="2" t="s">
        <v>2265</v>
      </c>
      <c r="D3696" s="2" t="s">
        <v>1471</v>
      </c>
      <c r="E3696" s="2">
        <v>12.99</v>
      </c>
      <c r="F3696" s="2" t="str">
        <f>IF(Table2[[#This Row],[Manual Cat Value]]="",VLOOKUP(Table2[[#This Row],[Description]],'Actuals Lookup'!D:F,3,0),Table2[[#This Row],[Manual Cat Value]])</f>
        <v>Shopping</v>
      </c>
      <c r="J3696" s="2">
        <v>12.99</v>
      </c>
      <c r="K3696" s="2" t="b">
        <v>0</v>
      </c>
      <c r="L3696" s="2"/>
      <c r="M3696" s="2"/>
      <c r="N3696" s="4" t="s">
        <v>2259</v>
      </c>
      <c r="O3696" s="4" t="str">
        <f>LEFT(Table2[[#This Row],[Description]],75)</f>
        <v>PayPal</v>
      </c>
      <c r="P3696" s="2" t="s">
        <v>2322</v>
      </c>
    </row>
    <row r="3697" spans="1:16" hidden="1">
      <c r="A3697" s="2">
        <v>202011</v>
      </c>
      <c r="B3697" s="3">
        <v>44165</v>
      </c>
      <c r="C3697" s="2" t="s">
        <v>2265</v>
      </c>
      <c r="D3697" s="2" t="s">
        <v>1471</v>
      </c>
      <c r="E3697" s="2">
        <v>0.99</v>
      </c>
      <c r="F3697" s="2" t="str">
        <f>IF(Table2[[#This Row],[Manual Cat Value]]="",VLOOKUP(Table2[[#This Row],[Description]],'Actuals Lookup'!D:F,3,0),Table2[[#This Row],[Manual Cat Value]])</f>
        <v>Shopping</v>
      </c>
      <c r="J3697" s="2">
        <v>0.99</v>
      </c>
      <c r="K3697" s="2" t="b">
        <v>0</v>
      </c>
      <c r="L3697" s="2"/>
      <c r="M3697" s="2"/>
      <c r="N3697" s="4" t="s">
        <v>2259</v>
      </c>
      <c r="O3697" s="4" t="str">
        <f>LEFT(Table2[[#This Row],[Description]],75)</f>
        <v>PayPal</v>
      </c>
      <c r="P3697" s="2" t="s">
        <v>2322</v>
      </c>
    </row>
    <row r="3698" spans="1:16" hidden="1">
      <c r="A3698" s="2">
        <v>202011</v>
      </c>
      <c r="B3698" s="3">
        <v>44165</v>
      </c>
      <c r="C3698" s="2" t="s">
        <v>2265</v>
      </c>
      <c r="D3698" s="2" t="s">
        <v>1471</v>
      </c>
      <c r="E3698" s="2">
        <v>23.91</v>
      </c>
      <c r="F3698" s="2" t="str">
        <f>IF(Table2[[#This Row],[Manual Cat Value]]="",VLOOKUP(Table2[[#This Row],[Description]],'Actuals Lookup'!D:F,3,0),Table2[[#This Row],[Manual Cat Value]])</f>
        <v>Shopping</v>
      </c>
      <c r="J3698" s="2">
        <v>23.91</v>
      </c>
      <c r="K3698" s="2" t="b">
        <v>0</v>
      </c>
      <c r="L3698" s="2"/>
      <c r="M3698" s="2"/>
      <c r="N3698" s="4" t="s">
        <v>2259</v>
      </c>
      <c r="O3698" s="4" t="str">
        <f>LEFT(Table2[[#This Row],[Description]],75)</f>
        <v>PayPal</v>
      </c>
      <c r="P3698" s="2" t="s">
        <v>2322</v>
      </c>
    </row>
    <row r="3699" spans="1:16" hidden="1">
      <c r="A3699" s="2">
        <v>202011</v>
      </c>
      <c r="B3699" s="3">
        <v>44165</v>
      </c>
      <c r="C3699" s="2" t="s">
        <v>2265</v>
      </c>
      <c r="D3699" s="2" t="s">
        <v>1471</v>
      </c>
      <c r="E3699" s="2">
        <v>98</v>
      </c>
      <c r="F3699" s="2" t="str">
        <f>IF(Table2[[#This Row],[Manual Cat Value]]="",VLOOKUP(Table2[[#This Row],[Description]],'Actuals Lookup'!D:F,3,0),Table2[[#This Row],[Manual Cat Value]])</f>
        <v>Shopping</v>
      </c>
      <c r="J3699" s="2">
        <v>98</v>
      </c>
      <c r="K3699" s="2" t="b">
        <v>0</v>
      </c>
      <c r="L3699" s="2"/>
      <c r="M3699" s="2"/>
      <c r="N3699" s="4" t="s">
        <v>2259</v>
      </c>
      <c r="O3699" s="4" t="str">
        <f>LEFT(Table2[[#This Row],[Description]],75)</f>
        <v>PayPal</v>
      </c>
      <c r="P3699" s="2" t="s">
        <v>2322</v>
      </c>
    </row>
    <row r="3700" spans="1:16" hidden="1">
      <c r="A3700" s="2">
        <v>202011</v>
      </c>
      <c r="B3700" s="3">
        <v>44165</v>
      </c>
      <c r="C3700" s="2" t="s">
        <v>2262</v>
      </c>
      <c r="D3700" s="2" t="s">
        <v>1498</v>
      </c>
      <c r="E3700" s="2">
        <v>57.34</v>
      </c>
      <c r="F3700" s="2" t="e">
        <f>IF(Table2[[#This Row],[Manual Cat Value]]="",VLOOKUP(Table2[[#This Row],[Description]],'Actuals Lookup'!D:F,3,0),Table2[[#This Row],[Manual Cat Value]])</f>
        <v>#N/A</v>
      </c>
      <c r="J3700" s="2">
        <v>57.34</v>
      </c>
      <c r="K3700" s="2" t="b">
        <v>0</v>
      </c>
      <c r="L3700" s="2"/>
      <c r="M3700" s="2"/>
      <c r="N3700" s="4" t="s">
        <v>2259</v>
      </c>
      <c r="O3700" s="4" t="str">
        <f>LEFT(Table2[[#This Row],[Description]],75)</f>
        <v>PLUCKD M PLUCKD M WWWFIRSTDRAFMN</v>
      </c>
      <c r="P3700" s="2" t="s">
        <v>2281</v>
      </c>
    </row>
    <row r="3701" spans="1:16" hidden="1">
      <c r="A3701" s="2">
        <v>202011</v>
      </c>
      <c r="B3701" s="3">
        <v>44165</v>
      </c>
      <c r="C3701" s="2" t="s">
        <v>2262</v>
      </c>
      <c r="D3701" s="2" t="s">
        <v>1508</v>
      </c>
      <c r="E3701" s="2">
        <v>50.77</v>
      </c>
      <c r="F3701" s="2" t="str">
        <f>IF(Table2[[#This Row],[Manual Cat Value]]="",VLOOKUP(Table2[[#This Row],[Description]],'Actuals Lookup'!D:F,3,0),Table2[[#This Row],[Manual Cat Value]])</f>
        <v>Shopping</v>
      </c>
      <c r="J3701" s="2">
        <v>50.77</v>
      </c>
      <c r="K3701" s="2" t="b">
        <v>0</v>
      </c>
      <c r="L3701" s="2"/>
      <c r="M3701" s="2"/>
      <c r="N3701" s="4" t="s">
        <v>2259</v>
      </c>
      <c r="O3701" s="4" t="str">
        <f>LEFT(Table2[[#This Row],[Description]],75)</f>
        <v>Pottery Barn</v>
      </c>
      <c r="P3701" s="2" t="s">
        <v>2438</v>
      </c>
    </row>
    <row r="3702" spans="1:16" hidden="1">
      <c r="A3702" s="2">
        <v>202011</v>
      </c>
      <c r="B3702" s="3">
        <v>44165</v>
      </c>
      <c r="C3702" s="2" t="s">
        <v>2262</v>
      </c>
      <c r="D3702" s="2" t="s">
        <v>1515</v>
      </c>
      <c r="E3702" s="2">
        <v>13.95</v>
      </c>
      <c r="F3702" s="2" t="e">
        <f>IF(Table2[[#This Row],[Manual Cat Value]]="",VLOOKUP(Table2[[#This Row],[Description]],'Actuals Lookup'!D:F,3,0),Table2[[#This Row],[Manual Cat Value]])</f>
        <v>#N/A</v>
      </c>
      <c r="J3702" s="2">
        <v>13.95</v>
      </c>
      <c r="K3702" s="2" t="b">
        <v>0</v>
      </c>
      <c r="L3702" s="2"/>
      <c r="M3702" s="2"/>
      <c r="N3702" s="4" t="s">
        <v>2259</v>
      </c>
      <c r="O3702" s="4" t="str">
        <f>LEFT(Table2[[#This Row],[Description]],75)</f>
        <v>Prime Video209G32JL0 8888023080 WA</v>
      </c>
      <c r="P3702" s="2" t="s">
        <v>2342</v>
      </c>
    </row>
    <row r="3703" spans="1:16" hidden="1">
      <c r="A3703" s="2">
        <v>202011</v>
      </c>
      <c r="B3703" s="3">
        <v>44165</v>
      </c>
      <c r="C3703" s="2" t="s">
        <v>2262</v>
      </c>
      <c r="D3703" s="2" t="s">
        <v>1518</v>
      </c>
      <c r="E3703" s="2">
        <v>21.46</v>
      </c>
      <c r="F3703" s="2" t="e">
        <f>IF(Table2[[#This Row],[Manual Cat Value]]="",VLOOKUP(Table2[[#This Row],[Description]],'Actuals Lookup'!D:F,3,0),Table2[[#This Row],[Manual Cat Value]])</f>
        <v>#N/A</v>
      </c>
      <c r="J3703" s="2">
        <v>21.46</v>
      </c>
      <c r="K3703" s="2" t="b">
        <v>0</v>
      </c>
      <c r="L3703" s="2"/>
      <c r="M3703" s="2"/>
      <c r="N3703" s="4" t="s">
        <v>2259</v>
      </c>
      <c r="O3703" s="4" t="str">
        <f>LEFT(Table2[[#This Row],[Description]],75)</f>
        <v>Prime VideoJV4RX4WX3 8888023080 WA</v>
      </c>
      <c r="P3703" s="2" t="s">
        <v>2342</v>
      </c>
    </row>
    <row r="3704" spans="1:16" hidden="1">
      <c r="A3704" s="2">
        <v>202011</v>
      </c>
      <c r="B3704" s="3">
        <v>44165</v>
      </c>
      <c r="C3704" s="2" t="s">
        <v>2317</v>
      </c>
      <c r="D3704" s="2" t="s">
        <v>1525</v>
      </c>
      <c r="E3704" s="2">
        <v>-31.04</v>
      </c>
      <c r="F3704" s="2" t="e">
        <f>IF(Table2[[#This Row],[Manual Cat Value]]="",VLOOKUP(Table2[[#This Row],[Description]],'Actuals Lookup'!D:F,3,0),Table2[[#This Row],[Manual Cat Value]])</f>
        <v>#N/A</v>
      </c>
      <c r="J3704" s="2">
        <v>31.04</v>
      </c>
      <c r="K3704" s="2" t="b">
        <v>0</v>
      </c>
      <c r="L3704" s="2"/>
      <c r="M3704" s="2"/>
      <c r="N3704" s="4" t="s">
        <v>2273</v>
      </c>
      <c r="O3704" s="4" t="str">
        <f>LEFT(Table2[[#This Row],[Description]],75)</f>
        <v>PROCTER &amp; GAMBLE</v>
      </c>
      <c r="P3704" s="2" t="s">
        <v>2415</v>
      </c>
    </row>
    <row r="3705" spans="1:16" hidden="1">
      <c r="A3705" s="2">
        <v>202011</v>
      </c>
      <c r="B3705" s="3">
        <v>44165</v>
      </c>
      <c r="C3705" s="2" t="s">
        <v>2317</v>
      </c>
      <c r="D3705" s="2" t="s">
        <v>1525</v>
      </c>
      <c r="E3705" s="2">
        <v>31.04</v>
      </c>
      <c r="F3705" s="2" t="e">
        <f>IF(Table2[[#This Row],[Manual Cat Value]]="",VLOOKUP(Table2[[#This Row],[Description]],'Actuals Lookup'!D:F,3,0),Table2[[#This Row],[Manual Cat Value]])</f>
        <v>#N/A</v>
      </c>
      <c r="J3705" s="2">
        <v>31.04</v>
      </c>
      <c r="K3705" s="2" t="b">
        <v>0</v>
      </c>
      <c r="L3705" s="2"/>
      <c r="M3705" s="2"/>
      <c r="N3705" s="4" t="s">
        <v>2259</v>
      </c>
      <c r="O3705" s="4" t="str">
        <f>LEFT(Table2[[#This Row],[Description]],75)</f>
        <v>PROCTER &amp; GAMBLE</v>
      </c>
      <c r="P3705" s="2" t="s">
        <v>2415</v>
      </c>
    </row>
    <row r="3706" spans="1:16" hidden="1">
      <c r="A3706" s="2">
        <v>202011</v>
      </c>
      <c r="B3706" s="3">
        <v>44165</v>
      </c>
      <c r="C3706" s="2" t="s">
        <v>2262</v>
      </c>
      <c r="D3706" s="2" t="s">
        <v>1541</v>
      </c>
      <c r="E3706" s="2">
        <v>49.99</v>
      </c>
      <c r="F3706" s="2" t="e">
        <f>IF(Table2[[#This Row],[Manual Cat Value]]="",VLOOKUP(Table2[[#This Row],[Description]],'Actuals Lookup'!D:F,3,0),Table2[[#This Row],[Manual Cat Value]])</f>
        <v>#N/A</v>
      </c>
      <c r="J3706" s="2">
        <v>49.99</v>
      </c>
      <c r="K3706" s="2" t="b">
        <v>0</v>
      </c>
      <c r="L3706" s="2"/>
      <c r="M3706" s="2"/>
      <c r="N3706" s="4" t="s">
        <v>2259</v>
      </c>
      <c r="O3706" s="4" t="str">
        <f>LEFT(Table2[[#This Row],[Description]],75)</f>
        <v>Rally House 8006455409 KS</v>
      </c>
      <c r="P3706" s="2" t="s">
        <v>2467</v>
      </c>
    </row>
    <row r="3707" spans="1:16" hidden="1">
      <c r="A3707" s="2">
        <v>202011</v>
      </c>
      <c r="B3707" s="3">
        <v>44165</v>
      </c>
      <c r="C3707" s="2" t="s">
        <v>2262</v>
      </c>
      <c r="D3707" s="2" t="s">
        <v>1557</v>
      </c>
      <c r="E3707" s="2">
        <v>38.950000000000003</v>
      </c>
      <c r="F3707" s="2" t="e">
        <f>IF(Table2[[#This Row],[Manual Cat Value]]="",VLOOKUP(Table2[[#This Row],[Description]],'Actuals Lookup'!D:F,3,0),Table2[[#This Row],[Manual Cat Value]])</f>
        <v>#N/A</v>
      </c>
      <c r="J3707" s="2">
        <v>38.950000000000003</v>
      </c>
      <c r="K3707" s="2" t="b">
        <v>0</v>
      </c>
      <c r="L3707" s="2"/>
      <c r="M3707" s="2"/>
      <c r="N3707" s="4" t="s">
        <v>2259</v>
      </c>
      <c r="O3707" s="4" t="str">
        <f>LEFT(Table2[[#This Row],[Description]],75)</f>
        <v>RED DRESS BOUTIQUE 7064258707 GA</v>
      </c>
      <c r="P3707" s="2" t="s">
        <v>2281</v>
      </c>
    </row>
    <row r="3708" spans="1:16" hidden="1">
      <c r="A3708" s="2">
        <v>202011</v>
      </c>
      <c r="B3708" s="3">
        <v>44165</v>
      </c>
      <c r="C3708" s="2" t="s">
        <v>2317</v>
      </c>
      <c r="D3708" s="2" t="s">
        <v>1633</v>
      </c>
      <c r="E3708" s="2">
        <v>200</v>
      </c>
      <c r="F3708" s="2" t="e">
        <f>IF(Table2[[#This Row],[Manual Cat Value]]="",VLOOKUP(Table2[[#This Row],[Description]],'Actuals Lookup'!D:F,3,0),Table2[[#This Row],[Manual Cat Value]])</f>
        <v>#N/A</v>
      </c>
      <c r="J3708" s="2">
        <v>200</v>
      </c>
      <c r="K3708" s="2" t="b">
        <v>0</v>
      </c>
      <c r="L3708" s="2"/>
      <c r="M3708" s="2"/>
      <c r="N3708" s="4" t="s">
        <v>2259</v>
      </c>
      <c r="O3708" s="4" t="str">
        <f>LEFT(Table2[[#This Row],[Description]],75)</f>
        <v>SCHWAB S&amp;P 500 INDEX FD</v>
      </c>
      <c r="P3708" s="2" t="s">
        <v>2276</v>
      </c>
    </row>
    <row r="3709" spans="1:16" hidden="1">
      <c r="A3709" s="2">
        <v>202011</v>
      </c>
      <c r="B3709" s="3">
        <v>44165</v>
      </c>
      <c r="C3709" s="2" t="s">
        <v>2317</v>
      </c>
      <c r="D3709" s="2" t="s">
        <v>1635</v>
      </c>
      <c r="E3709" s="2">
        <v>200</v>
      </c>
      <c r="F3709" s="2" t="e">
        <f>IF(Table2[[#This Row],[Manual Cat Value]]="",VLOOKUP(Table2[[#This Row],[Description]],'Actuals Lookup'!D:F,3,0),Table2[[#This Row],[Manual Cat Value]])</f>
        <v>#N/A</v>
      </c>
      <c r="J3709" s="2">
        <v>200</v>
      </c>
      <c r="K3709" s="2" t="b">
        <v>0</v>
      </c>
      <c r="L3709" s="2"/>
      <c r="M3709" s="2"/>
      <c r="N3709" s="4" t="s">
        <v>2259</v>
      </c>
      <c r="O3709" s="4" t="str">
        <f>LEFT(Table2[[#This Row],[Description]],75)</f>
        <v>SCHWAB TOTAL STOCK MKT INDEX</v>
      </c>
      <c r="P3709" s="2" t="s">
        <v>2278</v>
      </c>
    </row>
    <row r="3710" spans="1:16" hidden="1">
      <c r="A3710" s="2">
        <v>202011</v>
      </c>
      <c r="B3710" s="3">
        <v>44165</v>
      </c>
      <c r="C3710" s="2" t="s">
        <v>2317</v>
      </c>
      <c r="D3710" s="2" t="s">
        <v>1636</v>
      </c>
      <c r="E3710" s="2">
        <v>500</v>
      </c>
      <c r="F3710" s="2" t="e">
        <f>IF(Table2[[#This Row],[Manual Cat Value]]="",VLOOKUP(Table2[[#This Row],[Description]],'Actuals Lookup'!D:F,3,0),Table2[[#This Row],[Manual Cat Value]])</f>
        <v>#N/A</v>
      </c>
      <c r="J3710" s="2">
        <v>500</v>
      </c>
      <c r="K3710" s="2" t="b">
        <v>0</v>
      </c>
      <c r="L3710" s="2"/>
      <c r="M3710" s="2"/>
      <c r="N3710" s="4" t="s">
        <v>2259</v>
      </c>
      <c r="O3710" s="4" t="str">
        <f>LEFT(Table2[[#This Row],[Description]],75)</f>
        <v>SCHWAB US LARGE CAP GROWTH INDEX FD</v>
      </c>
      <c r="P3710" s="2" t="s">
        <v>2347</v>
      </c>
    </row>
    <row r="3711" spans="1:16" hidden="1">
      <c r="A3711" s="2">
        <v>202011</v>
      </c>
      <c r="B3711" s="3">
        <v>44165</v>
      </c>
      <c r="C3711" s="2" t="s">
        <v>2300</v>
      </c>
      <c r="D3711" s="2" t="s">
        <v>1648</v>
      </c>
      <c r="E3711" s="2">
        <v>-300</v>
      </c>
      <c r="F3711" s="2" t="e">
        <f>IF(Table2[[#This Row],[Manual Cat Value]]="",VLOOKUP(Table2[[#This Row],[Description]],'Actuals Lookup'!D:F,3,0),Table2[[#This Row],[Manual Cat Value]])</f>
        <v>#N/A</v>
      </c>
      <c r="J3711" s="2">
        <v>300</v>
      </c>
      <c r="K3711" s="2" t="b">
        <v>0</v>
      </c>
      <c r="L3711" s="2"/>
      <c r="M3711" s="2"/>
      <c r="N3711" s="4" t="s">
        <v>2273</v>
      </c>
      <c r="O3711" s="4" t="str">
        <f>LEFT(Table2[[#This Row],[Description]],75)</f>
        <v>Share</v>
      </c>
      <c r="P3711" s="2" t="s">
        <v>2448</v>
      </c>
    </row>
    <row r="3712" spans="1:16" hidden="1">
      <c r="A3712" s="2">
        <v>202011</v>
      </c>
      <c r="B3712" s="3">
        <v>44165</v>
      </c>
      <c r="C3712" s="2" t="s">
        <v>2300</v>
      </c>
      <c r="D3712" s="2" t="s">
        <v>1648</v>
      </c>
      <c r="E3712" s="2">
        <v>-200</v>
      </c>
      <c r="F3712" s="2" t="e">
        <f>IF(Table2[[#This Row],[Manual Cat Value]]="",VLOOKUP(Table2[[#This Row],[Description]],'Actuals Lookup'!D:F,3,0),Table2[[#This Row],[Manual Cat Value]])</f>
        <v>#N/A</v>
      </c>
      <c r="J3712" s="2">
        <v>200</v>
      </c>
      <c r="K3712" s="2" t="b">
        <v>0</v>
      </c>
      <c r="L3712" s="2"/>
      <c r="M3712" s="2"/>
      <c r="N3712" s="4" t="s">
        <v>2273</v>
      </c>
      <c r="O3712" s="4" t="str">
        <f>LEFT(Table2[[#This Row],[Description]],75)</f>
        <v>Share</v>
      </c>
      <c r="P3712" s="2" t="s">
        <v>2448</v>
      </c>
    </row>
    <row r="3713" spans="1:16" hidden="1">
      <c r="A3713" s="2">
        <v>202011</v>
      </c>
      <c r="B3713" s="3">
        <v>44165</v>
      </c>
      <c r="C3713" s="2" t="s">
        <v>2262</v>
      </c>
      <c r="D3713" s="2" t="s">
        <v>1661</v>
      </c>
      <c r="E3713" s="2">
        <v>26.98</v>
      </c>
      <c r="F3713" s="2" t="e">
        <f>IF(Table2[[#This Row],[Manual Cat Value]]="",VLOOKUP(Table2[[#This Row],[Description]],'Actuals Lookup'!D:F,3,0),Table2[[#This Row],[Manual Cat Value]])</f>
        <v>#N/A</v>
      </c>
      <c r="J3713" s="2">
        <v>26.98</v>
      </c>
      <c r="K3713" s="2" t="b">
        <v>0</v>
      </c>
      <c r="L3713" s="2"/>
      <c r="M3713" s="2"/>
      <c r="N3713" s="4" t="s">
        <v>2259</v>
      </c>
      <c r="O3713" s="4" t="str">
        <f>LEFT(Table2[[#This Row],[Description]],75)</f>
        <v>SHOREWOODLIQUOR SHOREWOOD MN</v>
      </c>
      <c r="P3713" s="2" t="s">
        <v>2281</v>
      </c>
    </row>
    <row r="3714" spans="1:16" hidden="1">
      <c r="A3714" s="2">
        <v>202011</v>
      </c>
      <c r="B3714" s="3">
        <v>44165</v>
      </c>
      <c r="C3714" s="2" t="s">
        <v>2262</v>
      </c>
      <c r="D3714" s="2" t="s">
        <v>1664</v>
      </c>
      <c r="E3714" s="2">
        <v>170.27</v>
      </c>
      <c r="F3714" s="2" t="str">
        <f>IF(Table2[[#This Row],[Manual Cat Value]]="",VLOOKUP(Table2[[#This Row],[Description]],'Actuals Lookup'!D:F,3,0),Table2[[#This Row],[Manual Cat Value]])</f>
        <v>Gifts</v>
      </c>
      <c r="J3714" s="2">
        <v>170.27</v>
      </c>
      <c r="K3714" s="2" t="b">
        <v>0</v>
      </c>
      <c r="L3714" s="2"/>
      <c r="M3714" s="2"/>
      <c r="N3714" s="4" t="s">
        <v>2259</v>
      </c>
      <c r="O3714" s="4" t="str">
        <f>LEFT(Table2[[#This Row],[Description]],75)</f>
        <v>Shutterfly</v>
      </c>
      <c r="P3714" s="2" t="s">
        <v>2281</v>
      </c>
    </row>
    <row r="3715" spans="1:16" hidden="1">
      <c r="A3715" s="2">
        <v>202011</v>
      </c>
      <c r="B3715" s="3">
        <v>44165</v>
      </c>
      <c r="C3715" s="2" t="s">
        <v>2262</v>
      </c>
      <c r="D3715" s="2" t="s">
        <v>1682</v>
      </c>
      <c r="E3715" s="2">
        <v>39.25</v>
      </c>
      <c r="F3715" s="2" t="str">
        <f>IF(Table2[[#This Row],[Manual Cat Value]]="",VLOOKUP(Table2[[#This Row],[Description]],'Actuals Lookup'!D:F,3,0),Table2[[#This Row],[Manual Cat Value]])</f>
        <v>Healthcare</v>
      </c>
      <c r="J3715" s="2">
        <v>39.25</v>
      </c>
      <c r="K3715" s="2" t="b">
        <v>0</v>
      </c>
      <c r="L3715" s="2"/>
      <c r="M3715" s="2"/>
      <c r="N3715" s="4" t="s">
        <v>2259</v>
      </c>
      <c r="O3715" s="4" t="str">
        <f>LEFT(Table2[[#This Row],[Description]],75)</f>
        <v>South Lake Pediatrics</v>
      </c>
      <c r="P3715" s="2" t="s">
        <v>2281</v>
      </c>
    </row>
    <row r="3716" spans="1:16" hidden="1">
      <c r="A3716" s="2">
        <v>202011</v>
      </c>
      <c r="B3716" s="3">
        <v>44165</v>
      </c>
      <c r="C3716" s="2" t="s">
        <v>2262</v>
      </c>
      <c r="D3716" s="2" t="s">
        <v>1707</v>
      </c>
      <c r="E3716" s="2">
        <v>20.41</v>
      </c>
      <c r="F3716" s="2" t="str">
        <f>IF(Table2[[#This Row],[Manual Cat Value]]="",VLOOKUP(Table2[[#This Row],[Description]],'Actuals Lookup'!D:F,3,0),Table2[[#This Row],[Manual Cat Value]])</f>
        <v>Transportation</v>
      </c>
      <c r="J3716" s="2">
        <v>20.41</v>
      </c>
      <c r="K3716" s="2" t="b">
        <v>0</v>
      </c>
      <c r="L3716" s="2"/>
      <c r="M3716" s="2"/>
      <c r="N3716" s="4" t="s">
        <v>2259</v>
      </c>
      <c r="O3716" s="4" t="str">
        <f>LEFT(Table2[[#This Row],[Description]],75)</f>
        <v>Speedway</v>
      </c>
      <c r="P3716" s="2" t="s">
        <v>2381</v>
      </c>
    </row>
    <row r="3717" spans="1:16" hidden="1">
      <c r="A3717" s="2">
        <v>202011</v>
      </c>
      <c r="B3717" s="3">
        <v>44165</v>
      </c>
      <c r="C3717" s="2" t="s">
        <v>2262</v>
      </c>
      <c r="D3717" s="2" t="s">
        <v>1707</v>
      </c>
      <c r="E3717" s="2">
        <v>29.46</v>
      </c>
      <c r="F3717" s="2" t="str">
        <f>IF(Table2[[#This Row],[Manual Cat Value]]="",VLOOKUP(Table2[[#This Row],[Description]],'Actuals Lookup'!D:F,3,0),Table2[[#This Row],[Manual Cat Value]])</f>
        <v>Transportation</v>
      </c>
      <c r="J3717" s="2">
        <v>29.46</v>
      </c>
      <c r="K3717" s="2" t="b">
        <v>0</v>
      </c>
      <c r="L3717" s="2"/>
      <c r="M3717" s="2"/>
      <c r="N3717" s="4" t="s">
        <v>2259</v>
      </c>
      <c r="O3717" s="4" t="str">
        <f>LEFT(Table2[[#This Row],[Description]],75)</f>
        <v>Speedway</v>
      </c>
      <c r="P3717" s="2" t="s">
        <v>2381</v>
      </c>
    </row>
    <row r="3718" spans="1:16" hidden="1">
      <c r="A3718" s="2">
        <v>202011</v>
      </c>
      <c r="B3718" s="3">
        <v>44165</v>
      </c>
      <c r="C3718" s="2" t="s">
        <v>2262</v>
      </c>
      <c r="D3718" s="2" t="s">
        <v>1707</v>
      </c>
      <c r="E3718" s="2">
        <v>25.56</v>
      </c>
      <c r="F3718" s="2" t="str">
        <f>IF(Table2[[#This Row],[Manual Cat Value]]="",VLOOKUP(Table2[[#This Row],[Description]],'Actuals Lookup'!D:F,3,0),Table2[[#This Row],[Manual Cat Value]])</f>
        <v>Transportation</v>
      </c>
      <c r="J3718" s="2">
        <v>25.56</v>
      </c>
      <c r="K3718" s="2" t="b">
        <v>0</v>
      </c>
      <c r="L3718" s="2"/>
      <c r="M3718" s="2"/>
      <c r="N3718" s="4" t="s">
        <v>2259</v>
      </c>
      <c r="O3718" s="4" t="str">
        <f>LEFT(Table2[[#This Row],[Description]],75)</f>
        <v>Speedway</v>
      </c>
      <c r="P3718" s="2" t="s">
        <v>2381</v>
      </c>
    </row>
    <row r="3719" spans="1:16" hidden="1">
      <c r="A3719" s="2">
        <v>202011</v>
      </c>
      <c r="B3719" s="3">
        <v>44165</v>
      </c>
      <c r="C3719" s="2" t="s">
        <v>2300</v>
      </c>
      <c r="D3719" s="2" t="s">
        <v>1709</v>
      </c>
      <c r="E3719" s="2">
        <v>-12.31</v>
      </c>
      <c r="F3719" s="2" t="e">
        <f>IF(Table2[[#This Row],[Manual Cat Value]]="",VLOOKUP(Table2[[#This Row],[Description]],'Actuals Lookup'!D:F,3,0),Table2[[#This Row],[Manual Cat Value]])</f>
        <v>#N/A</v>
      </c>
      <c r="J3719" s="2">
        <v>12.31</v>
      </c>
      <c r="K3719" s="2" t="b">
        <v>0</v>
      </c>
      <c r="L3719" s="2"/>
      <c r="M3719" s="2"/>
      <c r="N3719" s="4" t="s">
        <v>2273</v>
      </c>
      <c r="O3719" s="4" t="str">
        <f>LEFT(Table2[[#This Row],[Description]],75)</f>
        <v>Split Rate Apy</v>
      </c>
      <c r="P3719" s="2" t="s">
        <v>2313</v>
      </c>
    </row>
    <row r="3720" spans="1:16" hidden="1">
      <c r="A3720" s="2">
        <v>202011</v>
      </c>
      <c r="B3720" s="3">
        <v>44165</v>
      </c>
      <c r="C3720" s="2" t="s">
        <v>2265</v>
      </c>
      <c r="D3720" s="2" t="s">
        <v>1709</v>
      </c>
      <c r="E3720" s="2">
        <v>-15.53</v>
      </c>
      <c r="F3720" s="2" t="e">
        <f>IF(Table2[[#This Row],[Manual Cat Value]]="",VLOOKUP(Table2[[#This Row],[Description]],'Actuals Lookup'!D:F,3,0),Table2[[#This Row],[Manual Cat Value]])</f>
        <v>#N/A</v>
      </c>
      <c r="J3720" s="2">
        <v>15.53</v>
      </c>
      <c r="K3720" s="2" t="b">
        <v>0</v>
      </c>
      <c r="L3720" s="2"/>
      <c r="M3720" s="2"/>
      <c r="N3720" s="4" t="s">
        <v>2273</v>
      </c>
      <c r="O3720" s="4" t="str">
        <f>LEFT(Table2[[#This Row],[Description]],75)</f>
        <v>Split Rate Apy</v>
      </c>
      <c r="P3720" s="2" t="s">
        <v>2313</v>
      </c>
    </row>
    <row r="3721" spans="1:16" hidden="1">
      <c r="A3721" s="2">
        <v>202011</v>
      </c>
      <c r="B3721" s="3">
        <v>44165</v>
      </c>
      <c r="C3721" s="2" t="s">
        <v>2317</v>
      </c>
      <c r="D3721" s="2" t="s">
        <v>1774</v>
      </c>
      <c r="E3721" s="2">
        <v>-20.83</v>
      </c>
      <c r="F3721" s="2" t="e">
        <f>IF(Table2[[#This Row],[Manual Cat Value]]="",VLOOKUP(Table2[[#This Row],[Description]],'Actuals Lookup'!D:F,3,0),Table2[[#This Row],[Manual Cat Value]])</f>
        <v>#N/A</v>
      </c>
      <c r="J3721" s="2">
        <v>20.83</v>
      </c>
      <c r="K3721" s="2" t="b">
        <v>0</v>
      </c>
      <c r="L3721" s="2"/>
      <c r="M3721" s="2"/>
      <c r="N3721" s="4" t="s">
        <v>2273</v>
      </c>
      <c r="O3721" s="4" t="str">
        <f>LEFT(Table2[[#This Row],[Description]],75)</f>
        <v>STARBUCKS CORP</v>
      </c>
      <c r="P3721" s="2" t="s">
        <v>2416</v>
      </c>
    </row>
    <row r="3722" spans="1:16" hidden="1">
      <c r="A3722" s="2">
        <v>202011</v>
      </c>
      <c r="B3722" s="3">
        <v>44165</v>
      </c>
      <c r="C3722" s="2" t="s">
        <v>2317</v>
      </c>
      <c r="D3722" s="2" t="s">
        <v>1774</v>
      </c>
      <c r="E3722" s="2">
        <v>20.83</v>
      </c>
      <c r="F3722" s="2" t="e">
        <f>IF(Table2[[#This Row],[Manual Cat Value]]="",VLOOKUP(Table2[[#This Row],[Description]],'Actuals Lookup'!D:F,3,0),Table2[[#This Row],[Manual Cat Value]])</f>
        <v>#N/A</v>
      </c>
      <c r="J3722" s="2">
        <v>20.83</v>
      </c>
      <c r="K3722" s="2" t="b">
        <v>0</v>
      </c>
      <c r="L3722" s="2"/>
      <c r="M3722" s="2"/>
      <c r="N3722" s="4" t="s">
        <v>2259</v>
      </c>
      <c r="O3722" s="4" t="str">
        <f>LEFT(Table2[[#This Row],[Description]],75)</f>
        <v>STARBUCKS CORP</v>
      </c>
      <c r="P3722" s="2" t="s">
        <v>2416</v>
      </c>
    </row>
    <row r="3723" spans="1:16" hidden="1">
      <c r="A3723" s="2">
        <v>202011</v>
      </c>
      <c r="B3723" s="3">
        <v>44165</v>
      </c>
      <c r="C3723" s="2" t="s">
        <v>2265</v>
      </c>
      <c r="D3723" s="2" t="s">
        <v>31</v>
      </c>
      <c r="E3723" s="2">
        <v>536.16999999999996</v>
      </c>
      <c r="F3723" s="2" t="str">
        <f>IF(Table2[[#This Row],[Manual Cat Value]]="",VLOOKUP(Table2[[#This Row],[Description]],'Actuals Lookup'!D:F,3,0),Table2[[#This Row],[Manual Cat Value]])</f>
        <v>Target</v>
      </c>
      <c r="J3723" s="2">
        <v>536.16999999999996</v>
      </c>
      <c r="K3723" s="2" t="b">
        <v>0</v>
      </c>
      <c r="L3723" s="2"/>
      <c r="M3723" s="2"/>
      <c r="N3723" s="4" t="s">
        <v>2259</v>
      </c>
      <c r="O3723" s="4" t="str">
        <f>LEFT(Table2[[#This Row],[Description]],75)</f>
        <v>Target</v>
      </c>
      <c r="P3723" s="2" t="s">
        <v>2309</v>
      </c>
    </row>
    <row r="3724" spans="1:16" hidden="1">
      <c r="A3724" s="2">
        <v>202011</v>
      </c>
      <c r="B3724" s="3">
        <v>44165</v>
      </c>
      <c r="C3724" s="2" t="s">
        <v>2262</v>
      </c>
      <c r="D3724" s="2" t="s">
        <v>31</v>
      </c>
      <c r="E3724" s="2">
        <v>14.44</v>
      </c>
      <c r="F3724" s="2" t="str">
        <f>IF(Table2[[#This Row],[Manual Cat Value]]="",VLOOKUP(Table2[[#This Row],[Description]],'Actuals Lookup'!D:F,3,0),Table2[[#This Row],[Manual Cat Value]])</f>
        <v>Target</v>
      </c>
      <c r="J3724" s="2">
        <v>14.44</v>
      </c>
      <c r="K3724" s="2" t="b">
        <v>0</v>
      </c>
      <c r="L3724" s="2"/>
      <c r="M3724" s="2"/>
      <c r="N3724" s="4" t="s">
        <v>2259</v>
      </c>
      <c r="O3724" s="4" t="str">
        <f>LEFT(Table2[[#This Row],[Description]],75)</f>
        <v>Target</v>
      </c>
      <c r="P3724" s="2" t="s">
        <v>2309</v>
      </c>
    </row>
    <row r="3725" spans="1:16" hidden="1">
      <c r="A3725" s="2">
        <v>202011</v>
      </c>
      <c r="B3725" s="3">
        <v>44165</v>
      </c>
      <c r="C3725" s="2" t="s">
        <v>2434</v>
      </c>
      <c r="D3725" s="2" t="s">
        <v>1834</v>
      </c>
      <c r="E3725" s="2">
        <v>-231</v>
      </c>
      <c r="F3725" s="2" t="e">
        <f>IF(Table2[[#This Row],[Manual Cat Value]]="",VLOOKUP(Table2[[#This Row],[Description]],'Actuals Lookup'!D:F,3,0),Table2[[#This Row],[Manual Cat Value]])</f>
        <v>#N/A</v>
      </c>
      <c r="J3725" s="2">
        <v>231</v>
      </c>
      <c r="K3725" s="2" t="b">
        <v>0</v>
      </c>
      <c r="L3725" s="2"/>
      <c r="M3725" s="2"/>
      <c r="N3725" s="4" t="s">
        <v>2273</v>
      </c>
      <c r="O3725" s="4" t="str">
        <f>LEFT(Table2[[#This Row],[Description]],75)</f>
        <v>Tfr JPMORGAN CHASE BAN, CARGILL COCOA &amp;</v>
      </c>
      <c r="P3725" s="2" t="s">
        <v>2356</v>
      </c>
    </row>
    <row r="3726" spans="1:16" hidden="1">
      <c r="A3726" s="2">
        <v>202011</v>
      </c>
      <c r="B3726" s="3">
        <v>44165</v>
      </c>
      <c r="C3726" s="2" t="s">
        <v>2434</v>
      </c>
      <c r="D3726" s="2" t="s">
        <v>1834</v>
      </c>
      <c r="E3726" s="2">
        <v>-231</v>
      </c>
      <c r="F3726" s="2" t="e">
        <f>IF(Table2[[#This Row],[Manual Cat Value]]="",VLOOKUP(Table2[[#This Row],[Description]],'Actuals Lookup'!D:F,3,0),Table2[[#This Row],[Manual Cat Value]])</f>
        <v>#N/A</v>
      </c>
      <c r="J3726" s="2">
        <v>231</v>
      </c>
      <c r="K3726" s="2" t="b">
        <v>0</v>
      </c>
      <c r="L3726" s="2"/>
      <c r="M3726" s="2"/>
      <c r="N3726" s="4" t="s">
        <v>2273</v>
      </c>
      <c r="O3726" s="4" t="str">
        <f>LEFT(Table2[[#This Row],[Description]],75)</f>
        <v>Tfr JPMORGAN CHASE BAN, CARGILL COCOA &amp;</v>
      </c>
      <c r="P3726" s="2" t="s">
        <v>2356</v>
      </c>
    </row>
    <row r="3727" spans="1:16" hidden="1">
      <c r="A3727" s="2">
        <v>202011</v>
      </c>
      <c r="B3727" s="3">
        <v>44165</v>
      </c>
      <c r="C3727" s="2" t="s">
        <v>2435</v>
      </c>
      <c r="D3727" s="2" t="s">
        <v>1836</v>
      </c>
      <c r="E3727" s="2">
        <v>-250</v>
      </c>
      <c r="F3727" s="2" t="e">
        <f>IF(Table2[[#This Row],[Manual Cat Value]]="",VLOOKUP(Table2[[#This Row],[Description]],'Actuals Lookup'!D:F,3,0),Table2[[#This Row],[Manual Cat Value]])</f>
        <v>#N/A</v>
      </c>
      <c r="J3727" s="2">
        <v>250</v>
      </c>
      <c r="K3727" s="2" t="b">
        <v>0</v>
      </c>
      <c r="L3727" s="2"/>
      <c r="M3727" s="2"/>
      <c r="N3727" s="4" t="s">
        <v>2273</v>
      </c>
      <c r="O3727" s="4" t="str">
        <f>LEFT(Table2[[#This Row],[Description]],75)</f>
        <v>Tfr JPMORGAN CHASE BAN, CONNECTED ANALYT</v>
      </c>
      <c r="P3727" s="2" t="s">
        <v>2493</v>
      </c>
    </row>
    <row r="3728" spans="1:16" hidden="1">
      <c r="A3728" s="2">
        <v>202011</v>
      </c>
      <c r="B3728" s="3">
        <v>44165</v>
      </c>
      <c r="C3728" s="2" t="s">
        <v>2435</v>
      </c>
      <c r="D3728" s="2" t="s">
        <v>1836</v>
      </c>
      <c r="E3728" s="2">
        <v>-250</v>
      </c>
      <c r="F3728" s="2" t="e">
        <f>IF(Table2[[#This Row],[Manual Cat Value]]="",VLOOKUP(Table2[[#This Row],[Description]],'Actuals Lookup'!D:F,3,0),Table2[[#This Row],[Manual Cat Value]])</f>
        <v>#N/A</v>
      </c>
      <c r="J3728" s="2">
        <v>250</v>
      </c>
      <c r="K3728" s="2" t="b">
        <v>0</v>
      </c>
      <c r="L3728" s="2"/>
      <c r="M3728" s="2"/>
      <c r="N3728" s="4" t="s">
        <v>2273</v>
      </c>
      <c r="O3728" s="4" t="str">
        <f>LEFT(Table2[[#This Row],[Description]],75)</f>
        <v>Tfr JPMORGAN CHASE BAN, CONNECTED ANALYT</v>
      </c>
      <c r="P3728" s="2" t="s">
        <v>2493</v>
      </c>
    </row>
    <row r="3729" spans="1:16" hidden="1">
      <c r="A3729" s="2">
        <v>202011</v>
      </c>
      <c r="B3729" s="3">
        <v>44165</v>
      </c>
      <c r="C3729" s="2" t="s">
        <v>2262</v>
      </c>
      <c r="D3729" s="2" t="s">
        <v>1847</v>
      </c>
      <c r="E3729" s="2">
        <v>122.04</v>
      </c>
      <c r="F3729" s="2" t="e">
        <f>IF(Table2[[#This Row],[Manual Cat Value]]="",VLOOKUP(Table2[[#This Row],[Description]],'Actuals Lookup'!D:F,3,0),Table2[[#This Row],[Manual Cat Value]])</f>
        <v>#N/A</v>
      </c>
      <c r="J3729" s="2">
        <v>122.04</v>
      </c>
      <c r="K3729" s="2" t="b">
        <v>0</v>
      </c>
      <c r="L3729" s="2"/>
      <c r="M3729" s="2"/>
      <c r="N3729" s="4" t="s">
        <v>2259</v>
      </c>
      <c r="O3729" s="4" t="str">
        <f>LEFT(Table2[[#This Row],[Description]],75)</f>
        <v>The Garden Patch</v>
      </c>
      <c r="P3729" s="2" t="s">
        <v>2281</v>
      </c>
    </row>
    <row r="3730" spans="1:16" hidden="1">
      <c r="A3730" s="2">
        <v>202011</v>
      </c>
      <c r="B3730" s="3">
        <v>44165</v>
      </c>
      <c r="C3730" s="2" t="s">
        <v>2262</v>
      </c>
      <c r="D3730" s="2" t="s">
        <v>1876</v>
      </c>
      <c r="E3730" s="2">
        <v>86.23</v>
      </c>
      <c r="F3730" s="2" t="e">
        <f>IF(Table2[[#This Row],[Manual Cat Value]]="",VLOOKUP(Table2[[#This Row],[Description]],'Actuals Lookup'!D:F,3,0),Table2[[#This Row],[Manual Cat Value]])</f>
        <v>#N/A</v>
      </c>
      <c r="J3730" s="2">
        <v>86.23</v>
      </c>
      <c r="K3730" s="2" t="b">
        <v>0</v>
      </c>
      <c r="L3730" s="2"/>
      <c r="M3730" s="2"/>
      <c r="N3730" s="4" t="s">
        <v>2259</v>
      </c>
      <c r="O3730" s="4" t="str">
        <f>LEFT(Table2[[#This Row],[Description]],75)</f>
        <v>TJ Maxx</v>
      </c>
      <c r="P3730" s="2" t="s">
        <v>2518</v>
      </c>
    </row>
    <row r="3731" spans="1:16" hidden="1">
      <c r="A3731" s="2">
        <v>202011</v>
      </c>
      <c r="B3731" s="3">
        <v>44165</v>
      </c>
      <c r="C3731" s="2" t="s">
        <v>2265</v>
      </c>
      <c r="D3731" s="2" t="s">
        <v>1892</v>
      </c>
      <c r="E3731" s="2">
        <v>300</v>
      </c>
      <c r="F3731" s="2" t="e">
        <f>IF(Table2[[#This Row],[Manual Cat Value]]="",VLOOKUP(Table2[[#This Row],[Description]],'Actuals Lookup'!D:F,3,0),Table2[[#This Row],[Manual Cat Value]])</f>
        <v>#N/A</v>
      </c>
      <c r="J3731" s="2">
        <v>300</v>
      </c>
      <c r="K3731" s="2" t="b">
        <v>0</v>
      </c>
      <c r="L3731" s="2"/>
      <c r="M3731" s="2"/>
      <c r="N3731" s="4" t="s">
        <v>2259</v>
      </c>
      <c r="O3731" s="4" t="str">
        <f>LEFT(Table2[[#This Row],[Description]],75)</f>
        <v>To Share 12</v>
      </c>
      <c r="P3731" s="2" t="s">
        <v>2494</v>
      </c>
    </row>
    <row r="3732" spans="1:16" hidden="1">
      <c r="A3732" s="2">
        <v>202011</v>
      </c>
      <c r="B3732" s="3">
        <v>44165</v>
      </c>
      <c r="C3732" s="2" t="s">
        <v>2265</v>
      </c>
      <c r="D3732" s="2" t="s">
        <v>1892</v>
      </c>
      <c r="E3732" s="2">
        <v>200</v>
      </c>
      <c r="F3732" s="2" t="e">
        <f>IF(Table2[[#This Row],[Manual Cat Value]]="",VLOOKUP(Table2[[#This Row],[Description]],'Actuals Lookup'!D:F,3,0),Table2[[#This Row],[Manual Cat Value]])</f>
        <v>#N/A</v>
      </c>
      <c r="J3732" s="2">
        <v>200</v>
      </c>
      <c r="K3732" s="2" t="b">
        <v>0</v>
      </c>
      <c r="L3732" s="2"/>
      <c r="M3732" s="2"/>
      <c r="N3732" s="4" t="s">
        <v>2259</v>
      </c>
      <c r="O3732" s="4" t="str">
        <f>LEFT(Table2[[#This Row],[Description]],75)</f>
        <v>To Share 12</v>
      </c>
      <c r="P3732" s="2" t="s">
        <v>2494</v>
      </c>
    </row>
    <row r="3733" spans="1:16" hidden="1">
      <c r="A3733" s="2">
        <v>202011</v>
      </c>
      <c r="B3733" s="3">
        <v>44165</v>
      </c>
      <c r="C3733" s="2" t="s">
        <v>2262</v>
      </c>
      <c r="D3733" s="2" t="s">
        <v>1926</v>
      </c>
      <c r="E3733" s="2">
        <v>125.06</v>
      </c>
      <c r="F3733" s="2" t="e">
        <f>IF(Table2[[#This Row],[Manual Cat Value]]="",VLOOKUP(Table2[[#This Row],[Description]],'Actuals Lookup'!D:F,3,0),Table2[[#This Row],[Manual Cat Value]])</f>
        <v>#N/A</v>
      </c>
      <c r="J3733" s="2">
        <v>125.06</v>
      </c>
      <c r="K3733" s="2" t="b">
        <v>0</v>
      </c>
      <c r="L3733" s="2"/>
      <c r="M3733" s="2"/>
      <c r="N3733" s="4" t="s">
        <v>2259</v>
      </c>
      <c r="O3733" s="4" t="str">
        <f>LEFT(Table2[[#This Row],[Description]],75)</f>
        <v>Total Wine and More</v>
      </c>
      <c r="P3733" s="2" t="s">
        <v>2289</v>
      </c>
    </row>
    <row r="3734" spans="1:16" hidden="1">
      <c r="A3734" s="2">
        <v>202011</v>
      </c>
      <c r="B3734" s="3">
        <v>44165</v>
      </c>
      <c r="C3734" s="2" t="s">
        <v>2262</v>
      </c>
      <c r="D3734" s="2" t="s">
        <v>1926</v>
      </c>
      <c r="E3734" s="2">
        <v>154.12</v>
      </c>
      <c r="F3734" s="2" t="e">
        <f>IF(Table2[[#This Row],[Manual Cat Value]]="",VLOOKUP(Table2[[#This Row],[Description]],'Actuals Lookup'!D:F,3,0),Table2[[#This Row],[Manual Cat Value]])</f>
        <v>#N/A</v>
      </c>
      <c r="J3734" s="2">
        <v>154.12</v>
      </c>
      <c r="K3734" s="2" t="b">
        <v>0</v>
      </c>
      <c r="L3734" s="2"/>
      <c r="M3734" s="2"/>
      <c r="N3734" s="4" t="s">
        <v>2259</v>
      </c>
      <c r="O3734" s="4" t="str">
        <f>LEFT(Table2[[#This Row],[Description]],75)</f>
        <v>Total Wine and More</v>
      </c>
      <c r="P3734" s="2" t="s">
        <v>2289</v>
      </c>
    </row>
    <row r="3735" spans="1:16" hidden="1">
      <c r="A3735" s="2">
        <v>202011</v>
      </c>
      <c r="B3735" s="3">
        <v>44165</v>
      </c>
      <c r="C3735" s="2" t="s">
        <v>2262</v>
      </c>
      <c r="D3735" s="2" t="s">
        <v>2002</v>
      </c>
      <c r="E3735" s="2">
        <v>47.28</v>
      </c>
      <c r="F3735" s="2" t="e">
        <f>IF(Table2[[#This Row],[Manual Cat Value]]="",VLOOKUP(Table2[[#This Row],[Description]],'Actuals Lookup'!D:F,3,0),Table2[[#This Row],[Manual Cat Value]])</f>
        <v>#N/A</v>
      </c>
      <c r="J3735" s="2">
        <v>47.28</v>
      </c>
      <c r="K3735" s="2" t="b">
        <v>0</v>
      </c>
      <c r="L3735" s="2"/>
      <c r="M3735" s="2"/>
      <c r="N3735" s="4" t="s">
        <v>2259</v>
      </c>
      <c r="O3735" s="4" t="str">
        <f>LEFT(Table2[[#This Row],[Description]],75)</f>
        <v>True Value</v>
      </c>
      <c r="P3735" s="2" t="s">
        <v>2490</v>
      </c>
    </row>
    <row r="3736" spans="1:16" hidden="1">
      <c r="A3736" s="2">
        <v>202011</v>
      </c>
      <c r="B3736" s="3">
        <v>44165</v>
      </c>
      <c r="C3736" s="2" t="s">
        <v>2262</v>
      </c>
      <c r="D3736" s="2" t="s">
        <v>2002</v>
      </c>
      <c r="E3736" s="2">
        <v>17.2</v>
      </c>
      <c r="F3736" s="2" t="e">
        <f>IF(Table2[[#This Row],[Manual Cat Value]]="",VLOOKUP(Table2[[#This Row],[Description]],'Actuals Lookup'!D:F,3,0),Table2[[#This Row],[Manual Cat Value]])</f>
        <v>#N/A</v>
      </c>
      <c r="J3736" s="2">
        <v>17.2</v>
      </c>
      <c r="K3736" s="2" t="b">
        <v>0</v>
      </c>
      <c r="L3736" s="2"/>
      <c r="M3736" s="2"/>
      <c r="N3736" s="4" t="s">
        <v>2259</v>
      </c>
      <c r="O3736" s="4" t="str">
        <f>LEFT(Table2[[#This Row],[Description]],75)</f>
        <v>True Value</v>
      </c>
      <c r="P3736" s="2" t="s">
        <v>2490</v>
      </c>
    </row>
    <row r="3737" spans="1:16" hidden="1">
      <c r="A3737" s="2">
        <v>202011</v>
      </c>
      <c r="B3737" s="3">
        <v>44165</v>
      </c>
      <c r="C3737" s="2" t="s">
        <v>2262</v>
      </c>
      <c r="D3737" s="2" t="s">
        <v>2027</v>
      </c>
      <c r="E3737" s="2">
        <v>48.22</v>
      </c>
      <c r="F3737" s="2" t="e">
        <f>IF(Table2[[#This Row],[Manual Cat Value]]="",VLOOKUP(Table2[[#This Row],[Description]],'Actuals Lookup'!D:F,3,0),Table2[[#This Row],[Manual Cat Value]])</f>
        <v>#N/A</v>
      </c>
      <c r="J3737" s="2">
        <v>48.22</v>
      </c>
      <c r="K3737" s="2" t="b">
        <v>0</v>
      </c>
      <c r="L3737" s="2"/>
      <c r="M3737" s="2"/>
      <c r="N3737" s="4" t="s">
        <v>2259</v>
      </c>
      <c r="O3737" s="4" t="str">
        <f>LEFT(Table2[[#This Row],[Description]],75)</f>
        <v>TST OLIVE S FRESH EXCELS6122324677 MN</v>
      </c>
      <c r="P3737" s="2" t="s">
        <v>2483</v>
      </c>
    </row>
    <row r="3738" spans="1:16" hidden="1">
      <c r="A3738" s="2">
        <v>202011</v>
      </c>
      <c r="B3738" s="3">
        <v>44165</v>
      </c>
      <c r="C3738" s="2" t="s">
        <v>2262</v>
      </c>
      <c r="D3738" s="2" t="s">
        <v>2099</v>
      </c>
      <c r="E3738" s="2">
        <v>1.75</v>
      </c>
      <c r="F3738" s="2" t="e">
        <f>IF(Table2[[#This Row],[Manual Cat Value]]="",VLOOKUP(Table2[[#This Row],[Description]],'Actuals Lookup'!D:F,3,0),Table2[[#This Row],[Manual Cat Value]])</f>
        <v>#N/A</v>
      </c>
      <c r="J3738" s="2">
        <v>1.75</v>
      </c>
      <c r="K3738" s="2" t="b">
        <v>0</v>
      </c>
      <c r="L3738" s="2"/>
      <c r="M3738" s="2"/>
      <c r="N3738" s="4" t="s">
        <v>2259</v>
      </c>
      <c r="O3738" s="4" t="str">
        <f>LEFT(Table2[[#This Row],[Description]],75)</f>
        <v>USAVEND AT AIR SERV CHANHASSEN MN</v>
      </c>
      <c r="P3738" s="2" t="s">
        <v>2281</v>
      </c>
    </row>
    <row r="3739" spans="1:16" hidden="1">
      <c r="A3739" s="2">
        <v>202011</v>
      </c>
      <c r="B3739" s="3">
        <v>44165</v>
      </c>
      <c r="C3739" s="2" t="s">
        <v>2317</v>
      </c>
      <c r="D3739" s="2" t="s">
        <v>2100</v>
      </c>
      <c r="E3739" s="2">
        <v>-5.55</v>
      </c>
      <c r="F3739" s="2" t="e">
        <f>IF(Table2[[#This Row],[Manual Cat Value]]="",VLOOKUP(Table2[[#This Row],[Description]],'Actuals Lookup'!D:F,3,0),Table2[[#This Row],[Manual Cat Value]])</f>
        <v>#N/A</v>
      </c>
      <c r="J3739" s="2">
        <v>5.55</v>
      </c>
      <c r="K3739" s="2" t="b">
        <v>0</v>
      </c>
      <c r="L3739" s="2"/>
      <c r="M3739" s="2"/>
      <c r="N3739" s="4" t="s">
        <v>2273</v>
      </c>
      <c r="O3739" s="4" t="str">
        <f>LEFT(Table2[[#This Row],[Description]],75)</f>
        <v>USD PARTNERS LP LP</v>
      </c>
      <c r="P3739" s="2" t="s">
        <v>2385</v>
      </c>
    </row>
    <row r="3740" spans="1:16" hidden="1">
      <c r="A3740" s="2">
        <v>202011</v>
      </c>
      <c r="B3740" s="3">
        <v>44165</v>
      </c>
      <c r="C3740" s="2" t="s">
        <v>2265</v>
      </c>
      <c r="D3740" s="2" t="s">
        <v>2109</v>
      </c>
      <c r="E3740" s="2">
        <v>91.06</v>
      </c>
      <c r="F3740" s="2" t="str">
        <f>IF(Table2[[#This Row],[Manual Cat Value]]="",VLOOKUP(Table2[[#This Row],[Description]],'Actuals Lookup'!D:F,3,0),Table2[[#This Row],[Manual Cat Value]])</f>
        <v>Shopping</v>
      </c>
      <c r="J3740" s="2">
        <v>91.06</v>
      </c>
      <c r="K3740" s="2" t="b">
        <v>0</v>
      </c>
      <c r="L3740" s="2"/>
      <c r="M3740" s="2"/>
      <c r="N3740" s="4" t="s">
        <v>2259</v>
      </c>
      <c r="O3740" s="4" t="str">
        <f>LEFT(Table2[[#This Row],[Description]],75)</f>
        <v>Venmo</v>
      </c>
      <c r="P3740" s="2" t="s">
        <v>2281</v>
      </c>
    </row>
    <row r="3741" spans="1:16" hidden="1">
      <c r="A3741" s="2">
        <v>202011</v>
      </c>
      <c r="B3741" s="3">
        <v>44165</v>
      </c>
      <c r="C3741" s="2" t="s">
        <v>2265</v>
      </c>
      <c r="D3741" s="2" t="s">
        <v>2109</v>
      </c>
      <c r="E3741" s="2">
        <v>100</v>
      </c>
      <c r="F3741" s="2" t="str">
        <f>IF(Table2[[#This Row],[Manual Cat Value]]="",VLOOKUP(Table2[[#This Row],[Description]],'Actuals Lookup'!D:F,3,0),Table2[[#This Row],[Manual Cat Value]])</f>
        <v>Shopping</v>
      </c>
      <c r="J3741" s="2">
        <v>100</v>
      </c>
      <c r="K3741" s="2" t="b">
        <v>0</v>
      </c>
      <c r="L3741" s="2"/>
      <c r="M3741" s="2"/>
      <c r="N3741" s="4" t="s">
        <v>2259</v>
      </c>
      <c r="O3741" s="4" t="str">
        <f>LEFT(Table2[[#This Row],[Description]],75)</f>
        <v>Venmo</v>
      </c>
      <c r="P3741" s="2" t="s">
        <v>2281</v>
      </c>
    </row>
    <row r="3742" spans="1:16" hidden="1">
      <c r="A3742" s="2">
        <v>202011</v>
      </c>
      <c r="B3742" s="3">
        <v>44165</v>
      </c>
      <c r="C3742" s="2" t="s">
        <v>2265</v>
      </c>
      <c r="D3742" s="2" t="s">
        <v>2109</v>
      </c>
      <c r="E3742" s="2">
        <v>155</v>
      </c>
      <c r="F3742" s="2" t="str">
        <f>IF(Table2[[#This Row],[Manual Cat Value]]="",VLOOKUP(Table2[[#This Row],[Description]],'Actuals Lookup'!D:F,3,0),Table2[[#This Row],[Manual Cat Value]])</f>
        <v>Shopping</v>
      </c>
      <c r="J3742" s="2">
        <v>155</v>
      </c>
      <c r="K3742" s="2" t="b">
        <v>0</v>
      </c>
      <c r="L3742" s="2"/>
      <c r="M3742" s="2"/>
      <c r="N3742" s="4" t="s">
        <v>2259</v>
      </c>
      <c r="O3742" s="4" t="str">
        <f>LEFT(Table2[[#This Row],[Description]],75)</f>
        <v>Venmo</v>
      </c>
      <c r="P3742" s="2" t="s">
        <v>2281</v>
      </c>
    </row>
    <row r="3743" spans="1:16" hidden="1">
      <c r="A3743" s="2">
        <v>202011</v>
      </c>
      <c r="B3743" s="3">
        <v>44165</v>
      </c>
      <c r="C3743" s="2" t="s">
        <v>2262</v>
      </c>
      <c r="D3743" s="2" t="s">
        <v>2135</v>
      </c>
      <c r="E3743" s="2">
        <v>41.48</v>
      </c>
      <c r="F3743" s="2" t="str">
        <f>IF(Table2[[#This Row],[Manual Cat Value]]="",VLOOKUP(Table2[[#This Row],[Description]],'Actuals Lookup'!D:F,3,0),Table2[[#This Row],[Manual Cat Value]])</f>
        <v>Groceries</v>
      </c>
      <c r="J3743" s="2">
        <v>41.48</v>
      </c>
      <c r="K3743" s="2" t="b">
        <v>0</v>
      </c>
      <c r="L3743" s="2"/>
      <c r="M3743" s="2"/>
      <c r="N3743" s="4" t="s">
        <v>2259</v>
      </c>
      <c r="O3743" s="4" t="str">
        <f>LEFT(Table2[[#This Row],[Description]],75)</f>
        <v>Walgreens</v>
      </c>
      <c r="P3743" s="2" t="s">
        <v>2389</v>
      </c>
    </row>
    <row r="3744" spans="1:16" hidden="1">
      <c r="A3744" s="2">
        <v>202011</v>
      </c>
      <c r="B3744" s="3">
        <v>44165</v>
      </c>
      <c r="C3744" s="2" t="s">
        <v>2262</v>
      </c>
      <c r="D3744" s="2" t="s">
        <v>2142</v>
      </c>
      <c r="E3744" s="2">
        <v>-63</v>
      </c>
      <c r="F3744" s="2" t="str">
        <f>IF(Table2[[#This Row],[Manual Cat Value]]="",VLOOKUP(Table2[[#This Row],[Description]],'Actuals Lookup'!D:F,3,0),Table2[[#This Row],[Manual Cat Value]])</f>
        <v>House</v>
      </c>
      <c r="J3744" s="2">
        <v>63</v>
      </c>
      <c r="K3744" s="2" t="b">
        <v>0</v>
      </c>
      <c r="L3744" s="2"/>
      <c r="M3744" s="2"/>
      <c r="N3744" s="4" t="s">
        <v>2273</v>
      </c>
      <c r="O3744" s="4" t="str">
        <f>LEFT(Table2[[#This Row],[Description]],75)</f>
        <v>Wayfair</v>
      </c>
      <c r="P3744" s="2" t="s">
        <v>2427</v>
      </c>
    </row>
    <row r="3745" spans="1:16" hidden="1">
      <c r="A3745" s="2">
        <v>202011</v>
      </c>
      <c r="B3745" s="3">
        <v>44165</v>
      </c>
      <c r="C3745" s="2" t="s">
        <v>2262</v>
      </c>
      <c r="D3745" s="2" t="s">
        <v>2142</v>
      </c>
      <c r="E3745" s="2">
        <v>74.08</v>
      </c>
      <c r="F3745" s="2" t="str">
        <f>IF(Table2[[#This Row],[Manual Cat Value]]="",VLOOKUP(Table2[[#This Row],[Description]],'Actuals Lookup'!D:F,3,0),Table2[[#This Row],[Manual Cat Value]])</f>
        <v>House</v>
      </c>
      <c r="J3745" s="2">
        <v>74.08</v>
      </c>
      <c r="K3745" s="2" t="b">
        <v>0</v>
      </c>
      <c r="L3745" s="2"/>
      <c r="M3745" s="2"/>
      <c r="N3745" s="4" t="s">
        <v>2259</v>
      </c>
      <c r="O3745" s="4" t="str">
        <f>LEFT(Table2[[#This Row],[Description]],75)</f>
        <v>Wayfair</v>
      </c>
      <c r="P3745" s="2" t="s">
        <v>2427</v>
      </c>
    </row>
    <row r="3746" spans="1:16" hidden="1">
      <c r="A3746" s="2">
        <v>202011</v>
      </c>
      <c r="B3746" s="3">
        <v>44165</v>
      </c>
      <c r="C3746" s="2" t="s">
        <v>2262</v>
      </c>
      <c r="D3746" s="2" t="s">
        <v>1423</v>
      </c>
      <c r="E3746" s="2">
        <v>-306.55</v>
      </c>
      <c r="F3746" s="2" t="e">
        <f>IF(Table2[[#This Row],[Manual Cat Value]]="",VLOOKUP(Table2[[#This Row],[Description]],'Actuals Lookup'!D:F,3,0),Table2[[#This Row],[Manual Cat Value]])</f>
        <v>#N/A</v>
      </c>
      <c r="J3746" s="2">
        <v>306.55</v>
      </c>
      <c r="K3746" s="2" t="b">
        <v>0</v>
      </c>
      <c r="L3746" s="2"/>
      <c r="M3746" s="2"/>
      <c r="N3746" s="4" t="s">
        <v>2273</v>
      </c>
      <c r="O3746" s="4" t="str">
        <f>LEFT(Table2[[#This Row],[Description]],75)</f>
        <v>PAYMENT THANK YOU</v>
      </c>
      <c r="P3746" s="2" t="s">
        <v>2391</v>
      </c>
    </row>
    <row r="3747" spans="1:16" hidden="1">
      <c r="A3747" s="2">
        <v>202011</v>
      </c>
      <c r="B3747" s="3">
        <v>44165</v>
      </c>
      <c r="C3747" s="2" t="s">
        <v>2262</v>
      </c>
      <c r="D3747" s="2" t="s">
        <v>1423</v>
      </c>
      <c r="E3747" s="2">
        <v>-758.72</v>
      </c>
      <c r="F3747" s="2" t="e">
        <f>IF(Table2[[#This Row],[Manual Cat Value]]="",VLOOKUP(Table2[[#This Row],[Description]],'Actuals Lookup'!D:F,3,0),Table2[[#This Row],[Manual Cat Value]])</f>
        <v>#N/A</v>
      </c>
      <c r="J3747" s="2">
        <v>758.72</v>
      </c>
      <c r="K3747" s="2" t="b">
        <v>0</v>
      </c>
      <c r="L3747" s="2"/>
      <c r="M3747" s="2"/>
      <c r="N3747" s="4" t="s">
        <v>2273</v>
      </c>
      <c r="O3747" s="4" t="str">
        <f>LEFT(Table2[[#This Row],[Description]],75)</f>
        <v>PAYMENT THANK YOU</v>
      </c>
      <c r="P3747" s="2" t="s">
        <v>2391</v>
      </c>
    </row>
    <row r="3748" spans="1:16" hidden="1">
      <c r="A3748" s="2">
        <v>202011</v>
      </c>
      <c r="B3748" s="3">
        <v>44165</v>
      </c>
      <c r="C3748" s="2" t="s">
        <v>2262</v>
      </c>
      <c r="D3748" s="2" t="s">
        <v>1423</v>
      </c>
      <c r="E3748" s="2">
        <v>-314.57</v>
      </c>
      <c r="F3748" s="2" t="e">
        <f>IF(Table2[[#This Row],[Manual Cat Value]]="",VLOOKUP(Table2[[#This Row],[Description]],'Actuals Lookup'!D:F,3,0),Table2[[#This Row],[Manual Cat Value]])</f>
        <v>#N/A</v>
      </c>
      <c r="J3748" s="2">
        <v>314.57</v>
      </c>
      <c r="K3748" s="2" t="b">
        <v>0</v>
      </c>
      <c r="L3748" s="2"/>
      <c r="M3748" s="2"/>
      <c r="N3748" s="4" t="s">
        <v>2273</v>
      </c>
      <c r="O3748" s="4" t="str">
        <f>LEFT(Table2[[#This Row],[Description]],75)</f>
        <v>PAYMENT THANK YOU</v>
      </c>
      <c r="P3748" s="2" t="s">
        <v>2391</v>
      </c>
    </row>
    <row r="3749" spans="1:16" hidden="1">
      <c r="A3749" s="2">
        <v>202011</v>
      </c>
      <c r="B3749" s="3">
        <v>44165</v>
      </c>
      <c r="C3749" s="2" t="s">
        <v>2262</v>
      </c>
      <c r="D3749" s="2" t="s">
        <v>1423</v>
      </c>
      <c r="E3749" s="2">
        <v>-611.55999999999995</v>
      </c>
      <c r="F3749" s="2" t="e">
        <f>IF(Table2[[#This Row],[Manual Cat Value]]="",VLOOKUP(Table2[[#This Row],[Description]],'Actuals Lookup'!D:F,3,0),Table2[[#This Row],[Manual Cat Value]])</f>
        <v>#N/A</v>
      </c>
      <c r="J3749" s="2">
        <v>611.55999999999995</v>
      </c>
      <c r="K3749" s="2" t="b">
        <v>0</v>
      </c>
      <c r="L3749" s="2"/>
      <c r="M3749" s="2"/>
      <c r="N3749" s="4" t="s">
        <v>2273</v>
      </c>
      <c r="O3749" s="4" t="str">
        <f>LEFT(Table2[[#This Row],[Description]],75)</f>
        <v>PAYMENT THANK YOU</v>
      </c>
      <c r="P3749" s="2" t="s">
        <v>2391</v>
      </c>
    </row>
    <row r="3750" spans="1:16" hidden="1">
      <c r="A3750" s="2">
        <v>202011</v>
      </c>
      <c r="B3750" s="3">
        <v>44165</v>
      </c>
      <c r="C3750" s="2" t="s">
        <v>2265</v>
      </c>
      <c r="D3750" s="2" t="s">
        <v>2176</v>
      </c>
      <c r="E3750" s="2">
        <v>306.55</v>
      </c>
      <c r="F3750" s="2" t="e">
        <f>IF(Table2[[#This Row],[Manual Cat Value]]="",VLOOKUP(Table2[[#This Row],[Description]],'Actuals Lookup'!D:F,3,0),Table2[[#This Row],[Manual Cat Value]])</f>
        <v>#N/A</v>
      </c>
      <c r="J3750" s="2">
        <v>306.55</v>
      </c>
      <c r="K3750" s="2" t="b">
        <v>0</v>
      </c>
      <c r="L3750" s="2"/>
      <c r="M3750" s="2"/>
      <c r="N3750" s="4" t="s">
        <v>2259</v>
      </c>
      <c r="O3750" s="4" t="str">
        <f>LEFT(Table2[[#This Row],[Description]],75)</f>
        <v>Withdrawal Home payment to card 979181</v>
      </c>
      <c r="P3750" s="2" t="s">
        <v>2349</v>
      </c>
    </row>
    <row r="3751" spans="1:16" hidden="1">
      <c r="A3751" s="2">
        <v>202011</v>
      </c>
      <c r="B3751" s="3">
        <v>44165</v>
      </c>
      <c r="C3751" s="2" t="s">
        <v>2265</v>
      </c>
      <c r="D3751" s="2" t="s">
        <v>2176</v>
      </c>
      <c r="E3751" s="2">
        <v>758.72</v>
      </c>
      <c r="F3751" s="2" t="e">
        <f>IF(Table2[[#This Row],[Manual Cat Value]]="",VLOOKUP(Table2[[#This Row],[Description]],'Actuals Lookup'!D:F,3,0),Table2[[#This Row],[Manual Cat Value]])</f>
        <v>#N/A</v>
      </c>
      <c r="J3751" s="2">
        <v>758.72</v>
      </c>
      <c r="K3751" s="2" t="b">
        <v>0</v>
      </c>
      <c r="L3751" s="2"/>
      <c r="M3751" s="2"/>
      <c r="N3751" s="4" t="s">
        <v>2259</v>
      </c>
      <c r="O3751" s="4" t="str">
        <f>LEFT(Table2[[#This Row],[Description]],75)</f>
        <v>Withdrawal Home payment to card 979181</v>
      </c>
      <c r="P3751" s="2" t="s">
        <v>2349</v>
      </c>
    </row>
    <row r="3752" spans="1:16" hidden="1">
      <c r="A3752" s="2">
        <v>202011</v>
      </c>
      <c r="B3752" s="3">
        <v>44165</v>
      </c>
      <c r="C3752" s="2" t="s">
        <v>2265</v>
      </c>
      <c r="D3752" s="2" t="s">
        <v>2176</v>
      </c>
      <c r="E3752" s="2">
        <v>314.57</v>
      </c>
      <c r="F3752" s="2" t="e">
        <f>IF(Table2[[#This Row],[Manual Cat Value]]="",VLOOKUP(Table2[[#This Row],[Description]],'Actuals Lookup'!D:F,3,0),Table2[[#This Row],[Manual Cat Value]])</f>
        <v>#N/A</v>
      </c>
      <c r="J3752" s="2">
        <v>314.57</v>
      </c>
      <c r="K3752" s="2" t="b">
        <v>0</v>
      </c>
      <c r="L3752" s="2"/>
      <c r="M3752" s="2"/>
      <c r="N3752" s="4" t="s">
        <v>2259</v>
      </c>
      <c r="O3752" s="4" t="str">
        <f>LEFT(Table2[[#This Row],[Description]],75)</f>
        <v>Withdrawal Home payment to card 979181</v>
      </c>
      <c r="P3752" s="2" t="s">
        <v>2349</v>
      </c>
    </row>
    <row r="3753" spans="1:16" hidden="1">
      <c r="A3753" s="2">
        <v>202011</v>
      </c>
      <c r="B3753" s="3">
        <v>44165</v>
      </c>
      <c r="C3753" s="2" t="s">
        <v>2265</v>
      </c>
      <c r="D3753" s="2" t="s">
        <v>2176</v>
      </c>
      <c r="E3753" s="2">
        <v>611.55999999999995</v>
      </c>
      <c r="F3753" s="2" t="e">
        <f>IF(Table2[[#This Row],[Manual Cat Value]]="",VLOOKUP(Table2[[#This Row],[Description]],'Actuals Lookup'!D:F,3,0),Table2[[#This Row],[Manual Cat Value]])</f>
        <v>#N/A</v>
      </c>
      <c r="J3753" s="2">
        <v>611.55999999999995</v>
      </c>
      <c r="K3753" s="2" t="b">
        <v>0</v>
      </c>
      <c r="L3753" s="2"/>
      <c r="M3753" s="2"/>
      <c r="N3753" s="4" t="s">
        <v>2259</v>
      </c>
      <c r="O3753" s="4" t="str">
        <f>LEFT(Table2[[#This Row],[Description]],75)</f>
        <v>Withdrawal Home payment to card 979181</v>
      </c>
      <c r="P3753" s="2" t="s">
        <v>2349</v>
      </c>
    </row>
    <row r="3754" spans="1:16" hidden="1">
      <c r="A3754" s="2">
        <v>202012</v>
      </c>
      <c r="B3754" s="3">
        <v>44166</v>
      </c>
      <c r="C3754" s="2" t="s">
        <v>2270</v>
      </c>
      <c r="D3754" s="2" t="s">
        <v>1410</v>
      </c>
      <c r="E3754" s="2">
        <v>-716.73</v>
      </c>
      <c r="F3754" s="2" t="str">
        <f>IF(Table2[[#This Row],[Manual Cat Value]]="",VLOOKUP(Table2[[#This Row],[Description]],'Actuals Lookup'!D:F,3,0),Table2[[#This Row],[Manual Cat Value]])</f>
        <v>Delete</v>
      </c>
      <c r="J3754" s="2">
        <v>716.73</v>
      </c>
      <c r="K3754" s="2" t="b">
        <v>0</v>
      </c>
      <c r="L3754" s="2"/>
      <c r="M3754" s="2"/>
      <c r="N3754" s="4" t="s">
        <v>2273</v>
      </c>
      <c r="O3754" s="4" t="str">
        <f>LEFT(Table2[[#This Row],[Description]],75)</f>
        <v>PAYMENT</v>
      </c>
      <c r="P3754" s="2" t="s">
        <v>2492</v>
      </c>
    </row>
    <row r="3755" spans="1:16" hidden="1">
      <c r="A3755" s="2">
        <v>202012</v>
      </c>
      <c r="B3755" s="3">
        <v>44166</v>
      </c>
      <c r="C3755" s="2" t="s">
        <v>2262</v>
      </c>
      <c r="D3755" s="2" t="s">
        <v>38</v>
      </c>
      <c r="E3755" s="2">
        <v>27.88</v>
      </c>
      <c r="F3755" s="2" t="str">
        <f>IF(Table2[[#This Row],[Manual Cat Value]]="",VLOOKUP(Table2[[#This Row],[Description]],'Actuals Lookup'!D:F,3,0),Table2[[#This Row],[Manual Cat Value]])</f>
        <v>Amazon</v>
      </c>
      <c r="J3755" s="2">
        <v>27.88</v>
      </c>
      <c r="K3755" s="2" t="b">
        <v>0</v>
      </c>
      <c r="L3755" s="2"/>
      <c r="M3755" s="2"/>
      <c r="N3755" s="4" t="s">
        <v>2259</v>
      </c>
      <c r="O3755" s="4" t="str">
        <f>LEFT(Table2[[#This Row],[Description]],75)</f>
        <v>Amazon</v>
      </c>
      <c r="P3755" s="2" t="s">
        <v>2260</v>
      </c>
    </row>
    <row r="3756" spans="1:16" hidden="1">
      <c r="A3756">
        <v>202406</v>
      </c>
      <c r="B3756" s="6">
        <v>45469</v>
      </c>
      <c r="C3756" t="s">
        <v>2519</v>
      </c>
      <c r="D3756" t="s">
        <v>2520</v>
      </c>
      <c r="E3756">
        <v>550</v>
      </c>
      <c r="F3756" s="2" t="str">
        <f>IF(Table2[[#This Row],[Manual Cat Value]]="",VLOOKUP(Table2[[#This Row],[Description]],'Actuals Lookup'!D:F,3,0),VLOOKUP(Table2[[#This Row],[Manual Cat Value]],Lookup!A:B,2,0))</f>
        <v>House Maintenance</v>
      </c>
      <c r="H3756" s="8" t="s">
        <v>1</v>
      </c>
      <c r="I3756" s="8" t="s">
        <v>2521</v>
      </c>
      <c r="O3756" t="str">
        <f>LEFT(Table2[[#This Row],[Description]],75)</f>
        <v>Draft 2130 Tracer XX3255</v>
      </c>
    </row>
    <row r="3757" spans="1:16" hidden="1">
      <c r="A3757" s="2">
        <v>202012</v>
      </c>
      <c r="B3757" s="3">
        <v>44166</v>
      </c>
      <c r="C3757" s="2" t="s">
        <v>2317</v>
      </c>
      <c r="D3757" s="2" t="s">
        <v>537</v>
      </c>
      <c r="E3757" s="2">
        <v>882.5</v>
      </c>
      <c r="F3757" s="2" t="e">
        <f>IF(Table2[[#This Row],[Manual Cat Value]]="",VLOOKUP(Table2[[#This Row],[Description]],'Actuals Lookup'!D:F,3,0),Table2[[#This Row],[Manual Cat Value]])</f>
        <v>#N/A</v>
      </c>
      <c r="J3757" s="2">
        <v>882.5</v>
      </c>
      <c r="K3757" s="2" t="b">
        <v>0</v>
      </c>
      <c r="L3757" s="2"/>
      <c r="M3757" s="2"/>
      <c r="N3757" s="4" t="s">
        <v>2259</v>
      </c>
      <c r="O3757" s="4" t="str">
        <f>LEFT(Table2[[#This Row],[Description]],75)</f>
        <v>CHEVRON CORP</v>
      </c>
      <c r="P3757" s="2" t="s">
        <v>2430</v>
      </c>
    </row>
    <row r="3758" spans="1:16" hidden="1">
      <c r="A3758" s="2">
        <v>202012</v>
      </c>
      <c r="B3758" s="3">
        <v>44166</v>
      </c>
      <c r="C3758" s="2" t="s">
        <v>2265</v>
      </c>
      <c r="D3758" s="2" t="s">
        <v>595</v>
      </c>
      <c r="E3758" s="2">
        <v>200</v>
      </c>
      <c r="F3758" s="2" t="e">
        <f>IF(Table2[[#This Row],[Manual Cat Value]]="",VLOOKUP(Table2[[#This Row],[Description]],'Actuals Lookup'!D:F,3,0),Table2[[#This Row],[Manual Cat Value]])</f>
        <v>#N/A</v>
      </c>
      <c r="J3758" s="2">
        <v>200</v>
      </c>
      <c r="K3758" s="2" t="b">
        <v>0</v>
      </c>
      <c r="L3758" s="2"/>
      <c r="M3758" s="2"/>
      <c r="N3758" s="4" t="s">
        <v>2259</v>
      </c>
      <c r="O3758" s="4" t="str">
        <f>LEFT(Table2[[#This Row],[Description]],75)</f>
        <v>College Savings TYPE ACH ID 550895818 CO College Savings ACH ECC PPD ACH Tr</v>
      </c>
      <c r="P3758" s="2" t="s">
        <v>2272</v>
      </c>
    </row>
    <row r="3759" spans="1:16" hidden="1">
      <c r="A3759" s="2">
        <v>202012</v>
      </c>
      <c r="B3759" s="3">
        <v>44166</v>
      </c>
      <c r="C3759" s="2" t="s">
        <v>2314</v>
      </c>
      <c r="D3759" s="2" t="s">
        <v>859</v>
      </c>
      <c r="E3759" s="2">
        <v>-579.03</v>
      </c>
      <c r="F3759" s="2" t="e">
        <f>IF(Table2[[#This Row],[Manual Cat Value]]="",VLOOKUP(Table2[[#This Row],[Description]],'Actuals Lookup'!D:F,3,0),Table2[[#This Row],[Manual Cat Value]])</f>
        <v>#N/A</v>
      </c>
      <c r="J3759" s="2">
        <v>579.03</v>
      </c>
      <c r="K3759" s="2" t="b">
        <v>0</v>
      </c>
      <c r="L3759" s="2"/>
      <c r="M3759" s="2"/>
      <c r="N3759" s="4" t="s">
        <v>2273</v>
      </c>
      <c r="O3759" s="4" t="str">
        <f>LEFT(Table2[[#This Row],[Description]],75)</f>
        <v>From Share 70</v>
      </c>
      <c r="P3759" s="2" t="s">
        <v>2496</v>
      </c>
    </row>
    <row r="3760" spans="1:16" hidden="1">
      <c r="A3760" s="2">
        <v>202012</v>
      </c>
      <c r="B3760" s="3">
        <v>44166</v>
      </c>
      <c r="C3760" s="2" t="s">
        <v>2262</v>
      </c>
      <c r="D3760" s="2" t="s">
        <v>886</v>
      </c>
      <c r="E3760" s="2">
        <v>42.38</v>
      </c>
      <c r="F3760" s="2" t="e">
        <f>IF(Table2[[#This Row],[Manual Cat Value]]="",VLOOKUP(Table2[[#This Row],[Description]],'Actuals Lookup'!D:F,3,0),Table2[[#This Row],[Manual Cat Value]])</f>
        <v>#N/A</v>
      </c>
      <c r="J3760" s="2">
        <v>42.38</v>
      </c>
      <c r="K3760" s="2" t="b">
        <v>0</v>
      </c>
      <c r="L3760" s="2"/>
      <c r="M3760" s="2"/>
      <c r="N3760" s="4" t="s">
        <v>2259</v>
      </c>
      <c r="O3760" s="4" t="str">
        <f>LEFT(Table2[[#This Row],[Description]],75)</f>
        <v>Gap</v>
      </c>
      <c r="P3760" s="2" t="s">
        <v>2281</v>
      </c>
    </row>
    <row r="3761" spans="1:16" hidden="1">
      <c r="A3761" s="2">
        <v>202012</v>
      </c>
      <c r="B3761" s="3">
        <v>44166</v>
      </c>
      <c r="C3761" s="2" t="s">
        <v>2262</v>
      </c>
      <c r="D3761" s="2" t="s">
        <v>947</v>
      </c>
      <c r="E3761" s="2">
        <v>21.84</v>
      </c>
      <c r="F3761" s="2" t="e">
        <f>IF(Table2[[#This Row],[Manual Cat Value]]="",VLOOKUP(Table2[[#This Row],[Description]],'Actuals Lookup'!D:F,3,0),Table2[[#This Row],[Manual Cat Value]])</f>
        <v>#N/A</v>
      </c>
      <c r="J3761" s="2">
        <v>21.84</v>
      </c>
      <c r="K3761" s="2" t="b">
        <v>0</v>
      </c>
      <c r="L3761" s="2"/>
      <c r="M3761" s="2"/>
      <c r="N3761" s="4" t="s">
        <v>2259</v>
      </c>
      <c r="O3761" s="4" t="str">
        <f>LEFT(Table2[[#This Row],[Description]],75)</f>
        <v>Home Depot</v>
      </c>
      <c r="P3761" s="2" t="s">
        <v>2396</v>
      </c>
    </row>
    <row r="3762" spans="1:16" hidden="1">
      <c r="A3762" s="2">
        <v>202012</v>
      </c>
      <c r="B3762" s="3">
        <v>44166</v>
      </c>
      <c r="C3762" s="2" t="s">
        <v>2317</v>
      </c>
      <c r="D3762" s="2" t="s">
        <v>978</v>
      </c>
      <c r="E3762" s="2">
        <v>-28.03</v>
      </c>
      <c r="F3762" s="2" t="e">
        <f>IF(Table2[[#This Row],[Manual Cat Value]]="",VLOOKUP(Table2[[#This Row],[Description]],'Actuals Lookup'!D:F,3,0),Table2[[#This Row],[Manual Cat Value]])</f>
        <v>#N/A</v>
      </c>
      <c r="J3762" s="2">
        <v>28.03</v>
      </c>
      <c r="K3762" s="2" t="b">
        <v>0</v>
      </c>
      <c r="L3762" s="2"/>
      <c r="M3762" s="2"/>
      <c r="N3762" s="4" t="s">
        <v>2273</v>
      </c>
      <c r="O3762" s="4" t="str">
        <f>LEFT(Table2[[#This Row],[Description]],75)</f>
        <v>INTEL CORP</v>
      </c>
      <c r="P3762" s="2" t="s">
        <v>2422</v>
      </c>
    </row>
    <row r="3763" spans="1:16" hidden="1">
      <c r="A3763" s="2">
        <v>202012</v>
      </c>
      <c r="B3763" s="3">
        <v>44166</v>
      </c>
      <c r="C3763" s="2" t="s">
        <v>2262</v>
      </c>
      <c r="D3763" s="2" t="s">
        <v>1076</v>
      </c>
      <c r="E3763" s="2">
        <v>48.8</v>
      </c>
      <c r="F3763" s="2" t="str">
        <f>IF(Table2[[#This Row],[Manual Cat Value]]="",VLOOKUP(Table2[[#This Row],[Description]],'Actuals Lookup'!D:F,3,0),Table2[[#This Row],[Manual Cat Value]])</f>
        <v>Shopping</v>
      </c>
      <c r="J3763" s="2">
        <v>48.8</v>
      </c>
      <c r="K3763" s="2" t="b">
        <v>0</v>
      </c>
      <c r="L3763" s="2"/>
      <c r="M3763" s="2"/>
      <c r="N3763" s="4" t="s">
        <v>2259</v>
      </c>
      <c r="O3763" s="4" t="str">
        <f>LEFT(Table2[[#This Row],[Description]],75)</f>
        <v>Kohl's</v>
      </c>
      <c r="P3763" s="2" t="s">
        <v>2522</v>
      </c>
    </row>
    <row r="3764" spans="1:16" hidden="1">
      <c r="A3764" s="2">
        <v>202012</v>
      </c>
      <c r="B3764" s="3">
        <v>44166</v>
      </c>
      <c r="C3764" s="2" t="s">
        <v>2265</v>
      </c>
      <c r="D3764" s="2" t="s">
        <v>1230</v>
      </c>
      <c r="E3764" s="2">
        <v>391.2</v>
      </c>
      <c r="F3764" s="2" t="e">
        <f>IF(Table2[[#This Row],[Manual Cat Value]]="",VLOOKUP(Table2[[#This Row],[Description]],'Actuals Lookup'!D:F,3,0),Table2[[#This Row],[Manual Cat Value]])</f>
        <v>#N/A</v>
      </c>
      <c r="J3764" s="2">
        <v>391.2</v>
      </c>
      <c r="K3764" s="2" t="b">
        <v>0</v>
      </c>
      <c r="L3764" s="2"/>
      <c r="M3764" s="2"/>
      <c r="N3764" s="4" t="s">
        <v>2259</v>
      </c>
      <c r="O3764" s="4" t="str">
        <f>LEFT(Table2[[#This Row],[Description]],75)</f>
        <v>MHCHILDCARELLC TYPE DUES ID CO MHCHILDCARELLC ACH ECC PPD ACH Trace 69445</v>
      </c>
      <c r="P3764" s="2" t="s">
        <v>2497</v>
      </c>
    </row>
    <row r="3765" spans="1:16" hidden="1">
      <c r="A3765" s="2">
        <v>202012</v>
      </c>
      <c r="B3765" s="3">
        <v>44166</v>
      </c>
      <c r="C3765" s="2" t="s">
        <v>2265</v>
      </c>
      <c r="D3765" s="2" t="s">
        <v>1471</v>
      </c>
      <c r="E3765" s="2">
        <v>65.44</v>
      </c>
      <c r="F3765" s="2" t="str">
        <f>IF(Table2[[#This Row],[Manual Cat Value]]="",VLOOKUP(Table2[[#This Row],[Description]],'Actuals Lookup'!D:F,3,0),Table2[[#This Row],[Manual Cat Value]])</f>
        <v>Shopping</v>
      </c>
      <c r="J3765" s="2">
        <v>65.44</v>
      </c>
      <c r="K3765" s="2" t="b">
        <v>0</v>
      </c>
      <c r="L3765" s="2"/>
      <c r="M3765" s="2"/>
      <c r="N3765" s="4" t="s">
        <v>2259</v>
      </c>
      <c r="O3765" s="4" t="str">
        <f>LEFT(Table2[[#This Row],[Description]],75)</f>
        <v>PayPal</v>
      </c>
      <c r="P3765" s="2" t="s">
        <v>2322</v>
      </c>
    </row>
    <row r="3766" spans="1:16" hidden="1">
      <c r="A3766" s="2">
        <v>202012</v>
      </c>
      <c r="B3766" s="3">
        <v>44166</v>
      </c>
      <c r="C3766" s="2" t="s">
        <v>2270</v>
      </c>
      <c r="D3766" s="2" t="s">
        <v>1524</v>
      </c>
      <c r="E3766" s="2">
        <v>-431</v>
      </c>
      <c r="F3766" s="2" t="e">
        <f>IF(Table2[[#This Row],[Manual Cat Value]]="",VLOOKUP(Table2[[#This Row],[Description]],'Actuals Lookup'!D:F,3,0),Table2[[#This Row],[Manual Cat Value]])</f>
        <v>#N/A</v>
      </c>
      <c r="J3766" s="2">
        <v>431</v>
      </c>
      <c r="K3766" s="2" t="b">
        <v>0</v>
      </c>
      <c r="L3766" s="2"/>
      <c r="M3766" s="2"/>
      <c r="N3766" s="4" t="s">
        <v>2273</v>
      </c>
      <c r="O3766" s="4" t="str">
        <f>LEFT(Table2[[#This Row],[Description]],75)</f>
        <v>Principal Curtailment</v>
      </c>
      <c r="P3766" s="2" t="s">
        <v>2514</v>
      </c>
    </row>
    <row r="3767" spans="1:16" hidden="1">
      <c r="A3767" s="2">
        <v>202012</v>
      </c>
      <c r="B3767" s="3">
        <v>44166</v>
      </c>
      <c r="C3767" s="2" t="s">
        <v>2262</v>
      </c>
      <c r="D3767" s="2" t="s">
        <v>1564</v>
      </c>
      <c r="E3767" s="2">
        <v>204.95</v>
      </c>
      <c r="F3767" s="2" t="e">
        <f>IF(Table2[[#This Row],[Manual Cat Value]]="",VLOOKUP(Table2[[#This Row],[Description]],'Actuals Lookup'!D:F,3,0),Table2[[#This Row],[Manual Cat Value]])</f>
        <v>#N/A</v>
      </c>
      <c r="J3767" s="2">
        <v>204.95</v>
      </c>
      <c r="K3767" s="2" t="b">
        <v>0</v>
      </c>
      <c r="L3767" s="2"/>
      <c r="M3767" s="2"/>
      <c r="N3767" s="4" t="s">
        <v>2259</v>
      </c>
      <c r="O3767" s="4" t="str">
        <f>LEFT(Table2[[#This Row],[Description]],75)</f>
        <v>REDCOWMNCOM REDCOWMNCOM MN</v>
      </c>
      <c r="P3767" s="2" t="s">
        <v>2523</v>
      </c>
    </row>
    <row r="3768" spans="1:16" hidden="1">
      <c r="A3768" s="2">
        <v>202012</v>
      </c>
      <c r="B3768" s="3">
        <v>44166</v>
      </c>
      <c r="C3768" s="2" t="s">
        <v>2265</v>
      </c>
      <c r="D3768" s="2" t="s">
        <v>1877</v>
      </c>
      <c r="E3768" s="2">
        <v>618.65</v>
      </c>
      <c r="F3768" s="2" t="e">
        <f>IF(Table2[[#This Row],[Manual Cat Value]]="",VLOOKUP(Table2[[#This Row],[Description]],'Actuals Lookup'!D:F,3,0),Table2[[#This Row],[Manual Cat Value]])</f>
        <v>#N/A</v>
      </c>
      <c r="J3768" s="2">
        <v>618.65</v>
      </c>
      <c r="K3768" s="2" t="b">
        <v>0</v>
      </c>
      <c r="L3768" s="2"/>
      <c r="M3768" s="2"/>
      <c r="N3768" s="4" t="s">
        <v>2259</v>
      </c>
      <c r="O3768" s="4" t="str">
        <f>LEFT(Table2[[#This Row],[Description]],75)</f>
        <v>To Loan 02</v>
      </c>
      <c r="P3768" s="2" t="s">
        <v>2316</v>
      </c>
    </row>
    <row r="3769" spans="1:16" hidden="1">
      <c r="A3769" s="2">
        <v>202012</v>
      </c>
      <c r="B3769" s="3">
        <v>44166</v>
      </c>
      <c r="C3769" s="2" t="s">
        <v>2317</v>
      </c>
      <c r="D3769" s="2" t="s">
        <v>2130</v>
      </c>
      <c r="E3769" s="2">
        <v>-26.93</v>
      </c>
      <c r="F3769" s="2" t="e">
        <f>IF(Table2[[#This Row],[Manual Cat Value]]="",VLOOKUP(Table2[[#This Row],[Description]],'Actuals Lookup'!D:F,3,0),Table2[[#This Row],[Manual Cat Value]])</f>
        <v>#N/A</v>
      </c>
      <c r="J3769" s="2">
        <v>26.93</v>
      </c>
      <c r="K3769" s="2" t="b">
        <v>0</v>
      </c>
      <c r="L3769" s="2"/>
      <c r="M3769" s="2"/>
      <c r="N3769" s="4" t="s">
        <v>2273</v>
      </c>
      <c r="O3769" s="4" t="str">
        <f>LEFT(Table2[[#This Row],[Description]],75)</f>
        <v>VISA INC CLASS A</v>
      </c>
      <c r="P3769" s="2" t="s">
        <v>2423</v>
      </c>
    </row>
    <row r="3770" spans="1:16" hidden="1">
      <c r="A3770" s="2">
        <v>202012</v>
      </c>
      <c r="B3770" s="3">
        <v>44167</v>
      </c>
      <c r="C3770" s="2" t="s">
        <v>2262</v>
      </c>
      <c r="D3770" s="2" t="s">
        <v>114</v>
      </c>
      <c r="E3770" s="2">
        <v>4.28</v>
      </c>
      <c r="F3770" s="2" t="str">
        <f>IF(Table2[[#This Row],[Manual Cat Value]]="",VLOOKUP(Table2[[#This Row],[Description]],'Actuals Lookup'!D:F,3,0),Table2[[#This Row],[Manual Cat Value]])</f>
        <v>Entertainment</v>
      </c>
      <c r="J3770" s="2">
        <v>4.28</v>
      </c>
      <c r="K3770" s="2" t="b">
        <v>0</v>
      </c>
      <c r="L3770" s="2"/>
      <c r="M3770" s="2"/>
      <c r="N3770" s="4" t="s">
        <v>2259</v>
      </c>
      <c r="O3770" s="4" t="str">
        <f>LEFT(Table2[[#This Row],[Description]],75)</f>
        <v>Amazon Music</v>
      </c>
      <c r="P3770" s="2" t="s">
        <v>2466</v>
      </c>
    </row>
    <row r="3771" spans="1:16" hidden="1">
      <c r="A3771" s="2">
        <v>202012</v>
      </c>
      <c r="B3771" s="3">
        <v>44167</v>
      </c>
      <c r="C3771" s="2" t="s">
        <v>2262</v>
      </c>
      <c r="D3771" s="2" t="s">
        <v>886</v>
      </c>
      <c r="E3771" s="2">
        <v>8.4700000000000006</v>
      </c>
      <c r="F3771" s="2" t="e">
        <f>IF(Table2[[#This Row],[Manual Cat Value]]="",VLOOKUP(Table2[[#This Row],[Description]],'Actuals Lookup'!D:F,3,0),Table2[[#This Row],[Manual Cat Value]])</f>
        <v>#N/A</v>
      </c>
      <c r="J3771" s="2">
        <v>8.4700000000000006</v>
      </c>
      <c r="K3771" s="2" t="b">
        <v>0</v>
      </c>
      <c r="L3771" s="2"/>
      <c r="M3771" s="2"/>
      <c r="N3771" s="4" t="s">
        <v>2259</v>
      </c>
      <c r="O3771" s="4" t="str">
        <f>LEFT(Table2[[#This Row],[Description]],75)</f>
        <v>Gap</v>
      </c>
      <c r="P3771" s="2" t="s">
        <v>2281</v>
      </c>
    </row>
    <row r="3772" spans="1:16" hidden="1">
      <c r="A3772" s="2">
        <v>202012</v>
      </c>
      <c r="B3772" s="3">
        <v>44167</v>
      </c>
      <c r="C3772" s="2" t="s">
        <v>2317</v>
      </c>
      <c r="D3772" s="2" t="s">
        <v>978</v>
      </c>
      <c r="E3772" s="2">
        <v>28.03</v>
      </c>
      <c r="F3772" s="2" t="e">
        <f>IF(Table2[[#This Row],[Manual Cat Value]]="",VLOOKUP(Table2[[#This Row],[Description]],'Actuals Lookup'!D:F,3,0),Table2[[#This Row],[Manual Cat Value]])</f>
        <v>#N/A</v>
      </c>
      <c r="J3772" s="2">
        <v>28.03</v>
      </c>
      <c r="K3772" s="2" t="b">
        <v>0</v>
      </c>
      <c r="L3772" s="2"/>
      <c r="M3772" s="2"/>
      <c r="N3772" s="4" t="s">
        <v>2259</v>
      </c>
      <c r="O3772" s="4" t="str">
        <f>LEFT(Table2[[#This Row],[Description]],75)</f>
        <v>INTEL CORP</v>
      </c>
      <c r="P3772" s="2" t="s">
        <v>2422</v>
      </c>
    </row>
    <row r="3773" spans="1:16" hidden="1">
      <c r="A3773" s="2">
        <v>202012</v>
      </c>
      <c r="B3773" s="3">
        <v>44167</v>
      </c>
      <c r="C3773" s="2" t="s">
        <v>2262</v>
      </c>
      <c r="D3773" s="2" t="s">
        <v>1369</v>
      </c>
      <c r="E3773" s="2">
        <v>50</v>
      </c>
      <c r="F3773" s="2" t="e">
        <f>IF(Table2[[#This Row],[Manual Cat Value]]="",VLOOKUP(Table2[[#This Row],[Description]],'Actuals Lookup'!D:F,3,0),Table2[[#This Row],[Manual Cat Value]])</f>
        <v>#N/A</v>
      </c>
      <c r="J3773" s="2">
        <v>50</v>
      </c>
      <c r="K3773" s="2" t="b">
        <v>0</v>
      </c>
      <c r="L3773" s="2"/>
      <c r="M3773" s="2"/>
      <c r="N3773" s="4" t="s">
        <v>2259</v>
      </c>
      <c r="O3773" s="4" t="str">
        <f>LEFT(Table2[[#This Row],[Description]],75)</f>
        <v>North Face</v>
      </c>
      <c r="P3773" s="2" t="s">
        <v>2524</v>
      </c>
    </row>
    <row r="3774" spans="1:16" hidden="1">
      <c r="A3774" s="2">
        <v>202012</v>
      </c>
      <c r="B3774" s="3">
        <v>44167</v>
      </c>
      <c r="C3774" s="2" t="s">
        <v>2262</v>
      </c>
      <c r="D3774" s="2" t="s">
        <v>1593</v>
      </c>
      <c r="E3774" s="2">
        <v>39.42</v>
      </c>
      <c r="F3774" s="2" t="e">
        <f>IF(Table2[[#This Row],[Manual Cat Value]]="",VLOOKUP(Table2[[#This Row],[Description]],'Actuals Lookup'!D:F,3,0),Table2[[#This Row],[Manual Cat Value]])</f>
        <v>#N/A</v>
      </c>
      <c r="J3774" s="2">
        <v>39.42</v>
      </c>
      <c r="K3774" s="2" t="b">
        <v>0</v>
      </c>
      <c r="L3774" s="2"/>
      <c r="M3774" s="2"/>
      <c r="N3774" s="4" t="s">
        <v>2259</v>
      </c>
      <c r="O3774" s="4" t="str">
        <f>LEFT(Table2[[#This Row],[Description]],75)</f>
        <v>RIDGEVIEW MEDICAL CNTRCLWACONIA MN</v>
      </c>
      <c r="P3774" s="2" t="s">
        <v>2281</v>
      </c>
    </row>
    <row r="3775" spans="1:16" hidden="1">
      <c r="A3775" s="2">
        <v>202012</v>
      </c>
      <c r="B3775" s="3">
        <v>44167</v>
      </c>
      <c r="C3775" s="2" t="s">
        <v>2262</v>
      </c>
      <c r="D3775" s="2" t="s">
        <v>1664</v>
      </c>
      <c r="E3775" s="2">
        <v>26.95</v>
      </c>
      <c r="F3775" s="2" t="str">
        <f>IF(Table2[[#This Row],[Manual Cat Value]]="",VLOOKUP(Table2[[#This Row],[Description]],'Actuals Lookup'!D:F,3,0),Table2[[#This Row],[Manual Cat Value]])</f>
        <v>Gifts</v>
      </c>
      <c r="J3775" s="2">
        <v>26.95</v>
      </c>
      <c r="K3775" s="2" t="b">
        <v>0</v>
      </c>
      <c r="L3775" s="2"/>
      <c r="M3775" s="2"/>
      <c r="N3775" s="4" t="s">
        <v>2259</v>
      </c>
      <c r="O3775" s="4" t="str">
        <f>LEFT(Table2[[#This Row],[Description]],75)</f>
        <v>Shutterfly</v>
      </c>
      <c r="P3775" s="2" t="s">
        <v>2281</v>
      </c>
    </row>
    <row r="3776" spans="1:16" hidden="1">
      <c r="A3776" s="2">
        <v>202012</v>
      </c>
      <c r="B3776" s="3">
        <v>44167</v>
      </c>
      <c r="C3776" s="2" t="s">
        <v>2262</v>
      </c>
      <c r="D3776" s="2" t="s">
        <v>1664</v>
      </c>
      <c r="E3776" s="2">
        <v>54.5</v>
      </c>
      <c r="F3776" s="2" t="str">
        <f>IF(Table2[[#This Row],[Manual Cat Value]]="",VLOOKUP(Table2[[#This Row],[Description]],'Actuals Lookup'!D:F,3,0),Table2[[#This Row],[Manual Cat Value]])</f>
        <v>Gifts</v>
      </c>
      <c r="J3776" s="2">
        <v>54.5</v>
      </c>
      <c r="K3776" s="2" t="b">
        <v>0</v>
      </c>
      <c r="L3776" s="2"/>
      <c r="M3776" s="2"/>
      <c r="N3776" s="4" t="s">
        <v>2259</v>
      </c>
      <c r="O3776" s="4" t="str">
        <f>LEFT(Table2[[#This Row],[Description]],75)</f>
        <v>Shutterfly</v>
      </c>
      <c r="P3776" s="2" t="s">
        <v>2281</v>
      </c>
    </row>
    <row r="3777" spans="1:16" hidden="1">
      <c r="A3777" s="2">
        <v>202012</v>
      </c>
      <c r="B3777" s="3">
        <v>44167</v>
      </c>
      <c r="C3777" s="2" t="s">
        <v>2262</v>
      </c>
      <c r="D3777" s="2" t="s">
        <v>1703</v>
      </c>
      <c r="E3777" s="2">
        <v>52.4</v>
      </c>
      <c r="F3777" s="2" t="e">
        <f>IF(Table2[[#This Row],[Manual Cat Value]]="",VLOOKUP(Table2[[#This Row],[Description]],'Actuals Lookup'!D:F,3,0),Table2[[#This Row],[Manual Cat Value]])</f>
        <v>#N/A</v>
      </c>
      <c r="J3777" s="2">
        <v>52.4</v>
      </c>
      <c r="K3777" s="2" t="b">
        <v>0</v>
      </c>
      <c r="L3777" s="2"/>
      <c r="M3777" s="2"/>
      <c r="N3777" s="4" t="s">
        <v>2259</v>
      </c>
      <c r="O3777" s="4" t="str">
        <f>LEFT(Table2[[#This Row],[Description]],75)</f>
        <v>SP SOTASTICK CO SOTASTICKCOMMN</v>
      </c>
      <c r="P3777" s="2" t="s">
        <v>2281</v>
      </c>
    </row>
    <row r="3778" spans="1:16" hidden="1">
      <c r="A3778" s="2">
        <v>202012</v>
      </c>
      <c r="B3778" s="3">
        <v>44167</v>
      </c>
      <c r="C3778" s="2" t="s">
        <v>2262</v>
      </c>
      <c r="D3778" s="2" t="s">
        <v>1764</v>
      </c>
      <c r="E3778" s="2">
        <v>83</v>
      </c>
      <c r="F3778" s="2" t="e">
        <f>IF(Table2[[#This Row],[Manual Cat Value]]="",VLOOKUP(Table2[[#This Row],[Description]],'Actuals Lookup'!D:F,3,0),Table2[[#This Row],[Manual Cat Value]])</f>
        <v>#N/A</v>
      </c>
      <c r="J3778" s="2">
        <v>83</v>
      </c>
      <c r="K3778" s="2" t="b">
        <v>0</v>
      </c>
      <c r="L3778" s="2"/>
      <c r="M3778" s="2"/>
      <c r="N3778" s="4" t="s">
        <v>2259</v>
      </c>
      <c r="O3778" s="4" t="str">
        <f>LEFT(Table2[[#This Row],[Description]],75)</f>
        <v>SQ THE WILSON WEIGH Excelsior MN</v>
      </c>
      <c r="P3778" s="2" t="s">
        <v>2281</v>
      </c>
    </row>
    <row r="3779" spans="1:16" hidden="1">
      <c r="A3779" s="2">
        <v>202012</v>
      </c>
      <c r="B3779" s="3">
        <v>44167</v>
      </c>
      <c r="C3779" s="2" t="s">
        <v>2317</v>
      </c>
      <c r="D3779" s="2" t="s">
        <v>2130</v>
      </c>
      <c r="E3779" s="2">
        <v>26.93</v>
      </c>
      <c r="F3779" s="2" t="e">
        <f>IF(Table2[[#This Row],[Manual Cat Value]]="",VLOOKUP(Table2[[#This Row],[Description]],'Actuals Lookup'!D:F,3,0),Table2[[#This Row],[Manual Cat Value]])</f>
        <v>#N/A</v>
      </c>
      <c r="J3779" s="2">
        <v>26.93</v>
      </c>
      <c r="K3779" s="2" t="b">
        <v>0</v>
      </c>
      <c r="L3779" s="2"/>
      <c r="M3779" s="2"/>
      <c r="N3779" s="4" t="s">
        <v>2259</v>
      </c>
      <c r="O3779" s="4" t="str">
        <f>LEFT(Table2[[#This Row],[Description]],75)</f>
        <v>VISA INC CLASS A</v>
      </c>
      <c r="P3779" s="2" t="s">
        <v>2423</v>
      </c>
    </row>
    <row r="3780" spans="1:16" hidden="1">
      <c r="A3780" s="2">
        <v>202012</v>
      </c>
      <c r="B3780" s="3">
        <v>44168</v>
      </c>
      <c r="C3780" s="2" t="s">
        <v>2262</v>
      </c>
      <c r="D3780" s="2" t="s">
        <v>1423</v>
      </c>
      <c r="E3780" s="2">
        <v>-878.75</v>
      </c>
      <c r="F3780" s="2" t="e">
        <f>IF(Table2[[#This Row],[Manual Cat Value]]="",VLOOKUP(Table2[[#This Row],[Description]],'Actuals Lookup'!D:F,3,0),Table2[[#This Row],[Manual Cat Value]])</f>
        <v>#N/A</v>
      </c>
      <c r="J3780" s="2">
        <v>878.75</v>
      </c>
      <c r="K3780" s="2" t="b">
        <v>0</v>
      </c>
      <c r="L3780" s="2"/>
      <c r="M3780" s="2"/>
      <c r="N3780" s="4" t="s">
        <v>2273</v>
      </c>
      <c r="O3780" s="4" t="str">
        <f>LEFT(Table2[[#This Row],[Description]],75)</f>
        <v>PAYMENT THANK YOU</v>
      </c>
      <c r="P3780" s="2" t="s">
        <v>2391</v>
      </c>
    </row>
    <row r="3781" spans="1:16" hidden="1">
      <c r="A3781" s="2">
        <v>202012</v>
      </c>
      <c r="B3781" s="3">
        <v>44168</v>
      </c>
      <c r="C3781" s="2" t="s">
        <v>2265</v>
      </c>
      <c r="D3781" s="2" t="s">
        <v>2176</v>
      </c>
      <c r="E3781" s="2">
        <v>878.75</v>
      </c>
      <c r="F3781" s="2" t="e">
        <f>IF(Table2[[#This Row],[Manual Cat Value]]="",VLOOKUP(Table2[[#This Row],[Description]],'Actuals Lookup'!D:F,3,0),Table2[[#This Row],[Manual Cat Value]])</f>
        <v>#N/A</v>
      </c>
      <c r="J3781" s="2">
        <v>878.75</v>
      </c>
      <c r="K3781" s="2" t="b">
        <v>0</v>
      </c>
      <c r="L3781" s="2"/>
      <c r="M3781" s="2"/>
      <c r="N3781" s="4" t="s">
        <v>2259</v>
      </c>
      <c r="O3781" s="4" t="str">
        <f>LEFT(Table2[[#This Row],[Description]],75)</f>
        <v>Withdrawal Home payment to card 979181</v>
      </c>
      <c r="P3781" s="2" t="s">
        <v>2349</v>
      </c>
    </row>
    <row r="3782" spans="1:16" hidden="1">
      <c r="A3782" s="2">
        <v>202012</v>
      </c>
      <c r="B3782" s="3">
        <v>44168</v>
      </c>
      <c r="C3782" s="2" t="s">
        <v>2262</v>
      </c>
      <c r="D3782" s="2" t="s">
        <v>1573</v>
      </c>
      <c r="E3782" s="2">
        <v>331.35</v>
      </c>
      <c r="F3782" s="2" t="e">
        <f>IF(Table2[[#This Row],[Manual Cat Value]]="",VLOOKUP(Table2[[#This Row],[Description]],'Actuals Lookup'!D:F,3,0),Table2[[#This Row],[Manual Cat Value]])</f>
        <v>#N/A</v>
      </c>
      <c r="J3782" s="2">
        <v>331.35</v>
      </c>
      <c r="K3782" s="2" t="b">
        <v>0</v>
      </c>
      <c r="L3782" s="2"/>
      <c r="M3782" s="2"/>
      <c r="N3782" s="4" t="s">
        <v>2259</v>
      </c>
      <c r="O3782" s="4" t="str">
        <f>LEFT(Table2[[#This Row],[Description]],75)</f>
        <v>REICOM 8004264840 WA</v>
      </c>
      <c r="P3782" s="2" t="s">
        <v>2281</v>
      </c>
    </row>
    <row r="3783" spans="1:16" hidden="1">
      <c r="A3783" s="2">
        <v>202012</v>
      </c>
      <c r="B3783" s="3">
        <v>44168</v>
      </c>
      <c r="C3783" s="2" t="s">
        <v>2262</v>
      </c>
      <c r="D3783" s="2" t="s">
        <v>2146</v>
      </c>
      <c r="E3783" s="2">
        <v>18</v>
      </c>
      <c r="F3783" s="2" t="e">
        <f>IF(Table2[[#This Row],[Manual Cat Value]]="",VLOOKUP(Table2[[#This Row],[Description]],'Actuals Lookup'!D:F,3,0),Table2[[#This Row],[Manual Cat Value]])</f>
        <v>#N/A</v>
      </c>
      <c r="J3783" s="2">
        <v>18</v>
      </c>
      <c r="K3783" s="2" t="b">
        <v>0</v>
      </c>
      <c r="L3783" s="2"/>
      <c r="M3783" s="2"/>
      <c r="N3783" s="4" t="s">
        <v>2259</v>
      </c>
      <c r="O3783" s="4" t="str">
        <f>LEFT(Table2[[#This Row],[Description]],75)</f>
        <v>WEBONLINE 8009880886 MA</v>
      </c>
      <c r="P3783" s="2" t="s">
        <v>2281</v>
      </c>
    </row>
    <row r="3784" spans="1:16" hidden="1">
      <c r="A3784" s="2">
        <v>202012</v>
      </c>
      <c r="B3784" s="3">
        <v>44168</v>
      </c>
      <c r="C3784" s="2" t="s">
        <v>2262</v>
      </c>
      <c r="D3784" s="2" t="s">
        <v>2224</v>
      </c>
      <c r="E3784" s="2">
        <v>21.59</v>
      </c>
      <c r="F3784" s="2" t="e">
        <f>IF(Table2[[#This Row],[Manual Cat Value]]="",VLOOKUP(Table2[[#This Row],[Description]],'Actuals Lookup'!D:F,3,0),Table2[[#This Row],[Manual Cat Value]])</f>
        <v>#N/A</v>
      </c>
      <c r="J3784" s="2">
        <v>21.59</v>
      </c>
      <c r="K3784" s="2" t="b">
        <v>0</v>
      </c>
      <c r="L3784" s="2"/>
      <c r="M3784" s="2"/>
      <c r="N3784" s="4" t="s">
        <v>2259</v>
      </c>
      <c r="O3784" s="4" t="str">
        <f>LEFT(Table2[[#This Row],[Description]],75)</f>
        <v>YETI COOLERS 5123949384 TX</v>
      </c>
      <c r="P3784" s="2" t="s">
        <v>2281</v>
      </c>
    </row>
    <row r="3785" spans="1:16" hidden="1">
      <c r="A3785" s="2">
        <v>202012</v>
      </c>
      <c r="B3785" s="3">
        <v>44169</v>
      </c>
      <c r="C3785" s="2" t="s">
        <v>2258</v>
      </c>
      <c r="D3785" s="2" t="s">
        <v>38</v>
      </c>
      <c r="E3785" s="2">
        <v>7.52</v>
      </c>
      <c r="F3785" s="2" t="str">
        <f>IF(Table2[[#This Row],[Manual Cat Value]]="",VLOOKUP(Table2[[#This Row],[Description]],'Actuals Lookup'!D:F,3,0),Table2[[#This Row],[Manual Cat Value]])</f>
        <v>Amazon</v>
      </c>
      <c r="J3785" s="2">
        <v>7.52</v>
      </c>
      <c r="K3785" s="2" t="b">
        <v>0</v>
      </c>
      <c r="L3785" s="2"/>
      <c r="M3785" s="2"/>
      <c r="N3785" s="4" t="s">
        <v>2259</v>
      </c>
      <c r="O3785" s="4" t="str">
        <f>LEFT(Table2[[#This Row],[Description]],75)</f>
        <v>Amazon</v>
      </c>
      <c r="P3785" s="2" t="s">
        <v>2260</v>
      </c>
    </row>
    <row r="3786" spans="1:16" hidden="1">
      <c r="A3786" s="2">
        <v>202012</v>
      </c>
      <c r="B3786" s="3">
        <v>44169</v>
      </c>
      <c r="C3786" s="2" t="s">
        <v>2258</v>
      </c>
      <c r="D3786" s="2" t="s">
        <v>38</v>
      </c>
      <c r="E3786" s="2">
        <v>-9.65</v>
      </c>
      <c r="F3786" s="2" t="str">
        <f>IF(Table2[[#This Row],[Manual Cat Value]]="",VLOOKUP(Table2[[#This Row],[Description]],'Actuals Lookup'!D:F,3,0),Table2[[#This Row],[Manual Cat Value]])</f>
        <v>Amazon</v>
      </c>
      <c r="J3786" s="2">
        <v>9.65</v>
      </c>
      <c r="K3786" s="2" t="b">
        <v>0</v>
      </c>
      <c r="L3786" s="2"/>
      <c r="M3786" s="2"/>
      <c r="N3786" s="4" t="s">
        <v>2273</v>
      </c>
      <c r="O3786" s="4" t="str">
        <f>LEFT(Table2[[#This Row],[Description]],75)</f>
        <v>Amazon</v>
      </c>
      <c r="P3786" s="2" t="s">
        <v>2260</v>
      </c>
    </row>
    <row r="3787" spans="1:16" hidden="1">
      <c r="A3787" s="2">
        <v>202012</v>
      </c>
      <c r="B3787" s="3">
        <v>44169</v>
      </c>
      <c r="C3787" s="2" t="s">
        <v>2258</v>
      </c>
      <c r="D3787" s="2" t="s">
        <v>38</v>
      </c>
      <c r="E3787" s="2">
        <v>14.66</v>
      </c>
      <c r="F3787" s="2" t="str">
        <f>IF(Table2[[#This Row],[Manual Cat Value]]="",VLOOKUP(Table2[[#This Row],[Description]],'Actuals Lookup'!D:F,3,0),Table2[[#This Row],[Manual Cat Value]])</f>
        <v>Amazon</v>
      </c>
      <c r="J3787" s="2">
        <v>14.66</v>
      </c>
      <c r="K3787" s="2" t="b">
        <v>0</v>
      </c>
      <c r="L3787" s="2"/>
      <c r="M3787" s="2"/>
      <c r="N3787" s="4" t="s">
        <v>2259</v>
      </c>
      <c r="O3787" s="4" t="str">
        <f>LEFT(Table2[[#This Row],[Description]],75)</f>
        <v>Amazon</v>
      </c>
      <c r="P3787" s="2" t="s">
        <v>2260</v>
      </c>
    </row>
    <row r="3788" spans="1:16" hidden="1">
      <c r="A3788" s="2">
        <v>202012</v>
      </c>
      <c r="B3788" s="3">
        <v>44169</v>
      </c>
      <c r="C3788" s="2" t="s">
        <v>2258</v>
      </c>
      <c r="D3788" s="2" t="s">
        <v>38</v>
      </c>
      <c r="E3788" s="2">
        <v>23.61</v>
      </c>
      <c r="F3788" s="2" t="str">
        <f>IF(Table2[[#This Row],[Manual Cat Value]]="",VLOOKUP(Table2[[#This Row],[Description]],'Actuals Lookup'!D:F,3,0),Table2[[#This Row],[Manual Cat Value]])</f>
        <v>Amazon</v>
      </c>
      <c r="J3788" s="2">
        <v>23.61</v>
      </c>
      <c r="K3788" s="2" t="b">
        <v>0</v>
      </c>
      <c r="L3788" s="2"/>
      <c r="M3788" s="2"/>
      <c r="N3788" s="4" t="s">
        <v>2259</v>
      </c>
      <c r="O3788" s="4" t="str">
        <f>LEFT(Table2[[#This Row],[Description]],75)</f>
        <v>Amazon</v>
      </c>
      <c r="P3788" s="2" t="s">
        <v>2260</v>
      </c>
    </row>
    <row r="3789" spans="1:16" hidden="1">
      <c r="A3789" s="2">
        <v>202012</v>
      </c>
      <c r="B3789" s="3">
        <v>44169</v>
      </c>
      <c r="C3789" s="2" t="s">
        <v>2447</v>
      </c>
      <c r="D3789" s="2" t="s">
        <v>38</v>
      </c>
      <c r="E3789" s="2">
        <v>7.52</v>
      </c>
      <c r="F3789" s="2" t="str">
        <f>IF(Table2[[#This Row],[Manual Cat Value]]="",VLOOKUP(Table2[[#This Row],[Description]],'Actuals Lookup'!D:F,3,0),Table2[[#This Row],[Manual Cat Value]])</f>
        <v>Amazon</v>
      </c>
      <c r="J3789" s="2">
        <v>7.52</v>
      </c>
      <c r="K3789" s="2" t="b">
        <v>0</v>
      </c>
      <c r="L3789" s="2"/>
      <c r="M3789" s="2"/>
      <c r="N3789" s="4" t="s">
        <v>2259</v>
      </c>
      <c r="O3789" s="4" t="str">
        <f>LEFT(Table2[[#This Row],[Description]],75)</f>
        <v>Amazon</v>
      </c>
      <c r="P3789" s="2" t="s">
        <v>2260</v>
      </c>
    </row>
    <row r="3790" spans="1:16" hidden="1">
      <c r="A3790" s="2">
        <v>202012</v>
      </c>
      <c r="B3790" s="3">
        <v>44169</v>
      </c>
      <c r="C3790" s="2" t="s">
        <v>2447</v>
      </c>
      <c r="D3790" s="2" t="s">
        <v>38</v>
      </c>
      <c r="E3790" s="2">
        <v>-9.65</v>
      </c>
      <c r="F3790" s="2" t="str">
        <f>IF(Table2[[#This Row],[Manual Cat Value]]="",VLOOKUP(Table2[[#This Row],[Description]],'Actuals Lookup'!D:F,3,0),Table2[[#This Row],[Manual Cat Value]])</f>
        <v>Amazon</v>
      </c>
      <c r="J3790" s="2">
        <v>9.65</v>
      </c>
      <c r="K3790" s="2" t="b">
        <v>0</v>
      </c>
      <c r="L3790" s="2"/>
      <c r="M3790" s="2"/>
      <c r="N3790" s="4" t="s">
        <v>2273</v>
      </c>
      <c r="O3790" s="4" t="str">
        <f>LEFT(Table2[[#This Row],[Description]],75)</f>
        <v>Amazon</v>
      </c>
      <c r="P3790" s="2" t="s">
        <v>2260</v>
      </c>
    </row>
    <row r="3791" spans="1:16" hidden="1">
      <c r="A3791" s="2">
        <v>202012</v>
      </c>
      <c r="B3791" s="3">
        <v>44169</v>
      </c>
      <c r="C3791" s="2" t="s">
        <v>2447</v>
      </c>
      <c r="D3791" s="2" t="s">
        <v>38</v>
      </c>
      <c r="E3791" s="2">
        <v>14.66</v>
      </c>
      <c r="F3791" s="2" t="str">
        <f>IF(Table2[[#This Row],[Manual Cat Value]]="",VLOOKUP(Table2[[#This Row],[Description]],'Actuals Lookup'!D:F,3,0),Table2[[#This Row],[Manual Cat Value]])</f>
        <v>Amazon</v>
      </c>
      <c r="J3791" s="2">
        <v>14.66</v>
      </c>
      <c r="K3791" s="2" t="b">
        <v>0</v>
      </c>
      <c r="L3791" s="2"/>
      <c r="M3791" s="2"/>
      <c r="N3791" s="4" t="s">
        <v>2259</v>
      </c>
      <c r="O3791" s="4" t="str">
        <f>LEFT(Table2[[#This Row],[Description]],75)</f>
        <v>Amazon</v>
      </c>
      <c r="P3791" s="2" t="s">
        <v>2260</v>
      </c>
    </row>
    <row r="3792" spans="1:16" hidden="1">
      <c r="A3792" s="2">
        <v>202012</v>
      </c>
      <c r="B3792" s="3">
        <v>44169</v>
      </c>
      <c r="C3792" s="2" t="s">
        <v>2447</v>
      </c>
      <c r="D3792" s="2" t="s">
        <v>38</v>
      </c>
      <c r="E3792" s="2">
        <v>23.61</v>
      </c>
      <c r="F3792" s="2" t="str">
        <f>IF(Table2[[#This Row],[Manual Cat Value]]="",VLOOKUP(Table2[[#This Row],[Description]],'Actuals Lookup'!D:F,3,0),Table2[[#This Row],[Manual Cat Value]])</f>
        <v>Amazon</v>
      </c>
      <c r="J3792" s="2">
        <v>23.61</v>
      </c>
      <c r="K3792" s="2" t="b">
        <v>0</v>
      </c>
      <c r="L3792" s="2"/>
      <c r="M3792" s="2"/>
      <c r="N3792" s="4" t="s">
        <v>2259</v>
      </c>
      <c r="O3792" s="4" t="str">
        <f>LEFT(Table2[[#This Row],[Description]],75)</f>
        <v>Amazon</v>
      </c>
      <c r="P3792" s="2" t="s">
        <v>2260</v>
      </c>
    </row>
    <row r="3793" spans="1:16" hidden="1">
      <c r="A3793" s="2">
        <v>202012</v>
      </c>
      <c r="B3793" s="3">
        <v>44169</v>
      </c>
      <c r="C3793" s="2" t="s">
        <v>2338</v>
      </c>
      <c r="D3793" s="2" t="s">
        <v>402</v>
      </c>
      <c r="E3793" s="2">
        <v>-68.98</v>
      </c>
      <c r="F3793" s="2" t="e">
        <f>IF(Table2[[#This Row],[Manual Cat Value]]="",VLOOKUP(Table2[[#This Row],[Description]],'Actuals Lookup'!D:F,3,0),Table2[[#This Row],[Manual Cat Value]])</f>
        <v>#N/A</v>
      </c>
      <c r="J3793" s="2">
        <v>68.98</v>
      </c>
      <c r="K3793" s="2" t="b">
        <v>0</v>
      </c>
      <c r="L3793" s="2"/>
      <c r="M3793" s="2"/>
      <c r="N3793" s="4" t="s">
        <v>2273</v>
      </c>
      <c r="O3793" s="4" t="str">
        <f>LEFT(Table2[[#This Row],[Description]],75)</f>
        <v>Cargill ESOP Stock Fund - Dividends Transferred In</v>
      </c>
      <c r="P3793" s="2"/>
    </row>
    <row r="3794" spans="1:16" hidden="1">
      <c r="A3794" s="2">
        <v>202012</v>
      </c>
      <c r="B3794" s="3">
        <v>44169</v>
      </c>
      <c r="C3794" s="2" t="s">
        <v>2338</v>
      </c>
      <c r="D3794" s="2" t="s">
        <v>439</v>
      </c>
      <c r="E3794" s="2">
        <v>-68.98</v>
      </c>
      <c r="F3794" s="2" t="e">
        <f>IF(Table2[[#This Row],[Manual Cat Value]]="",VLOOKUP(Table2[[#This Row],[Description]],'Actuals Lookup'!D:F,3,0),Table2[[#This Row],[Manual Cat Value]])</f>
        <v>#N/A</v>
      </c>
      <c r="J3794" s="2">
        <v>68.98</v>
      </c>
      <c r="K3794" s="2" t="b">
        <v>0</v>
      </c>
      <c r="L3794" s="2"/>
      <c r="M3794" s="2"/>
      <c r="N3794" s="4" t="s">
        <v>2273</v>
      </c>
      <c r="O3794" s="4" t="str">
        <f>LEFT(Table2[[#This Row],[Description]],75)</f>
        <v>Cargill Passthru Div - Dividends on Equity Investments</v>
      </c>
      <c r="P3794" s="2"/>
    </row>
    <row r="3795" spans="1:16" hidden="1">
      <c r="A3795" s="2">
        <v>202012</v>
      </c>
      <c r="B3795" s="3">
        <v>44169</v>
      </c>
      <c r="C3795" s="2" t="s">
        <v>2338</v>
      </c>
      <c r="D3795" s="2" t="s">
        <v>440</v>
      </c>
      <c r="E3795" s="2">
        <v>-68.98</v>
      </c>
      <c r="F3795" s="2" t="e">
        <f>IF(Table2[[#This Row],[Manual Cat Value]]="",VLOOKUP(Table2[[#This Row],[Description]],'Actuals Lookup'!D:F,3,0),Table2[[#This Row],[Manual Cat Value]])</f>
        <v>#N/A</v>
      </c>
      <c r="J3795" s="2">
        <v>68.98</v>
      </c>
      <c r="K3795" s="2" t="b">
        <v>0</v>
      </c>
      <c r="L3795" s="2"/>
      <c r="M3795" s="2"/>
      <c r="N3795" s="4" t="s">
        <v>2273</v>
      </c>
      <c r="O3795" s="4" t="str">
        <f>LEFT(Table2[[#This Row],[Description]],75)</f>
        <v>Cargill Passthru Div - Dividends Transferred Out</v>
      </c>
      <c r="P3795" s="2"/>
    </row>
    <row r="3796" spans="1:16" hidden="1">
      <c r="A3796" s="2">
        <v>202012</v>
      </c>
      <c r="B3796" s="3">
        <v>44169</v>
      </c>
      <c r="C3796" s="2" t="s">
        <v>2262</v>
      </c>
      <c r="D3796" s="2" t="s">
        <v>1866</v>
      </c>
      <c r="E3796" s="2">
        <v>114.25</v>
      </c>
      <c r="F3796" s="2" t="e">
        <f>IF(Table2[[#This Row],[Manual Cat Value]]="",VLOOKUP(Table2[[#This Row],[Description]],'Actuals Lookup'!D:F,3,0),Table2[[#This Row],[Manual Cat Value]])</f>
        <v>#N/A</v>
      </c>
      <c r="J3796" s="2">
        <v>114.25</v>
      </c>
      <c r="K3796" s="2" t="b">
        <v>0</v>
      </c>
      <c r="L3796" s="2"/>
      <c r="M3796" s="2"/>
      <c r="N3796" s="4" t="s">
        <v>2259</v>
      </c>
      <c r="O3796" s="4" t="str">
        <f>LEFT(Table2[[#This Row],[Description]],75)</f>
        <v>THYMES WWWTHYMESCOMN</v>
      </c>
      <c r="P3796" s="2" t="s">
        <v>2281</v>
      </c>
    </row>
    <row r="3797" spans="1:16" hidden="1">
      <c r="A3797" s="2">
        <v>202012</v>
      </c>
      <c r="B3797" s="3">
        <v>44170</v>
      </c>
      <c r="C3797" s="2" t="s">
        <v>2258</v>
      </c>
      <c r="D3797" s="2" t="s">
        <v>453</v>
      </c>
      <c r="E3797" s="2">
        <v>4.51</v>
      </c>
      <c r="F3797" s="2" t="str">
        <f>IF(Table2[[#This Row],[Manual Cat Value]]="",VLOOKUP(Table2[[#This Row],[Description]],'Actuals Lookup'!D:F,3,0),Table2[[#This Row],[Manual Cat Value]])</f>
        <v>Restaurants</v>
      </c>
      <c r="J3797" s="2">
        <v>4.51</v>
      </c>
      <c r="K3797" s="2" t="b">
        <v>0</v>
      </c>
      <c r="L3797" s="2"/>
      <c r="M3797" s="2"/>
      <c r="N3797" s="4" t="s">
        <v>2259</v>
      </c>
      <c r="O3797" s="4" t="str">
        <f>LEFT(Table2[[#This Row],[Description]],75)</f>
        <v>Caribou Coffee</v>
      </c>
      <c r="P3797" s="2" t="s">
        <v>2329</v>
      </c>
    </row>
    <row r="3798" spans="1:16" hidden="1">
      <c r="A3798" s="2">
        <v>202012</v>
      </c>
      <c r="B3798" s="3">
        <v>44170</v>
      </c>
      <c r="C3798" s="2" t="s">
        <v>2447</v>
      </c>
      <c r="D3798" s="2" t="s">
        <v>453</v>
      </c>
      <c r="E3798" s="2">
        <v>4.51</v>
      </c>
      <c r="F3798" s="2" t="str">
        <f>IF(Table2[[#This Row],[Manual Cat Value]]="",VLOOKUP(Table2[[#This Row],[Description]],'Actuals Lookup'!D:F,3,0),Table2[[#This Row],[Manual Cat Value]])</f>
        <v>Restaurants</v>
      </c>
      <c r="J3798" s="2">
        <v>4.51</v>
      </c>
      <c r="K3798" s="2" t="b">
        <v>0</v>
      </c>
      <c r="L3798" s="2"/>
      <c r="M3798" s="2"/>
      <c r="N3798" s="4" t="s">
        <v>2259</v>
      </c>
      <c r="O3798" s="4" t="str">
        <f>LEFT(Table2[[#This Row],[Description]],75)</f>
        <v>Caribou Coffee</v>
      </c>
      <c r="P3798" s="2" t="s">
        <v>2329</v>
      </c>
    </row>
    <row r="3799" spans="1:16" hidden="1">
      <c r="A3799" s="2">
        <v>202012</v>
      </c>
      <c r="B3799" s="3">
        <v>44171</v>
      </c>
      <c r="C3799" s="2" t="s">
        <v>2258</v>
      </c>
      <c r="D3799" s="2" t="s">
        <v>38</v>
      </c>
      <c r="E3799" s="2">
        <v>123.74</v>
      </c>
      <c r="F3799" s="2" t="str">
        <f>IF(Table2[[#This Row],[Manual Cat Value]]="",VLOOKUP(Table2[[#This Row],[Description]],'Actuals Lookup'!D:F,3,0),Table2[[#This Row],[Manual Cat Value]])</f>
        <v>Amazon</v>
      </c>
      <c r="J3799" s="2">
        <v>123.74</v>
      </c>
      <c r="K3799" s="2" t="b">
        <v>0</v>
      </c>
      <c r="L3799" s="2"/>
      <c r="M3799" s="2"/>
      <c r="N3799" s="4" t="s">
        <v>2259</v>
      </c>
      <c r="O3799" s="4" t="str">
        <f>LEFT(Table2[[#This Row],[Description]],75)</f>
        <v>Amazon</v>
      </c>
      <c r="P3799" s="2" t="s">
        <v>2260</v>
      </c>
    </row>
    <row r="3800" spans="1:16" hidden="1">
      <c r="A3800" s="2">
        <v>202012</v>
      </c>
      <c r="B3800" s="3">
        <v>44171</v>
      </c>
      <c r="C3800" s="2" t="s">
        <v>2447</v>
      </c>
      <c r="D3800" s="2" t="s">
        <v>38</v>
      </c>
      <c r="E3800" s="2">
        <v>123.74</v>
      </c>
      <c r="F3800" s="2" t="str">
        <f>IF(Table2[[#This Row],[Manual Cat Value]]="",VLOOKUP(Table2[[#This Row],[Description]],'Actuals Lookup'!D:F,3,0),Table2[[#This Row],[Manual Cat Value]])</f>
        <v>Amazon</v>
      </c>
      <c r="J3800" s="2">
        <v>123.74</v>
      </c>
      <c r="K3800" s="2" t="b">
        <v>0</v>
      </c>
      <c r="L3800" s="2"/>
      <c r="M3800" s="2"/>
      <c r="N3800" s="4" t="s">
        <v>2259</v>
      </c>
      <c r="O3800" s="4" t="str">
        <f>LEFT(Table2[[#This Row],[Description]],75)</f>
        <v>Amazon</v>
      </c>
      <c r="P3800" s="2" t="s">
        <v>2260</v>
      </c>
    </row>
    <row r="3801" spans="1:16" hidden="1">
      <c r="A3801" s="2">
        <v>202012</v>
      </c>
      <c r="B3801" s="3">
        <v>44171</v>
      </c>
      <c r="C3801" s="2" t="s">
        <v>2262</v>
      </c>
      <c r="D3801" s="2" t="s">
        <v>785</v>
      </c>
      <c r="E3801" s="2">
        <v>59.69</v>
      </c>
      <c r="F3801" s="2" t="str">
        <f>IF(Table2[[#This Row],[Manual Cat Value]]="",VLOOKUP(Table2[[#This Row],[Description]],'Actuals Lookup'!D:F,3,0),Table2[[#This Row],[Manual Cat Value]])</f>
        <v>Restaurants</v>
      </c>
      <c r="J3801" s="2">
        <v>59.69</v>
      </c>
      <c r="K3801" s="2" t="b">
        <v>0</v>
      </c>
      <c r="L3801" s="2"/>
      <c r="M3801" s="2"/>
      <c r="N3801" s="4" t="s">
        <v>2259</v>
      </c>
      <c r="O3801" s="4" t="str">
        <f>LEFT(Table2[[#This Row],[Description]],75)</f>
        <v>Domino's Pizza</v>
      </c>
      <c r="P3801" s="2" t="s">
        <v>2431</v>
      </c>
    </row>
    <row r="3802" spans="1:16" hidden="1">
      <c r="A3802" s="2">
        <v>202012</v>
      </c>
      <c r="B3802" s="3">
        <v>44171</v>
      </c>
      <c r="C3802" s="2" t="s">
        <v>2262</v>
      </c>
      <c r="D3802" s="2" t="s">
        <v>1188</v>
      </c>
      <c r="E3802" s="2">
        <v>8.6199999999999992</v>
      </c>
      <c r="F3802" s="2" t="str">
        <f>IF(Table2[[#This Row],[Manual Cat Value]]="",VLOOKUP(Table2[[#This Row],[Description]],'Actuals Lookup'!D:F,3,0),Table2[[#This Row],[Manual Cat Value]])</f>
        <v>Restaurants</v>
      </c>
      <c r="J3802" s="2">
        <v>8.6199999999999992</v>
      </c>
      <c r="K3802" s="2" t="b">
        <v>0</v>
      </c>
      <c r="L3802" s="2"/>
      <c r="M3802" s="2"/>
      <c r="N3802" s="4" t="s">
        <v>2259</v>
      </c>
      <c r="O3802" s="4" t="str">
        <f>LEFT(Table2[[#This Row],[Description]],75)</f>
        <v>McDonald's</v>
      </c>
      <c r="P3802" s="2" t="s">
        <v>2340</v>
      </c>
    </row>
    <row r="3803" spans="1:16" hidden="1">
      <c r="A3803" s="2">
        <v>202012</v>
      </c>
      <c r="B3803" s="3">
        <v>44172</v>
      </c>
      <c r="C3803" s="2" t="s">
        <v>2262</v>
      </c>
      <c r="D3803" s="2" t="s">
        <v>1423</v>
      </c>
      <c r="E3803" s="2">
        <v>-553.5</v>
      </c>
      <c r="F3803" s="2" t="e">
        <f>IF(Table2[[#This Row],[Manual Cat Value]]="",VLOOKUP(Table2[[#This Row],[Description]],'Actuals Lookup'!D:F,3,0),Table2[[#This Row],[Manual Cat Value]])</f>
        <v>#N/A</v>
      </c>
      <c r="J3803" s="2">
        <v>553.5</v>
      </c>
      <c r="K3803" s="2" t="b">
        <v>0</v>
      </c>
      <c r="L3803" s="2"/>
      <c r="M3803" s="2"/>
      <c r="N3803" s="4" t="s">
        <v>2273</v>
      </c>
      <c r="O3803" s="4" t="str">
        <f>LEFT(Table2[[#This Row],[Description]],75)</f>
        <v>PAYMENT THANK YOU</v>
      </c>
      <c r="P3803" s="2" t="s">
        <v>2391</v>
      </c>
    </row>
    <row r="3804" spans="1:16" hidden="1">
      <c r="A3804" s="2">
        <v>202012</v>
      </c>
      <c r="B3804" s="3">
        <v>44172</v>
      </c>
      <c r="C3804" s="2" t="s">
        <v>2265</v>
      </c>
      <c r="D3804" s="2" t="s">
        <v>2176</v>
      </c>
      <c r="E3804" s="2">
        <v>553.5</v>
      </c>
      <c r="F3804" s="2" t="e">
        <f>IF(Table2[[#This Row],[Manual Cat Value]]="",VLOOKUP(Table2[[#This Row],[Description]],'Actuals Lookup'!D:F,3,0),Table2[[#This Row],[Manual Cat Value]])</f>
        <v>#N/A</v>
      </c>
      <c r="J3804" s="2">
        <v>553.5</v>
      </c>
      <c r="K3804" s="2" t="b">
        <v>0</v>
      </c>
      <c r="L3804" s="2"/>
      <c r="M3804" s="2"/>
      <c r="N3804" s="4" t="s">
        <v>2259</v>
      </c>
      <c r="O3804" s="4" t="str">
        <f>LEFT(Table2[[#This Row],[Description]],75)</f>
        <v>Withdrawal Home payment to card 979181</v>
      </c>
      <c r="P3804" s="2" t="s">
        <v>2349</v>
      </c>
    </row>
    <row r="3805" spans="1:16" hidden="1">
      <c r="A3805" s="2">
        <v>202012</v>
      </c>
      <c r="B3805" s="3">
        <v>44172</v>
      </c>
      <c r="C3805" s="2" t="s">
        <v>2262</v>
      </c>
      <c r="D3805" s="2" t="s">
        <v>684</v>
      </c>
      <c r="E3805" s="2">
        <v>253.65</v>
      </c>
      <c r="F3805" s="2" t="str">
        <f>IF(Table2[[#This Row],[Manual Cat Value]]="",VLOOKUP(Table2[[#This Row],[Description]],'Actuals Lookup'!D:F,3,0),Table2[[#This Row],[Manual Cat Value]])</f>
        <v>Groceries</v>
      </c>
      <c r="J3805" s="2">
        <v>253.65</v>
      </c>
      <c r="K3805" s="2" t="b">
        <v>0</v>
      </c>
      <c r="L3805" s="2"/>
      <c r="M3805" s="2"/>
      <c r="N3805" s="4" t="s">
        <v>2259</v>
      </c>
      <c r="O3805" s="4" t="str">
        <f>LEFT(Table2[[#This Row],[Description]],75)</f>
        <v>Cub Foods</v>
      </c>
      <c r="P3805" s="2" t="s">
        <v>2370</v>
      </c>
    </row>
    <row r="3806" spans="1:16" hidden="1">
      <c r="A3806" s="2">
        <v>202012</v>
      </c>
      <c r="B3806" s="3">
        <v>44172</v>
      </c>
      <c r="C3806" s="2" t="s">
        <v>2265</v>
      </c>
      <c r="D3806" s="2" t="s">
        <v>1212</v>
      </c>
      <c r="E3806" s="2">
        <v>391.2</v>
      </c>
      <c r="F3806" s="2" t="e">
        <f>IF(Table2[[#This Row],[Manual Cat Value]]="",VLOOKUP(Table2[[#This Row],[Description]],'Actuals Lookup'!D:F,3,0),Table2[[#This Row],[Manual Cat Value]])</f>
        <v>#N/A</v>
      </c>
      <c r="J3806" s="2">
        <v>391.2</v>
      </c>
      <c r="K3806" s="2" t="b">
        <v>0</v>
      </c>
      <c r="L3806" s="2"/>
      <c r="M3806" s="2"/>
      <c r="N3806" s="4" t="s">
        <v>2259</v>
      </c>
      <c r="O3806" s="4" t="str">
        <f>LEFT(Table2[[#This Row],[Description]],75)</f>
        <v>MHCHILDCARELLC TYPE DUES ID CO MHCHILDCARELLC ACH ECC PPD ACH Trace 19209</v>
      </c>
      <c r="P3806" s="2" t="s">
        <v>2497</v>
      </c>
    </row>
    <row r="3807" spans="1:16" hidden="1">
      <c r="A3807" s="2">
        <v>202012</v>
      </c>
      <c r="B3807" s="3">
        <v>44172</v>
      </c>
      <c r="C3807" s="2" t="s">
        <v>2265</v>
      </c>
      <c r="D3807" s="2" t="s">
        <v>1471</v>
      </c>
      <c r="E3807" s="2">
        <v>7.43</v>
      </c>
      <c r="F3807" s="2" t="str">
        <f>IF(Table2[[#This Row],[Manual Cat Value]]="",VLOOKUP(Table2[[#This Row],[Description]],'Actuals Lookup'!D:F,3,0),Table2[[#This Row],[Manual Cat Value]])</f>
        <v>Shopping</v>
      </c>
      <c r="J3807" s="2">
        <v>7.43</v>
      </c>
      <c r="K3807" s="2" t="b">
        <v>0</v>
      </c>
      <c r="L3807" s="2"/>
      <c r="M3807" s="2"/>
      <c r="N3807" s="4" t="s">
        <v>2259</v>
      </c>
      <c r="O3807" s="4" t="str">
        <f>LEFT(Table2[[#This Row],[Description]],75)</f>
        <v>PayPal</v>
      </c>
      <c r="P3807" s="2" t="s">
        <v>2322</v>
      </c>
    </row>
    <row r="3808" spans="1:16" hidden="1">
      <c r="A3808" s="2">
        <v>202012</v>
      </c>
      <c r="B3808" s="3">
        <v>44172</v>
      </c>
      <c r="C3808" s="2" t="s">
        <v>2317</v>
      </c>
      <c r="D3808" s="2" t="s">
        <v>1635</v>
      </c>
      <c r="E3808" s="2">
        <v>200</v>
      </c>
      <c r="F3808" s="2" t="e">
        <f>IF(Table2[[#This Row],[Manual Cat Value]]="",VLOOKUP(Table2[[#This Row],[Description]],'Actuals Lookup'!D:F,3,0),Table2[[#This Row],[Manual Cat Value]])</f>
        <v>#N/A</v>
      </c>
      <c r="J3808" s="2">
        <v>200</v>
      </c>
      <c r="K3808" s="2" t="b">
        <v>0</v>
      </c>
      <c r="L3808" s="2"/>
      <c r="M3808" s="2"/>
      <c r="N3808" s="4" t="s">
        <v>2259</v>
      </c>
      <c r="O3808" s="4" t="str">
        <f>LEFT(Table2[[#This Row],[Description]],75)</f>
        <v>SCHWAB TOTAL STOCK MKT INDEX</v>
      </c>
      <c r="P3808" s="2" t="s">
        <v>2278</v>
      </c>
    </row>
    <row r="3809" spans="1:16" hidden="1">
      <c r="A3809" s="2">
        <v>202012</v>
      </c>
      <c r="B3809" s="3">
        <v>44172</v>
      </c>
      <c r="C3809" s="2" t="s">
        <v>2262</v>
      </c>
      <c r="D3809" s="2" t="s">
        <v>2002</v>
      </c>
      <c r="E3809" s="2">
        <v>6.44</v>
      </c>
      <c r="F3809" s="2" t="e">
        <f>IF(Table2[[#This Row],[Manual Cat Value]]="",VLOOKUP(Table2[[#This Row],[Description]],'Actuals Lookup'!D:F,3,0),Table2[[#This Row],[Manual Cat Value]])</f>
        <v>#N/A</v>
      </c>
      <c r="J3809" s="2">
        <v>6.44</v>
      </c>
      <c r="K3809" s="2" t="b">
        <v>0</v>
      </c>
      <c r="L3809" s="2"/>
      <c r="M3809" s="2"/>
      <c r="N3809" s="4" t="s">
        <v>2259</v>
      </c>
      <c r="O3809" s="4" t="str">
        <f>LEFT(Table2[[#This Row],[Description]],75)</f>
        <v>True Value</v>
      </c>
      <c r="P3809" s="2" t="s">
        <v>2490</v>
      </c>
    </row>
    <row r="3810" spans="1:16" hidden="1">
      <c r="A3810" s="2">
        <v>202012</v>
      </c>
      <c r="B3810" s="3">
        <v>44172</v>
      </c>
      <c r="C3810" s="2" t="s">
        <v>2262</v>
      </c>
      <c r="D3810" s="2" t="s">
        <v>2135</v>
      </c>
      <c r="E3810" s="2">
        <v>3.59</v>
      </c>
      <c r="F3810" s="2" t="str">
        <f>IF(Table2[[#This Row],[Manual Cat Value]]="",VLOOKUP(Table2[[#This Row],[Description]],'Actuals Lookup'!D:F,3,0),Table2[[#This Row],[Manual Cat Value]])</f>
        <v>Groceries</v>
      </c>
      <c r="J3810" s="2">
        <v>3.59</v>
      </c>
      <c r="K3810" s="2" t="b">
        <v>0</v>
      </c>
      <c r="L3810" s="2"/>
      <c r="M3810" s="2"/>
      <c r="N3810" s="4" t="s">
        <v>2259</v>
      </c>
      <c r="O3810" s="4" t="str">
        <f>LEFT(Table2[[#This Row],[Description]],75)</f>
        <v>Walgreens</v>
      </c>
      <c r="P3810" s="2" t="s">
        <v>2389</v>
      </c>
    </row>
    <row r="3811" spans="1:16" hidden="1">
      <c r="A3811" s="2">
        <v>202012</v>
      </c>
      <c r="B3811" s="3">
        <v>44172</v>
      </c>
      <c r="C3811" s="2" t="s">
        <v>2262</v>
      </c>
      <c r="D3811" s="2" t="s">
        <v>2135</v>
      </c>
      <c r="E3811" s="2">
        <v>13.41</v>
      </c>
      <c r="F3811" s="2" t="str">
        <f>IF(Table2[[#This Row],[Manual Cat Value]]="",VLOOKUP(Table2[[#This Row],[Description]],'Actuals Lookup'!D:F,3,0),Table2[[#This Row],[Manual Cat Value]])</f>
        <v>Groceries</v>
      </c>
      <c r="J3811" s="2">
        <v>13.41</v>
      </c>
      <c r="K3811" s="2" t="b">
        <v>0</v>
      </c>
      <c r="L3811" s="2"/>
      <c r="M3811" s="2"/>
      <c r="N3811" s="4" t="s">
        <v>2259</v>
      </c>
      <c r="O3811" s="4" t="str">
        <f>LEFT(Table2[[#This Row],[Description]],75)</f>
        <v>Walgreens</v>
      </c>
      <c r="P3811" s="2" t="s">
        <v>2389</v>
      </c>
    </row>
    <row r="3812" spans="1:16" hidden="1">
      <c r="A3812" s="2">
        <v>202012</v>
      </c>
      <c r="B3812" s="3">
        <v>44172</v>
      </c>
      <c r="C3812" s="2" t="s">
        <v>2262</v>
      </c>
      <c r="D3812" s="2" t="s">
        <v>2135</v>
      </c>
      <c r="E3812" s="2">
        <v>13.98</v>
      </c>
      <c r="F3812" s="2" t="str">
        <f>IF(Table2[[#This Row],[Manual Cat Value]]="",VLOOKUP(Table2[[#This Row],[Description]],'Actuals Lookup'!D:F,3,0),Table2[[#This Row],[Manual Cat Value]])</f>
        <v>Groceries</v>
      </c>
      <c r="J3812" s="2">
        <v>13.98</v>
      </c>
      <c r="K3812" s="2" t="b">
        <v>0</v>
      </c>
      <c r="L3812" s="2"/>
      <c r="M3812" s="2"/>
      <c r="N3812" s="4" t="s">
        <v>2259</v>
      </c>
      <c r="O3812" s="4" t="str">
        <f>LEFT(Table2[[#This Row],[Description]],75)</f>
        <v>Walgreens</v>
      </c>
      <c r="P3812" s="2" t="s">
        <v>2389</v>
      </c>
    </row>
    <row r="3813" spans="1:16" hidden="1">
      <c r="A3813" s="2">
        <v>202012</v>
      </c>
      <c r="B3813" s="3">
        <v>44172</v>
      </c>
      <c r="C3813" s="2" t="s">
        <v>2262</v>
      </c>
      <c r="D3813" s="2" t="s">
        <v>2135</v>
      </c>
      <c r="E3813" s="2">
        <v>32.21</v>
      </c>
      <c r="F3813" s="2" t="str">
        <f>IF(Table2[[#This Row],[Manual Cat Value]]="",VLOOKUP(Table2[[#This Row],[Description]],'Actuals Lookup'!D:F,3,0),Table2[[#This Row],[Manual Cat Value]])</f>
        <v>Groceries</v>
      </c>
      <c r="J3813" s="2">
        <v>32.21</v>
      </c>
      <c r="K3813" s="2" t="b">
        <v>0</v>
      </c>
      <c r="L3813" s="2"/>
      <c r="M3813" s="2"/>
      <c r="N3813" s="4" t="s">
        <v>2259</v>
      </c>
      <c r="O3813" s="4" t="str">
        <f>LEFT(Table2[[#This Row],[Description]],75)</f>
        <v>Walgreens</v>
      </c>
      <c r="P3813" s="2" t="s">
        <v>2389</v>
      </c>
    </row>
    <row r="3814" spans="1:16" hidden="1">
      <c r="A3814" s="2">
        <v>202012</v>
      </c>
      <c r="B3814" s="3">
        <v>44173</v>
      </c>
      <c r="C3814" s="2" t="s">
        <v>2262</v>
      </c>
      <c r="D3814" s="2" t="s">
        <v>1701</v>
      </c>
      <c r="E3814" s="2">
        <v>80</v>
      </c>
      <c r="F3814" s="2" t="e">
        <f>IF(Table2[[#This Row],[Manual Cat Value]]="",VLOOKUP(Table2[[#This Row],[Description]],'Actuals Lookup'!D:F,3,0),Table2[[#This Row],[Manual Cat Value]])</f>
        <v>#N/A</v>
      </c>
      <c r="J3814" s="2">
        <v>80</v>
      </c>
      <c r="K3814" s="2" t="b">
        <v>0</v>
      </c>
      <c r="L3814" s="2"/>
      <c r="M3814" s="2"/>
      <c r="N3814" s="4" t="s">
        <v>2259</v>
      </c>
      <c r="O3814" s="4" t="str">
        <f>LEFT(Table2[[#This Row],[Description]],75)</f>
        <v>SP SHARP KITCHEN HTTPSSHARPKITCA</v>
      </c>
      <c r="P3814" s="2" t="s">
        <v>2281</v>
      </c>
    </row>
    <row r="3815" spans="1:16" hidden="1">
      <c r="A3815" s="2">
        <v>202012</v>
      </c>
      <c r="B3815" s="3">
        <v>44173</v>
      </c>
      <c r="C3815" s="2" t="s">
        <v>2265</v>
      </c>
      <c r="D3815" s="2" t="s">
        <v>2221</v>
      </c>
      <c r="E3815" s="2">
        <v>135.33000000000001</v>
      </c>
      <c r="F3815" s="2" t="str">
        <f>IF(Table2[[#This Row],[Manual Cat Value]]="",VLOOKUP(Table2[[#This Row],[Description]],'Actuals Lookup'!D:F,3,0),Table2[[#This Row],[Manual Cat Value]])</f>
        <v>Utilities</v>
      </c>
      <c r="J3815" s="2">
        <v>135.33000000000001</v>
      </c>
      <c r="K3815" s="2" t="b">
        <v>0</v>
      </c>
      <c r="L3815" s="2"/>
      <c r="M3815" s="2"/>
      <c r="N3815" s="4" t="s">
        <v>2259</v>
      </c>
      <c r="O3815" s="4" t="str">
        <f>LEFT(Table2[[#This Row],[Description]],75)</f>
        <v>Xcel Energy</v>
      </c>
      <c r="P3815" s="2" t="s">
        <v>2280</v>
      </c>
    </row>
    <row r="3816" spans="1:16" hidden="1">
      <c r="A3816" s="2">
        <v>202012</v>
      </c>
      <c r="B3816" s="3">
        <v>44174</v>
      </c>
      <c r="C3816" s="2" t="s">
        <v>2258</v>
      </c>
      <c r="D3816" s="2" t="s">
        <v>38</v>
      </c>
      <c r="E3816" s="2">
        <v>12.87</v>
      </c>
      <c r="F3816" s="2" t="str">
        <f>IF(Table2[[#This Row],[Manual Cat Value]]="",VLOOKUP(Table2[[#This Row],[Description]],'Actuals Lookup'!D:F,3,0),Table2[[#This Row],[Manual Cat Value]])</f>
        <v>Amazon</v>
      </c>
      <c r="J3816" s="2">
        <v>12.87</v>
      </c>
      <c r="K3816" s="2" t="b">
        <v>0</v>
      </c>
      <c r="L3816" s="2"/>
      <c r="M3816" s="2"/>
      <c r="N3816" s="4" t="s">
        <v>2259</v>
      </c>
      <c r="O3816" s="4" t="str">
        <f>LEFT(Table2[[#This Row],[Description]],75)</f>
        <v>Amazon</v>
      </c>
      <c r="P3816" s="2" t="s">
        <v>2260</v>
      </c>
    </row>
    <row r="3817" spans="1:16" hidden="1">
      <c r="A3817" s="2">
        <v>202012</v>
      </c>
      <c r="B3817" s="3">
        <v>44174</v>
      </c>
      <c r="C3817" s="2" t="s">
        <v>2447</v>
      </c>
      <c r="D3817" s="2" t="s">
        <v>38</v>
      </c>
      <c r="E3817" s="2">
        <v>12.87</v>
      </c>
      <c r="F3817" s="2" t="str">
        <f>IF(Table2[[#This Row],[Manual Cat Value]]="",VLOOKUP(Table2[[#This Row],[Description]],'Actuals Lookup'!D:F,3,0),Table2[[#This Row],[Manual Cat Value]])</f>
        <v>Amazon</v>
      </c>
      <c r="J3817" s="2">
        <v>12.87</v>
      </c>
      <c r="K3817" s="2" t="b">
        <v>0</v>
      </c>
      <c r="L3817" s="2"/>
      <c r="M3817" s="2"/>
      <c r="N3817" s="4" t="s">
        <v>2259</v>
      </c>
      <c r="O3817" s="4" t="str">
        <f>LEFT(Table2[[#This Row],[Description]],75)</f>
        <v>Amazon</v>
      </c>
      <c r="P3817" s="2" t="s">
        <v>2260</v>
      </c>
    </row>
    <row r="3818" spans="1:16" hidden="1">
      <c r="A3818" s="2">
        <v>202012</v>
      </c>
      <c r="B3818" s="3">
        <v>44174</v>
      </c>
      <c r="C3818" s="2" t="s">
        <v>2265</v>
      </c>
      <c r="D3818" s="2" t="s">
        <v>389</v>
      </c>
      <c r="E3818" s="2">
        <v>-2713.74</v>
      </c>
      <c r="F3818" s="2" t="e">
        <f>IF(Table2[[#This Row],[Manual Cat Value]]="",VLOOKUP(Table2[[#This Row],[Description]],'Actuals Lookup'!D:F,3,0),Table2[[#This Row],[Manual Cat Value]])</f>
        <v>#N/A</v>
      </c>
      <c r="J3818" s="2">
        <v>2713.74</v>
      </c>
      <c r="K3818" s="2" t="b">
        <v>0</v>
      </c>
      <c r="L3818" s="2"/>
      <c r="M3818" s="2"/>
      <c r="N3818" s="4" t="s">
        <v>2273</v>
      </c>
      <c r="O3818" s="4" t="str">
        <f>LEFT(Table2[[#This Row],[Description]],75)</f>
        <v>CARGILL COCOA TYPE DIR DEP ID CO CARGILL COCOA ACH ECC PPD ACH Trace 66903</v>
      </c>
      <c r="P3818" s="2" t="s">
        <v>2284</v>
      </c>
    </row>
    <row r="3819" spans="1:16" hidden="1">
      <c r="A3819" s="2">
        <v>202012</v>
      </c>
      <c r="B3819" s="3">
        <v>44174</v>
      </c>
      <c r="C3819" s="2" t="s">
        <v>2262</v>
      </c>
      <c r="D3819" s="2" t="s">
        <v>1707</v>
      </c>
      <c r="E3819" s="2">
        <v>31.69</v>
      </c>
      <c r="F3819" s="2" t="str">
        <f>IF(Table2[[#This Row],[Manual Cat Value]]="",VLOOKUP(Table2[[#This Row],[Description]],'Actuals Lookup'!D:F,3,0),Table2[[#This Row],[Manual Cat Value]])</f>
        <v>Transportation</v>
      </c>
      <c r="J3819" s="2">
        <v>31.69</v>
      </c>
      <c r="K3819" s="2" t="b">
        <v>0</v>
      </c>
      <c r="L3819" s="2"/>
      <c r="M3819" s="2"/>
      <c r="N3819" s="4" t="s">
        <v>2259</v>
      </c>
      <c r="O3819" s="4" t="str">
        <f>LEFT(Table2[[#This Row],[Description]],75)</f>
        <v>Speedway</v>
      </c>
      <c r="P3819" s="2" t="s">
        <v>2381</v>
      </c>
    </row>
    <row r="3820" spans="1:16" hidden="1">
      <c r="A3820" s="2">
        <v>202012</v>
      </c>
      <c r="B3820" s="3">
        <v>44195</v>
      </c>
      <c r="C3820" s="2" t="s">
        <v>2258</v>
      </c>
      <c r="D3820" s="2" t="s">
        <v>38</v>
      </c>
      <c r="E3820" s="2">
        <v>18.52</v>
      </c>
      <c r="F3820" s="2" t="str">
        <f>IF(Table2[[#This Row],[Manual Cat Value]]="",VLOOKUP(Table2[[#This Row],[Description]],'Actuals Lookup'!D:F,3,0),Table2[[#This Row],[Manual Cat Value]])</f>
        <v>Amazon</v>
      </c>
      <c r="J3820" s="2">
        <v>18.52</v>
      </c>
      <c r="K3820" s="2" t="b">
        <v>0</v>
      </c>
      <c r="L3820" s="2"/>
      <c r="M3820" s="2"/>
      <c r="N3820" s="4" t="s">
        <v>2259</v>
      </c>
      <c r="O3820" s="4" t="str">
        <f>LEFT(Table2[[#This Row],[Description]],75)</f>
        <v>Amazon</v>
      </c>
      <c r="P3820" s="2" t="s">
        <v>2260</v>
      </c>
    </row>
    <row r="3821" spans="1:16" hidden="1">
      <c r="A3821" s="2">
        <v>202012</v>
      </c>
      <c r="B3821" s="3">
        <v>44195</v>
      </c>
      <c r="C3821" s="2" t="s">
        <v>2258</v>
      </c>
      <c r="D3821" s="2" t="s">
        <v>38</v>
      </c>
      <c r="E3821" s="2">
        <v>10.99</v>
      </c>
      <c r="F3821" s="2" t="str">
        <f>IF(Table2[[#This Row],[Manual Cat Value]]="",VLOOKUP(Table2[[#This Row],[Description]],'Actuals Lookup'!D:F,3,0),Table2[[#This Row],[Manual Cat Value]])</f>
        <v>Amazon</v>
      </c>
      <c r="J3821" s="2">
        <v>10.99</v>
      </c>
      <c r="K3821" s="2" t="b">
        <v>0</v>
      </c>
      <c r="L3821" s="2"/>
      <c r="M3821" s="2"/>
      <c r="N3821" s="4" t="s">
        <v>2259</v>
      </c>
      <c r="O3821" s="4" t="str">
        <f>LEFT(Table2[[#This Row],[Description]],75)</f>
        <v>Amazon</v>
      </c>
      <c r="P3821" s="2" t="s">
        <v>2260</v>
      </c>
    </row>
    <row r="3822" spans="1:16" hidden="1">
      <c r="A3822" s="2">
        <v>202012</v>
      </c>
      <c r="B3822" s="3">
        <v>44195</v>
      </c>
      <c r="C3822" s="2" t="s">
        <v>2258</v>
      </c>
      <c r="D3822" s="2" t="s">
        <v>38</v>
      </c>
      <c r="E3822" s="2">
        <v>25.74</v>
      </c>
      <c r="F3822" s="2" t="str">
        <f>IF(Table2[[#This Row],[Manual Cat Value]]="",VLOOKUP(Table2[[#This Row],[Description]],'Actuals Lookup'!D:F,3,0),Table2[[#This Row],[Manual Cat Value]])</f>
        <v>Amazon</v>
      </c>
      <c r="J3822" s="2">
        <v>25.74</v>
      </c>
      <c r="K3822" s="2" t="b">
        <v>0</v>
      </c>
      <c r="L3822" s="2"/>
      <c r="M3822" s="2"/>
      <c r="N3822" s="4" t="s">
        <v>2259</v>
      </c>
      <c r="O3822" s="4" t="str">
        <f>LEFT(Table2[[#This Row],[Description]],75)</f>
        <v>Amazon</v>
      </c>
      <c r="P3822" s="2" t="s">
        <v>2260</v>
      </c>
    </row>
    <row r="3823" spans="1:16" hidden="1">
      <c r="A3823" s="2">
        <v>202012</v>
      </c>
      <c r="B3823" s="3">
        <v>44195</v>
      </c>
      <c r="C3823" s="2" t="s">
        <v>2258</v>
      </c>
      <c r="D3823" s="2" t="s">
        <v>38</v>
      </c>
      <c r="E3823" s="2">
        <v>36.479999999999997</v>
      </c>
      <c r="F3823" s="2" t="str">
        <f>IF(Table2[[#This Row],[Manual Cat Value]]="",VLOOKUP(Table2[[#This Row],[Description]],'Actuals Lookup'!D:F,3,0),Table2[[#This Row],[Manual Cat Value]])</f>
        <v>Amazon</v>
      </c>
      <c r="J3823" s="2">
        <v>36.479999999999997</v>
      </c>
      <c r="K3823" s="2" t="b">
        <v>0</v>
      </c>
      <c r="L3823" s="2"/>
      <c r="M3823" s="2"/>
      <c r="N3823" s="4" t="s">
        <v>2259</v>
      </c>
      <c r="O3823" s="4" t="str">
        <f>LEFT(Table2[[#This Row],[Description]],75)</f>
        <v>Amazon</v>
      </c>
      <c r="P3823" s="2" t="s">
        <v>2260</v>
      </c>
    </row>
    <row r="3824" spans="1:16" hidden="1">
      <c r="A3824" s="2">
        <v>202012</v>
      </c>
      <c r="B3824" s="3">
        <v>44195</v>
      </c>
      <c r="C3824" s="2" t="s">
        <v>2258</v>
      </c>
      <c r="D3824" s="2" t="s">
        <v>38</v>
      </c>
      <c r="E3824" s="2">
        <v>33.93</v>
      </c>
      <c r="F3824" s="2" t="str">
        <f>IF(Table2[[#This Row],[Manual Cat Value]]="",VLOOKUP(Table2[[#This Row],[Description]],'Actuals Lookup'!D:F,3,0),Table2[[#This Row],[Manual Cat Value]])</f>
        <v>Amazon</v>
      </c>
      <c r="J3824" s="2">
        <v>33.93</v>
      </c>
      <c r="K3824" s="2" t="b">
        <v>0</v>
      </c>
      <c r="L3824" s="2"/>
      <c r="M3824" s="2"/>
      <c r="N3824" s="4" t="s">
        <v>2259</v>
      </c>
      <c r="O3824" s="4" t="str">
        <f>LEFT(Table2[[#This Row],[Description]],75)</f>
        <v>Amazon</v>
      </c>
      <c r="P3824" s="2" t="s">
        <v>2260</v>
      </c>
    </row>
    <row r="3825" spans="1:16" hidden="1">
      <c r="A3825" s="2">
        <v>202012</v>
      </c>
      <c r="B3825" s="3">
        <v>44195</v>
      </c>
      <c r="C3825" s="2" t="s">
        <v>2258</v>
      </c>
      <c r="D3825" s="2" t="s">
        <v>38</v>
      </c>
      <c r="E3825" s="2">
        <v>59.57</v>
      </c>
      <c r="F3825" s="2" t="str">
        <f>IF(Table2[[#This Row],[Manual Cat Value]]="",VLOOKUP(Table2[[#This Row],[Description]],'Actuals Lookup'!D:F,3,0),Table2[[#This Row],[Manual Cat Value]])</f>
        <v>Amazon</v>
      </c>
      <c r="J3825" s="2">
        <v>59.57</v>
      </c>
      <c r="K3825" s="2" t="b">
        <v>0</v>
      </c>
      <c r="L3825" s="2"/>
      <c r="M3825" s="2"/>
      <c r="N3825" s="4" t="s">
        <v>2259</v>
      </c>
      <c r="O3825" s="4" t="str">
        <f>LEFT(Table2[[#This Row],[Description]],75)</f>
        <v>Amazon</v>
      </c>
      <c r="P3825" s="2" t="s">
        <v>2260</v>
      </c>
    </row>
    <row r="3826" spans="1:16" hidden="1">
      <c r="A3826" s="2">
        <v>202012</v>
      </c>
      <c r="B3826" s="3">
        <v>44195</v>
      </c>
      <c r="C3826" s="2" t="s">
        <v>2258</v>
      </c>
      <c r="D3826" s="2" t="s">
        <v>38</v>
      </c>
      <c r="E3826" s="2">
        <v>6.17</v>
      </c>
      <c r="F3826" s="2" t="str">
        <f>IF(Table2[[#This Row],[Manual Cat Value]]="",VLOOKUP(Table2[[#This Row],[Description]],'Actuals Lookup'!D:F,3,0),Table2[[#This Row],[Manual Cat Value]])</f>
        <v>Amazon</v>
      </c>
      <c r="J3826" s="2">
        <v>6.17</v>
      </c>
      <c r="K3826" s="2" t="b">
        <v>0</v>
      </c>
      <c r="L3826" s="2"/>
      <c r="M3826" s="2"/>
      <c r="N3826" s="4" t="s">
        <v>2259</v>
      </c>
      <c r="O3826" s="4" t="str">
        <f>LEFT(Table2[[#This Row],[Description]],75)</f>
        <v>Amazon</v>
      </c>
      <c r="P3826" s="2" t="s">
        <v>2260</v>
      </c>
    </row>
    <row r="3827" spans="1:16" hidden="1">
      <c r="A3827" s="2">
        <v>202012</v>
      </c>
      <c r="B3827" s="3">
        <v>44195</v>
      </c>
      <c r="C3827" s="2" t="s">
        <v>2258</v>
      </c>
      <c r="D3827" s="2" t="s">
        <v>38</v>
      </c>
      <c r="E3827" s="2">
        <v>25.95</v>
      </c>
      <c r="F3827" s="2" t="str">
        <f>IF(Table2[[#This Row],[Manual Cat Value]]="",VLOOKUP(Table2[[#This Row],[Description]],'Actuals Lookup'!D:F,3,0),Table2[[#This Row],[Manual Cat Value]])</f>
        <v>Amazon</v>
      </c>
      <c r="J3827" s="2">
        <v>25.95</v>
      </c>
      <c r="K3827" s="2" t="b">
        <v>0</v>
      </c>
      <c r="L3827" s="2"/>
      <c r="M3827" s="2"/>
      <c r="N3827" s="4" t="s">
        <v>2259</v>
      </c>
      <c r="O3827" s="4" t="str">
        <f>LEFT(Table2[[#This Row],[Description]],75)</f>
        <v>Amazon</v>
      </c>
      <c r="P3827" s="2" t="s">
        <v>2260</v>
      </c>
    </row>
    <row r="3828" spans="1:16" hidden="1">
      <c r="A3828" s="2">
        <v>202012</v>
      </c>
      <c r="B3828" s="3">
        <v>44195</v>
      </c>
      <c r="C3828" s="2" t="s">
        <v>2447</v>
      </c>
      <c r="D3828" s="2" t="s">
        <v>38</v>
      </c>
      <c r="E3828" s="2">
        <v>18.52</v>
      </c>
      <c r="F3828" s="2" t="str">
        <f>IF(Table2[[#This Row],[Manual Cat Value]]="",VLOOKUP(Table2[[#This Row],[Description]],'Actuals Lookup'!D:F,3,0),Table2[[#This Row],[Manual Cat Value]])</f>
        <v>Amazon</v>
      </c>
      <c r="J3828" s="2">
        <v>18.52</v>
      </c>
      <c r="K3828" s="2" t="b">
        <v>0</v>
      </c>
      <c r="L3828" s="2"/>
      <c r="M3828" s="2"/>
      <c r="N3828" s="4" t="s">
        <v>2259</v>
      </c>
      <c r="O3828" s="4" t="str">
        <f>LEFT(Table2[[#This Row],[Description]],75)</f>
        <v>Amazon</v>
      </c>
      <c r="P3828" s="2" t="s">
        <v>2260</v>
      </c>
    </row>
    <row r="3829" spans="1:16" hidden="1">
      <c r="A3829" s="2">
        <v>202012</v>
      </c>
      <c r="B3829" s="3">
        <v>44195</v>
      </c>
      <c r="C3829" s="2" t="s">
        <v>2447</v>
      </c>
      <c r="D3829" s="2" t="s">
        <v>38</v>
      </c>
      <c r="E3829" s="2">
        <v>10.99</v>
      </c>
      <c r="F3829" s="2" t="str">
        <f>IF(Table2[[#This Row],[Manual Cat Value]]="",VLOOKUP(Table2[[#This Row],[Description]],'Actuals Lookup'!D:F,3,0),Table2[[#This Row],[Manual Cat Value]])</f>
        <v>Amazon</v>
      </c>
      <c r="J3829" s="2">
        <v>10.99</v>
      </c>
      <c r="K3829" s="2" t="b">
        <v>0</v>
      </c>
      <c r="L3829" s="2"/>
      <c r="M3829" s="2"/>
      <c r="N3829" s="4" t="s">
        <v>2259</v>
      </c>
      <c r="O3829" s="4" t="str">
        <f>LEFT(Table2[[#This Row],[Description]],75)</f>
        <v>Amazon</v>
      </c>
      <c r="P3829" s="2" t="s">
        <v>2260</v>
      </c>
    </row>
    <row r="3830" spans="1:16" hidden="1">
      <c r="A3830" s="2">
        <v>202012</v>
      </c>
      <c r="B3830" s="3">
        <v>44195</v>
      </c>
      <c r="C3830" s="2" t="s">
        <v>2447</v>
      </c>
      <c r="D3830" s="2" t="s">
        <v>38</v>
      </c>
      <c r="E3830" s="2">
        <v>25.74</v>
      </c>
      <c r="F3830" s="2" t="str">
        <f>IF(Table2[[#This Row],[Manual Cat Value]]="",VLOOKUP(Table2[[#This Row],[Description]],'Actuals Lookup'!D:F,3,0),Table2[[#This Row],[Manual Cat Value]])</f>
        <v>Amazon</v>
      </c>
      <c r="J3830" s="2">
        <v>25.74</v>
      </c>
      <c r="K3830" s="2" t="b">
        <v>0</v>
      </c>
      <c r="L3830" s="2"/>
      <c r="M3830" s="2"/>
      <c r="N3830" s="4" t="s">
        <v>2259</v>
      </c>
      <c r="O3830" s="4" t="str">
        <f>LEFT(Table2[[#This Row],[Description]],75)</f>
        <v>Amazon</v>
      </c>
      <c r="P3830" s="2" t="s">
        <v>2260</v>
      </c>
    </row>
    <row r="3831" spans="1:16" hidden="1">
      <c r="A3831" s="2">
        <v>202012</v>
      </c>
      <c r="B3831" s="3">
        <v>44195</v>
      </c>
      <c r="C3831" s="2" t="s">
        <v>2447</v>
      </c>
      <c r="D3831" s="2" t="s">
        <v>38</v>
      </c>
      <c r="E3831" s="2">
        <v>36.479999999999997</v>
      </c>
      <c r="F3831" s="2" t="str">
        <f>IF(Table2[[#This Row],[Manual Cat Value]]="",VLOOKUP(Table2[[#This Row],[Description]],'Actuals Lookup'!D:F,3,0),Table2[[#This Row],[Manual Cat Value]])</f>
        <v>Amazon</v>
      </c>
      <c r="J3831" s="2">
        <v>36.479999999999997</v>
      </c>
      <c r="K3831" s="2" t="b">
        <v>0</v>
      </c>
      <c r="L3831" s="2"/>
      <c r="M3831" s="2"/>
      <c r="N3831" s="4" t="s">
        <v>2259</v>
      </c>
      <c r="O3831" s="4" t="str">
        <f>LEFT(Table2[[#This Row],[Description]],75)</f>
        <v>Amazon</v>
      </c>
      <c r="P3831" s="2" t="s">
        <v>2260</v>
      </c>
    </row>
    <row r="3832" spans="1:16" hidden="1">
      <c r="A3832" s="2">
        <v>202012</v>
      </c>
      <c r="B3832" s="3">
        <v>44195</v>
      </c>
      <c r="C3832" s="2" t="s">
        <v>2447</v>
      </c>
      <c r="D3832" s="2" t="s">
        <v>38</v>
      </c>
      <c r="E3832" s="2">
        <v>33.93</v>
      </c>
      <c r="F3832" s="2" t="str">
        <f>IF(Table2[[#This Row],[Manual Cat Value]]="",VLOOKUP(Table2[[#This Row],[Description]],'Actuals Lookup'!D:F,3,0),Table2[[#This Row],[Manual Cat Value]])</f>
        <v>Amazon</v>
      </c>
      <c r="J3832" s="2">
        <v>33.93</v>
      </c>
      <c r="K3832" s="2" t="b">
        <v>0</v>
      </c>
      <c r="L3832" s="2"/>
      <c r="M3832" s="2"/>
      <c r="N3832" s="4" t="s">
        <v>2259</v>
      </c>
      <c r="O3832" s="4" t="str">
        <f>LEFT(Table2[[#This Row],[Description]],75)</f>
        <v>Amazon</v>
      </c>
      <c r="P3832" s="2" t="s">
        <v>2260</v>
      </c>
    </row>
    <row r="3833" spans="1:16" hidden="1">
      <c r="A3833" s="2">
        <v>202012</v>
      </c>
      <c r="B3833" s="3">
        <v>44195</v>
      </c>
      <c r="C3833" s="2" t="s">
        <v>2447</v>
      </c>
      <c r="D3833" s="2" t="s">
        <v>38</v>
      </c>
      <c r="E3833" s="2">
        <v>59.57</v>
      </c>
      <c r="F3833" s="2" t="str">
        <f>IF(Table2[[#This Row],[Manual Cat Value]]="",VLOOKUP(Table2[[#This Row],[Description]],'Actuals Lookup'!D:F,3,0),Table2[[#This Row],[Manual Cat Value]])</f>
        <v>Amazon</v>
      </c>
      <c r="J3833" s="2">
        <v>59.57</v>
      </c>
      <c r="K3833" s="2" t="b">
        <v>0</v>
      </c>
      <c r="L3833" s="2"/>
      <c r="M3833" s="2"/>
      <c r="N3833" s="4" t="s">
        <v>2259</v>
      </c>
      <c r="O3833" s="4" t="str">
        <f>LEFT(Table2[[#This Row],[Description]],75)</f>
        <v>Amazon</v>
      </c>
      <c r="P3833" s="2" t="s">
        <v>2260</v>
      </c>
    </row>
    <row r="3834" spans="1:16" hidden="1">
      <c r="A3834" s="2">
        <v>202012</v>
      </c>
      <c r="B3834" s="3">
        <v>44195</v>
      </c>
      <c r="C3834" s="2" t="s">
        <v>2447</v>
      </c>
      <c r="D3834" s="2" t="s">
        <v>38</v>
      </c>
      <c r="E3834" s="2">
        <v>6.17</v>
      </c>
      <c r="F3834" s="2" t="str">
        <f>IF(Table2[[#This Row],[Manual Cat Value]]="",VLOOKUP(Table2[[#This Row],[Description]],'Actuals Lookup'!D:F,3,0),Table2[[#This Row],[Manual Cat Value]])</f>
        <v>Amazon</v>
      </c>
      <c r="J3834" s="2">
        <v>6.17</v>
      </c>
      <c r="K3834" s="2" t="b">
        <v>0</v>
      </c>
      <c r="L3834" s="2"/>
      <c r="M3834" s="2"/>
      <c r="N3834" s="4" t="s">
        <v>2259</v>
      </c>
      <c r="O3834" s="4" t="str">
        <f>LEFT(Table2[[#This Row],[Description]],75)</f>
        <v>Amazon</v>
      </c>
      <c r="P3834" s="2" t="s">
        <v>2260</v>
      </c>
    </row>
    <row r="3835" spans="1:16" hidden="1">
      <c r="A3835" s="2">
        <v>202012</v>
      </c>
      <c r="B3835" s="3">
        <v>44195</v>
      </c>
      <c r="C3835" s="2" t="s">
        <v>2447</v>
      </c>
      <c r="D3835" s="2" t="s">
        <v>38</v>
      </c>
      <c r="E3835" s="2">
        <v>25.95</v>
      </c>
      <c r="F3835" s="2" t="str">
        <f>IF(Table2[[#This Row],[Manual Cat Value]]="",VLOOKUP(Table2[[#This Row],[Description]],'Actuals Lookup'!D:F,3,0),Table2[[#This Row],[Manual Cat Value]])</f>
        <v>Amazon</v>
      </c>
      <c r="J3835" s="2">
        <v>25.95</v>
      </c>
      <c r="K3835" s="2" t="b">
        <v>0</v>
      </c>
      <c r="L3835" s="2"/>
      <c r="M3835" s="2"/>
      <c r="N3835" s="4" t="s">
        <v>2259</v>
      </c>
      <c r="O3835" s="4" t="str">
        <f>LEFT(Table2[[#This Row],[Description]],75)</f>
        <v>Amazon</v>
      </c>
      <c r="P3835" s="2" t="s">
        <v>2260</v>
      </c>
    </row>
    <row r="3836" spans="1:16" hidden="1">
      <c r="A3836" s="2">
        <v>202012</v>
      </c>
      <c r="B3836" s="3">
        <v>44195</v>
      </c>
      <c r="C3836" s="2" t="s">
        <v>2447</v>
      </c>
      <c r="D3836" s="2" t="s">
        <v>38</v>
      </c>
      <c r="E3836" s="2">
        <v>76.34</v>
      </c>
      <c r="F3836" s="2" t="str">
        <f>IF(Table2[[#This Row],[Manual Cat Value]]="",VLOOKUP(Table2[[#This Row],[Description]],'Actuals Lookup'!D:F,3,0),Table2[[#This Row],[Manual Cat Value]])</f>
        <v>Amazon</v>
      </c>
      <c r="J3836" s="2">
        <v>76.34</v>
      </c>
      <c r="K3836" s="2" t="b">
        <v>0</v>
      </c>
      <c r="L3836" s="2"/>
      <c r="M3836" s="2"/>
      <c r="N3836" s="4" t="s">
        <v>2259</v>
      </c>
      <c r="O3836" s="4" t="str">
        <f>LEFT(Table2[[#This Row],[Description]],75)</f>
        <v>Amazon</v>
      </c>
      <c r="P3836" s="2" t="s">
        <v>2260</v>
      </c>
    </row>
    <row r="3837" spans="1:16" hidden="1">
      <c r="A3837" s="2">
        <v>202012</v>
      </c>
      <c r="B3837" s="3">
        <v>44195</v>
      </c>
      <c r="C3837" s="2" t="s">
        <v>2447</v>
      </c>
      <c r="D3837" s="2" t="s">
        <v>38</v>
      </c>
      <c r="E3837" s="2">
        <v>25.85</v>
      </c>
      <c r="F3837" s="2" t="str">
        <f>IF(Table2[[#This Row],[Manual Cat Value]]="",VLOOKUP(Table2[[#This Row],[Description]],'Actuals Lookup'!D:F,3,0),Table2[[#This Row],[Manual Cat Value]])</f>
        <v>Amazon</v>
      </c>
      <c r="J3837" s="2">
        <v>25.85</v>
      </c>
      <c r="K3837" s="2" t="b">
        <v>0</v>
      </c>
      <c r="L3837" s="2"/>
      <c r="M3837" s="2"/>
      <c r="N3837" s="4" t="s">
        <v>2259</v>
      </c>
      <c r="O3837" s="4" t="str">
        <f>LEFT(Table2[[#This Row],[Description]],75)</f>
        <v>Amazon</v>
      </c>
      <c r="P3837" s="2" t="s">
        <v>2260</v>
      </c>
    </row>
    <row r="3838" spans="1:16" hidden="1">
      <c r="A3838" s="2">
        <v>202012</v>
      </c>
      <c r="B3838" s="3">
        <v>44195</v>
      </c>
      <c r="C3838" s="2" t="s">
        <v>2258</v>
      </c>
      <c r="D3838" s="2" t="s">
        <v>38</v>
      </c>
      <c r="E3838" s="2">
        <v>76.34</v>
      </c>
      <c r="F3838" s="2" t="str">
        <f>IF(Table2[[#This Row],[Manual Cat Value]]="",VLOOKUP(Table2[[#This Row],[Description]],'Actuals Lookup'!D:F,3,0),Table2[[#This Row],[Manual Cat Value]])</f>
        <v>Amazon</v>
      </c>
      <c r="J3838" s="2">
        <v>76.34</v>
      </c>
      <c r="K3838" s="2" t="b">
        <v>0</v>
      </c>
      <c r="L3838" s="2"/>
      <c r="M3838" s="2"/>
      <c r="N3838" s="4" t="s">
        <v>2259</v>
      </c>
      <c r="O3838" s="4" t="str">
        <f>LEFT(Table2[[#This Row],[Description]],75)</f>
        <v>Amazon</v>
      </c>
      <c r="P3838" s="2" t="s">
        <v>2260</v>
      </c>
    </row>
    <row r="3839" spans="1:16" hidden="1">
      <c r="A3839" s="2">
        <v>202012</v>
      </c>
      <c r="B3839" s="3">
        <v>44195</v>
      </c>
      <c r="C3839" s="2" t="s">
        <v>2258</v>
      </c>
      <c r="D3839" s="2" t="s">
        <v>38</v>
      </c>
      <c r="E3839" s="2">
        <v>25.85</v>
      </c>
      <c r="F3839" s="2" t="str">
        <f>IF(Table2[[#This Row],[Manual Cat Value]]="",VLOOKUP(Table2[[#This Row],[Description]],'Actuals Lookup'!D:F,3,0),Table2[[#This Row],[Manual Cat Value]])</f>
        <v>Amazon</v>
      </c>
      <c r="J3839" s="2">
        <v>25.85</v>
      </c>
      <c r="K3839" s="2" t="b">
        <v>0</v>
      </c>
      <c r="L3839" s="2"/>
      <c r="M3839" s="2"/>
      <c r="N3839" s="4" t="s">
        <v>2259</v>
      </c>
      <c r="O3839" s="4" t="str">
        <f>LEFT(Table2[[#This Row],[Description]],75)</f>
        <v>Amazon</v>
      </c>
      <c r="P3839" s="2" t="s">
        <v>2260</v>
      </c>
    </row>
    <row r="3840" spans="1:16" hidden="1">
      <c r="A3840" s="2">
        <v>202012</v>
      </c>
      <c r="B3840" s="3">
        <v>44195</v>
      </c>
      <c r="C3840" s="2" t="s">
        <v>2265</v>
      </c>
      <c r="D3840" s="2" t="s">
        <v>131</v>
      </c>
      <c r="E3840" s="2">
        <v>102.94</v>
      </c>
      <c r="F3840" s="2" t="str">
        <f>IF(Table2[[#This Row],[Manual Cat Value]]="",VLOOKUP(Table2[[#This Row],[Description]],'Actuals Lookup'!D:F,3,0),Table2[[#This Row],[Manual Cat Value]])</f>
        <v>Insurance</v>
      </c>
      <c r="J3840" s="2">
        <v>102.94</v>
      </c>
      <c r="K3840" s="2" t="b">
        <v>0</v>
      </c>
      <c r="L3840" s="2"/>
      <c r="M3840" s="2"/>
      <c r="N3840" s="4" t="s">
        <v>2259</v>
      </c>
      <c r="O3840" s="4" t="str">
        <f>LEFT(Table2[[#This Row],[Description]],75)</f>
        <v>American Family Insurance</v>
      </c>
      <c r="P3840" s="2" t="s">
        <v>2286</v>
      </c>
    </row>
    <row r="3841" spans="1:16" hidden="1">
      <c r="A3841" s="2">
        <v>202012</v>
      </c>
      <c r="B3841" s="3">
        <v>44195</v>
      </c>
      <c r="C3841" s="2" t="s">
        <v>2265</v>
      </c>
      <c r="D3841" s="2" t="s">
        <v>202</v>
      </c>
      <c r="E3841" s="2">
        <v>350</v>
      </c>
      <c r="F3841" s="2" t="e">
        <f>IF(Table2[[#This Row],[Manual Cat Value]]="",VLOOKUP(Table2[[#This Row],[Description]],'Actuals Lookup'!D:F,3,0),Table2[[#This Row],[Manual Cat Value]])</f>
        <v>#N/A</v>
      </c>
      <c r="J3841" s="2">
        <v>350</v>
      </c>
      <c r="K3841" s="2" t="b">
        <v>0</v>
      </c>
      <c r="L3841" s="2"/>
      <c r="M3841" s="2"/>
      <c r="N3841" s="4" t="s">
        <v>2259</v>
      </c>
      <c r="O3841" s="4" t="str">
        <f>LEFT(Table2[[#This Row],[Description]],75)</f>
        <v>Banana Visa TYPE BR EPAY ID CO Banana Visa ACH ECC WEB ACH Trace 15489</v>
      </c>
      <c r="P3841" s="2" t="s">
        <v>2297</v>
      </c>
    </row>
    <row r="3842" spans="1:16" hidden="1">
      <c r="A3842" s="2">
        <v>202012</v>
      </c>
      <c r="B3842" s="3">
        <v>44195</v>
      </c>
      <c r="C3842" s="2" t="s">
        <v>2265</v>
      </c>
      <c r="D3842" s="2" t="s">
        <v>214</v>
      </c>
      <c r="E3842" s="2">
        <v>57.04</v>
      </c>
      <c r="F3842" s="2" t="e">
        <f>IF(Table2[[#This Row],[Manual Cat Value]]="",VLOOKUP(Table2[[#This Row],[Description]],'Actuals Lookup'!D:F,3,0),Table2[[#This Row],[Manual Cat Value]])</f>
        <v>#N/A</v>
      </c>
      <c r="J3842" s="2">
        <v>57.04</v>
      </c>
      <c r="K3842" s="2" t="b">
        <v>0</v>
      </c>
      <c r="L3842" s="2"/>
      <c r="M3842" s="2"/>
      <c r="N3842" s="4" t="s">
        <v>2259</v>
      </c>
      <c r="O3842" s="4" t="str">
        <f>LEFT(Table2[[#This Row],[Description]],75)</f>
        <v>Banana Visa TYPE BR EPAY ID CO Banana Visa ACH ECC WEB ACH Trace 89122</v>
      </c>
      <c r="P3842" s="2" t="s">
        <v>2297</v>
      </c>
    </row>
    <row r="3843" spans="1:16" hidden="1">
      <c r="A3843" s="2">
        <v>202012</v>
      </c>
      <c r="B3843" s="3">
        <v>44195</v>
      </c>
      <c r="C3843" s="2" t="s">
        <v>2434</v>
      </c>
      <c r="D3843" s="2" t="s">
        <v>244</v>
      </c>
      <c r="E3843" s="2">
        <v>-0.08</v>
      </c>
      <c r="F3843" s="2" t="e">
        <f>IF(Table2[[#This Row],[Manual Cat Value]]="",VLOOKUP(Table2[[#This Row],[Description]],'Actuals Lookup'!D:F,3,0),Table2[[#This Row],[Manual Cat Value]])</f>
        <v>#N/A</v>
      </c>
      <c r="J3843" s="2">
        <v>0.08</v>
      </c>
      <c r="K3843" s="2" t="b">
        <v>0</v>
      </c>
      <c r="L3843" s="2"/>
      <c r="M3843" s="2"/>
      <c r="N3843" s="4" t="s">
        <v>2273</v>
      </c>
      <c r="O3843" s="4" t="str">
        <f>LEFT(Table2[[#This Row],[Description]],75)</f>
        <v>BANK INT 111620-121520 SCHWAB PREMIER BANK</v>
      </c>
      <c r="P3843" s="2"/>
    </row>
    <row r="3844" spans="1:16" hidden="1">
      <c r="A3844" s="2">
        <v>202012</v>
      </c>
      <c r="B3844" s="3">
        <v>44195</v>
      </c>
      <c r="C3844" s="2" t="s">
        <v>2435</v>
      </c>
      <c r="D3844" s="2" t="s">
        <v>244</v>
      </c>
      <c r="E3844" s="2">
        <v>-0.02</v>
      </c>
      <c r="F3844" s="2" t="e">
        <f>IF(Table2[[#This Row],[Manual Cat Value]]="",VLOOKUP(Table2[[#This Row],[Description]],'Actuals Lookup'!D:F,3,0),Table2[[#This Row],[Manual Cat Value]])</f>
        <v>#N/A</v>
      </c>
      <c r="J3844" s="2">
        <v>0.02</v>
      </c>
      <c r="K3844" s="2" t="b">
        <v>0</v>
      </c>
      <c r="L3844" s="2"/>
      <c r="M3844" s="2"/>
      <c r="N3844" s="4" t="s">
        <v>2273</v>
      </c>
      <c r="O3844" s="4" t="str">
        <f>LEFT(Table2[[#This Row],[Description]],75)</f>
        <v>BANK INT 111620-121520 SCHWAB PREMIER BANK</v>
      </c>
      <c r="P3844" s="2"/>
    </row>
    <row r="3845" spans="1:16" hidden="1">
      <c r="A3845" s="2">
        <v>202012</v>
      </c>
      <c r="B3845" s="3">
        <v>44195</v>
      </c>
      <c r="C3845" s="2" t="s">
        <v>2262</v>
      </c>
      <c r="D3845" s="2" t="s">
        <v>298</v>
      </c>
      <c r="E3845" s="2">
        <v>53.47</v>
      </c>
      <c r="F3845" s="2" t="e">
        <f>IF(Table2[[#This Row],[Manual Cat Value]]="",VLOOKUP(Table2[[#This Row],[Description]],'Actuals Lookup'!D:F,3,0),Table2[[#This Row],[Manual Cat Value]])</f>
        <v>#N/A</v>
      </c>
      <c r="J3845" s="2">
        <v>53.47</v>
      </c>
      <c r="K3845" s="2" t="b">
        <v>0</v>
      </c>
      <c r="L3845" s="2"/>
      <c r="M3845" s="2"/>
      <c r="N3845" s="4" t="s">
        <v>2259</v>
      </c>
      <c r="O3845" s="4" t="str">
        <f>LEFT(Table2[[#This Row],[Description]],75)</f>
        <v>BLACK SHEEP PIZZA N 6123422625 MN</v>
      </c>
      <c r="P3845" s="2" t="s">
        <v>2335</v>
      </c>
    </row>
    <row r="3846" spans="1:16" hidden="1">
      <c r="A3846" s="2">
        <v>202012</v>
      </c>
      <c r="B3846" s="3">
        <v>44195</v>
      </c>
      <c r="C3846" s="2" t="s">
        <v>2262</v>
      </c>
      <c r="D3846" s="2" t="s">
        <v>306</v>
      </c>
      <c r="E3846" s="2">
        <v>9</v>
      </c>
      <c r="F3846" s="2" t="e">
        <f>IF(Table2[[#This Row],[Manual Cat Value]]="",VLOOKUP(Table2[[#This Row],[Description]],'Actuals Lookup'!D:F,3,0),Table2[[#This Row],[Manual Cat Value]])</f>
        <v>#N/A</v>
      </c>
      <c r="J3846" s="2">
        <v>9</v>
      </c>
      <c r="K3846" s="2" t="b">
        <v>0</v>
      </c>
      <c r="L3846" s="2"/>
      <c r="M3846" s="2"/>
      <c r="N3846" s="4" t="s">
        <v>2259</v>
      </c>
      <c r="O3846" s="4" t="str">
        <f>LEFT(Table2[[#This Row],[Description]],75)</f>
        <v>BONFES 6513326633 MN</v>
      </c>
      <c r="P3846" s="2" t="s">
        <v>2281</v>
      </c>
    </row>
    <row r="3847" spans="1:16" hidden="1">
      <c r="A3847" s="2">
        <v>202012</v>
      </c>
      <c r="B3847" s="3">
        <v>44195</v>
      </c>
      <c r="C3847" s="2" t="s">
        <v>2262</v>
      </c>
      <c r="D3847" s="2" t="s">
        <v>333</v>
      </c>
      <c r="E3847" s="2">
        <v>3.23</v>
      </c>
      <c r="F3847" s="2" t="str">
        <f>IF(Table2[[#This Row],[Manual Cat Value]]="",VLOOKUP(Table2[[#This Row],[Description]],'Actuals Lookup'!D:F,3,0),Table2[[#This Row],[Manual Cat Value]])</f>
        <v>Restaurants</v>
      </c>
      <c r="J3847" s="2">
        <v>3.23</v>
      </c>
      <c r="K3847" s="2" t="b">
        <v>0</v>
      </c>
      <c r="L3847" s="2"/>
      <c r="M3847" s="2"/>
      <c r="N3847" s="4" t="s">
        <v>2259</v>
      </c>
      <c r="O3847" s="4" t="str">
        <f>LEFT(Table2[[#This Row],[Description]],75)</f>
        <v>Burger King</v>
      </c>
      <c r="P3847" s="2" t="s">
        <v>2525</v>
      </c>
    </row>
    <row r="3848" spans="1:16" hidden="1">
      <c r="A3848" s="2">
        <v>202012</v>
      </c>
      <c r="B3848" s="3">
        <v>44195</v>
      </c>
      <c r="C3848" s="2" t="s">
        <v>2317</v>
      </c>
      <c r="D3848" s="2" t="s">
        <v>354</v>
      </c>
      <c r="E3848" s="2">
        <v>-200</v>
      </c>
      <c r="F3848" s="2" t="e">
        <f>IF(Table2[[#This Row],[Manual Cat Value]]="",VLOOKUP(Table2[[#This Row],[Description]],'Actuals Lookup'!D:F,3,0),Table2[[#This Row],[Manual Cat Value]])</f>
        <v>#N/A</v>
      </c>
      <c r="J3848" s="2">
        <v>200</v>
      </c>
      <c r="K3848" s="2" t="b">
        <v>0</v>
      </c>
      <c r="L3848" s="2"/>
      <c r="M3848" s="2"/>
      <c r="N3848" s="4" t="s">
        <v>2273</v>
      </c>
      <c r="O3848" s="4" t="str">
        <f>LEFT(Table2[[#This Row],[Description]],75)</f>
        <v>CARGILL COCOA &amp;</v>
      </c>
      <c r="P3848" s="2" t="s">
        <v>2354</v>
      </c>
    </row>
    <row r="3849" spans="1:16" hidden="1">
      <c r="A3849" s="2">
        <v>202012</v>
      </c>
      <c r="B3849" s="3">
        <v>44195</v>
      </c>
      <c r="C3849" s="2" t="s">
        <v>2317</v>
      </c>
      <c r="D3849" s="2" t="s">
        <v>354</v>
      </c>
      <c r="E3849" s="2">
        <v>-200</v>
      </c>
      <c r="F3849" s="2" t="e">
        <f>IF(Table2[[#This Row],[Manual Cat Value]]="",VLOOKUP(Table2[[#This Row],[Description]],'Actuals Lookup'!D:F,3,0),Table2[[#This Row],[Manual Cat Value]])</f>
        <v>#N/A</v>
      </c>
      <c r="J3849" s="2">
        <v>200</v>
      </c>
      <c r="K3849" s="2" t="b">
        <v>0</v>
      </c>
      <c r="L3849" s="2"/>
      <c r="M3849" s="2"/>
      <c r="N3849" s="4" t="s">
        <v>2273</v>
      </c>
      <c r="O3849" s="4" t="str">
        <f>LEFT(Table2[[#This Row],[Description]],75)</f>
        <v>CARGILL COCOA &amp;</v>
      </c>
      <c r="P3849" s="2" t="s">
        <v>2354</v>
      </c>
    </row>
    <row r="3850" spans="1:16" hidden="1">
      <c r="A3850" s="2">
        <v>202012</v>
      </c>
      <c r="B3850" s="3">
        <v>44195</v>
      </c>
      <c r="C3850" s="2" t="s">
        <v>2265</v>
      </c>
      <c r="D3850" s="2" t="s">
        <v>383</v>
      </c>
      <c r="E3850" s="2">
        <v>-2867.73</v>
      </c>
      <c r="F3850" s="2" t="e">
        <f>IF(Table2[[#This Row],[Manual Cat Value]]="",VLOOKUP(Table2[[#This Row],[Description]],'Actuals Lookup'!D:F,3,0),Table2[[#This Row],[Manual Cat Value]])</f>
        <v>#N/A</v>
      </c>
      <c r="J3850" s="2">
        <v>2867.73</v>
      </c>
      <c r="K3850" s="2" t="b">
        <v>0</v>
      </c>
      <c r="L3850" s="2"/>
      <c r="M3850" s="2"/>
      <c r="N3850" s="4" t="s">
        <v>2273</v>
      </c>
      <c r="O3850" s="4" t="str">
        <f>LEFT(Table2[[#This Row],[Description]],75)</f>
        <v>CARGILL COCOA TYPE DIR DEP ID CO CARGILL COCOA ACH ECC PPD ACH Trace 56599</v>
      </c>
      <c r="P3850" s="2" t="s">
        <v>2284</v>
      </c>
    </row>
    <row r="3851" spans="1:16" hidden="1">
      <c r="A3851" s="2">
        <v>202012</v>
      </c>
      <c r="B3851" s="3">
        <v>44195</v>
      </c>
      <c r="C3851" s="2" t="s">
        <v>2258</v>
      </c>
      <c r="D3851" s="2" t="s">
        <v>506</v>
      </c>
      <c r="E3851" s="2">
        <v>45</v>
      </c>
      <c r="F3851" s="2" t="str">
        <f>IF(Table2[[#This Row],[Manual Cat Value]]="",VLOOKUP(Table2[[#This Row],[Description]],'Actuals Lookup'!D:F,3,0),Table2[[#This Row],[Manual Cat Value]])</f>
        <v>Utilities</v>
      </c>
      <c r="J3851" s="2">
        <v>45</v>
      </c>
      <c r="K3851" s="2" t="b">
        <v>0</v>
      </c>
      <c r="L3851" s="2"/>
      <c r="M3851" s="2"/>
      <c r="N3851" s="4" t="s">
        <v>2259</v>
      </c>
      <c r="O3851" s="4" t="str">
        <f>LEFT(Table2[[#This Row],[Description]],75)</f>
        <v>CenturyLink</v>
      </c>
      <c r="P3851" s="2" t="s">
        <v>2408</v>
      </c>
    </row>
    <row r="3852" spans="1:16" hidden="1">
      <c r="A3852" s="2">
        <v>202012</v>
      </c>
      <c r="B3852" s="3">
        <v>44195</v>
      </c>
      <c r="C3852" s="2" t="s">
        <v>2447</v>
      </c>
      <c r="D3852" s="2" t="s">
        <v>506</v>
      </c>
      <c r="E3852" s="2">
        <v>45</v>
      </c>
      <c r="F3852" s="2" t="str">
        <f>IF(Table2[[#This Row],[Manual Cat Value]]="",VLOOKUP(Table2[[#This Row],[Description]],'Actuals Lookup'!D:F,3,0),Table2[[#This Row],[Manual Cat Value]])</f>
        <v>Utilities</v>
      </c>
      <c r="J3852" s="2">
        <v>45</v>
      </c>
      <c r="K3852" s="2" t="b">
        <v>0</v>
      </c>
      <c r="L3852" s="2"/>
      <c r="M3852" s="2"/>
      <c r="N3852" s="4" t="s">
        <v>2259</v>
      </c>
      <c r="O3852" s="4" t="str">
        <f>LEFT(Table2[[#This Row],[Description]],75)</f>
        <v>CenturyLink</v>
      </c>
      <c r="P3852" s="2" t="s">
        <v>2408</v>
      </c>
    </row>
    <row r="3853" spans="1:16" hidden="1">
      <c r="A3853" s="2">
        <v>202012</v>
      </c>
      <c r="B3853" s="3">
        <v>44195</v>
      </c>
      <c r="C3853" s="2" t="s">
        <v>2265</v>
      </c>
      <c r="D3853" s="2" t="s">
        <v>530</v>
      </c>
      <c r="E3853" s="2">
        <v>100</v>
      </c>
      <c r="F3853" s="2" t="e">
        <f>IF(Table2[[#This Row],[Manual Cat Value]]="",VLOOKUP(Table2[[#This Row],[Description]],'Actuals Lookup'!D:F,3,0),Table2[[#This Row],[Manual Cat Value]])</f>
        <v>#N/A</v>
      </c>
      <c r="J3853" s="2">
        <v>100</v>
      </c>
      <c r="K3853" s="2" t="b">
        <v>0</v>
      </c>
      <c r="L3853" s="2"/>
      <c r="M3853" s="2"/>
      <c r="N3853" s="4" t="s">
        <v>2259</v>
      </c>
      <c r="O3853" s="4" t="str">
        <f>LEFT(Table2[[#This Row],[Description]],75)</f>
        <v>CHECK 2184 2184</v>
      </c>
      <c r="P3853" s="2" t="s">
        <v>2281</v>
      </c>
    </row>
    <row r="3854" spans="1:16" hidden="1">
      <c r="A3854" s="2">
        <v>202012</v>
      </c>
      <c r="B3854" s="3">
        <v>44195</v>
      </c>
      <c r="C3854" s="2" t="s">
        <v>2317</v>
      </c>
      <c r="D3854" s="2" t="s">
        <v>537</v>
      </c>
      <c r="E3854" s="2">
        <v>-39.07</v>
      </c>
      <c r="F3854" s="2" t="e">
        <f>IF(Table2[[#This Row],[Manual Cat Value]]="",VLOOKUP(Table2[[#This Row],[Description]],'Actuals Lookup'!D:F,3,0),Table2[[#This Row],[Manual Cat Value]])</f>
        <v>#N/A</v>
      </c>
      <c r="J3854" s="2">
        <v>39.07</v>
      </c>
      <c r="K3854" s="2" t="b">
        <v>0</v>
      </c>
      <c r="L3854" s="2"/>
      <c r="M3854" s="2"/>
      <c r="N3854" s="4" t="s">
        <v>2273</v>
      </c>
      <c r="O3854" s="4" t="str">
        <f>LEFT(Table2[[#This Row],[Description]],75)</f>
        <v>CHEVRON CORP</v>
      </c>
      <c r="P3854" s="2" t="s">
        <v>2430</v>
      </c>
    </row>
    <row r="3855" spans="1:16" hidden="1">
      <c r="A3855" s="2">
        <v>202012</v>
      </c>
      <c r="B3855" s="3">
        <v>44195</v>
      </c>
      <c r="C3855" s="2" t="s">
        <v>2317</v>
      </c>
      <c r="D3855" s="2" t="s">
        <v>537</v>
      </c>
      <c r="E3855" s="2">
        <v>39.07</v>
      </c>
      <c r="F3855" s="2" t="e">
        <f>IF(Table2[[#This Row],[Manual Cat Value]]="",VLOOKUP(Table2[[#This Row],[Description]],'Actuals Lookup'!D:F,3,0),Table2[[#This Row],[Manual Cat Value]])</f>
        <v>#N/A</v>
      </c>
      <c r="J3855" s="2">
        <v>39.07</v>
      </c>
      <c r="K3855" s="2" t="b">
        <v>0</v>
      </c>
      <c r="L3855" s="2"/>
      <c r="M3855" s="2"/>
      <c r="N3855" s="4" t="s">
        <v>2259</v>
      </c>
      <c r="O3855" s="4" t="str">
        <f>LEFT(Table2[[#This Row],[Description]],75)</f>
        <v>CHEVRON CORP</v>
      </c>
      <c r="P3855" s="2" t="s">
        <v>2430</v>
      </c>
    </row>
    <row r="3856" spans="1:16" hidden="1">
      <c r="A3856" s="2">
        <v>202012</v>
      </c>
      <c r="B3856" s="3">
        <v>44195</v>
      </c>
      <c r="C3856" s="2" t="s">
        <v>2317</v>
      </c>
      <c r="D3856" s="2" t="s">
        <v>537</v>
      </c>
      <c r="E3856" s="2">
        <v>450.78</v>
      </c>
      <c r="F3856" s="2" t="e">
        <f>IF(Table2[[#This Row],[Manual Cat Value]]="",VLOOKUP(Table2[[#This Row],[Description]],'Actuals Lookup'!D:F,3,0),Table2[[#This Row],[Manual Cat Value]])</f>
        <v>#N/A</v>
      </c>
      <c r="J3856" s="2">
        <v>450.78</v>
      </c>
      <c r="K3856" s="2" t="b">
        <v>0</v>
      </c>
      <c r="L3856" s="2"/>
      <c r="M3856" s="2"/>
      <c r="N3856" s="4" t="s">
        <v>2259</v>
      </c>
      <c r="O3856" s="4" t="str">
        <f>LEFT(Table2[[#This Row],[Description]],75)</f>
        <v>CHEVRON CORP</v>
      </c>
      <c r="P3856" s="2" t="s">
        <v>2430</v>
      </c>
    </row>
    <row r="3857" spans="1:16" hidden="1">
      <c r="A3857" s="2">
        <v>202012</v>
      </c>
      <c r="B3857" s="3">
        <v>44195</v>
      </c>
      <c r="C3857" s="2" t="s">
        <v>2265</v>
      </c>
      <c r="D3857" s="2" t="s">
        <v>557</v>
      </c>
      <c r="E3857" s="2">
        <v>163.08000000000001</v>
      </c>
      <c r="F3857" s="2" t="e">
        <f>IF(Table2[[#This Row],[Manual Cat Value]]="",VLOOKUP(Table2[[#This Row],[Description]],'Actuals Lookup'!D:F,3,0),Table2[[#This Row],[Manual Cat Value]])</f>
        <v>#N/A</v>
      </c>
      <c r="J3857" s="2">
        <v>163.08000000000001</v>
      </c>
      <c r="K3857" s="2" t="b">
        <v>0</v>
      </c>
      <c r="L3857" s="2"/>
      <c r="M3857" s="2"/>
      <c r="N3857" s="4" t="s">
        <v>2259</v>
      </c>
      <c r="O3857" s="4" t="str">
        <f>LEFT(Table2[[#This Row],[Description]],75)</f>
        <v>City of Chanhassen</v>
      </c>
      <c r="P3857" s="2" t="s">
        <v>2298</v>
      </c>
    </row>
    <row r="3858" spans="1:16" hidden="1">
      <c r="A3858" s="2">
        <v>202012</v>
      </c>
      <c r="B3858" s="3">
        <v>44195</v>
      </c>
      <c r="C3858" s="2" t="s">
        <v>2262</v>
      </c>
      <c r="D3858" s="2" t="s">
        <v>559</v>
      </c>
      <c r="E3858" s="2">
        <v>120</v>
      </c>
      <c r="F3858" s="2" t="e">
        <f>IF(Table2[[#This Row],[Manual Cat Value]]="",VLOOKUP(Table2[[#This Row],[Description]],'Actuals Lookup'!D:F,3,0),Table2[[#This Row],[Manual Cat Value]])</f>
        <v>#N/A</v>
      </c>
      <c r="J3858" s="2">
        <v>120</v>
      </c>
      <c r="K3858" s="2" t="b">
        <v>0</v>
      </c>
      <c r="L3858" s="2"/>
      <c r="M3858" s="2"/>
      <c r="N3858" s="4" t="s">
        <v>2259</v>
      </c>
      <c r="O3858" s="4" t="str">
        <f>LEFT(Table2[[#This Row],[Description]],75)</f>
        <v>City of Minnetonka</v>
      </c>
      <c r="P3858" s="2" t="s">
        <v>2281</v>
      </c>
    </row>
    <row r="3859" spans="1:16" hidden="1">
      <c r="A3859" s="2">
        <v>202012</v>
      </c>
      <c r="B3859" s="3">
        <v>44195</v>
      </c>
      <c r="C3859" s="2" t="s">
        <v>2274</v>
      </c>
      <c r="D3859" s="2" t="s">
        <v>573</v>
      </c>
      <c r="E3859" s="2">
        <v>5000</v>
      </c>
      <c r="F3859" s="2" t="e">
        <f>IF(Table2[[#This Row],[Manual Cat Value]]="",VLOOKUP(Table2[[#This Row],[Description]],'Actuals Lookup'!D:F,3,0),Table2[[#This Row],[Manual Cat Value]])</f>
        <v>#N/A</v>
      </c>
      <c r="J3859" s="2">
        <v>5000</v>
      </c>
      <c r="K3859" s="2" t="b">
        <v>0</v>
      </c>
      <c r="L3859" s="2"/>
      <c r="M3859" s="2"/>
      <c r="N3859" s="4" t="s">
        <v>2259</v>
      </c>
      <c r="O3859" s="4" t="str">
        <f>LEFT(Table2[[#This Row],[Description]],75)</f>
        <v>College Savings ACH 201224</v>
      </c>
      <c r="P3859" s="2" t="s">
        <v>2272</v>
      </c>
    </row>
    <row r="3860" spans="1:16" hidden="1">
      <c r="A3860" s="2">
        <v>202012</v>
      </c>
      <c r="B3860" s="3">
        <v>44195</v>
      </c>
      <c r="C3860" s="2" t="s">
        <v>2274</v>
      </c>
      <c r="D3860" s="2" t="s">
        <v>574</v>
      </c>
      <c r="E3860" s="2">
        <v>500</v>
      </c>
      <c r="F3860" s="2" t="e">
        <f>IF(Table2[[#This Row],[Manual Cat Value]]="",VLOOKUP(Table2[[#This Row],[Description]],'Actuals Lookup'!D:F,3,0),Table2[[#This Row],[Manual Cat Value]])</f>
        <v>#N/A</v>
      </c>
      <c r="J3860" s="2">
        <v>500</v>
      </c>
      <c r="K3860" s="2" t="b">
        <v>0</v>
      </c>
      <c r="L3860" s="2"/>
      <c r="M3860" s="2"/>
      <c r="N3860" s="4" t="s">
        <v>2259</v>
      </c>
      <c r="O3860" s="4" t="str">
        <f>LEFT(Table2[[#This Row],[Description]],75)</f>
        <v>College Savings ACH 201228</v>
      </c>
      <c r="P3860" s="2" t="s">
        <v>2272</v>
      </c>
    </row>
    <row r="3861" spans="1:16" hidden="1">
      <c r="A3861" s="2">
        <v>202012</v>
      </c>
      <c r="B3861" s="3">
        <v>44195</v>
      </c>
      <c r="C3861" s="2" t="s">
        <v>2317</v>
      </c>
      <c r="D3861" s="2" t="s">
        <v>605</v>
      </c>
      <c r="E3861" s="2">
        <v>-250</v>
      </c>
      <c r="F3861" s="2" t="e">
        <f>IF(Table2[[#This Row],[Manual Cat Value]]="",VLOOKUP(Table2[[#This Row],[Description]],'Actuals Lookup'!D:F,3,0),Table2[[#This Row],[Manual Cat Value]])</f>
        <v>#N/A</v>
      </c>
      <c r="J3861" s="2">
        <v>250</v>
      </c>
      <c r="K3861" s="2" t="b">
        <v>0</v>
      </c>
      <c r="L3861" s="2"/>
      <c r="M3861" s="2"/>
      <c r="N3861" s="4" t="s">
        <v>2273</v>
      </c>
      <c r="O3861" s="4" t="str">
        <f>LEFT(Table2[[#This Row],[Description]],75)</f>
        <v>CONNECTED ANALYT</v>
      </c>
      <c r="P3861" s="2" t="s">
        <v>2493</v>
      </c>
    </row>
    <row r="3862" spans="1:16" hidden="1">
      <c r="A3862" s="2">
        <v>202012</v>
      </c>
      <c r="B3862" s="3">
        <v>44195</v>
      </c>
      <c r="C3862" s="2" t="s">
        <v>2317</v>
      </c>
      <c r="D3862" s="2" t="s">
        <v>605</v>
      </c>
      <c r="E3862" s="2">
        <v>-250</v>
      </c>
      <c r="F3862" s="2" t="e">
        <f>IF(Table2[[#This Row],[Manual Cat Value]]="",VLOOKUP(Table2[[#This Row],[Description]],'Actuals Lookup'!D:F,3,0),Table2[[#This Row],[Manual Cat Value]])</f>
        <v>#N/A</v>
      </c>
      <c r="J3862" s="2">
        <v>250</v>
      </c>
      <c r="K3862" s="2" t="b">
        <v>0</v>
      </c>
      <c r="L3862" s="2"/>
      <c r="M3862" s="2"/>
      <c r="N3862" s="4" t="s">
        <v>2273</v>
      </c>
      <c r="O3862" s="4" t="str">
        <f>LEFT(Table2[[#This Row],[Description]],75)</f>
        <v>CONNECTED ANALYT</v>
      </c>
      <c r="P3862" s="2" t="s">
        <v>2493</v>
      </c>
    </row>
    <row r="3863" spans="1:16" hidden="1">
      <c r="A3863" s="2">
        <v>202012</v>
      </c>
      <c r="B3863" s="3">
        <v>44195</v>
      </c>
      <c r="C3863" s="2" t="s">
        <v>2265</v>
      </c>
      <c r="D3863" s="2" t="s">
        <v>612</v>
      </c>
      <c r="E3863" s="2">
        <v>-2631.49</v>
      </c>
      <c r="F3863" s="2" t="e">
        <f>IF(Table2[[#This Row],[Manual Cat Value]]="",VLOOKUP(Table2[[#This Row],[Description]],'Actuals Lookup'!D:F,3,0),Table2[[#This Row],[Manual Cat Value]])</f>
        <v>#N/A</v>
      </c>
      <c r="J3863" s="2">
        <v>2631.49</v>
      </c>
      <c r="K3863" s="2" t="b">
        <v>0</v>
      </c>
      <c r="L3863" s="2"/>
      <c r="M3863" s="2"/>
      <c r="N3863" s="4" t="s">
        <v>2273</v>
      </c>
      <c r="O3863" s="4" t="str">
        <f>LEFT(Table2[[#This Row],[Description]],75)</f>
        <v>CONNECTED ANALYT TYPE DIRECT DEP ID CO CONNECTED ANALYT ACH ECC PPD ACH Tra</v>
      </c>
      <c r="P3863" s="2" t="s">
        <v>2281</v>
      </c>
    </row>
    <row r="3864" spans="1:16" hidden="1">
      <c r="A3864" s="2">
        <v>202012</v>
      </c>
      <c r="B3864" s="3">
        <v>44195</v>
      </c>
      <c r="C3864" s="2" t="s">
        <v>2265</v>
      </c>
      <c r="D3864" s="2" t="s">
        <v>621</v>
      </c>
      <c r="E3864" s="2">
        <v>-2711.12</v>
      </c>
      <c r="F3864" s="2" t="e">
        <f>IF(Table2[[#This Row],[Manual Cat Value]]="",VLOOKUP(Table2[[#This Row],[Description]],'Actuals Lookup'!D:F,3,0),Table2[[#This Row],[Manual Cat Value]])</f>
        <v>#N/A</v>
      </c>
      <c r="J3864" s="2">
        <v>2711.12</v>
      </c>
      <c r="K3864" s="2" t="b">
        <v>0</v>
      </c>
      <c r="L3864" s="2"/>
      <c r="M3864" s="2"/>
      <c r="N3864" s="4" t="s">
        <v>2273</v>
      </c>
      <c r="O3864" s="4" t="str">
        <f>LEFT(Table2[[#This Row],[Description]],75)</f>
        <v>CONNECTED ANALYT TYPE DIRECT DEP ID CO CONNECTED ANALYT ACH ECC PPD ACH Tra</v>
      </c>
      <c r="P3864" s="2" t="s">
        <v>2281</v>
      </c>
    </row>
    <row r="3865" spans="1:16" hidden="1">
      <c r="A3865" s="2">
        <v>202012</v>
      </c>
      <c r="B3865" s="3">
        <v>44195</v>
      </c>
      <c r="C3865" s="2" t="s">
        <v>2265</v>
      </c>
      <c r="D3865" s="2" t="s">
        <v>637</v>
      </c>
      <c r="E3865" s="2">
        <v>-9.58</v>
      </c>
      <c r="F3865" s="2" t="e">
        <f>IF(Table2[[#This Row],[Manual Cat Value]]="",VLOOKUP(Table2[[#This Row],[Description]],'Actuals Lookup'!D:F,3,0),Table2[[#This Row],[Manual Cat Value]])</f>
        <v>#N/A</v>
      </c>
      <c r="J3865" s="2">
        <v>9.58</v>
      </c>
      <c r="K3865" s="2" t="b">
        <v>0</v>
      </c>
      <c r="L3865" s="2"/>
      <c r="M3865" s="2"/>
      <c r="N3865" s="4" t="s">
        <v>2273</v>
      </c>
      <c r="O3865" s="4" t="str">
        <f>LEFT(Table2[[#This Row],[Description]],75)</f>
        <v>Connectyourcare Type Svbclaims</v>
      </c>
      <c r="P3865" s="2" t="s">
        <v>2281</v>
      </c>
    </row>
    <row r="3866" spans="1:16" hidden="1">
      <c r="A3866" s="2">
        <v>202012</v>
      </c>
      <c r="B3866" s="3">
        <v>44195</v>
      </c>
      <c r="C3866" s="2" t="s">
        <v>2265</v>
      </c>
      <c r="D3866" s="2" t="s">
        <v>637</v>
      </c>
      <c r="E3866" s="2">
        <v>-18.18</v>
      </c>
      <c r="F3866" s="2" t="e">
        <f>IF(Table2[[#This Row],[Manual Cat Value]]="",VLOOKUP(Table2[[#This Row],[Description]],'Actuals Lookup'!D:F,3,0),Table2[[#This Row],[Manual Cat Value]])</f>
        <v>#N/A</v>
      </c>
      <c r="J3866" s="2">
        <v>18.18</v>
      </c>
      <c r="K3866" s="2" t="b">
        <v>0</v>
      </c>
      <c r="L3866" s="2"/>
      <c r="M3866" s="2"/>
      <c r="N3866" s="4" t="s">
        <v>2273</v>
      </c>
      <c r="O3866" s="4" t="str">
        <f>LEFT(Table2[[#This Row],[Description]],75)</f>
        <v>Connectyourcare Type Svbclaims</v>
      </c>
      <c r="P3866" s="2" t="s">
        <v>2281</v>
      </c>
    </row>
    <row r="3867" spans="1:16" hidden="1">
      <c r="A3867" s="2">
        <v>202012</v>
      </c>
      <c r="B3867" s="3">
        <v>44195</v>
      </c>
      <c r="C3867" s="2" t="s">
        <v>2265</v>
      </c>
      <c r="D3867" s="2" t="s">
        <v>657</v>
      </c>
      <c r="E3867" s="2">
        <v>139.13999999999999</v>
      </c>
      <c r="F3867" s="2" t="e">
        <f>IF(Table2[[#This Row],[Manual Cat Value]]="",VLOOKUP(Table2[[#This Row],[Description]],'Actuals Lookup'!D:F,3,0),Table2[[#This Row],[Manual Cat Value]])</f>
        <v>#N/A</v>
      </c>
      <c r="J3867" s="2">
        <v>139.13999999999999</v>
      </c>
      <c r="K3867" s="2" t="b">
        <v>0</v>
      </c>
      <c r="L3867" s="2"/>
      <c r="M3867" s="2"/>
      <c r="N3867" s="4" t="s">
        <v>2259</v>
      </c>
      <c r="O3867" s="4" t="str">
        <f>LEFT(Table2[[#This Row],[Description]],75)</f>
        <v xml:space="preserve">CPENERGY MNGCO TYPE MGC ACH EB ID 176051140S CO CPENERGY MNGCO ACH ECC WEB </v>
      </c>
      <c r="P3867" s="2" t="s">
        <v>2399</v>
      </c>
    </row>
    <row r="3868" spans="1:16" hidden="1">
      <c r="A3868" s="2">
        <v>202012</v>
      </c>
      <c r="B3868" s="3">
        <v>44195</v>
      </c>
      <c r="C3868" s="2" t="s">
        <v>2262</v>
      </c>
      <c r="D3868" s="2" t="s">
        <v>684</v>
      </c>
      <c r="E3868" s="2">
        <v>7.96</v>
      </c>
      <c r="F3868" s="2" t="str">
        <f>IF(Table2[[#This Row],[Manual Cat Value]]="",VLOOKUP(Table2[[#This Row],[Description]],'Actuals Lookup'!D:F,3,0),Table2[[#This Row],[Manual Cat Value]])</f>
        <v>Groceries</v>
      </c>
      <c r="J3868" s="2">
        <v>7.96</v>
      </c>
      <c r="K3868" s="2" t="b">
        <v>0</v>
      </c>
      <c r="L3868" s="2"/>
      <c r="M3868" s="2"/>
      <c r="N3868" s="4" t="s">
        <v>2259</v>
      </c>
      <c r="O3868" s="4" t="str">
        <f>LEFT(Table2[[#This Row],[Description]],75)</f>
        <v>Cub Foods</v>
      </c>
      <c r="P3868" s="2" t="s">
        <v>2370</v>
      </c>
    </row>
    <row r="3869" spans="1:16" hidden="1">
      <c r="A3869" s="2">
        <v>202012</v>
      </c>
      <c r="B3869" s="3">
        <v>44195</v>
      </c>
      <c r="C3869" s="2" t="s">
        <v>2262</v>
      </c>
      <c r="D3869" s="2" t="s">
        <v>684</v>
      </c>
      <c r="E3869" s="2">
        <v>148.5</v>
      </c>
      <c r="F3869" s="2" t="str">
        <f>IF(Table2[[#This Row],[Manual Cat Value]]="",VLOOKUP(Table2[[#This Row],[Description]],'Actuals Lookup'!D:F,3,0),Table2[[#This Row],[Manual Cat Value]])</f>
        <v>Groceries</v>
      </c>
      <c r="J3869" s="2">
        <v>148.5</v>
      </c>
      <c r="K3869" s="2" t="b">
        <v>0</v>
      </c>
      <c r="L3869" s="2"/>
      <c r="M3869" s="2"/>
      <c r="N3869" s="4" t="s">
        <v>2259</v>
      </c>
      <c r="O3869" s="4" t="str">
        <f>LEFT(Table2[[#This Row],[Description]],75)</f>
        <v>Cub Foods</v>
      </c>
      <c r="P3869" s="2" t="s">
        <v>2370</v>
      </c>
    </row>
    <row r="3870" spans="1:16" hidden="1">
      <c r="A3870" s="2">
        <v>202012</v>
      </c>
      <c r="B3870" s="3">
        <v>44195</v>
      </c>
      <c r="C3870" s="2" t="s">
        <v>2274</v>
      </c>
      <c r="D3870" s="2" t="s">
        <v>718</v>
      </c>
      <c r="E3870" s="2">
        <v>-1000</v>
      </c>
      <c r="F3870" s="2" t="e">
        <f>IF(Table2[[#This Row],[Manual Cat Value]]="",VLOOKUP(Table2[[#This Row],[Description]],'Actuals Lookup'!D:F,3,0),Table2[[#This Row],[Manual Cat Value]])</f>
        <v>#N/A</v>
      </c>
      <c r="J3870" s="2">
        <v>1000</v>
      </c>
      <c r="K3870" s="2" t="b">
        <v>0</v>
      </c>
      <c r="L3870" s="2"/>
      <c r="M3870" s="2"/>
      <c r="N3870" s="4" t="s">
        <v>2273</v>
      </c>
      <c r="O3870" s="4" t="str">
        <f>LEFT(Table2[[#This Row],[Description]],75)</f>
        <v>Deposit Mobile Banking</v>
      </c>
      <c r="P3870" s="2" t="s">
        <v>2526</v>
      </c>
    </row>
    <row r="3871" spans="1:16" hidden="1">
      <c r="A3871" s="2">
        <v>202012</v>
      </c>
      <c r="B3871" s="3">
        <v>44195</v>
      </c>
      <c r="C3871" s="2" t="s">
        <v>2262</v>
      </c>
      <c r="D3871" s="2" t="s">
        <v>791</v>
      </c>
      <c r="E3871" s="2">
        <v>38</v>
      </c>
      <c r="F3871" s="2" t="e">
        <f>IF(Table2[[#This Row],[Manual Cat Value]]="",VLOOKUP(Table2[[#This Row],[Description]],'Actuals Lookup'!D:F,3,0),Table2[[#This Row],[Manual Cat Value]])</f>
        <v>#N/A</v>
      </c>
      <c r="J3871" s="2">
        <v>38</v>
      </c>
      <c r="K3871" s="2" t="b">
        <v>0</v>
      </c>
      <c r="L3871" s="2"/>
      <c r="M3871" s="2"/>
      <c r="N3871" s="4" t="s">
        <v>2259</v>
      </c>
      <c r="O3871" s="4" t="str">
        <f>LEFT(Table2[[#This Row],[Description]],75)</f>
        <v>DOROTHY LANE MARKET ECO9375355707 OH</v>
      </c>
      <c r="P3871" s="2" t="s">
        <v>2281</v>
      </c>
    </row>
    <row r="3872" spans="1:16" hidden="1">
      <c r="A3872" s="2">
        <v>202012</v>
      </c>
      <c r="B3872" s="3">
        <v>44195</v>
      </c>
      <c r="C3872" s="2" t="s">
        <v>2262</v>
      </c>
      <c r="D3872" s="2" t="s">
        <v>791</v>
      </c>
      <c r="E3872" s="2">
        <v>38</v>
      </c>
      <c r="F3872" s="2" t="e">
        <f>IF(Table2[[#This Row],[Manual Cat Value]]="",VLOOKUP(Table2[[#This Row],[Description]],'Actuals Lookup'!D:F,3,0),Table2[[#This Row],[Manual Cat Value]])</f>
        <v>#N/A</v>
      </c>
      <c r="J3872" s="2">
        <v>38</v>
      </c>
      <c r="K3872" s="2" t="b">
        <v>0</v>
      </c>
      <c r="L3872" s="2"/>
      <c r="M3872" s="2"/>
      <c r="N3872" s="4" t="s">
        <v>2259</v>
      </c>
      <c r="O3872" s="4" t="str">
        <f>LEFT(Table2[[#This Row],[Description]],75)</f>
        <v>DOROTHY LANE MARKET ECO9375355707 OH</v>
      </c>
      <c r="P3872" s="2" t="s">
        <v>2281</v>
      </c>
    </row>
    <row r="3873" spans="1:16" hidden="1">
      <c r="A3873" s="2">
        <v>202012</v>
      </c>
      <c r="B3873" s="3">
        <v>44195</v>
      </c>
      <c r="C3873" s="2" t="s">
        <v>2262</v>
      </c>
      <c r="D3873" s="2" t="s">
        <v>791</v>
      </c>
      <c r="E3873" s="2">
        <v>45</v>
      </c>
      <c r="F3873" s="2" t="e">
        <f>IF(Table2[[#This Row],[Manual Cat Value]]="",VLOOKUP(Table2[[#This Row],[Description]],'Actuals Lookup'!D:F,3,0),Table2[[#This Row],[Manual Cat Value]])</f>
        <v>#N/A</v>
      </c>
      <c r="J3873" s="2">
        <v>45</v>
      </c>
      <c r="K3873" s="2" t="b">
        <v>0</v>
      </c>
      <c r="L3873" s="2"/>
      <c r="M3873" s="2"/>
      <c r="N3873" s="4" t="s">
        <v>2259</v>
      </c>
      <c r="O3873" s="4" t="str">
        <f>LEFT(Table2[[#This Row],[Description]],75)</f>
        <v>DOROTHY LANE MARKET ECO9375355707 OH</v>
      </c>
      <c r="P3873" s="2" t="s">
        <v>2281</v>
      </c>
    </row>
    <row r="3874" spans="1:16" hidden="1">
      <c r="A3874" s="2">
        <v>202012</v>
      </c>
      <c r="B3874" s="3">
        <v>44195</v>
      </c>
      <c r="C3874" s="2" t="s">
        <v>2262</v>
      </c>
      <c r="D3874" s="2" t="s">
        <v>823</v>
      </c>
      <c r="E3874" s="2">
        <v>91.27</v>
      </c>
      <c r="F3874" s="2" t="e">
        <f>IF(Table2[[#This Row],[Manual Cat Value]]="",VLOOKUP(Table2[[#This Row],[Description]],'Actuals Lookup'!D:F,3,0),Table2[[#This Row],[Manual Cat Value]])</f>
        <v>#N/A</v>
      </c>
      <c r="J3874" s="2">
        <v>91.27</v>
      </c>
      <c r="K3874" s="2" t="b">
        <v>0</v>
      </c>
      <c r="L3874" s="2"/>
      <c r="M3874" s="2"/>
      <c r="N3874" s="4" t="s">
        <v>2259</v>
      </c>
      <c r="O3874" s="4" t="str">
        <f>LEFT(Table2[[#This Row],[Description]],75)</f>
        <v>Etsy.com</v>
      </c>
      <c r="P3874" s="2" t="s">
        <v>2401</v>
      </c>
    </row>
    <row r="3875" spans="1:16" hidden="1">
      <c r="A3875" s="2">
        <v>202012</v>
      </c>
      <c r="B3875" s="3">
        <v>44195</v>
      </c>
      <c r="C3875" s="2" t="s">
        <v>2317</v>
      </c>
      <c r="D3875" s="2" t="s">
        <v>878</v>
      </c>
      <c r="E3875" s="2">
        <v>-1000</v>
      </c>
      <c r="F3875" s="2" t="e">
        <f>IF(Table2[[#This Row],[Manual Cat Value]]="",VLOOKUP(Table2[[#This Row],[Description]],'Actuals Lookup'!D:F,3,0),Table2[[#This Row],[Manual Cat Value]])</f>
        <v>#N/A</v>
      </c>
      <c r="J3875" s="2">
        <v>1000</v>
      </c>
      <c r="K3875" s="2" t="b">
        <v>0</v>
      </c>
      <c r="L3875" s="2"/>
      <c r="M3875" s="2"/>
      <c r="N3875" s="4" t="s">
        <v>2273</v>
      </c>
      <c r="O3875" s="4" t="str">
        <f>LEFT(Table2[[#This Row],[Description]],75)</f>
        <v>FUNDS RECEIVED</v>
      </c>
      <c r="P3875" s="2" t="s">
        <v>2385</v>
      </c>
    </row>
    <row r="3876" spans="1:16" hidden="1">
      <c r="A3876" s="2">
        <v>202012</v>
      </c>
      <c r="B3876" s="3">
        <v>44195</v>
      </c>
      <c r="C3876" s="2" t="s">
        <v>2274</v>
      </c>
      <c r="D3876" s="2" t="s">
        <v>879</v>
      </c>
      <c r="E3876" s="2">
        <v>-4500</v>
      </c>
      <c r="F3876" s="2" t="e">
        <f>IF(Table2[[#This Row],[Manual Cat Value]]="",VLOOKUP(Table2[[#This Row],[Description]],'Actuals Lookup'!D:F,3,0),Table2[[#This Row],[Manual Cat Value]])</f>
        <v>#N/A</v>
      </c>
      <c r="J3876" s="2">
        <v>4500</v>
      </c>
      <c r="K3876" s="2" t="b">
        <v>0</v>
      </c>
      <c r="L3876" s="2"/>
      <c r="M3876" s="2"/>
      <c r="N3876" s="4" t="s">
        <v>2273</v>
      </c>
      <c r="O3876" s="4" t="str">
        <f>LEFT(Table2[[#This Row],[Description]],75)</f>
        <v>Funds Transfer from Brokerage -5308</v>
      </c>
      <c r="P3876" s="2" t="s">
        <v>2281</v>
      </c>
    </row>
    <row r="3877" spans="1:16" hidden="1">
      <c r="A3877" s="2">
        <v>202012</v>
      </c>
      <c r="B3877" s="3">
        <v>44195</v>
      </c>
      <c r="C3877" s="2" t="s">
        <v>2274</v>
      </c>
      <c r="D3877" s="2" t="s">
        <v>879</v>
      </c>
      <c r="E3877" s="2">
        <v>-5000</v>
      </c>
      <c r="F3877" s="2" t="e">
        <f>IF(Table2[[#This Row],[Manual Cat Value]]="",VLOOKUP(Table2[[#This Row],[Description]],'Actuals Lookup'!D:F,3,0),Table2[[#This Row],[Manual Cat Value]])</f>
        <v>#N/A</v>
      </c>
      <c r="J3877" s="2">
        <v>5000</v>
      </c>
      <c r="K3877" s="2" t="b">
        <v>0</v>
      </c>
      <c r="L3877" s="2"/>
      <c r="M3877" s="2"/>
      <c r="N3877" s="4" t="s">
        <v>2273</v>
      </c>
      <c r="O3877" s="4" t="str">
        <f>LEFT(Table2[[#This Row],[Description]],75)</f>
        <v>Funds Transfer from Brokerage -5308</v>
      </c>
      <c r="P3877" s="2" t="s">
        <v>2498</v>
      </c>
    </row>
    <row r="3878" spans="1:16" hidden="1">
      <c r="A3878" s="2">
        <v>202012</v>
      </c>
      <c r="B3878" s="3">
        <v>44195</v>
      </c>
      <c r="C3878" s="2" t="s">
        <v>2317</v>
      </c>
      <c r="D3878" s="2" t="s">
        <v>913</v>
      </c>
      <c r="E3878" s="2">
        <v>-0.01</v>
      </c>
      <c r="F3878" s="2" t="e">
        <f>IF(Table2[[#This Row],[Manual Cat Value]]="",VLOOKUP(Table2[[#This Row],[Description]],'Actuals Lookup'!D:F,3,0),Table2[[#This Row],[Manual Cat Value]])</f>
        <v>#N/A</v>
      </c>
      <c r="J3878" s="2">
        <v>0.01</v>
      </c>
      <c r="K3878" s="2" t="b">
        <v>0</v>
      </c>
      <c r="L3878" s="2"/>
      <c r="M3878" s="2"/>
      <c r="N3878" s="4" t="s">
        <v>2273</v>
      </c>
      <c r="O3878" s="4" t="str">
        <f>LEFT(Table2[[#This Row],[Description]],75)</f>
        <v>HALLIBURTON CO HLDG</v>
      </c>
      <c r="P3878" s="2" t="s">
        <v>2433</v>
      </c>
    </row>
    <row r="3879" spans="1:16" hidden="1">
      <c r="A3879" s="2">
        <v>202012</v>
      </c>
      <c r="B3879" s="3">
        <v>44195</v>
      </c>
      <c r="C3879" s="2" t="s">
        <v>2317</v>
      </c>
      <c r="D3879" s="2" t="s">
        <v>913</v>
      </c>
      <c r="E3879" s="2">
        <v>0.01</v>
      </c>
      <c r="F3879" s="2" t="e">
        <f>IF(Table2[[#This Row],[Manual Cat Value]]="",VLOOKUP(Table2[[#This Row],[Description]],'Actuals Lookup'!D:F,3,0),Table2[[#This Row],[Manual Cat Value]])</f>
        <v>#N/A</v>
      </c>
      <c r="J3879" s="2">
        <v>0.01</v>
      </c>
      <c r="K3879" s="2" t="b">
        <v>0</v>
      </c>
      <c r="L3879" s="2"/>
      <c r="M3879" s="2"/>
      <c r="N3879" s="4" t="s">
        <v>2259</v>
      </c>
      <c r="O3879" s="4" t="str">
        <f>LEFT(Table2[[#This Row],[Description]],75)</f>
        <v>HALLIBURTON CO HLDG</v>
      </c>
      <c r="P3879" s="2" t="s">
        <v>2433</v>
      </c>
    </row>
    <row r="3880" spans="1:16" hidden="1">
      <c r="A3880" s="2">
        <v>202012</v>
      </c>
      <c r="B3880" s="3">
        <v>44195</v>
      </c>
      <c r="C3880" s="2" t="s">
        <v>2262</v>
      </c>
      <c r="D3880" s="2" t="s">
        <v>915</v>
      </c>
      <c r="E3880" s="2">
        <v>10.5</v>
      </c>
      <c r="F3880" s="2" t="e">
        <f>IF(Table2[[#This Row],[Manual Cat Value]]="",VLOOKUP(Table2[[#This Row],[Description]],'Actuals Lookup'!D:F,3,0),Table2[[#This Row],[Manual Cat Value]])</f>
        <v>#N/A</v>
      </c>
      <c r="J3880" s="2">
        <v>10.5</v>
      </c>
      <c r="K3880" s="2" t="b">
        <v>0</v>
      </c>
      <c r="L3880" s="2"/>
      <c r="M3880" s="2"/>
      <c r="N3880" s="4" t="s">
        <v>2259</v>
      </c>
      <c r="O3880" s="4" t="str">
        <f>LEFT(Table2[[#This Row],[Description]],75)</f>
        <v>HAMMER MADE RIDGEDALE MINNEAPOLIS MN</v>
      </c>
      <c r="P3880" s="2" t="s">
        <v>2281</v>
      </c>
    </row>
    <row r="3881" spans="1:16" hidden="1">
      <c r="A3881" s="2">
        <v>202012</v>
      </c>
      <c r="B3881" s="3">
        <v>44195</v>
      </c>
      <c r="C3881" s="2" t="s">
        <v>2262</v>
      </c>
      <c r="D3881" s="2" t="s">
        <v>920</v>
      </c>
      <c r="E3881" s="2">
        <v>92.8</v>
      </c>
      <c r="F3881" s="2" t="e">
        <f>IF(Table2[[#This Row],[Manual Cat Value]]="",VLOOKUP(Table2[[#This Row],[Description]],'Actuals Lookup'!D:F,3,0),Table2[[#This Row],[Manual Cat Value]])</f>
        <v>#N/A</v>
      </c>
      <c r="J3881" s="2">
        <v>92.8</v>
      </c>
      <c r="K3881" s="2" t="b">
        <v>0</v>
      </c>
      <c r="L3881" s="2"/>
      <c r="M3881" s="2"/>
      <c r="N3881" s="4" t="s">
        <v>2259</v>
      </c>
      <c r="O3881" s="4" t="str">
        <f>LEFT(Table2[[#This Row],[Description]],75)</f>
        <v>Haskells</v>
      </c>
      <c r="P3881" s="2" t="s">
        <v>2527</v>
      </c>
    </row>
    <row r="3882" spans="1:16" hidden="1">
      <c r="A3882" s="2">
        <v>202012</v>
      </c>
      <c r="B3882" s="3">
        <v>44195</v>
      </c>
      <c r="C3882" s="2" t="s">
        <v>2262</v>
      </c>
      <c r="D3882" s="2" t="s">
        <v>944</v>
      </c>
      <c r="E3882" s="2">
        <v>2.99</v>
      </c>
      <c r="F3882" s="2" t="e">
        <f>IF(Table2[[#This Row],[Manual Cat Value]]="",VLOOKUP(Table2[[#This Row],[Description]],'Actuals Lookup'!D:F,3,0),Table2[[#This Row],[Manual Cat Value]])</f>
        <v>#N/A</v>
      </c>
      <c r="J3882" s="2">
        <v>2.99</v>
      </c>
      <c r="K3882" s="2" t="b">
        <v>0</v>
      </c>
      <c r="L3882" s="2"/>
      <c r="M3882" s="2"/>
      <c r="N3882" s="4" t="s">
        <v>2259</v>
      </c>
      <c r="O3882" s="4" t="str">
        <f>LEFT(Table2[[#This Row],[Description]],75)</f>
        <v>Holiday Stationstore</v>
      </c>
      <c r="P3882" s="2" t="s">
        <v>2374</v>
      </c>
    </row>
    <row r="3883" spans="1:16" hidden="1">
      <c r="A3883" s="2">
        <v>202012</v>
      </c>
      <c r="B3883" s="3">
        <v>44195</v>
      </c>
      <c r="C3883" s="2" t="s">
        <v>2262</v>
      </c>
      <c r="D3883" s="2" t="s">
        <v>947</v>
      </c>
      <c r="E3883" s="2">
        <v>188.35</v>
      </c>
      <c r="F3883" s="2" t="e">
        <f>IF(Table2[[#This Row],[Manual Cat Value]]="",VLOOKUP(Table2[[#This Row],[Description]],'Actuals Lookup'!D:F,3,0),Table2[[#This Row],[Manual Cat Value]])</f>
        <v>#N/A</v>
      </c>
      <c r="J3883" s="2">
        <v>188.35</v>
      </c>
      <c r="K3883" s="2" t="b">
        <v>0</v>
      </c>
      <c r="L3883" s="2"/>
      <c r="M3883" s="2"/>
      <c r="N3883" s="4" t="s">
        <v>2259</v>
      </c>
      <c r="O3883" s="4" t="str">
        <f>LEFT(Table2[[#This Row],[Description]],75)</f>
        <v>Home Depot</v>
      </c>
      <c r="P3883" s="2" t="s">
        <v>2396</v>
      </c>
    </row>
    <row r="3884" spans="1:16" hidden="1">
      <c r="A3884" s="2">
        <v>202012</v>
      </c>
      <c r="B3884" s="3">
        <v>44195</v>
      </c>
      <c r="C3884" s="2" t="s">
        <v>2262</v>
      </c>
      <c r="D3884" s="2" t="s">
        <v>947</v>
      </c>
      <c r="E3884" s="2">
        <v>576.6</v>
      </c>
      <c r="F3884" s="2" t="e">
        <f>IF(Table2[[#This Row],[Manual Cat Value]]="",VLOOKUP(Table2[[#This Row],[Description]],'Actuals Lookup'!D:F,3,0),Table2[[#This Row],[Manual Cat Value]])</f>
        <v>#N/A</v>
      </c>
      <c r="J3884" s="2">
        <v>576.6</v>
      </c>
      <c r="K3884" s="2" t="b">
        <v>0</v>
      </c>
      <c r="L3884" s="2"/>
      <c r="M3884" s="2"/>
      <c r="N3884" s="4" t="s">
        <v>2259</v>
      </c>
      <c r="O3884" s="4" t="str">
        <f>LEFT(Table2[[#This Row],[Description]],75)</f>
        <v>Home Depot</v>
      </c>
      <c r="P3884" s="2" t="s">
        <v>2396</v>
      </c>
    </row>
    <row r="3885" spans="1:16" hidden="1">
      <c r="A3885" s="2">
        <v>202012</v>
      </c>
      <c r="B3885" s="3">
        <v>44195</v>
      </c>
      <c r="C3885" s="2" t="s">
        <v>2262</v>
      </c>
      <c r="D3885" s="2" t="s">
        <v>947</v>
      </c>
      <c r="E3885" s="2">
        <v>37.4</v>
      </c>
      <c r="F3885" s="2" t="e">
        <f>IF(Table2[[#This Row],[Manual Cat Value]]="",VLOOKUP(Table2[[#This Row],[Description]],'Actuals Lookup'!D:F,3,0),Table2[[#This Row],[Manual Cat Value]])</f>
        <v>#N/A</v>
      </c>
      <c r="J3885" s="2">
        <v>37.4</v>
      </c>
      <c r="K3885" s="2" t="b">
        <v>0</v>
      </c>
      <c r="L3885" s="2"/>
      <c r="M3885" s="2"/>
      <c r="N3885" s="4" t="s">
        <v>2259</v>
      </c>
      <c r="O3885" s="4" t="str">
        <f>LEFT(Table2[[#This Row],[Description]],75)</f>
        <v>Home Depot</v>
      </c>
      <c r="P3885" s="2" t="s">
        <v>2396</v>
      </c>
    </row>
    <row r="3886" spans="1:16" hidden="1">
      <c r="A3886" s="2">
        <v>202012</v>
      </c>
      <c r="B3886" s="3">
        <v>44195</v>
      </c>
      <c r="C3886" s="2" t="s">
        <v>2262</v>
      </c>
      <c r="D3886" s="2" t="s">
        <v>947</v>
      </c>
      <c r="E3886" s="2">
        <v>-192.2</v>
      </c>
      <c r="F3886" s="2" t="e">
        <f>IF(Table2[[#This Row],[Manual Cat Value]]="",VLOOKUP(Table2[[#This Row],[Description]],'Actuals Lookup'!D:F,3,0),Table2[[#This Row],[Manual Cat Value]])</f>
        <v>#N/A</v>
      </c>
      <c r="J3886" s="2">
        <v>192.2</v>
      </c>
      <c r="K3886" s="2" t="b">
        <v>0</v>
      </c>
      <c r="L3886" s="2"/>
      <c r="M3886" s="2"/>
      <c r="N3886" s="4" t="s">
        <v>2273</v>
      </c>
      <c r="O3886" s="4" t="str">
        <f>LEFT(Table2[[#This Row],[Description]],75)</f>
        <v>Home Depot</v>
      </c>
      <c r="P3886" s="2" t="s">
        <v>2396</v>
      </c>
    </row>
    <row r="3887" spans="1:16" hidden="1">
      <c r="A3887" s="2">
        <v>202012</v>
      </c>
      <c r="B3887" s="3">
        <v>44195</v>
      </c>
      <c r="C3887" s="2" t="s">
        <v>2274</v>
      </c>
      <c r="D3887" s="2" t="s">
        <v>994</v>
      </c>
      <c r="E3887" s="2">
        <v>-0.05</v>
      </c>
      <c r="F3887" s="2" t="e">
        <f>IF(Table2[[#This Row],[Manual Cat Value]]="",VLOOKUP(Table2[[#This Row],[Description]],'Actuals Lookup'!D:F,3,0),Table2[[#This Row],[Manual Cat Value]])</f>
        <v>#N/A</v>
      </c>
      <c r="J3887" s="2">
        <v>0.05</v>
      </c>
      <c r="K3887" s="2" t="b">
        <v>0</v>
      </c>
      <c r="L3887" s="2"/>
      <c r="M3887" s="2"/>
      <c r="N3887" s="4" t="s">
        <v>2273</v>
      </c>
      <c r="O3887" s="4" t="str">
        <f>LEFT(Table2[[#This Row],[Description]],75)</f>
        <v>Interest Paid</v>
      </c>
      <c r="P3887" s="2" t="s">
        <v>2312</v>
      </c>
    </row>
    <row r="3888" spans="1:16" hidden="1">
      <c r="A3888" s="2">
        <v>202012</v>
      </c>
      <c r="B3888" s="3">
        <v>44195</v>
      </c>
      <c r="C3888" s="2" t="s">
        <v>2317</v>
      </c>
      <c r="D3888" s="2" t="s">
        <v>1020</v>
      </c>
      <c r="E3888" s="2">
        <v>-11000</v>
      </c>
      <c r="F3888" s="2" t="e">
        <f>IF(Table2[[#This Row],[Manual Cat Value]]="",VLOOKUP(Table2[[#This Row],[Description]],'Actuals Lookup'!D:F,3,0),Table2[[#This Row],[Manual Cat Value]])</f>
        <v>#N/A</v>
      </c>
      <c r="J3888" s="2">
        <v>11000</v>
      </c>
      <c r="K3888" s="2" t="b">
        <v>0</v>
      </c>
      <c r="L3888" s="2"/>
      <c r="M3888" s="2"/>
      <c r="N3888" s="4" t="s">
        <v>2273</v>
      </c>
      <c r="O3888" s="4" t="str">
        <f>LEFT(Table2[[#This Row],[Description]],75)</f>
        <v>JOURNAL FRM 50117431</v>
      </c>
      <c r="P3888" s="2" t="s">
        <v>2385</v>
      </c>
    </row>
    <row r="3889" spans="1:16" hidden="1">
      <c r="A3889" s="2">
        <v>202012</v>
      </c>
      <c r="B3889" s="3">
        <v>44195</v>
      </c>
      <c r="C3889" s="2" t="s">
        <v>2488</v>
      </c>
      <c r="D3889" s="2" t="s">
        <v>1021</v>
      </c>
      <c r="E3889" s="2">
        <v>-500</v>
      </c>
      <c r="F3889" s="2" t="e">
        <f>IF(Table2[[#This Row],[Manual Cat Value]]="",VLOOKUP(Table2[[#This Row],[Description]],'Actuals Lookup'!D:F,3,0),Table2[[#This Row],[Manual Cat Value]])</f>
        <v>#N/A</v>
      </c>
      <c r="J3889" s="2">
        <v>500</v>
      </c>
      <c r="K3889" s="2" t="b">
        <v>0</v>
      </c>
      <c r="L3889" s="2"/>
      <c r="M3889" s="2"/>
      <c r="N3889" s="4" t="s">
        <v>2273</v>
      </c>
      <c r="O3889" s="4" t="str">
        <f>LEFT(Table2[[#This Row],[Description]],75)</f>
        <v>JOURNAL FRM 89315308</v>
      </c>
      <c r="P3889" s="2"/>
    </row>
    <row r="3890" spans="1:16" hidden="1">
      <c r="A3890" s="2">
        <v>202012</v>
      </c>
      <c r="B3890" s="3">
        <v>44195</v>
      </c>
      <c r="C3890" s="2" t="s">
        <v>2528</v>
      </c>
      <c r="D3890" s="2" t="s">
        <v>1021</v>
      </c>
      <c r="E3890" s="2">
        <v>-500</v>
      </c>
      <c r="F3890" s="2" t="e">
        <f>IF(Table2[[#This Row],[Manual Cat Value]]="",VLOOKUP(Table2[[#This Row],[Description]],'Actuals Lookup'!D:F,3,0),Table2[[#This Row],[Manual Cat Value]])</f>
        <v>#N/A</v>
      </c>
      <c r="J3890" s="2">
        <v>500</v>
      </c>
      <c r="K3890" s="2" t="b">
        <v>0</v>
      </c>
      <c r="L3890" s="2"/>
      <c r="M3890" s="2"/>
      <c r="N3890" s="4" t="s">
        <v>2273</v>
      </c>
      <c r="O3890" s="4" t="str">
        <f>LEFT(Table2[[#This Row],[Description]],75)</f>
        <v>JOURNAL FRM 89315308</v>
      </c>
      <c r="P3890" s="2"/>
    </row>
    <row r="3891" spans="1:16" hidden="1">
      <c r="A3891" s="2">
        <v>202012</v>
      </c>
      <c r="B3891" s="3">
        <v>44195</v>
      </c>
      <c r="C3891" s="2" t="s">
        <v>2488</v>
      </c>
      <c r="D3891" s="2" t="s">
        <v>1021</v>
      </c>
      <c r="E3891" s="2">
        <v>-100</v>
      </c>
      <c r="F3891" s="2" t="e">
        <f>IF(Table2[[#This Row],[Manual Cat Value]]="",VLOOKUP(Table2[[#This Row],[Description]],'Actuals Lookup'!D:F,3,0),Table2[[#This Row],[Manual Cat Value]])</f>
        <v>#N/A</v>
      </c>
      <c r="J3891" s="2">
        <v>100</v>
      </c>
      <c r="K3891" s="2" t="b">
        <v>0</v>
      </c>
      <c r="L3891" s="2"/>
      <c r="M3891" s="2"/>
      <c r="N3891" s="4" t="s">
        <v>2273</v>
      </c>
      <c r="O3891" s="4" t="str">
        <f>LEFT(Table2[[#This Row],[Description]],75)</f>
        <v>JOURNAL FRM 89315308</v>
      </c>
      <c r="P3891" s="2"/>
    </row>
    <row r="3892" spans="1:16" hidden="1">
      <c r="A3892" s="2">
        <v>202012</v>
      </c>
      <c r="B3892" s="3">
        <v>44195</v>
      </c>
      <c r="C3892" s="2" t="s">
        <v>2528</v>
      </c>
      <c r="D3892" s="2" t="s">
        <v>1021</v>
      </c>
      <c r="E3892" s="2">
        <v>-100</v>
      </c>
      <c r="F3892" s="2" t="e">
        <f>IF(Table2[[#This Row],[Manual Cat Value]]="",VLOOKUP(Table2[[#This Row],[Description]],'Actuals Lookup'!D:F,3,0),Table2[[#This Row],[Manual Cat Value]])</f>
        <v>#N/A</v>
      </c>
      <c r="J3892" s="2">
        <v>100</v>
      </c>
      <c r="K3892" s="2" t="b">
        <v>0</v>
      </c>
      <c r="L3892" s="2"/>
      <c r="M3892" s="2"/>
      <c r="N3892" s="4" t="s">
        <v>2273</v>
      </c>
      <c r="O3892" s="4" t="str">
        <f>LEFT(Table2[[#This Row],[Description]],75)</f>
        <v>JOURNAL FRM 89315308</v>
      </c>
      <c r="P3892" s="2"/>
    </row>
    <row r="3893" spans="1:16" hidden="1">
      <c r="A3893" s="2">
        <v>202012</v>
      </c>
      <c r="B3893" s="3">
        <v>44195</v>
      </c>
      <c r="C3893" s="2" t="s">
        <v>2317</v>
      </c>
      <c r="D3893" s="2" t="s">
        <v>1024</v>
      </c>
      <c r="E3893" s="2">
        <v>500</v>
      </c>
      <c r="F3893" s="2" t="e">
        <f>IF(Table2[[#This Row],[Manual Cat Value]]="",VLOOKUP(Table2[[#This Row],[Description]],'Actuals Lookup'!D:F,3,0),Table2[[#This Row],[Manual Cat Value]])</f>
        <v>#N/A</v>
      </c>
      <c r="J3893" s="2">
        <v>500</v>
      </c>
      <c r="K3893" s="2" t="b">
        <v>0</v>
      </c>
      <c r="L3893" s="2"/>
      <c r="M3893" s="2"/>
      <c r="N3893" s="4" t="s">
        <v>2259</v>
      </c>
      <c r="O3893" s="4" t="str">
        <f>LEFT(Table2[[#This Row],[Description]],75)</f>
        <v>JOURNAL TO 26778130</v>
      </c>
      <c r="P3893" s="2" t="s">
        <v>2385</v>
      </c>
    </row>
    <row r="3894" spans="1:16" hidden="1">
      <c r="A3894" s="2">
        <v>202012</v>
      </c>
      <c r="B3894" s="3">
        <v>44195</v>
      </c>
      <c r="C3894" s="2" t="s">
        <v>2317</v>
      </c>
      <c r="D3894" s="2" t="s">
        <v>1024</v>
      </c>
      <c r="E3894" s="2">
        <v>100</v>
      </c>
      <c r="F3894" s="2" t="e">
        <f>IF(Table2[[#This Row],[Manual Cat Value]]="",VLOOKUP(Table2[[#This Row],[Description]],'Actuals Lookup'!D:F,3,0),Table2[[#This Row],[Manual Cat Value]])</f>
        <v>#N/A</v>
      </c>
      <c r="J3894" s="2">
        <v>100</v>
      </c>
      <c r="K3894" s="2" t="b">
        <v>0</v>
      </c>
      <c r="L3894" s="2"/>
      <c r="M3894" s="2"/>
      <c r="N3894" s="4" t="s">
        <v>2259</v>
      </c>
      <c r="O3894" s="4" t="str">
        <f>LEFT(Table2[[#This Row],[Description]],75)</f>
        <v>JOURNAL TO 26778130</v>
      </c>
      <c r="P3894" s="2" t="s">
        <v>2385</v>
      </c>
    </row>
    <row r="3895" spans="1:16" hidden="1">
      <c r="A3895" s="2">
        <v>202012</v>
      </c>
      <c r="B3895" s="3">
        <v>44195</v>
      </c>
      <c r="C3895" s="2" t="s">
        <v>2317</v>
      </c>
      <c r="D3895" s="2" t="s">
        <v>1026</v>
      </c>
      <c r="E3895" s="2">
        <v>500</v>
      </c>
      <c r="F3895" s="2" t="e">
        <f>IF(Table2[[#This Row],[Manual Cat Value]]="",VLOOKUP(Table2[[#This Row],[Description]],'Actuals Lookup'!D:F,3,0),Table2[[#This Row],[Manual Cat Value]])</f>
        <v>#N/A</v>
      </c>
      <c r="J3895" s="2">
        <v>500</v>
      </c>
      <c r="K3895" s="2" t="b">
        <v>0</v>
      </c>
      <c r="L3895" s="2"/>
      <c r="M3895" s="2"/>
      <c r="N3895" s="4" t="s">
        <v>2259</v>
      </c>
      <c r="O3895" s="4" t="str">
        <f>LEFT(Table2[[#This Row],[Description]],75)</f>
        <v>JOURNAL TO 94319131</v>
      </c>
      <c r="P3895" s="2" t="s">
        <v>2385</v>
      </c>
    </row>
    <row r="3896" spans="1:16" hidden="1">
      <c r="A3896" s="2">
        <v>202012</v>
      </c>
      <c r="B3896" s="3">
        <v>44195</v>
      </c>
      <c r="C3896" s="2" t="s">
        <v>2317</v>
      </c>
      <c r="D3896" s="2" t="s">
        <v>1026</v>
      </c>
      <c r="E3896" s="2">
        <v>100</v>
      </c>
      <c r="F3896" s="2" t="e">
        <f>IF(Table2[[#This Row],[Manual Cat Value]]="",VLOOKUP(Table2[[#This Row],[Description]],'Actuals Lookup'!D:F,3,0),Table2[[#This Row],[Manual Cat Value]])</f>
        <v>#N/A</v>
      </c>
      <c r="J3896" s="2">
        <v>100</v>
      </c>
      <c r="K3896" s="2" t="b">
        <v>0</v>
      </c>
      <c r="L3896" s="2"/>
      <c r="M3896" s="2"/>
      <c r="N3896" s="4" t="s">
        <v>2259</v>
      </c>
      <c r="O3896" s="4" t="str">
        <f>LEFT(Table2[[#This Row],[Description]],75)</f>
        <v>JOURNAL TO 94319131</v>
      </c>
      <c r="P3896" s="2" t="s">
        <v>2385</v>
      </c>
    </row>
    <row r="3897" spans="1:16" hidden="1">
      <c r="A3897" s="2">
        <v>202012</v>
      </c>
      <c r="B3897" s="3">
        <v>44195</v>
      </c>
      <c r="C3897" s="2" t="s">
        <v>2262</v>
      </c>
      <c r="D3897" s="2" t="s">
        <v>1027</v>
      </c>
      <c r="E3897" s="2">
        <v>50.52</v>
      </c>
      <c r="F3897" s="2" t="e">
        <f>IF(Table2[[#This Row],[Manual Cat Value]]="",VLOOKUP(Table2[[#This Row],[Description]],'Actuals Lookup'!D:F,3,0),Table2[[#This Row],[Manual Cat Value]])</f>
        <v>#N/A</v>
      </c>
      <c r="J3897" s="2">
        <v>50.52</v>
      </c>
      <c r="K3897" s="2" t="b">
        <v>0</v>
      </c>
      <c r="L3897" s="2"/>
      <c r="M3897" s="2"/>
      <c r="N3897" s="4" t="s">
        <v>2259</v>
      </c>
      <c r="O3897" s="4" t="str">
        <f>LEFT(Table2[[#This Row],[Description]],75)</f>
        <v>Jungle Kitchen</v>
      </c>
      <c r="P3897" s="2" t="s">
        <v>2281</v>
      </c>
    </row>
    <row r="3898" spans="1:16" hidden="1">
      <c r="A3898" s="2">
        <v>202012</v>
      </c>
      <c r="B3898" s="3">
        <v>44195</v>
      </c>
      <c r="C3898" s="2" t="s">
        <v>2265</v>
      </c>
      <c r="D3898" s="2" t="s">
        <v>1038</v>
      </c>
      <c r="E3898" s="2">
        <v>-90</v>
      </c>
      <c r="F3898" s="2" t="e">
        <f>IF(Table2[[#This Row],[Manual Cat Value]]="",VLOOKUP(Table2[[#This Row],[Description]],'Actuals Lookup'!D:F,3,0),Table2[[#This Row],[Manual Cat Value]])</f>
        <v>#N/A</v>
      </c>
      <c r="J3898" s="2">
        <v>90</v>
      </c>
      <c r="K3898" s="2" t="b">
        <v>0</v>
      </c>
      <c r="L3898" s="2"/>
      <c r="M3898" s="2"/>
      <c r="N3898" s="4" t="s">
        <v>2273</v>
      </c>
      <c r="O3898" s="4" t="str">
        <f>LEFT(Table2[[#This Row],[Description]],75)</f>
        <v>Kaufman Hall Type</v>
      </c>
      <c r="P3898" s="2" t="s">
        <v>2281</v>
      </c>
    </row>
    <row r="3899" spans="1:16" hidden="1">
      <c r="A3899" s="2">
        <v>202012</v>
      </c>
      <c r="B3899" s="3">
        <v>44195</v>
      </c>
      <c r="C3899" s="2" t="s">
        <v>2262</v>
      </c>
      <c r="D3899" s="2" t="s">
        <v>1068</v>
      </c>
      <c r="E3899" s="2">
        <v>18.5</v>
      </c>
      <c r="F3899" s="2" t="str">
        <f>IF(Table2[[#This Row],[Manual Cat Value]]="",VLOOKUP(Table2[[#This Row],[Description]],'Actuals Lookup'!D:F,3,0),Table2[[#This Row],[Manual Cat Value]])</f>
        <v>Misc</v>
      </c>
      <c r="J3899" s="2">
        <v>18.5</v>
      </c>
      <c r="K3899" s="2" t="b">
        <v>0</v>
      </c>
      <c r="L3899" s="2"/>
      <c r="M3899" s="2"/>
      <c r="N3899" s="4" t="s">
        <v>2259</v>
      </c>
      <c r="O3899" s="4" t="str">
        <f>LEFT(Table2[[#This Row],[Description]],75)</f>
        <v>Kids Hair</v>
      </c>
      <c r="P3899" s="2" t="s">
        <v>2281</v>
      </c>
    </row>
    <row r="3900" spans="1:16" hidden="1">
      <c r="A3900" s="2">
        <v>202012</v>
      </c>
      <c r="B3900" s="3">
        <v>44195</v>
      </c>
      <c r="C3900" s="2" t="s">
        <v>2262</v>
      </c>
      <c r="D3900" s="2" t="s">
        <v>1076</v>
      </c>
      <c r="E3900" s="2">
        <v>-18.39</v>
      </c>
      <c r="F3900" s="2" t="str">
        <f>IF(Table2[[#This Row],[Manual Cat Value]]="",VLOOKUP(Table2[[#This Row],[Description]],'Actuals Lookup'!D:F,3,0),Table2[[#This Row],[Manual Cat Value]])</f>
        <v>Shopping</v>
      </c>
      <c r="J3900" s="2">
        <v>18.39</v>
      </c>
      <c r="K3900" s="2" t="b">
        <v>0</v>
      </c>
      <c r="L3900" s="2"/>
      <c r="M3900" s="2"/>
      <c r="N3900" s="4" t="s">
        <v>2273</v>
      </c>
      <c r="O3900" s="4" t="str">
        <f>LEFT(Table2[[#This Row],[Description]],75)</f>
        <v>Kohl's</v>
      </c>
      <c r="P3900" s="2" t="s">
        <v>2522</v>
      </c>
    </row>
    <row r="3901" spans="1:16" hidden="1">
      <c r="A3901" s="2">
        <v>202012</v>
      </c>
      <c r="B3901" s="3">
        <v>44195</v>
      </c>
      <c r="C3901" s="2" t="s">
        <v>2262</v>
      </c>
      <c r="D3901" s="2" t="s">
        <v>1102</v>
      </c>
      <c r="E3901" s="2">
        <v>26.32</v>
      </c>
      <c r="F3901" s="2" t="str">
        <f>IF(Table2[[#This Row],[Manual Cat Value]]="",VLOOKUP(Table2[[#This Row],[Description]],'Actuals Lookup'!D:F,3,0),Table2[[#This Row],[Manual Cat Value]])</f>
        <v>Restaurants</v>
      </c>
      <c r="J3901" s="2">
        <v>26.32</v>
      </c>
      <c r="K3901" s="2" t="b">
        <v>0</v>
      </c>
      <c r="L3901" s="2"/>
      <c r="M3901" s="2"/>
      <c r="N3901" s="4" t="s">
        <v>2259</v>
      </c>
      <c r="O3901" s="4" t="str">
        <f>LEFT(Table2[[#This Row],[Description]],75)</f>
        <v>Leeann Chin</v>
      </c>
      <c r="P3901" s="2" t="s">
        <v>2529</v>
      </c>
    </row>
    <row r="3902" spans="1:16" hidden="1">
      <c r="A3902" s="2">
        <v>202012</v>
      </c>
      <c r="B3902" s="3">
        <v>44195</v>
      </c>
      <c r="C3902" s="2" t="s">
        <v>2262</v>
      </c>
      <c r="D3902" s="2" t="s">
        <v>1158</v>
      </c>
      <c r="E3902" s="2">
        <v>25.8</v>
      </c>
      <c r="F3902" s="2" t="e">
        <f>IF(Table2[[#This Row],[Manual Cat Value]]="",VLOOKUP(Table2[[#This Row],[Description]],'Actuals Lookup'!D:F,3,0),Table2[[#This Row],[Manual Cat Value]])</f>
        <v>#N/A</v>
      </c>
      <c r="J3902" s="2">
        <v>25.8</v>
      </c>
      <c r="K3902" s="2" t="b">
        <v>0</v>
      </c>
      <c r="L3902" s="2"/>
      <c r="M3902" s="2"/>
      <c r="N3902" s="4" t="s">
        <v>2259</v>
      </c>
      <c r="O3902" s="4" t="str">
        <f>LEFT(Table2[[#This Row],[Description]],75)</f>
        <v>Lululemon</v>
      </c>
      <c r="P3902" s="2" t="s">
        <v>2287</v>
      </c>
    </row>
    <row r="3903" spans="1:16" hidden="1">
      <c r="A3903" s="2">
        <v>202012</v>
      </c>
      <c r="B3903" s="3">
        <v>44195</v>
      </c>
      <c r="C3903" s="2" t="s">
        <v>2262</v>
      </c>
      <c r="D3903" s="2" t="s">
        <v>1158</v>
      </c>
      <c r="E3903" s="2">
        <v>12.75</v>
      </c>
      <c r="F3903" s="2" t="e">
        <f>IF(Table2[[#This Row],[Manual Cat Value]]="",VLOOKUP(Table2[[#This Row],[Description]],'Actuals Lookup'!D:F,3,0),Table2[[#This Row],[Manual Cat Value]])</f>
        <v>#N/A</v>
      </c>
      <c r="J3903" s="2">
        <v>12.75</v>
      </c>
      <c r="K3903" s="2" t="b">
        <v>0</v>
      </c>
      <c r="L3903" s="2"/>
      <c r="M3903" s="2"/>
      <c r="N3903" s="4" t="s">
        <v>2259</v>
      </c>
      <c r="O3903" s="4" t="str">
        <f>LEFT(Table2[[#This Row],[Description]],75)</f>
        <v>Lululemon</v>
      </c>
      <c r="P3903" s="2" t="s">
        <v>2287</v>
      </c>
    </row>
    <row r="3904" spans="1:16" hidden="1">
      <c r="A3904" s="2">
        <v>202012</v>
      </c>
      <c r="B3904" s="3">
        <v>44195</v>
      </c>
      <c r="C3904" s="2" t="s">
        <v>2265</v>
      </c>
      <c r="D3904" s="2" t="s">
        <v>1198</v>
      </c>
      <c r="E3904" s="2">
        <v>391.2</v>
      </c>
      <c r="F3904" s="2" t="e">
        <f>IF(Table2[[#This Row],[Manual Cat Value]]="",VLOOKUP(Table2[[#This Row],[Description]],'Actuals Lookup'!D:F,3,0),Table2[[#This Row],[Manual Cat Value]])</f>
        <v>#N/A</v>
      </c>
      <c r="J3904" s="2">
        <v>391.2</v>
      </c>
      <c r="K3904" s="2" t="b">
        <v>0</v>
      </c>
      <c r="L3904" s="2"/>
      <c r="M3904" s="2"/>
      <c r="N3904" s="4" t="s">
        <v>2259</v>
      </c>
      <c r="O3904" s="4" t="str">
        <f>LEFT(Table2[[#This Row],[Description]],75)</f>
        <v>MHCHILDCARELLC TYPE DUES ID CO MHCHILDCARELLC ACH ECC PPD ACH Trace 01230</v>
      </c>
      <c r="P3904" s="2" t="s">
        <v>2497</v>
      </c>
    </row>
    <row r="3905" spans="1:16" hidden="1">
      <c r="A3905" s="2">
        <v>202012</v>
      </c>
      <c r="B3905" s="3">
        <v>44195</v>
      </c>
      <c r="C3905" s="2" t="s">
        <v>2265</v>
      </c>
      <c r="D3905" s="2" t="s">
        <v>1224</v>
      </c>
      <c r="E3905" s="2">
        <v>391.2</v>
      </c>
      <c r="F3905" s="2" t="e">
        <f>IF(Table2[[#This Row],[Manual Cat Value]]="",VLOOKUP(Table2[[#This Row],[Description]],'Actuals Lookup'!D:F,3,0),Table2[[#This Row],[Manual Cat Value]])</f>
        <v>#N/A</v>
      </c>
      <c r="J3905" s="2">
        <v>391.2</v>
      </c>
      <c r="K3905" s="2" t="b">
        <v>0</v>
      </c>
      <c r="L3905" s="2"/>
      <c r="M3905" s="2"/>
      <c r="N3905" s="4" t="s">
        <v>2259</v>
      </c>
      <c r="O3905" s="4" t="str">
        <f>LEFT(Table2[[#This Row],[Description]],75)</f>
        <v>MHCHILDCARELLC TYPE DUES ID CO MHCHILDCARELLC ACH ECC PPD ACH Trace 50354</v>
      </c>
      <c r="P3905" s="2" t="s">
        <v>2497</v>
      </c>
    </row>
    <row r="3906" spans="1:16" hidden="1">
      <c r="A3906" s="2">
        <v>202012</v>
      </c>
      <c r="B3906" s="3">
        <v>44195</v>
      </c>
      <c r="C3906" s="2" t="s">
        <v>2265</v>
      </c>
      <c r="D3906" s="2" t="s">
        <v>1231</v>
      </c>
      <c r="E3906" s="2">
        <v>391.2</v>
      </c>
      <c r="F3906" s="2" t="e">
        <f>IF(Table2[[#This Row],[Manual Cat Value]]="",VLOOKUP(Table2[[#This Row],[Description]],'Actuals Lookup'!D:F,3,0),Table2[[#This Row],[Manual Cat Value]])</f>
        <v>#N/A</v>
      </c>
      <c r="J3906" s="2">
        <v>391.2</v>
      </c>
      <c r="K3906" s="2" t="b">
        <v>0</v>
      </c>
      <c r="L3906" s="2"/>
      <c r="M3906" s="2"/>
      <c r="N3906" s="4" t="s">
        <v>2259</v>
      </c>
      <c r="O3906" s="4" t="str">
        <f>LEFT(Table2[[#This Row],[Description]],75)</f>
        <v>MHCHILDCARELLC TYPE DUES ID CO MHCHILDCARELLC ACH ECC PPD ACH Trace 69504</v>
      </c>
      <c r="P3906" s="2" t="s">
        <v>2497</v>
      </c>
    </row>
    <row r="3907" spans="1:16" hidden="1">
      <c r="A3907" s="2">
        <v>202012</v>
      </c>
      <c r="B3907" s="3">
        <v>44195</v>
      </c>
      <c r="C3907" s="2" t="s">
        <v>2274</v>
      </c>
      <c r="D3907" s="2" t="s">
        <v>1284</v>
      </c>
      <c r="E3907" s="2">
        <v>5000</v>
      </c>
      <c r="F3907" s="2" t="e">
        <f>IF(Table2[[#This Row],[Manual Cat Value]]="",VLOOKUP(Table2[[#This Row],[Description]],'Actuals Lookup'!D:F,3,0),Table2[[#This Row],[Manual Cat Value]])</f>
        <v>#N/A</v>
      </c>
      <c r="J3907" s="2">
        <v>5000</v>
      </c>
      <c r="K3907" s="2" t="b">
        <v>0</v>
      </c>
      <c r="L3907" s="2"/>
      <c r="M3907" s="2"/>
      <c r="N3907" s="4" t="s">
        <v>2259</v>
      </c>
      <c r="O3907" s="4" t="str">
        <f>LEFT(Table2[[#This Row],[Description]],75)</f>
        <v>MN DIR ACH CONTRIB 122820</v>
      </c>
      <c r="P3907" s="2" t="s">
        <v>2469</v>
      </c>
    </row>
    <row r="3908" spans="1:16" hidden="1">
      <c r="A3908" s="2">
        <v>202012</v>
      </c>
      <c r="B3908" s="3">
        <v>44195</v>
      </c>
      <c r="C3908" s="2" t="s">
        <v>2274</v>
      </c>
      <c r="D3908" s="2" t="s">
        <v>1285</v>
      </c>
      <c r="E3908" s="2">
        <v>500</v>
      </c>
      <c r="F3908" s="2" t="e">
        <f>IF(Table2[[#This Row],[Manual Cat Value]]="",VLOOKUP(Table2[[#This Row],[Description]],'Actuals Lookup'!D:F,3,0),Table2[[#This Row],[Manual Cat Value]])</f>
        <v>#N/A</v>
      </c>
      <c r="J3908" s="2">
        <v>500</v>
      </c>
      <c r="K3908" s="2" t="b">
        <v>0</v>
      </c>
      <c r="L3908" s="2"/>
      <c r="M3908" s="2"/>
      <c r="N3908" s="4" t="s">
        <v>2259</v>
      </c>
      <c r="O3908" s="4" t="str">
        <f>LEFT(Table2[[#This Row],[Description]],75)</f>
        <v>MN DIR ACH CONTRIB 122920</v>
      </c>
      <c r="P3908" s="2" t="s">
        <v>2469</v>
      </c>
    </row>
    <row r="3909" spans="1:16" hidden="1">
      <c r="A3909" s="2">
        <v>202012</v>
      </c>
      <c r="B3909" s="3">
        <v>44195</v>
      </c>
      <c r="C3909" s="2" t="s">
        <v>2265</v>
      </c>
      <c r="D3909" s="2" t="s">
        <v>1291</v>
      </c>
      <c r="E3909" s="2">
        <v>200</v>
      </c>
      <c r="F3909" s="2" t="e">
        <f>IF(Table2[[#This Row],[Manual Cat Value]]="",VLOOKUP(Table2[[#This Row],[Description]],'Actuals Lookup'!D:F,3,0),Table2[[#This Row],[Manual Cat Value]])</f>
        <v>#N/A</v>
      </c>
      <c r="J3909" s="2">
        <v>200</v>
      </c>
      <c r="K3909" s="2" t="b">
        <v>0</v>
      </c>
      <c r="L3909" s="2"/>
      <c r="M3909" s="2"/>
      <c r="N3909" s="4" t="s">
        <v>2259</v>
      </c>
      <c r="O3909" s="4" t="str">
        <f>LEFT(Table2[[#This Row],[Description]],75)</f>
        <v>MN DIR ACH TYPE CONTRIB ID CO MN DIR ACH ACH ECC WEB ACH Trace 17343</v>
      </c>
      <c r="P3909" s="2" t="s">
        <v>2469</v>
      </c>
    </row>
    <row r="3910" spans="1:16" hidden="1">
      <c r="A3910" s="2">
        <v>202012</v>
      </c>
      <c r="B3910" s="3">
        <v>44195</v>
      </c>
      <c r="C3910" s="2" t="s">
        <v>2258</v>
      </c>
      <c r="D3910" s="2" t="s">
        <v>1350</v>
      </c>
      <c r="E3910" s="2">
        <v>12.99</v>
      </c>
      <c r="F3910" s="2" t="str">
        <f>IF(Table2[[#This Row],[Manual Cat Value]]="",VLOOKUP(Table2[[#This Row],[Description]],'Actuals Lookup'!D:F,3,0),Table2[[#This Row],[Manual Cat Value]])</f>
        <v>Utilities</v>
      </c>
      <c r="J3910" s="2">
        <v>12.99</v>
      </c>
      <c r="K3910" s="2" t="b">
        <v>0</v>
      </c>
      <c r="L3910" s="2"/>
      <c r="M3910" s="2"/>
      <c r="N3910" s="4" t="s">
        <v>2259</v>
      </c>
      <c r="O3910" s="4" t="str">
        <f>LEFT(Table2[[#This Row],[Description]],75)</f>
        <v>Netflix</v>
      </c>
      <c r="P3910" s="2" t="s">
        <v>2306</v>
      </c>
    </row>
    <row r="3911" spans="1:16" hidden="1">
      <c r="A3911" s="2">
        <v>202012</v>
      </c>
      <c r="B3911" s="3">
        <v>44195</v>
      </c>
      <c r="C3911" s="2" t="s">
        <v>2447</v>
      </c>
      <c r="D3911" s="2" t="s">
        <v>1350</v>
      </c>
      <c r="E3911" s="2">
        <v>12.99</v>
      </c>
      <c r="F3911" s="2" t="str">
        <f>IF(Table2[[#This Row],[Manual Cat Value]]="",VLOOKUP(Table2[[#This Row],[Description]],'Actuals Lookup'!D:F,3,0),Table2[[#This Row],[Manual Cat Value]])</f>
        <v>Utilities</v>
      </c>
      <c r="J3911" s="2">
        <v>12.99</v>
      </c>
      <c r="K3911" s="2" t="b">
        <v>0</v>
      </c>
      <c r="L3911" s="2"/>
      <c r="M3911" s="2"/>
      <c r="N3911" s="4" t="s">
        <v>2259</v>
      </c>
      <c r="O3911" s="4" t="str">
        <f>LEFT(Table2[[#This Row],[Description]],75)</f>
        <v>Netflix</v>
      </c>
      <c r="P3911" s="2" t="s">
        <v>2306</v>
      </c>
    </row>
    <row r="3912" spans="1:16" hidden="1">
      <c r="A3912" s="2">
        <v>202012</v>
      </c>
      <c r="B3912" s="3">
        <v>44195</v>
      </c>
      <c r="C3912" s="2" t="s">
        <v>2265</v>
      </c>
      <c r="D3912" s="2" t="s">
        <v>1355</v>
      </c>
      <c r="E3912" s="2">
        <v>500</v>
      </c>
      <c r="F3912" s="2" t="str">
        <f>IF(Table2[[#This Row],[Manual Cat Value]]="",VLOOKUP(Table2[[#This Row],[Description]],'Actuals Lookup'!D:F,3,0),Table2[[#This Row],[Manual Cat Value]])</f>
        <v>Shopping</v>
      </c>
      <c r="J3912" s="2">
        <v>500</v>
      </c>
      <c r="K3912" s="2" t="b">
        <v>0</v>
      </c>
      <c r="L3912" s="2"/>
      <c r="M3912" s="2"/>
      <c r="N3912" s="4" t="s">
        <v>2259</v>
      </c>
      <c r="O3912" s="4" t="str">
        <f>LEFT(Table2[[#This Row],[Description]],75)</f>
        <v>Nordstrom</v>
      </c>
      <c r="P3912" s="2" t="s">
        <v>2352</v>
      </c>
    </row>
    <row r="3913" spans="1:16" hidden="1">
      <c r="A3913" s="2">
        <v>202012</v>
      </c>
      <c r="B3913" s="3">
        <v>44195</v>
      </c>
      <c r="C3913" s="2" t="s">
        <v>2258</v>
      </c>
      <c r="D3913" s="2" t="s">
        <v>1370</v>
      </c>
      <c r="E3913" s="2">
        <v>118.8</v>
      </c>
      <c r="F3913" s="2" t="e">
        <f>IF(Table2[[#This Row],[Manual Cat Value]]="",VLOOKUP(Table2[[#This Row],[Description]],'Actuals Lookup'!D:F,3,0),Table2[[#This Row],[Manual Cat Value]])</f>
        <v>#N/A</v>
      </c>
      <c r="J3913" s="2">
        <v>118.8</v>
      </c>
      <c r="K3913" s="2" t="b">
        <v>0</v>
      </c>
      <c r="L3913" s="2"/>
      <c r="M3913" s="2"/>
      <c r="N3913" s="4" t="s">
        <v>2259</v>
      </c>
      <c r="O3913" s="4" t="str">
        <f>LEFT(Table2[[#This Row],[Description]],75)</f>
        <v>NORTH LOOP WINE AND SPIR MINNEAPOLIS MN</v>
      </c>
      <c r="P3913" s="2" t="s">
        <v>2530</v>
      </c>
    </row>
    <row r="3914" spans="1:16" hidden="1">
      <c r="A3914" s="2">
        <v>202012</v>
      </c>
      <c r="B3914" s="3">
        <v>44195</v>
      </c>
      <c r="C3914" s="2" t="s">
        <v>2447</v>
      </c>
      <c r="D3914" s="2" t="s">
        <v>1370</v>
      </c>
      <c r="E3914" s="2">
        <v>118.8</v>
      </c>
      <c r="F3914" s="2" t="e">
        <f>IF(Table2[[#This Row],[Manual Cat Value]]="",VLOOKUP(Table2[[#This Row],[Description]],'Actuals Lookup'!D:F,3,0),Table2[[#This Row],[Manual Cat Value]])</f>
        <v>#N/A</v>
      </c>
      <c r="J3914" s="2">
        <v>118.8</v>
      </c>
      <c r="K3914" s="2" t="b">
        <v>0</v>
      </c>
      <c r="L3914" s="2"/>
      <c r="M3914" s="2"/>
      <c r="N3914" s="4" t="s">
        <v>2259</v>
      </c>
      <c r="O3914" s="4" t="str">
        <f>LEFT(Table2[[#This Row],[Description]],75)</f>
        <v>NORTH LOOP WINE AND SPIR MINNEAPOLIS MN</v>
      </c>
      <c r="P3914" s="2" t="s">
        <v>2530</v>
      </c>
    </row>
    <row r="3915" spans="1:16" hidden="1">
      <c r="A3915" s="2">
        <v>202012</v>
      </c>
      <c r="B3915" s="3">
        <v>44195</v>
      </c>
      <c r="C3915" s="2" t="s">
        <v>2258</v>
      </c>
      <c r="D3915" s="2" t="s">
        <v>1393</v>
      </c>
      <c r="E3915" s="2">
        <v>16.07</v>
      </c>
      <c r="F3915" s="2" t="str">
        <f>IF(Table2[[#This Row],[Manual Cat Value]]="",VLOOKUP(Table2[[#This Row],[Description]],'Actuals Lookup'!D:F,3,0),Table2[[#This Row],[Manual Cat Value]])</f>
        <v>Restaurants</v>
      </c>
      <c r="J3915" s="2">
        <v>16.07</v>
      </c>
      <c r="K3915" s="2" t="b">
        <v>0</v>
      </c>
      <c r="L3915" s="2"/>
      <c r="M3915" s="2"/>
      <c r="N3915" s="4" t="s">
        <v>2259</v>
      </c>
      <c r="O3915" s="4" t="str">
        <f>LEFT(Table2[[#This Row],[Description]],75)</f>
        <v>Panera Bread</v>
      </c>
      <c r="P3915" s="2" t="s">
        <v>2452</v>
      </c>
    </row>
    <row r="3916" spans="1:16" hidden="1">
      <c r="A3916" s="2">
        <v>202012</v>
      </c>
      <c r="B3916" s="3">
        <v>44195</v>
      </c>
      <c r="C3916" s="2" t="s">
        <v>2447</v>
      </c>
      <c r="D3916" s="2" t="s">
        <v>1393</v>
      </c>
      <c r="E3916" s="2">
        <v>16.07</v>
      </c>
      <c r="F3916" s="2" t="str">
        <f>IF(Table2[[#This Row],[Manual Cat Value]]="",VLOOKUP(Table2[[#This Row],[Description]],'Actuals Lookup'!D:F,3,0),Table2[[#This Row],[Manual Cat Value]])</f>
        <v>Restaurants</v>
      </c>
      <c r="J3916" s="2">
        <v>16.07</v>
      </c>
      <c r="K3916" s="2" t="b">
        <v>0</v>
      </c>
      <c r="L3916" s="2"/>
      <c r="M3916" s="2"/>
      <c r="N3916" s="4" t="s">
        <v>2259</v>
      </c>
      <c r="O3916" s="4" t="str">
        <f>LEFT(Table2[[#This Row],[Description]],75)</f>
        <v>Panera Bread</v>
      </c>
      <c r="P3916" s="2" t="s">
        <v>2452</v>
      </c>
    </row>
    <row r="3917" spans="1:16" hidden="1">
      <c r="A3917" s="2">
        <v>202012</v>
      </c>
      <c r="B3917" s="3">
        <v>44195</v>
      </c>
      <c r="C3917" s="2" t="s">
        <v>2262</v>
      </c>
      <c r="D3917" s="2" t="s">
        <v>1408</v>
      </c>
      <c r="E3917" s="2">
        <v>479</v>
      </c>
      <c r="F3917" s="2" t="str">
        <f>IF(Table2[[#This Row],[Manual Cat Value]]="",VLOOKUP(Table2[[#This Row],[Description]],'Actuals Lookup'!D:F,3,0),Table2[[#This Row],[Manual Cat Value]])</f>
        <v>Shopping</v>
      </c>
      <c r="J3917" s="2">
        <v>479</v>
      </c>
      <c r="K3917" s="2" t="b">
        <v>0</v>
      </c>
      <c r="L3917" s="2"/>
      <c r="M3917" s="2"/>
      <c r="N3917" s="4" t="s">
        <v>2259</v>
      </c>
      <c r="O3917" s="4" t="str">
        <f>LEFT(Table2[[#This Row],[Description]],75)</f>
        <v>Patagonia</v>
      </c>
      <c r="P3917" s="2" t="s">
        <v>2436</v>
      </c>
    </row>
    <row r="3918" spans="1:16" hidden="1">
      <c r="A3918" s="2">
        <v>202012</v>
      </c>
      <c r="B3918" s="3">
        <v>44195</v>
      </c>
      <c r="C3918" s="2" t="s">
        <v>2265</v>
      </c>
      <c r="D3918" s="2" t="s">
        <v>1471</v>
      </c>
      <c r="E3918" s="2">
        <v>7.99</v>
      </c>
      <c r="F3918" s="2" t="str">
        <f>IF(Table2[[#This Row],[Manual Cat Value]]="",VLOOKUP(Table2[[#This Row],[Description]],'Actuals Lookup'!D:F,3,0),Table2[[#This Row],[Manual Cat Value]])</f>
        <v>Shopping</v>
      </c>
      <c r="J3918" s="2">
        <v>7.99</v>
      </c>
      <c r="K3918" s="2" t="b">
        <v>0</v>
      </c>
      <c r="L3918" s="2"/>
      <c r="M3918" s="2"/>
      <c r="N3918" s="4" t="s">
        <v>2259</v>
      </c>
      <c r="O3918" s="4" t="str">
        <f>LEFT(Table2[[#This Row],[Description]],75)</f>
        <v>PayPal</v>
      </c>
      <c r="P3918" s="2" t="s">
        <v>2322</v>
      </c>
    </row>
    <row r="3919" spans="1:16" hidden="1">
      <c r="A3919" s="2">
        <v>202012</v>
      </c>
      <c r="B3919" s="3">
        <v>44195</v>
      </c>
      <c r="C3919" s="2" t="s">
        <v>2265</v>
      </c>
      <c r="D3919" s="2" t="s">
        <v>1471</v>
      </c>
      <c r="E3919" s="2">
        <v>57.34</v>
      </c>
      <c r="F3919" s="2" t="str">
        <f>IF(Table2[[#This Row],[Manual Cat Value]]="",VLOOKUP(Table2[[#This Row],[Description]],'Actuals Lookup'!D:F,3,0),Table2[[#This Row],[Manual Cat Value]])</f>
        <v>Shopping</v>
      </c>
      <c r="J3919" s="2">
        <v>57.34</v>
      </c>
      <c r="K3919" s="2" t="b">
        <v>0</v>
      </c>
      <c r="L3919" s="2"/>
      <c r="M3919" s="2"/>
      <c r="N3919" s="4" t="s">
        <v>2259</v>
      </c>
      <c r="O3919" s="4" t="str">
        <f>LEFT(Table2[[#This Row],[Description]],75)</f>
        <v>PayPal</v>
      </c>
      <c r="P3919" s="2" t="s">
        <v>2322</v>
      </c>
    </row>
    <row r="3920" spans="1:16" hidden="1">
      <c r="A3920" s="2">
        <v>202012</v>
      </c>
      <c r="B3920" s="3">
        <v>44195</v>
      </c>
      <c r="C3920" s="2" t="s">
        <v>2265</v>
      </c>
      <c r="D3920" s="2" t="s">
        <v>1471</v>
      </c>
      <c r="E3920" s="2">
        <v>29.98</v>
      </c>
      <c r="F3920" s="2" t="str">
        <f>IF(Table2[[#This Row],[Manual Cat Value]]="",VLOOKUP(Table2[[#This Row],[Description]],'Actuals Lookup'!D:F,3,0),Table2[[#This Row],[Manual Cat Value]])</f>
        <v>Shopping</v>
      </c>
      <c r="J3920" s="2">
        <v>29.98</v>
      </c>
      <c r="K3920" s="2" t="b">
        <v>0</v>
      </c>
      <c r="L3920" s="2"/>
      <c r="M3920" s="2"/>
      <c r="N3920" s="4" t="s">
        <v>2259</v>
      </c>
      <c r="O3920" s="4" t="str">
        <f>LEFT(Table2[[#This Row],[Description]],75)</f>
        <v>PayPal</v>
      </c>
      <c r="P3920" s="2" t="s">
        <v>2322</v>
      </c>
    </row>
    <row r="3921" spans="1:16" hidden="1">
      <c r="A3921" s="2">
        <v>202012</v>
      </c>
      <c r="B3921" s="3">
        <v>44195</v>
      </c>
      <c r="C3921" s="2" t="s">
        <v>2265</v>
      </c>
      <c r="D3921" s="2" t="s">
        <v>1471</v>
      </c>
      <c r="E3921" s="2">
        <v>0.99</v>
      </c>
      <c r="F3921" s="2" t="str">
        <f>IF(Table2[[#This Row],[Manual Cat Value]]="",VLOOKUP(Table2[[#This Row],[Description]],'Actuals Lookup'!D:F,3,0),Table2[[#This Row],[Manual Cat Value]])</f>
        <v>Shopping</v>
      </c>
      <c r="J3921" s="2">
        <v>0.99</v>
      </c>
      <c r="K3921" s="2" t="b">
        <v>0</v>
      </c>
      <c r="L3921" s="2"/>
      <c r="M3921" s="2"/>
      <c r="N3921" s="4" t="s">
        <v>2259</v>
      </c>
      <c r="O3921" s="4" t="str">
        <f>LEFT(Table2[[#This Row],[Description]],75)</f>
        <v>PayPal</v>
      </c>
      <c r="P3921" s="2" t="s">
        <v>2322</v>
      </c>
    </row>
    <row r="3922" spans="1:16" hidden="1">
      <c r="A3922" s="2">
        <v>202012</v>
      </c>
      <c r="B3922" s="3">
        <v>44195</v>
      </c>
      <c r="C3922" s="2" t="s">
        <v>2265</v>
      </c>
      <c r="D3922" s="2" t="s">
        <v>1471</v>
      </c>
      <c r="E3922" s="2">
        <v>4.24</v>
      </c>
      <c r="F3922" s="2" t="str">
        <f>IF(Table2[[#This Row],[Manual Cat Value]]="",VLOOKUP(Table2[[#This Row],[Description]],'Actuals Lookup'!D:F,3,0),Table2[[#This Row],[Manual Cat Value]])</f>
        <v>Shopping</v>
      </c>
      <c r="J3922" s="2">
        <v>4.24</v>
      </c>
      <c r="K3922" s="2" t="b">
        <v>0</v>
      </c>
      <c r="L3922" s="2"/>
      <c r="M3922" s="2"/>
      <c r="N3922" s="4" t="s">
        <v>2259</v>
      </c>
      <c r="O3922" s="4" t="str">
        <f>LEFT(Table2[[#This Row],[Description]],75)</f>
        <v>PayPal</v>
      </c>
      <c r="P3922" s="2" t="s">
        <v>2322</v>
      </c>
    </row>
    <row r="3923" spans="1:16" hidden="1">
      <c r="A3923" s="2">
        <v>202012</v>
      </c>
      <c r="B3923" s="3">
        <v>44195</v>
      </c>
      <c r="C3923" s="2" t="s">
        <v>2317</v>
      </c>
      <c r="D3923" s="2" t="s">
        <v>1553</v>
      </c>
      <c r="E3923" s="2">
        <v>-69.91</v>
      </c>
      <c r="F3923" s="2" t="e">
        <f>IF(Table2[[#This Row],[Manual Cat Value]]="",VLOOKUP(Table2[[#This Row],[Description]],'Actuals Lookup'!D:F,3,0),Table2[[#This Row],[Manual Cat Value]])</f>
        <v>#N/A</v>
      </c>
      <c r="J3923" s="2">
        <v>69.91</v>
      </c>
      <c r="K3923" s="2" t="b">
        <v>0</v>
      </c>
      <c r="L3923" s="2"/>
      <c r="M3923" s="2"/>
      <c r="N3923" s="4" t="s">
        <v>2273</v>
      </c>
      <c r="O3923" s="4" t="str">
        <f>LEFT(Table2[[#This Row],[Description]],75)</f>
        <v>RAYTHEON TECHNOLOGIES CO</v>
      </c>
      <c r="P3923" s="2" t="s">
        <v>2385</v>
      </c>
    </row>
    <row r="3924" spans="1:16" hidden="1">
      <c r="A3924" s="2">
        <v>202012</v>
      </c>
      <c r="B3924" s="3">
        <v>44195</v>
      </c>
      <c r="C3924" s="2" t="s">
        <v>2317</v>
      </c>
      <c r="D3924" s="2" t="s">
        <v>1553</v>
      </c>
      <c r="E3924" s="2">
        <v>69.91</v>
      </c>
      <c r="F3924" s="2" t="e">
        <f>IF(Table2[[#This Row],[Manual Cat Value]]="",VLOOKUP(Table2[[#This Row],[Description]],'Actuals Lookup'!D:F,3,0),Table2[[#This Row],[Manual Cat Value]])</f>
        <v>#N/A</v>
      </c>
      <c r="J3924" s="2">
        <v>69.91</v>
      </c>
      <c r="K3924" s="2" t="b">
        <v>0</v>
      </c>
      <c r="L3924" s="2"/>
      <c r="M3924" s="2"/>
      <c r="N3924" s="4" t="s">
        <v>2259</v>
      </c>
      <c r="O3924" s="4" t="str">
        <f>LEFT(Table2[[#This Row],[Description]],75)</f>
        <v>RAYTHEON TECHNOLOGIES CO</v>
      </c>
      <c r="P3924" s="2" t="s">
        <v>2385</v>
      </c>
    </row>
    <row r="3925" spans="1:16" hidden="1">
      <c r="A3925" s="2">
        <v>202012</v>
      </c>
      <c r="B3925" s="3">
        <v>44195</v>
      </c>
      <c r="C3925" s="2" t="s">
        <v>2262</v>
      </c>
      <c r="D3925" s="2" t="s">
        <v>1593</v>
      </c>
      <c r="E3925" s="2">
        <v>18.18</v>
      </c>
      <c r="F3925" s="2" t="e">
        <f>IF(Table2[[#This Row],[Manual Cat Value]]="",VLOOKUP(Table2[[#This Row],[Description]],'Actuals Lookup'!D:F,3,0),Table2[[#This Row],[Manual Cat Value]])</f>
        <v>#N/A</v>
      </c>
      <c r="J3925" s="2">
        <v>18.18</v>
      </c>
      <c r="K3925" s="2" t="b">
        <v>0</v>
      </c>
      <c r="L3925" s="2"/>
      <c r="M3925" s="2"/>
      <c r="N3925" s="4" t="s">
        <v>2259</v>
      </c>
      <c r="O3925" s="4" t="str">
        <f>LEFT(Table2[[#This Row],[Description]],75)</f>
        <v>RIDGEVIEW MEDICAL CNTRCLWACONIA MN</v>
      </c>
      <c r="P3925" s="2" t="s">
        <v>2281</v>
      </c>
    </row>
    <row r="3926" spans="1:16" hidden="1">
      <c r="A3926" s="2">
        <v>202012</v>
      </c>
      <c r="B3926" s="3">
        <v>44195</v>
      </c>
      <c r="C3926" s="2" t="s">
        <v>2317</v>
      </c>
      <c r="D3926" s="2" t="s">
        <v>1631</v>
      </c>
      <c r="E3926" s="2">
        <v>-60.05</v>
      </c>
      <c r="F3926" s="2" t="e">
        <f>IF(Table2[[#This Row],[Manual Cat Value]]="",VLOOKUP(Table2[[#This Row],[Description]],'Actuals Lookup'!D:F,3,0),Table2[[#This Row],[Manual Cat Value]])</f>
        <v>#N/A</v>
      </c>
      <c r="J3926" s="2">
        <v>60.05</v>
      </c>
      <c r="K3926" s="2" t="b">
        <v>0</v>
      </c>
      <c r="L3926" s="2"/>
      <c r="M3926" s="2"/>
      <c r="N3926" s="4" t="s">
        <v>2273</v>
      </c>
      <c r="O3926" s="4" t="str">
        <f>LEFT(Table2[[#This Row],[Description]],75)</f>
        <v>SCHWAB INTL INDEX FUND</v>
      </c>
      <c r="P3926" s="2" t="s">
        <v>2385</v>
      </c>
    </row>
    <row r="3927" spans="1:16" hidden="1">
      <c r="A3927" s="2">
        <v>202012</v>
      </c>
      <c r="B3927" s="3">
        <v>44195</v>
      </c>
      <c r="C3927" s="2" t="s">
        <v>2317</v>
      </c>
      <c r="D3927" s="2" t="s">
        <v>1631</v>
      </c>
      <c r="E3927" s="2">
        <v>60.05</v>
      </c>
      <c r="F3927" s="2" t="e">
        <f>IF(Table2[[#This Row],[Manual Cat Value]]="",VLOOKUP(Table2[[#This Row],[Description]],'Actuals Lookup'!D:F,3,0),Table2[[#This Row],[Manual Cat Value]])</f>
        <v>#N/A</v>
      </c>
      <c r="J3927" s="2">
        <v>60.05</v>
      </c>
      <c r="K3927" s="2" t="b">
        <v>0</v>
      </c>
      <c r="L3927" s="2"/>
      <c r="M3927" s="2"/>
      <c r="N3927" s="4" t="s">
        <v>2259</v>
      </c>
      <c r="O3927" s="4" t="str">
        <f>LEFT(Table2[[#This Row],[Description]],75)</f>
        <v>SCHWAB INTL INDEX FUND</v>
      </c>
      <c r="P3927" s="2" t="s">
        <v>2385</v>
      </c>
    </row>
    <row r="3928" spans="1:16" hidden="1">
      <c r="A3928" s="2">
        <v>202012</v>
      </c>
      <c r="B3928" s="3">
        <v>44195</v>
      </c>
      <c r="C3928" s="2" t="s">
        <v>2317</v>
      </c>
      <c r="D3928" s="2" t="s">
        <v>1633</v>
      </c>
      <c r="E3928" s="2">
        <v>-3.76</v>
      </c>
      <c r="F3928" s="2" t="e">
        <f>IF(Table2[[#This Row],[Manual Cat Value]]="",VLOOKUP(Table2[[#This Row],[Description]],'Actuals Lookup'!D:F,3,0),Table2[[#This Row],[Manual Cat Value]])</f>
        <v>#N/A</v>
      </c>
      <c r="J3928" s="2">
        <v>3.76</v>
      </c>
      <c r="K3928" s="2" t="b">
        <v>0</v>
      </c>
      <c r="L3928" s="2"/>
      <c r="M3928" s="2"/>
      <c r="N3928" s="4" t="s">
        <v>2273</v>
      </c>
      <c r="O3928" s="4" t="str">
        <f>LEFT(Table2[[#This Row],[Description]],75)</f>
        <v>SCHWAB S&amp;P 500 INDEX FD</v>
      </c>
      <c r="P3928" s="2" t="s">
        <v>2385</v>
      </c>
    </row>
    <row r="3929" spans="1:16" hidden="1">
      <c r="A3929" s="2">
        <v>202012</v>
      </c>
      <c r="B3929" s="3">
        <v>44195</v>
      </c>
      <c r="C3929" s="2" t="s">
        <v>2317</v>
      </c>
      <c r="D3929" s="2" t="s">
        <v>1633</v>
      </c>
      <c r="E3929" s="2">
        <v>3.76</v>
      </c>
      <c r="F3929" s="2" t="e">
        <f>IF(Table2[[#This Row],[Manual Cat Value]]="",VLOOKUP(Table2[[#This Row],[Description]],'Actuals Lookup'!D:F,3,0),Table2[[#This Row],[Manual Cat Value]])</f>
        <v>#N/A</v>
      </c>
      <c r="J3929" s="2">
        <v>3.76</v>
      </c>
      <c r="K3929" s="2" t="b">
        <v>0</v>
      </c>
      <c r="L3929" s="2"/>
      <c r="M3929" s="2"/>
      <c r="N3929" s="4" t="s">
        <v>2259</v>
      </c>
      <c r="O3929" s="4" t="str">
        <f>LEFT(Table2[[#This Row],[Description]],75)</f>
        <v>SCHWAB S&amp;P 500 INDEX FD</v>
      </c>
      <c r="P3929" s="2" t="s">
        <v>2276</v>
      </c>
    </row>
    <row r="3930" spans="1:16" hidden="1">
      <c r="A3930" s="2">
        <v>202012</v>
      </c>
      <c r="B3930" s="3">
        <v>44195</v>
      </c>
      <c r="C3930" s="2" t="s">
        <v>2435</v>
      </c>
      <c r="D3930" s="2" t="s">
        <v>1633</v>
      </c>
      <c r="E3930" s="2">
        <v>-73.88</v>
      </c>
      <c r="F3930" s="2" t="e">
        <f>IF(Table2[[#This Row],[Manual Cat Value]]="",VLOOKUP(Table2[[#This Row],[Description]],'Actuals Lookup'!D:F,3,0),Table2[[#This Row],[Manual Cat Value]])</f>
        <v>#N/A</v>
      </c>
      <c r="J3930" s="2">
        <v>73.88</v>
      </c>
      <c r="K3930" s="2" t="b">
        <v>0</v>
      </c>
      <c r="L3930" s="2"/>
      <c r="M3930" s="2"/>
      <c r="N3930" s="4" t="s">
        <v>2273</v>
      </c>
      <c r="O3930" s="4" t="str">
        <f>LEFT(Table2[[#This Row],[Description]],75)</f>
        <v>SCHWAB S&amp;P 500 INDEX FD</v>
      </c>
      <c r="P3930" s="2"/>
    </row>
    <row r="3931" spans="1:16" hidden="1">
      <c r="A3931" s="2">
        <v>202012</v>
      </c>
      <c r="B3931" s="3">
        <v>44195</v>
      </c>
      <c r="C3931" s="2" t="s">
        <v>2435</v>
      </c>
      <c r="D3931" s="2" t="s">
        <v>1633</v>
      </c>
      <c r="E3931" s="2">
        <v>73.88</v>
      </c>
      <c r="F3931" s="2" t="e">
        <f>IF(Table2[[#This Row],[Manual Cat Value]]="",VLOOKUP(Table2[[#This Row],[Description]],'Actuals Lookup'!D:F,3,0),Table2[[#This Row],[Manual Cat Value]])</f>
        <v>#N/A</v>
      </c>
      <c r="J3931" s="2">
        <v>73.88</v>
      </c>
      <c r="K3931" s="2" t="b">
        <v>0</v>
      </c>
      <c r="L3931" s="2"/>
      <c r="M3931" s="2"/>
      <c r="N3931" s="4" t="s">
        <v>2259</v>
      </c>
      <c r="O3931" s="4" t="str">
        <f>LEFT(Table2[[#This Row],[Description]],75)</f>
        <v>SCHWAB S&amp;P 500 INDEX FD</v>
      </c>
      <c r="P3931" s="2" t="s">
        <v>2276</v>
      </c>
    </row>
    <row r="3932" spans="1:16" hidden="1">
      <c r="A3932" s="2">
        <v>202012</v>
      </c>
      <c r="B3932" s="3">
        <v>44195</v>
      </c>
      <c r="C3932" s="2" t="s">
        <v>2275</v>
      </c>
      <c r="D3932" s="2" t="s">
        <v>1633</v>
      </c>
      <c r="E3932" s="2">
        <v>-140.11000000000001</v>
      </c>
      <c r="F3932" s="2" t="e">
        <f>IF(Table2[[#This Row],[Manual Cat Value]]="",VLOOKUP(Table2[[#This Row],[Description]],'Actuals Lookup'!D:F,3,0),Table2[[#This Row],[Manual Cat Value]])</f>
        <v>#N/A</v>
      </c>
      <c r="J3932" s="2">
        <v>140.11000000000001</v>
      </c>
      <c r="K3932" s="2" t="b">
        <v>0</v>
      </c>
      <c r="L3932" s="2"/>
      <c r="M3932" s="2"/>
      <c r="N3932" s="4" t="s">
        <v>2273</v>
      </c>
      <c r="O3932" s="4" t="str">
        <f>LEFT(Table2[[#This Row],[Description]],75)</f>
        <v>SCHWAB S&amp;P 500 INDEX FD</v>
      </c>
      <c r="P3932" s="2"/>
    </row>
    <row r="3933" spans="1:16" hidden="1">
      <c r="A3933" s="2">
        <v>202012</v>
      </c>
      <c r="B3933" s="3">
        <v>44195</v>
      </c>
      <c r="C3933" s="2" t="s">
        <v>2277</v>
      </c>
      <c r="D3933" s="2" t="s">
        <v>1633</v>
      </c>
      <c r="E3933" s="2">
        <v>-140.11000000000001</v>
      </c>
      <c r="F3933" s="2" t="e">
        <f>IF(Table2[[#This Row],[Manual Cat Value]]="",VLOOKUP(Table2[[#This Row],[Description]],'Actuals Lookup'!D:F,3,0),Table2[[#This Row],[Manual Cat Value]])</f>
        <v>#N/A</v>
      </c>
      <c r="J3933" s="2">
        <v>140.11000000000001</v>
      </c>
      <c r="K3933" s="2" t="b">
        <v>0</v>
      </c>
      <c r="L3933" s="2"/>
      <c r="M3933" s="2"/>
      <c r="N3933" s="4" t="s">
        <v>2273</v>
      </c>
      <c r="O3933" s="4" t="str">
        <f>LEFT(Table2[[#This Row],[Description]],75)</f>
        <v>SCHWAB S&amp;P 500 INDEX FD</v>
      </c>
      <c r="P3933" s="2"/>
    </row>
    <row r="3934" spans="1:16" hidden="1">
      <c r="A3934" s="2">
        <v>202012</v>
      </c>
      <c r="B3934" s="3">
        <v>44195</v>
      </c>
      <c r="C3934" s="2" t="s">
        <v>2275</v>
      </c>
      <c r="D3934" s="2" t="s">
        <v>1633</v>
      </c>
      <c r="E3934" s="2">
        <v>140.11000000000001</v>
      </c>
      <c r="F3934" s="2" t="e">
        <f>IF(Table2[[#This Row],[Manual Cat Value]]="",VLOOKUP(Table2[[#This Row],[Description]],'Actuals Lookup'!D:F,3,0),Table2[[#This Row],[Manual Cat Value]])</f>
        <v>#N/A</v>
      </c>
      <c r="J3934" s="2">
        <v>140.11000000000001</v>
      </c>
      <c r="K3934" s="2" t="b">
        <v>0</v>
      </c>
      <c r="L3934" s="2"/>
      <c r="M3934" s="2"/>
      <c r="N3934" s="4" t="s">
        <v>2259</v>
      </c>
      <c r="O3934" s="4" t="str">
        <f>LEFT(Table2[[#This Row],[Description]],75)</f>
        <v>SCHWAB S&amp;P 500 INDEX FD</v>
      </c>
      <c r="P3934" s="2" t="s">
        <v>2276</v>
      </c>
    </row>
    <row r="3935" spans="1:16" hidden="1">
      <c r="A3935" s="2">
        <v>202012</v>
      </c>
      <c r="B3935" s="3">
        <v>44195</v>
      </c>
      <c r="C3935" s="2" t="s">
        <v>2277</v>
      </c>
      <c r="D3935" s="2" t="s">
        <v>1633</v>
      </c>
      <c r="E3935" s="2">
        <v>140.11000000000001</v>
      </c>
      <c r="F3935" s="2" t="e">
        <f>IF(Table2[[#This Row],[Manual Cat Value]]="",VLOOKUP(Table2[[#This Row],[Description]],'Actuals Lookup'!D:F,3,0),Table2[[#This Row],[Manual Cat Value]])</f>
        <v>#N/A</v>
      </c>
      <c r="J3935" s="2">
        <v>140.11000000000001</v>
      </c>
      <c r="K3935" s="2" t="b">
        <v>0</v>
      </c>
      <c r="L3935" s="2"/>
      <c r="M3935" s="2"/>
      <c r="N3935" s="4" t="s">
        <v>2259</v>
      </c>
      <c r="O3935" s="4" t="str">
        <f>LEFT(Table2[[#This Row],[Description]],75)</f>
        <v>SCHWAB S&amp;P 500 INDEX FD</v>
      </c>
      <c r="P3935" s="2" t="s">
        <v>2276</v>
      </c>
    </row>
    <row r="3936" spans="1:16" hidden="1">
      <c r="A3936" s="2">
        <v>202012</v>
      </c>
      <c r="B3936" s="3">
        <v>44195</v>
      </c>
      <c r="C3936" s="2" t="s">
        <v>2355</v>
      </c>
      <c r="D3936" s="2" t="s">
        <v>1633</v>
      </c>
      <c r="E3936" s="2">
        <v>-141.91999999999999</v>
      </c>
      <c r="F3936" s="2" t="e">
        <f>IF(Table2[[#This Row],[Manual Cat Value]]="",VLOOKUP(Table2[[#This Row],[Description]],'Actuals Lookup'!D:F,3,0),Table2[[#This Row],[Manual Cat Value]])</f>
        <v>#N/A</v>
      </c>
      <c r="J3936" s="2">
        <v>141.91999999999999</v>
      </c>
      <c r="K3936" s="2" t="b">
        <v>0</v>
      </c>
      <c r="L3936" s="2"/>
      <c r="M3936" s="2"/>
      <c r="N3936" s="4" t="s">
        <v>2273</v>
      </c>
      <c r="O3936" s="4" t="str">
        <f>LEFT(Table2[[#This Row],[Description]],75)</f>
        <v>SCHWAB S&amp;P 500 INDEX FD</v>
      </c>
      <c r="P3936" s="2"/>
    </row>
    <row r="3937" spans="1:16" hidden="1">
      <c r="A3937" s="2">
        <v>202012</v>
      </c>
      <c r="B3937" s="3">
        <v>44195</v>
      </c>
      <c r="C3937" s="2" t="s">
        <v>2277</v>
      </c>
      <c r="D3937" s="2" t="s">
        <v>1633</v>
      </c>
      <c r="E3937" s="2">
        <v>-141.91999999999999</v>
      </c>
      <c r="F3937" s="2" t="e">
        <f>IF(Table2[[#This Row],[Manual Cat Value]]="",VLOOKUP(Table2[[#This Row],[Description]],'Actuals Lookup'!D:F,3,0),Table2[[#This Row],[Manual Cat Value]])</f>
        <v>#N/A</v>
      </c>
      <c r="J3937" s="2">
        <v>141.91999999999999</v>
      </c>
      <c r="K3937" s="2" t="b">
        <v>0</v>
      </c>
      <c r="L3937" s="2"/>
      <c r="M3937" s="2"/>
      <c r="N3937" s="4" t="s">
        <v>2273</v>
      </c>
      <c r="O3937" s="4" t="str">
        <f>LEFT(Table2[[#This Row],[Description]],75)</f>
        <v>SCHWAB S&amp;P 500 INDEX FD</v>
      </c>
      <c r="P3937" s="2"/>
    </row>
    <row r="3938" spans="1:16" hidden="1">
      <c r="A3938" s="2">
        <v>202012</v>
      </c>
      <c r="B3938" s="3">
        <v>44195</v>
      </c>
      <c r="C3938" s="2" t="s">
        <v>2355</v>
      </c>
      <c r="D3938" s="2" t="s">
        <v>1633</v>
      </c>
      <c r="E3938" s="2">
        <v>141.91999999999999</v>
      </c>
      <c r="F3938" s="2" t="e">
        <f>IF(Table2[[#This Row],[Manual Cat Value]]="",VLOOKUP(Table2[[#This Row],[Description]],'Actuals Lookup'!D:F,3,0),Table2[[#This Row],[Manual Cat Value]])</f>
        <v>#N/A</v>
      </c>
      <c r="J3938" s="2">
        <v>141.91999999999999</v>
      </c>
      <c r="K3938" s="2" t="b">
        <v>0</v>
      </c>
      <c r="L3938" s="2"/>
      <c r="M3938" s="2"/>
      <c r="N3938" s="4" t="s">
        <v>2259</v>
      </c>
      <c r="O3938" s="4" t="str">
        <f>LEFT(Table2[[#This Row],[Description]],75)</f>
        <v>SCHWAB S&amp;P 500 INDEX FD</v>
      </c>
      <c r="P3938" s="2" t="s">
        <v>2276</v>
      </c>
    </row>
    <row r="3939" spans="1:16" hidden="1">
      <c r="A3939" s="2">
        <v>202012</v>
      </c>
      <c r="B3939" s="3">
        <v>44195</v>
      </c>
      <c r="C3939" s="2" t="s">
        <v>2277</v>
      </c>
      <c r="D3939" s="2" t="s">
        <v>1633</v>
      </c>
      <c r="E3939" s="2">
        <v>141.91999999999999</v>
      </c>
      <c r="F3939" s="2" t="e">
        <f>IF(Table2[[#This Row],[Manual Cat Value]]="",VLOOKUP(Table2[[#This Row],[Description]],'Actuals Lookup'!D:F,3,0),Table2[[#This Row],[Manual Cat Value]])</f>
        <v>#N/A</v>
      </c>
      <c r="J3939" s="2">
        <v>141.91999999999999</v>
      </c>
      <c r="K3939" s="2" t="b">
        <v>0</v>
      </c>
      <c r="L3939" s="2"/>
      <c r="M3939" s="2"/>
      <c r="N3939" s="4" t="s">
        <v>2259</v>
      </c>
      <c r="O3939" s="4" t="str">
        <f>LEFT(Table2[[#This Row],[Description]],75)</f>
        <v>SCHWAB S&amp;P 500 INDEX FD</v>
      </c>
      <c r="P3939" s="2" t="s">
        <v>2276</v>
      </c>
    </row>
    <row r="3940" spans="1:16" hidden="1">
      <c r="A3940" s="2">
        <v>202012</v>
      </c>
      <c r="B3940" s="3">
        <v>44195</v>
      </c>
      <c r="C3940" s="2" t="s">
        <v>2317</v>
      </c>
      <c r="D3940" s="2" t="s">
        <v>1633</v>
      </c>
      <c r="E3940" s="2">
        <v>-586.22</v>
      </c>
      <c r="F3940" s="2" t="e">
        <f>IF(Table2[[#This Row],[Manual Cat Value]]="",VLOOKUP(Table2[[#This Row],[Description]],'Actuals Lookup'!D:F,3,0),Table2[[#This Row],[Manual Cat Value]])</f>
        <v>#N/A</v>
      </c>
      <c r="J3940" s="2">
        <v>586.22</v>
      </c>
      <c r="K3940" s="2" t="b">
        <v>0</v>
      </c>
      <c r="L3940" s="2"/>
      <c r="M3940" s="2"/>
      <c r="N3940" s="4" t="s">
        <v>2273</v>
      </c>
      <c r="O3940" s="4" t="str">
        <f>LEFT(Table2[[#This Row],[Description]],75)</f>
        <v>SCHWAB S&amp;P 500 INDEX FD</v>
      </c>
      <c r="P3940" s="2" t="s">
        <v>2385</v>
      </c>
    </row>
    <row r="3941" spans="1:16" hidden="1">
      <c r="A3941" s="2">
        <v>202012</v>
      </c>
      <c r="B3941" s="3">
        <v>44195</v>
      </c>
      <c r="C3941" s="2" t="s">
        <v>2317</v>
      </c>
      <c r="D3941" s="2" t="s">
        <v>1633</v>
      </c>
      <c r="E3941" s="2">
        <v>586.22</v>
      </c>
      <c r="F3941" s="2" t="e">
        <f>IF(Table2[[#This Row],[Manual Cat Value]]="",VLOOKUP(Table2[[#This Row],[Description]],'Actuals Lookup'!D:F,3,0),Table2[[#This Row],[Manual Cat Value]])</f>
        <v>#N/A</v>
      </c>
      <c r="J3941" s="2">
        <v>586.22</v>
      </c>
      <c r="K3941" s="2" t="b">
        <v>0</v>
      </c>
      <c r="L3941" s="2"/>
      <c r="M3941" s="2"/>
      <c r="N3941" s="4" t="s">
        <v>2259</v>
      </c>
      <c r="O3941" s="4" t="str">
        <f>LEFT(Table2[[#This Row],[Description]],75)</f>
        <v>SCHWAB S&amp;P 500 INDEX FD</v>
      </c>
      <c r="P3941" s="2" t="s">
        <v>2276</v>
      </c>
    </row>
    <row r="3942" spans="1:16" hidden="1">
      <c r="A3942" s="2">
        <v>202012</v>
      </c>
      <c r="B3942" s="3">
        <v>44195</v>
      </c>
      <c r="C3942" s="2" t="s">
        <v>2317</v>
      </c>
      <c r="D3942" s="2" t="s">
        <v>1633</v>
      </c>
      <c r="E3942" s="2">
        <v>200</v>
      </c>
      <c r="F3942" s="2" t="e">
        <f>IF(Table2[[#This Row],[Manual Cat Value]]="",VLOOKUP(Table2[[#This Row],[Description]],'Actuals Lookup'!D:F,3,0),Table2[[#This Row],[Manual Cat Value]])</f>
        <v>#N/A</v>
      </c>
      <c r="J3942" s="2">
        <v>200</v>
      </c>
      <c r="K3942" s="2" t="b">
        <v>0</v>
      </c>
      <c r="L3942" s="2"/>
      <c r="M3942" s="2"/>
      <c r="N3942" s="4" t="s">
        <v>2259</v>
      </c>
      <c r="O3942" s="4" t="str">
        <f>LEFT(Table2[[#This Row],[Description]],75)</f>
        <v>SCHWAB S&amp;P 500 INDEX FD</v>
      </c>
      <c r="P3942" s="2" t="s">
        <v>2276</v>
      </c>
    </row>
    <row r="3943" spans="1:16" hidden="1">
      <c r="A3943" s="2">
        <v>202012</v>
      </c>
      <c r="B3943" s="3">
        <v>44195</v>
      </c>
      <c r="C3943" s="2" t="s">
        <v>2317</v>
      </c>
      <c r="D3943" s="2" t="s">
        <v>1635</v>
      </c>
      <c r="E3943" s="2">
        <v>-6.68</v>
      </c>
      <c r="F3943" s="2" t="e">
        <f>IF(Table2[[#This Row],[Manual Cat Value]]="",VLOOKUP(Table2[[#This Row],[Description]],'Actuals Lookup'!D:F,3,0),Table2[[#This Row],[Manual Cat Value]])</f>
        <v>#N/A</v>
      </c>
      <c r="J3943" s="2">
        <v>6.68</v>
      </c>
      <c r="K3943" s="2" t="b">
        <v>0</v>
      </c>
      <c r="L3943" s="2"/>
      <c r="M3943" s="2"/>
      <c r="N3943" s="4" t="s">
        <v>2273</v>
      </c>
      <c r="O3943" s="4" t="str">
        <f>LEFT(Table2[[#This Row],[Description]],75)</f>
        <v>SCHWAB TOTAL STOCK MKT INDEX</v>
      </c>
      <c r="P3943" s="2" t="s">
        <v>2385</v>
      </c>
    </row>
    <row r="3944" spans="1:16" hidden="1">
      <c r="A3944" s="2">
        <v>202012</v>
      </c>
      <c r="B3944" s="3">
        <v>44195</v>
      </c>
      <c r="C3944" s="2" t="s">
        <v>2317</v>
      </c>
      <c r="D3944" s="2" t="s">
        <v>1635</v>
      </c>
      <c r="E3944" s="2">
        <v>6.68</v>
      </c>
      <c r="F3944" s="2" t="e">
        <f>IF(Table2[[#This Row],[Manual Cat Value]]="",VLOOKUP(Table2[[#This Row],[Description]],'Actuals Lookup'!D:F,3,0),Table2[[#This Row],[Manual Cat Value]])</f>
        <v>#N/A</v>
      </c>
      <c r="J3944" s="2">
        <v>6.68</v>
      </c>
      <c r="K3944" s="2" t="b">
        <v>0</v>
      </c>
      <c r="L3944" s="2"/>
      <c r="M3944" s="2"/>
      <c r="N3944" s="4" t="s">
        <v>2259</v>
      </c>
      <c r="O3944" s="4" t="str">
        <f>LEFT(Table2[[#This Row],[Description]],75)</f>
        <v>SCHWAB TOTAL STOCK MKT INDEX</v>
      </c>
      <c r="P3944" s="2" t="s">
        <v>2278</v>
      </c>
    </row>
    <row r="3945" spans="1:16" hidden="1">
      <c r="A3945" s="2">
        <v>202012</v>
      </c>
      <c r="B3945" s="3">
        <v>44195</v>
      </c>
      <c r="C3945" s="2" t="s">
        <v>2275</v>
      </c>
      <c r="D3945" s="2" t="s">
        <v>1635</v>
      </c>
      <c r="E3945" s="2">
        <v>-27.6</v>
      </c>
      <c r="F3945" s="2" t="e">
        <f>IF(Table2[[#This Row],[Manual Cat Value]]="",VLOOKUP(Table2[[#This Row],[Description]],'Actuals Lookup'!D:F,3,0),Table2[[#This Row],[Manual Cat Value]])</f>
        <v>#N/A</v>
      </c>
      <c r="J3945" s="2">
        <v>27.6</v>
      </c>
      <c r="K3945" s="2" t="b">
        <v>0</v>
      </c>
      <c r="L3945" s="2"/>
      <c r="M3945" s="2"/>
      <c r="N3945" s="4" t="s">
        <v>2273</v>
      </c>
      <c r="O3945" s="4" t="str">
        <f>LEFT(Table2[[#This Row],[Description]],75)</f>
        <v>SCHWAB TOTAL STOCK MKT INDEX</v>
      </c>
      <c r="P3945" s="2"/>
    </row>
    <row r="3946" spans="1:16" hidden="1">
      <c r="A3946" s="2">
        <v>202012</v>
      </c>
      <c r="B3946" s="3">
        <v>44195</v>
      </c>
      <c r="C3946" s="2" t="s">
        <v>2277</v>
      </c>
      <c r="D3946" s="2" t="s">
        <v>1635</v>
      </c>
      <c r="E3946" s="2">
        <v>-27.6</v>
      </c>
      <c r="F3946" s="2" t="e">
        <f>IF(Table2[[#This Row],[Manual Cat Value]]="",VLOOKUP(Table2[[#This Row],[Description]],'Actuals Lookup'!D:F,3,0),Table2[[#This Row],[Manual Cat Value]])</f>
        <v>#N/A</v>
      </c>
      <c r="J3946" s="2">
        <v>27.6</v>
      </c>
      <c r="K3946" s="2" t="b">
        <v>0</v>
      </c>
      <c r="L3946" s="2"/>
      <c r="M3946" s="2"/>
      <c r="N3946" s="4" t="s">
        <v>2273</v>
      </c>
      <c r="O3946" s="4" t="str">
        <f>LEFT(Table2[[#This Row],[Description]],75)</f>
        <v>SCHWAB TOTAL STOCK MKT INDEX</v>
      </c>
      <c r="P3946" s="2"/>
    </row>
    <row r="3947" spans="1:16" hidden="1">
      <c r="A3947" s="2">
        <v>202012</v>
      </c>
      <c r="B3947" s="3">
        <v>44195</v>
      </c>
      <c r="C3947" s="2" t="s">
        <v>2275</v>
      </c>
      <c r="D3947" s="2" t="s">
        <v>1635</v>
      </c>
      <c r="E3947" s="2">
        <v>27.6</v>
      </c>
      <c r="F3947" s="2" t="e">
        <f>IF(Table2[[#This Row],[Manual Cat Value]]="",VLOOKUP(Table2[[#This Row],[Description]],'Actuals Lookup'!D:F,3,0),Table2[[#This Row],[Manual Cat Value]])</f>
        <v>#N/A</v>
      </c>
      <c r="J3947" s="2">
        <v>27.6</v>
      </c>
      <c r="K3947" s="2" t="b">
        <v>0</v>
      </c>
      <c r="L3947" s="2"/>
      <c r="M3947" s="2"/>
      <c r="N3947" s="4" t="s">
        <v>2259</v>
      </c>
      <c r="O3947" s="4" t="str">
        <f>LEFT(Table2[[#This Row],[Description]],75)</f>
        <v>SCHWAB TOTAL STOCK MKT INDEX</v>
      </c>
      <c r="P3947" s="2" t="s">
        <v>2278</v>
      </c>
    </row>
    <row r="3948" spans="1:16" hidden="1">
      <c r="A3948" s="2">
        <v>202012</v>
      </c>
      <c r="B3948" s="3">
        <v>44195</v>
      </c>
      <c r="C3948" s="2" t="s">
        <v>2277</v>
      </c>
      <c r="D3948" s="2" t="s">
        <v>1635</v>
      </c>
      <c r="E3948" s="2">
        <v>27.6</v>
      </c>
      <c r="F3948" s="2" t="e">
        <f>IF(Table2[[#This Row],[Manual Cat Value]]="",VLOOKUP(Table2[[#This Row],[Description]],'Actuals Lookup'!D:F,3,0),Table2[[#This Row],[Manual Cat Value]])</f>
        <v>#N/A</v>
      </c>
      <c r="J3948" s="2">
        <v>27.6</v>
      </c>
      <c r="K3948" s="2" t="b">
        <v>0</v>
      </c>
      <c r="L3948" s="2"/>
      <c r="M3948" s="2"/>
      <c r="N3948" s="4" t="s">
        <v>2259</v>
      </c>
      <c r="O3948" s="4" t="str">
        <f>LEFT(Table2[[#This Row],[Description]],75)</f>
        <v>SCHWAB TOTAL STOCK MKT INDEX</v>
      </c>
      <c r="P3948" s="2" t="s">
        <v>2278</v>
      </c>
    </row>
    <row r="3949" spans="1:16" hidden="1">
      <c r="A3949" s="2">
        <v>202012</v>
      </c>
      <c r="B3949" s="3">
        <v>44195</v>
      </c>
      <c r="C3949" s="2" t="s">
        <v>2355</v>
      </c>
      <c r="D3949" s="2" t="s">
        <v>1635</v>
      </c>
      <c r="E3949" s="2">
        <v>-69.180000000000007</v>
      </c>
      <c r="F3949" s="2" t="e">
        <f>IF(Table2[[#This Row],[Manual Cat Value]]="",VLOOKUP(Table2[[#This Row],[Description]],'Actuals Lookup'!D:F,3,0),Table2[[#This Row],[Manual Cat Value]])</f>
        <v>#N/A</v>
      </c>
      <c r="J3949" s="2">
        <v>69.180000000000007</v>
      </c>
      <c r="K3949" s="2" t="b">
        <v>0</v>
      </c>
      <c r="L3949" s="2"/>
      <c r="M3949" s="2"/>
      <c r="N3949" s="4" t="s">
        <v>2273</v>
      </c>
      <c r="O3949" s="4" t="str">
        <f>LEFT(Table2[[#This Row],[Description]],75)</f>
        <v>SCHWAB TOTAL STOCK MKT INDEX</v>
      </c>
      <c r="P3949" s="2"/>
    </row>
    <row r="3950" spans="1:16" hidden="1">
      <c r="A3950" s="2">
        <v>202012</v>
      </c>
      <c r="B3950" s="3">
        <v>44195</v>
      </c>
      <c r="C3950" s="2" t="s">
        <v>2277</v>
      </c>
      <c r="D3950" s="2" t="s">
        <v>1635</v>
      </c>
      <c r="E3950" s="2">
        <v>-69.180000000000007</v>
      </c>
      <c r="F3950" s="2" t="e">
        <f>IF(Table2[[#This Row],[Manual Cat Value]]="",VLOOKUP(Table2[[#This Row],[Description]],'Actuals Lookup'!D:F,3,0),Table2[[#This Row],[Manual Cat Value]])</f>
        <v>#N/A</v>
      </c>
      <c r="J3950" s="2">
        <v>69.180000000000007</v>
      </c>
      <c r="K3950" s="2" t="b">
        <v>0</v>
      </c>
      <c r="L3950" s="2"/>
      <c r="M3950" s="2"/>
      <c r="N3950" s="4" t="s">
        <v>2273</v>
      </c>
      <c r="O3950" s="4" t="str">
        <f>LEFT(Table2[[#This Row],[Description]],75)</f>
        <v>SCHWAB TOTAL STOCK MKT INDEX</v>
      </c>
      <c r="P3950" s="2"/>
    </row>
    <row r="3951" spans="1:16" hidden="1">
      <c r="A3951" s="2">
        <v>202012</v>
      </c>
      <c r="B3951" s="3">
        <v>44195</v>
      </c>
      <c r="C3951" s="2" t="s">
        <v>2355</v>
      </c>
      <c r="D3951" s="2" t="s">
        <v>1635</v>
      </c>
      <c r="E3951" s="2">
        <v>69.180000000000007</v>
      </c>
      <c r="F3951" s="2" t="e">
        <f>IF(Table2[[#This Row],[Manual Cat Value]]="",VLOOKUP(Table2[[#This Row],[Description]],'Actuals Lookup'!D:F,3,0),Table2[[#This Row],[Manual Cat Value]])</f>
        <v>#N/A</v>
      </c>
      <c r="J3951" s="2">
        <v>69.180000000000007</v>
      </c>
      <c r="K3951" s="2" t="b">
        <v>0</v>
      </c>
      <c r="L3951" s="2"/>
      <c r="M3951" s="2"/>
      <c r="N3951" s="4" t="s">
        <v>2259</v>
      </c>
      <c r="O3951" s="4" t="str">
        <f>LEFT(Table2[[#This Row],[Description]],75)</f>
        <v>SCHWAB TOTAL STOCK MKT INDEX</v>
      </c>
      <c r="P3951" s="2" t="s">
        <v>2278</v>
      </c>
    </row>
    <row r="3952" spans="1:16" hidden="1">
      <c r="A3952" s="2">
        <v>202012</v>
      </c>
      <c r="B3952" s="3">
        <v>44195</v>
      </c>
      <c r="C3952" s="2" t="s">
        <v>2277</v>
      </c>
      <c r="D3952" s="2" t="s">
        <v>1635</v>
      </c>
      <c r="E3952" s="2">
        <v>69.180000000000007</v>
      </c>
      <c r="F3952" s="2" t="e">
        <f>IF(Table2[[#This Row],[Manual Cat Value]]="",VLOOKUP(Table2[[#This Row],[Description]],'Actuals Lookup'!D:F,3,0),Table2[[#This Row],[Manual Cat Value]])</f>
        <v>#N/A</v>
      </c>
      <c r="J3952" s="2">
        <v>69.180000000000007</v>
      </c>
      <c r="K3952" s="2" t="b">
        <v>0</v>
      </c>
      <c r="L3952" s="2"/>
      <c r="M3952" s="2"/>
      <c r="N3952" s="4" t="s">
        <v>2259</v>
      </c>
      <c r="O3952" s="4" t="str">
        <f>LEFT(Table2[[#This Row],[Description]],75)</f>
        <v>SCHWAB TOTAL STOCK MKT INDEX</v>
      </c>
      <c r="P3952" s="2" t="s">
        <v>2278</v>
      </c>
    </row>
    <row r="3953" spans="1:16" hidden="1">
      <c r="A3953" s="2">
        <v>202012</v>
      </c>
      <c r="B3953" s="3">
        <v>44195</v>
      </c>
      <c r="C3953" s="2" t="s">
        <v>2317</v>
      </c>
      <c r="D3953" s="2" t="s">
        <v>1635</v>
      </c>
      <c r="E3953" s="2">
        <v>-359.39</v>
      </c>
      <c r="F3953" s="2" t="e">
        <f>IF(Table2[[#This Row],[Manual Cat Value]]="",VLOOKUP(Table2[[#This Row],[Description]],'Actuals Lookup'!D:F,3,0),Table2[[#This Row],[Manual Cat Value]])</f>
        <v>#N/A</v>
      </c>
      <c r="J3953" s="2">
        <v>359.39</v>
      </c>
      <c r="K3953" s="2" t="b">
        <v>0</v>
      </c>
      <c r="L3953" s="2"/>
      <c r="M3953" s="2"/>
      <c r="N3953" s="4" t="s">
        <v>2273</v>
      </c>
      <c r="O3953" s="4" t="str">
        <f>LEFT(Table2[[#This Row],[Description]],75)</f>
        <v>SCHWAB TOTAL STOCK MKT INDEX</v>
      </c>
      <c r="P3953" s="2" t="s">
        <v>2385</v>
      </c>
    </row>
    <row r="3954" spans="1:16" hidden="1">
      <c r="A3954" s="2">
        <v>202012</v>
      </c>
      <c r="B3954" s="3">
        <v>44195</v>
      </c>
      <c r="C3954" s="2" t="s">
        <v>2317</v>
      </c>
      <c r="D3954" s="2" t="s">
        <v>1635</v>
      </c>
      <c r="E3954" s="2">
        <v>359.39</v>
      </c>
      <c r="F3954" s="2" t="e">
        <f>IF(Table2[[#This Row],[Manual Cat Value]]="",VLOOKUP(Table2[[#This Row],[Description]],'Actuals Lookup'!D:F,3,0),Table2[[#This Row],[Manual Cat Value]])</f>
        <v>#N/A</v>
      </c>
      <c r="J3954" s="2">
        <v>359.39</v>
      </c>
      <c r="K3954" s="2" t="b">
        <v>0</v>
      </c>
      <c r="L3954" s="2"/>
      <c r="M3954" s="2"/>
      <c r="N3954" s="4" t="s">
        <v>2259</v>
      </c>
      <c r="O3954" s="4" t="str">
        <f>LEFT(Table2[[#This Row],[Description]],75)</f>
        <v>SCHWAB TOTAL STOCK MKT INDEX</v>
      </c>
      <c r="P3954" s="2" t="s">
        <v>2278</v>
      </c>
    </row>
    <row r="3955" spans="1:16" hidden="1">
      <c r="A3955" s="2">
        <v>202012</v>
      </c>
      <c r="B3955" s="3">
        <v>44195</v>
      </c>
      <c r="C3955" s="2" t="s">
        <v>2435</v>
      </c>
      <c r="D3955" s="2" t="s">
        <v>1635</v>
      </c>
      <c r="E3955" s="2">
        <v>750</v>
      </c>
      <c r="F3955" s="2" t="e">
        <f>IF(Table2[[#This Row],[Manual Cat Value]]="",VLOOKUP(Table2[[#This Row],[Description]],'Actuals Lookup'!D:F,3,0),Table2[[#This Row],[Manual Cat Value]])</f>
        <v>#N/A</v>
      </c>
      <c r="J3955" s="2">
        <v>750</v>
      </c>
      <c r="K3955" s="2" t="b">
        <v>0</v>
      </c>
      <c r="L3955" s="2"/>
      <c r="M3955" s="2"/>
      <c r="N3955" s="4" t="s">
        <v>2259</v>
      </c>
      <c r="O3955" s="4" t="str">
        <f>LEFT(Table2[[#This Row],[Description]],75)</f>
        <v>SCHWAB TOTAL STOCK MKT INDEX</v>
      </c>
      <c r="P3955" s="2" t="s">
        <v>2278</v>
      </c>
    </row>
    <row r="3956" spans="1:16" hidden="1">
      <c r="A3956" s="2">
        <v>202012</v>
      </c>
      <c r="B3956" s="3">
        <v>44195</v>
      </c>
      <c r="C3956" s="2" t="s">
        <v>2434</v>
      </c>
      <c r="D3956" s="2" t="s">
        <v>1635</v>
      </c>
      <c r="E3956" s="2">
        <v>1000</v>
      </c>
      <c r="F3956" s="2" t="e">
        <f>IF(Table2[[#This Row],[Manual Cat Value]]="",VLOOKUP(Table2[[#This Row],[Description]],'Actuals Lookup'!D:F,3,0),Table2[[#This Row],[Manual Cat Value]])</f>
        <v>#N/A</v>
      </c>
      <c r="J3956" s="2">
        <v>1000</v>
      </c>
      <c r="K3956" s="2" t="b">
        <v>0</v>
      </c>
      <c r="L3956" s="2"/>
      <c r="M3956" s="2"/>
      <c r="N3956" s="4" t="s">
        <v>2259</v>
      </c>
      <c r="O3956" s="4" t="str">
        <f>LEFT(Table2[[#This Row],[Description]],75)</f>
        <v>SCHWAB TOTAL STOCK MKT INDEX</v>
      </c>
      <c r="P3956" s="2" t="s">
        <v>2278</v>
      </c>
    </row>
    <row r="3957" spans="1:16" hidden="1">
      <c r="A3957" s="2">
        <v>202012</v>
      </c>
      <c r="B3957" s="3">
        <v>44195</v>
      </c>
      <c r="C3957" s="2" t="s">
        <v>2317</v>
      </c>
      <c r="D3957" s="2" t="s">
        <v>1635</v>
      </c>
      <c r="E3957" s="2">
        <v>200</v>
      </c>
      <c r="F3957" s="2" t="e">
        <f>IF(Table2[[#This Row],[Manual Cat Value]]="",VLOOKUP(Table2[[#This Row],[Description]],'Actuals Lookup'!D:F,3,0),Table2[[#This Row],[Manual Cat Value]])</f>
        <v>#N/A</v>
      </c>
      <c r="J3957" s="2">
        <v>200</v>
      </c>
      <c r="K3957" s="2" t="b">
        <v>0</v>
      </c>
      <c r="L3957" s="2"/>
      <c r="M3957" s="2"/>
      <c r="N3957" s="4" t="s">
        <v>2259</v>
      </c>
      <c r="O3957" s="4" t="str">
        <f>LEFT(Table2[[#This Row],[Description]],75)</f>
        <v>SCHWAB TOTAL STOCK MKT INDEX</v>
      </c>
      <c r="P3957" s="2" t="s">
        <v>2278</v>
      </c>
    </row>
    <row r="3958" spans="1:16" hidden="1">
      <c r="A3958" s="2">
        <v>202012</v>
      </c>
      <c r="B3958" s="3">
        <v>44195</v>
      </c>
      <c r="C3958" s="2" t="s">
        <v>2528</v>
      </c>
      <c r="D3958" s="2" t="s">
        <v>1635</v>
      </c>
      <c r="E3958" s="2">
        <v>600</v>
      </c>
      <c r="F3958" s="2" t="e">
        <f>IF(Table2[[#This Row],[Manual Cat Value]]="",VLOOKUP(Table2[[#This Row],[Description]],'Actuals Lookup'!D:F,3,0),Table2[[#This Row],[Manual Cat Value]])</f>
        <v>#N/A</v>
      </c>
      <c r="J3958" s="2">
        <v>600</v>
      </c>
      <c r="K3958" s="2" t="b">
        <v>0</v>
      </c>
      <c r="L3958" s="2"/>
      <c r="M3958" s="2"/>
      <c r="N3958" s="4" t="s">
        <v>2259</v>
      </c>
      <c r="O3958" s="4" t="str">
        <f>LEFT(Table2[[#This Row],[Description]],75)</f>
        <v>SCHWAB TOTAL STOCK MKT INDEX</v>
      </c>
      <c r="P3958" s="2" t="s">
        <v>2278</v>
      </c>
    </row>
    <row r="3959" spans="1:16" hidden="1">
      <c r="A3959" s="2">
        <v>202012</v>
      </c>
      <c r="B3959" s="3">
        <v>44195</v>
      </c>
      <c r="C3959" s="2" t="s">
        <v>2488</v>
      </c>
      <c r="D3959" s="2" t="s">
        <v>1635</v>
      </c>
      <c r="E3959" s="2">
        <v>700</v>
      </c>
      <c r="F3959" s="2" t="e">
        <f>IF(Table2[[#This Row],[Manual Cat Value]]="",VLOOKUP(Table2[[#This Row],[Description]],'Actuals Lookup'!D:F,3,0),Table2[[#This Row],[Manual Cat Value]])</f>
        <v>#N/A</v>
      </c>
      <c r="J3959" s="2">
        <v>700</v>
      </c>
      <c r="K3959" s="2" t="b">
        <v>0</v>
      </c>
      <c r="L3959" s="2"/>
      <c r="M3959" s="2"/>
      <c r="N3959" s="4" t="s">
        <v>2259</v>
      </c>
      <c r="O3959" s="4" t="str">
        <f>LEFT(Table2[[#This Row],[Description]],75)</f>
        <v>SCHWAB TOTAL STOCK MKT INDEX</v>
      </c>
      <c r="P3959" s="2" t="s">
        <v>2278</v>
      </c>
    </row>
    <row r="3960" spans="1:16" hidden="1">
      <c r="A3960" s="2">
        <v>202012</v>
      </c>
      <c r="B3960" s="3">
        <v>44195</v>
      </c>
      <c r="C3960" s="2" t="s">
        <v>2317</v>
      </c>
      <c r="D3960" s="2" t="s">
        <v>1636</v>
      </c>
      <c r="E3960" s="2">
        <v>-2.4300000000000002</v>
      </c>
      <c r="F3960" s="2" t="e">
        <f>IF(Table2[[#This Row],[Manual Cat Value]]="",VLOOKUP(Table2[[#This Row],[Description]],'Actuals Lookup'!D:F,3,0),Table2[[#This Row],[Manual Cat Value]])</f>
        <v>#N/A</v>
      </c>
      <c r="J3960" s="2">
        <v>2.4300000000000002</v>
      </c>
      <c r="K3960" s="2" t="b">
        <v>0</v>
      </c>
      <c r="L3960" s="2"/>
      <c r="M3960" s="2"/>
      <c r="N3960" s="4" t="s">
        <v>2273</v>
      </c>
      <c r="O3960" s="4" t="str">
        <f>LEFT(Table2[[#This Row],[Description]],75)</f>
        <v>SCHWAB US LARGE CAP GROWTH INDEX FD</v>
      </c>
      <c r="P3960" s="2" t="s">
        <v>2385</v>
      </c>
    </row>
    <row r="3961" spans="1:16" hidden="1">
      <c r="A3961" s="2">
        <v>202012</v>
      </c>
      <c r="B3961" s="3">
        <v>44195</v>
      </c>
      <c r="C3961" s="2" t="s">
        <v>2317</v>
      </c>
      <c r="D3961" s="2" t="s">
        <v>1636</v>
      </c>
      <c r="E3961" s="2">
        <v>2.4300000000000002</v>
      </c>
      <c r="F3961" s="2" t="e">
        <f>IF(Table2[[#This Row],[Manual Cat Value]]="",VLOOKUP(Table2[[#This Row],[Description]],'Actuals Lookup'!D:F,3,0),Table2[[#This Row],[Manual Cat Value]])</f>
        <v>#N/A</v>
      </c>
      <c r="J3961" s="2">
        <v>2.4300000000000002</v>
      </c>
      <c r="K3961" s="2" t="b">
        <v>0</v>
      </c>
      <c r="L3961" s="2"/>
      <c r="M3961" s="2"/>
      <c r="N3961" s="4" t="s">
        <v>2259</v>
      </c>
      <c r="O3961" s="4" t="str">
        <f>LEFT(Table2[[#This Row],[Description]],75)</f>
        <v>SCHWAB US LARGE CAP GROWTH INDEX FD</v>
      </c>
      <c r="P3961" s="2" t="s">
        <v>2347</v>
      </c>
    </row>
    <row r="3962" spans="1:16" hidden="1">
      <c r="A3962" s="2">
        <v>202012</v>
      </c>
      <c r="B3962" s="3">
        <v>44195</v>
      </c>
      <c r="C3962" s="2" t="s">
        <v>2317</v>
      </c>
      <c r="D3962" s="2" t="s">
        <v>1636</v>
      </c>
      <c r="E3962" s="2">
        <v>-3.51</v>
      </c>
      <c r="F3962" s="2" t="e">
        <f>IF(Table2[[#This Row],[Manual Cat Value]]="",VLOOKUP(Table2[[#This Row],[Description]],'Actuals Lookup'!D:F,3,0),Table2[[#This Row],[Manual Cat Value]])</f>
        <v>#N/A</v>
      </c>
      <c r="J3962" s="2">
        <v>3.51</v>
      </c>
      <c r="K3962" s="2" t="b">
        <v>0</v>
      </c>
      <c r="L3962" s="2"/>
      <c r="M3962" s="2"/>
      <c r="N3962" s="4" t="s">
        <v>2273</v>
      </c>
      <c r="O3962" s="4" t="str">
        <f>LEFT(Table2[[#This Row],[Description]],75)</f>
        <v>SCHWAB US LARGE CAP GROWTH INDEX FD</v>
      </c>
      <c r="P3962" s="2" t="s">
        <v>2385</v>
      </c>
    </row>
    <row r="3963" spans="1:16" hidden="1">
      <c r="A3963" s="2">
        <v>202012</v>
      </c>
      <c r="B3963" s="3">
        <v>44195</v>
      </c>
      <c r="C3963" s="2" t="s">
        <v>2317</v>
      </c>
      <c r="D3963" s="2" t="s">
        <v>1636</v>
      </c>
      <c r="E3963" s="2">
        <v>3.51</v>
      </c>
      <c r="F3963" s="2" t="e">
        <f>IF(Table2[[#This Row],[Manual Cat Value]]="",VLOOKUP(Table2[[#This Row],[Description]],'Actuals Lookup'!D:F,3,0),Table2[[#This Row],[Manual Cat Value]])</f>
        <v>#N/A</v>
      </c>
      <c r="J3963" s="2">
        <v>3.51</v>
      </c>
      <c r="K3963" s="2" t="b">
        <v>0</v>
      </c>
      <c r="L3963" s="2"/>
      <c r="M3963" s="2"/>
      <c r="N3963" s="4" t="s">
        <v>2259</v>
      </c>
      <c r="O3963" s="4" t="str">
        <f>LEFT(Table2[[#This Row],[Description]],75)</f>
        <v>SCHWAB US LARGE CAP GROWTH INDEX FD</v>
      </c>
      <c r="P3963" s="2" t="s">
        <v>2347</v>
      </c>
    </row>
    <row r="3964" spans="1:16" hidden="1">
      <c r="A3964" s="2">
        <v>202012</v>
      </c>
      <c r="B3964" s="3">
        <v>44195</v>
      </c>
      <c r="C3964" s="2" t="s">
        <v>2275</v>
      </c>
      <c r="D3964" s="2" t="s">
        <v>1636</v>
      </c>
      <c r="E3964" s="2">
        <v>-13.52</v>
      </c>
      <c r="F3964" s="2" t="e">
        <f>IF(Table2[[#This Row],[Manual Cat Value]]="",VLOOKUP(Table2[[#This Row],[Description]],'Actuals Lookup'!D:F,3,0),Table2[[#This Row],[Manual Cat Value]])</f>
        <v>#N/A</v>
      </c>
      <c r="J3964" s="2">
        <v>13.52</v>
      </c>
      <c r="K3964" s="2" t="b">
        <v>0</v>
      </c>
      <c r="L3964" s="2"/>
      <c r="M3964" s="2"/>
      <c r="N3964" s="4" t="s">
        <v>2273</v>
      </c>
      <c r="O3964" s="4" t="str">
        <f>LEFT(Table2[[#This Row],[Description]],75)</f>
        <v>SCHWAB US LARGE CAP GROWTH INDEX FD</v>
      </c>
      <c r="P3964" s="2"/>
    </row>
    <row r="3965" spans="1:16" hidden="1">
      <c r="A3965" s="2">
        <v>202012</v>
      </c>
      <c r="B3965" s="3">
        <v>44195</v>
      </c>
      <c r="C3965" s="2" t="s">
        <v>2277</v>
      </c>
      <c r="D3965" s="2" t="s">
        <v>1636</v>
      </c>
      <c r="E3965" s="2">
        <v>-13.52</v>
      </c>
      <c r="F3965" s="2" t="e">
        <f>IF(Table2[[#This Row],[Manual Cat Value]]="",VLOOKUP(Table2[[#This Row],[Description]],'Actuals Lookup'!D:F,3,0),Table2[[#This Row],[Manual Cat Value]])</f>
        <v>#N/A</v>
      </c>
      <c r="J3965" s="2">
        <v>13.52</v>
      </c>
      <c r="K3965" s="2" t="b">
        <v>0</v>
      </c>
      <c r="L3965" s="2"/>
      <c r="M3965" s="2"/>
      <c r="N3965" s="4" t="s">
        <v>2273</v>
      </c>
      <c r="O3965" s="4" t="str">
        <f>LEFT(Table2[[#This Row],[Description]],75)</f>
        <v>SCHWAB US LARGE CAP GROWTH INDEX FD</v>
      </c>
      <c r="P3965" s="2"/>
    </row>
    <row r="3966" spans="1:16" hidden="1">
      <c r="A3966" s="2">
        <v>202012</v>
      </c>
      <c r="B3966" s="3">
        <v>44195</v>
      </c>
      <c r="C3966" s="2" t="s">
        <v>2275</v>
      </c>
      <c r="D3966" s="2" t="s">
        <v>1636</v>
      </c>
      <c r="E3966" s="2">
        <v>13.52</v>
      </c>
      <c r="F3966" s="2" t="e">
        <f>IF(Table2[[#This Row],[Manual Cat Value]]="",VLOOKUP(Table2[[#This Row],[Description]],'Actuals Lookup'!D:F,3,0),Table2[[#This Row],[Manual Cat Value]])</f>
        <v>#N/A</v>
      </c>
      <c r="J3966" s="2">
        <v>13.52</v>
      </c>
      <c r="K3966" s="2" t="b">
        <v>0</v>
      </c>
      <c r="L3966" s="2"/>
      <c r="M3966" s="2"/>
      <c r="N3966" s="4" t="s">
        <v>2259</v>
      </c>
      <c r="O3966" s="4" t="str">
        <f>LEFT(Table2[[#This Row],[Description]],75)</f>
        <v>SCHWAB US LARGE CAP GROWTH INDEX FD</v>
      </c>
      <c r="P3966" s="2" t="s">
        <v>2347</v>
      </c>
    </row>
    <row r="3967" spans="1:16" hidden="1">
      <c r="A3967" s="2">
        <v>202012</v>
      </c>
      <c r="B3967" s="3">
        <v>44195</v>
      </c>
      <c r="C3967" s="2" t="s">
        <v>2277</v>
      </c>
      <c r="D3967" s="2" t="s">
        <v>1636</v>
      </c>
      <c r="E3967" s="2">
        <v>13.52</v>
      </c>
      <c r="F3967" s="2" t="e">
        <f>IF(Table2[[#This Row],[Manual Cat Value]]="",VLOOKUP(Table2[[#This Row],[Description]],'Actuals Lookup'!D:F,3,0),Table2[[#This Row],[Manual Cat Value]])</f>
        <v>#N/A</v>
      </c>
      <c r="J3967" s="2">
        <v>13.52</v>
      </c>
      <c r="K3967" s="2" t="b">
        <v>0</v>
      </c>
      <c r="L3967" s="2"/>
      <c r="M3967" s="2"/>
      <c r="N3967" s="4" t="s">
        <v>2259</v>
      </c>
      <c r="O3967" s="4" t="str">
        <f>LEFT(Table2[[#This Row],[Description]],75)</f>
        <v>SCHWAB US LARGE CAP GROWTH INDEX FD</v>
      </c>
      <c r="P3967" s="2" t="s">
        <v>2347</v>
      </c>
    </row>
    <row r="3968" spans="1:16" hidden="1">
      <c r="A3968" s="2">
        <v>202012</v>
      </c>
      <c r="B3968" s="3">
        <v>44195</v>
      </c>
      <c r="C3968" s="2" t="s">
        <v>2317</v>
      </c>
      <c r="D3968" s="2" t="s">
        <v>1636</v>
      </c>
      <c r="E3968" s="2">
        <v>700</v>
      </c>
      <c r="F3968" s="2" t="e">
        <f>IF(Table2[[#This Row],[Manual Cat Value]]="",VLOOKUP(Table2[[#This Row],[Description]],'Actuals Lookup'!D:F,3,0),Table2[[#This Row],[Manual Cat Value]])</f>
        <v>#N/A</v>
      </c>
      <c r="J3968" s="2">
        <v>700</v>
      </c>
      <c r="K3968" s="2" t="b">
        <v>0</v>
      </c>
      <c r="L3968" s="2"/>
      <c r="M3968" s="2"/>
      <c r="N3968" s="4" t="s">
        <v>2259</v>
      </c>
      <c r="O3968" s="4" t="str">
        <f>LEFT(Table2[[#This Row],[Description]],75)</f>
        <v>SCHWAB US LARGE CAP GROWTH INDEX FD</v>
      </c>
      <c r="P3968" s="2" t="s">
        <v>2347</v>
      </c>
    </row>
    <row r="3969" spans="1:16" hidden="1">
      <c r="A3969" s="2">
        <v>202012</v>
      </c>
      <c r="B3969" s="3">
        <v>44195</v>
      </c>
      <c r="C3969" s="2" t="s">
        <v>2317</v>
      </c>
      <c r="D3969" s="2" t="s">
        <v>1638</v>
      </c>
      <c r="E3969" s="2">
        <v>-20.16</v>
      </c>
      <c r="F3969" s="2" t="e">
        <f>IF(Table2[[#This Row],[Manual Cat Value]]="",VLOOKUP(Table2[[#This Row],[Description]],'Actuals Lookup'!D:F,3,0),Table2[[#This Row],[Manual Cat Value]])</f>
        <v>#N/A</v>
      </c>
      <c r="J3969" s="2">
        <v>20.16</v>
      </c>
      <c r="K3969" s="2" t="b">
        <v>0</v>
      </c>
      <c r="L3969" s="2"/>
      <c r="M3969" s="2"/>
      <c r="N3969" s="4" t="s">
        <v>2273</v>
      </c>
      <c r="O3969" s="4" t="str">
        <f>LEFT(Table2[[#This Row],[Description]],75)</f>
        <v>SCHWAB US SMALL CAP ETF</v>
      </c>
      <c r="P3969" s="2" t="s">
        <v>2351</v>
      </c>
    </row>
    <row r="3970" spans="1:16" hidden="1">
      <c r="A3970" s="2">
        <v>202012</v>
      </c>
      <c r="B3970" s="3">
        <v>44195</v>
      </c>
      <c r="C3970" s="2" t="s">
        <v>2317</v>
      </c>
      <c r="D3970" s="2" t="s">
        <v>1638</v>
      </c>
      <c r="E3970" s="2">
        <v>20.16</v>
      </c>
      <c r="F3970" s="2" t="e">
        <f>IF(Table2[[#This Row],[Manual Cat Value]]="",VLOOKUP(Table2[[#This Row],[Description]],'Actuals Lookup'!D:F,3,0),Table2[[#This Row],[Manual Cat Value]])</f>
        <v>#N/A</v>
      </c>
      <c r="J3970" s="2">
        <v>20.16</v>
      </c>
      <c r="K3970" s="2" t="b">
        <v>0</v>
      </c>
      <c r="L3970" s="2"/>
      <c r="M3970" s="2"/>
      <c r="N3970" s="4" t="s">
        <v>2259</v>
      </c>
      <c r="O3970" s="4" t="str">
        <f>LEFT(Table2[[#This Row],[Description]],75)</f>
        <v>SCHWAB US SMALL CAP ETF</v>
      </c>
      <c r="P3970" s="2" t="s">
        <v>2351</v>
      </c>
    </row>
    <row r="3971" spans="1:16" hidden="1">
      <c r="A3971" s="2">
        <v>202012</v>
      </c>
      <c r="B3971" s="3">
        <v>44195</v>
      </c>
      <c r="C3971" s="2" t="s">
        <v>2300</v>
      </c>
      <c r="D3971" s="2" t="s">
        <v>1648</v>
      </c>
      <c r="E3971" s="2">
        <v>-300</v>
      </c>
      <c r="F3971" s="2" t="e">
        <f>IF(Table2[[#This Row],[Manual Cat Value]]="",VLOOKUP(Table2[[#This Row],[Description]],'Actuals Lookup'!D:F,3,0),Table2[[#This Row],[Manual Cat Value]])</f>
        <v>#N/A</v>
      </c>
      <c r="J3971" s="2">
        <v>300</v>
      </c>
      <c r="K3971" s="2" t="b">
        <v>0</v>
      </c>
      <c r="L3971" s="2"/>
      <c r="M3971" s="2"/>
      <c r="N3971" s="4" t="s">
        <v>2273</v>
      </c>
      <c r="O3971" s="4" t="str">
        <f>LEFT(Table2[[#This Row],[Description]],75)</f>
        <v>Share</v>
      </c>
      <c r="P3971" s="2" t="s">
        <v>2448</v>
      </c>
    </row>
    <row r="3972" spans="1:16" hidden="1">
      <c r="A3972" s="2">
        <v>202012</v>
      </c>
      <c r="B3972" s="3">
        <v>44195</v>
      </c>
      <c r="C3972" s="2" t="s">
        <v>2300</v>
      </c>
      <c r="D3972" s="2" t="s">
        <v>1648</v>
      </c>
      <c r="E3972" s="2">
        <v>-200</v>
      </c>
      <c r="F3972" s="2" t="e">
        <f>IF(Table2[[#This Row],[Manual Cat Value]]="",VLOOKUP(Table2[[#This Row],[Description]],'Actuals Lookup'!D:F,3,0),Table2[[#This Row],[Manual Cat Value]])</f>
        <v>#N/A</v>
      </c>
      <c r="J3972" s="2">
        <v>200</v>
      </c>
      <c r="K3972" s="2" t="b">
        <v>0</v>
      </c>
      <c r="L3972" s="2"/>
      <c r="M3972" s="2"/>
      <c r="N3972" s="4" t="s">
        <v>2273</v>
      </c>
      <c r="O3972" s="4" t="str">
        <f>LEFT(Table2[[#This Row],[Description]],75)</f>
        <v>Share</v>
      </c>
      <c r="P3972" s="2" t="s">
        <v>2448</v>
      </c>
    </row>
    <row r="3973" spans="1:16" hidden="1">
      <c r="A3973" s="2">
        <v>202012</v>
      </c>
      <c r="B3973" s="3">
        <v>44195</v>
      </c>
      <c r="C3973" s="2" t="s">
        <v>2262</v>
      </c>
      <c r="D3973" s="2" t="s">
        <v>1653</v>
      </c>
      <c r="E3973" s="2">
        <v>64.819999999999993</v>
      </c>
      <c r="F3973" s="2" t="e">
        <f>IF(Table2[[#This Row],[Manual Cat Value]]="",VLOOKUP(Table2[[#This Row],[Description]],'Actuals Lookup'!D:F,3,0),Table2[[#This Row],[Manual Cat Value]])</f>
        <v>#N/A</v>
      </c>
      <c r="J3973" s="2">
        <v>64.819999999999993</v>
      </c>
      <c r="K3973" s="2" t="b">
        <v>0</v>
      </c>
      <c r="L3973" s="2"/>
      <c r="M3973" s="2"/>
      <c r="N3973" s="4" t="s">
        <v>2259</v>
      </c>
      <c r="O3973" s="4" t="str">
        <f>LEFT(Table2[[#This Row],[Description]],75)</f>
        <v>Sherwin Williams</v>
      </c>
      <c r="P3973" s="2" t="s">
        <v>2353</v>
      </c>
    </row>
    <row r="3974" spans="1:16" hidden="1">
      <c r="A3974" s="2">
        <v>202012</v>
      </c>
      <c r="B3974" s="3">
        <v>44195</v>
      </c>
      <c r="C3974" s="2" t="s">
        <v>2262</v>
      </c>
      <c r="D3974" s="2" t="s">
        <v>1653</v>
      </c>
      <c r="E3974" s="2">
        <v>82.01</v>
      </c>
      <c r="F3974" s="2" t="e">
        <f>IF(Table2[[#This Row],[Manual Cat Value]]="",VLOOKUP(Table2[[#This Row],[Description]],'Actuals Lookup'!D:F,3,0),Table2[[#This Row],[Manual Cat Value]])</f>
        <v>#N/A</v>
      </c>
      <c r="J3974" s="2">
        <v>82.01</v>
      </c>
      <c r="K3974" s="2" t="b">
        <v>0</v>
      </c>
      <c r="L3974" s="2"/>
      <c r="M3974" s="2"/>
      <c r="N3974" s="4" t="s">
        <v>2259</v>
      </c>
      <c r="O3974" s="4" t="str">
        <f>LEFT(Table2[[#This Row],[Description]],75)</f>
        <v>Sherwin Williams</v>
      </c>
      <c r="P3974" s="2" t="s">
        <v>2353</v>
      </c>
    </row>
    <row r="3975" spans="1:16" hidden="1">
      <c r="A3975" s="2">
        <v>202012</v>
      </c>
      <c r="B3975" s="3">
        <v>44195</v>
      </c>
      <c r="C3975" s="2" t="s">
        <v>2262</v>
      </c>
      <c r="D3975" s="2" t="s">
        <v>1653</v>
      </c>
      <c r="E3975" s="2">
        <v>96.07</v>
      </c>
      <c r="F3975" s="2" t="e">
        <f>IF(Table2[[#This Row],[Manual Cat Value]]="",VLOOKUP(Table2[[#This Row],[Description]],'Actuals Lookup'!D:F,3,0),Table2[[#This Row],[Manual Cat Value]])</f>
        <v>#N/A</v>
      </c>
      <c r="J3975" s="2">
        <v>96.07</v>
      </c>
      <c r="K3975" s="2" t="b">
        <v>0</v>
      </c>
      <c r="L3975" s="2"/>
      <c r="M3975" s="2"/>
      <c r="N3975" s="4" t="s">
        <v>2259</v>
      </c>
      <c r="O3975" s="4" t="str">
        <f>LEFT(Table2[[#This Row],[Description]],75)</f>
        <v>Sherwin Williams</v>
      </c>
      <c r="P3975" s="2" t="s">
        <v>2353</v>
      </c>
    </row>
    <row r="3976" spans="1:16" hidden="1">
      <c r="A3976" s="2">
        <v>202012</v>
      </c>
      <c r="B3976" s="3">
        <v>44195</v>
      </c>
      <c r="C3976" s="2" t="s">
        <v>2262</v>
      </c>
      <c r="D3976" s="2" t="s">
        <v>1682</v>
      </c>
      <c r="E3976" s="2">
        <v>-39.25</v>
      </c>
      <c r="F3976" s="2" t="str">
        <f>IF(Table2[[#This Row],[Manual Cat Value]]="",VLOOKUP(Table2[[#This Row],[Description]],'Actuals Lookup'!D:F,3,0),Table2[[#This Row],[Manual Cat Value]])</f>
        <v>Healthcare</v>
      </c>
      <c r="J3976" s="2">
        <v>39.25</v>
      </c>
      <c r="K3976" s="2" t="b">
        <v>0</v>
      </c>
      <c r="L3976" s="2"/>
      <c r="M3976" s="2"/>
      <c r="N3976" s="4" t="s">
        <v>2273</v>
      </c>
      <c r="O3976" s="4" t="str">
        <f>LEFT(Table2[[#This Row],[Description]],75)</f>
        <v>South Lake Pediatrics</v>
      </c>
      <c r="P3976" s="2" t="s">
        <v>2281</v>
      </c>
    </row>
    <row r="3977" spans="1:16" hidden="1">
      <c r="A3977" s="2">
        <v>202012</v>
      </c>
      <c r="B3977" s="3">
        <v>44195</v>
      </c>
      <c r="C3977" s="2" t="s">
        <v>2258</v>
      </c>
      <c r="D3977" s="2" t="s">
        <v>1707</v>
      </c>
      <c r="E3977" s="2">
        <v>33.1</v>
      </c>
      <c r="F3977" s="2" t="str">
        <f>IF(Table2[[#This Row],[Manual Cat Value]]="",VLOOKUP(Table2[[#This Row],[Description]],'Actuals Lookup'!D:F,3,0),Table2[[#This Row],[Manual Cat Value]])</f>
        <v>Transportation</v>
      </c>
      <c r="J3977" s="2">
        <v>33.1</v>
      </c>
      <c r="K3977" s="2" t="b">
        <v>0</v>
      </c>
      <c r="L3977" s="2"/>
      <c r="M3977" s="2"/>
      <c r="N3977" s="4" t="s">
        <v>2259</v>
      </c>
      <c r="O3977" s="4" t="str">
        <f>LEFT(Table2[[#This Row],[Description]],75)</f>
        <v>Speedway</v>
      </c>
      <c r="P3977" s="2" t="s">
        <v>2381</v>
      </c>
    </row>
    <row r="3978" spans="1:16" hidden="1">
      <c r="A3978" s="2">
        <v>202012</v>
      </c>
      <c r="B3978" s="3">
        <v>44195</v>
      </c>
      <c r="C3978" s="2" t="s">
        <v>2258</v>
      </c>
      <c r="D3978" s="2" t="s">
        <v>1707</v>
      </c>
      <c r="E3978" s="2">
        <v>14.94</v>
      </c>
      <c r="F3978" s="2" t="str">
        <f>IF(Table2[[#This Row],[Manual Cat Value]]="",VLOOKUP(Table2[[#This Row],[Description]],'Actuals Lookup'!D:F,3,0),Table2[[#This Row],[Manual Cat Value]])</f>
        <v>Transportation</v>
      </c>
      <c r="J3978" s="2">
        <v>14.94</v>
      </c>
      <c r="K3978" s="2" t="b">
        <v>0</v>
      </c>
      <c r="L3978" s="2"/>
      <c r="M3978" s="2"/>
      <c r="N3978" s="4" t="s">
        <v>2259</v>
      </c>
      <c r="O3978" s="4" t="str">
        <f>LEFT(Table2[[#This Row],[Description]],75)</f>
        <v>Speedway</v>
      </c>
      <c r="P3978" s="2" t="s">
        <v>2381</v>
      </c>
    </row>
    <row r="3979" spans="1:16" hidden="1">
      <c r="A3979" s="2">
        <v>202012</v>
      </c>
      <c r="B3979" s="3">
        <v>44195</v>
      </c>
      <c r="C3979" s="2" t="s">
        <v>2262</v>
      </c>
      <c r="D3979" s="2" t="s">
        <v>1707</v>
      </c>
      <c r="E3979" s="2">
        <v>15.01</v>
      </c>
      <c r="F3979" s="2" t="str">
        <f>IF(Table2[[#This Row],[Manual Cat Value]]="",VLOOKUP(Table2[[#This Row],[Description]],'Actuals Lookup'!D:F,3,0),Table2[[#This Row],[Manual Cat Value]])</f>
        <v>Transportation</v>
      </c>
      <c r="J3979" s="2">
        <v>15.01</v>
      </c>
      <c r="K3979" s="2" t="b">
        <v>0</v>
      </c>
      <c r="L3979" s="2"/>
      <c r="M3979" s="2"/>
      <c r="N3979" s="4" t="s">
        <v>2259</v>
      </c>
      <c r="O3979" s="4" t="str">
        <f>LEFT(Table2[[#This Row],[Description]],75)</f>
        <v>Speedway</v>
      </c>
      <c r="P3979" s="2" t="s">
        <v>2381</v>
      </c>
    </row>
    <row r="3980" spans="1:16" hidden="1">
      <c r="A3980" s="2">
        <v>202012</v>
      </c>
      <c r="B3980" s="3">
        <v>44195</v>
      </c>
      <c r="C3980" s="2" t="s">
        <v>2447</v>
      </c>
      <c r="D3980" s="2" t="s">
        <v>1707</v>
      </c>
      <c r="E3980" s="2">
        <v>33.1</v>
      </c>
      <c r="F3980" s="2" t="str">
        <f>IF(Table2[[#This Row],[Manual Cat Value]]="",VLOOKUP(Table2[[#This Row],[Description]],'Actuals Lookup'!D:F,3,0),Table2[[#This Row],[Manual Cat Value]])</f>
        <v>Transportation</v>
      </c>
      <c r="J3980" s="2">
        <v>33.1</v>
      </c>
      <c r="K3980" s="2" t="b">
        <v>0</v>
      </c>
      <c r="L3980" s="2"/>
      <c r="M3980" s="2"/>
      <c r="N3980" s="4" t="s">
        <v>2259</v>
      </c>
      <c r="O3980" s="4" t="str">
        <f>LEFT(Table2[[#This Row],[Description]],75)</f>
        <v>Speedway</v>
      </c>
      <c r="P3980" s="2" t="s">
        <v>2381</v>
      </c>
    </row>
    <row r="3981" spans="1:16" hidden="1">
      <c r="A3981" s="2">
        <v>202012</v>
      </c>
      <c r="B3981" s="3">
        <v>44195</v>
      </c>
      <c r="C3981" s="2" t="s">
        <v>2447</v>
      </c>
      <c r="D3981" s="2" t="s">
        <v>1707</v>
      </c>
      <c r="E3981" s="2">
        <v>14.94</v>
      </c>
      <c r="F3981" s="2" t="str">
        <f>IF(Table2[[#This Row],[Manual Cat Value]]="",VLOOKUP(Table2[[#This Row],[Description]],'Actuals Lookup'!D:F,3,0),Table2[[#This Row],[Manual Cat Value]])</f>
        <v>Transportation</v>
      </c>
      <c r="J3981" s="2">
        <v>14.94</v>
      </c>
      <c r="K3981" s="2" t="b">
        <v>0</v>
      </c>
      <c r="L3981" s="2"/>
      <c r="M3981" s="2"/>
      <c r="N3981" s="4" t="s">
        <v>2259</v>
      </c>
      <c r="O3981" s="4" t="str">
        <f>LEFT(Table2[[#This Row],[Description]],75)</f>
        <v>Speedway</v>
      </c>
      <c r="P3981" s="2" t="s">
        <v>2381</v>
      </c>
    </row>
    <row r="3982" spans="1:16" hidden="1">
      <c r="A3982" s="2">
        <v>202012</v>
      </c>
      <c r="B3982" s="3">
        <v>44195</v>
      </c>
      <c r="C3982" s="2" t="s">
        <v>2300</v>
      </c>
      <c r="D3982" s="2" t="s">
        <v>1709</v>
      </c>
      <c r="E3982" s="2">
        <v>-13.12</v>
      </c>
      <c r="F3982" s="2" t="e">
        <f>IF(Table2[[#This Row],[Manual Cat Value]]="",VLOOKUP(Table2[[#This Row],[Description]],'Actuals Lookup'!D:F,3,0),Table2[[#This Row],[Manual Cat Value]])</f>
        <v>#N/A</v>
      </c>
      <c r="J3982" s="2">
        <v>13.12</v>
      </c>
      <c r="K3982" s="2" t="b">
        <v>0</v>
      </c>
      <c r="L3982" s="2"/>
      <c r="M3982" s="2"/>
      <c r="N3982" s="4" t="s">
        <v>2273</v>
      </c>
      <c r="O3982" s="4" t="str">
        <f>LEFT(Table2[[#This Row],[Description]],75)</f>
        <v>Split Rate Apy</v>
      </c>
      <c r="P3982" s="2" t="s">
        <v>2313</v>
      </c>
    </row>
    <row r="3983" spans="1:16" hidden="1">
      <c r="A3983" s="2">
        <v>202012</v>
      </c>
      <c r="B3983" s="3">
        <v>44195</v>
      </c>
      <c r="C3983" s="2" t="s">
        <v>2265</v>
      </c>
      <c r="D3983" s="2" t="s">
        <v>1709</v>
      </c>
      <c r="E3983" s="2">
        <v>-16.149999999999999</v>
      </c>
      <c r="F3983" s="2" t="e">
        <f>IF(Table2[[#This Row],[Manual Cat Value]]="",VLOOKUP(Table2[[#This Row],[Description]],'Actuals Lookup'!D:F,3,0),Table2[[#This Row],[Manual Cat Value]])</f>
        <v>#N/A</v>
      </c>
      <c r="J3983" s="2">
        <v>16.149999999999999</v>
      </c>
      <c r="K3983" s="2" t="b">
        <v>0</v>
      </c>
      <c r="L3983" s="2"/>
      <c r="M3983" s="2"/>
      <c r="N3983" s="4" t="s">
        <v>2273</v>
      </c>
      <c r="O3983" s="4" t="str">
        <f>LEFT(Table2[[#This Row],[Description]],75)</f>
        <v>Split Rate Apy</v>
      </c>
      <c r="P3983" s="2" t="s">
        <v>2313</v>
      </c>
    </row>
    <row r="3984" spans="1:16" hidden="1">
      <c r="A3984" s="2">
        <v>202012</v>
      </c>
      <c r="B3984" s="3">
        <v>44195</v>
      </c>
      <c r="C3984" s="2" t="s">
        <v>2262</v>
      </c>
      <c r="D3984" s="2" t="s">
        <v>1773</v>
      </c>
      <c r="E3984" s="2">
        <v>25</v>
      </c>
      <c r="F3984" s="2" t="str">
        <f>IF(Table2[[#This Row],[Manual Cat Value]]="",VLOOKUP(Table2[[#This Row],[Description]],'Actuals Lookup'!D:F,3,0),Table2[[#This Row],[Manual Cat Value]])</f>
        <v>Restaurants</v>
      </c>
      <c r="J3984" s="2">
        <v>25</v>
      </c>
      <c r="K3984" s="2" t="b">
        <v>0</v>
      </c>
      <c r="L3984" s="2"/>
      <c r="M3984" s="2"/>
      <c r="N3984" s="4" t="s">
        <v>2259</v>
      </c>
      <c r="O3984" s="4" t="str">
        <f>LEFT(Table2[[#This Row],[Description]],75)</f>
        <v>Starbucks</v>
      </c>
      <c r="P3984" s="2" t="s">
        <v>2454</v>
      </c>
    </row>
    <row r="3985" spans="1:16" hidden="1">
      <c r="A3985" s="2">
        <v>202012</v>
      </c>
      <c r="B3985" s="3">
        <v>44195</v>
      </c>
      <c r="C3985" s="2" t="s">
        <v>2265</v>
      </c>
      <c r="D3985" s="2" t="s">
        <v>31</v>
      </c>
      <c r="E3985" s="2">
        <v>449.17</v>
      </c>
      <c r="F3985" s="2" t="str">
        <f>IF(Table2[[#This Row],[Manual Cat Value]]="",VLOOKUP(Table2[[#This Row],[Description]],'Actuals Lookup'!D:F,3,0),Table2[[#This Row],[Manual Cat Value]])</f>
        <v>Target</v>
      </c>
      <c r="J3985" s="2">
        <v>449.17</v>
      </c>
      <c r="K3985" s="2" t="b">
        <v>0</v>
      </c>
      <c r="L3985" s="2"/>
      <c r="M3985" s="2"/>
      <c r="N3985" s="4" t="s">
        <v>2259</v>
      </c>
      <c r="O3985" s="4" t="str">
        <f>LEFT(Table2[[#This Row],[Description]],75)</f>
        <v>Target</v>
      </c>
      <c r="P3985" s="2" t="s">
        <v>2309</v>
      </c>
    </row>
    <row r="3986" spans="1:16" hidden="1">
      <c r="A3986" s="2">
        <v>202012</v>
      </c>
      <c r="B3986" s="3">
        <v>44195</v>
      </c>
      <c r="C3986" s="2" t="s">
        <v>2434</v>
      </c>
      <c r="D3986" s="2" t="s">
        <v>1834</v>
      </c>
      <c r="E3986" s="2">
        <v>-231</v>
      </c>
      <c r="F3986" s="2" t="e">
        <f>IF(Table2[[#This Row],[Manual Cat Value]]="",VLOOKUP(Table2[[#This Row],[Description]],'Actuals Lookup'!D:F,3,0),Table2[[#This Row],[Manual Cat Value]])</f>
        <v>#N/A</v>
      </c>
      <c r="J3986" s="2">
        <v>231</v>
      </c>
      <c r="K3986" s="2" t="b">
        <v>0</v>
      </c>
      <c r="L3986" s="2"/>
      <c r="M3986" s="2"/>
      <c r="N3986" s="4" t="s">
        <v>2273</v>
      </c>
      <c r="O3986" s="4" t="str">
        <f>LEFT(Table2[[#This Row],[Description]],75)</f>
        <v>Tfr JPMORGAN CHASE BAN, CARGILL COCOA &amp;</v>
      </c>
      <c r="P3986" s="2" t="s">
        <v>2356</v>
      </c>
    </row>
    <row r="3987" spans="1:16" hidden="1">
      <c r="A3987" s="2">
        <v>202012</v>
      </c>
      <c r="B3987" s="3">
        <v>44195</v>
      </c>
      <c r="C3987" s="2" t="s">
        <v>2434</v>
      </c>
      <c r="D3987" s="2" t="s">
        <v>1834</v>
      </c>
      <c r="E3987" s="2">
        <v>-231</v>
      </c>
      <c r="F3987" s="2" t="e">
        <f>IF(Table2[[#This Row],[Manual Cat Value]]="",VLOOKUP(Table2[[#This Row],[Description]],'Actuals Lookup'!D:F,3,0),Table2[[#This Row],[Manual Cat Value]])</f>
        <v>#N/A</v>
      </c>
      <c r="J3987" s="2">
        <v>231</v>
      </c>
      <c r="K3987" s="2" t="b">
        <v>0</v>
      </c>
      <c r="L3987" s="2"/>
      <c r="M3987" s="2"/>
      <c r="N3987" s="4" t="s">
        <v>2273</v>
      </c>
      <c r="O3987" s="4" t="str">
        <f>LEFT(Table2[[#This Row],[Description]],75)</f>
        <v>Tfr JPMORGAN CHASE BAN, CARGILL COCOA &amp;</v>
      </c>
      <c r="P3987" s="2" t="s">
        <v>2356</v>
      </c>
    </row>
    <row r="3988" spans="1:16" hidden="1">
      <c r="A3988" s="2">
        <v>202012</v>
      </c>
      <c r="B3988" s="3">
        <v>44195</v>
      </c>
      <c r="C3988" s="2" t="s">
        <v>2435</v>
      </c>
      <c r="D3988" s="2" t="s">
        <v>1836</v>
      </c>
      <c r="E3988" s="2">
        <v>-250</v>
      </c>
      <c r="F3988" s="2" t="e">
        <f>IF(Table2[[#This Row],[Manual Cat Value]]="",VLOOKUP(Table2[[#This Row],[Description]],'Actuals Lookup'!D:F,3,0),Table2[[#This Row],[Manual Cat Value]])</f>
        <v>#N/A</v>
      </c>
      <c r="J3988" s="2">
        <v>250</v>
      </c>
      <c r="K3988" s="2" t="b">
        <v>0</v>
      </c>
      <c r="L3988" s="2"/>
      <c r="M3988" s="2"/>
      <c r="N3988" s="4" t="s">
        <v>2273</v>
      </c>
      <c r="O3988" s="4" t="str">
        <f>LEFT(Table2[[#This Row],[Description]],75)</f>
        <v>Tfr JPMORGAN CHASE BAN, CONNECTED ANALYT</v>
      </c>
      <c r="P3988" s="2" t="s">
        <v>2493</v>
      </c>
    </row>
    <row r="3989" spans="1:16" hidden="1">
      <c r="A3989" s="2">
        <v>202012</v>
      </c>
      <c r="B3989" s="3">
        <v>44195</v>
      </c>
      <c r="C3989" s="2" t="s">
        <v>2435</v>
      </c>
      <c r="D3989" s="2" t="s">
        <v>1836</v>
      </c>
      <c r="E3989" s="2">
        <v>-250</v>
      </c>
      <c r="F3989" s="2" t="e">
        <f>IF(Table2[[#This Row],[Manual Cat Value]]="",VLOOKUP(Table2[[#This Row],[Description]],'Actuals Lookup'!D:F,3,0),Table2[[#This Row],[Manual Cat Value]])</f>
        <v>#N/A</v>
      </c>
      <c r="J3989" s="2">
        <v>250</v>
      </c>
      <c r="K3989" s="2" t="b">
        <v>0</v>
      </c>
      <c r="L3989" s="2"/>
      <c r="M3989" s="2"/>
      <c r="N3989" s="4" t="s">
        <v>2273</v>
      </c>
      <c r="O3989" s="4" t="str">
        <f>LEFT(Table2[[#This Row],[Description]],75)</f>
        <v>Tfr JPMORGAN CHASE BAN, CONNECTED ANALYT</v>
      </c>
      <c r="P3989" s="2" t="s">
        <v>2493</v>
      </c>
    </row>
    <row r="3990" spans="1:16" hidden="1">
      <c r="A3990" s="2">
        <v>202012</v>
      </c>
      <c r="B3990" s="3">
        <v>44195</v>
      </c>
      <c r="C3990" s="2" t="s">
        <v>2262</v>
      </c>
      <c r="D3990" s="2" t="s">
        <v>1876</v>
      </c>
      <c r="E3990" s="2">
        <v>-24.99</v>
      </c>
      <c r="F3990" s="2" t="e">
        <f>IF(Table2[[#This Row],[Manual Cat Value]]="",VLOOKUP(Table2[[#This Row],[Description]],'Actuals Lookup'!D:F,3,0),Table2[[#This Row],[Manual Cat Value]])</f>
        <v>#N/A</v>
      </c>
      <c r="J3990" s="2">
        <v>24.99</v>
      </c>
      <c r="K3990" s="2" t="b">
        <v>0</v>
      </c>
      <c r="L3990" s="2"/>
      <c r="M3990" s="2"/>
      <c r="N3990" s="4" t="s">
        <v>2273</v>
      </c>
      <c r="O3990" s="4" t="str">
        <f>LEFT(Table2[[#This Row],[Description]],75)</f>
        <v>TJ Maxx</v>
      </c>
      <c r="P3990" s="2" t="s">
        <v>2518</v>
      </c>
    </row>
    <row r="3991" spans="1:16" hidden="1">
      <c r="A3991" s="2">
        <v>202012</v>
      </c>
      <c r="B3991" s="3">
        <v>44195</v>
      </c>
      <c r="C3991" s="2" t="s">
        <v>2265</v>
      </c>
      <c r="D3991" s="2" t="s">
        <v>1892</v>
      </c>
      <c r="E3991" s="2">
        <v>300</v>
      </c>
      <c r="F3991" s="2" t="e">
        <f>IF(Table2[[#This Row],[Manual Cat Value]]="",VLOOKUP(Table2[[#This Row],[Description]],'Actuals Lookup'!D:F,3,0),Table2[[#This Row],[Manual Cat Value]])</f>
        <v>#N/A</v>
      </c>
      <c r="J3991" s="2">
        <v>300</v>
      </c>
      <c r="K3991" s="2" t="b">
        <v>0</v>
      </c>
      <c r="L3991" s="2"/>
      <c r="M3991" s="2"/>
      <c r="N3991" s="4" t="s">
        <v>2259</v>
      </c>
      <c r="O3991" s="4" t="str">
        <f>LEFT(Table2[[#This Row],[Description]],75)</f>
        <v>To Share 12</v>
      </c>
      <c r="P3991" s="2" t="s">
        <v>2494</v>
      </c>
    </row>
    <row r="3992" spans="1:16" hidden="1">
      <c r="A3992" s="2">
        <v>202012</v>
      </c>
      <c r="B3992" s="3">
        <v>44195</v>
      </c>
      <c r="C3992" s="2" t="s">
        <v>2265</v>
      </c>
      <c r="D3992" s="2" t="s">
        <v>1892</v>
      </c>
      <c r="E3992" s="2">
        <v>200</v>
      </c>
      <c r="F3992" s="2" t="e">
        <f>IF(Table2[[#This Row],[Manual Cat Value]]="",VLOOKUP(Table2[[#This Row],[Description]],'Actuals Lookup'!D:F,3,0),Table2[[#This Row],[Manual Cat Value]])</f>
        <v>#N/A</v>
      </c>
      <c r="J3992" s="2">
        <v>200</v>
      </c>
      <c r="K3992" s="2" t="b">
        <v>0</v>
      </c>
      <c r="L3992" s="2"/>
      <c r="M3992" s="2"/>
      <c r="N3992" s="4" t="s">
        <v>2259</v>
      </c>
      <c r="O3992" s="4" t="str">
        <f>LEFT(Table2[[#This Row],[Description]],75)</f>
        <v>To Share 12</v>
      </c>
      <c r="P3992" s="2" t="s">
        <v>2494</v>
      </c>
    </row>
    <row r="3993" spans="1:16" hidden="1">
      <c r="A3993" s="2">
        <v>202012</v>
      </c>
      <c r="B3993" s="3">
        <v>44195</v>
      </c>
      <c r="C3993" s="2" t="s">
        <v>2262</v>
      </c>
      <c r="D3993" s="2" t="s">
        <v>1923</v>
      </c>
      <c r="E3993" s="2">
        <v>132.30000000000001</v>
      </c>
      <c r="F3993" s="2" t="e">
        <f>IF(Table2[[#This Row],[Manual Cat Value]]="",VLOOKUP(Table2[[#This Row],[Description]],'Actuals Lookup'!D:F,3,0),Table2[[#This Row],[Manual Cat Value]])</f>
        <v>#N/A</v>
      </c>
      <c r="J3993" s="2">
        <v>132.30000000000001</v>
      </c>
      <c r="K3993" s="2" t="b">
        <v>0</v>
      </c>
      <c r="L3993" s="2"/>
      <c r="M3993" s="2"/>
      <c r="N3993" s="4" t="s">
        <v>2259</v>
      </c>
      <c r="O3993" s="4" t="str">
        <f>LEFT(Table2[[#This Row],[Description]],75)</f>
        <v>Total Wine</v>
      </c>
      <c r="P3993" s="2" t="s">
        <v>2531</v>
      </c>
    </row>
    <row r="3994" spans="1:16" hidden="1">
      <c r="A3994" s="2">
        <v>202012</v>
      </c>
      <c r="B3994" s="3">
        <v>44195</v>
      </c>
      <c r="C3994" s="2" t="s">
        <v>2262</v>
      </c>
      <c r="D3994" s="2" t="s">
        <v>1926</v>
      </c>
      <c r="E3994" s="2">
        <v>105.95</v>
      </c>
      <c r="F3994" s="2" t="e">
        <f>IF(Table2[[#This Row],[Manual Cat Value]]="",VLOOKUP(Table2[[#This Row],[Description]],'Actuals Lookup'!D:F,3,0),Table2[[#This Row],[Manual Cat Value]])</f>
        <v>#N/A</v>
      </c>
      <c r="J3994" s="2">
        <v>105.95</v>
      </c>
      <c r="K3994" s="2" t="b">
        <v>0</v>
      </c>
      <c r="L3994" s="2"/>
      <c r="M3994" s="2"/>
      <c r="N3994" s="4" t="s">
        <v>2259</v>
      </c>
      <c r="O3994" s="4" t="str">
        <f>LEFT(Table2[[#This Row],[Description]],75)</f>
        <v>Total Wine and More</v>
      </c>
      <c r="P3994" s="2" t="s">
        <v>2289</v>
      </c>
    </row>
    <row r="3995" spans="1:16" hidden="1">
      <c r="A3995" s="2">
        <v>202012</v>
      </c>
      <c r="B3995" s="3">
        <v>44195</v>
      </c>
      <c r="C3995" s="2" t="s">
        <v>2317</v>
      </c>
      <c r="D3995" s="2" t="s">
        <v>1950</v>
      </c>
      <c r="E3995" s="2">
        <v>4500</v>
      </c>
      <c r="F3995" s="2" t="e">
        <f>IF(Table2[[#This Row],[Manual Cat Value]]="",VLOOKUP(Table2[[#This Row],[Description]],'Actuals Lookup'!D:F,3,0),Table2[[#This Row],[Manual Cat Value]])</f>
        <v>#N/A</v>
      </c>
      <c r="J3995" s="2">
        <v>4500</v>
      </c>
      <c r="K3995" s="2" t="b">
        <v>0</v>
      </c>
      <c r="L3995" s="2"/>
      <c r="M3995" s="2"/>
      <c r="N3995" s="4" t="s">
        <v>2259</v>
      </c>
      <c r="O3995" s="4" t="str">
        <f>LEFT(Table2[[#This Row],[Description]],75)</f>
        <v>TRANSFER FUNDS TO SCHWAB BANK - 440020765184</v>
      </c>
      <c r="P3995" s="2" t="s">
        <v>2385</v>
      </c>
    </row>
    <row r="3996" spans="1:16" hidden="1">
      <c r="A3996" s="2">
        <v>202012</v>
      </c>
      <c r="B3996" s="3">
        <v>44195</v>
      </c>
      <c r="C3996" s="2" t="s">
        <v>2317</v>
      </c>
      <c r="D3996" s="2" t="s">
        <v>1950</v>
      </c>
      <c r="E3996" s="2">
        <v>5000</v>
      </c>
      <c r="F3996" s="2" t="e">
        <f>IF(Table2[[#This Row],[Manual Cat Value]]="",VLOOKUP(Table2[[#This Row],[Description]],'Actuals Lookup'!D:F,3,0),Table2[[#This Row],[Manual Cat Value]])</f>
        <v>#N/A</v>
      </c>
      <c r="J3996" s="2">
        <v>5000</v>
      </c>
      <c r="K3996" s="2" t="b">
        <v>0</v>
      </c>
      <c r="L3996" s="2"/>
      <c r="M3996" s="2"/>
      <c r="N3996" s="4" t="s">
        <v>2259</v>
      </c>
      <c r="O3996" s="4" t="str">
        <f>LEFT(Table2[[#This Row],[Description]],75)</f>
        <v>TRANSFER FUNDS TO SCHWAB BANK - 440020765184</v>
      </c>
      <c r="P3996" s="2" t="s">
        <v>2385</v>
      </c>
    </row>
    <row r="3997" spans="1:16" hidden="1">
      <c r="A3997" s="2">
        <v>202012</v>
      </c>
      <c r="B3997" s="3">
        <v>44195</v>
      </c>
      <c r="C3997" s="2" t="s">
        <v>2258</v>
      </c>
      <c r="D3997" s="2" t="s">
        <v>2002</v>
      </c>
      <c r="E3997" s="2">
        <v>35.450000000000003</v>
      </c>
      <c r="F3997" s="2" t="e">
        <f>IF(Table2[[#This Row],[Manual Cat Value]]="",VLOOKUP(Table2[[#This Row],[Description]],'Actuals Lookup'!D:F,3,0),Table2[[#This Row],[Manual Cat Value]])</f>
        <v>#N/A</v>
      </c>
      <c r="J3997" s="2">
        <v>35.450000000000003</v>
      </c>
      <c r="K3997" s="2" t="b">
        <v>0</v>
      </c>
      <c r="L3997" s="2"/>
      <c r="M3997" s="2"/>
      <c r="N3997" s="4" t="s">
        <v>2259</v>
      </c>
      <c r="O3997" s="4" t="str">
        <f>LEFT(Table2[[#This Row],[Description]],75)</f>
        <v>True Value</v>
      </c>
      <c r="P3997" s="2" t="s">
        <v>2490</v>
      </c>
    </row>
    <row r="3998" spans="1:16" hidden="1">
      <c r="A3998" s="2">
        <v>202012</v>
      </c>
      <c r="B3998" s="3">
        <v>44195</v>
      </c>
      <c r="C3998" s="2" t="s">
        <v>2447</v>
      </c>
      <c r="D3998" s="2" t="s">
        <v>2002</v>
      </c>
      <c r="E3998" s="2">
        <v>35.450000000000003</v>
      </c>
      <c r="F3998" s="2" t="e">
        <f>IF(Table2[[#This Row],[Manual Cat Value]]="",VLOOKUP(Table2[[#This Row],[Description]],'Actuals Lookup'!D:F,3,0),Table2[[#This Row],[Manual Cat Value]])</f>
        <v>#N/A</v>
      </c>
      <c r="J3998" s="2">
        <v>35.450000000000003</v>
      </c>
      <c r="K3998" s="2" t="b">
        <v>0</v>
      </c>
      <c r="L3998" s="2"/>
      <c r="M3998" s="2"/>
      <c r="N3998" s="4" t="s">
        <v>2259</v>
      </c>
      <c r="O3998" s="4" t="str">
        <f>LEFT(Table2[[#This Row],[Description]],75)</f>
        <v>True Value</v>
      </c>
      <c r="P3998" s="2" t="s">
        <v>2490</v>
      </c>
    </row>
    <row r="3999" spans="1:16" hidden="1">
      <c r="A3999" s="2">
        <v>202012</v>
      </c>
      <c r="B3999" s="3">
        <v>44195</v>
      </c>
      <c r="C3999" s="2" t="s">
        <v>2262</v>
      </c>
      <c r="D3999" s="2" t="s">
        <v>2024</v>
      </c>
      <c r="E3999" s="2">
        <v>82.25</v>
      </c>
      <c r="F3999" s="2" t="e">
        <f>IF(Table2[[#This Row],[Manual Cat Value]]="",VLOOKUP(Table2[[#This Row],[Description]],'Actuals Lookup'!D:F,3,0),Table2[[#This Row],[Manual Cat Value]])</f>
        <v>#N/A</v>
      </c>
      <c r="J3999" s="2">
        <v>82.25</v>
      </c>
      <c r="K3999" s="2" t="b">
        <v>0</v>
      </c>
      <c r="L3999" s="2"/>
      <c r="M3999" s="2"/>
      <c r="N3999" s="4" t="s">
        <v>2259</v>
      </c>
      <c r="O3999" s="4" t="str">
        <f>LEFT(Table2[[#This Row],[Description]],75)</f>
        <v>TST LYN 65 6123535501 MN</v>
      </c>
      <c r="P3999" s="2" t="s">
        <v>2281</v>
      </c>
    </row>
    <row r="4000" spans="1:16" hidden="1">
      <c r="A4000" s="2">
        <v>202012</v>
      </c>
      <c r="B4000" s="3">
        <v>44195</v>
      </c>
      <c r="C4000" s="2" t="s">
        <v>2265</v>
      </c>
      <c r="D4000" s="2" t="s">
        <v>2068</v>
      </c>
      <c r="E4000" s="2">
        <v>-63.99</v>
      </c>
      <c r="F4000" s="2" t="e">
        <f>IF(Table2[[#This Row],[Manual Cat Value]]="",VLOOKUP(Table2[[#This Row],[Description]],'Actuals Lookup'!D:F,3,0),Table2[[#This Row],[Manual Cat Value]])</f>
        <v>#N/A</v>
      </c>
      <c r="J4000" s="2">
        <v>63.99</v>
      </c>
      <c r="K4000" s="2" t="b">
        <v>0</v>
      </c>
      <c r="L4000" s="2"/>
      <c r="M4000" s="2"/>
      <c r="N4000" s="4" t="s">
        <v>2273</v>
      </c>
      <c r="O4000" s="4" t="str">
        <f>LEFT(Table2[[#This Row],[Description]],75)</f>
        <v>TYPE TRANSFER ID PAYPALSD11 CO PAYPAL ACH ECC PPD ACH Trace 20152</v>
      </c>
      <c r="P4000" s="2" t="s">
        <v>2322</v>
      </c>
    </row>
    <row r="4001" spans="1:16" hidden="1">
      <c r="A4001" s="2">
        <v>202012</v>
      </c>
      <c r="B4001" s="3">
        <v>44195</v>
      </c>
      <c r="C4001" s="2" t="s">
        <v>2265</v>
      </c>
      <c r="D4001" s="2" t="s">
        <v>2068</v>
      </c>
      <c r="E4001" s="2">
        <v>-63.99</v>
      </c>
      <c r="F4001" s="2" t="e">
        <f>IF(Table2[[#This Row],[Manual Cat Value]]="",VLOOKUP(Table2[[#This Row],[Description]],'Actuals Lookup'!D:F,3,0),Table2[[#This Row],[Manual Cat Value]])</f>
        <v>#N/A</v>
      </c>
      <c r="J4001" s="2">
        <v>63.99</v>
      </c>
      <c r="K4001" s="2" t="b">
        <v>0</v>
      </c>
      <c r="L4001" s="2"/>
      <c r="M4001" s="2"/>
      <c r="N4001" s="4" t="s">
        <v>2273</v>
      </c>
      <c r="O4001" s="4" t="str">
        <f>LEFT(Table2[[#This Row],[Description]],75)</f>
        <v>TYPE TRANSFER ID PAYPALSD11 CO PAYPAL ACH ECC PPD ACH Trace 20152</v>
      </c>
      <c r="P4001" s="2" t="s">
        <v>2322</v>
      </c>
    </row>
    <row r="4002" spans="1:16" hidden="1">
      <c r="A4002" s="2">
        <v>202012</v>
      </c>
      <c r="B4002" s="3">
        <v>44195</v>
      </c>
      <c r="C4002" s="2" t="s">
        <v>2262</v>
      </c>
      <c r="D4002" s="2" t="s">
        <v>2101</v>
      </c>
      <c r="E4002" s="2">
        <v>14.4</v>
      </c>
      <c r="F4002" s="2" t="str">
        <f>IF(Table2[[#This Row],[Manual Cat Value]]="",VLOOKUP(Table2[[#This Row],[Description]],'Actuals Lookup'!D:F,3,0),Table2[[#This Row],[Manual Cat Value]])</f>
        <v>Misc</v>
      </c>
      <c r="J4002" s="2">
        <v>14.4</v>
      </c>
      <c r="K4002" s="2" t="b">
        <v>0</v>
      </c>
      <c r="L4002" s="2"/>
      <c r="M4002" s="2"/>
      <c r="N4002" s="4" t="s">
        <v>2259</v>
      </c>
      <c r="O4002" s="4" t="str">
        <f>LEFT(Table2[[#This Row],[Description]],75)</f>
        <v>USPS</v>
      </c>
      <c r="P4002" s="2" t="s">
        <v>2281</v>
      </c>
    </row>
    <row r="4003" spans="1:16" hidden="1">
      <c r="A4003" s="2">
        <v>202012</v>
      </c>
      <c r="B4003" s="3">
        <v>44195</v>
      </c>
      <c r="C4003" s="2" t="s">
        <v>2265</v>
      </c>
      <c r="D4003" s="2" t="s">
        <v>2109</v>
      </c>
      <c r="E4003" s="2">
        <v>381</v>
      </c>
      <c r="F4003" s="2" t="str">
        <f>IF(Table2[[#This Row],[Manual Cat Value]]="",VLOOKUP(Table2[[#This Row],[Description]],'Actuals Lookup'!D:F,3,0),Table2[[#This Row],[Manual Cat Value]])</f>
        <v>Shopping</v>
      </c>
      <c r="J4003" s="2">
        <v>381</v>
      </c>
      <c r="K4003" s="2" t="b">
        <v>0</v>
      </c>
      <c r="L4003" s="2"/>
      <c r="M4003" s="2"/>
      <c r="N4003" s="4" t="s">
        <v>2259</v>
      </c>
      <c r="O4003" s="4" t="str">
        <f>LEFT(Table2[[#This Row],[Description]],75)</f>
        <v>Venmo</v>
      </c>
      <c r="P4003" s="2" t="s">
        <v>2281</v>
      </c>
    </row>
    <row r="4004" spans="1:16" hidden="1">
      <c r="A4004" s="2">
        <v>202012</v>
      </c>
      <c r="B4004" s="3">
        <v>44195</v>
      </c>
      <c r="C4004" s="2" t="s">
        <v>2265</v>
      </c>
      <c r="D4004" s="2" t="s">
        <v>2109</v>
      </c>
      <c r="E4004" s="2">
        <v>80.98</v>
      </c>
      <c r="F4004" s="2" t="str">
        <f>IF(Table2[[#This Row],[Manual Cat Value]]="",VLOOKUP(Table2[[#This Row],[Description]],'Actuals Lookup'!D:F,3,0),Table2[[#This Row],[Manual Cat Value]])</f>
        <v>Shopping</v>
      </c>
      <c r="J4004" s="2">
        <v>80.98</v>
      </c>
      <c r="K4004" s="2" t="b">
        <v>0</v>
      </c>
      <c r="L4004" s="2"/>
      <c r="M4004" s="2"/>
      <c r="N4004" s="4" t="s">
        <v>2259</v>
      </c>
      <c r="O4004" s="4" t="str">
        <f>LEFT(Table2[[#This Row],[Description]],75)</f>
        <v>Venmo</v>
      </c>
      <c r="P4004" s="2" t="s">
        <v>2281</v>
      </c>
    </row>
    <row r="4005" spans="1:16" hidden="1">
      <c r="A4005" s="2">
        <v>202012</v>
      </c>
      <c r="B4005" s="3">
        <v>44195</v>
      </c>
      <c r="C4005" s="2" t="s">
        <v>2274</v>
      </c>
      <c r="D4005" s="2" t="s">
        <v>2110</v>
      </c>
      <c r="E4005" s="2">
        <v>-165.8</v>
      </c>
      <c r="F4005" s="2" t="e">
        <f>IF(Table2[[#This Row],[Manual Cat Value]]="",VLOOKUP(Table2[[#This Row],[Description]],'Actuals Lookup'!D:F,3,0),Table2[[#This Row],[Manual Cat Value]])</f>
        <v>#N/A</v>
      </c>
      <c r="J4005" s="2">
        <v>165.8</v>
      </c>
      <c r="K4005" s="2" t="b">
        <v>0</v>
      </c>
      <c r="L4005" s="2"/>
      <c r="M4005" s="2"/>
      <c r="N4005" s="4" t="s">
        <v>2273</v>
      </c>
      <c r="O4005" s="4" t="str">
        <f>LEFT(Table2[[#This Row],[Description]],75)</f>
        <v>Venmo Cashout</v>
      </c>
      <c r="P4005" s="2" t="s">
        <v>2281</v>
      </c>
    </row>
    <row r="4006" spans="1:16" hidden="1">
      <c r="A4006" s="2">
        <v>202012</v>
      </c>
      <c r="B4006" s="3">
        <v>44195</v>
      </c>
      <c r="C4006" s="2" t="s">
        <v>2262</v>
      </c>
      <c r="D4006" s="2" t="s">
        <v>2138</v>
      </c>
      <c r="E4006" s="2">
        <v>21.67</v>
      </c>
      <c r="F4006" s="2" t="e">
        <f>IF(Table2[[#This Row],[Manual Cat Value]]="",VLOOKUP(Table2[[#This Row],[Description]],'Actuals Lookup'!D:F,3,0),Table2[[#This Row],[Manual Cat Value]])</f>
        <v>#N/A</v>
      </c>
      <c r="J4006" s="2">
        <v>21.67</v>
      </c>
      <c r="K4006" s="2" t="b">
        <v>0</v>
      </c>
      <c r="L4006" s="2"/>
      <c r="M4006" s="2"/>
      <c r="N4006" s="4" t="s">
        <v>2259</v>
      </c>
      <c r="O4006" s="4" t="str">
        <f>LEFT(Table2[[#This Row],[Description]],75)</f>
        <v>Wal-Mart</v>
      </c>
      <c r="P4006" s="2" t="s">
        <v>2281</v>
      </c>
    </row>
    <row r="4007" spans="1:16" hidden="1">
      <c r="A4007" s="2">
        <v>202012</v>
      </c>
      <c r="B4007" s="3">
        <v>44195</v>
      </c>
      <c r="C4007" s="2" t="s">
        <v>2262</v>
      </c>
      <c r="D4007" s="2" t="s">
        <v>2142</v>
      </c>
      <c r="E4007" s="2">
        <v>183.59</v>
      </c>
      <c r="F4007" s="2" t="str">
        <f>IF(Table2[[#This Row],[Manual Cat Value]]="",VLOOKUP(Table2[[#This Row],[Description]],'Actuals Lookup'!D:F,3,0),Table2[[#This Row],[Manual Cat Value]])</f>
        <v>House</v>
      </c>
      <c r="J4007" s="2">
        <v>183.59</v>
      </c>
      <c r="K4007" s="2" t="b">
        <v>0</v>
      </c>
      <c r="L4007" s="2"/>
      <c r="M4007" s="2"/>
      <c r="N4007" s="4" t="s">
        <v>2259</v>
      </c>
      <c r="O4007" s="4" t="str">
        <f>LEFT(Table2[[#This Row],[Description]],75)</f>
        <v>Wayfair</v>
      </c>
      <c r="P4007" s="2" t="s">
        <v>2427</v>
      </c>
    </row>
    <row r="4008" spans="1:16" hidden="1">
      <c r="A4008" s="2">
        <v>202012</v>
      </c>
      <c r="B4008" s="3">
        <v>44195</v>
      </c>
      <c r="C4008" s="2" t="s">
        <v>2258</v>
      </c>
      <c r="D4008" s="2" t="s">
        <v>458</v>
      </c>
      <c r="E4008" s="2">
        <v>-3.6</v>
      </c>
      <c r="F4008" s="2" t="e">
        <f>IF(Table2[[#This Row],[Manual Cat Value]]="",VLOOKUP(Table2[[#This Row],[Description]],'Actuals Lookup'!D:F,3,0),Table2[[#This Row],[Manual Cat Value]])</f>
        <v>#N/A</v>
      </c>
      <c r="J4008" s="2">
        <v>3.6</v>
      </c>
      <c r="K4008" s="2" t="b">
        <v>0</v>
      </c>
      <c r="L4008" s="2"/>
      <c r="M4008" s="2"/>
      <c r="N4008" s="4" t="s">
        <v>2273</v>
      </c>
      <c r="O4008" s="4" t="str">
        <f>LEFT(Table2[[#This Row],[Description]],75)</f>
        <v>CASHBACK BONUS REDEMPTION payment/STMT CRDT</v>
      </c>
      <c r="P4008" s="2" t="s">
        <v>2304</v>
      </c>
    </row>
    <row r="4009" spans="1:16" hidden="1">
      <c r="A4009" s="2">
        <v>202012</v>
      </c>
      <c r="B4009" s="3">
        <v>44195</v>
      </c>
      <c r="C4009" s="2" t="s">
        <v>2447</v>
      </c>
      <c r="D4009" s="2" t="s">
        <v>458</v>
      </c>
      <c r="E4009" s="2">
        <v>-3.6</v>
      </c>
      <c r="F4009" s="2" t="e">
        <f>IF(Table2[[#This Row],[Manual Cat Value]]="",VLOOKUP(Table2[[#This Row],[Description]],'Actuals Lookup'!D:F,3,0),Table2[[#This Row],[Manual Cat Value]])</f>
        <v>#N/A</v>
      </c>
      <c r="J4009" s="2">
        <v>3.6</v>
      </c>
      <c r="K4009" s="2" t="b">
        <v>0</v>
      </c>
      <c r="L4009" s="2"/>
      <c r="M4009" s="2"/>
      <c r="N4009" s="4" t="s">
        <v>2273</v>
      </c>
      <c r="O4009" s="4" t="str">
        <f>LEFT(Table2[[#This Row],[Description]],75)</f>
        <v>CASHBACK BONUS REDEMPTION payment/STMT CRDT</v>
      </c>
      <c r="P4009" s="2" t="s">
        <v>2304</v>
      </c>
    </row>
    <row r="4010" spans="1:16" hidden="1">
      <c r="A4010" s="2">
        <v>202012</v>
      </c>
      <c r="B4010" s="3">
        <v>44195</v>
      </c>
      <c r="C4010" s="2" t="s">
        <v>2265</v>
      </c>
      <c r="D4010" s="2" t="s">
        <v>755</v>
      </c>
      <c r="E4010" s="2">
        <v>346.51</v>
      </c>
      <c r="F4010" s="2" t="e">
        <f>IF(Table2[[#This Row],[Manual Cat Value]]="",VLOOKUP(Table2[[#This Row],[Description]],'Actuals Lookup'!D:F,3,0),Table2[[#This Row],[Manual Cat Value]])</f>
        <v>#N/A</v>
      </c>
      <c r="J4010" s="2">
        <v>346.51</v>
      </c>
      <c r="K4010" s="2" t="b">
        <v>0</v>
      </c>
      <c r="L4010" s="2"/>
      <c r="M4010" s="2"/>
      <c r="N4010" s="4" t="s">
        <v>2259</v>
      </c>
      <c r="O4010" s="4" t="str">
        <f>LEFT(Table2[[#This Row],[Description]],75)</f>
        <v>DISCOVER TYPE EPAYMENT ID CO DISCOVER ACH ECC WEB ACH Trace 24810</v>
      </c>
      <c r="P4010" s="2" t="s">
        <v>2293</v>
      </c>
    </row>
    <row r="4011" spans="1:16" hidden="1">
      <c r="A4011" s="2">
        <v>202012</v>
      </c>
      <c r="B4011" s="3">
        <v>44195</v>
      </c>
      <c r="C4011" s="2" t="s">
        <v>2265</v>
      </c>
      <c r="D4011" s="2" t="s">
        <v>766</v>
      </c>
      <c r="E4011" s="2">
        <v>163.80000000000001</v>
      </c>
      <c r="F4011" s="2" t="e">
        <f>IF(Table2[[#This Row],[Manual Cat Value]]="",VLOOKUP(Table2[[#This Row],[Description]],'Actuals Lookup'!D:F,3,0),Table2[[#This Row],[Manual Cat Value]])</f>
        <v>#N/A</v>
      </c>
      <c r="J4011" s="2">
        <v>163.80000000000001</v>
      </c>
      <c r="K4011" s="2" t="b">
        <v>0</v>
      </c>
      <c r="L4011" s="2"/>
      <c r="M4011" s="2"/>
      <c r="N4011" s="4" t="s">
        <v>2259</v>
      </c>
      <c r="O4011" s="4" t="str">
        <f>LEFT(Table2[[#This Row],[Description]],75)</f>
        <v>DISCOVER TYPE EPAYMENT ID CO DISCOVER ACH ECC WEB ACH Trace 58049</v>
      </c>
      <c r="P4011" s="2" t="s">
        <v>2293</v>
      </c>
    </row>
    <row r="4012" spans="1:16" hidden="1">
      <c r="A4012" s="2">
        <v>202012</v>
      </c>
      <c r="B4012" s="3">
        <v>44195</v>
      </c>
      <c r="C4012" s="2" t="s">
        <v>2258</v>
      </c>
      <c r="D4012" s="2" t="s">
        <v>997</v>
      </c>
      <c r="E4012" s="2">
        <v>-346.51</v>
      </c>
      <c r="F4012" s="2" t="str">
        <f>IF(Table2[[#This Row],[Manual Cat Value]]="",VLOOKUP(Table2[[#This Row],[Description]],'Actuals Lookup'!D:F,3,0),Table2[[#This Row],[Manual Cat Value]])</f>
        <v>Delete</v>
      </c>
      <c r="J4012" s="2">
        <v>346.51</v>
      </c>
      <c r="K4012" s="2" t="b">
        <v>0</v>
      </c>
      <c r="L4012" s="2"/>
      <c r="M4012" s="2"/>
      <c r="N4012" s="4" t="s">
        <v>2273</v>
      </c>
      <c r="O4012" s="4" t="str">
        <f>LEFT(Table2[[#This Row],[Description]],75)</f>
        <v>INTERNET PAYMENT - THANK YOU</v>
      </c>
      <c r="P4012" s="2" t="s">
        <v>2291</v>
      </c>
    </row>
    <row r="4013" spans="1:16" hidden="1">
      <c r="A4013" s="2">
        <v>202012</v>
      </c>
      <c r="B4013" s="3">
        <v>44195</v>
      </c>
      <c r="C4013" s="2" t="s">
        <v>2258</v>
      </c>
      <c r="D4013" s="2" t="s">
        <v>997</v>
      </c>
      <c r="E4013" s="2">
        <v>-163.80000000000001</v>
      </c>
      <c r="F4013" s="2" t="str">
        <f>IF(Table2[[#This Row],[Manual Cat Value]]="",VLOOKUP(Table2[[#This Row],[Description]],'Actuals Lookup'!D:F,3,0),Table2[[#This Row],[Manual Cat Value]])</f>
        <v>Delete</v>
      </c>
      <c r="J4013" s="2">
        <v>163.80000000000001</v>
      </c>
      <c r="K4013" s="2" t="b">
        <v>0</v>
      </c>
      <c r="L4013" s="2"/>
      <c r="M4013" s="2"/>
      <c r="N4013" s="4" t="s">
        <v>2273</v>
      </c>
      <c r="O4013" s="4" t="str">
        <f>LEFT(Table2[[#This Row],[Description]],75)</f>
        <v>INTERNET PAYMENT - THANK YOU</v>
      </c>
      <c r="P4013" s="2" t="s">
        <v>2291</v>
      </c>
    </row>
    <row r="4014" spans="1:16" hidden="1">
      <c r="A4014" s="2">
        <v>202012</v>
      </c>
      <c r="B4014" s="3">
        <v>44195</v>
      </c>
      <c r="C4014" s="2" t="s">
        <v>2447</v>
      </c>
      <c r="D4014" s="2" t="s">
        <v>997</v>
      </c>
      <c r="E4014" s="2">
        <v>-346.51</v>
      </c>
      <c r="F4014" s="2" t="str">
        <f>IF(Table2[[#This Row],[Manual Cat Value]]="",VLOOKUP(Table2[[#This Row],[Description]],'Actuals Lookup'!D:F,3,0),Table2[[#This Row],[Manual Cat Value]])</f>
        <v>Delete</v>
      </c>
      <c r="J4014" s="2">
        <v>346.51</v>
      </c>
      <c r="K4014" s="2" t="b">
        <v>0</v>
      </c>
      <c r="L4014" s="2"/>
      <c r="M4014" s="2"/>
      <c r="N4014" s="4" t="s">
        <v>2273</v>
      </c>
      <c r="O4014" s="4" t="str">
        <f>LEFT(Table2[[#This Row],[Description]],75)</f>
        <v>INTERNET PAYMENT - THANK YOU</v>
      </c>
      <c r="P4014" s="2" t="s">
        <v>2291</v>
      </c>
    </row>
    <row r="4015" spans="1:16" hidden="1">
      <c r="A4015" s="2">
        <v>202012</v>
      </c>
      <c r="B4015" s="3">
        <v>44195</v>
      </c>
      <c r="C4015" s="2" t="s">
        <v>2447</v>
      </c>
      <c r="D4015" s="2" t="s">
        <v>997</v>
      </c>
      <c r="E4015" s="2">
        <v>-163.80000000000001</v>
      </c>
      <c r="F4015" s="2" t="str">
        <f>IF(Table2[[#This Row],[Manual Cat Value]]="",VLOOKUP(Table2[[#This Row],[Description]],'Actuals Lookup'!D:F,3,0),Table2[[#This Row],[Manual Cat Value]])</f>
        <v>Delete</v>
      </c>
      <c r="J4015" s="2">
        <v>163.80000000000001</v>
      </c>
      <c r="K4015" s="2" t="b">
        <v>0</v>
      </c>
      <c r="L4015" s="2"/>
      <c r="M4015" s="2"/>
      <c r="N4015" s="4" t="s">
        <v>2273</v>
      </c>
      <c r="O4015" s="4" t="str">
        <f>LEFT(Table2[[#This Row],[Description]],75)</f>
        <v>INTERNET PAYMENT - THANK YOU</v>
      </c>
      <c r="P4015" s="2" t="s">
        <v>2291</v>
      </c>
    </row>
    <row r="4016" spans="1:16" hidden="1">
      <c r="A4016" s="2">
        <v>202012</v>
      </c>
      <c r="B4016" s="3">
        <v>44195</v>
      </c>
      <c r="C4016" s="2" t="s">
        <v>2262</v>
      </c>
      <c r="D4016" s="2" t="s">
        <v>1423</v>
      </c>
      <c r="E4016" s="2">
        <v>-434.97</v>
      </c>
      <c r="F4016" s="2" t="e">
        <f>IF(Table2[[#This Row],[Manual Cat Value]]="",VLOOKUP(Table2[[#This Row],[Description]],'Actuals Lookup'!D:F,3,0),Table2[[#This Row],[Manual Cat Value]])</f>
        <v>#N/A</v>
      </c>
      <c r="J4016" s="2">
        <v>434.97</v>
      </c>
      <c r="K4016" s="2" t="b">
        <v>0</v>
      </c>
      <c r="L4016" s="2"/>
      <c r="M4016" s="2"/>
      <c r="N4016" s="4" t="s">
        <v>2273</v>
      </c>
      <c r="O4016" s="4" t="str">
        <f>LEFT(Table2[[#This Row],[Description]],75)</f>
        <v>PAYMENT THANK YOU</v>
      </c>
      <c r="P4016" s="2" t="s">
        <v>2391</v>
      </c>
    </row>
    <row r="4017" spans="1:16" hidden="1">
      <c r="A4017" s="2">
        <v>202012</v>
      </c>
      <c r="B4017" s="3">
        <v>44195</v>
      </c>
      <c r="C4017" s="2" t="s">
        <v>2262</v>
      </c>
      <c r="D4017" s="2" t="s">
        <v>1423</v>
      </c>
      <c r="E4017" s="2">
        <v>-662.51</v>
      </c>
      <c r="F4017" s="2" t="e">
        <f>IF(Table2[[#This Row],[Manual Cat Value]]="",VLOOKUP(Table2[[#This Row],[Description]],'Actuals Lookup'!D:F,3,0),Table2[[#This Row],[Manual Cat Value]])</f>
        <v>#N/A</v>
      </c>
      <c r="J4017" s="2">
        <v>662.51</v>
      </c>
      <c r="K4017" s="2" t="b">
        <v>0</v>
      </c>
      <c r="L4017" s="2"/>
      <c r="M4017" s="2"/>
      <c r="N4017" s="4" t="s">
        <v>2273</v>
      </c>
      <c r="O4017" s="4" t="str">
        <f>LEFT(Table2[[#This Row],[Description]],75)</f>
        <v>PAYMENT THANK YOU</v>
      </c>
      <c r="P4017" s="2" t="s">
        <v>2391</v>
      </c>
    </row>
    <row r="4018" spans="1:16" hidden="1">
      <c r="A4018" s="2">
        <v>202012</v>
      </c>
      <c r="B4018" s="3">
        <v>44195</v>
      </c>
      <c r="C4018" s="2" t="s">
        <v>2262</v>
      </c>
      <c r="D4018" s="2" t="s">
        <v>1423</v>
      </c>
      <c r="E4018" s="2">
        <v>-1113.33</v>
      </c>
      <c r="F4018" s="2" t="e">
        <f>IF(Table2[[#This Row],[Manual Cat Value]]="",VLOOKUP(Table2[[#This Row],[Description]],'Actuals Lookup'!D:F,3,0),Table2[[#This Row],[Manual Cat Value]])</f>
        <v>#N/A</v>
      </c>
      <c r="J4018" s="2">
        <v>1113.33</v>
      </c>
      <c r="K4018" s="2" t="b">
        <v>0</v>
      </c>
      <c r="L4018" s="2"/>
      <c r="M4018" s="2"/>
      <c r="N4018" s="4" t="s">
        <v>2273</v>
      </c>
      <c r="O4018" s="4" t="str">
        <f>LEFT(Table2[[#This Row],[Description]],75)</f>
        <v>PAYMENT THANK YOU</v>
      </c>
      <c r="P4018" s="2" t="s">
        <v>2391</v>
      </c>
    </row>
    <row r="4019" spans="1:16" hidden="1">
      <c r="A4019" s="2">
        <v>202012</v>
      </c>
      <c r="B4019" s="3">
        <v>44195</v>
      </c>
      <c r="C4019" s="2" t="s">
        <v>2262</v>
      </c>
      <c r="D4019" s="2" t="s">
        <v>1423</v>
      </c>
      <c r="E4019" s="2">
        <v>-111.84</v>
      </c>
      <c r="F4019" s="2" t="e">
        <f>IF(Table2[[#This Row],[Manual Cat Value]]="",VLOOKUP(Table2[[#This Row],[Description]],'Actuals Lookup'!D:F,3,0),Table2[[#This Row],[Manual Cat Value]])</f>
        <v>#N/A</v>
      </c>
      <c r="J4019" s="2">
        <v>111.84</v>
      </c>
      <c r="K4019" s="2" t="b">
        <v>0</v>
      </c>
      <c r="L4019" s="2"/>
      <c r="M4019" s="2"/>
      <c r="N4019" s="4" t="s">
        <v>2273</v>
      </c>
      <c r="O4019" s="4" t="str">
        <f>LEFT(Table2[[#This Row],[Description]],75)</f>
        <v>PAYMENT THANK YOU</v>
      </c>
      <c r="P4019" s="2" t="s">
        <v>2391</v>
      </c>
    </row>
    <row r="4020" spans="1:16" hidden="1">
      <c r="A4020" s="2">
        <v>202012</v>
      </c>
      <c r="B4020" s="3">
        <v>44195</v>
      </c>
      <c r="C4020" s="2" t="s">
        <v>2262</v>
      </c>
      <c r="D4020" s="2" t="s">
        <v>1423</v>
      </c>
      <c r="E4020" s="2">
        <v>-217.03</v>
      </c>
      <c r="F4020" s="2" t="e">
        <f>IF(Table2[[#This Row],[Manual Cat Value]]="",VLOOKUP(Table2[[#This Row],[Description]],'Actuals Lookup'!D:F,3,0),Table2[[#This Row],[Manual Cat Value]])</f>
        <v>#N/A</v>
      </c>
      <c r="J4020" s="2">
        <v>217.03</v>
      </c>
      <c r="K4020" s="2" t="b">
        <v>0</v>
      </c>
      <c r="L4020" s="2"/>
      <c r="M4020" s="2"/>
      <c r="N4020" s="4" t="s">
        <v>2273</v>
      </c>
      <c r="O4020" s="4" t="str">
        <f>LEFT(Table2[[#This Row],[Description]],75)</f>
        <v>PAYMENT THANK YOU</v>
      </c>
      <c r="P4020" s="2" t="s">
        <v>2391</v>
      </c>
    </row>
    <row r="4021" spans="1:16" hidden="1">
      <c r="A4021" s="2">
        <v>202012</v>
      </c>
      <c r="B4021" s="3">
        <v>44195</v>
      </c>
      <c r="C4021" s="2" t="s">
        <v>2265</v>
      </c>
      <c r="D4021" s="2" t="s">
        <v>2176</v>
      </c>
      <c r="E4021" s="2">
        <v>434.97</v>
      </c>
      <c r="F4021" s="2" t="e">
        <f>IF(Table2[[#This Row],[Manual Cat Value]]="",VLOOKUP(Table2[[#This Row],[Description]],'Actuals Lookup'!D:F,3,0),Table2[[#This Row],[Manual Cat Value]])</f>
        <v>#N/A</v>
      </c>
      <c r="J4021" s="2">
        <v>434.97</v>
      </c>
      <c r="K4021" s="2" t="b">
        <v>0</v>
      </c>
      <c r="L4021" s="2"/>
      <c r="M4021" s="2"/>
      <c r="N4021" s="4" t="s">
        <v>2259</v>
      </c>
      <c r="O4021" s="4" t="str">
        <f>LEFT(Table2[[#This Row],[Description]],75)</f>
        <v>Withdrawal Home payment to card 979181</v>
      </c>
      <c r="P4021" s="2" t="s">
        <v>2349</v>
      </c>
    </row>
    <row r="4022" spans="1:16" hidden="1">
      <c r="A4022" s="2">
        <v>202012</v>
      </c>
      <c r="B4022" s="3">
        <v>44195</v>
      </c>
      <c r="C4022" s="2" t="s">
        <v>2265</v>
      </c>
      <c r="D4022" s="2" t="s">
        <v>2176</v>
      </c>
      <c r="E4022" s="2">
        <v>662.51</v>
      </c>
      <c r="F4022" s="2" t="e">
        <f>IF(Table2[[#This Row],[Manual Cat Value]]="",VLOOKUP(Table2[[#This Row],[Description]],'Actuals Lookup'!D:F,3,0),Table2[[#This Row],[Manual Cat Value]])</f>
        <v>#N/A</v>
      </c>
      <c r="J4022" s="2">
        <v>662.51</v>
      </c>
      <c r="K4022" s="2" t="b">
        <v>0</v>
      </c>
      <c r="L4022" s="2"/>
      <c r="M4022" s="2"/>
      <c r="N4022" s="4" t="s">
        <v>2259</v>
      </c>
      <c r="O4022" s="4" t="str">
        <f>LEFT(Table2[[#This Row],[Description]],75)</f>
        <v>Withdrawal Home payment to card 979181</v>
      </c>
      <c r="P4022" s="2" t="s">
        <v>2349</v>
      </c>
    </row>
    <row r="4023" spans="1:16" hidden="1">
      <c r="A4023" s="2">
        <v>202012</v>
      </c>
      <c r="B4023" s="3">
        <v>44195</v>
      </c>
      <c r="C4023" s="2" t="s">
        <v>2265</v>
      </c>
      <c r="D4023" s="2" t="s">
        <v>2176</v>
      </c>
      <c r="E4023" s="2">
        <v>1113.33</v>
      </c>
      <c r="F4023" s="2" t="e">
        <f>IF(Table2[[#This Row],[Manual Cat Value]]="",VLOOKUP(Table2[[#This Row],[Description]],'Actuals Lookup'!D:F,3,0),Table2[[#This Row],[Manual Cat Value]])</f>
        <v>#N/A</v>
      </c>
      <c r="J4023" s="2">
        <v>1113.33</v>
      </c>
      <c r="K4023" s="2" t="b">
        <v>0</v>
      </c>
      <c r="L4023" s="2"/>
      <c r="M4023" s="2"/>
      <c r="N4023" s="4" t="s">
        <v>2259</v>
      </c>
      <c r="O4023" s="4" t="str">
        <f>LEFT(Table2[[#This Row],[Description]],75)</f>
        <v>Withdrawal Home payment to card 979181</v>
      </c>
      <c r="P4023" s="2" t="s">
        <v>2349</v>
      </c>
    </row>
    <row r="4024" spans="1:16" hidden="1">
      <c r="A4024" s="2">
        <v>202012</v>
      </c>
      <c r="B4024" s="3">
        <v>44195</v>
      </c>
      <c r="C4024" s="2" t="s">
        <v>2265</v>
      </c>
      <c r="D4024" s="2" t="s">
        <v>2176</v>
      </c>
      <c r="E4024" s="2">
        <v>111.84</v>
      </c>
      <c r="F4024" s="2" t="e">
        <f>IF(Table2[[#This Row],[Manual Cat Value]]="",VLOOKUP(Table2[[#This Row],[Description]],'Actuals Lookup'!D:F,3,0),Table2[[#This Row],[Manual Cat Value]])</f>
        <v>#N/A</v>
      </c>
      <c r="J4024" s="2">
        <v>111.84</v>
      </c>
      <c r="K4024" s="2" t="b">
        <v>0</v>
      </c>
      <c r="L4024" s="2"/>
      <c r="M4024" s="2"/>
      <c r="N4024" s="4" t="s">
        <v>2259</v>
      </c>
      <c r="O4024" s="4" t="str">
        <f>LEFT(Table2[[#This Row],[Description]],75)</f>
        <v>Withdrawal Home payment to card 979181</v>
      </c>
      <c r="P4024" s="2" t="s">
        <v>2349</v>
      </c>
    </row>
    <row r="4025" spans="1:16" hidden="1">
      <c r="A4025" s="2">
        <v>202012</v>
      </c>
      <c r="B4025" s="3">
        <v>44195</v>
      </c>
      <c r="C4025" s="2" t="s">
        <v>2265</v>
      </c>
      <c r="D4025" s="2" t="s">
        <v>2176</v>
      </c>
      <c r="E4025" s="2">
        <v>217.03</v>
      </c>
      <c r="F4025" s="2" t="e">
        <f>IF(Table2[[#This Row],[Manual Cat Value]]="",VLOOKUP(Table2[[#This Row],[Description]],'Actuals Lookup'!D:F,3,0),Table2[[#This Row],[Manual Cat Value]])</f>
        <v>#N/A</v>
      </c>
      <c r="J4025" s="2">
        <v>217.03</v>
      </c>
      <c r="K4025" s="2" t="b">
        <v>0</v>
      </c>
      <c r="L4025" s="2"/>
      <c r="M4025" s="2"/>
      <c r="N4025" s="4" t="s">
        <v>2259</v>
      </c>
      <c r="O4025" s="4" t="str">
        <f>LEFT(Table2[[#This Row],[Description]],75)</f>
        <v>Withdrawal Home payment to card 979181</v>
      </c>
      <c r="P4025" s="2" t="s">
        <v>2349</v>
      </c>
    </row>
    <row r="4026" spans="1:16" hidden="1">
      <c r="A4026" s="2">
        <v>202101</v>
      </c>
      <c r="B4026" s="3">
        <v>44197</v>
      </c>
      <c r="C4026" s="2" t="s">
        <v>2447</v>
      </c>
      <c r="D4026" s="2" t="s">
        <v>114</v>
      </c>
      <c r="E4026" s="2">
        <v>4.28</v>
      </c>
      <c r="F4026" s="2" t="str">
        <f>IF(Table2[[#This Row],[Manual Cat Value]]="",VLOOKUP(Table2[[#This Row],[Description]],'Actuals Lookup'!D:F,3,0),Table2[[#This Row],[Manual Cat Value]])</f>
        <v>Entertainment</v>
      </c>
      <c r="J4026" s="2">
        <v>4.28</v>
      </c>
      <c r="K4026" s="2" t="b">
        <v>0</v>
      </c>
      <c r="L4026" s="2"/>
      <c r="M4026" s="2"/>
      <c r="N4026" s="4" t="s">
        <v>2259</v>
      </c>
      <c r="O4026" s="4" t="str">
        <f>LEFT(Table2[[#This Row],[Description]],75)</f>
        <v>Amazon Music</v>
      </c>
      <c r="P4026" s="2" t="s">
        <v>2466</v>
      </c>
    </row>
    <row r="4027" spans="1:16" hidden="1">
      <c r="A4027" s="2">
        <v>202101</v>
      </c>
      <c r="B4027" s="3">
        <v>44197</v>
      </c>
      <c r="C4027" s="2" t="s">
        <v>2258</v>
      </c>
      <c r="D4027" s="2" t="s">
        <v>114</v>
      </c>
      <c r="E4027" s="2">
        <v>4.28</v>
      </c>
      <c r="F4027" s="2" t="str">
        <f>IF(Table2[[#This Row],[Manual Cat Value]]="",VLOOKUP(Table2[[#This Row],[Description]],'Actuals Lookup'!D:F,3,0),Table2[[#This Row],[Manual Cat Value]])</f>
        <v>Entertainment</v>
      </c>
      <c r="J4027" s="2">
        <v>4.28</v>
      </c>
      <c r="K4027" s="2" t="b">
        <v>0</v>
      </c>
      <c r="L4027" s="2"/>
      <c r="M4027" s="2"/>
      <c r="N4027" s="4" t="s">
        <v>2259</v>
      </c>
      <c r="O4027" s="4" t="str">
        <f>LEFT(Table2[[#This Row],[Description]],75)</f>
        <v>Amazon Music</v>
      </c>
      <c r="P4027" s="2" t="s">
        <v>2466</v>
      </c>
    </row>
    <row r="4028" spans="1:16" hidden="1">
      <c r="A4028" s="2">
        <v>202101</v>
      </c>
      <c r="B4028" s="3">
        <v>44197</v>
      </c>
      <c r="C4028" s="2" t="s">
        <v>2305</v>
      </c>
      <c r="D4028" s="2" t="s">
        <v>670</v>
      </c>
      <c r="E4028" s="2">
        <v>-225.44</v>
      </c>
      <c r="F4028" s="2" t="e">
        <f>IF(Table2[[#This Row],[Manual Cat Value]]="",VLOOKUP(Table2[[#This Row],[Description]],'Actuals Lookup'!D:F,3,0),Table2[[#This Row],[Manual Cat Value]])</f>
        <v>#N/A</v>
      </c>
      <c r="J4028" s="2">
        <v>225.44</v>
      </c>
      <c r="K4028" s="2" t="b">
        <v>0</v>
      </c>
      <c r="L4028" s="2"/>
      <c r="M4028" s="2"/>
      <c r="N4028" s="4" t="s">
        <v>2273</v>
      </c>
      <c r="O4028" s="4" t="str">
        <f>LEFT(Table2[[#This Row],[Description]],75)</f>
        <v>Cred Rebate</v>
      </c>
      <c r="P4028" s="2" t="s">
        <v>2443</v>
      </c>
    </row>
    <row r="4029" spans="1:16" hidden="1">
      <c r="A4029" s="2">
        <v>202101</v>
      </c>
      <c r="B4029" s="3">
        <v>44197</v>
      </c>
      <c r="C4029" s="2" t="s">
        <v>2314</v>
      </c>
      <c r="D4029" s="2" t="s">
        <v>859</v>
      </c>
      <c r="E4029" s="2">
        <v>-578.80999999999995</v>
      </c>
      <c r="F4029" s="2" t="e">
        <f>IF(Table2[[#This Row],[Manual Cat Value]]="",VLOOKUP(Table2[[#This Row],[Description]],'Actuals Lookup'!D:F,3,0),Table2[[#This Row],[Manual Cat Value]])</f>
        <v>#N/A</v>
      </c>
      <c r="J4029" s="2">
        <v>578.80999999999995</v>
      </c>
      <c r="K4029" s="2" t="b">
        <v>0</v>
      </c>
      <c r="L4029" s="2"/>
      <c r="M4029" s="2"/>
      <c r="N4029" s="4" t="s">
        <v>2273</v>
      </c>
      <c r="O4029" s="4" t="str">
        <f>LEFT(Table2[[#This Row],[Description]],75)</f>
        <v>From Share 70</v>
      </c>
      <c r="P4029" s="2" t="s">
        <v>2496</v>
      </c>
    </row>
    <row r="4030" spans="1:16" hidden="1">
      <c r="A4030" s="2">
        <v>202101</v>
      </c>
      <c r="B4030" s="3">
        <v>44197</v>
      </c>
      <c r="C4030" s="2" t="s">
        <v>2262</v>
      </c>
      <c r="D4030" s="2" t="s">
        <v>1563</v>
      </c>
      <c r="E4030" s="2">
        <v>99.56</v>
      </c>
      <c r="F4030" s="2" t="e">
        <f>IF(Table2[[#This Row],[Manual Cat Value]]="",VLOOKUP(Table2[[#This Row],[Description]],'Actuals Lookup'!D:F,3,0),Table2[[#This Row],[Manual Cat Value]])</f>
        <v>#N/A</v>
      </c>
      <c r="J4030" s="2">
        <v>99.56</v>
      </c>
      <c r="K4030" s="2" t="b">
        <v>0</v>
      </c>
      <c r="L4030" s="2"/>
      <c r="M4030" s="2"/>
      <c r="N4030" s="4" t="s">
        <v>2259</v>
      </c>
      <c r="O4030" s="4" t="str">
        <f>LEFT(Table2[[#This Row],[Description]],75)</f>
        <v>RED WAGON RED WAGON STRIPECOM MN</v>
      </c>
      <c r="P4030" s="2" t="s">
        <v>2532</v>
      </c>
    </row>
    <row r="4031" spans="1:16" hidden="1">
      <c r="A4031" s="2">
        <v>202101</v>
      </c>
      <c r="B4031" s="3">
        <v>44197</v>
      </c>
      <c r="C4031" s="2" t="s">
        <v>2265</v>
      </c>
      <c r="D4031" s="2" t="s">
        <v>1877</v>
      </c>
      <c r="E4031" s="2">
        <v>618.65</v>
      </c>
      <c r="F4031" s="2" t="e">
        <f>IF(Table2[[#This Row],[Manual Cat Value]]="",VLOOKUP(Table2[[#This Row],[Description]],'Actuals Lookup'!D:F,3,0),Table2[[#This Row],[Manual Cat Value]])</f>
        <v>#N/A</v>
      </c>
      <c r="J4031" s="2">
        <v>618.65</v>
      </c>
      <c r="K4031" s="2" t="b">
        <v>0</v>
      </c>
      <c r="L4031" s="2"/>
      <c r="M4031" s="2"/>
      <c r="N4031" s="4" t="s">
        <v>2259</v>
      </c>
      <c r="O4031" s="4" t="str">
        <f>LEFT(Table2[[#This Row],[Description]],75)</f>
        <v>To Loan 02</v>
      </c>
      <c r="P4031" s="2" t="s">
        <v>2316</v>
      </c>
    </row>
    <row r="4032" spans="1:16" hidden="1">
      <c r="A4032" s="2">
        <v>202101</v>
      </c>
      <c r="B4032" s="3">
        <v>44198</v>
      </c>
      <c r="C4032" s="2" t="s">
        <v>2447</v>
      </c>
      <c r="D4032" s="2" t="s">
        <v>338</v>
      </c>
      <c r="E4032" s="2">
        <v>2.29</v>
      </c>
      <c r="F4032" s="2" t="e">
        <f>IF(Table2[[#This Row],[Manual Cat Value]]="",VLOOKUP(Table2[[#This Row],[Description]],'Actuals Lookup'!D:F,3,0),Table2[[#This Row],[Manual Cat Value]])</f>
        <v>#N/A</v>
      </c>
      <c r="J4032" s="2">
        <v>2.29</v>
      </c>
      <c r="K4032" s="2" t="b">
        <v>0</v>
      </c>
      <c r="L4032" s="2"/>
      <c r="M4032" s="2"/>
      <c r="N4032" s="4" t="s">
        <v>2259</v>
      </c>
      <c r="O4032" s="4" t="str">
        <f>LEFT(Table2[[#This Row],[Description]],75)</f>
        <v>Byerly's</v>
      </c>
      <c r="P4032" s="2" t="s">
        <v>2364</v>
      </c>
    </row>
    <row r="4033" spans="1:16" hidden="1">
      <c r="A4033" s="2">
        <v>202101</v>
      </c>
      <c r="B4033" s="3">
        <v>44198</v>
      </c>
      <c r="C4033" s="2" t="s">
        <v>2258</v>
      </c>
      <c r="D4033" s="2" t="s">
        <v>338</v>
      </c>
      <c r="E4033" s="2">
        <v>2.29</v>
      </c>
      <c r="F4033" s="2" t="e">
        <f>IF(Table2[[#This Row],[Manual Cat Value]]="",VLOOKUP(Table2[[#This Row],[Description]],'Actuals Lookup'!D:F,3,0),Table2[[#This Row],[Manual Cat Value]])</f>
        <v>#N/A</v>
      </c>
      <c r="J4033" s="2">
        <v>2.29</v>
      </c>
      <c r="K4033" s="2" t="b">
        <v>0</v>
      </c>
      <c r="L4033" s="2"/>
      <c r="M4033" s="2"/>
      <c r="N4033" s="4" t="s">
        <v>2259</v>
      </c>
      <c r="O4033" s="4" t="str">
        <f>LEFT(Table2[[#This Row],[Description]],75)</f>
        <v>Byerly's</v>
      </c>
      <c r="P4033" s="2" t="s">
        <v>2364</v>
      </c>
    </row>
    <row r="4034" spans="1:16" hidden="1">
      <c r="A4034" s="2">
        <v>202101</v>
      </c>
      <c r="B4034" s="3">
        <v>44199</v>
      </c>
      <c r="C4034" s="2" t="s">
        <v>2447</v>
      </c>
      <c r="D4034" s="2" t="s">
        <v>997</v>
      </c>
      <c r="E4034" s="2">
        <v>-432.09</v>
      </c>
      <c r="F4034" s="2" t="str">
        <f>IF(Table2[[#This Row],[Manual Cat Value]]="",VLOOKUP(Table2[[#This Row],[Description]],'Actuals Lookup'!D:F,3,0),Table2[[#This Row],[Manual Cat Value]])</f>
        <v>Delete</v>
      </c>
      <c r="J4034" s="2">
        <v>432.09</v>
      </c>
      <c r="K4034" s="2" t="b">
        <v>0</v>
      </c>
      <c r="L4034" s="2"/>
      <c r="M4034" s="2"/>
      <c r="N4034" s="4" t="s">
        <v>2273</v>
      </c>
      <c r="O4034" s="4" t="str">
        <f>LEFT(Table2[[#This Row],[Description]],75)</f>
        <v>INTERNET PAYMENT - THANK YOU</v>
      </c>
      <c r="P4034" s="2" t="s">
        <v>2291</v>
      </c>
    </row>
    <row r="4035" spans="1:16" hidden="1">
      <c r="A4035" s="2">
        <v>202101</v>
      </c>
      <c r="B4035" s="3">
        <v>44199</v>
      </c>
      <c r="C4035" s="2" t="s">
        <v>2258</v>
      </c>
      <c r="D4035" s="2" t="s">
        <v>997</v>
      </c>
      <c r="E4035" s="2">
        <v>-432.09</v>
      </c>
      <c r="F4035" s="2" t="str">
        <f>IF(Table2[[#This Row],[Manual Cat Value]]="",VLOOKUP(Table2[[#This Row],[Description]],'Actuals Lookup'!D:F,3,0),Table2[[#This Row],[Manual Cat Value]])</f>
        <v>Delete</v>
      </c>
      <c r="J4035" s="2">
        <v>432.09</v>
      </c>
      <c r="K4035" s="2" t="b">
        <v>0</v>
      </c>
      <c r="L4035" s="2"/>
      <c r="M4035" s="2"/>
      <c r="N4035" s="4" t="s">
        <v>2273</v>
      </c>
      <c r="O4035" s="4" t="str">
        <f>LEFT(Table2[[#This Row],[Description]],75)</f>
        <v>INTERNET PAYMENT - THANK YOU</v>
      </c>
      <c r="P4035" s="2" t="s">
        <v>2291</v>
      </c>
    </row>
    <row r="4036" spans="1:16" hidden="1">
      <c r="A4036" s="2">
        <v>202101</v>
      </c>
      <c r="B4036" s="3">
        <v>44199</v>
      </c>
      <c r="C4036" s="2" t="s">
        <v>2262</v>
      </c>
      <c r="D4036" s="2" t="s">
        <v>338</v>
      </c>
      <c r="E4036" s="2">
        <v>70.06</v>
      </c>
      <c r="F4036" s="2" t="e">
        <f>IF(Table2[[#This Row],[Manual Cat Value]]="",VLOOKUP(Table2[[#This Row],[Description]],'Actuals Lookup'!D:F,3,0),Table2[[#This Row],[Manual Cat Value]])</f>
        <v>#N/A</v>
      </c>
      <c r="J4036" s="2">
        <v>70.06</v>
      </c>
      <c r="K4036" s="2" t="b">
        <v>0</v>
      </c>
      <c r="L4036" s="2"/>
      <c r="M4036" s="2"/>
      <c r="N4036" s="4" t="s">
        <v>2259</v>
      </c>
      <c r="O4036" s="4" t="str">
        <f>LEFT(Table2[[#This Row],[Description]],75)</f>
        <v>Byerly's</v>
      </c>
      <c r="P4036" s="2" t="s">
        <v>2364</v>
      </c>
    </row>
    <row r="4037" spans="1:16" hidden="1">
      <c r="A4037" s="2">
        <v>202101</v>
      </c>
      <c r="B4037" s="3">
        <v>44199</v>
      </c>
      <c r="C4037" s="2" t="s">
        <v>2265</v>
      </c>
      <c r="D4037" s="2" t="s">
        <v>425</v>
      </c>
      <c r="E4037" s="2">
        <v>-75</v>
      </c>
      <c r="F4037" s="2" t="e">
        <f>IF(Table2[[#This Row],[Manual Cat Value]]="",VLOOKUP(Table2[[#This Row],[Description]],'Actuals Lookup'!D:F,3,0),Table2[[#This Row],[Manual Cat Value]])</f>
        <v>#N/A</v>
      </c>
      <c r="J4037" s="2">
        <v>75</v>
      </c>
      <c r="K4037" s="2" t="b">
        <v>0</v>
      </c>
      <c r="L4037" s="2"/>
      <c r="M4037" s="2"/>
      <c r="N4037" s="4" t="s">
        <v>2273</v>
      </c>
      <c r="O4037" s="4" t="str">
        <f>LEFT(Table2[[#This Row],[Description]],75)</f>
        <v>Cargill Incorpor Type</v>
      </c>
      <c r="P4037" s="2" t="s">
        <v>2282</v>
      </c>
    </row>
    <row r="4038" spans="1:16" hidden="1">
      <c r="A4038" s="2">
        <v>202101</v>
      </c>
      <c r="B4038" s="3">
        <v>44199</v>
      </c>
      <c r="C4038" s="2" t="s">
        <v>2447</v>
      </c>
      <c r="D4038" s="2" t="s">
        <v>684</v>
      </c>
      <c r="E4038" s="2">
        <v>122.37</v>
      </c>
      <c r="F4038" s="2" t="str">
        <f>IF(Table2[[#This Row],[Manual Cat Value]]="",VLOOKUP(Table2[[#This Row],[Description]],'Actuals Lookup'!D:F,3,0),Table2[[#This Row],[Manual Cat Value]])</f>
        <v>Groceries</v>
      </c>
      <c r="J4038" s="2">
        <v>122.37</v>
      </c>
      <c r="K4038" s="2" t="b">
        <v>0</v>
      </c>
      <c r="L4038" s="2"/>
      <c r="M4038" s="2"/>
      <c r="N4038" s="4" t="s">
        <v>2259</v>
      </c>
      <c r="O4038" s="4" t="str">
        <f>LEFT(Table2[[#This Row],[Description]],75)</f>
        <v>Cub Foods</v>
      </c>
      <c r="P4038" s="2" t="s">
        <v>2370</v>
      </c>
    </row>
    <row r="4039" spans="1:16" hidden="1">
      <c r="A4039" s="2">
        <v>202101</v>
      </c>
      <c r="B4039" s="3">
        <v>44199</v>
      </c>
      <c r="C4039" s="2" t="s">
        <v>2258</v>
      </c>
      <c r="D4039" s="2" t="s">
        <v>684</v>
      </c>
      <c r="E4039" s="2">
        <v>122.37</v>
      </c>
      <c r="F4039" s="2" t="str">
        <f>IF(Table2[[#This Row],[Manual Cat Value]]="",VLOOKUP(Table2[[#This Row],[Description]],'Actuals Lookup'!D:F,3,0),Table2[[#This Row],[Manual Cat Value]])</f>
        <v>Groceries</v>
      </c>
      <c r="J4039" s="2">
        <v>122.37</v>
      </c>
      <c r="K4039" s="2" t="b">
        <v>0</v>
      </c>
      <c r="L4039" s="2"/>
      <c r="M4039" s="2"/>
      <c r="N4039" s="4" t="s">
        <v>2259</v>
      </c>
      <c r="O4039" s="4" t="str">
        <f>LEFT(Table2[[#This Row],[Description]],75)</f>
        <v>Cub Foods</v>
      </c>
      <c r="P4039" s="2" t="s">
        <v>2370</v>
      </c>
    </row>
    <row r="4040" spans="1:16" hidden="1">
      <c r="A4040" s="2">
        <v>202101</v>
      </c>
      <c r="B4040" s="3">
        <v>44199</v>
      </c>
      <c r="C4040" s="2" t="s">
        <v>2262</v>
      </c>
      <c r="D4040" s="2" t="s">
        <v>1192</v>
      </c>
      <c r="E4040" s="2">
        <v>91.61</v>
      </c>
      <c r="F4040" s="2" t="e">
        <f>IF(Table2[[#This Row],[Manual Cat Value]]="",VLOOKUP(Table2[[#This Row],[Description]],'Actuals Lookup'!D:F,3,0),Table2[[#This Row],[Manual Cat Value]])</f>
        <v>#N/A</v>
      </c>
      <c r="J4040" s="2">
        <v>91.61</v>
      </c>
      <c r="K4040" s="2" t="b">
        <v>0</v>
      </c>
      <c r="L4040" s="2"/>
      <c r="M4040" s="2"/>
      <c r="N4040" s="4" t="s">
        <v>2259</v>
      </c>
      <c r="O4040" s="4" t="str">
        <f>LEFT(Table2[[#This Row],[Description]],75)</f>
        <v>MERCATOCO MERCATOCO HTTPSWWWMERCNY</v>
      </c>
      <c r="P4040" s="2" t="s">
        <v>2281</v>
      </c>
    </row>
    <row r="4041" spans="1:16" hidden="1">
      <c r="A4041" s="2">
        <v>202101</v>
      </c>
      <c r="B4041" s="3">
        <v>44199</v>
      </c>
      <c r="C4041" s="2" t="s">
        <v>2262</v>
      </c>
      <c r="D4041" s="2" t="s">
        <v>1653</v>
      </c>
      <c r="E4041" s="2">
        <v>174.65</v>
      </c>
      <c r="F4041" s="2" t="e">
        <f>IF(Table2[[#This Row],[Manual Cat Value]]="",VLOOKUP(Table2[[#This Row],[Description]],'Actuals Lookup'!D:F,3,0),Table2[[#This Row],[Manual Cat Value]])</f>
        <v>#N/A</v>
      </c>
      <c r="J4041" s="2">
        <v>174.65</v>
      </c>
      <c r="K4041" s="2" t="b">
        <v>0</v>
      </c>
      <c r="L4041" s="2"/>
      <c r="M4041" s="2"/>
      <c r="N4041" s="4" t="s">
        <v>2259</v>
      </c>
      <c r="O4041" s="4" t="str">
        <f>LEFT(Table2[[#This Row],[Description]],75)</f>
        <v>Sherwin Williams</v>
      </c>
      <c r="P4041" s="2" t="s">
        <v>2353</v>
      </c>
    </row>
    <row r="4042" spans="1:16" hidden="1">
      <c r="A4042" s="2">
        <v>202101</v>
      </c>
      <c r="B4042" s="3">
        <v>44199</v>
      </c>
      <c r="C4042" s="2" t="s">
        <v>2262</v>
      </c>
      <c r="D4042" s="2" t="s">
        <v>2146</v>
      </c>
      <c r="E4042" s="2">
        <v>18</v>
      </c>
      <c r="F4042" s="2" t="e">
        <f>IF(Table2[[#This Row],[Manual Cat Value]]="",VLOOKUP(Table2[[#This Row],[Description]],'Actuals Lookup'!D:F,3,0),Table2[[#This Row],[Manual Cat Value]])</f>
        <v>#N/A</v>
      </c>
      <c r="J4042" s="2">
        <v>18</v>
      </c>
      <c r="K4042" s="2" t="b">
        <v>0</v>
      </c>
      <c r="L4042" s="2"/>
      <c r="M4042" s="2"/>
      <c r="N4042" s="4" t="s">
        <v>2259</v>
      </c>
      <c r="O4042" s="4" t="str">
        <f>LEFT(Table2[[#This Row],[Description]],75)</f>
        <v>WEBONLINE 8009880886 MA</v>
      </c>
      <c r="P4042" s="2" t="s">
        <v>2281</v>
      </c>
    </row>
    <row r="4043" spans="1:16" hidden="1">
      <c r="A4043" s="2">
        <v>202101</v>
      </c>
      <c r="B4043" s="3">
        <v>44200</v>
      </c>
      <c r="C4043" s="2" t="s">
        <v>2265</v>
      </c>
      <c r="D4043" s="2" t="s">
        <v>767</v>
      </c>
      <c r="E4043" s="2">
        <v>432.09</v>
      </c>
      <c r="F4043" s="2" t="e">
        <f>IF(Table2[[#This Row],[Manual Cat Value]]="",VLOOKUP(Table2[[#This Row],[Description]],'Actuals Lookup'!D:F,3,0),Table2[[#This Row],[Manual Cat Value]])</f>
        <v>#N/A</v>
      </c>
      <c r="J4043" s="2">
        <v>432.09</v>
      </c>
      <c r="K4043" s="2" t="b">
        <v>0</v>
      </c>
      <c r="L4043" s="2"/>
      <c r="M4043" s="2"/>
      <c r="N4043" s="4" t="s">
        <v>2259</v>
      </c>
      <c r="O4043" s="4" t="str">
        <f>LEFT(Table2[[#This Row],[Description]],75)</f>
        <v>DISCOVER TYPE EPAYMENT ID CO DISCOVER ACH ECC WEB ACH Trace 59454</v>
      </c>
      <c r="P4043" s="2" t="s">
        <v>2293</v>
      </c>
    </row>
    <row r="4044" spans="1:16" hidden="1">
      <c r="A4044" s="2">
        <v>202101</v>
      </c>
      <c r="B4044" s="3">
        <v>44200</v>
      </c>
      <c r="C4044" s="2" t="s">
        <v>2270</v>
      </c>
      <c r="D4044" s="2" t="s">
        <v>1410</v>
      </c>
      <c r="E4044" s="2">
        <v>-719.6</v>
      </c>
      <c r="F4044" s="2" t="str">
        <f>IF(Table2[[#This Row],[Manual Cat Value]]="",VLOOKUP(Table2[[#This Row],[Description]],'Actuals Lookup'!D:F,3,0),Table2[[#This Row],[Manual Cat Value]])</f>
        <v>Delete</v>
      </c>
      <c r="J4044" s="2">
        <v>719.6</v>
      </c>
      <c r="K4044" s="2" t="b">
        <v>0</v>
      </c>
      <c r="L4044" s="2"/>
      <c r="M4044" s="2"/>
      <c r="N4044" s="4" t="s">
        <v>2273</v>
      </c>
      <c r="O4044" s="4" t="str">
        <f>LEFT(Table2[[#This Row],[Description]],75)</f>
        <v>PAYMENT</v>
      </c>
      <c r="P4044" s="2" t="s">
        <v>2492</v>
      </c>
    </row>
    <row r="4045" spans="1:16" hidden="1">
      <c r="A4045" s="2">
        <v>202101</v>
      </c>
      <c r="B4045" s="3">
        <v>44200</v>
      </c>
      <c r="C4045" s="2" t="s">
        <v>2447</v>
      </c>
      <c r="D4045" s="2" t="s">
        <v>38</v>
      </c>
      <c r="E4045" s="2">
        <v>32.950000000000003</v>
      </c>
      <c r="F4045" s="2" t="str">
        <f>IF(Table2[[#This Row],[Manual Cat Value]]="",VLOOKUP(Table2[[#This Row],[Description]],'Actuals Lookup'!D:F,3,0),Table2[[#This Row],[Manual Cat Value]])</f>
        <v>Amazon</v>
      </c>
      <c r="J4045" s="2">
        <v>32.950000000000003</v>
      </c>
      <c r="K4045" s="2" t="b">
        <v>0</v>
      </c>
      <c r="L4045" s="2"/>
      <c r="M4045" s="2"/>
      <c r="N4045" s="4" t="s">
        <v>2259</v>
      </c>
      <c r="O4045" s="4" t="str">
        <f>LEFT(Table2[[#This Row],[Description]],75)</f>
        <v>Amazon</v>
      </c>
      <c r="P4045" s="2" t="s">
        <v>2260</v>
      </c>
    </row>
    <row r="4046" spans="1:16" hidden="1">
      <c r="A4046" s="2">
        <v>202101</v>
      </c>
      <c r="B4046" s="3">
        <v>44200</v>
      </c>
      <c r="C4046" s="2" t="s">
        <v>2258</v>
      </c>
      <c r="D4046" s="2" t="s">
        <v>38</v>
      </c>
      <c r="E4046" s="2">
        <v>32.950000000000003</v>
      </c>
      <c r="F4046" s="2" t="str">
        <f>IF(Table2[[#This Row],[Manual Cat Value]]="",VLOOKUP(Table2[[#This Row],[Description]],'Actuals Lookup'!D:F,3,0),Table2[[#This Row],[Manual Cat Value]])</f>
        <v>Amazon</v>
      </c>
      <c r="J4046" s="2">
        <v>32.950000000000003</v>
      </c>
      <c r="K4046" s="2" t="b">
        <v>0</v>
      </c>
      <c r="L4046" s="2"/>
      <c r="M4046" s="2"/>
      <c r="N4046" s="4" t="s">
        <v>2259</v>
      </c>
      <c r="O4046" s="4" t="str">
        <f>LEFT(Table2[[#This Row],[Description]],75)</f>
        <v>Amazon</v>
      </c>
      <c r="P4046" s="2" t="s">
        <v>2260</v>
      </c>
    </row>
    <row r="4047" spans="1:16" hidden="1">
      <c r="A4047" s="2">
        <v>202101</v>
      </c>
      <c r="B4047" s="3">
        <v>44200</v>
      </c>
      <c r="C4047" s="2" t="s">
        <v>2262</v>
      </c>
      <c r="D4047" s="2" t="s">
        <v>196</v>
      </c>
      <c r="E4047" s="2">
        <v>91.79</v>
      </c>
      <c r="F4047" s="2" t="e">
        <f>IF(Table2[[#This Row],[Manual Cat Value]]="",VLOOKUP(Table2[[#This Row],[Description]],'Actuals Lookup'!D:F,3,0),Table2[[#This Row],[Manual Cat Value]])</f>
        <v>#N/A</v>
      </c>
      <c r="J4047" s="2">
        <v>91.79</v>
      </c>
      <c r="K4047" s="2" t="b">
        <v>0</v>
      </c>
      <c r="L4047" s="2"/>
      <c r="M4047" s="2"/>
      <c r="N4047" s="4" t="s">
        <v>2259</v>
      </c>
      <c r="O4047" s="4" t="str">
        <f>LEFT(Table2[[#This Row],[Description]],75)</f>
        <v>Bachman's</v>
      </c>
      <c r="P4047" s="2" t="s">
        <v>2281</v>
      </c>
    </row>
    <row r="4048" spans="1:16" hidden="1">
      <c r="A4048" s="2">
        <v>202101</v>
      </c>
      <c r="B4048" s="3">
        <v>44200</v>
      </c>
      <c r="C4048" s="2" t="s">
        <v>2265</v>
      </c>
      <c r="D4048" s="2" t="s">
        <v>591</v>
      </c>
      <c r="E4048" s="2">
        <v>200</v>
      </c>
      <c r="F4048" s="2" t="e">
        <f>IF(Table2[[#This Row],[Manual Cat Value]]="",VLOOKUP(Table2[[#This Row],[Description]],'Actuals Lookup'!D:F,3,0),Table2[[#This Row],[Manual Cat Value]])</f>
        <v>#N/A</v>
      </c>
      <c r="J4048" s="2">
        <v>200</v>
      </c>
      <c r="K4048" s="2" t="b">
        <v>0</v>
      </c>
      <c r="L4048" s="2"/>
      <c r="M4048" s="2"/>
      <c r="N4048" s="4" t="s">
        <v>2259</v>
      </c>
      <c r="O4048" s="4" t="str">
        <f>LEFT(Table2[[#This Row],[Description]],75)</f>
        <v>College Savings TYPE ACH ID 550895818 CO College Savings ACH ECC PPD ACH Tr</v>
      </c>
      <c r="P4048" s="2" t="s">
        <v>2272</v>
      </c>
    </row>
    <row r="4049" spans="1:16" hidden="1">
      <c r="A4049" s="2">
        <v>202101</v>
      </c>
      <c r="B4049" s="3">
        <v>44200</v>
      </c>
      <c r="C4049" s="2" t="s">
        <v>2270</v>
      </c>
      <c r="D4049" s="2" t="s">
        <v>1524</v>
      </c>
      <c r="E4049" s="2">
        <v>-431</v>
      </c>
      <c r="F4049" s="2" t="e">
        <f>IF(Table2[[#This Row],[Manual Cat Value]]="",VLOOKUP(Table2[[#This Row],[Description]],'Actuals Lookup'!D:F,3,0),Table2[[#This Row],[Manual Cat Value]])</f>
        <v>#N/A</v>
      </c>
      <c r="J4049" s="2">
        <v>431</v>
      </c>
      <c r="K4049" s="2" t="b">
        <v>0</v>
      </c>
      <c r="L4049" s="2"/>
      <c r="M4049" s="2"/>
      <c r="N4049" s="4" t="s">
        <v>2273</v>
      </c>
      <c r="O4049" s="4" t="str">
        <f>LEFT(Table2[[#This Row],[Description]],75)</f>
        <v>Principal Curtailment</v>
      </c>
      <c r="P4049" s="2" t="s">
        <v>2514</v>
      </c>
    </row>
    <row r="4050" spans="1:16" hidden="1">
      <c r="A4050" s="2">
        <v>202101</v>
      </c>
      <c r="B4050" s="3">
        <v>44200</v>
      </c>
      <c r="C4050" s="2" t="s">
        <v>2317</v>
      </c>
      <c r="D4050" s="2" t="s">
        <v>1768</v>
      </c>
      <c r="E4050" s="2">
        <v>655.64</v>
      </c>
      <c r="F4050" s="2" t="e">
        <f>IF(Table2[[#This Row],[Manual Cat Value]]="",VLOOKUP(Table2[[#This Row],[Description]],'Actuals Lookup'!D:F,3,0),Table2[[#This Row],[Manual Cat Value]])</f>
        <v>#N/A</v>
      </c>
      <c r="J4050" s="2">
        <v>655.64</v>
      </c>
      <c r="K4050" s="2" t="b">
        <v>0</v>
      </c>
      <c r="L4050" s="2"/>
      <c r="M4050" s="2"/>
      <c r="N4050" s="4" t="s">
        <v>2259</v>
      </c>
      <c r="O4050" s="4" t="str">
        <f>LEFT(Table2[[#This Row],[Description]],75)</f>
        <v>SQUARE INC CLASS A</v>
      </c>
      <c r="P4050" s="2" t="s">
        <v>2385</v>
      </c>
    </row>
    <row r="4051" spans="1:16" hidden="1">
      <c r="A4051" s="2">
        <v>202101</v>
      </c>
      <c r="B4051" s="3">
        <v>44200</v>
      </c>
      <c r="C4051" s="2" t="s">
        <v>2265</v>
      </c>
      <c r="D4051" s="2" t="s">
        <v>2101</v>
      </c>
      <c r="E4051" s="2">
        <v>9.9</v>
      </c>
      <c r="F4051" s="2" t="str">
        <f>IF(Table2[[#This Row],[Manual Cat Value]]="",VLOOKUP(Table2[[#This Row],[Description]],'Actuals Lookup'!D:F,3,0),Table2[[#This Row],[Manual Cat Value]])</f>
        <v>Misc</v>
      </c>
      <c r="J4051" s="2">
        <v>9.9</v>
      </c>
      <c r="K4051" s="2" t="b">
        <v>0</v>
      </c>
      <c r="L4051" s="2"/>
      <c r="M4051" s="2"/>
      <c r="N4051" s="4" t="s">
        <v>2259</v>
      </c>
      <c r="O4051" s="4" t="str">
        <f>LEFT(Table2[[#This Row],[Description]],75)</f>
        <v>USPS</v>
      </c>
      <c r="P4051" s="2" t="s">
        <v>2281</v>
      </c>
    </row>
    <row r="4052" spans="1:16" hidden="1">
      <c r="A4052" s="25">
        <f>VALUE(YEAR(Table2[[#This Row],[Date]])&amp;TEXT(MONTH(Table2[[#This Row],[Date]]),"00"))</f>
        <v>202210</v>
      </c>
      <c r="B4052" s="93">
        <v>44841</v>
      </c>
      <c r="C4052" s="97" t="s">
        <v>2265</v>
      </c>
      <c r="D4052" s="87" t="s">
        <v>2533</v>
      </c>
      <c r="E4052">
        <f>IF(M4052="credit",-1*J4052,J4052)</f>
        <v>380</v>
      </c>
      <c r="F4052" s="2" t="str">
        <f>IF(Table2[[#This Row],[Manual Cat Value]]="",VLOOKUP(Table2[[#This Row],[Description]],'Actuals Lookup'!D:F,3,0),Table2[[#This Row],[Manual Cat Value]])</f>
        <v>Exp - Shopping</v>
      </c>
      <c r="G4052" t="e">
        <f>VLOOKUP(D4052,Lookup!G:H,2,0)</f>
        <v>#N/A</v>
      </c>
      <c r="H4052" s="8" t="s">
        <v>36</v>
      </c>
      <c r="I4052" s="95" t="s">
        <v>2534</v>
      </c>
      <c r="J4052" s="98">
        <v>380</v>
      </c>
      <c r="K4052" s="87"/>
      <c r="L4052" s="87"/>
      <c r="M4052" s="87"/>
      <c r="N4052" s="87" t="s">
        <v>2535</v>
      </c>
      <c r="O4052" t="str">
        <f>LEFT(Table2[[#This Row],[Description]],75)</f>
        <v>Draft 2203 Tracer 990003866</v>
      </c>
    </row>
    <row r="4053" spans="1:16" hidden="1">
      <c r="A4053" s="2">
        <v>202101</v>
      </c>
      <c r="B4053" s="3">
        <v>44201</v>
      </c>
      <c r="C4053" s="2" t="s">
        <v>2262</v>
      </c>
      <c r="D4053" s="2" t="s">
        <v>1423</v>
      </c>
      <c r="E4053" s="2">
        <v>-1166.3399999999999</v>
      </c>
      <c r="F4053" s="2" t="e">
        <f>IF(Table2[[#This Row],[Manual Cat Value]]="",VLOOKUP(Table2[[#This Row],[Description]],'Actuals Lookup'!D:F,3,0),Table2[[#This Row],[Manual Cat Value]])</f>
        <v>#N/A</v>
      </c>
      <c r="J4053" s="2">
        <v>1166.3399999999999</v>
      </c>
      <c r="K4053" s="2" t="b">
        <v>0</v>
      </c>
      <c r="L4053" s="2"/>
      <c r="M4053" s="2"/>
      <c r="N4053" s="4" t="s">
        <v>2273</v>
      </c>
      <c r="O4053" s="4" t="str">
        <f>LEFT(Table2[[#This Row],[Description]],75)</f>
        <v>PAYMENT THANK YOU</v>
      </c>
      <c r="P4053" s="2" t="s">
        <v>2391</v>
      </c>
    </row>
    <row r="4054" spans="1:16" hidden="1">
      <c r="A4054" s="2">
        <v>202101</v>
      </c>
      <c r="B4054" s="3">
        <v>44201</v>
      </c>
      <c r="C4054" s="2" t="s">
        <v>2265</v>
      </c>
      <c r="D4054" s="2" t="s">
        <v>2176</v>
      </c>
      <c r="E4054" s="2">
        <v>1166.3399999999999</v>
      </c>
      <c r="F4054" s="2" t="e">
        <f>IF(Table2[[#This Row],[Manual Cat Value]]="",VLOOKUP(Table2[[#This Row],[Description]],'Actuals Lookup'!D:F,3,0),Table2[[#This Row],[Manual Cat Value]])</f>
        <v>#N/A</v>
      </c>
      <c r="J4054" s="2">
        <v>1166.3399999999999</v>
      </c>
      <c r="K4054" s="2" t="b">
        <v>0</v>
      </c>
      <c r="L4054" s="2"/>
      <c r="M4054" s="2"/>
      <c r="N4054" s="4" t="s">
        <v>2259</v>
      </c>
      <c r="O4054" s="4" t="str">
        <f>LEFT(Table2[[#This Row],[Description]],75)</f>
        <v>Withdrawal Home payment to card 979181</v>
      </c>
      <c r="P4054" s="2" t="s">
        <v>2349</v>
      </c>
    </row>
    <row r="4055" spans="1:16" hidden="1">
      <c r="A4055" s="2">
        <v>202101</v>
      </c>
      <c r="B4055" s="3">
        <v>44201</v>
      </c>
      <c r="C4055" s="2" t="s">
        <v>2262</v>
      </c>
      <c r="D4055" s="2" t="s">
        <v>287</v>
      </c>
      <c r="E4055" s="2">
        <v>34.950000000000003</v>
      </c>
      <c r="F4055" s="2" t="e">
        <f>IF(Table2[[#This Row],[Manual Cat Value]]="",VLOOKUP(Table2[[#This Row],[Description]],'Actuals Lookup'!D:F,3,0),Table2[[#This Row],[Manual Cat Value]])</f>
        <v>#N/A</v>
      </c>
      <c r="J4055" s="2">
        <v>34.950000000000003</v>
      </c>
      <c r="K4055" s="2" t="b">
        <v>0</v>
      </c>
      <c r="L4055" s="2"/>
      <c r="M4055" s="2"/>
      <c r="N4055" s="4" t="s">
        <v>2259</v>
      </c>
      <c r="O4055" s="4" t="str">
        <f>LEFT(Table2[[#This Row],[Description]],75)</f>
        <v>Best Cleaners, Inc</v>
      </c>
      <c r="P4055" s="2" t="s">
        <v>2406</v>
      </c>
    </row>
    <row r="4056" spans="1:16" hidden="1">
      <c r="A4056" s="2">
        <v>202101</v>
      </c>
      <c r="B4056" s="3">
        <v>44201</v>
      </c>
      <c r="C4056" s="2" t="s">
        <v>2265</v>
      </c>
      <c r="D4056" s="2" t="s">
        <v>1217</v>
      </c>
      <c r="E4056" s="2">
        <v>421.6</v>
      </c>
      <c r="F4056" s="2" t="e">
        <f>IF(Table2[[#This Row],[Manual Cat Value]]="",VLOOKUP(Table2[[#This Row],[Description]],'Actuals Lookup'!D:F,3,0),Table2[[#This Row],[Manual Cat Value]])</f>
        <v>#N/A</v>
      </c>
      <c r="J4056" s="2">
        <v>421.6</v>
      </c>
      <c r="K4056" s="2" t="b">
        <v>0</v>
      </c>
      <c r="L4056" s="2"/>
      <c r="M4056" s="2"/>
      <c r="N4056" s="4" t="s">
        <v>2259</v>
      </c>
      <c r="O4056" s="4" t="str">
        <f>LEFT(Table2[[#This Row],[Description]],75)</f>
        <v>MHCHILDCARELLC TYPE DUES ID CO MHCHILDCARELLC ACH ECC PPD ACH Trace 36126</v>
      </c>
      <c r="P4056" s="2" t="s">
        <v>2497</v>
      </c>
    </row>
    <row r="4057" spans="1:16" hidden="1">
      <c r="A4057" s="2">
        <v>202101</v>
      </c>
      <c r="B4057" s="3">
        <v>44201</v>
      </c>
      <c r="C4057" s="2" t="s">
        <v>2265</v>
      </c>
      <c r="D4057" s="2" t="s">
        <v>1355</v>
      </c>
      <c r="E4057" s="2">
        <v>141.9</v>
      </c>
      <c r="F4057" s="2" t="str">
        <f>IF(Table2[[#This Row],[Manual Cat Value]]="",VLOOKUP(Table2[[#This Row],[Description]],'Actuals Lookup'!D:F,3,0),Table2[[#This Row],[Manual Cat Value]])</f>
        <v>Shopping</v>
      </c>
      <c r="J4057" s="2">
        <v>141.9</v>
      </c>
      <c r="K4057" s="2" t="b">
        <v>0</v>
      </c>
      <c r="L4057" s="2"/>
      <c r="M4057" s="2"/>
      <c r="N4057" s="4" t="s">
        <v>2259</v>
      </c>
      <c r="O4057" s="4" t="str">
        <f>LEFT(Table2[[#This Row],[Description]],75)</f>
        <v>Nordstrom</v>
      </c>
      <c r="P4057" s="2" t="s">
        <v>2352</v>
      </c>
    </row>
    <row r="4058" spans="1:16" hidden="1">
      <c r="A4058" s="2">
        <v>202101</v>
      </c>
      <c r="B4058" s="3">
        <v>44201</v>
      </c>
      <c r="C4058" s="2" t="s">
        <v>2317</v>
      </c>
      <c r="D4058" s="2" t="s">
        <v>1635</v>
      </c>
      <c r="E4058" s="2">
        <v>200</v>
      </c>
      <c r="F4058" s="2" t="e">
        <f>IF(Table2[[#This Row],[Manual Cat Value]]="",VLOOKUP(Table2[[#This Row],[Description]],'Actuals Lookup'!D:F,3,0),Table2[[#This Row],[Manual Cat Value]])</f>
        <v>#N/A</v>
      </c>
      <c r="J4058" s="2">
        <v>200</v>
      </c>
      <c r="K4058" s="2" t="b">
        <v>0</v>
      </c>
      <c r="L4058" s="2"/>
      <c r="M4058" s="2"/>
      <c r="N4058" s="4" t="s">
        <v>2259</v>
      </c>
      <c r="O4058" s="4" t="str">
        <f>LEFT(Table2[[#This Row],[Description]],75)</f>
        <v>SCHWAB TOTAL STOCK MKT INDEX</v>
      </c>
      <c r="P4058" s="2" t="s">
        <v>2278</v>
      </c>
    </row>
    <row r="4059" spans="1:16" hidden="1">
      <c r="A4059" s="2">
        <v>202101</v>
      </c>
      <c r="B4059" s="3">
        <v>44201</v>
      </c>
      <c r="C4059" s="2" t="s">
        <v>2262</v>
      </c>
      <c r="D4059" s="2" t="s">
        <v>1707</v>
      </c>
      <c r="E4059" s="2">
        <v>28.82</v>
      </c>
      <c r="F4059" s="2" t="str">
        <f>IF(Table2[[#This Row],[Manual Cat Value]]="",VLOOKUP(Table2[[#This Row],[Description]],'Actuals Lookup'!D:F,3,0),Table2[[#This Row],[Manual Cat Value]])</f>
        <v>Transportation</v>
      </c>
      <c r="J4059" s="2">
        <v>28.82</v>
      </c>
      <c r="K4059" s="2" t="b">
        <v>0</v>
      </c>
      <c r="L4059" s="2"/>
      <c r="M4059" s="2"/>
      <c r="N4059" s="4" t="s">
        <v>2259</v>
      </c>
      <c r="O4059" s="4" t="str">
        <f>LEFT(Table2[[#This Row],[Description]],75)</f>
        <v>Speedway</v>
      </c>
      <c r="P4059" s="2" t="s">
        <v>2381</v>
      </c>
    </row>
    <row r="4060" spans="1:16" hidden="1">
      <c r="A4060" s="2">
        <v>202101</v>
      </c>
      <c r="B4060" s="3">
        <v>44201</v>
      </c>
      <c r="C4060" s="2" t="s">
        <v>2262</v>
      </c>
      <c r="D4060" s="2" t="s">
        <v>2135</v>
      </c>
      <c r="E4060" s="2">
        <v>46.84</v>
      </c>
      <c r="F4060" s="2" t="str">
        <f>IF(Table2[[#This Row],[Manual Cat Value]]="",VLOOKUP(Table2[[#This Row],[Description]],'Actuals Lookup'!D:F,3,0),Table2[[#This Row],[Manual Cat Value]])</f>
        <v>Groceries</v>
      </c>
      <c r="J4060" s="2">
        <v>46.84</v>
      </c>
      <c r="K4060" s="2" t="b">
        <v>0</v>
      </c>
      <c r="L4060" s="2"/>
      <c r="M4060" s="2"/>
      <c r="N4060" s="4" t="s">
        <v>2259</v>
      </c>
      <c r="O4060" s="4" t="str">
        <f>LEFT(Table2[[#This Row],[Description]],75)</f>
        <v>Walgreens</v>
      </c>
      <c r="P4060" s="2" t="s">
        <v>2389</v>
      </c>
    </row>
    <row r="4061" spans="1:16" hidden="1">
      <c r="A4061" s="2">
        <v>202101</v>
      </c>
      <c r="B4061" s="3">
        <v>44202</v>
      </c>
      <c r="C4061" s="2" t="s">
        <v>2447</v>
      </c>
      <c r="D4061" s="2" t="s">
        <v>38</v>
      </c>
      <c r="E4061" s="2">
        <v>15.98</v>
      </c>
      <c r="F4061" s="2" t="str">
        <f>IF(Table2[[#This Row],[Manual Cat Value]]="",VLOOKUP(Table2[[#This Row],[Description]],'Actuals Lookup'!D:F,3,0),Table2[[#This Row],[Manual Cat Value]])</f>
        <v>Amazon</v>
      </c>
      <c r="J4061" s="2">
        <v>15.98</v>
      </c>
      <c r="K4061" s="2" t="b">
        <v>0</v>
      </c>
      <c r="L4061" s="2"/>
      <c r="M4061" s="2"/>
      <c r="N4061" s="4" t="s">
        <v>2259</v>
      </c>
      <c r="O4061" s="4" t="str">
        <f>LEFT(Table2[[#This Row],[Description]],75)</f>
        <v>Amazon</v>
      </c>
      <c r="P4061" s="2" t="s">
        <v>2260</v>
      </c>
    </row>
    <row r="4062" spans="1:16" hidden="1">
      <c r="A4062" s="2">
        <v>202101</v>
      </c>
      <c r="B4062" s="3">
        <v>44202</v>
      </c>
      <c r="C4062" s="2" t="s">
        <v>2258</v>
      </c>
      <c r="D4062" s="2" t="s">
        <v>38</v>
      </c>
      <c r="E4062" s="2">
        <v>15.98</v>
      </c>
      <c r="F4062" s="2" t="str">
        <f>IF(Table2[[#This Row],[Manual Cat Value]]="",VLOOKUP(Table2[[#This Row],[Description]],'Actuals Lookup'!D:F,3,0),Table2[[#This Row],[Manual Cat Value]])</f>
        <v>Amazon</v>
      </c>
      <c r="J4062" s="2">
        <v>15.98</v>
      </c>
      <c r="K4062" s="2" t="b">
        <v>0</v>
      </c>
      <c r="L4062" s="2"/>
      <c r="M4062" s="2"/>
      <c r="N4062" s="4" t="s">
        <v>2259</v>
      </c>
      <c r="O4062" s="4" t="str">
        <f>LEFT(Table2[[#This Row],[Description]],75)</f>
        <v>Amazon</v>
      </c>
      <c r="P4062" s="2" t="s">
        <v>2260</v>
      </c>
    </row>
    <row r="4063" spans="1:16" hidden="1">
      <c r="A4063" s="2">
        <v>202101</v>
      </c>
      <c r="B4063" s="3">
        <v>44202</v>
      </c>
      <c r="C4063" s="2" t="s">
        <v>2265</v>
      </c>
      <c r="D4063" s="2" t="s">
        <v>371</v>
      </c>
      <c r="E4063" s="2">
        <v>-2167.65</v>
      </c>
      <c r="F4063" s="2" t="e">
        <f>IF(Table2[[#This Row],[Manual Cat Value]]="",VLOOKUP(Table2[[#This Row],[Description]],'Actuals Lookup'!D:F,3,0),Table2[[#This Row],[Manual Cat Value]])</f>
        <v>#N/A</v>
      </c>
      <c r="J4063" s="2">
        <v>2167.65</v>
      </c>
      <c r="K4063" s="2" t="b">
        <v>0</v>
      </c>
      <c r="L4063" s="2"/>
      <c r="M4063" s="2"/>
      <c r="N4063" s="4" t="s">
        <v>2273</v>
      </c>
      <c r="O4063" s="4" t="str">
        <f>LEFT(Table2[[#This Row],[Description]],75)</f>
        <v>CARGILL COCOA TYPE DIR DEP ID CO CARGILL COCOA ACH ECC PPD ACH Trace 31448</v>
      </c>
      <c r="P4063" s="2" t="s">
        <v>2284</v>
      </c>
    </row>
    <row r="4064" spans="1:16" hidden="1">
      <c r="A4064" s="2">
        <v>202101</v>
      </c>
      <c r="B4064" s="3">
        <v>44202</v>
      </c>
      <c r="C4064" s="2" t="s">
        <v>2265</v>
      </c>
      <c r="D4064" s="2" t="s">
        <v>2109</v>
      </c>
      <c r="E4064" s="2">
        <v>40</v>
      </c>
      <c r="F4064" s="2" t="str">
        <f>IF(Table2[[#This Row],[Manual Cat Value]]="",VLOOKUP(Table2[[#This Row],[Description]],'Actuals Lookup'!D:F,3,0),Table2[[#This Row],[Manual Cat Value]])</f>
        <v>Shopping</v>
      </c>
      <c r="J4064" s="2">
        <v>40</v>
      </c>
      <c r="K4064" s="2" t="b">
        <v>0</v>
      </c>
      <c r="L4064" s="2"/>
      <c r="M4064" s="2"/>
      <c r="N4064" s="4" t="s">
        <v>2259</v>
      </c>
      <c r="O4064" s="4" t="str">
        <f>LEFT(Table2[[#This Row],[Description]],75)</f>
        <v>Venmo</v>
      </c>
      <c r="P4064" s="2" t="s">
        <v>2281</v>
      </c>
    </row>
    <row r="4065" spans="1:16" hidden="1">
      <c r="A4065" s="2">
        <v>202101</v>
      </c>
      <c r="B4065" s="3">
        <v>44202</v>
      </c>
      <c r="C4065" s="2" t="s">
        <v>2265</v>
      </c>
      <c r="D4065" s="2" t="s">
        <v>2221</v>
      </c>
      <c r="E4065" s="2">
        <v>146.06</v>
      </c>
      <c r="F4065" s="2" t="str">
        <f>IF(Table2[[#This Row],[Manual Cat Value]]="",VLOOKUP(Table2[[#This Row],[Description]],'Actuals Lookup'!D:F,3,0),Table2[[#This Row],[Manual Cat Value]])</f>
        <v>Utilities</v>
      </c>
      <c r="J4065" s="2">
        <v>146.06</v>
      </c>
      <c r="K4065" s="2" t="b">
        <v>0</v>
      </c>
      <c r="L4065" s="2"/>
      <c r="M4065" s="2"/>
      <c r="N4065" s="4" t="s">
        <v>2259</v>
      </c>
      <c r="O4065" s="4" t="str">
        <f>LEFT(Table2[[#This Row],[Description]],75)</f>
        <v>Xcel Energy</v>
      </c>
      <c r="P4065" s="2" t="s">
        <v>2280</v>
      </c>
    </row>
    <row r="4066" spans="1:16" hidden="1">
      <c r="A4066" s="2">
        <v>202101</v>
      </c>
      <c r="B4066" s="3">
        <v>44203</v>
      </c>
      <c r="C4066" s="2" t="s">
        <v>2265</v>
      </c>
      <c r="D4066" s="2" t="s">
        <v>1471</v>
      </c>
      <c r="E4066" s="2">
        <v>14.85</v>
      </c>
      <c r="F4066" s="2" t="str">
        <f>IF(Table2[[#This Row],[Manual Cat Value]]="",VLOOKUP(Table2[[#This Row],[Description]],'Actuals Lookup'!D:F,3,0),Table2[[#This Row],[Manual Cat Value]])</f>
        <v>Shopping</v>
      </c>
      <c r="J4066" s="2">
        <v>14.85</v>
      </c>
      <c r="K4066" s="2" t="b">
        <v>0</v>
      </c>
      <c r="L4066" s="2"/>
      <c r="M4066" s="2"/>
      <c r="N4066" s="4" t="s">
        <v>2259</v>
      </c>
      <c r="O4066" s="4" t="str">
        <f>LEFT(Table2[[#This Row],[Description]],75)</f>
        <v>PayPal</v>
      </c>
      <c r="P4066" s="2" t="s">
        <v>2322</v>
      </c>
    </row>
    <row r="4067" spans="1:16" hidden="1">
      <c r="A4067" s="2">
        <v>202101</v>
      </c>
      <c r="B4067" s="3">
        <v>44203</v>
      </c>
      <c r="C4067" s="2" t="s">
        <v>2265</v>
      </c>
      <c r="D4067" s="2" t="s">
        <v>2109</v>
      </c>
      <c r="E4067" s="2">
        <v>20</v>
      </c>
      <c r="F4067" s="2" t="str">
        <f>IF(Table2[[#This Row],[Manual Cat Value]]="",VLOOKUP(Table2[[#This Row],[Description]],'Actuals Lookup'!D:F,3,0),Table2[[#This Row],[Manual Cat Value]])</f>
        <v>Shopping</v>
      </c>
      <c r="J4067" s="2">
        <v>20</v>
      </c>
      <c r="K4067" s="2" t="b">
        <v>0</v>
      </c>
      <c r="L4067" s="2"/>
      <c r="M4067" s="2"/>
      <c r="N4067" s="4" t="s">
        <v>2259</v>
      </c>
      <c r="O4067" s="4" t="str">
        <f>LEFT(Table2[[#This Row],[Description]],75)</f>
        <v>Venmo</v>
      </c>
      <c r="P4067" s="2" t="s">
        <v>2281</v>
      </c>
    </row>
    <row r="4068" spans="1:16" hidden="1">
      <c r="A4068" s="2">
        <v>202101</v>
      </c>
      <c r="B4068" s="3">
        <v>44204</v>
      </c>
      <c r="C4068" s="2" t="s">
        <v>2262</v>
      </c>
      <c r="D4068" s="2" t="s">
        <v>38</v>
      </c>
      <c r="E4068" s="2">
        <v>127.78</v>
      </c>
      <c r="F4068" s="2" t="str">
        <f>IF(Table2[[#This Row],[Manual Cat Value]]="",VLOOKUP(Table2[[#This Row],[Description]],'Actuals Lookup'!D:F,3,0),Table2[[#This Row],[Manual Cat Value]])</f>
        <v>Amazon</v>
      </c>
      <c r="J4068" s="2">
        <v>127.78</v>
      </c>
      <c r="K4068" s="2" t="b">
        <v>0</v>
      </c>
      <c r="L4068" s="2"/>
      <c r="M4068" s="2"/>
      <c r="N4068" s="4" t="s">
        <v>2259</v>
      </c>
      <c r="O4068" s="4" t="str">
        <f>LEFT(Table2[[#This Row],[Description]],75)</f>
        <v>Amazon</v>
      </c>
      <c r="P4068" s="2" t="s">
        <v>2260</v>
      </c>
    </row>
    <row r="4069" spans="1:16" hidden="1">
      <c r="A4069" s="2">
        <v>202101</v>
      </c>
      <c r="B4069" s="3">
        <v>44204</v>
      </c>
      <c r="C4069" s="2" t="s">
        <v>2317</v>
      </c>
      <c r="D4069" s="2" t="s">
        <v>354</v>
      </c>
      <c r="E4069" s="2">
        <v>-133.34</v>
      </c>
      <c r="F4069" s="2" t="e">
        <f>IF(Table2[[#This Row],[Manual Cat Value]]="",VLOOKUP(Table2[[#This Row],[Description]],'Actuals Lookup'!D:F,3,0),Table2[[#This Row],[Manual Cat Value]])</f>
        <v>#N/A</v>
      </c>
      <c r="J4069" s="2">
        <v>133.34</v>
      </c>
      <c r="K4069" s="2" t="b">
        <v>0</v>
      </c>
      <c r="L4069" s="2"/>
      <c r="M4069" s="2"/>
      <c r="N4069" s="4" t="s">
        <v>2273</v>
      </c>
      <c r="O4069" s="4" t="str">
        <f>LEFT(Table2[[#This Row],[Description]],75)</f>
        <v>CARGILL COCOA &amp;</v>
      </c>
      <c r="P4069" s="2" t="s">
        <v>2354</v>
      </c>
    </row>
    <row r="4070" spans="1:16" hidden="1">
      <c r="A4070" s="2">
        <v>202101</v>
      </c>
      <c r="B4070" s="3">
        <v>44204</v>
      </c>
      <c r="C4070" s="2" t="s">
        <v>2317</v>
      </c>
      <c r="D4070" s="2" t="s">
        <v>354</v>
      </c>
      <c r="E4070" s="2">
        <v>-200</v>
      </c>
      <c r="F4070" s="2" t="e">
        <f>IF(Table2[[#This Row],[Manual Cat Value]]="",VLOOKUP(Table2[[#This Row],[Description]],'Actuals Lookup'!D:F,3,0),Table2[[#This Row],[Manual Cat Value]])</f>
        <v>#N/A</v>
      </c>
      <c r="J4070" s="2">
        <v>200</v>
      </c>
      <c r="K4070" s="2" t="b">
        <v>0</v>
      </c>
      <c r="L4070" s="2"/>
      <c r="M4070" s="2"/>
      <c r="N4070" s="4" t="s">
        <v>2273</v>
      </c>
      <c r="O4070" s="4" t="str">
        <f>LEFT(Table2[[#This Row],[Description]],75)</f>
        <v>CARGILL COCOA &amp;</v>
      </c>
      <c r="P4070" s="2" t="s">
        <v>2354</v>
      </c>
    </row>
    <row r="4071" spans="1:16" hidden="1">
      <c r="A4071" s="2">
        <v>202101</v>
      </c>
      <c r="B4071" s="3">
        <v>44204</v>
      </c>
      <c r="C4071" s="2" t="s">
        <v>2434</v>
      </c>
      <c r="D4071" s="2" t="s">
        <v>1834</v>
      </c>
      <c r="E4071" s="2">
        <v>-231</v>
      </c>
      <c r="F4071" s="2" t="e">
        <f>IF(Table2[[#This Row],[Manual Cat Value]]="",VLOOKUP(Table2[[#This Row],[Description]],'Actuals Lookup'!D:F,3,0),Table2[[#This Row],[Manual Cat Value]])</f>
        <v>#N/A</v>
      </c>
      <c r="J4071" s="2">
        <v>231</v>
      </c>
      <c r="K4071" s="2" t="b">
        <v>0</v>
      </c>
      <c r="L4071" s="2"/>
      <c r="M4071" s="2"/>
      <c r="N4071" s="4" t="s">
        <v>2273</v>
      </c>
      <c r="O4071" s="4" t="str">
        <f>LEFT(Table2[[#This Row],[Description]],75)</f>
        <v>Tfr JPMORGAN CHASE BAN, CARGILL COCOA &amp;</v>
      </c>
      <c r="P4071" s="2" t="s">
        <v>2356</v>
      </c>
    </row>
    <row r="4072" spans="1:16" hidden="1">
      <c r="A4072" s="2">
        <v>202101</v>
      </c>
      <c r="B4072" s="3">
        <v>44205</v>
      </c>
      <c r="C4072" s="2" t="s">
        <v>2447</v>
      </c>
      <c r="D4072" s="2" t="s">
        <v>38</v>
      </c>
      <c r="E4072" s="2">
        <v>22.54</v>
      </c>
      <c r="F4072" s="2" t="str">
        <f>IF(Table2[[#This Row],[Manual Cat Value]]="",VLOOKUP(Table2[[#This Row],[Description]],'Actuals Lookup'!D:F,3,0),Table2[[#This Row],[Manual Cat Value]])</f>
        <v>Amazon</v>
      </c>
      <c r="J4072" s="2">
        <v>22.54</v>
      </c>
      <c r="K4072" s="2" t="b">
        <v>0</v>
      </c>
      <c r="L4072" s="2"/>
      <c r="M4072" s="2"/>
      <c r="N4072" s="4" t="s">
        <v>2259</v>
      </c>
      <c r="O4072" s="4" t="str">
        <f>LEFT(Table2[[#This Row],[Description]],75)</f>
        <v>Amazon</v>
      </c>
      <c r="P4072" s="2" t="s">
        <v>2260</v>
      </c>
    </row>
    <row r="4073" spans="1:16" hidden="1">
      <c r="A4073" s="2">
        <v>202101</v>
      </c>
      <c r="B4073" s="3">
        <v>44205</v>
      </c>
      <c r="C4073" s="2" t="s">
        <v>2258</v>
      </c>
      <c r="D4073" s="2" t="s">
        <v>38</v>
      </c>
      <c r="E4073" s="2">
        <v>22.54</v>
      </c>
      <c r="F4073" s="2" t="str">
        <f>IF(Table2[[#This Row],[Manual Cat Value]]="",VLOOKUP(Table2[[#This Row],[Description]],'Actuals Lookup'!D:F,3,0),Table2[[#This Row],[Manual Cat Value]])</f>
        <v>Amazon</v>
      </c>
      <c r="J4073" s="2">
        <v>22.54</v>
      </c>
      <c r="K4073" s="2" t="b">
        <v>0</v>
      </c>
      <c r="L4073" s="2"/>
      <c r="M4073" s="2"/>
      <c r="N4073" s="4" t="s">
        <v>2259</v>
      </c>
      <c r="O4073" s="4" t="str">
        <f>LEFT(Table2[[#This Row],[Description]],75)</f>
        <v>Amazon</v>
      </c>
      <c r="P4073" s="2" t="s">
        <v>2260</v>
      </c>
    </row>
    <row r="4074" spans="1:16" hidden="1">
      <c r="A4074" s="2">
        <v>202101</v>
      </c>
      <c r="B4074" s="3">
        <v>44206</v>
      </c>
      <c r="C4074" s="2" t="s">
        <v>2262</v>
      </c>
      <c r="D4074" s="2" t="s">
        <v>105</v>
      </c>
      <c r="E4074" s="2">
        <v>1010.56</v>
      </c>
      <c r="F4074" s="2" t="e">
        <f>IF(Table2[[#This Row],[Manual Cat Value]]="",VLOOKUP(Table2[[#This Row],[Description]],'Actuals Lookup'!D:F,3,0),Table2[[#This Row],[Manual Cat Value]])</f>
        <v>#N/A</v>
      </c>
      <c r="J4074" s="2">
        <v>1010.56</v>
      </c>
      <c r="K4074" s="2" t="b">
        <v>0</v>
      </c>
      <c r="L4074" s="2"/>
      <c r="M4074" s="2"/>
      <c r="N4074" s="4" t="s">
        <v>2259</v>
      </c>
      <c r="O4074" s="4" t="str">
        <f>LEFT(Table2[[#This Row],[Description]],75)</f>
        <v>Airbnb</v>
      </c>
      <c r="P4074" s="2" t="s">
        <v>2281</v>
      </c>
    </row>
    <row r="4075" spans="1:16" hidden="1">
      <c r="A4075" s="2">
        <v>202101</v>
      </c>
      <c r="B4075" s="3">
        <v>44206</v>
      </c>
      <c r="C4075" s="2" t="s">
        <v>2447</v>
      </c>
      <c r="D4075" s="2" t="s">
        <v>506</v>
      </c>
      <c r="E4075" s="2">
        <v>45</v>
      </c>
      <c r="F4075" s="2" t="str">
        <f>IF(Table2[[#This Row],[Manual Cat Value]]="",VLOOKUP(Table2[[#This Row],[Description]],'Actuals Lookup'!D:F,3,0),Table2[[#This Row],[Manual Cat Value]])</f>
        <v>Utilities</v>
      </c>
      <c r="J4075" s="2">
        <v>45</v>
      </c>
      <c r="K4075" s="2" t="b">
        <v>0</v>
      </c>
      <c r="L4075" s="2"/>
      <c r="M4075" s="2"/>
      <c r="N4075" s="4" t="s">
        <v>2259</v>
      </c>
      <c r="O4075" s="4" t="str">
        <f>LEFT(Table2[[#This Row],[Description]],75)</f>
        <v>CenturyLink</v>
      </c>
      <c r="P4075" s="2" t="s">
        <v>2408</v>
      </c>
    </row>
    <row r="4076" spans="1:16" hidden="1">
      <c r="A4076" s="2">
        <v>202101</v>
      </c>
      <c r="B4076" s="3">
        <v>44206</v>
      </c>
      <c r="C4076" s="2" t="s">
        <v>2258</v>
      </c>
      <c r="D4076" s="2" t="s">
        <v>506</v>
      </c>
      <c r="E4076" s="2">
        <v>45</v>
      </c>
      <c r="F4076" s="2" t="str">
        <f>IF(Table2[[#This Row],[Manual Cat Value]]="",VLOOKUP(Table2[[#This Row],[Description]],'Actuals Lookup'!D:F,3,0),Table2[[#This Row],[Manual Cat Value]])</f>
        <v>Utilities</v>
      </c>
      <c r="J4076" s="2">
        <v>45</v>
      </c>
      <c r="K4076" s="2" t="b">
        <v>0</v>
      </c>
      <c r="L4076" s="2"/>
      <c r="M4076" s="2"/>
      <c r="N4076" s="4" t="s">
        <v>2259</v>
      </c>
      <c r="O4076" s="4" t="str">
        <f>LEFT(Table2[[#This Row],[Description]],75)</f>
        <v>CenturyLink</v>
      </c>
      <c r="P4076" s="2" t="s">
        <v>2408</v>
      </c>
    </row>
    <row r="4077" spans="1:16" hidden="1">
      <c r="A4077" s="2">
        <v>202101</v>
      </c>
      <c r="B4077" s="3">
        <v>44206</v>
      </c>
      <c r="C4077" s="2" t="s">
        <v>2447</v>
      </c>
      <c r="D4077" s="2" t="s">
        <v>684</v>
      </c>
      <c r="E4077" s="2">
        <v>79.89</v>
      </c>
      <c r="F4077" s="2" t="str">
        <f>IF(Table2[[#This Row],[Manual Cat Value]]="",VLOOKUP(Table2[[#This Row],[Description]],'Actuals Lookup'!D:F,3,0),Table2[[#This Row],[Manual Cat Value]])</f>
        <v>Groceries</v>
      </c>
      <c r="J4077" s="2">
        <v>79.89</v>
      </c>
      <c r="K4077" s="2" t="b">
        <v>0</v>
      </c>
      <c r="L4077" s="2"/>
      <c r="M4077" s="2"/>
      <c r="N4077" s="4" t="s">
        <v>2259</v>
      </c>
      <c r="O4077" s="4" t="str">
        <f>LEFT(Table2[[#This Row],[Description]],75)</f>
        <v>Cub Foods</v>
      </c>
      <c r="P4077" s="2" t="s">
        <v>2370</v>
      </c>
    </row>
    <row r="4078" spans="1:16" hidden="1">
      <c r="A4078" s="2">
        <v>202101</v>
      </c>
      <c r="B4078" s="3">
        <v>44206</v>
      </c>
      <c r="C4078" s="2" t="s">
        <v>2258</v>
      </c>
      <c r="D4078" s="2" t="s">
        <v>684</v>
      </c>
      <c r="E4078" s="2">
        <v>79.89</v>
      </c>
      <c r="F4078" s="2" t="str">
        <f>IF(Table2[[#This Row],[Manual Cat Value]]="",VLOOKUP(Table2[[#This Row],[Description]],'Actuals Lookup'!D:F,3,0),Table2[[#This Row],[Manual Cat Value]])</f>
        <v>Groceries</v>
      </c>
      <c r="J4078" s="2">
        <v>79.89</v>
      </c>
      <c r="K4078" s="2" t="b">
        <v>0</v>
      </c>
      <c r="L4078" s="2"/>
      <c r="M4078" s="2"/>
      <c r="N4078" s="4" t="s">
        <v>2259</v>
      </c>
      <c r="O4078" s="4" t="str">
        <f>LEFT(Table2[[#This Row],[Description]],75)</f>
        <v>Cub Foods</v>
      </c>
      <c r="P4078" s="2" t="s">
        <v>2370</v>
      </c>
    </row>
    <row r="4079" spans="1:16" hidden="1">
      <c r="A4079" s="2">
        <v>202101</v>
      </c>
      <c r="B4079" s="3">
        <v>44206</v>
      </c>
      <c r="C4079" s="2" t="s">
        <v>2262</v>
      </c>
      <c r="D4079" s="2" t="s">
        <v>1365</v>
      </c>
      <c r="E4079" s="2">
        <v>59.63</v>
      </c>
      <c r="F4079" s="2" t="e">
        <f>IF(Table2[[#This Row],[Manual Cat Value]]="",VLOOKUP(Table2[[#This Row],[Description]],'Actuals Lookup'!D:F,3,0),Table2[[#This Row],[Manual Cat Value]])</f>
        <v>#N/A</v>
      </c>
      <c r="J4079" s="2">
        <v>59.63</v>
      </c>
      <c r="K4079" s="2" t="b">
        <v>0</v>
      </c>
      <c r="L4079" s="2"/>
      <c r="M4079" s="2"/>
      <c r="N4079" s="4" t="s">
        <v>2259</v>
      </c>
      <c r="O4079" s="4" t="str">
        <f>LEFT(Table2[[#This Row],[Description]],75)</f>
        <v>NORTH COOP NORTH COOP STRIPECOM MN</v>
      </c>
      <c r="P4079" s="2" t="s">
        <v>2480</v>
      </c>
    </row>
    <row r="4080" spans="1:16" hidden="1">
      <c r="A4080" s="2">
        <v>202101</v>
      </c>
      <c r="B4080" s="3">
        <v>44206</v>
      </c>
      <c r="C4080" s="2" t="s">
        <v>2262</v>
      </c>
      <c r="D4080" s="2" t="s">
        <v>1396</v>
      </c>
      <c r="E4080" s="2">
        <v>16.100000000000001</v>
      </c>
      <c r="F4080" s="2" t="str">
        <f>IF(Table2[[#This Row],[Manual Cat Value]]="",VLOOKUP(Table2[[#This Row],[Description]],'Actuals Lookup'!D:F,3,0),Table2[[#This Row],[Manual Cat Value]])</f>
        <v>Restaurants</v>
      </c>
      <c r="J4080" s="2">
        <v>16.100000000000001</v>
      </c>
      <c r="K4080" s="2" t="b">
        <v>0</v>
      </c>
      <c r="L4080" s="2"/>
      <c r="M4080" s="2"/>
      <c r="N4080" s="4" t="s">
        <v>2259</v>
      </c>
      <c r="O4080" s="4" t="str">
        <f>LEFT(Table2[[#This Row],[Description]],75)</f>
        <v>Papa Murphy's</v>
      </c>
      <c r="P4080" s="2" t="s">
        <v>2473</v>
      </c>
    </row>
    <row r="4081" spans="1:16" hidden="1">
      <c r="A4081" s="2">
        <v>202101</v>
      </c>
      <c r="B4081" s="3">
        <v>44206</v>
      </c>
      <c r="C4081" s="2" t="s">
        <v>2262</v>
      </c>
      <c r="D4081" s="2" t="s">
        <v>1926</v>
      </c>
      <c r="E4081" s="2">
        <v>61.26</v>
      </c>
      <c r="F4081" s="2" t="e">
        <f>IF(Table2[[#This Row],[Manual Cat Value]]="",VLOOKUP(Table2[[#This Row],[Description]],'Actuals Lookup'!D:F,3,0),Table2[[#This Row],[Manual Cat Value]])</f>
        <v>#N/A</v>
      </c>
      <c r="J4081" s="2">
        <v>61.26</v>
      </c>
      <c r="K4081" s="2" t="b">
        <v>0</v>
      </c>
      <c r="L4081" s="2"/>
      <c r="M4081" s="2"/>
      <c r="N4081" s="4" t="s">
        <v>2259</v>
      </c>
      <c r="O4081" s="4" t="str">
        <f>LEFT(Table2[[#This Row],[Description]],75)</f>
        <v>Total Wine and More</v>
      </c>
      <c r="P4081" s="2" t="s">
        <v>2289</v>
      </c>
    </row>
    <row r="4082" spans="1:16" hidden="1">
      <c r="A4082" s="2">
        <v>202101</v>
      </c>
      <c r="B4082" s="3">
        <v>44206</v>
      </c>
      <c r="C4082" s="2" t="s">
        <v>2262</v>
      </c>
      <c r="D4082" s="2" t="s">
        <v>1926</v>
      </c>
      <c r="E4082" s="2">
        <v>169.05</v>
      </c>
      <c r="F4082" s="2" t="e">
        <f>IF(Table2[[#This Row],[Manual Cat Value]]="",VLOOKUP(Table2[[#This Row],[Description]],'Actuals Lookup'!D:F,3,0),Table2[[#This Row],[Manual Cat Value]])</f>
        <v>#N/A</v>
      </c>
      <c r="J4082" s="2">
        <v>169.05</v>
      </c>
      <c r="K4082" s="2" t="b">
        <v>0</v>
      </c>
      <c r="L4082" s="2"/>
      <c r="M4082" s="2"/>
      <c r="N4082" s="4" t="s">
        <v>2259</v>
      </c>
      <c r="O4082" s="4" t="str">
        <f>LEFT(Table2[[#This Row],[Description]],75)</f>
        <v>Total Wine and More</v>
      </c>
      <c r="P4082" s="2" t="s">
        <v>2289</v>
      </c>
    </row>
    <row r="4083" spans="1:16" hidden="1">
      <c r="A4083" s="2">
        <v>202101</v>
      </c>
      <c r="B4083" s="3">
        <v>44207</v>
      </c>
      <c r="C4083" s="2" t="s">
        <v>2262</v>
      </c>
      <c r="D4083" s="2" t="s">
        <v>1408</v>
      </c>
      <c r="E4083" s="2">
        <v>878</v>
      </c>
      <c r="F4083" s="2" t="str">
        <f>IF(Table2[[#This Row],[Manual Cat Value]]="",VLOOKUP(Table2[[#This Row],[Description]],'Actuals Lookup'!D:F,3,0),Table2[[#This Row],[Manual Cat Value]])</f>
        <v>Shopping</v>
      </c>
      <c r="J4083" s="2">
        <v>878</v>
      </c>
      <c r="K4083" s="2" t="b">
        <v>0</v>
      </c>
      <c r="L4083" s="2"/>
      <c r="M4083" s="2"/>
      <c r="N4083" s="4" t="s">
        <v>2259</v>
      </c>
      <c r="O4083" s="4" t="str">
        <f>LEFT(Table2[[#This Row],[Description]],75)</f>
        <v>Patagonia</v>
      </c>
      <c r="P4083" s="2" t="s">
        <v>2436</v>
      </c>
    </row>
    <row r="4084" spans="1:16" hidden="1">
      <c r="A4084" s="2">
        <v>202101</v>
      </c>
      <c r="B4084" s="3">
        <v>44207</v>
      </c>
      <c r="C4084" s="2" t="s">
        <v>2435</v>
      </c>
      <c r="D4084" s="2" t="s">
        <v>1633</v>
      </c>
      <c r="E4084" s="2">
        <v>500</v>
      </c>
      <c r="F4084" s="2" t="e">
        <f>IF(Table2[[#This Row],[Manual Cat Value]]="",VLOOKUP(Table2[[#This Row],[Description]],'Actuals Lookup'!D:F,3,0),Table2[[#This Row],[Manual Cat Value]])</f>
        <v>#N/A</v>
      </c>
      <c r="J4084" s="2">
        <v>500</v>
      </c>
      <c r="K4084" s="2" t="b">
        <v>0</v>
      </c>
      <c r="L4084" s="2"/>
      <c r="M4084" s="2"/>
      <c r="N4084" s="4" t="s">
        <v>2259</v>
      </c>
      <c r="O4084" s="4" t="str">
        <f>LEFT(Table2[[#This Row],[Description]],75)</f>
        <v>SCHWAB S&amp;P 500 INDEX FD</v>
      </c>
      <c r="P4084" s="2" t="s">
        <v>2276</v>
      </c>
    </row>
    <row r="4085" spans="1:16" hidden="1">
      <c r="A4085" s="2">
        <v>202101</v>
      </c>
      <c r="B4085" s="3">
        <v>44207</v>
      </c>
      <c r="C4085" s="2" t="s">
        <v>2317</v>
      </c>
      <c r="D4085" s="2" t="s">
        <v>1768</v>
      </c>
      <c r="E4085" s="2">
        <v>691.2</v>
      </c>
      <c r="F4085" s="2" t="e">
        <f>IF(Table2[[#This Row],[Manual Cat Value]]="",VLOOKUP(Table2[[#This Row],[Description]],'Actuals Lookup'!D:F,3,0),Table2[[#This Row],[Manual Cat Value]])</f>
        <v>#N/A</v>
      </c>
      <c r="J4085" s="2">
        <v>691.2</v>
      </c>
      <c r="K4085" s="2" t="b">
        <v>0</v>
      </c>
      <c r="L4085" s="2"/>
      <c r="M4085" s="2"/>
      <c r="N4085" s="4" t="s">
        <v>2259</v>
      </c>
      <c r="O4085" s="4" t="str">
        <f>LEFT(Table2[[#This Row],[Description]],75)</f>
        <v>SQUARE INC CLASS A</v>
      </c>
      <c r="P4085" s="2" t="s">
        <v>2385</v>
      </c>
    </row>
    <row r="4086" spans="1:16" hidden="1">
      <c r="A4086" s="2">
        <v>202101</v>
      </c>
      <c r="B4086" s="3">
        <v>44208</v>
      </c>
      <c r="C4086" s="2" t="s">
        <v>2262</v>
      </c>
      <c r="D4086" s="2" t="s">
        <v>1423</v>
      </c>
      <c r="E4086" s="2">
        <v>-2432.9899999999998</v>
      </c>
      <c r="F4086" s="2" t="e">
        <f>IF(Table2[[#This Row],[Manual Cat Value]]="",VLOOKUP(Table2[[#This Row],[Description]],'Actuals Lookup'!D:F,3,0),Table2[[#This Row],[Manual Cat Value]])</f>
        <v>#N/A</v>
      </c>
      <c r="J4086" s="2">
        <v>2432.9899999999998</v>
      </c>
      <c r="K4086" s="2" t="b">
        <v>0</v>
      </c>
      <c r="L4086" s="2"/>
      <c r="M4086" s="2"/>
      <c r="N4086" s="4" t="s">
        <v>2273</v>
      </c>
      <c r="O4086" s="4" t="str">
        <f>LEFT(Table2[[#This Row],[Description]],75)</f>
        <v>PAYMENT THANK YOU</v>
      </c>
      <c r="P4086" s="2" t="s">
        <v>2391</v>
      </c>
    </row>
    <row r="4087" spans="1:16" hidden="1">
      <c r="A4087" s="2">
        <v>202101</v>
      </c>
      <c r="B4087" s="3">
        <v>44208</v>
      </c>
      <c r="C4087" s="2" t="s">
        <v>2265</v>
      </c>
      <c r="D4087" s="2" t="s">
        <v>2176</v>
      </c>
      <c r="E4087" s="2">
        <v>2432.9899999999998</v>
      </c>
      <c r="F4087" s="2" t="e">
        <f>IF(Table2[[#This Row],[Manual Cat Value]]="",VLOOKUP(Table2[[#This Row],[Description]],'Actuals Lookup'!D:F,3,0),Table2[[#This Row],[Manual Cat Value]])</f>
        <v>#N/A</v>
      </c>
      <c r="J4087" s="2">
        <v>2432.9899999999998</v>
      </c>
      <c r="K4087" s="2" t="b">
        <v>0</v>
      </c>
      <c r="L4087" s="2"/>
      <c r="M4087" s="2"/>
      <c r="N4087" s="4" t="s">
        <v>2259</v>
      </c>
      <c r="O4087" s="4" t="str">
        <f>LEFT(Table2[[#This Row],[Description]],75)</f>
        <v>Withdrawal Home payment to card 979181</v>
      </c>
      <c r="P4087" s="2" t="s">
        <v>2349</v>
      </c>
    </row>
    <row r="4088" spans="1:16" hidden="1">
      <c r="A4088" s="2">
        <v>202101</v>
      </c>
      <c r="B4088" s="3">
        <v>44208</v>
      </c>
      <c r="C4088" s="2" t="s">
        <v>2262</v>
      </c>
      <c r="D4088" s="2" t="s">
        <v>1281</v>
      </c>
      <c r="E4088" s="2">
        <v>113</v>
      </c>
      <c r="F4088" s="2" t="e">
        <f>IF(Table2[[#This Row],[Manual Cat Value]]="",VLOOKUP(Table2[[#This Row],[Description]],'Actuals Lookup'!D:F,3,0),Table2[[#This Row],[Manual Cat Value]])</f>
        <v>#N/A</v>
      </c>
      <c r="J4088" s="2">
        <v>113</v>
      </c>
      <c r="K4088" s="2" t="b">
        <v>0</v>
      </c>
      <c r="L4088" s="2"/>
      <c r="M4088" s="2"/>
      <c r="N4088" s="4" t="s">
        <v>2259</v>
      </c>
      <c r="O4088" s="4" t="str">
        <f>LEFT(Table2[[#This Row],[Description]],75)</f>
        <v>MN COURT HENNEPIN 6512813219 MN</v>
      </c>
      <c r="P4088" s="2" t="s">
        <v>2281</v>
      </c>
    </row>
    <row r="4089" spans="1:16" hidden="1">
      <c r="A4089" s="2">
        <v>202101</v>
      </c>
      <c r="B4089" s="3">
        <v>44208</v>
      </c>
      <c r="C4089" s="2" t="s">
        <v>2262</v>
      </c>
      <c r="D4089" s="2" t="s">
        <v>1282</v>
      </c>
      <c r="E4089" s="2">
        <v>2.34</v>
      </c>
      <c r="F4089" s="2" t="e">
        <f>IF(Table2[[#This Row],[Manual Cat Value]]="",VLOOKUP(Table2[[#This Row],[Description]],'Actuals Lookup'!D:F,3,0),Table2[[#This Row],[Manual Cat Value]])</f>
        <v>#N/A</v>
      </c>
      <c r="J4089" s="2">
        <v>2.34</v>
      </c>
      <c r="K4089" s="2" t="b">
        <v>0</v>
      </c>
      <c r="L4089" s="2"/>
      <c r="M4089" s="2"/>
      <c r="N4089" s="4" t="s">
        <v>2259</v>
      </c>
      <c r="O4089" s="4" t="str">
        <f>LEFT(Table2[[#This Row],[Description]],75)</f>
        <v>MN COURT HENNEPIN WEB SER8668014757 IN</v>
      </c>
      <c r="P4089" s="2" t="s">
        <v>2281</v>
      </c>
    </row>
    <row r="4090" spans="1:16" hidden="1">
      <c r="A4090" s="2">
        <v>202101</v>
      </c>
      <c r="B4090" s="3">
        <v>44208</v>
      </c>
      <c r="C4090" s="2" t="s">
        <v>2300</v>
      </c>
      <c r="D4090" s="2" t="s">
        <v>1648</v>
      </c>
      <c r="E4090" s="2">
        <v>-300</v>
      </c>
      <c r="F4090" s="2" t="e">
        <f>IF(Table2[[#This Row],[Manual Cat Value]]="",VLOOKUP(Table2[[#This Row],[Description]],'Actuals Lookup'!D:F,3,0),Table2[[#This Row],[Manual Cat Value]])</f>
        <v>#N/A</v>
      </c>
      <c r="J4090" s="2">
        <v>300</v>
      </c>
      <c r="K4090" s="2" t="b">
        <v>0</v>
      </c>
      <c r="L4090" s="2"/>
      <c r="M4090" s="2"/>
      <c r="N4090" s="4" t="s">
        <v>2273</v>
      </c>
      <c r="O4090" s="4" t="str">
        <f>LEFT(Table2[[#This Row],[Description]],75)</f>
        <v>Share</v>
      </c>
      <c r="P4090" s="2" t="s">
        <v>2281</v>
      </c>
    </row>
    <row r="4091" spans="1:16" hidden="1">
      <c r="A4091" s="2">
        <v>202101</v>
      </c>
      <c r="B4091" s="3">
        <v>44208</v>
      </c>
      <c r="C4091" s="2" t="s">
        <v>2265</v>
      </c>
      <c r="D4091" s="2" t="s">
        <v>1892</v>
      </c>
      <c r="E4091" s="2">
        <v>300</v>
      </c>
      <c r="F4091" s="2" t="e">
        <f>IF(Table2[[#This Row],[Manual Cat Value]]="",VLOOKUP(Table2[[#This Row],[Description]],'Actuals Lookup'!D:F,3,0),Table2[[#This Row],[Manual Cat Value]])</f>
        <v>#N/A</v>
      </c>
      <c r="J4091" s="2">
        <v>300</v>
      </c>
      <c r="K4091" s="2" t="b">
        <v>0</v>
      </c>
      <c r="L4091" s="2"/>
      <c r="M4091" s="2"/>
      <c r="N4091" s="4" t="s">
        <v>2259</v>
      </c>
      <c r="O4091" s="4" t="str">
        <f>LEFT(Table2[[#This Row],[Description]],75)</f>
        <v>To Share 12</v>
      </c>
      <c r="P4091" s="2" t="s">
        <v>2494</v>
      </c>
    </row>
    <row r="4092" spans="1:16" hidden="1">
      <c r="A4092" s="2">
        <v>202101</v>
      </c>
      <c r="B4092" s="3">
        <v>44209</v>
      </c>
      <c r="C4092" s="2" t="s">
        <v>2447</v>
      </c>
      <c r="D4092" s="2" t="s">
        <v>38</v>
      </c>
      <c r="E4092" s="2">
        <v>14.49</v>
      </c>
      <c r="F4092" s="2" t="str">
        <f>IF(Table2[[#This Row],[Manual Cat Value]]="",VLOOKUP(Table2[[#This Row],[Description]],'Actuals Lookup'!D:F,3,0),Table2[[#This Row],[Manual Cat Value]])</f>
        <v>Amazon</v>
      </c>
      <c r="J4092" s="2">
        <v>14.49</v>
      </c>
      <c r="K4092" s="2" t="b">
        <v>0</v>
      </c>
      <c r="L4092" s="2"/>
      <c r="M4092" s="2"/>
      <c r="N4092" s="4" t="s">
        <v>2259</v>
      </c>
      <c r="O4092" s="4" t="str">
        <f>LEFT(Table2[[#This Row],[Description]],75)</f>
        <v>Amazon</v>
      </c>
      <c r="P4092" s="2" t="s">
        <v>2260</v>
      </c>
    </row>
    <row r="4093" spans="1:16" hidden="1">
      <c r="A4093" s="2">
        <v>202101</v>
      </c>
      <c r="B4093" s="3">
        <v>44209</v>
      </c>
      <c r="C4093" s="2" t="s">
        <v>2258</v>
      </c>
      <c r="D4093" s="2" t="s">
        <v>38</v>
      </c>
      <c r="E4093" s="2">
        <v>14.49</v>
      </c>
      <c r="F4093" s="2" t="str">
        <f>IF(Table2[[#This Row],[Manual Cat Value]]="",VLOOKUP(Table2[[#This Row],[Description]],'Actuals Lookup'!D:F,3,0),Table2[[#This Row],[Manual Cat Value]])</f>
        <v>Amazon</v>
      </c>
      <c r="J4093" s="2">
        <v>14.49</v>
      </c>
      <c r="K4093" s="2" t="b">
        <v>0</v>
      </c>
      <c r="L4093" s="2"/>
      <c r="M4093" s="2"/>
      <c r="N4093" s="4" t="s">
        <v>2259</v>
      </c>
      <c r="O4093" s="4" t="str">
        <f>LEFT(Table2[[#This Row],[Description]],75)</f>
        <v>Amazon</v>
      </c>
      <c r="P4093" s="2" t="s">
        <v>2260</v>
      </c>
    </row>
    <row r="4094" spans="1:16" hidden="1">
      <c r="A4094" s="2">
        <v>202101</v>
      </c>
      <c r="B4094" s="3">
        <v>44209</v>
      </c>
      <c r="C4094" s="2" t="s">
        <v>2265</v>
      </c>
      <c r="D4094" s="2" t="s">
        <v>1207</v>
      </c>
      <c r="E4094" s="2">
        <v>186.55</v>
      </c>
      <c r="F4094" s="2" t="e">
        <f>IF(Table2[[#This Row],[Manual Cat Value]]="",VLOOKUP(Table2[[#This Row],[Description]],'Actuals Lookup'!D:F,3,0),Table2[[#This Row],[Manual Cat Value]])</f>
        <v>#N/A</v>
      </c>
      <c r="J4094" s="2">
        <v>186.55</v>
      </c>
      <c r="K4094" s="2" t="b">
        <v>0</v>
      </c>
      <c r="L4094" s="2"/>
      <c r="M4094" s="2"/>
      <c r="N4094" s="4" t="s">
        <v>2259</v>
      </c>
      <c r="O4094" s="4" t="str">
        <f>LEFT(Table2[[#This Row],[Description]],75)</f>
        <v>MHCHILDCARELLC TYPE DUES ID CO MHCHILDCARELLC ACH ECC PPD ACH Trace 11813</v>
      </c>
      <c r="P4094" s="2" t="s">
        <v>2497</v>
      </c>
    </row>
    <row r="4095" spans="1:16" hidden="1">
      <c r="A4095" s="2">
        <v>202101</v>
      </c>
      <c r="B4095" s="3">
        <v>44209</v>
      </c>
      <c r="C4095" s="2" t="s">
        <v>2262</v>
      </c>
      <c r="D4095" s="2" t="s">
        <v>1268</v>
      </c>
      <c r="E4095" s="2">
        <v>65</v>
      </c>
      <c r="F4095" s="2" t="e">
        <f>IF(Table2[[#This Row],[Manual Cat Value]]="",VLOOKUP(Table2[[#This Row],[Description]],'Actuals Lookup'!D:F,3,0),Table2[[#This Row],[Manual Cat Value]])</f>
        <v>#N/A</v>
      </c>
      <c r="J4095" s="2">
        <v>65</v>
      </c>
      <c r="K4095" s="2" t="b">
        <v>0</v>
      </c>
      <c r="L4095" s="2"/>
      <c r="M4095" s="2"/>
      <c r="N4095" s="4" t="s">
        <v>2259</v>
      </c>
      <c r="O4095" s="4" t="str">
        <f>LEFT(Table2[[#This Row],[Description]],75)</f>
        <v>Minnetonka Community Church</v>
      </c>
      <c r="P4095" s="2" t="s">
        <v>2281</v>
      </c>
    </row>
    <row r="4096" spans="1:16" hidden="1">
      <c r="A4096" s="2">
        <v>202101</v>
      </c>
      <c r="B4096" s="3">
        <v>44209</v>
      </c>
      <c r="C4096" s="2" t="s">
        <v>2262</v>
      </c>
      <c r="D4096" s="2" t="s">
        <v>1707</v>
      </c>
      <c r="E4096" s="2">
        <v>26.34</v>
      </c>
      <c r="F4096" s="2" t="str">
        <f>IF(Table2[[#This Row],[Manual Cat Value]]="",VLOOKUP(Table2[[#This Row],[Description]],'Actuals Lookup'!D:F,3,0),Table2[[#This Row],[Manual Cat Value]])</f>
        <v>Transportation</v>
      </c>
      <c r="J4096" s="2">
        <v>26.34</v>
      </c>
      <c r="K4096" s="2" t="b">
        <v>0</v>
      </c>
      <c r="L4096" s="2"/>
      <c r="M4096" s="2"/>
      <c r="N4096" s="4" t="s">
        <v>2259</v>
      </c>
      <c r="O4096" s="4" t="str">
        <f>LEFT(Table2[[#This Row],[Description]],75)</f>
        <v>Speedway</v>
      </c>
      <c r="P4096" s="2" t="s">
        <v>2381</v>
      </c>
    </row>
    <row r="4097" spans="1:16" hidden="1">
      <c r="A4097" s="2">
        <v>202101</v>
      </c>
      <c r="B4097" s="3">
        <v>44210</v>
      </c>
      <c r="C4097" s="2" t="s">
        <v>2265</v>
      </c>
      <c r="D4097" s="2" t="s">
        <v>131</v>
      </c>
      <c r="E4097" s="2">
        <v>95.71</v>
      </c>
      <c r="F4097" s="2" t="str">
        <f>IF(Table2[[#This Row],[Manual Cat Value]]="",VLOOKUP(Table2[[#This Row],[Description]],'Actuals Lookup'!D:F,3,0),Table2[[#This Row],[Manual Cat Value]])</f>
        <v>Insurance</v>
      </c>
      <c r="J4097" s="2">
        <v>95.71</v>
      </c>
      <c r="K4097" s="2" t="b">
        <v>0</v>
      </c>
      <c r="L4097" s="2"/>
      <c r="M4097" s="2"/>
      <c r="N4097" s="4" t="s">
        <v>2259</v>
      </c>
      <c r="O4097" s="4" t="str">
        <f>LEFT(Table2[[#This Row],[Description]],75)</f>
        <v>American Family Insurance</v>
      </c>
      <c r="P4097" s="2" t="s">
        <v>2286</v>
      </c>
    </row>
    <row r="4098" spans="1:16" hidden="1">
      <c r="A4098" s="2">
        <v>202101</v>
      </c>
      <c r="B4098" s="3">
        <v>44210</v>
      </c>
      <c r="C4098" s="2" t="s">
        <v>2265</v>
      </c>
      <c r="D4098" s="2" t="s">
        <v>610</v>
      </c>
      <c r="E4098" s="2">
        <v>-2276.16</v>
      </c>
      <c r="F4098" s="2" t="e">
        <f>IF(Table2[[#This Row],[Manual Cat Value]]="",VLOOKUP(Table2[[#This Row],[Description]],'Actuals Lookup'!D:F,3,0),Table2[[#This Row],[Manual Cat Value]])</f>
        <v>#N/A</v>
      </c>
      <c r="J4098" s="2">
        <v>2276.16</v>
      </c>
      <c r="K4098" s="2" t="b">
        <v>0</v>
      </c>
      <c r="L4098" s="2"/>
      <c r="M4098" s="2"/>
      <c r="N4098" s="4" t="s">
        <v>2273</v>
      </c>
      <c r="O4098" s="4" t="str">
        <f>LEFT(Table2[[#This Row],[Description]],75)</f>
        <v>CONNECTED ANALYT TYPE DIRECT DEP ID CO CONNECTED ANALYT ACH ECC PPD ACH Tra</v>
      </c>
      <c r="P4098" s="2" t="s">
        <v>2536</v>
      </c>
    </row>
    <row r="4099" spans="1:16" hidden="1">
      <c r="A4099" s="2">
        <v>202101</v>
      </c>
      <c r="B4099" s="3">
        <v>44210</v>
      </c>
      <c r="C4099" s="2" t="s">
        <v>2262</v>
      </c>
      <c r="D4099" s="2" t="s">
        <v>702</v>
      </c>
      <c r="E4099" s="2">
        <v>38.200000000000003</v>
      </c>
      <c r="F4099" s="2" t="e">
        <f>IF(Table2[[#This Row],[Manual Cat Value]]="",VLOOKUP(Table2[[#This Row],[Description]],'Actuals Lookup'!D:F,3,0),Table2[[#This Row],[Manual Cat Value]])</f>
        <v>#N/A</v>
      </c>
      <c r="J4099" s="2">
        <v>38.200000000000003</v>
      </c>
      <c r="K4099" s="2" t="b">
        <v>0</v>
      </c>
      <c r="L4099" s="2"/>
      <c r="M4099" s="2"/>
      <c r="N4099" s="4" t="s">
        <v>2259</v>
      </c>
      <c r="O4099" s="4" t="str">
        <f>LEFT(Table2[[#This Row],[Description]],75)</f>
        <v>Delta</v>
      </c>
      <c r="P4099" s="2" t="s">
        <v>2510</v>
      </c>
    </row>
    <row r="4100" spans="1:16" hidden="1">
      <c r="A4100" s="2">
        <v>202101</v>
      </c>
      <c r="B4100" s="3">
        <v>44210</v>
      </c>
      <c r="C4100" s="2" t="s">
        <v>2262</v>
      </c>
      <c r="D4100" s="2" t="s">
        <v>702</v>
      </c>
      <c r="E4100" s="2">
        <v>126.45</v>
      </c>
      <c r="F4100" s="2" t="e">
        <f>IF(Table2[[#This Row],[Manual Cat Value]]="",VLOOKUP(Table2[[#This Row],[Description]],'Actuals Lookup'!D:F,3,0),Table2[[#This Row],[Manual Cat Value]])</f>
        <v>#N/A</v>
      </c>
      <c r="J4100" s="2">
        <v>126.45</v>
      </c>
      <c r="K4100" s="2" t="b">
        <v>0</v>
      </c>
      <c r="L4100" s="2"/>
      <c r="M4100" s="2"/>
      <c r="N4100" s="4" t="s">
        <v>2259</v>
      </c>
      <c r="O4100" s="4" t="str">
        <f>LEFT(Table2[[#This Row],[Description]],75)</f>
        <v>Delta</v>
      </c>
      <c r="P4100" s="2" t="s">
        <v>2510</v>
      </c>
    </row>
    <row r="4101" spans="1:16" hidden="1">
      <c r="A4101" s="2">
        <v>202101</v>
      </c>
      <c r="B4101" s="3">
        <v>44210</v>
      </c>
      <c r="C4101" s="2" t="s">
        <v>2262</v>
      </c>
      <c r="D4101" s="2" t="s">
        <v>808</v>
      </c>
      <c r="E4101" s="2">
        <v>56</v>
      </c>
      <c r="F4101" s="2" t="str">
        <f>IF(Table2[[#This Row],[Manual Cat Value]]="",VLOOKUP(Table2[[#This Row],[Description]],'Actuals Lookup'!D:F,3,0),Table2[[#This Row],[Manual Cat Value]])</f>
        <v>Misc</v>
      </c>
      <c r="J4101" s="2">
        <v>56</v>
      </c>
      <c r="K4101" s="2" t="b">
        <v>0</v>
      </c>
      <c r="L4101" s="2"/>
      <c r="M4101" s="2"/>
      <c r="N4101" s="4" t="s">
        <v>2259</v>
      </c>
      <c r="O4101" s="4" t="str">
        <f>LEFT(Table2[[#This Row],[Description]],75)</f>
        <v>Elite Nails</v>
      </c>
      <c r="P4101" s="2" t="s">
        <v>2487</v>
      </c>
    </row>
    <row r="4102" spans="1:16" hidden="1">
      <c r="A4102" s="2">
        <v>202101</v>
      </c>
      <c r="B4102" s="3">
        <v>44210</v>
      </c>
      <c r="C4102" s="2" t="s">
        <v>2262</v>
      </c>
      <c r="D4102" s="2" t="s">
        <v>1529</v>
      </c>
      <c r="E4102" s="2">
        <v>168.56</v>
      </c>
      <c r="F4102" s="2" t="e">
        <f>IF(Table2[[#This Row],[Manual Cat Value]]="",VLOOKUP(Table2[[#This Row],[Description]],'Actuals Lookup'!D:F,3,0),Table2[[#This Row],[Manual Cat Value]])</f>
        <v>#N/A</v>
      </c>
      <c r="J4102" s="2">
        <v>168.56</v>
      </c>
      <c r="K4102" s="2" t="b">
        <v>0</v>
      </c>
      <c r="L4102" s="2"/>
      <c r="M4102" s="2"/>
      <c r="N4102" s="4" t="s">
        <v>2259</v>
      </c>
      <c r="O4102" s="4" t="str">
        <f>LEFT(Table2[[#This Row],[Description]],75)</f>
        <v>PT PARK NICOLLET WEB 9529937672 MN</v>
      </c>
      <c r="P4102" s="2" t="s">
        <v>2281</v>
      </c>
    </row>
    <row r="4103" spans="1:16" hidden="1">
      <c r="A4103" s="2">
        <v>202101</v>
      </c>
      <c r="B4103" s="3">
        <v>44211</v>
      </c>
      <c r="C4103" s="2" t="s">
        <v>2262</v>
      </c>
      <c r="D4103" s="2" t="s">
        <v>1423</v>
      </c>
      <c r="E4103" s="2">
        <v>-595.89</v>
      </c>
      <c r="F4103" s="2" t="e">
        <f>IF(Table2[[#This Row],[Manual Cat Value]]="",VLOOKUP(Table2[[#This Row],[Description]],'Actuals Lookup'!D:F,3,0),Table2[[#This Row],[Manual Cat Value]])</f>
        <v>#N/A</v>
      </c>
      <c r="J4103" s="2">
        <v>595.89</v>
      </c>
      <c r="K4103" s="2" t="b">
        <v>0</v>
      </c>
      <c r="L4103" s="2"/>
      <c r="M4103" s="2"/>
      <c r="N4103" s="4" t="s">
        <v>2273</v>
      </c>
      <c r="O4103" s="4" t="str">
        <f>LEFT(Table2[[#This Row],[Description]],75)</f>
        <v>PAYMENT THANK YOU</v>
      </c>
      <c r="P4103" s="2" t="s">
        <v>2391</v>
      </c>
    </row>
    <row r="4104" spans="1:16" hidden="1">
      <c r="A4104" s="2">
        <v>202101</v>
      </c>
      <c r="B4104" s="3">
        <v>44211</v>
      </c>
      <c r="C4104" s="2" t="s">
        <v>2265</v>
      </c>
      <c r="D4104" s="2" t="s">
        <v>2176</v>
      </c>
      <c r="E4104" s="2">
        <v>595.89</v>
      </c>
      <c r="F4104" s="2" t="e">
        <f>IF(Table2[[#This Row],[Manual Cat Value]]="",VLOOKUP(Table2[[#This Row],[Description]],'Actuals Lookup'!D:F,3,0),Table2[[#This Row],[Manual Cat Value]])</f>
        <v>#N/A</v>
      </c>
      <c r="J4104" s="2">
        <v>595.89</v>
      </c>
      <c r="K4104" s="2" t="b">
        <v>0</v>
      </c>
      <c r="L4104" s="2"/>
      <c r="M4104" s="2"/>
      <c r="N4104" s="4" t="s">
        <v>2259</v>
      </c>
      <c r="O4104" s="4" t="str">
        <f>LEFT(Table2[[#This Row],[Description]],75)</f>
        <v>Withdrawal Home payment to card 979181</v>
      </c>
      <c r="P4104" s="2" t="s">
        <v>2349</v>
      </c>
    </row>
    <row r="4105" spans="1:16" hidden="1">
      <c r="A4105" s="2">
        <v>202101</v>
      </c>
      <c r="B4105" s="3">
        <v>44211</v>
      </c>
      <c r="C4105" s="2" t="s">
        <v>2262</v>
      </c>
      <c r="D4105" s="2" t="s">
        <v>329</v>
      </c>
      <c r="E4105" s="2">
        <v>23.17</v>
      </c>
      <c r="F4105" s="2" t="e">
        <f>IF(Table2[[#This Row],[Manual Cat Value]]="",VLOOKUP(Table2[[#This Row],[Description]],'Actuals Lookup'!D:F,3,0),Table2[[#This Row],[Manual Cat Value]])</f>
        <v>#N/A</v>
      </c>
      <c r="J4105" s="2">
        <v>23.17</v>
      </c>
      <c r="K4105" s="2" t="b">
        <v>0</v>
      </c>
      <c r="L4105" s="2"/>
      <c r="M4105" s="2"/>
      <c r="N4105" s="4" t="s">
        <v>2259</v>
      </c>
      <c r="O4105" s="4" t="str">
        <f>LEFT(Table2[[#This Row],[Description]],75)</f>
        <v>Buffalo Wild Wings</v>
      </c>
      <c r="P4105" s="2" t="s">
        <v>2281</v>
      </c>
    </row>
    <row r="4106" spans="1:16" hidden="1">
      <c r="A4106" s="2">
        <v>202101</v>
      </c>
      <c r="B4106" s="3">
        <v>44211</v>
      </c>
      <c r="C4106" s="2" t="s">
        <v>2262</v>
      </c>
      <c r="D4106" s="2" t="s">
        <v>338</v>
      </c>
      <c r="E4106" s="2">
        <v>2.79</v>
      </c>
      <c r="F4106" s="2" t="e">
        <f>IF(Table2[[#This Row],[Manual Cat Value]]="",VLOOKUP(Table2[[#This Row],[Description]],'Actuals Lookup'!D:F,3,0),Table2[[#This Row],[Manual Cat Value]])</f>
        <v>#N/A</v>
      </c>
      <c r="J4106" s="2">
        <v>2.79</v>
      </c>
      <c r="K4106" s="2" t="b">
        <v>0</v>
      </c>
      <c r="L4106" s="2"/>
      <c r="M4106" s="2"/>
      <c r="N4106" s="4" t="s">
        <v>2259</v>
      </c>
      <c r="O4106" s="4" t="str">
        <f>LEFT(Table2[[#This Row],[Description]],75)</f>
        <v>Byerly's</v>
      </c>
      <c r="P4106" s="2" t="s">
        <v>2364</v>
      </c>
    </row>
    <row r="4107" spans="1:16" hidden="1">
      <c r="A4107" s="2">
        <v>202101</v>
      </c>
      <c r="B4107" s="3">
        <v>44211</v>
      </c>
      <c r="C4107" s="2" t="s">
        <v>2262</v>
      </c>
      <c r="D4107" s="2" t="s">
        <v>338</v>
      </c>
      <c r="E4107" s="2">
        <v>25.68</v>
      </c>
      <c r="F4107" s="2" t="e">
        <f>IF(Table2[[#This Row],[Manual Cat Value]]="",VLOOKUP(Table2[[#This Row],[Description]],'Actuals Lookup'!D:F,3,0),Table2[[#This Row],[Manual Cat Value]])</f>
        <v>#N/A</v>
      </c>
      <c r="J4107" s="2">
        <v>25.68</v>
      </c>
      <c r="K4107" s="2" t="b">
        <v>0</v>
      </c>
      <c r="L4107" s="2"/>
      <c r="M4107" s="2"/>
      <c r="N4107" s="4" t="s">
        <v>2259</v>
      </c>
      <c r="O4107" s="4" t="str">
        <f>LEFT(Table2[[#This Row],[Description]],75)</f>
        <v>Byerly's</v>
      </c>
      <c r="P4107" s="2" t="s">
        <v>2364</v>
      </c>
    </row>
    <row r="4108" spans="1:16" hidden="1">
      <c r="A4108" s="2">
        <v>202101</v>
      </c>
      <c r="B4108" s="3">
        <v>44211</v>
      </c>
      <c r="C4108" s="2" t="s">
        <v>2317</v>
      </c>
      <c r="D4108" s="2" t="s">
        <v>605</v>
      </c>
      <c r="E4108" s="2">
        <v>-250</v>
      </c>
      <c r="F4108" s="2" t="e">
        <f>IF(Table2[[#This Row],[Manual Cat Value]]="",VLOOKUP(Table2[[#This Row],[Description]],'Actuals Lookup'!D:F,3,0),Table2[[#This Row],[Manual Cat Value]])</f>
        <v>#N/A</v>
      </c>
      <c r="J4108" s="2">
        <v>250</v>
      </c>
      <c r="K4108" s="2" t="b">
        <v>0</v>
      </c>
      <c r="L4108" s="2"/>
      <c r="M4108" s="2"/>
      <c r="N4108" s="4" t="s">
        <v>2273</v>
      </c>
      <c r="O4108" s="4" t="str">
        <f>LEFT(Table2[[#This Row],[Description]],75)</f>
        <v>CONNECTED ANALYT</v>
      </c>
      <c r="P4108" s="2" t="s">
        <v>2493</v>
      </c>
    </row>
    <row r="4109" spans="1:16" hidden="1">
      <c r="A4109" s="2">
        <v>202101</v>
      </c>
      <c r="B4109" s="3">
        <v>44211</v>
      </c>
      <c r="C4109" s="2" t="s">
        <v>2435</v>
      </c>
      <c r="D4109" s="2" t="s">
        <v>1836</v>
      </c>
      <c r="E4109" s="2">
        <v>-250</v>
      </c>
      <c r="F4109" s="2" t="e">
        <f>IF(Table2[[#This Row],[Manual Cat Value]]="",VLOOKUP(Table2[[#This Row],[Description]],'Actuals Lookup'!D:F,3,0),Table2[[#This Row],[Manual Cat Value]])</f>
        <v>#N/A</v>
      </c>
      <c r="J4109" s="2">
        <v>250</v>
      </c>
      <c r="K4109" s="2" t="b">
        <v>0</v>
      </c>
      <c r="L4109" s="2"/>
      <c r="M4109" s="2"/>
      <c r="N4109" s="4" t="s">
        <v>2273</v>
      </c>
      <c r="O4109" s="4" t="str">
        <f>LEFT(Table2[[#This Row],[Description]],75)</f>
        <v>Tfr JPMORGAN CHASE BAN, CONNECTED ANALYT</v>
      </c>
      <c r="P4109" s="2" t="s">
        <v>2493</v>
      </c>
    </row>
    <row r="4110" spans="1:16" hidden="1">
      <c r="A4110" s="2">
        <v>202101</v>
      </c>
      <c r="B4110" s="3">
        <v>44213</v>
      </c>
      <c r="C4110" s="2" t="s">
        <v>2262</v>
      </c>
      <c r="D4110" s="2" t="s">
        <v>1166</v>
      </c>
      <c r="E4110" s="2">
        <v>693.56</v>
      </c>
      <c r="F4110" s="2" t="e">
        <f>IF(Table2[[#This Row],[Manual Cat Value]]="",VLOOKUP(Table2[[#This Row],[Description]],'Actuals Lookup'!D:F,3,0),Table2[[#This Row],[Manual Cat Value]])</f>
        <v>#N/A</v>
      </c>
      <c r="J4110" s="2">
        <v>693.56</v>
      </c>
      <c r="K4110" s="2" t="b">
        <v>0</v>
      </c>
      <c r="L4110" s="2"/>
      <c r="M4110" s="2"/>
      <c r="N4110" s="4" t="s">
        <v>2259</v>
      </c>
      <c r="O4110" s="4" t="str">
        <f>LEFT(Table2[[#This Row],[Description]],75)</f>
        <v>LUTSEN MOUNTAINS 9999999999 MN</v>
      </c>
      <c r="P4110" s="2" t="s">
        <v>2281</v>
      </c>
    </row>
    <row r="4111" spans="1:16" hidden="1">
      <c r="A4111" s="2">
        <v>202101</v>
      </c>
      <c r="B4111" s="3">
        <v>44213</v>
      </c>
      <c r="C4111" s="2" t="s">
        <v>2262</v>
      </c>
      <c r="D4111" s="2" t="s">
        <v>1408</v>
      </c>
      <c r="E4111" s="2">
        <v>-399</v>
      </c>
      <c r="F4111" s="2" t="str">
        <f>IF(Table2[[#This Row],[Manual Cat Value]]="",VLOOKUP(Table2[[#This Row],[Description]],'Actuals Lookup'!D:F,3,0),Table2[[#This Row],[Manual Cat Value]])</f>
        <v>Shopping</v>
      </c>
      <c r="J4111" s="2">
        <v>399</v>
      </c>
      <c r="K4111" s="2" t="b">
        <v>0</v>
      </c>
      <c r="L4111" s="2"/>
      <c r="M4111" s="2"/>
      <c r="N4111" s="4" t="s">
        <v>2273</v>
      </c>
      <c r="O4111" s="4" t="str">
        <f>LEFT(Table2[[#This Row],[Description]],75)</f>
        <v>Patagonia</v>
      </c>
      <c r="P4111" s="2" t="s">
        <v>2436</v>
      </c>
    </row>
    <row r="4112" spans="1:16" hidden="1">
      <c r="A4112" s="2">
        <v>202101</v>
      </c>
      <c r="B4112" s="3">
        <v>44213</v>
      </c>
      <c r="C4112" s="2" t="s">
        <v>2262</v>
      </c>
      <c r="D4112" s="2" t="s">
        <v>1408</v>
      </c>
      <c r="E4112" s="2">
        <v>-479</v>
      </c>
      <c r="F4112" s="2" t="str">
        <f>IF(Table2[[#This Row],[Manual Cat Value]]="",VLOOKUP(Table2[[#This Row],[Description]],'Actuals Lookup'!D:F,3,0),Table2[[#This Row],[Manual Cat Value]])</f>
        <v>Shopping</v>
      </c>
      <c r="J4112" s="2">
        <v>479</v>
      </c>
      <c r="K4112" s="2" t="b">
        <v>0</v>
      </c>
      <c r="L4112" s="2"/>
      <c r="M4112" s="2"/>
      <c r="N4112" s="4" t="s">
        <v>2273</v>
      </c>
      <c r="O4112" s="4" t="str">
        <f>LEFT(Table2[[#This Row],[Description]],75)</f>
        <v>Patagonia</v>
      </c>
      <c r="P4112" s="2" t="s">
        <v>2436</v>
      </c>
    </row>
    <row r="4113" spans="1:16" hidden="1">
      <c r="A4113" s="2">
        <v>202101</v>
      </c>
      <c r="B4113" s="3">
        <v>44213</v>
      </c>
      <c r="C4113" s="2" t="s">
        <v>2262</v>
      </c>
      <c r="D4113" s="2" t="s">
        <v>1928</v>
      </c>
      <c r="E4113" s="2">
        <v>-90</v>
      </c>
      <c r="F4113" s="2" t="e">
        <f>IF(Table2[[#This Row],[Manual Cat Value]]="",VLOOKUP(Table2[[#This Row],[Description]],'Actuals Lookup'!D:F,3,0),Table2[[#This Row],[Manual Cat Value]])</f>
        <v>#N/A</v>
      </c>
      <c r="J4113" s="2">
        <v>90</v>
      </c>
      <c r="K4113" s="2" t="b">
        <v>0</v>
      </c>
      <c r="L4113" s="2"/>
      <c r="M4113" s="2"/>
      <c r="N4113" s="4" t="s">
        <v>2273</v>
      </c>
      <c r="O4113" s="4" t="str">
        <f>LEFT(Table2[[#This Row],[Description]],75)</f>
        <v>Total Wine More</v>
      </c>
      <c r="P4113" s="2" t="s">
        <v>2281</v>
      </c>
    </row>
    <row r="4114" spans="1:16" hidden="1">
      <c r="A4114" s="2">
        <v>202101</v>
      </c>
      <c r="B4114" s="3">
        <v>44213</v>
      </c>
      <c r="C4114" s="2" t="s">
        <v>2262</v>
      </c>
      <c r="D4114" s="2" t="s">
        <v>2008</v>
      </c>
      <c r="E4114" s="2">
        <v>220.99</v>
      </c>
      <c r="F4114" s="2" t="e">
        <f>IF(Table2[[#This Row],[Manual Cat Value]]="",VLOOKUP(Table2[[#This Row],[Description]],'Actuals Lookup'!D:F,3,0),Table2[[#This Row],[Manual Cat Value]])</f>
        <v>#N/A</v>
      </c>
      <c r="J4114" s="2">
        <v>220.99</v>
      </c>
      <c r="K4114" s="2" t="b">
        <v>0</v>
      </c>
      <c r="L4114" s="2"/>
      <c r="M4114" s="2"/>
      <c r="N4114" s="4" t="s">
        <v>2259</v>
      </c>
      <c r="O4114" s="4" t="str">
        <f>LEFT(Table2[[#This Row],[Description]],75)</f>
        <v>TST COPPER COW MINNETONKA MN</v>
      </c>
      <c r="P4114" s="2" t="s">
        <v>2281</v>
      </c>
    </row>
    <row r="4115" spans="1:16" hidden="1">
      <c r="A4115" s="2">
        <v>202101</v>
      </c>
      <c r="B4115" s="3">
        <v>44213</v>
      </c>
      <c r="C4115" s="2" t="s">
        <v>2262</v>
      </c>
      <c r="D4115" s="2" t="s">
        <v>2138</v>
      </c>
      <c r="E4115" s="2">
        <v>-21.67</v>
      </c>
      <c r="F4115" s="2" t="e">
        <f>IF(Table2[[#This Row],[Manual Cat Value]]="",VLOOKUP(Table2[[#This Row],[Description]],'Actuals Lookup'!D:F,3,0),Table2[[#This Row],[Manual Cat Value]])</f>
        <v>#N/A</v>
      </c>
      <c r="J4115" s="2">
        <v>21.67</v>
      </c>
      <c r="K4115" s="2" t="b">
        <v>0</v>
      </c>
      <c r="L4115" s="2"/>
      <c r="M4115" s="2"/>
      <c r="N4115" s="4" t="s">
        <v>2273</v>
      </c>
      <c r="O4115" s="4" t="str">
        <f>LEFT(Table2[[#This Row],[Description]],75)</f>
        <v>Wal-Mart</v>
      </c>
      <c r="P4115" s="2" t="s">
        <v>2296</v>
      </c>
    </row>
    <row r="4116" spans="1:16" hidden="1">
      <c r="A4116" s="2">
        <v>202101</v>
      </c>
      <c r="B4116" s="3">
        <v>44214</v>
      </c>
      <c r="C4116" s="2" t="s">
        <v>2265</v>
      </c>
      <c r="D4116" s="2" t="s">
        <v>637</v>
      </c>
      <c r="E4116" s="2">
        <v>-168.56</v>
      </c>
      <c r="F4116" s="2" t="e">
        <f>IF(Table2[[#This Row],[Manual Cat Value]]="",VLOOKUP(Table2[[#This Row],[Description]],'Actuals Lookup'!D:F,3,0),Table2[[#This Row],[Manual Cat Value]])</f>
        <v>#N/A</v>
      </c>
      <c r="J4116" s="2">
        <v>168.56</v>
      </c>
      <c r="K4116" s="2" t="b">
        <v>0</v>
      </c>
      <c r="L4116" s="2"/>
      <c r="M4116" s="2"/>
      <c r="N4116" s="4" t="s">
        <v>2273</v>
      </c>
      <c r="O4116" s="4" t="str">
        <f>LEFT(Table2[[#This Row],[Description]],75)</f>
        <v>Connectyourcare Type Svbclaims</v>
      </c>
      <c r="P4116" s="2" t="s">
        <v>2281</v>
      </c>
    </row>
    <row r="4117" spans="1:16" hidden="1">
      <c r="A4117" s="2">
        <v>202101</v>
      </c>
      <c r="B4117" s="3">
        <v>44214</v>
      </c>
      <c r="C4117" s="2" t="s">
        <v>2262</v>
      </c>
      <c r="D4117" s="2" t="s">
        <v>1829</v>
      </c>
      <c r="E4117" s="2">
        <v>38.28</v>
      </c>
      <c r="F4117" s="2" t="e">
        <f>IF(Table2[[#This Row],[Manual Cat Value]]="",VLOOKUP(Table2[[#This Row],[Description]],'Actuals Lookup'!D:F,3,0),Table2[[#This Row],[Manual Cat Value]])</f>
        <v>#N/A</v>
      </c>
      <c r="J4117" s="2">
        <v>38.28</v>
      </c>
      <c r="K4117" s="2" t="b">
        <v>0</v>
      </c>
      <c r="L4117" s="2"/>
      <c r="M4117" s="2"/>
      <c r="N4117" s="4" t="s">
        <v>2259</v>
      </c>
      <c r="O4117" s="4" t="str">
        <f>LEFT(Table2[[#This Row],[Description]],75)</f>
        <v>TEQUILA BUTCHER CHANHASSEN MN</v>
      </c>
      <c r="P4117" s="2" t="s">
        <v>2446</v>
      </c>
    </row>
    <row r="4118" spans="1:16" hidden="1">
      <c r="A4118" s="2">
        <v>202101</v>
      </c>
      <c r="B4118" s="3">
        <v>44215</v>
      </c>
      <c r="C4118" s="2" t="s">
        <v>2434</v>
      </c>
      <c r="D4118" s="2" t="s">
        <v>247</v>
      </c>
      <c r="E4118" s="2">
        <v>-0.08</v>
      </c>
      <c r="F4118" s="2" t="e">
        <f>IF(Table2[[#This Row],[Manual Cat Value]]="",VLOOKUP(Table2[[#This Row],[Description]],'Actuals Lookup'!D:F,3,0),Table2[[#This Row],[Manual Cat Value]])</f>
        <v>#N/A</v>
      </c>
      <c r="J4118" s="2">
        <v>0.08</v>
      </c>
      <c r="K4118" s="2" t="b">
        <v>0</v>
      </c>
      <c r="L4118" s="2"/>
      <c r="M4118" s="2"/>
      <c r="N4118" s="4" t="s">
        <v>2273</v>
      </c>
      <c r="O4118" s="4" t="str">
        <f>LEFT(Table2[[#This Row],[Description]],75)</f>
        <v>BANK INT 121620-011521 SCHWAB PREMIER BANK</v>
      </c>
      <c r="P4118" s="2"/>
    </row>
    <row r="4119" spans="1:16" hidden="1">
      <c r="A4119" s="2">
        <v>202101</v>
      </c>
      <c r="B4119" s="3">
        <v>44215</v>
      </c>
      <c r="C4119" s="2" t="s">
        <v>2435</v>
      </c>
      <c r="D4119" s="2" t="s">
        <v>247</v>
      </c>
      <c r="E4119" s="2">
        <v>-0.02</v>
      </c>
      <c r="F4119" s="2" t="e">
        <f>IF(Table2[[#This Row],[Manual Cat Value]]="",VLOOKUP(Table2[[#This Row],[Description]],'Actuals Lookup'!D:F,3,0),Table2[[#This Row],[Manual Cat Value]])</f>
        <v>#N/A</v>
      </c>
      <c r="J4119" s="2">
        <v>0.02</v>
      </c>
      <c r="K4119" s="2" t="b">
        <v>0</v>
      </c>
      <c r="L4119" s="2"/>
      <c r="M4119" s="2"/>
      <c r="N4119" s="4" t="s">
        <v>2273</v>
      </c>
      <c r="O4119" s="4" t="str">
        <f>LEFT(Table2[[#This Row],[Description]],75)</f>
        <v>BANK INT 121620-011521 SCHWAB PREMIER BANK</v>
      </c>
      <c r="P4119" s="2"/>
    </row>
    <row r="4120" spans="1:16" hidden="1">
      <c r="A4120" s="2">
        <v>202101</v>
      </c>
      <c r="B4120" s="3">
        <v>44215</v>
      </c>
      <c r="C4120" s="2" t="s">
        <v>2262</v>
      </c>
      <c r="D4120" s="2" t="s">
        <v>730</v>
      </c>
      <c r="E4120" s="2">
        <v>40</v>
      </c>
      <c r="F4120" s="2" t="e">
        <f>IF(Table2[[#This Row],[Manual Cat Value]]="",VLOOKUP(Table2[[#This Row],[Description]],'Actuals Lookup'!D:F,3,0),Table2[[#This Row],[Manual Cat Value]])</f>
        <v>#N/A</v>
      </c>
      <c r="J4120" s="2">
        <v>40</v>
      </c>
      <c r="K4120" s="2" t="b">
        <v>0</v>
      </c>
      <c r="L4120" s="2"/>
      <c r="M4120" s="2"/>
      <c r="N4120" s="4" t="s">
        <v>2259</v>
      </c>
      <c r="O4120" s="4" t="str">
        <f>LEFT(Table2[[#This Row],[Description]],75)</f>
        <v>DGC PICTURE CABO CABO SAN LUCAMX</v>
      </c>
      <c r="P4120" s="2" t="s">
        <v>2281</v>
      </c>
    </row>
    <row r="4121" spans="1:16" hidden="1">
      <c r="A4121" s="2">
        <v>202101</v>
      </c>
      <c r="B4121" s="3">
        <v>44215</v>
      </c>
      <c r="C4121" s="2" t="s">
        <v>2262</v>
      </c>
      <c r="D4121" s="2" t="s">
        <v>1088</v>
      </c>
      <c r="E4121" s="2">
        <v>71.56</v>
      </c>
      <c r="F4121" s="2" t="e">
        <f>IF(Table2[[#This Row],[Manual Cat Value]]="",VLOOKUP(Table2[[#This Row],[Description]],'Actuals Lookup'!D:F,3,0),Table2[[#This Row],[Manual Cat Value]])</f>
        <v>#N/A</v>
      </c>
      <c r="J4121" s="2">
        <v>71.56</v>
      </c>
      <c r="K4121" s="2" t="b">
        <v>0</v>
      </c>
      <c r="L4121" s="2"/>
      <c r="M4121" s="2"/>
      <c r="N4121" s="4" t="s">
        <v>2259</v>
      </c>
      <c r="O4121" s="4" t="str">
        <f>LEFT(Table2[[#This Row],[Description]],75)</f>
        <v>LA COMER LA CASCADA LOS CABOS MX</v>
      </c>
      <c r="P4121" s="2" t="s">
        <v>2281</v>
      </c>
    </row>
    <row r="4122" spans="1:16" hidden="1">
      <c r="A4122" s="2">
        <v>202101</v>
      </c>
      <c r="B4122" s="3">
        <v>44215</v>
      </c>
      <c r="C4122" s="2" t="s">
        <v>2265</v>
      </c>
      <c r="D4122" s="2" t="s">
        <v>1293</v>
      </c>
      <c r="E4122" s="2">
        <v>200</v>
      </c>
      <c r="F4122" s="2" t="e">
        <f>IF(Table2[[#This Row],[Manual Cat Value]]="",VLOOKUP(Table2[[#This Row],[Description]],'Actuals Lookup'!D:F,3,0),Table2[[#This Row],[Manual Cat Value]])</f>
        <v>#N/A</v>
      </c>
      <c r="J4122" s="2">
        <v>200</v>
      </c>
      <c r="K4122" s="2" t="b">
        <v>0</v>
      </c>
      <c r="L4122" s="2"/>
      <c r="M4122" s="2"/>
      <c r="N4122" s="4" t="s">
        <v>2259</v>
      </c>
      <c r="O4122" s="4" t="str">
        <f>LEFT(Table2[[#This Row],[Description]],75)</f>
        <v>MN DIR ACH TYPE CONTRIB ID CO MN DIR ACH ACH ECC WEB ACH Trace 47209</v>
      </c>
      <c r="P4122" s="2" t="s">
        <v>2469</v>
      </c>
    </row>
    <row r="4123" spans="1:16" hidden="1">
      <c r="A4123" s="2">
        <v>202101</v>
      </c>
      <c r="B4123" s="3">
        <v>44215</v>
      </c>
      <c r="C4123" s="2" t="s">
        <v>2265</v>
      </c>
      <c r="D4123" s="2" t="s">
        <v>1471</v>
      </c>
      <c r="E4123" s="2">
        <v>19.989999999999998</v>
      </c>
      <c r="F4123" s="2" t="str">
        <f>IF(Table2[[#This Row],[Manual Cat Value]]="",VLOOKUP(Table2[[#This Row],[Description]],'Actuals Lookup'!D:F,3,0),Table2[[#This Row],[Manual Cat Value]])</f>
        <v>Shopping</v>
      </c>
      <c r="J4123" s="2">
        <v>19.989999999999998</v>
      </c>
      <c r="K4123" s="2" t="b">
        <v>0</v>
      </c>
      <c r="L4123" s="2"/>
      <c r="M4123" s="2"/>
      <c r="N4123" s="4" t="s">
        <v>2259</v>
      </c>
      <c r="O4123" s="4" t="str">
        <f>LEFT(Table2[[#This Row],[Description]],75)</f>
        <v>PayPal</v>
      </c>
      <c r="P4123" s="2" t="s">
        <v>2322</v>
      </c>
    </row>
    <row r="4124" spans="1:16" hidden="1">
      <c r="A4124" s="2">
        <v>202101</v>
      </c>
      <c r="B4124" s="3">
        <v>44215</v>
      </c>
      <c r="C4124" s="2" t="s">
        <v>2262</v>
      </c>
      <c r="D4124" s="2" t="s">
        <v>1773</v>
      </c>
      <c r="E4124" s="2">
        <v>15</v>
      </c>
      <c r="F4124" s="2" t="str">
        <f>IF(Table2[[#This Row],[Manual Cat Value]]="",VLOOKUP(Table2[[#This Row],[Description]],'Actuals Lookup'!D:F,3,0),Table2[[#This Row],[Manual Cat Value]])</f>
        <v>Restaurants</v>
      </c>
      <c r="J4124" s="2">
        <v>15</v>
      </c>
      <c r="K4124" s="2" t="b">
        <v>0</v>
      </c>
      <c r="L4124" s="2"/>
      <c r="M4124" s="2"/>
      <c r="N4124" s="4" t="s">
        <v>2259</v>
      </c>
      <c r="O4124" s="4" t="str">
        <f>LEFT(Table2[[#This Row],[Description]],75)</f>
        <v>Starbucks</v>
      </c>
      <c r="P4124" s="2" t="s">
        <v>2454</v>
      </c>
    </row>
    <row r="4125" spans="1:16" hidden="1">
      <c r="A4125" s="2">
        <v>202101</v>
      </c>
      <c r="B4125" s="3">
        <v>44215</v>
      </c>
      <c r="C4125" s="2" t="s">
        <v>2265</v>
      </c>
      <c r="D4125" s="2" t="s">
        <v>2073</v>
      </c>
      <c r="E4125" s="2">
        <v>-98</v>
      </c>
      <c r="F4125" s="2" t="e">
        <f>IF(Table2[[#This Row],[Manual Cat Value]]="",VLOOKUP(Table2[[#This Row],[Description]],'Actuals Lookup'!D:F,3,0),Table2[[#This Row],[Manual Cat Value]])</f>
        <v>#N/A</v>
      </c>
      <c r="J4125" s="2">
        <v>98</v>
      </c>
      <c r="K4125" s="2" t="b">
        <v>0</v>
      </c>
      <c r="L4125" s="2"/>
      <c r="M4125" s="2"/>
      <c r="N4125" s="4" t="s">
        <v>2273</v>
      </c>
      <c r="O4125" s="4" t="str">
        <f>LEFT(Table2[[#This Row],[Description]],75)</f>
        <v>TYPE TRANSFER ID PAYPALSD11 CO PAYPAL ACH ECC PPD ACH Trace 56638</v>
      </c>
      <c r="P4125" s="2" t="s">
        <v>2322</v>
      </c>
    </row>
    <row r="4126" spans="1:16" hidden="1">
      <c r="A4126" s="2">
        <v>202101</v>
      </c>
      <c r="B4126" s="3">
        <v>44215</v>
      </c>
      <c r="C4126" s="2" t="s">
        <v>2274</v>
      </c>
      <c r="D4126" s="2" t="s">
        <v>2110</v>
      </c>
      <c r="E4126" s="2">
        <v>-620.66</v>
      </c>
      <c r="F4126" s="2" t="e">
        <f>IF(Table2[[#This Row],[Manual Cat Value]]="",VLOOKUP(Table2[[#This Row],[Description]],'Actuals Lookup'!D:F,3,0),Table2[[#This Row],[Manual Cat Value]])</f>
        <v>#N/A</v>
      </c>
      <c r="J4126" s="2">
        <v>620.66</v>
      </c>
      <c r="K4126" s="2" t="b">
        <v>0</v>
      </c>
      <c r="L4126" s="2"/>
      <c r="M4126" s="2"/>
      <c r="N4126" s="4" t="s">
        <v>2273</v>
      </c>
      <c r="O4126" s="4" t="str">
        <f>LEFT(Table2[[#This Row],[Description]],75)</f>
        <v>Venmo Cashout</v>
      </c>
      <c r="P4126" s="2" t="s">
        <v>2281</v>
      </c>
    </row>
    <row r="4127" spans="1:16" hidden="1">
      <c r="A4127" s="2">
        <v>202101</v>
      </c>
      <c r="B4127" s="3">
        <v>44216</v>
      </c>
      <c r="C4127" s="2" t="s">
        <v>2265</v>
      </c>
      <c r="D4127" s="2" t="s">
        <v>370</v>
      </c>
      <c r="E4127" s="2">
        <v>-2167.65</v>
      </c>
      <c r="F4127" s="2" t="e">
        <f>IF(Table2[[#This Row],[Manual Cat Value]]="",VLOOKUP(Table2[[#This Row],[Description]],'Actuals Lookup'!D:F,3,0),Table2[[#This Row],[Manual Cat Value]])</f>
        <v>#N/A</v>
      </c>
      <c r="J4127" s="2">
        <v>2167.65</v>
      </c>
      <c r="K4127" s="2" t="b">
        <v>0</v>
      </c>
      <c r="L4127" s="2"/>
      <c r="M4127" s="2"/>
      <c r="N4127" s="4" t="s">
        <v>2273</v>
      </c>
      <c r="O4127" s="4" t="str">
        <f>LEFT(Table2[[#This Row],[Description]],75)</f>
        <v>CARGILL COCOA TYPE DIR DEP ID CO CARGILL COCOA ACH ECC PPD ACH Trace 30932</v>
      </c>
      <c r="P4127" s="2" t="s">
        <v>2284</v>
      </c>
    </row>
    <row r="4128" spans="1:16" hidden="1">
      <c r="A4128" s="2">
        <v>202101</v>
      </c>
      <c r="B4128" s="3">
        <v>44216</v>
      </c>
      <c r="C4128" s="2" t="s">
        <v>2265</v>
      </c>
      <c r="D4128" s="2" t="s">
        <v>1237</v>
      </c>
      <c r="E4128" s="2">
        <v>401.9</v>
      </c>
      <c r="F4128" s="2" t="e">
        <f>IF(Table2[[#This Row],[Manual Cat Value]]="",VLOOKUP(Table2[[#This Row],[Description]],'Actuals Lookup'!D:F,3,0),Table2[[#This Row],[Manual Cat Value]])</f>
        <v>#N/A</v>
      </c>
      <c r="J4128" s="2">
        <v>401.9</v>
      </c>
      <c r="K4128" s="2" t="b">
        <v>0</v>
      </c>
      <c r="L4128" s="2"/>
      <c r="M4128" s="2"/>
      <c r="N4128" s="4" t="s">
        <v>2259</v>
      </c>
      <c r="O4128" s="4" t="str">
        <f>LEFT(Table2[[#This Row],[Description]],75)</f>
        <v>MHCHILDCARELLC TYPE DUES ID CO MHCHILDCARELLC ACH ECC PPD ACH Trace 78848</v>
      </c>
      <c r="P4128" s="2" t="s">
        <v>2497</v>
      </c>
    </row>
    <row r="4129" spans="1:16" hidden="1">
      <c r="A4129" s="2">
        <v>202101</v>
      </c>
      <c r="B4129" s="3">
        <v>44216</v>
      </c>
      <c r="C4129" s="2" t="s">
        <v>2265</v>
      </c>
      <c r="D4129" s="2" t="s">
        <v>1471</v>
      </c>
      <c r="E4129" s="2">
        <v>12.99</v>
      </c>
      <c r="F4129" s="2" t="str">
        <f>IF(Table2[[#This Row],[Manual Cat Value]]="",VLOOKUP(Table2[[#This Row],[Description]],'Actuals Lookup'!D:F,3,0),Table2[[#This Row],[Manual Cat Value]])</f>
        <v>Shopping</v>
      </c>
      <c r="J4129" s="2">
        <v>12.99</v>
      </c>
      <c r="K4129" s="2" t="b">
        <v>0</v>
      </c>
      <c r="L4129" s="2"/>
      <c r="M4129" s="2"/>
      <c r="N4129" s="4" t="s">
        <v>2259</v>
      </c>
      <c r="O4129" s="4" t="str">
        <f>LEFT(Table2[[#This Row],[Description]],75)</f>
        <v>PayPal</v>
      </c>
      <c r="P4129" s="2" t="s">
        <v>2322</v>
      </c>
    </row>
    <row r="4130" spans="1:16" hidden="1">
      <c r="A4130" s="2">
        <v>202101</v>
      </c>
      <c r="B4130" s="3">
        <v>44216</v>
      </c>
      <c r="C4130" s="2" t="s">
        <v>2317</v>
      </c>
      <c r="D4130" s="2" t="s">
        <v>1633</v>
      </c>
      <c r="E4130" s="2">
        <v>200</v>
      </c>
      <c r="F4130" s="2" t="e">
        <f>IF(Table2[[#This Row],[Manual Cat Value]]="",VLOOKUP(Table2[[#This Row],[Description]],'Actuals Lookup'!D:F,3,0),Table2[[#This Row],[Manual Cat Value]])</f>
        <v>#N/A</v>
      </c>
      <c r="J4130" s="2">
        <v>200</v>
      </c>
      <c r="K4130" s="2" t="b">
        <v>0</v>
      </c>
      <c r="L4130" s="2"/>
      <c r="M4130" s="2"/>
      <c r="N4130" s="4" t="s">
        <v>2259</v>
      </c>
      <c r="O4130" s="4" t="str">
        <f>LEFT(Table2[[#This Row],[Description]],75)</f>
        <v>SCHWAB S&amp;P 500 INDEX FD</v>
      </c>
      <c r="P4130" s="2" t="s">
        <v>2276</v>
      </c>
    </row>
    <row r="4131" spans="1:16" hidden="1">
      <c r="A4131" s="2">
        <v>202101</v>
      </c>
      <c r="B4131" s="3">
        <v>44216</v>
      </c>
      <c r="C4131" s="2" t="s">
        <v>2317</v>
      </c>
      <c r="D4131" s="2" t="s">
        <v>1635</v>
      </c>
      <c r="E4131" s="2">
        <v>200</v>
      </c>
      <c r="F4131" s="2" t="e">
        <f>IF(Table2[[#This Row],[Manual Cat Value]]="",VLOOKUP(Table2[[#This Row],[Description]],'Actuals Lookup'!D:F,3,0),Table2[[#This Row],[Manual Cat Value]])</f>
        <v>#N/A</v>
      </c>
      <c r="J4131" s="2">
        <v>200</v>
      </c>
      <c r="K4131" s="2" t="b">
        <v>0</v>
      </c>
      <c r="L4131" s="2"/>
      <c r="M4131" s="2"/>
      <c r="N4131" s="4" t="s">
        <v>2259</v>
      </c>
      <c r="O4131" s="4" t="str">
        <f>LEFT(Table2[[#This Row],[Description]],75)</f>
        <v>SCHWAB TOTAL STOCK MKT INDEX</v>
      </c>
      <c r="P4131" s="2" t="s">
        <v>2278</v>
      </c>
    </row>
    <row r="4132" spans="1:16" hidden="1">
      <c r="A4132" s="2">
        <v>202101</v>
      </c>
      <c r="B4132" s="3">
        <v>44216</v>
      </c>
      <c r="C4132" s="2" t="s">
        <v>2262</v>
      </c>
      <c r="D4132" s="2" t="s">
        <v>1792</v>
      </c>
      <c r="E4132" s="2">
        <v>78.22</v>
      </c>
      <c r="F4132" s="2" t="e">
        <f>IF(Table2[[#This Row],[Manual Cat Value]]="",VLOOKUP(Table2[[#This Row],[Description]],'Actuals Lookup'!D:F,3,0),Table2[[#This Row],[Manual Cat Value]])</f>
        <v>#N/A</v>
      </c>
      <c r="J4132" s="2">
        <v>78.22</v>
      </c>
      <c r="K4132" s="2" t="b">
        <v>0</v>
      </c>
      <c r="L4132" s="2"/>
      <c r="M4132" s="2"/>
      <c r="N4132" s="4" t="s">
        <v>2259</v>
      </c>
      <c r="O4132" s="4" t="str">
        <f>LEFT(Table2[[#This Row],[Description]],75)</f>
        <v>SUPERMERC STA CARMELA CABO SAN LUCAMX</v>
      </c>
      <c r="P4132" s="2" t="s">
        <v>2281</v>
      </c>
    </row>
    <row r="4133" spans="1:16" hidden="1">
      <c r="A4133" s="2">
        <v>202101</v>
      </c>
      <c r="B4133" s="3">
        <v>44217</v>
      </c>
      <c r="C4133" s="2" t="s">
        <v>2262</v>
      </c>
      <c r="D4133" s="2" t="s">
        <v>1423</v>
      </c>
      <c r="E4133" s="2">
        <v>-219.58</v>
      </c>
      <c r="F4133" s="2" t="e">
        <f>IF(Table2[[#This Row],[Manual Cat Value]]="",VLOOKUP(Table2[[#This Row],[Description]],'Actuals Lookup'!D:F,3,0),Table2[[#This Row],[Manual Cat Value]])</f>
        <v>#N/A</v>
      </c>
      <c r="J4133" s="2">
        <v>219.58</v>
      </c>
      <c r="K4133" s="2" t="b">
        <v>0</v>
      </c>
      <c r="L4133" s="2"/>
      <c r="M4133" s="2"/>
      <c r="N4133" s="4" t="s">
        <v>2273</v>
      </c>
      <c r="O4133" s="4" t="str">
        <f>LEFT(Table2[[#This Row],[Description]],75)</f>
        <v>PAYMENT THANK YOU</v>
      </c>
      <c r="P4133" s="2" t="s">
        <v>2391</v>
      </c>
    </row>
    <row r="4134" spans="1:16" hidden="1">
      <c r="A4134" s="2">
        <v>202101</v>
      </c>
      <c r="B4134" s="3">
        <v>44217</v>
      </c>
      <c r="C4134" s="2" t="s">
        <v>2265</v>
      </c>
      <c r="D4134" s="2" t="s">
        <v>2176</v>
      </c>
      <c r="E4134" s="2">
        <v>219.58</v>
      </c>
      <c r="F4134" s="2" t="e">
        <f>IF(Table2[[#This Row],[Manual Cat Value]]="",VLOOKUP(Table2[[#This Row],[Description]],'Actuals Lookup'!D:F,3,0),Table2[[#This Row],[Manual Cat Value]])</f>
        <v>#N/A</v>
      </c>
      <c r="J4134" s="2">
        <v>219.58</v>
      </c>
      <c r="K4134" s="2" t="b">
        <v>0</v>
      </c>
      <c r="L4134" s="2"/>
      <c r="M4134" s="2"/>
      <c r="N4134" s="4" t="s">
        <v>2259</v>
      </c>
      <c r="O4134" s="4" t="str">
        <f>LEFT(Table2[[#This Row],[Description]],75)</f>
        <v>Withdrawal Home payment to card 979181</v>
      </c>
      <c r="P4134" s="2" t="s">
        <v>2349</v>
      </c>
    </row>
    <row r="4135" spans="1:16" hidden="1">
      <c r="A4135" s="2">
        <v>202101</v>
      </c>
      <c r="B4135" s="3">
        <v>44217</v>
      </c>
      <c r="C4135" s="2" t="s">
        <v>2262</v>
      </c>
      <c r="D4135" s="2" t="s">
        <v>306</v>
      </c>
      <c r="E4135" s="2">
        <v>9</v>
      </c>
      <c r="F4135" s="2" t="e">
        <f>IF(Table2[[#This Row],[Manual Cat Value]]="",VLOOKUP(Table2[[#This Row],[Description]],'Actuals Lookup'!D:F,3,0),Table2[[#This Row],[Manual Cat Value]])</f>
        <v>#N/A</v>
      </c>
      <c r="J4135" s="2">
        <v>9</v>
      </c>
      <c r="K4135" s="2" t="b">
        <v>0</v>
      </c>
      <c r="L4135" s="2"/>
      <c r="M4135" s="2"/>
      <c r="N4135" s="4" t="s">
        <v>2259</v>
      </c>
      <c r="O4135" s="4" t="str">
        <f>LEFT(Table2[[#This Row],[Description]],75)</f>
        <v>BONFES 6513326633 MN</v>
      </c>
      <c r="P4135" s="2" t="s">
        <v>2537</v>
      </c>
    </row>
    <row r="4136" spans="1:16" hidden="1">
      <c r="A4136" s="2">
        <v>202101</v>
      </c>
      <c r="B4136" s="3">
        <v>44217</v>
      </c>
      <c r="C4136" s="2" t="s">
        <v>2265</v>
      </c>
      <c r="D4136" s="2" t="s">
        <v>425</v>
      </c>
      <c r="E4136" s="2">
        <v>-75</v>
      </c>
      <c r="F4136" s="2" t="e">
        <f>IF(Table2[[#This Row],[Manual Cat Value]]="",VLOOKUP(Table2[[#This Row],[Description]],'Actuals Lookup'!D:F,3,0),Table2[[#This Row],[Manual Cat Value]])</f>
        <v>#N/A</v>
      </c>
      <c r="J4136" s="2">
        <v>75</v>
      </c>
      <c r="K4136" s="2" t="b">
        <v>0</v>
      </c>
      <c r="L4136" s="2"/>
      <c r="M4136" s="2"/>
      <c r="N4136" s="4" t="s">
        <v>2273</v>
      </c>
      <c r="O4136" s="4" t="str">
        <f>LEFT(Table2[[#This Row],[Description]],75)</f>
        <v>Cargill Incorpor Type</v>
      </c>
      <c r="P4136" s="2" t="s">
        <v>2282</v>
      </c>
    </row>
    <row r="4137" spans="1:16" hidden="1">
      <c r="A4137" s="2">
        <v>202101</v>
      </c>
      <c r="B4137" s="3">
        <v>44217</v>
      </c>
      <c r="C4137" s="2" t="s">
        <v>2265</v>
      </c>
      <c r="D4137" s="2" t="s">
        <v>557</v>
      </c>
      <c r="E4137" s="2">
        <v>142.43</v>
      </c>
      <c r="F4137" s="2" t="e">
        <f>IF(Table2[[#This Row],[Manual Cat Value]]="",VLOOKUP(Table2[[#This Row],[Description]],'Actuals Lookup'!D:F,3,0),Table2[[#This Row],[Manual Cat Value]])</f>
        <v>#N/A</v>
      </c>
      <c r="J4137" s="2">
        <v>142.43</v>
      </c>
      <c r="K4137" s="2" t="b">
        <v>0</v>
      </c>
      <c r="L4137" s="2"/>
      <c r="M4137" s="2"/>
      <c r="N4137" s="4" t="s">
        <v>2259</v>
      </c>
      <c r="O4137" s="4" t="str">
        <f>LEFT(Table2[[#This Row],[Description]],75)</f>
        <v>City of Chanhassen</v>
      </c>
      <c r="P4137" s="2" t="s">
        <v>2298</v>
      </c>
    </row>
    <row r="4138" spans="1:16" hidden="1">
      <c r="A4138" s="2">
        <v>202101</v>
      </c>
      <c r="B4138" s="3">
        <v>44217</v>
      </c>
      <c r="C4138" s="2" t="s">
        <v>2262</v>
      </c>
      <c r="D4138" s="2" t="s">
        <v>1089</v>
      </c>
      <c r="E4138" s="2">
        <v>14.89</v>
      </c>
      <c r="F4138" s="2" t="e">
        <f>IF(Table2[[#This Row],[Manual Cat Value]]="",VLOOKUP(Table2[[#This Row],[Description]],'Actuals Lookup'!D:F,3,0),Table2[[#This Row],[Manual Cat Value]])</f>
        <v>#N/A</v>
      </c>
      <c r="J4138" s="2">
        <v>14.89</v>
      </c>
      <c r="K4138" s="2" t="b">
        <v>0</v>
      </c>
      <c r="L4138" s="2"/>
      <c r="M4138" s="2"/>
      <c r="N4138" s="4" t="s">
        <v>2259</v>
      </c>
      <c r="O4138" s="4" t="str">
        <f>LEFT(Table2[[#This Row],[Description]],75)</f>
        <v>LA TAQUIZA CABO SAN LUCAMX</v>
      </c>
      <c r="P4138" s="2" t="s">
        <v>2281</v>
      </c>
    </row>
    <row r="4139" spans="1:16" hidden="1">
      <c r="A4139" s="2">
        <v>202101</v>
      </c>
      <c r="B4139" s="3">
        <v>44217</v>
      </c>
      <c r="C4139" s="2" t="s">
        <v>2265</v>
      </c>
      <c r="D4139" s="2" t="s">
        <v>2109</v>
      </c>
      <c r="E4139" s="2">
        <v>300</v>
      </c>
      <c r="F4139" s="2" t="str">
        <f>IF(Table2[[#This Row],[Manual Cat Value]]="",VLOOKUP(Table2[[#This Row],[Description]],'Actuals Lookup'!D:F,3,0),Table2[[#This Row],[Manual Cat Value]])</f>
        <v>Shopping</v>
      </c>
      <c r="J4139" s="2">
        <v>300</v>
      </c>
      <c r="K4139" s="2" t="b">
        <v>0</v>
      </c>
      <c r="L4139" s="2"/>
      <c r="M4139" s="2"/>
      <c r="N4139" s="4" t="s">
        <v>2259</v>
      </c>
      <c r="O4139" s="4" t="str">
        <f>LEFT(Table2[[#This Row],[Description]],75)</f>
        <v>Venmo</v>
      </c>
      <c r="P4139" s="2" t="s">
        <v>2281</v>
      </c>
    </row>
    <row r="4140" spans="1:16" hidden="1">
      <c r="A4140" s="2">
        <v>202101</v>
      </c>
      <c r="B4140" s="3">
        <v>44218</v>
      </c>
      <c r="C4140" s="2" t="s">
        <v>2262</v>
      </c>
      <c r="D4140" s="2" t="s">
        <v>343</v>
      </c>
      <c r="E4140" s="2">
        <v>233.91</v>
      </c>
      <c r="F4140" s="2" t="e">
        <f>IF(Table2[[#This Row],[Manual Cat Value]]="",VLOOKUP(Table2[[#This Row],[Description]],'Actuals Lookup'!D:F,3,0),Table2[[#This Row],[Manual Cat Value]])</f>
        <v>#N/A</v>
      </c>
      <c r="J4140" s="2">
        <v>233.91</v>
      </c>
      <c r="K4140" s="2" t="b">
        <v>0</v>
      </c>
      <c r="L4140" s="2"/>
      <c r="M4140" s="2"/>
      <c r="N4140" s="4" t="s">
        <v>2259</v>
      </c>
      <c r="O4140" s="4" t="str">
        <f>LEFT(Table2[[#This Row],[Description]],75)</f>
        <v>CABO WABO CABO SAN LUCAMX</v>
      </c>
      <c r="P4140" s="2" t="s">
        <v>2281</v>
      </c>
    </row>
    <row r="4141" spans="1:16" hidden="1">
      <c r="A4141" s="2">
        <v>202101</v>
      </c>
      <c r="B4141" s="3">
        <v>44218</v>
      </c>
      <c r="C4141" s="2" t="s">
        <v>2317</v>
      </c>
      <c r="D4141" s="2" t="s">
        <v>354</v>
      </c>
      <c r="E4141" s="2">
        <v>-200</v>
      </c>
      <c r="F4141" s="2" t="e">
        <f>IF(Table2[[#This Row],[Manual Cat Value]]="",VLOOKUP(Table2[[#This Row],[Description]],'Actuals Lookup'!D:F,3,0),Table2[[#This Row],[Manual Cat Value]])</f>
        <v>#N/A</v>
      </c>
      <c r="J4141" s="2">
        <v>200</v>
      </c>
      <c r="K4141" s="2" t="b">
        <v>0</v>
      </c>
      <c r="L4141" s="2"/>
      <c r="M4141" s="2"/>
      <c r="N4141" s="4" t="s">
        <v>2273</v>
      </c>
      <c r="O4141" s="4" t="str">
        <f>LEFT(Table2[[#This Row],[Description]],75)</f>
        <v>CARGILL COCOA &amp;</v>
      </c>
      <c r="P4141" s="2" t="s">
        <v>2354</v>
      </c>
    </row>
    <row r="4142" spans="1:16" hidden="1">
      <c r="A4142" s="2">
        <v>202101</v>
      </c>
      <c r="B4142" s="3">
        <v>44218</v>
      </c>
      <c r="C4142" s="2" t="s">
        <v>2262</v>
      </c>
      <c r="D4142" s="2" t="s">
        <v>565</v>
      </c>
      <c r="E4142" s="2">
        <v>17.86</v>
      </c>
      <c r="F4142" s="2" t="e">
        <f>IF(Table2[[#This Row],[Manual Cat Value]]="",VLOOKUP(Table2[[#This Row],[Description]],'Actuals Lookup'!D:F,3,0),Table2[[#This Row],[Manual Cat Value]])</f>
        <v>#N/A</v>
      </c>
      <c r="J4142" s="2">
        <v>17.86</v>
      </c>
      <c r="K4142" s="2" t="b">
        <v>0</v>
      </c>
      <c r="L4142" s="2"/>
      <c r="M4142" s="2"/>
      <c r="N4142" s="4" t="s">
        <v>2259</v>
      </c>
      <c r="O4142" s="4" t="str">
        <f>LEFT(Table2[[#This Row],[Description]],75)</f>
        <v>CLIP MXFARMACIA CIUDAD DE MEXMX</v>
      </c>
      <c r="P4142" s="2" t="s">
        <v>2281</v>
      </c>
    </row>
    <row r="4143" spans="1:16" hidden="1">
      <c r="A4143" s="2">
        <v>202101</v>
      </c>
      <c r="B4143" s="3">
        <v>44218</v>
      </c>
      <c r="C4143" s="2" t="s">
        <v>2434</v>
      </c>
      <c r="D4143" s="2" t="s">
        <v>1834</v>
      </c>
      <c r="E4143" s="2">
        <v>-231</v>
      </c>
      <c r="F4143" s="2" t="e">
        <f>IF(Table2[[#This Row],[Manual Cat Value]]="",VLOOKUP(Table2[[#This Row],[Description]],'Actuals Lookup'!D:F,3,0),Table2[[#This Row],[Manual Cat Value]])</f>
        <v>#N/A</v>
      </c>
      <c r="J4143" s="2">
        <v>231</v>
      </c>
      <c r="K4143" s="2" t="b">
        <v>0</v>
      </c>
      <c r="L4143" s="2"/>
      <c r="M4143" s="2"/>
      <c r="N4143" s="4" t="s">
        <v>2273</v>
      </c>
      <c r="O4143" s="4" t="str">
        <f>LEFT(Table2[[#This Row],[Description]],75)</f>
        <v>Tfr JPMORGAN CHASE BAN, CARGILL COCOA &amp;</v>
      </c>
      <c r="P4143" s="2" t="s">
        <v>2356</v>
      </c>
    </row>
    <row r="4144" spans="1:16" hidden="1">
      <c r="A4144" s="2">
        <v>202101</v>
      </c>
      <c r="B4144" s="3">
        <v>44220</v>
      </c>
      <c r="C4144" s="2" t="s">
        <v>2262</v>
      </c>
      <c r="D4144" s="2" t="s">
        <v>299</v>
      </c>
      <c r="E4144" s="2">
        <v>165.71</v>
      </c>
      <c r="F4144" s="2" t="e">
        <f>IF(Table2[[#This Row],[Manual Cat Value]]="",VLOOKUP(Table2[[#This Row],[Description]],'Actuals Lookup'!D:F,3,0),Table2[[#This Row],[Manual Cat Value]])</f>
        <v>#N/A</v>
      </c>
      <c r="J4144" s="2">
        <v>165.71</v>
      </c>
      <c r="K4144" s="2" t="b">
        <v>0</v>
      </c>
      <c r="L4144" s="2"/>
      <c r="M4144" s="2"/>
      <c r="N4144" s="4" t="s">
        <v>2259</v>
      </c>
      <c r="O4144" s="4" t="str">
        <f>LEFT(Table2[[#This Row],[Description]],75)</f>
        <v>Blue</v>
      </c>
      <c r="P4144" s="2" t="s">
        <v>2281</v>
      </c>
    </row>
    <row r="4145" spans="1:16" hidden="1">
      <c r="A4145" s="2">
        <v>202101</v>
      </c>
      <c r="B4145" s="3">
        <v>44220</v>
      </c>
      <c r="C4145" s="2" t="s">
        <v>2262</v>
      </c>
      <c r="D4145" s="2" t="s">
        <v>951</v>
      </c>
      <c r="E4145" s="2">
        <v>12.54</v>
      </c>
      <c r="F4145" s="2" t="e">
        <f>IF(Table2[[#This Row],[Manual Cat Value]]="",VLOOKUP(Table2[[#This Row],[Description]],'Actuals Lookup'!D:F,3,0),Table2[[#This Row],[Manual Cat Value]])</f>
        <v>#N/A</v>
      </c>
      <c r="J4145" s="2">
        <v>12.54</v>
      </c>
      <c r="K4145" s="2" t="b">
        <v>0</v>
      </c>
      <c r="L4145" s="2"/>
      <c r="M4145" s="2"/>
      <c r="N4145" s="4" t="s">
        <v>2259</v>
      </c>
      <c r="O4145" s="4" t="str">
        <f>LEFT(Table2[[#This Row],[Description]],75)</f>
        <v>HOSP BLUE NET LOS CABOS BCSMX</v>
      </c>
      <c r="P4145" s="2" t="s">
        <v>2281</v>
      </c>
    </row>
    <row r="4146" spans="1:16" hidden="1">
      <c r="A4146" s="2">
        <v>202101</v>
      </c>
      <c r="B4146" s="3">
        <v>44220</v>
      </c>
      <c r="C4146" s="2" t="s">
        <v>2262</v>
      </c>
      <c r="D4146" s="2" t="s">
        <v>1575</v>
      </c>
      <c r="E4146" s="2">
        <v>324.99</v>
      </c>
      <c r="F4146" s="2" t="e">
        <f>IF(Table2[[#This Row],[Manual Cat Value]]="",VLOOKUP(Table2[[#This Row],[Description]],'Actuals Lookup'!D:F,3,0),Table2[[#This Row],[Manual Cat Value]])</f>
        <v>#N/A</v>
      </c>
      <c r="J4146" s="2">
        <v>324.99</v>
      </c>
      <c r="K4146" s="2" t="b">
        <v>0</v>
      </c>
      <c r="L4146" s="2"/>
      <c r="M4146" s="2"/>
      <c r="N4146" s="4" t="s">
        <v>2259</v>
      </c>
      <c r="O4146" s="4" t="str">
        <f>LEFT(Table2[[#This Row],[Description]],75)</f>
        <v>REST BAR MISIONES CABO SAN LUCAMX</v>
      </c>
      <c r="P4146" s="2" t="s">
        <v>2281</v>
      </c>
    </row>
    <row r="4147" spans="1:16" hidden="1">
      <c r="A4147" s="2">
        <v>202101</v>
      </c>
      <c r="B4147" s="3">
        <v>44220</v>
      </c>
      <c r="C4147" s="2" t="s">
        <v>2300</v>
      </c>
      <c r="D4147" s="2" t="s">
        <v>1648</v>
      </c>
      <c r="E4147" s="2">
        <v>-200</v>
      </c>
      <c r="F4147" s="2" t="e">
        <f>IF(Table2[[#This Row],[Manual Cat Value]]="",VLOOKUP(Table2[[#This Row],[Description]],'Actuals Lookup'!D:F,3,0),Table2[[#This Row],[Manual Cat Value]])</f>
        <v>#N/A</v>
      </c>
      <c r="J4147" s="2">
        <v>200</v>
      </c>
      <c r="K4147" s="2" t="b">
        <v>0</v>
      </c>
      <c r="L4147" s="2"/>
      <c r="M4147" s="2"/>
      <c r="N4147" s="4" t="s">
        <v>2273</v>
      </c>
      <c r="O4147" s="4" t="str">
        <f>LEFT(Table2[[#This Row],[Description]],75)</f>
        <v>Share</v>
      </c>
      <c r="P4147" s="2" t="s">
        <v>2448</v>
      </c>
    </row>
    <row r="4148" spans="1:16" hidden="1">
      <c r="A4148" s="2">
        <v>202101</v>
      </c>
      <c r="B4148" s="3">
        <v>44220</v>
      </c>
      <c r="C4148" s="2" t="s">
        <v>2265</v>
      </c>
      <c r="D4148" s="2" t="s">
        <v>1892</v>
      </c>
      <c r="E4148" s="2">
        <v>200</v>
      </c>
      <c r="F4148" s="2" t="e">
        <f>IF(Table2[[#This Row],[Manual Cat Value]]="",VLOOKUP(Table2[[#This Row],[Description]],'Actuals Lookup'!D:F,3,0),Table2[[#This Row],[Manual Cat Value]])</f>
        <v>#N/A</v>
      </c>
      <c r="J4148" s="2">
        <v>200</v>
      </c>
      <c r="K4148" s="2" t="b">
        <v>0</v>
      </c>
      <c r="L4148" s="2"/>
      <c r="M4148" s="2"/>
      <c r="N4148" s="4" t="s">
        <v>2259</v>
      </c>
      <c r="O4148" s="4" t="str">
        <f>LEFT(Table2[[#This Row],[Description]],75)</f>
        <v>To Share 12</v>
      </c>
      <c r="P4148" s="2" t="s">
        <v>2494</v>
      </c>
    </row>
    <row r="4149" spans="1:16" hidden="1">
      <c r="A4149" s="2">
        <v>202101</v>
      </c>
      <c r="B4149" s="3">
        <v>44221</v>
      </c>
      <c r="C4149" s="2" t="s">
        <v>2262</v>
      </c>
      <c r="D4149" s="2" t="s">
        <v>1423</v>
      </c>
      <c r="E4149" s="2">
        <v>-778.9</v>
      </c>
      <c r="F4149" s="2" t="e">
        <f>IF(Table2[[#This Row],[Manual Cat Value]]="",VLOOKUP(Table2[[#This Row],[Description]],'Actuals Lookup'!D:F,3,0),Table2[[#This Row],[Manual Cat Value]])</f>
        <v>#N/A</v>
      </c>
      <c r="J4149" s="2">
        <v>778.9</v>
      </c>
      <c r="K4149" s="2" t="b">
        <v>0</v>
      </c>
      <c r="L4149" s="2"/>
      <c r="M4149" s="2"/>
      <c r="N4149" s="4" t="s">
        <v>2273</v>
      </c>
      <c r="O4149" s="4" t="str">
        <f>LEFT(Table2[[#This Row],[Description]],75)</f>
        <v>PAYMENT THANK YOU</v>
      </c>
      <c r="P4149" s="2" t="s">
        <v>2391</v>
      </c>
    </row>
    <row r="4150" spans="1:16" hidden="1">
      <c r="A4150" s="2">
        <v>202101</v>
      </c>
      <c r="B4150" s="3">
        <v>44221</v>
      </c>
      <c r="C4150" s="2" t="s">
        <v>2265</v>
      </c>
      <c r="D4150" s="2" t="s">
        <v>2176</v>
      </c>
      <c r="E4150" s="2">
        <v>778.9</v>
      </c>
      <c r="F4150" s="2" t="e">
        <f>IF(Table2[[#This Row],[Manual Cat Value]]="",VLOOKUP(Table2[[#This Row],[Description]],'Actuals Lookup'!D:F,3,0),Table2[[#This Row],[Manual Cat Value]])</f>
        <v>#N/A</v>
      </c>
      <c r="J4150" s="2">
        <v>778.9</v>
      </c>
      <c r="K4150" s="2" t="b">
        <v>0</v>
      </c>
      <c r="L4150" s="2"/>
      <c r="M4150" s="2"/>
      <c r="N4150" s="4" t="s">
        <v>2259</v>
      </c>
      <c r="O4150" s="4" t="str">
        <f>LEFT(Table2[[#This Row],[Description]],75)</f>
        <v>Withdrawal Home payment to card 979181</v>
      </c>
      <c r="P4150" s="2" t="s">
        <v>2349</v>
      </c>
    </row>
    <row r="4151" spans="1:16" hidden="1">
      <c r="A4151" s="2">
        <v>202101</v>
      </c>
      <c r="B4151" s="3">
        <v>44221</v>
      </c>
      <c r="C4151" s="2" t="s">
        <v>2262</v>
      </c>
      <c r="D4151" s="2" t="s">
        <v>1089</v>
      </c>
      <c r="E4151" s="2">
        <v>39.909999999999997</v>
      </c>
      <c r="F4151" s="2" t="e">
        <f>IF(Table2[[#This Row],[Manual Cat Value]]="",VLOOKUP(Table2[[#This Row],[Description]],'Actuals Lookup'!D:F,3,0),Table2[[#This Row],[Manual Cat Value]])</f>
        <v>#N/A</v>
      </c>
      <c r="J4151" s="2">
        <v>39.909999999999997</v>
      </c>
      <c r="K4151" s="2" t="b">
        <v>0</v>
      </c>
      <c r="L4151" s="2"/>
      <c r="M4151" s="2"/>
      <c r="N4151" s="4" t="s">
        <v>2259</v>
      </c>
      <c r="O4151" s="4" t="str">
        <f>LEFT(Table2[[#This Row],[Description]],75)</f>
        <v>LA TAQUIZA CABO SAN LUCAMX</v>
      </c>
      <c r="P4151" s="2" t="s">
        <v>2281</v>
      </c>
    </row>
    <row r="4152" spans="1:16" hidden="1">
      <c r="A4152" s="2">
        <v>202101</v>
      </c>
      <c r="B4152" s="3">
        <v>44221</v>
      </c>
      <c r="C4152" s="2" t="s">
        <v>2262</v>
      </c>
      <c r="D4152" s="2" t="s">
        <v>1576</v>
      </c>
      <c r="E4152" s="2">
        <v>74.12</v>
      </c>
      <c r="F4152" s="2" t="e">
        <f>IF(Table2[[#This Row],[Manual Cat Value]]="",VLOOKUP(Table2[[#This Row],[Description]],'Actuals Lookup'!D:F,3,0),Table2[[#This Row],[Manual Cat Value]])</f>
        <v>#N/A</v>
      </c>
      <c r="J4152" s="2">
        <v>74.12</v>
      </c>
      <c r="K4152" s="2" t="b">
        <v>0</v>
      </c>
      <c r="L4152" s="2"/>
      <c r="M4152" s="2"/>
      <c r="N4152" s="4" t="s">
        <v>2259</v>
      </c>
      <c r="O4152" s="4" t="str">
        <f>LEFT(Table2[[#This Row],[Description]],75)</f>
        <v>RESTAURANT DON MANUEL LOS CABOS BCSMX</v>
      </c>
      <c r="P4152" s="2" t="s">
        <v>2281</v>
      </c>
    </row>
    <row r="4153" spans="1:16" hidden="1">
      <c r="A4153" s="2">
        <v>202101</v>
      </c>
      <c r="B4153" s="3">
        <v>44221</v>
      </c>
      <c r="C4153" s="2" t="s">
        <v>2262</v>
      </c>
      <c r="D4153" s="2" t="s">
        <v>1576</v>
      </c>
      <c r="E4153" s="2">
        <v>84.91</v>
      </c>
      <c r="F4153" s="2" t="e">
        <f>IF(Table2[[#This Row],[Manual Cat Value]]="",VLOOKUP(Table2[[#This Row],[Description]],'Actuals Lookup'!D:F,3,0),Table2[[#This Row],[Manual Cat Value]])</f>
        <v>#N/A</v>
      </c>
      <c r="J4153" s="2">
        <v>84.91</v>
      </c>
      <c r="K4153" s="2" t="b">
        <v>0</v>
      </c>
      <c r="L4153" s="2"/>
      <c r="M4153" s="2"/>
      <c r="N4153" s="4" t="s">
        <v>2259</v>
      </c>
      <c r="O4153" s="4" t="str">
        <f>LEFT(Table2[[#This Row],[Description]],75)</f>
        <v>RESTAURANT DON MANUEL LOS CABOS BCSMX</v>
      </c>
      <c r="P4153" s="2" t="s">
        <v>2281</v>
      </c>
    </row>
    <row r="4154" spans="1:16" hidden="1">
      <c r="A4154" s="2">
        <v>202101</v>
      </c>
      <c r="B4154" s="3">
        <v>44221</v>
      </c>
      <c r="C4154" s="2" t="s">
        <v>2262</v>
      </c>
      <c r="D4154" s="2" t="s">
        <v>1577</v>
      </c>
      <c r="E4154" s="2">
        <v>327.85</v>
      </c>
      <c r="F4154" s="2" t="e">
        <f>IF(Table2[[#This Row],[Manual Cat Value]]="",VLOOKUP(Table2[[#This Row],[Description]],'Actuals Lookup'!D:F,3,0),Table2[[#This Row],[Manual Cat Value]])</f>
        <v>#N/A</v>
      </c>
      <c r="J4154" s="2">
        <v>327.85</v>
      </c>
      <c r="K4154" s="2" t="b">
        <v>0</v>
      </c>
      <c r="L4154" s="2"/>
      <c r="M4154" s="2"/>
      <c r="N4154" s="4" t="s">
        <v>2259</v>
      </c>
      <c r="O4154" s="4" t="str">
        <f>LEFT(Table2[[#This Row],[Description]],75)</f>
        <v>RESTAURANT EL FARALLON LOS CABOS BCSMX</v>
      </c>
      <c r="P4154" s="2" t="s">
        <v>2281</v>
      </c>
    </row>
    <row r="4155" spans="1:16" hidden="1">
      <c r="A4155" s="2">
        <v>202101</v>
      </c>
      <c r="B4155" s="3">
        <v>44221</v>
      </c>
      <c r="C4155" s="2" t="s">
        <v>2265</v>
      </c>
      <c r="D4155" s="2" t="s">
        <v>1648</v>
      </c>
      <c r="E4155" s="2">
        <v>-226</v>
      </c>
      <c r="F4155" s="2" t="e">
        <f>IF(Table2[[#This Row],[Manual Cat Value]]="",VLOOKUP(Table2[[#This Row],[Description]],'Actuals Lookup'!D:F,3,0),Table2[[#This Row],[Manual Cat Value]])</f>
        <v>#N/A</v>
      </c>
      <c r="J4155" s="2">
        <v>226</v>
      </c>
      <c r="K4155" s="2" t="b">
        <v>0</v>
      </c>
      <c r="L4155" s="2"/>
      <c r="M4155" s="2"/>
      <c r="N4155" s="4" t="s">
        <v>2273</v>
      </c>
      <c r="O4155" s="4" t="str">
        <f>LEFT(Table2[[#This Row],[Description]],75)</f>
        <v>Share</v>
      </c>
      <c r="P4155" s="2" t="s">
        <v>2448</v>
      </c>
    </row>
    <row r="4156" spans="1:16" hidden="1">
      <c r="A4156" s="2">
        <v>202101</v>
      </c>
      <c r="B4156" s="3">
        <v>44221</v>
      </c>
      <c r="C4156" s="2" t="s">
        <v>2265</v>
      </c>
      <c r="D4156" s="2" t="s">
        <v>31</v>
      </c>
      <c r="E4156" s="2">
        <v>610.42999999999995</v>
      </c>
      <c r="F4156" s="2" t="str">
        <f>IF(Table2[[#This Row],[Manual Cat Value]]="",VLOOKUP(Table2[[#This Row],[Description]],'Actuals Lookup'!D:F,3,0),Table2[[#This Row],[Manual Cat Value]])</f>
        <v>Target</v>
      </c>
      <c r="J4156" s="2">
        <v>610.42999999999995</v>
      </c>
      <c r="K4156" s="2" t="b">
        <v>0</v>
      </c>
      <c r="L4156" s="2"/>
      <c r="M4156" s="2"/>
      <c r="N4156" s="4" t="s">
        <v>2259</v>
      </c>
      <c r="O4156" s="4" t="str">
        <f>LEFT(Table2[[#This Row],[Description]],75)</f>
        <v>Target</v>
      </c>
      <c r="P4156" s="2" t="s">
        <v>2309</v>
      </c>
    </row>
    <row r="4157" spans="1:16" hidden="1">
      <c r="A4157" s="2">
        <v>202101</v>
      </c>
      <c r="B4157" s="3">
        <v>44221</v>
      </c>
      <c r="C4157" s="2" t="s">
        <v>2305</v>
      </c>
      <c r="D4157" s="2" t="s">
        <v>1905</v>
      </c>
      <c r="E4157" s="2">
        <v>226</v>
      </c>
      <c r="F4157" s="2" t="e">
        <f>IF(Table2[[#This Row],[Manual Cat Value]]="",VLOOKUP(Table2[[#This Row],[Description]],'Actuals Lookup'!D:F,3,0),Table2[[#This Row],[Manual Cat Value]])</f>
        <v>#N/A</v>
      </c>
      <c r="J4157" s="2">
        <v>226</v>
      </c>
      <c r="K4157" s="2" t="b">
        <v>0</v>
      </c>
      <c r="L4157" s="2"/>
      <c r="M4157" s="2"/>
      <c r="N4157" s="4" t="s">
        <v>2259</v>
      </c>
      <c r="O4157" s="4" t="str">
        <f>LEFT(Table2[[#This Row],[Description]],75)</f>
        <v>To Share 70</v>
      </c>
      <c r="P4157" s="2" t="s">
        <v>2281</v>
      </c>
    </row>
    <row r="4158" spans="1:16" hidden="1">
      <c r="A4158" s="2">
        <v>202101</v>
      </c>
      <c r="B4158" s="3">
        <v>44222</v>
      </c>
      <c r="C4158" s="2" t="s">
        <v>2338</v>
      </c>
      <c r="D4158" s="2" t="s">
        <v>403</v>
      </c>
      <c r="E4158" s="2">
        <v>-1415.95</v>
      </c>
      <c r="F4158" s="2" t="e">
        <f>IF(Table2[[#This Row],[Manual Cat Value]]="",VLOOKUP(Table2[[#This Row],[Description]],'Actuals Lookup'!D:F,3,0),Table2[[#This Row],[Manual Cat Value]])</f>
        <v>#N/A</v>
      </c>
      <c r="J4158" s="2">
        <v>1415.95</v>
      </c>
      <c r="K4158" s="2" t="b">
        <v>0</v>
      </c>
      <c r="L4158" s="2"/>
      <c r="M4158" s="2"/>
      <c r="N4158" s="4" t="s">
        <v>2273</v>
      </c>
      <c r="O4158" s="4" t="str">
        <f>LEFT(Table2[[#This Row],[Description]],75)</f>
        <v>Cargill ESOP Stock Fund - Plan Contribution</v>
      </c>
      <c r="P4158" s="2" t="s">
        <v>2451</v>
      </c>
    </row>
    <row r="4159" spans="1:16" hidden="1">
      <c r="A4159" s="2">
        <v>202101</v>
      </c>
      <c r="B4159" s="3">
        <v>44222</v>
      </c>
      <c r="C4159" s="2" t="s">
        <v>2265</v>
      </c>
      <c r="D4159" s="2" t="s">
        <v>1203</v>
      </c>
      <c r="E4159" s="2">
        <v>425</v>
      </c>
      <c r="F4159" s="2" t="e">
        <f>IF(Table2[[#This Row],[Manual Cat Value]]="",VLOOKUP(Table2[[#This Row],[Description]],'Actuals Lookup'!D:F,3,0),Table2[[#This Row],[Manual Cat Value]])</f>
        <v>#N/A</v>
      </c>
      <c r="J4159" s="2">
        <v>425</v>
      </c>
      <c r="K4159" s="2" t="b">
        <v>0</v>
      </c>
      <c r="L4159" s="2"/>
      <c r="M4159" s="2"/>
      <c r="N4159" s="4" t="s">
        <v>2259</v>
      </c>
      <c r="O4159" s="4" t="str">
        <f>LEFT(Table2[[#This Row],[Description]],75)</f>
        <v>MHCHILDCARELLC TYPE DUES ID CO MHCHILDCARELLC ACH ECC PPD ACH Trace 08784</v>
      </c>
      <c r="P4159" s="2" t="s">
        <v>2497</v>
      </c>
    </row>
    <row r="4160" spans="1:16" hidden="1">
      <c r="A4160" s="2">
        <v>202101</v>
      </c>
      <c r="B4160" s="3">
        <v>44222</v>
      </c>
      <c r="C4160" s="2" t="s">
        <v>2258</v>
      </c>
      <c r="D4160" s="2" t="s">
        <v>1350</v>
      </c>
      <c r="E4160" s="2">
        <v>12.99</v>
      </c>
      <c r="F4160" s="2" t="str">
        <f>IF(Table2[[#This Row],[Manual Cat Value]]="",VLOOKUP(Table2[[#This Row],[Description]],'Actuals Lookup'!D:F,3,0),Table2[[#This Row],[Manual Cat Value]])</f>
        <v>Utilities</v>
      </c>
      <c r="J4160" s="2">
        <v>12.99</v>
      </c>
      <c r="K4160" s="2" t="b">
        <v>0</v>
      </c>
      <c r="L4160" s="2"/>
      <c r="M4160" s="2"/>
      <c r="N4160" s="4" t="s">
        <v>2259</v>
      </c>
      <c r="O4160" s="4" t="str">
        <f>LEFT(Table2[[#This Row],[Description]],75)</f>
        <v>Netflix</v>
      </c>
      <c r="P4160" s="2" t="s">
        <v>2306</v>
      </c>
    </row>
    <row r="4161" spans="1:16" hidden="1">
      <c r="A4161" s="2">
        <v>202101</v>
      </c>
      <c r="B4161" s="3">
        <v>44222</v>
      </c>
      <c r="C4161" s="2" t="s">
        <v>2447</v>
      </c>
      <c r="D4161" s="2" t="s">
        <v>1350</v>
      </c>
      <c r="E4161" s="2">
        <v>12.99</v>
      </c>
      <c r="F4161" s="2" t="str">
        <f>IF(Table2[[#This Row],[Manual Cat Value]]="",VLOOKUP(Table2[[#This Row],[Description]],'Actuals Lookup'!D:F,3,0),Table2[[#This Row],[Manual Cat Value]])</f>
        <v>Utilities</v>
      </c>
      <c r="J4161" s="2">
        <v>12.99</v>
      </c>
      <c r="K4161" s="2" t="b">
        <v>0</v>
      </c>
      <c r="L4161" s="2"/>
      <c r="M4161" s="2"/>
      <c r="N4161" s="4" t="s">
        <v>2259</v>
      </c>
      <c r="O4161" s="4" t="str">
        <f>LEFT(Table2[[#This Row],[Description]],75)</f>
        <v>Netflix</v>
      </c>
      <c r="P4161" s="2" t="s">
        <v>2306</v>
      </c>
    </row>
    <row r="4162" spans="1:16" hidden="1">
      <c r="A4162" s="2">
        <v>202101</v>
      </c>
      <c r="B4162" s="3">
        <v>44222</v>
      </c>
      <c r="C4162" s="2" t="s">
        <v>2262</v>
      </c>
      <c r="D4162" s="2" t="s">
        <v>1388</v>
      </c>
      <c r="E4162" s="2">
        <v>1.64</v>
      </c>
      <c r="F4162" s="2" t="e">
        <f>IF(Table2[[#This Row],[Manual Cat Value]]="",VLOOKUP(Table2[[#This Row],[Description]],'Actuals Lookup'!D:F,3,0),Table2[[#This Row],[Manual Cat Value]])</f>
        <v>#N/A</v>
      </c>
      <c r="J4162" s="2">
        <v>1.64</v>
      </c>
      <c r="K4162" s="2" t="b">
        <v>0</v>
      </c>
      <c r="L4162" s="2"/>
      <c r="M4162" s="2"/>
      <c r="N4162" s="4" t="s">
        <v>2259</v>
      </c>
      <c r="O4162" s="4" t="str">
        <f>LEFT(Table2[[#This Row],[Description]],75)</f>
        <v>OXXO LUNAMAR LAP LOS CABOS BCSMX</v>
      </c>
      <c r="P4162" s="2" t="s">
        <v>2281</v>
      </c>
    </row>
    <row r="4163" spans="1:16" hidden="1">
      <c r="A4163" s="2">
        <v>202101</v>
      </c>
      <c r="B4163" s="3">
        <v>44222</v>
      </c>
      <c r="C4163" s="2" t="s">
        <v>2262</v>
      </c>
      <c r="D4163" s="2" t="s">
        <v>1571</v>
      </c>
      <c r="E4163" s="2">
        <v>23</v>
      </c>
      <c r="F4163" s="2" t="e">
        <f>IF(Table2[[#This Row],[Manual Cat Value]]="",VLOOKUP(Table2[[#This Row],[Description]],'Actuals Lookup'!D:F,3,0),Table2[[#This Row],[Manual Cat Value]])</f>
        <v>#N/A</v>
      </c>
      <c r="J4163" s="2">
        <v>23</v>
      </c>
      <c r="K4163" s="2" t="b">
        <v>0</v>
      </c>
      <c r="L4163" s="2"/>
      <c r="M4163" s="2"/>
      <c r="N4163" s="4" t="s">
        <v>2259</v>
      </c>
      <c r="O4163" s="4" t="str">
        <f>LEFT(Table2[[#This Row],[Description]],75)</f>
        <v>REG CABOS SALIDAT876 I LOS CABOS BCSMX</v>
      </c>
      <c r="P4163" s="2" t="s">
        <v>2281</v>
      </c>
    </row>
    <row r="4164" spans="1:16" hidden="1">
      <c r="A4164" s="2">
        <v>202101</v>
      </c>
      <c r="B4164" s="3">
        <v>44223</v>
      </c>
      <c r="C4164" s="2" t="s">
        <v>2262</v>
      </c>
      <c r="D4164" s="2" t="s">
        <v>1423</v>
      </c>
      <c r="E4164" s="2">
        <v>-551.42999999999995</v>
      </c>
      <c r="F4164" s="2" t="e">
        <f>IF(Table2[[#This Row],[Manual Cat Value]]="",VLOOKUP(Table2[[#This Row],[Description]],'Actuals Lookup'!D:F,3,0),Table2[[#This Row],[Manual Cat Value]])</f>
        <v>#N/A</v>
      </c>
      <c r="J4164" s="2">
        <v>551.42999999999995</v>
      </c>
      <c r="K4164" s="2" t="b">
        <v>0</v>
      </c>
      <c r="L4164" s="2"/>
      <c r="M4164" s="2"/>
      <c r="N4164" s="4" t="s">
        <v>2273</v>
      </c>
      <c r="O4164" s="4" t="str">
        <f>LEFT(Table2[[#This Row],[Description]],75)</f>
        <v>PAYMENT THANK YOU</v>
      </c>
      <c r="P4164" s="2" t="s">
        <v>2391</v>
      </c>
    </row>
    <row r="4165" spans="1:16" hidden="1">
      <c r="A4165" s="2">
        <v>202101</v>
      </c>
      <c r="B4165" s="3">
        <v>44223</v>
      </c>
      <c r="C4165" s="2" t="s">
        <v>2265</v>
      </c>
      <c r="D4165" s="2" t="s">
        <v>2176</v>
      </c>
      <c r="E4165" s="2">
        <v>551.42999999999995</v>
      </c>
      <c r="F4165" s="2" t="e">
        <f>IF(Table2[[#This Row],[Manual Cat Value]]="",VLOOKUP(Table2[[#This Row],[Description]],'Actuals Lookup'!D:F,3,0),Table2[[#This Row],[Manual Cat Value]])</f>
        <v>#N/A</v>
      </c>
      <c r="J4165" s="2">
        <v>551.42999999999995</v>
      </c>
      <c r="K4165" s="2" t="b">
        <v>0</v>
      </c>
      <c r="L4165" s="2"/>
      <c r="M4165" s="2"/>
      <c r="N4165" s="4" t="s">
        <v>2259</v>
      </c>
      <c r="O4165" s="4" t="str">
        <f>LEFT(Table2[[#This Row],[Description]],75)</f>
        <v>Withdrawal Home payment to card 979181</v>
      </c>
      <c r="P4165" s="2" t="s">
        <v>2349</v>
      </c>
    </row>
    <row r="4166" spans="1:16" hidden="1">
      <c r="A4166" s="2">
        <v>202101</v>
      </c>
      <c r="B4166" s="3">
        <v>44223</v>
      </c>
      <c r="C4166" s="2" t="s">
        <v>2317</v>
      </c>
      <c r="D4166" s="2" t="s">
        <v>305</v>
      </c>
      <c r="E4166" s="2">
        <v>967.23</v>
      </c>
      <c r="F4166" s="2" t="e">
        <f>IF(Table2[[#This Row],[Manual Cat Value]]="",VLOOKUP(Table2[[#This Row],[Description]],'Actuals Lookup'!D:F,3,0),Table2[[#This Row],[Manual Cat Value]])</f>
        <v>#N/A</v>
      </c>
      <c r="J4166" s="2">
        <v>967.23</v>
      </c>
      <c r="K4166" s="2" t="b">
        <v>0</v>
      </c>
      <c r="L4166" s="2"/>
      <c r="M4166" s="2"/>
      <c r="N4166" s="4" t="s">
        <v>2259</v>
      </c>
      <c r="O4166" s="4" t="str">
        <f>LEFT(Table2[[#This Row],[Description]],75)</f>
        <v>BOEING CO</v>
      </c>
      <c r="P4166" s="2" t="s">
        <v>2425</v>
      </c>
    </row>
    <row r="4167" spans="1:16" hidden="1">
      <c r="A4167" s="2">
        <v>202101</v>
      </c>
      <c r="B4167" s="3">
        <v>44223</v>
      </c>
      <c r="C4167" s="2" t="s">
        <v>2435</v>
      </c>
      <c r="D4167" s="2" t="s">
        <v>1635</v>
      </c>
      <c r="E4167" s="2">
        <v>500</v>
      </c>
      <c r="F4167" s="2" t="e">
        <f>IF(Table2[[#This Row],[Manual Cat Value]]="",VLOOKUP(Table2[[#This Row],[Description]],'Actuals Lookup'!D:F,3,0),Table2[[#This Row],[Manual Cat Value]])</f>
        <v>#N/A</v>
      </c>
      <c r="J4167" s="2">
        <v>500</v>
      </c>
      <c r="K4167" s="2" t="b">
        <v>0</v>
      </c>
      <c r="L4167" s="2"/>
      <c r="M4167" s="2"/>
      <c r="N4167" s="4" t="s">
        <v>2259</v>
      </c>
      <c r="O4167" s="4" t="str">
        <f>LEFT(Table2[[#This Row],[Description]],75)</f>
        <v>SCHWAB TOTAL STOCK MKT INDEX</v>
      </c>
      <c r="P4167" s="2" t="s">
        <v>2278</v>
      </c>
    </row>
    <row r="4168" spans="1:16" hidden="1">
      <c r="A4168" s="2">
        <v>202101</v>
      </c>
      <c r="B4168" s="3">
        <v>44223</v>
      </c>
      <c r="C4168" s="2" t="s">
        <v>2262</v>
      </c>
      <c r="D4168" s="2" t="s">
        <v>1773</v>
      </c>
      <c r="E4168" s="2">
        <v>10.54</v>
      </c>
      <c r="F4168" s="2" t="str">
        <f>IF(Table2[[#This Row],[Manual Cat Value]]="",VLOOKUP(Table2[[#This Row],[Description]],'Actuals Lookup'!D:F,3,0),Table2[[#This Row],[Manual Cat Value]])</f>
        <v>Restaurants</v>
      </c>
      <c r="J4168" s="2">
        <v>10.54</v>
      </c>
      <c r="K4168" s="2" t="b">
        <v>0</v>
      </c>
      <c r="L4168" s="2"/>
      <c r="M4168" s="2"/>
      <c r="N4168" s="4" t="s">
        <v>2259</v>
      </c>
      <c r="O4168" s="4" t="str">
        <f>LEFT(Table2[[#This Row],[Description]],75)</f>
        <v>Starbucks</v>
      </c>
      <c r="P4168" s="2" t="s">
        <v>2454</v>
      </c>
    </row>
    <row r="4169" spans="1:16" hidden="1">
      <c r="A4169" s="2">
        <v>202101</v>
      </c>
      <c r="B4169" s="3">
        <v>44224</v>
      </c>
      <c r="C4169" s="2" t="s">
        <v>2265</v>
      </c>
      <c r="D4169" s="2" t="s">
        <v>606</v>
      </c>
      <c r="E4169" s="2">
        <v>-2326.16</v>
      </c>
      <c r="F4169" s="2" t="e">
        <f>IF(Table2[[#This Row],[Manual Cat Value]]="",VLOOKUP(Table2[[#This Row],[Description]],'Actuals Lookup'!D:F,3,0),Table2[[#This Row],[Manual Cat Value]])</f>
        <v>#N/A</v>
      </c>
      <c r="J4169" s="2">
        <v>2326.16</v>
      </c>
      <c r="K4169" s="2" t="b">
        <v>0</v>
      </c>
      <c r="L4169" s="2"/>
      <c r="M4169" s="2"/>
      <c r="N4169" s="4" t="s">
        <v>2273</v>
      </c>
      <c r="O4169" s="4" t="str">
        <f>LEFT(Table2[[#This Row],[Description]],75)</f>
        <v>CONNECTED ANALYT TYPE DIRECT DEP ID CO CONNECTED ANALYT ACH ECC PPD ACH Tra</v>
      </c>
      <c r="P4169" s="2" t="s">
        <v>2536</v>
      </c>
    </row>
    <row r="4170" spans="1:16" hidden="1">
      <c r="A4170" s="2">
        <v>202101</v>
      </c>
      <c r="B4170" s="3">
        <v>44224</v>
      </c>
      <c r="C4170" s="2" t="s">
        <v>2258</v>
      </c>
      <c r="D4170" s="2" t="s">
        <v>684</v>
      </c>
      <c r="E4170" s="2">
        <v>91.27</v>
      </c>
      <c r="F4170" s="2" t="str">
        <f>IF(Table2[[#This Row],[Manual Cat Value]]="",VLOOKUP(Table2[[#This Row],[Description]],'Actuals Lookup'!D:F,3,0),Table2[[#This Row],[Manual Cat Value]])</f>
        <v>Groceries</v>
      </c>
      <c r="J4170" s="2">
        <v>91.27</v>
      </c>
      <c r="K4170" s="2" t="b">
        <v>0</v>
      </c>
      <c r="L4170" s="2"/>
      <c r="M4170" s="2"/>
      <c r="N4170" s="4" t="s">
        <v>2259</v>
      </c>
      <c r="O4170" s="4" t="str">
        <f>LEFT(Table2[[#This Row],[Description]],75)</f>
        <v>Cub Foods</v>
      </c>
      <c r="P4170" s="2" t="s">
        <v>2370</v>
      </c>
    </row>
    <row r="4171" spans="1:16" hidden="1">
      <c r="A4171" s="2">
        <v>202101</v>
      </c>
      <c r="B4171" s="3">
        <v>44224</v>
      </c>
      <c r="C4171" s="2" t="s">
        <v>2447</v>
      </c>
      <c r="D4171" s="2" t="s">
        <v>684</v>
      </c>
      <c r="E4171" s="2">
        <v>91.27</v>
      </c>
      <c r="F4171" s="2" t="str">
        <f>IF(Table2[[#This Row],[Manual Cat Value]]="",VLOOKUP(Table2[[#This Row],[Description]],'Actuals Lookup'!D:F,3,0),Table2[[#This Row],[Manual Cat Value]])</f>
        <v>Groceries</v>
      </c>
      <c r="J4171" s="2">
        <v>91.27</v>
      </c>
      <c r="K4171" s="2" t="b">
        <v>0</v>
      </c>
      <c r="L4171" s="2"/>
      <c r="M4171" s="2"/>
      <c r="N4171" s="4" t="s">
        <v>2259</v>
      </c>
      <c r="O4171" s="4" t="str">
        <f>LEFT(Table2[[#This Row],[Description]],75)</f>
        <v>Cub Foods</v>
      </c>
      <c r="P4171" s="2" t="s">
        <v>2370</v>
      </c>
    </row>
    <row r="4172" spans="1:16" hidden="1">
      <c r="A4172" s="2">
        <v>202101</v>
      </c>
      <c r="B4172" s="3">
        <v>44224</v>
      </c>
      <c r="C4172" s="2" t="s">
        <v>2262</v>
      </c>
      <c r="D4172" s="2" t="s">
        <v>1254</v>
      </c>
      <c r="E4172" s="2">
        <v>19.989999999999998</v>
      </c>
      <c r="F4172" s="2" t="e">
        <f>IF(Table2[[#This Row],[Manual Cat Value]]="",VLOOKUP(Table2[[#This Row],[Description]],'Actuals Lookup'!D:F,3,0),Table2[[#This Row],[Manual Cat Value]])</f>
        <v>#N/A</v>
      </c>
      <c r="J4172" s="2">
        <v>19.989999999999998</v>
      </c>
      <c r="K4172" s="2" t="b">
        <v>0</v>
      </c>
      <c r="L4172" s="2"/>
      <c r="M4172" s="2"/>
      <c r="N4172" s="4" t="s">
        <v>2259</v>
      </c>
      <c r="O4172" s="4" t="str">
        <f>LEFT(Table2[[#This Row],[Description]],75)</f>
        <v>Milios Sandwiches</v>
      </c>
      <c r="P4172" s="2" t="s">
        <v>2476</v>
      </c>
    </row>
    <row r="4173" spans="1:16" hidden="1">
      <c r="A4173" s="2">
        <v>202101</v>
      </c>
      <c r="B4173" s="3">
        <v>44224</v>
      </c>
      <c r="C4173" s="2" t="s">
        <v>2265</v>
      </c>
      <c r="D4173" s="2" t="s">
        <v>1471</v>
      </c>
      <c r="E4173" s="2">
        <v>5.45</v>
      </c>
      <c r="F4173" s="2" t="str">
        <f>IF(Table2[[#This Row],[Manual Cat Value]]="",VLOOKUP(Table2[[#This Row],[Description]],'Actuals Lookup'!D:F,3,0),Table2[[#This Row],[Manual Cat Value]])</f>
        <v>Shopping</v>
      </c>
      <c r="J4173" s="2">
        <v>5.45</v>
      </c>
      <c r="K4173" s="2" t="b">
        <v>0</v>
      </c>
      <c r="L4173" s="2"/>
      <c r="M4173" s="2"/>
      <c r="N4173" s="4" t="s">
        <v>2259</v>
      </c>
      <c r="O4173" s="4" t="str">
        <f>LEFT(Table2[[#This Row],[Description]],75)</f>
        <v>PayPal</v>
      </c>
      <c r="P4173" s="2" t="s">
        <v>2322</v>
      </c>
    </row>
    <row r="4174" spans="1:16" hidden="1">
      <c r="A4174" s="2">
        <v>202101</v>
      </c>
      <c r="B4174" s="3">
        <v>44224</v>
      </c>
      <c r="C4174" s="2" t="s">
        <v>2265</v>
      </c>
      <c r="D4174" s="2" t="s">
        <v>1471</v>
      </c>
      <c r="E4174" s="2">
        <v>12.71</v>
      </c>
      <c r="F4174" s="2" t="str">
        <f>IF(Table2[[#This Row],[Manual Cat Value]]="",VLOOKUP(Table2[[#This Row],[Description]],'Actuals Lookup'!D:F,3,0),Table2[[#This Row],[Manual Cat Value]])</f>
        <v>Shopping</v>
      </c>
      <c r="J4174" s="2">
        <v>12.71</v>
      </c>
      <c r="K4174" s="2" t="b">
        <v>0</v>
      </c>
      <c r="L4174" s="2"/>
      <c r="M4174" s="2"/>
      <c r="N4174" s="4" t="s">
        <v>2259</v>
      </c>
      <c r="O4174" s="4" t="str">
        <f>LEFT(Table2[[#This Row],[Description]],75)</f>
        <v>PayPal</v>
      </c>
      <c r="P4174" s="2" t="s">
        <v>2322</v>
      </c>
    </row>
    <row r="4175" spans="1:16" hidden="1">
      <c r="A4175" s="2">
        <v>202101</v>
      </c>
      <c r="B4175" s="3">
        <v>44225</v>
      </c>
      <c r="C4175" s="2" t="s">
        <v>2258</v>
      </c>
      <c r="D4175" s="2" t="s">
        <v>38</v>
      </c>
      <c r="E4175" s="2">
        <v>70</v>
      </c>
      <c r="F4175" s="2" t="str">
        <f>IF(Table2[[#This Row],[Manual Cat Value]]="",VLOOKUP(Table2[[#This Row],[Description]],'Actuals Lookup'!D:F,3,0),Table2[[#This Row],[Manual Cat Value]])</f>
        <v>Amazon</v>
      </c>
      <c r="J4175" s="2">
        <v>70</v>
      </c>
      <c r="K4175" s="2" t="b">
        <v>0</v>
      </c>
      <c r="L4175" s="2"/>
      <c r="M4175" s="2"/>
      <c r="N4175" s="4" t="s">
        <v>2259</v>
      </c>
      <c r="O4175" s="4" t="str">
        <f>LEFT(Table2[[#This Row],[Description]],75)</f>
        <v>Amazon</v>
      </c>
      <c r="P4175" s="2" t="s">
        <v>2260</v>
      </c>
    </row>
    <row r="4176" spans="1:16" hidden="1">
      <c r="A4176" s="2">
        <v>202101</v>
      </c>
      <c r="B4176" s="3">
        <v>44225</v>
      </c>
      <c r="C4176" s="2" t="s">
        <v>2447</v>
      </c>
      <c r="D4176" s="2" t="s">
        <v>38</v>
      </c>
      <c r="E4176" s="2">
        <v>70</v>
      </c>
      <c r="F4176" s="2" t="str">
        <f>IF(Table2[[#This Row],[Manual Cat Value]]="",VLOOKUP(Table2[[#This Row],[Description]],'Actuals Lookup'!D:F,3,0),Table2[[#This Row],[Manual Cat Value]])</f>
        <v>Amazon</v>
      </c>
      <c r="J4176" s="2">
        <v>70</v>
      </c>
      <c r="K4176" s="2" t="b">
        <v>0</v>
      </c>
      <c r="L4176" s="2"/>
      <c r="M4176" s="2"/>
      <c r="N4176" s="4" t="s">
        <v>2259</v>
      </c>
      <c r="O4176" s="4" t="str">
        <f>LEFT(Table2[[#This Row],[Description]],75)</f>
        <v>Amazon</v>
      </c>
      <c r="P4176" s="2" t="s">
        <v>2260</v>
      </c>
    </row>
    <row r="4177" spans="1:16" hidden="1">
      <c r="A4177" s="2">
        <v>202101</v>
      </c>
      <c r="B4177" s="3">
        <v>44225</v>
      </c>
      <c r="C4177" s="2" t="s">
        <v>2317</v>
      </c>
      <c r="D4177" s="2" t="s">
        <v>605</v>
      </c>
      <c r="E4177" s="2">
        <v>-250</v>
      </c>
      <c r="F4177" s="2" t="e">
        <f>IF(Table2[[#This Row],[Manual Cat Value]]="",VLOOKUP(Table2[[#This Row],[Description]],'Actuals Lookup'!D:F,3,0),Table2[[#This Row],[Manual Cat Value]])</f>
        <v>#N/A</v>
      </c>
      <c r="J4177" s="2">
        <v>250</v>
      </c>
      <c r="K4177" s="2" t="b">
        <v>0</v>
      </c>
      <c r="L4177" s="2"/>
      <c r="M4177" s="2"/>
      <c r="N4177" s="4" t="s">
        <v>2273</v>
      </c>
      <c r="O4177" s="4" t="str">
        <f>LEFT(Table2[[#This Row],[Description]],75)</f>
        <v>CONNECTED ANALYT</v>
      </c>
      <c r="P4177" s="2" t="s">
        <v>2493</v>
      </c>
    </row>
    <row r="4178" spans="1:16" hidden="1">
      <c r="A4178" s="2">
        <v>202101</v>
      </c>
      <c r="B4178" s="3">
        <v>44225</v>
      </c>
      <c r="C4178" s="2" t="s">
        <v>2538</v>
      </c>
      <c r="D4178" s="2" t="s">
        <v>717</v>
      </c>
      <c r="E4178" s="2">
        <v>-1</v>
      </c>
      <c r="F4178" s="2" t="e">
        <f>IF(Table2[[#This Row],[Manual Cat Value]]="",VLOOKUP(Table2[[#This Row],[Description]],'Actuals Lookup'!D:F,3,0),Table2[[#This Row],[Manual Cat Value]])</f>
        <v>#N/A</v>
      </c>
      <c r="J4178" s="2">
        <v>1</v>
      </c>
      <c r="K4178" s="2" t="b">
        <v>0</v>
      </c>
      <c r="L4178" s="2"/>
      <c r="M4178" s="2"/>
      <c r="N4178" s="4" t="s">
        <v>2273</v>
      </c>
      <c r="O4178" s="4" t="str">
        <f>LEFT(Table2[[#This Row],[Description]],75)</f>
        <v>Deposit Home Ban Member Welcome Gift</v>
      </c>
      <c r="P4178" s="2"/>
    </row>
    <row r="4179" spans="1:16" hidden="1">
      <c r="A4179" s="2">
        <v>202101</v>
      </c>
      <c r="B4179" s="3">
        <v>44225</v>
      </c>
      <c r="C4179" s="2" t="s">
        <v>2265</v>
      </c>
      <c r="D4179" s="2" t="s">
        <v>811</v>
      </c>
      <c r="E4179" s="2">
        <v>-4999.92</v>
      </c>
      <c r="F4179" s="2" t="e">
        <f>IF(Table2[[#This Row],[Manual Cat Value]]="",VLOOKUP(Table2[[#This Row],[Description]],'Actuals Lookup'!D:F,3,0),Table2[[#This Row],[Manual Cat Value]])</f>
        <v>#N/A</v>
      </c>
      <c r="J4179" s="2">
        <v>4999.92</v>
      </c>
      <c r="K4179" s="2" t="b">
        <v>0</v>
      </c>
      <c r="L4179" s="2"/>
      <c r="M4179" s="2"/>
      <c r="N4179" s="4" t="s">
        <v>2273</v>
      </c>
      <c r="O4179" s="4" t="str">
        <f>LEFT(Table2[[#This Row],[Description]],75)</f>
        <v>Employee Benefit Type</v>
      </c>
      <c r="P4179" s="2" t="s">
        <v>2281</v>
      </c>
    </row>
    <row r="4180" spans="1:16" hidden="1">
      <c r="A4180" s="2">
        <v>202101</v>
      </c>
      <c r="B4180" s="3">
        <v>44225</v>
      </c>
      <c r="C4180" s="2" t="s">
        <v>2274</v>
      </c>
      <c r="D4180" s="2" t="s">
        <v>994</v>
      </c>
      <c r="E4180" s="2">
        <v>-0.01</v>
      </c>
      <c r="F4180" s="2" t="e">
        <f>IF(Table2[[#This Row],[Manual Cat Value]]="",VLOOKUP(Table2[[#This Row],[Description]],'Actuals Lookup'!D:F,3,0),Table2[[#This Row],[Manual Cat Value]])</f>
        <v>#N/A</v>
      </c>
      <c r="J4180" s="2">
        <v>0.01</v>
      </c>
      <c r="K4180" s="2" t="b">
        <v>0</v>
      </c>
      <c r="L4180" s="2"/>
      <c r="M4180" s="2"/>
      <c r="N4180" s="4" t="s">
        <v>2273</v>
      </c>
      <c r="O4180" s="4" t="str">
        <f>LEFT(Table2[[#This Row],[Description]],75)</f>
        <v>Interest Paid</v>
      </c>
      <c r="P4180" s="2" t="s">
        <v>2312</v>
      </c>
    </row>
    <row r="4181" spans="1:16" hidden="1">
      <c r="A4181" s="2">
        <v>202101</v>
      </c>
      <c r="B4181" s="3">
        <v>44225</v>
      </c>
      <c r="C4181" s="2" t="s">
        <v>2265</v>
      </c>
      <c r="D4181" s="2" t="s">
        <v>1471</v>
      </c>
      <c r="E4181" s="2">
        <v>0.99</v>
      </c>
      <c r="F4181" s="2" t="str">
        <f>IF(Table2[[#This Row],[Manual Cat Value]]="",VLOOKUP(Table2[[#This Row],[Description]],'Actuals Lookup'!D:F,3,0),Table2[[#This Row],[Manual Cat Value]])</f>
        <v>Shopping</v>
      </c>
      <c r="J4181" s="2">
        <v>0.99</v>
      </c>
      <c r="K4181" s="2" t="b">
        <v>0</v>
      </c>
      <c r="L4181" s="2"/>
      <c r="M4181" s="2"/>
      <c r="N4181" s="4" t="s">
        <v>2259</v>
      </c>
      <c r="O4181" s="4" t="str">
        <f>LEFT(Table2[[#This Row],[Description]],75)</f>
        <v>PayPal</v>
      </c>
      <c r="P4181" s="2" t="s">
        <v>2322</v>
      </c>
    </row>
    <row r="4182" spans="1:16" hidden="1">
      <c r="A4182" s="2">
        <v>202101</v>
      </c>
      <c r="B4182" s="3">
        <v>44225</v>
      </c>
      <c r="C4182" s="2" t="s">
        <v>2317</v>
      </c>
      <c r="D4182" s="2" t="s">
        <v>1786</v>
      </c>
      <c r="E4182" s="2">
        <v>-25.39</v>
      </c>
      <c r="F4182" s="2" t="e">
        <f>IF(Table2[[#This Row],[Manual Cat Value]]="",VLOOKUP(Table2[[#This Row],[Description]],'Actuals Lookup'!D:F,3,0),Table2[[#This Row],[Manual Cat Value]])</f>
        <v>#N/A</v>
      </c>
      <c r="J4182" s="2">
        <v>25.39</v>
      </c>
      <c r="K4182" s="2" t="b">
        <v>0</v>
      </c>
      <c r="L4182" s="2"/>
      <c r="M4182" s="2"/>
      <c r="N4182" s="4" t="s">
        <v>2273</v>
      </c>
      <c r="O4182" s="4" t="str">
        <f>LEFT(Table2[[#This Row],[Description]],75)</f>
        <v>STRYKER CORP</v>
      </c>
      <c r="P4182" s="2" t="s">
        <v>2385</v>
      </c>
    </row>
    <row r="4183" spans="1:16" hidden="1">
      <c r="A4183" s="2">
        <v>202101</v>
      </c>
      <c r="B4183" s="3">
        <v>44225</v>
      </c>
      <c r="C4183" s="2" t="s">
        <v>2435</v>
      </c>
      <c r="D4183" s="2" t="s">
        <v>1836</v>
      </c>
      <c r="E4183" s="2">
        <v>-250</v>
      </c>
      <c r="F4183" s="2" t="e">
        <f>IF(Table2[[#This Row],[Manual Cat Value]]="",VLOOKUP(Table2[[#This Row],[Description]],'Actuals Lookup'!D:F,3,0),Table2[[#This Row],[Manual Cat Value]])</f>
        <v>#N/A</v>
      </c>
      <c r="J4183" s="2">
        <v>250</v>
      </c>
      <c r="K4183" s="2" t="b">
        <v>0</v>
      </c>
      <c r="L4183" s="2"/>
      <c r="M4183" s="2"/>
      <c r="N4183" s="4" t="s">
        <v>2273</v>
      </c>
      <c r="O4183" s="4" t="str">
        <f>LEFT(Table2[[#This Row],[Description]],75)</f>
        <v>Tfr JPMORGAN CHASE BAN, CONNECTED ANALYT</v>
      </c>
      <c r="P4183" s="2" t="s">
        <v>2493</v>
      </c>
    </row>
    <row r="4184" spans="1:16" hidden="1">
      <c r="A4184" s="2">
        <v>202101</v>
      </c>
      <c r="B4184" s="3">
        <v>44226</v>
      </c>
      <c r="C4184" s="2" t="s">
        <v>2265</v>
      </c>
      <c r="D4184" s="2" t="s">
        <v>720</v>
      </c>
      <c r="E4184" s="2">
        <v>-501</v>
      </c>
      <c r="F4184" s="2" t="e">
        <f>IF(Table2[[#This Row],[Manual Cat Value]]="",VLOOKUP(Table2[[#This Row],[Description]],'Actuals Lookup'!D:F,3,0),Table2[[#This Row],[Manual Cat Value]])</f>
        <v>#N/A</v>
      </c>
      <c r="J4184" s="2">
        <v>501</v>
      </c>
      <c r="K4184" s="2" t="b">
        <v>0</v>
      </c>
      <c r="L4184" s="2"/>
      <c r="M4184" s="2"/>
      <c r="N4184" s="4" t="s">
        <v>2273</v>
      </c>
      <c r="O4184" s="4" t="str">
        <f>LEFT(Table2[[#This Row],[Description]],75)</f>
        <v>Deposit Transfer From TRUITTCOOPER L Share 12</v>
      </c>
      <c r="P4184" s="2" t="s">
        <v>2281</v>
      </c>
    </row>
    <row r="4185" spans="1:16" hidden="1">
      <c r="A4185" s="2">
        <v>202101</v>
      </c>
      <c r="B4185" s="3">
        <v>44226</v>
      </c>
      <c r="C4185" s="2" t="s">
        <v>2310</v>
      </c>
      <c r="D4185" s="2" t="s">
        <v>2211</v>
      </c>
      <c r="E4185" s="2">
        <v>501</v>
      </c>
      <c r="F4185" s="2" t="e">
        <f>IF(Table2[[#This Row],[Manual Cat Value]]="",VLOOKUP(Table2[[#This Row],[Description]],'Actuals Lookup'!D:F,3,0),Table2[[#This Row],[Manual Cat Value]])</f>
        <v>#N/A</v>
      </c>
      <c r="J4185" s="2">
        <v>501</v>
      </c>
      <c r="K4185" s="2" t="b">
        <v>0</v>
      </c>
      <c r="L4185" s="2"/>
      <c r="M4185" s="2"/>
      <c r="N4185" s="4" t="s">
        <v>2259</v>
      </c>
      <c r="O4185" s="4" t="str">
        <f>LEFT(Table2[[#This Row],[Description]],75)</f>
        <v>Withdrawal Trans To TRUITTJEFF B Share 70</v>
      </c>
      <c r="P4185" s="2" t="s">
        <v>2281</v>
      </c>
    </row>
    <row r="4186" spans="1:16" hidden="1">
      <c r="A4186" s="2">
        <v>202101</v>
      </c>
      <c r="B4186" s="3">
        <v>44227</v>
      </c>
      <c r="C4186" s="2" t="s">
        <v>2258</v>
      </c>
      <c r="D4186" s="2" t="s">
        <v>38</v>
      </c>
      <c r="E4186" s="2">
        <v>1</v>
      </c>
      <c r="F4186" s="2" t="str">
        <f>IF(Table2[[#This Row],[Manual Cat Value]]="",VLOOKUP(Table2[[#This Row],[Description]],'Actuals Lookup'!D:F,3,0),Table2[[#This Row],[Manual Cat Value]])</f>
        <v>Amazon</v>
      </c>
      <c r="J4186" s="2">
        <v>1</v>
      </c>
      <c r="K4186" s="2" t="b">
        <v>0</v>
      </c>
      <c r="L4186" s="2"/>
      <c r="M4186" s="2"/>
      <c r="N4186" s="4" t="s">
        <v>2259</v>
      </c>
      <c r="O4186" s="4" t="str">
        <f>LEFT(Table2[[#This Row],[Description]],75)</f>
        <v>Amazon</v>
      </c>
      <c r="P4186" s="2" t="s">
        <v>2260</v>
      </c>
    </row>
    <row r="4187" spans="1:16" hidden="1">
      <c r="A4187" s="2">
        <v>202101</v>
      </c>
      <c r="B4187" s="3">
        <v>44227</v>
      </c>
      <c r="C4187" s="2" t="s">
        <v>2258</v>
      </c>
      <c r="D4187" s="2" t="s">
        <v>684</v>
      </c>
      <c r="E4187" s="2">
        <v>93.72</v>
      </c>
      <c r="F4187" s="2" t="str">
        <f>IF(Table2[[#This Row],[Manual Cat Value]]="",VLOOKUP(Table2[[#This Row],[Description]],'Actuals Lookup'!D:F,3,0),Table2[[#This Row],[Manual Cat Value]])</f>
        <v>Groceries</v>
      </c>
      <c r="J4187" s="2">
        <v>93.72</v>
      </c>
      <c r="K4187" s="2" t="b">
        <v>0</v>
      </c>
      <c r="L4187" s="2"/>
      <c r="M4187" s="2"/>
      <c r="N4187" s="4" t="s">
        <v>2259</v>
      </c>
      <c r="O4187" s="4" t="str">
        <f>LEFT(Table2[[#This Row],[Description]],75)</f>
        <v>Cub Foods</v>
      </c>
      <c r="P4187" s="2" t="s">
        <v>2370</v>
      </c>
    </row>
    <row r="4188" spans="1:16" hidden="1">
      <c r="A4188" s="2">
        <v>202101</v>
      </c>
      <c r="B4188" s="3">
        <v>44227</v>
      </c>
      <c r="C4188" s="2" t="s">
        <v>2447</v>
      </c>
      <c r="D4188" s="2" t="s">
        <v>684</v>
      </c>
      <c r="E4188" s="2">
        <v>93.72</v>
      </c>
      <c r="F4188" s="2" t="str">
        <f>IF(Table2[[#This Row],[Manual Cat Value]]="",VLOOKUP(Table2[[#This Row],[Description]],'Actuals Lookup'!D:F,3,0),Table2[[#This Row],[Manual Cat Value]])</f>
        <v>Groceries</v>
      </c>
      <c r="J4188" s="2">
        <v>93.72</v>
      </c>
      <c r="K4188" s="2" t="b">
        <v>0</v>
      </c>
      <c r="L4188" s="2"/>
      <c r="M4188" s="2"/>
      <c r="N4188" s="4" t="s">
        <v>2259</v>
      </c>
      <c r="O4188" s="4" t="str">
        <f>LEFT(Table2[[#This Row],[Description]],75)</f>
        <v>Cub Foods</v>
      </c>
      <c r="P4188" s="2" t="s">
        <v>2370</v>
      </c>
    </row>
    <row r="4189" spans="1:16" hidden="1">
      <c r="A4189" s="2">
        <v>202101</v>
      </c>
      <c r="B4189" s="3">
        <v>44227</v>
      </c>
      <c r="C4189" s="2" t="s">
        <v>2262</v>
      </c>
      <c r="D4189" s="2" t="s">
        <v>804</v>
      </c>
      <c r="E4189" s="2">
        <v>86.93</v>
      </c>
      <c r="F4189" s="2" t="e">
        <f>IF(Table2[[#This Row],[Manual Cat Value]]="",VLOOKUP(Table2[[#This Row],[Description]],'Actuals Lookup'!D:F,3,0),Table2[[#This Row],[Manual Cat Value]])</f>
        <v>#N/A</v>
      </c>
      <c r="J4189" s="2">
        <v>86.93</v>
      </c>
      <c r="K4189" s="2" t="b">
        <v>0</v>
      </c>
      <c r="L4189" s="2"/>
      <c r="M4189" s="2"/>
      <c r="N4189" s="4" t="s">
        <v>2259</v>
      </c>
      <c r="O4189" s="4" t="str">
        <f>LEFT(Table2[[#This Row],[Description]],75)</f>
        <v>Edgetek Hockey</v>
      </c>
      <c r="P4189" s="2" t="s">
        <v>2281</v>
      </c>
    </row>
    <row r="4190" spans="1:16" hidden="1">
      <c r="A4190" s="2">
        <v>202101</v>
      </c>
      <c r="B4190" s="3">
        <v>44227</v>
      </c>
      <c r="C4190" s="2" t="s">
        <v>2262</v>
      </c>
      <c r="D4190" s="2" t="s">
        <v>944</v>
      </c>
      <c r="E4190" s="2">
        <v>33.71</v>
      </c>
      <c r="F4190" s="2" t="e">
        <f>IF(Table2[[#This Row],[Manual Cat Value]]="",VLOOKUP(Table2[[#This Row],[Description]],'Actuals Lookup'!D:F,3,0),Table2[[#This Row],[Manual Cat Value]])</f>
        <v>#N/A</v>
      </c>
      <c r="J4190" s="2">
        <v>33.71</v>
      </c>
      <c r="K4190" s="2" t="b">
        <v>0</v>
      </c>
      <c r="L4190" s="2"/>
      <c r="M4190" s="2"/>
      <c r="N4190" s="4" t="s">
        <v>2259</v>
      </c>
      <c r="O4190" s="4" t="str">
        <f>LEFT(Table2[[#This Row],[Description]],75)</f>
        <v>Holiday Stationstore</v>
      </c>
      <c r="P4190" s="2" t="s">
        <v>2374</v>
      </c>
    </row>
    <row r="4191" spans="1:16" hidden="1">
      <c r="A4191" s="2">
        <v>202101</v>
      </c>
      <c r="B4191" s="3">
        <v>44227</v>
      </c>
      <c r="C4191" s="2" t="s">
        <v>2262</v>
      </c>
      <c r="D4191" s="2" t="s">
        <v>1385</v>
      </c>
      <c r="E4191" s="2">
        <v>8.58</v>
      </c>
      <c r="F4191" s="2" t="e">
        <f>IF(Table2[[#This Row],[Manual Cat Value]]="",VLOOKUP(Table2[[#This Row],[Description]],'Actuals Lookup'!D:F,3,0),Table2[[#This Row],[Manual Cat Value]])</f>
        <v>#N/A</v>
      </c>
      <c r="J4191" s="2">
        <v>8.58</v>
      </c>
      <c r="K4191" s="2" t="b">
        <v>0</v>
      </c>
      <c r="L4191" s="2"/>
      <c r="M4191" s="2"/>
      <c r="N4191" s="4" t="s">
        <v>2259</v>
      </c>
      <c r="O4191" s="4" t="str">
        <f>LEFT(Table2[[#This Row],[Description]],75)</f>
        <v>O'Reilly Auto Parts</v>
      </c>
      <c r="P4191" s="2" t="s">
        <v>2281</v>
      </c>
    </row>
    <row r="4192" spans="1:16" hidden="1">
      <c r="A4192" s="2">
        <v>202101</v>
      </c>
      <c r="B4192" s="3">
        <v>44227</v>
      </c>
      <c r="C4192" s="2" t="s">
        <v>2262</v>
      </c>
      <c r="D4192" s="2" t="s">
        <v>1593</v>
      </c>
      <c r="E4192" s="2">
        <v>365.61</v>
      </c>
      <c r="F4192" s="2" t="e">
        <f>IF(Table2[[#This Row],[Manual Cat Value]]="",VLOOKUP(Table2[[#This Row],[Description]],'Actuals Lookup'!D:F,3,0),Table2[[#This Row],[Manual Cat Value]])</f>
        <v>#N/A</v>
      </c>
      <c r="J4192" s="2">
        <v>365.61</v>
      </c>
      <c r="K4192" s="2" t="b">
        <v>0</v>
      </c>
      <c r="L4192" s="2"/>
      <c r="M4192" s="2"/>
      <c r="N4192" s="4" t="s">
        <v>2259</v>
      </c>
      <c r="O4192" s="4" t="str">
        <f>LEFT(Table2[[#This Row],[Description]],75)</f>
        <v>RIDGEVIEW MEDICAL CNTRCLWACONIA MN</v>
      </c>
      <c r="P4192" s="2" t="s">
        <v>2281</v>
      </c>
    </row>
    <row r="4193" spans="1:16" hidden="1">
      <c r="A4193" s="2">
        <v>202101</v>
      </c>
      <c r="B4193" s="3">
        <v>44227</v>
      </c>
      <c r="C4193" s="2" t="s">
        <v>2265</v>
      </c>
      <c r="D4193" s="2" t="s">
        <v>1709</v>
      </c>
      <c r="E4193" s="2">
        <v>-12.73</v>
      </c>
      <c r="F4193" s="2" t="e">
        <f>IF(Table2[[#This Row],[Manual Cat Value]]="",VLOOKUP(Table2[[#This Row],[Description]],'Actuals Lookup'!D:F,3,0),Table2[[#This Row],[Manual Cat Value]])</f>
        <v>#N/A</v>
      </c>
      <c r="J4193" s="2">
        <v>12.73</v>
      </c>
      <c r="K4193" s="2" t="b">
        <v>0</v>
      </c>
      <c r="L4193" s="2"/>
      <c r="M4193" s="2"/>
      <c r="N4193" s="4" t="s">
        <v>2273</v>
      </c>
      <c r="O4193" s="4" t="str">
        <f>LEFT(Table2[[#This Row],[Description]],75)</f>
        <v>Split Rate Apy</v>
      </c>
      <c r="P4193" s="2" t="s">
        <v>2313</v>
      </c>
    </row>
    <row r="4194" spans="1:16" hidden="1">
      <c r="A4194" s="2">
        <v>202101</v>
      </c>
      <c r="B4194" s="3">
        <v>44227</v>
      </c>
      <c r="C4194" s="2" t="s">
        <v>2300</v>
      </c>
      <c r="D4194" s="2" t="s">
        <v>1709</v>
      </c>
      <c r="E4194" s="2">
        <v>-13.58</v>
      </c>
      <c r="F4194" s="2" t="e">
        <f>IF(Table2[[#This Row],[Manual Cat Value]]="",VLOOKUP(Table2[[#This Row],[Description]],'Actuals Lookup'!D:F,3,0),Table2[[#This Row],[Manual Cat Value]])</f>
        <v>#N/A</v>
      </c>
      <c r="J4194" s="2">
        <v>13.58</v>
      </c>
      <c r="K4194" s="2" t="b">
        <v>0</v>
      </c>
      <c r="L4194" s="2"/>
      <c r="M4194" s="2"/>
      <c r="N4194" s="4" t="s">
        <v>2273</v>
      </c>
      <c r="O4194" s="4" t="str">
        <f>LEFT(Table2[[#This Row],[Description]],75)</f>
        <v>Split Rate Apy</v>
      </c>
      <c r="P4194" s="2" t="s">
        <v>2313</v>
      </c>
    </row>
    <row r="4195" spans="1:16" hidden="1">
      <c r="A4195" s="2">
        <v>202102</v>
      </c>
      <c r="B4195" s="3">
        <v>44228</v>
      </c>
      <c r="C4195" s="2" t="s">
        <v>2258</v>
      </c>
      <c r="D4195" s="2" t="s">
        <v>458</v>
      </c>
      <c r="E4195" s="2">
        <v>-38.5</v>
      </c>
      <c r="F4195" s="2" t="e">
        <f>IF(Table2[[#This Row],[Manual Cat Value]]="",VLOOKUP(Table2[[#This Row],[Description]],'Actuals Lookup'!D:F,3,0),Table2[[#This Row],[Manual Cat Value]])</f>
        <v>#N/A</v>
      </c>
      <c r="J4195" s="2">
        <v>38.5</v>
      </c>
      <c r="K4195" s="2" t="b">
        <v>0</v>
      </c>
      <c r="L4195" s="2"/>
      <c r="M4195" s="2"/>
      <c r="N4195" s="4" t="s">
        <v>2273</v>
      </c>
      <c r="O4195" s="4" t="str">
        <f>LEFT(Table2[[#This Row],[Description]],75)</f>
        <v>CASHBACK BONUS REDEMPTION payment/STMT CRDT</v>
      </c>
      <c r="P4195" s="2" t="s">
        <v>2304</v>
      </c>
    </row>
    <row r="4196" spans="1:16" hidden="1">
      <c r="A4196" s="2">
        <v>202102</v>
      </c>
      <c r="B4196" s="3">
        <v>44228</v>
      </c>
      <c r="C4196" s="2" t="s">
        <v>2447</v>
      </c>
      <c r="D4196" s="2" t="s">
        <v>458</v>
      </c>
      <c r="E4196" s="2">
        <v>-38.5</v>
      </c>
      <c r="F4196" s="2" t="e">
        <f>IF(Table2[[#This Row],[Manual Cat Value]]="",VLOOKUP(Table2[[#This Row],[Description]],'Actuals Lookup'!D:F,3,0),Table2[[#This Row],[Manual Cat Value]])</f>
        <v>#N/A</v>
      </c>
      <c r="J4196" s="2">
        <v>38.5</v>
      </c>
      <c r="K4196" s="2" t="b">
        <v>0</v>
      </c>
      <c r="L4196" s="2"/>
      <c r="M4196" s="2"/>
      <c r="N4196" s="4" t="s">
        <v>2273</v>
      </c>
      <c r="O4196" s="4" t="str">
        <f>LEFT(Table2[[#This Row],[Description]],75)</f>
        <v>CASHBACK BONUS REDEMPTION payment/STMT CRDT</v>
      </c>
      <c r="P4196" s="2" t="s">
        <v>2304</v>
      </c>
    </row>
    <row r="4197" spans="1:16" hidden="1">
      <c r="A4197" s="2">
        <v>202102</v>
      </c>
      <c r="B4197" s="3">
        <v>44228</v>
      </c>
      <c r="C4197" s="2" t="s">
        <v>2258</v>
      </c>
      <c r="D4197" s="2" t="s">
        <v>997</v>
      </c>
      <c r="E4197" s="2">
        <v>-475.55</v>
      </c>
      <c r="F4197" s="2" t="str">
        <f>IF(Table2[[#This Row],[Manual Cat Value]]="",VLOOKUP(Table2[[#This Row],[Description]],'Actuals Lookup'!D:F,3,0),Table2[[#This Row],[Manual Cat Value]])</f>
        <v>Delete</v>
      </c>
      <c r="J4197" s="2">
        <v>475.55</v>
      </c>
      <c r="K4197" s="2" t="b">
        <v>0</v>
      </c>
      <c r="L4197" s="2"/>
      <c r="M4197" s="2"/>
      <c r="N4197" s="4" t="s">
        <v>2273</v>
      </c>
      <c r="O4197" s="4" t="str">
        <f>LEFT(Table2[[#This Row],[Description]],75)</f>
        <v>INTERNET PAYMENT - THANK YOU</v>
      </c>
      <c r="P4197" s="2" t="s">
        <v>2291</v>
      </c>
    </row>
    <row r="4198" spans="1:16" hidden="1">
      <c r="A4198" s="2">
        <v>202102</v>
      </c>
      <c r="B4198" s="3">
        <v>44228</v>
      </c>
      <c r="C4198" s="2" t="s">
        <v>2447</v>
      </c>
      <c r="D4198" s="2" t="s">
        <v>997</v>
      </c>
      <c r="E4198" s="2">
        <v>-475.55</v>
      </c>
      <c r="F4198" s="2" t="str">
        <f>IF(Table2[[#This Row],[Manual Cat Value]]="",VLOOKUP(Table2[[#This Row],[Description]],'Actuals Lookup'!D:F,3,0),Table2[[#This Row],[Manual Cat Value]])</f>
        <v>Delete</v>
      </c>
      <c r="J4198" s="2">
        <v>475.55</v>
      </c>
      <c r="K4198" s="2" t="b">
        <v>0</v>
      </c>
      <c r="L4198" s="2"/>
      <c r="M4198" s="2"/>
      <c r="N4198" s="4" t="s">
        <v>2273</v>
      </c>
      <c r="O4198" s="4" t="str">
        <f>LEFT(Table2[[#This Row],[Description]],75)</f>
        <v>INTERNET PAYMENT - THANK YOU</v>
      </c>
      <c r="P4198" s="2" t="s">
        <v>2291</v>
      </c>
    </row>
    <row r="4199" spans="1:16" hidden="1">
      <c r="A4199" s="2">
        <v>202102</v>
      </c>
      <c r="B4199" s="3">
        <v>44228</v>
      </c>
      <c r="C4199" s="2" t="s">
        <v>2270</v>
      </c>
      <c r="D4199" s="2" t="s">
        <v>1410</v>
      </c>
      <c r="E4199" s="2">
        <v>-722.48</v>
      </c>
      <c r="F4199" s="2" t="str">
        <f>IF(Table2[[#This Row],[Manual Cat Value]]="",VLOOKUP(Table2[[#This Row],[Description]],'Actuals Lookup'!D:F,3,0),Table2[[#This Row],[Manual Cat Value]])</f>
        <v>Delete</v>
      </c>
      <c r="J4199" s="2">
        <v>722.48</v>
      </c>
      <c r="K4199" s="2" t="b">
        <v>0</v>
      </c>
      <c r="L4199" s="2"/>
      <c r="M4199" s="2"/>
      <c r="N4199" s="4" t="s">
        <v>2273</v>
      </c>
      <c r="O4199" s="4" t="str">
        <f>LEFT(Table2[[#This Row],[Description]],75)</f>
        <v>PAYMENT</v>
      </c>
      <c r="P4199" s="2" t="s">
        <v>2492</v>
      </c>
    </row>
    <row r="4200" spans="1:16" hidden="1">
      <c r="A4200" s="2">
        <v>202102</v>
      </c>
      <c r="B4200" s="3">
        <v>44228</v>
      </c>
      <c r="C4200" s="2" t="s">
        <v>2262</v>
      </c>
      <c r="D4200" s="2" t="s">
        <v>1423</v>
      </c>
      <c r="E4200" s="2">
        <v>-525.36</v>
      </c>
      <c r="F4200" s="2" t="e">
        <f>IF(Table2[[#This Row],[Manual Cat Value]]="",VLOOKUP(Table2[[#This Row],[Description]],'Actuals Lookup'!D:F,3,0),Table2[[#This Row],[Manual Cat Value]])</f>
        <v>#N/A</v>
      </c>
      <c r="J4200" s="2">
        <v>525.36</v>
      </c>
      <c r="K4200" s="2" t="b">
        <v>0</v>
      </c>
      <c r="L4200" s="2"/>
      <c r="M4200" s="2"/>
      <c r="N4200" s="4" t="s">
        <v>2273</v>
      </c>
      <c r="O4200" s="4" t="str">
        <f>LEFT(Table2[[#This Row],[Description]],75)</f>
        <v>PAYMENT THANK YOU</v>
      </c>
      <c r="P4200" s="2" t="s">
        <v>2391</v>
      </c>
    </row>
    <row r="4201" spans="1:16" hidden="1">
      <c r="A4201" s="2">
        <v>202102</v>
      </c>
      <c r="B4201" s="3">
        <v>44228</v>
      </c>
      <c r="C4201" s="2" t="s">
        <v>2265</v>
      </c>
      <c r="D4201" s="2" t="s">
        <v>2176</v>
      </c>
      <c r="E4201" s="2">
        <v>525.36</v>
      </c>
      <c r="F4201" s="2" t="e">
        <f>IF(Table2[[#This Row],[Manual Cat Value]]="",VLOOKUP(Table2[[#This Row],[Description]],'Actuals Lookup'!D:F,3,0),Table2[[#This Row],[Manual Cat Value]])</f>
        <v>#N/A</v>
      </c>
      <c r="J4201" s="2">
        <v>525.36</v>
      </c>
      <c r="K4201" s="2" t="b">
        <v>0</v>
      </c>
      <c r="L4201" s="2"/>
      <c r="M4201" s="2"/>
      <c r="N4201" s="4" t="s">
        <v>2259</v>
      </c>
      <c r="O4201" s="4" t="str">
        <f>LEFT(Table2[[#This Row],[Description]],75)</f>
        <v>Withdrawal Home payment to card 979181</v>
      </c>
      <c r="P4201" s="2" t="s">
        <v>2349</v>
      </c>
    </row>
    <row r="4202" spans="1:16" hidden="1">
      <c r="A4202" s="2">
        <v>202102</v>
      </c>
      <c r="B4202" s="3">
        <v>44228</v>
      </c>
      <c r="C4202" s="2" t="s">
        <v>2317</v>
      </c>
      <c r="D4202" s="2" t="s">
        <v>93</v>
      </c>
      <c r="E4202" s="2">
        <v>-130.46</v>
      </c>
      <c r="F4202" s="2" t="e">
        <f>IF(Table2[[#This Row],[Manual Cat Value]]="",VLOOKUP(Table2[[#This Row],[Description]],'Actuals Lookup'!D:F,3,0),Table2[[#This Row],[Manual Cat Value]])</f>
        <v>#N/A</v>
      </c>
      <c r="J4202" s="2">
        <v>130.46</v>
      </c>
      <c r="K4202" s="2" t="b">
        <v>0</v>
      </c>
      <c r="L4202" s="2"/>
      <c r="M4202" s="2"/>
      <c r="N4202" s="4" t="s">
        <v>2273</v>
      </c>
      <c r="O4202" s="4" t="str">
        <f>LEFT(Table2[[#This Row],[Description]],75)</f>
        <v>A T &amp; T INC</v>
      </c>
      <c r="P4202" s="2" t="s">
        <v>2392</v>
      </c>
    </row>
    <row r="4203" spans="1:16" hidden="1">
      <c r="A4203" s="2">
        <v>202102</v>
      </c>
      <c r="B4203" s="3">
        <v>44228</v>
      </c>
      <c r="C4203" s="2" t="s">
        <v>2258</v>
      </c>
      <c r="D4203" s="2" t="s">
        <v>114</v>
      </c>
      <c r="E4203" s="2">
        <v>4.28</v>
      </c>
      <c r="F4203" s="2" t="str">
        <f>IF(Table2[[#This Row],[Manual Cat Value]]="",VLOOKUP(Table2[[#This Row],[Description]],'Actuals Lookup'!D:F,3,0),Table2[[#This Row],[Manual Cat Value]])</f>
        <v>Entertainment</v>
      </c>
      <c r="J4203" s="2">
        <v>4.28</v>
      </c>
      <c r="K4203" s="2" t="b">
        <v>0</v>
      </c>
      <c r="L4203" s="2"/>
      <c r="M4203" s="2"/>
      <c r="N4203" s="4" t="s">
        <v>2259</v>
      </c>
      <c r="O4203" s="4" t="str">
        <f>LEFT(Table2[[#This Row],[Description]],75)</f>
        <v>Amazon Music</v>
      </c>
      <c r="P4203" s="2" t="s">
        <v>2466</v>
      </c>
    </row>
    <row r="4204" spans="1:16" hidden="1">
      <c r="A4204" s="2">
        <v>202102</v>
      </c>
      <c r="B4204" s="3">
        <v>44228</v>
      </c>
      <c r="C4204" s="2" t="s">
        <v>2447</v>
      </c>
      <c r="D4204" s="2" t="s">
        <v>114</v>
      </c>
      <c r="E4204" s="2">
        <v>4.28</v>
      </c>
      <c r="F4204" s="2" t="str">
        <f>IF(Table2[[#This Row],[Manual Cat Value]]="",VLOOKUP(Table2[[#This Row],[Description]],'Actuals Lookup'!D:F,3,0),Table2[[#This Row],[Manual Cat Value]])</f>
        <v>Entertainment</v>
      </c>
      <c r="J4204" s="2">
        <v>4.28</v>
      </c>
      <c r="K4204" s="2" t="b">
        <v>0</v>
      </c>
      <c r="L4204" s="2"/>
      <c r="M4204" s="2"/>
      <c r="N4204" s="4" t="s">
        <v>2259</v>
      </c>
      <c r="O4204" s="4" t="str">
        <f>LEFT(Table2[[#This Row],[Description]],75)</f>
        <v>Amazon Music</v>
      </c>
      <c r="P4204" s="2" t="s">
        <v>2466</v>
      </c>
    </row>
    <row r="4205" spans="1:16" hidden="1">
      <c r="A4205" s="2">
        <v>202102</v>
      </c>
      <c r="B4205" s="3">
        <v>44228</v>
      </c>
      <c r="C4205" s="2" t="s">
        <v>2265</v>
      </c>
      <c r="D4205" s="2" t="s">
        <v>584</v>
      </c>
      <c r="E4205" s="2">
        <v>200</v>
      </c>
      <c r="F4205" s="2" t="e">
        <f>IF(Table2[[#This Row],[Manual Cat Value]]="",VLOOKUP(Table2[[#This Row],[Description]],'Actuals Lookup'!D:F,3,0),Table2[[#This Row],[Manual Cat Value]])</f>
        <v>#N/A</v>
      </c>
      <c r="J4205" s="2">
        <v>200</v>
      </c>
      <c r="K4205" s="2" t="b">
        <v>0</v>
      </c>
      <c r="L4205" s="2"/>
      <c r="M4205" s="2"/>
      <c r="N4205" s="4" t="s">
        <v>2259</v>
      </c>
      <c r="O4205" s="4" t="str">
        <f>LEFT(Table2[[#This Row],[Description]],75)</f>
        <v>College Savings TYPE ACH ID 550895818 CO College Savings ACH ECC PPD ACH Tr</v>
      </c>
      <c r="P4205" s="2" t="s">
        <v>2272</v>
      </c>
    </row>
    <row r="4206" spans="1:16" hidden="1">
      <c r="A4206" s="2">
        <v>202102</v>
      </c>
      <c r="B4206" s="3">
        <v>44228</v>
      </c>
      <c r="C4206" s="2" t="s">
        <v>2314</v>
      </c>
      <c r="D4206" s="2" t="s">
        <v>859</v>
      </c>
      <c r="E4206" s="2">
        <v>-579.91</v>
      </c>
      <c r="F4206" s="2" t="e">
        <f>IF(Table2[[#This Row],[Manual Cat Value]]="",VLOOKUP(Table2[[#This Row],[Description]],'Actuals Lookup'!D:F,3,0),Table2[[#This Row],[Manual Cat Value]])</f>
        <v>#N/A</v>
      </c>
      <c r="J4206" s="2">
        <v>579.91</v>
      </c>
      <c r="K4206" s="2" t="b">
        <v>0</v>
      </c>
      <c r="L4206" s="2"/>
      <c r="M4206" s="2"/>
      <c r="N4206" s="4" t="s">
        <v>2273</v>
      </c>
      <c r="O4206" s="4" t="str">
        <f>LEFT(Table2[[#This Row],[Description]],75)</f>
        <v>From Share 70</v>
      </c>
      <c r="P4206" s="2" t="s">
        <v>2496</v>
      </c>
    </row>
    <row r="4207" spans="1:16" hidden="1">
      <c r="A4207" s="2">
        <v>202102</v>
      </c>
      <c r="B4207" s="3">
        <v>44228</v>
      </c>
      <c r="C4207" s="2" t="s">
        <v>2262</v>
      </c>
      <c r="D4207" s="2" t="s">
        <v>1184</v>
      </c>
      <c r="E4207" s="2">
        <v>26.21</v>
      </c>
      <c r="F4207" s="2" t="e">
        <f>IF(Table2[[#This Row],[Manual Cat Value]]="",VLOOKUP(Table2[[#This Row],[Description]],'Actuals Lookup'!D:F,3,0),Table2[[#This Row],[Manual Cat Value]])</f>
        <v>#N/A</v>
      </c>
      <c r="J4207" s="2">
        <v>26.21</v>
      </c>
      <c r="K4207" s="2" t="b">
        <v>0</v>
      </c>
      <c r="L4207" s="2"/>
      <c r="M4207" s="2"/>
      <c r="N4207" s="4" t="s">
        <v>2259</v>
      </c>
      <c r="O4207" s="4" t="str">
        <f>LEFT(Table2[[#This Row],[Description]],75)</f>
        <v>Maynard's</v>
      </c>
      <c r="P4207" s="2" t="s">
        <v>2504</v>
      </c>
    </row>
    <row r="4208" spans="1:16" hidden="1">
      <c r="A4208" s="2">
        <v>202102</v>
      </c>
      <c r="B4208" s="3">
        <v>44228</v>
      </c>
      <c r="C4208" s="2" t="s">
        <v>2262</v>
      </c>
      <c r="D4208" s="2" t="s">
        <v>1184</v>
      </c>
      <c r="E4208" s="2">
        <v>63.17</v>
      </c>
      <c r="F4208" s="2" t="e">
        <f>IF(Table2[[#This Row],[Manual Cat Value]]="",VLOOKUP(Table2[[#This Row],[Description]],'Actuals Lookup'!D:F,3,0),Table2[[#This Row],[Manual Cat Value]])</f>
        <v>#N/A</v>
      </c>
      <c r="J4208" s="2">
        <v>63.17</v>
      </c>
      <c r="K4208" s="2" t="b">
        <v>0</v>
      </c>
      <c r="L4208" s="2"/>
      <c r="M4208" s="2"/>
      <c r="N4208" s="4" t="s">
        <v>2259</v>
      </c>
      <c r="O4208" s="4" t="str">
        <f>LEFT(Table2[[#This Row],[Description]],75)</f>
        <v>Maynard's</v>
      </c>
      <c r="P4208" s="2" t="s">
        <v>2504</v>
      </c>
    </row>
    <row r="4209" spans="1:16" hidden="1">
      <c r="A4209" s="2">
        <v>202102</v>
      </c>
      <c r="B4209" s="3">
        <v>44228</v>
      </c>
      <c r="C4209" s="2" t="s">
        <v>2265</v>
      </c>
      <c r="D4209" s="2" t="s">
        <v>1471</v>
      </c>
      <c r="E4209" s="2">
        <v>29.32</v>
      </c>
      <c r="F4209" s="2" t="str">
        <f>IF(Table2[[#This Row],[Manual Cat Value]]="",VLOOKUP(Table2[[#This Row],[Description]],'Actuals Lookup'!D:F,3,0),Table2[[#This Row],[Manual Cat Value]])</f>
        <v>Shopping</v>
      </c>
      <c r="J4209" s="2">
        <v>29.32</v>
      </c>
      <c r="K4209" s="2" t="b">
        <v>0</v>
      </c>
      <c r="L4209" s="2"/>
      <c r="M4209" s="2"/>
      <c r="N4209" s="4" t="s">
        <v>2259</v>
      </c>
      <c r="O4209" s="4" t="str">
        <f>LEFT(Table2[[#This Row],[Description]],75)</f>
        <v>PayPal</v>
      </c>
      <c r="P4209" s="2" t="s">
        <v>2322</v>
      </c>
    </row>
    <row r="4210" spans="1:16" hidden="1">
      <c r="A4210" s="2">
        <v>202102</v>
      </c>
      <c r="B4210" s="3">
        <v>44228</v>
      </c>
      <c r="C4210" s="2" t="s">
        <v>2270</v>
      </c>
      <c r="D4210" s="2" t="s">
        <v>1524</v>
      </c>
      <c r="E4210" s="2">
        <v>-431</v>
      </c>
      <c r="F4210" s="2" t="e">
        <f>IF(Table2[[#This Row],[Manual Cat Value]]="",VLOOKUP(Table2[[#This Row],[Description]],'Actuals Lookup'!D:F,3,0),Table2[[#This Row],[Manual Cat Value]])</f>
        <v>#N/A</v>
      </c>
      <c r="J4210" s="2">
        <v>431</v>
      </c>
      <c r="K4210" s="2" t="b">
        <v>0</v>
      </c>
      <c r="L4210" s="2"/>
      <c r="M4210" s="2"/>
      <c r="N4210" s="4" t="s">
        <v>2273</v>
      </c>
      <c r="O4210" s="4" t="str">
        <f>LEFT(Table2[[#This Row],[Description]],75)</f>
        <v>Principal Curtailment</v>
      </c>
      <c r="P4210" s="2" t="s">
        <v>2514</v>
      </c>
    </row>
    <row r="4211" spans="1:16" hidden="1">
      <c r="A4211" s="2">
        <v>202102</v>
      </c>
      <c r="B4211" s="3">
        <v>44228</v>
      </c>
      <c r="C4211" s="2" t="s">
        <v>2317</v>
      </c>
      <c r="D4211" s="2" t="s">
        <v>1786</v>
      </c>
      <c r="E4211" s="2">
        <v>25.39</v>
      </c>
      <c r="F4211" s="2" t="e">
        <f>IF(Table2[[#This Row],[Manual Cat Value]]="",VLOOKUP(Table2[[#This Row],[Description]],'Actuals Lookup'!D:F,3,0),Table2[[#This Row],[Manual Cat Value]])</f>
        <v>#N/A</v>
      </c>
      <c r="J4211" s="2">
        <v>25.39</v>
      </c>
      <c r="K4211" s="2" t="b">
        <v>0</v>
      </c>
      <c r="L4211" s="2"/>
      <c r="M4211" s="2"/>
      <c r="N4211" s="4" t="s">
        <v>2259</v>
      </c>
      <c r="O4211" s="4" t="str">
        <f>LEFT(Table2[[#This Row],[Description]],75)</f>
        <v>STRYKER CORP</v>
      </c>
      <c r="P4211" s="2" t="s">
        <v>2385</v>
      </c>
    </row>
    <row r="4212" spans="1:16" hidden="1">
      <c r="A4212" s="2">
        <v>202102</v>
      </c>
      <c r="B4212" s="3">
        <v>44228</v>
      </c>
      <c r="C4212" s="2" t="s">
        <v>2265</v>
      </c>
      <c r="D4212" s="2" t="s">
        <v>1877</v>
      </c>
      <c r="E4212" s="2">
        <v>618.65</v>
      </c>
      <c r="F4212" s="2" t="e">
        <f>IF(Table2[[#This Row],[Manual Cat Value]]="",VLOOKUP(Table2[[#This Row],[Description]],'Actuals Lookup'!D:F,3,0),Table2[[#This Row],[Manual Cat Value]])</f>
        <v>#N/A</v>
      </c>
      <c r="J4212" s="2">
        <v>618.65</v>
      </c>
      <c r="K4212" s="2" t="b">
        <v>0</v>
      </c>
      <c r="L4212" s="2"/>
      <c r="M4212" s="2"/>
      <c r="N4212" s="4" t="s">
        <v>2259</v>
      </c>
      <c r="O4212" s="4" t="str">
        <f>LEFT(Table2[[#This Row],[Description]],75)</f>
        <v>To Loan 02</v>
      </c>
      <c r="P4212" s="2" t="s">
        <v>2316</v>
      </c>
    </row>
    <row r="4213" spans="1:16" hidden="1">
      <c r="A4213" s="2">
        <v>202102</v>
      </c>
      <c r="B4213" s="3">
        <v>44228</v>
      </c>
      <c r="C4213" s="2" t="s">
        <v>2265</v>
      </c>
      <c r="D4213" s="2" t="s">
        <v>2003</v>
      </c>
      <c r="E4213" s="2">
        <v>501</v>
      </c>
      <c r="F4213" s="2" t="e">
        <f>IF(Table2[[#This Row],[Manual Cat Value]]="",VLOOKUP(Table2[[#This Row],[Description]],'Actuals Lookup'!D:F,3,0),Table2[[#This Row],[Manual Cat Value]])</f>
        <v>#N/A</v>
      </c>
      <c r="J4213" s="2">
        <v>501</v>
      </c>
      <c r="K4213" s="2" t="b">
        <v>0</v>
      </c>
      <c r="L4213" s="2"/>
      <c r="M4213" s="2"/>
      <c r="N4213" s="4" t="s">
        <v>2259</v>
      </c>
      <c r="O4213" s="4" t="str">
        <f>LEFT(Table2[[#This Row],[Description]],75)</f>
        <v>TRUITTJEFF B TYPE Online ID CO TRUITTJEFF B ACH ECC WEB</v>
      </c>
      <c r="P4213" s="2" t="s">
        <v>2281</v>
      </c>
    </row>
    <row r="4214" spans="1:16" hidden="1">
      <c r="A4214" s="2">
        <v>202102</v>
      </c>
      <c r="B4214" s="3">
        <v>44228</v>
      </c>
      <c r="C4214" s="2" t="s">
        <v>2265</v>
      </c>
      <c r="D4214" s="2" t="s">
        <v>2109</v>
      </c>
      <c r="E4214" s="2">
        <v>5</v>
      </c>
      <c r="F4214" s="2" t="str">
        <f>IF(Table2[[#This Row],[Manual Cat Value]]="",VLOOKUP(Table2[[#This Row],[Description]],'Actuals Lookup'!D:F,3,0),Table2[[#This Row],[Manual Cat Value]])</f>
        <v>Shopping</v>
      </c>
      <c r="J4214" s="2">
        <v>5</v>
      </c>
      <c r="K4214" s="2" t="b">
        <v>0</v>
      </c>
      <c r="L4214" s="2"/>
      <c r="M4214" s="2"/>
      <c r="N4214" s="4" t="s">
        <v>2259</v>
      </c>
      <c r="O4214" s="4" t="str">
        <f>LEFT(Table2[[#This Row],[Description]],75)</f>
        <v>Venmo</v>
      </c>
      <c r="P4214" s="2" t="s">
        <v>2281</v>
      </c>
    </row>
    <row r="4215" spans="1:16" hidden="1">
      <c r="A4215" s="2">
        <v>202102</v>
      </c>
      <c r="B4215" s="3">
        <v>44228</v>
      </c>
      <c r="C4215" s="2" t="s">
        <v>2265</v>
      </c>
      <c r="D4215" s="2" t="s">
        <v>2109</v>
      </c>
      <c r="E4215" s="2">
        <v>10</v>
      </c>
      <c r="F4215" s="2" t="str">
        <f>IF(Table2[[#This Row],[Manual Cat Value]]="",VLOOKUP(Table2[[#This Row],[Description]],'Actuals Lookup'!D:F,3,0),Table2[[#This Row],[Manual Cat Value]])</f>
        <v>Shopping</v>
      </c>
      <c r="J4215" s="2">
        <v>10</v>
      </c>
      <c r="K4215" s="2" t="b">
        <v>0</v>
      </c>
      <c r="L4215" s="2"/>
      <c r="M4215" s="2"/>
      <c r="N4215" s="4" t="s">
        <v>2259</v>
      </c>
      <c r="O4215" s="4" t="str">
        <f>LEFT(Table2[[#This Row],[Description]],75)</f>
        <v>Venmo</v>
      </c>
      <c r="P4215" s="2" t="s">
        <v>2281</v>
      </c>
    </row>
    <row r="4216" spans="1:16" hidden="1">
      <c r="A4216">
        <v>202405</v>
      </c>
      <c r="B4216" s="6">
        <v>45435</v>
      </c>
      <c r="C4216" t="s">
        <v>2519</v>
      </c>
      <c r="D4216" t="s">
        <v>2539</v>
      </c>
      <c r="E4216">
        <v>367</v>
      </c>
      <c r="F4216" s="2" t="str">
        <f>IF(Table2[[#This Row],[Manual Cat Value]]="",VLOOKUP(Table2[[#This Row],[Description]],'Actuals Lookup'!D:F,3,0),VLOOKUP(Table2[[#This Row],[Manual Cat Value]],Lookup!A:B,2,0))</f>
        <v>House</v>
      </c>
      <c r="H4216" s="8" t="s">
        <v>49</v>
      </c>
      <c r="I4216" s="8"/>
      <c r="O4216" t="str">
        <f>LEFT(Table2[[#This Row],[Description]],75)</f>
        <v>Draft 2205 Tracer XX2294</v>
      </c>
    </row>
    <row r="4217" spans="1:16" hidden="1">
      <c r="A4217" s="2">
        <v>202102</v>
      </c>
      <c r="B4217" s="3">
        <v>44229</v>
      </c>
      <c r="C4217" s="2" t="s">
        <v>2265</v>
      </c>
      <c r="D4217" s="2" t="s">
        <v>749</v>
      </c>
      <c r="E4217" s="2">
        <v>475.55</v>
      </c>
      <c r="F4217" s="2" t="e">
        <f>IF(Table2[[#This Row],[Manual Cat Value]]="",VLOOKUP(Table2[[#This Row],[Description]],'Actuals Lookup'!D:F,3,0),Table2[[#This Row],[Manual Cat Value]])</f>
        <v>#N/A</v>
      </c>
      <c r="J4217" s="2">
        <v>475.55</v>
      </c>
      <c r="K4217" s="2" t="b">
        <v>0</v>
      </c>
      <c r="L4217" s="2"/>
      <c r="M4217" s="2"/>
      <c r="N4217" s="4" t="s">
        <v>2259</v>
      </c>
      <c r="O4217" s="4" t="str">
        <f>LEFT(Table2[[#This Row],[Description]],75)</f>
        <v>DISCOVER TYPE EPAYMENT ID CO DISCOVER ACH ECC WEB ACH Trace 11808</v>
      </c>
      <c r="P4217" s="2" t="s">
        <v>2293</v>
      </c>
    </row>
    <row r="4218" spans="1:16" hidden="1">
      <c r="A4218" s="2">
        <v>202102</v>
      </c>
      <c r="B4218" s="3">
        <v>44229</v>
      </c>
      <c r="C4218" s="2" t="s">
        <v>2317</v>
      </c>
      <c r="D4218" s="2" t="s">
        <v>93</v>
      </c>
      <c r="E4218" s="2">
        <v>130.46</v>
      </c>
      <c r="F4218" s="2" t="e">
        <f>IF(Table2[[#This Row],[Manual Cat Value]]="",VLOOKUP(Table2[[#This Row],[Description]],'Actuals Lookup'!D:F,3,0),Table2[[#This Row],[Manual Cat Value]])</f>
        <v>#N/A</v>
      </c>
      <c r="J4218" s="2">
        <v>130.46</v>
      </c>
      <c r="K4218" s="2" t="b">
        <v>0</v>
      </c>
      <c r="L4218" s="2"/>
      <c r="M4218" s="2"/>
      <c r="N4218" s="4" t="s">
        <v>2259</v>
      </c>
      <c r="O4218" s="4" t="str">
        <f>LEFT(Table2[[#This Row],[Description]],75)</f>
        <v>A T &amp; T INC</v>
      </c>
      <c r="P4218" s="2" t="s">
        <v>2392</v>
      </c>
    </row>
    <row r="4219" spans="1:16" hidden="1">
      <c r="A4219" s="2">
        <v>202102</v>
      </c>
      <c r="B4219" s="3">
        <v>44229</v>
      </c>
      <c r="C4219" s="2" t="s">
        <v>2265</v>
      </c>
      <c r="D4219" s="2" t="s">
        <v>637</v>
      </c>
      <c r="E4219" s="2">
        <v>-543.86</v>
      </c>
      <c r="F4219" s="2" t="e">
        <f>IF(Table2[[#This Row],[Manual Cat Value]]="",VLOOKUP(Table2[[#This Row],[Description]],'Actuals Lookup'!D:F,3,0),Table2[[#This Row],[Manual Cat Value]])</f>
        <v>#N/A</v>
      </c>
      <c r="J4219" s="2">
        <v>543.86</v>
      </c>
      <c r="K4219" s="2" t="b">
        <v>0</v>
      </c>
      <c r="L4219" s="2"/>
      <c r="M4219" s="2"/>
      <c r="N4219" s="4" t="s">
        <v>2273</v>
      </c>
      <c r="O4219" s="4" t="str">
        <f>LEFT(Table2[[#This Row],[Description]],75)</f>
        <v>Connectyourcare Type Svbclaims</v>
      </c>
      <c r="P4219" s="2" t="s">
        <v>2281</v>
      </c>
    </row>
    <row r="4220" spans="1:16" hidden="1">
      <c r="A4220" s="2">
        <v>202102</v>
      </c>
      <c r="B4220" s="3">
        <v>44229</v>
      </c>
      <c r="C4220" s="2" t="s">
        <v>2274</v>
      </c>
      <c r="D4220" s="2" t="s">
        <v>883</v>
      </c>
      <c r="E4220" s="2">
        <v>501</v>
      </c>
      <c r="F4220" s="2" t="e">
        <f>IF(Table2[[#This Row],[Manual Cat Value]]="",VLOOKUP(Table2[[#This Row],[Description]],'Actuals Lookup'!D:F,3,0),Table2[[#This Row],[Manual Cat Value]])</f>
        <v>#N/A</v>
      </c>
      <c r="J4220" s="2">
        <v>501</v>
      </c>
      <c r="K4220" s="2" t="b">
        <v>0</v>
      </c>
      <c r="L4220" s="2"/>
      <c r="M4220" s="2"/>
      <c r="N4220" s="4" t="s">
        <v>2259</v>
      </c>
      <c r="O4220" s="4" t="str">
        <f>LEFT(Table2[[#This Row],[Description]],75)</f>
        <v>Funds Transfer to Brokerage -9131</v>
      </c>
      <c r="P4220" s="2" t="s">
        <v>2281</v>
      </c>
    </row>
    <row r="4221" spans="1:16" hidden="1">
      <c r="A4221" s="2">
        <v>202102</v>
      </c>
      <c r="B4221" s="3">
        <v>44229</v>
      </c>
      <c r="C4221" s="2" t="s">
        <v>2262</v>
      </c>
      <c r="D4221" s="2" t="s">
        <v>947</v>
      </c>
      <c r="E4221" s="2">
        <v>26.79</v>
      </c>
      <c r="F4221" s="2" t="e">
        <f>IF(Table2[[#This Row],[Manual Cat Value]]="",VLOOKUP(Table2[[#This Row],[Description]],'Actuals Lookup'!D:F,3,0),Table2[[#This Row],[Manual Cat Value]])</f>
        <v>#N/A</v>
      </c>
      <c r="J4221" s="2">
        <v>26.79</v>
      </c>
      <c r="K4221" s="2" t="b">
        <v>0</v>
      </c>
      <c r="L4221" s="2"/>
      <c r="M4221" s="2"/>
      <c r="N4221" s="4" t="s">
        <v>2259</v>
      </c>
      <c r="O4221" s="4" t="str">
        <f>LEFT(Table2[[#This Row],[Description]],75)</f>
        <v>Home Depot</v>
      </c>
      <c r="P4221" s="2" t="s">
        <v>2396</v>
      </c>
    </row>
    <row r="4222" spans="1:16" hidden="1">
      <c r="A4222" s="2">
        <v>202102</v>
      </c>
      <c r="B4222" s="3">
        <v>44229</v>
      </c>
      <c r="C4222" s="2" t="s">
        <v>2258</v>
      </c>
      <c r="D4222" s="2" t="s">
        <v>1079</v>
      </c>
      <c r="E4222" s="2">
        <v>5.5</v>
      </c>
      <c r="F4222" s="2" t="e">
        <f>IF(Table2[[#This Row],[Manual Cat Value]]="",VLOOKUP(Table2[[#This Row],[Description]],'Actuals Lookup'!D:F,3,0),Table2[[#This Row],[Manual Cat Value]])</f>
        <v>#N/A</v>
      </c>
      <c r="J4222" s="2">
        <v>5.5</v>
      </c>
      <c r="K4222" s="2" t="b">
        <v>0</v>
      </c>
      <c r="L4222" s="2"/>
      <c r="M4222" s="2"/>
      <c r="N4222" s="4" t="s">
        <v>2259</v>
      </c>
      <c r="O4222" s="4" t="str">
        <f>LEFT(Table2[[#This Row],[Description]],75)</f>
        <v>Kowalski's</v>
      </c>
      <c r="P4222" s="2" t="s">
        <v>2281</v>
      </c>
    </row>
    <row r="4223" spans="1:16" hidden="1">
      <c r="A4223" s="2">
        <v>202102</v>
      </c>
      <c r="B4223" s="3">
        <v>44229</v>
      </c>
      <c r="C4223" s="2" t="s">
        <v>2447</v>
      </c>
      <c r="D4223" s="2" t="s">
        <v>1079</v>
      </c>
      <c r="E4223" s="2">
        <v>5.5</v>
      </c>
      <c r="F4223" s="2" t="e">
        <f>IF(Table2[[#This Row],[Manual Cat Value]]="",VLOOKUP(Table2[[#This Row],[Description]],'Actuals Lookup'!D:F,3,0),Table2[[#This Row],[Manual Cat Value]])</f>
        <v>#N/A</v>
      </c>
      <c r="J4223" s="2">
        <v>5.5</v>
      </c>
      <c r="K4223" s="2" t="b">
        <v>0</v>
      </c>
      <c r="L4223" s="2"/>
      <c r="M4223" s="2"/>
      <c r="N4223" s="4" t="s">
        <v>2259</v>
      </c>
      <c r="O4223" s="4" t="str">
        <f>LEFT(Table2[[#This Row],[Description]],75)</f>
        <v>Kowalski's</v>
      </c>
      <c r="P4223" s="2" t="s">
        <v>2465</v>
      </c>
    </row>
    <row r="4224" spans="1:16" hidden="1">
      <c r="A4224" s="2">
        <v>202102</v>
      </c>
      <c r="B4224" s="3">
        <v>44229</v>
      </c>
      <c r="C4224" s="2" t="s">
        <v>2265</v>
      </c>
      <c r="D4224" s="2" t="s">
        <v>1233</v>
      </c>
      <c r="E4224" s="2">
        <v>425</v>
      </c>
      <c r="F4224" s="2" t="e">
        <f>IF(Table2[[#This Row],[Manual Cat Value]]="",VLOOKUP(Table2[[#This Row],[Description]],'Actuals Lookup'!D:F,3,0),Table2[[#This Row],[Manual Cat Value]])</f>
        <v>#N/A</v>
      </c>
      <c r="J4224" s="2">
        <v>425</v>
      </c>
      <c r="K4224" s="2" t="b">
        <v>0</v>
      </c>
      <c r="L4224" s="2"/>
      <c r="M4224" s="2"/>
      <c r="N4224" s="4" t="s">
        <v>2259</v>
      </c>
      <c r="O4224" s="4" t="str">
        <f>LEFT(Table2[[#This Row],[Description]],75)</f>
        <v>MHCHILDCARELLC TYPE DUES ID CO MHCHILDCARELLC ACH ECC PPD ACH Trace 70564</v>
      </c>
      <c r="P4224" s="2" t="s">
        <v>2497</v>
      </c>
    </row>
    <row r="4225" spans="1:16" hidden="1">
      <c r="A4225" s="2">
        <v>202102</v>
      </c>
      <c r="B4225" s="3">
        <v>44229</v>
      </c>
      <c r="C4225" s="2" t="s">
        <v>2258</v>
      </c>
      <c r="D4225" s="2" t="s">
        <v>1393</v>
      </c>
      <c r="E4225" s="2">
        <v>2.57</v>
      </c>
      <c r="F4225" s="2" t="str">
        <f>IF(Table2[[#This Row],[Manual Cat Value]]="",VLOOKUP(Table2[[#This Row],[Description]],'Actuals Lookup'!D:F,3,0),Table2[[#This Row],[Manual Cat Value]])</f>
        <v>Restaurants</v>
      </c>
      <c r="J4225" s="2">
        <v>2.57</v>
      </c>
      <c r="K4225" s="2" t="b">
        <v>0</v>
      </c>
      <c r="L4225" s="2"/>
      <c r="M4225" s="2"/>
      <c r="N4225" s="4" t="s">
        <v>2259</v>
      </c>
      <c r="O4225" s="4" t="str">
        <f>LEFT(Table2[[#This Row],[Description]],75)</f>
        <v>Panera Bread</v>
      </c>
      <c r="P4225" s="2" t="s">
        <v>2452</v>
      </c>
    </row>
    <row r="4226" spans="1:16" hidden="1">
      <c r="A4226" s="2">
        <v>202102</v>
      </c>
      <c r="B4226" s="3">
        <v>44229</v>
      </c>
      <c r="C4226" s="2" t="s">
        <v>2447</v>
      </c>
      <c r="D4226" s="2" t="s">
        <v>1393</v>
      </c>
      <c r="E4226" s="2">
        <v>2.57</v>
      </c>
      <c r="F4226" s="2" t="str">
        <f>IF(Table2[[#This Row],[Manual Cat Value]]="",VLOOKUP(Table2[[#This Row],[Description]],'Actuals Lookup'!D:F,3,0),Table2[[#This Row],[Manual Cat Value]])</f>
        <v>Restaurants</v>
      </c>
      <c r="J4226" s="2">
        <v>2.57</v>
      </c>
      <c r="K4226" s="2" t="b">
        <v>0</v>
      </c>
      <c r="L4226" s="2"/>
      <c r="M4226" s="2"/>
      <c r="N4226" s="4" t="s">
        <v>2259</v>
      </c>
      <c r="O4226" s="4" t="str">
        <f>LEFT(Table2[[#This Row],[Description]],75)</f>
        <v>Panera Bread</v>
      </c>
      <c r="P4226" s="2" t="s">
        <v>2452</v>
      </c>
    </row>
    <row r="4227" spans="1:16" hidden="1">
      <c r="A4227" s="2">
        <v>202102</v>
      </c>
      <c r="B4227" s="3">
        <v>44229</v>
      </c>
      <c r="C4227" s="2" t="s">
        <v>2488</v>
      </c>
      <c r="D4227" s="2" t="s">
        <v>1949</v>
      </c>
      <c r="E4227" s="2">
        <v>-501</v>
      </c>
      <c r="F4227" s="2" t="e">
        <f>IF(Table2[[#This Row],[Manual Cat Value]]="",VLOOKUP(Table2[[#This Row],[Description]],'Actuals Lookup'!D:F,3,0),Table2[[#This Row],[Manual Cat Value]])</f>
        <v>#N/A</v>
      </c>
      <c r="J4227" s="2">
        <v>501</v>
      </c>
      <c r="K4227" s="2" t="b">
        <v>0</v>
      </c>
      <c r="L4227" s="2"/>
      <c r="M4227" s="2"/>
      <c r="N4227" s="4" t="s">
        <v>2273</v>
      </c>
      <c r="O4227" s="4" t="str">
        <f>LEFT(Table2[[#This Row],[Description]],75)</f>
        <v>TRANSFER FUNDS FROM SCHWAB BANK - 440020765184</v>
      </c>
      <c r="P4227" s="2"/>
    </row>
    <row r="4228" spans="1:16" hidden="1">
      <c r="A4228" s="2">
        <v>202102</v>
      </c>
      <c r="B4228" s="3">
        <v>44229</v>
      </c>
      <c r="C4228" s="2" t="s">
        <v>2262</v>
      </c>
      <c r="D4228" s="2" t="s">
        <v>2099</v>
      </c>
      <c r="E4228" s="2">
        <v>1.75</v>
      </c>
      <c r="F4228" s="2" t="e">
        <f>IF(Table2[[#This Row],[Manual Cat Value]]="",VLOOKUP(Table2[[#This Row],[Description]],'Actuals Lookup'!D:F,3,0),Table2[[#This Row],[Manual Cat Value]])</f>
        <v>#N/A</v>
      </c>
      <c r="J4228" s="2">
        <v>1.75</v>
      </c>
      <c r="K4228" s="2" t="b">
        <v>0</v>
      </c>
      <c r="L4228" s="2"/>
      <c r="M4228" s="2"/>
      <c r="N4228" s="4" t="s">
        <v>2259</v>
      </c>
      <c r="O4228" s="4" t="str">
        <f>LEFT(Table2[[#This Row],[Description]],75)</f>
        <v>USAVEND AT AIR SERV CHANHASSEN MN</v>
      </c>
      <c r="P4228" s="2" t="s">
        <v>2281</v>
      </c>
    </row>
    <row r="4229" spans="1:16" hidden="1">
      <c r="A4229" s="2">
        <v>202102</v>
      </c>
      <c r="B4229" s="3">
        <v>44229</v>
      </c>
      <c r="C4229" s="2" t="s">
        <v>2274</v>
      </c>
      <c r="D4229" s="2" t="s">
        <v>275</v>
      </c>
      <c r="E4229" s="2">
        <v>-501</v>
      </c>
      <c r="F4229" s="2" t="e">
        <f>IF(Table2[[#This Row],[Manual Cat Value]]="",VLOOKUP(Table2[[#This Row],[Description]],'Actuals Lookup'!D:F,3,0),Table2[[#This Row],[Manual Cat Value]])</f>
        <v>#N/A</v>
      </c>
      <c r="J4229" s="2">
        <v>501</v>
      </c>
      <c r="K4229" s="2" t="b">
        <v>0</v>
      </c>
      <c r="L4229" s="2"/>
      <c r="M4229" s="2"/>
      <c r="N4229" s="4" t="s">
        <v>2273</v>
      </c>
      <c r="O4229" s="4" t="str">
        <f>LEFT(Table2[[#This Row],[Description]],75)</f>
        <v>Bcu Online</v>
      </c>
      <c r="P4229" s="2" t="s">
        <v>2281</v>
      </c>
    </row>
    <row r="4230" spans="1:16" hidden="1">
      <c r="A4230" s="2">
        <v>202102</v>
      </c>
      <c r="B4230" s="3">
        <v>44230</v>
      </c>
      <c r="C4230" s="2" t="s">
        <v>2258</v>
      </c>
      <c r="D4230" s="2" t="s">
        <v>38</v>
      </c>
      <c r="E4230" s="2">
        <v>127.78</v>
      </c>
      <c r="F4230" s="2" t="str">
        <f>IF(Table2[[#This Row],[Manual Cat Value]]="",VLOOKUP(Table2[[#This Row],[Description]],'Actuals Lookup'!D:F,3,0),Table2[[#This Row],[Manual Cat Value]])</f>
        <v>Amazon</v>
      </c>
      <c r="J4230" s="2">
        <v>127.78</v>
      </c>
      <c r="K4230" s="2" t="b">
        <v>0</v>
      </c>
      <c r="L4230" s="2"/>
      <c r="M4230" s="2"/>
      <c r="N4230" s="4" t="s">
        <v>2259</v>
      </c>
      <c r="O4230" s="4" t="str">
        <f>LEFT(Table2[[#This Row],[Description]],75)</f>
        <v>Amazon</v>
      </c>
      <c r="P4230" s="2" t="s">
        <v>2260</v>
      </c>
    </row>
    <row r="4231" spans="1:16" hidden="1">
      <c r="A4231" s="2">
        <v>202102</v>
      </c>
      <c r="B4231" s="3">
        <v>44230</v>
      </c>
      <c r="C4231" s="2" t="s">
        <v>2447</v>
      </c>
      <c r="D4231" s="2" t="s">
        <v>38</v>
      </c>
      <c r="E4231" s="2">
        <v>127.78</v>
      </c>
      <c r="F4231" s="2" t="str">
        <f>IF(Table2[[#This Row],[Manual Cat Value]]="",VLOOKUP(Table2[[#This Row],[Description]],'Actuals Lookup'!D:F,3,0),Table2[[#This Row],[Manual Cat Value]])</f>
        <v>Amazon</v>
      </c>
      <c r="J4231" s="2">
        <v>127.78</v>
      </c>
      <c r="K4231" s="2" t="b">
        <v>0</v>
      </c>
      <c r="L4231" s="2"/>
      <c r="M4231" s="2"/>
      <c r="N4231" s="4" t="s">
        <v>2259</v>
      </c>
      <c r="O4231" s="4" t="str">
        <f>LEFT(Table2[[#This Row],[Description]],75)</f>
        <v>Amazon</v>
      </c>
      <c r="P4231" s="2" t="s">
        <v>2260</v>
      </c>
    </row>
    <row r="4232" spans="1:16" hidden="1">
      <c r="A4232" s="2">
        <v>202102</v>
      </c>
      <c r="B4232" s="3">
        <v>44230</v>
      </c>
      <c r="C4232" s="2" t="s">
        <v>2265</v>
      </c>
      <c r="D4232" s="2" t="s">
        <v>361</v>
      </c>
      <c r="E4232" s="2">
        <v>-2167.65</v>
      </c>
      <c r="F4232" s="2" t="e">
        <f>IF(Table2[[#This Row],[Manual Cat Value]]="",VLOOKUP(Table2[[#This Row],[Description]],'Actuals Lookup'!D:F,3,0),Table2[[#This Row],[Manual Cat Value]])</f>
        <v>#N/A</v>
      </c>
      <c r="J4232" s="2">
        <v>2167.65</v>
      </c>
      <c r="K4232" s="2" t="b">
        <v>0</v>
      </c>
      <c r="L4232" s="2"/>
      <c r="M4232" s="2"/>
      <c r="N4232" s="4" t="s">
        <v>2273</v>
      </c>
      <c r="O4232" s="4" t="str">
        <f>LEFT(Table2[[#This Row],[Description]],75)</f>
        <v>CARGILL COCOA TYPE DIR DEP ID CO CARGILL COCOA ACH ECC PPD ACH Trace 20887</v>
      </c>
      <c r="P4232" s="2" t="s">
        <v>2284</v>
      </c>
    </row>
    <row r="4233" spans="1:16" hidden="1">
      <c r="A4233" s="2">
        <v>202102</v>
      </c>
      <c r="B4233" s="3">
        <v>44230</v>
      </c>
      <c r="C4233" s="2" t="s">
        <v>2265</v>
      </c>
      <c r="D4233" s="2" t="s">
        <v>656</v>
      </c>
      <c r="E4233" s="2">
        <v>110.58</v>
      </c>
      <c r="F4233" s="2" t="e">
        <f>IF(Table2[[#This Row],[Manual Cat Value]]="",VLOOKUP(Table2[[#This Row],[Description]],'Actuals Lookup'!D:F,3,0),Table2[[#This Row],[Manual Cat Value]])</f>
        <v>#N/A</v>
      </c>
      <c r="J4233" s="2">
        <v>110.58</v>
      </c>
      <c r="K4233" s="2" t="b">
        <v>0</v>
      </c>
      <c r="L4233" s="2"/>
      <c r="M4233" s="2"/>
      <c r="N4233" s="4" t="s">
        <v>2259</v>
      </c>
      <c r="O4233" s="4" t="str">
        <f>LEFT(Table2[[#This Row],[Description]],75)</f>
        <v xml:space="preserve">CPENERGY MNGCO TYPE MGC ACH EB ID 176051140S CO CPENERGY MNGCO ACH ECC WEB </v>
      </c>
      <c r="P4233" s="2" t="s">
        <v>2399</v>
      </c>
    </row>
    <row r="4234" spans="1:16" hidden="1">
      <c r="A4234" s="2">
        <v>202102</v>
      </c>
      <c r="B4234" s="3">
        <v>44230</v>
      </c>
      <c r="C4234" s="2" t="s">
        <v>2262</v>
      </c>
      <c r="D4234" s="2" t="s">
        <v>896</v>
      </c>
      <c r="E4234" s="2">
        <v>26</v>
      </c>
      <c r="F4234" s="2" t="e">
        <f>IF(Table2[[#This Row],[Manual Cat Value]]="",VLOOKUP(Table2[[#This Row],[Description]],'Actuals Lookup'!D:F,3,0),Table2[[#This Row],[Manual Cat Value]])</f>
        <v>#N/A</v>
      </c>
      <c r="J4234" s="2">
        <v>26</v>
      </c>
      <c r="K4234" s="2" t="b">
        <v>0</v>
      </c>
      <c r="L4234" s="2"/>
      <c r="M4234" s="2"/>
      <c r="N4234" s="4" t="s">
        <v>2259</v>
      </c>
      <c r="O4234" s="4" t="str">
        <f>LEFT(Table2[[#This Row],[Description]],75)</f>
        <v>GoFndMe Free Family s JoRedwood City CA</v>
      </c>
      <c r="P4234" s="2" t="s">
        <v>2281</v>
      </c>
    </row>
    <row r="4235" spans="1:16" hidden="1">
      <c r="A4235" s="2">
        <v>202102</v>
      </c>
      <c r="B4235" s="3">
        <v>44230</v>
      </c>
      <c r="C4235" s="2" t="s">
        <v>2262</v>
      </c>
      <c r="D4235" s="2" t="s">
        <v>924</v>
      </c>
      <c r="E4235" s="2">
        <v>18</v>
      </c>
      <c r="F4235" s="2" t="e">
        <f>IF(Table2[[#This Row],[Manual Cat Value]]="",VLOOKUP(Table2[[#This Row],[Description]],'Actuals Lookup'!D:F,3,0),Table2[[#This Row],[Manual Cat Value]])</f>
        <v>#N/A</v>
      </c>
      <c r="J4235" s="2">
        <v>18</v>
      </c>
      <c r="K4235" s="2" t="b">
        <v>0</v>
      </c>
      <c r="L4235" s="2"/>
      <c r="M4235" s="2"/>
      <c r="N4235" s="4" t="s">
        <v>2259</v>
      </c>
      <c r="O4235" s="4" t="str">
        <f>LEFT(Table2[[#This Row],[Description]],75)</f>
        <v>HBRSUBSCRIPTION 8009880886 MA</v>
      </c>
      <c r="P4235" s="2" t="s">
        <v>2281</v>
      </c>
    </row>
    <row r="4236" spans="1:16" hidden="1">
      <c r="A4236" s="2">
        <v>202102</v>
      </c>
      <c r="B4236" s="3">
        <v>44230</v>
      </c>
      <c r="C4236" s="2" t="s">
        <v>2262</v>
      </c>
      <c r="D4236" s="2" t="s">
        <v>947</v>
      </c>
      <c r="E4236" s="2">
        <v>3.49</v>
      </c>
      <c r="F4236" s="2" t="e">
        <f>IF(Table2[[#This Row],[Manual Cat Value]]="",VLOOKUP(Table2[[#This Row],[Description]],'Actuals Lookup'!D:F,3,0),Table2[[#This Row],[Manual Cat Value]])</f>
        <v>#N/A</v>
      </c>
      <c r="J4236" s="2">
        <v>3.49</v>
      </c>
      <c r="K4236" s="2" t="b">
        <v>0</v>
      </c>
      <c r="L4236" s="2"/>
      <c r="M4236" s="2"/>
      <c r="N4236" s="4" t="s">
        <v>2259</v>
      </c>
      <c r="O4236" s="4" t="str">
        <f>LEFT(Table2[[#This Row],[Description]],75)</f>
        <v>Home Depot</v>
      </c>
      <c r="P4236" s="2" t="s">
        <v>2396</v>
      </c>
    </row>
    <row r="4237" spans="1:16" hidden="1">
      <c r="A4237" s="2">
        <v>202102</v>
      </c>
      <c r="B4237" s="3">
        <v>44230</v>
      </c>
      <c r="C4237" s="2" t="s">
        <v>2262</v>
      </c>
      <c r="D4237" s="2" t="s">
        <v>947</v>
      </c>
      <c r="E4237" s="2">
        <v>19.11</v>
      </c>
      <c r="F4237" s="2" t="e">
        <f>IF(Table2[[#This Row],[Manual Cat Value]]="",VLOOKUP(Table2[[#This Row],[Description]],'Actuals Lookup'!D:F,3,0),Table2[[#This Row],[Manual Cat Value]])</f>
        <v>#N/A</v>
      </c>
      <c r="J4237" s="2">
        <v>19.11</v>
      </c>
      <c r="K4237" s="2" t="b">
        <v>0</v>
      </c>
      <c r="L4237" s="2"/>
      <c r="M4237" s="2"/>
      <c r="N4237" s="4" t="s">
        <v>2259</v>
      </c>
      <c r="O4237" s="4" t="str">
        <f>LEFT(Table2[[#This Row],[Description]],75)</f>
        <v>Home Depot</v>
      </c>
      <c r="P4237" s="2" t="s">
        <v>2396</v>
      </c>
    </row>
    <row r="4238" spans="1:16" hidden="1">
      <c r="A4238" s="2">
        <v>202102</v>
      </c>
      <c r="B4238" s="3">
        <v>44230</v>
      </c>
      <c r="C4238" s="2" t="s">
        <v>2317</v>
      </c>
      <c r="D4238" s="2" t="s">
        <v>1140</v>
      </c>
      <c r="E4238" s="2">
        <v>-14.86</v>
      </c>
      <c r="F4238" s="2" t="e">
        <f>IF(Table2[[#This Row],[Manual Cat Value]]="",VLOOKUP(Table2[[#This Row],[Description]],'Actuals Lookup'!D:F,3,0),Table2[[#This Row],[Manual Cat Value]])</f>
        <v>#N/A</v>
      </c>
      <c r="J4238" s="2">
        <v>14.86</v>
      </c>
      <c r="K4238" s="2" t="b">
        <v>0</v>
      </c>
      <c r="L4238" s="2"/>
      <c r="M4238" s="2"/>
      <c r="N4238" s="4" t="s">
        <v>2273</v>
      </c>
      <c r="O4238" s="4" t="str">
        <f>LEFT(Table2[[#This Row],[Description]],75)</f>
        <v>LOWES COS INC</v>
      </c>
      <c r="P4238" s="2" t="s">
        <v>2515</v>
      </c>
    </row>
    <row r="4239" spans="1:16" hidden="1">
      <c r="A4239" s="2">
        <v>202102</v>
      </c>
      <c r="B4239" s="3">
        <v>44230</v>
      </c>
      <c r="C4239" s="2" t="s">
        <v>2262</v>
      </c>
      <c r="D4239" s="2" t="s">
        <v>1397</v>
      </c>
      <c r="E4239" s="2">
        <v>1.5</v>
      </c>
      <c r="F4239" s="2" t="e">
        <f>IF(Table2[[#This Row],[Manual Cat Value]]="",VLOOKUP(Table2[[#This Row],[Description]],'Actuals Lookup'!D:F,3,0),Table2[[#This Row],[Manual Cat Value]])</f>
        <v>#N/A</v>
      </c>
      <c r="J4239" s="2">
        <v>1.5</v>
      </c>
      <c r="K4239" s="2" t="b">
        <v>0</v>
      </c>
      <c r="L4239" s="2"/>
      <c r="M4239" s="2"/>
      <c r="N4239" s="4" t="s">
        <v>2259</v>
      </c>
      <c r="O4239" s="4" t="str">
        <f>LEFT(Table2[[#This Row],[Description]],75)</f>
        <v>Paragon Bakery LLC</v>
      </c>
      <c r="P4239" s="2" t="s">
        <v>2281</v>
      </c>
    </row>
    <row r="4240" spans="1:16" hidden="1">
      <c r="A4240" s="2">
        <v>202102</v>
      </c>
      <c r="B4240" s="3">
        <v>44230</v>
      </c>
      <c r="C4240" s="2" t="s">
        <v>2265</v>
      </c>
      <c r="D4240" s="2" t="s">
        <v>1471</v>
      </c>
      <c r="E4240" s="2">
        <v>5.3</v>
      </c>
      <c r="F4240" s="2" t="str">
        <f>IF(Table2[[#This Row],[Manual Cat Value]]="",VLOOKUP(Table2[[#This Row],[Description]],'Actuals Lookup'!D:F,3,0),Table2[[#This Row],[Manual Cat Value]])</f>
        <v>Shopping</v>
      </c>
      <c r="J4240" s="2">
        <v>5.3</v>
      </c>
      <c r="K4240" s="2" t="b">
        <v>0</v>
      </c>
      <c r="L4240" s="2"/>
      <c r="M4240" s="2"/>
      <c r="N4240" s="4" t="s">
        <v>2259</v>
      </c>
      <c r="O4240" s="4" t="str">
        <f>LEFT(Table2[[#This Row],[Description]],75)</f>
        <v>PayPal</v>
      </c>
      <c r="P4240" s="2" t="s">
        <v>2322</v>
      </c>
    </row>
    <row r="4241" spans="1:16" hidden="1">
      <c r="A4241" s="2">
        <v>202102</v>
      </c>
      <c r="B4241" s="3">
        <v>44231</v>
      </c>
      <c r="C4241" s="2" t="s">
        <v>2262</v>
      </c>
      <c r="D4241" s="2" t="s">
        <v>947</v>
      </c>
      <c r="E4241" s="2">
        <v>17.170000000000002</v>
      </c>
      <c r="F4241" s="2" t="e">
        <f>IF(Table2[[#This Row],[Manual Cat Value]]="",VLOOKUP(Table2[[#This Row],[Description]],'Actuals Lookup'!D:F,3,0),Table2[[#This Row],[Manual Cat Value]])</f>
        <v>#N/A</v>
      </c>
      <c r="J4241" s="2">
        <v>17.170000000000002</v>
      </c>
      <c r="K4241" s="2" t="b">
        <v>0</v>
      </c>
      <c r="L4241" s="2"/>
      <c r="M4241" s="2"/>
      <c r="N4241" s="4" t="s">
        <v>2259</v>
      </c>
      <c r="O4241" s="4" t="str">
        <f>LEFT(Table2[[#This Row],[Description]],75)</f>
        <v>Home Depot</v>
      </c>
      <c r="P4241" s="2" t="s">
        <v>2396</v>
      </c>
    </row>
    <row r="4242" spans="1:16" hidden="1">
      <c r="A4242" s="2">
        <v>202102</v>
      </c>
      <c r="B4242" s="3">
        <v>44231</v>
      </c>
      <c r="C4242" s="2" t="s">
        <v>2317</v>
      </c>
      <c r="D4242" s="2" t="s">
        <v>1140</v>
      </c>
      <c r="E4242" s="2">
        <v>14.86</v>
      </c>
      <c r="F4242" s="2" t="e">
        <f>IF(Table2[[#This Row],[Manual Cat Value]]="",VLOOKUP(Table2[[#This Row],[Description]],'Actuals Lookup'!D:F,3,0),Table2[[#This Row],[Manual Cat Value]])</f>
        <v>#N/A</v>
      </c>
      <c r="J4242" s="2">
        <v>14.86</v>
      </c>
      <c r="K4242" s="2" t="b">
        <v>0</v>
      </c>
      <c r="L4242" s="2"/>
      <c r="M4242" s="2"/>
      <c r="N4242" s="4" t="s">
        <v>2259</v>
      </c>
      <c r="O4242" s="4" t="str">
        <f>LEFT(Table2[[#This Row],[Description]],75)</f>
        <v>LOWES COS INC</v>
      </c>
      <c r="P4242" s="2" t="s">
        <v>2515</v>
      </c>
    </row>
    <row r="4243" spans="1:16" hidden="1">
      <c r="A4243" s="2">
        <v>202102</v>
      </c>
      <c r="B4243" s="3">
        <v>44231</v>
      </c>
      <c r="C4243" s="2" t="s">
        <v>2262</v>
      </c>
      <c r="D4243" s="2" t="s">
        <v>1707</v>
      </c>
      <c r="E4243" s="2">
        <v>24.91</v>
      </c>
      <c r="F4243" s="2" t="str">
        <f>IF(Table2[[#This Row],[Manual Cat Value]]="",VLOOKUP(Table2[[#This Row],[Description]],'Actuals Lookup'!D:F,3,0),Table2[[#This Row],[Manual Cat Value]])</f>
        <v>Transportation</v>
      </c>
      <c r="J4243" s="2">
        <v>24.91</v>
      </c>
      <c r="K4243" s="2" t="b">
        <v>0</v>
      </c>
      <c r="L4243" s="2"/>
      <c r="M4243" s="2"/>
      <c r="N4243" s="4" t="s">
        <v>2259</v>
      </c>
      <c r="O4243" s="4" t="str">
        <f>LEFT(Table2[[#This Row],[Description]],75)</f>
        <v>Speedway</v>
      </c>
      <c r="P4243" s="2" t="s">
        <v>2381</v>
      </c>
    </row>
    <row r="4244" spans="1:16" hidden="1">
      <c r="A4244" s="2">
        <v>202102</v>
      </c>
      <c r="B4244" s="3">
        <v>44231</v>
      </c>
      <c r="C4244" s="2" t="s">
        <v>2262</v>
      </c>
      <c r="D4244" s="2" t="s">
        <v>1875</v>
      </c>
      <c r="E4244" s="2">
        <v>31.95</v>
      </c>
      <c r="F4244" s="2" t="e">
        <f>IF(Table2[[#This Row],[Manual Cat Value]]="",VLOOKUP(Table2[[#This Row],[Description]],'Actuals Lookup'!D:F,3,0),Table2[[#This Row],[Manual Cat Value]])</f>
        <v>#N/A</v>
      </c>
      <c r="J4244" s="2">
        <v>31.95</v>
      </c>
      <c r="K4244" s="2" t="b">
        <v>0</v>
      </c>
      <c r="L4244" s="2"/>
      <c r="M4244" s="2"/>
      <c r="N4244" s="4" t="s">
        <v>2259</v>
      </c>
      <c r="O4244" s="4" t="str">
        <f>LEFT(Table2[[#This Row],[Description]],75)</f>
        <v>Tires Plus</v>
      </c>
      <c r="P4244" s="2" t="s">
        <v>2281</v>
      </c>
    </row>
    <row r="4245" spans="1:16" hidden="1">
      <c r="A4245" s="2">
        <v>202102</v>
      </c>
      <c r="B4245" s="3">
        <v>44232</v>
      </c>
      <c r="C4245" s="2" t="s">
        <v>2317</v>
      </c>
      <c r="D4245" s="2" t="s">
        <v>354</v>
      </c>
      <c r="E4245" s="2">
        <v>-200</v>
      </c>
      <c r="F4245" s="2" t="e">
        <f>IF(Table2[[#This Row],[Manual Cat Value]]="",VLOOKUP(Table2[[#This Row],[Description]],'Actuals Lookup'!D:F,3,0),Table2[[#This Row],[Manual Cat Value]])</f>
        <v>#N/A</v>
      </c>
      <c r="J4245" s="2">
        <v>200</v>
      </c>
      <c r="K4245" s="2" t="b">
        <v>0</v>
      </c>
      <c r="L4245" s="2"/>
      <c r="M4245" s="2"/>
      <c r="N4245" s="4" t="s">
        <v>2273</v>
      </c>
      <c r="O4245" s="4" t="str">
        <f>LEFT(Table2[[#This Row],[Description]],75)</f>
        <v>CARGILL COCOA &amp;</v>
      </c>
      <c r="P4245" s="2" t="s">
        <v>2354</v>
      </c>
    </row>
    <row r="4246" spans="1:16" hidden="1">
      <c r="A4246" s="2">
        <v>202102</v>
      </c>
      <c r="B4246" s="3">
        <v>44232</v>
      </c>
      <c r="C4246" s="2" t="s">
        <v>2262</v>
      </c>
      <c r="D4246" s="2" t="s">
        <v>814</v>
      </c>
      <c r="E4246" s="2">
        <v>39.950000000000003</v>
      </c>
      <c r="F4246" s="2" t="e">
        <f>IF(Table2[[#This Row],[Manual Cat Value]]="",VLOOKUP(Table2[[#This Row],[Description]],'Actuals Lookup'!D:F,3,0),Table2[[#This Row],[Manual Cat Value]])</f>
        <v>#N/A</v>
      </c>
      <c r="J4246" s="2">
        <v>39.950000000000003</v>
      </c>
      <c r="K4246" s="2" t="b">
        <v>0</v>
      </c>
      <c r="L4246" s="2"/>
      <c r="M4246" s="2"/>
      <c r="N4246" s="4" t="s">
        <v>2259</v>
      </c>
      <c r="O4246" s="4" t="str">
        <f>LEFT(Table2[[#This Row],[Description]],75)</f>
        <v>ENMOTIVE EVENT REGISTRATIBUFFALO GROVEIL</v>
      </c>
      <c r="P4246" s="2" t="s">
        <v>2281</v>
      </c>
    </row>
    <row r="4247" spans="1:16" hidden="1">
      <c r="A4247" s="2">
        <v>202102</v>
      </c>
      <c r="B4247" s="3">
        <v>44232</v>
      </c>
      <c r="C4247" s="2" t="s">
        <v>2262</v>
      </c>
      <c r="D4247" s="2" t="s">
        <v>947</v>
      </c>
      <c r="E4247" s="2">
        <v>9.6300000000000008</v>
      </c>
      <c r="F4247" s="2" t="e">
        <f>IF(Table2[[#This Row],[Manual Cat Value]]="",VLOOKUP(Table2[[#This Row],[Description]],'Actuals Lookup'!D:F,3,0),Table2[[#This Row],[Manual Cat Value]])</f>
        <v>#N/A</v>
      </c>
      <c r="J4247" s="2">
        <v>9.6300000000000008</v>
      </c>
      <c r="K4247" s="2" t="b">
        <v>0</v>
      </c>
      <c r="L4247" s="2"/>
      <c r="M4247" s="2"/>
      <c r="N4247" s="4" t="s">
        <v>2259</v>
      </c>
      <c r="O4247" s="4" t="str">
        <f>LEFT(Table2[[#This Row],[Description]],75)</f>
        <v>Home Depot</v>
      </c>
      <c r="P4247" s="2" t="s">
        <v>2396</v>
      </c>
    </row>
    <row r="4248" spans="1:16" hidden="1">
      <c r="A4248" s="2">
        <v>202102</v>
      </c>
      <c r="B4248" s="3">
        <v>44232</v>
      </c>
      <c r="C4248" s="2" t="s">
        <v>2265</v>
      </c>
      <c r="D4248" s="2" t="s">
        <v>1471</v>
      </c>
      <c r="E4248" s="2">
        <v>49.49</v>
      </c>
      <c r="F4248" s="2" t="str">
        <f>IF(Table2[[#This Row],[Manual Cat Value]]="",VLOOKUP(Table2[[#This Row],[Description]],'Actuals Lookup'!D:F,3,0),Table2[[#This Row],[Manual Cat Value]])</f>
        <v>Shopping</v>
      </c>
      <c r="J4248" s="2">
        <v>49.49</v>
      </c>
      <c r="K4248" s="2" t="b">
        <v>0</v>
      </c>
      <c r="L4248" s="2"/>
      <c r="M4248" s="2"/>
      <c r="N4248" s="4" t="s">
        <v>2259</v>
      </c>
      <c r="O4248" s="4" t="str">
        <f>LEFT(Table2[[#This Row],[Description]],75)</f>
        <v>PayPal</v>
      </c>
      <c r="P4248" s="2" t="s">
        <v>2322</v>
      </c>
    </row>
    <row r="4249" spans="1:16" hidden="1">
      <c r="A4249" s="2">
        <v>202102</v>
      </c>
      <c r="B4249" s="3">
        <v>44232</v>
      </c>
      <c r="C4249" s="2" t="s">
        <v>2317</v>
      </c>
      <c r="D4249" s="2" t="s">
        <v>1635</v>
      </c>
      <c r="E4249" s="2">
        <v>200</v>
      </c>
      <c r="F4249" s="2" t="e">
        <f>IF(Table2[[#This Row],[Manual Cat Value]]="",VLOOKUP(Table2[[#This Row],[Description]],'Actuals Lookup'!D:F,3,0),Table2[[#This Row],[Manual Cat Value]])</f>
        <v>#N/A</v>
      </c>
      <c r="J4249" s="2">
        <v>200</v>
      </c>
      <c r="K4249" s="2" t="b">
        <v>0</v>
      </c>
      <c r="L4249" s="2"/>
      <c r="M4249" s="2"/>
      <c r="N4249" s="4" t="s">
        <v>2259</v>
      </c>
      <c r="O4249" s="4" t="str">
        <f>LEFT(Table2[[#This Row],[Description]],75)</f>
        <v>SCHWAB TOTAL STOCK MKT INDEX</v>
      </c>
      <c r="P4249" s="2" t="s">
        <v>2278</v>
      </c>
    </row>
    <row r="4250" spans="1:16" hidden="1">
      <c r="A4250" s="2">
        <v>202102</v>
      </c>
      <c r="B4250" s="3">
        <v>44232</v>
      </c>
      <c r="C4250" s="2" t="s">
        <v>2434</v>
      </c>
      <c r="D4250" s="2" t="s">
        <v>1834</v>
      </c>
      <c r="E4250" s="2">
        <v>-231</v>
      </c>
      <c r="F4250" s="2" t="e">
        <f>IF(Table2[[#This Row],[Manual Cat Value]]="",VLOOKUP(Table2[[#This Row],[Description]],'Actuals Lookup'!D:F,3,0),Table2[[#This Row],[Manual Cat Value]])</f>
        <v>#N/A</v>
      </c>
      <c r="J4250" s="2">
        <v>231</v>
      </c>
      <c r="K4250" s="2" t="b">
        <v>0</v>
      </c>
      <c r="L4250" s="2"/>
      <c r="M4250" s="2"/>
      <c r="N4250" s="4" t="s">
        <v>2273</v>
      </c>
      <c r="O4250" s="4" t="str">
        <f>LEFT(Table2[[#This Row],[Description]],75)</f>
        <v>Tfr JPMORGAN CHASE BAN, CARGILL COCOA &amp;</v>
      </c>
      <c r="P4250" s="2" t="s">
        <v>2356</v>
      </c>
    </row>
    <row r="4251" spans="1:16" hidden="1">
      <c r="A4251" s="2">
        <v>202102</v>
      </c>
      <c r="B4251" s="3">
        <v>44233</v>
      </c>
      <c r="C4251" s="2" t="s">
        <v>2262</v>
      </c>
      <c r="D4251" s="2" t="s">
        <v>1423</v>
      </c>
      <c r="E4251" s="2">
        <v>-309.63</v>
      </c>
      <c r="F4251" s="2" t="e">
        <f>IF(Table2[[#This Row],[Manual Cat Value]]="",VLOOKUP(Table2[[#This Row],[Description]],'Actuals Lookup'!D:F,3,0),Table2[[#This Row],[Manual Cat Value]])</f>
        <v>#N/A</v>
      </c>
      <c r="J4251" s="2">
        <v>309.63</v>
      </c>
      <c r="K4251" s="2" t="b">
        <v>0</v>
      </c>
      <c r="L4251" s="2"/>
      <c r="M4251" s="2"/>
      <c r="N4251" s="4" t="s">
        <v>2273</v>
      </c>
      <c r="O4251" s="4" t="str">
        <f>LEFT(Table2[[#This Row],[Description]],75)</f>
        <v>PAYMENT THANK YOU</v>
      </c>
      <c r="P4251" s="2" t="s">
        <v>2391</v>
      </c>
    </row>
    <row r="4252" spans="1:16" hidden="1">
      <c r="A4252" s="2">
        <v>202102</v>
      </c>
      <c r="B4252" s="3">
        <v>44233</v>
      </c>
      <c r="C4252" s="2" t="s">
        <v>2265</v>
      </c>
      <c r="D4252" s="2" t="s">
        <v>2176</v>
      </c>
      <c r="E4252" s="2">
        <v>309.63</v>
      </c>
      <c r="F4252" s="2" t="e">
        <f>IF(Table2[[#This Row],[Manual Cat Value]]="",VLOOKUP(Table2[[#This Row],[Description]],'Actuals Lookup'!D:F,3,0),Table2[[#This Row],[Manual Cat Value]])</f>
        <v>#N/A</v>
      </c>
      <c r="J4252" s="2">
        <v>309.63</v>
      </c>
      <c r="K4252" s="2" t="b">
        <v>0</v>
      </c>
      <c r="L4252" s="2"/>
      <c r="M4252" s="2"/>
      <c r="N4252" s="4" t="s">
        <v>2259</v>
      </c>
      <c r="O4252" s="4" t="str">
        <f>LEFT(Table2[[#This Row],[Description]],75)</f>
        <v>Withdrawal Home payment to card 979181</v>
      </c>
      <c r="P4252" s="2" t="s">
        <v>2349</v>
      </c>
    </row>
    <row r="4253" spans="1:16" hidden="1">
      <c r="A4253" s="2">
        <v>202102</v>
      </c>
      <c r="B4253" s="3">
        <v>44233</v>
      </c>
      <c r="C4253" s="2" t="s">
        <v>2447</v>
      </c>
      <c r="D4253" s="2" t="s">
        <v>338</v>
      </c>
      <c r="E4253" s="2">
        <v>21.46</v>
      </c>
      <c r="F4253" s="2" t="e">
        <f>IF(Table2[[#This Row],[Manual Cat Value]]="",VLOOKUP(Table2[[#This Row],[Description]],'Actuals Lookup'!D:F,3,0),Table2[[#This Row],[Manual Cat Value]])</f>
        <v>#N/A</v>
      </c>
      <c r="J4253" s="2">
        <v>21.46</v>
      </c>
      <c r="K4253" s="2" t="b">
        <v>0</v>
      </c>
      <c r="L4253" s="2"/>
      <c r="M4253" s="2"/>
      <c r="N4253" s="4" t="s">
        <v>2259</v>
      </c>
      <c r="O4253" s="4" t="str">
        <f>LEFT(Table2[[#This Row],[Description]],75)</f>
        <v>Byerly's</v>
      </c>
      <c r="P4253" s="2" t="s">
        <v>2364</v>
      </c>
    </row>
    <row r="4254" spans="1:16" hidden="1">
      <c r="A4254" s="2">
        <v>202102</v>
      </c>
      <c r="B4254" s="3">
        <v>44233</v>
      </c>
      <c r="C4254" s="2" t="s">
        <v>2447</v>
      </c>
      <c r="D4254" s="2" t="s">
        <v>338</v>
      </c>
      <c r="E4254" s="2">
        <v>27.45</v>
      </c>
      <c r="F4254" s="2" t="e">
        <f>IF(Table2[[#This Row],[Manual Cat Value]]="",VLOOKUP(Table2[[#This Row],[Description]],'Actuals Lookup'!D:F,3,0),Table2[[#This Row],[Manual Cat Value]])</f>
        <v>#N/A</v>
      </c>
      <c r="J4254" s="2">
        <v>27.45</v>
      </c>
      <c r="K4254" s="2" t="b">
        <v>0</v>
      </c>
      <c r="L4254" s="2"/>
      <c r="M4254" s="2"/>
      <c r="N4254" s="4" t="s">
        <v>2259</v>
      </c>
      <c r="O4254" s="4" t="str">
        <f>LEFT(Table2[[#This Row],[Description]],75)</f>
        <v>Byerly's</v>
      </c>
      <c r="P4254" s="2" t="s">
        <v>2364</v>
      </c>
    </row>
    <row r="4255" spans="1:16" hidden="1">
      <c r="A4255" s="2">
        <v>202102</v>
      </c>
      <c r="B4255" s="3">
        <v>44233</v>
      </c>
      <c r="C4255" s="2" t="s">
        <v>2258</v>
      </c>
      <c r="D4255" s="2" t="s">
        <v>338</v>
      </c>
      <c r="E4255" s="2">
        <v>21.46</v>
      </c>
      <c r="F4255" s="2" t="e">
        <f>IF(Table2[[#This Row],[Manual Cat Value]]="",VLOOKUP(Table2[[#This Row],[Description]],'Actuals Lookup'!D:F,3,0),Table2[[#This Row],[Manual Cat Value]])</f>
        <v>#N/A</v>
      </c>
      <c r="J4255" s="2">
        <v>21.46</v>
      </c>
      <c r="K4255" s="2" t="b">
        <v>0</v>
      </c>
      <c r="L4255" s="2"/>
      <c r="M4255" s="2"/>
      <c r="N4255" s="4" t="s">
        <v>2259</v>
      </c>
      <c r="O4255" s="4" t="str">
        <f>LEFT(Table2[[#This Row],[Description]],75)</f>
        <v>Byerly's</v>
      </c>
      <c r="P4255" s="2" t="s">
        <v>2364</v>
      </c>
    </row>
    <row r="4256" spans="1:16" hidden="1">
      <c r="A4256" s="2">
        <v>202102</v>
      </c>
      <c r="B4256" s="3">
        <v>44233</v>
      </c>
      <c r="C4256" s="2" t="s">
        <v>2258</v>
      </c>
      <c r="D4256" s="2" t="s">
        <v>338</v>
      </c>
      <c r="E4256" s="2">
        <v>27.45</v>
      </c>
      <c r="F4256" s="2" t="e">
        <f>IF(Table2[[#This Row],[Manual Cat Value]]="",VLOOKUP(Table2[[#This Row],[Description]],'Actuals Lookup'!D:F,3,0),Table2[[#This Row],[Manual Cat Value]])</f>
        <v>#N/A</v>
      </c>
      <c r="J4256" s="2">
        <v>27.45</v>
      </c>
      <c r="K4256" s="2" t="b">
        <v>0</v>
      </c>
      <c r="L4256" s="2"/>
      <c r="M4256" s="2"/>
      <c r="N4256" s="4" t="s">
        <v>2259</v>
      </c>
      <c r="O4256" s="4" t="str">
        <f>LEFT(Table2[[#This Row],[Description]],75)</f>
        <v>Byerly's</v>
      </c>
      <c r="P4256" s="2" t="s">
        <v>2364</v>
      </c>
    </row>
    <row r="4257" spans="1:16" hidden="1">
      <c r="A4257" s="2">
        <v>202102</v>
      </c>
      <c r="B4257" s="3">
        <v>44233</v>
      </c>
      <c r="C4257" s="2" t="s">
        <v>2300</v>
      </c>
      <c r="D4257" s="2" t="s">
        <v>1648</v>
      </c>
      <c r="E4257" s="2">
        <v>-300</v>
      </c>
      <c r="F4257" s="2" t="e">
        <f>IF(Table2[[#This Row],[Manual Cat Value]]="",VLOOKUP(Table2[[#This Row],[Description]],'Actuals Lookup'!D:F,3,0),Table2[[#This Row],[Manual Cat Value]])</f>
        <v>#N/A</v>
      </c>
      <c r="J4257" s="2">
        <v>300</v>
      </c>
      <c r="K4257" s="2" t="b">
        <v>0</v>
      </c>
      <c r="L4257" s="2"/>
      <c r="M4257" s="2"/>
      <c r="N4257" s="4" t="s">
        <v>2273</v>
      </c>
      <c r="O4257" s="4" t="str">
        <f>LEFT(Table2[[#This Row],[Description]],75)</f>
        <v>Share</v>
      </c>
      <c r="P4257" s="2" t="s">
        <v>2448</v>
      </c>
    </row>
    <row r="4258" spans="1:16" hidden="1">
      <c r="A4258" s="2">
        <v>202102</v>
      </c>
      <c r="B4258" s="3">
        <v>44233</v>
      </c>
      <c r="C4258" s="2" t="s">
        <v>2265</v>
      </c>
      <c r="D4258" s="2" t="s">
        <v>1892</v>
      </c>
      <c r="E4258" s="2">
        <v>300</v>
      </c>
      <c r="F4258" s="2" t="e">
        <f>IF(Table2[[#This Row],[Manual Cat Value]]="",VLOOKUP(Table2[[#This Row],[Description]],'Actuals Lookup'!D:F,3,0),Table2[[#This Row],[Manual Cat Value]])</f>
        <v>#N/A</v>
      </c>
      <c r="J4258" s="2">
        <v>300</v>
      </c>
      <c r="K4258" s="2" t="b">
        <v>0</v>
      </c>
      <c r="L4258" s="2"/>
      <c r="M4258" s="2"/>
      <c r="N4258" s="4" t="s">
        <v>2259</v>
      </c>
      <c r="O4258" s="4" t="str">
        <f>LEFT(Table2[[#This Row],[Description]],75)</f>
        <v>To Share 12</v>
      </c>
      <c r="P4258" s="2" t="s">
        <v>2494</v>
      </c>
    </row>
    <row r="4259" spans="1:16" hidden="1">
      <c r="A4259" s="2">
        <v>202102</v>
      </c>
      <c r="B4259" s="3">
        <v>44234</v>
      </c>
      <c r="C4259" s="2" t="s">
        <v>2447</v>
      </c>
      <c r="D4259" s="2" t="s">
        <v>684</v>
      </c>
      <c r="E4259" s="2">
        <v>7.99</v>
      </c>
      <c r="F4259" s="2" t="str">
        <f>IF(Table2[[#This Row],[Manual Cat Value]]="",VLOOKUP(Table2[[#This Row],[Description]],'Actuals Lookup'!D:F,3,0),Table2[[#This Row],[Manual Cat Value]])</f>
        <v>Groceries</v>
      </c>
      <c r="J4259" s="2">
        <v>7.99</v>
      </c>
      <c r="K4259" s="2" t="b">
        <v>0</v>
      </c>
      <c r="L4259" s="2"/>
      <c r="M4259" s="2"/>
      <c r="N4259" s="4" t="s">
        <v>2259</v>
      </c>
      <c r="O4259" s="4" t="str">
        <f>LEFT(Table2[[#This Row],[Description]],75)</f>
        <v>Cub Foods</v>
      </c>
      <c r="P4259" s="2" t="s">
        <v>2370</v>
      </c>
    </row>
    <row r="4260" spans="1:16" hidden="1">
      <c r="A4260" s="2">
        <v>202102</v>
      </c>
      <c r="B4260" s="3">
        <v>44234</v>
      </c>
      <c r="C4260" s="2" t="s">
        <v>2258</v>
      </c>
      <c r="D4260" s="2" t="s">
        <v>684</v>
      </c>
      <c r="E4260" s="2">
        <v>7.99</v>
      </c>
      <c r="F4260" s="2" t="str">
        <f>IF(Table2[[#This Row],[Manual Cat Value]]="",VLOOKUP(Table2[[#This Row],[Description]],'Actuals Lookup'!D:F,3,0),Table2[[#This Row],[Manual Cat Value]])</f>
        <v>Groceries</v>
      </c>
      <c r="J4260" s="2">
        <v>7.99</v>
      </c>
      <c r="K4260" s="2" t="b">
        <v>0</v>
      </c>
      <c r="L4260" s="2"/>
      <c r="M4260" s="2"/>
      <c r="N4260" s="4" t="s">
        <v>2259</v>
      </c>
      <c r="O4260" s="4" t="str">
        <f>LEFT(Table2[[#This Row],[Description]],75)</f>
        <v>Cub Foods</v>
      </c>
      <c r="P4260" s="2" t="s">
        <v>2370</v>
      </c>
    </row>
    <row r="4261" spans="1:16" hidden="1">
      <c r="A4261" s="2">
        <v>202102</v>
      </c>
      <c r="B4261" s="3">
        <v>44234</v>
      </c>
      <c r="C4261" s="2" t="s">
        <v>2262</v>
      </c>
      <c r="D4261" s="2" t="s">
        <v>947</v>
      </c>
      <c r="E4261" s="2">
        <v>4.2699999999999996</v>
      </c>
      <c r="F4261" s="2" t="e">
        <f>IF(Table2[[#This Row],[Manual Cat Value]]="",VLOOKUP(Table2[[#This Row],[Description]],'Actuals Lookup'!D:F,3,0),Table2[[#This Row],[Manual Cat Value]])</f>
        <v>#N/A</v>
      </c>
      <c r="J4261" s="2">
        <v>4.2699999999999996</v>
      </c>
      <c r="K4261" s="2" t="b">
        <v>0</v>
      </c>
      <c r="L4261" s="2"/>
      <c r="M4261" s="2"/>
      <c r="N4261" s="4" t="s">
        <v>2259</v>
      </c>
      <c r="O4261" s="4" t="str">
        <f>LEFT(Table2[[#This Row],[Description]],75)</f>
        <v>Home Depot</v>
      </c>
      <c r="P4261" s="2" t="s">
        <v>2396</v>
      </c>
    </row>
    <row r="4262" spans="1:16" hidden="1">
      <c r="A4262" s="2">
        <v>202102</v>
      </c>
      <c r="B4262" s="3">
        <v>44234</v>
      </c>
      <c r="C4262" s="2" t="s">
        <v>2447</v>
      </c>
      <c r="D4262" s="2" t="s">
        <v>1079</v>
      </c>
      <c r="E4262" s="2">
        <v>18.91</v>
      </c>
      <c r="F4262" s="2" t="e">
        <f>IF(Table2[[#This Row],[Manual Cat Value]]="",VLOOKUP(Table2[[#This Row],[Description]],'Actuals Lookup'!D:F,3,0),Table2[[#This Row],[Manual Cat Value]])</f>
        <v>#N/A</v>
      </c>
      <c r="J4262" s="2">
        <v>18.91</v>
      </c>
      <c r="K4262" s="2" t="b">
        <v>0</v>
      </c>
      <c r="L4262" s="2"/>
      <c r="M4262" s="2"/>
      <c r="N4262" s="4" t="s">
        <v>2259</v>
      </c>
      <c r="O4262" s="4" t="str">
        <f>LEFT(Table2[[#This Row],[Description]],75)</f>
        <v>Kowalski's</v>
      </c>
      <c r="P4262" s="2" t="s">
        <v>2465</v>
      </c>
    </row>
    <row r="4263" spans="1:16" hidden="1">
      <c r="A4263" s="2">
        <v>202102</v>
      </c>
      <c r="B4263" s="3">
        <v>44234</v>
      </c>
      <c r="C4263" s="2" t="s">
        <v>2258</v>
      </c>
      <c r="D4263" s="2" t="s">
        <v>1079</v>
      </c>
      <c r="E4263" s="2">
        <v>18.91</v>
      </c>
      <c r="F4263" s="2" t="e">
        <f>IF(Table2[[#This Row],[Manual Cat Value]]="",VLOOKUP(Table2[[#This Row],[Description]],'Actuals Lookup'!D:F,3,0),Table2[[#This Row],[Manual Cat Value]])</f>
        <v>#N/A</v>
      </c>
      <c r="J4263" s="2">
        <v>18.91</v>
      </c>
      <c r="K4263" s="2" t="b">
        <v>0</v>
      </c>
      <c r="L4263" s="2"/>
      <c r="M4263" s="2"/>
      <c r="N4263" s="4" t="s">
        <v>2259</v>
      </c>
      <c r="O4263" s="4" t="str">
        <f>LEFT(Table2[[#This Row],[Description]],75)</f>
        <v>Kowalski's</v>
      </c>
      <c r="P4263" s="2" t="s">
        <v>2281</v>
      </c>
    </row>
    <row r="4264" spans="1:16" hidden="1">
      <c r="A4264" s="2">
        <v>202102</v>
      </c>
      <c r="B4264" s="3">
        <v>44234</v>
      </c>
      <c r="C4264" s="2" t="s">
        <v>2262</v>
      </c>
      <c r="D4264" s="2" t="s">
        <v>1357</v>
      </c>
      <c r="E4264" s="2">
        <v>135.93</v>
      </c>
      <c r="F4264" s="2" t="e">
        <f>IF(Table2[[#This Row],[Manual Cat Value]]="",VLOOKUP(Table2[[#This Row],[Description]],'Actuals Lookup'!D:F,3,0),Table2[[#This Row],[Manual Cat Value]])</f>
        <v>#N/A</v>
      </c>
      <c r="J4264" s="2">
        <v>135.93</v>
      </c>
      <c r="K4264" s="2" t="b">
        <v>0</v>
      </c>
      <c r="L4264" s="2"/>
      <c r="M4264" s="2"/>
      <c r="N4264" s="4" t="s">
        <v>2259</v>
      </c>
      <c r="O4264" s="4" t="str">
        <f>LEFT(Table2[[#This Row],[Description]],75)</f>
        <v>NORTH COOP CHAHASSEN MN</v>
      </c>
      <c r="P4264" s="2" t="s">
        <v>2326</v>
      </c>
    </row>
    <row r="4265" spans="1:16" hidden="1">
      <c r="A4265" s="2">
        <v>202102</v>
      </c>
      <c r="B4265" s="3">
        <v>44234</v>
      </c>
      <c r="C4265" s="2" t="s">
        <v>2262</v>
      </c>
      <c r="D4265" s="2" t="s">
        <v>1624</v>
      </c>
      <c r="E4265" s="2">
        <v>284.01</v>
      </c>
      <c r="F4265" s="2" t="e">
        <f>IF(Table2[[#This Row],[Manual Cat Value]]="",VLOOKUP(Table2[[#This Row],[Description]],'Actuals Lookup'!D:F,3,0),Table2[[#This Row],[Manual Cat Value]])</f>
        <v>#N/A</v>
      </c>
      <c r="J4265" s="2">
        <v>284.01</v>
      </c>
      <c r="K4265" s="2" t="b">
        <v>0</v>
      </c>
      <c r="L4265" s="2"/>
      <c r="M4265" s="2"/>
      <c r="N4265" s="4" t="s">
        <v>2259</v>
      </c>
      <c r="O4265" s="4" t="str">
        <f>LEFT(Table2[[#This Row],[Description]],75)</f>
        <v>SCHEELS EDEN PRAIRIE EDEN PRAIRIE MN</v>
      </c>
      <c r="P4265" s="2" t="s">
        <v>2281</v>
      </c>
    </row>
    <row r="4266" spans="1:16" hidden="1">
      <c r="A4266" s="2">
        <v>202102</v>
      </c>
      <c r="B4266" s="3">
        <v>44234</v>
      </c>
      <c r="C4266" s="2" t="s">
        <v>2262</v>
      </c>
      <c r="D4266" s="2" t="s">
        <v>2088</v>
      </c>
      <c r="E4266" s="2">
        <v>68.2</v>
      </c>
      <c r="F4266" s="2" t="e">
        <f>IF(Table2[[#This Row],[Manual Cat Value]]="",VLOOKUP(Table2[[#This Row],[Description]],'Actuals Lookup'!D:F,3,0),Table2[[#This Row],[Manual Cat Value]])</f>
        <v>#N/A</v>
      </c>
      <c r="J4266" s="2">
        <v>68.2</v>
      </c>
      <c r="K4266" s="2" t="b">
        <v>0</v>
      </c>
      <c r="L4266" s="2"/>
      <c r="M4266" s="2"/>
      <c r="N4266" s="4" t="s">
        <v>2259</v>
      </c>
      <c r="O4266" s="4" t="str">
        <f>LEFT(Table2[[#This Row],[Description]],75)</f>
        <v>Unmapped Brewing Co.</v>
      </c>
      <c r="P4266" s="2" t="s">
        <v>2281</v>
      </c>
    </row>
    <row r="4267" spans="1:16" hidden="1">
      <c r="A4267" s="2">
        <v>202102</v>
      </c>
      <c r="B4267" s="3">
        <v>44235</v>
      </c>
      <c r="C4267" s="2" t="s">
        <v>2262</v>
      </c>
      <c r="D4267" s="2" t="s">
        <v>684</v>
      </c>
      <c r="E4267" s="2">
        <v>155.15</v>
      </c>
      <c r="F4267" s="2" t="str">
        <f>IF(Table2[[#This Row],[Manual Cat Value]]="",VLOOKUP(Table2[[#This Row],[Description]],'Actuals Lookup'!D:F,3,0),Table2[[#This Row],[Manual Cat Value]])</f>
        <v>Groceries</v>
      </c>
      <c r="J4267" s="2">
        <v>155.15</v>
      </c>
      <c r="K4267" s="2" t="b">
        <v>0</v>
      </c>
      <c r="L4267" s="2"/>
      <c r="M4267" s="2"/>
      <c r="N4267" s="4" t="s">
        <v>2259</v>
      </c>
      <c r="O4267" s="4" t="str">
        <f>LEFT(Table2[[#This Row],[Description]],75)</f>
        <v>Cub Foods</v>
      </c>
      <c r="P4267" s="2" t="s">
        <v>2370</v>
      </c>
    </row>
    <row r="4268" spans="1:16" hidden="1">
      <c r="A4268" s="2">
        <v>202102</v>
      </c>
      <c r="B4268" s="3">
        <v>44235</v>
      </c>
      <c r="C4268" s="2" t="s">
        <v>2262</v>
      </c>
      <c r="D4268" s="2" t="s">
        <v>1068</v>
      </c>
      <c r="E4268" s="2">
        <v>49</v>
      </c>
      <c r="F4268" s="2" t="str">
        <f>IF(Table2[[#This Row],[Manual Cat Value]]="",VLOOKUP(Table2[[#This Row],[Description]],'Actuals Lookup'!D:F,3,0),Table2[[#This Row],[Manual Cat Value]])</f>
        <v>Misc</v>
      </c>
      <c r="J4268" s="2">
        <v>49</v>
      </c>
      <c r="K4268" s="2" t="b">
        <v>0</v>
      </c>
      <c r="L4268" s="2"/>
      <c r="M4268" s="2"/>
      <c r="N4268" s="4" t="s">
        <v>2259</v>
      </c>
      <c r="O4268" s="4" t="str">
        <f>LEFT(Table2[[#This Row],[Description]],75)</f>
        <v>Kids Hair</v>
      </c>
      <c r="P4268" s="2" t="s">
        <v>2281</v>
      </c>
    </row>
    <row r="4269" spans="1:16" hidden="1">
      <c r="A4269" s="2">
        <v>202102</v>
      </c>
      <c r="B4269" s="3">
        <v>44235</v>
      </c>
      <c r="C4269" s="2" t="s">
        <v>2265</v>
      </c>
      <c r="D4269" s="2" t="s">
        <v>1471</v>
      </c>
      <c r="E4269" s="2">
        <v>6.98</v>
      </c>
      <c r="F4269" s="2" t="str">
        <f>IF(Table2[[#This Row],[Manual Cat Value]]="",VLOOKUP(Table2[[#This Row],[Description]],'Actuals Lookup'!D:F,3,0),Table2[[#This Row],[Manual Cat Value]])</f>
        <v>Shopping</v>
      </c>
      <c r="J4269" s="2">
        <v>6.98</v>
      </c>
      <c r="K4269" s="2" t="b">
        <v>0</v>
      </c>
      <c r="L4269" s="2"/>
      <c r="M4269" s="2"/>
      <c r="N4269" s="4" t="s">
        <v>2259</v>
      </c>
      <c r="O4269" s="4" t="str">
        <f>LEFT(Table2[[#This Row],[Description]],75)</f>
        <v>PayPal</v>
      </c>
      <c r="P4269" s="2" t="s">
        <v>2322</v>
      </c>
    </row>
    <row r="4270" spans="1:16" hidden="1">
      <c r="A4270" s="2">
        <v>202102</v>
      </c>
      <c r="B4270" s="3">
        <v>44235</v>
      </c>
      <c r="C4270" s="2" t="s">
        <v>2262</v>
      </c>
      <c r="D4270" s="2" t="s">
        <v>2008</v>
      </c>
      <c r="E4270" s="2">
        <v>56.48</v>
      </c>
      <c r="F4270" s="2" t="e">
        <f>IF(Table2[[#This Row],[Manual Cat Value]]="",VLOOKUP(Table2[[#This Row],[Description]],'Actuals Lookup'!D:F,3,0),Table2[[#This Row],[Manual Cat Value]])</f>
        <v>#N/A</v>
      </c>
      <c r="J4270" s="2">
        <v>56.48</v>
      </c>
      <c r="K4270" s="2" t="b">
        <v>0</v>
      </c>
      <c r="L4270" s="2"/>
      <c r="M4270" s="2"/>
      <c r="N4270" s="4" t="s">
        <v>2259</v>
      </c>
      <c r="O4270" s="4" t="str">
        <f>LEFT(Table2[[#This Row],[Description]],75)</f>
        <v>TST COPPER COW MINNETONKA MN</v>
      </c>
      <c r="P4270" s="2" t="s">
        <v>2281</v>
      </c>
    </row>
    <row r="4271" spans="1:16" hidden="1">
      <c r="A4271" s="2">
        <v>202102</v>
      </c>
      <c r="B4271" s="3">
        <v>44235</v>
      </c>
      <c r="C4271" s="2" t="s">
        <v>2265</v>
      </c>
      <c r="D4271" s="2" t="s">
        <v>2140</v>
      </c>
      <c r="E4271" s="2">
        <v>127.04</v>
      </c>
      <c r="F4271" s="2" t="e">
        <f>IF(Table2[[#This Row],[Manual Cat Value]]="",VLOOKUP(Table2[[#This Row],[Description]],'Actuals Lookup'!D:F,3,0),Table2[[#This Row],[Manual Cat Value]])</f>
        <v>#N/A</v>
      </c>
      <c r="J4271" s="2">
        <v>127.04</v>
      </c>
      <c r="K4271" s="2" t="b">
        <v>0</v>
      </c>
      <c r="L4271" s="2"/>
      <c r="M4271" s="2"/>
      <c r="N4271" s="4" t="s">
        <v>2259</v>
      </c>
      <c r="O4271" s="4" t="str">
        <f>LEFT(Table2[[#This Row],[Description]],75)</f>
        <v>Waste Management</v>
      </c>
      <c r="P4271" s="2" t="s">
        <v>2318</v>
      </c>
    </row>
    <row r="4272" spans="1:16" hidden="1">
      <c r="A4272" s="2">
        <v>202102</v>
      </c>
      <c r="B4272" s="3">
        <v>44236</v>
      </c>
      <c r="C4272" s="2" t="s">
        <v>2447</v>
      </c>
      <c r="D4272" s="2" t="s">
        <v>38</v>
      </c>
      <c r="E4272" s="2">
        <v>7.39</v>
      </c>
      <c r="F4272" s="2" t="str">
        <f>IF(Table2[[#This Row],[Manual Cat Value]]="",VLOOKUP(Table2[[#This Row],[Description]],'Actuals Lookup'!D:F,3,0),Table2[[#This Row],[Manual Cat Value]])</f>
        <v>Amazon</v>
      </c>
      <c r="J4272" s="2">
        <v>7.39</v>
      </c>
      <c r="K4272" s="2" t="b">
        <v>0</v>
      </c>
      <c r="L4272" s="2"/>
      <c r="M4272" s="2"/>
      <c r="N4272" s="4" t="s">
        <v>2259</v>
      </c>
      <c r="O4272" s="4" t="str">
        <f>LEFT(Table2[[#This Row],[Description]],75)</f>
        <v>Amazon</v>
      </c>
      <c r="P4272" s="2" t="s">
        <v>2260</v>
      </c>
    </row>
    <row r="4273" spans="1:16" hidden="1">
      <c r="A4273" s="2">
        <v>202102</v>
      </c>
      <c r="B4273" s="3">
        <v>44236</v>
      </c>
      <c r="C4273" s="2" t="s">
        <v>2258</v>
      </c>
      <c r="D4273" s="2" t="s">
        <v>38</v>
      </c>
      <c r="E4273" s="2">
        <v>7.39</v>
      </c>
      <c r="F4273" s="2" t="str">
        <f>IF(Table2[[#This Row],[Manual Cat Value]]="",VLOOKUP(Table2[[#This Row],[Description]],'Actuals Lookup'!D:F,3,0),Table2[[#This Row],[Manual Cat Value]])</f>
        <v>Amazon</v>
      </c>
      <c r="J4273" s="2">
        <v>7.39</v>
      </c>
      <c r="K4273" s="2" t="b">
        <v>0</v>
      </c>
      <c r="L4273" s="2"/>
      <c r="M4273" s="2"/>
      <c r="N4273" s="4" t="s">
        <v>2259</v>
      </c>
      <c r="O4273" s="4" t="str">
        <f>LEFT(Table2[[#This Row],[Description]],75)</f>
        <v>Amazon</v>
      </c>
      <c r="P4273" s="2" t="s">
        <v>2260</v>
      </c>
    </row>
    <row r="4274" spans="1:16" hidden="1">
      <c r="A4274" s="2">
        <v>202102</v>
      </c>
      <c r="B4274" s="3">
        <v>44236</v>
      </c>
      <c r="C4274" s="2" t="s">
        <v>2265</v>
      </c>
      <c r="D4274" s="2" t="s">
        <v>1471</v>
      </c>
      <c r="E4274" s="2">
        <v>7.43</v>
      </c>
      <c r="F4274" s="2" t="str">
        <f>IF(Table2[[#This Row],[Manual Cat Value]]="",VLOOKUP(Table2[[#This Row],[Description]],'Actuals Lookup'!D:F,3,0),Table2[[#This Row],[Manual Cat Value]])</f>
        <v>Shopping</v>
      </c>
      <c r="J4274" s="2">
        <v>7.43</v>
      </c>
      <c r="K4274" s="2" t="b">
        <v>0</v>
      </c>
      <c r="L4274" s="2"/>
      <c r="M4274" s="2"/>
      <c r="N4274" s="4" t="s">
        <v>2259</v>
      </c>
      <c r="O4274" s="4" t="str">
        <f>LEFT(Table2[[#This Row],[Description]],75)</f>
        <v>PayPal</v>
      </c>
      <c r="P4274" s="2" t="s">
        <v>2322</v>
      </c>
    </row>
    <row r="4275" spans="1:16" hidden="1">
      <c r="A4275" s="2">
        <v>202102</v>
      </c>
      <c r="B4275" s="3">
        <v>44236</v>
      </c>
      <c r="C4275" s="2" t="s">
        <v>2262</v>
      </c>
      <c r="D4275" s="2" t="s">
        <v>2079</v>
      </c>
      <c r="E4275" s="2">
        <v>6.9</v>
      </c>
      <c r="F4275" s="2" t="str">
        <f>IF(Table2[[#This Row],[Manual Cat Value]]="",VLOOKUP(Table2[[#This Row],[Description]],'Actuals Lookup'!D:F,3,0),Table2[[#This Row],[Manual Cat Value]])</f>
        <v>Restaurants</v>
      </c>
      <c r="J4275" s="2">
        <v>6.9</v>
      </c>
      <c r="K4275" s="2" t="b">
        <v>0</v>
      </c>
      <c r="L4275" s="2"/>
      <c r="M4275" s="2"/>
      <c r="N4275" s="4" t="s">
        <v>2259</v>
      </c>
      <c r="O4275" s="4" t="str">
        <f>LEFT(Table2[[#This Row],[Description]],75)</f>
        <v>Uber Eats</v>
      </c>
      <c r="P4275" s="2" t="s">
        <v>2281</v>
      </c>
    </row>
    <row r="4276" spans="1:16" hidden="1">
      <c r="A4276" s="2">
        <v>202102</v>
      </c>
      <c r="B4276" s="3">
        <v>44236</v>
      </c>
      <c r="C4276" s="2" t="s">
        <v>2265</v>
      </c>
      <c r="D4276" s="2" t="s">
        <v>2221</v>
      </c>
      <c r="E4276" s="2">
        <v>172.96</v>
      </c>
      <c r="F4276" s="2" t="str">
        <f>IF(Table2[[#This Row],[Manual Cat Value]]="",VLOOKUP(Table2[[#This Row],[Description]],'Actuals Lookup'!D:F,3,0),Table2[[#This Row],[Manual Cat Value]])</f>
        <v>Utilities</v>
      </c>
      <c r="J4276" s="2">
        <v>172.96</v>
      </c>
      <c r="K4276" s="2" t="b">
        <v>0</v>
      </c>
      <c r="L4276" s="2"/>
      <c r="M4276" s="2"/>
      <c r="N4276" s="4" t="s">
        <v>2259</v>
      </c>
      <c r="O4276" s="4" t="str">
        <f>LEFT(Table2[[#This Row],[Description]],75)</f>
        <v>Xcel Energy</v>
      </c>
      <c r="P4276" s="2" t="s">
        <v>2280</v>
      </c>
    </row>
    <row r="4277" spans="1:16" hidden="1">
      <c r="A4277" s="2">
        <v>202102</v>
      </c>
      <c r="B4277" s="3">
        <v>44237</v>
      </c>
      <c r="C4277" s="2" t="s">
        <v>2262</v>
      </c>
      <c r="D4277" s="2" t="s">
        <v>1423</v>
      </c>
      <c r="E4277" s="2">
        <v>-759.94</v>
      </c>
      <c r="F4277" s="2" t="e">
        <f>IF(Table2[[#This Row],[Manual Cat Value]]="",VLOOKUP(Table2[[#This Row],[Description]],'Actuals Lookup'!D:F,3,0),Table2[[#This Row],[Manual Cat Value]])</f>
        <v>#N/A</v>
      </c>
      <c r="J4277" s="2">
        <v>759.94</v>
      </c>
      <c r="K4277" s="2" t="b">
        <v>0</v>
      </c>
      <c r="L4277" s="2"/>
      <c r="M4277" s="2"/>
      <c r="N4277" s="4" t="s">
        <v>2273</v>
      </c>
      <c r="O4277" s="4" t="str">
        <f>LEFT(Table2[[#This Row],[Description]],75)</f>
        <v>PAYMENT THANK YOU</v>
      </c>
      <c r="P4277" s="2" t="s">
        <v>2391</v>
      </c>
    </row>
    <row r="4278" spans="1:16" hidden="1">
      <c r="A4278" s="2">
        <v>202102</v>
      </c>
      <c r="B4278" s="3">
        <v>44237</v>
      </c>
      <c r="C4278" s="2" t="s">
        <v>2265</v>
      </c>
      <c r="D4278" s="2" t="s">
        <v>2176</v>
      </c>
      <c r="E4278" s="2">
        <v>759.94</v>
      </c>
      <c r="F4278" s="2" t="e">
        <f>IF(Table2[[#This Row],[Manual Cat Value]]="",VLOOKUP(Table2[[#This Row],[Description]],'Actuals Lookup'!D:F,3,0),Table2[[#This Row],[Manual Cat Value]])</f>
        <v>#N/A</v>
      </c>
      <c r="J4278" s="2">
        <v>759.94</v>
      </c>
      <c r="K4278" s="2" t="b">
        <v>0</v>
      </c>
      <c r="L4278" s="2"/>
      <c r="M4278" s="2"/>
      <c r="N4278" s="4" t="s">
        <v>2259</v>
      </c>
      <c r="O4278" s="4" t="str">
        <f>LEFT(Table2[[#This Row],[Description]],75)</f>
        <v>Withdrawal Home payment to card 979181</v>
      </c>
      <c r="P4278" s="2" t="s">
        <v>2349</v>
      </c>
    </row>
    <row r="4279" spans="1:16" hidden="1">
      <c r="A4279" s="2">
        <v>202102</v>
      </c>
      <c r="B4279" s="3">
        <v>44237</v>
      </c>
      <c r="C4279" s="2" t="s">
        <v>2447</v>
      </c>
      <c r="D4279" s="2" t="s">
        <v>506</v>
      </c>
      <c r="E4279" s="2">
        <v>45</v>
      </c>
      <c r="F4279" s="2" t="str">
        <f>IF(Table2[[#This Row],[Manual Cat Value]]="",VLOOKUP(Table2[[#This Row],[Description]],'Actuals Lookup'!D:F,3,0),Table2[[#This Row],[Manual Cat Value]])</f>
        <v>Utilities</v>
      </c>
      <c r="J4279" s="2">
        <v>45</v>
      </c>
      <c r="K4279" s="2" t="b">
        <v>0</v>
      </c>
      <c r="L4279" s="2"/>
      <c r="M4279" s="2"/>
      <c r="N4279" s="4" t="s">
        <v>2259</v>
      </c>
      <c r="O4279" s="4" t="str">
        <f>LEFT(Table2[[#This Row],[Description]],75)</f>
        <v>CenturyLink</v>
      </c>
      <c r="P4279" s="2" t="s">
        <v>2408</v>
      </c>
    </row>
    <row r="4280" spans="1:16" hidden="1">
      <c r="A4280" s="2">
        <v>202102</v>
      </c>
      <c r="B4280" s="3">
        <v>44237</v>
      </c>
      <c r="C4280" s="2" t="s">
        <v>2258</v>
      </c>
      <c r="D4280" s="2" t="s">
        <v>506</v>
      </c>
      <c r="E4280" s="2">
        <v>45</v>
      </c>
      <c r="F4280" s="2" t="str">
        <f>IF(Table2[[#This Row],[Manual Cat Value]]="",VLOOKUP(Table2[[#This Row],[Description]],'Actuals Lookup'!D:F,3,0),Table2[[#This Row],[Manual Cat Value]])</f>
        <v>Utilities</v>
      </c>
      <c r="J4280" s="2">
        <v>45</v>
      </c>
      <c r="K4280" s="2" t="b">
        <v>0</v>
      </c>
      <c r="L4280" s="2"/>
      <c r="M4280" s="2"/>
      <c r="N4280" s="4" t="s">
        <v>2259</v>
      </c>
      <c r="O4280" s="4" t="str">
        <f>LEFT(Table2[[#This Row],[Description]],75)</f>
        <v>CenturyLink</v>
      </c>
      <c r="P4280" s="2" t="s">
        <v>2408</v>
      </c>
    </row>
    <row r="4281" spans="1:16" hidden="1">
      <c r="A4281" s="2">
        <v>202102</v>
      </c>
      <c r="B4281" s="3">
        <v>44237</v>
      </c>
      <c r="C4281" s="2" t="s">
        <v>2265</v>
      </c>
      <c r="D4281" s="2" t="s">
        <v>1038</v>
      </c>
      <c r="E4281" s="2">
        <v>-45</v>
      </c>
      <c r="F4281" s="2" t="e">
        <f>IF(Table2[[#This Row],[Manual Cat Value]]="",VLOOKUP(Table2[[#This Row],[Description]],'Actuals Lookup'!D:F,3,0),Table2[[#This Row],[Manual Cat Value]])</f>
        <v>#N/A</v>
      </c>
      <c r="J4281" s="2">
        <v>45</v>
      </c>
      <c r="K4281" s="2" t="b">
        <v>0</v>
      </c>
      <c r="L4281" s="2"/>
      <c r="M4281" s="2"/>
      <c r="N4281" s="4" t="s">
        <v>2273</v>
      </c>
      <c r="O4281" s="4" t="str">
        <f>LEFT(Table2[[#This Row],[Description]],75)</f>
        <v>Kaufman Hall Type</v>
      </c>
      <c r="P4281" s="2" t="s">
        <v>2281</v>
      </c>
    </row>
    <row r="4282" spans="1:16" hidden="1">
      <c r="A4282" s="2">
        <v>202102</v>
      </c>
      <c r="B4282" s="3">
        <v>44237</v>
      </c>
      <c r="C4282" s="2" t="s">
        <v>2265</v>
      </c>
      <c r="D4282" s="2" t="s">
        <v>1204</v>
      </c>
      <c r="E4282" s="2">
        <v>425</v>
      </c>
      <c r="F4282" s="2" t="e">
        <f>IF(Table2[[#This Row],[Manual Cat Value]]="",VLOOKUP(Table2[[#This Row],[Description]],'Actuals Lookup'!D:F,3,0),Table2[[#This Row],[Manual Cat Value]])</f>
        <v>#N/A</v>
      </c>
      <c r="J4282" s="2">
        <v>425</v>
      </c>
      <c r="K4282" s="2" t="b">
        <v>0</v>
      </c>
      <c r="L4282" s="2"/>
      <c r="M4282" s="2"/>
      <c r="N4282" s="4" t="s">
        <v>2259</v>
      </c>
      <c r="O4282" s="4" t="str">
        <f>LEFT(Table2[[#This Row],[Description]],75)</f>
        <v>MHCHILDCARELLC TYPE DUES ID CO MHCHILDCARELLC ACH ECC PPD ACH Trace 10621</v>
      </c>
      <c r="P4282" s="2" t="s">
        <v>2497</v>
      </c>
    </row>
    <row r="4283" spans="1:16" hidden="1">
      <c r="A4283" s="2">
        <v>202102</v>
      </c>
      <c r="B4283" s="3">
        <v>44237</v>
      </c>
      <c r="C4283" s="2" t="s">
        <v>2265</v>
      </c>
      <c r="D4283" s="2" t="s">
        <v>1471</v>
      </c>
      <c r="E4283" s="2">
        <v>85.86</v>
      </c>
      <c r="F4283" s="2" t="str">
        <f>IF(Table2[[#This Row],[Manual Cat Value]]="",VLOOKUP(Table2[[#This Row],[Description]],'Actuals Lookup'!D:F,3,0),Table2[[#This Row],[Manual Cat Value]])</f>
        <v>Shopping</v>
      </c>
      <c r="J4283" s="2">
        <v>85.86</v>
      </c>
      <c r="K4283" s="2" t="b">
        <v>0</v>
      </c>
      <c r="L4283" s="2"/>
      <c r="M4283" s="2"/>
      <c r="N4283" s="4" t="s">
        <v>2259</v>
      </c>
      <c r="O4283" s="4" t="str">
        <f>LEFT(Table2[[#This Row],[Description]],75)</f>
        <v>PayPal</v>
      </c>
      <c r="P4283" s="2" t="s">
        <v>2322</v>
      </c>
    </row>
    <row r="4284" spans="1:16" hidden="1">
      <c r="A4284" s="2">
        <v>202102</v>
      </c>
      <c r="B4284" s="3">
        <v>44237</v>
      </c>
      <c r="C4284" s="2" t="s">
        <v>2262</v>
      </c>
      <c r="D4284" s="2" t="s">
        <v>1707</v>
      </c>
      <c r="E4284" s="2">
        <v>32.36</v>
      </c>
      <c r="F4284" s="2" t="str">
        <f>IF(Table2[[#This Row],[Manual Cat Value]]="",VLOOKUP(Table2[[#This Row],[Description]],'Actuals Lookup'!D:F,3,0),Table2[[#This Row],[Manual Cat Value]])</f>
        <v>Transportation</v>
      </c>
      <c r="J4284" s="2">
        <v>32.36</v>
      </c>
      <c r="K4284" s="2" t="b">
        <v>0</v>
      </c>
      <c r="L4284" s="2"/>
      <c r="M4284" s="2"/>
      <c r="N4284" s="4" t="s">
        <v>2259</v>
      </c>
      <c r="O4284" s="4" t="str">
        <f>LEFT(Table2[[#This Row],[Description]],75)</f>
        <v>Speedway</v>
      </c>
      <c r="P4284" s="2" t="s">
        <v>2381</v>
      </c>
    </row>
    <row r="4285" spans="1:16" hidden="1">
      <c r="A4285" s="2">
        <v>202102</v>
      </c>
      <c r="B4285" s="3">
        <v>44237</v>
      </c>
      <c r="C4285" s="2" t="s">
        <v>2262</v>
      </c>
      <c r="D4285" s="2" t="s">
        <v>2079</v>
      </c>
      <c r="E4285" s="2">
        <v>21.03</v>
      </c>
      <c r="F4285" s="2" t="str">
        <f>IF(Table2[[#This Row],[Manual Cat Value]]="",VLOOKUP(Table2[[#This Row],[Description]],'Actuals Lookup'!D:F,3,0),Table2[[#This Row],[Manual Cat Value]])</f>
        <v>Restaurants</v>
      </c>
      <c r="J4285" s="2">
        <v>21.03</v>
      </c>
      <c r="K4285" s="2" t="b">
        <v>0</v>
      </c>
      <c r="L4285" s="2"/>
      <c r="M4285" s="2"/>
      <c r="N4285" s="4" t="s">
        <v>2259</v>
      </c>
      <c r="O4285" s="4" t="str">
        <f>LEFT(Table2[[#This Row],[Description]],75)</f>
        <v>Uber Eats</v>
      </c>
      <c r="P4285" s="2" t="s">
        <v>2281</v>
      </c>
    </row>
    <row r="4286" spans="1:16" hidden="1">
      <c r="A4286" s="2">
        <v>202102</v>
      </c>
      <c r="B4286" s="3">
        <v>44238</v>
      </c>
      <c r="C4286" s="2" t="s">
        <v>2435</v>
      </c>
      <c r="D4286" s="2" t="s">
        <v>164</v>
      </c>
      <c r="E4286" s="2">
        <v>-4.1399999999999997</v>
      </c>
      <c r="F4286" s="2" t="e">
        <f>IF(Table2[[#This Row],[Manual Cat Value]]="",VLOOKUP(Table2[[#This Row],[Description]],'Actuals Lookup'!D:F,3,0),Table2[[#This Row],[Manual Cat Value]])</f>
        <v>#N/A</v>
      </c>
      <c r="J4286" s="2">
        <v>4.1399999999999997</v>
      </c>
      <c r="K4286" s="2" t="b">
        <v>0</v>
      </c>
      <c r="L4286" s="2"/>
      <c r="M4286" s="2"/>
      <c r="N4286" s="4" t="s">
        <v>2273</v>
      </c>
      <c r="O4286" s="4" t="str">
        <f>LEFT(Table2[[#This Row],[Description]],75)</f>
        <v>APPLE INC</v>
      </c>
      <c r="P4286" s="2" t="s">
        <v>2405</v>
      </c>
    </row>
    <row r="4287" spans="1:16" hidden="1">
      <c r="A4287" s="2">
        <v>202102</v>
      </c>
      <c r="B4287" s="3">
        <v>44238</v>
      </c>
      <c r="C4287" s="2" t="s">
        <v>2317</v>
      </c>
      <c r="D4287" s="2" t="s">
        <v>164</v>
      </c>
      <c r="E4287" s="2">
        <v>-41.87</v>
      </c>
      <c r="F4287" s="2" t="e">
        <f>IF(Table2[[#This Row],[Manual Cat Value]]="",VLOOKUP(Table2[[#This Row],[Description]],'Actuals Lookup'!D:F,3,0),Table2[[#This Row],[Manual Cat Value]])</f>
        <v>#N/A</v>
      </c>
      <c r="J4287" s="2">
        <v>41.87</v>
      </c>
      <c r="K4287" s="2" t="b">
        <v>0</v>
      </c>
      <c r="L4287" s="2"/>
      <c r="M4287" s="2"/>
      <c r="N4287" s="4" t="s">
        <v>2273</v>
      </c>
      <c r="O4287" s="4" t="str">
        <f>LEFT(Table2[[#This Row],[Description]],75)</f>
        <v>APPLE INC</v>
      </c>
      <c r="P4287" s="2" t="s">
        <v>2405</v>
      </c>
    </row>
    <row r="4288" spans="1:16" hidden="1">
      <c r="A4288" s="2">
        <v>202102</v>
      </c>
      <c r="B4288" s="3">
        <v>44238</v>
      </c>
      <c r="C4288" s="2" t="s">
        <v>2262</v>
      </c>
      <c r="D4288" s="2" t="s">
        <v>452</v>
      </c>
      <c r="E4288" s="2">
        <v>29.99</v>
      </c>
      <c r="F4288" s="2" t="e">
        <f>IF(Table2[[#This Row],[Manual Cat Value]]="",VLOOKUP(Table2[[#This Row],[Description]],'Actuals Lookup'!D:F,3,0),Table2[[#This Row],[Manual Cat Value]])</f>
        <v>#N/A</v>
      </c>
      <c r="J4288" s="2">
        <v>29.99</v>
      </c>
      <c r="K4288" s="2" t="b">
        <v>0</v>
      </c>
      <c r="L4288" s="2"/>
      <c r="M4288" s="2"/>
      <c r="N4288" s="4" t="s">
        <v>2259</v>
      </c>
      <c r="O4288" s="4" t="str">
        <f>LEFT(Table2[[#This Row],[Description]],75)</f>
        <v>Carhartt</v>
      </c>
      <c r="P4288" s="2" t="s">
        <v>2281</v>
      </c>
    </row>
    <row r="4289" spans="1:16" hidden="1">
      <c r="A4289" s="2">
        <v>202102</v>
      </c>
      <c r="B4289" s="3">
        <v>44238</v>
      </c>
      <c r="C4289" s="2" t="s">
        <v>2265</v>
      </c>
      <c r="D4289" s="2" t="s">
        <v>608</v>
      </c>
      <c r="E4289" s="2">
        <v>-2276.16</v>
      </c>
      <c r="F4289" s="2" t="e">
        <f>IF(Table2[[#This Row],[Manual Cat Value]]="",VLOOKUP(Table2[[#This Row],[Description]],'Actuals Lookup'!D:F,3,0),Table2[[#This Row],[Manual Cat Value]])</f>
        <v>#N/A</v>
      </c>
      <c r="J4289" s="2">
        <v>2276.16</v>
      </c>
      <c r="K4289" s="2" t="b">
        <v>0</v>
      </c>
      <c r="L4289" s="2"/>
      <c r="M4289" s="2"/>
      <c r="N4289" s="4" t="s">
        <v>2273</v>
      </c>
      <c r="O4289" s="4" t="str">
        <f>LEFT(Table2[[#This Row],[Description]],75)</f>
        <v>CONNECTED ANALYT TYPE DIRECT DEP ID CO CONNECTED ANALYT ACH ECC PPD ACH Tra</v>
      </c>
      <c r="P4289" s="2" t="s">
        <v>2536</v>
      </c>
    </row>
    <row r="4290" spans="1:16" hidden="1">
      <c r="A4290" s="2">
        <v>202102</v>
      </c>
      <c r="B4290" s="3">
        <v>44238</v>
      </c>
      <c r="C4290" s="2" t="s">
        <v>2447</v>
      </c>
      <c r="D4290" s="2" t="s">
        <v>684</v>
      </c>
      <c r="E4290" s="2">
        <v>154.81</v>
      </c>
      <c r="F4290" s="2" t="str">
        <f>IF(Table2[[#This Row],[Manual Cat Value]]="",VLOOKUP(Table2[[#This Row],[Description]],'Actuals Lookup'!D:F,3,0),Table2[[#This Row],[Manual Cat Value]])</f>
        <v>Groceries</v>
      </c>
      <c r="J4290" s="2">
        <v>154.81</v>
      </c>
      <c r="K4290" s="2" t="b">
        <v>0</v>
      </c>
      <c r="L4290" s="2"/>
      <c r="M4290" s="2"/>
      <c r="N4290" s="4" t="s">
        <v>2259</v>
      </c>
      <c r="O4290" s="4" t="str">
        <f>LEFT(Table2[[#This Row],[Description]],75)</f>
        <v>Cub Foods</v>
      </c>
      <c r="P4290" s="2" t="s">
        <v>2370</v>
      </c>
    </row>
    <row r="4291" spans="1:16" hidden="1">
      <c r="A4291" s="2">
        <v>202102</v>
      </c>
      <c r="B4291" s="3">
        <v>44238</v>
      </c>
      <c r="C4291" s="2" t="s">
        <v>2258</v>
      </c>
      <c r="D4291" s="2" t="s">
        <v>684</v>
      </c>
      <c r="E4291" s="2">
        <v>154.81</v>
      </c>
      <c r="F4291" s="2" t="str">
        <f>IF(Table2[[#This Row],[Manual Cat Value]]="",VLOOKUP(Table2[[#This Row],[Description]],'Actuals Lookup'!D:F,3,0),Table2[[#This Row],[Manual Cat Value]])</f>
        <v>Groceries</v>
      </c>
      <c r="J4291" s="2">
        <v>154.81</v>
      </c>
      <c r="K4291" s="2" t="b">
        <v>0</v>
      </c>
      <c r="L4291" s="2"/>
      <c r="M4291" s="2"/>
      <c r="N4291" s="4" t="s">
        <v>2259</v>
      </c>
      <c r="O4291" s="4" t="str">
        <f>LEFT(Table2[[#This Row],[Description]],75)</f>
        <v>Cub Foods</v>
      </c>
      <c r="P4291" s="2" t="s">
        <v>2370</v>
      </c>
    </row>
    <row r="4292" spans="1:16" hidden="1">
      <c r="A4292" s="2">
        <v>202102</v>
      </c>
      <c r="B4292" s="3">
        <v>44238</v>
      </c>
      <c r="C4292" s="2" t="s">
        <v>2262</v>
      </c>
      <c r="D4292" s="2" t="s">
        <v>1664</v>
      </c>
      <c r="E4292" s="2">
        <v>22.12</v>
      </c>
      <c r="F4292" s="2" t="str">
        <f>IF(Table2[[#This Row],[Manual Cat Value]]="",VLOOKUP(Table2[[#This Row],[Description]],'Actuals Lookup'!D:F,3,0),Table2[[#This Row],[Manual Cat Value]])</f>
        <v>Gifts</v>
      </c>
      <c r="J4292" s="2">
        <v>22.12</v>
      </c>
      <c r="K4292" s="2" t="b">
        <v>0</v>
      </c>
      <c r="L4292" s="2"/>
      <c r="M4292" s="2"/>
      <c r="N4292" s="4" t="s">
        <v>2259</v>
      </c>
      <c r="O4292" s="4" t="str">
        <f>LEFT(Table2[[#This Row],[Description]],75)</f>
        <v>Shutterfly</v>
      </c>
      <c r="P4292" s="2" t="s">
        <v>2281</v>
      </c>
    </row>
    <row r="4293" spans="1:16" hidden="1">
      <c r="A4293" s="2">
        <v>202102</v>
      </c>
      <c r="B4293" s="3">
        <v>44238</v>
      </c>
      <c r="C4293" s="2" t="s">
        <v>2262</v>
      </c>
      <c r="D4293" s="2" t="s">
        <v>1926</v>
      </c>
      <c r="E4293" s="2">
        <v>106.46</v>
      </c>
      <c r="F4293" s="2" t="e">
        <f>IF(Table2[[#This Row],[Manual Cat Value]]="",VLOOKUP(Table2[[#This Row],[Description]],'Actuals Lookup'!D:F,3,0),Table2[[#This Row],[Manual Cat Value]])</f>
        <v>#N/A</v>
      </c>
      <c r="J4293" s="2">
        <v>106.46</v>
      </c>
      <c r="K4293" s="2" t="b">
        <v>0</v>
      </c>
      <c r="L4293" s="2"/>
      <c r="M4293" s="2"/>
      <c r="N4293" s="4" t="s">
        <v>2259</v>
      </c>
      <c r="O4293" s="4" t="str">
        <f>LEFT(Table2[[#This Row],[Description]],75)</f>
        <v>Total Wine and More</v>
      </c>
      <c r="P4293" s="2" t="s">
        <v>2289</v>
      </c>
    </row>
    <row r="4294" spans="1:16" hidden="1">
      <c r="A4294" s="2">
        <v>202102</v>
      </c>
      <c r="B4294" s="3">
        <v>44238</v>
      </c>
      <c r="C4294" s="2" t="s">
        <v>2265</v>
      </c>
      <c r="D4294" s="2" t="s">
        <v>2109</v>
      </c>
      <c r="E4294" s="2">
        <v>81.12</v>
      </c>
      <c r="F4294" s="2" t="str">
        <f>IF(Table2[[#This Row],[Manual Cat Value]]="",VLOOKUP(Table2[[#This Row],[Description]],'Actuals Lookup'!D:F,3,0),Table2[[#This Row],[Manual Cat Value]])</f>
        <v>Shopping</v>
      </c>
      <c r="J4294" s="2">
        <v>81.12</v>
      </c>
      <c r="K4294" s="2" t="b">
        <v>0</v>
      </c>
      <c r="L4294" s="2"/>
      <c r="M4294" s="2"/>
      <c r="N4294" s="4" t="s">
        <v>2259</v>
      </c>
      <c r="O4294" s="4" t="str">
        <f>LEFT(Table2[[#This Row],[Description]],75)</f>
        <v>Venmo</v>
      </c>
      <c r="P4294" s="2" t="s">
        <v>2281</v>
      </c>
    </row>
    <row r="4295" spans="1:16" hidden="1">
      <c r="A4295" s="2">
        <v>202102</v>
      </c>
      <c r="B4295" s="3">
        <v>44239</v>
      </c>
      <c r="C4295" s="2" t="s">
        <v>2435</v>
      </c>
      <c r="D4295" s="2" t="s">
        <v>164</v>
      </c>
      <c r="E4295" s="2">
        <v>4.1399999999999997</v>
      </c>
      <c r="F4295" s="2" t="e">
        <f>IF(Table2[[#This Row],[Manual Cat Value]]="",VLOOKUP(Table2[[#This Row],[Description]],'Actuals Lookup'!D:F,3,0),Table2[[#This Row],[Manual Cat Value]])</f>
        <v>#N/A</v>
      </c>
      <c r="J4295" s="2">
        <v>4.1399999999999997</v>
      </c>
      <c r="K4295" s="2" t="b">
        <v>0</v>
      </c>
      <c r="L4295" s="2"/>
      <c r="M4295" s="2"/>
      <c r="N4295" s="4" t="s">
        <v>2259</v>
      </c>
      <c r="O4295" s="4" t="str">
        <f>LEFT(Table2[[#This Row],[Description]],75)</f>
        <v>APPLE INC</v>
      </c>
      <c r="P4295" s="2" t="s">
        <v>2405</v>
      </c>
    </row>
    <row r="4296" spans="1:16" hidden="1">
      <c r="A4296" s="2">
        <v>202102</v>
      </c>
      <c r="B4296" s="3">
        <v>44239</v>
      </c>
      <c r="C4296" s="2" t="s">
        <v>2317</v>
      </c>
      <c r="D4296" s="2" t="s">
        <v>164</v>
      </c>
      <c r="E4296" s="2">
        <v>41.87</v>
      </c>
      <c r="F4296" s="2" t="e">
        <f>IF(Table2[[#This Row],[Manual Cat Value]]="",VLOOKUP(Table2[[#This Row],[Description]],'Actuals Lookup'!D:F,3,0),Table2[[#This Row],[Manual Cat Value]])</f>
        <v>#N/A</v>
      </c>
      <c r="J4296" s="2">
        <v>41.87</v>
      </c>
      <c r="K4296" s="2" t="b">
        <v>0</v>
      </c>
      <c r="L4296" s="2"/>
      <c r="M4296" s="2"/>
      <c r="N4296" s="4" t="s">
        <v>2259</v>
      </c>
      <c r="O4296" s="4" t="str">
        <f>LEFT(Table2[[#This Row],[Description]],75)</f>
        <v>APPLE INC</v>
      </c>
      <c r="P4296" s="2" t="s">
        <v>2405</v>
      </c>
    </row>
    <row r="4297" spans="1:16" hidden="1">
      <c r="A4297" s="2">
        <v>202102</v>
      </c>
      <c r="B4297" s="3">
        <v>44239</v>
      </c>
      <c r="C4297" s="2" t="s">
        <v>2265</v>
      </c>
      <c r="D4297" s="2" t="s">
        <v>216</v>
      </c>
      <c r="E4297" s="2">
        <v>314.93</v>
      </c>
      <c r="F4297" s="2" t="e">
        <f>IF(Table2[[#This Row],[Manual Cat Value]]="",VLOOKUP(Table2[[#This Row],[Description]],'Actuals Lookup'!D:F,3,0),Table2[[#This Row],[Manual Cat Value]])</f>
        <v>#N/A</v>
      </c>
      <c r="J4297" s="2">
        <v>314.93</v>
      </c>
      <c r="K4297" s="2" t="b">
        <v>0</v>
      </c>
      <c r="L4297" s="2"/>
      <c r="M4297" s="2"/>
      <c r="N4297" s="4" t="s">
        <v>2259</v>
      </c>
      <c r="O4297" s="4" t="str">
        <f>LEFT(Table2[[#This Row],[Description]],75)</f>
        <v>Banana Visa TYPE BR EPAY ID CO Banana Visa ACH ECC WEB ACH Trace 95050</v>
      </c>
      <c r="P4297" s="2" t="s">
        <v>2297</v>
      </c>
    </row>
    <row r="4298" spans="1:16" hidden="1">
      <c r="A4298" s="2">
        <v>202102</v>
      </c>
      <c r="B4298" s="3">
        <v>44239</v>
      </c>
      <c r="C4298" s="2" t="s">
        <v>2262</v>
      </c>
      <c r="D4298" s="2" t="s">
        <v>312</v>
      </c>
      <c r="E4298" s="2">
        <v>855</v>
      </c>
      <c r="F4298" s="2" t="e">
        <f>IF(Table2[[#This Row],[Manual Cat Value]]="",VLOOKUP(Table2[[#This Row],[Description]],'Actuals Lookup'!D:F,3,0),Table2[[#This Row],[Manual Cat Value]])</f>
        <v>#N/A</v>
      </c>
      <c r="J4298" s="2">
        <v>855</v>
      </c>
      <c r="K4298" s="2" t="b">
        <v>0</v>
      </c>
      <c r="L4298" s="2"/>
      <c r="M4298" s="2"/>
      <c r="N4298" s="4" t="s">
        <v>2259</v>
      </c>
      <c r="O4298" s="4" t="str">
        <f>LEFT(Table2[[#This Row],[Description]],75)</f>
        <v>BONFES SOUTH SAINT PMN</v>
      </c>
      <c r="P4298" s="2" t="s">
        <v>2537</v>
      </c>
    </row>
    <row r="4299" spans="1:16" hidden="1">
      <c r="A4299" s="2">
        <v>202102</v>
      </c>
      <c r="B4299" s="3">
        <v>44239</v>
      </c>
      <c r="C4299" s="2" t="s">
        <v>2262</v>
      </c>
      <c r="D4299" s="2" t="s">
        <v>312</v>
      </c>
      <c r="E4299" s="2">
        <v>1143</v>
      </c>
      <c r="F4299" s="2" t="e">
        <f>IF(Table2[[#This Row],[Manual Cat Value]]="",VLOOKUP(Table2[[#This Row],[Description]],'Actuals Lookup'!D:F,3,0),Table2[[#This Row],[Manual Cat Value]])</f>
        <v>#N/A</v>
      </c>
      <c r="J4299" s="2">
        <v>1143</v>
      </c>
      <c r="K4299" s="2" t="b">
        <v>0</v>
      </c>
      <c r="L4299" s="2"/>
      <c r="M4299" s="2"/>
      <c r="N4299" s="4" t="s">
        <v>2259</v>
      </c>
      <c r="O4299" s="4" t="str">
        <f>LEFT(Table2[[#This Row],[Description]],75)</f>
        <v>BONFES SOUTH SAINT PMN</v>
      </c>
      <c r="P4299" s="2" t="s">
        <v>2537</v>
      </c>
    </row>
    <row r="4300" spans="1:16" hidden="1">
      <c r="A4300" s="2">
        <v>202102</v>
      </c>
      <c r="B4300" s="3">
        <v>44239</v>
      </c>
      <c r="C4300" s="2" t="s">
        <v>2317</v>
      </c>
      <c r="D4300" s="2" t="s">
        <v>605</v>
      </c>
      <c r="E4300" s="2">
        <v>-250</v>
      </c>
      <c r="F4300" s="2" t="e">
        <f>IF(Table2[[#This Row],[Manual Cat Value]]="",VLOOKUP(Table2[[#This Row],[Description]],'Actuals Lookup'!D:F,3,0),Table2[[#This Row],[Manual Cat Value]])</f>
        <v>#N/A</v>
      </c>
      <c r="J4300" s="2">
        <v>250</v>
      </c>
      <c r="K4300" s="2" t="b">
        <v>0</v>
      </c>
      <c r="L4300" s="2"/>
      <c r="M4300" s="2"/>
      <c r="N4300" s="4" t="s">
        <v>2273</v>
      </c>
      <c r="O4300" s="4" t="str">
        <f>LEFT(Table2[[#This Row],[Description]],75)</f>
        <v>CONNECTED ANALYT</v>
      </c>
      <c r="P4300" s="2" t="s">
        <v>2493</v>
      </c>
    </row>
    <row r="4301" spans="1:16" hidden="1">
      <c r="A4301" s="2">
        <v>202102</v>
      </c>
      <c r="B4301" s="3">
        <v>44239</v>
      </c>
      <c r="C4301" s="2" t="s">
        <v>2262</v>
      </c>
      <c r="D4301" s="2" t="s">
        <v>808</v>
      </c>
      <c r="E4301" s="2">
        <v>12</v>
      </c>
      <c r="F4301" s="2" t="str">
        <f>IF(Table2[[#This Row],[Manual Cat Value]]="",VLOOKUP(Table2[[#This Row],[Description]],'Actuals Lookup'!D:F,3,0),Table2[[#This Row],[Manual Cat Value]])</f>
        <v>Misc</v>
      </c>
      <c r="J4301" s="2">
        <v>12</v>
      </c>
      <c r="K4301" s="2" t="b">
        <v>0</v>
      </c>
      <c r="L4301" s="2"/>
      <c r="M4301" s="2"/>
      <c r="N4301" s="4" t="s">
        <v>2259</v>
      </c>
      <c r="O4301" s="4" t="str">
        <f>LEFT(Table2[[#This Row],[Description]],75)</f>
        <v>Elite Nails</v>
      </c>
      <c r="P4301" s="2" t="s">
        <v>2487</v>
      </c>
    </row>
    <row r="4302" spans="1:16" hidden="1">
      <c r="A4302" s="2">
        <v>202102</v>
      </c>
      <c r="B4302" s="3">
        <v>44239</v>
      </c>
      <c r="C4302" s="2" t="s">
        <v>2435</v>
      </c>
      <c r="D4302" s="2" t="s">
        <v>1836</v>
      </c>
      <c r="E4302" s="2">
        <v>-250</v>
      </c>
      <c r="F4302" s="2" t="e">
        <f>IF(Table2[[#This Row],[Manual Cat Value]]="",VLOOKUP(Table2[[#This Row],[Description]],'Actuals Lookup'!D:F,3,0),Table2[[#This Row],[Manual Cat Value]])</f>
        <v>#N/A</v>
      </c>
      <c r="J4302" s="2">
        <v>250</v>
      </c>
      <c r="K4302" s="2" t="b">
        <v>0</v>
      </c>
      <c r="L4302" s="2"/>
      <c r="M4302" s="2"/>
      <c r="N4302" s="4" t="s">
        <v>2273</v>
      </c>
      <c r="O4302" s="4" t="str">
        <f>LEFT(Table2[[#This Row],[Description]],75)</f>
        <v>Tfr JPMORGAN CHASE BAN, CONNECTED ANALYT</v>
      </c>
      <c r="P4302" s="2" t="s">
        <v>2493</v>
      </c>
    </row>
    <row r="4303" spans="1:16" hidden="1">
      <c r="A4303" s="2">
        <v>202102</v>
      </c>
      <c r="B4303" s="3">
        <v>44239</v>
      </c>
      <c r="C4303" s="2" t="s">
        <v>2265</v>
      </c>
      <c r="D4303" s="2" t="s">
        <v>2109</v>
      </c>
      <c r="E4303" s="2">
        <v>20</v>
      </c>
      <c r="F4303" s="2" t="str">
        <f>IF(Table2[[#This Row],[Manual Cat Value]]="",VLOOKUP(Table2[[#This Row],[Description]],'Actuals Lookup'!D:F,3,0),Table2[[#This Row],[Manual Cat Value]])</f>
        <v>Shopping</v>
      </c>
      <c r="J4303" s="2">
        <v>20</v>
      </c>
      <c r="K4303" s="2" t="b">
        <v>0</v>
      </c>
      <c r="L4303" s="2"/>
      <c r="M4303" s="2"/>
      <c r="N4303" s="4" t="s">
        <v>2259</v>
      </c>
      <c r="O4303" s="4" t="str">
        <f>LEFT(Table2[[#This Row],[Description]],75)</f>
        <v>Venmo</v>
      </c>
      <c r="P4303" s="2" t="s">
        <v>2281</v>
      </c>
    </row>
    <row r="4304" spans="1:16" hidden="1">
      <c r="A4304" s="2">
        <v>202102</v>
      </c>
      <c r="B4304" s="3">
        <v>44241</v>
      </c>
      <c r="C4304" s="2" t="s">
        <v>2262</v>
      </c>
      <c r="D4304" s="2" t="s">
        <v>831</v>
      </c>
      <c r="E4304" s="2">
        <v>79.569999999999993</v>
      </c>
      <c r="F4304" s="2" t="e">
        <f>IF(Table2[[#This Row],[Manual Cat Value]]="",VLOOKUP(Table2[[#This Row],[Description]],'Actuals Lookup'!D:F,3,0),Table2[[#This Row],[Manual Cat Value]])</f>
        <v>#N/A</v>
      </c>
      <c r="J4304" s="2">
        <v>79.569999999999993</v>
      </c>
      <c r="K4304" s="2" t="b">
        <v>0</v>
      </c>
      <c r="L4304" s="2"/>
      <c r="M4304" s="2"/>
      <c r="N4304" s="4" t="s">
        <v>2259</v>
      </c>
      <c r="O4304" s="4" t="str">
        <f>LEFT(Table2[[#This Row],[Description]],75)</f>
        <v>Excelsior Brewing</v>
      </c>
      <c r="P4304" s="2" t="s">
        <v>2410</v>
      </c>
    </row>
    <row r="4305" spans="1:16" hidden="1">
      <c r="A4305" s="2">
        <v>202102</v>
      </c>
      <c r="B4305" s="3">
        <v>44241</v>
      </c>
      <c r="C4305" s="2" t="s">
        <v>2262</v>
      </c>
      <c r="D4305" s="2" t="s">
        <v>1407</v>
      </c>
      <c r="E4305" s="2">
        <v>10.73</v>
      </c>
      <c r="F4305" s="2" t="e">
        <f>IF(Table2[[#This Row],[Manual Cat Value]]="",VLOOKUP(Table2[[#This Row],[Description]],'Actuals Lookup'!D:F,3,0),Table2[[#This Row],[Manual Cat Value]])</f>
        <v>#N/A</v>
      </c>
      <c r="J4305" s="2">
        <v>10.73</v>
      </c>
      <c r="K4305" s="2" t="b">
        <v>0</v>
      </c>
      <c r="L4305" s="2"/>
      <c r="M4305" s="2"/>
      <c r="N4305" s="4" t="s">
        <v>2259</v>
      </c>
      <c r="O4305" s="4" t="str">
        <f>LEFT(Table2[[#This Row],[Description]],75)</f>
        <v>Party City</v>
      </c>
      <c r="P4305" s="2" t="s">
        <v>2378</v>
      </c>
    </row>
    <row r="4306" spans="1:16" hidden="1">
      <c r="A4306" s="2">
        <v>202102</v>
      </c>
      <c r="B4306" s="3">
        <v>44241</v>
      </c>
      <c r="C4306" s="2" t="s">
        <v>2262</v>
      </c>
      <c r="D4306" s="2" t="s">
        <v>1773</v>
      </c>
      <c r="E4306" s="2">
        <v>11.99</v>
      </c>
      <c r="F4306" s="2" t="str">
        <f>IF(Table2[[#This Row],[Manual Cat Value]]="",VLOOKUP(Table2[[#This Row],[Description]],'Actuals Lookup'!D:F,3,0),Table2[[#This Row],[Manual Cat Value]])</f>
        <v>Restaurants</v>
      </c>
      <c r="J4306" s="2">
        <v>11.99</v>
      </c>
      <c r="K4306" s="2" t="b">
        <v>0</v>
      </c>
      <c r="L4306" s="2"/>
      <c r="M4306" s="2"/>
      <c r="N4306" s="4" t="s">
        <v>2259</v>
      </c>
      <c r="O4306" s="4" t="str">
        <f>LEFT(Table2[[#This Row],[Description]],75)</f>
        <v>Starbucks</v>
      </c>
      <c r="P4306" s="2" t="s">
        <v>2454</v>
      </c>
    </row>
    <row r="4307" spans="1:16" hidden="1">
      <c r="A4307" s="2">
        <v>202102</v>
      </c>
      <c r="B4307" s="3">
        <v>44241</v>
      </c>
      <c r="C4307" s="2" t="s">
        <v>2262</v>
      </c>
      <c r="D4307" s="2" t="s">
        <v>1926</v>
      </c>
      <c r="E4307" s="2">
        <v>184.9</v>
      </c>
      <c r="F4307" s="2" t="e">
        <f>IF(Table2[[#This Row],[Manual Cat Value]]="",VLOOKUP(Table2[[#This Row],[Description]],'Actuals Lookup'!D:F,3,0),Table2[[#This Row],[Manual Cat Value]])</f>
        <v>#N/A</v>
      </c>
      <c r="J4307" s="2">
        <v>184.9</v>
      </c>
      <c r="K4307" s="2" t="b">
        <v>0</v>
      </c>
      <c r="L4307" s="2"/>
      <c r="M4307" s="2"/>
      <c r="N4307" s="4" t="s">
        <v>2259</v>
      </c>
      <c r="O4307" s="4" t="str">
        <f>LEFT(Table2[[#This Row],[Description]],75)</f>
        <v>Total Wine and More</v>
      </c>
      <c r="P4307" s="2" t="s">
        <v>2289</v>
      </c>
    </row>
    <row r="4308" spans="1:16" hidden="1">
      <c r="A4308" s="2">
        <v>202102</v>
      </c>
      <c r="B4308" s="3">
        <v>44242</v>
      </c>
      <c r="C4308" s="2" t="s">
        <v>2258</v>
      </c>
      <c r="D4308" s="2" t="s">
        <v>997</v>
      </c>
      <c r="E4308" s="2">
        <v>-516.86</v>
      </c>
      <c r="F4308" s="2" t="str">
        <f>IF(Table2[[#This Row],[Manual Cat Value]]="",VLOOKUP(Table2[[#This Row],[Description]],'Actuals Lookup'!D:F,3,0),Table2[[#This Row],[Manual Cat Value]])</f>
        <v>Delete</v>
      </c>
      <c r="J4308" s="2">
        <v>516.86</v>
      </c>
      <c r="K4308" s="2" t="b">
        <v>0</v>
      </c>
      <c r="L4308" s="2"/>
      <c r="M4308" s="2"/>
      <c r="N4308" s="4" t="s">
        <v>2273</v>
      </c>
      <c r="O4308" s="4" t="str">
        <f>LEFT(Table2[[#This Row],[Description]],75)</f>
        <v>INTERNET PAYMENT - THANK YOU</v>
      </c>
      <c r="P4308" s="2" t="s">
        <v>2291</v>
      </c>
    </row>
    <row r="4309" spans="1:16" hidden="1">
      <c r="A4309" s="2">
        <v>202102</v>
      </c>
      <c r="B4309" s="3">
        <v>44242</v>
      </c>
      <c r="C4309" s="2" t="s">
        <v>2447</v>
      </c>
      <c r="D4309" s="2" t="s">
        <v>997</v>
      </c>
      <c r="E4309" s="2">
        <v>-516.86</v>
      </c>
      <c r="F4309" s="2" t="str">
        <f>IF(Table2[[#This Row],[Manual Cat Value]]="",VLOOKUP(Table2[[#This Row],[Description]],'Actuals Lookup'!D:F,3,0),Table2[[#This Row],[Manual Cat Value]])</f>
        <v>Delete</v>
      </c>
      <c r="J4309" s="2">
        <v>516.86</v>
      </c>
      <c r="K4309" s="2" t="b">
        <v>0</v>
      </c>
      <c r="L4309" s="2"/>
      <c r="M4309" s="2"/>
      <c r="N4309" s="4" t="s">
        <v>2273</v>
      </c>
      <c r="O4309" s="4" t="str">
        <f>LEFT(Table2[[#This Row],[Description]],75)</f>
        <v>INTERNET PAYMENT - THANK YOU</v>
      </c>
      <c r="P4309" s="2" t="s">
        <v>2291</v>
      </c>
    </row>
    <row r="4310" spans="1:16" hidden="1">
      <c r="A4310" s="2">
        <v>202102</v>
      </c>
      <c r="B4310" s="3">
        <v>44242</v>
      </c>
      <c r="C4310" s="2" t="s">
        <v>2262</v>
      </c>
      <c r="D4310" s="2" t="s">
        <v>650</v>
      </c>
      <c r="E4310" s="2">
        <v>155.86000000000001</v>
      </c>
      <c r="F4310" s="2" t="e">
        <f>IF(Table2[[#This Row],[Manual Cat Value]]="",VLOOKUP(Table2[[#This Row],[Description]],'Actuals Lookup'!D:F,3,0),Table2[[#This Row],[Manual Cat Value]])</f>
        <v>#N/A</v>
      </c>
      <c r="J4310" s="2">
        <v>155.86000000000001</v>
      </c>
      <c r="K4310" s="2" t="b">
        <v>0</v>
      </c>
      <c r="L4310" s="2"/>
      <c r="M4310" s="2"/>
      <c r="N4310" s="4" t="s">
        <v>2259</v>
      </c>
      <c r="O4310" s="4" t="str">
        <f>LEFT(Table2[[#This Row],[Description]],75)</f>
        <v>Cov Wayzata</v>
      </c>
      <c r="P4310" s="2" t="s">
        <v>2281</v>
      </c>
    </row>
    <row r="4311" spans="1:16" hidden="1">
      <c r="A4311" s="2">
        <v>202102</v>
      </c>
      <c r="B4311" s="3">
        <v>44242</v>
      </c>
      <c r="C4311" s="2" t="s">
        <v>2262</v>
      </c>
      <c r="D4311" s="2" t="s">
        <v>1357</v>
      </c>
      <c r="E4311" s="2">
        <v>47.04</v>
      </c>
      <c r="F4311" s="2" t="e">
        <f>IF(Table2[[#This Row],[Manual Cat Value]]="",VLOOKUP(Table2[[#This Row],[Description]],'Actuals Lookup'!D:F,3,0),Table2[[#This Row],[Manual Cat Value]])</f>
        <v>#N/A</v>
      </c>
      <c r="J4311" s="2">
        <v>47.04</v>
      </c>
      <c r="K4311" s="2" t="b">
        <v>0</v>
      </c>
      <c r="L4311" s="2"/>
      <c r="M4311" s="2"/>
      <c r="N4311" s="4" t="s">
        <v>2259</v>
      </c>
      <c r="O4311" s="4" t="str">
        <f>LEFT(Table2[[#This Row],[Description]],75)</f>
        <v>NORTH COOP CHAHASSEN MN</v>
      </c>
      <c r="P4311" s="2" t="s">
        <v>2326</v>
      </c>
    </row>
    <row r="4312" spans="1:16" hidden="1">
      <c r="A4312" s="2">
        <v>202102</v>
      </c>
      <c r="B4312" s="3">
        <v>44242</v>
      </c>
      <c r="C4312" s="2" t="s">
        <v>2262</v>
      </c>
      <c r="D4312" s="2" t="s">
        <v>2099</v>
      </c>
      <c r="E4312" s="2">
        <v>1.75</v>
      </c>
      <c r="F4312" s="2" t="e">
        <f>IF(Table2[[#This Row],[Manual Cat Value]]="",VLOOKUP(Table2[[#This Row],[Description]],'Actuals Lookup'!D:F,3,0),Table2[[#This Row],[Manual Cat Value]])</f>
        <v>#N/A</v>
      </c>
      <c r="J4312" s="2">
        <v>1.75</v>
      </c>
      <c r="K4312" s="2" t="b">
        <v>0</v>
      </c>
      <c r="L4312" s="2"/>
      <c r="M4312" s="2"/>
      <c r="N4312" s="4" t="s">
        <v>2259</v>
      </c>
      <c r="O4312" s="4" t="str">
        <f>LEFT(Table2[[#This Row],[Description]],75)</f>
        <v>USAVEND AT AIR SERV CHANHASSEN MN</v>
      </c>
      <c r="P4312" s="2" t="s">
        <v>2281</v>
      </c>
    </row>
    <row r="4313" spans="1:16" hidden="1">
      <c r="A4313" s="2">
        <v>202102</v>
      </c>
      <c r="B4313" s="3">
        <v>44243</v>
      </c>
      <c r="C4313" s="2" t="s">
        <v>2262</v>
      </c>
      <c r="D4313" s="2" t="s">
        <v>1423</v>
      </c>
      <c r="E4313" s="2">
        <v>-2715.55</v>
      </c>
      <c r="F4313" s="2" t="e">
        <f>IF(Table2[[#This Row],[Manual Cat Value]]="",VLOOKUP(Table2[[#This Row],[Description]],'Actuals Lookup'!D:F,3,0),Table2[[#This Row],[Manual Cat Value]])</f>
        <v>#N/A</v>
      </c>
      <c r="J4313" s="2">
        <v>2715.55</v>
      </c>
      <c r="K4313" s="2" t="b">
        <v>0</v>
      </c>
      <c r="L4313" s="2"/>
      <c r="M4313" s="2"/>
      <c r="N4313" s="4" t="s">
        <v>2273</v>
      </c>
      <c r="O4313" s="4" t="str">
        <f>LEFT(Table2[[#This Row],[Description]],75)</f>
        <v>PAYMENT THANK YOU</v>
      </c>
      <c r="P4313" s="2" t="s">
        <v>2391</v>
      </c>
    </row>
    <row r="4314" spans="1:16" hidden="1">
      <c r="A4314" s="2">
        <v>202102</v>
      </c>
      <c r="B4314" s="3">
        <v>44243</v>
      </c>
      <c r="C4314" s="2" t="s">
        <v>2265</v>
      </c>
      <c r="D4314" s="2" t="s">
        <v>2176</v>
      </c>
      <c r="E4314" s="2">
        <v>2715.55</v>
      </c>
      <c r="F4314" s="2" t="e">
        <f>IF(Table2[[#This Row],[Manual Cat Value]]="",VLOOKUP(Table2[[#This Row],[Description]],'Actuals Lookup'!D:F,3,0),Table2[[#This Row],[Manual Cat Value]])</f>
        <v>#N/A</v>
      </c>
      <c r="J4314" s="2">
        <v>2715.55</v>
      </c>
      <c r="K4314" s="2" t="b">
        <v>0</v>
      </c>
      <c r="L4314" s="2"/>
      <c r="M4314" s="2"/>
      <c r="N4314" s="4" t="s">
        <v>2259</v>
      </c>
      <c r="O4314" s="4" t="str">
        <f>LEFT(Table2[[#This Row],[Description]],75)</f>
        <v>Withdrawal Home payment to card 979181</v>
      </c>
      <c r="P4314" s="2" t="s">
        <v>2349</v>
      </c>
    </row>
    <row r="4315" spans="1:16" hidden="1">
      <c r="A4315" s="2">
        <v>202102</v>
      </c>
      <c r="B4315" s="3">
        <v>44243</v>
      </c>
      <c r="C4315" s="2" t="s">
        <v>2258</v>
      </c>
      <c r="D4315" s="2" t="s">
        <v>38</v>
      </c>
      <c r="E4315" s="2">
        <v>20.38</v>
      </c>
      <c r="F4315" s="2" t="str">
        <f>IF(Table2[[#This Row],[Manual Cat Value]]="",VLOOKUP(Table2[[#This Row],[Description]],'Actuals Lookup'!D:F,3,0),Table2[[#This Row],[Manual Cat Value]])</f>
        <v>Amazon</v>
      </c>
      <c r="J4315" s="2">
        <v>20.38</v>
      </c>
      <c r="K4315" s="2" t="b">
        <v>0</v>
      </c>
      <c r="L4315" s="2"/>
      <c r="M4315" s="2"/>
      <c r="N4315" s="4" t="s">
        <v>2259</v>
      </c>
      <c r="O4315" s="4" t="str">
        <f>LEFT(Table2[[#This Row],[Description]],75)</f>
        <v>Amazon</v>
      </c>
      <c r="P4315" s="2" t="s">
        <v>2260</v>
      </c>
    </row>
    <row r="4316" spans="1:16" hidden="1">
      <c r="A4316" s="2">
        <v>202102</v>
      </c>
      <c r="B4316" s="3">
        <v>44243</v>
      </c>
      <c r="C4316" s="2" t="s">
        <v>2447</v>
      </c>
      <c r="D4316" s="2" t="s">
        <v>38</v>
      </c>
      <c r="E4316" s="2">
        <v>20.38</v>
      </c>
      <c r="F4316" s="2" t="str">
        <f>IF(Table2[[#This Row],[Manual Cat Value]]="",VLOOKUP(Table2[[#This Row],[Description]],'Actuals Lookup'!D:F,3,0),Table2[[#This Row],[Manual Cat Value]])</f>
        <v>Amazon</v>
      </c>
      <c r="J4316" s="2">
        <v>20.38</v>
      </c>
      <c r="K4316" s="2" t="b">
        <v>0</v>
      </c>
      <c r="L4316" s="2"/>
      <c r="M4316" s="2"/>
      <c r="N4316" s="4" t="s">
        <v>2259</v>
      </c>
      <c r="O4316" s="4" t="str">
        <f>LEFT(Table2[[#This Row],[Description]],75)</f>
        <v>Amazon</v>
      </c>
      <c r="P4316" s="2" t="s">
        <v>2260</v>
      </c>
    </row>
    <row r="4317" spans="1:16" hidden="1">
      <c r="A4317" s="2">
        <v>202102</v>
      </c>
      <c r="B4317" s="3">
        <v>44243</v>
      </c>
      <c r="C4317" s="2" t="s">
        <v>2265</v>
      </c>
      <c r="D4317" s="2" t="s">
        <v>131</v>
      </c>
      <c r="E4317" s="2">
        <v>96.44</v>
      </c>
      <c r="F4317" s="2" t="str">
        <f>IF(Table2[[#This Row],[Manual Cat Value]]="",VLOOKUP(Table2[[#This Row],[Description]],'Actuals Lookup'!D:F,3,0),Table2[[#This Row],[Manual Cat Value]])</f>
        <v>Insurance</v>
      </c>
      <c r="J4317" s="2">
        <v>96.44</v>
      </c>
      <c r="K4317" s="2" t="b">
        <v>0</v>
      </c>
      <c r="L4317" s="2"/>
      <c r="M4317" s="2"/>
      <c r="N4317" s="4" t="s">
        <v>2259</v>
      </c>
      <c r="O4317" s="4" t="str">
        <f>LEFT(Table2[[#This Row],[Description]],75)</f>
        <v>American Family Insurance</v>
      </c>
      <c r="P4317" s="2" t="s">
        <v>2286</v>
      </c>
    </row>
    <row r="4318" spans="1:16" hidden="1">
      <c r="A4318" s="2">
        <v>202102</v>
      </c>
      <c r="B4318" s="3">
        <v>44243</v>
      </c>
      <c r="C4318" s="2" t="s">
        <v>2434</v>
      </c>
      <c r="D4318" s="2" t="s">
        <v>219</v>
      </c>
      <c r="E4318" s="2">
        <v>-0.08</v>
      </c>
      <c r="F4318" s="2" t="e">
        <f>IF(Table2[[#This Row],[Manual Cat Value]]="",VLOOKUP(Table2[[#This Row],[Description]],'Actuals Lookup'!D:F,3,0),Table2[[#This Row],[Manual Cat Value]])</f>
        <v>#N/A</v>
      </c>
      <c r="J4318" s="2">
        <v>0.08</v>
      </c>
      <c r="K4318" s="2" t="b">
        <v>0</v>
      </c>
      <c r="L4318" s="2"/>
      <c r="M4318" s="2"/>
      <c r="N4318" s="4" t="s">
        <v>2273</v>
      </c>
      <c r="O4318" s="4" t="str">
        <f>LEFT(Table2[[#This Row],[Description]],75)</f>
        <v>BANK INT 011621-021521 SCHWAB PREMIER BANK</v>
      </c>
      <c r="P4318" s="2"/>
    </row>
    <row r="4319" spans="1:16" hidden="1">
      <c r="A4319" s="2">
        <v>202102</v>
      </c>
      <c r="B4319" s="3">
        <v>44243</v>
      </c>
      <c r="C4319" s="2" t="s">
        <v>2435</v>
      </c>
      <c r="D4319" s="2" t="s">
        <v>219</v>
      </c>
      <c r="E4319" s="2">
        <v>-0.01</v>
      </c>
      <c r="F4319" s="2" t="e">
        <f>IF(Table2[[#This Row],[Manual Cat Value]]="",VLOOKUP(Table2[[#This Row],[Description]],'Actuals Lookup'!D:F,3,0),Table2[[#This Row],[Manual Cat Value]])</f>
        <v>#N/A</v>
      </c>
      <c r="J4319" s="2">
        <v>0.01</v>
      </c>
      <c r="K4319" s="2" t="b">
        <v>0</v>
      </c>
      <c r="L4319" s="2"/>
      <c r="M4319" s="2"/>
      <c r="N4319" s="4" t="s">
        <v>2273</v>
      </c>
      <c r="O4319" s="4" t="str">
        <f>LEFT(Table2[[#This Row],[Description]],75)</f>
        <v>BANK INT 011621-021521 SCHWAB PREMIER BANK</v>
      </c>
      <c r="P4319" s="2"/>
    </row>
    <row r="4320" spans="1:16" hidden="1">
      <c r="A4320" s="2">
        <v>202102</v>
      </c>
      <c r="B4320" s="3">
        <v>44243</v>
      </c>
      <c r="C4320" s="2" t="s">
        <v>2317</v>
      </c>
      <c r="D4320" s="2" t="s">
        <v>1525</v>
      </c>
      <c r="E4320" s="2">
        <v>-31.21</v>
      </c>
      <c r="F4320" s="2" t="e">
        <f>IF(Table2[[#This Row],[Manual Cat Value]]="",VLOOKUP(Table2[[#This Row],[Description]],'Actuals Lookup'!D:F,3,0),Table2[[#This Row],[Manual Cat Value]])</f>
        <v>#N/A</v>
      </c>
      <c r="J4320" s="2">
        <v>31.21</v>
      </c>
      <c r="K4320" s="2" t="b">
        <v>0</v>
      </c>
      <c r="L4320" s="2"/>
      <c r="M4320" s="2"/>
      <c r="N4320" s="4" t="s">
        <v>2273</v>
      </c>
      <c r="O4320" s="4" t="str">
        <f>LEFT(Table2[[#This Row],[Description]],75)</f>
        <v>PROCTER &amp; GAMBLE</v>
      </c>
      <c r="P4320" s="2" t="s">
        <v>2415</v>
      </c>
    </row>
    <row r="4321" spans="1:16" hidden="1">
      <c r="A4321" s="2">
        <v>202102</v>
      </c>
      <c r="B4321" s="3">
        <v>44243</v>
      </c>
      <c r="C4321" s="2" t="s">
        <v>2262</v>
      </c>
      <c r="D4321" s="2" t="s">
        <v>1773</v>
      </c>
      <c r="E4321" s="2">
        <v>35</v>
      </c>
      <c r="F4321" s="2" t="str">
        <f>IF(Table2[[#This Row],[Manual Cat Value]]="",VLOOKUP(Table2[[#This Row],[Description]],'Actuals Lookup'!D:F,3,0),Table2[[#This Row],[Manual Cat Value]])</f>
        <v>Restaurants</v>
      </c>
      <c r="J4321" s="2">
        <v>35</v>
      </c>
      <c r="K4321" s="2" t="b">
        <v>0</v>
      </c>
      <c r="L4321" s="2"/>
      <c r="M4321" s="2"/>
      <c r="N4321" s="4" t="s">
        <v>2259</v>
      </c>
      <c r="O4321" s="4" t="str">
        <f>LEFT(Table2[[#This Row],[Description]],75)</f>
        <v>Starbucks</v>
      </c>
      <c r="P4321" s="2" t="s">
        <v>2454</v>
      </c>
    </row>
    <row r="4322" spans="1:16" hidden="1">
      <c r="A4322" s="2">
        <v>202102</v>
      </c>
      <c r="B4322" s="3">
        <v>44243</v>
      </c>
      <c r="C4322" s="2" t="s">
        <v>2265</v>
      </c>
      <c r="D4322" s="2" t="s">
        <v>2109</v>
      </c>
      <c r="E4322" s="2">
        <v>50</v>
      </c>
      <c r="F4322" s="2" t="str">
        <f>IF(Table2[[#This Row],[Manual Cat Value]]="",VLOOKUP(Table2[[#This Row],[Description]],'Actuals Lookup'!D:F,3,0),Table2[[#This Row],[Manual Cat Value]])</f>
        <v>Shopping</v>
      </c>
      <c r="J4322" s="2">
        <v>50</v>
      </c>
      <c r="K4322" s="2" t="b">
        <v>0</v>
      </c>
      <c r="L4322" s="2"/>
      <c r="M4322" s="2"/>
      <c r="N4322" s="4" t="s">
        <v>2259</v>
      </c>
      <c r="O4322" s="4" t="str">
        <f>LEFT(Table2[[#This Row],[Description]],75)</f>
        <v>Venmo</v>
      </c>
      <c r="P4322" s="2" t="s">
        <v>2281</v>
      </c>
    </row>
    <row r="4323" spans="1:16" hidden="1">
      <c r="A4323" s="2">
        <v>202102</v>
      </c>
      <c r="B4323" s="3">
        <v>44243</v>
      </c>
      <c r="C4323" s="2" t="s">
        <v>2265</v>
      </c>
      <c r="D4323" s="2" t="s">
        <v>2109</v>
      </c>
      <c r="E4323" s="2">
        <v>100</v>
      </c>
      <c r="F4323" s="2" t="str">
        <f>IF(Table2[[#This Row],[Manual Cat Value]]="",VLOOKUP(Table2[[#This Row],[Description]],'Actuals Lookup'!D:F,3,0),Table2[[#This Row],[Manual Cat Value]])</f>
        <v>Shopping</v>
      </c>
      <c r="J4323" s="2">
        <v>100</v>
      </c>
      <c r="K4323" s="2" t="b">
        <v>0</v>
      </c>
      <c r="L4323" s="2"/>
      <c r="M4323" s="2"/>
      <c r="N4323" s="4" t="s">
        <v>2259</v>
      </c>
      <c r="O4323" s="4" t="str">
        <f>LEFT(Table2[[#This Row],[Description]],75)</f>
        <v>Venmo</v>
      </c>
      <c r="P4323" s="2" t="s">
        <v>2281</v>
      </c>
    </row>
    <row r="4324" spans="1:16" hidden="1">
      <c r="A4324" s="2">
        <v>202102</v>
      </c>
      <c r="B4324" s="3">
        <v>44244</v>
      </c>
      <c r="C4324" s="2" t="s">
        <v>2265</v>
      </c>
      <c r="D4324" s="2" t="s">
        <v>759</v>
      </c>
      <c r="E4324" s="2">
        <v>516.86</v>
      </c>
      <c r="F4324" s="2" t="e">
        <f>IF(Table2[[#This Row],[Manual Cat Value]]="",VLOOKUP(Table2[[#This Row],[Description]],'Actuals Lookup'!D:F,3,0),Table2[[#This Row],[Manual Cat Value]])</f>
        <v>#N/A</v>
      </c>
      <c r="J4324" s="2">
        <v>516.86</v>
      </c>
      <c r="K4324" s="2" t="b">
        <v>0</v>
      </c>
      <c r="L4324" s="2"/>
      <c r="M4324" s="2"/>
      <c r="N4324" s="4" t="s">
        <v>2259</v>
      </c>
      <c r="O4324" s="4" t="str">
        <f>LEFT(Table2[[#This Row],[Description]],75)</f>
        <v>DISCOVER TYPE EPAYMENT ID CO DISCOVER ACH ECC WEB ACH Trace 32375</v>
      </c>
      <c r="P4324" s="2" t="s">
        <v>2293</v>
      </c>
    </row>
    <row r="4325" spans="1:16" hidden="1">
      <c r="A4325" s="2">
        <v>202102</v>
      </c>
      <c r="B4325" s="3">
        <v>44244</v>
      </c>
      <c r="C4325" s="2" t="s">
        <v>2258</v>
      </c>
      <c r="D4325" s="2" t="s">
        <v>38</v>
      </c>
      <c r="E4325" s="2">
        <v>6.95</v>
      </c>
      <c r="F4325" s="2" t="str">
        <f>IF(Table2[[#This Row],[Manual Cat Value]]="",VLOOKUP(Table2[[#This Row],[Description]],'Actuals Lookup'!D:F,3,0),Table2[[#This Row],[Manual Cat Value]])</f>
        <v>Amazon</v>
      </c>
      <c r="J4325" s="2">
        <v>6.95</v>
      </c>
      <c r="K4325" s="2" t="b">
        <v>0</v>
      </c>
      <c r="L4325" s="2"/>
      <c r="M4325" s="2"/>
      <c r="N4325" s="4" t="s">
        <v>2259</v>
      </c>
      <c r="O4325" s="4" t="str">
        <f>LEFT(Table2[[#This Row],[Description]],75)</f>
        <v>Amazon</v>
      </c>
      <c r="P4325" s="2" t="s">
        <v>2260</v>
      </c>
    </row>
    <row r="4326" spans="1:16" hidden="1">
      <c r="A4326" s="2">
        <v>202102</v>
      </c>
      <c r="B4326" s="3">
        <v>44244</v>
      </c>
      <c r="C4326" s="2" t="s">
        <v>2447</v>
      </c>
      <c r="D4326" s="2" t="s">
        <v>38</v>
      </c>
      <c r="E4326" s="2">
        <v>6.95</v>
      </c>
      <c r="F4326" s="2" t="str">
        <f>IF(Table2[[#This Row],[Manual Cat Value]]="",VLOOKUP(Table2[[#This Row],[Description]],'Actuals Lookup'!D:F,3,0),Table2[[#This Row],[Manual Cat Value]])</f>
        <v>Amazon</v>
      </c>
      <c r="J4326" s="2">
        <v>6.95</v>
      </c>
      <c r="K4326" s="2" t="b">
        <v>0</v>
      </c>
      <c r="L4326" s="2"/>
      <c r="M4326" s="2"/>
      <c r="N4326" s="4" t="s">
        <v>2259</v>
      </c>
      <c r="O4326" s="4" t="str">
        <f>LEFT(Table2[[#This Row],[Description]],75)</f>
        <v>Amazon</v>
      </c>
      <c r="P4326" s="2" t="s">
        <v>2260</v>
      </c>
    </row>
    <row r="4327" spans="1:16" hidden="1">
      <c r="A4327" s="2">
        <v>202102</v>
      </c>
      <c r="B4327" s="3">
        <v>44244</v>
      </c>
      <c r="C4327" s="2" t="s">
        <v>2265</v>
      </c>
      <c r="D4327" s="2" t="s">
        <v>365</v>
      </c>
      <c r="E4327" s="2">
        <v>-2167.65</v>
      </c>
      <c r="F4327" s="2" t="e">
        <f>IF(Table2[[#This Row],[Manual Cat Value]]="",VLOOKUP(Table2[[#This Row],[Description]],'Actuals Lookup'!D:F,3,0),Table2[[#This Row],[Manual Cat Value]])</f>
        <v>#N/A</v>
      </c>
      <c r="J4327" s="2">
        <v>2167.65</v>
      </c>
      <c r="K4327" s="2" t="b">
        <v>0</v>
      </c>
      <c r="L4327" s="2"/>
      <c r="M4327" s="2"/>
      <c r="N4327" s="4" t="s">
        <v>2273</v>
      </c>
      <c r="O4327" s="4" t="str">
        <f>LEFT(Table2[[#This Row],[Description]],75)</f>
        <v>CARGILL COCOA TYPE DIR DEP ID CO CARGILL COCOA ACH ECC PPD ACH Trace 25397</v>
      </c>
      <c r="P4327" s="2" t="s">
        <v>2284</v>
      </c>
    </row>
    <row r="4328" spans="1:16" hidden="1">
      <c r="A4328" s="2">
        <v>202102</v>
      </c>
      <c r="B4328" s="3">
        <v>44244</v>
      </c>
      <c r="C4328" s="2" t="s">
        <v>2265</v>
      </c>
      <c r="D4328" s="2" t="s">
        <v>1226</v>
      </c>
      <c r="E4328" s="2">
        <v>425</v>
      </c>
      <c r="F4328" s="2" t="e">
        <f>IF(Table2[[#This Row],[Manual Cat Value]]="",VLOOKUP(Table2[[#This Row],[Description]],'Actuals Lookup'!D:F,3,0),Table2[[#This Row],[Manual Cat Value]])</f>
        <v>#N/A</v>
      </c>
      <c r="J4328" s="2">
        <v>425</v>
      </c>
      <c r="K4328" s="2" t="b">
        <v>0</v>
      </c>
      <c r="L4328" s="2"/>
      <c r="M4328" s="2"/>
      <c r="N4328" s="4" t="s">
        <v>2259</v>
      </c>
      <c r="O4328" s="4" t="str">
        <f>LEFT(Table2[[#This Row],[Description]],75)</f>
        <v>MHCHILDCARELLC TYPE DUES ID CO MHCHILDCARELLC ACH ECC PPD ACH Trace 57643</v>
      </c>
      <c r="P4328" s="2" t="s">
        <v>2497</v>
      </c>
    </row>
    <row r="4329" spans="1:16" hidden="1">
      <c r="A4329" s="2">
        <v>202102</v>
      </c>
      <c r="B4329" s="3">
        <v>44244</v>
      </c>
      <c r="C4329" s="2" t="s">
        <v>2317</v>
      </c>
      <c r="D4329" s="2" t="s">
        <v>1525</v>
      </c>
      <c r="E4329" s="2">
        <v>31.21</v>
      </c>
      <c r="F4329" s="2" t="e">
        <f>IF(Table2[[#This Row],[Manual Cat Value]]="",VLOOKUP(Table2[[#This Row],[Description]],'Actuals Lookup'!D:F,3,0),Table2[[#This Row],[Manual Cat Value]])</f>
        <v>#N/A</v>
      </c>
      <c r="J4329" s="2">
        <v>31.21</v>
      </c>
      <c r="K4329" s="2" t="b">
        <v>0</v>
      </c>
      <c r="L4329" s="2"/>
      <c r="M4329" s="2"/>
      <c r="N4329" s="4" t="s">
        <v>2259</v>
      </c>
      <c r="O4329" s="4" t="str">
        <f>LEFT(Table2[[#This Row],[Description]],75)</f>
        <v>PROCTER &amp; GAMBLE</v>
      </c>
      <c r="P4329" s="2" t="s">
        <v>2415</v>
      </c>
    </row>
    <row r="4330" spans="1:16" hidden="1">
      <c r="A4330" s="2">
        <v>202102</v>
      </c>
      <c r="B4330" s="3">
        <v>44245</v>
      </c>
      <c r="C4330" s="2" t="s">
        <v>2265</v>
      </c>
      <c r="D4330" s="2" t="s">
        <v>425</v>
      </c>
      <c r="E4330" s="2">
        <v>-75</v>
      </c>
      <c r="F4330" s="2" t="e">
        <f>IF(Table2[[#This Row],[Manual Cat Value]]="",VLOOKUP(Table2[[#This Row],[Description]],'Actuals Lookup'!D:F,3,0),Table2[[#This Row],[Manual Cat Value]])</f>
        <v>#N/A</v>
      </c>
      <c r="J4330" s="2">
        <v>75</v>
      </c>
      <c r="K4330" s="2" t="b">
        <v>0</v>
      </c>
      <c r="L4330" s="2"/>
      <c r="M4330" s="2"/>
      <c r="N4330" s="4" t="s">
        <v>2273</v>
      </c>
      <c r="O4330" s="4" t="str">
        <f>LEFT(Table2[[#This Row],[Description]],75)</f>
        <v>Cargill Incorpor Type</v>
      </c>
      <c r="P4330" s="2" t="s">
        <v>2282</v>
      </c>
    </row>
    <row r="4331" spans="1:16" hidden="1">
      <c r="A4331" s="2">
        <v>202102</v>
      </c>
      <c r="B4331" s="3">
        <v>44245</v>
      </c>
      <c r="C4331" s="2" t="s">
        <v>2274</v>
      </c>
      <c r="D4331" s="2" t="s">
        <v>718</v>
      </c>
      <c r="E4331" s="2">
        <v>-100</v>
      </c>
      <c r="F4331" s="2" t="e">
        <f>IF(Table2[[#This Row],[Manual Cat Value]]="",VLOOKUP(Table2[[#This Row],[Description]],'Actuals Lookup'!D:F,3,0),Table2[[#This Row],[Manual Cat Value]])</f>
        <v>#N/A</v>
      </c>
      <c r="J4331" s="2">
        <v>100</v>
      </c>
      <c r="K4331" s="2" t="b">
        <v>0</v>
      </c>
      <c r="L4331" s="2"/>
      <c r="M4331" s="2"/>
      <c r="N4331" s="4" t="s">
        <v>2273</v>
      </c>
      <c r="O4331" s="4" t="str">
        <f>LEFT(Table2[[#This Row],[Description]],75)</f>
        <v>Deposit Mobile Banking</v>
      </c>
      <c r="P4331" s="2" t="s">
        <v>2526</v>
      </c>
    </row>
    <row r="4332" spans="1:16" hidden="1">
      <c r="A4332" s="2">
        <v>202102</v>
      </c>
      <c r="B4332" s="3">
        <v>44245</v>
      </c>
      <c r="C4332" s="2" t="s">
        <v>2528</v>
      </c>
      <c r="D4332" s="2" t="s">
        <v>878</v>
      </c>
      <c r="E4332" s="2">
        <v>-50</v>
      </c>
      <c r="F4332" s="2" t="e">
        <f>IF(Table2[[#This Row],[Manual Cat Value]]="",VLOOKUP(Table2[[#This Row],[Description]],'Actuals Lookup'!D:F,3,0),Table2[[#This Row],[Manual Cat Value]])</f>
        <v>#N/A</v>
      </c>
      <c r="J4332" s="2">
        <v>50</v>
      </c>
      <c r="K4332" s="2" t="b">
        <v>0</v>
      </c>
      <c r="L4332" s="2"/>
      <c r="M4332" s="2"/>
      <c r="N4332" s="4" t="s">
        <v>2273</v>
      </c>
      <c r="O4332" s="4" t="str">
        <f>LEFT(Table2[[#This Row],[Description]],75)</f>
        <v>FUNDS RECEIVED</v>
      </c>
      <c r="P4332" s="2"/>
    </row>
    <row r="4333" spans="1:16" hidden="1">
      <c r="A4333" s="2">
        <v>202102</v>
      </c>
      <c r="B4333" s="3">
        <v>44245</v>
      </c>
      <c r="C4333" s="2" t="s">
        <v>2528</v>
      </c>
      <c r="D4333" s="2" t="s">
        <v>878</v>
      </c>
      <c r="E4333" s="2">
        <v>-100</v>
      </c>
      <c r="F4333" s="2" t="e">
        <f>IF(Table2[[#This Row],[Manual Cat Value]]="",VLOOKUP(Table2[[#This Row],[Description]],'Actuals Lookup'!D:F,3,0),Table2[[#This Row],[Manual Cat Value]])</f>
        <v>#N/A</v>
      </c>
      <c r="J4333" s="2">
        <v>100</v>
      </c>
      <c r="K4333" s="2" t="b">
        <v>0</v>
      </c>
      <c r="L4333" s="2"/>
      <c r="M4333" s="2"/>
      <c r="N4333" s="4" t="s">
        <v>2273</v>
      </c>
      <c r="O4333" s="4" t="str">
        <f>LEFT(Table2[[#This Row],[Description]],75)</f>
        <v>FUNDS RECEIVED</v>
      </c>
      <c r="P4333" s="2"/>
    </row>
    <row r="4334" spans="1:16" hidden="1">
      <c r="A4334" s="2">
        <v>202102</v>
      </c>
      <c r="B4334" s="3">
        <v>44245</v>
      </c>
      <c r="C4334" s="2" t="s">
        <v>2274</v>
      </c>
      <c r="D4334" s="2" t="s">
        <v>882</v>
      </c>
      <c r="E4334" s="2">
        <v>20</v>
      </c>
      <c r="F4334" s="2" t="e">
        <f>IF(Table2[[#This Row],[Manual Cat Value]]="",VLOOKUP(Table2[[#This Row],[Description]],'Actuals Lookup'!D:F,3,0),Table2[[#This Row],[Manual Cat Value]])</f>
        <v>#N/A</v>
      </c>
      <c r="J4334" s="2">
        <v>20</v>
      </c>
      <c r="K4334" s="2" t="b">
        <v>0</v>
      </c>
      <c r="L4334" s="2"/>
      <c r="M4334" s="2"/>
      <c r="N4334" s="4" t="s">
        <v>2259</v>
      </c>
      <c r="O4334" s="4" t="str">
        <f>LEFT(Table2[[#This Row],[Description]],75)</f>
        <v>Funds Transfer to Brokerage -8130</v>
      </c>
      <c r="P4334" s="2" t="s">
        <v>2281</v>
      </c>
    </row>
    <row r="4335" spans="1:16" hidden="1">
      <c r="A4335" s="2">
        <v>202102</v>
      </c>
      <c r="B4335" s="3">
        <v>44245</v>
      </c>
      <c r="C4335" s="2" t="s">
        <v>2265</v>
      </c>
      <c r="D4335" s="2" t="s">
        <v>1298</v>
      </c>
      <c r="E4335" s="2">
        <v>200</v>
      </c>
      <c r="F4335" s="2" t="e">
        <f>IF(Table2[[#This Row],[Manual Cat Value]]="",VLOOKUP(Table2[[#This Row],[Description]],'Actuals Lookup'!D:F,3,0),Table2[[#This Row],[Manual Cat Value]])</f>
        <v>#N/A</v>
      </c>
      <c r="J4335" s="2">
        <v>200</v>
      </c>
      <c r="K4335" s="2" t="b">
        <v>0</v>
      </c>
      <c r="L4335" s="2"/>
      <c r="M4335" s="2"/>
      <c r="N4335" s="4" t="s">
        <v>2259</v>
      </c>
      <c r="O4335" s="4" t="str">
        <f>LEFT(Table2[[#This Row],[Description]],75)</f>
        <v>MN DIR ACH TYPE CONTRIB ID CO MN DIR ACH ACH ECC WEB ACH Trace 73791</v>
      </c>
      <c r="P4335" s="2" t="s">
        <v>2469</v>
      </c>
    </row>
    <row r="4336" spans="1:16" hidden="1">
      <c r="A4336" s="2">
        <v>202102</v>
      </c>
      <c r="B4336" s="3">
        <v>44245</v>
      </c>
      <c r="C4336" s="2" t="s">
        <v>2262</v>
      </c>
      <c r="D4336" s="2" t="s">
        <v>1707</v>
      </c>
      <c r="E4336" s="2">
        <v>42.79</v>
      </c>
      <c r="F4336" s="2" t="str">
        <f>IF(Table2[[#This Row],[Manual Cat Value]]="",VLOOKUP(Table2[[#This Row],[Description]],'Actuals Lookup'!D:F,3,0),Table2[[#This Row],[Manual Cat Value]])</f>
        <v>Transportation</v>
      </c>
      <c r="J4336" s="2">
        <v>42.79</v>
      </c>
      <c r="K4336" s="2" t="b">
        <v>0</v>
      </c>
      <c r="L4336" s="2"/>
      <c r="M4336" s="2"/>
      <c r="N4336" s="4" t="s">
        <v>2259</v>
      </c>
      <c r="O4336" s="4" t="str">
        <f>LEFT(Table2[[#This Row],[Description]],75)</f>
        <v>Speedway</v>
      </c>
      <c r="P4336" s="2" t="s">
        <v>2381</v>
      </c>
    </row>
    <row r="4337" spans="1:16" hidden="1">
      <c r="A4337" s="2">
        <v>202102</v>
      </c>
      <c r="B4337" s="3">
        <v>44245</v>
      </c>
      <c r="C4337" s="2" t="s">
        <v>2528</v>
      </c>
      <c r="D4337" s="2" t="s">
        <v>1949</v>
      </c>
      <c r="E4337" s="2">
        <v>-20</v>
      </c>
      <c r="F4337" s="2" t="e">
        <f>IF(Table2[[#This Row],[Manual Cat Value]]="",VLOOKUP(Table2[[#This Row],[Description]],'Actuals Lookup'!D:F,3,0),Table2[[#This Row],[Manual Cat Value]])</f>
        <v>#N/A</v>
      </c>
      <c r="J4337" s="2">
        <v>20</v>
      </c>
      <c r="K4337" s="2" t="b">
        <v>0</v>
      </c>
      <c r="L4337" s="2"/>
      <c r="M4337" s="2"/>
      <c r="N4337" s="4" t="s">
        <v>2273</v>
      </c>
      <c r="O4337" s="4" t="str">
        <f>LEFT(Table2[[#This Row],[Description]],75)</f>
        <v>TRANSFER FUNDS FROM SCHWAB BANK - 440020765184</v>
      </c>
      <c r="P4337" s="2"/>
    </row>
    <row r="4338" spans="1:16" hidden="1">
      <c r="A4338" s="2">
        <v>202102</v>
      </c>
      <c r="B4338" s="3">
        <v>44246</v>
      </c>
      <c r="C4338" s="2" t="s">
        <v>2317</v>
      </c>
      <c r="D4338" s="2" t="s">
        <v>354</v>
      </c>
      <c r="E4338" s="2">
        <v>-200</v>
      </c>
      <c r="F4338" s="2" t="e">
        <f>IF(Table2[[#This Row],[Manual Cat Value]]="",VLOOKUP(Table2[[#This Row],[Description]],'Actuals Lookup'!D:F,3,0),Table2[[#This Row],[Manual Cat Value]])</f>
        <v>#N/A</v>
      </c>
      <c r="J4338" s="2">
        <v>200</v>
      </c>
      <c r="K4338" s="2" t="b">
        <v>0</v>
      </c>
      <c r="L4338" s="2"/>
      <c r="M4338" s="2"/>
      <c r="N4338" s="4" t="s">
        <v>2273</v>
      </c>
      <c r="O4338" s="4" t="str">
        <f>LEFT(Table2[[#This Row],[Description]],75)</f>
        <v>CARGILL COCOA &amp;</v>
      </c>
      <c r="P4338" s="2" t="s">
        <v>2354</v>
      </c>
    </row>
    <row r="4339" spans="1:16" hidden="1">
      <c r="A4339" s="2">
        <v>202102</v>
      </c>
      <c r="B4339" s="3">
        <v>44246</v>
      </c>
      <c r="C4339" s="2" t="s">
        <v>2262</v>
      </c>
      <c r="D4339" s="2" t="s">
        <v>947</v>
      </c>
      <c r="E4339" s="2">
        <v>26.79</v>
      </c>
      <c r="F4339" s="2" t="e">
        <f>IF(Table2[[#This Row],[Manual Cat Value]]="",VLOOKUP(Table2[[#This Row],[Description]],'Actuals Lookup'!D:F,3,0),Table2[[#This Row],[Manual Cat Value]])</f>
        <v>#N/A</v>
      </c>
      <c r="J4339" s="2">
        <v>26.79</v>
      </c>
      <c r="K4339" s="2" t="b">
        <v>0</v>
      </c>
      <c r="L4339" s="2"/>
      <c r="M4339" s="2"/>
      <c r="N4339" s="4" t="s">
        <v>2259</v>
      </c>
      <c r="O4339" s="4" t="str">
        <f>LEFT(Table2[[#This Row],[Description]],75)</f>
        <v>Home Depot</v>
      </c>
      <c r="P4339" s="2" t="s">
        <v>2396</v>
      </c>
    </row>
    <row r="4340" spans="1:16" hidden="1">
      <c r="A4340" s="2">
        <v>202102</v>
      </c>
      <c r="B4340" s="3">
        <v>44246</v>
      </c>
      <c r="C4340" s="2" t="s">
        <v>2262</v>
      </c>
      <c r="D4340" s="2" t="s">
        <v>947</v>
      </c>
      <c r="E4340" s="2">
        <v>32.17</v>
      </c>
      <c r="F4340" s="2" t="e">
        <f>IF(Table2[[#This Row],[Manual Cat Value]]="",VLOOKUP(Table2[[#This Row],[Description]],'Actuals Lookup'!D:F,3,0),Table2[[#This Row],[Manual Cat Value]])</f>
        <v>#N/A</v>
      </c>
      <c r="J4340" s="2">
        <v>32.17</v>
      </c>
      <c r="K4340" s="2" t="b">
        <v>0</v>
      </c>
      <c r="L4340" s="2"/>
      <c r="M4340" s="2"/>
      <c r="N4340" s="4" t="s">
        <v>2259</v>
      </c>
      <c r="O4340" s="4" t="str">
        <f>LEFT(Table2[[#This Row],[Description]],75)</f>
        <v>Home Depot</v>
      </c>
      <c r="P4340" s="2" t="s">
        <v>2396</v>
      </c>
    </row>
    <row r="4341" spans="1:16" hidden="1">
      <c r="A4341" s="2">
        <v>202102</v>
      </c>
      <c r="B4341" s="3">
        <v>44246</v>
      </c>
      <c r="C4341" s="2" t="s">
        <v>2262</v>
      </c>
      <c r="D4341" s="2" t="s">
        <v>1077</v>
      </c>
      <c r="E4341" s="2">
        <v>23.35</v>
      </c>
      <c r="F4341" s="2" t="e">
        <f>IF(Table2[[#This Row],[Manual Cat Value]]="",VLOOKUP(Table2[[#This Row],[Description]],'Actuals Lookup'!D:F,3,0),Table2[[#This Row],[Manual Cat Value]])</f>
        <v>#N/A</v>
      </c>
      <c r="J4341" s="2">
        <v>23.35</v>
      </c>
      <c r="K4341" s="2" t="b">
        <v>0</v>
      </c>
      <c r="L4341" s="2"/>
      <c r="M4341" s="2"/>
      <c r="N4341" s="4" t="s">
        <v>2259</v>
      </c>
      <c r="O4341" s="4" t="str">
        <f>LEFT(Table2[[#This Row],[Description]],75)</f>
        <v>KONA GRILL MINNETONKA MINNETONKA MN</v>
      </c>
      <c r="P4341" s="2" t="s">
        <v>2281</v>
      </c>
    </row>
    <row r="4342" spans="1:16" hidden="1">
      <c r="A4342" s="2">
        <v>202102</v>
      </c>
      <c r="B4342" s="3">
        <v>44246</v>
      </c>
      <c r="C4342" s="2" t="s">
        <v>2274</v>
      </c>
      <c r="D4342" s="2" t="s">
        <v>1283</v>
      </c>
      <c r="E4342" s="2">
        <v>100</v>
      </c>
      <c r="F4342" s="2" t="e">
        <f>IF(Table2[[#This Row],[Manual Cat Value]]="",VLOOKUP(Table2[[#This Row],[Description]],'Actuals Lookup'!D:F,3,0),Table2[[#This Row],[Manual Cat Value]])</f>
        <v>#N/A</v>
      </c>
      <c r="J4342" s="2">
        <v>100</v>
      </c>
      <c r="K4342" s="2" t="b">
        <v>0</v>
      </c>
      <c r="L4342" s="2"/>
      <c r="M4342" s="2"/>
      <c r="N4342" s="4" t="s">
        <v>2259</v>
      </c>
      <c r="O4342" s="4" t="str">
        <f>LEFT(Table2[[#This Row],[Description]],75)</f>
        <v>MN DIR ACH CONTRIB 021921</v>
      </c>
      <c r="P4342" s="2" t="s">
        <v>2469</v>
      </c>
    </row>
    <row r="4343" spans="1:16" hidden="1">
      <c r="A4343" s="2">
        <v>202102</v>
      </c>
      <c r="B4343" s="3">
        <v>44246</v>
      </c>
      <c r="C4343" s="2" t="s">
        <v>2434</v>
      </c>
      <c r="D4343" s="2" t="s">
        <v>1834</v>
      </c>
      <c r="E4343" s="2">
        <v>-231</v>
      </c>
      <c r="F4343" s="2" t="e">
        <f>IF(Table2[[#This Row],[Manual Cat Value]]="",VLOOKUP(Table2[[#This Row],[Description]],'Actuals Lookup'!D:F,3,0),Table2[[#This Row],[Manual Cat Value]])</f>
        <v>#N/A</v>
      </c>
      <c r="J4343" s="2">
        <v>231</v>
      </c>
      <c r="K4343" s="2" t="b">
        <v>0</v>
      </c>
      <c r="L4343" s="2"/>
      <c r="M4343" s="2"/>
      <c r="N4343" s="4" t="s">
        <v>2273</v>
      </c>
      <c r="O4343" s="4" t="str">
        <f>LEFT(Table2[[#This Row],[Description]],75)</f>
        <v>Tfr JPMORGAN CHASE BAN, CARGILL COCOA &amp;</v>
      </c>
      <c r="P4343" s="2" t="s">
        <v>2356</v>
      </c>
    </row>
    <row r="4344" spans="1:16" hidden="1">
      <c r="A4344" s="2">
        <v>202102</v>
      </c>
      <c r="B4344" s="3">
        <v>44246</v>
      </c>
      <c r="C4344" s="2" t="s">
        <v>2317</v>
      </c>
      <c r="D4344" s="2" t="s">
        <v>2100</v>
      </c>
      <c r="E4344" s="2">
        <v>-5.55</v>
      </c>
      <c r="F4344" s="2" t="e">
        <f>IF(Table2[[#This Row],[Manual Cat Value]]="",VLOOKUP(Table2[[#This Row],[Description]],'Actuals Lookup'!D:F,3,0),Table2[[#This Row],[Manual Cat Value]])</f>
        <v>#N/A</v>
      </c>
      <c r="J4344" s="2">
        <v>5.55</v>
      </c>
      <c r="K4344" s="2" t="b">
        <v>0</v>
      </c>
      <c r="L4344" s="2"/>
      <c r="M4344" s="2"/>
      <c r="N4344" s="4" t="s">
        <v>2273</v>
      </c>
      <c r="O4344" s="4" t="str">
        <f>LEFT(Table2[[#This Row],[Description]],75)</f>
        <v>USD PARTNERS LP LP</v>
      </c>
      <c r="P4344" s="2" t="s">
        <v>2385</v>
      </c>
    </row>
    <row r="4345" spans="1:16" hidden="1">
      <c r="A4345" s="2">
        <v>202102</v>
      </c>
      <c r="B4345" s="3">
        <v>44248</v>
      </c>
      <c r="C4345" s="2" t="s">
        <v>2262</v>
      </c>
      <c r="D4345" s="2" t="s">
        <v>306</v>
      </c>
      <c r="E4345" s="2">
        <v>9</v>
      </c>
      <c r="F4345" s="2" t="e">
        <f>IF(Table2[[#This Row],[Manual Cat Value]]="",VLOOKUP(Table2[[#This Row],[Description]],'Actuals Lookup'!D:F,3,0),Table2[[#This Row],[Manual Cat Value]])</f>
        <v>#N/A</v>
      </c>
      <c r="J4345" s="2">
        <v>9</v>
      </c>
      <c r="K4345" s="2" t="b">
        <v>0</v>
      </c>
      <c r="L4345" s="2"/>
      <c r="M4345" s="2"/>
      <c r="N4345" s="4" t="s">
        <v>2259</v>
      </c>
      <c r="O4345" s="4" t="str">
        <f>LEFT(Table2[[#This Row],[Description]],75)</f>
        <v>BONFES 6513326633 MN</v>
      </c>
      <c r="P4345" s="2" t="s">
        <v>2537</v>
      </c>
    </row>
    <row r="4346" spans="1:16" hidden="1">
      <c r="A4346" s="2">
        <v>202102</v>
      </c>
      <c r="B4346" s="3">
        <v>44248</v>
      </c>
      <c r="C4346" s="2" t="s">
        <v>2262</v>
      </c>
      <c r="D4346" s="2" t="s">
        <v>977</v>
      </c>
      <c r="E4346" s="2">
        <v>84.72</v>
      </c>
      <c r="F4346" s="2" t="e">
        <f>IF(Table2[[#This Row],[Manual Cat Value]]="",VLOOKUP(Table2[[#This Row],[Description]],'Actuals Lookup'!D:F,3,0),Table2[[#This Row],[Manual Cat Value]])</f>
        <v>#N/A</v>
      </c>
      <c r="J4346" s="2">
        <v>84.72</v>
      </c>
      <c r="K4346" s="2" t="b">
        <v>0</v>
      </c>
      <c r="L4346" s="2"/>
      <c r="M4346" s="2"/>
      <c r="N4346" s="4" t="s">
        <v>2259</v>
      </c>
      <c r="O4346" s="4" t="str">
        <f>LEFT(Table2[[#This Row],[Description]],75)</f>
        <v>Instacart</v>
      </c>
      <c r="P4346" s="2" t="s">
        <v>2281</v>
      </c>
    </row>
    <row r="4347" spans="1:16" hidden="1">
      <c r="A4347" s="2">
        <v>202102</v>
      </c>
      <c r="B4347" s="3">
        <v>44248</v>
      </c>
      <c r="C4347" s="2" t="s">
        <v>2262</v>
      </c>
      <c r="D4347" s="2" t="s">
        <v>1102</v>
      </c>
      <c r="E4347" s="2">
        <v>36.53</v>
      </c>
      <c r="F4347" s="2" t="str">
        <f>IF(Table2[[#This Row],[Manual Cat Value]]="",VLOOKUP(Table2[[#This Row],[Description]],'Actuals Lookup'!D:F,3,0),Table2[[#This Row],[Manual Cat Value]])</f>
        <v>Restaurants</v>
      </c>
      <c r="J4347" s="2">
        <v>36.53</v>
      </c>
      <c r="K4347" s="2" t="b">
        <v>0</v>
      </c>
      <c r="L4347" s="2"/>
      <c r="M4347" s="2"/>
      <c r="N4347" s="4" t="s">
        <v>2259</v>
      </c>
      <c r="O4347" s="4" t="str">
        <f>LEFT(Table2[[#This Row],[Description]],75)</f>
        <v>Leeann Chin</v>
      </c>
      <c r="P4347" s="2" t="s">
        <v>2529</v>
      </c>
    </row>
    <row r="4348" spans="1:16" hidden="1">
      <c r="A4348" s="2">
        <v>202102</v>
      </c>
      <c r="B4348" s="3">
        <v>44249</v>
      </c>
      <c r="C4348" s="2" t="s">
        <v>2265</v>
      </c>
      <c r="D4348" s="2" t="s">
        <v>557</v>
      </c>
      <c r="E4348" s="2">
        <v>256.20999999999998</v>
      </c>
      <c r="F4348" s="2" t="e">
        <f>IF(Table2[[#This Row],[Manual Cat Value]]="",VLOOKUP(Table2[[#This Row],[Description]],'Actuals Lookup'!D:F,3,0),Table2[[#This Row],[Manual Cat Value]])</f>
        <v>#N/A</v>
      </c>
      <c r="J4348" s="2">
        <v>256.20999999999998</v>
      </c>
      <c r="K4348" s="2" t="b">
        <v>0</v>
      </c>
      <c r="L4348" s="2"/>
      <c r="M4348" s="2"/>
      <c r="N4348" s="4" t="s">
        <v>2259</v>
      </c>
      <c r="O4348" s="4" t="str">
        <f>LEFT(Table2[[#This Row],[Description]],75)</f>
        <v>City of Chanhassen</v>
      </c>
      <c r="P4348" s="2" t="s">
        <v>2298</v>
      </c>
    </row>
    <row r="4349" spans="1:16" hidden="1">
      <c r="A4349" s="2">
        <v>202102</v>
      </c>
      <c r="B4349" s="3">
        <v>44249</v>
      </c>
      <c r="C4349" s="2" t="s">
        <v>2262</v>
      </c>
      <c r="D4349" s="2" t="s">
        <v>696</v>
      </c>
      <c r="E4349" s="2">
        <v>43.18</v>
      </c>
      <c r="F4349" s="2" t="e">
        <f>IF(Table2[[#This Row],[Manual Cat Value]]="",VLOOKUP(Table2[[#This Row],[Description]],'Actuals Lookup'!D:F,3,0),Table2[[#This Row],[Manual Cat Value]])</f>
        <v>#N/A</v>
      </c>
      <c r="J4349" s="2">
        <v>43.18</v>
      </c>
      <c r="K4349" s="2" t="b">
        <v>0</v>
      </c>
      <c r="L4349" s="2"/>
      <c r="M4349" s="2"/>
      <c r="N4349" s="4" t="s">
        <v>2259</v>
      </c>
      <c r="O4349" s="4" t="str">
        <f>LEFT(Table2[[#This Row],[Description]],75)</f>
        <v>Davannis</v>
      </c>
      <c r="P4349" s="2" t="s">
        <v>2281</v>
      </c>
    </row>
    <row r="4350" spans="1:16" hidden="1">
      <c r="A4350" s="2">
        <v>202102</v>
      </c>
      <c r="B4350" s="3">
        <v>44249</v>
      </c>
      <c r="C4350" s="2" t="s">
        <v>2262</v>
      </c>
      <c r="D4350" s="2" t="s">
        <v>947</v>
      </c>
      <c r="E4350" s="2">
        <v>34.53</v>
      </c>
      <c r="F4350" s="2" t="e">
        <f>IF(Table2[[#This Row],[Manual Cat Value]]="",VLOOKUP(Table2[[#This Row],[Description]],'Actuals Lookup'!D:F,3,0),Table2[[#This Row],[Manual Cat Value]])</f>
        <v>#N/A</v>
      </c>
      <c r="J4350" s="2">
        <v>34.53</v>
      </c>
      <c r="K4350" s="2" t="b">
        <v>0</v>
      </c>
      <c r="L4350" s="2"/>
      <c r="M4350" s="2"/>
      <c r="N4350" s="4" t="s">
        <v>2259</v>
      </c>
      <c r="O4350" s="4" t="str">
        <f>LEFT(Table2[[#This Row],[Description]],75)</f>
        <v>Home Depot</v>
      </c>
      <c r="P4350" s="2" t="s">
        <v>2396</v>
      </c>
    </row>
    <row r="4351" spans="1:16" hidden="1">
      <c r="A4351" s="2">
        <v>202102</v>
      </c>
      <c r="B4351" s="3">
        <v>44249</v>
      </c>
      <c r="C4351" s="2" t="s">
        <v>2265</v>
      </c>
      <c r="D4351" s="2" t="s">
        <v>1471</v>
      </c>
      <c r="E4351" s="2">
        <v>7.99</v>
      </c>
      <c r="F4351" s="2" t="str">
        <f>IF(Table2[[#This Row],[Manual Cat Value]]="",VLOOKUP(Table2[[#This Row],[Description]],'Actuals Lookup'!D:F,3,0),Table2[[#This Row],[Manual Cat Value]])</f>
        <v>Shopping</v>
      </c>
      <c r="J4351" s="2">
        <v>7.99</v>
      </c>
      <c r="K4351" s="2" t="b">
        <v>0</v>
      </c>
      <c r="L4351" s="2"/>
      <c r="M4351" s="2"/>
      <c r="N4351" s="4" t="s">
        <v>2259</v>
      </c>
      <c r="O4351" s="4" t="str">
        <f>LEFT(Table2[[#This Row],[Description]],75)</f>
        <v>PayPal</v>
      </c>
      <c r="P4351" s="2" t="s">
        <v>2322</v>
      </c>
    </row>
    <row r="4352" spans="1:16" hidden="1">
      <c r="A4352" s="2">
        <v>202102</v>
      </c>
      <c r="B4352" s="3">
        <v>44249</v>
      </c>
      <c r="C4352" s="2" t="s">
        <v>2317</v>
      </c>
      <c r="D4352" s="2" t="s">
        <v>1633</v>
      </c>
      <c r="E4352" s="2">
        <v>200</v>
      </c>
      <c r="F4352" s="2" t="e">
        <f>IF(Table2[[#This Row],[Manual Cat Value]]="",VLOOKUP(Table2[[#This Row],[Description]],'Actuals Lookup'!D:F,3,0),Table2[[#This Row],[Manual Cat Value]])</f>
        <v>#N/A</v>
      </c>
      <c r="J4352" s="2">
        <v>200</v>
      </c>
      <c r="K4352" s="2" t="b">
        <v>0</v>
      </c>
      <c r="L4352" s="2"/>
      <c r="M4352" s="2"/>
      <c r="N4352" s="4" t="s">
        <v>2259</v>
      </c>
      <c r="O4352" s="4" t="str">
        <f>LEFT(Table2[[#This Row],[Description]],75)</f>
        <v>SCHWAB S&amp;P 500 INDEX FD</v>
      </c>
      <c r="P4352" s="2" t="s">
        <v>2276</v>
      </c>
    </row>
    <row r="4353" spans="1:16" hidden="1">
      <c r="A4353" s="2">
        <v>202102</v>
      </c>
      <c r="B4353" s="3">
        <v>44249</v>
      </c>
      <c r="C4353" s="2" t="s">
        <v>2317</v>
      </c>
      <c r="D4353" s="2" t="s">
        <v>1635</v>
      </c>
      <c r="E4353" s="2">
        <v>200</v>
      </c>
      <c r="F4353" s="2" t="e">
        <f>IF(Table2[[#This Row],[Manual Cat Value]]="",VLOOKUP(Table2[[#This Row],[Description]],'Actuals Lookup'!D:F,3,0),Table2[[#This Row],[Manual Cat Value]])</f>
        <v>#N/A</v>
      </c>
      <c r="J4353" s="2">
        <v>200</v>
      </c>
      <c r="K4353" s="2" t="b">
        <v>0</v>
      </c>
      <c r="L4353" s="2"/>
      <c r="M4353" s="2"/>
      <c r="N4353" s="4" t="s">
        <v>2259</v>
      </c>
      <c r="O4353" s="4" t="str">
        <f>LEFT(Table2[[#This Row],[Description]],75)</f>
        <v>SCHWAB TOTAL STOCK MKT INDEX</v>
      </c>
      <c r="P4353" s="2" t="s">
        <v>2278</v>
      </c>
    </row>
    <row r="4354" spans="1:16" hidden="1">
      <c r="A4354" s="2">
        <v>202102</v>
      </c>
      <c r="B4354" s="3">
        <v>44250</v>
      </c>
      <c r="C4354" s="2" t="s">
        <v>2262</v>
      </c>
      <c r="D4354" s="2" t="s">
        <v>1423</v>
      </c>
      <c r="E4354" s="2">
        <v>-368.06</v>
      </c>
      <c r="F4354" s="2" t="e">
        <f>IF(Table2[[#This Row],[Manual Cat Value]]="",VLOOKUP(Table2[[#This Row],[Description]],'Actuals Lookup'!D:F,3,0),Table2[[#This Row],[Manual Cat Value]])</f>
        <v>#N/A</v>
      </c>
      <c r="J4354" s="2">
        <v>368.06</v>
      </c>
      <c r="K4354" s="2" t="b">
        <v>0</v>
      </c>
      <c r="L4354" s="2"/>
      <c r="M4354" s="2"/>
      <c r="N4354" s="4" t="s">
        <v>2273</v>
      </c>
      <c r="O4354" s="4" t="str">
        <f>LEFT(Table2[[#This Row],[Description]],75)</f>
        <v>PAYMENT THANK YOU</v>
      </c>
      <c r="P4354" s="2" t="s">
        <v>2391</v>
      </c>
    </row>
    <row r="4355" spans="1:16" hidden="1">
      <c r="A4355" s="2">
        <v>202102</v>
      </c>
      <c r="B4355" s="3">
        <v>44250</v>
      </c>
      <c r="C4355" s="2" t="s">
        <v>2265</v>
      </c>
      <c r="D4355" s="2" t="s">
        <v>2176</v>
      </c>
      <c r="E4355" s="2">
        <v>368.06</v>
      </c>
      <c r="F4355" s="2" t="e">
        <f>IF(Table2[[#This Row],[Manual Cat Value]]="",VLOOKUP(Table2[[#This Row],[Description]],'Actuals Lookup'!D:F,3,0),Table2[[#This Row],[Manual Cat Value]])</f>
        <v>#N/A</v>
      </c>
      <c r="J4355" s="2">
        <v>368.06</v>
      </c>
      <c r="K4355" s="2" t="b">
        <v>0</v>
      </c>
      <c r="L4355" s="2"/>
      <c r="M4355" s="2"/>
      <c r="N4355" s="4" t="s">
        <v>2259</v>
      </c>
      <c r="O4355" s="4" t="str">
        <f>LEFT(Table2[[#This Row],[Description]],75)</f>
        <v>Withdrawal Home payment to card 979181</v>
      </c>
      <c r="P4355" s="2" t="s">
        <v>2349</v>
      </c>
    </row>
    <row r="4356" spans="1:16" hidden="1">
      <c r="A4356" s="2">
        <v>202102</v>
      </c>
      <c r="B4356" s="3">
        <v>44250</v>
      </c>
      <c r="C4356" s="2" t="s">
        <v>2262</v>
      </c>
      <c r="D4356" s="2" t="s">
        <v>187</v>
      </c>
      <c r="E4356" s="2">
        <v>161.49</v>
      </c>
      <c r="F4356" s="2" t="e">
        <f>IF(Table2[[#This Row],[Manual Cat Value]]="",VLOOKUP(Table2[[#This Row],[Description]],'Actuals Lookup'!D:F,3,0),Table2[[#This Row],[Manual Cat Value]])</f>
        <v>#N/A</v>
      </c>
      <c r="J4356" s="2">
        <v>161.49</v>
      </c>
      <c r="K4356" s="2" t="b">
        <v>0</v>
      </c>
      <c r="L4356" s="2"/>
      <c r="M4356" s="2"/>
      <c r="N4356" s="4" t="s">
        <v>2259</v>
      </c>
      <c r="O4356" s="4" t="str">
        <f>LEFT(Table2[[#This Row],[Description]],75)</f>
        <v>AVOADVOCARE INTL 8005424800 TX</v>
      </c>
      <c r="P4356" s="2" t="s">
        <v>2428</v>
      </c>
    </row>
    <row r="4357" spans="1:16" hidden="1">
      <c r="A4357" s="2">
        <v>202102</v>
      </c>
      <c r="B4357" s="3">
        <v>44250</v>
      </c>
      <c r="C4357" s="2" t="s">
        <v>2258</v>
      </c>
      <c r="D4357" s="2" t="s">
        <v>684</v>
      </c>
      <c r="E4357" s="2">
        <v>87.03</v>
      </c>
      <c r="F4357" s="2" t="str">
        <f>IF(Table2[[#This Row],[Manual Cat Value]]="",VLOOKUP(Table2[[#This Row],[Description]],'Actuals Lookup'!D:F,3,0),Table2[[#This Row],[Manual Cat Value]])</f>
        <v>Groceries</v>
      </c>
      <c r="J4357" s="2">
        <v>87.03</v>
      </c>
      <c r="K4357" s="2" t="b">
        <v>0</v>
      </c>
      <c r="L4357" s="2"/>
      <c r="M4357" s="2"/>
      <c r="N4357" s="4" t="s">
        <v>2259</v>
      </c>
      <c r="O4357" s="4" t="str">
        <f>LEFT(Table2[[#This Row],[Description]],75)</f>
        <v>Cub Foods</v>
      </c>
      <c r="P4357" s="2" t="s">
        <v>2370</v>
      </c>
    </row>
    <row r="4358" spans="1:16" hidden="1">
      <c r="A4358" s="2">
        <v>202102</v>
      </c>
      <c r="B4358" s="3">
        <v>44250</v>
      </c>
      <c r="C4358" s="2" t="s">
        <v>2447</v>
      </c>
      <c r="D4358" s="2" t="s">
        <v>684</v>
      </c>
      <c r="E4358" s="2">
        <v>87.03</v>
      </c>
      <c r="F4358" s="2" t="str">
        <f>IF(Table2[[#This Row],[Manual Cat Value]]="",VLOOKUP(Table2[[#This Row],[Description]],'Actuals Lookup'!D:F,3,0),Table2[[#This Row],[Manual Cat Value]])</f>
        <v>Groceries</v>
      </c>
      <c r="J4358" s="2">
        <v>87.03</v>
      </c>
      <c r="K4358" s="2" t="b">
        <v>0</v>
      </c>
      <c r="L4358" s="2"/>
      <c r="M4358" s="2"/>
      <c r="N4358" s="4" t="s">
        <v>2259</v>
      </c>
      <c r="O4358" s="4" t="str">
        <f>LEFT(Table2[[#This Row],[Description]],75)</f>
        <v>Cub Foods</v>
      </c>
      <c r="P4358" s="2" t="s">
        <v>2370</v>
      </c>
    </row>
    <row r="4359" spans="1:16" hidden="1">
      <c r="A4359" s="2">
        <v>202102</v>
      </c>
      <c r="B4359" s="3">
        <v>44250</v>
      </c>
      <c r="C4359" s="2" t="s">
        <v>2262</v>
      </c>
      <c r="D4359" s="2" t="s">
        <v>821</v>
      </c>
      <c r="E4359" s="2">
        <v>39.979999999999997</v>
      </c>
      <c r="F4359" s="2" t="e">
        <f>IF(Table2[[#This Row],[Manual Cat Value]]="",VLOOKUP(Table2[[#This Row],[Description]],'Actuals Lookup'!D:F,3,0),Table2[[#This Row],[Manual Cat Value]])</f>
        <v>#N/A</v>
      </c>
      <c r="J4359" s="2">
        <v>39.979999999999997</v>
      </c>
      <c r="K4359" s="2" t="b">
        <v>0</v>
      </c>
      <c r="L4359" s="2"/>
      <c r="M4359" s="2"/>
      <c r="N4359" s="4" t="s">
        <v>2259</v>
      </c>
      <c r="O4359" s="4" t="str">
        <f>LEFT(Table2[[#This Row],[Description]],75)</f>
        <v>Erik's Bike Shop, Inc.</v>
      </c>
      <c r="P4359" s="2" t="s">
        <v>2281</v>
      </c>
    </row>
    <row r="4360" spans="1:16" hidden="1">
      <c r="A4360" s="2">
        <v>202102</v>
      </c>
      <c r="B4360" s="3">
        <v>44250</v>
      </c>
      <c r="C4360" s="2" t="s">
        <v>2262</v>
      </c>
      <c r="D4360" s="2" t="s">
        <v>821</v>
      </c>
      <c r="E4360" s="2">
        <v>139.72</v>
      </c>
      <c r="F4360" s="2" t="e">
        <f>IF(Table2[[#This Row],[Manual Cat Value]]="",VLOOKUP(Table2[[#This Row],[Description]],'Actuals Lookup'!D:F,3,0),Table2[[#This Row],[Manual Cat Value]])</f>
        <v>#N/A</v>
      </c>
      <c r="J4360" s="2">
        <v>139.72</v>
      </c>
      <c r="K4360" s="2" t="b">
        <v>0</v>
      </c>
      <c r="L4360" s="2"/>
      <c r="M4360" s="2"/>
      <c r="N4360" s="4" t="s">
        <v>2259</v>
      </c>
      <c r="O4360" s="4" t="str">
        <f>LEFT(Table2[[#This Row],[Description]],75)</f>
        <v>Erik's Bike Shop, Inc.</v>
      </c>
      <c r="P4360" s="2" t="s">
        <v>2281</v>
      </c>
    </row>
    <row r="4361" spans="1:16" hidden="1">
      <c r="A4361" s="2">
        <v>202102</v>
      </c>
      <c r="B4361" s="3">
        <v>44250</v>
      </c>
      <c r="C4361" s="2" t="s">
        <v>2265</v>
      </c>
      <c r="D4361" s="2" t="s">
        <v>1227</v>
      </c>
      <c r="E4361" s="2">
        <v>425</v>
      </c>
      <c r="F4361" s="2" t="e">
        <f>IF(Table2[[#This Row],[Manual Cat Value]]="",VLOOKUP(Table2[[#This Row],[Description]],'Actuals Lookup'!D:F,3,0),Table2[[#This Row],[Manual Cat Value]])</f>
        <v>#N/A</v>
      </c>
      <c r="J4361" s="2">
        <v>425</v>
      </c>
      <c r="K4361" s="2" t="b">
        <v>0</v>
      </c>
      <c r="L4361" s="2"/>
      <c r="M4361" s="2"/>
      <c r="N4361" s="4" t="s">
        <v>2259</v>
      </c>
      <c r="O4361" s="4" t="str">
        <f>LEFT(Table2[[#This Row],[Description]],75)</f>
        <v>MHCHILDCARELLC TYPE DUES ID CO MHCHILDCARELLC ACH ECC PPD ACH Trace 61699</v>
      </c>
      <c r="P4361" s="2" t="s">
        <v>2497</v>
      </c>
    </row>
    <row r="4362" spans="1:16" hidden="1">
      <c r="A4362" s="2">
        <v>202102</v>
      </c>
      <c r="B4362" s="3">
        <v>44251</v>
      </c>
      <c r="C4362" s="2" t="s">
        <v>2262</v>
      </c>
      <c r="D4362" s="2" t="s">
        <v>1932</v>
      </c>
      <c r="E4362" s="2">
        <v>14.25</v>
      </c>
      <c r="F4362" s="2" t="e">
        <f>IF(Table2[[#This Row],[Manual Cat Value]]="",VLOOKUP(Table2[[#This Row],[Description]],'Actuals Lookup'!D:F,3,0),Table2[[#This Row],[Manual Cat Value]])</f>
        <v>#N/A</v>
      </c>
      <c r="J4362" s="2">
        <v>14.25</v>
      </c>
      <c r="K4362" s="2" t="b">
        <v>0</v>
      </c>
      <c r="L4362" s="2"/>
      <c r="M4362" s="2"/>
      <c r="N4362" s="4" t="s">
        <v>2259</v>
      </c>
      <c r="O4362" s="4" t="str">
        <f>LEFT(Table2[[#This Row],[Description]],75)</f>
        <v>Trails Ta Travel</v>
      </c>
      <c r="P4362" s="2" t="s">
        <v>2281</v>
      </c>
    </row>
    <row r="4363" spans="1:16" hidden="1">
      <c r="A4363" s="2">
        <v>202102</v>
      </c>
      <c r="B4363" s="3">
        <v>44251</v>
      </c>
      <c r="C4363" s="2" t="s">
        <v>2262</v>
      </c>
      <c r="D4363" s="2" t="s">
        <v>1932</v>
      </c>
      <c r="E4363" s="2">
        <v>26.65</v>
      </c>
      <c r="F4363" s="2" t="e">
        <f>IF(Table2[[#This Row],[Manual Cat Value]]="",VLOOKUP(Table2[[#This Row],[Description]],'Actuals Lookup'!D:F,3,0),Table2[[#This Row],[Manual Cat Value]])</f>
        <v>#N/A</v>
      </c>
      <c r="J4363" s="2">
        <v>26.65</v>
      </c>
      <c r="K4363" s="2" t="b">
        <v>0</v>
      </c>
      <c r="L4363" s="2"/>
      <c r="M4363" s="2"/>
      <c r="N4363" s="4" t="s">
        <v>2259</v>
      </c>
      <c r="O4363" s="4" t="str">
        <f>LEFT(Table2[[#This Row],[Description]],75)</f>
        <v>Trails Ta Travel</v>
      </c>
      <c r="P4363" s="2" t="s">
        <v>2281</v>
      </c>
    </row>
    <row r="4364" spans="1:16" hidden="1">
      <c r="A4364" s="2">
        <v>202102</v>
      </c>
      <c r="B4364" s="3">
        <v>44252</v>
      </c>
      <c r="C4364" s="2" t="s">
        <v>2262</v>
      </c>
      <c r="D4364" s="2" t="s">
        <v>311</v>
      </c>
      <c r="E4364" s="2">
        <v>855</v>
      </c>
      <c r="F4364" s="2" t="e">
        <f>IF(Table2[[#This Row],[Manual Cat Value]]="",VLOOKUP(Table2[[#This Row],[Description]],'Actuals Lookup'!D:F,3,0),Table2[[#This Row],[Manual Cat Value]])</f>
        <v>#N/A</v>
      </c>
      <c r="J4364" s="2">
        <v>-855</v>
      </c>
      <c r="K4364" s="2" t="b">
        <v>0</v>
      </c>
      <c r="L4364" s="2"/>
      <c r="M4364" s="2"/>
      <c r="N4364" s="4" t="s">
        <v>2273</v>
      </c>
      <c r="O4364" s="4" t="str">
        <f>LEFT(Table2[[#This Row],[Description]],75)</f>
        <v>Bonfes South Saint</v>
      </c>
      <c r="P4364" s="2" t="s">
        <v>2537</v>
      </c>
    </row>
    <row r="4365" spans="1:16" hidden="1">
      <c r="A4365" s="2">
        <v>202102</v>
      </c>
      <c r="B4365" s="3">
        <v>44252</v>
      </c>
      <c r="C4365" s="2" t="s">
        <v>2262</v>
      </c>
      <c r="D4365" s="2" t="s">
        <v>557</v>
      </c>
      <c r="E4365" s="2">
        <v>52</v>
      </c>
      <c r="F4365" s="2" t="e">
        <f>IF(Table2[[#This Row],[Manual Cat Value]]="",VLOOKUP(Table2[[#This Row],[Description]],'Actuals Lookup'!D:F,3,0),Table2[[#This Row],[Manual Cat Value]])</f>
        <v>#N/A</v>
      </c>
      <c r="J4365" s="2">
        <v>52</v>
      </c>
      <c r="K4365" s="2" t="b">
        <v>0</v>
      </c>
      <c r="L4365" s="2"/>
      <c r="M4365" s="2"/>
      <c r="N4365" s="4" t="s">
        <v>2259</v>
      </c>
      <c r="O4365" s="4" t="str">
        <f>LEFT(Table2[[#This Row],[Description]],75)</f>
        <v>City of Chanhassen</v>
      </c>
      <c r="P4365" s="2" t="s">
        <v>2298</v>
      </c>
    </row>
    <row r="4366" spans="1:16" hidden="1">
      <c r="A4366" s="2">
        <v>202102</v>
      </c>
      <c r="B4366" s="3">
        <v>44252</v>
      </c>
      <c r="C4366" s="2" t="s">
        <v>2265</v>
      </c>
      <c r="D4366" s="2" t="s">
        <v>630</v>
      </c>
      <c r="E4366" s="2">
        <v>-2326.16</v>
      </c>
      <c r="F4366" s="2" t="e">
        <f>IF(Table2[[#This Row],[Manual Cat Value]]="",VLOOKUP(Table2[[#This Row],[Description]],'Actuals Lookup'!D:F,3,0),Table2[[#This Row],[Manual Cat Value]])</f>
        <v>#N/A</v>
      </c>
      <c r="J4366" s="2">
        <v>2326.16</v>
      </c>
      <c r="K4366" s="2" t="b">
        <v>0</v>
      </c>
      <c r="L4366" s="2"/>
      <c r="M4366" s="2"/>
      <c r="N4366" s="4" t="s">
        <v>2273</v>
      </c>
      <c r="O4366" s="4" t="str">
        <f>LEFT(Table2[[#This Row],[Description]],75)</f>
        <v>CONNECTED ANALYT TYPE DIRECT DEP ID CO CONNECTED ANALYT ACH ECC PPD ACH Tra</v>
      </c>
      <c r="P4366" s="2" t="s">
        <v>2536</v>
      </c>
    </row>
    <row r="4367" spans="1:16" hidden="1">
      <c r="A4367" s="2">
        <v>202102</v>
      </c>
      <c r="B4367" s="3">
        <v>44252</v>
      </c>
      <c r="C4367" s="2" t="s">
        <v>2265</v>
      </c>
      <c r="D4367" s="2" t="s">
        <v>664</v>
      </c>
      <c r="E4367" s="2">
        <v>125.13</v>
      </c>
      <c r="F4367" s="2" t="e">
        <f>IF(Table2[[#This Row],[Manual Cat Value]]="",VLOOKUP(Table2[[#This Row],[Description]],'Actuals Lookup'!D:F,3,0),Table2[[#This Row],[Manual Cat Value]])</f>
        <v>#N/A</v>
      </c>
      <c r="J4367" s="2">
        <v>125.13</v>
      </c>
      <c r="K4367" s="2" t="b">
        <v>0</v>
      </c>
      <c r="L4367" s="2"/>
      <c r="M4367" s="2"/>
      <c r="N4367" s="4" t="s">
        <v>2259</v>
      </c>
      <c r="O4367" s="4" t="str">
        <f>LEFT(Table2[[#This Row],[Description]],75)</f>
        <v xml:space="preserve">CPENERGY MNGCO TYPE MGC ACH EB ID 176051140S CO CPENERGY MNGCO ACH ECC WEB </v>
      </c>
      <c r="P4367" s="2" t="s">
        <v>2399</v>
      </c>
    </row>
    <row r="4368" spans="1:16" hidden="1">
      <c r="A4368" s="2">
        <v>202102</v>
      </c>
      <c r="B4368" s="3">
        <v>44252</v>
      </c>
      <c r="C4368" s="2" t="s">
        <v>2262</v>
      </c>
      <c r="D4368" s="2" t="s">
        <v>944</v>
      </c>
      <c r="E4368" s="2">
        <v>32.82</v>
      </c>
      <c r="F4368" s="2" t="e">
        <f>IF(Table2[[#This Row],[Manual Cat Value]]="",VLOOKUP(Table2[[#This Row],[Description]],'Actuals Lookup'!D:F,3,0),Table2[[#This Row],[Manual Cat Value]])</f>
        <v>#N/A</v>
      </c>
      <c r="J4368" s="2">
        <v>32.82</v>
      </c>
      <c r="K4368" s="2" t="b">
        <v>0</v>
      </c>
      <c r="L4368" s="2"/>
      <c r="M4368" s="2"/>
      <c r="N4368" s="4" t="s">
        <v>2259</v>
      </c>
      <c r="O4368" s="4" t="str">
        <f>LEFT(Table2[[#This Row],[Description]],75)</f>
        <v>Holiday Stationstore</v>
      </c>
      <c r="P4368" s="2" t="s">
        <v>2374</v>
      </c>
    </row>
    <row r="4369" spans="1:16" hidden="1">
      <c r="A4369" s="2">
        <v>202102</v>
      </c>
      <c r="B4369" s="3">
        <v>44252</v>
      </c>
      <c r="C4369" s="2" t="s">
        <v>2262</v>
      </c>
      <c r="D4369" s="2" t="s">
        <v>947</v>
      </c>
      <c r="E4369" s="2">
        <v>33.869999999999997</v>
      </c>
      <c r="F4369" s="2" t="e">
        <f>IF(Table2[[#This Row],[Manual Cat Value]]="",VLOOKUP(Table2[[#This Row],[Description]],'Actuals Lookup'!D:F,3,0),Table2[[#This Row],[Manual Cat Value]])</f>
        <v>#N/A</v>
      </c>
      <c r="J4369" s="2">
        <v>33.869999999999997</v>
      </c>
      <c r="K4369" s="2" t="b">
        <v>0</v>
      </c>
      <c r="L4369" s="2"/>
      <c r="M4369" s="2"/>
      <c r="N4369" s="4" t="s">
        <v>2259</v>
      </c>
      <c r="O4369" s="4" t="str">
        <f>LEFT(Table2[[#This Row],[Description]],75)</f>
        <v>Home Depot</v>
      </c>
      <c r="P4369" s="2" t="s">
        <v>2396</v>
      </c>
    </row>
    <row r="4370" spans="1:16" hidden="1">
      <c r="A4370" s="2">
        <v>202102</v>
      </c>
      <c r="B4370" s="3">
        <v>44252</v>
      </c>
      <c r="C4370" s="2" t="s">
        <v>2262</v>
      </c>
      <c r="D4370" s="2" t="s">
        <v>1487</v>
      </c>
      <c r="E4370" s="2">
        <v>22.14</v>
      </c>
      <c r="F4370" s="2" t="e">
        <f>IF(Table2[[#This Row],[Manual Cat Value]]="",VLOOKUP(Table2[[#This Row],[Description]],'Actuals Lookup'!D:F,3,0),Table2[[#This Row],[Manual Cat Value]])</f>
        <v>#N/A</v>
      </c>
      <c r="J4370" s="2">
        <v>22.14</v>
      </c>
      <c r="K4370" s="2" t="b">
        <v>0</v>
      </c>
      <c r="L4370" s="2"/>
      <c r="M4370" s="2"/>
      <c r="N4370" s="4" t="s">
        <v>2259</v>
      </c>
      <c r="O4370" s="4" t="str">
        <f>LEFT(Table2[[#This Row],[Description]],75)</f>
        <v>Phillips 66</v>
      </c>
      <c r="P4370" s="2" t="s">
        <v>2281</v>
      </c>
    </row>
    <row r="4371" spans="1:16" hidden="1">
      <c r="A4371" s="2">
        <v>202102</v>
      </c>
      <c r="B4371" s="3">
        <v>44252</v>
      </c>
      <c r="C4371" s="2" t="s">
        <v>2258</v>
      </c>
      <c r="D4371" s="2" t="s">
        <v>1931</v>
      </c>
      <c r="E4371" s="2">
        <v>114.85</v>
      </c>
      <c r="F4371" s="2" t="str">
        <f>IF(Table2[[#This Row],[Manual Cat Value]]="",VLOOKUP(Table2[[#This Row],[Description]],'Actuals Lookup'!D:F,3,0),Table2[[#This Row],[Manual Cat Value]])</f>
        <v>Groceries</v>
      </c>
      <c r="J4371" s="2">
        <v>114.85</v>
      </c>
      <c r="K4371" s="2" t="b">
        <v>0</v>
      </c>
      <c r="L4371" s="2"/>
      <c r="M4371" s="2"/>
      <c r="N4371" s="4" t="s">
        <v>2259</v>
      </c>
      <c r="O4371" s="4" t="str">
        <f>LEFT(Table2[[#This Row],[Description]],75)</f>
        <v>Trader Joe's</v>
      </c>
      <c r="P4371" s="2" t="s">
        <v>2419</v>
      </c>
    </row>
    <row r="4372" spans="1:16" hidden="1">
      <c r="A4372" s="2">
        <v>202102</v>
      </c>
      <c r="B4372" s="3">
        <v>44252</v>
      </c>
      <c r="C4372" s="2" t="s">
        <v>2447</v>
      </c>
      <c r="D4372" s="2" t="s">
        <v>1931</v>
      </c>
      <c r="E4372" s="2">
        <v>114.85</v>
      </c>
      <c r="F4372" s="2" t="str">
        <f>IF(Table2[[#This Row],[Manual Cat Value]]="",VLOOKUP(Table2[[#This Row],[Description]],'Actuals Lookup'!D:F,3,0),Table2[[#This Row],[Manual Cat Value]])</f>
        <v>Groceries</v>
      </c>
      <c r="J4372" s="2">
        <v>114.85</v>
      </c>
      <c r="K4372" s="2" t="b">
        <v>0</v>
      </c>
      <c r="L4372" s="2"/>
      <c r="M4372" s="2"/>
      <c r="N4372" s="4" t="s">
        <v>2259</v>
      </c>
      <c r="O4372" s="4" t="str">
        <f>LEFT(Table2[[#This Row],[Description]],75)</f>
        <v>Trader Joe's</v>
      </c>
      <c r="P4372" s="2" t="s">
        <v>2419</v>
      </c>
    </row>
    <row r="4373" spans="1:16" hidden="1">
      <c r="A4373" s="2">
        <v>202102</v>
      </c>
      <c r="B4373" s="3">
        <v>44252</v>
      </c>
      <c r="C4373" s="2" t="s">
        <v>2262</v>
      </c>
      <c r="D4373" s="2" t="s">
        <v>2004</v>
      </c>
      <c r="E4373" s="2">
        <v>42.02</v>
      </c>
      <c r="F4373" s="2" t="e">
        <f>IF(Table2[[#This Row],[Manual Cat Value]]="",VLOOKUP(Table2[[#This Row],[Description]],'Actuals Lookup'!D:F,3,0),Table2[[#This Row],[Manual Cat Value]])</f>
        <v>#N/A</v>
      </c>
      <c r="J4373" s="2">
        <v>42.02</v>
      </c>
      <c r="K4373" s="2" t="b">
        <v>0</v>
      </c>
      <c r="L4373" s="2"/>
      <c r="M4373" s="2"/>
      <c r="N4373" s="4" t="s">
        <v>2259</v>
      </c>
      <c r="O4373" s="4" t="str">
        <f>LEFT(Table2[[#This Row],[Description]],75)</f>
        <v>TST 515 BAR GRILL WDM IA</v>
      </c>
      <c r="P4373" s="2" t="s">
        <v>2281</v>
      </c>
    </row>
    <row r="4374" spans="1:16" hidden="1">
      <c r="A4374" s="2">
        <v>202102</v>
      </c>
      <c r="B4374" s="3">
        <v>44253</v>
      </c>
      <c r="C4374" s="2" t="s">
        <v>2317</v>
      </c>
      <c r="D4374" s="2" t="s">
        <v>605</v>
      </c>
      <c r="E4374" s="2">
        <v>-250</v>
      </c>
      <c r="F4374" s="2" t="e">
        <f>IF(Table2[[#This Row],[Manual Cat Value]]="",VLOOKUP(Table2[[#This Row],[Description]],'Actuals Lookup'!D:F,3,0),Table2[[#This Row],[Manual Cat Value]])</f>
        <v>#N/A</v>
      </c>
      <c r="J4374" s="2">
        <v>250</v>
      </c>
      <c r="K4374" s="2" t="b">
        <v>0</v>
      </c>
      <c r="L4374" s="2"/>
      <c r="M4374" s="2"/>
      <c r="N4374" s="4" t="s">
        <v>2273</v>
      </c>
      <c r="O4374" s="4" t="str">
        <f>LEFT(Table2[[#This Row],[Description]],75)</f>
        <v>CONNECTED ANALYT</v>
      </c>
      <c r="P4374" s="2" t="s">
        <v>2493</v>
      </c>
    </row>
    <row r="4375" spans="1:16" hidden="1">
      <c r="A4375" s="2">
        <v>202102</v>
      </c>
      <c r="B4375" s="3">
        <v>44253</v>
      </c>
      <c r="C4375" s="2" t="s">
        <v>2262</v>
      </c>
      <c r="D4375" s="2" t="s">
        <v>731</v>
      </c>
      <c r="E4375" s="2">
        <v>53.75</v>
      </c>
      <c r="F4375" s="2" t="e">
        <f>IF(Table2[[#This Row],[Manual Cat Value]]="",VLOOKUP(Table2[[#This Row],[Description]],'Actuals Lookup'!D:F,3,0),Table2[[#This Row],[Manual Cat Value]])</f>
        <v>#N/A</v>
      </c>
      <c r="J4375" s="2">
        <v>53.75</v>
      </c>
      <c r="K4375" s="2" t="b">
        <v>0</v>
      </c>
      <c r="L4375" s="2"/>
      <c r="M4375" s="2"/>
      <c r="N4375" s="4" t="s">
        <v>2259</v>
      </c>
      <c r="O4375" s="4" t="str">
        <f>LEFT(Table2[[#This Row],[Description]],75)</f>
        <v>DICKS CLOTHINGSPORTING RICHFIELD MN</v>
      </c>
      <c r="P4375" s="2" t="s">
        <v>2281</v>
      </c>
    </row>
    <row r="4376" spans="1:16" hidden="1">
      <c r="A4376" s="2">
        <v>202102</v>
      </c>
      <c r="B4376" s="3">
        <v>44253</v>
      </c>
      <c r="C4376" s="2" t="s">
        <v>2274</v>
      </c>
      <c r="D4376" s="2" t="s">
        <v>994</v>
      </c>
      <c r="E4376" s="2">
        <v>-0.02</v>
      </c>
      <c r="F4376" s="2" t="e">
        <f>IF(Table2[[#This Row],[Manual Cat Value]]="",VLOOKUP(Table2[[#This Row],[Description]],'Actuals Lookup'!D:F,3,0),Table2[[#This Row],[Manual Cat Value]])</f>
        <v>#N/A</v>
      </c>
      <c r="J4376" s="2">
        <v>0.02</v>
      </c>
      <c r="K4376" s="2" t="b">
        <v>0</v>
      </c>
      <c r="L4376" s="2"/>
      <c r="M4376" s="2"/>
      <c r="N4376" s="4" t="s">
        <v>2273</v>
      </c>
      <c r="O4376" s="4" t="str">
        <f>LEFT(Table2[[#This Row],[Description]],75)</f>
        <v>Interest Paid</v>
      </c>
      <c r="P4376" s="2" t="s">
        <v>2312</v>
      </c>
    </row>
    <row r="4377" spans="1:16" hidden="1">
      <c r="A4377" s="2">
        <v>202102</v>
      </c>
      <c r="B4377" s="3">
        <v>44253</v>
      </c>
      <c r="C4377" s="2" t="s">
        <v>2258</v>
      </c>
      <c r="D4377" s="2" t="s">
        <v>1350</v>
      </c>
      <c r="E4377" s="2">
        <v>8.99</v>
      </c>
      <c r="F4377" s="2" t="str">
        <f>IF(Table2[[#This Row],[Manual Cat Value]]="",VLOOKUP(Table2[[#This Row],[Description]],'Actuals Lookup'!D:F,3,0),Table2[[#This Row],[Manual Cat Value]])</f>
        <v>Utilities</v>
      </c>
      <c r="J4377" s="2">
        <v>8.99</v>
      </c>
      <c r="K4377" s="2" t="b">
        <v>0</v>
      </c>
      <c r="L4377" s="2"/>
      <c r="M4377" s="2"/>
      <c r="N4377" s="4" t="s">
        <v>2259</v>
      </c>
      <c r="O4377" s="4" t="str">
        <f>LEFT(Table2[[#This Row],[Description]],75)</f>
        <v>Netflix</v>
      </c>
      <c r="P4377" s="2" t="s">
        <v>2306</v>
      </c>
    </row>
    <row r="4378" spans="1:16" hidden="1">
      <c r="A4378" s="2">
        <v>202102</v>
      </c>
      <c r="B4378" s="3">
        <v>44253</v>
      </c>
      <c r="C4378" s="2" t="s">
        <v>2447</v>
      </c>
      <c r="D4378" s="2" t="s">
        <v>1350</v>
      </c>
      <c r="E4378" s="2">
        <v>8.99</v>
      </c>
      <c r="F4378" s="2" t="str">
        <f>IF(Table2[[#This Row],[Manual Cat Value]]="",VLOOKUP(Table2[[#This Row],[Description]],'Actuals Lookup'!D:F,3,0),Table2[[#This Row],[Manual Cat Value]])</f>
        <v>Utilities</v>
      </c>
      <c r="J4378" s="2">
        <v>8.99</v>
      </c>
      <c r="K4378" s="2" t="b">
        <v>0</v>
      </c>
      <c r="L4378" s="2"/>
      <c r="M4378" s="2"/>
      <c r="N4378" s="4" t="s">
        <v>2259</v>
      </c>
      <c r="O4378" s="4" t="str">
        <f>LEFT(Table2[[#This Row],[Description]],75)</f>
        <v>Netflix</v>
      </c>
      <c r="P4378" s="2" t="s">
        <v>2306</v>
      </c>
    </row>
    <row r="4379" spans="1:16" hidden="1">
      <c r="A4379" s="2">
        <v>202102</v>
      </c>
      <c r="B4379" s="3">
        <v>44253</v>
      </c>
      <c r="C4379" s="2" t="s">
        <v>2265</v>
      </c>
      <c r="D4379" s="2" t="s">
        <v>1471</v>
      </c>
      <c r="E4379" s="2">
        <v>22.99</v>
      </c>
      <c r="F4379" s="2" t="str">
        <f>IF(Table2[[#This Row],[Manual Cat Value]]="",VLOOKUP(Table2[[#This Row],[Description]],'Actuals Lookup'!D:F,3,0),Table2[[#This Row],[Manual Cat Value]])</f>
        <v>Shopping</v>
      </c>
      <c r="J4379" s="2">
        <v>22.99</v>
      </c>
      <c r="K4379" s="2" t="b">
        <v>0</v>
      </c>
      <c r="L4379" s="2"/>
      <c r="M4379" s="2"/>
      <c r="N4379" s="4" t="s">
        <v>2259</v>
      </c>
      <c r="O4379" s="4" t="str">
        <f>LEFT(Table2[[#This Row],[Description]],75)</f>
        <v>PayPal</v>
      </c>
      <c r="P4379" s="2" t="s">
        <v>2322</v>
      </c>
    </row>
    <row r="4380" spans="1:16" hidden="1">
      <c r="A4380" s="2">
        <v>202102</v>
      </c>
      <c r="B4380" s="3">
        <v>44253</v>
      </c>
      <c r="C4380" s="2" t="s">
        <v>2262</v>
      </c>
      <c r="D4380" s="2" t="s">
        <v>1596</v>
      </c>
      <c r="E4380" s="2">
        <v>36.1</v>
      </c>
      <c r="F4380" s="2" t="e">
        <f>IF(Table2[[#This Row],[Manual Cat Value]]="",VLOOKUP(Table2[[#This Row],[Description]],'Actuals Lookup'!D:F,3,0),Table2[[#This Row],[Manual Cat Value]])</f>
        <v>#N/A</v>
      </c>
      <c r="J4380" s="2">
        <v>36.1</v>
      </c>
      <c r="K4380" s="2" t="b">
        <v>0</v>
      </c>
      <c r="L4380" s="2"/>
      <c r="M4380" s="2"/>
      <c r="N4380" s="4" t="s">
        <v>2259</v>
      </c>
      <c r="O4380" s="4" t="str">
        <f>LEFT(Table2[[#This Row],[Description]],75)</f>
        <v>RIMANN LIQUORS OF PV LLC PRAIRIE VILLAKS</v>
      </c>
      <c r="P4380" s="2" t="s">
        <v>2281</v>
      </c>
    </row>
    <row r="4381" spans="1:16" hidden="1">
      <c r="A4381" s="2">
        <v>202102</v>
      </c>
      <c r="B4381" s="3">
        <v>44253</v>
      </c>
      <c r="C4381" s="2" t="s">
        <v>2262</v>
      </c>
      <c r="D4381" s="2" t="s">
        <v>1664</v>
      </c>
      <c r="E4381" s="2">
        <v>35.700000000000003</v>
      </c>
      <c r="F4381" s="2" t="str">
        <f>IF(Table2[[#This Row],[Manual Cat Value]]="",VLOOKUP(Table2[[#This Row],[Description]],'Actuals Lookup'!D:F,3,0),Table2[[#This Row],[Manual Cat Value]])</f>
        <v>Gifts</v>
      </c>
      <c r="J4381" s="2">
        <v>35.700000000000003</v>
      </c>
      <c r="K4381" s="2" t="b">
        <v>0</v>
      </c>
      <c r="L4381" s="2"/>
      <c r="M4381" s="2"/>
      <c r="N4381" s="4" t="s">
        <v>2259</v>
      </c>
      <c r="O4381" s="4" t="str">
        <f>LEFT(Table2[[#This Row],[Description]],75)</f>
        <v>Shutterfly</v>
      </c>
      <c r="P4381" s="2" t="s">
        <v>2281</v>
      </c>
    </row>
    <row r="4382" spans="1:16" hidden="1">
      <c r="A4382" s="2">
        <v>202102</v>
      </c>
      <c r="B4382" s="3">
        <v>44253</v>
      </c>
      <c r="C4382" s="2" t="s">
        <v>2262</v>
      </c>
      <c r="D4382" s="2" t="s">
        <v>1773</v>
      </c>
      <c r="E4382" s="2">
        <v>4.67</v>
      </c>
      <c r="F4382" s="2" t="str">
        <f>IF(Table2[[#This Row],[Manual Cat Value]]="",VLOOKUP(Table2[[#This Row],[Description]],'Actuals Lookup'!D:F,3,0),Table2[[#This Row],[Manual Cat Value]])</f>
        <v>Restaurants</v>
      </c>
      <c r="J4382" s="2">
        <v>4.67</v>
      </c>
      <c r="K4382" s="2" t="b">
        <v>0</v>
      </c>
      <c r="L4382" s="2"/>
      <c r="M4382" s="2"/>
      <c r="N4382" s="4" t="s">
        <v>2259</v>
      </c>
      <c r="O4382" s="4" t="str">
        <f>LEFT(Table2[[#This Row],[Description]],75)</f>
        <v>Starbucks</v>
      </c>
      <c r="P4382" s="2" t="s">
        <v>2454</v>
      </c>
    </row>
    <row r="4383" spans="1:16" hidden="1">
      <c r="A4383" s="2">
        <v>202102</v>
      </c>
      <c r="B4383" s="3">
        <v>44253</v>
      </c>
      <c r="C4383" s="2" t="s">
        <v>2265</v>
      </c>
      <c r="D4383" s="2" t="s">
        <v>31</v>
      </c>
      <c r="E4383" s="2">
        <v>384.62</v>
      </c>
      <c r="F4383" s="2" t="str">
        <f>IF(Table2[[#This Row],[Manual Cat Value]]="",VLOOKUP(Table2[[#This Row],[Description]],'Actuals Lookup'!D:F,3,0),Table2[[#This Row],[Manual Cat Value]])</f>
        <v>Target</v>
      </c>
      <c r="J4383" s="2">
        <v>384.62</v>
      </c>
      <c r="K4383" s="2" t="b">
        <v>0</v>
      </c>
      <c r="L4383" s="2"/>
      <c r="M4383" s="2"/>
      <c r="N4383" s="4" t="s">
        <v>2259</v>
      </c>
      <c r="O4383" s="4" t="str">
        <f>LEFT(Table2[[#This Row],[Description]],75)</f>
        <v>Target</v>
      </c>
      <c r="P4383" s="2" t="s">
        <v>2309</v>
      </c>
    </row>
    <row r="4384" spans="1:16" hidden="1">
      <c r="A4384" s="2">
        <v>202102</v>
      </c>
      <c r="B4384" s="3">
        <v>44253</v>
      </c>
      <c r="C4384" s="2" t="s">
        <v>2435</v>
      </c>
      <c r="D4384" s="2" t="s">
        <v>1836</v>
      </c>
      <c r="E4384" s="2">
        <v>-250</v>
      </c>
      <c r="F4384" s="2" t="e">
        <f>IF(Table2[[#This Row],[Manual Cat Value]]="",VLOOKUP(Table2[[#This Row],[Description]],'Actuals Lookup'!D:F,3,0),Table2[[#This Row],[Manual Cat Value]])</f>
        <v>#N/A</v>
      </c>
      <c r="J4384" s="2">
        <v>250</v>
      </c>
      <c r="K4384" s="2" t="b">
        <v>0</v>
      </c>
      <c r="L4384" s="2"/>
      <c r="M4384" s="2"/>
      <c r="N4384" s="4" t="s">
        <v>2273</v>
      </c>
      <c r="O4384" s="4" t="str">
        <f>LEFT(Table2[[#This Row],[Description]],75)</f>
        <v>Tfr JPMORGAN CHASE BAN, CONNECTED ANALYT</v>
      </c>
      <c r="P4384" s="2" t="s">
        <v>2493</v>
      </c>
    </row>
    <row r="4385" spans="1:16" hidden="1">
      <c r="A4385" s="2">
        <v>202102</v>
      </c>
      <c r="B4385" s="3">
        <v>44254</v>
      </c>
      <c r="C4385" s="2" t="s">
        <v>2258</v>
      </c>
      <c r="D4385" s="2" t="s">
        <v>456</v>
      </c>
      <c r="E4385" s="2">
        <v>10.89</v>
      </c>
      <c r="F4385" s="2" t="e">
        <f>IF(Table2[[#This Row],[Manual Cat Value]]="",VLOOKUP(Table2[[#This Row],[Description]],'Actuals Lookup'!D:F,3,0),Table2[[#This Row],[Manual Cat Value]])</f>
        <v>#N/A</v>
      </c>
      <c r="J4385" s="2">
        <v>10.89</v>
      </c>
      <c r="K4385" s="2" t="b">
        <v>0</v>
      </c>
      <c r="L4385" s="2"/>
      <c r="M4385" s="2"/>
      <c r="N4385" s="4" t="s">
        <v>2259</v>
      </c>
      <c r="O4385" s="4" t="str">
        <f>LEFT(Table2[[#This Row],[Description]],75)</f>
        <v>Casey's</v>
      </c>
      <c r="P4385" s="2" t="s">
        <v>2281</v>
      </c>
    </row>
    <row r="4386" spans="1:16" hidden="1">
      <c r="A4386" s="2">
        <v>202102</v>
      </c>
      <c r="B4386" s="3">
        <v>44254</v>
      </c>
      <c r="C4386" s="2" t="s">
        <v>2258</v>
      </c>
      <c r="D4386" s="2" t="s">
        <v>456</v>
      </c>
      <c r="E4386" s="2">
        <v>27.02</v>
      </c>
      <c r="F4386" s="2" t="e">
        <f>IF(Table2[[#This Row],[Manual Cat Value]]="",VLOOKUP(Table2[[#This Row],[Description]],'Actuals Lookup'!D:F,3,0),Table2[[#This Row],[Manual Cat Value]])</f>
        <v>#N/A</v>
      </c>
      <c r="J4386" s="2">
        <v>27.02</v>
      </c>
      <c r="K4386" s="2" t="b">
        <v>0</v>
      </c>
      <c r="L4386" s="2"/>
      <c r="M4386" s="2"/>
      <c r="N4386" s="4" t="s">
        <v>2259</v>
      </c>
      <c r="O4386" s="4" t="str">
        <f>LEFT(Table2[[#This Row],[Description]],75)</f>
        <v>Casey's</v>
      </c>
      <c r="P4386" s="2" t="s">
        <v>2281</v>
      </c>
    </row>
    <row r="4387" spans="1:16" hidden="1">
      <c r="A4387" s="2">
        <v>202102</v>
      </c>
      <c r="B4387" s="3">
        <v>44254</v>
      </c>
      <c r="C4387" s="2" t="s">
        <v>2447</v>
      </c>
      <c r="D4387" s="2" t="s">
        <v>456</v>
      </c>
      <c r="E4387" s="2">
        <v>10.89</v>
      </c>
      <c r="F4387" s="2" t="e">
        <f>IF(Table2[[#This Row],[Manual Cat Value]]="",VLOOKUP(Table2[[#This Row],[Description]],'Actuals Lookup'!D:F,3,0),Table2[[#This Row],[Manual Cat Value]])</f>
        <v>#N/A</v>
      </c>
      <c r="J4387" s="2">
        <v>10.89</v>
      </c>
      <c r="K4387" s="2" t="b">
        <v>0</v>
      </c>
      <c r="L4387" s="2"/>
      <c r="M4387" s="2"/>
      <c r="N4387" s="4" t="s">
        <v>2259</v>
      </c>
      <c r="O4387" s="4" t="str">
        <f>LEFT(Table2[[#This Row],[Description]],75)</f>
        <v>Casey's</v>
      </c>
      <c r="P4387" s="2"/>
    </row>
    <row r="4388" spans="1:16" hidden="1">
      <c r="A4388" s="2">
        <v>202102</v>
      </c>
      <c r="B4388" s="3">
        <v>44254</v>
      </c>
      <c r="C4388" s="2" t="s">
        <v>2447</v>
      </c>
      <c r="D4388" s="2" t="s">
        <v>456</v>
      </c>
      <c r="E4388" s="2">
        <v>27.02</v>
      </c>
      <c r="F4388" s="2" t="e">
        <f>IF(Table2[[#This Row],[Manual Cat Value]]="",VLOOKUP(Table2[[#This Row],[Description]],'Actuals Lookup'!D:F,3,0),Table2[[#This Row],[Manual Cat Value]])</f>
        <v>#N/A</v>
      </c>
      <c r="J4388" s="2">
        <v>27.02</v>
      </c>
      <c r="K4388" s="2" t="b">
        <v>0</v>
      </c>
      <c r="L4388" s="2"/>
      <c r="M4388" s="2"/>
      <c r="N4388" s="4" t="s">
        <v>2259</v>
      </c>
      <c r="O4388" s="4" t="str">
        <f>LEFT(Table2[[#This Row],[Description]],75)</f>
        <v>Casey's</v>
      </c>
      <c r="P4388" s="2"/>
    </row>
    <row r="4389" spans="1:16" hidden="1">
      <c r="A4389" s="2">
        <v>202102</v>
      </c>
      <c r="B4389" s="3">
        <v>44254</v>
      </c>
      <c r="C4389" s="2" t="s">
        <v>2258</v>
      </c>
      <c r="D4389" s="2" t="s">
        <v>684</v>
      </c>
      <c r="E4389" s="2">
        <v>75.14</v>
      </c>
      <c r="F4389" s="2" t="str">
        <f>IF(Table2[[#This Row],[Manual Cat Value]]="",VLOOKUP(Table2[[#This Row],[Description]],'Actuals Lookup'!D:F,3,0),Table2[[#This Row],[Manual Cat Value]])</f>
        <v>Groceries</v>
      </c>
      <c r="J4389" s="2">
        <v>75.14</v>
      </c>
      <c r="K4389" s="2" t="b">
        <v>0</v>
      </c>
      <c r="L4389" s="2"/>
      <c r="M4389" s="2"/>
      <c r="N4389" s="4" t="s">
        <v>2259</v>
      </c>
      <c r="O4389" s="4" t="str">
        <f>LEFT(Table2[[#This Row],[Description]],75)</f>
        <v>Cub Foods</v>
      </c>
      <c r="P4389" s="2" t="s">
        <v>2370</v>
      </c>
    </row>
    <row r="4390" spans="1:16" hidden="1">
      <c r="A4390" s="2">
        <v>202102</v>
      </c>
      <c r="B4390" s="3">
        <v>44254</v>
      </c>
      <c r="C4390" s="2" t="s">
        <v>2447</v>
      </c>
      <c r="D4390" s="2" t="s">
        <v>684</v>
      </c>
      <c r="E4390" s="2">
        <v>75.14</v>
      </c>
      <c r="F4390" s="2" t="str">
        <f>IF(Table2[[#This Row],[Manual Cat Value]]="",VLOOKUP(Table2[[#This Row],[Description]],'Actuals Lookup'!D:F,3,0),Table2[[#This Row],[Manual Cat Value]])</f>
        <v>Groceries</v>
      </c>
      <c r="J4390" s="2">
        <v>75.14</v>
      </c>
      <c r="K4390" s="2" t="b">
        <v>0</v>
      </c>
      <c r="L4390" s="2"/>
      <c r="M4390" s="2"/>
      <c r="N4390" s="4" t="s">
        <v>2259</v>
      </c>
      <c r="O4390" s="4" t="str">
        <f>LEFT(Table2[[#This Row],[Description]],75)</f>
        <v>Cub Foods</v>
      </c>
      <c r="P4390" s="2" t="s">
        <v>2370</v>
      </c>
    </row>
    <row r="4391" spans="1:16" hidden="1">
      <c r="A4391" s="2">
        <v>202102</v>
      </c>
      <c r="B4391" s="3">
        <v>44255</v>
      </c>
      <c r="C4391" s="2" t="s">
        <v>2262</v>
      </c>
      <c r="D4391" s="2" t="s">
        <v>559</v>
      </c>
      <c r="E4391" s="2">
        <v>12</v>
      </c>
      <c r="F4391" s="2" t="e">
        <f>IF(Table2[[#This Row],[Manual Cat Value]]="",VLOOKUP(Table2[[#This Row],[Description]],'Actuals Lookup'!D:F,3,0),Table2[[#This Row],[Manual Cat Value]])</f>
        <v>#N/A</v>
      </c>
      <c r="J4391" s="2">
        <v>12</v>
      </c>
      <c r="K4391" s="2" t="b">
        <v>0</v>
      </c>
      <c r="L4391" s="2"/>
      <c r="M4391" s="2"/>
      <c r="N4391" s="4" t="s">
        <v>2259</v>
      </c>
      <c r="O4391" s="4" t="str">
        <f>LEFT(Table2[[#This Row],[Description]],75)</f>
        <v>City of Minnetonka</v>
      </c>
      <c r="P4391" s="2" t="s">
        <v>2281</v>
      </c>
    </row>
    <row r="4392" spans="1:16" hidden="1">
      <c r="A4392" s="2">
        <v>202102</v>
      </c>
      <c r="B4392" s="3">
        <v>44255</v>
      </c>
      <c r="C4392" s="2" t="s">
        <v>2262</v>
      </c>
      <c r="D4392" s="2" t="s">
        <v>947</v>
      </c>
      <c r="E4392" s="2">
        <v>69.88</v>
      </c>
      <c r="F4392" s="2" t="e">
        <f>IF(Table2[[#This Row],[Manual Cat Value]]="",VLOOKUP(Table2[[#This Row],[Description]],'Actuals Lookup'!D:F,3,0),Table2[[#This Row],[Manual Cat Value]])</f>
        <v>#N/A</v>
      </c>
      <c r="J4392" s="2">
        <v>69.88</v>
      </c>
      <c r="K4392" s="2" t="b">
        <v>0</v>
      </c>
      <c r="L4392" s="2"/>
      <c r="M4392" s="2"/>
      <c r="N4392" s="4" t="s">
        <v>2259</v>
      </c>
      <c r="O4392" s="4" t="str">
        <f>LEFT(Table2[[#This Row],[Description]],75)</f>
        <v>Home Depot</v>
      </c>
      <c r="P4392" s="2" t="s">
        <v>2396</v>
      </c>
    </row>
    <row r="4393" spans="1:16" hidden="1">
      <c r="A4393" s="2">
        <v>202102</v>
      </c>
      <c r="B4393" s="3">
        <v>44255</v>
      </c>
      <c r="C4393" s="2" t="s">
        <v>2262</v>
      </c>
      <c r="D4393" s="2" t="s">
        <v>1184</v>
      </c>
      <c r="E4393" s="2">
        <v>33.35</v>
      </c>
      <c r="F4393" s="2" t="e">
        <f>IF(Table2[[#This Row],[Manual Cat Value]]="",VLOOKUP(Table2[[#This Row],[Description]],'Actuals Lookup'!D:F,3,0),Table2[[#This Row],[Manual Cat Value]])</f>
        <v>#N/A</v>
      </c>
      <c r="J4393" s="2">
        <v>33.35</v>
      </c>
      <c r="K4393" s="2" t="b">
        <v>0</v>
      </c>
      <c r="L4393" s="2"/>
      <c r="M4393" s="2"/>
      <c r="N4393" s="4" t="s">
        <v>2259</v>
      </c>
      <c r="O4393" s="4" t="str">
        <f>LEFT(Table2[[#This Row],[Description]],75)</f>
        <v>Maynard's</v>
      </c>
      <c r="P4393" s="2" t="s">
        <v>2504</v>
      </c>
    </row>
    <row r="4394" spans="1:16" hidden="1">
      <c r="A4394" s="2">
        <v>202102</v>
      </c>
      <c r="B4394" s="3">
        <v>44255</v>
      </c>
      <c r="C4394" s="2" t="s">
        <v>2265</v>
      </c>
      <c r="D4394" s="2" t="s">
        <v>1709</v>
      </c>
      <c r="E4394" s="2">
        <v>-12.73</v>
      </c>
      <c r="F4394" s="2" t="e">
        <f>IF(Table2[[#This Row],[Manual Cat Value]]="",VLOOKUP(Table2[[#This Row],[Description]],'Actuals Lookup'!D:F,3,0),Table2[[#This Row],[Manual Cat Value]])</f>
        <v>#N/A</v>
      </c>
      <c r="J4394" s="2">
        <v>12.73</v>
      </c>
      <c r="K4394" s="2" t="b">
        <v>0</v>
      </c>
      <c r="L4394" s="2"/>
      <c r="M4394" s="2"/>
      <c r="N4394" s="4" t="s">
        <v>2273</v>
      </c>
      <c r="O4394" s="4" t="str">
        <f>LEFT(Table2[[#This Row],[Description]],75)</f>
        <v>Split Rate Apy</v>
      </c>
      <c r="P4394" s="2" t="s">
        <v>2313</v>
      </c>
    </row>
    <row r="4395" spans="1:16" hidden="1">
      <c r="A4395" s="2">
        <v>202102</v>
      </c>
      <c r="B4395" s="3">
        <v>44255</v>
      </c>
      <c r="C4395" s="2" t="s">
        <v>2300</v>
      </c>
      <c r="D4395" s="2" t="s">
        <v>1709</v>
      </c>
      <c r="E4395" s="2">
        <v>-12.66</v>
      </c>
      <c r="F4395" s="2" t="e">
        <f>IF(Table2[[#This Row],[Manual Cat Value]]="",VLOOKUP(Table2[[#This Row],[Description]],'Actuals Lookup'!D:F,3,0),Table2[[#This Row],[Manual Cat Value]])</f>
        <v>#N/A</v>
      </c>
      <c r="J4395" s="2">
        <v>12.66</v>
      </c>
      <c r="K4395" s="2" t="b">
        <v>0</v>
      </c>
      <c r="L4395" s="2"/>
      <c r="M4395" s="2"/>
      <c r="N4395" s="4" t="s">
        <v>2273</v>
      </c>
      <c r="O4395" s="4" t="str">
        <f>LEFT(Table2[[#This Row],[Description]],75)</f>
        <v>Split Rate Apy</v>
      </c>
      <c r="P4395" s="2" t="s">
        <v>2313</v>
      </c>
    </row>
    <row r="4396" spans="1:16" hidden="1">
      <c r="A4396" s="2">
        <v>202102</v>
      </c>
      <c r="B4396" s="3">
        <v>44255</v>
      </c>
      <c r="C4396" s="2" t="s">
        <v>2262</v>
      </c>
      <c r="D4396" s="2" t="s">
        <v>1999</v>
      </c>
      <c r="E4396" s="2">
        <v>17.91</v>
      </c>
      <c r="F4396" s="2" t="e">
        <f>IF(Table2[[#This Row],[Manual Cat Value]]="",VLOOKUP(Table2[[#This Row],[Description]],'Actuals Lookup'!D:F,3,0),Table2[[#This Row],[Manual Cat Value]])</f>
        <v>#N/A</v>
      </c>
      <c r="J4396" s="2">
        <v>17.91</v>
      </c>
      <c r="K4396" s="2" t="b">
        <v>0</v>
      </c>
      <c r="L4396" s="2"/>
      <c r="M4396" s="2"/>
      <c r="N4396" s="4" t="s">
        <v>2259</v>
      </c>
      <c r="O4396" s="4" t="str">
        <f>LEFT(Table2[[#This Row],[Description]],75)</f>
        <v>TREX MART 3 LATHROP MO</v>
      </c>
      <c r="P4396" s="2" t="s">
        <v>2281</v>
      </c>
    </row>
    <row r="4397" spans="1:16" hidden="1">
      <c r="A4397" s="2">
        <v>202103</v>
      </c>
      <c r="B4397" s="3">
        <v>44256</v>
      </c>
      <c r="C4397" s="2" t="s">
        <v>2270</v>
      </c>
      <c r="D4397" s="2" t="s">
        <v>1410</v>
      </c>
      <c r="E4397" s="2">
        <v>-725.36</v>
      </c>
      <c r="F4397" s="2" t="str">
        <f>IF(Table2[[#This Row],[Manual Cat Value]]="",VLOOKUP(Table2[[#This Row],[Description]],'Actuals Lookup'!D:F,3,0),Table2[[#This Row],[Manual Cat Value]])</f>
        <v>Delete</v>
      </c>
      <c r="J4397" s="2">
        <v>725.36</v>
      </c>
      <c r="K4397" s="2" t="b">
        <v>0</v>
      </c>
      <c r="L4397" s="2"/>
      <c r="M4397" s="2"/>
      <c r="N4397" s="4" t="s">
        <v>2273</v>
      </c>
      <c r="O4397" s="4" t="str">
        <f>LEFT(Table2[[#This Row],[Description]],75)</f>
        <v>PAYMENT</v>
      </c>
      <c r="P4397" s="2" t="s">
        <v>2492</v>
      </c>
    </row>
    <row r="4398" spans="1:16" hidden="1">
      <c r="A4398" s="2">
        <v>202103</v>
      </c>
      <c r="B4398" s="3">
        <v>44256</v>
      </c>
      <c r="C4398" s="2" t="s">
        <v>2258</v>
      </c>
      <c r="D4398" s="2" t="s">
        <v>114</v>
      </c>
      <c r="E4398" s="2">
        <v>4.28</v>
      </c>
      <c r="F4398" s="2" t="str">
        <f>IF(Table2[[#This Row],[Manual Cat Value]]="",VLOOKUP(Table2[[#This Row],[Description]],'Actuals Lookup'!D:F,3,0),Table2[[#This Row],[Manual Cat Value]])</f>
        <v>Entertainment</v>
      </c>
      <c r="J4398" s="2">
        <v>4.28</v>
      </c>
      <c r="K4398" s="2" t="b">
        <v>0</v>
      </c>
      <c r="L4398" s="2"/>
      <c r="M4398" s="2"/>
      <c r="N4398" s="4" t="s">
        <v>2259</v>
      </c>
      <c r="O4398" s="4" t="str">
        <f>LEFT(Table2[[#This Row],[Description]],75)</f>
        <v>Amazon Music</v>
      </c>
      <c r="P4398" s="2" t="s">
        <v>2466</v>
      </c>
    </row>
    <row r="4399" spans="1:16" hidden="1">
      <c r="A4399" s="2">
        <v>202103</v>
      </c>
      <c r="B4399" s="3">
        <v>44256</v>
      </c>
      <c r="C4399" s="2" t="s">
        <v>2447</v>
      </c>
      <c r="D4399" s="2" t="s">
        <v>114</v>
      </c>
      <c r="E4399" s="2">
        <v>4.28</v>
      </c>
      <c r="F4399" s="2" t="str">
        <f>IF(Table2[[#This Row],[Manual Cat Value]]="",VLOOKUP(Table2[[#This Row],[Description]],'Actuals Lookup'!D:F,3,0),Table2[[#This Row],[Manual Cat Value]])</f>
        <v>Entertainment</v>
      </c>
      <c r="J4399" s="2">
        <v>4.28</v>
      </c>
      <c r="K4399" s="2" t="b">
        <v>0</v>
      </c>
      <c r="L4399" s="2"/>
      <c r="M4399" s="2"/>
      <c r="N4399" s="4" t="s">
        <v>2259</v>
      </c>
      <c r="O4399" s="4" t="str">
        <f>LEFT(Table2[[#This Row],[Description]],75)</f>
        <v>Amazon Music</v>
      </c>
      <c r="P4399" s="2" t="s">
        <v>2466</v>
      </c>
    </row>
    <row r="4400" spans="1:16" hidden="1">
      <c r="A4400" s="2">
        <v>202103</v>
      </c>
      <c r="B4400" s="3">
        <v>44256</v>
      </c>
      <c r="C4400" s="2" t="s">
        <v>2262</v>
      </c>
      <c r="D4400" s="2" t="s">
        <v>456</v>
      </c>
      <c r="E4400" s="2">
        <v>7.48</v>
      </c>
      <c r="F4400" s="2" t="e">
        <f>IF(Table2[[#This Row],[Manual Cat Value]]="",VLOOKUP(Table2[[#This Row],[Description]],'Actuals Lookup'!D:F,3,0),Table2[[#This Row],[Manual Cat Value]])</f>
        <v>#N/A</v>
      </c>
      <c r="J4400" s="2">
        <v>7.48</v>
      </c>
      <c r="K4400" s="2" t="b">
        <v>0</v>
      </c>
      <c r="L4400" s="2"/>
      <c r="M4400" s="2"/>
      <c r="N4400" s="4" t="s">
        <v>2259</v>
      </c>
      <c r="O4400" s="4" t="str">
        <f>LEFT(Table2[[#This Row],[Description]],75)</f>
        <v>Casey's</v>
      </c>
      <c r="P4400" s="2" t="s">
        <v>2281</v>
      </c>
    </row>
    <row r="4401" spans="1:16" hidden="1">
      <c r="A4401" s="2">
        <v>202103</v>
      </c>
      <c r="B4401" s="3">
        <v>44256</v>
      </c>
      <c r="C4401" s="2" t="s">
        <v>2265</v>
      </c>
      <c r="D4401" s="2" t="s">
        <v>588</v>
      </c>
      <c r="E4401" s="2">
        <v>200</v>
      </c>
      <c r="F4401" s="2" t="e">
        <f>IF(Table2[[#This Row],[Manual Cat Value]]="",VLOOKUP(Table2[[#This Row],[Description]],'Actuals Lookup'!D:F,3,0),Table2[[#This Row],[Manual Cat Value]])</f>
        <v>#N/A</v>
      </c>
      <c r="J4401" s="2">
        <v>200</v>
      </c>
      <c r="K4401" s="2" t="b">
        <v>0</v>
      </c>
      <c r="L4401" s="2"/>
      <c r="M4401" s="2"/>
      <c r="N4401" s="4" t="s">
        <v>2259</v>
      </c>
      <c r="O4401" s="4" t="str">
        <f>LEFT(Table2[[#This Row],[Description]],75)</f>
        <v>College Savings TYPE ACH ID 550895818 CO College Savings ACH ECC PPD ACH Tr</v>
      </c>
      <c r="P4401" s="2" t="s">
        <v>2272</v>
      </c>
    </row>
    <row r="4402" spans="1:16" hidden="1">
      <c r="A4402" s="2">
        <v>202103</v>
      </c>
      <c r="B4402" s="3">
        <v>44256</v>
      </c>
      <c r="C4402" s="2" t="s">
        <v>2314</v>
      </c>
      <c r="D4402" s="2" t="s">
        <v>859</v>
      </c>
      <c r="E4402" s="2">
        <v>-584.66</v>
      </c>
      <c r="F4402" s="2" t="e">
        <f>IF(Table2[[#This Row],[Manual Cat Value]]="",VLOOKUP(Table2[[#This Row],[Description]],'Actuals Lookup'!D:F,3,0),Table2[[#This Row],[Manual Cat Value]])</f>
        <v>#N/A</v>
      </c>
      <c r="J4402" s="2">
        <v>584.66</v>
      </c>
      <c r="K4402" s="2" t="b">
        <v>0</v>
      </c>
      <c r="L4402" s="2"/>
      <c r="M4402" s="2"/>
      <c r="N4402" s="4" t="s">
        <v>2273</v>
      </c>
      <c r="O4402" s="4" t="str">
        <f>LEFT(Table2[[#This Row],[Description]],75)</f>
        <v>From Share 70</v>
      </c>
      <c r="P4402" s="2" t="s">
        <v>2496</v>
      </c>
    </row>
    <row r="4403" spans="1:16" hidden="1">
      <c r="A4403" s="2">
        <v>202103</v>
      </c>
      <c r="B4403" s="3">
        <v>44256</v>
      </c>
      <c r="C4403" s="2" t="s">
        <v>2317</v>
      </c>
      <c r="D4403" s="2" t="s">
        <v>978</v>
      </c>
      <c r="E4403" s="2">
        <v>-29.72</v>
      </c>
      <c r="F4403" s="2" t="e">
        <f>IF(Table2[[#This Row],[Manual Cat Value]]="",VLOOKUP(Table2[[#This Row],[Description]],'Actuals Lookup'!D:F,3,0),Table2[[#This Row],[Manual Cat Value]])</f>
        <v>#N/A</v>
      </c>
      <c r="J4403" s="2">
        <v>29.72</v>
      </c>
      <c r="K4403" s="2" t="b">
        <v>0</v>
      </c>
      <c r="L4403" s="2"/>
      <c r="M4403" s="2"/>
      <c r="N4403" s="4" t="s">
        <v>2273</v>
      </c>
      <c r="O4403" s="4" t="str">
        <f>LEFT(Table2[[#This Row],[Description]],75)</f>
        <v>INTEL CORP</v>
      </c>
      <c r="P4403" s="2" t="s">
        <v>2422</v>
      </c>
    </row>
    <row r="4404" spans="1:16" hidden="1">
      <c r="A4404" s="2">
        <v>202103</v>
      </c>
      <c r="B4404" s="3">
        <v>44256</v>
      </c>
      <c r="C4404" s="2" t="s">
        <v>2265</v>
      </c>
      <c r="D4404" s="2" t="s">
        <v>1471</v>
      </c>
      <c r="E4404" s="2">
        <v>0.99</v>
      </c>
      <c r="F4404" s="2" t="str">
        <f>IF(Table2[[#This Row],[Manual Cat Value]]="",VLOOKUP(Table2[[#This Row],[Description]],'Actuals Lookup'!D:F,3,0),Table2[[#This Row],[Manual Cat Value]])</f>
        <v>Shopping</v>
      </c>
      <c r="J4404" s="2">
        <v>0.99</v>
      </c>
      <c r="K4404" s="2" t="b">
        <v>0</v>
      </c>
      <c r="L4404" s="2"/>
      <c r="M4404" s="2"/>
      <c r="N4404" s="4" t="s">
        <v>2259</v>
      </c>
      <c r="O4404" s="4" t="str">
        <f>LEFT(Table2[[#This Row],[Description]],75)</f>
        <v>PayPal</v>
      </c>
      <c r="P4404" s="2" t="s">
        <v>2322</v>
      </c>
    </row>
    <row r="4405" spans="1:16" hidden="1">
      <c r="A4405" s="2">
        <v>202103</v>
      </c>
      <c r="B4405" s="3">
        <v>44256</v>
      </c>
      <c r="C4405" s="2" t="s">
        <v>2270</v>
      </c>
      <c r="D4405" s="2" t="s">
        <v>1524</v>
      </c>
      <c r="E4405" s="2">
        <v>-431</v>
      </c>
      <c r="F4405" s="2" t="e">
        <f>IF(Table2[[#This Row],[Manual Cat Value]]="",VLOOKUP(Table2[[#This Row],[Description]],'Actuals Lookup'!D:F,3,0),Table2[[#This Row],[Manual Cat Value]])</f>
        <v>#N/A</v>
      </c>
      <c r="J4405" s="2">
        <v>431</v>
      </c>
      <c r="K4405" s="2" t="b">
        <v>0</v>
      </c>
      <c r="L4405" s="2"/>
      <c r="M4405" s="2"/>
      <c r="N4405" s="4" t="s">
        <v>2273</v>
      </c>
      <c r="O4405" s="4" t="str">
        <f>LEFT(Table2[[#This Row],[Description]],75)</f>
        <v>Principal Curtailment</v>
      </c>
      <c r="P4405" s="2" t="s">
        <v>2514</v>
      </c>
    </row>
    <row r="4406" spans="1:16" hidden="1">
      <c r="A4406" s="2">
        <v>202103</v>
      </c>
      <c r="B4406" s="3">
        <v>44256</v>
      </c>
      <c r="C4406" s="2" t="s">
        <v>2265</v>
      </c>
      <c r="D4406" s="2" t="s">
        <v>1877</v>
      </c>
      <c r="E4406" s="2">
        <v>618.65</v>
      </c>
      <c r="F4406" s="2" t="e">
        <f>IF(Table2[[#This Row],[Manual Cat Value]]="",VLOOKUP(Table2[[#This Row],[Description]],'Actuals Lookup'!D:F,3,0),Table2[[#This Row],[Manual Cat Value]])</f>
        <v>#N/A</v>
      </c>
      <c r="J4406" s="2">
        <v>618.65</v>
      </c>
      <c r="K4406" s="2" t="b">
        <v>0</v>
      </c>
      <c r="L4406" s="2"/>
      <c r="M4406" s="2"/>
      <c r="N4406" s="4" t="s">
        <v>2259</v>
      </c>
      <c r="O4406" s="4" t="str">
        <f>LEFT(Table2[[#This Row],[Description]],75)</f>
        <v>To Loan 02</v>
      </c>
      <c r="P4406" s="2" t="s">
        <v>2316</v>
      </c>
    </row>
    <row r="4407" spans="1:16" hidden="1">
      <c r="A4407" s="2">
        <v>202103</v>
      </c>
      <c r="B4407" s="3">
        <v>44256</v>
      </c>
      <c r="C4407" s="2" t="s">
        <v>2262</v>
      </c>
      <c r="D4407" s="2" t="s">
        <v>2026</v>
      </c>
      <c r="E4407" s="2">
        <v>34.409999999999997</v>
      </c>
      <c r="F4407" s="2" t="e">
        <f>IF(Table2[[#This Row],[Manual Cat Value]]="",VLOOKUP(Table2[[#This Row],[Description]],'Actuals Lookup'!D:F,3,0),Table2[[#This Row],[Manual Cat Value]])</f>
        <v>#N/A</v>
      </c>
      <c r="J4407" s="2">
        <v>34.409999999999997</v>
      </c>
      <c r="K4407" s="2" t="b">
        <v>0</v>
      </c>
      <c r="L4407" s="2"/>
      <c r="M4407" s="2"/>
      <c r="N4407" s="4" t="s">
        <v>2259</v>
      </c>
      <c r="O4407" s="4" t="str">
        <f>LEFT(Table2[[#This Row],[Description]],75)</f>
        <v>TST MISSION TACO JOINT KANSAS CITY MO</v>
      </c>
      <c r="P4407" s="2" t="s">
        <v>2281</v>
      </c>
    </row>
    <row r="4408" spans="1:16" hidden="1">
      <c r="A4408" s="2">
        <v>202103</v>
      </c>
      <c r="B4408" s="3">
        <v>44256</v>
      </c>
      <c r="C4408" s="2" t="s">
        <v>2317</v>
      </c>
      <c r="D4408" s="2" t="s">
        <v>2130</v>
      </c>
      <c r="E4408" s="2">
        <v>-26.97</v>
      </c>
      <c r="F4408" s="2" t="e">
        <f>IF(Table2[[#This Row],[Manual Cat Value]]="",VLOOKUP(Table2[[#This Row],[Description]],'Actuals Lookup'!D:F,3,0),Table2[[#This Row],[Manual Cat Value]])</f>
        <v>#N/A</v>
      </c>
      <c r="J4408" s="2">
        <v>26.97</v>
      </c>
      <c r="K4408" s="2" t="b">
        <v>0</v>
      </c>
      <c r="L4408" s="2"/>
      <c r="M4408" s="2"/>
      <c r="N4408" s="4" t="s">
        <v>2273</v>
      </c>
      <c r="O4408" s="4" t="str">
        <f>LEFT(Table2[[#This Row],[Description]],75)</f>
        <v>VISA INC CLASS A</v>
      </c>
      <c r="P4408" s="2" t="s">
        <v>2423</v>
      </c>
    </row>
    <row r="4409" spans="1:16" hidden="1">
      <c r="A4409">
        <v>202403</v>
      </c>
      <c r="B4409" s="6">
        <v>45358</v>
      </c>
      <c r="C4409" t="s">
        <v>2519</v>
      </c>
      <c r="D4409" t="s">
        <v>2540</v>
      </c>
      <c r="E4409">
        <v>9630.94</v>
      </c>
      <c r="F4409" s="2" t="str">
        <f>IF(Table2[[#This Row],[Manual Cat Value]]="",VLOOKUP(Table2[[#This Row],[Description]],'Actuals Lookup'!D:F,3,0),VLOOKUP(Table2[[#This Row],[Manual Cat Value]],Lookup!A:B,2,0))</f>
        <v>House</v>
      </c>
      <c r="H4409" s="8" t="s">
        <v>49</v>
      </c>
      <c r="I4409" s="8"/>
      <c r="O4409" t="str">
        <f>LEFT(Table2[[#This Row],[Description]],75)</f>
        <v>Draft 2206 Tracer XX2472</v>
      </c>
    </row>
    <row r="4410" spans="1:16" hidden="1">
      <c r="A4410" s="2">
        <v>202103</v>
      </c>
      <c r="B4410" s="3">
        <v>44257</v>
      </c>
      <c r="C4410" s="2" t="s">
        <v>2258</v>
      </c>
      <c r="D4410" s="2" t="s">
        <v>38</v>
      </c>
      <c r="E4410" s="2">
        <v>16.86</v>
      </c>
      <c r="F4410" s="2" t="str">
        <f>IF(Table2[[#This Row],[Manual Cat Value]]="",VLOOKUP(Table2[[#This Row],[Description]],'Actuals Lookup'!D:F,3,0),Table2[[#This Row],[Manual Cat Value]])</f>
        <v>Amazon</v>
      </c>
      <c r="J4410" s="2">
        <v>16.86</v>
      </c>
      <c r="K4410" s="2" t="b">
        <v>0</v>
      </c>
      <c r="L4410" s="2"/>
      <c r="M4410" s="2"/>
      <c r="N4410" s="4" t="s">
        <v>2259</v>
      </c>
      <c r="O4410" s="4" t="str">
        <f>LEFT(Table2[[#This Row],[Description]],75)</f>
        <v>Amazon</v>
      </c>
      <c r="P4410" s="2" t="s">
        <v>2260</v>
      </c>
    </row>
    <row r="4411" spans="1:16" hidden="1">
      <c r="A4411" s="2">
        <v>202103</v>
      </c>
      <c r="B4411" s="3">
        <v>44257</v>
      </c>
      <c r="C4411" s="2" t="s">
        <v>2258</v>
      </c>
      <c r="D4411" s="2" t="s">
        <v>38</v>
      </c>
      <c r="E4411" s="2">
        <v>32.200000000000003</v>
      </c>
      <c r="F4411" s="2" t="str">
        <f>IF(Table2[[#This Row],[Manual Cat Value]]="",VLOOKUP(Table2[[#This Row],[Description]],'Actuals Lookup'!D:F,3,0),Table2[[#This Row],[Manual Cat Value]])</f>
        <v>Amazon</v>
      </c>
      <c r="J4411" s="2">
        <v>32.200000000000003</v>
      </c>
      <c r="K4411" s="2" t="b">
        <v>0</v>
      </c>
      <c r="L4411" s="2"/>
      <c r="M4411" s="2"/>
      <c r="N4411" s="4" t="s">
        <v>2259</v>
      </c>
      <c r="O4411" s="4" t="str">
        <f>LEFT(Table2[[#This Row],[Description]],75)</f>
        <v>Amazon</v>
      </c>
      <c r="P4411" s="2" t="s">
        <v>2260</v>
      </c>
    </row>
    <row r="4412" spans="1:16" hidden="1">
      <c r="A4412" s="2">
        <v>202103</v>
      </c>
      <c r="B4412" s="3">
        <v>44257</v>
      </c>
      <c r="C4412" s="2" t="s">
        <v>2447</v>
      </c>
      <c r="D4412" s="2" t="s">
        <v>38</v>
      </c>
      <c r="E4412" s="2">
        <v>16.86</v>
      </c>
      <c r="F4412" s="2" t="str">
        <f>IF(Table2[[#This Row],[Manual Cat Value]]="",VLOOKUP(Table2[[#This Row],[Description]],'Actuals Lookup'!D:F,3,0),Table2[[#This Row],[Manual Cat Value]])</f>
        <v>Amazon</v>
      </c>
      <c r="J4412" s="2">
        <v>16.86</v>
      </c>
      <c r="K4412" s="2" t="b">
        <v>0</v>
      </c>
      <c r="L4412" s="2"/>
      <c r="M4412" s="2"/>
      <c r="N4412" s="4" t="s">
        <v>2259</v>
      </c>
      <c r="O4412" s="4" t="str">
        <f>LEFT(Table2[[#This Row],[Description]],75)</f>
        <v>Amazon</v>
      </c>
      <c r="P4412" s="2" t="s">
        <v>2260</v>
      </c>
    </row>
    <row r="4413" spans="1:16" hidden="1">
      <c r="A4413" s="2">
        <v>202103</v>
      </c>
      <c r="B4413" s="3">
        <v>44257</v>
      </c>
      <c r="C4413" s="2" t="s">
        <v>2447</v>
      </c>
      <c r="D4413" s="2" t="s">
        <v>38</v>
      </c>
      <c r="E4413" s="2">
        <v>32.200000000000003</v>
      </c>
      <c r="F4413" s="2" t="str">
        <f>IF(Table2[[#This Row],[Manual Cat Value]]="",VLOOKUP(Table2[[#This Row],[Description]],'Actuals Lookup'!D:F,3,0),Table2[[#This Row],[Manual Cat Value]])</f>
        <v>Amazon</v>
      </c>
      <c r="J4413" s="2">
        <v>32.200000000000003</v>
      </c>
      <c r="K4413" s="2" t="b">
        <v>0</v>
      </c>
      <c r="L4413" s="2"/>
      <c r="M4413" s="2"/>
      <c r="N4413" s="4" t="s">
        <v>2259</v>
      </c>
      <c r="O4413" s="4" t="str">
        <f>LEFT(Table2[[#This Row],[Description]],75)</f>
        <v>Amazon</v>
      </c>
      <c r="P4413" s="2" t="s">
        <v>2260</v>
      </c>
    </row>
    <row r="4414" spans="1:16" hidden="1">
      <c r="A4414" s="2">
        <v>202103</v>
      </c>
      <c r="B4414" s="3">
        <v>44257</v>
      </c>
      <c r="C4414" s="2" t="s">
        <v>2262</v>
      </c>
      <c r="D4414" s="2" t="s">
        <v>960</v>
      </c>
      <c r="E4414" s="2">
        <v>38</v>
      </c>
      <c r="F4414" s="2" t="e">
        <f>IF(Table2[[#This Row],[Manual Cat Value]]="",VLOOKUP(Table2[[#This Row],[Description]],'Actuals Lookup'!D:F,3,0),Table2[[#This Row],[Manual Cat Value]])</f>
        <v>#N/A</v>
      </c>
      <c r="J4414" s="2">
        <v>38</v>
      </c>
      <c r="K4414" s="2" t="b">
        <v>0</v>
      </c>
      <c r="L4414" s="2"/>
      <c r="M4414" s="2"/>
      <c r="N4414" s="4" t="s">
        <v>2259</v>
      </c>
      <c r="O4414" s="4" t="str">
        <f>LEFT(Table2[[#This Row],[Description]],75)</f>
        <v>IHG POINTS AND CASH 8882119874 GA</v>
      </c>
      <c r="P4414" s="2" t="s">
        <v>2281</v>
      </c>
    </row>
    <row r="4415" spans="1:16" hidden="1">
      <c r="A4415" s="2">
        <v>202103</v>
      </c>
      <c r="B4415" s="3">
        <v>44257</v>
      </c>
      <c r="C4415" s="2" t="s">
        <v>2317</v>
      </c>
      <c r="D4415" s="2" t="s">
        <v>978</v>
      </c>
      <c r="E4415" s="2">
        <v>29.72</v>
      </c>
      <c r="F4415" s="2" t="e">
        <f>IF(Table2[[#This Row],[Manual Cat Value]]="",VLOOKUP(Table2[[#This Row],[Description]],'Actuals Lookup'!D:F,3,0),Table2[[#This Row],[Manual Cat Value]])</f>
        <v>#N/A</v>
      </c>
      <c r="J4415" s="2">
        <v>29.72</v>
      </c>
      <c r="K4415" s="2" t="b">
        <v>0</v>
      </c>
      <c r="L4415" s="2"/>
      <c r="M4415" s="2"/>
      <c r="N4415" s="4" t="s">
        <v>2259</v>
      </c>
      <c r="O4415" s="4" t="str">
        <f>LEFT(Table2[[#This Row],[Description]],75)</f>
        <v>INTEL CORP</v>
      </c>
      <c r="P4415" s="2" t="s">
        <v>2422</v>
      </c>
    </row>
    <row r="4416" spans="1:16" hidden="1">
      <c r="A4416" s="2">
        <v>202103</v>
      </c>
      <c r="B4416" s="3">
        <v>44257</v>
      </c>
      <c r="C4416" s="2" t="s">
        <v>2265</v>
      </c>
      <c r="D4416" s="2" t="s">
        <v>1243</v>
      </c>
      <c r="E4416" s="2">
        <v>425</v>
      </c>
      <c r="F4416" s="2" t="e">
        <f>IF(Table2[[#This Row],[Manual Cat Value]]="",VLOOKUP(Table2[[#This Row],[Description]],'Actuals Lookup'!D:F,3,0),Table2[[#This Row],[Manual Cat Value]])</f>
        <v>#N/A</v>
      </c>
      <c r="J4416" s="2">
        <v>425</v>
      </c>
      <c r="K4416" s="2" t="b">
        <v>0</v>
      </c>
      <c r="L4416" s="2"/>
      <c r="M4416" s="2"/>
      <c r="N4416" s="4" t="s">
        <v>2259</v>
      </c>
      <c r="O4416" s="4" t="str">
        <f>LEFT(Table2[[#This Row],[Description]],75)</f>
        <v>MHCHILDCARELLC TYPE DUES ID CO MHCHILDCARELLC ACH ECC PPD ACH Trace 94142</v>
      </c>
      <c r="P4416" s="2" t="s">
        <v>2497</v>
      </c>
    </row>
    <row r="4417" spans="1:16" hidden="1">
      <c r="A4417" s="2">
        <v>202103</v>
      </c>
      <c r="B4417" s="3">
        <v>44257</v>
      </c>
      <c r="C4417" s="2" t="s">
        <v>2262</v>
      </c>
      <c r="D4417" s="2" t="s">
        <v>1926</v>
      </c>
      <c r="E4417" s="2">
        <v>176.17</v>
      </c>
      <c r="F4417" s="2" t="e">
        <f>IF(Table2[[#This Row],[Manual Cat Value]]="",VLOOKUP(Table2[[#This Row],[Description]],'Actuals Lookup'!D:F,3,0),Table2[[#This Row],[Manual Cat Value]])</f>
        <v>#N/A</v>
      </c>
      <c r="J4417" s="2">
        <v>176.17</v>
      </c>
      <c r="K4417" s="2" t="b">
        <v>0</v>
      </c>
      <c r="L4417" s="2"/>
      <c r="M4417" s="2"/>
      <c r="N4417" s="4" t="s">
        <v>2259</v>
      </c>
      <c r="O4417" s="4" t="str">
        <f>LEFT(Table2[[#This Row],[Description]],75)</f>
        <v>Total Wine and More</v>
      </c>
      <c r="P4417" s="2" t="s">
        <v>2289</v>
      </c>
    </row>
    <row r="4418" spans="1:16" hidden="1">
      <c r="A4418" s="2">
        <v>202103</v>
      </c>
      <c r="B4418" s="3">
        <v>44257</v>
      </c>
      <c r="C4418" s="2" t="s">
        <v>2317</v>
      </c>
      <c r="D4418" s="2" t="s">
        <v>2130</v>
      </c>
      <c r="E4418" s="2">
        <v>26.97</v>
      </c>
      <c r="F4418" s="2" t="e">
        <f>IF(Table2[[#This Row],[Manual Cat Value]]="",VLOOKUP(Table2[[#This Row],[Description]],'Actuals Lookup'!D:F,3,0),Table2[[#This Row],[Manual Cat Value]])</f>
        <v>#N/A</v>
      </c>
      <c r="J4418" s="2">
        <v>26.97</v>
      </c>
      <c r="K4418" s="2" t="b">
        <v>0</v>
      </c>
      <c r="L4418" s="2"/>
      <c r="M4418" s="2"/>
      <c r="N4418" s="4" t="s">
        <v>2259</v>
      </c>
      <c r="O4418" s="4" t="str">
        <f>LEFT(Table2[[#This Row],[Description]],75)</f>
        <v>VISA INC CLASS A</v>
      </c>
      <c r="P4418" s="2" t="s">
        <v>2423</v>
      </c>
    </row>
    <row r="4419" spans="1:16" hidden="1">
      <c r="A4419" s="2">
        <v>202103</v>
      </c>
      <c r="B4419" s="3">
        <v>44258</v>
      </c>
      <c r="C4419" s="2" t="s">
        <v>2262</v>
      </c>
      <c r="D4419" s="2" t="s">
        <v>112</v>
      </c>
      <c r="E4419" s="2">
        <v>100</v>
      </c>
      <c r="F4419" s="2" t="e">
        <f>IF(Table2[[#This Row],[Manual Cat Value]]="",VLOOKUP(Table2[[#This Row],[Description]],'Actuals Lookup'!D:F,3,0),Table2[[#This Row],[Manual Cat Value]])</f>
        <v>#N/A</v>
      </c>
      <c r="J4419" s="2">
        <v>100</v>
      </c>
      <c r="K4419" s="2" t="b">
        <v>0</v>
      </c>
      <c r="L4419" s="2"/>
      <c r="M4419" s="2"/>
      <c r="N4419" s="4" t="s">
        <v>2259</v>
      </c>
      <c r="O4419" s="4" t="str">
        <f>LEFT(Table2[[#This Row],[Description]],75)</f>
        <v>Alzheimers Association</v>
      </c>
      <c r="P4419" s="2" t="s">
        <v>2281</v>
      </c>
    </row>
    <row r="4420" spans="1:16" hidden="1">
      <c r="A4420" s="2">
        <v>202103</v>
      </c>
      <c r="B4420" s="3">
        <v>44258</v>
      </c>
      <c r="C4420" s="2" t="s">
        <v>2265</v>
      </c>
      <c r="D4420" s="2" t="s">
        <v>372</v>
      </c>
      <c r="E4420" s="2">
        <v>-2167.65</v>
      </c>
      <c r="F4420" s="2" t="e">
        <f>IF(Table2[[#This Row],[Manual Cat Value]]="",VLOOKUP(Table2[[#This Row],[Description]],'Actuals Lookup'!D:F,3,0),Table2[[#This Row],[Manual Cat Value]])</f>
        <v>#N/A</v>
      </c>
      <c r="J4420" s="2">
        <v>2167.65</v>
      </c>
      <c r="K4420" s="2" t="b">
        <v>0</v>
      </c>
      <c r="L4420" s="2"/>
      <c r="M4420" s="2"/>
      <c r="N4420" s="4" t="s">
        <v>2273</v>
      </c>
      <c r="O4420" s="4" t="str">
        <f>LEFT(Table2[[#This Row],[Description]],75)</f>
        <v>CARGILL COCOA TYPE DIR DEP ID CO CARGILL COCOA ACH ECC PPD ACH Trace 32063</v>
      </c>
      <c r="P4420" s="2" t="s">
        <v>2284</v>
      </c>
    </row>
    <row r="4421" spans="1:16" hidden="1">
      <c r="A4421" s="2">
        <v>202103</v>
      </c>
      <c r="B4421" s="3">
        <v>44258</v>
      </c>
      <c r="C4421" s="2" t="s">
        <v>2262</v>
      </c>
      <c r="D4421" s="2" t="s">
        <v>924</v>
      </c>
      <c r="E4421" s="2">
        <v>18</v>
      </c>
      <c r="F4421" s="2" t="e">
        <f>IF(Table2[[#This Row],[Manual Cat Value]]="",VLOOKUP(Table2[[#This Row],[Description]],'Actuals Lookup'!D:F,3,0),Table2[[#This Row],[Manual Cat Value]])</f>
        <v>#N/A</v>
      </c>
      <c r="J4421" s="2">
        <v>18</v>
      </c>
      <c r="K4421" s="2" t="b">
        <v>0</v>
      </c>
      <c r="L4421" s="2"/>
      <c r="M4421" s="2"/>
      <c r="N4421" s="4" t="s">
        <v>2259</v>
      </c>
      <c r="O4421" s="4" t="str">
        <f>LEFT(Table2[[#This Row],[Description]],75)</f>
        <v>HBRSUBSCRIPTION 8009880886 MA</v>
      </c>
      <c r="P4421" s="2" t="s">
        <v>2281</v>
      </c>
    </row>
    <row r="4422" spans="1:16" hidden="1">
      <c r="A4422" s="2">
        <v>202103</v>
      </c>
      <c r="B4422" s="3">
        <v>44258</v>
      </c>
      <c r="C4422" s="2" t="s">
        <v>2265</v>
      </c>
      <c r="D4422" s="2" t="s">
        <v>1471</v>
      </c>
      <c r="E4422" s="2">
        <v>10.79</v>
      </c>
      <c r="F4422" s="2" t="str">
        <f>IF(Table2[[#This Row],[Manual Cat Value]]="",VLOOKUP(Table2[[#This Row],[Description]],'Actuals Lookup'!D:F,3,0),Table2[[#This Row],[Manual Cat Value]])</f>
        <v>Shopping</v>
      </c>
      <c r="J4422" s="2">
        <v>10.79</v>
      </c>
      <c r="K4422" s="2" t="b">
        <v>0</v>
      </c>
      <c r="L4422" s="2"/>
      <c r="M4422" s="2"/>
      <c r="N4422" s="4" t="s">
        <v>2259</v>
      </c>
      <c r="O4422" s="4" t="str">
        <f>LEFT(Table2[[#This Row],[Description]],75)</f>
        <v>PayPal</v>
      </c>
      <c r="P4422" s="2" t="s">
        <v>2322</v>
      </c>
    </row>
    <row r="4423" spans="1:16" hidden="1">
      <c r="A4423" s="2">
        <v>202103</v>
      </c>
      <c r="B4423" s="3">
        <v>44258</v>
      </c>
      <c r="C4423" s="2" t="s">
        <v>2265</v>
      </c>
      <c r="D4423" s="2" t="s">
        <v>1648</v>
      </c>
      <c r="E4423" s="2">
        <v>-1150</v>
      </c>
      <c r="F4423" s="2" t="e">
        <f>IF(Table2[[#This Row],[Manual Cat Value]]="",VLOOKUP(Table2[[#This Row],[Description]],'Actuals Lookup'!D:F,3,0),Table2[[#This Row],[Manual Cat Value]])</f>
        <v>#N/A</v>
      </c>
      <c r="J4423" s="2">
        <v>1150</v>
      </c>
      <c r="K4423" s="2" t="b">
        <v>0</v>
      </c>
      <c r="L4423" s="2"/>
      <c r="M4423" s="2"/>
      <c r="N4423" s="4" t="s">
        <v>2273</v>
      </c>
      <c r="O4423" s="4" t="str">
        <f>LEFT(Table2[[#This Row],[Description]],75)</f>
        <v>Share</v>
      </c>
      <c r="P4423" s="2" t="s">
        <v>2448</v>
      </c>
    </row>
    <row r="4424" spans="1:16" hidden="1">
      <c r="A4424" s="2">
        <v>202103</v>
      </c>
      <c r="B4424" s="3">
        <v>44258</v>
      </c>
      <c r="C4424" s="2" t="s">
        <v>2262</v>
      </c>
      <c r="D4424" s="2" t="s">
        <v>1707</v>
      </c>
      <c r="E4424" s="2">
        <v>9.73</v>
      </c>
      <c r="F4424" s="2" t="str">
        <f>IF(Table2[[#This Row],[Manual Cat Value]]="",VLOOKUP(Table2[[#This Row],[Description]],'Actuals Lookup'!D:F,3,0),Table2[[#This Row],[Manual Cat Value]])</f>
        <v>Transportation</v>
      </c>
      <c r="J4424" s="2">
        <v>9.73</v>
      </c>
      <c r="K4424" s="2" t="b">
        <v>0</v>
      </c>
      <c r="L4424" s="2"/>
      <c r="M4424" s="2"/>
      <c r="N4424" s="4" t="s">
        <v>2259</v>
      </c>
      <c r="O4424" s="4" t="str">
        <f>LEFT(Table2[[#This Row],[Description]],75)</f>
        <v>Speedway</v>
      </c>
      <c r="P4424" s="2" t="s">
        <v>2381</v>
      </c>
    </row>
    <row r="4425" spans="1:16" hidden="1">
      <c r="A4425" s="2">
        <v>202103</v>
      </c>
      <c r="B4425" s="3">
        <v>44258</v>
      </c>
      <c r="C4425" s="2" t="s">
        <v>2262</v>
      </c>
      <c r="D4425" s="2" t="s">
        <v>1707</v>
      </c>
      <c r="E4425" s="2">
        <v>33.200000000000003</v>
      </c>
      <c r="F4425" s="2" t="str">
        <f>IF(Table2[[#This Row],[Manual Cat Value]]="",VLOOKUP(Table2[[#This Row],[Description]],'Actuals Lookup'!D:F,3,0),Table2[[#This Row],[Manual Cat Value]])</f>
        <v>Transportation</v>
      </c>
      <c r="J4425" s="2">
        <v>33.200000000000003</v>
      </c>
      <c r="K4425" s="2" t="b">
        <v>0</v>
      </c>
      <c r="L4425" s="2"/>
      <c r="M4425" s="2"/>
      <c r="N4425" s="4" t="s">
        <v>2259</v>
      </c>
      <c r="O4425" s="4" t="str">
        <f>LEFT(Table2[[#This Row],[Description]],75)</f>
        <v>Speedway</v>
      </c>
      <c r="P4425" s="2" t="s">
        <v>2381</v>
      </c>
    </row>
    <row r="4426" spans="1:16" hidden="1">
      <c r="A4426" s="2">
        <v>202103</v>
      </c>
      <c r="B4426" s="3">
        <v>44258</v>
      </c>
      <c r="C4426" s="2" t="s">
        <v>2300</v>
      </c>
      <c r="D4426" s="2" t="s">
        <v>1905</v>
      </c>
      <c r="E4426" s="2">
        <v>1150</v>
      </c>
      <c r="F4426" s="2" t="e">
        <f>IF(Table2[[#This Row],[Manual Cat Value]]="",VLOOKUP(Table2[[#This Row],[Description]],'Actuals Lookup'!D:F,3,0),Table2[[#This Row],[Manual Cat Value]])</f>
        <v>#N/A</v>
      </c>
      <c r="J4426" s="2">
        <v>1150</v>
      </c>
      <c r="K4426" s="2" t="b">
        <v>0</v>
      </c>
      <c r="L4426" s="2"/>
      <c r="M4426" s="2"/>
      <c r="N4426" s="4" t="s">
        <v>2259</v>
      </c>
      <c r="O4426" s="4" t="str">
        <f>LEFT(Table2[[#This Row],[Description]],75)</f>
        <v>To Share 70</v>
      </c>
      <c r="P4426" s="2" t="s">
        <v>2281</v>
      </c>
    </row>
    <row r="4427" spans="1:16" hidden="1">
      <c r="A4427" s="2">
        <v>202103</v>
      </c>
      <c r="B4427" s="3">
        <v>44259</v>
      </c>
      <c r="C4427" s="2" t="s">
        <v>2262</v>
      </c>
      <c r="D4427" s="2" t="s">
        <v>1423</v>
      </c>
      <c r="E4427" s="2">
        <v>-390.29</v>
      </c>
      <c r="F4427" s="2" t="e">
        <f>IF(Table2[[#This Row],[Manual Cat Value]]="",VLOOKUP(Table2[[#This Row],[Description]],'Actuals Lookup'!D:F,3,0),Table2[[#This Row],[Manual Cat Value]])</f>
        <v>#N/A</v>
      </c>
      <c r="J4427" s="2">
        <v>390.29</v>
      </c>
      <c r="K4427" s="2" t="b">
        <v>0</v>
      </c>
      <c r="L4427" s="2"/>
      <c r="M4427" s="2"/>
      <c r="N4427" s="4" t="s">
        <v>2273</v>
      </c>
      <c r="O4427" s="4" t="str">
        <f>LEFT(Table2[[#This Row],[Description]],75)</f>
        <v>PAYMENT THANK YOU</v>
      </c>
      <c r="P4427" s="2" t="s">
        <v>2391</v>
      </c>
    </row>
    <row r="4428" spans="1:16" hidden="1">
      <c r="A4428" s="2">
        <v>202103</v>
      </c>
      <c r="B4428" s="3">
        <v>44259</v>
      </c>
      <c r="C4428" s="2" t="s">
        <v>2265</v>
      </c>
      <c r="D4428" s="2" t="s">
        <v>2176</v>
      </c>
      <c r="E4428" s="2">
        <v>390.29</v>
      </c>
      <c r="F4428" s="2" t="e">
        <f>IF(Table2[[#This Row],[Manual Cat Value]]="",VLOOKUP(Table2[[#This Row],[Description]],'Actuals Lookup'!D:F,3,0),Table2[[#This Row],[Manual Cat Value]])</f>
        <v>#N/A</v>
      </c>
      <c r="J4428" s="2">
        <v>390.29</v>
      </c>
      <c r="K4428" s="2" t="b">
        <v>0</v>
      </c>
      <c r="L4428" s="2"/>
      <c r="M4428" s="2"/>
      <c r="N4428" s="4" t="s">
        <v>2259</v>
      </c>
      <c r="O4428" s="4" t="str">
        <f>LEFT(Table2[[#This Row],[Description]],75)</f>
        <v>Withdrawal Home payment to card 979181</v>
      </c>
      <c r="P4428" s="2" t="s">
        <v>2349</v>
      </c>
    </row>
    <row r="4429" spans="1:16" hidden="1">
      <c r="A4429" s="2">
        <v>202103</v>
      </c>
      <c r="B4429" s="3">
        <v>44259</v>
      </c>
      <c r="C4429" s="2" t="s">
        <v>2262</v>
      </c>
      <c r="D4429" s="2" t="s">
        <v>2135</v>
      </c>
      <c r="E4429" s="2">
        <v>32.56</v>
      </c>
      <c r="F4429" s="2" t="str">
        <f>IF(Table2[[#This Row],[Manual Cat Value]]="",VLOOKUP(Table2[[#This Row],[Description]],'Actuals Lookup'!D:F,3,0),Table2[[#This Row],[Manual Cat Value]])</f>
        <v>Groceries</v>
      </c>
      <c r="J4429" s="2">
        <v>32.56</v>
      </c>
      <c r="K4429" s="2" t="b">
        <v>0</v>
      </c>
      <c r="L4429" s="2"/>
      <c r="M4429" s="2"/>
      <c r="N4429" s="4" t="s">
        <v>2259</v>
      </c>
      <c r="O4429" s="4" t="str">
        <f>LEFT(Table2[[#This Row],[Description]],75)</f>
        <v>Walgreens</v>
      </c>
      <c r="P4429" s="2" t="s">
        <v>2389</v>
      </c>
    </row>
    <row r="4430" spans="1:16" hidden="1">
      <c r="A4430" s="2">
        <v>202103</v>
      </c>
      <c r="B4430" s="3">
        <v>44260</v>
      </c>
      <c r="C4430" s="2" t="s">
        <v>2317</v>
      </c>
      <c r="D4430" s="2" t="s">
        <v>354</v>
      </c>
      <c r="E4430" s="2">
        <v>-200</v>
      </c>
      <c r="F4430" s="2" t="e">
        <f>IF(Table2[[#This Row],[Manual Cat Value]]="",VLOOKUP(Table2[[#This Row],[Description]],'Actuals Lookup'!D:F,3,0),Table2[[#This Row],[Manual Cat Value]])</f>
        <v>#N/A</v>
      </c>
      <c r="J4430" s="2">
        <v>200</v>
      </c>
      <c r="K4430" s="2" t="b">
        <v>0</v>
      </c>
      <c r="L4430" s="2"/>
      <c r="M4430" s="2"/>
      <c r="N4430" s="4" t="s">
        <v>2273</v>
      </c>
      <c r="O4430" s="4" t="str">
        <f>LEFT(Table2[[#This Row],[Description]],75)</f>
        <v>CARGILL COCOA &amp;</v>
      </c>
      <c r="P4430" s="2" t="s">
        <v>2354</v>
      </c>
    </row>
    <row r="4431" spans="1:16" hidden="1">
      <c r="A4431" s="2">
        <v>202103</v>
      </c>
      <c r="B4431" s="3">
        <v>44260</v>
      </c>
      <c r="C4431" s="2" t="s">
        <v>2262</v>
      </c>
      <c r="D4431" s="2" t="s">
        <v>906</v>
      </c>
      <c r="E4431" s="2">
        <v>69.05</v>
      </c>
      <c r="F4431" s="2" t="e">
        <f>IF(Table2[[#This Row],[Manual Cat Value]]="",VLOOKUP(Table2[[#This Row],[Description]],'Actuals Lookup'!D:F,3,0),Table2[[#This Row],[Manual Cat Value]])</f>
        <v>#N/A</v>
      </c>
      <c r="J4431" s="2">
        <v>69.05</v>
      </c>
      <c r="K4431" s="2" t="b">
        <v>0</v>
      </c>
      <c r="L4431" s="2"/>
      <c r="M4431" s="2"/>
      <c r="N4431" s="4" t="s">
        <v>2259</v>
      </c>
      <c r="O4431" s="4" t="str">
        <f>LEFT(Table2[[#This Row],[Description]],75)</f>
        <v>GRANDMAS SALOON GRILL DULUTH MN</v>
      </c>
      <c r="P4431" s="2" t="s">
        <v>2281</v>
      </c>
    </row>
    <row r="4432" spans="1:16" hidden="1">
      <c r="A4432" s="2">
        <v>202103</v>
      </c>
      <c r="B4432" s="3">
        <v>44260</v>
      </c>
      <c r="C4432" s="2" t="s">
        <v>2317</v>
      </c>
      <c r="D4432" s="2" t="s">
        <v>1635</v>
      </c>
      <c r="E4432" s="2">
        <v>200</v>
      </c>
      <c r="F4432" s="2" t="e">
        <f>IF(Table2[[#This Row],[Manual Cat Value]]="",VLOOKUP(Table2[[#This Row],[Description]],'Actuals Lookup'!D:F,3,0),Table2[[#This Row],[Manual Cat Value]])</f>
        <v>#N/A</v>
      </c>
      <c r="J4432" s="2">
        <v>200</v>
      </c>
      <c r="K4432" s="2" t="b">
        <v>0</v>
      </c>
      <c r="L4432" s="2"/>
      <c r="M4432" s="2"/>
      <c r="N4432" s="4" t="s">
        <v>2259</v>
      </c>
      <c r="O4432" s="4" t="str">
        <f>LEFT(Table2[[#This Row],[Description]],75)</f>
        <v>SCHWAB TOTAL STOCK MKT INDEX</v>
      </c>
      <c r="P4432" s="2" t="s">
        <v>2278</v>
      </c>
    </row>
    <row r="4433" spans="1:16" hidden="1">
      <c r="A4433" s="2">
        <v>202103</v>
      </c>
      <c r="B4433" s="3">
        <v>44260</v>
      </c>
      <c r="C4433" s="2" t="s">
        <v>2317</v>
      </c>
      <c r="D4433" s="2" t="s">
        <v>1774</v>
      </c>
      <c r="E4433" s="2">
        <v>-20.93</v>
      </c>
      <c r="F4433" s="2" t="e">
        <f>IF(Table2[[#This Row],[Manual Cat Value]]="",VLOOKUP(Table2[[#This Row],[Description]],'Actuals Lookup'!D:F,3,0),Table2[[#This Row],[Manual Cat Value]])</f>
        <v>#N/A</v>
      </c>
      <c r="J4433" s="2">
        <v>20.93</v>
      </c>
      <c r="K4433" s="2" t="b">
        <v>0</v>
      </c>
      <c r="L4433" s="2"/>
      <c r="M4433" s="2"/>
      <c r="N4433" s="4" t="s">
        <v>2273</v>
      </c>
      <c r="O4433" s="4" t="str">
        <f>LEFT(Table2[[#This Row],[Description]],75)</f>
        <v>STARBUCKS CORP</v>
      </c>
      <c r="P4433" s="2" t="s">
        <v>2416</v>
      </c>
    </row>
    <row r="4434" spans="1:16" hidden="1">
      <c r="A4434" s="2">
        <v>202103</v>
      </c>
      <c r="B4434" s="3">
        <v>44260</v>
      </c>
      <c r="C4434" s="2" t="s">
        <v>2434</v>
      </c>
      <c r="D4434" s="2" t="s">
        <v>1834</v>
      </c>
      <c r="E4434" s="2">
        <v>-231</v>
      </c>
      <c r="F4434" s="2" t="e">
        <f>IF(Table2[[#This Row],[Manual Cat Value]]="",VLOOKUP(Table2[[#This Row],[Description]],'Actuals Lookup'!D:F,3,0),Table2[[#This Row],[Manual Cat Value]])</f>
        <v>#N/A</v>
      </c>
      <c r="J4434" s="2">
        <v>231</v>
      </c>
      <c r="K4434" s="2" t="b">
        <v>0</v>
      </c>
      <c r="L4434" s="2"/>
      <c r="M4434" s="2"/>
      <c r="N4434" s="4" t="s">
        <v>2273</v>
      </c>
      <c r="O4434" s="4" t="str">
        <f>LEFT(Table2[[#This Row],[Description]],75)</f>
        <v>Tfr JPMORGAN CHASE BAN, CARGILL COCOA &amp;</v>
      </c>
      <c r="P4434" s="2" t="s">
        <v>2356</v>
      </c>
    </row>
    <row r="4435" spans="1:16" hidden="1">
      <c r="A4435" s="2">
        <v>202103</v>
      </c>
      <c r="B4435" s="3">
        <v>44260</v>
      </c>
      <c r="C4435" s="2" t="s">
        <v>2262</v>
      </c>
      <c r="D4435" s="2" t="s">
        <v>1911</v>
      </c>
      <c r="E4435" s="2">
        <v>13.27</v>
      </c>
      <c r="F4435" s="2" t="e">
        <f>IF(Table2[[#This Row],[Manual Cat Value]]="",VLOOKUP(Table2[[#This Row],[Description]],'Actuals Lookup'!D:F,3,0),Table2[[#This Row],[Manual Cat Value]])</f>
        <v>#N/A</v>
      </c>
      <c r="J4435" s="2">
        <v>13.27</v>
      </c>
      <c r="K4435" s="2" t="b">
        <v>0</v>
      </c>
      <c r="L4435" s="2"/>
      <c r="M4435" s="2"/>
      <c r="N4435" s="4" t="s">
        <v>2259</v>
      </c>
      <c r="O4435" s="4" t="str">
        <f>LEFT(Table2[[#This Row],[Description]],75)</f>
        <v>Tobies Station, Inc.</v>
      </c>
      <c r="P4435" s="2" t="s">
        <v>2281</v>
      </c>
    </row>
    <row r="4436" spans="1:16" hidden="1">
      <c r="A4436" s="2">
        <v>202103</v>
      </c>
      <c r="B4436" s="3">
        <v>44261</v>
      </c>
      <c r="C4436" s="2" t="s">
        <v>2258</v>
      </c>
      <c r="D4436" s="2" t="s">
        <v>2131</v>
      </c>
      <c r="E4436" s="2">
        <v>10</v>
      </c>
      <c r="F4436" s="2" t="e">
        <f>IF(Table2[[#This Row],[Manual Cat Value]]="",VLOOKUP(Table2[[#This Row],[Description]],'Actuals Lookup'!D:F,3,0),Table2[[#This Row],[Manual Cat Value]])</f>
        <v>#N/A</v>
      </c>
      <c r="J4436" s="2">
        <v>10</v>
      </c>
      <c r="K4436" s="2" t="b">
        <v>0</v>
      </c>
      <c r="L4436" s="2"/>
      <c r="M4436" s="2"/>
      <c r="N4436" s="4" t="s">
        <v>2259</v>
      </c>
      <c r="O4436" s="4" t="str">
        <f>LEFT(Table2[[#This Row],[Description]],75)</f>
        <v>VOYAGERSBREWINGCOMPANY GRANDMARAIS MN</v>
      </c>
      <c r="P4436" s="2" t="s">
        <v>2281</v>
      </c>
    </row>
    <row r="4437" spans="1:16" hidden="1">
      <c r="A4437" s="2">
        <v>202103</v>
      </c>
      <c r="B4437" s="3">
        <v>44261</v>
      </c>
      <c r="C4437" s="2" t="s">
        <v>2447</v>
      </c>
      <c r="D4437" s="2" t="s">
        <v>2131</v>
      </c>
      <c r="E4437" s="2">
        <v>10</v>
      </c>
      <c r="F4437" s="2" t="e">
        <f>IF(Table2[[#This Row],[Manual Cat Value]]="",VLOOKUP(Table2[[#This Row],[Description]],'Actuals Lookup'!D:F,3,0),Table2[[#This Row],[Manual Cat Value]])</f>
        <v>#N/A</v>
      </c>
      <c r="J4437" s="2">
        <v>10</v>
      </c>
      <c r="K4437" s="2" t="b">
        <v>0</v>
      </c>
      <c r="L4437" s="2"/>
      <c r="M4437" s="2"/>
      <c r="N4437" s="4" t="s">
        <v>2259</v>
      </c>
      <c r="O4437" s="4" t="str">
        <f>LEFT(Table2[[#This Row],[Description]],75)</f>
        <v>VOYAGERSBREWINGCOMPANY GRANDMARAIS MN</v>
      </c>
      <c r="P4437" s="2"/>
    </row>
    <row r="4438" spans="1:16" hidden="1">
      <c r="A4438" s="2">
        <v>202103</v>
      </c>
      <c r="B4438" s="3">
        <v>44262</v>
      </c>
      <c r="C4438" s="2" t="s">
        <v>2262</v>
      </c>
      <c r="D4438" s="2" t="s">
        <v>461</v>
      </c>
      <c r="E4438" s="2">
        <v>33</v>
      </c>
      <c r="F4438" s="2" t="e">
        <f>IF(Table2[[#This Row],[Manual Cat Value]]="",VLOOKUP(Table2[[#This Row],[Description]],'Actuals Lookup'!D:F,3,0),Table2[[#This Row],[Manual Cat Value]])</f>
        <v>#N/A</v>
      </c>
      <c r="J4438" s="2">
        <v>33</v>
      </c>
      <c r="K4438" s="2" t="b">
        <v>0</v>
      </c>
      <c r="L4438" s="2"/>
      <c r="M4438" s="2"/>
      <c r="N4438" s="4" t="s">
        <v>2259</v>
      </c>
      <c r="O4438" s="4" t="str">
        <f>LEFT(Table2[[#This Row],[Description]],75)</f>
        <v>CASTLE DANGER BREWING CO TWO HARBORS MN</v>
      </c>
      <c r="P4438" s="2" t="s">
        <v>2281</v>
      </c>
    </row>
    <row r="4439" spans="1:16" hidden="1">
      <c r="A4439" s="2">
        <v>202103</v>
      </c>
      <c r="B4439" s="3">
        <v>44262</v>
      </c>
      <c r="C4439" s="2" t="s">
        <v>2258</v>
      </c>
      <c r="D4439" s="2" t="s">
        <v>570</v>
      </c>
      <c r="E4439" s="2">
        <v>10.66</v>
      </c>
      <c r="F4439" s="2" t="e">
        <f>IF(Table2[[#This Row],[Manual Cat Value]]="",VLOOKUP(Table2[[#This Row],[Description]],'Actuals Lookup'!D:F,3,0),Table2[[#This Row],[Manual Cat Value]])</f>
        <v>#N/A</v>
      </c>
      <c r="J4439" s="2">
        <v>10.66</v>
      </c>
      <c r="K4439" s="2" t="b">
        <v>0</v>
      </c>
      <c r="L4439" s="2"/>
      <c r="M4439" s="2"/>
      <c r="N4439" s="4" t="s">
        <v>2259</v>
      </c>
      <c r="O4439" s="4" t="str">
        <f>LEFT(Table2[[#This Row],[Description]],75)</f>
        <v>COHO CAFE TOFTE MN</v>
      </c>
      <c r="P4439" s="2" t="s">
        <v>2281</v>
      </c>
    </row>
    <row r="4440" spans="1:16" hidden="1">
      <c r="A4440" s="2">
        <v>202103</v>
      </c>
      <c r="B4440" s="3">
        <v>44262</v>
      </c>
      <c r="C4440" s="2" t="s">
        <v>2447</v>
      </c>
      <c r="D4440" s="2" t="s">
        <v>570</v>
      </c>
      <c r="E4440" s="2">
        <v>10.66</v>
      </c>
      <c r="F4440" s="2" t="e">
        <f>IF(Table2[[#This Row],[Manual Cat Value]]="",VLOOKUP(Table2[[#This Row],[Description]],'Actuals Lookup'!D:F,3,0),Table2[[#This Row],[Manual Cat Value]])</f>
        <v>#N/A</v>
      </c>
      <c r="J4440" s="2">
        <v>10.66</v>
      </c>
      <c r="K4440" s="2" t="b">
        <v>0</v>
      </c>
      <c r="L4440" s="2"/>
      <c r="M4440" s="2"/>
      <c r="N4440" s="4" t="s">
        <v>2259</v>
      </c>
      <c r="O4440" s="4" t="str">
        <f>LEFT(Table2[[#This Row],[Description]],75)</f>
        <v>COHO CAFE TOFTE MN</v>
      </c>
      <c r="P4440" s="2"/>
    </row>
    <row r="4441" spans="1:16" hidden="1">
      <c r="A4441" s="2">
        <v>202103</v>
      </c>
      <c r="B4441" s="3">
        <v>44262</v>
      </c>
      <c r="C4441" s="2" t="s">
        <v>2262</v>
      </c>
      <c r="D4441" s="2" t="s">
        <v>1167</v>
      </c>
      <c r="E4441" s="2">
        <v>17.87</v>
      </c>
      <c r="F4441" s="2" t="e">
        <f>IF(Table2[[#This Row],[Manual Cat Value]]="",VLOOKUP(Table2[[#This Row],[Description]],'Actuals Lookup'!D:F,3,0),Table2[[#This Row],[Manual Cat Value]])</f>
        <v>#N/A</v>
      </c>
      <c r="J4441" s="2">
        <v>17.87</v>
      </c>
      <c r="K4441" s="2" t="b">
        <v>0</v>
      </c>
      <c r="L4441" s="2"/>
      <c r="M4441" s="2"/>
      <c r="N4441" s="4" t="s">
        <v>2259</v>
      </c>
      <c r="O4441" s="4" t="str">
        <f>LEFT(Table2[[#This Row],[Description]],75)</f>
        <v>LUTSEN MOUNTAINS FB WWWLUTSENCOMN</v>
      </c>
      <c r="P4441" s="2" t="s">
        <v>2281</v>
      </c>
    </row>
    <row r="4442" spans="1:16" hidden="1">
      <c r="A4442" s="2">
        <v>202103</v>
      </c>
      <c r="B4442" s="3">
        <v>44262</v>
      </c>
      <c r="C4442" s="2" t="s">
        <v>2258</v>
      </c>
      <c r="D4442" s="2" t="s">
        <v>1330</v>
      </c>
      <c r="E4442" s="2">
        <v>27.03</v>
      </c>
      <c r="F4442" s="2" t="e">
        <f>IF(Table2[[#This Row],[Manual Cat Value]]="",VLOOKUP(Table2[[#This Row],[Description]],'Actuals Lookup'!D:F,3,0),Table2[[#This Row],[Manual Cat Value]])</f>
        <v>#N/A</v>
      </c>
      <c r="J4442" s="2">
        <v>27.03</v>
      </c>
      <c r="K4442" s="2" t="b">
        <v>0</v>
      </c>
      <c r="L4442" s="2"/>
      <c r="M4442" s="2"/>
      <c r="N4442" s="4" t="s">
        <v>2259</v>
      </c>
      <c r="O4442" s="4" t="str">
        <f>LEFT(Table2[[#This Row],[Description]],75)</f>
        <v>MOUNTAIN SHOPS, INC LUTSEN MN</v>
      </c>
      <c r="P4442" s="2" t="s">
        <v>2281</v>
      </c>
    </row>
    <row r="4443" spans="1:16" hidden="1">
      <c r="A4443" s="2">
        <v>202103</v>
      </c>
      <c r="B4443" s="3">
        <v>44262</v>
      </c>
      <c r="C4443" s="2" t="s">
        <v>2447</v>
      </c>
      <c r="D4443" s="2" t="s">
        <v>1330</v>
      </c>
      <c r="E4443" s="2">
        <v>27.03</v>
      </c>
      <c r="F4443" s="2" t="e">
        <f>IF(Table2[[#This Row],[Manual Cat Value]]="",VLOOKUP(Table2[[#This Row],[Description]],'Actuals Lookup'!D:F,3,0),Table2[[#This Row],[Manual Cat Value]])</f>
        <v>#N/A</v>
      </c>
      <c r="J4443" s="2">
        <v>27.03</v>
      </c>
      <c r="K4443" s="2" t="b">
        <v>0</v>
      </c>
      <c r="L4443" s="2"/>
      <c r="M4443" s="2"/>
      <c r="N4443" s="4" t="s">
        <v>2259</v>
      </c>
      <c r="O4443" s="4" t="str">
        <f>LEFT(Table2[[#This Row],[Description]],75)</f>
        <v>MOUNTAIN SHOPS, INC LUTSEN MN</v>
      </c>
      <c r="P4443" s="2"/>
    </row>
    <row r="4444" spans="1:16" hidden="1">
      <c r="A4444" s="2">
        <v>202103</v>
      </c>
      <c r="B4444" s="3">
        <v>44262</v>
      </c>
      <c r="C4444" s="2" t="s">
        <v>2262</v>
      </c>
      <c r="D4444" s="2" t="s">
        <v>1394</v>
      </c>
      <c r="E4444" s="2">
        <v>52.5</v>
      </c>
      <c r="F4444" s="2" t="e">
        <f>IF(Table2[[#This Row],[Manual Cat Value]]="",VLOOKUP(Table2[[#This Row],[Description]],'Actuals Lookup'!D:F,3,0),Table2[[#This Row],[Manual Cat Value]])</f>
        <v>#N/A</v>
      </c>
      <c r="J4444" s="2">
        <v>52.5</v>
      </c>
      <c r="K4444" s="2" t="b">
        <v>0</v>
      </c>
      <c r="L4444" s="2"/>
      <c r="M4444" s="2"/>
      <c r="N4444" s="4" t="s">
        <v>2259</v>
      </c>
      <c r="O4444" s="4" t="str">
        <f>LEFT(Table2[[#This Row],[Description]],75)</f>
        <v>PAPA CHARLIES RSTRNT LUTSEN MN</v>
      </c>
      <c r="P4444" s="2" t="s">
        <v>2281</v>
      </c>
    </row>
    <row r="4445" spans="1:16" hidden="1">
      <c r="A4445" s="2">
        <v>202103</v>
      </c>
      <c r="B4445" s="3">
        <v>44262</v>
      </c>
      <c r="C4445" s="2" t="s">
        <v>2262</v>
      </c>
      <c r="D4445" s="2" t="s">
        <v>1790</v>
      </c>
      <c r="E4445" s="2">
        <v>43.54</v>
      </c>
      <c r="F4445" s="2" t="e">
        <f>IF(Table2[[#This Row],[Manual Cat Value]]="",VLOOKUP(Table2[[#This Row],[Description]],'Actuals Lookup'!D:F,3,0),Table2[[#This Row],[Manual Cat Value]])</f>
        <v>#N/A</v>
      </c>
      <c r="J4445" s="2">
        <v>43.54</v>
      </c>
      <c r="K4445" s="2" t="b">
        <v>0</v>
      </c>
      <c r="L4445" s="2"/>
      <c r="M4445" s="2"/>
      <c r="N4445" s="4" t="s">
        <v>2259</v>
      </c>
      <c r="O4445" s="4" t="str">
        <f>LEFT(Table2[[#This Row],[Description]],75)</f>
        <v>SUMMIT CHALET LUTSEN MN</v>
      </c>
      <c r="P4445" s="2" t="s">
        <v>2281</v>
      </c>
    </row>
    <row r="4446" spans="1:16" hidden="1">
      <c r="A4446" s="2">
        <v>202103</v>
      </c>
      <c r="B4446" s="3">
        <v>44262</v>
      </c>
      <c r="C4446" s="2" t="s">
        <v>2262</v>
      </c>
      <c r="D4446" s="2" t="s">
        <v>1790</v>
      </c>
      <c r="E4446" s="2">
        <v>49.42</v>
      </c>
      <c r="F4446" s="2" t="e">
        <f>IF(Table2[[#This Row],[Manual Cat Value]]="",VLOOKUP(Table2[[#This Row],[Description]],'Actuals Lookup'!D:F,3,0),Table2[[#This Row],[Manual Cat Value]])</f>
        <v>#N/A</v>
      </c>
      <c r="J4446" s="2">
        <v>49.42</v>
      </c>
      <c r="K4446" s="2" t="b">
        <v>0</v>
      </c>
      <c r="L4446" s="2"/>
      <c r="M4446" s="2"/>
      <c r="N4446" s="4" t="s">
        <v>2259</v>
      </c>
      <c r="O4446" s="4" t="str">
        <f>LEFT(Table2[[#This Row],[Description]],75)</f>
        <v>SUMMIT CHALET LUTSEN MN</v>
      </c>
      <c r="P4446" s="2" t="s">
        <v>2281</v>
      </c>
    </row>
    <row r="4447" spans="1:16" hidden="1">
      <c r="A4447" s="2">
        <v>202103</v>
      </c>
      <c r="B4447" s="3">
        <v>44263</v>
      </c>
      <c r="C4447" s="2" t="s">
        <v>2258</v>
      </c>
      <c r="D4447" s="2" t="s">
        <v>38</v>
      </c>
      <c r="E4447" s="2">
        <v>86.93</v>
      </c>
      <c r="F4447" s="2" t="str">
        <f>IF(Table2[[#This Row],[Manual Cat Value]]="",VLOOKUP(Table2[[#This Row],[Description]],'Actuals Lookup'!D:F,3,0),Table2[[#This Row],[Manual Cat Value]])</f>
        <v>Amazon</v>
      </c>
      <c r="J4447" s="2">
        <v>86.93</v>
      </c>
      <c r="K4447" s="2" t="b">
        <v>0</v>
      </c>
      <c r="L4447" s="2"/>
      <c r="M4447" s="2"/>
      <c r="N4447" s="4" t="s">
        <v>2259</v>
      </c>
      <c r="O4447" s="4" t="str">
        <f>LEFT(Table2[[#This Row],[Description]],75)</f>
        <v>Amazon</v>
      </c>
      <c r="P4447" s="2" t="s">
        <v>2260</v>
      </c>
    </row>
    <row r="4448" spans="1:16" hidden="1">
      <c r="A4448" s="2">
        <v>202103</v>
      </c>
      <c r="B4448" s="3">
        <v>44263</v>
      </c>
      <c r="C4448" s="2" t="s">
        <v>2447</v>
      </c>
      <c r="D4448" s="2" t="s">
        <v>38</v>
      </c>
      <c r="E4448" s="2">
        <v>86.93</v>
      </c>
      <c r="F4448" s="2" t="str">
        <f>IF(Table2[[#This Row],[Manual Cat Value]]="",VLOOKUP(Table2[[#This Row],[Description]],'Actuals Lookup'!D:F,3,0),Table2[[#This Row],[Manual Cat Value]])</f>
        <v>Amazon</v>
      </c>
      <c r="J4448" s="2">
        <v>86.93</v>
      </c>
      <c r="K4448" s="2" t="b">
        <v>0</v>
      </c>
      <c r="L4448" s="2"/>
      <c r="M4448" s="2"/>
      <c r="N4448" s="4" t="s">
        <v>2259</v>
      </c>
      <c r="O4448" s="4" t="str">
        <f>LEFT(Table2[[#This Row],[Description]],75)</f>
        <v>Amazon</v>
      </c>
      <c r="P4448" s="2" t="s">
        <v>2260</v>
      </c>
    </row>
    <row r="4449" spans="1:16" hidden="1">
      <c r="A4449" s="2">
        <v>202103</v>
      </c>
      <c r="B4449" s="3">
        <v>44263</v>
      </c>
      <c r="C4449" s="2" t="s">
        <v>2258</v>
      </c>
      <c r="D4449" s="2" t="s">
        <v>798</v>
      </c>
      <c r="E4449" s="2">
        <v>18.59</v>
      </c>
      <c r="F4449" s="2" t="e">
        <f>IF(Table2[[#This Row],[Manual Cat Value]]="",VLOOKUP(Table2[[#This Row],[Description]],'Actuals Lookup'!D:F,3,0),Table2[[#This Row],[Manual Cat Value]])</f>
        <v>#N/A</v>
      </c>
      <c r="J4449" s="2">
        <v>18.59</v>
      </c>
      <c r="K4449" s="2" t="b">
        <v>0</v>
      </c>
      <c r="L4449" s="2"/>
      <c r="M4449" s="2"/>
      <c r="N4449" s="4" t="s">
        <v>2259</v>
      </c>
      <c r="O4449" s="4" t="str">
        <f>LEFT(Table2[[#This Row],[Description]],75)</f>
        <v>E&amp;G - 1012 DULUTH DULUTH MN</v>
      </c>
      <c r="P4449" s="2" t="s">
        <v>2281</v>
      </c>
    </row>
    <row r="4450" spans="1:16" hidden="1">
      <c r="A4450" s="2">
        <v>202103</v>
      </c>
      <c r="B4450" s="3">
        <v>44263</v>
      </c>
      <c r="C4450" s="2" t="s">
        <v>2447</v>
      </c>
      <c r="D4450" s="2" t="s">
        <v>798</v>
      </c>
      <c r="E4450" s="2">
        <v>18.59</v>
      </c>
      <c r="F4450" s="2" t="e">
        <f>IF(Table2[[#This Row],[Manual Cat Value]]="",VLOOKUP(Table2[[#This Row],[Description]],'Actuals Lookup'!D:F,3,0),Table2[[#This Row],[Manual Cat Value]])</f>
        <v>#N/A</v>
      </c>
      <c r="J4450" s="2">
        <v>18.59</v>
      </c>
      <c r="K4450" s="2" t="b">
        <v>0</v>
      </c>
      <c r="L4450" s="2"/>
      <c r="M4450" s="2"/>
      <c r="N4450" s="4" t="s">
        <v>2259</v>
      </c>
      <c r="O4450" s="4" t="str">
        <f>LEFT(Table2[[#This Row],[Description]],75)</f>
        <v>E&amp;G - 1012 DULUTH DULUTH MN</v>
      </c>
      <c r="P4450" s="2"/>
    </row>
    <row r="4451" spans="1:16" hidden="1">
      <c r="A4451" s="2">
        <v>202103</v>
      </c>
      <c r="B4451" s="3">
        <v>44263</v>
      </c>
      <c r="C4451" s="2" t="s">
        <v>2262</v>
      </c>
      <c r="D4451" s="2" t="s">
        <v>904</v>
      </c>
      <c r="E4451" s="2">
        <v>15.51</v>
      </c>
      <c r="F4451" s="2" t="e">
        <f>IF(Table2[[#This Row],[Manual Cat Value]]="",VLOOKUP(Table2[[#This Row],[Description]],'Actuals Lookup'!D:F,3,0),Table2[[#This Row],[Manual Cat Value]])</f>
        <v>#N/A</v>
      </c>
      <c r="J4451" s="2">
        <v>15.51</v>
      </c>
      <c r="K4451" s="2" t="b">
        <v>0</v>
      </c>
      <c r="L4451" s="2"/>
      <c r="M4451" s="2"/>
      <c r="N4451" s="4" t="s">
        <v>2259</v>
      </c>
      <c r="O4451" s="4" t="str">
        <f>LEFT(Table2[[#This Row],[Description]],75)</f>
        <v>GRAND MARIAS LIQUOR STORE2183871630 MN</v>
      </c>
      <c r="P4451" s="2" t="s">
        <v>2281</v>
      </c>
    </row>
    <row r="4452" spans="1:16" hidden="1">
      <c r="A4452" s="2">
        <v>202103</v>
      </c>
      <c r="B4452" s="3">
        <v>44263</v>
      </c>
      <c r="C4452" s="2" t="s">
        <v>2317</v>
      </c>
      <c r="D4452" s="2" t="s">
        <v>1774</v>
      </c>
      <c r="E4452" s="2">
        <v>20.93</v>
      </c>
      <c r="F4452" s="2" t="e">
        <f>IF(Table2[[#This Row],[Manual Cat Value]]="",VLOOKUP(Table2[[#This Row],[Description]],'Actuals Lookup'!D:F,3,0),Table2[[#This Row],[Manual Cat Value]])</f>
        <v>#N/A</v>
      </c>
      <c r="J4452" s="2">
        <v>20.93</v>
      </c>
      <c r="K4452" s="2" t="b">
        <v>0</v>
      </c>
      <c r="L4452" s="2"/>
      <c r="M4452" s="2"/>
      <c r="N4452" s="4" t="s">
        <v>2259</v>
      </c>
      <c r="O4452" s="4" t="str">
        <f>LEFT(Table2[[#This Row],[Description]],75)</f>
        <v>STARBUCKS CORP</v>
      </c>
      <c r="P4452" s="2" t="s">
        <v>2416</v>
      </c>
    </row>
    <row r="4453" spans="1:16" hidden="1">
      <c r="A4453" s="2">
        <v>202103</v>
      </c>
      <c r="B4453" s="3">
        <v>44263</v>
      </c>
      <c r="C4453" s="2" t="s">
        <v>2262</v>
      </c>
      <c r="D4453" s="2" t="s">
        <v>1908</v>
      </c>
      <c r="E4453" s="2">
        <v>10.11</v>
      </c>
      <c r="F4453" s="2" t="e">
        <f>IF(Table2[[#This Row],[Manual Cat Value]]="",VLOOKUP(Table2[[#This Row],[Description]],'Actuals Lookup'!D:F,3,0),Table2[[#This Row],[Manual Cat Value]])</f>
        <v>#N/A</v>
      </c>
      <c r="J4453" s="2">
        <v>10.11</v>
      </c>
      <c r="K4453" s="2" t="b">
        <v>0</v>
      </c>
      <c r="L4453" s="2"/>
      <c r="M4453" s="2"/>
      <c r="N4453" s="4" t="s">
        <v>2259</v>
      </c>
      <c r="O4453" s="4" t="str">
        <f>LEFT(Table2[[#This Row],[Description]],75)</f>
        <v>TOBIES CARIBOU 3203847968 MN</v>
      </c>
      <c r="P4453" s="2" t="s">
        <v>2281</v>
      </c>
    </row>
    <row r="4454" spans="1:16" hidden="1">
      <c r="A4454" s="2">
        <v>202103</v>
      </c>
      <c r="B4454" s="3">
        <v>44263</v>
      </c>
      <c r="C4454" s="2" t="s">
        <v>2265</v>
      </c>
      <c r="D4454" s="2" t="s">
        <v>2109</v>
      </c>
      <c r="E4454" s="2">
        <v>26.96</v>
      </c>
      <c r="F4454" s="2" t="str">
        <f>IF(Table2[[#This Row],[Manual Cat Value]]="",VLOOKUP(Table2[[#This Row],[Description]],'Actuals Lookup'!D:F,3,0),Table2[[#This Row],[Manual Cat Value]])</f>
        <v>Shopping</v>
      </c>
      <c r="J4454" s="2">
        <v>26.96</v>
      </c>
      <c r="K4454" s="2" t="b">
        <v>0</v>
      </c>
      <c r="L4454" s="2"/>
      <c r="M4454" s="2"/>
      <c r="N4454" s="4" t="s">
        <v>2259</v>
      </c>
      <c r="O4454" s="4" t="str">
        <f>LEFT(Table2[[#This Row],[Description]],75)</f>
        <v>Venmo</v>
      </c>
      <c r="P4454" s="2" t="s">
        <v>2281</v>
      </c>
    </row>
    <row r="4455" spans="1:16" hidden="1">
      <c r="A4455" s="2">
        <v>202103</v>
      </c>
      <c r="B4455" s="3">
        <v>44263</v>
      </c>
      <c r="C4455" s="2" t="s">
        <v>2262</v>
      </c>
      <c r="D4455" s="2" t="s">
        <v>2131</v>
      </c>
      <c r="E4455" s="2">
        <v>10</v>
      </c>
      <c r="F4455" s="2" t="e">
        <f>IF(Table2[[#This Row],[Manual Cat Value]]="",VLOOKUP(Table2[[#This Row],[Description]],'Actuals Lookup'!D:F,3,0),Table2[[#This Row],[Manual Cat Value]])</f>
        <v>#N/A</v>
      </c>
      <c r="J4455" s="2">
        <v>10</v>
      </c>
      <c r="K4455" s="2" t="b">
        <v>0</v>
      </c>
      <c r="L4455" s="2"/>
      <c r="M4455" s="2"/>
      <c r="N4455" s="4" t="s">
        <v>2259</v>
      </c>
      <c r="O4455" s="4" t="str">
        <f>LEFT(Table2[[#This Row],[Description]],75)</f>
        <v>VOYAGERSBREWINGCOMPANY GRANDMARAIS MN</v>
      </c>
      <c r="P4455" s="2" t="s">
        <v>2281</v>
      </c>
    </row>
    <row r="4456" spans="1:16" hidden="1">
      <c r="A4456" s="2">
        <v>202103</v>
      </c>
      <c r="B4456" s="3">
        <v>44264</v>
      </c>
      <c r="C4456" s="2" t="s">
        <v>2258</v>
      </c>
      <c r="D4456" s="2" t="s">
        <v>38</v>
      </c>
      <c r="E4456" s="2">
        <v>20.77</v>
      </c>
      <c r="F4456" s="2" t="str">
        <f>IF(Table2[[#This Row],[Manual Cat Value]]="",VLOOKUP(Table2[[#This Row],[Description]],'Actuals Lookup'!D:F,3,0),Table2[[#This Row],[Manual Cat Value]])</f>
        <v>Amazon</v>
      </c>
      <c r="J4456" s="2">
        <v>20.77</v>
      </c>
      <c r="K4456" s="2" t="b">
        <v>0</v>
      </c>
      <c r="L4456" s="2"/>
      <c r="M4456" s="2"/>
      <c r="N4456" s="4" t="s">
        <v>2259</v>
      </c>
      <c r="O4456" s="4" t="str">
        <f>LEFT(Table2[[#This Row],[Description]],75)</f>
        <v>Amazon</v>
      </c>
      <c r="P4456" s="2" t="s">
        <v>2260</v>
      </c>
    </row>
    <row r="4457" spans="1:16" hidden="1">
      <c r="A4457" s="2">
        <v>202103</v>
      </c>
      <c r="B4457" s="3">
        <v>44264</v>
      </c>
      <c r="C4457" s="2" t="s">
        <v>2447</v>
      </c>
      <c r="D4457" s="2" t="s">
        <v>38</v>
      </c>
      <c r="E4457" s="2">
        <v>20.77</v>
      </c>
      <c r="F4457" s="2" t="str">
        <f>IF(Table2[[#This Row],[Manual Cat Value]]="",VLOOKUP(Table2[[#This Row],[Description]],'Actuals Lookup'!D:F,3,0),Table2[[#This Row],[Manual Cat Value]])</f>
        <v>Amazon</v>
      </c>
      <c r="J4457" s="2">
        <v>20.77</v>
      </c>
      <c r="K4457" s="2" t="b">
        <v>0</v>
      </c>
      <c r="L4457" s="2"/>
      <c r="M4457" s="2"/>
      <c r="N4457" s="4" t="s">
        <v>2259</v>
      </c>
      <c r="O4457" s="4" t="str">
        <f>LEFT(Table2[[#This Row],[Description]],75)</f>
        <v>Amazon</v>
      </c>
      <c r="P4457" s="2" t="s">
        <v>2260</v>
      </c>
    </row>
    <row r="4458" spans="1:16" hidden="1">
      <c r="A4458" s="2">
        <v>202103</v>
      </c>
      <c r="B4458" s="3">
        <v>44264</v>
      </c>
      <c r="C4458" s="2" t="s">
        <v>2265</v>
      </c>
      <c r="D4458" s="2" t="s">
        <v>1471</v>
      </c>
      <c r="E4458" s="2">
        <v>7.55</v>
      </c>
      <c r="F4458" s="2" t="str">
        <f>IF(Table2[[#This Row],[Manual Cat Value]]="",VLOOKUP(Table2[[#This Row],[Description]],'Actuals Lookup'!D:F,3,0),Table2[[#This Row],[Manual Cat Value]])</f>
        <v>Shopping</v>
      </c>
      <c r="J4458" s="2">
        <v>7.55</v>
      </c>
      <c r="K4458" s="2" t="b">
        <v>0</v>
      </c>
      <c r="L4458" s="2"/>
      <c r="M4458" s="2"/>
      <c r="N4458" s="4" t="s">
        <v>2259</v>
      </c>
      <c r="O4458" s="4" t="str">
        <f>LEFT(Table2[[#This Row],[Description]],75)</f>
        <v>PayPal</v>
      </c>
      <c r="P4458" s="2" t="s">
        <v>2322</v>
      </c>
    </row>
    <row r="4459" spans="1:16" hidden="1">
      <c r="A4459" s="2">
        <v>202103</v>
      </c>
      <c r="B4459" s="3">
        <v>44264</v>
      </c>
      <c r="C4459" s="2" t="s">
        <v>2262</v>
      </c>
      <c r="D4459" s="2" t="s">
        <v>1664</v>
      </c>
      <c r="E4459" s="2">
        <v>53.33</v>
      </c>
      <c r="F4459" s="2" t="str">
        <f>IF(Table2[[#This Row],[Manual Cat Value]]="",VLOOKUP(Table2[[#This Row],[Description]],'Actuals Lookup'!D:F,3,0),Table2[[#This Row],[Manual Cat Value]])</f>
        <v>Gifts</v>
      </c>
      <c r="J4459" s="2">
        <v>53.33</v>
      </c>
      <c r="K4459" s="2" t="b">
        <v>0</v>
      </c>
      <c r="L4459" s="2"/>
      <c r="M4459" s="2"/>
      <c r="N4459" s="4" t="s">
        <v>2259</v>
      </c>
      <c r="O4459" s="4" t="str">
        <f>LEFT(Table2[[#This Row],[Description]],75)</f>
        <v>Shutterfly</v>
      </c>
      <c r="P4459" s="2" t="s">
        <v>2281</v>
      </c>
    </row>
    <row r="4460" spans="1:16" hidden="1">
      <c r="A4460" s="2">
        <v>202103</v>
      </c>
      <c r="B4460" s="3">
        <v>44264</v>
      </c>
      <c r="C4460" s="2" t="s">
        <v>2265</v>
      </c>
      <c r="D4460" s="2" t="s">
        <v>2221</v>
      </c>
      <c r="E4460" s="2">
        <v>110.41</v>
      </c>
      <c r="F4460" s="2" t="str">
        <f>IF(Table2[[#This Row],[Manual Cat Value]]="",VLOOKUP(Table2[[#This Row],[Description]],'Actuals Lookup'!D:F,3,0),Table2[[#This Row],[Manual Cat Value]])</f>
        <v>Utilities</v>
      </c>
      <c r="J4460" s="2">
        <v>110.41</v>
      </c>
      <c r="K4460" s="2" t="b">
        <v>0</v>
      </c>
      <c r="L4460" s="2"/>
      <c r="M4460" s="2"/>
      <c r="N4460" s="4" t="s">
        <v>2259</v>
      </c>
      <c r="O4460" s="4" t="str">
        <f>LEFT(Table2[[#This Row],[Description]],75)</f>
        <v>Xcel Energy</v>
      </c>
      <c r="P4460" s="2" t="s">
        <v>2280</v>
      </c>
    </row>
    <row r="4461" spans="1:16" hidden="1">
      <c r="A4461" s="2">
        <v>202103</v>
      </c>
      <c r="B4461" s="3">
        <v>44265</v>
      </c>
      <c r="C4461" s="2" t="s">
        <v>2258</v>
      </c>
      <c r="D4461" s="2" t="s">
        <v>458</v>
      </c>
      <c r="E4461" s="2">
        <v>-21.81</v>
      </c>
      <c r="F4461" s="2" t="e">
        <f>IF(Table2[[#This Row],[Manual Cat Value]]="",VLOOKUP(Table2[[#This Row],[Description]],'Actuals Lookup'!D:F,3,0),Table2[[#This Row],[Manual Cat Value]])</f>
        <v>#N/A</v>
      </c>
      <c r="J4461" s="2">
        <v>21.81</v>
      </c>
      <c r="K4461" s="2" t="b">
        <v>0</v>
      </c>
      <c r="L4461" s="2"/>
      <c r="M4461" s="2"/>
      <c r="N4461" s="4" t="s">
        <v>2273</v>
      </c>
      <c r="O4461" s="4" t="str">
        <f>LEFT(Table2[[#This Row],[Description]],75)</f>
        <v>CASHBACK BONUS REDEMPTION payment/STMT CRDT</v>
      </c>
      <c r="P4461" s="2" t="s">
        <v>2304</v>
      </c>
    </row>
    <row r="4462" spans="1:16" hidden="1">
      <c r="A4462" s="2">
        <v>202103</v>
      </c>
      <c r="B4462" s="3">
        <v>44265</v>
      </c>
      <c r="C4462" s="2" t="s">
        <v>2447</v>
      </c>
      <c r="D4462" s="2" t="s">
        <v>458</v>
      </c>
      <c r="E4462" s="2">
        <v>-21.81</v>
      </c>
      <c r="F4462" s="2" t="e">
        <f>IF(Table2[[#This Row],[Manual Cat Value]]="",VLOOKUP(Table2[[#This Row],[Description]],'Actuals Lookup'!D:F,3,0),Table2[[#This Row],[Manual Cat Value]])</f>
        <v>#N/A</v>
      </c>
      <c r="J4462" s="2">
        <v>21.81</v>
      </c>
      <c r="K4462" s="2" t="b">
        <v>0</v>
      </c>
      <c r="L4462" s="2"/>
      <c r="M4462" s="2"/>
      <c r="N4462" s="4" t="s">
        <v>2273</v>
      </c>
      <c r="O4462" s="4" t="str">
        <f>LEFT(Table2[[#This Row],[Description]],75)</f>
        <v>CASHBACK BONUS REDEMPTION payment/STMT CRDT</v>
      </c>
      <c r="P4462" s="2" t="s">
        <v>2304</v>
      </c>
    </row>
    <row r="4463" spans="1:16" hidden="1">
      <c r="A4463" s="2">
        <v>202103</v>
      </c>
      <c r="B4463" s="3">
        <v>44265</v>
      </c>
      <c r="C4463" s="2" t="s">
        <v>2258</v>
      </c>
      <c r="D4463" s="2" t="s">
        <v>997</v>
      </c>
      <c r="E4463" s="2">
        <v>-535.99</v>
      </c>
      <c r="F4463" s="2" t="str">
        <f>IF(Table2[[#This Row],[Manual Cat Value]]="",VLOOKUP(Table2[[#This Row],[Description]],'Actuals Lookup'!D:F,3,0),Table2[[#This Row],[Manual Cat Value]])</f>
        <v>Delete</v>
      </c>
      <c r="J4463" s="2">
        <v>535.99</v>
      </c>
      <c r="K4463" s="2" t="b">
        <v>0</v>
      </c>
      <c r="L4463" s="2"/>
      <c r="M4463" s="2"/>
      <c r="N4463" s="4" t="s">
        <v>2273</v>
      </c>
      <c r="O4463" s="4" t="str">
        <f>LEFT(Table2[[#This Row],[Description]],75)</f>
        <v>INTERNET PAYMENT - THANK YOU</v>
      </c>
      <c r="P4463" s="2" t="s">
        <v>2291</v>
      </c>
    </row>
    <row r="4464" spans="1:16" hidden="1">
      <c r="A4464" s="2">
        <v>202103</v>
      </c>
      <c r="B4464" s="3">
        <v>44265</v>
      </c>
      <c r="C4464" s="2" t="s">
        <v>2447</v>
      </c>
      <c r="D4464" s="2" t="s">
        <v>997</v>
      </c>
      <c r="E4464" s="2">
        <v>-535.99</v>
      </c>
      <c r="F4464" s="2" t="str">
        <f>IF(Table2[[#This Row],[Manual Cat Value]]="",VLOOKUP(Table2[[#This Row],[Description]],'Actuals Lookup'!D:F,3,0),Table2[[#This Row],[Manual Cat Value]])</f>
        <v>Delete</v>
      </c>
      <c r="J4464" s="2">
        <v>535.99</v>
      </c>
      <c r="K4464" s="2" t="b">
        <v>0</v>
      </c>
      <c r="L4464" s="2"/>
      <c r="M4464" s="2"/>
      <c r="N4464" s="4" t="s">
        <v>2273</v>
      </c>
      <c r="O4464" s="4" t="str">
        <f>LEFT(Table2[[#This Row],[Description]],75)</f>
        <v>INTERNET PAYMENT - THANK YOU</v>
      </c>
      <c r="P4464" s="2" t="s">
        <v>2291</v>
      </c>
    </row>
    <row r="4465" spans="1:16" hidden="1">
      <c r="A4465" s="2">
        <v>202103</v>
      </c>
      <c r="B4465" s="3">
        <v>44265</v>
      </c>
      <c r="C4465" s="2" t="s">
        <v>2258</v>
      </c>
      <c r="D4465" s="2" t="s">
        <v>506</v>
      </c>
      <c r="E4465" s="2">
        <v>45</v>
      </c>
      <c r="F4465" s="2" t="str">
        <f>IF(Table2[[#This Row],[Manual Cat Value]]="",VLOOKUP(Table2[[#This Row],[Description]],'Actuals Lookup'!D:F,3,0),Table2[[#This Row],[Manual Cat Value]])</f>
        <v>Utilities</v>
      </c>
      <c r="J4465" s="2">
        <v>45</v>
      </c>
      <c r="K4465" s="2" t="b">
        <v>0</v>
      </c>
      <c r="L4465" s="2"/>
      <c r="M4465" s="2"/>
      <c r="N4465" s="4" t="s">
        <v>2259</v>
      </c>
      <c r="O4465" s="4" t="str">
        <f>LEFT(Table2[[#This Row],[Description]],75)</f>
        <v>CenturyLink</v>
      </c>
      <c r="P4465" s="2" t="s">
        <v>2408</v>
      </c>
    </row>
    <row r="4466" spans="1:16" hidden="1">
      <c r="A4466" s="2">
        <v>202103</v>
      </c>
      <c r="B4466" s="3">
        <v>44265</v>
      </c>
      <c r="C4466" s="2" t="s">
        <v>2447</v>
      </c>
      <c r="D4466" s="2" t="s">
        <v>506</v>
      </c>
      <c r="E4466" s="2">
        <v>45</v>
      </c>
      <c r="F4466" s="2" t="str">
        <f>IF(Table2[[#This Row],[Manual Cat Value]]="",VLOOKUP(Table2[[#This Row],[Description]],'Actuals Lookup'!D:F,3,0),Table2[[#This Row],[Manual Cat Value]])</f>
        <v>Utilities</v>
      </c>
      <c r="J4466" s="2">
        <v>45</v>
      </c>
      <c r="K4466" s="2" t="b">
        <v>0</v>
      </c>
      <c r="L4466" s="2"/>
      <c r="M4466" s="2"/>
      <c r="N4466" s="4" t="s">
        <v>2259</v>
      </c>
      <c r="O4466" s="4" t="str">
        <f>LEFT(Table2[[#This Row],[Description]],75)</f>
        <v>CenturyLink</v>
      </c>
      <c r="P4466" s="2" t="s">
        <v>2408</v>
      </c>
    </row>
    <row r="4467" spans="1:16" hidden="1">
      <c r="A4467" s="2">
        <v>202103</v>
      </c>
      <c r="B4467" s="3">
        <v>44265</v>
      </c>
      <c r="C4467" s="2" t="s">
        <v>2317</v>
      </c>
      <c r="D4467" s="2" t="s">
        <v>537</v>
      </c>
      <c r="E4467" s="2">
        <v>-58.97</v>
      </c>
      <c r="F4467" s="2" t="e">
        <f>IF(Table2[[#This Row],[Manual Cat Value]]="",VLOOKUP(Table2[[#This Row],[Description]],'Actuals Lookup'!D:F,3,0),Table2[[#This Row],[Manual Cat Value]])</f>
        <v>#N/A</v>
      </c>
      <c r="J4467" s="2">
        <v>58.97</v>
      </c>
      <c r="K4467" s="2" t="b">
        <v>0</v>
      </c>
      <c r="L4467" s="2"/>
      <c r="M4467" s="2"/>
      <c r="N4467" s="4" t="s">
        <v>2273</v>
      </c>
      <c r="O4467" s="4" t="str">
        <f>LEFT(Table2[[#This Row],[Description]],75)</f>
        <v>CHEVRON CORP</v>
      </c>
      <c r="P4467" s="2" t="s">
        <v>2430</v>
      </c>
    </row>
    <row r="4468" spans="1:16" hidden="1">
      <c r="A4468" s="2">
        <v>202103</v>
      </c>
      <c r="B4468" s="3">
        <v>44265</v>
      </c>
      <c r="C4468" s="2" t="s">
        <v>2262</v>
      </c>
      <c r="D4468" s="2" t="s">
        <v>808</v>
      </c>
      <c r="E4468" s="2">
        <v>42</v>
      </c>
      <c r="F4468" s="2" t="str">
        <f>IF(Table2[[#This Row],[Manual Cat Value]]="",VLOOKUP(Table2[[#This Row],[Description]],'Actuals Lookup'!D:F,3,0),Table2[[#This Row],[Manual Cat Value]])</f>
        <v>Misc</v>
      </c>
      <c r="J4468" s="2">
        <v>42</v>
      </c>
      <c r="K4468" s="2" t="b">
        <v>0</v>
      </c>
      <c r="L4468" s="2"/>
      <c r="M4468" s="2"/>
      <c r="N4468" s="4" t="s">
        <v>2259</v>
      </c>
      <c r="O4468" s="4" t="str">
        <f>LEFT(Table2[[#This Row],[Description]],75)</f>
        <v>Elite Nails</v>
      </c>
      <c r="P4468" s="2" t="s">
        <v>2487</v>
      </c>
    </row>
    <row r="4469" spans="1:16" hidden="1">
      <c r="A4469" s="2">
        <v>202103</v>
      </c>
      <c r="B4469" s="3">
        <v>44265</v>
      </c>
      <c r="C4469" s="2" t="s">
        <v>2317</v>
      </c>
      <c r="D4469" s="2" t="s">
        <v>878</v>
      </c>
      <c r="E4469" s="2">
        <v>-100</v>
      </c>
      <c r="F4469" s="2" t="e">
        <f>IF(Table2[[#This Row],[Manual Cat Value]]="",VLOOKUP(Table2[[#This Row],[Description]],'Actuals Lookup'!D:F,3,0),Table2[[#This Row],[Manual Cat Value]])</f>
        <v>#N/A</v>
      </c>
      <c r="J4469" s="2">
        <v>100</v>
      </c>
      <c r="K4469" s="2" t="b">
        <v>0</v>
      </c>
      <c r="L4469" s="2"/>
      <c r="M4469" s="2"/>
      <c r="N4469" s="4" t="s">
        <v>2273</v>
      </c>
      <c r="O4469" s="4" t="str">
        <f>LEFT(Table2[[#This Row],[Description]],75)</f>
        <v>FUNDS RECEIVED</v>
      </c>
      <c r="P4469" s="2" t="s">
        <v>2385</v>
      </c>
    </row>
    <row r="4470" spans="1:16" hidden="1">
      <c r="A4470" s="2">
        <v>202103</v>
      </c>
      <c r="B4470" s="3">
        <v>44265</v>
      </c>
      <c r="C4470" s="2" t="s">
        <v>2265</v>
      </c>
      <c r="D4470" s="2" t="s">
        <v>1038</v>
      </c>
      <c r="E4470" s="2">
        <v>-31.43</v>
      </c>
      <c r="F4470" s="2" t="e">
        <f>IF(Table2[[#This Row],[Manual Cat Value]]="",VLOOKUP(Table2[[#This Row],[Description]],'Actuals Lookup'!D:F,3,0),Table2[[#This Row],[Manual Cat Value]])</f>
        <v>#N/A</v>
      </c>
      <c r="J4470" s="2">
        <v>31.43</v>
      </c>
      <c r="K4470" s="2" t="b">
        <v>0</v>
      </c>
      <c r="L4470" s="2"/>
      <c r="M4470" s="2"/>
      <c r="N4470" s="4" t="s">
        <v>2273</v>
      </c>
      <c r="O4470" s="4" t="str">
        <f>LEFT(Table2[[#This Row],[Description]],75)</f>
        <v>Kaufman Hall Type</v>
      </c>
      <c r="P4470" s="2" t="s">
        <v>2281</v>
      </c>
    </row>
    <row r="4471" spans="1:16" hidden="1">
      <c r="A4471" s="2">
        <v>202103</v>
      </c>
      <c r="B4471" s="3">
        <v>44265</v>
      </c>
      <c r="C4471" s="2" t="s">
        <v>2265</v>
      </c>
      <c r="D4471" s="2" t="s">
        <v>1239</v>
      </c>
      <c r="E4471" s="2">
        <v>425</v>
      </c>
      <c r="F4471" s="2" t="e">
        <f>IF(Table2[[#This Row],[Manual Cat Value]]="",VLOOKUP(Table2[[#This Row],[Description]],'Actuals Lookup'!D:F,3,0),Table2[[#This Row],[Manual Cat Value]])</f>
        <v>#N/A</v>
      </c>
      <c r="J4471" s="2">
        <v>425</v>
      </c>
      <c r="K4471" s="2" t="b">
        <v>0</v>
      </c>
      <c r="L4471" s="2"/>
      <c r="M4471" s="2"/>
      <c r="N4471" s="4" t="s">
        <v>2259</v>
      </c>
      <c r="O4471" s="4" t="str">
        <f>LEFT(Table2[[#This Row],[Description]],75)</f>
        <v>MHCHILDCARELLC TYPE DUES ID CO MHCHILDCARELLC ACH ECC PPD ACH Trace 80800</v>
      </c>
      <c r="P4471" s="2" t="s">
        <v>2497</v>
      </c>
    </row>
    <row r="4472" spans="1:16" hidden="1">
      <c r="A4472" s="2">
        <v>202103</v>
      </c>
      <c r="B4472" s="3">
        <v>44265</v>
      </c>
      <c r="C4472" s="2" t="s">
        <v>2274</v>
      </c>
      <c r="D4472" s="2" t="s">
        <v>2110</v>
      </c>
      <c r="E4472" s="2">
        <v>-125</v>
      </c>
      <c r="F4472" s="2" t="e">
        <f>IF(Table2[[#This Row],[Manual Cat Value]]="",VLOOKUP(Table2[[#This Row],[Description]],'Actuals Lookup'!D:F,3,0),Table2[[#This Row],[Manual Cat Value]])</f>
        <v>#N/A</v>
      </c>
      <c r="J4472" s="2">
        <v>125</v>
      </c>
      <c r="K4472" s="2" t="b">
        <v>0</v>
      </c>
      <c r="L4472" s="2"/>
      <c r="M4472" s="2"/>
      <c r="N4472" s="4" t="s">
        <v>2273</v>
      </c>
      <c r="O4472" s="4" t="str">
        <f>LEFT(Table2[[#This Row],[Description]],75)</f>
        <v>Venmo Cashout</v>
      </c>
      <c r="P4472" s="2" t="s">
        <v>2281</v>
      </c>
    </row>
    <row r="4473" spans="1:16" hidden="1">
      <c r="A4473" s="2">
        <v>202103</v>
      </c>
      <c r="B4473" s="3">
        <v>44266</v>
      </c>
      <c r="C4473" s="2" t="s">
        <v>2265</v>
      </c>
      <c r="D4473" s="2" t="s">
        <v>775</v>
      </c>
      <c r="E4473" s="2">
        <v>535.99</v>
      </c>
      <c r="F4473" s="2" t="e">
        <f>IF(Table2[[#This Row],[Manual Cat Value]]="",VLOOKUP(Table2[[#This Row],[Description]],'Actuals Lookup'!D:F,3,0),Table2[[#This Row],[Manual Cat Value]])</f>
        <v>#N/A</v>
      </c>
      <c r="J4473" s="2">
        <v>535.99</v>
      </c>
      <c r="K4473" s="2" t="b">
        <v>0</v>
      </c>
      <c r="L4473" s="2"/>
      <c r="M4473" s="2"/>
      <c r="N4473" s="4" t="s">
        <v>2259</v>
      </c>
      <c r="O4473" s="4" t="str">
        <f>LEFT(Table2[[#This Row],[Description]],75)</f>
        <v>DISCOVER TYPE EPAYMENT ID CO DISCOVER ACH ECC WEB ACH Trace 73026</v>
      </c>
      <c r="P4473" s="2" t="s">
        <v>2293</v>
      </c>
    </row>
    <row r="4474" spans="1:16" hidden="1">
      <c r="A4474" s="2">
        <v>202103</v>
      </c>
      <c r="B4474" s="3">
        <v>44266</v>
      </c>
      <c r="C4474" s="2" t="s">
        <v>2258</v>
      </c>
      <c r="D4474" s="2" t="s">
        <v>38</v>
      </c>
      <c r="E4474" s="2">
        <v>67.81</v>
      </c>
      <c r="F4474" s="2" t="str">
        <f>IF(Table2[[#This Row],[Manual Cat Value]]="",VLOOKUP(Table2[[#This Row],[Description]],'Actuals Lookup'!D:F,3,0),Table2[[#This Row],[Manual Cat Value]])</f>
        <v>Amazon</v>
      </c>
      <c r="J4474" s="2">
        <v>67.81</v>
      </c>
      <c r="K4474" s="2" t="b">
        <v>0</v>
      </c>
      <c r="L4474" s="2"/>
      <c r="M4474" s="2"/>
      <c r="N4474" s="4" t="s">
        <v>2259</v>
      </c>
      <c r="O4474" s="4" t="str">
        <f>LEFT(Table2[[#This Row],[Description]],75)</f>
        <v>Amazon</v>
      </c>
      <c r="P4474" s="2" t="s">
        <v>2260</v>
      </c>
    </row>
    <row r="4475" spans="1:16" hidden="1">
      <c r="A4475" s="2">
        <v>202103</v>
      </c>
      <c r="B4475" s="3">
        <v>44266</v>
      </c>
      <c r="C4475" s="2" t="s">
        <v>2447</v>
      </c>
      <c r="D4475" s="2" t="s">
        <v>38</v>
      </c>
      <c r="E4475" s="2">
        <v>67.81</v>
      </c>
      <c r="F4475" s="2" t="str">
        <f>IF(Table2[[#This Row],[Manual Cat Value]]="",VLOOKUP(Table2[[#This Row],[Description]],'Actuals Lookup'!D:F,3,0),Table2[[#This Row],[Manual Cat Value]])</f>
        <v>Amazon</v>
      </c>
      <c r="J4475" s="2">
        <v>67.81</v>
      </c>
      <c r="K4475" s="2" t="b">
        <v>0</v>
      </c>
      <c r="L4475" s="2"/>
      <c r="M4475" s="2"/>
      <c r="N4475" s="4" t="s">
        <v>2259</v>
      </c>
      <c r="O4475" s="4" t="str">
        <f>LEFT(Table2[[#This Row],[Description]],75)</f>
        <v>Amazon</v>
      </c>
      <c r="P4475" s="2" t="s">
        <v>2260</v>
      </c>
    </row>
    <row r="4476" spans="1:16" hidden="1">
      <c r="A4476" s="2">
        <v>202103</v>
      </c>
      <c r="B4476" s="3">
        <v>44266</v>
      </c>
      <c r="C4476" s="2" t="s">
        <v>2262</v>
      </c>
      <c r="D4476" s="2" t="s">
        <v>187</v>
      </c>
      <c r="E4476" s="2">
        <v>108.66</v>
      </c>
      <c r="F4476" s="2" t="e">
        <f>IF(Table2[[#This Row],[Manual Cat Value]]="",VLOOKUP(Table2[[#This Row],[Description]],'Actuals Lookup'!D:F,3,0),Table2[[#This Row],[Manual Cat Value]])</f>
        <v>#N/A</v>
      </c>
      <c r="J4476" s="2">
        <v>108.66</v>
      </c>
      <c r="K4476" s="2" t="b">
        <v>0</v>
      </c>
      <c r="L4476" s="2"/>
      <c r="M4476" s="2"/>
      <c r="N4476" s="4" t="s">
        <v>2259</v>
      </c>
      <c r="O4476" s="4" t="str">
        <f>LEFT(Table2[[#This Row],[Description]],75)</f>
        <v>AVOADVOCARE INTL 8005424800 TX</v>
      </c>
      <c r="P4476" s="2" t="s">
        <v>2428</v>
      </c>
    </row>
    <row r="4477" spans="1:16" hidden="1">
      <c r="A4477" s="2">
        <v>202103</v>
      </c>
      <c r="B4477" s="3">
        <v>44266</v>
      </c>
      <c r="C4477" s="2" t="s">
        <v>2317</v>
      </c>
      <c r="D4477" s="2" t="s">
        <v>537</v>
      </c>
      <c r="E4477" s="2">
        <v>58.97</v>
      </c>
      <c r="F4477" s="2" t="e">
        <f>IF(Table2[[#This Row],[Manual Cat Value]]="",VLOOKUP(Table2[[#This Row],[Description]],'Actuals Lookup'!D:F,3,0),Table2[[#This Row],[Manual Cat Value]])</f>
        <v>#N/A</v>
      </c>
      <c r="J4477" s="2">
        <v>58.97</v>
      </c>
      <c r="K4477" s="2" t="b">
        <v>0</v>
      </c>
      <c r="L4477" s="2"/>
      <c r="M4477" s="2"/>
      <c r="N4477" s="4" t="s">
        <v>2259</v>
      </c>
      <c r="O4477" s="4" t="str">
        <f>LEFT(Table2[[#This Row],[Description]],75)</f>
        <v>CHEVRON CORP</v>
      </c>
      <c r="P4477" s="2" t="s">
        <v>2430</v>
      </c>
    </row>
    <row r="4478" spans="1:16" hidden="1">
      <c r="A4478" s="2">
        <v>202103</v>
      </c>
      <c r="B4478" s="3">
        <v>44266</v>
      </c>
      <c r="C4478" s="2" t="s">
        <v>2262</v>
      </c>
      <c r="D4478" s="2" t="s">
        <v>823</v>
      </c>
      <c r="E4478" s="2">
        <v>34.799999999999997</v>
      </c>
      <c r="F4478" s="2" t="e">
        <f>IF(Table2[[#This Row],[Manual Cat Value]]="",VLOOKUP(Table2[[#This Row],[Description]],'Actuals Lookup'!D:F,3,0),Table2[[#This Row],[Manual Cat Value]])</f>
        <v>#N/A</v>
      </c>
      <c r="J4478" s="2">
        <v>34.799999999999997</v>
      </c>
      <c r="K4478" s="2" t="b">
        <v>0</v>
      </c>
      <c r="L4478" s="2"/>
      <c r="M4478" s="2"/>
      <c r="N4478" s="4" t="s">
        <v>2259</v>
      </c>
      <c r="O4478" s="4" t="str">
        <f>LEFT(Table2[[#This Row],[Description]],75)</f>
        <v>Etsy.com</v>
      </c>
      <c r="P4478" s="2" t="s">
        <v>2401</v>
      </c>
    </row>
    <row r="4479" spans="1:16" hidden="1">
      <c r="A4479" s="2">
        <v>202103</v>
      </c>
      <c r="B4479" s="3">
        <v>44266</v>
      </c>
      <c r="C4479" s="2" t="s">
        <v>2265</v>
      </c>
      <c r="D4479" s="2" t="s">
        <v>2109</v>
      </c>
      <c r="E4479" s="2">
        <v>36</v>
      </c>
      <c r="F4479" s="2" t="str">
        <f>IF(Table2[[#This Row],[Manual Cat Value]]="",VLOOKUP(Table2[[#This Row],[Description]],'Actuals Lookup'!D:F,3,0),Table2[[#This Row],[Manual Cat Value]])</f>
        <v>Shopping</v>
      </c>
      <c r="J4479" s="2">
        <v>36</v>
      </c>
      <c r="K4479" s="2" t="b">
        <v>0</v>
      </c>
      <c r="L4479" s="2"/>
      <c r="M4479" s="2"/>
      <c r="N4479" s="4" t="s">
        <v>2259</v>
      </c>
      <c r="O4479" s="4" t="str">
        <f>LEFT(Table2[[#This Row],[Description]],75)</f>
        <v>Venmo</v>
      </c>
      <c r="P4479" s="2" t="s">
        <v>2281</v>
      </c>
    </row>
    <row r="4480" spans="1:16" hidden="1">
      <c r="A4480" s="2">
        <v>202103</v>
      </c>
      <c r="B4480" s="3">
        <v>44266</v>
      </c>
      <c r="C4480" s="2" t="s">
        <v>2262</v>
      </c>
      <c r="D4480" s="2" t="s">
        <v>2134</v>
      </c>
      <c r="E4480" s="2">
        <v>47.32</v>
      </c>
      <c r="F4480" s="2" t="e">
        <f>IF(Table2[[#This Row],[Manual Cat Value]]="",VLOOKUP(Table2[[#This Row],[Description]],'Actuals Lookup'!D:F,3,0),Table2[[#This Row],[Manual Cat Value]])</f>
        <v>#N/A</v>
      </c>
      <c r="J4480" s="2">
        <v>47.32</v>
      </c>
      <c r="K4480" s="2" t="b">
        <v>0</v>
      </c>
      <c r="L4480" s="2"/>
      <c r="M4480" s="2"/>
      <c r="N4480" s="4" t="s">
        <v>2259</v>
      </c>
      <c r="O4480" s="4" t="str">
        <f>LEFT(Table2[[#This Row],[Description]],75)</f>
        <v>Wakame Sushi &amp; Asian Bistro</v>
      </c>
      <c r="P4480" s="2" t="s">
        <v>2281</v>
      </c>
    </row>
    <row r="4481" spans="1:16" hidden="1">
      <c r="A4481" s="2">
        <v>202103</v>
      </c>
      <c r="B4481" s="3">
        <v>44267</v>
      </c>
      <c r="C4481" s="2" t="s">
        <v>2262</v>
      </c>
      <c r="D4481" s="2" t="s">
        <v>187</v>
      </c>
      <c r="E4481" s="2">
        <v>146.31</v>
      </c>
      <c r="F4481" s="2" t="e">
        <f>IF(Table2[[#This Row],[Manual Cat Value]]="",VLOOKUP(Table2[[#This Row],[Description]],'Actuals Lookup'!D:F,3,0),Table2[[#This Row],[Manual Cat Value]])</f>
        <v>#N/A</v>
      </c>
      <c r="J4481" s="2">
        <v>146.31</v>
      </c>
      <c r="K4481" s="2" t="b">
        <v>0</v>
      </c>
      <c r="L4481" s="2"/>
      <c r="M4481" s="2"/>
      <c r="N4481" s="4" t="s">
        <v>2259</v>
      </c>
      <c r="O4481" s="4" t="str">
        <f>LEFT(Table2[[#This Row],[Description]],75)</f>
        <v>AVOADVOCARE INTL 8005424800 TX</v>
      </c>
      <c r="P4481" s="2" t="s">
        <v>2428</v>
      </c>
    </row>
    <row r="4482" spans="1:16" hidden="1">
      <c r="A4482" s="2">
        <v>202103</v>
      </c>
      <c r="B4482" s="3">
        <v>44267</v>
      </c>
      <c r="C4482" s="2" t="s">
        <v>2262</v>
      </c>
      <c r="D4482" s="2" t="s">
        <v>938</v>
      </c>
      <c r="E4482" s="2">
        <v>45.39</v>
      </c>
      <c r="F4482" s="2" t="e">
        <f>IF(Table2[[#This Row],[Manual Cat Value]]="",VLOOKUP(Table2[[#This Row],[Description]],'Actuals Lookup'!D:F,3,0),Table2[[#This Row],[Manual Cat Value]])</f>
        <v>#N/A</v>
      </c>
      <c r="J4482" s="2">
        <v>45.39</v>
      </c>
      <c r="K4482" s="2" t="b">
        <v>0</v>
      </c>
      <c r="L4482" s="2"/>
      <c r="M4482" s="2"/>
      <c r="N4482" s="4" t="s">
        <v>2259</v>
      </c>
      <c r="O4482" s="4" t="str">
        <f>LEFT(Table2[[#This Row],[Description]],75)</f>
        <v>Hobby Lobby</v>
      </c>
      <c r="P4482" s="2" t="s">
        <v>2413</v>
      </c>
    </row>
    <row r="4483" spans="1:16" hidden="1">
      <c r="A4483" s="2">
        <v>202103</v>
      </c>
      <c r="B4483" s="3">
        <v>44267</v>
      </c>
      <c r="C4483" s="2" t="s">
        <v>2262</v>
      </c>
      <c r="D4483" s="2" t="s">
        <v>1926</v>
      </c>
      <c r="E4483" s="2">
        <v>83.01</v>
      </c>
      <c r="F4483" s="2" t="e">
        <f>IF(Table2[[#This Row],[Manual Cat Value]]="",VLOOKUP(Table2[[#This Row],[Description]],'Actuals Lookup'!D:F,3,0),Table2[[#This Row],[Manual Cat Value]])</f>
        <v>#N/A</v>
      </c>
      <c r="J4483" s="2">
        <v>83.01</v>
      </c>
      <c r="K4483" s="2" t="b">
        <v>0</v>
      </c>
      <c r="L4483" s="2"/>
      <c r="M4483" s="2"/>
      <c r="N4483" s="4" t="s">
        <v>2259</v>
      </c>
      <c r="O4483" s="4" t="str">
        <f>LEFT(Table2[[#This Row],[Description]],75)</f>
        <v>Total Wine and More</v>
      </c>
      <c r="P4483" s="2" t="s">
        <v>2289</v>
      </c>
    </row>
    <row r="4484" spans="1:16" hidden="1">
      <c r="A4484" s="2">
        <v>202103</v>
      </c>
      <c r="B4484" s="3">
        <v>44269</v>
      </c>
      <c r="C4484" s="2" t="s">
        <v>2262</v>
      </c>
      <c r="D4484" s="2" t="s">
        <v>1423</v>
      </c>
      <c r="E4484" s="2">
        <v>-907.65</v>
      </c>
      <c r="F4484" s="2" t="e">
        <f>IF(Table2[[#This Row],[Manual Cat Value]]="",VLOOKUP(Table2[[#This Row],[Description]],'Actuals Lookup'!D:F,3,0),Table2[[#This Row],[Manual Cat Value]])</f>
        <v>#N/A</v>
      </c>
      <c r="J4484" s="2">
        <v>907.65</v>
      </c>
      <c r="K4484" s="2" t="b">
        <v>0</v>
      </c>
      <c r="L4484" s="2"/>
      <c r="M4484" s="2"/>
      <c r="N4484" s="4" t="s">
        <v>2273</v>
      </c>
      <c r="O4484" s="4" t="str">
        <f>LEFT(Table2[[#This Row],[Description]],75)</f>
        <v>PAYMENT THANK YOU</v>
      </c>
      <c r="P4484" s="2" t="s">
        <v>2391</v>
      </c>
    </row>
    <row r="4485" spans="1:16" hidden="1">
      <c r="A4485" s="2">
        <v>202103</v>
      </c>
      <c r="B4485" s="3">
        <v>44269</v>
      </c>
      <c r="C4485" s="2" t="s">
        <v>2265</v>
      </c>
      <c r="D4485" s="2" t="s">
        <v>2176</v>
      </c>
      <c r="E4485" s="2">
        <v>907.65</v>
      </c>
      <c r="F4485" s="2" t="e">
        <f>IF(Table2[[#This Row],[Manual Cat Value]]="",VLOOKUP(Table2[[#This Row],[Description]],'Actuals Lookup'!D:F,3,0),Table2[[#This Row],[Manual Cat Value]])</f>
        <v>#N/A</v>
      </c>
      <c r="J4485" s="2">
        <v>907.65</v>
      </c>
      <c r="K4485" s="2" t="b">
        <v>0</v>
      </c>
      <c r="L4485" s="2"/>
      <c r="M4485" s="2"/>
      <c r="N4485" s="4" t="s">
        <v>2259</v>
      </c>
      <c r="O4485" s="4" t="str">
        <f>LEFT(Table2[[#This Row],[Description]],75)</f>
        <v>Withdrawal Home payment to card 979181</v>
      </c>
      <c r="P4485" s="2" t="s">
        <v>2349</v>
      </c>
    </row>
    <row r="4486" spans="1:16" hidden="1">
      <c r="A4486" s="2">
        <v>202103</v>
      </c>
      <c r="B4486" s="3">
        <v>44269</v>
      </c>
      <c r="C4486" s="2" t="s">
        <v>2265</v>
      </c>
      <c r="D4486" s="2" t="s">
        <v>625</v>
      </c>
      <c r="E4486" s="2">
        <v>-2276.16</v>
      </c>
      <c r="F4486" s="2" t="e">
        <f>IF(Table2[[#This Row],[Manual Cat Value]]="",VLOOKUP(Table2[[#This Row],[Description]],'Actuals Lookup'!D:F,3,0),Table2[[#This Row],[Manual Cat Value]])</f>
        <v>#N/A</v>
      </c>
      <c r="J4486" s="2">
        <v>2276.16</v>
      </c>
      <c r="K4486" s="2" t="b">
        <v>0</v>
      </c>
      <c r="L4486" s="2"/>
      <c r="M4486" s="2"/>
      <c r="N4486" s="4" t="s">
        <v>2273</v>
      </c>
      <c r="O4486" s="4" t="str">
        <f>LEFT(Table2[[#This Row],[Description]],75)</f>
        <v>CONNECTED ANALYT TYPE DIRECT DEP ID CO CONNECTED ANALYT ACH ECC PPD ACH Tra</v>
      </c>
      <c r="P4486" s="2" t="s">
        <v>2536</v>
      </c>
    </row>
    <row r="4487" spans="1:16" hidden="1">
      <c r="A4487" s="2">
        <v>202103</v>
      </c>
      <c r="B4487" s="3">
        <v>44269</v>
      </c>
      <c r="C4487" s="2" t="s">
        <v>2262</v>
      </c>
      <c r="D4487" s="2" t="s">
        <v>831</v>
      </c>
      <c r="E4487" s="2">
        <v>15.25</v>
      </c>
      <c r="F4487" s="2" t="e">
        <f>IF(Table2[[#This Row],[Manual Cat Value]]="",VLOOKUP(Table2[[#This Row],[Description]],'Actuals Lookup'!D:F,3,0),Table2[[#This Row],[Manual Cat Value]])</f>
        <v>#N/A</v>
      </c>
      <c r="J4487" s="2">
        <v>15.25</v>
      </c>
      <c r="K4487" s="2" t="b">
        <v>0</v>
      </c>
      <c r="L4487" s="2"/>
      <c r="M4487" s="2"/>
      <c r="N4487" s="4" t="s">
        <v>2259</v>
      </c>
      <c r="O4487" s="4" t="str">
        <f>LEFT(Table2[[#This Row],[Description]],75)</f>
        <v>Excelsior Brewing</v>
      </c>
      <c r="P4487" s="2" t="s">
        <v>2410</v>
      </c>
    </row>
    <row r="4488" spans="1:16" hidden="1">
      <c r="A4488" s="2">
        <v>202103</v>
      </c>
      <c r="B4488" s="3">
        <v>44269</v>
      </c>
      <c r="C4488" s="2" t="s">
        <v>2262</v>
      </c>
      <c r="D4488" s="2" t="s">
        <v>1926</v>
      </c>
      <c r="E4488" s="2">
        <v>43.94</v>
      </c>
      <c r="F4488" s="2" t="e">
        <f>IF(Table2[[#This Row],[Manual Cat Value]]="",VLOOKUP(Table2[[#This Row],[Description]],'Actuals Lookup'!D:F,3,0),Table2[[#This Row],[Manual Cat Value]])</f>
        <v>#N/A</v>
      </c>
      <c r="J4488" s="2">
        <v>43.94</v>
      </c>
      <c r="K4488" s="2" t="b">
        <v>0</v>
      </c>
      <c r="L4488" s="2"/>
      <c r="M4488" s="2"/>
      <c r="N4488" s="4" t="s">
        <v>2259</v>
      </c>
      <c r="O4488" s="4" t="str">
        <f>LEFT(Table2[[#This Row],[Description]],75)</f>
        <v>Total Wine and More</v>
      </c>
      <c r="P4488" s="2" t="s">
        <v>2289</v>
      </c>
    </row>
    <row r="4489" spans="1:16" hidden="1">
      <c r="A4489" s="2">
        <v>202103</v>
      </c>
      <c r="B4489" s="3">
        <v>44270</v>
      </c>
      <c r="C4489" s="2" t="s">
        <v>2265</v>
      </c>
      <c r="D4489" s="2" t="s">
        <v>131</v>
      </c>
      <c r="E4489" s="2">
        <v>96.43</v>
      </c>
      <c r="F4489" s="2" t="str">
        <f>IF(Table2[[#This Row],[Manual Cat Value]]="",VLOOKUP(Table2[[#This Row],[Description]],'Actuals Lookup'!D:F,3,0),Table2[[#This Row],[Manual Cat Value]])</f>
        <v>Insurance</v>
      </c>
      <c r="J4489" s="2">
        <v>96.43</v>
      </c>
      <c r="K4489" s="2" t="b">
        <v>0</v>
      </c>
      <c r="L4489" s="2"/>
      <c r="M4489" s="2"/>
      <c r="N4489" s="4" t="s">
        <v>2259</v>
      </c>
      <c r="O4489" s="4" t="str">
        <f>LEFT(Table2[[#This Row],[Description]],75)</f>
        <v>American Family Insurance</v>
      </c>
      <c r="P4489" s="2" t="s">
        <v>2286</v>
      </c>
    </row>
    <row r="4490" spans="1:16" hidden="1">
      <c r="A4490" s="2">
        <v>202103</v>
      </c>
      <c r="B4490" s="3">
        <v>44270</v>
      </c>
      <c r="C4490" s="2" t="s">
        <v>2317</v>
      </c>
      <c r="D4490" s="2" t="s">
        <v>605</v>
      </c>
      <c r="E4490" s="2">
        <v>-250</v>
      </c>
      <c r="F4490" s="2" t="e">
        <f>IF(Table2[[#This Row],[Manual Cat Value]]="",VLOOKUP(Table2[[#This Row],[Description]],'Actuals Lookup'!D:F,3,0),Table2[[#This Row],[Manual Cat Value]])</f>
        <v>#N/A</v>
      </c>
      <c r="J4490" s="2">
        <v>250</v>
      </c>
      <c r="K4490" s="2" t="b">
        <v>0</v>
      </c>
      <c r="L4490" s="2"/>
      <c r="M4490" s="2"/>
      <c r="N4490" s="4" t="s">
        <v>2273</v>
      </c>
      <c r="O4490" s="4" t="str">
        <f>LEFT(Table2[[#This Row],[Description]],75)</f>
        <v>CONNECTED ANALYT</v>
      </c>
      <c r="P4490" s="2" t="s">
        <v>2493</v>
      </c>
    </row>
    <row r="4491" spans="1:16" hidden="1">
      <c r="A4491" s="2">
        <v>202103</v>
      </c>
      <c r="B4491" s="3">
        <v>44270</v>
      </c>
      <c r="C4491" s="2" t="s">
        <v>2317</v>
      </c>
      <c r="D4491" s="2" t="s">
        <v>878</v>
      </c>
      <c r="E4491" s="2">
        <v>-50</v>
      </c>
      <c r="F4491" s="2" t="e">
        <f>IF(Table2[[#This Row],[Manual Cat Value]]="",VLOOKUP(Table2[[#This Row],[Description]],'Actuals Lookup'!D:F,3,0),Table2[[#This Row],[Manual Cat Value]])</f>
        <v>#N/A</v>
      </c>
      <c r="J4491" s="2">
        <v>50</v>
      </c>
      <c r="K4491" s="2" t="b">
        <v>0</v>
      </c>
      <c r="L4491" s="2"/>
      <c r="M4491" s="2"/>
      <c r="N4491" s="4" t="s">
        <v>2273</v>
      </c>
      <c r="O4491" s="4" t="str">
        <f>LEFT(Table2[[#This Row],[Description]],75)</f>
        <v>FUNDS RECEIVED</v>
      </c>
      <c r="P4491" s="2" t="s">
        <v>2385</v>
      </c>
    </row>
    <row r="4492" spans="1:16" hidden="1">
      <c r="A4492" s="2">
        <v>202103</v>
      </c>
      <c r="B4492" s="3">
        <v>44270</v>
      </c>
      <c r="C4492" s="2" t="s">
        <v>2317</v>
      </c>
      <c r="D4492" s="2" t="s">
        <v>878</v>
      </c>
      <c r="E4492" s="2">
        <v>-100</v>
      </c>
      <c r="F4492" s="2" t="e">
        <f>IF(Table2[[#This Row],[Manual Cat Value]]="",VLOOKUP(Table2[[#This Row],[Description]],'Actuals Lookup'!D:F,3,0),Table2[[#This Row],[Manual Cat Value]])</f>
        <v>#N/A</v>
      </c>
      <c r="J4492" s="2">
        <v>100</v>
      </c>
      <c r="K4492" s="2" t="b">
        <v>0</v>
      </c>
      <c r="L4492" s="2"/>
      <c r="M4492" s="2"/>
      <c r="N4492" s="4" t="s">
        <v>2273</v>
      </c>
      <c r="O4492" s="4" t="str">
        <f>LEFT(Table2[[#This Row],[Description]],75)</f>
        <v>FUNDS RECEIVED</v>
      </c>
      <c r="P4492" s="2" t="s">
        <v>2385</v>
      </c>
    </row>
    <row r="4493" spans="1:16" hidden="1">
      <c r="A4493" s="2">
        <v>202103</v>
      </c>
      <c r="B4493" s="3">
        <v>44270</v>
      </c>
      <c r="C4493" s="2" t="s">
        <v>2435</v>
      </c>
      <c r="D4493" s="2" t="s">
        <v>1836</v>
      </c>
      <c r="E4493" s="2">
        <v>-250</v>
      </c>
      <c r="F4493" s="2" t="e">
        <f>IF(Table2[[#This Row],[Manual Cat Value]]="",VLOOKUP(Table2[[#This Row],[Description]],'Actuals Lookup'!D:F,3,0),Table2[[#This Row],[Manual Cat Value]])</f>
        <v>#N/A</v>
      </c>
      <c r="J4493" s="2">
        <v>250</v>
      </c>
      <c r="K4493" s="2" t="b">
        <v>0</v>
      </c>
      <c r="L4493" s="2"/>
      <c r="M4493" s="2"/>
      <c r="N4493" s="4" t="s">
        <v>2273</v>
      </c>
      <c r="O4493" s="4" t="str">
        <f>LEFT(Table2[[#This Row],[Description]],75)</f>
        <v>Tfr JPMORGAN CHASE BAN, CONNECTED ANALYT</v>
      </c>
      <c r="P4493" s="2" t="s">
        <v>2493</v>
      </c>
    </row>
    <row r="4494" spans="1:16" hidden="1">
      <c r="A4494" s="2">
        <v>202103</v>
      </c>
      <c r="B4494" s="3">
        <v>44270</v>
      </c>
      <c r="C4494" s="2" t="s">
        <v>2262</v>
      </c>
      <c r="D4494" s="2" t="s">
        <v>2027</v>
      </c>
      <c r="E4494" s="2">
        <v>77.790000000000006</v>
      </c>
      <c r="F4494" s="2" t="e">
        <f>IF(Table2[[#This Row],[Manual Cat Value]]="",VLOOKUP(Table2[[#This Row],[Description]],'Actuals Lookup'!D:F,3,0),Table2[[#This Row],[Manual Cat Value]])</f>
        <v>#N/A</v>
      </c>
      <c r="J4494" s="2">
        <v>77.790000000000006</v>
      </c>
      <c r="K4494" s="2" t="b">
        <v>0</v>
      </c>
      <c r="L4494" s="2"/>
      <c r="M4494" s="2"/>
      <c r="N4494" s="4" t="s">
        <v>2259</v>
      </c>
      <c r="O4494" s="4" t="str">
        <f>LEFT(Table2[[#This Row],[Description]],75)</f>
        <v>TST OLIVE S FRESH EXCELS6122324677 MN</v>
      </c>
      <c r="P4494" s="2" t="s">
        <v>2483</v>
      </c>
    </row>
    <row r="4495" spans="1:16" hidden="1">
      <c r="A4495" s="2">
        <v>202103</v>
      </c>
      <c r="B4495" s="3">
        <v>44270</v>
      </c>
      <c r="C4495" s="2" t="s">
        <v>2265</v>
      </c>
      <c r="D4495" s="2" t="s">
        <v>2109</v>
      </c>
      <c r="E4495" s="2">
        <v>60</v>
      </c>
      <c r="F4495" s="2" t="str">
        <f>IF(Table2[[#This Row],[Manual Cat Value]]="",VLOOKUP(Table2[[#This Row],[Description]],'Actuals Lookup'!D:F,3,0),Table2[[#This Row],[Manual Cat Value]])</f>
        <v>Shopping</v>
      </c>
      <c r="J4495" s="2">
        <v>60</v>
      </c>
      <c r="K4495" s="2" t="b">
        <v>0</v>
      </c>
      <c r="L4495" s="2"/>
      <c r="M4495" s="2"/>
      <c r="N4495" s="4" t="s">
        <v>2259</v>
      </c>
      <c r="O4495" s="4" t="str">
        <f>LEFT(Table2[[#This Row],[Description]],75)</f>
        <v>Venmo</v>
      </c>
      <c r="P4495" s="2" t="s">
        <v>2281</v>
      </c>
    </row>
    <row r="4496" spans="1:16" hidden="1">
      <c r="A4496" s="2">
        <v>202103</v>
      </c>
      <c r="B4496" s="3">
        <v>44270</v>
      </c>
      <c r="C4496" s="2" t="s">
        <v>2265</v>
      </c>
      <c r="D4496" s="2" t="s">
        <v>2109</v>
      </c>
      <c r="E4496" s="2">
        <v>75</v>
      </c>
      <c r="F4496" s="2" t="str">
        <f>IF(Table2[[#This Row],[Manual Cat Value]]="",VLOOKUP(Table2[[#This Row],[Description]],'Actuals Lookup'!D:F,3,0),Table2[[#This Row],[Manual Cat Value]])</f>
        <v>Shopping</v>
      </c>
      <c r="J4496" s="2">
        <v>75</v>
      </c>
      <c r="K4496" s="2" t="b">
        <v>0</v>
      </c>
      <c r="L4496" s="2"/>
      <c r="M4496" s="2"/>
      <c r="N4496" s="4" t="s">
        <v>2259</v>
      </c>
      <c r="O4496" s="4" t="str">
        <f>LEFT(Table2[[#This Row],[Description]],75)</f>
        <v>Venmo</v>
      </c>
      <c r="P4496" s="2" t="s">
        <v>2281</v>
      </c>
    </row>
    <row r="4497" spans="1:16" hidden="1">
      <c r="A4497" s="2">
        <v>202103</v>
      </c>
      <c r="B4497" s="3">
        <v>44271</v>
      </c>
      <c r="C4497" s="2" t="s">
        <v>2258</v>
      </c>
      <c r="D4497" s="2" t="s">
        <v>38</v>
      </c>
      <c r="E4497" s="2">
        <v>31.68</v>
      </c>
      <c r="F4497" s="2" t="str">
        <f>IF(Table2[[#This Row],[Manual Cat Value]]="",VLOOKUP(Table2[[#This Row],[Description]],'Actuals Lookup'!D:F,3,0),Table2[[#This Row],[Manual Cat Value]])</f>
        <v>Amazon</v>
      </c>
      <c r="J4497" s="2">
        <v>31.68</v>
      </c>
      <c r="K4497" s="2" t="b">
        <v>0</v>
      </c>
      <c r="L4497" s="2"/>
      <c r="M4497" s="2"/>
      <c r="N4497" s="4" t="s">
        <v>2259</v>
      </c>
      <c r="O4497" s="4" t="str">
        <f>LEFT(Table2[[#This Row],[Description]],75)</f>
        <v>Amazon</v>
      </c>
      <c r="P4497" s="2" t="s">
        <v>2260</v>
      </c>
    </row>
    <row r="4498" spans="1:16" hidden="1">
      <c r="A4498" s="2">
        <v>202103</v>
      </c>
      <c r="B4498" s="3">
        <v>44271</v>
      </c>
      <c r="C4498" s="2" t="s">
        <v>2447</v>
      </c>
      <c r="D4498" s="2" t="s">
        <v>38</v>
      </c>
      <c r="E4498" s="2">
        <v>31.68</v>
      </c>
      <c r="F4498" s="2" t="str">
        <f>IF(Table2[[#This Row],[Manual Cat Value]]="",VLOOKUP(Table2[[#This Row],[Description]],'Actuals Lookup'!D:F,3,0),Table2[[#This Row],[Manual Cat Value]])</f>
        <v>Amazon</v>
      </c>
      <c r="J4498" s="2">
        <v>31.68</v>
      </c>
      <c r="K4498" s="2" t="b">
        <v>0</v>
      </c>
      <c r="L4498" s="2"/>
      <c r="M4498" s="2"/>
      <c r="N4498" s="4" t="s">
        <v>2259</v>
      </c>
      <c r="O4498" s="4" t="str">
        <f>LEFT(Table2[[#This Row],[Description]],75)</f>
        <v>Amazon</v>
      </c>
      <c r="P4498" s="2" t="s">
        <v>2260</v>
      </c>
    </row>
    <row r="4499" spans="1:16" hidden="1">
      <c r="A4499" s="2">
        <v>202103</v>
      </c>
      <c r="B4499" s="3">
        <v>44271</v>
      </c>
      <c r="C4499" s="2" t="s">
        <v>2434</v>
      </c>
      <c r="D4499" s="2" t="s">
        <v>249</v>
      </c>
      <c r="E4499" s="2">
        <v>-0.08</v>
      </c>
      <c r="F4499" s="2" t="e">
        <f>IF(Table2[[#This Row],[Manual Cat Value]]="",VLOOKUP(Table2[[#This Row],[Description]],'Actuals Lookup'!D:F,3,0),Table2[[#This Row],[Manual Cat Value]])</f>
        <v>#N/A</v>
      </c>
      <c r="J4499" s="2">
        <v>0.08</v>
      </c>
      <c r="K4499" s="2" t="b">
        <v>0</v>
      </c>
      <c r="L4499" s="2"/>
      <c r="M4499" s="2"/>
      <c r="N4499" s="4" t="s">
        <v>2273</v>
      </c>
      <c r="O4499" s="4" t="str">
        <f>LEFT(Table2[[#This Row],[Description]],75)</f>
        <v>BANK INT -XX1521 SCHWAB PREMIER BANK</v>
      </c>
      <c r="P4499" s="2"/>
    </row>
    <row r="4500" spans="1:16" hidden="1">
      <c r="A4500" s="2">
        <v>202103</v>
      </c>
      <c r="B4500" s="3">
        <v>44271</v>
      </c>
      <c r="C4500" s="2" t="s">
        <v>2435</v>
      </c>
      <c r="D4500" s="2" t="s">
        <v>249</v>
      </c>
      <c r="E4500" s="2">
        <v>-0.01</v>
      </c>
      <c r="F4500" s="2" t="e">
        <f>IF(Table2[[#This Row],[Manual Cat Value]]="",VLOOKUP(Table2[[#This Row],[Description]],'Actuals Lookup'!D:F,3,0),Table2[[#This Row],[Manual Cat Value]])</f>
        <v>#N/A</v>
      </c>
      <c r="J4500" s="2">
        <v>0.01</v>
      </c>
      <c r="K4500" s="2" t="b">
        <v>0</v>
      </c>
      <c r="L4500" s="2"/>
      <c r="M4500" s="2"/>
      <c r="N4500" s="4" t="s">
        <v>2273</v>
      </c>
      <c r="O4500" s="4" t="str">
        <f>LEFT(Table2[[#This Row],[Description]],75)</f>
        <v>BANK INT -XX1521 SCHWAB PREMIER BANK</v>
      </c>
      <c r="P4500" s="2"/>
    </row>
    <row r="4501" spans="1:16" hidden="1">
      <c r="A4501" s="2">
        <v>202103</v>
      </c>
      <c r="B4501" s="3">
        <v>44271</v>
      </c>
      <c r="C4501" s="2" t="s">
        <v>2265</v>
      </c>
      <c r="D4501" s="2" t="s">
        <v>1246</v>
      </c>
      <c r="E4501" s="2">
        <v>425</v>
      </c>
      <c r="F4501" s="2" t="e">
        <f>IF(Table2[[#This Row],[Manual Cat Value]]="",VLOOKUP(Table2[[#This Row],[Description]],'Actuals Lookup'!D:F,3,0),Table2[[#This Row],[Manual Cat Value]])</f>
        <v>#N/A</v>
      </c>
      <c r="J4501" s="2">
        <v>425</v>
      </c>
      <c r="K4501" s="2" t="b">
        <v>0</v>
      </c>
      <c r="L4501" s="2"/>
      <c r="M4501" s="2"/>
      <c r="N4501" s="4" t="s">
        <v>2259</v>
      </c>
      <c r="O4501" s="4" t="str">
        <f>LEFT(Table2[[#This Row],[Description]],75)</f>
        <v>MHCHILDCARELLC TYPE DUES ID CO MHCHILDCARELLC ACH ECC PPD ACH Trace X7985</v>
      </c>
      <c r="P4501" s="2" t="s">
        <v>2497</v>
      </c>
    </row>
    <row r="4502" spans="1:16" hidden="1">
      <c r="A4502" s="2">
        <v>202103</v>
      </c>
      <c r="B4502" s="3">
        <v>44271</v>
      </c>
      <c r="C4502" s="2" t="s">
        <v>2265</v>
      </c>
      <c r="D4502" s="2" t="s">
        <v>2109</v>
      </c>
      <c r="E4502" s="2">
        <v>20</v>
      </c>
      <c r="F4502" s="2" t="str">
        <f>IF(Table2[[#This Row],[Manual Cat Value]]="",VLOOKUP(Table2[[#This Row],[Description]],'Actuals Lookup'!D:F,3,0),Table2[[#This Row],[Manual Cat Value]])</f>
        <v>Shopping</v>
      </c>
      <c r="J4502" s="2">
        <v>20</v>
      </c>
      <c r="K4502" s="2" t="b">
        <v>0</v>
      </c>
      <c r="L4502" s="2"/>
      <c r="M4502" s="2"/>
      <c r="N4502" s="4" t="s">
        <v>2259</v>
      </c>
      <c r="O4502" s="4" t="str">
        <f>LEFT(Table2[[#This Row],[Description]],75)</f>
        <v>Venmo</v>
      </c>
      <c r="P4502" s="2" t="s">
        <v>2281</v>
      </c>
    </row>
    <row r="4503" spans="1:16" hidden="1">
      <c r="A4503" s="2">
        <v>202103</v>
      </c>
      <c r="B4503" s="3">
        <v>44272</v>
      </c>
      <c r="C4503" s="2" t="s">
        <v>2265</v>
      </c>
      <c r="D4503" s="2" t="s">
        <v>401</v>
      </c>
      <c r="E4503" s="2">
        <v>-2168.13</v>
      </c>
      <c r="F4503" s="2" t="e">
        <f>IF(Table2[[#This Row],[Manual Cat Value]]="",VLOOKUP(Table2[[#This Row],[Description]],'Actuals Lookup'!D:F,3,0),Table2[[#This Row],[Manual Cat Value]])</f>
        <v>#N/A</v>
      </c>
      <c r="J4503" s="2">
        <v>2168.13</v>
      </c>
      <c r="K4503" s="2" t="b">
        <v>0</v>
      </c>
      <c r="L4503" s="2"/>
      <c r="M4503" s="2"/>
      <c r="N4503" s="4" t="s">
        <v>2273</v>
      </c>
      <c r="O4503" s="4" t="str">
        <f>LEFT(Table2[[#This Row],[Description]],75)</f>
        <v>CARGILL COCOA TYPE DIR DEP ID CO CARGILL COCOA ACH ECC PPD ACH Trace X5513</v>
      </c>
      <c r="P4503" s="2" t="s">
        <v>2284</v>
      </c>
    </row>
    <row r="4504" spans="1:16" hidden="1">
      <c r="A4504" s="2">
        <v>202103</v>
      </c>
      <c r="B4504" s="3">
        <v>44272</v>
      </c>
      <c r="C4504" s="2" t="s">
        <v>2262</v>
      </c>
      <c r="D4504" s="2" t="s">
        <v>1083</v>
      </c>
      <c r="E4504" s="2">
        <v>43.83</v>
      </c>
      <c r="F4504" s="2" t="str">
        <f>IF(Table2[[#This Row],[Manual Cat Value]]="",VLOOKUP(Table2[[#This Row],[Description]],'Actuals Lookup'!D:F,3,0),Table2[[#This Row],[Manual Cat Value]])</f>
        <v>Transportation</v>
      </c>
      <c r="J4504" s="2">
        <v>43.83</v>
      </c>
      <c r="K4504" s="2" t="b">
        <v>0</v>
      </c>
      <c r="L4504" s="2"/>
      <c r="M4504" s="2"/>
      <c r="N4504" s="4" t="s">
        <v>2259</v>
      </c>
      <c r="O4504" s="4" t="str">
        <f>LEFT(Table2[[#This Row],[Description]],75)</f>
        <v>Kwik Trip</v>
      </c>
      <c r="P4504" s="2" t="s">
        <v>2509</v>
      </c>
    </row>
    <row r="4505" spans="1:16" hidden="1">
      <c r="A4505" s="2">
        <v>202103</v>
      </c>
      <c r="B4505" s="3">
        <v>44272</v>
      </c>
      <c r="C4505" s="2" t="s">
        <v>2265</v>
      </c>
      <c r="D4505" s="2" t="s">
        <v>1471</v>
      </c>
      <c r="E4505" s="2">
        <v>8.58</v>
      </c>
      <c r="F4505" s="2" t="str">
        <f>IF(Table2[[#This Row],[Manual Cat Value]]="",VLOOKUP(Table2[[#This Row],[Description]],'Actuals Lookup'!D:F,3,0),Table2[[#This Row],[Manual Cat Value]])</f>
        <v>Shopping</v>
      </c>
      <c r="J4505" s="2">
        <v>8.58</v>
      </c>
      <c r="K4505" s="2" t="b">
        <v>0</v>
      </c>
      <c r="L4505" s="2"/>
      <c r="M4505" s="2"/>
      <c r="N4505" s="4" t="s">
        <v>2259</v>
      </c>
      <c r="O4505" s="4" t="str">
        <f>LEFT(Table2[[#This Row],[Description]],75)</f>
        <v>PayPal</v>
      </c>
      <c r="P4505" s="2" t="s">
        <v>2322</v>
      </c>
    </row>
    <row r="4506" spans="1:16" hidden="1">
      <c r="A4506" s="2">
        <v>202103</v>
      </c>
      <c r="B4506" s="3">
        <v>44272</v>
      </c>
      <c r="C4506" s="2" t="s">
        <v>2265</v>
      </c>
      <c r="D4506" s="2" t="s">
        <v>1471</v>
      </c>
      <c r="E4506" s="2">
        <v>16.190000000000001</v>
      </c>
      <c r="F4506" s="2" t="str">
        <f>IF(Table2[[#This Row],[Manual Cat Value]]="",VLOOKUP(Table2[[#This Row],[Description]],'Actuals Lookup'!D:F,3,0),Table2[[#This Row],[Manual Cat Value]])</f>
        <v>Shopping</v>
      </c>
      <c r="J4506" s="2">
        <v>16.190000000000001</v>
      </c>
      <c r="K4506" s="2" t="b">
        <v>0</v>
      </c>
      <c r="L4506" s="2"/>
      <c r="M4506" s="2"/>
      <c r="N4506" s="4" t="s">
        <v>2259</v>
      </c>
      <c r="O4506" s="4" t="str">
        <f>LEFT(Table2[[#This Row],[Description]],75)</f>
        <v>PayPal</v>
      </c>
      <c r="P4506" s="2" t="s">
        <v>2322</v>
      </c>
    </row>
    <row r="4507" spans="1:16" hidden="1">
      <c r="A4507" s="2">
        <v>202103</v>
      </c>
      <c r="B4507" s="3">
        <v>44272</v>
      </c>
      <c r="C4507" s="2" t="s">
        <v>2265</v>
      </c>
      <c r="D4507" s="2" t="s">
        <v>2109</v>
      </c>
      <c r="E4507" s="2">
        <v>260</v>
      </c>
      <c r="F4507" s="2" t="str">
        <f>IF(Table2[[#This Row],[Manual Cat Value]]="",VLOOKUP(Table2[[#This Row],[Description]],'Actuals Lookup'!D:F,3,0),Table2[[#This Row],[Manual Cat Value]])</f>
        <v>Shopping</v>
      </c>
      <c r="J4507" s="2">
        <v>260</v>
      </c>
      <c r="K4507" s="2" t="b">
        <v>0</v>
      </c>
      <c r="L4507" s="2"/>
      <c r="M4507" s="2"/>
      <c r="N4507" s="4" t="s">
        <v>2259</v>
      </c>
      <c r="O4507" s="4" t="str">
        <f>LEFT(Table2[[#This Row],[Description]],75)</f>
        <v>Venmo</v>
      </c>
      <c r="P4507" s="2" t="s">
        <v>2281</v>
      </c>
    </row>
    <row r="4508" spans="1:16" hidden="1">
      <c r="A4508" s="2">
        <v>202103</v>
      </c>
      <c r="B4508" s="3">
        <v>44273</v>
      </c>
      <c r="C4508" s="2" t="s">
        <v>2258</v>
      </c>
      <c r="D4508" s="2" t="s">
        <v>38</v>
      </c>
      <c r="E4508" s="2">
        <v>66.510000000000005</v>
      </c>
      <c r="F4508" s="2" t="str">
        <f>IF(Table2[[#This Row],[Manual Cat Value]]="",VLOOKUP(Table2[[#This Row],[Description]],'Actuals Lookup'!D:F,3,0),Table2[[#This Row],[Manual Cat Value]])</f>
        <v>Amazon</v>
      </c>
      <c r="J4508" s="2">
        <v>66.510000000000005</v>
      </c>
      <c r="K4508" s="2" t="b">
        <v>0</v>
      </c>
      <c r="L4508" s="2"/>
      <c r="M4508" s="2"/>
      <c r="N4508" s="4" t="s">
        <v>2259</v>
      </c>
      <c r="O4508" s="4" t="str">
        <f>LEFT(Table2[[#This Row],[Description]],75)</f>
        <v>Amazon</v>
      </c>
      <c r="P4508" s="2" t="s">
        <v>2260</v>
      </c>
    </row>
    <row r="4509" spans="1:16" hidden="1">
      <c r="A4509" s="2">
        <v>202103</v>
      </c>
      <c r="B4509" s="3">
        <v>44273</v>
      </c>
      <c r="C4509" s="2" t="s">
        <v>2447</v>
      </c>
      <c r="D4509" s="2" t="s">
        <v>38</v>
      </c>
      <c r="E4509" s="2">
        <v>66.510000000000005</v>
      </c>
      <c r="F4509" s="2" t="str">
        <f>IF(Table2[[#This Row],[Manual Cat Value]]="",VLOOKUP(Table2[[#This Row],[Description]],'Actuals Lookup'!D:F,3,0),Table2[[#This Row],[Manual Cat Value]])</f>
        <v>Amazon</v>
      </c>
      <c r="J4509" s="2">
        <v>66.510000000000005</v>
      </c>
      <c r="K4509" s="2" t="b">
        <v>0</v>
      </c>
      <c r="L4509" s="2"/>
      <c r="M4509" s="2"/>
      <c r="N4509" s="4" t="s">
        <v>2259</v>
      </c>
      <c r="O4509" s="4" t="str">
        <f>LEFT(Table2[[#This Row],[Description]],75)</f>
        <v>Amazon</v>
      </c>
      <c r="P4509" s="2" t="s">
        <v>2260</v>
      </c>
    </row>
    <row r="4510" spans="1:16" hidden="1">
      <c r="A4510" s="2">
        <v>202103</v>
      </c>
      <c r="B4510" s="3">
        <v>44273</v>
      </c>
      <c r="C4510" s="2" t="s">
        <v>2262</v>
      </c>
      <c r="D4510" s="2" t="s">
        <v>543</v>
      </c>
      <c r="E4510" s="2">
        <v>30.28</v>
      </c>
      <c r="F4510" s="2" t="e">
        <f>IF(Table2[[#This Row],[Manual Cat Value]]="",VLOOKUP(Table2[[#This Row],[Description]],'Actuals Lookup'!D:F,3,0),Table2[[#This Row],[Manual Cat Value]])</f>
        <v>#N/A</v>
      </c>
      <c r="J4510" s="2">
        <v>30.28</v>
      </c>
      <c r="K4510" s="2" t="b">
        <v>0</v>
      </c>
      <c r="L4510" s="2"/>
      <c r="M4510" s="2"/>
      <c r="N4510" s="4" t="s">
        <v>2259</v>
      </c>
      <c r="O4510" s="4" t="str">
        <f>LEFT(Table2[[#This Row],[Description]],75)</f>
        <v>Chipotle</v>
      </c>
      <c r="P4510" s="2" t="s">
        <v>2341</v>
      </c>
    </row>
    <row r="4511" spans="1:16" hidden="1">
      <c r="A4511" s="2">
        <v>202103</v>
      </c>
      <c r="B4511" s="3">
        <v>44273</v>
      </c>
      <c r="C4511" s="2" t="s">
        <v>2265</v>
      </c>
      <c r="D4511" s="2" t="s">
        <v>1300</v>
      </c>
      <c r="E4511" s="2">
        <v>200</v>
      </c>
      <c r="F4511" s="2" t="e">
        <f>IF(Table2[[#This Row],[Manual Cat Value]]="",VLOOKUP(Table2[[#This Row],[Description]],'Actuals Lookup'!D:F,3,0),Table2[[#This Row],[Manual Cat Value]])</f>
        <v>#N/A</v>
      </c>
      <c r="J4511" s="2">
        <v>200</v>
      </c>
      <c r="K4511" s="2" t="b">
        <v>0</v>
      </c>
      <c r="L4511" s="2"/>
      <c r="M4511" s="2"/>
      <c r="N4511" s="4" t="s">
        <v>2259</v>
      </c>
      <c r="O4511" s="4" t="str">
        <f>LEFT(Table2[[#This Row],[Description]],75)</f>
        <v>MN DIR ACH TYPE CONTRIB ID CO MN DIR ACH ACH ECC WEB ACH Trace X7949</v>
      </c>
      <c r="P4511" s="2" t="s">
        <v>2469</v>
      </c>
    </row>
    <row r="4512" spans="1:16" hidden="1">
      <c r="A4512" s="2">
        <v>202103</v>
      </c>
      <c r="B4512" s="3">
        <v>44273</v>
      </c>
      <c r="C4512" s="2" t="s">
        <v>2300</v>
      </c>
      <c r="D4512" s="2" t="s">
        <v>1648</v>
      </c>
      <c r="E4512" s="2">
        <v>-100</v>
      </c>
      <c r="F4512" s="2" t="e">
        <f>IF(Table2[[#This Row],[Manual Cat Value]]="",VLOOKUP(Table2[[#This Row],[Description]],'Actuals Lookup'!D:F,3,0),Table2[[#This Row],[Manual Cat Value]])</f>
        <v>#N/A</v>
      </c>
      <c r="J4512" s="2">
        <v>100</v>
      </c>
      <c r="K4512" s="2" t="b">
        <v>0</v>
      </c>
      <c r="L4512" s="2"/>
      <c r="M4512" s="2"/>
      <c r="N4512" s="4" t="s">
        <v>2273</v>
      </c>
      <c r="O4512" s="4" t="str">
        <f>LEFT(Table2[[#This Row],[Description]],75)</f>
        <v>Share</v>
      </c>
      <c r="P4512" s="2" t="s">
        <v>2448</v>
      </c>
    </row>
    <row r="4513" spans="1:16" hidden="1">
      <c r="A4513" s="2">
        <v>202103</v>
      </c>
      <c r="B4513" s="3">
        <v>44273</v>
      </c>
      <c r="C4513" s="2" t="s">
        <v>2265</v>
      </c>
      <c r="D4513" s="2" t="s">
        <v>1892</v>
      </c>
      <c r="E4513" s="2">
        <v>100</v>
      </c>
      <c r="F4513" s="2" t="e">
        <f>IF(Table2[[#This Row],[Manual Cat Value]]="",VLOOKUP(Table2[[#This Row],[Description]],'Actuals Lookup'!D:F,3,0),Table2[[#This Row],[Manual Cat Value]])</f>
        <v>#N/A</v>
      </c>
      <c r="J4513" s="2">
        <v>100</v>
      </c>
      <c r="K4513" s="2" t="b">
        <v>0</v>
      </c>
      <c r="L4513" s="2"/>
      <c r="M4513" s="2"/>
      <c r="N4513" s="4" t="s">
        <v>2259</v>
      </c>
      <c r="O4513" s="4" t="str">
        <f>LEFT(Table2[[#This Row],[Description]],75)</f>
        <v>To Share 12</v>
      </c>
      <c r="P4513" s="2" t="s">
        <v>2494</v>
      </c>
    </row>
    <row r="4514" spans="1:16" hidden="1">
      <c r="A4514" s="2">
        <v>202103</v>
      </c>
      <c r="B4514" s="3">
        <v>44274</v>
      </c>
      <c r="C4514" s="2" t="s">
        <v>2317</v>
      </c>
      <c r="D4514" s="2" t="s">
        <v>354</v>
      </c>
      <c r="E4514" s="2">
        <v>-200</v>
      </c>
      <c r="F4514" s="2" t="e">
        <f>IF(Table2[[#This Row],[Manual Cat Value]]="",VLOOKUP(Table2[[#This Row],[Description]],'Actuals Lookup'!D:F,3,0),Table2[[#This Row],[Manual Cat Value]])</f>
        <v>#N/A</v>
      </c>
      <c r="J4514" s="2">
        <v>200</v>
      </c>
      <c r="K4514" s="2" t="b">
        <v>0</v>
      </c>
      <c r="L4514" s="2"/>
      <c r="M4514" s="2"/>
      <c r="N4514" s="4" t="s">
        <v>2273</v>
      </c>
      <c r="O4514" s="4" t="str">
        <f>LEFT(Table2[[#This Row],[Description]],75)</f>
        <v>CARGILL COCOA &amp;</v>
      </c>
      <c r="P4514" s="2" t="s">
        <v>2354</v>
      </c>
    </row>
    <row r="4515" spans="1:16" hidden="1">
      <c r="A4515" s="2">
        <v>202103</v>
      </c>
      <c r="B4515" s="3">
        <v>44274</v>
      </c>
      <c r="C4515" s="2" t="s">
        <v>2262</v>
      </c>
      <c r="D4515" s="2" t="s">
        <v>648</v>
      </c>
      <c r="E4515" s="2">
        <v>131.71</v>
      </c>
      <c r="F4515" s="2" t="str">
        <f>IF(Table2[[#This Row],[Manual Cat Value]]="",VLOOKUP(Table2[[#This Row],[Description]],'Actuals Lookup'!D:F,3,0),Table2[[#This Row],[Manual Cat Value]])</f>
        <v>Groceries</v>
      </c>
      <c r="J4515" s="2">
        <v>131.71</v>
      </c>
      <c r="K4515" s="2" t="b">
        <v>0</v>
      </c>
      <c r="L4515" s="2"/>
      <c r="M4515" s="2"/>
      <c r="N4515" s="4" t="s">
        <v>2259</v>
      </c>
      <c r="O4515" s="4" t="str">
        <f>LEFT(Table2[[#This Row],[Description]],75)</f>
        <v>Costco</v>
      </c>
      <c r="P4515" s="2" t="s">
        <v>2409</v>
      </c>
    </row>
    <row r="4516" spans="1:16" hidden="1">
      <c r="A4516" s="2">
        <v>202103</v>
      </c>
      <c r="B4516" s="3">
        <v>44274</v>
      </c>
      <c r="C4516" s="2" t="s">
        <v>2434</v>
      </c>
      <c r="D4516" s="2" t="s">
        <v>1834</v>
      </c>
      <c r="E4516" s="2">
        <v>-231</v>
      </c>
      <c r="F4516" s="2" t="e">
        <f>IF(Table2[[#This Row],[Manual Cat Value]]="",VLOOKUP(Table2[[#This Row],[Description]],'Actuals Lookup'!D:F,3,0),Table2[[#This Row],[Manual Cat Value]])</f>
        <v>#N/A</v>
      </c>
      <c r="J4516" s="2">
        <v>231</v>
      </c>
      <c r="K4516" s="2" t="b">
        <v>0</v>
      </c>
      <c r="L4516" s="2"/>
      <c r="M4516" s="2"/>
      <c r="N4516" s="4" t="s">
        <v>2273</v>
      </c>
      <c r="O4516" s="4" t="str">
        <f>LEFT(Table2[[#This Row],[Description]],75)</f>
        <v>Tfr JPMORGAN CHASE BAN, CARGILL COCOA &amp;</v>
      </c>
      <c r="P4516" s="2" t="s">
        <v>2356</v>
      </c>
    </row>
    <row r="4517" spans="1:16" hidden="1">
      <c r="A4517" s="2">
        <v>202103</v>
      </c>
      <c r="B4517" s="3">
        <v>44274</v>
      </c>
      <c r="C4517" s="2" t="s">
        <v>2265</v>
      </c>
      <c r="D4517" s="2" t="s">
        <v>2109</v>
      </c>
      <c r="E4517" s="2">
        <v>81.12</v>
      </c>
      <c r="F4517" s="2" t="str">
        <f>IF(Table2[[#This Row],[Manual Cat Value]]="",VLOOKUP(Table2[[#This Row],[Description]],'Actuals Lookup'!D:F,3,0),Table2[[#This Row],[Manual Cat Value]])</f>
        <v>Shopping</v>
      </c>
      <c r="J4517" s="2">
        <v>81.12</v>
      </c>
      <c r="K4517" s="2" t="b">
        <v>0</v>
      </c>
      <c r="L4517" s="2"/>
      <c r="M4517" s="2"/>
      <c r="N4517" s="4" t="s">
        <v>2259</v>
      </c>
      <c r="O4517" s="4" t="str">
        <f>LEFT(Table2[[#This Row],[Description]],75)</f>
        <v>Venmo</v>
      </c>
      <c r="P4517" s="2" t="s">
        <v>2281</v>
      </c>
    </row>
    <row r="4518" spans="1:16" hidden="1">
      <c r="A4518" s="2">
        <v>202103</v>
      </c>
      <c r="B4518" s="3">
        <v>44275</v>
      </c>
      <c r="C4518" s="2" t="s">
        <v>2258</v>
      </c>
      <c r="D4518" s="2" t="s">
        <v>38</v>
      </c>
      <c r="E4518" s="2">
        <v>23.99</v>
      </c>
      <c r="F4518" s="2" t="str">
        <f>IF(Table2[[#This Row],[Manual Cat Value]]="",VLOOKUP(Table2[[#This Row],[Description]],'Actuals Lookup'!D:F,3,0),Table2[[#This Row],[Manual Cat Value]])</f>
        <v>Amazon</v>
      </c>
      <c r="J4518" s="2">
        <v>23.99</v>
      </c>
      <c r="K4518" s="2" t="b">
        <v>0</v>
      </c>
      <c r="L4518" s="2"/>
      <c r="M4518" s="2"/>
      <c r="N4518" s="4" t="s">
        <v>2259</v>
      </c>
      <c r="O4518" s="4" t="str">
        <f>LEFT(Table2[[#This Row],[Description]],75)</f>
        <v>Amazon</v>
      </c>
      <c r="P4518" s="2" t="s">
        <v>2260</v>
      </c>
    </row>
    <row r="4519" spans="1:16" hidden="1">
      <c r="A4519" s="2">
        <v>202103</v>
      </c>
      <c r="B4519" s="3">
        <v>44275</v>
      </c>
      <c r="C4519" s="2" t="s">
        <v>2447</v>
      </c>
      <c r="D4519" s="2" t="s">
        <v>38</v>
      </c>
      <c r="E4519" s="2">
        <v>23.99</v>
      </c>
      <c r="F4519" s="2" t="str">
        <f>IF(Table2[[#This Row],[Manual Cat Value]]="",VLOOKUP(Table2[[#This Row],[Description]],'Actuals Lookup'!D:F,3,0),Table2[[#This Row],[Manual Cat Value]])</f>
        <v>Amazon</v>
      </c>
      <c r="J4519" s="2">
        <v>23.99</v>
      </c>
      <c r="K4519" s="2" t="b">
        <v>0</v>
      </c>
      <c r="L4519" s="2"/>
      <c r="M4519" s="2"/>
      <c r="N4519" s="4" t="s">
        <v>2259</v>
      </c>
      <c r="O4519" s="4" t="str">
        <f>LEFT(Table2[[#This Row],[Description]],75)</f>
        <v>Amazon</v>
      </c>
      <c r="P4519" s="2" t="s">
        <v>2260</v>
      </c>
    </row>
    <row r="4520" spans="1:16" hidden="1">
      <c r="A4520" s="2">
        <v>202103</v>
      </c>
      <c r="B4520" s="3">
        <v>44275</v>
      </c>
      <c r="C4520" s="2" t="s">
        <v>2274</v>
      </c>
      <c r="D4520" s="2" t="s">
        <v>194</v>
      </c>
      <c r="E4520" s="2">
        <v>102.25</v>
      </c>
      <c r="F4520" s="2" t="e">
        <f>IF(Table2[[#This Row],[Manual Cat Value]]="",VLOOKUP(Table2[[#This Row],[Description]],'Actuals Lookup'!D:F,3,0),Table2[[#This Row],[Manual Cat Value]])</f>
        <v>#N/A</v>
      </c>
      <c r="J4520" s="2">
        <v>102.25</v>
      </c>
      <c r="K4520" s="2" t="b">
        <v>0</v>
      </c>
      <c r="L4520" s="2"/>
      <c r="M4520" s="2"/>
      <c r="N4520" s="4" t="s">
        <v>2259</v>
      </c>
      <c r="O4520" s="4" t="str">
        <f>LEFT(Table2[[#This Row],[Description]],75)</f>
        <v>B MOCCASIN BAR X5820 US HAYWARD</v>
      </c>
      <c r="P4520" s="2" t="s">
        <v>2281</v>
      </c>
    </row>
    <row r="4521" spans="1:16" hidden="1">
      <c r="A4521" s="2">
        <v>202103</v>
      </c>
      <c r="B4521" s="3">
        <v>44276</v>
      </c>
      <c r="C4521" s="2" t="s">
        <v>2262</v>
      </c>
      <c r="D4521" s="2" t="s">
        <v>947</v>
      </c>
      <c r="E4521" s="2">
        <v>80.09</v>
      </c>
      <c r="F4521" s="2" t="e">
        <f>IF(Table2[[#This Row],[Manual Cat Value]]="",VLOOKUP(Table2[[#This Row],[Description]],'Actuals Lookup'!D:F,3,0),Table2[[#This Row],[Manual Cat Value]])</f>
        <v>#N/A</v>
      </c>
      <c r="J4521" s="2">
        <v>80.09</v>
      </c>
      <c r="K4521" s="2" t="b">
        <v>0</v>
      </c>
      <c r="L4521" s="2"/>
      <c r="M4521" s="2"/>
      <c r="N4521" s="4" t="s">
        <v>2259</v>
      </c>
      <c r="O4521" s="4" t="str">
        <f>LEFT(Table2[[#This Row],[Description]],75)</f>
        <v>Home Depot</v>
      </c>
      <c r="P4521" s="2" t="s">
        <v>2396</v>
      </c>
    </row>
    <row r="4522" spans="1:16" hidden="1">
      <c r="A4522" s="2">
        <v>202103</v>
      </c>
      <c r="B4522" s="3">
        <v>44276</v>
      </c>
      <c r="C4522" s="2" t="s">
        <v>2262</v>
      </c>
      <c r="D4522" s="2" t="s">
        <v>1180</v>
      </c>
      <c r="E4522" s="2">
        <v>9.99</v>
      </c>
      <c r="F4522" s="2" t="e">
        <f>IF(Table2[[#This Row],[Manual Cat Value]]="",VLOOKUP(Table2[[#This Row],[Description]],'Actuals Lookup'!D:F,3,0),Table2[[#This Row],[Manual Cat Value]])</f>
        <v>#N/A</v>
      </c>
      <c r="J4522" s="2">
        <v>9.99</v>
      </c>
      <c r="K4522" s="2" t="b">
        <v>0</v>
      </c>
      <c r="L4522" s="2"/>
      <c r="M4522" s="2"/>
      <c r="N4522" s="4" t="s">
        <v>2259</v>
      </c>
      <c r="O4522" s="4" t="str">
        <f>LEFT(Table2[[#This Row],[Description]],75)</f>
        <v>Marketplace Iga</v>
      </c>
      <c r="P4522" s="2" t="s">
        <v>2281</v>
      </c>
    </row>
    <row r="4523" spans="1:16" hidden="1">
      <c r="A4523" s="2">
        <v>202103</v>
      </c>
      <c r="B4523" s="3">
        <v>44276</v>
      </c>
      <c r="C4523" s="2" t="s">
        <v>2262</v>
      </c>
      <c r="D4523" s="2" t="s">
        <v>1180</v>
      </c>
      <c r="E4523" s="2">
        <v>36.49</v>
      </c>
      <c r="F4523" s="2" t="e">
        <f>IF(Table2[[#This Row],[Manual Cat Value]]="",VLOOKUP(Table2[[#This Row],[Description]],'Actuals Lookup'!D:F,3,0),Table2[[#This Row],[Manual Cat Value]])</f>
        <v>#N/A</v>
      </c>
      <c r="J4523" s="2">
        <v>36.49</v>
      </c>
      <c r="K4523" s="2" t="b">
        <v>0</v>
      </c>
      <c r="L4523" s="2"/>
      <c r="M4523" s="2"/>
      <c r="N4523" s="4" t="s">
        <v>2259</v>
      </c>
      <c r="O4523" s="4" t="str">
        <f>LEFT(Table2[[#This Row],[Description]],75)</f>
        <v>Marketplace Iga</v>
      </c>
      <c r="P4523" s="2" t="s">
        <v>2281</v>
      </c>
    </row>
    <row r="4524" spans="1:16" hidden="1">
      <c r="A4524" s="2">
        <v>202103</v>
      </c>
      <c r="B4524" s="3">
        <v>44277</v>
      </c>
      <c r="C4524" s="2" t="s">
        <v>2262</v>
      </c>
      <c r="D4524" s="2" t="s">
        <v>310</v>
      </c>
      <c r="E4524" s="2">
        <v>9</v>
      </c>
      <c r="F4524" s="2" t="e">
        <f>IF(Table2[[#This Row],[Manual Cat Value]]="",VLOOKUP(Table2[[#This Row],[Description]],'Actuals Lookup'!D:F,3,0),Table2[[#This Row],[Manual Cat Value]])</f>
        <v>#N/A</v>
      </c>
      <c r="J4524" s="2">
        <v>9</v>
      </c>
      <c r="K4524" s="2" t="b">
        <v>0</v>
      </c>
      <c r="L4524" s="2"/>
      <c r="M4524" s="2"/>
      <c r="N4524" s="4" t="s">
        <v>2259</v>
      </c>
      <c r="O4524" s="4" t="str">
        <f>LEFT(Table2[[#This Row],[Description]],75)</f>
        <v>BONFES PLUMBING HEATING ASOUTH SAINT PMN</v>
      </c>
      <c r="P4524" s="2" t="s">
        <v>2537</v>
      </c>
    </row>
    <row r="4525" spans="1:16" hidden="1">
      <c r="A4525" s="2">
        <v>202103</v>
      </c>
      <c r="B4525" s="3">
        <v>44277</v>
      </c>
      <c r="C4525" s="2" t="s">
        <v>2265</v>
      </c>
      <c r="D4525" s="2" t="s">
        <v>557</v>
      </c>
      <c r="E4525" s="2">
        <v>136.93</v>
      </c>
      <c r="F4525" s="2" t="e">
        <f>IF(Table2[[#This Row],[Manual Cat Value]]="",VLOOKUP(Table2[[#This Row],[Description]],'Actuals Lookup'!D:F,3,0),Table2[[#This Row],[Manual Cat Value]])</f>
        <v>#N/A</v>
      </c>
      <c r="J4525" s="2">
        <v>136.93</v>
      </c>
      <c r="K4525" s="2" t="b">
        <v>0</v>
      </c>
      <c r="L4525" s="2"/>
      <c r="M4525" s="2"/>
      <c r="N4525" s="4" t="s">
        <v>2259</v>
      </c>
      <c r="O4525" s="4" t="str">
        <f>LEFT(Table2[[#This Row],[Description]],75)</f>
        <v>City of Chanhassen</v>
      </c>
      <c r="P4525" s="2" t="s">
        <v>2298</v>
      </c>
    </row>
    <row r="4526" spans="1:16" hidden="1">
      <c r="A4526" s="2">
        <v>202103</v>
      </c>
      <c r="B4526" s="3">
        <v>44277</v>
      </c>
      <c r="C4526" s="2" t="s">
        <v>2265</v>
      </c>
      <c r="D4526" s="2" t="s">
        <v>1471</v>
      </c>
      <c r="E4526" s="2">
        <v>5.39</v>
      </c>
      <c r="F4526" s="2" t="str">
        <f>IF(Table2[[#This Row],[Manual Cat Value]]="",VLOOKUP(Table2[[#This Row],[Description]],'Actuals Lookup'!D:F,3,0),Table2[[#This Row],[Manual Cat Value]])</f>
        <v>Shopping</v>
      </c>
      <c r="J4526" s="2">
        <v>5.39</v>
      </c>
      <c r="K4526" s="2" t="b">
        <v>0</v>
      </c>
      <c r="L4526" s="2"/>
      <c r="M4526" s="2"/>
      <c r="N4526" s="4" t="s">
        <v>2259</v>
      </c>
      <c r="O4526" s="4" t="str">
        <f>LEFT(Table2[[#This Row],[Description]],75)</f>
        <v>PayPal</v>
      </c>
      <c r="P4526" s="2" t="s">
        <v>2322</v>
      </c>
    </row>
    <row r="4527" spans="1:16" hidden="1">
      <c r="A4527" s="2">
        <v>202103</v>
      </c>
      <c r="B4527" s="3">
        <v>44277</v>
      </c>
      <c r="C4527" s="2" t="s">
        <v>2265</v>
      </c>
      <c r="D4527" s="2" t="s">
        <v>1471</v>
      </c>
      <c r="E4527" s="2">
        <v>140</v>
      </c>
      <c r="F4527" s="2" t="str">
        <f>IF(Table2[[#This Row],[Manual Cat Value]]="",VLOOKUP(Table2[[#This Row],[Description]],'Actuals Lookup'!D:F,3,0),Table2[[#This Row],[Manual Cat Value]])</f>
        <v>Shopping</v>
      </c>
      <c r="J4527" s="2">
        <v>140</v>
      </c>
      <c r="K4527" s="2" t="b">
        <v>0</v>
      </c>
      <c r="L4527" s="2"/>
      <c r="M4527" s="2"/>
      <c r="N4527" s="4" t="s">
        <v>2259</v>
      </c>
      <c r="O4527" s="4" t="str">
        <f>LEFT(Table2[[#This Row],[Description]],75)</f>
        <v>PayPal</v>
      </c>
      <c r="P4527" s="2" t="s">
        <v>2322</v>
      </c>
    </row>
    <row r="4528" spans="1:16" hidden="1">
      <c r="A4528" s="2">
        <v>202103</v>
      </c>
      <c r="B4528" s="3">
        <v>44277</v>
      </c>
      <c r="C4528" s="2" t="s">
        <v>2317</v>
      </c>
      <c r="D4528" s="2" t="s">
        <v>1633</v>
      </c>
      <c r="E4528" s="2">
        <v>200</v>
      </c>
      <c r="F4528" s="2" t="e">
        <f>IF(Table2[[#This Row],[Manual Cat Value]]="",VLOOKUP(Table2[[#This Row],[Description]],'Actuals Lookup'!D:F,3,0),Table2[[#This Row],[Manual Cat Value]])</f>
        <v>#N/A</v>
      </c>
      <c r="J4528" s="2">
        <v>200</v>
      </c>
      <c r="K4528" s="2" t="b">
        <v>0</v>
      </c>
      <c r="L4528" s="2"/>
      <c r="M4528" s="2"/>
      <c r="N4528" s="4" t="s">
        <v>2259</v>
      </c>
      <c r="O4528" s="4" t="str">
        <f>LEFT(Table2[[#This Row],[Description]],75)</f>
        <v>SCHWAB S&amp;P 500 INDEX FD</v>
      </c>
      <c r="P4528" s="2" t="s">
        <v>2276</v>
      </c>
    </row>
    <row r="4529" spans="1:16" hidden="1">
      <c r="A4529" s="2">
        <v>202103</v>
      </c>
      <c r="B4529" s="3">
        <v>44277</v>
      </c>
      <c r="C4529" s="2" t="s">
        <v>2317</v>
      </c>
      <c r="D4529" s="2" t="s">
        <v>1635</v>
      </c>
      <c r="E4529" s="2">
        <v>200</v>
      </c>
      <c r="F4529" s="2" t="e">
        <f>IF(Table2[[#This Row],[Manual Cat Value]]="",VLOOKUP(Table2[[#This Row],[Description]],'Actuals Lookup'!D:F,3,0),Table2[[#This Row],[Manual Cat Value]])</f>
        <v>#N/A</v>
      </c>
      <c r="J4529" s="2">
        <v>200</v>
      </c>
      <c r="K4529" s="2" t="b">
        <v>0</v>
      </c>
      <c r="L4529" s="2"/>
      <c r="M4529" s="2"/>
      <c r="N4529" s="4" t="s">
        <v>2259</v>
      </c>
      <c r="O4529" s="4" t="str">
        <f>LEFT(Table2[[#This Row],[Description]],75)</f>
        <v>SCHWAB TOTAL STOCK MKT INDEX</v>
      </c>
      <c r="P4529" s="2" t="s">
        <v>2278</v>
      </c>
    </row>
    <row r="4530" spans="1:16" hidden="1">
      <c r="A4530" s="2">
        <v>202103</v>
      </c>
      <c r="B4530" s="3">
        <v>44277</v>
      </c>
      <c r="C4530" s="2" t="s">
        <v>2262</v>
      </c>
      <c r="D4530" s="2" t="s">
        <v>1650</v>
      </c>
      <c r="E4530" s="2">
        <v>10.01</v>
      </c>
      <c r="F4530" s="2" t="str">
        <f>IF(Table2[[#This Row],[Manual Cat Value]]="",VLOOKUP(Table2[[#This Row],[Description]],'Actuals Lookup'!D:F,3,0),Table2[[#This Row],[Manual Cat Value]])</f>
        <v>Transportation</v>
      </c>
      <c r="J4530" s="2">
        <v>10.01</v>
      </c>
      <c r="K4530" s="2" t="b">
        <v>0</v>
      </c>
      <c r="L4530" s="2"/>
      <c r="M4530" s="2"/>
      <c r="N4530" s="4" t="s">
        <v>2259</v>
      </c>
      <c r="O4530" s="4" t="str">
        <f>LEFT(Table2[[#This Row],[Description]],75)</f>
        <v>Shell</v>
      </c>
      <c r="P4530" s="2" t="s">
        <v>2281</v>
      </c>
    </row>
    <row r="4531" spans="1:16" hidden="1">
      <c r="A4531" s="2">
        <v>202103</v>
      </c>
      <c r="B4531" s="3">
        <v>44277</v>
      </c>
      <c r="C4531" s="2" t="s">
        <v>2262</v>
      </c>
      <c r="D4531" s="2" t="s">
        <v>1650</v>
      </c>
      <c r="E4531" s="2">
        <v>26.61</v>
      </c>
      <c r="F4531" s="2" t="str">
        <f>IF(Table2[[#This Row],[Manual Cat Value]]="",VLOOKUP(Table2[[#This Row],[Description]],'Actuals Lookup'!D:F,3,0),Table2[[#This Row],[Manual Cat Value]])</f>
        <v>Transportation</v>
      </c>
      <c r="J4531" s="2">
        <v>26.61</v>
      </c>
      <c r="K4531" s="2" t="b">
        <v>0</v>
      </c>
      <c r="L4531" s="2"/>
      <c r="M4531" s="2"/>
      <c r="N4531" s="4" t="s">
        <v>2259</v>
      </c>
      <c r="O4531" s="4" t="str">
        <f>LEFT(Table2[[#This Row],[Description]],75)</f>
        <v>Shell</v>
      </c>
      <c r="P4531" s="2" t="s">
        <v>2281</v>
      </c>
    </row>
    <row r="4532" spans="1:16" hidden="1">
      <c r="A4532" s="2">
        <v>202103</v>
      </c>
      <c r="B4532" s="3">
        <v>44277</v>
      </c>
      <c r="C4532" s="2" t="s">
        <v>2265</v>
      </c>
      <c r="D4532" s="2" t="s">
        <v>2109</v>
      </c>
      <c r="E4532" s="2">
        <v>28</v>
      </c>
      <c r="F4532" s="2" t="str">
        <f>IF(Table2[[#This Row],[Manual Cat Value]]="",VLOOKUP(Table2[[#This Row],[Description]],'Actuals Lookup'!D:F,3,0),Table2[[#This Row],[Manual Cat Value]])</f>
        <v>Shopping</v>
      </c>
      <c r="J4532" s="2">
        <v>28</v>
      </c>
      <c r="K4532" s="2" t="b">
        <v>0</v>
      </c>
      <c r="L4532" s="2"/>
      <c r="M4532" s="2"/>
      <c r="N4532" s="4" t="s">
        <v>2259</v>
      </c>
      <c r="O4532" s="4" t="str">
        <f>LEFT(Table2[[#This Row],[Description]],75)</f>
        <v>Venmo</v>
      </c>
      <c r="P4532" s="2" t="s">
        <v>2281</v>
      </c>
    </row>
    <row r="4533" spans="1:16" hidden="1">
      <c r="A4533" s="2">
        <v>202103</v>
      </c>
      <c r="B4533" s="3">
        <v>44277</v>
      </c>
      <c r="C4533" s="2" t="s">
        <v>2265</v>
      </c>
      <c r="D4533" s="2" t="s">
        <v>2109</v>
      </c>
      <c r="E4533" s="2">
        <v>50</v>
      </c>
      <c r="F4533" s="2" t="str">
        <f>IF(Table2[[#This Row],[Manual Cat Value]]="",VLOOKUP(Table2[[#This Row],[Description]],'Actuals Lookup'!D:F,3,0),Table2[[#This Row],[Manual Cat Value]])</f>
        <v>Shopping</v>
      </c>
      <c r="J4533" s="2">
        <v>50</v>
      </c>
      <c r="K4533" s="2" t="b">
        <v>0</v>
      </c>
      <c r="L4533" s="2"/>
      <c r="M4533" s="2"/>
      <c r="N4533" s="4" t="s">
        <v>2259</v>
      </c>
      <c r="O4533" s="4" t="str">
        <f>LEFT(Table2[[#This Row],[Description]],75)</f>
        <v>Venmo</v>
      </c>
      <c r="P4533" s="2" t="s">
        <v>2281</v>
      </c>
    </row>
    <row r="4534" spans="1:16" hidden="1">
      <c r="A4534" s="2">
        <v>202103</v>
      </c>
      <c r="B4534" s="3">
        <v>44278</v>
      </c>
      <c r="C4534" s="2" t="s">
        <v>2265</v>
      </c>
      <c r="D4534" s="2" t="s">
        <v>1221</v>
      </c>
      <c r="E4534" s="2">
        <v>425</v>
      </c>
      <c r="F4534" s="2" t="e">
        <f>IF(Table2[[#This Row],[Manual Cat Value]]="",VLOOKUP(Table2[[#This Row],[Description]],'Actuals Lookup'!D:F,3,0),Table2[[#This Row],[Manual Cat Value]])</f>
        <v>#N/A</v>
      </c>
      <c r="J4534" s="2">
        <v>425</v>
      </c>
      <c r="K4534" s="2" t="b">
        <v>0</v>
      </c>
      <c r="L4534" s="2"/>
      <c r="M4534" s="2"/>
      <c r="N4534" s="4" t="s">
        <v>2259</v>
      </c>
      <c r="O4534" s="4" t="str">
        <f>LEFT(Table2[[#This Row],[Description]],75)</f>
        <v>MHCHILDCARELLC TYPE DUES ID CO MHCHILDCARELLC ACH ECC PPD ACH Trace 44258</v>
      </c>
      <c r="P4534" s="2" t="s">
        <v>2497</v>
      </c>
    </row>
    <row r="4535" spans="1:16" hidden="1">
      <c r="A4535" s="2">
        <v>202103</v>
      </c>
      <c r="B4535" s="3">
        <v>44279</v>
      </c>
      <c r="C4535" s="2" t="s">
        <v>2447</v>
      </c>
      <c r="D4535" s="2" t="s">
        <v>38</v>
      </c>
      <c r="E4535" s="2">
        <v>7.8</v>
      </c>
      <c r="F4535" s="2" t="str">
        <f>IF(Table2[[#This Row],[Manual Cat Value]]="",VLOOKUP(Table2[[#This Row],[Description]],'Actuals Lookup'!D:F,3,0),Table2[[#This Row],[Manual Cat Value]])</f>
        <v>Amazon</v>
      </c>
      <c r="J4535" s="2">
        <v>7.8</v>
      </c>
      <c r="K4535" s="2" t="b">
        <v>0</v>
      </c>
      <c r="L4535" s="2"/>
      <c r="M4535" s="2"/>
      <c r="N4535" s="4" t="s">
        <v>2259</v>
      </c>
      <c r="O4535" s="4" t="str">
        <f>LEFT(Table2[[#This Row],[Description]],75)</f>
        <v>Amazon</v>
      </c>
      <c r="P4535" s="2" t="s">
        <v>2260</v>
      </c>
    </row>
    <row r="4536" spans="1:16" hidden="1">
      <c r="A4536" s="2">
        <v>202103</v>
      </c>
      <c r="B4536" s="3">
        <v>44279</v>
      </c>
      <c r="C4536" s="2" t="s">
        <v>2447</v>
      </c>
      <c r="D4536" s="2" t="s">
        <v>38</v>
      </c>
      <c r="E4536" s="2">
        <v>9.61</v>
      </c>
      <c r="F4536" s="2" t="str">
        <f>IF(Table2[[#This Row],[Manual Cat Value]]="",VLOOKUP(Table2[[#This Row],[Description]],'Actuals Lookup'!D:F,3,0),Table2[[#This Row],[Manual Cat Value]])</f>
        <v>Amazon</v>
      </c>
      <c r="J4536" s="2">
        <v>9.61</v>
      </c>
      <c r="K4536" s="2" t="b">
        <v>0</v>
      </c>
      <c r="L4536" s="2"/>
      <c r="M4536" s="2"/>
      <c r="N4536" s="4" t="s">
        <v>2259</v>
      </c>
      <c r="O4536" s="4" t="str">
        <f>LEFT(Table2[[#This Row],[Description]],75)</f>
        <v>Amazon</v>
      </c>
      <c r="P4536" s="2" t="s">
        <v>2260</v>
      </c>
    </row>
    <row r="4537" spans="1:16" hidden="1">
      <c r="A4537" s="2">
        <v>202103</v>
      </c>
      <c r="B4537" s="3">
        <v>44279</v>
      </c>
      <c r="C4537" s="2" t="s">
        <v>2258</v>
      </c>
      <c r="D4537" s="2" t="s">
        <v>38</v>
      </c>
      <c r="E4537" s="2">
        <v>7.8</v>
      </c>
      <c r="F4537" s="2" t="str">
        <f>IF(Table2[[#This Row],[Manual Cat Value]]="",VLOOKUP(Table2[[#This Row],[Description]],'Actuals Lookup'!D:F,3,0),Table2[[#This Row],[Manual Cat Value]])</f>
        <v>Amazon</v>
      </c>
      <c r="J4537" s="2">
        <v>7.8</v>
      </c>
      <c r="K4537" s="2" t="b">
        <v>0</v>
      </c>
      <c r="L4537" s="2"/>
      <c r="M4537" s="2"/>
      <c r="N4537" s="4" t="s">
        <v>2259</v>
      </c>
      <c r="O4537" s="4" t="str">
        <f>LEFT(Table2[[#This Row],[Description]],75)</f>
        <v>Amazon</v>
      </c>
      <c r="P4537" s="2" t="s">
        <v>2260</v>
      </c>
    </row>
    <row r="4538" spans="1:16" hidden="1">
      <c r="A4538" s="2">
        <v>202103</v>
      </c>
      <c r="B4538" s="3">
        <v>44279</v>
      </c>
      <c r="C4538" s="2" t="s">
        <v>2258</v>
      </c>
      <c r="D4538" s="2" t="s">
        <v>38</v>
      </c>
      <c r="E4538" s="2">
        <v>9.61</v>
      </c>
      <c r="F4538" s="2" t="str">
        <f>IF(Table2[[#This Row],[Manual Cat Value]]="",VLOOKUP(Table2[[#This Row],[Description]],'Actuals Lookup'!D:F,3,0),Table2[[#This Row],[Manual Cat Value]])</f>
        <v>Amazon</v>
      </c>
      <c r="J4538" s="2">
        <v>9.61</v>
      </c>
      <c r="K4538" s="2" t="b">
        <v>0</v>
      </c>
      <c r="L4538" s="2"/>
      <c r="M4538" s="2"/>
      <c r="N4538" s="4" t="s">
        <v>2259</v>
      </c>
      <c r="O4538" s="4" t="str">
        <f>LEFT(Table2[[#This Row],[Description]],75)</f>
        <v>Amazon</v>
      </c>
      <c r="P4538" s="2" t="s">
        <v>2260</v>
      </c>
    </row>
    <row r="4539" spans="1:16" hidden="1">
      <c r="A4539" s="2">
        <v>202103</v>
      </c>
      <c r="B4539" s="3">
        <v>44279</v>
      </c>
      <c r="C4539" s="2" t="s">
        <v>2317</v>
      </c>
      <c r="D4539" s="2" t="s">
        <v>913</v>
      </c>
      <c r="E4539" s="2">
        <v>-0.01</v>
      </c>
      <c r="F4539" s="2" t="e">
        <f>IF(Table2[[#This Row],[Manual Cat Value]]="",VLOOKUP(Table2[[#This Row],[Description]],'Actuals Lookup'!D:F,3,0),Table2[[#This Row],[Manual Cat Value]])</f>
        <v>#N/A</v>
      </c>
      <c r="J4539" s="2">
        <v>0.01</v>
      </c>
      <c r="K4539" s="2" t="b">
        <v>0</v>
      </c>
      <c r="L4539" s="2"/>
      <c r="M4539" s="2"/>
      <c r="N4539" s="4" t="s">
        <v>2273</v>
      </c>
      <c r="O4539" s="4" t="str">
        <f>LEFT(Table2[[#This Row],[Description]],75)</f>
        <v>HALLIBURTON CO HLDG</v>
      </c>
      <c r="P4539" s="2" t="s">
        <v>2433</v>
      </c>
    </row>
    <row r="4540" spans="1:16" hidden="1">
      <c r="A4540" s="2">
        <v>202103</v>
      </c>
      <c r="B4540" s="3">
        <v>44279</v>
      </c>
      <c r="C4540" s="2" t="s">
        <v>2265</v>
      </c>
      <c r="D4540" s="2" t="s">
        <v>1471</v>
      </c>
      <c r="E4540" s="2">
        <v>39.270000000000003</v>
      </c>
      <c r="F4540" s="2" t="str">
        <f>IF(Table2[[#This Row],[Manual Cat Value]]="",VLOOKUP(Table2[[#This Row],[Description]],'Actuals Lookup'!D:F,3,0),Table2[[#This Row],[Manual Cat Value]])</f>
        <v>Shopping</v>
      </c>
      <c r="J4540" s="2">
        <v>39.270000000000003</v>
      </c>
      <c r="K4540" s="2" t="b">
        <v>0</v>
      </c>
      <c r="L4540" s="2"/>
      <c r="M4540" s="2"/>
      <c r="N4540" s="4" t="s">
        <v>2259</v>
      </c>
      <c r="O4540" s="4" t="str">
        <f>LEFT(Table2[[#This Row],[Description]],75)</f>
        <v>PayPal</v>
      </c>
      <c r="P4540" s="2" t="s">
        <v>2322</v>
      </c>
    </row>
    <row r="4541" spans="1:16" hidden="1">
      <c r="A4541" s="2">
        <v>202103</v>
      </c>
      <c r="B4541" s="3">
        <v>44280</v>
      </c>
      <c r="C4541" s="2" t="s">
        <v>2447</v>
      </c>
      <c r="D4541" s="2" t="s">
        <v>38</v>
      </c>
      <c r="E4541" s="2">
        <v>98.95</v>
      </c>
      <c r="F4541" s="2" t="str">
        <f>IF(Table2[[#This Row],[Manual Cat Value]]="",VLOOKUP(Table2[[#This Row],[Description]],'Actuals Lookup'!D:F,3,0),Table2[[#This Row],[Manual Cat Value]])</f>
        <v>Amazon</v>
      </c>
      <c r="J4541" s="2">
        <v>98.95</v>
      </c>
      <c r="K4541" s="2" t="b">
        <v>0</v>
      </c>
      <c r="L4541" s="2"/>
      <c r="M4541" s="2"/>
      <c r="N4541" s="4" t="s">
        <v>2259</v>
      </c>
      <c r="O4541" s="4" t="str">
        <f>LEFT(Table2[[#This Row],[Description]],75)</f>
        <v>Amazon</v>
      </c>
      <c r="P4541" s="2" t="s">
        <v>2260</v>
      </c>
    </row>
    <row r="4542" spans="1:16" hidden="1">
      <c r="A4542" s="2">
        <v>202103</v>
      </c>
      <c r="B4542" s="3">
        <v>44280</v>
      </c>
      <c r="C4542" s="2" t="s">
        <v>2258</v>
      </c>
      <c r="D4542" s="2" t="s">
        <v>38</v>
      </c>
      <c r="E4542" s="2">
        <v>98.95</v>
      </c>
      <c r="F4542" s="2" t="str">
        <f>IF(Table2[[#This Row],[Manual Cat Value]]="",VLOOKUP(Table2[[#This Row],[Description]],'Actuals Lookup'!D:F,3,0),Table2[[#This Row],[Manual Cat Value]])</f>
        <v>Amazon</v>
      </c>
      <c r="J4542" s="2">
        <v>98.95</v>
      </c>
      <c r="K4542" s="2" t="b">
        <v>0</v>
      </c>
      <c r="L4542" s="2"/>
      <c r="M4542" s="2"/>
      <c r="N4542" s="4" t="s">
        <v>2259</v>
      </c>
      <c r="O4542" s="4" t="str">
        <f>LEFT(Table2[[#This Row],[Description]],75)</f>
        <v>Amazon</v>
      </c>
      <c r="P4542" s="2" t="s">
        <v>2260</v>
      </c>
    </row>
    <row r="4543" spans="1:16" hidden="1">
      <c r="A4543" s="2">
        <v>202103</v>
      </c>
      <c r="B4543" s="3">
        <v>44280</v>
      </c>
      <c r="C4543" s="2" t="s">
        <v>2265</v>
      </c>
      <c r="D4543" s="2" t="s">
        <v>425</v>
      </c>
      <c r="E4543" s="2">
        <v>-75</v>
      </c>
      <c r="F4543" s="2" t="e">
        <f>IF(Table2[[#This Row],[Manual Cat Value]]="",VLOOKUP(Table2[[#This Row],[Description]],'Actuals Lookup'!D:F,3,0),Table2[[#This Row],[Manual Cat Value]])</f>
        <v>#N/A</v>
      </c>
      <c r="J4543" s="2">
        <v>75</v>
      </c>
      <c r="K4543" s="2" t="b">
        <v>0</v>
      </c>
      <c r="L4543" s="2"/>
      <c r="M4543" s="2"/>
      <c r="N4543" s="4" t="s">
        <v>2273</v>
      </c>
      <c r="O4543" s="4" t="str">
        <f>LEFT(Table2[[#This Row],[Description]],75)</f>
        <v>Cargill Incorpor Type</v>
      </c>
      <c r="P4543" s="2" t="s">
        <v>2282</v>
      </c>
    </row>
    <row r="4544" spans="1:16" hidden="1">
      <c r="A4544" s="2">
        <v>202103</v>
      </c>
      <c r="B4544" s="3">
        <v>44280</v>
      </c>
      <c r="C4544" s="2" t="s">
        <v>2317</v>
      </c>
      <c r="D4544" s="2" t="s">
        <v>913</v>
      </c>
      <c r="E4544" s="2">
        <v>0.01</v>
      </c>
      <c r="F4544" s="2" t="e">
        <f>IF(Table2[[#This Row],[Manual Cat Value]]="",VLOOKUP(Table2[[#This Row],[Description]],'Actuals Lookup'!D:F,3,0),Table2[[#This Row],[Manual Cat Value]])</f>
        <v>#N/A</v>
      </c>
      <c r="J4544" s="2">
        <v>0.01</v>
      </c>
      <c r="K4544" s="2" t="b">
        <v>0</v>
      </c>
      <c r="L4544" s="2"/>
      <c r="M4544" s="2"/>
      <c r="N4544" s="4" t="s">
        <v>2259</v>
      </c>
      <c r="O4544" s="4" t="str">
        <f>LEFT(Table2[[#This Row],[Description]],75)</f>
        <v>HALLIBURTON CO HLDG</v>
      </c>
      <c r="P4544" s="2" t="s">
        <v>2433</v>
      </c>
    </row>
    <row r="4545" spans="1:16" hidden="1">
      <c r="A4545" s="2">
        <v>202103</v>
      </c>
      <c r="B4545" s="3">
        <v>44280</v>
      </c>
      <c r="C4545" s="2" t="s">
        <v>2265</v>
      </c>
      <c r="D4545" s="2" t="s">
        <v>1319</v>
      </c>
      <c r="E4545" s="2">
        <v>-284</v>
      </c>
      <c r="F4545" s="2" t="e">
        <f>IF(Table2[[#This Row],[Manual Cat Value]]="",VLOOKUP(Table2[[#This Row],[Description]],'Actuals Lookup'!D:F,3,0),Table2[[#This Row],[Manual Cat Value]])</f>
        <v>#N/A</v>
      </c>
      <c r="J4545" s="2">
        <v>284</v>
      </c>
      <c r="K4545" s="2" t="b">
        <v>0</v>
      </c>
      <c r="L4545" s="2"/>
      <c r="M4545" s="2"/>
      <c r="N4545" s="4" t="s">
        <v>2273</v>
      </c>
      <c r="O4545" s="4" t="str">
        <f>LEFT(Table2[[#This Row],[Description]],75)</f>
        <v>MN State Tax</v>
      </c>
      <c r="P4545" s="2" t="s">
        <v>2281</v>
      </c>
    </row>
    <row r="4546" spans="1:16" hidden="1">
      <c r="A4546" s="2">
        <v>202103</v>
      </c>
      <c r="B4546" s="3">
        <v>44280</v>
      </c>
      <c r="C4546" s="2" t="s">
        <v>2317</v>
      </c>
      <c r="D4546" s="2" t="s">
        <v>1553</v>
      </c>
      <c r="E4546" s="2">
        <v>-70.38</v>
      </c>
      <c r="F4546" s="2" t="e">
        <f>IF(Table2[[#This Row],[Manual Cat Value]]="",VLOOKUP(Table2[[#This Row],[Description]],'Actuals Lookup'!D:F,3,0),Table2[[#This Row],[Manual Cat Value]])</f>
        <v>#N/A</v>
      </c>
      <c r="J4546" s="2">
        <v>70.38</v>
      </c>
      <c r="K4546" s="2" t="b">
        <v>0</v>
      </c>
      <c r="L4546" s="2"/>
      <c r="M4546" s="2"/>
      <c r="N4546" s="4" t="s">
        <v>2273</v>
      </c>
      <c r="O4546" s="4" t="str">
        <f>LEFT(Table2[[#This Row],[Description]],75)</f>
        <v>RAYTHEON TECHNOLOGIES CO</v>
      </c>
      <c r="P4546" s="2" t="s">
        <v>2385</v>
      </c>
    </row>
    <row r="4547" spans="1:16" hidden="1">
      <c r="A4547" s="2">
        <v>202103</v>
      </c>
      <c r="B4547" s="3">
        <v>44280</v>
      </c>
      <c r="C4547" s="2" t="s">
        <v>2447</v>
      </c>
      <c r="D4547" s="2" t="s">
        <v>1707</v>
      </c>
      <c r="E4547" s="2">
        <v>44.07</v>
      </c>
      <c r="F4547" s="2" t="str">
        <f>IF(Table2[[#This Row],[Manual Cat Value]]="",VLOOKUP(Table2[[#This Row],[Description]],'Actuals Lookup'!D:F,3,0),Table2[[#This Row],[Manual Cat Value]])</f>
        <v>Transportation</v>
      </c>
      <c r="J4547" s="2">
        <v>44.07</v>
      </c>
      <c r="K4547" s="2" t="b">
        <v>0</v>
      </c>
      <c r="L4547" s="2"/>
      <c r="M4547" s="2"/>
      <c r="N4547" s="4" t="s">
        <v>2259</v>
      </c>
      <c r="O4547" s="4" t="str">
        <f>LEFT(Table2[[#This Row],[Description]],75)</f>
        <v>Speedway</v>
      </c>
      <c r="P4547" s="2" t="s">
        <v>2381</v>
      </c>
    </row>
    <row r="4548" spans="1:16" hidden="1">
      <c r="A4548" s="2">
        <v>202103</v>
      </c>
      <c r="B4548" s="3">
        <v>44280</v>
      </c>
      <c r="C4548" s="2" t="s">
        <v>2258</v>
      </c>
      <c r="D4548" s="2" t="s">
        <v>1707</v>
      </c>
      <c r="E4548" s="2">
        <v>44.07</v>
      </c>
      <c r="F4548" s="2" t="str">
        <f>IF(Table2[[#This Row],[Manual Cat Value]]="",VLOOKUP(Table2[[#This Row],[Description]],'Actuals Lookup'!D:F,3,0),Table2[[#This Row],[Manual Cat Value]])</f>
        <v>Transportation</v>
      </c>
      <c r="J4548" s="2">
        <v>44.07</v>
      </c>
      <c r="K4548" s="2" t="b">
        <v>0</v>
      </c>
      <c r="L4548" s="2"/>
      <c r="M4548" s="2"/>
      <c r="N4548" s="4" t="s">
        <v>2259</v>
      </c>
      <c r="O4548" s="4" t="str">
        <f>LEFT(Table2[[#This Row],[Description]],75)</f>
        <v>Speedway</v>
      </c>
      <c r="P4548" s="2" t="s">
        <v>2381</v>
      </c>
    </row>
    <row r="4549" spans="1:16" hidden="1">
      <c r="A4549" s="2">
        <v>202103</v>
      </c>
      <c r="B4549" s="3">
        <v>44280</v>
      </c>
      <c r="C4549" s="2" t="s">
        <v>2265</v>
      </c>
      <c r="D4549" s="2" t="s">
        <v>2109</v>
      </c>
      <c r="E4549" s="2">
        <v>66</v>
      </c>
      <c r="F4549" s="2" t="str">
        <f>IF(Table2[[#This Row],[Manual Cat Value]]="",VLOOKUP(Table2[[#This Row],[Description]],'Actuals Lookup'!D:F,3,0),Table2[[#This Row],[Manual Cat Value]])</f>
        <v>Shopping</v>
      </c>
      <c r="J4549" s="2">
        <v>66</v>
      </c>
      <c r="K4549" s="2" t="b">
        <v>0</v>
      </c>
      <c r="L4549" s="2"/>
      <c r="M4549" s="2"/>
      <c r="N4549" s="4" t="s">
        <v>2259</v>
      </c>
      <c r="O4549" s="4" t="str">
        <f>LEFT(Table2[[#This Row],[Description]],75)</f>
        <v>Venmo</v>
      </c>
      <c r="P4549" s="2" t="s">
        <v>2281</v>
      </c>
    </row>
    <row r="4550" spans="1:16" hidden="1">
      <c r="A4550" s="2">
        <v>202103</v>
      </c>
      <c r="B4550" s="3">
        <v>44281</v>
      </c>
      <c r="C4550" s="2" t="s">
        <v>2262</v>
      </c>
      <c r="D4550" s="2" t="s">
        <v>851</v>
      </c>
      <c r="E4550" s="2">
        <v>22</v>
      </c>
      <c r="F4550" s="2" t="str">
        <f>IF(Table2[[#This Row],[Manual Cat Value]]="",VLOOKUP(Table2[[#This Row],[Description]],'Actuals Lookup'!D:F,3,0),Table2[[#This Row],[Manual Cat Value]])</f>
        <v>Day Care</v>
      </c>
      <c r="J4550" s="2">
        <v>22</v>
      </c>
      <c r="K4550" s="2" t="b">
        <v>0</v>
      </c>
      <c r="L4550" s="2"/>
      <c r="M4550" s="2"/>
      <c r="N4550" s="4" t="s">
        <v>2259</v>
      </c>
      <c r="O4550" s="4" t="str">
        <f>LEFT(Table2[[#This Row],[Description]],75)</f>
        <v>Foss Swim School</v>
      </c>
      <c r="P4550" s="2" t="s">
        <v>2464</v>
      </c>
    </row>
    <row r="4551" spans="1:16" hidden="1">
      <c r="A4551" s="2">
        <v>202103</v>
      </c>
      <c r="B4551" s="3">
        <v>44281</v>
      </c>
      <c r="C4551" s="2" t="s">
        <v>2447</v>
      </c>
      <c r="D4551" s="2" t="s">
        <v>1350</v>
      </c>
      <c r="E4551" s="2">
        <v>8.99</v>
      </c>
      <c r="F4551" s="2" t="str">
        <f>IF(Table2[[#This Row],[Manual Cat Value]]="",VLOOKUP(Table2[[#This Row],[Description]],'Actuals Lookup'!D:F,3,0),Table2[[#This Row],[Manual Cat Value]])</f>
        <v>Utilities</v>
      </c>
      <c r="J4551" s="2">
        <v>8.99</v>
      </c>
      <c r="K4551" s="2" t="b">
        <v>0</v>
      </c>
      <c r="L4551" s="2"/>
      <c r="M4551" s="2"/>
      <c r="N4551" s="4" t="s">
        <v>2259</v>
      </c>
      <c r="O4551" s="4" t="str">
        <f>LEFT(Table2[[#This Row],[Description]],75)</f>
        <v>Netflix</v>
      </c>
      <c r="P4551" s="2" t="s">
        <v>2306</v>
      </c>
    </row>
    <row r="4552" spans="1:16" hidden="1">
      <c r="A4552" s="2">
        <v>202103</v>
      </c>
      <c r="B4552" s="3">
        <v>44281</v>
      </c>
      <c r="C4552" s="2" t="s">
        <v>2258</v>
      </c>
      <c r="D4552" s="2" t="s">
        <v>1350</v>
      </c>
      <c r="E4552" s="2">
        <v>8.99</v>
      </c>
      <c r="F4552" s="2" t="str">
        <f>IF(Table2[[#This Row],[Manual Cat Value]]="",VLOOKUP(Table2[[#This Row],[Description]],'Actuals Lookup'!D:F,3,0),Table2[[#This Row],[Manual Cat Value]])</f>
        <v>Utilities</v>
      </c>
      <c r="J4552" s="2">
        <v>8.99</v>
      </c>
      <c r="K4552" s="2" t="b">
        <v>0</v>
      </c>
      <c r="L4552" s="2"/>
      <c r="M4552" s="2"/>
      <c r="N4552" s="4" t="s">
        <v>2259</v>
      </c>
      <c r="O4552" s="4" t="str">
        <f>LEFT(Table2[[#This Row],[Description]],75)</f>
        <v>Netflix</v>
      </c>
      <c r="P4552" s="2" t="s">
        <v>2306</v>
      </c>
    </row>
    <row r="4553" spans="1:16" hidden="1">
      <c r="A4553" s="2">
        <v>202103</v>
      </c>
      <c r="B4553" s="3">
        <v>44281</v>
      </c>
      <c r="C4553" s="2" t="s">
        <v>2262</v>
      </c>
      <c r="D4553" s="2" t="s">
        <v>1505</v>
      </c>
      <c r="E4553" s="2">
        <v>471.38</v>
      </c>
      <c r="F4553" s="2" t="e">
        <f>IF(Table2[[#This Row],[Manual Cat Value]]="",VLOOKUP(Table2[[#This Row],[Description]],'Actuals Lookup'!D:F,3,0),Table2[[#This Row],[Manual Cat Value]])</f>
        <v>#N/A</v>
      </c>
      <c r="J4553" s="2">
        <v>471.38</v>
      </c>
      <c r="K4553" s="2" t="b">
        <v>0</v>
      </c>
      <c r="L4553" s="2"/>
      <c r="M4553" s="2"/>
      <c r="N4553" s="4" t="s">
        <v>2259</v>
      </c>
      <c r="O4553" s="4" t="str">
        <f>LEFT(Table2[[#This Row],[Description]],75)</f>
        <v>POLYWOODCOM HTTPSWWWPOLYIN</v>
      </c>
      <c r="P4553" s="2" t="s">
        <v>2281</v>
      </c>
    </row>
    <row r="4554" spans="1:16" hidden="1">
      <c r="A4554" s="2">
        <v>202103</v>
      </c>
      <c r="B4554" s="3">
        <v>44281</v>
      </c>
      <c r="C4554" s="2" t="s">
        <v>2317</v>
      </c>
      <c r="D4554" s="2" t="s">
        <v>1553</v>
      </c>
      <c r="E4554" s="2">
        <v>70.38</v>
      </c>
      <c r="F4554" s="2" t="e">
        <f>IF(Table2[[#This Row],[Manual Cat Value]]="",VLOOKUP(Table2[[#This Row],[Description]],'Actuals Lookup'!D:F,3,0),Table2[[#This Row],[Manual Cat Value]])</f>
        <v>#N/A</v>
      </c>
      <c r="J4554" s="2">
        <v>70.38</v>
      </c>
      <c r="K4554" s="2" t="b">
        <v>0</v>
      </c>
      <c r="L4554" s="2"/>
      <c r="M4554" s="2"/>
      <c r="N4554" s="4" t="s">
        <v>2259</v>
      </c>
      <c r="O4554" s="4" t="str">
        <f>LEFT(Table2[[#This Row],[Description]],75)</f>
        <v>RAYTHEON TECHNOLOGIES CO</v>
      </c>
      <c r="P4554" s="2" t="s">
        <v>2385</v>
      </c>
    </row>
    <row r="4555" spans="1:16" hidden="1">
      <c r="A4555" s="2">
        <v>202103</v>
      </c>
      <c r="B4555" s="3">
        <v>44281</v>
      </c>
      <c r="C4555" s="2" t="s">
        <v>2265</v>
      </c>
      <c r="D4555" s="2" t="s">
        <v>31</v>
      </c>
      <c r="E4555" s="2">
        <v>466.95</v>
      </c>
      <c r="F4555" s="2" t="str">
        <f>IF(Table2[[#This Row],[Manual Cat Value]]="",VLOOKUP(Table2[[#This Row],[Description]],'Actuals Lookup'!D:F,3,0),Table2[[#This Row],[Manual Cat Value]])</f>
        <v>Target</v>
      </c>
      <c r="J4555" s="2">
        <v>466.95</v>
      </c>
      <c r="K4555" s="2" t="b">
        <v>0</v>
      </c>
      <c r="L4555" s="2"/>
      <c r="M4555" s="2"/>
      <c r="N4555" s="4" t="s">
        <v>2259</v>
      </c>
      <c r="O4555" s="4" t="str">
        <f>LEFT(Table2[[#This Row],[Description]],75)</f>
        <v>Target</v>
      </c>
      <c r="P4555" s="2" t="s">
        <v>2309</v>
      </c>
    </row>
    <row r="4556" spans="1:16" hidden="1">
      <c r="A4556" s="2">
        <v>202103</v>
      </c>
      <c r="B4556" s="3">
        <v>44281</v>
      </c>
      <c r="C4556" s="2" t="s">
        <v>2265</v>
      </c>
      <c r="D4556" s="2" t="s">
        <v>2109</v>
      </c>
      <c r="E4556" s="2">
        <v>25</v>
      </c>
      <c r="F4556" s="2" t="str">
        <f>IF(Table2[[#This Row],[Manual Cat Value]]="",VLOOKUP(Table2[[#This Row],[Description]],'Actuals Lookup'!D:F,3,0),Table2[[#This Row],[Manual Cat Value]])</f>
        <v>Shopping</v>
      </c>
      <c r="J4556" s="2">
        <v>25</v>
      </c>
      <c r="K4556" s="2" t="b">
        <v>0</v>
      </c>
      <c r="L4556" s="2"/>
      <c r="M4556" s="2"/>
      <c r="N4556" s="4" t="s">
        <v>2259</v>
      </c>
      <c r="O4556" s="4" t="str">
        <f>LEFT(Table2[[#This Row],[Description]],75)</f>
        <v>Venmo</v>
      </c>
      <c r="P4556" s="2" t="s">
        <v>2281</v>
      </c>
    </row>
    <row r="4557" spans="1:16" hidden="1">
      <c r="A4557" s="2">
        <v>202103</v>
      </c>
      <c r="B4557" s="3">
        <v>44283</v>
      </c>
      <c r="C4557" s="2" t="s">
        <v>2262</v>
      </c>
      <c r="D4557" s="2" t="s">
        <v>961</v>
      </c>
      <c r="E4557" s="2">
        <v>196.2</v>
      </c>
      <c r="F4557" s="2" t="e">
        <f>IF(Table2[[#This Row],[Manual Cat Value]]="",VLOOKUP(Table2[[#This Row],[Description]],'Actuals Lookup'!D:F,3,0),Table2[[#This Row],[Manual Cat Value]])</f>
        <v>#N/A</v>
      </c>
      <c r="J4557" s="2">
        <v>196.2</v>
      </c>
      <c r="K4557" s="2" t="b">
        <v>0</v>
      </c>
      <c r="L4557" s="2"/>
      <c r="M4557" s="2"/>
      <c r="N4557" s="4" t="s">
        <v>2259</v>
      </c>
      <c r="O4557" s="4" t="str">
        <f>LEFT(Table2[[#This Row],[Description]],75)</f>
        <v>IMMERSIVE VAN GOGH VANGOGHMSPCOIL</v>
      </c>
      <c r="P4557" s="2" t="s">
        <v>2281</v>
      </c>
    </row>
    <row r="4558" spans="1:16" hidden="1">
      <c r="A4558" s="2">
        <v>202103</v>
      </c>
      <c r="B4558" s="3">
        <v>44283</v>
      </c>
      <c r="C4558" s="2" t="s">
        <v>2262</v>
      </c>
      <c r="D4558" s="2" t="s">
        <v>969</v>
      </c>
      <c r="E4558" s="2">
        <v>12.12</v>
      </c>
      <c r="F4558" s="2" t="e">
        <f>IF(Table2[[#This Row],[Manual Cat Value]]="",VLOOKUP(Table2[[#This Row],[Description]],'Actuals Lookup'!D:F,3,0),Table2[[#This Row],[Manual Cat Value]])</f>
        <v>#N/A</v>
      </c>
      <c r="J4558" s="2">
        <v>12.12</v>
      </c>
      <c r="K4558" s="2" t="b">
        <v>0</v>
      </c>
      <c r="L4558" s="2"/>
      <c r="M4558" s="2"/>
      <c r="N4558" s="4" t="s">
        <v>2259</v>
      </c>
      <c r="O4558" s="4" t="str">
        <f>LEFT(Table2[[#This Row],[Description]],75)</f>
        <v>Inneractive Playground</v>
      </c>
      <c r="P4558" s="2" t="s">
        <v>2281</v>
      </c>
    </row>
    <row r="4559" spans="1:16" hidden="1">
      <c r="A4559" s="2">
        <v>202103</v>
      </c>
      <c r="B4559" s="3">
        <v>44283</v>
      </c>
      <c r="C4559" s="2" t="s">
        <v>2262</v>
      </c>
      <c r="D4559" s="2" t="s">
        <v>1751</v>
      </c>
      <c r="E4559" s="2">
        <v>2.5</v>
      </c>
      <c r="F4559" s="2" t="e">
        <f>IF(Table2[[#This Row],[Manual Cat Value]]="",VLOOKUP(Table2[[#This Row],[Description]],'Actuals Lookup'!D:F,3,0),Table2[[#This Row],[Manual Cat Value]])</f>
        <v>#N/A</v>
      </c>
      <c r="J4559" s="2">
        <v>2.5</v>
      </c>
      <c r="K4559" s="2" t="b">
        <v>0</v>
      </c>
      <c r="L4559" s="2"/>
      <c r="M4559" s="2"/>
      <c r="N4559" s="4" t="s">
        <v>2259</v>
      </c>
      <c r="O4559" s="4" t="str">
        <f>LEFT(Table2[[#This Row],[Description]],75)</f>
        <v>SQ ROLLER GARDEN MINNEAPOLIS MN</v>
      </c>
      <c r="P4559" s="2" t="s">
        <v>2281</v>
      </c>
    </row>
    <row r="4560" spans="1:16" hidden="1">
      <c r="A4560" s="2">
        <v>202103</v>
      </c>
      <c r="B4560" s="3">
        <v>44283</v>
      </c>
      <c r="C4560" s="2" t="s">
        <v>2262</v>
      </c>
      <c r="D4560" s="2" t="s">
        <v>1751</v>
      </c>
      <c r="E4560" s="2">
        <v>4.5</v>
      </c>
      <c r="F4560" s="2" t="e">
        <f>IF(Table2[[#This Row],[Manual Cat Value]]="",VLOOKUP(Table2[[#This Row],[Description]],'Actuals Lookup'!D:F,3,0),Table2[[#This Row],[Manual Cat Value]])</f>
        <v>#N/A</v>
      </c>
      <c r="J4560" s="2">
        <v>4.5</v>
      </c>
      <c r="K4560" s="2" t="b">
        <v>0</v>
      </c>
      <c r="L4560" s="2"/>
      <c r="M4560" s="2"/>
      <c r="N4560" s="4" t="s">
        <v>2259</v>
      </c>
      <c r="O4560" s="4" t="str">
        <f>LEFT(Table2[[#This Row],[Description]],75)</f>
        <v>SQ ROLLER GARDEN MINNEAPOLIS MN</v>
      </c>
      <c r="P4560" s="2" t="s">
        <v>2281</v>
      </c>
    </row>
    <row r="4561" spans="1:16" hidden="1">
      <c r="A4561" s="2">
        <v>202103</v>
      </c>
      <c r="B4561" s="3">
        <v>44283</v>
      </c>
      <c r="C4561" s="2" t="s">
        <v>2262</v>
      </c>
      <c r="D4561" s="2" t="s">
        <v>1762</v>
      </c>
      <c r="E4561" s="2">
        <v>32.51</v>
      </c>
      <c r="F4561" s="2" t="e">
        <f>IF(Table2[[#This Row],[Manual Cat Value]]="",VLOOKUP(Table2[[#This Row],[Description]],'Actuals Lookup'!D:F,3,0),Table2[[#This Row],[Manual Cat Value]])</f>
        <v>#N/A</v>
      </c>
      <c r="J4561" s="2">
        <v>32.51</v>
      </c>
      <c r="K4561" s="2" t="b">
        <v>0</v>
      </c>
      <c r="L4561" s="2"/>
      <c r="M4561" s="2"/>
      <c r="N4561" s="4" t="s">
        <v>2259</v>
      </c>
      <c r="O4561" s="4" t="str">
        <f>LEFT(Table2[[#This Row],[Description]],75)</f>
        <v>SQ THE DAMPFWERK D MINNEAPOLIS MN</v>
      </c>
      <c r="P4561" s="2" t="s">
        <v>2281</v>
      </c>
    </row>
    <row r="4562" spans="1:16" hidden="1">
      <c r="A4562" s="2">
        <v>202103</v>
      </c>
      <c r="B4562" s="3">
        <v>44283</v>
      </c>
      <c r="C4562" s="2" t="s">
        <v>2262</v>
      </c>
      <c r="D4562" s="2" t="s">
        <v>1848</v>
      </c>
      <c r="E4562" s="2">
        <v>53</v>
      </c>
      <c r="F4562" s="2" t="e">
        <f>IF(Table2[[#This Row],[Manual Cat Value]]="",VLOOKUP(Table2[[#This Row],[Description]],'Actuals Lookup'!D:F,3,0),Table2[[#This Row],[Manual Cat Value]])</f>
        <v>#N/A</v>
      </c>
      <c r="J4562" s="2">
        <v>53</v>
      </c>
      <c r="K4562" s="2" t="b">
        <v>0</v>
      </c>
      <c r="L4562" s="2"/>
      <c r="M4562" s="2"/>
      <c r="N4562" s="4" t="s">
        <v>2259</v>
      </c>
      <c r="O4562" s="4" t="str">
        <f>LEFT(Table2[[#This Row],[Description]],75)</f>
        <v>The Glow Lounge</v>
      </c>
      <c r="P4562" s="2" t="s">
        <v>2281</v>
      </c>
    </row>
    <row r="4563" spans="1:16" hidden="1">
      <c r="A4563" s="2">
        <v>202103</v>
      </c>
      <c r="B4563" s="3">
        <v>44283</v>
      </c>
      <c r="C4563" s="2" t="s">
        <v>2262</v>
      </c>
      <c r="D4563" s="2" t="s">
        <v>2025</v>
      </c>
      <c r="E4563" s="2">
        <v>35.1</v>
      </c>
      <c r="F4563" s="2" t="e">
        <f>IF(Table2[[#This Row],[Manual Cat Value]]="",VLOOKUP(Table2[[#This Row],[Description]],'Actuals Lookup'!D:F,3,0),Table2[[#This Row],[Manual Cat Value]])</f>
        <v>#N/A</v>
      </c>
      <c r="J4563" s="2">
        <v>35.1</v>
      </c>
      <c r="K4563" s="2" t="b">
        <v>0</v>
      </c>
      <c r="L4563" s="2"/>
      <c r="M4563" s="2"/>
      <c r="N4563" s="4" t="s">
        <v>2259</v>
      </c>
      <c r="O4563" s="4" t="str">
        <f>LEFT(Table2[[#This Row],[Description]],75)</f>
        <v>TST LYN 65 RICHFIELD MN</v>
      </c>
      <c r="P4563" s="2" t="s">
        <v>2281</v>
      </c>
    </row>
    <row r="4564" spans="1:16" hidden="1">
      <c r="A4564" s="2">
        <v>202103</v>
      </c>
      <c r="B4564" s="3">
        <v>44283</v>
      </c>
      <c r="C4564" s="2" t="s">
        <v>2262</v>
      </c>
      <c r="D4564" s="2" t="s">
        <v>2129</v>
      </c>
      <c r="E4564" s="2">
        <v>105.52</v>
      </c>
      <c r="F4564" s="2" t="e">
        <f>IF(Table2[[#This Row],[Manual Cat Value]]="",VLOOKUP(Table2[[#This Row],[Description]],'Actuals Lookup'!D:F,3,0),Table2[[#This Row],[Manual Cat Value]])</f>
        <v>#N/A</v>
      </c>
      <c r="J4564" s="2">
        <v>105.52</v>
      </c>
      <c r="K4564" s="2" t="b">
        <v>0</v>
      </c>
      <c r="L4564" s="2"/>
      <c r="M4564" s="2"/>
      <c r="N4564" s="4" t="s">
        <v>2259</v>
      </c>
      <c r="O4564" s="4" t="str">
        <f>LEFT(Table2[[#This Row],[Description]],75)</f>
        <v>VIOC 010042 CHANHASSEN MN</v>
      </c>
      <c r="P4564" s="2" t="s">
        <v>2281</v>
      </c>
    </row>
    <row r="4565" spans="1:16" hidden="1">
      <c r="A4565" s="2">
        <v>202103</v>
      </c>
      <c r="B4565" s="3">
        <v>44284</v>
      </c>
      <c r="C4565" s="2" t="s">
        <v>2262</v>
      </c>
      <c r="D4565" s="2" t="s">
        <v>338</v>
      </c>
      <c r="E4565" s="2">
        <v>187.87</v>
      </c>
      <c r="F4565" s="2" t="e">
        <f>IF(Table2[[#This Row],[Manual Cat Value]]="",VLOOKUP(Table2[[#This Row],[Description]],'Actuals Lookup'!D:F,3,0),Table2[[#This Row],[Manual Cat Value]])</f>
        <v>#N/A</v>
      </c>
      <c r="J4565" s="2">
        <v>187.87</v>
      </c>
      <c r="K4565" s="2" t="b">
        <v>0</v>
      </c>
      <c r="L4565" s="2"/>
      <c r="M4565" s="2"/>
      <c r="N4565" s="4" t="s">
        <v>2259</v>
      </c>
      <c r="O4565" s="4" t="str">
        <f>LEFT(Table2[[#This Row],[Description]],75)</f>
        <v>Byerly's</v>
      </c>
      <c r="P4565" s="2" t="s">
        <v>2364</v>
      </c>
    </row>
    <row r="4566" spans="1:16" hidden="1">
      <c r="A4566" s="2">
        <v>202103</v>
      </c>
      <c r="B4566" s="3">
        <v>44284</v>
      </c>
      <c r="C4566" s="2" t="s">
        <v>2265</v>
      </c>
      <c r="D4566" s="2" t="s">
        <v>620</v>
      </c>
      <c r="E4566" s="2">
        <v>-2326.16</v>
      </c>
      <c r="F4566" s="2" t="e">
        <f>IF(Table2[[#This Row],[Manual Cat Value]]="",VLOOKUP(Table2[[#This Row],[Description]],'Actuals Lookup'!D:F,3,0),Table2[[#This Row],[Manual Cat Value]])</f>
        <v>#N/A</v>
      </c>
      <c r="J4566" s="2">
        <v>2326.16</v>
      </c>
      <c r="K4566" s="2" t="b">
        <v>0</v>
      </c>
      <c r="L4566" s="2"/>
      <c r="M4566" s="2"/>
      <c r="N4566" s="4" t="s">
        <v>2273</v>
      </c>
      <c r="O4566" s="4" t="str">
        <f>LEFT(Table2[[#This Row],[Description]],75)</f>
        <v>CONNECTED ANALYT TYPE DIRECT DEP ID CO CONNECTED ANALYT ACH ECC PPD ACH Tra</v>
      </c>
      <c r="P4566" s="2" t="s">
        <v>2536</v>
      </c>
    </row>
    <row r="4567" spans="1:16" hidden="1">
      <c r="A4567" s="2">
        <v>202103</v>
      </c>
      <c r="B4567" s="3">
        <v>44284</v>
      </c>
      <c r="C4567" s="2" t="s">
        <v>2265</v>
      </c>
      <c r="D4567" s="2" t="s">
        <v>995</v>
      </c>
      <c r="E4567" s="2">
        <v>-11357</v>
      </c>
      <c r="F4567" s="2" t="e">
        <f>IF(Table2[[#This Row],[Manual Cat Value]]="",VLOOKUP(Table2[[#This Row],[Description]],'Actuals Lookup'!D:F,3,0),Table2[[#This Row],[Manual Cat Value]])</f>
        <v>#N/A</v>
      </c>
      <c r="J4567" s="2">
        <v>11357</v>
      </c>
      <c r="K4567" s="2" t="b">
        <v>0</v>
      </c>
      <c r="L4567" s="2"/>
      <c r="M4567" s="2"/>
      <c r="N4567" s="4" t="s">
        <v>2273</v>
      </c>
      <c r="O4567" s="4" t="str">
        <f>LEFT(Table2[[#This Row],[Description]],75)</f>
        <v>Internal Revenue Service</v>
      </c>
      <c r="P4567" s="2" t="s">
        <v>2281</v>
      </c>
    </row>
    <row r="4568" spans="1:16" hidden="1">
      <c r="A4568" s="2">
        <v>202103</v>
      </c>
      <c r="B4568" s="3">
        <v>44284</v>
      </c>
      <c r="C4568" s="2" t="s">
        <v>2265</v>
      </c>
      <c r="D4568" s="2" t="s">
        <v>1471</v>
      </c>
      <c r="E4568" s="2">
        <v>0.99</v>
      </c>
      <c r="F4568" s="2" t="str">
        <f>IF(Table2[[#This Row],[Manual Cat Value]]="",VLOOKUP(Table2[[#This Row],[Description]],'Actuals Lookup'!D:F,3,0),Table2[[#This Row],[Manual Cat Value]])</f>
        <v>Shopping</v>
      </c>
      <c r="J4568" s="2">
        <v>0.99</v>
      </c>
      <c r="K4568" s="2" t="b">
        <v>0</v>
      </c>
      <c r="L4568" s="2"/>
      <c r="M4568" s="2"/>
      <c r="N4568" s="4" t="s">
        <v>2259</v>
      </c>
      <c r="O4568" s="4" t="str">
        <f>LEFT(Table2[[#This Row],[Description]],75)</f>
        <v>PayPal</v>
      </c>
      <c r="P4568" s="2" t="s">
        <v>2322</v>
      </c>
    </row>
    <row r="4569" spans="1:16" hidden="1">
      <c r="A4569" s="2">
        <v>202103</v>
      </c>
      <c r="B4569" s="3">
        <v>44284</v>
      </c>
      <c r="C4569" s="2" t="s">
        <v>2265</v>
      </c>
      <c r="D4569" s="2" t="s">
        <v>1471</v>
      </c>
      <c r="E4569" s="2">
        <v>23.33</v>
      </c>
      <c r="F4569" s="2" t="str">
        <f>IF(Table2[[#This Row],[Manual Cat Value]]="",VLOOKUP(Table2[[#This Row],[Description]],'Actuals Lookup'!D:F,3,0),Table2[[#This Row],[Manual Cat Value]])</f>
        <v>Shopping</v>
      </c>
      <c r="J4569" s="2">
        <v>23.33</v>
      </c>
      <c r="K4569" s="2" t="b">
        <v>0</v>
      </c>
      <c r="L4569" s="2"/>
      <c r="M4569" s="2"/>
      <c r="N4569" s="4" t="s">
        <v>2259</v>
      </c>
      <c r="O4569" s="4" t="str">
        <f>LEFT(Table2[[#This Row],[Description]],75)</f>
        <v>PayPal</v>
      </c>
      <c r="P4569" s="2" t="s">
        <v>2322</v>
      </c>
    </row>
    <row r="4570" spans="1:16" hidden="1">
      <c r="A4570" s="2">
        <v>202103</v>
      </c>
      <c r="B4570" s="3">
        <v>44284</v>
      </c>
      <c r="C4570" s="2" t="s">
        <v>2317</v>
      </c>
      <c r="D4570" s="2" t="s">
        <v>1638</v>
      </c>
      <c r="E4570" s="2">
        <v>-14.46</v>
      </c>
      <c r="F4570" s="2" t="e">
        <f>IF(Table2[[#This Row],[Manual Cat Value]]="",VLOOKUP(Table2[[#This Row],[Description]],'Actuals Lookup'!D:F,3,0),Table2[[#This Row],[Manual Cat Value]])</f>
        <v>#N/A</v>
      </c>
      <c r="J4570" s="2">
        <v>14.46</v>
      </c>
      <c r="K4570" s="2" t="b">
        <v>0</v>
      </c>
      <c r="L4570" s="2"/>
      <c r="M4570" s="2"/>
      <c r="N4570" s="4" t="s">
        <v>2273</v>
      </c>
      <c r="O4570" s="4" t="str">
        <f>LEFT(Table2[[#This Row],[Description]],75)</f>
        <v>SCHWAB US SMALL CAP ETF</v>
      </c>
      <c r="P4570" s="2" t="s">
        <v>2351</v>
      </c>
    </row>
    <row r="4571" spans="1:16" hidden="1">
      <c r="A4571" s="2">
        <v>202103</v>
      </c>
      <c r="B4571" s="3">
        <v>44284</v>
      </c>
      <c r="C4571" s="2" t="s">
        <v>2262</v>
      </c>
      <c r="D4571" s="2" t="s">
        <v>1773</v>
      </c>
      <c r="E4571" s="2">
        <v>10</v>
      </c>
      <c r="F4571" s="2" t="str">
        <f>IF(Table2[[#This Row],[Manual Cat Value]]="",VLOOKUP(Table2[[#This Row],[Description]],'Actuals Lookup'!D:F,3,0),Table2[[#This Row],[Manual Cat Value]])</f>
        <v>Restaurants</v>
      </c>
      <c r="J4571" s="2">
        <v>10</v>
      </c>
      <c r="K4571" s="2" t="b">
        <v>0</v>
      </c>
      <c r="L4571" s="2"/>
      <c r="M4571" s="2"/>
      <c r="N4571" s="4" t="s">
        <v>2259</v>
      </c>
      <c r="O4571" s="4" t="str">
        <f>LEFT(Table2[[#This Row],[Description]],75)</f>
        <v>Starbucks</v>
      </c>
      <c r="P4571" s="2" t="s">
        <v>2454</v>
      </c>
    </row>
    <row r="4572" spans="1:16" hidden="1">
      <c r="A4572" s="2">
        <v>202103</v>
      </c>
      <c r="B4572" s="3">
        <v>44284</v>
      </c>
      <c r="C4572" s="2" t="s">
        <v>2265</v>
      </c>
      <c r="D4572" s="2" t="s">
        <v>2109</v>
      </c>
      <c r="E4572" s="2">
        <v>80</v>
      </c>
      <c r="F4572" s="2" t="str">
        <f>IF(Table2[[#This Row],[Manual Cat Value]]="",VLOOKUP(Table2[[#This Row],[Description]],'Actuals Lookup'!D:F,3,0),Table2[[#This Row],[Manual Cat Value]])</f>
        <v>Shopping</v>
      </c>
      <c r="J4572" s="2">
        <v>80</v>
      </c>
      <c r="K4572" s="2" t="b">
        <v>0</v>
      </c>
      <c r="L4572" s="2"/>
      <c r="M4572" s="2"/>
      <c r="N4572" s="4" t="s">
        <v>2259</v>
      </c>
      <c r="O4572" s="4" t="str">
        <f>LEFT(Table2[[#This Row],[Description]],75)</f>
        <v>Venmo</v>
      </c>
      <c r="P4572" s="2" t="s">
        <v>2281</v>
      </c>
    </row>
    <row r="4573" spans="1:16" hidden="1">
      <c r="A4573" s="2">
        <v>202103</v>
      </c>
      <c r="B4573" s="3">
        <v>44285</v>
      </c>
      <c r="C4573" s="2" t="s">
        <v>2262</v>
      </c>
      <c r="D4573" s="2" t="s">
        <v>1423</v>
      </c>
      <c r="E4573" s="2">
        <v>-1647.69</v>
      </c>
      <c r="F4573" s="2" t="e">
        <f>IF(Table2[[#This Row],[Manual Cat Value]]="",VLOOKUP(Table2[[#This Row],[Description]],'Actuals Lookup'!D:F,3,0),Table2[[#This Row],[Manual Cat Value]])</f>
        <v>#N/A</v>
      </c>
      <c r="J4573" s="2">
        <v>1647.69</v>
      </c>
      <c r="K4573" s="2" t="b">
        <v>0</v>
      </c>
      <c r="L4573" s="2"/>
      <c r="M4573" s="2"/>
      <c r="N4573" s="4" t="s">
        <v>2273</v>
      </c>
      <c r="O4573" s="4" t="str">
        <f>LEFT(Table2[[#This Row],[Description]],75)</f>
        <v>PAYMENT THANK YOU</v>
      </c>
      <c r="P4573" s="2" t="s">
        <v>2391</v>
      </c>
    </row>
    <row r="4574" spans="1:16" hidden="1">
      <c r="A4574" s="2">
        <v>202103</v>
      </c>
      <c r="B4574" s="3">
        <v>44285</v>
      </c>
      <c r="C4574" s="2" t="s">
        <v>2265</v>
      </c>
      <c r="D4574" s="2" t="s">
        <v>2176</v>
      </c>
      <c r="E4574" s="2">
        <v>1647.69</v>
      </c>
      <c r="F4574" s="2" t="e">
        <f>IF(Table2[[#This Row],[Manual Cat Value]]="",VLOOKUP(Table2[[#This Row],[Description]],'Actuals Lookup'!D:F,3,0),Table2[[#This Row],[Manual Cat Value]])</f>
        <v>#N/A</v>
      </c>
      <c r="J4574" s="2">
        <v>1647.69</v>
      </c>
      <c r="K4574" s="2" t="b">
        <v>0</v>
      </c>
      <c r="L4574" s="2"/>
      <c r="M4574" s="2"/>
      <c r="N4574" s="4" t="s">
        <v>2259</v>
      </c>
      <c r="O4574" s="4" t="str">
        <f>LEFT(Table2[[#This Row],[Description]],75)</f>
        <v>Withdrawal Home payment to card 979181</v>
      </c>
      <c r="P4574" s="2" t="s">
        <v>2349</v>
      </c>
    </row>
    <row r="4575" spans="1:16" hidden="1">
      <c r="A4575" s="2">
        <v>202103</v>
      </c>
      <c r="B4575" s="3">
        <v>44285</v>
      </c>
      <c r="C4575" s="2" t="s">
        <v>2317</v>
      </c>
      <c r="D4575" s="2" t="s">
        <v>1638</v>
      </c>
      <c r="E4575" s="2">
        <v>14.46</v>
      </c>
      <c r="F4575" s="2" t="e">
        <f>IF(Table2[[#This Row],[Manual Cat Value]]="",VLOOKUP(Table2[[#This Row],[Description]],'Actuals Lookup'!D:F,3,0),Table2[[#This Row],[Manual Cat Value]])</f>
        <v>#N/A</v>
      </c>
      <c r="J4575" s="2">
        <v>14.46</v>
      </c>
      <c r="K4575" s="2" t="b">
        <v>0</v>
      </c>
      <c r="L4575" s="2"/>
      <c r="M4575" s="2"/>
      <c r="N4575" s="4" t="s">
        <v>2259</v>
      </c>
      <c r="O4575" s="4" t="str">
        <f>LEFT(Table2[[#This Row],[Description]],75)</f>
        <v>SCHWAB US SMALL CAP ETF</v>
      </c>
      <c r="P4575" s="2" t="s">
        <v>2351</v>
      </c>
    </row>
    <row r="4576" spans="1:16" hidden="1">
      <c r="A4576" s="2">
        <v>202103</v>
      </c>
      <c r="B4576" s="3">
        <v>44285</v>
      </c>
      <c r="C4576" s="2" t="s">
        <v>2262</v>
      </c>
      <c r="D4576" s="2" t="s">
        <v>2231</v>
      </c>
      <c r="E4576" s="2">
        <v>89.95</v>
      </c>
      <c r="F4576" s="2" t="e">
        <f>IF(Table2[[#This Row],[Manual Cat Value]]="",VLOOKUP(Table2[[#This Row],[Description]],'Actuals Lookup'!D:F,3,0),Table2[[#This Row],[Manual Cat Value]])</f>
        <v>#N/A</v>
      </c>
      <c r="J4576" s="2">
        <v>89.95</v>
      </c>
      <c r="K4576" s="2" t="b">
        <v>0</v>
      </c>
      <c r="L4576" s="2"/>
      <c r="M4576" s="2"/>
      <c r="N4576" s="4" t="s">
        <v>2259</v>
      </c>
      <c r="O4576" s="4" t="str">
        <f>LEFT(Table2[[#This Row],[Description]],75)</f>
        <v>Zappos</v>
      </c>
      <c r="P4576" s="2" t="s">
        <v>2281</v>
      </c>
    </row>
    <row r="4577" spans="1:16" hidden="1">
      <c r="A4577" s="2">
        <v>202103</v>
      </c>
      <c r="B4577" s="3">
        <v>44286</v>
      </c>
      <c r="C4577" s="2" t="s">
        <v>2274</v>
      </c>
      <c r="D4577" s="2" t="s">
        <v>176</v>
      </c>
      <c r="E4577" s="2">
        <v>-2.25</v>
      </c>
      <c r="F4577" s="2" t="e">
        <f>IF(Table2[[#This Row],[Manual Cat Value]]="",VLOOKUP(Table2[[#This Row],[Description]],'Actuals Lookup'!D:F,3,0),Table2[[#This Row],[Manual Cat Value]])</f>
        <v>#N/A</v>
      </c>
      <c r="J4577" s="2">
        <v>2.25</v>
      </c>
      <c r="K4577" s="2" t="b">
        <v>0</v>
      </c>
      <c r="L4577" s="2"/>
      <c r="M4577" s="2"/>
      <c r="N4577" s="4" t="s">
        <v>2273</v>
      </c>
      <c r="O4577" s="4" t="str">
        <f>LEFT(Table2[[#This Row],[Description]],75)</f>
        <v>ATM Fee Rebate</v>
      </c>
      <c r="P4577" s="2" t="s">
        <v>2350</v>
      </c>
    </row>
    <row r="4578" spans="1:16" hidden="1">
      <c r="A4578" s="2">
        <v>202103</v>
      </c>
      <c r="B4578" s="3">
        <v>44286</v>
      </c>
      <c r="C4578" s="2" t="s">
        <v>2317</v>
      </c>
      <c r="D4578" s="2" t="s">
        <v>605</v>
      </c>
      <c r="E4578" s="2">
        <v>-250</v>
      </c>
      <c r="F4578" s="2" t="e">
        <f>IF(Table2[[#This Row],[Manual Cat Value]]="",VLOOKUP(Table2[[#This Row],[Description]],'Actuals Lookup'!D:F,3,0),Table2[[#This Row],[Manual Cat Value]])</f>
        <v>#N/A</v>
      </c>
      <c r="J4578" s="2">
        <v>250</v>
      </c>
      <c r="K4578" s="2" t="b">
        <v>0</v>
      </c>
      <c r="L4578" s="2"/>
      <c r="M4578" s="2"/>
      <c r="N4578" s="4" t="s">
        <v>2273</v>
      </c>
      <c r="O4578" s="4" t="str">
        <f>LEFT(Table2[[#This Row],[Description]],75)</f>
        <v>CONNECTED ANALYT</v>
      </c>
      <c r="P4578" s="2" t="s">
        <v>2493</v>
      </c>
    </row>
    <row r="4579" spans="1:16" hidden="1">
      <c r="A4579" s="2">
        <v>202103</v>
      </c>
      <c r="B4579" s="3">
        <v>44286</v>
      </c>
      <c r="C4579" s="2" t="s">
        <v>2274</v>
      </c>
      <c r="D4579" s="2" t="s">
        <v>994</v>
      </c>
      <c r="E4579" s="2">
        <v>-0.02</v>
      </c>
      <c r="F4579" s="2" t="e">
        <f>IF(Table2[[#This Row],[Manual Cat Value]]="",VLOOKUP(Table2[[#This Row],[Description]],'Actuals Lookup'!D:F,3,0),Table2[[#This Row],[Manual Cat Value]])</f>
        <v>#N/A</v>
      </c>
      <c r="J4579" s="2">
        <v>0.02</v>
      </c>
      <c r="K4579" s="2" t="b">
        <v>0</v>
      </c>
      <c r="L4579" s="2"/>
      <c r="M4579" s="2"/>
      <c r="N4579" s="4" t="s">
        <v>2273</v>
      </c>
      <c r="O4579" s="4" t="str">
        <f>LEFT(Table2[[#This Row],[Description]],75)</f>
        <v>Interest Paid</v>
      </c>
      <c r="P4579" s="2" t="s">
        <v>2312</v>
      </c>
    </row>
    <row r="4580" spans="1:16" hidden="1">
      <c r="A4580" s="2">
        <v>202103</v>
      </c>
      <c r="B4580" s="3">
        <v>44286</v>
      </c>
      <c r="C4580" s="2" t="s">
        <v>2265</v>
      </c>
      <c r="D4580" s="2" t="s">
        <v>1223</v>
      </c>
      <c r="E4580" s="2">
        <v>425</v>
      </c>
      <c r="F4580" s="2" t="e">
        <f>IF(Table2[[#This Row],[Manual Cat Value]]="",VLOOKUP(Table2[[#This Row],[Description]],'Actuals Lookup'!D:F,3,0),Table2[[#This Row],[Manual Cat Value]])</f>
        <v>#N/A</v>
      </c>
      <c r="J4580" s="2">
        <v>425</v>
      </c>
      <c r="K4580" s="2" t="b">
        <v>0</v>
      </c>
      <c r="L4580" s="2"/>
      <c r="M4580" s="2"/>
      <c r="N4580" s="4" t="s">
        <v>2259</v>
      </c>
      <c r="O4580" s="4" t="str">
        <f>LEFT(Table2[[#This Row],[Description]],75)</f>
        <v>MHCHILDCARELLC TYPE DUES ID CO MHCHILDCARELLC ACH ECC PPD ACH Trace 49909</v>
      </c>
      <c r="P4580" s="2" t="s">
        <v>2497</v>
      </c>
    </row>
    <row r="4581" spans="1:16" hidden="1">
      <c r="A4581" s="2">
        <v>202103</v>
      </c>
      <c r="B4581" s="3">
        <v>44286</v>
      </c>
      <c r="C4581" s="2" t="s">
        <v>2265</v>
      </c>
      <c r="D4581" s="2" t="s">
        <v>1709</v>
      </c>
      <c r="E4581" s="2">
        <v>-13.25</v>
      </c>
      <c r="F4581" s="2" t="e">
        <f>IF(Table2[[#This Row],[Manual Cat Value]]="",VLOOKUP(Table2[[#This Row],[Description]],'Actuals Lookup'!D:F,3,0),Table2[[#This Row],[Manual Cat Value]])</f>
        <v>#N/A</v>
      </c>
      <c r="J4581" s="2">
        <v>13.25</v>
      </c>
      <c r="K4581" s="2" t="b">
        <v>0</v>
      </c>
      <c r="L4581" s="2"/>
      <c r="M4581" s="2"/>
      <c r="N4581" s="4" t="s">
        <v>2273</v>
      </c>
      <c r="O4581" s="4" t="str">
        <f>LEFT(Table2[[#This Row],[Description]],75)</f>
        <v>Split Rate Apy</v>
      </c>
      <c r="P4581" s="2" t="s">
        <v>2313</v>
      </c>
    </row>
    <row r="4582" spans="1:16" hidden="1">
      <c r="A4582" s="2">
        <v>202103</v>
      </c>
      <c r="B4582" s="3">
        <v>44286</v>
      </c>
      <c r="C4582" s="2" t="s">
        <v>2300</v>
      </c>
      <c r="D4582" s="2" t="s">
        <v>1709</v>
      </c>
      <c r="E4582" s="2">
        <v>-13.2</v>
      </c>
      <c r="F4582" s="2" t="e">
        <f>IF(Table2[[#This Row],[Manual Cat Value]]="",VLOOKUP(Table2[[#This Row],[Description]],'Actuals Lookup'!D:F,3,0),Table2[[#This Row],[Manual Cat Value]])</f>
        <v>#N/A</v>
      </c>
      <c r="J4582" s="2">
        <v>13.2</v>
      </c>
      <c r="K4582" s="2" t="b">
        <v>0</v>
      </c>
      <c r="L4582" s="2"/>
      <c r="M4582" s="2"/>
      <c r="N4582" s="4" t="s">
        <v>2273</v>
      </c>
      <c r="O4582" s="4" t="str">
        <f>LEFT(Table2[[#This Row],[Description]],75)</f>
        <v>Split Rate Apy</v>
      </c>
      <c r="P4582" s="2" t="s">
        <v>2313</v>
      </c>
    </row>
    <row r="4583" spans="1:16" hidden="1">
      <c r="A4583" s="2">
        <v>202103</v>
      </c>
      <c r="B4583" s="3">
        <v>44286</v>
      </c>
      <c r="C4583" s="2" t="s">
        <v>2435</v>
      </c>
      <c r="D4583" s="2" t="s">
        <v>1836</v>
      </c>
      <c r="E4583" s="2">
        <v>-250</v>
      </c>
      <c r="F4583" s="2" t="e">
        <f>IF(Table2[[#This Row],[Manual Cat Value]]="",VLOOKUP(Table2[[#This Row],[Description]],'Actuals Lookup'!D:F,3,0),Table2[[#This Row],[Manual Cat Value]])</f>
        <v>#N/A</v>
      </c>
      <c r="J4583" s="2">
        <v>250</v>
      </c>
      <c r="K4583" s="2" t="b">
        <v>0</v>
      </c>
      <c r="L4583" s="2"/>
      <c r="M4583" s="2"/>
      <c r="N4583" s="4" t="s">
        <v>2273</v>
      </c>
      <c r="O4583" s="4" t="str">
        <f>LEFT(Table2[[#This Row],[Description]],75)</f>
        <v>Tfr JPMORGAN CHASE BAN, CONNECTED ANALYT</v>
      </c>
      <c r="P4583" s="2" t="s">
        <v>2493</v>
      </c>
    </row>
    <row r="4584" spans="1:16" hidden="1">
      <c r="A4584" s="2">
        <v>202104</v>
      </c>
      <c r="B4584" s="3">
        <v>44287</v>
      </c>
      <c r="C4584" s="2" t="s">
        <v>2270</v>
      </c>
      <c r="D4584" s="2" t="s">
        <v>1410</v>
      </c>
      <c r="E4584" s="2">
        <v>-728.25</v>
      </c>
      <c r="F4584" s="2" t="str">
        <f>IF(Table2[[#This Row],[Manual Cat Value]]="",VLOOKUP(Table2[[#This Row],[Description]],'Actuals Lookup'!D:F,3,0),Table2[[#This Row],[Manual Cat Value]])</f>
        <v>Delete</v>
      </c>
      <c r="J4584" s="2">
        <v>728.25</v>
      </c>
      <c r="K4584" s="2" t="b">
        <v>0</v>
      </c>
      <c r="L4584" s="2"/>
      <c r="M4584" s="2"/>
      <c r="N4584" s="4" t="s">
        <v>2273</v>
      </c>
      <c r="O4584" s="4" t="str">
        <f>LEFT(Table2[[#This Row],[Description]],75)</f>
        <v>PAYMENT</v>
      </c>
      <c r="P4584" s="2" t="s">
        <v>2492</v>
      </c>
    </row>
    <row r="4585" spans="1:16" hidden="1">
      <c r="A4585" s="2">
        <v>202104</v>
      </c>
      <c r="B4585" s="3">
        <v>44287</v>
      </c>
      <c r="C4585" s="2" t="s">
        <v>2258</v>
      </c>
      <c r="D4585" s="2" t="s">
        <v>114</v>
      </c>
      <c r="E4585" s="2">
        <v>4.28</v>
      </c>
      <c r="F4585" s="2" t="str">
        <f>IF(Table2[[#This Row],[Manual Cat Value]]="",VLOOKUP(Table2[[#This Row],[Description]],'Actuals Lookup'!D:F,3,0),Table2[[#This Row],[Manual Cat Value]])</f>
        <v>Entertainment</v>
      </c>
      <c r="J4585" s="2">
        <v>4.28</v>
      </c>
      <c r="K4585" s="2" t="b">
        <v>0</v>
      </c>
      <c r="L4585" s="2"/>
      <c r="M4585" s="2"/>
      <c r="N4585" s="4" t="s">
        <v>2259</v>
      </c>
      <c r="O4585" s="4" t="str">
        <f>LEFT(Table2[[#This Row],[Description]],75)</f>
        <v>Amazon Music</v>
      </c>
      <c r="P4585" s="2" t="s">
        <v>2466</v>
      </c>
    </row>
    <row r="4586" spans="1:16" hidden="1">
      <c r="A4586" s="2">
        <v>202104</v>
      </c>
      <c r="B4586" s="3">
        <v>44287</v>
      </c>
      <c r="C4586" s="2" t="s">
        <v>2447</v>
      </c>
      <c r="D4586" s="2" t="s">
        <v>114</v>
      </c>
      <c r="E4586" s="2">
        <v>4.28</v>
      </c>
      <c r="F4586" s="2" t="str">
        <f>IF(Table2[[#This Row],[Manual Cat Value]]="",VLOOKUP(Table2[[#This Row],[Description]],'Actuals Lookup'!D:F,3,0),Table2[[#This Row],[Manual Cat Value]])</f>
        <v>Entertainment</v>
      </c>
      <c r="J4586" s="2">
        <v>4.28</v>
      </c>
      <c r="K4586" s="2" t="b">
        <v>0</v>
      </c>
      <c r="L4586" s="2"/>
      <c r="M4586" s="2"/>
      <c r="N4586" s="4" t="s">
        <v>2259</v>
      </c>
      <c r="O4586" s="4" t="str">
        <f>LEFT(Table2[[#This Row],[Description]],75)</f>
        <v>Amazon Music</v>
      </c>
      <c r="P4586" s="2" t="s">
        <v>2466</v>
      </c>
    </row>
    <row r="4587" spans="1:16" hidden="1">
      <c r="A4587" s="2">
        <v>202104</v>
      </c>
      <c r="B4587" s="3">
        <v>44287</v>
      </c>
      <c r="C4587" s="2" t="s">
        <v>2265</v>
      </c>
      <c r="D4587" s="2" t="s">
        <v>431</v>
      </c>
      <c r="E4587" s="2">
        <v>-2168.13</v>
      </c>
      <c r="F4587" s="2" t="e">
        <f>IF(Table2[[#This Row],[Manual Cat Value]]="",VLOOKUP(Table2[[#This Row],[Description]],'Actuals Lookup'!D:F,3,0),Table2[[#This Row],[Manual Cat Value]])</f>
        <v>#N/A</v>
      </c>
      <c r="J4587" s="2">
        <v>2168.13</v>
      </c>
      <c r="K4587" s="2" t="b">
        <v>0</v>
      </c>
      <c r="L4587" s="2"/>
      <c r="M4587" s="2"/>
      <c r="N4587" s="4" t="s">
        <v>2273</v>
      </c>
      <c r="O4587" s="4" t="str">
        <f>LEFT(Table2[[#This Row],[Description]],75)</f>
        <v>CARGILL INCORPOR TYPE DIRECT DEP ID CO CARGILL INCORPOR ACH ECC PPD ACH Tra</v>
      </c>
      <c r="P4587" s="2" t="s">
        <v>2281</v>
      </c>
    </row>
    <row r="4588" spans="1:16" hidden="1">
      <c r="A4588" s="2">
        <v>202104</v>
      </c>
      <c r="B4588" s="3">
        <v>44287</v>
      </c>
      <c r="C4588" s="2" t="s">
        <v>2265</v>
      </c>
      <c r="D4588" s="2" t="s">
        <v>592</v>
      </c>
      <c r="E4588" s="2">
        <v>200</v>
      </c>
      <c r="F4588" s="2" t="e">
        <f>IF(Table2[[#This Row],[Manual Cat Value]]="",VLOOKUP(Table2[[#This Row],[Description]],'Actuals Lookup'!D:F,3,0),Table2[[#This Row],[Manual Cat Value]])</f>
        <v>#N/A</v>
      </c>
      <c r="J4588" s="2">
        <v>200</v>
      </c>
      <c r="K4588" s="2" t="b">
        <v>0</v>
      </c>
      <c r="L4588" s="2"/>
      <c r="M4588" s="2"/>
      <c r="N4588" s="4" t="s">
        <v>2259</v>
      </c>
      <c r="O4588" s="4" t="str">
        <f>LEFT(Table2[[#This Row],[Description]],75)</f>
        <v>College Savings TYPE ACH ID 550895818 CO College Savings ACH ECC PPD ACH Tr</v>
      </c>
      <c r="P4588" s="2" t="s">
        <v>2272</v>
      </c>
    </row>
    <row r="4589" spans="1:16" hidden="1">
      <c r="A4589" s="2">
        <v>202104</v>
      </c>
      <c r="B4589" s="3">
        <v>44287</v>
      </c>
      <c r="C4589" s="2" t="s">
        <v>2262</v>
      </c>
      <c r="D4589" s="2" t="s">
        <v>645</v>
      </c>
      <c r="E4589" s="2">
        <v>10.73</v>
      </c>
      <c r="F4589" s="2" t="e">
        <f>IF(Table2[[#This Row],[Manual Cat Value]]="",VLOOKUP(Table2[[#This Row],[Description]],'Actuals Lookup'!D:F,3,0),Table2[[#This Row],[Manual Cat Value]])</f>
        <v>#N/A</v>
      </c>
      <c r="J4589" s="2">
        <v>10.73</v>
      </c>
      <c r="K4589" s="2" t="b">
        <v>0</v>
      </c>
      <c r="L4589" s="2"/>
      <c r="M4589" s="2"/>
      <c r="N4589" s="4" t="s">
        <v>2259</v>
      </c>
      <c r="O4589" s="4" t="str">
        <f>LEFT(Table2[[#This Row],[Description]],75)</f>
        <v>COOPER S FOODS CHASKA MN</v>
      </c>
      <c r="P4589" s="2" t="s">
        <v>2281</v>
      </c>
    </row>
    <row r="4590" spans="1:16" hidden="1">
      <c r="A4590" s="2">
        <v>202104</v>
      </c>
      <c r="B4590" s="3">
        <v>44287</v>
      </c>
      <c r="C4590" s="2" t="s">
        <v>2305</v>
      </c>
      <c r="D4590" s="2" t="s">
        <v>670</v>
      </c>
      <c r="E4590" s="2">
        <v>-190.52</v>
      </c>
      <c r="F4590" s="2" t="e">
        <f>IF(Table2[[#This Row],[Manual Cat Value]]="",VLOOKUP(Table2[[#This Row],[Description]],'Actuals Lookup'!D:F,3,0),Table2[[#This Row],[Manual Cat Value]])</f>
        <v>#N/A</v>
      </c>
      <c r="J4590" s="2">
        <v>190.52</v>
      </c>
      <c r="K4590" s="2" t="b">
        <v>0</v>
      </c>
      <c r="L4590" s="2"/>
      <c r="M4590" s="2"/>
      <c r="N4590" s="4" t="s">
        <v>2273</v>
      </c>
      <c r="O4590" s="4" t="str">
        <f>LEFT(Table2[[#This Row],[Description]],75)</f>
        <v>Cred Rebate</v>
      </c>
      <c r="P4590" s="2" t="s">
        <v>2443</v>
      </c>
    </row>
    <row r="4591" spans="1:16" hidden="1">
      <c r="A4591" s="2">
        <v>202104</v>
      </c>
      <c r="B4591" s="3">
        <v>44287</v>
      </c>
      <c r="C4591" s="2" t="s">
        <v>2314</v>
      </c>
      <c r="D4591" s="2" t="s">
        <v>859</v>
      </c>
      <c r="E4591" s="2">
        <v>-582.13</v>
      </c>
      <c r="F4591" s="2" t="e">
        <f>IF(Table2[[#This Row],[Manual Cat Value]]="",VLOOKUP(Table2[[#This Row],[Description]],'Actuals Lookup'!D:F,3,0),Table2[[#This Row],[Manual Cat Value]])</f>
        <v>#N/A</v>
      </c>
      <c r="J4591" s="2">
        <v>582.13</v>
      </c>
      <c r="K4591" s="2" t="b">
        <v>0</v>
      </c>
      <c r="L4591" s="2"/>
      <c r="M4591" s="2"/>
      <c r="N4591" s="4" t="s">
        <v>2273</v>
      </c>
      <c r="O4591" s="4" t="str">
        <f>LEFT(Table2[[#This Row],[Description]],75)</f>
        <v>From Share 70</v>
      </c>
      <c r="P4591" s="2" t="s">
        <v>2496</v>
      </c>
    </row>
    <row r="4592" spans="1:16" hidden="1">
      <c r="A4592" s="2">
        <v>202104</v>
      </c>
      <c r="B4592" s="3">
        <v>44287</v>
      </c>
      <c r="C4592" s="2" t="s">
        <v>2270</v>
      </c>
      <c r="D4592" s="2" t="s">
        <v>1524</v>
      </c>
      <c r="E4592" s="2">
        <v>-431</v>
      </c>
      <c r="F4592" s="2" t="e">
        <f>IF(Table2[[#This Row],[Manual Cat Value]]="",VLOOKUP(Table2[[#This Row],[Description]],'Actuals Lookup'!D:F,3,0),Table2[[#This Row],[Manual Cat Value]])</f>
        <v>#N/A</v>
      </c>
      <c r="J4592" s="2">
        <v>431</v>
      </c>
      <c r="K4592" s="2" t="b">
        <v>0</v>
      </c>
      <c r="L4592" s="2"/>
      <c r="M4592" s="2"/>
      <c r="N4592" s="4" t="s">
        <v>2273</v>
      </c>
      <c r="O4592" s="4" t="str">
        <f>LEFT(Table2[[#This Row],[Description]],75)</f>
        <v>Principal Curtailment</v>
      </c>
      <c r="P4592" s="2" t="s">
        <v>2514</v>
      </c>
    </row>
    <row r="4593" spans="1:16" hidden="1">
      <c r="A4593" s="2">
        <v>202104</v>
      </c>
      <c r="B4593" s="3">
        <v>44287</v>
      </c>
      <c r="C4593" s="2" t="s">
        <v>2265</v>
      </c>
      <c r="D4593" s="2" t="s">
        <v>1877</v>
      </c>
      <c r="E4593" s="2">
        <v>618.65</v>
      </c>
      <c r="F4593" s="2" t="e">
        <f>IF(Table2[[#This Row],[Manual Cat Value]]="",VLOOKUP(Table2[[#This Row],[Description]],'Actuals Lookup'!D:F,3,0),Table2[[#This Row],[Manual Cat Value]])</f>
        <v>#N/A</v>
      </c>
      <c r="J4593" s="2">
        <v>618.65</v>
      </c>
      <c r="K4593" s="2" t="b">
        <v>0</v>
      </c>
      <c r="L4593" s="2"/>
      <c r="M4593" s="2"/>
      <c r="N4593" s="4" t="s">
        <v>2259</v>
      </c>
      <c r="O4593" s="4" t="str">
        <f>LEFT(Table2[[#This Row],[Description]],75)</f>
        <v>To Loan 02</v>
      </c>
      <c r="P4593" s="2" t="s">
        <v>2316</v>
      </c>
    </row>
    <row r="4594" spans="1:16" hidden="1">
      <c r="A4594">
        <v>202407</v>
      </c>
      <c r="B4594" s="6">
        <v>45495</v>
      </c>
      <c r="C4594" t="s">
        <v>2519</v>
      </c>
      <c r="D4594" t="s">
        <v>2541</v>
      </c>
      <c r="E4594">
        <v>410</v>
      </c>
      <c r="F4594" s="2" t="str">
        <f>IF(Table2[[#This Row],[Manual Cat Value]]="",VLOOKUP(Table2[[#This Row],[Description]],'Actuals Lookup'!D:F,3,0),VLOOKUP(Table2[[#This Row],[Manual Cat Value]],Lookup!A:B,2,0))</f>
        <v>House Maintenance</v>
      </c>
      <c r="H4594" s="8" t="s">
        <v>1</v>
      </c>
      <c r="I4594" s="8" t="s">
        <v>2521</v>
      </c>
      <c r="O4594" t="str">
        <f>LEFT(Table2[[#This Row],[Description]],75)</f>
        <v>Draft 2281 Tracer XX0788</v>
      </c>
    </row>
    <row r="4595" spans="1:16" hidden="1">
      <c r="A4595" s="2">
        <v>202104</v>
      </c>
      <c r="B4595" s="3">
        <v>44289</v>
      </c>
      <c r="C4595" s="2" t="s">
        <v>2258</v>
      </c>
      <c r="D4595" s="2" t="s">
        <v>38</v>
      </c>
      <c r="E4595" s="2">
        <v>106.3</v>
      </c>
      <c r="F4595" s="2" t="str">
        <f>IF(Table2[[#This Row],[Manual Cat Value]]="",VLOOKUP(Table2[[#This Row],[Description]],'Actuals Lookup'!D:F,3,0),Table2[[#This Row],[Manual Cat Value]])</f>
        <v>Amazon</v>
      </c>
      <c r="J4595" s="2">
        <v>106.3</v>
      </c>
      <c r="K4595" s="2" t="b">
        <v>0</v>
      </c>
      <c r="L4595" s="2"/>
      <c r="M4595" s="2"/>
      <c r="N4595" s="4" t="s">
        <v>2259</v>
      </c>
      <c r="O4595" s="4" t="str">
        <f>LEFT(Table2[[#This Row],[Description]],75)</f>
        <v>Amazon</v>
      </c>
      <c r="P4595" s="2" t="s">
        <v>2260</v>
      </c>
    </row>
    <row r="4596" spans="1:16" hidden="1">
      <c r="A4596" s="2">
        <v>202104</v>
      </c>
      <c r="B4596" s="3">
        <v>44289</v>
      </c>
      <c r="C4596" s="2" t="s">
        <v>2447</v>
      </c>
      <c r="D4596" s="2" t="s">
        <v>38</v>
      </c>
      <c r="E4596" s="2">
        <v>106.3</v>
      </c>
      <c r="F4596" s="2" t="str">
        <f>IF(Table2[[#This Row],[Manual Cat Value]]="",VLOOKUP(Table2[[#This Row],[Description]],'Actuals Lookup'!D:F,3,0),Table2[[#This Row],[Manual Cat Value]])</f>
        <v>Amazon</v>
      </c>
      <c r="J4596" s="2">
        <v>106.3</v>
      </c>
      <c r="K4596" s="2" t="b">
        <v>0</v>
      </c>
      <c r="L4596" s="2"/>
      <c r="M4596" s="2"/>
      <c r="N4596" s="4" t="s">
        <v>2259</v>
      </c>
      <c r="O4596" s="4" t="str">
        <f>LEFT(Table2[[#This Row],[Description]],75)</f>
        <v>Amazon</v>
      </c>
      <c r="P4596" s="2" t="s">
        <v>2260</v>
      </c>
    </row>
    <row r="4597" spans="1:16" hidden="1">
      <c r="A4597" s="2">
        <v>202104</v>
      </c>
      <c r="B4597" s="3">
        <v>44289</v>
      </c>
      <c r="C4597" s="2" t="s">
        <v>2258</v>
      </c>
      <c r="D4597" s="2" t="s">
        <v>1083</v>
      </c>
      <c r="E4597" s="2">
        <v>30.39</v>
      </c>
      <c r="F4597" s="2" t="str">
        <f>IF(Table2[[#This Row],[Manual Cat Value]]="",VLOOKUP(Table2[[#This Row],[Description]],'Actuals Lookup'!D:F,3,0),Table2[[#This Row],[Manual Cat Value]])</f>
        <v>Transportation</v>
      </c>
      <c r="J4597" s="2">
        <v>30.39</v>
      </c>
      <c r="K4597" s="2" t="b">
        <v>0</v>
      </c>
      <c r="L4597" s="2"/>
      <c r="M4597" s="2"/>
      <c r="N4597" s="4" t="s">
        <v>2259</v>
      </c>
      <c r="O4597" s="4" t="str">
        <f>LEFT(Table2[[#This Row],[Description]],75)</f>
        <v>Kwik Trip</v>
      </c>
      <c r="P4597" s="2" t="s">
        <v>2509</v>
      </c>
    </row>
    <row r="4598" spans="1:16" hidden="1">
      <c r="A4598" s="2">
        <v>202104</v>
      </c>
      <c r="B4598" s="3">
        <v>44289</v>
      </c>
      <c r="C4598" s="2" t="s">
        <v>2447</v>
      </c>
      <c r="D4598" s="2" t="s">
        <v>1083</v>
      </c>
      <c r="E4598" s="2">
        <v>30.39</v>
      </c>
      <c r="F4598" s="2" t="str">
        <f>IF(Table2[[#This Row],[Manual Cat Value]]="",VLOOKUP(Table2[[#This Row],[Description]],'Actuals Lookup'!D:F,3,0),Table2[[#This Row],[Manual Cat Value]])</f>
        <v>Transportation</v>
      </c>
      <c r="J4598" s="2">
        <v>30.39</v>
      </c>
      <c r="K4598" s="2" t="b">
        <v>0</v>
      </c>
      <c r="L4598" s="2"/>
      <c r="M4598" s="2"/>
      <c r="N4598" s="4" t="s">
        <v>2259</v>
      </c>
      <c r="O4598" s="4" t="str">
        <f>LEFT(Table2[[#This Row],[Description]],75)</f>
        <v>Kwik Trip</v>
      </c>
      <c r="P4598" s="2" t="s">
        <v>2509</v>
      </c>
    </row>
    <row r="4599" spans="1:16" hidden="1">
      <c r="A4599" s="2">
        <v>202104</v>
      </c>
      <c r="B4599" s="3">
        <v>44290</v>
      </c>
      <c r="C4599" s="2" t="s">
        <v>2262</v>
      </c>
      <c r="D4599" s="2" t="s">
        <v>924</v>
      </c>
      <c r="E4599" s="2">
        <v>18</v>
      </c>
      <c r="F4599" s="2" t="e">
        <f>IF(Table2[[#This Row],[Manual Cat Value]]="",VLOOKUP(Table2[[#This Row],[Description]],'Actuals Lookup'!D:F,3,0),Table2[[#This Row],[Manual Cat Value]])</f>
        <v>#N/A</v>
      </c>
      <c r="J4599" s="2">
        <v>18</v>
      </c>
      <c r="K4599" s="2" t="b">
        <v>0</v>
      </c>
      <c r="L4599" s="2"/>
      <c r="M4599" s="2"/>
      <c r="N4599" s="4" t="s">
        <v>2259</v>
      </c>
      <c r="O4599" s="4" t="str">
        <f>LEFT(Table2[[#This Row],[Description]],75)</f>
        <v>HBRSUBSCRIPTION 8009880886 MA</v>
      </c>
      <c r="P4599" s="2" t="s">
        <v>2281</v>
      </c>
    </row>
    <row r="4600" spans="1:16" hidden="1">
      <c r="A4600" s="2">
        <v>202104</v>
      </c>
      <c r="B4600" s="3">
        <v>44290</v>
      </c>
      <c r="C4600" s="2" t="s">
        <v>2262</v>
      </c>
      <c r="D4600" s="2" t="s">
        <v>2154</v>
      </c>
      <c r="E4600" s="2">
        <v>25.46</v>
      </c>
      <c r="F4600" s="2" t="e">
        <f>IF(Table2[[#This Row],[Manual Cat Value]]="",VLOOKUP(Table2[[#This Row],[Description]],'Actuals Lookup'!D:F,3,0),Table2[[#This Row],[Manual Cat Value]])</f>
        <v>#N/A</v>
      </c>
      <c r="J4600" s="2">
        <v>25.46</v>
      </c>
      <c r="K4600" s="2" t="b">
        <v>0</v>
      </c>
      <c r="L4600" s="2"/>
      <c r="M4600" s="2"/>
      <c r="N4600" s="4" t="s">
        <v>2259</v>
      </c>
      <c r="O4600" s="4" t="str">
        <f>LEFT(Table2[[#This Row],[Description]],75)</f>
        <v>Whole Foods</v>
      </c>
      <c r="P4600" s="2" t="s">
        <v>2390</v>
      </c>
    </row>
    <row r="4601" spans="1:16" hidden="1">
      <c r="A4601" s="2">
        <v>202104</v>
      </c>
      <c r="B4601" s="3">
        <v>44291</v>
      </c>
      <c r="C4601" s="2" t="s">
        <v>2317</v>
      </c>
      <c r="D4601" s="2" t="s">
        <v>424</v>
      </c>
      <c r="E4601" s="2">
        <v>-200</v>
      </c>
      <c r="F4601" s="2" t="e">
        <f>IF(Table2[[#This Row],[Manual Cat Value]]="",VLOOKUP(Table2[[#This Row],[Description]],'Actuals Lookup'!D:F,3,0),Table2[[#This Row],[Manual Cat Value]])</f>
        <v>#N/A</v>
      </c>
      <c r="J4601" s="2">
        <v>200</v>
      </c>
      <c r="K4601" s="2" t="b">
        <v>0</v>
      </c>
      <c r="L4601" s="2"/>
      <c r="M4601" s="2"/>
      <c r="N4601" s="4" t="s">
        <v>2273</v>
      </c>
      <c r="O4601" s="4" t="str">
        <f>LEFT(Table2[[#This Row],[Description]],75)</f>
        <v>CARGILL INCORPOR</v>
      </c>
      <c r="P4601" s="2" t="s">
        <v>2385</v>
      </c>
    </row>
    <row r="4602" spans="1:16" hidden="1">
      <c r="A4602" s="2">
        <v>202104</v>
      </c>
      <c r="B4602" s="3">
        <v>44291</v>
      </c>
      <c r="C4602" s="2" t="s">
        <v>2265</v>
      </c>
      <c r="D4602" s="2" t="s">
        <v>1355</v>
      </c>
      <c r="E4602" s="2">
        <v>467.74</v>
      </c>
      <c r="F4602" s="2" t="str">
        <f>IF(Table2[[#This Row],[Manual Cat Value]]="",VLOOKUP(Table2[[#This Row],[Description]],'Actuals Lookup'!D:F,3,0),Table2[[#This Row],[Manual Cat Value]])</f>
        <v>Shopping</v>
      </c>
      <c r="J4602" s="2">
        <v>467.74</v>
      </c>
      <c r="K4602" s="2" t="b">
        <v>0</v>
      </c>
      <c r="L4602" s="2"/>
      <c r="M4602" s="2"/>
      <c r="N4602" s="4" t="s">
        <v>2259</v>
      </c>
      <c r="O4602" s="4" t="str">
        <f>LEFT(Table2[[#This Row],[Description]],75)</f>
        <v>Nordstrom</v>
      </c>
      <c r="P4602" s="2" t="s">
        <v>2352</v>
      </c>
    </row>
    <row r="4603" spans="1:16" hidden="1">
      <c r="A4603" s="2">
        <v>202104</v>
      </c>
      <c r="B4603" s="3">
        <v>44291</v>
      </c>
      <c r="C4603" s="2" t="s">
        <v>2265</v>
      </c>
      <c r="D4603" s="2" t="s">
        <v>1471</v>
      </c>
      <c r="E4603" s="2">
        <v>12.95</v>
      </c>
      <c r="F4603" s="2" t="str">
        <f>IF(Table2[[#This Row],[Manual Cat Value]]="",VLOOKUP(Table2[[#This Row],[Description]],'Actuals Lookup'!D:F,3,0),Table2[[#This Row],[Manual Cat Value]])</f>
        <v>Shopping</v>
      </c>
      <c r="J4603" s="2">
        <v>12.95</v>
      </c>
      <c r="K4603" s="2" t="b">
        <v>0</v>
      </c>
      <c r="L4603" s="2"/>
      <c r="M4603" s="2"/>
      <c r="N4603" s="4" t="s">
        <v>2259</v>
      </c>
      <c r="O4603" s="4" t="str">
        <f>LEFT(Table2[[#This Row],[Description]],75)</f>
        <v>PayPal</v>
      </c>
      <c r="P4603" s="2" t="s">
        <v>2322</v>
      </c>
    </row>
    <row r="4604" spans="1:16" hidden="1">
      <c r="A4604" s="2">
        <v>202104</v>
      </c>
      <c r="B4604" s="3">
        <v>44291</v>
      </c>
      <c r="C4604" s="2" t="s">
        <v>2317</v>
      </c>
      <c r="D4604" s="2" t="s">
        <v>1635</v>
      </c>
      <c r="E4604" s="2">
        <v>200</v>
      </c>
      <c r="F4604" s="2" t="e">
        <f>IF(Table2[[#This Row],[Manual Cat Value]]="",VLOOKUP(Table2[[#This Row],[Description]],'Actuals Lookup'!D:F,3,0),Table2[[#This Row],[Manual Cat Value]])</f>
        <v>#N/A</v>
      </c>
      <c r="J4604" s="2">
        <v>200</v>
      </c>
      <c r="K4604" s="2" t="b">
        <v>0</v>
      </c>
      <c r="L4604" s="2"/>
      <c r="M4604" s="2"/>
      <c r="N4604" s="4" t="s">
        <v>2259</v>
      </c>
      <c r="O4604" s="4" t="str">
        <f>LEFT(Table2[[#This Row],[Description]],75)</f>
        <v>SCHWAB TOTAL STOCK MKT INDEX</v>
      </c>
      <c r="P4604" s="2" t="s">
        <v>2278</v>
      </c>
    </row>
    <row r="4605" spans="1:16" hidden="1">
      <c r="A4605" s="2">
        <v>202104</v>
      </c>
      <c r="B4605" s="3">
        <v>44291</v>
      </c>
      <c r="C4605" s="2" t="s">
        <v>2434</v>
      </c>
      <c r="D4605" s="2" t="s">
        <v>1835</v>
      </c>
      <c r="E4605" s="2">
        <v>-231</v>
      </c>
      <c r="F4605" s="2" t="e">
        <f>IF(Table2[[#This Row],[Manual Cat Value]]="",VLOOKUP(Table2[[#This Row],[Description]],'Actuals Lookup'!D:F,3,0),Table2[[#This Row],[Manual Cat Value]])</f>
        <v>#N/A</v>
      </c>
      <c r="J4605" s="2">
        <v>231</v>
      </c>
      <c r="K4605" s="2" t="b">
        <v>0</v>
      </c>
      <c r="L4605" s="2"/>
      <c r="M4605" s="2"/>
      <c r="N4605" s="4" t="s">
        <v>2273</v>
      </c>
      <c r="O4605" s="4" t="str">
        <f>LEFT(Table2[[#This Row],[Description]],75)</f>
        <v>Tfr JPMORGAN CHASE BAN, CARGILL INCORPOR</v>
      </c>
      <c r="P4605" s="2"/>
    </row>
    <row r="4606" spans="1:16" hidden="1">
      <c r="A4606" s="2">
        <v>202104</v>
      </c>
      <c r="B4606" s="3">
        <v>44291</v>
      </c>
      <c r="C4606" s="2" t="s">
        <v>2262</v>
      </c>
      <c r="D4606" s="2" t="s">
        <v>2157</v>
      </c>
      <c r="E4606" s="2">
        <v>86.96</v>
      </c>
      <c r="F4606" s="2" t="e">
        <f>IF(Table2[[#This Row],[Manual Cat Value]]="",VLOOKUP(Table2[[#This Row],[Description]],'Actuals Lookup'!D:F,3,0),Table2[[#This Row],[Manual Cat Value]])</f>
        <v>#N/A</v>
      </c>
      <c r="J4606" s="2">
        <v>86.96</v>
      </c>
      <c r="K4606" s="2" t="b">
        <v>0</v>
      </c>
      <c r="L4606" s="2"/>
      <c r="M4606" s="2"/>
      <c r="N4606" s="4" t="s">
        <v>2259</v>
      </c>
      <c r="O4606" s="4" t="str">
        <f>LEFT(Table2[[#This Row],[Description]],75)</f>
        <v>WINCHESTER AND RYE VICTORIA MN</v>
      </c>
      <c r="P4606" s="2" t="s">
        <v>2307</v>
      </c>
    </row>
    <row r="4607" spans="1:16" hidden="1">
      <c r="A4607" s="2">
        <v>202104</v>
      </c>
      <c r="B4607" s="3">
        <v>44292</v>
      </c>
      <c r="C4607" s="2" t="s">
        <v>2258</v>
      </c>
      <c r="D4607" s="2" t="s">
        <v>38</v>
      </c>
      <c r="E4607" s="2">
        <v>6.74</v>
      </c>
      <c r="F4607" s="2" t="str">
        <f>IF(Table2[[#This Row],[Manual Cat Value]]="",VLOOKUP(Table2[[#This Row],[Description]],'Actuals Lookup'!D:F,3,0),Table2[[#This Row],[Manual Cat Value]])</f>
        <v>Amazon</v>
      </c>
      <c r="J4607" s="2">
        <v>6.74</v>
      </c>
      <c r="K4607" s="2" t="b">
        <v>0</v>
      </c>
      <c r="L4607" s="2"/>
      <c r="M4607" s="2"/>
      <c r="N4607" s="4" t="s">
        <v>2259</v>
      </c>
      <c r="O4607" s="4" t="str">
        <f>LEFT(Table2[[#This Row],[Description]],75)</f>
        <v>Amazon</v>
      </c>
      <c r="P4607" s="2" t="s">
        <v>2260</v>
      </c>
    </row>
    <row r="4608" spans="1:16" hidden="1">
      <c r="A4608" s="2">
        <v>202104</v>
      </c>
      <c r="B4608" s="3">
        <v>44292</v>
      </c>
      <c r="C4608" s="2" t="s">
        <v>2258</v>
      </c>
      <c r="D4608" s="2" t="s">
        <v>38</v>
      </c>
      <c r="E4608" s="2">
        <v>32.15</v>
      </c>
      <c r="F4608" s="2" t="str">
        <f>IF(Table2[[#This Row],[Manual Cat Value]]="",VLOOKUP(Table2[[#This Row],[Description]],'Actuals Lookup'!D:F,3,0),Table2[[#This Row],[Manual Cat Value]])</f>
        <v>Amazon</v>
      </c>
      <c r="J4608" s="2">
        <v>32.15</v>
      </c>
      <c r="K4608" s="2" t="b">
        <v>0</v>
      </c>
      <c r="L4608" s="2"/>
      <c r="M4608" s="2"/>
      <c r="N4608" s="4" t="s">
        <v>2259</v>
      </c>
      <c r="O4608" s="4" t="str">
        <f>LEFT(Table2[[#This Row],[Description]],75)</f>
        <v>Amazon</v>
      </c>
      <c r="P4608" s="2" t="s">
        <v>2260</v>
      </c>
    </row>
    <row r="4609" spans="1:16" hidden="1">
      <c r="A4609" s="2">
        <v>202104</v>
      </c>
      <c r="B4609" s="3">
        <v>44292</v>
      </c>
      <c r="C4609" s="2" t="s">
        <v>2447</v>
      </c>
      <c r="D4609" s="2" t="s">
        <v>38</v>
      </c>
      <c r="E4609" s="2">
        <v>6.74</v>
      </c>
      <c r="F4609" s="2" t="str">
        <f>IF(Table2[[#This Row],[Manual Cat Value]]="",VLOOKUP(Table2[[#This Row],[Description]],'Actuals Lookup'!D:F,3,0),Table2[[#This Row],[Manual Cat Value]])</f>
        <v>Amazon</v>
      </c>
      <c r="J4609" s="2">
        <v>6.74</v>
      </c>
      <c r="K4609" s="2" t="b">
        <v>0</v>
      </c>
      <c r="L4609" s="2"/>
      <c r="M4609" s="2"/>
      <c r="N4609" s="4" t="s">
        <v>2259</v>
      </c>
      <c r="O4609" s="4" t="str">
        <f>LEFT(Table2[[#This Row],[Description]],75)</f>
        <v>Amazon</v>
      </c>
      <c r="P4609" s="2" t="s">
        <v>2260</v>
      </c>
    </row>
    <row r="4610" spans="1:16" hidden="1">
      <c r="A4610" s="2">
        <v>202104</v>
      </c>
      <c r="B4610" s="3">
        <v>44292</v>
      </c>
      <c r="C4610" s="2" t="s">
        <v>2447</v>
      </c>
      <c r="D4610" s="2" t="s">
        <v>38</v>
      </c>
      <c r="E4610" s="2">
        <v>32.15</v>
      </c>
      <c r="F4610" s="2" t="str">
        <f>IF(Table2[[#This Row],[Manual Cat Value]]="",VLOOKUP(Table2[[#This Row],[Description]],'Actuals Lookup'!D:F,3,0),Table2[[#This Row],[Manual Cat Value]])</f>
        <v>Amazon</v>
      </c>
      <c r="J4610" s="2">
        <v>32.15</v>
      </c>
      <c r="K4610" s="2" t="b">
        <v>0</v>
      </c>
      <c r="L4610" s="2"/>
      <c r="M4610" s="2"/>
      <c r="N4610" s="4" t="s">
        <v>2259</v>
      </c>
      <c r="O4610" s="4" t="str">
        <f>LEFT(Table2[[#This Row],[Description]],75)</f>
        <v>Amazon</v>
      </c>
      <c r="P4610" s="2" t="s">
        <v>2260</v>
      </c>
    </row>
    <row r="4611" spans="1:16" hidden="1">
      <c r="A4611" s="2">
        <v>202104</v>
      </c>
      <c r="B4611" s="3">
        <v>44292</v>
      </c>
      <c r="C4611" s="2" t="s">
        <v>2262</v>
      </c>
      <c r="D4611" s="2" t="s">
        <v>187</v>
      </c>
      <c r="E4611" s="2">
        <v>172.36</v>
      </c>
      <c r="F4611" s="2" t="e">
        <f>IF(Table2[[#This Row],[Manual Cat Value]]="",VLOOKUP(Table2[[#This Row],[Description]],'Actuals Lookup'!D:F,3,0),Table2[[#This Row],[Manual Cat Value]])</f>
        <v>#N/A</v>
      </c>
      <c r="J4611" s="2">
        <v>172.36</v>
      </c>
      <c r="K4611" s="2" t="b">
        <v>0</v>
      </c>
      <c r="L4611" s="2"/>
      <c r="M4611" s="2"/>
      <c r="N4611" s="4" t="s">
        <v>2259</v>
      </c>
      <c r="O4611" s="4" t="str">
        <f>LEFT(Table2[[#This Row],[Description]],75)</f>
        <v>AVOADVOCARE INTL 8005424800 TX</v>
      </c>
      <c r="P4611" s="2" t="s">
        <v>2428</v>
      </c>
    </row>
    <row r="4612" spans="1:16" hidden="1">
      <c r="A4612" s="2">
        <v>202104</v>
      </c>
      <c r="B4612" s="3">
        <v>44293</v>
      </c>
      <c r="C4612" s="2" t="s">
        <v>2265</v>
      </c>
      <c r="D4612" s="2" t="s">
        <v>1229</v>
      </c>
      <c r="E4612" s="2">
        <v>425</v>
      </c>
      <c r="F4612" s="2" t="e">
        <f>IF(Table2[[#This Row],[Manual Cat Value]]="",VLOOKUP(Table2[[#This Row],[Description]],'Actuals Lookup'!D:F,3,0),Table2[[#This Row],[Manual Cat Value]])</f>
        <v>#N/A</v>
      </c>
      <c r="J4612" s="2">
        <v>425</v>
      </c>
      <c r="K4612" s="2" t="b">
        <v>0</v>
      </c>
      <c r="L4612" s="2"/>
      <c r="M4612" s="2"/>
      <c r="N4612" s="4" t="s">
        <v>2259</v>
      </c>
      <c r="O4612" s="4" t="str">
        <f>LEFT(Table2[[#This Row],[Description]],75)</f>
        <v>MHCHILDCARELLC TYPE DUES ID CO MHCHILDCARELLC ACH ECC PPD ACH Trace 68390</v>
      </c>
      <c r="P4612" s="2" t="s">
        <v>2497</v>
      </c>
    </row>
    <row r="4613" spans="1:16" hidden="1">
      <c r="A4613" s="2">
        <v>202104</v>
      </c>
      <c r="B4613" s="3">
        <v>44293</v>
      </c>
      <c r="C4613" s="2" t="s">
        <v>2265</v>
      </c>
      <c r="D4613" s="2" t="s">
        <v>1471</v>
      </c>
      <c r="E4613" s="2">
        <v>7.55</v>
      </c>
      <c r="F4613" s="2" t="str">
        <f>IF(Table2[[#This Row],[Manual Cat Value]]="",VLOOKUP(Table2[[#This Row],[Description]],'Actuals Lookup'!D:F,3,0),Table2[[#This Row],[Manual Cat Value]])</f>
        <v>Shopping</v>
      </c>
      <c r="J4613" s="2">
        <v>7.55</v>
      </c>
      <c r="K4613" s="2" t="b">
        <v>0</v>
      </c>
      <c r="L4613" s="2"/>
      <c r="M4613" s="2"/>
      <c r="N4613" s="4" t="s">
        <v>2259</v>
      </c>
      <c r="O4613" s="4" t="str">
        <f>LEFT(Table2[[#This Row],[Description]],75)</f>
        <v>PayPal</v>
      </c>
      <c r="P4613" s="2" t="s">
        <v>2322</v>
      </c>
    </row>
    <row r="4614" spans="1:16" hidden="1">
      <c r="A4614" s="2">
        <v>202104</v>
      </c>
      <c r="B4614" s="3">
        <v>44293</v>
      </c>
      <c r="C4614" s="2" t="s">
        <v>2262</v>
      </c>
      <c r="D4614" s="2" t="s">
        <v>2135</v>
      </c>
      <c r="E4614" s="2">
        <v>25.96</v>
      </c>
      <c r="F4614" s="2" t="str">
        <f>IF(Table2[[#This Row],[Manual Cat Value]]="",VLOOKUP(Table2[[#This Row],[Description]],'Actuals Lookup'!D:F,3,0),Table2[[#This Row],[Manual Cat Value]])</f>
        <v>Groceries</v>
      </c>
      <c r="J4614" s="2">
        <v>25.96</v>
      </c>
      <c r="K4614" s="2" t="b">
        <v>0</v>
      </c>
      <c r="L4614" s="2"/>
      <c r="M4614" s="2"/>
      <c r="N4614" s="4" t="s">
        <v>2259</v>
      </c>
      <c r="O4614" s="4" t="str">
        <f>LEFT(Table2[[#This Row],[Description]],75)</f>
        <v>Walgreens</v>
      </c>
      <c r="P4614" s="2" t="s">
        <v>2389</v>
      </c>
    </row>
    <row r="4615" spans="1:16" hidden="1">
      <c r="A4615" s="2">
        <v>202104</v>
      </c>
      <c r="B4615" s="3">
        <v>44293</v>
      </c>
      <c r="C4615" s="2" t="s">
        <v>2265</v>
      </c>
      <c r="D4615" s="2" t="s">
        <v>2221</v>
      </c>
      <c r="E4615" s="2">
        <v>144.4</v>
      </c>
      <c r="F4615" s="2" t="str">
        <f>IF(Table2[[#This Row],[Manual Cat Value]]="",VLOOKUP(Table2[[#This Row],[Description]],'Actuals Lookup'!D:F,3,0),Table2[[#This Row],[Manual Cat Value]])</f>
        <v>Utilities</v>
      </c>
      <c r="J4615" s="2">
        <v>144.4</v>
      </c>
      <c r="K4615" s="2" t="b">
        <v>0</v>
      </c>
      <c r="L4615" s="2"/>
      <c r="M4615" s="2"/>
      <c r="N4615" s="4" t="s">
        <v>2259</v>
      </c>
      <c r="O4615" s="4" t="str">
        <f>LEFT(Table2[[#This Row],[Description]],75)</f>
        <v>Xcel Energy</v>
      </c>
      <c r="P4615" s="2" t="s">
        <v>2280</v>
      </c>
    </row>
    <row r="4616" spans="1:16" hidden="1">
      <c r="A4616" s="2">
        <v>202104</v>
      </c>
      <c r="B4616" s="3">
        <v>44294</v>
      </c>
      <c r="C4616" s="2" t="s">
        <v>2258</v>
      </c>
      <c r="D4616" s="2" t="s">
        <v>38</v>
      </c>
      <c r="E4616" s="2">
        <v>10.73</v>
      </c>
      <c r="F4616" s="2" t="str">
        <f>IF(Table2[[#This Row],[Manual Cat Value]]="",VLOOKUP(Table2[[#This Row],[Description]],'Actuals Lookup'!D:F,3,0),Table2[[#This Row],[Manual Cat Value]])</f>
        <v>Amazon</v>
      </c>
      <c r="J4616" s="2">
        <v>10.73</v>
      </c>
      <c r="K4616" s="2" t="b">
        <v>0</v>
      </c>
      <c r="L4616" s="2"/>
      <c r="M4616" s="2"/>
      <c r="N4616" s="4" t="s">
        <v>2259</v>
      </c>
      <c r="O4616" s="4" t="str">
        <f>LEFT(Table2[[#This Row],[Description]],75)</f>
        <v>Amazon</v>
      </c>
      <c r="P4616" s="2" t="s">
        <v>2260</v>
      </c>
    </row>
    <row r="4617" spans="1:16" hidden="1">
      <c r="A4617" s="2">
        <v>202104</v>
      </c>
      <c r="B4617" s="3">
        <v>44294</v>
      </c>
      <c r="C4617" s="2" t="s">
        <v>2258</v>
      </c>
      <c r="D4617" s="2" t="s">
        <v>38</v>
      </c>
      <c r="E4617" s="2">
        <v>18.89</v>
      </c>
      <c r="F4617" s="2" t="str">
        <f>IF(Table2[[#This Row],[Manual Cat Value]]="",VLOOKUP(Table2[[#This Row],[Description]],'Actuals Lookup'!D:F,3,0),Table2[[#This Row],[Manual Cat Value]])</f>
        <v>Amazon</v>
      </c>
      <c r="J4617" s="2">
        <v>18.89</v>
      </c>
      <c r="K4617" s="2" t="b">
        <v>0</v>
      </c>
      <c r="L4617" s="2"/>
      <c r="M4617" s="2"/>
      <c r="N4617" s="4" t="s">
        <v>2259</v>
      </c>
      <c r="O4617" s="4" t="str">
        <f>LEFT(Table2[[#This Row],[Description]],75)</f>
        <v>Amazon</v>
      </c>
      <c r="P4617" s="2" t="s">
        <v>2260</v>
      </c>
    </row>
    <row r="4618" spans="1:16" hidden="1">
      <c r="A4618" s="2">
        <v>202104</v>
      </c>
      <c r="B4618" s="3">
        <v>44294</v>
      </c>
      <c r="C4618" s="2" t="s">
        <v>2447</v>
      </c>
      <c r="D4618" s="2" t="s">
        <v>38</v>
      </c>
      <c r="E4618" s="2">
        <v>10.73</v>
      </c>
      <c r="F4618" s="2" t="str">
        <f>IF(Table2[[#This Row],[Manual Cat Value]]="",VLOOKUP(Table2[[#This Row],[Description]],'Actuals Lookup'!D:F,3,0),Table2[[#This Row],[Manual Cat Value]])</f>
        <v>Amazon</v>
      </c>
      <c r="J4618" s="2">
        <v>10.73</v>
      </c>
      <c r="K4618" s="2" t="b">
        <v>0</v>
      </c>
      <c r="L4618" s="2"/>
      <c r="M4618" s="2"/>
      <c r="N4618" s="4" t="s">
        <v>2259</v>
      </c>
      <c r="O4618" s="4" t="str">
        <f>LEFT(Table2[[#This Row],[Description]],75)</f>
        <v>Amazon</v>
      </c>
      <c r="P4618" s="2" t="s">
        <v>2260</v>
      </c>
    </row>
    <row r="4619" spans="1:16" hidden="1">
      <c r="A4619" s="2">
        <v>202104</v>
      </c>
      <c r="B4619" s="3">
        <v>44294</v>
      </c>
      <c r="C4619" s="2" t="s">
        <v>2447</v>
      </c>
      <c r="D4619" s="2" t="s">
        <v>38</v>
      </c>
      <c r="E4619" s="2">
        <v>18.89</v>
      </c>
      <c r="F4619" s="2" t="str">
        <f>IF(Table2[[#This Row],[Manual Cat Value]]="",VLOOKUP(Table2[[#This Row],[Description]],'Actuals Lookup'!D:F,3,0),Table2[[#This Row],[Manual Cat Value]])</f>
        <v>Amazon</v>
      </c>
      <c r="J4619" s="2">
        <v>18.89</v>
      </c>
      <c r="K4619" s="2" t="b">
        <v>0</v>
      </c>
      <c r="L4619" s="2"/>
      <c r="M4619" s="2"/>
      <c r="N4619" s="4" t="s">
        <v>2259</v>
      </c>
      <c r="O4619" s="4" t="str">
        <f>LEFT(Table2[[#This Row],[Description]],75)</f>
        <v>Amazon</v>
      </c>
      <c r="P4619" s="2" t="s">
        <v>2260</v>
      </c>
    </row>
    <row r="4620" spans="1:16" hidden="1">
      <c r="A4620" s="2">
        <v>202104</v>
      </c>
      <c r="B4620" s="3">
        <v>44294</v>
      </c>
      <c r="C4620" s="2" t="s">
        <v>2265</v>
      </c>
      <c r="D4620" s="2" t="s">
        <v>425</v>
      </c>
      <c r="E4620" s="2">
        <v>-75</v>
      </c>
      <c r="F4620" s="2" t="e">
        <f>IF(Table2[[#This Row],[Manual Cat Value]]="",VLOOKUP(Table2[[#This Row],[Description]],'Actuals Lookup'!D:F,3,0),Table2[[#This Row],[Manual Cat Value]])</f>
        <v>#N/A</v>
      </c>
      <c r="J4620" s="2">
        <v>75</v>
      </c>
      <c r="K4620" s="2" t="b">
        <v>0</v>
      </c>
      <c r="L4620" s="2"/>
      <c r="M4620" s="2"/>
      <c r="N4620" s="4" t="s">
        <v>2273</v>
      </c>
      <c r="O4620" s="4" t="str">
        <f>LEFT(Table2[[#This Row],[Description]],75)</f>
        <v>Cargill Incorpor Type</v>
      </c>
      <c r="P4620" s="2" t="s">
        <v>2282</v>
      </c>
    </row>
    <row r="4621" spans="1:16" hidden="1">
      <c r="A4621" s="2">
        <v>202104</v>
      </c>
      <c r="B4621" s="3">
        <v>44294</v>
      </c>
      <c r="C4621" s="2" t="s">
        <v>2262</v>
      </c>
      <c r="D4621" s="2" t="s">
        <v>823</v>
      </c>
      <c r="E4621" s="2">
        <v>63.59</v>
      </c>
      <c r="F4621" s="2" t="e">
        <f>IF(Table2[[#This Row],[Manual Cat Value]]="",VLOOKUP(Table2[[#This Row],[Description]],'Actuals Lookup'!D:F,3,0),Table2[[#This Row],[Manual Cat Value]])</f>
        <v>#N/A</v>
      </c>
      <c r="J4621" s="2">
        <v>63.59</v>
      </c>
      <c r="K4621" s="2" t="b">
        <v>0</v>
      </c>
      <c r="L4621" s="2"/>
      <c r="M4621" s="2"/>
      <c r="N4621" s="4" t="s">
        <v>2259</v>
      </c>
      <c r="O4621" s="4" t="str">
        <f>LEFT(Table2[[#This Row],[Description]],75)</f>
        <v>Etsy.com</v>
      </c>
      <c r="P4621" s="2" t="s">
        <v>2401</v>
      </c>
    </row>
    <row r="4622" spans="1:16" hidden="1">
      <c r="A4622" s="2">
        <v>202104</v>
      </c>
      <c r="B4622" s="3">
        <v>44294</v>
      </c>
      <c r="C4622" s="2" t="s">
        <v>2265</v>
      </c>
      <c r="D4622" s="2" t="s">
        <v>1038</v>
      </c>
      <c r="E4622" s="2">
        <v>-45</v>
      </c>
      <c r="F4622" s="2" t="e">
        <f>IF(Table2[[#This Row],[Manual Cat Value]]="",VLOOKUP(Table2[[#This Row],[Description]],'Actuals Lookup'!D:F,3,0),Table2[[#This Row],[Manual Cat Value]])</f>
        <v>#N/A</v>
      </c>
      <c r="J4622" s="2">
        <v>45</v>
      </c>
      <c r="K4622" s="2" t="b">
        <v>0</v>
      </c>
      <c r="L4622" s="2"/>
      <c r="M4622" s="2"/>
      <c r="N4622" s="4" t="s">
        <v>2273</v>
      </c>
      <c r="O4622" s="4" t="str">
        <f>LEFT(Table2[[#This Row],[Description]],75)</f>
        <v>Kaufman Hall Type</v>
      </c>
      <c r="P4622" s="2" t="s">
        <v>2281</v>
      </c>
    </row>
    <row r="4623" spans="1:16" hidden="1">
      <c r="A4623" s="2">
        <v>202104</v>
      </c>
      <c r="B4623" s="3">
        <v>44294</v>
      </c>
      <c r="C4623" s="2" t="s">
        <v>2262</v>
      </c>
      <c r="D4623" s="2" t="s">
        <v>1698</v>
      </c>
      <c r="E4623" s="2">
        <v>217.84</v>
      </c>
      <c r="F4623" s="2" t="e">
        <f>IF(Table2[[#This Row],[Manual Cat Value]]="",VLOOKUP(Table2[[#This Row],[Description]],'Actuals Lookup'!D:F,3,0),Table2[[#This Row],[Manual Cat Value]])</f>
        <v>#N/A</v>
      </c>
      <c r="J4623" s="2">
        <v>217.84</v>
      </c>
      <c r="K4623" s="2" t="b">
        <v>0</v>
      </c>
      <c r="L4623" s="2"/>
      <c r="M4623" s="2"/>
      <c r="N4623" s="4" t="s">
        <v>2259</v>
      </c>
      <c r="O4623" s="4" t="str">
        <f>LEFT(Table2[[#This Row],[Description]],75)</f>
        <v>SP SENDJOESKCBBQ SENDJOESBARBQKS</v>
      </c>
      <c r="P4623" s="2" t="s">
        <v>2281</v>
      </c>
    </row>
    <row r="4624" spans="1:16" hidden="1">
      <c r="A4624" s="2">
        <v>202104</v>
      </c>
      <c r="B4624" s="3">
        <v>44295</v>
      </c>
      <c r="C4624" s="2" t="s">
        <v>2258</v>
      </c>
      <c r="D4624" s="2" t="s">
        <v>38</v>
      </c>
      <c r="E4624" s="2">
        <v>21.44</v>
      </c>
      <c r="F4624" s="2" t="str">
        <f>IF(Table2[[#This Row],[Manual Cat Value]]="",VLOOKUP(Table2[[#This Row],[Description]],'Actuals Lookup'!D:F,3,0),Table2[[#This Row],[Manual Cat Value]])</f>
        <v>Amazon</v>
      </c>
      <c r="J4624" s="2">
        <v>21.44</v>
      </c>
      <c r="K4624" s="2" t="b">
        <v>0</v>
      </c>
      <c r="L4624" s="2"/>
      <c r="M4624" s="2"/>
      <c r="N4624" s="4" t="s">
        <v>2259</v>
      </c>
      <c r="O4624" s="4" t="str">
        <f>LEFT(Table2[[#This Row],[Description]],75)</f>
        <v>Amazon</v>
      </c>
      <c r="P4624" s="2" t="s">
        <v>2260</v>
      </c>
    </row>
    <row r="4625" spans="1:16" hidden="1">
      <c r="A4625" s="2">
        <v>202104</v>
      </c>
      <c r="B4625" s="3">
        <v>44295</v>
      </c>
      <c r="C4625" s="2" t="s">
        <v>2447</v>
      </c>
      <c r="D4625" s="2" t="s">
        <v>38</v>
      </c>
      <c r="E4625" s="2">
        <v>21.44</v>
      </c>
      <c r="F4625" s="2" t="str">
        <f>IF(Table2[[#This Row],[Manual Cat Value]]="",VLOOKUP(Table2[[#This Row],[Description]],'Actuals Lookup'!D:F,3,0),Table2[[#This Row],[Manual Cat Value]])</f>
        <v>Amazon</v>
      </c>
      <c r="J4625" s="2">
        <v>21.44</v>
      </c>
      <c r="K4625" s="2" t="b">
        <v>0</v>
      </c>
      <c r="L4625" s="2"/>
      <c r="M4625" s="2"/>
      <c r="N4625" s="4" t="s">
        <v>2259</v>
      </c>
      <c r="O4625" s="4" t="str">
        <f>LEFT(Table2[[#This Row],[Description]],75)</f>
        <v>Amazon</v>
      </c>
      <c r="P4625" s="2" t="s">
        <v>2260</v>
      </c>
    </row>
    <row r="4626" spans="1:16" hidden="1">
      <c r="A4626" s="2">
        <v>202104</v>
      </c>
      <c r="B4626" s="3">
        <v>44296</v>
      </c>
      <c r="C4626" s="2" t="s">
        <v>2258</v>
      </c>
      <c r="D4626" s="2" t="s">
        <v>458</v>
      </c>
      <c r="E4626" s="2">
        <v>-18.61</v>
      </c>
      <c r="F4626" s="2" t="e">
        <f>IF(Table2[[#This Row],[Manual Cat Value]]="",VLOOKUP(Table2[[#This Row],[Description]],'Actuals Lookup'!D:F,3,0),Table2[[#This Row],[Manual Cat Value]])</f>
        <v>#N/A</v>
      </c>
      <c r="J4626" s="2">
        <v>18.61</v>
      </c>
      <c r="K4626" s="2" t="b">
        <v>0</v>
      </c>
      <c r="L4626" s="2"/>
      <c r="M4626" s="2"/>
      <c r="N4626" s="4" t="s">
        <v>2273</v>
      </c>
      <c r="O4626" s="4" t="str">
        <f>LEFT(Table2[[#This Row],[Description]],75)</f>
        <v>CASHBACK BONUS REDEMPTION payment/STMT CRDT</v>
      </c>
      <c r="P4626" s="2" t="s">
        <v>2304</v>
      </c>
    </row>
    <row r="4627" spans="1:16" hidden="1">
      <c r="A4627" s="2">
        <v>202104</v>
      </c>
      <c r="B4627" s="3">
        <v>44296</v>
      </c>
      <c r="C4627" s="2" t="s">
        <v>2447</v>
      </c>
      <c r="D4627" s="2" t="s">
        <v>458</v>
      </c>
      <c r="E4627" s="2">
        <v>-18.61</v>
      </c>
      <c r="F4627" s="2" t="e">
        <f>IF(Table2[[#This Row],[Manual Cat Value]]="",VLOOKUP(Table2[[#This Row],[Description]],'Actuals Lookup'!D:F,3,0),Table2[[#This Row],[Manual Cat Value]])</f>
        <v>#N/A</v>
      </c>
      <c r="J4627" s="2">
        <v>18.61</v>
      </c>
      <c r="K4627" s="2" t="b">
        <v>0</v>
      </c>
      <c r="L4627" s="2"/>
      <c r="M4627" s="2"/>
      <c r="N4627" s="4" t="s">
        <v>2273</v>
      </c>
      <c r="O4627" s="4" t="str">
        <f>LEFT(Table2[[#This Row],[Description]],75)</f>
        <v>CASHBACK BONUS REDEMPTION payment/STMT CRDT</v>
      </c>
      <c r="P4627" s="2" t="s">
        <v>2304</v>
      </c>
    </row>
    <row r="4628" spans="1:16" hidden="1">
      <c r="A4628" s="2">
        <v>202104</v>
      </c>
      <c r="B4628" s="3">
        <v>44296</v>
      </c>
      <c r="C4628" s="2" t="s">
        <v>2258</v>
      </c>
      <c r="D4628" s="2" t="s">
        <v>997</v>
      </c>
      <c r="E4628" s="2">
        <v>-616.04999999999995</v>
      </c>
      <c r="F4628" s="2" t="str">
        <f>IF(Table2[[#This Row],[Manual Cat Value]]="",VLOOKUP(Table2[[#This Row],[Description]],'Actuals Lookup'!D:F,3,0),Table2[[#This Row],[Manual Cat Value]])</f>
        <v>Delete</v>
      </c>
      <c r="J4628" s="2">
        <v>616.04999999999995</v>
      </c>
      <c r="K4628" s="2" t="b">
        <v>0</v>
      </c>
      <c r="L4628" s="2"/>
      <c r="M4628" s="2"/>
      <c r="N4628" s="4" t="s">
        <v>2273</v>
      </c>
      <c r="O4628" s="4" t="str">
        <f>LEFT(Table2[[#This Row],[Description]],75)</f>
        <v>INTERNET PAYMENT - THANK YOU</v>
      </c>
      <c r="P4628" s="2" t="s">
        <v>2291</v>
      </c>
    </row>
    <row r="4629" spans="1:16" hidden="1">
      <c r="A4629" s="2">
        <v>202104</v>
      </c>
      <c r="B4629" s="3">
        <v>44296</v>
      </c>
      <c r="C4629" s="2" t="s">
        <v>2447</v>
      </c>
      <c r="D4629" s="2" t="s">
        <v>997</v>
      </c>
      <c r="E4629" s="2">
        <v>-616.04999999999995</v>
      </c>
      <c r="F4629" s="2" t="str">
        <f>IF(Table2[[#This Row],[Manual Cat Value]]="",VLOOKUP(Table2[[#This Row],[Description]],'Actuals Lookup'!D:F,3,0),Table2[[#This Row],[Manual Cat Value]])</f>
        <v>Delete</v>
      </c>
      <c r="J4629" s="2">
        <v>616.04999999999995</v>
      </c>
      <c r="K4629" s="2" t="b">
        <v>0</v>
      </c>
      <c r="L4629" s="2"/>
      <c r="M4629" s="2"/>
      <c r="N4629" s="4" t="s">
        <v>2273</v>
      </c>
      <c r="O4629" s="4" t="str">
        <f>LEFT(Table2[[#This Row],[Description]],75)</f>
        <v>INTERNET PAYMENT - THANK YOU</v>
      </c>
      <c r="P4629" s="2" t="s">
        <v>2291</v>
      </c>
    </row>
    <row r="4630" spans="1:16" hidden="1">
      <c r="A4630" s="2">
        <v>202104</v>
      </c>
      <c r="B4630" s="3">
        <v>44296</v>
      </c>
      <c r="C4630" s="2" t="s">
        <v>2258</v>
      </c>
      <c r="D4630" s="2" t="s">
        <v>38</v>
      </c>
      <c r="E4630" s="2">
        <v>-10.73</v>
      </c>
      <c r="F4630" s="2" t="str">
        <f>IF(Table2[[#This Row],[Manual Cat Value]]="",VLOOKUP(Table2[[#This Row],[Description]],'Actuals Lookup'!D:F,3,0),Table2[[#This Row],[Manual Cat Value]])</f>
        <v>Amazon</v>
      </c>
      <c r="J4630" s="2">
        <v>10.73</v>
      </c>
      <c r="K4630" s="2" t="b">
        <v>0</v>
      </c>
      <c r="L4630" s="2"/>
      <c r="M4630" s="2"/>
      <c r="N4630" s="4" t="s">
        <v>2273</v>
      </c>
      <c r="O4630" s="4" t="str">
        <f>LEFT(Table2[[#This Row],[Description]],75)</f>
        <v>Amazon</v>
      </c>
      <c r="P4630" s="2" t="s">
        <v>2260</v>
      </c>
    </row>
    <row r="4631" spans="1:16" hidden="1">
      <c r="A4631" s="2">
        <v>202104</v>
      </c>
      <c r="B4631" s="3">
        <v>44296</v>
      </c>
      <c r="C4631" s="2" t="s">
        <v>2447</v>
      </c>
      <c r="D4631" s="2" t="s">
        <v>38</v>
      </c>
      <c r="E4631" s="2">
        <v>-10.73</v>
      </c>
      <c r="F4631" s="2" t="str">
        <f>IF(Table2[[#This Row],[Manual Cat Value]]="",VLOOKUP(Table2[[#This Row],[Description]],'Actuals Lookup'!D:F,3,0),Table2[[#This Row],[Manual Cat Value]])</f>
        <v>Amazon</v>
      </c>
      <c r="J4631" s="2">
        <v>10.73</v>
      </c>
      <c r="K4631" s="2" t="b">
        <v>0</v>
      </c>
      <c r="L4631" s="2"/>
      <c r="M4631" s="2"/>
      <c r="N4631" s="4" t="s">
        <v>2273</v>
      </c>
      <c r="O4631" s="4" t="str">
        <f>LEFT(Table2[[#This Row],[Description]],75)</f>
        <v>Amazon</v>
      </c>
      <c r="P4631" s="2" t="s">
        <v>2260</v>
      </c>
    </row>
    <row r="4632" spans="1:16" hidden="1">
      <c r="A4632" s="2">
        <v>202104</v>
      </c>
      <c r="B4632" s="3">
        <v>44296</v>
      </c>
      <c r="C4632" s="2" t="s">
        <v>2258</v>
      </c>
      <c r="D4632" s="2" t="s">
        <v>506</v>
      </c>
      <c r="E4632" s="2">
        <v>45</v>
      </c>
      <c r="F4632" s="2" t="str">
        <f>IF(Table2[[#This Row],[Manual Cat Value]]="",VLOOKUP(Table2[[#This Row],[Description]],'Actuals Lookup'!D:F,3,0),Table2[[#This Row],[Manual Cat Value]])</f>
        <v>Utilities</v>
      </c>
      <c r="J4632" s="2">
        <v>45</v>
      </c>
      <c r="K4632" s="2" t="b">
        <v>0</v>
      </c>
      <c r="L4632" s="2"/>
      <c r="M4632" s="2"/>
      <c r="N4632" s="4" t="s">
        <v>2259</v>
      </c>
      <c r="O4632" s="4" t="str">
        <f>LEFT(Table2[[#This Row],[Description]],75)</f>
        <v>CenturyLink</v>
      </c>
      <c r="P4632" s="2" t="s">
        <v>2408</v>
      </c>
    </row>
    <row r="4633" spans="1:16" hidden="1">
      <c r="A4633" s="2">
        <v>202104</v>
      </c>
      <c r="B4633" s="3">
        <v>44296</v>
      </c>
      <c r="C4633" s="2" t="s">
        <v>2447</v>
      </c>
      <c r="D4633" s="2" t="s">
        <v>506</v>
      </c>
      <c r="E4633" s="2">
        <v>45</v>
      </c>
      <c r="F4633" s="2" t="str">
        <f>IF(Table2[[#This Row],[Manual Cat Value]]="",VLOOKUP(Table2[[#This Row],[Description]],'Actuals Lookup'!D:F,3,0),Table2[[#This Row],[Manual Cat Value]])</f>
        <v>Utilities</v>
      </c>
      <c r="J4633" s="2">
        <v>45</v>
      </c>
      <c r="K4633" s="2" t="b">
        <v>0</v>
      </c>
      <c r="L4633" s="2"/>
      <c r="M4633" s="2"/>
      <c r="N4633" s="4" t="s">
        <v>2259</v>
      </c>
      <c r="O4633" s="4" t="str">
        <f>LEFT(Table2[[#This Row],[Description]],75)</f>
        <v>CenturyLink</v>
      </c>
      <c r="P4633" s="2" t="s">
        <v>2408</v>
      </c>
    </row>
    <row r="4634" spans="1:16" hidden="1">
      <c r="A4634" s="2">
        <v>202104</v>
      </c>
      <c r="B4634" s="3">
        <v>44296</v>
      </c>
      <c r="C4634" s="2" t="s">
        <v>2258</v>
      </c>
      <c r="D4634" s="2" t="s">
        <v>1179</v>
      </c>
      <c r="E4634" s="2">
        <v>37.869999999999997</v>
      </c>
      <c r="F4634" s="2" t="e">
        <f>IF(Table2[[#This Row],[Manual Cat Value]]="",VLOOKUP(Table2[[#This Row],[Description]],'Actuals Lookup'!D:F,3,0),Table2[[#This Row],[Manual Cat Value]])</f>
        <v>#N/A</v>
      </c>
      <c r="J4634" s="2">
        <v>37.869999999999997</v>
      </c>
      <c r="K4634" s="2" t="b">
        <v>0</v>
      </c>
      <c r="L4634" s="2"/>
      <c r="M4634" s="2"/>
      <c r="N4634" s="4" t="s">
        <v>2259</v>
      </c>
      <c r="O4634" s="4" t="str">
        <f>LEFT(Table2[[#This Row],[Description]],75)</f>
        <v>Marathon</v>
      </c>
      <c r="P4634" s="2" t="s">
        <v>2542</v>
      </c>
    </row>
    <row r="4635" spans="1:16" hidden="1">
      <c r="A4635" s="2">
        <v>202104</v>
      </c>
      <c r="B4635" s="3">
        <v>44296</v>
      </c>
      <c r="C4635" s="2" t="s">
        <v>2447</v>
      </c>
      <c r="D4635" s="2" t="s">
        <v>1179</v>
      </c>
      <c r="E4635" s="2">
        <v>37.869999999999997</v>
      </c>
      <c r="F4635" s="2" t="e">
        <f>IF(Table2[[#This Row],[Manual Cat Value]]="",VLOOKUP(Table2[[#This Row],[Description]],'Actuals Lookup'!D:F,3,0),Table2[[#This Row],[Manual Cat Value]])</f>
        <v>#N/A</v>
      </c>
      <c r="J4635" s="2">
        <v>37.869999999999997</v>
      </c>
      <c r="K4635" s="2" t="b">
        <v>0</v>
      </c>
      <c r="L4635" s="2"/>
      <c r="M4635" s="2"/>
      <c r="N4635" s="4" t="s">
        <v>2259</v>
      </c>
      <c r="O4635" s="4" t="str">
        <f>LEFT(Table2[[#This Row],[Description]],75)</f>
        <v>Marathon</v>
      </c>
      <c r="P4635" s="2" t="s">
        <v>2542</v>
      </c>
    </row>
    <row r="4636" spans="1:16" hidden="1">
      <c r="A4636" s="2">
        <v>202104</v>
      </c>
      <c r="B4636" s="3">
        <v>44297</v>
      </c>
      <c r="C4636" s="2" t="s">
        <v>2262</v>
      </c>
      <c r="D4636" s="2" t="s">
        <v>161</v>
      </c>
      <c r="E4636" s="2">
        <v>51.85</v>
      </c>
      <c r="F4636" s="2" t="str">
        <f>IF(Table2[[#This Row],[Manual Cat Value]]="",VLOOKUP(Table2[[#This Row],[Description]],'Actuals Lookup'!D:F,3,0),Table2[[#This Row],[Manual Cat Value]])</f>
        <v>Shopping</v>
      </c>
      <c r="J4636" s="2">
        <v>51.85</v>
      </c>
      <c r="K4636" s="2" t="b">
        <v>0</v>
      </c>
      <c r="L4636" s="2"/>
      <c r="M4636" s="2"/>
      <c r="N4636" s="4" t="s">
        <v>2259</v>
      </c>
      <c r="O4636" s="4" t="str">
        <f>LEFT(Table2[[#This Row],[Description]],75)</f>
        <v>Anthropologie</v>
      </c>
      <c r="P4636" s="2" t="s">
        <v>2281</v>
      </c>
    </row>
    <row r="4637" spans="1:16" hidden="1">
      <c r="A4637" s="2">
        <v>202104</v>
      </c>
      <c r="B4637" s="3">
        <v>44297</v>
      </c>
      <c r="C4637" s="2" t="s">
        <v>2262</v>
      </c>
      <c r="D4637" s="2" t="s">
        <v>161</v>
      </c>
      <c r="E4637" s="2">
        <v>98</v>
      </c>
      <c r="F4637" s="2" t="str">
        <f>IF(Table2[[#This Row],[Manual Cat Value]]="",VLOOKUP(Table2[[#This Row],[Description]],'Actuals Lookup'!D:F,3,0),Table2[[#This Row],[Manual Cat Value]])</f>
        <v>Shopping</v>
      </c>
      <c r="J4637" s="2">
        <v>98</v>
      </c>
      <c r="K4637" s="2" t="b">
        <v>0</v>
      </c>
      <c r="L4637" s="2"/>
      <c r="M4637" s="2"/>
      <c r="N4637" s="4" t="s">
        <v>2259</v>
      </c>
      <c r="O4637" s="4" t="str">
        <f>LEFT(Table2[[#This Row],[Description]],75)</f>
        <v>Anthropologie</v>
      </c>
      <c r="P4637" s="2" t="s">
        <v>2281</v>
      </c>
    </row>
    <row r="4638" spans="1:16" hidden="1">
      <c r="A4638" s="2">
        <v>202104</v>
      </c>
      <c r="B4638" s="3">
        <v>44297</v>
      </c>
      <c r="C4638" s="2" t="s">
        <v>2262</v>
      </c>
      <c r="D4638" s="2" t="s">
        <v>161</v>
      </c>
      <c r="E4638" s="2">
        <v>181.48</v>
      </c>
      <c r="F4638" s="2" t="str">
        <f>IF(Table2[[#This Row],[Manual Cat Value]]="",VLOOKUP(Table2[[#This Row],[Description]],'Actuals Lookup'!D:F,3,0),Table2[[#This Row],[Manual Cat Value]])</f>
        <v>Shopping</v>
      </c>
      <c r="J4638" s="2">
        <v>181.48</v>
      </c>
      <c r="K4638" s="2" t="b">
        <v>0</v>
      </c>
      <c r="L4638" s="2"/>
      <c r="M4638" s="2"/>
      <c r="N4638" s="4" t="s">
        <v>2259</v>
      </c>
      <c r="O4638" s="4" t="str">
        <f>LEFT(Table2[[#This Row],[Description]],75)</f>
        <v>Anthropologie</v>
      </c>
      <c r="P4638" s="2" t="s">
        <v>2281</v>
      </c>
    </row>
    <row r="4639" spans="1:16" hidden="1">
      <c r="A4639" s="2">
        <v>202104</v>
      </c>
      <c r="B4639" s="3">
        <v>44298</v>
      </c>
      <c r="C4639" s="2" t="s">
        <v>2265</v>
      </c>
      <c r="D4639" s="2" t="s">
        <v>762</v>
      </c>
      <c r="E4639" s="2">
        <v>616.04999999999995</v>
      </c>
      <c r="F4639" s="2" t="e">
        <f>IF(Table2[[#This Row],[Manual Cat Value]]="",VLOOKUP(Table2[[#This Row],[Description]],'Actuals Lookup'!D:F,3,0),Table2[[#This Row],[Manual Cat Value]])</f>
        <v>#N/A</v>
      </c>
      <c r="J4639" s="2">
        <v>616.04999999999995</v>
      </c>
      <c r="K4639" s="2" t="b">
        <v>0</v>
      </c>
      <c r="L4639" s="2"/>
      <c r="M4639" s="2"/>
      <c r="N4639" s="4" t="s">
        <v>2259</v>
      </c>
      <c r="O4639" s="4" t="str">
        <f>LEFT(Table2[[#This Row],[Description]],75)</f>
        <v>DISCOVER TYPE EPAYMENT ID CO DISCOVER ACH ECC WEB ACH Trace 49696</v>
      </c>
      <c r="P4639" s="2" t="s">
        <v>2293</v>
      </c>
    </row>
    <row r="4640" spans="1:16" hidden="1">
      <c r="A4640" s="2">
        <v>202104</v>
      </c>
      <c r="B4640" s="3">
        <v>44298</v>
      </c>
      <c r="C4640" s="2" t="s">
        <v>2262</v>
      </c>
      <c r="D4640" s="2" t="s">
        <v>291</v>
      </c>
      <c r="E4640" s="2">
        <v>107.1</v>
      </c>
      <c r="F4640" s="2" t="e">
        <f>IF(Table2[[#This Row],[Manual Cat Value]]="",VLOOKUP(Table2[[#This Row],[Description]],'Actuals Lookup'!D:F,3,0),Table2[[#This Row],[Manual Cat Value]])</f>
        <v>#N/A</v>
      </c>
      <c r="J4640" s="2">
        <v>107.1</v>
      </c>
      <c r="K4640" s="2" t="b">
        <v>0</v>
      </c>
      <c r="L4640" s="2"/>
      <c r="M4640" s="2"/>
      <c r="N4640" s="4" t="s">
        <v>2259</v>
      </c>
      <c r="O4640" s="4" t="str">
        <f>LEFT(Table2[[#This Row],[Description]],75)</f>
        <v>Birchs</v>
      </c>
      <c r="P4640" s="2" t="s">
        <v>2543</v>
      </c>
    </row>
    <row r="4641" spans="1:16" hidden="1">
      <c r="A4641" s="2">
        <v>202104</v>
      </c>
      <c r="B4641" s="3">
        <v>44298</v>
      </c>
      <c r="C4641" s="2" t="s">
        <v>2262</v>
      </c>
      <c r="D4641" s="2" t="s">
        <v>684</v>
      </c>
      <c r="E4641" s="2">
        <v>133.97</v>
      </c>
      <c r="F4641" s="2" t="str">
        <f>IF(Table2[[#This Row],[Manual Cat Value]]="",VLOOKUP(Table2[[#This Row],[Description]],'Actuals Lookup'!D:F,3,0),Table2[[#This Row],[Manual Cat Value]])</f>
        <v>Groceries</v>
      </c>
      <c r="J4641" s="2">
        <v>133.97</v>
      </c>
      <c r="K4641" s="2" t="b">
        <v>0</v>
      </c>
      <c r="L4641" s="2"/>
      <c r="M4641" s="2"/>
      <c r="N4641" s="4" t="s">
        <v>2259</v>
      </c>
      <c r="O4641" s="4" t="str">
        <f>LEFT(Table2[[#This Row],[Description]],75)</f>
        <v>Cub Foods</v>
      </c>
      <c r="P4641" s="2" t="s">
        <v>2370</v>
      </c>
    </row>
    <row r="4642" spans="1:16" hidden="1">
      <c r="A4642" s="2">
        <v>202104</v>
      </c>
      <c r="B4642" s="3">
        <v>44298</v>
      </c>
      <c r="C4642" s="2" t="s">
        <v>2265</v>
      </c>
      <c r="D4642" s="2" t="s">
        <v>1471</v>
      </c>
      <c r="E4642" s="2">
        <v>14.03</v>
      </c>
      <c r="F4642" s="2" t="str">
        <f>IF(Table2[[#This Row],[Manual Cat Value]]="",VLOOKUP(Table2[[#This Row],[Description]],'Actuals Lookup'!D:F,3,0),Table2[[#This Row],[Manual Cat Value]])</f>
        <v>Shopping</v>
      </c>
      <c r="J4642" s="2">
        <v>14.03</v>
      </c>
      <c r="K4642" s="2" t="b">
        <v>0</v>
      </c>
      <c r="L4642" s="2"/>
      <c r="M4642" s="2"/>
      <c r="N4642" s="4" t="s">
        <v>2259</v>
      </c>
      <c r="O4642" s="4" t="str">
        <f>LEFT(Table2[[#This Row],[Description]],75)</f>
        <v>PayPal</v>
      </c>
      <c r="P4642" s="2" t="s">
        <v>2322</v>
      </c>
    </row>
    <row r="4643" spans="1:16" hidden="1">
      <c r="A4643" s="2">
        <v>202104</v>
      </c>
      <c r="B4643" s="3">
        <v>44298</v>
      </c>
      <c r="C4643" s="2" t="s">
        <v>2262</v>
      </c>
      <c r="D4643" s="2" t="s">
        <v>1778</v>
      </c>
      <c r="E4643" s="2">
        <v>66.739999999999995</v>
      </c>
      <c r="F4643" s="2" t="str">
        <f>IF(Table2[[#This Row],[Manual Cat Value]]="",VLOOKUP(Table2[[#This Row],[Description]],'Actuals Lookup'!D:F,3,0),Table2[[#This Row],[Manual Cat Value]])</f>
        <v>Restaurants</v>
      </c>
      <c r="J4643" s="2">
        <v>66.739999999999995</v>
      </c>
      <c r="K4643" s="2" t="b">
        <v>0</v>
      </c>
      <c r="L4643" s="2"/>
      <c r="M4643" s="2"/>
      <c r="N4643" s="4" t="s">
        <v>2259</v>
      </c>
      <c r="O4643" s="4" t="str">
        <f>LEFT(Table2[[#This Row],[Description]],75)</f>
        <v>Station Pizzeria</v>
      </c>
      <c r="P4643" s="2" t="s">
        <v>2281</v>
      </c>
    </row>
    <row r="4644" spans="1:16" hidden="1">
      <c r="A4644" s="2">
        <v>202104</v>
      </c>
      <c r="B4644" s="3">
        <v>44298</v>
      </c>
      <c r="C4644" s="2" t="s">
        <v>2262</v>
      </c>
      <c r="D4644" s="2" t="s">
        <v>31</v>
      </c>
      <c r="E4644" s="2">
        <v>67.89</v>
      </c>
      <c r="F4644" s="2" t="str">
        <f>IF(Table2[[#This Row],[Manual Cat Value]]="",VLOOKUP(Table2[[#This Row],[Description]],'Actuals Lookup'!D:F,3,0),Table2[[#This Row],[Manual Cat Value]])</f>
        <v>Target</v>
      </c>
      <c r="J4644" s="2">
        <v>67.89</v>
      </c>
      <c r="K4644" s="2" t="b">
        <v>0</v>
      </c>
      <c r="L4644" s="2"/>
      <c r="M4644" s="2"/>
      <c r="N4644" s="4" t="s">
        <v>2259</v>
      </c>
      <c r="O4644" s="4" t="str">
        <f>LEFT(Table2[[#This Row],[Description]],75)</f>
        <v>Target</v>
      </c>
      <c r="P4644" s="2" t="s">
        <v>2309</v>
      </c>
    </row>
    <row r="4645" spans="1:16" hidden="1">
      <c r="A4645" s="2">
        <v>202104</v>
      </c>
      <c r="B4645" s="3">
        <v>44298</v>
      </c>
      <c r="C4645" s="2" t="s">
        <v>2262</v>
      </c>
      <c r="D4645" s="2" t="s">
        <v>1931</v>
      </c>
      <c r="E4645" s="2">
        <v>100.31</v>
      </c>
      <c r="F4645" s="2" t="str">
        <f>IF(Table2[[#This Row],[Manual Cat Value]]="",VLOOKUP(Table2[[#This Row],[Description]],'Actuals Lookup'!D:F,3,0),Table2[[#This Row],[Manual Cat Value]])</f>
        <v>Groceries</v>
      </c>
      <c r="J4645" s="2">
        <v>100.31</v>
      </c>
      <c r="K4645" s="2" t="b">
        <v>0</v>
      </c>
      <c r="L4645" s="2"/>
      <c r="M4645" s="2"/>
      <c r="N4645" s="4" t="s">
        <v>2259</v>
      </c>
      <c r="O4645" s="4" t="str">
        <f>LEFT(Table2[[#This Row],[Description]],75)</f>
        <v>Trader Joe's</v>
      </c>
      <c r="P4645" s="2" t="s">
        <v>2419</v>
      </c>
    </row>
    <row r="4646" spans="1:16" hidden="1">
      <c r="A4646" s="2">
        <v>202104</v>
      </c>
      <c r="B4646" s="3">
        <v>44298</v>
      </c>
      <c r="C4646" s="2" t="s">
        <v>2265</v>
      </c>
      <c r="D4646" s="2" t="s">
        <v>2109</v>
      </c>
      <c r="E4646" s="2">
        <v>375</v>
      </c>
      <c r="F4646" s="2" t="str">
        <f>IF(Table2[[#This Row],[Manual Cat Value]]="",VLOOKUP(Table2[[#This Row],[Description]],'Actuals Lookup'!D:F,3,0),Table2[[#This Row],[Manual Cat Value]])</f>
        <v>Shopping</v>
      </c>
      <c r="J4646" s="2">
        <v>375</v>
      </c>
      <c r="K4646" s="2" t="b">
        <v>0</v>
      </c>
      <c r="L4646" s="2"/>
      <c r="M4646" s="2"/>
      <c r="N4646" s="4" t="s">
        <v>2259</v>
      </c>
      <c r="O4646" s="4" t="str">
        <f>LEFT(Table2[[#This Row],[Description]],75)</f>
        <v>Venmo</v>
      </c>
      <c r="P4646" s="2" t="s">
        <v>2281</v>
      </c>
    </row>
    <row r="4647" spans="1:16" hidden="1">
      <c r="A4647" s="2">
        <v>202104</v>
      </c>
      <c r="B4647" s="3">
        <v>44299</v>
      </c>
      <c r="C4647" s="2" t="s">
        <v>2258</v>
      </c>
      <c r="D4647" s="2" t="s">
        <v>38</v>
      </c>
      <c r="E4647" s="2">
        <v>8.58</v>
      </c>
      <c r="F4647" s="2" t="str">
        <f>IF(Table2[[#This Row],[Manual Cat Value]]="",VLOOKUP(Table2[[#This Row],[Description]],'Actuals Lookup'!D:F,3,0),Table2[[#This Row],[Manual Cat Value]])</f>
        <v>Amazon</v>
      </c>
      <c r="J4647" s="2">
        <v>8.58</v>
      </c>
      <c r="K4647" s="2" t="b">
        <v>0</v>
      </c>
      <c r="L4647" s="2"/>
      <c r="M4647" s="2"/>
      <c r="N4647" s="4" t="s">
        <v>2259</v>
      </c>
      <c r="O4647" s="4" t="str">
        <f>LEFT(Table2[[#This Row],[Description]],75)</f>
        <v>Amazon</v>
      </c>
      <c r="P4647" s="2" t="s">
        <v>2260</v>
      </c>
    </row>
    <row r="4648" spans="1:16" hidden="1">
      <c r="A4648" s="2">
        <v>202104</v>
      </c>
      <c r="B4648" s="3">
        <v>44299</v>
      </c>
      <c r="C4648" s="2" t="s">
        <v>2447</v>
      </c>
      <c r="D4648" s="2" t="s">
        <v>38</v>
      </c>
      <c r="E4648" s="2">
        <v>8.58</v>
      </c>
      <c r="F4648" s="2" t="str">
        <f>IF(Table2[[#This Row],[Manual Cat Value]]="",VLOOKUP(Table2[[#This Row],[Description]],'Actuals Lookup'!D:F,3,0),Table2[[#This Row],[Manual Cat Value]])</f>
        <v>Amazon</v>
      </c>
      <c r="J4648" s="2">
        <v>8.58</v>
      </c>
      <c r="K4648" s="2" t="b">
        <v>0</v>
      </c>
      <c r="L4648" s="2"/>
      <c r="M4648" s="2"/>
      <c r="N4648" s="4" t="s">
        <v>2259</v>
      </c>
      <c r="O4648" s="4" t="str">
        <f>LEFT(Table2[[#This Row],[Description]],75)</f>
        <v>Amazon</v>
      </c>
      <c r="P4648" s="2" t="s">
        <v>2260</v>
      </c>
    </row>
    <row r="4649" spans="1:16" hidden="1">
      <c r="A4649" s="2">
        <v>202104</v>
      </c>
      <c r="B4649" s="3">
        <v>44299</v>
      </c>
      <c r="C4649" s="2" t="s">
        <v>2262</v>
      </c>
      <c r="D4649" s="2" t="s">
        <v>947</v>
      </c>
      <c r="E4649" s="2">
        <v>-7.28</v>
      </c>
      <c r="F4649" s="2" t="e">
        <f>IF(Table2[[#This Row],[Manual Cat Value]]="",VLOOKUP(Table2[[#This Row],[Description]],'Actuals Lookup'!D:F,3,0),Table2[[#This Row],[Manual Cat Value]])</f>
        <v>#N/A</v>
      </c>
      <c r="J4649" s="2">
        <v>7.28</v>
      </c>
      <c r="K4649" s="2" t="b">
        <v>0</v>
      </c>
      <c r="L4649" s="2"/>
      <c r="M4649" s="2"/>
      <c r="N4649" s="4" t="s">
        <v>2273</v>
      </c>
      <c r="O4649" s="4" t="str">
        <f>LEFT(Table2[[#This Row],[Description]],75)</f>
        <v>Home Depot</v>
      </c>
      <c r="P4649" s="2" t="s">
        <v>2396</v>
      </c>
    </row>
    <row r="4650" spans="1:16" hidden="1">
      <c r="A4650" s="2">
        <v>202104</v>
      </c>
      <c r="B4650" s="3">
        <v>44299</v>
      </c>
      <c r="C4650" s="2" t="s">
        <v>2265</v>
      </c>
      <c r="D4650" s="2" t="s">
        <v>1245</v>
      </c>
      <c r="E4650" s="2">
        <v>425</v>
      </c>
      <c r="F4650" s="2" t="e">
        <f>IF(Table2[[#This Row],[Manual Cat Value]]="",VLOOKUP(Table2[[#This Row],[Description]],'Actuals Lookup'!D:F,3,0),Table2[[#This Row],[Manual Cat Value]])</f>
        <v>#N/A</v>
      </c>
      <c r="J4650" s="2">
        <v>425</v>
      </c>
      <c r="K4650" s="2" t="b">
        <v>0</v>
      </c>
      <c r="L4650" s="2"/>
      <c r="M4650" s="2"/>
      <c r="N4650" s="4" t="s">
        <v>2259</v>
      </c>
      <c r="O4650" s="4" t="str">
        <f>LEFT(Table2[[#This Row],[Description]],75)</f>
        <v>MHCHILDCARELLC TYPE DUES ID CO MHCHILDCARELLC ACH ECC PPD ACH Trace 98967</v>
      </c>
      <c r="P4650" s="2" t="s">
        <v>2497</v>
      </c>
    </row>
    <row r="4651" spans="1:16" hidden="1">
      <c r="A4651" s="2">
        <v>202104</v>
      </c>
      <c r="B4651" s="3">
        <v>44299</v>
      </c>
      <c r="C4651" s="2" t="s">
        <v>2262</v>
      </c>
      <c r="D4651" s="2" t="s">
        <v>1357</v>
      </c>
      <c r="E4651" s="2">
        <v>40.33</v>
      </c>
      <c r="F4651" s="2" t="e">
        <f>IF(Table2[[#This Row],[Manual Cat Value]]="",VLOOKUP(Table2[[#This Row],[Description]],'Actuals Lookup'!D:F,3,0),Table2[[#This Row],[Manual Cat Value]])</f>
        <v>#N/A</v>
      </c>
      <c r="J4651" s="2">
        <v>40.33</v>
      </c>
      <c r="K4651" s="2" t="b">
        <v>0</v>
      </c>
      <c r="L4651" s="2"/>
      <c r="M4651" s="2"/>
      <c r="N4651" s="4" t="s">
        <v>2259</v>
      </c>
      <c r="O4651" s="4" t="str">
        <f>LEFT(Table2[[#This Row],[Description]],75)</f>
        <v>NORTH COOP CHAHASSEN MN</v>
      </c>
      <c r="P4651" s="2" t="s">
        <v>2326</v>
      </c>
    </row>
    <row r="4652" spans="1:16" hidden="1">
      <c r="A4652" s="2">
        <v>202104</v>
      </c>
      <c r="B4652" s="3">
        <v>44300</v>
      </c>
      <c r="C4652" s="2" t="s">
        <v>2262</v>
      </c>
      <c r="D4652" s="2" t="s">
        <v>1423</v>
      </c>
      <c r="E4652" s="2">
        <v>-1551.24</v>
      </c>
      <c r="F4652" s="2" t="e">
        <f>IF(Table2[[#This Row],[Manual Cat Value]]="",VLOOKUP(Table2[[#This Row],[Description]],'Actuals Lookup'!D:F,3,0),Table2[[#This Row],[Manual Cat Value]])</f>
        <v>#N/A</v>
      </c>
      <c r="J4652" s="2">
        <v>1551.24</v>
      </c>
      <c r="K4652" s="2" t="b">
        <v>0</v>
      </c>
      <c r="L4652" s="2"/>
      <c r="M4652" s="2"/>
      <c r="N4652" s="4" t="s">
        <v>2273</v>
      </c>
      <c r="O4652" s="4" t="str">
        <f>LEFT(Table2[[#This Row],[Description]],75)</f>
        <v>PAYMENT THANK YOU</v>
      </c>
      <c r="P4652" s="2" t="s">
        <v>2391</v>
      </c>
    </row>
    <row r="4653" spans="1:16" hidden="1">
      <c r="A4653" s="2">
        <v>202104</v>
      </c>
      <c r="B4653" s="3">
        <v>44300</v>
      </c>
      <c r="C4653" s="2" t="s">
        <v>2265</v>
      </c>
      <c r="D4653" s="2" t="s">
        <v>2176</v>
      </c>
      <c r="E4653" s="2">
        <v>1551.24</v>
      </c>
      <c r="F4653" s="2" t="e">
        <f>IF(Table2[[#This Row],[Manual Cat Value]]="",VLOOKUP(Table2[[#This Row],[Description]],'Actuals Lookup'!D:F,3,0),Table2[[#This Row],[Manual Cat Value]])</f>
        <v>#N/A</v>
      </c>
      <c r="J4653" s="2">
        <v>1551.24</v>
      </c>
      <c r="K4653" s="2" t="b">
        <v>0</v>
      </c>
      <c r="L4653" s="2"/>
      <c r="M4653" s="2"/>
      <c r="N4653" s="4" t="s">
        <v>2259</v>
      </c>
      <c r="O4653" s="4" t="str">
        <f>LEFT(Table2[[#This Row],[Description]],75)</f>
        <v>Withdrawal Home payment to card 979181</v>
      </c>
      <c r="P4653" s="2" t="s">
        <v>2349</v>
      </c>
    </row>
    <row r="4654" spans="1:16" hidden="1">
      <c r="A4654" s="2">
        <v>202104</v>
      </c>
      <c r="B4654" s="3">
        <v>44300</v>
      </c>
      <c r="C4654" s="2" t="s">
        <v>2265</v>
      </c>
      <c r="D4654" s="2" t="s">
        <v>131</v>
      </c>
      <c r="E4654" s="2">
        <v>101.78</v>
      </c>
      <c r="F4654" s="2" t="str">
        <f>IF(Table2[[#This Row],[Manual Cat Value]]="",VLOOKUP(Table2[[#This Row],[Description]],'Actuals Lookup'!D:F,3,0),Table2[[#This Row],[Manual Cat Value]])</f>
        <v>Insurance</v>
      </c>
      <c r="J4654" s="2">
        <v>101.78</v>
      </c>
      <c r="K4654" s="2" t="b">
        <v>0</v>
      </c>
      <c r="L4654" s="2"/>
      <c r="M4654" s="2"/>
      <c r="N4654" s="4" t="s">
        <v>2259</v>
      </c>
      <c r="O4654" s="4" t="str">
        <f>LEFT(Table2[[#This Row],[Description]],75)</f>
        <v>American Family Insurance</v>
      </c>
      <c r="P4654" s="2" t="s">
        <v>2286</v>
      </c>
    </row>
    <row r="4655" spans="1:16" hidden="1">
      <c r="A4655" s="2">
        <v>202104</v>
      </c>
      <c r="B4655" s="3">
        <v>44300</v>
      </c>
      <c r="C4655" s="2" t="s">
        <v>2262</v>
      </c>
      <c r="D4655" s="2" t="s">
        <v>316</v>
      </c>
      <c r="E4655" s="2">
        <v>27.65</v>
      </c>
      <c r="F4655" s="2" t="e">
        <f>IF(Table2[[#This Row],[Manual Cat Value]]="",VLOOKUP(Table2[[#This Row],[Description]],'Actuals Lookup'!D:F,3,0),Table2[[#This Row],[Manual Cat Value]])</f>
        <v>#N/A</v>
      </c>
      <c r="J4655" s="2">
        <v>27.65</v>
      </c>
      <c r="K4655" s="2" t="b">
        <v>0</v>
      </c>
      <c r="L4655" s="2"/>
      <c r="M4655" s="2"/>
      <c r="N4655" s="4" t="s">
        <v>2259</v>
      </c>
      <c r="O4655" s="4" t="str">
        <f>LEFT(Table2[[#This Row],[Description]],75)</f>
        <v>BP</v>
      </c>
      <c r="P4655" s="2" t="s">
        <v>2484</v>
      </c>
    </row>
    <row r="4656" spans="1:16" hidden="1">
      <c r="A4656" s="2">
        <v>202104</v>
      </c>
      <c r="B4656" s="3">
        <v>44300</v>
      </c>
      <c r="C4656" s="2" t="s">
        <v>2265</v>
      </c>
      <c r="D4656" s="2" t="s">
        <v>622</v>
      </c>
      <c r="E4656" s="2">
        <v>-4308.17</v>
      </c>
      <c r="F4656" s="2" t="e">
        <f>IF(Table2[[#This Row],[Manual Cat Value]]="",VLOOKUP(Table2[[#This Row],[Description]],'Actuals Lookup'!D:F,3,0),Table2[[#This Row],[Manual Cat Value]])</f>
        <v>#N/A</v>
      </c>
      <c r="J4656" s="2">
        <v>4308.17</v>
      </c>
      <c r="K4656" s="2" t="b">
        <v>0</v>
      </c>
      <c r="L4656" s="2"/>
      <c r="M4656" s="2"/>
      <c r="N4656" s="4" t="s">
        <v>2273</v>
      </c>
      <c r="O4656" s="4" t="str">
        <f>LEFT(Table2[[#This Row],[Description]],75)</f>
        <v>CONNECTED ANALYT TYPE DIRECT DEP ID CO CONNECTED ANALYT ACH ECC PPD ACH Tra</v>
      </c>
      <c r="P4656" s="2" t="s">
        <v>2536</v>
      </c>
    </row>
    <row r="4657" spans="1:16" hidden="1">
      <c r="A4657" s="2">
        <v>202104</v>
      </c>
      <c r="B4657" s="3">
        <v>44300</v>
      </c>
      <c r="C4657" s="2" t="s">
        <v>2265</v>
      </c>
      <c r="D4657" s="2" t="s">
        <v>623</v>
      </c>
      <c r="E4657" s="2">
        <v>-3052.96</v>
      </c>
      <c r="F4657" s="2" t="e">
        <f>IF(Table2[[#This Row],[Manual Cat Value]]="",VLOOKUP(Table2[[#This Row],[Description]],'Actuals Lookup'!D:F,3,0),Table2[[#This Row],[Manual Cat Value]])</f>
        <v>#N/A</v>
      </c>
      <c r="J4657" s="2">
        <v>3052.96</v>
      </c>
      <c r="K4657" s="2" t="b">
        <v>0</v>
      </c>
      <c r="L4657" s="2"/>
      <c r="M4657" s="2"/>
      <c r="N4657" s="4" t="s">
        <v>2273</v>
      </c>
      <c r="O4657" s="4" t="str">
        <f>LEFT(Table2[[#This Row],[Description]],75)</f>
        <v>CONNECTED ANALYT TYPE DIRECT DEP ID CO CONNECTED ANALYT ACH ECC PPD ACH Tra</v>
      </c>
      <c r="P4657" s="2" t="s">
        <v>2536</v>
      </c>
    </row>
    <row r="4658" spans="1:16" hidden="1">
      <c r="A4658" s="2">
        <v>202104</v>
      </c>
      <c r="B4658" s="3">
        <v>44300</v>
      </c>
      <c r="C4658" s="2" t="s">
        <v>2262</v>
      </c>
      <c r="D4658" s="2" t="s">
        <v>1561</v>
      </c>
      <c r="E4658" s="2">
        <v>116.73</v>
      </c>
      <c r="F4658" s="2" t="e">
        <f>IF(Table2[[#This Row],[Manual Cat Value]]="",VLOOKUP(Table2[[#This Row],[Description]],'Actuals Lookup'!D:F,3,0),Table2[[#This Row],[Manual Cat Value]])</f>
        <v>#N/A</v>
      </c>
      <c r="J4658" s="2">
        <v>116.73</v>
      </c>
      <c r="K4658" s="2" t="b">
        <v>0</v>
      </c>
      <c r="L4658" s="2"/>
      <c r="M4658" s="2"/>
      <c r="N4658" s="4" t="s">
        <v>2259</v>
      </c>
      <c r="O4658" s="4" t="str">
        <f>LEFT(Table2[[#This Row],[Description]],75)</f>
        <v>RED SAUCE RED SAUCE STRIPECOM MN</v>
      </c>
      <c r="P4658" s="2" t="s">
        <v>2281</v>
      </c>
    </row>
    <row r="4659" spans="1:16" hidden="1">
      <c r="A4659" s="2">
        <v>202104</v>
      </c>
      <c r="B4659" s="3">
        <v>44301</v>
      </c>
      <c r="C4659" s="2" t="s">
        <v>2265</v>
      </c>
      <c r="D4659" s="2" t="s">
        <v>430</v>
      </c>
      <c r="E4659" s="2">
        <v>-2168.13</v>
      </c>
      <c r="F4659" s="2" t="e">
        <f>IF(Table2[[#This Row],[Manual Cat Value]]="",VLOOKUP(Table2[[#This Row],[Description]],'Actuals Lookup'!D:F,3,0),Table2[[#This Row],[Manual Cat Value]])</f>
        <v>#N/A</v>
      </c>
      <c r="J4659" s="2">
        <v>2168.13</v>
      </c>
      <c r="K4659" s="2" t="b">
        <v>0</v>
      </c>
      <c r="L4659" s="2"/>
      <c r="M4659" s="2"/>
      <c r="N4659" s="4" t="s">
        <v>2273</v>
      </c>
      <c r="O4659" s="4" t="str">
        <f>LEFT(Table2[[#This Row],[Description]],75)</f>
        <v>CARGILL INCORPOR TYPE DIRECT DEP ID CO CARGILL INCORPOR ACH ECC PPD ACH Tra</v>
      </c>
      <c r="P4659" s="2" t="s">
        <v>2281</v>
      </c>
    </row>
    <row r="4660" spans="1:16" hidden="1">
      <c r="A4660" s="2">
        <v>202104</v>
      </c>
      <c r="B4660" s="3">
        <v>44301</v>
      </c>
      <c r="C4660" s="2" t="s">
        <v>2317</v>
      </c>
      <c r="D4660" s="2" t="s">
        <v>605</v>
      </c>
      <c r="E4660" s="2">
        <v>-250</v>
      </c>
      <c r="F4660" s="2" t="e">
        <f>IF(Table2[[#This Row],[Manual Cat Value]]="",VLOOKUP(Table2[[#This Row],[Description]],'Actuals Lookup'!D:F,3,0),Table2[[#This Row],[Manual Cat Value]])</f>
        <v>#N/A</v>
      </c>
      <c r="J4660" s="2">
        <v>250</v>
      </c>
      <c r="K4660" s="2" t="b">
        <v>0</v>
      </c>
      <c r="L4660" s="2"/>
      <c r="M4660" s="2"/>
      <c r="N4660" s="4" t="s">
        <v>2273</v>
      </c>
      <c r="O4660" s="4" t="str">
        <f>LEFT(Table2[[#This Row],[Description]],75)</f>
        <v>CONNECTED ANALYT</v>
      </c>
      <c r="P4660" s="2" t="s">
        <v>2493</v>
      </c>
    </row>
    <row r="4661" spans="1:16" hidden="1">
      <c r="A4661" s="2">
        <v>202104</v>
      </c>
      <c r="B4661" s="3">
        <v>44301</v>
      </c>
      <c r="C4661" s="2" t="s">
        <v>2435</v>
      </c>
      <c r="D4661" s="2" t="s">
        <v>1836</v>
      </c>
      <c r="E4661" s="2">
        <v>-250</v>
      </c>
      <c r="F4661" s="2" t="e">
        <f>IF(Table2[[#This Row],[Manual Cat Value]]="",VLOOKUP(Table2[[#This Row],[Description]],'Actuals Lookup'!D:F,3,0),Table2[[#This Row],[Manual Cat Value]])</f>
        <v>#N/A</v>
      </c>
      <c r="J4661" s="2">
        <v>250</v>
      </c>
      <c r="K4661" s="2" t="b">
        <v>0</v>
      </c>
      <c r="L4661" s="2"/>
      <c r="M4661" s="2"/>
      <c r="N4661" s="4" t="s">
        <v>2273</v>
      </c>
      <c r="O4661" s="4" t="str">
        <f>LEFT(Table2[[#This Row],[Description]],75)</f>
        <v>Tfr JPMORGAN CHASE BAN, CONNECTED ANALYT</v>
      </c>
      <c r="P4661" s="2" t="s">
        <v>2493</v>
      </c>
    </row>
    <row r="4662" spans="1:16" hidden="1">
      <c r="A4662" s="2">
        <v>202104</v>
      </c>
      <c r="B4662" s="3">
        <v>44302</v>
      </c>
      <c r="C4662" s="2" t="s">
        <v>2265</v>
      </c>
      <c r="D4662" s="2" t="s">
        <v>207</v>
      </c>
      <c r="E4662" s="2">
        <v>151.66999999999999</v>
      </c>
      <c r="F4662" s="2" t="e">
        <f>IF(Table2[[#This Row],[Manual Cat Value]]="",VLOOKUP(Table2[[#This Row],[Description]],'Actuals Lookup'!D:F,3,0),Table2[[#This Row],[Manual Cat Value]])</f>
        <v>#N/A</v>
      </c>
      <c r="J4662" s="2">
        <v>151.66999999999999</v>
      </c>
      <c r="K4662" s="2" t="b">
        <v>0</v>
      </c>
      <c r="L4662" s="2"/>
      <c r="M4662" s="2"/>
      <c r="N4662" s="4" t="s">
        <v>2259</v>
      </c>
      <c r="O4662" s="4" t="str">
        <f>LEFT(Table2[[#This Row],[Description]],75)</f>
        <v>Banana Visa TYPE BR EPAY ID CO Banana Visa ACH ECC WEB ACH Trace 54188</v>
      </c>
      <c r="P4662" s="2" t="s">
        <v>2297</v>
      </c>
    </row>
    <row r="4663" spans="1:16" hidden="1">
      <c r="A4663" s="2">
        <v>202104</v>
      </c>
      <c r="B4663" s="3">
        <v>44302</v>
      </c>
      <c r="C4663" s="2" t="s">
        <v>2434</v>
      </c>
      <c r="D4663" s="2" t="s">
        <v>223</v>
      </c>
      <c r="E4663" s="2">
        <v>-0.09</v>
      </c>
      <c r="F4663" s="2" t="e">
        <f>IF(Table2[[#This Row],[Manual Cat Value]]="",VLOOKUP(Table2[[#This Row],[Description]],'Actuals Lookup'!D:F,3,0),Table2[[#This Row],[Manual Cat Value]])</f>
        <v>#N/A</v>
      </c>
      <c r="J4663" s="2">
        <v>0.09</v>
      </c>
      <c r="K4663" s="2" t="b">
        <v>0</v>
      </c>
      <c r="L4663" s="2"/>
      <c r="M4663" s="2"/>
      <c r="N4663" s="4" t="s">
        <v>2273</v>
      </c>
      <c r="O4663" s="4" t="str">
        <f>LEFT(Table2[[#This Row],[Description]],75)</f>
        <v>BANK INT 031621-041521 SCHWAB PREMIER BANK</v>
      </c>
      <c r="P4663" s="2" t="s">
        <v>2281</v>
      </c>
    </row>
    <row r="4664" spans="1:16" hidden="1">
      <c r="A4664" s="2">
        <v>202104</v>
      </c>
      <c r="B4664" s="3">
        <v>44302</v>
      </c>
      <c r="C4664" s="2" t="s">
        <v>2435</v>
      </c>
      <c r="D4664" s="2" t="s">
        <v>223</v>
      </c>
      <c r="E4664" s="2">
        <v>-0.02</v>
      </c>
      <c r="F4664" s="2" t="e">
        <f>IF(Table2[[#This Row],[Manual Cat Value]]="",VLOOKUP(Table2[[#This Row],[Description]],'Actuals Lookup'!D:F,3,0),Table2[[#This Row],[Manual Cat Value]])</f>
        <v>#N/A</v>
      </c>
      <c r="J4664" s="2">
        <v>0.02</v>
      </c>
      <c r="K4664" s="2" t="b">
        <v>0</v>
      </c>
      <c r="L4664" s="2"/>
      <c r="M4664" s="2"/>
      <c r="N4664" s="4" t="s">
        <v>2273</v>
      </c>
      <c r="O4664" s="4" t="str">
        <f>LEFT(Table2[[#This Row],[Description]],75)</f>
        <v>BANK INT 031621-041521 SCHWAB PREMIER BANK</v>
      </c>
      <c r="P4664" s="2" t="s">
        <v>2281</v>
      </c>
    </row>
    <row r="4665" spans="1:16" hidden="1">
      <c r="A4665" s="2">
        <v>202104</v>
      </c>
      <c r="B4665" s="3">
        <v>44302</v>
      </c>
      <c r="C4665" s="2" t="s">
        <v>2317</v>
      </c>
      <c r="D4665" s="2" t="s">
        <v>424</v>
      </c>
      <c r="E4665" s="2">
        <v>-200</v>
      </c>
      <c r="F4665" s="2" t="e">
        <f>IF(Table2[[#This Row],[Manual Cat Value]]="",VLOOKUP(Table2[[#This Row],[Description]],'Actuals Lookup'!D:F,3,0),Table2[[#This Row],[Manual Cat Value]])</f>
        <v>#N/A</v>
      </c>
      <c r="J4665" s="2">
        <v>200</v>
      </c>
      <c r="K4665" s="2" t="b">
        <v>0</v>
      </c>
      <c r="L4665" s="2"/>
      <c r="M4665" s="2"/>
      <c r="N4665" s="4" t="s">
        <v>2273</v>
      </c>
      <c r="O4665" s="4" t="str">
        <f>LEFT(Table2[[#This Row],[Description]],75)</f>
        <v>CARGILL INCORPOR</v>
      </c>
      <c r="P4665" s="2" t="s">
        <v>2385</v>
      </c>
    </row>
    <row r="4666" spans="1:16" hidden="1">
      <c r="A4666" s="2">
        <v>202104</v>
      </c>
      <c r="B4666" s="3">
        <v>44302</v>
      </c>
      <c r="C4666" s="2" t="s">
        <v>2262</v>
      </c>
      <c r="D4666" s="2" t="s">
        <v>1773</v>
      </c>
      <c r="E4666" s="2">
        <v>10</v>
      </c>
      <c r="F4666" s="2" t="str">
        <f>IF(Table2[[#This Row],[Manual Cat Value]]="",VLOOKUP(Table2[[#This Row],[Description]],'Actuals Lookup'!D:F,3,0),Table2[[#This Row],[Manual Cat Value]])</f>
        <v>Restaurants</v>
      </c>
      <c r="J4666" s="2">
        <v>10</v>
      </c>
      <c r="K4666" s="2" t="b">
        <v>0</v>
      </c>
      <c r="L4666" s="2"/>
      <c r="M4666" s="2"/>
      <c r="N4666" s="4" t="s">
        <v>2259</v>
      </c>
      <c r="O4666" s="4" t="str">
        <f>LEFT(Table2[[#This Row],[Description]],75)</f>
        <v>Starbucks</v>
      </c>
      <c r="P4666" s="2" t="s">
        <v>2454</v>
      </c>
    </row>
    <row r="4667" spans="1:16" hidden="1">
      <c r="A4667" s="2">
        <v>202104</v>
      </c>
      <c r="B4667" s="3">
        <v>44302</v>
      </c>
      <c r="C4667" s="2" t="s">
        <v>2434</v>
      </c>
      <c r="D4667" s="2" t="s">
        <v>1835</v>
      </c>
      <c r="E4667" s="2">
        <v>-231</v>
      </c>
      <c r="F4667" s="2" t="e">
        <f>IF(Table2[[#This Row],[Manual Cat Value]]="",VLOOKUP(Table2[[#This Row],[Description]],'Actuals Lookup'!D:F,3,0),Table2[[#This Row],[Manual Cat Value]])</f>
        <v>#N/A</v>
      </c>
      <c r="J4667" s="2">
        <v>231</v>
      </c>
      <c r="K4667" s="2" t="b">
        <v>0</v>
      </c>
      <c r="L4667" s="2"/>
      <c r="M4667" s="2"/>
      <c r="N4667" s="4" t="s">
        <v>2273</v>
      </c>
      <c r="O4667" s="4" t="str">
        <f>LEFT(Table2[[#This Row],[Description]],75)</f>
        <v>Tfr JPMORGAN CHASE BAN, CARGILL INCORPOR</v>
      </c>
      <c r="P4667" s="2" t="s">
        <v>2281</v>
      </c>
    </row>
    <row r="4668" spans="1:16" hidden="1">
      <c r="A4668" s="2">
        <v>202104</v>
      </c>
      <c r="B4668" s="3">
        <v>44302</v>
      </c>
      <c r="C4668" s="2" t="s">
        <v>2262</v>
      </c>
      <c r="D4668" s="2" t="s">
        <v>1993</v>
      </c>
      <c r="E4668" s="2">
        <v>40.340000000000003</v>
      </c>
      <c r="F4668" s="2" t="e">
        <f>IF(Table2[[#This Row],[Manual Cat Value]]="",VLOOKUP(Table2[[#This Row],[Description]],'Actuals Lookup'!D:F,3,0),Table2[[#This Row],[Manual Cat Value]])</f>
        <v>#N/A</v>
      </c>
      <c r="J4668" s="2">
        <v>40.340000000000003</v>
      </c>
      <c r="K4668" s="2" t="b">
        <v>0</v>
      </c>
      <c r="L4668" s="2"/>
      <c r="M4668" s="2"/>
      <c r="N4668" s="4" t="s">
        <v>2259</v>
      </c>
      <c r="O4668" s="4" t="str">
        <f>LEFT(Table2[[#This Row],[Description]],75)</f>
        <v>TRAVEL GUARD GROUP INC 8779348308 WI</v>
      </c>
      <c r="P4668" s="2" t="s">
        <v>2281</v>
      </c>
    </row>
    <row r="4669" spans="1:16" hidden="1">
      <c r="A4669" s="2">
        <v>202104</v>
      </c>
      <c r="B4669" s="3">
        <v>44303</v>
      </c>
      <c r="C4669" s="2" t="s">
        <v>2447</v>
      </c>
      <c r="D4669" s="2" t="s">
        <v>38</v>
      </c>
      <c r="E4669" s="2">
        <v>23.99</v>
      </c>
      <c r="F4669" s="2" t="str">
        <f>IF(Table2[[#This Row],[Manual Cat Value]]="",VLOOKUP(Table2[[#This Row],[Description]],'Actuals Lookup'!D:F,3,0),Table2[[#This Row],[Manual Cat Value]])</f>
        <v>Amazon</v>
      </c>
      <c r="J4669" s="2">
        <v>23.99</v>
      </c>
      <c r="K4669" s="2" t="b">
        <v>0</v>
      </c>
      <c r="L4669" s="2"/>
      <c r="M4669" s="2"/>
      <c r="N4669" s="4" t="s">
        <v>2259</v>
      </c>
      <c r="O4669" s="4" t="str">
        <f>LEFT(Table2[[#This Row],[Description]],75)</f>
        <v>Amazon</v>
      </c>
      <c r="P4669" s="2" t="s">
        <v>2260</v>
      </c>
    </row>
    <row r="4670" spans="1:16" hidden="1">
      <c r="A4670" s="2">
        <v>202104</v>
      </c>
      <c r="B4670" s="3">
        <v>44303</v>
      </c>
      <c r="C4670" s="2" t="s">
        <v>2258</v>
      </c>
      <c r="D4670" s="2" t="s">
        <v>38</v>
      </c>
      <c r="E4670" s="2">
        <v>23.99</v>
      </c>
      <c r="F4670" s="2" t="str">
        <f>IF(Table2[[#This Row],[Manual Cat Value]]="",VLOOKUP(Table2[[#This Row],[Description]],'Actuals Lookup'!D:F,3,0),Table2[[#This Row],[Manual Cat Value]])</f>
        <v>Amazon</v>
      </c>
      <c r="J4670" s="2">
        <v>23.99</v>
      </c>
      <c r="K4670" s="2" t="b">
        <v>0</v>
      </c>
      <c r="L4670" s="2"/>
      <c r="M4670" s="2"/>
      <c r="N4670" s="4" t="s">
        <v>2259</v>
      </c>
      <c r="O4670" s="4" t="str">
        <f>LEFT(Table2[[#This Row],[Description]],75)</f>
        <v>Amazon</v>
      </c>
      <c r="P4670" s="2" t="s">
        <v>2260</v>
      </c>
    </row>
    <row r="4671" spans="1:16" hidden="1">
      <c r="A4671" s="2">
        <v>202104</v>
      </c>
      <c r="B4671" s="3">
        <v>44303</v>
      </c>
      <c r="C4671" s="2" t="s">
        <v>2447</v>
      </c>
      <c r="D4671" s="2" t="s">
        <v>947</v>
      </c>
      <c r="E4671" s="2">
        <v>106.22</v>
      </c>
      <c r="F4671" s="2" t="e">
        <f>IF(Table2[[#This Row],[Manual Cat Value]]="",VLOOKUP(Table2[[#This Row],[Description]],'Actuals Lookup'!D:F,3,0),Table2[[#This Row],[Manual Cat Value]])</f>
        <v>#N/A</v>
      </c>
      <c r="J4671" s="2">
        <v>106.22</v>
      </c>
      <c r="K4671" s="2" t="b">
        <v>0</v>
      </c>
      <c r="L4671" s="2"/>
      <c r="M4671" s="2"/>
      <c r="N4671" s="4" t="s">
        <v>2259</v>
      </c>
      <c r="O4671" s="4" t="str">
        <f>LEFT(Table2[[#This Row],[Description]],75)</f>
        <v>Home Depot</v>
      </c>
      <c r="P4671" s="2" t="s">
        <v>2396</v>
      </c>
    </row>
    <row r="4672" spans="1:16" hidden="1">
      <c r="A4672" s="2">
        <v>202104</v>
      </c>
      <c r="B4672" s="3">
        <v>44303</v>
      </c>
      <c r="C4672" s="2" t="s">
        <v>2258</v>
      </c>
      <c r="D4672" s="2" t="s">
        <v>947</v>
      </c>
      <c r="E4672" s="2">
        <v>106.22</v>
      </c>
      <c r="F4672" s="2" t="e">
        <f>IF(Table2[[#This Row],[Manual Cat Value]]="",VLOOKUP(Table2[[#This Row],[Description]],'Actuals Lookup'!D:F,3,0),Table2[[#This Row],[Manual Cat Value]])</f>
        <v>#N/A</v>
      </c>
      <c r="J4672" s="2">
        <v>106.22</v>
      </c>
      <c r="K4672" s="2" t="b">
        <v>0</v>
      </c>
      <c r="L4672" s="2"/>
      <c r="M4672" s="2"/>
      <c r="N4672" s="4" t="s">
        <v>2259</v>
      </c>
      <c r="O4672" s="4" t="str">
        <f>LEFT(Table2[[#This Row],[Description]],75)</f>
        <v>Home Depot</v>
      </c>
      <c r="P4672" s="2" t="s">
        <v>2396</v>
      </c>
    </row>
    <row r="4673" spans="1:16" hidden="1">
      <c r="A4673" s="2">
        <v>202104</v>
      </c>
      <c r="B4673" s="3">
        <v>44304</v>
      </c>
      <c r="C4673" s="2" t="s">
        <v>2447</v>
      </c>
      <c r="D4673" s="2" t="s">
        <v>38</v>
      </c>
      <c r="E4673" s="2">
        <v>7.51</v>
      </c>
      <c r="F4673" s="2" t="str">
        <f>IF(Table2[[#This Row],[Manual Cat Value]]="",VLOOKUP(Table2[[#This Row],[Description]],'Actuals Lookup'!D:F,3,0),Table2[[#This Row],[Manual Cat Value]])</f>
        <v>Amazon</v>
      </c>
      <c r="J4673" s="2">
        <v>7.51</v>
      </c>
      <c r="K4673" s="2" t="b">
        <v>0</v>
      </c>
      <c r="L4673" s="2"/>
      <c r="M4673" s="2"/>
      <c r="N4673" s="4" t="s">
        <v>2259</v>
      </c>
      <c r="O4673" s="4" t="str">
        <f>LEFT(Table2[[#This Row],[Description]],75)</f>
        <v>Amazon</v>
      </c>
      <c r="P4673" s="2" t="s">
        <v>2260</v>
      </c>
    </row>
    <row r="4674" spans="1:16" hidden="1">
      <c r="A4674" s="2">
        <v>202104</v>
      </c>
      <c r="B4674" s="3">
        <v>44304</v>
      </c>
      <c r="C4674" s="2" t="s">
        <v>2258</v>
      </c>
      <c r="D4674" s="2" t="s">
        <v>38</v>
      </c>
      <c r="E4674" s="2">
        <v>7.51</v>
      </c>
      <c r="F4674" s="2" t="str">
        <f>IF(Table2[[#This Row],[Manual Cat Value]]="",VLOOKUP(Table2[[#This Row],[Description]],'Actuals Lookup'!D:F,3,0),Table2[[#This Row],[Manual Cat Value]])</f>
        <v>Amazon</v>
      </c>
      <c r="J4674" s="2">
        <v>7.51</v>
      </c>
      <c r="K4674" s="2" t="b">
        <v>0</v>
      </c>
      <c r="L4674" s="2"/>
      <c r="M4674" s="2"/>
      <c r="N4674" s="4" t="s">
        <v>2259</v>
      </c>
      <c r="O4674" s="4" t="str">
        <f>LEFT(Table2[[#This Row],[Description]],75)</f>
        <v>Amazon</v>
      </c>
      <c r="P4674" s="2" t="s">
        <v>2260</v>
      </c>
    </row>
    <row r="4675" spans="1:16" hidden="1">
      <c r="A4675" s="2">
        <v>202104</v>
      </c>
      <c r="B4675" s="3">
        <v>44304</v>
      </c>
      <c r="C4675" s="2" t="s">
        <v>2262</v>
      </c>
      <c r="D4675" s="2" t="s">
        <v>161</v>
      </c>
      <c r="E4675" s="2">
        <v>-98</v>
      </c>
      <c r="F4675" s="2" t="str">
        <f>IF(Table2[[#This Row],[Manual Cat Value]]="",VLOOKUP(Table2[[#This Row],[Description]],'Actuals Lookup'!D:F,3,0),Table2[[#This Row],[Manual Cat Value]])</f>
        <v>Shopping</v>
      </c>
      <c r="J4675" s="2">
        <v>98</v>
      </c>
      <c r="K4675" s="2" t="b">
        <v>0</v>
      </c>
      <c r="L4675" s="2"/>
      <c r="M4675" s="2"/>
      <c r="N4675" s="4" t="s">
        <v>2273</v>
      </c>
      <c r="O4675" s="4" t="str">
        <f>LEFT(Table2[[#This Row],[Description]],75)</f>
        <v>Anthropologie</v>
      </c>
      <c r="P4675" s="2" t="s">
        <v>2281</v>
      </c>
    </row>
    <row r="4676" spans="1:16" hidden="1">
      <c r="A4676" s="2">
        <v>202104</v>
      </c>
      <c r="B4676" s="3">
        <v>44304</v>
      </c>
      <c r="C4676" s="2" t="s">
        <v>2262</v>
      </c>
      <c r="D4676" s="2" t="s">
        <v>1095</v>
      </c>
      <c r="E4676" s="2">
        <v>117.27</v>
      </c>
      <c r="F4676" s="2" t="e">
        <f>IF(Table2[[#This Row],[Manual Cat Value]]="",VLOOKUP(Table2[[#This Row],[Description]],'Actuals Lookup'!D:F,3,0),Table2[[#This Row],[Manual Cat Value]])</f>
        <v>#N/A</v>
      </c>
      <c r="J4676" s="2">
        <v>117.27</v>
      </c>
      <c r="K4676" s="2" t="b">
        <v>0</v>
      </c>
      <c r="L4676" s="2"/>
      <c r="M4676" s="2"/>
      <c r="N4676" s="4" t="s">
        <v>2259</v>
      </c>
      <c r="O4676" s="4" t="str">
        <f>LEFT(Table2[[#This Row],[Description]],75)</f>
        <v>LAKEWINDS CHANHASSEN CHANHASSEN MN</v>
      </c>
      <c r="P4676" s="2" t="s">
        <v>2517</v>
      </c>
    </row>
    <row r="4677" spans="1:16" hidden="1">
      <c r="A4677" s="2">
        <v>202104</v>
      </c>
      <c r="B4677" s="3">
        <v>44304</v>
      </c>
      <c r="C4677" s="2" t="s">
        <v>2262</v>
      </c>
      <c r="D4677" s="2" t="s">
        <v>1719</v>
      </c>
      <c r="E4677" s="2">
        <v>12</v>
      </c>
      <c r="F4677" s="2" t="e">
        <f>IF(Table2[[#This Row],[Manual Cat Value]]="",VLOOKUP(Table2[[#This Row],[Description]],'Actuals Lookup'!D:F,3,0),Table2[[#This Row],[Manual Cat Value]])</f>
        <v>#N/A</v>
      </c>
      <c r="J4677" s="2">
        <v>12</v>
      </c>
      <c r="K4677" s="2" t="b">
        <v>0</v>
      </c>
      <c r="L4677" s="2"/>
      <c r="M4677" s="2"/>
      <c r="N4677" s="4" t="s">
        <v>2259</v>
      </c>
      <c r="O4677" s="4" t="str">
        <f>LEFT(Table2[[#This Row],[Description]],75)</f>
        <v>SQ CHANHASSEN BREWING COChanhassen MN</v>
      </c>
      <c r="P4677" s="2" t="s">
        <v>2281</v>
      </c>
    </row>
    <row r="4678" spans="1:16" hidden="1">
      <c r="A4678" s="2">
        <v>202104</v>
      </c>
      <c r="B4678" s="3">
        <v>44304</v>
      </c>
      <c r="C4678" s="2" t="s">
        <v>2262</v>
      </c>
      <c r="D4678" s="2" t="s">
        <v>1719</v>
      </c>
      <c r="E4678" s="2">
        <v>16.100000000000001</v>
      </c>
      <c r="F4678" s="2" t="e">
        <f>IF(Table2[[#This Row],[Manual Cat Value]]="",VLOOKUP(Table2[[#This Row],[Description]],'Actuals Lookup'!D:F,3,0),Table2[[#This Row],[Manual Cat Value]])</f>
        <v>#N/A</v>
      </c>
      <c r="J4678" s="2">
        <v>16.100000000000001</v>
      </c>
      <c r="K4678" s="2" t="b">
        <v>0</v>
      </c>
      <c r="L4678" s="2"/>
      <c r="M4678" s="2"/>
      <c r="N4678" s="4" t="s">
        <v>2259</v>
      </c>
      <c r="O4678" s="4" t="str">
        <f>LEFT(Table2[[#This Row],[Description]],75)</f>
        <v>SQ CHANHASSEN BREWING COChanhassen MN</v>
      </c>
      <c r="P4678" s="2" t="s">
        <v>2281</v>
      </c>
    </row>
    <row r="4679" spans="1:16" hidden="1">
      <c r="A4679" s="2">
        <v>202104</v>
      </c>
      <c r="B4679" s="3">
        <v>44304</v>
      </c>
      <c r="C4679" s="2" t="s">
        <v>2262</v>
      </c>
      <c r="D4679" s="2" t="s">
        <v>2084</v>
      </c>
      <c r="E4679" s="2">
        <v>310.3</v>
      </c>
      <c r="F4679" s="2" t="e">
        <f>IF(Table2[[#This Row],[Manual Cat Value]]="",VLOOKUP(Table2[[#This Row],[Description]],'Actuals Lookup'!D:F,3,0),Table2[[#This Row],[Manual Cat Value]])</f>
        <v>#N/A</v>
      </c>
      <c r="J4679" s="2">
        <v>310.3</v>
      </c>
      <c r="K4679" s="2" t="b">
        <v>0</v>
      </c>
      <c r="L4679" s="2"/>
      <c r="M4679" s="2"/>
      <c r="N4679" s="4" t="s">
        <v>2259</v>
      </c>
      <c r="O4679" s="4" t="str">
        <f>LEFT(Table2[[#This Row],[Description]],75)</f>
        <v>UNITED 01623443222688009322732 TX</v>
      </c>
      <c r="P4679" s="2" t="s">
        <v>2281</v>
      </c>
    </row>
    <row r="4680" spans="1:16" hidden="1">
      <c r="A4680" s="2">
        <v>202104</v>
      </c>
      <c r="B4680" s="3">
        <v>44304</v>
      </c>
      <c r="C4680" s="2" t="s">
        <v>2262</v>
      </c>
      <c r="D4680" s="2" t="s">
        <v>2085</v>
      </c>
      <c r="E4680" s="2">
        <v>310.3</v>
      </c>
      <c r="F4680" s="2" t="e">
        <f>IF(Table2[[#This Row],[Manual Cat Value]]="",VLOOKUP(Table2[[#This Row],[Description]],'Actuals Lookup'!D:F,3,0),Table2[[#This Row],[Manual Cat Value]])</f>
        <v>#N/A</v>
      </c>
      <c r="J4680" s="2">
        <v>310.3</v>
      </c>
      <c r="K4680" s="2" t="b">
        <v>0</v>
      </c>
      <c r="L4680" s="2"/>
      <c r="M4680" s="2"/>
      <c r="N4680" s="4" t="s">
        <v>2259</v>
      </c>
      <c r="O4680" s="4" t="str">
        <f>LEFT(Table2[[#This Row],[Description]],75)</f>
        <v>UNITED 01623443222698009322732 TX</v>
      </c>
      <c r="P4680" s="2" t="s">
        <v>2281</v>
      </c>
    </row>
    <row r="4681" spans="1:16" hidden="1">
      <c r="A4681" s="2">
        <v>202104</v>
      </c>
      <c r="B4681" s="3">
        <v>44305</v>
      </c>
      <c r="C4681" s="2" t="s">
        <v>2338</v>
      </c>
      <c r="D4681" s="2" t="s">
        <v>403</v>
      </c>
      <c r="E4681" s="2">
        <v>-1265.04</v>
      </c>
      <c r="F4681" s="2" t="e">
        <f>IF(Table2[[#This Row],[Manual Cat Value]]="",VLOOKUP(Table2[[#This Row],[Description]],'Actuals Lookup'!D:F,3,0),Table2[[#This Row],[Manual Cat Value]])</f>
        <v>#N/A</v>
      </c>
      <c r="J4681" s="2">
        <v>1265.04</v>
      </c>
      <c r="K4681" s="2" t="b">
        <v>0</v>
      </c>
      <c r="L4681" s="2"/>
      <c r="M4681" s="2"/>
      <c r="N4681" s="4" t="s">
        <v>2273</v>
      </c>
      <c r="O4681" s="4" t="str">
        <f>LEFT(Table2[[#This Row],[Description]],75)</f>
        <v>Cargill ESOP Stock Fund - Plan Contribution</v>
      </c>
      <c r="P4681" s="2" t="s">
        <v>2451</v>
      </c>
    </row>
    <row r="4682" spans="1:16" hidden="1">
      <c r="A4682" s="2">
        <v>202104</v>
      </c>
      <c r="B4682" s="3">
        <v>44305</v>
      </c>
      <c r="C4682" s="2" t="s">
        <v>2265</v>
      </c>
      <c r="D4682" s="2" t="s">
        <v>1303</v>
      </c>
      <c r="E4682" s="2">
        <v>200</v>
      </c>
      <c r="F4682" s="2" t="e">
        <f>IF(Table2[[#This Row],[Manual Cat Value]]="",VLOOKUP(Table2[[#This Row],[Description]],'Actuals Lookup'!D:F,3,0),Table2[[#This Row],[Manual Cat Value]])</f>
        <v>#N/A</v>
      </c>
      <c r="J4682" s="2">
        <v>200</v>
      </c>
      <c r="K4682" s="2" t="b">
        <v>0</v>
      </c>
      <c r="L4682" s="2"/>
      <c r="M4682" s="2"/>
      <c r="N4682" s="4" t="s">
        <v>2259</v>
      </c>
      <c r="O4682" s="4" t="str">
        <f>LEFT(Table2[[#This Row],[Description]],75)</f>
        <v>MN DIR ACH TYPE CONTRIB ID CO MN MN DIR ACH TYPE CONTRIB ID CO MN DIR ACH A</v>
      </c>
      <c r="P4682" s="2" t="s">
        <v>2469</v>
      </c>
    </row>
    <row r="4683" spans="1:16" hidden="1">
      <c r="A4683" s="2">
        <v>202104</v>
      </c>
      <c r="B4683" s="3">
        <v>44305</v>
      </c>
      <c r="C4683" s="2" t="s">
        <v>2434</v>
      </c>
      <c r="D4683" s="2" t="s">
        <v>1633</v>
      </c>
      <c r="E4683" s="2">
        <v>1000</v>
      </c>
      <c r="F4683" s="2" t="e">
        <f>IF(Table2[[#This Row],[Manual Cat Value]]="",VLOOKUP(Table2[[#This Row],[Description]],'Actuals Lookup'!D:F,3,0),Table2[[#This Row],[Manual Cat Value]])</f>
        <v>#N/A</v>
      </c>
      <c r="J4683" s="2">
        <v>1000</v>
      </c>
      <c r="K4683" s="2" t="b">
        <v>0</v>
      </c>
      <c r="L4683" s="2"/>
      <c r="M4683" s="2"/>
      <c r="N4683" s="4" t="s">
        <v>2259</v>
      </c>
      <c r="O4683" s="4" t="str">
        <f>LEFT(Table2[[#This Row],[Description]],75)</f>
        <v>SCHWAB S&amp;P 500 INDEX FD</v>
      </c>
      <c r="P4683" s="2" t="s">
        <v>2276</v>
      </c>
    </row>
    <row r="4684" spans="1:16" hidden="1">
      <c r="A4684" s="2">
        <v>202104</v>
      </c>
      <c r="B4684" s="3">
        <v>44306</v>
      </c>
      <c r="C4684" s="2" t="s">
        <v>2262</v>
      </c>
      <c r="D4684" s="2" t="s">
        <v>674</v>
      </c>
      <c r="E4684" s="2">
        <v>-862.69</v>
      </c>
      <c r="F4684" s="2" t="e">
        <f>IF(Table2[[#This Row],[Manual Cat Value]]="",VLOOKUP(Table2[[#This Row],[Description]],'Actuals Lookup'!D:F,3,0),Table2[[#This Row],[Manual Cat Value]])</f>
        <v>#N/A</v>
      </c>
      <c r="J4684" s="2">
        <v>862.69</v>
      </c>
      <c r="K4684" s="2" t="b">
        <v>0</v>
      </c>
      <c r="L4684" s="2"/>
      <c r="M4684" s="2"/>
      <c r="N4684" s="4" t="s">
        <v>2273</v>
      </c>
      <c r="O4684" s="4" t="str">
        <f>LEFT(Table2[[#This Row],[Description]],75)</f>
        <v>Credit Card Payment Received PAYMENT THANK YOU</v>
      </c>
      <c r="P4684" s="2" t="s">
        <v>2391</v>
      </c>
    </row>
    <row r="4685" spans="1:16" hidden="1">
      <c r="A4685" s="2">
        <v>202104</v>
      </c>
      <c r="B4685" s="3">
        <v>44306</v>
      </c>
      <c r="C4685" s="2" t="s">
        <v>2447</v>
      </c>
      <c r="D4685" s="2" t="s">
        <v>997</v>
      </c>
      <c r="E4685" s="2">
        <v>-239.88</v>
      </c>
      <c r="F4685" s="2" t="str">
        <f>IF(Table2[[#This Row],[Manual Cat Value]]="",VLOOKUP(Table2[[#This Row],[Description]],'Actuals Lookup'!D:F,3,0),Table2[[#This Row],[Manual Cat Value]])</f>
        <v>Delete</v>
      </c>
      <c r="J4685" s="2">
        <v>239.88</v>
      </c>
      <c r="K4685" s="2" t="b">
        <v>0</v>
      </c>
      <c r="L4685" s="2"/>
      <c r="M4685" s="2"/>
      <c r="N4685" s="4" t="s">
        <v>2273</v>
      </c>
      <c r="O4685" s="4" t="str">
        <f>LEFT(Table2[[#This Row],[Description]],75)</f>
        <v>INTERNET PAYMENT - THANK YOU</v>
      </c>
      <c r="P4685" s="2" t="s">
        <v>2291</v>
      </c>
    </row>
    <row r="4686" spans="1:16" hidden="1">
      <c r="A4686" s="2">
        <v>202104</v>
      </c>
      <c r="B4686" s="3">
        <v>44306</v>
      </c>
      <c r="C4686" s="2" t="s">
        <v>2258</v>
      </c>
      <c r="D4686" s="2" t="s">
        <v>997</v>
      </c>
      <c r="E4686" s="2">
        <v>-239.88</v>
      </c>
      <c r="F4686" s="2" t="str">
        <f>IF(Table2[[#This Row],[Manual Cat Value]]="",VLOOKUP(Table2[[#This Row],[Description]],'Actuals Lookup'!D:F,3,0),Table2[[#This Row],[Manual Cat Value]])</f>
        <v>Delete</v>
      </c>
      <c r="J4686" s="2">
        <v>239.88</v>
      </c>
      <c r="K4686" s="2" t="b">
        <v>0</v>
      </c>
      <c r="L4686" s="2"/>
      <c r="M4686" s="2"/>
      <c r="N4686" s="4" t="s">
        <v>2273</v>
      </c>
      <c r="O4686" s="4" t="str">
        <f>LEFT(Table2[[#This Row],[Description]],75)</f>
        <v>INTERNET PAYMENT - THANK YOU</v>
      </c>
      <c r="P4686" s="2" t="s">
        <v>2291</v>
      </c>
    </row>
    <row r="4687" spans="1:16" hidden="1">
      <c r="A4687" s="2">
        <v>202104</v>
      </c>
      <c r="B4687" s="3">
        <v>44306</v>
      </c>
      <c r="C4687" s="2" t="s">
        <v>2265</v>
      </c>
      <c r="D4687" s="2" t="s">
        <v>2203</v>
      </c>
      <c r="E4687" s="2">
        <v>862.69</v>
      </c>
      <c r="F4687" s="2" t="e">
        <f>IF(Table2[[#This Row],[Manual Cat Value]]="",VLOOKUP(Table2[[#This Row],[Description]],'Actuals Lookup'!D:F,3,0),Table2[[#This Row],[Manual Cat Value]])</f>
        <v>#N/A</v>
      </c>
      <c r="J4687" s="2">
        <v>862.69</v>
      </c>
      <c r="K4687" s="2" t="b">
        <v>0</v>
      </c>
      <c r="L4687" s="2"/>
      <c r="M4687" s="2"/>
      <c r="N4687" s="4" t="s">
        <v>2259</v>
      </c>
      <c r="O4687" s="4" t="str">
        <f>LEFT(Table2[[#This Row],[Description]],75)</f>
        <v>Withdrawal Home payment to card XX91 Withdrawal Home payment to card 979181</v>
      </c>
      <c r="P4687" s="2" t="s">
        <v>2349</v>
      </c>
    </row>
    <row r="4688" spans="1:16" hidden="1">
      <c r="A4688" s="2">
        <v>202104</v>
      </c>
      <c r="B4688" s="3">
        <v>44306</v>
      </c>
      <c r="C4688" s="2" t="s">
        <v>2447</v>
      </c>
      <c r="D4688" s="2" t="s">
        <v>38</v>
      </c>
      <c r="E4688" s="2">
        <v>-8.58</v>
      </c>
      <c r="F4688" s="2" t="str">
        <f>IF(Table2[[#This Row],[Manual Cat Value]]="",VLOOKUP(Table2[[#This Row],[Description]],'Actuals Lookup'!D:F,3,0),Table2[[#This Row],[Manual Cat Value]])</f>
        <v>Amazon</v>
      </c>
      <c r="J4688" s="2">
        <v>8.58</v>
      </c>
      <c r="K4688" s="2" t="b">
        <v>0</v>
      </c>
      <c r="L4688" s="2"/>
      <c r="M4688" s="2"/>
      <c r="N4688" s="4" t="s">
        <v>2273</v>
      </c>
      <c r="O4688" s="4" t="str">
        <f>LEFT(Table2[[#This Row],[Description]],75)</f>
        <v>Amazon</v>
      </c>
      <c r="P4688" s="2" t="s">
        <v>2260</v>
      </c>
    </row>
    <row r="4689" spans="1:16" hidden="1">
      <c r="A4689" s="2">
        <v>202104</v>
      </c>
      <c r="B4689" s="3">
        <v>44306</v>
      </c>
      <c r="C4689" s="2" t="s">
        <v>2258</v>
      </c>
      <c r="D4689" s="2" t="s">
        <v>38</v>
      </c>
      <c r="E4689" s="2">
        <v>-8.58</v>
      </c>
      <c r="F4689" s="2" t="str">
        <f>IF(Table2[[#This Row],[Manual Cat Value]]="",VLOOKUP(Table2[[#This Row],[Description]],'Actuals Lookup'!D:F,3,0),Table2[[#This Row],[Manual Cat Value]])</f>
        <v>Amazon</v>
      </c>
      <c r="J4689" s="2">
        <v>8.58</v>
      </c>
      <c r="K4689" s="2" t="b">
        <v>0</v>
      </c>
      <c r="L4689" s="2"/>
      <c r="M4689" s="2"/>
      <c r="N4689" s="4" t="s">
        <v>2273</v>
      </c>
      <c r="O4689" s="4" t="str">
        <f>LEFT(Table2[[#This Row],[Description]],75)</f>
        <v>Amazon</v>
      </c>
      <c r="P4689" s="2" t="s">
        <v>2260</v>
      </c>
    </row>
    <row r="4690" spans="1:16" hidden="1">
      <c r="A4690" s="2">
        <v>202104</v>
      </c>
      <c r="B4690" s="3">
        <v>44306</v>
      </c>
      <c r="C4690" s="2" t="s">
        <v>2265</v>
      </c>
      <c r="D4690" s="2" t="s">
        <v>604</v>
      </c>
      <c r="E4690" s="2">
        <v>-6.89</v>
      </c>
      <c r="F4690" s="2" t="e">
        <f>IF(Table2[[#This Row],[Manual Cat Value]]="",VLOOKUP(Table2[[#This Row],[Description]],'Actuals Lookup'!D:F,3,0),Table2[[#This Row],[Manual Cat Value]])</f>
        <v>#N/A</v>
      </c>
      <c r="J4690" s="2">
        <v>6.89</v>
      </c>
      <c r="K4690" s="2" t="b">
        <v>0</v>
      </c>
      <c r="L4690" s="2"/>
      <c r="M4690" s="2"/>
      <c r="N4690" s="4" t="s">
        <v>2273</v>
      </c>
      <c r="O4690" s="4" t="str">
        <f>LEFT(Table2[[#This Row],[Description]],75)</f>
        <v>Connect Your Care Deposit connectyourcare TYPE SVBCLAIMS ID E942875288 CO c</v>
      </c>
      <c r="P4690" s="2" t="s">
        <v>2281</v>
      </c>
    </row>
    <row r="4691" spans="1:16" hidden="1">
      <c r="A4691" s="2">
        <v>202104</v>
      </c>
      <c r="B4691" s="3">
        <v>44306</v>
      </c>
      <c r="C4691" s="2" t="s">
        <v>2265</v>
      </c>
      <c r="D4691" s="2" t="s">
        <v>1196</v>
      </c>
      <c r="E4691" s="2">
        <v>425</v>
      </c>
      <c r="F4691" s="2" t="e">
        <f>IF(Table2[[#This Row],[Manual Cat Value]]="",VLOOKUP(Table2[[#This Row],[Description]],'Actuals Lookup'!D:F,3,0),Table2[[#This Row],[Manual Cat Value]])</f>
        <v>#N/A</v>
      </c>
      <c r="J4691" s="2">
        <v>425</v>
      </c>
      <c r="K4691" s="2" t="b">
        <v>0</v>
      </c>
      <c r="L4691" s="2"/>
      <c r="M4691" s="2"/>
      <c r="N4691" s="4" t="s">
        <v>2259</v>
      </c>
      <c r="O4691" s="4" t="str">
        <f>LEFT(Table2[[#This Row],[Description]],75)</f>
        <v>MHCHILDCARELLC TYPE DUES ID CO M MHCHILDCARELLC TYPE DUES ID CO MHCHILDCARE</v>
      </c>
      <c r="P4691" s="2" t="s">
        <v>2497</v>
      </c>
    </row>
    <row r="4692" spans="1:16" hidden="1">
      <c r="A4692" s="2">
        <v>202104</v>
      </c>
      <c r="B4692" s="3">
        <v>44306</v>
      </c>
      <c r="C4692" s="2" t="s">
        <v>2317</v>
      </c>
      <c r="D4692" s="2" t="s">
        <v>1633</v>
      </c>
      <c r="E4692" s="2">
        <v>200</v>
      </c>
      <c r="F4692" s="2" t="e">
        <f>IF(Table2[[#This Row],[Manual Cat Value]]="",VLOOKUP(Table2[[#This Row],[Description]],'Actuals Lookup'!D:F,3,0),Table2[[#This Row],[Manual Cat Value]])</f>
        <v>#N/A</v>
      </c>
      <c r="J4692" s="2">
        <v>200</v>
      </c>
      <c r="K4692" s="2" t="b">
        <v>0</v>
      </c>
      <c r="L4692" s="2"/>
      <c r="M4692" s="2"/>
      <c r="N4692" s="4" t="s">
        <v>2259</v>
      </c>
      <c r="O4692" s="4" t="str">
        <f>LEFT(Table2[[#This Row],[Description]],75)</f>
        <v>SCHWAB S&amp;P 500 INDEX FD</v>
      </c>
      <c r="P4692" s="2" t="s">
        <v>2276</v>
      </c>
    </row>
    <row r="4693" spans="1:16" hidden="1">
      <c r="A4693" s="2">
        <v>202104</v>
      </c>
      <c r="B4693" s="3">
        <v>44306</v>
      </c>
      <c r="C4693" s="2" t="s">
        <v>2317</v>
      </c>
      <c r="D4693" s="2" t="s">
        <v>1635</v>
      </c>
      <c r="E4693" s="2">
        <v>200</v>
      </c>
      <c r="F4693" s="2" t="e">
        <f>IF(Table2[[#This Row],[Manual Cat Value]]="",VLOOKUP(Table2[[#This Row],[Description]],'Actuals Lookup'!D:F,3,0),Table2[[#This Row],[Manual Cat Value]])</f>
        <v>#N/A</v>
      </c>
      <c r="J4693" s="2">
        <v>200</v>
      </c>
      <c r="K4693" s="2" t="b">
        <v>0</v>
      </c>
      <c r="L4693" s="2"/>
      <c r="M4693" s="2"/>
      <c r="N4693" s="4" t="s">
        <v>2259</v>
      </c>
      <c r="O4693" s="4" t="str">
        <f>LEFT(Table2[[#This Row],[Description]],75)</f>
        <v>SCHWAB TOTAL STOCK MKT INDEX</v>
      </c>
      <c r="P4693" s="2" t="s">
        <v>2278</v>
      </c>
    </row>
    <row r="4694" spans="1:16" hidden="1">
      <c r="A4694" s="2">
        <v>202104</v>
      </c>
      <c r="B4694" s="3">
        <v>44307</v>
      </c>
      <c r="C4694" s="2" t="s">
        <v>2265</v>
      </c>
      <c r="D4694" s="2" t="s">
        <v>745</v>
      </c>
      <c r="E4694" s="2">
        <v>239.88</v>
      </c>
      <c r="F4694" s="2" t="e">
        <f>IF(Table2[[#This Row],[Manual Cat Value]]="",VLOOKUP(Table2[[#This Row],[Description]],'Actuals Lookup'!D:F,3,0),Table2[[#This Row],[Manual Cat Value]])</f>
        <v>#N/A</v>
      </c>
      <c r="J4694" s="2">
        <v>239.88</v>
      </c>
      <c r="K4694" s="2" t="b">
        <v>0</v>
      </c>
      <c r="L4694" s="2"/>
      <c r="M4694" s="2"/>
      <c r="N4694" s="4" t="s">
        <v>2259</v>
      </c>
      <c r="O4694" s="4" t="str">
        <f>LEFT(Table2[[#This Row],[Description]],75)</f>
        <v>Discover Bank DISCOVER TYPE EPAYMENT ID CO DISCOVER ACH ECC WEB ACH Trace 8</v>
      </c>
      <c r="P4694" s="2" t="s">
        <v>2293</v>
      </c>
    </row>
    <row r="4695" spans="1:16" hidden="1">
      <c r="A4695" s="2">
        <v>202104</v>
      </c>
      <c r="B4695" s="3">
        <v>44307</v>
      </c>
      <c r="C4695" s="2" t="s">
        <v>2447</v>
      </c>
      <c r="D4695" s="2" t="s">
        <v>38</v>
      </c>
      <c r="E4695" s="2">
        <v>19.95</v>
      </c>
      <c r="F4695" s="2" t="str">
        <f>IF(Table2[[#This Row],[Manual Cat Value]]="",VLOOKUP(Table2[[#This Row],[Description]],'Actuals Lookup'!D:F,3,0),Table2[[#This Row],[Manual Cat Value]])</f>
        <v>Amazon</v>
      </c>
      <c r="J4695" s="2">
        <v>19.95</v>
      </c>
      <c r="K4695" s="2" t="b">
        <v>0</v>
      </c>
      <c r="L4695" s="2"/>
      <c r="M4695" s="2"/>
      <c r="N4695" s="4" t="s">
        <v>2259</v>
      </c>
      <c r="O4695" s="4" t="str">
        <f>LEFT(Table2[[#This Row],[Description]],75)</f>
        <v>Amazon</v>
      </c>
      <c r="P4695" s="2" t="s">
        <v>2260</v>
      </c>
    </row>
    <row r="4696" spans="1:16" hidden="1">
      <c r="A4696" s="2">
        <v>202104</v>
      </c>
      <c r="B4696" s="3">
        <v>44307</v>
      </c>
      <c r="C4696" s="2" t="s">
        <v>2447</v>
      </c>
      <c r="D4696" s="2" t="s">
        <v>38</v>
      </c>
      <c r="E4696" s="2">
        <v>125.69</v>
      </c>
      <c r="F4696" s="2" t="str">
        <f>IF(Table2[[#This Row],[Manual Cat Value]]="",VLOOKUP(Table2[[#This Row],[Description]],'Actuals Lookup'!D:F,3,0),Table2[[#This Row],[Manual Cat Value]])</f>
        <v>Amazon</v>
      </c>
      <c r="J4696" s="2">
        <v>125.69</v>
      </c>
      <c r="K4696" s="2" t="b">
        <v>0</v>
      </c>
      <c r="L4696" s="2"/>
      <c r="M4696" s="2"/>
      <c r="N4696" s="4" t="s">
        <v>2259</v>
      </c>
      <c r="O4696" s="4" t="str">
        <f>LEFT(Table2[[#This Row],[Description]],75)</f>
        <v>Amazon</v>
      </c>
      <c r="P4696" s="2" t="s">
        <v>2260</v>
      </c>
    </row>
    <row r="4697" spans="1:16" hidden="1">
      <c r="A4697" s="2">
        <v>202104</v>
      </c>
      <c r="B4697" s="3">
        <v>44307</v>
      </c>
      <c r="C4697" s="2" t="s">
        <v>2258</v>
      </c>
      <c r="D4697" s="2" t="s">
        <v>38</v>
      </c>
      <c r="E4697" s="2">
        <v>19.95</v>
      </c>
      <c r="F4697" s="2" t="str">
        <f>IF(Table2[[#This Row],[Manual Cat Value]]="",VLOOKUP(Table2[[#This Row],[Description]],'Actuals Lookup'!D:F,3,0),Table2[[#This Row],[Manual Cat Value]])</f>
        <v>Amazon</v>
      </c>
      <c r="J4697" s="2">
        <v>19.95</v>
      </c>
      <c r="K4697" s="2" t="b">
        <v>0</v>
      </c>
      <c r="L4697" s="2"/>
      <c r="M4697" s="2"/>
      <c r="N4697" s="4" t="s">
        <v>2259</v>
      </c>
      <c r="O4697" s="4" t="str">
        <f>LEFT(Table2[[#This Row],[Description]],75)</f>
        <v>Amazon</v>
      </c>
      <c r="P4697" s="2" t="s">
        <v>2260</v>
      </c>
    </row>
    <row r="4698" spans="1:16" hidden="1">
      <c r="A4698" s="2">
        <v>202104</v>
      </c>
      <c r="B4698" s="3">
        <v>44307</v>
      </c>
      <c r="C4698" s="2" t="s">
        <v>2258</v>
      </c>
      <c r="D4698" s="2" t="s">
        <v>38</v>
      </c>
      <c r="E4698" s="2">
        <v>125.69</v>
      </c>
      <c r="F4698" s="2" t="str">
        <f>IF(Table2[[#This Row],[Manual Cat Value]]="",VLOOKUP(Table2[[#This Row],[Description]],'Actuals Lookup'!D:F,3,0),Table2[[#This Row],[Manual Cat Value]])</f>
        <v>Amazon</v>
      </c>
      <c r="J4698" s="2">
        <v>125.69</v>
      </c>
      <c r="K4698" s="2" t="b">
        <v>0</v>
      </c>
      <c r="L4698" s="2"/>
      <c r="M4698" s="2"/>
      <c r="N4698" s="4" t="s">
        <v>2259</v>
      </c>
      <c r="O4698" s="4" t="str">
        <f>LEFT(Table2[[#This Row],[Description]],75)</f>
        <v>Amazon</v>
      </c>
      <c r="P4698" s="2" t="s">
        <v>2260</v>
      </c>
    </row>
    <row r="4699" spans="1:16" hidden="1">
      <c r="A4699" s="2">
        <v>202104</v>
      </c>
      <c r="B4699" s="3">
        <v>44307</v>
      </c>
      <c r="C4699" s="2" t="s">
        <v>2262</v>
      </c>
      <c r="D4699" s="2" t="s">
        <v>310</v>
      </c>
      <c r="E4699" s="2">
        <v>9</v>
      </c>
      <c r="F4699" s="2" t="e">
        <f>IF(Table2[[#This Row],[Manual Cat Value]]="",VLOOKUP(Table2[[#This Row],[Description]],'Actuals Lookup'!D:F,3,0),Table2[[#This Row],[Manual Cat Value]])</f>
        <v>#N/A</v>
      </c>
      <c r="J4699" s="2">
        <v>9</v>
      </c>
      <c r="K4699" s="2" t="b">
        <v>0</v>
      </c>
      <c r="L4699" s="2"/>
      <c r="M4699" s="2"/>
      <c r="N4699" s="4" t="s">
        <v>2259</v>
      </c>
      <c r="O4699" s="4" t="str">
        <f>LEFT(Table2[[#This Row],[Description]],75)</f>
        <v>BONFES PLUMBING HEATING ASOUTH SAINT PMN</v>
      </c>
      <c r="P4699" s="2" t="s">
        <v>2537</v>
      </c>
    </row>
    <row r="4700" spans="1:16" hidden="1">
      <c r="A4700" s="2">
        <v>202104</v>
      </c>
      <c r="B4700" s="3">
        <v>44307</v>
      </c>
      <c r="C4700" s="2" t="s">
        <v>2265</v>
      </c>
      <c r="D4700" s="2" t="s">
        <v>557</v>
      </c>
      <c r="E4700" s="2">
        <v>107.8</v>
      </c>
      <c r="F4700" s="2" t="e">
        <f>IF(Table2[[#This Row],[Manual Cat Value]]="",VLOOKUP(Table2[[#This Row],[Description]],'Actuals Lookup'!D:F,3,0),Table2[[#This Row],[Manual Cat Value]])</f>
        <v>#N/A</v>
      </c>
      <c r="J4700" s="2">
        <v>107.8</v>
      </c>
      <c r="K4700" s="2" t="b">
        <v>0</v>
      </c>
      <c r="L4700" s="2"/>
      <c r="M4700" s="2"/>
      <c r="N4700" s="4" t="s">
        <v>2259</v>
      </c>
      <c r="O4700" s="4" t="str">
        <f>LEFT(Table2[[#This Row],[Description]],75)</f>
        <v>City of Chanhassen</v>
      </c>
      <c r="P4700" s="2" t="s">
        <v>2298</v>
      </c>
    </row>
    <row r="4701" spans="1:16" hidden="1">
      <c r="A4701" s="2">
        <v>202104</v>
      </c>
      <c r="B4701" s="3">
        <v>44307</v>
      </c>
      <c r="C4701" s="2" t="s">
        <v>2262</v>
      </c>
      <c r="D4701" s="2" t="s">
        <v>857</v>
      </c>
      <c r="E4701" s="2">
        <v>26.85</v>
      </c>
      <c r="F4701" s="2" t="e">
        <f>IF(Table2[[#This Row],[Manual Cat Value]]="",VLOOKUP(Table2[[#This Row],[Description]],'Actuals Lookup'!D:F,3,0),Table2[[#This Row],[Manual Cat Value]])</f>
        <v>#N/A</v>
      </c>
      <c r="J4701" s="2">
        <v>26.85</v>
      </c>
      <c r="K4701" s="2" t="b">
        <v>0</v>
      </c>
      <c r="L4701" s="2"/>
      <c r="M4701" s="2"/>
      <c r="N4701" s="4" t="s">
        <v>2259</v>
      </c>
      <c r="O4701" s="4" t="str">
        <f>LEFT(Table2[[#This Row],[Description]],75)</f>
        <v>FREEWHEEL EDEN PRAIRIE XX2223 MN FREEWHEEL EDEN PRAIRIE 6123392223 MN</v>
      </c>
      <c r="P4701" s="2" t="s">
        <v>2281</v>
      </c>
    </row>
    <row r="4702" spans="1:16" hidden="1">
      <c r="A4702" s="2">
        <v>202104</v>
      </c>
      <c r="B4702" s="3">
        <v>44308</v>
      </c>
      <c r="C4702" s="2" t="s">
        <v>2447</v>
      </c>
      <c r="D4702" s="2" t="s">
        <v>1083</v>
      </c>
      <c r="E4702" s="2">
        <v>27.52</v>
      </c>
      <c r="F4702" s="2" t="str">
        <f>IF(Table2[[#This Row],[Manual Cat Value]]="",VLOOKUP(Table2[[#This Row],[Description]],'Actuals Lookup'!D:F,3,0),Table2[[#This Row],[Manual Cat Value]])</f>
        <v>Transportation</v>
      </c>
      <c r="J4702" s="2">
        <v>27.52</v>
      </c>
      <c r="K4702" s="2" t="b">
        <v>0</v>
      </c>
      <c r="L4702" s="2"/>
      <c r="M4702" s="2"/>
      <c r="N4702" s="4" t="s">
        <v>2259</v>
      </c>
      <c r="O4702" s="4" t="str">
        <f>LEFT(Table2[[#This Row],[Description]],75)</f>
        <v>Kwik Trip</v>
      </c>
      <c r="P4702" s="2" t="s">
        <v>2509</v>
      </c>
    </row>
    <row r="4703" spans="1:16" hidden="1">
      <c r="A4703" s="2">
        <v>202104</v>
      </c>
      <c r="B4703" s="3">
        <v>44308</v>
      </c>
      <c r="C4703" s="2" t="s">
        <v>2258</v>
      </c>
      <c r="D4703" s="2" t="s">
        <v>1083</v>
      </c>
      <c r="E4703" s="2">
        <v>27.52</v>
      </c>
      <c r="F4703" s="2" t="str">
        <f>IF(Table2[[#This Row],[Manual Cat Value]]="",VLOOKUP(Table2[[#This Row],[Description]],'Actuals Lookup'!D:F,3,0),Table2[[#This Row],[Manual Cat Value]])</f>
        <v>Transportation</v>
      </c>
      <c r="J4703" s="2">
        <v>27.52</v>
      </c>
      <c r="K4703" s="2" t="b">
        <v>0</v>
      </c>
      <c r="L4703" s="2"/>
      <c r="M4703" s="2"/>
      <c r="N4703" s="4" t="s">
        <v>2259</v>
      </c>
      <c r="O4703" s="4" t="str">
        <f>LEFT(Table2[[#This Row],[Description]],75)</f>
        <v>Kwik Trip</v>
      </c>
      <c r="P4703" s="2" t="s">
        <v>2509</v>
      </c>
    </row>
    <row r="4704" spans="1:16" hidden="1">
      <c r="A4704" s="2">
        <v>202104</v>
      </c>
      <c r="B4704" s="3">
        <v>44308</v>
      </c>
      <c r="C4704" s="2" t="s">
        <v>2262</v>
      </c>
      <c r="D4704" s="2" t="s">
        <v>1190</v>
      </c>
      <c r="E4704" s="2">
        <v>217</v>
      </c>
      <c r="F4704" s="2" t="e">
        <f>IF(Table2[[#This Row],[Manual Cat Value]]="",VLOOKUP(Table2[[#This Row],[Description]],'Actuals Lookup'!D:F,3,0),Table2[[#This Row],[Manual Cat Value]])</f>
        <v>#N/A</v>
      </c>
      <c r="J4704" s="2">
        <v>217</v>
      </c>
      <c r="K4704" s="2" t="b">
        <v>0</v>
      </c>
      <c r="L4704" s="2"/>
      <c r="M4704" s="2"/>
      <c r="N4704" s="4" t="s">
        <v>2259</v>
      </c>
      <c r="O4704" s="4" t="str">
        <f>LEFT(Table2[[#This Row],[Description]],75)</f>
        <v>MEDTRONIC TWIN CITIES HTTPSRACER MEDTRONIC TWIN CITIES HTTPSRACEROSTMA</v>
      </c>
      <c r="P4704" s="2" t="s">
        <v>2281</v>
      </c>
    </row>
    <row r="4705" spans="1:16" hidden="1">
      <c r="A4705" s="2">
        <v>202104</v>
      </c>
      <c r="B4705" s="3">
        <v>44311</v>
      </c>
      <c r="C4705" s="2" t="s">
        <v>2262</v>
      </c>
      <c r="D4705" s="2" t="s">
        <v>684</v>
      </c>
      <c r="E4705" s="2">
        <v>60.7</v>
      </c>
      <c r="F4705" s="2" t="str">
        <f>IF(Table2[[#This Row],[Manual Cat Value]]="",VLOOKUP(Table2[[#This Row],[Description]],'Actuals Lookup'!D:F,3,0),Table2[[#This Row],[Manual Cat Value]])</f>
        <v>Groceries</v>
      </c>
      <c r="J4705" s="2">
        <v>60.7</v>
      </c>
      <c r="K4705" s="2" t="b">
        <v>0</v>
      </c>
      <c r="L4705" s="2"/>
      <c r="M4705" s="2"/>
      <c r="N4705" s="4" t="s">
        <v>2259</v>
      </c>
      <c r="O4705" s="4" t="str">
        <f>LEFT(Table2[[#This Row],[Description]],75)</f>
        <v>Cub Foods</v>
      </c>
      <c r="P4705" s="2" t="s">
        <v>2370</v>
      </c>
    </row>
    <row r="4706" spans="1:16" hidden="1">
      <c r="A4706" s="2">
        <v>202104</v>
      </c>
      <c r="B4706" s="3">
        <v>44311</v>
      </c>
      <c r="C4706" s="2" t="s">
        <v>2262</v>
      </c>
      <c r="D4706" s="2" t="s">
        <v>2088</v>
      </c>
      <c r="E4706" s="2">
        <v>17.399999999999999</v>
      </c>
      <c r="F4706" s="2" t="e">
        <f>IF(Table2[[#This Row],[Manual Cat Value]]="",VLOOKUP(Table2[[#This Row],[Description]],'Actuals Lookup'!D:F,3,0),Table2[[#This Row],[Manual Cat Value]])</f>
        <v>#N/A</v>
      </c>
      <c r="J4706" s="2">
        <v>17.399999999999999</v>
      </c>
      <c r="K4706" s="2" t="b">
        <v>0</v>
      </c>
      <c r="L4706" s="2"/>
      <c r="M4706" s="2"/>
      <c r="N4706" s="4" t="s">
        <v>2259</v>
      </c>
      <c r="O4706" s="4" t="str">
        <f>LEFT(Table2[[#This Row],[Description]],75)</f>
        <v>Unmapped Brewing Co.</v>
      </c>
      <c r="P4706" s="2" t="s">
        <v>2281</v>
      </c>
    </row>
    <row r="4707" spans="1:16" hidden="1">
      <c r="A4707" s="2">
        <v>202104</v>
      </c>
      <c r="B4707" s="3">
        <v>44312</v>
      </c>
      <c r="C4707" s="2" t="s">
        <v>2447</v>
      </c>
      <c r="D4707" s="2" t="s">
        <v>38</v>
      </c>
      <c r="E4707" s="2">
        <v>5.73</v>
      </c>
      <c r="F4707" s="2" t="str">
        <f>IF(Table2[[#This Row],[Manual Cat Value]]="",VLOOKUP(Table2[[#This Row],[Description]],'Actuals Lookup'!D:F,3,0),Table2[[#This Row],[Manual Cat Value]])</f>
        <v>Amazon</v>
      </c>
      <c r="J4707" s="2">
        <v>5.73</v>
      </c>
      <c r="K4707" s="2" t="b">
        <v>0</v>
      </c>
      <c r="L4707" s="2"/>
      <c r="M4707" s="2"/>
      <c r="N4707" s="4" t="s">
        <v>2259</v>
      </c>
      <c r="O4707" s="4" t="str">
        <f>LEFT(Table2[[#This Row],[Description]],75)</f>
        <v>Amazon</v>
      </c>
      <c r="P4707" s="2" t="s">
        <v>2260</v>
      </c>
    </row>
    <row r="4708" spans="1:16" hidden="1">
      <c r="A4708" s="2">
        <v>202104</v>
      </c>
      <c r="B4708" s="3">
        <v>44312</v>
      </c>
      <c r="C4708" s="2" t="s">
        <v>2258</v>
      </c>
      <c r="D4708" s="2" t="s">
        <v>38</v>
      </c>
      <c r="E4708" s="2">
        <v>5.73</v>
      </c>
      <c r="F4708" s="2" t="str">
        <f>IF(Table2[[#This Row],[Manual Cat Value]]="",VLOOKUP(Table2[[#This Row],[Description]],'Actuals Lookup'!D:F,3,0),Table2[[#This Row],[Manual Cat Value]])</f>
        <v>Amazon</v>
      </c>
      <c r="J4708" s="2">
        <v>5.73</v>
      </c>
      <c r="K4708" s="2" t="b">
        <v>0</v>
      </c>
      <c r="L4708" s="2"/>
      <c r="M4708" s="2"/>
      <c r="N4708" s="4" t="s">
        <v>2259</v>
      </c>
      <c r="O4708" s="4" t="str">
        <f>LEFT(Table2[[#This Row],[Description]],75)</f>
        <v>Amazon</v>
      </c>
      <c r="P4708" s="2" t="s">
        <v>2260</v>
      </c>
    </row>
    <row r="4709" spans="1:16" hidden="1">
      <c r="A4709" s="2">
        <v>202104</v>
      </c>
      <c r="B4709" s="3">
        <v>44312</v>
      </c>
      <c r="C4709" s="2" t="s">
        <v>2262</v>
      </c>
      <c r="D4709" s="2" t="s">
        <v>675</v>
      </c>
      <c r="E4709" s="2">
        <v>50</v>
      </c>
      <c r="F4709" s="2" t="e">
        <f>IF(Table2[[#This Row],[Manual Cat Value]]="",VLOOKUP(Table2[[#This Row],[Description]],'Actuals Lookup'!D:F,3,0),Table2[[#This Row],[Manual Cat Value]])</f>
        <v>#N/A</v>
      </c>
      <c r="J4709" s="2">
        <v>50</v>
      </c>
      <c r="K4709" s="2" t="b">
        <v>0</v>
      </c>
      <c r="L4709" s="2"/>
      <c r="M4709" s="2"/>
      <c r="N4709" s="4" t="s">
        <v>2259</v>
      </c>
      <c r="O4709" s="4" t="str">
        <f>LEFT(Table2[[#This Row],[Description]],75)</f>
        <v>CREEDE SNOWSHOE LODGE CREEDE CO</v>
      </c>
      <c r="P4709" s="2" t="s">
        <v>2281</v>
      </c>
    </row>
    <row r="4710" spans="1:16" hidden="1">
      <c r="A4710" s="2">
        <v>202104</v>
      </c>
      <c r="B4710" s="3">
        <v>44312</v>
      </c>
      <c r="C4710" s="2" t="s">
        <v>2262</v>
      </c>
      <c r="D4710" s="2" t="s">
        <v>684</v>
      </c>
      <c r="E4710" s="2">
        <v>93.78</v>
      </c>
      <c r="F4710" s="2" t="str">
        <f>IF(Table2[[#This Row],[Manual Cat Value]]="",VLOOKUP(Table2[[#This Row],[Description]],'Actuals Lookup'!D:F,3,0),Table2[[#This Row],[Manual Cat Value]])</f>
        <v>Groceries</v>
      </c>
      <c r="J4710" s="2">
        <v>93.78</v>
      </c>
      <c r="K4710" s="2" t="b">
        <v>0</v>
      </c>
      <c r="L4710" s="2"/>
      <c r="M4710" s="2"/>
      <c r="N4710" s="4" t="s">
        <v>2259</v>
      </c>
      <c r="O4710" s="4" t="str">
        <f>LEFT(Table2[[#This Row],[Description]],75)</f>
        <v>Cub Foods</v>
      </c>
      <c r="P4710" s="2" t="s">
        <v>2370</v>
      </c>
    </row>
    <row r="4711" spans="1:16" hidden="1">
      <c r="A4711" s="2">
        <v>202104</v>
      </c>
      <c r="B4711" s="3">
        <v>44312</v>
      </c>
      <c r="C4711" s="2" t="s">
        <v>2447</v>
      </c>
      <c r="D4711" s="2" t="s">
        <v>1350</v>
      </c>
      <c r="E4711" s="2">
        <v>8.99</v>
      </c>
      <c r="F4711" s="2" t="str">
        <f>IF(Table2[[#This Row],[Manual Cat Value]]="",VLOOKUP(Table2[[#This Row],[Description]],'Actuals Lookup'!D:F,3,0),Table2[[#This Row],[Manual Cat Value]])</f>
        <v>Utilities</v>
      </c>
      <c r="J4711" s="2">
        <v>8.99</v>
      </c>
      <c r="K4711" s="2" t="b">
        <v>0</v>
      </c>
      <c r="L4711" s="2"/>
      <c r="M4711" s="2"/>
      <c r="N4711" s="4" t="s">
        <v>2259</v>
      </c>
      <c r="O4711" s="4" t="str">
        <f>LEFT(Table2[[#This Row],[Description]],75)</f>
        <v>Netflix</v>
      </c>
      <c r="P4711" s="2" t="s">
        <v>2306</v>
      </c>
    </row>
    <row r="4712" spans="1:16" hidden="1">
      <c r="A4712" s="2">
        <v>202104</v>
      </c>
      <c r="B4712" s="3">
        <v>44312</v>
      </c>
      <c r="C4712" s="2" t="s">
        <v>2258</v>
      </c>
      <c r="D4712" s="2" t="s">
        <v>1350</v>
      </c>
      <c r="E4712" s="2">
        <v>8.99</v>
      </c>
      <c r="F4712" s="2" t="str">
        <f>IF(Table2[[#This Row],[Manual Cat Value]]="",VLOOKUP(Table2[[#This Row],[Description]],'Actuals Lookup'!D:F,3,0),Table2[[#This Row],[Manual Cat Value]])</f>
        <v>Utilities</v>
      </c>
      <c r="J4712" s="2">
        <v>8.99</v>
      </c>
      <c r="K4712" s="2" t="b">
        <v>0</v>
      </c>
      <c r="L4712" s="2"/>
      <c r="M4712" s="2"/>
      <c r="N4712" s="4" t="s">
        <v>2259</v>
      </c>
      <c r="O4712" s="4" t="str">
        <f>LEFT(Table2[[#This Row],[Description]],75)</f>
        <v>Netflix</v>
      </c>
      <c r="P4712" s="2" t="s">
        <v>2306</v>
      </c>
    </row>
    <row r="4713" spans="1:16" hidden="1">
      <c r="A4713" s="2">
        <v>202104</v>
      </c>
      <c r="B4713" s="3">
        <v>44312</v>
      </c>
      <c r="C4713" s="2" t="s">
        <v>2265</v>
      </c>
      <c r="D4713" s="2" t="s">
        <v>31</v>
      </c>
      <c r="E4713" s="2">
        <v>588.12</v>
      </c>
      <c r="F4713" s="2" t="str">
        <f>IF(Table2[[#This Row],[Manual Cat Value]]="",VLOOKUP(Table2[[#This Row],[Description]],'Actuals Lookup'!D:F,3,0),Table2[[#This Row],[Manual Cat Value]])</f>
        <v>Target</v>
      </c>
      <c r="J4713" s="2">
        <v>588.12</v>
      </c>
      <c r="K4713" s="2" t="b">
        <v>0</v>
      </c>
      <c r="L4713" s="2"/>
      <c r="M4713" s="2"/>
      <c r="N4713" s="4" t="s">
        <v>2259</v>
      </c>
      <c r="O4713" s="4" t="str">
        <f>LEFT(Table2[[#This Row],[Description]],75)</f>
        <v>Target</v>
      </c>
      <c r="P4713" s="2" t="s">
        <v>2309</v>
      </c>
    </row>
    <row r="4714" spans="1:16" hidden="1">
      <c r="A4714" s="2">
        <v>202104</v>
      </c>
      <c r="B4714" s="3">
        <v>44312</v>
      </c>
      <c r="C4714" s="2" t="s">
        <v>2262</v>
      </c>
      <c r="D4714" s="2" t="s">
        <v>2011</v>
      </c>
      <c r="E4714" s="2">
        <v>54.49</v>
      </c>
      <c r="F4714" s="2" t="e">
        <f>IF(Table2[[#This Row],[Manual Cat Value]]="",VLOOKUP(Table2[[#This Row],[Description]],'Actuals Lookup'!D:F,3,0),Table2[[#This Row],[Manual Cat Value]])</f>
        <v>#N/A</v>
      </c>
      <c r="J4714" s="2">
        <v>54.49</v>
      </c>
      <c r="K4714" s="2" t="b">
        <v>0</v>
      </c>
      <c r="L4714" s="2"/>
      <c r="M4714" s="2"/>
      <c r="N4714" s="4" t="s">
        <v>2259</v>
      </c>
      <c r="O4714" s="4" t="str">
        <f>LEFT(Table2[[#This Row],[Description]],75)</f>
        <v>TST COPPER COW XX5151 MN TST COPPER COW 6083815151 MN</v>
      </c>
      <c r="P4714" s="2" t="s">
        <v>2544</v>
      </c>
    </row>
    <row r="4715" spans="1:16" hidden="1">
      <c r="A4715" s="2">
        <v>202104</v>
      </c>
      <c r="B4715" s="3">
        <v>44313</v>
      </c>
      <c r="C4715" s="2" t="s">
        <v>2262</v>
      </c>
      <c r="D4715" s="2" t="s">
        <v>674</v>
      </c>
      <c r="E4715" s="2">
        <v>-529.22</v>
      </c>
      <c r="F4715" s="2" t="e">
        <f>IF(Table2[[#This Row],[Manual Cat Value]]="",VLOOKUP(Table2[[#This Row],[Description]],'Actuals Lookup'!D:F,3,0),Table2[[#This Row],[Manual Cat Value]])</f>
        <v>#N/A</v>
      </c>
      <c r="J4715" s="2">
        <v>529.22</v>
      </c>
      <c r="K4715" s="2" t="b">
        <v>0</v>
      </c>
      <c r="L4715" s="2"/>
      <c r="M4715" s="2"/>
      <c r="N4715" s="4" t="s">
        <v>2273</v>
      </c>
      <c r="O4715" s="4" t="str">
        <f>LEFT(Table2[[#This Row],[Description]],75)</f>
        <v>Credit Card Payment Received PAYMENT THANK YOU</v>
      </c>
      <c r="P4715" s="2" t="s">
        <v>2391</v>
      </c>
    </row>
    <row r="4716" spans="1:16" hidden="1">
      <c r="A4716" s="2">
        <v>202104</v>
      </c>
      <c r="B4716" s="3">
        <v>44313</v>
      </c>
      <c r="C4716" s="2" t="s">
        <v>2265</v>
      </c>
      <c r="D4716" s="2" t="s">
        <v>2203</v>
      </c>
      <c r="E4716" s="2">
        <v>529.22</v>
      </c>
      <c r="F4716" s="2" t="e">
        <f>IF(Table2[[#This Row],[Manual Cat Value]]="",VLOOKUP(Table2[[#This Row],[Description]],'Actuals Lookup'!D:F,3,0),Table2[[#This Row],[Manual Cat Value]])</f>
        <v>#N/A</v>
      </c>
      <c r="J4716" s="2">
        <v>529.22</v>
      </c>
      <c r="K4716" s="2" t="b">
        <v>0</v>
      </c>
      <c r="L4716" s="2"/>
      <c r="M4716" s="2"/>
      <c r="N4716" s="4" t="s">
        <v>2259</v>
      </c>
      <c r="O4716" s="4" t="str">
        <f>LEFT(Table2[[#This Row],[Description]],75)</f>
        <v>Withdrawal Home payment to card XX91 Withdrawal Home payment to card 979181</v>
      </c>
      <c r="P4716" s="2" t="s">
        <v>2349</v>
      </c>
    </row>
    <row r="4717" spans="1:16" hidden="1">
      <c r="A4717" s="2">
        <v>202104</v>
      </c>
      <c r="B4717" s="3">
        <v>44313</v>
      </c>
      <c r="C4717" s="2" t="s">
        <v>2262</v>
      </c>
      <c r="D4717" s="2" t="s">
        <v>947</v>
      </c>
      <c r="E4717" s="2">
        <v>169.16</v>
      </c>
      <c r="F4717" s="2" t="e">
        <f>IF(Table2[[#This Row],[Manual Cat Value]]="",VLOOKUP(Table2[[#This Row],[Description]],'Actuals Lookup'!D:F,3,0),Table2[[#This Row],[Manual Cat Value]])</f>
        <v>#N/A</v>
      </c>
      <c r="J4717" s="2">
        <v>169.16</v>
      </c>
      <c r="K4717" s="2" t="b">
        <v>0</v>
      </c>
      <c r="L4717" s="2"/>
      <c r="M4717" s="2"/>
      <c r="N4717" s="4" t="s">
        <v>2259</v>
      </c>
      <c r="O4717" s="4" t="str">
        <f>LEFT(Table2[[#This Row],[Description]],75)</f>
        <v>Home Depot</v>
      </c>
      <c r="P4717" s="2" t="s">
        <v>2396</v>
      </c>
    </row>
    <row r="4718" spans="1:16" hidden="1">
      <c r="A4718" s="2">
        <v>202104</v>
      </c>
      <c r="B4718" s="3">
        <v>44314</v>
      </c>
      <c r="C4718" s="2" t="s">
        <v>2447</v>
      </c>
      <c r="D4718" s="2" t="s">
        <v>38</v>
      </c>
      <c r="E4718" s="2">
        <v>45.62</v>
      </c>
      <c r="F4718" s="2" t="str">
        <f>IF(Table2[[#This Row],[Manual Cat Value]]="",VLOOKUP(Table2[[#This Row],[Description]],'Actuals Lookup'!D:F,3,0),Table2[[#This Row],[Manual Cat Value]])</f>
        <v>Amazon</v>
      </c>
      <c r="J4718" s="2">
        <v>45.62</v>
      </c>
      <c r="K4718" s="2" t="b">
        <v>0</v>
      </c>
      <c r="L4718" s="2"/>
      <c r="M4718" s="2"/>
      <c r="N4718" s="4" t="s">
        <v>2259</v>
      </c>
      <c r="O4718" s="4" t="str">
        <f>LEFT(Table2[[#This Row],[Description]],75)</f>
        <v>Amazon</v>
      </c>
      <c r="P4718" s="2" t="s">
        <v>2260</v>
      </c>
    </row>
    <row r="4719" spans="1:16" hidden="1">
      <c r="A4719" s="2">
        <v>202104</v>
      </c>
      <c r="B4719" s="3">
        <v>44314</v>
      </c>
      <c r="C4719" s="2" t="s">
        <v>2258</v>
      </c>
      <c r="D4719" s="2" t="s">
        <v>38</v>
      </c>
      <c r="E4719" s="2">
        <v>45.62</v>
      </c>
      <c r="F4719" s="2" t="str">
        <f>IF(Table2[[#This Row],[Manual Cat Value]]="",VLOOKUP(Table2[[#This Row],[Description]],'Actuals Lookup'!D:F,3,0),Table2[[#This Row],[Manual Cat Value]])</f>
        <v>Amazon</v>
      </c>
      <c r="J4719" s="2">
        <v>45.62</v>
      </c>
      <c r="K4719" s="2" t="b">
        <v>0</v>
      </c>
      <c r="L4719" s="2"/>
      <c r="M4719" s="2"/>
      <c r="N4719" s="4" t="s">
        <v>2259</v>
      </c>
      <c r="O4719" s="4" t="str">
        <f>LEFT(Table2[[#This Row],[Description]],75)</f>
        <v>Amazon</v>
      </c>
      <c r="P4719" s="2" t="s">
        <v>2260</v>
      </c>
    </row>
    <row r="4720" spans="1:16" hidden="1">
      <c r="A4720" s="2">
        <v>202104</v>
      </c>
      <c r="B4720" s="3">
        <v>44314</v>
      </c>
      <c r="C4720" s="2" t="s">
        <v>2265</v>
      </c>
      <c r="D4720" s="2" t="s">
        <v>614</v>
      </c>
      <c r="E4720" s="2">
        <v>-3102.98</v>
      </c>
      <c r="F4720" s="2" t="e">
        <f>IF(Table2[[#This Row],[Manual Cat Value]]="",VLOOKUP(Table2[[#This Row],[Description]],'Actuals Lookup'!D:F,3,0),Table2[[#This Row],[Manual Cat Value]])</f>
        <v>#N/A</v>
      </c>
      <c r="J4720" s="2">
        <v>3102.98</v>
      </c>
      <c r="K4720" s="2" t="b">
        <v>0</v>
      </c>
      <c r="L4720" s="2"/>
      <c r="M4720" s="2"/>
      <c r="N4720" s="4" t="s">
        <v>2273</v>
      </c>
      <c r="O4720" s="4" t="str">
        <f>LEFT(Table2[[#This Row],[Description]],75)</f>
        <v>CONNECTED ANALYT TYPE DIRECT DEP ID CO CONNECTED ANALYT ACH ECC PPD ACH Tra</v>
      </c>
      <c r="P4720" s="2" t="s">
        <v>2536</v>
      </c>
    </row>
    <row r="4721" spans="1:16" hidden="1">
      <c r="A4721" s="2">
        <v>202104</v>
      </c>
      <c r="B4721" s="3">
        <v>44314</v>
      </c>
      <c r="C4721" s="2" t="s">
        <v>2265</v>
      </c>
      <c r="D4721" s="2" t="s">
        <v>1196</v>
      </c>
      <c r="E4721" s="2">
        <v>425</v>
      </c>
      <c r="F4721" s="2" t="e">
        <f>IF(Table2[[#This Row],[Manual Cat Value]]="",VLOOKUP(Table2[[#This Row],[Description]],'Actuals Lookup'!D:F,3,0),Table2[[#This Row],[Manual Cat Value]])</f>
        <v>#N/A</v>
      </c>
      <c r="J4721" s="2">
        <v>425</v>
      </c>
      <c r="K4721" s="2" t="b">
        <v>0</v>
      </c>
      <c r="L4721" s="2"/>
      <c r="M4721" s="2"/>
      <c r="N4721" s="4" t="s">
        <v>2259</v>
      </c>
      <c r="O4721" s="4" t="str">
        <f>LEFT(Table2[[#This Row],[Description]],75)</f>
        <v>MHCHILDCARELLC TYPE DUES ID CO M MHCHILDCARELLC TYPE DUES ID CO MHCHILDCARE</v>
      </c>
      <c r="P4721" s="2" t="s">
        <v>2497</v>
      </c>
    </row>
    <row r="4722" spans="1:16" hidden="1">
      <c r="A4722" s="2">
        <v>202104</v>
      </c>
      <c r="B4722" s="3">
        <v>44314</v>
      </c>
      <c r="C4722" s="2" t="s">
        <v>2265</v>
      </c>
      <c r="D4722" s="2" t="s">
        <v>1355</v>
      </c>
      <c r="E4722" s="2">
        <v>129.94999999999999</v>
      </c>
      <c r="F4722" s="2" t="str">
        <f>IF(Table2[[#This Row],[Manual Cat Value]]="",VLOOKUP(Table2[[#This Row],[Description]],'Actuals Lookup'!D:F,3,0),Table2[[#This Row],[Manual Cat Value]])</f>
        <v>Shopping</v>
      </c>
      <c r="J4722" s="2">
        <v>129.94999999999999</v>
      </c>
      <c r="K4722" s="2" t="b">
        <v>0</v>
      </c>
      <c r="L4722" s="2"/>
      <c r="M4722" s="2"/>
      <c r="N4722" s="4" t="s">
        <v>2259</v>
      </c>
      <c r="O4722" s="4" t="str">
        <f>LEFT(Table2[[#This Row],[Description]],75)</f>
        <v>Nordstrom</v>
      </c>
      <c r="P4722" s="2" t="s">
        <v>2352</v>
      </c>
    </row>
    <row r="4723" spans="1:16" hidden="1">
      <c r="A4723" s="2">
        <v>202104</v>
      </c>
      <c r="B4723" s="3">
        <v>44315</v>
      </c>
      <c r="C4723" s="2" t="s">
        <v>2265</v>
      </c>
      <c r="D4723" s="2" t="s">
        <v>199</v>
      </c>
      <c r="E4723" s="2">
        <v>123.41</v>
      </c>
      <c r="F4723" s="2" t="e">
        <f>IF(Table2[[#This Row],[Manual Cat Value]]="",VLOOKUP(Table2[[#This Row],[Description]],'Actuals Lookup'!D:F,3,0),Table2[[#This Row],[Manual Cat Value]])</f>
        <v>#N/A</v>
      </c>
      <c r="J4723" s="2">
        <v>123.41</v>
      </c>
      <c r="K4723" s="2" t="b">
        <v>0</v>
      </c>
      <c r="L4723" s="2"/>
      <c r="M4723" s="2"/>
      <c r="N4723" s="4" t="s">
        <v>2259</v>
      </c>
      <c r="O4723" s="4" t="str">
        <f>LEFT(Table2[[#This Row],[Description]],75)</f>
        <v>Banana Republic</v>
      </c>
      <c r="P4723" s="2" t="s">
        <v>2281</v>
      </c>
    </row>
    <row r="4724" spans="1:16" hidden="1">
      <c r="A4724" s="2">
        <v>202104</v>
      </c>
      <c r="B4724" s="3">
        <v>44315</v>
      </c>
      <c r="C4724" s="2" t="s">
        <v>2265</v>
      </c>
      <c r="D4724" s="2" t="s">
        <v>407</v>
      </c>
      <c r="E4724" s="2">
        <v>-2168.13</v>
      </c>
      <c r="F4724" s="2" t="e">
        <f>IF(Table2[[#This Row],[Manual Cat Value]]="",VLOOKUP(Table2[[#This Row],[Description]],'Actuals Lookup'!D:F,3,0),Table2[[#This Row],[Manual Cat Value]])</f>
        <v>#N/A</v>
      </c>
      <c r="J4724" s="2">
        <v>2168.13</v>
      </c>
      <c r="K4724" s="2" t="b">
        <v>0</v>
      </c>
      <c r="L4724" s="2"/>
      <c r="M4724" s="2"/>
      <c r="N4724" s="4" t="s">
        <v>2273</v>
      </c>
      <c r="O4724" s="4" t="str">
        <f>LEFT(Table2[[#This Row],[Description]],75)</f>
        <v>Cargill Inc Deposit CARGILL INCORPOR TYPE DIRECT DEP ID CO CARGILL INCORPOR</v>
      </c>
      <c r="P4724" s="2" t="s">
        <v>2281</v>
      </c>
    </row>
    <row r="4725" spans="1:16" hidden="1">
      <c r="A4725" s="2">
        <v>202104</v>
      </c>
      <c r="B4725" s="3">
        <v>44315</v>
      </c>
      <c r="C4725" s="2" t="s">
        <v>2265</v>
      </c>
      <c r="D4725" s="2" t="s">
        <v>1471</v>
      </c>
      <c r="E4725" s="2">
        <v>0.99</v>
      </c>
      <c r="F4725" s="2" t="str">
        <f>IF(Table2[[#This Row],[Manual Cat Value]]="",VLOOKUP(Table2[[#This Row],[Description]],'Actuals Lookup'!D:F,3,0),Table2[[#This Row],[Manual Cat Value]])</f>
        <v>Shopping</v>
      </c>
      <c r="J4725" s="2">
        <v>0.99</v>
      </c>
      <c r="K4725" s="2" t="b">
        <v>0</v>
      </c>
      <c r="L4725" s="2"/>
      <c r="M4725" s="2"/>
      <c r="N4725" s="4" t="s">
        <v>2259</v>
      </c>
      <c r="O4725" s="4" t="str">
        <f>LEFT(Table2[[#This Row],[Description]],75)</f>
        <v>PayPal</v>
      </c>
      <c r="P4725" s="2" t="s">
        <v>2322</v>
      </c>
    </row>
    <row r="4726" spans="1:16" hidden="1">
      <c r="A4726" s="2">
        <v>202104</v>
      </c>
      <c r="B4726" s="3">
        <v>44315</v>
      </c>
      <c r="C4726" s="2" t="s">
        <v>2262</v>
      </c>
      <c r="D4726" s="2" t="s">
        <v>1554</v>
      </c>
      <c r="E4726" s="2">
        <v>48</v>
      </c>
      <c r="F4726" s="2" t="e">
        <f>IF(Table2[[#This Row],[Manual Cat Value]]="",VLOOKUP(Table2[[#This Row],[Description]],'Actuals Lookup'!D:F,3,0),Table2[[#This Row],[Manual Cat Value]])</f>
        <v>#N/A</v>
      </c>
      <c r="J4726" s="2">
        <v>48</v>
      </c>
      <c r="K4726" s="2" t="b">
        <v>0</v>
      </c>
      <c r="L4726" s="2"/>
      <c r="M4726" s="2"/>
      <c r="N4726" s="4" t="s">
        <v>2259</v>
      </c>
      <c r="O4726" s="4" t="str">
        <f>LEFT(Table2[[#This Row],[Description]],75)</f>
        <v>Recreation.gov</v>
      </c>
      <c r="P4726" s="2" t="s">
        <v>2281</v>
      </c>
    </row>
    <row r="4727" spans="1:16" hidden="1">
      <c r="A4727" s="2">
        <v>202104</v>
      </c>
      <c r="B4727" s="3">
        <v>44315</v>
      </c>
      <c r="C4727" s="2" t="s">
        <v>2447</v>
      </c>
      <c r="D4727" s="2" t="s">
        <v>1707</v>
      </c>
      <c r="E4727" s="2">
        <v>40.36</v>
      </c>
      <c r="F4727" s="2" t="str">
        <f>IF(Table2[[#This Row],[Manual Cat Value]]="",VLOOKUP(Table2[[#This Row],[Description]],'Actuals Lookup'!D:F,3,0),Table2[[#This Row],[Manual Cat Value]])</f>
        <v>Transportation</v>
      </c>
      <c r="J4727" s="2">
        <v>40.36</v>
      </c>
      <c r="K4727" s="2" t="b">
        <v>0</v>
      </c>
      <c r="L4727" s="2"/>
      <c r="M4727" s="2"/>
      <c r="N4727" s="4" t="s">
        <v>2259</v>
      </c>
      <c r="O4727" s="4" t="str">
        <f>LEFT(Table2[[#This Row],[Description]],75)</f>
        <v>Speedway</v>
      </c>
      <c r="P4727" s="2" t="s">
        <v>2381</v>
      </c>
    </row>
    <row r="4728" spans="1:16" hidden="1">
      <c r="A4728" s="2">
        <v>202104</v>
      </c>
      <c r="B4728" s="3">
        <v>44315</v>
      </c>
      <c r="C4728" s="2" t="s">
        <v>2258</v>
      </c>
      <c r="D4728" s="2" t="s">
        <v>1707</v>
      </c>
      <c r="E4728" s="2">
        <v>40.36</v>
      </c>
      <c r="F4728" s="2" t="str">
        <f>IF(Table2[[#This Row],[Manual Cat Value]]="",VLOOKUP(Table2[[#This Row],[Description]],'Actuals Lookup'!D:F,3,0),Table2[[#This Row],[Manual Cat Value]])</f>
        <v>Transportation</v>
      </c>
      <c r="J4728" s="2">
        <v>40.36</v>
      </c>
      <c r="K4728" s="2" t="b">
        <v>0</v>
      </c>
      <c r="L4728" s="2"/>
      <c r="M4728" s="2"/>
      <c r="N4728" s="4" t="s">
        <v>2259</v>
      </c>
      <c r="O4728" s="4" t="str">
        <f>LEFT(Table2[[#This Row],[Description]],75)</f>
        <v>Speedway</v>
      </c>
      <c r="P4728" s="2" t="s">
        <v>2381</v>
      </c>
    </row>
    <row r="4729" spans="1:16" hidden="1">
      <c r="A4729" s="2">
        <v>202104</v>
      </c>
      <c r="B4729" s="3">
        <v>44315</v>
      </c>
      <c r="C4729" s="2" t="s">
        <v>2262</v>
      </c>
      <c r="D4729" s="2" t="s">
        <v>1787</v>
      </c>
      <c r="E4729" s="2">
        <v>193.16</v>
      </c>
      <c r="F4729" s="2" t="e">
        <f>IF(Table2[[#This Row],[Manual Cat Value]]="",VLOOKUP(Table2[[#This Row],[Description]],'Actuals Lookup'!D:F,3,0),Table2[[#This Row],[Manual Cat Value]])</f>
        <v>#N/A</v>
      </c>
      <c r="J4729" s="2">
        <v>193.16</v>
      </c>
      <c r="K4729" s="2" t="b">
        <v>0</v>
      </c>
      <c r="L4729" s="2"/>
      <c r="M4729" s="2"/>
      <c r="N4729" s="4" t="s">
        <v>2259</v>
      </c>
      <c r="O4729" s="4" t="str">
        <f>LEFT(Table2[[#This Row],[Description]],75)</f>
        <v>STUBHUB INC 8667882482 CA</v>
      </c>
      <c r="P4729" s="2" t="s">
        <v>2281</v>
      </c>
    </row>
    <row r="4730" spans="1:16" hidden="1">
      <c r="A4730" s="2">
        <v>202104</v>
      </c>
      <c r="B4730" s="3">
        <v>44316</v>
      </c>
      <c r="C4730" s="2" t="s">
        <v>2262</v>
      </c>
      <c r="D4730" s="2" t="s">
        <v>1423</v>
      </c>
      <c r="E4730" s="2">
        <v>-410.32</v>
      </c>
      <c r="F4730" s="2" t="e">
        <f>IF(Table2[[#This Row],[Manual Cat Value]]="",VLOOKUP(Table2[[#This Row],[Description]],'Actuals Lookup'!D:F,3,0),Table2[[#This Row],[Manual Cat Value]])</f>
        <v>#N/A</v>
      </c>
      <c r="J4730" s="2">
        <v>410.32</v>
      </c>
      <c r="K4730" s="2" t="b">
        <v>0</v>
      </c>
      <c r="L4730" s="2"/>
      <c r="M4730" s="2"/>
      <c r="N4730" s="4" t="s">
        <v>2273</v>
      </c>
      <c r="O4730" s="4" t="str">
        <f>LEFT(Table2[[#This Row],[Description]],75)</f>
        <v>PAYMENT THANK YOU</v>
      </c>
      <c r="P4730" s="2" t="s">
        <v>2391</v>
      </c>
    </row>
    <row r="4731" spans="1:16" hidden="1">
      <c r="A4731" s="2">
        <v>202104</v>
      </c>
      <c r="B4731" s="3">
        <v>44316</v>
      </c>
      <c r="C4731" s="2" t="s">
        <v>2265</v>
      </c>
      <c r="D4731" s="2" t="s">
        <v>2203</v>
      </c>
      <c r="E4731" s="2">
        <v>410.32</v>
      </c>
      <c r="F4731" s="2" t="e">
        <f>IF(Table2[[#This Row],[Manual Cat Value]]="",VLOOKUP(Table2[[#This Row],[Description]],'Actuals Lookup'!D:F,3,0),Table2[[#This Row],[Manual Cat Value]])</f>
        <v>#N/A</v>
      </c>
      <c r="J4731" s="2">
        <v>410.32</v>
      </c>
      <c r="K4731" s="2" t="b">
        <v>0</v>
      </c>
      <c r="L4731" s="2"/>
      <c r="M4731" s="2"/>
      <c r="N4731" s="4" t="s">
        <v>2259</v>
      </c>
      <c r="O4731" s="4" t="str">
        <f>LEFT(Table2[[#This Row],[Description]],75)</f>
        <v>Withdrawal Home payment to card XX91 Withdrawal Home payment to card 979181</v>
      </c>
      <c r="P4731" s="2" t="s">
        <v>2349</v>
      </c>
    </row>
    <row r="4732" spans="1:16" hidden="1">
      <c r="A4732" s="2">
        <v>202104</v>
      </c>
      <c r="B4732" s="3">
        <v>44316</v>
      </c>
      <c r="C4732" s="2" t="s">
        <v>2317</v>
      </c>
      <c r="D4732" s="2" t="s">
        <v>424</v>
      </c>
      <c r="E4732" s="2">
        <v>-200</v>
      </c>
      <c r="F4732" s="2" t="e">
        <f>IF(Table2[[#This Row],[Manual Cat Value]]="",VLOOKUP(Table2[[#This Row],[Description]],'Actuals Lookup'!D:F,3,0),Table2[[#This Row],[Manual Cat Value]])</f>
        <v>#N/A</v>
      </c>
      <c r="J4732" s="2">
        <v>200</v>
      </c>
      <c r="K4732" s="2" t="b">
        <v>0</v>
      </c>
      <c r="L4732" s="2"/>
      <c r="M4732" s="2"/>
      <c r="N4732" s="4" t="s">
        <v>2273</v>
      </c>
      <c r="O4732" s="4" t="str">
        <f>LEFT(Table2[[#This Row],[Description]],75)</f>
        <v>CARGILL INCORPOR</v>
      </c>
      <c r="P4732" s="2" t="s">
        <v>2385</v>
      </c>
    </row>
    <row r="4733" spans="1:16" hidden="1">
      <c r="A4733" s="2">
        <v>202104</v>
      </c>
      <c r="B4733" s="3">
        <v>44316</v>
      </c>
      <c r="C4733" s="2" t="s">
        <v>2317</v>
      </c>
      <c r="D4733" s="2" t="s">
        <v>605</v>
      </c>
      <c r="E4733" s="2">
        <v>-250</v>
      </c>
      <c r="F4733" s="2" t="e">
        <f>IF(Table2[[#This Row],[Manual Cat Value]]="",VLOOKUP(Table2[[#This Row],[Description]],'Actuals Lookup'!D:F,3,0),Table2[[#This Row],[Manual Cat Value]])</f>
        <v>#N/A</v>
      </c>
      <c r="J4733" s="2">
        <v>250</v>
      </c>
      <c r="K4733" s="2" t="b">
        <v>0</v>
      </c>
      <c r="L4733" s="2"/>
      <c r="M4733" s="2"/>
      <c r="N4733" s="4" t="s">
        <v>2273</v>
      </c>
      <c r="O4733" s="4" t="str">
        <f>LEFT(Table2[[#This Row],[Description]],75)</f>
        <v>CONNECTED ANALYT</v>
      </c>
      <c r="P4733" s="2" t="s">
        <v>2493</v>
      </c>
    </row>
    <row r="4734" spans="1:16" hidden="1">
      <c r="A4734" s="2">
        <v>202104</v>
      </c>
      <c r="B4734" s="3">
        <v>44316</v>
      </c>
      <c r="C4734" s="2" t="s">
        <v>2300</v>
      </c>
      <c r="D4734" s="2" t="s">
        <v>982</v>
      </c>
      <c r="E4734" s="2">
        <v>-0.13</v>
      </c>
      <c r="F4734" s="2" t="e">
        <f>IF(Table2[[#This Row],[Manual Cat Value]]="",VLOOKUP(Table2[[#This Row],[Description]],'Actuals Lookup'!D:F,3,0),Table2[[#This Row],[Manual Cat Value]])</f>
        <v>#N/A</v>
      </c>
      <c r="J4734" s="2">
        <v>0.13</v>
      </c>
      <c r="K4734" s="2" t="b">
        <v>0</v>
      </c>
      <c r="L4734" s="2"/>
      <c r="M4734" s="2"/>
      <c r="N4734" s="4" t="s">
        <v>2273</v>
      </c>
      <c r="O4734" s="4" t="str">
        <f>LEFT(Table2[[#This Row],[Description]],75)</f>
        <v>Interest Income 0010 APY Earned 001 040121 to 043021</v>
      </c>
      <c r="P4734" s="2" t="s">
        <v>2281</v>
      </c>
    </row>
    <row r="4735" spans="1:16" hidden="1">
      <c r="A4735" s="2">
        <v>202104</v>
      </c>
      <c r="B4735" s="3">
        <v>44316</v>
      </c>
      <c r="C4735" s="2" t="s">
        <v>2265</v>
      </c>
      <c r="D4735" s="2" t="s">
        <v>993</v>
      </c>
      <c r="E4735" s="2">
        <v>-24.47</v>
      </c>
      <c r="F4735" s="2" t="e">
        <f>IF(Table2[[#This Row],[Manual Cat Value]]="",VLOOKUP(Table2[[#This Row],[Description]],'Actuals Lookup'!D:F,3,0),Table2[[#This Row],[Manual Cat Value]])</f>
        <v>#N/A</v>
      </c>
      <c r="J4735" s="2">
        <v>24.47</v>
      </c>
      <c r="K4735" s="2" t="b">
        <v>0</v>
      </c>
      <c r="L4735" s="2"/>
      <c r="M4735" s="2"/>
      <c r="N4735" s="4" t="s">
        <v>2273</v>
      </c>
      <c r="O4735" s="4" t="str">
        <f>LEFT(Table2[[#This Row],[Description]],75)</f>
        <v>Interest Income Split Rate APY Earned 154 040121 to 043021</v>
      </c>
      <c r="P4735" s="2" t="s">
        <v>2281</v>
      </c>
    </row>
    <row r="4736" spans="1:16" hidden="1">
      <c r="A4736" s="2">
        <v>202104</v>
      </c>
      <c r="B4736" s="3">
        <v>44316</v>
      </c>
      <c r="C4736" s="2" t="s">
        <v>2274</v>
      </c>
      <c r="D4736" s="2" t="s">
        <v>994</v>
      </c>
      <c r="E4736" s="2">
        <v>-0.02</v>
      </c>
      <c r="F4736" s="2" t="e">
        <f>IF(Table2[[#This Row],[Manual Cat Value]]="",VLOOKUP(Table2[[#This Row],[Description]],'Actuals Lookup'!D:F,3,0),Table2[[#This Row],[Manual Cat Value]])</f>
        <v>#N/A</v>
      </c>
      <c r="J4736" s="2">
        <v>0.02</v>
      </c>
      <c r="K4736" s="2" t="b">
        <v>0</v>
      </c>
      <c r="L4736" s="2"/>
      <c r="M4736" s="2"/>
      <c r="N4736" s="4" t="s">
        <v>2273</v>
      </c>
      <c r="O4736" s="4" t="str">
        <f>LEFT(Table2[[#This Row],[Description]],75)</f>
        <v>Interest Paid</v>
      </c>
      <c r="P4736" s="2" t="s">
        <v>2312</v>
      </c>
    </row>
    <row r="4737" spans="1:16" hidden="1">
      <c r="A4737" s="2">
        <v>202104</v>
      </c>
      <c r="B4737" s="3">
        <v>44316</v>
      </c>
      <c r="C4737" s="2" t="s">
        <v>2317</v>
      </c>
      <c r="D4737" s="2" t="s">
        <v>1786</v>
      </c>
      <c r="E4737" s="2">
        <v>-25.46</v>
      </c>
      <c r="F4737" s="2" t="e">
        <f>IF(Table2[[#This Row],[Manual Cat Value]]="",VLOOKUP(Table2[[#This Row],[Description]],'Actuals Lookup'!D:F,3,0),Table2[[#This Row],[Manual Cat Value]])</f>
        <v>#N/A</v>
      </c>
      <c r="J4737" s="2">
        <v>25.46</v>
      </c>
      <c r="K4737" s="2" t="b">
        <v>0</v>
      </c>
      <c r="L4737" s="2"/>
      <c r="M4737" s="2"/>
      <c r="N4737" s="4" t="s">
        <v>2273</v>
      </c>
      <c r="O4737" s="4" t="str">
        <f>LEFT(Table2[[#This Row],[Description]],75)</f>
        <v>STRYKER CORP</v>
      </c>
      <c r="P4737" s="2" t="s">
        <v>2385</v>
      </c>
    </row>
    <row r="4738" spans="1:16" hidden="1">
      <c r="A4738" s="2">
        <v>202104</v>
      </c>
      <c r="B4738" s="3">
        <v>44316</v>
      </c>
      <c r="C4738" s="2" t="s">
        <v>2434</v>
      </c>
      <c r="D4738" s="2" t="s">
        <v>1835</v>
      </c>
      <c r="E4738" s="2">
        <v>-231</v>
      </c>
      <c r="F4738" s="2" t="e">
        <f>IF(Table2[[#This Row],[Manual Cat Value]]="",VLOOKUP(Table2[[#This Row],[Description]],'Actuals Lookup'!D:F,3,0),Table2[[#This Row],[Manual Cat Value]])</f>
        <v>#N/A</v>
      </c>
      <c r="J4738" s="2">
        <v>231</v>
      </c>
      <c r="K4738" s="2" t="b">
        <v>0</v>
      </c>
      <c r="L4738" s="2"/>
      <c r="M4738" s="2"/>
      <c r="N4738" s="4" t="s">
        <v>2273</v>
      </c>
      <c r="O4738" s="4" t="str">
        <f>LEFT(Table2[[#This Row],[Description]],75)</f>
        <v>Tfr JPMORGAN CHASE BAN, CARGILL INCORPOR</v>
      </c>
      <c r="P4738" s="2" t="s">
        <v>2281</v>
      </c>
    </row>
    <row r="4739" spans="1:16" hidden="1">
      <c r="A4739" s="2">
        <v>202104</v>
      </c>
      <c r="B4739" s="3">
        <v>44316</v>
      </c>
      <c r="C4739" s="2" t="s">
        <v>2435</v>
      </c>
      <c r="D4739" s="2" t="s">
        <v>1836</v>
      </c>
      <c r="E4739" s="2">
        <v>-250</v>
      </c>
      <c r="F4739" s="2" t="e">
        <f>IF(Table2[[#This Row],[Manual Cat Value]]="",VLOOKUP(Table2[[#This Row],[Description]],'Actuals Lookup'!D:F,3,0),Table2[[#This Row],[Manual Cat Value]])</f>
        <v>#N/A</v>
      </c>
      <c r="J4739" s="2">
        <v>250</v>
      </c>
      <c r="K4739" s="2" t="b">
        <v>0</v>
      </c>
      <c r="L4739" s="2"/>
      <c r="M4739" s="2"/>
      <c r="N4739" s="4" t="s">
        <v>2273</v>
      </c>
      <c r="O4739" s="4" t="str">
        <f>LEFT(Table2[[#This Row],[Description]],75)</f>
        <v>Tfr JPMORGAN CHASE BAN, CONNECTED ANALYT</v>
      </c>
      <c r="P4739" s="2" t="s">
        <v>2493</v>
      </c>
    </row>
    <row r="4740" spans="1:16" hidden="1">
      <c r="A4740" s="2">
        <v>202105</v>
      </c>
      <c r="B4740" s="3">
        <v>44317</v>
      </c>
      <c r="C4740" s="2" t="s">
        <v>2258</v>
      </c>
      <c r="D4740" s="2" t="s">
        <v>114</v>
      </c>
      <c r="E4740" s="2">
        <v>4.28</v>
      </c>
      <c r="F4740" s="2" t="str">
        <f>IF(Table2[[#This Row],[Manual Cat Value]]="",VLOOKUP(Table2[[#This Row],[Description]],'Actuals Lookup'!D:F,3,0),Table2[[#This Row],[Manual Cat Value]])</f>
        <v>Entertainment</v>
      </c>
      <c r="J4740" s="2">
        <v>4.28</v>
      </c>
      <c r="K4740" s="2" t="b">
        <v>0</v>
      </c>
      <c r="L4740" s="2"/>
      <c r="M4740" s="2"/>
      <c r="N4740" s="4" t="s">
        <v>2259</v>
      </c>
      <c r="O4740" s="4" t="str">
        <f>LEFT(Table2[[#This Row],[Description]],75)</f>
        <v>Amazon Music</v>
      </c>
      <c r="P4740" s="2" t="s">
        <v>2466</v>
      </c>
    </row>
    <row r="4741" spans="1:16" hidden="1">
      <c r="A4741" s="2">
        <v>202105</v>
      </c>
      <c r="B4741" s="3">
        <v>44317</v>
      </c>
      <c r="C4741" s="2" t="s">
        <v>2447</v>
      </c>
      <c r="D4741" s="2" t="s">
        <v>114</v>
      </c>
      <c r="E4741" s="2">
        <v>4.28</v>
      </c>
      <c r="F4741" s="2" t="str">
        <f>IF(Table2[[#This Row],[Manual Cat Value]]="",VLOOKUP(Table2[[#This Row],[Description]],'Actuals Lookup'!D:F,3,0),Table2[[#This Row],[Manual Cat Value]])</f>
        <v>Entertainment</v>
      </c>
      <c r="J4741" s="2">
        <v>4.28</v>
      </c>
      <c r="K4741" s="2" t="b">
        <v>0</v>
      </c>
      <c r="L4741" s="2"/>
      <c r="M4741" s="2"/>
      <c r="N4741" s="4" t="s">
        <v>2259</v>
      </c>
      <c r="O4741" s="4" t="str">
        <f>LEFT(Table2[[#This Row],[Description]],75)</f>
        <v>Amazon Music</v>
      </c>
      <c r="P4741" s="2" t="s">
        <v>2466</v>
      </c>
    </row>
    <row r="4742" spans="1:16" hidden="1">
      <c r="A4742" s="2">
        <v>202105</v>
      </c>
      <c r="B4742" s="3">
        <v>44317</v>
      </c>
      <c r="C4742" s="2" t="s">
        <v>2314</v>
      </c>
      <c r="D4742" s="2" t="s">
        <v>859</v>
      </c>
      <c r="E4742" s="2">
        <v>-584.38</v>
      </c>
      <c r="F4742" s="2" t="e">
        <f>IF(Table2[[#This Row],[Manual Cat Value]]="",VLOOKUP(Table2[[#This Row],[Description]],'Actuals Lookup'!D:F,3,0),Table2[[#This Row],[Manual Cat Value]])</f>
        <v>#N/A</v>
      </c>
      <c r="J4742" s="2">
        <v>584.38</v>
      </c>
      <c r="K4742" s="2" t="b">
        <v>0</v>
      </c>
      <c r="L4742" s="2"/>
      <c r="M4742" s="2"/>
      <c r="N4742" s="4" t="s">
        <v>2273</v>
      </c>
      <c r="O4742" s="4" t="str">
        <f>LEFT(Table2[[#This Row],[Description]],75)</f>
        <v>From Share 70</v>
      </c>
      <c r="P4742" s="2" t="s">
        <v>2496</v>
      </c>
    </row>
    <row r="4743" spans="1:16" hidden="1">
      <c r="A4743" s="2">
        <v>202105</v>
      </c>
      <c r="B4743" s="3">
        <v>44317</v>
      </c>
      <c r="C4743" s="2" t="s">
        <v>2265</v>
      </c>
      <c r="D4743" s="2" t="s">
        <v>1877</v>
      </c>
      <c r="E4743" s="2">
        <v>618.65</v>
      </c>
      <c r="F4743" s="2" t="e">
        <f>IF(Table2[[#This Row],[Manual Cat Value]]="",VLOOKUP(Table2[[#This Row],[Description]],'Actuals Lookup'!D:F,3,0),Table2[[#This Row],[Manual Cat Value]])</f>
        <v>#N/A</v>
      </c>
      <c r="J4743" s="2">
        <v>618.65</v>
      </c>
      <c r="K4743" s="2" t="b">
        <v>0</v>
      </c>
      <c r="L4743" s="2"/>
      <c r="M4743" s="2"/>
      <c r="N4743" s="4" t="s">
        <v>2259</v>
      </c>
      <c r="O4743" s="4" t="str">
        <f>LEFT(Table2[[#This Row],[Description]],75)</f>
        <v>To Loan 02</v>
      </c>
      <c r="P4743" s="2" t="s">
        <v>2316</v>
      </c>
    </row>
    <row r="4744" spans="1:16" hidden="1">
      <c r="A4744" s="2">
        <v>202105</v>
      </c>
      <c r="B4744" s="3">
        <v>44318</v>
      </c>
      <c r="C4744" s="2" t="s">
        <v>2262</v>
      </c>
      <c r="D4744" s="2" t="s">
        <v>1357</v>
      </c>
      <c r="E4744" s="2">
        <v>85.8</v>
      </c>
      <c r="F4744" s="2" t="e">
        <f>IF(Table2[[#This Row],[Manual Cat Value]]="",VLOOKUP(Table2[[#This Row],[Description]],'Actuals Lookup'!D:F,3,0),Table2[[#This Row],[Manual Cat Value]])</f>
        <v>#N/A</v>
      </c>
      <c r="J4744" s="2">
        <v>85.8</v>
      </c>
      <c r="K4744" s="2" t="b">
        <v>0</v>
      </c>
      <c r="L4744" s="2"/>
      <c r="M4744" s="2"/>
      <c r="N4744" s="4" t="s">
        <v>2259</v>
      </c>
      <c r="O4744" s="4" t="str">
        <f>LEFT(Table2[[#This Row],[Description]],75)</f>
        <v>NORTH COOP CHAHASSEN MN</v>
      </c>
      <c r="P4744" s="2" t="s">
        <v>2326</v>
      </c>
    </row>
    <row r="4745" spans="1:16" hidden="1">
      <c r="A4745" s="2">
        <v>202105</v>
      </c>
      <c r="B4745" s="3">
        <v>44319</v>
      </c>
      <c r="C4745" s="2" t="s">
        <v>2270</v>
      </c>
      <c r="D4745" s="2" t="s">
        <v>1410</v>
      </c>
      <c r="E4745" s="2">
        <v>-731.15</v>
      </c>
      <c r="F4745" s="2" t="str">
        <f>IF(Table2[[#This Row],[Manual Cat Value]]="",VLOOKUP(Table2[[#This Row],[Description]],'Actuals Lookup'!D:F,3,0),Table2[[#This Row],[Manual Cat Value]])</f>
        <v>Delete</v>
      </c>
      <c r="J4745" s="2">
        <v>731.15</v>
      </c>
      <c r="K4745" s="2" t="b">
        <v>0</v>
      </c>
      <c r="L4745" s="2"/>
      <c r="M4745" s="2"/>
      <c r="N4745" s="4" t="s">
        <v>2273</v>
      </c>
      <c r="O4745" s="4" t="str">
        <f>LEFT(Table2[[#This Row],[Description]],75)</f>
        <v>PAYMENT</v>
      </c>
      <c r="P4745" s="2" t="s">
        <v>2492</v>
      </c>
    </row>
    <row r="4746" spans="1:16" hidden="1">
      <c r="A4746" s="2">
        <v>202105</v>
      </c>
      <c r="B4746" s="3">
        <v>44319</v>
      </c>
      <c r="C4746" s="2" t="s">
        <v>2317</v>
      </c>
      <c r="D4746" s="2" t="s">
        <v>93</v>
      </c>
      <c r="E4746" s="2">
        <v>-132.82</v>
      </c>
      <c r="F4746" s="2" t="e">
        <f>IF(Table2[[#This Row],[Manual Cat Value]]="",VLOOKUP(Table2[[#This Row],[Description]],'Actuals Lookup'!D:F,3,0),Table2[[#This Row],[Manual Cat Value]])</f>
        <v>#N/A</v>
      </c>
      <c r="J4746" s="2">
        <v>132.82</v>
      </c>
      <c r="K4746" s="2" t="b">
        <v>0</v>
      </c>
      <c r="L4746" s="2"/>
      <c r="M4746" s="2"/>
      <c r="N4746" s="4" t="s">
        <v>2273</v>
      </c>
      <c r="O4746" s="4" t="str">
        <f>LEFT(Table2[[#This Row],[Description]],75)</f>
        <v>A T &amp; T INC</v>
      </c>
      <c r="P4746" s="2" t="s">
        <v>2392</v>
      </c>
    </row>
    <row r="4747" spans="1:16" hidden="1">
      <c r="A4747" s="2">
        <v>202105</v>
      </c>
      <c r="B4747" s="3">
        <v>44319</v>
      </c>
      <c r="C4747" s="2" t="s">
        <v>2258</v>
      </c>
      <c r="D4747" s="2" t="s">
        <v>38</v>
      </c>
      <c r="E4747" s="2">
        <v>22.5</v>
      </c>
      <c r="F4747" s="2" t="str">
        <f>IF(Table2[[#This Row],[Manual Cat Value]]="",VLOOKUP(Table2[[#This Row],[Description]],'Actuals Lookup'!D:F,3,0),Table2[[#This Row],[Manual Cat Value]])</f>
        <v>Amazon</v>
      </c>
      <c r="J4747" s="2">
        <v>22.5</v>
      </c>
      <c r="K4747" s="2" t="b">
        <v>0</v>
      </c>
      <c r="L4747" s="2"/>
      <c r="M4747" s="2"/>
      <c r="N4747" s="4" t="s">
        <v>2259</v>
      </c>
      <c r="O4747" s="4" t="str">
        <f>LEFT(Table2[[#This Row],[Description]],75)</f>
        <v>Amazon</v>
      </c>
      <c r="P4747" s="2" t="s">
        <v>2260</v>
      </c>
    </row>
    <row r="4748" spans="1:16" hidden="1">
      <c r="A4748" s="2">
        <v>202105</v>
      </c>
      <c r="B4748" s="3">
        <v>44319</v>
      </c>
      <c r="C4748" s="2" t="s">
        <v>2447</v>
      </c>
      <c r="D4748" s="2" t="s">
        <v>38</v>
      </c>
      <c r="E4748" s="2">
        <v>22.5</v>
      </c>
      <c r="F4748" s="2" t="str">
        <f>IF(Table2[[#This Row],[Manual Cat Value]]="",VLOOKUP(Table2[[#This Row],[Description]],'Actuals Lookup'!D:F,3,0),Table2[[#This Row],[Manual Cat Value]])</f>
        <v>Amazon</v>
      </c>
      <c r="J4748" s="2">
        <v>22.5</v>
      </c>
      <c r="K4748" s="2" t="b">
        <v>0</v>
      </c>
      <c r="L4748" s="2"/>
      <c r="M4748" s="2"/>
      <c r="N4748" s="4" t="s">
        <v>2259</v>
      </c>
      <c r="O4748" s="4" t="str">
        <f>LEFT(Table2[[#This Row],[Description]],75)</f>
        <v>Amazon</v>
      </c>
      <c r="P4748" s="2" t="s">
        <v>2260</v>
      </c>
    </row>
    <row r="4749" spans="1:16" hidden="1">
      <c r="A4749" s="2">
        <v>202105</v>
      </c>
      <c r="B4749" s="3">
        <v>44319</v>
      </c>
      <c r="C4749" s="2" t="s">
        <v>2265</v>
      </c>
      <c r="D4749" s="2" t="s">
        <v>254</v>
      </c>
      <c r="E4749" s="2">
        <v>2832.55</v>
      </c>
      <c r="F4749" s="2" t="str">
        <f>IF(Table2[[#This Row],[Manual Cat Value]]="",VLOOKUP(Table2[[#This Row],[Description]],'Actuals Lookup'!D:F,3,0),Table2[[#This Row],[Manual Cat Value]])</f>
        <v>Rent</v>
      </c>
      <c r="J4749" s="2">
        <v>2832.55</v>
      </c>
      <c r="K4749" s="2" t="b">
        <v>0</v>
      </c>
      <c r="L4749" s="2"/>
      <c r="M4749" s="2"/>
      <c r="N4749" s="4" t="s">
        <v>2259</v>
      </c>
      <c r="O4749" s="4" t="str">
        <f>LEFT(Table2[[#This Row],[Description]],75)</f>
        <v>Baxter Credit Union</v>
      </c>
      <c r="P4749" s="2" t="s">
        <v>2281</v>
      </c>
    </row>
    <row r="4750" spans="1:16" hidden="1">
      <c r="A4750" s="2">
        <v>202105</v>
      </c>
      <c r="B4750" s="3">
        <v>44319</v>
      </c>
      <c r="C4750" s="2" t="s">
        <v>2265</v>
      </c>
      <c r="D4750" s="2" t="s">
        <v>598</v>
      </c>
      <c r="E4750" s="2">
        <v>200</v>
      </c>
      <c r="F4750" s="2" t="e">
        <f>IF(Table2[[#This Row],[Manual Cat Value]]="",VLOOKUP(Table2[[#This Row],[Description]],'Actuals Lookup'!D:F,3,0),Table2[[#This Row],[Manual Cat Value]])</f>
        <v>#N/A</v>
      </c>
      <c r="J4750" s="2">
        <v>200</v>
      </c>
      <c r="K4750" s="2" t="b">
        <v>0</v>
      </c>
      <c r="L4750" s="2"/>
      <c r="M4750" s="2"/>
      <c r="N4750" s="4" t="s">
        <v>2259</v>
      </c>
      <c r="O4750" s="4" t="str">
        <f>LEFT(Table2[[#This Row],[Description]],75)</f>
        <v>College Savings TYPE ACH ID XX58 College Savings TYPE ACH ID 550895818 CO C</v>
      </c>
      <c r="P4750" s="2" t="s">
        <v>2272</v>
      </c>
    </row>
    <row r="4751" spans="1:16" hidden="1">
      <c r="A4751" s="2">
        <v>202105</v>
      </c>
      <c r="B4751" s="3">
        <v>44319</v>
      </c>
      <c r="C4751" s="2" t="s">
        <v>2262</v>
      </c>
      <c r="D4751" s="2" t="s">
        <v>684</v>
      </c>
      <c r="E4751" s="2">
        <v>232.12</v>
      </c>
      <c r="F4751" s="2" t="str">
        <f>IF(Table2[[#This Row],[Manual Cat Value]]="",VLOOKUP(Table2[[#This Row],[Description]],'Actuals Lookup'!D:F,3,0),Table2[[#This Row],[Manual Cat Value]])</f>
        <v>Groceries</v>
      </c>
      <c r="J4751" s="2">
        <v>232.12</v>
      </c>
      <c r="K4751" s="2" t="b">
        <v>0</v>
      </c>
      <c r="L4751" s="2"/>
      <c r="M4751" s="2"/>
      <c r="N4751" s="4" t="s">
        <v>2259</v>
      </c>
      <c r="O4751" s="4" t="str">
        <f>LEFT(Table2[[#This Row],[Description]],75)</f>
        <v>Cub Foods</v>
      </c>
      <c r="P4751" s="2" t="s">
        <v>2370</v>
      </c>
    </row>
    <row r="4752" spans="1:16" hidden="1">
      <c r="A4752" s="2">
        <v>202105</v>
      </c>
      <c r="B4752" s="3">
        <v>44319</v>
      </c>
      <c r="C4752" s="2" t="s">
        <v>2262</v>
      </c>
      <c r="D4752" s="2" t="s">
        <v>701</v>
      </c>
      <c r="E4752" s="2">
        <v>5</v>
      </c>
      <c r="F4752" s="2" t="str">
        <f>IF(Table2[[#This Row],[Manual Cat Value]]="",VLOOKUP(Table2[[#This Row],[Description]],'Actuals Lookup'!D:F,3,0),Table2[[#This Row],[Manual Cat Value]])</f>
        <v>Restaurants</v>
      </c>
      <c r="J4752" s="2">
        <v>5</v>
      </c>
      <c r="K4752" s="2" t="b">
        <v>0</v>
      </c>
      <c r="L4752" s="2"/>
      <c r="M4752" s="2"/>
      <c r="N4752" s="4" t="s">
        <v>2259</v>
      </c>
      <c r="O4752" s="4" t="str">
        <f>LEFT(Table2[[#This Row],[Description]],75)</f>
        <v>Delaware North</v>
      </c>
      <c r="P4752" s="2" t="s">
        <v>2281</v>
      </c>
    </row>
    <row r="4753" spans="1:16" hidden="1">
      <c r="A4753" s="2">
        <v>202105</v>
      </c>
      <c r="B4753" s="3">
        <v>44319</v>
      </c>
      <c r="C4753" s="2" t="s">
        <v>2262</v>
      </c>
      <c r="D4753" s="2" t="s">
        <v>701</v>
      </c>
      <c r="E4753" s="2">
        <v>6.5</v>
      </c>
      <c r="F4753" s="2" t="str">
        <f>IF(Table2[[#This Row],[Manual Cat Value]]="",VLOOKUP(Table2[[#This Row],[Description]],'Actuals Lookup'!D:F,3,0),Table2[[#This Row],[Manual Cat Value]])</f>
        <v>Restaurants</v>
      </c>
      <c r="J4753" s="2">
        <v>6.5</v>
      </c>
      <c r="K4753" s="2" t="b">
        <v>0</v>
      </c>
      <c r="L4753" s="2"/>
      <c r="M4753" s="2"/>
      <c r="N4753" s="4" t="s">
        <v>2259</v>
      </c>
      <c r="O4753" s="4" t="str">
        <f>LEFT(Table2[[#This Row],[Description]],75)</f>
        <v>Delaware North</v>
      </c>
      <c r="P4753" s="2" t="s">
        <v>2281</v>
      </c>
    </row>
    <row r="4754" spans="1:16" hidden="1">
      <c r="A4754" s="2">
        <v>202105</v>
      </c>
      <c r="B4754" s="3">
        <v>44319</v>
      </c>
      <c r="C4754" s="2" t="s">
        <v>2262</v>
      </c>
      <c r="D4754" s="2" t="s">
        <v>701</v>
      </c>
      <c r="E4754" s="2">
        <v>39.6</v>
      </c>
      <c r="F4754" s="2" t="str">
        <f>IF(Table2[[#This Row],[Manual Cat Value]]="",VLOOKUP(Table2[[#This Row],[Description]],'Actuals Lookup'!D:F,3,0),Table2[[#This Row],[Manual Cat Value]])</f>
        <v>Restaurants</v>
      </c>
      <c r="J4754" s="2">
        <v>39.6</v>
      </c>
      <c r="K4754" s="2" t="b">
        <v>0</v>
      </c>
      <c r="L4754" s="2"/>
      <c r="M4754" s="2"/>
      <c r="N4754" s="4" t="s">
        <v>2259</v>
      </c>
      <c r="O4754" s="4" t="str">
        <f>LEFT(Table2[[#This Row],[Description]],75)</f>
        <v>Delaware North</v>
      </c>
      <c r="P4754" s="2" t="s">
        <v>2281</v>
      </c>
    </row>
    <row r="4755" spans="1:16" hidden="1">
      <c r="A4755" s="2">
        <v>202105</v>
      </c>
      <c r="B4755" s="3">
        <v>44319</v>
      </c>
      <c r="C4755" s="2" t="s">
        <v>2262</v>
      </c>
      <c r="D4755" s="2" t="s">
        <v>701</v>
      </c>
      <c r="E4755" s="2">
        <v>41</v>
      </c>
      <c r="F4755" s="2" t="str">
        <f>IF(Table2[[#This Row],[Manual Cat Value]]="",VLOOKUP(Table2[[#This Row],[Description]],'Actuals Lookup'!D:F,3,0),Table2[[#This Row],[Manual Cat Value]])</f>
        <v>Restaurants</v>
      </c>
      <c r="J4755" s="2">
        <v>41</v>
      </c>
      <c r="K4755" s="2" t="b">
        <v>0</v>
      </c>
      <c r="L4755" s="2"/>
      <c r="M4755" s="2"/>
      <c r="N4755" s="4" t="s">
        <v>2259</v>
      </c>
      <c r="O4755" s="4" t="str">
        <f>LEFT(Table2[[#This Row],[Description]],75)</f>
        <v>Delaware North</v>
      </c>
      <c r="P4755" s="2" t="s">
        <v>2281</v>
      </c>
    </row>
    <row r="4756" spans="1:16" hidden="1">
      <c r="A4756" s="2">
        <v>202105</v>
      </c>
      <c r="B4756" s="3">
        <v>44319</v>
      </c>
      <c r="C4756" s="2" t="s">
        <v>2262</v>
      </c>
      <c r="D4756" s="2" t="s">
        <v>927</v>
      </c>
      <c r="E4756" s="2">
        <v>18</v>
      </c>
      <c r="F4756" s="2" t="e">
        <f>IF(Table2[[#This Row],[Manual Cat Value]]="",VLOOKUP(Table2[[#This Row],[Description]],'Actuals Lookup'!D:F,3,0),Table2[[#This Row],[Manual Cat Value]])</f>
        <v>#N/A</v>
      </c>
      <c r="J4756" s="2">
        <v>18</v>
      </c>
      <c r="K4756" s="2" t="b">
        <v>0</v>
      </c>
      <c r="L4756" s="2"/>
      <c r="M4756" s="2"/>
      <c r="N4756" s="4" t="s">
        <v>2259</v>
      </c>
      <c r="O4756" s="4" t="str">
        <f>LEFT(Table2[[#This Row],[Description]],75)</f>
        <v>HBRSUBSCRIPTION XX0886 MA HBRSUBSCRIPTION 8009880886 MA</v>
      </c>
      <c r="P4756" s="2" t="s">
        <v>2281</v>
      </c>
    </row>
    <row r="4757" spans="1:16" hidden="1">
      <c r="A4757" s="2">
        <v>202105</v>
      </c>
      <c r="B4757" s="3">
        <v>44319</v>
      </c>
      <c r="C4757" s="2" t="s">
        <v>2258</v>
      </c>
      <c r="D4757" s="2" t="s">
        <v>1083</v>
      </c>
      <c r="E4757" s="2">
        <v>24.41</v>
      </c>
      <c r="F4757" s="2" t="str">
        <f>IF(Table2[[#This Row],[Manual Cat Value]]="",VLOOKUP(Table2[[#This Row],[Description]],'Actuals Lookup'!D:F,3,0),Table2[[#This Row],[Manual Cat Value]])</f>
        <v>Transportation</v>
      </c>
      <c r="J4757" s="2">
        <v>24.41</v>
      </c>
      <c r="K4757" s="2" t="b">
        <v>0</v>
      </c>
      <c r="L4757" s="2"/>
      <c r="M4757" s="2"/>
      <c r="N4757" s="4" t="s">
        <v>2259</v>
      </c>
      <c r="O4757" s="4" t="str">
        <f>LEFT(Table2[[#This Row],[Description]],75)</f>
        <v>Kwik Trip</v>
      </c>
      <c r="P4757" s="2" t="s">
        <v>2509</v>
      </c>
    </row>
    <row r="4758" spans="1:16" hidden="1">
      <c r="A4758" s="2">
        <v>202105</v>
      </c>
      <c r="B4758" s="3">
        <v>44319</v>
      </c>
      <c r="C4758" s="2" t="s">
        <v>2447</v>
      </c>
      <c r="D4758" s="2" t="s">
        <v>1083</v>
      </c>
      <c r="E4758" s="2">
        <v>24.41</v>
      </c>
      <c r="F4758" s="2" t="str">
        <f>IF(Table2[[#This Row],[Manual Cat Value]]="",VLOOKUP(Table2[[#This Row],[Description]],'Actuals Lookup'!D:F,3,0),Table2[[#This Row],[Manual Cat Value]])</f>
        <v>Transportation</v>
      </c>
      <c r="J4758" s="2">
        <v>24.41</v>
      </c>
      <c r="K4758" s="2" t="b">
        <v>0</v>
      </c>
      <c r="L4758" s="2"/>
      <c r="M4758" s="2"/>
      <c r="N4758" s="4" t="s">
        <v>2259</v>
      </c>
      <c r="O4758" s="4" t="str">
        <f>LEFT(Table2[[#This Row],[Description]],75)</f>
        <v>Kwik Trip</v>
      </c>
      <c r="P4758" s="2" t="s">
        <v>2509</v>
      </c>
    </row>
    <row r="4759" spans="1:16" hidden="1">
      <c r="A4759" s="2">
        <v>202105</v>
      </c>
      <c r="B4759" s="3">
        <v>44319</v>
      </c>
      <c r="C4759" s="2" t="s">
        <v>2270</v>
      </c>
      <c r="D4759" s="2" t="s">
        <v>1524</v>
      </c>
      <c r="E4759" s="2">
        <v>-431</v>
      </c>
      <c r="F4759" s="2" t="e">
        <f>IF(Table2[[#This Row],[Manual Cat Value]]="",VLOOKUP(Table2[[#This Row],[Description]],'Actuals Lookup'!D:F,3,0),Table2[[#This Row],[Manual Cat Value]])</f>
        <v>#N/A</v>
      </c>
      <c r="J4759" s="2">
        <v>431</v>
      </c>
      <c r="K4759" s="2" t="b">
        <v>0</v>
      </c>
      <c r="L4759" s="2"/>
      <c r="M4759" s="2"/>
      <c r="N4759" s="4" t="s">
        <v>2273</v>
      </c>
      <c r="O4759" s="4" t="str">
        <f>LEFT(Table2[[#This Row],[Description]],75)</f>
        <v>Principal Curtailment</v>
      </c>
      <c r="P4759" s="2" t="s">
        <v>2514</v>
      </c>
    </row>
    <row r="4760" spans="1:16" hidden="1">
      <c r="A4760" s="2">
        <v>202105</v>
      </c>
      <c r="B4760" s="3">
        <v>44319</v>
      </c>
      <c r="C4760" s="2" t="s">
        <v>2317</v>
      </c>
      <c r="D4760" s="2" t="s">
        <v>1786</v>
      </c>
      <c r="E4760" s="2">
        <v>25.46</v>
      </c>
      <c r="F4760" s="2" t="e">
        <f>IF(Table2[[#This Row],[Manual Cat Value]]="",VLOOKUP(Table2[[#This Row],[Description]],'Actuals Lookup'!D:F,3,0),Table2[[#This Row],[Manual Cat Value]])</f>
        <v>#N/A</v>
      </c>
      <c r="J4760" s="2">
        <v>25.46</v>
      </c>
      <c r="K4760" s="2" t="b">
        <v>0</v>
      </c>
      <c r="L4760" s="2"/>
      <c r="M4760" s="2"/>
      <c r="N4760" s="4" t="s">
        <v>2259</v>
      </c>
      <c r="O4760" s="4" t="str">
        <f>LEFT(Table2[[#This Row],[Description]],75)</f>
        <v>STRYKER CORP</v>
      </c>
      <c r="P4760" s="2" t="s">
        <v>2385</v>
      </c>
    </row>
    <row r="4761" spans="1:16" hidden="1">
      <c r="A4761" s="2">
        <v>202105</v>
      </c>
      <c r="B4761" s="3">
        <v>44320</v>
      </c>
      <c r="C4761" s="2" t="s">
        <v>2317</v>
      </c>
      <c r="D4761" s="2" t="s">
        <v>93</v>
      </c>
      <c r="E4761" s="2">
        <v>132.82</v>
      </c>
      <c r="F4761" s="2" t="e">
        <f>IF(Table2[[#This Row],[Manual Cat Value]]="",VLOOKUP(Table2[[#This Row],[Description]],'Actuals Lookup'!D:F,3,0),Table2[[#This Row],[Manual Cat Value]])</f>
        <v>#N/A</v>
      </c>
      <c r="J4761" s="2">
        <v>132.82</v>
      </c>
      <c r="K4761" s="2" t="b">
        <v>0</v>
      </c>
      <c r="L4761" s="2"/>
      <c r="M4761" s="2"/>
      <c r="N4761" s="4" t="s">
        <v>2259</v>
      </c>
      <c r="O4761" s="4" t="str">
        <f>LEFT(Table2[[#This Row],[Description]],75)</f>
        <v>A T &amp; T INC</v>
      </c>
      <c r="P4761" s="2" t="s">
        <v>2392</v>
      </c>
    </row>
    <row r="4762" spans="1:16" hidden="1">
      <c r="A4762" s="2">
        <v>202105</v>
      </c>
      <c r="B4762" s="3">
        <v>44320</v>
      </c>
      <c r="C4762" s="2" t="s">
        <v>2265</v>
      </c>
      <c r="D4762" s="2" t="s">
        <v>1196</v>
      </c>
      <c r="E4762" s="2">
        <v>425</v>
      </c>
      <c r="F4762" s="2" t="e">
        <f>IF(Table2[[#This Row],[Manual Cat Value]]="",VLOOKUP(Table2[[#This Row],[Description]],'Actuals Lookup'!D:F,3,0),Table2[[#This Row],[Manual Cat Value]])</f>
        <v>#N/A</v>
      </c>
      <c r="J4762" s="2">
        <v>425</v>
      </c>
      <c r="K4762" s="2" t="b">
        <v>0</v>
      </c>
      <c r="L4762" s="2"/>
      <c r="M4762" s="2"/>
      <c r="N4762" s="4" t="s">
        <v>2259</v>
      </c>
      <c r="O4762" s="4" t="str">
        <f>LEFT(Table2[[#This Row],[Description]],75)</f>
        <v>MHCHILDCARELLC TYPE DUES ID CO M MHCHILDCARELLC TYPE DUES ID CO MHCHILDCARE</v>
      </c>
      <c r="P4762" s="2" t="s">
        <v>2497</v>
      </c>
    </row>
    <row r="4763" spans="1:16" hidden="1">
      <c r="A4763" s="2">
        <v>202105</v>
      </c>
      <c r="B4763" s="3">
        <v>44320</v>
      </c>
      <c r="C4763" s="2" t="s">
        <v>2262</v>
      </c>
      <c r="D4763" s="2" t="s">
        <v>1925</v>
      </c>
      <c r="E4763" s="2">
        <v>126.25</v>
      </c>
      <c r="F4763" s="2" t="str">
        <f>IF(Table2[[#This Row],[Manual Cat Value]]="",VLOOKUP(Table2[[#This Row],[Description]],'Actuals Lookup'!D:F,3,0),Table2[[#This Row],[Manual Cat Value]])</f>
        <v>Groceries</v>
      </c>
      <c r="J4763" s="2">
        <v>126.25</v>
      </c>
      <c r="K4763" s="2" t="b">
        <v>0</v>
      </c>
      <c r="L4763" s="2"/>
      <c r="M4763" s="2"/>
      <c r="N4763" s="4" t="s">
        <v>2259</v>
      </c>
      <c r="O4763" s="4" t="str">
        <f>LEFT(Table2[[#This Row],[Description]],75)</f>
        <v>Total Wine &amp; More</v>
      </c>
      <c r="P4763" s="2" t="s">
        <v>2281</v>
      </c>
    </row>
    <row r="4764" spans="1:16" hidden="1">
      <c r="A4764" s="2">
        <v>202105</v>
      </c>
      <c r="B4764" s="3">
        <v>44321</v>
      </c>
      <c r="C4764" s="2" t="s">
        <v>2265</v>
      </c>
      <c r="D4764" s="2" t="s">
        <v>1083</v>
      </c>
      <c r="E4764" s="2">
        <v>200</v>
      </c>
      <c r="F4764" s="2" t="str">
        <f>IF(Table2[[#This Row],[Manual Cat Value]]="",VLOOKUP(Table2[[#This Row],[Description]],'Actuals Lookup'!D:F,3,0),Table2[[#This Row],[Manual Cat Value]])</f>
        <v>Transportation</v>
      </c>
      <c r="J4764" s="2">
        <v>200</v>
      </c>
      <c r="K4764" s="2" t="b">
        <v>0</v>
      </c>
      <c r="L4764" s="2"/>
      <c r="M4764" s="2"/>
      <c r="N4764" s="4" t="s">
        <v>2259</v>
      </c>
      <c r="O4764" s="4" t="str">
        <f>LEFT(Table2[[#This Row],[Description]],75)</f>
        <v>Kwik Trip</v>
      </c>
      <c r="P4764" s="2" t="s">
        <v>2509</v>
      </c>
    </row>
    <row r="4765" spans="1:16" hidden="1">
      <c r="A4765" s="2">
        <v>202105</v>
      </c>
      <c r="B4765" s="3">
        <v>44321</v>
      </c>
      <c r="C4765" s="2" t="s">
        <v>2317</v>
      </c>
      <c r="D4765" s="2" t="s">
        <v>1140</v>
      </c>
      <c r="E4765" s="2">
        <v>-14.91</v>
      </c>
      <c r="F4765" s="2" t="e">
        <f>IF(Table2[[#This Row],[Manual Cat Value]]="",VLOOKUP(Table2[[#This Row],[Description]],'Actuals Lookup'!D:F,3,0),Table2[[#This Row],[Manual Cat Value]])</f>
        <v>#N/A</v>
      </c>
      <c r="J4765" s="2">
        <v>14.91</v>
      </c>
      <c r="K4765" s="2" t="b">
        <v>0</v>
      </c>
      <c r="L4765" s="2"/>
      <c r="M4765" s="2"/>
      <c r="N4765" s="4" t="s">
        <v>2273</v>
      </c>
      <c r="O4765" s="4" t="str">
        <f>LEFT(Table2[[#This Row],[Description]],75)</f>
        <v>LOWES COS INC</v>
      </c>
      <c r="P4765" s="2" t="s">
        <v>2515</v>
      </c>
    </row>
    <row r="4766" spans="1:16" hidden="1">
      <c r="A4766" s="2">
        <v>202105</v>
      </c>
      <c r="B4766" s="3">
        <v>44321</v>
      </c>
      <c r="C4766" s="2" t="s">
        <v>2317</v>
      </c>
      <c r="D4766" s="2" t="s">
        <v>1635</v>
      </c>
      <c r="E4766" s="2">
        <v>200</v>
      </c>
      <c r="F4766" s="2" t="e">
        <f>IF(Table2[[#This Row],[Manual Cat Value]]="",VLOOKUP(Table2[[#This Row],[Description]],'Actuals Lookup'!D:F,3,0),Table2[[#This Row],[Manual Cat Value]])</f>
        <v>#N/A</v>
      </c>
      <c r="J4766" s="2">
        <v>200</v>
      </c>
      <c r="K4766" s="2" t="b">
        <v>0</v>
      </c>
      <c r="L4766" s="2"/>
      <c r="M4766" s="2"/>
      <c r="N4766" s="4" t="s">
        <v>2259</v>
      </c>
      <c r="O4766" s="4" t="str">
        <f>LEFT(Table2[[#This Row],[Description]],75)</f>
        <v>SCHWAB TOTAL STOCK MKT INDEX</v>
      </c>
      <c r="P4766" s="2" t="s">
        <v>2278</v>
      </c>
    </row>
    <row r="4767" spans="1:16" hidden="1">
      <c r="A4767" s="2">
        <v>202105</v>
      </c>
      <c r="B4767" s="3">
        <v>44321</v>
      </c>
      <c r="C4767" s="2" t="s">
        <v>2262</v>
      </c>
      <c r="D4767" s="2" t="s">
        <v>1666</v>
      </c>
      <c r="E4767" s="2">
        <v>101.15</v>
      </c>
      <c r="F4767" s="2" t="e">
        <f>IF(Table2[[#This Row],[Manual Cat Value]]="",VLOOKUP(Table2[[#This Row],[Description]],'Actuals Lookup'!D:F,3,0),Table2[[#This Row],[Manual Cat Value]])</f>
        <v>#N/A</v>
      </c>
      <c r="J4767" s="2">
        <v>101.15</v>
      </c>
      <c r="K4767" s="2" t="b">
        <v>0</v>
      </c>
      <c r="L4767" s="2"/>
      <c r="M4767" s="2"/>
      <c r="N4767" s="4" t="s">
        <v>2259</v>
      </c>
      <c r="O4767" s="4" t="str">
        <f>LEFT(Table2[[#This Row],[Description]],75)</f>
        <v>SignUp OutrunALD2021 XX1360 NJ SignUp OutrunALD2021 8883851360 NJ</v>
      </c>
      <c r="P4767" s="2" t="s">
        <v>2281</v>
      </c>
    </row>
    <row r="4768" spans="1:16" hidden="1">
      <c r="A4768" s="2">
        <v>202105</v>
      </c>
      <c r="B4768" s="3">
        <v>44321</v>
      </c>
      <c r="C4768" s="2" t="s">
        <v>2274</v>
      </c>
      <c r="D4768" s="2" t="s">
        <v>2110</v>
      </c>
      <c r="E4768" s="2">
        <v>-294.64</v>
      </c>
      <c r="F4768" s="2" t="e">
        <f>IF(Table2[[#This Row],[Manual Cat Value]]="",VLOOKUP(Table2[[#This Row],[Description]],'Actuals Lookup'!D:F,3,0),Table2[[#This Row],[Manual Cat Value]])</f>
        <v>#N/A</v>
      </c>
      <c r="J4768" s="2">
        <v>294.64</v>
      </c>
      <c r="K4768" s="2" t="b">
        <v>0</v>
      </c>
      <c r="L4768" s="2"/>
      <c r="M4768" s="2"/>
      <c r="N4768" s="4" t="s">
        <v>2273</v>
      </c>
      <c r="O4768" s="4" t="str">
        <f>LEFT(Table2[[#This Row],[Description]],75)</f>
        <v>Venmo Cashout</v>
      </c>
      <c r="P4768" s="2" t="s">
        <v>2281</v>
      </c>
    </row>
    <row r="4769" spans="1:16" hidden="1">
      <c r="A4769" s="2">
        <v>202105</v>
      </c>
      <c r="B4769" s="3">
        <v>44322</v>
      </c>
      <c r="C4769" s="2" t="s">
        <v>2262</v>
      </c>
      <c r="D4769" s="2" t="s">
        <v>543</v>
      </c>
      <c r="E4769" s="2">
        <v>29.21</v>
      </c>
      <c r="F4769" s="2" t="e">
        <f>IF(Table2[[#This Row],[Manual Cat Value]]="",VLOOKUP(Table2[[#This Row],[Description]],'Actuals Lookup'!D:F,3,0),Table2[[#This Row],[Manual Cat Value]])</f>
        <v>#N/A</v>
      </c>
      <c r="J4769" s="2">
        <v>29.21</v>
      </c>
      <c r="K4769" s="2" t="b">
        <v>0</v>
      </c>
      <c r="L4769" s="2"/>
      <c r="M4769" s="2"/>
      <c r="N4769" s="4" t="s">
        <v>2259</v>
      </c>
      <c r="O4769" s="4" t="str">
        <f>LEFT(Table2[[#This Row],[Description]],75)</f>
        <v>Chipotle</v>
      </c>
      <c r="P4769" s="2" t="s">
        <v>2341</v>
      </c>
    </row>
    <row r="4770" spans="1:16" hidden="1">
      <c r="A4770" s="2">
        <v>202105</v>
      </c>
      <c r="B4770" s="3">
        <v>44322</v>
      </c>
      <c r="C4770" s="2" t="s">
        <v>2258</v>
      </c>
      <c r="D4770" s="2" t="s">
        <v>684</v>
      </c>
      <c r="E4770" s="2">
        <v>27.76</v>
      </c>
      <c r="F4770" s="2" t="str">
        <f>IF(Table2[[#This Row],[Manual Cat Value]]="",VLOOKUP(Table2[[#This Row],[Description]],'Actuals Lookup'!D:F,3,0),Table2[[#This Row],[Manual Cat Value]])</f>
        <v>Groceries</v>
      </c>
      <c r="J4770" s="2">
        <v>27.76</v>
      </c>
      <c r="K4770" s="2" t="b">
        <v>0</v>
      </c>
      <c r="L4770" s="2"/>
      <c r="M4770" s="2"/>
      <c r="N4770" s="4" t="s">
        <v>2259</v>
      </c>
      <c r="O4770" s="4" t="str">
        <f>LEFT(Table2[[#This Row],[Description]],75)</f>
        <v>Cub Foods</v>
      </c>
      <c r="P4770" s="2" t="s">
        <v>2370</v>
      </c>
    </row>
    <row r="4771" spans="1:16" hidden="1">
      <c r="A4771" s="2">
        <v>202105</v>
      </c>
      <c r="B4771" s="3">
        <v>44322</v>
      </c>
      <c r="C4771" s="2" t="s">
        <v>2447</v>
      </c>
      <c r="D4771" s="2" t="s">
        <v>684</v>
      </c>
      <c r="E4771" s="2">
        <v>27.76</v>
      </c>
      <c r="F4771" s="2" t="str">
        <f>IF(Table2[[#This Row],[Manual Cat Value]]="",VLOOKUP(Table2[[#This Row],[Description]],'Actuals Lookup'!D:F,3,0),Table2[[#This Row],[Manual Cat Value]])</f>
        <v>Groceries</v>
      </c>
      <c r="J4771" s="2">
        <v>27.76</v>
      </c>
      <c r="K4771" s="2" t="b">
        <v>0</v>
      </c>
      <c r="L4771" s="2"/>
      <c r="M4771" s="2"/>
      <c r="N4771" s="4" t="s">
        <v>2259</v>
      </c>
      <c r="O4771" s="4" t="str">
        <f>LEFT(Table2[[#This Row],[Description]],75)</f>
        <v>Cub Foods</v>
      </c>
      <c r="P4771" s="2" t="s">
        <v>2370</v>
      </c>
    </row>
    <row r="4772" spans="1:16" hidden="1">
      <c r="A4772" s="2">
        <v>202105</v>
      </c>
      <c r="B4772" s="3">
        <v>44322</v>
      </c>
      <c r="C4772" s="2" t="s">
        <v>2262</v>
      </c>
      <c r="D4772" s="2" t="s">
        <v>902</v>
      </c>
      <c r="E4772" s="2">
        <v>26.58</v>
      </c>
      <c r="F4772" s="2" t="e">
        <f>IF(Table2[[#This Row],[Manual Cat Value]]="",VLOOKUP(Table2[[#This Row],[Description]],'Actuals Lookup'!D:F,3,0),Table2[[#This Row],[Manual Cat Value]])</f>
        <v>#N/A</v>
      </c>
      <c r="J4772" s="2">
        <v>26.58</v>
      </c>
      <c r="K4772" s="2" t="b">
        <v>0</v>
      </c>
      <c r="L4772" s="2"/>
      <c r="M4772" s="2"/>
      <c r="N4772" s="4" t="s">
        <v>2259</v>
      </c>
      <c r="O4772" s="4" t="str">
        <f>LEFT(Table2[[#This Row],[Description]],75)</f>
        <v>GOOD DAY CAFE GOLDEN VALLEYMN</v>
      </c>
      <c r="P4772" s="2" t="s">
        <v>2281</v>
      </c>
    </row>
    <row r="4773" spans="1:16" hidden="1">
      <c r="A4773" s="2">
        <v>202105</v>
      </c>
      <c r="B4773" s="3">
        <v>44322</v>
      </c>
      <c r="C4773" s="2" t="s">
        <v>2317</v>
      </c>
      <c r="D4773" s="2" t="s">
        <v>1140</v>
      </c>
      <c r="E4773" s="2">
        <v>14.91</v>
      </c>
      <c r="F4773" s="2" t="e">
        <f>IF(Table2[[#This Row],[Manual Cat Value]]="",VLOOKUP(Table2[[#This Row],[Description]],'Actuals Lookup'!D:F,3,0),Table2[[#This Row],[Manual Cat Value]])</f>
        <v>#N/A</v>
      </c>
      <c r="J4773" s="2">
        <v>14.91</v>
      </c>
      <c r="K4773" s="2" t="b">
        <v>0</v>
      </c>
      <c r="L4773" s="2"/>
      <c r="M4773" s="2"/>
      <c r="N4773" s="4" t="s">
        <v>2259</v>
      </c>
      <c r="O4773" s="4" t="str">
        <f>LEFT(Table2[[#This Row],[Description]],75)</f>
        <v>LOWES COS INC</v>
      </c>
      <c r="P4773" s="2" t="s">
        <v>2515</v>
      </c>
    </row>
    <row r="4774" spans="1:16" hidden="1">
      <c r="A4774" s="2">
        <v>202105</v>
      </c>
      <c r="B4774" s="3">
        <v>44322</v>
      </c>
      <c r="C4774" s="2" t="s">
        <v>2265</v>
      </c>
      <c r="D4774" s="2" t="s">
        <v>2140</v>
      </c>
      <c r="E4774" s="2">
        <v>130.41999999999999</v>
      </c>
      <c r="F4774" s="2" t="e">
        <f>IF(Table2[[#This Row],[Manual Cat Value]]="",VLOOKUP(Table2[[#This Row],[Description]],'Actuals Lookup'!D:F,3,0),Table2[[#This Row],[Manual Cat Value]])</f>
        <v>#N/A</v>
      </c>
      <c r="J4774" s="2">
        <v>130.41999999999999</v>
      </c>
      <c r="K4774" s="2" t="b">
        <v>0</v>
      </c>
      <c r="L4774" s="2"/>
      <c r="M4774" s="2"/>
      <c r="N4774" s="4" t="s">
        <v>2259</v>
      </c>
      <c r="O4774" s="4" t="str">
        <f>LEFT(Table2[[#This Row],[Description]],75)</f>
        <v>Waste Management</v>
      </c>
      <c r="P4774" s="2" t="s">
        <v>2318</v>
      </c>
    </row>
    <row r="4775" spans="1:16" hidden="1">
      <c r="A4775" s="2">
        <v>202105</v>
      </c>
      <c r="B4775" s="3">
        <v>44322</v>
      </c>
      <c r="C4775" s="2" t="s">
        <v>2265</v>
      </c>
      <c r="D4775" s="2" t="s">
        <v>2221</v>
      </c>
      <c r="E4775" s="2">
        <v>121.59</v>
      </c>
      <c r="F4775" s="2" t="str">
        <f>IF(Table2[[#This Row],[Manual Cat Value]]="",VLOOKUP(Table2[[#This Row],[Description]],'Actuals Lookup'!D:F,3,0),Table2[[#This Row],[Manual Cat Value]])</f>
        <v>Utilities</v>
      </c>
      <c r="J4775" s="2">
        <v>121.59</v>
      </c>
      <c r="K4775" s="2" t="b">
        <v>0</v>
      </c>
      <c r="L4775" s="2"/>
      <c r="M4775" s="2"/>
      <c r="N4775" s="4" t="s">
        <v>2259</v>
      </c>
      <c r="O4775" s="4" t="str">
        <f>LEFT(Table2[[#This Row],[Description]],75)</f>
        <v>Xcel Energy</v>
      </c>
      <c r="P4775" s="2" t="s">
        <v>2280</v>
      </c>
    </row>
    <row r="4776" spans="1:16" hidden="1">
      <c r="A4776" s="2">
        <v>202105</v>
      </c>
      <c r="B4776" s="3">
        <v>44323</v>
      </c>
      <c r="C4776" s="2" t="s">
        <v>2262</v>
      </c>
      <c r="D4776" s="2" t="s">
        <v>161</v>
      </c>
      <c r="E4776" s="2">
        <v>-181.48</v>
      </c>
      <c r="F4776" s="2" t="str">
        <f>IF(Table2[[#This Row],[Manual Cat Value]]="",VLOOKUP(Table2[[#This Row],[Description]],'Actuals Lookup'!D:F,3,0),Table2[[#This Row],[Manual Cat Value]])</f>
        <v>Shopping</v>
      </c>
      <c r="J4776" s="2">
        <v>181.48</v>
      </c>
      <c r="K4776" s="2" t="b">
        <v>0</v>
      </c>
      <c r="L4776" s="2"/>
      <c r="M4776" s="2"/>
      <c r="N4776" s="4" t="s">
        <v>2273</v>
      </c>
      <c r="O4776" s="4" t="str">
        <f>LEFT(Table2[[#This Row],[Description]],75)</f>
        <v>Anthropologie</v>
      </c>
      <c r="P4776" s="2" t="s">
        <v>2281</v>
      </c>
    </row>
    <row r="4777" spans="1:16" hidden="1">
      <c r="A4777" s="2">
        <v>202105</v>
      </c>
      <c r="B4777" s="3">
        <v>44323</v>
      </c>
      <c r="C4777" s="2" t="s">
        <v>2258</v>
      </c>
      <c r="D4777" s="2" t="s">
        <v>684</v>
      </c>
      <c r="E4777" s="2">
        <v>18.37</v>
      </c>
      <c r="F4777" s="2" t="str">
        <f>IF(Table2[[#This Row],[Manual Cat Value]]="",VLOOKUP(Table2[[#This Row],[Description]],'Actuals Lookup'!D:F,3,0),Table2[[#This Row],[Manual Cat Value]])</f>
        <v>Groceries</v>
      </c>
      <c r="J4777" s="2">
        <v>18.37</v>
      </c>
      <c r="K4777" s="2" t="b">
        <v>0</v>
      </c>
      <c r="L4777" s="2"/>
      <c r="M4777" s="2"/>
      <c r="N4777" s="4" t="s">
        <v>2259</v>
      </c>
      <c r="O4777" s="4" t="str">
        <f>LEFT(Table2[[#This Row],[Description]],75)</f>
        <v>Cub Foods</v>
      </c>
      <c r="P4777" s="2" t="s">
        <v>2370</v>
      </c>
    </row>
    <row r="4778" spans="1:16" hidden="1">
      <c r="A4778" s="2">
        <v>202105</v>
      </c>
      <c r="B4778" s="3">
        <v>44323</v>
      </c>
      <c r="C4778" s="2" t="s">
        <v>2447</v>
      </c>
      <c r="D4778" s="2" t="s">
        <v>684</v>
      </c>
      <c r="E4778" s="2">
        <v>18.37</v>
      </c>
      <c r="F4778" s="2" t="str">
        <f>IF(Table2[[#This Row],[Manual Cat Value]]="",VLOOKUP(Table2[[#This Row],[Description]],'Actuals Lookup'!D:F,3,0),Table2[[#This Row],[Manual Cat Value]])</f>
        <v>Groceries</v>
      </c>
      <c r="J4778" s="2">
        <v>18.37</v>
      </c>
      <c r="K4778" s="2" t="b">
        <v>0</v>
      </c>
      <c r="L4778" s="2"/>
      <c r="M4778" s="2"/>
      <c r="N4778" s="4" t="s">
        <v>2259</v>
      </c>
      <c r="O4778" s="4" t="str">
        <f>LEFT(Table2[[#This Row],[Description]],75)</f>
        <v>Cub Foods</v>
      </c>
      <c r="P4778" s="2" t="s">
        <v>2370</v>
      </c>
    </row>
    <row r="4779" spans="1:16" hidden="1">
      <c r="A4779" s="2">
        <v>202105</v>
      </c>
      <c r="B4779" s="3">
        <v>44323</v>
      </c>
      <c r="C4779" s="2" t="s">
        <v>2258</v>
      </c>
      <c r="D4779" s="2" t="s">
        <v>966</v>
      </c>
      <c r="E4779" s="2">
        <v>35.15</v>
      </c>
      <c r="F4779" s="2" t="e">
        <f>IF(Table2[[#This Row],[Manual Cat Value]]="",VLOOKUP(Table2[[#This Row],[Description]],'Actuals Lookup'!D:F,3,0),Table2[[#This Row],[Manual Cat Value]])</f>
        <v>#N/A</v>
      </c>
      <c r="J4779" s="2">
        <v>35.15</v>
      </c>
      <c r="K4779" s="2" t="b">
        <v>0</v>
      </c>
      <c r="L4779" s="2"/>
      <c r="M4779" s="2"/>
      <c r="N4779" s="4" t="s">
        <v>2259</v>
      </c>
      <c r="O4779" s="4" t="str">
        <f>LEFT(Table2[[#This Row],[Description]],75)</f>
        <v>INEFFABLE BREWING COMPAN BURNSVILLE MN</v>
      </c>
      <c r="P4779" s="2" t="s">
        <v>2281</v>
      </c>
    </row>
    <row r="4780" spans="1:16" hidden="1">
      <c r="A4780" s="2">
        <v>202105</v>
      </c>
      <c r="B4780" s="3">
        <v>44323</v>
      </c>
      <c r="C4780" s="2" t="s">
        <v>2447</v>
      </c>
      <c r="D4780" s="2" t="s">
        <v>966</v>
      </c>
      <c r="E4780" s="2">
        <v>35.15</v>
      </c>
      <c r="F4780" s="2" t="e">
        <f>IF(Table2[[#This Row],[Manual Cat Value]]="",VLOOKUP(Table2[[#This Row],[Description]],'Actuals Lookup'!D:F,3,0),Table2[[#This Row],[Manual Cat Value]])</f>
        <v>#N/A</v>
      </c>
      <c r="J4780" s="2">
        <v>35.15</v>
      </c>
      <c r="K4780" s="2" t="b">
        <v>0</v>
      </c>
      <c r="L4780" s="2"/>
      <c r="M4780" s="2"/>
      <c r="N4780" s="4" t="s">
        <v>2259</v>
      </c>
      <c r="O4780" s="4" t="str">
        <f>LEFT(Table2[[#This Row],[Description]],75)</f>
        <v>INEFFABLE BREWING COMPAN BURNSVILLE MN</v>
      </c>
      <c r="P4780" s="2" t="s">
        <v>2281</v>
      </c>
    </row>
    <row r="4781" spans="1:16" hidden="1">
      <c r="A4781" s="2">
        <v>202105</v>
      </c>
      <c r="B4781" s="3">
        <v>44324</v>
      </c>
      <c r="C4781" s="2" t="s">
        <v>2258</v>
      </c>
      <c r="D4781" s="2" t="s">
        <v>338</v>
      </c>
      <c r="E4781" s="2">
        <v>26.03</v>
      </c>
      <c r="F4781" s="2" t="e">
        <f>IF(Table2[[#This Row],[Manual Cat Value]]="",VLOOKUP(Table2[[#This Row],[Description]],'Actuals Lookup'!D:F,3,0),Table2[[#This Row],[Manual Cat Value]])</f>
        <v>#N/A</v>
      </c>
      <c r="J4781" s="2">
        <v>26.03</v>
      </c>
      <c r="K4781" s="2" t="b">
        <v>0</v>
      </c>
      <c r="L4781" s="2"/>
      <c r="M4781" s="2"/>
      <c r="N4781" s="4" t="s">
        <v>2259</v>
      </c>
      <c r="O4781" s="4" t="str">
        <f>LEFT(Table2[[#This Row],[Description]],75)</f>
        <v>Byerly's</v>
      </c>
      <c r="P4781" s="2" t="s">
        <v>2364</v>
      </c>
    </row>
    <row r="4782" spans="1:16" hidden="1">
      <c r="A4782" s="2">
        <v>202105</v>
      </c>
      <c r="B4782" s="3">
        <v>44324</v>
      </c>
      <c r="C4782" s="2" t="s">
        <v>2447</v>
      </c>
      <c r="D4782" s="2" t="s">
        <v>338</v>
      </c>
      <c r="E4782" s="2">
        <v>26.03</v>
      </c>
      <c r="F4782" s="2" t="e">
        <f>IF(Table2[[#This Row],[Manual Cat Value]]="",VLOOKUP(Table2[[#This Row],[Description]],'Actuals Lookup'!D:F,3,0),Table2[[#This Row],[Manual Cat Value]])</f>
        <v>#N/A</v>
      </c>
      <c r="J4782" s="2">
        <v>26.03</v>
      </c>
      <c r="K4782" s="2" t="b">
        <v>0</v>
      </c>
      <c r="L4782" s="2"/>
      <c r="M4782" s="2"/>
      <c r="N4782" s="4" t="s">
        <v>2259</v>
      </c>
      <c r="O4782" s="4" t="str">
        <f>LEFT(Table2[[#This Row],[Description]],75)</f>
        <v>Byerly's</v>
      </c>
      <c r="P4782" s="2" t="s">
        <v>2364</v>
      </c>
    </row>
    <row r="4783" spans="1:16" hidden="1">
      <c r="A4783" s="2">
        <v>202105</v>
      </c>
      <c r="B4783" s="3">
        <v>44324</v>
      </c>
      <c r="C4783" s="2" t="s">
        <v>2265</v>
      </c>
      <c r="D4783" s="2" t="s">
        <v>1162</v>
      </c>
      <c r="E4783" s="2">
        <v>303</v>
      </c>
      <c r="F4783" s="2" t="e">
        <f>IF(Table2[[#This Row],[Manual Cat Value]]="",VLOOKUP(Table2[[#This Row],[Description]],'Actuals Lookup'!D:F,3,0),Table2[[#This Row],[Manual Cat Value]])</f>
        <v>#N/A</v>
      </c>
      <c r="J4783" s="2">
        <v>303</v>
      </c>
      <c r="K4783" s="2" t="b">
        <v>0</v>
      </c>
      <c r="L4783" s="2"/>
      <c r="M4783" s="2"/>
      <c r="N4783" s="4" t="s">
        <v>2259</v>
      </c>
      <c r="O4783" s="4" t="str">
        <f>LEFT(Table2[[#This Row],[Description]],75)</f>
        <v>Lund's</v>
      </c>
      <c r="P4783" s="2" t="s">
        <v>2281</v>
      </c>
    </row>
    <row r="4784" spans="1:16" hidden="1">
      <c r="A4784" s="2">
        <v>202105</v>
      </c>
      <c r="B4784" s="3">
        <v>44325</v>
      </c>
      <c r="C4784" s="2" t="s">
        <v>2262</v>
      </c>
      <c r="D4784" s="2" t="s">
        <v>947</v>
      </c>
      <c r="E4784" s="2">
        <v>226.99</v>
      </c>
      <c r="F4784" s="2" t="e">
        <f>IF(Table2[[#This Row],[Manual Cat Value]]="",VLOOKUP(Table2[[#This Row],[Description]],'Actuals Lookup'!D:F,3,0),Table2[[#This Row],[Manual Cat Value]])</f>
        <v>#N/A</v>
      </c>
      <c r="J4784" s="2">
        <v>226.99</v>
      </c>
      <c r="K4784" s="2" t="b">
        <v>0</v>
      </c>
      <c r="L4784" s="2"/>
      <c r="M4784" s="2"/>
      <c r="N4784" s="4" t="s">
        <v>2259</v>
      </c>
      <c r="O4784" s="4" t="str">
        <f>LEFT(Table2[[#This Row],[Description]],75)</f>
        <v>Home Depot</v>
      </c>
      <c r="P4784" s="2" t="s">
        <v>2396</v>
      </c>
    </row>
    <row r="4785" spans="1:16" hidden="1">
      <c r="A4785" s="2">
        <v>202105</v>
      </c>
      <c r="B4785" s="3">
        <v>44326</v>
      </c>
      <c r="C4785" s="2" t="s">
        <v>2258</v>
      </c>
      <c r="D4785" s="2" t="s">
        <v>506</v>
      </c>
      <c r="E4785" s="2">
        <v>45</v>
      </c>
      <c r="F4785" s="2" t="str">
        <f>IF(Table2[[#This Row],[Manual Cat Value]]="",VLOOKUP(Table2[[#This Row],[Description]],'Actuals Lookup'!D:F,3,0),Table2[[#This Row],[Manual Cat Value]])</f>
        <v>Utilities</v>
      </c>
      <c r="J4785" s="2">
        <v>45</v>
      </c>
      <c r="K4785" s="2" t="b">
        <v>0</v>
      </c>
      <c r="L4785" s="2"/>
      <c r="M4785" s="2"/>
      <c r="N4785" s="4" t="s">
        <v>2259</v>
      </c>
      <c r="O4785" s="4" t="str">
        <f>LEFT(Table2[[#This Row],[Description]],75)</f>
        <v>CenturyLink</v>
      </c>
      <c r="P4785" s="2" t="s">
        <v>2408</v>
      </c>
    </row>
    <row r="4786" spans="1:16" hidden="1">
      <c r="A4786" s="2">
        <v>202105</v>
      </c>
      <c r="B4786" s="3">
        <v>44326</v>
      </c>
      <c r="C4786" s="2" t="s">
        <v>2447</v>
      </c>
      <c r="D4786" s="2" t="s">
        <v>506</v>
      </c>
      <c r="E4786" s="2">
        <v>45</v>
      </c>
      <c r="F4786" s="2" t="str">
        <f>IF(Table2[[#This Row],[Manual Cat Value]]="",VLOOKUP(Table2[[#This Row],[Description]],'Actuals Lookup'!D:F,3,0),Table2[[#This Row],[Manual Cat Value]])</f>
        <v>Utilities</v>
      </c>
      <c r="J4786" s="2">
        <v>45</v>
      </c>
      <c r="K4786" s="2" t="b">
        <v>0</v>
      </c>
      <c r="L4786" s="2"/>
      <c r="M4786" s="2"/>
      <c r="N4786" s="4" t="s">
        <v>2259</v>
      </c>
      <c r="O4786" s="4" t="str">
        <f>LEFT(Table2[[#This Row],[Description]],75)</f>
        <v>CenturyLink</v>
      </c>
      <c r="P4786" s="2" t="s">
        <v>2408</v>
      </c>
    </row>
    <row r="4787" spans="1:16" hidden="1">
      <c r="A4787" s="2">
        <v>202105</v>
      </c>
      <c r="B4787" s="3">
        <v>44326</v>
      </c>
      <c r="C4787" s="2" t="s">
        <v>2265</v>
      </c>
      <c r="D4787" s="2" t="s">
        <v>1471</v>
      </c>
      <c r="E4787" s="2">
        <v>53.03</v>
      </c>
      <c r="F4787" s="2" t="str">
        <f>IF(Table2[[#This Row],[Manual Cat Value]]="",VLOOKUP(Table2[[#This Row],[Description]],'Actuals Lookup'!D:F,3,0),Table2[[#This Row],[Manual Cat Value]])</f>
        <v>Shopping</v>
      </c>
      <c r="J4787" s="2">
        <v>53.03</v>
      </c>
      <c r="K4787" s="2" t="b">
        <v>0</v>
      </c>
      <c r="L4787" s="2"/>
      <c r="M4787" s="2"/>
      <c r="N4787" s="4" t="s">
        <v>2259</v>
      </c>
      <c r="O4787" s="4" t="str">
        <f>LEFT(Table2[[#This Row],[Description]],75)</f>
        <v>PayPal</v>
      </c>
      <c r="P4787" s="2" t="s">
        <v>2322</v>
      </c>
    </row>
    <row r="4788" spans="1:16" hidden="1">
      <c r="A4788" s="2">
        <v>202105</v>
      </c>
      <c r="B4788" s="3">
        <v>44326</v>
      </c>
      <c r="C4788" s="2" t="s">
        <v>2262</v>
      </c>
      <c r="D4788" s="2" t="s">
        <v>2213</v>
      </c>
      <c r="E4788" s="2">
        <v>10.68</v>
      </c>
      <c r="F4788" s="2" t="e">
        <f>IF(Table2[[#This Row],[Manual Cat Value]]="",VLOOKUP(Table2[[#This Row],[Description]],'Actuals Lookup'!D:F,3,0),Table2[[#This Row],[Manual Cat Value]])</f>
        <v>#N/A</v>
      </c>
      <c r="J4788" s="2">
        <v>10.68</v>
      </c>
      <c r="K4788" s="2" t="b">
        <v>0</v>
      </c>
      <c r="L4788" s="2"/>
      <c r="M4788" s="2"/>
      <c r="N4788" s="4" t="s">
        <v>2259</v>
      </c>
      <c r="O4788" s="4" t="str">
        <f>LEFT(Table2[[#This Row],[Description]],75)</f>
        <v>WOODENHILL1 EDINA MN</v>
      </c>
      <c r="P4788" s="2" t="s">
        <v>2281</v>
      </c>
    </row>
    <row r="4789" spans="1:16" hidden="1">
      <c r="A4789" s="2">
        <v>202105</v>
      </c>
      <c r="B4789" s="3">
        <v>44326</v>
      </c>
      <c r="C4789" s="2" t="s">
        <v>2262</v>
      </c>
      <c r="D4789" s="2" t="s">
        <v>2213</v>
      </c>
      <c r="E4789" s="2">
        <v>91.53</v>
      </c>
      <c r="F4789" s="2" t="e">
        <f>IF(Table2[[#This Row],[Manual Cat Value]]="",VLOOKUP(Table2[[#This Row],[Description]],'Actuals Lookup'!D:F,3,0),Table2[[#This Row],[Manual Cat Value]])</f>
        <v>#N/A</v>
      </c>
      <c r="J4789" s="2">
        <v>91.53</v>
      </c>
      <c r="K4789" s="2" t="b">
        <v>0</v>
      </c>
      <c r="L4789" s="2"/>
      <c r="M4789" s="2"/>
      <c r="N4789" s="4" t="s">
        <v>2259</v>
      </c>
      <c r="O4789" s="4" t="str">
        <f>LEFT(Table2[[#This Row],[Description]],75)</f>
        <v>WOODENHILL1 EDINA MN</v>
      </c>
      <c r="P4789" s="2" t="s">
        <v>2281</v>
      </c>
    </row>
    <row r="4790" spans="1:16" hidden="1">
      <c r="A4790" s="2">
        <v>202105</v>
      </c>
      <c r="B4790" s="3">
        <v>44327</v>
      </c>
      <c r="C4790" s="2" t="s">
        <v>2262</v>
      </c>
      <c r="D4790" s="2" t="s">
        <v>947</v>
      </c>
      <c r="E4790" s="2">
        <v>-19.309999999999999</v>
      </c>
      <c r="F4790" s="2" t="e">
        <f>IF(Table2[[#This Row],[Manual Cat Value]]="",VLOOKUP(Table2[[#This Row],[Description]],'Actuals Lookup'!D:F,3,0),Table2[[#This Row],[Manual Cat Value]])</f>
        <v>#N/A</v>
      </c>
      <c r="J4790" s="2">
        <v>19.309999999999999</v>
      </c>
      <c r="K4790" s="2" t="b">
        <v>0</v>
      </c>
      <c r="L4790" s="2"/>
      <c r="M4790" s="2"/>
      <c r="N4790" s="4" t="s">
        <v>2273</v>
      </c>
      <c r="O4790" s="4" t="str">
        <f>LEFT(Table2[[#This Row],[Description]],75)</f>
        <v>Home Depot</v>
      </c>
      <c r="P4790" s="2" t="s">
        <v>2396</v>
      </c>
    </row>
    <row r="4791" spans="1:16" hidden="1">
      <c r="A4791" s="2">
        <v>202105</v>
      </c>
      <c r="B4791" s="3">
        <v>44327</v>
      </c>
      <c r="C4791" s="2" t="s">
        <v>2262</v>
      </c>
      <c r="D4791" s="2" t="s">
        <v>947</v>
      </c>
      <c r="E4791" s="2">
        <v>215.52</v>
      </c>
      <c r="F4791" s="2" t="e">
        <f>IF(Table2[[#This Row],[Manual Cat Value]]="",VLOOKUP(Table2[[#This Row],[Description]],'Actuals Lookup'!D:F,3,0),Table2[[#This Row],[Manual Cat Value]])</f>
        <v>#N/A</v>
      </c>
      <c r="J4791" s="2">
        <v>215.52</v>
      </c>
      <c r="K4791" s="2" t="b">
        <v>0</v>
      </c>
      <c r="L4791" s="2"/>
      <c r="M4791" s="2"/>
      <c r="N4791" s="4" t="s">
        <v>2259</v>
      </c>
      <c r="O4791" s="4" t="str">
        <f>LEFT(Table2[[#This Row],[Description]],75)</f>
        <v>Home Depot</v>
      </c>
      <c r="P4791" s="2" t="s">
        <v>2396</v>
      </c>
    </row>
    <row r="4792" spans="1:16" hidden="1">
      <c r="A4792" s="2">
        <v>202105</v>
      </c>
      <c r="B4792" s="3">
        <v>44327</v>
      </c>
      <c r="C4792" s="2" t="s">
        <v>2262</v>
      </c>
      <c r="D4792" s="2" t="s">
        <v>1083</v>
      </c>
      <c r="E4792" s="2">
        <v>45.43</v>
      </c>
      <c r="F4792" s="2" t="str">
        <f>IF(Table2[[#This Row],[Manual Cat Value]]="",VLOOKUP(Table2[[#This Row],[Description]],'Actuals Lookup'!D:F,3,0),Table2[[#This Row],[Manual Cat Value]])</f>
        <v>Transportation</v>
      </c>
      <c r="J4792" s="2">
        <v>45.43</v>
      </c>
      <c r="K4792" s="2" t="b">
        <v>0</v>
      </c>
      <c r="L4792" s="2"/>
      <c r="M4792" s="2"/>
      <c r="N4792" s="4" t="s">
        <v>2259</v>
      </c>
      <c r="O4792" s="4" t="str">
        <f>LEFT(Table2[[#This Row],[Description]],75)</f>
        <v>Kwik Trip</v>
      </c>
      <c r="P4792" s="2" t="s">
        <v>2509</v>
      </c>
    </row>
    <row r="4793" spans="1:16" hidden="1">
      <c r="A4793" s="2">
        <v>202105</v>
      </c>
      <c r="B4793" s="3">
        <v>44327</v>
      </c>
      <c r="C4793" s="2" t="s">
        <v>2265</v>
      </c>
      <c r="D4793" s="2" t="s">
        <v>1196</v>
      </c>
      <c r="E4793" s="2">
        <v>425</v>
      </c>
      <c r="F4793" s="2" t="e">
        <f>IF(Table2[[#This Row],[Manual Cat Value]]="",VLOOKUP(Table2[[#This Row],[Description]],'Actuals Lookup'!D:F,3,0),Table2[[#This Row],[Manual Cat Value]])</f>
        <v>#N/A</v>
      </c>
      <c r="J4793" s="2">
        <v>425</v>
      </c>
      <c r="K4793" s="2" t="b">
        <v>0</v>
      </c>
      <c r="L4793" s="2"/>
      <c r="M4793" s="2"/>
      <c r="N4793" s="4" t="s">
        <v>2259</v>
      </c>
      <c r="O4793" s="4" t="str">
        <f>LEFT(Table2[[#This Row],[Description]],75)</f>
        <v>MHCHILDCARELLC TYPE DUES ID CO M MHCHILDCARELLC TYPE DUES ID CO MHCHILDCARE</v>
      </c>
      <c r="P4793" s="2" t="s">
        <v>2497</v>
      </c>
    </row>
    <row r="4794" spans="1:16" hidden="1">
      <c r="A4794" s="2">
        <v>202105</v>
      </c>
      <c r="B4794" s="3">
        <v>44327</v>
      </c>
      <c r="C4794" s="2" t="s">
        <v>2317</v>
      </c>
      <c r="D4794" s="2" t="s">
        <v>1633</v>
      </c>
      <c r="E4794" s="2">
        <v>500</v>
      </c>
      <c r="F4794" s="2" t="e">
        <f>IF(Table2[[#This Row],[Manual Cat Value]]="",VLOOKUP(Table2[[#This Row],[Description]],'Actuals Lookup'!D:F,3,0),Table2[[#This Row],[Manual Cat Value]])</f>
        <v>#N/A</v>
      </c>
      <c r="J4794" s="2">
        <v>500</v>
      </c>
      <c r="K4794" s="2" t="b">
        <v>0</v>
      </c>
      <c r="L4794" s="2"/>
      <c r="M4794" s="2"/>
      <c r="N4794" s="4" t="s">
        <v>2259</v>
      </c>
      <c r="O4794" s="4" t="str">
        <f>LEFT(Table2[[#This Row],[Description]],75)</f>
        <v>SCHWAB S&amp;P 500 INDEX FD</v>
      </c>
      <c r="P4794" s="2" t="s">
        <v>2276</v>
      </c>
    </row>
    <row r="4795" spans="1:16" hidden="1">
      <c r="A4795" s="2">
        <v>202105</v>
      </c>
      <c r="B4795" s="3">
        <v>44327</v>
      </c>
      <c r="C4795" s="2" t="s">
        <v>2317</v>
      </c>
      <c r="D4795" s="2" t="s">
        <v>1636</v>
      </c>
      <c r="E4795" s="2">
        <v>700</v>
      </c>
      <c r="F4795" s="2" t="e">
        <f>IF(Table2[[#This Row],[Manual Cat Value]]="",VLOOKUP(Table2[[#This Row],[Description]],'Actuals Lookup'!D:F,3,0),Table2[[#This Row],[Manual Cat Value]])</f>
        <v>#N/A</v>
      </c>
      <c r="J4795" s="2">
        <v>700</v>
      </c>
      <c r="K4795" s="2" t="b">
        <v>0</v>
      </c>
      <c r="L4795" s="2"/>
      <c r="M4795" s="2"/>
      <c r="N4795" s="4" t="s">
        <v>2259</v>
      </c>
      <c r="O4795" s="4" t="str">
        <f>LEFT(Table2[[#This Row],[Description]],75)</f>
        <v>SCHWAB US LARGE CAP GROWTH INDEX FD</v>
      </c>
      <c r="P4795" s="2" t="s">
        <v>2347</v>
      </c>
    </row>
    <row r="4796" spans="1:16" hidden="1">
      <c r="A4796" s="2">
        <v>202105</v>
      </c>
      <c r="B4796" s="3">
        <v>44328</v>
      </c>
      <c r="C4796" s="2" t="s">
        <v>2258</v>
      </c>
      <c r="D4796" s="2" t="s">
        <v>458</v>
      </c>
      <c r="E4796" s="2">
        <v>-10.29</v>
      </c>
      <c r="F4796" s="2" t="e">
        <f>IF(Table2[[#This Row],[Manual Cat Value]]="",VLOOKUP(Table2[[#This Row],[Description]],'Actuals Lookup'!D:F,3,0),Table2[[#This Row],[Manual Cat Value]])</f>
        <v>#N/A</v>
      </c>
      <c r="J4796" s="2">
        <v>10.29</v>
      </c>
      <c r="K4796" s="2" t="b">
        <v>0</v>
      </c>
      <c r="L4796" s="2"/>
      <c r="M4796" s="2"/>
      <c r="N4796" s="4" t="s">
        <v>2273</v>
      </c>
      <c r="O4796" s="4" t="str">
        <f>LEFT(Table2[[#This Row],[Description]],75)</f>
        <v>CASHBACK BONUS REDEMPTION payment/STMT CRDT</v>
      </c>
      <c r="P4796" s="2" t="s">
        <v>2304</v>
      </c>
    </row>
    <row r="4797" spans="1:16" hidden="1">
      <c r="A4797" s="2">
        <v>202105</v>
      </c>
      <c r="B4797" s="3">
        <v>44328</v>
      </c>
      <c r="C4797" s="2" t="s">
        <v>2447</v>
      </c>
      <c r="D4797" s="2" t="s">
        <v>458</v>
      </c>
      <c r="E4797" s="2">
        <v>-10.29</v>
      </c>
      <c r="F4797" s="2" t="e">
        <f>IF(Table2[[#This Row],[Manual Cat Value]]="",VLOOKUP(Table2[[#This Row],[Description]],'Actuals Lookup'!D:F,3,0),Table2[[#This Row],[Manual Cat Value]])</f>
        <v>#N/A</v>
      </c>
      <c r="J4797" s="2">
        <v>10.29</v>
      </c>
      <c r="K4797" s="2" t="b">
        <v>0</v>
      </c>
      <c r="L4797" s="2"/>
      <c r="M4797" s="2"/>
      <c r="N4797" s="4" t="s">
        <v>2273</v>
      </c>
      <c r="O4797" s="4" t="str">
        <f>LEFT(Table2[[#This Row],[Description]],75)</f>
        <v>CASHBACK BONUS REDEMPTION payment/STMT CRDT</v>
      </c>
      <c r="P4797" s="2" t="s">
        <v>2304</v>
      </c>
    </row>
    <row r="4798" spans="1:16" hidden="1">
      <c r="A4798" s="2">
        <v>202105</v>
      </c>
      <c r="B4798" s="3">
        <v>44328</v>
      </c>
      <c r="C4798" s="2" t="s">
        <v>2258</v>
      </c>
      <c r="D4798" s="2" t="s">
        <v>997</v>
      </c>
      <c r="E4798" s="2">
        <v>-413.49</v>
      </c>
      <c r="F4798" s="2" t="str">
        <f>IF(Table2[[#This Row],[Manual Cat Value]]="",VLOOKUP(Table2[[#This Row],[Description]],'Actuals Lookup'!D:F,3,0),Table2[[#This Row],[Manual Cat Value]])</f>
        <v>Delete</v>
      </c>
      <c r="J4798" s="2">
        <v>413.49</v>
      </c>
      <c r="K4798" s="2" t="b">
        <v>0</v>
      </c>
      <c r="L4798" s="2"/>
      <c r="M4798" s="2"/>
      <c r="N4798" s="4" t="s">
        <v>2273</v>
      </c>
      <c r="O4798" s="4" t="str">
        <f>LEFT(Table2[[#This Row],[Description]],75)</f>
        <v>INTERNET PAYMENT - THANK YOU</v>
      </c>
      <c r="P4798" s="2" t="s">
        <v>2291</v>
      </c>
    </row>
    <row r="4799" spans="1:16" hidden="1">
      <c r="A4799" s="2">
        <v>202105</v>
      </c>
      <c r="B4799" s="3">
        <v>44328</v>
      </c>
      <c r="C4799" s="2" t="s">
        <v>2447</v>
      </c>
      <c r="D4799" s="2" t="s">
        <v>997</v>
      </c>
      <c r="E4799" s="2">
        <v>-413.49</v>
      </c>
      <c r="F4799" s="2" t="str">
        <f>IF(Table2[[#This Row],[Manual Cat Value]]="",VLOOKUP(Table2[[#This Row],[Description]],'Actuals Lookup'!D:F,3,0),Table2[[#This Row],[Manual Cat Value]])</f>
        <v>Delete</v>
      </c>
      <c r="J4799" s="2">
        <v>413.49</v>
      </c>
      <c r="K4799" s="2" t="b">
        <v>0</v>
      </c>
      <c r="L4799" s="2"/>
      <c r="M4799" s="2"/>
      <c r="N4799" s="4" t="s">
        <v>2273</v>
      </c>
      <c r="O4799" s="4" t="str">
        <f>LEFT(Table2[[#This Row],[Description]],75)</f>
        <v>INTERNET PAYMENT - THANK YOU</v>
      </c>
      <c r="P4799" s="2" t="s">
        <v>2291</v>
      </c>
    </row>
    <row r="4800" spans="1:16" hidden="1">
      <c r="A4800" s="2">
        <v>202105</v>
      </c>
      <c r="B4800" s="3">
        <v>44328</v>
      </c>
      <c r="C4800" s="2" t="s">
        <v>2265</v>
      </c>
      <c r="D4800" s="2" t="s">
        <v>1963</v>
      </c>
      <c r="E4800" s="2">
        <v>81.16</v>
      </c>
      <c r="F4800" s="2" t="e">
        <f>IF(Table2[[#This Row],[Manual Cat Value]]="",VLOOKUP(Table2[[#This Row],[Description]],'Actuals Lookup'!D:F,3,0),Table2[[#This Row],[Manual Cat Value]])</f>
        <v>#N/A</v>
      </c>
      <c r="J4800" s="2">
        <v>81.16</v>
      </c>
      <c r="K4800" s="2" t="b">
        <v>0</v>
      </c>
      <c r="L4800" s="2"/>
      <c r="M4800" s="2"/>
      <c r="N4800" s="4" t="s">
        <v>2259</v>
      </c>
      <c r="O4800" s="4" t="str">
        <f>LEFT(Table2[[#This Row],[Description]],75)</f>
        <v>Transfer to Venmo VENMO TYPE PAYMENT ID CO VENMO ACH ECC WEB ACH Trace 3282</v>
      </c>
      <c r="P4800" s="2" t="s">
        <v>2281</v>
      </c>
    </row>
    <row r="4801" spans="1:16" hidden="1">
      <c r="A4801" s="2">
        <v>202105</v>
      </c>
      <c r="B4801" s="3">
        <v>44328</v>
      </c>
      <c r="C4801" s="2" t="s">
        <v>2258</v>
      </c>
      <c r="D4801" s="2" t="s">
        <v>38</v>
      </c>
      <c r="E4801" s="2">
        <v>25.99</v>
      </c>
      <c r="F4801" s="2" t="str">
        <f>IF(Table2[[#This Row],[Manual Cat Value]]="",VLOOKUP(Table2[[#This Row],[Description]],'Actuals Lookup'!D:F,3,0),Table2[[#This Row],[Manual Cat Value]])</f>
        <v>Amazon</v>
      </c>
      <c r="J4801" s="2">
        <v>25.99</v>
      </c>
      <c r="K4801" s="2" t="b">
        <v>0</v>
      </c>
      <c r="L4801" s="2"/>
      <c r="M4801" s="2"/>
      <c r="N4801" s="4" t="s">
        <v>2259</v>
      </c>
      <c r="O4801" s="4" t="str">
        <f>LEFT(Table2[[#This Row],[Description]],75)</f>
        <v>Amazon</v>
      </c>
      <c r="P4801" s="2" t="s">
        <v>2260</v>
      </c>
    </row>
    <row r="4802" spans="1:16" hidden="1">
      <c r="A4802" s="2">
        <v>202105</v>
      </c>
      <c r="B4802" s="3">
        <v>44328</v>
      </c>
      <c r="C4802" s="2" t="s">
        <v>2447</v>
      </c>
      <c r="D4802" s="2" t="s">
        <v>38</v>
      </c>
      <c r="E4802" s="2">
        <v>25.99</v>
      </c>
      <c r="F4802" s="2" t="str">
        <f>IF(Table2[[#This Row],[Manual Cat Value]]="",VLOOKUP(Table2[[#This Row],[Description]],'Actuals Lookup'!D:F,3,0),Table2[[#This Row],[Manual Cat Value]])</f>
        <v>Amazon</v>
      </c>
      <c r="J4802" s="2">
        <v>25.99</v>
      </c>
      <c r="K4802" s="2" t="b">
        <v>0</v>
      </c>
      <c r="L4802" s="2"/>
      <c r="M4802" s="2"/>
      <c r="N4802" s="4" t="s">
        <v>2259</v>
      </c>
      <c r="O4802" s="4" t="str">
        <f>LEFT(Table2[[#This Row],[Description]],75)</f>
        <v>Amazon</v>
      </c>
      <c r="P4802" s="2" t="s">
        <v>2260</v>
      </c>
    </row>
    <row r="4803" spans="1:16" hidden="1">
      <c r="A4803" s="2">
        <v>202105</v>
      </c>
      <c r="B4803" s="3">
        <v>44328</v>
      </c>
      <c r="C4803" s="2" t="s">
        <v>2265</v>
      </c>
      <c r="D4803" s="2" t="s">
        <v>604</v>
      </c>
      <c r="E4803" s="2">
        <v>-93.96</v>
      </c>
      <c r="F4803" s="2" t="e">
        <f>IF(Table2[[#This Row],[Manual Cat Value]]="",VLOOKUP(Table2[[#This Row],[Description]],'Actuals Lookup'!D:F,3,0),Table2[[#This Row],[Manual Cat Value]])</f>
        <v>#N/A</v>
      </c>
      <c r="J4803" s="2">
        <v>93.96</v>
      </c>
      <c r="K4803" s="2" t="b">
        <v>0</v>
      </c>
      <c r="L4803" s="2"/>
      <c r="M4803" s="2"/>
      <c r="N4803" s="4" t="s">
        <v>2273</v>
      </c>
      <c r="O4803" s="4" t="str">
        <f>LEFT(Table2[[#This Row],[Description]],75)</f>
        <v>Connect Your Care Deposit connectyourcare TYPE SVBCLAIMS ID E942875288 CO c</v>
      </c>
      <c r="P4803" s="2" t="s">
        <v>2281</v>
      </c>
    </row>
    <row r="4804" spans="1:16" hidden="1">
      <c r="A4804" s="2">
        <v>202105</v>
      </c>
      <c r="B4804" s="3">
        <v>44328</v>
      </c>
      <c r="C4804" s="2" t="s">
        <v>2265</v>
      </c>
      <c r="D4804" s="2" t="s">
        <v>609</v>
      </c>
      <c r="E4804" s="2">
        <v>-3052.96</v>
      </c>
      <c r="F4804" s="2" t="e">
        <f>IF(Table2[[#This Row],[Manual Cat Value]]="",VLOOKUP(Table2[[#This Row],[Description]],'Actuals Lookup'!D:F,3,0),Table2[[#This Row],[Manual Cat Value]])</f>
        <v>#N/A</v>
      </c>
      <c r="J4804" s="2">
        <v>3052.96</v>
      </c>
      <c r="K4804" s="2" t="b">
        <v>0</v>
      </c>
      <c r="L4804" s="2"/>
      <c r="M4804" s="2"/>
      <c r="N4804" s="4" t="s">
        <v>2273</v>
      </c>
      <c r="O4804" s="4" t="str">
        <f>LEFT(Table2[[#This Row],[Description]],75)</f>
        <v>CONNECTED ANALYT TYPE DIRECT DEP ID CO CONNECTED ANALYT ACH ECC PPD ACH Tra</v>
      </c>
      <c r="P4804" s="2" t="s">
        <v>2493</v>
      </c>
    </row>
    <row r="4805" spans="1:16" hidden="1">
      <c r="A4805" s="2">
        <v>202105</v>
      </c>
      <c r="B4805" s="3">
        <v>44328</v>
      </c>
      <c r="C4805" s="2" t="s">
        <v>2265</v>
      </c>
      <c r="D4805" s="2" t="s">
        <v>947</v>
      </c>
      <c r="E4805" s="2">
        <v>43.2</v>
      </c>
      <c r="F4805" s="2" t="e">
        <f>IF(Table2[[#This Row],[Manual Cat Value]]="",VLOOKUP(Table2[[#This Row],[Description]],'Actuals Lookup'!D:F,3,0),Table2[[#This Row],[Manual Cat Value]])</f>
        <v>#N/A</v>
      </c>
      <c r="J4805" s="2">
        <v>43.2</v>
      </c>
      <c r="K4805" s="2" t="b">
        <v>0</v>
      </c>
      <c r="L4805" s="2"/>
      <c r="M4805" s="2"/>
      <c r="N4805" s="4" t="s">
        <v>2259</v>
      </c>
      <c r="O4805" s="4" t="str">
        <f>LEFT(Table2[[#This Row],[Description]],75)</f>
        <v>Home Depot</v>
      </c>
      <c r="P4805" s="2" t="s">
        <v>2396</v>
      </c>
    </row>
    <row r="4806" spans="1:16" hidden="1">
      <c r="A4806" s="2">
        <v>202105</v>
      </c>
      <c r="B4806" s="3">
        <v>44328</v>
      </c>
      <c r="C4806" s="2" t="s">
        <v>2262</v>
      </c>
      <c r="D4806" s="2" t="s">
        <v>1123</v>
      </c>
      <c r="E4806" s="2">
        <v>31.12</v>
      </c>
      <c r="F4806" s="2" t="e">
        <f>IF(Table2[[#This Row],[Manual Cat Value]]="",VLOOKUP(Table2[[#This Row],[Description]],'Actuals Lookup'!D:F,3,0),Table2[[#This Row],[Manual Cat Value]])</f>
        <v>#N/A</v>
      </c>
      <c r="J4806" s="2">
        <v>31.12</v>
      </c>
      <c r="K4806" s="2" t="b">
        <v>0</v>
      </c>
      <c r="L4806" s="2"/>
      <c r="M4806" s="2"/>
      <c r="N4806" s="4" t="s">
        <v>2259</v>
      </c>
      <c r="O4806" s="4" t="str">
        <f>LEFT(Table2[[#This Row],[Description]],75)</f>
        <v>Lifetouch</v>
      </c>
      <c r="P4806" s="2" t="s">
        <v>2281</v>
      </c>
    </row>
    <row r="4807" spans="1:16" hidden="1">
      <c r="A4807" s="2">
        <v>202105</v>
      </c>
      <c r="B4807" s="3">
        <v>44329</v>
      </c>
      <c r="C4807" s="2" t="s">
        <v>2265</v>
      </c>
      <c r="D4807" s="2" t="s">
        <v>744</v>
      </c>
      <c r="E4807" s="2">
        <v>413.49</v>
      </c>
      <c r="F4807" s="2" t="e">
        <f>IF(Table2[[#This Row],[Manual Cat Value]]="",VLOOKUP(Table2[[#This Row],[Description]],'Actuals Lookup'!D:F,3,0),Table2[[#This Row],[Manual Cat Value]])</f>
        <v>#N/A</v>
      </c>
      <c r="J4807" s="2">
        <v>413.49</v>
      </c>
      <c r="K4807" s="2" t="b">
        <v>0</v>
      </c>
      <c r="L4807" s="2"/>
      <c r="M4807" s="2"/>
      <c r="N4807" s="4" t="s">
        <v>2259</v>
      </c>
      <c r="O4807" s="4" t="str">
        <f>LEFT(Table2[[#This Row],[Description]],75)</f>
        <v>Discover Bank DISCOVER TYPE EPAYMENT ID CO DISCOVER ACH ECC WEB ACH Trace 7</v>
      </c>
      <c r="P4807" s="2" t="s">
        <v>2293</v>
      </c>
    </row>
    <row r="4808" spans="1:16" hidden="1">
      <c r="A4808" s="2">
        <v>202105</v>
      </c>
      <c r="B4808" s="3">
        <v>44329</v>
      </c>
      <c r="C4808" s="2" t="s">
        <v>2435</v>
      </c>
      <c r="D4808" s="2" t="s">
        <v>164</v>
      </c>
      <c r="E4808" s="2">
        <v>-4.4400000000000004</v>
      </c>
      <c r="F4808" s="2" t="e">
        <f>IF(Table2[[#This Row],[Manual Cat Value]]="",VLOOKUP(Table2[[#This Row],[Description]],'Actuals Lookup'!D:F,3,0),Table2[[#This Row],[Manual Cat Value]])</f>
        <v>#N/A</v>
      </c>
      <c r="J4808" s="2">
        <v>4.4400000000000004</v>
      </c>
      <c r="K4808" s="2" t="b">
        <v>0</v>
      </c>
      <c r="L4808" s="2"/>
      <c r="M4808" s="2"/>
      <c r="N4808" s="4" t="s">
        <v>2273</v>
      </c>
      <c r="O4808" s="4" t="str">
        <f>LEFT(Table2[[#This Row],[Description]],75)</f>
        <v>APPLE INC</v>
      </c>
      <c r="P4808" s="2" t="s">
        <v>2405</v>
      </c>
    </row>
    <row r="4809" spans="1:16" hidden="1">
      <c r="A4809" s="2">
        <v>202105</v>
      </c>
      <c r="B4809" s="3">
        <v>44329</v>
      </c>
      <c r="C4809" s="2" t="s">
        <v>2317</v>
      </c>
      <c r="D4809" s="2" t="s">
        <v>164</v>
      </c>
      <c r="E4809" s="2">
        <v>-45</v>
      </c>
      <c r="F4809" s="2" t="e">
        <f>IF(Table2[[#This Row],[Manual Cat Value]]="",VLOOKUP(Table2[[#This Row],[Description]],'Actuals Lookup'!D:F,3,0),Table2[[#This Row],[Manual Cat Value]])</f>
        <v>#N/A</v>
      </c>
      <c r="J4809" s="2">
        <v>45</v>
      </c>
      <c r="K4809" s="2" t="b">
        <v>0</v>
      </c>
      <c r="L4809" s="2"/>
      <c r="M4809" s="2"/>
      <c r="N4809" s="4" t="s">
        <v>2273</v>
      </c>
      <c r="O4809" s="4" t="str">
        <f>LEFT(Table2[[#This Row],[Description]],75)</f>
        <v>APPLE INC</v>
      </c>
      <c r="P4809" s="2" t="s">
        <v>2405</v>
      </c>
    </row>
    <row r="4810" spans="1:16" hidden="1">
      <c r="A4810" s="2">
        <v>202105</v>
      </c>
      <c r="B4810" s="3">
        <v>44329</v>
      </c>
      <c r="C4810" s="2" t="s">
        <v>2265</v>
      </c>
      <c r="D4810" s="2" t="s">
        <v>420</v>
      </c>
      <c r="E4810" s="2">
        <v>-2150.1799999999998</v>
      </c>
      <c r="F4810" s="2" t="e">
        <f>IF(Table2[[#This Row],[Manual Cat Value]]="",VLOOKUP(Table2[[#This Row],[Description]],'Actuals Lookup'!D:F,3,0),Table2[[#This Row],[Manual Cat Value]])</f>
        <v>#N/A</v>
      </c>
      <c r="J4810" s="2">
        <v>2150.1799999999998</v>
      </c>
      <c r="K4810" s="2" t="b">
        <v>0</v>
      </c>
      <c r="L4810" s="2"/>
      <c r="M4810" s="2"/>
      <c r="N4810" s="4" t="s">
        <v>2273</v>
      </c>
      <c r="O4810" s="4" t="str">
        <f>LEFT(Table2[[#This Row],[Description]],75)</f>
        <v>Cargill Inc Deposit CARGILL INCORPOR TYPE DIRECT DEP ID CO CARGILL INCORPOR</v>
      </c>
      <c r="P4810" s="2" t="s">
        <v>2545</v>
      </c>
    </row>
    <row r="4811" spans="1:16" hidden="1">
      <c r="A4811" s="2">
        <v>202105</v>
      </c>
      <c r="B4811" s="3">
        <v>44329</v>
      </c>
      <c r="C4811" s="2" t="s">
        <v>2262</v>
      </c>
      <c r="D4811" s="2" t="s">
        <v>1014</v>
      </c>
      <c r="E4811" s="2">
        <v>9.01</v>
      </c>
      <c r="F4811" s="2" t="str">
        <f>IF(Table2[[#This Row],[Manual Cat Value]]="",VLOOKUP(Table2[[#This Row],[Description]],'Actuals Lookup'!D:F,3,0),Table2[[#This Row],[Manual Cat Value]])</f>
        <v>Restaurants</v>
      </c>
      <c r="J4811" s="2">
        <v>9.01</v>
      </c>
      <c r="K4811" s="2" t="b">
        <v>0</v>
      </c>
      <c r="L4811" s="2"/>
      <c r="M4811" s="2"/>
      <c r="N4811" s="4" t="s">
        <v>2259</v>
      </c>
      <c r="O4811" s="4" t="str">
        <f>LEFT(Table2[[#This Row],[Description]],75)</f>
        <v>Jimmy John's</v>
      </c>
      <c r="P4811" s="2" t="s">
        <v>2453</v>
      </c>
    </row>
    <row r="4812" spans="1:16" hidden="1">
      <c r="A4812" s="2">
        <v>202105</v>
      </c>
      <c r="B4812" s="3">
        <v>44329</v>
      </c>
      <c r="C4812" s="2" t="s">
        <v>2265</v>
      </c>
      <c r="D4812" s="2" t="s">
        <v>2221</v>
      </c>
      <c r="E4812" s="2">
        <v>113.83</v>
      </c>
      <c r="F4812" s="2" t="str">
        <f>IF(Table2[[#This Row],[Manual Cat Value]]="",VLOOKUP(Table2[[#This Row],[Description]],'Actuals Lookup'!D:F,3,0),Table2[[#This Row],[Manual Cat Value]])</f>
        <v>Utilities</v>
      </c>
      <c r="J4812" s="2">
        <v>113.83</v>
      </c>
      <c r="K4812" s="2" t="b">
        <v>0</v>
      </c>
      <c r="L4812" s="2"/>
      <c r="M4812" s="2"/>
      <c r="N4812" s="4" t="s">
        <v>2259</v>
      </c>
      <c r="O4812" s="4" t="str">
        <f>LEFT(Table2[[#This Row],[Description]],75)</f>
        <v>Xcel Energy</v>
      </c>
      <c r="P4812" s="2" t="s">
        <v>2280</v>
      </c>
    </row>
    <row r="4813" spans="1:16" hidden="1">
      <c r="A4813" s="2">
        <v>202105</v>
      </c>
      <c r="B4813" s="3">
        <v>44330</v>
      </c>
      <c r="C4813" s="2" t="s">
        <v>2262</v>
      </c>
      <c r="D4813" s="2" t="s">
        <v>674</v>
      </c>
      <c r="E4813" s="2">
        <v>-1140.7</v>
      </c>
      <c r="F4813" s="2" t="e">
        <f>IF(Table2[[#This Row],[Manual Cat Value]]="",VLOOKUP(Table2[[#This Row],[Description]],'Actuals Lookup'!D:F,3,0),Table2[[#This Row],[Manual Cat Value]])</f>
        <v>#N/A</v>
      </c>
      <c r="J4813" s="2">
        <v>1140.7</v>
      </c>
      <c r="K4813" s="2" t="b">
        <v>0</v>
      </c>
      <c r="L4813" s="2"/>
      <c r="M4813" s="2"/>
      <c r="N4813" s="4" t="s">
        <v>2273</v>
      </c>
      <c r="O4813" s="4" t="str">
        <f>LEFT(Table2[[#This Row],[Description]],75)</f>
        <v>Credit Card Payment Received PAYMENT THANK YOU</v>
      </c>
      <c r="P4813" s="2" t="s">
        <v>2391</v>
      </c>
    </row>
    <row r="4814" spans="1:16" hidden="1">
      <c r="A4814" s="2">
        <v>202105</v>
      </c>
      <c r="B4814" s="3">
        <v>44330</v>
      </c>
      <c r="C4814" s="2" t="s">
        <v>2265</v>
      </c>
      <c r="D4814" s="2" t="s">
        <v>2203</v>
      </c>
      <c r="E4814" s="2">
        <v>1140.7</v>
      </c>
      <c r="F4814" s="2" t="e">
        <f>IF(Table2[[#This Row],[Manual Cat Value]]="",VLOOKUP(Table2[[#This Row],[Description]],'Actuals Lookup'!D:F,3,0),Table2[[#This Row],[Manual Cat Value]])</f>
        <v>#N/A</v>
      </c>
      <c r="J4814" s="2">
        <v>1140.7</v>
      </c>
      <c r="K4814" s="2" t="b">
        <v>0</v>
      </c>
      <c r="L4814" s="2"/>
      <c r="M4814" s="2"/>
      <c r="N4814" s="4" t="s">
        <v>2259</v>
      </c>
      <c r="O4814" s="4" t="str">
        <f>LEFT(Table2[[#This Row],[Description]],75)</f>
        <v>Withdrawal Home payment to card XX91 Withdrawal Home payment to card 979181</v>
      </c>
      <c r="P4814" s="2" t="s">
        <v>2349</v>
      </c>
    </row>
    <row r="4815" spans="1:16" hidden="1">
      <c r="A4815" s="2">
        <v>202105</v>
      </c>
      <c r="B4815" s="3">
        <v>44330</v>
      </c>
      <c r="C4815" s="2" t="s">
        <v>2265</v>
      </c>
      <c r="D4815" s="2" t="s">
        <v>131</v>
      </c>
      <c r="E4815" s="2">
        <v>101.78</v>
      </c>
      <c r="F4815" s="2" t="str">
        <f>IF(Table2[[#This Row],[Manual Cat Value]]="",VLOOKUP(Table2[[#This Row],[Description]],'Actuals Lookup'!D:F,3,0),Table2[[#This Row],[Manual Cat Value]])</f>
        <v>Insurance</v>
      </c>
      <c r="J4815" s="2">
        <v>101.78</v>
      </c>
      <c r="K4815" s="2" t="b">
        <v>0</v>
      </c>
      <c r="L4815" s="2"/>
      <c r="M4815" s="2"/>
      <c r="N4815" s="4" t="s">
        <v>2259</v>
      </c>
      <c r="O4815" s="4" t="str">
        <f>LEFT(Table2[[#This Row],[Description]],75)</f>
        <v>American Family Insurance</v>
      </c>
      <c r="P4815" s="2" t="s">
        <v>2286</v>
      </c>
    </row>
    <row r="4816" spans="1:16" hidden="1">
      <c r="A4816" s="2">
        <v>202105</v>
      </c>
      <c r="B4816" s="3">
        <v>44330</v>
      </c>
      <c r="C4816" s="2" t="s">
        <v>2435</v>
      </c>
      <c r="D4816" s="2" t="s">
        <v>164</v>
      </c>
      <c r="E4816" s="2">
        <v>4.4400000000000004</v>
      </c>
      <c r="F4816" s="2" t="e">
        <f>IF(Table2[[#This Row],[Manual Cat Value]]="",VLOOKUP(Table2[[#This Row],[Description]],'Actuals Lookup'!D:F,3,0),Table2[[#This Row],[Manual Cat Value]])</f>
        <v>#N/A</v>
      </c>
      <c r="J4816" s="2">
        <v>4.4400000000000004</v>
      </c>
      <c r="K4816" s="2" t="b">
        <v>0</v>
      </c>
      <c r="L4816" s="2"/>
      <c r="M4816" s="2"/>
      <c r="N4816" s="4" t="s">
        <v>2259</v>
      </c>
      <c r="O4816" s="4" t="str">
        <f>LEFT(Table2[[#This Row],[Description]],75)</f>
        <v>APPLE INC</v>
      </c>
      <c r="P4816" s="2" t="s">
        <v>2405</v>
      </c>
    </row>
    <row r="4817" spans="1:16" hidden="1">
      <c r="A4817" s="2">
        <v>202105</v>
      </c>
      <c r="B4817" s="3">
        <v>44330</v>
      </c>
      <c r="C4817" s="2" t="s">
        <v>2317</v>
      </c>
      <c r="D4817" s="2" t="s">
        <v>164</v>
      </c>
      <c r="E4817" s="2">
        <v>45</v>
      </c>
      <c r="F4817" s="2" t="e">
        <f>IF(Table2[[#This Row],[Manual Cat Value]]="",VLOOKUP(Table2[[#This Row],[Description]],'Actuals Lookup'!D:F,3,0),Table2[[#This Row],[Manual Cat Value]])</f>
        <v>#N/A</v>
      </c>
      <c r="J4817" s="2">
        <v>45</v>
      </c>
      <c r="K4817" s="2" t="b">
        <v>0</v>
      </c>
      <c r="L4817" s="2"/>
      <c r="M4817" s="2"/>
      <c r="N4817" s="4" t="s">
        <v>2259</v>
      </c>
      <c r="O4817" s="4" t="str">
        <f>LEFT(Table2[[#This Row],[Description]],75)</f>
        <v>APPLE INC</v>
      </c>
      <c r="P4817" s="2" t="s">
        <v>2405</v>
      </c>
    </row>
    <row r="4818" spans="1:16" hidden="1">
      <c r="A4818" s="2">
        <v>202105</v>
      </c>
      <c r="B4818" s="3">
        <v>44330</v>
      </c>
      <c r="C4818" s="2" t="s">
        <v>2317</v>
      </c>
      <c r="D4818" s="2" t="s">
        <v>424</v>
      </c>
      <c r="E4818" s="2">
        <v>-200</v>
      </c>
      <c r="F4818" s="2" t="e">
        <f>IF(Table2[[#This Row],[Manual Cat Value]]="",VLOOKUP(Table2[[#This Row],[Description]],'Actuals Lookup'!D:F,3,0),Table2[[#This Row],[Manual Cat Value]])</f>
        <v>#N/A</v>
      </c>
      <c r="J4818" s="2">
        <v>200</v>
      </c>
      <c r="K4818" s="2" t="b">
        <v>0</v>
      </c>
      <c r="L4818" s="2"/>
      <c r="M4818" s="2"/>
      <c r="N4818" s="4" t="s">
        <v>2273</v>
      </c>
      <c r="O4818" s="4" t="str">
        <f>LEFT(Table2[[#This Row],[Description]],75)</f>
        <v>CARGILL INCORPOR</v>
      </c>
      <c r="P4818" s="2" t="s">
        <v>2385</v>
      </c>
    </row>
    <row r="4819" spans="1:16" hidden="1">
      <c r="A4819" s="2">
        <v>202105</v>
      </c>
      <c r="B4819" s="3">
        <v>44330</v>
      </c>
      <c r="C4819" s="2" t="s">
        <v>2265</v>
      </c>
      <c r="D4819" s="2" t="s">
        <v>494</v>
      </c>
      <c r="E4819" s="2">
        <v>300.32</v>
      </c>
      <c r="F4819" s="2" t="str">
        <f>IF(Table2[[#This Row],[Manual Cat Value]]="",VLOOKUP(Table2[[#This Row],[Description]],'Actuals Lookup'!D:F,3,0),Table2[[#This Row],[Manual Cat Value]])</f>
        <v>Utilities</v>
      </c>
      <c r="J4819" s="2">
        <v>300.32</v>
      </c>
      <c r="K4819" s="2" t="b">
        <v>0</v>
      </c>
      <c r="L4819" s="2"/>
      <c r="M4819" s="2"/>
      <c r="N4819" s="4" t="s">
        <v>2259</v>
      </c>
      <c r="O4819" s="4" t="str">
        <f>LEFT(Table2[[#This Row],[Description]],75)</f>
        <v>CenterPoint Energy</v>
      </c>
      <c r="P4819" s="2" t="s">
        <v>2546</v>
      </c>
    </row>
    <row r="4820" spans="1:16" hidden="1">
      <c r="A4820" s="2">
        <v>202105</v>
      </c>
      <c r="B4820" s="3">
        <v>44330</v>
      </c>
      <c r="C4820" s="2" t="s">
        <v>2317</v>
      </c>
      <c r="D4820" s="2" t="s">
        <v>605</v>
      </c>
      <c r="E4820" s="2">
        <v>-250</v>
      </c>
      <c r="F4820" s="2" t="e">
        <f>IF(Table2[[#This Row],[Manual Cat Value]]="",VLOOKUP(Table2[[#This Row],[Description]],'Actuals Lookup'!D:F,3,0),Table2[[#This Row],[Manual Cat Value]])</f>
        <v>#N/A</v>
      </c>
      <c r="J4820" s="2">
        <v>250</v>
      </c>
      <c r="K4820" s="2" t="b">
        <v>0</v>
      </c>
      <c r="L4820" s="2"/>
      <c r="M4820" s="2"/>
      <c r="N4820" s="4" t="s">
        <v>2273</v>
      </c>
      <c r="O4820" s="4" t="str">
        <f>LEFT(Table2[[#This Row],[Description]],75)</f>
        <v>CONNECTED ANALYT</v>
      </c>
      <c r="P4820" s="2" t="s">
        <v>2493</v>
      </c>
    </row>
    <row r="4821" spans="1:16" hidden="1">
      <c r="A4821" s="2">
        <v>202105</v>
      </c>
      <c r="B4821" s="3">
        <v>44330</v>
      </c>
      <c r="C4821" s="2" t="s">
        <v>2262</v>
      </c>
      <c r="D4821" s="2" t="s">
        <v>857</v>
      </c>
      <c r="E4821" s="2">
        <v>252.13</v>
      </c>
      <c r="F4821" s="2" t="e">
        <f>IF(Table2[[#This Row],[Manual Cat Value]]="",VLOOKUP(Table2[[#This Row],[Description]],'Actuals Lookup'!D:F,3,0),Table2[[#This Row],[Manual Cat Value]])</f>
        <v>#N/A</v>
      </c>
      <c r="J4821" s="2">
        <v>252.13</v>
      </c>
      <c r="K4821" s="2" t="b">
        <v>0</v>
      </c>
      <c r="L4821" s="2"/>
      <c r="M4821" s="2"/>
      <c r="N4821" s="4" t="s">
        <v>2259</v>
      </c>
      <c r="O4821" s="4" t="str">
        <f>LEFT(Table2[[#This Row],[Description]],75)</f>
        <v>FREEWHEEL EDEN PRAIRIE XX2223 MN FREEWHEEL EDEN PRAIRIE 6123392223 MN</v>
      </c>
      <c r="P4821" s="2" t="s">
        <v>2281</v>
      </c>
    </row>
    <row r="4822" spans="1:16" hidden="1">
      <c r="A4822" s="2">
        <v>202105</v>
      </c>
      <c r="B4822" s="3">
        <v>44330</v>
      </c>
      <c r="C4822" s="2" t="s">
        <v>2262</v>
      </c>
      <c r="D4822" s="2" t="s">
        <v>874</v>
      </c>
      <c r="E4822" s="2">
        <v>142.93</v>
      </c>
      <c r="F4822" s="2" t="e">
        <f>IF(Table2[[#This Row],[Manual Cat Value]]="",VLOOKUP(Table2[[#This Row],[Description]],'Actuals Lookup'!D:F,3,0),Table2[[#This Row],[Manual Cat Value]])</f>
        <v>#N/A</v>
      </c>
      <c r="J4822" s="2">
        <v>142.93</v>
      </c>
      <c r="K4822" s="2" t="b">
        <v>0</v>
      </c>
      <c r="L4822" s="2"/>
      <c r="M4822" s="2"/>
      <c r="N4822" s="4" t="s">
        <v>2259</v>
      </c>
      <c r="O4822" s="4" t="str">
        <f>LEFT(Table2[[#This Row],[Description]],75)</f>
        <v>FSPSAVAGE JUMP XX8517 MN FSPSAVAGE JUMP 6126058517 MN</v>
      </c>
      <c r="P4822" s="2" t="s">
        <v>2281</v>
      </c>
    </row>
    <row r="4823" spans="1:16" hidden="1">
      <c r="A4823" s="2">
        <v>202105</v>
      </c>
      <c r="B4823" s="3">
        <v>44330</v>
      </c>
      <c r="C4823" s="2" t="s">
        <v>2434</v>
      </c>
      <c r="D4823" s="2" t="s">
        <v>2547</v>
      </c>
      <c r="E4823" s="2">
        <v>-231</v>
      </c>
      <c r="F4823" s="2" t="e">
        <f>IF(Table2[[#This Row],[Manual Cat Value]]="",VLOOKUP(Table2[[#This Row],[Description]],'Actuals Lookup'!D:F,3,0),Table2[[#This Row],[Manual Cat Value]])</f>
        <v>#N/A</v>
      </c>
      <c r="J4823" s="2">
        <v>231</v>
      </c>
      <c r="K4823" s="2" t="b">
        <v>0</v>
      </c>
      <c r="L4823" s="2"/>
      <c r="M4823" s="2"/>
      <c r="N4823" s="4" t="s">
        <v>2273</v>
      </c>
      <c r="O4823" s="4" t="str">
        <f>LEFT(Table2[[#This Row],[Description]],75)</f>
        <v>Tfr JPMorgan Chase Ban, CARGILL INCORPOR</v>
      </c>
      <c r="P4823" s="2" t="s">
        <v>2281</v>
      </c>
    </row>
    <row r="4824" spans="1:16" hidden="1">
      <c r="A4824" s="2">
        <v>202105</v>
      </c>
      <c r="B4824" s="3">
        <v>44330</v>
      </c>
      <c r="C4824" s="2" t="s">
        <v>2435</v>
      </c>
      <c r="D4824" s="2" t="s">
        <v>2548</v>
      </c>
      <c r="E4824" s="2">
        <v>-250</v>
      </c>
      <c r="F4824" s="2" t="e">
        <f>IF(Table2[[#This Row],[Manual Cat Value]]="",VLOOKUP(Table2[[#This Row],[Description]],'Actuals Lookup'!D:F,3,0),Table2[[#This Row],[Manual Cat Value]])</f>
        <v>#N/A</v>
      </c>
      <c r="J4824" s="2">
        <v>250</v>
      </c>
      <c r="K4824" s="2" t="b">
        <v>0</v>
      </c>
      <c r="L4824" s="2"/>
      <c r="M4824" s="2"/>
      <c r="N4824" s="4" t="s">
        <v>2273</v>
      </c>
      <c r="O4824" s="4" t="str">
        <f>LEFT(Table2[[#This Row],[Description]],75)</f>
        <v>Tfr JPMorgan Chase Ban, CONNECTED ANALYT</v>
      </c>
      <c r="P4824" s="2" t="s">
        <v>2493</v>
      </c>
    </row>
    <row r="4825" spans="1:16" hidden="1">
      <c r="A4825" s="2">
        <v>202105</v>
      </c>
      <c r="B4825" s="3">
        <v>44330</v>
      </c>
      <c r="C4825" s="2" t="s">
        <v>2317</v>
      </c>
      <c r="D4825" s="2" t="s">
        <v>2100</v>
      </c>
      <c r="E4825" s="2">
        <v>-5.68</v>
      </c>
      <c r="F4825" s="2" t="e">
        <f>IF(Table2[[#This Row],[Manual Cat Value]]="",VLOOKUP(Table2[[#This Row],[Description]],'Actuals Lookup'!D:F,3,0),Table2[[#This Row],[Manual Cat Value]])</f>
        <v>#N/A</v>
      </c>
      <c r="J4825" s="2">
        <v>5.68</v>
      </c>
      <c r="K4825" s="2" t="b">
        <v>0</v>
      </c>
      <c r="L4825" s="2"/>
      <c r="M4825" s="2"/>
      <c r="N4825" s="4" t="s">
        <v>2273</v>
      </c>
      <c r="O4825" s="4" t="str">
        <f>LEFT(Table2[[#This Row],[Description]],75)</f>
        <v>USD PARTNERS LP LP</v>
      </c>
      <c r="P4825" s="2" t="s">
        <v>2385</v>
      </c>
    </row>
    <row r="4826" spans="1:16" hidden="1">
      <c r="A4826" s="2">
        <v>202105</v>
      </c>
      <c r="B4826" s="3">
        <v>44330</v>
      </c>
      <c r="C4826" s="2" t="s">
        <v>2262</v>
      </c>
      <c r="D4826" s="2" t="s">
        <v>2141</v>
      </c>
      <c r="E4826" s="2">
        <v>680.57</v>
      </c>
      <c r="F4826" s="2" t="e">
        <f>IF(Table2[[#This Row],[Manual Cat Value]]="",VLOOKUP(Table2[[#This Row],[Description]],'Actuals Lookup'!D:F,3,0),Table2[[#This Row],[Manual Cat Value]])</f>
        <v>#N/A</v>
      </c>
      <c r="J4826" s="2">
        <v>680.57</v>
      </c>
      <c r="K4826" s="2" t="b">
        <v>0</v>
      </c>
      <c r="L4826" s="2"/>
      <c r="M4826" s="2"/>
      <c r="N4826" s="4" t="s">
        <v>2259</v>
      </c>
      <c r="O4826" s="4" t="str">
        <f>LEFT(Table2[[#This Row],[Description]],75)</f>
        <v>Water Street Inn WATERSTREET INN STILLWATER MN</v>
      </c>
      <c r="P4826" s="2" t="s">
        <v>2281</v>
      </c>
    </row>
    <row r="4827" spans="1:16" hidden="1">
      <c r="A4827" s="2">
        <v>202105</v>
      </c>
      <c r="B4827" s="3">
        <v>44331</v>
      </c>
      <c r="C4827" s="2" t="s">
        <v>2258</v>
      </c>
      <c r="D4827" s="2" t="s">
        <v>38</v>
      </c>
      <c r="E4827" s="2">
        <v>64.400000000000006</v>
      </c>
      <c r="F4827" s="2" t="str">
        <f>IF(Table2[[#This Row],[Manual Cat Value]]="",VLOOKUP(Table2[[#This Row],[Description]],'Actuals Lookup'!D:F,3,0),Table2[[#This Row],[Manual Cat Value]])</f>
        <v>Amazon</v>
      </c>
      <c r="J4827" s="2">
        <v>64.400000000000006</v>
      </c>
      <c r="K4827" s="2" t="b">
        <v>0</v>
      </c>
      <c r="L4827" s="2"/>
      <c r="M4827" s="2"/>
      <c r="N4827" s="4" t="s">
        <v>2259</v>
      </c>
      <c r="O4827" s="4" t="str">
        <f>LEFT(Table2[[#This Row],[Description]],75)</f>
        <v>Amazon</v>
      </c>
      <c r="P4827" s="2" t="s">
        <v>2260</v>
      </c>
    </row>
    <row r="4828" spans="1:16" hidden="1">
      <c r="A4828" s="2">
        <v>202105</v>
      </c>
      <c r="B4828" s="3">
        <v>44331</v>
      </c>
      <c r="C4828" s="2" t="s">
        <v>2447</v>
      </c>
      <c r="D4828" s="2" t="s">
        <v>38</v>
      </c>
      <c r="E4828" s="2">
        <v>64.400000000000006</v>
      </c>
      <c r="F4828" s="2" t="str">
        <f>IF(Table2[[#This Row],[Manual Cat Value]]="",VLOOKUP(Table2[[#This Row],[Description]],'Actuals Lookup'!D:F,3,0),Table2[[#This Row],[Manual Cat Value]])</f>
        <v>Amazon</v>
      </c>
      <c r="J4828" s="2">
        <v>64.400000000000006</v>
      </c>
      <c r="K4828" s="2" t="b">
        <v>0</v>
      </c>
      <c r="L4828" s="2"/>
      <c r="M4828" s="2"/>
      <c r="N4828" s="4" t="s">
        <v>2259</v>
      </c>
      <c r="O4828" s="4" t="str">
        <f>LEFT(Table2[[#This Row],[Description]],75)</f>
        <v>Amazon</v>
      </c>
      <c r="P4828" s="2" t="s">
        <v>2260</v>
      </c>
    </row>
    <row r="4829" spans="1:16" hidden="1">
      <c r="A4829" s="2">
        <v>202105</v>
      </c>
      <c r="B4829" s="3">
        <v>44332</v>
      </c>
      <c r="C4829" s="2" t="s">
        <v>2262</v>
      </c>
      <c r="D4829" s="2" t="s">
        <v>667</v>
      </c>
      <c r="E4829" s="2">
        <v>32.200000000000003</v>
      </c>
      <c r="F4829" s="2" t="e">
        <f>IF(Table2[[#This Row],[Manual Cat Value]]="",VLOOKUP(Table2[[#This Row],[Description]],'Actuals Lookup'!D:F,3,0),Table2[[#This Row],[Manual Cat Value]])</f>
        <v>#N/A</v>
      </c>
      <c r="J4829" s="2">
        <v>32.200000000000003</v>
      </c>
      <c r="K4829" s="2" t="b">
        <v>0</v>
      </c>
      <c r="L4829" s="2"/>
      <c r="M4829" s="2"/>
      <c r="N4829" s="4" t="s">
        <v>2259</v>
      </c>
      <c r="O4829" s="4" t="str">
        <f>LEFT(Table2[[#This Row],[Description]],75)</f>
        <v>Crate &amp; Barrel</v>
      </c>
      <c r="P4829" s="2" t="s">
        <v>2421</v>
      </c>
    </row>
    <row r="4830" spans="1:16" hidden="1">
      <c r="A4830" s="2">
        <v>202105</v>
      </c>
      <c r="B4830" s="3">
        <v>44332</v>
      </c>
      <c r="C4830" s="2" t="s">
        <v>2262</v>
      </c>
      <c r="D4830" s="2" t="s">
        <v>831</v>
      </c>
      <c r="E4830" s="2">
        <v>31.61</v>
      </c>
      <c r="F4830" s="2" t="e">
        <f>IF(Table2[[#This Row],[Manual Cat Value]]="",VLOOKUP(Table2[[#This Row],[Description]],'Actuals Lookup'!D:F,3,0),Table2[[#This Row],[Manual Cat Value]])</f>
        <v>#N/A</v>
      </c>
      <c r="J4830" s="2">
        <v>31.61</v>
      </c>
      <c r="K4830" s="2" t="b">
        <v>0</v>
      </c>
      <c r="L4830" s="2"/>
      <c r="M4830" s="2"/>
      <c r="N4830" s="4" t="s">
        <v>2259</v>
      </c>
      <c r="O4830" s="4" t="str">
        <f>LEFT(Table2[[#This Row],[Description]],75)</f>
        <v>Excelsior Brewing</v>
      </c>
      <c r="P4830" s="2" t="s">
        <v>2410</v>
      </c>
    </row>
    <row r="4831" spans="1:16" hidden="1">
      <c r="A4831" s="2">
        <v>202105</v>
      </c>
      <c r="B4831" s="3">
        <v>44332</v>
      </c>
      <c r="C4831" s="2" t="s">
        <v>2262</v>
      </c>
      <c r="D4831" s="2" t="s">
        <v>2021</v>
      </c>
      <c r="E4831" s="2">
        <v>45.83</v>
      </c>
      <c r="F4831" s="2" t="e">
        <f>IF(Table2[[#This Row],[Manual Cat Value]]="",VLOOKUP(Table2[[#This Row],[Description]],'Actuals Lookup'!D:F,3,0),Table2[[#This Row],[Manual Cat Value]])</f>
        <v>#N/A</v>
      </c>
      <c r="J4831" s="2">
        <v>45.83</v>
      </c>
      <c r="K4831" s="2" t="b">
        <v>0</v>
      </c>
      <c r="L4831" s="2"/>
      <c r="M4831" s="2"/>
      <c r="N4831" s="4" t="s">
        <v>2259</v>
      </c>
      <c r="O4831" s="4" t="str">
        <f>LEFT(Table2[[#This Row],[Description]],75)</f>
        <v>TST LAGOS TACOS EXCELSIOXX8495 M TST LAGOS TACOS EXCELSIO9523008495 MN</v>
      </c>
      <c r="P4831" s="2" t="s">
        <v>2281</v>
      </c>
    </row>
    <row r="4832" spans="1:16" hidden="1">
      <c r="A4832" s="2">
        <v>202105</v>
      </c>
      <c r="B4832" s="3">
        <v>44333</v>
      </c>
      <c r="C4832" s="2" t="s">
        <v>2434</v>
      </c>
      <c r="D4832" s="2" t="s">
        <v>225</v>
      </c>
      <c r="E4832" s="2">
        <v>-0.09</v>
      </c>
      <c r="F4832" s="2" t="e">
        <f>IF(Table2[[#This Row],[Manual Cat Value]]="",VLOOKUP(Table2[[#This Row],[Description]],'Actuals Lookup'!D:F,3,0),Table2[[#This Row],[Manual Cat Value]])</f>
        <v>#N/A</v>
      </c>
      <c r="J4832" s="2">
        <v>0.09</v>
      </c>
      <c r="K4832" s="2" t="b">
        <v>0</v>
      </c>
      <c r="L4832" s="2"/>
      <c r="M4832" s="2"/>
      <c r="N4832" s="4" t="s">
        <v>2273</v>
      </c>
      <c r="O4832" s="4" t="str">
        <f>LEFT(Table2[[#This Row],[Description]],75)</f>
        <v>BANK INT 041621-051521 SCHWAB PREMIER BANK</v>
      </c>
      <c r="P4832" s="2" t="s">
        <v>2281</v>
      </c>
    </row>
    <row r="4833" spans="1:16" hidden="1">
      <c r="A4833" s="2">
        <v>202105</v>
      </c>
      <c r="B4833" s="3">
        <v>44333</v>
      </c>
      <c r="C4833" s="2" t="s">
        <v>2435</v>
      </c>
      <c r="D4833" s="2" t="s">
        <v>225</v>
      </c>
      <c r="E4833" s="2">
        <v>-0.02</v>
      </c>
      <c r="F4833" s="2" t="e">
        <f>IF(Table2[[#This Row],[Manual Cat Value]]="",VLOOKUP(Table2[[#This Row],[Description]],'Actuals Lookup'!D:F,3,0),Table2[[#This Row],[Manual Cat Value]])</f>
        <v>#N/A</v>
      </c>
      <c r="J4833" s="2">
        <v>0.02</v>
      </c>
      <c r="K4833" s="2" t="b">
        <v>0</v>
      </c>
      <c r="L4833" s="2"/>
      <c r="M4833" s="2"/>
      <c r="N4833" s="4" t="s">
        <v>2273</v>
      </c>
      <c r="O4833" s="4" t="str">
        <f>LEFT(Table2[[#This Row],[Description]],75)</f>
        <v>BANK INT 041621-051521 SCHWAB PREMIER BANK</v>
      </c>
      <c r="P4833" s="2" t="s">
        <v>2281</v>
      </c>
    </row>
    <row r="4834" spans="1:16" hidden="1">
      <c r="A4834" s="2">
        <v>202105</v>
      </c>
      <c r="B4834" s="3">
        <v>44333</v>
      </c>
      <c r="C4834" s="2" t="s">
        <v>2262</v>
      </c>
      <c r="D4834" s="2" t="s">
        <v>453</v>
      </c>
      <c r="E4834" s="2">
        <v>19.2</v>
      </c>
      <c r="F4834" s="2" t="str">
        <f>IF(Table2[[#This Row],[Manual Cat Value]]="",VLOOKUP(Table2[[#This Row],[Description]],'Actuals Lookup'!D:F,3,0),Table2[[#This Row],[Manual Cat Value]])</f>
        <v>Restaurants</v>
      </c>
      <c r="J4834" s="2">
        <v>19.2</v>
      </c>
      <c r="K4834" s="2" t="b">
        <v>0</v>
      </c>
      <c r="L4834" s="2"/>
      <c r="M4834" s="2"/>
      <c r="N4834" s="4" t="s">
        <v>2259</v>
      </c>
      <c r="O4834" s="4" t="str">
        <f>LEFT(Table2[[#This Row],[Description]],75)</f>
        <v>Caribou Coffee</v>
      </c>
      <c r="P4834" s="2" t="s">
        <v>2329</v>
      </c>
    </row>
    <row r="4835" spans="1:16" hidden="1">
      <c r="A4835" s="2">
        <v>202105</v>
      </c>
      <c r="B4835" s="3">
        <v>44333</v>
      </c>
      <c r="C4835" s="2" t="s">
        <v>2265</v>
      </c>
      <c r="D4835" s="2" t="s">
        <v>1471</v>
      </c>
      <c r="E4835" s="2">
        <v>14.22</v>
      </c>
      <c r="F4835" s="2" t="str">
        <f>IF(Table2[[#This Row],[Manual Cat Value]]="",VLOOKUP(Table2[[#This Row],[Description]],'Actuals Lookup'!D:F,3,0),Table2[[#This Row],[Manual Cat Value]])</f>
        <v>Shopping</v>
      </c>
      <c r="J4835" s="2">
        <v>14.22</v>
      </c>
      <c r="K4835" s="2" t="b">
        <v>0</v>
      </c>
      <c r="L4835" s="2"/>
      <c r="M4835" s="2"/>
      <c r="N4835" s="4" t="s">
        <v>2259</v>
      </c>
      <c r="O4835" s="4" t="str">
        <f>LEFT(Table2[[#This Row],[Description]],75)</f>
        <v>PayPal</v>
      </c>
      <c r="P4835" s="2" t="s">
        <v>2322</v>
      </c>
    </row>
    <row r="4836" spans="1:16" hidden="1">
      <c r="A4836" s="2">
        <v>202105</v>
      </c>
      <c r="B4836" s="3">
        <v>44333</v>
      </c>
      <c r="C4836" s="2" t="s">
        <v>2317</v>
      </c>
      <c r="D4836" s="2" t="s">
        <v>1525</v>
      </c>
      <c r="E4836" s="2">
        <v>-34.549999999999997</v>
      </c>
      <c r="F4836" s="2" t="e">
        <f>IF(Table2[[#This Row],[Manual Cat Value]]="",VLOOKUP(Table2[[#This Row],[Description]],'Actuals Lookup'!D:F,3,0),Table2[[#This Row],[Manual Cat Value]])</f>
        <v>#N/A</v>
      </c>
      <c r="J4836" s="2">
        <v>34.549999999999997</v>
      </c>
      <c r="K4836" s="2" t="b">
        <v>0</v>
      </c>
      <c r="L4836" s="2"/>
      <c r="M4836" s="2"/>
      <c r="N4836" s="4" t="s">
        <v>2273</v>
      </c>
      <c r="O4836" s="4" t="str">
        <f>LEFT(Table2[[#This Row],[Description]],75)</f>
        <v>PROCTER &amp; GAMBLE</v>
      </c>
      <c r="P4836" s="2" t="s">
        <v>2415</v>
      </c>
    </row>
    <row r="4837" spans="1:16" hidden="1">
      <c r="A4837" s="2">
        <v>202105</v>
      </c>
      <c r="B4837" s="3">
        <v>44333</v>
      </c>
      <c r="C4837" s="2" t="s">
        <v>2262</v>
      </c>
      <c r="D4837" s="2" t="s">
        <v>2038</v>
      </c>
      <c r="E4837" s="2">
        <v>44.25</v>
      </c>
      <c r="F4837" s="2" t="e">
        <f>IF(Table2[[#This Row],[Manual Cat Value]]="",VLOOKUP(Table2[[#This Row],[Description]],'Actuals Lookup'!D:F,3,0),Table2[[#This Row],[Manual Cat Value]])</f>
        <v>#N/A</v>
      </c>
      <c r="J4837" s="2">
        <v>44.25</v>
      </c>
      <c r="K4837" s="2" t="b">
        <v>0</v>
      </c>
      <c r="L4837" s="2"/>
      <c r="M4837" s="2"/>
      <c r="N4837" s="4" t="s">
        <v>2259</v>
      </c>
      <c r="O4837" s="4" t="str">
        <f>LEFT(Table2[[#This Row],[Description]],75)</f>
        <v>TST RED RABBIT MINNEAP6513362179 MN</v>
      </c>
      <c r="P4837" s="2" t="s">
        <v>2549</v>
      </c>
    </row>
    <row r="4838" spans="1:16" hidden="1">
      <c r="A4838" s="2">
        <v>202105</v>
      </c>
      <c r="B4838" s="3">
        <v>44333</v>
      </c>
      <c r="C4838" s="2" t="s">
        <v>2262</v>
      </c>
      <c r="D4838" s="2" t="s">
        <v>2059</v>
      </c>
      <c r="E4838" s="2">
        <v>55.64</v>
      </c>
      <c r="F4838" s="2" t="e">
        <f>IF(Table2[[#This Row],[Manual Cat Value]]="",VLOOKUP(Table2[[#This Row],[Description]],'Actuals Lookup'!D:F,3,0),Table2[[#This Row],[Manual Cat Value]])</f>
        <v>#N/A</v>
      </c>
      <c r="J4838" s="2">
        <v>55.64</v>
      </c>
      <c r="K4838" s="2" t="b">
        <v>0</v>
      </c>
      <c r="L4838" s="2"/>
      <c r="M4838" s="2"/>
      <c r="N4838" s="4" t="s">
        <v>2259</v>
      </c>
      <c r="O4838" s="4" t="str">
        <f>LEFT(Table2[[#This Row],[Description]],75)</f>
        <v>Tullibee</v>
      </c>
      <c r="P4838" s="2" t="s">
        <v>2281</v>
      </c>
    </row>
    <row r="4839" spans="1:16" hidden="1">
      <c r="A4839" s="2">
        <v>202105</v>
      </c>
      <c r="B4839" s="3">
        <v>44334</v>
      </c>
      <c r="C4839" s="2" t="s">
        <v>2265</v>
      </c>
      <c r="D4839" s="2" t="s">
        <v>1196</v>
      </c>
      <c r="E4839" s="2">
        <v>425</v>
      </c>
      <c r="F4839" s="2" t="e">
        <f>IF(Table2[[#This Row],[Manual Cat Value]]="",VLOOKUP(Table2[[#This Row],[Description]],'Actuals Lookup'!D:F,3,0),Table2[[#This Row],[Manual Cat Value]])</f>
        <v>#N/A</v>
      </c>
      <c r="J4839" s="2">
        <v>425</v>
      </c>
      <c r="K4839" s="2" t="b">
        <v>0</v>
      </c>
      <c r="L4839" s="2"/>
      <c r="M4839" s="2"/>
      <c r="N4839" s="4" t="s">
        <v>2259</v>
      </c>
      <c r="O4839" s="4" t="str">
        <f>LEFT(Table2[[#This Row],[Description]],75)</f>
        <v>MHCHILDCARELLC TYPE DUES ID CO M MHCHILDCARELLC TYPE DUES ID CO MHCHILDCARE</v>
      </c>
      <c r="P4839" s="2" t="s">
        <v>2497</v>
      </c>
    </row>
    <row r="4840" spans="1:16" hidden="1">
      <c r="A4840" s="2">
        <v>202105</v>
      </c>
      <c r="B4840" s="3">
        <v>44334</v>
      </c>
      <c r="C4840" s="2" t="s">
        <v>2265</v>
      </c>
      <c r="D4840" s="2" t="s">
        <v>1305</v>
      </c>
      <c r="E4840" s="2">
        <v>200</v>
      </c>
      <c r="F4840" s="2" t="e">
        <f>IF(Table2[[#This Row],[Manual Cat Value]]="",VLOOKUP(Table2[[#This Row],[Description]],'Actuals Lookup'!D:F,3,0),Table2[[#This Row],[Manual Cat Value]])</f>
        <v>#N/A</v>
      </c>
      <c r="J4840" s="2">
        <v>200</v>
      </c>
      <c r="K4840" s="2" t="b">
        <v>0</v>
      </c>
      <c r="L4840" s="2"/>
      <c r="M4840" s="2"/>
      <c r="N4840" s="4" t="s">
        <v>2259</v>
      </c>
      <c r="O4840" s="4" t="str">
        <f>LEFT(Table2[[#This Row],[Description]],75)</f>
        <v>MN DIR ACH TYPE CONTRIB ID CO MN MN DIR ACH TYPE CONTRIB ID CO MN DIR ACH A</v>
      </c>
      <c r="P4840" s="2" t="s">
        <v>2469</v>
      </c>
    </row>
    <row r="4841" spans="1:16" hidden="1">
      <c r="A4841" s="2">
        <v>202105</v>
      </c>
      <c r="B4841" s="3">
        <v>44334</v>
      </c>
      <c r="C4841" s="2" t="s">
        <v>2317</v>
      </c>
      <c r="D4841" s="2" t="s">
        <v>1525</v>
      </c>
      <c r="E4841" s="2">
        <v>34.549999999999997</v>
      </c>
      <c r="F4841" s="2" t="e">
        <f>IF(Table2[[#This Row],[Manual Cat Value]]="",VLOOKUP(Table2[[#This Row],[Description]],'Actuals Lookup'!D:F,3,0),Table2[[#This Row],[Manual Cat Value]])</f>
        <v>#N/A</v>
      </c>
      <c r="J4841" s="2">
        <v>34.549999999999997</v>
      </c>
      <c r="K4841" s="2" t="b">
        <v>0</v>
      </c>
      <c r="L4841" s="2"/>
      <c r="M4841" s="2"/>
      <c r="N4841" s="4" t="s">
        <v>2259</v>
      </c>
      <c r="O4841" s="4" t="str">
        <f>LEFT(Table2[[#This Row],[Description]],75)</f>
        <v>PROCTER &amp; GAMBLE</v>
      </c>
      <c r="P4841" s="2" t="s">
        <v>2415</v>
      </c>
    </row>
    <row r="4842" spans="1:16" hidden="1">
      <c r="A4842" s="2">
        <v>202105</v>
      </c>
      <c r="B4842" s="3">
        <v>44335</v>
      </c>
      <c r="C4842" s="2" t="s">
        <v>2262</v>
      </c>
      <c r="D4842" s="2" t="s">
        <v>1528</v>
      </c>
      <c r="E4842" s="2">
        <v>360.01</v>
      </c>
      <c r="F4842" s="2" t="e">
        <f>IF(Table2[[#This Row],[Manual Cat Value]]="",VLOOKUP(Table2[[#This Row],[Description]],'Actuals Lookup'!D:F,3,0),Table2[[#This Row],[Manual Cat Value]])</f>
        <v>#N/A</v>
      </c>
      <c r="J4842" s="2">
        <v>360.01</v>
      </c>
      <c r="K4842" s="2" t="b">
        <v>0</v>
      </c>
      <c r="L4842" s="2"/>
      <c r="M4842" s="2"/>
      <c r="N4842" s="4" t="s">
        <v>2259</v>
      </c>
      <c r="O4842" s="4" t="str">
        <f>LEFT(Table2[[#This Row],[Description]],75)</f>
        <v>PSA Portal Payments XX9470 MN PSA Portal Payments 9528359470 MN</v>
      </c>
      <c r="P4842" s="2" t="s">
        <v>2281</v>
      </c>
    </row>
    <row r="4843" spans="1:16" hidden="1">
      <c r="A4843" s="2">
        <v>202105</v>
      </c>
      <c r="B4843" s="3">
        <v>44335</v>
      </c>
      <c r="C4843" s="2" t="s">
        <v>2262</v>
      </c>
      <c r="D4843" s="2" t="s">
        <v>646</v>
      </c>
      <c r="E4843" s="2">
        <v>55.84</v>
      </c>
      <c r="F4843" s="2" t="e">
        <f>IF(Table2[[#This Row],[Manual Cat Value]]="",VLOOKUP(Table2[[#This Row],[Description]],'Actuals Lookup'!D:F,3,0),Table2[[#This Row],[Manual Cat Value]])</f>
        <v>#N/A</v>
      </c>
      <c r="J4843" s="2">
        <v>55.84</v>
      </c>
      <c r="K4843" s="2" t="b">
        <v>0</v>
      </c>
      <c r="L4843" s="2"/>
      <c r="M4843" s="2"/>
      <c r="N4843" s="4" t="s">
        <v>2259</v>
      </c>
      <c r="O4843" s="4" t="str">
        <f>LEFT(Table2[[#This Row],[Description]],75)</f>
        <v>Corelle Brands LLC</v>
      </c>
      <c r="P4843" s="2" t="s">
        <v>2281</v>
      </c>
    </row>
    <row r="4844" spans="1:16" hidden="1">
      <c r="A4844" s="2">
        <v>202105</v>
      </c>
      <c r="B4844" s="3">
        <v>44335</v>
      </c>
      <c r="C4844" s="2" t="s">
        <v>2262</v>
      </c>
      <c r="D4844" s="2" t="s">
        <v>1083</v>
      </c>
      <c r="E4844" s="2">
        <v>26.8</v>
      </c>
      <c r="F4844" s="2" t="str">
        <f>IF(Table2[[#This Row],[Manual Cat Value]]="",VLOOKUP(Table2[[#This Row],[Description]],'Actuals Lookup'!D:F,3,0),Table2[[#This Row],[Manual Cat Value]])</f>
        <v>Transportation</v>
      </c>
      <c r="J4844" s="2">
        <v>26.8</v>
      </c>
      <c r="K4844" s="2" t="b">
        <v>0</v>
      </c>
      <c r="L4844" s="2"/>
      <c r="M4844" s="2"/>
      <c r="N4844" s="4" t="s">
        <v>2259</v>
      </c>
      <c r="O4844" s="4" t="str">
        <f>LEFT(Table2[[#This Row],[Description]],75)</f>
        <v>Kwik Trip</v>
      </c>
      <c r="P4844" s="2" t="s">
        <v>2509</v>
      </c>
    </row>
    <row r="4845" spans="1:16" hidden="1">
      <c r="A4845" s="2">
        <v>202105</v>
      </c>
      <c r="B4845" s="3">
        <v>44335</v>
      </c>
      <c r="C4845" s="2" t="s">
        <v>2262</v>
      </c>
      <c r="D4845" s="2" t="s">
        <v>1251</v>
      </c>
      <c r="E4845" s="2">
        <v>319.98</v>
      </c>
      <c r="F4845" s="2" t="e">
        <f>IF(Table2[[#This Row],[Manual Cat Value]]="",VLOOKUP(Table2[[#This Row],[Description]],'Actuals Lookup'!D:F,3,0),Table2[[#This Row],[Manual Cat Value]])</f>
        <v>#N/A</v>
      </c>
      <c r="J4845" s="2">
        <v>319.98</v>
      </c>
      <c r="K4845" s="2" t="b">
        <v>0</v>
      </c>
      <c r="L4845" s="2"/>
      <c r="M4845" s="2"/>
      <c r="N4845" s="4" t="s">
        <v>2259</v>
      </c>
      <c r="O4845" s="4" t="str">
        <f>LEFT(Table2[[#This Row],[Description]],75)</f>
        <v>Midwest Aqua Care Inc</v>
      </c>
      <c r="P4845" s="2" t="s">
        <v>2281</v>
      </c>
    </row>
    <row r="4846" spans="1:16" hidden="1">
      <c r="A4846" s="2">
        <v>202105</v>
      </c>
      <c r="B4846" s="3">
        <v>44335</v>
      </c>
      <c r="C4846" s="2" t="s">
        <v>2265</v>
      </c>
      <c r="D4846" s="2" t="s">
        <v>1471</v>
      </c>
      <c r="E4846" s="2">
        <v>40</v>
      </c>
      <c r="F4846" s="2" t="str">
        <f>IF(Table2[[#This Row],[Manual Cat Value]]="",VLOOKUP(Table2[[#This Row],[Description]],'Actuals Lookup'!D:F,3,0),Table2[[#This Row],[Manual Cat Value]])</f>
        <v>Shopping</v>
      </c>
      <c r="J4846" s="2">
        <v>40</v>
      </c>
      <c r="K4846" s="2" t="b">
        <v>0</v>
      </c>
      <c r="L4846" s="2"/>
      <c r="M4846" s="2"/>
      <c r="N4846" s="4" t="s">
        <v>2259</v>
      </c>
      <c r="O4846" s="4" t="str">
        <f>LEFT(Table2[[#This Row],[Description]],75)</f>
        <v>PayPal</v>
      </c>
      <c r="P4846" s="2" t="s">
        <v>2322</v>
      </c>
    </row>
    <row r="4847" spans="1:16" hidden="1">
      <c r="A4847" s="2">
        <v>202105</v>
      </c>
      <c r="B4847" s="3">
        <v>44336</v>
      </c>
      <c r="C4847" s="2" t="s">
        <v>2265</v>
      </c>
      <c r="D4847" s="2" t="s">
        <v>425</v>
      </c>
      <c r="E4847" s="2">
        <v>-75</v>
      </c>
      <c r="F4847" s="2" t="e">
        <f>IF(Table2[[#This Row],[Manual Cat Value]]="",VLOOKUP(Table2[[#This Row],[Description]],'Actuals Lookup'!D:F,3,0),Table2[[#This Row],[Manual Cat Value]])</f>
        <v>#N/A</v>
      </c>
      <c r="J4847" s="2">
        <v>75</v>
      </c>
      <c r="K4847" s="2" t="b">
        <v>0</v>
      </c>
      <c r="L4847" s="2"/>
      <c r="M4847" s="2"/>
      <c r="N4847" s="4" t="s">
        <v>2273</v>
      </c>
      <c r="O4847" s="4" t="str">
        <f>LEFT(Table2[[#This Row],[Description]],75)</f>
        <v>Cargill Incorpor Type</v>
      </c>
      <c r="P4847" s="2" t="s">
        <v>2282</v>
      </c>
    </row>
    <row r="4848" spans="1:16" hidden="1">
      <c r="A4848" s="2">
        <v>202105</v>
      </c>
      <c r="B4848" s="3">
        <v>44336</v>
      </c>
      <c r="C4848" s="2" t="s">
        <v>2265</v>
      </c>
      <c r="D4848" s="2" t="s">
        <v>604</v>
      </c>
      <c r="E4848" s="2">
        <v>-412.77</v>
      </c>
      <c r="F4848" s="2" t="e">
        <f>IF(Table2[[#This Row],[Manual Cat Value]]="",VLOOKUP(Table2[[#This Row],[Description]],'Actuals Lookup'!D:F,3,0),Table2[[#This Row],[Manual Cat Value]])</f>
        <v>#N/A</v>
      </c>
      <c r="J4848" s="2">
        <v>412.77</v>
      </c>
      <c r="K4848" s="2" t="b">
        <v>0</v>
      </c>
      <c r="L4848" s="2"/>
      <c r="M4848" s="2"/>
      <c r="N4848" s="4" t="s">
        <v>2273</v>
      </c>
      <c r="O4848" s="4" t="str">
        <f>LEFT(Table2[[#This Row],[Description]],75)</f>
        <v>Connect Your Care Deposit connectyourcare TYPE SVBCLAIMS ID E942875288 CO c</v>
      </c>
      <c r="P4848" s="2" t="s">
        <v>2281</v>
      </c>
    </row>
    <row r="4849" spans="1:16" hidden="1">
      <c r="A4849" s="2">
        <v>202105</v>
      </c>
      <c r="B4849" s="3">
        <v>44337</v>
      </c>
      <c r="C4849" s="2" t="s">
        <v>2262</v>
      </c>
      <c r="D4849" s="2" t="s">
        <v>674</v>
      </c>
      <c r="E4849" s="2">
        <v>-2066.9899999999998</v>
      </c>
      <c r="F4849" s="2" t="e">
        <f>IF(Table2[[#This Row],[Manual Cat Value]]="",VLOOKUP(Table2[[#This Row],[Description]],'Actuals Lookup'!D:F,3,0),Table2[[#This Row],[Manual Cat Value]])</f>
        <v>#N/A</v>
      </c>
      <c r="J4849" s="2">
        <v>2066.9899999999998</v>
      </c>
      <c r="K4849" s="2" t="b">
        <v>0</v>
      </c>
      <c r="L4849" s="2"/>
      <c r="M4849" s="2"/>
      <c r="N4849" s="4" t="s">
        <v>2273</v>
      </c>
      <c r="O4849" s="4" t="str">
        <f>LEFT(Table2[[#This Row],[Description]],75)</f>
        <v>Credit Card Payment Received PAYMENT THANK YOU</v>
      </c>
      <c r="P4849" s="2" t="s">
        <v>2391</v>
      </c>
    </row>
    <row r="4850" spans="1:16" hidden="1">
      <c r="A4850" s="2">
        <v>202105</v>
      </c>
      <c r="B4850" s="3">
        <v>44337</v>
      </c>
      <c r="C4850" s="2" t="s">
        <v>2265</v>
      </c>
      <c r="D4850" s="2" t="s">
        <v>2203</v>
      </c>
      <c r="E4850" s="2">
        <v>2066.9899999999998</v>
      </c>
      <c r="F4850" s="2" t="e">
        <f>IF(Table2[[#This Row],[Manual Cat Value]]="",VLOOKUP(Table2[[#This Row],[Description]],'Actuals Lookup'!D:F,3,0),Table2[[#This Row],[Manual Cat Value]])</f>
        <v>#N/A</v>
      </c>
      <c r="J4850" s="2">
        <v>2066.9899999999998</v>
      </c>
      <c r="K4850" s="2" t="b">
        <v>0</v>
      </c>
      <c r="L4850" s="2"/>
      <c r="M4850" s="2"/>
      <c r="N4850" s="4" t="s">
        <v>2259</v>
      </c>
      <c r="O4850" s="4" t="str">
        <f>LEFT(Table2[[#This Row],[Description]],75)</f>
        <v>Withdrawal Home payment to card XX91 Withdrawal Home payment to card 979181</v>
      </c>
      <c r="P4850" s="2" t="s">
        <v>2349</v>
      </c>
    </row>
    <row r="4851" spans="1:16" hidden="1">
      <c r="A4851" s="2">
        <v>202105</v>
      </c>
      <c r="B4851" s="3">
        <v>44337</v>
      </c>
      <c r="C4851" s="2" t="s">
        <v>2262</v>
      </c>
      <c r="D4851" s="2" t="s">
        <v>310</v>
      </c>
      <c r="E4851" s="2">
        <v>9</v>
      </c>
      <c r="F4851" s="2" t="e">
        <f>IF(Table2[[#This Row],[Manual Cat Value]]="",VLOOKUP(Table2[[#This Row],[Description]],'Actuals Lookup'!D:F,3,0),Table2[[#This Row],[Manual Cat Value]])</f>
        <v>#N/A</v>
      </c>
      <c r="J4851" s="2">
        <v>9</v>
      </c>
      <c r="K4851" s="2" t="b">
        <v>0</v>
      </c>
      <c r="L4851" s="2"/>
      <c r="M4851" s="2"/>
      <c r="N4851" s="4" t="s">
        <v>2259</v>
      </c>
      <c r="O4851" s="4" t="str">
        <f>LEFT(Table2[[#This Row],[Description]],75)</f>
        <v>BONFES PLUMBING HEATING ASOUTH SAINT PMN</v>
      </c>
      <c r="P4851" s="2" t="s">
        <v>2537</v>
      </c>
    </row>
    <row r="4852" spans="1:16" hidden="1">
      <c r="A4852" s="2">
        <v>202105</v>
      </c>
      <c r="B4852" s="3">
        <v>44337</v>
      </c>
      <c r="C4852" s="2" t="s">
        <v>2265</v>
      </c>
      <c r="D4852" s="2" t="s">
        <v>557</v>
      </c>
      <c r="E4852" s="2">
        <v>61.81</v>
      </c>
      <c r="F4852" s="2" t="e">
        <f>IF(Table2[[#This Row],[Manual Cat Value]]="",VLOOKUP(Table2[[#This Row],[Description]],'Actuals Lookup'!D:F,3,0),Table2[[#This Row],[Manual Cat Value]])</f>
        <v>#N/A</v>
      </c>
      <c r="J4852" s="2">
        <v>61.81</v>
      </c>
      <c r="K4852" s="2" t="b">
        <v>0</v>
      </c>
      <c r="L4852" s="2"/>
      <c r="M4852" s="2"/>
      <c r="N4852" s="4" t="s">
        <v>2259</v>
      </c>
      <c r="O4852" s="4" t="str">
        <f>LEFT(Table2[[#This Row],[Description]],75)</f>
        <v>City of Chanhassen</v>
      </c>
      <c r="P4852" s="2" t="s">
        <v>2298</v>
      </c>
    </row>
    <row r="4853" spans="1:16" hidden="1">
      <c r="A4853" s="2">
        <v>202105</v>
      </c>
      <c r="B4853" s="3">
        <v>44337</v>
      </c>
      <c r="C4853" s="2" t="s">
        <v>2262</v>
      </c>
      <c r="D4853" s="2" t="s">
        <v>838</v>
      </c>
      <c r="E4853" s="2">
        <v>11.03</v>
      </c>
      <c r="F4853" s="2" t="e">
        <f>IF(Table2[[#This Row],[Manual Cat Value]]="",VLOOKUP(Table2[[#This Row],[Description]],'Actuals Lookup'!D:F,3,0),Table2[[#This Row],[Manual Cat Value]])</f>
        <v>#N/A</v>
      </c>
      <c r="J4853" s="2">
        <v>11.03</v>
      </c>
      <c r="K4853" s="2" t="b">
        <v>0</v>
      </c>
      <c r="L4853" s="2"/>
      <c r="M4853" s="2"/>
      <c r="N4853" s="4" t="s">
        <v>2259</v>
      </c>
      <c r="O4853" s="4" t="str">
        <f>LEFT(Table2[[#This Row],[Description]],75)</f>
        <v>Federal Express</v>
      </c>
      <c r="P4853" s="2" t="s">
        <v>2281</v>
      </c>
    </row>
    <row r="4854" spans="1:16" hidden="1">
      <c r="A4854" s="2">
        <v>202105</v>
      </c>
      <c r="B4854" s="3">
        <v>44337</v>
      </c>
      <c r="C4854" s="2" t="s">
        <v>2317</v>
      </c>
      <c r="D4854" s="2" t="s">
        <v>1633</v>
      </c>
      <c r="E4854" s="2">
        <v>200</v>
      </c>
      <c r="F4854" s="2" t="e">
        <f>IF(Table2[[#This Row],[Manual Cat Value]]="",VLOOKUP(Table2[[#This Row],[Description]],'Actuals Lookup'!D:F,3,0),Table2[[#This Row],[Manual Cat Value]])</f>
        <v>#N/A</v>
      </c>
      <c r="J4854" s="2">
        <v>200</v>
      </c>
      <c r="K4854" s="2" t="b">
        <v>0</v>
      </c>
      <c r="L4854" s="2"/>
      <c r="M4854" s="2"/>
      <c r="N4854" s="4" t="s">
        <v>2259</v>
      </c>
      <c r="O4854" s="4" t="str">
        <f>LEFT(Table2[[#This Row],[Description]],75)</f>
        <v>SCHWAB S&amp;P 500 INDEX FD</v>
      </c>
      <c r="P4854" s="2" t="s">
        <v>2276</v>
      </c>
    </row>
    <row r="4855" spans="1:16" hidden="1">
      <c r="A4855" s="2">
        <v>202105</v>
      </c>
      <c r="B4855" s="3">
        <v>44337</v>
      </c>
      <c r="C4855" s="2" t="s">
        <v>2317</v>
      </c>
      <c r="D4855" s="2" t="s">
        <v>1635</v>
      </c>
      <c r="E4855" s="2">
        <v>200</v>
      </c>
      <c r="F4855" s="2" t="e">
        <f>IF(Table2[[#This Row],[Manual Cat Value]]="",VLOOKUP(Table2[[#This Row],[Description]],'Actuals Lookup'!D:F,3,0),Table2[[#This Row],[Manual Cat Value]])</f>
        <v>#N/A</v>
      </c>
      <c r="J4855" s="2">
        <v>200</v>
      </c>
      <c r="K4855" s="2" t="b">
        <v>0</v>
      </c>
      <c r="L4855" s="2"/>
      <c r="M4855" s="2"/>
      <c r="N4855" s="4" t="s">
        <v>2259</v>
      </c>
      <c r="O4855" s="4" t="str">
        <f>LEFT(Table2[[#This Row],[Description]],75)</f>
        <v>SCHWAB TOTAL STOCK MKT INDEX</v>
      </c>
      <c r="P4855" s="2" t="s">
        <v>2278</v>
      </c>
    </row>
    <row r="4856" spans="1:16" hidden="1">
      <c r="A4856" s="2">
        <v>202105</v>
      </c>
      <c r="B4856" s="3">
        <v>44338</v>
      </c>
      <c r="C4856" s="2" t="s">
        <v>2258</v>
      </c>
      <c r="D4856" s="2" t="s">
        <v>944</v>
      </c>
      <c r="E4856" s="2">
        <v>5.44</v>
      </c>
      <c r="F4856" s="2" t="e">
        <f>IF(Table2[[#This Row],[Manual Cat Value]]="",VLOOKUP(Table2[[#This Row],[Description]],'Actuals Lookup'!D:F,3,0),Table2[[#This Row],[Manual Cat Value]])</f>
        <v>#N/A</v>
      </c>
      <c r="J4856" s="2">
        <v>5.44</v>
      </c>
      <c r="K4856" s="2" t="b">
        <v>0</v>
      </c>
      <c r="L4856" s="2"/>
      <c r="M4856" s="2"/>
      <c r="N4856" s="4" t="s">
        <v>2259</v>
      </c>
      <c r="O4856" s="4" t="str">
        <f>LEFT(Table2[[#This Row],[Description]],75)</f>
        <v>Holiday Stationstore</v>
      </c>
      <c r="P4856" s="2" t="s">
        <v>2374</v>
      </c>
    </row>
    <row r="4857" spans="1:16" hidden="1">
      <c r="A4857" s="2">
        <v>202105</v>
      </c>
      <c r="B4857" s="3">
        <v>44338</v>
      </c>
      <c r="C4857" s="2" t="s">
        <v>2258</v>
      </c>
      <c r="D4857" s="2" t="s">
        <v>944</v>
      </c>
      <c r="E4857" s="2">
        <v>35.67</v>
      </c>
      <c r="F4857" s="2" t="e">
        <f>IF(Table2[[#This Row],[Manual Cat Value]]="",VLOOKUP(Table2[[#This Row],[Description]],'Actuals Lookup'!D:F,3,0),Table2[[#This Row],[Manual Cat Value]])</f>
        <v>#N/A</v>
      </c>
      <c r="J4857" s="2">
        <v>35.67</v>
      </c>
      <c r="K4857" s="2" t="b">
        <v>0</v>
      </c>
      <c r="L4857" s="2"/>
      <c r="M4857" s="2"/>
      <c r="N4857" s="4" t="s">
        <v>2259</v>
      </c>
      <c r="O4857" s="4" t="str">
        <f>LEFT(Table2[[#This Row],[Description]],75)</f>
        <v>Holiday Stationstore</v>
      </c>
      <c r="P4857" s="2" t="s">
        <v>2374</v>
      </c>
    </row>
    <row r="4858" spans="1:16" hidden="1">
      <c r="A4858" s="2">
        <v>202105</v>
      </c>
      <c r="B4858" s="3">
        <v>44338</v>
      </c>
      <c r="C4858" s="2" t="s">
        <v>2447</v>
      </c>
      <c r="D4858" s="2" t="s">
        <v>944</v>
      </c>
      <c r="E4858" s="2">
        <v>5.44</v>
      </c>
      <c r="F4858" s="2" t="e">
        <f>IF(Table2[[#This Row],[Manual Cat Value]]="",VLOOKUP(Table2[[#This Row],[Description]],'Actuals Lookup'!D:F,3,0),Table2[[#This Row],[Manual Cat Value]])</f>
        <v>#N/A</v>
      </c>
      <c r="J4858" s="2">
        <v>5.44</v>
      </c>
      <c r="K4858" s="2" t="b">
        <v>0</v>
      </c>
      <c r="L4858" s="2"/>
      <c r="M4858" s="2"/>
      <c r="N4858" s="4" t="s">
        <v>2259</v>
      </c>
      <c r="O4858" s="4" t="str">
        <f>LEFT(Table2[[#This Row],[Description]],75)</f>
        <v>Holiday Stationstore</v>
      </c>
      <c r="P4858" s="2" t="s">
        <v>2374</v>
      </c>
    </row>
    <row r="4859" spans="1:16" hidden="1">
      <c r="A4859" s="2">
        <v>202105</v>
      </c>
      <c r="B4859" s="3">
        <v>44338</v>
      </c>
      <c r="C4859" s="2" t="s">
        <v>2447</v>
      </c>
      <c r="D4859" s="2" t="s">
        <v>944</v>
      </c>
      <c r="E4859" s="2">
        <v>35.67</v>
      </c>
      <c r="F4859" s="2" t="e">
        <f>IF(Table2[[#This Row],[Manual Cat Value]]="",VLOOKUP(Table2[[#This Row],[Description]],'Actuals Lookup'!D:F,3,0),Table2[[#This Row],[Manual Cat Value]])</f>
        <v>#N/A</v>
      </c>
      <c r="J4859" s="2">
        <v>35.67</v>
      </c>
      <c r="K4859" s="2" t="b">
        <v>0</v>
      </c>
      <c r="L4859" s="2"/>
      <c r="M4859" s="2"/>
      <c r="N4859" s="4" t="s">
        <v>2259</v>
      </c>
      <c r="O4859" s="4" t="str">
        <f>LEFT(Table2[[#This Row],[Description]],75)</f>
        <v>Holiday Stationstore</v>
      </c>
      <c r="P4859" s="2" t="s">
        <v>2374</v>
      </c>
    </row>
    <row r="4860" spans="1:16" hidden="1">
      <c r="A4860" s="2">
        <v>202105</v>
      </c>
      <c r="B4860" s="3">
        <v>44339</v>
      </c>
      <c r="C4860" s="2" t="s">
        <v>2262</v>
      </c>
      <c r="D4860" s="2" t="s">
        <v>684</v>
      </c>
      <c r="E4860" s="2">
        <v>74.8</v>
      </c>
      <c r="F4860" s="2" t="str">
        <f>IF(Table2[[#This Row],[Manual Cat Value]]="",VLOOKUP(Table2[[#This Row],[Description]],'Actuals Lookup'!D:F,3,0),Table2[[#This Row],[Manual Cat Value]])</f>
        <v>Groceries</v>
      </c>
      <c r="J4860" s="2">
        <v>74.8</v>
      </c>
      <c r="K4860" s="2" t="b">
        <v>0</v>
      </c>
      <c r="L4860" s="2"/>
      <c r="M4860" s="2"/>
      <c r="N4860" s="4" t="s">
        <v>2259</v>
      </c>
      <c r="O4860" s="4" t="str">
        <f>LEFT(Table2[[#This Row],[Description]],75)</f>
        <v>Cub Foods</v>
      </c>
      <c r="P4860" s="2" t="s">
        <v>2370</v>
      </c>
    </row>
    <row r="4861" spans="1:16" hidden="1">
      <c r="A4861" s="2">
        <v>202105</v>
      </c>
      <c r="B4861" s="3">
        <v>44339</v>
      </c>
      <c r="C4861" s="2" t="s">
        <v>2262</v>
      </c>
      <c r="D4861" s="2" t="s">
        <v>944</v>
      </c>
      <c r="E4861" s="2">
        <v>7.57</v>
      </c>
      <c r="F4861" s="2" t="e">
        <f>IF(Table2[[#This Row],[Manual Cat Value]]="",VLOOKUP(Table2[[#This Row],[Description]],'Actuals Lookup'!D:F,3,0),Table2[[#This Row],[Manual Cat Value]])</f>
        <v>#N/A</v>
      </c>
      <c r="J4861" s="2">
        <v>7.57</v>
      </c>
      <c r="K4861" s="2" t="b">
        <v>0</v>
      </c>
      <c r="L4861" s="2"/>
      <c r="M4861" s="2"/>
      <c r="N4861" s="4" t="s">
        <v>2259</v>
      </c>
      <c r="O4861" s="4" t="str">
        <f>LEFT(Table2[[#This Row],[Description]],75)</f>
        <v>Holiday Stationstore</v>
      </c>
      <c r="P4861" s="2" t="s">
        <v>2374</v>
      </c>
    </row>
    <row r="4862" spans="1:16" hidden="1">
      <c r="A4862" s="2">
        <v>202105</v>
      </c>
      <c r="B4862" s="3">
        <v>44339</v>
      </c>
      <c r="C4862" s="2" t="s">
        <v>2262</v>
      </c>
      <c r="D4862" s="2" t="s">
        <v>1407</v>
      </c>
      <c r="E4862" s="2">
        <v>8.0399999999999991</v>
      </c>
      <c r="F4862" s="2" t="e">
        <f>IF(Table2[[#This Row],[Manual Cat Value]]="",VLOOKUP(Table2[[#This Row],[Description]],'Actuals Lookup'!D:F,3,0),Table2[[#This Row],[Manual Cat Value]])</f>
        <v>#N/A</v>
      </c>
      <c r="J4862" s="2">
        <v>8.0399999999999991</v>
      </c>
      <c r="K4862" s="2" t="b">
        <v>0</v>
      </c>
      <c r="L4862" s="2"/>
      <c r="M4862" s="2"/>
      <c r="N4862" s="4" t="s">
        <v>2259</v>
      </c>
      <c r="O4862" s="4" t="str">
        <f>LEFT(Table2[[#This Row],[Description]],75)</f>
        <v>Party City</v>
      </c>
      <c r="P4862" s="2" t="s">
        <v>2378</v>
      </c>
    </row>
    <row r="4863" spans="1:16" hidden="1">
      <c r="A4863" s="2">
        <v>202105</v>
      </c>
      <c r="B4863" s="3">
        <v>44339</v>
      </c>
      <c r="C4863" s="2" t="s">
        <v>2262</v>
      </c>
      <c r="D4863" s="2" t="s">
        <v>1499</v>
      </c>
      <c r="E4863" s="2">
        <v>161.07</v>
      </c>
      <c r="F4863" s="2" t="e">
        <f>IF(Table2[[#This Row],[Manual Cat Value]]="",VLOOKUP(Table2[[#This Row],[Description]],'Actuals Lookup'!D:F,3,0),Table2[[#This Row],[Manual Cat Value]])</f>
        <v>#N/A</v>
      </c>
      <c r="J4863" s="2">
        <v>161.07</v>
      </c>
      <c r="K4863" s="2" t="b">
        <v>0</v>
      </c>
      <c r="L4863" s="2"/>
      <c r="M4863" s="2"/>
      <c r="N4863" s="4" t="s">
        <v>2259</v>
      </c>
      <c r="O4863" s="4" t="str">
        <f>LEFT(Table2[[#This Row],[Description]],75)</f>
        <v>PLUNKETTS PEST CONTROL MINNEAPOL PLUNKETTS PEST CONTROL MINNEAPOLIS MN</v>
      </c>
      <c r="P4863" s="2" t="s">
        <v>2281</v>
      </c>
    </row>
    <row r="4864" spans="1:16" hidden="1">
      <c r="A4864" s="2">
        <v>202105</v>
      </c>
      <c r="B4864" s="3">
        <v>44340</v>
      </c>
      <c r="C4864" s="2" t="s">
        <v>2258</v>
      </c>
      <c r="D4864" s="2" t="s">
        <v>38</v>
      </c>
      <c r="E4864" s="2">
        <v>33.130000000000003</v>
      </c>
      <c r="F4864" s="2" t="str">
        <f>IF(Table2[[#This Row],[Manual Cat Value]]="",VLOOKUP(Table2[[#This Row],[Description]],'Actuals Lookup'!D:F,3,0),Table2[[#This Row],[Manual Cat Value]])</f>
        <v>Amazon</v>
      </c>
      <c r="J4864" s="2">
        <v>33.130000000000003</v>
      </c>
      <c r="K4864" s="2" t="b">
        <v>0</v>
      </c>
      <c r="L4864" s="2"/>
      <c r="M4864" s="2"/>
      <c r="N4864" s="4" t="s">
        <v>2259</v>
      </c>
      <c r="O4864" s="4" t="str">
        <f>LEFT(Table2[[#This Row],[Description]],75)</f>
        <v>Amazon</v>
      </c>
      <c r="P4864" s="2" t="s">
        <v>2260</v>
      </c>
    </row>
    <row r="4865" spans="1:16" hidden="1">
      <c r="A4865" s="2">
        <v>202105</v>
      </c>
      <c r="B4865" s="3">
        <v>44340</v>
      </c>
      <c r="C4865" s="2" t="s">
        <v>2447</v>
      </c>
      <c r="D4865" s="2" t="s">
        <v>38</v>
      </c>
      <c r="E4865" s="2">
        <v>33.130000000000003</v>
      </c>
      <c r="F4865" s="2" t="str">
        <f>IF(Table2[[#This Row],[Manual Cat Value]]="",VLOOKUP(Table2[[#This Row],[Description]],'Actuals Lookup'!D:F,3,0),Table2[[#This Row],[Manual Cat Value]])</f>
        <v>Amazon</v>
      </c>
      <c r="J4865" s="2">
        <v>33.130000000000003</v>
      </c>
      <c r="K4865" s="2" t="b">
        <v>0</v>
      </c>
      <c r="L4865" s="2"/>
      <c r="M4865" s="2"/>
      <c r="N4865" s="4" t="s">
        <v>2259</v>
      </c>
      <c r="O4865" s="4" t="str">
        <f>LEFT(Table2[[#This Row],[Description]],75)</f>
        <v>Amazon</v>
      </c>
      <c r="P4865" s="2" t="s">
        <v>2260</v>
      </c>
    </row>
    <row r="4866" spans="1:16" hidden="1">
      <c r="A4866" s="2">
        <v>202105</v>
      </c>
      <c r="B4866" s="3">
        <v>44340</v>
      </c>
      <c r="C4866" s="2" t="s">
        <v>2262</v>
      </c>
      <c r="D4866" s="2" t="s">
        <v>338</v>
      </c>
      <c r="E4866" s="2">
        <v>34.97</v>
      </c>
      <c r="F4866" s="2" t="e">
        <f>IF(Table2[[#This Row],[Manual Cat Value]]="",VLOOKUP(Table2[[#This Row],[Description]],'Actuals Lookup'!D:F,3,0),Table2[[#This Row],[Manual Cat Value]])</f>
        <v>#N/A</v>
      </c>
      <c r="J4866" s="2">
        <v>34.97</v>
      </c>
      <c r="K4866" s="2" t="b">
        <v>0</v>
      </c>
      <c r="L4866" s="2"/>
      <c r="M4866" s="2"/>
      <c r="N4866" s="4" t="s">
        <v>2259</v>
      </c>
      <c r="O4866" s="4" t="str">
        <f>LEFT(Table2[[#This Row],[Description]],75)</f>
        <v>Byerly's</v>
      </c>
      <c r="P4866" s="2" t="s">
        <v>2364</v>
      </c>
    </row>
    <row r="4867" spans="1:16" hidden="1">
      <c r="A4867" s="2">
        <v>202105</v>
      </c>
      <c r="B4867" s="3">
        <v>44340</v>
      </c>
      <c r="C4867" s="2" t="s">
        <v>2262</v>
      </c>
      <c r="D4867" s="2" t="s">
        <v>1393</v>
      </c>
      <c r="E4867" s="2">
        <v>20.260000000000002</v>
      </c>
      <c r="F4867" s="2" t="str">
        <f>IF(Table2[[#This Row],[Manual Cat Value]]="",VLOOKUP(Table2[[#This Row],[Description]],'Actuals Lookup'!D:F,3,0),Table2[[#This Row],[Manual Cat Value]])</f>
        <v>Restaurants</v>
      </c>
      <c r="J4867" s="2">
        <v>20.260000000000002</v>
      </c>
      <c r="K4867" s="2" t="b">
        <v>0</v>
      </c>
      <c r="L4867" s="2"/>
      <c r="M4867" s="2"/>
      <c r="N4867" s="4" t="s">
        <v>2259</v>
      </c>
      <c r="O4867" s="4" t="str">
        <f>LEFT(Table2[[#This Row],[Description]],75)</f>
        <v>Panera Bread</v>
      </c>
      <c r="P4867" s="2" t="s">
        <v>2452</v>
      </c>
    </row>
    <row r="4868" spans="1:16" hidden="1">
      <c r="A4868" s="2">
        <v>202105</v>
      </c>
      <c r="B4868" s="3">
        <v>44341</v>
      </c>
      <c r="C4868" s="2" t="s">
        <v>2265</v>
      </c>
      <c r="D4868" s="2" t="s">
        <v>31</v>
      </c>
      <c r="E4868" s="2">
        <v>1214.17</v>
      </c>
      <c r="F4868" s="2" t="str">
        <f>IF(Table2[[#This Row],[Manual Cat Value]]="",VLOOKUP(Table2[[#This Row],[Description]],'Actuals Lookup'!D:F,3,0),Table2[[#This Row],[Manual Cat Value]])</f>
        <v>Target</v>
      </c>
      <c r="J4868" s="2">
        <v>1214.17</v>
      </c>
      <c r="K4868" s="2" t="b">
        <v>0</v>
      </c>
      <c r="L4868" s="2"/>
      <c r="M4868" s="2"/>
      <c r="N4868" s="4" t="s">
        <v>2259</v>
      </c>
      <c r="O4868" s="4" t="str">
        <f>LEFT(Table2[[#This Row],[Description]],75)</f>
        <v>Target</v>
      </c>
      <c r="P4868" s="2" t="s">
        <v>2309</v>
      </c>
    </row>
    <row r="4869" spans="1:16" hidden="1">
      <c r="A4869" s="2">
        <v>202105</v>
      </c>
      <c r="B4869" s="3">
        <v>44341</v>
      </c>
      <c r="C4869" s="2" t="s">
        <v>2274</v>
      </c>
      <c r="D4869" s="2" t="s">
        <v>2110</v>
      </c>
      <c r="E4869" s="2">
        <v>-186</v>
      </c>
      <c r="F4869" s="2" t="e">
        <f>IF(Table2[[#This Row],[Manual Cat Value]]="",VLOOKUP(Table2[[#This Row],[Description]],'Actuals Lookup'!D:F,3,0),Table2[[#This Row],[Manual Cat Value]])</f>
        <v>#N/A</v>
      </c>
      <c r="J4869" s="2">
        <v>186</v>
      </c>
      <c r="K4869" s="2" t="b">
        <v>0</v>
      </c>
      <c r="L4869" s="2"/>
      <c r="M4869" s="2"/>
      <c r="N4869" s="4" t="s">
        <v>2273</v>
      </c>
      <c r="O4869" s="4" t="str">
        <f>LEFT(Table2[[#This Row],[Description]],75)</f>
        <v>Venmo Cashout</v>
      </c>
      <c r="P4869" s="2" t="s">
        <v>2281</v>
      </c>
    </row>
    <row r="4870" spans="1:16" hidden="1">
      <c r="A4870" s="2">
        <v>202105</v>
      </c>
      <c r="B4870" s="3">
        <v>44342</v>
      </c>
      <c r="C4870" s="2" t="s">
        <v>2262</v>
      </c>
      <c r="D4870" s="2" t="s">
        <v>128</v>
      </c>
      <c r="E4870" s="2">
        <v>5.6</v>
      </c>
      <c r="F4870" s="2" t="e">
        <f>IF(Table2[[#This Row],[Manual Cat Value]]="",VLOOKUP(Table2[[#This Row],[Description]],'Actuals Lookup'!D:F,3,0),Table2[[#This Row],[Manual Cat Value]])</f>
        <v>#N/A</v>
      </c>
      <c r="J4870" s="2">
        <v>5.6</v>
      </c>
      <c r="K4870" s="2" t="b">
        <v>0</v>
      </c>
      <c r="L4870" s="2"/>
      <c r="M4870" s="2"/>
      <c r="N4870" s="4" t="s">
        <v>2259</v>
      </c>
      <c r="O4870" s="4" t="str">
        <f>LEFT(Table2[[#This Row],[Description]],75)</f>
        <v>American Airlines</v>
      </c>
      <c r="P4870" s="2" t="s">
        <v>2550</v>
      </c>
    </row>
    <row r="4871" spans="1:16" hidden="1">
      <c r="A4871" s="2">
        <v>202105</v>
      </c>
      <c r="B4871" s="3">
        <v>44342</v>
      </c>
      <c r="C4871" s="2" t="s">
        <v>2317</v>
      </c>
      <c r="D4871" s="2" t="s">
        <v>305</v>
      </c>
      <c r="E4871" s="2">
        <v>-4704.58</v>
      </c>
      <c r="F4871" s="2" t="e">
        <f>IF(Table2[[#This Row],[Manual Cat Value]]="",VLOOKUP(Table2[[#This Row],[Description]],'Actuals Lookup'!D:F,3,0),Table2[[#This Row],[Manual Cat Value]])</f>
        <v>#N/A</v>
      </c>
      <c r="J4871" s="2">
        <v>4704.58</v>
      </c>
      <c r="K4871" s="2" t="b">
        <v>0</v>
      </c>
      <c r="L4871" s="2"/>
      <c r="M4871" s="2"/>
      <c r="N4871" s="4" t="s">
        <v>2273</v>
      </c>
      <c r="O4871" s="4" t="str">
        <f>LEFT(Table2[[#This Row],[Description]],75)</f>
        <v>BOEING CO</v>
      </c>
      <c r="P4871" s="2" t="s">
        <v>2425</v>
      </c>
    </row>
    <row r="4872" spans="1:16" hidden="1">
      <c r="A4872" s="2">
        <v>202105</v>
      </c>
      <c r="B4872" s="3">
        <v>44342</v>
      </c>
      <c r="C4872" s="2" t="s">
        <v>2262</v>
      </c>
      <c r="D4872" s="2" t="s">
        <v>947</v>
      </c>
      <c r="E4872" s="2">
        <v>43.07</v>
      </c>
      <c r="F4872" s="2" t="e">
        <f>IF(Table2[[#This Row],[Manual Cat Value]]="",VLOOKUP(Table2[[#This Row],[Description]],'Actuals Lookup'!D:F,3,0),Table2[[#This Row],[Manual Cat Value]])</f>
        <v>#N/A</v>
      </c>
      <c r="J4872" s="2">
        <v>43.07</v>
      </c>
      <c r="K4872" s="2" t="b">
        <v>0</v>
      </c>
      <c r="L4872" s="2"/>
      <c r="M4872" s="2"/>
      <c r="N4872" s="4" t="s">
        <v>2259</v>
      </c>
      <c r="O4872" s="4" t="str">
        <f>LEFT(Table2[[#This Row],[Description]],75)</f>
        <v>Home Depot</v>
      </c>
      <c r="P4872" s="2" t="s">
        <v>2396</v>
      </c>
    </row>
    <row r="4873" spans="1:16" hidden="1">
      <c r="A4873" s="2">
        <v>202105</v>
      </c>
      <c r="B4873" s="3">
        <v>44342</v>
      </c>
      <c r="C4873" s="2" t="s">
        <v>2262</v>
      </c>
      <c r="D4873" s="2" t="s">
        <v>1014</v>
      </c>
      <c r="E4873" s="2">
        <v>16.45</v>
      </c>
      <c r="F4873" s="2" t="str">
        <f>IF(Table2[[#This Row],[Manual Cat Value]]="",VLOOKUP(Table2[[#This Row],[Description]],'Actuals Lookup'!D:F,3,0),Table2[[#This Row],[Manual Cat Value]])</f>
        <v>Restaurants</v>
      </c>
      <c r="J4873" s="2">
        <v>16.45</v>
      </c>
      <c r="K4873" s="2" t="b">
        <v>0</v>
      </c>
      <c r="L4873" s="2"/>
      <c r="M4873" s="2"/>
      <c r="N4873" s="4" t="s">
        <v>2259</v>
      </c>
      <c r="O4873" s="4" t="str">
        <f>LEFT(Table2[[#This Row],[Description]],75)</f>
        <v>Jimmy John's</v>
      </c>
      <c r="P4873" s="2" t="s">
        <v>2453</v>
      </c>
    </row>
    <row r="4874" spans="1:16" hidden="1">
      <c r="A4874" s="2">
        <v>202105</v>
      </c>
      <c r="B4874" s="3">
        <v>44342</v>
      </c>
      <c r="C4874" s="2" t="s">
        <v>2265</v>
      </c>
      <c r="D4874" s="2" t="s">
        <v>1196</v>
      </c>
      <c r="E4874" s="2">
        <v>425</v>
      </c>
      <c r="F4874" s="2" t="e">
        <f>IF(Table2[[#This Row],[Manual Cat Value]]="",VLOOKUP(Table2[[#This Row],[Description]],'Actuals Lookup'!D:F,3,0),Table2[[#This Row],[Manual Cat Value]])</f>
        <v>#N/A</v>
      </c>
      <c r="J4874" s="2">
        <v>425</v>
      </c>
      <c r="K4874" s="2" t="b">
        <v>0</v>
      </c>
      <c r="L4874" s="2"/>
      <c r="M4874" s="2"/>
      <c r="N4874" s="4" t="s">
        <v>2259</v>
      </c>
      <c r="O4874" s="4" t="str">
        <f>LEFT(Table2[[#This Row],[Description]],75)</f>
        <v>MHCHILDCARELLC TYPE DUES ID CO M MHCHILDCARELLC TYPE DUES ID CO MHCHILDCARE</v>
      </c>
      <c r="P4874" s="2" t="s">
        <v>2497</v>
      </c>
    </row>
    <row r="4875" spans="1:16" hidden="1">
      <c r="A4875" s="2">
        <v>202105</v>
      </c>
      <c r="B4875" s="3">
        <v>44342</v>
      </c>
      <c r="C4875" s="2" t="s">
        <v>2258</v>
      </c>
      <c r="D4875" s="2" t="s">
        <v>1350</v>
      </c>
      <c r="E4875" s="2">
        <v>8.99</v>
      </c>
      <c r="F4875" s="2" t="str">
        <f>IF(Table2[[#This Row],[Manual Cat Value]]="",VLOOKUP(Table2[[#This Row],[Description]],'Actuals Lookup'!D:F,3,0),Table2[[#This Row],[Manual Cat Value]])</f>
        <v>Utilities</v>
      </c>
      <c r="J4875" s="2">
        <v>8.99</v>
      </c>
      <c r="K4875" s="2" t="b">
        <v>0</v>
      </c>
      <c r="L4875" s="2"/>
      <c r="M4875" s="2"/>
      <c r="N4875" s="4" t="s">
        <v>2259</v>
      </c>
      <c r="O4875" s="4" t="str">
        <f>LEFT(Table2[[#This Row],[Description]],75)</f>
        <v>Netflix</v>
      </c>
      <c r="P4875" s="2" t="s">
        <v>2306</v>
      </c>
    </row>
    <row r="4876" spans="1:16" hidden="1">
      <c r="A4876" s="2">
        <v>202105</v>
      </c>
      <c r="B4876" s="3">
        <v>44342</v>
      </c>
      <c r="C4876" s="2" t="s">
        <v>2447</v>
      </c>
      <c r="D4876" s="2" t="s">
        <v>1350</v>
      </c>
      <c r="E4876" s="2">
        <v>8.99</v>
      </c>
      <c r="F4876" s="2" t="str">
        <f>IF(Table2[[#This Row],[Manual Cat Value]]="",VLOOKUP(Table2[[#This Row],[Description]],'Actuals Lookup'!D:F,3,0),Table2[[#This Row],[Manual Cat Value]])</f>
        <v>Utilities</v>
      </c>
      <c r="J4876" s="2">
        <v>8.99</v>
      </c>
      <c r="K4876" s="2" t="b">
        <v>0</v>
      </c>
      <c r="L4876" s="2"/>
      <c r="M4876" s="2"/>
      <c r="N4876" s="4" t="s">
        <v>2259</v>
      </c>
      <c r="O4876" s="4" t="str">
        <f>LEFT(Table2[[#This Row],[Description]],75)</f>
        <v>Netflix</v>
      </c>
      <c r="P4876" s="2" t="s">
        <v>2306</v>
      </c>
    </row>
    <row r="4877" spans="1:16" hidden="1">
      <c r="A4877" s="2">
        <v>202105</v>
      </c>
      <c r="B4877" s="3">
        <v>44342</v>
      </c>
      <c r="C4877" s="2" t="s">
        <v>2317</v>
      </c>
      <c r="D4877" s="2" t="s">
        <v>1376</v>
      </c>
      <c r="E4877" s="2">
        <v>2094</v>
      </c>
      <c r="F4877" s="2" t="e">
        <f>IF(Table2[[#This Row],[Manual Cat Value]]="",VLOOKUP(Table2[[#This Row],[Description]],'Actuals Lookup'!D:F,3,0),Table2[[#This Row],[Manual Cat Value]])</f>
        <v>#N/A</v>
      </c>
      <c r="J4877" s="2">
        <v>2094</v>
      </c>
      <c r="K4877" s="2" t="b">
        <v>0</v>
      </c>
      <c r="L4877" s="2"/>
      <c r="M4877" s="2"/>
      <c r="N4877" s="4" t="s">
        <v>2259</v>
      </c>
      <c r="O4877" s="4" t="str">
        <f>LEFT(Table2[[#This Row],[Description]],75)</f>
        <v>OATLY GROUP AB FUNSPONSORED ADR 1 ADR REPS ORD SHS</v>
      </c>
      <c r="P4877" s="2" t="s">
        <v>2385</v>
      </c>
    </row>
    <row r="4878" spans="1:16" hidden="1">
      <c r="A4878" s="2">
        <v>202105</v>
      </c>
      <c r="B4878" s="3">
        <v>44343</v>
      </c>
      <c r="C4878" s="2" t="s">
        <v>2262</v>
      </c>
      <c r="D4878" s="2" t="s">
        <v>128</v>
      </c>
      <c r="E4878" s="2">
        <v>-5.6</v>
      </c>
      <c r="F4878" s="2" t="e">
        <f>IF(Table2[[#This Row],[Manual Cat Value]]="",VLOOKUP(Table2[[#This Row],[Description]],'Actuals Lookup'!D:F,3,0),Table2[[#This Row],[Manual Cat Value]])</f>
        <v>#N/A</v>
      </c>
      <c r="J4878" s="2">
        <v>5.6</v>
      </c>
      <c r="K4878" s="2" t="b">
        <v>0</v>
      </c>
      <c r="L4878" s="2"/>
      <c r="M4878" s="2"/>
      <c r="N4878" s="4" t="s">
        <v>2273</v>
      </c>
      <c r="O4878" s="4" t="str">
        <f>LEFT(Table2[[#This Row],[Description]],75)</f>
        <v>American Airlines</v>
      </c>
      <c r="P4878" s="2" t="s">
        <v>2550</v>
      </c>
    </row>
    <row r="4879" spans="1:16" hidden="1">
      <c r="A4879" s="2">
        <v>202105</v>
      </c>
      <c r="B4879" s="3">
        <v>44343</v>
      </c>
      <c r="C4879" s="2" t="s">
        <v>2262</v>
      </c>
      <c r="D4879" s="2" t="s">
        <v>187</v>
      </c>
      <c r="E4879" s="2">
        <v>126.53</v>
      </c>
      <c r="F4879" s="2" t="e">
        <f>IF(Table2[[#This Row],[Manual Cat Value]]="",VLOOKUP(Table2[[#This Row],[Description]],'Actuals Lookup'!D:F,3,0),Table2[[#This Row],[Manual Cat Value]])</f>
        <v>#N/A</v>
      </c>
      <c r="J4879" s="2">
        <v>126.53</v>
      </c>
      <c r="K4879" s="2" t="b">
        <v>0</v>
      </c>
      <c r="L4879" s="2"/>
      <c r="M4879" s="2"/>
      <c r="N4879" s="4" t="s">
        <v>2259</v>
      </c>
      <c r="O4879" s="4" t="str">
        <f>LEFT(Table2[[#This Row],[Description]],75)</f>
        <v>AVOADVOCARE INTL 8005424800 TX</v>
      </c>
      <c r="P4879" s="2" t="s">
        <v>2428</v>
      </c>
    </row>
    <row r="4880" spans="1:16" hidden="1">
      <c r="A4880" s="2">
        <v>202105</v>
      </c>
      <c r="B4880" s="3">
        <v>44343</v>
      </c>
      <c r="C4880" s="2" t="s">
        <v>2265</v>
      </c>
      <c r="D4880" s="2" t="s">
        <v>429</v>
      </c>
      <c r="E4880" s="2">
        <v>-2132.2199999999998</v>
      </c>
      <c r="F4880" s="2" t="e">
        <f>IF(Table2[[#This Row],[Manual Cat Value]]="",VLOOKUP(Table2[[#This Row],[Description]],'Actuals Lookup'!D:F,3,0),Table2[[#This Row],[Manual Cat Value]])</f>
        <v>#N/A</v>
      </c>
      <c r="J4880" s="2">
        <v>2132.2199999999998</v>
      </c>
      <c r="K4880" s="2" t="b">
        <v>0</v>
      </c>
      <c r="L4880" s="2"/>
      <c r="M4880" s="2"/>
      <c r="N4880" s="4" t="s">
        <v>2273</v>
      </c>
      <c r="O4880" s="4" t="str">
        <f>LEFT(Table2[[#This Row],[Description]],75)</f>
        <v>CARGILL INCORPOR TYPE DIRECT DEP ID CO CARGILL INCORPOR ACH ECC PPD ACH Tra</v>
      </c>
      <c r="P4880" s="2" t="s">
        <v>2281</v>
      </c>
    </row>
    <row r="4881" spans="1:16" hidden="1">
      <c r="A4881" s="2">
        <v>202105</v>
      </c>
      <c r="B4881" s="3">
        <v>44343</v>
      </c>
      <c r="C4881" s="2" t="s">
        <v>2265</v>
      </c>
      <c r="D4881" s="2" t="s">
        <v>616</v>
      </c>
      <c r="E4881" s="2">
        <v>-3102.98</v>
      </c>
      <c r="F4881" s="2" t="e">
        <f>IF(Table2[[#This Row],[Manual Cat Value]]="",VLOOKUP(Table2[[#This Row],[Description]],'Actuals Lookup'!D:F,3,0),Table2[[#This Row],[Manual Cat Value]])</f>
        <v>#N/A</v>
      </c>
      <c r="J4881" s="2">
        <v>3102.98</v>
      </c>
      <c r="K4881" s="2" t="b">
        <v>0</v>
      </c>
      <c r="L4881" s="2"/>
      <c r="M4881" s="2"/>
      <c r="N4881" s="4" t="s">
        <v>2273</v>
      </c>
      <c r="O4881" s="4" t="str">
        <f>LEFT(Table2[[#This Row],[Description]],75)</f>
        <v>CONNECTED ANALYT TYPE DIRECT DEP ID CO CONNECTED ANALYT ACH ECC PPD ACH Tra</v>
      </c>
      <c r="P4881" s="2" t="s">
        <v>2493</v>
      </c>
    </row>
    <row r="4882" spans="1:16" hidden="1">
      <c r="A4882" s="2">
        <v>202105</v>
      </c>
      <c r="B4882" s="3">
        <v>44343</v>
      </c>
      <c r="C4882" s="2" t="s">
        <v>2265</v>
      </c>
      <c r="D4882" s="2" t="s">
        <v>617</v>
      </c>
      <c r="E4882" s="2">
        <v>-16794.2</v>
      </c>
      <c r="F4882" s="2" t="e">
        <f>IF(Table2[[#This Row],[Manual Cat Value]]="",VLOOKUP(Table2[[#This Row],[Description]],'Actuals Lookup'!D:F,3,0),Table2[[#This Row],[Manual Cat Value]])</f>
        <v>#N/A</v>
      </c>
      <c r="J4882" s="2">
        <v>16794.2</v>
      </c>
      <c r="K4882" s="2" t="b">
        <v>0</v>
      </c>
      <c r="L4882" s="2"/>
      <c r="M4882" s="2"/>
      <c r="N4882" s="4" t="s">
        <v>2273</v>
      </c>
      <c r="O4882" s="4" t="str">
        <f>LEFT(Table2[[#This Row],[Description]],75)</f>
        <v>CONNECTED ANALYT TYPE DIRECT DEP ID CO CONNECTED ANALYT ACH ECC PPD ACH Tra</v>
      </c>
      <c r="P4882" s="2" t="s">
        <v>2493</v>
      </c>
    </row>
    <row r="4883" spans="1:16" hidden="1">
      <c r="A4883" s="2">
        <v>202105</v>
      </c>
      <c r="B4883" s="3">
        <v>44343</v>
      </c>
      <c r="C4883" s="2" t="s">
        <v>2262</v>
      </c>
      <c r="D4883" s="2" t="s">
        <v>1138</v>
      </c>
      <c r="E4883" s="2">
        <v>13.12</v>
      </c>
      <c r="F4883" s="2" t="e">
        <f>IF(Table2[[#This Row],[Manual Cat Value]]="",VLOOKUP(Table2[[#This Row],[Description]],'Actuals Lookup'!D:F,3,0),Table2[[#This Row],[Manual Cat Value]])</f>
        <v>#N/A</v>
      </c>
      <c r="J4883" s="2">
        <v>13.12</v>
      </c>
      <c r="K4883" s="2" t="b">
        <v>0</v>
      </c>
      <c r="L4883" s="2"/>
      <c r="M4883" s="2"/>
      <c r="N4883" s="4" t="s">
        <v>2259</v>
      </c>
      <c r="O4883" s="4" t="str">
        <f>LEFT(Table2[[#This Row],[Description]],75)</f>
        <v>LOWES 00907 8664837521 NC</v>
      </c>
      <c r="P4883" s="2" t="s">
        <v>2281</v>
      </c>
    </row>
    <row r="4884" spans="1:16" hidden="1">
      <c r="A4884" s="2">
        <v>202105</v>
      </c>
      <c r="B4884" s="3">
        <v>44343</v>
      </c>
      <c r="C4884" s="2" t="s">
        <v>2262</v>
      </c>
      <c r="D4884" s="2" t="s">
        <v>2090</v>
      </c>
      <c r="E4884" s="2">
        <v>18.98</v>
      </c>
      <c r="F4884" s="2" t="e">
        <f>IF(Table2[[#This Row],[Manual Cat Value]]="",VLOOKUP(Table2[[#This Row],[Description]],'Actuals Lookup'!D:F,3,0),Table2[[#This Row],[Manual Cat Value]])</f>
        <v>#N/A</v>
      </c>
      <c r="J4884" s="2">
        <v>18.98</v>
      </c>
      <c r="K4884" s="2" t="b">
        <v>0</v>
      </c>
      <c r="L4884" s="2"/>
      <c r="M4884" s="2"/>
      <c r="N4884" s="4" t="s">
        <v>2259</v>
      </c>
      <c r="O4884" s="4" t="str">
        <f>LEFT(Table2[[#This Row],[Description]],75)</f>
        <v>UNTIEDTS MINNETONKA MINNETONKA MN</v>
      </c>
      <c r="P4884" s="2" t="s">
        <v>2281</v>
      </c>
    </row>
    <row r="4885" spans="1:16" hidden="1">
      <c r="A4885" s="2">
        <v>202105</v>
      </c>
      <c r="B4885" s="3">
        <v>44344</v>
      </c>
      <c r="C4885" s="2" t="s">
        <v>2317</v>
      </c>
      <c r="D4885" s="2" t="s">
        <v>424</v>
      </c>
      <c r="E4885" s="2">
        <v>-200</v>
      </c>
      <c r="F4885" s="2" t="e">
        <f>IF(Table2[[#This Row],[Manual Cat Value]]="",VLOOKUP(Table2[[#This Row],[Description]],'Actuals Lookup'!D:F,3,0),Table2[[#This Row],[Manual Cat Value]])</f>
        <v>#N/A</v>
      </c>
      <c r="J4885" s="2">
        <v>200</v>
      </c>
      <c r="K4885" s="2" t="b">
        <v>0</v>
      </c>
      <c r="L4885" s="2"/>
      <c r="M4885" s="2"/>
      <c r="N4885" s="4" t="s">
        <v>2273</v>
      </c>
      <c r="O4885" s="4" t="str">
        <f>LEFT(Table2[[#This Row],[Description]],75)</f>
        <v>CARGILL INCORPOR</v>
      </c>
      <c r="P4885" s="2" t="s">
        <v>2385</v>
      </c>
    </row>
    <row r="4886" spans="1:16" hidden="1">
      <c r="A4886" s="2">
        <v>202105</v>
      </c>
      <c r="B4886" s="3">
        <v>44344</v>
      </c>
      <c r="C4886" s="2" t="s">
        <v>2317</v>
      </c>
      <c r="D4886" s="2" t="s">
        <v>605</v>
      </c>
      <c r="E4886" s="2">
        <v>-250</v>
      </c>
      <c r="F4886" s="2" t="e">
        <f>IF(Table2[[#This Row],[Manual Cat Value]]="",VLOOKUP(Table2[[#This Row],[Description]],'Actuals Lookup'!D:F,3,0),Table2[[#This Row],[Manual Cat Value]])</f>
        <v>#N/A</v>
      </c>
      <c r="J4886" s="2">
        <v>250</v>
      </c>
      <c r="K4886" s="2" t="b">
        <v>0</v>
      </c>
      <c r="L4886" s="2"/>
      <c r="M4886" s="2"/>
      <c r="N4886" s="4" t="s">
        <v>2273</v>
      </c>
      <c r="O4886" s="4" t="str">
        <f>LEFT(Table2[[#This Row],[Description]],75)</f>
        <v>CONNECTED ANALYT</v>
      </c>
      <c r="P4886" s="2" t="s">
        <v>2493</v>
      </c>
    </row>
    <row r="4887" spans="1:16" hidden="1">
      <c r="A4887" s="2">
        <v>202105</v>
      </c>
      <c r="B4887" s="3">
        <v>44344</v>
      </c>
      <c r="C4887" s="2" t="s">
        <v>2262</v>
      </c>
      <c r="D4887" s="2" t="s">
        <v>648</v>
      </c>
      <c r="E4887" s="2">
        <v>149.38</v>
      </c>
      <c r="F4887" s="2" t="str">
        <f>IF(Table2[[#This Row],[Manual Cat Value]]="",VLOOKUP(Table2[[#This Row],[Description]],'Actuals Lookup'!D:F,3,0),Table2[[#This Row],[Manual Cat Value]])</f>
        <v>Groceries</v>
      </c>
      <c r="J4887" s="2">
        <v>149.38</v>
      </c>
      <c r="K4887" s="2" t="b">
        <v>0</v>
      </c>
      <c r="L4887" s="2"/>
      <c r="M4887" s="2"/>
      <c r="N4887" s="4" t="s">
        <v>2259</v>
      </c>
      <c r="O4887" s="4" t="str">
        <f>LEFT(Table2[[#This Row],[Description]],75)</f>
        <v>Costco</v>
      </c>
      <c r="P4887" s="2" t="s">
        <v>2409</v>
      </c>
    </row>
    <row r="4888" spans="1:16" hidden="1">
      <c r="A4888" s="2">
        <v>202105</v>
      </c>
      <c r="B4888" s="3">
        <v>44344</v>
      </c>
      <c r="C4888" s="2" t="s">
        <v>2262</v>
      </c>
      <c r="D4888" s="2" t="s">
        <v>684</v>
      </c>
      <c r="E4888" s="2">
        <v>44.57</v>
      </c>
      <c r="F4888" s="2" t="str">
        <f>IF(Table2[[#This Row],[Manual Cat Value]]="",VLOOKUP(Table2[[#This Row],[Description]],'Actuals Lookup'!D:F,3,0),Table2[[#This Row],[Manual Cat Value]])</f>
        <v>Groceries</v>
      </c>
      <c r="J4888" s="2">
        <v>44.57</v>
      </c>
      <c r="K4888" s="2" t="b">
        <v>0</v>
      </c>
      <c r="L4888" s="2"/>
      <c r="M4888" s="2"/>
      <c r="N4888" s="4" t="s">
        <v>2259</v>
      </c>
      <c r="O4888" s="4" t="str">
        <f>LEFT(Table2[[#This Row],[Description]],75)</f>
        <v>Cub Foods</v>
      </c>
      <c r="P4888" s="2" t="s">
        <v>2370</v>
      </c>
    </row>
    <row r="4889" spans="1:16" hidden="1">
      <c r="A4889" s="2">
        <v>202105</v>
      </c>
      <c r="B4889" s="3">
        <v>44344</v>
      </c>
      <c r="C4889" s="2" t="s">
        <v>2258</v>
      </c>
      <c r="D4889" s="2" t="s">
        <v>944</v>
      </c>
      <c r="E4889" s="2">
        <v>23.27</v>
      </c>
      <c r="F4889" s="2" t="e">
        <f>IF(Table2[[#This Row],[Manual Cat Value]]="",VLOOKUP(Table2[[#This Row],[Description]],'Actuals Lookup'!D:F,3,0),Table2[[#This Row],[Manual Cat Value]])</f>
        <v>#N/A</v>
      </c>
      <c r="J4889" s="2">
        <v>23.27</v>
      </c>
      <c r="K4889" s="2" t="b">
        <v>0</v>
      </c>
      <c r="L4889" s="2"/>
      <c r="M4889" s="2"/>
      <c r="N4889" s="4" t="s">
        <v>2259</v>
      </c>
      <c r="O4889" s="4" t="str">
        <f>LEFT(Table2[[#This Row],[Description]],75)</f>
        <v>Holiday Stationstore</v>
      </c>
      <c r="P4889" s="2" t="s">
        <v>2374</v>
      </c>
    </row>
    <row r="4890" spans="1:16" hidden="1">
      <c r="A4890" s="2">
        <v>202105</v>
      </c>
      <c r="B4890" s="3">
        <v>44344</v>
      </c>
      <c r="C4890" s="2" t="s">
        <v>2258</v>
      </c>
      <c r="D4890" s="2" t="s">
        <v>944</v>
      </c>
      <c r="E4890" s="2">
        <v>73.66</v>
      </c>
      <c r="F4890" s="2" t="e">
        <f>IF(Table2[[#This Row],[Manual Cat Value]]="",VLOOKUP(Table2[[#This Row],[Description]],'Actuals Lookup'!D:F,3,0),Table2[[#This Row],[Manual Cat Value]])</f>
        <v>#N/A</v>
      </c>
      <c r="J4890" s="2">
        <v>73.66</v>
      </c>
      <c r="K4890" s="2" t="b">
        <v>0</v>
      </c>
      <c r="L4890" s="2"/>
      <c r="M4890" s="2"/>
      <c r="N4890" s="4" t="s">
        <v>2259</v>
      </c>
      <c r="O4890" s="4" t="str">
        <f>LEFT(Table2[[#This Row],[Description]],75)</f>
        <v>Holiday Stationstore</v>
      </c>
      <c r="P4890" s="2" t="s">
        <v>2374</v>
      </c>
    </row>
    <row r="4891" spans="1:16" hidden="1">
      <c r="A4891" s="2">
        <v>202105</v>
      </c>
      <c r="B4891" s="3">
        <v>44344</v>
      </c>
      <c r="C4891" s="2" t="s">
        <v>2447</v>
      </c>
      <c r="D4891" s="2" t="s">
        <v>944</v>
      </c>
      <c r="E4891" s="2">
        <v>23.27</v>
      </c>
      <c r="F4891" s="2" t="e">
        <f>IF(Table2[[#This Row],[Manual Cat Value]]="",VLOOKUP(Table2[[#This Row],[Description]],'Actuals Lookup'!D:F,3,0),Table2[[#This Row],[Manual Cat Value]])</f>
        <v>#N/A</v>
      </c>
      <c r="J4891" s="2">
        <v>23.27</v>
      </c>
      <c r="K4891" s="2" t="b">
        <v>0</v>
      </c>
      <c r="L4891" s="2"/>
      <c r="M4891" s="2"/>
      <c r="N4891" s="4" t="s">
        <v>2259</v>
      </c>
      <c r="O4891" s="4" t="str">
        <f>LEFT(Table2[[#This Row],[Description]],75)</f>
        <v>Holiday Stationstore</v>
      </c>
      <c r="P4891" s="2" t="s">
        <v>2374</v>
      </c>
    </row>
    <row r="4892" spans="1:16" hidden="1">
      <c r="A4892" s="2">
        <v>202105</v>
      </c>
      <c r="B4892" s="3">
        <v>44344</v>
      </c>
      <c r="C4892" s="2" t="s">
        <v>2447</v>
      </c>
      <c r="D4892" s="2" t="s">
        <v>944</v>
      </c>
      <c r="E4892" s="2">
        <v>73.66</v>
      </c>
      <c r="F4892" s="2" t="e">
        <f>IF(Table2[[#This Row],[Manual Cat Value]]="",VLOOKUP(Table2[[#This Row],[Description]],'Actuals Lookup'!D:F,3,0),Table2[[#This Row],[Manual Cat Value]])</f>
        <v>#N/A</v>
      </c>
      <c r="J4892" s="2">
        <v>73.66</v>
      </c>
      <c r="K4892" s="2" t="b">
        <v>0</v>
      </c>
      <c r="L4892" s="2"/>
      <c r="M4892" s="2"/>
      <c r="N4892" s="4" t="s">
        <v>2259</v>
      </c>
      <c r="O4892" s="4" t="str">
        <f>LEFT(Table2[[#This Row],[Description]],75)</f>
        <v>Holiday Stationstore</v>
      </c>
      <c r="P4892" s="2" t="s">
        <v>2374</v>
      </c>
    </row>
    <row r="4893" spans="1:16" hidden="1">
      <c r="A4893" s="2">
        <v>202105</v>
      </c>
      <c r="B4893" s="3">
        <v>44344</v>
      </c>
      <c r="C4893" s="2" t="s">
        <v>2274</v>
      </c>
      <c r="D4893" s="2" t="s">
        <v>994</v>
      </c>
      <c r="E4893" s="2">
        <v>-0.03</v>
      </c>
      <c r="F4893" s="2" t="e">
        <f>IF(Table2[[#This Row],[Manual Cat Value]]="",VLOOKUP(Table2[[#This Row],[Description]],'Actuals Lookup'!D:F,3,0),Table2[[#This Row],[Manual Cat Value]])</f>
        <v>#N/A</v>
      </c>
      <c r="J4893" s="2">
        <v>0.03</v>
      </c>
      <c r="K4893" s="2" t="b">
        <v>0</v>
      </c>
      <c r="L4893" s="2"/>
      <c r="M4893" s="2"/>
      <c r="N4893" s="4" t="s">
        <v>2273</v>
      </c>
      <c r="O4893" s="4" t="str">
        <f>LEFT(Table2[[#This Row],[Description]],75)</f>
        <v>Interest Paid</v>
      </c>
      <c r="P4893" s="2" t="s">
        <v>2281</v>
      </c>
    </row>
    <row r="4894" spans="1:16" hidden="1">
      <c r="A4894" s="2">
        <v>202105</v>
      </c>
      <c r="B4894" s="3">
        <v>44344</v>
      </c>
      <c r="C4894" s="2" t="s">
        <v>2258</v>
      </c>
      <c r="D4894" s="2" t="s">
        <v>1083</v>
      </c>
      <c r="E4894" s="2">
        <v>3.98</v>
      </c>
      <c r="F4894" s="2" t="str">
        <f>IF(Table2[[#This Row],[Manual Cat Value]]="",VLOOKUP(Table2[[#This Row],[Description]],'Actuals Lookup'!D:F,3,0),Table2[[#This Row],[Manual Cat Value]])</f>
        <v>Transportation</v>
      </c>
      <c r="J4894" s="2">
        <v>3.98</v>
      </c>
      <c r="K4894" s="2" t="b">
        <v>0</v>
      </c>
      <c r="L4894" s="2"/>
      <c r="M4894" s="2"/>
      <c r="N4894" s="4" t="s">
        <v>2259</v>
      </c>
      <c r="O4894" s="4" t="str">
        <f>LEFT(Table2[[#This Row],[Description]],75)</f>
        <v>Kwik Trip</v>
      </c>
      <c r="P4894" s="2" t="s">
        <v>2509</v>
      </c>
    </row>
    <row r="4895" spans="1:16" hidden="1">
      <c r="A4895" s="2">
        <v>202105</v>
      </c>
      <c r="B4895" s="3">
        <v>44344</v>
      </c>
      <c r="C4895" s="2" t="s">
        <v>2258</v>
      </c>
      <c r="D4895" s="2" t="s">
        <v>1083</v>
      </c>
      <c r="E4895" s="2">
        <v>29.61</v>
      </c>
      <c r="F4895" s="2" t="str">
        <f>IF(Table2[[#This Row],[Manual Cat Value]]="",VLOOKUP(Table2[[#This Row],[Description]],'Actuals Lookup'!D:F,3,0),Table2[[#This Row],[Manual Cat Value]])</f>
        <v>Transportation</v>
      </c>
      <c r="J4895" s="2">
        <v>29.61</v>
      </c>
      <c r="K4895" s="2" t="b">
        <v>0</v>
      </c>
      <c r="L4895" s="2"/>
      <c r="M4895" s="2"/>
      <c r="N4895" s="4" t="s">
        <v>2259</v>
      </c>
      <c r="O4895" s="4" t="str">
        <f>LEFT(Table2[[#This Row],[Description]],75)</f>
        <v>Kwik Trip</v>
      </c>
      <c r="P4895" s="2" t="s">
        <v>2509</v>
      </c>
    </row>
    <row r="4896" spans="1:16" hidden="1">
      <c r="A4896" s="2">
        <v>202105</v>
      </c>
      <c r="B4896" s="3">
        <v>44344</v>
      </c>
      <c r="C4896" s="2" t="s">
        <v>2447</v>
      </c>
      <c r="D4896" s="2" t="s">
        <v>1083</v>
      </c>
      <c r="E4896" s="2">
        <v>3.98</v>
      </c>
      <c r="F4896" s="2" t="str">
        <f>IF(Table2[[#This Row],[Manual Cat Value]]="",VLOOKUP(Table2[[#This Row],[Description]],'Actuals Lookup'!D:F,3,0),Table2[[#This Row],[Manual Cat Value]])</f>
        <v>Transportation</v>
      </c>
      <c r="J4896" s="2">
        <v>3.98</v>
      </c>
      <c r="K4896" s="2" t="b">
        <v>0</v>
      </c>
      <c r="L4896" s="2"/>
      <c r="M4896" s="2"/>
      <c r="N4896" s="4" t="s">
        <v>2259</v>
      </c>
      <c r="O4896" s="4" t="str">
        <f>LEFT(Table2[[#This Row],[Description]],75)</f>
        <v>Kwik Trip</v>
      </c>
      <c r="P4896" s="2" t="s">
        <v>2509</v>
      </c>
    </row>
    <row r="4897" spans="1:16" hidden="1">
      <c r="A4897" s="2">
        <v>202105</v>
      </c>
      <c r="B4897" s="3">
        <v>44344</v>
      </c>
      <c r="C4897" s="2" t="s">
        <v>2447</v>
      </c>
      <c r="D4897" s="2" t="s">
        <v>1083</v>
      </c>
      <c r="E4897" s="2">
        <v>29.61</v>
      </c>
      <c r="F4897" s="2" t="str">
        <f>IF(Table2[[#This Row],[Manual Cat Value]]="",VLOOKUP(Table2[[#This Row],[Description]],'Actuals Lookup'!D:F,3,0),Table2[[#This Row],[Manual Cat Value]])</f>
        <v>Transportation</v>
      </c>
      <c r="J4897" s="2">
        <v>29.61</v>
      </c>
      <c r="K4897" s="2" t="b">
        <v>0</v>
      </c>
      <c r="L4897" s="2"/>
      <c r="M4897" s="2"/>
      <c r="N4897" s="4" t="s">
        <v>2259</v>
      </c>
      <c r="O4897" s="4" t="str">
        <f>LEFT(Table2[[#This Row],[Description]],75)</f>
        <v>Kwik Trip</v>
      </c>
      <c r="P4897" s="2" t="s">
        <v>2509</v>
      </c>
    </row>
    <row r="4898" spans="1:16" hidden="1">
      <c r="A4898" s="2">
        <v>202105</v>
      </c>
      <c r="B4898" s="3">
        <v>44344</v>
      </c>
      <c r="C4898" s="2" t="s">
        <v>2258</v>
      </c>
      <c r="D4898" s="2" t="s">
        <v>1105</v>
      </c>
      <c r="E4898" s="2">
        <v>47.58</v>
      </c>
      <c r="F4898" s="2" t="e">
        <f>IF(Table2[[#This Row],[Manual Cat Value]]="",VLOOKUP(Table2[[#This Row],[Description]],'Actuals Lookup'!D:F,3,0),Table2[[#This Row],[Manual Cat Value]])</f>
        <v>#N/A</v>
      </c>
      <c r="J4898" s="2">
        <v>47.58</v>
      </c>
      <c r="K4898" s="2" t="b">
        <v>0</v>
      </c>
      <c r="L4898" s="2"/>
      <c r="M4898" s="2"/>
      <c r="N4898" s="4" t="s">
        <v>2259</v>
      </c>
      <c r="O4898" s="4" t="str">
        <f>LEFT(Table2[[#This Row],[Description]],75)</f>
        <v>LEVELUPROTI393257141 855-538-3542 MA</v>
      </c>
      <c r="P4898" s="2" t="s">
        <v>2281</v>
      </c>
    </row>
    <row r="4899" spans="1:16" hidden="1">
      <c r="A4899" s="2">
        <v>202105</v>
      </c>
      <c r="B4899" s="3">
        <v>44344</v>
      </c>
      <c r="C4899" s="2" t="s">
        <v>2447</v>
      </c>
      <c r="D4899" s="2" t="s">
        <v>1105</v>
      </c>
      <c r="E4899" s="2">
        <v>47.58</v>
      </c>
      <c r="F4899" s="2" t="e">
        <f>IF(Table2[[#This Row],[Manual Cat Value]]="",VLOOKUP(Table2[[#This Row],[Description]],'Actuals Lookup'!D:F,3,0),Table2[[#This Row],[Manual Cat Value]])</f>
        <v>#N/A</v>
      </c>
      <c r="J4899" s="2">
        <v>47.58</v>
      </c>
      <c r="K4899" s="2" t="b">
        <v>0</v>
      </c>
      <c r="L4899" s="2"/>
      <c r="M4899" s="2"/>
      <c r="N4899" s="4" t="s">
        <v>2259</v>
      </c>
      <c r="O4899" s="4" t="str">
        <f>LEFT(Table2[[#This Row],[Description]],75)</f>
        <v>LEVELUPROTI393257141 855-538-3542 MA</v>
      </c>
      <c r="P4899" s="2" t="s">
        <v>2281</v>
      </c>
    </row>
    <row r="4900" spans="1:16" hidden="1">
      <c r="A4900" s="2">
        <v>202105</v>
      </c>
      <c r="B4900" s="3">
        <v>44344</v>
      </c>
      <c r="C4900" s="2" t="s">
        <v>2317</v>
      </c>
      <c r="D4900" s="2" t="s">
        <v>1774</v>
      </c>
      <c r="E4900" s="2">
        <v>-21.02</v>
      </c>
      <c r="F4900" s="2" t="e">
        <f>IF(Table2[[#This Row],[Manual Cat Value]]="",VLOOKUP(Table2[[#This Row],[Description]],'Actuals Lookup'!D:F,3,0),Table2[[#This Row],[Manual Cat Value]])</f>
        <v>#N/A</v>
      </c>
      <c r="J4900" s="2">
        <v>21.02</v>
      </c>
      <c r="K4900" s="2" t="b">
        <v>0</v>
      </c>
      <c r="L4900" s="2"/>
      <c r="M4900" s="2"/>
      <c r="N4900" s="4" t="s">
        <v>2273</v>
      </c>
      <c r="O4900" s="4" t="str">
        <f>LEFT(Table2[[#This Row],[Description]],75)</f>
        <v>STARBUCKS CORP</v>
      </c>
      <c r="P4900" s="2" t="s">
        <v>2416</v>
      </c>
    </row>
    <row r="4901" spans="1:16" hidden="1">
      <c r="A4901" s="2">
        <v>202105</v>
      </c>
      <c r="B4901" s="3">
        <v>44344</v>
      </c>
      <c r="C4901" s="2" t="s">
        <v>2434</v>
      </c>
      <c r="D4901" s="2" t="s">
        <v>1835</v>
      </c>
      <c r="E4901" s="2">
        <v>-231</v>
      </c>
      <c r="F4901" s="2" t="e">
        <f>IF(Table2[[#This Row],[Manual Cat Value]]="",VLOOKUP(Table2[[#This Row],[Description]],'Actuals Lookup'!D:F,3,0),Table2[[#This Row],[Manual Cat Value]])</f>
        <v>#N/A</v>
      </c>
      <c r="J4901" s="2">
        <v>231</v>
      </c>
      <c r="K4901" s="2" t="b">
        <v>0</v>
      </c>
      <c r="L4901" s="2"/>
      <c r="M4901" s="2"/>
      <c r="N4901" s="4" t="s">
        <v>2273</v>
      </c>
      <c r="O4901" s="4" t="str">
        <f>LEFT(Table2[[#This Row],[Description]],75)</f>
        <v>Tfr JPMORGAN CHASE BAN, CARGILL INCORPOR</v>
      </c>
      <c r="P4901" s="2" t="s">
        <v>2281</v>
      </c>
    </row>
    <row r="4902" spans="1:16" hidden="1">
      <c r="A4902" s="2">
        <v>202105</v>
      </c>
      <c r="B4902" s="3">
        <v>44344</v>
      </c>
      <c r="C4902" s="2" t="s">
        <v>2435</v>
      </c>
      <c r="D4902" s="2" t="s">
        <v>1836</v>
      </c>
      <c r="E4902" s="2">
        <v>-250</v>
      </c>
      <c r="F4902" s="2" t="e">
        <f>IF(Table2[[#This Row],[Manual Cat Value]]="",VLOOKUP(Table2[[#This Row],[Description]],'Actuals Lookup'!D:F,3,0),Table2[[#This Row],[Manual Cat Value]])</f>
        <v>#N/A</v>
      </c>
      <c r="J4902" s="2">
        <v>250</v>
      </c>
      <c r="K4902" s="2" t="b">
        <v>0</v>
      </c>
      <c r="L4902" s="2"/>
      <c r="M4902" s="2"/>
      <c r="N4902" s="4" t="s">
        <v>2273</v>
      </c>
      <c r="O4902" s="4" t="str">
        <f>LEFT(Table2[[#This Row],[Description]],75)</f>
        <v>Tfr JPMORGAN CHASE BAN, CONNECTED ANALYT</v>
      </c>
      <c r="P4902" s="2" t="s">
        <v>2493</v>
      </c>
    </row>
    <row r="4903" spans="1:16" hidden="1">
      <c r="A4903" s="2">
        <v>202105</v>
      </c>
      <c r="B4903" s="3">
        <v>44344</v>
      </c>
      <c r="C4903" s="2" t="s">
        <v>2262</v>
      </c>
      <c r="D4903" s="2" t="s">
        <v>1931</v>
      </c>
      <c r="E4903" s="2">
        <v>8.57</v>
      </c>
      <c r="F4903" s="2" t="str">
        <f>IF(Table2[[#This Row],[Manual Cat Value]]="",VLOOKUP(Table2[[#This Row],[Description]],'Actuals Lookup'!D:F,3,0),Table2[[#This Row],[Manual Cat Value]])</f>
        <v>Groceries</v>
      </c>
      <c r="J4903" s="2">
        <v>8.57</v>
      </c>
      <c r="K4903" s="2" t="b">
        <v>0</v>
      </c>
      <c r="L4903" s="2"/>
      <c r="M4903" s="2"/>
      <c r="N4903" s="4" t="s">
        <v>2259</v>
      </c>
      <c r="O4903" s="4" t="str">
        <f>LEFT(Table2[[#This Row],[Description]],75)</f>
        <v>Trader Joe's</v>
      </c>
      <c r="P4903" s="2" t="s">
        <v>2419</v>
      </c>
    </row>
    <row r="4904" spans="1:16" hidden="1">
      <c r="A4904" s="2">
        <v>202105</v>
      </c>
      <c r="B4904" s="3">
        <v>44346</v>
      </c>
      <c r="C4904" s="2" t="s">
        <v>2262</v>
      </c>
      <c r="D4904" s="2" t="s">
        <v>303</v>
      </c>
      <c r="E4904" s="2">
        <v>40.5</v>
      </c>
      <c r="F4904" s="2" t="e">
        <f>IF(Table2[[#This Row],[Manual Cat Value]]="",VLOOKUP(Table2[[#This Row],[Description]],'Actuals Lookup'!D:F,3,0),Table2[[#This Row],[Manual Cat Value]])</f>
        <v>#N/A</v>
      </c>
      <c r="J4904" s="2">
        <v>40.5</v>
      </c>
      <c r="K4904" s="2" t="b">
        <v>0</v>
      </c>
      <c r="L4904" s="2"/>
      <c r="M4904" s="2"/>
      <c r="N4904" s="4" t="s">
        <v>2259</v>
      </c>
      <c r="O4904" s="4" t="str">
        <f>LEFT(Table2[[#This Row],[Description]],75)</f>
        <v>BOBBERS BAR DEER RIVER MN</v>
      </c>
      <c r="P4904" s="2" t="s">
        <v>2281</v>
      </c>
    </row>
    <row r="4905" spans="1:16" hidden="1">
      <c r="A4905" s="2">
        <v>202105</v>
      </c>
      <c r="B4905" s="3">
        <v>44346</v>
      </c>
      <c r="C4905" s="2" t="s">
        <v>2258</v>
      </c>
      <c r="D4905" s="2" t="s">
        <v>944</v>
      </c>
      <c r="E4905" s="2">
        <v>39.07</v>
      </c>
      <c r="F4905" s="2" t="e">
        <f>IF(Table2[[#This Row],[Manual Cat Value]]="",VLOOKUP(Table2[[#This Row],[Description]],'Actuals Lookup'!D:F,3,0),Table2[[#This Row],[Manual Cat Value]])</f>
        <v>#N/A</v>
      </c>
      <c r="J4905" s="2">
        <v>39.07</v>
      </c>
      <c r="K4905" s="2" t="b">
        <v>0</v>
      </c>
      <c r="L4905" s="2"/>
      <c r="M4905" s="2"/>
      <c r="N4905" s="4" t="s">
        <v>2259</v>
      </c>
      <c r="O4905" s="4" t="str">
        <f>LEFT(Table2[[#This Row],[Description]],75)</f>
        <v>Holiday Stationstore</v>
      </c>
      <c r="P4905" s="2" t="s">
        <v>2374</v>
      </c>
    </row>
    <row r="4906" spans="1:16" hidden="1">
      <c r="A4906" s="2">
        <v>202105</v>
      </c>
      <c r="B4906" s="3">
        <v>44346</v>
      </c>
      <c r="C4906" s="2" t="s">
        <v>2447</v>
      </c>
      <c r="D4906" s="2" t="s">
        <v>944</v>
      </c>
      <c r="E4906" s="2">
        <v>39.07</v>
      </c>
      <c r="F4906" s="2" t="e">
        <f>IF(Table2[[#This Row],[Manual Cat Value]]="",VLOOKUP(Table2[[#This Row],[Description]],'Actuals Lookup'!D:F,3,0),Table2[[#This Row],[Manual Cat Value]])</f>
        <v>#N/A</v>
      </c>
      <c r="J4906" s="2">
        <v>39.07</v>
      </c>
      <c r="K4906" s="2" t="b">
        <v>0</v>
      </c>
      <c r="L4906" s="2"/>
      <c r="M4906" s="2"/>
      <c r="N4906" s="4" t="s">
        <v>2259</v>
      </c>
      <c r="O4906" s="4" t="str">
        <f>LEFT(Table2[[#This Row],[Description]],75)</f>
        <v>Holiday Stationstore</v>
      </c>
      <c r="P4906" s="2" t="s">
        <v>2374</v>
      </c>
    </row>
    <row r="4907" spans="1:16" hidden="1">
      <c r="A4907" s="2">
        <v>202105</v>
      </c>
      <c r="B4907" s="3">
        <v>44346</v>
      </c>
      <c r="C4907" s="2" t="s">
        <v>2262</v>
      </c>
      <c r="D4907" s="2" t="s">
        <v>1138</v>
      </c>
      <c r="E4907" s="2">
        <v>3.83</v>
      </c>
      <c r="F4907" s="2" t="e">
        <f>IF(Table2[[#This Row],[Manual Cat Value]]="",VLOOKUP(Table2[[#This Row],[Description]],'Actuals Lookup'!D:F,3,0),Table2[[#This Row],[Manual Cat Value]])</f>
        <v>#N/A</v>
      </c>
      <c r="J4907" s="2">
        <v>3.83</v>
      </c>
      <c r="K4907" s="2" t="b">
        <v>0</v>
      </c>
      <c r="L4907" s="2"/>
      <c r="M4907" s="2"/>
      <c r="N4907" s="4" t="s">
        <v>2259</v>
      </c>
      <c r="O4907" s="4" t="str">
        <f>LEFT(Table2[[#This Row],[Description]],75)</f>
        <v>LOWES 00907 8664837521 NC</v>
      </c>
      <c r="P4907" s="2" t="s">
        <v>2281</v>
      </c>
    </row>
    <row r="4908" spans="1:16" hidden="1">
      <c r="A4908" s="2">
        <v>202105</v>
      </c>
      <c r="B4908" s="3">
        <v>44346</v>
      </c>
      <c r="C4908" s="2" t="s">
        <v>2262</v>
      </c>
      <c r="D4908" s="2" t="s">
        <v>1349</v>
      </c>
      <c r="E4908" s="2">
        <v>183.05</v>
      </c>
      <c r="F4908" s="2" t="e">
        <f>IF(Table2[[#This Row],[Manual Cat Value]]="",VLOOKUP(Table2[[#This Row],[Description]],'Actuals Lookup'!D:F,3,0),Table2[[#This Row],[Manual Cat Value]])</f>
        <v>#N/A</v>
      </c>
      <c r="J4908" s="2">
        <v>183.05</v>
      </c>
      <c r="K4908" s="2" t="b">
        <v>0</v>
      </c>
      <c r="L4908" s="2"/>
      <c r="M4908" s="2"/>
      <c r="N4908" s="4" t="s">
        <v>2259</v>
      </c>
      <c r="O4908" s="4" t="str">
        <f>LEFT(Table2[[#This Row],[Description]],75)</f>
        <v>Neste</v>
      </c>
      <c r="P4908" s="2" t="s">
        <v>2281</v>
      </c>
    </row>
    <row r="4909" spans="1:16" hidden="1">
      <c r="A4909" s="2">
        <v>202105</v>
      </c>
      <c r="B4909" s="3">
        <v>44346</v>
      </c>
      <c r="C4909" s="2" t="s">
        <v>2262</v>
      </c>
      <c r="D4909" s="2" t="s">
        <v>1573</v>
      </c>
      <c r="E4909" s="2">
        <v>215.15</v>
      </c>
      <c r="F4909" s="2" t="e">
        <f>IF(Table2[[#This Row],[Manual Cat Value]]="",VLOOKUP(Table2[[#This Row],[Description]],'Actuals Lookup'!D:F,3,0),Table2[[#This Row],[Manual Cat Value]])</f>
        <v>#N/A</v>
      </c>
      <c r="J4909" s="2">
        <v>215.15</v>
      </c>
      <c r="K4909" s="2" t="b">
        <v>0</v>
      </c>
      <c r="L4909" s="2"/>
      <c r="M4909" s="2"/>
      <c r="N4909" s="4" t="s">
        <v>2259</v>
      </c>
      <c r="O4909" s="4" t="str">
        <f>LEFT(Table2[[#This Row],[Description]],75)</f>
        <v>REICOM 8004264840 WA</v>
      </c>
      <c r="P4909" s="2" t="s">
        <v>2281</v>
      </c>
    </row>
    <row r="4910" spans="1:16" hidden="1">
      <c r="A4910" s="2">
        <v>202105</v>
      </c>
      <c r="B4910" s="3">
        <v>44346</v>
      </c>
      <c r="C4910" s="2" t="s">
        <v>2262</v>
      </c>
      <c r="D4910" s="2" t="s">
        <v>2047</v>
      </c>
      <c r="E4910" s="2">
        <v>32.35</v>
      </c>
      <c r="F4910" s="2" t="e">
        <f>IF(Table2[[#This Row],[Manual Cat Value]]="",VLOOKUP(Table2[[#This Row],[Description]],'Actuals Lookup'!D:F,3,0),Table2[[#This Row],[Manual Cat Value]])</f>
        <v>#N/A</v>
      </c>
      <c r="J4910" s="2">
        <v>32.35</v>
      </c>
      <c r="K4910" s="2" t="b">
        <v>0</v>
      </c>
      <c r="L4910" s="2"/>
      <c r="M4910" s="2"/>
      <c r="N4910" s="4" t="s">
        <v>2259</v>
      </c>
      <c r="O4910" s="4" t="str">
        <f>LEFT(Table2[[#This Row],[Description]],75)</f>
        <v>TST YUM KITCHEN AND BAKMINNEAPOLIS MN</v>
      </c>
      <c r="P4910" s="2" t="s">
        <v>2281</v>
      </c>
    </row>
    <row r="4911" spans="1:16" hidden="1">
      <c r="A4911" s="2">
        <v>202105</v>
      </c>
      <c r="B4911" s="3">
        <v>44346</v>
      </c>
      <c r="C4911" s="2" t="s">
        <v>2262</v>
      </c>
      <c r="D4911" s="2" t="s">
        <v>2098</v>
      </c>
      <c r="E4911" s="2">
        <v>22.78</v>
      </c>
      <c r="F4911" s="2" t="e">
        <f>IF(Table2[[#This Row],[Manual Cat Value]]="",VLOOKUP(Table2[[#This Row],[Description]],'Actuals Lookup'!D:F,3,0),Table2[[#This Row],[Manual Cat Value]])</f>
        <v>#N/A</v>
      </c>
      <c r="J4911" s="2">
        <v>22.78</v>
      </c>
      <c r="K4911" s="2" t="b">
        <v>0</v>
      </c>
      <c r="L4911" s="2"/>
      <c r="M4911" s="2"/>
      <c r="N4911" s="4" t="s">
        <v>2259</v>
      </c>
      <c r="O4911" s="4" t="str">
        <f>LEFT(Table2[[#This Row],[Description]],75)</f>
        <v>Usave Foods U SAVE FOODS 440 DEER RIVER MN</v>
      </c>
      <c r="P4911" s="2" t="s">
        <v>2281</v>
      </c>
    </row>
    <row r="4912" spans="1:16" hidden="1">
      <c r="A4912" s="2">
        <v>202105</v>
      </c>
      <c r="B4912" s="3">
        <v>44347</v>
      </c>
      <c r="C4912" s="2" t="s">
        <v>2300</v>
      </c>
      <c r="D4912" s="2" t="s">
        <v>167</v>
      </c>
      <c r="E4912" s="2">
        <v>-0.14000000000000001</v>
      </c>
      <c r="F4912" s="2" t="e">
        <f>IF(Table2[[#This Row],[Manual Cat Value]]="",VLOOKUP(Table2[[#This Row],[Description]],'Actuals Lookup'!D:F,3,0),Table2[[#This Row],[Manual Cat Value]])</f>
        <v>#N/A</v>
      </c>
      <c r="J4912" s="2">
        <v>0.14000000000000001</v>
      </c>
      <c r="K4912" s="2" t="b">
        <v>0</v>
      </c>
      <c r="L4912" s="2"/>
      <c r="M4912" s="2"/>
      <c r="N4912" s="4" t="s">
        <v>2273</v>
      </c>
      <c r="O4912" s="4" t="str">
        <f>LEFT(Table2[[#This Row],[Description]],75)</f>
        <v>Apy Earned</v>
      </c>
      <c r="P4912" s="2" t="s">
        <v>2281</v>
      </c>
    </row>
    <row r="4913" spans="1:16" hidden="1">
      <c r="A4913" s="2">
        <v>202105</v>
      </c>
      <c r="B4913" s="3">
        <v>44347</v>
      </c>
      <c r="C4913" s="2" t="s">
        <v>2265</v>
      </c>
      <c r="D4913" s="2" t="s">
        <v>177</v>
      </c>
      <c r="E4913" s="2">
        <v>-3</v>
      </c>
      <c r="F4913" s="2" t="e">
        <f>IF(Table2[[#This Row],[Manual Cat Value]]="",VLOOKUP(Table2[[#This Row],[Description]],'Actuals Lookup'!D:F,3,0),Table2[[#This Row],[Manual Cat Value]])</f>
        <v>#N/A</v>
      </c>
      <c r="J4913" s="2">
        <v>3</v>
      </c>
      <c r="K4913" s="2" t="b">
        <v>0</v>
      </c>
      <c r="L4913" s="2"/>
      <c r="M4913" s="2"/>
      <c r="N4913" s="4" t="s">
        <v>2273</v>
      </c>
      <c r="O4913" s="4" t="str">
        <f>LEFT(Table2[[#This Row],[Description]],75)</f>
        <v>ATM FEE REFUND</v>
      </c>
      <c r="P4913" s="2" t="s">
        <v>2281</v>
      </c>
    </row>
    <row r="4914" spans="1:16" hidden="1">
      <c r="A4914" s="2">
        <v>202105</v>
      </c>
      <c r="B4914" s="3">
        <v>44347</v>
      </c>
      <c r="C4914" s="2" t="s">
        <v>2265</v>
      </c>
      <c r="D4914" s="2" t="s">
        <v>992</v>
      </c>
      <c r="E4914" s="2">
        <v>-25.33</v>
      </c>
      <c r="F4914" s="2" t="e">
        <f>IF(Table2[[#This Row],[Manual Cat Value]]="",VLOOKUP(Table2[[#This Row],[Description]],'Actuals Lookup'!D:F,3,0),Table2[[#This Row],[Manual Cat Value]])</f>
        <v>#N/A</v>
      </c>
      <c r="J4914" s="2">
        <v>25.33</v>
      </c>
      <c r="K4914" s="2" t="b">
        <v>0</v>
      </c>
      <c r="L4914" s="2"/>
      <c r="M4914" s="2"/>
      <c r="N4914" s="4" t="s">
        <v>2273</v>
      </c>
      <c r="O4914" s="4" t="str">
        <f>LEFT(Table2[[#This Row],[Description]],75)</f>
        <v>Interest Income Split Rate APY Earned 128 050121 to 053121</v>
      </c>
      <c r="P4914" s="2" t="s">
        <v>2281</v>
      </c>
    </row>
    <row r="4915" spans="1:16" hidden="1">
      <c r="A4915" s="2">
        <v>202105</v>
      </c>
      <c r="B4915" s="3">
        <v>44347</v>
      </c>
      <c r="C4915" s="2" t="s">
        <v>2262</v>
      </c>
      <c r="D4915" s="2" t="s">
        <v>1573</v>
      </c>
      <c r="E4915" s="2">
        <v>62.64</v>
      </c>
      <c r="F4915" s="2" t="e">
        <f>IF(Table2[[#This Row],[Manual Cat Value]]="",VLOOKUP(Table2[[#This Row],[Description]],'Actuals Lookup'!D:F,3,0),Table2[[#This Row],[Manual Cat Value]])</f>
        <v>#N/A</v>
      </c>
      <c r="J4915" s="2">
        <v>62.64</v>
      </c>
      <c r="K4915" s="2" t="b">
        <v>0</v>
      </c>
      <c r="L4915" s="2"/>
      <c r="M4915" s="2"/>
      <c r="N4915" s="4" t="s">
        <v>2259</v>
      </c>
      <c r="O4915" s="4" t="str">
        <f>LEFT(Table2[[#This Row],[Description]],75)</f>
        <v>REICOM 8004264840 WA</v>
      </c>
      <c r="P4915" s="2" t="s">
        <v>2281</v>
      </c>
    </row>
    <row r="4916" spans="1:16" hidden="1">
      <c r="A4916" s="2">
        <v>202105</v>
      </c>
      <c r="B4916" s="3">
        <v>44347</v>
      </c>
      <c r="C4916" s="2" t="s">
        <v>2262</v>
      </c>
      <c r="D4916" s="2" t="s">
        <v>1926</v>
      </c>
      <c r="E4916" s="2">
        <v>35.64</v>
      </c>
      <c r="F4916" s="2" t="e">
        <f>IF(Table2[[#This Row],[Manual Cat Value]]="",VLOOKUP(Table2[[#This Row],[Description]],'Actuals Lookup'!D:F,3,0),Table2[[#This Row],[Manual Cat Value]])</f>
        <v>#N/A</v>
      </c>
      <c r="J4916" s="2">
        <v>35.64</v>
      </c>
      <c r="K4916" s="2" t="b">
        <v>0</v>
      </c>
      <c r="L4916" s="2"/>
      <c r="M4916" s="2"/>
      <c r="N4916" s="4" t="s">
        <v>2259</v>
      </c>
      <c r="O4916" s="4" t="str">
        <f>LEFT(Table2[[#This Row],[Description]],75)</f>
        <v>Total Wine and More</v>
      </c>
      <c r="P4916" s="2" t="s">
        <v>2289</v>
      </c>
    </row>
    <row r="4917" spans="1:16" hidden="1">
      <c r="A4917" s="2">
        <v>202105</v>
      </c>
      <c r="B4917" s="3">
        <v>44347</v>
      </c>
      <c r="C4917" s="2" t="s">
        <v>2265</v>
      </c>
      <c r="D4917" s="2" t="s">
        <v>1942</v>
      </c>
      <c r="E4917" s="2">
        <v>-17</v>
      </c>
      <c r="F4917" s="2" t="e">
        <f>IF(Table2[[#This Row],[Manual Cat Value]]="",VLOOKUP(Table2[[#This Row],[Description]],'Actuals Lookup'!D:F,3,0),Table2[[#This Row],[Manual Cat Value]])</f>
        <v>#N/A</v>
      </c>
      <c r="J4917" s="2">
        <v>17</v>
      </c>
      <c r="K4917" s="2" t="b">
        <v>0</v>
      </c>
      <c r="L4917" s="2"/>
      <c r="M4917" s="2"/>
      <c r="N4917" s="4" t="s">
        <v>2273</v>
      </c>
      <c r="O4917" s="4" t="str">
        <f>LEFT(Table2[[#This Row],[Description]],75)</f>
        <v>Transfer from PayPal PAYPAL TYPE TRANSFER ID PAYPALSD11 CO PAYPAL ACH ECC P</v>
      </c>
      <c r="P4917" s="2" t="s">
        <v>2322</v>
      </c>
    </row>
    <row r="4918" spans="1:16" hidden="1">
      <c r="A4918" s="2">
        <v>202106</v>
      </c>
      <c r="B4918" s="3">
        <v>44348</v>
      </c>
      <c r="C4918" s="2" t="s">
        <v>2270</v>
      </c>
      <c r="D4918" s="2" t="s">
        <v>1410</v>
      </c>
      <c r="E4918" s="2">
        <v>-734.06</v>
      </c>
      <c r="F4918" s="2" t="str">
        <f>IF(Table2[[#This Row],[Manual Cat Value]]="",VLOOKUP(Table2[[#This Row],[Description]],'Actuals Lookup'!D:F,3,0),Table2[[#This Row],[Manual Cat Value]])</f>
        <v>Delete</v>
      </c>
      <c r="J4918" s="2">
        <v>734.06</v>
      </c>
      <c r="K4918" s="2" t="b">
        <v>0</v>
      </c>
      <c r="L4918" s="2"/>
      <c r="M4918" s="2"/>
      <c r="N4918" s="4" t="s">
        <v>2273</v>
      </c>
      <c r="O4918" s="4" t="str">
        <f>LEFT(Table2[[#This Row],[Description]],75)</f>
        <v>PAYMENT</v>
      </c>
      <c r="P4918" s="2" t="s">
        <v>2492</v>
      </c>
    </row>
    <row r="4919" spans="1:16" hidden="1">
      <c r="A4919" s="2">
        <v>202106</v>
      </c>
      <c r="B4919" s="3">
        <v>44348</v>
      </c>
      <c r="C4919" s="2" t="s">
        <v>2258</v>
      </c>
      <c r="D4919" s="2" t="s">
        <v>114</v>
      </c>
      <c r="E4919" s="2">
        <v>4.28</v>
      </c>
      <c r="F4919" s="2" t="str">
        <f>IF(Table2[[#This Row],[Manual Cat Value]]="",VLOOKUP(Table2[[#This Row],[Description]],'Actuals Lookup'!D:F,3,0),Table2[[#This Row],[Manual Cat Value]])</f>
        <v>Entertainment</v>
      </c>
      <c r="J4919" s="2">
        <v>4.28</v>
      </c>
      <c r="K4919" s="2" t="b">
        <v>0</v>
      </c>
      <c r="L4919" s="2"/>
      <c r="M4919" s="2"/>
      <c r="N4919" s="4" t="s">
        <v>2259</v>
      </c>
      <c r="O4919" s="4" t="str">
        <f>LEFT(Table2[[#This Row],[Description]],75)</f>
        <v>Amazon Music</v>
      </c>
      <c r="P4919" s="2" t="s">
        <v>2466</v>
      </c>
    </row>
    <row r="4920" spans="1:16" hidden="1">
      <c r="A4920" s="2">
        <v>202106</v>
      </c>
      <c r="B4920" s="3">
        <v>44348</v>
      </c>
      <c r="C4920" s="2" t="s">
        <v>2447</v>
      </c>
      <c r="D4920" s="2" t="s">
        <v>114</v>
      </c>
      <c r="E4920" s="2">
        <v>4.28</v>
      </c>
      <c r="F4920" s="2" t="str">
        <f>IF(Table2[[#This Row],[Manual Cat Value]]="",VLOOKUP(Table2[[#This Row],[Description]],'Actuals Lookup'!D:F,3,0),Table2[[#This Row],[Manual Cat Value]])</f>
        <v>Entertainment</v>
      </c>
      <c r="J4920" s="2">
        <v>4.28</v>
      </c>
      <c r="K4920" s="2" t="b">
        <v>0</v>
      </c>
      <c r="L4920" s="2"/>
      <c r="M4920" s="2"/>
      <c r="N4920" s="4" t="s">
        <v>2259</v>
      </c>
      <c r="O4920" s="4" t="str">
        <f>LEFT(Table2[[#This Row],[Description]],75)</f>
        <v>Amazon Music</v>
      </c>
      <c r="P4920" s="2" t="s">
        <v>2466</v>
      </c>
    </row>
    <row r="4921" spans="1:16" hidden="1">
      <c r="A4921" s="2">
        <v>202106</v>
      </c>
      <c r="B4921" s="3">
        <v>44348</v>
      </c>
      <c r="C4921" s="2" t="s">
        <v>2265</v>
      </c>
      <c r="D4921" s="2" t="s">
        <v>254</v>
      </c>
      <c r="E4921" s="2">
        <v>2832.55</v>
      </c>
      <c r="F4921" s="2" t="str">
        <f>IF(Table2[[#This Row],[Manual Cat Value]]="",VLOOKUP(Table2[[#This Row],[Description]],'Actuals Lookup'!D:F,3,0),Table2[[#This Row],[Manual Cat Value]])</f>
        <v>Rent</v>
      </c>
      <c r="J4921" s="2">
        <v>2832.55</v>
      </c>
      <c r="K4921" s="2" t="b">
        <v>0</v>
      </c>
      <c r="L4921" s="2"/>
      <c r="M4921" s="2"/>
      <c r="N4921" s="4" t="s">
        <v>2259</v>
      </c>
      <c r="O4921" s="4" t="str">
        <f>LEFT(Table2[[#This Row],[Description]],75)</f>
        <v>Baxter Credit Union</v>
      </c>
      <c r="P4921" s="2" t="s">
        <v>2281</v>
      </c>
    </row>
    <row r="4922" spans="1:16" hidden="1">
      <c r="A4922" s="2">
        <v>202106</v>
      </c>
      <c r="B4922" s="3">
        <v>44348</v>
      </c>
      <c r="C4922" s="2" t="s">
        <v>2265</v>
      </c>
      <c r="D4922" s="2" t="s">
        <v>598</v>
      </c>
      <c r="E4922" s="2">
        <v>200</v>
      </c>
      <c r="F4922" s="2" t="e">
        <f>IF(Table2[[#This Row],[Manual Cat Value]]="",VLOOKUP(Table2[[#This Row],[Description]],'Actuals Lookup'!D:F,3,0),Table2[[#This Row],[Manual Cat Value]])</f>
        <v>#N/A</v>
      </c>
      <c r="J4922" s="2">
        <v>200</v>
      </c>
      <c r="K4922" s="2" t="b">
        <v>0</v>
      </c>
      <c r="L4922" s="2"/>
      <c r="M4922" s="2"/>
      <c r="N4922" s="4" t="s">
        <v>2259</v>
      </c>
      <c r="O4922" s="4" t="str">
        <f>LEFT(Table2[[#This Row],[Description]],75)</f>
        <v>College Savings TYPE ACH ID XX58 College Savings TYPE ACH ID 550895818 CO C</v>
      </c>
      <c r="P4922" s="2" t="s">
        <v>2272</v>
      </c>
    </row>
    <row r="4923" spans="1:16" hidden="1">
      <c r="A4923" s="2">
        <v>202106</v>
      </c>
      <c r="B4923" s="3">
        <v>44348</v>
      </c>
      <c r="C4923" s="2" t="s">
        <v>2262</v>
      </c>
      <c r="D4923" s="2" t="s">
        <v>684</v>
      </c>
      <c r="E4923" s="2">
        <v>178.12</v>
      </c>
      <c r="F4923" s="2" t="str">
        <f>IF(Table2[[#This Row],[Manual Cat Value]]="",VLOOKUP(Table2[[#This Row],[Description]],'Actuals Lookup'!D:F,3,0),Table2[[#This Row],[Manual Cat Value]])</f>
        <v>Groceries</v>
      </c>
      <c r="J4923" s="2">
        <v>178.12</v>
      </c>
      <c r="K4923" s="2" t="b">
        <v>0</v>
      </c>
      <c r="L4923" s="2"/>
      <c r="M4923" s="2"/>
      <c r="N4923" s="4" t="s">
        <v>2259</v>
      </c>
      <c r="O4923" s="4" t="str">
        <f>LEFT(Table2[[#This Row],[Description]],75)</f>
        <v>Cub Foods</v>
      </c>
      <c r="P4923" s="2" t="s">
        <v>2370</v>
      </c>
    </row>
    <row r="4924" spans="1:16" hidden="1">
      <c r="A4924" s="2">
        <v>202106</v>
      </c>
      <c r="B4924" s="3">
        <v>44348</v>
      </c>
      <c r="C4924" s="2" t="s">
        <v>2314</v>
      </c>
      <c r="D4924" s="2" t="s">
        <v>859</v>
      </c>
      <c r="E4924" s="2">
        <v>-584.35</v>
      </c>
      <c r="F4924" s="2" t="e">
        <f>IF(Table2[[#This Row],[Manual Cat Value]]="",VLOOKUP(Table2[[#This Row],[Description]],'Actuals Lookup'!D:F,3,0),Table2[[#This Row],[Manual Cat Value]])</f>
        <v>#N/A</v>
      </c>
      <c r="J4924" s="2">
        <v>584.35</v>
      </c>
      <c r="K4924" s="2" t="b">
        <v>0</v>
      </c>
      <c r="L4924" s="2"/>
      <c r="M4924" s="2"/>
      <c r="N4924" s="4" t="s">
        <v>2273</v>
      </c>
      <c r="O4924" s="4" t="str">
        <f>LEFT(Table2[[#This Row],[Description]],75)</f>
        <v>From Share 70</v>
      </c>
      <c r="P4924" s="2" t="s">
        <v>2496</v>
      </c>
    </row>
    <row r="4925" spans="1:16" hidden="1">
      <c r="A4925" s="2">
        <v>202106</v>
      </c>
      <c r="B4925" s="3">
        <v>44348</v>
      </c>
      <c r="C4925" s="2" t="s">
        <v>2317</v>
      </c>
      <c r="D4925" s="2" t="s">
        <v>978</v>
      </c>
      <c r="E4925" s="2">
        <v>-29.88</v>
      </c>
      <c r="F4925" s="2" t="e">
        <f>IF(Table2[[#This Row],[Manual Cat Value]]="",VLOOKUP(Table2[[#This Row],[Description]],'Actuals Lookup'!D:F,3,0),Table2[[#This Row],[Manual Cat Value]])</f>
        <v>#N/A</v>
      </c>
      <c r="J4925" s="2">
        <v>29.88</v>
      </c>
      <c r="K4925" s="2" t="b">
        <v>0</v>
      </c>
      <c r="L4925" s="2"/>
      <c r="M4925" s="2"/>
      <c r="N4925" s="4" t="s">
        <v>2273</v>
      </c>
      <c r="O4925" s="4" t="str">
        <f>LEFT(Table2[[#This Row],[Description]],75)</f>
        <v>INTEL CORP</v>
      </c>
      <c r="P4925" s="2" t="s">
        <v>2422</v>
      </c>
    </row>
    <row r="4926" spans="1:16" hidden="1">
      <c r="A4926" s="2">
        <v>202106</v>
      </c>
      <c r="B4926" s="3">
        <v>44348</v>
      </c>
      <c r="C4926" s="2" t="s">
        <v>2265</v>
      </c>
      <c r="D4926" s="2" t="s">
        <v>1471</v>
      </c>
      <c r="E4926" s="2">
        <v>0.99</v>
      </c>
      <c r="F4926" s="2" t="str">
        <f>IF(Table2[[#This Row],[Manual Cat Value]]="",VLOOKUP(Table2[[#This Row],[Description]],'Actuals Lookup'!D:F,3,0),Table2[[#This Row],[Manual Cat Value]])</f>
        <v>Shopping</v>
      </c>
      <c r="J4926" s="2">
        <v>0.99</v>
      </c>
      <c r="K4926" s="2" t="b">
        <v>0</v>
      </c>
      <c r="L4926" s="2"/>
      <c r="M4926" s="2"/>
      <c r="N4926" s="4" t="s">
        <v>2259</v>
      </c>
      <c r="O4926" s="4" t="str">
        <f>LEFT(Table2[[#This Row],[Description]],75)</f>
        <v>PayPal</v>
      </c>
      <c r="P4926" s="2" t="s">
        <v>2322</v>
      </c>
    </row>
    <row r="4927" spans="1:16" hidden="1">
      <c r="A4927" s="2">
        <v>202106</v>
      </c>
      <c r="B4927" s="3">
        <v>44348</v>
      </c>
      <c r="C4927" s="2" t="s">
        <v>2265</v>
      </c>
      <c r="D4927" s="2" t="s">
        <v>1471</v>
      </c>
      <c r="E4927" s="2">
        <v>14.03</v>
      </c>
      <c r="F4927" s="2" t="str">
        <f>IF(Table2[[#This Row],[Manual Cat Value]]="",VLOOKUP(Table2[[#This Row],[Description]],'Actuals Lookup'!D:F,3,0),Table2[[#This Row],[Manual Cat Value]])</f>
        <v>Shopping</v>
      </c>
      <c r="J4927" s="2">
        <v>14.03</v>
      </c>
      <c r="K4927" s="2" t="b">
        <v>0</v>
      </c>
      <c r="L4927" s="2"/>
      <c r="M4927" s="2"/>
      <c r="N4927" s="4" t="s">
        <v>2259</v>
      </c>
      <c r="O4927" s="4" t="str">
        <f>LEFT(Table2[[#This Row],[Description]],75)</f>
        <v>PayPal</v>
      </c>
      <c r="P4927" s="2" t="s">
        <v>2322</v>
      </c>
    </row>
    <row r="4928" spans="1:16" hidden="1">
      <c r="A4928" s="2">
        <v>202106</v>
      </c>
      <c r="B4928" s="3">
        <v>44348</v>
      </c>
      <c r="C4928" s="2" t="s">
        <v>2265</v>
      </c>
      <c r="D4928" s="2" t="s">
        <v>1471</v>
      </c>
      <c r="E4928" s="2">
        <v>128.82</v>
      </c>
      <c r="F4928" s="2" t="str">
        <f>IF(Table2[[#This Row],[Manual Cat Value]]="",VLOOKUP(Table2[[#This Row],[Description]],'Actuals Lookup'!D:F,3,0),Table2[[#This Row],[Manual Cat Value]])</f>
        <v>Shopping</v>
      </c>
      <c r="J4928" s="2">
        <v>128.82</v>
      </c>
      <c r="K4928" s="2" t="b">
        <v>0</v>
      </c>
      <c r="L4928" s="2"/>
      <c r="M4928" s="2"/>
      <c r="N4928" s="4" t="s">
        <v>2259</v>
      </c>
      <c r="O4928" s="4" t="str">
        <f>LEFT(Table2[[#This Row],[Description]],75)</f>
        <v>PayPal</v>
      </c>
      <c r="P4928" s="2" t="s">
        <v>2322</v>
      </c>
    </row>
    <row r="4929" spans="1:16" hidden="1">
      <c r="A4929" s="2">
        <v>202106</v>
      </c>
      <c r="B4929" s="3">
        <v>44348</v>
      </c>
      <c r="C4929" s="2" t="s">
        <v>2270</v>
      </c>
      <c r="D4929" s="2" t="s">
        <v>1524</v>
      </c>
      <c r="E4929" s="2">
        <v>-431</v>
      </c>
      <c r="F4929" s="2" t="e">
        <f>IF(Table2[[#This Row],[Manual Cat Value]]="",VLOOKUP(Table2[[#This Row],[Description]],'Actuals Lookup'!D:F,3,0),Table2[[#This Row],[Manual Cat Value]])</f>
        <v>#N/A</v>
      </c>
      <c r="J4929" s="2">
        <v>431</v>
      </c>
      <c r="K4929" s="2" t="b">
        <v>0</v>
      </c>
      <c r="L4929" s="2"/>
      <c r="M4929" s="2"/>
      <c r="N4929" s="4" t="s">
        <v>2273</v>
      </c>
      <c r="O4929" s="4" t="str">
        <f>LEFT(Table2[[#This Row],[Description]],75)</f>
        <v>Principal Curtailment</v>
      </c>
      <c r="P4929" s="2" t="s">
        <v>2514</v>
      </c>
    </row>
    <row r="4930" spans="1:16" hidden="1">
      <c r="A4930" s="2">
        <v>202106</v>
      </c>
      <c r="B4930" s="3">
        <v>44348</v>
      </c>
      <c r="C4930" s="2" t="s">
        <v>2317</v>
      </c>
      <c r="D4930" s="2" t="s">
        <v>1774</v>
      </c>
      <c r="E4930" s="2">
        <v>21.02</v>
      </c>
      <c r="F4930" s="2" t="e">
        <f>IF(Table2[[#This Row],[Manual Cat Value]]="",VLOOKUP(Table2[[#This Row],[Description]],'Actuals Lookup'!D:F,3,0),Table2[[#This Row],[Manual Cat Value]])</f>
        <v>#N/A</v>
      </c>
      <c r="J4930" s="2">
        <v>21.02</v>
      </c>
      <c r="K4930" s="2" t="b">
        <v>0</v>
      </c>
      <c r="L4930" s="2"/>
      <c r="M4930" s="2"/>
      <c r="N4930" s="4" t="s">
        <v>2259</v>
      </c>
      <c r="O4930" s="4" t="str">
        <f>LEFT(Table2[[#This Row],[Description]],75)</f>
        <v>STARBUCKS CORP</v>
      </c>
      <c r="P4930" s="2" t="s">
        <v>2416</v>
      </c>
    </row>
    <row r="4931" spans="1:16" hidden="1">
      <c r="A4931" s="2">
        <v>202106</v>
      </c>
      <c r="B4931" s="3">
        <v>44348</v>
      </c>
      <c r="C4931" s="2" t="s">
        <v>2265</v>
      </c>
      <c r="D4931" s="2" t="s">
        <v>1877</v>
      </c>
      <c r="E4931" s="2">
        <v>618.65</v>
      </c>
      <c r="F4931" s="2" t="e">
        <f>IF(Table2[[#This Row],[Manual Cat Value]]="",VLOOKUP(Table2[[#This Row],[Description]],'Actuals Lookup'!D:F,3,0),Table2[[#This Row],[Manual Cat Value]])</f>
        <v>#N/A</v>
      </c>
      <c r="J4931" s="2">
        <v>618.65</v>
      </c>
      <c r="K4931" s="2" t="b">
        <v>0</v>
      </c>
      <c r="L4931" s="2"/>
      <c r="M4931" s="2"/>
      <c r="N4931" s="4" t="s">
        <v>2259</v>
      </c>
      <c r="O4931" s="4" t="str">
        <f>LEFT(Table2[[#This Row],[Description]],75)</f>
        <v>To Loan 02</v>
      </c>
      <c r="P4931" s="2" t="s">
        <v>2316</v>
      </c>
    </row>
    <row r="4932" spans="1:16" hidden="1">
      <c r="A4932" s="2">
        <v>202106</v>
      </c>
      <c r="B4932" s="3">
        <v>44348</v>
      </c>
      <c r="C4932" s="2" t="s">
        <v>2262</v>
      </c>
      <c r="D4932" s="2" t="s">
        <v>2019</v>
      </c>
      <c r="E4932" s="2">
        <v>45.82</v>
      </c>
      <c r="F4932" s="2" t="e">
        <f>IF(Table2[[#This Row],[Manual Cat Value]]="",VLOOKUP(Table2[[#This Row],[Description]],'Actuals Lookup'!D:F,3,0),Table2[[#This Row],[Manual Cat Value]])</f>
        <v>#N/A</v>
      </c>
      <c r="J4932" s="2">
        <v>45.82</v>
      </c>
      <c r="K4932" s="2" t="b">
        <v>0</v>
      </c>
      <c r="L4932" s="2"/>
      <c r="M4932" s="2"/>
      <c r="N4932" s="4" t="s">
        <v>2259</v>
      </c>
      <c r="O4932" s="4" t="str">
        <f>LEFT(Table2[[#This Row],[Description]],75)</f>
        <v>TST LAGOS TACOS EXCELSIO9523008495 MN</v>
      </c>
      <c r="P4932" s="2" t="s">
        <v>2281</v>
      </c>
    </row>
    <row r="4933" spans="1:16" hidden="1">
      <c r="A4933" s="2">
        <v>202106</v>
      </c>
      <c r="B4933" s="3">
        <v>44348</v>
      </c>
      <c r="C4933" s="2" t="s">
        <v>2317</v>
      </c>
      <c r="D4933" s="2" t="s">
        <v>2130</v>
      </c>
      <c r="E4933" s="2">
        <v>-27.01</v>
      </c>
      <c r="F4933" s="2" t="e">
        <f>IF(Table2[[#This Row],[Manual Cat Value]]="",VLOOKUP(Table2[[#This Row],[Description]],'Actuals Lookup'!D:F,3,0),Table2[[#This Row],[Manual Cat Value]])</f>
        <v>#N/A</v>
      </c>
      <c r="J4933" s="2">
        <v>27.01</v>
      </c>
      <c r="K4933" s="2" t="b">
        <v>0</v>
      </c>
      <c r="L4933" s="2"/>
      <c r="M4933" s="2"/>
      <c r="N4933" s="4" t="s">
        <v>2273</v>
      </c>
      <c r="O4933" s="4" t="str">
        <f>LEFT(Table2[[#This Row],[Description]],75)</f>
        <v>VISA INC CLASS A</v>
      </c>
      <c r="P4933" s="2" t="s">
        <v>2423</v>
      </c>
    </row>
    <row r="4934" spans="1:16" hidden="1">
      <c r="A4934" s="2">
        <v>202106</v>
      </c>
      <c r="B4934" s="3">
        <v>44348</v>
      </c>
      <c r="C4934" s="2" t="s">
        <v>2262</v>
      </c>
      <c r="D4934" s="2" t="s">
        <v>2149</v>
      </c>
      <c r="E4934" s="2">
        <v>18.690000000000001</v>
      </c>
      <c r="F4934" s="2" t="str">
        <f>IF(Table2[[#This Row],[Manual Cat Value]]="",VLOOKUP(Table2[[#This Row],[Description]],'Actuals Lookup'!D:F,3,0),Table2[[#This Row],[Manual Cat Value]])</f>
        <v>Restaurants</v>
      </c>
      <c r="J4934" s="2">
        <v>18.690000000000001</v>
      </c>
      <c r="K4934" s="2" t="b">
        <v>0</v>
      </c>
      <c r="L4934" s="2"/>
      <c r="M4934" s="2"/>
      <c r="N4934" s="4" t="s">
        <v>2259</v>
      </c>
      <c r="O4934" s="4" t="str">
        <f>LEFT(Table2[[#This Row],[Description]],75)</f>
        <v>Wendy's</v>
      </c>
      <c r="P4934" s="2" t="s">
        <v>2507</v>
      </c>
    </row>
    <row r="4935" spans="1:16" hidden="1">
      <c r="A4935" s="2">
        <v>202106</v>
      </c>
      <c r="B4935" s="3">
        <v>44349</v>
      </c>
      <c r="C4935" s="2" t="s">
        <v>2262</v>
      </c>
      <c r="D4935" s="2" t="s">
        <v>949</v>
      </c>
      <c r="E4935" s="2">
        <v>5.2</v>
      </c>
      <c r="F4935" s="2" t="e">
        <f>IF(Table2[[#This Row],[Manual Cat Value]]="",VLOOKUP(Table2[[#This Row],[Description]],'Actuals Lookup'!D:F,3,0),Table2[[#This Row],[Manual Cat Value]])</f>
        <v>#N/A</v>
      </c>
      <c r="J4935" s="2">
        <v>5.2</v>
      </c>
      <c r="K4935" s="2" t="b">
        <v>0</v>
      </c>
      <c r="L4935" s="2"/>
      <c r="M4935" s="2"/>
      <c r="N4935" s="4" t="s">
        <v>2259</v>
      </c>
      <c r="O4935" s="4" t="str">
        <f>LEFT(Table2[[#This Row],[Description]],75)</f>
        <v>HONK MSP 6123751301 MN</v>
      </c>
      <c r="P4935" s="2" t="s">
        <v>2281</v>
      </c>
    </row>
    <row r="4936" spans="1:16" hidden="1">
      <c r="A4936" s="2">
        <v>202106</v>
      </c>
      <c r="B4936" s="3">
        <v>44349</v>
      </c>
      <c r="C4936" s="2" t="s">
        <v>2317</v>
      </c>
      <c r="D4936" s="2" t="s">
        <v>978</v>
      </c>
      <c r="E4936" s="2">
        <v>29.88</v>
      </c>
      <c r="F4936" s="2" t="e">
        <f>IF(Table2[[#This Row],[Manual Cat Value]]="",VLOOKUP(Table2[[#This Row],[Description]],'Actuals Lookup'!D:F,3,0),Table2[[#This Row],[Manual Cat Value]])</f>
        <v>#N/A</v>
      </c>
      <c r="J4936" s="2">
        <v>29.88</v>
      </c>
      <c r="K4936" s="2" t="b">
        <v>0</v>
      </c>
      <c r="L4936" s="2"/>
      <c r="M4936" s="2"/>
      <c r="N4936" s="4" t="s">
        <v>2259</v>
      </c>
      <c r="O4936" s="4" t="str">
        <f>LEFT(Table2[[#This Row],[Description]],75)</f>
        <v>INTEL CORP</v>
      </c>
      <c r="P4936" s="2" t="s">
        <v>2422</v>
      </c>
    </row>
    <row r="4937" spans="1:16" hidden="1">
      <c r="A4937" s="2">
        <v>202106</v>
      </c>
      <c r="B4937" s="3">
        <v>44349</v>
      </c>
      <c r="C4937" s="2" t="s">
        <v>2265</v>
      </c>
      <c r="D4937" s="2" t="s">
        <v>1196</v>
      </c>
      <c r="E4937" s="2">
        <v>425</v>
      </c>
      <c r="F4937" s="2" t="e">
        <f>IF(Table2[[#This Row],[Manual Cat Value]]="",VLOOKUP(Table2[[#This Row],[Description]],'Actuals Lookup'!D:F,3,0),Table2[[#This Row],[Manual Cat Value]])</f>
        <v>#N/A</v>
      </c>
      <c r="J4937" s="2">
        <v>425</v>
      </c>
      <c r="K4937" s="2" t="b">
        <v>0</v>
      </c>
      <c r="L4937" s="2"/>
      <c r="M4937" s="2"/>
      <c r="N4937" s="4" t="s">
        <v>2259</v>
      </c>
      <c r="O4937" s="4" t="str">
        <f>LEFT(Table2[[#This Row],[Description]],75)</f>
        <v>MHCHILDCARELLC TYPE DUES ID CO M MHCHILDCARELLC TYPE DUES ID CO MHCHILDCARE</v>
      </c>
      <c r="P4937" s="2" t="s">
        <v>2497</v>
      </c>
    </row>
    <row r="4938" spans="1:16" hidden="1">
      <c r="A4938" s="2">
        <v>202106</v>
      </c>
      <c r="B4938" s="3">
        <v>44349</v>
      </c>
      <c r="C4938" s="2" t="s">
        <v>2262</v>
      </c>
      <c r="D4938" s="2" t="s">
        <v>1403</v>
      </c>
      <c r="E4938" s="2">
        <v>53.69</v>
      </c>
      <c r="F4938" s="2" t="e">
        <f>IF(Table2[[#This Row],[Manual Cat Value]]="",VLOOKUP(Table2[[#This Row],[Description]],'Actuals Lookup'!D:F,3,0),Table2[[#This Row],[Manual Cat Value]])</f>
        <v>#N/A</v>
      </c>
      <c r="J4938" s="2">
        <v>53.69</v>
      </c>
      <c r="K4938" s="2" t="b">
        <v>0</v>
      </c>
      <c r="L4938" s="2"/>
      <c r="M4938" s="2"/>
      <c r="N4938" s="4" t="s">
        <v>2259</v>
      </c>
      <c r="O4938" s="4" t="str">
        <f>LEFT(Table2[[#This Row],[Description]],75)</f>
        <v>Parley Lake Winery, LLP</v>
      </c>
      <c r="P4938" s="2" t="s">
        <v>2281</v>
      </c>
    </row>
    <row r="4939" spans="1:16" hidden="1">
      <c r="A4939" s="2">
        <v>202106</v>
      </c>
      <c r="B4939" s="3">
        <v>44349</v>
      </c>
      <c r="C4939" s="2" t="s">
        <v>2317</v>
      </c>
      <c r="D4939" s="2" t="s">
        <v>2130</v>
      </c>
      <c r="E4939" s="2">
        <v>27.01</v>
      </c>
      <c r="F4939" s="2" t="e">
        <f>IF(Table2[[#This Row],[Manual Cat Value]]="",VLOOKUP(Table2[[#This Row],[Description]],'Actuals Lookup'!D:F,3,0),Table2[[#This Row],[Manual Cat Value]])</f>
        <v>#N/A</v>
      </c>
      <c r="J4939" s="2">
        <v>27.01</v>
      </c>
      <c r="K4939" s="2" t="b">
        <v>0</v>
      </c>
      <c r="L4939" s="2"/>
      <c r="M4939" s="2"/>
      <c r="N4939" s="4" t="s">
        <v>2259</v>
      </c>
      <c r="O4939" s="4" t="str">
        <f>LEFT(Table2[[#This Row],[Description]],75)</f>
        <v>VISA INC CLASS A</v>
      </c>
      <c r="P4939" s="2" t="s">
        <v>2423</v>
      </c>
    </row>
    <row r="4940" spans="1:16" hidden="1">
      <c r="A4940" s="2">
        <v>202106</v>
      </c>
      <c r="B4940" s="3">
        <v>44350</v>
      </c>
      <c r="C4940" s="2" t="s">
        <v>2265</v>
      </c>
      <c r="D4940" s="2" t="s">
        <v>684</v>
      </c>
      <c r="E4940" s="2">
        <v>33.85</v>
      </c>
      <c r="F4940" s="2" t="str">
        <f>IF(Table2[[#This Row],[Manual Cat Value]]="",VLOOKUP(Table2[[#This Row],[Description]],'Actuals Lookup'!D:F,3,0),Table2[[#This Row],[Manual Cat Value]])</f>
        <v>Groceries</v>
      </c>
      <c r="J4940" s="2">
        <v>33.85</v>
      </c>
      <c r="K4940" s="2" t="b">
        <v>0</v>
      </c>
      <c r="L4940" s="2"/>
      <c r="M4940" s="2"/>
      <c r="N4940" s="4" t="s">
        <v>2259</v>
      </c>
      <c r="O4940" s="4" t="str">
        <f>LEFT(Table2[[#This Row],[Description]],75)</f>
        <v>Cub Foods</v>
      </c>
      <c r="P4940" s="2" t="s">
        <v>2370</v>
      </c>
    </row>
    <row r="4941" spans="1:16" hidden="1">
      <c r="A4941" s="2">
        <v>202106</v>
      </c>
      <c r="B4941" s="3">
        <v>44350</v>
      </c>
      <c r="C4941" s="2" t="s">
        <v>2262</v>
      </c>
      <c r="D4941" s="2" t="s">
        <v>808</v>
      </c>
      <c r="E4941" s="2">
        <v>53</v>
      </c>
      <c r="F4941" s="2" t="str">
        <f>IF(Table2[[#This Row],[Manual Cat Value]]="",VLOOKUP(Table2[[#This Row],[Description]],'Actuals Lookup'!D:F,3,0),Table2[[#This Row],[Manual Cat Value]])</f>
        <v>Misc</v>
      </c>
      <c r="J4941" s="2">
        <v>53</v>
      </c>
      <c r="K4941" s="2" t="b">
        <v>0</v>
      </c>
      <c r="L4941" s="2"/>
      <c r="M4941" s="2"/>
      <c r="N4941" s="4" t="s">
        <v>2259</v>
      </c>
      <c r="O4941" s="4" t="str">
        <f>LEFT(Table2[[#This Row],[Description]],75)</f>
        <v>Elite Nails</v>
      </c>
      <c r="P4941" s="2" t="s">
        <v>2487</v>
      </c>
    </row>
    <row r="4942" spans="1:16" hidden="1">
      <c r="A4942" s="2">
        <v>202106</v>
      </c>
      <c r="B4942" s="3">
        <v>44350</v>
      </c>
      <c r="C4942" s="2" t="s">
        <v>2262</v>
      </c>
      <c r="D4942" s="2" t="s">
        <v>927</v>
      </c>
      <c r="E4942" s="2">
        <v>18</v>
      </c>
      <c r="F4942" s="2" t="e">
        <f>IF(Table2[[#This Row],[Manual Cat Value]]="",VLOOKUP(Table2[[#This Row],[Description]],'Actuals Lookup'!D:F,3,0),Table2[[#This Row],[Manual Cat Value]])</f>
        <v>#N/A</v>
      </c>
      <c r="J4942" s="2">
        <v>18</v>
      </c>
      <c r="K4942" s="2" t="b">
        <v>0</v>
      </c>
      <c r="L4942" s="2"/>
      <c r="M4942" s="2"/>
      <c r="N4942" s="4" t="s">
        <v>2259</v>
      </c>
      <c r="O4942" s="4" t="str">
        <f>LEFT(Table2[[#This Row],[Description]],75)</f>
        <v>HBRSUBSCRIPTION XX0886 MA HBRSUBSCRIPTION 8009880886 MA</v>
      </c>
      <c r="P4942" s="2" t="s">
        <v>2281</v>
      </c>
    </row>
    <row r="4943" spans="1:16" hidden="1">
      <c r="A4943" s="2">
        <v>202106</v>
      </c>
      <c r="B4943" s="3">
        <v>44351</v>
      </c>
      <c r="C4943" s="2" t="s">
        <v>2262</v>
      </c>
      <c r="D4943" s="2" t="s">
        <v>648</v>
      </c>
      <c r="E4943" s="2">
        <v>249.75</v>
      </c>
      <c r="F4943" s="2" t="str">
        <f>IF(Table2[[#This Row],[Manual Cat Value]]="",VLOOKUP(Table2[[#This Row],[Description]],'Actuals Lookup'!D:F,3,0),Table2[[#This Row],[Manual Cat Value]])</f>
        <v>Groceries</v>
      </c>
      <c r="J4943" s="2">
        <v>249.75</v>
      </c>
      <c r="K4943" s="2" t="b">
        <v>0</v>
      </c>
      <c r="L4943" s="2"/>
      <c r="M4943" s="2"/>
      <c r="N4943" s="4" t="s">
        <v>2259</v>
      </c>
      <c r="O4943" s="4" t="str">
        <f>LEFT(Table2[[#This Row],[Description]],75)</f>
        <v>Costco</v>
      </c>
      <c r="P4943" s="2" t="s">
        <v>2409</v>
      </c>
    </row>
    <row r="4944" spans="1:16" hidden="1">
      <c r="A4944" s="2">
        <v>202106</v>
      </c>
      <c r="B4944" s="3">
        <v>44351</v>
      </c>
      <c r="C4944" s="2" t="s">
        <v>2262</v>
      </c>
      <c r="D4944" s="2" t="s">
        <v>684</v>
      </c>
      <c r="E4944" s="2">
        <v>104.84</v>
      </c>
      <c r="F4944" s="2" t="str">
        <f>IF(Table2[[#This Row],[Manual Cat Value]]="",VLOOKUP(Table2[[#This Row],[Description]],'Actuals Lookup'!D:F,3,0),Table2[[#This Row],[Manual Cat Value]])</f>
        <v>Groceries</v>
      </c>
      <c r="J4944" s="2">
        <v>104.84</v>
      </c>
      <c r="K4944" s="2" t="b">
        <v>0</v>
      </c>
      <c r="L4944" s="2"/>
      <c r="M4944" s="2"/>
      <c r="N4944" s="4" t="s">
        <v>2259</v>
      </c>
      <c r="O4944" s="4" t="str">
        <f>LEFT(Table2[[#This Row],[Description]],75)</f>
        <v>Cub Foods</v>
      </c>
      <c r="P4944" s="2" t="s">
        <v>2370</v>
      </c>
    </row>
    <row r="4945" spans="1:16" hidden="1">
      <c r="A4945" s="2">
        <v>202106</v>
      </c>
      <c r="B4945" s="3">
        <v>44351</v>
      </c>
      <c r="C4945" s="2" t="s">
        <v>2262</v>
      </c>
      <c r="D4945" s="2" t="s">
        <v>782</v>
      </c>
      <c r="E4945" s="2">
        <v>3.23</v>
      </c>
      <c r="F4945" s="2" t="str">
        <f>IF(Table2[[#This Row],[Manual Cat Value]]="",VLOOKUP(Table2[[#This Row],[Description]],'Actuals Lookup'!D:F,3,0),Table2[[#This Row],[Manual Cat Value]])</f>
        <v>Groceries</v>
      </c>
      <c r="J4945" s="2">
        <v>3.23</v>
      </c>
      <c r="K4945" s="2" t="b">
        <v>0</v>
      </c>
      <c r="L4945" s="2"/>
      <c r="M4945" s="2"/>
      <c r="N4945" s="4" t="s">
        <v>2259</v>
      </c>
      <c r="O4945" s="4" t="str">
        <f>LEFT(Table2[[#This Row],[Description]],75)</f>
        <v>Dollar Tree</v>
      </c>
      <c r="P4945" s="2" t="s">
        <v>2281</v>
      </c>
    </row>
    <row r="4946" spans="1:16" hidden="1">
      <c r="A4946" s="2">
        <v>202106</v>
      </c>
      <c r="B4946" s="3">
        <v>44351</v>
      </c>
      <c r="C4946" s="2" t="s">
        <v>2258</v>
      </c>
      <c r="D4946" s="2" t="s">
        <v>1083</v>
      </c>
      <c r="E4946" s="2">
        <v>37.58</v>
      </c>
      <c r="F4946" s="2" t="str">
        <f>IF(Table2[[#This Row],[Manual Cat Value]]="",VLOOKUP(Table2[[#This Row],[Description]],'Actuals Lookup'!D:F,3,0),Table2[[#This Row],[Manual Cat Value]])</f>
        <v>Transportation</v>
      </c>
      <c r="J4946" s="2">
        <v>37.58</v>
      </c>
      <c r="K4946" s="2" t="b">
        <v>0</v>
      </c>
      <c r="L4946" s="2"/>
      <c r="M4946" s="2"/>
      <c r="N4946" s="4" t="s">
        <v>2259</v>
      </c>
      <c r="O4946" s="4" t="str">
        <f>LEFT(Table2[[#This Row],[Description]],75)</f>
        <v>Kwik Trip</v>
      </c>
      <c r="P4946" s="2" t="s">
        <v>2509</v>
      </c>
    </row>
    <row r="4947" spans="1:16" hidden="1">
      <c r="A4947" s="2">
        <v>202106</v>
      </c>
      <c r="B4947" s="3">
        <v>44351</v>
      </c>
      <c r="C4947" s="2" t="s">
        <v>2447</v>
      </c>
      <c r="D4947" s="2" t="s">
        <v>1083</v>
      </c>
      <c r="E4947" s="2">
        <v>37.58</v>
      </c>
      <c r="F4947" s="2" t="str">
        <f>IF(Table2[[#This Row],[Manual Cat Value]]="",VLOOKUP(Table2[[#This Row],[Description]],'Actuals Lookup'!D:F,3,0),Table2[[#This Row],[Manual Cat Value]])</f>
        <v>Transportation</v>
      </c>
      <c r="J4947" s="2">
        <v>37.58</v>
      </c>
      <c r="K4947" s="2" t="b">
        <v>0</v>
      </c>
      <c r="L4947" s="2"/>
      <c r="M4947" s="2"/>
      <c r="N4947" s="4" t="s">
        <v>2259</v>
      </c>
      <c r="O4947" s="4" t="str">
        <f>LEFT(Table2[[#This Row],[Description]],75)</f>
        <v>Kwik Trip</v>
      </c>
      <c r="P4947" s="2" t="s">
        <v>2509</v>
      </c>
    </row>
    <row r="4948" spans="1:16" hidden="1">
      <c r="A4948" s="2">
        <v>202106</v>
      </c>
      <c r="B4948" s="3">
        <v>44351</v>
      </c>
      <c r="C4948" s="2" t="s">
        <v>2262</v>
      </c>
      <c r="D4948" s="2" t="s">
        <v>1731</v>
      </c>
      <c r="E4948" s="2">
        <v>51.88</v>
      </c>
      <c r="F4948" s="2" t="e">
        <f>IF(Table2[[#This Row],[Manual Cat Value]]="",VLOOKUP(Table2[[#This Row],[Description]],'Actuals Lookup'!D:F,3,0),Table2[[#This Row],[Manual Cat Value]])</f>
        <v>#N/A</v>
      </c>
      <c r="J4948" s="2">
        <v>51.88</v>
      </c>
      <c r="K4948" s="2" t="b">
        <v>0</v>
      </c>
      <c r="L4948" s="2"/>
      <c r="M4948" s="2"/>
      <c r="N4948" s="4" t="s">
        <v>2259</v>
      </c>
      <c r="O4948" s="4" t="str">
        <f>LEFT(Table2[[#This Row],[Description]],75)</f>
        <v>SQ GOGLOW EDINA MN</v>
      </c>
      <c r="P4948" s="2" t="s">
        <v>2281</v>
      </c>
    </row>
    <row r="4949" spans="1:16" hidden="1">
      <c r="A4949" s="2">
        <v>202106</v>
      </c>
      <c r="B4949" s="3">
        <v>44351</v>
      </c>
      <c r="C4949" s="2" t="s">
        <v>2262</v>
      </c>
      <c r="D4949" s="2" t="s">
        <v>1859</v>
      </c>
      <c r="E4949" s="2">
        <v>12.75</v>
      </c>
      <c r="F4949" s="2" t="e">
        <f>IF(Table2[[#This Row],[Manual Cat Value]]="",VLOOKUP(Table2[[#This Row],[Description]],'Actuals Lookup'!D:F,3,0),Table2[[#This Row],[Manual Cat Value]])</f>
        <v>#N/A</v>
      </c>
      <c r="J4949" s="2">
        <v>12.75</v>
      </c>
      <c r="K4949" s="2" t="b">
        <v>0</v>
      </c>
      <c r="L4949" s="2"/>
      <c r="M4949" s="2"/>
      <c r="N4949" s="4" t="s">
        <v>2259</v>
      </c>
      <c r="O4949" s="4" t="str">
        <f>LEFT(Table2[[#This Row],[Description]],75)</f>
        <v>The UPS Store</v>
      </c>
      <c r="P4949" s="2" t="s">
        <v>2281</v>
      </c>
    </row>
    <row r="4950" spans="1:16" hidden="1">
      <c r="A4950" s="2">
        <v>202106</v>
      </c>
      <c r="B4950" s="3">
        <v>44351</v>
      </c>
      <c r="C4950" s="2" t="s">
        <v>2262</v>
      </c>
      <c r="D4950" s="2" t="s">
        <v>2142</v>
      </c>
      <c r="E4950" s="2">
        <v>279.54000000000002</v>
      </c>
      <c r="F4950" s="2" t="str">
        <f>IF(Table2[[#This Row],[Manual Cat Value]]="",VLOOKUP(Table2[[#This Row],[Description]],'Actuals Lookup'!D:F,3,0),Table2[[#This Row],[Manual Cat Value]])</f>
        <v>House</v>
      </c>
      <c r="J4950" s="2">
        <v>279.54000000000002</v>
      </c>
      <c r="K4950" s="2" t="b">
        <v>0</v>
      </c>
      <c r="L4950" s="2"/>
      <c r="M4950" s="2"/>
      <c r="N4950" s="4" t="s">
        <v>2259</v>
      </c>
      <c r="O4950" s="4" t="str">
        <f>LEFT(Table2[[#This Row],[Description]],75)</f>
        <v>Wayfair</v>
      </c>
      <c r="P4950" s="2" t="s">
        <v>2427</v>
      </c>
    </row>
    <row r="4951" spans="1:16" hidden="1">
      <c r="A4951" s="2">
        <v>202106</v>
      </c>
      <c r="B4951" s="3">
        <v>44352</v>
      </c>
      <c r="C4951" s="2" t="s">
        <v>2262</v>
      </c>
      <c r="D4951" s="2" t="s">
        <v>674</v>
      </c>
      <c r="E4951" s="2">
        <v>-2417.86</v>
      </c>
      <c r="F4951" s="2" t="e">
        <f>IF(Table2[[#This Row],[Manual Cat Value]]="",VLOOKUP(Table2[[#This Row],[Description]],'Actuals Lookup'!D:F,3,0),Table2[[#This Row],[Manual Cat Value]])</f>
        <v>#N/A</v>
      </c>
      <c r="J4951" s="2">
        <v>2417.86</v>
      </c>
      <c r="K4951" s="2" t="b">
        <v>0</v>
      </c>
      <c r="L4951" s="2"/>
      <c r="M4951" s="2"/>
      <c r="N4951" s="4" t="s">
        <v>2273</v>
      </c>
      <c r="O4951" s="4" t="str">
        <f>LEFT(Table2[[#This Row],[Description]],75)</f>
        <v>Credit Card Payment Received PAYMENT THANK YOU</v>
      </c>
      <c r="P4951" s="2" t="s">
        <v>2391</v>
      </c>
    </row>
    <row r="4952" spans="1:16" hidden="1">
      <c r="A4952" s="2">
        <v>202106</v>
      </c>
      <c r="B4952" s="3">
        <v>44352</v>
      </c>
      <c r="C4952" s="2" t="s">
        <v>2265</v>
      </c>
      <c r="D4952" s="2" t="s">
        <v>2203</v>
      </c>
      <c r="E4952" s="2">
        <v>2417.86</v>
      </c>
      <c r="F4952" s="2" t="e">
        <f>IF(Table2[[#This Row],[Manual Cat Value]]="",VLOOKUP(Table2[[#This Row],[Description]],'Actuals Lookup'!D:F,3,0),Table2[[#This Row],[Manual Cat Value]])</f>
        <v>#N/A</v>
      </c>
      <c r="J4952" s="2">
        <v>2417.86</v>
      </c>
      <c r="K4952" s="2" t="b">
        <v>0</v>
      </c>
      <c r="L4952" s="2"/>
      <c r="M4952" s="2"/>
      <c r="N4952" s="4" t="s">
        <v>2259</v>
      </c>
      <c r="O4952" s="4" t="str">
        <f>LEFT(Table2[[#This Row],[Description]],75)</f>
        <v>Withdrawal Home payment to card XX91 Withdrawal Home payment to card 979181</v>
      </c>
      <c r="P4952" s="2" t="s">
        <v>2349</v>
      </c>
    </row>
    <row r="4953" spans="1:16" hidden="1">
      <c r="A4953" s="2">
        <v>202106</v>
      </c>
      <c r="B4953" s="3">
        <v>44353</v>
      </c>
      <c r="C4953" s="2" t="s">
        <v>2262</v>
      </c>
      <c r="D4953" s="2" t="s">
        <v>874</v>
      </c>
      <c r="E4953" s="2">
        <v>142.93</v>
      </c>
      <c r="F4953" s="2" t="e">
        <f>IF(Table2[[#This Row],[Manual Cat Value]]="",VLOOKUP(Table2[[#This Row],[Description]],'Actuals Lookup'!D:F,3,0),Table2[[#This Row],[Manual Cat Value]])</f>
        <v>#N/A</v>
      </c>
      <c r="J4953" s="2">
        <v>142.93</v>
      </c>
      <c r="K4953" s="2" t="b">
        <v>0</v>
      </c>
      <c r="L4953" s="2"/>
      <c r="M4953" s="2"/>
      <c r="N4953" s="4" t="s">
        <v>2259</v>
      </c>
      <c r="O4953" s="4" t="str">
        <f>LEFT(Table2[[#This Row],[Description]],75)</f>
        <v>FSPSAVAGE JUMP XX8517 MN FSPSAVAGE JUMP 6126058517 MN</v>
      </c>
      <c r="P4953" s="2" t="s">
        <v>2281</v>
      </c>
    </row>
    <row r="4954" spans="1:16" hidden="1">
      <c r="A4954" s="2">
        <v>202106</v>
      </c>
      <c r="B4954" s="3">
        <v>44353</v>
      </c>
      <c r="C4954" s="2" t="s">
        <v>2262</v>
      </c>
      <c r="D4954" s="2" t="s">
        <v>1407</v>
      </c>
      <c r="E4954" s="2">
        <v>10.17</v>
      </c>
      <c r="F4954" s="2" t="e">
        <f>IF(Table2[[#This Row],[Manual Cat Value]]="",VLOOKUP(Table2[[#This Row],[Description]],'Actuals Lookup'!D:F,3,0),Table2[[#This Row],[Manual Cat Value]])</f>
        <v>#N/A</v>
      </c>
      <c r="J4954" s="2">
        <v>10.17</v>
      </c>
      <c r="K4954" s="2" t="b">
        <v>0</v>
      </c>
      <c r="L4954" s="2"/>
      <c r="M4954" s="2"/>
      <c r="N4954" s="4" t="s">
        <v>2259</v>
      </c>
      <c r="O4954" s="4" t="str">
        <f>LEFT(Table2[[#This Row],[Description]],75)</f>
        <v>Party City</v>
      </c>
      <c r="P4954" s="2" t="s">
        <v>2378</v>
      </c>
    </row>
    <row r="4955" spans="1:16" hidden="1">
      <c r="A4955" s="2">
        <v>202106</v>
      </c>
      <c r="B4955" s="3">
        <v>44353</v>
      </c>
      <c r="C4955" s="2" t="s">
        <v>2262</v>
      </c>
      <c r="D4955" s="2" t="s">
        <v>1658</v>
      </c>
      <c r="E4955" s="2">
        <v>19.329999999999998</v>
      </c>
      <c r="F4955" s="2" t="e">
        <f>IF(Table2[[#This Row],[Manual Cat Value]]="",VLOOKUP(Table2[[#This Row],[Description]],'Actuals Lookup'!D:F,3,0),Table2[[#This Row],[Manual Cat Value]])</f>
        <v>#N/A</v>
      </c>
      <c r="J4955" s="2">
        <v>19.329999999999998</v>
      </c>
      <c r="K4955" s="2" t="b">
        <v>0</v>
      </c>
      <c r="L4955" s="2"/>
      <c r="M4955" s="2"/>
      <c r="N4955" s="4" t="s">
        <v>2259</v>
      </c>
      <c r="O4955" s="4" t="str">
        <f>LEFT(Table2[[#This Row],[Description]],75)</f>
        <v>Shorewood Liquor Inc</v>
      </c>
      <c r="P4955" s="2" t="s">
        <v>2281</v>
      </c>
    </row>
    <row r="4956" spans="1:16" hidden="1">
      <c r="A4956" s="2">
        <v>202106</v>
      </c>
      <c r="B4956" s="3">
        <v>44353</v>
      </c>
      <c r="C4956" s="2" t="s">
        <v>2262</v>
      </c>
      <c r="D4956" s="2" t="s">
        <v>1688</v>
      </c>
      <c r="E4956" s="2">
        <v>194.21</v>
      </c>
      <c r="F4956" s="2" t="e">
        <f>IF(Table2[[#This Row],[Manual Cat Value]]="",VLOOKUP(Table2[[#This Row],[Description]],'Actuals Lookup'!D:F,3,0),Table2[[#This Row],[Manual Cat Value]])</f>
        <v>#N/A</v>
      </c>
      <c r="J4956" s="2">
        <v>194.21</v>
      </c>
      <c r="K4956" s="2" t="b">
        <v>0</v>
      </c>
      <c r="L4956" s="2"/>
      <c r="M4956" s="2"/>
      <c r="N4956" s="4" t="s">
        <v>2259</v>
      </c>
      <c r="O4956" s="4" t="str">
        <f>LEFT(Table2[[#This Row],[Description]],75)</f>
        <v>SP FREE FLY APPAREL HTTPSFREEFL SP FREE FLY APPAREL HTTPSFREEFLYASC</v>
      </c>
      <c r="P4956" s="2" t="s">
        <v>2281</v>
      </c>
    </row>
    <row r="4957" spans="1:16" hidden="1">
      <c r="A4957" s="2">
        <v>202106</v>
      </c>
      <c r="B4957" s="3">
        <v>44353</v>
      </c>
      <c r="C4957" s="2" t="s">
        <v>2262</v>
      </c>
      <c r="D4957" s="2" t="s">
        <v>1925</v>
      </c>
      <c r="E4957" s="2">
        <v>189</v>
      </c>
      <c r="F4957" s="2" t="str">
        <f>IF(Table2[[#This Row],[Manual Cat Value]]="",VLOOKUP(Table2[[#This Row],[Description]],'Actuals Lookup'!D:F,3,0),Table2[[#This Row],[Manual Cat Value]])</f>
        <v>Groceries</v>
      </c>
      <c r="J4957" s="2">
        <v>189</v>
      </c>
      <c r="K4957" s="2" t="b">
        <v>0</v>
      </c>
      <c r="L4957" s="2"/>
      <c r="M4957" s="2"/>
      <c r="N4957" s="4" t="s">
        <v>2259</v>
      </c>
      <c r="O4957" s="4" t="str">
        <f>LEFT(Table2[[#This Row],[Description]],75)</f>
        <v>Total Wine &amp; More</v>
      </c>
      <c r="P4957" s="2" t="s">
        <v>2281</v>
      </c>
    </row>
    <row r="4958" spans="1:16" hidden="1">
      <c r="A4958" s="2">
        <v>202106</v>
      </c>
      <c r="B4958" s="3">
        <v>44353</v>
      </c>
      <c r="C4958" s="2" t="s">
        <v>2262</v>
      </c>
      <c r="D4958" s="2" t="s">
        <v>2002</v>
      </c>
      <c r="E4958" s="2">
        <v>55.9</v>
      </c>
      <c r="F4958" s="2" t="e">
        <f>IF(Table2[[#This Row],[Manual Cat Value]]="",VLOOKUP(Table2[[#This Row],[Description]],'Actuals Lookup'!D:F,3,0),Table2[[#This Row],[Manual Cat Value]])</f>
        <v>#N/A</v>
      </c>
      <c r="J4958" s="2">
        <v>55.9</v>
      </c>
      <c r="K4958" s="2" t="b">
        <v>0</v>
      </c>
      <c r="L4958" s="2"/>
      <c r="M4958" s="2"/>
      <c r="N4958" s="4" t="s">
        <v>2259</v>
      </c>
      <c r="O4958" s="4" t="str">
        <f>LEFT(Table2[[#This Row],[Description]],75)</f>
        <v>True Value</v>
      </c>
      <c r="P4958" s="2" t="s">
        <v>2490</v>
      </c>
    </row>
    <row r="4959" spans="1:16" hidden="1">
      <c r="A4959" s="2">
        <v>202106</v>
      </c>
      <c r="B4959" s="3">
        <v>44354</v>
      </c>
      <c r="C4959" s="2" t="s">
        <v>2274</v>
      </c>
      <c r="D4959" s="2" t="s">
        <v>883</v>
      </c>
      <c r="E4959" s="2">
        <v>20</v>
      </c>
      <c r="F4959" s="2" t="e">
        <f>IF(Table2[[#This Row],[Manual Cat Value]]="",VLOOKUP(Table2[[#This Row],[Description]],'Actuals Lookup'!D:F,3,0),Table2[[#This Row],[Manual Cat Value]])</f>
        <v>#N/A</v>
      </c>
      <c r="J4959" s="2">
        <v>20</v>
      </c>
      <c r="K4959" s="2" t="b">
        <v>0</v>
      </c>
      <c r="L4959" s="2"/>
      <c r="M4959" s="2"/>
      <c r="N4959" s="4" t="s">
        <v>2259</v>
      </c>
      <c r="O4959" s="4" t="str">
        <f>LEFT(Table2[[#This Row],[Description]],75)</f>
        <v>Funds Transfer to Brokerage -9131</v>
      </c>
      <c r="P4959" s="2" t="s">
        <v>2281</v>
      </c>
    </row>
    <row r="4960" spans="1:16" hidden="1">
      <c r="A4960" s="2">
        <v>202106</v>
      </c>
      <c r="B4960" s="3">
        <v>44354</v>
      </c>
      <c r="C4960" s="2" t="s">
        <v>2265</v>
      </c>
      <c r="D4960" s="2" t="s">
        <v>1471</v>
      </c>
      <c r="E4960" s="2">
        <v>14.03</v>
      </c>
      <c r="F4960" s="2" t="str">
        <f>IF(Table2[[#This Row],[Manual Cat Value]]="",VLOOKUP(Table2[[#This Row],[Description]],'Actuals Lookup'!D:F,3,0),Table2[[#This Row],[Manual Cat Value]])</f>
        <v>Shopping</v>
      </c>
      <c r="J4960" s="2">
        <v>14.03</v>
      </c>
      <c r="K4960" s="2" t="b">
        <v>0</v>
      </c>
      <c r="L4960" s="2"/>
      <c r="M4960" s="2"/>
      <c r="N4960" s="4" t="s">
        <v>2259</v>
      </c>
      <c r="O4960" s="4" t="str">
        <f>LEFT(Table2[[#This Row],[Description]],75)</f>
        <v>PayPal</v>
      </c>
      <c r="P4960" s="2" t="s">
        <v>2322</v>
      </c>
    </row>
    <row r="4961" spans="1:16" hidden="1">
      <c r="A4961" s="2">
        <v>202106</v>
      </c>
      <c r="B4961" s="3">
        <v>44354</v>
      </c>
      <c r="C4961" s="2" t="s">
        <v>2265</v>
      </c>
      <c r="D4961" s="2" t="s">
        <v>1471</v>
      </c>
      <c r="E4961" s="2">
        <v>34.99</v>
      </c>
      <c r="F4961" s="2" t="str">
        <f>IF(Table2[[#This Row],[Manual Cat Value]]="",VLOOKUP(Table2[[#This Row],[Description]],'Actuals Lookup'!D:F,3,0),Table2[[#This Row],[Manual Cat Value]])</f>
        <v>Shopping</v>
      </c>
      <c r="J4961" s="2">
        <v>34.99</v>
      </c>
      <c r="K4961" s="2" t="b">
        <v>0</v>
      </c>
      <c r="L4961" s="2"/>
      <c r="M4961" s="2"/>
      <c r="N4961" s="4" t="s">
        <v>2259</v>
      </c>
      <c r="O4961" s="4" t="str">
        <f>LEFT(Table2[[#This Row],[Description]],75)</f>
        <v>PayPal</v>
      </c>
      <c r="P4961" s="2" t="s">
        <v>2322</v>
      </c>
    </row>
    <row r="4962" spans="1:16" hidden="1">
      <c r="A4962" s="2">
        <v>202106</v>
      </c>
      <c r="B4962" s="3">
        <v>44354</v>
      </c>
      <c r="C4962" s="2" t="s">
        <v>2265</v>
      </c>
      <c r="D4962" s="2" t="s">
        <v>1598</v>
      </c>
      <c r="E4962" s="2">
        <v>99.25</v>
      </c>
      <c r="F4962" s="2" t="e">
        <f>IF(Table2[[#This Row],[Manual Cat Value]]="",VLOOKUP(Table2[[#This Row],[Description]],'Actuals Lookup'!D:F,3,0),Table2[[#This Row],[Manual Cat Value]])</f>
        <v>#N/A</v>
      </c>
      <c r="J4962" s="2">
        <v>99.25</v>
      </c>
      <c r="K4962" s="2" t="b">
        <v>0</v>
      </c>
      <c r="L4962" s="2"/>
      <c r="M4962" s="2"/>
      <c r="N4962" s="4" t="s">
        <v>2259</v>
      </c>
      <c r="O4962" s="4" t="str">
        <f>LEFT(Table2[[#This Row],[Description]],75)</f>
        <v>River Services, Inc</v>
      </c>
      <c r="P4962" s="2" t="s">
        <v>2281</v>
      </c>
    </row>
    <row r="4963" spans="1:16" hidden="1">
      <c r="A4963" s="2">
        <v>202106</v>
      </c>
      <c r="B4963" s="3">
        <v>44354</v>
      </c>
      <c r="C4963" s="2" t="s">
        <v>2488</v>
      </c>
      <c r="D4963" s="2" t="s">
        <v>1949</v>
      </c>
      <c r="E4963" s="2">
        <v>-20</v>
      </c>
      <c r="F4963" s="2" t="e">
        <f>IF(Table2[[#This Row],[Manual Cat Value]]="",VLOOKUP(Table2[[#This Row],[Description]],'Actuals Lookup'!D:F,3,0),Table2[[#This Row],[Manual Cat Value]])</f>
        <v>#N/A</v>
      </c>
      <c r="J4963" s="2">
        <v>20</v>
      </c>
      <c r="K4963" s="2" t="b">
        <v>0</v>
      </c>
      <c r="L4963" s="2"/>
      <c r="M4963" s="2"/>
      <c r="N4963" s="4" t="s">
        <v>2273</v>
      </c>
      <c r="O4963" s="4" t="str">
        <f>LEFT(Table2[[#This Row],[Description]],75)</f>
        <v>TRANSFER FUNDS FROM SCHWAB BANK - 440020765184</v>
      </c>
      <c r="P4963" s="2" t="s">
        <v>2281</v>
      </c>
    </row>
    <row r="4964" spans="1:16" hidden="1">
      <c r="A4964" s="2">
        <v>202106</v>
      </c>
      <c r="B4964" s="3">
        <v>44355</v>
      </c>
      <c r="C4964" s="2" t="s">
        <v>2262</v>
      </c>
      <c r="D4964" s="2" t="s">
        <v>1557</v>
      </c>
      <c r="E4964" s="2">
        <v>372</v>
      </c>
      <c r="F4964" s="2" t="e">
        <f>IF(Table2[[#This Row],[Manual Cat Value]]="",VLOOKUP(Table2[[#This Row],[Description]],'Actuals Lookup'!D:F,3,0),Table2[[#This Row],[Manual Cat Value]])</f>
        <v>#N/A</v>
      </c>
      <c r="J4964" s="2">
        <v>372</v>
      </c>
      <c r="K4964" s="2" t="b">
        <v>0</v>
      </c>
      <c r="L4964" s="2"/>
      <c r="M4964" s="2"/>
      <c r="N4964" s="4" t="s">
        <v>2259</v>
      </c>
      <c r="O4964" s="4" t="str">
        <f>LEFT(Table2[[#This Row],[Description]],75)</f>
        <v>RED DRESS BOUTIQUE 7064258707 GA</v>
      </c>
      <c r="P4964" s="2" t="s">
        <v>2281</v>
      </c>
    </row>
    <row r="4965" spans="1:16" hidden="1">
      <c r="A4965" s="2">
        <v>202106</v>
      </c>
      <c r="B4965" s="3">
        <v>44355</v>
      </c>
      <c r="C4965" s="2" t="s">
        <v>2317</v>
      </c>
      <c r="D4965" s="2" t="s">
        <v>1635</v>
      </c>
      <c r="E4965" s="2">
        <v>200</v>
      </c>
      <c r="F4965" s="2" t="e">
        <f>IF(Table2[[#This Row],[Manual Cat Value]]="",VLOOKUP(Table2[[#This Row],[Description]],'Actuals Lookup'!D:F,3,0),Table2[[#This Row],[Manual Cat Value]])</f>
        <v>#N/A</v>
      </c>
      <c r="J4965" s="2">
        <v>200</v>
      </c>
      <c r="K4965" s="2" t="b">
        <v>0</v>
      </c>
      <c r="L4965" s="2"/>
      <c r="M4965" s="2"/>
      <c r="N4965" s="4" t="s">
        <v>2259</v>
      </c>
      <c r="O4965" s="4" t="str">
        <f>LEFT(Table2[[#This Row],[Description]],75)</f>
        <v>SCHWAB TOTAL STOCK MKT INDEX</v>
      </c>
      <c r="P4965" s="2" t="s">
        <v>2278</v>
      </c>
    </row>
    <row r="4966" spans="1:16" hidden="1">
      <c r="A4966" s="2">
        <v>202106</v>
      </c>
      <c r="B4966" s="3">
        <v>44356</v>
      </c>
      <c r="C4966" s="2" t="s">
        <v>2262</v>
      </c>
      <c r="D4966" s="2" t="s">
        <v>674</v>
      </c>
      <c r="E4966" s="2">
        <v>-983.54</v>
      </c>
      <c r="F4966" s="2" t="e">
        <f>IF(Table2[[#This Row],[Manual Cat Value]]="",VLOOKUP(Table2[[#This Row],[Description]],'Actuals Lookup'!D:F,3,0),Table2[[#This Row],[Manual Cat Value]])</f>
        <v>#N/A</v>
      </c>
      <c r="J4966" s="2">
        <v>983.54</v>
      </c>
      <c r="K4966" s="2" t="b">
        <v>0</v>
      </c>
      <c r="L4966" s="2"/>
      <c r="M4966" s="2"/>
      <c r="N4966" s="4" t="s">
        <v>2273</v>
      </c>
      <c r="O4966" s="4" t="str">
        <f>LEFT(Table2[[#This Row],[Description]],75)</f>
        <v>Credit Card Payment Received PAYMENT THANK YOU</v>
      </c>
      <c r="P4966" s="2" t="s">
        <v>2391</v>
      </c>
    </row>
    <row r="4967" spans="1:16" hidden="1">
      <c r="A4967" s="2">
        <v>202106</v>
      </c>
      <c r="B4967" s="3">
        <v>44356</v>
      </c>
      <c r="C4967" s="2" t="s">
        <v>2265</v>
      </c>
      <c r="D4967" s="2" t="s">
        <v>2203</v>
      </c>
      <c r="E4967" s="2">
        <v>983.54</v>
      </c>
      <c r="F4967" s="2" t="e">
        <f>IF(Table2[[#This Row],[Manual Cat Value]]="",VLOOKUP(Table2[[#This Row],[Description]],'Actuals Lookup'!D:F,3,0),Table2[[#This Row],[Manual Cat Value]])</f>
        <v>#N/A</v>
      </c>
      <c r="J4967" s="2">
        <v>983.54</v>
      </c>
      <c r="K4967" s="2" t="b">
        <v>0</v>
      </c>
      <c r="L4967" s="2"/>
      <c r="M4967" s="2"/>
      <c r="N4967" s="4" t="s">
        <v>2259</v>
      </c>
      <c r="O4967" s="4" t="str">
        <f>LEFT(Table2[[#This Row],[Description]],75)</f>
        <v>Withdrawal Home payment to card XX91 Withdrawal Home payment to card 979181</v>
      </c>
      <c r="P4967" s="2" t="s">
        <v>2349</v>
      </c>
    </row>
    <row r="4968" spans="1:16" hidden="1">
      <c r="A4968" s="2">
        <v>202106</v>
      </c>
      <c r="B4968" s="3">
        <v>44356</v>
      </c>
      <c r="C4968" s="2" t="s">
        <v>2258</v>
      </c>
      <c r="D4968" s="2" t="s">
        <v>38</v>
      </c>
      <c r="E4968" s="2">
        <v>91.51</v>
      </c>
      <c r="F4968" s="2" t="str">
        <f>IF(Table2[[#This Row],[Manual Cat Value]]="",VLOOKUP(Table2[[#This Row],[Description]],'Actuals Lookup'!D:F,3,0),Table2[[#This Row],[Manual Cat Value]])</f>
        <v>Amazon</v>
      </c>
      <c r="J4968" s="2">
        <v>91.51</v>
      </c>
      <c r="K4968" s="2" t="b">
        <v>0</v>
      </c>
      <c r="L4968" s="2"/>
      <c r="M4968" s="2"/>
      <c r="N4968" s="4" t="s">
        <v>2259</v>
      </c>
      <c r="O4968" s="4" t="str">
        <f>LEFT(Table2[[#This Row],[Description]],75)</f>
        <v>Amazon</v>
      </c>
      <c r="P4968" s="2" t="s">
        <v>2260</v>
      </c>
    </row>
    <row r="4969" spans="1:16" hidden="1">
      <c r="A4969" s="2">
        <v>202106</v>
      </c>
      <c r="B4969" s="3">
        <v>44356</v>
      </c>
      <c r="C4969" s="2" t="s">
        <v>2447</v>
      </c>
      <c r="D4969" s="2" t="s">
        <v>38</v>
      </c>
      <c r="E4969" s="2">
        <v>91.51</v>
      </c>
      <c r="F4969" s="2" t="str">
        <f>IF(Table2[[#This Row],[Manual Cat Value]]="",VLOOKUP(Table2[[#This Row],[Description]],'Actuals Lookup'!D:F,3,0),Table2[[#This Row],[Manual Cat Value]])</f>
        <v>Amazon</v>
      </c>
      <c r="J4969" s="2">
        <v>91.51</v>
      </c>
      <c r="K4969" s="2" t="b">
        <v>0</v>
      </c>
      <c r="L4969" s="2"/>
      <c r="M4969" s="2"/>
      <c r="N4969" s="4" t="s">
        <v>2259</v>
      </c>
      <c r="O4969" s="4" t="str">
        <f>LEFT(Table2[[#This Row],[Description]],75)</f>
        <v>Amazon</v>
      </c>
      <c r="P4969" s="2" t="s">
        <v>2260</v>
      </c>
    </row>
    <row r="4970" spans="1:16" hidden="1">
      <c r="A4970" s="2">
        <v>202106</v>
      </c>
      <c r="B4970" s="3">
        <v>44356</v>
      </c>
      <c r="C4970" s="2" t="s">
        <v>2265</v>
      </c>
      <c r="D4970" s="2" t="s">
        <v>708</v>
      </c>
      <c r="E4970" s="2">
        <v>-24963.16</v>
      </c>
      <c r="F4970" s="2" t="e">
        <f>IF(Table2[[#This Row],[Manual Cat Value]]="",VLOOKUP(Table2[[#This Row],[Description]],'Actuals Lookup'!D:F,3,0),Table2[[#This Row],[Manual Cat Value]])</f>
        <v>#N/A</v>
      </c>
      <c r="J4970" s="2">
        <v>24963.16</v>
      </c>
      <c r="K4970" s="2" t="b">
        <v>0</v>
      </c>
      <c r="L4970" s="2"/>
      <c r="M4970" s="2"/>
      <c r="N4970" s="4" t="s">
        <v>2273</v>
      </c>
      <c r="O4970" s="4" t="str">
        <f>LEFT(Table2[[#This Row],[Description]],75)</f>
        <v>Deposit by Check</v>
      </c>
      <c r="P4970" s="2" t="s">
        <v>2281</v>
      </c>
    </row>
    <row r="4971" spans="1:16" hidden="1">
      <c r="A4971" s="2">
        <v>202106</v>
      </c>
      <c r="B4971" s="3">
        <v>44356</v>
      </c>
      <c r="C4971" s="2" t="s">
        <v>2262</v>
      </c>
      <c r="D4971" s="2" t="s">
        <v>1845</v>
      </c>
      <c r="E4971" s="2">
        <v>41.93</v>
      </c>
      <c r="F4971" s="2" t="e">
        <f>IF(Table2[[#This Row],[Manual Cat Value]]="",VLOOKUP(Table2[[#This Row],[Description]],'Actuals Lookup'!D:F,3,0),Table2[[#This Row],[Manual Cat Value]])</f>
        <v>#N/A</v>
      </c>
      <c r="J4971" s="2">
        <v>41.93</v>
      </c>
      <c r="K4971" s="2" t="b">
        <v>0</v>
      </c>
      <c r="L4971" s="2"/>
      <c r="M4971" s="2"/>
      <c r="N4971" s="4" t="s">
        <v>2259</v>
      </c>
      <c r="O4971" s="4" t="str">
        <f>LEFT(Table2[[#This Row],[Description]],75)</f>
        <v>The Fletcher School LORD FLETCHERS SPRING PARK MN</v>
      </c>
      <c r="P4971" s="2" t="s">
        <v>2281</v>
      </c>
    </row>
    <row r="4972" spans="1:16" hidden="1">
      <c r="A4972" s="2">
        <v>202106</v>
      </c>
      <c r="B4972" s="3">
        <v>44357</v>
      </c>
      <c r="C4972" s="2" t="s">
        <v>2265</v>
      </c>
      <c r="D4972" s="2" t="s">
        <v>421</v>
      </c>
      <c r="E4972" s="2">
        <v>-2168.13</v>
      </c>
      <c r="F4972" s="2" t="e">
        <f>IF(Table2[[#This Row],[Manual Cat Value]]="",VLOOKUP(Table2[[#This Row],[Description]],'Actuals Lookup'!D:F,3,0),Table2[[#This Row],[Manual Cat Value]])</f>
        <v>#N/A</v>
      </c>
      <c r="J4972" s="2">
        <v>2168.13</v>
      </c>
      <c r="K4972" s="2" t="b">
        <v>0</v>
      </c>
      <c r="L4972" s="2"/>
      <c r="M4972" s="2"/>
      <c r="N4972" s="4" t="s">
        <v>2273</v>
      </c>
      <c r="O4972" s="4" t="str">
        <f>LEFT(Table2[[#This Row],[Description]],75)</f>
        <v>Cargill Inc Deposit CARGILL INCORPOR TYPE DIRECT DEP ID CO CARGILL INCORPOR</v>
      </c>
      <c r="P4972" s="2" t="s">
        <v>2545</v>
      </c>
    </row>
    <row r="4973" spans="1:16" hidden="1">
      <c r="A4973" s="2">
        <v>202106</v>
      </c>
      <c r="B4973" s="3">
        <v>44357</v>
      </c>
      <c r="C4973" s="2" t="s">
        <v>2258</v>
      </c>
      <c r="D4973" s="2" t="s">
        <v>506</v>
      </c>
      <c r="E4973" s="2">
        <v>45</v>
      </c>
      <c r="F4973" s="2" t="str">
        <f>IF(Table2[[#This Row],[Manual Cat Value]]="",VLOOKUP(Table2[[#This Row],[Description]],'Actuals Lookup'!D:F,3,0),Table2[[#This Row],[Manual Cat Value]])</f>
        <v>Utilities</v>
      </c>
      <c r="J4973" s="2">
        <v>45</v>
      </c>
      <c r="K4973" s="2" t="b">
        <v>0</v>
      </c>
      <c r="L4973" s="2"/>
      <c r="M4973" s="2"/>
      <c r="N4973" s="4" t="s">
        <v>2259</v>
      </c>
      <c r="O4973" s="4" t="str">
        <f>LEFT(Table2[[#This Row],[Description]],75)</f>
        <v>CenturyLink</v>
      </c>
      <c r="P4973" s="2" t="s">
        <v>2408</v>
      </c>
    </row>
    <row r="4974" spans="1:16" hidden="1">
      <c r="A4974" s="2">
        <v>202106</v>
      </c>
      <c r="B4974" s="3">
        <v>44357</v>
      </c>
      <c r="C4974" s="2" t="s">
        <v>2447</v>
      </c>
      <c r="D4974" s="2" t="s">
        <v>506</v>
      </c>
      <c r="E4974" s="2">
        <v>45</v>
      </c>
      <c r="F4974" s="2" t="str">
        <f>IF(Table2[[#This Row],[Manual Cat Value]]="",VLOOKUP(Table2[[#This Row],[Description]],'Actuals Lookup'!D:F,3,0),Table2[[#This Row],[Manual Cat Value]])</f>
        <v>Utilities</v>
      </c>
      <c r="J4974" s="2">
        <v>45</v>
      </c>
      <c r="K4974" s="2" t="b">
        <v>0</v>
      </c>
      <c r="L4974" s="2"/>
      <c r="M4974" s="2"/>
      <c r="N4974" s="4" t="s">
        <v>2259</v>
      </c>
      <c r="O4974" s="4" t="str">
        <f>LEFT(Table2[[#This Row],[Description]],75)</f>
        <v>CenturyLink</v>
      </c>
      <c r="P4974" s="2" t="s">
        <v>2408</v>
      </c>
    </row>
    <row r="4975" spans="1:16" hidden="1">
      <c r="A4975" s="2">
        <v>202106</v>
      </c>
      <c r="B4975" s="3">
        <v>44357</v>
      </c>
      <c r="C4975" s="2" t="s">
        <v>2317</v>
      </c>
      <c r="D4975" s="2" t="s">
        <v>537</v>
      </c>
      <c r="E4975" s="2">
        <v>-61.96</v>
      </c>
      <c r="F4975" s="2" t="e">
        <f>IF(Table2[[#This Row],[Manual Cat Value]]="",VLOOKUP(Table2[[#This Row],[Description]],'Actuals Lookup'!D:F,3,0),Table2[[#This Row],[Manual Cat Value]])</f>
        <v>#N/A</v>
      </c>
      <c r="J4975" s="2">
        <v>61.96</v>
      </c>
      <c r="K4975" s="2" t="b">
        <v>0</v>
      </c>
      <c r="L4975" s="2"/>
      <c r="M4975" s="2"/>
      <c r="N4975" s="4" t="s">
        <v>2273</v>
      </c>
      <c r="O4975" s="4" t="str">
        <f>LEFT(Table2[[#This Row],[Description]],75)</f>
        <v>CHEVRON CORP</v>
      </c>
      <c r="P4975" s="2" t="s">
        <v>2430</v>
      </c>
    </row>
    <row r="4976" spans="1:16" hidden="1">
      <c r="A4976" s="2">
        <v>202106</v>
      </c>
      <c r="B4976" s="3">
        <v>44357</v>
      </c>
      <c r="C4976" s="2" t="s">
        <v>2262</v>
      </c>
      <c r="D4976" s="2" t="s">
        <v>838</v>
      </c>
      <c r="E4976" s="2">
        <v>29.55</v>
      </c>
      <c r="F4976" s="2" t="e">
        <f>IF(Table2[[#This Row],[Manual Cat Value]]="",VLOOKUP(Table2[[#This Row],[Description]],'Actuals Lookup'!D:F,3,0),Table2[[#This Row],[Manual Cat Value]])</f>
        <v>#N/A</v>
      </c>
      <c r="J4976" s="2">
        <v>29.55</v>
      </c>
      <c r="K4976" s="2" t="b">
        <v>0</v>
      </c>
      <c r="L4976" s="2"/>
      <c r="M4976" s="2"/>
      <c r="N4976" s="4" t="s">
        <v>2259</v>
      </c>
      <c r="O4976" s="4" t="str">
        <f>LEFT(Table2[[#This Row],[Description]],75)</f>
        <v>Federal Express</v>
      </c>
      <c r="P4976" s="2" t="s">
        <v>2281</v>
      </c>
    </row>
    <row r="4977" spans="1:16" hidden="1">
      <c r="A4977" s="2">
        <v>202106</v>
      </c>
      <c r="B4977" s="3">
        <v>44357</v>
      </c>
      <c r="C4977" s="2" t="s">
        <v>2265</v>
      </c>
      <c r="D4977" s="2" t="s">
        <v>1196</v>
      </c>
      <c r="E4977" s="2">
        <v>425</v>
      </c>
      <c r="F4977" s="2" t="e">
        <f>IF(Table2[[#This Row],[Manual Cat Value]]="",VLOOKUP(Table2[[#This Row],[Description]],'Actuals Lookup'!D:F,3,0),Table2[[#This Row],[Manual Cat Value]])</f>
        <v>#N/A</v>
      </c>
      <c r="J4977" s="2">
        <v>425</v>
      </c>
      <c r="K4977" s="2" t="b">
        <v>0</v>
      </c>
      <c r="L4977" s="2"/>
      <c r="M4977" s="2"/>
      <c r="N4977" s="4" t="s">
        <v>2259</v>
      </c>
      <c r="O4977" s="4" t="str">
        <f>LEFT(Table2[[#This Row],[Description]],75)</f>
        <v>MHCHILDCARELLC TYPE DUES ID CO M MHCHILDCARELLC TYPE DUES ID CO MHCHILDCARE</v>
      </c>
      <c r="P4977" s="2" t="s">
        <v>2497</v>
      </c>
    </row>
    <row r="4978" spans="1:16" hidden="1">
      <c r="A4978" s="2">
        <v>202106</v>
      </c>
      <c r="B4978" s="3">
        <v>44357</v>
      </c>
      <c r="C4978" s="2" t="s">
        <v>2262</v>
      </c>
      <c r="D4978" s="2" t="s">
        <v>1773</v>
      </c>
      <c r="E4978" s="2">
        <v>15</v>
      </c>
      <c r="F4978" s="2" t="str">
        <f>IF(Table2[[#This Row],[Manual Cat Value]]="",VLOOKUP(Table2[[#This Row],[Description]],'Actuals Lookup'!D:F,3,0),Table2[[#This Row],[Manual Cat Value]])</f>
        <v>Restaurants</v>
      </c>
      <c r="J4978" s="2">
        <v>15</v>
      </c>
      <c r="K4978" s="2" t="b">
        <v>0</v>
      </c>
      <c r="L4978" s="2"/>
      <c r="M4978" s="2"/>
      <c r="N4978" s="4" t="s">
        <v>2259</v>
      </c>
      <c r="O4978" s="4" t="str">
        <f>LEFT(Table2[[#This Row],[Description]],75)</f>
        <v>Starbucks</v>
      </c>
      <c r="P4978" s="2" t="s">
        <v>2454</v>
      </c>
    </row>
    <row r="4979" spans="1:16" hidden="1">
      <c r="A4979" s="2">
        <v>202106</v>
      </c>
      <c r="B4979" s="3">
        <v>44357</v>
      </c>
      <c r="C4979" s="2" t="s">
        <v>2262</v>
      </c>
      <c r="D4979" s="2" t="s">
        <v>2038</v>
      </c>
      <c r="E4979" s="2">
        <v>63.9</v>
      </c>
      <c r="F4979" s="2" t="e">
        <f>IF(Table2[[#This Row],[Manual Cat Value]]="",VLOOKUP(Table2[[#This Row],[Description]],'Actuals Lookup'!D:F,3,0),Table2[[#This Row],[Manual Cat Value]])</f>
        <v>#N/A</v>
      </c>
      <c r="J4979" s="2">
        <v>63.9</v>
      </c>
      <c r="K4979" s="2" t="b">
        <v>0</v>
      </c>
      <c r="L4979" s="2"/>
      <c r="M4979" s="2"/>
      <c r="N4979" s="4" t="s">
        <v>2259</v>
      </c>
      <c r="O4979" s="4" t="str">
        <f>LEFT(Table2[[#This Row],[Description]],75)</f>
        <v>TST RED RABBIT MINNEAP6513362179 MN</v>
      </c>
      <c r="P4979" s="2" t="s">
        <v>2549</v>
      </c>
    </row>
    <row r="4980" spans="1:16" hidden="1">
      <c r="A4980" s="2">
        <v>202106</v>
      </c>
      <c r="B4980" s="3">
        <v>44358</v>
      </c>
      <c r="C4980" s="2" t="s">
        <v>2317</v>
      </c>
      <c r="D4980" s="2" t="s">
        <v>424</v>
      </c>
      <c r="E4980" s="2">
        <v>-200</v>
      </c>
      <c r="F4980" s="2" t="e">
        <f>IF(Table2[[#This Row],[Manual Cat Value]]="",VLOOKUP(Table2[[#This Row],[Description]],'Actuals Lookup'!D:F,3,0),Table2[[#This Row],[Manual Cat Value]])</f>
        <v>#N/A</v>
      </c>
      <c r="J4980" s="2">
        <v>200</v>
      </c>
      <c r="K4980" s="2" t="b">
        <v>0</v>
      </c>
      <c r="L4980" s="2"/>
      <c r="M4980" s="2"/>
      <c r="N4980" s="4" t="s">
        <v>2273</v>
      </c>
      <c r="O4980" s="4" t="str">
        <f>LEFT(Table2[[#This Row],[Description]],75)</f>
        <v>CARGILL INCORPOR</v>
      </c>
      <c r="P4980" s="2" t="s">
        <v>2385</v>
      </c>
    </row>
    <row r="4981" spans="1:16" hidden="1">
      <c r="A4981" s="2">
        <v>202106</v>
      </c>
      <c r="B4981" s="3">
        <v>44358</v>
      </c>
      <c r="C4981" s="2" t="s">
        <v>2317</v>
      </c>
      <c r="D4981" s="2" t="s">
        <v>537</v>
      </c>
      <c r="E4981" s="2">
        <v>61.96</v>
      </c>
      <c r="F4981" s="2" t="e">
        <f>IF(Table2[[#This Row],[Manual Cat Value]]="",VLOOKUP(Table2[[#This Row],[Description]],'Actuals Lookup'!D:F,3,0),Table2[[#This Row],[Manual Cat Value]])</f>
        <v>#N/A</v>
      </c>
      <c r="J4981" s="2">
        <v>61.96</v>
      </c>
      <c r="K4981" s="2" t="b">
        <v>0</v>
      </c>
      <c r="L4981" s="2"/>
      <c r="M4981" s="2"/>
      <c r="N4981" s="4" t="s">
        <v>2259</v>
      </c>
      <c r="O4981" s="4" t="str">
        <f>LEFT(Table2[[#This Row],[Description]],75)</f>
        <v>CHEVRON CORP</v>
      </c>
      <c r="P4981" s="2" t="s">
        <v>2430</v>
      </c>
    </row>
    <row r="4982" spans="1:16" hidden="1">
      <c r="A4982" s="2">
        <v>202106</v>
      </c>
      <c r="B4982" s="3">
        <v>44358</v>
      </c>
      <c r="C4982" s="2" t="s">
        <v>2262</v>
      </c>
      <c r="D4982" s="2" t="s">
        <v>681</v>
      </c>
      <c r="E4982" s="2">
        <v>27.53</v>
      </c>
      <c r="F4982" s="2" t="str">
        <f>IF(Table2[[#This Row],[Manual Cat Value]]="",VLOOKUP(Table2[[#This Row],[Description]],'Actuals Lookup'!D:F,3,0),Table2[[#This Row],[Manual Cat Value]])</f>
        <v>Restaurants</v>
      </c>
      <c r="J4982" s="2">
        <v>27.53</v>
      </c>
      <c r="K4982" s="2" t="b">
        <v>0</v>
      </c>
      <c r="L4982" s="2"/>
      <c r="M4982" s="2"/>
      <c r="N4982" s="4" t="s">
        <v>2259</v>
      </c>
      <c r="O4982" s="4" t="str">
        <f>LEFT(Table2[[#This Row],[Description]],75)</f>
        <v>Crisp &amp; Green</v>
      </c>
      <c r="P4982" s="2" t="s">
        <v>2457</v>
      </c>
    </row>
    <row r="4983" spans="1:16" hidden="1">
      <c r="A4983" s="2">
        <v>202106</v>
      </c>
      <c r="B4983" s="3">
        <v>44358</v>
      </c>
      <c r="C4983" s="2" t="s">
        <v>2435</v>
      </c>
      <c r="D4983" s="2" t="s">
        <v>849</v>
      </c>
      <c r="E4983" s="2">
        <v>761.97</v>
      </c>
      <c r="F4983" s="2" t="e">
        <f>IF(Table2[[#This Row],[Manual Cat Value]]="",VLOOKUP(Table2[[#This Row],[Description]],'Actuals Lookup'!D:F,3,0),Table2[[#This Row],[Manual Cat Value]])</f>
        <v>#N/A</v>
      </c>
      <c r="J4983" s="2">
        <v>761.97</v>
      </c>
      <c r="K4983" s="2" t="b">
        <v>0</v>
      </c>
      <c r="L4983" s="2"/>
      <c r="M4983" s="2"/>
      <c r="N4983" s="4" t="s">
        <v>2259</v>
      </c>
      <c r="O4983" s="4" t="str">
        <f>LEFT(Table2[[#This Row],[Description]],75)</f>
        <v>FORD MOTOR CO</v>
      </c>
      <c r="P4983" s="2" t="s">
        <v>2281</v>
      </c>
    </row>
    <row r="4984" spans="1:16" hidden="1">
      <c r="A4984" s="2">
        <v>202106</v>
      </c>
      <c r="B4984" s="3">
        <v>44358</v>
      </c>
      <c r="C4984" s="2" t="s">
        <v>2488</v>
      </c>
      <c r="D4984" s="2" t="s">
        <v>878</v>
      </c>
      <c r="E4984" s="2">
        <v>-50</v>
      </c>
      <c r="F4984" s="2" t="e">
        <f>IF(Table2[[#This Row],[Manual Cat Value]]="",VLOOKUP(Table2[[#This Row],[Description]],'Actuals Lookup'!D:F,3,0),Table2[[#This Row],[Manual Cat Value]])</f>
        <v>#N/A</v>
      </c>
      <c r="J4984" s="2">
        <v>50</v>
      </c>
      <c r="K4984" s="2" t="b">
        <v>0</v>
      </c>
      <c r="L4984" s="2"/>
      <c r="M4984" s="2"/>
      <c r="N4984" s="4" t="s">
        <v>2273</v>
      </c>
      <c r="O4984" s="4" t="str">
        <f>LEFT(Table2[[#This Row],[Description]],75)</f>
        <v>FUNDS RECEIVED</v>
      </c>
      <c r="P4984" s="2" t="s">
        <v>2281</v>
      </c>
    </row>
    <row r="4985" spans="1:16" hidden="1">
      <c r="A4985" s="2">
        <v>202106</v>
      </c>
      <c r="B4985" s="3">
        <v>44358</v>
      </c>
      <c r="C4985" s="2" t="s">
        <v>2488</v>
      </c>
      <c r="D4985" s="2" t="s">
        <v>878</v>
      </c>
      <c r="E4985" s="2">
        <v>-100</v>
      </c>
      <c r="F4985" s="2" t="e">
        <f>IF(Table2[[#This Row],[Manual Cat Value]]="",VLOOKUP(Table2[[#This Row],[Description]],'Actuals Lookup'!D:F,3,0),Table2[[#This Row],[Manual Cat Value]])</f>
        <v>#N/A</v>
      </c>
      <c r="J4985" s="2">
        <v>100</v>
      </c>
      <c r="K4985" s="2" t="b">
        <v>0</v>
      </c>
      <c r="L4985" s="2"/>
      <c r="M4985" s="2"/>
      <c r="N4985" s="4" t="s">
        <v>2273</v>
      </c>
      <c r="O4985" s="4" t="str">
        <f>LEFT(Table2[[#This Row],[Description]],75)</f>
        <v>FUNDS RECEIVED</v>
      </c>
      <c r="P4985" s="2" t="s">
        <v>2281</v>
      </c>
    </row>
    <row r="4986" spans="1:16" hidden="1">
      <c r="A4986" s="2">
        <v>202106</v>
      </c>
      <c r="B4986" s="3">
        <v>44358</v>
      </c>
      <c r="C4986" s="2" t="s">
        <v>2262</v>
      </c>
      <c r="D4986" s="2" t="s">
        <v>1106</v>
      </c>
      <c r="E4986" s="2">
        <v>12.3</v>
      </c>
      <c r="F4986" s="2" t="e">
        <f>IF(Table2[[#This Row],[Manual Cat Value]]="",VLOOKUP(Table2[[#This Row],[Description]],'Actuals Lookup'!D:F,3,0),Table2[[#This Row],[Manual Cat Value]])</f>
        <v>#N/A</v>
      </c>
      <c r="J4986" s="2">
        <v>12.3</v>
      </c>
      <c r="K4986" s="2" t="b">
        <v>0</v>
      </c>
      <c r="L4986" s="2"/>
      <c r="M4986" s="2"/>
      <c r="N4986" s="4" t="s">
        <v>2259</v>
      </c>
      <c r="O4986" s="4" t="str">
        <f>LEFT(Table2[[#This Row],[Description]],75)</f>
        <v>Licks Unlimited</v>
      </c>
      <c r="P4986" s="2" t="s">
        <v>2281</v>
      </c>
    </row>
    <row r="4987" spans="1:16" hidden="1">
      <c r="A4987" s="2">
        <v>202106</v>
      </c>
      <c r="B4987" s="3">
        <v>44358</v>
      </c>
      <c r="C4987" s="2" t="s">
        <v>2262</v>
      </c>
      <c r="D4987" s="2" t="s">
        <v>1687</v>
      </c>
      <c r="E4987" s="2">
        <v>-190.46</v>
      </c>
      <c r="F4987" s="2" t="e">
        <f>IF(Table2[[#This Row],[Manual Cat Value]]="",VLOOKUP(Table2[[#This Row],[Description]],'Actuals Lookup'!D:F,3,0),Table2[[#This Row],[Manual Cat Value]])</f>
        <v>#N/A</v>
      </c>
      <c r="J4987" s="2">
        <v>190.46</v>
      </c>
      <c r="K4987" s="2" t="b">
        <v>0</v>
      </c>
      <c r="L4987" s="2"/>
      <c r="M4987" s="2"/>
      <c r="N4987" s="4" t="s">
        <v>2273</v>
      </c>
      <c r="O4987" s="4" t="str">
        <f>LEFT(Table2[[#This Row],[Description]],75)</f>
        <v>Sp Free Fly</v>
      </c>
      <c r="P4987" s="2" t="s">
        <v>2281</v>
      </c>
    </row>
    <row r="4988" spans="1:16" hidden="1">
      <c r="A4988" s="2">
        <v>202106</v>
      </c>
      <c r="B4988" s="3">
        <v>44358</v>
      </c>
      <c r="C4988" s="2" t="s">
        <v>2262</v>
      </c>
      <c r="D4988" s="2" t="s">
        <v>1688</v>
      </c>
      <c r="E4988" s="2">
        <v>188.6</v>
      </c>
      <c r="F4988" s="2" t="e">
        <f>IF(Table2[[#This Row],[Manual Cat Value]]="",VLOOKUP(Table2[[#This Row],[Description]],'Actuals Lookup'!D:F,3,0),Table2[[#This Row],[Manual Cat Value]])</f>
        <v>#N/A</v>
      </c>
      <c r="J4988" s="2">
        <v>188.6</v>
      </c>
      <c r="K4988" s="2" t="b">
        <v>0</v>
      </c>
      <c r="L4988" s="2"/>
      <c r="M4988" s="2"/>
      <c r="N4988" s="4" t="s">
        <v>2259</v>
      </c>
      <c r="O4988" s="4" t="str">
        <f>LEFT(Table2[[#This Row],[Description]],75)</f>
        <v>SP FREE FLY APPAREL HTTPSFREEFL SP FREE FLY APPAREL HTTPSFREEFLYASC</v>
      </c>
      <c r="P4988" s="2" t="s">
        <v>2281</v>
      </c>
    </row>
    <row r="4989" spans="1:16" hidden="1">
      <c r="A4989" s="2">
        <v>202106</v>
      </c>
      <c r="B4989" s="3">
        <v>44358</v>
      </c>
      <c r="C4989" s="2" t="s">
        <v>2434</v>
      </c>
      <c r="D4989" s="2" t="s">
        <v>1835</v>
      </c>
      <c r="E4989" s="2">
        <v>-231</v>
      </c>
      <c r="F4989" s="2" t="e">
        <f>IF(Table2[[#This Row],[Manual Cat Value]]="",VLOOKUP(Table2[[#This Row],[Description]],'Actuals Lookup'!D:F,3,0),Table2[[#This Row],[Manual Cat Value]])</f>
        <v>#N/A</v>
      </c>
      <c r="J4989" s="2">
        <v>231</v>
      </c>
      <c r="K4989" s="2" t="b">
        <v>0</v>
      </c>
      <c r="L4989" s="2"/>
      <c r="M4989" s="2"/>
      <c r="N4989" s="4" t="s">
        <v>2273</v>
      </c>
      <c r="O4989" s="4" t="str">
        <f>LEFT(Table2[[#This Row],[Description]],75)</f>
        <v>Tfr JPMORGAN CHASE BAN, CARGILL INCORPOR</v>
      </c>
      <c r="P4989" s="2" t="s">
        <v>2281</v>
      </c>
    </row>
    <row r="4990" spans="1:16" hidden="1">
      <c r="A4990" s="2">
        <v>202106</v>
      </c>
      <c r="B4990" s="3">
        <v>44358</v>
      </c>
      <c r="C4990" s="2" t="s">
        <v>2262</v>
      </c>
      <c r="D4990" s="2" t="s">
        <v>1925</v>
      </c>
      <c r="E4990" s="2">
        <v>36.25</v>
      </c>
      <c r="F4990" s="2" t="str">
        <f>IF(Table2[[#This Row],[Manual Cat Value]]="",VLOOKUP(Table2[[#This Row],[Description]],'Actuals Lookup'!D:F,3,0),Table2[[#This Row],[Manual Cat Value]])</f>
        <v>Groceries</v>
      </c>
      <c r="J4990" s="2">
        <v>36.25</v>
      </c>
      <c r="K4990" s="2" t="b">
        <v>0</v>
      </c>
      <c r="L4990" s="2"/>
      <c r="M4990" s="2"/>
      <c r="N4990" s="4" t="s">
        <v>2259</v>
      </c>
      <c r="O4990" s="4" t="str">
        <f>LEFT(Table2[[#This Row],[Description]],75)</f>
        <v>Total Wine &amp; More</v>
      </c>
      <c r="P4990" s="2" t="s">
        <v>2281</v>
      </c>
    </row>
    <row r="4991" spans="1:16" hidden="1">
      <c r="A4991" s="2">
        <v>202106</v>
      </c>
      <c r="B4991" s="3">
        <v>44360</v>
      </c>
      <c r="C4991" s="2" t="s">
        <v>2265</v>
      </c>
      <c r="D4991" s="2" t="s">
        <v>611</v>
      </c>
      <c r="E4991" s="2">
        <v>-3052.97</v>
      </c>
      <c r="F4991" s="2" t="e">
        <f>IF(Table2[[#This Row],[Manual Cat Value]]="",VLOOKUP(Table2[[#This Row],[Description]],'Actuals Lookup'!D:F,3,0),Table2[[#This Row],[Manual Cat Value]])</f>
        <v>#N/A</v>
      </c>
      <c r="J4991" s="2">
        <v>3052.97</v>
      </c>
      <c r="K4991" s="2" t="b">
        <v>0</v>
      </c>
      <c r="L4991" s="2"/>
      <c r="M4991" s="2"/>
      <c r="N4991" s="4" t="s">
        <v>2273</v>
      </c>
      <c r="O4991" s="4" t="str">
        <f>LEFT(Table2[[#This Row],[Description]],75)</f>
        <v>CONNECTED ANALYT TYPE DIRECT DEP ID CO CONNECTED ANALYT ACH ECC PPD ACH Tra</v>
      </c>
      <c r="P4991" s="2" t="s">
        <v>2493</v>
      </c>
    </row>
    <row r="4992" spans="1:16" hidden="1">
      <c r="A4992" s="2">
        <v>202106</v>
      </c>
      <c r="B4992" s="3">
        <v>44360</v>
      </c>
      <c r="C4992" s="2" t="s">
        <v>2262</v>
      </c>
      <c r="D4992" s="2" t="s">
        <v>684</v>
      </c>
      <c r="E4992" s="2">
        <v>-9.26</v>
      </c>
      <c r="F4992" s="2" t="str">
        <f>IF(Table2[[#This Row],[Manual Cat Value]]="",VLOOKUP(Table2[[#This Row],[Description]],'Actuals Lookup'!D:F,3,0),Table2[[#This Row],[Manual Cat Value]])</f>
        <v>Groceries</v>
      </c>
      <c r="J4992" s="2">
        <v>9.26</v>
      </c>
      <c r="K4992" s="2" t="b">
        <v>0</v>
      </c>
      <c r="L4992" s="2"/>
      <c r="M4992" s="2"/>
      <c r="N4992" s="4" t="s">
        <v>2273</v>
      </c>
      <c r="O4992" s="4" t="str">
        <f>LEFT(Table2[[#This Row],[Description]],75)</f>
        <v>Cub Foods</v>
      </c>
      <c r="P4992" s="2" t="s">
        <v>2370</v>
      </c>
    </row>
    <row r="4993" spans="1:16" hidden="1">
      <c r="A4993" s="2">
        <v>202106</v>
      </c>
      <c r="B4993" s="3">
        <v>44360</v>
      </c>
      <c r="C4993" s="2" t="s">
        <v>2262</v>
      </c>
      <c r="D4993" s="2" t="s">
        <v>889</v>
      </c>
      <c r="E4993" s="2">
        <v>10.17</v>
      </c>
      <c r="F4993" s="2" t="e">
        <f>IF(Table2[[#This Row],[Manual Cat Value]]="",VLOOKUP(Table2[[#This Row],[Description]],'Actuals Lookup'!D:F,3,0),Table2[[#This Row],[Manual Cat Value]])</f>
        <v>#N/A</v>
      </c>
      <c r="J4993" s="2">
        <v>10.17</v>
      </c>
      <c r="K4993" s="2" t="b">
        <v>0</v>
      </c>
      <c r="L4993" s="2"/>
      <c r="M4993" s="2"/>
      <c r="N4993" s="4" t="s">
        <v>2259</v>
      </c>
      <c r="O4993" s="4" t="str">
        <f>LEFT(Table2[[#This Row],[Description]],75)</f>
        <v>General Store Cafe Inc</v>
      </c>
      <c r="P4993" s="2" t="s">
        <v>2281</v>
      </c>
    </row>
    <row r="4994" spans="1:16" hidden="1">
      <c r="A4994" s="2">
        <v>202106</v>
      </c>
      <c r="B4994" s="3">
        <v>44360</v>
      </c>
      <c r="C4994" s="2" t="s">
        <v>2262</v>
      </c>
      <c r="D4994" s="2" t="s">
        <v>890</v>
      </c>
      <c r="E4994" s="2">
        <v>12.85</v>
      </c>
      <c r="F4994" s="2" t="e">
        <f>IF(Table2[[#This Row],[Manual Cat Value]]="",VLOOKUP(Table2[[#This Row],[Description]],'Actuals Lookup'!D:F,3,0),Table2[[#This Row],[Manual Cat Value]])</f>
        <v>#N/A</v>
      </c>
      <c r="J4994" s="2">
        <v>12.85</v>
      </c>
      <c r="K4994" s="2" t="b">
        <v>0</v>
      </c>
      <c r="L4994" s="2"/>
      <c r="M4994" s="2"/>
      <c r="N4994" s="4" t="s">
        <v>2259</v>
      </c>
      <c r="O4994" s="4" t="str">
        <f>LEFT(Table2[[#This Row],[Description]],75)</f>
        <v>General Store Of Minnetonka GENERALSTOREOFMINNETONKA MINNETONKA MN</v>
      </c>
      <c r="P4994" s="2" t="s">
        <v>2281</v>
      </c>
    </row>
    <row r="4995" spans="1:16" hidden="1">
      <c r="A4995" s="2">
        <v>202106</v>
      </c>
      <c r="B4995" s="3">
        <v>44360</v>
      </c>
      <c r="C4995" s="2" t="s">
        <v>2262</v>
      </c>
      <c r="D4995" s="2" t="s">
        <v>923</v>
      </c>
      <c r="E4995" s="2">
        <v>85.67</v>
      </c>
      <c r="F4995" s="2" t="e">
        <f>IF(Table2[[#This Row],[Manual Cat Value]]="",VLOOKUP(Table2[[#This Row],[Description]],'Actuals Lookup'!D:F,3,0),Table2[[#This Row],[Manual Cat Value]])</f>
        <v>#N/A</v>
      </c>
      <c r="J4995" s="2">
        <v>85.67</v>
      </c>
      <c r="K4995" s="2" t="b">
        <v>0</v>
      </c>
      <c r="L4995" s="2"/>
      <c r="M4995" s="2"/>
      <c r="N4995" s="4" t="s">
        <v>2259</v>
      </c>
      <c r="O4995" s="4" t="str">
        <f>LEFT(Table2[[#This Row],[Description]],75)</f>
        <v>HAZELWOOD FOOD DRINKSTSAINT LOUIS PMN</v>
      </c>
      <c r="P4995" s="2" t="s">
        <v>2551</v>
      </c>
    </row>
    <row r="4996" spans="1:16" hidden="1">
      <c r="A4996" s="2">
        <v>202106</v>
      </c>
      <c r="B4996" s="3">
        <v>44360</v>
      </c>
      <c r="C4996" s="2" t="s">
        <v>2262</v>
      </c>
      <c r="D4996" s="2" t="s">
        <v>1029</v>
      </c>
      <c r="E4996" s="2">
        <v>13.33</v>
      </c>
      <c r="F4996" s="2" t="e">
        <f>IF(Table2[[#This Row],[Manual Cat Value]]="",VLOOKUP(Table2[[#This Row],[Description]],'Actuals Lookup'!D:F,3,0),Table2[[#This Row],[Manual Cat Value]])</f>
        <v>#N/A</v>
      </c>
      <c r="J4996" s="2">
        <v>13.33</v>
      </c>
      <c r="K4996" s="2" t="b">
        <v>0</v>
      </c>
      <c r="L4996" s="2"/>
      <c r="M4996" s="2"/>
      <c r="N4996" s="4" t="s">
        <v>2259</v>
      </c>
      <c r="O4996" s="4" t="str">
        <f>LEFT(Table2[[#This Row],[Description]],75)</f>
        <v>K TAYLOR CHASKA MN K TAYLOR CHASKA MN</v>
      </c>
      <c r="P4996" s="2" t="s">
        <v>2281</v>
      </c>
    </row>
    <row r="4997" spans="1:16" hidden="1">
      <c r="A4997" s="2">
        <v>202106</v>
      </c>
      <c r="B4997" s="3">
        <v>44360</v>
      </c>
      <c r="C4997" s="2" t="s">
        <v>2262</v>
      </c>
      <c r="D4997" s="2" t="s">
        <v>1079</v>
      </c>
      <c r="E4997" s="2">
        <v>43.19</v>
      </c>
      <c r="F4997" s="2" t="e">
        <f>IF(Table2[[#This Row],[Manual Cat Value]]="",VLOOKUP(Table2[[#This Row],[Description]],'Actuals Lookup'!D:F,3,0),Table2[[#This Row],[Manual Cat Value]])</f>
        <v>#N/A</v>
      </c>
      <c r="J4997" s="2">
        <v>43.19</v>
      </c>
      <c r="K4997" s="2" t="b">
        <v>0</v>
      </c>
      <c r="L4997" s="2"/>
      <c r="M4997" s="2"/>
      <c r="N4997" s="4" t="s">
        <v>2259</v>
      </c>
      <c r="O4997" s="4" t="str">
        <f>LEFT(Table2[[#This Row],[Description]],75)</f>
        <v>Kowalski's</v>
      </c>
      <c r="P4997" s="2" t="s">
        <v>2281</v>
      </c>
    </row>
    <row r="4998" spans="1:16" hidden="1">
      <c r="A4998" s="2">
        <v>202106</v>
      </c>
      <c r="B4998" s="3">
        <v>44360</v>
      </c>
      <c r="C4998" s="2" t="s">
        <v>2262</v>
      </c>
      <c r="D4998" s="2" t="s">
        <v>1083</v>
      </c>
      <c r="E4998" s="2">
        <v>30.44</v>
      </c>
      <c r="F4998" s="2" t="str">
        <f>IF(Table2[[#This Row],[Manual Cat Value]]="",VLOOKUP(Table2[[#This Row],[Description]],'Actuals Lookup'!D:F,3,0),Table2[[#This Row],[Manual Cat Value]])</f>
        <v>Transportation</v>
      </c>
      <c r="J4998" s="2">
        <v>30.44</v>
      </c>
      <c r="K4998" s="2" t="b">
        <v>0</v>
      </c>
      <c r="L4998" s="2"/>
      <c r="M4998" s="2"/>
      <c r="N4998" s="4" t="s">
        <v>2259</v>
      </c>
      <c r="O4998" s="4" t="str">
        <f>LEFT(Table2[[#This Row],[Description]],75)</f>
        <v>Kwik Trip</v>
      </c>
      <c r="P4998" s="2" t="s">
        <v>2509</v>
      </c>
    </row>
    <row r="4999" spans="1:16" hidden="1">
      <c r="A4999" s="2">
        <v>202106</v>
      </c>
      <c r="B4999" s="3">
        <v>44360</v>
      </c>
      <c r="C4999" s="2" t="s">
        <v>2262</v>
      </c>
      <c r="D4999" s="2" t="s">
        <v>1773</v>
      </c>
      <c r="E4999" s="2">
        <v>15</v>
      </c>
      <c r="F4999" s="2" t="str">
        <f>IF(Table2[[#This Row],[Manual Cat Value]]="",VLOOKUP(Table2[[#This Row],[Description]],'Actuals Lookup'!D:F,3,0),Table2[[#This Row],[Manual Cat Value]])</f>
        <v>Restaurants</v>
      </c>
      <c r="J4999" s="2">
        <v>15</v>
      </c>
      <c r="K4999" s="2" t="b">
        <v>0</v>
      </c>
      <c r="L4999" s="2"/>
      <c r="M4999" s="2"/>
      <c r="N4999" s="4" t="s">
        <v>2259</v>
      </c>
      <c r="O4999" s="4" t="str">
        <f>LEFT(Table2[[#This Row],[Description]],75)</f>
        <v>Starbucks</v>
      </c>
      <c r="P4999" s="2" t="s">
        <v>2454</v>
      </c>
    </row>
    <row r="5000" spans="1:16" hidden="1">
      <c r="A5000" s="2">
        <v>202106</v>
      </c>
      <c r="B5000" s="3">
        <v>44360</v>
      </c>
      <c r="C5000" s="2" t="s">
        <v>2262</v>
      </c>
      <c r="D5000" s="2" t="s">
        <v>1925</v>
      </c>
      <c r="E5000" s="2">
        <v>78.510000000000005</v>
      </c>
      <c r="F5000" s="2" t="str">
        <f>IF(Table2[[#This Row],[Manual Cat Value]]="",VLOOKUP(Table2[[#This Row],[Description]],'Actuals Lookup'!D:F,3,0),Table2[[#This Row],[Manual Cat Value]])</f>
        <v>Groceries</v>
      </c>
      <c r="J5000" s="2">
        <v>78.510000000000005</v>
      </c>
      <c r="K5000" s="2" t="b">
        <v>0</v>
      </c>
      <c r="L5000" s="2"/>
      <c r="M5000" s="2"/>
      <c r="N5000" s="4" t="s">
        <v>2259</v>
      </c>
      <c r="O5000" s="4" t="str">
        <f>LEFT(Table2[[#This Row],[Description]],75)</f>
        <v>Total Wine &amp; More</v>
      </c>
      <c r="P5000" s="2" t="s">
        <v>2281</v>
      </c>
    </row>
    <row r="5001" spans="1:16" hidden="1">
      <c r="A5001" s="2">
        <v>202106</v>
      </c>
      <c r="B5001" s="3">
        <v>44360</v>
      </c>
      <c r="C5001" s="2" t="s">
        <v>2262</v>
      </c>
      <c r="D5001" s="2" t="s">
        <v>2105</v>
      </c>
      <c r="E5001" s="2">
        <v>88.1</v>
      </c>
      <c r="F5001" s="2" t="e">
        <f>IF(Table2[[#This Row],[Manual Cat Value]]="",VLOOKUP(Table2[[#This Row],[Description]],'Actuals Lookup'!D:F,3,0),Table2[[#This Row],[Manual Cat Value]])</f>
        <v>#N/A</v>
      </c>
      <c r="J5001" s="2">
        <v>88.1</v>
      </c>
      <c r="K5001" s="2" t="b">
        <v>0</v>
      </c>
      <c r="L5001" s="2"/>
      <c r="M5001" s="2"/>
      <c r="N5001" s="4" t="s">
        <v>2259</v>
      </c>
      <c r="O5001" s="4" t="str">
        <f>LEFT(Table2[[#This Row],[Description]],75)</f>
        <v>Valvoline Instant Oil Change</v>
      </c>
      <c r="P5001" s="2" t="s">
        <v>2281</v>
      </c>
    </row>
    <row r="5002" spans="1:16" hidden="1">
      <c r="A5002" s="2">
        <v>202106</v>
      </c>
      <c r="B5002" s="3">
        <v>44361</v>
      </c>
      <c r="C5002" s="2" t="s">
        <v>2265</v>
      </c>
      <c r="D5002" s="2" t="s">
        <v>131</v>
      </c>
      <c r="E5002" s="2">
        <v>107.14</v>
      </c>
      <c r="F5002" s="2" t="str">
        <f>IF(Table2[[#This Row],[Manual Cat Value]]="",VLOOKUP(Table2[[#This Row],[Description]],'Actuals Lookup'!D:F,3,0),Table2[[#This Row],[Manual Cat Value]])</f>
        <v>Insurance</v>
      </c>
      <c r="J5002" s="2">
        <v>107.14</v>
      </c>
      <c r="K5002" s="2" t="b">
        <v>0</v>
      </c>
      <c r="L5002" s="2"/>
      <c r="M5002" s="2"/>
      <c r="N5002" s="4" t="s">
        <v>2259</v>
      </c>
      <c r="O5002" s="4" t="str">
        <f>LEFT(Table2[[#This Row],[Description]],75)</f>
        <v>American Family Insurance</v>
      </c>
      <c r="P5002" s="2" t="s">
        <v>2286</v>
      </c>
    </row>
    <row r="5003" spans="1:16" hidden="1">
      <c r="A5003" s="2">
        <v>202106</v>
      </c>
      <c r="B5003" s="3">
        <v>44361</v>
      </c>
      <c r="C5003" s="2" t="s">
        <v>2265</v>
      </c>
      <c r="D5003" s="2" t="s">
        <v>710</v>
      </c>
      <c r="E5003" s="2">
        <v>-1500</v>
      </c>
      <c r="F5003" s="2" t="str">
        <f>IF(Table2[[#This Row],[Manual Cat Value]]="",VLOOKUP(Table2[[#This Row],[Description]],'Actuals Lookup'!D:F,3,0),Table2[[#This Row],[Manual Cat Value]])</f>
        <v>Delete</v>
      </c>
      <c r="J5003" s="2">
        <v>1500</v>
      </c>
      <c r="K5003" s="2" t="b">
        <v>0</v>
      </c>
      <c r="L5003" s="2"/>
      <c r="M5003" s="2"/>
      <c r="N5003" s="4" t="s">
        <v>2273</v>
      </c>
      <c r="O5003" s="4" t="str">
        <f>LEFT(Table2[[#This Row],[Description]],75)</f>
        <v>Deposit by Check Deposit Anywhere check deposit</v>
      </c>
      <c r="P5003" s="2" t="s">
        <v>2281</v>
      </c>
    </row>
    <row r="5004" spans="1:16" hidden="1">
      <c r="A5004" s="2">
        <v>202106</v>
      </c>
      <c r="B5004" s="3">
        <v>44361</v>
      </c>
      <c r="C5004" s="2" t="s">
        <v>2265</v>
      </c>
      <c r="D5004" s="2" t="s">
        <v>710</v>
      </c>
      <c r="E5004" s="2">
        <v>-12659.99</v>
      </c>
      <c r="F5004" s="2" t="str">
        <f>IF(Table2[[#This Row],[Manual Cat Value]]="",VLOOKUP(Table2[[#This Row],[Description]],'Actuals Lookup'!D:F,3,0),Table2[[#This Row],[Manual Cat Value]])</f>
        <v>Delete</v>
      </c>
      <c r="J5004" s="2">
        <v>12659.99</v>
      </c>
      <c r="K5004" s="2" t="b">
        <v>0</v>
      </c>
      <c r="L5004" s="2"/>
      <c r="M5004" s="2"/>
      <c r="N5004" s="4" t="s">
        <v>2273</v>
      </c>
      <c r="O5004" s="4" t="str">
        <f>LEFT(Table2[[#This Row],[Description]],75)</f>
        <v>Deposit by Check Deposit Anywhere check deposit</v>
      </c>
      <c r="P5004" s="2" t="s">
        <v>2281</v>
      </c>
    </row>
    <row r="5005" spans="1:16" hidden="1">
      <c r="A5005" s="2">
        <v>202106</v>
      </c>
      <c r="B5005" s="3">
        <v>44361</v>
      </c>
      <c r="C5005" s="2" t="s">
        <v>2262</v>
      </c>
      <c r="D5005" s="2" t="s">
        <v>944</v>
      </c>
      <c r="E5005" s="2">
        <v>23.99</v>
      </c>
      <c r="F5005" s="2" t="e">
        <f>IF(Table2[[#This Row],[Manual Cat Value]]="",VLOOKUP(Table2[[#This Row],[Description]],'Actuals Lookup'!D:F,3,0),Table2[[#This Row],[Manual Cat Value]])</f>
        <v>#N/A</v>
      </c>
      <c r="J5005" s="2">
        <v>23.99</v>
      </c>
      <c r="K5005" s="2" t="b">
        <v>0</v>
      </c>
      <c r="L5005" s="2"/>
      <c r="M5005" s="2"/>
      <c r="N5005" s="4" t="s">
        <v>2259</v>
      </c>
      <c r="O5005" s="4" t="str">
        <f>LEFT(Table2[[#This Row],[Description]],75)</f>
        <v>Holiday Stationstore</v>
      </c>
      <c r="P5005" s="2" t="s">
        <v>2374</v>
      </c>
    </row>
    <row r="5006" spans="1:16" hidden="1">
      <c r="A5006" s="2">
        <v>202106</v>
      </c>
      <c r="B5006" s="3">
        <v>44361</v>
      </c>
      <c r="C5006" s="2" t="s">
        <v>2262</v>
      </c>
      <c r="D5006" s="2" t="s">
        <v>1097</v>
      </c>
      <c r="E5006" s="2">
        <v>63</v>
      </c>
      <c r="F5006" s="2" t="e">
        <f>IF(Table2[[#This Row],[Manual Cat Value]]="",VLOOKUP(Table2[[#This Row],[Description]],'Actuals Lookup'!D:F,3,0),Table2[[#This Row],[Manual Cat Value]])</f>
        <v>#N/A</v>
      </c>
      <c r="J5006" s="2">
        <v>63</v>
      </c>
      <c r="K5006" s="2" t="b">
        <v>0</v>
      </c>
      <c r="L5006" s="2"/>
      <c r="M5006" s="2"/>
      <c r="N5006" s="4" t="s">
        <v>2259</v>
      </c>
      <c r="O5006" s="4" t="str">
        <f>LEFT(Table2[[#This Row],[Description]],75)</f>
        <v>Lakewinds Food Coop LAKEWINDS CHANHASSEN CHANHASSEN MN</v>
      </c>
      <c r="P5006" s="2" t="s">
        <v>2517</v>
      </c>
    </row>
    <row r="5007" spans="1:16" hidden="1">
      <c r="A5007" s="2">
        <v>202106</v>
      </c>
      <c r="B5007" s="3">
        <v>44361</v>
      </c>
      <c r="C5007" s="2" t="s">
        <v>2262</v>
      </c>
      <c r="D5007" s="2" t="s">
        <v>1724</v>
      </c>
      <c r="E5007" s="2">
        <v>17.46</v>
      </c>
      <c r="F5007" s="2" t="e">
        <f>IF(Table2[[#This Row],[Manual Cat Value]]="",VLOOKUP(Table2[[#This Row],[Description]],'Actuals Lookup'!D:F,3,0),Table2[[#This Row],[Manual Cat Value]])</f>
        <v>#N/A</v>
      </c>
      <c r="J5007" s="2">
        <v>17.46</v>
      </c>
      <c r="K5007" s="2" t="b">
        <v>0</v>
      </c>
      <c r="L5007" s="2"/>
      <c r="M5007" s="2"/>
      <c r="N5007" s="4" t="s">
        <v>2259</v>
      </c>
      <c r="O5007" s="4" t="str">
        <f>LEFT(Table2[[#This Row],[Description]],75)</f>
        <v>SQ ENKI BREWING CO VICTORIA MN SQ ENKI BREWING CO VICTORIA MN</v>
      </c>
      <c r="P5007" s="2" t="s">
        <v>2281</v>
      </c>
    </row>
    <row r="5008" spans="1:16" hidden="1">
      <c r="A5008" s="2">
        <v>202106</v>
      </c>
      <c r="B5008" s="3">
        <v>44361</v>
      </c>
      <c r="C5008" s="2" t="s">
        <v>2262</v>
      </c>
      <c r="D5008" s="2" t="s">
        <v>2158</v>
      </c>
      <c r="E5008" s="2">
        <v>80.02</v>
      </c>
      <c r="F5008" s="2" t="e">
        <f>IF(Table2[[#This Row],[Manual Cat Value]]="",VLOOKUP(Table2[[#This Row],[Description]],'Actuals Lookup'!D:F,3,0),Table2[[#This Row],[Manual Cat Value]])</f>
        <v>#N/A</v>
      </c>
      <c r="J5008" s="2">
        <v>80.02</v>
      </c>
      <c r="K5008" s="2" t="b">
        <v>0</v>
      </c>
      <c r="L5008" s="2"/>
      <c r="M5008" s="2"/>
      <c r="N5008" s="4" t="s">
        <v>2259</v>
      </c>
      <c r="O5008" s="4" t="str">
        <f>LEFT(Table2[[#This Row],[Description]],75)</f>
        <v>WINCHESTER AND RYE VICTORIA MN WINCHESTER AND RYE VICTORIA MN</v>
      </c>
      <c r="P5008" s="2" t="s">
        <v>2281</v>
      </c>
    </row>
    <row r="5009" spans="1:16" hidden="1">
      <c r="A5009" s="2">
        <v>202106</v>
      </c>
      <c r="B5009" s="3">
        <v>44362</v>
      </c>
      <c r="C5009" s="2" t="s">
        <v>2265</v>
      </c>
      <c r="D5009" s="2" t="s">
        <v>531</v>
      </c>
      <c r="E5009" s="2">
        <v>19338.36</v>
      </c>
      <c r="F5009" s="2" t="e">
        <f>IF(Table2[[#This Row],[Manual Cat Value]]="",VLOOKUP(Table2[[#This Row],[Description]],'Actuals Lookup'!D:F,3,0),Table2[[#This Row],[Manual Cat Value]])</f>
        <v>#N/A</v>
      </c>
      <c r="J5009" s="2">
        <v>19338.36</v>
      </c>
      <c r="K5009" s="2" t="b">
        <v>0</v>
      </c>
      <c r="L5009" s="2"/>
      <c r="M5009" s="2"/>
      <c r="N5009" s="4" t="s">
        <v>2259</v>
      </c>
      <c r="O5009" s="4" t="str">
        <f>LEFT(Table2[[#This Row],[Description]],75)</f>
        <v>CHECK 2186 2186</v>
      </c>
      <c r="P5009" s="2" t="s">
        <v>2281</v>
      </c>
    </row>
    <row r="5010" spans="1:16" hidden="1">
      <c r="A5010" s="2">
        <v>202106</v>
      </c>
      <c r="B5010" s="3">
        <v>44362</v>
      </c>
      <c r="C5010" s="2" t="s">
        <v>2317</v>
      </c>
      <c r="D5010" s="2" t="s">
        <v>605</v>
      </c>
      <c r="E5010" s="2">
        <v>-250</v>
      </c>
      <c r="F5010" s="2" t="e">
        <f>IF(Table2[[#This Row],[Manual Cat Value]]="",VLOOKUP(Table2[[#This Row],[Description]],'Actuals Lookup'!D:F,3,0),Table2[[#This Row],[Manual Cat Value]])</f>
        <v>#N/A</v>
      </c>
      <c r="J5010" s="2">
        <v>250</v>
      </c>
      <c r="K5010" s="2" t="b">
        <v>0</v>
      </c>
      <c r="L5010" s="2"/>
      <c r="M5010" s="2"/>
      <c r="N5010" s="4" t="s">
        <v>2273</v>
      </c>
      <c r="O5010" s="4" t="str">
        <f>LEFT(Table2[[#This Row],[Description]],75)</f>
        <v>CONNECTED ANALYT</v>
      </c>
      <c r="P5010" s="2" t="s">
        <v>2493</v>
      </c>
    </row>
    <row r="5011" spans="1:16" hidden="1">
      <c r="A5011" s="2">
        <v>202106</v>
      </c>
      <c r="B5011" s="3">
        <v>44362</v>
      </c>
      <c r="C5011" s="2" t="s">
        <v>2262</v>
      </c>
      <c r="D5011" s="2" t="s">
        <v>684</v>
      </c>
      <c r="E5011" s="2">
        <v>103.56</v>
      </c>
      <c r="F5011" s="2" t="str">
        <f>IF(Table2[[#This Row],[Manual Cat Value]]="",VLOOKUP(Table2[[#This Row],[Description]],'Actuals Lookup'!D:F,3,0),Table2[[#This Row],[Manual Cat Value]])</f>
        <v>Groceries</v>
      </c>
      <c r="J5011" s="2">
        <v>103.56</v>
      </c>
      <c r="K5011" s="2" t="b">
        <v>0</v>
      </c>
      <c r="L5011" s="2"/>
      <c r="M5011" s="2"/>
      <c r="N5011" s="4" t="s">
        <v>2259</v>
      </c>
      <c r="O5011" s="4" t="str">
        <f>LEFT(Table2[[#This Row],[Description]],75)</f>
        <v>Cub Foods</v>
      </c>
      <c r="P5011" s="2" t="s">
        <v>2370</v>
      </c>
    </row>
    <row r="5012" spans="1:16" hidden="1">
      <c r="A5012" s="2">
        <v>202106</v>
      </c>
      <c r="B5012" s="3">
        <v>44362</v>
      </c>
      <c r="C5012" s="2" t="s">
        <v>2435</v>
      </c>
      <c r="D5012" s="2" t="s">
        <v>849</v>
      </c>
      <c r="E5012" s="2">
        <v>761.97</v>
      </c>
      <c r="F5012" s="2" t="e">
        <f>IF(Table2[[#This Row],[Manual Cat Value]]="",VLOOKUP(Table2[[#This Row],[Description]],'Actuals Lookup'!D:F,3,0),Table2[[#This Row],[Manual Cat Value]])</f>
        <v>#N/A</v>
      </c>
      <c r="J5012" s="2">
        <v>761.97</v>
      </c>
      <c r="K5012" s="2" t="b">
        <v>0</v>
      </c>
      <c r="L5012" s="2"/>
      <c r="M5012" s="2"/>
      <c r="N5012" s="4" t="s">
        <v>2259</v>
      </c>
      <c r="O5012" s="4" t="str">
        <f>LEFT(Table2[[#This Row],[Description]],75)</f>
        <v>FORD MOTOR CO</v>
      </c>
      <c r="P5012" s="2" t="s">
        <v>2281</v>
      </c>
    </row>
    <row r="5013" spans="1:16" hidden="1">
      <c r="A5013" s="2">
        <v>202106</v>
      </c>
      <c r="B5013" s="3">
        <v>44362</v>
      </c>
      <c r="C5013" s="2" t="s">
        <v>2265</v>
      </c>
      <c r="D5013" s="2" t="s">
        <v>1196</v>
      </c>
      <c r="E5013" s="2">
        <v>425</v>
      </c>
      <c r="F5013" s="2" t="e">
        <f>IF(Table2[[#This Row],[Manual Cat Value]]="",VLOOKUP(Table2[[#This Row],[Description]],'Actuals Lookup'!D:F,3,0),Table2[[#This Row],[Manual Cat Value]])</f>
        <v>#N/A</v>
      </c>
      <c r="J5013" s="2">
        <v>425</v>
      </c>
      <c r="K5013" s="2" t="b">
        <v>0</v>
      </c>
      <c r="L5013" s="2"/>
      <c r="M5013" s="2"/>
      <c r="N5013" s="4" t="s">
        <v>2259</v>
      </c>
      <c r="O5013" s="4" t="str">
        <f>LEFT(Table2[[#This Row],[Description]],75)</f>
        <v>MHCHILDCARELLC TYPE DUES ID CO M MHCHILDCARELLC TYPE DUES ID CO MHCHILDCARE</v>
      </c>
      <c r="P5013" s="2" t="s">
        <v>2497</v>
      </c>
    </row>
    <row r="5014" spans="1:16" hidden="1">
      <c r="A5014" s="2">
        <v>202106</v>
      </c>
      <c r="B5014" s="3">
        <v>44362</v>
      </c>
      <c r="C5014" s="2" t="s">
        <v>2317</v>
      </c>
      <c r="D5014" s="2" t="s">
        <v>1629</v>
      </c>
      <c r="E5014" s="2">
        <v>1141.5999999999999</v>
      </c>
      <c r="F5014" s="2" t="e">
        <f>IF(Table2[[#This Row],[Manual Cat Value]]="",VLOOKUP(Table2[[#This Row],[Description]],'Actuals Lookup'!D:F,3,0),Table2[[#This Row],[Manual Cat Value]])</f>
        <v>#N/A</v>
      </c>
      <c r="J5014" s="2">
        <v>1141.5999999999999</v>
      </c>
      <c r="K5014" s="2" t="b">
        <v>0</v>
      </c>
      <c r="L5014" s="2"/>
      <c r="M5014" s="2"/>
      <c r="N5014" s="4" t="s">
        <v>2259</v>
      </c>
      <c r="O5014" s="4" t="str">
        <f>LEFT(Table2[[#This Row],[Description]],75)</f>
        <v>SCHWAB INTERMEDIATE TERMUS TRS ETF</v>
      </c>
      <c r="P5014" s="2" t="s">
        <v>2385</v>
      </c>
    </row>
    <row r="5015" spans="1:16" hidden="1">
      <c r="A5015" s="2">
        <v>202106</v>
      </c>
      <c r="B5015" s="3">
        <v>44362</v>
      </c>
      <c r="C5015" s="2" t="s">
        <v>2435</v>
      </c>
      <c r="D5015" s="2" t="s">
        <v>1836</v>
      </c>
      <c r="E5015" s="2">
        <v>-250</v>
      </c>
      <c r="F5015" s="2" t="e">
        <f>IF(Table2[[#This Row],[Manual Cat Value]]="",VLOOKUP(Table2[[#This Row],[Description]],'Actuals Lookup'!D:F,3,0),Table2[[#This Row],[Manual Cat Value]])</f>
        <v>#N/A</v>
      </c>
      <c r="J5015" s="2">
        <v>250</v>
      </c>
      <c r="K5015" s="2" t="b">
        <v>0</v>
      </c>
      <c r="L5015" s="2"/>
      <c r="M5015" s="2"/>
      <c r="N5015" s="4" t="s">
        <v>2273</v>
      </c>
      <c r="O5015" s="4" t="str">
        <f>LEFT(Table2[[#This Row],[Description]],75)</f>
        <v>Tfr JPMORGAN CHASE BAN, CONNECTED ANALYT</v>
      </c>
      <c r="P5015" s="2" t="s">
        <v>2493</v>
      </c>
    </row>
    <row r="5016" spans="1:16" hidden="1">
      <c r="A5016" s="2">
        <v>202106</v>
      </c>
      <c r="B5016" s="3">
        <v>44363</v>
      </c>
      <c r="C5016" s="2" t="s">
        <v>2265</v>
      </c>
      <c r="D5016" s="2" t="s">
        <v>1970</v>
      </c>
      <c r="E5016" s="2">
        <v>75</v>
      </c>
      <c r="F5016" s="2" t="e">
        <f>IF(Table2[[#This Row],[Manual Cat Value]]="",VLOOKUP(Table2[[#This Row],[Description]],'Actuals Lookup'!D:F,3,0),Table2[[#This Row],[Manual Cat Value]])</f>
        <v>#N/A</v>
      </c>
      <c r="J5016" s="2">
        <v>75</v>
      </c>
      <c r="K5016" s="2" t="b">
        <v>0</v>
      </c>
      <c r="L5016" s="2"/>
      <c r="M5016" s="2"/>
      <c r="N5016" s="4" t="s">
        <v>2259</v>
      </c>
      <c r="O5016" s="4" t="str">
        <f>LEFT(Table2[[#This Row],[Description]],75)</f>
        <v>Transfer to Venmo VENMO TYPE PAYMENT ID CO VENMO ACH ECC WEB ACH Trace 5492</v>
      </c>
      <c r="P5016" s="2" t="s">
        <v>2281</v>
      </c>
    </row>
    <row r="5017" spans="1:16" hidden="1">
      <c r="A5017" s="2">
        <v>202106</v>
      </c>
      <c r="B5017" s="3">
        <v>44363</v>
      </c>
      <c r="C5017" s="2" t="s">
        <v>2434</v>
      </c>
      <c r="D5017" s="2" t="s">
        <v>227</v>
      </c>
      <c r="E5017" s="2">
        <v>-0.09</v>
      </c>
      <c r="F5017" s="2" t="e">
        <f>IF(Table2[[#This Row],[Manual Cat Value]]="",VLOOKUP(Table2[[#This Row],[Description]],'Actuals Lookup'!D:F,3,0),Table2[[#This Row],[Manual Cat Value]])</f>
        <v>#N/A</v>
      </c>
      <c r="J5017" s="2">
        <v>0.09</v>
      </c>
      <c r="K5017" s="2" t="b">
        <v>0</v>
      </c>
      <c r="L5017" s="2"/>
      <c r="M5017" s="2"/>
      <c r="N5017" s="4" t="s">
        <v>2273</v>
      </c>
      <c r="O5017" s="4" t="str">
        <f>LEFT(Table2[[#This Row],[Description]],75)</f>
        <v>BANK INT 051621-061521 SCHWAB PREMIER BANK</v>
      </c>
      <c r="P5017" s="2" t="s">
        <v>2281</v>
      </c>
    </row>
    <row r="5018" spans="1:16" hidden="1">
      <c r="A5018" s="2">
        <v>202106</v>
      </c>
      <c r="B5018" s="3">
        <v>44363</v>
      </c>
      <c r="C5018" s="2" t="s">
        <v>2435</v>
      </c>
      <c r="D5018" s="2" t="s">
        <v>227</v>
      </c>
      <c r="E5018" s="2">
        <v>-0.03</v>
      </c>
      <c r="F5018" s="2" t="e">
        <f>IF(Table2[[#This Row],[Manual Cat Value]]="",VLOOKUP(Table2[[#This Row],[Description]],'Actuals Lookup'!D:F,3,0),Table2[[#This Row],[Manual Cat Value]])</f>
        <v>#N/A</v>
      </c>
      <c r="J5018" s="2">
        <v>0.03</v>
      </c>
      <c r="K5018" s="2" t="b">
        <v>0</v>
      </c>
      <c r="L5018" s="2"/>
      <c r="M5018" s="2"/>
      <c r="N5018" s="4" t="s">
        <v>2273</v>
      </c>
      <c r="O5018" s="4" t="str">
        <f>LEFT(Table2[[#This Row],[Description]],75)</f>
        <v>BANK INT 051621-061521 SCHWAB PREMIER BANK</v>
      </c>
      <c r="P5018" s="2" t="s">
        <v>2281</v>
      </c>
    </row>
    <row r="5019" spans="1:16" hidden="1">
      <c r="A5019" s="2">
        <v>202106</v>
      </c>
      <c r="B5019" s="3">
        <v>44363</v>
      </c>
      <c r="C5019" s="2" t="s">
        <v>2262</v>
      </c>
      <c r="D5019" s="2" t="s">
        <v>691</v>
      </c>
      <c r="E5019" s="2">
        <v>10.51</v>
      </c>
      <c r="F5019" s="2" t="e">
        <f>IF(Table2[[#This Row],[Manual Cat Value]]="",VLOOKUP(Table2[[#This Row],[Description]],'Actuals Lookup'!D:F,3,0),Table2[[#This Row],[Manual Cat Value]])</f>
        <v>#N/A</v>
      </c>
      <c r="J5019" s="2">
        <v>10.51</v>
      </c>
      <c r="K5019" s="2" t="b">
        <v>0</v>
      </c>
      <c r="L5019" s="2"/>
      <c r="M5019" s="2"/>
      <c r="N5019" s="4" t="s">
        <v>2259</v>
      </c>
      <c r="O5019" s="4" t="str">
        <f>LEFT(Table2[[#This Row],[Description]],75)</f>
        <v>CVS</v>
      </c>
      <c r="P5019" s="2" t="s">
        <v>2281</v>
      </c>
    </row>
    <row r="5020" spans="1:16" hidden="1">
      <c r="A5020" s="2">
        <v>202106</v>
      </c>
      <c r="B5020" s="3">
        <v>44364</v>
      </c>
      <c r="C5020" s="2" t="s">
        <v>2262</v>
      </c>
      <c r="D5020" s="2" t="s">
        <v>674</v>
      </c>
      <c r="E5020" s="2">
        <v>-891.14</v>
      </c>
      <c r="F5020" s="2" t="e">
        <f>IF(Table2[[#This Row],[Manual Cat Value]]="",VLOOKUP(Table2[[#This Row],[Description]],'Actuals Lookup'!D:F,3,0),Table2[[#This Row],[Manual Cat Value]])</f>
        <v>#N/A</v>
      </c>
      <c r="J5020" s="2">
        <v>891.14</v>
      </c>
      <c r="K5020" s="2" t="b">
        <v>0</v>
      </c>
      <c r="L5020" s="2"/>
      <c r="M5020" s="2"/>
      <c r="N5020" s="4" t="s">
        <v>2273</v>
      </c>
      <c r="O5020" s="4" t="str">
        <f>LEFT(Table2[[#This Row],[Description]],75)</f>
        <v>Credit Card Payment Received PAYMENT THANK YOU</v>
      </c>
      <c r="P5020" s="2" t="s">
        <v>2391</v>
      </c>
    </row>
    <row r="5021" spans="1:16" hidden="1">
      <c r="A5021" s="2">
        <v>202106</v>
      </c>
      <c r="B5021" s="3">
        <v>44364</v>
      </c>
      <c r="C5021" s="2" t="s">
        <v>2265</v>
      </c>
      <c r="D5021" s="2" t="s">
        <v>2203</v>
      </c>
      <c r="E5021" s="2">
        <v>891.14</v>
      </c>
      <c r="F5021" s="2" t="e">
        <f>IF(Table2[[#This Row],[Manual Cat Value]]="",VLOOKUP(Table2[[#This Row],[Description]],'Actuals Lookup'!D:F,3,0),Table2[[#This Row],[Manual Cat Value]])</f>
        <v>#N/A</v>
      </c>
      <c r="J5021" s="2">
        <v>891.14</v>
      </c>
      <c r="K5021" s="2" t="b">
        <v>0</v>
      </c>
      <c r="L5021" s="2"/>
      <c r="M5021" s="2"/>
      <c r="N5021" s="4" t="s">
        <v>2259</v>
      </c>
      <c r="O5021" s="4" t="str">
        <f>LEFT(Table2[[#This Row],[Description]],75)</f>
        <v>Withdrawal Home payment to card XX91 Withdrawal Home payment to card 979181</v>
      </c>
      <c r="P5021" s="2" t="s">
        <v>2349</v>
      </c>
    </row>
    <row r="5022" spans="1:16" hidden="1">
      <c r="A5022" s="2">
        <v>202106</v>
      </c>
      <c r="B5022" s="3">
        <v>44364</v>
      </c>
      <c r="C5022" s="2" t="s">
        <v>2262</v>
      </c>
      <c r="D5022" s="2" t="s">
        <v>684</v>
      </c>
      <c r="E5022" s="2">
        <v>18.28</v>
      </c>
      <c r="F5022" s="2" t="str">
        <f>IF(Table2[[#This Row],[Manual Cat Value]]="",VLOOKUP(Table2[[#This Row],[Description]],'Actuals Lookup'!D:F,3,0),Table2[[#This Row],[Manual Cat Value]])</f>
        <v>Groceries</v>
      </c>
      <c r="J5022" s="2">
        <v>18.28</v>
      </c>
      <c r="K5022" s="2" t="b">
        <v>0</v>
      </c>
      <c r="L5022" s="2"/>
      <c r="M5022" s="2"/>
      <c r="N5022" s="4" t="s">
        <v>2259</v>
      </c>
      <c r="O5022" s="4" t="str">
        <f>LEFT(Table2[[#This Row],[Description]],75)</f>
        <v>Cub Foods</v>
      </c>
      <c r="P5022" s="2" t="s">
        <v>2370</v>
      </c>
    </row>
    <row r="5023" spans="1:16" hidden="1">
      <c r="A5023" s="2">
        <v>202106</v>
      </c>
      <c r="B5023" s="3">
        <v>44364</v>
      </c>
      <c r="C5023" s="2" t="s">
        <v>2317</v>
      </c>
      <c r="D5023" s="2" t="s">
        <v>1553</v>
      </c>
      <c r="E5023" s="2">
        <v>-76.03</v>
      </c>
      <c r="F5023" s="2" t="e">
        <f>IF(Table2[[#This Row],[Manual Cat Value]]="",VLOOKUP(Table2[[#This Row],[Description]],'Actuals Lookup'!D:F,3,0),Table2[[#This Row],[Manual Cat Value]])</f>
        <v>#N/A</v>
      </c>
      <c r="J5023" s="2">
        <v>76.03</v>
      </c>
      <c r="K5023" s="2" t="b">
        <v>0</v>
      </c>
      <c r="L5023" s="2"/>
      <c r="M5023" s="2"/>
      <c r="N5023" s="4" t="s">
        <v>2273</v>
      </c>
      <c r="O5023" s="4" t="str">
        <f>LEFT(Table2[[#This Row],[Description]],75)</f>
        <v>RAYTHEON TECHNOLOGIES CO</v>
      </c>
      <c r="P5023" s="2" t="s">
        <v>2385</v>
      </c>
    </row>
    <row r="5024" spans="1:16" hidden="1">
      <c r="A5024" s="2">
        <v>202106</v>
      </c>
      <c r="B5024" s="3">
        <v>44364</v>
      </c>
      <c r="C5024" s="2" t="s">
        <v>2262</v>
      </c>
      <c r="D5024" s="2" t="s">
        <v>1707</v>
      </c>
      <c r="E5024" s="2">
        <v>25.52</v>
      </c>
      <c r="F5024" s="2" t="str">
        <f>IF(Table2[[#This Row],[Manual Cat Value]]="",VLOOKUP(Table2[[#This Row],[Description]],'Actuals Lookup'!D:F,3,0),Table2[[#This Row],[Manual Cat Value]])</f>
        <v>Transportation</v>
      </c>
      <c r="J5024" s="2">
        <v>25.52</v>
      </c>
      <c r="K5024" s="2" t="b">
        <v>0</v>
      </c>
      <c r="L5024" s="2"/>
      <c r="M5024" s="2"/>
      <c r="N5024" s="4" t="s">
        <v>2259</v>
      </c>
      <c r="O5024" s="4" t="str">
        <f>LEFT(Table2[[#This Row],[Description]],75)</f>
        <v>Speedway</v>
      </c>
      <c r="P5024" s="2" t="s">
        <v>2381</v>
      </c>
    </row>
    <row r="5025" spans="1:16" hidden="1">
      <c r="A5025" s="2">
        <v>202106</v>
      </c>
      <c r="B5025" s="3">
        <v>44365</v>
      </c>
      <c r="C5025" s="2" t="s">
        <v>2258</v>
      </c>
      <c r="D5025" s="2" t="s">
        <v>1100</v>
      </c>
      <c r="E5025" s="2">
        <v>29</v>
      </c>
      <c r="F5025" s="2" t="str">
        <f>IF(Table2[[#This Row],[Manual Cat Value]]="",VLOOKUP(Table2[[#This Row],[Description]],'Actuals Lookup'!D:F,3,0),Table2[[#This Row],[Manual Cat Value]])</f>
        <v>Misc</v>
      </c>
      <c r="J5025" s="2">
        <v>29</v>
      </c>
      <c r="K5025" s="2" t="b">
        <v>0</v>
      </c>
      <c r="L5025" s="2"/>
      <c r="M5025" s="2"/>
      <c r="N5025" s="4" t="s">
        <v>2259</v>
      </c>
      <c r="O5025" s="4" t="str">
        <f>LEFT(Table2[[#This Row],[Description]],75)</f>
        <v>LATE FEE</v>
      </c>
      <c r="P5025" s="2" t="s">
        <v>2281</v>
      </c>
    </row>
    <row r="5026" spans="1:16" hidden="1">
      <c r="A5026" s="2">
        <v>202106</v>
      </c>
      <c r="B5026" s="3">
        <v>44365</v>
      </c>
      <c r="C5026" s="2" t="s">
        <v>2447</v>
      </c>
      <c r="D5026" s="2" t="s">
        <v>1100</v>
      </c>
      <c r="E5026" s="2">
        <v>29</v>
      </c>
      <c r="F5026" s="2" t="str">
        <f>IF(Table2[[#This Row],[Manual Cat Value]]="",VLOOKUP(Table2[[#This Row],[Description]],'Actuals Lookup'!D:F,3,0),Table2[[#This Row],[Manual Cat Value]])</f>
        <v>Misc</v>
      </c>
      <c r="J5026" s="2">
        <v>29</v>
      </c>
      <c r="K5026" s="2" t="b">
        <v>0</v>
      </c>
      <c r="L5026" s="2"/>
      <c r="M5026" s="2"/>
      <c r="N5026" s="4" t="s">
        <v>2259</v>
      </c>
      <c r="O5026" s="4" t="str">
        <f>LEFT(Table2[[#This Row],[Description]],75)</f>
        <v>LATE FEE</v>
      </c>
      <c r="P5026" s="2" t="s">
        <v>2281</v>
      </c>
    </row>
    <row r="5027" spans="1:16" hidden="1">
      <c r="A5027" s="2">
        <v>202106</v>
      </c>
      <c r="B5027" s="3">
        <v>44365</v>
      </c>
      <c r="C5027" s="2" t="s">
        <v>2262</v>
      </c>
      <c r="D5027" s="2" t="s">
        <v>1184</v>
      </c>
      <c r="E5027" s="2">
        <v>30.49</v>
      </c>
      <c r="F5027" s="2" t="e">
        <f>IF(Table2[[#This Row],[Manual Cat Value]]="",VLOOKUP(Table2[[#This Row],[Description]],'Actuals Lookup'!D:F,3,0),Table2[[#This Row],[Manual Cat Value]])</f>
        <v>#N/A</v>
      </c>
      <c r="J5027" s="2">
        <v>30.49</v>
      </c>
      <c r="K5027" s="2" t="b">
        <v>0</v>
      </c>
      <c r="L5027" s="2"/>
      <c r="M5027" s="2"/>
      <c r="N5027" s="4" t="s">
        <v>2259</v>
      </c>
      <c r="O5027" s="4" t="str">
        <f>LEFT(Table2[[#This Row],[Description]],75)</f>
        <v>Maynard's</v>
      </c>
      <c r="P5027" s="2" t="s">
        <v>2504</v>
      </c>
    </row>
    <row r="5028" spans="1:16" hidden="1">
      <c r="A5028" s="2">
        <v>202106</v>
      </c>
      <c r="B5028" s="3">
        <v>44365</v>
      </c>
      <c r="C5028" s="2" t="s">
        <v>2265</v>
      </c>
      <c r="D5028" s="2" t="s">
        <v>1302</v>
      </c>
      <c r="E5028" s="2">
        <v>200</v>
      </c>
      <c r="F5028" s="2" t="e">
        <f>IF(Table2[[#This Row],[Manual Cat Value]]="",VLOOKUP(Table2[[#This Row],[Description]],'Actuals Lookup'!D:F,3,0),Table2[[#This Row],[Manual Cat Value]])</f>
        <v>#N/A</v>
      </c>
      <c r="J5028" s="2">
        <v>200</v>
      </c>
      <c r="K5028" s="2" t="b">
        <v>0</v>
      </c>
      <c r="L5028" s="2"/>
      <c r="M5028" s="2"/>
      <c r="N5028" s="4" t="s">
        <v>2259</v>
      </c>
      <c r="O5028" s="4" t="str">
        <f>LEFT(Table2[[#This Row],[Description]],75)</f>
        <v>MN DIR ACH TYPE CONTRIB ID CO MN MN DIR ACH TYPE CONTRIB ID CO MN DIR ACH A</v>
      </c>
      <c r="P5028" s="2" t="s">
        <v>2469</v>
      </c>
    </row>
    <row r="5029" spans="1:16" hidden="1">
      <c r="A5029" s="2">
        <v>202106</v>
      </c>
      <c r="B5029" s="3">
        <v>44365</v>
      </c>
      <c r="C5029" s="2" t="s">
        <v>2265</v>
      </c>
      <c r="D5029" s="2" t="s">
        <v>1471</v>
      </c>
      <c r="E5029" s="2">
        <v>6.03</v>
      </c>
      <c r="F5029" s="2" t="str">
        <f>IF(Table2[[#This Row],[Manual Cat Value]]="",VLOOKUP(Table2[[#This Row],[Description]],'Actuals Lookup'!D:F,3,0),Table2[[#This Row],[Manual Cat Value]])</f>
        <v>Shopping</v>
      </c>
      <c r="J5029" s="2">
        <v>6.03</v>
      </c>
      <c r="K5029" s="2" t="b">
        <v>0</v>
      </c>
      <c r="L5029" s="2"/>
      <c r="M5029" s="2"/>
      <c r="N5029" s="4" t="s">
        <v>2259</v>
      </c>
      <c r="O5029" s="4" t="str">
        <f>LEFT(Table2[[#This Row],[Description]],75)</f>
        <v>PayPal</v>
      </c>
      <c r="P5029" s="2" t="s">
        <v>2322</v>
      </c>
    </row>
    <row r="5030" spans="1:16" hidden="1">
      <c r="A5030" s="2">
        <v>202106</v>
      </c>
      <c r="B5030" s="3">
        <v>44365</v>
      </c>
      <c r="C5030" s="2" t="s">
        <v>2265</v>
      </c>
      <c r="D5030" s="2" t="s">
        <v>1471</v>
      </c>
      <c r="E5030" s="2">
        <v>30.18</v>
      </c>
      <c r="F5030" s="2" t="str">
        <f>IF(Table2[[#This Row],[Manual Cat Value]]="",VLOOKUP(Table2[[#This Row],[Description]],'Actuals Lookup'!D:F,3,0),Table2[[#This Row],[Manual Cat Value]])</f>
        <v>Shopping</v>
      </c>
      <c r="J5030" s="2">
        <v>30.18</v>
      </c>
      <c r="K5030" s="2" t="b">
        <v>0</v>
      </c>
      <c r="L5030" s="2"/>
      <c r="M5030" s="2"/>
      <c r="N5030" s="4" t="s">
        <v>2259</v>
      </c>
      <c r="O5030" s="4" t="str">
        <f>LEFT(Table2[[#This Row],[Description]],75)</f>
        <v>PayPal</v>
      </c>
      <c r="P5030" s="2" t="s">
        <v>2322</v>
      </c>
    </row>
    <row r="5031" spans="1:16" hidden="1">
      <c r="A5031" s="2">
        <v>202106</v>
      </c>
      <c r="B5031" s="3">
        <v>44365</v>
      </c>
      <c r="C5031" s="2" t="s">
        <v>2317</v>
      </c>
      <c r="D5031" s="2" t="s">
        <v>1553</v>
      </c>
      <c r="E5031" s="2">
        <v>76.03</v>
      </c>
      <c r="F5031" s="2" t="e">
        <f>IF(Table2[[#This Row],[Manual Cat Value]]="",VLOOKUP(Table2[[#This Row],[Description]],'Actuals Lookup'!D:F,3,0),Table2[[#This Row],[Manual Cat Value]])</f>
        <v>#N/A</v>
      </c>
      <c r="J5031" s="2">
        <v>76.03</v>
      </c>
      <c r="K5031" s="2" t="b">
        <v>0</v>
      </c>
      <c r="L5031" s="2"/>
      <c r="M5031" s="2"/>
      <c r="N5031" s="4" t="s">
        <v>2259</v>
      </c>
      <c r="O5031" s="4" t="str">
        <f>LEFT(Table2[[#This Row],[Description]],75)</f>
        <v>RAYTHEON TECHNOLOGIES CO</v>
      </c>
      <c r="P5031" s="2" t="s">
        <v>2385</v>
      </c>
    </row>
    <row r="5032" spans="1:16" hidden="1">
      <c r="A5032" s="2">
        <v>202106</v>
      </c>
      <c r="B5032" s="3">
        <v>44365</v>
      </c>
      <c r="C5032" s="2" t="s">
        <v>2262</v>
      </c>
      <c r="D5032" s="2" t="s">
        <v>1925</v>
      </c>
      <c r="E5032" s="2">
        <v>65.87</v>
      </c>
      <c r="F5032" s="2" t="str">
        <f>IF(Table2[[#This Row],[Manual Cat Value]]="",VLOOKUP(Table2[[#This Row],[Description]],'Actuals Lookup'!D:F,3,0),Table2[[#This Row],[Manual Cat Value]])</f>
        <v>Groceries</v>
      </c>
      <c r="J5032" s="2">
        <v>65.87</v>
      </c>
      <c r="K5032" s="2" t="b">
        <v>0</v>
      </c>
      <c r="L5032" s="2"/>
      <c r="M5032" s="2"/>
      <c r="N5032" s="4" t="s">
        <v>2259</v>
      </c>
      <c r="O5032" s="4" t="str">
        <f>LEFT(Table2[[#This Row],[Description]],75)</f>
        <v>Total Wine &amp; More</v>
      </c>
      <c r="P5032" s="2" t="s">
        <v>2281</v>
      </c>
    </row>
    <row r="5033" spans="1:16" hidden="1">
      <c r="A5033" s="2">
        <v>202106</v>
      </c>
      <c r="B5033" s="3">
        <v>44367</v>
      </c>
      <c r="C5033" s="2" t="s">
        <v>2262</v>
      </c>
      <c r="D5033" s="2" t="s">
        <v>187</v>
      </c>
      <c r="E5033" s="2">
        <v>126.05</v>
      </c>
      <c r="F5033" s="2" t="e">
        <f>IF(Table2[[#This Row],[Manual Cat Value]]="",VLOOKUP(Table2[[#This Row],[Description]],'Actuals Lookup'!D:F,3,0),Table2[[#This Row],[Manual Cat Value]])</f>
        <v>#N/A</v>
      </c>
      <c r="J5033" s="2">
        <v>126.05</v>
      </c>
      <c r="K5033" s="2" t="b">
        <v>0</v>
      </c>
      <c r="L5033" s="2"/>
      <c r="M5033" s="2"/>
      <c r="N5033" s="4" t="s">
        <v>2259</v>
      </c>
      <c r="O5033" s="4" t="str">
        <f>LEFT(Table2[[#This Row],[Description]],75)</f>
        <v>AVOADVOCARE INTL 8005424800 TX</v>
      </c>
      <c r="P5033" s="2" t="s">
        <v>2428</v>
      </c>
    </row>
    <row r="5034" spans="1:16" hidden="1">
      <c r="A5034" s="2">
        <v>202106</v>
      </c>
      <c r="B5034" s="3">
        <v>44367</v>
      </c>
      <c r="C5034" s="2" t="s">
        <v>2262</v>
      </c>
      <c r="D5034" s="2" t="s">
        <v>344</v>
      </c>
      <c r="E5034" s="2">
        <v>12.24</v>
      </c>
      <c r="F5034" s="2" t="e">
        <f>IF(Table2[[#This Row],[Manual Cat Value]]="",VLOOKUP(Table2[[#This Row],[Description]],'Actuals Lookup'!D:F,3,0),Table2[[#This Row],[Manual Cat Value]])</f>
        <v>#N/A</v>
      </c>
      <c r="J5034" s="2">
        <v>12.24</v>
      </c>
      <c r="K5034" s="2" t="b">
        <v>0</v>
      </c>
      <c r="L5034" s="2"/>
      <c r="M5034" s="2"/>
      <c r="N5034" s="4" t="s">
        <v>2259</v>
      </c>
      <c r="O5034" s="4" t="str">
        <f>LEFT(Table2[[#This Row],[Description]],75)</f>
        <v>Cafe Zupas</v>
      </c>
      <c r="P5034" s="2" t="s">
        <v>2281</v>
      </c>
    </row>
    <row r="5035" spans="1:16" hidden="1">
      <c r="A5035" s="2">
        <v>202106</v>
      </c>
      <c r="B5035" s="3">
        <v>44367</v>
      </c>
      <c r="C5035" s="2" t="s">
        <v>2262</v>
      </c>
      <c r="D5035" s="2" t="s">
        <v>785</v>
      </c>
      <c r="E5035" s="2">
        <v>61.21</v>
      </c>
      <c r="F5035" s="2" t="str">
        <f>IF(Table2[[#This Row],[Manual Cat Value]]="",VLOOKUP(Table2[[#This Row],[Description]],'Actuals Lookup'!D:F,3,0),Table2[[#This Row],[Manual Cat Value]])</f>
        <v>Restaurants</v>
      </c>
      <c r="J5035" s="2">
        <v>61.21</v>
      </c>
      <c r="K5035" s="2" t="b">
        <v>0</v>
      </c>
      <c r="L5035" s="2"/>
      <c r="M5035" s="2"/>
      <c r="N5035" s="4" t="s">
        <v>2259</v>
      </c>
      <c r="O5035" s="4" t="str">
        <f>LEFT(Table2[[#This Row],[Description]],75)</f>
        <v>Domino's Pizza</v>
      </c>
      <c r="P5035" s="2" t="s">
        <v>2431</v>
      </c>
    </row>
    <row r="5036" spans="1:16" hidden="1">
      <c r="A5036" s="2">
        <v>202106</v>
      </c>
      <c r="B5036" s="3">
        <v>44367</v>
      </c>
      <c r="C5036" s="2" t="s">
        <v>2262</v>
      </c>
      <c r="D5036" s="2" t="s">
        <v>1129</v>
      </c>
      <c r="E5036" s="2">
        <v>39.57</v>
      </c>
      <c r="F5036" s="2" t="e">
        <f>IF(Table2[[#This Row],[Manual Cat Value]]="",VLOOKUP(Table2[[#This Row],[Description]],'Actuals Lookup'!D:F,3,0),Table2[[#This Row],[Manual Cat Value]])</f>
        <v>#N/A</v>
      </c>
      <c r="J5036" s="2">
        <v>39.57</v>
      </c>
      <c r="K5036" s="2" t="b">
        <v>0</v>
      </c>
      <c r="L5036" s="2"/>
      <c r="M5036" s="2"/>
      <c r="N5036" s="4" t="s">
        <v>2259</v>
      </c>
      <c r="O5036" s="4" t="str">
        <f>LEFT(Table2[[#This Row],[Description]],75)</f>
        <v>LIQUOR BOY MINNEAPOLIS MN</v>
      </c>
      <c r="P5036" s="2" t="s">
        <v>2281</v>
      </c>
    </row>
    <row r="5037" spans="1:16" hidden="1">
      <c r="A5037" s="2">
        <v>202106</v>
      </c>
      <c r="B5037" s="3">
        <v>44367</v>
      </c>
      <c r="C5037" s="2" t="s">
        <v>2262</v>
      </c>
      <c r="D5037" s="2" t="s">
        <v>1168</v>
      </c>
      <c r="E5037" s="2">
        <v>8.99</v>
      </c>
      <c r="F5037" s="2" t="str">
        <f>IF(Table2[[#This Row],[Manual Cat Value]]="",VLOOKUP(Table2[[#This Row],[Description]],'Actuals Lookup'!D:F,3,0),Table2[[#This Row],[Manual Cat Value]])</f>
        <v>Transportation</v>
      </c>
      <c r="J5037" s="2">
        <v>8.99</v>
      </c>
      <c r="K5037" s="2" t="b">
        <v>0</v>
      </c>
      <c r="L5037" s="2"/>
      <c r="M5037" s="2"/>
      <c r="N5037" s="4" t="s">
        <v>2259</v>
      </c>
      <c r="O5037" s="4" t="str">
        <f>LEFT(Table2[[#This Row],[Description]],75)</f>
        <v>Lyft</v>
      </c>
      <c r="P5037" s="2" t="s">
        <v>2414</v>
      </c>
    </row>
    <row r="5038" spans="1:16" hidden="1">
      <c r="A5038" s="2">
        <v>202106</v>
      </c>
      <c r="B5038" s="3">
        <v>44367</v>
      </c>
      <c r="C5038" s="2" t="s">
        <v>2262</v>
      </c>
      <c r="D5038" s="2" t="s">
        <v>1253</v>
      </c>
      <c r="E5038" s="2">
        <v>9.99</v>
      </c>
      <c r="F5038" s="2" t="e">
        <f>IF(Table2[[#This Row],[Manual Cat Value]]="",VLOOKUP(Table2[[#This Row],[Description]],'Actuals Lookup'!D:F,3,0),Table2[[#This Row],[Manual Cat Value]])</f>
        <v>#N/A</v>
      </c>
      <c r="J5038" s="2">
        <v>9.99</v>
      </c>
      <c r="K5038" s="2" t="b">
        <v>0</v>
      </c>
      <c r="L5038" s="2"/>
      <c r="M5038" s="2"/>
      <c r="N5038" s="4" t="s">
        <v>2259</v>
      </c>
      <c r="O5038" s="4" t="str">
        <f>LEFT(Table2[[#This Row],[Description]],75)</f>
        <v>Milios</v>
      </c>
      <c r="P5038" s="2" t="s">
        <v>2281</v>
      </c>
    </row>
    <row r="5039" spans="1:16" hidden="1">
      <c r="A5039" s="2">
        <v>202106</v>
      </c>
      <c r="B5039" s="3">
        <v>44367</v>
      </c>
      <c r="C5039" s="2" t="s">
        <v>2262</v>
      </c>
      <c r="D5039" s="2" t="s">
        <v>1403</v>
      </c>
      <c r="E5039" s="2">
        <v>20.7</v>
      </c>
      <c r="F5039" s="2" t="e">
        <f>IF(Table2[[#This Row],[Manual Cat Value]]="",VLOOKUP(Table2[[#This Row],[Description]],'Actuals Lookup'!D:F,3,0),Table2[[#This Row],[Manual Cat Value]])</f>
        <v>#N/A</v>
      </c>
      <c r="J5039" s="2">
        <v>20.7</v>
      </c>
      <c r="K5039" s="2" t="b">
        <v>0</v>
      </c>
      <c r="L5039" s="2"/>
      <c r="M5039" s="2"/>
      <c r="N5039" s="4" t="s">
        <v>2259</v>
      </c>
      <c r="O5039" s="4" t="str">
        <f>LEFT(Table2[[#This Row],[Description]],75)</f>
        <v>Parley Lake Winery, LLP</v>
      </c>
      <c r="P5039" s="2" t="s">
        <v>2281</v>
      </c>
    </row>
    <row r="5040" spans="1:16" hidden="1">
      <c r="A5040" s="2">
        <v>202106</v>
      </c>
      <c r="B5040" s="3">
        <v>44367</v>
      </c>
      <c r="C5040" s="2" t="s">
        <v>2262</v>
      </c>
      <c r="D5040" s="2" t="s">
        <v>1721</v>
      </c>
      <c r="E5040" s="2">
        <v>14</v>
      </c>
      <c r="F5040" s="2" t="e">
        <f>IF(Table2[[#This Row],[Manual Cat Value]]="",VLOOKUP(Table2[[#This Row],[Description]],'Actuals Lookup'!D:F,3,0),Table2[[#This Row],[Manual Cat Value]])</f>
        <v>#N/A</v>
      </c>
      <c r="J5040" s="2">
        <v>14</v>
      </c>
      <c r="K5040" s="2" t="b">
        <v>0</v>
      </c>
      <c r="L5040" s="2"/>
      <c r="M5040" s="2"/>
      <c r="N5040" s="4" t="s">
        <v>2259</v>
      </c>
      <c r="O5040" s="4" t="str">
        <f>LEFT(Table2[[#This Row],[Description]],75)</f>
        <v>SQ DINE11 Waconia MN</v>
      </c>
      <c r="P5040" s="2" t="s">
        <v>2281</v>
      </c>
    </row>
    <row r="5041" spans="1:16" hidden="1">
      <c r="A5041" s="2">
        <v>202106</v>
      </c>
      <c r="B5041" s="3">
        <v>44367</v>
      </c>
      <c r="C5041" s="2" t="s">
        <v>2262</v>
      </c>
      <c r="D5041" s="2" t="s">
        <v>1772</v>
      </c>
      <c r="E5041" s="2">
        <v>213.68</v>
      </c>
      <c r="F5041" s="2" t="e">
        <f>IF(Table2[[#This Row],[Manual Cat Value]]="",VLOOKUP(Table2[[#This Row],[Description]],'Actuals Lookup'!D:F,3,0),Table2[[#This Row],[Manual Cat Value]])</f>
        <v>#N/A</v>
      </c>
      <c r="J5041" s="2">
        <v>213.68</v>
      </c>
      <c r="K5041" s="2" t="b">
        <v>0</v>
      </c>
      <c r="L5041" s="2"/>
      <c r="M5041" s="2"/>
      <c r="N5041" s="4" t="s">
        <v>2259</v>
      </c>
      <c r="O5041" s="4" t="str">
        <f>LEFT(Table2[[#This Row],[Description]],75)</f>
        <v>Staples</v>
      </c>
      <c r="P5041" s="2" t="s">
        <v>2281</v>
      </c>
    </row>
    <row r="5042" spans="1:16" hidden="1">
      <c r="A5042" s="2">
        <v>202106</v>
      </c>
      <c r="B5042" s="3">
        <v>44368</v>
      </c>
      <c r="C5042" s="2" t="s">
        <v>2258</v>
      </c>
      <c r="D5042" s="2" t="s">
        <v>38</v>
      </c>
      <c r="E5042" s="2">
        <v>18.940000000000001</v>
      </c>
      <c r="F5042" s="2" t="str">
        <f>IF(Table2[[#This Row],[Manual Cat Value]]="",VLOOKUP(Table2[[#This Row],[Description]],'Actuals Lookup'!D:F,3,0),Table2[[#This Row],[Manual Cat Value]])</f>
        <v>Amazon</v>
      </c>
      <c r="J5042" s="2">
        <v>18.940000000000001</v>
      </c>
      <c r="K5042" s="2" t="b">
        <v>0</v>
      </c>
      <c r="L5042" s="2"/>
      <c r="M5042" s="2"/>
      <c r="N5042" s="4" t="s">
        <v>2259</v>
      </c>
      <c r="O5042" s="4" t="str">
        <f>LEFT(Table2[[#This Row],[Description]],75)</f>
        <v>Amazon</v>
      </c>
      <c r="P5042" s="2" t="s">
        <v>2260</v>
      </c>
    </row>
    <row r="5043" spans="1:16" hidden="1">
      <c r="A5043" s="2">
        <v>202106</v>
      </c>
      <c r="B5043" s="3">
        <v>44368</v>
      </c>
      <c r="C5043" s="2" t="s">
        <v>2258</v>
      </c>
      <c r="D5043" s="2" t="s">
        <v>38</v>
      </c>
      <c r="E5043" s="2">
        <v>32.159999999999997</v>
      </c>
      <c r="F5043" s="2" t="str">
        <f>IF(Table2[[#This Row],[Manual Cat Value]]="",VLOOKUP(Table2[[#This Row],[Description]],'Actuals Lookup'!D:F,3,0),Table2[[#This Row],[Manual Cat Value]])</f>
        <v>Amazon</v>
      </c>
      <c r="J5043" s="2">
        <v>32.159999999999997</v>
      </c>
      <c r="K5043" s="2" t="b">
        <v>0</v>
      </c>
      <c r="L5043" s="2"/>
      <c r="M5043" s="2"/>
      <c r="N5043" s="4" t="s">
        <v>2259</v>
      </c>
      <c r="O5043" s="4" t="str">
        <f>LEFT(Table2[[#This Row],[Description]],75)</f>
        <v>Amazon</v>
      </c>
      <c r="P5043" s="2" t="s">
        <v>2260</v>
      </c>
    </row>
    <row r="5044" spans="1:16" hidden="1">
      <c r="A5044" s="2">
        <v>202106</v>
      </c>
      <c r="B5044" s="3">
        <v>44368</v>
      </c>
      <c r="C5044" s="2" t="s">
        <v>2258</v>
      </c>
      <c r="D5044" s="2" t="s">
        <v>38</v>
      </c>
      <c r="E5044" s="2">
        <v>60</v>
      </c>
      <c r="F5044" s="2" t="str">
        <f>IF(Table2[[#This Row],[Manual Cat Value]]="",VLOOKUP(Table2[[#This Row],[Description]],'Actuals Lookup'!D:F,3,0),Table2[[#This Row],[Manual Cat Value]])</f>
        <v>Amazon</v>
      </c>
      <c r="J5044" s="2">
        <v>60</v>
      </c>
      <c r="K5044" s="2" t="b">
        <v>0</v>
      </c>
      <c r="L5044" s="2"/>
      <c r="M5044" s="2"/>
      <c r="N5044" s="4" t="s">
        <v>2259</v>
      </c>
      <c r="O5044" s="4" t="str">
        <f>LEFT(Table2[[#This Row],[Description]],75)</f>
        <v>Amazon</v>
      </c>
      <c r="P5044" s="2" t="s">
        <v>2260</v>
      </c>
    </row>
    <row r="5045" spans="1:16" hidden="1">
      <c r="A5045" s="2">
        <v>202106</v>
      </c>
      <c r="B5045" s="3">
        <v>44368</v>
      </c>
      <c r="C5045" s="2" t="s">
        <v>2447</v>
      </c>
      <c r="D5045" s="2" t="s">
        <v>38</v>
      </c>
      <c r="E5045" s="2">
        <v>18.940000000000001</v>
      </c>
      <c r="F5045" s="2" t="str">
        <f>IF(Table2[[#This Row],[Manual Cat Value]]="",VLOOKUP(Table2[[#This Row],[Description]],'Actuals Lookup'!D:F,3,0),Table2[[#This Row],[Manual Cat Value]])</f>
        <v>Amazon</v>
      </c>
      <c r="J5045" s="2">
        <v>18.940000000000001</v>
      </c>
      <c r="K5045" s="2" t="b">
        <v>0</v>
      </c>
      <c r="L5045" s="2"/>
      <c r="M5045" s="2"/>
      <c r="N5045" s="4" t="s">
        <v>2259</v>
      </c>
      <c r="O5045" s="4" t="str">
        <f>LEFT(Table2[[#This Row],[Description]],75)</f>
        <v>Amazon</v>
      </c>
      <c r="P5045" s="2" t="s">
        <v>2260</v>
      </c>
    </row>
    <row r="5046" spans="1:16" hidden="1">
      <c r="A5046" s="2">
        <v>202106</v>
      </c>
      <c r="B5046" s="3">
        <v>44368</v>
      </c>
      <c r="C5046" s="2" t="s">
        <v>2447</v>
      </c>
      <c r="D5046" s="2" t="s">
        <v>38</v>
      </c>
      <c r="E5046" s="2">
        <v>32.159999999999997</v>
      </c>
      <c r="F5046" s="2" t="str">
        <f>IF(Table2[[#This Row],[Manual Cat Value]]="",VLOOKUP(Table2[[#This Row],[Description]],'Actuals Lookup'!D:F,3,0),Table2[[#This Row],[Manual Cat Value]])</f>
        <v>Amazon</v>
      </c>
      <c r="J5046" s="2">
        <v>32.159999999999997</v>
      </c>
      <c r="K5046" s="2" t="b">
        <v>0</v>
      </c>
      <c r="L5046" s="2"/>
      <c r="M5046" s="2"/>
      <c r="N5046" s="4" t="s">
        <v>2259</v>
      </c>
      <c r="O5046" s="4" t="str">
        <f>LEFT(Table2[[#This Row],[Description]],75)</f>
        <v>Amazon</v>
      </c>
      <c r="P5046" s="2" t="s">
        <v>2260</v>
      </c>
    </row>
    <row r="5047" spans="1:16" hidden="1">
      <c r="A5047" s="2">
        <v>202106</v>
      </c>
      <c r="B5047" s="3">
        <v>44368</v>
      </c>
      <c r="C5047" s="2" t="s">
        <v>2447</v>
      </c>
      <c r="D5047" s="2" t="s">
        <v>38</v>
      </c>
      <c r="E5047" s="2">
        <v>60</v>
      </c>
      <c r="F5047" s="2" t="str">
        <f>IF(Table2[[#This Row],[Manual Cat Value]]="",VLOOKUP(Table2[[#This Row],[Description]],'Actuals Lookup'!D:F,3,0),Table2[[#This Row],[Manual Cat Value]])</f>
        <v>Amazon</v>
      </c>
      <c r="J5047" s="2">
        <v>60</v>
      </c>
      <c r="K5047" s="2" t="b">
        <v>0</v>
      </c>
      <c r="L5047" s="2"/>
      <c r="M5047" s="2"/>
      <c r="N5047" s="4" t="s">
        <v>2259</v>
      </c>
      <c r="O5047" s="4" t="str">
        <f>LEFT(Table2[[#This Row],[Description]],75)</f>
        <v>Amazon</v>
      </c>
      <c r="P5047" s="2" t="s">
        <v>2260</v>
      </c>
    </row>
    <row r="5048" spans="1:16" hidden="1">
      <c r="A5048" s="2">
        <v>202106</v>
      </c>
      <c r="B5048" s="3">
        <v>44368</v>
      </c>
      <c r="C5048" s="2" t="s">
        <v>2262</v>
      </c>
      <c r="D5048" s="2" t="s">
        <v>310</v>
      </c>
      <c r="E5048" s="2">
        <v>9</v>
      </c>
      <c r="F5048" s="2" t="e">
        <f>IF(Table2[[#This Row],[Manual Cat Value]]="",VLOOKUP(Table2[[#This Row],[Description]],'Actuals Lookup'!D:F,3,0),Table2[[#This Row],[Manual Cat Value]])</f>
        <v>#N/A</v>
      </c>
      <c r="J5048" s="2">
        <v>9</v>
      </c>
      <c r="K5048" s="2" t="b">
        <v>0</v>
      </c>
      <c r="L5048" s="2"/>
      <c r="M5048" s="2"/>
      <c r="N5048" s="4" t="s">
        <v>2259</v>
      </c>
      <c r="O5048" s="4" t="str">
        <f>LEFT(Table2[[#This Row],[Description]],75)</f>
        <v>BONFES PLUMBING HEATING ASOUTH SAINT PMN</v>
      </c>
      <c r="P5048" s="2" t="s">
        <v>2537</v>
      </c>
    </row>
    <row r="5049" spans="1:16" hidden="1">
      <c r="A5049" s="2">
        <v>202106</v>
      </c>
      <c r="B5049" s="3">
        <v>44368</v>
      </c>
      <c r="C5049" s="2" t="s">
        <v>2265</v>
      </c>
      <c r="D5049" s="2" t="s">
        <v>505</v>
      </c>
      <c r="E5049" s="2">
        <v>102.5</v>
      </c>
      <c r="F5049" s="2" t="e">
        <f>IF(Table2[[#This Row],[Manual Cat Value]]="",VLOOKUP(Table2[[#This Row],[Description]],'Actuals Lookup'!D:F,3,0),Table2[[#This Row],[Manual Cat Value]])</f>
        <v>#N/A</v>
      </c>
      <c r="J5049" s="2">
        <v>102.5</v>
      </c>
      <c r="K5049" s="2" t="b">
        <v>0</v>
      </c>
      <c r="L5049" s="2"/>
      <c r="M5049" s="2"/>
      <c r="N5049" s="4" t="s">
        <v>2259</v>
      </c>
      <c r="O5049" s="4" t="str">
        <f>LEFT(Table2[[#This Row],[Description]],75)</f>
        <v>Century Theaters</v>
      </c>
      <c r="P5049" s="2" t="s">
        <v>2281</v>
      </c>
    </row>
    <row r="5050" spans="1:16" hidden="1">
      <c r="A5050" s="2">
        <v>202106</v>
      </c>
      <c r="B5050" s="3">
        <v>44368</v>
      </c>
      <c r="C5050" s="2" t="s">
        <v>2265</v>
      </c>
      <c r="D5050" s="2" t="s">
        <v>557</v>
      </c>
      <c r="E5050" s="2">
        <v>79.95</v>
      </c>
      <c r="F5050" s="2" t="e">
        <f>IF(Table2[[#This Row],[Manual Cat Value]]="",VLOOKUP(Table2[[#This Row],[Description]],'Actuals Lookup'!D:F,3,0),Table2[[#This Row],[Manual Cat Value]])</f>
        <v>#N/A</v>
      </c>
      <c r="J5050" s="2">
        <v>79.95</v>
      </c>
      <c r="K5050" s="2" t="b">
        <v>0</v>
      </c>
      <c r="L5050" s="2"/>
      <c r="M5050" s="2"/>
      <c r="N5050" s="4" t="s">
        <v>2259</v>
      </c>
      <c r="O5050" s="4" t="str">
        <f>LEFT(Table2[[#This Row],[Description]],75)</f>
        <v>City of Chanhassen</v>
      </c>
      <c r="P5050" s="2" t="s">
        <v>2298</v>
      </c>
    </row>
    <row r="5051" spans="1:16" hidden="1">
      <c r="A5051" s="2">
        <v>202106</v>
      </c>
      <c r="B5051" s="3">
        <v>44368</v>
      </c>
      <c r="C5051" s="2" t="s">
        <v>2265</v>
      </c>
      <c r="D5051" s="2" t="s">
        <v>1389</v>
      </c>
      <c r="E5051" s="2">
        <v>-102.5</v>
      </c>
      <c r="F5051" s="2" t="e">
        <f>IF(Table2[[#This Row],[Manual Cat Value]]="",VLOOKUP(Table2[[#This Row],[Description]],'Actuals Lookup'!D:F,3,0),Table2[[#This Row],[Manual Cat Value]])</f>
        <v>#N/A</v>
      </c>
      <c r="J5051" s="2">
        <v>102.5</v>
      </c>
      <c r="K5051" s="2" t="b">
        <v>0</v>
      </c>
      <c r="L5051" s="2"/>
      <c r="M5051" s="2"/>
      <c r="N5051" s="4" t="s">
        <v>2273</v>
      </c>
      <c r="O5051" s="4" t="str">
        <f>LEFT(Table2[[#This Row],[Description]],75)</f>
        <v>Pai Iso Century</v>
      </c>
      <c r="P5051" s="2" t="s">
        <v>2281</v>
      </c>
    </row>
    <row r="5052" spans="1:16" hidden="1">
      <c r="A5052" s="2">
        <v>202106</v>
      </c>
      <c r="B5052" s="3">
        <v>44368</v>
      </c>
      <c r="C5052" s="2" t="s">
        <v>2265</v>
      </c>
      <c r="D5052" s="2" t="s">
        <v>1471</v>
      </c>
      <c r="E5052" s="2">
        <v>67.8</v>
      </c>
      <c r="F5052" s="2" t="str">
        <f>IF(Table2[[#This Row],[Manual Cat Value]]="",VLOOKUP(Table2[[#This Row],[Description]],'Actuals Lookup'!D:F,3,0),Table2[[#This Row],[Manual Cat Value]])</f>
        <v>Shopping</v>
      </c>
      <c r="J5052" s="2">
        <v>67.8</v>
      </c>
      <c r="K5052" s="2" t="b">
        <v>0</v>
      </c>
      <c r="L5052" s="2"/>
      <c r="M5052" s="2"/>
      <c r="N5052" s="4" t="s">
        <v>2259</v>
      </c>
      <c r="O5052" s="4" t="str">
        <f>LEFT(Table2[[#This Row],[Description]],75)</f>
        <v>PayPal</v>
      </c>
      <c r="P5052" s="2" t="s">
        <v>2322</v>
      </c>
    </row>
    <row r="5053" spans="1:16" hidden="1">
      <c r="A5053" s="2">
        <v>202106</v>
      </c>
      <c r="B5053" s="3">
        <v>44368</v>
      </c>
      <c r="C5053" s="2" t="s">
        <v>2265</v>
      </c>
      <c r="D5053" s="2" t="s">
        <v>1471</v>
      </c>
      <c r="E5053" s="2">
        <v>267.36</v>
      </c>
      <c r="F5053" s="2" t="str">
        <f>IF(Table2[[#This Row],[Manual Cat Value]]="",VLOOKUP(Table2[[#This Row],[Description]],'Actuals Lookup'!D:F,3,0),Table2[[#This Row],[Manual Cat Value]])</f>
        <v>Shopping</v>
      </c>
      <c r="J5053" s="2">
        <v>267.36</v>
      </c>
      <c r="K5053" s="2" t="b">
        <v>0</v>
      </c>
      <c r="L5053" s="2"/>
      <c r="M5053" s="2"/>
      <c r="N5053" s="4" t="s">
        <v>2259</v>
      </c>
      <c r="O5053" s="4" t="str">
        <f>LEFT(Table2[[#This Row],[Description]],75)</f>
        <v>PayPal</v>
      </c>
      <c r="P5053" s="2" t="s">
        <v>2322</v>
      </c>
    </row>
    <row r="5054" spans="1:16" hidden="1">
      <c r="A5054" s="2">
        <v>202106</v>
      </c>
      <c r="B5054" s="3">
        <v>44368</v>
      </c>
      <c r="C5054" s="2" t="s">
        <v>2262</v>
      </c>
      <c r="D5054" s="2" t="s">
        <v>2018</v>
      </c>
      <c r="E5054" s="2">
        <v>54.03</v>
      </c>
      <c r="F5054" s="2" t="e">
        <f>IF(Table2[[#This Row],[Manual Cat Value]]="",VLOOKUP(Table2[[#This Row],[Description]],'Actuals Lookup'!D:F,3,0),Table2[[#This Row],[Manual Cat Value]])</f>
        <v>#N/A</v>
      </c>
      <c r="J5054" s="2">
        <v>54.03</v>
      </c>
      <c r="K5054" s="2" t="b">
        <v>0</v>
      </c>
      <c r="L5054" s="2"/>
      <c r="M5054" s="2"/>
      <c r="N5054" s="4" t="s">
        <v>2259</v>
      </c>
      <c r="O5054" s="4" t="str">
        <f>LEFT(Table2[[#This Row],[Description]],75)</f>
        <v>TST KASKAID CRAVE FOODMINNETONKA MN</v>
      </c>
      <c r="P5054" s="2" t="s">
        <v>2281</v>
      </c>
    </row>
    <row r="5055" spans="1:16" hidden="1">
      <c r="A5055" s="2">
        <v>202106</v>
      </c>
      <c r="B5055" s="3">
        <v>44368</v>
      </c>
      <c r="C5055" s="2" t="s">
        <v>2262</v>
      </c>
      <c r="D5055" s="2" t="s">
        <v>2045</v>
      </c>
      <c r="E5055" s="2">
        <v>10.039999999999999</v>
      </c>
      <c r="F5055" s="2" t="e">
        <f>IF(Table2[[#This Row],[Manual Cat Value]]="",VLOOKUP(Table2[[#This Row],[Description]],'Actuals Lookup'!D:F,3,0),Table2[[#This Row],[Manual Cat Value]])</f>
        <v>#N/A</v>
      </c>
      <c r="J5055" s="2">
        <v>10.039999999999999</v>
      </c>
      <c r="K5055" s="2" t="b">
        <v>0</v>
      </c>
      <c r="L5055" s="2"/>
      <c r="M5055" s="2"/>
      <c r="N5055" s="4" t="s">
        <v>2259</v>
      </c>
      <c r="O5055" s="4" t="str">
        <f>LEFT(Table2[[#This Row],[Description]],75)</f>
        <v>TST THE FREEHOUSE MINNEAPOLIS MN</v>
      </c>
      <c r="P5055" s="2" t="s">
        <v>2281</v>
      </c>
    </row>
    <row r="5056" spans="1:16" hidden="1">
      <c r="A5056" s="2">
        <v>202106</v>
      </c>
      <c r="B5056" s="3">
        <v>44368</v>
      </c>
      <c r="C5056" s="2" t="s">
        <v>2262</v>
      </c>
      <c r="D5056" s="2" t="s">
        <v>2045</v>
      </c>
      <c r="E5056" s="2">
        <v>30.96</v>
      </c>
      <c r="F5056" s="2" t="e">
        <f>IF(Table2[[#This Row],[Manual Cat Value]]="",VLOOKUP(Table2[[#This Row],[Description]],'Actuals Lookup'!D:F,3,0),Table2[[#This Row],[Manual Cat Value]])</f>
        <v>#N/A</v>
      </c>
      <c r="J5056" s="2">
        <v>30.96</v>
      </c>
      <c r="K5056" s="2" t="b">
        <v>0</v>
      </c>
      <c r="L5056" s="2"/>
      <c r="M5056" s="2"/>
      <c r="N5056" s="4" t="s">
        <v>2259</v>
      </c>
      <c r="O5056" s="4" t="str">
        <f>LEFT(Table2[[#This Row],[Description]],75)</f>
        <v>TST THE FREEHOUSE MINNEAPOLIS MN</v>
      </c>
      <c r="P5056" s="2" t="s">
        <v>2281</v>
      </c>
    </row>
    <row r="5057" spans="1:16" hidden="1">
      <c r="A5057" s="2">
        <v>202106</v>
      </c>
      <c r="B5057" s="3">
        <v>44368</v>
      </c>
      <c r="C5057" s="2" t="s">
        <v>2265</v>
      </c>
      <c r="D5057" s="2" t="s">
        <v>2152</v>
      </c>
      <c r="E5057" s="2">
        <v>204</v>
      </c>
      <c r="F5057" s="2" t="e">
        <f>IF(Table2[[#This Row],[Manual Cat Value]]="",VLOOKUP(Table2[[#This Row],[Description]],'Actuals Lookup'!D:F,3,0),Table2[[#This Row],[Manual Cat Value]])</f>
        <v>#N/A</v>
      </c>
      <c r="J5057" s="2">
        <v>204</v>
      </c>
      <c r="K5057" s="2" t="b">
        <v>0</v>
      </c>
      <c r="L5057" s="2"/>
      <c r="M5057" s="2"/>
      <c r="N5057" s="4" t="s">
        <v>2259</v>
      </c>
      <c r="O5057" s="4" t="str">
        <f>LEFT(Table2[[#This Row],[Description]],75)</f>
        <v>Westin</v>
      </c>
      <c r="P5057" s="2" t="s">
        <v>2281</v>
      </c>
    </row>
    <row r="5058" spans="1:16" hidden="1">
      <c r="A5058" s="2">
        <v>202106</v>
      </c>
      <c r="B5058" s="3">
        <v>44369</v>
      </c>
      <c r="C5058" s="2" t="s">
        <v>2258</v>
      </c>
      <c r="D5058" s="2" t="s">
        <v>38</v>
      </c>
      <c r="E5058" s="2">
        <v>103.85</v>
      </c>
      <c r="F5058" s="2" t="str">
        <f>IF(Table2[[#This Row],[Manual Cat Value]]="",VLOOKUP(Table2[[#This Row],[Description]],'Actuals Lookup'!D:F,3,0),Table2[[#This Row],[Manual Cat Value]])</f>
        <v>Amazon</v>
      </c>
      <c r="J5058" s="2">
        <v>103.85</v>
      </c>
      <c r="K5058" s="2" t="b">
        <v>0</v>
      </c>
      <c r="L5058" s="2"/>
      <c r="M5058" s="2"/>
      <c r="N5058" s="4" t="s">
        <v>2259</v>
      </c>
      <c r="O5058" s="4" t="str">
        <f>LEFT(Table2[[#This Row],[Description]],75)</f>
        <v>Amazon</v>
      </c>
      <c r="P5058" s="2" t="s">
        <v>2260</v>
      </c>
    </row>
    <row r="5059" spans="1:16" hidden="1">
      <c r="A5059" s="2">
        <v>202106</v>
      </c>
      <c r="B5059" s="3">
        <v>44369</v>
      </c>
      <c r="C5059" s="2" t="s">
        <v>2447</v>
      </c>
      <c r="D5059" s="2" t="s">
        <v>38</v>
      </c>
      <c r="E5059" s="2">
        <v>103.85</v>
      </c>
      <c r="F5059" s="2" t="str">
        <f>IF(Table2[[#This Row],[Manual Cat Value]]="",VLOOKUP(Table2[[#This Row],[Description]],'Actuals Lookup'!D:F,3,0),Table2[[#This Row],[Manual Cat Value]])</f>
        <v>Amazon</v>
      </c>
      <c r="J5059" s="2">
        <v>103.85</v>
      </c>
      <c r="K5059" s="2" t="b">
        <v>0</v>
      </c>
      <c r="L5059" s="2"/>
      <c r="M5059" s="2"/>
      <c r="N5059" s="4" t="s">
        <v>2259</v>
      </c>
      <c r="O5059" s="4" t="str">
        <f>LEFT(Table2[[#This Row],[Description]],75)</f>
        <v>Amazon</v>
      </c>
      <c r="P5059" s="2" t="s">
        <v>2260</v>
      </c>
    </row>
    <row r="5060" spans="1:16" hidden="1">
      <c r="A5060" s="2">
        <v>202106</v>
      </c>
      <c r="B5060" s="3">
        <v>44369</v>
      </c>
      <c r="C5060" s="2" t="s">
        <v>2262</v>
      </c>
      <c r="D5060" s="2" t="s">
        <v>808</v>
      </c>
      <c r="E5060" s="2">
        <v>30</v>
      </c>
      <c r="F5060" s="2" t="str">
        <f>IF(Table2[[#This Row],[Manual Cat Value]]="",VLOOKUP(Table2[[#This Row],[Description]],'Actuals Lookup'!D:F,3,0),Table2[[#This Row],[Manual Cat Value]])</f>
        <v>Misc</v>
      </c>
      <c r="J5060" s="2">
        <v>30</v>
      </c>
      <c r="K5060" s="2" t="b">
        <v>0</v>
      </c>
      <c r="L5060" s="2"/>
      <c r="M5060" s="2"/>
      <c r="N5060" s="4" t="s">
        <v>2259</v>
      </c>
      <c r="O5060" s="4" t="str">
        <f>LEFT(Table2[[#This Row],[Description]],75)</f>
        <v>Elite Nails</v>
      </c>
      <c r="P5060" s="2" t="s">
        <v>2487</v>
      </c>
    </row>
    <row r="5061" spans="1:16" hidden="1">
      <c r="A5061" s="2">
        <v>202106</v>
      </c>
      <c r="B5061" s="3">
        <v>44369</v>
      </c>
      <c r="C5061" s="2" t="s">
        <v>2265</v>
      </c>
      <c r="D5061" s="2" t="s">
        <v>1196</v>
      </c>
      <c r="E5061" s="2">
        <v>528.79999999999995</v>
      </c>
      <c r="F5061" s="2" t="e">
        <f>IF(Table2[[#This Row],[Manual Cat Value]]="",VLOOKUP(Table2[[#This Row],[Description]],'Actuals Lookup'!D:F,3,0),Table2[[#This Row],[Manual Cat Value]])</f>
        <v>#N/A</v>
      </c>
      <c r="J5061" s="2">
        <v>528.79999999999995</v>
      </c>
      <c r="K5061" s="2" t="b">
        <v>0</v>
      </c>
      <c r="L5061" s="2"/>
      <c r="M5061" s="2"/>
      <c r="N5061" s="4" t="s">
        <v>2259</v>
      </c>
      <c r="O5061" s="4" t="str">
        <f>LEFT(Table2[[#This Row],[Description]],75)</f>
        <v>MHCHILDCARELLC TYPE DUES ID CO M MHCHILDCARELLC TYPE DUES ID CO MHCHILDCARE</v>
      </c>
      <c r="P5061" s="2" t="s">
        <v>2497</v>
      </c>
    </row>
    <row r="5062" spans="1:16" hidden="1">
      <c r="A5062" s="2">
        <v>202106</v>
      </c>
      <c r="B5062" s="3">
        <v>44369</v>
      </c>
      <c r="C5062" s="2" t="s">
        <v>2317</v>
      </c>
      <c r="D5062" s="2" t="s">
        <v>1633</v>
      </c>
      <c r="E5062" s="2">
        <v>200</v>
      </c>
      <c r="F5062" s="2" t="e">
        <f>IF(Table2[[#This Row],[Manual Cat Value]]="",VLOOKUP(Table2[[#This Row],[Description]],'Actuals Lookup'!D:F,3,0),Table2[[#This Row],[Manual Cat Value]])</f>
        <v>#N/A</v>
      </c>
      <c r="J5062" s="2">
        <v>200</v>
      </c>
      <c r="K5062" s="2" t="b">
        <v>0</v>
      </c>
      <c r="L5062" s="2"/>
      <c r="M5062" s="2"/>
      <c r="N5062" s="4" t="s">
        <v>2259</v>
      </c>
      <c r="O5062" s="4" t="str">
        <f>LEFT(Table2[[#This Row],[Description]],75)</f>
        <v>SCHWAB S&amp;P 500 INDEX FD</v>
      </c>
      <c r="P5062" s="2" t="s">
        <v>2276</v>
      </c>
    </row>
    <row r="5063" spans="1:16" hidden="1">
      <c r="A5063" s="2">
        <v>202106</v>
      </c>
      <c r="B5063" s="3">
        <v>44369</v>
      </c>
      <c r="C5063" s="2" t="s">
        <v>2317</v>
      </c>
      <c r="D5063" s="2" t="s">
        <v>1635</v>
      </c>
      <c r="E5063" s="2">
        <v>200</v>
      </c>
      <c r="F5063" s="2" t="e">
        <f>IF(Table2[[#This Row],[Manual Cat Value]]="",VLOOKUP(Table2[[#This Row],[Description]],'Actuals Lookup'!D:F,3,0),Table2[[#This Row],[Manual Cat Value]])</f>
        <v>#N/A</v>
      </c>
      <c r="J5063" s="2">
        <v>200</v>
      </c>
      <c r="K5063" s="2" t="b">
        <v>0</v>
      </c>
      <c r="L5063" s="2"/>
      <c r="M5063" s="2"/>
      <c r="N5063" s="4" t="s">
        <v>2259</v>
      </c>
      <c r="O5063" s="4" t="str">
        <f>LEFT(Table2[[#This Row],[Description]],75)</f>
        <v>SCHWAB TOTAL STOCK MKT INDEX</v>
      </c>
      <c r="P5063" s="2" t="s">
        <v>2278</v>
      </c>
    </row>
    <row r="5064" spans="1:16" hidden="1">
      <c r="A5064" s="2">
        <v>202106</v>
      </c>
      <c r="B5064" s="3">
        <v>44370</v>
      </c>
      <c r="C5064" s="2" t="s">
        <v>2317</v>
      </c>
      <c r="D5064" s="2" t="s">
        <v>913</v>
      </c>
      <c r="E5064" s="2">
        <v>-0.01</v>
      </c>
      <c r="F5064" s="2" t="e">
        <f>IF(Table2[[#This Row],[Manual Cat Value]]="",VLOOKUP(Table2[[#This Row],[Description]],'Actuals Lookup'!D:F,3,0),Table2[[#This Row],[Manual Cat Value]])</f>
        <v>#N/A</v>
      </c>
      <c r="J5064" s="2">
        <v>0.01</v>
      </c>
      <c r="K5064" s="2" t="b">
        <v>0</v>
      </c>
      <c r="L5064" s="2"/>
      <c r="M5064" s="2"/>
      <c r="N5064" s="4" t="s">
        <v>2273</v>
      </c>
      <c r="O5064" s="4" t="str">
        <f>LEFT(Table2[[#This Row],[Description]],75)</f>
        <v>HALLIBURTON CO HLDG</v>
      </c>
      <c r="P5064" s="2" t="s">
        <v>2433</v>
      </c>
    </row>
    <row r="5065" spans="1:16" hidden="1">
      <c r="A5065" s="2">
        <v>202106</v>
      </c>
      <c r="B5065" s="3">
        <v>44370</v>
      </c>
      <c r="C5065" s="2" t="s">
        <v>2258</v>
      </c>
      <c r="D5065" s="2" t="s">
        <v>980</v>
      </c>
      <c r="E5065" s="2">
        <v>6.14</v>
      </c>
      <c r="F5065" s="2" t="str">
        <f>IF(Table2[[#This Row],[Manual Cat Value]]="",VLOOKUP(Table2[[#This Row],[Description]],'Actuals Lookup'!D:F,3,0),Table2[[#This Row],[Manual Cat Value]])</f>
        <v>Misc</v>
      </c>
      <c r="J5065" s="2">
        <v>6.14</v>
      </c>
      <c r="K5065" s="2" t="b">
        <v>0</v>
      </c>
      <c r="L5065" s="2"/>
      <c r="M5065" s="2"/>
      <c r="N5065" s="4" t="s">
        <v>2259</v>
      </c>
      <c r="O5065" s="4" t="str">
        <f>LEFT(Table2[[#This Row],[Description]],75)</f>
        <v>INTEREST CHARGE ON PURCHASES</v>
      </c>
      <c r="P5065" s="2" t="s">
        <v>2281</v>
      </c>
    </row>
    <row r="5066" spans="1:16" hidden="1">
      <c r="A5066" s="2">
        <v>202106</v>
      </c>
      <c r="B5066" s="3">
        <v>44370</v>
      </c>
      <c r="C5066" s="2" t="s">
        <v>2447</v>
      </c>
      <c r="D5066" s="2" t="s">
        <v>980</v>
      </c>
      <c r="E5066" s="2">
        <v>6.14</v>
      </c>
      <c r="F5066" s="2" t="str">
        <f>IF(Table2[[#This Row],[Manual Cat Value]]="",VLOOKUP(Table2[[#This Row],[Description]],'Actuals Lookup'!D:F,3,0),Table2[[#This Row],[Manual Cat Value]])</f>
        <v>Misc</v>
      </c>
      <c r="J5066" s="2">
        <v>6.14</v>
      </c>
      <c r="K5066" s="2" t="b">
        <v>0</v>
      </c>
      <c r="L5066" s="2"/>
      <c r="M5066" s="2"/>
      <c r="N5066" s="4" t="s">
        <v>2259</v>
      </c>
      <c r="O5066" s="4" t="str">
        <f>LEFT(Table2[[#This Row],[Description]],75)</f>
        <v>INTEREST CHARGE ON PURCHASES</v>
      </c>
      <c r="P5066" s="2" t="s">
        <v>2281</v>
      </c>
    </row>
    <row r="5067" spans="1:16" hidden="1">
      <c r="A5067" s="2">
        <v>202106</v>
      </c>
      <c r="B5067" s="3">
        <v>44370</v>
      </c>
      <c r="C5067" s="2" t="s">
        <v>2300</v>
      </c>
      <c r="D5067" s="2" t="s">
        <v>1648</v>
      </c>
      <c r="E5067" s="2">
        <v>-200</v>
      </c>
      <c r="F5067" s="2" t="e">
        <f>IF(Table2[[#This Row],[Manual Cat Value]]="",VLOOKUP(Table2[[#This Row],[Description]],'Actuals Lookup'!D:F,3,0),Table2[[#This Row],[Manual Cat Value]])</f>
        <v>#N/A</v>
      </c>
      <c r="J5067" s="2">
        <v>200</v>
      </c>
      <c r="K5067" s="2" t="b">
        <v>0</v>
      </c>
      <c r="L5067" s="2"/>
      <c r="M5067" s="2"/>
      <c r="N5067" s="4" t="s">
        <v>2273</v>
      </c>
      <c r="O5067" s="4" t="str">
        <f>LEFT(Table2[[#This Row],[Description]],75)</f>
        <v>Share</v>
      </c>
      <c r="P5067" s="2" t="s">
        <v>2448</v>
      </c>
    </row>
    <row r="5068" spans="1:16" hidden="1">
      <c r="A5068" s="2">
        <v>202106</v>
      </c>
      <c r="B5068" s="3">
        <v>44370</v>
      </c>
      <c r="C5068" s="2" t="s">
        <v>2265</v>
      </c>
      <c r="D5068" s="2" t="s">
        <v>1892</v>
      </c>
      <c r="E5068" s="2">
        <v>200</v>
      </c>
      <c r="F5068" s="2" t="e">
        <f>IF(Table2[[#This Row],[Manual Cat Value]]="",VLOOKUP(Table2[[#This Row],[Description]],'Actuals Lookup'!D:F,3,0),Table2[[#This Row],[Manual Cat Value]])</f>
        <v>#N/A</v>
      </c>
      <c r="J5068" s="2">
        <v>200</v>
      </c>
      <c r="K5068" s="2" t="b">
        <v>0</v>
      </c>
      <c r="L5068" s="2"/>
      <c r="M5068" s="2"/>
      <c r="N5068" s="4" t="s">
        <v>2259</v>
      </c>
      <c r="O5068" s="4" t="str">
        <f>LEFT(Table2[[#This Row],[Description]],75)</f>
        <v>To Share 12</v>
      </c>
      <c r="P5068" s="2" t="s">
        <v>2494</v>
      </c>
    </row>
    <row r="5069" spans="1:16" hidden="1">
      <c r="A5069" s="2">
        <v>202106</v>
      </c>
      <c r="B5069" s="3">
        <v>44371</v>
      </c>
      <c r="C5069" s="2" t="s">
        <v>2265</v>
      </c>
      <c r="D5069" s="2" t="s">
        <v>410</v>
      </c>
      <c r="E5069" s="2">
        <v>-2060.4299999999998</v>
      </c>
      <c r="F5069" s="2" t="e">
        <f>IF(Table2[[#This Row],[Manual Cat Value]]="",VLOOKUP(Table2[[#This Row],[Description]],'Actuals Lookup'!D:F,3,0),Table2[[#This Row],[Manual Cat Value]])</f>
        <v>#N/A</v>
      </c>
      <c r="J5069" s="2">
        <v>2060.4299999999998</v>
      </c>
      <c r="K5069" s="2" t="b">
        <v>0</v>
      </c>
      <c r="L5069" s="2"/>
      <c r="M5069" s="2"/>
      <c r="N5069" s="4" t="s">
        <v>2273</v>
      </c>
      <c r="O5069" s="4" t="str">
        <f>LEFT(Table2[[#This Row],[Description]],75)</f>
        <v>Cargill Inc Deposit CARGILL INCORPOR TYPE DIRECT DEP ID CO CARGILL INCORPOR</v>
      </c>
      <c r="P5069" s="2" t="s">
        <v>2545</v>
      </c>
    </row>
    <row r="5070" spans="1:16" hidden="1">
      <c r="A5070" s="2">
        <v>202106</v>
      </c>
      <c r="B5070" s="3">
        <v>44371</v>
      </c>
      <c r="C5070" s="2" t="s">
        <v>2317</v>
      </c>
      <c r="D5070" s="2" t="s">
        <v>913</v>
      </c>
      <c r="E5070" s="2">
        <v>0.01</v>
      </c>
      <c r="F5070" s="2" t="e">
        <f>IF(Table2[[#This Row],[Manual Cat Value]]="",VLOOKUP(Table2[[#This Row],[Description]],'Actuals Lookup'!D:F,3,0),Table2[[#This Row],[Manual Cat Value]])</f>
        <v>#N/A</v>
      </c>
      <c r="J5070" s="2">
        <v>0.01</v>
      </c>
      <c r="K5070" s="2" t="b">
        <v>0</v>
      </c>
      <c r="L5070" s="2"/>
      <c r="M5070" s="2"/>
      <c r="N5070" s="4" t="s">
        <v>2259</v>
      </c>
      <c r="O5070" s="4" t="str">
        <f>LEFT(Table2[[#This Row],[Description]],75)</f>
        <v>HALLIBURTON CO HLDG</v>
      </c>
      <c r="P5070" s="2" t="s">
        <v>2433</v>
      </c>
    </row>
    <row r="5071" spans="1:16" hidden="1">
      <c r="A5071" s="2">
        <v>202106</v>
      </c>
      <c r="B5071" s="3">
        <v>44372</v>
      </c>
      <c r="C5071" s="2" t="s">
        <v>2262</v>
      </c>
      <c r="D5071" s="2" t="s">
        <v>1528</v>
      </c>
      <c r="E5071" s="2">
        <v>628</v>
      </c>
      <c r="F5071" s="2" t="e">
        <f>IF(Table2[[#This Row],[Manual Cat Value]]="",VLOOKUP(Table2[[#This Row],[Description]],'Actuals Lookup'!D:F,3,0),Table2[[#This Row],[Manual Cat Value]])</f>
        <v>#N/A</v>
      </c>
      <c r="J5071" s="2">
        <v>628</v>
      </c>
      <c r="K5071" s="2" t="b">
        <v>0</v>
      </c>
      <c r="L5071" s="2"/>
      <c r="M5071" s="2"/>
      <c r="N5071" s="4" t="s">
        <v>2259</v>
      </c>
      <c r="O5071" s="4" t="str">
        <f>LEFT(Table2[[#This Row],[Description]],75)</f>
        <v>PSA Portal Payments XX9470 MN PSA Portal Payments 9528359470 MN</v>
      </c>
      <c r="P5071" s="2" t="s">
        <v>2281</v>
      </c>
    </row>
    <row r="5072" spans="1:16" hidden="1">
      <c r="A5072" s="2">
        <v>202106</v>
      </c>
      <c r="B5072" s="3">
        <v>44372</v>
      </c>
      <c r="C5072" s="2" t="s">
        <v>2258</v>
      </c>
      <c r="D5072" s="2" t="s">
        <v>38</v>
      </c>
      <c r="E5072" s="2">
        <v>16.77</v>
      </c>
      <c r="F5072" s="2" t="str">
        <f>IF(Table2[[#This Row],[Manual Cat Value]]="",VLOOKUP(Table2[[#This Row],[Description]],'Actuals Lookup'!D:F,3,0),Table2[[#This Row],[Manual Cat Value]])</f>
        <v>Amazon</v>
      </c>
      <c r="J5072" s="2">
        <v>16.77</v>
      </c>
      <c r="K5072" s="2" t="b">
        <v>0</v>
      </c>
      <c r="L5072" s="2"/>
      <c r="M5072" s="2"/>
      <c r="N5072" s="4" t="s">
        <v>2259</v>
      </c>
      <c r="O5072" s="4" t="str">
        <f>LEFT(Table2[[#This Row],[Description]],75)</f>
        <v>Amazon</v>
      </c>
      <c r="P5072" s="2" t="s">
        <v>2260</v>
      </c>
    </row>
    <row r="5073" spans="1:16" hidden="1">
      <c r="A5073" s="2">
        <v>202106</v>
      </c>
      <c r="B5073" s="3">
        <v>44372</v>
      </c>
      <c r="C5073" s="2" t="s">
        <v>2447</v>
      </c>
      <c r="D5073" s="2" t="s">
        <v>38</v>
      </c>
      <c r="E5073" s="2">
        <v>16.77</v>
      </c>
      <c r="F5073" s="2" t="str">
        <f>IF(Table2[[#This Row],[Manual Cat Value]]="",VLOOKUP(Table2[[#This Row],[Description]],'Actuals Lookup'!D:F,3,0),Table2[[#This Row],[Manual Cat Value]])</f>
        <v>Amazon</v>
      </c>
      <c r="J5073" s="2">
        <v>16.77</v>
      </c>
      <c r="K5073" s="2" t="b">
        <v>0</v>
      </c>
      <c r="L5073" s="2"/>
      <c r="M5073" s="2"/>
      <c r="N5073" s="4" t="s">
        <v>2259</v>
      </c>
      <c r="O5073" s="4" t="str">
        <f>LEFT(Table2[[#This Row],[Description]],75)</f>
        <v>Amazon</v>
      </c>
      <c r="P5073" s="2" t="s">
        <v>2260</v>
      </c>
    </row>
    <row r="5074" spans="1:16" hidden="1">
      <c r="A5074" s="2">
        <v>202106</v>
      </c>
      <c r="B5074" s="3">
        <v>44372</v>
      </c>
      <c r="C5074" s="2" t="s">
        <v>2317</v>
      </c>
      <c r="D5074" s="2" t="s">
        <v>424</v>
      </c>
      <c r="E5074" s="2">
        <v>-200</v>
      </c>
      <c r="F5074" s="2" t="e">
        <f>IF(Table2[[#This Row],[Manual Cat Value]]="",VLOOKUP(Table2[[#This Row],[Description]],'Actuals Lookup'!D:F,3,0),Table2[[#This Row],[Manual Cat Value]])</f>
        <v>#N/A</v>
      </c>
      <c r="J5074" s="2">
        <v>200</v>
      </c>
      <c r="K5074" s="2" t="b">
        <v>0</v>
      </c>
      <c r="L5074" s="2"/>
      <c r="M5074" s="2"/>
      <c r="N5074" s="4" t="s">
        <v>2273</v>
      </c>
      <c r="O5074" s="4" t="str">
        <f>LEFT(Table2[[#This Row],[Description]],75)</f>
        <v>CARGILL INCORPOR</v>
      </c>
      <c r="P5074" s="2" t="s">
        <v>2385</v>
      </c>
    </row>
    <row r="5075" spans="1:16" hidden="1">
      <c r="A5075" s="2">
        <v>202106</v>
      </c>
      <c r="B5075" s="3">
        <v>44372</v>
      </c>
      <c r="C5075" s="2" t="s">
        <v>2262</v>
      </c>
      <c r="D5075" s="2" t="s">
        <v>1556</v>
      </c>
      <c r="E5075" s="2">
        <v>-248</v>
      </c>
      <c r="F5075" s="2" t="e">
        <f>IF(Table2[[#This Row],[Manual Cat Value]]="",VLOOKUP(Table2[[#This Row],[Description]],'Actuals Lookup'!D:F,3,0),Table2[[#This Row],[Manual Cat Value]])</f>
        <v>#N/A</v>
      </c>
      <c r="J5075" s="2">
        <v>248</v>
      </c>
      <c r="K5075" s="2" t="b">
        <v>0</v>
      </c>
      <c r="L5075" s="2"/>
      <c r="M5075" s="2"/>
      <c r="N5075" s="4" t="s">
        <v>2273</v>
      </c>
      <c r="O5075" s="4" t="str">
        <f>LEFT(Table2[[#This Row],[Description]],75)</f>
        <v>Red Dress Boutique</v>
      </c>
      <c r="P5075" s="2" t="s">
        <v>2281</v>
      </c>
    </row>
    <row r="5076" spans="1:16" hidden="1">
      <c r="A5076" s="2">
        <v>202106</v>
      </c>
      <c r="B5076" s="3">
        <v>44372</v>
      </c>
      <c r="C5076" s="2" t="s">
        <v>2265</v>
      </c>
      <c r="D5076" s="2" t="s">
        <v>31</v>
      </c>
      <c r="E5076" s="2">
        <v>558.13</v>
      </c>
      <c r="F5076" s="2" t="str">
        <f>IF(Table2[[#This Row],[Manual Cat Value]]="",VLOOKUP(Table2[[#This Row],[Description]],'Actuals Lookup'!D:F,3,0),Table2[[#This Row],[Manual Cat Value]])</f>
        <v>Target</v>
      </c>
      <c r="J5076" s="2">
        <v>558.13</v>
      </c>
      <c r="K5076" s="2" t="b">
        <v>0</v>
      </c>
      <c r="L5076" s="2"/>
      <c r="M5076" s="2"/>
      <c r="N5076" s="4" t="s">
        <v>2259</v>
      </c>
      <c r="O5076" s="4" t="str">
        <f>LEFT(Table2[[#This Row],[Description]],75)</f>
        <v>Target</v>
      </c>
      <c r="P5076" s="2" t="s">
        <v>2309</v>
      </c>
    </row>
    <row r="5077" spans="1:16" hidden="1">
      <c r="A5077" s="2">
        <v>202106</v>
      </c>
      <c r="B5077" s="3">
        <v>44372</v>
      </c>
      <c r="C5077" s="2" t="s">
        <v>2434</v>
      </c>
      <c r="D5077" s="2" t="s">
        <v>1835</v>
      </c>
      <c r="E5077" s="2">
        <v>-231</v>
      </c>
      <c r="F5077" s="2" t="e">
        <f>IF(Table2[[#This Row],[Manual Cat Value]]="",VLOOKUP(Table2[[#This Row],[Description]],'Actuals Lookup'!D:F,3,0),Table2[[#This Row],[Manual Cat Value]])</f>
        <v>#N/A</v>
      </c>
      <c r="J5077" s="2">
        <v>231</v>
      </c>
      <c r="K5077" s="2" t="b">
        <v>0</v>
      </c>
      <c r="L5077" s="2"/>
      <c r="M5077" s="2"/>
      <c r="N5077" s="4" t="s">
        <v>2273</v>
      </c>
      <c r="O5077" s="4" t="str">
        <f>LEFT(Table2[[#This Row],[Description]],75)</f>
        <v>Tfr JPMORGAN CHASE BAN, CARGILL INCORPOR</v>
      </c>
      <c r="P5077" s="2" t="s">
        <v>2281</v>
      </c>
    </row>
    <row r="5078" spans="1:16" hidden="1">
      <c r="A5078" s="2">
        <v>202106</v>
      </c>
      <c r="B5078" s="3">
        <v>44373</v>
      </c>
      <c r="C5078" s="2" t="s">
        <v>2258</v>
      </c>
      <c r="D5078" s="2" t="s">
        <v>38</v>
      </c>
      <c r="E5078" s="2">
        <v>39.99</v>
      </c>
      <c r="F5078" s="2" t="str">
        <f>IF(Table2[[#This Row],[Manual Cat Value]]="",VLOOKUP(Table2[[#This Row],[Description]],'Actuals Lookup'!D:F,3,0),Table2[[#This Row],[Manual Cat Value]])</f>
        <v>Amazon</v>
      </c>
      <c r="J5078" s="2">
        <v>39.99</v>
      </c>
      <c r="K5078" s="2" t="b">
        <v>0</v>
      </c>
      <c r="L5078" s="2"/>
      <c r="M5078" s="2"/>
      <c r="N5078" s="4" t="s">
        <v>2259</v>
      </c>
      <c r="O5078" s="4" t="str">
        <f>LEFT(Table2[[#This Row],[Description]],75)</f>
        <v>Amazon</v>
      </c>
      <c r="P5078" s="2" t="s">
        <v>2260</v>
      </c>
    </row>
    <row r="5079" spans="1:16" hidden="1">
      <c r="A5079" s="2">
        <v>202106</v>
      </c>
      <c r="B5079" s="3">
        <v>44373</v>
      </c>
      <c r="C5079" s="2" t="s">
        <v>2447</v>
      </c>
      <c r="D5079" s="2" t="s">
        <v>38</v>
      </c>
      <c r="E5079" s="2">
        <v>39.99</v>
      </c>
      <c r="F5079" s="2" t="str">
        <f>IF(Table2[[#This Row],[Manual Cat Value]]="",VLOOKUP(Table2[[#This Row],[Description]],'Actuals Lookup'!D:F,3,0),Table2[[#This Row],[Manual Cat Value]])</f>
        <v>Amazon</v>
      </c>
      <c r="J5079" s="2">
        <v>39.99</v>
      </c>
      <c r="K5079" s="2" t="b">
        <v>0</v>
      </c>
      <c r="L5079" s="2"/>
      <c r="M5079" s="2"/>
      <c r="N5079" s="4" t="s">
        <v>2259</v>
      </c>
      <c r="O5079" s="4" t="str">
        <f>LEFT(Table2[[#This Row],[Description]],75)</f>
        <v>Amazon</v>
      </c>
      <c r="P5079" s="2" t="s">
        <v>2260</v>
      </c>
    </row>
    <row r="5080" spans="1:16" hidden="1">
      <c r="A5080" s="2">
        <v>202106</v>
      </c>
      <c r="B5080" s="3">
        <v>44373</v>
      </c>
      <c r="C5080" s="2" t="s">
        <v>2258</v>
      </c>
      <c r="D5080" s="2" t="s">
        <v>944</v>
      </c>
      <c r="E5080" s="2">
        <v>47.64</v>
      </c>
      <c r="F5080" s="2" t="e">
        <f>IF(Table2[[#This Row],[Manual Cat Value]]="",VLOOKUP(Table2[[#This Row],[Description]],'Actuals Lookup'!D:F,3,0),Table2[[#This Row],[Manual Cat Value]])</f>
        <v>#N/A</v>
      </c>
      <c r="J5080" s="2">
        <v>47.64</v>
      </c>
      <c r="K5080" s="2" t="b">
        <v>0</v>
      </c>
      <c r="L5080" s="2"/>
      <c r="M5080" s="2"/>
      <c r="N5080" s="4" t="s">
        <v>2259</v>
      </c>
      <c r="O5080" s="4" t="str">
        <f>LEFT(Table2[[#This Row],[Description]],75)</f>
        <v>Holiday Stationstore</v>
      </c>
      <c r="P5080" s="2" t="s">
        <v>2374</v>
      </c>
    </row>
    <row r="5081" spans="1:16" hidden="1">
      <c r="A5081" s="2">
        <v>202106</v>
      </c>
      <c r="B5081" s="3">
        <v>44373</v>
      </c>
      <c r="C5081" s="2" t="s">
        <v>2447</v>
      </c>
      <c r="D5081" s="2" t="s">
        <v>944</v>
      </c>
      <c r="E5081" s="2">
        <v>47.64</v>
      </c>
      <c r="F5081" s="2" t="e">
        <f>IF(Table2[[#This Row],[Manual Cat Value]]="",VLOOKUP(Table2[[#This Row],[Description]],'Actuals Lookup'!D:F,3,0),Table2[[#This Row],[Manual Cat Value]])</f>
        <v>#N/A</v>
      </c>
      <c r="J5081" s="2">
        <v>47.64</v>
      </c>
      <c r="K5081" s="2" t="b">
        <v>0</v>
      </c>
      <c r="L5081" s="2"/>
      <c r="M5081" s="2"/>
      <c r="N5081" s="4" t="s">
        <v>2259</v>
      </c>
      <c r="O5081" s="4" t="str">
        <f>LEFT(Table2[[#This Row],[Description]],75)</f>
        <v>Holiday Stationstore</v>
      </c>
      <c r="P5081" s="2" t="s">
        <v>2374</v>
      </c>
    </row>
    <row r="5082" spans="1:16" hidden="1">
      <c r="A5082" s="2">
        <v>202106</v>
      </c>
      <c r="B5082" s="3">
        <v>44373</v>
      </c>
      <c r="C5082" s="2" t="s">
        <v>2258</v>
      </c>
      <c r="D5082" s="2" t="s">
        <v>1350</v>
      </c>
      <c r="E5082" s="2">
        <v>8.99</v>
      </c>
      <c r="F5082" s="2" t="str">
        <f>IF(Table2[[#This Row],[Manual Cat Value]]="",VLOOKUP(Table2[[#This Row],[Description]],'Actuals Lookup'!D:F,3,0),Table2[[#This Row],[Manual Cat Value]])</f>
        <v>Utilities</v>
      </c>
      <c r="J5082" s="2">
        <v>8.99</v>
      </c>
      <c r="K5082" s="2" t="b">
        <v>0</v>
      </c>
      <c r="L5082" s="2"/>
      <c r="M5082" s="2"/>
      <c r="N5082" s="4" t="s">
        <v>2259</v>
      </c>
      <c r="O5082" s="4" t="str">
        <f>LEFT(Table2[[#This Row],[Description]],75)</f>
        <v>Netflix</v>
      </c>
      <c r="P5082" s="2" t="s">
        <v>2306</v>
      </c>
    </row>
    <row r="5083" spans="1:16" hidden="1">
      <c r="A5083" s="2">
        <v>202106</v>
      </c>
      <c r="B5083" s="3">
        <v>44373</v>
      </c>
      <c r="C5083" s="2" t="s">
        <v>2447</v>
      </c>
      <c r="D5083" s="2" t="s">
        <v>1350</v>
      </c>
      <c r="E5083" s="2">
        <v>8.99</v>
      </c>
      <c r="F5083" s="2" t="str">
        <f>IF(Table2[[#This Row],[Manual Cat Value]]="",VLOOKUP(Table2[[#This Row],[Description]],'Actuals Lookup'!D:F,3,0),Table2[[#This Row],[Manual Cat Value]])</f>
        <v>Utilities</v>
      </c>
      <c r="J5083" s="2">
        <v>8.99</v>
      </c>
      <c r="K5083" s="2" t="b">
        <v>0</v>
      </c>
      <c r="L5083" s="2"/>
      <c r="M5083" s="2"/>
      <c r="N5083" s="4" t="s">
        <v>2259</v>
      </c>
      <c r="O5083" s="4" t="str">
        <f>LEFT(Table2[[#This Row],[Description]],75)</f>
        <v>Netflix</v>
      </c>
      <c r="P5083" s="2" t="s">
        <v>2306</v>
      </c>
    </row>
    <row r="5084" spans="1:16" hidden="1">
      <c r="A5084" s="2">
        <v>202106</v>
      </c>
      <c r="B5084" s="3">
        <v>44373</v>
      </c>
      <c r="C5084" s="2" t="s">
        <v>2258</v>
      </c>
      <c r="D5084" s="2" t="s">
        <v>1931</v>
      </c>
      <c r="E5084" s="2">
        <v>174.11</v>
      </c>
      <c r="F5084" s="2" t="str">
        <f>IF(Table2[[#This Row],[Manual Cat Value]]="",VLOOKUP(Table2[[#This Row],[Description]],'Actuals Lookup'!D:F,3,0),Table2[[#This Row],[Manual Cat Value]])</f>
        <v>Groceries</v>
      </c>
      <c r="J5084" s="2">
        <v>174.11</v>
      </c>
      <c r="K5084" s="2" t="b">
        <v>0</v>
      </c>
      <c r="L5084" s="2"/>
      <c r="M5084" s="2"/>
      <c r="N5084" s="4" t="s">
        <v>2259</v>
      </c>
      <c r="O5084" s="4" t="str">
        <f>LEFT(Table2[[#This Row],[Description]],75)</f>
        <v>Trader Joe's</v>
      </c>
      <c r="P5084" s="2" t="s">
        <v>2419</v>
      </c>
    </row>
    <row r="5085" spans="1:16" hidden="1">
      <c r="A5085" s="2">
        <v>202106</v>
      </c>
      <c r="B5085" s="3">
        <v>44373</v>
      </c>
      <c r="C5085" s="2" t="s">
        <v>2447</v>
      </c>
      <c r="D5085" s="2" t="s">
        <v>1931</v>
      </c>
      <c r="E5085" s="2">
        <v>174.11</v>
      </c>
      <c r="F5085" s="2" t="str">
        <f>IF(Table2[[#This Row],[Manual Cat Value]]="",VLOOKUP(Table2[[#This Row],[Description]],'Actuals Lookup'!D:F,3,0),Table2[[#This Row],[Manual Cat Value]])</f>
        <v>Groceries</v>
      </c>
      <c r="J5085" s="2">
        <v>174.11</v>
      </c>
      <c r="K5085" s="2" t="b">
        <v>0</v>
      </c>
      <c r="L5085" s="2"/>
      <c r="M5085" s="2"/>
      <c r="N5085" s="4" t="s">
        <v>2259</v>
      </c>
      <c r="O5085" s="4" t="str">
        <f>LEFT(Table2[[#This Row],[Description]],75)</f>
        <v>Trader Joe's</v>
      </c>
      <c r="P5085" s="2" t="s">
        <v>2419</v>
      </c>
    </row>
    <row r="5086" spans="1:16" hidden="1">
      <c r="A5086" s="2">
        <v>202106</v>
      </c>
      <c r="B5086" s="3">
        <v>44374</v>
      </c>
      <c r="C5086" s="2" t="s">
        <v>2265</v>
      </c>
      <c r="D5086" s="2" t="s">
        <v>604</v>
      </c>
      <c r="E5086" s="2">
        <v>-628</v>
      </c>
      <c r="F5086" s="2" t="e">
        <f>IF(Table2[[#This Row],[Manual Cat Value]]="",VLOOKUP(Table2[[#This Row],[Description]],'Actuals Lookup'!D:F,3,0),Table2[[#This Row],[Manual Cat Value]])</f>
        <v>#N/A</v>
      </c>
      <c r="J5086" s="2">
        <v>628</v>
      </c>
      <c r="K5086" s="2" t="b">
        <v>0</v>
      </c>
      <c r="L5086" s="2"/>
      <c r="M5086" s="2"/>
      <c r="N5086" s="4" t="s">
        <v>2273</v>
      </c>
      <c r="O5086" s="4" t="str">
        <f>LEFT(Table2[[#This Row],[Description]],75)</f>
        <v>Connect Your Care Deposit connectyourcare TYPE SVBCLAIMS ID E942875288 CO c</v>
      </c>
      <c r="P5086" s="2" t="s">
        <v>2281</v>
      </c>
    </row>
    <row r="5087" spans="1:16" hidden="1">
      <c r="A5087" s="2">
        <v>202106</v>
      </c>
      <c r="B5087" s="3">
        <v>44374</v>
      </c>
      <c r="C5087" s="2" t="s">
        <v>2262</v>
      </c>
      <c r="D5087" s="2" t="s">
        <v>1102</v>
      </c>
      <c r="E5087" s="2">
        <v>28.4</v>
      </c>
      <c r="F5087" s="2" t="str">
        <f>IF(Table2[[#This Row],[Manual Cat Value]]="",VLOOKUP(Table2[[#This Row],[Description]],'Actuals Lookup'!D:F,3,0),Table2[[#This Row],[Manual Cat Value]])</f>
        <v>Restaurants</v>
      </c>
      <c r="J5087" s="2">
        <v>28.4</v>
      </c>
      <c r="K5087" s="2" t="b">
        <v>0</v>
      </c>
      <c r="L5087" s="2"/>
      <c r="M5087" s="2"/>
      <c r="N5087" s="4" t="s">
        <v>2259</v>
      </c>
      <c r="O5087" s="4" t="str">
        <f>LEFT(Table2[[#This Row],[Description]],75)</f>
        <v>Leeann Chin</v>
      </c>
      <c r="P5087" s="2" t="s">
        <v>2529</v>
      </c>
    </row>
    <row r="5088" spans="1:16" hidden="1">
      <c r="A5088" s="2">
        <v>202106</v>
      </c>
      <c r="B5088" s="3">
        <v>44374</v>
      </c>
      <c r="C5088" s="2" t="s">
        <v>2262</v>
      </c>
      <c r="D5088" s="2" t="s">
        <v>1138</v>
      </c>
      <c r="E5088" s="2">
        <v>4.42</v>
      </c>
      <c r="F5088" s="2" t="e">
        <f>IF(Table2[[#This Row],[Manual Cat Value]]="",VLOOKUP(Table2[[#This Row],[Description]],'Actuals Lookup'!D:F,3,0),Table2[[#This Row],[Manual Cat Value]])</f>
        <v>#N/A</v>
      </c>
      <c r="J5088" s="2">
        <v>4.42</v>
      </c>
      <c r="K5088" s="2" t="b">
        <v>0</v>
      </c>
      <c r="L5088" s="2"/>
      <c r="M5088" s="2"/>
      <c r="N5088" s="4" t="s">
        <v>2259</v>
      </c>
      <c r="O5088" s="4" t="str">
        <f>LEFT(Table2[[#This Row],[Description]],75)</f>
        <v>LOWES 00907 8664837521 NC</v>
      </c>
      <c r="P5088" s="2" t="s">
        <v>2515</v>
      </c>
    </row>
    <row r="5089" spans="1:16" hidden="1">
      <c r="A5089" s="2">
        <v>202106</v>
      </c>
      <c r="B5089" s="3">
        <v>44374</v>
      </c>
      <c r="C5089" s="2" t="s">
        <v>2262</v>
      </c>
      <c r="D5089" s="2" t="s">
        <v>1138</v>
      </c>
      <c r="E5089" s="2">
        <v>5.93</v>
      </c>
      <c r="F5089" s="2" t="e">
        <f>IF(Table2[[#This Row],[Manual Cat Value]]="",VLOOKUP(Table2[[#This Row],[Description]],'Actuals Lookup'!D:F,3,0),Table2[[#This Row],[Manual Cat Value]])</f>
        <v>#N/A</v>
      </c>
      <c r="J5089" s="2">
        <v>5.93</v>
      </c>
      <c r="K5089" s="2" t="b">
        <v>0</v>
      </c>
      <c r="L5089" s="2"/>
      <c r="M5089" s="2"/>
      <c r="N5089" s="4" t="s">
        <v>2259</v>
      </c>
      <c r="O5089" s="4" t="str">
        <f>LEFT(Table2[[#This Row],[Description]],75)</f>
        <v>LOWES 00907 8664837521 NC</v>
      </c>
      <c r="P5089" s="2" t="s">
        <v>2281</v>
      </c>
    </row>
    <row r="5090" spans="1:16" hidden="1">
      <c r="A5090" s="2">
        <v>202106</v>
      </c>
      <c r="B5090" s="3">
        <v>44374</v>
      </c>
      <c r="C5090" s="2" t="s">
        <v>2262</v>
      </c>
      <c r="D5090" s="2" t="s">
        <v>1693</v>
      </c>
      <c r="E5090" s="2">
        <v>149.59</v>
      </c>
      <c r="F5090" s="2" t="e">
        <f>IF(Table2[[#This Row],[Manual Cat Value]]="",VLOOKUP(Table2[[#This Row],[Description]],'Actuals Lookup'!D:F,3,0),Table2[[#This Row],[Manual Cat Value]])</f>
        <v>#N/A</v>
      </c>
      <c r="J5090" s="2">
        <v>149.59</v>
      </c>
      <c r="K5090" s="2" t="b">
        <v>0</v>
      </c>
      <c r="L5090" s="2"/>
      <c r="M5090" s="2"/>
      <c r="N5090" s="4" t="s">
        <v>2259</v>
      </c>
      <c r="O5090" s="4" t="str">
        <f>LEFT(Table2[[#This Row],[Description]],75)</f>
        <v>SP LAKE AND CO GRAND RAPID MN SP LAKE AND CO GRAND RAPID MN</v>
      </c>
      <c r="P5090" s="2" t="s">
        <v>2281</v>
      </c>
    </row>
    <row r="5091" spans="1:16" hidden="1">
      <c r="A5091" s="2">
        <v>202106</v>
      </c>
      <c r="B5091" s="3">
        <v>44374</v>
      </c>
      <c r="C5091" s="2" t="s">
        <v>2262</v>
      </c>
      <c r="D5091" s="2" t="s">
        <v>1702</v>
      </c>
      <c r="E5091" s="2">
        <v>89</v>
      </c>
      <c r="F5091" s="2" t="e">
        <f>IF(Table2[[#This Row],[Manual Cat Value]]="",VLOOKUP(Table2[[#This Row],[Description]],'Actuals Lookup'!D:F,3,0),Table2[[#This Row],[Manual Cat Value]])</f>
        <v>#N/A</v>
      </c>
      <c r="J5091" s="2">
        <v>89</v>
      </c>
      <c r="K5091" s="2" t="b">
        <v>0</v>
      </c>
      <c r="L5091" s="2"/>
      <c r="M5091" s="2"/>
      <c r="N5091" s="4" t="s">
        <v>2259</v>
      </c>
      <c r="O5091" s="4" t="str">
        <f>LEFT(Table2[[#This Row],[Description]],75)</f>
        <v>SP SOTA CLOTHING SPENCEDESIGNSM SP SOTA CLOTHING SPENCEDESIGNSMN</v>
      </c>
      <c r="P5091" s="2" t="s">
        <v>2468</v>
      </c>
    </row>
    <row r="5092" spans="1:16" hidden="1">
      <c r="A5092" s="2">
        <v>202106</v>
      </c>
      <c r="B5092" s="3">
        <v>44374</v>
      </c>
      <c r="C5092" s="2" t="s">
        <v>2262</v>
      </c>
      <c r="D5092" s="2" t="s">
        <v>1719</v>
      </c>
      <c r="E5092" s="2">
        <v>16.100000000000001</v>
      </c>
      <c r="F5092" s="2" t="e">
        <f>IF(Table2[[#This Row],[Manual Cat Value]]="",VLOOKUP(Table2[[#This Row],[Description]],'Actuals Lookup'!D:F,3,0),Table2[[#This Row],[Manual Cat Value]])</f>
        <v>#N/A</v>
      </c>
      <c r="J5092" s="2">
        <v>16.100000000000001</v>
      </c>
      <c r="K5092" s="2" t="b">
        <v>0</v>
      </c>
      <c r="L5092" s="2"/>
      <c r="M5092" s="2"/>
      <c r="N5092" s="4" t="s">
        <v>2259</v>
      </c>
      <c r="O5092" s="4" t="str">
        <f>LEFT(Table2[[#This Row],[Description]],75)</f>
        <v>SQ CHANHASSEN BREWING COChanhassen MN</v>
      </c>
      <c r="P5092" s="2" t="s">
        <v>2552</v>
      </c>
    </row>
    <row r="5093" spans="1:16" hidden="1">
      <c r="A5093" s="2">
        <v>202106</v>
      </c>
      <c r="B5093" s="3">
        <v>44374</v>
      </c>
      <c r="C5093" s="2" t="s">
        <v>2262</v>
      </c>
      <c r="D5093" s="2" t="s">
        <v>1781</v>
      </c>
      <c r="E5093" s="2">
        <v>12</v>
      </c>
      <c r="F5093" s="2" t="e">
        <f>IF(Table2[[#This Row],[Manual Cat Value]]="",VLOOKUP(Table2[[#This Row],[Description]],'Actuals Lookup'!D:F,3,0),Table2[[#This Row],[Manual Cat Value]])</f>
        <v>#N/A</v>
      </c>
      <c r="J5093" s="2">
        <v>12</v>
      </c>
      <c r="K5093" s="2" t="b">
        <v>0</v>
      </c>
      <c r="L5093" s="2"/>
      <c r="M5093" s="2"/>
      <c r="N5093" s="4" t="s">
        <v>2259</v>
      </c>
      <c r="O5093" s="4" t="str">
        <f>LEFT(Table2[[#This Row],[Description]],75)</f>
        <v>Stillwater Olive Oil Company LLC</v>
      </c>
      <c r="P5093" s="2" t="s">
        <v>2281</v>
      </c>
    </row>
    <row r="5094" spans="1:16" hidden="1">
      <c r="A5094" s="2">
        <v>202106</v>
      </c>
      <c r="B5094" s="3">
        <v>44374</v>
      </c>
      <c r="C5094" s="2" t="s">
        <v>2262</v>
      </c>
      <c r="D5094" s="2" t="s">
        <v>1844</v>
      </c>
      <c r="E5094" s="2">
        <v>31.94</v>
      </c>
      <c r="F5094" s="2" t="e">
        <f>IF(Table2[[#This Row],[Manual Cat Value]]="",VLOOKUP(Table2[[#This Row],[Description]],'Actuals Lookup'!D:F,3,0),Table2[[#This Row],[Manual Cat Value]])</f>
        <v>#N/A</v>
      </c>
      <c r="J5094" s="2">
        <v>31.94</v>
      </c>
      <c r="K5094" s="2" t="b">
        <v>0</v>
      </c>
      <c r="L5094" s="2"/>
      <c r="M5094" s="2"/>
      <c r="N5094" s="4" t="s">
        <v>2259</v>
      </c>
      <c r="O5094" s="4" t="str">
        <f>LEFT(Table2[[#This Row],[Description]],75)</f>
        <v>The Daily Grind</v>
      </c>
      <c r="P5094" s="2" t="s">
        <v>2281</v>
      </c>
    </row>
    <row r="5095" spans="1:16" hidden="1">
      <c r="A5095" s="2">
        <v>202106</v>
      </c>
      <c r="B5095" s="3">
        <v>44374</v>
      </c>
      <c r="C5095" s="2" t="s">
        <v>2262</v>
      </c>
      <c r="D5095" s="2" t="s">
        <v>1857</v>
      </c>
      <c r="E5095" s="2">
        <v>29.99</v>
      </c>
      <c r="F5095" s="2" t="e">
        <f>IF(Table2[[#This Row],[Manual Cat Value]]="",VLOOKUP(Table2[[#This Row],[Description]],'Actuals Lookup'!D:F,3,0),Table2[[#This Row],[Manual Cat Value]])</f>
        <v>#N/A</v>
      </c>
      <c r="J5095" s="2">
        <v>29.99</v>
      </c>
      <c r="K5095" s="2" t="b">
        <v>0</v>
      </c>
      <c r="L5095" s="2"/>
      <c r="M5095" s="2"/>
      <c r="N5095" s="4" t="s">
        <v>2259</v>
      </c>
      <c r="O5095" s="4" t="str">
        <f>LEFT(Table2[[#This Row],[Description]],75)</f>
        <v>THE SHIRT FACTORY STILLWATER MN</v>
      </c>
      <c r="P5095" s="2" t="s">
        <v>2281</v>
      </c>
    </row>
    <row r="5096" spans="1:16" hidden="1">
      <c r="A5096" s="2">
        <v>202106</v>
      </c>
      <c r="B5096" s="3">
        <v>44375</v>
      </c>
      <c r="C5096" s="2" t="s">
        <v>2265</v>
      </c>
      <c r="D5096" s="2" t="s">
        <v>629</v>
      </c>
      <c r="E5096" s="2">
        <v>-3102.97</v>
      </c>
      <c r="F5096" s="2" t="e">
        <f>IF(Table2[[#This Row],[Manual Cat Value]]="",VLOOKUP(Table2[[#This Row],[Description]],'Actuals Lookup'!D:F,3,0),Table2[[#This Row],[Manual Cat Value]])</f>
        <v>#N/A</v>
      </c>
      <c r="J5096" s="2">
        <v>3102.97</v>
      </c>
      <c r="K5096" s="2" t="b">
        <v>0</v>
      </c>
      <c r="L5096" s="2"/>
      <c r="M5096" s="2"/>
      <c r="N5096" s="4" t="s">
        <v>2273</v>
      </c>
      <c r="O5096" s="4" t="str">
        <f>LEFT(Table2[[#This Row],[Description]],75)</f>
        <v>CONNECTED ANALYT TYPE DIRECT DEP ID CO CONNECTED ANALYT ACH ECC PPD ACH Tra</v>
      </c>
      <c r="P5096" s="2" t="s">
        <v>2493</v>
      </c>
    </row>
    <row r="5097" spans="1:16" hidden="1">
      <c r="A5097" s="2">
        <v>202106</v>
      </c>
      <c r="B5097" s="3">
        <v>44375</v>
      </c>
      <c r="C5097" s="2" t="s">
        <v>2262</v>
      </c>
      <c r="D5097" s="2" t="s">
        <v>858</v>
      </c>
      <c r="E5097" s="2">
        <v>37.31</v>
      </c>
      <c r="F5097" s="2" t="e">
        <f>IF(Table2[[#This Row],[Manual Cat Value]]="",VLOOKUP(Table2[[#This Row],[Description]],'Actuals Lookup'!D:F,3,0),Table2[[#This Row],[Manual Cat Value]])</f>
        <v>#N/A</v>
      </c>
      <c r="J5097" s="2">
        <v>37.31</v>
      </c>
      <c r="K5097" s="2" t="b">
        <v>0</v>
      </c>
      <c r="L5097" s="2"/>
      <c r="M5097" s="2"/>
      <c r="N5097" s="4" t="s">
        <v>2259</v>
      </c>
      <c r="O5097" s="4" t="str">
        <f>LEFT(Table2[[#This Row],[Description]],75)</f>
        <v>Freight House, Inc</v>
      </c>
      <c r="P5097" s="2" t="s">
        <v>2553</v>
      </c>
    </row>
    <row r="5098" spans="1:16" hidden="1">
      <c r="A5098" s="2">
        <v>202106</v>
      </c>
      <c r="B5098" s="3">
        <v>44375</v>
      </c>
      <c r="C5098" s="2" t="s">
        <v>2262</v>
      </c>
      <c r="D5098" s="2" t="s">
        <v>1138</v>
      </c>
      <c r="E5098" s="2">
        <v>4.79</v>
      </c>
      <c r="F5098" s="2" t="e">
        <f>IF(Table2[[#This Row],[Manual Cat Value]]="",VLOOKUP(Table2[[#This Row],[Description]],'Actuals Lookup'!D:F,3,0),Table2[[#This Row],[Manual Cat Value]])</f>
        <v>#N/A</v>
      </c>
      <c r="J5098" s="2">
        <v>4.79</v>
      </c>
      <c r="K5098" s="2" t="b">
        <v>0</v>
      </c>
      <c r="L5098" s="2"/>
      <c r="M5098" s="2"/>
      <c r="N5098" s="4" t="s">
        <v>2259</v>
      </c>
      <c r="O5098" s="4" t="str">
        <f>LEFT(Table2[[#This Row],[Description]],75)</f>
        <v>LOWES 00907 8664837521 NC</v>
      </c>
      <c r="P5098" s="2" t="s">
        <v>2281</v>
      </c>
    </row>
    <row r="5099" spans="1:16" hidden="1">
      <c r="A5099" s="2">
        <v>202106</v>
      </c>
      <c r="B5099" s="3">
        <v>44375</v>
      </c>
      <c r="C5099" s="2" t="s">
        <v>2262</v>
      </c>
      <c r="D5099" s="2" t="s">
        <v>1555</v>
      </c>
      <c r="E5099" s="2">
        <v>19.18</v>
      </c>
      <c r="F5099" s="2" t="e">
        <f>IF(Table2[[#This Row],[Manual Cat Value]]="",VLOOKUP(Table2[[#This Row],[Description]],'Actuals Lookup'!D:F,3,0),Table2[[#This Row],[Manual Cat Value]])</f>
        <v>#N/A</v>
      </c>
      <c r="J5099" s="2">
        <v>19.18</v>
      </c>
      <c r="K5099" s="2" t="b">
        <v>0</v>
      </c>
      <c r="L5099" s="2"/>
      <c r="M5099" s="2"/>
      <c r="N5099" s="4" t="s">
        <v>2259</v>
      </c>
      <c r="O5099" s="4" t="str">
        <f>LEFT(Table2[[#This Row],[Description]],75)</f>
        <v>Red Bench Bakery LLC</v>
      </c>
      <c r="P5099" s="2" t="s">
        <v>2281</v>
      </c>
    </row>
    <row r="5100" spans="1:16" hidden="1">
      <c r="A5100" s="2">
        <v>202106</v>
      </c>
      <c r="B5100" s="3">
        <v>44375</v>
      </c>
      <c r="C5100" s="2" t="s">
        <v>2317</v>
      </c>
      <c r="D5100" s="2" t="s">
        <v>1638</v>
      </c>
      <c r="E5100" s="2">
        <v>-14.87</v>
      </c>
      <c r="F5100" s="2" t="e">
        <f>IF(Table2[[#This Row],[Manual Cat Value]]="",VLOOKUP(Table2[[#This Row],[Description]],'Actuals Lookup'!D:F,3,0),Table2[[#This Row],[Manual Cat Value]])</f>
        <v>#N/A</v>
      </c>
      <c r="J5100" s="2">
        <v>14.87</v>
      </c>
      <c r="K5100" s="2" t="b">
        <v>0</v>
      </c>
      <c r="L5100" s="2"/>
      <c r="M5100" s="2"/>
      <c r="N5100" s="4" t="s">
        <v>2273</v>
      </c>
      <c r="O5100" s="4" t="str">
        <f>LEFT(Table2[[#This Row],[Description]],75)</f>
        <v>SCHWAB US SMALL CAP ETF</v>
      </c>
      <c r="P5100" s="2" t="s">
        <v>2351</v>
      </c>
    </row>
    <row r="5101" spans="1:16" hidden="1">
      <c r="A5101" s="2">
        <v>202106</v>
      </c>
      <c r="B5101" s="3">
        <v>44375</v>
      </c>
      <c r="C5101" s="2" t="s">
        <v>2258</v>
      </c>
      <c r="D5101" s="2" t="s">
        <v>1661</v>
      </c>
      <c r="E5101" s="2">
        <v>71.33</v>
      </c>
      <c r="F5101" s="2" t="e">
        <f>IF(Table2[[#This Row],[Manual Cat Value]]="",VLOOKUP(Table2[[#This Row],[Description]],'Actuals Lookup'!D:F,3,0),Table2[[#This Row],[Manual Cat Value]])</f>
        <v>#N/A</v>
      </c>
      <c r="J5101" s="2">
        <v>71.33</v>
      </c>
      <c r="K5101" s="2" t="b">
        <v>0</v>
      </c>
      <c r="L5101" s="2"/>
      <c r="M5101" s="2"/>
      <c r="N5101" s="4" t="s">
        <v>2259</v>
      </c>
      <c r="O5101" s="4" t="str">
        <f>LEFT(Table2[[#This Row],[Description]],75)</f>
        <v>SHOREWOODLIQUOR SHOREWOOD MN</v>
      </c>
      <c r="P5101" s="2" t="s">
        <v>2471</v>
      </c>
    </row>
    <row r="5102" spans="1:16" hidden="1">
      <c r="A5102" s="2">
        <v>202106</v>
      </c>
      <c r="B5102" s="3">
        <v>44375</v>
      </c>
      <c r="C5102" s="2" t="s">
        <v>2447</v>
      </c>
      <c r="D5102" s="2" t="s">
        <v>1661</v>
      </c>
      <c r="E5102" s="2">
        <v>71.33</v>
      </c>
      <c r="F5102" s="2" t="e">
        <f>IF(Table2[[#This Row],[Manual Cat Value]]="",VLOOKUP(Table2[[#This Row],[Description]],'Actuals Lookup'!D:F,3,0),Table2[[#This Row],[Manual Cat Value]])</f>
        <v>#N/A</v>
      </c>
      <c r="J5102" s="2">
        <v>71.33</v>
      </c>
      <c r="K5102" s="2" t="b">
        <v>0</v>
      </c>
      <c r="L5102" s="2"/>
      <c r="M5102" s="2"/>
      <c r="N5102" s="4" t="s">
        <v>2259</v>
      </c>
      <c r="O5102" s="4" t="str">
        <f>LEFT(Table2[[#This Row],[Description]],75)</f>
        <v>SHOREWOODLIQUOR SHOREWOOD MN</v>
      </c>
      <c r="P5102" s="2" t="s">
        <v>2471</v>
      </c>
    </row>
    <row r="5103" spans="1:16" hidden="1">
      <c r="A5103" s="2">
        <v>202106</v>
      </c>
      <c r="B5103" s="3">
        <v>44375</v>
      </c>
      <c r="C5103" s="2" t="s">
        <v>2262</v>
      </c>
      <c r="D5103" s="2" t="s">
        <v>1778</v>
      </c>
      <c r="E5103" s="2">
        <v>40.46</v>
      </c>
      <c r="F5103" s="2" t="str">
        <f>IF(Table2[[#This Row],[Manual Cat Value]]="",VLOOKUP(Table2[[#This Row],[Description]],'Actuals Lookup'!D:F,3,0),Table2[[#This Row],[Manual Cat Value]])</f>
        <v>Restaurants</v>
      </c>
      <c r="J5103" s="2">
        <v>40.46</v>
      </c>
      <c r="K5103" s="2" t="b">
        <v>0</v>
      </c>
      <c r="L5103" s="2"/>
      <c r="M5103" s="2"/>
      <c r="N5103" s="4" t="s">
        <v>2259</v>
      </c>
      <c r="O5103" s="4" t="str">
        <f>LEFT(Table2[[#This Row],[Description]],75)</f>
        <v>Station Pizzeria</v>
      </c>
      <c r="P5103" s="2" t="s">
        <v>2554</v>
      </c>
    </row>
    <row r="5104" spans="1:16" hidden="1">
      <c r="A5104" s="2">
        <v>202106</v>
      </c>
      <c r="B5104" s="3">
        <v>44375</v>
      </c>
      <c r="C5104" s="2" t="s">
        <v>2262</v>
      </c>
      <c r="D5104" s="2" t="s">
        <v>1794</v>
      </c>
      <c r="E5104" s="2">
        <v>99.12</v>
      </c>
      <c r="F5104" s="2" t="e">
        <f>IF(Table2[[#This Row],[Manual Cat Value]]="",VLOOKUP(Table2[[#This Row],[Description]],'Actuals Lookup'!D:F,3,0),Table2[[#This Row],[Manual Cat Value]])</f>
        <v>#N/A</v>
      </c>
      <c r="J5104" s="2">
        <v>99.12</v>
      </c>
      <c r="K5104" s="2" t="b">
        <v>0</v>
      </c>
      <c r="L5104" s="2"/>
      <c r="M5104" s="2"/>
      <c r="N5104" s="4" t="s">
        <v>2259</v>
      </c>
      <c r="O5104" s="4" t="str">
        <f>LEFT(Table2[[#This Row],[Description]],75)</f>
        <v>Surly Brewing Company TST SURLY BREWING COMPANMINNEAPOLIS MN</v>
      </c>
      <c r="P5104" s="2" t="s">
        <v>2555</v>
      </c>
    </row>
    <row r="5105" spans="1:16" hidden="1">
      <c r="A5105" s="2">
        <v>202106</v>
      </c>
      <c r="B5105" s="3">
        <v>44375</v>
      </c>
      <c r="C5105" s="2" t="s">
        <v>2262</v>
      </c>
      <c r="D5105" s="2" t="s">
        <v>1928</v>
      </c>
      <c r="E5105" s="2">
        <v>-65.87</v>
      </c>
      <c r="F5105" s="2" t="e">
        <f>IF(Table2[[#This Row],[Manual Cat Value]]="",VLOOKUP(Table2[[#This Row],[Description]],'Actuals Lookup'!D:F,3,0),Table2[[#This Row],[Manual Cat Value]])</f>
        <v>#N/A</v>
      </c>
      <c r="J5105" s="2">
        <v>65.87</v>
      </c>
      <c r="K5105" s="2" t="b">
        <v>0</v>
      </c>
      <c r="L5105" s="2"/>
      <c r="M5105" s="2"/>
      <c r="N5105" s="4" t="s">
        <v>2273</v>
      </c>
      <c r="O5105" s="4" t="str">
        <f>LEFT(Table2[[#This Row],[Description]],75)</f>
        <v>Total Wine More</v>
      </c>
      <c r="P5105" s="2" t="s">
        <v>2556</v>
      </c>
    </row>
    <row r="5106" spans="1:16" hidden="1">
      <c r="A5106" s="2">
        <v>202106</v>
      </c>
      <c r="B5106" s="3">
        <v>44375</v>
      </c>
      <c r="C5106" s="2" t="s">
        <v>2258</v>
      </c>
      <c r="D5106" s="2" t="s">
        <v>1928</v>
      </c>
      <c r="E5106" s="2">
        <v>-130</v>
      </c>
      <c r="F5106" s="2" t="e">
        <f>IF(Table2[[#This Row],[Manual Cat Value]]="",VLOOKUP(Table2[[#This Row],[Description]],'Actuals Lookup'!D:F,3,0),Table2[[#This Row],[Manual Cat Value]])</f>
        <v>#N/A</v>
      </c>
      <c r="J5106" s="2">
        <v>130</v>
      </c>
      <c r="K5106" s="2" t="b">
        <v>0</v>
      </c>
      <c r="L5106" s="2"/>
      <c r="M5106" s="2"/>
      <c r="N5106" s="4" t="s">
        <v>2273</v>
      </c>
      <c r="O5106" s="4" t="str">
        <f>LEFT(Table2[[#This Row],[Description]],75)</f>
        <v>Total Wine More</v>
      </c>
      <c r="P5106" s="2" t="s">
        <v>2556</v>
      </c>
    </row>
    <row r="5107" spans="1:16" hidden="1">
      <c r="A5107" s="2">
        <v>202106</v>
      </c>
      <c r="B5107" s="3">
        <v>44375</v>
      </c>
      <c r="C5107" s="2" t="s">
        <v>2447</v>
      </c>
      <c r="D5107" s="2" t="s">
        <v>1928</v>
      </c>
      <c r="E5107" s="2">
        <v>-130</v>
      </c>
      <c r="F5107" s="2" t="e">
        <f>IF(Table2[[#This Row],[Manual Cat Value]]="",VLOOKUP(Table2[[#This Row],[Description]],'Actuals Lookup'!D:F,3,0),Table2[[#This Row],[Manual Cat Value]])</f>
        <v>#N/A</v>
      </c>
      <c r="J5107" s="2">
        <v>130</v>
      </c>
      <c r="K5107" s="2" t="b">
        <v>0</v>
      </c>
      <c r="L5107" s="2"/>
      <c r="M5107" s="2"/>
      <c r="N5107" s="4" t="s">
        <v>2273</v>
      </c>
      <c r="O5107" s="4" t="str">
        <f>LEFT(Table2[[#This Row],[Description]],75)</f>
        <v>Total Wine More</v>
      </c>
      <c r="P5107" s="2" t="s">
        <v>2556</v>
      </c>
    </row>
    <row r="5108" spans="1:16" hidden="1">
      <c r="A5108" s="2">
        <v>202106</v>
      </c>
      <c r="B5108" s="3">
        <v>44376</v>
      </c>
      <c r="C5108" s="2" t="s">
        <v>2265</v>
      </c>
      <c r="D5108" s="2" t="s">
        <v>1962</v>
      </c>
      <c r="E5108" s="2">
        <v>81.62</v>
      </c>
      <c r="F5108" s="2" t="e">
        <f>IF(Table2[[#This Row],[Manual Cat Value]]="",VLOOKUP(Table2[[#This Row],[Description]],'Actuals Lookup'!D:F,3,0),Table2[[#This Row],[Manual Cat Value]])</f>
        <v>#N/A</v>
      </c>
      <c r="J5108" s="2">
        <v>81.62</v>
      </c>
      <c r="K5108" s="2" t="b">
        <v>0</v>
      </c>
      <c r="L5108" s="2"/>
      <c r="M5108" s="2"/>
      <c r="N5108" s="4" t="s">
        <v>2259</v>
      </c>
      <c r="O5108" s="4" t="str">
        <f>LEFT(Table2[[#This Row],[Description]],75)</f>
        <v>Transfer to Venmo VENMO TYPE PAYMENT ID CO VENMO ACH ECC WEB ACH Trace 3187</v>
      </c>
      <c r="P5108" s="2" t="s">
        <v>2281</v>
      </c>
    </row>
    <row r="5109" spans="1:16" hidden="1">
      <c r="A5109" s="2">
        <v>202106</v>
      </c>
      <c r="B5109" s="3">
        <v>44376</v>
      </c>
      <c r="C5109" s="2" t="s">
        <v>2258</v>
      </c>
      <c r="D5109" s="2" t="s">
        <v>38</v>
      </c>
      <c r="E5109" s="2">
        <v>18.2</v>
      </c>
      <c r="F5109" s="2" t="str">
        <f>IF(Table2[[#This Row],[Manual Cat Value]]="",VLOOKUP(Table2[[#This Row],[Description]],'Actuals Lookup'!D:F,3,0),Table2[[#This Row],[Manual Cat Value]])</f>
        <v>Amazon</v>
      </c>
      <c r="J5109" s="2">
        <v>18.2</v>
      </c>
      <c r="K5109" s="2" t="b">
        <v>0</v>
      </c>
      <c r="L5109" s="2"/>
      <c r="M5109" s="2"/>
      <c r="N5109" s="4" t="s">
        <v>2259</v>
      </c>
      <c r="O5109" s="4" t="str">
        <f>LEFT(Table2[[#This Row],[Description]],75)</f>
        <v>Amazon</v>
      </c>
      <c r="P5109" s="2" t="s">
        <v>2260</v>
      </c>
    </row>
    <row r="5110" spans="1:16" hidden="1">
      <c r="A5110" s="2">
        <v>202106</v>
      </c>
      <c r="B5110" s="3">
        <v>44376</v>
      </c>
      <c r="C5110" s="2" t="s">
        <v>2447</v>
      </c>
      <c r="D5110" s="2" t="s">
        <v>38</v>
      </c>
      <c r="E5110" s="2">
        <v>18.2</v>
      </c>
      <c r="F5110" s="2" t="str">
        <f>IF(Table2[[#This Row],[Manual Cat Value]]="",VLOOKUP(Table2[[#This Row],[Description]],'Actuals Lookup'!D:F,3,0),Table2[[#This Row],[Manual Cat Value]])</f>
        <v>Amazon</v>
      </c>
      <c r="J5110" s="2">
        <v>18.2</v>
      </c>
      <c r="K5110" s="2" t="b">
        <v>0</v>
      </c>
      <c r="L5110" s="2"/>
      <c r="M5110" s="2"/>
      <c r="N5110" s="4" t="s">
        <v>2259</v>
      </c>
      <c r="O5110" s="4" t="str">
        <f>LEFT(Table2[[#This Row],[Description]],75)</f>
        <v>Amazon</v>
      </c>
      <c r="P5110" s="2" t="s">
        <v>2260</v>
      </c>
    </row>
    <row r="5111" spans="1:16" hidden="1">
      <c r="A5111" s="2">
        <v>202106</v>
      </c>
      <c r="B5111" s="3">
        <v>44376</v>
      </c>
      <c r="C5111" s="2" t="s">
        <v>2262</v>
      </c>
      <c r="D5111" s="2" t="s">
        <v>702</v>
      </c>
      <c r="E5111" s="2">
        <v>11.2</v>
      </c>
      <c r="F5111" s="2" t="e">
        <f>IF(Table2[[#This Row],[Manual Cat Value]]="",VLOOKUP(Table2[[#This Row],[Description]],'Actuals Lookup'!D:F,3,0),Table2[[#This Row],[Manual Cat Value]])</f>
        <v>#N/A</v>
      </c>
      <c r="J5111" s="2">
        <v>11.2</v>
      </c>
      <c r="K5111" s="2" t="b">
        <v>0</v>
      </c>
      <c r="L5111" s="2"/>
      <c r="M5111" s="2"/>
      <c r="N5111" s="4" t="s">
        <v>2259</v>
      </c>
      <c r="O5111" s="4" t="str">
        <f>LEFT(Table2[[#This Row],[Description]],75)</f>
        <v>Delta</v>
      </c>
      <c r="P5111" s="2" t="s">
        <v>2510</v>
      </c>
    </row>
    <row r="5112" spans="1:16" hidden="1">
      <c r="A5112" s="2">
        <v>202106</v>
      </c>
      <c r="B5112" s="3">
        <v>44376</v>
      </c>
      <c r="C5112" s="2" t="s">
        <v>2262</v>
      </c>
      <c r="D5112" s="2" t="s">
        <v>1137</v>
      </c>
      <c r="E5112" s="2">
        <v>-11.48</v>
      </c>
      <c r="F5112" s="2" t="e">
        <f>IF(Table2[[#This Row],[Manual Cat Value]]="",VLOOKUP(Table2[[#This Row],[Description]],'Actuals Lookup'!D:F,3,0),Table2[[#This Row],[Manual Cat Value]])</f>
        <v>#N/A</v>
      </c>
      <c r="J5112" s="2">
        <v>11.48</v>
      </c>
      <c r="K5112" s="2" t="b">
        <v>0</v>
      </c>
      <c r="L5112" s="2"/>
      <c r="M5112" s="2"/>
      <c r="N5112" s="4" t="s">
        <v>2273</v>
      </c>
      <c r="O5112" s="4" t="str">
        <f>LEFT(Table2[[#This Row],[Description]],75)</f>
        <v>Lowe's</v>
      </c>
      <c r="P5112" s="2" t="s">
        <v>2557</v>
      </c>
    </row>
    <row r="5113" spans="1:16" hidden="1">
      <c r="A5113" s="2">
        <v>202106</v>
      </c>
      <c r="B5113" s="3">
        <v>44376</v>
      </c>
      <c r="C5113" s="2" t="s">
        <v>2265</v>
      </c>
      <c r="D5113" s="2" t="s">
        <v>1196</v>
      </c>
      <c r="E5113" s="2">
        <v>528.79999999999995</v>
      </c>
      <c r="F5113" s="2" t="e">
        <f>IF(Table2[[#This Row],[Manual Cat Value]]="",VLOOKUP(Table2[[#This Row],[Description]],'Actuals Lookup'!D:F,3,0),Table2[[#This Row],[Manual Cat Value]])</f>
        <v>#N/A</v>
      </c>
      <c r="J5113" s="2">
        <v>528.79999999999995</v>
      </c>
      <c r="K5113" s="2" t="b">
        <v>0</v>
      </c>
      <c r="L5113" s="2"/>
      <c r="M5113" s="2"/>
      <c r="N5113" s="4" t="s">
        <v>2259</v>
      </c>
      <c r="O5113" s="4" t="str">
        <f>LEFT(Table2[[#This Row],[Description]],75)</f>
        <v>MHCHILDCARELLC TYPE DUES ID CO M MHCHILDCARELLC TYPE DUES ID CO MHCHILDCARE</v>
      </c>
      <c r="P5113" s="2" t="s">
        <v>2497</v>
      </c>
    </row>
    <row r="5114" spans="1:16" hidden="1">
      <c r="A5114" s="2">
        <v>202106</v>
      </c>
      <c r="B5114" s="3">
        <v>44376</v>
      </c>
      <c r="C5114" s="2" t="s">
        <v>2265</v>
      </c>
      <c r="D5114" s="2" t="s">
        <v>1471</v>
      </c>
      <c r="E5114" s="2">
        <v>0.99</v>
      </c>
      <c r="F5114" s="2" t="str">
        <f>IF(Table2[[#This Row],[Manual Cat Value]]="",VLOOKUP(Table2[[#This Row],[Description]],'Actuals Lookup'!D:F,3,0),Table2[[#This Row],[Manual Cat Value]])</f>
        <v>Shopping</v>
      </c>
      <c r="J5114" s="2">
        <v>0.99</v>
      </c>
      <c r="K5114" s="2" t="b">
        <v>0</v>
      </c>
      <c r="L5114" s="2"/>
      <c r="M5114" s="2"/>
      <c r="N5114" s="4" t="s">
        <v>2259</v>
      </c>
      <c r="O5114" s="4" t="str">
        <f>LEFT(Table2[[#This Row],[Description]],75)</f>
        <v>PayPal</v>
      </c>
      <c r="P5114" s="2" t="s">
        <v>2322</v>
      </c>
    </row>
    <row r="5115" spans="1:16" hidden="1">
      <c r="A5115" s="2">
        <v>202106</v>
      </c>
      <c r="B5115" s="3">
        <v>44376</v>
      </c>
      <c r="C5115" s="2" t="s">
        <v>2317</v>
      </c>
      <c r="D5115" s="2" t="s">
        <v>1638</v>
      </c>
      <c r="E5115" s="2">
        <v>14.87</v>
      </c>
      <c r="F5115" s="2" t="e">
        <f>IF(Table2[[#This Row],[Manual Cat Value]]="",VLOOKUP(Table2[[#This Row],[Description]],'Actuals Lookup'!D:F,3,0),Table2[[#This Row],[Manual Cat Value]])</f>
        <v>#N/A</v>
      </c>
      <c r="J5115" s="2">
        <v>14.87</v>
      </c>
      <c r="K5115" s="2" t="b">
        <v>0</v>
      </c>
      <c r="L5115" s="2"/>
      <c r="M5115" s="2"/>
      <c r="N5115" s="4" t="s">
        <v>2259</v>
      </c>
      <c r="O5115" s="4" t="str">
        <f>LEFT(Table2[[#This Row],[Description]],75)</f>
        <v>SCHWAB US SMALL CAP ETF</v>
      </c>
      <c r="P5115" s="2" t="s">
        <v>2351</v>
      </c>
    </row>
    <row r="5116" spans="1:16" hidden="1">
      <c r="A5116" s="2">
        <v>202106</v>
      </c>
      <c r="B5116" s="3">
        <v>44377</v>
      </c>
      <c r="C5116" s="2" t="s">
        <v>2258</v>
      </c>
      <c r="D5116" s="2" t="s">
        <v>38</v>
      </c>
      <c r="E5116" s="2">
        <v>17.84</v>
      </c>
      <c r="F5116" s="2" t="str">
        <f>IF(Table2[[#This Row],[Manual Cat Value]]="",VLOOKUP(Table2[[#This Row],[Description]],'Actuals Lookup'!D:F,3,0),Table2[[#This Row],[Manual Cat Value]])</f>
        <v>Amazon</v>
      </c>
      <c r="J5116" s="2">
        <v>17.84</v>
      </c>
      <c r="K5116" s="2" t="b">
        <v>0</v>
      </c>
      <c r="L5116" s="2"/>
      <c r="M5116" s="2"/>
      <c r="N5116" s="4" t="s">
        <v>2259</v>
      </c>
      <c r="O5116" s="4" t="str">
        <f>LEFT(Table2[[#This Row],[Description]],75)</f>
        <v>Amazon</v>
      </c>
      <c r="P5116" s="2" t="s">
        <v>2260</v>
      </c>
    </row>
    <row r="5117" spans="1:16" hidden="1">
      <c r="A5117" s="2">
        <v>202106</v>
      </c>
      <c r="B5117" s="3">
        <v>44377</v>
      </c>
      <c r="C5117" s="2" t="s">
        <v>2447</v>
      </c>
      <c r="D5117" s="2" t="s">
        <v>38</v>
      </c>
      <c r="E5117" s="2">
        <v>17.84</v>
      </c>
      <c r="F5117" s="2" t="str">
        <f>IF(Table2[[#This Row],[Manual Cat Value]]="",VLOOKUP(Table2[[#This Row],[Description]],'Actuals Lookup'!D:F,3,0),Table2[[#This Row],[Manual Cat Value]])</f>
        <v>Amazon</v>
      </c>
      <c r="J5117" s="2">
        <v>17.84</v>
      </c>
      <c r="K5117" s="2" t="b">
        <v>0</v>
      </c>
      <c r="L5117" s="2"/>
      <c r="M5117" s="2"/>
      <c r="N5117" s="4" t="s">
        <v>2259</v>
      </c>
      <c r="O5117" s="4" t="str">
        <f>LEFT(Table2[[#This Row],[Description]],75)</f>
        <v>Amazon</v>
      </c>
      <c r="P5117" s="2" t="s">
        <v>2260</v>
      </c>
    </row>
    <row r="5118" spans="1:16" hidden="1">
      <c r="A5118" s="2">
        <v>202106</v>
      </c>
      <c r="B5118" s="3">
        <v>44377</v>
      </c>
      <c r="C5118" s="2" t="s">
        <v>2265</v>
      </c>
      <c r="D5118" s="2" t="s">
        <v>177</v>
      </c>
      <c r="E5118" s="2">
        <v>-4</v>
      </c>
      <c r="F5118" s="2" t="e">
        <f>IF(Table2[[#This Row],[Manual Cat Value]]="",VLOOKUP(Table2[[#This Row],[Description]],'Actuals Lookup'!D:F,3,0),Table2[[#This Row],[Manual Cat Value]])</f>
        <v>#N/A</v>
      </c>
      <c r="J5118" s="2">
        <v>4</v>
      </c>
      <c r="K5118" s="2" t="b">
        <v>0</v>
      </c>
      <c r="L5118" s="2"/>
      <c r="M5118" s="2"/>
      <c r="N5118" s="4" t="s">
        <v>2273</v>
      </c>
      <c r="O5118" s="4" t="str">
        <f>LEFT(Table2[[#This Row],[Description]],75)</f>
        <v>ATM FEE REFUND</v>
      </c>
      <c r="P5118" s="2" t="s">
        <v>2281</v>
      </c>
    </row>
    <row r="5119" spans="1:16" hidden="1">
      <c r="A5119" s="2">
        <v>202106</v>
      </c>
      <c r="B5119" s="3">
        <v>44377</v>
      </c>
      <c r="C5119" s="2" t="s">
        <v>2265</v>
      </c>
      <c r="D5119" s="2" t="s">
        <v>494</v>
      </c>
      <c r="E5119" s="2">
        <v>21.23</v>
      </c>
      <c r="F5119" s="2" t="str">
        <f>IF(Table2[[#This Row],[Manual Cat Value]]="",VLOOKUP(Table2[[#This Row],[Description]],'Actuals Lookup'!D:F,3,0),Table2[[#This Row],[Manual Cat Value]])</f>
        <v>Utilities</v>
      </c>
      <c r="J5119" s="2">
        <v>21.23</v>
      </c>
      <c r="K5119" s="2" t="b">
        <v>0</v>
      </c>
      <c r="L5119" s="2"/>
      <c r="M5119" s="2"/>
      <c r="N5119" s="4" t="s">
        <v>2259</v>
      </c>
      <c r="O5119" s="4" t="str">
        <f>LEFT(Table2[[#This Row],[Description]],75)</f>
        <v>CenterPoint Energy</v>
      </c>
      <c r="P5119" s="2" t="s">
        <v>2281</v>
      </c>
    </row>
    <row r="5120" spans="1:16" hidden="1">
      <c r="A5120" s="2">
        <v>202106</v>
      </c>
      <c r="B5120" s="3">
        <v>44377</v>
      </c>
      <c r="C5120" s="2" t="s">
        <v>2317</v>
      </c>
      <c r="D5120" s="2" t="s">
        <v>605</v>
      </c>
      <c r="E5120" s="2">
        <v>-250</v>
      </c>
      <c r="F5120" s="2" t="e">
        <f>IF(Table2[[#This Row],[Manual Cat Value]]="",VLOOKUP(Table2[[#This Row],[Description]],'Actuals Lookup'!D:F,3,0),Table2[[#This Row],[Manual Cat Value]])</f>
        <v>#N/A</v>
      </c>
      <c r="J5120" s="2">
        <v>250</v>
      </c>
      <c r="K5120" s="2" t="b">
        <v>0</v>
      </c>
      <c r="L5120" s="2"/>
      <c r="M5120" s="2"/>
      <c r="N5120" s="4" t="s">
        <v>2273</v>
      </c>
      <c r="O5120" s="4" t="str">
        <f>LEFT(Table2[[#This Row],[Description]],75)</f>
        <v>CONNECTED ANALYT</v>
      </c>
      <c r="P5120" s="2" t="s">
        <v>2493</v>
      </c>
    </row>
    <row r="5121" spans="1:16" hidden="1">
      <c r="A5121" s="2">
        <v>202106</v>
      </c>
      <c r="B5121" s="3">
        <v>44377</v>
      </c>
      <c r="C5121" s="2" t="s">
        <v>2265</v>
      </c>
      <c r="D5121" s="2" t="s">
        <v>985</v>
      </c>
      <c r="E5121" s="2">
        <v>-24.74</v>
      </c>
      <c r="F5121" s="2" t="e">
        <f>IF(Table2[[#This Row],[Manual Cat Value]]="",VLOOKUP(Table2[[#This Row],[Description]],'Actuals Lookup'!D:F,3,0),Table2[[#This Row],[Manual Cat Value]])</f>
        <v>#N/A</v>
      </c>
      <c r="J5121" s="2">
        <v>24.74</v>
      </c>
      <c r="K5121" s="2" t="b">
        <v>0</v>
      </c>
      <c r="L5121" s="2"/>
      <c r="M5121" s="2"/>
      <c r="N5121" s="4" t="s">
        <v>2273</v>
      </c>
      <c r="O5121" s="4" t="str">
        <f>LEFT(Table2[[#This Row],[Description]],75)</f>
        <v>Interest Income Split Rate APY Earned 059 060121 to 063021</v>
      </c>
      <c r="P5121" s="2" t="s">
        <v>2281</v>
      </c>
    </row>
    <row r="5122" spans="1:16" hidden="1">
      <c r="A5122" s="2">
        <v>202106</v>
      </c>
      <c r="B5122" s="3">
        <v>44377</v>
      </c>
      <c r="C5122" s="2" t="s">
        <v>2300</v>
      </c>
      <c r="D5122" s="2" t="s">
        <v>987</v>
      </c>
      <c r="E5122" s="2">
        <v>-12.81</v>
      </c>
      <c r="F5122" s="2" t="e">
        <f>IF(Table2[[#This Row],[Manual Cat Value]]="",VLOOKUP(Table2[[#This Row],[Description]],'Actuals Lookup'!D:F,3,0),Table2[[#This Row],[Manual Cat Value]])</f>
        <v>#N/A</v>
      </c>
      <c r="J5122" s="2">
        <v>12.81</v>
      </c>
      <c r="K5122" s="2" t="b">
        <v>0</v>
      </c>
      <c r="L5122" s="2"/>
      <c r="M5122" s="2"/>
      <c r="N5122" s="4" t="s">
        <v>2273</v>
      </c>
      <c r="O5122" s="4" t="str">
        <f>LEFT(Table2[[#This Row],[Description]],75)</f>
        <v>Interest Income Split Rate APY Earned 100 060121 to 063021</v>
      </c>
      <c r="P5122" s="2" t="s">
        <v>2281</v>
      </c>
    </row>
    <row r="5123" spans="1:16" hidden="1">
      <c r="A5123" s="2">
        <v>202106</v>
      </c>
      <c r="B5123" s="3">
        <v>44377</v>
      </c>
      <c r="C5123" s="2" t="s">
        <v>2274</v>
      </c>
      <c r="D5123" s="2" t="s">
        <v>994</v>
      </c>
      <c r="E5123" s="2">
        <v>-0.04</v>
      </c>
      <c r="F5123" s="2" t="e">
        <f>IF(Table2[[#This Row],[Manual Cat Value]]="",VLOOKUP(Table2[[#This Row],[Description]],'Actuals Lookup'!D:F,3,0),Table2[[#This Row],[Manual Cat Value]])</f>
        <v>#N/A</v>
      </c>
      <c r="J5123" s="2">
        <v>0.04</v>
      </c>
      <c r="K5123" s="2" t="b">
        <v>0</v>
      </c>
      <c r="L5123" s="2"/>
      <c r="M5123" s="2"/>
      <c r="N5123" s="4" t="s">
        <v>2273</v>
      </c>
      <c r="O5123" s="4" t="str">
        <f>LEFT(Table2[[#This Row],[Description]],75)</f>
        <v>Interest Paid</v>
      </c>
      <c r="P5123" s="2" t="s">
        <v>2281</v>
      </c>
    </row>
    <row r="5124" spans="1:16" hidden="1">
      <c r="A5124" s="2">
        <v>202106</v>
      </c>
      <c r="B5124" s="3">
        <v>44377</v>
      </c>
      <c r="C5124" s="2" t="s">
        <v>2435</v>
      </c>
      <c r="D5124" s="2" t="s">
        <v>1836</v>
      </c>
      <c r="E5124" s="2">
        <v>-250</v>
      </c>
      <c r="F5124" s="2" t="e">
        <f>IF(Table2[[#This Row],[Manual Cat Value]]="",VLOOKUP(Table2[[#This Row],[Description]],'Actuals Lookup'!D:F,3,0),Table2[[#This Row],[Manual Cat Value]])</f>
        <v>#N/A</v>
      </c>
      <c r="J5124" s="2">
        <v>250</v>
      </c>
      <c r="K5124" s="2" t="b">
        <v>0</v>
      </c>
      <c r="L5124" s="2"/>
      <c r="M5124" s="2"/>
      <c r="N5124" s="4" t="s">
        <v>2273</v>
      </c>
      <c r="O5124" s="4" t="str">
        <f>LEFT(Table2[[#This Row],[Description]],75)</f>
        <v>Tfr JPMORGAN CHASE BAN, CONNECTED ANALYT</v>
      </c>
      <c r="P5124" s="2" t="s">
        <v>2493</v>
      </c>
    </row>
    <row r="5125" spans="1:16" hidden="1">
      <c r="A5125" s="2">
        <v>202107</v>
      </c>
      <c r="B5125" s="3">
        <v>44378</v>
      </c>
      <c r="C5125" s="2" t="s">
        <v>2270</v>
      </c>
      <c r="D5125" s="2" t="s">
        <v>1410</v>
      </c>
      <c r="E5125" s="2">
        <v>-736.97</v>
      </c>
      <c r="F5125" s="2" t="str">
        <f>IF(Table2[[#This Row],[Manual Cat Value]]="",VLOOKUP(Table2[[#This Row],[Description]],'Actuals Lookup'!D:F,3,0),Table2[[#This Row],[Manual Cat Value]])</f>
        <v>Delete</v>
      </c>
      <c r="J5125" s="2">
        <v>736.97</v>
      </c>
      <c r="K5125" s="2" t="b">
        <v>0</v>
      </c>
      <c r="L5125" s="2"/>
      <c r="M5125" s="2"/>
      <c r="N5125" s="4" t="s">
        <v>2273</v>
      </c>
      <c r="O5125" s="4" t="str">
        <f>LEFT(Table2[[#This Row],[Description]],75)</f>
        <v>PAYMENT</v>
      </c>
      <c r="P5125" s="2" t="s">
        <v>2492</v>
      </c>
    </row>
    <row r="5126" spans="1:16" hidden="1">
      <c r="A5126" s="2">
        <v>202107</v>
      </c>
      <c r="B5126" s="3">
        <v>44378</v>
      </c>
      <c r="C5126" s="2" t="s">
        <v>2258</v>
      </c>
      <c r="D5126" s="2" t="s">
        <v>114</v>
      </c>
      <c r="E5126" s="2">
        <v>4.28</v>
      </c>
      <c r="F5126" s="2" t="str">
        <f>IF(Table2[[#This Row],[Manual Cat Value]]="",VLOOKUP(Table2[[#This Row],[Description]],'Actuals Lookup'!D:F,3,0),Table2[[#This Row],[Manual Cat Value]])</f>
        <v>Entertainment</v>
      </c>
      <c r="J5126" s="2">
        <v>4.28</v>
      </c>
      <c r="K5126" s="2" t="b">
        <v>0</v>
      </c>
      <c r="L5126" s="2"/>
      <c r="M5126" s="2"/>
      <c r="N5126" s="4" t="s">
        <v>2259</v>
      </c>
      <c r="O5126" s="4" t="str">
        <f>LEFT(Table2[[#This Row],[Description]],75)</f>
        <v>Amazon Music</v>
      </c>
      <c r="P5126" s="2" t="s">
        <v>2466</v>
      </c>
    </row>
    <row r="5127" spans="1:16" hidden="1">
      <c r="A5127" s="2">
        <v>202107</v>
      </c>
      <c r="B5127" s="3">
        <v>44378</v>
      </c>
      <c r="C5127" s="2" t="s">
        <v>2447</v>
      </c>
      <c r="D5127" s="2" t="s">
        <v>114</v>
      </c>
      <c r="E5127" s="2">
        <v>4.28</v>
      </c>
      <c r="F5127" s="2" t="str">
        <f>IF(Table2[[#This Row],[Manual Cat Value]]="",VLOOKUP(Table2[[#This Row],[Description]],'Actuals Lookup'!D:F,3,0),Table2[[#This Row],[Manual Cat Value]])</f>
        <v>Entertainment</v>
      </c>
      <c r="J5127" s="2">
        <v>4.28</v>
      </c>
      <c r="K5127" s="2" t="b">
        <v>0</v>
      </c>
      <c r="L5127" s="2"/>
      <c r="M5127" s="2"/>
      <c r="N5127" s="4" t="s">
        <v>2259</v>
      </c>
      <c r="O5127" s="4" t="str">
        <f>LEFT(Table2[[#This Row],[Description]],75)</f>
        <v>Amazon Music</v>
      </c>
      <c r="P5127" s="2" t="s">
        <v>2466</v>
      </c>
    </row>
    <row r="5128" spans="1:16" hidden="1">
      <c r="A5128" s="2">
        <v>202107</v>
      </c>
      <c r="B5128" s="3">
        <v>44378</v>
      </c>
      <c r="C5128" s="2" t="s">
        <v>2265</v>
      </c>
      <c r="D5128" s="2" t="s">
        <v>254</v>
      </c>
      <c r="E5128" s="2">
        <v>2832.55</v>
      </c>
      <c r="F5128" s="2" t="str">
        <f>IF(Table2[[#This Row],[Manual Cat Value]]="",VLOOKUP(Table2[[#This Row],[Description]],'Actuals Lookup'!D:F,3,0),Table2[[#This Row],[Manual Cat Value]])</f>
        <v>Rent</v>
      </c>
      <c r="J5128" s="2">
        <v>2832.55</v>
      </c>
      <c r="K5128" s="2" t="b">
        <v>0</v>
      </c>
      <c r="L5128" s="2"/>
      <c r="M5128" s="2"/>
      <c r="N5128" s="4" t="s">
        <v>2259</v>
      </c>
      <c r="O5128" s="4" t="str">
        <f>LEFT(Table2[[#This Row],[Description]],75)</f>
        <v>Baxter Credit Union</v>
      </c>
      <c r="P5128" s="2" t="s">
        <v>2558</v>
      </c>
    </row>
    <row r="5129" spans="1:16" hidden="1">
      <c r="A5129" s="2">
        <v>202107</v>
      </c>
      <c r="B5129" s="3">
        <v>44378</v>
      </c>
      <c r="C5129" s="2" t="s">
        <v>2265</v>
      </c>
      <c r="D5129" s="2" t="s">
        <v>598</v>
      </c>
      <c r="E5129" s="2">
        <v>200</v>
      </c>
      <c r="F5129" s="2" t="e">
        <f>IF(Table2[[#This Row],[Manual Cat Value]]="",VLOOKUP(Table2[[#This Row],[Description]],'Actuals Lookup'!D:F,3,0),Table2[[#This Row],[Manual Cat Value]])</f>
        <v>#N/A</v>
      </c>
      <c r="J5129" s="2">
        <v>200</v>
      </c>
      <c r="K5129" s="2" t="b">
        <v>0</v>
      </c>
      <c r="L5129" s="2"/>
      <c r="M5129" s="2"/>
      <c r="N5129" s="4" t="s">
        <v>2259</v>
      </c>
      <c r="O5129" s="4" t="str">
        <f>LEFT(Table2[[#This Row],[Description]],75)</f>
        <v>College Savings TYPE ACH ID XX58 College Savings TYPE ACH ID 550895818 CO C</v>
      </c>
      <c r="P5129" s="2" t="s">
        <v>2272</v>
      </c>
    </row>
    <row r="5130" spans="1:16" hidden="1">
      <c r="A5130" s="2">
        <v>202107</v>
      </c>
      <c r="B5130" s="3">
        <v>44378</v>
      </c>
      <c r="C5130" s="2" t="s">
        <v>2305</v>
      </c>
      <c r="D5130" s="2" t="s">
        <v>670</v>
      </c>
      <c r="E5130" s="2">
        <v>-184.48</v>
      </c>
      <c r="F5130" s="2" t="e">
        <f>IF(Table2[[#This Row],[Manual Cat Value]]="",VLOOKUP(Table2[[#This Row],[Description]],'Actuals Lookup'!D:F,3,0),Table2[[#This Row],[Manual Cat Value]])</f>
        <v>#N/A</v>
      </c>
      <c r="J5130" s="2">
        <v>184.48</v>
      </c>
      <c r="K5130" s="2" t="b">
        <v>0</v>
      </c>
      <c r="L5130" s="2"/>
      <c r="M5130" s="2"/>
      <c r="N5130" s="4" t="s">
        <v>2273</v>
      </c>
      <c r="O5130" s="4" t="str">
        <f>LEFT(Table2[[#This Row],[Description]],75)</f>
        <v>Cred Rebate</v>
      </c>
      <c r="P5130" s="2" t="s">
        <v>2443</v>
      </c>
    </row>
    <row r="5131" spans="1:16" hidden="1">
      <c r="A5131" s="2">
        <v>202107</v>
      </c>
      <c r="B5131" s="3">
        <v>44378</v>
      </c>
      <c r="C5131" s="2" t="s">
        <v>2262</v>
      </c>
      <c r="D5131" s="2" t="s">
        <v>836</v>
      </c>
      <c r="E5131" s="2">
        <v>183.74</v>
      </c>
      <c r="F5131" s="2" t="e">
        <f>IF(Table2[[#This Row],[Manual Cat Value]]="",VLOOKUP(Table2[[#This Row],[Description]],'Actuals Lookup'!D:F,3,0),Table2[[#This Row],[Manual Cat Value]])</f>
        <v>#N/A</v>
      </c>
      <c r="J5131" s="2">
        <v>183.74</v>
      </c>
      <c r="K5131" s="2" t="b">
        <v>0</v>
      </c>
      <c r="L5131" s="2"/>
      <c r="M5131" s="2"/>
      <c r="N5131" s="4" t="s">
        <v>2259</v>
      </c>
      <c r="O5131" s="4" t="str">
        <f>LEFT(Table2[[#This Row],[Description]],75)</f>
        <v>FAUCETCOM 8004445783 CA</v>
      </c>
      <c r="P5131" s="2" t="s">
        <v>2281</v>
      </c>
    </row>
    <row r="5132" spans="1:16" hidden="1">
      <c r="A5132" s="2">
        <v>202107</v>
      </c>
      <c r="B5132" s="3">
        <v>44378</v>
      </c>
      <c r="C5132" s="2" t="s">
        <v>2314</v>
      </c>
      <c r="D5132" s="2" t="s">
        <v>859</v>
      </c>
      <c r="E5132" s="2">
        <v>-586.53</v>
      </c>
      <c r="F5132" s="2" t="e">
        <f>IF(Table2[[#This Row],[Manual Cat Value]]="",VLOOKUP(Table2[[#This Row],[Description]],'Actuals Lookup'!D:F,3,0),Table2[[#This Row],[Manual Cat Value]])</f>
        <v>#N/A</v>
      </c>
      <c r="J5132" s="2">
        <v>586.53</v>
      </c>
      <c r="K5132" s="2" t="b">
        <v>0</v>
      </c>
      <c r="L5132" s="2"/>
      <c r="M5132" s="2"/>
      <c r="N5132" s="4" t="s">
        <v>2273</v>
      </c>
      <c r="O5132" s="4" t="str">
        <f>LEFT(Table2[[#This Row],[Description]],75)</f>
        <v>From Share 70</v>
      </c>
      <c r="P5132" s="2" t="s">
        <v>2281</v>
      </c>
    </row>
    <row r="5133" spans="1:16" hidden="1">
      <c r="A5133" s="2">
        <v>202107</v>
      </c>
      <c r="B5133" s="3">
        <v>44378</v>
      </c>
      <c r="C5133" s="2" t="s">
        <v>2262</v>
      </c>
      <c r="D5133" s="2" t="s">
        <v>1408</v>
      </c>
      <c r="E5133" s="2">
        <v>373</v>
      </c>
      <c r="F5133" s="2" t="str">
        <f>IF(Table2[[#This Row],[Manual Cat Value]]="",VLOOKUP(Table2[[#This Row],[Description]],'Actuals Lookup'!D:F,3,0),Table2[[#This Row],[Manual Cat Value]])</f>
        <v>Shopping</v>
      </c>
      <c r="J5133" s="2">
        <v>373</v>
      </c>
      <c r="K5133" s="2" t="b">
        <v>0</v>
      </c>
      <c r="L5133" s="2"/>
      <c r="M5133" s="2"/>
      <c r="N5133" s="4" t="s">
        <v>2259</v>
      </c>
      <c r="O5133" s="4" t="str">
        <f>LEFT(Table2[[#This Row],[Description]],75)</f>
        <v>Patagonia</v>
      </c>
      <c r="P5133" s="2" t="s">
        <v>2436</v>
      </c>
    </row>
    <row r="5134" spans="1:16" hidden="1">
      <c r="A5134" s="2">
        <v>202107</v>
      </c>
      <c r="B5134" s="3">
        <v>44378</v>
      </c>
      <c r="C5134" s="2" t="s">
        <v>2270</v>
      </c>
      <c r="D5134" s="2" t="s">
        <v>1524</v>
      </c>
      <c r="E5134" s="2">
        <v>-431</v>
      </c>
      <c r="F5134" s="2" t="e">
        <f>IF(Table2[[#This Row],[Manual Cat Value]]="",VLOOKUP(Table2[[#This Row],[Description]],'Actuals Lookup'!D:F,3,0),Table2[[#This Row],[Manual Cat Value]])</f>
        <v>#N/A</v>
      </c>
      <c r="J5134" s="2">
        <v>431</v>
      </c>
      <c r="K5134" s="2" t="b">
        <v>0</v>
      </c>
      <c r="L5134" s="2"/>
      <c r="M5134" s="2"/>
      <c r="N5134" s="4" t="s">
        <v>2273</v>
      </c>
      <c r="O5134" s="4" t="str">
        <f>LEFT(Table2[[#This Row],[Description]],75)</f>
        <v>Principal Curtailment</v>
      </c>
      <c r="P5134" s="2" t="s">
        <v>2514</v>
      </c>
    </row>
    <row r="5135" spans="1:16" hidden="1">
      <c r="A5135" s="2">
        <v>202107</v>
      </c>
      <c r="B5135" s="3">
        <v>44378</v>
      </c>
      <c r="C5135" s="2" t="s">
        <v>2265</v>
      </c>
      <c r="D5135" s="2" t="s">
        <v>1877</v>
      </c>
      <c r="E5135" s="2">
        <v>618.65</v>
      </c>
      <c r="F5135" s="2" t="e">
        <f>IF(Table2[[#This Row],[Manual Cat Value]]="",VLOOKUP(Table2[[#This Row],[Description]],'Actuals Lookup'!D:F,3,0),Table2[[#This Row],[Manual Cat Value]])</f>
        <v>#N/A</v>
      </c>
      <c r="J5135" s="2">
        <v>618.65</v>
      </c>
      <c r="K5135" s="2" t="b">
        <v>0</v>
      </c>
      <c r="L5135" s="2"/>
      <c r="M5135" s="2"/>
      <c r="N5135" s="4" t="s">
        <v>2259</v>
      </c>
      <c r="O5135" s="4" t="str">
        <f>LEFT(Table2[[#This Row],[Description]],75)</f>
        <v>To Loan 02</v>
      </c>
      <c r="P5135" s="2" t="s">
        <v>2316</v>
      </c>
    </row>
    <row r="5136" spans="1:16" hidden="1">
      <c r="A5136" s="2">
        <v>202107</v>
      </c>
      <c r="B5136" s="3">
        <v>44379</v>
      </c>
      <c r="C5136" s="2" t="s">
        <v>2265</v>
      </c>
      <c r="D5136" s="2" t="s">
        <v>522</v>
      </c>
      <c r="E5136" s="2">
        <v>2375</v>
      </c>
      <c r="F5136" s="2" t="e">
        <f>IF(Table2[[#This Row],[Manual Cat Value]]="",VLOOKUP(Table2[[#This Row],[Description]],'Actuals Lookup'!D:F,3,0),Table2[[#This Row],[Manual Cat Value]])</f>
        <v>#N/A</v>
      </c>
      <c r="J5136" s="2">
        <v>2375</v>
      </c>
      <c r="K5136" s="2" t="b">
        <v>0</v>
      </c>
      <c r="L5136" s="2"/>
      <c r="M5136" s="2"/>
      <c r="N5136" s="4" t="s">
        <v>2259</v>
      </c>
      <c r="O5136" s="4" t="str">
        <f>LEFT(Table2[[#This Row],[Description]],75)</f>
        <v>CHECK 2105 2105</v>
      </c>
      <c r="P5136" s="2" t="s">
        <v>2281</v>
      </c>
    </row>
    <row r="5137" spans="1:16" hidden="1">
      <c r="A5137" s="2">
        <v>202107</v>
      </c>
      <c r="B5137" s="3">
        <v>44379</v>
      </c>
      <c r="C5137" s="2" t="s">
        <v>2265</v>
      </c>
      <c r="D5137" s="2" t="s">
        <v>1083</v>
      </c>
      <c r="E5137" s="2">
        <v>31.07</v>
      </c>
      <c r="F5137" s="2" t="str">
        <f>IF(Table2[[#This Row],[Manual Cat Value]]="",VLOOKUP(Table2[[#This Row],[Description]],'Actuals Lookup'!D:F,3,0),Table2[[#This Row],[Manual Cat Value]])</f>
        <v>Transportation</v>
      </c>
      <c r="J5137" s="2">
        <v>31.07</v>
      </c>
      <c r="K5137" s="2" t="b">
        <v>0</v>
      </c>
      <c r="L5137" s="2"/>
      <c r="M5137" s="2"/>
      <c r="N5137" s="4" t="s">
        <v>2259</v>
      </c>
      <c r="O5137" s="4" t="str">
        <f>LEFT(Table2[[#This Row],[Description]],75)</f>
        <v>Kwik Trip</v>
      </c>
      <c r="P5137" s="2" t="s">
        <v>2509</v>
      </c>
    </row>
    <row r="5138" spans="1:16" hidden="1">
      <c r="A5138" s="2">
        <v>202107</v>
      </c>
      <c r="B5138" s="3">
        <v>44379</v>
      </c>
      <c r="C5138" s="2" t="s">
        <v>2262</v>
      </c>
      <c r="D5138" s="2" t="s">
        <v>1507</v>
      </c>
      <c r="E5138" s="2">
        <v>19.420000000000002</v>
      </c>
      <c r="F5138" s="2" t="e">
        <f>IF(Table2[[#This Row],[Manual Cat Value]]="",VLOOKUP(Table2[[#This Row],[Description]],'Actuals Lookup'!D:F,3,0),Table2[[#This Row],[Manual Cat Value]])</f>
        <v>#N/A</v>
      </c>
      <c r="J5138" s="2">
        <v>19.420000000000002</v>
      </c>
      <c r="K5138" s="2" t="b">
        <v>0</v>
      </c>
      <c r="L5138" s="2"/>
      <c r="M5138" s="2"/>
      <c r="N5138" s="4" t="s">
        <v>2259</v>
      </c>
      <c r="O5138" s="4" t="str">
        <f>LEFT(Table2[[#This Row],[Description]],75)</f>
        <v>Potbelly Sandwich Works</v>
      </c>
      <c r="P5138" s="2" t="s">
        <v>2281</v>
      </c>
    </row>
    <row r="5139" spans="1:16" hidden="1">
      <c r="A5139" s="2">
        <v>202107</v>
      </c>
      <c r="B5139" s="3">
        <v>44379</v>
      </c>
      <c r="C5139" s="2" t="s">
        <v>2262</v>
      </c>
      <c r="D5139" s="2" t="s">
        <v>1828</v>
      </c>
      <c r="E5139" s="2">
        <v>36.83</v>
      </c>
      <c r="F5139" s="2" t="e">
        <f>IF(Table2[[#This Row],[Manual Cat Value]]="",VLOOKUP(Table2[[#This Row],[Description]],'Actuals Lookup'!D:F,3,0),Table2[[#This Row],[Manual Cat Value]])</f>
        <v>#N/A</v>
      </c>
      <c r="J5139" s="2">
        <v>36.83</v>
      </c>
      <c r="K5139" s="2" t="b">
        <v>0</v>
      </c>
      <c r="L5139" s="2"/>
      <c r="M5139" s="2"/>
      <c r="N5139" s="4" t="s">
        <v>2259</v>
      </c>
      <c r="O5139" s="4" t="str">
        <f>LEFT(Table2[[#This Row],[Description]],75)</f>
        <v>TEQUILA BUTCHER AT THE C EXCELSIOR MN</v>
      </c>
      <c r="P5139" s="2" t="s">
        <v>2281</v>
      </c>
    </row>
    <row r="5140" spans="1:16" hidden="1">
      <c r="A5140" s="2">
        <v>202107</v>
      </c>
      <c r="B5140" s="3">
        <v>44379</v>
      </c>
      <c r="C5140" s="2" t="s">
        <v>2262</v>
      </c>
      <c r="D5140" s="2" t="s">
        <v>1828</v>
      </c>
      <c r="E5140" s="2">
        <v>75.77</v>
      </c>
      <c r="F5140" s="2" t="e">
        <f>IF(Table2[[#This Row],[Manual Cat Value]]="",VLOOKUP(Table2[[#This Row],[Description]],'Actuals Lookup'!D:F,3,0),Table2[[#This Row],[Manual Cat Value]])</f>
        <v>#N/A</v>
      </c>
      <c r="J5140" s="2">
        <v>75.77</v>
      </c>
      <c r="K5140" s="2" t="b">
        <v>0</v>
      </c>
      <c r="L5140" s="2"/>
      <c r="M5140" s="2"/>
      <c r="N5140" s="4" t="s">
        <v>2259</v>
      </c>
      <c r="O5140" s="4" t="str">
        <f>LEFT(Table2[[#This Row],[Description]],75)</f>
        <v>TEQUILA BUTCHER AT THE C EXCELSIOR MN</v>
      </c>
      <c r="P5140" s="2" t="s">
        <v>2281</v>
      </c>
    </row>
    <row r="5141" spans="1:16" hidden="1">
      <c r="A5141" s="2">
        <v>202107</v>
      </c>
      <c r="B5141" s="3">
        <v>44379</v>
      </c>
      <c r="C5141" s="2" t="s">
        <v>2262</v>
      </c>
      <c r="D5141" s="2" t="s">
        <v>2105</v>
      </c>
      <c r="E5141" s="2">
        <v>62.91</v>
      </c>
      <c r="F5141" s="2" t="e">
        <f>IF(Table2[[#This Row],[Manual Cat Value]]="",VLOOKUP(Table2[[#This Row],[Description]],'Actuals Lookup'!D:F,3,0),Table2[[#This Row],[Manual Cat Value]])</f>
        <v>#N/A</v>
      </c>
      <c r="J5141" s="2">
        <v>62.91</v>
      </c>
      <c r="K5141" s="2" t="b">
        <v>0</v>
      </c>
      <c r="L5141" s="2"/>
      <c r="M5141" s="2"/>
      <c r="N5141" s="4" t="s">
        <v>2259</v>
      </c>
      <c r="O5141" s="4" t="str">
        <f>LEFT(Table2[[#This Row],[Description]],75)</f>
        <v>Valvoline Instant Oil Change</v>
      </c>
      <c r="P5141" s="2" t="s">
        <v>2281</v>
      </c>
    </row>
    <row r="5142" spans="1:16" hidden="1">
      <c r="A5142" s="2">
        <v>202107</v>
      </c>
      <c r="B5142" s="3">
        <v>44381</v>
      </c>
      <c r="C5142" s="2" t="s">
        <v>2262</v>
      </c>
      <c r="D5142" s="2" t="s">
        <v>316</v>
      </c>
      <c r="E5142" s="2">
        <v>4.67</v>
      </c>
      <c r="F5142" s="2" t="e">
        <f>IF(Table2[[#This Row],[Manual Cat Value]]="",VLOOKUP(Table2[[#This Row],[Description]],'Actuals Lookup'!D:F,3,0),Table2[[#This Row],[Manual Cat Value]])</f>
        <v>#N/A</v>
      </c>
      <c r="J5142" s="2">
        <v>4.67</v>
      </c>
      <c r="K5142" s="2" t="b">
        <v>0</v>
      </c>
      <c r="L5142" s="2"/>
      <c r="M5142" s="2"/>
      <c r="N5142" s="4" t="s">
        <v>2259</v>
      </c>
      <c r="O5142" s="4" t="str">
        <f>LEFT(Table2[[#This Row],[Description]],75)</f>
        <v>BP</v>
      </c>
      <c r="P5142" s="2" t="s">
        <v>2484</v>
      </c>
    </row>
    <row r="5143" spans="1:16" hidden="1">
      <c r="A5143" s="2">
        <v>202107</v>
      </c>
      <c r="B5143" s="3">
        <v>44381</v>
      </c>
      <c r="C5143" s="2" t="s">
        <v>2262</v>
      </c>
      <c r="D5143" s="2" t="s">
        <v>316</v>
      </c>
      <c r="E5143" s="2">
        <v>36.86</v>
      </c>
      <c r="F5143" s="2" t="e">
        <f>IF(Table2[[#This Row],[Manual Cat Value]]="",VLOOKUP(Table2[[#This Row],[Description]],'Actuals Lookup'!D:F,3,0),Table2[[#This Row],[Manual Cat Value]])</f>
        <v>#N/A</v>
      </c>
      <c r="J5143" s="2">
        <v>36.86</v>
      </c>
      <c r="K5143" s="2" t="b">
        <v>0</v>
      </c>
      <c r="L5143" s="2"/>
      <c r="M5143" s="2"/>
      <c r="N5143" s="4" t="s">
        <v>2259</v>
      </c>
      <c r="O5143" s="4" t="str">
        <f>LEFT(Table2[[#This Row],[Description]],75)</f>
        <v>BP</v>
      </c>
      <c r="P5143" s="2" t="s">
        <v>2484</v>
      </c>
    </row>
    <row r="5144" spans="1:16" hidden="1">
      <c r="A5144" s="2">
        <v>202107</v>
      </c>
      <c r="B5144" s="3">
        <v>44381</v>
      </c>
      <c r="C5144" s="2" t="s">
        <v>2262</v>
      </c>
      <c r="D5144" s="2" t="s">
        <v>901</v>
      </c>
      <c r="E5144" s="2">
        <v>20.66</v>
      </c>
      <c r="F5144" s="2" t="e">
        <f>IF(Table2[[#This Row],[Manual Cat Value]]="",VLOOKUP(Table2[[#This Row],[Description]],'Actuals Lookup'!D:F,3,0),Table2[[#This Row],[Manual Cat Value]])</f>
        <v>#N/A</v>
      </c>
      <c r="J5144" s="2">
        <v>20.66</v>
      </c>
      <c r="K5144" s="2" t="b">
        <v>0</v>
      </c>
      <c r="L5144" s="2"/>
      <c r="M5144" s="2"/>
      <c r="N5144" s="4" t="s">
        <v>2259</v>
      </c>
      <c r="O5144" s="4" t="str">
        <f>LEFT(Table2[[#This Row],[Description]],75)</f>
        <v>Gomer's Stateline</v>
      </c>
      <c r="P5144" s="2" t="s">
        <v>2281</v>
      </c>
    </row>
    <row r="5145" spans="1:16" hidden="1">
      <c r="A5145" s="2">
        <v>202107</v>
      </c>
      <c r="B5145" s="3">
        <v>44381</v>
      </c>
      <c r="C5145" s="2" t="s">
        <v>2262</v>
      </c>
      <c r="D5145" s="2" t="s">
        <v>924</v>
      </c>
      <c r="E5145" s="2">
        <v>18</v>
      </c>
      <c r="F5145" s="2" t="e">
        <f>IF(Table2[[#This Row],[Manual Cat Value]]="",VLOOKUP(Table2[[#This Row],[Description]],'Actuals Lookup'!D:F,3,0),Table2[[#This Row],[Manual Cat Value]])</f>
        <v>#N/A</v>
      </c>
      <c r="J5145" s="2">
        <v>18</v>
      </c>
      <c r="K5145" s="2" t="b">
        <v>0</v>
      </c>
      <c r="L5145" s="2"/>
      <c r="M5145" s="2"/>
      <c r="N5145" s="4" t="s">
        <v>2259</v>
      </c>
      <c r="O5145" s="4" t="str">
        <f>LEFT(Table2[[#This Row],[Description]],75)</f>
        <v>HBRSUBSCRIPTION 8009880886 MA</v>
      </c>
      <c r="P5145" s="2" t="s">
        <v>2281</v>
      </c>
    </row>
    <row r="5146" spans="1:16" hidden="1">
      <c r="A5146" s="2">
        <v>202107</v>
      </c>
      <c r="B5146" s="3">
        <v>44381</v>
      </c>
      <c r="C5146" s="2" t="s">
        <v>2262</v>
      </c>
      <c r="D5146" s="2" t="s">
        <v>1009</v>
      </c>
      <c r="E5146" s="2">
        <v>25.89</v>
      </c>
      <c r="F5146" s="2" t="e">
        <f>IF(Table2[[#This Row],[Manual Cat Value]]="",VLOOKUP(Table2[[#This Row],[Description]],'Actuals Lookup'!D:F,3,0),Table2[[#This Row],[Manual Cat Value]])</f>
        <v>#N/A</v>
      </c>
      <c r="J5146" s="2">
        <v>25.89</v>
      </c>
      <c r="K5146" s="2" t="b">
        <v>0</v>
      </c>
      <c r="L5146" s="2"/>
      <c r="M5146" s="2"/>
      <c r="N5146" s="4" t="s">
        <v>2259</v>
      </c>
      <c r="O5146" s="4" t="str">
        <f>LEFT(Table2[[#This Row],[Description]],75)</f>
        <v>JAYHAWK FUEL PAOLA KS</v>
      </c>
      <c r="P5146" s="2" t="s">
        <v>2281</v>
      </c>
    </row>
    <row r="5147" spans="1:16" hidden="1">
      <c r="A5147" s="2">
        <v>202107</v>
      </c>
      <c r="B5147" s="3">
        <v>44381</v>
      </c>
      <c r="C5147" s="2" t="s">
        <v>2262</v>
      </c>
      <c r="D5147" s="2" t="s">
        <v>1016</v>
      </c>
      <c r="E5147" s="2">
        <v>98.72</v>
      </c>
      <c r="F5147" s="2" t="e">
        <f>IF(Table2[[#This Row],[Manual Cat Value]]="",VLOOKUP(Table2[[#This Row],[Description]],'Actuals Lookup'!D:F,3,0),Table2[[#This Row],[Manual Cat Value]])</f>
        <v>#N/A</v>
      </c>
      <c r="J5147" s="2">
        <v>98.72</v>
      </c>
      <c r="K5147" s="2" t="b">
        <v>0</v>
      </c>
      <c r="L5147" s="2"/>
      <c r="M5147" s="2"/>
      <c r="N5147" s="4" t="s">
        <v>2259</v>
      </c>
      <c r="O5147" s="4" t="str">
        <f>LEFT(Table2[[#This Row],[Description]],75)</f>
        <v>Joe S Kansas City Ba</v>
      </c>
      <c r="P5147" s="2" t="s">
        <v>2281</v>
      </c>
    </row>
    <row r="5148" spans="1:16" hidden="1">
      <c r="A5148" s="2">
        <v>202107</v>
      </c>
      <c r="B5148" s="3">
        <v>44381</v>
      </c>
      <c r="C5148" s="2" t="s">
        <v>2262</v>
      </c>
      <c r="D5148" s="2" t="s">
        <v>1138</v>
      </c>
      <c r="E5148" s="2">
        <v>78.77</v>
      </c>
      <c r="F5148" s="2" t="e">
        <f>IF(Table2[[#This Row],[Manual Cat Value]]="",VLOOKUP(Table2[[#This Row],[Description]],'Actuals Lookup'!D:F,3,0),Table2[[#This Row],[Manual Cat Value]])</f>
        <v>#N/A</v>
      </c>
      <c r="J5148" s="2">
        <v>78.77</v>
      </c>
      <c r="K5148" s="2" t="b">
        <v>0</v>
      </c>
      <c r="L5148" s="2"/>
      <c r="M5148" s="2"/>
      <c r="N5148" s="4" t="s">
        <v>2259</v>
      </c>
      <c r="O5148" s="4" t="str">
        <f>LEFT(Table2[[#This Row],[Description]],75)</f>
        <v>LOWES 00907 8664837521 NC</v>
      </c>
      <c r="P5148" s="2" t="s">
        <v>2281</v>
      </c>
    </row>
    <row r="5149" spans="1:16" hidden="1">
      <c r="A5149" s="2">
        <v>202107</v>
      </c>
      <c r="B5149" s="3">
        <v>44381</v>
      </c>
      <c r="C5149" s="2" t="s">
        <v>2262</v>
      </c>
      <c r="D5149" s="2" t="s">
        <v>1650</v>
      </c>
      <c r="E5149" s="2">
        <v>23.25</v>
      </c>
      <c r="F5149" s="2" t="str">
        <f>IF(Table2[[#This Row],[Manual Cat Value]]="",VLOOKUP(Table2[[#This Row],[Description]],'Actuals Lookup'!D:F,3,0),Table2[[#This Row],[Manual Cat Value]])</f>
        <v>Transportation</v>
      </c>
      <c r="J5149" s="2">
        <v>23.25</v>
      </c>
      <c r="K5149" s="2" t="b">
        <v>0</v>
      </c>
      <c r="L5149" s="2"/>
      <c r="M5149" s="2"/>
      <c r="N5149" s="4" t="s">
        <v>2259</v>
      </c>
      <c r="O5149" s="4" t="str">
        <f>LEFT(Table2[[#This Row],[Description]],75)</f>
        <v>Shell</v>
      </c>
      <c r="P5149" s="2" t="s">
        <v>2281</v>
      </c>
    </row>
    <row r="5150" spans="1:16" hidden="1">
      <c r="A5150" s="2">
        <v>202107</v>
      </c>
      <c r="B5150" s="3">
        <v>44381</v>
      </c>
      <c r="C5150" s="2" t="s">
        <v>2265</v>
      </c>
      <c r="D5150" s="2" t="s">
        <v>1939</v>
      </c>
      <c r="E5150" s="2">
        <v>-267.36</v>
      </c>
      <c r="F5150" s="2" t="e">
        <f>IF(Table2[[#This Row],[Manual Cat Value]]="",VLOOKUP(Table2[[#This Row],[Description]],'Actuals Lookup'!D:F,3,0),Table2[[#This Row],[Manual Cat Value]])</f>
        <v>#N/A</v>
      </c>
      <c r="J5150" s="2">
        <v>267.36</v>
      </c>
      <c r="K5150" s="2" t="b">
        <v>0</v>
      </c>
      <c r="L5150" s="2"/>
      <c r="M5150" s="2"/>
      <c r="N5150" s="4" t="s">
        <v>2273</v>
      </c>
      <c r="O5150" s="4" t="str">
        <f>LEFT(Table2[[#This Row],[Description]],75)</f>
        <v>Transfer from PayPal PAYPAL TYPE TRANSFER ID PAYPALSD11 CO PAYPAL ACH ECC P</v>
      </c>
      <c r="P5150" s="2" t="s">
        <v>2322</v>
      </c>
    </row>
    <row r="5151" spans="1:16" hidden="1">
      <c r="A5151" s="2">
        <v>202107</v>
      </c>
      <c r="B5151" s="3">
        <v>44381</v>
      </c>
      <c r="C5151" s="2" t="s">
        <v>2262</v>
      </c>
      <c r="D5151" s="2" t="s">
        <v>2135</v>
      </c>
      <c r="E5151" s="2">
        <v>10.67</v>
      </c>
      <c r="F5151" s="2" t="str">
        <f>IF(Table2[[#This Row],[Manual Cat Value]]="",VLOOKUP(Table2[[#This Row],[Description]],'Actuals Lookup'!D:F,3,0),Table2[[#This Row],[Manual Cat Value]])</f>
        <v>Groceries</v>
      </c>
      <c r="J5151" s="2">
        <v>10.67</v>
      </c>
      <c r="K5151" s="2" t="b">
        <v>0</v>
      </c>
      <c r="L5151" s="2"/>
      <c r="M5151" s="2"/>
      <c r="N5151" s="4" t="s">
        <v>2259</v>
      </c>
      <c r="O5151" s="4" t="str">
        <f>LEFT(Table2[[#This Row],[Description]],75)</f>
        <v>Walgreens</v>
      </c>
      <c r="P5151" s="2" t="s">
        <v>2389</v>
      </c>
    </row>
    <row r="5152" spans="1:16" hidden="1">
      <c r="A5152" s="2">
        <v>202107</v>
      </c>
      <c r="B5152" s="3">
        <v>44381</v>
      </c>
      <c r="C5152" s="2" t="s">
        <v>2262</v>
      </c>
      <c r="D5152" s="2" t="s">
        <v>2149</v>
      </c>
      <c r="E5152" s="2">
        <v>31.23</v>
      </c>
      <c r="F5152" s="2" t="str">
        <f>IF(Table2[[#This Row],[Manual Cat Value]]="",VLOOKUP(Table2[[#This Row],[Description]],'Actuals Lookup'!D:F,3,0),Table2[[#This Row],[Manual Cat Value]])</f>
        <v>Restaurants</v>
      </c>
      <c r="J5152" s="2">
        <v>31.23</v>
      </c>
      <c r="K5152" s="2" t="b">
        <v>0</v>
      </c>
      <c r="L5152" s="2"/>
      <c r="M5152" s="2"/>
      <c r="N5152" s="4" t="s">
        <v>2259</v>
      </c>
      <c r="O5152" s="4" t="str">
        <f>LEFT(Table2[[#This Row],[Description]],75)</f>
        <v>Wendy's</v>
      </c>
      <c r="P5152" s="2" t="s">
        <v>2507</v>
      </c>
    </row>
    <row r="5153" spans="1:16" hidden="1">
      <c r="A5153" s="2">
        <v>202107</v>
      </c>
      <c r="B5153" s="3">
        <v>44382</v>
      </c>
      <c r="C5153" s="2" t="s">
        <v>2262</v>
      </c>
      <c r="D5153" s="2" t="s">
        <v>1423</v>
      </c>
      <c r="E5153" s="2">
        <v>-2763.09</v>
      </c>
      <c r="F5153" s="2" t="e">
        <f>IF(Table2[[#This Row],[Manual Cat Value]]="",VLOOKUP(Table2[[#This Row],[Description]],'Actuals Lookup'!D:F,3,0),Table2[[#This Row],[Manual Cat Value]])</f>
        <v>#N/A</v>
      </c>
      <c r="J5153" s="2">
        <v>2763.09</v>
      </c>
      <c r="K5153" s="2" t="b">
        <v>0</v>
      </c>
      <c r="L5153" s="2"/>
      <c r="M5153" s="2"/>
      <c r="N5153" s="4" t="s">
        <v>2273</v>
      </c>
      <c r="O5153" s="4" t="str">
        <f>LEFT(Table2[[#This Row],[Description]],75)</f>
        <v>PAYMENT THANK YOU</v>
      </c>
      <c r="P5153" s="2" t="s">
        <v>2391</v>
      </c>
    </row>
    <row r="5154" spans="1:16" hidden="1">
      <c r="A5154" s="2">
        <v>202107</v>
      </c>
      <c r="B5154" s="3">
        <v>44382</v>
      </c>
      <c r="C5154" s="2" t="s">
        <v>2265</v>
      </c>
      <c r="D5154" s="2" t="s">
        <v>2203</v>
      </c>
      <c r="E5154" s="2">
        <v>2763.09</v>
      </c>
      <c r="F5154" s="2" t="e">
        <f>IF(Table2[[#This Row],[Manual Cat Value]]="",VLOOKUP(Table2[[#This Row],[Description]],'Actuals Lookup'!D:F,3,0),Table2[[#This Row],[Manual Cat Value]])</f>
        <v>#N/A</v>
      </c>
      <c r="J5154" s="2">
        <v>2763.09</v>
      </c>
      <c r="K5154" s="2" t="b">
        <v>0</v>
      </c>
      <c r="L5154" s="2"/>
      <c r="M5154" s="2"/>
      <c r="N5154" s="4" t="s">
        <v>2259</v>
      </c>
      <c r="O5154" s="4" t="str">
        <f>LEFT(Table2[[#This Row],[Description]],75)</f>
        <v>Withdrawal Home payment to card XX91 Withdrawal Home payment to card 979181</v>
      </c>
      <c r="P5154" s="2" t="s">
        <v>2559</v>
      </c>
    </row>
    <row r="5155" spans="1:16" hidden="1">
      <c r="A5155" s="2">
        <v>202107</v>
      </c>
      <c r="B5155" s="3">
        <v>44382</v>
      </c>
      <c r="C5155" s="2" t="s">
        <v>2262</v>
      </c>
      <c r="D5155" s="2" t="s">
        <v>95</v>
      </c>
      <c r="E5155" s="2">
        <v>34.96</v>
      </c>
      <c r="F5155" s="2" t="e">
        <f>IF(Table2[[#This Row],[Manual Cat Value]]="",VLOOKUP(Table2[[#This Row],[Description]],'Actuals Lookup'!D:F,3,0),Table2[[#This Row],[Manual Cat Value]])</f>
        <v>#N/A</v>
      </c>
      <c r="J5155" s="2">
        <v>34.96</v>
      </c>
      <c r="K5155" s="2" t="b">
        <v>0</v>
      </c>
      <c r="L5155" s="2"/>
      <c r="M5155" s="2"/>
      <c r="N5155" s="4" t="s">
        <v>2259</v>
      </c>
      <c r="O5155" s="4" t="str">
        <f>LEFT(Table2[[#This Row],[Description]],75)</f>
        <v>AC DBC FS PIZZA KANSAS CITY MO AC DBC FS PIZZA KANSAS CITY MO</v>
      </c>
      <c r="P5155" s="2" t="s">
        <v>2281</v>
      </c>
    </row>
    <row r="5156" spans="1:16" hidden="1">
      <c r="A5156" s="2">
        <v>202107</v>
      </c>
      <c r="B5156" s="3">
        <v>44382</v>
      </c>
      <c r="C5156" s="2" t="s">
        <v>2262</v>
      </c>
      <c r="D5156" s="2" t="s">
        <v>38</v>
      </c>
      <c r="E5156" s="2">
        <v>79.19</v>
      </c>
      <c r="F5156" s="2" t="str">
        <f>IF(Table2[[#This Row],[Manual Cat Value]]="",VLOOKUP(Table2[[#This Row],[Description]],'Actuals Lookup'!D:F,3,0),Table2[[#This Row],[Manual Cat Value]])</f>
        <v>Amazon</v>
      </c>
      <c r="J5156" s="2">
        <v>79.19</v>
      </c>
      <c r="K5156" s="2" t="b">
        <v>0</v>
      </c>
      <c r="L5156" s="2"/>
      <c r="M5156" s="2"/>
      <c r="N5156" s="4" t="s">
        <v>2259</v>
      </c>
      <c r="O5156" s="4" t="str">
        <f>LEFT(Table2[[#This Row],[Description]],75)</f>
        <v>Amazon</v>
      </c>
      <c r="P5156" s="2" t="s">
        <v>2260</v>
      </c>
    </row>
    <row r="5157" spans="1:16" hidden="1">
      <c r="A5157" s="2">
        <v>202107</v>
      </c>
      <c r="B5157" s="3">
        <v>44382</v>
      </c>
      <c r="C5157" s="2" t="s">
        <v>2262</v>
      </c>
      <c r="D5157" s="2" t="s">
        <v>1383</v>
      </c>
      <c r="E5157" s="2">
        <v>12</v>
      </c>
      <c r="F5157" s="2" t="e">
        <f>IF(Table2[[#This Row],[Manual Cat Value]]="",VLOOKUP(Table2[[#This Row],[Description]],'Actuals Lookup'!D:F,3,0),Table2[[#This Row],[Manual Cat Value]])</f>
        <v>#N/A</v>
      </c>
      <c r="J5157" s="2">
        <v>12</v>
      </c>
      <c r="K5157" s="2" t="b">
        <v>0</v>
      </c>
      <c r="L5157" s="2"/>
      <c r="M5157" s="2"/>
      <c r="N5157" s="4" t="s">
        <v>2259</v>
      </c>
      <c r="O5157" s="4" t="str">
        <f>LEFT(Table2[[#This Row],[Description]],75)</f>
        <v>OP FARMSTEAD OVERLAND PARKKS OP FARMSTEAD OVERLAND PARKKS</v>
      </c>
      <c r="P5157" s="2" t="s">
        <v>2281</v>
      </c>
    </row>
    <row r="5158" spans="1:16" hidden="1">
      <c r="A5158" s="2">
        <v>202107</v>
      </c>
      <c r="B5158" s="3">
        <v>44382</v>
      </c>
      <c r="C5158" s="2" t="s">
        <v>2262</v>
      </c>
      <c r="D5158" s="2" t="s">
        <v>1383</v>
      </c>
      <c r="E5158" s="2">
        <v>13.5</v>
      </c>
      <c r="F5158" s="2" t="e">
        <f>IF(Table2[[#This Row],[Manual Cat Value]]="",VLOOKUP(Table2[[#This Row],[Description]],'Actuals Lookup'!D:F,3,0),Table2[[#This Row],[Manual Cat Value]])</f>
        <v>#N/A</v>
      </c>
      <c r="J5158" s="2">
        <v>13.5</v>
      </c>
      <c r="K5158" s="2" t="b">
        <v>0</v>
      </c>
      <c r="L5158" s="2"/>
      <c r="M5158" s="2"/>
      <c r="N5158" s="4" t="s">
        <v>2259</v>
      </c>
      <c r="O5158" s="4" t="str">
        <f>LEFT(Table2[[#This Row],[Description]],75)</f>
        <v>OP FARMSTEAD OVERLAND PARKKS OP FARMSTEAD OVERLAND PARKKS</v>
      </c>
      <c r="P5158" s="2" t="s">
        <v>2281</v>
      </c>
    </row>
    <row r="5159" spans="1:16" hidden="1">
      <c r="A5159" s="2">
        <v>202107</v>
      </c>
      <c r="B5159" s="3">
        <v>44383</v>
      </c>
      <c r="C5159" s="2" t="s">
        <v>2265</v>
      </c>
      <c r="D5159" s="2" t="s">
        <v>1972</v>
      </c>
      <c r="E5159" s="2">
        <v>97.17</v>
      </c>
      <c r="F5159" s="2" t="e">
        <f>IF(Table2[[#This Row],[Manual Cat Value]]="",VLOOKUP(Table2[[#This Row],[Description]],'Actuals Lookup'!D:F,3,0),Table2[[#This Row],[Manual Cat Value]])</f>
        <v>#N/A</v>
      </c>
      <c r="J5159" s="2">
        <v>97.17</v>
      </c>
      <c r="K5159" s="2" t="b">
        <v>0</v>
      </c>
      <c r="L5159" s="2"/>
      <c r="M5159" s="2"/>
      <c r="N5159" s="4" t="s">
        <v>2259</v>
      </c>
      <c r="O5159" s="4" t="str">
        <f>LEFT(Table2[[#This Row],[Description]],75)</f>
        <v>Transfer to Venmo VENMO TYPE PAYMENT ID CO VENMO ACH ECC WEB ACH Trace 6050</v>
      </c>
      <c r="P5159" s="2" t="s">
        <v>2281</v>
      </c>
    </row>
    <row r="5160" spans="1:16" hidden="1">
      <c r="A5160" s="2">
        <v>202107</v>
      </c>
      <c r="B5160" s="3">
        <v>44383</v>
      </c>
      <c r="C5160" s="2" t="s">
        <v>2258</v>
      </c>
      <c r="D5160" s="2" t="s">
        <v>38</v>
      </c>
      <c r="E5160" s="2">
        <v>-18.2</v>
      </c>
      <c r="F5160" s="2" t="str">
        <f>IF(Table2[[#This Row],[Manual Cat Value]]="",VLOOKUP(Table2[[#This Row],[Description]],'Actuals Lookup'!D:F,3,0),Table2[[#This Row],[Manual Cat Value]])</f>
        <v>Amazon</v>
      </c>
      <c r="J5160" s="2">
        <v>18.2</v>
      </c>
      <c r="K5160" s="2" t="b">
        <v>0</v>
      </c>
      <c r="L5160" s="2"/>
      <c r="M5160" s="2"/>
      <c r="N5160" s="4" t="s">
        <v>2273</v>
      </c>
      <c r="O5160" s="4" t="str">
        <f>LEFT(Table2[[#This Row],[Description]],75)</f>
        <v>Amazon</v>
      </c>
      <c r="P5160" s="2" t="s">
        <v>2260</v>
      </c>
    </row>
    <row r="5161" spans="1:16" hidden="1">
      <c r="A5161" s="2">
        <v>202107</v>
      </c>
      <c r="B5161" s="3">
        <v>44383</v>
      </c>
      <c r="C5161" s="2" t="s">
        <v>2447</v>
      </c>
      <c r="D5161" s="2" t="s">
        <v>38</v>
      </c>
      <c r="E5161" s="2">
        <v>-18.2</v>
      </c>
      <c r="F5161" s="2" t="str">
        <f>IF(Table2[[#This Row],[Manual Cat Value]]="",VLOOKUP(Table2[[#This Row],[Description]],'Actuals Lookup'!D:F,3,0),Table2[[#This Row],[Manual Cat Value]])</f>
        <v>Amazon</v>
      </c>
      <c r="J5161" s="2">
        <v>18.2</v>
      </c>
      <c r="K5161" s="2" t="b">
        <v>0</v>
      </c>
      <c r="L5161" s="2"/>
      <c r="M5161" s="2"/>
      <c r="N5161" s="4" t="s">
        <v>2273</v>
      </c>
      <c r="O5161" s="4" t="str">
        <f>LEFT(Table2[[#This Row],[Description]],75)</f>
        <v>Amazon</v>
      </c>
      <c r="P5161" s="2" t="s">
        <v>2260</v>
      </c>
    </row>
    <row r="5162" spans="1:16" hidden="1">
      <c r="A5162" s="2">
        <v>202107</v>
      </c>
      <c r="B5162" s="3">
        <v>44383</v>
      </c>
      <c r="C5162" s="2" t="s">
        <v>2262</v>
      </c>
      <c r="D5162" s="2" t="s">
        <v>1268</v>
      </c>
      <c r="E5162" s="2">
        <v>58</v>
      </c>
      <c r="F5162" s="2" t="e">
        <f>IF(Table2[[#This Row],[Manual Cat Value]]="",VLOOKUP(Table2[[#This Row],[Description]],'Actuals Lookup'!D:F,3,0),Table2[[#This Row],[Manual Cat Value]])</f>
        <v>#N/A</v>
      </c>
      <c r="J5162" s="2">
        <v>58</v>
      </c>
      <c r="K5162" s="2" t="b">
        <v>0</v>
      </c>
      <c r="L5162" s="2"/>
      <c r="M5162" s="2"/>
      <c r="N5162" s="4" t="s">
        <v>2259</v>
      </c>
      <c r="O5162" s="4" t="str">
        <f>LEFT(Table2[[#This Row],[Description]],75)</f>
        <v>Minnetonka Community Church</v>
      </c>
      <c r="P5162" s="2" t="s">
        <v>2281</v>
      </c>
    </row>
    <row r="5163" spans="1:16" hidden="1">
      <c r="A5163" s="2">
        <v>202107</v>
      </c>
      <c r="B5163" s="3">
        <v>44383</v>
      </c>
      <c r="C5163" s="2" t="s">
        <v>2262</v>
      </c>
      <c r="D5163" s="2" t="s">
        <v>1365</v>
      </c>
      <c r="E5163" s="2">
        <v>38.01</v>
      </c>
      <c r="F5163" s="2" t="e">
        <f>IF(Table2[[#This Row],[Manual Cat Value]]="",VLOOKUP(Table2[[#This Row],[Description]],'Actuals Lookup'!D:F,3,0),Table2[[#This Row],[Manual Cat Value]])</f>
        <v>#N/A</v>
      </c>
      <c r="J5163" s="2">
        <v>38.01</v>
      </c>
      <c r="K5163" s="2" t="b">
        <v>0</v>
      </c>
      <c r="L5163" s="2"/>
      <c r="M5163" s="2"/>
      <c r="N5163" s="4" t="s">
        <v>2259</v>
      </c>
      <c r="O5163" s="4" t="str">
        <f>LEFT(Table2[[#This Row],[Description]],75)</f>
        <v>NORTH COOP NORTH COOP STRIPECOM MN</v>
      </c>
      <c r="P5163" s="2" t="s">
        <v>2480</v>
      </c>
    </row>
    <row r="5164" spans="1:16" hidden="1">
      <c r="A5164" s="2">
        <v>202107</v>
      </c>
      <c r="B5164" s="3">
        <v>44383</v>
      </c>
      <c r="C5164" s="2" t="s">
        <v>2262</v>
      </c>
      <c r="D5164" s="2" t="s">
        <v>1489</v>
      </c>
      <c r="E5164" s="2">
        <v>5.34</v>
      </c>
      <c r="F5164" s="2" t="e">
        <f>IF(Table2[[#This Row],[Manual Cat Value]]="",VLOOKUP(Table2[[#This Row],[Description]],'Actuals Lookup'!D:F,3,0),Table2[[#This Row],[Manual Cat Value]])</f>
        <v>#N/A</v>
      </c>
      <c r="J5164" s="2">
        <v>5.34</v>
      </c>
      <c r="K5164" s="2" t="b">
        <v>0</v>
      </c>
      <c r="L5164" s="2"/>
      <c r="M5164" s="2"/>
      <c r="N5164" s="4" t="s">
        <v>2259</v>
      </c>
      <c r="O5164" s="4" t="str">
        <f>LEFT(Table2[[#This Row],[Description]],75)</f>
        <v>Pilot Travel Center</v>
      </c>
      <c r="P5164" s="2" t="s">
        <v>2281</v>
      </c>
    </row>
    <row r="5165" spans="1:16" hidden="1">
      <c r="A5165" s="2">
        <v>202107</v>
      </c>
      <c r="B5165" s="3">
        <v>44383</v>
      </c>
      <c r="C5165" s="2" t="s">
        <v>2262</v>
      </c>
      <c r="D5165" s="2" t="s">
        <v>1489</v>
      </c>
      <c r="E5165" s="2">
        <v>30.31</v>
      </c>
      <c r="F5165" s="2" t="e">
        <f>IF(Table2[[#This Row],[Manual Cat Value]]="",VLOOKUP(Table2[[#This Row],[Description]],'Actuals Lookup'!D:F,3,0),Table2[[#This Row],[Manual Cat Value]])</f>
        <v>#N/A</v>
      </c>
      <c r="J5165" s="2">
        <v>30.31</v>
      </c>
      <c r="K5165" s="2" t="b">
        <v>0</v>
      </c>
      <c r="L5165" s="2"/>
      <c r="M5165" s="2"/>
      <c r="N5165" s="4" t="s">
        <v>2259</v>
      </c>
      <c r="O5165" s="4" t="str">
        <f>LEFT(Table2[[#This Row],[Description]],75)</f>
        <v>Pilot Travel Center</v>
      </c>
      <c r="P5165" s="2" t="s">
        <v>2281</v>
      </c>
    </row>
    <row r="5166" spans="1:16" hidden="1">
      <c r="A5166" s="2">
        <v>202107</v>
      </c>
      <c r="B5166" s="3">
        <v>44383</v>
      </c>
      <c r="C5166" s="2" t="s">
        <v>2262</v>
      </c>
      <c r="D5166" s="2" t="s">
        <v>1537</v>
      </c>
      <c r="E5166" s="2">
        <v>53.75</v>
      </c>
      <c r="F5166" s="2" t="e">
        <f>IF(Table2[[#This Row],[Manual Cat Value]]="",VLOOKUP(Table2[[#This Row],[Description]],'Actuals Lookup'!D:F,3,0),Table2[[#This Row],[Manual Cat Value]])</f>
        <v>#N/A</v>
      </c>
      <c r="J5166" s="2">
        <v>53.75</v>
      </c>
      <c r="K5166" s="2" t="b">
        <v>0</v>
      </c>
      <c r="L5166" s="2"/>
      <c r="M5166" s="2"/>
      <c r="N5166" s="4" t="s">
        <v>2259</v>
      </c>
      <c r="O5166" s="4" t="str">
        <f>LEFT(Table2[[#This Row],[Description]],75)</f>
        <v>Q39 South</v>
      </c>
      <c r="P5166" s="2" t="s">
        <v>2281</v>
      </c>
    </row>
    <row r="5167" spans="1:16" hidden="1">
      <c r="A5167" s="2">
        <v>202107</v>
      </c>
      <c r="B5167" s="3">
        <v>44384</v>
      </c>
      <c r="C5167" s="2" t="s">
        <v>2258</v>
      </c>
      <c r="D5167" s="2" t="s">
        <v>702</v>
      </c>
      <c r="E5167" s="2">
        <v>2</v>
      </c>
      <c r="F5167" s="2" t="e">
        <f>IF(Table2[[#This Row],[Manual Cat Value]]="",VLOOKUP(Table2[[#This Row],[Description]],'Actuals Lookup'!D:F,3,0),Table2[[#This Row],[Manual Cat Value]])</f>
        <v>#N/A</v>
      </c>
      <c r="J5167" s="2">
        <v>2</v>
      </c>
      <c r="K5167" s="2" t="b">
        <v>0</v>
      </c>
      <c r="L5167" s="2"/>
      <c r="M5167" s="2"/>
      <c r="N5167" s="4" t="s">
        <v>2259</v>
      </c>
      <c r="O5167" s="4" t="str">
        <f>LEFT(Table2[[#This Row],[Description]],75)</f>
        <v>Delta</v>
      </c>
      <c r="P5167" s="2" t="s">
        <v>2510</v>
      </c>
    </row>
    <row r="5168" spans="1:16" hidden="1">
      <c r="A5168" s="2">
        <v>202107</v>
      </c>
      <c r="B5168" s="3">
        <v>44384</v>
      </c>
      <c r="C5168" s="2" t="s">
        <v>2447</v>
      </c>
      <c r="D5168" s="2" t="s">
        <v>702</v>
      </c>
      <c r="E5168" s="2">
        <v>2</v>
      </c>
      <c r="F5168" s="2" t="e">
        <f>IF(Table2[[#This Row],[Manual Cat Value]]="",VLOOKUP(Table2[[#This Row],[Description]],'Actuals Lookup'!D:F,3,0),Table2[[#This Row],[Manual Cat Value]])</f>
        <v>#N/A</v>
      </c>
      <c r="J5168" s="2">
        <v>2</v>
      </c>
      <c r="K5168" s="2" t="b">
        <v>0</v>
      </c>
      <c r="L5168" s="2"/>
      <c r="M5168" s="2"/>
      <c r="N5168" s="4" t="s">
        <v>2259</v>
      </c>
      <c r="O5168" s="4" t="str">
        <f>LEFT(Table2[[#This Row],[Description]],75)</f>
        <v>Delta</v>
      </c>
      <c r="P5168" s="2" t="s">
        <v>2510</v>
      </c>
    </row>
    <row r="5169" spans="1:16" hidden="1">
      <c r="A5169" s="2">
        <v>202107</v>
      </c>
      <c r="B5169" s="3">
        <v>44384</v>
      </c>
      <c r="C5169" s="2" t="s">
        <v>2262</v>
      </c>
      <c r="D5169" s="2" t="s">
        <v>1353</v>
      </c>
      <c r="E5169" s="2">
        <v>27.54</v>
      </c>
      <c r="F5169" s="2" t="str">
        <f>IF(Table2[[#This Row],[Manual Cat Value]]="",VLOOKUP(Table2[[#This Row],[Description]],'Actuals Lookup'!D:F,3,0),Table2[[#This Row],[Manual Cat Value]])</f>
        <v>Restaurants</v>
      </c>
      <c r="J5169" s="2">
        <v>27.54</v>
      </c>
      <c r="K5169" s="2" t="b">
        <v>0</v>
      </c>
      <c r="L5169" s="2"/>
      <c r="M5169" s="2"/>
      <c r="N5169" s="4" t="s">
        <v>2259</v>
      </c>
      <c r="O5169" s="4" t="str">
        <f>LEFT(Table2[[#This Row],[Description]],75)</f>
        <v>Noodles &amp; Company</v>
      </c>
      <c r="P5169" s="2" t="s">
        <v>2337</v>
      </c>
    </row>
    <row r="5170" spans="1:16" hidden="1">
      <c r="A5170" s="2">
        <v>202107</v>
      </c>
      <c r="B5170" s="3">
        <v>44384</v>
      </c>
      <c r="C5170" s="2" t="s">
        <v>2460</v>
      </c>
      <c r="D5170" s="2" t="s">
        <v>1635</v>
      </c>
      <c r="E5170" s="2">
        <v>200</v>
      </c>
      <c r="F5170" s="2" t="e">
        <f>IF(Table2[[#This Row],[Manual Cat Value]]="",VLOOKUP(Table2[[#This Row],[Description]],'Actuals Lookup'!D:F,3,0),Table2[[#This Row],[Manual Cat Value]])</f>
        <v>#N/A</v>
      </c>
      <c r="J5170" s="2">
        <v>200</v>
      </c>
      <c r="K5170" s="2" t="b">
        <v>0</v>
      </c>
      <c r="L5170" s="2"/>
      <c r="M5170" s="2"/>
      <c r="N5170" s="4" t="s">
        <v>2259</v>
      </c>
      <c r="O5170" s="4" t="str">
        <f>LEFT(Table2[[#This Row],[Description]],75)</f>
        <v>SCHWAB TOTAL STOCK MKT INDEX</v>
      </c>
      <c r="P5170" s="2" t="s">
        <v>2278</v>
      </c>
    </row>
    <row r="5171" spans="1:16" hidden="1">
      <c r="A5171" s="2">
        <v>202107</v>
      </c>
      <c r="B5171" s="3">
        <v>44384</v>
      </c>
      <c r="C5171" s="2" t="s">
        <v>2317</v>
      </c>
      <c r="D5171" s="2" t="s">
        <v>1635</v>
      </c>
      <c r="E5171" s="2">
        <v>200</v>
      </c>
      <c r="F5171" s="2" t="e">
        <f>IF(Table2[[#This Row],[Manual Cat Value]]="",VLOOKUP(Table2[[#This Row],[Description]],'Actuals Lookup'!D:F,3,0),Table2[[#This Row],[Manual Cat Value]])</f>
        <v>#N/A</v>
      </c>
      <c r="J5171" s="2">
        <v>200</v>
      </c>
      <c r="K5171" s="2" t="b">
        <v>0</v>
      </c>
      <c r="L5171" s="2"/>
      <c r="M5171" s="2"/>
      <c r="N5171" s="4" t="s">
        <v>2259</v>
      </c>
      <c r="O5171" s="4" t="str">
        <f>LEFT(Table2[[#This Row],[Description]],75)</f>
        <v>SCHWAB TOTAL STOCK MKT INDEX</v>
      </c>
      <c r="P5171" s="2" t="s">
        <v>2278</v>
      </c>
    </row>
    <row r="5172" spans="1:16" hidden="1">
      <c r="A5172" s="2">
        <v>202107</v>
      </c>
      <c r="B5172" s="3">
        <v>44384</v>
      </c>
      <c r="C5172" s="2" t="s">
        <v>2262</v>
      </c>
      <c r="D5172" s="2" t="s">
        <v>1650</v>
      </c>
      <c r="E5172" s="2">
        <v>32.17</v>
      </c>
      <c r="F5172" s="2" t="str">
        <f>IF(Table2[[#This Row],[Manual Cat Value]]="",VLOOKUP(Table2[[#This Row],[Description]],'Actuals Lookup'!D:F,3,0),Table2[[#This Row],[Manual Cat Value]])</f>
        <v>Transportation</v>
      </c>
      <c r="J5172" s="2">
        <v>32.17</v>
      </c>
      <c r="K5172" s="2" t="b">
        <v>0</v>
      </c>
      <c r="L5172" s="2"/>
      <c r="M5172" s="2"/>
      <c r="N5172" s="4" t="s">
        <v>2259</v>
      </c>
      <c r="O5172" s="4" t="str">
        <f>LEFT(Table2[[#This Row],[Description]],75)</f>
        <v>Shell</v>
      </c>
      <c r="P5172" s="2" t="s">
        <v>2281</v>
      </c>
    </row>
    <row r="5173" spans="1:16" hidden="1">
      <c r="A5173" s="2">
        <v>202107</v>
      </c>
      <c r="B5173" s="3">
        <v>44384</v>
      </c>
      <c r="C5173" s="2" t="s">
        <v>2262</v>
      </c>
      <c r="D5173" s="2" t="s">
        <v>2142</v>
      </c>
      <c r="E5173" s="2">
        <v>-27.95</v>
      </c>
      <c r="F5173" s="2" t="str">
        <f>IF(Table2[[#This Row],[Manual Cat Value]]="",VLOOKUP(Table2[[#This Row],[Description]],'Actuals Lookup'!D:F,3,0),Table2[[#This Row],[Manual Cat Value]])</f>
        <v>House</v>
      </c>
      <c r="J5173" s="2">
        <v>27.95</v>
      </c>
      <c r="K5173" s="2" t="b">
        <v>0</v>
      </c>
      <c r="L5173" s="2"/>
      <c r="M5173" s="2"/>
      <c r="N5173" s="4" t="s">
        <v>2273</v>
      </c>
      <c r="O5173" s="4" t="str">
        <f>LEFT(Table2[[#This Row],[Description]],75)</f>
        <v>Wayfair</v>
      </c>
      <c r="P5173" s="2" t="s">
        <v>2427</v>
      </c>
    </row>
    <row r="5174" spans="1:16" hidden="1">
      <c r="A5174" s="2">
        <v>202107</v>
      </c>
      <c r="B5174" s="3">
        <v>44384</v>
      </c>
      <c r="C5174" s="2" t="s">
        <v>2265</v>
      </c>
      <c r="D5174" s="2" t="s">
        <v>2221</v>
      </c>
      <c r="E5174" s="2">
        <v>174.36</v>
      </c>
      <c r="F5174" s="2" t="str">
        <f>IF(Table2[[#This Row],[Manual Cat Value]]="",VLOOKUP(Table2[[#This Row],[Description]],'Actuals Lookup'!D:F,3,0),Table2[[#This Row],[Manual Cat Value]])</f>
        <v>Utilities</v>
      </c>
      <c r="J5174" s="2">
        <v>174.36</v>
      </c>
      <c r="K5174" s="2" t="b">
        <v>0</v>
      </c>
      <c r="L5174" s="2"/>
      <c r="M5174" s="2"/>
      <c r="N5174" s="4" t="s">
        <v>2259</v>
      </c>
      <c r="O5174" s="4" t="str">
        <f>LEFT(Table2[[#This Row],[Description]],75)</f>
        <v>Xcel Energy</v>
      </c>
      <c r="P5174" s="2" t="s">
        <v>2280</v>
      </c>
    </row>
    <row r="5175" spans="1:16" hidden="1">
      <c r="A5175" s="2">
        <v>202107</v>
      </c>
      <c r="B5175" s="3">
        <v>44385</v>
      </c>
      <c r="C5175" s="2" t="s">
        <v>2262</v>
      </c>
      <c r="D5175" s="2" t="s">
        <v>128</v>
      </c>
      <c r="E5175" s="2">
        <v>5.6</v>
      </c>
      <c r="F5175" s="2" t="e">
        <f>IF(Table2[[#This Row],[Manual Cat Value]]="",VLOOKUP(Table2[[#This Row],[Description]],'Actuals Lookup'!D:F,3,0),Table2[[#This Row],[Manual Cat Value]])</f>
        <v>#N/A</v>
      </c>
      <c r="J5175" s="2">
        <v>5.6</v>
      </c>
      <c r="K5175" s="2" t="b">
        <v>0</v>
      </c>
      <c r="L5175" s="2"/>
      <c r="M5175" s="2"/>
      <c r="N5175" s="4" t="s">
        <v>2259</v>
      </c>
      <c r="O5175" s="4" t="str">
        <f>LEFT(Table2[[#This Row],[Description]],75)</f>
        <v>American Airlines</v>
      </c>
      <c r="P5175" s="2" t="s">
        <v>2550</v>
      </c>
    </row>
    <row r="5176" spans="1:16" hidden="1">
      <c r="A5176" s="2">
        <v>202107</v>
      </c>
      <c r="B5176" s="3">
        <v>44385</v>
      </c>
      <c r="C5176" s="2" t="s">
        <v>2265</v>
      </c>
      <c r="D5176" s="2" t="s">
        <v>416</v>
      </c>
      <c r="E5176" s="2">
        <v>-2168.13</v>
      </c>
      <c r="F5176" s="2" t="e">
        <f>IF(Table2[[#This Row],[Manual Cat Value]]="",VLOOKUP(Table2[[#This Row],[Description]],'Actuals Lookup'!D:F,3,0),Table2[[#This Row],[Manual Cat Value]])</f>
        <v>#N/A</v>
      </c>
      <c r="J5176" s="2">
        <v>2168.13</v>
      </c>
      <c r="K5176" s="2" t="b">
        <v>0</v>
      </c>
      <c r="L5176" s="2"/>
      <c r="M5176" s="2"/>
      <c r="N5176" s="4" t="s">
        <v>2273</v>
      </c>
      <c r="O5176" s="4" t="str">
        <f>LEFT(Table2[[#This Row],[Description]],75)</f>
        <v>Cargill Inc Deposit CARGILL INCORPOR TYPE DIRECT DEP ID CO CARGILL INCORPOR</v>
      </c>
      <c r="P5176" s="2" t="s">
        <v>2545</v>
      </c>
    </row>
    <row r="5177" spans="1:16" hidden="1">
      <c r="A5177" s="2">
        <v>202107</v>
      </c>
      <c r="B5177" s="3">
        <v>44385</v>
      </c>
      <c r="C5177" s="2" t="s">
        <v>2265</v>
      </c>
      <c r="D5177" s="2" t="s">
        <v>425</v>
      </c>
      <c r="E5177" s="2">
        <v>-105.74</v>
      </c>
      <c r="F5177" s="2" t="e">
        <f>IF(Table2[[#This Row],[Manual Cat Value]]="",VLOOKUP(Table2[[#This Row],[Description]],'Actuals Lookup'!D:F,3,0),Table2[[#This Row],[Manual Cat Value]])</f>
        <v>#N/A</v>
      </c>
      <c r="J5177" s="2">
        <v>105.74</v>
      </c>
      <c r="K5177" s="2" t="b">
        <v>0</v>
      </c>
      <c r="L5177" s="2"/>
      <c r="M5177" s="2"/>
      <c r="N5177" s="4" t="s">
        <v>2273</v>
      </c>
      <c r="O5177" s="4" t="str">
        <f>LEFT(Table2[[#This Row],[Description]],75)</f>
        <v>Cargill Incorpor Type</v>
      </c>
      <c r="P5177" s="2" t="s">
        <v>2282</v>
      </c>
    </row>
    <row r="5178" spans="1:16" hidden="1">
      <c r="A5178" s="2">
        <v>202107</v>
      </c>
      <c r="B5178" s="3">
        <v>44385</v>
      </c>
      <c r="C5178" s="2" t="s">
        <v>2262</v>
      </c>
      <c r="D5178" s="2" t="s">
        <v>1408</v>
      </c>
      <c r="E5178" s="2">
        <v>249</v>
      </c>
      <c r="F5178" s="2" t="str">
        <f>IF(Table2[[#This Row],[Manual Cat Value]]="",VLOOKUP(Table2[[#This Row],[Description]],'Actuals Lookup'!D:F,3,0),Table2[[#This Row],[Manual Cat Value]])</f>
        <v>Shopping</v>
      </c>
      <c r="J5178" s="2">
        <v>249</v>
      </c>
      <c r="K5178" s="2" t="b">
        <v>0</v>
      </c>
      <c r="L5178" s="2"/>
      <c r="M5178" s="2"/>
      <c r="N5178" s="4" t="s">
        <v>2259</v>
      </c>
      <c r="O5178" s="4" t="str">
        <f>LEFT(Table2[[#This Row],[Description]],75)</f>
        <v>Patagonia</v>
      </c>
      <c r="P5178" s="2" t="s">
        <v>2436</v>
      </c>
    </row>
    <row r="5179" spans="1:16" hidden="1">
      <c r="A5179" s="2">
        <v>202107</v>
      </c>
      <c r="B5179" s="3">
        <v>44385</v>
      </c>
      <c r="C5179" s="2" t="s">
        <v>2460</v>
      </c>
      <c r="D5179" s="2" t="s">
        <v>1629</v>
      </c>
      <c r="E5179" s="2">
        <v>-0.89</v>
      </c>
      <c r="F5179" s="2" t="e">
        <f>IF(Table2[[#This Row],[Manual Cat Value]]="",VLOOKUP(Table2[[#This Row],[Description]],'Actuals Lookup'!D:F,3,0),Table2[[#This Row],[Manual Cat Value]])</f>
        <v>#N/A</v>
      </c>
      <c r="J5179" s="2">
        <v>0.89</v>
      </c>
      <c r="K5179" s="2" t="b">
        <v>0</v>
      </c>
      <c r="L5179" s="2"/>
      <c r="M5179" s="2"/>
      <c r="N5179" s="4" t="s">
        <v>2273</v>
      </c>
      <c r="O5179" s="4" t="str">
        <f>LEFT(Table2[[#This Row],[Description]],75)</f>
        <v>SCHWAB INTERMEDIATE TERMUS TRS ETF</v>
      </c>
      <c r="P5179" s="2" t="s">
        <v>2281</v>
      </c>
    </row>
    <row r="5180" spans="1:16" hidden="1">
      <c r="A5180" s="2">
        <v>202107</v>
      </c>
      <c r="B5180" s="3">
        <v>44385</v>
      </c>
      <c r="C5180" s="2" t="s">
        <v>2317</v>
      </c>
      <c r="D5180" s="2" t="s">
        <v>1629</v>
      </c>
      <c r="E5180" s="2">
        <v>-0.89</v>
      </c>
      <c r="F5180" s="2" t="e">
        <f>IF(Table2[[#This Row],[Manual Cat Value]]="",VLOOKUP(Table2[[#This Row],[Description]],'Actuals Lookup'!D:F,3,0),Table2[[#This Row],[Manual Cat Value]])</f>
        <v>#N/A</v>
      </c>
      <c r="J5180" s="2">
        <v>0.89</v>
      </c>
      <c r="K5180" s="2" t="b">
        <v>0</v>
      </c>
      <c r="L5180" s="2"/>
      <c r="M5180" s="2"/>
      <c r="N5180" s="4" t="s">
        <v>2273</v>
      </c>
      <c r="O5180" s="4" t="str">
        <f>LEFT(Table2[[#This Row],[Description]],75)</f>
        <v>SCHWAB INTERMEDIATE TERMUS TRS ETF</v>
      </c>
      <c r="P5180" s="2" t="s">
        <v>2385</v>
      </c>
    </row>
    <row r="5181" spans="1:16" hidden="1">
      <c r="A5181" s="2">
        <v>202107</v>
      </c>
      <c r="B5181" s="3">
        <v>44385</v>
      </c>
      <c r="C5181" s="2" t="s">
        <v>2262</v>
      </c>
      <c r="D5181" s="2" t="s">
        <v>1684</v>
      </c>
      <c r="E5181" s="2">
        <v>5.6</v>
      </c>
      <c r="F5181" s="2" t="e">
        <f>IF(Table2[[#This Row],[Manual Cat Value]]="",VLOOKUP(Table2[[#This Row],[Description]],'Actuals Lookup'!D:F,3,0),Table2[[#This Row],[Manual Cat Value]])</f>
        <v>#N/A</v>
      </c>
      <c r="J5181" s="2">
        <v>5.6</v>
      </c>
      <c r="K5181" s="2" t="b">
        <v>0</v>
      </c>
      <c r="L5181" s="2"/>
      <c r="M5181" s="2"/>
      <c r="N5181" s="4" t="s">
        <v>2259</v>
      </c>
      <c r="O5181" s="4" t="str">
        <f>LEFT(Table2[[#This Row],[Description]],75)</f>
        <v>Southwest Airlines</v>
      </c>
      <c r="P5181" s="2" t="s">
        <v>2281</v>
      </c>
    </row>
    <row r="5182" spans="1:16" hidden="1">
      <c r="A5182" s="2">
        <v>202107</v>
      </c>
      <c r="B5182" s="3">
        <v>44386</v>
      </c>
      <c r="C5182" s="2" t="s">
        <v>2262</v>
      </c>
      <c r="D5182" s="2" t="s">
        <v>187</v>
      </c>
      <c r="E5182" s="2">
        <v>113.84</v>
      </c>
      <c r="F5182" s="2" t="e">
        <f>IF(Table2[[#This Row],[Manual Cat Value]]="",VLOOKUP(Table2[[#This Row],[Description]],'Actuals Lookup'!D:F,3,0),Table2[[#This Row],[Manual Cat Value]])</f>
        <v>#N/A</v>
      </c>
      <c r="J5182" s="2">
        <v>113.84</v>
      </c>
      <c r="K5182" s="2" t="b">
        <v>0</v>
      </c>
      <c r="L5182" s="2"/>
      <c r="M5182" s="2"/>
      <c r="N5182" s="4" t="s">
        <v>2259</v>
      </c>
      <c r="O5182" s="4" t="str">
        <f>LEFT(Table2[[#This Row],[Description]],75)</f>
        <v>AVOADVOCARE INTL 8005424800 TX</v>
      </c>
      <c r="P5182" s="2" t="s">
        <v>2428</v>
      </c>
    </row>
    <row r="5183" spans="1:16" hidden="1">
      <c r="A5183" s="2">
        <v>202107</v>
      </c>
      <c r="B5183" s="3">
        <v>44386</v>
      </c>
      <c r="C5183" s="2" t="s">
        <v>2460</v>
      </c>
      <c r="D5183" s="2" t="s">
        <v>424</v>
      </c>
      <c r="E5183" s="2">
        <v>-200</v>
      </c>
      <c r="F5183" s="2" t="e">
        <f>IF(Table2[[#This Row],[Manual Cat Value]]="",VLOOKUP(Table2[[#This Row],[Description]],'Actuals Lookup'!D:F,3,0),Table2[[#This Row],[Manual Cat Value]])</f>
        <v>#N/A</v>
      </c>
      <c r="J5183" s="2">
        <v>200</v>
      </c>
      <c r="K5183" s="2" t="b">
        <v>0</v>
      </c>
      <c r="L5183" s="2"/>
      <c r="M5183" s="2"/>
      <c r="N5183" s="4" t="s">
        <v>2273</v>
      </c>
      <c r="O5183" s="4" t="str">
        <f>LEFT(Table2[[#This Row],[Description]],75)</f>
        <v>CARGILL INCORPOR</v>
      </c>
      <c r="P5183" s="2" t="s">
        <v>2281</v>
      </c>
    </row>
    <row r="5184" spans="1:16" hidden="1">
      <c r="A5184" s="2">
        <v>202107</v>
      </c>
      <c r="B5184" s="3">
        <v>44386</v>
      </c>
      <c r="C5184" s="2" t="s">
        <v>2317</v>
      </c>
      <c r="D5184" s="2" t="s">
        <v>424</v>
      </c>
      <c r="E5184" s="2">
        <v>-200</v>
      </c>
      <c r="F5184" s="2" t="e">
        <f>IF(Table2[[#This Row],[Manual Cat Value]]="",VLOOKUP(Table2[[#This Row],[Description]],'Actuals Lookup'!D:F,3,0),Table2[[#This Row],[Manual Cat Value]])</f>
        <v>#N/A</v>
      </c>
      <c r="J5184" s="2">
        <v>200</v>
      </c>
      <c r="K5184" s="2" t="b">
        <v>0</v>
      </c>
      <c r="L5184" s="2"/>
      <c r="M5184" s="2"/>
      <c r="N5184" s="4" t="s">
        <v>2273</v>
      </c>
      <c r="O5184" s="4" t="str">
        <f>LEFT(Table2[[#This Row],[Description]],75)</f>
        <v>CARGILL INCORPOR</v>
      </c>
      <c r="P5184" s="2" t="s">
        <v>2385</v>
      </c>
    </row>
    <row r="5185" spans="1:16" hidden="1">
      <c r="A5185" s="2">
        <v>202107</v>
      </c>
      <c r="B5185" s="3">
        <v>44386</v>
      </c>
      <c r="C5185" s="2" t="s">
        <v>2262</v>
      </c>
      <c r="D5185" s="2" t="s">
        <v>1684</v>
      </c>
      <c r="E5185" s="2">
        <v>5.6</v>
      </c>
      <c r="F5185" s="2" t="e">
        <f>IF(Table2[[#This Row],[Manual Cat Value]]="",VLOOKUP(Table2[[#This Row],[Description]],'Actuals Lookup'!D:F,3,0),Table2[[#This Row],[Manual Cat Value]])</f>
        <v>#N/A</v>
      </c>
      <c r="J5185" s="2">
        <v>5.6</v>
      </c>
      <c r="K5185" s="2" t="b">
        <v>0</v>
      </c>
      <c r="L5185" s="2"/>
      <c r="M5185" s="2"/>
      <c r="N5185" s="4" t="s">
        <v>2259</v>
      </c>
      <c r="O5185" s="4" t="str">
        <f>LEFT(Table2[[#This Row],[Description]],75)</f>
        <v>Southwest Airlines</v>
      </c>
      <c r="P5185" s="2" t="s">
        <v>2281</v>
      </c>
    </row>
    <row r="5186" spans="1:16" hidden="1">
      <c r="A5186" s="2">
        <v>202107</v>
      </c>
      <c r="B5186" s="3">
        <v>44386</v>
      </c>
      <c r="C5186" s="2" t="s">
        <v>2338</v>
      </c>
      <c r="D5186" s="2" t="s">
        <v>1820</v>
      </c>
      <c r="E5186" s="2">
        <v>-784.4</v>
      </c>
      <c r="F5186" s="2" t="e">
        <f>IF(Table2[[#This Row],[Manual Cat Value]]="",VLOOKUP(Table2[[#This Row],[Description]],'Actuals Lookup'!D:F,3,0),Table2[[#This Row],[Manual Cat Value]])</f>
        <v>#N/A</v>
      </c>
      <c r="J5186" s="2">
        <v>784.4</v>
      </c>
      <c r="K5186" s="2" t="b">
        <v>0</v>
      </c>
      <c r="L5186" s="2"/>
      <c r="M5186" s="2"/>
      <c r="N5186" s="4" t="s">
        <v>2273</v>
      </c>
      <c r="O5186" s="4" t="str">
        <f>LEFT(Table2[[#This Row],[Description]],75)</f>
        <v>Target Retire 2055 Tr P - Plan Contribution</v>
      </c>
      <c r="P5186" s="2" t="s">
        <v>2386</v>
      </c>
    </row>
    <row r="5187" spans="1:16" hidden="1">
      <c r="A5187" s="2">
        <v>202107</v>
      </c>
      <c r="B5187" s="3">
        <v>44386</v>
      </c>
      <c r="C5187" s="2" t="s">
        <v>2434</v>
      </c>
      <c r="D5187" s="2" t="s">
        <v>1835</v>
      </c>
      <c r="E5187" s="2">
        <v>-231</v>
      </c>
      <c r="F5187" s="2" t="e">
        <f>IF(Table2[[#This Row],[Manual Cat Value]]="",VLOOKUP(Table2[[#This Row],[Description]],'Actuals Lookup'!D:F,3,0),Table2[[#This Row],[Manual Cat Value]])</f>
        <v>#N/A</v>
      </c>
      <c r="J5187" s="2">
        <v>231</v>
      </c>
      <c r="K5187" s="2" t="b">
        <v>0</v>
      </c>
      <c r="L5187" s="2"/>
      <c r="M5187" s="2"/>
      <c r="N5187" s="4" t="s">
        <v>2273</v>
      </c>
      <c r="O5187" s="4" t="str">
        <f>LEFT(Table2[[#This Row],[Description]],75)</f>
        <v>Tfr JPMORGAN CHASE BAN, CARGILL INCORPOR</v>
      </c>
      <c r="P5187" s="2" t="s">
        <v>2281</v>
      </c>
    </row>
    <row r="5188" spans="1:16" hidden="1">
      <c r="A5188" s="2">
        <v>202107</v>
      </c>
      <c r="B5188" s="3">
        <v>44388</v>
      </c>
      <c r="C5188" s="2" t="s">
        <v>2262</v>
      </c>
      <c r="D5188" s="2" t="s">
        <v>1755</v>
      </c>
      <c r="E5188" s="2">
        <v>20</v>
      </c>
      <c r="F5188" s="2" t="e">
        <f>IF(Table2[[#This Row],[Manual Cat Value]]="",VLOOKUP(Table2[[#This Row],[Description]],'Actuals Lookup'!D:F,3,0),Table2[[#This Row],[Manual Cat Value]])</f>
        <v>#N/A</v>
      </c>
      <c r="J5188" s="2">
        <v>20</v>
      </c>
      <c r="K5188" s="2" t="b">
        <v>0</v>
      </c>
      <c r="L5188" s="2"/>
      <c r="M5188" s="2"/>
      <c r="N5188" s="4" t="s">
        <v>2259</v>
      </c>
      <c r="O5188" s="4" t="str">
        <f>LEFT(Table2[[#This Row],[Description]],75)</f>
        <v>SQ SMOOTH MOVE Chaska MN</v>
      </c>
      <c r="P5188" s="2" t="s">
        <v>2281</v>
      </c>
    </row>
    <row r="5189" spans="1:16" hidden="1">
      <c r="A5189" s="2">
        <v>202107</v>
      </c>
      <c r="B5189" s="3">
        <v>44388</v>
      </c>
      <c r="C5189" s="2" t="s">
        <v>2262</v>
      </c>
      <c r="D5189" s="2" t="s">
        <v>1773</v>
      </c>
      <c r="E5189" s="2">
        <v>15</v>
      </c>
      <c r="F5189" s="2" t="str">
        <f>IF(Table2[[#This Row],[Manual Cat Value]]="",VLOOKUP(Table2[[#This Row],[Description]],'Actuals Lookup'!D:F,3,0),Table2[[#This Row],[Manual Cat Value]])</f>
        <v>Restaurants</v>
      </c>
      <c r="J5189" s="2">
        <v>15</v>
      </c>
      <c r="K5189" s="2" t="b">
        <v>0</v>
      </c>
      <c r="L5189" s="2"/>
      <c r="M5189" s="2"/>
      <c r="N5189" s="4" t="s">
        <v>2259</v>
      </c>
      <c r="O5189" s="4" t="str">
        <f>LEFT(Table2[[#This Row],[Description]],75)</f>
        <v>Starbucks</v>
      </c>
      <c r="P5189" s="2" t="s">
        <v>2454</v>
      </c>
    </row>
    <row r="5190" spans="1:16" hidden="1">
      <c r="A5190" s="2">
        <v>202107</v>
      </c>
      <c r="B5190" s="3">
        <v>44388</v>
      </c>
      <c r="C5190" s="2" t="s">
        <v>2262</v>
      </c>
      <c r="D5190" s="2" t="s">
        <v>2035</v>
      </c>
      <c r="E5190" s="2">
        <v>46.98</v>
      </c>
      <c r="F5190" s="2" t="e">
        <f>IF(Table2[[#This Row],[Manual Cat Value]]="",VLOOKUP(Table2[[#This Row],[Description]],'Actuals Lookup'!D:F,3,0),Table2[[#This Row],[Manual Cat Value]])</f>
        <v>#N/A</v>
      </c>
      <c r="J5190" s="2">
        <v>46.98</v>
      </c>
      <c r="K5190" s="2" t="b">
        <v>0</v>
      </c>
      <c r="L5190" s="2"/>
      <c r="M5190" s="2"/>
      <c r="N5190" s="4" t="s">
        <v>2259</v>
      </c>
      <c r="O5190" s="4" t="str">
        <f>LEFT(Table2[[#This Row],[Description]],75)</f>
        <v>TST RED COW 50TH ST MINNEAPOLIS MN</v>
      </c>
      <c r="P5190" s="2" t="s">
        <v>2362</v>
      </c>
    </row>
    <row r="5191" spans="1:16" hidden="1">
      <c r="A5191" s="2">
        <v>202107</v>
      </c>
      <c r="B5191" s="3">
        <v>44389</v>
      </c>
      <c r="C5191" s="2" t="s">
        <v>2258</v>
      </c>
      <c r="D5191" s="2" t="s">
        <v>458</v>
      </c>
      <c r="E5191" s="2">
        <v>-25.84</v>
      </c>
      <c r="F5191" s="2" t="e">
        <f>IF(Table2[[#This Row],[Manual Cat Value]]="",VLOOKUP(Table2[[#This Row],[Description]],'Actuals Lookup'!D:F,3,0),Table2[[#This Row],[Manual Cat Value]])</f>
        <v>#N/A</v>
      </c>
      <c r="J5191" s="2">
        <v>25.84</v>
      </c>
      <c r="K5191" s="2" t="b">
        <v>0</v>
      </c>
      <c r="L5191" s="2"/>
      <c r="M5191" s="2"/>
      <c r="N5191" s="4" t="s">
        <v>2273</v>
      </c>
      <c r="O5191" s="4" t="str">
        <f>LEFT(Table2[[#This Row],[Description]],75)</f>
        <v>CASHBACK BONUS REDEMPTION payment/STMT CRDT</v>
      </c>
      <c r="P5191" s="2" t="s">
        <v>2304</v>
      </c>
    </row>
    <row r="5192" spans="1:16" hidden="1">
      <c r="A5192" s="2">
        <v>202107</v>
      </c>
      <c r="B5192" s="3">
        <v>44389</v>
      </c>
      <c r="C5192" s="2" t="s">
        <v>2447</v>
      </c>
      <c r="D5192" s="2" t="s">
        <v>458</v>
      </c>
      <c r="E5192" s="2">
        <v>-25.84</v>
      </c>
      <c r="F5192" s="2" t="e">
        <f>IF(Table2[[#This Row],[Manual Cat Value]]="",VLOOKUP(Table2[[#This Row],[Description]],'Actuals Lookup'!D:F,3,0),Table2[[#This Row],[Manual Cat Value]])</f>
        <v>#N/A</v>
      </c>
      <c r="J5192" s="2">
        <v>25.84</v>
      </c>
      <c r="K5192" s="2" t="b">
        <v>0</v>
      </c>
      <c r="L5192" s="2"/>
      <c r="M5192" s="2"/>
      <c r="N5192" s="4" t="s">
        <v>2273</v>
      </c>
      <c r="O5192" s="4" t="str">
        <f>LEFT(Table2[[#This Row],[Description]],75)</f>
        <v>CASHBACK BONUS REDEMPTION payment/STMT CRDT</v>
      </c>
      <c r="P5192" s="2" t="s">
        <v>2304</v>
      </c>
    </row>
    <row r="5193" spans="1:16" hidden="1">
      <c r="A5193" s="2">
        <v>202107</v>
      </c>
      <c r="B5193" s="3">
        <v>44389</v>
      </c>
      <c r="C5193" s="2" t="s">
        <v>2258</v>
      </c>
      <c r="D5193" s="2" t="s">
        <v>997</v>
      </c>
      <c r="E5193" s="2">
        <v>-1091.3599999999999</v>
      </c>
      <c r="F5193" s="2" t="str">
        <f>IF(Table2[[#This Row],[Manual Cat Value]]="",VLOOKUP(Table2[[#This Row],[Description]],'Actuals Lookup'!D:F,3,0),Table2[[#This Row],[Manual Cat Value]])</f>
        <v>Delete</v>
      </c>
      <c r="J5193" s="2">
        <v>1091.3599999999999</v>
      </c>
      <c r="K5193" s="2" t="b">
        <v>0</v>
      </c>
      <c r="L5193" s="2"/>
      <c r="M5193" s="2"/>
      <c r="N5193" s="4" t="s">
        <v>2273</v>
      </c>
      <c r="O5193" s="4" t="str">
        <f>LEFT(Table2[[#This Row],[Description]],75)</f>
        <v>INTERNET PAYMENT - THANK YOU</v>
      </c>
      <c r="P5193" s="2" t="s">
        <v>2291</v>
      </c>
    </row>
    <row r="5194" spans="1:16" hidden="1">
      <c r="A5194" s="2">
        <v>202107</v>
      </c>
      <c r="B5194" s="3">
        <v>44389</v>
      </c>
      <c r="C5194" s="2" t="s">
        <v>2447</v>
      </c>
      <c r="D5194" s="2" t="s">
        <v>997</v>
      </c>
      <c r="E5194" s="2">
        <v>-1091.3599999999999</v>
      </c>
      <c r="F5194" s="2" t="str">
        <f>IF(Table2[[#This Row],[Manual Cat Value]]="",VLOOKUP(Table2[[#This Row],[Description]],'Actuals Lookup'!D:F,3,0),Table2[[#This Row],[Manual Cat Value]])</f>
        <v>Delete</v>
      </c>
      <c r="J5194" s="2">
        <v>1091.3599999999999</v>
      </c>
      <c r="K5194" s="2" t="b">
        <v>0</v>
      </c>
      <c r="L5194" s="2"/>
      <c r="M5194" s="2"/>
      <c r="N5194" s="4" t="s">
        <v>2273</v>
      </c>
      <c r="O5194" s="4" t="str">
        <f>LEFT(Table2[[#This Row],[Description]],75)</f>
        <v>INTERNET PAYMENT - THANK YOU</v>
      </c>
      <c r="P5194" s="2" t="s">
        <v>2291</v>
      </c>
    </row>
    <row r="5195" spans="1:16" hidden="1">
      <c r="A5195" s="2">
        <v>202107</v>
      </c>
      <c r="B5195" s="3">
        <v>44389</v>
      </c>
      <c r="C5195" s="2" t="s">
        <v>2262</v>
      </c>
      <c r="D5195" s="2" t="s">
        <v>453</v>
      </c>
      <c r="E5195" s="2">
        <v>13.19</v>
      </c>
      <c r="F5195" s="2" t="str">
        <f>IF(Table2[[#This Row],[Manual Cat Value]]="",VLOOKUP(Table2[[#This Row],[Description]],'Actuals Lookup'!D:F,3,0),Table2[[#This Row],[Manual Cat Value]])</f>
        <v>Restaurants</v>
      </c>
      <c r="J5195" s="2">
        <v>13.19</v>
      </c>
      <c r="K5195" s="2" t="b">
        <v>0</v>
      </c>
      <c r="L5195" s="2"/>
      <c r="M5195" s="2"/>
      <c r="N5195" s="4" t="s">
        <v>2259</v>
      </c>
      <c r="O5195" s="4" t="str">
        <f>LEFT(Table2[[#This Row],[Description]],75)</f>
        <v>Caribou Coffee</v>
      </c>
      <c r="P5195" s="2" t="s">
        <v>2329</v>
      </c>
    </row>
    <row r="5196" spans="1:16" hidden="1">
      <c r="A5196" s="2">
        <v>202107</v>
      </c>
      <c r="B5196" s="3">
        <v>44389</v>
      </c>
      <c r="C5196" s="2" t="s">
        <v>2262</v>
      </c>
      <c r="D5196" s="2" t="s">
        <v>684</v>
      </c>
      <c r="E5196" s="2">
        <v>142.08000000000001</v>
      </c>
      <c r="F5196" s="2" t="str">
        <f>IF(Table2[[#This Row],[Manual Cat Value]]="",VLOOKUP(Table2[[#This Row],[Description]],'Actuals Lookup'!D:F,3,0),Table2[[#This Row],[Manual Cat Value]])</f>
        <v>Groceries</v>
      </c>
      <c r="J5196" s="2">
        <v>142.08000000000001</v>
      </c>
      <c r="K5196" s="2" t="b">
        <v>0</v>
      </c>
      <c r="L5196" s="2"/>
      <c r="M5196" s="2"/>
      <c r="N5196" s="4" t="s">
        <v>2259</v>
      </c>
      <c r="O5196" s="4" t="str">
        <f>LEFT(Table2[[#This Row],[Description]],75)</f>
        <v>Cub Foods</v>
      </c>
      <c r="P5196" s="2" t="s">
        <v>2370</v>
      </c>
    </row>
    <row r="5197" spans="1:16" hidden="1">
      <c r="A5197" s="2">
        <v>202107</v>
      </c>
      <c r="B5197" s="3">
        <v>44389</v>
      </c>
      <c r="C5197" s="2" t="s">
        <v>2262</v>
      </c>
      <c r="D5197" s="2" t="s">
        <v>732</v>
      </c>
      <c r="E5197" s="2">
        <v>235.59</v>
      </c>
      <c r="F5197" s="2" t="e">
        <f>IF(Table2[[#This Row],[Manual Cat Value]]="",VLOOKUP(Table2[[#This Row],[Description]],'Actuals Lookup'!D:F,3,0),Table2[[#This Row],[Manual Cat Value]])</f>
        <v>#N/A</v>
      </c>
      <c r="J5197" s="2">
        <v>235.59</v>
      </c>
      <c r="K5197" s="2" t="b">
        <v>0</v>
      </c>
      <c r="L5197" s="2"/>
      <c r="M5197" s="2"/>
      <c r="N5197" s="4" t="s">
        <v>2259</v>
      </c>
      <c r="O5197" s="4" t="str">
        <f>LEFT(Table2[[#This Row],[Description]],75)</f>
        <v>Dick's Sporting</v>
      </c>
      <c r="P5197" s="2" t="s">
        <v>2281</v>
      </c>
    </row>
    <row r="5198" spans="1:16" hidden="1">
      <c r="A5198" s="2">
        <v>202107</v>
      </c>
      <c r="B5198" s="3">
        <v>44389</v>
      </c>
      <c r="C5198" s="2" t="s">
        <v>2262</v>
      </c>
      <c r="D5198" s="2" t="s">
        <v>1031</v>
      </c>
      <c r="E5198" s="2">
        <v>143.35</v>
      </c>
      <c r="F5198" s="2" t="e">
        <f>IF(Table2[[#This Row],[Manual Cat Value]]="",VLOOKUP(Table2[[#This Row],[Description]],'Actuals Lookup'!D:F,3,0),Table2[[#This Row],[Manual Cat Value]])</f>
        <v>#N/A</v>
      </c>
      <c r="J5198" s="2">
        <v>143.35</v>
      </c>
      <c r="K5198" s="2" t="b">
        <v>0</v>
      </c>
      <c r="L5198" s="2"/>
      <c r="M5198" s="2"/>
      <c r="N5198" s="4" t="s">
        <v>2259</v>
      </c>
      <c r="O5198" s="4" t="str">
        <f>LEFT(Table2[[#This Row],[Description]],75)</f>
        <v>KADO NO MISEKAISEKI FURUMinneapolis MN</v>
      </c>
      <c r="P5198" s="2" t="s">
        <v>2281</v>
      </c>
    </row>
    <row r="5199" spans="1:16" hidden="1">
      <c r="A5199" s="2">
        <v>202107</v>
      </c>
      <c r="B5199" s="3">
        <v>44389</v>
      </c>
      <c r="C5199" s="2" t="s">
        <v>2262</v>
      </c>
      <c r="D5199" s="2" t="s">
        <v>1036</v>
      </c>
      <c r="E5199" s="2">
        <v>39.36</v>
      </c>
      <c r="F5199" s="2" t="e">
        <f>IF(Table2[[#This Row],[Manual Cat Value]]="",VLOOKUP(Table2[[#This Row],[Description]],'Actuals Lookup'!D:F,3,0),Table2[[#This Row],[Manual Cat Value]])</f>
        <v>#N/A</v>
      </c>
      <c r="J5199" s="2">
        <v>39.36</v>
      </c>
      <c r="K5199" s="2" t="b">
        <v>0</v>
      </c>
      <c r="L5199" s="2"/>
      <c r="M5199" s="2"/>
      <c r="N5199" s="4" t="s">
        <v>2259</v>
      </c>
      <c r="O5199" s="4" t="str">
        <f>LEFT(Table2[[#This Row],[Description]],75)</f>
        <v>KAIS SUSHI GRILL CHANHASSEN MN KAIS SUSHI GRILL CHANHASSEN MN</v>
      </c>
      <c r="P5199" s="2" t="s">
        <v>2281</v>
      </c>
    </row>
    <row r="5200" spans="1:16" hidden="1">
      <c r="A5200" s="2">
        <v>202107</v>
      </c>
      <c r="B5200" s="3">
        <v>44389</v>
      </c>
      <c r="C5200" s="2" t="s">
        <v>2262</v>
      </c>
      <c r="D5200" s="2" t="s">
        <v>1263</v>
      </c>
      <c r="E5200" s="2">
        <v>33.869999999999997</v>
      </c>
      <c r="F5200" s="2" t="e">
        <f>IF(Table2[[#This Row],[Manual Cat Value]]="",VLOOKUP(Table2[[#This Row],[Description]],'Actuals Lookup'!D:F,3,0),Table2[[#This Row],[Manual Cat Value]])</f>
        <v>#N/A</v>
      </c>
      <c r="J5200" s="2">
        <v>33.869999999999997</v>
      </c>
      <c r="K5200" s="2" t="b">
        <v>0</v>
      </c>
      <c r="L5200" s="2"/>
      <c r="M5200" s="2"/>
      <c r="N5200" s="4" t="s">
        <v>2259</v>
      </c>
      <c r="O5200" s="4" t="str">
        <f>LEFT(Table2[[#This Row],[Description]],75)</f>
        <v>Minneapolis, MN</v>
      </c>
      <c r="P5200" s="2" t="s">
        <v>2281</v>
      </c>
    </row>
    <row r="5201" spans="1:16" hidden="1">
      <c r="A5201" s="2">
        <v>202107</v>
      </c>
      <c r="B5201" s="3">
        <v>44389</v>
      </c>
      <c r="C5201" s="2" t="s">
        <v>2265</v>
      </c>
      <c r="D5201" s="2" t="s">
        <v>1471</v>
      </c>
      <c r="E5201" s="2">
        <v>6.47</v>
      </c>
      <c r="F5201" s="2" t="str">
        <f>IF(Table2[[#This Row],[Manual Cat Value]]="",VLOOKUP(Table2[[#This Row],[Description]],'Actuals Lookup'!D:F,3,0),Table2[[#This Row],[Manual Cat Value]])</f>
        <v>Shopping</v>
      </c>
      <c r="J5201" s="2">
        <v>6.47</v>
      </c>
      <c r="K5201" s="2" t="b">
        <v>0</v>
      </c>
      <c r="L5201" s="2"/>
      <c r="M5201" s="2"/>
      <c r="N5201" s="4" t="s">
        <v>2259</v>
      </c>
      <c r="O5201" s="4" t="str">
        <f>LEFT(Table2[[#This Row],[Description]],75)</f>
        <v>PayPal</v>
      </c>
      <c r="P5201" s="2" t="s">
        <v>2322</v>
      </c>
    </row>
    <row r="5202" spans="1:16" hidden="1">
      <c r="A5202" s="2">
        <v>202107</v>
      </c>
      <c r="B5202" s="3">
        <v>44389</v>
      </c>
      <c r="C5202" s="2" t="s">
        <v>2262</v>
      </c>
      <c r="D5202" s="2" t="s">
        <v>1736</v>
      </c>
      <c r="E5202" s="2">
        <v>22.21</v>
      </c>
      <c r="F5202" s="2" t="e">
        <f>IF(Table2[[#This Row],[Manual Cat Value]]="",VLOOKUP(Table2[[#This Row],[Description]],'Actuals Lookup'!D:F,3,0),Table2[[#This Row],[Manual Cat Value]])</f>
        <v>#N/A</v>
      </c>
      <c r="J5202" s="2">
        <v>22.21</v>
      </c>
      <c r="K5202" s="2" t="b">
        <v>0</v>
      </c>
      <c r="L5202" s="2"/>
      <c r="M5202" s="2"/>
      <c r="N5202" s="4" t="s">
        <v>2259</v>
      </c>
      <c r="O5202" s="4" t="str">
        <f>LEFT(Table2[[#This Row],[Description]],75)</f>
        <v>SQ HONEY RYE BAKEHOUSESt Louis ParkMN</v>
      </c>
      <c r="P5202" s="2" t="s">
        <v>2281</v>
      </c>
    </row>
    <row r="5203" spans="1:16" hidden="1">
      <c r="A5203" s="2">
        <v>202107</v>
      </c>
      <c r="B5203" s="3">
        <v>44390</v>
      </c>
      <c r="C5203" s="2" t="s">
        <v>2265</v>
      </c>
      <c r="D5203" s="2" t="s">
        <v>738</v>
      </c>
      <c r="E5203" s="2">
        <v>1091.3599999999999</v>
      </c>
      <c r="F5203" s="2" t="e">
        <f>IF(Table2[[#This Row],[Manual Cat Value]]="",VLOOKUP(Table2[[#This Row],[Description]],'Actuals Lookup'!D:F,3,0),Table2[[#This Row],[Manual Cat Value]])</f>
        <v>#N/A</v>
      </c>
      <c r="J5203" s="2">
        <v>1091.3599999999999</v>
      </c>
      <c r="K5203" s="2" t="b">
        <v>0</v>
      </c>
      <c r="L5203" s="2"/>
      <c r="M5203" s="2"/>
      <c r="N5203" s="4" t="s">
        <v>2259</v>
      </c>
      <c r="O5203" s="4" t="str">
        <f>LEFT(Table2[[#This Row],[Description]],75)</f>
        <v>Discover Bank DISCOVER TYPE EPAYMENT ID CO DISCOVER ACH ECC WEB ACH Trace 1</v>
      </c>
      <c r="P5203" s="2" t="s">
        <v>2293</v>
      </c>
    </row>
    <row r="5204" spans="1:16" hidden="1">
      <c r="A5204" s="2">
        <v>202107</v>
      </c>
      <c r="B5204" s="3">
        <v>44390</v>
      </c>
      <c r="C5204" s="2" t="s">
        <v>2265</v>
      </c>
      <c r="D5204" s="2" t="s">
        <v>1967</v>
      </c>
      <c r="E5204" s="2">
        <v>360</v>
      </c>
      <c r="F5204" s="2" t="e">
        <f>IF(Table2[[#This Row],[Manual Cat Value]]="",VLOOKUP(Table2[[#This Row],[Description]],'Actuals Lookup'!D:F,3,0),Table2[[#This Row],[Manual Cat Value]])</f>
        <v>#N/A</v>
      </c>
      <c r="J5204" s="2">
        <v>360</v>
      </c>
      <c r="K5204" s="2" t="b">
        <v>0</v>
      </c>
      <c r="L5204" s="2"/>
      <c r="M5204" s="2"/>
      <c r="N5204" s="4" t="s">
        <v>2259</v>
      </c>
      <c r="O5204" s="4" t="str">
        <f>LEFT(Table2[[#This Row],[Description]],75)</f>
        <v>Transfer to Venmo VENMO TYPE PAYMENT ID CO VENMO ACH ECC WEB ACH Trace 4098</v>
      </c>
      <c r="P5204" s="2" t="s">
        <v>2281</v>
      </c>
    </row>
    <row r="5205" spans="1:16" hidden="1">
      <c r="A5205" s="2">
        <v>202107</v>
      </c>
      <c r="B5205" s="3">
        <v>44390</v>
      </c>
      <c r="C5205" s="2" t="s">
        <v>2262</v>
      </c>
      <c r="D5205" s="2" t="s">
        <v>543</v>
      </c>
      <c r="E5205" s="2">
        <v>8.17</v>
      </c>
      <c r="F5205" s="2" t="e">
        <f>IF(Table2[[#This Row],[Manual Cat Value]]="",VLOOKUP(Table2[[#This Row],[Description]],'Actuals Lookup'!D:F,3,0),Table2[[#This Row],[Manual Cat Value]])</f>
        <v>#N/A</v>
      </c>
      <c r="J5205" s="2">
        <v>8.17</v>
      </c>
      <c r="K5205" s="2" t="b">
        <v>0</v>
      </c>
      <c r="L5205" s="2"/>
      <c r="M5205" s="2"/>
      <c r="N5205" s="4" t="s">
        <v>2259</v>
      </c>
      <c r="O5205" s="4" t="str">
        <f>LEFT(Table2[[#This Row],[Description]],75)</f>
        <v>Chipotle</v>
      </c>
      <c r="P5205" s="2" t="s">
        <v>2341</v>
      </c>
    </row>
    <row r="5206" spans="1:16" hidden="1">
      <c r="A5206" s="2">
        <v>202107</v>
      </c>
      <c r="B5206" s="3">
        <v>44390</v>
      </c>
      <c r="C5206" s="2" t="s">
        <v>2265</v>
      </c>
      <c r="D5206" s="2" t="s">
        <v>618</v>
      </c>
      <c r="E5206" s="2">
        <v>-3052.97</v>
      </c>
      <c r="F5206" s="2" t="e">
        <f>IF(Table2[[#This Row],[Manual Cat Value]]="",VLOOKUP(Table2[[#This Row],[Description]],'Actuals Lookup'!D:F,3,0),Table2[[#This Row],[Manual Cat Value]])</f>
        <v>#N/A</v>
      </c>
      <c r="J5206" s="2">
        <v>3052.97</v>
      </c>
      <c r="K5206" s="2" t="b">
        <v>0</v>
      </c>
      <c r="L5206" s="2"/>
      <c r="M5206" s="2"/>
      <c r="N5206" s="4" t="s">
        <v>2273</v>
      </c>
      <c r="O5206" s="4" t="str">
        <f>LEFT(Table2[[#This Row],[Description]],75)</f>
        <v>CONNECTED ANALYT TYPE DIRECT DEP ID CO CONNECTED ANALYT ACH ECC PPD ACH Tra</v>
      </c>
      <c r="P5206" s="2" t="s">
        <v>2493</v>
      </c>
    </row>
    <row r="5207" spans="1:16" hidden="1">
      <c r="A5207" s="2">
        <v>202107</v>
      </c>
      <c r="B5207" s="3">
        <v>44390</v>
      </c>
      <c r="C5207" s="2" t="s">
        <v>2262</v>
      </c>
      <c r="D5207" s="2" t="s">
        <v>683</v>
      </c>
      <c r="E5207" s="2">
        <v>183.58</v>
      </c>
      <c r="F5207" s="2" t="e">
        <f>IF(Table2[[#This Row],[Manual Cat Value]]="",VLOOKUP(Table2[[#This Row],[Description]],'Actuals Lookup'!D:F,3,0),Table2[[#This Row],[Manual Cat Value]])</f>
        <v>#N/A</v>
      </c>
      <c r="J5207" s="2">
        <v>183.58</v>
      </c>
      <c r="K5207" s="2" t="b">
        <v>0</v>
      </c>
      <c r="L5207" s="2"/>
      <c r="M5207" s="2"/>
      <c r="N5207" s="4" t="s">
        <v>2259</v>
      </c>
      <c r="O5207" s="4" t="str">
        <f>LEFT(Table2[[#This Row],[Description]],75)</f>
        <v>CROOKED PINT CHASKA CHASKA MN</v>
      </c>
      <c r="P5207" s="2" t="s">
        <v>2281</v>
      </c>
    </row>
    <row r="5208" spans="1:16" hidden="1">
      <c r="A5208" s="2">
        <v>202107</v>
      </c>
      <c r="B5208" s="3">
        <v>44390</v>
      </c>
      <c r="C5208" s="2" t="s">
        <v>2262</v>
      </c>
      <c r="D5208" s="2" t="s">
        <v>947</v>
      </c>
      <c r="E5208" s="2">
        <v>24.65</v>
      </c>
      <c r="F5208" s="2" t="e">
        <f>IF(Table2[[#This Row],[Manual Cat Value]]="",VLOOKUP(Table2[[#This Row],[Description]],'Actuals Lookup'!D:F,3,0),Table2[[#This Row],[Manual Cat Value]])</f>
        <v>#N/A</v>
      </c>
      <c r="J5208" s="2">
        <v>24.65</v>
      </c>
      <c r="K5208" s="2" t="b">
        <v>0</v>
      </c>
      <c r="L5208" s="2"/>
      <c r="M5208" s="2"/>
      <c r="N5208" s="4" t="s">
        <v>2259</v>
      </c>
      <c r="O5208" s="4" t="str">
        <f>LEFT(Table2[[#This Row],[Description]],75)</f>
        <v>Home Depot</v>
      </c>
      <c r="P5208" s="2" t="s">
        <v>2396</v>
      </c>
    </row>
    <row r="5209" spans="1:16" hidden="1">
      <c r="A5209" s="2">
        <v>202107</v>
      </c>
      <c r="B5209" s="3">
        <v>44390</v>
      </c>
      <c r="C5209" s="2" t="s">
        <v>2262</v>
      </c>
      <c r="D5209" s="2" t="s">
        <v>1083</v>
      </c>
      <c r="E5209" s="2">
        <v>51.86</v>
      </c>
      <c r="F5209" s="2" t="str">
        <f>IF(Table2[[#This Row],[Manual Cat Value]]="",VLOOKUP(Table2[[#This Row],[Description]],'Actuals Lookup'!D:F,3,0),Table2[[#This Row],[Manual Cat Value]])</f>
        <v>Transportation</v>
      </c>
      <c r="J5209" s="2">
        <v>51.86</v>
      </c>
      <c r="K5209" s="2" t="b">
        <v>0</v>
      </c>
      <c r="L5209" s="2"/>
      <c r="M5209" s="2"/>
      <c r="N5209" s="4" t="s">
        <v>2259</v>
      </c>
      <c r="O5209" s="4" t="str">
        <f>LEFT(Table2[[#This Row],[Description]],75)</f>
        <v>Kwik Trip</v>
      </c>
      <c r="P5209" s="2" t="s">
        <v>2509</v>
      </c>
    </row>
    <row r="5210" spans="1:16" hidden="1">
      <c r="A5210" s="2">
        <v>202107</v>
      </c>
      <c r="B5210" s="3">
        <v>44390</v>
      </c>
      <c r="C5210" s="2" t="s">
        <v>2258</v>
      </c>
      <c r="D5210" s="2" t="s">
        <v>1136</v>
      </c>
      <c r="E5210" s="2">
        <v>24.28</v>
      </c>
      <c r="F5210" s="2" t="e">
        <f>IF(Table2[[#This Row],[Manual Cat Value]]="",VLOOKUP(Table2[[#This Row],[Description]],'Actuals Lookup'!D:F,3,0),Table2[[#This Row],[Manual Cat Value]])</f>
        <v>#N/A</v>
      </c>
      <c r="J5210" s="2">
        <v>24.28</v>
      </c>
      <c r="K5210" s="2" t="b">
        <v>0</v>
      </c>
      <c r="L5210" s="2"/>
      <c r="M5210" s="2"/>
      <c r="N5210" s="4" t="s">
        <v>2259</v>
      </c>
      <c r="O5210" s="4" t="str">
        <f>LEFT(Table2[[#This Row],[Description]],75)</f>
        <v>LORD FLETCHERS SPRING PARK MN</v>
      </c>
      <c r="P5210" s="2" t="s">
        <v>2281</v>
      </c>
    </row>
    <row r="5211" spans="1:16" hidden="1">
      <c r="A5211" s="2">
        <v>202107</v>
      </c>
      <c r="B5211" s="3">
        <v>44390</v>
      </c>
      <c r="C5211" s="2" t="s">
        <v>2447</v>
      </c>
      <c r="D5211" s="2" t="s">
        <v>1136</v>
      </c>
      <c r="E5211" s="2">
        <v>24.28</v>
      </c>
      <c r="F5211" s="2" t="e">
        <f>IF(Table2[[#This Row],[Manual Cat Value]]="",VLOOKUP(Table2[[#This Row],[Description]],'Actuals Lookup'!D:F,3,0),Table2[[#This Row],[Manual Cat Value]])</f>
        <v>#N/A</v>
      </c>
      <c r="J5211" s="2">
        <v>24.28</v>
      </c>
      <c r="K5211" s="2" t="b">
        <v>0</v>
      </c>
      <c r="L5211" s="2"/>
      <c r="M5211" s="2"/>
      <c r="N5211" s="4" t="s">
        <v>2259</v>
      </c>
      <c r="O5211" s="4" t="str">
        <f>LEFT(Table2[[#This Row],[Description]],75)</f>
        <v>LORD FLETCHERS SPRING PARK MN</v>
      </c>
      <c r="P5211" s="2" t="s">
        <v>2281</v>
      </c>
    </row>
    <row r="5212" spans="1:16" hidden="1">
      <c r="A5212" s="2">
        <v>202107</v>
      </c>
      <c r="B5212" s="3">
        <v>44391</v>
      </c>
      <c r="C5212" s="2" t="s">
        <v>2262</v>
      </c>
      <c r="D5212" s="2" t="s">
        <v>38</v>
      </c>
      <c r="E5212" s="2">
        <v>21.45</v>
      </c>
      <c r="F5212" s="2" t="str">
        <f>IF(Table2[[#This Row],[Manual Cat Value]]="",VLOOKUP(Table2[[#This Row],[Description]],'Actuals Lookup'!D:F,3,0),Table2[[#This Row],[Manual Cat Value]])</f>
        <v>Amazon</v>
      </c>
      <c r="J5212" s="2">
        <v>21.45</v>
      </c>
      <c r="K5212" s="2" t="b">
        <v>0</v>
      </c>
      <c r="L5212" s="2"/>
      <c r="M5212" s="2"/>
      <c r="N5212" s="4" t="s">
        <v>2259</v>
      </c>
      <c r="O5212" s="4" t="str">
        <f>LEFT(Table2[[#This Row],[Description]],75)</f>
        <v>Amazon</v>
      </c>
      <c r="P5212" s="2" t="s">
        <v>2260</v>
      </c>
    </row>
    <row r="5213" spans="1:16" hidden="1">
      <c r="A5213" s="2">
        <v>202107</v>
      </c>
      <c r="B5213" s="3">
        <v>44391</v>
      </c>
      <c r="C5213" s="2" t="s">
        <v>2265</v>
      </c>
      <c r="D5213" s="2" t="s">
        <v>131</v>
      </c>
      <c r="E5213" s="2">
        <v>167.95</v>
      </c>
      <c r="F5213" s="2" t="str">
        <f>IF(Table2[[#This Row],[Manual Cat Value]]="",VLOOKUP(Table2[[#This Row],[Description]],'Actuals Lookup'!D:F,3,0),Table2[[#This Row],[Manual Cat Value]])</f>
        <v>Insurance</v>
      </c>
      <c r="J5213" s="2">
        <v>167.95</v>
      </c>
      <c r="K5213" s="2" t="b">
        <v>0</v>
      </c>
      <c r="L5213" s="2"/>
      <c r="M5213" s="2"/>
      <c r="N5213" s="4" t="s">
        <v>2259</v>
      </c>
      <c r="O5213" s="4" t="str">
        <f>LEFT(Table2[[#This Row],[Description]],75)</f>
        <v>American Family Insurance</v>
      </c>
      <c r="P5213" s="2" t="s">
        <v>2286</v>
      </c>
    </row>
    <row r="5214" spans="1:16" hidden="1">
      <c r="A5214" s="2">
        <v>202107</v>
      </c>
      <c r="B5214" s="3">
        <v>44391</v>
      </c>
      <c r="C5214" s="2" t="s">
        <v>2265</v>
      </c>
      <c r="D5214" s="2" t="s">
        <v>494</v>
      </c>
      <c r="E5214" s="2">
        <v>33.200000000000003</v>
      </c>
      <c r="F5214" s="2" t="str">
        <f>IF(Table2[[#This Row],[Manual Cat Value]]="",VLOOKUP(Table2[[#This Row],[Description]],'Actuals Lookup'!D:F,3,0),Table2[[#This Row],[Manual Cat Value]])</f>
        <v>Utilities</v>
      </c>
      <c r="J5214" s="2">
        <v>33.200000000000003</v>
      </c>
      <c r="K5214" s="2" t="b">
        <v>0</v>
      </c>
      <c r="L5214" s="2"/>
      <c r="M5214" s="2"/>
      <c r="N5214" s="4" t="s">
        <v>2259</v>
      </c>
      <c r="O5214" s="4" t="str">
        <f>LEFT(Table2[[#This Row],[Description]],75)</f>
        <v>CenterPoint Energy</v>
      </c>
      <c r="P5214" s="2" t="s">
        <v>2546</v>
      </c>
    </row>
    <row r="5215" spans="1:16" hidden="1">
      <c r="A5215" s="2">
        <v>202107</v>
      </c>
      <c r="B5215" s="3">
        <v>44391</v>
      </c>
      <c r="C5215" s="2" t="s">
        <v>2262</v>
      </c>
      <c r="D5215" s="2" t="s">
        <v>506</v>
      </c>
      <c r="E5215" s="2">
        <v>45</v>
      </c>
      <c r="F5215" s="2" t="str">
        <f>IF(Table2[[#This Row],[Manual Cat Value]]="",VLOOKUP(Table2[[#This Row],[Description]],'Actuals Lookup'!D:F,3,0),Table2[[#This Row],[Manual Cat Value]])</f>
        <v>Utilities</v>
      </c>
      <c r="J5215" s="2">
        <v>45</v>
      </c>
      <c r="K5215" s="2" t="b">
        <v>0</v>
      </c>
      <c r="L5215" s="2"/>
      <c r="M5215" s="2"/>
      <c r="N5215" s="4" t="s">
        <v>2259</v>
      </c>
      <c r="O5215" s="4" t="str">
        <f>LEFT(Table2[[#This Row],[Description]],75)</f>
        <v>CenturyLink</v>
      </c>
      <c r="P5215" s="2" t="s">
        <v>2408</v>
      </c>
    </row>
    <row r="5216" spans="1:16" hidden="1">
      <c r="A5216" s="2">
        <v>202107</v>
      </c>
      <c r="B5216" s="3">
        <v>44391</v>
      </c>
      <c r="C5216" s="2" t="s">
        <v>2262</v>
      </c>
      <c r="D5216" s="2" t="s">
        <v>1083</v>
      </c>
      <c r="E5216" s="2">
        <v>24.49</v>
      </c>
      <c r="F5216" s="2" t="str">
        <f>IF(Table2[[#This Row],[Manual Cat Value]]="",VLOOKUP(Table2[[#This Row],[Description]],'Actuals Lookup'!D:F,3,0),Table2[[#This Row],[Manual Cat Value]])</f>
        <v>Transportation</v>
      </c>
      <c r="J5216" s="2">
        <v>24.49</v>
      </c>
      <c r="K5216" s="2" t="b">
        <v>0</v>
      </c>
      <c r="L5216" s="2"/>
      <c r="M5216" s="2"/>
      <c r="N5216" s="4" t="s">
        <v>2259</v>
      </c>
      <c r="O5216" s="4" t="str">
        <f>LEFT(Table2[[#This Row],[Description]],75)</f>
        <v>Kwik Trip</v>
      </c>
      <c r="P5216" s="2" t="s">
        <v>2509</v>
      </c>
    </row>
    <row r="5217" spans="1:16" hidden="1">
      <c r="A5217" s="2">
        <v>202107</v>
      </c>
      <c r="B5217" s="3">
        <v>44391</v>
      </c>
      <c r="C5217" s="2" t="s">
        <v>2265</v>
      </c>
      <c r="D5217" s="2" t="s">
        <v>1196</v>
      </c>
      <c r="E5217" s="2">
        <v>953.8</v>
      </c>
      <c r="F5217" s="2" t="e">
        <f>IF(Table2[[#This Row],[Manual Cat Value]]="",VLOOKUP(Table2[[#This Row],[Description]],'Actuals Lookup'!D:F,3,0),Table2[[#This Row],[Manual Cat Value]])</f>
        <v>#N/A</v>
      </c>
      <c r="J5217" s="2">
        <v>953.8</v>
      </c>
      <c r="K5217" s="2" t="b">
        <v>0</v>
      </c>
      <c r="L5217" s="2"/>
      <c r="M5217" s="2"/>
      <c r="N5217" s="4" t="s">
        <v>2259</v>
      </c>
      <c r="O5217" s="4" t="str">
        <f>LEFT(Table2[[#This Row],[Description]],75)</f>
        <v>MHCHILDCARELLC TYPE DUES ID CO M MHCHILDCARELLC TYPE DUES ID CO MHCHILDCARE</v>
      </c>
      <c r="P5217" s="2" t="s">
        <v>2497</v>
      </c>
    </row>
    <row r="5218" spans="1:16" hidden="1">
      <c r="A5218" s="2">
        <v>202107</v>
      </c>
      <c r="B5218" s="3">
        <v>44391</v>
      </c>
      <c r="C5218" s="2" t="s">
        <v>2265</v>
      </c>
      <c r="D5218" s="2" t="s">
        <v>1615</v>
      </c>
      <c r="E5218" s="2">
        <v>-333</v>
      </c>
      <c r="F5218" s="2" t="e">
        <f>IF(Table2[[#This Row],[Manual Cat Value]]="",VLOOKUP(Table2[[#This Row],[Description]],'Actuals Lookup'!D:F,3,0),Table2[[#This Row],[Manual Cat Value]])</f>
        <v>#N/A</v>
      </c>
      <c r="J5218" s="2">
        <v>333</v>
      </c>
      <c r="K5218" s="2" t="b">
        <v>0</v>
      </c>
      <c r="L5218" s="2"/>
      <c r="M5218" s="2"/>
      <c r="N5218" s="4" t="s">
        <v>2273</v>
      </c>
      <c r="O5218" s="4" t="str">
        <f>LEFT(Table2[[#This Row],[Description]],75)</f>
        <v>SalaryRegular Income from IRS St IRS TREAS 310 TYPE CHILDCTC ID CO IRS TREA</v>
      </c>
      <c r="P5218" s="2" t="s">
        <v>2281</v>
      </c>
    </row>
    <row r="5219" spans="1:16" hidden="1">
      <c r="A5219" s="2">
        <v>202107</v>
      </c>
      <c r="B5219" s="3">
        <v>44392</v>
      </c>
      <c r="C5219" s="2" t="s">
        <v>2262</v>
      </c>
      <c r="D5219" s="2" t="s">
        <v>555</v>
      </c>
      <c r="E5219" s="2">
        <v>71.7</v>
      </c>
      <c r="F5219" s="2" t="e">
        <f>IF(Table2[[#This Row],[Manual Cat Value]]="",VLOOKUP(Table2[[#This Row],[Description]],'Actuals Lookup'!D:F,3,0),Table2[[#This Row],[Manual Cat Value]])</f>
        <v>#N/A</v>
      </c>
      <c r="J5219" s="2">
        <v>71.7</v>
      </c>
      <c r="K5219" s="2" t="b">
        <v>0</v>
      </c>
      <c r="L5219" s="2"/>
      <c r="M5219" s="2"/>
      <c r="N5219" s="4" t="s">
        <v>2259</v>
      </c>
      <c r="O5219" s="4" t="str">
        <f>LEFT(Table2[[#This Row],[Description]],75)</f>
        <v>City Market</v>
      </c>
      <c r="P5219" s="2" t="s">
        <v>2281</v>
      </c>
    </row>
    <row r="5220" spans="1:16" hidden="1">
      <c r="A5220" s="2">
        <v>202107</v>
      </c>
      <c r="B5220" s="3">
        <v>44392</v>
      </c>
      <c r="C5220" s="2" t="s">
        <v>2460</v>
      </c>
      <c r="D5220" s="2" t="s">
        <v>605</v>
      </c>
      <c r="E5220" s="2">
        <v>-250</v>
      </c>
      <c r="F5220" s="2" t="e">
        <f>IF(Table2[[#This Row],[Manual Cat Value]]="",VLOOKUP(Table2[[#This Row],[Description]],'Actuals Lookup'!D:F,3,0),Table2[[#This Row],[Manual Cat Value]])</f>
        <v>#N/A</v>
      </c>
      <c r="J5220" s="2">
        <v>250</v>
      </c>
      <c r="K5220" s="2" t="b">
        <v>0</v>
      </c>
      <c r="L5220" s="2"/>
      <c r="M5220" s="2"/>
      <c r="N5220" s="4" t="s">
        <v>2273</v>
      </c>
      <c r="O5220" s="4" t="str">
        <f>LEFT(Table2[[#This Row],[Description]],75)</f>
        <v>CONNECTED ANALYT</v>
      </c>
      <c r="P5220" s="2" t="s">
        <v>2493</v>
      </c>
    </row>
    <row r="5221" spans="1:16" hidden="1">
      <c r="A5221" s="2">
        <v>202107</v>
      </c>
      <c r="B5221" s="3">
        <v>44392</v>
      </c>
      <c r="C5221" s="2" t="s">
        <v>2317</v>
      </c>
      <c r="D5221" s="2" t="s">
        <v>605</v>
      </c>
      <c r="E5221" s="2">
        <v>-250</v>
      </c>
      <c r="F5221" s="2" t="e">
        <f>IF(Table2[[#This Row],[Manual Cat Value]]="",VLOOKUP(Table2[[#This Row],[Description]],'Actuals Lookup'!D:F,3,0),Table2[[#This Row],[Manual Cat Value]])</f>
        <v>#N/A</v>
      </c>
      <c r="J5221" s="2">
        <v>250</v>
      </c>
      <c r="K5221" s="2" t="b">
        <v>0</v>
      </c>
      <c r="L5221" s="2"/>
      <c r="M5221" s="2"/>
      <c r="N5221" s="4" t="s">
        <v>2273</v>
      </c>
      <c r="O5221" s="4" t="str">
        <f>LEFT(Table2[[#This Row],[Description]],75)</f>
        <v>CONNECTED ANALYT</v>
      </c>
      <c r="P5221" s="2" t="s">
        <v>2493</v>
      </c>
    </row>
    <row r="5222" spans="1:16" hidden="1">
      <c r="A5222" s="2">
        <v>202107</v>
      </c>
      <c r="B5222" s="3">
        <v>44392</v>
      </c>
      <c r="C5222" s="2" t="s">
        <v>2265</v>
      </c>
      <c r="D5222" s="2" t="s">
        <v>852</v>
      </c>
      <c r="E5222" s="2">
        <v>2000</v>
      </c>
      <c r="F5222" s="2" t="e">
        <f>IF(Table2[[#This Row],[Manual Cat Value]]="",VLOOKUP(Table2[[#This Row],[Description]],'Actuals Lookup'!D:F,3,0),Table2[[#This Row],[Manual Cat Value]])</f>
        <v>#N/A</v>
      </c>
      <c r="J5222" s="2">
        <v>2000</v>
      </c>
      <c r="K5222" s="2" t="b">
        <v>0</v>
      </c>
      <c r="L5222" s="2"/>
      <c r="M5222" s="2"/>
      <c r="N5222" s="4" t="s">
        <v>2259</v>
      </c>
      <c r="O5222" s="4" t="str">
        <f>LEFT(Table2[[#This Row],[Description]],75)</f>
        <v xml:space="preserve">FOX CO LLC TYPE SALE ID CO FOX C FOX CO LLC TYPE SALE ID CO FOX CO LLC ACH </v>
      </c>
      <c r="P5222" s="2" t="s">
        <v>2281</v>
      </c>
    </row>
    <row r="5223" spans="1:16" hidden="1">
      <c r="A5223" s="2">
        <v>202107</v>
      </c>
      <c r="B5223" s="3">
        <v>44392</v>
      </c>
      <c r="C5223" s="2" t="s">
        <v>2262</v>
      </c>
      <c r="D5223" s="2" t="s">
        <v>1142</v>
      </c>
      <c r="E5223" s="2">
        <v>131.29</v>
      </c>
      <c r="F5223" s="2" t="e">
        <f>IF(Table2[[#This Row],[Manual Cat Value]]="",VLOOKUP(Table2[[#This Row],[Description]],'Actuals Lookup'!D:F,3,0),Table2[[#This Row],[Manual Cat Value]])</f>
        <v>#N/A</v>
      </c>
      <c r="J5223" s="2">
        <v>131.29</v>
      </c>
      <c r="K5223" s="2" t="b">
        <v>0</v>
      </c>
      <c r="L5223" s="2"/>
      <c r="M5223" s="2"/>
      <c r="N5223" s="4" t="s">
        <v>2259</v>
      </c>
      <c r="O5223" s="4" t="str">
        <f>LEFT(Table2[[#This Row],[Description]],75)</f>
        <v>LS SAN JUAN SPORTS 18669321801 CO</v>
      </c>
      <c r="P5223" s="2" t="s">
        <v>2281</v>
      </c>
    </row>
    <row r="5224" spans="1:16" hidden="1">
      <c r="A5224" s="2">
        <v>202107</v>
      </c>
      <c r="B5224" s="3">
        <v>44392</v>
      </c>
      <c r="C5224" s="2" t="s">
        <v>2262</v>
      </c>
      <c r="D5224" s="2" t="s">
        <v>1147</v>
      </c>
      <c r="E5224" s="2">
        <v>46.45</v>
      </c>
      <c r="F5224" s="2" t="e">
        <f>IF(Table2[[#This Row],[Manual Cat Value]]="",VLOOKUP(Table2[[#This Row],[Description]],'Actuals Lookup'!D:F,3,0),Table2[[#This Row],[Manual Cat Value]])</f>
        <v>#N/A</v>
      </c>
      <c r="J5224" s="2">
        <v>46.45</v>
      </c>
      <c r="K5224" s="2" t="b">
        <v>0</v>
      </c>
      <c r="L5224" s="2"/>
      <c r="M5224" s="2"/>
      <c r="N5224" s="4" t="s">
        <v>2259</v>
      </c>
      <c r="O5224" s="4" t="str">
        <f>LEFT(Table2[[#This Row],[Description]],75)</f>
        <v>LS TSHIRT SHOP CREEDE CO</v>
      </c>
      <c r="P5224" s="2" t="s">
        <v>2281</v>
      </c>
    </row>
    <row r="5225" spans="1:16" hidden="1">
      <c r="A5225" s="2">
        <v>202107</v>
      </c>
      <c r="B5225" s="3">
        <v>44392</v>
      </c>
      <c r="C5225" s="2" t="s">
        <v>2262</v>
      </c>
      <c r="D5225" s="2" t="s">
        <v>1686</v>
      </c>
      <c r="E5225" s="2">
        <v>25.73</v>
      </c>
      <c r="F5225" s="2" t="e">
        <f>IF(Table2[[#This Row],[Manual Cat Value]]="",VLOOKUP(Table2[[#This Row],[Description]],'Actuals Lookup'!D:F,3,0),Table2[[#This Row],[Manual Cat Value]])</f>
        <v>#N/A</v>
      </c>
      <c r="J5225" s="2">
        <v>25.73</v>
      </c>
      <c r="K5225" s="2" t="b">
        <v>0</v>
      </c>
      <c r="L5225" s="2"/>
      <c r="M5225" s="2"/>
      <c r="N5225" s="4" t="s">
        <v>2259</v>
      </c>
      <c r="O5225" s="4" t="str">
        <f>LEFT(Table2[[#This Row],[Description]],75)</f>
        <v>SP CREEDE OLIVE OIL CREEDE CO</v>
      </c>
      <c r="P5225" s="2" t="s">
        <v>2281</v>
      </c>
    </row>
    <row r="5226" spans="1:16" hidden="1">
      <c r="A5226" s="2">
        <v>202107</v>
      </c>
      <c r="B5226" s="3">
        <v>44392</v>
      </c>
      <c r="C5226" s="2" t="s">
        <v>2435</v>
      </c>
      <c r="D5226" s="2" t="s">
        <v>1836</v>
      </c>
      <c r="E5226" s="2">
        <v>-250</v>
      </c>
      <c r="F5226" s="2" t="e">
        <f>IF(Table2[[#This Row],[Manual Cat Value]]="",VLOOKUP(Table2[[#This Row],[Description]],'Actuals Lookup'!D:F,3,0),Table2[[#This Row],[Manual Cat Value]])</f>
        <v>#N/A</v>
      </c>
      <c r="J5226" s="2">
        <v>250</v>
      </c>
      <c r="K5226" s="2" t="b">
        <v>0</v>
      </c>
      <c r="L5226" s="2"/>
      <c r="M5226" s="2"/>
      <c r="N5226" s="4" t="s">
        <v>2273</v>
      </c>
      <c r="O5226" s="4" t="str">
        <f>LEFT(Table2[[#This Row],[Description]],75)</f>
        <v>Tfr JPMORGAN CHASE BAN, CONNECTED ANALYT</v>
      </c>
      <c r="P5226" s="2" t="s">
        <v>2493</v>
      </c>
    </row>
    <row r="5227" spans="1:16" hidden="1">
      <c r="A5227" s="2">
        <v>202107</v>
      </c>
      <c r="B5227" s="3">
        <v>44392</v>
      </c>
      <c r="C5227" s="2" t="s">
        <v>2262</v>
      </c>
      <c r="D5227" s="2" t="s">
        <v>2086</v>
      </c>
      <c r="E5227" s="2">
        <v>35</v>
      </c>
      <c r="F5227" s="2" t="e">
        <f>IF(Table2[[#This Row],[Manual Cat Value]]="",VLOOKUP(Table2[[#This Row],[Description]],'Actuals Lookup'!D:F,3,0),Table2[[#This Row],[Manual Cat Value]])</f>
        <v>#N/A</v>
      </c>
      <c r="J5227" s="2">
        <v>35</v>
      </c>
      <c r="K5227" s="2" t="b">
        <v>0</v>
      </c>
      <c r="L5227" s="2"/>
      <c r="M5227" s="2"/>
      <c r="N5227" s="4" t="s">
        <v>2259</v>
      </c>
      <c r="O5227" s="4" t="str">
        <f>LEFT(Table2[[#This Row],[Description]],75)</f>
        <v>UNITED 01699305234568009322732 TX</v>
      </c>
      <c r="P5227" s="2" t="s">
        <v>2281</v>
      </c>
    </row>
    <row r="5228" spans="1:16" hidden="1">
      <c r="A5228" s="2">
        <v>202107</v>
      </c>
      <c r="B5228" s="3">
        <v>44393</v>
      </c>
      <c r="C5228" s="2" t="s">
        <v>2434</v>
      </c>
      <c r="D5228" s="2" t="s">
        <v>230</v>
      </c>
      <c r="E5228" s="2">
        <v>-0.09</v>
      </c>
      <c r="F5228" s="2" t="e">
        <f>IF(Table2[[#This Row],[Manual Cat Value]]="",VLOOKUP(Table2[[#This Row],[Description]],'Actuals Lookup'!D:F,3,0),Table2[[#This Row],[Manual Cat Value]])</f>
        <v>#N/A</v>
      </c>
      <c r="J5228" s="2">
        <v>0.09</v>
      </c>
      <c r="K5228" s="2" t="b">
        <v>0</v>
      </c>
      <c r="L5228" s="2"/>
      <c r="M5228" s="2"/>
      <c r="N5228" s="4" t="s">
        <v>2273</v>
      </c>
      <c r="O5228" s="4" t="str">
        <f>LEFT(Table2[[#This Row],[Description]],75)</f>
        <v>BANK INT 061621-071521 SCHWAB PREMIER BANK</v>
      </c>
      <c r="P5228" s="2" t="s">
        <v>2281</v>
      </c>
    </row>
    <row r="5229" spans="1:16" hidden="1">
      <c r="A5229" s="2">
        <v>202107</v>
      </c>
      <c r="B5229" s="3">
        <v>44393</v>
      </c>
      <c r="C5229" s="2" t="s">
        <v>2488</v>
      </c>
      <c r="D5229" s="2" t="s">
        <v>230</v>
      </c>
      <c r="E5229" s="2">
        <v>-0.01</v>
      </c>
      <c r="F5229" s="2" t="e">
        <f>IF(Table2[[#This Row],[Manual Cat Value]]="",VLOOKUP(Table2[[#This Row],[Description]],'Actuals Lookup'!D:F,3,0),Table2[[#This Row],[Manual Cat Value]])</f>
        <v>#N/A</v>
      </c>
      <c r="J5229" s="2">
        <v>0.01</v>
      </c>
      <c r="K5229" s="2" t="b">
        <v>0</v>
      </c>
      <c r="L5229" s="2"/>
      <c r="M5229" s="2"/>
      <c r="N5229" s="4" t="s">
        <v>2273</v>
      </c>
      <c r="O5229" s="4" t="str">
        <f>LEFT(Table2[[#This Row],[Description]],75)</f>
        <v>BANK INT 061621-071521 SCHWAB PREMIER BANK</v>
      </c>
      <c r="P5229" s="2" t="s">
        <v>2281</v>
      </c>
    </row>
    <row r="5230" spans="1:16" hidden="1">
      <c r="A5230" s="2">
        <v>202107</v>
      </c>
      <c r="B5230" s="3">
        <v>44393</v>
      </c>
      <c r="C5230" s="2" t="s">
        <v>2435</v>
      </c>
      <c r="D5230" s="2" t="s">
        <v>230</v>
      </c>
      <c r="E5230" s="2">
        <v>-0.03</v>
      </c>
      <c r="F5230" s="2" t="e">
        <f>IF(Table2[[#This Row],[Manual Cat Value]]="",VLOOKUP(Table2[[#This Row],[Description]],'Actuals Lookup'!D:F,3,0),Table2[[#This Row],[Manual Cat Value]])</f>
        <v>#N/A</v>
      </c>
      <c r="J5230" s="2">
        <v>0.03</v>
      </c>
      <c r="K5230" s="2" t="b">
        <v>0</v>
      </c>
      <c r="L5230" s="2"/>
      <c r="M5230" s="2"/>
      <c r="N5230" s="4" t="s">
        <v>2273</v>
      </c>
      <c r="O5230" s="4" t="str">
        <f>LEFT(Table2[[#This Row],[Description]],75)</f>
        <v>BANK INT 061621-071521 SCHWAB PREMIER BANK</v>
      </c>
      <c r="P5230" s="2" t="s">
        <v>2281</v>
      </c>
    </row>
    <row r="5231" spans="1:16" hidden="1">
      <c r="A5231" s="2">
        <v>202107</v>
      </c>
      <c r="B5231" s="3">
        <v>44393</v>
      </c>
      <c r="C5231" s="2" t="s">
        <v>2262</v>
      </c>
      <c r="D5231" s="2" t="s">
        <v>601</v>
      </c>
      <c r="E5231" s="2">
        <v>41.65</v>
      </c>
      <c r="F5231" s="2" t="e">
        <f>IF(Table2[[#This Row],[Manual Cat Value]]="",VLOOKUP(Table2[[#This Row],[Description]],'Actuals Lookup'!D:F,3,0),Table2[[#This Row],[Manual Cat Value]])</f>
        <v>#N/A</v>
      </c>
      <c r="J5231" s="2">
        <v>41.65</v>
      </c>
      <c r="K5231" s="2" t="b">
        <v>0</v>
      </c>
      <c r="L5231" s="2"/>
      <c r="M5231" s="2"/>
      <c r="N5231" s="4" t="s">
        <v>2259</v>
      </c>
      <c r="O5231" s="4" t="str">
        <f>LEFT(Table2[[#This Row],[Description]],75)</f>
        <v>Colorado Parks And Wildlife RAOCOPARKSWILDLIFE CO DENVER CO TX</v>
      </c>
      <c r="P5231" s="2" t="s">
        <v>2281</v>
      </c>
    </row>
    <row r="5232" spans="1:16" hidden="1">
      <c r="A5232" s="2">
        <v>202107</v>
      </c>
      <c r="B5232" s="3">
        <v>44393</v>
      </c>
      <c r="C5232" s="2" t="s">
        <v>2262</v>
      </c>
      <c r="D5232" s="2" t="s">
        <v>601</v>
      </c>
      <c r="E5232" s="2">
        <v>95.85</v>
      </c>
      <c r="F5232" s="2" t="e">
        <f>IF(Table2[[#This Row],[Manual Cat Value]]="",VLOOKUP(Table2[[#This Row],[Description]],'Actuals Lookup'!D:F,3,0),Table2[[#This Row],[Manual Cat Value]])</f>
        <v>#N/A</v>
      </c>
      <c r="J5232" s="2">
        <v>95.85</v>
      </c>
      <c r="K5232" s="2" t="b">
        <v>0</v>
      </c>
      <c r="L5232" s="2"/>
      <c r="M5232" s="2"/>
      <c r="N5232" s="4" t="s">
        <v>2259</v>
      </c>
      <c r="O5232" s="4" t="str">
        <f>LEFT(Table2[[#This Row],[Description]],75)</f>
        <v>Colorado Parks And Wildlife RAOCOPARKSWILDLIFE CO DENVER CO TX</v>
      </c>
      <c r="P5232" s="2" t="s">
        <v>2281</v>
      </c>
    </row>
    <row r="5233" spans="1:16" hidden="1">
      <c r="A5233" s="2">
        <v>202107</v>
      </c>
      <c r="B5233" s="3">
        <v>44393</v>
      </c>
      <c r="C5233" s="2" t="s">
        <v>2262</v>
      </c>
      <c r="D5233" s="2" t="s">
        <v>1074</v>
      </c>
      <c r="E5233" s="2">
        <v>196.99</v>
      </c>
      <c r="F5233" s="2" t="e">
        <f>IF(Table2[[#This Row],[Manual Cat Value]]="",VLOOKUP(Table2[[#This Row],[Description]],'Actuals Lookup'!D:F,3,0),Table2[[#This Row],[Manual Cat Value]])</f>
        <v>#N/A</v>
      </c>
      <c r="J5233" s="2">
        <v>196.99</v>
      </c>
      <c r="K5233" s="2" t="b">
        <v>0</v>
      </c>
      <c r="L5233" s="2"/>
      <c r="M5233" s="2"/>
      <c r="N5233" s="4" t="s">
        <v>2259</v>
      </c>
      <c r="O5233" s="4" t="str">
        <f>LEFT(Table2[[#This Row],[Description]],75)</f>
        <v>KIPS GRILL 7196580220 CO</v>
      </c>
      <c r="P5233" s="2" t="s">
        <v>2281</v>
      </c>
    </row>
    <row r="5234" spans="1:16" hidden="1">
      <c r="A5234" s="2">
        <v>202107</v>
      </c>
      <c r="B5234" s="3">
        <v>44393</v>
      </c>
      <c r="C5234" s="2" t="s">
        <v>2262</v>
      </c>
      <c r="D5234" s="2" t="s">
        <v>1264</v>
      </c>
      <c r="E5234" s="2">
        <v>10.41</v>
      </c>
      <c r="F5234" s="2" t="e">
        <f>IF(Table2[[#This Row],[Manual Cat Value]]="",VLOOKUP(Table2[[#This Row],[Description]],'Actuals Lookup'!D:F,3,0),Table2[[#This Row],[Manual Cat Value]])</f>
        <v>#N/A</v>
      </c>
      <c r="J5234" s="2">
        <v>10.41</v>
      </c>
      <c r="K5234" s="2" t="b">
        <v>0</v>
      </c>
      <c r="L5234" s="2"/>
      <c r="M5234" s="2"/>
      <c r="N5234" s="4" t="s">
        <v>2259</v>
      </c>
      <c r="O5234" s="4" t="str">
        <f>LEFT(Table2[[#This Row],[Description]],75)</f>
        <v>Minneapolissaint Paul Internatio MINNEAPOLIS AIRPORT SAINT PAUL MN</v>
      </c>
      <c r="P5234" s="2" t="s">
        <v>2281</v>
      </c>
    </row>
    <row r="5235" spans="1:16" hidden="1">
      <c r="A5235" s="2">
        <v>202107</v>
      </c>
      <c r="B5235" s="3">
        <v>44393</v>
      </c>
      <c r="C5235" s="2" t="s">
        <v>2265</v>
      </c>
      <c r="D5235" s="2" t="s">
        <v>1471</v>
      </c>
      <c r="E5235" s="2">
        <v>15.11</v>
      </c>
      <c r="F5235" s="2" t="str">
        <f>IF(Table2[[#This Row],[Manual Cat Value]]="",VLOOKUP(Table2[[#This Row],[Description]],'Actuals Lookup'!D:F,3,0),Table2[[#This Row],[Manual Cat Value]])</f>
        <v>Shopping</v>
      </c>
      <c r="J5235" s="2">
        <v>15.11</v>
      </c>
      <c r="K5235" s="2" t="b">
        <v>0</v>
      </c>
      <c r="L5235" s="2"/>
      <c r="M5235" s="2"/>
      <c r="N5235" s="4" t="s">
        <v>2259</v>
      </c>
      <c r="O5235" s="4" t="str">
        <f>LEFT(Table2[[#This Row],[Description]],75)</f>
        <v>PayPal</v>
      </c>
      <c r="P5235" s="2" t="s">
        <v>2322</v>
      </c>
    </row>
    <row r="5236" spans="1:16" hidden="1">
      <c r="A5236" s="2">
        <v>202107</v>
      </c>
      <c r="B5236" s="3">
        <v>44393</v>
      </c>
      <c r="C5236" s="2" t="s">
        <v>2262</v>
      </c>
      <c r="D5236" s="2" t="s">
        <v>1546</v>
      </c>
      <c r="E5236" s="2">
        <v>22.61</v>
      </c>
      <c r="F5236" s="2" t="e">
        <f>IF(Table2[[#This Row],[Manual Cat Value]]="",VLOOKUP(Table2[[#This Row],[Description]],'Actuals Lookup'!D:F,3,0),Table2[[#This Row],[Manual Cat Value]])</f>
        <v>#N/A</v>
      </c>
      <c r="J5236" s="2">
        <v>22.61</v>
      </c>
      <c r="K5236" s="2" t="b">
        <v>0</v>
      </c>
      <c r="L5236" s="2"/>
      <c r="M5236" s="2"/>
      <c r="N5236" s="4" t="s">
        <v>2259</v>
      </c>
      <c r="O5236" s="4" t="str">
        <f>LEFT(Table2[[#This Row],[Description]],75)</f>
        <v>RAMBLE HOUSE LLC CREEDE CO RAMBLE HOUSE LLC CREEDE CO</v>
      </c>
      <c r="P5236" s="2" t="s">
        <v>2281</v>
      </c>
    </row>
    <row r="5237" spans="1:16" hidden="1">
      <c r="A5237" s="2">
        <v>202107</v>
      </c>
      <c r="B5237" s="3">
        <v>44393</v>
      </c>
      <c r="C5237" s="2" t="s">
        <v>2262</v>
      </c>
      <c r="D5237" s="2" t="s">
        <v>1773</v>
      </c>
      <c r="E5237" s="2">
        <v>15</v>
      </c>
      <c r="F5237" s="2" t="str">
        <f>IF(Table2[[#This Row],[Manual Cat Value]]="",VLOOKUP(Table2[[#This Row],[Description]],'Actuals Lookup'!D:F,3,0),Table2[[#This Row],[Manual Cat Value]])</f>
        <v>Restaurants</v>
      </c>
      <c r="J5237" s="2">
        <v>15</v>
      </c>
      <c r="K5237" s="2" t="b">
        <v>0</v>
      </c>
      <c r="L5237" s="2"/>
      <c r="M5237" s="2"/>
      <c r="N5237" s="4" t="s">
        <v>2259</v>
      </c>
      <c r="O5237" s="4" t="str">
        <f>LEFT(Table2[[#This Row],[Description]],75)</f>
        <v>Starbucks</v>
      </c>
      <c r="P5237" s="2" t="s">
        <v>2454</v>
      </c>
    </row>
    <row r="5238" spans="1:16" hidden="1">
      <c r="A5238" s="2">
        <v>202107</v>
      </c>
      <c r="B5238" s="3">
        <v>44396</v>
      </c>
      <c r="C5238" s="2" t="s">
        <v>2265</v>
      </c>
      <c r="D5238" s="2" t="s">
        <v>1307</v>
      </c>
      <c r="E5238" s="2">
        <v>200</v>
      </c>
      <c r="F5238" s="2" t="e">
        <f>IF(Table2[[#This Row],[Manual Cat Value]]="",VLOOKUP(Table2[[#This Row],[Description]],'Actuals Lookup'!D:F,3,0),Table2[[#This Row],[Manual Cat Value]])</f>
        <v>#N/A</v>
      </c>
      <c r="J5238" s="2">
        <v>200</v>
      </c>
      <c r="K5238" s="2" t="b">
        <v>0</v>
      </c>
      <c r="L5238" s="2"/>
      <c r="M5238" s="2"/>
      <c r="N5238" s="4" t="s">
        <v>2259</v>
      </c>
      <c r="O5238" s="4" t="str">
        <f>LEFT(Table2[[#This Row],[Description]],75)</f>
        <v>MN DIR ACH TYPE CONTRIB ID CO MN MN DIR ACH TYPE CONTRIB ID CO MN DIR ACH A</v>
      </c>
      <c r="P5238" s="2" t="s">
        <v>2469</v>
      </c>
    </row>
    <row r="5239" spans="1:16" hidden="1">
      <c r="A5239" s="2">
        <v>202107</v>
      </c>
      <c r="B5239" s="3">
        <v>44397</v>
      </c>
      <c r="C5239" s="2" t="s">
        <v>2265</v>
      </c>
      <c r="D5239" s="2" t="s">
        <v>710</v>
      </c>
      <c r="E5239" s="2">
        <v>-40.58</v>
      </c>
      <c r="F5239" s="2" t="str">
        <f>IF(Table2[[#This Row],[Manual Cat Value]]="",VLOOKUP(Table2[[#This Row],[Description]],'Actuals Lookup'!D:F,3,0),Table2[[#This Row],[Manual Cat Value]])</f>
        <v>Delete</v>
      </c>
      <c r="J5239" s="2">
        <v>40.58</v>
      </c>
      <c r="K5239" s="2" t="b">
        <v>0</v>
      </c>
      <c r="L5239" s="2"/>
      <c r="M5239" s="2"/>
      <c r="N5239" s="4" t="s">
        <v>2273</v>
      </c>
      <c r="O5239" s="4" t="str">
        <f>LEFT(Table2[[#This Row],[Description]],75)</f>
        <v>Deposit by Check Deposit Anywhere check deposit</v>
      </c>
      <c r="P5239" s="2" t="s">
        <v>2281</v>
      </c>
    </row>
    <row r="5240" spans="1:16" hidden="1">
      <c r="A5240" s="2">
        <v>202107</v>
      </c>
      <c r="B5240" s="3">
        <v>44397</v>
      </c>
      <c r="C5240" s="2" t="s">
        <v>2262</v>
      </c>
      <c r="D5240" s="2" t="s">
        <v>1127</v>
      </c>
      <c r="E5240" s="2">
        <v>20.100000000000001</v>
      </c>
      <c r="F5240" s="2" t="e">
        <f>IF(Table2[[#This Row],[Manual Cat Value]]="",VLOOKUP(Table2[[#This Row],[Description]],'Actuals Lookup'!D:F,3,0),Table2[[#This Row],[Manual Cat Value]])</f>
        <v>#N/A</v>
      </c>
      <c r="J5240" s="2">
        <v>20.100000000000001</v>
      </c>
      <c r="K5240" s="2" t="b">
        <v>0</v>
      </c>
      <c r="L5240" s="2"/>
      <c r="M5240" s="2"/>
      <c r="N5240" s="4" t="s">
        <v>2259</v>
      </c>
      <c r="O5240" s="4" t="str">
        <f>LEFT(Table2[[#This Row],[Description]],75)</f>
        <v>LIQUID AMBITIONS LIQUOR CREEDE CO</v>
      </c>
      <c r="P5240" s="2" t="s">
        <v>2281</v>
      </c>
    </row>
    <row r="5241" spans="1:16" hidden="1">
      <c r="A5241" s="2">
        <v>202107</v>
      </c>
      <c r="B5241" s="3">
        <v>44397</v>
      </c>
      <c r="C5241" s="2" t="s">
        <v>2262</v>
      </c>
      <c r="D5241" s="2" t="s">
        <v>1144</v>
      </c>
      <c r="E5241" s="2">
        <v>32.840000000000003</v>
      </c>
      <c r="F5241" s="2" t="e">
        <f>IF(Table2[[#This Row],[Manual Cat Value]]="",VLOOKUP(Table2[[#This Row],[Description]],'Actuals Lookup'!D:F,3,0),Table2[[#This Row],[Manual Cat Value]])</f>
        <v>#N/A</v>
      </c>
      <c r="J5241" s="2">
        <v>32.840000000000003</v>
      </c>
      <c r="K5241" s="2" t="b">
        <v>0</v>
      </c>
      <c r="L5241" s="2"/>
      <c r="M5241" s="2"/>
      <c r="N5241" s="4" t="s">
        <v>2259</v>
      </c>
      <c r="O5241" s="4" t="str">
        <f>LEFT(Table2[[#This Row],[Description]],75)</f>
        <v>LS SAN JUAN SPORTS XX1801 CO LS SAN JUAN SPORTS 18669321801 CO</v>
      </c>
      <c r="P5241" s="2" t="s">
        <v>2281</v>
      </c>
    </row>
    <row r="5242" spans="1:16" hidden="1">
      <c r="A5242" s="2">
        <v>202107</v>
      </c>
      <c r="B5242" s="3">
        <v>44398</v>
      </c>
      <c r="C5242" s="2" t="s">
        <v>2265</v>
      </c>
      <c r="D5242" s="2" t="s">
        <v>1976</v>
      </c>
      <c r="E5242" s="2">
        <v>249</v>
      </c>
      <c r="F5242" s="2" t="e">
        <f>IF(Table2[[#This Row],[Manual Cat Value]]="",VLOOKUP(Table2[[#This Row],[Description]],'Actuals Lookup'!D:F,3,0),Table2[[#This Row],[Manual Cat Value]])</f>
        <v>#N/A</v>
      </c>
      <c r="J5242" s="2">
        <v>249</v>
      </c>
      <c r="K5242" s="2" t="b">
        <v>0</v>
      </c>
      <c r="L5242" s="2"/>
      <c r="M5242" s="2"/>
      <c r="N5242" s="4" t="s">
        <v>2259</v>
      </c>
      <c r="O5242" s="4" t="str">
        <f>LEFT(Table2[[#This Row],[Description]],75)</f>
        <v>Transfer to Venmo VENMO TYPE PAYMENT ID CO VENMO ACH ECC WEB ACH Trace 7944</v>
      </c>
      <c r="P5242" s="2" t="s">
        <v>2281</v>
      </c>
    </row>
    <row r="5243" spans="1:16" hidden="1">
      <c r="A5243" s="2">
        <v>202107</v>
      </c>
      <c r="B5243" s="3">
        <v>44398</v>
      </c>
      <c r="C5243" s="2" t="s">
        <v>2262</v>
      </c>
      <c r="D5243" s="2" t="s">
        <v>290</v>
      </c>
      <c r="E5243" s="2">
        <v>35.479999999999997</v>
      </c>
      <c r="F5243" s="2" t="e">
        <f>IF(Table2[[#This Row],[Manual Cat Value]]="",VLOOKUP(Table2[[#This Row],[Description]],'Actuals Lookup'!D:F,3,0),Table2[[#This Row],[Manual Cat Value]])</f>
        <v>#N/A</v>
      </c>
      <c r="J5243" s="2">
        <v>35.479999999999997</v>
      </c>
      <c r="K5243" s="2" t="b">
        <v>0</v>
      </c>
      <c r="L5243" s="2"/>
      <c r="M5243" s="2"/>
      <c r="N5243" s="4" t="s">
        <v>2259</v>
      </c>
      <c r="O5243" s="4" t="str">
        <f>LEFT(Table2[[#This Row],[Description]],75)</f>
        <v>Big Dogs</v>
      </c>
      <c r="P5243" s="2" t="s">
        <v>2281</v>
      </c>
    </row>
    <row r="5244" spans="1:16" hidden="1">
      <c r="A5244" s="2">
        <v>202107</v>
      </c>
      <c r="B5244" s="3">
        <v>44398</v>
      </c>
      <c r="C5244" s="2" t="s">
        <v>2262</v>
      </c>
      <c r="D5244" s="2" t="s">
        <v>310</v>
      </c>
      <c r="E5244" s="2">
        <v>9</v>
      </c>
      <c r="F5244" s="2" t="e">
        <f>IF(Table2[[#This Row],[Manual Cat Value]]="",VLOOKUP(Table2[[#This Row],[Description]],'Actuals Lookup'!D:F,3,0),Table2[[#This Row],[Manual Cat Value]])</f>
        <v>#N/A</v>
      </c>
      <c r="J5244" s="2">
        <v>9</v>
      </c>
      <c r="K5244" s="2" t="b">
        <v>0</v>
      </c>
      <c r="L5244" s="2"/>
      <c r="M5244" s="2"/>
      <c r="N5244" s="4" t="s">
        <v>2259</v>
      </c>
      <c r="O5244" s="4" t="str">
        <f>LEFT(Table2[[#This Row],[Description]],75)</f>
        <v>BONFES PLUMBING HEATING ASOUTH SAINT PMN</v>
      </c>
      <c r="P5244" s="2" t="s">
        <v>2537</v>
      </c>
    </row>
    <row r="5245" spans="1:16" hidden="1">
      <c r="A5245" s="2">
        <v>202107</v>
      </c>
      <c r="B5245" s="3">
        <v>44398</v>
      </c>
      <c r="C5245" s="2" t="s">
        <v>2265</v>
      </c>
      <c r="D5245" s="2" t="s">
        <v>557</v>
      </c>
      <c r="E5245" s="2">
        <v>127.22</v>
      </c>
      <c r="F5245" s="2" t="e">
        <f>IF(Table2[[#This Row],[Manual Cat Value]]="",VLOOKUP(Table2[[#This Row],[Description]],'Actuals Lookup'!D:F,3,0),Table2[[#This Row],[Manual Cat Value]])</f>
        <v>#N/A</v>
      </c>
      <c r="J5245" s="2">
        <v>127.22</v>
      </c>
      <c r="K5245" s="2" t="b">
        <v>0</v>
      </c>
      <c r="L5245" s="2"/>
      <c r="M5245" s="2"/>
      <c r="N5245" s="4" t="s">
        <v>2259</v>
      </c>
      <c r="O5245" s="4" t="str">
        <f>LEFT(Table2[[#This Row],[Description]],75)</f>
        <v>City of Chanhassen</v>
      </c>
      <c r="P5245" s="2" t="s">
        <v>2298</v>
      </c>
    </row>
    <row r="5246" spans="1:16" hidden="1">
      <c r="A5246" s="2">
        <v>202107</v>
      </c>
      <c r="B5246" s="3">
        <v>44398</v>
      </c>
      <c r="C5246" s="2" t="s">
        <v>2265</v>
      </c>
      <c r="D5246" s="2" t="s">
        <v>702</v>
      </c>
      <c r="E5246" s="2">
        <v>2</v>
      </c>
      <c r="F5246" s="2" t="e">
        <f>IF(Table2[[#This Row],[Manual Cat Value]]="",VLOOKUP(Table2[[#This Row],[Description]],'Actuals Lookup'!D:F,3,0),Table2[[#This Row],[Manual Cat Value]])</f>
        <v>#N/A</v>
      </c>
      <c r="J5246" s="2">
        <v>2</v>
      </c>
      <c r="K5246" s="2" t="b">
        <v>0</v>
      </c>
      <c r="L5246" s="2"/>
      <c r="M5246" s="2"/>
      <c r="N5246" s="4" t="s">
        <v>2259</v>
      </c>
      <c r="O5246" s="4" t="str">
        <f>LEFT(Table2[[#This Row],[Description]],75)</f>
        <v>Delta</v>
      </c>
      <c r="P5246" s="2" t="s">
        <v>2510</v>
      </c>
    </row>
    <row r="5247" spans="1:16" hidden="1">
      <c r="A5247" s="2">
        <v>202107</v>
      </c>
      <c r="B5247" s="3">
        <v>44398</v>
      </c>
      <c r="C5247" s="2" t="s">
        <v>2262</v>
      </c>
      <c r="D5247" s="2" t="s">
        <v>788</v>
      </c>
      <c r="E5247" s="2">
        <v>68.87</v>
      </c>
      <c r="F5247" s="2" t="e">
        <f>IF(Table2[[#This Row],[Manual Cat Value]]="",VLOOKUP(Table2[[#This Row],[Description]],'Actuals Lookup'!D:F,3,0),Table2[[#This Row],[Manual Cat Value]])</f>
        <v>#N/A</v>
      </c>
      <c r="J5247" s="2">
        <v>68.87</v>
      </c>
      <c r="K5247" s="2" t="b">
        <v>0</v>
      </c>
      <c r="L5247" s="2"/>
      <c r="M5247" s="2"/>
      <c r="N5247" s="4" t="s">
        <v>2259</v>
      </c>
      <c r="O5247" s="4" t="str">
        <f>LEFT(Table2[[#This Row],[Description]],75)</f>
        <v>DoorDash.com</v>
      </c>
      <c r="P5247" s="2" t="s">
        <v>2505</v>
      </c>
    </row>
    <row r="5248" spans="1:16" hidden="1">
      <c r="A5248" s="2">
        <v>202107</v>
      </c>
      <c r="B5248" s="3">
        <v>44398</v>
      </c>
      <c r="C5248" s="2" t="s">
        <v>2262</v>
      </c>
      <c r="D5248" s="2" t="s">
        <v>905</v>
      </c>
      <c r="E5248" s="2">
        <v>49.81</v>
      </c>
      <c r="F5248" s="2" t="e">
        <f>IF(Table2[[#This Row],[Manual Cat Value]]="",VLOOKUP(Table2[[#This Row],[Description]],'Actuals Lookup'!D:F,3,0),Table2[[#This Row],[Manual Cat Value]])</f>
        <v>#N/A</v>
      </c>
      <c r="J5248" s="2">
        <v>49.81</v>
      </c>
      <c r="K5248" s="2" t="b">
        <v>0</v>
      </c>
      <c r="L5248" s="2"/>
      <c r="M5248" s="2"/>
      <c r="N5248" s="4" t="s">
        <v>2259</v>
      </c>
      <c r="O5248" s="4" t="str">
        <f>LEFT(Table2[[#This Row],[Description]],75)</f>
        <v>GRANDE PREMIUM MEATS DEL NORTE C GRANDE PREMIUM MEATS DEL NORTE CO</v>
      </c>
      <c r="P5248" s="2" t="s">
        <v>2281</v>
      </c>
    </row>
    <row r="5249" spans="1:16" hidden="1">
      <c r="A5249" s="2">
        <v>202107</v>
      </c>
      <c r="B5249" s="3">
        <v>44398</v>
      </c>
      <c r="C5249" s="2" t="s">
        <v>2460</v>
      </c>
      <c r="D5249" s="2" t="s">
        <v>1633</v>
      </c>
      <c r="E5249" s="2">
        <v>200</v>
      </c>
      <c r="F5249" s="2" t="e">
        <f>IF(Table2[[#This Row],[Manual Cat Value]]="",VLOOKUP(Table2[[#This Row],[Description]],'Actuals Lookup'!D:F,3,0),Table2[[#This Row],[Manual Cat Value]])</f>
        <v>#N/A</v>
      </c>
      <c r="J5249" s="2">
        <v>200</v>
      </c>
      <c r="K5249" s="2" t="b">
        <v>0</v>
      </c>
      <c r="L5249" s="2"/>
      <c r="M5249" s="2"/>
      <c r="N5249" s="4" t="s">
        <v>2259</v>
      </c>
      <c r="O5249" s="4" t="str">
        <f>LEFT(Table2[[#This Row],[Description]],75)</f>
        <v>SCHWAB S&amp;P 500 INDEX FD</v>
      </c>
      <c r="P5249" s="2" t="s">
        <v>2276</v>
      </c>
    </row>
    <row r="5250" spans="1:16" hidden="1">
      <c r="A5250" s="2">
        <v>202107</v>
      </c>
      <c r="B5250" s="3">
        <v>44398</v>
      </c>
      <c r="C5250" s="2" t="s">
        <v>2317</v>
      </c>
      <c r="D5250" s="2" t="s">
        <v>1633</v>
      </c>
      <c r="E5250" s="2">
        <v>200</v>
      </c>
      <c r="F5250" s="2" t="e">
        <f>IF(Table2[[#This Row],[Manual Cat Value]]="",VLOOKUP(Table2[[#This Row],[Description]],'Actuals Lookup'!D:F,3,0),Table2[[#This Row],[Manual Cat Value]])</f>
        <v>#N/A</v>
      </c>
      <c r="J5250" s="2">
        <v>200</v>
      </c>
      <c r="K5250" s="2" t="b">
        <v>0</v>
      </c>
      <c r="L5250" s="2"/>
      <c r="M5250" s="2"/>
      <c r="N5250" s="4" t="s">
        <v>2259</v>
      </c>
      <c r="O5250" s="4" t="str">
        <f>LEFT(Table2[[#This Row],[Description]],75)</f>
        <v>SCHWAB S&amp;P 500 INDEX FD</v>
      </c>
      <c r="P5250" s="2" t="s">
        <v>2276</v>
      </c>
    </row>
    <row r="5251" spans="1:16" hidden="1">
      <c r="A5251" s="2">
        <v>202107</v>
      </c>
      <c r="B5251" s="3">
        <v>44398</v>
      </c>
      <c r="C5251" s="2" t="s">
        <v>2460</v>
      </c>
      <c r="D5251" s="2" t="s">
        <v>1635</v>
      </c>
      <c r="E5251" s="2">
        <v>200</v>
      </c>
      <c r="F5251" s="2" t="e">
        <f>IF(Table2[[#This Row],[Manual Cat Value]]="",VLOOKUP(Table2[[#This Row],[Description]],'Actuals Lookup'!D:F,3,0),Table2[[#This Row],[Manual Cat Value]])</f>
        <v>#N/A</v>
      </c>
      <c r="J5251" s="2">
        <v>200</v>
      </c>
      <c r="K5251" s="2" t="b">
        <v>0</v>
      </c>
      <c r="L5251" s="2"/>
      <c r="M5251" s="2"/>
      <c r="N5251" s="4" t="s">
        <v>2259</v>
      </c>
      <c r="O5251" s="4" t="str">
        <f>LEFT(Table2[[#This Row],[Description]],75)</f>
        <v>SCHWAB TOTAL STOCK MKT INDEX</v>
      </c>
      <c r="P5251" s="2" t="s">
        <v>2278</v>
      </c>
    </row>
    <row r="5252" spans="1:16" hidden="1">
      <c r="A5252" s="2">
        <v>202107</v>
      </c>
      <c r="B5252" s="3">
        <v>44398</v>
      </c>
      <c r="C5252" s="2" t="s">
        <v>2317</v>
      </c>
      <c r="D5252" s="2" t="s">
        <v>1635</v>
      </c>
      <c r="E5252" s="2">
        <v>200</v>
      </c>
      <c r="F5252" s="2" t="e">
        <f>IF(Table2[[#This Row],[Manual Cat Value]]="",VLOOKUP(Table2[[#This Row],[Description]],'Actuals Lookup'!D:F,3,0),Table2[[#This Row],[Manual Cat Value]])</f>
        <v>#N/A</v>
      </c>
      <c r="J5252" s="2">
        <v>200</v>
      </c>
      <c r="K5252" s="2" t="b">
        <v>0</v>
      </c>
      <c r="L5252" s="2"/>
      <c r="M5252" s="2"/>
      <c r="N5252" s="4" t="s">
        <v>2259</v>
      </c>
      <c r="O5252" s="4" t="str">
        <f>LEFT(Table2[[#This Row],[Description]],75)</f>
        <v>SCHWAB TOTAL STOCK MKT INDEX</v>
      </c>
      <c r="P5252" s="2" t="s">
        <v>2278</v>
      </c>
    </row>
    <row r="5253" spans="1:16" hidden="1">
      <c r="A5253" s="2">
        <v>202107</v>
      </c>
      <c r="B5253" s="3">
        <v>44398</v>
      </c>
      <c r="C5253" s="2" t="s">
        <v>2262</v>
      </c>
      <c r="D5253" s="2" t="s">
        <v>1747</v>
      </c>
      <c r="E5253" s="2">
        <v>17.43</v>
      </c>
      <c r="F5253" s="2" t="e">
        <f>IF(Table2[[#This Row],[Manual Cat Value]]="",VLOOKUP(Table2[[#This Row],[Description]],'Actuals Lookup'!D:F,3,0),Table2[[#This Row],[Manual Cat Value]])</f>
        <v>#N/A</v>
      </c>
      <c r="J5253" s="2">
        <v>17.43</v>
      </c>
      <c r="K5253" s="2" t="b">
        <v>0</v>
      </c>
      <c r="L5253" s="2"/>
      <c r="M5253" s="2"/>
      <c r="N5253" s="4" t="s">
        <v>2259</v>
      </c>
      <c r="O5253" s="4" t="str">
        <f>LEFT(Table2[[#This Row],[Description]],75)</f>
        <v>SQ PIZZERIA 8852 Creede CO SQ PIZZERIA 8852 Creede CO</v>
      </c>
      <c r="P5253" s="2" t="s">
        <v>2281</v>
      </c>
    </row>
    <row r="5254" spans="1:16" hidden="1">
      <c r="A5254" s="2">
        <v>202107</v>
      </c>
      <c r="B5254" s="3">
        <v>44398</v>
      </c>
      <c r="C5254" s="2" t="s">
        <v>2262</v>
      </c>
      <c r="D5254" s="2" t="s">
        <v>2087</v>
      </c>
      <c r="E5254" s="2">
        <v>35</v>
      </c>
      <c r="F5254" s="2" t="e">
        <f>IF(Table2[[#This Row],[Manual Cat Value]]="",VLOOKUP(Table2[[#This Row],[Description]],'Actuals Lookup'!D:F,3,0),Table2[[#This Row],[Manual Cat Value]])</f>
        <v>#N/A</v>
      </c>
      <c r="J5254" s="2">
        <v>35</v>
      </c>
      <c r="K5254" s="2" t="b">
        <v>0</v>
      </c>
      <c r="L5254" s="2"/>
      <c r="M5254" s="2"/>
      <c r="N5254" s="4" t="s">
        <v>2259</v>
      </c>
      <c r="O5254" s="4" t="str">
        <f>LEFT(Table2[[#This Row],[Description]],75)</f>
        <v>United Airlines</v>
      </c>
      <c r="P5254" s="2" t="s">
        <v>2281</v>
      </c>
    </row>
    <row r="5255" spans="1:16" hidden="1">
      <c r="A5255" s="2">
        <v>202107</v>
      </c>
      <c r="B5255" s="3">
        <v>44399</v>
      </c>
      <c r="C5255" s="2" t="s">
        <v>2262</v>
      </c>
      <c r="D5255" s="2" t="s">
        <v>38</v>
      </c>
      <c r="E5255" s="2">
        <v>26.82</v>
      </c>
      <c r="F5255" s="2" t="str">
        <f>IF(Table2[[#This Row],[Manual Cat Value]]="",VLOOKUP(Table2[[#This Row],[Description]],'Actuals Lookup'!D:F,3,0),Table2[[#This Row],[Manual Cat Value]])</f>
        <v>Amazon</v>
      </c>
      <c r="J5255" s="2">
        <v>26.82</v>
      </c>
      <c r="K5255" s="2" t="b">
        <v>0</v>
      </c>
      <c r="L5255" s="2"/>
      <c r="M5255" s="2"/>
      <c r="N5255" s="4" t="s">
        <v>2259</v>
      </c>
      <c r="O5255" s="4" t="str">
        <f>LEFT(Table2[[#This Row],[Description]],75)</f>
        <v>Amazon</v>
      </c>
      <c r="P5255" s="2" t="s">
        <v>2260</v>
      </c>
    </row>
    <row r="5256" spans="1:16" hidden="1">
      <c r="A5256" s="2">
        <v>202107</v>
      </c>
      <c r="B5256" s="3">
        <v>44399</v>
      </c>
      <c r="C5256" s="2" t="s">
        <v>2262</v>
      </c>
      <c r="D5256" s="2" t="s">
        <v>288</v>
      </c>
      <c r="E5256" s="2">
        <v>150.49</v>
      </c>
      <c r="F5256" s="2" t="str">
        <f>IF(Table2[[#This Row],[Manual Cat Value]]="",VLOOKUP(Table2[[#This Row],[Description]],'Actuals Lookup'!D:F,3,0),Table2[[#This Row],[Manual Cat Value]])</f>
        <v>Travel</v>
      </c>
      <c r="J5256" s="2">
        <v>150.49</v>
      </c>
      <c r="K5256" s="2" t="b">
        <v>0</v>
      </c>
      <c r="L5256" s="2"/>
      <c r="M5256" s="2"/>
      <c r="N5256" s="4" t="s">
        <v>2259</v>
      </c>
      <c r="O5256" s="4" t="str">
        <f>LEFT(Table2[[#This Row],[Description]],75)</f>
        <v>Best Western</v>
      </c>
      <c r="P5256" s="2" t="s">
        <v>2489</v>
      </c>
    </row>
    <row r="5257" spans="1:16" hidden="1">
      <c r="A5257" s="2">
        <v>202107</v>
      </c>
      <c r="B5257" s="3">
        <v>44399</v>
      </c>
      <c r="C5257" s="2" t="s">
        <v>2265</v>
      </c>
      <c r="D5257" s="2" t="s">
        <v>405</v>
      </c>
      <c r="E5257" s="2">
        <v>-2168.14</v>
      </c>
      <c r="F5257" s="2" t="e">
        <f>IF(Table2[[#This Row],[Manual Cat Value]]="",VLOOKUP(Table2[[#This Row],[Description]],'Actuals Lookup'!D:F,3,0),Table2[[#This Row],[Manual Cat Value]])</f>
        <v>#N/A</v>
      </c>
      <c r="J5257" s="2">
        <v>2168.14</v>
      </c>
      <c r="K5257" s="2" t="b">
        <v>0</v>
      </c>
      <c r="L5257" s="2"/>
      <c r="M5257" s="2"/>
      <c r="N5257" s="4" t="s">
        <v>2273</v>
      </c>
      <c r="O5257" s="4" t="str">
        <f>LEFT(Table2[[#This Row],[Description]],75)</f>
        <v>Cargill Inc Deposit CARGILL INCORPOR TYPE DIRECT DEP ID CO CARGILL INCORPOR</v>
      </c>
      <c r="P5257" s="2" t="s">
        <v>2545</v>
      </c>
    </row>
    <row r="5258" spans="1:16" hidden="1">
      <c r="A5258" s="2">
        <v>202107</v>
      </c>
      <c r="B5258" s="3">
        <v>44399</v>
      </c>
      <c r="C5258" s="2" t="s">
        <v>2265</v>
      </c>
      <c r="D5258" s="2" t="s">
        <v>1196</v>
      </c>
      <c r="E5258" s="2">
        <v>528.79999999999995</v>
      </c>
      <c r="F5258" s="2" t="e">
        <f>IF(Table2[[#This Row],[Manual Cat Value]]="",VLOOKUP(Table2[[#This Row],[Description]],'Actuals Lookup'!D:F,3,0),Table2[[#This Row],[Manual Cat Value]])</f>
        <v>#N/A</v>
      </c>
      <c r="J5258" s="2">
        <v>528.79999999999995</v>
      </c>
      <c r="K5258" s="2" t="b">
        <v>0</v>
      </c>
      <c r="L5258" s="2"/>
      <c r="M5258" s="2"/>
      <c r="N5258" s="4" t="s">
        <v>2259</v>
      </c>
      <c r="O5258" s="4" t="str">
        <f>LEFT(Table2[[#This Row],[Description]],75)</f>
        <v>MHCHILDCARELLC TYPE DUES ID CO M MHCHILDCARELLC TYPE DUES ID CO MHCHILDCARE</v>
      </c>
      <c r="P5258" s="2" t="s">
        <v>2497</v>
      </c>
    </row>
    <row r="5259" spans="1:16" hidden="1">
      <c r="A5259" s="2">
        <v>202107</v>
      </c>
      <c r="B5259" s="3">
        <v>44399</v>
      </c>
      <c r="C5259" s="2" t="s">
        <v>2262</v>
      </c>
      <c r="D5259" s="2" t="s">
        <v>2034</v>
      </c>
      <c r="E5259" s="2">
        <v>17.899999999999999</v>
      </c>
      <c r="F5259" s="2" t="e">
        <f>IF(Table2[[#This Row],[Manual Cat Value]]="",VLOOKUP(Table2[[#This Row],[Description]],'Actuals Lookup'!D:F,3,0),Table2[[#This Row],[Manual Cat Value]])</f>
        <v>#N/A</v>
      </c>
      <c r="J5259" s="2">
        <v>17.899999999999999</v>
      </c>
      <c r="K5259" s="2" t="b">
        <v>0</v>
      </c>
      <c r="L5259" s="2"/>
      <c r="M5259" s="2"/>
      <c r="N5259" s="4" t="s">
        <v>2259</v>
      </c>
      <c r="O5259" s="4" t="str">
        <f>LEFT(Table2[[#This Row],[Description]],75)</f>
        <v>TST RED COW 50TH ST 6127674411 MN</v>
      </c>
      <c r="P5259" s="2" t="s">
        <v>2362</v>
      </c>
    </row>
    <row r="5260" spans="1:16" hidden="1">
      <c r="A5260" s="2">
        <v>202107</v>
      </c>
      <c r="B5260" s="3">
        <v>44400</v>
      </c>
      <c r="C5260" s="2" t="s">
        <v>2460</v>
      </c>
      <c r="D5260" s="2" t="s">
        <v>424</v>
      </c>
      <c r="E5260" s="2">
        <v>-200</v>
      </c>
      <c r="F5260" s="2" t="e">
        <f>IF(Table2[[#This Row],[Manual Cat Value]]="",VLOOKUP(Table2[[#This Row],[Description]],'Actuals Lookup'!D:F,3,0),Table2[[#This Row],[Manual Cat Value]])</f>
        <v>#N/A</v>
      </c>
      <c r="J5260" s="2">
        <v>200</v>
      </c>
      <c r="K5260" s="2" t="b">
        <v>0</v>
      </c>
      <c r="L5260" s="2"/>
      <c r="M5260" s="2"/>
      <c r="N5260" s="4" t="s">
        <v>2273</v>
      </c>
      <c r="O5260" s="4" t="str">
        <f>LEFT(Table2[[#This Row],[Description]],75)</f>
        <v>CARGILL INCORPOR</v>
      </c>
      <c r="P5260" s="2" t="s">
        <v>2281</v>
      </c>
    </row>
    <row r="5261" spans="1:16" hidden="1">
      <c r="A5261" s="2">
        <v>202107</v>
      </c>
      <c r="B5261" s="3">
        <v>44400</v>
      </c>
      <c r="C5261" s="2" t="s">
        <v>2317</v>
      </c>
      <c r="D5261" s="2" t="s">
        <v>424</v>
      </c>
      <c r="E5261" s="2">
        <v>-200</v>
      </c>
      <c r="F5261" s="2" t="e">
        <f>IF(Table2[[#This Row],[Manual Cat Value]]="",VLOOKUP(Table2[[#This Row],[Description]],'Actuals Lookup'!D:F,3,0),Table2[[#This Row],[Manual Cat Value]])</f>
        <v>#N/A</v>
      </c>
      <c r="J5261" s="2">
        <v>200</v>
      </c>
      <c r="K5261" s="2" t="b">
        <v>0</v>
      </c>
      <c r="L5261" s="2"/>
      <c r="M5261" s="2"/>
      <c r="N5261" s="4" t="s">
        <v>2273</v>
      </c>
      <c r="O5261" s="4" t="str">
        <f>LEFT(Table2[[#This Row],[Description]],75)</f>
        <v>CARGILL INCORPOR</v>
      </c>
      <c r="P5261" s="2" t="s">
        <v>2385</v>
      </c>
    </row>
    <row r="5262" spans="1:16" hidden="1">
      <c r="A5262" s="2">
        <v>202107</v>
      </c>
      <c r="B5262" s="3">
        <v>44400</v>
      </c>
      <c r="C5262" s="2" t="s">
        <v>2300</v>
      </c>
      <c r="D5262" s="2" t="s">
        <v>1648</v>
      </c>
      <c r="E5262" s="2">
        <v>-200</v>
      </c>
      <c r="F5262" s="2" t="e">
        <f>IF(Table2[[#This Row],[Manual Cat Value]]="",VLOOKUP(Table2[[#This Row],[Description]],'Actuals Lookup'!D:F,3,0),Table2[[#This Row],[Manual Cat Value]])</f>
        <v>#N/A</v>
      </c>
      <c r="J5262" s="2">
        <v>200</v>
      </c>
      <c r="K5262" s="2" t="b">
        <v>0</v>
      </c>
      <c r="L5262" s="2"/>
      <c r="M5262" s="2"/>
      <c r="N5262" s="4" t="s">
        <v>2273</v>
      </c>
      <c r="O5262" s="4" t="str">
        <f>LEFT(Table2[[#This Row],[Description]],75)</f>
        <v>Share</v>
      </c>
      <c r="P5262" s="2" t="s">
        <v>2448</v>
      </c>
    </row>
    <row r="5263" spans="1:16" hidden="1">
      <c r="A5263" s="2">
        <v>202107</v>
      </c>
      <c r="B5263" s="3">
        <v>44400</v>
      </c>
      <c r="C5263" s="2" t="s">
        <v>2262</v>
      </c>
      <c r="D5263" s="2" t="s">
        <v>1689</v>
      </c>
      <c r="E5263" s="2">
        <v>119.9</v>
      </c>
      <c r="F5263" s="2" t="e">
        <f>IF(Table2[[#This Row],[Manual Cat Value]]="",VLOOKUP(Table2[[#This Row],[Description]],'Actuals Lookup'!D:F,3,0),Table2[[#This Row],[Manual Cat Value]])</f>
        <v>#N/A</v>
      </c>
      <c r="J5263" s="2">
        <v>119.9</v>
      </c>
      <c r="K5263" s="2" t="b">
        <v>0</v>
      </c>
      <c r="L5263" s="2"/>
      <c r="M5263" s="2"/>
      <c r="N5263" s="4" t="s">
        <v>2259</v>
      </c>
      <c r="O5263" s="4" t="str">
        <f>LEFT(Table2[[#This Row],[Description]],75)</f>
        <v>SP FREE FLY APPAREL HTTPSFREEFLYASC</v>
      </c>
      <c r="P5263" s="2" t="s">
        <v>2281</v>
      </c>
    </row>
    <row r="5264" spans="1:16" hidden="1">
      <c r="A5264" s="2">
        <v>202107</v>
      </c>
      <c r="B5264" s="3">
        <v>44400</v>
      </c>
      <c r="C5264" s="2" t="s">
        <v>2338</v>
      </c>
      <c r="D5264" s="2" t="s">
        <v>1820</v>
      </c>
      <c r="E5264" s="2">
        <v>-784.4</v>
      </c>
      <c r="F5264" s="2" t="e">
        <f>IF(Table2[[#This Row],[Manual Cat Value]]="",VLOOKUP(Table2[[#This Row],[Description]],'Actuals Lookup'!D:F,3,0),Table2[[#This Row],[Manual Cat Value]])</f>
        <v>#N/A</v>
      </c>
      <c r="J5264" s="2">
        <v>784.4</v>
      </c>
      <c r="K5264" s="2" t="b">
        <v>0</v>
      </c>
      <c r="L5264" s="2"/>
      <c r="M5264" s="2"/>
      <c r="N5264" s="4" t="s">
        <v>2273</v>
      </c>
      <c r="O5264" s="4" t="str">
        <f>LEFT(Table2[[#This Row],[Description]],75)</f>
        <v>Target Retire 2055 Tr P - Plan Contribution</v>
      </c>
      <c r="P5264" s="2" t="s">
        <v>2386</v>
      </c>
    </row>
    <row r="5265" spans="1:16" hidden="1">
      <c r="A5265" s="2">
        <v>202107</v>
      </c>
      <c r="B5265" s="3">
        <v>44400</v>
      </c>
      <c r="C5265" s="2" t="s">
        <v>2434</v>
      </c>
      <c r="D5265" s="2" t="s">
        <v>1835</v>
      </c>
      <c r="E5265" s="2">
        <v>-231</v>
      </c>
      <c r="F5265" s="2" t="e">
        <f>IF(Table2[[#This Row],[Manual Cat Value]]="",VLOOKUP(Table2[[#This Row],[Description]],'Actuals Lookup'!D:F,3,0),Table2[[#This Row],[Manual Cat Value]])</f>
        <v>#N/A</v>
      </c>
      <c r="J5265" s="2">
        <v>231</v>
      </c>
      <c r="K5265" s="2" t="b">
        <v>0</v>
      </c>
      <c r="L5265" s="2"/>
      <c r="M5265" s="2"/>
      <c r="N5265" s="4" t="s">
        <v>2273</v>
      </c>
      <c r="O5265" s="4" t="str">
        <f>LEFT(Table2[[#This Row],[Description]],75)</f>
        <v>Tfr JPMORGAN CHASE BAN, CARGILL INCORPOR</v>
      </c>
      <c r="P5265" s="2" t="s">
        <v>2281</v>
      </c>
    </row>
    <row r="5266" spans="1:16" hidden="1">
      <c r="A5266" s="2">
        <v>202107</v>
      </c>
      <c r="B5266" s="3">
        <v>44400</v>
      </c>
      <c r="C5266" s="2" t="s">
        <v>2265</v>
      </c>
      <c r="D5266" s="2" t="s">
        <v>1892</v>
      </c>
      <c r="E5266" s="2">
        <v>200</v>
      </c>
      <c r="F5266" s="2" t="e">
        <f>IF(Table2[[#This Row],[Manual Cat Value]]="",VLOOKUP(Table2[[#This Row],[Description]],'Actuals Lookup'!D:F,3,0),Table2[[#This Row],[Manual Cat Value]])</f>
        <v>#N/A</v>
      </c>
      <c r="J5266" s="2">
        <v>200</v>
      </c>
      <c r="K5266" s="2" t="b">
        <v>0</v>
      </c>
      <c r="L5266" s="2"/>
      <c r="M5266" s="2"/>
      <c r="N5266" s="4" t="s">
        <v>2259</v>
      </c>
      <c r="O5266" s="4" t="str">
        <f>LEFT(Table2[[#This Row],[Description]],75)</f>
        <v>To Share 12</v>
      </c>
      <c r="P5266" s="2" t="s">
        <v>2494</v>
      </c>
    </row>
    <row r="5267" spans="1:16" hidden="1">
      <c r="A5267" s="2">
        <v>202107</v>
      </c>
      <c r="B5267" s="3">
        <v>44402</v>
      </c>
      <c r="C5267" s="2" t="s">
        <v>2262</v>
      </c>
      <c r="D5267" s="2" t="s">
        <v>1744</v>
      </c>
      <c r="E5267" s="2">
        <v>6</v>
      </c>
      <c r="F5267" s="2" t="e">
        <f>IF(Table2[[#This Row],[Manual Cat Value]]="",VLOOKUP(Table2[[#This Row],[Description]],'Actuals Lookup'!D:F,3,0),Table2[[#This Row],[Manual Cat Value]])</f>
        <v>#N/A</v>
      </c>
      <c r="J5267" s="2">
        <v>6</v>
      </c>
      <c r="K5267" s="2" t="b">
        <v>0</v>
      </c>
      <c r="L5267" s="2"/>
      <c r="M5267" s="2"/>
      <c r="N5267" s="4" t="s">
        <v>2259</v>
      </c>
      <c r="O5267" s="4" t="str">
        <f>LEFT(Table2[[#This Row],[Description]],75)</f>
        <v>SQ MN STREETCAR MUSEUM Excelsior MN</v>
      </c>
      <c r="P5267" s="2" t="s">
        <v>2281</v>
      </c>
    </row>
    <row r="5268" spans="1:16" hidden="1">
      <c r="A5268" s="2">
        <v>202107</v>
      </c>
      <c r="B5268" s="3">
        <v>44402</v>
      </c>
      <c r="C5268" s="2" t="s">
        <v>2262</v>
      </c>
      <c r="D5268" s="2" t="s">
        <v>1749</v>
      </c>
      <c r="E5268" s="2">
        <v>9.61</v>
      </c>
      <c r="F5268" s="2" t="e">
        <f>IF(Table2[[#This Row],[Manual Cat Value]]="",VLOOKUP(Table2[[#This Row],[Description]],'Actuals Lookup'!D:F,3,0),Table2[[#This Row],[Manual Cat Value]])</f>
        <v>#N/A</v>
      </c>
      <c r="J5268" s="2">
        <v>9.61</v>
      </c>
      <c r="K5268" s="2" t="b">
        <v>0</v>
      </c>
      <c r="L5268" s="2"/>
      <c r="M5268" s="2"/>
      <c r="N5268" s="4" t="s">
        <v>2259</v>
      </c>
      <c r="O5268" s="4" t="str">
        <f>LEFT(Table2[[#This Row],[Description]],75)</f>
        <v>SQ RED BENCH BAKERY Excelsior MN</v>
      </c>
      <c r="P5268" s="2" t="s">
        <v>2281</v>
      </c>
    </row>
    <row r="5269" spans="1:16" hidden="1">
      <c r="A5269" s="2">
        <v>202107</v>
      </c>
      <c r="B5269" s="3">
        <v>44402</v>
      </c>
      <c r="C5269" s="2" t="s">
        <v>2262</v>
      </c>
      <c r="D5269" s="2" t="s">
        <v>1763</v>
      </c>
      <c r="E5269" s="2">
        <v>10.5</v>
      </c>
      <c r="F5269" s="2" t="e">
        <f>IF(Table2[[#This Row],[Manual Cat Value]]="",VLOOKUP(Table2[[#This Row],[Description]],'Actuals Lookup'!D:F,3,0),Table2[[#This Row],[Manual Cat Value]])</f>
        <v>#N/A</v>
      </c>
      <c r="J5269" s="2">
        <v>10.5</v>
      </c>
      <c r="K5269" s="2" t="b">
        <v>0</v>
      </c>
      <c r="L5269" s="2"/>
      <c r="M5269" s="2"/>
      <c r="N5269" s="4" t="s">
        <v>2259</v>
      </c>
      <c r="O5269" s="4" t="str">
        <f>LEFT(Table2[[#This Row],[Description]],75)</f>
        <v>SQ THE SOCIAL ICE CREAM Victoria MN</v>
      </c>
      <c r="P5269" s="2" t="s">
        <v>2281</v>
      </c>
    </row>
    <row r="5270" spans="1:16" hidden="1">
      <c r="A5270" s="2">
        <v>202107</v>
      </c>
      <c r="B5270" s="3">
        <v>44402</v>
      </c>
      <c r="C5270" s="2" t="s">
        <v>2262</v>
      </c>
      <c r="D5270" s="2" t="s">
        <v>1855</v>
      </c>
      <c r="E5270" s="2">
        <v>99.2</v>
      </c>
      <c r="F5270" s="2" t="e">
        <f>IF(Table2[[#This Row],[Manual Cat Value]]="",VLOOKUP(Table2[[#This Row],[Description]],'Actuals Lookup'!D:F,3,0),Table2[[#This Row],[Manual Cat Value]])</f>
        <v>#N/A</v>
      </c>
      <c r="J5270" s="2">
        <v>99.2</v>
      </c>
      <c r="K5270" s="2" t="b">
        <v>0</v>
      </c>
      <c r="L5270" s="2"/>
      <c r="M5270" s="2"/>
      <c r="N5270" s="4" t="s">
        <v>2259</v>
      </c>
      <c r="O5270" s="4" t="str">
        <f>LEFT(Table2[[#This Row],[Description]],75)</f>
        <v>THE NOBLE LION VICTORIA MN</v>
      </c>
      <c r="P5270" s="2" t="s">
        <v>2281</v>
      </c>
    </row>
    <row r="5271" spans="1:16" hidden="1">
      <c r="A5271" s="2">
        <v>202107</v>
      </c>
      <c r="B5271" s="3">
        <v>44402</v>
      </c>
      <c r="C5271" s="2" t="s">
        <v>2262</v>
      </c>
      <c r="D5271" s="2" t="s">
        <v>2101</v>
      </c>
      <c r="E5271" s="2">
        <v>5.85</v>
      </c>
      <c r="F5271" s="2" t="str">
        <f>IF(Table2[[#This Row],[Manual Cat Value]]="",VLOOKUP(Table2[[#This Row],[Description]],'Actuals Lookup'!D:F,3,0),Table2[[#This Row],[Manual Cat Value]])</f>
        <v>Misc</v>
      </c>
      <c r="J5271" s="2">
        <v>5.85</v>
      </c>
      <c r="K5271" s="2" t="b">
        <v>0</v>
      </c>
      <c r="L5271" s="2"/>
      <c r="M5271" s="2"/>
      <c r="N5271" s="4" t="s">
        <v>2259</v>
      </c>
      <c r="O5271" s="4" t="str">
        <f>LEFT(Table2[[#This Row],[Description]],75)</f>
        <v>USPS</v>
      </c>
      <c r="P5271" s="2" t="s">
        <v>2281</v>
      </c>
    </row>
    <row r="5272" spans="1:16" hidden="1">
      <c r="A5272" s="2">
        <v>202107</v>
      </c>
      <c r="B5272" s="3">
        <v>44403</v>
      </c>
      <c r="C5272" s="2" t="s">
        <v>2265</v>
      </c>
      <c r="D5272" s="2" t="s">
        <v>1973</v>
      </c>
      <c r="E5272" s="2">
        <v>81.099999999999994</v>
      </c>
      <c r="F5272" s="2" t="e">
        <f>IF(Table2[[#This Row],[Manual Cat Value]]="",VLOOKUP(Table2[[#This Row],[Description]],'Actuals Lookup'!D:F,3,0),Table2[[#This Row],[Manual Cat Value]])</f>
        <v>#N/A</v>
      </c>
      <c r="J5272" s="2">
        <v>81.099999999999994</v>
      </c>
      <c r="K5272" s="2" t="b">
        <v>0</v>
      </c>
      <c r="L5272" s="2"/>
      <c r="M5272" s="2"/>
      <c r="N5272" s="4" t="s">
        <v>2259</v>
      </c>
      <c r="O5272" s="4" t="str">
        <f>LEFT(Table2[[#This Row],[Description]],75)</f>
        <v>Transfer to Venmo VENMO TYPE PAYMENT ID CO VENMO ACH ECC WEB ACH Trace 6371</v>
      </c>
      <c r="P5272" s="2" t="s">
        <v>2281</v>
      </c>
    </row>
    <row r="5273" spans="1:16" hidden="1">
      <c r="A5273" s="2">
        <v>202107</v>
      </c>
      <c r="B5273" s="3">
        <v>44403</v>
      </c>
      <c r="C5273" s="2" t="s">
        <v>2265</v>
      </c>
      <c r="D5273" s="2" t="s">
        <v>604</v>
      </c>
      <c r="E5273" s="2">
        <v>-17.170000000000002</v>
      </c>
      <c r="F5273" s="2" t="e">
        <f>IF(Table2[[#This Row],[Manual Cat Value]]="",VLOOKUP(Table2[[#This Row],[Description]],'Actuals Lookup'!D:F,3,0),Table2[[#This Row],[Manual Cat Value]])</f>
        <v>#N/A</v>
      </c>
      <c r="J5273" s="2">
        <v>17.170000000000002</v>
      </c>
      <c r="K5273" s="2" t="b">
        <v>0</v>
      </c>
      <c r="L5273" s="2"/>
      <c r="M5273" s="2"/>
      <c r="N5273" s="4" t="s">
        <v>2273</v>
      </c>
      <c r="O5273" s="4" t="str">
        <f>LEFT(Table2[[#This Row],[Description]],75)</f>
        <v>Connect Your Care Deposit connectyourcare TYPE SVBCLAIMS ID E942875288 CO c</v>
      </c>
      <c r="P5273" s="2" t="s">
        <v>2281</v>
      </c>
    </row>
    <row r="5274" spans="1:16" hidden="1">
      <c r="A5274" s="2">
        <v>202107</v>
      </c>
      <c r="B5274" s="3">
        <v>44403</v>
      </c>
      <c r="C5274" s="2" t="s">
        <v>2265</v>
      </c>
      <c r="D5274" s="2" t="s">
        <v>873</v>
      </c>
      <c r="E5274" s="2">
        <v>8.34</v>
      </c>
      <c r="F5274" s="2" t="e">
        <f>IF(Table2[[#This Row],[Manual Cat Value]]="",VLOOKUP(Table2[[#This Row],[Description]],'Actuals Lookup'!D:F,3,0),Table2[[#This Row],[Manual Cat Value]])</f>
        <v>#N/A</v>
      </c>
      <c r="J5274" s="2">
        <v>8.34</v>
      </c>
      <c r="K5274" s="2" t="b">
        <v>0</v>
      </c>
      <c r="L5274" s="2"/>
      <c r="M5274" s="2"/>
      <c r="N5274" s="4" t="s">
        <v>2259</v>
      </c>
      <c r="O5274" s="4" t="str">
        <f>LEFT(Table2[[#This Row],[Description]],75)</f>
        <v>Fry's Food</v>
      </c>
      <c r="P5274" s="2" t="s">
        <v>2281</v>
      </c>
    </row>
    <row r="5275" spans="1:16" hidden="1">
      <c r="A5275" s="2">
        <v>202107</v>
      </c>
      <c r="B5275" s="3">
        <v>44403</v>
      </c>
      <c r="C5275" s="2" t="s">
        <v>2258</v>
      </c>
      <c r="D5275" s="2" t="s">
        <v>1350</v>
      </c>
      <c r="E5275" s="2">
        <v>8.99</v>
      </c>
      <c r="F5275" s="2" t="str">
        <f>IF(Table2[[#This Row],[Manual Cat Value]]="",VLOOKUP(Table2[[#This Row],[Description]],'Actuals Lookup'!D:F,3,0),Table2[[#This Row],[Manual Cat Value]])</f>
        <v>Utilities</v>
      </c>
      <c r="J5275" s="2">
        <v>8.99</v>
      </c>
      <c r="K5275" s="2" t="b">
        <v>0</v>
      </c>
      <c r="L5275" s="2"/>
      <c r="M5275" s="2"/>
      <c r="N5275" s="4" t="s">
        <v>2259</v>
      </c>
      <c r="O5275" s="4" t="str">
        <f>LEFT(Table2[[#This Row],[Description]],75)</f>
        <v>Netflix</v>
      </c>
      <c r="P5275" s="2" t="s">
        <v>2306</v>
      </c>
    </row>
    <row r="5276" spans="1:16" hidden="1">
      <c r="A5276" s="2">
        <v>202107</v>
      </c>
      <c r="B5276" s="3">
        <v>44403</v>
      </c>
      <c r="C5276" s="2" t="s">
        <v>2447</v>
      </c>
      <c r="D5276" s="2" t="s">
        <v>1350</v>
      </c>
      <c r="E5276" s="2">
        <v>8.99</v>
      </c>
      <c r="F5276" s="2" t="str">
        <f>IF(Table2[[#This Row],[Manual Cat Value]]="",VLOOKUP(Table2[[#This Row],[Description]],'Actuals Lookup'!D:F,3,0),Table2[[#This Row],[Manual Cat Value]])</f>
        <v>Utilities</v>
      </c>
      <c r="J5276" s="2">
        <v>8.99</v>
      </c>
      <c r="K5276" s="2" t="b">
        <v>0</v>
      </c>
      <c r="L5276" s="2"/>
      <c r="M5276" s="2"/>
      <c r="N5276" s="4" t="s">
        <v>2259</v>
      </c>
      <c r="O5276" s="4" t="str">
        <f>LEFT(Table2[[#This Row],[Description]],75)</f>
        <v>Netflix</v>
      </c>
      <c r="P5276" s="2" t="s">
        <v>2306</v>
      </c>
    </row>
    <row r="5277" spans="1:16" hidden="1">
      <c r="A5277" s="2">
        <v>202107</v>
      </c>
      <c r="B5277" s="3">
        <v>44403</v>
      </c>
      <c r="C5277" s="2" t="s">
        <v>2262</v>
      </c>
      <c r="D5277" s="2" t="s">
        <v>1408</v>
      </c>
      <c r="E5277" s="2">
        <v>-249</v>
      </c>
      <c r="F5277" s="2" t="str">
        <f>IF(Table2[[#This Row],[Manual Cat Value]]="",VLOOKUP(Table2[[#This Row],[Description]],'Actuals Lookup'!D:F,3,0),Table2[[#This Row],[Manual Cat Value]])</f>
        <v>Shopping</v>
      </c>
      <c r="J5277" s="2">
        <v>249</v>
      </c>
      <c r="K5277" s="2" t="b">
        <v>0</v>
      </c>
      <c r="L5277" s="2"/>
      <c r="M5277" s="2"/>
      <c r="N5277" s="4" t="s">
        <v>2273</v>
      </c>
      <c r="O5277" s="4" t="str">
        <f>LEFT(Table2[[#This Row],[Description]],75)</f>
        <v>Patagonia</v>
      </c>
      <c r="P5277" s="2" t="s">
        <v>2436</v>
      </c>
    </row>
    <row r="5278" spans="1:16" hidden="1">
      <c r="A5278" s="2">
        <v>202107</v>
      </c>
      <c r="B5278" s="3">
        <v>44403</v>
      </c>
      <c r="C5278" s="2" t="s">
        <v>2262</v>
      </c>
      <c r="D5278" s="2" t="s">
        <v>1408</v>
      </c>
      <c r="E5278" s="2">
        <v>-258</v>
      </c>
      <c r="F5278" s="2" t="str">
        <f>IF(Table2[[#This Row],[Manual Cat Value]]="",VLOOKUP(Table2[[#This Row],[Description]],'Actuals Lookup'!D:F,3,0),Table2[[#This Row],[Manual Cat Value]])</f>
        <v>Shopping</v>
      </c>
      <c r="J5278" s="2">
        <v>258</v>
      </c>
      <c r="K5278" s="2" t="b">
        <v>0</v>
      </c>
      <c r="L5278" s="2"/>
      <c r="M5278" s="2"/>
      <c r="N5278" s="4" t="s">
        <v>2273</v>
      </c>
      <c r="O5278" s="4" t="str">
        <f>LEFT(Table2[[#This Row],[Description]],75)</f>
        <v>Patagonia</v>
      </c>
      <c r="P5278" s="2" t="s">
        <v>2436</v>
      </c>
    </row>
    <row r="5279" spans="1:16" hidden="1">
      <c r="A5279" s="2">
        <v>202107</v>
      </c>
      <c r="B5279" s="3">
        <v>44403</v>
      </c>
      <c r="C5279" s="2" t="s">
        <v>2262</v>
      </c>
      <c r="D5279" s="2" t="s">
        <v>1707</v>
      </c>
      <c r="E5279" s="2">
        <v>12.9</v>
      </c>
      <c r="F5279" s="2" t="str">
        <f>IF(Table2[[#This Row],[Manual Cat Value]]="",VLOOKUP(Table2[[#This Row],[Description]],'Actuals Lookup'!D:F,3,0),Table2[[#This Row],[Manual Cat Value]])</f>
        <v>Transportation</v>
      </c>
      <c r="J5279" s="2">
        <v>12.9</v>
      </c>
      <c r="K5279" s="2" t="b">
        <v>0</v>
      </c>
      <c r="L5279" s="2"/>
      <c r="M5279" s="2"/>
      <c r="N5279" s="4" t="s">
        <v>2259</v>
      </c>
      <c r="O5279" s="4" t="str">
        <f>LEFT(Table2[[#This Row],[Description]],75)</f>
        <v>Speedway</v>
      </c>
      <c r="P5279" s="2" t="s">
        <v>2381</v>
      </c>
    </row>
    <row r="5280" spans="1:16" hidden="1">
      <c r="A5280" s="2">
        <v>202107</v>
      </c>
      <c r="B5280" s="3">
        <v>44403</v>
      </c>
      <c r="C5280" s="2" t="s">
        <v>2262</v>
      </c>
      <c r="D5280" s="2" t="s">
        <v>1707</v>
      </c>
      <c r="E5280" s="2">
        <v>32.299999999999997</v>
      </c>
      <c r="F5280" s="2" t="str">
        <f>IF(Table2[[#This Row],[Manual Cat Value]]="",VLOOKUP(Table2[[#This Row],[Description]],'Actuals Lookup'!D:F,3,0),Table2[[#This Row],[Manual Cat Value]])</f>
        <v>Transportation</v>
      </c>
      <c r="J5280" s="2">
        <v>32.299999999999997</v>
      </c>
      <c r="K5280" s="2" t="b">
        <v>0</v>
      </c>
      <c r="L5280" s="2"/>
      <c r="M5280" s="2"/>
      <c r="N5280" s="4" t="s">
        <v>2259</v>
      </c>
      <c r="O5280" s="4" t="str">
        <f>LEFT(Table2[[#This Row],[Description]],75)</f>
        <v>Speedway</v>
      </c>
      <c r="P5280" s="2" t="s">
        <v>2381</v>
      </c>
    </row>
    <row r="5281" spans="1:16" hidden="1">
      <c r="A5281" s="2">
        <v>202107</v>
      </c>
      <c r="B5281" s="3">
        <v>44403</v>
      </c>
      <c r="C5281" s="2" t="s">
        <v>2265</v>
      </c>
      <c r="D5281" s="2" t="s">
        <v>31</v>
      </c>
      <c r="E5281" s="2">
        <v>705.38</v>
      </c>
      <c r="F5281" s="2" t="str">
        <f>IF(Table2[[#This Row],[Manual Cat Value]]="",VLOOKUP(Table2[[#This Row],[Description]],'Actuals Lookup'!D:F,3,0),Table2[[#This Row],[Manual Cat Value]])</f>
        <v>Target</v>
      </c>
      <c r="J5281" s="2">
        <v>705.38</v>
      </c>
      <c r="K5281" s="2" t="b">
        <v>0</v>
      </c>
      <c r="L5281" s="2"/>
      <c r="M5281" s="2"/>
      <c r="N5281" s="4" t="s">
        <v>2259</v>
      </c>
      <c r="O5281" s="4" t="str">
        <f>LEFT(Table2[[#This Row],[Description]],75)</f>
        <v>Target</v>
      </c>
      <c r="P5281" s="2" t="s">
        <v>2309</v>
      </c>
    </row>
    <row r="5282" spans="1:16" hidden="1">
      <c r="A5282" s="2">
        <v>202107</v>
      </c>
      <c r="B5282" s="3">
        <v>44404</v>
      </c>
      <c r="C5282" s="2" t="s">
        <v>2262</v>
      </c>
      <c r="D5282" s="2" t="s">
        <v>674</v>
      </c>
      <c r="E5282" s="2">
        <v>-2793.57</v>
      </c>
      <c r="F5282" s="2" t="e">
        <f>IF(Table2[[#This Row],[Manual Cat Value]]="",VLOOKUP(Table2[[#This Row],[Description]],'Actuals Lookup'!D:F,3,0),Table2[[#This Row],[Manual Cat Value]])</f>
        <v>#N/A</v>
      </c>
      <c r="J5282" s="2">
        <v>2793.57</v>
      </c>
      <c r="K5282" s="2" t="b">
        <v>0</v>
      </c>
      <c r="L5282" s="2"/>
      <c r="M5282" s="2"/>
      <c r="N5282" s="4" t="s">
        <v>2273</v>
      </c>
      <c r="O5282" s="4" t="str">
        <f>LEFT(Table2[[#This Row],[Description]],75)</f>
        <v>Credit Card Payment Received PAYMENT THANK YOU</v>
      </c>
      <c r="P5282" s="2" t="s">
        <v>2281</v>
      </c>
    </row>
    <row r="5283" spans="1:16" hidden="1">
      <c r="A5283" s="2">
        <v>202107</v>
      </c>
      <c r="B5283" s="3">
        <v>44404</v>
      </c>
      <c r="C5283" s="2" t="s">
        <v>2265</v>
      </c>
      <c r="D5283" s="2" t="s">
        <v>2203</v>
      </c>
      <c r="E5283" s="2">
        <v>2793.57</v>
      </c>
      <c r="F5283" s="2" t="e">
        <f>IF(Table2[[#This Row],[Manual Cat Value]]="",VLOOKUP(Table2[[#This Row],[Description]],'Actuals Lookup'!D:F,3,0),Table2[[#This Row],[Manual Cat Value]])</f>
        <v>#N/A</v>
      </c>
      <c r="J5283" s="2">
        <v>2793.57</v>
      </c>
      <c r="K5283" s="2" t="b">
        <v>0</v>
      </c>
      <c r="L5283" s="2"/>
      <c r="M5283" s="2"/>
      <c r="N5283" s="4" t="s">
        <v>2259</v>
      </c>
      <c r="O5283" s="4" t="str">
        <f>LEFT(Table2[[#This Row],[Description]],75)</f>
        <v>Withdrawal Home payment to card XX91 Withdrawal Home payment to card 979181</v>
      </c>
      <c r="P5283" s="2" t="s">
        <v>2281</v>
      </c>
    </row>
    <row r="5284" spans="1:16" hidden="1">
      <c r="A5284" s="2">
        <v>202107</v>
      </c>
      <c r="B5284" s="3">
        <v>44404</v>
      </c>
      <c r="C5284" s="2" t="s">
        <v>2262</v>
      </c>
      <c r="D5284" s="2" t="s">
        <v>38</v>
      </c>
      <c r="E5284" s="2">
        <v>13.95</v>
      </c>
      <c r="F5284" s="2" t="str">
        <f>IF(Table2[[#This Row],[Manual Cat Value]]="",VLOOKUP(Table2[[#This Row],[Description]],'Actuals Lookup'!D:F,3,0),Table2[[#This Row],[Manual Cat Value]])</f>
        <v>Amazon</v>
      </c>
      <c r="J5284" s="2">
        <v>13.95</v>
      </c>
      <c r="K5284" s="2" t="b">
        <v>0</v>
      </c>
      <c r="L5284" s="2"/>
      <c r="M5284" s="2"/>
      <c r="N5284" s="4" t="s">
        <v>2259</v>
      </c>
      <c r="O5284" s="4" t="str">
        <f>LEFT(Table2[[#This Row],[Description]],75)</f>
        <v>Amazon</v>
      </c>
      <c r="P5284" s="2" t="s">
        <v>2260</v>
      </c>
    </row>
    <row r="5285" spans="1:16" hidden="1">
      <c r="A5285" s="2">
        <v>202107</v>
      </c>
      <c r="B5285" s="3">
        <v>44404</v>
      </c>
      <c r="C5285" s="2" t="s">
        <v>2262</v>
      </c>
      <c r="D5285" s="2" t="s">
        <v>38</v>
      </c>
      <c r="E5285" s="2">
        <v>20.39</v>
      </c>
      <c r="F5285" s="2" t="str">
        <f>IF(Table2[[#This Row],[Manual Cat Value]]="",VLOOKUP(Table2[[#This Row],[Description]],'Actuals Lookup'!D:F,3,0),Table2[[#This Row],[Manual Cat Value]])</f>
        <v>Amazon</v>
      </c>
      <c r="J5285" s="2">
        <v>20.39</v>
      </c>
      <c r="K5285" s="2" t="b">
        <v>0</v>
      </c>
      <c r="L5285" s="2"/>
      <c r="M5285" s="2"/>
      <c r="N5285" s="4" t="s">
        <v>2259</v>
      </c>
      <c r="O5285" s="4" t="str">
        <f>LEFT(Table2[[#This Row],[Description]],75)</f>
        <v>Amazon</v>
      </c>
      <c r="P5285" s="2" t="s">
        <v>2260</v>
      </c>
    </row>
    <row r="5286" spans="1:16" hidden="1">
      <c r="A5286" s="2">
        <v>202107</v>
      </c>
      <c r="B5286" s="3">
        <v>44404</v>
      </c>
      <c r="C5286" s="2" t="s">
        <v>2262</v>
      </c>
      <c r="D5286" s="2" t="s">
        <v>38</v>
      </c>
      <c r="E5286" s="2">
        <v>27.03</v>
      </c>
      <c r="F5286" s="2" t="str">
        <f>IF(Table2[[#This Row],[Manual Cat Value]]="",VLOOKUP(Table2[[#This Row],[Description]],'Actuals Lookup'!D:F,3,0),Table2[[#This Row],[Manual Cat Value]])</f>
        <v>Amazon</v>
      </c>
      <c r="J5286" s="2">
        <v>27.03</v>
      </c>
      <c r="K5286" s="2" t="b">
        <v>0</v>
      </c>
      <c r="L5286" s="2"/>
      <c r="M5286" s="2"/>
      <c r="N5286" s="4" t="s">
        <v>2259</v>
      </c>
      <c r="O5286" s="4" t="str">
        <f>LEFT(Table2[[#This Row],[Description]],75)</f>
        <v>Amazon</v>
      </c>
      <c r="P5286" s="2" t="s">
        <v>2260</v>
      </c>
    </row>
    <row r="5287" spans="1:16" hidden="1">
      <c r="A5287" s="2">
        <v>202107</v>
      </c>
      <c r="B5287" s="3">
        <v>44404</v>
      </c>
      <c r="C5287" s="2" t="s">
        <v>2338</v>
      </c>
      <c r="D5287" s="2" t="s">
        <v>403</v>
      </c>
      <c r="E5287" s="2">
        <v>-1464.23</v>
      </c>
      <c r="F5287" s="2" t="e">
        <f>IF(Table2[[#This Row],[Manual Cat Value]]="",VLOOKUP(Table2[[#This Row],[Description]],'Actuals Lookup'!D:F,3,0),Table2[[#This Row],[Manual Cat Value]])</f>
        <v>#N/A</v>
      </c>
      <c r="J5287" s="2">
        <v>1464.23</v>
      </c>
      <c r="K5287" s="2" t="b">
        <v>0</v>
      </c>
      <c r="L5287" s="2"/>
      <c r="M5287" s="2"/>
      <c r="N5287" s="4" t="s">
        <v>2273</v>
      </c>
      <c r="O5287" s="4" t="str">
        <f>LEFT(Table2[[#This Row],[Description]],75)</f>
        <v>Cargill ESOP Stock Fund - Plan Contribution</v>
      </c>
      <c r="P5287" s="2" t="s">
        <v>2281</v>
      </c>
    </row>
    <row r="5288" spans="1:16" hidden="1">
      <c r="A5288" s="2">
        <v>202107</v>
      </c>
      <c r="B5288" s="3">
        <v>44404</v>
      </c>
      <c r="C5288" s="2" t="s">
        <v>2262</v>
      </c>
      <c r="D5288" s="2" t="s">
        <v>1184</v>
      </c>
      <c r="E5288" s="2">
        <v>104.14</v>
      </c>
      <c r="F5288" s="2" t="e">
        <f>IF(Table2[[#This Row],[Manual Cat Value]]="",VLOOKUP(Table2[[#This Row],[Description]],'Actuals Lookup'!D:F,3,0),Table2[[#This Row],[Manual Cat Value]])</f>
        <v>#N/A</v>
      </c>
      <c r="J5288" s="2">
        <v>104.14</v>
      </c>
      <c r="K5288" s="2" t="b">
        <v>0</v>
      </c>
      <c r="L5288" s="2"/>
      <c r="M5288" s="2"/>
      <c r="N5288" s="4" t="s">
        <v>2259</v>
      </c>
      <c r="O5288" s="4" t="str">
        <f>LEFT(Table2[[#This Row],[Description]],75)</f>
        <v>Maynard's</v>
      </c>
      <c r="P5288" s="2" t="s">
        <v>2504</v>
      </c>
    </row>
    <row r="5289" spans="1:16" hidden="1">
      <c r="A5289" s="2">
        <v>202107</v>
      </c>
      <c r="B5289" s="3">
        <v>44404</v>
      </c>
      <c r="C5289" s="2" t="s">
        <v>2265</v>
      </c>
      <c r="D5289" s="2" t="s">
        <v>1196</v>
      </c>
      <c r="E5289" s="2">
        <v>528.79999999999995</v>
      </c>
      <c r="F5289" s="2" t="e">
        <f>IF(Table2[[#This Row],[Manual Cat Value]]="",VLOOKUP(Table2[[#This Row],[Description]],'Actuals Lookup'!D:F,3,0),Table2[[#This Row],[Manual Cat Value]])</f>
        <v>#N/A</v>
      </c>
      <c r="J5289" s="2">
        <v>528.79999999999995</v>
      </c>
      <c r="K5289" s="2" t="b">
        <v>0</v>
      </c>
      <c r="L5289" s="2"/>
      <c r="M5289" s="2"/>
      <c r="N5289" s="4" t="s">
        <v>2259</v>
      </c>
      <c r="O5289" s="4" t="str">
        <f>LEFT(Table2[[#This Row],[Description]],75)</f>
        <v>MHCHILDCARELLC TYPE DUES ID CO M MHCHILDCARELLC TYPE DUES ID CO MHCHILDCARE</v>
      </c>
      <c r="P5289" s="2" t="s">
        <v>2497</v>
      </c>
    </row>
    <row r="5290" spans="1:16" hidden="1">
      <c r="A5290" s="2">
        <v>202107</v>
      </c>
      <c r="B5290" s="3">
        <v>44404</v>
      </c>
      <c r="C5290" s="2" t="s">
        <v>2262</v>
      </c>
      <c r="D5290" s="2" t="s">
        <v>1259</v>
      </c>
      <c r="E5290" s="2">
        <v>13.76</v>
      </c>
      <c r="F5290" s="2" t="e">
        <f>IF(Table2[[#This Row],[Manual Cat Value]]="",VLOOKUP(Table2[[#This Row],[Description]],'Actuals Lookup'!D:F,3,0),Table2[[#This Row],[Manual Cat Value]])</f>
        <v>#N/A</v>
      </c>
      <c r="J5290" s="2">
        <v>13.76</v>
      </c>
      <c r="K5290" s="2" t="b">
        <v>0</v>
      </c>
      <c r="L5290" s="2"/>
      <c r="M5290" s="2"/>
      <c r="N5290" s="4" t="s">
        <v>2259</v>
      </c>
      <c r="O5290" s="4" t="str">
        <f>LEFT(Table2[[#This Row],[Description]],75)</f>
        <v>MINNEAPOLIS AIRPORT SAINT PAUL MN</v>
      </c>
      <c r="P5290" s="2" t="s">
        <v>2281</v>
      </c>
    </row>
    <row r="5291" spans="1:16" hidden="1">
      <c r="A5291" s="2">
        <v>202107</v>
      </c>
      <c r="B5291" s="3">
        <v>44404</v>
      </c>
      <c r="C5291" s="2" t="s">
        <v>2262</v>
      </c>
      <c r="D5291" s="2" t="s">
        <v>1517</v>
      </c>
      <c r="E5291" s="2">
        <v>21.46</v>
      </c>
      <c r="F5291" s="2" t="e">
        <f>IF(Table2[[#This Row],[Manual Cat Value]]="",VLOOKUP(Table2[[#This Row],[Description]],'Actuals Lookup'!D:F,3,0),Table2[[#This Row],[Manual Cat Value]])</f>
        <v>#N/A</v>
      </c>
      <c r="J5291" s="2">
        <v>21.46</v>
      </c>
      <c r="K5291" s="2" t="b">
        <v>0</v>
      </c>
      <c r="L5291" s="2"/>
      <c r="M5291" s="2"/>
      <c r="N5291" s="4" t="s">
        <v>2259</v>
      </c>
      <c r="O5291" s="4" t="str">
        <f>LEFT(Table2[[#This Row],[Description]],75)</f>
        <v>Prime Video2E9KS5740 8888023080 WA</v>
      </c>
      <c r="P5291" s="2" t="s">
        <v>2342</v>
      </c>
    </row>
    <row r="5292" spans="1:16" hidden="1">
      <c r="A5292" s="2">
        <v>202107</v>
      </c>
      <c r="B5292" s="3">
        <v>44404</v>
      </c>
      <c r="C5292" s="2" t="s">
        <v>2262</v>
      </c>
      <c r="D5292" s="2" t="s">
        <v>1773</v>
      </c>
      <c r="E5292" s="2">
        <v>25</v>
      </c>
      <c r="F5292" s="2" t="str">
        <f>IF(Table2[[#This Row],[Manual Cat Value]]="",VLOOKUP(Table2[[#This Row],[Description]],'Actuals Lookup'!D:F,3,0),Table2[[#This Row],[Manual Cat Value]])</f>
        <v>Restaurants</v>
      </c>
      <c r="J5292" s="2">
        <v>25</v>
      </c>
      <c r="K5292" s="2" t="b">
        <v>0</v>
      </c>
      <c r="L5292" s="2"/>
      <c r="M5292" s="2"/>
      <c r="N5292" s="4" t="s">
        <v>2259</v>
      </c>
      <c r="O5292" s="4" t="str">
        <f>LEFT(Table2[[#This Row],[Description]],75)</f>
        <v>Starbucks</v>
      </c>
      <c r="P5292" s="2" t="s">
        <v>2454</v>
      </c>
    </row>
    <row r="5293" spans="1:16" hidden="1">
      <c r="A5293" s="2">
        <v>202107</v>
      </c>
      <c r="B5293" s="3">
        <v>44404</v>
      </c>
      <c r="C5293" s="2" t="s">
        <v>2262</v>
      </c>
      <c r="D5293" s="2" t="s">
        <v>1852</v>
      </c>
      <c r="E5293" s="2">
        <v>20.38</v>
      </c>
      <c r="F5293" s="2" t="e">
        <f>IF(Table2[[#This Row],[Manual Cat Value]]="",VLOOKUP(Table2[[#This Row],[Description]],'Actuals Lookup'!D:F,3,0),Table2[[#This Row],[Manual Cat Value]])</f>
        <v>#N/A</v>
      </c>
      <c r="J5293" s="2">
        <v>20.38</v>
      </c>
      <c r="K5293" s="2" t="b">
        <v>0</v>
      </c>
      <c r="L5293" s="2"/>
      <c r="M5293" s="2"/>
      <c r="N5293" s="4" t="s">
        <v>2259</v>
      </c>
      <c r="O5293" s="4" t="str">
        <f>LEFT(Table2[[#This Row],[Description]],75)</f>
        <v>The Kettle Black Kitchen Phoenix AZ</v>
      </c>
      <c r="P5293" s="2" t="s">
        <v>2281</v>
      </c>
    </row>
    <row r="5294" spans="1:16" hidden="1">
      <c r="A5294" s="2">
        <v>202107</v>
      </c>
      <c r="B5294" s="3">
        <v>44405</v>
      </c>
      <c r="C5294" s="2" t="s">
        <v>2265</v>
      </c>
      <c r="D5294" s="2" t="s">
        <v>90</v>
      </c>
      <c r="E5294" s="2">
        <v>203</v>
      </c>
      <c r="F5294" s="2" t="e">
        <f>IF(Table2[[#This Row],[Manual Cat Value]]="",VLOOKUP(Table2[[#This Row],[Description]],'Actuals Lookup'!D:F,3,0),Table2[[#This Row],[Manual Cat Value]])</f>
        <v>#N/A</v>
      </c>
      <c r="J5294" s="2">
        <v>203</v>
      </c>
      <c r="K5294" s="2" t="b">
        <v>0</v>
      </c>
      <c r="L5294" s="2"/>
      <c r="M5294" s="2"/>
      <c r="N5294" s="4" t="s">
        <v>2259</v>
      </c>
      <c r="O5294" s="4" t="str">
        <f>LEFT(Table2[[#This Row],[Description]],75)</f>
        <v>84 VICS BLUE DOK 7900 QUAMOCLIT ST VICTORIA MN</v>
      </c>
      <c r="P5294" s="2" t="s">
        <v>2281</v>
      </c>
    </row>
    <row r="5295" spans="1:16" hidden="1">
      <c r="A5295" s="2">
        <v>202107</v>
      </c>
      <c r="B5295" s="3">
        <v>44405</v>
      </c>
      <c r="C5295" s="2" t="s">
        <v>2265</v>
      </c>
      <c r="D5295" s="2" t="s">
        <v>91</v>
      </c>
      <c r="E5295" s="2">
        <v>203</v>
      </c>
      <c r="F5295" s="2" t="e">
        <f>IF(Table2[[#This Row],[Manual Cat Value]]="",VLOOKUP(Table2[[#This Row],[Description]],'Actuals Lookup'!D:F,3,0),Table2[[#This Row],[Manual Cat Value]])</f>
        <v>#N/A</v>
      </c>
      <c r="J5295" s="2">
        <v>203</v>
      </c>
      <c r="K5295" s="2" t="b">
        <v>0</v>
      </c>
      <c r="L5295" s="2"/>
      <c r="M5295" s="2"/>
      <c r="N5295" s="4" t="s">
        <v>2259</v>
      </c>
      <c r="O5295" s="4" t="str">
        <f>LEFT(Table2[[#This Row],[Description]],75)</f>
        <v>85 VICS BLUE DOK 7900 QUAMOCLIT ST VICTORIA MN</v>
      </c>
      <c r="P5295" s="2" t="s">
        <v>2281</v>
      </c>
    </row>
    <row r="5296" spans="1:16" hidden="1">
      <c r="A5296" s="2">
        <v>202107</v>
      </c>
      <c r="B5296" s="3">
        <v>44405</v>
      </c>
      <c r="C5296" s="2" t="s">
        <v>2265</v>
      </c>
      <c r="D5296" s="2" t="s">
        <v>92</v>
      </c>
      <c r="E5296" s="2">
        <v>203</v>
      </c>
      <c r="F5296" s="2" t="e">
        <f>IF(Table2[[#This Row],[Manual Cat Value]]="",VLOOKUP(Table2[[#This Row],[Description]],'Actuals Lookup'!D:F,3,0),Table2[[#This Row],[Manual Cat Value]])</f>
        <v>#N/A</v>
      </c>
      <c r="J5296" s="2">
        <v>203</v>
      </c>
      <c r="K5296" s="2" t="b">
        <v>0</v>
      </c>
      <c r="L5296" s="2"/>
      <c r="M5296" s="2"/>
      <c r="N5296" s="4" t="s">
        <v>2259</v>
      </c>
      <c r="O5296" s="4" t="str">
        <f>LEFT(Table2[[#This Row],[Description]],75)</f>
        <v>86 VICS BLUE DOK 7900 QUAMOCLIT ST VICTORIA MN</v>
      </c>
      <c r="P5296" s="2" t="s">
        <v>2281</v>
      </c>
    </row>
    <row r="5297" spans="1:16" hidden="1">
      <c r="A5297" s="2">
        <v>202107</v>
      </c>
      <c r="B5297" s="3">
        <v>44405</v>
      </c>
      <c r="C5297" s="2" t="s">
        <v>2262</v>
      </c>
      <c r="D5297" s="2" t="s">
        <v>38</v>
      </c>
      <c r="E5297" s="2">
        <v>37.86</v>
      </c>
      <c r="F5297" s="2" t="str">
        <f>IF(Table2[[#This Row],[Manual Cat Value]]="",VLOOKUP(Table2[[#This Row],[Description]],'Actuals Lookup'!D:F,3,0),Table2[[#This Row],[Manual Cat Value]])</f>
        <v>Amazon</v>
      </c>
      <c r="J5297" s="2">
        <v>37.86</v>
      </c>
      <c r="K5297" s="2" t="b">
        <v>0</v>
      </c>
      <c r="L5297" s="2"/>
      <c r="M5297" s="2"/>
      <c r="N5297" s="4" t="s">
        <v>2259</v>
      </c>
      <c r="O5297" s="4" t="str">
        <f>LEFT(Table2[[#This Row],[Description]],75)</f>
        <v>Amazon</v>
      </c>
      <c r="P5297" s="2" t="s">
        <v>2260</v>
      </c>
    </row>
    <row r="5298" spans="1:16" hidden="1">
      <c r="A5298" s="2">
        <v>202107</v>
      </c>
      <c r="B5298" s="3">
        <v>44405</v>
      </c>
      <c r="C5298" s="2" t="s">
        <v>2265</v>
      </c>
      <c r="D5298" s="2" t="s">
        <v>607</v>
      </c>
      <c r="E5298" s="2">
        <v>-3102.96</v>
      </c>
      <c r="F5298" s="2" t="e">
        <f>IF(Table2[[#This Row],[Manual Cat Value]]="",VLOOKUP(Table2[[#This Row],[Description]],'Actuals Lookup'!D:F,3,0),Table2[[#This Row],[Manual Cat Value]])</f>
        <v>#N/A</v>
      </c>
      <c r="J5298" s="2">
        <v>3102.96</v>
      </c>
      <c r="K5298" s="2" t="b">
        <v>0</v>
      </c>
      <c r="L5298" s="2"/>
      <c r="M5298" s="2"/>
      <c r="N5298" s="4" t="s">
        <v>2273</v>
      </c>
      <c r="O5298" s="4" t="str">
        <f>LEFT(Table2[[#This Row],[Description]],75)</f>
        <v>CONNECTED ANALYT TYPE DIRECT DEP ID CO CONNECTED ANALYT ACH ECC PPD ACH Tra</v>
      </c>
      <c r="P5298" s="2" t="s">
        <v>2493</v>
      </c>
    </row>
    <row r="5299" spans="1:16" hidden="1">
      <c r="A5299" s="2">
        <v>202107</v>
      </c>
      <c r="B5299" s="3">
        <v>44405</v>
      </c>
      <c r="C5299" s="2" t="s">
        <v>2262</v>
      </c>
      <c r="D5299" s="2" t="s">
        <v>1610</v>
      </c>
      <c r="E5299" s="2">
        <v>333</v>
      </c>
      <c r="F5299" s="2" t="e">
        <f>IF(Table2[[#This Row],[Manual Cat Value]]="",VLOOKUP(Table2[[#This Row],[Description]],'Actuals Lookup'!D:F,3,0),Table2[[#This Row],[Manual Cat Value]])</f>
        <v>#N/A</v>
      </c>
      <c r="J5299" s="2">
        <v>333</v>
      </c>
      <c r="K5299" s="2" t="b">
        <v>0</v>
      </c>
      <c r="L5299" s="2"/>
      <c r="M5299" s="2"/>
      <c r="N5299" s="4" t="s">
        <v>2259</v>
      </c>
      <c r="O5299" s="4" t="str">
        <f>LEFT(Table2[[#This Row],[Description]],75)</f>
        <v>RUTTGERS BAY LAKE RESO XX2885 MN RUTTGERS BAY LAKE RESO 2186782885 MN</v>
      </c>
      <c r="P5299" s="2" t="s">
        <v>2281</v>
      </c>
    </row>
    <row r="5300" spans="1:16" hidden="1">
      <c r="A5300" s="2">
        <v>202107</v>
      </c>
      <c r="B5300" s="3">
        <v>44406</v>
      </c>
      <c r="C5300" s="2" t="s">
        <v>2265</v>
      </c>
      <c r="D5300" s="2" t="s">
        <v>425</v>
      </c>
      <c r="E5300" s="2">
        <v>-190</v>
      </c>
      <c r="F5300" s="2" t="e">
        <f>IF(Table2[[#This Row],[Manual Cat Value]]="",VLOOKUP(Table2[[#This Row],[Description]],'Actuals Lookup'!D:F,3,0),Table2[[#This Row],[Manual Cat Value]])</f>
        <v>#N/A</v>
      </c>
      <c r="J5300" s="2">
        <v>190</v>
      </c>
      <c r="K5300" s="2" t="b">
        <v>0</v>
      </c>
      <c r="L5300" s="2"/>
      <c r="M5300" s="2"/>
      <c r="N5300" s="4" t="s">
        <v>2273</v>
      </c>
      <c r="O5300" s="4" t="str">
        <f>LEFT(Table2[[#This Row],[Description]],75)</f>
        <v>Cargill Incorpor Type</v>
      </c>
      <c r="P5300" s="2" t="s">
        <v>2282</v>
      </c>
    </row>
    <row r="5301" spans="1:16" hidden="1">
      <c r="A5301" s="2">
        <v>202107</v>
      </c>
      <c r="B5301" s="3">
        <v>44406</v>
      </c>
      <c r="C5301" s="2" t="s">
        <v>2265</v>
      </c>
      <c r="D5301" s="2" t="s">
        <v>433</v>
      </c>
      <c r="E5301" s="2">
        <v>-22630</v>
      </c>
      <c r="F5301" s="2" t="e">
        <f>IF(Table2[[#This Row],[Manual Cat Value]]="",VLOOKUP(Table2[[#This Row],[Description]],'Actuals Lookup'!D:F,3,0),Table2[[#This Row],[Manual Cat Value]])</f>
        <v>#N/A</v>
      </c>
      <c r="J5301" s="2">
        <v>22630</v>
      </c>
      <c r="K5301" s="2" t="b">
        <v>0</v>
      </c>
      <c r="L5301" s="2"/>
      <c r="M5301" s="2"/>
      <c r="N5301" s="4" t="s">
        <v>2273</v>
      </c>
      <c r="O5301" s="4" t="str">
        <f>LEFT(Table2[[#This Row],[Description]],75)</f>
        <v>CARGILL INCORPOR TYPE DIRECT DEP ID CO CARGILL INCORPOR ACH ECC PPD ACH Tra</v>
      </c>
      <c r="P5301" s="2" t="s">
        <v>2281</v>
      </c>
    </row>
    <row r="5302" spans="1:16" hidden="1">
      <c r="A5302" s="2">
        <v>202107</v>
      </c>
      <c r="B5302" s="3">
        <v>44406</v>
      </c>
      <c r="C5302" s="2" t="s">
        <v>2262</v>
      </c>
      <c r="D5302" s="2" t="s">
        <v>916</v>
      </c>
      <c r="E5302" s="2">
        <v>4</v>
      </c>
      <c r="F5302" s="2" t="str">
        <f>IF(Table2[[#This Row],[Manual Cat Value]]="",VLOOKUP(Table2[[#This Row],[Description]],'Actuals Lookup'!D:F,3,0),Table2[[#This Row],[Manual Cat Value]])</f>
        <v>Delete</v>
      </c>
      <c r="J5302" s="2">
        <v>4</v>
      </c>
      <c r="K5302" s="2" t="b">
        <v>0</v>
      </c>
      <c r="L5302" s="2"/>
      <c r="M5302" s="2"/>
      <c r="N5302" s="4" t="s">
        <v>2259</v>
      </c>
      <c r="O5302" s="4" t="str">
        <f>LEFT(Table2[[#This Row],[Description]],75)</f>
        <v>Hampton Inn</v>
      </c>
      <c r="P5302" s="2" t="s">
        <v>2281</v>
      </c>
    </row>
    <row r="5303" spans="1:16" hidden="1">
      <c r="A5303" s="2">
        <v>202107</v>
      </c>
      <c r="B5303" s="3">
        <v>44406</v>
      </c>
      <c r="C5303" s="2" t="s">
        <v>2262</v>
      </c>
      <c r="D5303" s="2" t="s">
        <v>1002</v>
      </c>
      <c r="E5303" s="2">
        <v>15.74</v>
      </c>
      <c r="F5303" s="2" t="e">
        <f>IF(Table2[[#This Row],[Manual Cat Value]]="",VLOOKUP(Table2[[#This Row],[Description]],'Actuals Lookup'!D:F,3,0),Table2[[#This Row],[Manual Cat Value]])</f>
        <v>#N/A</v>
      </c>
      <c r="J5303" s="2">
        <v>15.74</v>
      </c>
      <c r="K5303" s="2" t="b">
        <v>0</v>
      </c>
      <c r="L5303" s="2"/>
      <c r="M5303" s="2"/>
      <c r="N5303" s="4" t="s">
        <v>2259</v>
      </c>
      <c r="O5303" s="4" t="str">
        <f>LEFT(Table2[[#This Row],[Description]],75)</f>
        <v>IRONWOODBYHUDSONST1965 PHOENIX AZ</v>
      </c>
      <c r="P5303" s="2" t="s">
        <v>2281</v>
      </c>
    </row>
    <row r="5304" spans="1:16" hidden="1">
      <c r="A5304" s="2">
        <v>202107</v>
      </c>
      <c r="B5304" s="3">
        <v>44406</v>
      </c>
      <c r="C5304" s="2" t="s">
        <v>2265</v>
      </c>
      <c r="D5304" s="2" t="s">
        <v>1471</v>
      </c>
      <c r="E5304" s="2">
        <v>0.99</v>
      </c>
      <c r="F5304" s="2" t="str">
        <f>IF(Table2[[#This Row],[Manual Cat Value]]="",VLOOKUP(Table2[[#This Row],[Description]],'Actuals Lookup'!D:F,3,0),Table2[[#This Row],[Manual Cat Value]])</f>
        <v>Shopping</v>
      </c>
      <c r="J5304" s="2">
        <v>0.99</v>
      </c>
      <c r="K5304" s="2" t="b">
        <v>0</v>
      </c>
      <c r="L5304" s="2"/>
      <c r="M5304" s="2"/>
      <c r="N5304" s="4" t="s">
        <v>2259</v>
      </c>
      <c r="O5304" s="4" t="str">
        <f>LEFT(Table2[[#This Row],[Description]],75)</f>
        <v>PayPal</v>
      </c>
      <c r="P5304" s="2" t="s">
        <v>2322</v>
      </c>
    </row>
    <row r="5305" spans="1:16" hidden="1">
      <c r="A5305" s="2">
        <v>202107</v>
      </c>
      <c r="B5305" s="3">
        <v>44407</v>
      </c>
      <c r="C5305" s="2" t="s">
        <v>2460</v>
      </c>
      <c r="D5305" s="2" t="s">
        <v>424</v>
      </c>
      <c r="E5305" s="2">
        <v>-200</v>
      </c>
      <c r="F5305" s="2" t="e">
        <f>IF(Table2[[#This Row],[Manual Cat Value]]="",VLOOKUP(Table2[[#This Row],[Description]],'Actuals Lookup'!D:F,3,0),Table2[[#This Row],[Manual Cat Value]])</f>
        <v>#N/A</v>
      </c>
      <c r="J5305" s="2">
        <v>200</v>
      </c>
      <c r="K5305" s="2" t="b">
        <v>0</v>
      </c>
      <c r="L5305" s="2"/>
      <c r="M5305" s="2"/>
      <c r="N5305" s="4" t="s">
        <v>2273</v>
      </c>
      <c r="O5305" s="4" t="str">
        <f>LEFT(Table2[[#This Row],[Description]],75)</f>
        <v>CARGILL INCORPOR</v>
      </c>
      <c r="P5305" s="2" t="s">
        <v>2281</v>
      </c>
    </row>
    <row r="5306" spans="1:16" hidden="1">
      <c r="A5306" s="2">
        <v>202107</v>
      </c>
      <c r="B5306" s="3">
        <v>44407</v>
      </c>
      <c r="C5306" s="2" t="s">
        <v>2317</v>
      </c>
      <c r="D5306" s="2" t="s">
        <v>424</v>
      </c>
      <c r="E5306" s="2">
        <v>-200</v>
      </c>
      <c r="F5306" s="2" t="e">
        <f>IF(Table2[[#This Row],[Manual Cat Value]]="",VLOOKUP(Table2[[#This Row],[Description]],'Actuals Lookup'!D:F,3,0),Table2[[#This Row],[Manual Cat Value]])</f>
        <v>#N/A</v>
      </c>
      <c r="J5306" s="2">
        <v>200</v>
      </c>
      <c r="K5306" s="2" t="b">
        <v>0</v>
      </c>
      <c r="L5306" s="2"/>
      <c r="M5306" s="2"/>
      <c r="N5306" s="4" t="s">
        <v>2273</v>
      </c>
      <c r="O5306" s="4" t="str">
        <f>LEFT(Table2[[#This Row],[Description]],75)</f>
        <v>CARGILL INCORPOR</v>
      </c>
      <c r="P5306" s="2" t="s">
        <v>2385</v>
      </c>
    </row>
    <row r="5307" spans="1:16" hidden="1">
      <c r="A5307" s="2">
        <v>202107</v>
      </c>
      <c r="B5307" s="3">
        <v>44407</v>
      </c>
      <c r="C5307" s="2" t="s">
        <v>2460</v>
      </c>
      <c r="D5307" s="2" t="s">
        <v>605</v>
      </c>
      <c r="E5307" s="2">
        <v>-250</v>
      </c>
      <c r="F5307" s="2" t="e">
        <f>IF(Table2[[#This Row],[Manual Cat Value]]="",VLOOKUP(Table2[[#This Row],[Description]],'Actuals Lookup'!D:F,3,0),Table2[[#This Row],[Manual Cat Value]])</f>
        <v>#N/A</v>
      </c>
      <c r="J5307" s="2">
        <v>250</v>
      </c>
      <c r="K5307" s="2" t="b">
        <v>0</v>
      </c>
      <c r="L5307" s="2"/>
      <c r="M5307" s="2"/>
      <c r="N5307" s="4" t="s">
        <v>2273</v>
      </c>
      <c r="O5307" s="4" t="str">
        <f>LEFT(Table2[[#This Row],[Description]],75)</f>
        <v>CONNECTED ANALYT</v>
      </c>
      <c r="P5307" s="2" t="s">
        <v>2493</v>
      </c>
    </row>
    <row r="5308" spans="1:16" hidden="1">
      <c r="A5308" s="2">
        <v>202107</v>
      </c>
      <c r="B5308" s="3">
        <v>44407</v>
      </c>
      <c r="C5308" s="2" t="s">
        <v>2317</v>
      </c>
      <c r="D5308" s="2" t="s">
        <v>605</v>
      </c>
      <c r="E5308" s="2">
        <v>-250</v>
      </c>
      <c r="F5308" s="2" t="e">
        <f>IF(Table2[[#This Row],[Manual Cat Value]]="",VLOOKUP(Table2[[#This Row],[Description]],'Actuals Lookup'!D:F,3,0),Table2[[#This Row],[Manual Cat Value]])</f>
        <v>#N/A</v>
      </c>
      <c r="J5308" s="2">
        <v>250</v>
      </c>
      <c r="K5308" s="2" t="b">
        <v>0</v>
      </c>
      <c r="L5308" s="2"/>
      <c r="M5308" s="2"/>
      <c r="N5308" s="4" t="s">
        <v>2273</v>
      </c>
      <c r="O5308" s="4" t="str">
        <f>LEFT(Table2[[#This Row],[Description]],75)</f>
        <v>CONNECTED ANALYT</v>
      </c>
      <c r="P5308" s="2" t="s">
        <v>2493</v>
      </c>
    </row>
    <row r="5309" spans="1:16" hidden="1">
      <c r="A5309" s="2">
        <v>202107</v>
      </c>
      <c r="B5309" s="3">
        <v>44407</v>
      </c>
      <c r="C5309" s="2" t="s">
        <v>2274</v>
      </c>
      <c r="D5309" s="2" t="s">
        <v>994</v>
      </c>
      <c r="E5309" s="2">
        <v>-0.03</v>
      </c>
      <c r="F5309" s="2" t="e">
        <f>IF(Table2[[#This Row],[Manual Cat Value]]="",VLOOKUP(Table2[[#This Row],[Description]],'Actuals Lookup'!D:F,3,0),Table2[[#This Row],[Manual Cat Value]])</f>
        <v>#N/A</v>
      </c>
      <c r="J5309" s="2">
        <v>0.03</v>
      </c>
      <c r="K5309" s="2" t="b">
        <v>0</v>
      </c>
      <c r="L5309" s="2"/>
      <c r="M5309" s="2"/>
      <c r="N5309" s="4" t="s">
        <v>2273</v>
      </c>
      <c r="O5309" s="4" t="str">
        <f>LEFT(Table2[[#This Row],[Description]],75)</f>
        <v>Interest Paid</v>
      </c>
      <c r="P5309" s="2" t="s">
        <v>2281</v>
      </c>
    </row>
    <row r="5310" spans="1:16" hidden="1">
      <c r="A5310" s="2">
        <v>202107</v>
      </c>
      <c r="B5310" s="3">
        <v>44407</v>
      </c>
      <c r="C5310" s="2" t="s">
        <v>2460</v>
      </c>
      <c r="D5310" s="2" t="s">
        <v>1786</v>
      </c>
      <c r="E5310" s="2">
        <v>-25.52</v>
      </c>
      <c r="F5310" s="2" t="e">
        <f>IF(Table2[[#This Row],[Manual Cat Value]]="",VLOOKUP(Table2[[#This Row],[Description]],'Actuals Lookup'!D:F,3,0),Table2[[#This Row],[Manual Cat Value]])</f>
        <v>#N/A</v>
      </c>
      <c r="J5310" s="2">
        <v>25.52</v>
      </c>
      <c r="K5310" s="2" t="b">
        <v>0</v>
      </c>
      <c r="L5310" s="2"/>
      <c r="M5310" s="2"/>
      <c r="N5310" s="4" t="s">
        <v>2273</v>
      </c>
      <c r="O5310" s="4" t="str">
        <f>LEFT(Table2[[#This Row],[Description]],75)</f>
        <v>STRYKER CORP</v>
      </c>
      <c r="P5310" s="2" t="s">
        <v>2281</v>
      </c>
    </row>
    <row r="5311" spans="1:16" hidden="1">
      <c r="A5311" s="2">
        <v>202107</v>
      </c>
      <c r="B5311" s="3">
        <v>44407</v>
      </c>
      <c r="C5311" s="2" t="s">
        <v>2317</v>
      </c>
      <c r="D5311" s="2" t="s">
        <v>1786</v>
      </c>
      <c r="E5311" s="2">
        <v>-25.52</v>
      </c>
      <c r="F5311" s="2" t="e">
        <f>IF(Table2[[#This Row],[Manual Cat Value]]="",VLOOKUP(Table2[[#This Row],[Description]],'Actuals Lookup'!D:F,3,0),Table2[[#This Row],[Manual Cat Value]])</f>
        <v>#N/A</v>
      </c>
      <c r="J5311" s="2">
        <v>25.52</v>
      </c>
      <c r="K5311" s="2" t="b">
        <v>0</v>
      </c>
      <c r="L5311" s="2"/>
      <c r="M5311" s="2"/>
      <c r="N5311" s="4" t="s">
        <v>2273</v>
      </c>
      <c r="O5311" s="4" t="str">
        <f>LEFT(Table2[[#This Row],[Description]],75)</f>
        <v>STRYKER CORP</v>
      </c>
      <c r="P5311" s="2" t="s">
        <v>2385</v>
      </c>
    </row>
    <row r="5312" spans="1:16" hidden="1">
      <c r="A5312" s="2">
        <v>202107</v>
      </c>
      <c r="B5312" s="3">
        <v>44407</v>
      </c>
      <c r="C5312" s="2" t="s">
        <v>2359</v>
      </c>
      <c r="D5312" s="2" t="s">
        <v>1819</v>
      </c>
      <c r="E5312" s="2">
        <v>0.18</v>
      </c>
      <c r="F5312" s="2" t="e">
        <f>IF(Table2[[#This Row],[Manual Cat Value]]="",VLOOKUP(Table2[[#This Row],[Description]],'Actuals Lookup'!D:F,3,0),Table2[[#This Row],[Manual Cat Value]])</f>
        <v>#N/A</v>
      </c>
      <c r="J5312" s="2">
        <v>0.18</v>
      </c>
      <c r="K5312" s="2" t="b">
        <v>0</v>
      </c>
      <c r="L5312" s="2"/>
      <c r="M5312" s="2"/>
      <c r="N5312" s="4" t="s">
        <v>2259</v>
      </c>
      <c r="O5312" s="4" t="str">
        <f>LEFT(Table2[[#This Row],[Description]],75)</f>
        <v>Target Retire 2055 Tr P - Fee</v>
      </c>
      <c r="P5312" s="2" t="s">
        <v>2281</v>
      </c>
    </row>
    <row r="5313" spans="1:16" hidden="1">
      <c r="A5313" s="2">
        <v>202107</v>
      </c>
      <c r="B5313" s="3">
        <v>44407</v>
      </c>
      <c r="C5313" s="2" t="s">
        <v>2338</v>
      </c>
      <c r="D5313" s="2" t="s">
        <v>1819</v>
      </c>
      <c r="E5313" s="2">
        <v>4.3099999999999996</v>
      </c>
      <c r="F5313" s="2" t="e">
        <f>IF(Table2[[#This Row],[Manual Cat Value]]="",VLOOKUP(Table2[[#This Row],[Description]],'Actuals Lookup'!D:F,3,0),Table2[[#This Row],[Manual Cat Value]])</f>
        <v>#N/A</v>
      </c>
      <c r="J5313" s="2">
        <v>4.3099999999999996</v>
      </c>
      <c r="K5313" s="2" t="b">
        <v>0</v>
      </c>
      <c r="L5313" s="2"/>
      <c r="M5313" s="2"/>
      <c r="N5313" s="4" t="s">
        <v>2259</v>
      </c>
      <c r="O5313" s="4" t="str">
        <f>LEFT(Table2[[#This Row],[Description]],75)</f>
        <v>Target Retire 2055 Tr P - Fee</v>
      </c>
      <c r="P5313" s="2" t="s">
        <v>2281</v>
      </c>
    </row>
    <row r="5314" spans="1:16" hidden="1">
      <c r="A5314" s="2">
        <v>202107</v>
      </c>
      <c r="B5314" s="3">
        <v>44407</v>
      </c>
      <c r="C5314" s="2" t="s">
        <v>2338</v>
      </c>
      <c r="D5314" s="2" t="s">
        <v>1820</v>
      </c>
      <c r="E5314" s="2">
        <v>-6485.4</v>
      </c>
      <c r="F5314" s="2" t="e">
        <f>IF(Table2[[#This Row],[Manual Cat Value]]="",VLOOKUP(Table2[[#This Row],[Description]],'Actuals Lookup'!D:F,3,0),Table2[[#This Row],[Manual Cat Value]])</f>
        <v>#N/A</v>
      </c>
      <c r="J5314" s="2">
        <v>6485.4</v>
      </c>
      <c r="K5314" s="2" t="b">
        <v>0</v>
      </c>
      <c r="L5314" s="2"/>
      <c r="M5314" s="2"/>
      <c r="N5314" s="4" t="s">
        <v>2273</v>
      </c>
      <c r="O5314" s="4" t="str">
        <f>LEFT(Table2[[#This Row],[Description]],75)</f>
        <v>Target Retire 2055 Tr P - Plan Contribution</v>
      </c>
      <c r="P5314" s="2" t="s">
        <v>2386</v>
      </c>
    </row>
    <row r="5315" spans="1:16" hidden="1">
      <c r="A5315" s="2">
        <v>202107</v>
      </c>
      <c r="B5315" s="3">
        <v>44407</v>
      </c>
      <c r="C5315" s="2" t="s">
        <v>2434</v>
      </c>
      <c r="D5315" s="2" t="s">
        <v>1835</v>
      </c>
      <c r="E5315" s="2">
        <v>-231</v>
      </c>
      <c r="F5315" s="2" t="e">
        <f>IF(Table2[[#This Row],[Manual Cat Value]]="",VLOOKUP(Table2[[#This Row],[Description]],'Actuals Lookup'!D:F,3,0),Table2[[#This Row],[Manual Cat Value]])</f>
        <v>#N/A</v>
      </c>
      <c r="J5315" s="2">
        <v>231</v>
      </c>
      <c r="K5315" s="2" t="b">
        <v>0</v>
      </c>
      <c r="L5315" s="2"/>
      <c r="M5315" s="2"/>
      <c r="N5315" s="4" t="s">
        <v>2273</v>
      </c>
      <c r="O5315" s="4" t="str">
        <f>LEFT(Table2[[#This Row],[Description]],75)</f>
        <v>Tfr JPMORGAN CHASE BAN, CARGILL INCORPOR</v>
      </c>
      <c r="P5315" s="2" t="s">
        <v>2281</v>
      </c>
    </row>
    <row r="5316" spans="1:16" hidden="1">
      <c r="A5316" s="2">
        <v>202107</v>
      </c>
      <c r="B5316" s="3">
        <v>44407</v>
      </c>
      <c r="C5316" s="2" t="s">
        <v>2435</v>
      </c>
      <c r="D5316" s="2" t="s">
        <v>1836</v>
      </c>
      <c r="E5316" s="2">
        <v>-250</v>
      </c>
      <c r="F5316" s="2" t="e">
        <f>IF(Table2[[#This Row],[Manual Cat Value]]="",VLOOKUP(Table2[[#This Row],[Description]],'Actuals Lookup'!D:F,3,0),Table2[[#This Row],[Manual Cat Value]])</f>
        <v>#N/A</v>
      </c>
      <c r="J5316" s="2">
        <v>250</v>
      </c>
      <c r="K5316" s="2" t="b">
        <v>0</v>
      </c>
      <c r="L5316" s="2"/>
      <c r="M5316" s="2"/>
      <c r="N5316" s="4" t="s">
        <v>2273</v>
      </c>
      <c r="O5316" s="4" t="str">
        <f>LEFT(Table2[[#This Row],[Description]],75)</f>
        <v>Tfr JPMORGAN CHASE BAN, CONNECTED ANALYT</v>
      </c>
      <c r="P5316" s="2" t="s">
        <v>2493</v>
      </c>
    </row>
    <row r="5317" spans="1:16" hidden="1">
      <c r="A5317" s="2">
        <v>202107</v>
      </c>
      <c r="B5317" s="3">
        <v>44408</v>
      </c>
      <c r="C5317" s="2" t="s">
        <v>2265</v>
      </c>
      <c r="D5317" s="2" t="s">
        <v>177</v>
      </c>
      <c r="E5317" s="2">
        <v>-9</v>
      </c>
      <c r="F5317" s="2" t="e">
        <f>IF(Table2[[#This Row],[Manual Cat Value]]="",VLOOKUP(Table2[[#This Row],[Description]],'Actuals Lookup'!D:F,3,0),Table2[[#This Row],[Manual Cat Value]])</f>
        <v>#N/A</v>
      </c>
      <c r="J5317" s="2">
        <v>9</v>
      </c>
      <c r="K5317" s="2" t="b">
        <v>0</v>
      </c>
      <c r="L5317" s="2"/>
      <c r="M5317" s="2"/>
      <c r="N5317" s="4" t="s">
        <v>2273</v>
      </c>
      <c r="O5317" s="4" t="str">
        <f>LEFT(Table2[[#This Row],[Description]],75)</f>
        <v>ATM FEE REFUND</v>
      </c>
      <c r="P5317" s="2" t="s">
        <v>2281</v>
      </c>
    </row>
    <row r="5318" spans="1:16" hidden="1">
      <c r="A5318" s="2">
        <v>202107</v>
      </c>
      <c r="B5318" s="3">
        <v>44408</v>
      </c>
      <c r="C5318" s="2" t="s">
        <v>2265</v>
      </c>
      <c r="D5318" s="2" t="s">
        <v>984</v>
      </c>
      <c r="E5318" s="2">
        <v>-25.58</v>
      </c>
      <c r="F5318" s="2" t="e">
        <f>IF(Table2[[#This Row],[Manual Cat Value]]="",VLOOKUP(Table2[[#This Row],[Description]],'Actuals Lookup'!D:F,3,0),Table2[[#This Row],[Manual Cat Value]])</f>
        <v>#N/A</v>
      </c>
      <c r="J5318" s="2">
        <v>25.58</v>
      </c>
      <c r="K5318" s="2" t="b">
        <v>0</v>
      </c>
      <c r="L5318" s="2"/>
      <c r="M5318" s="2"/>
      <c r="N5318" s="4" t="s">
        <v>2273</v>
      </c>
      <c r="O5318" s="4" t="str">
        <f>LEFT(Table2[[#This Row],[Description]],75)</f>
        <v>Interest Income Split Rate APY Earned 057 070121 to 073121</v>
      </c>
      <c r="P5318" s="2" t="s">
        <v>2281</v>
      </c>
    </row>
    <row r="5319" spans="1:16" hidden="1">
      <c r="A5319" s="2">
        <v>202107</v>
      </c>
      <c r="B5319" s="3">
        <v>44408</v>
      </c>
      <c r="C5319" s="2" t="s">
        <v>2300</v>
      </c>
      <c r="D5319" s="2" t="s">
        <v>988</v>
      </c>
      <c r="E5319" s="2">
        <v>-13.42</v>
      </c>
      <c r="F5319" s="2" t="e">
        <f>IF(Table2[[#This Row],[Manual Cat Value]]="",VLOOKUP(Table2[[#This Row],[Description]],'Actuals Lookup'!D:F,3,0),Table2[[#This Row],[Manual Cat Value]])</f>
        <v>#N/A</v>
      </c>
      <c r="J5319" s="2">
        <v>13.42</v>
      </c>
      <c r="K5319" s="2" t="b">
        <v>0</v>
      </c>
      <c r="L5319" s="2"/>
      <c r="M5319" s="2"/>
      <c r="N5319" s="4" t="s">
        <v>2273</v>
      </c>
      <c r="O5319" s="4" t="str">
        <f>LEFT(Table2[[#This Row],[Description]],75)</f>
        <v>Interest Income Split Rate APY Earned 100 070121 to 073121</v>
      </c>
      <c r="P5319" s="2" t="s">
        <v>2281</v>
      </c>
    </row>
    <row r="5320" spans="1:16" hidden="1">
      <c r="A5320" s="2">
        <v>202107</v>
      </c>
      <c r="B5320" s="3">
        <v>44408</v>
      </c>
      <c r="C5320" s="2" t="s">
        <v>2262</v>
      </c>
      <c r="D5320" s="2" t="s">
        <v>1568</v>
      </c>
      <c r="E5320" s="2">
        <v>63.97</v>
      </c>
      <c r="F5320" s="2" t="e">
        <f>IF(Table2[[#This Row],[Manual Cat Value]]="",VLOOKUP(Table2[[#This Row],[Description]],'Actuals Lookup'!D:F,3,0),Table2[[#This Row],[Manual Cat Value]])</f>
        <v>#N/A</v>
      </c>
      <c r="J5320" s="2">
        <v>63.97</v>
      </c>
      <c r="K5320" s="2" t="b">
        <v>0</v>
      </c>
      <c r="L5320" s="2"/>
      <c r="M5320" s="2"/>
      <c r="N5320" s="4" t="s">
        <v>2259</v>
      </c>
      <c r="O5320" s="4" t="str">
        <f>LEFT(Table2[[#This Row],[Description]],75)</f>
        <v>REDSTONE AMERICAN GRILL EDEN PRAIRIE MN</v>
      </c>
      <c r="P5320" s="2" t="s">
        <v>2281</v>
      </c>
    </row>
    <row r="5321" spans="1:16" hidden="1">
      <c r="A5321" s="2">
        <v>202107</v>
      </c>
      <c r="B5321" s="3">
        <v>44408</v>
      </c>
      <c r="C5321" s="2" t="s">
        <v>2262</v>
      </c>
      <c r="D5321" s="2" t="s">
        <v>1841</v>
      </c>
      <c r="E5321" s="2">
        <v>31.05</v>
      </c>
      <c r="F5321" s="2" t="e">
        <f>IF(Table2[[#This Row],[Manual Cat Value]]="",VLOOKUP(Table2[[#This Row],[Description]],'Actuals Lookup'!D:F,3,0),Table2[[#This Row],[Manual Cat Value]])</f>
        <v>#N/A</v>
      </c>
      <c r="J5321" s="2">
        <v>31.05</v>
      </c>
      <c r="K5321" s="2" t="b">
        <v>0</v>
      </c>
      <c r="L5321" s="2"/>
      <c r="M5321" s="2"/>
      <c r="N5321" s="4" t="s">
        <v>2259</v>
      </c>
      <c r="O5321" s="4" t="str">
        <f>LEFT(Table2[[#This Row],[Description]],75)</f>
        <v>The Block</v>
      </c>
      <c r="P5321" s="2" t="s">
        <v>2281</v>
      </c>
    </row>
    <row r="5322" spans="1:16" hidden="1">
      <c r="A5322" s="2">
        <v>202108</v>
      </c>
      <c r="B5322" s="3">
        <v>44409</v>
      </c>
      <c r="C5322" s="2" t="s">
        <v>2258</v>
      </c>
      <c r="D5322" s="2" t="s">
        <v>114</v>
      </c>
      <c r="E5322" s="2">
        <v>4.28</v>
      </c>
      <c r="F5322" s="2" t="str">
        <f>IF(Table2[[#This Row],[Manual Cat Value]]="",VLOOKUP(Table2[[#This Row],[Description]],'Actuals Lookup'!D:F,3,0),Table2[[#This Row],[Manual Cat Value]])</f>
        <v>Entertainment</v>
      </c>
      <c r="J5322" s="2">
        <v>4.28</v>
      </c>
      <c r="K5322" s="2" t="b">
        <v>0</v>
      </c>
      <c r="L5322" s="2"/>
      <c r="M5322" s="2"/>
      <c r="N5322" s="4" t="s">
        <v>2259</v>
      </c>
      <c r="O5322" s="4" t="str">
        <f>LEFT(Table2[[#This Row],[Description]],75)</f>
        <v>Amazon Music</v>
      </c>
      <c r="P5322" s="2" t="s">
        <v>2466</v>
      </c>
    </row>
    <row r="5323" spans="1:16" hidden="1">
      <c r="A5323" s="2">
        <v>202108</v>
      </c>
      <c r="B5323" s="3">
        <v>44409</v>
      </c>
      <c r="C5323" s="2" t="s">
        <v>2447</v>
      </c>
      <c r="D5323" s="2" t="s">
        <v>114</v>
      </c>
      <c r="E5323" s="2">
        <v>4.28</v>
      </c>
      <c r="F5323" s="2" t="str">
        <f>IF(Table2[[#This Row],[Manual Cat Value]]="",VLOOKUP(Table2[[#This Row],[Description]],'Actuals Lookup'!D:F,3,0),Table2[[#This Row],[Manual Cat Value]])</f>
        <v>Entertainment</v>
      </c>
      <c r="J5323" s="2">
        <v>4.28</v>
      </c>
      <c r="K5323" s="2" t="b">
        <v>0</v>
      </c>
      <c r="L5323" s="2"/>
      <c r="M5323" s="2"/>
      <c r="N5323" s="4" t="s">
        <v>2259</v>
      </c>
      <c r="O5323" s="4" t="str">
        <f>LEFT(Table2[[#This Row],[Description]],75)</f>
        <v>Amazon Music</v>
      </c>
      <c r="P5323" s="2" t="s">
        <v>2466</v>
      </c>
    </row>
    <row r="5324" spans="1:16" hidden="1">
      <c r="A5324" s="2">
        <v>202108</v>
      </c>
      <c r="B5324" s="3">
        <v>44409</v>
      </c>
      <c r="C5324" s="2" t="s">
        <v>2314</v>
      </c>
      <c r="D5324" s="2" t="s">
        <v>859</v>
      </c>
      <c r="E5324" s="2">
        <v>-586.57000000000005</v>
      </c>
      <c r="F5324" s="2" t="e">
        <f>IF(Table2[[#This Row],[Manual Cat Value]]="",VLOOKUP(Table2[[#This Row],[Description]],'Actuals Lookup'!D:F,3,0),Table2[[#This Row],[Manual Cat Value]])</f>
        <v>#N/A</v>
      </c>
      <c r="J5324" s="2">
        <v>586.57000000000005</v>
      </c>
      <c r="K5324" s="2" t="b">
        <v>0</v>
      </c>
      <c r="L5324" s="2"/>
      <c r="M5324" s="2"/>
      <c r="N5324" s="4" t="s">
        <v>2273</v>
      </c>
      <c r="O5324" s="4" t="str">
        <f>LEFT(Table2[[#This Row],[Description]],75)</f>
        <v>From Share 70</v>
      </c>
      <c r="P5324" s="2" t="s">
        <v>2281</v>
      </c>
    </row>
    <row r="5325" spans="1:16" hidden="1">
      <c r="A5325" s="2">
        <v>202108</v>
      </c>
      <c r="B5325" s="3">
        <v>44409</v>
      </c>
      <c r="C5325" s="2" t="s">
        <v>2265</v>
      </c>
      <c r="D5325" s="2" t="s">
        <v>1877</v>
      </c>
      <c r="E5325" s="2">
        <v>618.65</v>
      </c>
      <c r="F5325" s="2" t="e">
        <f>IF(Table2[[#This Row],[Manual Cat Value]]="",VLOOKUP(Table2[[#This Row],[Description]],'Actuals Lookup'!D:F,3,0),Table2[[#This Row],[Manual Cat Value]])</f>
        <v>#N/A</v>
      </c>
      <c r="J5325" s="2">
        <v>618.65</v>
      </c>
      <c r="K5325" s="2" t="b">
        <v>0</v>
      </c>
      <c r="L5325" s="2"/>
      <c r="M5325" s="2"/>
      <c r="N5325" s="4" t="s">
        <v>2259</v>
      </c>
      <c r="O5325" s="4" t="str">
        <f>LEFT(Table2[[#This Row],[Description]],75)</f>
        <v>To Loan 02</v>
      </c>
      <c r="P5325" s="2" t="s">
        <v>2316</v>
      </c>
    </row>
    <row r="5326" spans="1:16" hidden="1">
      <c r="A5326" s="2">
        <v>202108</v>
      </c>
      <c r="B5326" s="3">
        <v>44410</v>
      </c>
      <c r="C5326" s="2" t="s">
        <v>2270</v>
      </c>
      <c r="D5326" s="2" t="s">
        <v>1410</v>
      </c>
      <c r="E5326" s="2">
        <v>-739.89</v>
      </c>
      <c r="F5326" s="2" t="str">
        <f>IF(Table2[[#This Row],[Manual Cat Value]]="",VLOOKUP(Table2[[#This Row],[Description]],'Actuals Lookup'!D:F,3,0),Table2[[#This Row],[Manual Cat Value]])</f>
        <v>Delete</v>
      </c>
      <c r="J5326" s="2">
        <v>739.89</v>
      </c>
      <c r="K5326" s="2" t="b">
        <v>0</v>
      </c>
      <c r="L5326" s="2"/>
      <c r="M5326" s="2"/>
      <c r="N5326" s="4" t="s">
        <v>2273</v>
      </c>
      <c r="O5326" s="4" t="str">
        <f>LEFT(Table2[[#This Row],[Description]],75)</f>
        <v>PAYMENT</v>
      </c>
      <c r="P5326" s="2" t="s">
        <v>2281</v>
      </c>
    </row>
    <row r="5327" spans="1:16" hidden="1">
      <c r="A5327" s="2">
        <v>202108</v>
      </c>
      <c r="B5327" s="3">
        <v>44410</v>
      </c>
      <c r="C5327" s="2" t="s">
        <v>2460</v>
      </c>
      <c r="D5327" s="2" t="s">
        <v>93</v>
      </c>
      <c r="E5327" s="2">
        <v>-134.99</v>
      </c>
      <c r="F5327" s="2" t="e">
        <f>IF(Table2[[#This Row],[Manual Cat Value]]="",VLOOKUP(Table2[[#This Row],[Description]],'Actuals Lookup'!D:F,3,0),Table2[[#This Row],[Manual Cat Value]])</f>
        <v>#N/A</v>
      </c>
      <c r="J5327" s="2">
        <v>134.99</v>
      </c>
      <c r="K5327" s="2" t="b">
        <v>0</v>
      </c>
      <c r="L5327" s="2"/>
      <c r="M5327" s="2"/>
      <c r="N5327" s="4" t="s">
        <v>2273</v>
      </c>
      <c r="O5327" s="4" t="str">
        <f>LEFT(Table2[[#This Row],[Description]],75)</f>
        <v>A T &amp; T INC</v>
      </c>
      <c r="P5327" s="2" t="s">
        <v>2281</v>
      </c>
    </row>
    <row r="5328" spans="1:16" hidden="1">
      <c r="A5328" s="2">
        <v>202108</v>
      </c>
      <c r="B5328" s="3">
        <v>44410</v>
      </c>
      <c r="C5328" s="2" t="s">
        <v>2317</v>
      </c>
      <c r="D5328" s="2" t="s">
        <v>93</v>
      </c>
      <c r="E5328" s="2">
        <v>-134.99</v>
      </c>
      <c r="F5328" s="2" t="e">
        <f>IF(Table2[[#This Row],[Manual Cat Value]]="",VLOOKUP(Table2[[#This Row],[Description]],'Actuals Lookup'!D:F,3,0),Table2[[#This Row],[Manual Cat Value]])</f>
        <v>#N/A</v>
      </c>
      <c r="J5328" s="2">
        <v>134.99</v>
      </c>
      <c r="K5328" s="2" t="b">
        <v>0</v>
      </c>
      <c r="L5328" s="2"/>
      <c r="M5328" s="2"/>
      <c r="N5328" s="4" t="s">
        <v>2273</v>
      </c>
      <c r="O5328" s="4" t="str">
        <f>LEFT(Table2[[#This Row],[Description]],75)</f>
        <v>A T &amp; T INC</v>
      </c>
      <c r="P5328" s="2" t="s">
        <v>2392</v>
      </c>
    </row>
    <row r="5329" spans="1:16" hidden="1">
      <c r="A5329" s="2">
        <v>202108</v>
      </c>
      <c r="B5329" s="3">
        <v>44410</v>
      </c>
      <c r="C5329" s="2" t="s">
        <v>2265</v>
      </c>
      <c r="D5329" s="2" t="s">
        <v>254</v>
      </c>
      <c r="E5329" s="2">
        <v>2832.55</v>
      </c>
      <c r="F5329" s="2" t="str">
        <f>IF(Table2[[#This Row],[Manual Cat Value]]="",VLOOKUP(Table2[[#This Row],[Description]],'Actuals Lookup'!D:F,3,0),Table2[[#This Row],[Manual Cat Value]])</f>
        <v>Rent</v>
      </c>
      <c r="J5329" s="2">
        <v>2832.55</v>
      </c>
      <c r="K5329" s="2" t="b">
        <v>0</v>
      </c>
      <c r="L5329" s="2"/>
      <c r="M5329" s="2"/>
      <c r="N5329" s="4" t="s">
        <v>2259</v>
      </c>
      <c r="O5329" s="4" t="str">
        <f>LEFT(Table2[[#This Row],[Description]],75)</f>
        <v>Baxter Credit Union</v>
      </c>
      <c r="P5329" s="2" t="s">
        <v>2281</v>
      </c>
    </row>
    <row r="5330" spans="1:16" hidden="1">
      <c r="A5330" s="2">
        <v>202108</v>
      </c>
      <c r="B5330" s="3">
        <v>44410</v>
      </c>
      <c r="C5330" s="2" t="s">
        <v>2265</v>
      </c>
      <c r="D5330" s="2" t="s">
        <v>598</v>
      </c>
      <c r="E5330" s="2">
        <v>200</v>
      </c>
      <c r="F5330" s="2" t="e">
        <f>IF(Table2[[#This Row],[Manual Cat Value]]="",VLOOKUP(Table2[[#This Row],[Description]],'Actuals Lookup'!D:F,3,0),Table2[[#This Row],[Manual Cat Value]])</f>
        <v>#N/A</v>
      </c>
      <c r="J5330" s="2">
        <v>200</v>
      </c>
      <c r="K5330" s="2" t="b">
        <v>0</v>
      </c>
      <c r="L5330" s="2"/>
      <c r="M5330" s="2"/>
      <c r="N5330" s="4" t="s">
        <v>2259</v>
      </c>
      <c r="O5330" s="4" t="str">
        <f>LEFT(Table2[[#This Row],[Description]],75)</f>
        <v>College Savings TYPE ACH ID XX58 College Savings TYPE ACH ID 550895818 CO C</v>
      </c>
      <c r="P5330" s="2" t="s">
        <v>2272</v>
      </c>
    </row>
    <row r="5331" spans="1:16" hidden="1">
      <c r="A5331" s="2">
        <v>202108</v>
      </c>
      <c r="B5331" s="3">
        <v>44410</v>
      </c>
      <c r="C5331" s="2" t="s">
        <v>2262</v>
      </c>
      <c r="D5331" s="2" t="s">
        <v>684</v>
      </c>
      <c r="E5331" s="2">
        <v>69.099999999999994</v>
      </c>
      <c r="F5331" s="2" t="str">
        <f>IF(Table2[[#This Row],[Manual Cat Value]]="",VLOOKUP(Table2[[#This Row],[Description]],'Actuals Lookup'!D:F,3,0),Table2[[#This Row],[Manual Cat Value]])</f>
        <v>Groceries</v>
      </c>
      <c r="J5331" s="2">
        <v>69.099999999999994</v>
      </c>
      <c r="K5331" s="2" t="b">
        <v>0</v>
      </c>
      <c r="L5331" s="2"/>
      <c r="M5331" s="2"/>
      <c r="N5331" s="4" t="s">
        <v>2259</v>
      </c>
      <c r="O5331" s="4" t="str">
        <f>LEFT(Table2[[#This Row],[Description]],75)</f>
        <v>Cub Foods</v>
      </c>
      <c r="P5331" s="2" t="s">
        <v>2370</v>
      </c>
    </row>
    <row r="5332" spans="1:16" hidden="1">
      <c r="A5332" s="2">
        <v>202108</v>
      </c>
      <c r="B5332" s="3">
        <v>44410</v>
      </c>
      <c r="C5332" s="2" t="s">
        <v>2262</v>
      </c>
      <c r="D5332" s="2" t="s">
        <v>903</v>
      </c>
      <c r="E5332" s="2">
        <v>15.53</v>
      </c>
      <c r="F5332" s="2" t="e">
        <f>IF(Table2[[#This Row],[Manual Cat Value]]="",VLOOKUP(Table2[[#This Row],[Description]],'Actuals Lookup'!D:F,3,0),Table2[[#This Row],[Manual Cat Value]])</f>
        <v>#N/A</v>
      </c>
      <c r="J5332" s="2">
        <v>15.53</v>
      </c>
      <c r="K5332" s="2" t="b">
        <v>0</v>
      </c>
      <c r="L5332" s="2"/>
      <c r="M5332" s="2"/>
      <c r="N5332" s="4" t="s">
        <v>2259</v>
      </c>
      <c r="O5332" s="4" t="str">
        <f>LEFT(Table2[[#This Row],[Description]],75)</f>
        <v>Grabbagreen</v>
      </c>
      <c r="P5332" s="2" t="s">
        <v>2281</v>
      </c>
    </row>
    <row r="5333" spans="1:16" hidden="1">
      <c r="A5333" s="2">
        <v>202108</v>
      </c>
      <c r="B5333" s="3">
        <v>44410</v>
      </c>
      <c r="C5333" s="2" t="s">
        <v>2262</v>
      </c>
      <c r="D5333" s="2" t="s">
        <v>944</v>
      </c>
      <c r="E5333" s="2">
        <v>44.93</v>
      </c>
      <c r="F5333" s="2" t="e">
        <f>IF(Table2[[#This Row],[Manual Cat Value]]="",VLOOKUP(Table2[[#This Row],[Description]],'Actuals Lookup'!D:F,3,0),Table2[[#This Row],[Manual Cat Value]])</f>
        <v>#N/A</v>
      </c>
      <c r="J5333" s="2">
        <v>44.93</v>
      </c>
      <c r="K5333" s="2" t="b">
        <v>0</v>
      </c>
      <c r="L5333" s="2"/>
      <c r="M5333" s="2"/>
      <c r="N5333" s="4" t="s">
        <v>2259</v>
      </c>
      <c r="O5333" s="4" t="str">
        <f>LEFT(Table2[[#This Row],[Description]],75)</f>
        <v>Holiday Stationstore</v>
      </c>
      <c r="P5333" s="2" t="s">
        <v>2374</v>
      </c>
    </row>
    <row r="5334" spans="1:16" hidden="1">
      <c r="A5334" s="2">
        <v>202108</v>
      </c>
      <c r="B5334" s="3">
        <v>44410</v>
      </c>
      <c r="C5334" s="2" t="s">
        <v>2262</v>
      </c>
      <c r="D5334" s="2" t="s">
        <v>1036</v>
      </c>
      <c r="E5334" s="2">
        <v>83.71</v>
      </c>
      <c r="F5334" s="2" t="e">
        <f>IF(Table2[[#This Row],[Manual Cat Value]]="",VLOOKUP(Table2[[#This Row],[Description]],'Actuals Lookup'!D:F,3,0),Table2[[#This Row],[Manual Cat Value]])</f>
        <v>#N/A</v>
      </c>
      <c r="J5334" s="2">
        <v>83.71</v>
      </c>
      <c r="K5334" s="2" t="b">
        <v>0</v>
      </c>
      <c r="L5334" s="2"/>
      <c r="M5334" s="2"/>
      <c r="N5334" s="4" t="s">
        <v>2259</v>
      </c>
      <c r="O5334" s="4" t="str">
        <f>LEFT(Table2[[#This Row],[Description]],75)</f>
        <v>KAIS SUSHI GRILL CHANHASSEN MN KAIS SUSHI GRILL CHANHASSEN MN</v>
      </c>
      <c r="P5334" s="2" t="s">
        <v>2281</v>
      </c>
    </row>
    <row r="5335" spans="1:16" hidden="1">
      <c r="A5335" s="2">
        <v>202108</v>
      </c>
      <c r="B5335" s="3">
        <v>44410</v>
      </c>
      <c r="C5335" s="2" t="s">
        <v>2262</v>
      </c>
      <c r="D5335" s="2" t="s">
        <v>1137</v>
      </c>
      <c r="E5335" s="2">
        <v>-4.42</v>
      </c>
      <c r="F5335" s="2" t="e">
        <f>IF(Table2[[#This Row],[Manual Cat Value]]="",VLOOKUP(Table2[[#This Row],[Description]],'Actuals Lookup'!D:F,3,0),Table2[[#This Row],[Manual Cat Value]])</f>
        <v>#N/A</v>
      </c>
      <c r="J5335" s="2">
        <v>4.42</v>
      </c>
      <c r="K5335" s="2" t="b">
        <v>0</v>
      </c>
      <c r="L5335" s="2"/>
      <c r="M5335" s="2"/>
      <c r="N5335" s="4" t="s">
        <v>2273</v>
      </c>
      <c r="O5335" s="4" t="str">
        <f>LEFT(Table2[[#This Row],[Description]],75)</f>
        <v>Lowe's</v>
      </c>
      <c r="P5335" s="2" t="s">
        <v>2281</v>
      </c>
    </row>
    <row r="5336" spans="1:16" hidden="1">
      <c r="A5336" s="2">
        <v>202108</v>
      </c>
      <c r="B5336" s="3">
        <v>44410</v>
      </c>
      <c r="C5336" s="2" t="s">
        <v>2262</v>
      </c>
      <c r="D5336" s="2" t="s">
        <v>1137</v>
      </c>
      <c r="E5336" s="2">
        <v>-4.79</v>
      </c>
      <c r="F5336" s="2" t="e">
        <f>IF(Table2[[#This Row],[Manual Cat Value]]="",VLOOKUP(Table2[[#This Row],[Description]],'Actuals Lookup'!D:F,3,0),Table2[[#This Row],[Manual Cat Value]])</f>
        <v>#N/A</v>
      </c>
      <c r="J5336" s="2">
        <v>4.79</v>
      </c>
      <c r="K5336" s="2" t="b">
        <v>0</v>
      </c>
      <c r="L5336" s="2"/>
      <c r="M5336" s="2"/>
      <c r="N5336" s="4" t="s">
        <v>2273</v>
      </c>
      <c r="O5336" s="4" t="str">
        <f>LEFT(Table2[[#This Row],[Description]],75)</f>
        <v>Lowe's</v>
      </c>
      <c r="P5336" s="2" t="s">
        <v>2281</v>
      </c>
    </row>
    <row r="5337" spans="1:16" hidden="1">
      <c r="A5337" s="2">
        <v>202108</v>
      </c>
      <c r="B5337" s="3">
        <v>44410</v>
      </c>
      <c r="C5337" s="2" t="s">
        <v>2262</v>
      </c>
      <c r="D5337" s="2" t="s">
        <v>1137</v>
      </c>
      <c r="E5337" s="2">
        <v>-5.63</v>
      </c>
      <c r="F5337" s="2" t="e">
        <f>IF(Table2[[#This Row],[Manual Cat Value]]="",VLOOKUP(Table2[[#This Row],[Description]],'Actuals Lookup'!D:F,3,0),Table2[[#This Row],[Manual Cat Value]])</f>
        <v>#N/A</v>
      </c>
      <c r="J5337" s="2">
        <v>5.63</v>
      </c>
      <c r="K5337" s="2" t="b">
        <v>0</v>
      </c>
      <c r="L5337" s="2"/>
      <c r="M5337" s="2"/>
      <c r="N5337" s="4" t="s">
        <v>2273</v>
      </c>
      <c r="O5337" s="4" t="str">
        <f>LEFT(Table2[[#This Row],[Description]],75)</f>
        <v>Lowe's</v>
      </c>
      <c r="P5337" s="2" t="s">
        <v>2281</v>
      </c>
    </row>
    <row r="5338" spans="1:16" hidden="1">
      <c r="A5338" s="2">
        <v>202108</v>
      </c>
      <c r="B5338" s="3">
        <v>44410</v>
      </c>
      <c r="C5338" s="2" t="s">
        <v>2262</v>
      </c>
      <c r="D5338" s="2" t="s">
        <v>1137</v>
      </c>
      <c r="E5338" s="2">
        <v>26.11</v>
      </c>
      <c r="F5338" s="2" t="e">
        <f>IF(Table2[[#This Row],[Manual Cat Value]]="",VLOOKUP(Table2[[#This Row],[Description]],'Actuals Lookup'!D:F,3,0),Table2[[#This Row],[Manual Cat Value]])</f>
        <v>#N/A</v>
      </c>
      <c r="J5338" s="2">
        <v>26.11</v>
      </c>
      <c r="K5338" s="2" t="b">
        <v>0</v>
      </c>
      <c r="L5338" s="2"/>
      <c r="M5338" s="2"/>
      <c r="N5338" s="4" t="s">
        <v>2259</v>
      </c>
      <c r="O5338" s="4" t="str">
        <f>LEFT(Table2[[#This Row],[Description]],75)</f>
        <v>Lowe's</v>
      </c>
      <c r="P5338" s="2" t="s">
        <v>2281</v>
      </c>
    </row>
    <row r="5339" spans="1:16" hidden="1">
      <c r="A5339" s="2">
        <v>202108</v>
      </c>
      <c r="B5339" s="3">
        <v>44410</v>
      </c>
      <c r="C5339" s="2" t="s">
        <v>2270</v>
      </c>
      <c r="D5339" s="2" t="s">
        <v>1524</v>
      </c>
      <c r="E5339" s="2">
        <v>-431</v>
      </c>
      <c r="F5339" s="2" t="e">
        <f>IF(Table2[[#This Row],[Manual Cat Value]]="",VLOOKUP(Table2[[#This Row],[Description]],'Actuals Lookup'!D:F,3,0),Table2[[#This Row],[Manual Cat Value]])</f>
        <v>#N/A</v>
      </c>
      <c r="J5339" s="2">
        <v>431</v>
      </c>
      <c r="K5339" s="2" t="b">
        <v>0</v>
      </c>
      <c r="L5339" s="2"/>
      <c r="M5339" s="2"/>
      <c r="N5339" s="4" t="s">
        <v>2273</v>
      </c>
      <c r="O5339" s="4" t="str">
        <f>LEFT(Table2[[#This Row],[Description]],75)</f>
        <v>Principal Curtailment</v>
      </c>
      <c r="P5339" s="2" t="s">
        <v>2281</v>
      </c>
    </row>
    <row r="5340" spans="1:16" hidden="1">
      <c r="A5340" s="2">
        <v>202108</v>
      </c>
      <c r="B5340" s="3">
        <v>44410</v>
      </c>
      <c r="C5340" s="2" t="s">
        <v>2460</v>
      </c>
      <c r="D5340" s="2" t="s">
        <v>1786</v>
      </c>
      <c r="E5340" s="2">
        <v>25.52</v>
      </c>
      <c r="F5340" s="2" t="e">
        <f>IF(Table2[[#This Row],[Manual Cat Value]]="",VLOOKUP(Table2[[#This Row],[Description]],'Actuals Lookup'!D:F,3,0),Table2[[#This Row],[Manual Cat Value]])</f>
        <v>#N/A</v>
      </c>
      <c r="J5340" s="2">
        <v>25.52</v>
      </c>
      <c r="K5340" s="2" t="b">
        <v>0</v>
      </c>
      <c r="L5340" s="2"/>
      <c r="M5340" s="2"/>
      <c r="N5340" s="4" t="s">
        <v>2259</v>
      </c>
      <c r="O5340" s="4" t="str">
        <f>LEFT(Table2[[#This Row],[Description]],75)</f>
        <v>STRYKER CORP</v>
      </c>
      <c r="P5340" s="2" t="s">
        <v>2281</v>
      </c>
    </row>
    <row r="5341" spans="1:16" hidden="1">
      <c r="A5341" s="2">
        <v>202108</v>
      </c>
      <c r="B5341" s="3">
        <v>44410</v>
      </c>
      <c r="C5341" s="2" t="s">
        <v>2317</v>
      </c>
      <c r="D5341" s="2" t="s">
        <v>1786</v>
      </c>
      <c r="E5341" s="2">
        <v>25.52</v>
      </c>
      <c r="F5341" s="2" t="e">
        <f>IF(Table2[[#This Row],[Manual Cat Value]]="",VLOOKUP(Table2[[#This Row],[Description]],'Actuals Lookup'!D:F,3,0),Table2[[#This Row],[Manual Cat Value]])</f>
        <v>#N/A</v>
      </c>
      <c r="J5341" s="2">
        <v>25.52</v>
      </c>
      <c r="K5341" s="2" t="b">
        <v>0</v>
      </c>
      <c r="L5341" s="2"/>
      <c r="M5341" s="2"/>
      <c r="N5341" s="4" t="s">
        <v>2259</v>
      </c>
      <c r="O5341" s="4" t="str">
        <f>LEFT(Table2[[#This Row],[Description]],75)</f>
        <v>STRYKER CORP</v>
      </c>
      <c r="P5341" s="2" t="s">
        <v>2385</v>
      </c>
    </row>
    <row r="5342" spans="1:16" hidden="1">
      <c r="A5342" s="2">
        <v>202108</v>
      </c>
      <c r="B5342" s="3">
        <v>44410</v>
      </c>
      <c r="C5342" s="2" t="s">
        <v>2262</v>
      </c>
      <c r="D5342" s="2" t="s">
        <v>2014</v>
      </c>
      <c r="E5342" s="2">
        <v>9.86</v>
      </c>
      <c r="F5342" s="2" t="e">
        <f>IF(Table2[[#This Row],[Manual Cat Value]]="",VLOOKUP(Table2[[#This Row],[Description]],'Actuals Lookup'!D:F,3,0),Table2[[#This Row],[Manual Cat Value]])</f>
        <v>#N/A</v>
      </c>
      <c r="J5342" s="2">
        <v>9.86</v>
      </c>
      <c r="K5342" s="2" t="b">
        <v>0</v>
      </c>
      <c r="L5342" s="2"/>
      <c r="M5342" s="2"/>
      <c r="N5342" s="4" t="s">
        <v>2259</v>
      </c>
      <c r="O5342" s="4" t="str">
        <f>LEFT(Table2[[#This Row],[Description]],75)</f>
        <v>TST DUKES ON 7 MINNETONKA MN TST DUKES ON 7 MINNETONKA MN</v>
      </c>
      <c r="P5342" s="2" t="s">
        <v>2281</v>
      </c>
    </row>
    <row r="5343" spans="1:16" hidden="1">
      <c r="A5343" s="2">
        <v>202108</v>
      </c>
      <c r="B5343" s="3">
        <v>44411</v>
      </c>
      <c r="C5343" s="2" t="s">
        <v>2460</v>
      </c>
      <c r="D5343" s="2" t="s">
        <v>93</v>
      </c>
      <c r="E5343" s="2">
        <v>134.99</v>
      </c>
      <c r="F5343" s="2" t="e">
        <f>IF(Table2[[#This Row],[Manual Cat Value]]="",VLOOKUP(Table2[[#This Row],[Description]],'Actuals Lookup'!D:F,3,0),Table2[[#This Row],[Manual Cat Value]])</f>
        <v>#N/A</v>
      </c>
      <c r="J5343" s="2">
        <v>134.99</v>
      </c>
      <c r="K5343" s="2" t="b">
        <v>0</v>
      </c>
      <c r="L5343" s="2"/>
      <c r="M5343" s="2"/>
      <c r="N5343" s="4" t="s">
        <v>2259</v>
      </c>
      <c r="O5343" s="4" t="str">
        <f>LEFT(Table2[[#This Row],[Description]],75)</f>
        <v>A T &amp; T INC</v>
      </c>
      <c r="P5343" s="2" t="s">
        <v>2281</v>
      </c>
    </row>
    <row r="5344" spans="1:16" hidden="1">
      <c r="A5344" s="2">
        <v>202108</v>
      </c>
      <c r="B5344" s="3">
        <v>44411</v>
      </c>
      <c r="C5344" s="2" t="s">
        <v>2317</v>
      </c>
      <c r="D5344" s="2" t="s">
        <v>93</v>
      </c>
      <c r="E5344" s="2">
        <v>134.99</v>
      </c>
      <c r="F5344" s="2" t="e">
        <f>IF(Table2[[#This Row],[Manual Cat Value]]="",VLOOKUP(Table2[[#This Row],[Description]],'Actuals Lookup'!D:F,3,0),Table2[[#This Row],[Manual Cat Value]])</f>
        <v>#N/A</v>
      </c>
      <c r="J5344" s="2">
        <v>134.99</v>
      </c>
      <c r="K5344" s="2" t="b">
        <v>0</v>
      </c>
      <c r="L5344" s="2"/>
      <c r="M5344" s="2"/>
      <c r="N5344" s="4" t="s">
        <v>2259</v>
      </c>
      <c r="O5344" s="4" t="str">
        <f>LEFT(Table2[[#This Row],[Description]],75)</f>
        <v>A T &amp; T INC</v>
      </c>
      <c r="P5344" s="2" t="s">
        <v>2392</v>
      </c>
    </row>
    <row r="5345" spans="1:16" hidden="1">
      <c r="A5345" s="2">
        <v>202108</v>
      </c>
      <c r="B5345" s="3">
        <v>44411</v>
      </c>
      <c r="C5345" s="2" t="s">
        <v>2262</v>
      </c>
      <c r="D5345" s="2" t="s">
        <v>38</v>
      </c>
      <c r="E5345" s="2">
        <v>12.87</v>
      </c>
      <c r="F5345" s="2" t="str">
        <f>IF(Table2[[#This Row],[Manual Cat Value]]="",VLOOKUP(Table2[[#This Row],[Description]],'Actuals Lookup'!D:F,3,0),Table2[[#This Row],[Manual Cat Value]])</f>
        <v>Amazon</v>
      </c>
      <c r="J5345" s="2">
        <v>12.87</v>
      </c>
      <c r="K5345" s="2" t="b">
        <v>0</v>
      </c>
      <c r="L5345" s="2"/>
      <c r="M5345" s="2"/>
      <c r="N5345" s="4" t="s">
        <v>2259</v>
      </c>
      <c r="O5345" s="4" t="str">
        <f>LEFT(Table2[[#This Row],[Description]],75)</f>
        <v>Amazon</v>
      </c>
      <c r="P5345" s="2" t="s">
        <v>2260</v>
      </c>
    </row>
    <row r="5346" spans="1:16" hidden="1">
      <c r="A5346" s="2">
        <v>202108</v>
      </c>
      <c r="B5346" s="3">
        <v>44411</v>
      </c>
      <c r="C5346" s="2" t="s">
        <v>2262</v>
      </c>
      <c r="D5346" s="2" t="s">
        <v>38</v>
      </c>
      <c r="E5346" s="2">
        <v>17.98</v>
      </c>
      <c r="F5346" s="2" t="str">
        <f>IF(Table2[[#This Row],[Manual Cat Value]]="",VLOOKUP(Table2[[#This Row],[Description]],'Actuals Lookup'!D:F,3,0),Table2[[#This Row],[Manual Cat Value]])</f>
        <v>Amazon</v>
      </c>
      <c r="J5346" s="2">
        <v>17.98</v>
      </c>
      <c r="K5346" s="2" t="b">
        <v>0</v>
      </c>
      <c r="L5346" s="2"/>
      <c r="M5346" s="2"/>
      <c r="N5346" s="4" t="s">
        <v>2259</v>
      </c>
      <c r="O5346" s="4" t="str">
        <f>LEFT(Table2[[#This Row],[Description]],75)</f>
        <v>Amazon</v>
      </c>
      <c r="P5346" s="2" t="s">
        <v>2260</v>
      </c>
    </row>
    <row r="5347" spans="1:16" hidden="1">
      <c r="A5347" s="2">
        <v>202108</v>
      </c>
      <c r="B5347" s="3">
        <v>44411</v>
      </c>
      <c r="C5347" s="2" t="s">
        <v>2262</v>
      </c>
      <c r="D5347" s="2" t="s">
        <v>38</v>
      </c>
      <c r="E5347" s="2">
        <v>51.95</v>
      </c>
      <c r="F5347" s="2" t="str">
        <f>IF(Table2[[#This Row],[Manual Cat Value]]="",VLOOKUP(Table2[[#This Row],[Description]],'Actuals Lookup'!D:F,3,0),Table2[[#This Row],[Manual Cat Value]])</f>
        <v>Amazon</v>
      </c>
      <c r="J5347" s="2">
        <v>51.95</v>
      </c>
      <c r="K5347" s="2" t="b">
        <v>0</v>
      </c>
      <c r="L5347" s="2"/>
      <c r="M5347" s="2"/>
      <c r="N5347" s="4" t="s">
        <v>2259</v>
      </c>
      <c r="O5347" s="4" t="str">
        <f>LEFT(Table2[[#This Row],[Description]],75)</f>
        <v>Amazon</v>
      </c>
      <c r="P5347" s="2" t="s">
        <v>2260</v>
      </c>
    </row>
    <row r="5348" spans="1:16" hidden="1">
      <c r="A5348" s="2">
        <v>202108</v>
      </c>
      <c r="B5348" s="3">
        <v>44411</v>
      </c>
      <c r="C5348" s="2" t="s">
        <v>2262</v>
      </c>
      <c r="D5348" s="2" t="s">
        <v>927</v>
      </c>
      <c r="E5348" s="2">
        <v>18</v>
      </c>
      <c r="F5348" s="2" t="e">
        <f>IF(Table2[[#This Row],[Manual Cat Value]]="",VLOOKUP(Table2[[#This Row],[Description]],'Actuals Lookup'!D:F,3,0),Table2[[#This Row],[Manual Cat Value]])</f>
        <v>#N/A</v>
      </c>
      <c r="J5348" s="2">
        <v>18</v>
      </c>
      <c r="K5348" s="2" t="b">
        <v>0</v>
      </c>
      <c r="L5348" s="2"/>
      <c r="M5348" s="2"/>
      <c r="N5348" s="4" t="s">
        <v>2259</v>
      </c>
      <c r="O5348" s="4" t="str">
        <f>LEFT(Table2[[#This Row],[Description]],75)</f>
        <v>HBRSUBSCRIPTION XX0886 MA HBRSUBSCRIPTION 8009880886 MA</v>
      </c>
      <c r="P5348" s="2" t="s">
        <v>2281</v>
      </c>
    </row>
    <row r="5349" spans="1:16" hidden="1">
      <c r="A5349" s="2">
        <v>202108</v>
      </c>
      <c r="B5349" s="3">
        <v>44411</v>
      </c>
      <c r="C5349" s="2" t="s">
        <v>2262</v>
      </c>
      <c r="D5349" s="2" t="s">
        <v>947</v>
      </c>
      <c r="E5349" s="2">
        <v>22.45</v>
      </c>
      <c r="F5349" s="2" t="e">
        <f>IF(Table2[[#This Row],[Manual Cat Value]]="",VLOOKUP(Table2[[#This Row],[Description]],'Actuals Lookup'!D:F,3,0),Table2[[#This Row],[Manual Cat Value]])</f>
        <v>#N/A</v>
      </c>
      <c r="J5349" s="2">
        <v>22.45</v>
      </c>
      <c r="K5349" s="2" t="b">
        <v>0</v>
      </c>
      <c r="L5349" s="2"/>
      <c r="M5349" s="2"/>
      <c r="N5349" s="4" t="s">
        <v>2259</v>
      </c>
      <c r="O5349" s="4" t="str">
        <f>LEFT(Table2[[#This Row],[Description]],75)</f>
        <v>Home Depot</v>
      </c>
      <c r="P5349" s="2" t="s">
        <v>2396</v>
      </c>
    </row>
    <row r="5350" spans="1:16" hidden="1">
      <c r="A5350" s="2">
        <v>202108</v>
      </c>
      <c r="B5350" s="3">
        <v>44411</v>
      </c>
      <c r="C5350" s="2" t="s">
        <v>2265</v>
      </c>
      <c r="D5350" s="2" t="s">
        <v>1196</v>
      </c>
      <c r="E5350" s="2">
        <v>528.79999999999995</v>
      </c>
      <c r="F5350" s="2" t="e">
        <f>IF(Table2[[#This Row],[Manual Cat Value]]="",VLOOKUP(Table2[[#This Row],[Description]],'Actuals Lookup'!D:F,3,0),Table2[[#This Row],[Manual Cat Value]])</f>
        <v>#N/A</v>
      </c>
      <c r="J5350" s="2">
        <v>528.79999999999995</v>
      </c>
      <c r="K5350" s="2" t="b">
        <v>0</v>
      </c>
      <c r="L5350" s="2"/>
      <c r="M5350" s="2"/>
      <c r="N5350" s="4" t="s">
        <v>2259</v>
      </c>
      <c r="O5350" s="4" t="str">
        <f>LEFT(Table2[[#This Row],[Description]],75)</f>
        <v>MHCHILDCARELLC TYPE DUES ID CO M MHCHILDCARELLC TYPE DUES ID CO MHCHILDCARE</v>
      </c>
      <c r="P5350" s="2" t="s">
        <v>2497</v>
      </c>
    </row>
    <row r="5351" spans="1:16" hidden="1">
      <c r="A5351" s="2">
        <v>202108</v>
      </c>
      <c r="B5351" s="3">
        <v>44411</v>
      </c>
      <c r="C5351" s="2" t="s">
        <v>2262</v>
      </c>
      <c r="D5351" s="2" t="s">
        <v>1280</v>
      </c>
      <c r="E5351" s="2">
        <v>140</v>
      </c>
      <c r="F5351" s="2" t="e">
        <f>IF(Table2[[#This Row],[Manual Cat Value]]="",VLOOKUP(Table2[[#This Row],[Description]],'Actuals Lookup'!D:F,3,0),Table2[[#This Row],[Manual Cat Value]])</f>
        <v>#N/A</v>
      </c>
      <c r="J5351" s="2">
        <v>140</v>
      </c>
      <c r="K5351" s="2" t="b">
        <v>0</v>
      </c>
      <c r="L5351" s="2"/>
      <c r="M5351" s="2"/>
      <c r="N5351" s="4" t="s">
        <v>2259</v>
      </c>
      <c r="O5351" s="4" t="str">
        <f>LEFT(Table2[[#This Row],[Description]],75)</f>
        <v>MN COURT CARVER XX3219 MN MN COURT CARVER 6512813219 MN</v>
      </c>
      <c r="P5351" s="2" t="s">
        <v>2281</v>
      </c>
    </row>
    <row r="5352" spans="1:16" hidden="1">
      <c r="A5352" s="2">
        <v>202108</v>
      </c>
      <c r="B5352" s="3">
        <v>44411</v>
      </c>
      <c r="C5352" s="2" t="s">
        <v>2265</v>
      </c>
      <c r="D5352" s="2" t="s">
        <v>1471</v>
      </c>
      <c r="E5352" s="2">
        <v>19.43</v>
      </c>
      <c r="F5352" s="2" t="str">
        <f>IF(Table2[[#This Row],[Manual Cat Value]]="",VLOOKUP(Table2[[#This Row],[Description]],'Actuals Lookup'!D:F,3,0),Table2[[#This Row],[Manual Cat Value]])</f>
        <v>Shopping</v>
      </c>
      <c r="J5352" s="2">
        <v>19.43</v>
      </c>
      <c r="K5352" s="2" t="b">
        <v>0</v>
      </c>
      <c r="L5352" s="2"/>
      <c r="M5352" s="2"/>
      <c r="N5352" s="4" t="s">
        <v>2259</v>
      </c>
      <c r="O5352" s="4" t="str">
        <f>LEFT(Table2[[#This Row],[Description]],75)</f>
        <v>PayPal</v>
      </c>
      <c r="P5352" s="2" t="s">
        <v>2322</v>
      </c>
    </row>
    <row r="5353" spans="1:16" hidden="1">
      <c r="A5353" s="2">
        <v>202108</v>
      </c>
      <c r="B5353" s="3">
        <v>44411</v>
      </c>
      <c r="C5353" s="2" t="s">
        <v>2265</v>
      </c>
      <c r="D5353" s="2" t="s">
        <v>2168</v>
      </c>
      <c r="E5353" s="2">
        <v>158.25</v>
      </c>
      <c r="F5353" s="2" t="e">
        <f>IF(Table2[[#This Row],[Manual Cat Value]]="",VLOOKUP(Table2[[#This Row],[Description]],'Actuals Lookup'!D:F,3,0),Table2[[#This Row],[Manual Cat Value]])</f>
        <v>#N/A</v>
      </c>
      <c r="J5353" s="2">
        <v>158.25</v>
      </c>
      <c r="K5353" s="2" t="b">
        <v>0</v>
      </c>
      <c r="L5353" s="2"/>
      <c r="M5353" s="2"/>
      <c r="N5353" s="4" t="s">
        <v>2259</v>
      </c>
      <c r="O5353" s="4" t="str">
        <f>LEFT(Table2[[#This Row],[Description]],75)</f>
        <v>Withdrawal Debit REEDS SUNNYSIDE MARINA WWWSUNNYSIDE WI Date 080321 030 792</v>
      </c>
      <c r="P5353" s="2" t="s">
        <v>2281</v>
      </c>
    </row>
    <row r="5354" spans="1:16" hidden="1">
      <c r="A5354" s="2">
        <v>202108</v>
      </c>
      <c r="B5354" s="3">
        <v>44412</v>
      </c>
      <c r="C5354" s="2" t="s">
        <v>2262</v>
      </c>
      <c r="D5354" s="2" t="s">
        <v>38</v>
      </c>
      <c r="E5354" s="2">
        <v>-9.65</v>
      </c>
      <c r="F5354" s="2" t="str">
        <f>IF(Table2[[#This Row],[Manual Cat Value]]="",VLOOKUP(Table2[[#This Row],[Description]],'Actuals Lookup'!D:F,3,0),Table2[[#This Row],[Manual Cat Value]])</f>
        <v>Amazon</v>
      </c>
      <c r="J5354" s="2">
        <v>9.65</v>
      </c>
      <c r="K5354" s="2" t="b">
        <v>0</v>
      </c>
      <c r="L5354" s="2"/>
      <c r="M5354" s="2"/>
      <c r="N5354" s="4" t="s">
        <v>2273</v>
      </c>
      <c r="O5354" s="4" t="str">
        <f>LEFT(Table2[[#This Row],[Description]],75)</f>
        <v>Amazon</v>
      </c>
      <c r="P5354" s="2" t="s">
        <v>2260</v>
      </c>
    </row>
    <row r="5355" spans="1:16" hidden="1">
      <c r="A5355" s="2">
        <v>202108</v>
      </c>
      <c r="B5355" s="3">
        <v>44412</v>
      </c>
      <c r="C5355" s="2" t="s">
        <v>2262</v>
      </c>
      <c r="D5355" s="2" t="s">
        <v>648</v>
      </c>
      <c r="E5355" s="2">
        <v>59.36</v>
      </c>
      <c r="F5355" s="2" t="str">
        <f>IF(Table2[[#This Row],[Manual Cat Value]]="",VLOOKUP(Table2[[#This Row],[Description]],'Actuals Lookup'!D:F,3,0),Table2[[#This Row],[Manual Cat Value]])</f>
        <v>Groceries</v>
      </c>
      <c r="J5355" s="2">
        <v>59.36</v>
      </c>
      <c r="K5355" s="2" t="b">
        <v>0</v>
      </c>
      <c r="L5355" s="2"/>
      <c r="M5355" s="2"/>
      <c r="N5355" s="4" t="s">
        <v>2259</v>
      </c>
      <c r="O5355" s="4" t="str">
        <f>LEFT(Table2[[#This Row],[Description]],75)</f>
        <v>Costco</v>
      </c>
      <c r="P5355" s="2" t="s">
        <v>2409</v>
      </c>
    </row>
    <row r="5356" spans="1:16" hidden="1">
      <c r="A5356" s="2">
        <v>202108</v>
      </c>
      <c r="B5356" s="3">
        <v>44412</v>
      </c>
      <c r="C5356" s="2" t="s">
        <v>2262</v>
      </c>
      <c r="D5356" s="2" t="s">
        <v>648</v>
      </c>
      <c r="E5356" s="2">
        <v>78.69</v>
      </c>
      <c r="F5356" s="2" t="str">
        <f>IF(Table2[[#This Row],[Manual Cat Value]]="",VLOOKUP(Table2[[#This Row],[Description]],'Actuals Lookup'!D:F,3,0),Table2[[#This Row],[Manual Cat Value]])</f>
        <v>Groceries</v>
      </c>
      <c r="J5356" s="2">
        <v>78.69</v>
      </c>
      <c r="K5356" s="2" t="b">
        <v>0</v>
      </c>
      <c r="L5356" s="2"/>
      <c r="M5356" s="2"/>
      <c r="N5356" s="4" t="s">
        <v>2259</v>
      </c>
      <c r="O5356" s="4" t="str">
        <f>LEFT(Table2[[#This Row],[Description]],75)</f>
        <v>Costco</v>
      </c>
      <c r="P5356" s="2" t="s">
        <v>2409</v>
      </c>
    </row>
    <row r="5357" spans="1:16" hidden="1">
      <c r="A5357" s="2">
        <v>202108</v>
      </c>
      <c r="B5357" s="3">
        <v>44412</v>
      </c>
      <c r="C5357" s="2" t="s">
        <v>2262</v>
      </c>
      <c r="D5357" s="2" t="s">
        <v>648</v>
      </c>
      <c r="E5357" s="2">
        <v>171.02</v>
      </c>
      <c r="F5357" s="2" t="str">
        <f>IF(Table2[[#This Row],[Manual Cat Value]]="",VLOOKUP(Table2[[#This Row],[Description]],'Actuals Lookup'!D:F,3,0),Table2[[#This Row],[Manual Cat Value]])</f>
        <v>Groceries</v>
      </c>
      <c r="J5357" s="2">
        <v>171.02</v>
      </c>
      <c r="K5357" s="2" t="b">
        <v>0</v>
      </c>
      <c r="L5357" s="2"/>
      <c r="M5357" s="2"/>
      <c r="N5357" s="4" t="s">
        <v>2259</v>
      </c>
      <c r="O5357" s="4" t="str">
        <f>LEFT(Table2[[#This Row],[Description]],75)</f>
        <v>Costco</v>
      </c>
      <c r="P5357" s="2" t="s">
        <v>2409</v>
      </c>
    </row>
    <row r="5358" spans="1:16" hidden="1">
      <c r="A5358" s="2">
        <v>202108</v>
      </c>
      <c r="B5358" s="3">
        <v>44412</v>
      </c>
      <c r="C5358" s="2" t="s">
        <v>2262</v>
      </c>
      <c r="D5358" s="2" t="s">
        <v>851</v>
      </c>
      <c r="E5358" s="2">
        <v>405</v>
      </c>
      <c r="F5358" s="2" t="str">
        <f>IF(Table2[[#This Row],[Manual Cat Value]]="",VLOOKUP(Table2[[#This Row],[Description]],'Actuals Lookup'!D:F,3,0),Table2[[#This Row],[Manual Cat Value]])</f>
        <v>Day Care</v>
      </c>
      <c r="J5358" s="2">
        <v>405</v>
      </c>
      <c r="K5358" s="2" t="b">
        <v>0</v>
      </c>
      <c r="L5358" s="2"/>
      <c r="M5358" s="2"/>
      <c r="N5358" s="4" t="s">
        <v>2259</v>
      </c>
      <c r="O5358" s="4" t="str">
        <f>LEFT(Table2[[#This Row],[Description]],75)</f>
        <v>Foss Swim School</v>
      </c>
      <c r="P5358" s="2" t="s">
        <v>2464</v>
      </c>
    </row>
    <row r="5359" spans="1:16" hidden="1">
      <c r="A5359" s="2">
        <v>202108</v>
      </c>
      <c r="B5359" s="3">
        <v>44412</v>
      </c>
      <c r="C5359" s="2" t="s">
        <v>2460</v>
      </c>
      <c r="D5359" s="2" t="s">
        <v>1140</v>
      </c>
      <c r="E5359" s="2">
        <v>-19.940000000000001</v>
      </c>
      <c r="F5359" s="2" t="e">
        <f>IF(Table2[[#This Row],[Manual Cat Value]]="",VLOOKUP(Table2[[#This Row],[Description]],'Actuals Lookup'!D:F,3,0),Table2[[#This Row],[Manual Cat Value]])</f>
        <v>#N/A</v>
      </c>
      <c r="J5359" s="2">
        <v>19.940000000000001</v>
      </c>
      <c r="K5359" s="2" t="b">
        <v>0</v>
      </c>
      <c r="L5359" s="2"/>
      <c r="M5359" s="2"/>
      <c r="N5359" s="4" t="s">
        <v>2273</v>
      </c>
      <c r="O5359" s="4" t="str">
        <f>LEFT(Table2[[#This Row],[Description]],75)</f>
        <v>LOWES COS INC</v>
      </c>
      <c r="P5359" s="2" t="s">
        <v>2281</v>
      </c>
    </row>
    <row r="5360" spans="1:16" hidden="1">
      <c r="A5360" s="2">
        <v>202108</v>
      </c>
      <c r="B5360" s="3">
        <v>44412</v>
      </c>
      <c r="C5360" s="2" t="s">
        <v>2317</v>
      </c>
      <c r="D5360" s="2" t="s">
        <v>1140</v>
      </c>
      <c r="E5360" s="2">
        <v>-19.940000000000001</v>
      </c>
      <c r="F5360" s="2" t="e">
        <f>IF(Table2[[#This Row],[Manual Cat Value]]="",VLOOKUP(Table2[[#This Row],[Description]],'Actuals Lookup'!D:F,3,0),Table2[[#This Row],[Manual Cat Value]])</f>
        <v>#N/A</v>
      </c>
      <c r="J5360" s="2">
        <v>19.940000000000001</v>
      </c>
      <c r="K5360" s="2" t="b">
        <v>0</v>
      </c>
      <c r="L5360" s="2"/>
      <c r="M5360" s="2"/>
      <c r="N5360" s="4" t="s">
        <v>2273</v>
      </c>
      <c r="O5360" s="4" t="str">
        <f>LEFT(Table2[[#This Row],[Description]],75)</f>
        <v>LOWES COS INC</v>
      </c>
      <c r="P5360" s="2" t="s">
        <v>2515</v>
      </c>
    </row>
    <row r="5361" spans="1:16" hidden="1">
      <c r="A5361" s="2">
        <v>202108</v>
      </c>
      <c r="B5361" s="3">
        <v>44412</v>
      </c>
      <c r="C5361" s="2" t="s">
        <v>2262</v>
      </c>
      <c r="D5361" s="2" t="s">
        <v>1279</v>
      </c>
      <c r="E5361" s="2">
        <v>2.34</v>
      </c>
      <c r="F5361" s="2" t="e">
        <f>IF(Table2[[#This Row],[Manual Cat Value]]="",VLOOKUP(Table2[[#This Row],[Description]],'Actuals Lookup'!D:F,3,0),Table2[[#This Row],[Manual Cat Value]])</f>
        <v>#N/A</v>
      </c>
      <c r="J5361" s="2">
        <v>2.34</v>
      </c>
      <c r="K5361" s="2" t="b">
        <v>0</v>
      </c>
      <c r="L5361" s="2"/>
      <c r="M5361" s="2"/>
      <c r="N5361" s="4" t="s">
        <v>2259</v>
      </c>
      <c r="O5361" s="4" t="str">
        <f>LEFT(Table2[[#This Row],[Description]],75)</f>
        <v>MN COURT CARVER SERVICE FXX4757 MN COURT CARVER SERVICE F8668014757 IN</v>
      </c>
      <c r="P5361" s="2" t="s">
        <v>2281</v>
      </c>
    </row>
    <row r="5362" spans="1:16" hidden="1">
      <c r="A5362" s="2">
        <v>202108</v>
      </c>
      <c r="B5362" s="3">
        <v>44413</v>
      </c>
      <c r="C5362" s="2" t="s">
        <v>2262</v>
      </c>
      <c r="D5362" s="2" t="s">
        <v>38</v>
      </c>
      <c r="E5362" s="2">
        <v>8.82</v>
      </c>
      <c r="F5362" s="2" t="str">
        <f>IF(Table2[[#This Row],[Manual Cat Value]]="",VLOOKUP(Table2[[#This Row],[Description]],'Actuals Lookup'!D:F,3,0),Table2[[#This Row],[Manual Cat Value]])</f>
        <v>Amazon</v>
      </c>
      <c r="J5362" s="2">
        <v>8.82</v>
      </c>
      <c r="K5362" s="2" t="b">
        <v>0</v>
      </c>
      <c r="L5362" s="2"/>
      <c r="M5362" s="2"/>
      <c r="N5362" s="4" t="s">
        <v>2259</v>
      </c>
      <c r="O5362" s="4" t="str">
        <f>LEFT(Table2[[#This Row],[Description]],75)</f>
        <v>Amazon</v>
      </c>
      <c r="P5362" s="2" t="s">
        <v>2260</v>
      </c>
    </row>
    <row r="5363" spans="1:16" hidden="1">
      <c r="A5363" s="2">
        <v>202108</v>
      </c>
      <c r="B5363" s="3">
        <v>44413</v>
      </c>
      <c r="C5363" s="2" t="s">
        <v>2265</v>
      </c>
      <c r="D5363" s="2" t="s">
        <v>409</v>
      </c>
      <c r="E5363" s="2">
        <v>-2168.13</v>
      </c>
      <c r="F5363" s="2" t="e">
        <f>IF(Table2[[#This Row],[Manual Cat Value]]="",VLOOKUP(Table2[[#This Row],[Description]],'Actuals Lookup'!D:F,3,0),Table2[[#This Row],[Manual Cat Value]])</f>
        <v>#N/A</v>
      </c>
      <c r="J5363" s="2">
        <v>2168.13</v>
      </c>
      <c r="K5363" s="2" t="b">
        <v>0</v>
      </c>
      <c r="L5363" s="2"/>
      <c r="M5363" s="2"/>
      <c r="N5363" s="4" t="s">
        <v>2273</v>
      </c>
      <c r="O5363" s="4" t="str">
        <f>LEFT(Table2[[#This Row],[Description]],75)</f>
        <v>Cargill Inc Deposit CARGILL INCORPOR TYPE DIRECT DEP ID CO CARGILL INCORPOR</v>
      </c>
      <c r="P5363" s="2" t="s">
        <v>2545</v>
      </c>
    </row>
    <row r="5364" spans="1:16" hidden="1">
      <c r="A5364" s="2">
        <v>202108</v>
      </c>
      <c r="B5364" s="3">
        <v>44413</v>
      </c>
      <c r="C5364" s="2" t="s">
        <v>2262</v>
      </c>
      <c r="D5364" s="2" t="s">
        <v>947</v>
      </c>
      <c r="E5364" s="2">
        <v>70.88</v>
      </c>
      <c r="F5364" s="2" t="e">
        <f>IF(Table2[[#This Row],[Manual Cat Value]]="",VLOOKUP(Table2[[#This Row],[Description]],'Actuals Lookup'!D:F,3,0),Table2[[#This Row],[Manual Cat Value]])</f>
        <v>#N/A</v>
      </c>
      <c r="J5364" s="2">
        <v>70.88</v>
      </c>
      <c r="K5364" s="2" t="b">
        <v>0</v>
      </c>
      <c r="L5364" s="2"/>
      <c r="M5364" s="2"/>
      <c r="N5364" s="4" t="s">
        <v>2259</v>
      </c>
      <c r="O5364" s="4" t="str">
        <f>LEFT(Table2[[#This Row],[Description]],75)</f>
        <v>Home Depot</v>
      </c>
      <c r="P5364" s="2" t="s">
        <v>2396</v>
      </c>
    </row>
    <row r="5365" spans="1:16" hidden="1">
      <c r="A5365" s="2">
        <v>202108</v>
      </c>
      <c r="B5365" s="3">
        <v>44413</v>
      </c>
      <c r="C5365" s="2" t="s">
        <v>2460</v>
      </c>
      <c r="D5365" s="2" t="s">
        <v>1140</v>
      </c>
      <c r="E5365" s="2">
        <v>19.940000000000001</v>
      </c>
      <c r="F5365" s="2" t="e">
        <f>IF(Table2[[#This Row],[Manual Cat Value]]="",VLOOKUP(Table2[[#This Row],[Description]],'Actuals Lookup'!D:F,3,0),Table2[[#This Row],[Manual Cat Value]])</f>
        <v>#N/A</v>
      </c>
      <c r="J5365" s="2">
        <v>19.940000000000001</v>
      </c>
      <c r="K5365" s="2" t="b">
        <v>0</v>
      </c>
      <c r="L5365" s="2"/>
      <c r="M5365" s="2"/>
      <c r="N5365" s="4" t="s">
        <v>2259</v>
      </c>
      <c r="O5365" s="4" t="str">
        <f>LEFT(Table2[[#This Row],[Description]],75)</f>
        <v>LOWES COS INC</v>
      </c>
      <c r="P5365" s="2" t="s">
        <v>2281</v>
      </c>
    </row>
    <row r="5366" spans="1:16" hidden="1">
      <c r="A5366" s="2">
        <v>202108</v>
      </c>
      <c r="B5366" s="3">
        <v>44413</v>
      </c>
      <c r="C5366" s="2" t="s">
        <v>2317</v>
      </c>
      <c r="D5366" s="2" t="s">
        <v>1140</v>
      </c>
      <c r="E5366" s="2">
        <v>19.940000000000001</v>
      </c>
      <c r="F5366" s="2" t="e">
        <f>IF(Table2[[#This Row],[Manual Cat Value]]="",VLOOKUP(Table2[[#This Row],[Description]],'Actuals Lookup'!D:F,3,0),Table2[[#This Row],[Manual Cat Value]])</f>
        <v>#N/A</v>
      </c>
      <c r="J5366" s="2">
        <v>19.940000000000001</v>
      </c>
      <c r="K5366" s="2" t="b">
        <v>0</v>
      </c>
      <c r="L5366" s="2"/>
      <c r="M5366" s="2"/>
      <c r="N5366" s="4" t="s">
        <v>2259</v>
      </c>
      <c r="O5366" s="4" t="str">
        <f>LEFT(Table2[[#This Row],[Description]],75)</f>
        <v>LOWES COS INC</v>
      </c>
      <c r="P5366" s="2" t="s">
        <v>2515</v>
      </c>
    </row>
    <row r="5367" spans="1:16" hidden="1">
      <c r="A5367" s="2">
        <v>202108</v>
      </c>
      <c r="B5367" s="3">
        <v>44413</v>
      </c>
      <c r="C5367" s="2" t="s">
        <v>2265</v>
      </c>
      <c r="D5367" s="2" t="s">
        <v>1471</v>
      </c>
      <c r="E5367" s="2">
        <v>10</v>
      </c>
      <c r="F5367" s="2" t="str">
        <f>IF(Table2[[#This Row],[Manual Cat Value]]="",VLOOKUP(Table2[[#This Row],[Description]],'Actuals Lookup'!D:F,3,0),Table2[[#This Row],[Manual Cat Value]])</f>
        <v>Shopping</v>
      </c>
      <c r="J5367" s="2">
        <v>10</v>
      </c>
      <c r="K5367" s="2" t="b">
        <v>0</v>
      </c>
      <c r="L5367" s="2"/>
      <c r="M5367" s="2"/>
      <c r="N5367" s="4" t="s">
        <v>2259</v>
      </c>
      <c r="O5367" s="4" t="str">
        <f>LEFT(Table2[[#This Row],[Description]],75)</f>
        <v>PayPal</v>
      </c>
      <c r="P5367" s="2" t="s">
        <v>2322</v>
      </c>
    </row>
    <row r="5368" spans="1:16" hidden="1">
      <c r="A5368" s="2">
        <v>202108</v>
      </c>
      <c r="B5368" s="3">
        <v>44413</v>
      </c>
      <c r="C5368" s="2" t="s">
        <v>2262</v>
      </c>
      <c r="D5368" s="2" t="s">
        <v>1608</v>
      </c>
      <c r="E5368" s="2">
        <v>-283</v>
      </c>
      <c r="F5368" s="2" t="e">
        <f>IF(Table2[[#This Row],[Manual Cat Value]]="",VLOOKUP(Table2[[#This Row],[Description]],'Actuals Lookup'!D:F,3,0),Table2[[#This Row],[Manual Cat Value]])</f>
        <v>#N/A</v>
      </c>
      <c r="J5368" s="2">
        <v>283</v>
      </c>
      <c r="K5368" s="2" t="b">
        <v>0</v>
      </c>
      <c r="L5368" s="2"/>
      <c r="M5368" s="2"/>
      <c r="N5368" s="4" t="s">
        <v>2273</v>
      </c>
      <c r="O5368" s="4" t="str">
        <f>LEFT(Table2[[#This Row],[Description]],75)</f>
        <v>Ruttgers Bay Lake</v>
      </c>
      <c r="P5368" s="2" t="s">
        <v>2281</v>
      </c>
    </row>
    <row r="5369" spans="1:16" hidden="1">
      <c r="A5369" s="2">
        <v>202108</v>
      </c>
      <c r="B5369" s="3">
        <v>44413</v>
      </c>
      <c r="C5369" s="2" t="s">
        <v>2262</v>
      </c>
      <c r="D5369" s="2" t="s">
        <v>1773</v>
      </c>
      <c r="E5369" s="2">
        <v>15</v>
      </c>
      <c r="F5369" s="2" t="str">
        <f>IF(Table2[[#This Row],[Manual Cat Value]]="",VLOOKUP(Table2[[#This Row],[Description]],'Actuals Lookup'!D:F,3,0),Table2[[#This Row],[Manual Cat Value]])</f>
        <v>Restaurants</v>
      </c>
      <c r="J5369" s="2">
        <v>15</v>
      </c>
      <c r="K5369" s="2" t="b">
        <v>0</v>
      </c>
      <c r="L5369" s="2"/>
      <c r="M5369" s="2"/>
      <c r="N5369" s="4" t="s">
        <v>2259</v>
      </c>
      <c r="O5369" s="4" t="str">
        <f>LEFT(Table2[[#This Row],[Description]],75)</f>
        <v>Starbucks</v>
      </c>
      <c r="P5369" s="2" t="s">
        <v>2454</v>
      </c>
    </row>
    <row r="5370" spans="1:16" hidden="1">
      <c r="A5370" s="2">
        <v>202108</v>
      </c>
      <c r="B5370" s="3">
        <v>44413</v>
      </c>
      <c r="C5370" s="2" t="s">
        <v>2265</v>
      </c>
      <c r="D5370" s="2" t="s">
        <v>2221</v>
      </c>
      <c r="E5370" s="2">
        <v>203.25</v>
      </c>
      <c r="F5370" s="2" t="str">
        <f>IF(Table2[[#This Row],[Manual Cat Value]]="",VLOOKUP(Table2[[#This Row],[Description]],'Actuals Lookup'!D:F,3,0),Table2[[#This Row],[Manual Cat Value]])</f>
        <v>Utilities</v>
      </c>
      <c r="J5370" s="2">
        <v>203.25</v>
      </c>
      <c r="K5370" s="2" t="b">
        <v>0</v>
      </c>
      <c r="L5370" s="2"/>
      <c r="M5370" s="2"/>
      <c r="N5370" s="4" t="s">
        <v>2259</v>
      </c>
      <c r="O5370" s="4" t="str">
        <f>LEFT(Table2[[#This Row],[Description]],75)</f>
        <v>Xcel Energy</v>
      </c>
      <c r="P5370" s="2" t="s">
        <v>2280</v>
      </c>
    </row>
    <row r="5371" spans="1:16" hidden="1">
      <c r="A5371" s="2">
        <v>202108</v>
      </c>
      <c r="B5371" s="3">
        <v>44414</v>
      </c>
      <c r="C5371" s="2" t="s">
        <v>2460</v>
      </c>
      <c r="D5371" s="2" t="s">
        <v>424</v>
      </c>
      <c r="E5371" s="2">
        <v>-200</v>
      </c>
      <c r="F5371" s="2" t="e">
        <f>IF(Table2[[#This Row],[Manual Cat Value]]="",VLOOKUP(Table2[[#This Row],[Description]],'Actuals Lookup'!D:F,3,0),Table2[[#This Row],[Manual Cat Value]])</f>
        <v>#N/A</v>
      </c>
      <c r="J5371" s="2">
        <v>200</v>
      </c>
      <c r="K5371" s="2" t="b">
        <v>0</v>
      </c>
      <c r="L5371" s="2"/>
      <c r="M5371" s="2"/>
      <c r="N5371" s="4" t="s">
        <v>2273</v>
      </c>
      <c r="O5371" s="4" t="str">
        <f>LEFT(Table2[[#This Row],[Description]],75)</f>
        <v>CARGILL INCORPOR</v>
      </c>
      <c r="P5371" s="2" t="s">
        <v>2281</v>
      </c>
    </row>
    <row r="5372" spans="1:16" hidden="1">
      <c r="A5372" s="2">
        <v>202108</v>
      </c>
      <c r="B5372" s="3">
        <v>44414</v>
      </c>
      <c r="C5372" s="2" t="s">
        <v>2317</v>
      </c>
      <c r="D5372" s="2" t="s">
        <v>424</v>
      </c>
      <c r="E5372" s="2">
        <v>-200</v>
      </c>
      <c r="F5372" s="2" t="e">
        <f>IF(Table2[[#This Row],[Manual Cat Value]]="",VLOOKUP(Table2[[#This Row],[Description]],'Actuals Lookup'!D:F,3,0),Table2[[#This Row],[Manual Cat Value]])</f>
        <v>#N/A</v>
      </c>
      <c r="J5372" s="2">
        <v>200</v>
      </c>
      <c r="K5372" s="2" t="b">
        <v>0</v>
      </c>
      <c r="L5372" s="2"/>
      <c r="M5372" s="2"/>
      <c r="N5372" s="4" t="s">
        <v>2273</v>
      </c>
      <c r="O5372" s="4" t="str">
        <f>LEFT(Table2[[#This Row],[Description]],75)</f>
        <v>CARGILL INCORPOR</v>
      </c>
      <c r="P5372" s="2" t="s">
        <v>2385</v>
      </c>
    </row>
    <row r="5373" spans="1:16" hidden="1">
      <c r="A5373" s="2">
        <v>202108</v>
      </c>
      <c r="B5373" s="3">
        <v>44414</v>
      </c>
      <c r="C5373" s="2" t="s">
        <v>2262</v>
      </c>
      <c r="D5373" s="2" t="s">
        <v>1560</v>
      </c>
      <c r="E5373" s="2">
        <v>78.23</v>
      </c>
      <c r="F5373" s="2" t="e">
        <f>IF(Table2[[#This Row],[Manual Cat Value]]="",VLOOKUP(Table2[[#This Row],[Description]],'Actuals Lookup'!D:F,3,0),Table2[[#This Row],[Manual Cat Value]])</f>
        <v>#N/A</v>
      </c>
      <c r="J5373" s="2">
        <v>78.23</v>
      </c>
      <c r="K5373" s="2" t="b">
        <v>0</v>
      </c>
      <c r="L5373" s="2"/>
      <c r="M5373" s="2"/>
      <c r="N5373" s="4" t="s">
        <v>2259</v>
      </c>
      <c r="O5373" s="4" t="str">
        <f>LEFT(Table2[[#This Row],[Description]],75)</f>
        <v>Red Sauce Rebellion, LLC</v>
      </c>
      <c r="P5373" s="2" t="s">
        <v>2294</v>
      </c>
    </row>
    <row r="5374" spans="1:16" hidden="1">
      <c r="A5374" s="2">
        <v>202108</v>
      </c>
      <c r="B5374" s="3">
        <v>44414</v>
      </c>
      <c r="C5374" s="2" t="s">
        <v>2460</v>
      </c>
      <c r="D5374" s="2" t="s">
        <v>1629</v>
      </c>
      <c r="E5374" s="2">
        <v>-0.89</v>
      </c>
      <c r="F5374" s="2" t="e">
        <f>IF(Table2[[#This Row],[Manual Cat Value]]="",VLOOKUP(Table2[[#This Row],[Description]],'Actuals Lookup'!D:F,3,0),Table2[[#This Row],[Manual Cat Value]])</f>
        <v>#N/A</v>
      </c>
      <c r="J5374" s="2">
        <v>0.89</v>
      </c>
      <c r="K5374" s="2" t="b">
        <v>0</v>
      </c>
      <c r="L5374" s="2"/>
      <c r="M5374" s="2"/>
      <c r="N5374" s="4" t="s">
        <v>2273</v>
      </c>
      <c r="O5374" s="4" t="str">
        <f>LEFT(Table2[[#This Row],[Description]],75)</f>
        <v>SCHWAB INTERMEDIATE TERMUS TRS ETF</v>
      </c>
      <c r="P5374" s="2" t="s">
        <v>2281</v>
      </c>
    </row>
    <row r="5375" spans="1:16" hidden="1">
      <c r="A5375" s="2">
        <v>202108</v>
      </c>
      <c r="B5375" s="3">
        <v>44414</v>
      </c>
      <c r="C5375" s="2" t="s">
        <v>2317</v>
      </c>
      <c r="D5375" s="2" t="s">
        <v>1629</v>
      </c>
      <c r="E5375" s="2">
        <v>-0.89</v>
      </c>
      <c r="F5375" s="2" t="e">
        <f>IF(Table2[[#This Row],[Manual Cat Value]]="",VLOOKUP(Table2[[#This Row],[Description]],'Actuals Lookup'!D:F,3,0),Table2[[#This Row],[Manual Cat Value]])</f>
        <v>#N/A</v>
      </c>
      <c r="J5375" s="2">
        <v>0.89</v>
      </c>
      <c r="K5375" s="2" t="b">
        <v>0</v>
      </c>
      <c r="L5375" s="2"/>
      <c r="M5375" s="2"/>
      <c r="N5375" s="4" t="s">
        <v>2273</v>
      </c>
      <c r="O5375" s="4" t="str">
        <f>LEFT(Table2[[#This Row],[Description]],75)</f>
        <v>SCHWAB INTERMEDIATE TERMUS TRS ETF</v>
      </c>
      <c r="P5375" s="2" t="s">
        <v>2385</v>
      </c>
    </row>
    <row r="5376" spans="1:16" hidden="1">
      <c r="A5376" s="2">
        <v>202108</v>
      </c>
      <c r="B5376" s="3">
        <v>44414</v>
      </c>
      <c r="C5376" s="2" t="s">
        <v>2460</v>
      </c>
      <c r="D5376" s="2" t="s">
        <v>1635</v>
      </c>
      <c r="E5376" s="2">
        <v>200</v>
      </c>
      <c r="F5376" s="2" t="e">
        <f>IF(Table2[[#This Row],[Manual Cat Value]]="",VLOOKUP(Table2[[#This Row],[Description]],'Actuals Lookup'!D:F,3,0),Table2[[#This Row],[Manual Cat Value]])</f>
        <v>#N/A</v>
      </c>
      <c r="J5376" s="2">
        <v>200</v>
      </c>
      <c r="K5376" s="2" t="b">
        <v>0</v>
      </c>
      <c r="L5376" s="2"/>
      <c r="M5376" s="2"/>
      <c r="N5376" s="4" t="s">
        <v>2259</v>
      </c>
      <c r="O5376" s="4" t="str">
        <f>LEFT(Table2[[#This Row],[Description]],75)</f>
        <v>SCHWAB TOTAL STOCK MKT INDEX</v>
      </c>
      <c r="P5376" s="2" t="s">
        <v>2281</v>
      </c>
    </row>
    <row r="5377" spans="1:16" hidden="1">
      <c r="A5377" s="2">
        <v>202108</v>
      </c>
      <c r="B5377" s="3">
        <v>44414</v>
      </c>
      <c r="C5377" s="2" t="s">
        <v>2317</v>
      </c>
      <c r="D5377" s="2" t="s">
        <v>1635</v>
      </c>
      <c r="E5377" s="2">
        <v>200</v>
      </c>
      <c r="F5377" s="2" t="e">
        <f>IF(Table2[[#This Row],[Manual Cat Value]]="",VLOOKUP(Table2[[#This Row],[Description]],'Actuals Lookup'!D:F,3,0),Table2[[#This Row],[Manual Cat Value]])</f>
        <v>#N/A</v>
      </c>
      <c r="J5377" s="2">
        <v>200</v>
      </c>
      <c r="K5377" s="2" t="b">
        <v>0</v>
      </c>
      <c r="L5377" s="2"/>
      <c r="M5377" s="2"/>
      <c r="N5377" s="4" t="s">
        <v>2259</v>
      </c>
      <c r="O5377" s="4" t="str">
        <f>LEFT(Table2[[#This Row],[Description]],75)</f>
        <v>SCHWAB TOTAL STOCK MKT INDEX</v>
      </c>
      <c r="P5377" s="2" t="s">
        <v>2278</v>
      </c>
    </row>
    <row r="5378" spans="1:16" hidden="1">
      <c r="A5378" s="2">
        <v>202108</v>
      </c>
      <c r="B5378" s="3">
        <v>44414</v>
      </c>
      <c r="C5378" s="2" t="s">
        <v>2262</v>
      </c>
      <c r="D5378" s="2" t="s">
        <v>1707</v>
      </c>
      <c r="E5378" s="2">
        <v>51.75</v>
      </c>
      <c r="F5378" s="2" t="str">
        <f>IF(Table2[[#This Row],[Manual Cat Value]]="",VLOOKUP(Table2[[#This Row],[Description]],'Actuals Lookup'!D:F,3,0),Table2[[#This Row],[Manual Cat Value]])</f>
        <v>Transportation</v>
      </c>
      <c r="J5378" s="2">
        <v>51.75</v>
      </c>
      <c r="K5378" s="2" t="b">
        <v>0</v>
      </c>
      <c r="L5378" s="2"/>
      <c r="M5378" s="2"/>
      <c r="N5378" s="4" t="s">
        <v>2259</v>
      </c>
      <c r="O5378" s="4" t="str">
        <f>LEFT(Table2[[#This Row],[Description]],75)</f>
        <v>Speedway</v>
      </c>
      <c r="P5378" s="2" t="s">
        <v>2381</v>
      </c>
    </row>
    <row r="5379" spans="1:16" hidden="1">
      <c r="A5379" s="2">
        <v>202108</v>
      </c>
      <c r="B5379" s="3">
        <v>44414</v>
      </c>
      <c r="C5379" s="2" t="s">
        <v>2338</v>
      </c>
      <c r="D5379" s="2" t="s">
        <v>1820</v>
      </c>
      <c r="E5379" s="2">
        <v>-784.4</v>
      </c>
      <c r="F5379" s="2" t="e">
        <f>IF(Table2[[#This Row],[Manual Cat Value]]="",VLOOKUP(Table2[[#This Row],[Description]],'Actuals Lookup'!D:F,3,0),Table2[[#This Row],[Manual Cat Value]])</f>
        <v>#N/A</v>
      </c>
      <c r="J5379" s="2">
        <v>784.4</v>
      </c>
      <c r="K5379" s="2" t="b">
        <v>0</v>
      </c>
      <c r="L5379" s="2"/>
      <c r="M5379" s="2"/>
      <c r="N5379" s="4" t="s">
        <v>2273</v>
      </c>
      <c r="O5379" s="4" t="str">
        <f>LEFT(Table2[[#This Row],[Description]],75)</f>
        <v>Target Retire 2055 Tr P - Plan Contribution</v>
      </c>
      <c r="P5379" s="2" t="s">
        <v>2386</v>
      </c>
    </row>
    <row r="5380" spans="1:16" hidden="1">
      <c r="A5380" s="2">
        <v>202108</v>
      </c>
      <c r="B5380" s="3">
        <v>44414</v>
      </c>
      <c r="C5380" s="2" t="s">
        <v>2434</v>
      </c>
      <c r="D5380" s="2" t="s">
        <v>1835</v>
      </c>
      <c r="E5380" s="2">
        <v>-231</v>
      </c>
      <c r="F5380" s="2" t="e">
        <f>IF(Table2[[#This Row],[Manual Cat Value]]="",VLOOKUP(Table2[[#This Row],[Description]],'Actuals Lookup'!D:F,3,0),Table2[[#This Row],[Manual Cat Value]])</f>
        <v>#N/A</v>
      </c>
      <c r="J5380" s="2">
        <v>231</v>
      </c>
      <c r="K5380" s="2" t="b">
        <v>0</v>
      </c>
      <c r="L5380" s="2"/>
      <c r="M5380" s="2"/>
      <c r="N5380" s="4" t="s">
        <v>2273</v>
      </c>
      <c r="O5380" s="4" t="str">
        <f>LEFT(Table2[[#This Row],[Description]],75)</f>
        <v>Tfr JPMORGAN CHASE BAN, CARGILL INCORPOR</v>
      </c>
      <c r="P5380" s="2" t="s">
        <v>2281</v>
      </c>
    </row>
    <row r="5381" spans="1:16" hidden="1">
      <c r="A5381" s="2">
        <v>202108</v>
      </c>
      <c r="B5381" s="3">
        <v>44416</v>
      </c>
      <c r="C5381" s="2" t="s">
        <v>2262</v>
      </c>
      <c r="D5381" s="2" t="s">
        <v>291</v>
      </c>
      <c r="E5381" s="2">
        <v>20.7</v>
      </c>
      <c r="F5381" s="2" t="e">
        <f>IF(Table2[[#This Row],[Manual Cat Value]]="",VLOOKUP(Table2[[#This Row],[Description]],'Actuals Lookup'!D:F,3,0),Table2[[#This Row],[Manual Cat Value]])</f>
        <v>#N/A</v>
      </c>
      <c r="J5381" s="2">
        <v>20.7</v>
      </c>
      <c r="K5381" s="2" t="b">
        <v>0</v>
      </c>
      <c r="L5381" s="2"/>
      <c r="M5381" s="2"/>
      <c r="N5381" s="4" t="s">
        <v>2259</v>
      </c>
      <c r="O5381" s="4" t="str">
        <f>LEFT(Table2[[#This Row],[Description]],75)</f>
        <v>Birchs</v>
      </c>
      <c r="P5381" s="2" t="s">
        <v>2543</v>
      </c>
    </row>
    <row r="5382" spans="1:16" hidden="1">
      <c r="A5382" s="2">
        <v>202108</v>
      </c>
      <c r="B5382" s="3">
        <v>44416</v>
      </c>
      <c r="C5382" s="2" t="s">
        <v>2262</v>
      </c>
      <c r="D5382" s="2" t="s">
        <v>291</v>
      </c>
      <c r="E5382" s="2">
        <v>119.8</v>
      </c>
      <c r="F5382" s="2" t="e">
        <f>IF(Table2[[#This Row],[Manual Cat Value]]="",VLOOKUP(Table2[[#This Row],[Description]],'Actuals Lookup'!D:F,3,0),Table2[[#This Row],[Manual Cat Value]])</f>
        <v>#N/A</v>
      </c>
      <c r="J5382" s="2">
        <v>119.8</v>
      </c>
      <c r="K5382" s="2" t="b">
        <v>0</v>
      </c>
      <c r="L5382" s="2"/>
      <c r="M5382" s="2"/>
      <c r="N5382" s="4" t="s">
        <v>2259</v>
      </c>
      <c r="O5382" s="4" t="str">
        <f>LEFT(Table2[[#This Row],[Description]],75)</f>
        <v>Birchs</v>
      </c>
      <c r="P5382" s="2" t="s">
        <v>2543</v>
      </c>
    </row>
    <row r="5383" spans="1:16" hidden="1">
      <c r="A5383" s="2">
        <v>202108</v>
      </c>
      <c r="B5383" s="3">
        <v>44416</v>
      </c>
      <c r="C5383" s="2" t="s">
        <v>2262</v>
      </c>
      <c r="D5383" s="2" t="s">
        <v>684</v>
      </c>
      <c r="E5383" s="2">
        <v>62.79</v>
      </c>
      <c r="F5383" s="2" t="str">
        <f>IF(Table2[[#This Row],[Manual Cat Value]]="",VLOOKUP(Table2[[#This Row],[Description]],'Actuals Lookup'!D:F,3,0),Table2[[#This Row],[Manual Cat Value]])</f>
        <v>Groceries</v>
      </c>
      <c r="J5383" s="2">
        <v>62.79</v>
      </c>
      <c r="K5383" s="2" t="b">
        <v>0</v>
      </c>
      <c r="L5383" s="2"/>
      <c r="M5383" s="2"/>
      <c r="N5383" s="4" t="s">
        <v>2259</v>
      </c>
      <c r="O5383" s="4" t="str">
        <f>LEFT(Table2[[#This Row],[Description]],75)</f>
        <v>Cub Foods</v>
      </c>
      <c r="P5383" s="2" t="s">
        <v>2370</v>
      </c>
    </row>
    <row r="5384" spans="1:16" hidden="1">
      <c r="A5384" s="2">
        <v>202108</v>
      </c>
      <c r="B5384" s="3">
        <v>44416</v>
      </c>
      <c r="C5384" s="2" t="s">
        <v>2262</v>
      </c>
      <c r="D5384" s="2" t="s">
        <v>1591</v>
      </c>
      <c r="E5384" s="2">
        <v>146.12</v>
      </c>
      <c r="F5384" s="2" t="e">
        <f>IF(Table2[[#This Row],[Manual Cat Value]]="",VLOOKUP(Table2[[#This Row],[Description]],'Actuals Lookup'!D:F,3,0),Table2[[#This Row],[Manual Cat Value]])</f>
        <v>#N/A</v>
      </c>
      <c r="J5384" s="2">
        <v>146.12</v>
      </c>
      <c r="K5384" s="2" t="b">
        <v>0</v>
      </c>
      <c r="L5384" s="2"/>
      <c r="M5384" s="2"/>
      <c r="N5384" s="4" t="s">
        <v>2259</v>
      </c>
      <c r="O5384" s="4" t="str">
        <f>LEFT(Table2[[#This Row],[Description]],75)</f>
        <v>RIDGEVIEW MEDICAL CNTRCL9524422191 MN</v>
      </c>
      <c r="P5384" s="2" t="s">
        <v>2281</v>
      </c>
    </row>
    <row r="5385" spans="1:16" hidden="1">
      <c r="A5385" s="2">
        <v>202108</v>
      </c>
      <c r="B5385" s="3">
        <v>44416</v>
      </c>
      <c r="C5385" s="2" t="s">
        <v>2262</v>
      </c>
      <c r="D5385" s="2" t="s">
        <v>2002</v>
      </c>
      <c r="E5385" s="2">
        <v>5.36</v>
      </c>
      <c r="F5385" s="2" t="e">
        <f>IF(Table2[[#This Row],[Manual Cat Value]]="",VLOOKUP(Table2[[#This Row],[Description]],'Actuals Lookup'!D:F,3,0),Table2[[#This Row],[Manual Cat Value]])</f>
        <v>#N/A</v>
      </c>
      <c r="J5385" s="2">
        <v>5.36</v>
      </c>
      <c r="K5385" s="2" t="b">
        <v>0</v>
      </c>
      <c r="L5385" s="2"/>
      <c r="M5385" s="2"/>
      <c r="N5385" s="4" t="s">
        <v>2259</v>
      </c>
      <c r="O5385" s="4" t="str">
        <f>LEFT(Table2[[#This Row],[Description]],75)</f>
        <v>True Value</v>
      </c>
      <c r="P5385" s="2" t="s">
        <v>2490</v>
      </c>
    </row>
    <row r="5386" spans="1:16" hidden="1">
      <c r="A5386" s="2">
        <v>202108</v>
      </c>
      <c r="B5386" s="3">
        <v>44417</v>
      </c>
      <c r="C5386" s="2" t="s">
        <v>2258</v>
      </c>
      <c r="D5386" s="2" t="s">
        <v>458</v>
      </c>
      <c r="E5386" s="2">
        <v>-6</v>
      </c>
      <c r="F5386" s="2" t="e">
        <f>IF(Table2[[#This Row],[Manual Cat Value]]="",VLOOKUP(Table2[[#This Row],[Description]],'Actuals Lookup'!D:F,3,0),Table2[[#This Row],[Manual Cat Value]])</f>
        <v>#N/A</v>
      </c>
      <c r="J5386" s="2">
        <v>6</v>
      </c>
      <c r="K5386" s="2" t="b">
        <v>0</v>
      </c>
      <c r="L5386" s="2"/>
      <c r="M5386" s="2"/>
      <c r="N5386" s="4" t="s">
        <v>2273</v>
      </c>
      <c r="O5386" s="4" t="str">
        <f>LEFT(Table2[[#This Row],[Description]],75)</f>
        <v>CASHBACK BONUS REDEMPTION payment/STMT CRDT</v>
      </c>
      <c r="P5386" s="2" t="s">
        <v>2281</v>
      </c>
    </row>
    <row r="5387" spans="1:16" hidden="1">
      <c r="A5387" s="2">
        <v>202108</v>
      </c>
      <c r="B5387" s="3">
        <v>44417</v>
      </c>
      <c r="C5387" s="2" t="s">
        <v>2447</v>
      </c>
      <c r="D5387" s="2" t="s">
        <v>458</v>
      </c>
      <c r="E5387" s="2">
        <v>-6</v>
      </c>
      <c r="F5387" s="2" t="e">
        <f>IF(Table2[[#This Row],[Manual Cat Value]]="",VLOOKUP(Table2[[#This Row],[Description]],'Actuals Lookup'!D:F,3,0),Table2[[#This Row],[Manual Cat Value]])</f>
        <v>#N/A</v>
      </c>
      <c r="J5387" s="2">
        <v>6</v>
      </c>
      <c r="K5387" s="2" t="b">
        <v>0</v>
      </c>
      <c r="L5387" s="2"/>
      <c r="M5387" s="2"/>
      <c r="N5387" s="4" t="s">
        <v>2273</v>
      </c>
      <c r="O5387" s="4" t="str">
        <f>LEFT(Table2[[#This Row],[Description]],75)</f>
        <v>CASHBACK BONUS REDEMPTION payment/STMT CRDT</v>
      </c>
      <c r="P5387" s="2" t="s">
        <v>2304</v>
      </c>
    </row>
    <row r="5388" spans="1:16" hidden="1">
      <c r="A5388" s="2">
        <v>202108</v>
      </c>
      <c r="B5388" s="3">
        <v>44417</v>
      </c>
      <c r="C5388" s="2" t="s">
        <v>2258</v>
      </c>
      <c r="D5388" s="2" t="s">
        <v>997</v>
      </c>
      <c r="E5388" s="2">
        <v>-31.55</v>
      </c>
      <c r="F5388" s="2" t="str">
        <f>IF(Table2[[#This Row],[Manual Cat Value]]="",VLOOKUP(Table2[[#This Row],[Description]],'Actuals Lookup'!D:F,3,0),Table2[[#This Row],[Manual Cat Value]])</f>
        <v>Delete</v>
      </c>
      <c r="J5388" s="2">
        <v>31.55</v>
      </c>
      <c r="K5388" s="2" t="b">
        <v>0</v>
      </c>
      <c r="L5388" s="2"/>
      <c r="M5388" s="2"/>
      <c r="N5388" s="4" t="s">
        <v>2273</v>
      </c>
      <c r="O5388" s="4" t="str">
        <f>LEFT(Table2[[#This Row],[Description]],75)</f>
        <v>INTERNET PAYMENT - THANK YOU</v>
      </c>
      <c r="P5388" s="2" t="s">
        <v>2281</v>
      </c>
    </row>
    <row r="5389" spans="1:16" hidden="1">
      <c r="A5389" s="2">
        <v>202108</v>
      </c>
      <c r="B5389" s="3">
        <v>44417</v>
      </c>
      <c r="C5389" s="2" t="s">
        <v>2447</v>
      </c>
      <c r="D5389" s="2" t="s">
        <v>997</v>
      </c>
      <c r="E5389" s="2">
        <v>-31.55</v>
      </c>
      <c r="F5389" s="2" t="str">
        <f>IF(Table2[[#This Row],[Manual Cat Value]]="",VLOOKUP(Table2[[#This Row],[Description]],'Actuals Lookup'!D:F,3,0),Table2[[#This Row],[Manual Cat Value]])</f>
        <v>Delete</v>
      </c>
      <c r="J5389" s="2">
        <v>31.55</v>
      </c>
      <c r="K5389" s="2" t="b">
        <v>0</v>
      </c>
      <c r="L5389" s="2"/>
      <c r="M5389" s="2"/>
      <c r="N5389" s="4" t="s">
        <v>2273</v>
      </c>
      <c r="O5389" s="4" t="str">
        <f>LEFT(Table2[[#This Row],[Description]],75)</f>
        <v>INTERNET PAYMENT - THANK YOU</v>
      </c>
      <c r="P5389" s="2" t="s">
        <v>2291</v>
      </c>
    </row>
    <row r="5390" spans="1:16" hidden="1">
      <c r="A5390" s="2">
        <v>202108</v>
      </c>
      <c r="B5390" s="3">
        <v>44417</v>
      </c>
      <c r="C5390" s="2" t="s">
        <v>2262</v>
      </c>
      <c r="D5390" s="2" t="s">
        <v>1423</v>
      </c>
      <c r="E5390" s="2">
        <v>-2378.71</v>
      </c>
      <c r="F5390" s="2" t="e">
        <f>IF(Table2[[#This Row],[Manual Cat Value]]="",VLOOKUP(Table2[[#This Row],[Description]],'Actuals Lookup'!D:F,3,0),Table2[[#This Row],[Manual Cat Value]])</f>
        <v>#N/A</v>
      </c>
      <c r="J5390" s="2">
        <v>2378.71</v>
      </c>
      <c r="K5390" s="2" t="b">
        <v>0</v>
      </c>
      <c r="L5390" s="2"/>
      <c r="M5390" s="2"/>
      <c r="N5390" s="4" t="s">
        <v>2273</v>
      </c>
      <c r="O5390" s="4" t="str">
        <f>LEFT(Table2[[#This Row],[Description]],75)</f>
        <v>PAYMENT THANK YOU</v>
      </c>
      <c r="P5390" s="2" t="s">
        <v>2281</v>
      </c>
    </row>
    <row r="5391" spans="1:16" hidden="1">
      <c r="A5391" s="2">
        <v>202108</v>
      </c>
      <c r="B5391" s="3">
        <v>44417</v>
      </c>
      <c r="C5391" s="2" t="s">
        <v>2265</v>
      </c>
      <c r="D5391" s="2" t="s">
        <v>1960</v>
      </c>
      <c r="E5391" s="2">
        <v>225</v>
      </c>
      <c r="F5391" s="2" t="e">
        <f>IF(Table2[[#This Row],[Manual Cat Value]]="",VLOOKUP(Table2[[#This Row],[Description]],'Actuals Lookup'!D:F,3,0),Table2[[#This Row],[Manual Cat Value]])</f>
        <v>#N/A</v>
      </c>
      <c r="J5391" s="2">
        <v>225</v>
      </c>
      <c r="K5391" s="2" t="b">
        <v>0</v>
      </c>
      <c r="L5391" s="2"/>
      <c r="M5391" s="2"/>
      <c r="N5391" s="4" t="s">
        <v>2259</v>
      </c>
      <c r="O5391" s="4" t="str">
        <f>LEFT(Table2[[#This Row],[Description]],75)</f>
        <v>Transfer to Venmo VENMO TYPE PAYMENT ID CO VENMO ACH ECC WEB ACH Trace 1119</v>
      </c>
      <c r="P5391" s="2" t="s">
        <v>2281</v>
      </c>
    </row>
    <row r="5392" spans="1:16" hidden="1">
      <c r="A5392" s="2">
        <v>202108</v>
      </c>
      <c r="B5392" s="3">
        <v>44417</v>
      </c>
      <c r="C5392" s="2" t="s">
        <v>2265</v>
      </c>
      <c r="D5392" s="2" t="s">
        <v>2203</v>
      </c>
      <c r="E5392" s="2">
        <v>2378.71</v>
      </c>
      <c r="F5392" s="2" t="e">
        <f>IF(Table2[[#This Row],[Manual Cat Value]]="",VLOOKUP(Table2[[#This Row],[Description]],'Actuals Lookup'!D:F,3,0),Table2[[#This Row],[Manual Cat Value]])</f>
        <v>#N/A</v>
      </c>
      <c r="J5392" s="2">
        <v>2378.71</v>
      </c>
      <c r="K5392" s="2" t="b">
        <v>0</v>
      </c>
      <c r="L5392" s="2"/>
      <c r="M5392" s="2"/>
      <c r="N5392" s="4" t="s">
        <v>2259</v>
      </c>
      <c r="O5392" s="4" t="str">
        <f>LEFT(Table2[[#This Row],[Description]],75)</f>
        <v>Withdrawal Home payment to card XX91 Withdrawal Home payment to card 979181</v>
      </c>
      <c r="P5392" s="2" t="s">
        <v>2281</v>
      </c>
    </row>
    <row r="5393" spans="1:16" hidden="1">
      <c r="A5393" s="2">
        <v>202108</v>
      </c>
      <c r="B5393" s="3">
        <v>44417</v>
      </c>
      <c r="C5393" s="2" t="s">
        <v>2262</v>
      </c>
      <c r="D5393" s="2" t="s">
        <v>1393</v>
      </c>
      <c r="E5393" s="2">
        <v>41.38</v>
      </c>
      <c r="F5393" s="2" t="str">
        <f>IF(Table2[[#This Row],[Manual Cat Value]]="",VLOOKUP(Table2[[#This Row],[Description]],'Actuals Lookup'!D:F,3,0),Table2[[#This Row],[Manual Cat Value]])</f>
        <v>Restaurants</v>
      </c>
      <c r="J5393" s="2">
        <v>41.38</v>
      </c>
      <c r="K5393" s="2" t="b">
        <v>0</v>
      </c>
      <c r="L5393" s="2"/>
      <c r="M5393" s="2"/>
      <c r="N5393" s="4" t="s">
        <v>2259</v>
      </c>
      <c r="O5393" s="4" t="str">
        <f>LEFT(Table2[[#This Row],[Description]],75)</f>
        <v>Panera Bread</v>
      </c>
      <c r="P5393" s="2" t="s">
        <v>2452</v>
      </c>
    </row>
    <row r="5394" spans="1:16" hidden="1">
      <c r="A5394" s="2">
        <v>202108</v>
      </c>
      <c r="B5394" s="3">
        <v>44417</v>
      </c>
      <c r="C5394" s="2" t="s">
        <v>2262</v>
      </c>
      <c r="D5394" s="2" t="s">
        <v>2027</v>
      </c>
      <c r="E5394" s="2">
        <v>61.19</v>
      </c>
      <c r="F5394" s="2" t="e">
        <f>IF(Table2[[#This Row],[Manual Cat Value]]="",VLOOKUP(Table2[[#This Row],[Description]],'Actuals Lookup'!D:F,3,0),Table2[[#This Row],[Manual Cat Value]])</f>
        <v>#N/A</v>
      </c>
      <c r="J5394" s="2">
        <v>61.19</v>
      </c>
      <c r="K5394" s="2" t="b">
        <v>0</v>
      </c>
      <c r="L5394" s="2"/>
      <c r="M5394" s="2"/>
      <c r="N5394" s="4" t="s">
        <v>2259</v>
      </c>
      <c r="O5394" s="4" t="str">
        <f>LEFT(Table2[[#This Row],[Description]],75)</f>
        <v>TST OLIVE S FRESH EXCELS6122324677 MN</v>
      </c>
      <c r="P5394" s="2" t="s">
        <v>2483</v>
      </c>
    </row>
    <row r="5395" spans="1:16" hidden="1">
      <c r="A5395" s="2">
        <v>202108</v>
      </c>
      <c r="B5395" s="3">
        <v>44417</v>
      </c>
      <c r="C5395" s="2" t="s">
        <v>2265</v>
      </c>
      <c r="D5395" s="2" t="s">
        <v>2140</v>
      </c>
      <c r="E5395" s="2">
        <v>130.44</v>
      </c>
      <c r="F5395" s="2" t="e">
        <f>IF(Table2[[#This Row],[Manual Cat Value]]="",VLOOKUP(Table2[[#This Row],[Description]],'Actuals Lookup'!D:F,3,0),Table2[[#This Row],[Manual Cat Value]])</f>
        <v>#N/A</v>
      </c>
      <c r="J5395" s="2">
        <v>130.44</v>
      </c>
      <c r="K5395" s="2" t="b">
        <v>0</v>
      </c>
      <c r="L5395" s="2"/>
      <c r="M5395" s="2"/>
      <c r="N5395" s="4" t="s">
        <v>2259</v>
      </c>
      <c r="O5395" s="4" t="str">
        <f>LEFT(Table2[[#This Row],[Description]],75)</f>
        <v>Waste Management</v>
      </c>
      <c r="P5395" s="2" t="s">
        <v>2318</v>
      </c>
    </row>
    <row r="5396" spans="1:16" hidden="1">
      <c r="A5396" s="2">
        <v>202108</v>
      </c>
      <c r="B5396" s="3">
        <v>44418</v>
      </c>
      <c r="C5396" s="2" t="s">
        <v>2265</v>
      </c>
      <c r="D5396" s="2" t="s">
        <v>742</v>
      </c>
      <c r="E5396" s="2">
        <v>31.55</v>
      </c>
      <c r="F5396" s="2" t="e">
        <f>IF(Table2[[#This Row],[Manual Cat Value]]="",VLOOKUP(Table2[[#This Row],[Description]],'Actuals Lookup'!D:F,3,0),Table2[[#This Row],[Manual Cat Value]])</f>
        <v>#N/A</v>
      </c>
      <c r="J5396" s="2">
        <v>31.55</v>
      </c>
      <c r="K5396" s="2" t="b">
        <v>0</v>
      </c>
      <c r="L5396" s="2"/>
      <c r="M5396" s="2"/>
      <c r="N5396" s="4" t="s">
        <v>2259</v>
      </c>
      <c r="O5396" s="4" t="str">
        <f>LEFT(Table2[[#This Row],[Description]],75)</f>
        <v>Discover Bank DISCOVER TYPE EPAYMENT ID CO DISCOVER ACH ECC WEB ACH Trace 3</v>
      </c>
      <c r="P5396" s="2" t="s">
        <v>2281</v>
      </c>
    </row>
    <row r="5397" spans="1:16" hidden="1">
      <c r="A5397" s="2">
        <v>202108</v>
      </c>
      <c r="B5397" s="3">
        <v>44418</v>
      </c>
      <c r="C5397" s="2" t="s">
        <v>2262</v>
      </c>
      <c r="D5397" s="2" t="s">
        <v>1357</v>
      </c>
      <c r="E5397" s="2">
        <v>85.15</v>
      </c>
      <c r="F5397" s="2" t="e">
        <f>IF(Table2[[#This Row],[Manual Cat Value]]="",VLOOKUP(Table2[[#This Row],[Description]],'Actuals Lookup'!D:F,3,0),Table2[[#This Row],[Manual Cat Value]])</f>
        <v>#N/A</v>
      </c>
      <c r="J5397" s="2">
        <v>85.15</v>
      </c>
      <c r="K5397" s="2" t="b">
        <v>0</v>
      </c>
      <c r="L5397" s="2"/>
      <c r="M5397" s="2"/>
      <c r="N5397" s="4" t="s">
        <v>2259</v>
      </c>
      <c r="O5397" s="4" t="str">
        <f>LEFT(Table2[[#This Row],[Description]],75)</f>
        <v>NORTH COOP CHAHASSEN MN</v>
      </c>
      <c r="P5397" s="2" t="s">
        <v>2326</v>
      </c>
    </row>
    <row r="5398" spans="1:16" hidden="1">
      <c r="A5398" s="2">
        <v>202108</v>
      </c>
      <c r="B5398" s="3">
        <v>44418</v>
      </c>
      <c r="C5398" s="2" t="s">
        <v>2262</v>
      </c>
      <c r="D5398" s="2" t="s">
        <v>1773</v>
      </c>
      <c r="E5398" s="2">
        <v>5.0999999999999996</v>
      </c>
      <c r="F5398" s="2" t="str">
        <f>IF(Table2[[#This Row],[Manual Cat Value]]="",VLOOKUP(Table2[[#This Row],[Description]],'Actuals Lookup'!D:F,3,0),Table2[[#This Row],[Manual Cat Value]])</f>
        <v>Restaurants</v>
      </c>
      <c r="J5398" s="2">
        <v>5.0999999999999996</v>
      </c>
      <c r="K5398" s="2" t="b">
        <v>0</v>
      </c>
      <c r="L5398" s="2"/>
      <c r="M5398" s="2"/>
      <c r="N5398" s="4" t="s">
        <v>2259</v>
      </c>
      <c r="O5398" s="4" t="str">
        <f>LEFT(Table2[[#This Row],[Description]],75)</f>
        <v>Starbucks</v>
      </c>
      <c r="P5398" s="2" t="s">
        <v>2454</v>
      </c>
    </row>
    <row r="5399" spans="1:16" hidden="1">
      <c r="A5399" s="2">
        <v>202108</v>
      </c>
      <c r="B5399" s="3">
        <v>44418</v>
      </c>
      <c r="C5399" s="2" t="s">
        <v>2274</v>
      </c>
      <c r="D5399" s="2" t="s">
        <v>2110</v>
      </c>
      <c r="E5399" s="2">
        <v>-165.79</v>
      </c>
      <c r="F5399" s="2" t="e">
        <f>IF(Table2[[#This Row],[Manual Cat Value]]="",VLOOKUP(Table2[[#This Row],[Description]],'Actuals Lookup'!D:F,3,0),Table2[[#This Row],[Manual Cat Value]])</f>
        <v>#N/A</v>
      </c>
      <c r="J5399" s="2">
        <v>165.79</v>
      </c>
      <c r="K5399" s="2" t="b">
        <v>0</v>
      </c>
      <c r="L5399" s="2"/>
      <c r="M5399" s="2"/>
      <c r="N5399" s="4" t="s">
        <v>2273</v>
      </c>
      <c r="O5399" s="4" t="str">
        <f>LEFT(Table2[[#This Row],[Description]],75)</f>
        <v>Venmo Cashout</v>
      </c>
      <c r="P5399" s="2" t="s">
        <v>2281</v>
      </c>
    </row>
    <row r="5400" spans="1:16" hidden="1">
      <c r="A5400" s="2">
        <v>202108</v>
      </c>
      <c r="B5400" s="3">
        <v>44419</v>
      </c>
      <c r="C5400" s="2" t="s">
        <v>2262</v>
      </c>
      <c r="D5400" s="2" t="s">
        <v>187</v>
      </c>
      <c r="E5400" s="2">
        <v>134.34</v>
      </c>
      <c r="F5400" s="2" t="e">
        <f>IF(Table2[[#This Row],[Manual Cat Value]]="",VLOOKUP(Table2[[#This Row],[Description]],'Actuals Lookup'!D:F,3,0),Table2[[#This Row],[Manual Cat Value]])</f>
        <v>#N/A</v>
      </c>
      <c r="J5400" s="2">
        <v>134.34</v>
      </c>
      <c r="K5400" s="2" t="b">
        <v>0</v>
      </c>
      <c r="L5400" s="2"/>
      <c r="M5400" s="2"/>
      <c r="N5400" s="4" t="s">
        <v>2259</v>
      </c>
      <c r="O5400" s="4" t="str">
        <f>LEFT(Table2[[#This Row],[Description]],75)</f>
        <v>AVOADVOCARE INTL 8005424800 TX</v>
      </c>
      <c r="P5400" s="2" t="s">
        <v>2428</v>
      </c>
    </row>
    <row r="5401" spans="1:16" hidden="1">
      <c r="A5401" s="2">
        <v>202108</v>
      </c>
      <c r="B5401" s="3">
        <v>44419</v>
      </c>
      <c r="C5401" s="2" t="s">
        <v>2258</v>
      </c>
      <c r="D5401" s="2" t="s">
        <v>543</v>
      </c>
      <c r="E5401" s="2">
        <v>16.7</v>
      </c>
      <c r="F5401" s="2" t="e">
        <f>IF(Table2[[#This Row],[Manual Cat Value]]="",VLOOKUP(Table2[[#This Row],[Description]],'Actuals Lookup'!D:F,3,0),Table2[[#This Row],[Manual Cat Value]])</f>
        <v>#N/A</v>
      </c>
      <c r="J5401" s="2">
        <v>16.7</v>
      </c>
      <c r="K5401" s="2" t="b">
        <v>0</v>
      </c>
      <c r="L5401" s="2"/>
      <c r="M5401" s="2"/>
      <c r="N5401" s="4" t="s">
        <v>2259</v>
      </c>
      <c r="O5401" s="4" t="str">
        <f>LEFT(Table2[[#This Row],[Description]],75)</f>
        <v>Chipotle</v>
      </c>
      <c r="P5401" s="2" t="s">
        <v>2341</v>
      </c>
    </row>
    <row r="5402" spans="1:16" hidden="1">
      <c r="A5402" s="2">
        <v>202108</v>
      </c>
      <c r="B5402" s="3">
        <v>44419</v>
      </c>
      <c r="C5402" s="2" t="s">
        <v>2447</v>
      </c>
      <c r="D5402" s="2" t="s">
        <v>543</v>
      </c>
      <c r="E5402" s="2">
        <v>16.7</v>
      </c>
      <c r="F5402" s="2" t="e">
        <f>IF(Table2[[#This Row],[Manual Cat Value]]="",VLOOKUP(Table2[[#This Row],[Description]],'Actuals Lookup'!D:F,3,0),Table2[[#This Row],[Manual Cat Value]])</f>
        <v>#N/A</v>
      </c>
      <c r="J5402" s="2">
        <v>16.7</v>
      </c>
      <c r="K5402" s="2" t="b">
        <v>0</v>
      </c>
      <c r="L5402" s="2"/>
      <c r="M5402" s="2"/>
      <c r="N5402" s="4" t="s">
        <v>2259</v>
      </c>
      <c r="O5402" s="4" t="str">
        <f>LEFT(Table2[[#This Row],[Description]],75)</f>
        <v>Chipotle</v>
      </c>
      <c r="P5402" s="2" t="s">
        <v>2341</v>
      </c>
    </row>
    <row r="5403" spans="1:16" hidden="1">
      <c r="A5403" s="2">
        <v>202108</v>
      </c>
      <c r="B5403" s="3">
        <v>44419</v>
      </c>
      <c r="C5403" s="2" t="s">
        <v>2265</v>
      </c>
      <c r="D5403" s="2" t="s">
        <v>633</v>
      </c>
      <c r="E5403" s="2">
        <v>-3052.98</v>
      </c>
      <c r="F5403" s="2" t="e">
        <f>IF(Table2[[#This Row],[Manual Cat Value]]="",VLOOKUP(Table2[[#This Row],[Description]],'Actuals Lookup'!D:F,3,0),Table2[[#This Row],[Manual Cat Value]])</f>
        <v>#N/A</v>
      </c>
      <c r="J5403" s="2">
        <v>3052.98</v>
      </c>
      <c r="K5403" s="2" t="b">
        <v>0</v>
      </c>
      <c r="L5403" s="2"/>
      <c r="M5403" s="2"/>
      <c r="N5403" s="4" t="s">
        <v>2273</v>
      </c>
      <c r="O5403" s="4" t="str">
        <f>LEFT(Table2[[#This Row],[Description]],75)</f>
        <v>CONNECTED ANALYT TYPE DIRECT DEP ID CO CONNECTED ANALYT ACH ECC PPD ACH Tra</v>
      </c>
      <c r="P5403" s="2" t="s">
        <v>2493</v>
      </c>
    </row>
    <row r="5404" spans="1:16" hidden="1">
      <c r="A5404" s="2">
        <v>202108</v>
      </c>
      <c r="B5404" s="3">
        <v>44419</v>
      </c>
      <c r="C5404" s="2" t="s">
        <v>2262</v>
      </c>
      <c r="D5404" s="2" t="s">
        <v>1014</v>
      </c>
      <c r="E5404" s="2">
        <v>7.52</v>
      </c>
      <c r="F5404" s="2" t="str">
        <f>IF(Table2[[#This Row],[Manual Cat Value]]="",VLOOKUP(Table2[[#This Row],[Description]],'Actuals Lookup'!D:F,3,0),Table2[[#This Row],[Manual Cat Value]])</f>
        <v>Restaurants</v>
      </c>
      <c r="J5404" s="2">
        <v>7.52</v>
      </c>
      <c r="K5404" s="2" t="b">
        <v>0</v>
      </c>
      <c r="L5404" s="2"/>
      <c r="M5404" s="2"/>
      <c r="N5404" s="4" t="s">
        <v>2259</v>
      </c>
      <c r="O5404" s="4" t="str">
        <f>LEFT(Table2[[#This Row],[Description]],75)</f>
        <v>Jimmy John's</v>
      </c>
      <c r="P5404" s="2" t="s">
        <v>2453</v>
      </c>
    </row>
    <row r="5405" spans="1:16" hidden="1">
      <c r="A5405" s="2">
        <v>202108</v>
      </c>
      <c r="B5405" s="3">
        <v>44419</v>
      </c>
      <c r="C5405" s="2" t="s">
        <v>2258</v>
      </c>
      <c r="D5405" s="2" t="s">
        <v>1083</v>
      </c>
      <c r="E5405" s="2">
        <v>23.72</v>
      </c>
      <c r="F5405" s="2" t="str">
        <f>IF(Table2[[#This Row],[Manual Cat Value]]="",VLOOKUP(Table2[[#This Row],[Description]],'Actuals Lookup'!D:F,3,0),Table2[[#This Row],[Manual Cat Value]])</f>
        <v>Transportation</v>
      </c>
      <c r="J5405" s="2">
        <v>23.72</v>
      </c>
      <c r="K5405" s="2" t="b">
        <v>0</v>
      </c>
      <c r="L5405" s="2"/>
      <c r="M5405" s="2"/>
      <c r="N5405" s="4" t="s">
        <v>2259</v>
      </c>
      <c r="O5405" s="4" t="str">
        <f>LEFT(Table2[[#This Row],[Description]],75)</f>
        <v>Kwik Trip</v>
      </c>
      <c r="P5405" s="2" t="s">
        <v>2509</v>
      </c>
    </row>
    <row r="5406" spans="1:16" hidden="1">
      <c r="A5406" s="2">
        <v>202108</v>
      </c>
      <c r="B5406" s="3">
        <v>44419</v>
      </c>
      <c r="C5406" s="2" t="s">
        <v>2447</v>
      </c>
      <c r="D5406" s="2" t="s">
        <v>1083</v>
      </c>
      <c r="E5406" s="2">
        <v>23.72</v>
      </c>
      <c r="F5406" s="2" t="str">
        <f>IF(Table2[[#This Row],[Manual Cat Value]]="",VLOOKUP(Table2[[#This Row],[Description]],'Actuals Lookup'!D:F,3,0),Table2[[#This Row],[Manual Cat Value]])</f>
        <v>Transportation</v>
      </c>
      <c r="J5406" s="2">
        <v>23.72</v>
      </c>
      <c r="K5406" s="2" t="b">
        <v>0</v>
      </c>
      <c r="L5406" s="2"/>
      <c r="M5406" s="2"/>
      <c r="N5406" s="4" t="s">
        <v>2259</v>
      </c>
      <c r="O5406" s="4" t="str">
        <f>LEFT(Table2[[#This Row],[Description]],75)</f>
        <v>Kwik Trip</v>
      </c>
      <c r="P5406" s="2" t="s">
        <v>2509</v>
      </c>
    </row>
    <row r="5407" spans="1:16" hidden="1">
      <c r="A5407" s="2">
        <v>202108</v>
      </c>
      <c r="B5407" s="3">
        <v>44419</v>
      </c>
      <c r="C5407" s="2" t="s">
        <v>2262</v>
      </c>
      <c r="D5407" s="2" t="s">
        <v>1097</v>
      </c>
      <c r="E5407" s="2">
        <v>42.16</v>
      </c>
      <c r="F5407" s="2" t="e">
        <f>IF(Table2[[#This Row],[Manual Cat Value]]="",VLOOKUP(Table2[[#This Row],[Description]],'Actuals Lookup'!D:F,3,0),Table2[[#This Row],[Manual Cat Value]])</f>
        <v>#N/A</v>
      </c>
      <c r="J5407" s="2">
        <v>42.16</v>
      </c>
      <c r="K5407" s="2" t="b">
        <v>0</v>
      </c>
      <c r="L5407" s="2"/>
      <c r="M5407" s="2"/>
      <c r="N5407" s="4" t="s">
        <v>2259</v>
      </c>
      <c r="O5407" s="4" t="str">
        <f>LEFT(Table2[[#This Row],[Description]],75)</f>
        <v>Lakewinds Food Coop LAKEWINDS CHANHASSEN CHANHASSEN MN</v>
      </c>
      <c r="P5407" s="2" t="s">
        <v>2281</v>
      </c>
    </row>
    <row r="5408" spans="1:16" hidden="1">
      <c r="A5408" s="2">
        <v>202108</v>
      </c>
      <c r="B5408" s="3">
        <v>44419</v>
      </c>
      <c r="C5408" s="2" t="s">
        <v>2262</v>
      </c>
      <c r="D5408" s="2" t="s">
        <v>1106</v>
      </c>
      <c r="E5408" s="2">
        <v>11.9</v>
      </c>
      <c r="F5408" s="2" t="e">
        <f>IF(Table2[[#This Row],[Manual Cat Value]]="",VLOOKUP(Table2[[#This Row],[Description]],'Actuals Lookup'!D:F,3,0),Table2[[#This Row],[Manual Cat Value]])</f>
        <v>#N/A</v>
      </c>
      <c r="J5408" s="2">
        <v>11.9</v>
      </c>
      <c r="K5408" s="2" t="b">
        <v>0</v>
      </c>
      <c r="L5408" s="2"/>
      <c r="M5408" s="2"/>
      <c r="N5408" s="4" t="s">
        <v>2259</v>
      </c>
      <c r="O5408" s="4" t="str">
        <f>LEFT(Table2[[#This Row],[Description]],75)</f>
        <v>Licks Unlimited</v>
      </c>
      <c r="P5408" s="2" t="s">
        <v>2281</v>
      </c>
    </row>
    <row r="5409" spans="1:16" hidden="1">
      <c r="A5409" s="2">
        <v>202108</v>
      </c>
      <c r="B5409" s="3">
        <v>44419</v>
      </c>
      <c r="C5409" s="2" t="s">
        <v>2265</v>
      </c>
      <c r="D5409" s="2" t="s">
        <v>1196</v>
      </c>
      <c r="E5409" s="2">
        <v>528.79999999999995</v>
      </c>
      <c r="F5409" s="2" t="e">
        <f>IF(Table2[[#This Row],[Manual Cat Value]]="",VLOOKUP(Table2[[#This Row],[Description]],'Actuals Lookup'!D:F,3,0),Table2[[#This Row],[Manual Cat Value]])</f>
        <v>#N/A</v>
      </c>
      <c r="J5409" s="2">
        <v>528.79999999999995</v>
      </c>
      <c r="K5409" s="2" t="b">
        <v>0</v>
      </c>
      <c r="L5409" s="2"/>
      <c r="M5409" s="2"/>
      <c r="N5409" s="4" t="s">
        <v>2259</v>
      </c>
      <c r="O5409" s="4" t="str">
        <f>LEFT(Table2[[#This Row],[Description]],75)</f>
        <v>MHCHILDCARELLC TYPE DUES ID CO M MHCHILDCARELLC TYPE DUES ID CO MHCHILDCARE</v>
      </c>
      <c r="P5409" s="2" t="s">
        <v>2497</v>
      </c>
    </row>
    <row r="5410" spans="1:16" hidden="1">
      <c r="A5410" s="2">
        <v>202108</v>
      </c>
      <c r="B5410" s="3">
        <v>44419</v>
      </c>
      <c r="C5410" s="2" t="s">
        <v>2265</v>
      </c>
      <c r="D5410" s="2" t="s">
        <v>1355</v>
      </c>
      <c r="E5410" s="2">
        <v>320.72000000000003</v>
      </c>
      <c r="F5410" s="2" t="str">
        <f>IF(Table2[[#This Row],[Manual Cat Value]]="",VLOOKUP(Table2[[#This Row],[Description]],'Actuals Lookup'!D:F,3,0),Table2[[#This Row],[Manual Cat Value]])</f>
        <v>Shopping</v>
      </c>
      <c r="J5410" s="2">
        <v>320.72000000000003</v>
      </c>
      <c r="K5410" s="2" t="b">
        <v>0</v>
      </c>
      <c r="L5410" s="2"/>
      <c r="M5410" s="2"/>
      <c r="N5410" s="4" t="s">
        <v>2259</v>
      </c>
      <c r="O5410" s="4" t="str">
        <f>LEFT(Table2[[#This Row],[Description]],75)</f>
        <v>Nordstrom</v>
      </c>
      <c r="P5410" s="2" t="s">
        <v>2352</v>
      </c>
    </row>
    <row r="5411" spans="1:16" hidden="1">
      <c r="A5411" s="2">
        <v>202108</v>
      </c>
      <c r="B5411" s="3">
        <v>44420</v>
      </c>
      <c r="C5411" s="2" t="s">
        <v>2435</v>
      </c>
      <c r="D5411" s="2" t="s">
        <v>164</v>
      </c>
      <c r="E5411" s="2">
        <v>-4.45</v>
      </c>
      <c r="F5411" s="2" t="e">
        <f>IF(Table2[[#This Row],[Manual Cat Value]]="",VLOOKUP(Table2[[#This Row],[Description]],'Actuals Lookup'!D:F,3,0),Table2[[#This Row],[Manual Cat Value]])</f>
        <v>#N/A</v>
      </c>
      <c r="J5411" s="2">
        <v>4.45</v>
      </c>
      <c r="K5411" s="2" t="b">
        <v>0</v>
      </c>
      <c r="L5411" s="2"/>
      <c r="M5411" s="2"/>
      <c r="N5411" s="4" t="s">
        <v>2273</v>
      </c>
      <c r="O5411" s="4" t="str">
        <f>LEFT(Table2[[#This Row],[Description]],75)</f>
        <v>APPLE INC</v>
      </c>
      <c r="P5411" s="2" t="s">
        <v>2281</v>
      </c>
    </row>
    <row r="5412" spans="1:16" hidden="1">
      <c r="A5412" s="2">
        <v>202108</v>
      </c>
      <c r="B5412" s="3">
        <v>44420</v>
      </c>
      <c r="C5412" s="2" t="s">
        <v>2460</v>
      </c>
      <c r="D5412" s="2" t="s">
        <v>164</v>
      </c>
      <c r="E5412" s="2">
        <v>-45.08</v>
      </c>
      <c r="F5412" s="2" t="e">
        <f>IF(Table2[[#This Row],[Manual Cat Value]]="",VLOOKUP(Table2[[#This Row],[Description]],'Actuals Lookup'!D:F,3,0),Table2[[#This Row],[Manual Cat Value]])</f>
        <v>#N/A</v>
      </c>
      <c r="J5412" s="2">
        <v>45.08</v>
      </c>
      <c r="K5412" s="2" t="b">
        <v>0</v>
      </c>
      <c r="L5412" s="2"/>
      <c r="M5412" s="2"/>
      <c r="N5412" s="4" t="s">
        <v>2273</v>
      </c>
      <c r="O5412" s="4" t="str">
        <f>LEFT(Table2[[#This Row],[Description]],75)</f>
        <v>APPLE INC</v>
      </c>
      <c r="P5412" s="2" t="s">
        <v>2281</v>
      </c>
    </row>
    <row r="5413" spans="1:16" hidden="1">
      <c r="A5413" s="2">
        <v>202108</v>
      </c>
      <c r="B5413" s="3">
        <v>44420</v>
      </c>
      <c r="C5413" s="2" t="s">
        <v>2317</v>
      </c>
      <c r="D5413" s="2" t="s">
        <v>164</v>
      </c>
      <c r="E5413" s="2">
        <v>-45.08</v>
      </c>
      <c r="F5413" s="2" t="e">
        <f>IF(Table2[[#This Row],[Manual Cat Value]]="",VLOOKUP(Table2[[#This Row],[Description]],'Actuals Lookup'!D:F,3,0),Table2[[#This Row],[Manual Cat Value]])</f>
        <v>#N/A</v>
      </c>
      <c r="J5413" s="2">
        <v>45.08</v>
      </c>
      <c r="K5413" s="2" t="b">
        <v>0</v>
      </c>
      <c r="L5413" s="2"/>
      <c r="M5413" s="2"/>
      <c r="N5413" s="4" t="s">
        <v>2273</v>
      </c>
      <c r="O5413" s="4" t="str">
        <f>LEFT(Table2[[#This Row],[Description]],75)</f>
        <v>APPLE INC</v>
      </c>
      <c r="P5413" s="2" t="s">
        <v>2405</v>
      </c>
    </row>
    <row r="5414" spans="1:16" hidden="1">
      <c r="A5414" s="2">
        <v>202108</v>
      </c>
      <c r="B5414" s="3">
        <v>44420</v>
      </c>
      <c r="C5414" s="2" t="s">
        <v>2265</v>
      </c>
      <c r="D5414" s="2" t="s">
        <v>199</v>
      </c>
      <c r="E5414" s="2">
        <v>91</v>
      </c>
      <c r="F5414" s="2" t="e">
        <f>IF(Table2[[#This Row],[Manual Cat Value]]="",VLOOKUP(Table2[[#This Row],[Description]],'Actuals Lookup'!D:F,3,0),Table2[[#This Row],[Manual Cat Value]])</f>
        <v>#N/A</v>
      </c>
      <c r="J5414" s="2">
        <v>91</v>
      </c>
      <c r="K5414" s="2" t="b">
        <v>0</v>
      </c>
      <c r="L5414" s="2"/>
      <c r="M5414" s="2"/>
      <c r="N5414" s="4" t="s">
        <v>2259</v>
      </c>
      <c r="O5414" s="4" t="str">
        <f>LEFT(Table2[[#This Row],[Description]],75)</f>
        <v>Banana Republic</v>
      </c>
      <c r="P5414" s="2" t="s">
        <v>2281</v>
      </c>
    </row>
    <row r="5415" spans="1:16" hidden="1">
      <c r="A5415" s="2">
        <v>202108</v>
      </c>
      <c r="B5415" s="3">
        <v>44420</v>
      </c>
      <c r="C5415" s="2" t="s">
        <v>2265</v>
      </c>
      <c r="D5415" s="2" t="s">
        <v>523</v>
      </c>
      <c r="E5415" s="2">
        <v>5502.61</v>
      </c>
      <c r="F5415" s="2" t="e">
        <f>IF(Table2[[#This Row],[Manual Cat Value]]="",VLOOKUP(Table2[[#This Row],[Description]],'Actuals Lookup'!D:F,3,0),Table2[[#This Row],[Manual Cat Value]])</f>
        <v>#N/A</v>
      </c>
      <c r="J5415" s="2">
        <v>5502.61</v>
      </c>
      <c r="K5415" s="2" t="b">
        <v>0</v>
      </c>
      <c r="L5415" s="2"/>
      <c r="M5415" s="2"/>
      <c r="N5415" s="4" t="s">
        <v>2259</v>
      </c>
      <c r="O5415" s="4" t="str">
        <f>LEFT(Table2[[#This Row],[Description]],75)</f>
        <v>CHECK 2106 2106</v>
      </c>
      <c r="P5415" s="2" t="s">
        <v>2281</v>
      </c>
    </row>
    <row r="5416" spans="1:16" hidden="1">
      <c r="A5416" s="2">
        <v>202108</v>
      </c>
      <c r="B5416" s="3">
        <v>44420</v>
      </c>
      <c r="C5416" s="2" t="s">
        <v>2265</v>
      </c>
      <c r="D5416" s="2" t="s">
        <v>995</v>
      </c>
      <c r="E5416" s="2">
        <v>-333</v>
      </c>
      <c r="F5416" s="2" t="e">
        <f>IF(Table2[[#This Row],[Manual Cat Value]]="",VLOOKUP(Table2[[#This Row],[Description]],'Actuals Lookup'!D:F,3,0),Table2[[#This Row],[Manual Cat Value]])</f>
        <v>#N/A</v>
      </c>
      <c r="J5416" s="2">
        <v>333</v>
      </c>
      <c r="K5416" s="2" t="b">
        <v>0</v>
      </c>
      <c r="L5416" s="2"/>
      <c r="M5416" s="2"/>
      <c r="N5416" s="4" t="s">
        <v>2273</v>
      </c>
      <c r="O5416" s="4" t="str">
        <f>LEFT(Table2[[#This Row],[Description]],75)</f>
        <v>Internal Revenue Service</v>
      </c>
      <c r="P5416" s="2" t="s">
        <v>2281</v>
      </c>
    </row>
    <row r="5417" spans="1:16" hidden="1">
      <c r="A5417" s="2">
        <v>202108</v>
      </c>
      <c r="B5417" s="3">
        <v>44420</v>
      </c>
      <c r="C5417" s="2" t="s">
        <v>2262</v>
      </c>
      <c r="D5417" s="2" t="s">
        <v>1592</v>
      </c>
      <c r="E5417" s="2">
        <v>-146.12</v>
      </c>
      <c r="F5417" s="2" t="e">
        <f>IF(Table2[[#This Row],[Manual Cat Value]]="",VLOOKUP(Table2[[#This Row],[Description]],'Actuals Lookup'!D:F,3,0),Table2[[#This Row],[Manual Cat Value]])</f>
        <v>#N/A</v>
      </c>
      <c r="J5417" s="2">
        <v>146.12</v>
      </c>
      <c r="K5417" s="2" t="b">
        <v>0</v>
      </c>
      <c r="L5417" s="2"/>
      <c r="M5417" s="2"/>
      <c r="N5417" s="4" t="s">
        <v>2273</v>
      </c>
      <c r="O5417" s="4" t="str">
        <f>LEFT(Table2[[#This Row],[Description]],75)</f>
        <v>Ridgeview Medical Cntrclwaconia</v>
      </c>
      <c r="P5417" s="2" t="s">
        <v>2281</v>
      </c>
    </row>
    <row r="5418" spans="1:16" hidden="1">
      <c r="A5418" s="2">
        <v>202108</v>
      </c>
      <c r="B5418" s="3">
        <v>44420</v>
      </c>
      <c r="C5418" s="2" t="s">
        <v>2265</v>
      </c>
      <c r="D5418" s="2" t="s">
        <v>2071</v>
      </c>
      <c r="E5418" s="2">
        <v>-7.06</v>
      </c>
      <c r="F5418" s="2" t="e">
        <f>IF(Table2[[#This Row],[Manual Cat Value]]="",VLOOKUP(Table2[[#This Row],[Description]],'Actuals Lookup'!D:F,3,0),Table2[[#This Row],[Manual Cat Value]])</f>
        <v>#N/A</v>
      </c>
      <c r="J5418" s="2">
        <v>7.06</v>
      </c>
      <c r="K5418" s="2" t="b">
        <v>0</v>
      </c>
      <c r="L5418" s="2"/>
      <c r="M5418" s="2"/>
      <c r="N5418" s="4" t="s">
        <v>2273</v>
      </c>
      <c r="O5418" s="4" t="str">
        <f>LEFT(Table2[[#This Row],[Description]],75)</f>
        <v>TYPE TRANSFER ID PAYPALSD11 CO PAYPAL ACH ECC PPD ACH Trace 33098</v>
      </c>
      <c r="P5418" s="2" t="s">
        <v>2322</v>
      </c>
    </row>
    <row r="5419" spans="1:16" hidden="1">
      <c r="A5419" s="2">
        <v>202108</v>
      </c>
      <c r="B5419" s="3">
        <v>44421</v>
      </c>
      <c r="C5419" s="2" t="s">
        <v>2265</v>
      </c>
      <c r="D5419" s="2" t="s">
        <v>1965</v>
      </c>
      <c r="E5419" s="2">
        <v>15</v>
      </c>
      <c r="F5419" s="2" t="e">
        <f>IF(Table2[[#This Row],[Manual Cat Value]]="",VLOOKUP(Table2[[#This Row],[Description]],'Actuals Lookup'!D:F,3,0),Table2[[#This Row],[Manual Cat Value]])</f>
        <v>#N/A</v>
      </c>
      <c r="J5419" s="2">
        <v>15</v>
      </c>
      <c r="K5419" s="2" t="b">
        <v>0</v>
      </c>
      <c r="L5419" s="2"/>
      <c r="M5419" s="2"/>
      <c r="N5419" s="4" t="s">
        <v>2259</v>
      </c>
      <c r="O5419" s="4" t="str">
        <f>LEFT(Table2[[#This Row],[Description]],75)</f>
        <v>Transfer to Venmo VENMO TYPE PAYMENT ID CO VENMO ACH ECC WEB ACH Trace 3305</v>
      </c>
      <c r="P5419" s="2" t="s">
        <v>2281</v>
      </c>
    </row>
    <row r="5420" spans="1:16" hidden="1">
      <c r="A5420" s="2">
        <v>202108</v>
      </c>
      <c r="B5420" s="3">
        <v>44421</v>
      </c>
      <c r="C5420" s="2" t="s">
        <v>2435</v>
      </c>
      <c r="D5420" s="2" t="s">
        <v>164</v>
      </c>
      <c r="E5420" s="2">
        <v>4.45</v>
      </c>
      <c r="F5420" s="2" t="e">
        <f>IF(Table2[[#This Row],[Manual Cat Value]]="",VLOOKUP(Table2[[#This Row],[Description]],'Actuals Lookup'!D:F,3,0),Table2[[#This Row],[Manual Cat Value]])</f>
        <v>#N/A</v>
      </c>
      <c r="J5420" s="2">
        <v>4.45</v>
      </c>
      <c r="K5420" s="2" t="b">
        <v>0</v>
      </c>
      <c r="L5420" s="2"/>
      <c r="M5420" s="2"/>
      <c r="N5420" s="4" t="s">
        <v>2259</v>
      </c>
      <c r="O5420" s="4" t="str">
        <f>LEFT(Table2[[#This Row],[Description]],75)</f>
        <v>APPLE INC</v>
      </c>
      <c r="P5420" s="2" t="s">
        <v>2281</v>
      </c>
    </row>
    <row r="5421" spans="1:16" hidden="1">
      <c r="A5421" s="2">
        <v>202108</v>
      </c>
      <c r="B5421" s="3">
        <v>44421</v>
      </c>
      <c r="C5421" s="2" t="s">
        <v>2460</v>
      </c>
      <c r="D5421" s="2" t="s">
        <v>164</v>
      </c>
      <c r="E5421" s="2">
        <v>45.08</v>
      </c>
      <c r="F5421" s="2" t="e">
        <f>IF(Table2[[#This Row],[Manual Cat Value]]="",VLOOKUP(Table2[[#This Row],[Description]],'Actuals Lookup'!D:F,3,0),Table2[[#This Row],[Manual Cat Value]])</f>
        <v>#N/A</v>
      </c>
      <c r="J5421" s="2">
        <v>45.08</v>
      </c>
      <c r="K5421" s="2" t="b">
        <v>0</v>
      </c>
      <c r="L5421" s="2"/>
      <c r="M5421" s="2"/>
      <c r="N5421" s="4" t="s">
        <v>2259</v>
      </c>
      <c r="O5421" s="4" t="str">
        <f>LEFT(Table2[[#This Row],[Description]],75)</f>
        <v>APPLE INC</v>
      </c>
      <c r="P5421" s="2" t="s">
        <v>2281</v>
      </c>
    </row>
    <row r="5422" spans="1:16" hidden="1">
      <c r="A5422" s="2">
        <v>202108</v>
      </c>
      <c r="B5422" s="3">
        <v>44421</v>
      </c>
      <c r="C5422" s="2" t="s">
        <v>2317</v>
      </c>
      <c r="D5422" s="2" t="s">
        <v>164</v>
      </c>
      <c r="E5422" s="2">
        <v>45.08</v>
      </c>
      <c r="F5422" s="2" t="e">
        <f>IF(Table2[[#This Row],[Manual Cat Value]]="",VLOOKUP(Table2[[#This Row],[Description]],'Actuals Lookup'!D:F,3,0),Table2[[#This Row],[Manual Cat Value]])</f>
        <v>#N/A</v>
      </c>
      <c r="J5422" s="2">
        <v>45.08</v>
      </c>
      <c r="K5422" s="2" t="b">
        <v>0</v>
      </c>
      <c r="L5422" s="2"/>
      <c r="M5422" s="2"/>
      <c r="N5422" s="4" t="s">
        <v>2259</v>
      </c>
      <c r="O5422" s="4" t="str">
        <f>LEFT(Table2[[#This Row],[Description]],75)</f>
        <v>APPLE INC</v>
      </c>
      <c r="P5422" s="2" t="s">
        <v>2405</v>
      </c>
    </row>
    <row r="5423" spans="1:16" hidden="1">
      <c r="A5423" s="2">
        <v>202108</v>
      </c>
      <c r="B5423" s="3">
        <v>44421</v>
      </c>
      <c r="C5423" s="2" t="s">
        <v>2262</v>
      </c>
      <c r="D5423" s="2" t="s">
        <v>165</v>
      </c>
      <c r="E5423" s="2">
        <v>300.54000000000002</v>
      </c>
      <c r="F5423" s="2" t="e">
        <f>IF(Table2[[#This Row],[Manual Cat Value]]="",VLOOKUP(Table2[[#This Row],[Description]],'Actuals Lookup'!D:F,3,0),Table2[[#This Row],[Manual Cat Value]])</f>
        <v>#N/A</v>
      </c>
      <c r="J5423" s="2">
        <v>300.54000000000002</v>
      </c>
      <c r="K5423" s="2" t="b">
        <v>0</v>
      </c>
      <c r="L5423" s="2"/>
      <c r="M5423" s="2"/>
      <c r="N5423" s="4" t="s">
        <v>2259</v>
      </c>
      <c r="O5423" s="4" t="str">
        <f>LEFT(Table2[[#This Row],[Description]],75)</f>
        <v>APPLECOMUS 8006762775 CA</v>
      </c>
      <c r="P5423" s="2" t="s">
        <v>2281</v>
      </c>
    </row>
    <row r="5424" spans="1:16" hidden="1">
      <c r="A5424" s="2">
        <v>202108</v>
      </c>
      <c r="B5424" s="3">
        <v>44421</v>
      </c>
      <c r="C5424" s="2" t="s">
        <v>2460</v>
      </c>
      <c r="D5424" s="2" t="s">
        <v>605</v>
      </c>
      <c r="E5424" s="2">
        <v>-250</v>
      </c>
      <c r="F5424" s="2" t="e">
        <f>IF(Table2[[#This Row],[Manual Cat Value]]="",VLOOKUP(Table2[[#This Row],[Description]],'Actuals Lookup'!D:F,3,0),Table2[[#This Row],[Manual Cat Value]])</f>
        <v>#N/A</v>
      </c>
      <c r="J5424" s="2">
        <v>250</v>
      </c>
      <c r="K5424" s="2" t="b">
        <v>0</v>
      </c>
      <c r="L5424" s="2"/>
      <c r="M5424" s="2"/>
      <c r="N5424" s="4" t="s">
        <v>2273</v>
      </c>
      <c r="O5424" s="4" t="str">
        <f>LEFT(Table2[[#This Row],[Description]],75)</f>
        <v>CONNECTED ANALYT</v>
      </c>
      <c r="P5424" s="2" t="s">
        <v>2493</v>
      </c>
    </row>
    <row r="5425" spans="1:16" hidden="1">
      <c r="A5425" s="2">
        <v>202108</v>
      </c>
      <c r="B5425" s="3">
        <v>44421</v>
      </c>
      <c r="C5425" s="2" t="s">
        <v>2317</v>
      </c>
      <c r="D5425" s="2" t="s">
        <v>605</v>
      </c>
      <c r="E5425" s="2">
        <v>-250</v>
      </c>
      <c r="F5425" s="2" t="e">
        <f>IF(Table2[[#This Row],[Manual Cat Value]]="",VLOOKUP(Table2[[#This Row],[Description]],'Actuals Lookup'!D:F,3,0),Table2[[#This Row],[Manual Cat Value]])</f>
        <v>#N/A</v>
      </c>
      <c r="J5425" s="2">
        <v>250</v>
      </c>
      <c r="K5425" s="2" t="b">
        <v>0</v>
      </c>
      <c r="L5425" s="2"/>
      <c r="M5425" s="2"/>
      <c r="N5425" s="4" t="s">
        <v>2273</v>
      </c>
      <c r="O5425" s="4" t="str">
        <f>LEFT(Table2[[#This Row],[Description]],75)</f>
        <v>CONNECTED ANALYT</v>
      </c>
      <c r="P5425" s="2" t="s">
        <v>2493</v>
      </c>
    </row>
    <row r="5426" spans="1:16" hidden="1">
      <c r="A5426" s="2">
        <v>202108</v>
      </c>
      <c r="B5426" s="3">
        <v>44421</v>
      </c>
      <c r="C5426" s="2" t="s">
        <v>2435</v>
      </c>
      <c r="D5426" s="2" t="s">
        <v>1836</v>
      </c>
      <c r="E5426" s="2">
        <v>-250</v>
      </c>
      <c r="F5426" s="2" t="e">
        <f>IF(Table2[[#This Row],[Manual Cat Value]]="",VLOOKUP(Table2[[#This Row],[Description]],'Actuals Lookup'!D:F,3,0),Table2[[#This Row],[Manual Cat Value]])</f>
        <v>#N/A</v>
      </c>
      <c r="J5426" s="2">
        <v>250</v>
      </c>
      <c r="K5426" s="2" t="b">
        <v>0</v>
      </c>
      <c r="L5426" s="2"/>
      <c r="M5426" s="2"/>
      <c r="N5426" s="4" t="s">
        <v>2273</v>
      </c>
      <c r="O5426" s="4" t="str">
        <f>LEFT(Table2[[#This Row],[Description]],75)</f>
        <v>Tfr JPMORGAN CHASE BAN, CONNECTED ANALYT</v>
      </c>
      <c r="P5426" s="2" t="s">
        <v>2493</v>
      </c>
    </row>
    <row r="5427" spans="1:16" hidden="1">
      <c r="A5427" s="2">
        <v>202108</v>
      </c>
      <c r="B5427" s="3">
        <v>44421</v>
      </c>
      <c r="C5427" s="2" t="s">
        <v>2460</v>
      </c>
      <c r="D5427" s="2" t="s">
        <v>2100</v>
      </c>
      <c r="E5427" s="2">
        <v>-5.8</v>
      </c>
      <c r="F5427" s="2" t="e">
        <f>IF(Table2[[#This Row],[Manual Cat Value]]="",VLOOKUP(Table2[[#This Row],[Description]],'Actuals Lookup'!D:F,3,0),Table2[[#This Row],[Manual Cat Value]])</f>
        <v>#N/A</v>
      </c>
      <c r="J5427" s="2">
        <v>5.8</v>
      </c>
      <c r="K5427" s="2" t="b">
        <v>0</v>
      </c>
      <c r="L5427" s="2"/>
      <c r="M5427" s="2"/>
      <c r="N5427" s="4" t="s">
        <v>2273</v>
      </c>
      <c r="O5427" s="4" t="str">
        <f>LEFT(Table2[[#This Row],[Description]],75)</f>
        <v>USD PARTNERS LP LP</v>
      </c>
      <c r="P5427" s="2" t="s">
        <v>2281</v>
      </c>
    </row>
    <row r="5428" spans="1:16" hidden="1">
      <c r="A5428" s="2">
        <v>202108</v>
      </c>
      <c r="B5428" s="3">
        <v>44421</v>
      </c>
      <c r="C5428" s="2" t="s">
        <v>2317</v>
      </c>
      <c r="D5428" s="2" t="s">
        <v>2100</v>
      </c>
      <c r="E5428" s="2">
        <v>-5.8</v>
      </c>
      <c r="F5428" s="2" t="e">
        <f>IF(Table2[[#This Row],[Manual Cat Value]]="",VLOOKUP(Table2[[#This Row],[Description]],'Actuals Lookup'!D:F,3,0),Table2[[#This Row],[Manual Cat Value]])</f>
        <v>#N/A</v>
      </c>
      <c r="J5428" s="2">
        <v>5.8</v>
      </c>
      <c r="K5428" s="2" t="b">
        <v>0</v>
      </c>
      <c r="L5428" s="2"/>
      <c r="M5428" s="2"/>
      <c r="N5428" s="4" t="s">
        <v>2273</v>
      </c>
      <c r="O5428" s="4" t="str">
        <f>LEFT(Table2[[#This Row],[Description]],75)</f>
        <v>USD PARTNERS LP LP</v>
      </c>
      <c r="P5428" s="2" t="s">
        <v>2385</v>
      </c>
    </row>
    <row r="5429" spans="1:16" hidden="1">
      <c r="A5429" s="2">
        <v>202108</v>
      </c>
      <c r="B5429" s="3">
        <v>44422</v>
      </c>
      <c r="C5429" s="2" t="s">
        <v>2258</v>
      </c>
      <c r="D5429" s="2" t="s">
        <v>1707</v>
      </c>
      <c r="E5429" s="2">
        <v>10.029999999999999</v>
      </c>
      <c r="F5429" s="2" t="str">
        <f>IF(Table2[[#This Row],[Manual Cat Value]]="",VLOOKUP(Table2[[#This Row],[Description]],'Actuals Lookup'!D:F,3,0),Table2[[#This Row],[Manual Cat Value]])</f>
        <v>Transportation</v>
      </c>
      <c r="J5429" s="2">
        <v>10.029999999999999</v>
      </c>
      <c r="K5429" s="2" t="b">
        <v>0</v>
      </c>
      <c r="L5429" s="2"/>
      <c r="M5429" s="2"/>
      <c r="N5429" s="4" t="s">
        <v>2259</v>
      </c>
      <c r="O5429" s="4" t="str">
        <f>LEFT(Table2[[#This Row],[Description]],75)</f>
        <v>Speedway</v>
      </c>
      <c r="P5429" s="2" t="s">
        <v>2381</v>
      </c>
    </row>
    <row r="5430" spans="1:16" hidden="1">
      <c r="A5430" s="2">
        <v>202108</v>
      </c>
      <c r="B5430" s="3">
        <v>44422</v>
      </c>
      <c r="C5430" s="2" t="s">
        <v>2447</v>
      </c>
      <c r="D5430" s="2" t="s">
        <v>1707</v>
      </c>
      <c r="E5430" s="2">
        <v>10.029999999999999</v>
      </c>
      <c r="F5430" s="2" t="str">
        <f>IF(Table2[[#This Row],[Manual Cat Value]]="",VLOOKUP(Table2[[#This Row],[Description]],'Actuals Lookup'!D:F,3,0),Table2[[#This Row],[Manual Cat Value]])</f>
        <v>Transportation</v>
      </c>
      <c r="J5430" s="2">
        <v>10.029999999999999</v>
      </c>
      <c r="K5430" s="2" t="b">
        <v>0</v>
      </c>
      <c r="L5430" s="2"/>
      <c r="M5430" s="2"/>
      <c r="N5430" s="4" t="s">
        <v>2259</v>
      </c>
      <c r="O5430" s="4" t="str">
        <f>LEFT(Table2[[#This Row],[Description]],75)</f>
        <v>Speedway</v>
      </c>
      <c r="P5430" s="2" t="s">
        <v>2381</v>
      </c>
    </row>
    <row r="5431" spans="1:16" hidden="1">
      <c r="A5431" s="2">
        <v>202108</v>
      </c>
      <c r="B5431" s="3">
        <v>44423</v>
      </c>
      <c r="C5431" s="2" t="s">
        <v>2262</v>
      </c>
      <c r="D5431" s="2" t="s">
        <v>506</v>
      </c>
      <c r="E5431" s="2">
        <v>45</v>
      </c>
      <c r="F5431" s="2" t="str">
        <f>IF(Table2[[#This Row],[Manual Cat Value]]="",VLOOKUP(Table2[[#This Row],[Description]],'Actuals Lookup'!D:F,3,0),Table2[[#This Row],[Manual Cat Value]])</f>
        <v>Utilities</v>
      </c>
      <c r="J5431" s="2">
        <v>45</v>
      </c>
      <c r="K5431" s="2" t="b">
        <v>0</v>
      </c>
      <c r="L5431" s="2"/>
      <c r="M5431" s="2"/>
      <c r="N5431" s="4" t="s">
        <v>2259</v>
      </c>
      <c r="O5431" s="4" t="str">
        <f>LEFT(Table2[[#This Row],[Description]],75)</f>
        <v>CenturyLink</v>
      </c>
      <c r="P5431" s="2" t="s">
        <v>2408</v>
      </c>
    </row>
    <row r="5432" spans="1:16" hidden="1">
      <c r="A5432" s="2">
        <v>202108</v>
      </c>
      <c r="B5432" s="3">
        <v>44423</v>
      </c>
      <c r="C5432" s="2" t="s">
        <v>2262</v>
      </c>
      <c r="D5432" s="2" t="s">
        <v>1707</v>
      </c>
      <c r="E5432" s="2">
        <v>1.59</v>
      </c>
      <c r="F5432" s="2" t="str">
        <f>IF(Table2[[#This Row],[Manual Cat Value]]="",VLOOKUP(Table2[[#This Row],[Description]],'Actuals Lookup'!D:F,3,0),Table2[[#This Row],[Manual Cat Value]])</f>
        <v>Transportation</v>
      </c>
      <c r="J5432" s="2">
        <v>1.59</v>
      </c>
      <c r="K5432" s="2" t="b">
        <v>0</v>
      </c>
      <c r="L5432" s="2"/>
      <c r="M5432" s="2"/>
      <c r="N5432" s="4" t="s">
        <v>2259</v>
      </c>
      <c r="O5432" s="4" t="str">
        <f>LEFT(Table2[[#This Row],[Description]],75)</f>
        <v>Speedway</v>
      </c>
      <c r="P5432" s="2" t="s">
        <v>2381</v>
      </c>
    </row>
    <row r="5433" spans="1:16" hidden="1">
      <c r="A5433" s="2">
        <v>202108</v>
      </c>
      <c r="B5433" s="3">
        <v>44423</v>
      </c>
      <c r="C5433" s="2" t="s">
        <v>2262</v>
      </c>
      <c r="D5433" s="2" t="s">
        <v>1707</v>
      </c>
      <c r="E5433" s="2">
        <v>48.16</v>
      </c>
      <c r="F5433" s="2" t="str">
        <f>IF(Table2[[#This Row],[Manual Cat Value]]="",VLOOKUP(Table2[[#This Row],[Description]],'Actuals Lookup'!D:F,3,0),Table2[[#This Row],[Manual Cat Value]])</f>
        <v>Transportation</v>
      </c>
      <c r="J5433" s="2">
        <v>48.16</v>
      </c>
      <c r="K5433" s="2" t="b">
        <v>0</v>
      </c>
      <c r="L5433" s="2"/>
      <c r="M5433" s="2"/>
      <c r="N5433" s="4" t="s">
        <v>2259</v>
      </c>
      <c r="O5433" s="4" t="str">
        <f>LEFT(Table2[[#This Row],[Description]],75)</f>
        <v>Speedway</v>
      </c>
      <c r="P5433" s="2" t="s">
        <v>2381</v>
      </c>
    </row>
    <row r="5434" spans="1:16" hidden="1">
      <c r="A5434" s="2">
        <v>202108</v>
      </c>
      <c r="B5434" s="3">
        <v>44423</v>
      </c>
      <c r="C5434" s="2" t="s">
        <v>2262</v>
      </c>
      <c r="D5434" s="2" t="s">
        <v>2010</v>
      </c>
      <c r="E5434" s="2">
        <v>89.75</v>
      </c>
      <c r="F5434" s="2" t="e">
        <f>IF(Table2[[#This Row],[Manual Cat Value]]="",VLOOKUP(Table2[[#This Row],[Description]],'Actuals Lookup'!D:F,3,0),Table2[[#This Row],[Manual Cat Value]])</f>
        <v>#N/A</v>
      </c>
      <c r="J5434" s="2">
        <v>89.75</v>
      </c>
      <c r="K5434" s="2" t="b">
        <v>0</v>
      </c>
      <c r="L5434" s="2"/>
      <c r="M5434" s="2"/>
      <c r="N5434" s="4" t="s">
        <v>2259</v>
      </c>
      <c r="O5434" s="4" t="str">
        <f>LEFT(Table2[[#This Row],[Description]],75)</f>
        <v>TST COPPER COW MINNETONKA MN TST COPPER COW MINNETONKA MN</v>
      </c>
      <c r="P5434" s="2" t="s">
        <v>2544</v>
      </c>
    </row>
    <row r="5435" spans="1:16" hidden="1">
      <c r="A5435" s="2">
        <v>202108</v>
      </c>
      <c r="B5435" s="3">
        <v>44424</v>
      </c>
      <c r="C5435" s="2" t="s">
        <v>2265</v>
      </c>
      <c r="D5435" s="2" t="s">
        <v>1808</v>
      </c>
      <c r="E5435" s="2">
        <v>-45</v>
      </c>
      <c r="F5435" s="2" t="e">
        <f>IF(Table2[[#This Row],[Manual Cat Value]]="",VLOOKUP(Table2[[#This Row],[Description]],'Actuals Lookup'!D:F,3,0),Table2[[#This Row],[Manual Cat Value]])</f>
        <v>#N/A</v>
      </c>
      <c r="J5435" s="2">
        <v>45</v>
      </c>
      <c r="K5435" s="2" t="b">
        <v>0</v>
      </c>
      <c r="L5435" s="2"/>
      <c r="M5435" s="2"/>
      <c r="N5435" s="4" t="s">
        <v>2273</v>
      </c>
      <c r="O5435" s="4" t="str">
        <f>LEFT(Table2[[#This Row],[Description]],75)</f>
        <v>SYNTELLIS TYPE ID CO SYNTELLIS A SYNTELLIS TYPE PAYMENT ID CO SYNTELLIS ACH</v>
      </c>
      <c r="P5435" s="2" t="s">
        <v>2281</v>
      </c>
    </row>
    <row r="5436" spans="1:16" hidden="1">
      <c r="A5436" s="2">
        <v>202108</v>
      </c>
      <c r="B5436" s="3">
        <v>44424</v>
      </c>
      <c r="C5436" s="2" t="s">
        <v>2262</v>
      </c>
      <c r="D5436" s="2" t="s">
        <v>38</v>
      </c>
      <c r="E5436" s="2">
        <v>-17.38</v>
      </c>
      <c r="F5436" s="2" t="str">
        <f>IF(Table2[[#This Row],[Manual Cat Value]]="",VLOOKUP(Table2[[#This Row],[Description]],'Actuals Lookup'!D:F,3,0),Table2[[#This Row],[Manual Cat Value]])</f>
        <v>Amazon</v>
      </c>
      <c r="J5436" s="2">
        <v>17.38</v>
      </c>
      <c r="K5436" s="2" t="b">
        <v>0</v>
      </c>
      <c r="L5436" s="2"/>
      <c r="M5436" s="2"/>
      <c r="N5436" s="4" t="s">
        <v>2273</v>
      </c>
      <c r="O5436" s="4" t="str">
        <f>LEFT(Table2[[#This Row],[Description]],75)</f>
        <v>Amazon</v>
      </c>
      <c r="P5436" s="2" t="s">
        <v>2260</v>
      </c>
    </row>
    <row r="5437" spans="1:16" hidden="1">
      <c r="A5437" s="2">
        <v>202108</v>
      </c>
      <c r="B5437" s="3">
        <v>44424</v>
      </c>
      <c r="C5437" s="2" t="s">
        <v>2265</v>
      </c>
      <c r="D5437" s="2" t="s">
        <v>131</v>
      </c>
      <c r="E5437" s="2">
        <v>94.98</v>
      </c>
      <c r="F5437" s="2" t="str">
        <f>IF(Table2[[#This Row],[Manual Cat Value]]="",VLOOKUP(Table2[[#This Row],[Description]],'Actuals Lookup'!D:F,3,0),Table2[[#This Row],[Manual Cat Value]])</f>
        <v>Insurance</v>
      </c>
      <c r="J5437" s="2">
        <v>94.98</v>
      </c>
      <c r="K5437" s="2" t="b">
        <v>0</v>
      </c>
      <c r="L5437" s="2"/>
      <c r="M5437" s="2"/>
      <c r="N5437" s="4" t="s">
        <v>2259</v>
      </c>
      <c r="O5437" s="4" t="str">
        <f>LEFT(Table2[[#This Row],[Description]],75)</f>
        <v>American Family Insurance</v>
      </c>
      <c r="P5437" s="2" t="s">
        <v>2286</v>
      </c>
    </row>
    <row r="5438" spans="1:16" hidden="1">
      <c r="A5438" s="2">
        <v>202108</v>
      </c>
      <c r="B5438" s="3">
        <v>44424</v>
      </c>
      <c r="C5438" s="2" t="s">
        <v>2434</v>
      </c>
      <c r="D5438" s="2" t="s">
        <v>233</v>
      </c>
      <c r="E5438" s="2">
        <v>-0.1</v>
      </c>
      <c r="F5438" s="2" t="e">
        <f>IF(Table2[[#This Row],[Manual Cat Value]]="",VLOOKUP(Table2[[#This Row],[Description]],'Actuals Lookup'!D:F,3,0),Table2[[#This Row],[Manual Cat Value]])</f>
        <v>#N/A</v>
      </c>
      <c r="J5438" s="2">
        <v>0.1</v>
      </c>
      <c r="K5438" s="2" t="b">
        <v>0</v>
      </c>
      <c r="L5438" s="2"/>
      <c r="M5438" s="2"/>
      <c r="N5438" s="4" t="s">
        <v>2273</v>
      </c>
      <c r="O5438" s="4" t="str">
        <f>LEFT(Table2[[#This Row],[Description]],75)</f>
        <v>BANK INT 071621-081521 SCHWAB PREMIER BANK</v>
      </c>
      <c r="P5438" s="2" t="s">
        <v>2281</v>
      </c>
    </row>
    <row r="5439" spans="1:16" hidden="1">
      <c r="A5439" s="2">
        <v>202108</v>
      </c>
      <c r="B5439" s="3">
        <v>44424</v>
      </c>
      <c r="C5439" s="2" t="s">
        <v>2488</v>
      </c>
      <c r="D5439" s="2" t="s">
        <v>233</v>
      </c>
      <c r="E5439" s="2">
        <v>-0.01</v>
      </c>
      <c r="F5439" s="2" t="e">
        <f>IF(Table2[[#This Row],[Manual Cat Value]]="",VLOOKUP(Table2[[#This Row],[Description]],'Actuals Lookup'!D:F,3,0),Table2[[#This Row],[Manual Cat Value]])</f>
        <v>#N/A</v>
      </c>
      <c r="J5439" s="2">
        <v>0.01</v>
      </c>
      <c r="K5439" s="2" t="b">
        <v>0</v>
      </c>
      <c r="L5439" s="2"/>
      <c r="M5439" s="2"/>
      <c r="N5439" s="4" t="s">
        <v>2273</v>
      </c>
      <c r="O5439" s="4" t="str">
        <f>LEFT(Table2[[#This Row],[Description]],75)</f>
        <v>BANK INT 071621-081521 SCHWAB PREMIER BANK</v>
      </c>
      <c r="P5439" s="2" t="s">
        <v>2281</v>
      </c>
    </row>
    <row r="5440" spans="1:16" hidden="1">
      <c r="A5440" s="2">
        <v>202108</v>
      </c>
      <c r="B5440" s="3">
        <v>44424</v>
      </c>
      <c r="C5440" s="2" t="s">
        <v>2435</v>
      </c>
      <c r="D5440" s="2" t="s">
        <v>233</v>
      </c>
      <c r="E5440" s="2">
        <v>-0.03</v>
      </c>
      <c r="F5440" s="2" t="e">
        <f>IF(Table2[[#This Row],[Manual Cat Value]]="",VLOOKUP(Table2[[#This Row],[Description]],'Actuals Lookup'!D:F,3,0),Table2[[#This Row],[Manual Cat Value]])</f>
        <v>#N/A</v>
      </c>
      <c r="J5440" s="2">
        <v>0.03</v>
      </c>
      <c r="K5440" s="2" t="b">
        <v>0</v>
      </c>
      <c r="L5440" s="2"/>
      <c r="M5440" s="2"/>
      <c r="N5440" s="4" t="s">
        <v>2273</v>
      </c>
      <c r="O5440" s="4" t="str">
        <f>LEFT(Table2[[#This Row],[Description]],75)</f>
        <v>BANK INT 071621-081521 SCHWAB PREMIER BANK</v>
      </c>
      <c r="P5440" s="2" t="s">
        <v>2281</v>
      </c>
    </row>
    <row r="5441" spans="1:16" hidden="1">
      <c r="A5441" s="2">
        <v>202108</v>
      </c>
      <c r="B5441" s="3">
        <v>44424</v>
      </c>
      <c r="C5441" s="2" t="s">
        <v>2262</v>
      </c>
      <c r="D5441" s="2" t="s">
        <v>321</v>
      </c>
      <c r="E5441" s="2">
        <v>6.32</v>
      </c>
      <c r="F5441" s="2" t="e">
        <f>IF(Table2[[#This Row],[Manual Cat Value]]="",VLOOKUP(Table2[[#This Row],[Description]],'Actuals Lookup'!D:F,3,0),Table2[[#This Row],[Manual Cat Value]])</f>
        <v>#N/A</v>
      </c>
      <c r="J5441" s="2">
        <v>6.32</v>
      </c>
      <c r="K5441" s="2" t="b">
        <v>0</v>
      </c>
      <c r="L5441" s="2"/>
      <c r="M5441" s="2"/>
      <c r="N5441" s="4" t="s">
        <v>2259</v>
      </c>
      <c r="O5441" s="4" t="str">
        <f>LEFT(Table2[[#This Row],[Description]],75)</f>
        <v>Brueggers</v>
      </c>
      <c r="P5441" s="2" t="s">
        <v>2281</v>
      </c>
    </row>
    <row r="5442" spans="1:16" hidden="1">
      <c r="A5442" s="2">
        <v>202108</v>
      </c>
      <c r="B5442" s="3">
        <v>44424</v>
      </c>
      <c r="C5442" s="2" t="s">
        <v>2262</v>
      </c>
      <c r="D5442" s="2" t="s">
        <v>684</v>
      </c>
      <c r="E5442" s="2">
        <v>58.7</v>
      </c>
      <c r="F5442" s="2" t="str">
        <f>IF(Table2[[#This Row],[Manual Cat Value]]="",VLOOKUP(Table2[[#This Row],[Description]],'Actuals Lookup'!D:F,3,0),Table2[[#This Row],[Manual Cat Value]])</f>
        <v>Groceries</v>
      </c>
      <c r="J5442" s="2">
        <v>58.7</v>
      </c>
      <c r="K5442" s="2" t="b">
        <v>0</v>
      </c>
      <c r="L5442" s="2"/>
      <c r="M5442" s="2"/>
      <c r="N5442" s="4" t="s">
        <v>2259</v>
      </c>
      <c r="O5442" s="4" t="str">
        <f>LEFT(Table2[[#This Row],[Description]],75)</f>
        <v>Cub Foods</v>
      </c>
      <c r="P5442" s="2" t="s">
        <v>2370</v>
      </c>
    </row>
    <row r="5443" spans="1:16" hidden="1">
      <c r="A5443" s="2">
        <v>202108</v>
      </c>
      <c r="B5443" s="3">
        <v>44424</v>
      </c>
      <c r="C5443" s="2" t="s">
        <v>2262</v>
      </c>
      <c r="D5443" s="2" t="s">
        <v>695</v>
      </c>
      <c r="E5443" s="2">
        <v>21.6</v>
      </c>
      <c r="F5443" s="2" t="e">
        <f>IF(Table2[[#This Row],[Manual Cat Value]]="",VLOOKUP(Table2[[#This Row],[Description]],'Actuals Lookup'!D:F,3,0),Table2[[#This Row],[Manual Cat Value]])</f>
        <v>#N/A</v>
      </c>
      <c r="J5443" s="2">
        <v>21.6</v>
      </c>
      <c r="K5443" s="2" t="b">
        <v>0</v>
      </c>
      <c r="L5443" s="2"/>
      <c r="M5443" s="2"/>
      <c r="N5443" s="4" t="s">
        <v>2259</v>
      </c>
      <c r="O5443" s="4" t="str">
        <f>LEFT(Table2[[#This Row],[Description]],75)</f>
        <v>Dangerous Man Brewing Co.</v>
      </c>
      <c r="P5443" s="2" t="s">
        <v>2281</v>
      </c>
    </row>
    <row r="5444" spans="1:16" hidden="1">
      <c r="A5444" s="2">
        <v>202108</v>
      </c>
      <c r="B5444" s="3">
        <v>44424</v>
      </c>
      <c r="C5444" s="2" t="s">
        <v>2262</v>
      </c>
      <c r="D5444" s="2" t="s">
        <v>1168</v>
      </c>
      <c r="E5444" s="2">
        <v>27.12</v>
      </c>
      <c r="F5444" s="2" t="str">
        <f>IF(Table2[[#This Row],[Manual Cat Value]]="",VLOOKUP(Table2[[#This Row],[Description]],'Actuals Lookup'!D:F,3,0),Table2[[#This Row],[Manual Cat Value]])</f>
        <v>Transportation</v>
      </c>
      <c r="J5444" s="2">
        <v>27.12</v>
      </c>
      <c r="K5444" s="2" t="b">
        <v>0</v>
      </c>
      <c r="L5444" s="2"/>
      <c r="M5444" s="2"/>
      <c r="N5444" s="4" t="s">
        <v>2259</v>
      </c>
      <c r="O5444" s="4" t="str">
        <f>LEFT(Table2[[#This Row],[Description]],75)</f>
        <v>Lyft</v>
      </c>
      <c r="P5444" s="2" t="s">
        <v>2414</v>
      </c>
    </row>
    <row r="5445" spans="1:16" hidden="1">
      <c r="A5445" s="2">
        <v>202108</v>
      </c>
      <c r="B5445" s="3">
        <v>44424</v>
      </c>
      <c r="C5445" s="2" t="s">
        <v>2460</v>
      </c>
      <c r="D5445" s="2" t="s">
        <v>1525</v>
      </c>
      <c r="E5445" s="2">
        <v>-34.76</v>
      </c>
      <c r="F5445" s="2" t="e">
        <f>IF(Table2[[#This Row],[Manual Cat Value]]="",VLOOKUP(Table2[[#This Row],[Description]],'Actuals Lookup'!D:F,3,0),Table2[[#This Row],[Manual Cat Value]])</f>
        <v>#N/A</v>
      </c>
      <c r="J5445" s="2">
        <v>34.76</v>
      </c>
      <c r="K5445" s="2" t="b">
        <v>0</v>
      </c>
      <c r="L5445" s="2"/>
      <c r="M5445" s="2"/>
      <c r="N5445" s="4" t="s">
        <v>2273</v>
      </c>
      <c r="O5445" s="4" t="str">
        <f>LEFT(Table2[[#This Row],[Description]],75)</f>
        <v>PROCTER &amp; GAMBLE</v>
      </c>
      <c r="P5445" s="2" t="s">
        <v>2281</v>
      </c>
    </row>
    <row r="5446" spans="1:16" hidden="1">
      <c r="A5446" s="2">
        <v>202108</v>
      </c>
      <c r="B5446" s="3">
        <v>44424</v>
      </c>
      <c r="C5446" s="2" t="s">
        <v>2317</v>
      </c>
      <c r="D5446" s="2" t="s">
        <v>1525</v>
      </c>
      <c r="E5446" s="2">
        <v>-34.76</v>
      </c>
      <c r="F5446" s="2" t="e">
        <f>IF(Table2[[#This Row],[Manual Cat Value]]="",VLOOKUP(Table2[[#This Row],[Description]],'Actuals Lookup'!D:F,3,0),Table2[[#This Row],[Manual Cat Value]])</f>
        <v>#N/A</v>
      </c>
      <c r="J5446" s="2">
        <v>34.76</v>
      </c>
      <c r="K5446" s="2" t="b">
        <v>0</v>
      </c>
      <c r="L5446" s="2"/>
      <c r="M5446" s="2"/>
      <c r="N5446" s="4" t="s">
        <v>2273</v>
      </c>
      <c r="O5446" s="4" t="str">
        <f>LEFT(Table2[[#This Row],[Description]],75)</f>
        <v>PROCTER &amp; GAMBLE</v>
      </c>
      <c r="P5446" s="2" t="s">
        <v>2415</v>
      </c>
    </row>
    <row r="5447" spans="1:16" hidden="1">
      <c r="A5447" s="2">
        <v>202108</v>
      </c>
      <c r="B5447" s="3">
        <v>44424</v>
      </c>
      <c r="C5447" s="2" t="s">
        <v>2262</v>
      </c>
      <c r="D5447" s="2" t="s">
        <v>1675</v>
      </c>
      <c r="E5447" s="2">
        <v>20.5</v>
      </c>
      <c r="F5447" s="2" t="e">
        <f>IF(Table2[[#This Row],[Manual Cat Value]]="",VLOOKUP(Table2[[#This Row],[Description]],'Actuals Lookup'!D:F,3,0),Table2[[#This Row],[Manual Cat Value]])</f>
        <v>#N/A</v>
      </c>
      <c r="J5447" s="2">
        <v>20.5</v>
      </c>
      <c r="K5447" s="2" t="b">
        <v>0</v>
      </c>
      <c r="L5447" s="2"/>
      <c r="M5447" s="2"/>
      <c r="N5447" s="4" t="s">
        <v>2259</v>
      </c>
      <c r="O5447" s="4" t="str">
        <f>LEFT(Table2[[#This Row],[Description]],75)</f>
        <v>Something Safari LLC</v>
      </c>
      <c r="P5447" s="2" t="s">
        <v>2281</v>
      </c>
    </row>
    <row r="5448" spans="1:16" hidden="1">
      <c r="A5448" s="2">
        <v>202108</v>
      </c>
      <c r="B5448" s="3">
        <v>44425</v>
      </c>
      <c r="C5448" s="2" t="s">
        <v>2265</v>
      </c>
      <c r="D5448" s="2" t="s">
        <v>1964</v>
      </c>
      <c r="E5448" s="2">
        <v>97.75</v>
      </c>
      <c r="F5448" s="2" t="e">
        <f>IF(Table2[[#This Row],[Manual Cat Value]]="",VLOOKUP(Table2[[#This Row],[Description]],'Actuals Lookup'!D:F,3,0),Table2[[#This Row],[Manual Cat Value]])</f>
        <v>#N/A</v>
      </c>
      <c r="J5448" s="2">
        <v>97.75</v>
      </c>
      <c r="K5448" s="2" t="b">
        <v>0</v>
      </c>
      <c r="L5448" s="2"/>
      <c r="M5448" s="2"/>
      <c r="N5448" s="4" t="s">
        <v>2259</v>
      </c>
      <c r="O5448" s="4" t="str">
        <f>LEFT(Table2[[#This Row],[Description]],75)</f>
        <v>Transfer to Venmo VENMO TYPE PAYMENT ID CO VENMO ACH ECC WEB ACH Trace 3289</v>
      </c>
      <c r="P5448" s="2" t="s">
        <v>2281</v>
      </c>
    </row>
    <row r="5449" spans="1:16" hidden="1">
      <c r="A5449" s="2">
        <v>202108</v>
      </c>
      <c r="B5449" s="3">
        <v>44425</v>
      </c>
      <c r="C5449" s="2" t="s">
        <v>2262</v>
      </c>
      <c r="D5449" s="2" t="s">
        <v>944</v>
      </c>
      <c r="E5449" s="2">
        <v>5.85</v>
      </c>
      <c r="F5449" s="2" t="e">
        <f>IF(Table2[[#This Row],[Manual Cat Value]]="",VLOOKUP(Table2[[#This Row],[Description]],'Actuals Lookup'!D:F,3,0),Table2[[#This Row],[Manual Cat Value]])</f>
        <v>#N/A</v>
      </c>
      <c r="J5449" s="2">
        <v>5.85</v>
      </c>
      <c r="K5449" s="2" t="b">
        <v>0</v>
      </c>
      <c r="L5449" s="2"/>
      <c r="M5449" s="2"/>
      <c r="N5449" s="4" t="s">
        <v>2259</v>
      </c>
      <c r="O5449" s="4" t="str">
        <f>LEFT(Table2[[#This Row],[Description]],75)</f>
        <v>Holiday Stationstore</v>
      </c>
      <c r="P5449" s="2" t="s">
        <v>2374</v>
      </c>
    </row>
    <row r="5450" spans="1:16" hidden="1">
      <c r="A5450" s="2">
        <v>202108</v>
      </c>
      <c r="B5450" s="3">
        <v>44425</v>
      </c>
      <c r="C5450" s="2" t="s">
        <v>2262</v>
      </c>
      <c r="D5450" s="2" t="s">
        <v>944</v>
      </c>
      <c r="E5450" s="2">
        <v>53.77</v>
      </c>
      <c r="F5450" s="2" t="e">
        <f>IF(Table2[[#This Row],[Manual Cat Value]]="",VLOOKUP(Table2[[#This Row],[Description]],'Actuals Lookup'!D:F,3,0),Table2[[#This Row],[Manual Cat Value]])</f>
        <v>#N/A</v>
      </c>
      <c r="J5450" s="2">
        <v>53.77</v>
      </c>
      <c r="K5450" s="2" t="b">
        <v>0</v>
      </c>
      <c r="L5450" s="2"/>
      <c r="M5450" s="2"/>
      <c r="N5450" s="4" t="s">
        <v>2259</v>
      </c>
      <c r="O5450" s="4" t="str">
        <f>LEFT(Table2[[#This Row],[Description]],75)</f>
        <v>Holiday Stationstore</v>
      </c>
      <c r="P5450" s="2" t="s">
        <v>2374</v>
      </c>
    </row>
    <row r="5451" spans="1:16" hidden="1">
      <c r="A5451" s="2">
        <v>202108</v>
      </c>
      <c r="B5451" s="3">
        <v>44425</v>
      </c>
      <c r="C5451" s="2" t="s">
        <v>2262</v>
      </c>
      <c r="D5451" s="2" t="s">
        <v>1168</v>
      </c>
      <c r="E5451" s="2">
        <v>9.3699999999999992</v>
      </c>
      <c r="F5451" s="2" t="str">
        <f>IF(Table2[[#This Row],[Manual Cat Value]]="",VLOOKUP(Table2[[#This Row],[Description]],'Actuals Lookup'!D:F,3,0),Table2[[#This Row],[Manual Cat Value]])</f>
        <v>Transportation</v>
      </c>
      <c r="J5451" s="2">
        <v>9.3699999999999992</v>
      </c>
      <c r="K5451" s="2" t="b">
        <v>0</v>
      </c>
      <c r="L5451" s="2"/>
      <c r="M5451" s="2"/>
      <c r="N5451" s="4" t="s">
        <v>2259</v>
      </c>
      <c r="O5451" s="4" t="str">
        <f>LEFT(Table2[[#This Row],[Description]],75)</f>
        <v>Lyft</v>
      </c>
      <c r="P5451" s="2" t="s">
        <v>2414</v>
      </c>
    </row>
    <row r="5452" spans="1:16" hidden="1">
      <c r="A5452" s="2">
        <v>202108</v>
      </c>
      <c r="B5452" s="3">
        <v>44425</v>
      </c>
      <c r="C5452" s="2" t="s">
        <v>2460</v>
      </c>
      <c r="D5452" s="2" t="s">
        <v>1525</v>
      </c>
      <c r="E5452" s="2">
        <v>34.76</v>
      </c>
      <c r="F5452" s="2" t="e">
        <f>IF(Table2[[#This Row],[Manual Cat Value]]="",VLOOKUP(Table2[[#This Row],[Description]],'Actuals Lookup'!D:F,3,0),Table2[[#This Row],[Manual Cat Value]])</f>
        <v>#N/A</v>
      </c>
      <c r="J5452" s="2">
        <v>34.76</v>
      </c>
      <c r="K5452" s="2" t="b">
        <v>0</v>
      </c>
      <c r="L5452" s="2"/>
      <c r="M5452" s="2"/>
      <c r="N5452" s="4" t="s">
        <v>2259</v>
      </c>
      <c r="O5452" s="4" t="str">
        <f>LEFT(Table2[[#This Row],[Description]],75)</f>
        <v>PROCTER &amp; GAMBLE</v>
      </c>
      <c r="P5452" s="2" t="s">
        <v>2281</v>
      </c>
    </row>
    <row r="5453" spans="1:16" hidden="1">
      <c r="A5453" s="2">
        <v>202108</v>
      </c>
      <c r="B5453" s="3">
        <v>44425</v>
      </c>
      <c r="C5453" s="2" t="s">
        <v>2317</v>
      </c>
      <c r="D5453" s="2" t="s">
        <v>1525</v>
      </c>
      <c r="E5453" s="2">
        <v>34.76</v>
      </c>
      <c r="F5453" s="2" t="e">
        <f>IF(Table2[[#This Row],[Manual Cat Value]]="",VLOOKUP(Table2[[#This Row],[Description]],'Actuals Lookup'!D:F,3,0),Table2[[#This Row],[Manual Cat Value]])</f>
        <v>#N/A</v>
      </c>
      <c r="J5453" s="2">
        <v>34.76</v>
      </c>
      <c r="K5453" s="2" t="b">
        <v>0</v>
      </c>
      <c r="L5453" s="2"/>
      <c r="M5453" s="2"/>
      <c r="N5453" s="4" t="s">
        <v>2259</v>
      </c>
      <c r="O5453" s="4" t="str">
        <f>LEFT(Table2[[#This Row],[Description]],75)</f>
        <v>PROCTER &amp; GAMBLE</v>
      </c>
      <c r="P5453" s="2" t="s">
        <v>2415</v>
      </c>
    </row>
    <row r="5454" spans="1:16" hidden="1">
      <c r="A5454" s="2">
        <v>202108</v>
      </c>
      <c r="B5454" s="3">
        <v>44426</v>
      </c>
      <c r="C5454" s="2" t="s">
        <v>2265</v>
      </c>
      <c r="D5454" s="2" t="s">
        <v>1979</v>
      </c>
      <c r="E5454" s="2">
        <v>5</v>
      </c>
      <c r="F5454" s="2" t="e">
        <f>IF(Table2[[#This Row],[Manual Cat Value]]="",VLOOKUP(Table2[[#This Row],[Description]],'Actuals Lookup'!D:F,3,0),Table2[[#This Row],[Manual Cat Value]])</f>
        <v>#N/A</v>
      </c>
      <c r="J5454" s="2">
        <v>5</v>
      </c>
      <c r="K5454" s="2" t="b">
        <v>0</v>
      </c>
      <c r="L5454" s="2"/>
      <c r="M5454" s="2"/>
      <c r="N5454" s="4" t="s">
        <v>2259</v>
      </c>
      <c r="O5454" s="4" t="str">
        <f>LEFT(Table2[[#This Row],[Description]],75)</f>
        <v>Transfer to Venmo VENMO TYPE PAYMENT ID CO VENMO ACH ECC WEB ACH Trace 9524</v>
      </c>
      <c r="P5454" s="2" t="s">
        <v>2281</v>
      </c>
    </row>
    <row r="5455" spans="1:16" hidden="1">
      <c r="A5455" s="2">
        <v>202108</v>
      </c>
      <c r="B5455" s="3">
        <v>44426</v>
      </c>
      <c r="C5455" s="2" t="s">
        <v>2262</v>
      </c>
      <c r="D5455" s="2" t="s">
        <v>38</v>
      </c>
      <c r="E5455" s="2">
        <v>297.18</v>
      </c>
      <c r="F5455" s="2" t="str">
        <f>IF(Table2[[#This Row],[Manual Cat Value]]="",VLOOKUP(Table2[[#This Row],[Description]],'Actuals Lookup'!D:F,3,0),Table2[[#This Row],[Manual Cat Value]])</f>
        <v>Amazon</v>
      </c>
      <c r="J5455" s="2">
        <v>297.18</v>
      </c>
      <c r="K5455" s="2" t="b">
        <v>0</v>
      </c>
      <c r="L5455" s="2"/>
      <c r="M5455" s="2"/>
      <c r="N5455" s="4" t="s">
        <v>2259</v>
      </c>
      <c r="O5455" s="4" t="str">
        <f>LEFT(Table2[[#This Row],[Description]],75)</f>
        <v>Amazon</v>
      </c>
      <c r="P5455" s="2" t="s">
        <v>2260</v>
      </c>
    </row>
    <row r="5456" spans="1:16" hidden="1">
      <c r="A5456" s="2">
        <v>202108</v>
      </c>
      <c r="B5456" s="3">
        <v>44426</v>
      </c>
      <c r="C5456" s="2" t="s">
        <v>2262</v>
      </c>
      <c r="D5456" s="2" t="s">
        <v>166</v>
      </c>
      <c r="E5456" s="2">
        <v>-300.54000000000002</v>
      </c>
      <c r="F5456" s="2" t="e">
        <f>IF(Table2[[#This Row],[Manual Cat Value]]="",VLOOKUP(Table2[[#This Row],[Description]],'Actuals Lookup'!D:F,3,0),Table2[[#This Row],[Manual Cat Value]])</f>
        <v>#N/A</v>
      </c>
      <c r="J5456" s="2">
        <v>300.54000000000002</v>
      </c>
      <c r="K5456" s="2" t="b">
        <v>0</v>
      </c>
      <c r="L5456" s="2"/>
      <c r="M5456" s="2"/>
      <c r="N5456" s="4" t="s">
        <v>2273</v>
      </c>
      <c r="O5456" s="4" t="str">
        <f>LEFT(Table2[[#This Row],[Description]],75)</f>
        <v>Applecomus Ca</v>
      </c>
      <c r="P5456" s="2" t="s">
        <v>2281</v>
      </c>
    </row>
    <row r="5457" spans="1:16" hidden="1">
      <c r="A5457" s="2">
        <v>202108</v>
      </c>
      <c r="B5457" s="3">
        <v>44426</v>
      </c>
      <c r="C5457" s="2" t="s">
        <v>2262</v>
      </c>
      <c r="D5457" s="2" t="s">
        <v>692</v>
      </c>
      <c r="E5457" s="2">
        <v>4.92</v>
      </c>
      <c r="F5457" s="2" t="str">
        <f>IF(Table2[[#This Row],[Manual Cat Value]]="",VLOOKUP(Table2[[#This Row],[Description]],'Actuals Lookup'!D:F,3,0),Table2[[#This Row],[Manual Cat Value]])</f>
        <v>Restaurants</v>
      </c>
      <c r="J5457" s="2">
        <v>4.92</v>
      </c>
      <c r="K5457" s="2" t="b">
        <v>0</v>
      </c>
      <c r="L5457" s="2"/>
      <c r="M5457" s="2"/>
      <c r="N5457" s="4" t="s">
        <v>2259</v>
      </c>
      <c r="O5457" s="4" t="str">
        <f>LEFT(Table2[[#This Row],[Description]],75)</f>
        <v>Dairy Queen</v>
      </c>
      <c r="P5457" s="2" t="s">
        <v>2281</v>
      </c>
    </row>
    <row r="5458" spans="1:16" hidden="1">
      <c r="A5458" s="2">
        <v>202108</v>
      </c>
      <c r="B5458" s="3">
        <v>44426</v>
      </c>
      <c r="C5458" s="2" t="s">
        <v>2265</v>
      </c>
      <c r="D5458" s="2" t="s">
        <v>1301</v>
      </c>
      <c r="E5458" s="2">
        <v>200</v>
      </c>
      <c r="F5458" s="2" t="e">
        <f>IF(Table2[[#This Row],[Manual Cat Value]]="",VLOOKUP(Table2[[#This Row],[Description]],'Actuals Lookup'!D:F,3,0),Table2[[#This Row],[Manual Cat Value]])</f>
        <v>#N/A</v>
      </c>
      <c r="J5458" s="2">
        <v>200</v>
      </c>
      <c r="K5458" s="2" t="b">
        <v>0</v>
      </c>
      <c r="L5458" s="2"/>
      <c r="M5458" s="2"/>
      <c r="N5458" s="4" t="s">
        <v>2259</v>
      </c>
      <c r="O5458" s="4" t="str">
        <f>LEFT(Table2[[#This Row],[Description]],75)</f>
        <v>MN DIR ACH TYPE CONTRIB ID CO MN MN DIR ACH TYPE CONTRIB ID CO MN DIR ACH A</v>
      </c>
      <c r="P5458" s="2" t="s">
        <v>2469</v>
      </c>
    </row>
    <row r="5459" spans="1:16" hidden="1">
      <c r="A5459" s="2">
        <v>202108</v>
      </c>
      <c r="B5459" s="3">
        <v>44426</v>
      </c>
      <c r="C5459" s="2" t="s">
        <v>2262</v>
      </c>
      <c r="D5459" s="2" t="s">
        <v>1353</v>
      </c>
      <c r="E5459" s="2">
        <v>34.36</v>
      </c>
      <c r="F5459" s="2" t="str">
        <f>IF(Table2[[#This Row],[Manual Cat Value]]="",VLOOKUP(Table2[[#This Row],[Description]],'Actuals Lookup'!D:F,3,0),Table2[[#This Row],[Manual Cat Value]])</f>
        <v>Restaurants</v>
      </c>
      <c r="J5459" s="2">
        <v>34.36</v>
      </c>
      <c r="K5459" s="2" t="b">
        <v>0</v>
      </c>
      <c r="L5459" s="2"/>
      <c r="M5459" s="2"/>
      <c r="N5459" s="4" t="s">
        <v>2259</v>
      </c>
      <c r="O5459" s="4" t="str">
        <f>LEFT(Table2[[#This Row],[Description]],75)</f>
        <v>Noodles &amp; Company</v>
      </c>
      <c r="P5459" s="2" t="s">
        <v>2337</v>
      </c>
    </row>
    <row r="5460" spans="1:16" hidden="1">
      <c r="A5460" s="2">
        <v>202108</v>
      </c>
      <c r="B5460" s="3">
        <v>44427</v>
      </c>
      <c r="C5460" s="2" t="s">
        <v>2262</v>
      </c>
      <c r="D5460" s="2" t="s">
        <v>38</v>
      </c>
      <c r="E5460" s="2">
        <v>63.33</v>
      </c>
      <c r="F5460" s="2" t="str">
        <f>IF(Table2[[#This Row],[Manual Cat Value]]="",VLOOKUP(Table2[[#This Row],[Description]],'Actuals Lookup'!D:F,3,0),Table2[[#This Row],[Manual Cat Value]])</f>
        <v>Amazon</v>
      </c>
      <c r="J5460" s="2">
        <v>63.33</v>
      </c>
      <c r="K5460" s="2" t="b">
        <v>0</v>
      </c>
      <c r="L5460" s="2"/>
      <c r="M5460" s="2"/>
      <c r="N5460" s="4" t="s">
        <v>2259</v>
      </c>
      <c r="O5460" s="4" t="str">
        <f>LEFT(Table2[[#This Row],[Description]],75)</f>
        <v>Amazon</v>
      </c>
      <c r="P5460" s="2" t="s">
        <v>2260</v>
      </c>
    </row>
    <row r="5461" spans="1:16" hidden="1">
      <c r="A5461" s="2">
        <v>202108</v>
      </c>
      <c r="B5461" s="3">
        <v>44427</v>
      </c>
      <c r="C5461" s="2" t="s">
        <v>2265</v>
      </c>
      <c r="D5461" s="2" t="s">
        <v>408</v>
      </c>
      <c r="E5461" s="2">
        <v>-2498.42</v>
      </c>
      <c r="F5461" s="2" t="e">
        <f>IF(Table2[[#This Row],[Manual Cat Value]]="",VLOOKUP(Table2[[#This Row],[Description]],'Actuals Lookup'!D:F,3,0),Table2[[#This Row],[Manual Cat Value]])</f>
        <v>#N/A</v>
      </c>
      <c r="J5461" s="2">
        <v>2498.42</v>
      </c>
      <c r="K5461" s="2" t="b">
        <v>0</v>
      </c>
      <c r="L5461" s="2"/>
      <c r="M5461" s="2"/>
      <c r="N5461" s="4" t="s">
        <v>2273</v>
      </c>
      <c r="O5461" s="4" t="str">
        <f>LEFT(Table2[[#This Row],[Description]],75)</f>
        <v>Cargill Inc Deposit CARGILL INCORPOR TYPE DIRECT DEP ID CO CARGILL INCORPOR</v>
      </c>
      <c r="P5461" s="2" t="s">
        <v>2545</v>
      </c>
    </row>
    <row r="5462" spans="1:16" hidden="1">
      <c r="A5462" s="2">
        <v>202108</v>
      </c>
      <c r="B5462" s="3">
        <v>44427</v>
      </c>
      <c r="C5462" s="2" t="s">
        <v>2262</v>
      </c>
      <c r="D5462" s="2" t="s">
        <v>684</v>
      </c>
      <c r="E5462" s="2">
        <v>1.69</v>
      </c>
      <c r="F5462" s="2" t="str">
        <f>IF(Table2[[#This Row],[Manual Cat Value]]="",VLOOKUP(Table2[[#This Row],[Description]],'Actuals Lookup'!D:F,3,0),Table2[[#This Row],[Manual Cat Value]])</f>
        <v>Groceries</v>
      </c>
      <c r="J5462" s="2">
        <v>1.69</v>
      </c>
      <c r="K5462" s="2" t="b">
        <v>0</v>
      </c>
      <c r="L5462" s="2"/>
      <c r="M5462" s="2"/>
      <c r="N5462" s="4" t="s">
        <v>2259</v>
      </c>
      <c r="O5462" s="4" t="str">
        <f>LEFT(Table2[[#This Row],[Description]],75)</f>
        <v>Cub Foods</v>
      </c>
      <c r="P5462" s="2" t="s">
        <v>2370</v>
      </c>
    </row>
    <row r="5463" spans="1:16" hidden="1">
      <c r="A5463" s="2">
        <v>202108</v>
      </c>
      <c r="B5463" s="3">
        <v>44427</v>
      </c>
      <c r="C5463" s="2" t="s">
        <v>2262</v>
      </c>
      <c r="D5463" s="2" t="s">
        <v>1526</v>
      </c>
      <c r="E5463" s="2">
        <v>2239.67</v>
      </c>
      <c r="F5463" s="2" t="e">
        <f>IF(Table2[[#This Row],[Manual Cat Value]]="",VLOOKUP(Table2[[#This Row],[Description]],'Actuals Lookup'!D:F,3,0),Table2[[#This Row],[Manual Cat Value]])</f>
        <v>#N/A</v>
      </c>
      <c r="J5463" s="2">
        <v>2239.67</v>
      </c>
      <c r="K5463" s="2" t="b">
        <v>0</v>
      </c>
      <c r="L5463" s="2"/>
      <c r="M5463" s="2"/>
      <c r="N5463" s="4" t="s">
        <v>2259</v>
      </c>
      <c r="O5463" s="4" t="str">
        <f>LEFT(Table2[[#This Row],[Description]],75)</f>
        <v>Prosource</v>
      </c>
      <c r="P5463" s="2" t="s">
        <v>2281</v>
      </c>
    </row>
    <row r="5464" spans="1:16" hidden="1">
      <c r="A5464" s="2">
        <v>202108</v>
      </c>
      <c r="B5464" s="3">
        <v>44428</v>
      </c>
      <c r="C5464" s="2" t="s">
        <v>2262</v>
      </c>
      <c r="D5464" s="2" t="s">
        <v>38</v>
      </c>
      <c r="E5464" s="2">
        <v>61.48</v>
      </c>
      <c r="F5464" s="2" t="str">
        <f>IF(Table2[[#This Row],[Manual Cat Value]]="",VLOOKUP(Table2[[#This Row],[Description]],'Actuals Lookup'!D:F,3,0),Table2[[#This Row],[Manual Cat Value]])</f>
        <v>Amazon</v>
      </c>
      <c r="J5464" s="2">
        <v>61.48</v>
      </c>
      <c r="K5464" s="2" t="b">
        <v>0</v>
      </c>
      <c r="L5464" s="2"/>
      <c r="M5464" s="2"/>
      <c r="N5464" s="4" t="s">
        <v>2259</v>
      </c>
      <c r="O5464" s="4" t="str">
        <f>LEFT(Table2[[#This Row],[Description]],75)</f>
        <v>Amazon</v>
      </c>
      <c r="P5464" s="2" t="s">
        <v>2260</v>
      </c>
    </row>
    <row r="5465" spans="1:16" hidden="1">
      <c r="A5465" s="2">
        <v>202108</v>
      </c>
      <c r="B5465" s="3">
        <v>44428</v>
      </c>
      <c r="C5465" s="2" t="s">
        <v>2460</v>
      </c>
      <c r="D5465" s="2" t="s">
        <v>424</v>
      </c>
      <c r="E5465" s="2">
        <v>-200</v>
      </c>
      <c r="F5465" s="2" t="e">
        <f>IF(Table2[[#This Row],[Manual Cat Value]]="",VLOOKUP(Table2[[#This Row],[Description]],'Actuals Lookup'!D:F,3,0),Table2[[#This Row],[Manual Cat Value]])</f>
        <v>#N/A</v>
      </c>
      <c r="J5465" s="2">
        <v>200</v>
      </c>
      <c r="K5465" s="2" t="b">
        <v>0</v>
      </c>
      <c r="L5465" s="2"/>
      <c r="M5465" s="2"/>
      <c r="N5465" s="4" t="s">
        <v>2273</v>
      </c>
      <c r="O5465" s="4" t="str">
        <f>LEFT(Table2[[#This Row],[Description]],75)</f>
        <v>CARGILL INCORPOR</v>
      </c>
      <c r="P5465" s="2" t="s">
        <v>2281</v>
      </c>
    </row>
    <row r="5466" spans="1:16" hidden="1">
      <c r="A5466" s="2">
        <v>202108</v>
      </c>
      <c r="B5466" s="3">
        <v>44428</v>
      </c>
      <c r="C5466" s="2" t="s">
        <v>2317</v>
      </c>
      <c r="D5466" s="2" t="s">
        <v>424</v>
      </c>
      <c r="E5466" s="2">
        <v>-200</v>
      </c>
      <c r="F5466" s="2" t="e">
        <f>IF(Table2[[#This Row],[Manual Cat Value]]="",VLOOKUP(Table2[[#This Row],[Description]],'Actuals Lookup'!D:F,3,0),Table2[[#This Row],[Manual Cat Value]])</f>
        <v>#N/A</v>
      </c>
      <c r="J5466" s="2">
        <v>200</v>
      </c>
      <c r="K5466" s="2" t="b">
        <v>0</v>
      </c>
      <c r="L5466" s="2"/>
      <c r="M5466" s="2"/>
      <c r="N5466" s="4" t="s">
        <v>2273</v>
      </c>
      <c r="O5466" s="4" t="str">
        <f>LEFT(Table2[[#This Row],[Description]],75)</f>
        <v>CARGILL INCORPOR</v>
      </c>
      <c r="P5466" s="2" t="s">
        <v>2385</v>
      </c>
    </row>
    <row r="5467" spans="1:16" hidden="1">
      <c r="A5467" s="2">
        <v>202108</v>
      </c>
      <c r="B5467" s="3">
        <v>44428</v>
      </c>
      <c r="C5467" s="2" t="s">
        <v>2265</v>
      </c>
      <c r="D5467" s="2" t="s">
        <v>1196</v>
      </c>
      <c r="E5467" s="2">
        <v>528.79999999999995</v>
      </c>
      <c r="F5467" s="2" t="e">
        <f>IF(Table2[[#This Row],[Manual Cat Value]]="",VLOOKUP(Table2[[#This Row],[Description]],'Actuals Lookup'!D:F,3,0),Table2[[#This Row],[Manual Cat Value]])</f>
        <v>#N/A</v>
      </c>
      <c r="J5467" s="2">
        <v>528.79999999999995</v>
      </c>
      <c r="K5467" s="2" t="b">
        <v>0</v>
      </c>
      <c r="L5467" s="2"/>
      <c r="M5467" s="2"/>
      <c r="N5467" s="4" t="s">
        <v>2259</v>
      </c>
      <c r="O5467" s="4" t="str">
        <f>LEFT(Table2[[#This Row],[Description]],75)</f>
        <v>MHCHILDCARELLC TYPE DUES ID CO M MHCHILDCARELLC TYPE DUES ID CO MHCHILDCARE</v>
      </c>
      <c r="P5467" s="2" t="s">
        <v>2497</v>
      </c>
    </row>
    <row r="5468" spans="1:16" hidden="1">
      <c r="A5468" s="2">
        <v>202108</v>
      </c>
      <c r="B5468" s="3">
        <v>44428</v>
      </c>
      <c r="C5468" s="2" t="s">
        <v>2265</v>
      </c>
      <c r="D5468" s="2" t="s">
        <v>1471</v>
      </c>
      <c r="E5468" s="2">
        <v>20.51</v>
      </c>
      <c r="F5468" s="2" t="str">
        <f>IF(Table2[[#This Row],[Manual Cat Value]]="",VLOOKUP(Table2[[#This Row],[Description]],'Actuals Lookup'!D:F,3,0),Table2[[#This Row],[Manual Cat Value]])</f>
        <v>Shopping</v>
      </c>
      <c r="J5468" s="2">
        <v>20.51</v>
      </c>
      <c r="K5468" s="2" t="b">
        <v>0</v>
      </c>
      <c r="L5468" s="2"/>
      <c r="M5468" s="2"/>
      <c r="N5468" s="4" t="s">
        <v>2259</v>
      </c>
      <c r="O5468" s="4" t="str">
        <f>LEFT(Table2[[#This Row],[Description]],75)</f>
        <v>PayPal</v>
      </c>
      <c r="P5468" s="2" t="s">
        <v>2322</v>
      </c>
    </row>
    <row r="5469" spans="1:16" hidden="1">
      <c r="A5469" s="2">
        <v>202108</v>
      </c>
      <c r="B5469" s="3">
        <v>44428</v>
      </c>
      <c r="C5469" s="2" t="s">
        <v>2338</v>
      </c>
      <c r="D5469" s="2" t="s">
        <v>1820</v>
      </c>
      <c r="E5469" s="2">
        <v>-426.7</v>
      </c>
      <c r="F5469" s="2" t="e">
        <f>IF(Table2[[#This Row],[Manual Cat Value]]="",VLOOKUP(Table2[[#This Row],[Description]],'Actuals Lookup'!D:F,3,0),Table2[[#This Row],[Manual Cat Value]])</f>
        <v>#N/A</v>
      </c>
      <c r="J5469" s="2">
        <v>426.7</v>
      </c>
      <c r="K5469" s="2" t="b">
        <v>0</v>
      </c>
      <c r="L5469" s="2"/>
      <c r="M5469" s="2"/>
      <c r="N5469" s="4" t="s">
        <v>2273</v>
      </c>
      <c r="O5469" s="4" t="str">
        <f>LEFT(Table2[[#This Row],[Description]],75)</f>
        <v>Target Retire 2055 Tr P - Plan Contribution</v>
      </c>
      <c r="P5469" s="2" t="s">
        <v>2386</v>
      </c>
    </row>
    <row r="5470" spans="1:16" hidden="1">
      <c r="A5470" s="2">
        <v>202108</v>
      </c>
      <c r="B5470" s="3">
        <v>44428</v>
      </c>
      <c r="C5470" s="2" t="s">
        <v>2434</v>
      </c>
      <c r="D5470" s="2" t="s">
        <v>1835</v>
      </c>
      <c r="E5470" s="2">
        <v>-231</v>
      </c>
      <c r="F5470" s="2" t="e">
        <f>IF(Table2[[#This Row],[Manual Cat Value]]="",VLOOKUP(Table2[[#This Row],[Description]],'Actuals Lookup'!D:F,3,0),Table2[[#This Row],[Manual Cat Value]])</f>
        <v>#N/A</v>
      </c>
      <c r="J5470" s="2">
        <v>231</v>
      </c>
      <c r="K5470" s="2" t="b">
        <v>0</v>
      </c>
      <c r="L5470" s="2"/>
      <c r="M5470" s="2"/>
      <c r="N5470" s="4" t="s">
        <v>2273</v>
      </c>
      <c r="O5470" s="4" t="str">
        <f>LEFT(Table2[[#This Row],[Description]],75)</f>
        <v>Tfr JPMORGAN CHASE BAN, CARGILL INCORPOR</v>
      </c>
      <c r="P5470" s="2" t="s">
        <v>2281</v>
      </c>
    </row>
    <row r="5471" spans="1:16" hidden="1">
      <c r="A5471" s="2">
        <v>202108</v>
      </c>
      <c r="B5471" s="3">
        <v>44430</v>
      </c>
      <c r="C5471" s="2" t="s">
        <v>2262</v>
      </c>
      <c r="D5471" s="2" t="s">
        <v>38</v>
      </c>
      <c r="E5471" s="2">
        <v>7.24</v>
      </c>
      <c r="F5471" s="2" t="str">
        <f>IF(Table2[[#This Row],[Manual Cat Value]]="",VLOOKUP(Table2[[#This Row],[Description]],'Actuals Lookup'!D:F,3,0),Table2[[#This Row],[Manual Cat Value]])</f>
        <v>Amazon</v>
      </c>
      <c r="J5471" s="2">
        <v>7.24</v>
      </c>
      <c r="K5471" s="2" t="b">
        <v>0</v>
      </c>
      <c r="L5471" s="2"/>
      <c r="M5471" s="2"/>
      <c r="N5471" s="4" t="s">
        <v>2259</v>
      </c>
      <c r="O5471" s="4" t="str">
        <f>LEFT(Table2[[#This Row],[Description]],75)</f>
        <v>Amazon</v>
      </c>
      <c r="P5471" s="2" t="s">
        <v>2260</v>
      </c>
    </row>
    <row r="5472" spans="1:16" hidden="1">
      <c r="A5472" s="2">
        <v>202108</v>
      </c>
      <c r="B5472" s="3">
        <v>44430</v>
      </c>
      <c r="C5472" s="2" t="s">
        <v>2262</v>
      </c>
      <c r="D5472" s="2" t="s">
        <v>38</v>
      </c>
      <c r="E5472" s="2">
        <v>14.97</v>
      </c>
      <c r="F5472" s="2" t="str">
        <f>IF(Table2[[#This Row],[Manual Cat Value]]="",VLOOKUP(Table2[[#This Row],[Description]],'Actuals Lookup'!D:F,3,0),Table2[[#This Row],[Manual Cat Value]])</f>
        <v>Amazon</v>
      </c>
      <c r="J5472" s="2">
        <v>14.97</v>
      </c>
      <c r="K5472" s="2" t="b">
        <v>0</v>
      </c>
      <c r="L5472" s="2"/>
      <c r="M5472" s="2"/>
      <c r="N5472" s="4" t="s">
        <v>2259</v>
      </c>
      <c r="O5472" s="4" t="str">
        <f>LEFT(Table2[[#This Row],[Description]],75)</f>
        <v>Amazon</v>
      </c>
      <c r="P5472" s="2" t="s">
        <v>2260</v>
      </c>
    </row>
    <row r="5473" spans="1:16" hidden="1">
      <c r="A5473" s="2">
        <v>202108</v>
      </c>
      <c r="B5473" s="3">
        <v>44430</v>
      </c>
      <c r="C5473" s="2" t="s">
        <v>2262</v>
      </c>
      <c r="D5473" s="2" t="s">
        <v>310</v>
      </c>
      <c r="E5473" s="2">
        <v>9</v>
      </c>
      <c r="F5473" s="2" t="e">
        <f>IF(Table2[[#This Row],[Manual Cat Value]]="",VLOOKUP(Table2[[#This Row],[Description]],'Actuals Lookup'!D:F,3,0),Table2[[#This Row],[Manual Cat Value]])</f>
        <v>#N/A</v>
      </c>
      <c r="J5473" s="2">
        <v>9</v>
      </c>
      <c r="K5473" s="2" t="b">
        <v>0</v>
      </c>
      <c r="L5473" s="2"/>
      <c r="M5473" s="2"/>
      <c r="N5473" s="4" t="s">
        <v>2259</v>
      </c>
      <c r="O5473" s="4" t="str">
        <f>LEFT(Table2[[#This Row],[Description]],75)</f>
        <v>BONFES PLUMBING HEATING ASOUTH SAINT PMN</v>
      </c>
      <c r="P5473" s="2" t="s">
        <v>2537</v>
      </c>
    </row>
    <row r="5474" spans="1:16" hidden="1">
      <c r="A5474" s="2">
        <v>202108</v>
      </c>
      <c r="B5474" s="3">
        <v>44430</v>
      </c>
      <c r="C5474" s="2" t="s">
        <v>2262</v>
      </c>
      <c r="D5474" s="2" t="s">
        <v>567</v>
      </c>
      <c r="E5474" s="2">
        <v>42.89</v>
      </c>
      <c r="F5474" s="2" t="e">
        <f>IF(Table2[[#This Row],[Manual Cat Value]]="",VLOOKUP(Table2[[#This Row],[Description]],'Actuals Lookup'!D:F,3,0),Table2[[#This Row],[Manual Cat Value]])</f>
        <v>#N/A</v>
      </c>
      <c r="J5474" s="2">
        <v>42.89</v>
      </c>
      <c r="K5474" s="2" t="b">
        <v>0</v>
      </c>
      <c r="L5474" s="2"/>
      <c r="M5474" s="2"/>
      <c r="N5474" s="4" t="s">
        <v>2259</v>
      </c>
      <c r="O5474" s="4" t="str">
        <f>LEFT(Table2[[#This Row],[Description]],75)</f>
        <v>Coalition</v>
      </c>
      <c r="P5474" s="2" t="s">
        <v>2458</v>
      </c>
    </row>
    <row r="5475" spans="1:16" hidden="1">
      <c r="A5475" s="2">
        <v>202108</v>
      </c>
      <c r="B5475" s="3">
        <v>44430</v>
      </c>
      <c r="C5475" s="2" t="s">
        <v>2262</v>
      </c>
      <c r="D5475" s="2" t="s">
        <v>2015</v>
      </c>
      <c r="E5475" s="2">
        <v>17.920000000000002</v>
      </c>
      <c r="F5475" s="2" t="e">
        <f>IF(Table2[[#This Row],[Manual Cat Value]]="",VLOOKUP(Table2[[#This Row],[Description]],'Actuals Lookup'!D:F,3,0),Table2[[#This Row],[Manual Cat Value]])</f>
        <v>#N/A</v>
      </c>
      <c r="J5475" s="2">
        <v>17.920000000000002</v>
      </c>
      <c r="K5475" s="2" t="b">
        <v>0</v>
      </c>
      <c r="L5475" s="2"/>
      <c r="M5475" s="2"/>
      <c r="N5475" s="4" t="s">
        <v>2259</v>
      </c>
      <c r="O5475" s="4" t="str">
        <f>LEFT(Table2[[#This Row],[Description]],75)</f>
        <v>TST FAT PANTS BREWING COEDEN PRAIRIE MN</v>
      </c>
      <c r="P5475" s="2" t="s">
        <v>2281</v>
      </c>
    </row>
    <row r="5476" spans="1:16" hidden="1">
      <c r="A5476" s="2">
        <v>202108</v>
      </c>
      <c r="B5476" s="3">
        <v>44430</v>
      </c>
      <c r="C5476" s="2" t="s">
        <v>2262</v>
      </c>
      <c r="D5476" s="2" t="s">
        <v>2015</v>
      </c>
      <c r="E5476" s="2">
        <v>50.74</v>
      </c>
      <c r="F5476" s="2" t="e">
        <f>IF(Table2[[#This Row],[Manual Cat Value]]="",VLOOKUP(Table2[[#This Row],[Description]],'Actuals Lookup'!D:F,3,0),Table2[[#This Row],[Manual Cat Value]])</f>
        <v>#N/A</v>
      </c>
      <c r="J5476" s="2">
        <v>50.74</v>
      </c>
      <c r="K5476" s="2" t="b">
        <v>0</v>
      </c>
      <c r="L5476" s="2"/>
      <c r="M5476" s="2"/>
      <c r="N5476" s="4" t="s">
        <v>2259</v>
      </c>
      <c r="O5476" s="4" t="str">
        <f>LEFT(Table2[[#This Row],[Description]],75)</f>
        <v>TST FAT PANTS BREWING COEDEN PRAIRIE MN</v>
      </c>
      <c r="P5476" s="2" t="s">
        <v>2281</v>
      </c>
    </row>
    <row r="5477" spans="1:16" hidden="1">
      <c r="A5477" s="2">
        <v>202108</v>
      </c>
      <c r="B5477" s="3">
        <v>44431</v>
      </c>
      <c r="C5477" s="2" t="s">
        <v>2262</v>
      </c>
      <c r="D5477" s="2" t="s">
        <v>674</v>
      </c>
      <c r="E5477" s="2">
        <v>-3458.36</v>
      </c>
      <c r="F5477" s="2" t="e">
        <f>IF(Table2[[#This Row],[Manual Cat Value]]="",VLOOKUP(Table2[[#This Row],[Description]],'Actuals Lookup'!D:F,3,0),Table2[[#This Row],[Manual Cat Value]])</f>
        <v>#N/A</v>
      </c>
      <c r="J5477" s="2">
        <v>3458.36</v>
      </c>
      <c r="K5477" s="2" t="b">
        <v>0</v>
      </c>
      <c r="L5477" s="2"/>
      <c r="M5477" s="2"/>
      <c r="N5477" s="4" t="s">
        <v>2273</v>
      </c>
      <c r="O5477" s="4" t="str">
        <f>LEFT(Table2[[#This Row],[Description]],75)</f>
        <v>Credit Card Payment Received PAYMENT THANK YOU</v>
      </c>
      <c r="P5477" s="2" t="s">
        <v>2560</v>
      </c>
    </row>
    <row r="5478" spans="1:16" hidden="1">
      <c r="A5478" s="2">
        <v>202108</v>
      </c>
      <c r="B5478" s="3">
        <v>44431</v>
      </c>
      <c r="C5478" s="2" t="s">
        <v>2265</v>
      </c>
      <c r="D5478" s="2" t="s">
        <v>1966</v>
      </c>
      <c r="E5478" s="2">
        <v>48</v>
      </c>
      <c r="F5478" s="2" t="e">
        <f>IF(Table2[[#This Row],[Manual Cat Value]]="",VLOOKUP(Table2[[#This Row],[Description]],'Actuals Lookup'!D:F,3,0),Table2[[#This Row],[Manual Cat Value]])</f>
        <v>#N/A</v>
      </c>
      <c r="J5478" s="2">
        <v>48</v>
      </c>
      <c r="K5478" s="2" t="b">
        <v>0</v>
      </c>
      <c r="L5478" s="2"/>
      <c r="M5478" s="2"/>
      <c r="N5478" s="4" t="s">
        <v>2259</v>
      </c>
      <c r="O5478" s="4" t="str">
        <f>LEFT(Table2[[#This Row],[Description]],75)</f>
        <v>Transfer to Venmo VENMO TYPE PAYMENT ID CO VENMO ACH ECC WEB ACH Trace 4072</v>
      </c>
      <c r="P5478" s="2" t="s">
        <v>2281</v>
      </c>
    </row>
    <row r="5479" spans="1:16" hidden="1">
      <c r="A5479" s="2">
        <v>202108</v>
      </c>
      <c r="B5479" s="3">
        <v>44431</v>
      </c>
      <c r="C5479" s="2" t="s">
        <v>2265</v>
      </c>
      <c r="D5479" s="2" t="s">
        <v>2203</v>
      </c>
      <c r="E5479" s="2">
        <v>3458.36</v>
      </c>
      <c r="F5479" s="2" t="e">
        <f>IF(Table2[[#This Row],[Manual Cat Value]]="",VLOOKUP(Table2[[#This Row],[Description]],'Actuals Lookup'!D:F,3,0),Table2[[#This Row],[Manual Cat Value]])</f>
        <v>#N/A</v>
      </c>
      <c r="J5479" s="2">
        <v>3458.36</v>
      </c>
      <c r="K5479" s="2" t="b">
        <v>0</v>
      </c>
      <c r="L5479" s="2"/>
      <c r="M5479" s="2"/>
      <c r="N5479" s="4" t="s">
        <v>2259</v>
      </c>
      <c r="O5479" s="4" t="str">
        <f>LEFT(Table2[[#This Row],[Description]],75)</f>
        <v>Withdrawal Home payment to card XX91 Withdrawal Home payment to card 979181</v>
      </c>
      <c r="P5479" s="2" t="s">
        <v>2281</v>
      </c>
    </row>
    <row r="5480" spans="1:16" hidden="1">
      <c r="A5480" s="2">
        <v>202108</v>
      </c>
      <c r="B5480" s="3">
        <v>44431</v>
      </c>
      <c r="C5480" s="2" t="s">
        <v>2262</v>
      </c>
      <c r="D5480" s="2" t="s">
        <v>313</v>
      </c>
      <c r="E5480" s="2">
        <v>60.62</v>
      </c>
      <c r="F5480" s="2" t="e">
        <f>IF(Table2[[#This Row],[Manual Cat Value]]="",VLOOKUP(Table2[[#This Row],[Description]],'Actuals Lookup'!D:F,3,0),Table2[[#This Row],[Manual Cat Value]])</f>
        <v>#N/A</v>
      </c>
      <c r="J5480" s="2">
        <v>60.62</v>
      </c>
      <c r="K5480" s="2" t="b">
        <v>0</v>
      </c>
      <c r="L5480" s="2"/>
      <c r="M5480" s="2"/>
      <c r="N5480" s="4" t="s">
        <v>2259</v>
      </c>
      <c r="O5480" s="4" t="str">
        <f>LEFT(Table2[[#This Row],[Description]],75)</f>
        <v>Borough</v>
      </c>
      <c r="P5480" s="2" t="s">
        <v>2263</v>
      </c>
    </row>
    <row r="5481" spans="1:16" hidden="1">
      <c r="A5481" s="2">
        <v>202108</v>
      </c>
      <c r="B5481" s="3">
        <v>44431</v>
      </c>
      <c r="C5481" s="2" t="s">
        <v>2265</v>
      </c>
      <c r="D5481" s="2" t="s">
        <v>557</v>
      </c>
      <c r="E5481" s="2">
        <v>117.51</v>
      </c>
      <c r="F5481" s="2" t="e">
        <f>IF(Table2[[#This Row],[Manual Cat Value]]="",VLOOKUP(Table2[[#This Row],[Description]],'Actuals Lookup'!D:F,3,0),Table2[[#This Row],[Manual Cat Value]])</f>
        <v>#N/A</v>
      </c>
      <c r="J5481" s="2">
        <v>117.51</v>
      </c>
      <c r="K5481" s="2" t="b">
        <v>0</v>
      </c>
      <c r="L5481" s="2"/>
      <c r="M5481" s="2"/>
      <c r="N5481" s="4" t="s">
        <v>2259</v>
      </c>
      <c r="O5481" s="4" t="str">
        <f>LEFT(Table2[[#This Row],[Description]],75)</f>
        <v>City of Chanhassen</v>
      </c>
      <c r="P5481" s="2" t="s">
        <v>2298</v>
      </c>
    </row>
    <row r="5482" spans="1:16" hidden="1">
      <c r="A5482" s="2">
        <v>202108</v>
      </c>
      <c r="B5482" s="3">
        <v>44431</v>
      </c>
      <c r="C5482" s="2" t="s">
        <v>2262</v>
      </c>
      <c r="D5482" s="2" t="s">
        <v>643</v>
      </c>
      <c r="E5482" s="2">
        <v>34.65</v>
      </c>
      <c r="F5482" s="2" t="e">
        <f>IF(Table2[[#This Row],[Manual Cat Value]]="",VLOOKUP(Table2[[#This Row],[Description]],'Actuals Lookup'!D:F,3,0),Table2[[#This Row],[Manual Cat Value]])</f>
        <v>#N/A</v>
      </c>
      <c r="J5482" s="2">
        <v>34.65</v>
      </c>
      <c r="K5482" s="2" t="b">
        <v>0</v>
      </c>
      <c r="L5482" s="2"/>
      <c r="M5482" s="2"/>
      <c r="N5482" s="4" t="s">
        <v>2259</v>
      </c>
      <c r="O5482" s="4" t="str">
        <f>LEFT(Table2[[#This Row],[Description]],75)</f>
        <v>COOKS O CROCUS HILL NORTMINNEAPOLIS MN</v>
      </c>
      <c r="P5482" s="2" t="s">
        <v>2561</v>
      </c>
    </row>
    <row r="5483" spans="1:16" hidden="1">
      <c r="A5483" s="2">
        <v>202108</v>
      </c>
      <c r="B5483" s="3">
        <v>44431</v>
      </c>
      <c r="C5483" s="2" t="s">
        <v>2262</v>
      </c>
      <c r="D5483" s="2" t="s">
        <v>876</v>
      </c>
      <c r="E5483" s="2">
        <v>53.95</v>
      </c>
      <c r="F5483" s="2" t="e">
        <f>IF(Table2[[#This Row],[Manual Cat Value]]="",VLOOKUP(Table2[[#This Row],[Description]],'Actuals Lookup'!D:F,3,0),Table2[[#This Row],[Manual Cat Value]])</f>
        <v>#N/A</v>
      </c>
      <c r="J5483" s="2">
        <v>53.95</v>
      </c>
      <c r="K5483" s="2" t="b">
        <v>0</v>
      </c>
      <c r="L5483" s="2"/>
      <c r="M5483" s="2"/>
      <c r="N5483" s="4" t="s">
        <v>2259</v>
      </c>
      <c r="O5483" s="4" t="str">
        <f>LEFT(Table2[[#This Row],[Description]],75)</f>
        <v>FULTON LLC MINNEAPOLIS MN FULTON LLC MINNEAPOLIS MN</v>
      </c>
      <c r="P5483" s="2" t="s">
        <v>2562</v>
      </c>
    </row>
    <row r="5484" spans="1:16" hidden="1">
      <c r="A5484" s="2">
        <v>202108</v>
      </c>
      <c r="B5484" s="3">
        <v>44431</v>
      </c>
      <c r="C5484" s="2" t="s">
        <v>2460</v>
      </c>
      <c r="D5484" s="2" t="s">
        <v>1633</v>
      </c>
      <c r="E5484" s="2">
        <v>200</v>
      </c>
      <c r="F5484" s="2" t="e">
        <f>IF(Table2[[#This Row],[Manual Cat Value]]="",VLOOKUP(Table2[[#This Row],[Description]],'Actuals Lookup'!D:F,3,0),Table2[[#This Row],[Manual Cat Value]])</f>
        <v>#N/A</v>
      </c>
      <c r="J5484" s="2">
        <v>200</v>
      </c>
      <c r="K5484" s="2" t="b">
        <v>0</v>
      </c>
      <c r="L5484" s="2"/>
      <c r="M5484" s="2"/>
      <c r="N5484" s="4" t="s">
        <v>2259</v>
      </c>
      <c r="O5484" s="4" t="str">
        <f>LEFT(Table2[[#This Row],[Description]],75)</f>
        <v>SCHWAB S&amp;P 500 INDEX FD</v>
      </c>
      <c r="P5484" s="2" t="s">
        <v>2281</v>
      </c>
    </row>
    <row r="5485" spans="1:16" hidden="1">
      <c r="A5485" s="2">
        <v>202108</v>
      </c>
      <c r="B5485" s="3">
        <v>44431</v>
      </c>
      <c r="C5485" s="2" t="s">
        <v>2317</v>
      </c>
      <c r="D5485" s="2" t="s">
        <v>1633</v>
      </c>
      <c r="E5485" s="2">
        <v>200</v>
      </c>
      <c r="F5485" s="2" t="e">
        <f>IF(Table2[[#This Row],[Manual Cat Value]]="",VLOOKUP(Table2[[#This Row],[Description]],'Actuals Lookup'!D:F,3,0),Table2[[#This Row],[Manual Cat Value]])</f>
        <v>#N/A</v>
      </c>
      <c r="J5485" s="2">
        <v>200</v>
      </c>
      <c r="K5485" s="2" t="b">
        <v>0</v>
      </c>
      <c r="L5485" s="2"/>
      <c r="M5485" s="2"/>
      <c r="N5485" s="4" t="s">
        <v>2259</v>
      </c>
      <c r="O5485" s="4" t="str">
        <f>LEFT(Table2[[#This Row],[Description]],75)</f>
        <v>SCHWAB S&amp;P 500 INDEX FD</v>
      </c>
      <c r="P5485" s="2" t="s">
        <v>2276</v>
      </c>
    </row>
    <row r="5486" spans="1:16" hidden="1">
      <c r="A5486" s="2">
        <v>202108</v>
      </c>
      <c r="B5486" s="3">
        <v>44431</v>
      </c>
      <c r="C5486" s="2" t="s">
        <v>2460</v>
      </c>
      <c r="D5486" s="2" t="s">
        <v>1635</v>
      </c>
      <c r="E5486" s="2">
        <v>200</v>
      </c>
      <c r="F5486" s="2" t="e">
        <f>IF(Table2[[#This Row],[Manual Cat Value]]="",VLOOKUP(Table2[[#This Row],[Description]],'Actuals Lookup'!D:F,3,0),Table2[[#This Row],[Manual Cat Value]])</f>
        <v>#N/A</v>
      </c>
      <c r="J5486" s="2">
        <v>200</v>
      </c>
      <c r="K5486" s="2" t="b">
        <v>0</v>
      </c>
      <c r="L5486" s="2"/>
      <c r="M5486" s="2"/>
      <c r="N5486" s="4" t="s">
        <v>2259</v>
      </c>
      <c r="O5486" s="4" t="str">
        <f>LEFT(Table2[[#This Row],[Description]],75)</f>
        <v>SCHWAB TOTAL STOCK MKT INDEX</v>
      </c>
      <c r="P5486" s="2" t="s">
        <v>2281</v>
      </c>
    </row>
    <row r="5487" spans="1:16" hidden="1">
      <c r="A5487" s="2">
        <v>202108</v>
      </c>
      <c r="B5487" s="3">
        <v>44431</v>
      </c>
      <c r="C5487" s="2" t="s">
        <v>2317</v>
      </c>
      <c r="D5487" s="2" t="s">
        <v>1635</v>
      </c>
      <c r="E5487" s="2">
        <v>200</v>
      </c>
      <c r="F5487" s="2" t="e">
        <f>IF(Table2[[#This Row],[Manual Cat Value]]="",VLOOKUP(Table2[[#This Row],[Description]],'Actuals Lookup'!D:F,3,0),Table2[[#This Row],[Manual Cat Value]])</f>
        <v>#N/A</v>
      </c>
      <c r="J5487" s="2">
        <v>200</v>
      </c>
      <c r="K5487" s="2" t="b">
        <v>0</v>
      </c>
      <c r="L5487" s="2"/>
      <c r="M5487" s="2"/>
      <c r="N5487" s="4" t="s">
        <v>2259</v>
      </c>
      <c r="O5487" s="4" t="str">
        <f>LEFT(Table2[[#This Row],[Description]],75)</f>
        <v>SCHWAB TOTAL STOCK MKT INDEX</v>
      </c>
      <c r="P5487" s="2" t="s">
        <v>2278</v>
      </c>
    </row>
    <row r="5488" spans="1:16" hidden="1">
      <c r="A5488" s="2">
        <v>202108</v>
      </c>
      <c r="B5488" s="3">
        <v>44431</v>
      </c>
      <c r="C5488" s="2" t="s">
        <v>2300</v>
      </c>
      <c r="D5488" s="2" t="s">
        <v>1648</v>
      </c>
      <c r="E5488" s="2">
        <v>-200</v>
      </c>
      <c r="F5488" s="2" t="e">
        <f>IF(Table2[[#This Row],[Manual Cat Value]]="",VLOOKUP(Table2[[#This Row],[Description]],'Actuals Lookup'!D:F,3,0),Table2[[#This Row],[Manual Cat Value]])</f>
        <v>#N/A</v>
      </c>
      <c r="J5488" s="2">
        <v>200</v>
      </c>
      <c r="K5488" s="2" t="b">
        <v>0</v>
      </c>
      <c r="L5488" s="2"/>
      <c r="M5488" s="2"/>
      <c r="N5488" s="4" t="s">
        <v>2273</v>
      </c>
      <c r="O5488" s="4" t="str">
        <f>LEFT(Table2[[#This Row],[Description]],75)</f>
        <v>Share</v>
      </c>
      <c r="P5488" s="2" t="s">
        <v>2448</v>
      </c>
    </row>
    <row r="5489" spans="1:16" hidden="1">
      <c r="A5489" s="2">
        <v>202108</v>
      </c>
      <c r="B5489" s="3">
        <v>44431</v>
      </c>
      <c r="C5489" s="2" t="s">
        <v>2265</v>
      </c>
      <c r="D5489" s="2" t="s">
        <v>1892</v>
      </c>
      <c r="E5489" s="2">
        <v>200</v>
      </c>
      <c r="F5489" s="2" t="e">
        <f>IF(Table2[[#This Row],[Manual Cat Value]]="",VLOOKUP(Table2[[#This Row],[Description]],'Actuals Lookup'!D:F,3,0),Table2[[#This Row],[Manual Cat Value]])</f>
        <v>#N/A</v>
      </c>
      <c r="J5489" s="2">
        <v>200</v>
      </c>
      <c r="K5489" s="2" t="b">
        <v>0</v>
      </c>
      <c r="L5489" s="2"/>
      <c r="M5489" s="2"/>
      <c r="N5489" s="4" t="s">
        <v>2259</v>
      </c>
      <c r="O5489" s="4" t="str">
        <f>LEFT(Table2[[#This Row],[Description]],75)</f>
        <v>To Share 12</v>
      </c>
      <c r="P5489" s="2" t="s">
        <v>2494</v>
      </c>
    </row>
    <row r="5490" spans="1:16" hidden="1">
      <c r="A5490" s="2">
        <v>202108</v>
      </c>
      <c r="B5490" s="3">
        <v>44431</v>
      </c>
      <c r="C5490" s="2" t="s">
        <v>2262</v>
      </c>
      <c r="D5490" s="2" t="s">
        <v>1931</v>
      </c>
      <c r="E5490" s="2">
        <v>132.38999999999999</v>
      </c>
      <c r="F5490" s="2" t="str">
        <f>IF(Table2[[#This Row],[Manual Cat Value]]="",VLOOKUP(Table2[[#This Row],[Description]],'Actuals Lookup'!D:F,3,0),Table2[[#This Row],[Manual Cat Value]])</f>
        <v>Groceries</v>
      </c>
      <c r="J5490" s="2">
        <v>132.38999999999999</v>
      </c>
      <c r="K5490" s="2" t="b">
        <v>0</v>
      </c>
      <c r="L5490" s="2"/>
      <c r="M5490" s="2"/>
      <c r="N5490" s="4" t="s">
        <v>2259</v>
      </c>
      <c r="O5490" s="4" t="str">
        <f>LEFT(Table2[[#This Row],[Description]],75)</f>
        <v>Trader Joe's</v>
      </c>
      <c r="P5490" s="2" t="s">
        <v>2419</v>
      </c>
    </row>
    <row r="5491" spans="1:16" hidden="1">
      <c r="A5491" s="2">
        <v>202108</v>
      </c>
      <c r="B5491" s="3">
        <v>44431</v>
      </c>
      <c r="C5491" s="2" t="s">
        <v>2262</v>
      </c>
      <c r="D5491" s="2" t="s">
        <v>2220</v>
      </c>
      <c r="E5491" s="2">
        <v>112</v>
      </c>
      <c r="F5491" s="2" t="e">
        <f>IF(Table2[[#This Row],[Manual Cat Value]]="",VLOOKUP(Table2[[#This Row],[Description]],'Actuals Lookup'!D:F,3,0),Table2[[#This Row],[Manual Cat Value]])</f>
        <v>#N/A</v>
      </c>
      <c r="J5491" s="2">
        <v>112</v>
      </c>
      <c r="K5491" s="2" t="b">
        <v>0</v>
      </c>
      <c r="L5491" s="2"/>
      <c r="M5491" s="2"/>
      <c r="N5491" s="4" t="s">
        <v>2259</v>
      </c>
      <c r="O5491" s="4" t="str">
        <f>LEFT(Table2[[#This Row],[Description]],75)</f>
        <v>x1003 NORTH LOOP MINNEAPOLIS MN 11003 NORTH LOOP MINNEAPOLIS MN</v>
      </c>
      <c r="P5491" s="2" t="s">
        <v>2281</v>
      </c>
    </row>
    <row r="5492" spans="1:16" hidden="1">
      <c r="A5492" s="2">
        <v>202108</v>
      </c>
      <c r="B5492" s="3">
        <v>44432</v>
      </c>
      <c r="C5492" s="2" t="s">
        <v>2262</v>
      </c>
      <c r="D5492" s="2" t="s">
        <v>674</v>
      </c>
      <c r="E5492" s="2">
        <v>-400</v>
      </c>
      <c r="F5492" s="2" t="e">
        <f>IF(Table2[[#This Row],[Manual Cat Value]]="",VLOOKUP(Table2[[#This Row],[Description]],'Actuals Lookup'!D:F,3,0),Table2[[#This Row],[Manual Cat Value]])</f>
        <v>#N/A</v>
      </c>
      <c r="J5492" s="2">
        <v>400</v>
      </c>
      <c r="K5492" s="2" t="b">
        <v>0</v>
      </c>
      <c r="L5492" s="2"/>
      <c r="M5492" s="2"/>
      <c r="N5492" s="4" t="s">
        <v>2273</v>
      </c>
      <c r="O5492" s="4" t="str">
        <f>LEFT(Table2[[#This Row],[Description]],75)</f>
        <v>Credit Card Payment Received PAYMENT THANK YOU</v>
      </c>
      <c r="P5492" s="2" t="s">
        <v>2560</v>
      </c>
    </row>
    <row r="5493" spans="1:16" hidden="1">
      <c r="A5493" s="2">
        <v>202108</v>
      </c>
      <c r="B5493" s="3">
        <v>44432</v>
      </c>
      <c r="C5493" s="2" t="s">
        <v>2265</v>
      </c>
      <c r="D5493" s="2" t="s">
        <v>2203</v>
      </c>
      <c r="E5493" s="2">
        <v>400</v>
      </c>
      <c r="F5493" s="2" t="e">
        <f>IF(Table2[[#This Row],[Manual Cat Value]]="",VLOOKUP(Table2[[#This Row],[Description]],'Actuals Lookup'!D:F,3,0),Table2[[#This Row],[Manual Cat Value]])</f>
        <v>#N/A</v>
      </c>
      <c r="J5493" s="2">
        <v>400</v>
      </c>
      <c r="K5493" s="2" t="b">
        <v>0</v>
      </c>
      <c r="L5493" s="2"/>
      <c r="M5493" s="2"/>
      <c r="N5493" s="4" t="s">
        <v>2259</v>
      </c>
      <c r="O5493" s="4" t="str">
        <f>LEFT(Table2[[#This Row],[Description]],75)</f>
        <v>Withdrawal Home payment to card XX91 Withdrawal Home payment to card 979181</v>
      </c>
      <c r="P5493" s="2" t="s">
        <v>2281</v>
      </c>
    </row>
    <row r="5494" spans="1:16" hidden="1">
      <c r="A5494" s="2">
        <v>202108</v>
      </c>
      <c r="B5494" s="3">
        <v>44432</v>
      </c>
      <c r="C5494" s="2" t="s">
        <v>2262</v>
      </c>
      <c r="D5494" s="2" t="s">
        <v>684</v>
      </c>
      <c r="E5494" s="2">
        <v>15.99</v>
      </c>
      <c r="F5494" s="2" t="str">
        <f>IF(Table2[[#This Row],[Manual Cat Value]]="",VLOOKUP(Table2[[#This Row],[Description]],'Actuals Lookup'!D:F,3,0),Table2[[#This Row],[Manual Cat Value]])</f>
        <v>Groceries</v>
      </c>
      <c r="J5494" s="2">
        <v>15.99</v>
      </c>
      <c r="K5494" s="2" t="b">
        <v>0</v>
      </c>
      <c r="L5494" s="2"/>
      <c r="M5494" s="2"/>
      <c r="N5494" s="4" t="s">
        <v>2259</v>
      </c>
      <c r="O5494" s="4" t="str">
        <f>LEFT(Table2[[#This Row],[Description]],75)</f>
        <v>Cub Foods</v>
      </c>
      <c r="P5494" s="2" t="s">
        <v>2370</v>
      </c>
    </row>
    <row r="5495" spans="1:16" hidden="1">
      <c r="A5495" s="2">
        <v>202108</v>
      </c>
      <c r="B5495" s="3">
        <v>44432</v>
      </c>
      <c r="C5495" s="2" t="s">
        <v>2262</v>
      </c>
      <c r="D5495" s="2" t="s">
        <v>965</v>
      </c>
      <c r="E5495" s="2">
        <v>31.63</v>
      </c>
      <c r="F5495" s="2" t="e">
        <f>IF(Table2[[#This Row],[Manual Cat Value]]="",VLOOKUP(Table2[[#This Row],[Description]],'Actuals Lookup'!D:F,3,0),Table2[[#This Row],[Manual Cat Value]])</f>
        <v>#N/A</v>
      </c>
      <c r="J5495" s="2">
        <v>31.63</v>
      </c>
      <c r="K5495" s="2" t="b">
        <v>0</v>
      </c>
      <c r="L5495" s="2"/>
      <c r="M5495" s="2"/>
      <c r="N5495" s="4" t="s">
        <v>2259</v>
      </c>
      <c r="O5495" s="4" t="str">
        <f>LEFT(Table2[[#This Row],[Description]],75)</f>
        <v>INBOUND BREWCO MINNEAPOLIS MN</v>
      </c>
      <c r="P5495" s="2" t="s">
        <v>2563</v>
      </c>
    </row>
    <row r="5496" spans="1:16" hidden="1">
      <c r="A5496" s="2">
        <v>202108</v>
      </c>
      <c r="B5496" s="3">
        <v>44432</v>
      </c>
      <c r="C5496" s="2" t="s">
        <v>2262</v>
      </c>
      <c r="D5496" s="2" t="s">
        <v>1194</v>
      </c>
      <c r="E5496" s="2">
        <v>19.77</v>
      </c>
      <c r="F5496" s="2" t="str">
        <f>IF(Table2[[#This Row],[Manual Cat Value]]="",VLOOKUP(Table2[[#This Row],[Description]],'Actuals Lookup'!D:F,3,0),Table2[[#This Row],[Manual Cat Value]])</f>
        <v>Groceries</v>
      </c>
      <c r="J5496" s="2">
        <v>19.77</v>
      </c>
      <c r="K5496" s="2" t="b">
        <v>0</v>
      </c>
      <c r="L5496" s="2"/>
      <c r="M5496" s="2"/>
      <c r="N5496" s="4" t="s">
        <v>2259</v>
      </c>
      <c r="O5496" s="4" t="str">
        <f>LEFT(Table2[[#This Row],[Description]],75)</f>
        <v>MGM Liquor Warehouse</v>
      </c>
      <c r="P5496" s="2" t="s">
        <v>2472</v>
      </c>
    </row>
    <row r="5497" spans="1:16" hidden="1">
      <c r="A5497" s="2">
        <v>202108</v>
      </c>
      <c r="B5497" s="3">
        <v>44432</v>
      </c>
      <c r="C5497" s="2" t="s">
        <v>2262</v>
      </c>
      <c r="D5497" s="2" t="s">
        <v>1690</v>
      </c>
      <c r="E5497" s="2">
        <v>29.99</v>
      </c>
      <c r="F5497" s="2" t="e">
        <f>IF(Table2[[#This Row],[Manual Cat Value]]="",VLOOKUP(Table2[[#This Row],[Description]],'Actuals Lookup'!D:F,3,0),Table2[[#This Row],[Manual Cat Value]])</f>
        <v>#N/A</v>
      </c>
      <c r="J5497" s="2">
        <v>29.99</v>
      </c>
      <c r="K5497" s="2" t="b">
        <v>0</v>
      </c>
      <c r="L5497" s="2"/>
      <c r="M5497" s="2"/>
      <c r="N5497" s="4" t="s">
        <v>2259</v>
      </c>
      <c r="O5497" s="4" t="str">
        <f>LEFT(Table2[[#This Row],[Description]],75)</f>
        <v>SP HUMA GEL HTTPSHUMAGELTN SP HUMA GEL HTTPSHUMAGELTN</v>
      </c>
      <c r="P5497" s="2" t="s">
        <v>2281</v>
      </c>
    </row>
    <row r="5498" spans="1:16" hidden="1">
      <c r="A5498" s="2">
        <v>202108</v>
      </c>
      <c r="B5498" s="3">
        <v>44432</v>
      </c>
      <c r="C5498" s="2" t="s">
        <v>2262</v>
      </c>
      <c r="D5498" s="2" t="s">
        <v>31</v>
      </c>
      <c r="E5498" s="2">
        <v>73.28</v>
      </c>
      <c r="F5498" s="2" t="str">
        <f>IF(Table2[[#This Row],[Manual Cat Value]]="",VLOOKUP(Table2[[#This Row],[Description]],'Actuals Lookup'!D:F,3,0),Table2[[#This Row],[Manual Cat Value]])</f>
        <v>Target</v>
      </c>
      <c r="J5498" s="2">
        <v>73.28</v>
      </c>
      <c r="K5498" s="2" t="b">
        <v>0</v>
      </c>
      <c r="L5498" s="2"/>
      <c r="M5498" s="2"/>
      <c r="N5498" s="4" t="s">
        <v>2259</v>
      </c>
      <c r="O5498" s="4" t="str">
        <f>LEFT(Table2[[#This Row],[Description]],75)</f>
        <v>Target</v>
      </c>
      <c r="P5498" s="2" t="s">
        <v>2309</v>
      </c>
    </row>
    <row r="5499" spans="1:16" hidden="1">
      <c r="A5499" s="2">
        <v>202108</v>
      </c>
      <c r="B5499" s="3">
        <v>44433</v>
      </c>
      <c r="C5499" s="2" t="s">
        <v>2258</v>
      </c>
      <c r="D5499" s="2" t="s">
        <v>902</v>
      </c>
      <c r="E5499" s="2">
        <v>24.16</v>
      </c>
      <c r="F5499" s="2" t="e">
        <f>IF(Table2[[#This Row],[Manual Cat Value]]="",VLOOKUP(Table2[[#This Row],[Description]],'Actuals Lookup'!D:F,3,0),Table2[[#This Row],[Manual Cat Value]])</f>
        <v>#N/A</v>
      </c>
      <c r="J5499" s="2">
        <v>24.16</v>
      </c>
      <c r="K5499" s="2" t="b">
        <v>0</v>
      </c>
      <c r="L5499" s="2"/>
      <c r="M5499" s="2"/>
      <c r="N5499" s="4" t="s">
        <v>2259</v>
      </c>
      <c r="O5499" s="4" t="str">
        <f>LEFT(Table2[[#This Row],[Description]],75)</f>
        <v>GOOD DAY CAFE GOLDEN VALLEYMN</v>
      </c>
      <c r="P5499" s="2" t="s">
        <v>2281</v>
      </c>
    </row>
    <row r="5500" spans="1:16" hidden="1">
      <c r="A5500" s="2">
        <v>202108</v>
      </c>
      <c r="B5500" s="3">
        <v>44433</v>
      </c>
      <c r="C5500" s="2" t="s">
        <v>2447</v>
      </c>
      <c r="D5500" s="2" t="s">
        <v>902</v>
      </c>
      <c r="E5500" s="2">
        <v>24.16</v>
      </c>
      <c r="F5500" s="2" t="e">
        <f>IF(Table2[[#This Row],[Manual Cat Value]]="",VLOOKUP(Table2[[#This Row],[Description]],'Actuals Lookup'!D:F,3,0),Table2[[#This Row],[Manual Cat Value]])</f>
        <v>#N/A</v>
      </c>
      <c r="J5500" s="2">
        <v>24.16</v>
      </c>
      <c r="K5500" s="2" t="b">
        <v>0</v>
      </c>
      <c r="L5500" s="2"/>
      <c r="M5500" s="2"/>
      <c r="N5500" s="4" t="s">
        <v>2259</v>
      </c>
      <c r="O5500" s="4" t="str">
        <f>LEFT(Table2[[#This Row],[Description]],75)</f>
        <v>GOOD DAY CAFE GOLDEN VALLEYMN</v>
      </c>
      <c r="P5500" s="2" t="s">
        <v>2281</v>
      </c>
    </row>
    <row r="5501" spans="1:16" hidden="1">
      <c r="A5501" s="2">
        <v>202108</v>
      </c>
      <c r="B5501" s="3">
        <v>44433</v>
      </c>
      <c r="C5501" s="2" t="s">
        <v>2262</v>
      </c>
      <c r="D5501" s="2" t="s">
        <v>1083</v>
      </c>
      <c r="E5501" s="2">
        <v>51.56</v>
      </c>
      <c r="F5501" s="2" t="str">
        <f>IF(Table2[[#This Row],[Manual Cat Value]]="",VLOOKUP(Table2[[#This Row],[Description]],'Actuals Lookup'!D:F,3,0),Table2[[#This Row],[Manual Cat Value]])</f>
        <v>Transportation</v>
      </c>
      <c r="J5501" s="2">
        <v>51.56</v>
      </c>
      <c r="K5501" s="2" t="b">
        <v>0</v>
      </c>
      <c r="L5501" s="2"/>
      <c r="M5501" s="2"/>
      <c r="N5501" s="4" t="s">
        <v>2259</v>
      </c>
      <c r="O5501" s="4" t="str">
        <f>LEFT(Table2[[#This Row],[Description]],75)</f>
        <v>Kwik Trip</v>
      </c>
      <c r="P5501" s="2" t="s">
        <v>2509</v>
      </c>
    </row>
    <row r="5502" spans="1:16" hidden="1">
      <c r="A5502" s="2">
        <v>202108</v>
      </c>
      <c r="B5502" s="3">
        <v>44433</v>
      </c>
      <c r="C5502" s="2" t="s">
        <v>2258</v>
      </c>
      <c r="D5502" s="2" t="s">
        <v>1325</v>
      </c>
      <c r="E5502" s="2">
        <v>41.66</v>
      </c>
      <c r="F5502" s="2" t="e">
        <f>IF(Table2[[#This Row],[Manual Cat Value]]="",VLOOKUP(Table2[[#This Row],[Description]],'Actuals Lookup'!D:F,3,0),Table2[[#This Row],[Manual Cat Value]])</f>
        <v>#N/A</v>
      </c>
      <c r="J5502" s="2">
        <v>41.66</v>
      </c>
      <c r="K5502" s="2" t="b">
        <v>0</v>
      </c>
      <c r="L5502" s="2"/>
      <c r="M5502" s="2"/>
      <c r="N5502" s="4" t="s">
        <v>2259</v>
      </c>
      <c r="O5502" s="4" t="str">
        <f>LEFT(Table2[[#This Row],[Description]],75)</f>
        <v>Momo Sushi LLC</v>
      </c>
      <c r="P5502" s="2" t="s">
        <v>2281</v>
      </c>
    </row>
    <row r="5503" spans="1:16" hidden="1">
      <c r="A5503" s="2">
        <v>202108</v>
      </c>
      <c r="B5503" s="3">
        <v>44433</v>
      </c>
      <c r="C5503" s="2" t="s">
        <v>2447</v>
      </c>
      <c r="D5503" s="2" t="s">
        <v>1325</v>
      </c>
      <c r="E5503" s="2">
        <v>41.66</v>
      </c>
      <c r="F5503" s="2" t="e">
        <f>IF(Table2[[#This Row],[Manual Cat Value]]="",VLOOKUP(Table2[[#This Row],[Description]],'Actuals Lookup'!D:F,3,0),Table2[[#This Row],[Manual Cat Value]])</f>
        <v>#N/A</v>
      </c>
      <c r="J5503" s="2">
        <v>41.66</v>
      </c>
      <c r="K5503" s="2" t="b">
        <v>0</v>
      </c>
      <c r="L5503" s="2"/>
      <c r="M5503" s="2"/>
      <c r="N5503" s="4" t="s">
        <v>2259</v>
      </c>
      <c r="O5503" s="4" t="str">
        <f>LEFT(Table2[[#This Row],[Description]],75)</f>
        <v>Momo Sushi LLC</v>
      </c>
      <c r="P5503" s="2" t="s">
        <v>2281</v>
      </c>
    </row>
    <row r="5504" spans="1:16" hidden="1">
      <c r="A5504" s="2">
        <v>202108</v>
      </c>
      <c r="B5504" s="3">
        <v>44433</v>
      </c>
      <c r="C5504" s="2" t="s">
        <v>2265</v>
      </c>
      <c r="D5504" s="2" t="s">
        <v>31</v>
      </c>
      <c r="E5504" s="2">
        <v>373.5</v>
      </c>
      <c r="F5504" s="2" t="str">
        <f>IF(Table2[[#This Row],[Manual Cat Value]]="",VLOOKUP(Table2[[#This Row],[Description]],'Actuals Lookup'!D:F,3,0),Table2[[#This Row],[Manual Cat Value]])</f>
        <v>Target</v>
      </c>
      <c r="J5504" s="2">
        <v>373.5</v>
      </c>
      <c r="K5504" s="2" t="b">
        <v>0</v>
      </c>
      <c r="L5504" s="2"/>
      <c r="M5504" s="2"/>
      <c r="N5504" s="4" t="s">
        <v>2259</v>
      </c>
      <c r="O5504" s="4" t="str">
        <f>LEFT(Table2[[#This Row],[Description]],75)</f>
        <v>Target</v>
      </c>
      <c r="P5504" s="2" t="s">
        <v>2309</v>
      </c>
    </row>
    <row r="5505" spans="1:16" hidden="1">
      <c r="A5505" s="2">
        <v>202108</v>
      </c>
      <c r="B5505" s="3">
        <v>44434</v>
      </c>
      <c r="C5505" s="2" t="s">
        <v>2262</v>
      </c>
      <c r="D5505" s="2" t="s">
        <v>1161</v>
      </c>
      <c r="E5505" s="2">
        <v>422.56</v>
      </c>
      <c r="F5505" s="2" t="e">
        <f>IF(Table2[[#This Row],[Manual Cat Value]]="",VLOOKUP(Table2[[#This Row],[Description]],'Actuals Lookup'!D:F,3,0),Table2[[#This Row],[Manual Cat Value]])</f>
        <v>#N/A</v>
      </c>
      <c r="J5505" s="2">
        <v>422.56</v>
      </c>
      <c r="K5505" s="2" t="b">
        <v>0</v>
      </c>
      <c r="L5505" s="2"/>
      <c r="M5505" s="2"/>
      <c r="N5505" s="4" t="s">
        <v>2259</v>
      </c>
      <c r="O5505" s="4" t="str">
        <f>LEFT(Table2[[#This Row],[Description]],75)</f>
        <v>LULUSCOM HTTPSWWWLULUCA</v>
      </c>
      <c r="P5505" s="2" t="s">
        <v>2281</v>
      </c>
    </row>
    <row r="5506" spans="1:16" hidden="1">
      <c r="A5506" s="2">
        <v>202108</v>
      </c>
      <c r="B5506" s="3">
        <v>44434</v>
      </c>
      <c r="C5506" s="2" t="s">
        <v>2265</v>
      </c>
      <c r="D5506" s="2" t="s">
        <v>1196</v>
      </c>
      <c r="E5506" s="2">
        <v>528.79999999999995</v>
      </c>
      <c r="F5506" s="2" t="e">
        <f>IF(Table2[[#This Row],[Manual Cat Value]]="",VLOOKUP(Table2[[#This Row],[Description]],'Actuals Lookup'!D:F,3,0),Table2[[#This Row],[Manual Cat Value]])</f>
        <v>#N/A</v>
      </c>
      <c r="J5506" s="2">
        <v>528.79999999999995</v>
      </c>
      <c r="K5506" s="2" t="b">
        <v>0</v>
      </c>
      <c r="L5506" s="2"/>
      <c r="M5506" s="2"/>
      <c r="N5506" s="4" t="s">
        <v>2259</v>
      </c>
      <c r="O5506" s="4" t="str">
        <f>LEFT(Table2[[#This Row],[Description]],75)</f>
        <v>MHCHILDCARELLC TYPE DUES ID CO M MHCHILDCARELLC TYPE DUES ID CO MHCHILDCARE</v>
      </c>
      <c r="P5506" s="2" t="s">
        <v>2497</v>
      </c>
    </row>
    <row r="5507" spans="1:16" hidden="1">
      <c r="A5507" s="2">
        <v>202108</v>
      </c>
      <c r="B5507" s="3">
        <v>44434</v>
      </c>
      <c r="C5507" s="2" t="s">
        <v>2258</v>
      </c>
      <c r="D5507" s="2" t="s">
        <v>1350</v>
      </c>
      <c r="E5507" s="2">
        <v>8.99</v>
      </c>
      <c r="F5507" s="2" t="str">
        <f>IF(Table2[[#This Row],[Manual Cat Value]]="",VLOOKUP(Table2[[#This Row],[Description]],'Actuals Lookup'!D:F,3,0),Table2[[#This Row],[Manual Cat Value]])</f>
        <v>Utilities</v>
      </c>
      <c r="J5507" s="2">
        <v>8.99</v>
      </c>
      <c r="K5507" s="2" t="b">
        <v>0</v>
      </c>
      <c r="L5507" s="2"/>
      <c r="M5507" s="2"/>
      <c r="N5507" s="4" t="s">
        <v>2259</v>
      </c>
      <c r="O5507" s="4" t="str">
        <f>LEFT(Table2[[#This Row],[Description]],75)</f>
        <v>Netflix</v>
      </c>
      <c r="P5507" s="2" t="s">
        <v>2306</v>
      </c>
    </row>
    <row r="5508" spans="1:16" hidden="1">
      <c r="A5508" s="2">
        <v>202108</v>
      </c>
      <c r="B5508" s="3">
        <v>44434</v>
      </c>
      <c r="C5508" s="2" t="s">
        <v>2447</v>
      </c>
      <c r="D5508" s="2" t="s">
        <v>1350</v>
      </c>
      <c r="E5508" s="2">
        <v>8.99</v>
      </c>
      <c r="F5508" s="2" t="str">
        <f>IF(Table2[[#This Row],[Manual Cat Value]]="",VLOOKUP(Table2[[#This Row],[Description]],'Actuals Lookup'!D:F,3,0),Table2[[#This Row],[Manual Cat Value]])</f>
        <v>Utilities</v>
      </c>
      <c r="J5508" s="2">
        <v>8.99</v>
      </c>
      <c r="K5508" s="2" t="b">
        <v>0</v>
      </c>
      <c r="L5508" s="2"/>
      <c r="M5508" s="2"/>
      <c r="N5508" s="4" t="s">
        <v>2259</v>
      </c>
      <c r="O5508" s="4" t="str">
        <f>LEFT(Table2[[#This Row],[Description]],75)</f>
        <v>Netflix</v>
      </c>
      <c r="P5508" s="2" t="s">
        <v>2306</v>
      </c>
    </row>
    <row r="5509" spans="1:16" hidden="1">
      <c r="A5509" s="2">
        <v>202108</v>
      </c>
      <c r="B5509" s="3">
        <v>44435</v>
      </c>
      <c r="C5509" s="2" t="s">
        <v>2262</v>
      </c>
      <c r="D5509" s="2" t="s">
        <v>301</v>
      </c>
      <c r="E5509" s="133">
        <v>2290.67</v>
      </c>
      <c r="F5509" s="2" t="str">
        <f>IF(Table2[[#This Row],[Manual Cat Value]]="",VLOOKUP(Table2[[#This Row],[Description]],'Actuals Lookup'!D:F,3,0),Table2[[#This Row],[Manual Cat Value]])</f>
        <v>Transportation</v>
      </c>
      <c r="J5509" s="2">
        <v>2290.67</v>
      </c>
      <c r="K5509" s="2" t="b">
        <v>0</v>
      </c>
      <c r="L5509" s="2"/>
      <c r="M5509" s="2"/>
      <c r="N5509" s="4" t="s">
        <v>2259</v>
      </c>
      <c r="O5509" s="4" t="str">
        <f>LEFT(Table2[[#This Row],[Description]],75)</f>
        <v>BMW</v>
      </c>
      <c r="P5509" s="2" t="s">
        <v>2281</v>
      </c>
    </row>
    <row r="5510" spans="1:16" hidden="1">
      <c r="A5510" s="2">
        <v>202108</v>
      </c>
      <c r="B5510" s="3">
        <v>44435</v>
      </c>
      <c r="C5510" s="2" t="s">
        <v>2265</v>
      </c>
      <c r="D5510" s="2" t="s">
        <v>517</v>
      </c>
      <c r="E5510" s="2">
        <v>18284.79</v>
      </c>
      <c r="F5510" s="2" t="e">
        <f>IF(Table2[[#This Row],[Manual Cat Value]]="",VLOOKUP(Table2[[#This Row],[Description]],'Actuals Lookup'!D:F,3,0),Table2[[#This Row],[Manual Cat Value]])</f>
        <v>#N/A</v>
      </c>
      <c r="J5510" s="2">
        <v>18284.79</v>
      </c>
      <c r="K5510" s="2" t="b">
        <v>0</v>
      </c>
      <c r="L5510" s="2"/>
      <c r="M5510" s="2"/>
      <c r="N5510" s="4" t="s">
        <v>2259</v>
      </c>
      <c r="O5510" s="4" t="str">
        <f>LEFT(Table2[[#This Row],[Description]],75)</f>
        <v>CHECK 2089 2089</v>
      </c>
      <c r="P5510" s="2" t="s">
        <v>2281</v>
      </c>
    </row>
    <row r="5511" spans="1:16" hidden="1">
      <c r="A5511" s="2">
        <v>202108</v>
      </c>
      <c r="B5511" s="3">
        <v>44435</v>
      </c>
      <c r="C5511" s="2" t="s">
        <v>2460</v>
      </c>
      <c r="D5511" s="2" t="s">
        <v>1774</v>
      </c>
      <c r="E5511" s="2">
        <v>-21.1</v>
      </c>
      <c r="F5511" s="2" t="e">
        <f>IF(Table2[[#This Row],[Manual Cat Value]]="",VLOOKUP(Table2[[#This Row],[Description]],'Actuals Lookup'!D:F,3,0),Table2[[#This Row],[Manual Cat Value]])</f>
        <v>#N/A</v>
      </c>
      <c r="J5511" s="2">
        <v>21.1</v>
      </c>
      <c r="K5511" s="2" t="b">
        <v>0</v>
      </c>
      <c r="L5511" s="2"/>
      <c r="M5511" s="2"/>
      <c r="N5511" s="4" t="s">
        <v>2273</v>
      </c>
      <c r="O5511" s="4" t="str">
        <f>LEFT(Table2[[#This Row],[Description]],75)</f>
        <v>STARBUCKS CORP</v>
      </c>
      <c r="P5511" s="2" t="s">
        <v>2281</v>
      </c>
    </row>
    <row r="5512" spans="1:16" hidden="1">
      <c r="A5512" s="2">
        <v>202108</v>
      </c>
      <c r="B5512" s="3">
        <v>44435</v>
      </c>
      <c r="C5512" s="2" t="s">
        <v>2317</v>
      </c>
      <c r="D5512" s="2" t="s">
        <v>1774</v>
      </c>
      <c r="E5512" s="2">
        <v>-21.1</v>
      </c>
      <c r="F5512" s="2" t="e">
        <f>IF(Table2[[#This Row],[Manual Cat Value]]="",VLOOKUP(Table2[[#This Row],[Description]],'Actuals Lookup'!D:F,3,0),Table2[[#This Row],[Manual Cat Value]])</f>
        <v>#N/A</v>
      </c>
      <c r="J5512" s="2">
        <v>21.1</v>
      </c>
      <c r="K5512" s="2" t="b">
        <v>0</v>
      </c>
      <c r="L5512" s="2"/>
      <c r="M5512" s="2"/>
      <c r="N5512" s="4" t="s">
        <v>2273</v>
      </c>
      <c r="O5512" s="4" t="str">
        <f>LEFT(Table2[[#This Row],[Description]],75)</f>
        <v>STARBUCKS CORP</v>
      </c>
      <c r="P5512" s="2" t="s">
        <v>2416</v>
      </c>
    </row>
    <row r="5513" spans="1:16" hidden="1">
      <c r="A5513" s="2">
        <v>202108</v>
      </c>
      <c r="B5513" s="3">
        <v>44435</v>
      </c>
      <c r="C5513" s="2" t="s">
        <v>2262</v>
      </c>
      <c r="D5513" s="2" t="s">
        <v>1821</v>
      </c>
      <c r="E5513" s="2">
        <v>49.07</v>
      </c>
      <c r="F5513" s="2" t="e">
        <f>IF(Table2[[#This Row],[Manual Cat Value]]="",VLOOKUP(Table2[[#This Row],[Description]],'Actuals Lookup'!D:F,3,0),Table2[[#This Row],[Manual Cat Value]])</f>
        <v>#N/A</v>
      </c>
      <c r="J5513" s="2">
        <v>49.07</v>
      </c>
      <c r="K5513" s="2" t="b">
        <v>0</v>
      </c>
      <c r="L5513" s="2"/>
      <c r="M5513" s="2"/>
      <c r="N5513" s="4" t="s">
        <v>2259</v>
      </c>
      <c r="O5513" s="4" t="str">
        <f>LEFT(Table2[[#This Row],[Description]],75)</f>
        <v>Tavern 23</v>
      </c>
      <c r="P5513" s="2" t="s">
        <v>2281</v>
      </c>
    </row>
    <row r="5514" spans="1:16" hidden="1">
      <c r="A5514" s="2">
        <v>202108</v>
      </c>
      <c r="B5514" s="3">
        <v>44437</v>
      </c>
      <c r="C5514" s="2" t="s">
        <v>2262</v>
      </c>
      <c r="D5514" s="2" t="s">
        <v>38</v>
      </c>
      <c r="E5514" s="2">
        <v>36.090000000000003</v>
      </c>
      <c r="F5514" s="2" t="str">
        <f>IF(Table2[[#This Row],[Manual Cat Value]]="",VLOOKUP(Table2[[#This Row],[Description]],'Actuals Lookup'!D:F,3,0),Table2[[#This Row],[Manual Cat Value]])</f>
        <v>Amazon</v>
      </c>
      <c r="J5514" s="2">
        <v>36.090000000000003</v>
      </c>
      <c r="K5514" s="2" t="b">
        <v>0</v>
      </c>
      <c r="L5514" s="2"/>
      <c r="M5514" s="2"/>
      <c r="N5514" s="4" t="s">
        <v>2259</v>
      </c>
      <c r="O5514" s="4" t="str">
        <f>LEFT(Table2[[#This Row],[Description]],75)</f>
        <v>Amazon</v>
      </c>
      <c r="P5514" s="2" t="s">
        <v>2260</v>
      </c>
    </row>
    <row r="5515" spans="1:16" hidden="1">
      <c r="A5515" s="2">
        <v>202108</v>
      </c>
      <c r="B5515" s="3">
        <v>44437</v>
      </c>
      <c r="C5515" s="2" t="s">
        <v>2262</v>
      </c>
      <c r="D5515" s="2" t="s">
        <v>296</v>
      </c>
      <c r="E5515" s="2">
        <v>73.739999999999995</v>
      </c>
      <c r="F5515" s="2" t="e">
        <f>IF(Table2[[#This Row],[Manual Cat Value]]="",VLOOKUP(Table2[[#This Row],[Description]],'Actuals Lookup'!D:F,3,0),Table2[[#This Row],[Manual Cat Value]])</f>
        <v>#N/A</v>
      </c>
      <c r="J5515" s="2">
        <v>73.739999999999995</v>
      </c>
      <c r="K5515" s="2" t="b">
        <v>0</v>
      </c>
      <c r="L5515" s="2"/>
      <c r="M5515" s="2"/>
      <c r="N5515" s="4" t="s">
        <v>2259</v>
      </c>
      <c r="O5515" s="4" t="str">
        <f>LEFT(Table2[[#This Row],[Description]],75)</f>
        <v>BLACK BEAR HOTEL CARLTON MN</v>
      </c>
      <c r="P5515" s="2" t="s">
        <v>2281</v>
      </c>
    </row>
    <row r="5516" spans="1:16" hidden="1">
      <c r="A5516" s="2">
        <v>202108</v>
      </c>
      <c r="B5516" s="3">
        <v>44437</v>
      </c>
      <c r="C5516" s="2" t="s">
        <v>2258</v>
      </c>
      <c r="D5516" s="2" t="s">
        <v>331</v>
      </c>
      <c r="E5516" s="2">
        <v>69.36</v>
      </c>
      <c r="F5516" s="2" t="e">
        <f>IF(Table2[[#This Row],[Manual Cat Value]]="",VLOOKUP(Table2[[#This Row],[Description]],'Actuals Lookup'!D:F,3,0),Table2[[#This Row],[Manual Cat Value]])</f>
        <v>#N/A</v>
      </c>
      <c r="J5516" s="2">
        <v>69.36</v>
      </c>
      <c r="K5516" s="2" t="b">
        <v>0</v>
      </c>
      <c r="L5516" s="2"/>
      <c r="M5516" s="2"/>
      <c r="N5516" s="4" t="s">
        <v>2259</v>
      </c>
      <c r="O5516" s="4" t="str">
        <f>LEFT(Table2[[#This Row],[Description]],75)</f>
        <v>BULL &amp; WREN EXCELSIOR MN</v>
      </c>
      <c r="P5516" s="2" t="s">
        <v>2281</v>
      </c>
    </row>
    <row r="5517" spans="1:16" hidden="1">
      <c r="A5517" s="2">
        <v>202108</v>
      </c>
      <c r="B5517" s="3">
        <v>44437</v>
      </c>
      <c r="C5517" s="2" t="s">
        <v>2447</v>
      </c>
      <c r="D5517" s="2" t="s">
        <v>331</v>
      </c>
      <c r="E5517" s="2">
        <v>69.36</v>
      </c>
      <c r="F5517" s="2" t="e">
        <f>IF(Table2[[#This Row],[Manual Cat Value]]="",VLOOKUP(Table2[[#This Row],[Description]],'Actuals Lookup'!D:F,3,0),Table2[[#This Row],[Manual Cat Value]])</f>
        <v>#N/A</v>
      </c>
      <c r="J5517" s="2">
        <v>69.36</v>
      </c>
      <c r="K5517" s="2" t="b">
        <v>0</v>
      </c>
      <c r="L5517" s="2"/>
      <c r="M5517" s="2"/>
      <c r="N5517" s="4" t="s">
        <v>2259</v>
      </c>
      <c r="O5517" s="4" t="str">
        <f>LEFT(Table2[[#This Row],[Description]],75)</f>
        <v>BULL &amp; WREN EXCELSIOR MN</v>
      </c>
      <c r="P5517" s="2" t="s">
        <v>2281</v>
      </c>
    </row>
    <row r="5518" spans="1:16" hidden="1">
      <c r="A5518" s="2">
        <v>202108</v>
      </c>
      <c r="B5518" s="3">
        <v>44437</v>
      </c>
      <c r="C5518" s="2" t="s">
        <v>2265</v>
      </c>
      <c r="D5518" s="2" t="s">
        <v>635</v>
      </c>
      <c r="E5518" s="2">
        <v>-3102.97</v>
      </c>
      <c r="F5518" s="2" t="e">
        <f>IF(Table2[[#This Row],[Manual Cat Value]]="",VLOOKUP(Table2[[#This Row],[Description]],'Actuals Lookup'!D:F,3,0),Table2[[#This Row],[Manual Cat Value]])</f>
        <v>#N/A</v>
      </c>
      <c r="J5518" s="2">
        <v>3102.97</v>
      </c>
      <c r="K5518" s="2" t="b">
        <v>0</v>
      </c>
      <c r="L5518" s="2"/>
      <c r="M5518" s="2"/>
      <c r="N5518" s="4" t="s">
        <v>2273</v>
      </c>
      <c r="O5518" s="4" t="str">
        <f>LEFT(Table2[[#This Row],[Description]],75)</f>
        <v>CONNECTED ANALYT TYPE DIRECT DEP ID CO CONNECTED ANALYT ACH ECC PPD ACH Tra</v>
      </c>
      <c r="P5518" s="2" t="s">
        <v>2493</v>
      </c>
    </row>
    <row r="5519" spans="1:16" hidden="1">
      <c r="A5519" s="2">
        <v>202108</v>
      </c>
      <c r="B5519" s="3">
        <v>44437</v>
      </c>
      <c r="C5519" s="2" t="s">
        <v>2262</v>
      </c>
      <c r="D5519" s="2" t="s">
        <v>1171</v>
      </c>
      <c r="E5519" s="2">
        <v>67.81</v>
      </c>
      <c r="F5519" s="2" t="e">
        <f>IF(Table2[[#This Row],[Manual Cat Value]]="",VLOOKUP(Table2[[#This Row],[Description]],'Actuals Lookup'!D:F,3,0),Table2[[#This Row],[Manual Cat Value]])</f>
        <v>#N/A</v>
      </c>
      <c r="J5519" s="2">
        <v>67.81</v>
      </c>
      <c r="K5519" s="2" t="b">
        <v>0</v>
      </c>
      <c r="L5519" s="2"/>
      <c r="M5519" s="2"/>
      <c r="N5519" s="4" t="s">
        <v>2259</v>
      </c>
      <c r="O5519" s="4" t="str">
        <f>LEFT(Table2[[#This Row],[Description]],75)</f>
        <v>MACKENTHUNSMEATSANDDELI ST BONIF MACKENTHUNSMEATSANDDELI ST BONIFACIUSMN</v>
      </c>
      <c r="P5519" s="2" t="s">
        <v>2516</v>
      </c>
    </row>
    <row r="5520" spans="1:16" hidden="1">
      <c r="A5520" s="2">
        <v>202108</v>
      </c>
      <c r="B5520" s="3">
        <v>44437</v>
      </c>
      <c r="C5520" s="2" t="s">
        <v>2262</v>
      </c>
      <c r="D5520" s="2" t="s">
        <v>1813</v>
      </c>
      <c r="E5520" s="2">
        <v>25.79</v>
      </c>
      <c r="F5520" s="2" t="e">
        <f>IF(Table2[[#This Row],[Manual Cat Value]]="",VLOOKUP(Table2[[#This Row],[Description]],'Actuals Lookup'!D:F,3,0),Table2[[#This Row],[Manual Cat Value]])</f>
        <v>#N/A</v>
      </c>
      <c r="J5520" s="2">
        <v>25.79</v>
      </c>
      <c r="K5520" s="2" t="b">
        <v>0</v>
      </c>
      <c r="L5520" s="2"/>
      <c r="M5520" s="2"/>
      <c r="N5520" s="4" t="s">
        <v>2259</v>
      </c>
      <c r="O5520" s="4" t="str">
        <f>LEFT(Table2[[#This Row],[Description]],75)</f>
        <v>TALL PINES LIQUOR INC CARLTON MN TALL PINES LIQUOR INC CARLTON MN</v>
      </c>
      <c r="P5520" s="2" t="s">
        <v>2281</v>
      </c>
    </row>
    <row r="5521" spans="1:16" hidden="1">
      <c r="A5521" s="2">
        <v>202108</v>
      </c>
      <c r="B5521" s="3">
        <v>44438</v>
      </c>
      <c r="C5521" s="2" t="s">
        <v>2262</v>
      </c>
      <c r="D5521" s="2" t="s">
        <v>674</v>
      </c>
      <c r="E5521" s="2">
        <v>-3181.56</v>
      </c>
      <c r="F5521" s="2" t="e">
        <f>IF(Table2[[#This Row],[Manual Cat Value]]="",VLOOKUP(Table2[[#This Row],[Description]],'Actuals Lookup'!D:F,3,0),Table2[[#This Row],[Manual Cat Value]])</f>
        <v>#N/A</v>
      </c>
      <c r="J5521" s="2">
        <v>3181.56</v>
      </c>
      <c r="K5521" s="2" t="b">
        <v>0</v>
      </c>
      <c r="L5521" s="2"/>
      <c r="M5521" s="2"/>
      <c r="N5521" s="4" t="s">
        <v>2273</v>
      </c>
      <c r="O5521" s="4" t="str">
        <f>LEFT(Table2[[#This Row],[Description]],75)</f>
        <v>Credit Card Payment Received PAYMENT THANK YOU</v>
      </c>
      <c r="P5521" s="2" t="s">
        <v>2281</v>
      </c>
    </row>
    <row r="5522" spans="1:16" hidden="1">
      <c r="A5522" s="2">
        <v>202108</v>
      </c>
      <c r="B5522" s="3">
        <v>44438</v>
      </c>
      <c r="C5522" s="2" t="s">
        <v>2265</v>
      </c>
      <c r="D5522" s="2" t="s">
        <v>2203</v>
      </c>
      <c r="E5522" s="2">
        <v>3181.56</v>
      </c>
      <c r="F5522" s="2" t="e">
        <f>IF(Table2[[#This Row],[Manual Cat Value]]="",VLOOKUP(Table2[[#This Row],[Description]],'Actuals Lookup'!D:F,3,0),Table2[[#This Row],[Manual Cat Value]])</f>
        <v>#N/A</v>
      </c>
      <c r="J5522" s="2">
        <v>3181.56</v>
      </c>
      <c r="K5522" s="2" t="b">
        <v>0</v>
      </c>
      <c r="L5522" s="2"/>
      <c r="M5522" s="2"/>
      <c r="N5522" s="4" t="s">
        <v>2259</v>
      </c>
      <c r="O5522" s="4" t="str">
        <f>LEFT(Table2[[#This Row],[Description]],75)</f>
        <v>Withdrawal Home payment to card XX91 Withdrawal Home payment to card 979181</v>
      </c>
      <c r="P5522" s="2" t="s">
        <v>2281</v>
      </c>
    </row>
    <row r="5523" spans="1:16" hidden="1">
      <c r="A5523" s="2">
        <v>202108</v>
      </c>
      <c r="B5523" s="3">
        <v>44438</v>
      </c>
      <c r="C5523" s="2" t="s">
        <v>2262</v>
      </c>
      <c r="D5523" s="2" t="s">
        <v>295</v>
      </c>
      <c r="E5523" s="2">
        <v>6</v>
      </c>
      <c r="F5523" s="2" t="e">
        <f>IF(Table2[[#This Row],[Manual Cat Value]]="",VLOOKUP(Table2[[#This Row],[Description]],'Actuals Lookup'!D:F,3,0),Table2[[#This Row],[Manual Cat Value]])</f>
        <v>#N/A</v>
      </c>
      <c r="J5523" s="2">
        <v>6</v>
      </c>
      <c r="K5523" s="2" t="b">
        <v>0</v>
      </c>
      <c r="L5523" s="2"/>
      <c r="M5523" s="2"/>
      <c r="N5523" s="4" t="s">
        <v>2259</v>
      </c>
      <c r="O5523" s="4" t="str">
        <f>LEFT(Table2[[#This Row],[Description]],75)</f>
        <v>BLACK BEAR CASINO RESO CARLTON M BLACK BEAR CASINO RESO CARLTON MN</v>
      </c>
      <c r="P5523" s="2" t="s">
        <v>2281</v>
      </c>
    </row>
    <row r="5524" spans="1:16" hidden="1">
      <c r="A5524" s="2">
        <v>202108</v>
      </c>
      <c r="B5524" s="3">
        <v>44438</v>
      </c>
      <c r="C5524" s="2" t="s">
        <v>2262</v>
      </c>
      <c r="D5524" s="2" t="s">
        <v>296</v>
      </c>
      <c r="E5524" s="2">
        <v>84.43</v>
      </c>
      <c r="F5524" s="2" t="e">
        <f>IF(Table2[[#This Row],[Manual Cat Value]]="",VLOOKUP(Table2[[#This Row],[Description]],'Actuals Lookup'!D:F,3,0),Table2[[#This Row],[Manual Cat Value]])</f>
        <v>#N/A</v>
      </c>
      <c r="J5524" s="2">
        <v>84.43</v>
      </c>
      <c r="K5524" s="2" t="b">
        <v>0</v>
      </c>
      <c r="L5524" s="2"/>
      <c r="M5524" s="2"/>
      <c r="N5524" s="4" t="s">
        <v>2259</v>
      </c>
      <c r="O5524" s="4" t="str">
        <f>LEFT(Table2[[#This Row],[Description]],75)</f>
        <v>BLACK BEAR HOTEL CARLTON MN</v>
      </c>
      <c r="P5524" s="2" t="s">
        <v>2281</v>
      </c>
    </row>
    <row r="5525" spans="1:16" hidden="1">
      <c r="A5525" s="2">
        <v>202108</v>
      </c>
      <c r="B5525" s="3">
        <v>44438</v>
      </c>
      <c r="C5525" s="2" t="s">
        <v>2262</v>
      </c>
      <c r="D5525" s="2" t="s">
        <v>1014</v>
      </c>
      <c r="E5525" s="2">
        <v>19.75</v>
      </c>
      <c r="F5525" s="2" t="str">
        <f>IF(Table2[[#This Row],[Manual Cat Value]]="",VLOOKUP(Table2[[#This Row],[Description]],'Actuals Lookup'!D:F,3,0),Table2[[#This Row],[Manual Cat Value]])</f>
        <v>Restaurants</v>
      </c>
      <c r="J5525" s="2">
        <v>19.75</v>
      </c>
      <c r="K5525" s="2" t="b">
        <v>0</v>
      </c>
      <c r="L5525" s="2"/>
      <c r="M5525" s="2"/>
      <c r="N5525" s="4" t="s">
        <v>2259</v>
      </c>
      <c r="O5525" s="4" t="str">
        <f>LEFT(Table2[[#This Row],[Description]],75)</f>
        <v>Jimmy John's</v>
      </c>
      <c r="P5525" s="2" t="s">
        <v>2453</v>
      </c>
    </row>
    <row r="5526" spans="1:16" hidden="1">
      <c r="A5526" s="2">
        <v>202108</v>
      </c>
      <c r="B5526" s="3">
        <v>44438</v>
      </c>
      <c r="C5526" s="2" t="s">
        <v>2262</v>
      </c>
      <c r="D5526" s="2" t="s">
        <v>1346</v>
      </c>
      <c r="E5526" s="2">
        <v>43</v>
      </c>
      <c r="F5526" s="2" t="e">
        <f>IF(Table2[[#This Row],[Manual Cat Value]]="",VLOOKUP(Table2[[#This Row],[Description]],'Actuals Lookup'!D:F,3,0),Table2[[#This Row],[Manual Cat Value]])</f>
        <v>#N/A</v>
      </c>
      <c r="J5526" s="2">
        <v>43</v>
      </c>
      <c r="K5526" s="2" t="b">
        <v>0</v>
      </c>
      <c r="L5526" s="2"/>
      <c r="M5526" s="2"/>
      <c r="N5526" s="4" t="s">
        <v>2259</v>
      </c>
      <c r="O5526" s="4" t="str">
        <f>LEFT(Table2[[#This Row],[Description]],75)</f>
        <v>NEMADJI GOLF COURSE SUPERIOR WI</v>
      </c>
      <c r="P5526" s="2" t="s">
        <v>2281</v>
      </c>
    </row>
    <row r="5527" spans="1:16" hidden="1">
      <c r="A5527" s="2">
        <v>202108</v>
      </c>
      <c r="B5527" s="3">
        <v>44438</v>
      </c>
      <c r="C5527" s="2" t="s">
        <v>2265</v>
      </c>
      <c r="D5527" s="2" t="s">
        <v>1471</v>
      </c>
      <c r="E5527" s="2">
        <v>0.99</v>
      </c>
      <c r="F5527" s="2" t="str">
        <f>IF(Table2[[#This Row],[Manual Cat Value]]="",VLOOKUP(Table2[[#This Row],[Description]],'Actuals Lookup'!D:F,3,0),Table2[[#This Row],[Manual Cat Value]])</f>
        <v>Shopping</v>
      </c>
      <c r="J5527" s="2">
        <v>0.99</v>
      </c>
      <c r="K5527" s="2" t="b">
        <v>0</v>
      </c>
      <c r="L5527" s="2"/>
      <c r="M5527" s="2"/>
      <c r="N5527" s="4" t="s">
        <v>2259</v>
      </c>
      <c r="O5527" s="4" t="str">
        <f>LEFT(Table2[[#This Row],[Description]],75)</f>
        <v>PayPal</v>
      </c>
      <c r="P5527" s="2" t="s">
        <v>2322</v>
      </c>
    </row>
    <row r="5528" spans="1:16" hidden="1">
      <c r="A5528" s="2">
        <v>202108</v>
      </c>
      <c r="B5528" s="3">
        <v>44438</v>
      </c>
      <c r="C5528" s="2" t="s">
        <v>2262</v>
      </c>
      <c r="D5528" s="2" t="s">
        <v>1522</v>
      </c>
      <c r="E5528" s="2">
        <v>152.41999999999999</v>
      </c>
      <c r="F5528" s="2" t="e">
        <f>IF(Table2[[#This Row],[Manual Cat Value]]="",VLOOKUP(Table2[[#This Row],[Description]],'Actuals Lookup'!D:F,3,0),Table2[[#This Row],[Manual Cat Value]])</f>
        <v>#N/A</v>
      </c>
      <c r="J5528" s="2">
        <v>152.41999999999999</v>
      </c>
      <c r="K5528" s="2" t="b">
        <v>0</v>
      </c>
      <c r="L5528" s="2"/>
      <c r="M5528" s="2"/>
      <c r="N5528" s="4" t="s">
        <v>2259</v>
      </c>
      <c r="O5528" s="4" t="str">
        <f>LEFT(Table2[[#This Row],[Description]],75)</f>
        <v>Primp</v>
      </c>
      <c r="P5528" s="2" t="s">
        <v>2281</v>
      </c>
    </row>
    <row r="5529" spans="1:16" hidden="1">
      <c r="A5529" s="2">
        <v>202108</v>
      </c>
      <c r="B5529" s="3">
        <v>44438</v>
      </c>
      <c r="C5529" s="2" t="s">
        <v>2460</v>
      </c>
      <c r="D5529" s="2" t="s">
        <v>1774</v>
      </c>
      <c r="E5529" s="2">
        <v>21.1</v>
      </c>
      <c r="F5529" s="2" t="e">
        <f>IF(Table2[[#This Row],[Manual Cat Value]]="",VLOOKUP(Table2[[#This Row],[Description]],'Actuals Lookup'!D:F,3,0),Table2[[#This Row],[Manual Cat Value]])</f>
        <v>#N/A</v>
      </c>
      <c r="J5529" s="2">
        <v>21.1</v>
      </c>
      <c r="K5529" s="2" t="b">
        <v>0</v>
      </c>
      <c r="L5529" s="2"/>
      <c r="M5529" s="2"/>
      <c r="N5529" s="4" t="s">
        <v>2259</v>
      </c>
      <c r="O5529" s="4" t="str">
        <f>LEFT(Table2[[#This Row],[Description]],75)</f>
        <v>STARBUCKS CORP</v>
      </c>
      <c r="P5529" s="2" t="s">
        <v>2281</v>
      </c>
    </row>
    <row r="5530" spans="1:16" hidden="1">
      <c r="A5530" s="2">
        <v>202108</v>
      </c>
      <c r="B5530" s="3">
        <v>44438</v>
      </c>
      <c r="C5530" s="2" t="s">
        <v>2317</v>
      </c>
      <c r="D5530" s="2" t="s">
        <v>1774</v>
      </c>
      <c r="E5530" s="2">
        <v>21.1</v>
      </c>
      <c r="F5530" s="2" t="e">
        <f>IF(Table2[[#This Row],[Manual Cat Value]]="",VLOOKUP(Table2[[#This Row],[Description]],'Actuals Lookup'!D:F,3,0),Table2[[#This Row],[Manual Cat Value]])</f>
        <v>#N/A</v>
      </c>
      <c r="J5530" s="2">
        <v>21.1</v>
      </c>
      <c r="K5530" s="2" t="b">
        <v>0</v>
      </c>
      <c r="L5530" s="2"/>
      <c r="M5530" s="2"/>
      <c r="N5530" s="4" t="s">
        <v>2259</v>
      </c>
      <c r="O5530" s="4" t="str">
        <f>LEFT(Table2[[#This Row],[Description]],75)</f>
        <v>STARBUCKS CORP</v>
      </c>
      <c r="P5530" s="2" t="s">
        <v>2416</v>
      </c>
    </row>
    <row r="5531" spans="1:16" hidden="1">
      <c r="A5531" s="2">
        <v>202108</v>
      </c>
      <c r="B5531" s="3">
        <v>44438</v>
      </c>
      <c r="C5531" s="2" t="s">
        <v>2262</v>
      </c>
      <c r="D5531" s="2" t="s">
        <v>1847</v>
      </c>
      <c r="E5531" s="2">
        <v>55.85</v>
      </c>
      <c r="F5531" s="2" t="e">
        <f>IF(Table2[[#This Row],[Manual Cat Value]]="",VLOOKUP(Table2[[#This Row],[Description]],'Actuals Lookup'!D:F,3,0),Table2[[#This Row],[Manual Cat Value]])</f>
        <v>#N/A</v>
      </c>
      <c r="J5531" s="2">
        <v>55.85</v>
      </c>
      <c r="K5531" s="2" t="b">
        <v>0</v>
      </c>
      <c r="L5531" s="2"/>
      <c r="M5531" s="2"/>
      <c r="N5531" s="4" t="s">
        <v>2259</v>
      </c>
      <c r="O5531" s="4" t="str">
        <f>LEFT(Table2[[#This Row],[Description]],75)</f>
        <v>The Garden Patch</v>
      </c>
      <c r="P5531" s="2" t="s">
        <v>2281</v>
      </c>
    </row>
    <row r="5532" spans="1:16" hidden="1">
      <c r="A5532" s="2">
        <v>202108</v>
      </c>
      <c r="B5532" s="3">
        <v>44439</v>
      </c>
      <c r="C5532" s="2" t="s">
        <v>2460</v>
      </c>
      <c r="D5532" s="2" t="s">
        <v>605</v>
      </c>
      <c r="E5532" s="2">
        <v>-250</v>
      </c>
      <c r="F5532" s="2" t="e">
        <f>IF(Table2[[#This Row],[Manual Cat Value]]="",VLOOKUP(Table2[[#This Row],[Description]],'Actuals Lookup'!D:F,3,0),Table2[[#This Row],[Manual Cat Value]])</f>
        <v>#N/A</v>
      </c>
      <c r="J5532" s="2">
        <v>250</v>
      </c>
      <c r="K5532" s="2" t="b">
        <v>0</v>
      </c>
      <c r="L5532" s="2"/>
      <c r="M5532" s="2"/>
      <c r="N5532" s="4" t="s">
        <v>2273</v>
      </c>
      <c r="O5532" s="4" t="str">
        <f>LEFT(Table2[[#This Row],[Description]],75)</f>
        <v>CONNECTED ANALYT</v>
      </c>
      <c r="P5532" s="2" t="s">
        <v>2493</v>
      </c>
    </row>
    <row r="5533" spans="1:16" hidden="1">
      <c r="A5533" s="2">
        <v>202108</v>
      </c>
      <c r="B5533" s="3">
        <v>44439</v>
      </c>
      <c r="C5533" s="2" t="s">
        <v>2317</v>
      </c>
      <c r="D5533" s="2" t="s">
        <v>605</v>
      </c>
      <c r="E5533" s="2">
        <v>-250</v>
      </c>
      <c r="F5533" s="2" t="e">
        <f>IF(Table2[[#This Row],[Manual Cat Value]]="",VLOOKUP(Table2[[#This Row],[Description]],'Actuals Lookup'!D:F,3,0),Table2[[#This Row],[Manual Cat Value]])</f>
        <v>#N/A</v>
      </c>
      <c r="J5533" s="2">
        <v>250</v>
      </c>
      <c r="K5533" s="2" t="b">
        <v>0</v>
      </c>
      <c r="L5533" s="2"/>
      <c r="M5533" s="2"/>
      <c r="N5533" s="4" t="s">
        <v>2273</v>
      </c>
      <c r="O5533" s="4" t="str">
        <f>LEFT(Table2[[#This Row],[Description]],75)</f>
        <v>CONNECTED ANALYT</v>
      </c>
      <c r="P5533" s="2" t="s">
        <v>2493</v>
      </c>
    </row>
    <row r="5534" spans="1:16" hidden="1">
      <c r="A5534" s="2">
        <v>202108</v>
      </c>
      <c r="B5534" s="3">
        <v>44439</v>
      </c>
      <c r="C5534" s="2" t="s">
        <v>2265</v>
      </c>
      <c r="D5534" s="2" t="s">
        <v>710</v>
      </c>
      <c r="E5534" s="2">
        <v>-12515.54</v>
      </c>
      <c r="F5534" s="2" t="str">
        <f>IF(Table2[[#This Row],[Manual Cat Value]]="",VLOOKUP(Table2[[#This Row],[Description]],'Actuals Lookup'!D:F,3,0),Table2[[#This Row],[Manual Cat Value]])</f>
        <v>Delete</v>
      </c>
      <c r="J5534" s="2">
        <v>12515.54</v>
      </c>
      <c r="K5534" s="2" t="b">
        <v>0</v>
      </c>
      <c r="L5534" s="2"/>
      <c r="M5534" s="2"/>
      <c r="N5534" s="4" t="s">
        <v>2273</v>
      </c>
      <c r="O5534" s="4" t="str">
        <f>LEFT(Table2[[#This Row],[Description]],75)</f>
        <v>Deposit by Check Deposit Anywhere check deposit</v>
      </c>
      <c r="P5534" s="2" t="s">
        <v>2281</v>
      </c>
    </row>
    <row r="5535" spans="1:16" hidden="1">
      <c r="A5535" s="2">
        <v>202108</v>
      </c>
      <c r="B5535" s="3">
        <v>44439</v>
      </c>
      <c r="C5535" s="2" t="s">
        <v>2265</v>
      </c>
      <c r="D5535" s="2" t="s">
        <v>983</v>
      </c>
      <c r="E5535" s="2">
        <v>-25.66</v>
      </c>
      <c r="F5535" s="2" t="e">
        <f>IF(Table2[[#This Row],[Manual Cat Value]]="",VLOOKUP(Table2[[#This Row],[Description]],'Actuals Lookup'!D:F,3,0),Table2[[#This Row],[Manual Cat Value]])</f>
        <v>#N/A</v>
      </c>
      <c r="J5535" s="2">
        <v>25.66</v>
      </c>
      <c r="K5535" s="2" t="b">
        <v>0</v>
      </c>
      <c r="L5535" s="2"/>
      <c r="M5535" s="2"/>
      <c r="N5535" s="4" t="s">
        <v>2273</v>
      </c>
      <c r="O5535" s="4" t="str">
        <f>LEFT(Table2[[#This Row],[Description]],75)</f>
        <v>Interest Income Split Rate APY Earned 048 080121 to 083121</v>
      </c>
      <c r="P5535" s="2" t="s">
        <v>2281</v>
      </c>
    </row>
    <row r="5536" spans="1:16" hidden="1">
      <c r="A5536" s="2">
        <v>202108</v>
      </c>
      <c r="B5536" s="3">
        <v>44439</v>
      </c>
      <c r="C5536" s="2" t="s">
        <v>2300</v>
      </c>
      <c r="D5536" s="2" t="s">
        <v>989</v>
      </c>
      <c r="E5536" s="2">
        <v>-13.61</v>
      </c>
      <c r="F5536" s="2" t="e">
        <f>IF(Table2[[#This Row],[Manual Cat Value]]="",VLOOKUP(Table2[[#This Row],[Description]],'Actuals Lookup'!D:F,3,0),Table2[[#This Row],[Manual Cat Value]])</f>
        <v>#N/A</v>
      </c>
      <c r="J5536" s="2">
        <v>13.61</v>
      </c>
      <c r="K5536" s="2" t="b">
        <v>0</v>
      </c>
      <c r="L5536" s="2"/>
      <c r="M5536" s="2"/>
      <c r="N5536" s="4" t="s">
        <v>2273</v>
      </c>
      <c r="O5536" s="4" t="str">
        <f>LEFT(Table2[[#This Row],[Description]],75)</f>
        <v>Interest Income Split Rate APY Earned 100 080121 to 083121</v>
      </c>
      <c r="P5536" s="2" t="s">
        <v>2281</v>
      </c>
    </row>
    <row r="5537" spans="1:16" hidden="1">
      <c r="A5537" s="2">
        <v>202108</v>
      </c>
      <c r="B5537" s="3">
        <v>44439</v>
      </c>
      <c r="C5537" s="2" t="s">
        <v>2274</v>
      </c>
      <c r="D5537" s="2" t="s">
        <v>994</v>
      </c>
      <c r="E5537" s="2">
        <v>-0.04</v>
      </c>
      <c r="F5537" s="2" t="e">
        <f>IF(Table2[[#This Row],[Manual Cat Value]]="",VLOOKUP(Table2[[#This Row],[Description]],'Actuals Lookup'!D:F,3,0),Table2[[#This Row],[Manual Cat Value]])</f>
        <v>#N/A</v>
      </c>
      <c r="J5537" s="2">
        <v>0.04</v>
      </c>
      <c r="K5537" s="2" t="b">
        <v>0</v>
      </c>
      <c r="L5537" s="2"/>
      <c r="M5537" s="2"/>
      <c r="N5537" s="4" t="s">
        <v>2273</v>
      </c>
      <c r="O5537" s="4" t="str">
        <f>LEFT(Table2[[#This Row],[Description]],75)</f>
        <v>Interest Paid</v>
      </c>
      <c r="P5537" s="2" t="s">
        <v>2281</v>
      </c>
    </row>
    <row r="5538" spans="1:16" hidden="1">
      <c r="A5538" s="2">
        <v>202108</v>
      </c>
      <c r="B5538" s="3">
        <v>44439</v>
      </c>
      <c r="C5538" s="2" t="s">
        <v>2262</v>
      </c>
      <c r="D5538" s="2" t="s">
        <v>1097</v>
      </c>
      <c r="E5538" s="2">
        <v>72.58</v>
      </c>
      <c r="F5538" s="2" t="e">
        <f>IF(Table2[[#This Row],[Manual Cat Value]]="",VLOOKUP(Table2[[#This Row],[Description]],'Actuals Lookup'!D:F,3,0),Table2[[#This Row],[Manual Cat Value]])</f>
        <v>#N/A</v>
      </c>
      <c r="J5538" s="2">
        <v>72.58</v>
      </c>
      <c r="K5538" s="2" t="b">
        <v>0</v>
      </c>
      <c r="L5538" s="2"/>
      <c r="M5538" s="2"/>
      <c r="N5538" s="4" t="s">
        <v>2259</v>
      </c>
      <c r="O5538" s="4" t="str">
        <f>LEFT(Table2[[#This Row],[Description]],75)</f>
        <v>Lakewinds Food Coop LAKEWINDS CHANHASSEN CHANHASSEN MN</v>
      </c>
      <c r="P5538" s="2" t="s">
        <v>2281</v>
      </c>
    </row>
    <row r="5539" spans="1:16" hidden="1">
      <c r="A5539" s="2">
        <v>202108</v>
      </c>
      <c r="B5539" s="3">
        <v>44439</v>
      </c>
      <c r="C5539" s="2" t="s">
        <v>2435</v>
      </c>
      <c r="D5539" s="2" t="s">
        <v>1836</v>
      </c>
      <c r="E5539" s="2">
        <v>-250</v>
      </c>
      <c r="F5539" s="2" t="e">
        <f>IF(Table2[[#This Row],[Manual Cat Value]]="",VLOOKUP(Table2[[#This Row],[Description]],'Actuals Lookup'!D:F,3,0),Table2[[#This Row],[Manual Cat Value]])</f>
        <v>#N/A</v>
      </c>
      <c r="J5539" s="2">
        <v>250</v>
      </c>
      <c r="K5539" s="2" t="b">
        <v>0</v>
      </c>
      <c r="L5539" s="2"/>
      <c r="M5539" s="2"/>
      <c r="N5539" s="4" t="s">
        <v>2273</v>
      </c>
      <c r="O5539" s="4" t="str">
        <f>LEFT(Table2[[#This Row],[Description]],75)</f>
        <v>Tfr JPMORGAN CHASE BAN, CONNECTED ANALYT</v>
      </c>
      <c r="P5539" s="2" t="s">
        <v>2493</v>
      </c>
    </row>
    <row r="5540" spans="1:16" hidden="1">
      <c r="A5540" s="2">
        <v>202109</v>
      </c>
      <c r="B5540" s="3">
        <v>44440</v>
      </c>
      <c r="C5540" s="2" t="s">
        <v>2270</v>
      </c>
      <c r="D5540" s="2" t="s">
        <v>1410</v>
      </c>
      <c r="E5540" s="2">
        <v>-742.82</v>
      </c>
      <c r="F5540" s="2" t="str">
        <f>IF(Table2[[#This Row],[Manual Cat Value]]="",VLOOKUP(Table2[[#This Row],[Description]],'Actuals Lookup'!D:F,3,0),Table2[[#This Row],[Manual Cat Value]])</f>
        <v>Delete</v>
      </c>
      <c r="J5540" s="2">
        <v>742.82</v>
      </c>
      <c r="K5540" s="2" t="b">
        <v>0</v>
      </c>
      <c r="L5540" s="2"/>
      <c r="M5540" s="2"/>
      <c r="N5540" s="4" t="s">
        <v>2273</v>
      </c>
      <c r="O5540" s="4" t="str">
        <f>LEFT(Table2[[#This Row],[Description]],75)</f>
        <v>PAYMENT</v>
      </c>
      <c r="P5540" s="2" t="s">
        <v>2492</v>
      </c>
    </row>
    <row r="5541" spans="1:16" hidden="1">
      <c r="A5541" s="2">
        <v>202109</v>
      </c>
      <c r="B5541" s="3">
        <v>44440</v>
      </c>
      <c r="C5541" s="2" t="s">
        <v>2258</v>
      </c>
      <c r="D5541" s="2" t="s">
        <v>38</v>
      </c>
      <c r="E5541" s="2">
        <v>6.43</v>
      </c>
      <c r="F5541" s="2" t="str">
        <f>IF(Table2[[#This Row],[Manual Cat Value]]="",VLOOKUP(Table2[[#This Row],[Description]],'Actuals Lookup'!D:F,3,0),Table2[[#This Row],[Manual Cat Value]])</f>
        <v>Amazon</v>
      </c>
      <c r="J5541" s="2">
        <v>6.43</v>
      </c>
      <c r="K5541" s="2" t="b">
        <v>0</v>
      </c>
      <c r="L5541" s="2"/>
      <c r="M5541" s="2"/>
      <c r="N5541" s="4" t="s">
        <v>2259</v>
      </c>
      <c r="O5541" s="4" t="str">
        <f>LEFT(Table2[[#This Row],[Description]],75)</f>
        <v>Amazon</v>
      </c>
      <c r="P5541" s="2" t="s">
        <v>2260</v>
      </c>
    </row>
    <row r="5542" spans="1:16" hidden="1">
      <c r="A5542" s="2">
        <v>202109</v>
      </c>
      <c r="B5542" s="3">
        <v>44440</v>
      </c>
      <c r="C5542" s="2" t="s">
        <v>2447</v>
      </c>
      <c r="D5542" s="2" t="s">
        <v>38</v>
      </c>
      <c r="E5542" s="2">
        <v>6.43</v>
      </c>
      <c r="F5542" s="2" t="str">
        <f>IF(Table2[[#This Row],[Manual Cat Value]]="",VLOOKUP(Table2[[#This Row],[Description]],'Actuals Lookup'!D:F,3,0),Table2[[#This Row],[Manual Cat Value]])</f>
        <v>Amazon</v>
      </c>
      <c r="J5542" s="2">
        <v>6.43</v>
      </c>
      <c r="K5542" s="2" t="b">
        <v>0</v>
      </c>
      <c r="L5542" s="2"/>
      <c r="M5542" s="2"/>
      <c r="N5542" s="4" t="s">
        <v>2259</v>
      </c>
      <c r="O5542" s="4" t="str">
        <f>LEFT(Table2[[#This Row],[Description]],75)</f>
        <v>Amazon</v>
      </c>
      <c r="P5542" s="2" t="s">
        <v>2260</v>
      </c>
    </row>
    <row r="5543" spans="1:16" hidden="1">
      <c r="A5543" s="2">
        <v>202109</v>
      </c>
      <c r="B5543" s="3">
        <v>44440</v>
      </c>
      <c r="C5543" s="2" t="s">
        <v>2258</v>
      </c>
      <c r="D5543" s="2" t="s">
        <v>114</v>
      </c>
      <c r="E5543" s="2">
        <v>4.28</v>
      </c>
      <c r="F5543" s="2" t="str">
        <f>IF(Table2[[#This Row],[Manual Cat Value]]="",VLOOKUP(Table2[[#This Row],[Description]],'Actuals Lookup'!D:F,3,0),Table2[[#This Row],[Manual Cat Value]])</f>
        <v>Entertainment</v>
      </c>
      <c r="J5543" s="2">
        <v>4.28</v>
      </c>
      <c r="K5543" s="2" t="b">
        <v>0</v>
      </c>
      <c r="L5543" s="2"/>
      <c r="M5543" s="2"/>
      <c r="N5543" s="4" t="s">
        <v>2259</v>
      </c>
      <c r="O5543" s="4" t="str">
        <f>LEFT(Table2[[#This Row],[Description]],75)</f>
        <v>Amazon Music</v>
      </c>
      <c r="P5543" s="2" t="s">
        <v>2466</v>
      </c>
    </row>
    <row r="5544" spans="1:16" hidden="1">
      <c r="A5544" s="2">
        <v>202109</v>
      </c>
      <c r="B5544" s="3">
        <v>44440</v>
      </c>
      <c r="C5544" s="2" t="s">
        <v>2447</v>
      </c>
      <c r="D5544" s="2" t="s">
        <v>114</v>
      </c>
      <c r="E5544" s="2">
        <v>4.28</v>
      </c>
      <c r="F5544" s="2" t="str">
        <f>IF(Table2[[#This Row],[Manual Cat Value]]="",VLOOKUP(Table2[[#This Row],[Description]],'Actuals Lookup'!D:F,3,0),Table2[[#This Row],[Manual Cat Value]])</f>
        <v>Entertainment</v>
      </c>
      <c r="J5544" s="2">
        <v>4.28</v>
      </c>
      <c r="K5544" s="2" t="b">
        <v>0</v>
      </c>
      <c r="L5544" s="2"/>
      <c r="M5544" s="2"/>
      <c r="N5544" s="4" t="s">
        <v>2259</v>
      </c>
      <c r="O5544" s="4" t="str">
        <f>LEFT(Table2[[#This Row],[Description]],75)</f>
        <v>Amazon Music</v>
      </c>
      <c r="P5544" s="2" t="s">
        <v>2466</v>
      </c>
    </row>
    <row r="5545" spans="1:16" hidden="1">
      <c r="A5545" s="2">
        <v>202109</v>
      </c>
      <c r="B5545" s="3">
        <v>44440</v>
      </c>
      <c r="C5545" s="2" t="s">
        <v>2265</v>
      </c>
      <c r="D5545" s="2" t="s">
        <v>254</v>
      </c>
      <c r="E5545" s="2">
        <v>3003.94</v>
      </c>
      <c r="F5545" s="2" t="str">
        <f>IF(Table2[[#This Row],[Manual Cat Value]]="",VLOOKUP(Table2[[#This Row],[Description]],'Actuals Lookup'!D:F,3,0),Table2[[#This Row],[Manual Cat Value]])</f>
        <v>Rent</v>
      </c>
      <c r="J5545" s="2">
        <v>3003.94</v>
      </c>
      <c r="K5545" s="2" t="b">
        <v>0</v>
      </c>
      <c r="L5545" s="2"/>
      <c r="M5545" s="2"/>
      <c r="N5545" s="4" t="s">
        <v>2259</v>
      </c>
      <c r="O5545" s="4" t="str">
        <f>LEFT(Table2[[#This Row],[Description]],75)</f>
        <v>Baxter Credit Union</v>
      </c>
      <c r="P5545" s="2" t="s">
        <v>2558</v>
      </c>
    </row>
    <row r="5546" spans="1:16" hidden="1">
      <c r="A5546" s="2">
        <v>202109</v>
      </c>
      <c r="B5546" s="3">
        <v>44440</v>
      </c>
      <c r="C5546" s="2" t="s">
        <v>2265</v>
      </c>
      <c r="D5546" s="2" t="s">
        <v>598</v>
      </c>
      <c r="E5546" s="2">
        <v>200</v>
      </c>
      <c r="F5546" s="2" t="e">
        <f>IF(Table2[[#This Row],[Manual Cat Value]]="",VLOOKUP(Table2[[#This Row],[Description]],'Actuals Lookup'!D:F,3,0),Table2[[#This Row],[Manual Cat Value]])</f>
        <v>#N/A</v>
      </c>
      <c r="J5546" s="2">
        <v>200</v>
      </c>
      <c r="K5546" s="2" t="b">
        <v>0</v>
      </c>
      <c r="L5546" s="2"/>
      <c r="M5546" s="2"/>
      <c r="N5546" s="4" t="s">
        <v>2259</v>
      </c>
      <c r="O5546" s="4" t="str">
        <f>LEFT(Table2[[#This Row],[Description]],75)</f>
        <v>College Savings TYPE ACH ID XX58 College Savings TYPE ACH ID 550895818 CO C</v>
      </c>
      <c r="P5546" s="2" t="s">
        <v>2272</v>
      </c>
    </row>
    <row r="5547" spans="1:16" hidden="1">
      <c r="A5547" s="2">
        <v>202109</v>
      </c>
      <c r="B5547" s="3">
        <v>44440</v>
      </c>
      <c r="C5547" s="2" t="s">
        <v>2314</v>
      </c>
      <c r="D5547" s="2" t="s">
        <v>859</v>
      </c>
      <c r="E5547" s="2">
        <v>-587.69000000000005</v>
      </c>
      <c r="F5547" s="2" t="e">
        <f>IF(Table2[[#This Row],[Manual Cat Value]]="",VLOOKUP(Table2[[#This Row],[Description]],'Actuals Lookup'!D:F,3,0),Table2[[#This Row],[Manual Cat Value]])</f>
        <v>#N/A</v>
      </c>
      <c r="J5547" s="2">
        <v>587.69000000000005</v>
      </c>
      <c r="K5547" s="2" t="b">
        <v>0</v>
      </c>
      <c r="L5547" s="2"/>
      <c r="M5547" s="2"/>
      <c r="N5547" s="4" t="s">
        <v>2273</v>
      </c>
      <c r="O5547" s="4" t="str">
        <f>LEFT(Table2[[#This Row],[Description]],75)</f>
        <v>From Share 70</v>
      </c>
      <c r="P5547" s="2" t="s">
        <v>2496</v>
      </c>
    </row>
    <row r="5548" spans="1:16" hidden="1">
      <c r="A5548" s="2">
        <v>202109</v>
      </c>
      <c r="B5548" s="3">
        <v>44440</v>
      </c>
      <c r="C5548" s="2" t="s">
        <v>2317</v>
      </c>
      <c r="D5548" s="2" t="s">
        <v>978</v>
      </c>
      <c r="E5548" s="2">
        <v>-30.07</v>
      </c>
      <c r="F5548" s="2" t="e">
        <f>IF(Table2[[#This Row],[Manual Cat Value]]="",VLOOKUP(Table2[[#This Row],[Description]],'Actuals Lookup'!D:F,3,0),Table2[[#This Row],[Manual Cat Value]])</f>
        <v>#N/A</v>
      </c>
      <c r="J5548" s="2">
        <v>30.07</v>
      </c>
      <c r="K5548" s="2" t="b">
        <v>0</v>
      </c>
      <c r="L5548" s="2"/>
      <c r="M5548" s="2"/>
      <c r="N5548" s="4" t="s">
        <v>2273</v>
      </c>
      <c r="O5548" s="4" t="str">
        <f>LEFT(Table2[[#This Row],[Description]],75)</f>
        <v>INTEL CORP</v>
      </c>
      <c r="P5548" s="2" t="s">
        <v>2422</v>
      </c>
    </row>
    <row r="5549" spans="1:16" hidden="1">
      <c r="A5549" s="2">
        <v>202109</v>
      </c>
      <c r="B5549" s="3">
        <v>44440</v>
      </c>
      <c r="C5549" s="2" t="s">
        <v>2262</v>
      </c>
      <c r="D5549" s="2" t="s">
        <v>1083</v>
      </c>
      <c r="E5549" s="2">
        <v>41.1</v>
      </c>
      <c r="F5549" s="2" t="str">
        <f>IF(Table2[[#This Row],[Manual Cat Value]]="",VLOOKUP(Table2[[#This Row],[Description]],'Actuals Lookup'!D:F,3,0),Table2[[#This Row],[Manual Cat Value]])</f>
        <v>Transportation</v>
      </c>
      <c r="J5549" s="2">
        <v>41.1</v>
      </c>
      <c r="K5549" s="2" t="b">
        <v>0</v>
      </c>
      <c r="L5549" s="2"/>
      <c r="M5549" s="2"/>
      <c r="N5549" s="4" t="s">
        <v>2259</v>
      </c>
      <c r="O5549" s="4" t="str">
        <f>LEFT(Table2[[#This Row],[Description]],75)</f>
        <v>Kwik Trip</v>
      </c>
      <c r="P5549" s="2" t="s">
        <v>2509</v>
      </c>
    </row>
    <row r="5550" spans="1:16" hidden="1">
      <c r="A5550" s="2">
        <v>202109</v>
      </c>
      <c r="B5550" s="3">
        <v>44440</v>
      </c>
      <c r="C5550" s="2" t="s">
        <v>2262</v>
      </c>
      <c r="D5550" s="2" t="s">
        <v>1126</v>
      </c>
      <c r="E5550" s="2">
        <v>52.33</v>
      </c>
      <c r="F5550" s="2" t="e">
        <f>IF(Table2[[#This Row],[Manual Cat Value]]="",VLOOKUP(Table2[[#This Row],[Description]],'Actuals Lookup'!D:F,3,0),Table2[[#This Row],[Manual Cat Value]])</f>
        <v>#N/A</v>
      </c>
      <c r="J5550" s="2">
        <v>52.33</v>
      </c>
      <c r="K5550" s="2" t="b">
        <v>0</v>
      </c>
      <c r="L5550" s="2"/>
      <c r="M5550" s="2"/>
      <c r="N5550" s="4" t="s">
        <v>2259</v>
      </c>
      <c r="O5550" s="4" t="str">
        <f>LEFT(Table2[[#This Row],[Description]],75)</f>
        <v>LIONS TAP EDEN PRAIRIE MN LIONS TAP EDEN PRAIRIE MN</v>
      </c>
      <c r="P5550" s="2" t="s">
        <v>2344</v>
      </c>
    </row>
    <row r="5551" spans="1:16" hidden="1">
      <c r="A5551" s="2">
        <v>202109</v>
      </c>
      <c r="B5551" s="3">
        <v>44440</v>
      </c>
      <c r="C5551" s="2" t="s">
        <v>2270</v>
      </c>
      <c r="D5551" s="2" t="s">
        <v>1524</v>
      </c>
      <c r="E5551" s="2">
        <v>-431</v>
      </c>
      <c r="F5551" s="2" t="e">
        <f>IF(Table2[[#This Row],[Manual Cat Value]]="",VLOOKUP(Table2[[#This Row],[Description]],'Actuals Lookup'!D:F,3,0),Table2[[#This Row],[Manual Cat Value]])</f>
        <v>#N/A</v>
      </c>
      <c r="J5551" s="2">
        <v>431</v>
      </c>
      <c r="K5551" s="2" t="b">
        <v>0</v>
      </c>
      <c r="L5551" s="2"/>
      <c r="M5551" s="2"/>
      <c r="N5551" s="4" t="s">
        <v>2273</v>
      </c>
      <c r="O5551" s="4" t="str">
        <f>LEFT(Table2[[#This Row],[Description]],75)</f>
        <v>Principal Curtailment</v>
      </c>
      <c r="P5551" s="2" t="s">
        <v>2514</v>
      </c>
    </row>
    <row r="5552" spans="1:16" hidden="1">
      <c r="A5552" s="2">
        <v>202109</v>
      </c>
      <c r="B5552" s="3">
        <v>44440</v>
      </c>
      <c r="C5552" s="2" t="s">
        <v>2262</v>
      </c>
      <c r="D5552" s="2" t="s">
        <v>1707</v>
      </c>
      <c r="E5552" s="2">
        <v>55.97</v>
      </c>
      <c r="F5552" s="2" t="str">
        <f>IF(Table2[[#This Row],[Manual Cat Value]]="",VLOOKUP(Table2[[#This Row],[Description]],'Actuals Lookup'!D:F,3,0),Table2[[#This Row],[Manual Cat Value]])</f>
        <v>Transportation</v>
      </c>
      <c r="J5552" s="2">
        <v>55.97</v>
      </c>
      <c r="K5552" s="2" t="b">
        <v>0</v>
      </c>
      <c r="L5552" s="2"/>
      <c r="M5552" s="2"/>
      <c r="N5552" s="4" t="s">
        <v>2259</v>
      </c>
      <c r="O5552" s="4" t="str">
        <f>LEFT(Table2[[#This Row],[Description]],75)</f>
        <v>Speedway</v>
      </c>
      <c r="P5552" s="2" t="s">
        <v>2381</v>
      </c>
    </row>
    <row r="5553" spans="1:16" hidden="1">
      <c r="A5553" s="2">
        <v>202109</v>
      </c>
      <c r="B5553" s="3">
        <v>44440</v>
      </c>
      <c r="C5553" s="2" t="s">
        <v>2265</v>
      </c>
      <c r="D5553" s="2" t="s">
        <v>1877</v>
      </c>
      <c r="E5553" s="2">
        <v>618.65</v>
      </c>
      <c r="F5553" s="2" t="e">
        <f>IF(Table2[[#This Row],[Manual Cat Value]]="",VLOOKUP(Table2[[#This Row],[Description]],'Actuals Lookup'!D:F,3,0),Table2[[#This Row],[Manual Cat Value]])</f>
        <v>#N/A</v>
      </c>
      <c r="J5553" s="2">
        <v>618.65</v>
      </c>
      <c r="K5553" s="2" t="b">
        <v>0</v>
      </c>
      <c r="L5553" s="2"/>
      <c r="M5553" s="2"/>
      <c r="N5553" s="4" t="s">
        <v>2259</v>
      </c>
      <c r="O5553" s="4" t="str">
        <f>LEFT(Table2[[#This Row],[Description]],75)</f>
        <v>To Loan 02</v>
      </c>
      <c r="P5553" s="2" t="s">
        <v>2316</v>
      </c>
    </row>
    <row r="5554" spans="1:16" hidden="1">
      <c r="A5554" s="2">
        <v>202109</v>
      </c>
      <c r="B5554" s="3">
        <v>44440</v>
      </c>
      <c r="C5554" s="2" t="s">
        <v>2317</v>
      </c>
      <c r="D5554" s="2" t="s">
        <v>2130</v>
      </c>
      <c r="E5554" s="2">
        <v>-27.05</v>
      </c>
      <c r="F5554" s="2" t="e">
        <f>IF(Table2[[#This Row],[Manual Cat Value]]="",VLOOKUP(Table2[[#This Row],[Description]],'Actuals Lookup'!D:F,3,0),Table2[[#This Row],[Manual Cat Value]])</f>
        <v>#N/A</v>
      </c>
      <c r="J5554" s="2">
        <v>27.05</v>
      </c>
      <c r="K5554" s="2" t="b">
        <v>0</v>
      </c>
      <c r="L5554" s="2"/>
      <c r="M5554" s="2"/>
      <c r="N5554" s="4" t="s">
        <v>2273</v>
      </c>
      <c r="O5554" s="4" t="str">
        <f>LEFT(Table2[[#This Row],[Description]],75)</f>
        <v>VISA INC CLASS A</v>
      </c>
      <c r="P5554" s="2" t="s">
        <v>2423</v>
      </c>
    </row>
    <row r="5555" spans="1:16" hidden="1">
      <c r="A5555" s="2">
        <v>202109</v>
      </c>
      <c r="B5555" s="3">
        <v>44441</v>
      </c>
      <c r="C5555" s="2" t="s">
        <v>2262</v>
      </c>
      <c r="D5555" s="2" t="s">
        <v>1423</v>
      </c>
      <c r="E5555" s="2">
        <v>583.42999999999995</v>
      </c>
      <c r="F5555" s="2" t="e">
        <f>IF(Table2[[#This Row],[Manual Cat Value]]="",VLOOKUP(Table2[[#This Row],[Description]],'Actuals Lookup'!D:F,3,0),Table2[[#This Row],[Manual Cat Value]])</f>
        <v>#N/A</v>
      </c>
      <c r="J5555" s="2">
        <v>-583.42999999999995</v>
      </c>
      <c r="K5555" s="2" t="b">
        <v>0</v>
      </c>
      <c r="L5555" s="2"/>
      <c r="M5555" s="2"/>
      <c r="N5555" s="4" t="s">
        <v>2273</v>
      </c>
      <c r="O5555" s="4" t="str">
        <f>LEFT(Table2[[#This Row],[Description]],75)</f>
        <v>PAYMENT THANK YOU</v>
      </c>
      <c r="P5555" s="2" t="s">
        <v>2391</v>
      </c>
    </row>
    <row r="5556" spans="1:16" hidden="1">
      <c r="A5556" s="2">
        <v>202109</v>
      </c>
      <c r="B5556" s="3">
        <v>44441</v>
      </c>
      <c r="C5556" s="2" t="s">
        <v>2265</v>
      </c>
      <c r="D5556" s="2" t="s">
        <v>2203</v>
      </c>
      <c r="E5556" s="2">
        <v>583.42999999999995</v>
      </c>
      <c r="F5556" s="2" t="e">
        <f>IF(Table2[[#This Row],[Manual Cat Value]]="",VLOOKUP(Table2[[#This Row],[Description]],'Actuals Lookup'!D:F,3,0),Table2[[#This Row],[Manual Cat Value]])</f>
        <v>#N/A</v>
      </c>
      <c r="J5556" s="2">
        <v>583.42999999999995</v>
      </c>
      <c r="K5556" s="2" t="b">
        <v>0</v>
      </c>
      <c r="L5556" s="2"/>
      <c r="M5556" s="2"/>
      <c r="N5556" s="4" t="s">
        <v>2259</v>
      </c>
      <c r="O5556" s="4" t="str">
        <f>LEFT(Table2[[#This Row],[Description]],75)</f>
        <v>Withdrawal Home payment to card XX91 Withdrawal Home payment to card 979181</v>
      </c>
      <c r="P5556" s="2" t="s">
        <v>2559</v>
      </c>
    </row>
    <row r="5557" spans="1:16" hidden="1">
      <c r="A5557" s="2">
        <v>202109</v>
      </c>
      <c r="B5557" s="3">
        <v>44441</v>
      </c>
      <c r="C5557" s="2" t="s">
        <v>2262</v>
      </c>
      <c r="D5557" s="2" t="s">
        <v>38</v>
      </c>
      <c r="E5557" s="2">
        <v>35</v>
      </c>
      <c r="F5557" s="2" t="str">
        <f>IF(Table2[[#This Row],[Manual Cat Value]]="",VLOOKUP(Table2[[#This Row],[Description]],'Actuals Lookup'!D:F,3,0),Table2[[#This Row],[Manual Cat Value]])</f>
        <v>Amazon</v>
      </c>
      <c r="J5557" s="2">
        <v>35</v>
      </c>
      <c r="K5557" s="2" t="b">
        <v>0</v>
      </c>
      <c r="L5557" s="2"/>
      <c r="M5557" s="2"/>
      <c r="N5557" s="4" t="s">
        <v>2259</v>
      </c>
      <c r="O5557" s="4" t="str">
        <f>LEFT(Table2[[#This Row],[Description]],75)</f>
        <v>Amazon</v>
      </c>
      <c r="P5557" s="2" t="s">
        <v>2260</v>
      </c>
    </row>
    <row r="5558" spans="1:16" hidden="1">
      <c r="A5558" s="2">
        <v>202109</v>
      </c>
      <c r="B5558" s="3">
        <v>44441</v>
      </c>
      <c r="C5558" s="2" t="s">
        <v>2265</v>
      </c>
      <c r="D5558" s="2" t="s">
        <v>432</v>
      </c>
      <c r="E5558" s="2">
        <v>2793.6</v>
      </c>
      <c r="F5558" s="2" t="e">
        <f>IF(Table2[[#This Row],[Manual Cat Value]]="",VLOOKUP(Table2[[#This Row],[Description]],'Actuals Lookup'!D:F,3,0),Table2[[#This Row],[Manual Cat Value]])</f>
        <v>#N/A</v>
      </c>
      <c r="J5558" s="2">
        <v>-2793.6</v>
      </c>
      <c r="K5558" s="2" t="b">
        <v>0</v>
      </c>
      <c r="L5558" s="2"/>
      <c r="M5558" s="2"/>
      <c r="N5558" s="4" t="s">
        <v>2273</v>
      </c>
      <c r="O5558" s="4" t="str">
        <f>LEFT(Table2[[#This Row],[Description]],75)</f>
        <v>CARGILL INCORPOR TYPE DIRECT DEP ID CO CARGILL INCORPOR ACH ECC PPD ACH Tra</v>
      </c>
      <c r="P5558" s="2" t="s">
        <v>2281</v>
      </c>
    </row>
    <row r="5559" spans="1:16" hidden="1">
      <c r="A5559" s="2">
        <v>202109</v>
      </c>
      <c r="B5559" s="3">
        <v>44441</v>
      </c>
      <c r="C5559" s="2" t="s">
        <v>2317</v>
      </c>
      <c r="D5559" s="2" t="s">
        <v>978</v>
      </c>
      <c r="E5559" s="2">
        <v>30.07</v>
      </c>
      <c r="F5559" s="2" t="e">
        <f>IF(Table2[[#This Row],[Manual Cat Value]]="",VLOOKUP(Table2[[#This Row],[Description]],'Actuals Lookup'!D:F,3,0),Table2[[#This Row],[Manual Cat Value]])</f>
        <v>#N/A</v>
      </c>
      <c r="J5559" s="2">
        <v>30.07</v>
      </c>
      <c r="K5559" s="2" t="b">
        <v>0</v>
      </c>
      <c r="L5559" s="2"/>
      <c r="M5559" s="2"/>
      <c r="N5559" s="4" t="s">
        <v>2259</v>
      </c>
      <c r="O5559" s="4" t="str">
        <f>LEFT(Table2[[#This Row],[Description]],75)</f>
        <v>INTEL CORP</v>
      </c>
      <c r="P5559" s="2" t="s">
        <v>2422</v>
      </c>
    </row>
    <row r="5560" spans="1:16" hidden="1">
      <c r="A5560" s="2">
        <v>202109</v>
      </c>
      <c r="B5560" s="3">
        <v>44441</v>
      </c>
      <c r="C5560" s="2" t="s">
        <v>2265</v>
      </c>
      <c r="D5560" s="2" t="s">
        <v>1196</v>
      </c>
      <c r="E5560" s="2">
        <v>528.79999999999995</v>
      </c>
      <c r="F5560" s="2" t="e">
        <f>IF(Table2[[#This Row],[Manual Cat Value]]="",VLOOKUP(Table2[[#This Row],[Description]],'Actuals Lookup'!D:F,3,0),Table2[[#This Row],[Manual Cat Value]])</f>
        <v>#N/A</v>
      </c>
      <c r="J5560" s="2">
        <v>528.79999999999995</v>
      </c>
      <c r="K5560" s="2" t="b">
        <v>0</v>
      </c>
      <c r="L5560" s="2"/>
      <c r="M5560" s="2"/>
      <c r="N5560" s="4" t="s">
        <v>2259</v>
      </c>
      <c r="O5560" s="4" t="str">
        <f>LEFT(Table2[[#This Row],[Description]],75)</f>
        <v>MHCHILDCARELLC TYPE DUES ID CO M MHCHILDCARELLC TYPE DUES ID CO MHCHILDCARE</v>
      </c>
      <c r="P5560" s="2" t="s">
        <v>2497</v>
      </c>
    </row>
    <row r="5561" spans="1:16" hidden="1">
      <c r="A5561" s="2">
        <v>202109</v>
      </c>
      <c r="B5561" s="3">
        <v>44441</v>
      </c>
      <c r="C5561" s="2" t="s">
        <v>2265</v>
      </c>
      <c r="D5561" s="2" t="s">
        <v>1648</v>
      </c>
      <c r="E5561" s="2">
        <v>375</v>
      </c>
      <c r="F5561" s="2" t="e">
        <f>IF(Table2[[#This Row],[Manual Cat Value]]="",VLOOKUP(Table2[[#This Row],[Description]],'Actuals Lookup'!D:F,3,0),Table2[[#This Row],[Manual Cat Value]])</f>
        <v>#N/A</v>
      </c>
      <c r="J5561" s="2">
        <v>-375</v>
      </c>
      <c r="K5561" s="2" t="b">
        <v>0</v>
      </c>
      <c r="L5561" s="2"/>
      <c r="M5561" s="2"/>
      <c r="N5561" s="4" t="s">
        <v>2273</v>
      </c>
      <c r="O5561" s="4" t="str">
        <f>LEFT(Table2[[#This Row],[Description]],75)</f>
        <v>Share</v>
      </c>
      <c r="P5561" s="2" t="s">
        <v>2448</v>
      </c>
    </row>
    <row r="5562" spans="1:16" hidden="1">
      <c r="A5562" s="2">
        <v>202109</v>
      </c>
      <c r="B5562" s="3">
        <v>44441</v>
      </c>
      <c r="C5562" s="2" t="s">
        <v>2305</v>
      </c>
      <c r="D5562" s="2" t="s">
        <v>1905</v>
      </c>
      <c r="E5562" s="2">
        <v>375</v>
      </c>
      <c r="F5562" s="2" t="e">
        <f>IF(Table2[[#This Row],[Manual Cat Value]]="",VLOOKUP(Table2[[#This Row],[Description]],'Actuals Lookup'!D:F,3,0),Table2[[#This Row],[Manual Cat Value]])</f>
        <v>#N/A</v>
      </c>
      <c r="J5562" s="2">
        <v>375</v>
      </c>
      <c r="K5562" s="2" t="b">
        <v>0</v>
      </c>
      <c r="L5562" s="2"/>
      <c r="M5562" s="2"/>
      <c r="N5562" s="4" t="s">
        <v>2259</v>
      </c>
      <c r="O5562" s="4" t="str">
        <f>LEFT(Table2[[#This Row],[Description]],75)</f>
        <v>To Share 70</v>
      </c>
      <c r="P5562" s="2" t="s">
        <v>2281</v>
      </c>
    </row>
    <row r="5563" spans="1:16" hidden="1">
      <c r="A5563" s="2">
        <v>202109</v>
      </c>
      <c r="B5563" s="3">
        <v>44441</v>
      </c>
      <c r="C5563" s="2" t="s">
        <v>2317</v>
      </c>
      <c r="D5563" s="2" t="s">
        <v>2130</v>
      </c>
      <c r="E5563" s="2">
        <v>27.05</v>
      </c>
      <c r="F5563" s="2" t="e">
        <f>IF(Table2[[#This Row],[Manual Cat Value]]="",VLOOKUP(Table2[[#This Row],[Description]],'Actuals Lookup'!D:F,3,0),Table2[[#This Row],[Manual Cat Value]])</f>
        <v>#N/A</v>
      </c>
      <c r="J5563" s="2">
        <v>27.05</v>
      </c>
      <c r="K5563" s="2" t="b">
        <v>0</v>
      </c>
      <c r="L5563" s="2"/>
      <c r="M5563" s="2"/>
      <c r="N5563" s="4" t="s">
        <v>2259</v>
      </c>
      <c r="O5563" s="4" t="str">
        <f>LEFT(Table2[[#This Row],[Description]],75)</f>
        <v>VISA INC CLASS A</v>
      </c>
      <c r="P5563" s="2" t="s">
        <v>2423</v>
      </c>
    </row>
    <row r="5564" spans="1:16" hidden="1">
      <c r="A5564" s="2">
        <v>202109</v>
      </c>
      <c r="B5564" s="3">
        <v>44442</v>
      </c>
      <c r="C5564" s="2" t="s">
        <v>2317</v>
      </c>
      <c r="D5564" s="2" t="s">
        <v>424</v>
      </c>
      <c r="E5564" s="2">
        <v>-200</v>
      </c>
      <c r="F5564" s="2" t="e">
        <f>IF(Table2[[#This Row],[Manual Cat Value]]="",VLOOKUP(Table2[[#This Row],[Description]],'Actuals Lookup'!D:F,3,0),Table2[[#This Row],[Manual Cat Value]])</f>
        <v>#N/A</v>
      </c>
      <c r="J5564" s="2">
        <v>200</v>
      </c>
      <c r="K5564" s="2" t="b">
        <v>0</v>
      </c>
      <c r="L5564" s="2"/>
      <c r="M5564" s="2"/>
      <c r="N5564" s="4" t="s">
        <v>2273</v>
      </c>
      <c r="O5564" s="4" t="str">
        <f>LEFT(Table2[[#This Row],[Description]],75)</f>
        <v>CARGILL INCORPOR</v>
      </c>
      <c r="P5564" s="2" t="s">
        <v>2385</v>
      </c>
    </row>
    <row r="5565" spans="1:16" hidden="1">
      <c r="A5565" s="2">
        <v>202109</v>
      </c>
      <c r="B5565" s="3">
        <v>44442</v>
      </c>
      <c r="C5565" s="2" t="s">
        <v>2262</v>
      </c>
      <c r="D5565" s="2" t="s">
        <v>855</v>
      </c>
      <c r="E5565" s="2">
        <v>230</v>
      </c>
      <c r="F5565" s="2" t="e">
        <f>IF(Table2[[#This Row],[Manual Cat Value]]="",VLOOKUP(Table2[[#This Row],[Description]],'Actuals Lookup'!D:F,3,0),Table2[[#This Row],[Manual Cat Value]])</f>
        <v>#N/A</v>
      </c>
      <c r="J5565" s="2">
        <v>230</v>
      </c>
      <c r="K5565" s="2" t="b">
        <v>0</v>
      </c>
      <c r="L5565" s="2"/>
      <c r="M5565" s="2"/>
      <c r="N5565" s="4" t="s">
        <v>2259</v>
      </c>
      <c r="O5565" s="4" t="str">
        <f>LEFT(Table2[[#This Row],[Description]],75)</f>
        <v>Free People</v>
      </c>
      <c r="P5565" s="2" t="s">
        <v>2281</v>
      </c>
    </row>
    <row r="5566" spans="1:16" hidden="1">
      <c r="A5566" s="2">
        <v>202109</v>
      </c>
      <c r="B5566" s="3">
        <v>44442</v>
      </c>
      <c r="C5566" s="2" t="s">
        <v>2262</v>
      </c>
      <c r="D5566" s="2" t="s">
        <v>924</v>
      </c>
      <c r="E5566" s="2">
        <v>18</v>
      </c>
      <c r="F5566" s="2" t="e">
        <f>IF(Table2[[#This Row],[Manual Cat Value]]="",VLOOKUP(Table2[[#This Row],[Description]],'Actuals Lookup'!D:F,3,0),Table2[[#This Row],[Manual Cat Value]])</f>
        <v>#N/A</v>
      </c>
      <c r="J5566" s="2">
        <v>18</v>
      </c>
      <c r="K5566" s="2" t="b">
        <v>0</v>
      </c>
      <c r="L5566" s="2"/>
      <c r="M5566" s="2"/>
      <c r="N5566" s="4" t="s">
        <v>2259</v>
      </c>
      <c r="O5566" s="4" t="str">
        <f>LEFT(Table2[[#This Row],[Description]],75)</f>
        <v>HBRSUBSCRIPTION 8009880886 MA</v>
      </c>
      <c r="P5566" s="2" t="s">
        <v>2564</v>
      </c>
    </row>
    <row r="5567" spans="1:16" hidden="1">
      <c r="A5567" s="2">
        <v>202109</v>
      </c>
      <c r="B5567" s="3">
        <v>44442</v>
      </c>
      <c r="C5567" s="2" t="s">
        <v>2262</v>
      </c>
      <c r="D5567" s="2" t="s">
        <v>1184</v>
      </c>
      <c r="E5567" s="2">
        <v>42.62</v>
      </c>
      <c r="F5567" s="2" t="e">
        <f>IF(Table2[[#This Row],[Manual Cat Value]]="",VLOOKUP(Table2[[#This Row],[Description]],'Actuals Lookup'!D:F,3,0),Table2[[#This Row],[Manual Cat Value]])</f>
        <v>#N/A</v>
      </c>
      <c r="J5567" s="2">
        <v>42.62</v>
      </c>
      <c r="K5567" s="2" t="b">
        <v>0</v>
      </c>
      <c r="L5567" s="2"/>
      <c r="M5567" s="2"/>
      <c r="N5567" s="4" t="s">
        <v>2259</v>
      </c>
      <c r="O5567" s="4" t="str">
        <f>LEFT(Table2[[#This Row],[Description]],75)</f>
        <v>Maynard's</v>
      </c>
      <c r="P5567" s="2" t="s">
        <v>2504</v>
      </c>
    </row>
    <row r="5568" spans="1:16" hidden="1">
      <c r="A5568" s="2">
        <v>202109</v>
      </c>
      <c r="B5568" s="3">
        <v>44442</v>
      </c>
      <c r="C5568" s="2" t="s">
        <v>2262</v>
      </c>
      <c r="D5568" s="2" t="s">
        <v>1353</v>
      </c>
      <c r="E5568" s="2">
        <v>24.64</v>
      </c>
      <c r="F5568" s="2" t="str">
        <f>IF(Table2[[#This Row],[Manual Cat Value]]="",VLOOKUP(Table2[[#This Row],[Description]],'Actuals Lookup'!D:F,3,0),Table2[[#This Row],[Manual Cat Value]])</f>
        <v>Restaurants</v>
      </c>
      <c r="J5568" s="2">
        <v>24.64</v>
      </c>
      <c r="K5568" s="2" t="b">
        <v>0</v>
      </c>
      <c r="L5568" s="2"/>
      <c r="M5568" s="2"/>
      <c r="N5568" s="4" t="s">
        <v>2259</v>
      </c>
      <c r="O5568" s="4" t="str">
        <f>LEFT(Table2[[#This Row],[Description]],75)</f>
        <v>Noodles &amp; Company</v>
      </c>
      <c r="P5568" s="2" t="s">
        <v>2337</v>
      </c>
    </row>
    <row r="5569" spans="1:16" hidden="1">
      <c r="A5569" s="2">
        <v>202109</v>
      </c>
      <c r="B5569" s="3">
        <v>44442</v>
      </c>
      <c r="C5569" s="2" t="s">
        <v>2265</v>
      </c>
      <c r="D5569" s="2" t="s">
        <v>1471</v>
      </c>
      <c r="E5569" s="2">
        <v>99</v>
      </c>
      <c r="F5569" s="2" t="str">
        <f>IF(Table2[[#This Row],[Manual Cat Value]]="",VLOOKUP(Table2[[#This Row],[Description]],'Actuals Lookup'!D:F,3,0),Table2[[#This Row],[Manual Cat Value]])</f>
        <v>Shopping</v>
      </c>
      <c r="J5569" s="2">
        <v>99</v>
      </c>
      <c r="K5569" s="2" t="b">
        <v>0</v>
      </c>
      <c r="L5569" s="2"/>
      <c r="M5569" s="2"/>
      <c r="N5569" s="4" t="s">
        <v>2259</v>
      </c>
      <c r="O5569" s="4" t="str">
        <f>LEFT(Table2[[#This Row],[Description]],75)</f>
        <v>PayPal</v>
      </c>
      <c r="P5569" s="2" t="s">
        <v>2322</v>
      </c>
    </row>
    <row r="5570" spans="1:16" hidden="1">
      <c r="A5570" s="2">
        <v>202109</v>
      </c>
      <c r="B5570" s="3">
        <v>44442</v>
      </c>
      <c r="C5570" s="2" t="s">
        <v>2434</v>
      </c>
      <c r="D5570" s="2" t="s">
        <v>1835</v>
      </c>
      <c r="E5570" s="2">
        <v>-231</v>
      </c>
      <c r="F5570" s="2" t="e">
        <f>IF(Table2[[#This Row],[Manual Cat Value]]="",VLOOKUP(Table2[[#This Row],[Description]],'Actuals Lookup'!D:F,3,0),Table2[[#This Row],[Manual Cat Value]])</f>
        <v>#N/A</v>
      </c>
      <c r="J5570" s="2">
        <v>231</v>
      </c>
      <c r="K5570" s="2" t="b">
        <v>0</v>
      </c>
      <c r="L5570" s="2"/>
      <c r="M5570" s="2"/>
      <c r="N5570" s="4" t="s">
        <v>2273</v>
      </c>
      <c r="O5570" s="4" t="str">
        <f>LEFT(Table2[[#This Row],[Description]],75)</f>
        <v>Tfr JPMORGAN CHASE BAN, CARGILL INCORPOR</v>
      </c>
      <c r="P5570" s="2" t="s">
        <v>2281</v>
      </c>
    </row>
    <row r="5571" spans="1:16" hidden="1">
      <c r="A5571" s="2">
        <v>202109</v>
      </c>
      <c r="B5571" s="3">
        <v>44442</v>
      </c>
      <c r="C5571" s="2" t="s">
        <v>2265</v>
      </c>
      <c r="D5571" s="2" t="s">
        <v>2109</v>
      </c>
      <c r="E5571" s="2">
        <v>81.099999999999994</v>
      </c>
      <c r="F5571" s="2" t="str">
        <f>IF(Table2[[#This Row],[Manual Cat Value]]="",VLOOKUP(Table2[[#This Row],[Description]],'Actuals Lookup'!D:F,3,0),Table2[[#This Row],[Manual Cat Value]])</f>
        <v>Shopping</v>
      </c>
      <c r="J5571" s="2">
        <v>81.099999999999994</v>
      </c>
      <c r="K5571" s="2" t="b">
        <v>0</v>
      </c>
      <c r="L5571" s="2"/>
      <c r="M5571" s="2"/>
      <c r="N5571" s="4" t="s">
        <v>2259</v>
      </c>
      <c r="O5571" s="4" t="str">
        <f>LEFT(Table2[[#This Row],[Description]],75)</f>
        <v>Venmo</v>
      </c>
      <c r="P5571" s="2" t="s">
        <v>2281</v>
      </c>
    </row>
    <row r="5572" spans="1:16" hidden="1">
      <c r="A5572" s="2">
        <v>202109</v>
      </c>
      <c r="B5572" s="3">
        <v>44444</v>
      </c>
      <c r="C5572" s="2" t="s">
        <v>2262</v>
      </c>
      <c r="D5572" s="2" t="s">
        <v>1156</v>
      </c>
      <c r="E5572" s="2">
        <v>60.56</v>
      </c>
      <c r="F5572" s="2" t="e">
        <f>IF(Table2[[#This Row],[Manual Cat Value]]="",VLOOKUP(Table2[[#This Row],[Description]],'Actuals Lookup'!D:F,3,0),Table2[[#This Row],[Manual Cat Value]])</f>
        <v>#N/A</v>
      </c>
      <c r="J5572" s="2">
        <v>60.56</v>
      </c>
      <c r="K5572" s="2" t="b">
        <v>0</v>
      </c>
      <c r="L5572" s="2"/>
      <c r="M5572" s="2"/>
      <c r="N5572" s="4" t="s">
        <v>2259</v>
      </c>
      <c r="O5572" s="4" t="str">
        <f>LEFT(Table2[[#This Row],[Description]],75)</f>
        <v>Lucky</v>
      </c>
      <c r="P5572" s="2" t="s">
        <v>2281</v>
      </c>
    </row>
    <row r="5573" spans="1:16" hidden="1">
      <c r="A5573" s="2">
        <v>202109</v>
      </c>
      <c r="B5573" s="3">
        <v>44444</v>
      </c>
      <c r="C5573" s="2" t="s">
        <v>2262</v>
      </c>
      <c r="D5573" s="2" t="s">
        <v>1569</v>
      </c>
      <c r="E5573" s="2">
        <v>474.75</v>
      </c>
      <c r="F5573" s="2" t="e">
        <f>IF(Table2[[#This Row],[Manual Cat Value]]="",VLOOKUP(Table2[[#This Row],[Description]],'Actuals Lookup'!D:F,3,0),Table2[[#This Row],[Manual Cat Value]])</f>
        <v>#N/A</v>
      </c>
      <c r="J5573" s="2">
        <v>474.75</v>
      </c>
      <c r="K5573" s="2" t="b">
        <v>0</v>
      </c>
      <c r="L5573" s="2"/>
      <c r="M5573" s="2"/>
      <c r="N5573" s="4" t="s">
        <v>2259</v>
      </c>
      <c r="O5573" s="4" t="str">
        <f>LEFT(Table2[[#This Row],[Description]],75)</f>
        <v>Reed's</v>
      </c>
      <c r="P5573" s="2" t="s">
        <v>2281</v>
      </c>
    </row>
    <row r="5574" spans="1:16" hidden="1">
      <c r="A5574" s="2">
        <v>202109</v>
      </c>
      <c r="B5574" s="3">
        <v>44445</v>
      </c>
      <c r="C5574" s="2" t="s">
        <v>2262</v>
      </c>
      <c r="D5574" s="2" t="s">
        <v>1569</v>
      </c>
      <c r="E5574" s="2">
        <v>23.6</v>
      </c>
      <c r="F5574" s="2" t="e">
        <f>IF(Table2[[#This Row],[Manual Cat Value]]="",VLOOKUP(Table2[[#This Row],[Description]],'Actuals Lookup'!D:F,3,0),Table2[[#This Row],[Manual Cat Value]])</f>
        <v>#N/A</v>
      </c>
      <c r="J5574" s="2">
        <v>23.6</v>
      </c>
      <c r="K5574" s="2" t="b">
        <v>0</v>
      </c>
      <c r="L5574" s="2"/>
      <c r="M5574" s="2"/>
      <c r="N5574" s="4" t="s">
        <v>2259</v>
      </c>
      <c r="O5574" s="4" t="str">
        <f>LEFT(Table2[[#This Row],[Description]],75)</f>
        <v>Reed's</v>
      </c>
      <c r="P5574" s="2" t="s">
        <v>2281</v>
      </c>
    </row>
    <row r="5575" spans="1:16" hidden="1">
      <c r="A5575" s="2">
        <v>202109</v>
      </c>
      <c r="B5575" s="3">
        <v>44445</v>
      </c>
      <c r="C5575" s="2" t="s">
        <v>2262</v>
      </c>
      <c r="D5575" s="2" t="s">
        <v>1570</v>
      </c>
      <c r="E5575" s="2">
        <v>100</v>
      </c>
      <c r="F5575" s="2" t="e">
        <f>IF(Table2[[#This Row],[Manual Cat Value]]="",VLOOKUP(Table2[[#This Row],[Description]],'Actuals Lookup'!D:F,3,0),Table2[[#This Row],[Manual Cat Value]])</f>
        <v>#N/A</v>
      </c>
      <c r="J5575" s="2">
        <v>-100</v>
      </c>
      <c r="K5575" s="2" t="b">
        <v>0</v>
      </c>
      <c r="L5575" s="2"/>
      <c r="M5575" s="2"/>
      <c r="N5575" s="4" t="s">
        <v>2273</v>
      </c>
      <c r="O5575" s="4" t="str">
        <f>LEFT(Table2[[#This Row],[Description]],75)</f>
        <v>Reeds Sunnyside Marine</v>
      </c>
      <c r="P5575" s="2" t="s">
        <v>2281</v>
      </c>
    </row>
    <row r="5576" spans="1:16" hidden="1">
      <c r="A5576" s="2">
        <v>202109</v>
      </c>
      <c r="B5576" s="3">
        <v>44445</v>
      </c>
      <c r="C5576" s="2" t="s">
        <v>2262</v>
      </c>
      <c r="D5576" s="2" t="s">
        <v>2044</v>
      </c>
      <c r="E5576" s="2">
        <v>68.14</v>
      </c>
      <c r="F5576" s="2" t="e">
        <f>IF(Table2[[#This Row],[Manual Cat Value]]="",VLOOKUP(Table2[[#This Row],[Description]],'Actuals Lookup'!D:F,3,0),Table2[[#This Row],[Manual Cat Value]])</f>
        <v>#N/A</v>
      </c>
      <c r="J5576" s="2">
        <v>68.14</v>
      </c>
      <c r="K5576" s="2" t="b">
        <v>0</v>
      </c>
      <c r="L5576" s="2"/>
      <c r="M5576" s="2"/>
      <c r="N5576" s="4" t="s">
        <v>2259</v>
      </c>
      <c r="O5576" s="4" t="str">
        <f>LEFT(Table2[[#This Row],[Description]],75)</f>
        <v>TST SUNSETS AT PARADISE BALSAM LAKE WI</v>
      </c>
      <c r="P5576" s="2" t="s">
        <v>2281</v>
      </c>
    </row>
    <row r="5577" spans="1:16" hidden="1">
      <c r="A5577" s="2">
        <v>202109</v>
      </c>
      <c r="B5577" s="3">
        <v>44446</v>
      </c>
      <c r="C5577" s="2" t="s">
        <v>2262</v>
      </c>
      <c r="D5577" s="2" t="s">
        <v>674</v>
      </c>
      <c r="E5577" s="2">
        <v>877.31</v>
      </c>
      <c r="F5577" s="2" t="e">
        <f>IF(Table2[[#This Row],[Manual Cat Value]]="",VLOOKUP(Table2[[#This Row],[Description]],'Actuals Lookup'!D:F,3,0),Table2[[#This Row],[Manual Cat Value]])</f>
        <v>#N/A</v>
      </c>
      <c r="J5577" s="2">
        <v>-877.31</v>
      </c>
      <c r="K5577" s="2" t="b">
        <v>0</v>
      </c>
      <c r="L5577" s="2"/>
      <c r="M5577" s="2"/>
      <c r="N5577" s="4" t="s">
        <v>2273</v>
      </c>
      <c r="O5577" s="4" t="str">
        <f>LEFT(Table2[[#This Row],[Description]],75)</f>
        <v>Credit Card Payment Received PAYMENT THANK YOU</v>
      </c>
      <c r="P5577" s="2" t="s">
        <v>2560</v>
      </c>
    </row>
    <row r="5578" spans="1:16" hidden="1">
      <c r="A5578" s="2">
        <v>202109</v>
      </c>
      <c r="B5578" s="3">
        <v>44446</v>
      </c>
      <c r="C5578" s="2" t="s">
        <v>2265</v>
      </c>
      <c r="D5578" s="2" t="s">
        <v>2203</v>
      </c>
      <c r="E5578" s="2">
        <v>877.31</v>
      </c>
      <c r="F5578" s="2" t="e">
        <f>IF(Table2[[#This Row],[Manual Cat Value]]="",VLOOKUP(Table2[[#This Row],[Description]],'Actuals Lookup'!D:F,3,0),Table2[[#This Row],[Manual Cat Value]])</f>
        <v>#N/A</v>
      </c>
      <c r="J5578" s="2">
        <v>877.31</v>
      </c>
      <c r="K5578" s="2" t="b">
        <v>0</v>
      </c>
      <c r="L5578" s="2"/>
      <c r="M5578" s="2"/>
      <c r="N5578" s="4" t="s">
        <v>2259</v>
      </c>
      <c r="O5578" s="4" t="str">
        <f>LEFT(Table2[[#This Row],[Description]],75)</f>
        <v>Withdrawal Home payment to card XX91 Withdrawal Home payment to card 979181</v>
      </c>
      <c r="P5578" s="2" t="s">
        <v>2559</v>
      </c>
    </row>
    <row r="5579" spans="1:16" hidden="1">
      <c r="A5579" s="2">
        <v>202109</v>
      </c>
      <c r="B5579" s="3">
        <v>44446</v>
      </c>
      <c r="C5579" s="2" t="s">
        <v>2338</v>
      </c>
      <c r="D5579" s="2" t="s">
        <v>402</v>
      </c>
      <c r="E5579" s="2">
        <v>-48.81</v>
      </c>
      <c r="F5579" s="2" t="e">
        <f>IF(Table2[[#This Row],[Manual Cat Value]]="",VLOOKUP(Table2[[#This Row],[Description]],'Actuals Lookup'!D:F,3,0),Table2[[#This Row],[Manual Cat Value]])</f>
        <v>#N/A</v>
      </c>
      <c r="J5579" s="2">
        <v>48.81</v>
      </c>
      <c r="K5579" s="2" t="b">
        <v>0</v>
      </c>
      <c r="L5579" s="2"/>
      <c r="M5579" s="2"/>
      <c r="N5579" s="4" t="s">
        <v>2273</v>
      </c>
      <c r="O5579" s="4" t="str">
        <f>LEFT(Table2[[#This Row],[Description]],75)</f>
        <v>Cargill ESOP Stock Fund - Dividends Transferred In</v>
      </c>
      <c r="P5579" s="2" t="s">
        <v>2281</v>
      </c>
    </row>
    <row r="5580" spans="1:16" hidden="1">
      <c r="A5580" s="2">
        <v>202109</v>
      </c>
      <c r="B5580" s="3">
        <v>44446</v>
      </c>
      <c r="C5580" s="2" t="s">
        <v>2338</v>
      </c>
      <c r="D5580" s="2" t="s">
        <v>439</v>
      </c>
      <c r="E5580" s="2">
        <v>-48.81</v>
      </c>
      <c r="F5580" s="2" t="e">
        <f>IF(Table2[[#This Row],[Manual Cat Value]]="",VLOOKUP(Table2[[#This Row],[Description]],'Actuals Lookup'!D:F,3,0),Table2[[#This Row],[Manual Cat Value]])</f>
        <v>#N/A</v>
      </c>
      <c r="J5580" s="2">
        <v>48.81</v>
      </c>
      <c r="K5580" s="2" t="b">
        <v>0</v>
      </c>
      <c r="L5580" s="2"/>
      <c r="M5580" s="2"/>
      <c r="N5580" s="4" t="s">
        <v>2273</v>
      </c>
      <c r="O5580" s="4" t="str">
        <f>LEFT(Table2[[#This Row],[Description]],75)</f>
        <v>Cargill Passthru Div - Dividends on Equity Investments</v>
      </c>
      <c r="P5580" s="2" t="s">
        <v>2281</v>
      </c>
    </row>
    <row r="5581" spans="1:16" hidden="1">
      <c r="A5581" s="2">
        <v>202109</v>
      </c>
      <c r="B5581" s="3">
        <v>44446</v>
      </c>
      <c r="C5581" s="2" t="s">
        <v>2338</v>
      </c>
      <c r="D5581" s="2" t="s">
        <v>440</v>
      </c>
      <c r="E5581" s="2">
        <v>-48.81</v>
      </c>
      <c r="F5581" s="2" t="e">
        <f>IF(Table2[[#This Row],[Manual Cat Value]]="",VLOOKUP(Table2[[#This Row],[Description]],'Actuals Lookup'!D:F,3,0),Table2[[#This Row],[Manual Cat Value]])</f>
        <v>#N/A</v>
      </c>
      <c r="J5581" s="2">
        <v>48.81</v>
      </c>
      <c r="K5581" s="2" t="b">
        <v>0</v>
      </c>
      <c r="L5581" s="2"/>
      <c r="M5581" s="2"/>
      <c r="N5581" s="4" t="s">
        <v>2273</v>
      </c>
      <c r="O5581" s="4" t="str">
        <f>LEFT(Table2[[#This Row],[Description]],75)</f>
        <v>Cargill Passthru Div - Dividends Transferred Out</v>
      </c>
      <c r="P5581" s="2" t="s">
        <v>2281</v>
      </c>
    </row>
    <row r="5582" spans="1:16" hidden="1">
      <c r="A5582" s="2">
        <v>202109</v>
      </c>
      <c r="B5582" s="3">
        <v>44446</v>
      </c>
      <c r="C5582" s="2" t="s">
        <v>2265</v>
      </c>
      <c r="D5582" s="2" t="s">
        <v>520</v>
      </c>
      <c r="E5582" s="2">
        <v>15015.54</v>
      </c>
      <c r="F5582" s="2" t="e">
        <f>IF(Table2[[#This Row],[Manual Cat Value]]="",VLOOKUP(Table2[[#This Row],[Description]],'Actuals Lookup'!D:F,3,0),Table2[[#This Row],[Manual Cat Value]])</f>
        <v>#N/A</v>
      </c>
      <c r="J5582" s="2">
        <v>15015.54</v>
      </c>
      <c r="K5582" s="2" t="b">
        <v>0</v>
      </c>
      <c r="L5582" s="2"/>
      <c r="M5582" s="2"/>
      <c r="N5582" s="4" t="s">
        <v>2259</v>
      </c>
      <c r="O5582" s="4" t="str">
        <f>LEFT(Table2[[#This Row],[Description]],75)</f>
        <v>CHECK 2100 2100</v>
      </c>
      <c r="P5582" s="2" t="s">
        <v>2281</v>
      </c>
    </row>
    <row r="5583" spans="1:16" hidden="1">
      <c r="A5583" s="2">
        <v>202109</v>
      </c>
      <c r="B5583" s="3">
        <v>44446</v>
      </c>
      <c r="C5583" s="2" t="s">
        <v>2265</v>
      </c>
      <c r="D5583" s="2" t="s">
        <v>1471</v>
      </c>
      <c r="E5583" s="2">
        <v>10</v>
      </c>
      <c r="F5583" s="2" t="str">
        <f>IF(Table2[[#This Row],[Manual Cat Value]]="",VLOOKUP(Table2[[#This Row],[Description]],'Actuals Lookup'!D:F,3,0),Table2[[#This Row],[Manual Cat Value]])</f>
        <v>Shopping</v>
      </c>
      <c r="J5583" s="2">
        <v>10</v>
      </c>
      <c r="K5583" s="2" t="b">
        <v>0</v>
      </c>
      <c r="L5583" s="2"/>
      <c r="M5583" s="2"/>
      <c r="N5583" s="4" t="s">
        <v>2259</v>
      </c>
      <c r="O5583" s="4" t="str">
        <f>LEFT(Table2[[#This Row],[Description]],75)</f>
        <v>PayPal</v>
      </c>
      <c r="P5583" s="2" t="s">
        <v>2322</v>
      </c>
    </row>
    <row r="5584" spans="1:16" hidden="1">
      <c r="A5584" s="2">
        <v>202109</v>
      </c>
      <c r="B5584" s="3">
        <v>44447</v>
      </c>
      <c r="C5584" s="2" t="s">
        <v>2265</v>
      </c>
      <c r="D5584" s="2" t="s">
        <v>1196</v>
      </c>
      <c r="E5584" s="2">
        <v>528.79999999999995</v>
      </c>
      <c r="F5584" s="2" t="e">
        <f>IF(Table2[[#This Row],[Manual Cat Value]]="",VLOOKUP(Table2[[#This Row],[Description]],'Actuals Lookup'!D:F,3,0),Table2[[#This Row],[Manual Cat Value]])</f>
        <v>#N/A</v>
      </c>
      <c r="J5584" s="2">
        <v>528.79999999999995</v>
      </c>
      <c r="K5584" s="2" t="b">
        <v>0</v>
      </c>
      <c r="L5584" s="2"/>
      <c r="M5584" s="2"/>
      <c r="N5584" s="4" t="s">
        <v>2259</v>
      </c>
      <c r="O5584" s="4" t="str">
        <f>LEFT(Table2[[#This Row],[Description]],75)</f>
        <v>MHCHILDCARELLC TYPE DUES ID CO M MHCHILDCARELLC TYPE DUES ID CO MHCHILDCARE</v>
      </c>
      <c r="P5584" s="2" t="s">
        <v>2497</v>
      </c>
    </row>
    <row r="5585" spans="1:16" hidden="1">
      <c r="A5585" s="2">
        <v>202109</v>
      </c>
      <c r="B5585" s="3">
        <v>44447</v>
      </c>
      <c r="C5585" s="2" t="s">
        <v>2317</v>
      </c>
      <c r="D5585" s="2" t="s">
        <v>1629</v>
      </c>
      <c r="E5585" s="2">
        <v>-0.88</v>
      </c>
      <c r="F5585" s="2" t="e">
        <f>IF(Table2[[#This Row],[Manual Cat Value]]="",VLOOKUP(Table2[[#This Row],[Description]],'Actuals Lookup'!D:F,3,0),Table2[[#This Row],[Manual Cat Value]])</f>
        <v>#N/A</v>
      </c>
      <c r="J5585" s="2">
        <v>0.88</v>
      </c>
      <c r="K5585" s="2" t="b">
        <v>0</v>
      </c>
      <c r="L5585" s="2"/>
      <c r="M5585" s="2"/>
      <c r="N5585" s="4" t="s">
        <v>2273</v>
      </c>
      <c r="O5585" s="4" t="str">
        <f>LEFT(Table2[[#This Row],[Description]],75)</f>
        <v>SCHWAB INTERMEDIATE TERMUS TRS ETF</v>
      </c>
      <c r="P5585" s="2" t="s">
        <v>2385</v>
      </c>
    </row>
    <row r="5586" spans="1:16" hidden="1">
      <c r="A5586" s="2">
        <v>202109</v>
      </c>
      <c r="B5586" s="3">
        <v>44447</v>
      </c>
      <c r="C5586" s="2" t="s">
        <v>2317</v>
      </c>
      <c r="D5586" s="2" t="s">
        <v>1635</v>
      </c>
      <c r="E5586" s="2">
        <v>200</v>
      </c>
      <c r="F5586" s="2" t="e">
        <f>IF(Table2[[#This Row],[Manual Cat Value]]="",VLOOKUP(Table2[[#This Row],[Description]],'Actuals Lookup'!D:F,3,0),Table2[[#This Row],[Manual Cat Value]])</f>
        <v>#N/A</v>
      </c>
      <c r="J5586" s="2">
        <v>200</v>
      </c>
      <c r="K5586" s="2" t="b">
        <v>0</v>
      </c>
      <c r="L5586" s="2"/>
      <c r="M5586" s="2"/>
      <c r="N5586" s="4" t="s">
        <v>2259</v>
      </c>
      <c r="O5586" s="4" t="str">
        <f>LEFT(Table2[[#This Row],[Description]],75)</f>
        <v>SCHWAB TOTAL STOCK MKT INDEX</v>
      </c>
      <c r="P5586" s="2" t="s">
        <v>2278</v>
      </c>
    </row>
    <row r="5587" spans="1:16" hidden="1">
      <c r="A5587" s="2">
        <v>202109</v>
      </c>
      <c r="B5587" s="3">
        <v>44447</v>
      </c>
      <c r="C5587" s="2" t="s">
        <v>2265</v>
      </c>
      <c r="D5587" s="2" t="s">
        <v>2221</v>
      </c>
      <c r="E5587" s="2">
        <v>185.5</v>
      </c>
      <c r="F5587" s="2" t="str">
        <f>IF(Table2[[#This Row],[Manual Cat Value]]="",VLOOKUP(Table2[[#This Row],[Description]],'Actuals Lookup'!D:F,3,0),Table2[[#This Row],[Manual Cat Value]])</f>
        <v>Utilities</v>
      </c>
      <c r="J5587" s="2">
        <v>185.5</v>
      </c>
      <c r="K5587" s="2" t="b">
        <v>0</v>
      </c>
      <c r="L5587" s="2"/>
      <c r="M5587" s="2"/>
      <c r="N5587" s="4" t="s">
        <v>2259</v>
      </c>
      <c r="O5587" s="4" t="str">
        <f>LEFT(Table2[[#This Row],[Description]],75)</f>
        <v>Xcel Energy</v>
      </c>
      <c r="P5587" s="2" t="s">
        <v>2280</v>
      </c>
    </row>
    <row r="5588" spans="1:16" hidden="1">
      <c r="A5588" s="2">
        <v>202109</v>
      </c>
      <c r="B5588" s="3">
        <v>44448</v>
      </c>
      <c r="C5588" s="2" t="s">
        <v>2265</v>
      </c>
      <c r="D5588" s="2" t="s">
        <v>425</v>
      </c>
      <c r="E5588" s="2">
        <v>89.08</v>
      </c>
      <c r="F5588" s="2" t="e">
        <f>IF(Table2[[#This Row],[Manual Cat Value]]="",VLOOKUP(Table2[[#This Row],[Description]],'Actuals Lookup'!D:F,3,0),Table2[[#This Row],[Manual Cat Value]])</f>
        <v>#N/A</v>
      </c>
      <c r="J5588" s="2">
        <v>-89.08</v>
      </c>
      <c r="K5588" s="2" t="b">
        <v>0</v>
      </c>
      <c r="L5588" s="2"/>
      <c r="M5588" s="2"/>
      <c r="N5588" s="4" t="s">
        <v>2273</v>
      </c>
      <c r="O5588" s="4" t="str">
        <f>LEFT(Table2[[#This Row],[Description]],75)</f>
        <v>Cargill Incorpor Type</v>
      </c>
      <c r="P5588" s="2" t="s">
        <v>2282</v>
      </c>
    </row>
    <row r="5589" spans="1:16" hidden="1">
      <c r="A5589" s="2">
        <v>202109</v>
      </c>
      <c r="B5589" s="3">
        <v>44448</v>
      </c>
      <c r="C5589" s="2" t="s">
        <v>2317</v>
      </c>
      <c r="D5589" s="2" t="s">
        <v>1553</v>
      </c>
      <c r="E5589" s="2">
        <v>-76.48</v>
      </c>
      <c r="F5589" s="2" t="e">
        <f>IF(Table2[[#This Row],[Manual Cat Value]]="",VLOOKUP(Table2[[#This Row],[Description]],'Actuals Lookup'!D:F,3,0),Table2[[#This Row],[Manual Cat Value]])</f>
        <v>#N/A</v>
      </c>
      <c r="J5589" s="2">
        <v>76.48</v>
      </c>
      <c r="K5589" s="2" t="b">
        <v>0</v>
      </c>
      <c r="L5589" s="2"/>
      <c r="M5589" s="2"/>
      <c r="N5589" s="4" t="s">
        <v>2273</v>
      </c>
      <c r="O5589" s="4" t="str">
        <f>LEFT(Table2[[#This Row],[Description]],75)</f>
        <v>RAYTHEON TECHNOLOGIES CO</v>
      </c>
      <c r="P5589" s="2" t="s">
        <v>2385</v>
      </c>
    </row>
    <row r="5590" spans="1:16" hidden="1">
      <c r="A5590" s="2">
        <v>202109</v>
      </c>
      <c r="B5590" s="3">
        <v>44448</v>
      </c>
      <c r="C5590" s="2" t="s">
        <v>2265</v>
      </c>
      <c r="D5590" s="2" t="s">
        <v>1944</v>
      </c>
      <c r="E5590" s="2">
        <v>4.43</v>
      </c>
      <c r="F5590" s="2" t="e">
        <f>IF(Table2[[#This Row],[Manual Cat Value]]="",VLOOKUP(Table2[[#This Row],[Description]],'Actuals Lookup'!D:F,3,0),Table2[[#This Row],[Manual Cat Value]])</f>
        <v>#N/A</v>
      </c>
      <c r="J5590" s="2">
        <v>-4.43</v>
      </c>
      <c r="K5590" s="2" t="b">
        <v>0</v>
      </c>
      <c r="L5590" s="2"/>
      <c r="M5590" s="2"/>
      <c r="N5590" s="4" t="s">
        <v>2273</v>
      </c>
      <c r="O5590" s="4" t="str">
        <f>LEFT(Table2[[#This Row],[Description]],75)</f>
        <v>Transfer from PayPal PAYPAL TYPE TRANSFER ID PAYPALSD11 CO PAYPAL ACH ECC P</v>
      </c>
      <c r="P5590" s="2" t="s">
        <v>2322</v>
      </c>
    </row>
    <row r="5591" spans="1:16" hidden="1">
      <c r="A5591" s="2">
        <v>202109</v>
      </c>
      <c r="B5591" s="3">
        <v>44449</v>
      </c>
      <c r="C5591" s="2" t="s">
        <v>2262</v>
      </c>
      <c r="D5591" s="2" t="s">
        <v>187</v>
      </c>
      <c r="E5591" s="2">
        <v>122.38</v>
      </c>
      <c r="F5591" s="2" t="e">
        <f>IF(Table2[[#This Row],[Manual Cat Value]]="",VLOOKUP(Table2[[#This Row],[Description]],'Actuals Lookup'!D:F,3,0),Table2[[#This Row],[Manual Cat Value]])</f>
        <v>#N/A</v>
      </c>
      <c r="J5591" s="2">
        <v>122.38</v>
      </c>
      <c r="K5591" s="2" t="b">
        <v>0</v>
      </c>
      <c r="L5591" s="2"/>
      <c r="M5591" s="2"/>
      <c r="N5591" s="4" t="s">
        <v>2259</v>
      </c>
      <c r="O5591" s="4" t="str">
        <f>LEFT(Table2[[#This Row],[Description]],75)</f>
        <v>AVOADVOCARE INTL 8005424800 TX</v>
      </c>
      <c r="P5591" s="2" t="s">
        <v>2428</v>
      </c>
    </row>
    <row r="5592" spans="1:16" hidden="1">
      <c r="A5592" s="2">
        <v>202109</v>
      </c>
      <c r="B5592" s="3">
        <v>44449</v>
      </c>
      <c r="C5592" s="2" t="s">
        <v>2258</v>
      </c>
      <c r="D5592" s="2" t="s">
        <v>195</v>
      </c>
      <c r="E5592" s="2">
        <v>53.04</v>
      </c>
      <c r="F5592" s="2" t="e">
        <f>IF(Table2[[#This Row],[Manual Cat Value]]="",VLOOKUP(Table2[[#This Row],[Description]],'Actuals Lookup'!D:F,3,0),Table2[[#This Row],[Manual Cat Value]])</f>
        <v>#N/A</v>
      </c>
      <c r="J5592" s="2">
        <v>53.04</v>
      </c>
      <c r="K5592" s="2" t="b">
        <v>0</v>
      </c>
      <c r="L5592" s="2"/>
      <c r="M5592" s="2"/>
      <c r="N5592" s="4" t="s">
        <v>2259</v>
      </c>
      <c r="O5592" s="4" t="str">
        <f>LEFT(Table2[[#This Row],[Description]],75)</f>
        <v>B R COHN WINERY GLEN ELLEN CA</v>
      </c>
      <c r="P5592" s="2" t="s">
        <v>2281</v>
      </c>
    </row>
    <row r="5593" spans="1:16" hidden="1">
      <c r="A5593" s="2">
        <v>202109</v>
      </c>
      <c r="B5593" s="3">
        <v>44449</v>
      </c>
      <c r="C5593" s="2" t="s">
        <v>2447</v>
      </c>
      <c r="D5593" s="2" t="s">
        <v>195</v>
      </c>
      <c r="E5593" s="2">
        <v>53.04</v>
      </c>
      <c r="F5593" s="2" t="e">
        <f>IF(Table2[[#This Row],[Manual Cat Value]]="",VLOOKUP(Table2[[#This Row],[Description]],'Actuals Lookup'!D:F,3,0),Table2[[#This Row],[Manual Cat Value]])</f>
        <v>#N/A</v>
      </c>
      <c r="J5593" s="2">
        <v>53.04</v>
      </c>
      <c r="K5593" s="2" t="b">
        <v>0</v>
      </c>
      <c r="L5593" s="2"/>
      <c r="M5593" s="2"/>
      <c r="N5593" s="4" t="s">
        <v>2259</v>
      </c>
      <c r="O5593" s="4" t="str">
        <f>LEFT(Table2[[#This Row],[Description]],75)</f>
        <v>B R COHN WINERY GLEN ELLEN CA</v>
      </c>
      <c r="P5593" s="2" t="s">
        <v>2281</v>
      </c>
    </row>
    <row r="5594" spans="1:16" hidden="1">
      <c r="A5594" s="2">
        <v>202109</v>
      </c>
      <c r="B5594" s="3">
        <v>44449</v>
      </c>
      <c r="C5594" s="2" t="s">
        <v>2317</v>
      </c>
      <c r="D5594" s="2" t="s">
        <v>537</v>
      </c>
      <c r="E5594" s="2">
        <v>-62.72</v>
      </c>
      <c r="F5594" s="2" t="e">
        <f>IF(Table2[[#This Row],[Manual Cat Value]]="",VLOOKUP(Table2[[#This Row],[Description]],'Actuals Lookup'!D:F,3,0),Table2[[#This Row],[Manual Cat Value]])</f>
        <v>#N/A</v>
      </c>
      <c r="J5594" s="2">
        <v>62.72</v>
      </c>
      <c r="K5594" s="2" t="b">
        <v>0</v>
      </c>
      <c r="L5594" s="2"/>
      <c r="M5594" s="2"/>
      <c r="N5594" s="4" t="s">
        <v>2273</v>
      </c>
      <c r="O5594" s="4" t="str">
        <f>LEFT(Table2[[#This Row],[Description]],75)</f>
        <v>CHEVRON CORP</v>
      </c>
      <c r="P5594" s="2" t="s">
        <v>2430</v>
      </c>
    </row>
    <row r="5595" spans="1:16" hidden="1">
      <c r="A5595" s="2">
        <v>202109</v>
      </c>
      <c r="B5595" s="3">
        <v>44449</v>
      </c>
      <c r="C5595" s="2" t="s">
        <v>2258</v>
      </c>
      <c r="D5595" s="2" t="s">
        <v>1132</v>
      </c>
      <c r="E5595" s="2">
        <v>34.18</v>
      </c>
      <c r="F5595" s="2" t="e">
        <f>IF(Table2[[#This Row],[Manual Cat Value]]="",VLOOKUP(Table2[[#This Row],[Description]],'Actuals Lookup'!D:F,3,0),Table2[[#This Row],[Manual Cat Value]])</f>
        <v>#N/A</v>
      </c>
      <c r="J5595" s="2">
        <v>34.18</v>
      </c>
      <c r="K5595" s="2" t="b">
        <v>0</v>
      </c>
      <c r="L5595" s="2"/>
      <c r="M5595" s="2"/>
      <c r="N5595" s="4" t="s">
        <v>2259</v>
      </c>
      <c r="O5595" s="4" t="str">
        <f>LEFT(Table2[[#This Row],[Description]],75)</f>
        <v>London</v>
      </c>
      <c r="P5595" s="2" t="s">
        <v>2281</v>
      </c>
    </row>
    <row r="5596" spans="1:16" hidden="1">
      <c r="A5596" s="2">
        <v>202109</v>
      </c>
      <c r="B5596" s="3">
        <v>44449</v>
      </c>
      <c r="C5596" s="2" t="s">
        <v>2447</v>
      </c>
      <c r="D5596" s="2" t="s">
        <v>1132</v>
      </c>
      <c r="E5596" s="2">
        <v>34.18</v>
      </c>
      <c r="F5596" s="2" t="e">
        <f>IF(Table2[[#This Row],[Manual Cat Value]]="",VLOOKUP(Table2[[#This Row],[Description]],'Actuals Lookup'!D:F,3,0),Table2[[#This Row],[Manual Cat Value]])</f>
        <v>#N/A</v>
      </c>
      <c r="J5596" s="2">
        <v>34.18</v>
      </c>
      <c r="K5596" s="2" t="b">
        <v>0</v>
      </c>
      <c r="L5596" s="2"/>
      <c r="M5596" s="2"/>
      <c r="N5596" s="4" t="s">
        <v>2259</v>
      </c>
      <c r="O5596" s="4" t="str">
        <f>LEFT(Table2[[#This Row],[Description]],75)</f>
        <v>London</v>
      </c>
      <c r="P5596" s="2" t="s">
        <v>2281</v>
      </c>
    </row>
    <row r="5597" spans="1:16" hidden="1">
      <c r="A5597" s="2">
        <v>202109</v>
      </c>
      <c r="B5597" s="3">
        <v>44449</v>
      </c>
      <c r="C5597" s="2" t="s">
        <v>2317</v>
      </c>
      <c r="D5597" s="2" t="s">
        <v>1553</v>
      </c>
      <c r="E5597" s="2">
        <v>76.48</v>
      </c>
      <c r="F5597" s="2" t="e">
        <f>IF(Table2[[#This Row],[Manual Cat Value]]="",VLOOKUP(Table2[[#This Row],[Description]],'Actuals Lookup'!D:F,3,0),Table2[[#This Row],[Manual Cat Value]])</f>
        <v>#N/A</v>
      </c>
      <c r="J5597" s="2">
        <v>76.48</v>
      </c>
      <c r="K5597" s="2" t="b">
        <v>0</v>
      </c>
      <c r="L5597" s="2"/>
      <c r="M5597" s="2"/>
      <c r="N5597" s="4" t="s">
        <v>2259</v>
      </c>
      <c r="O5597" s="4" t="str">
        <f>LEFT(Table2[[#This Row],[Description]],75)</f>
        <v>RAYTHEON TECHNOLOGIES CO</v>
      </c>
      <c r="P5597" s="2" t="s">
        <v>2385</v>
      </c>
    </row>
    <row r="5598" spans="1:16" hidden="1">
      <c r="A5598" s="2">
        <v>202109</v>
      </c>
      <c r="B5598" s="3">
        <v>44449</v>
      </c>
      <c r="C5598" s="2" t="s">
        <v>2262</v>
      </c>
      <c r="D5598" s="2" t="s">
        <v>31</v>
      </c>
      <c r="E5598" s="2">
        <v>51.2</v>
      </c>
      <c r="F5598" s="2" t="str">
        <f>IF(Table2[[#This Row],[Manual Cat Value]]="",VLOOKUP(Table2[[#This Row],[Description]],'Actuals Lookup'!D:F,3,0),Table2[[#This Row],[Manual Cat Value]])</f>
        <v>Target</v>
      </c>
      <c r="J5598" s="2">
        <v>51.2</v>
      </c>
      <c r="K5598" s="2" t="b">
        <v>0</v>
      </c>
      <c r="L5598" s="2"/>
      <c r="M5598" s="2"/>
      <c r="N5598" s="4" t="s">
        <v>2259</v>
      </c>
      <c r="O5598" s="4" t="str">
        <f>LEFT(Table2[[#This Row],[Description]],75)</f>
        <v>Target</v>
      </c>
      <c r="P5598" s="2" t="s">
        <v>2309</v>
      </c>
    </row>
    <row r="5599" spans="1:16" hidden="1">
      <c r="A5599" s="2">
        <v>202109</v>
      </c>
      <c r="B5599" s="3">
        <v>44449</v>
      </c>
      <c r="C5599" s="2" t="s">
        <v>2262</v>
      </c>
      <c r="D5599" s="2" t="s">
        <v>1842</v>
      </c>
      <c r="E5599" s="2">
        <v>80.94</v>
      </c>
      <c r="F5599" s="2" t="e">
        <f>IF(Table2[[#This Row],[Manual Cat Value]]="",VLOOKUP(Table2[[#This Row],[Description]],'Actuals Lookup'!D:F,3,0),Table2[[#This Row],[Manual Cat Value]])</f>
        <v>#N/A</v>
      </c>
      <c r="J5599" s="2">
        <v>80.94</v>
      </c>
      <c r="K5599" s="2" t="b">
        <v>0</v>
      </c>
      <c r="L5599" s="2"/>
      <c r="M5599" s="2"/>
      <c r="N5599" s="4" t="s">
        <v>2259</v>
      </c>
      <c r="O5599" s="4" t="str">
        <f>LEFT(Table2[[#This Row],[Description]],75)</f>
        <v>The Chiroport</v>
      </c>
      <c r="P5599" s="2" t="s">
        <v>2281</v>
      </c>
    </row>
    <row r="5600" spans="1:16" hidden="1">
      <c r="A5600" s="2">
        <v>202109</v>
      </c>
      <c r="B5600" s="3">
        <v>44449</v>
      </c>
      <c r="C5600" s="2" t="s">
        <v>2258</v>
      </c>
      <c r="D5600" s="2" t="s">
        <v>2053</v>
      </c>
      <c r="E5600" s="2">
        <v>30.84</v>
      </c>
      <c r="F5600" s="2" t="e">
        <f>IF(Table2[[#This Row],[Manual Cat Value]]="",VLOOKUP(Table2[[#This Row],[Description]],'Actuals Lookup'!D:F,3,0),Table2[[#This Row],[Manual Cat Value]])</f>
        <v>#N/A</v>
      </c>
      <c r="J5600" s="2">
        <v>30.84</v>
      </c>
      <c r="K5600" s="2" t="b">
        <v>0</v>
      </c>
      <c r="L5600" s="2"/>
      <c r="M5600" s="2"/>
      <c r="N5600" s="4" t="s">
        <v>2259</v>
      </c>
      <c r="O5600" s="4" t="str">
        <f>LEFT(Table2[[#This Row],[Description]],75)</f>
        <v>TST* GARDEN COURT CAFE GLEN ELLEN CAAPPLE PAY ENDI</v>
      </c>
      <c r="P5600" s="2" t="s">
        <v>2281</v>
      </c>
    </row>
    <row r="5601" spans="1:16" hidden="1">
      <c r="A5601" s="2">
        <v>202109</v>
      </c>
      <c r="B5601" s="3">
        <v>44449</v>
      </c>
      <c r="C5601" s="2" t="s">
        <v>2447</v>
      </c>
      <c r="D5601" s="2" t="s">
        <v>2053</v>
      </c>
      <c r="E5601" s="2">
        <v>30.84</v>
      </c>
      <c r="F5601" s="2" t="e">
        <f>IF(Table2[[#This Row],[Manual Cat Value]]="",VLOOKUP(Table2[[#This Row],[Description]],'Actuals Lookup'!D:F,3,0),Table2[[#This Row],[Manual Cat Value]])</f>
        <v>#N/A</v>
      </c>
      <c r="J5601" s="2">
        <v>30.84</v>
      </c>
      <c r="K5601" s="2" t="b">
        <v>0</v>
      </c>
      <c r="L5601" s="2"/>
      <c r="M5601" s="2"/>
      <c r="N5601" s="4" t="s">
        <v>2259</v>
      </c>
      <c r="O5601" s="4" t="str">
        <f>LEFT(Table2[[#This Row],[Description]],75)</f>
        <v>TST* GARDEN COURT CAFE GLEN ELLEN CAAPPLE PAY ENDI</v>
      </c>
      <c r="P5601" s="2" t="s">
        <v>2281</v>
      </c>
    </row>
    <row r="5602" spans="1:16" hidden="1">
      <c r="A5602" s="2">
        <v>202109</v>
      </c>
      <c r="B5602" s="3">
        <v>44451</v>
      </c>
      <c r="C5602" s="2" t="s">
        <v>2262</v>
      </c>
      <c r="D5602" s="2" t="s">
        <v>171</v>
      </c>
      <c r="E5602" s="2">
        <v>8.6</v>
      </c>
      <c r="F5602" s="2" t="e">
        <f>IF(Table2[[#This Row],[Manual Cat Value]]="",VLOOKUP(Table2[[#This Row],[Description]],'Actuals Lookup'!D:F,3,0),Table2[[#This Row],[Manual Cat Value]])</f>
        <v>#N/A</v>
      </c>
      <c r="J5602" s="2">
        <v>8.6</v>
      </c>
      <c r="K5602" s="2" t="b">
        <v>0</v>
      </c>
      <c r="L5602" s="2"/>
      <c r="M5602" s="2"/>
      <c r="N5602" s="4" t="s">
        <v>2259</v>
      </c>
      <c r="O5602" s="4" t="str">
        <f>LEFT(Table2[[#This Row],[Description]],75)</f>
        <v>Arby's</v>
      </c>
      <c r="P5602" s="2" t="s">
        <v>2281</v>
      </c>
    </row>
    <row r="5603" spans="1:16" hidden="1">
      <c r="A5603" s="2">
        <v>202109</v>
      </c>
      <c r="B5603" s="3">
        <v>44451</v>
      </c>
      <c r="C5603" s="2" t="s">
        <v>2262</v>
      </c>
      <c r="D5603" s="2" t="s">
        <v>512</v>
      </c>
      <c r="E5603" s="2">
        <v>33.340000000000003</v>
      </c>
      <c r="F5603" s="2" t="e">
        <f>IF(Table2[[#This Row],[Manual Cat Value]]="",VLOOKUP(Table2[[#This Row],[Description]],'Actuals Lookup'!D:F,3,0),Table2[[#This Row],[Manual Cat Value]])</f>
        <v>#N/A</v>
      </c>
      <c r="J5603" s="2">
        <v>33.340000000000003</v>
      </c>
      <c r="K5603" s="2" t="b">
        <v>0</v>
      </c>
      <c r="L5603" s="2"/>
      <c r="M5603" s="2"/>
      <c r="N5603" s="4" t="s">
        <v>2259</v>
      </c>
      <c r="O5603" s="4" t="str">
        <f>LEFT(Table2[[#This Row],[Description]],75)</f>
        <v>Chateau St. Jean</v>
      </c>
      <c r="P5603" s="2" t="s">
        <v>2565</v>
      </c>
    </row>
    <row r="5604" spans="1:16" hidden="1">
      <c r="A5604" s="2">
        <v>202109</v>
      </c>
      <c r="B5604" s="3">
        <v>44451</v>
      </c>
      <c r="C5604" s="2" t="s">
        <v>2262</v>
      </c>
      <c r="D5604" s="2" t="s">
        <v>895</v>
      </c>
      <c r="E5604" s="2">
        <v>20.059999999999999</v>
      </c>
      <c r="F5604" s="2" t="e">
        <f>IF(Table2[[#This Row],[Manual Cat Value]]="",VLOOKUP(Table2[[#This Row],[Description]],'Actuals Lookup'!D:F,3,0),Table2[[#This Row],[Manual Cat Value]])</f>
        <v>#N/A</v>
      </c>
      <c r="J5604" s="2">
        <v>20.059999999999999</v>
      </c>
      <c r="K5604" s="2" t="b">
        <v>0</v>
      </c>
      <c r="L5604" s="2"/>
      <c r="M5604" s="2"/>
      <c r="N5604" s="4" t="s">
        <v>2259</v>
      </c>
      <c r="O5604" s="4" t="str">
        <f>LEFT(Table2[[#This Row],[Description]],75)</f>
        <v>GLEN ELLEN VILLAGE GLEN ELLEN CA GLEN ELLEN VILLAGE GLEN ELLEN CA</v>
      </c>
      <c r="P5604" s="2" t="s">
        <v>2281</v>
      </c>
    </row>
    <row r="5605" spans="1:16" hidden="1">
      <c r="A5605" s="2">
        <v>202109</v>
      </c>
      <c r="B5605" s="3">
        <v>44451</v>
      </c>
      <c r="C5605" s="2" t="s">
        <v>2262</v>
      </c>
      <c r="D5605" s="2" t="s">
        <v>1083</v>
      </c>
      <c r="E5605" s="2">
        <v>48.4</v>
      </c>
      <c r="F5605" s="2" t="str">
        <f>IF(Table2[[#This Row],[Manual Cat Value]]="",VLOOKUP(Table2[[#This Row],[Description]],'Actuals Lookup'!D:F,3,0),Table2[[#This Row],[Manual Cat Value]])</f>
        <v>Transportation</v>
      </c>
      <c r="J5605" s="2">
        <v>48.4</v>
      </c>
      <c r="K5605" s="2" t="b">
        <v>0</v>
      </c>
      <c r="L5605" s="2"/>
      <c r="M5605" s="2"/>
      <c r="N5605" s="4" t="s">
        <v>2259</v>
      </c>
      <c r="O5605" s="4" t="str">
        <f>LEFT(Table2[[#This Row],[Description]],75)</f>
        <v>Kwik Trip</v>
      </c>
      <c r="P5605" s="2" t="s">
        <v>2509</v>
      </c>
    </row>
    <row r="5606" spans="1:16" hidden="1">
      <c r="A5606" s="2">
        <v>202109</v>
      </c>
      <c r="B5606" s="3">
        <v>44451</v>
      </c>
      <c r="C5606" s="2" t="s">
        <v>2262</v>
      </c>
      <c r="D5606" s="2" t="s">
        <v>1663</v>
      </c>
      <c r="E5606" s="2">
        <v>33.54</v>
      </c>
      <c r="F5606" s="2" t="e">
        <f>IF(Table2[[#This Row],[Manual Cat Value]]="",VLOOKUP(Table2[[#This Row],[Description]],'Actuals Lookup'!D:F,3,0),Table2[[#This Row],[Manual Cat Value]])</f>
        <v>#N/A</v>
      </c>
      <c r="J5606" s="2">
        <v>33.54</v>
      </c>
      <c r="K5606" s="2" t="b">
        <v>0</v>
      </c>
      <c r="L5606" s="2"/>
      <c r="M5606" s="2"/>
      <c r="N5606" s="4" t="s">
        <v>2259</v>
      </c>
      <c r="O5606" s="4" t="str">
        <f>LEFT(Table2[[#This Row],[Description]],75)</f>
        <v>SHOYU XX3558 MN SHOYU 8665083558 MN</v>
      </c>
      <c r="P5606" s="2" t="s">
        <v>2281</v>
      </c>
    </row>
    <row r="5607" spans="1:16" hidden="1">
      <c r="A5607" s="2">
        <v>202109</v>
      </c>
      <c r="B5607" s="3">
        <v>44451</v>
      </c>
      <c r="C5607" s="2" t="s">
        <v>2258</v>
      </c>
      <c r="D5607" s="2" t="s">
        <v>2050</v>
      </c>
      <c r="E5607" s="2">
        <v>545.19000000000005</v>
      </c>
      <c r="F5607" s="2" t="e">
        <f>IF(Table2[[#This Row],[Manual Cat Value]]="",VLOOKUP(Table2[[#This Row],[Description]],'Actuals Lookup'!D:F,3,0),Table2[[#This Row],[Manual Cat Value]])</f>
        <v>#N/A</v>
      </c>
      <c r="J5607" s="2">
        <v>545.19000000000005</v>
      </c>
      <c r="K5607" s="2" t="b">
        <v>0</v>
      </c>
      <c r="L5607" s="2"/>
      <c r="M5607" s="2"/>
      <c r="N5607" s="4" t="s">
        <v>2259</v>
      </c>
      <c r="O5607" s="4" t="str">
        <f>LEFT(Table2[[#This Row],[Description]],75)</f>
        <v>TST* BOTTEGA NAPA VALLEY YOUNTVILLE CA</v>
      </c>
      <c r="P5607" s="2" t="s">
        <v>2281</v>
      </c>
    </row>
    <row r="5608" spans="1:16" hidden="1">
      <c r="A5608" s="2">
        <v>202109</v>
      </c>
      <c r="B5608" s="3">
        <v>44451</v>
      </c>
      <c r="C5608" s="2" t="s">
        <v>2447</v>
      </c>
      <c r="D5608" s="2" t="s">
        <v>2050</v>
      </c>
      <c r="E5608" s="2">
        <v>545.19000000000005</v>
      </c>
      <c r="F5608" s="2" t="e">
        <f>IF(Table2[[#This Row],[Manual Cat Value]]="",VLOOKUP(Table2[[#This Row],[Description]],'Actuals Lookup'!D:F,3,0),Table2[[#This Row],[Manual Cat Value]])</f>
        <v>#N/A</v>
      </c>
      <c r="J5608" s="2">
        <v>545.19000000000005</v>
      </c>
      <c r="K5608" s="2" t="b">
        <v>0</v>
      </c>
      <c r="L5608" s="2"/>
      <c r="M5608" s="2"/>
      <c r="N5608" s="4" t="s">
        <v>2259</v>
      </c>
      <c r="O5608" s="4" t="str">
        <f>LEFT(Table2[[#This Row],[Description]],75)</f>
        <v>TST* BOTTEGA NAPA VALLEY YOUNTVILLE CA</v>
      </c>
      <c r="P5608" s="2" t="s">
        <v>2281</v>
      </c>
    </row>
    <row r="5609" spans="1:16" hidden="1">
      <c r="A5609" s="2">
        <v>202109</v>
      </c>
      <c r="B5609" s="3">
        <v>44451</v>
      </c>
      <c r="C5609" s="2" t="s">
        <v>2258</v>
      </c>
      <c r="D5609" s="2" t="s">
        <v>2133</v>
      </c>
      <c r="E5609" s="2">
        <v>24.43</v>
      </c>
      <c r="F5609" s="2" t="e">
        <f>IF(Table2[[#This Row],[Manual Cat Value]]="",VLOOKUP(Table2[[#This Row],[Description]],'Actuals Lookup'!D:F,3,0),Table2[[#This Row],[Manual Cat Value]])</f>
        <v>#N/A</v>
      </c>
      <c r="J5609" s="2">
        <v>24.43</v>
      </c>
      <c r="K5609" s="2" t="b">
        <v>0</v>
      </c>
      <c r="L5609" s="2"/>
      <c r="M5609" s="2"/>
      <c r="N5609" s="4" t="s">
        <v>2259</v>
      </c>
      <c r="O5609" s="4" t="str">
        <f>LEFT(Table2[[#This Row],[Description]],75)</f>
        <v>WAKABA SAN FRANCISCOCA0002305843014555255164</v>
      </c>
      <c r="P5609" s="2" t="s">
        <v>2281</v>
      </c>
    </row>
    <row r="5610" spans="1:16" hidden="1">
      <c r="A5610" s="2">
        <v>202109</v>
      </c>
      <c r="B5610" s="3">
        <v>44451</v>
      </c>
      <c r="C5610" s="2" t="s">
        <v>2447</v>
      </c>
      <c r="D5610" s="2" t="s">
        <v>2133</v>
      </c>
      <c r="E5610" s="2">
        <v>24.43</v>
      </c>
      <c r="F5610" s="2" t="e">
        <f>IF(Table2[[#This Row],[Manual Cat Value]]="",VLOOKUP(Table2[[#This Row],[Description]],'Actuals Lookup'!D:F,3,0),Table2[[#This Row],[Manual Cat Value]])</f>
        <v>#N/A</v>
      </c>
      <c r="J5610" s="2">
        <v>24.43</v>
      </c>
      <c r="K5610" s="2" t="b">
        <v>0</v>
      </c>
      <c r="L5610" s="2"/>
      <c r="M5610" s="2"/>
      <c r="N5610" s="4" t="s">
        <v>2259</v>
      </c>
      <c r="O5610" s="4" t="str">
        <f>LEFT(Table2[[#This Row],[Description]],75)</f>
        <v>WAKABA SAN FRANCISCOCA0002305843014555255164</v>
      </c>
      <c r="P5610" s="2" t="s">
        <v>2281</v>
      </c>
    </row>
    <row r="5611" spans="1:16" hidden="1">
      <c r="A5611" s="2">
        <v>202109</v>
      </c>
      <c r="B5611" s="3">
        <v>44451</v>
      </c>
      <c r="C5611" s="2" t="s">
        <v>2262</v>
      </c>
      <c r="D5611" s="2" t="s">
        <v>2135</v>
      </c>
      <c r="E5611" s="2">
        <v>7.29</v>
      </c>
      <c r="F5611" s="2" t="str">
        <f>IF(Table2[[#This Row],[Manual Cat Value]]="",VLOOKUP(Table2[[#This Row],[Description]],'Actuals Lookup'!D:F,3,0),Table2[[#This Row],[Manual Cat Value]])</f>
        <v>Groceries</v>
      </c>
      <c r="J5611" s="2">
        <v>7.29</v>
      </c>
      <c r="K5611" s="2" t="b">
        <v>0</v>
      </c>
      <c r="L5611" s="2"/>
      <c r="M5611" s="2"/>
      <c r="N5611" s="4" t="s">
        <v>2259</v>
      </c>
      <c r="O5611" s="4" t="str">
        <f>LEFT(Table2[[#This Row],[Description]],75)</f>
        <v>Walgreens</v>
      </c>
      <c r="P5611" s="2" t="s">
        <v>2389</v>
      </c>
    </row>
    <row r="5612" spans="1:16" hidden="1">
      <c r="A5612" s="2">
        <v>202109</v>
      </c>
      <c r="B5612" s="3">
        <v>44451</v>
      </c>
      <c r="C5612" s="2" t="s">
        <v>2262</v>
      </c>
      <c r="D5612" s="2" t="s">
        <v>2135</v>
      </c>
      <c r="E5612" s="2">
        <v>21.28</v>
      </c>
      <c r="F5612" s="2" t="str">
        <f>IF(Table2[[#This Row],[Manual Cat Value]]="",VLOOKUP(Table2[[#This Row],[Description]],'Actuals Lookup'!D:F,3,0),Table2[[#This Row],[Manual Cat Value]])</f>
        <v>Groceries</v>
      </c>
      <c r="J5612" s="2">
        <v>21.28</v>
      </c>
      <c r="K5612" s="2" t="b">
        <v>0</v>
      </c>
      <c r="L5612" s="2"/>
      <c r="M5612" s="2"/>
      <c r="N5612" s="4" t="s">
        <v>2259</v>
      </c>
      <c r="O5612" s="4" t="str">
        <f>LEFT(Table2[[#This Row],[Description]],75)</f>
        <v>Walgreens</v>
      </c>
      <c r="P5612" s="2" t="s">
        <v>2389</v>
      </c>
    </row>
    <row r="5613" spans="1:16" hidden="1">
      <c r="A5613" s="2">
        <v>202109</v>
      </c>
      <c r="B5613" s="3">
        <v>44452</v>
      </c>
      <c r="C5613" s="2" t="s">
        <v>2262</v>
      </c>
      <c r="D5613" s="2" t="s">
        <v>506</v>
      </c>
      <c r="E5613" s="2">
        <v>45</v>
      </c>
      <c r="F5613" s="2" t="str">
        <f>IF(Table2[[#This Row],[Manual Cat Value]]="",VLOOKUP(Table2[[#This Row],[Description]],'Actuals Lookup'!D:F,3,0),Table2[[#This Row],[Manual Cat Value]])</f>
        <v>Utilities</v>
      </c>
      <c r="J5613" s="2">
        <v>45</v>
      </c>
      <c r="K5613" s="2" t="b">
        <v>0</v>
      </c>
      <c r="L5613" s="2"/>
      <c r="M5613" s="2"/>
      <c r="N5613" s="4" t="s">
        <v>2259</v>
      </c>
      <c r="O5613" s="4" t="str">
        <f>LEFT(Table2[[#This Row],[Description]],75)</f>
        <v>CenturyLink</v>
      </c>
      <c r="P5613" s="2" t="s">
        <v>2408</v>
      </c>
    </row>
    <row r="5614" spans="1:16" hidden="1">
      <c r="A5614" s="2">
        <v>202109</v>
      </c>
      <c r="B5614" s="3">
        <v>44452</v>
      </c>
      <c r="C5614" s="2" t="s">
        <v>2317</v>
      </c>
      <c r="D5614" s="2" t="s">
        <v>537</v>
      </c>
      <c r="E5614" s="2">
        <v>62.72</v>
      </c>
      <c r="F5614" s="2" t="e">
        <f>IF(Table2[[#This Row],[Manual Cat Value]]="",VLOOKUP(Table2[[#This Row],[Description]],'Actuals Lookup'!D:F,3,0),Table2[[#This Row],[Manual Cat Value]])</f>
        <v>#N/A</v>
      </c>
      <c r="J5614" s="2">
        <v>62.72</v>
      </c>
      <c r="K5614" s="2" t="b">
        <v>0</v>
      </c>
      <c r="L5614" s="2"/>
      <c r="M5614" s="2"/>
      <c r="N5614" s="4" t="s">
        <v>2259</v>
      </c>
      <c r="O5614" s="4" t="str">
        <f>LEFT(Table2[[#This Row],[Description]],75)</f>
        <v>CHEVRON CORP</v>
      </c>
      <c r="P5614" s="2" t="s">
        <v>2430</v>
      </c>
    </row>
    <row r="5615" spans="1:16" hidden="1">
      <c r="A5615" s="2">
        <v>202109</v>
      </c>
      <c r="B5615" s="3">
        <v>44452</v>
      </c>
      <c r="C5615" s="2" t="s">
        <v>2265</v>
      </c>
      <c r="D5615" s="2" t="s">
        <v>619</v>
      </c>
      <c r="E5615" s="2">
        <v>3052.97</v>
      </c>
      <c r="F5615" s="2" t="e">
        <f>IF(Table2[[#This Row],[Manual Cat Value]]="",VLOOKUP(Table2[[#This Row],[Description]],'Actuals Lookup'!D:F,3,0),Table2[[#This Row],[Manual Cat Value]])</f>
        <v>#N/A</v>
      </c>
      <c r="J5615" s="2">
        <v>-3052.97</v>
      </c>
      <c r="K5615" s="2" t="b">
        <v>0</v>
      </c>
      <c r="L5615" s="2"/>
      <c r="M5615" s="2"/>
      <c r="N5615" s="4" t="s">
        <v>2273</v>
      </c>
      <c r="O5615" s="4" t="str">
        <f>LEFT(Table2[[#This Row],[Description]],75)</f>
        <v>CONNECTED ANALYT TYPE DIRECT DEP ID CO CONNECTED ANALYT ACH ECC PPD ACH Tra</v>
      </c>
      <c r="P5615" s="2" t="s">
        <v>2493</v>
      </c>
    </row>
    <row r="5616" spans="1:16" hidden="1">
      <c r="A5616" s="2">
        <v>202109</v>
      </c>
      <c r="B5616" s="3">
        <v>44452</v>
      </c>
      <c r="C5616" s="2" t="s">
        <v>2262</v>
      </c>
      <c r="D5616" s="2" t="s">
        <v>953</v>
      </c>
      <c r="E5616" s="2">
        <v>5.19</v>
      </c>
      <c r="F5616" s="2" t="e">
        <f>IF(Table2[[#This Row],[Manual Cat Value]]="",VLOOKUP(Table2[[#This Row],[Description]],'Actuals Lookup'!D:F,3,0),Table2[[#This Row],[Manual Cat Value]])</f>
        <v>#N/A</v>
      </c>
      <c r="J5616" s="2">
        <v>5.19</v>
      </c>
      <c r="K5616" s="2" t="b">
        <v>0</v>
      </c>
      <c r="L5616" s="2"/>
      <c r="M5616" s="2"/>
      <c r="N5616" s="4" t="s">
        <v>2259</v>
      </c>
      <c r="O5616" s="4" t="str">
        <f>LEFT(Table2[[#This Row],[Description]],75)</f>
        <v>Hudson News</v>
      </c>
      <c r="P5616" s="2" t="s">
        <v>2283</v>
      </c>
    </row>
    <row r="5617" spans="1:16" hidden="1">
      <c r="A5617" s="2">
        <v>202109</v>
      </c>
      <c r="B5617" s="3">
        <v>44452</v>
      </c>
      <c r="C5617" s="2" t="s">
        <v>2265</v>
      </c>
      <c r="D5617" s="2" t="s">
        <v>1471</v>
      </c>
      <c r="E5617" s="2">
        <v>14.03</v>
      </c>
      <c r="F5617" s="2" t="str">
        <f>IF(Table2[[#This Row],[Manual Cat Value]]="",VLOOKUP(Table2[[#This Row],[Description]],'Actuals Lookup'!D:F,3,0),Table2[[#This Row],[Manual Cat Value]])</f>
        <v>Shopping</v>
      </c>
      <c r="J5617" s="2">
        <v>14.03</v>
      </c>
      <c r="K5617" s="2" t="b">
        <v>0</v>
      </c>
      <c r="L5617" s="2"/>
      <c r="M5617" s="2"/>
      <c r="N5617" s="4" t="s">
        <v>2259</v>
      </c>
      <c r="O5617" s="4" t="str">
        <f>LEFT(Table2[[#This Row],[Description]],75)</f>
        <v>PayPal</v>
      </c>
      <c r="P5617" s="2" t="s">
        <v>2322</v>
      </c>
    </row>
    <row r="5618" spans="1:16" hidden="1">
      <c r="A5618" s="2">
        <v>202109</v>
      </c>
      <c r="B5618" s="3">
        <v>44452</v>
      </c>
      <c r="C5618" s="2" t="s">
        <v>2262</v>
      </c>
      <c r="D5618" s="2" t="s">
        <v>1618</v>
      </c>
      <c r="E5618" s="2">
        <v>38.06</v>
      </c>
      <c r="F5618" s="2" t="e">
        <f>IF(Table2[[#This Row],[Manual Cat Value]]="",VLOOKUP(Table2[[#This Row],[Description]],'Actuals Lookup'!D:F,3,0),Table2[[#This Row],[Manual Cat Value]])</f>
        <v>#N/A</v>
      </c>
      <c r="J5618" s="2">
        <v>38.06</v>
      </c>
      <c r="K5618" s="2" t="b">
        <v>0</v>
      </c>
      <c r="L5618" s="2"/>
      <c r="M5618" s="2"/>
      <c r="N5618" s="4" t="s">
        <v>2259</v>
      </c>
      <c r="O5618" s="4" t="str">
        <f>LEFT(Table2[[#This Row],[Description]],75)</f>
        <v>San Francisco Ca.</v>
      </c>
      <c r="P5618" s="2" t="s">
        <v>2566</v>
      </c>
    </row>
    <row r="5619" spans="1:16" hidden="1">
      <c r="A5619" s="2">
        <v>202109</v>
      </c>
      <c r="B5619" s="3">
        <v>44452</v>
      </c>
      <c r="C5619" s="2" t="s">
        <v>2258</v>
      </c>
      <c r="D5619" s="2" t="s">
        <v>2057</v>
      </c>
      <c r="E5619" s="2">
        <v>50.28</v>
      </c>
      <c r="F5619" s="2" t="e">
        <f>IF(Table2[[#This Row],[Manual Cat Value]]="",VLOOKUP(Table2[[#This Row],[Description]],'Actuals Lookup'!D:F,3,0),Table2[[#This Row],[Manual Cat Value]])</f>
        <v>#N/A</v>
      </c>
      <c r="J5619" s="2">
        <v>50.28</v>
      </c>
      <c r="K5619" s="2" t="b">
        <v>0</v>
      </c>
      <c r="L5619" s="2"/>
      <c r="M5619" s="2"/>
      <c r="N5619" s="4" t="s">
        <v>2259</v>
      </c>
      <c r="O5619" s="4" t="str">
        <f>LEFT(Table2[[#This Row],[Description]],75)</f>
        <v>TST* RED RABBIT - MINNEA MINNEAPOLIS MNAPPLE PAY E</v>
      </c>
      <c r="P5619" s="2" t="s">
        <v>2567</v>
      </c>
    </row>
    <row r="5620" spans="1:16" hidden="1">
      <c r="A5620" s="2">
        <v>202109</v>
      </c>
      <c r="B5620" s="3">
        <v>44452</v>
      </c>
      <c r="C5620" s="2" t="s">
        <v>2447</v>
      </c>
      <c r="D5620" s="2" t="s">
        <v>2057</v>
      </c>
      <c r="E5620" s="2">
        <v>50.28</v>
      </c>
      <c r="F5620" s="2" t="e">
        <f>IF(Table2[[#This Row],[Manual Cat Value]]="",VLOOKUP(Table2[[#This Row],[Description]],'Actuals Lookup'!D:F,3,0),Table2[[#This Row],[Manual Cat Value]])</f>
        <v>#N/A</v>
      </c>
      <c r="J5620" s="2">
        <v>50.28</v>
      </c>
      <c r="K5620" s="2" t="b">
        <v>0</v>
      </c>
      <c r="L5620" s="2"/>
      <c r="M5620" s="2"/>
      <c r="N5620" s="4" t="s">
        <v>2259</v>
      </c>
      <c r="O5620" s="4" t="str">
        <f>LEFT(Table2[[#This Row],[Description]],75)</f>
        <v>TST* RED RABBIT - MINNEA MINNEAPOLIS MNAPPLE PAY E</v>
      </c>
      <c r="P5620" s="2" t="s">
        <v>2567</v>
      </c>
    </row>
    <row r="5621" spans="1:16" hidden="1">
      <c r="A5621" s="2">
        <v>202109</v>
      </c>
      <c r="B5621" s="3">
        <v>44452</v>
      </c>
      <c r="C5621" s="2" t="s">
        <v>2262</v>
      </c>
      <c r="D5621" s="2" t="s">
        <v>2135</v>
      </c>
      <c r="E5621" s="2">
        <v>11.97</v>
      </c>
      <c r="F5621" s="2" t="str">
        <f>IF(Table2[[#This Row],[Manual Cat Value]]="",VLOOKUP(Table2[[#This Row],[Description]],'Actuals Lookup'!D:F,3,0),Table2[[#This Row],[Manual Cat Value]])</f>
        <v>Groceries</v>
      </c>
      <c r="J5621" s="2">
        <v>11.97</v>
      </c>
      <c r="K5621" s="2" t="b">
        <v>0</v>
      </c>
      <c r="L5621" s="2"/>
      <c r="M5621" s="2"/>
      <c r="N5621" s="4" t="s">
        <v>2259</v>
      </c>
      <c r="O5621" s="4" t="str">
        <f>LEFT(Table2[[#This Row],[Description]],75)</f>
        <v>Walgreens</v>
      </c>
      <c r="P5621" s="2" t="s">
        <v>2389</v>
      </c>
    </row>
    <row r="5622" spans="1:16" hidden="1">
      <c r="A5622" s="2">
        <v>202109</v>
      </c>
      <c r="B5622" s="3">
        <v>44453</v>
      </c>
      <c r="C5622" s="2" t="s">
        <v>2258</v>
      </c>
      <c r="D5622" s="2" t="s">
        <v>997</v>
      </c>
      <c r="E5622" s="2">
        <v>893.01</v>
      </c>
      <c r="F5622" s="2" t="str">
        <f>IF(Table2[[#This Row],[Manual Cat Value]]="",VLOOKUP(Table2[[#This Row],[Description]],'Actuals Lookup'!D:F,3,0),Table2[[#This Row],[Manual Cat Value]])</f>
        <v>Delete</v>
      </c>
      <c r="J5622" s="2">
        <v>-893.01</v>
      </c>
      <c r="K5622" s="2" t="b">
        <v>0</v>
      </c>
      <c r="L5622" s="2"/>
      <c r="M5622" s="2"/>
      <c r="N5622" s="4" t="s">
        <v>2273</v>
      </c>
      <c r="O5622" s="4" t="str">
        <f>LEFT(Table2[[#This Row],[Description]],75)</f>
        <v>INTERNET PAYMENT - THANK YOU</v>
      </c>
      <c r="P5622" s="2" t="s">
        <v>2291</v>
      </c>
    </row>
    <row r="5623" spans="1:16" hidden="1">
      <c r="A5623" s="2">
        <v>202109</v>
      </c>
      <c r="B5623" s="3">
        <v>44453</v>
      </c>
      <c r="C5623" s="2" t="s">
        <v>2447</v>
      </c>
      <c r="D5623" s="2" t="s">
        <v>997</v>
      </c>
      <c r="E5623" s="2">
        <v>-893.01</v>
      </c>
      <c r="F5623" s="2" t="str">
        <f>IF(Table2[[#This Row],[Manual Cat Value]]="",VLOOKUP(Table2[[#This Row],[Description]],'Actuals Lookup'!D:F,3,0),Table2[[#This Row],[Manual Cat Value]])</f>
        <v>Delete</v>
      </c>
      <c r="J5623" s="2">
        <v>893.01</v>
      </c>
      <c r="K5623" s="2" t="b">
        <v>0</v>
      </c>
      <c r="L5623" s="2"/>
      <c r="M5623" s="2"/>
      <c r="N5623" s="4" t="s">
        <v>2273</v>
      </c>
      <c r="O5623" s="4" t="str">
        <f>LEFT(Table2[[#This Row],[Description]],75)</f>
        <v>INTERNET PAYMENT - THANK YOU</v>
      </c>
      <c r="P5623" s="2" t="s">
        <v>2291</v>
      </c>
    </row>
    <row r="5624" spans="1:16" hidden="1">
      <c r="A5624" s="2">
        <v>202109</v>
      </c>
      <c r="B5624" s="3">
        <v>44453</v>
      </c>
      <c r="C5624" s="2" t="s">
        <v>2262</v>
      </c>
      <c r="D5624" s="2" t="s">
        <v>38</v>
      </c>
      <c r="E5624" s="2">
        <v>18.989999999999998</v>
      </c>
      <c r="F5624" s="2" t="str">
        <f>IF(Table2[[#This Row],[Manual Cat Value]]="",VLOOKUP(Table2[[#This Row],[Description]],'Actuals Lookup'!D:F,3,0),Table2[[#This Row],[Manual Cat Value]])</f>
        <v>Amazon</v>
      </c>
      <c r="J5624" s="2">
        <v>18.989999999999998</v>
      </c>
      <c r="K5624" s="2" t="b">
        <v>0</v>
      </c>
      <c r="L5624" s="2"/>
      <c r="M5624" s="2"/>
      <c r="N5624" s="4" t="s">
        <v>2259</v>
      </c>
      <c r="O5624" s="4" t="str">
        <f>LEFT(Table2[[#This Row],[Description]],75)</f>
        <v>Amazon</v>
      </c>
      <c r="P5624" s="2" t="s">
        <v>2260</v>
      </c>
    </row>
    <row r="5625" spans="1:16" hidden="1">
      <c r="A5625" s="2">
        <v>202109</v>
      </c>
      <c r="B5625" s="3">
        <v>44453</v>
      </c>
      <c r="C5625" s="2" t="s">
        <v>2262</v>
      </c>
      <c r="D5625" s="2" t="s">
        <v>38</v>
      </c>
      <c r="E5625" s="2">
        <v>77.760000000000005</v>
      </c>
      <c r="F5625" s="2" t="str">
        <f>IF(Table2[[#This Row],[Manual Cat Value]]="",VLOOKUP(Table2[[#This Row],[Description]],'Actuals Lookup'!D:F,3,0),Table2[[#This Row],[Manual Cat Value]])</f>
        <v>Amazon</v>
      </c>
      <c r="J5625" s="2">
        <v>77.760000000000005</v>
      </c>
      <c r="K5625" s="2" t="b">
        <v>0</v>
      </c>
      <c r="L5625" s="2"/>
      <c r="M5625" s="2"/>
      <c r="N5625" s="4" t="s">
        <v>2259</v>
      </c>
      <c r="O5625" s="4" t="str">
        <f>LEFT(Table2[[#This Row],[Description]],75)</f>
        <v>Amazon</v>
      </c>
      <c r="P5625" s="2" t="s">
        <v>2260</v>
      </c>
    </row>
    <row r="5626" spans="1:16" hidden="1">
      <c r="A5626" s="2">
        <v>202109</v>
      </c>
      <c r="B5626" s="3">
        <v>44453</v>
      </c>
      <c r="C5626" s="2" t="s">
        <v>2265</v>
      </c>
      <c r="D5626" s="2" t="s">
        <v>131</v>
      </c>
      <c r="E5626" s="2">
        <v>95.51</v>
      </c>
      <c r="F5626" s="2" t="str">
        <f>IF(Table2[[#This Row],[Manual Cat Value]]="",VLOOKUP(Table2[[#This Row],[Description]],'Actuals Lookup'!D:F,3,0),Table2[[#This Row],[Manual Cat Value]])</f>
        <v>Insurance</v>
      </c>
      <c r="J5626" s="2">
        <v>95.51</v>
      </c>
      <c r="K5626" s="2" t="b">
        <v>0</v>
      </c>
      <c r="L5626" s="2"/>
      <c r="M5626" s="2"/>
      <c r="N5626" s="4" t="s">
        <v>2259</v>
      </c>
      <c r="O5626" s="4" t="str">
        <f>LEFT(Table2[[#This Row],[Description]],75)</f>
        <v>American Family Insurance</v>
      </c>
      <c r="P5626" s="2" t="s">
        <v>2286</v>
      </c>
    </row>
    <row r="5627" spans="1:16" hidden="1">
      <c r="A5627" s="2">
        <v>202109</v>
      </c>
      <c r="B5627" s="3">
        <v>44453</v>
      </c>
      <c r="C5627" s="2" t="s">
        <v>2262</v>
      </c>
      <c r="D5627" s="2" t="s">
        <v>603</v>
      </c>
      <c r="E5627" s="2">
        <v>5.46</v>
      </c>
      <c r="F5627" s="2" t="e">
        <f>IF(Table2[[#This Row],[Manual Cat Value]]="",VLOOKUP(Table2[[#This Row],[Description]],'Actuals Lookup'!D:F,3,0),Table2[[#This Row],[Manual Cat Value]])</f>
        <v>#N/A</v>
      </c>
      <c r="J5627" s="2">
        <v>5.46</v>
      </c>
      <c r="K5627" s="2" t="b">
        <v>0</v>
      </c>
      <c r="L5627" s="2"/>
      <c r="M5627" s="2"/>
      <c r="N5627" s="4" t="s">
        <v>2259</v>
      </c>
      <c r="O5627" s="4" t="str">
        <f>LEFT(Table2[[#This Row],[Description]],75)</f>
        <v>Compass Books Cafe</v>
      </c>
      <c r="P5627" s="2" t="s">
        <v>2281</v>
      </c>
    </row>
    <row r="5628" spans="1:16" hidden="1">
      <c r="A5628" s="2">
        <v>202109</v>
      </c>
      <c r="B5628" s="3">
        <v>44453</v>
      </c>
      <c r="C5628" s="2" t="s">
        <v>2265</v>
      </c>
      <c r="D5628" s="2" t="s">
        <v>995</v>
      </c>
      <c r="E5628" s="2">
        <v>334</v>
      </c>
      <c r="F5628" s="2" t="e">
        <f>IF(Table2[[#This Row],[Manual Cat Value]]="",VLOOKUP(Table2[[#This Row],[Description]],'Actuals Lookup'!D:F,3,0),Table2[[#This Row],[Manual Cat Value]])</f>
        <v>#N/A</v>
      </c>
      <c r="J5628" s="2">
        <v>-334</v>
      </c>
      <c r="K5628" s="2" t="b">
        <v>0</v>
      </c>
      <c r="L5628" s="2"/>
      <c r="M5628" s="2"/>
      <c r="N5628" s="4" t="s">
        <v>2273</v>
      </c>
      <c r="O5628" s="4" t="str">
        <f>LEFT(Table2[[#This Row],[Description]],75)</f>
        <v>Internal Revenue Service</v>
      </c>
      <c r="P5628" s="2" t="s">
        <v>2281</v>
      </c>
    </row>
    <row r="5629" spans="1:16" hidden="1">
      <c r="A5629" s="2">
        <v>202109</v>
      </c>
      <c r="B5629" s="3">
        <v>44453</v>
      </c>
      <c r="C5629" s="2" t="s">
        <v>2262</v>
      </c>
      <c r="D5629" s="2" t="s">
        <v>1336</v>
      </c>
      <c r="E5629" s="2">
        <v>17</v>
      </c>
      <c r="F5629" s="2" t="e">
        <f>IF(Table2[[#This Row],[Manual Cat Value]]="",VLOOKUP(Table2[[#This Row],[Description]],'Actuals Lookup'!D:F,3,0),Table2[[#This Row],[Manual Cat Value]])</f>
        <v>#N/A</v>
      </c>
      <c r="J5629" s="2">
        <v>17</v>
      </c>
      <c r="K5629" s="2" t="b">
        <v>0</v>
      </c>
      <c r="L5629" s="2"/>
      <c r="M5629" s="2"/>
      <c r="N5629" s="4" t="s">
        <v>2259</v>
      </c>
      <c r="O5629" s="4" t="str">
        <f>LEFT(Table2[[#This Row],[Description]],75)</f>
        <v>MSP AIRPORT PARKING SAINT PAUL MN</v>
      </c>
      <c r="P5629" s="2" t="s">
        <v>2568</v>
      </c>
    </row>
    <row r="5630" spans="1:16" hidden="1">
      <c r="A5630" s="2">
        <v>202109</v>
      </c>
      <c r="B5630" s="3">
        <v>44454</v>
      </c>
      <c r="C5630" s="2" t="s">
        <v>2265</v>
      </c>
      <c r="D5630" s="2" t="s">
        <v>739</v>
      </c>
      <c r="E5630" s="2">
        <v>893.01</v>
      </c>
      <c r="F5630" s="2" t="e">
        <f>IF(Table2[[#This Row],[Manual Cat Value]]="",VLOOKUP(Table2[[#This Row],[Description]],'Actuals Lookup'!D:F,3,0),Table2[[#This Row],[Manual Cat Value]])</f>
        <v>#N/A</v>
      </c>
      <c r="J5630" s="2">
        <v>893.01</v>
      </c>
      <c r="K5630" s="2" t="b">
        <v>0</v>
      </c>
      <c r="L5630" s="2"/>
      <c r="M5630" s="2"/>
      <c r="N5630" s="4" t="s">
        <v>2259</v>
      </c>
      <c r="O5630" s="4" t="str">
        <f>LEFT(Table2[[#This Row],[Description]],75)</f>
        <v>Discover Bank DISCOVER TYPE EPAYMENT ID CO DISCOVER ACH ECC WEB ACH Trace 2</v>
      </c>
      <c r="P5630" s="2" t="s">
        <v>2293</v>
      </c>
    </row>
    <row r="5631" spans="1:16" hidden="1">
      <c r="A5631" s="2">
        <v>202109</v>
      </c>
      <c r="B5631" s="3">
        <v>44454</v>
      </c>
      <c r="C5631" s="2" t="s">
        <v>2265</v>
      </c>
      <c r="D5631" s="2" t="s">
        <v>1974</v>
      </c>
      <c r="E5631" s="2">
        <v>136.5</v>
      </c>
      <c r="F5631" s="2" t="e">
        <f>IF(Table2[[#This Row],[Manual Cat Value]]="",VLOOKUP(Table2[[#This Row],[Description]],'Actuals Lookup'!D:F,3,0),Table2[[#This Row],[Manual Cat Value]])</f>
        <v>#N/A</v>
      </c>
      <c r="J5631" s="2">
        <v>136.5</v>
      </c>
      <c r="K5631" s="2" t="b">
        <v>0</v>
      </c>
      <c r="L5631" s="2"/>
      <c r="M5631" s="2"/>
      <c r="N5631" s="4" t="s">
        <v>2259</v>
      </c>
      <c r="O5631" s="4" t="str">
        <f>LEFT(Table2[[#This Row],[Description]],75)</f>
        <v>Transfer to Venmo VENMO TYPE PAYMENT ID CO VENMO ACH ECC WEB ACH Trace 7201</v>
      </c>
      <c r="P5631" s="2" t="s">
        <v>2281</v>
      </c>
    </row>
    <row r="5632" spans="1:16" hidden="1">
      <c r="A5632" s="2">
        <v>202109</v>
      </c>
      <c r="B5632" s="3">
        <v>44454</v>
      </c>
      <c r="C5632" s="2" t="s">
        <v>2317</v>
      </c>
      <c r="D5632" s="2" t="s">
        <v>605</v>
      </c>
      <c r="E5632" s="2">
        <v>-250</v>
      </c>
      <c r="F5632" s="2" t="e">
        <f>IF(Table2[[#This Row],[Manual Cat Value]]="",VLOOKUP(Table2[[#This Row],[Description]],'Actuals Lookup'!D:F,3,0),Table2[[#This Row],[Manual Cat Value]])</f>
        <v>#N/A</v>
      </c>
      <c r="J5632" s="2">
        <v>250</v>
      </c>
      <c r="K5632" s="2" t="b">
        <v>0</v>
      </c>
      <c r="L5632" s="2"/>
      <c r="M5632" s="2"/>
      <c r="N5632" s="4" t="s">
        <v>2273</v>
      </c>
      <c r="O5632" s="4" t="str">
        <f>LEFT(Table2[[#This Row],[Description]],75)</f>
        <v>CONNECTED ANALYT</v>
      </c>
      <c r="P5632" s="2" t="s">
        <v>2493</v>
      </c>
    </row>
    <row r="5633" spans="1:16" hidden="1">
      <c r="A5633" s="2">
        <v>202109</v>
      </c>
      <c r="B5633" s="3">
        <v>44454</v>
      </c>
      <c r="C5633" s="2" t="s">
        <v>2274</v>
      </c>
      <c r="D5633" s="2" t="s">
        <v>879</v>
      </c>
      <c r="E5633" s="2">
        <v>600</v>
      </c>
      <c r="F5633" s="2" t="e">
        <f>IF(Table2[[#This Row],[Manual Cat Value]]="",VLOOKUP(Table2[[#This Row],[Description]],'Actuals Lookup'!D:F,3,0),Table2[[#This Row],[Manual Cat Value]])</f>
        <v>#N/A</v>
      </c>
      <c r="J5633" s="2">
        <v>-600</v>
      </c>
      <c r="K5633" s="2" t="b">
        <v>0</v>
      </c>
      <c r="L5633" s="2"/>
      <c r="M5633" s="2"/>
      <c r="N5633" s="4" t="s">
        <v>2273</v>
      </c>
      <c r="O5633" s="4" t="str">
        <f>LEFT(Table2[[#This Row],[Description]],75)</f>
        <v>Funds Transfer from Brokerage -5308</v>
      </c>
      <c r="P5633" s="2" t="s">
        <v>2498</v>
      </c>
    </row>
    <row r="5634" spans="1:16" hidden="1">
      <c r="A5634" s="2">
        <v>202109</v>
      </c>
      <c r="B5634" s="3">
        <v>44454</v>
      </c>
      <c r="C5634" s="2" t="s">
        <v>2262</v>
      </c>
      <c r="D5634" s="2" t="s">
        <v>932</v>
      </c>
      <c r="E5634" s="2">
        <v>2</v>
      </c>
      <c r="F5634" s="2" t="e">
        <f>IF(Table2[[#This Row],[Manual Cat Value]]="",VLOOKUP(Table2[[#This Row],[Description]],'Actuals Lookup'!D:F,3,0),Table2[[#This Row],[Manual Cat Value]])</f>
        <v>#N/A</v>
      </c>
      <c r="J5634" s="2">
        <v>2</v>
      </c>
      <c r="K5634" s="2" t="b">
        <v>0</v>
      </c>
      <c r="L5634" s="2"/>
      <c r="M5634" s="2"/>
      <c r="N5634" s="4" t="s">
        <v>2259</v>
      </c>
      <c r="O5634" s="4" t="str">
        <f>LEFT(Table2[[#This Row],[Description]],75)</f>
        <v>Hilton</v>
      </c>
      <c r="P5634" s="2" t="s">
        <v>2569</v>
      </c>
    </row>
    <row r="5635" spans="1:16" hidden="1">
      <c r="A5635" s="2">
        <v>202109</v>
      </c>
      <c r="B5635" s="3">
        <v>44454</v>
      </c>
      <c r="C5635" s="2" t="s">
        <v>2262</v>
      </c>
      <c r="D5635" s="2" t="s">
        <v>1102</v>
      </c>
      <c r="E5635" s="2">
        <v>6.64</v>
      </c>
      <c r="F5635" s="2" t="str">
        <f>IF(Table2[[#This Row],[Manual Cat Value]]="",VLOOKUP(Table2[[#This Row],[Description]],'Actuals Lookup'!D:F,3,0),Table2[[#This Row],[Manual Cat Value]])</f>
        <v>Restaurants</v>
      </c>
      <c r="J5635" s="2">
        <v>6.64</v>
      </c>
      <c r="K5635" s="2" t="b">
        <v>0</v>
      </c>
      <c r="L5635" s="2"/>
      <c r="M5635" s="2"/>
      <c r="N5635" s="4" t="s">
        <v>2259</v>
      </c>
      <c r="O5635" s="4" t="str">
        <f>LEFT(Table2[[#This Row],[Description]],75)</f>
        <v>Leeann Chin</v>
      </c>
      <c r="P5635" s="2" t="s">
        <v>2529</v>
      </c>
    </row>
    <row r="5636" spans="1:16" hidden="1">
      <c r="A5636" s="2">
        <v>202109</v>
      </c>
      <c r="B5636" s="3">
        <v>44454</v>
      </c>
      <c r="C5636" s="2" t="s">
        <v>2265</v>
      </c>
      <c r="D5636" s="2" t="s">
        <v>1196</v>
      </c>
      <c r="E5636" s="2">
        <v>528.79999999999995</v>
      </c>
      <c r="F5636" s="2" t="e">
        <f>IF(Table2[[#This Row],[Manual Cat Value]]="",VLOOKUP(Table2[[#This Row],[Description]],'Actuals Lookup'!D:F,3,0),Table2[[#This Row],[Manual Cat Value]])</f>
        <v>#N/A</v>
      </c>
      <c r="J5636" s="2">
        <v>528.79999999999995</v>
      </c>
      <c r="K5636" s="2" t="b">
        <v>0</v>
      </c>
      <c r="L5636" s="2"/>
      <c r="M5636" s="2"/>
      <c r="N5636" s="4" t="s">
        <v>2259</v>
      </c>
      <c r="O5636" s="4" t="str">
        <f>LEFT(Table2[[#This Row],[Description]],75)</f>
        <v>MHCHILDCARELLC TYPE DUES ID CO M MHCHILDCARELLC TYPE DUES ID CO MHCHILDCARE</v>
      </c>
      <c r="P5636" s="2" t="s">
        <v>2497</v>
      </c>
    </row>
    <row r="5637" spans="1:16" hidden="1">
      <c r="A5637" s="2">
        <v>202109</v>
      </c>
      <c r="B5637" s="3">
        <v>44454</v>
      </c>
      <c r="C5637" s="2" t="s">
        <v>2435</v>
      </c>
      <c r="D5637" s="2" t="s">
        <v>1836</v>
      </c>
      <c r="E5637" s="2">
        <v>-250</v>
      </c>
      <c r="F5637" s="2" t="e">
        <f>IF(Table2[[#This Row],[Manual Cat Value]]="",VLOOKUP(Table2[[#This Row],[Description]],'Actuals Lookup'!D:F,3,0),Table2[[#This Row],[Manual Cat Value]])</f>
        <v>#N/A</v>
      </c>
      <c r="J5637" s="2">
        <v>250</v>
      </c>
      <c r="K5637" s="2" t="b">
        <v>0</v>
      </c>
      <c r="L5637" s="2"/>
      <c r="M5637" s="2"/>
      <c r="N5637" s="4" t="s">
        <v>2273</v>
      </c>
      <c r="O5637" s="4" t="str">
        <f>LEFT(Table2[[#This Row],[Description]],75)</f>
        <v>Tfr JPMORGAN CHASE BAN, CONNECTED ANALYT</v>
      </c>
      <c r="P5637" s="2" t="s">
        <v>2493</v>
      </c>
    </row>
    <row r="5638" spans="1:16" hidden="1">
      <c r="A5638" s="2">
        <v>202109</v>
      </c>
      <c r="B5638" s="3">
        <v>44454</v>
      </c>
      <c r="C5638" s="2" t="s">
        <v>2317</v>
      </c>
      <c r="D5638" s="2" t="s">
        <v>1950</v>
      </c>
      <c r="E5638" s="2">
        <v>600</v>
      </c>
      <c r="F5638" s="2" t="e">
        <f>IF(Table2[[#This Row],[Manual Cat Value]]="",VLOOKUP(Table2[[#This Row],[Description]],'Actuals Lookup'!D:F,3,0),Table2[[#This Row],[Manual Cat Value]])</f>
        <v>#N/A</v>
      </c>
      <c r="J5638" s="2">
        <v>600</v>
      </c>
      <c r="K5638" s="2" t="b">
        <v>0</v>
      </c>
      <c r="L5638" s="2"/>
      <c r="M5638" s="2"/>
      <c r="N5638" s="4" t="s">
        <v>2259</v>
      </c>
      <c r="O5638" s="4" t="str">
        <f>LEFT(Table2[[#This Row],[Description]],75)</f>
        <v>TRANSFER FUNDS TO SCHWAB BANK - 440020765184</v>
      </c>
      <c r="P5638" s="2" t="s">
        <v>2385</v>
      </c>
    </row>
    <row r="5639" spans="1:16" hidden="1">
      <c r="A5639" s="2">
        <v>202109</v>
      </c>
      <c r="B5639" s="3">
        <v>44454</v>
      </c>
      <c r="C5639" s="2" t="s">
        <v>2258</v>
      </c>
      <c r="D5639" s="2" t="s">
        <v>2055</v>
      </c>
      <c r="E5639" s="2">
        <v>47.03</v>
      </c>
      <c r="F5639" s="2" t="e">
        <f>IF(Table2[[#This Row],[Manual Cat Value]]="",VLOOKUP(Table2[[#This Row],[Description]],'Actuals Lookup'!D:F,3,0),Table2[[#This Row],[Manual Cat Value]])</f>
        <v>#N/A</v>
      </c>
      <c r="J5639" s="2">
        <v>47.03</v>
      </c>
      <c r="K5639" s="2" t="b">
        <v>0</v>
      </c>
      <c r="L5639" s="2"/>
      <c r="M5639" s="2"/>
      <c r="N5639" s="4" t="s">
        <v>2259</v>
      </c>
      <c r="O5639" s="4" t="str">
        <f>LEFT(Table2[[#This Row],[Description]],75)</f>
        <v>TST* OLIVE S FRESH EXCEL EXCELSIOR MN</v>
      </c>
      <c r="P5639" s="2" t="s">
        <v>2570</v>
      </c>
    </row>
    <row r="5640" spans="1:16" hidden="1">
      <c r="A5640" s="2">
        <v>202109</v>
      </c>
      <c r="B5640" s="3">
        <v>44454</v>
      </c>
      <c r="C5640" s="2" t="s">
        <v>2447</v>
      </c>
      <c r="D5640" s="2" t="s">
        <v>2055</v>
      </c>
      <c r="E5640" s="2">
        <v>47.03</v>
      </c>
      <c r="F5640" s="2" t="e">
        <f>IF(Table2[[#This Row],[Manual Cat Value]]="",VLOOKUP(Table2[[#This Row],[Description]],'Actuals Lookup'!D:F,3,0),Table2[[#This Row],[Manual Cat Value]])</f>
        <v>#N/A</v>
      </c>
      <c r="J5640" s="2">
        <v>47.03</v>
      </c>
      <c r="K5640" s="2" t="b">
        <v>0</v>
      </c>
      <c r="L5640" s="2"/>
      <c r="M5640" s="2"/>
      <c r="N5640" s="4" t="s">
        <v>2259</v>
      </c>
      <c r="O5640" s="4" t="str">
        <f>LEFT(Table2[[#This Row],[Description]],75)</f>
        <v>TST* OLIVE S FRESH EXCEL EXCELSIOR MN</v>
      </c>
      <c r="P5640" s="2" t="s">
        <v>2570</v>
      </c>
    </row>
    <row r="5641" spans="1:16" hidden="1">
      <c r="A5641" s="2">
        <v>202109</v>
      </c>
      <c r="B5641" s="3">
        <v>44455</v>
      </c>
      <c r="C5641" s="2" t="s">
        <v>2434</v>
      </c>
      <c r="D5641" s="2" t="s">
        <v>236</v>
      </c>
      <c r="E5641" s="2">
        <v>-0.11</v>
      </c>
      <c r="F5641" s="2" t="e">
        <f>IF(Table2[[#This Row],[Manual Cat Value]]="",VLOOKUP(Table2[[#This Row],[Description]],'Actuals Lookup'!D:F,3,0),Table2[[#This Row],[Manual Cat Value]])</f>
        <v>#N/A</v>
      </c>
      <c r="J5641" s="2">
        <v>0.11</v>
      </c>
      <c r="K5641" s="2" t="b">
        <v>0</v>
      </c>
      <c r="L5641" s="2"/>
      <c r="M5641" s="2"/>
      <c r="N5641" s="4" t="s">
        <v>2273</v>
      </c>
      <c r="O5641" s="4" t="str">
        <f>LEFT(Table2[[#This Row],[Description]],75)</f>
        <v>BANK INT 081621-091521 SCHWAB PREMIER BANK</v>
      </c>
      <c r="P5641" s="2" t="s">
        <v>2281</v>
      </c>
    </row>
    <row r="5642" spans="1:16" hidden="1">
      <c r="A5642" s="2">
        <v>202109</v>
      </c>
      <c r="B5642" s="3">
        <v>44455</v>
      </c>
      <c r="C5642" s="2" t="s">
        <v>2488</v>
      </c>
      <c r="D5642" s="2" t="s">
        <v>236</v>
      </c>
      <c r="E5642" s="2">
        <v>-0.01</v>
      </c>
      <c r="F5642" s="2" t="e">
        <f>IF(Table2[[#This Row],[Manual Cat Value]]="",VLOOKUP(Table2[[#This Row],[Description]],'Actuals Lookup'!D:F,3,0),Table2[[#This Row],[Manual Cat Value]])</f>
        <v>#N/A</v>
      </c>
      <c r="J5642" s="2">
        <v>0.01</v>
      </c>
      <c r="K5642" s="2" t="b">
        <v>0</v>
      </c>
      <c r="L5642" s="2"/>
      <c r="M5642" s="2"/>
      <c r="N5642" s="4" t="s">
        <v>2273</v>
      </c>
      <c r="O5642" s="4" t="str">
        <f>LEFT(Table2[[#This Row],[Description]],75)</f>
        <v>BANK INT 081621-091521 SCHWAB PREMIER BANK</v>
      </c>
      <c r="P5642" s="2" t="s">
        <v>2281</v>
      </c>
    </row>
    <row r="5643" spans="1:16" hidden="1">
      <c r="A5643" s="2">
        <v>202109</v>
      </c>
      <c r="B5643" s="3">
        <v>44455</v>
      </c>
      <c r="C5643" s="2" t="s">
        <v>2435</v>
      </c>
      <c r="D5643" s="2" t="s">
        <v>236</v>
      </c>
      <c r="E5643" s="2">
        <v>-0.04</v>
      </c>
      <c r="F5643" s="2" t="e">
        <f>IF(Table2[[#This Row],[Manual Cat Value]]="",VLOOKUP(Table2[[#This Row],[Description]],'Actuals Lookup'!D:F,3,0),Table2[[#This Row],[Manual Cat Value]])</f>
        <v>#N/A</v>
      </c>
      <c r="J5643" s="2">
        <v>0.04</v>
      </c>
      <c r="K5643" s="2" t="b">
        <v>0</v>
      </c>
      <c r="L5643" s="2"/>
      <c r="M5643" s="2"/>
      <c r="N5643" s="4" t="s">
        <v>2273</v>
      </c>
      <c r="O5643" s="4" t="str">
        <f>LEFT(Table2[[#This Row],[Description]],75)</f>
        <v>BANK INT 081621-091521 SCHWAB PREMIER BANK</v>
      </c>
      <c r="P5643" s="2" t="s">
        <v>2281</v>
      </c>
    </row>
    <row r="5644" spans="1:16" hidden="1">
      <c r="A5644" s="2">
        <v>202109</v>
      </c>
      <c r="B5644" s="3">
        <v>44455</v>
      </c>
      <c r="C5644" s="2" t="s">
        <v>2265</v>
      </c>
      <c r="D5644" s="2" t="s">
        <v>411</v>
      </c>
      <c r="E5644" s="2">
        <v>2775.74</v>
      </c>
      <c r="F5644" s="2" t="e">
        <f>IF(Table2[[#This Row],[Manual Cat Value]]="",VLOOKUP(Table2[[#This Row],[Description]],'Actuals Lookup'!D:F,3,0),Table2[[#This Row],[Manual Cat Value]])</f>
        <v>#N/A</v>
      </c>
      <c r="J5644" s="2">
        <v>-2775.74</v>
      </c>
      <c r="K5644" s="2" t="b">
        <v>0</v>
      </c>
      <c r="L5644" s="2"/>
      <c r="M5644" s="2"/>
      <c r="N5644" s="4" t="s">
        <v>2273</v>
      </c>
      <c r="O5644" s="4" t="str">
        <f>LEFT(Table2[[#This Row],[Description]],75)</f>
        <v>Cargill Inc Deposit CARGILL INCORPOR TYPE DIRECT DEP ID CO CARGILL INCORPOR</v>
      </c>
      <c r="P5644" s="2" t="s">
        <v>2545</v>
      </c>
    </row>
    <row r="5645" spans="1:16" hidden="1">
      <c r="A5645" s="2">
        <v>202109</v>
      </c>
      <c r="B5645" s="3">
        <v>44455</v>
      </c>
      <c r="C5645" s="2" t="s">
        <v>2258</v>
      </c>
      <c r="D5645" s="2" t="s">
        <v>681</v>
      </c>
      <c r="E5645" s="2">
        <v>27.31</v>
      </c>
      <c r="F5645" s="2" t="str">
        <f>IF(Table2[[#This Row],[Manual Cat Value]]="",VLOOKUP(Table2[[#This Row],[Description]],'Actuals Lookup'!D:F,3,0),Table2[[#This Row],[Manual Cat Value]])</f>
        <v>Restaurants</v>
      </c>
      <c r="J5645" s="2">
        <v>27.31</v>
      </c>
      <c r="K5645" s="2" t="b">
        <v>0</v>
      </c>
      <c r="L5645" s="2"/>
      <c r="M5645" s="2"/>
      <c r="N5645" s="4" t="s">
        <v>2259</v>
      </c>
      <c r="O5645" s="4" t="str">
        <f>LEFT(Table2[[#This Row],[Description]],75)</f>
        <v>Crisp &amp; Green</v>
      </c>
      <c r="P5645" s="2" t="s">
        <v>2457</v>
      </c>
    </row>
    <row r="5646" spans="1:16" hidden="1">
      <c r="A5646" s="2">
        <v>202109</v>
      </c>
      <c r="B5646" s="3">
        <v>44455</v>
      </c>
      <c r="C5646" s="2" t="s">
        <v>2447</v>
      </c>
      <c r="D5646" s="2" t="s">
        <v>681</v>
      </c>
      <c r="E5646" s="2">
        <v>27.31</v>
      </c>
      <c r="F5646" s="2" t="str">
        <f>IF(Table2[[#This Row],[Manual Cat Value]]="",VLOOKUP(Table2[[#This Row],[Description]],'Actuals Lookup'!D:F,3,0),Table2[[#This Row],[Manual Cat Value]])</f>
        <v>Restaurants</v>
      </c>
      <c r="J5646" s="2">
        <v>27.31</v>
      </c>
      <c r="K5646" s="2" t="b">
        <v>0</v>
      </c>
      <c r="L5646" s="2"/>
      <c r="M5646" s="2"/>
      <c r="N5646" s="4" t="s">
        <v>2259</v>
      </c>
      <c r="O5646" s="4" t="str">
        <f>LEFT(Table2[[#This Row],[Description]],75)</f>
        <v>Crisp &amp; Green</v>
      </c>
      <c r="P5646" s="2" t="s">
        <v>2457</v>
      </c>
    </row>
    <row r="5647" spans="1:16" hidden="1">
      <c r="A5647" s="2">
        <v>202109</v>
      </c>
      <c r="B5647" s="3">
        <v>44455</v>
      </c>
      <c r="C5647" s="2" t="s">
        <v>2262</v>
      </c>
      <c r="D5647" s="2" t="s">
        <v>2571</v>
      </c>
      <c r="E5647" s="2">
        <v>244.63</v>
      </c>
      <c r="F5647" s="2" t="e">
        <f>IF(Table2[[#This Row],[Manual Cat Value]]="",VLOOKUP(Table2[[#This Row],[Description]],'Actuals Lookup'!D:F,3,0),Table2[[#This Row],[Manual Cat Value]])</f>
        <v>#N/A</v>
      </c>
      <c r="J5647" s="2">
        <v>-244.63</v>
      </c>
      <c r="K5647" s="2" t="b">
        <v>0</v>
      </c>
      <c r="L5647" s="2"/>
      <c r="M5647" s="2"/>
      <c r="N5647" s="4" t="s">
        <v>2273</v>
      </c>
      <c r="O5647" s="4" t="str">
        <f>LEFT(Table2[[#This Row],[Description]],75)</f>
        <v>Luluscom Httpswwwluluca</v>
      </c>
      <c r="P5647" s="2" t="s">
        <v>2572</v>
      </c>
    </row>
    <row r="5648" spans="1:16" hidden="1">
      <c r="A5648" s="2">
        <v>202109</v>
      </c>
      <c r="B5648" s="3">
        <v>44455</v>
      </c>
      <c r="C5648" s="2" t="s">
        <v>2262</v>
      </c>
      <c r="D5648" s="2" t="s">
        <v>1178</v>
      </c>
      <c r="E5648" s="2">
        <v>26.89</v>
      </c>
      <c r="F5648" s="2" t="str">
        <f>IF(Table2[[#This Row],[Manual Cat Value]]="",VLOOKUP(Table2[[#This Row],[Description]],'Actuals Lookup'!D:F,3,0),Table2[[#This Row],[Manual Cat Value]])</f>
        <v>Shopping</v>
      </c>
      <c r="J5648" s="2">
        <v>26.89</v>
      </c>
      <c r="K5648" s="2" t="b">
        <v>0</v>
      </c>
      <c r="L5648" s="2"/>
      <c r="M5648" s="2"/>
      <c r="N5648" s="4" t="s">
        <v>2259</v>
      </c>
      <c r="O5648" s="4" t="str">
        <f>LEFT(Table2[[#This Row],[Description]],75)</f>
        <v>Mall of America</v>
      </c>
      <c r="P5648" s="2" t="s">
        <v>2573</v>
      </c>
    </row>
    <row r="5649" spans="1:16" hidden="1">
      <c r="A5649" s="2">
        <v>202109</v>
      </c>
      <c r="B5649" s="3">
        <v>44456</v>
      </c>
      <c r="C5649" s="2" t="s">
        <v>2262</v>
      </c>
      <c r="D5649" s="2" t="s">
        <v>289</v>
      </c>
      <c r="E5649" s="2">
        <v>97.12</v>
      </c>
      <c r="F5649" s="2" t="e">
        <f>IF(Table2[[#This Row],[Manual Cat Value]]="",VLOOKUP(Table2[[#This Row],[Description]],'Actuals Lookup'!D:F,3,0),Table2[[#This Row],[Manual Cat Value]])</f>
        <v>#N/A</v>
      </c>
      <c r="J5649" s="2">
        <v>97.12</v>
      </c>
      <c r="K5649" s="2" t="b">
        <v>0</v>
      </c>
      <c r="L5649" s="2"/>
      <c r="M5649" s="2"/>
      <c r="N5649" s="4" t="s">
        <v>2259</v>
      </c>
      <c r="O5649" s="4" t="str">
        <f>LEFT(Table2[[#This Row],[Description]],75)</f>
        <v>BESTCLEANERSEXCELSIOR EXCELSIOR BESTCLEANERSEXCELSIOR EXCELSIOR MN</v>
      </c>
      <c r="P5649" s="2" t="s">
        <v>2281</v>
      </c>
    </row>
    <row r="5650" spans="1:16" hidden="1">
      <c r="A5650" s="2">
        <v>202109</v>
      </c>
      <c r="B5650" s="3">
        <v>44456</v>
      </c>
      <c r="C5650" s="2" t="s">
        <v>2317</v>
      </c>
      <c r="D5650" s="2" t="s">
        <v>424</v>
      </c>
      <c r="E5650" s="2">
        <v>-200</v>
      </c>
      <c r="F5650" s="2" t="e">
        <f>IF(Table2[[#This Row],[Manual Cat Value]]="",VLOOKUP(Table2[[#This Row],[Description]],'Actuals Lookup'!D:F,3,0),Table2[[#This Row],[Manual Cat Value]])</f>
        <v>#N/A</v>
      </c>
      <c r="J5650" s="2">
        <v>200</v>
      </c>
      <c r="K5650" s="2" t="b">
        <v>0</v>
      </c>
      <c r="L5650" s="2"/>
      <c r="M5650" s="2"/>
      <c r="N5650" s="4" t="s">
        <v>2273</v>
      </c>
      <c r="O5650" s="4" t="str">
        <f>LEFT(Table2[[#This Row],[Description]],75)</f>
        <v>CARGILL INCORPOR</v>
      </c>
      <c r="P5650" s="2" t="s">
        <v>2385</v>
      </c>
    </row>
    <row r="5651" spans="1:16" hidden="1">
      <c r="A5651" s="2">
        <v>202109</v>
      </c>
      <c r="B5651" s="3">
        <v>44456</v>
      </c>
      <c r="C5651" s="2" t="s">
        <v>2262</v>
      </c>
      <c r="D5651" s="2" t="s">
        <v>692</v>
      </c>
      <c r="E5651" s="2">
        <v>12.09</v>
      </c>
      <c r="F5651" s="2" t="str">
        <f>IF(Table2[[#This Row],[Manual Cat Value]]="",VLOOKUP(Table2[[#This Row],[Description]],'Actuals Lookup'!D:F,3,0),Table2[[#This Row],[Manual Cat Value]])</f>
        <v>Restaurants</v>
      </c>
      <c r="J5651" s="2">
        <v>12.09</v>
      </c>
      <c r="K5651" s="2" t="b">
        <v>0</v>
      </c>
      <c r="L5651" s="2"/>
      <c r="M5651" s="2"/>
      <c r="N5651" s="4" t="s">
        <v>2259</v>
      </c>
      <c r="O5651" s="4" t="str">
        <f>LEFT(Table2[[#This Row],[Description]],75)</f>
        <v>Dairy Queen</v>
      </c>
      <c r="P5651" s="2" t="s">
        <v>2574</v>
      </c>
    </row>
    <row r="5652" spans="1:16" hidden="1">
      <c r="A5652" s="2">
        <v>202109</v>
      </c>
      <c r="B5652" s="3">
        <v>44456</v>
      </c>
      <c r="C5652" s="2" t="s">
        <v>2262</v>
      </c>
      <c r="D5652" s="2" t="s">
        <v>944</v>
      </c>
      <c r="E5652" s="2">
        <v>52.87</v>
      </c>
      <c r="F5652" s="2" t="e">
        <f>IF(Table2[[#This Row],[Manual Cat Value]]="",VLOOKUP(Table2[[#This Row],[Description]],'Actuals Lookup'!D:F,3,0),Table2[[#This Row],[Manual Cat Value]])</f>
        <v>#N/A</v>
      </c>
      <c r="J5652" s="2">
        <v>52.87</v>
      </c>
      <c r="K5652" s="2" t="b">
        <v>0</v>
      </c>
      <c r="L5652" s="2"/>
      <c r="M5652" s="2"/>
      <c r="N5652" s="4" t="s">
        <v>2259</v>
      </c>
      <c r="O5652" s="4" t="str">
        <f>LEFT(Table2[[#This Row],[Description]],75)</f>
        <v>Holiday Stationstore</v>
      </c>
      <c r="P5652" s="2" t="s">
        <v>2374</v>
      </c>
    </row>
    <row r="5653" spans="1:16" hidden="1">
      <c r="A5653" s="2">
        <v>202109</v>
      </c>
      <c r="B5653" s="3">
        <v>44456</v>
      </c>
      <c r="C5653" s="2" t="s">
        <v>2434</v>
      </c>
      <c r="D5653" s="2" t="s">
        <v>1835</v>
      </c>
      <c r="E5653" s="2">
        <v>-231</v>
      </c>
      <c r="F5653" s="2" t="e">
        <f>IF(Table2[[#This Row],[Manual Cat Value]]="",VLOOKUP(Table2[[#This Row],[Description]],'Actuals Lookup'!D:F,3,0),Table2[[#This Row],[Manual Cat Value]])</f>
        <v>#N/A</v>
      </c>
      <c r="J5653" s="2">
        <v>231</v>
      </c>
      <c r="K5653" s="2" t="b">
        <v>0</v>
      </c>
      <c r="L5653" s="2"/>
      <c r="M5653" s="2"/>
      <c r="N5653" s="4" t="s">
        <v>2273</v>
      </c>
      <c r="O5653" s="4" t="str">
        <f>LEFT(Table2[[#This Row],[Description]],75)</f>
        <v>Tfr JPMORGAN CHASE BAN, CARGILL INCORPOR</v>
      </c>
      <c r="P5653" s="2" t="s">
        <v>2281</v>
      </c>
    </row>
    <row r="5654" spans="1:16" hidden="1">
      <c r="A5654" s="2">
        <v>202109</v>
      </c>
      <c r="B5654" s="3">
        <v>44456</v>
      </c>
      <c r="C5654" s="2" t="s">
        <v>2258</v>
      </c>
      <c r="D5654" s="2" t="s">
        <v>2157</v>
      </c>
      <c r="E5654" s="2">
        <v>87.17</v>
      </c>
      <c r="F5654" s="2" t="e">
        <f>IF(Table2[[#This Row],[Manual Cat Value]]="",VLOOKUP(Table2[[#This Row],[Description]],'Actuals Lookup'!D:F,3,0),Table2[[#This Row],[Manual Cat Value]])</f>
        <v>#N/A</v>
      </c>
      <c r="J5654" s="2">
        <v>87.17</v>
      </c>
      <c r="K5654" s="2" t="b">
        <v>0</v>
      </c>
      <c r="L5654" s="2"/>
      <c r="M5654" s="2"/>
      <c r="N5654" s="4" t="s">
        <v>2259</v>
      </c>
      <c r="O5654" s="4" t="str">
        <f>LEFT(Table2[[#This Row],[Description]],75)</f>
        <v>WINCHESTER AND RYE VICTORIA MN</v>
      </c>
      <c r="P5654" s="2" t="s">
        <v>2307</v>
      </c>
    </row>
    <row r="5655" spans="1:16" hidden="1">
      <c r="A5655" s="2">
        <v>202109</v>
      </c>
      <c r="B5655" s="3">
        <v>44456</v>
      </c>
      <c r="C5655" s="2" t="s">
        <v>2447</v>
      </c>
      <c r="D5655" s="2" t="s">
        <v>2157</v>
      </c>
      <c r="E5655" s="2">
        <v>87.17</v>
      </c>
      <c r="F5655" s="2" t="e">
        <f>IF(Table2[[#This Row],[Manual Cat Value]]="",VLOOKUP(Table2[[#This Row],[Description]],'Actuals Lookup'!D:F,3,0),Table2[[#This Row],[Manual Cat Value]])</f>
        <v>#N/A</v>
      </c>
      <c r="J5655" s="2">
        <v>87.17</v>
      </c>
      <c r="K5655" s="2" t="b">
        <v>0</v>
      </c>
      <c r="L5655" s="2"/>
      <c r="M5655" s="2"/>
      <c r="N5655" s="4" t="s">
        <v>2259</v>
      </c>
      <c r="O5655" s="4" t="str">
        <f>LEFT(Table2[[#This Row],[Description]],75)</f>
        <v>WINCHESTER AND RYE VICTORIA MN</v>
      </c>
      <c r="P5655" s="2" t="s">
        <v>2307</v>
      </c>
    </row>
    <row r="5656" spans="1:16" hidden="1">
      <c r="A5656" s="2">
        <v>202109</v>
      </c>
      <c r="B5656" s="3">
        <v>44458</v>
      </c>
      <c r="C5656" s="2" t="s">
        <v>2258</v>
      </c>
      <c r="D5656" s="2" t="s">
        <v>38</v>
      </c>
      <c r="E5656" s="2">
        <v>96.52</v>
      </c>
      <c r="F5656" s="2" t="str">
        <f>IF(Table2[[#This Row],[Manual Cat Value]]="",VLOOKUP(Table2[[#This Row],[Description]],'Actuals Lookup'!D:F,3,0),Table2[[#This Row],[Manual Cat Value]])</f>
        <v>Amazon</v>
      </c>
      <c r="J5656" s="2">
        <v>96.52</v>
      </c>
      <c r="K5656" s="2" t="b">
        <v>0</v>
      </c>
      <c r="L5656" s="2"/>
      <c r="M5656" s="2"/>
      <c r="N5656" s="4" t="s">
        <v>2259</v>
      </c>
      <c r="O5656" s="4" t="str">
        <f>LEFT(Table2[[#This Row],[Description]],75)</f>
        <v>Amazon</v>
      </c>
      <c r="P5656" s="2" t="s">
        <v>2260</v>
      </c>
    </row>
    <row r="5657" spans="1:16" hidden="1">
      <c r="A5657" s="2">
        <v>202109</v>
      </c>
      <c r="B5657" s="3">
        <v>44458</v>
      </c>
      <c r="C5657" s="2" t="s">
        <v>2447</v>
      </c>
      <c r="D5657" s="2" t="s">
        <v>38</v>
      </c>
      <c r="E5657" s="2">
        <v>96.52</v>
      </c>
      <c r="F5657" s="2" t="str">
        <f>IF(Table2[[#This Row],[Manual Cat Value]]="",VLOOKUP(Table2[[#This Row],[Description]],'Actuals Lookup'!D:F,3,0),Table2[[#This Row],[Manual Cat Value]])</f>
        <v>Amazon</v>
      </c>
      <c r="J5657" s="2">
        <v>96.52</v>
      </c>
      <c r="K5657" s="2" t="b">
        <v>0</v>
      </c>
      <c r="L5657" s="2"/>
      <c r="M5657" s="2"/>
      <c r="N5657" s="4" t="s">
        <v>2259</v>
      </c>
      <c r="O5657" s="4" t="str">
        <f>LEFT(Table2[[#This Row],[Description]],75)</f>
        <v>Amazon</v>
      </c>
      <c r="P5657" s="2" t="s">
        <v>2260</v>
      </c>
    </row>
    <row r="5658" spans="1:16" hidden="1">
      <c r="A5658" s="2">
        <v>202109</v>
      </c>
      <c r="B5658" s="3">
        <v>44458</v>
      </c>
      <c r="C5658" s="2" t="s">
        <v>2262</v>
      </c>
      <c r="D5658" s="2" t="s">
        <v>823</v>
      </c>
      <c r="E5658" s="2">
        <v>24.12</v>
      </c>
      <c r="F5658" s="2" t="e">
        <f>IF(Table2[[#This Row],[Manual Cat Value]]="",VLOOKUP(Table2[[#This Row],[Description]],'Actuals Lookup'!D:F,3,0),Table2[[#This Row],[Manual Cat Value]])</f>
        <v>#N/A</v>
      </c>
      <c r="J5658" s="2">
        <v>24.12</v>
      </c>
      <c r="K5658" s="2" t="b">
        <v>0</v>
      </c>
      <c r="L5658" s="2"/>
      <c r="M5658" s="2"/>
      <c r="N5658" s="4" t="s">
        <v>2259</v>
      </c>
      <c r="O5658" s="4" t="str">
        <f>LEFT(Table2[[#This Row],[Description]],75)</f>
        <v>Etsy.com</v>
      </c>
      <c r="P5658" s="2" t="s">
        <v>2401</v>
      </c>
    </row>
    <row r="5659" spans="1:16" hidden="1">
      <c r="A5659" s="2">
        <v>202109</v>
      </c>
      <c r="B5659" s="3">
        <v>44458</v>
      </c>
      <c r="C5659" s="2" t="s">
        <v>2262</v>
      </c>
      <c r="D5659" s="2" t="s">
        <v>823</v>
      </c>
      <c r="E5659" s="2">
        <v>110.15</v>
      </c>
      <c r="F5659" s="2" t="e">
        <f>IF(Table2[[#This Row],[Manual Cat Value]]="",VLOOKUP(Table2[[#This Row],[Description]],'Actuals Lookup'!D:F,3,0),Table2[[#This Row],[Manual Cat Value]])</f>
        <v>#N/A</v>
      </c>
      <c r="J5659" s="2">
        <v>110.15</v>
      </c>
      <c r="K5659" s="2" t="b">
        <v>0</v>
      </c>
      <c r="L5659" s="2"/>
      <c r="M5659" s="2"/>
      <c r="N5659" s="4" t="s">
        <v>2259</v>
      </c>
      <c r="O5659" s="4" t="str">
        <f>LEFT(Table2[[#This Row],[Description]],75)</f>
        <v>Etsy.com</v>
      </c>
      <c r="P5659" s="2" t="s">
        <v>2401</v>
      </c>
    </row>
    <row r="5660" spans="1:16" hidden="1">
      <c r="A5660" s="2">
        <v>202109</v>
      </c>
      <c r="B5660" s="3">
        <v>44458</v>
      </c>
      <c r="C5660" s="2" t="s">
        <v>2262</v>
      </c>
      <c r="D5660" s="2" t="s">
        <v>855</v>
      </c>
      <c r="E5660" s="2">
        <v>230</v>
      </c>
      <c r="F5660" s="2" t="e">
        <f>IF(Table2[[#This Row],[Manual Cat Value]]="",VLOOKUP(Table2[[#This Row],[Description]],'Actuals Lookup'!D:F,3,0),Table2[[#This Row],[Manual Cat Value]])</f>
        <v>#N/A</v>
      </c>
      <c r="J5660" s="2">
        <v>-230</v>
      </c>
      <c r="K5660" s="2" t="b">
        <v>0</v>
      </c>
      <c r="L5660" s="2"/>
      <c r="M5660" s="2"/>
      <c r="N5660" s="4" t="s">
        <v>2273</v>
      </c>
      <c r="O5660" s="4" t="str">
        <f>LEFT(Table2[[#This Row],[Description]],75)</f>
        <v>Free People</v>
      </c>
      <c r="P5660" s="2" t="s">
        <v>2281</v>
      </c>
    </row>
    <row r="5661" spans="1:16" hidden="1">
      <c r="A5661" s="2">
        <v>202109</v>
      </c>
      <c r="B5661" s="3">
        <v>44458</v>
      </c>
      <c r="C5661" s="2" t="s">
        <v>2258</v>
      </c>
      <c r="D5661" s="2" t="s">
        <v>1562</v>
      </c>
      <c r="E5661" s="2">
        <v>197.78</v>
      </c>
      <c r="F5661" s="2" t="e">
        <f>IF(Table2[[#This Row],[Manual Cat Value]]="",VLOOKUP(Table2[[#This Row],[Description]],'Actuals Lookup'!D:F,3,0),Table2[[#This Row],[Manual Cat Value]])</f>
        <v>#N/A</v>
      </c>
      <c r="J5661" s="2">
        <v>197.78</v>
      </c>
      <c r="K5661" s="2" t="b">
        <v>0</v>
      </c>
      <c r="L5661" s="2"/>
      <c r="M5661" s="2"/>
      <c r="N5661" s="4" t="s">
        <v>2259</v>
      </c>
      <c r="O5661" s="4" t="str">
        <f>LEFT(Table2[[#This Row],[Description]],75)</f>
        <v>Red Wagon Pizza Co</v>
      </c>
      <c r="P5661" s="2" t="s">
        <v>2495</v>
      </c>
    </row>
    <row r="5662" spans="1:16" hidden="1">
      <c r="A5662" s="2">
        <v>202109</v>
      </c>
      <c r="B5662" s="3">
        <v>44458</v>
      </c>
      <c r="C5662" s="2" t="s">
        <v>2447</v>
      </c>
      <c r="D5662" s="2" t="s">
        <v>1562</v>
      </c>
      <c r="E5662" s="2">
        <v>197.78</v>
      </c>
      <c r="F5662" s="2" t="e">
        <f>IF(Table2[[#This Row],[Manual Cat Value]]="",VLOOKUP(Table2[[#This Row],[Description]],'Actuals Lookup'!D:F,3,0),Table2[[#This Row],[Manual Cat Value]])</f>
        <v>#N/A</v>
      </c>
      <c r="J5662" s="2">
        <v>197.78</v>
      </c>
      <c r="K5662" s="2" t="b">
        <v>0</v>
      </c>
      <c r="L5662" s="2"/>
      <c r="M5662" s="2"/>
      <c r="N5662" s="4" t="s">
        <v>2259</v>
      </c>
      <c r="O5662" s="4" t="str">
        <f>LEFT(Table2[[#This Row],[Description]],75)</f>
        <v>Red Wagon Pizza Co</v>
      </c>
      <c r="P5662" s="2" t="s">
        <v>2495</v>
      </c>
    </row>
    <row r="5663" spans="1:16" hidden="1">
      <c r="A5663" s="2">
        <v>202109</v>
      </c>
      <c r="B5663" s="3">
        <v>44459</v>
      </c>
      <c r="C5663" s="2" t="s">
        <v>2258</v>
      </c>
      <c r="D5663" s="2" t="s">
        <v>38</v>
      </c>
      <c r="E5663" s="2">
        <v>21.98</v>
      </c>
      <c r="F5663" s="2" t="str">
        <f>IF(Table2[[#This Row],[Manual Cat Value]]="",VLOOKUP(Table2[[#This Row],[Description]],'Actuals Lookup'!D:F,3,0),Table2[[#This Row],[Manual Cat Value]])</f>
        <v>Amazon</v>
      </c>
      <c r="J5663" s="2">
        <v>21.98</v>
      </c>
      <c r="K5663" s="2" t="b">
        <v>0</v>
      </c>
      <c r="L5663" s="2"/>
      <c r="M5663" s="2"/>
      <c r="N5663" s="4" t="s">
        <v>2259</v>
      </c>
      <c r="O5663" s="4" t="str">
        <f>LEFT(Table2[[#This Row],[Description]],75)</f>
        <v>Amazon</v>
      </c>
      <c r="P5663" s="2" t="s">
        <v>2260</v>
      </c>
    </row>
    <row r="5664" spans="1:16" hidden="1">
      <c r="A5664" s="2">
        <v>202109</v>
      </c>
      <c r="B5664" s="3">
        <v>44459</v>
      </c>
      <c r="C5664" s="2" t="s">
        <v>2447</v>
      </c>
      <c r="D5664" s="2" t="s">
        <v>38</v>
      </c>
      <c r="E5664" s="2">
        <v>21.98</v>
      </c>
      <c r="F5664" s="2" t="str">
        <f>IF(Table2[[#This Row],[Manual Cat Value]]="",VLOOKUP(Table2[[#This Row],[Description]],'Actuals Lookup'!D:F,3,0),Table2[[#This Row],[Manual Cat Value]])</f>
        <v>Amazon</v>
      </c>
      <c r="J5664" s="2">
        <v>21.98</v>
      </c>
      <c r="K5664" s="2" t="b">
        <v>0</v>
      </c>
      <c r="L5664" s="2"/>
      <c r="M5664" s="2"/>
      <c r="N5664" s="4" t="s">
        <v>2259</v>
      </c>
      <c r="O5664" s="4" t="str">
        <f>LEFT(Table2[[#This Row],[Description]],75)</f>
        <v>Amazon</v>
      </c>
      <c r="P5664" s="2" t="s">
        <v>2260</v>
      </c>
    </row>
    <row r="5665" spans="1:16" hidden="1">
      <c r="A5665" s="2">
        <v>202109</v>
      </c>
      <c r="B5665" s="3">
        <v>44459</v>
      </c>
      <c r="C5665" s="2" t="s">
        <v>2274</v>
      </c>
      <c r="D5665" s="2" t="s">
        <v>535</v>
      </c>
      <c r="E5665" s="2">
        <v>2000</v>
      </c>
      <c r="F5665" s="2" t="e">
        <f>IF(Table2[[#This Row],[Manual Cat Value]]="",VLOOKUP(Table2[[#This Row],[Description]],'Actuals Lookup'!D:F,3,0),Table2[[#This Row],[Manual Cat Value]])</f>
        <v>#N/A</v>
      </c>
      <c r="J5665" s="2">
        <v>2000</v>
      </c>
      <c r="K5665" s="2" t="b">
        <v>0</v>
      </c>
      <c r="L5665" s="2"/>
      <c r="M5665" s="2"/>
      <c r="N5665" s="4" t="s">
        <v>2259</v>
      </c>
      <c r="O5665" s="4" t="str">
        <f>LEFT(Table2[[#This Row],[Description]],75)</f>
        <v>Check Paid #1181</v>
      </c>
      <c r="P5665" s="2" t="s">
        <v>2281</v>
      </c>
    </row>
    <row r="5666" spans="1:16" hidden="1">
      <c r="A5666" s="2">
        <v>202109</v>
      </c>
      <c r="B5666" s="3">
        <v>44459</v>
      </c>
      <c r="C5666" s="2" t="s">
        <v>2262</v>
      </c>
      <c r="D5666" s="2" t="s">
        <v>823</v>
      </c>
      <c r="E5666" s="2">
        <v>24.12</v>
      </c>
      <c r="F5666" s="2" t="e">
        <f>IF(Table2[[#This Row],[Manual Cat Value]]="",VLOOKUP(Table2[[#This Row],[Description]],'Actuals Lookup'!D:F,3,0),Table2[[#This Row],[Manual Cat Value]])</f>
        <v>#N/A</v>
      </c>
      <c r="J5666" s="2">
        <v>-24.12</v>
      </c>
      <c r="K5666" s="2" t="b">
        <v>0</v>
      </c>
      <c r="L5666" s="2"/>
      <c r="M5666" s="2"/>
      <c r="N5666" s="4" t="s">
        <v>2273</v>
      </c>
      <c r="O5666" s="4" t="str">
        <f>LEFT(Table2[[#This Row],[Description]],75)</f>
        <v>Etsy.com</v>
      </c>
      <c r="P5666" s="2" t="s">
        <v>2401</v>
      </c>
    </row>
    <row r="5667" spans="1:16" hidden="1">
      <c r="A5667" s="2">
        <v>202109</v>
      </c>
      <c r="B5667" s="3">
        <v>44459</v>
      </c>
      <c r="C5667" s="2" t="s">
        <v>2262</v>
      </c>
      <c r="D5667" s="2" t="s">
        <v>855</v>
      </c>
      <c r="E5667" s="2">
        <v>60</v>
      </c>
      <c r="F5667" s="2" t="e">
        <f>IF(Table2[[#This Row],[Manual Cat Value]]="",VLOOKUP(Table2[[#This Row],[Description]],'Actuals Lookup'!D:F,3,0),Table2[[#This Row],[Manual Cat Value]])</f>
        <v>#N/A</v>
      </c>
      <c r="J5667" s="2">
        <v>60</v>
      </c>
      <c r="K5667" s="2" t="b">
        <v>0</v>
      </c>
      <c r="L5667" s="2"/>
      <c r="M5667" s="2"/>
      <c r="N5667" s="4" t="s">
        <v>2259</v>
      </c>
      <c r="O5667" s="4" t="str">
        <f>LEFT(Table2[[#This Row],[Description]],75)</f>
        <v>Free People</v>
      </c>
      <c r="P5667" s="2" t="s">
        <v>2575</v>
      </c>
    </row>
    <row r="5668" spans="1:16" hidden="1">
      <c r="A5668" s="2">
        <v>202109</v>
      </c>
      <c r="B5668" s="3">
        <v>44459</v>
      </c>
      <c r="C5668" s="2" t="s">
        <v>2262</v>
      </c>
      <c r="D5668" s="2" t="s">
        <v>855</v>
      </c>
      <c r="E5668" s="2">
        <v>216</v>
      </c>
      <c r="F5668" s="2" t="e">
        <f>IF(Table2[[#This Row],[Manual Cat Value]]="",VLOOKUP(Table2[[#This Row],[Description]],'Actuals Lookup'!D:F,3,0),Table2[[#This Row],[Manual Cat Value]])</f>
        <v>#N/A</v>
      </c>
      <c r="J5668" s="2">
        <v>216</v>
      </c>
      <c r="K5668" s="2" t="b">
        <v>0</v>
      </c>
      <c r="L5668" s="2"/>
      <c r="M5668" s="2"/>
      <c r="N5668" s="4" t="s">
        <v>2259</v>
      </c>
      <c r="O5668" s="4" t="str">
        <f>LEFT(Table2[[#This Row],[Description]],75)</f>
        <v>Free People</v>
      </c>
      <c r="P5668" s="2" t="s">
        <v>2281</v>
      </c>
    </row>
    <row r="5669" spans="1:16" hidden="1">
      <c r="A5669" s="2">
        <v>202109</v>
      </c>
      <c r="B5669" s="3">
        <v>44459</v>
      </c>
      <c r="C5669" s="2" t="s">
        <v>2262</v>
      </c>
      <c r="D5669" s="2" t="s">
        <v>1006</v>
      </c>
      <c r="E5669" s="2">
        <v>60.21</v>
      </c>
      <c r="F5669" s="2" t="e">
        <f>IF(Table2[[#This Row],[Manual Cat Value]]="",VLOOKUP(Table2[[#This Row],[Description]],'Actuals Lookup'!D:F,3,0),Table2[[#This Row],[Manual Cat Value]])</f>
        <v>#N/A</v>
      </c>
      <c r="J5669" s="2">
        <v>60.21</v>
      </c>
      <c r="K5669" s="2" t="b">
        <v>0</v>
      </c>
      <c r="L5669" s="2"/>
      <c r="M5669" s="2"/>
      <c r="N5669" s="4" t="s">
        <v>2259</v>
      </c>
      <c r="O5669" s="4" t="str">
        <f>LEFT(Table2[[#This Row],[Description]],75)</f>
        <v>Jac &amp; Violet</v>
      </c>
      <c r="P5669" s="2" t="s">
        <v>2576</v>
      </c>
    </row>
    <row r="5670" spans="1:16" hidden="1">
      <c r="A5670" s="2">
        <v>202109</v>
      </c>
      <c r="B5670" s="3">
        <v>44459</v>
      </c>
      <c r="C5670" s="2" t="s">
        <v>2265</v>
      </c>
      <c r="D5670" s="2" t="s">
        <v>1304</v>
      </c>
      <c r="E5670" s="2">
        <v>200</v>
      </c>
      <c r="F5670" s="2" t="e">
        <f>IF(Table2[[#This Row],[Manual Cat Value]]="",VLOOKUP(Table2[[#This Row],[Description]],'Actuals Lookup'!D:F,3,0),Table2[[#This Row],[Manual Cat Value]])</f>
        <v>#N/A</v>
      </c>
      <c r="J5670" s="2">
        <v>200</v>
      </c>
      <c r="K5670" s="2" t="b">
        <v>0</v>
      </c>
      <c r="L5670" s="2"/>
      <c r="M5670" s="2"/>
      <c r="N5670" s="4" t="s">
        <v>2259</v>
      </c>
      <c r="O5670" s="4" t="str">
        <f>LEFT(Table2[[#This Row],[Description]],75)</f>
        <v>MN DIR ACH TYPE CONTRIB ID CO MN MN DIR ACH TYPE CONTRIB ID CO MN DIR ACH A</v>
      </c>
      <c r="P5670" s="2" t="s">
        <v>2469</v>
      </c>
    </row>
    <row r="5671" spans="1:16" hidden="1">
      <c r="A5671" s="2">
        <v>202109</v>
      </c>
      <c r="B5671" s="3">
        <v>44459</v>
      </c>
      <c r="C5671" s="2" t="s">
        <v>2262</v>
      </c>
      <c r="D5671" s="2" t="s">
        <v>1715</v>
      </c>
      <c r="E5671" s="2">
        <v>7</v>
      </c>
      <c r="F5671" s="2" t="e">
        <f>IF(Table2[[#This Row],[Manual Cat Value]]="",VLOOKUP(Table2[[#This Row],[Description]],'Actuals Lookup'!D:F,3,0),Table2[[#This Row],[Manual Cat Value]])</f>
        <v>#N/A</v>
      </c>
      <c r="J5671" s="2">
        <v>7</v>
      </c>
      <c r="K5671" s="2" t="b">
        <v>0</v>
      </c>
      <c r="L5671" s="2"/>
      <c r="M5671" s="2"/>
      <c r="N5671" s="4" t="s">
        <v>2259</v>
      </c>
      <c r="O5671" s="4" t="str">
        <f>LEFT(Table2[[#This Row],[Description]],75)</f>
        <v>SQ BABY BLUE Excelsior MN</v>
      </c>
      <c r="P5671" s="2" t="s">
        <v>2281</v>
      </c>
    </row>
    <row r="5672" spans="1:16" hidden="1">
      <c r="A5672" s="2">
        <v>202109</v>
      </c>
      <c r="B5672" s="3">
        <v>44459</v>
      </c>
      <c r="C5672" s="2" t="s">
        <v>2262</v>
      </c>
      <c r="D5672" s="2" t="s">
        <v>1730</v>
      </c>
      <c r="E5672" s="2">
        <v>10</v>
      </c>
      <c r="F5672" s="2" t="e">
        <f>IF(Table2[[#This Row],[Manual Cat Value]]="",VLOOKUP(Table2[[#This Row],[Description]],'Actuals Lookup'!D:F,3,0),Table2[[#This Row],[Manual Cat Value]])</f>
        <v>#N/A</v>
      </c>
      <c r="J5672" s="2">
        <v>10</v>
      </c>
      <c r="K5672" s="2" t="b">
        <v>0</v>
      </c>
      <c r="L5672" s="2"/>
      <c r="M5672" s="2"/>
      <c r="N5672" s="4" t="s">
        <v>2259</v>
      </c>
      <c r="O5672" s="4" t="str">
        <f>LEFT(Table2[[#This Row],[Description]],75)</f>
        <v>SQ FIREHOUSE FOODS FOOD Excelsior MN</v>
      </c>
      <c r="P5672" s="2" t="s">
        <v>2281</v>
      </c>
    </row>
    <row r="5673" spans="1:16" hidden="1">
      <c r="A5673" s="2">
        <v>202109</v>
      </c>
      <c r="B5673" s="3">
        <v>44459</v>
      </c>
      <c r="C5673" s="2" t="s">
        <v>2262</v>
      </c>
      <c r="D5673" s="2" t="s">
        <v>1761</v>
      </c>
      <c r="E5673" s="2">
        <v>12.36</v>
      </c>
      <c r="F5673" s="2" t="e">
        <f>IF(Table2[[#This Row],[Manual Cat Value]]="",VLOOKUP(Table2[[#This Row],[Description]],'Actuals Lookup'!D:F,3,0),Table2[[#This Row],[Manual Cat Value]])</f>
        <v>#N/A</v>
      </c>
      <c r="J5673" s="2">
        <v>12.36</v>
      </c>
      <c r="K5673" s="2" t="b">
        <v>0</v>
      </c>
      <c r="L5673" s="2"/>
      <c r="M5673" s="2"/>
      <c r="N5673" s="4" t="s">
        <v>2259</v>
      </c>
      <c r="O5673" s="4" t="str">
        <f>LEFT(Table2[[#This Row],[Description]],75)</f>
        <v>SQ SUNNY DAYS COMFORT FOArlington MN</v>
      </c>
      <c r="P5673" s="2" t="s">
        <v>2281</v>
      </c>
    </row>
    <row r="5674" spans="1:16" hidden="1">
      <c r="A5674" s="2">
        <v>202109</v>
      </c>
      <c r="B5674" s="3">
        <v>44459</v>
      </c>
      <c r="C5674" s="2" t="s">
        <v>2258</v>
      </c>
      <c r="D5674" s="2" t="s">
        <v>2228</v>
      </c>
      <c r="E5674" s="2">
        <v>11.16</v>
      </c>
      <c r="F5674" s="2" t="e">
        <f>IF(Table2[[#This Row],[Manual Cat Value]]="",VLOOKUP(Table2[[#This Row],[Description]],'Actuals Lookup'!D:F,3,0),Table2[[#This Row],[Manual Cat Value]])</f>
        <v>#N/A</v>
      </c>
      <c r="J5674" s="2">
        <v>11.16</v>
      </c>
      <c r="K5674" s="2" t="b">
        <v>0</v>
      </c>
      <c r="L5674" s="2"/>
      <c r="M5674" s="2"/>
      <c r="N5674" s="4" t="s">
        <v>2259</v>
      </c>
      <c r="O5674" s="4" t="str">
        <f>LEFT(Table2[[#This Row],[Description]],75)</f>
        <v>Yum Kitchen and Bakery</v>
      </c>
      <c r="P5674" s="2" t="s">
        <v>2281</v>
      </c>
    </row>
    <row r="5675" spans="1:16" hidden="1">
      <c r="A5675" s="2">
        <v>202109</v>
      </c>
      <c r="B5675" s="3">
        <v>44459</v>
      </c>
      <c r="C5675" s="2" t="s">
        <v>2447</v>
      </c>
      <c r="D5675" s="2" t="s">
        <v>2228</v>
      </c>
      <c r="E5675" s="2">
        <v>11.16</v>
      </c>
      <c r="F5675" s="2" t="e">
        <f>IF(Table2[[#This Row],[Manual Cat Value]]="",VLOOKUP(Table2[[#This Row],[Description]],'Actuals Lookup'!D:F,3,0),Table2[[#This Row],[Manual Cat Value]])</f>
        <v>#N/A</v>
      </c>
      <c r="J5675" s="2">
        <v>11.16</v>
      </c>
      <c r="K5675" s="2" t="b">
        <v>0</v>
      </c>
      <c r="L5675" s="2"/>
      <c r="M5675" s="2"/>
      <c r="N5675" s="4" t="s">
        <v>2259</v>
      </c>
      <c r="O5675" s="4" t="str">
        <f>LEFT(Table2[[#This Row],[Description]],75)</f>
        <v>Yum Kitchen and Bakery</v>
      </c>
      <c r="P5675" s="2" t="s">
        <v>2281</v>
      </c>
    </row>
    <row r="5676" spans="1:16" hidden="1">
      <c r="A5676" s="2">
        <v>202109</v>
      </c>
      <c r="B5676" s="3">
        <v>44460</v>
      </c>
      <c r="C5676" s="2" t="s">
        <v>2258</v>
      </c>
      <c r="D5676" s="2" t="s">
        <v>997</v>
      </c>
      <c r="E5676" s="2">
        <v>506.09</v>
      </c>
      <c r="F5676" s="2" t="str">
        <f>IF(Table2[[#This Row],[Manual Cat Value]]="",VLOOKUP(Table2[[#This Row],[Description]],'Actuals Lookup'!D:F,3,0),Table2[[#This Row],[Manual Cat Value]])</f>
        <v>Delete</v>
      </c>
      <c r="J5676" s="2">
        <v>-506.09</v>
      </c>
      <c r="K5676" s="2" t="b">
        <v>0</v>
      </c>
      <c r="L5676" s="2"/>
      <c r="M5676" s="2"/>
      <c r="N5676" s="4" t="s">
        <v>2273</v>
      </c>
      <c r="O5676" s="4" t="str">
        <f>LEFT(Table2[[#This Row],[Description]],75)</f>
        <v>INTERNET PAYMENT - THANK YOU</v>
      </c>
      <c r="P5676" s="2" t="s">
        <v>2291</v>
      </c>
    </row>
    <row r="5677" spans="1:16" hidden="1">
      <c r="A5677" s="2">
        <v>202109</v>
      </c>
      <c r="B5677" s="3">
        <v>44460</v>
      </c>
      <c r="C5677" s="2" t="s">
        <v>2447</v>
      </c>
      <c r="D5677" s="2" t="s">
        <v>997</v>
      </c>
      <c r="E5677" s="2">
        <v>-506.09</v>
      </c>
      <c r="F5677" s="2" t="str">
        <f>IF(Table2[[#This Row],[Manual Cat Value]]="",VLOOKUP(Table2[[#This Row],[Description]],'Actuals Lookup'!D:F,3,0),Table2[[#This Row],[Manual Cat Value]])</f>
        <v>Delete</v>
      </c>
      <c r="J5677" s="2">
        <v>506.09</v>
      </c>
      <c r="K5677" s="2" t="b">
        <v>0</v>
      </c>
      <c r="L5677" s="2"/>
      <c r="M5677" s="2"/>
      <c r="N5677" s="4" t="s">
        <v>2273</v>
      </c>
      <c r="O5677" s="4" t="str">
        <f>LEFT(Table2[[#This Row],[Description]],75)</f>
        <v>INTERNET PAYMENT - THANK YOU</v>
      </c>
      <c r="P5677" s="2" t="s">
        <v>2291</v>
      </c>
    </row>
    <row r="5678" spans="1:16" hidden="1">
      <c r="A5678" s="2">
        <v>202109</v>
      </c>
      <c r="B5678" s="3">
        <v>44460</v>
      </c>
      <c r="C5678" s="2" t="s">
        <v>2262</v>
      </c>
      <c r="D5678" s="2" t="s">
        <v>1423</v>
      </c>
      <c r="E5678" s="2">
        <v>845.16</v>
      </c>
      <c r="F5678" s="2" t="e">
        <f>IF(Table2[[#This Row],[Manual Cat Value]]="",VLOOKUP(Table2[[#This Row],[Description]],'Actuals Lookup'!D:F,3,0),Table2[[#This Row],[Manual Cat Value]])</f>
        <v>#N/A</v>
      </c>
      <c r="J5678" s="2">
        <v>-845.16</v>
      </c>
      <c r="K5678" s="2" t="b">
        <v>0</v>
      </c>
      <c r="L5678" s="2"/>
      <c r="M5678" s="2"/>
      <c r="N5678" s="4" t="s">
        <v>2273</v>
      </c>
      <c r="O5678" s="4" t="str">
        <f>LEFT(Table2[[#This Row],[Description]],75)</f>
        <v>PAYMENT THANK YOU</v>
      </c>
      <c r="P5678" s="2" t="s">
        <v>2391</v>
      </c>
    </row>
    <row r="5679" spans="1:16" hidden="1">
      <c r="A5679" s="2">
        <v>202109</v>
      </c>
      <c r="B5679" s="3">
        <v>44460</v>
      </c>
      <c r="C5679" s="2" t="s">
        <v>2265</v>
      </c>
      <c r="D5679" s="2" t="s">
        <v>2203</v>
      </c>
      <c r="E5679" s="2">
        <v>845.16</v>
      </c>
      <c r="F5679" s="2" t="e">
        <f>IF(Table2[[#This Row],[Manual Cat Value]]="",VLOOKUP(Table2[[#This Row],[Description]],'Actuals Lookup'!D:F,3,0),Table2[[#This Row],[Manual Cat Value]])</f>
        <v>#N/A</v>
      </c>
      <c r="J5679" s="2">
        <v>845.16</v>
      </c>
      <c r="K5679" s="2" t="b">
        <v>0</v>
      </c>
      <c r="L5679" s="2"/>
      <c r="M5679" s="2"/>
      <c r="N5679" s="4" t="s">
        <v>2259</v>
      </c>
      <c r="O5679" s="4" t="str">
        <f>LEFT(Table2[[#This Row],[Description]],75)</f>
        <v>Withdrawal Home payment to card XX91 Withdrawal Home payment to card 979181</v>
      </c>
      <c r="P5679" s="2" t="s">
        <v>2559</v>
      </c>
    </row>
    <row r="5680" spans="1:16" hidden="1">
      <c r="A5680" s="2">
        <v>202109</v>
      </c>
      <c r="B5680" s="3">
        <v>44460</v>
      </c>
      <c r="C5680" s="2" t="s">
        <v>2262</v>
      </c>
      <c r="D5680" s="2" t="s">
        <v>310</v>
      </c>
      <c r="E5680" s="2">
        <v>9</v>
      </c>
      <c r="F5680" s="2" t="e">
        <f>IF(Table2[[#This Row],[Manual Cat Value]]="",VLOOKUP(Table2[[#This Row],[Description]],'Actuals Lookup'!D:F,3,0),Table2[[#This Row],[Manual Cat Value]])</f>
        <v>#N/A</v>
      </c>
      <c r="J5680" s="2">
        <v>9</v>
      </c>
      <c r="K5680" s="2" t="b">
        <v>0</v>
      </c>
      <c r="L5680" s="2"/>
      <c r="M5680" s="2"/>
      <c r="N5680" s="4" t="s">
        <v>2259</v>
      </c>
      <c r="O5680" s="4" t="str">
        <f>LEFT(Table2[[#This Row],[Description]],75)</f>
        <v>BONFES PLUMBING HEATING ASOUTH SAINT PMN</v>
      </c>
      <c r="P5680" s="2" t="s">
        <v>2537</v>
      </c>
    </row>
    <row r="5681" spans="1:16" hidden="1">
      <c r="A5681" s="2">
        <v>202109</v>
      </c>
      <c r="B5681" s="3">
        <v>44460</v>
      </c>
      <c r="C5681" s="2" t="s">
        <v>2265</v>
      </c>
      <c r="D5681" s="2" t="s">
        <v>557</v>
      </c>
      <c r="E5681" s="2">
        <v>107.8</v>
      </c>
      <c r="F5681" s="2" t="e">
        <f>IF(Table2[[#This Row],[Manual Cat Value]]="",VLOOKUP(Table2[[#This Row],[Description]],'Actuals Lookup'!D:F,3,0),Table2[[#This Row],[Manual Cat Value]])</f>
        <v>#N/A</v>
      </c>
      <c r="J5681" s="2">
        <v>107.8</v>
      </c>
      <c r="K5681" s="2" t="b">
        <v>0</v>
      </c>
      <c r="L5681" s="2"/>
      <c r="M5681" s="2"/>
      <c r="N5681" s="4" t="s">
        <v>2259</v>
      </c>
      <c r="O5681" s="4" t="str">
        <f>LEFT(Table2[[#This Row],[Description]],75)</f>
        <v>City of Chanhassen</v>
      </c>
      <c r="P5681" s="2" t="s">
        <v>2298</v>
      </c>
    </row>
    <row r="5682" spans="1:16" hidden="1">
      <c r="A5682" s="2">
        <v>202109</v>
      </c>
      <c r="B5682" s="3">
        <v>44460</v>
      </c>
      <c r="C5682" s="2" t="s">
        <v>2262</v>
      </c>
      <c r="D5682" s="2" t="s">
        <v>684</v>
      </c>
      <c r="E5682" s="2">
        <v>129.36000000000001</v>
      </c>
      <c r="F5682" s="2" t="str">
        <f>IF(Table2[[#This Row],[Manual Cat Value]]="",VLOOKUP(Table2[[#This Row],[Description]],'Actuals Lookup'!D:F,3,0),Table2[[#This Row],[Manual Cat Value]])</f>
        <v>Groceries</v>
      </c>
      <c r="J5682" s="2">
        <v>129.36000000000001</v>
      </c>
      <c r="K5682" s="2" t="b">
        <v>0</v>
      </c>
      <c r="L5682" s="2"/>
      <c r="M5682" s="2"/>
      <c r="N5682" s="4" t="s">
        <v>2259</v>
      </c>
      <c r="O5682" s="4" t="str">
        <f>LEFT(Table2[[#This Row],[Description]],75)</f>
        <v>Cub Foods</v>
      </c>
      <c r="P5682" s="2" t="s">
        <v>2370</v>
      </c>
    </row>
    <row r="5683" spans="1:16" hidden="1">
      <c r="A5683" s="2">
        <v>202109</v>
      </c>
      <c r="B5683" s="3">
        <v>44460</v>
      </c>
      <c r="C5683" s="2" t="s">
        <v>2317</v>
      </c>
      <c r="D5683" s="2" t="s">
        <v>1633</v>
      </c>
      <c r="E5683" s="2">
        <v>200</v>
      </c>
      <c r="F5683" s="2" t="e">
        <f>IF(Table2[[#This Row],[Manual Cat Value]]="",VLOOKUP(Table2[[#This Row],[Description]],'Actuals Lookup'!D:F,3,0),Table2[[#This Row],[Manual Cat Value]])</f>
        <v>#N/A</v>
      </c>
      <c r="J5683" s="2">
        <v>200</v>
      </c>
      <c r="K5683" s="2" t="b">
        <v>0</v>
      </c>
      <c r="L5683" s="2"/>
      <c r="M5683" s="2"/>
      <c r="N5683" s="4" t="s">
        <v>2259</v>
      </c>
      <c r="O5683" s="4" t="str">
        <f>LEFT(Table2[[#This Row],[Description]],75)</f>
        <v>SCHWAB S&amp;P 500 INDEX FD</v>
      </c>
      <c r="P5683" s="2" t="s">
        <v>2276</v>
      </c>
    </row>
    <row r="5684" spans="1:16" hidden="1">
      <c r="A5684" s="2">
        <v>202109</v>
      </c>
      <c r="B5684" s="3">
        <v>44460</v>
      </c>
      <c r="C5684" s="2" t="s">
        <v>2317</v>
      </c>
      <c r="D5684" s="2" t="s">
        <v>1635</v>
      </c>
      <c r="E5684" s="2">
        <v>200</v>
      </c>
      <c r="F5684" s="2" t="e">
        <f>IF(Table2[[#This Row],[Manual Cat Value]]="",VLOOKUP(Table2[[#This Row],[Description]],'Actuals Lookup'!D:F,3,0),Table2[[#This Row],[Manual Cat Value]])</f>
        <v>#N/A</v>
      </c>
      <c r="J5684" s="2">
        <v>200</v>
      </c>
      <c r="K5684" s="2" t="b">
        <v>0</v>
      </c>
      <c r="L5684" s="2"/>
      <c r="M5684" s="2"/>
      <c r="N5684" s="4" t="s">
        <v>2259</v>
      </c>
      <c r="O5684" s="4" t="str">
        <f>LEFT(Table2[[#This Row],[Description]],75)</f>
        <v>SCHWAB TOTAL STOCK MKT INDEX</v>
      </c>
      <c r="P5684" s="2" t="s">
        <v>2278</v>
      </c>
    </row>
    <row r="5685" spans="1:16" hidden="1">
      <c r="A5685" s="2">
        <v>202109</v>
      </c>
      <c r="B5685" s="3">
        <v>44461</v>
      </c>
      <c r="C5685" s="2" t="s">
        <v>2265</v>
      </c>
      <c r="D5685" s="2" t="s">
        <v>741</v>
      </c>
      <c r="E5685" s="2">
        <v>506.09</v>
      </c>
      <c r="F5685" s="2" t="e">
        <f>IF(Table2[[#This Row],[Manual Cat Value]]="",VLOOKUP(Table2[[#This Row],[Description]],'Actuals Lookup'!D:F,3,0),Table2[[#This Row],[Manual Cat Value]])</f>
        <v>#N/A</v>
      </c>
      <c r="J5685" s="2">
        <v>506.09</v>
      </c>
      <c r="K5685" s="2" t="b">
        <v>0</v>
      </c>
      <c r="L5685" s="2"/>
      <c r="M5685" s="2"/>
      <c r="N5685" s="4" t="s">
        <v>2259</v>
      </c>
      <c r="O5685" s="4" t="str">
        <f>LEFT(Table2[[#This Row],[Description]],75)</f>
        <v>Discover Bank DISCOVER TYPE EPAYMENT ID CO DISCOVER ACH ECC WEB ACH Trace 3</v>
      </c>
      <c r="P5685" s="2" t="s">
        <v>2293</v>
      </c>
    </row>
    <row r="5686" spans="1:16" hidden="1">
      <c r="A5686" s="2">
        <v>202109</v>
      </c>
      <c r="B5686" s="3">
        <v>44461</v>
      </c>
      <c r="C5686" s="2" t="s">
        <v>2258</v>
      </c>
      <c r="D5686" s="2" t="s">
        <v>690</v>
      </c>
      <c r="E5686" s="2">
        <v>41.17</v>
      </c>
      <c r="F5686" s="2" t="str">
        <f>IF(Table2[[#This Row],[Manual Cat Value]]="",VLOOKUP(Table2[[#This Row],[Description]],'Actuals Lookup'!D:F,3,0),Table2[[#This Row],[Manual Cat Value]])</f>
        <v>Restaurants</v>
      </c>
      <c r="J5686" s="2">
        <v>41.17</v>
      </c>
      <c r="K5686" s="2" t="b">
        <v>0</v>
      </c>
      <c r="L5686" s="2"/>
      <c r="M5686" s="2"/>
      <c r="N5686" s="4" t="s">
        <v>2259</v>
      </c>
      <c r="O5686" s="4" t="str">
        <f>LEFT(Table2[[#This Row],[Description]],75)</f>
        <v>Culver's</v>
      </c>
      <c r="P5686" s="2" t="s">
        <v>2281</v>
      </c>
    </row>
    <row r="5687" spans="1:16" hidden="1">
      <c r="A5687" s="2">
        <v>202109</v>
      </c>
      <c r="B5687" s="3">
        <v>44461</v>
      </c>
      <c r="C5687" s="2" t="s">
        <v>2447</v>
      </c>
      <c r="D5687" s="2" t="s">
        <v>690</v>
      </c>
      <c r="E5687" s="2">
        <v>41.17</v>
      </c>
      <c r="F5687" s="2" t="str">
        <f>IF(Table2[[#This Row],[Manual Cat Value]]="",VLOOKUP(Table2[[#This Row],[Description]],'Actuals Lookup'!D:F,3,0),Table2[[#This Row],[Manual Cat Value]])</f>
        <v>Restaurants</v>
      </c>
      <c r="J5687" s="2">
        <v>41.17</v>
      </c>
      <c r="K5687" s="2" t="b">
        <v>0</v>
      </c>
      <c r="L5687" s="2"/>
      <c r="M5687" s="2"/>
      <c r="N5687" s="4" t="s">
        <v>2259</v>
      </c>
      <c r="O5687" s="4" t="str">
        <f>LEFT(Table2[[#This Row],[Description]],75)</f>
        <v>Culver's</v>
      </c>
      <c r="P5687" s="2" t="s">
        <v>2281</v>
      </c>
    </row>
    <row r="5688" spans="1:16" hidden="1">
      <c r="A5688" s="2">
        <v>202109</v>
      </c>
      <c r="B5688" s="3">
        <v>44461</v>
      </c>
      <c r="C5688" s="2" t="s">
        <v>2317</v>
      </c>
      <c r="D5688" s="2" t="s">
        <v>913</v>
      </c>
      <c r="E5688" s="2">
        <v>-0.01</v>
      </c>
      <c r="F5688" s="2" t="e">
        <f>IF(Table2[[#This Row],[Manual Cat Value]]="",VLOOKUP(Table2[[#This Row],[Description]],'Actuals Lookup'!D:F,3,0),Table2[[#This Row],[Manual Cat Value]])</f>
        <v>#N/A</v>
      </c>
      <c r="J5688" s="2">
        <v>0.01</v>
      </c>
      <c r="K5688" s="2" t="b">
        <v>0</v>
      </c>
      <c r="L5688" s="2"/>
      <c r="M5688" s="2"/>
      <c r="N5688" s="4" t="s">
        <v>2273</v>
      </c>
      <c r="O5688" s="4" t="str">
        <f>LEFT(Table2[[#This Row],[Description]],75)</f>
        <v>HALLIBURTON CO HLDG</v>
      </c>
      <c r="P5688" s="2" t="s">
        <v>2433</v>
      </c>
    </row>
    <row r="5689" spans="1:16" hidden="1">
      <c r="A5689" s="2">
        <v>202109</v>
      </c>
      <c r="B5689" s="3">
        <v>44461</v>
      </c>
      <c r="C5689" s="2" t="s">
        <v>2262</v>
      </c>
      <c r="D5689" s="2" t="s">
        <v>1516</v>
      </c>
      <c r="E5689" s="2">
        <v>21.46</v>
      </c>
      <c r="F5689" s="2" t="e">
        <f>IF(Table2[[#This Row],[Manual Cat Value]]="",VLOOKUP(Table2[[#This Row],[Description]],'Actuals Lookup'!D:F,3,0),Table2[[#This Row],[Manual Cat Value]])</f>
        <v>#N/A</v>
      </c>
      <c r="J5689" s="2">
        <v>21.46</v>
      </c>
      <c r="K5689" s="2" t="b">
        <v>0</v>
      </c>
      <c r="L5689" s="2"/>
      <c r="M5689" s="2"/>
      <c r="N5689" s="4" t="s">
        <v>2259</v>
      </c>
      <c r="O5689" s="4" t="str">
        <f>LEFT(Table2[[#This Row],[Description]],75)</f>
        <v>Prime Video2C7EB1OP1 8888023080 WA</v>
      </c>
      <c r="P5689" s="2" t="s">
        <v>2342</v>
      </c>
    </row>
    <row r="5690" spans="1:16" hidden="1">
      <c r="A5690" s="2">
        <v>202109</v>
      </c>
      <c r="B5690" s="3">
        <v>44461</v>
      </c>
      <c r="C5690" s="2" t="s">
        <v>2317</v>
      </c>
      <c r="D5690" s="2" t="s">
        <v>1811</v>
      </c>
      <c r="E5690" s="2">
        <v>229.43</v>
      </c>
      <c r="F5690" s="2" t="e">
        <f>IF(Table2[[#This Row],[Manual Cat Value]]="",VLOOKUP(Table2[[#This Row],[Description]],'Actuals Lookup'!D:F,3,0),Table2[[#This Row],[Manual Cat Value]])</f>
        <v>#N/A</v>
      </c>
      <c r="J5690" s="2">
        <v>229.43</v>
      </c>
      <c r="K5690" s="2" t="b">
        <v>0</v>
      </c>
      <c r="L5690" s="2"/>
      <c r="M5690" s="2"/>
      <c r="N5690" s="4" t="s">
        <v>2259</v>
      </c>
      <c r="O5690" s="4" t="str">
        <f>LEFT(Table2[[#This Row],[Description]],75)</f>
        <v>TAIWAN SEMICONDUCTR FSPONSORED ADR 1 ADR REPS 5 ORD SHS</v>
      </c>
      <c r="P5690" s="2" t="s">
        <v>2385</v>
      </c>
    </row>
    <row r="5691" spans="1:16" hidden="1">
      <c r="A5691" s="2">
        <v>202109</v>
      </c>
      <c r="B5691" s="3">
        <v>44461</v>
      </c>
      <c r="C5691" s="2" t="s">
        <v>2262</v>
      </c>
      <c r="D5691" s="2" t="s">
        <v>1867</v>
      </c>
      <c r="E5691" s="2">
        <v>86.64</v>
      </c>
      <c r="F5691" s="2" t="e">
        <f>IF(Table2[[#This Row],[Manual Cat Value]]="",VLOOKUP(Table2[[#This Row],[Description]],'Actuals Lookup'!D:F,3,0),Table2[[#This Row],[Manual Cat Value]])</f>
        <v>#N/A</v>
      </c>
      <c r="J5691" s="2">
        <v>86.64</v>
      </c>
      <c r="K5691" s="2" t="b">
        <v>0</v>
      </c>
      <c r="L5691" s="2"/>
      <c r="M5691" s="2"/>
      <c r="N5691" s="4" t="s">
        <v>2259</v>
      </c>
      <c r="O5691" s="4" t="str">
        <f>LEFT(Table2[[#This Row],[Description]],75)</f>
        <v>Ticketmaster</v>
      </c>
      <c r="P5691" s="2" t="s">
        <v>2281</v>
      </c>
    </row>
    <row r="5692" spans="1:16" hidden="1">
      <c r="A5692" s="2">
        <v>202109</v>
      </c>
      <c r="B5692" s="3">
        <v>44461</v>
      </c>
      <c r="C5692" s="2" t="s">
        <v>2262</v>
      </c>
      <c r="D5692" s="2" t="s">
        <v>1926</v>
      </c>
      <c r="E5692" s="2">
        <v>46.07</v>
      </c>
      <c r="F5692" s="2" t="e">
        <f>IF(Table2[[#This Row],[Manual Cat Value]]="",VLOOKUP(Table2[[#This Row],[Description]],'Actuals Lookup'!D:F,3,0),Table2[[#This Row],[Manual Cat Value]])</f>
        <v>#N/A</v>
      </c>
      <c r="J5692" s="2">
        <v>46.07</v>
      </c>
      <c r="K5692" s="2" t="b">
        <v>0</v>
      </c>
      <c r="L5692" s="2"/>
      <c r="M5692" s="2"/>
      <c r="N5692" s="4" t="s">
        <v>2259</v>
      </c>
      <c r="O5692" s="4" t="str">
        <f>LEFT(Table2[[#This Row],[Description]],75)</f>
        <v>Total Wine and More</v>
      </c>
      <c r="P5692" s="2" t="s">
        <v>2289</v>
      </c>
    </row>
    <row r="5693" spans="1:16" hidden="1">
      <c r="A5693" s="2">
        <v>202109</v>
      </c>
      <c r="B5693" s="3">
        <v>44461</v>
      </c>
      <c r="C5693" s="2" t="s">
        <v>2317</v>
      </c>
      <c r="D5693" s="2" t="s">
        <v>2130</v>
      </c>
      <c r="E5693" s="2">
        <v>877.47</v>
      </c>
      <c r="F5693" s="2" t="e">
        <f>IF(Table2[[#This Row],[Manual Cat Value]]="",VLOOKUP(Table2[[#This Row],[Description]],'Actuals Lookup'!D:F,3,0),Table2[[#This Row],[Manual Cat Value]])</f>
        <v>#N/A</v>
      </c>
      <c r="J5693" s="2">
        <v>877.47</v>
      </c>
      <c r="K5693" s="2" t="b">
        <v>0</v>
      </c>
      <c r="L5693" s="2"/>
      <c r="M5693" s="2"/>
      <c r="N5693" s="4" t="s">
        <v>2259</v>
      </c>
      <c r="O5693" s="4" t="str">
        <f>LEFT(Table2[[#This Row],[Description]],75)</f>
        <v>VISA INC CLASS A</v>
      </c>
      <c r="P5693" s="2" t="s">
        <v>2423</v>
      </c>
    </row>
    <row r="5694" spans="1:16" hidden="1">
      <c r="A5694" s="2">
        <v>202109</v>
      </c>
      <c r="B5694" s="3">
        <v>44462</v>
      </c>
      <c r="C5694" s="2" t="s">
        <v>2258</v>
      </c>
      <c r="D5694" s="2" t="s">
        <v>38</v>
      </c>
      <c r="E5694" s="2">
        <v>170.27</v>
      </c>
      <c r="F5694" s="2" t="str">
        <f>IF(Table2[[#This Row],[Manual Cat Value]]="",VLOOKUP(Table2[[#This Row],[Description]],'Actuals Lookup'!D:F,3,0),Table2[[#This Row],[Manual Cat Value]])</f>
        <v>Amazon</v>
      </c>
      <c r="J5694" s="2">
        <v>170.27</v>
      </c>
      <c r="K5694" s="2" t="b">
        <v>0</v>
      </c>
      <c r="L5694" s="2"/>
      <c r="M5694" s="2"/>
      <c r="N5694" s="4" t="s">
        <v>2259</v>
      </c>
      <c r="O5694" s="4" t="str">
        <f>LEFT(Table2[[#This Row],[Description]],75)</f>
        <v>Amazon</v>
      </c>
      <c r="P5694" s="2" t="s">
        <v>2260</v>
      </c>
    </row>
    <row r="5695" spans="1:16" hidden="1">
      <c r="A5695" s="2">
        <v>202109</v>
      </c>
      <c r="B5695" s="3">
        <v>44462</v>
      </c>
      <c r="C5695" s="2" t="s">
        <v>2447</v>
      </c>
      <c r="D5695" s="2" t="s">
        <v>38</v>
      </c>
      <c r="E5695" s="2">
        <v>170.27</v>
      </c>
      <c r="F5695" s="2" t="str">
        <f>IF(Table2[[#This Row],[Manual Cat Value]]="",VLOOKUP(Table2[[#This Row],[Description]],'Actuals Lookup'!D:F,3,0),Table2[[#This Row],[Manual Cat Value]])</f>
        <v>Amazon</v>
      </c>
      <c r="J5695" s="2">
        <v>170.27</v>
      </c>
      <c r="K5695" s="2" t="b">
        <v>0</v>
      </c>
      <c r="L5695" s="2"/>
      <c r="M5695" s="2"/>
      <c r="N5695" s="4" t="s">
        <v>2259</v>
      </c>
      <c r="O5695" s="4" t="str">
        <f>LEFT(Table2[[#This Row],[Description]],75)</f>
        <v>Amazon</v>
      </c>
      <c r="P5695" s="2" t="s">
        <v>2260</v>
      </c>
    </row>
    <row r="5696" spans="1:16" hidden="1">
      <c r="A5696" s="2">
        <v>202109</v>
      </c>
      <c r="B5696" s="3">
        <v>44462</v>
      </c>
      <c r="C5696" s="2" t="s">
        <v>2317</v>
      </c>
      <c r="D5696" s="2" t="s">
        <v>913</v>
      </c>
      <c r="E5696" s="2">
        <v>0.01</v>
      </c>
      <c r="F5696" s="2" t="e">
        <f>IF(Table2[[#This Row],[Manual Cat Value]]="",VLOOKUP(Table2[[#This Row],[Description]],'Actuals Lookup'!D:F,3,0),Table2[[#This Row],[Manual Cat Value]])</f>
        <v>#N/A</v>
      </c>
      <c r="J5696" s="2">
        <v>0.01</v>
      </c>
      <c r="K5696" s="2" t="b">
        <v>0</v>
      </c>
      <c r="L5696" s="2"/>
      <c r="M5696" s="2"/>
      <c r="N5696" s="4" t="s">
        <v>2259</v>
      </c>
      <c r="O5696" s="4" t="str">
        <f>LEFT(Table2[[#This Row],[Description]],75)</f>
        <v>HALLIBURTON CO HLDG</v>
      </c>
      <c r="P5696" s="2" t="s">
        <v>2433</v>
      </c>
    </row>
    <row r="5697" spans="1:16" hidden="1">
      <c r="A5697" s="2">
        <v>202109</v>
      </c>
      <c r="B5697" s="3">
        <v>44462</v>
      </c>
      <c r="C5697" s="2" t="s">
        <v>2262</v>
      </c>
      <c r="D5697" s="2" t="s">
        <v>1526</v>
      </c>
      <c r="E5697" s="2">
        <v>2239.66</v>
      </c>
      <c r="F5697" s="2" t="e">
        <f>IF(Table2[[#This Row],[Manual Cat Value]]="",VLOOKUP(Table2[[#This Row],[Description]],'Actuals Lookup'!D:F,3,0),Table2[[#This Row],[Manual Cat Value]])</f>
        <v>#N/A</v>
      </c>
      <c r="J5697" s="2">
        <v>2239.66</v>
      </c>
      <c r="K5697" s="2" t="b">
        <v>0</v>
      </c>
      <c r="L5697" s="2"/>
      <c r="M5697" s="2"/>
      <c r="N5697" s="4" t="s">
        <v>2259</v>
      </c>
      <c r="O5697" s="4" t="str">
        <f>LEFT(Table2[[#This Row],[Description]],75)</f>
        <v>Prosource</v>
      </c>
      <c r="P5697" s="2" t="s">
        <v>2281</v>
      </c>
    </row>
    <row r="5698" spans="1:16" hidden="1">
      <c r="A5698" s="2">
        <v>202109</v>
      </c>
      <c r="B5698" s="3">
        <v>44462</v>
      </c>
      <c r="C5698" s="2" t="s">
        <v>2265</v>
      </c>
      <c r="D5698" s="2" t="s">
        <v>1598</v>
      </c>
      <c r="E5698" s="2">
        <v>326.25</v>
      </c>
      <c r="F5698" s="2" t="e">
        <f>IF(Table2[[#This Row],[Manual Cat Value]]="",VLOOKUP(Table2[[#This Row],[Description]],'Actuals Lookup'!D:F,3,0),Table2[[#This Row],[Manual Cat Value]])</f>
        <v>#N/A</v>
      </c>
      <c r="J5698" s="2">
        <v>326.25</v>
      </c>
      <c r="K5698" s="2" t="b">
        <v>0</v>
      </c>
      <c r="L5698" s="2"/>
      <c r="M5698" s="2"/>
      <c r="N5698" s="4" t="s">
        <v>2259</v>
      </c>
      <c r="O5698" s="4" t="str">
        <f>LEFT(Table2[[#This Row],[Description]],75)</f>
        <v>River Services, Inc</v>
      </c>
      <c r="P5698" s="2" t="s">
        <v>2281</v>
      </c>
    </row>
    <row r="5699" spans="1:16" hidden="1">
      <c r="A5699" s="2">
        <v>202109</v>
      </c>
      <c r="B5699" s="3">
        <v>44462</v>
      </c>
      <c r="C5699" s="2" t="s">
        <v>2300</v>
      </c>
      <c r="D5699" s="2" t="s">
        <v>1648</v>
      </c>
      <c r="E5699" s="2">
        <v>200</v>
      </c>
      <c r="F5699" s="2" t="e">
        <f>IF(Table2[[#This Row],[Manual Cat Value]]="",VLOOKUP(Table2[[#This Row],[Description]],'Actuals Lookup'!D:F,3,0),Table2[[#This Row],[Manual Cat Value]])</f>
        <v>#N/A</v>
      </c>
      <c r="J5699" s="2">
        <v>-200</v>
      </c>
      <c r="K5699" s="2" t="b">
        <v>0</v>
      </c>
      <c r="L5699" s="2"/>
      <c r="M5699" s="2"/>
      <c r="N5699" s="4" t="s">
        <v>2273</v>
      </c>
      <c r="O5699" s="4" t="str">
        <f>LEFT(Table2[[#This Row],[Description]],75)</f>
        <v>Share</v>
      </c>
      <c r="P5699" s="2" t="s">
        <v>2448</v>
      </c>
    </row>
    <row r="5700" spans="1:16" hidden="1">
      <c r="A5700" s="2">
        <v>202109</v>
      </c>
      <c r="B5700" s="3">
        <v>44462</v>
      </c>
      <c r="C5700" s="2" t="s">
        <v>2265</v>
      </c>
      <c r="D5700" s="2" t="s">
        <v>1892</v>
      </c>
      <c r="E5700" s="2">
        <v>200</v>
      </c>
      <c r="F5700" s="2" t="e">
        <f>IF(Table2[[#This Row],[Manual Cat Value]]="",VLOOKUP(Table2[[#This Row],[Description]],'Actuals Lookup'!D:F,3,0),Table2[[#This Row],[Manual Cat Value]])</f>
        <v>#N/A</v>
      </c>
      <c r="J5700" s="2">
        <v>200</v>
      </c>
      <c r="K5700" s="2" t="b">
        <v>0</v>
      </c>
      <c r="L5700" s="2"/>
      <c r="M5700" s="2"/>
      <c r="N5700" s="4" t="s">
        <v>2259</v>
      </c>
      <c r="O5700" s="4" t="str">
        <f>LEFT(Table2[[#This Row],[Description]],75)</f>
        <v>To Share 12</v>
      </c>
      <c r="P5700" s="2" t="s">
        <v>2494</v>
      </c>
    </row>
    <row r="5701" spans="1:16" hidden="1">
      <c r="A5701" s="2">
        <v>202109</v>
      </c>
      <c r="B5701" s="3">
        <v>44463</v>
      </c>
      <c r="C5701" s="2" t="s">
        <v>2262</v>
      </c>
      <c r="D5701" s="2" t="s">
        <v>338</v>
      </c>
      <c r="E5701" s="2">
        <v>26.8</v>
      </c>
      <c r="F5701" s="2" t="e">
        <f>IF(Table2[[#This Row],[Manual Cat Value]]="",VLOOKUP(Table2[[#This Row],[Description]],'Actuals Lookup'!D:F,3,0),Table2[[#This Row],[Manual Cat Value]])</f>
        <v>#N/A</v>
      </c>
      <c r="J5701" s="2">
        <v>26.8</v>
      </c>
      <c r="K5701" s="2" t="b">
        <v>0</v>
      </c>
      <c r="L5701" s="2"/>
      <c r="M5701" s="2"/>
      <c r="N5701" s="4" t="s">
        <v>2259</v>
      </c>
      <c r="O5701" s="4" t="str">
        <f>LEFT(Table2[[#This Row],[Description]],75)</f>
        <v>Byerly's</v>
      </c>
      <c r="P5701" s="2" t="s">
        <v>2364</v>
      </c>
    </row>
    <row r="5702" spans="1:16" hidden="1">
      <c r="A5702" s="2">
        <v>202109</v>
      </c>
      <c r="B5702" s="3">
        <v>44463</v>
      </c>
      <c r="C5702" s="2" t="s">
        <v>2262</v>
      </c>
      <c r="D5702" s="2" t="s">
        <v>936</v>
      </c>
      <c r="E5702" s="2">
        <v>40.5</v>
      </c>
      <c r="F5702" s="2" t="e">
        <f>IF(Table2[[#This Row],[Manual Cat Value]]="",VLOOKUP(Table2[[#This Row],[Description]],'Actuals Lookup'!D:F,3,0),Table2[[#This Row],[Manual Cat Value]])</f>
        <v>#N/A</v>
      </c>
      <c r="J5702" s="2">
        <v>40.5</v>
      </c>
      <c r="K5702" s="2" t="b">
        <v>0</v>
      </c>
      <c r="L5702" s="2"/>
      <c r="M5702" s="2"/>
      <c r="N5702" s="4" t="s">
        <v>2259</v>
      </c>
      <c r="O5702" s="4" t="str">
        <f>LEFT(Table2[[#This Row],[Description]],75)</f>
        <v>HMCOM 8554667467 NY</v>
      </c>
      <c r="P5702" s="2" t="s">
        <v>2281</v>
      </c>
    </row>
    <row r="5703" spans="1:16" hidden="1">
      <c r="A5703" s="2">
        <v>202109</v>
      </c>
      <c r="B5703" s="3">
        <v>44463</v>
      </c>
      <c r="C5703" s="2" t="s">
        <v>2258</v>
      </c>
      <c r="D5703" s="2" t="s">
        <v>1099</v>
      </c>
      <c r="E5703" s="2">
        <v>131.88999999999999</v>
      </c>
      <c r="F5703" s="2" t="e">
        <f>IF(Table2[[#This Row],[Manual Cat Value]]="",VLOOKUP(Table2[[#This Row],[Description]],'Actuals Lookup'!D:F,3,0),Table2[[#This Row],[Manual Cat Value]])</f>
        <v>#N/A</v>
      </c>
      <c r="J5703" s="2">
        <v>131.88999999999999</v>
      </c>
      <c r="K5703" s="2" t="b">
        <v>0</v>
      </c>
      <c r="L5703" s="2"/>
      <c r="M5703" s="2"/>
      <c r="N5703" s="4" t="s">
        <v>2259</v>
      </c>
      <c r="O5703" s="4" t="str">
        <f>LEFT(Table2[[#This Row],[Description]],75)</f>
        <v>LAT14 MINNEAPOLIS MN</v>
      </c>
      <c r="P5703" s="2" t="s">
        <v>2577</v>
      </c>
    </row>
    <row r="5704" spans="1:16" hidden="1">
      <c r="A5704" s="2">
        <v>202109</v>
      </c>
      <c r="B5704" s="3">
        <v>44463</v>
      </c>
      <c r="C5704" s="2" t="s">
        <v>2447</v>
      </c>
      <c r="D5704" s="2" t="s">
        <v>1099</v>
      </c>
      <c r="E5704" s="2">
        <v>131.88999999999999</v>
      </c>
      <c r="F5704" s="2" t="e">
        <f>IF(Table2[[#This Row],[Manual Cat Value]]="",VLOOKUP(Table2[[#This Row],[Description]],'Actuals Lookup'!D:F,3,0),Table2[[#This Row],[Manual Cat Value]])</f>
        <v>#N/A</v>
      </c>
      <c r="J5704" s="2">
        <v>131.88999999999999</v>
      </c>
      <c r="K5704" s="2" t="b">
        <v>0</v>
      </c>
      <c r="L5704" s="2"/>
      <c r="M5704" s="2"/>
      <c r="N5704" s="4" t="s">
        <v>2259</v>
      </c>
      <c r="O5704" s="4" t="str">
        <f>LEFT(Table2[[#This Row],[Description]],75)</f>
        <v>LAT14 MINNEAPOLIS MN</v>
      </c>
      <c r="P5704" s="2" t="s">
        <v>2577</v>
      </c>
    </row>
    <row r="5705" spans="1:16" hidden="1">
      <c r="A5705" s="2">
        <v>202109</v>
      </c>
      <c r="B5705" s="3">
        <v>44463</v>
      </c>
      <c r="C5705" s="2" t="s">
        <v>2262</v>
      </c>
      <c r="D5705" s="2" t="s">
        <v>1158</v>
      </c>
      <c r="E5705" s="2">
        <v>41.05</v>
      </c>
      <c r="F5705" s="2" t="e">
        <f>IF(Table2[[#This Row],[Manual Cat Value]]="",VLOOKUP(Table2[[#This Row],[Description]],'Actuals Lookup'!D:F,3,0),Table2[[#This Row],[Manual Cat Value]])</f>
        <v>#N/A</v>
      </c>
      <c r="J5705" s="2">
        <v>41.05</v>
      </c>
      <c r="K5705" s="2" t="b">
        <v>0</v>
      </c>
      <c r="L5705" s="2"/>
      <c r="M5705" s="2"/>
      <c r="N5705" s="4" t="s">
        <v>2259</v>
      </c>
      <c r="O5705" s="4" t="str">
        <f>LEFT(Table2[[#This Row],[Description]],75)</f>
        <v>Lululemon</v>
      </c>
      <c r="P5705" s="2" t="s">
        <v>2287</v>
      </c>
    </row>
    <row r="5706" spans="1:16" hidden="1">
      <c r="A5706" s="2">
        <v>202109</v>
      </c>
      <c r="B5706" s="3">
        <v>44463</v>
      </c>
      <c r="C5706" s="2" t="s">
        <v>2262</v>
      </c>
      <c r="D5706" s="2" t="s">
        <v>1501</v>
      </c>
      <c r="E5706" s="2">
        <v>161.07</v>
      </c>
      <c r="F5706" s="2" t="e">
        <f>IF(Table2[[#This Row],[Manual Cat Value]]="",VLOOKUP(Table2[[#This Row],[Description]],'Actuals Lookup'!D:F,3,0),Table2[[#This Row],[Manual Cat Value]])</f>
        <v>#N/A</v>
      </c>
      <c r="J5706" s="2">
        <v>161.07</v>
      </c>
      <c r="K5706" s="2" t="b">
        <v>0</v>
      </c>
      <c r="L5706" s="2"/>
      <c r="M5706" s="2"/>
      <c r="N5706" s="4" t="s">
        <v>2259</v>
      </c>
      <c r="O5706" s="4" t="str">
        <f>LEFT(Table2[[#This Row],[Description]],75)</f>
        <v>Plunkett's Pest Control, Inc.</v>
      </c>
      <c r="P5706" s="2" t="s">
        <v>2281</v>
      </c>
    </row>
    <row r="5707" spans="1:16" hidden="1">
      <c r="A5707" s="2">
        <v>202109</v>
      </c>
      <c r="B5707" s="3">
        <v>44464</v>
      </c>
      <c r="C5707" s="2" t="s">
        <v>2262</v>
      </c>
      <c r="D5707" s="2" t="s">
        <v>674</v>
      </c>
      <c r="E5707" s="2">
        <v>2801.61</v>
      </c>
      <c r="F5707" s="2" t="e">
        <f>IF(Table2[[#This Row],[Manual Cat Value]]="",VLOOKUP(Table2[[#This Row],[Description]],'Actuals Lookup'!D:F,3,0),Table2[[#This Row],[Manual Cat Value]])</f>
        <v>#N/A</v>
      </c>
      <c r="J5707" s="2">
        <v>-2801.61</v>
      </c>
      <c r="K5707" s="2" t="b">
        <v>0</v>
      </c>
      <c r="L5707" s="2"/>
      <c r="M5707" s="2"/>
      <c r="N5707" s="4" t="s">
        <v>2273</v>
      </c>
      <c r="O5707" s="4" t="str">
        <f>LEFT(Table2[[#This Row],[Description]],75)</f>
        <v>Credit Card Payment Received PAYMENT THANK YOU</v>
      </c>
      <c r="P5707" s="2" t="s">
        <v>2560</v>
      </c>
    </row>
    <row r="5708" spans="1:16" hidden="1">
      <c r="A5708" s="2">
        <v>202109</v>
      </c>
      <c r="B5708" s="3">
        <v>44464</v>
      </c>
      <c r="C5708" s="2" t="s">
        <v>2265</v>
      </c>
      <c r="D5708" s="2" t="s">
        <v>2203</v>
      </c>
      <c r="E5708" s="2">
        <v>2801.61</v>
      </c>
      <c r="F5708" s="2" t="e">
        <f>IF(Table2[[#This Row],[Manual Cat Value]]="",VLOOKUP(Table2[[#This Row],[Description]],'Actuals Lookup'!D:F,3,0),Table2[[#This Row],[Manual Cat Value]])</f>
        <v>#N/A</v>
      </c>
      <c r="J5708" s="2">
        <v>2801.61</v>
      </c>
      <c r="K5708" s="2" t="b">
        <v>0</v>
      </c>
      <c r="L5708" s="2"/>
      <c r="M5708" s="2"/>
      <c r="N5708" s="4" t="s">
        <v>2259</v>
      </c>
      <c r="O5708" s="4" t="str">
        <f>LEFT(Table2[[#This Row],[Description]],75)</f>
        <v>Withdrawal Home payment to card XX91 Withdrawal Home payment to card 979181</v>
      </c>
      <c r="P5708" s="2" t="s">
        <v>2559</v>
      </c>
    </row>
    <row r="5709" spans="1:16" hidden="1">
      <c r="A5709" s="2">
        <v>202109</v>
      </c>
      <c r="B5709" s="3">
        <v>44465</v>
      </c>
      <c r="C5709" s="2" t="s">
        <v>2262</v>
      </c>
      <c r="D5709" s="2" t="s">
        <v>96</v>
      </c>
      <c r="E5709" s="2">
        <v>5.56</v>
      </c>
      <c r="F5709" s="2" t="e">
        <f>IF(Table2[[#This Row],[Manual Cat Value]]="",VLOOKUP(Table2[[#This Row],[Description]],'Actuals Lookup'!D:F,3,0),Table2[[#This Row],[Manual Cat Value]])</f>
        <v>#N/A</v>
      </c>
      <c r="J5709" s="2">
        <v>5.56</v>
      </c>
      <c r="K5709" s="2" t="b">
        <v>0</v>
      </c>
      <c r="L5709" s="2"/>
      <c r="M5709" s="2"/>
      <c r="N5709" s="4" t="s">
        <v>2259</v>
      </c>
      <c r="O5709" s="4" t="str">
        <f>LEFT(Table2[[#This Row],[Description]],75)</f>
        <v>Ace Hardware</v>
      </c>
      <c r="P5709" s="2" t="s">
        <v>2578</v>
      </c>
    </row>
    <row r="5710" spans="1:16" hidden="1">
      <c r="A5710" s="2">
        <v>202109</v>
      </c>
      <c r="B5710" s="3">
        <v>44465</v>
      </c>
      <c r="C5710" s="2" t="s">
        <v>2258</v>
      </c>
      <c r="D5710" s="2" t="s">
        <v>168</v>
      </c>
      <c r="E5710" s="2">
        <v>31.26</v>
      </c>
      <c r="F5710" s="2" t="e">
        <f>IF(Table2[[#This Row],[Manual Cat Value]]="",VLOOKUP(Table2[[#This Row],[Description]],'Actuals Lookup'!D:F,3,0),Table2[[#This Row],[Manual Cat Value]])</f>
        <v>#N/A</v>
      </c>
      <c r="J5710" s="2">
        <v>31.26</v>
      </c>
      <c r="K5710" s="2" t="b">
        <v>0</v>
      </c>
      <c r="L5710" s="2"/>
      <c r="M5710" s="2"/>
      <c r="N5710" s="4" t="s">
        <v>2259</v>
      </c>
      <c r="O5710" s="4" t="str">
        <f>LEFT(Table2[[#This Row],[Description]],75)</f>
        <v>Aramark</v>
      </c>
      <c r="P5710" s="2" t="s">
        <v>2281</v>
      </c>
    </row>
    <row r="5711" spans="1:16" hidden="1">
      <c r="A5711" s="2">
        <v>202109</v>
      </c>
      <c r="B5711" s="3">
        <v>44465</v>
      </c>
      <c r="C5711" s="2" t="s">
        <v>2447</v>
      </c>
      <c r="D5711" s="2" t="s">
        <v>168</v>
      </c>
      <c r="E5711" s="2">
        <v>31.26</v>
      </c>
      <c r="F5711" s="2" t="e">
        <f>IF(Table2[[#This Row],[Manual Cat Value]]="",VLOOKUP(Table2[[#This Row],[Description]],'Actuals Lookup'!D:F,3,0),Table2[[#This Row],[Manual Cat Value]])</f>
        <v>#N/A</v>
      </c>
      <c r="J5711" s="2">
        <v>31.26</v>
      </c>
      <c r="K5711" s="2" t="b">
        <v>0</v>
      </c>
      <c r="L5711" s="2"/>
      <c r="M5711" s="2"/>
      <c r="N5711" s="4" t="s">
        <v>2259</v>
      </c>
      <c r="O5711" s="4" t="str">
        <f>LEFT(Table2[[#This Row],[Description]],75)</f>
        <v>Aramark</v>
      </c>
      <c r="P5711" s="2" t="s">
        <v>2281</v>
      </c>
    </row>
    <row r="5712" spans="1:16" hidden="1">
      <c r="A5712" s="2">
        <v>202109</v>
      </c>
      <c r="B5712" s="3">
        <v>44465</v>
      </c>
      <c r="C5712" s="2" t="s">
        <v>2262</v>
      </c>
      <c r="D5712" s="2" t="s">
        <v>338</v>
      </c>
      <c r="E5712" s="2">
        <v>123.73</v>
      </c>
      <c r="F5712" s="2" t="e">
        <f>IF(Table2[[#This Row],[Manual Cat Value]]="",VLOOKUP(Table2[[#This Row],[Description]],'Actuals Lookup'!D:F,3,0),Table2[[#This Row],[Manual Cat Value]])</f>
        <v>#N/A</v>
      </c>
      <c r="J5712" s="2">
        <v>123.73</v>
      </c>
      <c r="K5712" s="2" t="b">
        <v>0</v>
      </c>
      <c r="L5712" s="2"/>
      <c r="M5712" s="2"/>
      <c r="N5712" s="4" t="s">
        <v>2259</v>
      </c>
      <c r="O5712" s="4" t="str">
        <f>LEFT(Table2[[#This Row],[Description]],75)</f>
        <v>Byerly's</v>
      </c>
      <c r="P5712" s="2" t="s">
        <v>2364</v>
      </c>
    </row>
    <row r="5713" spans="1:16" hidden="1">
      <c r="A5713" s="2">
        <v>202109</v>
      </c>
      <c r="B5713" s="3">
        <v>44465</v>
      </c>
      <c r="C5713" s="2" t="s">
        <v>2262</v>
      </c>
      <c r="D5713" s="2" t="s">
        <v>1083</v>
      </c>
      <c r="E5713" s="2">
        <v>46.78</v>
      </c>
      <c r="F5713" s="2" t="str">
        <f>IF(Table2[[#This Row],[Manual Cat Value]]="",VLOOKUP(Table2[[#This Row],[Description]],'Actuals Lookup'!D:F,3,0),Table2[[#This Row],[Manual Cat Value]])</f>
        <v>Transportation</v>
      </c>
      <c r="J5713" s="2">
        <v>46.78</v>
      </c>
      <c r="K5713" s="2" t="b">
        <v>0</v>
      </c>
      <c r="L5713" s="2"/>
      <c r="M5713" s="2"/>
      <c r="N5713" s="4" t="s">
        <v>2259</v>
      </c>
      <c r="O5713" s="4" t="str">
        <f>LEFT(Table2[[#This Row],[Description]],75)</f>
        <v>Kwik Trip</v>
      </c>
      <c r="P5713" s="2" t="s">
        <v>2509</v>
      </c>
    </row>
    <row r="5714" spans="1:16" hidden="1">
      <c r="A5714" s="2">
        <v>202109</v>
      </c>
      <c r="B5714" s="3">
        <v>44465</v>
      </c>
      <c r="C5714" s="2" t="s">
        <v>2258</v>
      </c>
      <c r="D5714" s="2" t="s">
        <v>1350</v>
      </c>
      <c r="E5714" s="2">
        <v>8.99</v>
      </c>
      <c r="F5714" s="2" t="str">
        <f>IF(Table2[[#This Row],[Manual Cat Value]]="",VLOOKUP(Table2[[#This Row],[Description]],'Actuals Lookup'!D:F,3,0),Table2[[#This Row],[Manual Cat Value]])</f>
        <v>Utilities</v>
      </c>
      <c r="J5714" s="2">
        <v>8.99</v>
      </c>
      <c r="K5714" s="2" t="b">
        <v>0</v>
      </c>
      <c r="L5714" s="2"/>
      <c r="M5714" s="2"/>
      <c r="N5714" s="4" t="s">
        <v>2259</v>
      </c>
      <c r="O5714" s="4" t="str">
        <f>LEFT(Table2[[#This Row],[Description]],75)</f>
        <v>Netflix</v>
      </c>
      <c r="P5714" s="2" t="s">
        <v>2306</v>
      </c>
    </row>
    <row r="5715" spans="1:16" hidden="1">
      <c r="A5715" s="2">
        <v>202109</v>
      </c>
      <c r="B5715" s="3">
        <v>44465</v>
      </c>
      <c r="C5715" s="2" t="s">
        <v>2447</v>
      </c>
      <c r="D5715" s="2" t="s">
        <v>1350</v>
      </c>
      <c r="E5715" s="2">
        <v>8.99</v>
      </c>
      <c r="F5715" s="2" t="str">
        <f>IF(Table2[[#This Row],[Manual Cat Value]]="",VLOOKUP(Table2[[#This Row],[Description]],'Actuals Lookup'!D:F,3,0),Table2[[#This Row],[Manual Cat Value]])</f>
        <v>Utilities</v>
      </c>
      <c r="J5715" s="2">
        <v>8.99</v>
      </c>
      <c r="K5715" s="2" t="b">
        <v>0</v>
      </c>
      <c r="L5715" s="2"/>
      <c r="M5715" s="2"/>
      <c r="N5715" s="4" t="s">
        <v>2259</v>
      </c>
      <c r="O5715" s="4" t="str">
        <f>LEFT(Table2[[#This Row],[Description]],75)</f>
        <v>Netflix</v>
      </c>
      <c r="P5715" s="2" t="s">
        <v>2306</v>
      </c>
    </row>
    <row r="5716" spans="1:16" hidden="1">
      <c r="A5716" s="2">
        <v>202109</v>
      </c>
      <c r="B5716" s="3">
        <v>44465</v>
      </c>
      <c r="C5716" s="2" t="s">
        <v>2262</v>
      </c>
      <c r="D5716" s="2" t="s">
        <v>1696</v>
      </c>
      <c r="E5716" s="2">
        <v>138</v>
      </c>
      <c r="F5716" s="2" t="e">
        <f>IF(Table2[[#This Row],[Manual Cat Value]]="",VLOOKUP(Table2[[#This Row],[Description]],'Actuals Lookup'!D:F,3,0),Table2[[#This Row],[Manual Cat Value]])</f>
        <v>#N/A</v>
      </c>
      <c r="J5716" s="2">
        <v>138</v>
      </c>
      <c r="K5716" s="2" t="b">
        <v>0</v>
      </c>
      <c r="L5716" s="2"/>
      <c r="M5716" s="2"/>
      <c r="N5716" s="4" t="s">
        <v>2259</v>
      </c>
      <c r="O5716" s="4" t="str">
        <f>LEFT(Table2[[#This Row],[Description]],75)</f>
        <v>SP ROOLEE HTTPSROOLEEMUT SP ROOLEE HTTPSROOLEEMUT</v>
      </c>
      <c r="P5716" s="2" t="s">
        <v>2281</v>
      </c>
    </row>
    <row r="5717" spans="1:16" hidden="1">
      <c r="A5717" s="2">
        <v>202109</v>
      </c>
      <c r="B5717" s="3">
        <v>44465</v>
      </c>
      <c r="C5717" s="2" t="s">
        <v>2262</v>
      </c>
      <c r="D5717" s="2" t="s">
        <v>2082</v>
      </c>
      <c r="E5717" s="2">
        <v>20.239999999999998</v>
      </c>
      <c r="F5717" s="2" t="e">
        <f>IF(Table2[[#This Row],[Manual Cat Value]]="",VLOOKUP(Table2[[#This Row],[Description]],'Actuals Lookup'!D:F,3,0),Table2[[#This Row],[Manual Cat Value]])</f>
        <v>#N/A</v>
      </c>
      <c r="J5717" s="2">
        <v>20.239999999999998</v>
      </c>
      <c r="K5717" s="2" t="b">
        <v>0</v>
      </c>
      <c r="L5717" s="2"/>
      <c r="M5717" s="2"/>
      <c r="N5717" s="4" t="s">
        <v>2259</v>
      </c>
      <c r="O5717" s="4" t="str">
        <f>LEFT(Table2[[#This Row],[Description]],75)</f>
        <v>Under Pressure Inc</v>
      </c>
      <c r="P5717" s="2" t="s">
        <v>2281</v>
      </c>
    </row>
    <row r="5718" spans="1:16" hidden="1">
      <c r="A5718" s="2">
        <v>202109</v>
      </c>
      <c r="B5718" s="3">
        <v>44466</v>
      </c>
      <c r="C5718" s="2" t="s">
        <v>2262</v>
      </c>
      <c r="D5718" s="2" t="s">
        <v>168</v>
      </c>
      <c r="E5718" s="2">
        <v>28.36</v>
      </c>
      <c r="F5718" s="2" t="e">
        <f>IF(Table2[[#This Row],[Manual Cat Value]]="",VLOOKUP(Table2[[#This Row],[Description]],'Actuals Lookup'!D:F,3,0),Table2[[#This Row],[Manual Cat Value]])</f>
        <v>#N/A</v>
      </c>
      <c r="J5718" s="2">
        <v>28.36</v>
      </c>
      <c r="K5718" s="2" t="b">
        <v>0</v>
      </c>
      <c r="L5718" s="2"/>
      <c r="M5718" s="2"/>
      <c r="N5718" s="4" t="s">
        <v>2259</v>
      </c>
      <c r="O5718" s="4" t="str">
        <f>LEFT(Table2[[#This Row],[Description]],75)</f>
        <v>Aramark</v>
      </c>
      <c r="P5718" s="2" t="s">
        <v>2281</v>
      </c>
    </row>
    <row r="5719" spans="1:16" hidden="1">
      <c r="A5719" s="2">
        <v>202109</v>
      </c>
      <c r="B5719" s="3">
        <v>44466</v>
      </c>
      <c r="C5719" s="2" t="s">
        <v>2262</v>
      </c>
      <c r="D5719" s="2" t="s">
        <v>168</v>
      </c>
      <c r="E5719" s="2">
        <v>43.47</v>
      </c>
      <c r="F5719" s="2" t="e">
        <f>IF(Table2[[#This Row],[Manual Cat Value]]="",VLOOKUP(Table2[[#This Row],[Description]],'Actuals Lookup'!D:F,3,0),Table2[[#This Row],[Manual Cat Value]])</f>
        <v>#N/A</v>
      </c>
      <c r="J5719" s="2">
        <v>43.47</v>
      </c>
      <c r="K5719" s="2" t="b">
        <v>0</v>
      </c>
      <c r="L5719" s="2"/>
      <c r="M5719" s="2"/>
      <c r="N5719" s="4" t="s">
        <v>2259</v>
      </c>
      <c r="O5719" s="4" t="str">
        <f>LEFT(Table2[[#This Row],[Description]],75)</f>
        <v>Aramark</v>
      </c>
      <c r="P5719" s="2" t="s">
        <v>2281</v>
      </c>
    </row>
    <row r="5720" spans="1:16" hidden="1">
      <c r="A5720" s="2">
        <v>202109</v>
      </c>
      <c r="B5720" s="3">
        <v>44466</v>
      </c>
      <c r="C5720" s="2" t="s">
        <v>2258</v>
      </c>
      <c r="D5720" s="2" t="s">
        <v>543</v>
      </c>
      <c r="E5720" s="2">
        <v>23.19</v>
      </c>
      <c r="F5720" s="2" t="e">
        <f>IF(Table2[[#This Row],[Manual Cat Value]]="",VLOOKUP(Table2[[#This Row],[Description]],'Actuals Lookup'!D:F,3,0),Table2[[#This Row],[Manual Cat Value]])</f>
        <v>#N/A</v>
      </c>
      <c r="J5720" s="2">
        <v>23.19</v>
      </c>
      <c r="K5720" s="2" t="b">
        <v>0</v>
      </c>
      <c r="L5720" s="2"/>
      <c r="M5720" s="2"/>
      <c r="N5720" s="4" t="s">
        <v>2259</v>
      </c>
      <c r="O5720" s="4" t="str">
        <f>LEFT(Table2[[#This Row],[Description]],75)</f>
        <v>Chipotle</v>
      </c>
      <c r="P5720" s="2" t="s">
        <v>2341</v>
      </c>
    </row>
    <row r="5721" spans="1:16" hidden="1">
      <c r="A5721" s="2">
        <v>202109</v>
      </c>
      <c r="B5721" s="3">
        <v>44466</v>
      </c>
      <c r="C5721" s="2" t="s">
        <v>2447</v>
      </c>
      <c r="D5721" s="2" t="s">
        <v>543</v>
      </c>
      <c r="E5721" s="2">
        <v>23.19</v>
      </c>
      <c r="F5721" s="2" t="e">
        <f>IF(Table2[[#This Row],[Manual Cat Value]]="",VLOOKUP(Table2[[#This Row],[Description]],'Actuals Lookup'!D:F,3,0),Table2[[#This Row],[Manual Cat Value]])</f>
        <v>#N/A</v>
      </c>
      <c r="J5721" s="2">
        <v>23.19</v>
      </c>
      <c r="K5721" s="2" t="b">
        <v>0</v>
      </c>
      <c r="L5721" s="2"/>
      <c r="M5721" s="2"/>
      <c r="N5721" s="4" t="s">
        <v>2259</v>
      </c>
      <c r="O5721" s="4" t="str">
        <f>LEFT(Table2[[#This Row],[Description]],75)</f>
        <v>Chipotle</v>
      </c>
      <c r="P5721" s="2" t="s">
        <v>2341</v>
      </c>
    </row>
    <row r="5722" spans="1:16" hidden="1">
      <c r="A5722" s="2">
        <v>202109</v>
      </c>
      <c r="B5722" s="3">
        <v>44466</v>
      </c>
      <c r="C5722" s="2" t="s">
        <v>2265</v>
      </c>
      <c r="D5722" s="2" t="s">
        <v>1471</v>
      </c>
      <c r="E5722" s="2">
        <v>65.44</v>
      </c>
      <c r="F5722" s="2" t="str">
        <f>IF(Table2[[#This Row],[Manual Cat Value]]="",VLOOKUP(Table2[[#This Row],[Description]],'Actuals Lookup'!D:F,3,0),Table2[[#This Row],[Manual Cat Value]])</f>
        <v>Shopping</v>
      </c>
      <c r="J5722" s="2">
        <v>65.44</v>
      </c>
      <c r="K5722" s="2" t="b">
        <v>0</v>
      </c>
      <c r="L5722" s="2"/>
      <c r="M5722" s="2"/>
      <c r="N5722" s="4" t="s">
        <v>2259</v>
      </c>
      <c r="O5722" s="4" t="str">
        <f>LEFT(Table2[[#This Row],[Description]],75)</f>
        <v>PayPal</v>
      </c>
      <c r="P5722" s="2" t="s">
        <v>2322</v>
      </c>
    </row>
    <row r="5723" spans="1:16" hidden="1">
      <c r="A5723" s="2">
        <v>202109</v>
      </c>
      <c r="B5723" s="3">
        <v>44466</v>
      </c>
      <c r="C5723" s="2" t="s">
        <v>2262</v>
      </c>
      <c r="D5723" s="2" t="s">
        <v>1568</v>
      </c>
      <c r="E5723" s="2">
        <v>86.01</v>
      </c>
      <c r="F5723" s="2" t="e">
        <f>IF(Table2[[#This Row],[Manual Cat Value]]="",VLOOKUP(Table2[[#This Row],[Description]],'Actuals Lookup'!D:F,3,0),Table2[[#This Row],[Manual Cat Value]])</f>
        <v>#N/A</v>
      </c>
      <c r="J5723" s="2">
        <v>86.01</v>
      </c>
      <c r="K5723" s="2" t="b">
        <v>0</v>
      </c>
      <c r="L5723" s="2"/>
      <c r="M5723" s="2"/>
      <c r="N5723" s="4" t="s">
        <v>2259</v>
      </c>
      <c r="O5723" s="4" t="str">
        <f>LEFT(Table2[[#This Row],[Description]],75)</f>
        <v>REDSTONE AMERICAN GRILL EDEN PRAIRIE MN</v>
      </c>
      <c r="P5723" s="2" t="s">
        <v>2579</v>
      </c>
    </row>
    <row r="5724" spans="1:16" hidden="1">
      <c r="A5724" s="2">
        <v>202109</v>
      </c>
      <c r="B5724" s="3">
        <v>44466</v>
      </c>
      <c r="C5724" s="2" t="s">
        <v>2317</v>
      </c>
      <c r="D5724" s="2" t="s">
        <v>1638</v>
      </c>
      <c r="E5724" s="2">
        <v>-19.52</v>
      </c>
      <c r="F5724" s="2" t="e">
        <f>IF(Table2[[#This Row],[Manual Cat Value]]="",VLOOKUP(Table2[[#This Row],[Description]],'Actuals Lookup'!D:F,3,0),Table2[[#This Row],[Manual Cat Value]])</f>
        <v>#N/A</v>
      </c>
      <c r="J5724" s="2">
        <v>19.52</v>
      </c>
      <c r="K5724" s="2" t="b">
        <v>0</v>
      </c>
      <c r="L5724" s="2"/>
      <c r="M5724" s="2"/>
      <c r="N5724" s="4" t="s">
        <v>2273</v>
      </c>
      <c r="O5724" s="4" t="str">
        <f>LEFT(Table2[[#This Row],[Description]],75)</f>
        <v>SCHWAB US SMALL CAP ETF</v>
      </c>
      <c r="P5724" s="2" t="s">
        <v>2351</v>
      </c>
    </row>
    <row r="5725" spans="1:16" hidden="1">
      <c r="A5725" s="2">
        <v>202109</v>
      </c>
      <c r="B5725" s="3">
        <v>44466</v>
      </c>
      <c r="C5725" s="2" t="s">
        <v>2265</v>
      </c>
      <c r="D5725" s="2" t="s">
        <v>31</v>
      </c>
      <c r="E5725" s="2">
        <v>205.56</v>
      </c>
      <c r="F5725" s="2" t="str">
        <f>IF(Table2[[#This Row],[Manual Cat Value]]="",VLOOKUP(Table2[[#This Row],[Description]],'Actuals Lookup'!D:F,3,0),Table2[[#This Row],[Manual Cat Value]])</f>
        <v>Target</v>
      </c>
      <c r="J5725" s="2">
        <v>205.56</v>
      </c>
      <c r="K5725" s="2" t="b">
        <v>0</v>
      </c>
      <c r="L5725" s="2"/>
      <c r="M5725" s="2"/>
      <c r="N5725" s="4" t="s">
        <v>2259</v>
      </c>
      <c r="O5725" s="4" t="str">
        <f>LEFT(Table2[[#This Row],[Description]],75)</f>
        <v>Target</v>
      </c>
      <c r="P5725" s="2" t="s">
        <v>2309</v>
      </c>
    </row>
    <row r="5726" spans="1:16" hidden="1">
      <c r="A5726" s="2">
        <v>202109</v>
      </c>
      <c r="B5726" s="3">
        <v>44466</v>
      </c>
      <c r="C5726" s="2" t="s">
        <v>2262</v>
      </c>
      <c r="D5726" s="2" t="s">
        <v>2077</v>
      </c>
      <c r="E5726" s="2">
        <v>26.5</v>
      </c>
      <c r="F5726" s="2" t="e">
        <f>IF(Table2[[#This Row],[Manual Cat Value]]="",VLOOKUP(Table2[[#This Row],[Description]],'Actuals Lookup'!D:F,3,0),Table2[[#This Row],[Manual Cat Value]])</f>
        <v>#N/A</v>
      </c>
      <c r="J5726" s="2">
        <v>26.5</v>
      </c>
      <c r="K5726" s="2" t="b">
        <v>0</v>
      </c>
      <c r="L5726" s="2"/>
      <c r="M5726" s="2"/>
      <c r="N5726" s="4" t="s">
        <v>2259</v>
      </c>
      <c r="O5726" s="4" t="str">
        <f>LEFT(Table2[[#This Row],[Description]],75)</f>
        <v>U.S. Bank Stadium</v>
      </c>
      <c r="P5726" s="2" t="s">
        <v>2580</v>
      </c>
    </row>
    <row r="5727" spans="1:16" hidden="1">
      <c r="A5727" s="2">
        <v>202109</v>
      </c>
      <c r="B5727" s="3">
        <v>44466</v>
      </c>
      <c r="C5727" s="2" t="s">
        <v>2262</v>
      </c>
      <c r="D5727" s="2" t="s">
        <v>2077</v>
      </c>
      <c r="E5727" s="2">
        <v>28.82</v>
      </c>
      <c r="F5727" s="2" t="e">
        <f>IF(Table2[[#This Row],[Manual Cat Value]]="",VLOOKUP(Table2[[#This Row],[Description]],'Actuals Lookup'!D:F,3,0),Table2[[#This Row],[Manual Cat Value]])</f>
        <v>#N/A</v>
      </c>
      <c r="J5727" s="2">
        <v>28.82</v>
      </c>
      <c r="K5727" s="2" t="b">
        <v>0</v>
      </c>
      <c r="L5727" s="2"/>
      <c r="M5727" s="2"/>
      <c r="N5727" s="4" t="s">
        <v>2259</v>
      </c>
      <c r="O5727" s="4" t="str">
        <f>LEFT(Table2[[#This Row],[Description]],75)</f>
        <v>U.S. Bank Stadium</v>
      </c>
      <c r="P5727" s="2" t="s">
        <v>2580</v>
      </c>
    </row>
    <row r="5728" spans="1:16" hidden="1">
      <c r="A5728" s="2">
        <v>202109</v>
      </c>
      <c r="B5728" s="3">
        <v>44466</v>
      </c>
      <c r="C5728" s="2" t="s">
        <v>2262</v>
      </c>
      <c r="D5728" s="2" t="s">
        <v>2217</v>
      </c>
      <c r="E5728" s="2">
        <v>29.12</v>
      </c>
      <c r="F5728" s="2" t="e">
        <f>IF(Table2[[#This Row],[Manual Cat Value]]="",VLOOKUP(Table2[[#This Row],[Description]],'Actuals Lookup'!D:F,3,0),Table2[[#This Row],[Manual Cat Value]])</f>
        <v>#N/A</v>
      </c>
      <c r="J5728" s="2">
        <v>29.12</v>
      </c>
      <c r="K5728" s="2" t="b">
        <v>0</v>
      </c>
      <c r="L5728" s="2"/>
      <c r="M5728" s="2"/>
      <c r="N5728" s="4" t="s">
        <v>2259</v>
      </c>
      <c r="O5728" s="4" t="str">
        <f>LEFT(Table2[[#This Row],[Description]],75)</f>
        <v>WPYRise Bagel Co 8554693729 MN</v>
      </c>
      <c r="P5728" s="2" t="s">
        <v>2581</v>
      </c>
    </row>
    <row r="5729" spans="1:16" hidden="1">
      <c r="A5729" s="2">
        <v>202109</v>
      </c>
      <c r="B5729" s="3">
        <v>44467</v>
      </c>
      <c r="C5729" s="2" t="s">
        <v>2262</v>
      </c>
      <c r="D5729" s="2" t="s">
        <v>38</v>
      </c>
      <c r="E5729" s="2">
        <v>110.41</v>
      </c>
      <c r="F5729" s="2" t="str">
        <f>IF(Table2[[#This Row],[Manual Cat Value]]="",VLOOKUP(Table2[[#This Row],[Description]],'Actuals Lookup'!D:F,3,0),Table2[[#This Row],[Manual Cat Value]])</f>
        <v>Amazon</v>
      </c>
      <c r="J5729" s="2">
        <v>110.41</v>
      </c>
      <c r="K5729" s="2" t="b">
        <v>0</v>
      </c>
      <c r="L5729" s="2"/>
      <c r="M5729" s="2"/>
      <c r="N5729" s="4" t="s">
        <v>2259</v>
      </c>
      <c r="O5729" s="4" t="str">
        <f>LEFT(Table2[[#This Row],[Description]],75)</f>
        <v>Amazon</v>
      </c>
      <c r="P5729" s="2" t="s">
        <v>2260</v>
      </c>
    </row>
    <row r="5730" spans="1:16" hidden="1">
      <c r="A5730" s="2">
        <v>202109</v>
      </c>
      <c r="B5730" s="3">
        <v>44467</v>
      </c>
      <c r="C5730" s="2" t="s">
        <v>2265</v>
      </c>
      <c r="D5730" s="2" t="s">
        <v>524</v>
      </c>
      <c r="E5730" s="2">
        <v>3800</v>
      </c>
      <c r="F5730" s="2" t="e">
        <f>IF(Table2[[#This Row],[Manual Cat Value]]="",VLOOKUP(Table2[[#This Row],[Description]],'Actuals Lookup'!D:F,3,0),Table2[[#This Row],[Manual Cat Value]])</f>
        <v>#N/A</v>
      </c>
      <c r="J5730" s="2">
        <v>3800</v>
      </c>
      <c r="K5730" s="2" t="b">
        <v>0</v>
      </c>
      <c r="L5730" s="2"/>
      <c r="M5730" s="2"/>
      <c r="N5730" s="4" t="s">
        <v>2259</v>
      </c>
      <c r="O5730" s="4" t="str">
        <f>LEFT(Table2[[#This Row],[Description]],75)</f>
        <v>CHECK 2107 2107</v>
      </c>
      <c r="P5730" s="2" t="s">
        <v>2281</v>
      </c>
    </row>
    <row r="5731" spans="1:16" hidden="1">
      <c r="A5731" s="2">
        <v>202109</v>
      </c>
      <c r="B5731" s="3">
        <v>44467</v>
      </c>
      <c r="C5731" s="2" t="s">
        <v>2265</v>
      </c>
      <c r="D5731" s="2" t="s">
        <v>626</v>
      </c>
      <c r="E5731" s="2">
        <v>3102.97</v>
      </c>
      <c r="F5731" s="2" t="e">
        <f>IF(Table2[[#This Row],[Manual Cat Value]]="",VLOOKUP(Table2[[#This Row],[Description]],'Actuals Lookup'!D:F,3,0),Table2[[#This Row],[Manual Cat Value]])</f>
        <v>#N/A</v>
      </c>
      <c r="J5731" s="2">
        <v>-3102.97</v>
      </c>
      <c r="K5731" s="2" t="b">
        <v>0</v>
      </c>
      <c r="L5731" s="2"/>
      <c r="M5731" s="2"/>
      <c r="N5731" s="4" t="s">
        <v>2273</v>
      </c>
      <c r="O5731" s="4" t="str">
        <f>LEFT(Table2[[#This Row],[Description]],75)</f>
        <v>CONNECTED ANALYT TYPE DIRECT DEP ID CO CONNECTED ANALYT ACH ECC PPD ACH Tra</v>
      </c>
      <c r="P5731" s="2" t="s">
        <v>2493</v>
      </c>
    </row>
    <row r="5732" spans="1:16" hidden="1">
      <c r="A5732" s="2">
        <v>202109</v>
      </c>
      <c r="B5732" s="3">
        <v>44467</v>
      </c>
      <c r="C5732" s="2" t="s">
        <v>2265</v>
      </c>
      <c r="D5732" s="2" t="s">
        <v>1355</v>
      </c>
      <c r="E5732" s="2">
        <v>158.97</v>
      </c>
      <c r="F5732" s="2" t="str">
        <f>IF(Table2[[#This Row],[Manual Cat Value]]="",VLOOKUP(Table2[[#This Row],[Description]],'Actuals Lookup'!D:F,3,0),Table2[[#This Row],[Manual Cat Value]])</f>
        <v>Shopping</v>
      </c>
      <c r="J5732" s="2">
        <v>158.97</v>
      </c>
      <c r="K5732" s="2" t="b">
        <v>0</v>
      </c>
      <c r="L5732" s="2"/>
      <c r="M5732" s="2"/>
      <c r="N5732" s="4" t="s">
        <v>2259</v>
      </c>
      <c r="O5732" s="4" t="str">
        <f>LEFT(Table2[[#This Row],[Description]],75)</f>
        <v>Nordstrom</v>
      </c>
      <c r="P5732" s="2" t="s">
        <v>2352</v>
      </c>
    </row>
    <row r="5733" spans="1:16" hidden="1">
      <c r="A5733" s="2">
        <v>202109</v>
      </c>
      <c r="B5733" s="3">
        <v>44467</v>
      </c>
      <c r="C5733" s="2" t="s">
        <v>2262</v>
      </c>
      <c r="D5733" s="2" t="s">
        <v>1393</v>
      </c>
      <c r="E5733" s="2">
        <v>7.71</v>
      </c>
      <c r="F5733" s="2" t="str">
        <f>IF(Table2[[#This Row],[Manual Cat Value]]="",VLOOKUP(Table2[[#This Row],[Description]],'Actuals Lookup'!D:F,3,0),Table2[[#This Row],[Manual Cat Value]])</f>
        <v>Restaurants</v>
      </c>
      <c r="J5733" s="2">
        <v>7.71</v>
      </c>
      <c r="K5733" s="2" t="b">
        <v>0</v>
      </c>
      <c r="L5733" s="2"/>
      <c r="M5733" s="2"/>
      <c r="N5733" s="4" t="s">
        <v>2259</v>
      </c>
      <c r="O5733" s="4" t="str">
        <f>LEFT(Table2[[#This Row],[Description]],75)</f>
        <v>Panera Bread</v>
      </c>
      <c r="P5733" s="2" t="s">
        <v>2452</v>
      </c>
    </row>
    <row r="5734" spans="1:16" hidden="1">
      <c r="A5734" s="2">
        <v>202109</v>
      </c>
      <c r="B5734" s="3">
        <v>44467</v>
      </c>
      <c r="C5734" s="2" t="s">
        <v>2262</v>
      </c>
      <c r="D5734" s="2" t="s">
        <v>1393</v>
      </c>
      <c r="E5734" s="2">
        <v>30.67</v>
      </c>
      <c r="F5734" s="2" t="str">
        <f>IF(Table2[[#This Row],[Manual Cat Value]]="",VLOOKUP(Table2[[#This Row],[Description]],'Actuals Lookup'!D:F,3,0),Table2[[#This Row],[Manual Cat Value]])</f>
        <v>Restaurants</v>
      </c>
      <c r="J5734" s="2">
        <v>30.67</v>
      </c>
      <c r="K5734" s="2" t="b">
        <v>0</v>
      </c>
      <c r="L5734" s="2"/>
      <c r="M5734" s="2"/>
      <c r="N5734" s="4" t="s">
        <v>2259</v>
      </c>
      <c r="O5734" s="4" t="str">
        <f>LEFT(Table2[[#This Row],[Description]],75)</f>
        <v>Panera Bread</v>
      </c>
      <c r="P5734" s="2" t="s">
        <v>2452</v>
      </c>
    </row>
    <row r="5735" spans="1:16" hidden="1">
      <c r="A5735" s="2">
        <v>202109</v>
      </c>
      <c r="B5735" s="3">
        <v>44467</v>
      </c>
      <c r="C5735" s="2" t="s">
        <v>2265</v>
      </c>
      <c r="D5735" s="2" t="s">
        <v>1471</v>
      </c>
      <c r="E5735" s="2">
        <v>0.99</v>
      </c>
      <c r="F5735" s="2" t="str">
        <f>IF(Table2[[#This Row],[Manual Cat Value]]="",VLOOKUP(Table2[[#This Row],[Description]],'Actuals Lookup'!D:F,3,0),Table2[[#This Row],[Manual Cat Value]])</f>
        <v>Shopping</v>
      </c>
      <c r="J5735" s="2">
        <v>0.99</v>
      </c>
      <c r="K5735" s="2" t="b">
        <v>0</v>
      </c>
      <c r="L5735" s="2"/>
      <c r="M5735" s="2"/>
      <c r="N5735" s="4" t="s">
        <v>2259</v>
      </c>
      <c r="O5735" s="4" t="str">
        <f>LEFT(Table2[[#This Row],[Description]],75)</f>
        <v>PayPal</v>
      </c>
      <c r="P5735" s="2" t="s">
        <v>2322</v>
      </c>
    </row>
    <row r="5736" spans="1:16" hidden="1">
      <c r="A5736" s="2">
        <v>202109</v>
      </c>
      <c r="B5736" s="3">
        <v>44467</v>
      </c>
      <c r="C5736" s="2" t="s">
        <v>2317</v>
      </c>
      <c r="D5736" s="2" t="s">
        <v>1638</v>
      </c>
      <c r="E5736" s="2">
        <v>19.52</v>
      </c>
      <c r="F5736" s="2" t="e">
        <f>IF(Table2[[#This Row],[Manual Cat Value]]="",VLOOKUP(Table2[[#This Row],[Description]],'Actuals Lookup'!D:F,3,0),Table2[[#This Row],[Manual Cat Value]])</f>
        <v>#N/A</v>
      </c>
      <c r="J5736" s="2">
        <v>19.52</v>
      </c>
      <c r="K5736" s="2" t="b">
        <v>0</v>
      </c>
      <c r="L5736" s="2"/>
      <c r="M5736" s="2"/>
      <c r="N5736" s="4" t="s">
        <v>2259</v>
      </c>
      <c r="O5736" s="4" t="str">
        <f>LEFT(Table2[[#This Row],[Description]],75)</f>
        <v>SCHWAB US SMALL CAP ETF</v>
      </c>
      <c r="P5736" s="2" t="s">
        <v>2351</v>
      </c>
    </row>
    <row r="5737" spans="1:16" hidden="1">
      <c r="A5737" s="2">
        <v>202109</v>
      </c>
      <c r="B5737" s="3">
        <v>44468</v>
      </c>
      <c r="C5737" s="2" t="s">
        <v>2317</v>
      </c>
      <c r="D5737" s="2" t="s">
        <v>164</v>
      </c>
      <c r="E5737" s="2">
        <v>-1449.81</v>
      </c>
      <c r="F5737" s="2" t="e">
        <f>IF(Table2[[#This Row],[Manual Cat Value]]="",VLOOKUP(Table2[[#This Row],[Description]],'Actuals Lookup'!D:F,3,0),Table2[[#This Row],[Manual Cat Value]])</f>
        <v>#N/A</v>
      </c>
      <c r="J5737" s="2">
        <v>1449.81</v>
      </c>
      <c r="K5737" s="2" t="b">
        <v>0</v>
      </c>
      <c r="L5737" s="2"/>
      <c r="M5737" s="2"/>
      <c r="N5737" s="4" t="s">
        <v>2273</v>
      </c>
      <c r="O5737" s="4" t="str">
        <f>LEFT(Table2[[#This Row],[Description]],75)</f>
        <v>APPLE INC</v>
      </c>
      <c r="P5737" s="2" t="s">
        <v>2405</v>
      </c>
    </row>
    <row r="5738" spans="1:16" hidden="1">
      <c r="A5738" s="2">
        <v>202109</v>
      </c>
      <c r="B5738" s="3">
        <v>44468</v>
      </c>
      <c r="C5738" s="2" t="s">
        <v>2317</v>
      </c>
      <c r="D5738" s="2" t="s">
        <v>305</v>
      </c>
      <c r="E5738" s="2">
        <v>-1132.05</v>
      </c>
      <c r="F5738" s="2" t="e">
        <f>IF(Table2[[#This Row],[Manual Cat Value]]="",VLOOKUP(Table2[[#This Row],[Description]],'Actuals Lookup'!D:F,3,0),Table2[[#This Row],[Manual Cat Value]])</f>
        <v>#N/A</v>
      </c>
      <c r="J5738" s="2">
        <v>1132.05</v>
      </c>
      <c r="K5738" s="2" t="b">
        <v>0</v>
      </c>
      <c r="L5738" s="2"/>
      <c r="M5738" s="2"/>
      <c r="N5738" s="4" t="s">
        <v>2273</v>
      </c>
      <c r="O5738" s="4" t="str">
        <f>LEFT(Table2[[#This Row],[Description]],75)</f>
        <v>BOEING CO</v>
      </c>
      <c r="P5738" s="2" t="s">
        <v>2425</v>
      </c>
    </row>
    <row r="5739" spans="1:16" hidden="1">
      <c r="A5739" s="2">
        <v>202109</v>
      </c>
      <c r="B5739" s="3">
        <v>44468</v>
      </c>
      <c r="C5739" s="2" t="s">
        <v>2262</v>
      </c>
      <c r="D5739" s="2" t="s">
        <v>835</v>
      </c>
      <c r="E5739" s="2">
        <v>100</v>
      </c>
      <c r="F5739" s="2" t="e">
        <f>IF(Table2[[#This Row],[Manual Cat Value]]="",VLOOKUP(Table2[[#This Row],[Description]],'Actuals Lookup'!D:F,3,0),Table2[[#This Row],[Manual Cat Value]])</f>
        <v>#N/A</v>
      </c>
      <c r="J5739" s="2">
        <v>100</v>
      </c>
      <c r="K5739" s="2" t="b">
        <v>0</v>
      </c>
      <c r="L5739" s="2"/>
      <c r="M5739" s="2"/>
      <c r="N5739" s="4" t="s">
        <v>2259</v>
      </c>
      <c r="O5739" s="4" t="str">
        <f>LEFT(Table2[[#This Row],[Description]],75)</f>
        <v>Facebook</v>
      </c>
      <c r="P5739" s="2" t="s">
        <v>2281</v>
      </c>
    </row>
    <row r="5740" spans="1:16" hidden="1">
      <c r="A5740" s="2">
        <v>202109</v>
      </c>
      <c r="B5740" s="3">
        <v>44468</v>
      </c>
      <c r="C5740" s="2" t="s">
        <v>2262</v>
      </c>
      <c r="D5740" s="2" t="s">
        <v>936</v>
      </c>
      <c r="E5740" s="2">
        <v>59.98</v>
      </c>
      <c r="F5740" s="2" t="e">
        <f>IF(Table2[[#This Row],[Manual Cat Value]]="",VLOOKUP(Table2[[#This Row],[Description]],'Actuals Lookup'!D:F,3,0),Table2[[#This Row],[Manual Cat Value]])</f>
        <v>#N/A</v>
      </c>
      <c r="J5740" s="2">
        <v>59.98</v>
      </c>
      <c r="K5740" s="2" t="b">
        <v>0</v>
      </c>
      <c r="L5740" s="2"/>
      <c r="M5740" s="2"/>
      <c r="N5740" s="4" t="s">
        <v>2259</v>
      </c>
      <c r="O5740" s="4" t="str">
        <f>LEFT(Table2[[#This Row],[Description]],75)</f>
        <v>HMCOM 8554667467 NY</v>
      </c>
      <c r="P5740" s="2" t="s">
        <v>2281</v>
      </c>
    </row>
    <row r="5741" spans="1:16" hidden="1">
      <c r="A5741" s="2">
        <v>202109</v>
      </c>
      <c r="B5741" s="3">
        <v>44468</v>
      </c>
      <c r="C5741" s="2" t="s">
        <v>2262</v>
      </c>
      <c r="D5741" s="2" t="s">
        <v>1083</v>
      </c>
      <c r="E5741" s="2">
        <v>63.97</v>
      </c>
      <c r="F5741" s="2" t="str">
        <f>IF(Table2[[#This Row],[Manual Cat Value]]="",VLOOKUP(Table2[[#This Row],[Description]],'Actuals Lookup'!D:F,3,0),Table2[[#This Row],[Manual Cat Value]])</f>
        <v>Transportation</v>
      </c>
      <c r="J5741" s="2">
        <v>63.97</v>
      </c>
      <c r="K5741" s="2" t="b">
        <v>0</v>
      </c>
      <c r="L5741" s="2"/>
      <c r="M5741" s="2"/>
      <c r="N5741" s="4" t="s">
        <v>2259</v>
      </c>
      <c r="O5741" s="4" t="str">
        <f>LEFT(Table2[[#This Row],[Description]],75)</f>
        <v>Kwik Trip</v>
      </c>
      <c r="P5741" s="2" t="s">
        <v>2509</v>
      </c>
    </row>
    <row r="5742" spans="1:16" hidden="1">
      <c r="A5742" s="2">
        <v>202109</v>
      </c>
      <c r="B5742" s="3">
        <v>44468</v>
      </c>
      <c r="C5742" s="2" t="s">
        <v>2258</v>
      </c>
      <c r="D5742" s="2" t="s">
        <v>1184</v>
      </c>
      <c r="E5742" s="2">
        <v>21.31</v>
      </c>
      <c r="F5742" s="2" t="e">
        <f>IF(Table2[[#This Row],[Manual Cat Value]]="",VLOOKUP(Table2[[#This Row],[Description]],'Actuals Lookup'!D:F,3,0),Table2[[#This Row],[Manual Cat Value]])</f>
        <v>#N/A</v>
      </c>
      <c r="J5742" s="2">
        <v>21.31</v>
      </c>
      <c r="K5742" s="2" t="b">
        <v>0</v>
      </c>
      <c r="L5742" s="2"/>
      <c r="M5742" s="2"/>
      <c r="N5742" s="4" t="s">
        <v>2259</v>
      </c>
      <c r="O5742" s="4" t="str">
        <f>LEFT(Table2[[#This Row],[Description]],75)</f>
        <v>Maynard's</v>
      </c>
      <c r="P5742" s="2" t="s">
        <v>2504</v>
      </c>
    </row>
    <row r="5743" spans="1:16" hidden="1">
      <c r="A5743" s="2">
        <v>202109</v>
      </c>
      <c r="B5743" s="3">
        <v>44468</v>
      </c>
      <c r="C5743" s="2" t="s">
        <v>2447</v>
      </c>
      <c r="D5743" s="2" t="s">
        <v>1184</v>
      </c>
      <c r="E5743" s="2">
        <v>21.31</v>
      </c>
      <c r="F5743" s="2" t="e">
        <f>IF(Table2[[#This Row],[Manual Cat Value]]="",VLOOKUP(Table2[[#This Row],[Description]],'Actuals Lookup'!D:F,3,0),Table2[[#This Row],[Manual Cat Value]])</f>
        <v>#N/A</v>
      </c>
      <c r="J5743" s="2">
        <v>21.31</v>
      </c>
      <c r="K5743" s="2" t="b">
        <v>0</v>
      </c>
      <c r="L5743" s="2"/>
      <c r="M5743" s="2"/>
      <c r="N5743" s="4" t="s">
        <v>2259</v>
      </c>
      <c r="O5743" s="4" t="str">
        <f>LEFT(Table2[[#This Row],[Description]],75)</f>
        <v>Maynard's</v>
      </c>
      <c r="P5743" s="2" t="s">
        <v>2504</v>
      </c>
    </row>
    <row r="5744" spans="1:16" hidden="1">
      <c r="A5744" s="2">
        <v>202109</v>
      </c>
      <c r="B5744" s="3">
        <v>44468</v>
      </c>
      <c r="C5744" s="2" t="s">
        <v>2265</v>
      </c>
      <c r="D5744" s="2" t="s">
        <v>1196</v>
      </c>
      <c r="E5744" s="2">
        <v>1316</v>
      </c>
      <c r="F5744" s="2" t="e">
        <f>IF(Table2[[#This Row],[Manual Cat Value]]="",VLOOKUP(Table2[[#This Row],[Description]],'Actuals Lookup'!D:F,3,0),Table2[[#This Row],[Manual Cat Value]])</f>
        <v>#N/A</v>
      </c>
      <c r="J5744" s="2">
        <v>1316</v>
      </c>
      <c r="K5744" s="2" t="b">
        <v>0</v>
      </c>
      <c r="L5744" s="2"/>
      <c r="M5744" s="2"/>
      <c r="N5744" s="4" t="s">
        <v>2259</v>
      </c>
      <c r="O5744" s="4" t="str">
        <f>LEFT(Table2[[#This Row],[Description]],75)</f>
        <v>MHCHILDCARELLC TYPE DUES ID CO M MHCHILDCARELLC TYPE DUES ID CO MHCHILDCARE</v>
      </c>
      <c r="P5744" s="2" t="s">
        <v>2497</v>
      </c>
    </row>
    <row r="5745" spans="1:16" hidden="1">
      <c r="A5745" s="2">
        <v>202109</v>
      </c>
      <c r="B5745" s="3">
        <v>44468</v>
      </c>
      <c r="C5745" s="2" t="s">
        <v>2265</v>
      </c>
      <c r="D5745" s="2" t="s">
        <v>1471</v>
      </c>
      <c r="E5745" s="2">
        <v>0.99</v>
      </c>
      <c r="F5745" s="2" t="str">
        <f>IF(Table2[[#This Row],[Manual Cat Value]]="",VLOOKUP(Table2[[#This Row],[Description]],'Actuals Lookup'!D:F,3,0),Table2[[#This Row],[Manual Cat Value]])</f>
        <v>Shopping</v>
      </c>
      <c r="J5745" s="2">
        <v>0.99</v>
      </c>
      <c r="K5745" s="2" t="b">
        <v>0</v>
      </c>
      <c r="L5745" s="2"/>
      <c r="M5745" s="2"/>
      <c r="N5745" s="4" t="s">
        <v>2259</v>
      </c>
      <c r="O5745" s="4" t="str">
        <f>LEFT(Table2[[#This Row],[Description]],75)</f>
        <v>PayPal</v>
      </c>
      <c r="P5745" s="2" t="s">
        <v>2322</v>
      </c>
    </row>
    <row r="5746" spans="1:16" hidden="1">
      <c r="A5746" s="2">
        <v>202109</v>
      </c>
      <c r="B5746" s="3">
        <v>44468</v>
      </c>
      <c r="C5746" s="2" t="s">
        <v>2265</v>
      </c>
      <c r="D5746" s="2" t="s">
        <v>1938</v>
      </c>
      <c r="E5746" s="2">
        <v>9.25</v>
      </c>
      <c r="F5746" s="2" t="e">
        <f>IF(Table2[[#This Row],[Manual Cat Value]]="",VLOOKUP(Table2[[#This Row],[Description]],'Actuals Lookup'!D:F,3,0),Table2[[#This Row],[Manual Cat Value]])</f>
        <v>#N/A</v>
      </c>
      <c r="J5746" s="2">
        <v>-9.25</v>
      </c>
      <c r="K5746" s="2" t="b">
        <v>0</v>
      </c>
      <c r="L5746" s="2"/>
      <c r="M5746" s="2"/>
      <c r="N5746" s="4" t="s">
        <v>2273</v>
      </c>
      <c r="O5746" s="4" t="str">
        <f>LEFT(Table2[[#This Row],[Description]],75)</f>
        <v>Transfer from PayPal PAYPAL TYPE TRANSFER ID PAYPALSD11 CO PAYPAL ACH ECC P</v>
      </c>
      <c r="P5746" s="2" t="s">
        <v>2322</v>
      </c>
    </row>
    <row r="5747" spans="1:16" hidden="1">
      <c r="A5747" s="2">
        <v>202109</v>
      </c>
      <c r="B5747" s="3">
        <v>44469</v>
      </c>
      <c r="C5747" s="2" t="s">
        <v>2258</v>
      </c>
      <c r="D5747" s="2" t="s">
        <v>38</v>
      </c>
      <c r="E5747" s="2">
        <v>7.51</v>
      </c>
      <c r="F5747" s="2" t="str">
        <f>IF(Table2[[#This Row],[Manual Cat Value]]="",VLOOKUP(Table2[[#This Row],[Description]],'Actuals Lookup'!D:F,3,0),Table2[[#This Row],[Manual Cat Value]])</f>
        <v>Amazon</v>
      </c>
      <c r="J5747" s="2">
        <v>7.51</v>
      </c>
      <c r="K5747" s="2" t="b">
        <v>0</v>
      </c>
      <c r="L5747" s="2"/>
      <c r="M5747" s="2"/>
      <c r="N5747" s="4" t="s">
        <v>2259</v>
      </c>
      <c r="O5747" s="4" t="str">
        <f>LEFT(Table2[[#This Row],[Description]],75)</f>
        <v>Amazon</v>
      </c>
      <c r="P5747" s="2" t="s">
        <v>2260</v>
      </c>
    </row>
    <row r="5748" spans="1:16" hidden="1">
      <c r="A5748" s="2">
        <v>202109</v>
      </c>
      <c r="B5748" s="3">
        <v>44469</v>
      </c>
      <c r="C5748" s="2" t="s">
        <v>2258</v>
      </c>
      <c r="D5748" s="2" t="s">
        <v>38</v>
      </c>
      <c r="E5748" s="2">
        <v>60.57</v>
      </c>
      <c r="F5748" s="2" t="str">
        <f>IF(Table2[[#This Row],[Manual Cat Value]]="",VLOOKUP(Table2[[#This Row],[Description]],'Actuals Lookup'!D:F,3,0),Table2[[#This Row],[Manual Cat Value]])</f>
        <v>Amazon</v>
      </c>
      <c r="J5748" s="2">
        <v>60.57</v>
      </c>
      <c r="K5748" s="2" t="b">
        <v>0</v>
      </c>
      <c r="L5748" s="2"/>
      <c r="M5748" s="2"/>
      <c r="N5748" s="4" t="s">
        <v>2259</v>
      </c>
      <c r="O5748" s="4" t="str">
        <f>LEFT(Table2[[#This Row],[Description]],75)</f>
        <v>Amazon</v>
      </c>
      <c r="P5748" s="2" t="s">
        <v>2260</v>
      </c>
    </row>
    <row r="5749" spans="1:16" hidden="1">
      <c r="A5749" s="2">
        <v>202109</v>
      </c>
      <c r="B5749" s="3">
        <v>44469</v>
      </c>
      <c r="C5749" s="2" t="s">
        <v>2447</v>
      </c>
      <c r="D5749" s="2" t="s">
        <v>38</v>
      </c>
      <c r="E5749" s="2">
        <v>7.51</v>
      </c>
      <c r="F5749" s="2" t="str">
        <f>IF(Table2[[#This Row],[Manual Cat Value]]="",VLOOKUP(Table2[[#This Row],[Description]],'Actuals Lookup'!D:F,3,0),Table2[[#This Row],[Manual Cat Value]])</f>
        <v>Amazon</v>
      </c>
      <c r="J5749" s="2">
        <v>7.51</v>
      </c>
      <c r="K5749" s="2" t="b">
        <v>0</v>
      </c>
      <c r="L5749" s="2"/>
      <c r="M5749" s="2"/>
      <c r="N5749" s="4" t="s">
        <v>2259</v>
      </c>
      <c r="O5749" s="4" t="str">
        <f>LEFT(Table2[[#This Row],[Description]],75)</f>
        <v>Amazon</v>
      </c>
      <c r="P5749" s="2" t="s">
        <v>2260</v>
      </c>
    </row>
    <row r="5750" spans="1:16" hidden="1">
      <c r="A5750" s="2">
        <v>202109</v>
      </c>
      <c r="B5750" s="3">
        <v>44469</v>
      </c>
      <c r="C5750" s="2" t="s">
        <v>2447</v>
      </c>
      <c r="D5750" s="2" t="s">
        <v>38</v>
      </c>
      <c r="E5750" s="2">
        <v>60.57</v>
      </c>
      <c r="F5750" s="2" t="str">
        <f>IF(Table2[[#This Row],[Manual Cat Value]]="",VLOOKUP(Table2[[#This Row],[Description]],'Actuals Lookup'!D:F,3,0),Table2[[#This Row],[Manual Cat Value]])</f>
        <v>Amazon</v>
      </c>
      <c r="J5750" s="2">
        <v>60.57</v>
      </c>
      <c r="K5750" s="2" t="b">
        <v>0</v>
      </c>
      <c r="L5750" s="2"/>
      <c r="M5750" s="2"/>
      <c r="N5750" s="4" t="s">
        <v>2259</v>
      </c>
      <c r="O5750" s="4" t="str">
        <f>LEFT(Table2[[#This Row],[Description]],75)</f>
        <v>Amazon</v>
      </c>
      <c r="P5750" s="2" t="s">
        <v>2260</v>
      </c>
    </row>
    <row r="5751" spans="1:16" hidden="1">
      <c r="A5751" s="2">
        <v>202109</v>
      </c>
      <c r="B5751" s="3">
        <v>44469</v>
      </c>
      <c r="C5751" s="2" t="s">
        <v>2265</v>
      </c>
      <c r="D5751" s="2" t="s">
        <v>422</v>
      </c>
      <c r="E5751" s="2">
        <v>2793.7</v>
      </c>
      <c r="F5751" s="2" t="e">
        <f>IF(Table2[[#This Row],[Manual Cat Value]]="",VLOOKUP(Table2[[#This Row],[Description]],'Actuals Lookup'!D:F,3,0),Table2[[#This Row],[Manual Cat Value]])</f>
        <v>#N/A</v>
      </c>
      <c r="J5751" s="2">
        <v>-2793.7</v>
      </c>
      <c r="K5751" s="2" t="b">
        <v>0</v>
      </c>
      <c r="L5751" s="2"/>
      <c r="M5751" s="2"/>
      <c r="N5751" s="4" t="s">
        <v>2273</v>
      </c>
      <c r="O5751" s="4" t="str">
        <f>LEFT(Table2[[#This Row],[Description]],75)</f>
        <v>Cargill Inc Deposit CARGILL INCORPOR TYPE DIRECT DEP ID CO CARGILL INCORPOR</v>
      </c>
      <c r="P5751" s="2" t="s">
        <v>2545</v>
      </c>
    </row>
    <row r="5752" spans="1:16" hidden="1">
      <c r="A5752" s="2">
        <v>202109</v>
      </c>
      <c r="B5752" s="3">
        <v>44469</v>
      </c>
      <c r="C5752" s="2" t="s">
        <v>2265</v>
      </c>
      <c r="D5752" s="2" t="s">
        <v>425</v>
      </c>
      <c r="E5752" s="2">
        <v>75</v>
      </c>
      <c r="F5752" s="2" t="e">
        <f>IF(Table2[[#This Row],[Manual Cat Value]]="",VLOOKUP(Table2[[#This Row],[Description]],'Actuals Lookup'!D:F,3,0),Table2[[#This Row],[Manual Cat Value]])</f>
        <v>#N/A</v>
      </c>
      <c r="J5752" s="2">
        <v>-75</v>
      </c>
      <c r="K5752" s="2" t="b">
        <v>0</v>
      </c>
      <c r="L5752" s="2"/>
      <c r="M5752" s="2"/>
      <c r="N5752" s="4" t="s">
        <v>2273</v>
      </c>
      <c r="O5752" s="4" t="str">
        <f>LEFT(Table2[[#This Row],[Description]],75)</f>
        <v>Cargill Incorpor Type</v>
      </c>
      <c r="P5752" s="2" t="s">
        <v>2282</v>
      </c>
    </row>
    <row r="5753" spans="1:16" hidden="1">
      <c r="A5753" s="2">
        <v>202109</v>
      </c>
      <c r="B5753" s="3">
        <v>44469</v>
      </c>
      <c r="C5753" s="2" t="s">
        <v>2265</v>
      </c>
      <c r="D5753" s="2" t="s">
        <v>525</v>
      </c>
      <c r="E5753" s="2">
        <v>3290</v>
      </c>
      <c r="F5753" s="2" t="e">
        <f>IF(Table2[[#This Row],[Manual Cat Value]]="",VLOOKUP(Table2[[#This Row],[Description]],'Actuals Lookup'!D:F,3,0),Table2[[#This Row],[Manual Cat Value]])</f>
        <v>#N/A</v>
      </c>
      <c r="J5753" s="2">
        <v>3290</v>
      </c>
      <c r="K5753" s="2" t="b">
        <v>0</v>
      </c>
      <c r="L5753" s="2"/>
      <c r="M5753" s="2"/>
      <c r="N5753" s="4" t="s">
        <v>2259</v>
      </c>
      <c r="O5753" s="4" t="str">
        <f>LEFT(Table2[[#This Row],[Description]],75)</f>
        <v>CHECK 2108 2108</v>
      </c>
      <c r="P5753" s="2" t="s">
        <v>2281</v>
      </c>
    </row>
    <row r="5754" spans="1:16" hidden="1">
      <c r="A5754" s="2">
        <v>202109</v>
      </c>
      <c r="B5754" s="3">
        <v>44469</v>
      </c>
      <c r="C5754" s="2" t="s">
        <v>2317</v>
      </c>
      <c r="D5754" s="2" t="s">
        <v>605</v>
      </c>
      <c r="E5754" s="2">
        <v>-250</v>
      </c>
      <c r="F5754" s="2" t="e">
        <f>IF(Table2[[#This Row],[Manual Cat Value]]="",VLOOKUP(Table2[[#This Row],[Description]],'Actuals Lookup'!D:F,3,0),Table2[[#This Row],[Manual Cat Value]])</f>
        <v>#N/A</v>
      </c>
      <c r="J5754" s="2">
        <v>250</v>
      </c>
      <c r="K5754" s="2" t="b">
        <v>0</v>
      </c>
      <c r="L5754" s="2"/>
      <c r="M5754" s="2"/>
      <c r="N5754" s="4" t="s">
        <v>2273</v>
      </c>
      <c r="O5754" s="4" t="str">
        <f>LEFT(Table2[[#This Row],[Description]],75)</f>
        <v>CONNECTED ANALYT</v>
      </c>
      <c r="P5754" s="2" t="s">
        <v>2493</v>
      </c>
    </row>
    <row r="5755" spans="1:16" hidden="1">
      <c r="A5755" s="2">
        <v>202109</v>
      </c>
      <c r="B5755" s="3">
        <v>44469</v>
      </c>
      <c r="C5755" s="2" t="s">
        <v>2265</v>
      </c>
      <c r="D5755" s="2" t="s">
        <v>986</v>
      </c>
      <c r="E5755" s="2">
        <v>24.65</v>
      </c>
      <c r="F5755" s="2" t="e">
        <f>IF(Table2[[#This Row],[Manual Cat Value]]="",VLOOKUP(Table2[[#This Row],[Description]],'Actuals Lookup'!D:F,3,0),Table2[[#This Row],[Manual Cat Value]])</f>
        <v>#N/A</v>
      </c>
      <c r="J5755" s="2">
        <v>-24.65</v>
      </c>
      <c r="K5755" s="2" t="b">
        <v>0</v>
      </c>
      <c r="L5755" s="2"/>
      <c r="M5755" s="2"/>
      <c r="N5755" s="4" t="s">
        <v>2273</v>
      </c>
      <c r="O5755" s="4" t="str">
        <f>LEFT(Table2[[#This Row],[Description]],75)</f>
        <v>Interest Income Split Rate APY Earned 074 090121 to 093021</v>
      </c>
      <c r="P5755" s="2" t="s">
        <v>2281</v>
      </c>
    </row>
    <row r="5756" spans="1:16" hidden="1">
      <c r="A5756" s="2">
        <v>202109</v>
      </c>
      <c r="B5756" s="3">
        <v>44469</v>
      </c>
      <c r="C5756" s="2" t="s">
        <v>2274</v>
      </c>
      <c r="D5756" s="2" t="s">
        <v>994</v>
      </c>
      <c r="E5756" s="2">
        <v>0.03</v>
      </c>
      <c r="F5756" s="2" t="e">
        <f>IF(Table2[[#This Row],[Manual Cat Value]]="",VLOOKUP(Table2[[#This Row],[Description]],'Actuals Lookup'!D:F,3,0),Table2[[#This Row],[Manual Cat Value]])</f>
        <v>#N/A</v>
      </c>
      <c r="J5756" s="2">
        <v>-0.03</v>
      </c>
      <c r="K5756" s="2" t="b">
        <v>0</v>
      </c>
      <c r="L5756" s="2"/>
      <c r="M5756" s="2"/>
      <c r="N5756" s="4" t="s">
        <v>2273</v>
      </c>
      <c r="O5756" s="4" t="str">
        <f>LEFT(Table2[[#This Row],[Description]],75)</f>
        <v>Interest Paid</v>
      </c>
      <c r="P5756" s="2" t="s">
        <v>2281</v>
      </c>
    </row>
    <row r="5757" spans="1:16" hidden="1">
      <c r="A5757" s="2">
        <v>202109</v>
      </c>
      <c r="B5757" s="3">
        <v>44469</v>
      </c>
      <c r="C5757" s="2" t="s">
        <v>2258</v>
      </c>
      <c r="D5757" s="2" t="s">
        <v>1102</v>
      </c>
      <c r="E5757" s="2">
        <v>24.86</v>
      </c>
      <c r="F5757" s="2" t="str">
        <f>IF(Table2[[#This Row],[Manual Cat Value]]="",VLOOKUP(Table2[[#This Row],[Description]],'Actuals Lookup'!D:F,3,0),Table2[[#This Row],[Manual Cat Value]])</f>
        <v>Restaurants</v>
      </c>
      <c r="J5757" s="2">
        <v>24.86</v>
      </c>
      <c r="K5757" s="2" t="b">
        <v>0</v>
      </c>
      <c r="L5757" s="2"/>
      <c r="M5757" s="2"/>
      <c r="N5757" s="4" t="s">
        <v>2259</v>
      </c>
      <c r="O5757" s="4" t="str">
        <f>LEFT(Table2[[#This Row],[Description]],75)</f>
        <v>Leeann Chin</v>
      </c>
      <c r="P5757" s="2" t="s">
        <v>2529</v>
      </c>
    </row>
    <row r="5758" spans="1:16" hidden="1">
      <c r="A5758" s="2">
        <v>202109</v>
      </c>
      <c r="B5758" s="3">
        <v>44469</v>
      </c>
      <c r="C5758" s="2" t="s">
        <v>2447</v>
      </c>
      <c r="D5758" s="2" t="s">
        <v>1102</v>
      </c>
      <c r="E5758" s="2">
        <v>24.86</v>
      </c>
      <c r="F5758" s="2" t="str">
        <f>IF(Table2[[#This Row],[Manual Cat Value]]="",VLOOKUP(Table2[[#This Row],[Description]],'Actuals Lookup'!D:F,3,0),Table2[[#This Row],[Manual Cat Value]])</f>
        <v>Restaurants</v>
      </c>
      <c r="J5758" s="2">
        <v>24.86</v>
      </c>
      <c r="K5758" s="2" t="b">
        <v>0</v>
      </c>
      <c r="L5758" s="2"/>
      <c r="M5758" s="2"/>
      <c r="N5758" s="4" t="s">
        <v>2259</v>
      </c>
      <c r="O5758" s="4" t="str">
        <f>LEFT(Table2[[#This Row],[Description]],75)</f>
        <v>Leeann Chin</v>
      </c>
      <c r="P5758" s="2" t="s">
        <v>2529</v>
      </c>
    </row>
    <row r="5759" spans="1:16" hidden="1">
      <c r="A5759" s="2">
        <v>202109</v>
      </c>
      <c r="B5759" s="3">
        <v>44469</v>
      </c>
      <c r="C5759" s="2" t="s">
        <v>2262</v>
      </c>
      <c r="D5759" s="2" t="s">
        <v>1191</v>
      </c>
      <c r="E5759" s="2">
        <v>104.45</v>
      </c>
      <c r="F5759" s="2" t="e">
        <f>IF(Table2[[#This Row],[Manual Cat Value]]="",VLOOKUP(Table2[[#This Row],[Description]],'Actuals Lookup'!D:F,3,0),Table2[[#This Row],[Manual Cat Value]])</f>
        <v>#N/A</v>
      </c>
      <c r="J5759" s="2">
        <v>104.45</v>
      </c>
      <c r="K5759" s="2" t="b">
        <v>0</v>
      </c>
      <c r="L5759" s="2"/>
      <c r="M5759" s="2"/>
      <c r="N5759" s="4" t="s">
        <v>2259</v>
      </c>
      <c r="O5759" s="4" t="str">
        <f>LEFT(Table2[[#This Row],[Description]],75)</f>
        <v>Menard</v>
      </c>
      <c r="P5759" s="2" t="s">
        <v>2281</v>
      </c>
    </row>
    <row r="5760" spans="1:16" hidden="1">
      <c r="A5760" s="2">
        <v>202109</v>
      </c>
      <c r="B5760" s="3">
        <v>44469</v>
      </c>
      <c r="C5760" s="2" t="s">
        <v>2300</v>
      </c>
      <c r="D5760" s="2" t="s">
        <v>1709</v>
      </c>
      <c r="E5760" s="2">
        <v>13.34</v>
      </c>
      <c r="F5760" s="2" t="e">
        <f>IF(Table2[[#This Row],[Manual Cat Value]]="",VLOOKUP(Table2[[#This Row],[Description]],'Actuals Lookup'!D:F,3,0),Table2[[#This Row],[Manual Cat Value]])</f>
        <v>#N/A</v>
      </c>
      <c r="J5760" s="2">
        <v>-13.34</v>
      </c>
      <c r="K5760" s="2" t="b">
        <v>0</v>
      </c>
      <c r="L5760" s="2"/>
      <c r="M5760" s="2"/>
      <c r="N5760" s="4" t="s">
        <v>2273</v>
      </c>
      <c r="O5760" s="4" t="str">
        <f>LEFT(Table2[[#This Row],[Description]],75)</f>
        <v>Split Rate Apy</v>
      </c>
      <c r="P5760" s="2" t="s">
        <v>2313</v>
      </c>
    </row>
    <row r="5761" spans="1:16" hidden="1">
      <c r="A5761" s="2">
        <v>202109</v>
      </c>
      <c r="B5761" s="3">
        <v>44469</v>
      </c>
      <c r="C5761" s="2" t="s">
        <v>2435</v>
      </c>
      <c r="D5761" s="2" t="s">
        <v>1836</v>
      </c>
      <c r="E5761" s="2">
        <v>-250</v>
      </c>
      <c r="F5761" s="2" t="e">
        <f>IF(Table2[[#This Row],[Manual Cat Value]]="",VLOOKUP(Table2[[#This Row],[Description]],'Actuals Lookup'!D:F,3,0),Table2[[#This Row],[Manual Cat Value]])</f>
        <v>#N/A</v>
      </c>
      <c r="J5761" s="2">
        <v>250</v>
      </c>
      <c r="K5761" s="2" t="b">
        <v>0</v>
      </c>
      <c r="L5761" s="2"/>
      <c r="M5761" s="2"/>
      <c r="N5761" s="4" t="s">
        <v>2273</v>
      </c>
      <c r="O5761" s="4" t="str">
        <f>LEFT(Table2[[#This Row],[Description]],75)</f>
        <v>Tfr JPMORGAN CHASE BAN, CONNECTED ANALYT</v>
      </c>
      <c r="P5761" s="2" t="s">
        <v>2493</v>
      </c>
    </row>
    <row r="5762" spans="1:16" hidden="1">
      <c r="A5762" s="2">
        <v>202110</v>
      </c>
      <c r="B5762" s="3">
        <v>44470</v>
      </c>
      <c r="C5762" s="2" t="s">
        <v>2270</v>
      </c>
      <c r="D5762" s="2" t="s">
        <v>1410</v>
      </c>
      <c r="E5762" s="2">
        <v>-745.75</v>
      </c>
      <c r="F5762" s="2" t="str">
        <f>IF(Table2[[#This Row],[Manual Cat Value]]="",VLOOKUP(Table2[[#This Row],[Description]],'Actuals Lookup'!D:F,3,0),Table2[[#This Row],[Manual Cat Value]])</f>
        <v>Delete</v>
      </c>
      <c r="J5762" s="2">
        <v>745.75</v>
      </c>
      <c r="K5762" s="2" t="b">
        <v>0</v>
      </c>
      <c r="L5762" s="2"/>
      <c r="M5762" s="2"/>
      <c r="N5762" s="4" t="s">
        <v>2273</v>
      </c>
      <c r="O5762" s="4" t="str">
        <f>LEFT(Table2[[#This Row],[Description]],75)</f>
        <v>PAYMENT</v>
      </c>
      <c r="P5762" s="2" t="s">
        <v>2492</v>
      </c>
    </row>
    <row r="5763" spans="1:16" hidden="1">
      <c r="A5763" s="2">
        <v>202110</v>
      </c>
      <c r="B5763" s="3">
        <v>44470</v>
      </c>
      <c r="C5763" s="2" t="s">
        <v>2262</v>
      </c>
      <c r="D5763" s="2" t="s">
        <v>38</v>
      </c>
      <c r="E5763" s="2">
        <v>10.73</v>
      </c>
      <c r="F5763" s="2" t="str">
        <f>IF(Table2[[#This Row],[Manual Cat Value]]="",VLOOKUP(Table2[[#This Row],[Description]],'Actuals Lookup'!D:F,3,0),Table2[[#This Row],[Manual Cat Value]])</f>
        <v>Amazon</v>
      </c>
      <c r="J5763" s="2">
        <v>10.73</v>
      </c>
      <c r="K5763" s="2" t="b">
        <v>0</v>
      </c>
      <c r="L5763" s="2"/>
      <c r="M5763" s="2"/>
      <c r="N5763" s="4" t="s">
        <v>2259</v>
      </c>
      <c r="O5763" s="4" t="str">
        <f>LEFT(Table2[[#This Row],[Description]],75)</f>
        <v>Amazon</v>
      </c>
      <c r="P5763" s="2" t="s">
        <v>2260</v>
      </c>
    </row>
    <row r="5764" spans="1:16" hidden="1">
      <c r="A5764" s="2">
        <v>202110</v>
      </c>
      <c r="B5764" s="3">
        <v>44470</v>
      </c>
      <c r="C5764" s="2" t="s">
        <v>2258</v>
      </c>
      <c r="D5764" s="2" t="s">
        <v>114</v>
      </c>
      <c r="E5764" s="2">
        <v>4.28</v>
      </c>
      <c r="F5764" s="2" t="str">
        <f>IF(Table2[[#This Row],[Manual Cat Value]]="",VLOOKUP(Table2[[#This Row],[Description]],'Actuals Lookup'!D:F,3,0),Table2[[#This Row],[Manual Cat Value]])</f>
        <v>Entertainment</v>
      </c>
      <c r="J5764" s="2">
        <v>4.28</v>
      </c>
      <c r="K5764" s="2" t="b">
        <v>0</v>
      </c>
      <c r="L5764" s="2"/>
      <c r="M5764" s="2"/>
      <c r="N5764" s="4" t="s">
        <v>2259</v>
      </c>
      <c r="O5764" s="4" t="str">
        <f>LEFT(Table2[[#This Row],[Description]],75)</f>
        <v>Amazon Music</v>
      </c>
      <c r="P5764" s="2" t="s">
        <v>2466</v>
      </c>
    </row>
    <row r="5765" spans="1:16" hidden="1">
      <c r="A5765" s="2">
        <v>202110</v>
      </c>
      <c r="B5765" s="3">
        <v>44470</v>
      </c>
      <c r="C5765" s="2" t="s">
        <v>2447</v>
      </c>
      <c r="D5765" s="2" t="s">
        <v>114</v>
      </c>
      <c r="E5765" s="2">
        <v>4.28</v>
      </c>
      <c r="F5765" s="2" t="str">
        <f>IF(Table2[[#This Row],[Manual Cat Value]]="",VLOOKUP(Table2[[#This Row],[Description]],'Actuals Lookup'!D:F,3,0),Table2[[#This Row],[Manual Cat Value]])</f>
        <v>Entertainment</v>
      </c>
      <c r="J5765" s="2">
        <v>4.28</v>
      </c>
      <c r="K5765" s="2" t="b">
        <v>0</v>
      </c>
      <c r="L5765" s="2"/>
      <c r="M5765" s="2"/>
      <c r="N5765" s="4" t="s">
        <v>2259</v>
      </c>
      <c r="O5765" s="4" t="str">
        <f>LEFT(Table2[[#This Row],[Description]],75)</f>
        <v>Amazon Music</v>
      </c>
      <c r="P5765" s="2" t="s">
        <v>2466</v>
      </c>
    </row>
    <row r="5766" spans="1:16" hidden="1">
      <c r="A5766" s="2">
        <v>202110</v>
      </c>
      <c r="B5766" s="3">
        <v>44470</v>
      </c>
      <c r="C5766" s="2" t="s">
        <v>2265</v>
      </c>
      <c r="D5766" s="2" t="s">
        <v>254</v>
      </c>
      <c r="E5766" s="2">
        <v>3003.94</v>
      </c>
      <c r="F5766" s="2" t="str">
        <f>IF(Table2[[#This Row],[Manual Cat Value]]="",VLOOKUP(Table2[[#This Row],[Description]],'Actuals Lookup'!D:F,3,0),Table2[[#This Row],[Manual Cat Value]])</f>
        <v>Rent</v>
      </c>
      <c r="J5766" s="2">
        <v>3003.94</v>
      </c>
      <c r="K5766" s="2" t="b">
        <v>0</v>
      </c>
      <c r="L5766" s="2"/>
      <c r="M5766" s="2"/>
      <c r="N5766" s="4" t="s">
        <v>2259</v>
      </c>
      <c r="O5766" s="4" t="str">
        <f>LEFT(Table2[[#This Row],[Description]],75)</f>
        <v>Baxter Credit Union</v>
      </c>
      <c r="P5766" s="2" t="s">
        <v>2558</v>
      </c>
    </row>
    <row r="5767" spans="1:16" hidden="1">
      <c r="A5767" s="2">
        <v>202110</v>
      </c>
      <c r="B5767" s="3">
        <v>44470</v>
      </c>
      <c r="C5767" s="2" t="s">
        <v>2317</v>
      </c>
      <c r="D5767" s="2" t="s">
        <v>424</v>
      </c>
      <c r="E5767" s="2">
        <v>-200</v>
      </c>
      <c r="F5767" s="2" t="e">
        <f>IF(Table2[[#This Row],[Manual Cat Value]]="",VLOOKUP(Table2[[#This Row],[Description]],'Actuals Lookup'!D:F,3,0),Table2[[#This Row],[Manual Cat Value]])</f>
        <v>#N/A</v>
      </c>
      <c r="J5767" s="2">
        <v>200</v>
      </c>
      <c r="K5767" s="2" t="b">
        <v>0</v>
      </c>
      <c r="L5767" s="2"/>
      <c r="M5767" s="2"/>
      <c r="N5767" s="4" t="s">
        <v>2273</v>
      </c>
      <c r="O5767" s="4" t="str">
        <f>LEFT(Table2[[#This Row],[Description]],75)</f>
        <v>CARGILL INCORPOR</v>
      </c>
      <c r="P5767" s="2" t="s">
        <v>2385</v>
      </c>
    </row>
    <row r="5768" spans="1:16" hidden="1">
      <c r="A5768" s="2">
        <v>202110</v>
      </c>
      <c r="B5768" s="3">
        <v>44470</v>
      </c>
      <c r="C5768" s="2" t="s">
        <v>2265</v>
      </c>
      <c r="D5768" s="2" t="s">
        <v>598</v>
      </c>
      <c r="E5768" s="2">
        <v>200</v>
      </c>
      <c r="F5768" s="2" t="e">
        <f>IF(Table2[[#This Row],[Manual Cat Value]]="",VLOOKUP(Table2[[#This Row],[Description]],'Actuals Lookup'!D:F,3,0),Table2[[#This Row],[Manual Cat Value]])</f>
        <v>#N/A</v>
      </c>
      <c r="J5768" s="2">
        <v>200</v>
      </c>
      <c r="K5768" s="2" t="b">
        <v>0</v>
      </c>
      <c r="L5768" s="2"/>
      <c r="M5768" s="2"/>
      <c r="N5768" s="4" t="s">
        <v>2259</v>
      </c>
      <c r="O5768" s="4" t="str">
        <f>LEFT(Table2[[#This Row],[Description]],75)</f>
        <v>College Savings TYPE ACH ID XX58 College Savings TYPE ACH ID 550895818 CO C</v>
      </c>
      <c r="P5768" s="2" t="s">
        <v>2272</v>
      </c>
    </row>
    <row r="5769" spans="1:16" hidden="1">
      <c r="A5769" s="2">
        <v>202110</v>
      </c>
      <c r="B5769" s="3">
        <v>44470</v>
      </c>
      <c r="C5769" s="2" t="s">
        <v>2305</v>
      </c>
      <c r="D5769" s="2" t="s">
        <v>670</v>
      </c>
      <c r="E5769" s="2">
        <v>-253.43</v>
      </c>
      <c r="F5769" s="2" t="e">
        <f>IF(Table2[[#This Row],[Manual Cat Value]]="",VLOOKUP(Table2[[#This Row],[Description]],'Actuals Lookup'!D:F,3,0),Table2[[#This Row],[Manual Cat Value]])</f>
        <v>#N/A</v>
      </c>
      <c r="J5769" s="2">
        <v>253.43</v>
      </c>
      <c r="K5769" s="2" t="b">
        <v>0</v>
      </c>
      <c r="L5769" s="2"/>
      <c r="M5769" s="2"/>
      <c r="N5769" s="4" t="s">
        <v>2273</v>
      </c>
      <c r="O5769" s="4" t="str">
        <f>LEFT(Table2[[#This Row],[Description]],75)</f>
        <v>Cred Rebate</v>
      </c>
      <c r="P5769" s="2" t="s">
        <v>2443</v>
      </c>
    </row>
    <row r="5770" spans="1:16" hidden="1">
      <c r="A5770" s="2">
        <v>202110</v>
      </c>
      <c r="B5770" s="3">
        <v>44470</v>
      </c>
      <c r="C5770" s="2" t="s">
        <v>2314</v>
      </c>
      <c r="D5770" s="2" t="s">
        <v>859</v>
      </c>
      <c r="E5770" s="2">
        <v>-589.77</v>
      </c>
      <c r="F5770" s="2" t="e">
        <f>IF(Table2[[#This Row],[Manual Cat Value]]="",VLOOKUP(Table2[[#This Row],[Description]],'Actuals Lookup'!D:F,3,0),Table2[[#This Row],[Manual Cat Value]])</f>
        <v>#N/A</v>
      </c>
      <c r="J5770" s="2">
        <v>589.77</v>
      </c>
      <c r="K5770" s="2" t="b">
        <v>0</v>
      </c>
      <c r="L5770" s="2"/>
      <c r="M5770" s="2"/>
      <c r="N5770" s="4" t="s">
        <v>2273</v>
      </c>
      <c r="O5770" s="4" t="str">
        <f>LEFT(Table2[[#This Row],[Description]],75)</f>
        <v>From Share 70</v>
      </c>
      <c r="P5770" s="2" t="s">
        <v>2496</v>
      </c>
    </row>
    <row r="5771" spans="1:16" hidden="1">
      <c r="A5771" s="2">
        <v>202110</v>
      </c>
      <c r="B5771" s="3">
        <v>44470</v>
      </c>
      <c r="C5771" s="2" t="s">
        <v>2270</v>
      </c>
      <c r="D5771" s="2" t="s">
        <v>1524</v>
      </c>
      <c r="E5771" s="2">
        <v>-431</v>
      </c>
      <c r="F5771" s="2" t="e">
        <f>IF(Table2[[#This Row],[Manual Cat Value]]="",VLOOKUP(Table2[[#This Row],[Description]],'Actuals Lookup'!D:F,3,0),Table2[[#This Row],[Manual Cat Value]])</f>
        <v>#N/A</v>
      </c>
      <c r="J5771" s="2">
        <v>431</v>
      </c>
      <c r="K5771" s="2" t="b">
        <v>0</v>
      </c>
      <c r="L5771" s="2"/>
      <c r="M5771" s="2"/>
      <c r="N5771" s="4" t="s">
        <v>2273</v>
      </c>
      <c r="O5771" s="4" t="str">
        <f>LEFT(Table2[[#This Row],[Description]],75)</f>
        <v>Principal Curtailment</v>
      </c>
      <c r="P5771" s="2" t="s">
        <v>2514</v>
      </c>
    </row>
    <row r="5772" spans="1:16" hidden="1">
      <c r="A5772" s="2">
        <v>202110</v>
      </c>
      <c r="B5772" s="3">
        <v>44470</v>
      </c>
      <c r="C5772" s="2" t="s">
        <v>2434</v>
      </c>
      <c r="D5772" s="2" t="s">
        <v>1835</v>
      </c>
      <c r="E5772" s="2">
        <v>-231</v>
      </c>
      <c r="F5772" s="2" t="e">
        <f>IF(Table2[[#This Row],[Manual Cat Value]]="",VLOOKUP(Table2[[#This Row],[Description]],'Actuals Lookup'!D:F,3,0),Table2[[#This Row],[Manual Cat Value]])</f>
        <v>#N/A</v>
      </c>
      <c r="J5772" s="2">
        <v>231</v>
      </c>
      <c r="K5772" s="2" t="b">
        <v>0</v>
      </c>
      <c r="L5772" s="2"/>
      <c r="M5772" s="2"/>
      <c r="N5772" s="4" t="s">
        <v>2273</v>
      </c>
      <c r="O5772" s="4" t="str">
        <f>LEFT(Table2[[#This Row],[Description]],75)</f>
        <v>Tfr JPMORGAN CHASE BAN, CARGILL INCORPOR</v>
      </c>
      <c r="P5772" s="2" t="s">
        <v>2281</v>
      </c>
    </row>
    <row r="5773" spans="1:16" hidden="1">
      <c r="A5773" s="2">
        <v>202110</v>
      </c>
      <c r="B5773" s="3">
        <v>44470</v>
      </c>
      <c r="C5773" s="2" t="s">
        <v>2265</v>
      </c>
      <c r="D5773" s="2" t="s">
        <v>1877</v>
      </c>
      <c r="E5773" s="2">
        <v>618.65</v>
      </c>
      <c r="F5773" s="2" t="e">
        <f>IF(Table2[[#This Row],[Manual Cat Value]]="",VLOOKUP(Table2[[#This Row],[Description]],'Actuals Lookup'!D:F,3,0),Table2[[#This Row],[Manual Cat Value]])</f>
        <v>#N/A</v>
      </c>
      <c r="J5773" s="2">
        <v>618.65</v>
      </c>
      <c r="K5773" s="2" t="b">
        <v>0</v>
      </c>
      <c r="L5773" s="2"/>
      <c r="M5773" s="2"/>
      <c r="N5773" s="4" t="s">
        <v>2259</v>
      </c>
      <c r="O5773" s="4" t="str">
        <f>LEFT(Table2[[#This Row],[Description]],75)</f>
        <v>To Loan 02</v>
      </c>
      <c r="P5773" s="2" t="s">
        <v>2316</v>
      </c>
    </row>
    <row r="5774" spans="1:16" hidden="1">
      <c r="A5774" s="2">
        <v>202110</v>
      </c>
      <c r="B5774" s="3">
        <v>44471</v>
      </c>
      <c r="C5774" s="2" t="s">
        <v>2258</v>
      </c>
      <c r="D5774" s="2" t="s">
        <v>38</v>
      </c>
      <c r="E5774" s="2">
        <v>-7.51</v>
      </c>
      <c r="F5774" s="2" t="str">
        <f>IF(Table2[[#This Row],[Manual Cat Value]]="",VLOOKUP(Table2[[#This Row],[Description]],'Actuals Lookup'!D:F,3,0),Table2[[#This Row],[Manual Cat Value]])</f>
        <v>Amazon</v>
      </c>
      <c r="J5774" s="2">
        <v>7.51</v>
      </c>
      <c r="K5774" s="2" t="b">
        <v>0</v>
      </c>
      <c r="L5774" s="2"/>
      <c r="M5774" s="2"/>
      <c r="N5774" s="4" t="s">
        <v>2273</v>
      </c>
      <c r="O5774" s="4" t="str">
        <f>LEFT(Table2[[#This Row],[Description]],75)</f>
        <v>Amazon</v>
      </c>
      <c r="P5774" s="2" t="s">
        <v>2260</v>
      </c>
    </row>
    <row r="5775" spans="1:16" hidden="1">
      <c r="A5775" s="2">
        <v>202110</v>
      </c>
      <c r="B5775" s="3">
        <v>44471</v>
      </c>
      <c r="C5775" s="2" t="s">
        <v>2258</v>
      </c>
      <c r="D5775" s="2" t="s">
        <v>38</v>
      </c>
      <c r="E5775" s="2">
        <v>-14.94</v>
      </c>
      <c r="F5775" s="2" t="str">
        <f>IF(Table2[[#This Row],[Manual Cat Value]]="",VLOOKUP(Table2[[#This Row],[Description]],'Actuals Lookup'!D:F,3,0),Table2[[#This Row],[Manual Cat Value]])</f>
        <v>Amazon</v>
      </c>
      <c r="J5775" s="2">
        <v>14.94</v>
      </c>
      <c r="K5775" s="2" t="b">
        <v>0</v>
      </c>
      <c r="L5775" s="2"/>
      <c r="M5775" s="2"/>
      <c r="N5775" s="4" t="s">
        <v>2273</v>
      </c>
      <c r="O5775" s="4" t="str">
        <f>LEFT(Table2[[#This Row],[Description]],75)</f>
        <v>Amazon</v>
      </c>
      <c r="P5775" s="2" t="s">
        <v>2260</v>
      </c>
    </row>
    <row r="5776" spans="1:16" hidden="1">
      <c r="A5776" s="2">
        <v>202110</v>
      </c>
      <c r="B5776" s="3">
        <v>44471</v>
      </c>
      <c r="C5776" s="2" t="s">
        <v>2258</v>
      </c>
      <c r="D5776" s="2" t="s">
        <v>38</v>
      </c>
      <c r="E5776" s="2">
        <v>-16.010000000000002</v>
      </c>
      <c r="F5776" s="2" t="str">
        <f>IF(Table2[[#This Row],[Manual Cat Value]]="",VLOOKUP(Table2[[#This Row],[Description]],'Actuals Lookup'!D:F,3,0),Table2[[#This Row],[Manual Cat Value]])</f>
        <v>Amazon</v>
      </c>
      <c r="J5776" s="2">
        <v>16.010000000000002</v>
      </c>
      <c r="K5776" s="2" t="b">
        <v>0</v>
      </c>
      <c r="L5776" s="2"/>
      <c r="M5776" s="2"/>
      <c r="N5776" s="4" t="s">
        <v>2273</v>
      </c>
      <c r="O5776" s="4" t="str">
        <f>LEFT(Table2[[#This Row],[Description]],75)</f>
        <v>Amazon</v>
      </c>
      <c r="P5776" s="2" t="s">
        <v>2260</v>
      </c>
    </row>
    <row r="5777" spans="1:16" hidden="1">
      <c r="A5777" s="2">
        <v>202110</v>
      </c>
      <c r="B5777" s="3">
        <v>44471</v>
      </c>
      <c r="C5777" s="2" t="s">
        <v>2258</v>
      </c>
      <c r="D5777" s="2" t="s">
        <v>38</v>
      </c>
      <c r="E5777" s="2">
        <v>-16.989999999999998</v>
      </c>
      <c r="F5777" s="2" t="str">
        <f>IF(Table2[[#This Row],[Manual Cat Value]]="",VLOOKUP(Table2[[#This Row],[Description]],'Actuals Lookup'!D:F,3,0),Table2[[#This Row],[Manual Cat Value]])</f>
        <v>Amazon</v>
      </c>
      <c r="J5777" s="2">
        <v>16.989999999999998</v>
      </c>
      <c r="K5777" s="2" t="b">
        <v>0</v>
      </c>
      <c r="L5777" s="2"/>
      <c r="M5777" s="2"/>
      <c r="N5777" s="4" t="s">
        <v>2273</v>
      </c>
      <c r="O5777" s="4" t="str">
        <f>LEFT(Table2[[#This Row],[Description]],75)</f>
        <v>Amazon</v>
      </c>
      <c r="P5777" s="2" t="s">
        <v>2260</v>
      </c>
    </row>
    <row r="5778" spans="1:16" hidden="1">
      <c r="A5778" s="2">
        <v>202110</v>
      </c>
      <c r="B5778" s="3">
        <v>44471</v>
      </c>
      <c r="C5778" s="2" t="s">
        <v>2258</v>
      </c>
      <c r="D5778" s="2" t="s">
        <v>38</v>
      </c>
      <c r="E5778" s="2">
        <v>-19.97</v>
      </c>
      <c r="F5778" s="2" t="str">
        <f>IF(Table2[[#This Row],[Manual Cat Value]]="",VLOOKUP(Table2[[#This Row],[Description]],'Actuals Lookup'!D:F,3,0),Table2[[#This Row],[Manual Cat Value]])</f>
        <v>Amazon</v>
      </c>
      <c r="J5778" s="2">
        <v>19.97</v>
      </c>
      <c r="K5778" s="2" t="b">
        <v>0</v>
      </c>
      <c r="L5778" s="2"/>
      <c r="M5778" s="2"/>
      <c r="N5778" s="4" t="s">
        <v>2273</v>
      </c>
      <c r="O5778" s="4" t="str">
        <f>LEFT(Table2[[#This Row],[Description]],75)</f>
        <v>Amazon</v>
      </c>
      <c r="P5778" s="2" t="s">
        <v>2260</v>
      </c>
    </row>
    <row r="5779" spans="1:16" hidden="1">
      <c r="A5779" s="2">
        <v>202110</v>
      </c>
      <c r="B5779" s="3">
        <v>44471</v>
      </c>
      <c r="C5779" s="2" t="s">
        <v>2258</v>
      </c>
      <c r="D5779" s="2" t="s">
        <v>38</v>
      </c>
      <c r="E5779" s="2">
        <v>-22.99</v>
      </c>
      <c r="F5779" s="2" t="str">
        <f>IF(Table2[[#This Row],[Manual Cat Value]]="",VLOOKUP(Table2[[#This Row],[Description]],'Actuals Lookup'!D:F,3,0),Table2[[#This Row],[Manual Cat Value]])</f>
        <v>Amazon</v>
      </c>
      <c r="J5779" s="2">
        <v>22.99</v>
      </c>
      <c r="K5779" s="2" t="b">
        <v>0</v>
      </c>
      <c r="L5779" s="2"/>
      <c r="M5779" s="2"/>
      <c r="N5779" s="4" t="s">
        <v>2273</v>
      </c>
      <c r="O5779" s="4" t="str">
        <f>LEFT(Table2[[#This Row],[Description]],75)</f>
        <v>Amazon</v>
      </c>
      <c r="P5779" s="2" t="s">
        <v>2260</v>
      </c>
    </row>
    <row r="5780" spans="1:16" hidden="1">
      <c r="A5780" s="2">
        <v>202110</v>
      </c>
      <c r="B5780" s="3">
        <v>44471</v>
      </c>
      <c r="C5780" s="2" t="s">
        <v>2258</v>
      </c>
      <c r="D5780" s="2" t="s">
        <v>38</v>
      </c>
      <c r="E5780" s="2">
        <v>-26.52</v>
      </c>
      <c r="F5780" s="2" t="str">
        <f>IF(Table2[[#This Row],[Manual Cat Value]]="",VLOOKUP(Table2[[#This Row],[Description]],'Actuals Lookup'!D:F,3,0),Table2[[#This Row],[Manual Cat Value]])</f>
        <v>Amazon</v>
      </c>
      <c r="J5780" s="2">
        <v>26.52</v>
      </c>
      <c r="K5780" s="2" t="b">
        <v>0</v>
      </c>
      <c r="L5780" s="2"/>
      <c r="M5780" s="2"/>
      <c r="N5780" s="4" t="s">
        <v>2273</v>
      </c>
      <c r="O5780" s="4" t="str">
        <f>LEFT(Table2[[#This Row],[Description]],75)</f>
        <v>Amazon</v>
      </c>
      <c r="P5780" s="2" t="s">
        <v>2260</v>
      </c>
    </row>
    <row r="5781" spans="1:16" hidden="1">
      <c r="A5781" s="2">
        <v>202110</v>
      </c>
      <c r="B5781" s="3">
        <v>44471</v>
      </c>
      <c r="C5781" s="2" t="s">
        <v>2447</v>
      </c>
      <c r="D5781" s="2" t="s">
        <v>38</v>
      </c>
      <c r="E5781" s="2">
        <v>-7.51</v>
      </c>
      <c r="F5781" s="2" t="str">
        <f>IF(Table2[[#This Row],[Manual Cat Value]]="",VLOOKUP(Table2[[#This Row],[Description]],'Actuals Lookup'!D:F,3,0),Table2[[#This Row],[Manual Cat Value]])</f>
        <v>Amazon</v>
      </c>
      <c r="J5781" s="2">
        <v>7.51</v>
      </c>
      <c r="K5781" s="2" t="b">
        <v>0</v>
      </c>
      <c r="L5781" s="2"/>
      <c r="M5781" s="2"/>
      <c r="N5781" s="4" t="s">
        <v>2273</v>
      </c>
      <c r="O5781" s="4" t="str">
        <f>LEFT(Table2[[#This Row],[Description]],75)</f>
        <v>Amazon</v>
      </c>
      <c r="P5781" s="2" t="s">
        <v>2260</v>
      </c>
    </row>
    <row r="5782" spans="1:16" hidden="1">
      <c r="A5782" s="2">
        <v>202110</v>
      </c>
      <c r="B5782" s="3">
        <v>44471</v>
      </c>
      <c r="C5782" s="2" t="s">
        <v>2447</v>
      </c>
      <c r="D5782" s="2" t="s">
        <v>38</v>
      </c>
      <c r="E5782" s="2">
        <v>-14.94</v>
      </c>
      <c r="F5782" s="2" t="str">
        <f>IF(Table2[[#This Row],[Manual Cat Value]]="",VLOOKUP(Table2[[#This Row],[Description]],'Actuals Lookup'!D:F,3,0),Table2[[#This Row],[Manual Cat Value]])</f>
        <v>Amazon</v>
      </c>
      <c r="J5782" s="2">
        <v>14.94</v>
      </c>
      <c r="K5782" s="2" t="b">
        <v>0</v>
      </c>
      <c r="L5782" s="2"/>
      <c r="M5782" s="2"/>
      <c r="N5782" s="4" t="s">
        <v>2273</v>
      </c>
      <c r="O5782" s="4" t="str">
        <f>LEFT(Table2[[#This Row],[Description]],75)</f>
        <v>Amazon</v>
      </c>
      <c r="P5782" s="2" t="s">
        <v>2260</v>
      </c>
    </row>
    <row r="5783" spans="1:16" hidden="1">
      <c r="A5783" s="2">
        <v>202110</v>
      </c>
      <c r="B5783" s="3">
        <v>44471</v>
      </c>
      <c r="C5783" s="2" t="s">
        <v>2447</v>
      </c>
      <c r="D5783" s="2" t="s">
        <v>38</v>
      </c>
      <c r="E5783" s="2">
        <v>-16.010000000000002</v>
      </c>
      <c r="F5783" s="2" t="str">
        <f>IF(Table2[[#This Row],[Manual Cat Value]]="",VLOOKUP(Table2[[#This Row],[Description]],'Actuals Lookup'!D:F,3,0),Table2[[#This Row],[Manual Cat Value]])</f>
        <v>Amazon</v>
      </c>
      <c r="J5783" s="2">
        <v>16.010000000000002</v>
      </c>
      <c r="K5783" s="2" t="b">
        <v>0</v>
      </c>
      <c r="L5783" s="2"/>
      <c r="M5783" s="2"/>
      <c r="N5783" s="4" t="s">
        <v>2273</v>
      </c>
      <c r="O5783" s="4" t="str">
        <f>LEFT(Table2[[#This Row],[Description]],75)</f>
        <v>Amazon</v>
      </c>
      <c r="P5783" s="2" t="s">
        <v>2260</v>
      </c>
    </row>
    <row r="5784" spans="1:16" hidden="1">
      <c r="A5784" s="2">
        <v>202110</v>
      </c>
      <c r="B5784" s="3">
        <v>44471</v>
      </c>
      <c r="C5784" s="2" t="s">
        <v>2447</v>
      </c>
      <c r="D5784" s="2" t="s">
        <v>38</v>
      </c>
      <c r="E5784" s="2">
        <v>-16.989999999999998</v>
      </c>
      <c r="F5784" s="2" t="str">
        <f>IF(Table2[[#This Row],[Manual Cat Value]]="",VLOOKUP(Table2[[#This Row],[Description]],'Actuals Lookup'!D:F,3,0),Table2[[#This Row],[Manual Cat Value]])</f>
        <v>Amazon</v>
      </c>
      <c r="J5784" s="2">
        <v>16.989999999999998</v>
      </c>
      <c r="K5784" s="2" t="b">
        <v>0</v>
      </c>
      <c r="L5784" s="2"/>
      <c r="M5784" s="2"/>
      <c r="N5784" s="4" t="s">
        <v>2273</v>
      </c>
      <c r="O5784" s="4" t="str">
        <f>LEFT(Table2[[#This Row],[Description]],75)</f>
        <v>Amazon</v>
      </c>
      <c r="P5784" s="2" t="s">
        <v>2260</v>
      </c>
    </row>
    <row r="5785" spans="1:16" hidden="1">
      <c r="A5785" s="2">
        <v>202110</v>
      </c>
      <c r="B5785" s="3">
        <v>44471</v>
      </c>
      <c r="C5785" s="2" t="s">
        <v>2447</v>
      </c>
      <c r="D5785" s="2" t="s">
        <v>38</v>
      </c>
      <c r="E5785" s="2">
        <v>-19.97</v>
      </c>
      <c r="F5785" s="2" t="str">
        <f>IF(Table2[[#This Row],[Manual Cat Value]]="",VLOOKUP(Table2[[#This Row],[Description]],'Actuals Lookup'!D:F,3,0),Table2[[#This Row],[Manual Cat Value]])</f>
        <v>Amazon</v>
      </c>
      <c r="J5785" s="2">
        <v>19.97</v>
      </c>
      <c r="K5785" s="2" t="b">
        <v>0</v>
      </c>
      <c r="L5785" s="2"/>
      <c r="M5785" s="2"/>
      <c r="N5785" s="4" t="s">
        <v>2273</v>
      </c>
      <c r="O5785" s="4" t="str">
        <f>LEFT(Table2[[#This Row],[Description]],75)</f>
        <v>Amazon</v>
      </c>
      <c r="P5785" s="2" t="s">
        <v>2260</v>
      </c>
    </row>
    <row r="5786" spans="1:16" hidden="1">
      <c r="A5786" s="2">
        <v>202110</v>
      </c>
      <c r="B5786" s="3">
        <v>44471</v>
      </c>
      <c r="C5786" s="2" t="s">
        <v>2447</v>
      </c>
      <c r="D5786" s="2" t="s">
        <v>38</v>
      </c>
      <c r="E5786" s="2">
        <v>-22.99</v>
      </c>
      <c r="F5786" s="2" t="str">
        <f>IF(Table2[[#This Row],[Manual Cat Value]]="",VLOOKUP(Table2[[#This Row],[Description]],'Actuals Lookup'!D:F,3,0),Table2[[#This Row],[Manual Cat Value]])</f>
        <v>Amazon</v>
      </c>
      <c r="J5786" s="2">
        <v>22.99</v>
      </c>
      <c r="K5786" s="2" t="b">
        <v>0</v>
      </c>
      <c r="L5786" s="2"/>
      <c r="M5786" s="2"/>
      <c r="N5786" s="4" t="s">
        <v>2273</v>
      </c>
      <c r="O5786" s="4" t="str">
        <f>LEFT(Table2[[#This Row],[Description]],75)</f>
        <v>Amazon</v>
      </c>
      <c r="P5786" s="2" t="s">
        <v>2260</v>
      </c>
    </row>
    <row r="5787" spans="1:16" hidden="1">
      <c r="A5787" s="2">
        <v>202110</v>
      </c>
      <c r="B5787" s="3">
        <v>44471</v>
      </c>
      <c r="C5787" s="2" t="s">
        <v>2447</v>
      </c>
      <c r="D5787" s="2" t="s">
        <v>38</v>
      </c>
      <c r="E5787" s="2">
        <v>-26.52</v>
      </c>
      <c r="F5787" s="2" t="str">
        <f>IF(Table2[[#This Row],[Manual Cat Value]]="",VLOOKUP(Table2[[#This Row],[Description]],'Actuals Lookup'!D:F,3,0),Table2[[#This Row],[Manual Cat Value]])</f>
        <v>Amazon</v>
      </c>
      <c r="J5787" s="2">
        <v>26.52</v>
      </c>
      <c r="K5787" s="2" t="b">
        <v>0</v>
      </c>
      <c r="L5787" s="2"/>
      <c r="M5787" s="2"/>
      <c r="N5787" s="4" t="s">
        <v>2273</v>
      </c>
      <c r="O5787" s="4" t="str">
        <f>LEFT(Table2[[#This Row],[Description]],75)</f>
        <v>Amazon</v>
      </c>
      <c r="P5787" s="2" t="s">
        <v>2260</v>
      </c>
    </row>
    <row r="5788" spans="1:16" hidden="1">
      <c r="A5788" s="2">
        <v>202110</v>
      </c>
      <c r="B5788" s="3">
        <v>44472</v>
      </c>
      <c r="C5788" s="2" t="s">
        <v>2258</v>
      </c>
      <c r="D5788" s="2" t="s">
        <v>38</v>
      </c>
      <c r="E5788" s="2">
        <v>22.33</v>
      </c>
      <c r="F5788" s="2" t="str">
        <f>IF(Table2[[#This Row],[Manual Cat Value]]="",VLOOKUP(Table2[[#This Row],[Description]],'Actuals Lookup'!D:F,3,0),Table2[[#This Row],[Manual Cat Value]])</f>
        <v>Amazon</v>
      </c>
      <c r="J5788" s="2">
        <v>22.33</v>
      </c>
      <c r="K5788" s="2" t="b">
        <v>0</v>
      </c>
      <c r="L5788" s="2"/>
      <c r="M5788" s="2"/>
      <c r="N5788" s="4" t="s">
        <v>2259</v>
      </c>
      <c r="O5788" s="4" t="str">
        <f>LEFT(Table2[[#This Row],[Description]],75)</f>
        <v>Amazon</v>
      </c>
      <c r="P5788" s="2" t="s">
        <v>2260</v>
      </c>
    </row>
    <row r="5789" spans="1:16" hidden="1">
      <c r="A5789" s="2">
        <v>202110</v>
      </c>
      <c r="B5789" s="3">
        <v>44472</v>
      </c>
      <c r="C5789" s="2" t="s">
        <v>2447</v>
      </c>
      <c r="D5789" s="2" t="s">
        <v>38</v>
      </c>
      <c r="E5789" s="2">
        <v>22.33</v>
      </c>
      <c r="F5789" s="2" t="str">
        <f>IF(Table2[[#This Row],[Manual Cat Value]]="",VLOOKUP(Table2[[#This Row],[Description]],'Actuals Lookup'!D:F,3,0),Table2[[#This Row],[Manual Cat Value]])</f>
        <v>Amazon</v>
      </c>
      <c r="J5789" s="2">
        <v>22.33</v>
      </c>
      <c r="K5789" s="2" t="b">
        <v>0</v>
      </c>
      <c r="L5789" s="2"/>
      <c r="M5789" s="2"/>
      <c r="N5789" s="4" t="s">
        <v>2259</v>
      </c>
      <c r="O5789" s="4" t="str">
        <f>LEFT(Table2[[#This Row],[Description]],75)</f>
        <v>Amazon</v>
      </c>
      <c r="P5789" s="2" t="s">
        <v>2260</v>
      </c>
    </row>
    <row r="5790" spans="1:16" hidden="1">
      <c r="A5790" s="2">
        <v>202110</v>
      </c>
      <c r="B5790" s="3">
        <v>44472</v>
      </c>
      <c r="C5790" s="2" t="s">
        <v>2262</v>
      </c>
      <c r="D5790" s="2" t="s">
        <v>808</v>
      </c>
      <c r="E5790" s="2">
        <v>123</v>
      </c>
      <c r="F5790" s="2" t="str">
        <f>IF(Table2[[#This Row],[Manual Cat Value]]="",VLOOKUP(Table2[[#This Row],[Description]],'Actuals Lookup'!D:F,3,0),Table2[[#This Row],[Manual Cat Value]])</f>
        <v>Misc</v>
      </c>
      <c r="J5790" s="2">
        <v>123</v>
      </c>
      <c r="K5790" s="2" t="b">
        <v>0</v>
      </c>
      <c r="L5790" s="2"/>
      <c r="M5790" s="2"/>
      <c r="N5790" s="4" t="s">
        <v>2259</v>
      </c>
      <c r="O5790" s="4" t="str">
        <f>LEFT(Table2[[#This Row],[Description]],75)</f>
        <v>Elite Nails</v>
      </c>
      <c r="P5790" s="2" t="s">
        <v>2487</v>
      </c>
    </row>
    <row r="5791" spans="1:16" hidden="1">
      <c r="A5791" s="2">
        <v>202110</v>
      </c>
      <c r="B5791" s="3">
        <v>44472</v>
      </c>
      <c r="C5791" s="2" t="s">
        <v>2262</v>
      </c>
      <c r="D5791" s="2" t="s">
        <v>831</v>
      </c>
      <c r="E5791" s="2">
        <v>32.08</v>
      </c>
      <c r="F5791" s="2" t="e">
        <f>IF(Table2[[#This Row],[Manual Cat Value]]="",VLOOKUP(Table2[[#This Row],[Description]],'Actuals Lookup'!D:F,3,0),Table2[[#This Row],[Manual Cat Value]])</f>
        <v>#N/A</v>
      </c>
      <c r="J5791" s="2">
        <v>32.08</v>
      </c>
      <c r="K5791" s="2" t="b">
        <v>0</v>
      </c>
      <c r="L5791" s="2"/>
      <c r="M5791" s="2"/>
      <c r="N5791" s="4" t="s">
        <v>2259</v>
      </c>
      <c r="O5791" s="4" t="str">
        <f>LEFT(Table2[[#This Row],[Description]],75)</f>
        <v>Excelsior Brewing</v>
      </c>
      <c r="P5791" s="2" t="s">
        <v>2410</v>
      </c>
    </row>
    <row r="5792" spans="1:16" hidden="1">
      <c r="A5792" s="2">
        <v>202110</v>
      </c>
      <c r="B5792" s="3">
        <v>44472</v>
      </c>
      <c r="C5792" s="2" t="s">
        <v>2262</v>
      </c>
      <c r="D5792" s="2" t="s">
        <v>927</v>
      </c>
      <c r="E5792" s="2">
        <v>18</v>
      </c>
      <c r="F5792" s="2" t="e">
        <f>IF(Table2[[#This Row],[Manual Cat Value]]="",VLOOKUP(Table2[[#This Row],[Description]],'Actuals Lookup'!D:F,3,0),Table2[[#This Row],[Manual Cat Value]])</f>
        <v>#N/A</v>
      </c>
      <c r="J5792" s="2">
        <v>18</v>
      </c>
      <c r="K5792" s="2" t="b">
        <v>0</v>
      </c>
      <c r="L5792" s="2"/>
      <c r="M5792" s="2"/>
      <c r="N5792" s="4" t="s">
        <v>2259</v>
      </c>
      <c r="O5792" s="4" t="str">
        <f>LEFT(Table2[[#This Row],[Description]],75)</f>
        <v>HBRSUBSCRIPTION XX0886 MA HBRSUBSCRIPTION 8009880886 MA</v>
      </c>
      <c r="P5792" s="2" t="s">
        <v>2564</v>
      </c>
    </row>
    <row r="5793" spans="1:16" hidden="1">
      <c r="A5793" s="2">
        <v>202110</v>
      </c>
      <c r="B5793" s="3">
        <v>44472</v>
      </c>
      <c r="C5793" s="2" t="s">
        <v>2262</v>
      </c>
      <c r="D5793" s="2" t="s">
        <v>1014</v>
      </c>
      <c r="E5793" s="2">
        <v>12.22</v>
      </c>
      <c r="F5793" s="2" t="str">
        <f>IF(Table2[[#This Row],[Manual Cat Value]]="",VLOOKUP(Table2[[#This Row],[Description]],'Actuals Lookup'!D:F,3,0),Table2[[#This Row],[Manual Cat Value]])</f>
        <v>Restaurants</v>
      </c>
      <c r="J5793" s="2">
        <v>12.22</v>
      </c>
      <c r="K5793" s="2" t="b">
        <v>0</v>
      </c>
      <c r="L5793" s="2"/>
      <c r="M5793" s="2"/>
      <c r="N5793" s="4" t="s">
        <v>2259</v>
      </c>
      <c r="O5793" s="4" t="str">
        <f>LEFT(Table2[[#This Row],[Description]],75)</f>
        <v>Jimmy John's</v>
      </c>
      <c r="P5793" s="2" t="s">
        <v>2453</v>
      </c>
    </row>
    <row r="5794" spans="1:16" hidden="1">
      <c r="A5794" s="2">
        <v>202110</v>
      </c>
      <c r="B5794" s="3">
        <v>44472</v>
      </c>
      <c r="C5794" s="2" t="s">
        <v>2262</v>
      </c>
      <c r="D5794" s="2" t="s">
        <v>1071</v>
      </c>
      <c r="E5794" s="2">
        <v>61.5</v>
      </c>
      <c r="F5794" s="2" t="e">
        <f>IF(Table2[[#This Row],[Manual Cat Value]]="",VLOOKUP(Table2[[#This Row],[Description]],'Actuals Lookup'!D:F,3,0),Table2[[#This Row],[Manual Cat Value]])</f>
        <v>#N/A</v>
      </c>
      <c r="J5794" s="2">
        <v>61.5</v>
      </c>
      <c r="K5794" s="2" t="b">
        <v>0</v>
      </c>
      <c r="L5794" s="2"/>
      <c r="M5794" s="2"/>
      <c r="N5794" s="4" t="s">
        <v>2259</v>
      </c>
      <c r="O5794" s="4" t="str">
        <f>LEFT(Table2[[#This Row],[Description]],75)</f>
        <v>KIDS HAIR CH CHANHASSEN MN KIDS HAIR CH CHANHASSEN MN</v>
      </c>
      <c r="P5794" s="2" t="s">
        <v>2281</v>
      </c>
    </row>
    <row r="5795" spans="1:16" hidden="1">
      <c r="A5795" s="2">
        <v>202110</v>
      </c>
      <c r="B5795" s="3">
        <v>44472</v>
      </c>
      <c r="C5795" s="2" t="s">
        <v>2262</v>
      </c>
      <c r="D5795" s="2" t="s">
        <v>1653</v>
      </c>
      <c r="E5795" s="2">
        <v>47.87</v>
      </c>
      <c r="F5795" s="2" t="e">
        <f>IF(Table2[[#This Row],[Manual Cat Value]]="",VLOOKUP(Table2[[#This Row],[Description]],'Actuals Lookup'!D:F,3,0),Table2[[#This Row],[Manual Cat Value]])</f>
        <v>#N/A</v>
      </c>
      <c r="J5795" s="2">
        <v>47.87</v>
      </c>
      <c r="K5795" s="2" t="b">
        <v>0</v>
      </c>
      <c r="L5795" s="2"/>
      <c r="M5795" s="2"/>
      <c r="N5795" s="4" t="s">
        <v>2259</v>
      </c>
      <c r="O5795" s="4" t="str">
        <f>LEFT(Table2[[#This Row],[Description]],75)</f>
        <v>Sherwin Williams</v>
      </c>
      <c r="P5795" s="2" t="s">
        <v>2353</v>
      </c>
    </row>
    <row r="5796" spans="1:16" hidden="1">
      <c r="A5796" s="2">
        <v>202110</v>
      </c>
      <c r="B5796" s="3">
        <v>44472</v>
      </c>
      <c r="C5796" s="2" t="s">
        <v>2262</v>
      </c>
      <c r="D5796" s="2" t="s">
        <v>1729</v>
      </c>
      <c r="E5796" s="2">
        <v>13.8</v>
      </c>
      <c r="F5796" s="2" t="e">
        <f>IF(Table2[[#This Row],[Manual Cat Value]]="",VLOOKUP(Table2[[#This Row],[Description]],'Actuals Lookup'!D:F,3,0),Table2[[#This Row],[Manual Cat Value]])</f>
        <v>#N/A</v>
      </c>
      <c r="J5796" s="2">
        <v>13.8</v>
      </c>
      <c r="K5796" s="2" t="b">
        <v>0</v>
      </c>
      <c r="L5796" s="2"/>
      <c r="M5796" s="2"/>
      <c r="N5796" s="4" t="s">
        <v>2259</v>
      </c>
      <c r="O5796" s="4" t="str">
        <f>LEFT(Table2[[#This Row],[Description]],75)</f>
        <v>SQ EXECLSIOR MASONIC LODExcelsior MN</v>
      </c>
      <c r="P5796" s="2" t="s">
        <v>2281</v>
      </c>
    </row>
    <row r="5797" spans="1:16" hidden="1">
      <c r="A5797" s="2">
        <v>202110</v>
      </c>
      <c r="B5797" s="3">
        <v>44472</v>
      </c>
      <c r="C5797" s="2" t="s">
        <v>2262</v>
      </c>
      <c r="D5797" s="2" t="s">
        <v>1773</v>
      </c>
      <c r="E5797" s="2">
        <v>20</v>
      </c>
      <c r="F5797" s="2" t="str">
        <f>IF(Table2[[#This Row],[Manual Cat Value]]="",VLOOKUP(Table2[[#This Row],[Description]],'Actuals Lookup'!D:F,3,0),Table2[[#This Row],[Manual Cat Value]])</f>
        <v>Restaurants</v>
      </c>
      <c r="J5797" s="2">
        <v>20</v>
      </c>
      <c r="K5797" s="2" t="b">
        <v>0</v>
      </c>
      <c r="L5797" s="2"/>
      <c r="M5797" s="2"/>
      <c r="N5797" s="4" t="s">
        <v>2259</v>
      </c>
      <c r="O5797" s="4" t="str">
        <f>LEFT(Table2[[#This Row],[Description]],75)</f>
        <v>Starbucks</v>
      </c>
      <c r="P5797" s="2" t="s">
        <v>2454</v>
      </c>
    </row>
    <row r="5798" spans="1:16" hidden="1">
      <c r="A5798" s="2">
        <v>202110</v>
      </c>
      <c r="B5798" s="3">
        <v>44472</v>
      </c>
      <c r="C5798" s="2" t="s">
        <v>2262</v>
      </c>
      <c r="D5798" s="2" t="s">
        <v>2079</v>
      </c>
      <c r="E5798" s="2">
        <v>49.74</v>
      </c>
      <c r="F5798" s="2" t="str">
        <f>IF(Table2[[#This Row],[Manual Cat Value]]="",VLOOKUP(Table2[[#This Row],[Description]],'Actuals Lookup'!D:F,3,0),Table2[[#This Row],[Manual Cat Value]])</f>
        <v>Restaurants</v>
      </c>
      <c r="J5798" s="2">
        <v>49.74</v>
      </c>
      <c r="K5798" s="2" t="b">
        <v>0</v>
      </c>
      <c r="L5798" s="2"/>
      <c r="M5798" s="2"/>
      <c r="N5798" s="4" t="s">
        <v>2259</v>
      </c>
      <c r="O5798" s="4" t="str">
        <f>LEFT(Table2[[#This Row],[Description]],75)</f>
        <v>Uber Eats</v>
      </c>
      <c r="P5798" s="2" t="s">
        <v>2582</v>
      </c>
    </row>
    <row r="5799" spans="1:16" hidden="1">
      <c r="A5799" s="2">
        <v>202110</v>
      </c>
      <c r="B5799" s="3">
        <v>44473</v>
      </c>
      <c r="C5799" s="2" t="s">
        <v>2258</v>
      </c>
      <c r="D5799" s="2" t="s">
        <v>38</v>
      </c>
      <c r="E5799" s="2">
        <v>34.31</v>
      </c>
      <c r="F5799" s="2" t="str">
        <f>IF(Table2[[#This Row],[Manual Cat Value]]="",VLOOKUP(Table2[[#This Row],[Description]],'Actuals Lookup'!D:F,3,0),Table2[[#This Row],[Manual Cat Value]])</f>
        <v>Amazon</v>
      </c>
      <c r="J5799" s="2">
        <v>34.31</v>
      </c>
      <c r="K5799" s="2" t="b">
        <v>0</v>
      </c>
      <c r="L5799" s="2"/>
      <c r="M5799" s="2"/>
      <c r="N5799" s="4" t="s">
        <v>2259</v>
      </c>
      <c r="O5799" s="4" t="str">
        <f>LEFT(Table2[[#This Row],[Description]],75)</f>
        <v>Amazon</v>
      </c>
      <c r="P5799" s="2" t="s">
        <v>2260</v>
      </c>
    </row>
    <row r="5800" spans="1:16" hidden="1">
      <c r="A5800" s="2">
        <v>202110</v>
      </c>
      <c r="B5800" s="3">
        <v>44473</v>
      </c>
      <c r="C5800" s="2" t="s">
        <v>2447</v>
      </c>
      <c r="D5800" s="2" t="s">
        <v>38</v>
      </c>
      <c r="E5800" s="2">
        <v>34.31</v>
      </c>
      <c r="F5800" s="2" t="str">
        <f>IF(Table2[[#This Row],[Manual Cat Value]]="",VLOOKUP(Table2[[#This Row],[Description]],'Actuals Lookup'!D:F,3,0),Table2[[#This Row],[Manual Cat Value]])</f>
        <v>Amazon</v>
      </c>
      <c r="J5800" s="2">
        <v>34.31</v>
      </c>
      <c r="K5800" s="2" t="b">
        <v>0</v>
      </c>
      <c r="L5800" s="2"/>
      <c r="M5800" s="2"/>
      <c r="N5800" s="4" t="s">
        <v>2259</v>
      </c>
      <c r="O5800" s="4" t="str">
        <f>LEFT(Table2[[#This Row],[Description]],75)</f>
        <v>Amazon</v>
      </c>
      <c r="P5800" s="2" t="s">
        <v>2260</v>
      </c>
    </row>
    <row r="5801" spans="1:16" hidden="1">
      <c r="A5801" s="2">
        <v>202110</v>
      </c>
      <c r="B5801" s="3">
        <v>44473</v>
      </c>
      <c r="C5801" s="2" t="s">
        <v>2262</v>
      </c>
      <c r="D5801" s="2" t="s">
        <v>702</v>
      </c>
      <c r="E5801" s="2">
        <v>11.2</v>
      </c>
      <c r="F5801" s="2" t="e">
        <f>IF(Table2[[#This Row],[Manual Cat Value]]="",VLOOKUP(Table2[[#This Row],[Description]],'Actuals Lookup'!D:F,3,0),Table2[[#This Row],[Manual Cat Value]])</f>
        <v>#N/A</v>
      </c>
      <c r="J5801" s="2">
        <v>11.2</v>
      </c>
      <c r="K5801" s="2" t="b">
        <v>0</v>
      </c>
      <c r="L5801" s="2"/>
      <c r="M5801" s="2"/>
      <c r="N5801" s="4" t="s">
        <v>2259</v>
      </c>
      <c r="O5801" s="4" t="str">
        <f>LEFT(Table2[[#This Row],[Description]],75)</f>
        <v>Delta</v>
      </c>
      <c r="P5801" s="2" t="s">
        <v>2510</v>
      </c>
    </row>
    <row r="5802" spans="1:16" hidden="1">
      <c r="A5802" s="2">
        <v>202110</v>
      </c>
      <c r="B5802" s="3">
        <v>44473</v>
      </c>
      <c r="C5802" s="2" t="s">
        <v>2262</v>
      </c>
      <c r="D5802" s="2" t="s">
        <v>785</v>
      </c>
      <c r="E5802" s="2">
        <v>32.04</v>
      </c>
      <c r="F5802" s="2" t="str">
        <f>IF(Table2[[#This Row],[Manual Cat Value]]="",VLOOKUP(Table2[[#This Row],[Description]],'Actuals Lookup'!D:F,3,0),Table2[[#This Row],[Manual Cat Value]])</f>
        <v>Restaurants</v>
      </c>
      <c r="J5802" s="2">
        <v>32.04</v>
      </c>
      <c r="K5802" s="2" t="b">
        <v>0</v>
      </c>
      <c r="L5802" s="2"/>
      <c r="M5802" s="2"/>
      <c r="N5802" s="4" t="s">
        <v>2259</v>
      </c>
      <c r="O5802" s="4" t="str">
        <f>LEFT(Table2[[#This Row],[Description]],75)</f>
        <v>Domino's Pizza</v>
      </c>
      <c r="P5802" s="2" t="s">
        <v>2431</v>
      </c>
    </row>
    <row r="5803" spans="1:16" hidden="1">
      <c r="A5803" s="2">
        <v>202110</v>
      </c>
      <c r="B5803" s="3">
        <v>44473</v>
      </c>
      <c r="C5803" s="2" t="s">
        <v>2265</v>
      </c>
      <c r="D5803" s="2" t="s">
        <v>853</v>
      </c>
      <c r="E5803" s="2">
        <v>375</v>
      </c>
      <c r="F5803" s="2" t="e">
        <f>IF(Table2[[#This Row],[Manual Cat Value]]="",VLOOKUP(Table2[[#This Row],[Description]],'Actuals Lookup'!D:F,3,0),Table2[[#This Row],[Manual Cat Value]])</f>
        <v>#N/A</v>
      </c>
      <c r="J5803" s="2">
        <v>375</v>
      </c>
      <c r="K5803" s="2" t="b">
        <v>0</v>
      </c>
      <c r="L5803" s="2"/>
      <c r="M5803" s="2"/>
      <c r="N5803" s="4" t="s">
        <v>2259</v>
      </c>
      <c r="O5803" s="4" t="str">
        <f>LEFT(Table2[[#This Row],[Description]],75)</f>
        <v>FOX CO LLC TYPE SALE ID CO FOX CO LLC ACH ECC WEB ACH Trace 15235</v>
      </c>
      <c r="P5803" s="2" t="s">
        <v>2281</v>
      </c>
    </row>
    <row r="5804" spans="1:16" hidden="1">
      <c r="A5804" s="2">
        <v>202110</v>
      </c>
      <c r="B5804" s="3">
        <v>44473</v>
      </c>
      <c r="C5804" s="2" t="s">
        <v>2262</v>
      </c>
      <c r="D5804" s="2" t="s">
        <v>1582</v>
      </c>
      <c r="E5804" s="2">
        <v>48.32</v>
      </c>
      <c r="F5804" s="2" t="e">
        <f>IF(Table2[[#This Row],[Manual Cat Value]]="",VLOOKUP(Table2[[#This Row],[Description]],'Actuals Lookup'!D:F,3,0),Table2[[#This Row],[Manual Cat Value]])</f>
        <v>#N/A</v>
      </c>
      <c r="J5804" s="2">
        <v>48.32</v>
      </c>
      <c r="K5804" s="2" t="b">
        <v>0</v>
      </c>
      <c r="L5804" s="2"/>
      <c r="M5804" s="2"/>
      <c r="N5804" s="4" t="s">
        <v>2259</v>
      </c>
      <c r="O5804" s="4" t="str">
        <f>LEFT(Table2[[#This Row],[Description]],75)</f>
        <v>RIDGES AT SAND CREEK PRO9524922644 MN</v>
      </c>
      <c r="P5804" s="2" t="s">
        <v>2281</v>
      </c>
    </row>
    <row r="5805" spans="1:16" hidden="1">
      <c r="A5805" s="2">
        <v>202110</v>
      </c>
      <c r="B5805" s="3">
        <v>44473</v>
      </c>
      <c r="C5805" s="2" t="s">
        <v>2262</v>
      </c>
      <c r="D5805" s="2" t="s">
        <v>1661</v>
      </c>
      <c r="E5805" s="2">
        <v>7.86</v>
      </c>
      <c r="F5805" s="2" t="e">
        <f>IF(Table2[[#This Row],[Manual Cat Value]]="",VLOOKUP(Table2[[#This Row],[Description]],'Actuals Lookup'!D:F,3,0),Table2[[#This Row],[Manual Cat Value]])</f>
        <v>#N/A</v>
      </c>
      <c r="J5805" s="2">
        <v>7.86</v>
      </c>
      <c r="K5805" s="2" t="b">
        <v>0</v>
      </c>
      <c r="L5805" s="2"/>
      <c r="M5805" s="2"/>
      <c r="N5805" s="4" t="s">
        <v>2259</v>
      </c>
      <c r="O5805" s="4" t="str">
        <f>LEFT(Table2[[#This Row],[Description]],75)</f>
        <v>SHOREWOODLIQUOR SHOREWOOD MN</v>
      </c>
      <c r="P5805" s="2" t="s">
        <v>2471</v>
      </c>
    </row>
    <row r="5806" spans="1:16" hidden="1">
      <c r="A5806" s="2">
        <v>202110</v>
      </c>
      <c r="B5806" s="3">
        <v>44473</v>
      </c>
      <c r="C5806" s="2" t="s">
        <v>2265</v>
      </c>
      <c r="D5806" s="2" t="s">
        <v>2066</v>
      </c>
      <c r="E5806" s="2">
        <v>-13.9</v>
      </c>
      <c r="F5806" s="2" t="e">
        <f>IF(Table2[[#This Row],[Manual Cat Value]]="",VLOOKUP(Table2[[#This Row],[Description]],'Actuals Lookup'!D:F,3,0),Table2[[#This Row],[Manual Cat Value]])</f>
        <v>#N/A</v>
      </c>
      <c r="J5806" s="2">
        <v>13.9</v>
      </c>
      <c r="K5806" s="2" t="b">
        <v>0</v>
      </c>
      <c r="L5806" s="2"/>
      <c r="M5806" s="2"/>
      <c r="N5806" s="4" t="s">
        <v>2273</v>
      </c>
      <c r="O5806" s="4" t="str">
        <f>LEFT(Table2[[#This Row],[Description]],75)</f>
        <v>TYPE TRANSFER ID PAYPALSD11 CO PAYPAL ACH ECC PPD ACH Trace 00007</v>
      </c>
      <c r="P5806" s="2" t="s">
        <v>2322</v>
      </c>
    </row>
    <row r="5807" spans="1:16" hidden="1">
      <c r="A5807" s="2">
        <v>202110</v>
      </c>
      <c r="B5807" s="3">
        <v>44473</v>
      </c>
      <c r="C5807" s="2" t="s">
        <v>2265</v>
      </c>
      <c r="D5807" s="2" t="s">
        <v>2109</v>
      </c>
      <c r="E5807" s="2">
        <v>100</v>
      </c>
      <c r="F5807" s="2" t="str">
        <f>IF(Table2[[#This Row],[Manual Cat Value]]="",VLOOKUP(Table2[[#This Row],[Description]],'Actuals Lookup'!D:F,3,0),Table2[[#This Row],[Manual Cat Value]])</f>
        <v>Shopping</v>
      </c>
      <c r="J5807" s="2">
        <v>100</v>
      </c>
      <c r="K5807" s="2" t="b">
        <v>0</v>
      </c>
      <c r="L5807" s="2"/>
      <c r="M5807" s="2"/>
      <c r="N5807" s="4" t="s">
        <v>2259</v>
      </c>
      <c r="O5807" s="4" t="str">
        <f>LEFT(Table2[[#This Row],[Description]],75)</f>
        <v>Venmo</v>
      </c>
      <c r="P5807" s="2" t="s">
        <v>2281</v>
      </c>
    </row>
    <row r="5808" spans="1:16" hidden="1">
      <c r="A5808" s="2">
        <v>202110</v>
      </c>
      <c r="B5808" s="3">
        <v>44474</v>
      </c>
      <c r="C5808" s="2" t="s">
        <v>2262</v>
      </c>
      <c r="D5808" s="2" t="s">
        <v>674</v>
      </c>
      <c r="E5808" s="2">
        <v>-1542.14</v>
      </c>
      <c r="F5808" s="2" t="e">
        <f>IF(Table2[[#This Row],[Manual Cat Value]]="",VLOOKUP(Table2[[#This Row],[Description]],'Actuals Lookup'!D:F,3,0),Table2[[#This Row],[Manual Cat Value]])</f>
        <v>#N/A</v>
      </c>
      <c r="J5808" s="2">
        <v>1542.14</v>
      </c>
      <c r="K5808" s="2" t="b">
        <v>0</v>
      </c>
      <c r="L5808" s="2"/>
      <c r="M5808" s="2"/>
      <c r="N5808" s="4" t="s">
        <v>2273</v>
      </c>
      <c r="O5808" s="4" t="str">
        <f>LEFT(Table2[[#This Row],[Description]],75)</f>
        <v>Credit Card Payment Received PAYMENT THANK YOU</v>
      </c>
      <c r="P5808" s="2" t="s">
        <v>2560</v>
      </c>
    </row>
    <row r="5809" spans="1:16" hidden="1">
      <c r="A5809" s="2">
        <v>202110</v>
      </c>
      <c r="B5809" s="3">
        <v>44474</v>
      </c>
      <c r="C5809" s="2" t="s">
        <v>2265</v>
      </c>
      <c r="D5809" s="2" t="s">
        <v>2203</v>
      </c>
      <c r="E5809" s="2">
        <v>1542.14</v>
      </c>
      <c r="F5809" s="2" t="e">
        <f>IF(Table2[[#This Row],[Manual Cat Value]]="",VLOOKUP(Table2[[#This Row],[Description]],'Actuals Lookup'!D:F,3,0),Table2[[#This Row],[Manual Cat Value]])</f>
        <v>#N/A</v>
      </c>
      <c r="J5809" s="2">
        <v>1542.14</v>
      </c>
      <c r="K5809" s="2" t="b">
        <v>0</v>
      </c>
      <c r="L5809" s="2"/>
      <c r="M5809" s="2"/>
      <c r="N5809" s="4" t="s">
        <v>2259</v>
      </c>
      <c r="O5809" s="4" t="str">
        <f>LEFT(Table2[[#This Row],[Description]],75)</f>
        <v>Withdrawal Home payment to card XX91 Withdrawal Home payment to card 979181</v>
      </c>
      <c r="P5809" s="2" t="s">
        <v>2559</v>
      </c>
    </row>
    <row r="5810" spans="1:16" hidden="1">
      <c r="A5810" s="2">
        <v>202110</v>
      </c>
      <c r="B5810" s="3">
        <v>44474</v>
      </c>
      <c r="C5810" s="2" t="s">
        <v>2258</v>
      </c>
      <c r="D5810" s="2" t="s">
        <v>38</v>
      </c>
      <c r="E5810" s="2">
        <v>9.99</v>
      </c>
      <c r="F5810" s="2" t="str">
        <f>IF(Table2[[#This Row],[Manual Cat Value]]="",VLOOKUP(Table2[[#This Row],[Description]],'Actuals Lookup'!D:F,3,0),Table2[[#This Row],[Manual Cat Value]])</f>
        <v>Amazon</v>
      </c>
      <c r="J5810" s="2">
        <v>9.99</v>
      </c>
      <c r="K5810" s="2" t="b">
        <v>0</v>
      </c>
      <c r="L5810" s="2"/>
      <c r="M5810" s="2"/>
      <c r="N5810" s="4" t="s">
        <v>2259</v>
      </c>
      <c r="O5810" s="4" t="str">
        <f>LEFT(Table2[[#This Row],[Description]],75)</f>
        <v>Amazon</v>
      </c>
      <c r="P5810" s="2" t="s">
        <v>2260</v>
      </c>
    </row>
    <row r="5811" spans="1:16" hidden="1">
      <c r="A5811" s="2">
        <v>202110</v>
      </c>
      <c r="B5811" s="3">
        <v>44474</v>
      </c>
      <c r="C5811" s="2" t="s">
        <v>2262</v>
      </c>
      <c r="D5811" s="2" t="s">
        <v>453</v>
      </c>
      <c r="E5811" s="2">
        <v>23.69</v>
      </c>
      <c r="F5811" s="2" t="str">
        <f>IF(Table2[[#This Row],[Manual Cat Value]]="",VLOOKUP(Table2[[#This Row],[Description]],'Actuals Lookup'!D:F,3,0),Table2[[#This Row],[Manual Cat Value]])</f>
        <v>Restaurants</v>
      </c>
      <c r="J5811" s="2">
        <v>23.69</v>
      </c>
      <c r="K5811" s="2" t="b">
        <v>0</v>
      </c>
      <c r="L5811" s="2"/>
      <c r="M5811" s="2"/>
      <c r="N5811" s="4" t="s">
        <v>2259</v>
      </c>
      <c r="O5811" s="4" t="str">
        <f>LEFT(Table2[[#This Row],[Description]],75)</f>
        <v>Caribou Coffee</v>
      </c>
      <c r="P5811" s="2" t="s">
        <v>2329</v>
      </c>
    </row>
    <row r="5812" spans="1:16" hidden="1">
      <c r="A5812" s="2">
        <v>202110</v>
      </c>
      <c r="B5812" s="3">
        <v>44474</v>
      </c>
      <c r="C5812" s="2" t="s">
        <v>2265</v>
      </c>
      <c r="D5812" s="2" t="s">
        <v>1196</v>
      </c>
      <c r="E5812" s="2">
        <v>528.79999999999995</v>
      </c>
      <c r="F5812" s="2" t="e">
        <f>IF(Table2[[#This Row],[Manual Cat Value]]="",VLOOKUP(Table2[[#This Row],[Description]],'Actuals Lookup'!D:F,3,0),Table2[[#This Row],[Manual Cat Value]])</f>
        <v>#N/A</v>
      </c>
      <c r="J5812" s="2">
        <v>528.79999999999995</v>
      </c>
      <c r="K5812" s="2" t="b">
        <v>0</v>
      </c>
      <c r="L5812" s="2"/>
      <c r="M5812" s="2"/>
      <c r="N5812" s="4" t="s">
        <v>2259</v>
      </c>
      <c r="O5812" s="4" t="str">
        <f>LEFT(Table2[[#This Row],[Description]],75)</f>
        <v>MHCHILDCARELLC TYPE DUES ID CO M MHCHILDCARELLC TYPE DUES ID CO MHCHILDCARE</v>
      </c>
      <c r="P5812" s="2" t="s">
        <v>2497</v>
      </c>
    </row>
    <row r="5813" spans="1:16" hidden="1">
      <c r="A5813" s="2">
        <v>202110</v>
      </c>
      <c r="B5813" s="3">
        <v>44474</v>
      </c>
      <c r="C5813" s="2" t="s">
        <v>2265</v>
      </c>
      <c r="D5813" s="2" t="s">
        <v>1471</v>
      </c>
      <c r="E5813" s="2">
        <v>10</v>
      </c>
      <c r="F5813" s="2" t="str">
        <f>IF(Table2[[#This Row],[Manual Cat Value]]="",VLOOKUP(Table2[[#This Row],[Description]],'Actuals Lookup'!D:F,3,0),Table2[[#This Row],[Manual Cat Value]])</f>
        <v>Shopping</v>
      </c>
      <c r="J5813" s="2">
        <v>10</v>
      </c>
      <c r="K5813" s="2" t="b">
        <v>0</v>
      </c>
      <c r="L5813" s="2"/>
      <c r="M5813" s="2"/>
      <c r="N5813" s="4" t="s">
        <v>2259</v>
      </c>
      <c r="O5813" s="4" t="str">
        <f>LEFT(Table2[[#This Row],[Description]],75)</f>
        <v>PayPal</v>
      </c>
      <c r="P5813" s="2" t="s">
        <v>2322</v>
      </c>
    </row>
    <row r="5814" spans="1:16" hidden="1">
      <c r="A5814" s="2">
        <v>202110</v>
      </c>
      <c r="B5814" s="3">
        <v>44474</v>
      </c>
      <c r="C5814" s="2" t="s">
        <v>2262</v>
      </c>
      <c r="D5814" s="2" t="s">
        <v>1682</v>
      </c>
      <c r="E5814" s="2">
        <v>152.61000000000001</v>
      </c>
      <c r="F5814" s="2" t="str">
        <f>IF(Table2[[#This Row],[Manual Cat Value]]="",VLOOKUP(Table2[[#This Row],[Description]],'Actuals Lookup'!D:F,3,0),Table2[[#This Row],[Manual Cat Value]])</f>
        <v>Healthcare</v>
      </c>
      <c r="J5814" s="2">
        <v>152.61000000000001</v>
      </c>
      <c r="K5814" s="2" t="b">
        <v>0</v>
      </c>
      <c r="L5814" s="2"/>
      <c r="M5814" s="2"/>
      <c r="N5814" s="4" t="s">
        <v>2259</v>
      </c>
      <c r="O5814" s="4" t="str">
        <f>LEFT(Table2[[#This Row],[Description]],75)</f>
        <v>South Lake Pediatrics</v>
      </c>
      <c r="P5814" s="2" t="s">
        <v>2281</v>
      </c>
    </row>
    <row r="5815" spans="1:16" hidden="1">
      <c r="A5815" s="2">
        <v>202110</v>
      </c>
      <c r="B5815" s="3">
        <v>44474</v>
      </c>
      <c r="C5815" s="2" t="s">
        <v>2262</v>
      </c>
      <c r="D5815" s="2" t="s">
        <v>2033</v>
      </c>
      <c r="E5815" s="2">
        <v>109.76</v>
      </c>
      <c r="F5815" s="2" t="e">
        <f>IF(Table2[[#This Row],[Manual Cat Value]]="",VLOOKUP(Table2[[#This Row],[Description]],'Actuals Lookup'!D:F,3,0),Table2[[#This Row],[Manual Cat Value]])</f>
        <v>#N/A</v>
      </c>
      <c r="J5815" s="2">
        <v>109.76</v>
      </c>
      <c r="K5815" s="2" t="b">
        <v>0</v>
      </c>
      <c r="L5815" s="2"/>
      <c r="M5815" s="2"/>
      <c r="N5815" s="4" t="s">
        <v>2259</v>
      </c>
      <c r="O5815" s="4" t="str">
        <f>LEFT(Table2[[#This Row],[Description]],75)</f>
        <v>TST RED COW 1ST AVE MINNEAPOLIS MN</v>
      </c>
      <c r="P5815" s="2" t="s">
        <v>2362</v>
      </c>
    </row>
    <row r="5816" spans="1:16" hidden="1">
      <c r="A5816" s="2">
        <v>202110</v>
      </c>
      <c r="B5816" s="3">
        <v>44474</v>
      </c>
      <c r="C5816" s="2" t="s">
        <v>2262</v>
      </c>
      <c r="D5816" s="2" t="s">
        <v>2135</v>
      </c>
      <c r="E5816" s="2">
        <v>51.83</v>
      </c>
      <c r="F5816" s="2" t="str">
        <f>IF(Table2[[#This Row],[Manual Cat Value]]="",VLOOKUP(Table2[[#This Row],[Description]],'Actuals Lookup'!D:F,3,0),Table2[[#This Row],[Manual Cat Value]])</f>
        <v>Groceries</v>
      </c>
      <c r="J5816" s="2">
        <v>51.83</v>
      </c>
      <c r="K5816" s="2" t="b">
        <v>0</v>
      </c>
      <c r="L5816" s="2"/>
      <c r="M5816" s="2"/>
      <c r="N5816" s="4" t="s">
        <v>2259</v>
      </c>
      <c r="O5816" s="4" t="str">
        <f>LEFT(Table2[[#This Row],[Description]],75)</f>
        <v>Walgreens</v>
      </c>
      <c r="P5816" s="2" t="s">
        <v>2389</v>
      </c>
    </row>
    <row r="5817" spans="1:16" hidden="1">
      <c r="A5817" s="2">
        <v>202110</v>
      </c>
      <c r="B5817" s="3">
        <v>44474</v>
      </c>
      <c r="C5817" s="2" t="s">
        <v>2265</v>
      </c>
      <c r="D5817" s="2" t="s">
        <v>2221</v>
      </c>
      <c r="E5817" s="2">
        <v>170.18</v>
      </c>
      <c r="F5817" s="2" t="str">
        <f>IF(Table2[[#This Row],[Manual Cat Value]]="",VLOOKUP(Table2[[#This Row],[Description]],'Actuals Lookup'!D:F,3,0),Table2[[#This Row],[Manual Cat Value]])</f>
        <v>Utilities</v>
      </c>
      <c r="J5817" s="2">
        <v>170.18</v>
      </c>
      <c r="K5817" s="2" t="b">
        <v>0</v>
      </c>
      <c r="L5817" s="2"/>
      <c r="M5817" s="2"/>
      <c r="N5817" s="4" t="s">
        <v>2259</v>
      </c>
      <c r="O5817" s="4" t="str">
        <f>LEFT(Table2[[#This Row],[Description]],75)</f>
        <v>Xcel Energy</v>
      </c>
      <c r="P5817" s="2" t="s">
        <v>2280</v>
      </c>
    </row>
    <row r="5818" spans="1:16" hidden="1">
      <c r="A5818" s="2">
        <v>202110</v>
      </c>
      <c r="B5818" s="3">
        <v>44475</v>
      </c>
      <c r="C5818" s="2" t="s">
        <v>2447</v>
      </c>
      <c r="D5818" s="2" t="s">
        <v>997</v>
      </c>
      <c r="E5818" s="2">
        <v>-455.84</v>
      </c>
      <c r="F5818" s="2" t="str">
        <f>IF(Table2[[#This Row],[Manual Cat Value]]="",VLOOKUP(Table2[[#This Row],[Description]],'Actuals Lookup'!D:F,3,0),Table2[[#This Row],[Manual Cat Value]])</f>
        <v>Delete</v>
      </c>
      <c r="J5818" s="2">
        <v>455.84</v>
      </c>
      <c r="K5818" s="2" t="b">
        <v>0</v>
      </c>
      <c r="L5818" s="2"/>
      <c r="M5818" s="2"/>
      <c r="N5818" s="4" t="s">
        <v>2273</v>
      </c>
      <c r="O5818" s="4" t="str">
        <f>LEFT(Table2[[#This Row],[Description]],75)</f>
        <v>INTERNET PAYMENT - THANK YOU</v>
      </c>
      <c r="P5818" s="2" t="s">
        <v>2291</v>
      </c>
    </row>
    <row r="5819" spans="1:16" hidden="1">
      <c r="A5819" s="2">
        <v>202110</v>
      </c>
      <c r="B5819" s="3">
        <v>44475</v>
      </c>
      <c r="C5819" s="2" t="s">
        <v>2447</v>
      </c>
      <c r="D5819" s="2" t="s">
        <v>38</v>
      </c>
      <c r="E5819" s="2">
        <v>9.99</v>
      </c>
      <c r="F5819" s="2" t="str">
        <f>IF(Table2[[#This Row],[Manual Cat Value]]="",VLOOKUP(Table2[[#This Row],[Description]],'Actuals Lookup'!D:F,3,0),Table2[[#This Row],[Manual Cat Value]])</f>
        <v>Amazon</v>
      </c>
      <c r="J5819" s="2">
        <v>9.99</v>
      </c>
      <c r="K5819" s="2" t="b">
        <v>0</v>
      </c>
      <c r="L5819" s="2"/>
      <c r="M5819" s="2"/>
      <c r="N5819" s="4" t="s">
        <v>2259</v>
      </c>
      <c r="O5819" s="4" t="str">
        <f>LEFT(Table2[[#This Row],[Description]],75)</f>
        <v>Amazon</v>
      </c>
      <c r="P5819" s="2" t="s">
        <v>2260</v>
      </c>
    </row>
    <row r="5820" spans="1:16" hidden="1">
      <c r="A5820" s="2">
        <v>202110</v>
      </c>
      <c r="B5820" s="3">
        <v>44475</v>
      </c>
      <c r="C5820" s="2" t="s">
        <v>2447</v>
      </c>
      <c r="D5820" s="2" t="s">
        <v>38</v>
      </c>
      <c r="E5820" s="2">
        <v>-21.98</v>
      </c>
      <c r="F5820" s="2" t="str">
        <f>IF(Table2[[#This Row],[Manual Cat Value]]="",VLOOKUP(Table2[[#This Row],[Description]],'Actuals Lookup'!D:F,3,0),Table2[[#This Row],[Manual Cat Value]])</f>
        <v>Amazon</v>
      </c>
      <c r="J5820" s="2">
        <v>21.98</v>
      </c>
      <c r="K5820" s="2" t="b">
        <v>0</v>
      </c>
      <c r="L5820" s="2"/>
      <c r="M5820" s="2"/>
      <c r="N5820" s="4" t="s">
        <v>2273</v>
      </c>
      <c r="O5820" s="4" t="str">
        <f>LEFT(Table2[[#This Row],[Description]],75)</f>
        <v>Amazon</v>
      </c>
      <c r="P5820" s="2" t="s">
        <v>2260</v>
      </c>
    </row>
    <row r="5821" spans="1:16" hidden="1">
      <c r="A5821" s="2">
        <v>202110</v>
      </c>
      <c r="B5821" s="3">
        <v>44475</v>
      </c>
      <c r="C5821" s="2" t="s">
        <v>2262</v>
      </c>
      <c r="D5821" s="2" t="s">
        <v>1083</v>
      </c>
      <c r="E5821" s="2">
        <v>7.93</v>
      </c>
      <c r="F5821" s="2" t="str">
        <f>IF(Table2[[#This Row],[Manual Cat Value]]="",VLOOKUP(Table2[[#This Row],[Description]],'Actuals Lookup'!D:F,3,0),Table2[[#This Row],[Manual Cat Value]])</f>
        <v>Transportation</v>
      </c>
      <c r="J5821" s="2">
        <v>7.93</v>
      </c>
      <c r="K5821" s="2" t="b">
        <v>0</v>
      </c>
      <c r="L5821" s="2"/>
      <c r="M5821" s="2"/>
      <c r="N5821" s="4" t="s">
        <v>2259</v>
      </c>
      <c r="O5821" s="4" t="str">
        <f>LEFT(Table2[[#This Row],[Description]],75)</f>
        <v>Kwik Trip</v>
      </c>
      <c r="P5821" s="2" t="s">
        <v>2509</v>
      </c>
    </row>
    <row r="5822" spans="1:16" hidden="1">
      <c r="A5822" s="2">
        <v>202110</v>
      </c>
      <c r="B5822" s="3">
        <v>44475</v>
      </c>
      <c r="C5822" s="2" t="s">
        <v>2262</v>
      </c>
      <c r="D5822" s="2" t="s">
        <v>1083</v>
      </c>
      <c r="E5822" s="2">
        <v>47.7</v>
      </c>
      <c r="F5822" s="2" t="str">
        <f>IF(Table2[[#This Row],[Manual Cat Value]]="",VLOOKUP(Table2[[#This Row],[Description]],'Actuals Lookup'!D:F,3,0),Table2[[#This Row],[Manual Cat Value]])</f>
        <v>Transportation</v>
      </c>
      <c r="J5822" s="2">
        <v>47.7</v>
      </c>
      <c r="K5822" s="2" t="b">
        <v>0</v>
      </c>
      <c r="L5822" s="2"/>
      <c r="M5822" s="2"/>
      <c r="N5822" s="4" t="s">
        <v>2259</v>
      </c>
      <c r="O5822" s="4" t="str">
        <f>LEFT(Table2[[#This Row],[Description]],75)</f>
        <v>Kwik Trip</v>
      </c>
      <c r="P5822" s="2" t="s">
        <v>2509</v>
      </c>
    </row>
    <row r="5823" spans="1:16" hidden="1">
      <c r="A5823" s="2">
        <v>202110</v>
      </c>
      <c r="B5823" s="3">
        <v>44475</v>
      </c>
      <c r="C5823" s="2" t="s">
        <v>2262</v>
      </c>
      <c r="D5823" s="2" t="s">
        <v>1323</v>
      </c>
      <c r="E5823" s="2">
        <v>145.12</v>
      </c>
      <c r="F5823" s="2" t="e">
        <f>IF(Table2[[#This Row],[Manual Cat Value]]="",VLOOKUP(Table2[[#This Row],[Description]],'Actuals Lookup'!D:F,3,0),Table2[[#This Row],[Manual Cat Value]])</f>
        <v>#N/A</v>
      </c>
      <c r="J5823" s="2">
        <v>145.12</v>
      </c>
      <c r="K5823" s="2" t="b">
        <v>0</v>
      </c>
      <c r="L5823" s="2"/>
      <c r="M5823" s="2"/>
      <c r="N5823" s="4" t="s">
        <v>2259</v>
      </c>
      <c r="O5823" s="4" t="str">
        <f>LEFT(Table2[[#This Row],[Description]],75)</f>
        <v>MODSYCOM WWWMODSYCOMCA MODSYCOM WWWMODSYCOMCA</v>
      </c>
      <c r="P5823" s="2" t="s">
        <v>2281</v>
      </c>
    </row>
    <row r="5824" spans="1:16" hidden="1">
      <c r="A5824" s="2">
        <v>202110</v>
      </c>
      <c r="B5824" s="3">
        <v>44475</v>
      </c>
      <c r="C5824" s="2" t="s">
        <v>2317</v>
      </c>
      <c r="D5824" s="2" t="s">
        <v>1635</v>
      </c>
      <c r="E5824" s="2">
        <v>200</v>
      </c>
      <c r="F5824" s="2" t="e">
        <f>IF(Table2[[#This Row],[Manual Cat Value]]="",VLOOKUP(Table2[[#This Row],[Description]],'Actuals Lookup'!D:F,3,0),Table2[[#This Row],[Manual Cat Value]])</f>
        <v>#N/A</v>
      </c>
      <c r="J5824" s="2">
        <v>200</v>
      </c>
      <c r="K5824" s="2" t="b">
        <v>0</v>
      </c>
      <c r="L5824" s="2"/>
      <c r="M5824" s="2"/>
      <c r="N5824" s="4" t="s">
        <v>2259</v>
      </c>
      <c r="O5824" s="4" t="str">
        <f>LEFT(Table2[[#This Row],[Description]],75)</f>
        <v>SCHWAB TOTAL STOCK MKT INDEX</v>
      </c>
      <c r="P5824" s="2" t="s">
        <v>2278</v>
      </c>
    </row>
    <row r="5825" spans="1:16" hidden="1">
      <c r="A5825" s="2">
        <v>202110</v>
      </c>
      <c r="B5825" s="3">
        <v>44475</v>
      </c>
      <c r="C5825" s="2" t="s">
        <v>2265</v>
      </c>
      <c r="D5825" s="2" t="s">
        <v>1936</v>
      </c>
      <c r="E5825" s="2">
        <v>-6.33</v>
      </c>
      <c r="F5825" s="2" t="e">
        <f>IF(Table2[[#This Row],[Manual Cat Value]]="",VLOOKUP(Table2[[#This Row],[Description]],'Actuals Lookup'!D:F,3,0),Table2[[#This Row],[Manual Cat Value]])</f>
        <v>#N/A</v>
      </c>
      <c r="J5825" s="2">
        <v>6.33</v>
      </c>
      <c r="K5825" s="2" t="b">
        <v>0</v>
      </c>
      <c r="L5825" s="2"/>
      <c r="M5825" s="2"/>
      <c r="N5825" s="4" t="s">
        <v>2273</v>
      </c>
      <c r="O5825" s="4" t="str">
        <f>LEFT(Table2[[#This Row],[Description]],75)</f>
        <v>Transfer from PayPal PAYPAL TYPE TRANSFER ID PAYPALSD11 CO PAYPAL ACH ECC P</v>
      </c>
      <c r="P5825" s="2" t="s">
        <v>2322</v>
      </c>
    </row>
    <row r="5826" spans="1:16" hidden="1">
      <c r="A5826" s="2">
        <v>202110</v>
      </c>
      <c r="B5826" s="3">
        <v>44476</v>
      </c>
      <c r="C5826" s="2" t="s">
        <v>2265</v>
      </c>
      <c r="D5826" s="2" t="s">
        <v>743</v>
      </c>
      <c r="E5826" s="2">
        <v>455.84</v>
      </c>
      <c r="F5826" s="2" t="e">
        <f>IF(Table2[[#This Row],[Manual Cat Value]]="",VLOOKUP(Table2[[#This Row],[Description]],'Actuals Lookup'!D:F,3,0),Table2[[#This Row],[Manual Cat Value]])</f>
        <v>#N/A</v>
      </c>
      <c r="J5826" s="2">
        <v>455.84</v>
      </c>
      <c r="K5826" s="2" t="b">
        <v>0</v>
      </c>
      <c r="L5826" s="2"/>
      <c r="M5826" s="2"/>
      <c r="N5826" s="4" t="s">
        <v>2259</v>
      </c>
      <c r="O5826" s="4" t="str">
        <f>LEFT(Table2[[#This Row],[Description]],75)</f>
        <v>Discover Bank DISCOVER TYPE EPAYMENT ID CO DISCOVER ACH ECC WEB ACH Trace 6</v>
      </c>
      <c r="P5826" s="2" t="s">
        <v>2293</v>
      </c>
    </row>
    <row r="5827" spans="1:16" hidden="1">
      <c r="A5827" s="2">
        <v>202110</v>
      </c>
      <c r="B5827" s="3">
        <v>44476</v>
      </c>
      <c r="C5827" s="2" t="s">
        <v>2447</v>
      </c>
      <c r="D5827" s="2" t="s">
        <v>38</v>
      </c>
      <c r="E5827" s="2">
        <v>3.54</v>
      </c>
      <c r="F5827" s="2" t="str">
        <f>IF(Table2[[#This Row],[Manual Cat Value]]="",VLOOKUP(Table2[[#This Row],[Description]],'Actuals Lookup'!D:F,3,0),Table2[[#This Row],[Manual Cat Value]])</f>
        <v>Amazon</v>
      </c>
      <c r="J5827" s="2">
        <v>3.54</v>
      </c>
      <c r="K5827" s="2" t="b">
        <v>0</v>
      </c>
      <c r="L5827" s="2"/>
      <c r="M5827" s="2"/>
      <c r="N5827" s="4" t="s">
        <v>2259</v>
      </c>
      <c r="O5827" s="4" t="str">
        <f>LEFT(Table2[[#This Row],[Description]],75)</f>
        <v>Amazon</v>
      </c>
      <c r="P5827" s="2" t="s">
        <v>2260</v>
      </c>
    </row>
    <row r="5828" spans="1:16" hidden="1">
      <c r="A5828" s="2">
        <v>202110</v>
      </c>
      <c r="B5828" s="3">
        <v>44476</v>
      </c>
      <c r="C5828" s="2" t="s">
        <v>2447</v>
      </c>
      <c r="D5828" s="2" t="s">
        <v>38</v>
      </c>
      <c r="E5828" s="2">
        <v>-34.31</v>
      </c>
      <c r="F5828" s="2" t="str">
        <f>IF(Table2[[#This Row],[Manual Cat Value]]="",VLOOKUP(Table2[[#This Row],[Description]],'Actuals Lookup'!D:F,3,0),Table2[[#This Row],[Manual Cat Value]])</f>
        <v>Amazon</v>
      </c>
      <c r="J5828" s="2">
        <v>34.31</v>
      </c>
      <c r="K5828" s="2" t="b">
        <v>0</v>
      </c>
      <c r="L5828" s="2"/>
      <c r="M5828" s="2"/>
      <c r="N5828" s="4" t="s">
        <v>2273</v>
      </c>
      <c r="O5828" s="4" t="str">
        <f>LEFT(Table2[[#This Row],[Description]],75)</f>
        <v>Amazon</v>
      </c>
      <c r="P5828" s="2" t="s">
        <v>2260</v>
      </c>
    </row>
    <row r="5829" spans="1:16" hidden="1">
      <c r="A5829" s="2">
        <v>202110</v>
      </c>
      <c r="B5829" s="3">
        <v>44476</v>
      </c>
      <c r="C5829" s="2" t="s">
        <v>2265</v>
      </c>
      <c r="D5829" s="2" t="s">
        <v>199</v>
      </c>
      <c r="E5829" s="2">
        <v>500</v>
      </c>
      <c r="F5829" s="2" t="e">
        <f>IF(Table2[[#This Row],[Manual Cat Value]]="",VLOOKUP(Table2[[#This Row],[Description]],'Actuals Lookup'!D:F,3,0),Table2[[#This Row],[Manual Cat Value]])</f>
        <v>#N/A</v>
      </c>
      <c r="J5829" s="2">
        <v>500</v>
      </c>
      <c r="K5829" s="2" t="b">
        <v>0</v>
      </c>
      <c r="L5829" s="2"/>
      <c r="M5829" s="2"/>
      <c r="N5829" s="4" t="s">
        <v>2259</v>
      </c>
      <c r="O5829" s="4" t="str">
        <f>LEFT(Table2[[#This Row],[Description]],75)</f>
        <v>Banana Republic</v>
      </c>
      <c r="P5829" s="2" t="s">
        <v>2281</v>
      </c>
    </row>
    <row r="5830" spans="1:16" hidden="1">
      <c r="A5830" s="2">
        <v>202110</v>
      </c>
      <c r="B5830" s="3">
        <v>44476</v>
      </c>
      <c r="C5830" s="2" t="s">
        <v>2317</v>
      </c>
      <c r="D5830" s="2" t="s">
        <v>1629</v>
      </c>
      <c r="E5830" s="2">
        <v>-0.87</v>
      </c>
      <c r="F5830" s="2" t="e">
        <f>IF(Table2[[#This Row],[Manual Cat Value]]="",VLOOKUP(Table2[[#This Row],[Description]],'Actuals Lookup'!D:F,3,0),Table2[[#This Row],[Manual Cat Value]])</f>
        <v>#N/A</v>
      </c>
      <c r="J5830" s="2">
        <v>0.87</v>
      </c>
      <c r="K5830" s="2" t="b">
        <v>0</v>
      </c>
      <c r="L5830" s="2"/>
      <c r="M5830" s="2"/>
      <c r="N5830" s="4" t="s">
        <v>2273</v>
      </c>
      <c r="O5830" s="4" t="str">
        <f>LEFT(Table2[[#This Row],[Description]],75)</f>
        <v>SCHWAB INTERMEDIATE TERMUS TRS ETF</v>
      </c>
      <c r="P5830" s="2" t="s">
        <v>2385</v>
      </c>
    </row>
    <row r="5831" spans="1:16" hidden="1">
      <c r="A5831" s="2">
        <v>202110</v>
      </c>
      <c r="B5831" s="3">
        <v>44477</v>
      </c>
      <c r="C5831" s="2" t="s">
        <v>2447</v>
      </c>
      <c r="D5831" s="2" t="s">
        <v>38</v>
      </c>
      <c r="E5831" s="2">
        <v>16.100000000000001</v>
      </c>
      <c r="F5831" s="2" t="str">
        <f>IF(Table2[[#This Row],[Manual Cat Value]]="",VLOOKUP(Table2[[#This Row],[Description]],'Actuals Lookup'!D:F,3,0),Table2[[#This Row],[Manual Cat Value]])</f>
        <v>Amazon</v>
      </c>
      <c r="J5831" s="2">
        <v>16.100000000000001</v>
      </c>
      <c r="K5831" s="2" t="b">
        <v>0</v>
      </c>
      <c r="L5831" s="2"/>
      <c r="M5831" s="2"/>
      <c r="N5831" s="4" t="s">
        <v>2259</v>
      </c>
      <c r="O5831" s="4" t="str">
        <f>LEFT(Table2[[#This Row],[Description]],75)</f>
        <v>Amazon</v>
      </c>
      <c r="P5831" s="2" t="s">
        <v>2260</v>
      </c>
    </row>
    <row r="5832" spans="1:16" hidden="1">
      <c r="A5832" s="2">
        <v>202110</v>
      </c>
      <c r="B5832" s="3">
        <v>44477</v>
      </c>
      <c r="C5832" s="2" t="s">
        <v>2262</v>
      </c>
      <c r="D5832" s="2" t="s">
        <v>172</v>
      </c>
      <c r="E5832" s="2">
        <v>70.81</v>
      </c>
      <c r="F5832" s="2" t="e">
        <f>IF(Table2[[#This Row],[Manual Cat Value]]="",VLOOKUP(Table2[[#This Row],[Description]],'Actuals Lookup'!D:F,3,0),Table2[[#This Row],[Manual Cat Value]])</f>
        <v>#N/A</v>
      </c>
      <c r="J5832" s="2">
        <v>70.81</v>
      </c>
      <c r="K5832" s="2" t="b">
        <v>0</v>
      </c>
      <c r="L5832" s="2"/>
      <c r="M5832" s="2"/>
      <c r="N5832" s="4" t="s">
        <v>2259</v>
      </c>
      <c r="O5832" s="4" t="str">
        <f>LEFT(Table2[[#This Row],[Description]],75)</f>
        <v>Artistic Floral</v>
      </c>
      <c r="P5832" s="2" t="s">
        <v>2281</v>
      </c>
    </row>
    <row r="5833" spans="1:16" hidden="1">
      <c r="A5833" s="2">
        <v>202110</v>
      </c>
      <c r="B5833" s="3">
        <v>44477</v>
      </c>
      <c r="C5833" s="2" t="s">
        <v>2262</v>
      </c>
      <c r="D5833" s="2" t="s">
        <v>453</v>
      </c>
      <c r="E5833" s="2">
        <v>8.4700000000000006</v>
      </c>
      <c r="F5833" s="2" t="str">
        <f>IF(Table2[[#This Row],[Manual Cat Value]]="",VLOOKUP(Table2[[#This Row],[Description]],'Actuals Lookup'!D:F,3,0),Table2[[#This Row],[Manual Cat Value]])</f>
        <v>Restaurants</v>
      </c>
      <c r="J5833" s="2">
        <v>8.4700000000000006</v>
      </c>
      <c r="K5833" s="2" t="b">
        <v>0</v>
      </c>
      <c r="L5833" s="2"/>
      <c r="M5833" s="2"/>
      <c r="N5833" s="4" t="s">
        <v>2259</v>
      </c>
      <c r="O5833" s="4" t="str">
        <f>LEFT(Table2[[#This Row],[Description]],75)</f>
        <v>Caribou Coffee</v>
      </c>
      <c r="P5833" s="2" t="s">
        <v>2329</v>
      </c>
    </row>
    <row r="5834" spans="1:16" hidden="1">
      <c r="A5834" s="2">
        <v>202110</v>
      </c>
      <c r="B5834" s="3">
        <v>44477</v>
      </c>
      <c r="C5834" s="2" t="s">
        <v>2262</v>
      </c>
      <c r="D5834" s="2" t="s">
        <v>962</v>
      </c>
      <c r="E5834" s="2">
        <v>193.28</v>
      </c>
      <c r="F5834" s="2" t="e">
        <f>IF(Table2[[#This Row],[Manual Cat Value]]="",VLOOKUP(Table2[[#This Row],[Description]],'Actuals Lookup'!D:F,3,0),Table2[[#This Row],[Manual Cat Value]])</f>
        <v>#N/A</v>
      </c>
      <c r="J5834" s="2">
        <v>193.28</v>
      </c>
      <c r="K5834" s="2" t="b">
        <v>0</v>
      </c>
      <c r="L5834" s="2"/>
      <c r="M5834" s="2"/>
      <c r="N5834" s="4" t="s">
        <v>2259</v>
      </c>
      <c r="O5834" s="4" t="str">
        <f>LEFT(Table2[[#This Row],[Description]],75)</f>
        <v>In Detail</v>
      </c>
      <c r="P5834" s="2" t="s">
        <v>2281</v>
      </c>
    </row>
    <row r="5835" spans="1:16" hidden="1">
      <c r="A5835" s="2">
        <v>202110</v>
      </c>
      <c r="B5835" s="3">
        <v>44477</v>
      </c>
      <c r="C5835" s="2" t="s">
        <v>2262</v>
      </c>
      <c r="D5835" s="2" t="s">
        <v>1617</v>
      </c>
      <c r="E5835" s="2">
        <v>10</v>
      </c>
      <c r="F5835" s="2" t="e">
        <f>IF(Table2[[#This Row],[Manual Cat Value]]="",VLOOKUP(Table2[[#This Row],[Description]],'Actuals Lookup'!D:F,3,0),Table2[[#This Row],[Manual Cat Value]])</f>
        <v>#N/A</v>
      </c>
      <c r="J5835" s="2">
        <v>10</v>
      </c>
      <c r="K5835" s="2" t="b">
        <v>0</v>
      </c>
      <c r="L5835" s="2"/>
      <c r="M5835" s="2"/>
      <c r="N5835" s="4" t="s">
        <v>2259</v>
      </c>
      <c r="O5835" s="4" t="str">
        <f>LEFT(Table2[[#This Row],[Description]],75)</f>
        <v>Samsonite</v>
      </c>
      <c r="P5835" s="2" t="s">
        <v>2281</v>
      </c>
    </row>
    <row r="5836" spans="1:16" hidden="1">
      <c r="A5836" s="2">
        <v>202110</v>
      </c>
      <c r="B5836" s="3">
        <v>44477</v>
      </c>
      <c r="C5836" s="2" t="s">
        <v>2262</v>
      </c>
      <c r="D5836" s="2" t="s">
        <v>1925</v>
      </c>
      <c r="E5836" s="2">
        <v>68.62</v>
      </c>
      <c r="F5836" s="2" t="str">
        <f>IF(Table2[[#This Row],[Manual Cat Value]]="",VLOOKUP(Table2[[#This Row],[Description]],'Actuals Lookup'!D:F,3,0),Table2[[#This Row],[Manual Cat Value]])</f>
        <v>Groceries</v>
      </c>
      <c r="J5836" s="2">
        <v>68.62</v>
      </c>
      <c r="K5836" s="2" t="b">
        <v>0</v>
      </c>
      <c r="L5836" s="2"/>
      <c r="M5836" s="2"/>
      <c r="N5836" s="4" t="s">
        <v>2259</v>
      </c>
      <c r="O5836" s="4" t="str">
        <f>LEFT(Table2[[#This Row],[Description]],75)</f>
        <v>Total Wine &amp; More</v>
      </c>
      <c r="P5836" s="2" t="s">
        <v>2281</v>
      </c>
    </row>
    <row r="5837" spans="1:16" hidden="1">
      <c r="A5837" s="2">
        <v>202110</v>
      </c>
      <c r="B5837" s="3">
        <v>44478</v>
      </c>
      <c r="C5837" s="2" t="s">
        <v>2262</v>
      </c>
      <c r="D5837" s="2" t="s">
        <v>674</v>
      </c>
      <c r="E5837" s="2">
        <v>-889.82</v>
      </c>
      <c r="F5837" s="2" t="e">
        <f>IF(Table2[[#This Row],[Manual Cat Value]]="",VLOOKUP(Table2[[#This Row],[Description]],'Actuals Lookup'!D:F,3,0),Table2[[#This Row],[Manual Cat Value]])</f>
        <v>#N/A</v>
      </c>
      <c r="J5837" s="2">
        <v>889.82</v>
      </c>
      <c r="K5837" s="2" t="b">
        <v>0</v>
      </c>
      <c r="L5837" s="2"/>
      <c r="M5837" s="2"/>
      <c r="N5837" s="4" t="s">
        <v>2273</v>
      </c>
      <c r="O5837" s="4" t="str">
        <f>LEFT(Table2[[#This Row],[Description]],75)</f>
        <v>Credit Card Payment Received PAYMENT THANK YOU</v>
      </c>
      <c r="P5837" s="2" t="s">
        <v>2560</v>
      </c>
    </row>
    <row r="5838" spans="1:16" hidden="1">
      <c r="A5838" s="2">
        <v>202110</v>
      </c>
      <c r="B5838" s="3">
        <v>44478</v>
      </c>
      <c r="C5838" s="2" t="s">
        <v>2265</v>
      </c>
      <c r="D5838" s="2" t="s">
        <v>2203</v>
      </c>
      <c r="E5838" s="2">
        <v>889.82</v>
      </c>
      <c r="F5838" s="2" t="e">
        <f>IF(Table2[[#This Row],[Manual Cat Value]]="",VLOOKUP(Table2[[#This Row],[Description]],'Actuals Lookup'!D:F,3,0),Table2[[#This Row],[Manual Cat Value]])</f>
        <v>#N/A</v>
      </c>
      <c r="J5838" s="2">
        <v>889.82</v>
      </c>
      <c r="K5838" s="2" t="b">
        <v>0</v>
      </c>
      <c r="L5838" s="2"/>
      <c r="M5838" s="2"/>
      <c r="N5838" s="4" t="s">
        <v>2259</v>
      </c>
      <c r="O5838" s="4" t="str">
        <f>LEFT(Table2[[#This Row],[Description]],75)</f>
        <v>Withdrawal Home payment to card XX91 Withdrawal Home payment to card 979181</v>
      </c>
      <c r="P5838" s="2" t="s">
        <v>2559</v>
      </c>
    </row>
    <row r="5839" spans="1:16" hidden="1">
      <c r="A5839" s="2">
        <v>202110</v>
      </c>
      <c r="B5839" s="3">
        <v>44499</v>
      </c>
      <c r="C5839" s="2" t="s">
        <v>2262</v>
      </c>
      <c r="D5839" s="2" t="s">
        <v>38</v>
      </c>
      <c r="E5839" s="2">
        <v>35</v>
      </c>
      <c r="F5839" s="2" t="str">
        <f>IF(Table2[[#This Row],[Manual Cat Value]]="",VLOOKUP(Table2[[#This Row],[Description]],'Actuals Lookup'!D:F,3,0),Table2[[#This Row],[Manual Cat Value]])</f>
        <v>Amazon</v>
      </c>
      <c r="J5839" s="2">
        <v>35</v>
      </c>
      <c r="K5839" s="2" t="b">
        <v>0</v>
      </c>
      <c r="L5839" s="2"/>
      <c r="M5839" s="2"/>
      <c r="N5839" s="4" t="s">
        <v>2259</v>
      </c>
      <c r="O5839" s="4" t="str">
        <f>LEFT(Table2[[#This Row],[Description]],75)</f>
        <v>Amazon</v>
      </c>
      <c r="P5839" s="2" t="s">
        <v>2260</v>
      </c>
    </row>
    <row r="5840" spans="1:16" hidden="1">
      <c r="A5840" s="2">
        <v>202110</v>
      </c>
      <c r="B5840" s="3">
        <v>44499</v>
      </c>
      <c r="C5840" s="2" t="s">
        <v>2447</v>
      </c>
      <c r="D5840" s="2" t="s">
        <v>38</v>
      </c>
      <c r="E5840" s="2">
        <v>45</v>
      </c>
      <c r="F5840" s="2" t="str">
        <f>IF(Table2[[#This Row],[Manual Cat Value]]="",VLOOKUP(Table2[[#This Row],[Description]],'Actuals Lookup'!D:F,3,0),Table2[[#This Row],[Manual Cat Value]])</f>
        <v>Amazon</v>
      </c>
      <c r="J5840" s="2">
        <v>45</v>
      </c>
      <c r="K5840" s="2" t="b">
        <v>0</v>
      </c>
      <c r="L5840" s="2"/>
      <c r="M5840" s="2"/>
      <c r="N5840" s="4" t="s">
        <v>2259</v>
      </c>
      <c r="O5840" s="4" t="str">
        <f>LEFT(Table2[[#This Row],[Description]],75)</f>
        <v>Amazon</v>
      </c>
      <c r="P5840" s="2" t="s">
        <v>2260</v>
      </c>
    </row>
    <row r="5841" spans="1:16" hidden="1">
      <c r="A5841" s="2">
        <v>202110</v>
      </c>
      <c r="B5841" s="3">
        <v>44499</v>
      </c>
      <c r="C5841" s="2" t="s">
        <v>2447</v>
      </c>
      <c r="D5841" s="2" t="s">
        <v>38</v>
      </c>
      <c r="E5841" s="2">
        <v>17.989999999999998</v>
      </c>
      <c r="F5841" s="2" t="str">
        <f>IF(Table2[[#This Row],[Manual Cat Value]]="",VLOOKUP(Table2[[#This Row],[Description]],'Actuals Lookup'!D:F,3,0),Table2[[#This Row],[Manual Cat Value]])</f>
        <v>Amazon</v>
      </c>
      <c r="J5841" s="2">
        <v>17.989999999999998</v>
      </c>
      <c r="K5841" s="2" t="b">
        <v>0</v>
      </c>
      <c r="L5841" s="2"/>
      <c r="M5841" s="2"/>
      <c r="N5841" s="4" t="s">
        <v>2259</v>
      </c>
      <c r="O5841" s="4" t="str">
        <f>LEFT(Table2[[#This Row],[Description]],75)</f>
        <v>Amazon</v>
      </c>
      <c r="P5841" s="2" t="s">
        <v>2260</v>
      </c>
    </row>
    <row r="5842" spans="1:16" hidden="1">
      <c r="A5842" s="2">
        <v>202110</v>
      </c>
      <c r="B5842" s="3">
        <v>44499</v>
      </c>
      <c r="C5842" s="2" t="s">
        <v>2262</v>
      </c>
      <c r="D5842" s="2" t="s">
        <v>38</v>
      </c>
      <c r="E5842" s="2">
        <v>215.93</v>
      </c>
      <c r="F5842" s="2" t="str">
        <f>IF(Table2[[#This Row],[Manual Cat Value]]="",VLOOKUP(Table2[[#This Row],[Description]],'Actuals Lookup'!D:F,3,0),Table2[[#This Row],[Manual Cat Value]])</f>
        <v>Amazon</v>
      </c>
      <c r="J5842" s="2">
        <v>215.93</v>
      </c>
      <c r="K5842" s="2" t="b">
        <v>0</v>
      </c>
      <c r="L5842" s="2"/>
      <c r="M5842" s="2"/>
      <c r="N5842" s="4" t="s">
        <v>2259</v>
      </c>
      <c r="O5842" s="4" t="str">
        <f>LEFT(Table2[[#This Row],[Description]],75)</f>
        <v>Amazon</v>
      </c>
      <c r="P5842" s="2" t="s">
        <v>2260</v>
      </c>
    </row>
    <row r="5843" spans="1:16" hidden="1">
      <c r="A5843" s="2">
        <v>202110</v>
      </c>
      <c r="B5843" s="3">
        <v>44499</v>
      </c>
      <c r="C5843" s="2" t="s">
        <v>2262</v>
      </c>
      <c r="D5843" s="2" t="s">
        <v>38</v>
      </c>
      <c r="E5843" s="2">
        <v>9.65</v>
      </c>
      <c r="F5843" s="2" t="str">
        <f>IF(Table2[[#This Row],[Manual Cat Value]]="",VLOOKUP(Table2[[#This Row],[Description]],'Actuals Lookup'!D:F,3,0),Table2[[#This Row],[Manual Cat Value]])</f>
        <v>Amazon</v>
      </c>
      <c r="J5843" s="2">
        <v>9.65</v>
      </c>
      <c r="K5843" s="2" t="b">
        <v>0</v>
      </c>
      <c r="L5843" s="2"/>
      <c r="M5843" s="2"/>
      <c r="N5843" s="4" t="s">
        <v>2259</v>
      </c>
      <c r="O5843" s="4" t="str">
        <f>LEFT(Table2[[#This Row],[Description]],75)</f>
        <v>Amazon</v>
      </c>
      <c r="P5843" s="2" t="s">
        <v>2260</v>
      </c>
    </row>
    <row r="5844" spans="1:16" hidden="1">
      <c r="A5844" s="2">
        <v>202110</v>
      </c>
      <c r="B5844" s="3">
        <v>44499</v>
      </c>
      <c r="C5844" s="2" t="s">
        <v>2447</v>
      </c>
      <c r="D5844" s="2" t="s">
        <v>38</v>
      </c>
      <c r="E5844" s="2">
        <v>-17.989999999999998</v>
      </c>
      <c r="F5844" s="2" t="str">
        <f>IF(Table2[[#This Row],[Manual Cat Value]]="",VLOOKUP(Table2[[#This Row],[Description]],'Actuals Lookup'!D:F,3,0),Table2[[#This Row],[Manual Cat Value]])</f>
        <v>Amazon</v>
      </c>
      <c r="J5844" s="2">
        <v>17.989999999999998</v>
      </c>
      <c r="K5844" s="2" t="b">
        <v>0</v>
      </c>
      <c r="L5844" s="2"/>
      <c r="M5844" s="2"/>
      <c r="N5844" s="4" t="s">
        <v>2273</v>
      </c>
      <c r="O5844" s="4" t="str">
        <f>LEFT(Table2[[#This Row],[Description]],75)</f>
        <v>Amazon</v>
      </c>
      <c r="P5844" s="2" t="s">
        <v>2260</v>
      </c>
    </row>
    <row r="5845" spans="1:16" hidden="1">
      <c r="A5845" s="2">
        <v>202110</v>
      </c>
      <c r="B5845" s="3">
        <v>44499</v>
      </c>
      <c r="C5845" s="2" t="s">
        <v>2447</v>
      </c>
      <c r="D5845" s="2" t="s">
        <v>38</v>
      </c>
      <c r="E5845" s="2">
        <v>13.29</v>
      </c>
      <c r="F5845" s="2" t="str">
        <f>IF(Table2[[#This Row],[Manual Cat Value]]="",VLOOKUP(Table2[[#This Row],[Description]],'Actuals Lookup'!D:F,3,0),Table2[[#This Row],[Manual Cat Value]])</f>
        <v>Amazon</v>
      </c>
      <c r="J5845" s="2">
        <v>13.29</v>
      </c>
      <c r="K5845" s="2" t="b">
        <v>0</v>
      </c>
      <c r="L5845" s="2"/>
      <c r="M5845" s="2"/>
      <c r="N5845" s="4" t="s">
        <v>2259</v>
      </c>
      <c r="O5845" s="4" t="str">
        <f>LEFT(Table2[[#This Row],[Description]],75)</f>
        <v>Amazon</v>
      </c>
      <c r="P5845" s="2" t="s">
        <v>2260</v>
      </c>
    </row>
    <row r="5846" spans="1:16" hidden="1">
      <c r="A5846" s="2">
        <v>202110</v>
      </c>
      <c r="B5846" s="3">
        <v>44499</v>
      </c>
      <c r="C5846" s="2" t="s">
        <v>2447</v>
      </c>
      <c r="D5846" s="2" t="s">
        <v>38</v>
      </c>
      <c r="E5846" s="2">
        <v>16.489999999999998</v>
      </c>
      <c r="F5846" s="2" t="str">
        <f>IF(Table2[[#This Row],[Manual Cat Value]]="",VLOOKUP(Table2[[#This Row],[Description]],'Actuals Lookup'!D:F,3,0),Table2[[#This Row],[Manual Cat Value]])</f>
        <v>Amazon</v>
      </c>
      <c r="J5846" s="2">
        <v>16.489999999999998</v>
      </c>
      <c r="K5846" s="2" t="b">
        <v>0</v>
      </c>
      <c r="L5846" s="2"/>
      <c r="M5846" s="2"/>
      <c r="N5846" s="4" t="s">
        <v>2259</v>
      </c>
      <c r="O5846" s="4" t="str">
        <f>LEFT(Table2[[#This Row],[Description]],75)</f>
        <v>Amazon</v>
      </c>
      <c r="P5846" s="2" t="s">
        <v>2260</v>
      </c>
    </row>
    <row r="5847" spans="1:16" hidden="1">
      <c r="A5847" s="2">
        <v>202110</v>
      </c>
      <c r="B5847" s="3">
        <v>44499</v>
      </c>
      <c r="C5847" s="2" t="s">
        <v>2447</v>
      </c>
      <c r="D5847" s="2" t="s">
        <v>38</v>
      </c>
      <c r="E5847" s="2">
        <v>16.489999999999998</v>
      </c>
      <c r="F5847" s="2" t="str">
        <f>IF(Table2[[#This Row],[Manual Cat Value]]="",VLOOKUP(Table2[[#This Row],[Description]],'Actuals Lookup'!D:F,3,0),Table2[[#This Row],[Manual Cat Value]])</f>
        <v>Amazon</v>
      </c>
      <c r="J5847" s="2">
        <v>16.489999999999998</v>
      </c>
      <c r="K5847" s="2" t="b">
        <v>0</v>
      </c>
      <c r="L5847" s="2"/>
      <c r="M5847" s="2"/>
      <c r="N5847" s="4" t="s">
        <v>2259</v>
      </c>
      <c r="O5847" s="4" t="str">
        <f>LEFT(Table2[[#This Row],[Description]],75)</f>
        <v>Amazon</v>
      </c>
      <c r="P5847" s="2" t="s">
        <v>2260</v>
      </c>
    </row>
    <row r="5848" spans="1:16" hidden="1">
      <c r="A5848" s="2">
        <v>202110</v>
      </c>
      <c r="B5848" s="3">
        <v>44499</v>
      </c>
      <c r="C5848" s="2" t="s">
        <v>2447</v>
      </c>
      <c r="D5848" s="2" t="s">
        <v>38</v>
      </c>
      <c r="E5848" s="2">
        <v>112.39</v>
      </c>
      <c r="F5848" s="2" t="str">
        <f>IF(Table2[[#This Row],[Manual Cat Value]]="",VLOOKUP(Table2[[#This Row],[Description]],'Actuals Lookup'!D:F,3,0),Table2[[#This Row],[Manual Cat Value]])</f>
        <v>Amazon</v>
      </c>
      <c r="J5848" s="2">
        <v>112.39</v>
      </c>
      <c r="K5848" s="2" t="b">
        <v>0</v>
      </c>
      <c r="L5848" s="2"/>
      <c r="M5848" s="2"/>
      <c r="N5848" s="4" t="s">
        <v>2259</v>
      </c>
      <c r="O5848" s="4" t="str">
        <f>LEFT(Table2[[#This Row],[Description]],75)</f>
        <v>Amazon</v>
      </c>
      <c r="P5848" s="2" t="s">
        <v>2260</v>
      </c>
    </row>
    <row r="5849" spans="1:16" hidden="1">
      <c r="A5849" s="2">
        <v>202110</v>
      </c>
      <c r="B5849" s="3">
        <v>44499</v>
      </c>
      <c r="C5849" s="2" t="s">
        <v>2447</v>
      </c>
      <c r="D5849" s="2" t="s">
        <v>38</v>
      </c>
      <c r="E5849" s="2">
        <v>-16.489999999999998</v>
      </c>
      <c r="F5849" s="2" t="str">
        <f>IF(Table2[[#This Row],[Manual Cat Value]]="",VLOOKUP(Table2[[#This Row],[Description]],'Actuals Lookup'!D:F,3,0),Table2[[#This Row],[Manual Cat Value]])</f>
        <v>Amazon</v>
      </c>
      <c r="J5849" s="2">
        <v>16.489999999999998</v>
      </c>
      <c r="K5849" s="2" t="b">
        <v>0</v>
      </c>
      <c r="L5849" s="2"/>
      <c r="M5849" s="2"/>
      <c r="N5849" s="4" t="s">
        <v>2273</v>
      </c>
      <c r="O5849" s="4" t="str">
        <f>LEFT(Table2[[#This Row],[Description]],75)</f>
        <v>Amazon</v>
      </c>
      <c r="P5849" s="2" t="s">
        <v>2260</v>
      </c>
    </row>
    <row r="5850" spans="1:16" hidden="1">
      <c r="A5850" s="2">
        <v>202110</v>
      </c>
      <c r="B5850" s="3">
        <v>44499</v>
      </c>
      <c r="C5850" s="2" t="s">
        <v>2262</v>
      </c>
      <c r="D5850" s="2" t="s">
        <v>38</v>
      </c>
      <c r="E5850" s="2">
        <v>12.99</v>
      </c>
      <c r="F5850" s="2" t="str">
        <f>IF(Table2[[#This Row],[Manual Cat Value]]="",VLOOKUP(Table2[[#This Row],[Description]],'Actuals Lookup'!D:F,3,0),Table2[[#This Row],[Manual Cat Value]])</f>
        <v>Amazon</v>
      </c>
      <c r="J5850" s="2">
        <v>12.99</v>
      </c>
      <c r="K5850" s="2" t="b">
        <v>0</v>
      </c>
      <c r="L5850" s="2"/>
      <c r="M5850" s="2"/>
      <c r="N5850" s="4" t="s">
        <v>2259</v>
      </c>
      <c r="O5850" s="4" t="str">
        <f>LEFT(Table2[[#This Row],[Description]],75)</f>
        <v>Amazon</v>
      </c>
      <c r="P5850" s="2" t="s">
        <v>2260</v>
      </c>
    </row>
    <row r="5851" spans="1:16" hidden="1">
      <c r="A5851" s="2">
        <v>202110</v>
      </c>
      <c r="B5851" s="3">
        <v>44499</v>
      </c>
      <c r="C5851" s="2" t="s">
        <v>2265</v>
      </c>
      <c r="D5851" s="2" t="s">
        <v>131</v>
      </c>
      <c r="E5851" s="2">
        <v>95.51</v>
      </c>
      <c r="F5851" s="2" t="str">
        <f>IF(Table2[[#This Row],[Manual Cat Value]]="",VLOOKUP(Table2[[#This Row],[Description]],'Actuals Lookup'!D:F,3,0),Table2[[#This Row],[Manual Cat Value]])</f>
        <v>Insurance</v>
      </c>
      <c r="J5851" s="2">
        <v>95.51</v>
      </c>
      <c r="K5851" s="2" t="b">
        <v>0</v>
      </c>
      <c r="L5851" s="2"/>
      <c r="M5851" s="2"/>
      <c r="N5851" s="4" t="s">
        <v>2259</v>
      </c>
      <c r="O5851" s="4" t="str">
        <f>LEFT(Table2[[#This Row],[Description]],75)</f>
        <v>American Family Insurance</v>
      </c>
      <c r="P5851" s="2" t="s">
        <v>2286</v>
      </c>
    </row>
    <row r="5852" spans="1:16" hidden="1">
      <c r="A5852" s="2">
        <v>202110</v>
      </c>
      <c r="B5852" s="3">
        <v>44499</v>
      </c>
      <c r="C5852" s="2" t="s">
        <v>2262</v>
      </c>
      <c r="D5852" s="2" t="s">
        <v>171</v>
      </c>
      <c r="E5852" s="2">
        <v>10.49</v>
      </c>
      <c r="F5852" s="2" t="e">
        <f>IF(Table2[[#This Row],[Manual Cat Value]]="",VLOOKUP(Table2[[#This Row],[Description]],'Actuals Lookup'!D:F,3,0),Table2[[#This Row],[Manual Cat Value]])</f>
        <v>#N/A</v>
      </c>
      <c r="J5852" s="2">
        <v>10.49</v>
      </c>
      <c r="K5852" s="2" t="b">
        <v>0</v>
      </c>
      <c r="L5852" s="2"/>
      <c r="M5852" s="2"/>
      <c r="N5852" s="4" t="s">
        <v>2259</v>
      </c>
      <c r="O5852" s="4" t="str">
        <f>LEFT(Table2[[#This Row],[Description]],75)</f>
        <v>Arby's</v>
      </c>
      <c r="P5852" s="2" t="s">
        <v>2281</v>
      </c>
    </row>
    <row r="5853" spans="1:16" hidden="1">
      <c r="A5853" s="2">
        <v>202110</v>
      </c>
      <c r="B5853" s="3">
        <v>44499</v>
      </c>
      <c r="C5853" s="2" t="s">
        <v>2265</v>
      </c>
      <c r="D5853" s="2" t="s">
        <v>177</v>
      </c>
      <c r="E5853" s="2">
        <v>-3</v>
      </c>
      <c r="F5853" s="2" t="e">
        <f>IF(Table2[[#This Row],[Manual Cat Value]]="",VLOOKUP(Table2[[#This Row],[Description]],'Actuals Lookup'!D:F,3,0),Table2[[#This Row],[Manual Cat Value]])</f>
        <v>#N/A</v>
      </c>
      <c r="J5853" s="2">
        <v>3</v>
      </c>
      <c r="K5853" s="2" t="b">
        <v>0</v>
      </c>
      <c r="L5853" s="2"/>
      <c r="M5853" s="2"/>
      <c r="N5853" s="4" t="s">
        <v>2273</v>
      </c>
      <c r="O5853" s="4" t="str">
        <f>LEFT(Table2[[#This Row],[Description]],75)</f>
        <v>ATM FEE REFUND</v>
      </c>
      <c r="P5853" s="2" t="s">
        <v>2281</v>
      </c>
    </row>
    <row r="5854" spans="1:16" hidden="1">
      <c r="A5854" s="2">
        <v>202110</v>
      </c>
      <c r="B5854" s="3">
        <v>44499</v>
      </c>
      <c r="C5854" s="2" t="s">
        <v>2265</v>
      </c>
      <c r="D5854" s="2" t="s">
        <v>199</v>
      </c>
      <c r="E5854" s="2">
        <v>354.49</v>
      </c>
      <c r="F5854" s="2" t="e">
        <f>IF(Table2[[#This Row],[Manual Cat Value]]="",VLOOKUP(Table2[[#This Row],[Description]],'Actuals Lookup'!D:F,3,0),Table2[[#This Row],[Manual Cat Value]])</f>
        <v>#N/A</v>
      </c>
      <c r="J5854" s="2">
        <v>354.49</v>
      </c>
      <c r="K5854" s="2" t="b">
        <v>0</v>
      </c>
      <c r="L5854" s="2"/>
      <c r="M5854" s="2"/>
      <c r="N5854" s="4" t="s">
        <v>2259</v>
      </c>
      <c r="O5854" s="4" t="str">
        <f>LEFT(Table2[[#This Row],[Description]],75)</f>
        <v>Banana Republic</v>
      </c>
      <c r="P5854" s="2" t="s">
        <v>2281</v>
      </c>
    </row>
    <row r="5855" spans="1:16" hidden="1">
      <c r="A5855" s="2">
        <v>202110</v>
      </c>
      <c r="B5855" s="3">
        <v>44499</v>
      </c>
      <c r="C5855" s="2" t="s">
        <v>2434</v>
      </c>
      <c r="D5855" s="2" t="s">
        <v>239</v>
      </c>
      <c r="E5855" s="2">
        <v>-0.11</v>
      </c>
      <c r="F5855" s="2" t="e">
        <f>IF(Table2[[#This Row],[Manual Cat Value]]="",VLOOKUP(Table2[[#This Row],[Description]],'Actuals Lookup'!D:F,3,0),Table2[[#This Row],[Manual Cat Value]])</f>
        <v>#N/A</v>
      </c>
      <c r="J5855" s="2">
        <v>0.11</v>
      </c>
      <c r="K5855" s="2" t="b">
        <v>0</v>
      </c>
      <c r="L5855" s="2"/>
      <c r="M5855" s="2"/>
      <c r="N5855" s="4" t="s">
        <v>2273</v>
      </c>
      <c r="O5855" s="4" t="str">
        <f>LEFT(Table2[[#This Row],[Description]],75)</f>
        <v>BANK INT 091621-101521 SCHWAB PREMIER BANK</v>
      </c>
      <c r="P5855" s="2" t="s">
        <v>2281</v>
      </c>
    </row>
    <row r="5856" spans="1:16" hidden="1">
      <c r="A5856" s="2">
        <v>202110</v>
      </c>
      <c r="B5856" s="3">
        <v>44499</v>
      </c>
      <c r="C5856" s="2" t="s">
        <v>2488</v>
      </c>
      <c r="D5856" s="2" t="s">
        <v>239</v>
      </c>
      <c r="E5856" s="2">
        <v>-0.01</v>
      </c>
      <c r="F5856" s="2" t="e">
        <f>IF(Table2[[#This Row],[Manual Cat Value]]="",VLOOKUP(Table2[[#This Row],[Description]],'Actuals Lookup'!D:F,3,0),Table2[[#This Row],[Manual Cat Value]])</f>
        <v>#N/A</v>
      </c>
      <c r="J5856" s="2">
        <v>0.01</v>
      </c>
      <c r="K5856" s="2" t="b">
        <v>0</v>
      </c>
      <c r="L5856" s="2"/>
      <c r="M5856" s="2"/>
      <c r="N5856" s="4" t="s">
        <v>2273</v>
      </c>
      <c r="O5856" s="4" t="str">
        <f>LEFT(Table2[[#This Row],[Description]],75)</f>
        <v>BANK INT 091621-101521 SCHWAB PREMIER BANK</v>
      </c>
      <c r="P5856" s="2" t="s">
        <v>2281</v>
      </c>
    </row>
    <row r="5857" spans="1:16" hidden="1">
      <c r="A5857" s="2">
        <v>202110</v>
      </c>
      <c r="B5857" s="3">
        <v>44499</v>
      </c>
      <c r="C5857" s="2" t="s">
        <v>2435</v>
      </c>
      <c r="D5857" s="2" t="s">
        <v>239</v>
      </c>
      <c r="E5857" s="2">
        <v>-0.04</v>
      </c>
      <c r="F5857" s="2" t="e">
        <f>IF(Table2[[#This Row],[Manual Cat Value]]="",VLOOKUP(Table2[[#This Row],[Description]],'Actuals Lookup'!D:F,3,0),Table2[[#This Row],[Manual Cat Value]])</f>
        <v>#N/A</v>
      </c>
      <c r="J5857" s="2">
        <v>0.04</v>
      </c>
      <c r="K5857" s="2" t="b">
        <v>0</v>
      </c>
      <c r="L5857" s="2"/>
      <c r="M5857" s="2"/>
      <c r="N5857" s="4" t="s">
        <v>2273</v>
      </c>
      <c r="O5857" s="4" t="str">
        <f>LEFT(Table2[[#This Row],[Description]],75)</f>
        <v>BANK INT 091621-101521 SCHWAB PREMIER BANK</v>
      </c>
      <c r="P5857" s="2" t="s">
        <v>2281</v>
      </c>
    </row>
    <row r="5858" spans="1:16" hidden="1">
      <c r="A5858" s="2">
        <v>202110</v>
      </c>
      <c r="B5858" s="3">
        <v>44499</v>
      </c>
      <c r="C5858" s="2" t="s">
        <v>2262</v>
      </c>
      <c r="D5858" s="2" t="s">
        <v>278</v>
      </c>
      <c r="E5858" s="2">
        <v>7</v>
      </c>
      <c r="F5858" s="2" t="e">
        <f>IF(Table2[[#This Row],[Manual Cat Value]]="",VLOOKUP(Table2[[#This Row],[Description]],'Actuals Lookup'!D:F,3,0),Table2[[#This Row],[Manual Cat Value]])</f>
        <v>#N/A</v>
      </c>
      <c r="J5858" s="2">
        <v>7</v>
      </c>
      <c r="K5858" s="2" t="b">
        <v>0</v>
      </c>
      <c r="L5858" s="2"/>
      <c r="M5858" s="2"/>
      <c r="N5858" s="4" t="s">
        <v>2259</v>
      </c>
      <c r="O5858" s="4" t="str">
        <f>LEFT(Table2[[#This Row],[Description]],75)</f>
        <v>Benevity Inc BENEVITY DONATIONS 8552377875 FL</v>
      </c>
      <c r="P5858" s="2" t="s">
        <v>2281</v>
      </c>
    </row>
    <row r="5859" spans="1:16" hidden="1">
      <c r="A5859" s="2">
        <v>202110</v>
      </c>
      <c r="B5859" s="3">
        <v>44499</v>
      </c>
      <c r="C5859" s="2" t="s">
        <v>2262</v>
      </c>
      <c r="D5859" s="2" t="s">
        <v>310</v>
      </c>
      <c r="E5859" s="2">
        <v>9</v>
      </c>
      <c r="F5859" s="2" t="e">
        <f>IF(Table2[[#This Row],[Manual Cat Value]]="",VLOOKUP(Table2[[#This Row],[Description]],'Actuals Lookup'!D:F,3,0),Table2[[#This Row],[Manual Cat Value]])</f>
        <v>#N/A</v>
      </c>
      <c r="J5859" s="2">
        <v>9</v>
      </c>
      <c r="K5859" s="2" t="b">
        <v>0</v>
      </c>
      <c r="L5859" s="2"/>
      <c r="M5859" s="2"/>
      <c r="N5859" s="4" t="s">
        <v>2259</v>
      </c>
      <c r="O5859" s="4" t="str">
        <f>LEFT(Table2[[#This Row],[Description]],75)</f>
        <v>BONFES PLUMBING HEATING ASOUTH SAINT PMN</v>
      </c>
      <c r="P5859" s="2" t="s">
        <v>2537</v>
      </c>
    </row>
    <row r="5860" spans="1:16" hidden="1">
      <c r="A5860" s="2">
        <v>202110</v>
      </c>
      <c r="B5860" s="3">
        <v>44499</v>
      </c>
      <c r="C5860" s="2" t="s">
        <v>2262</v>
      </c>
      <c r="D5860" s="2" t="s">
        <v>316</v>
      </c>
      <c r="E5860" s="2">
        <v>45.67</v>
      </c>
      <c r="F5860" s="2" t="e">
        <f>IF(Table2[[#This Row],[Manual Cat Value]]="",VLOOKUP(Table2[[#This Row],[Description]],'Actuals Lookup'!D:F,3,0),Table2[[#This Row],[Manual Cat Value]])</f>
        <v>#N/A</v>
      </c>
      <c r="J5860" s="2">
        <v>45.67</v>
      </c>
      <c r="K5860" s="2" t="b">
        <v>0</v>
      </c>
      <c r="L5860" s="2"/>
      <c r="M5860" s="2"/>
      <c r="N5860" s="4" t="s">
        <v>2259</v>
      </c>
      <c r="O5860" s="4" t="str">
        <f>LEFT(Table2[[#This Row],[Description]],75)</f>
        <v>BP</v>
      </c>
      <c r="P5860" s="2" t="s">
        <v>2484</v>
      </c>
    </row>
    <row r="5861" spans="1:16" hidden="1">
      <c r="A5861" s="2">
        <v>202110</v>
      </c>
      <c r="B5861" s="3">
        <v>44499</v>
      </c>
      <c r="C5861" s="2" t="s">
        <v>2338</v>
      </c>
      <c r="D5861" s="2" t="s">
        <v>402</v>
      </c>
      <c r="E5861" s="2">
        <v>-204.01</v>
      </c>
      <c r="F5861" s="2" t="e">
        <f>IF(Table2[[#This Row],[Manual Cat Value]]="",VLOOKUP(Table2[[#This Row],[Description]],'Actuals Lookup'!D:F,3,0),Table2[[#This Row],[Manual Cat Value]])</f>
        <v>#N/A</v>
      </c>
      <c r="J5861" s="2">
        <v>204.01</v>
      </c>
      <c r="K5861" s="2" t="b">
        <v>0</v>
      </c>
      <c r="L5861" s="2"/>
      <c r="M5861" s="2"/>
      <c r="N5861" s="4" t="s">
        <v>2273</v>
      </c>
      <c r="O5861" s="4" t="str">
        <f>LEFT(Table2[[#This Row],[Description]],75)</f>
        <v>Cargill ESOP Stock Fund - Dividends Transferred In</v>
      </c>
      <c r="P5861" s="2" t="s">
        <v>2281</v>
      </c>
    </row>
    <row r="5862" spans="1:16" hidden="1">
      <c r="A5862" s="2">
        <v>202110</v>
      </c>
      <c r="B5862" s="3">
        <v>44499</v>
      </c>
      <c r="C5862" s="2" t="s">
        <v>2338</v>
      </c>
      <c r="D5862" s="2" t="s">
        <v>403</v>
      </c>
      <c r="E5862" s="2">
        <v>-3000.64</v>
      </c>
      <c r="F5862" s="2" t="e">
        <f>IF(Table2[[#This Row],[Manual Cat Value]]="",VLOOKUP(Table2[[#This Row],[Description]],'Actuals Lookup'!D:F,3,0),Table2[[#This Row],[Manual Cat Value]])</f>
        <v>#N/A</v>
      </c>
      <c r="J5862" s="2">
        <v>3000.64</v>
      </c>
      <c r="K5862" s="2" t="b">
        <v>0</v>
      </c>
      <c r="L5862" s="2"/>
      <c r="M5862" s="2"/>
      <c r="N5862" s="4" t="s">
        <v>2273</v>
      </c>
      <c r="O5862" s="4" t="str">
        <f>LEFT(Table2[[#This Row],[Description]],75)</f>
        <v>Cargill ESOP Stock Fund - Plan Contribution</v>
      </c>
      <c r="P5862" s="2" t="s">
        <v>2451</v>
      </c>
    </row>
    <row r="5863" spans="1:16" hidden="1">
      <c r="A5863" s="2">
        <v>202110</v>
      </c>
      <c r="B5863" s="3">
        <v>44499</v>
      </c>
      <c r="C5863" s="2" t="s">
        <v>2265</v>
      </c>
      <c r="D5863" s="2" t="s">
        <v>417</v>
      </c>
      <c r="E5863" s="2">
        <v>-3025.18</v>
      </c>
      <c r="F5863" s="2" t="e">
        <f>IF(Table2[[#This Row],[Manual Cat Value]]="",VLOOKUP(Table2[[#This Row],[Description]],'Actuals Lookup'!D:F,3,0),Table2[[#This Row],[Manual Cat Value]])</f>
        <v>#N/A</v>
      </c>
      <c r="J5863" s="2">
        <v>3025.18</v>
      </c>
      <c r="K5863" s="2" t="b">
        <v>0</v>
      </c>
      <c r="L5863" s="2"/>
      <c r="M5863" s="2"/>
      <c r="N5863" s="4" t="s">
        <v>2273</v>
      </c>
      <c r="O5863" s="4" t="str">
        <f>LEFT(Table2[[#This Row],[Description]],75)</f>
        <v>Cargill Inc Deposit CARGILL INCORPOR TYPE DIRECT DEP ID CO CARGILL INCORPOR</v>
      </c>
      <c r="P5863" s="2" t="s">
        <v>2545</v>
      </c>
    </row>
    <row r="5864" spans="1:16" hidden="1">
      <c r="A5864" s="2">
        <v>202110</v>
      </c>
      <c r="B5864" s="3">
        <v>44499</v>
      </c>
      <c r="C5864" s="2" t="s">
        <v>2265</v>
      </c>
      <c r="D5864" s="2" t="s">
        <v>418</v>
      </c>
      <c r="E5864" s="2">
        <v>-3042.55</v>
      </c>
      <c r="F5864" s="2" t="e">
        <f>IF(Table2[[#This Row],[Manual Cat Value]]="",VLOOKUP(Table2[[#This Row],[Description]],'Actuals Lookup'!D:F,3,0),Table2[[#This Row],[Manual Cat Value]])</f>
        <v>#N/A</v>
      </c>
      <c r="J5864" s="2">
        <v>3042.55</v>
      </c>
      <c r="K5864" s="2" t="b">
        <v>0</v>
      </c>
      <c r="L5864" s="2"/>
      <c r="M5864" s="2"/>
      <c r="N5864" s="4" t="s">
        <v>2273</v>
      </c>
      <c r="O5864" s="4" t="str">
        <f>LEFT(Table2[[#This Row],[Description]],75)</f>
        <v>Cargill Inc Deposit CARGILL INCORPOR TYPE DIRECT DEP ID CO CARGILL INCORPOR</v>
      </c>
      <c r="P5864" s="2" t="s">
        <v>2545</v>
      </c>
    </row>
    <row r="5865" spans="1:16" hidden="1">
      <c r="A5865" s="2">
        <v>202110</v>
      </c>
      <c r="B5865" s="3">
        <v>44499</v>
      </c>
      <c r="C5865" s="2" t="s">
        <v>2317</v>
      </c>
      <c r="D5865" s="2" t="s">
        <v>424</v>
      </c>
      <c r="E5865" s="2">
        <v>-200</v>
      </c>
      <c r="F5865" s="2" t="e">
        <f>IF(Table2[[#This Row],[Manual Cat Value]]="",VLOOKUP(Table2[[#This Row],[Description]],'Actuals Lookup'!D:F,3,0),Table2[[#This Row],[Manual Cat Value]])</f>
        <v>#N/A</v>
      </c>
      <c r="J5865" s="2">
        <v>200</v>
      </c>
      <c r="K5865" s="2" t="b">
        <v>0</v>
      </c>
      <c r="L5865" s="2"/>
      <c r="M5865" s="2"/>
      <c r="N5865" s="4" t="s">
        <v>2273</v>
      </c>
      <c r="O5865" s="4" t="str">
        <f>LEFT(Table2[[#This Row],[Description]],75)</f>
        <v>CARGILL INCORPOR</v>
      </c>
      <c r="P5865" s="2" t="s">
        <v>2385</v>
      </c>
    </row>
    <row r="5866" spans="1:16" hidden="1">
      <c r="A5866" s="2">
        <v>202110</v>
      </c>
      <c r="B5866" s="3">
        <v>44499</v>
      </c>
      <c r="C5866" s="2" t="s">
        <v>2317</v>
      </c>
      <c r="D5866" s="2" t="s">
        <v>424</v>
      </c>
      <c r="E5866" s="2">
        <v>-200</v>
      </c>
      <c r="F5866" s="2" t="e">
        <f>IF(Table2[[#This Row],[Manual Cat Value]]="",VLOOKUP(Table2[[#This Row],[Description]],'Actuals Lookup'!D:F,3,0),Table2[[#This Row],[Manual Cat Value]])</f>
        <v>#N/A</v>
      </c>
      <c r="J5866" s="2">
        <v>200</v>
      </c>
      <c r="K5866" s="2" t="b">
        <v>0</v>
      </c>
      <c r="L5866" s="2"/>
      <c r="M5866" s="2"/>
      <c r="N5866" s="4" t="s">
        <v>2273</v>
      </c>
      <c r="O5866" s="4" t="str">
        <f>LEFT(Table2[[#This Row],[Description]],75)</f>
        <v>CARGILL INCORPOR</v>
      </c>
      <c r="P5866" s="2" t="s">
        <v>2385</v>
      </c>
    </row>
    <row r="5867" spans="1:16" hidden="1">
      <c r="A5867" s="2">
        <v>202110</v>
      </c>
      <c r="B5867" s="3">
        <v>44499</v>
      </c>
      <c r="C5867" s="2" t="s">
        <v>2265</v>
      </c>
      <c r="D5867" s="2" t="s">
        <v>425</v>
      </c>
      <c r="E5867" s="2">
        <v>-75</v>
      </c>
      <c r="F5867" s="2" t="e">
        <f>IF(Table2[[#This Row],[Manual Cat Value]]="",VLOOKUP(Table2[[#This Row],[Description]],'Actuals Lookup'!D:F,3,0),Table2[[#This Row],[Manual Cat Value]])</f>
        <v>#N/A</v>
      </c>
      <c r="J5867" s="2">
        <v>75</v>
      </c>
      <c r="K5867" s="2" t="b">
        <v>0</v>
      </c>
      <c r="L5867" s="2"/>
      <c r="M5867" s="2"/>
      <c r="N5867" s="4" t="s">
        <v>2273</v>
      </c>
      <c r="O5867" s="4" t="str">
        <f>LEFT(Table2[[#This Row],[Description]],75)</f>
        <v>Cargill Incorpor Type</v>
      </c>
      <c r="P5867" s="2" t="s">
        <v>2282</v>
      </c>
    </row>
    <row r="5868" spans="1:16" hidden="1">
      <c r="A5868" s="2">
        <v>202110</v>
      </c>
      <c r="B5868" s="3">
        <v>44499</v>
      </c>
      <c r="C5868" s="2" t="s">
        <v>2338</v>
      </c>
      <c r="D5868" s="2" t="s">
        <v>439</v>
      </c>
      <c r="E5868" s="2">
        <v>-204.01</v>
      </c>
      <c r="F5868" s="2" t="e">
        <f>IF(Table2[[#This Row],[Manual Cat Value]]="",VLOOKUP(Table2[[#This Row],[Description]],'Actuals Lookup'!D:F,3,0),Table2[[#This Row],[Manual Cat Value]])</f>
        <v>#N/A</v>
      </c>
      <c r="J5868" s="2">
        <v>204.01</v>
      </c>
      <c r="K5868" s="2" t="b">
        <v>0</v>
      </c>
      <c r="L5868" s="2"/>
      <c r="M5868" s="2"/>
      <c r="N5868" s="4" t="s">
        <v>2273</v>
      </c>
      <c r="O5868" s="4" t="str">
        <f>LEFT(Table2[[#This Row],[Description]],75)</f>
        <v>Cargill Passthru Div - Dividends on Equity Investments</v>
      </c>
      <c r="P5868" s="2" t="s">
        <v>2281</v>
      </c>
    </row>
    <row r="5869" spans="1:16" hidden="1">
      <c r="A5869" s="2">
        <v>202110</v>
      </c>
      <c r="B5869" s="3">
        <v>44499</v>
      </c>
      <c r="C5869" s="2" t="s">
        <v>2338</v>
      </c>
      <c r="D5869" s="2" t="s">
        <v>440</v>
      </c>
      <c r="E5869" s="2">
        <v>-204.01</v>
      </c>
      <c r="F5869" s="2" t="e">
        <f>IF(Table2[[#This Row],[Manual Cat Value]]="",VLOOKUP(Table2[[#This Row],[Description]],'Actuals Lookup'!D:F,3,0),Table2[[#This Row],[Manual Cat Value]])</f>
        <v>#N/A</v>
      </c>
      <c r="J5869" s="2">
        <v>204.01</v>
      </c>
      <c r="K5869" s="2" t="b">
        <v>0</v>
      </c>
      <c r="L5869" s="2"/>
      <c r="M5869" s="2"/>
      <c r="N5869" s="4" t="s">
        <v>2273</v>
      </c>
      <c r="O5869" s="4" t="str">
        <f>LEFT(Table2[[#This Row],[Description]],75)</f>
        <v>Cargill Passthru Div - Dividends Transferred Out</v>
      </c>
      <c r="P5869" s="2" t="s">
        <v>2281</v>
      </c>
    </row>
    <row r="5870" spans="1:16" hidden="1">
      <c r="A5870" s="2">
        <v>202110</v>
      </c>
      <c r="B5870" s="3">
        <v>44499</v>
      </c>
      <c r="C5870" s="2" t="s">
        <v>2265</v>
      </c>
      <c r="D5870" s="2" t="s">
        <v>494</v>
      </c>
      <c r="E5870" s="2">
        <v>97.83</v>
      </c>
      <c r="F5870" s="2" t="str">
        <f>IF(Table2[[#This Row],[Manual Cat Value]]="",VLOOKUP(Table2[[#This Row],[Description]],'Actuals Lookup'!D:F,3,0),Table2[[#This Row],[Manual Cat Value]])</f>
        <v>Utilities</v>
      </c>
      <c r="J5870" s="2">
        <v>97.83</v>
      </c>
      <c r="K5870" s="2" t="b">
        <v>0</v>
      </c>
      <c r="L5870" s="2"/>
      <c r="M5870" s="2"/>
      <c r="N5870" s="4" t="s">
        <v>2259</v>
      </c>
      <c r="O5870" s="4" t="str">
        <f>LEFT(Table2[[#This Row],[Description]],75)</f>
        <v>CenterPoint Energy</v>
      </c>
      <c r="P5870" s="2" t="s">
        <v>2546</v>
      </c>
    </row>
    <row r="5871" spans="1:16" hidden="1">
      <c r="A5871" s="2">
        <v>202110</v>
      </c>
      <c r="B5871" s="3">
        <v>44499</v>
      </c>
      <c r="C5871" s="2" t="s">
        <v>2262</v>
      </c>
      <c r="D5871" s="2" t="s">
        <v>505</v>
      </c>
      <c r="E5871" s="2">
        <v>26</v>
      </c>
      <c r="F5871" s="2" t="e">
        <f>IF(Table2[[#This Row],[Manual Cat Value]]="",VLOOKUP(Table2[[#This Row],[Description]],'Actuals Lookup'!D:F,3,0),Table2[[#This Row],[Manual Cat Value]])</f>
        <v>#N/A</v>
      </c>
      <c r="J5871" s="2">
        <v>26</v>
      </c>
      <c r="K5871" s="2" t="b">
        <v>0</v>
      </c>
      <c r="L5871" s="2"/>
      <c r="M5871" s="2"/>
      <c r="N5871" s="4" t="s">
        <v>2259</v>
      </c>
      <c r="O5871" s="4" t="str">
        <f>LEFT(Table2[[#This Row],[Description]],75)</f>
        <v>Century Theaters</v>
      </c>
      <c r="P5871" s="2" t="s">
        <v>2281</v>
      </c>
    </row>
    <row r="5872" spans="1:16" hidden="1">
      <c r="A5872" s="2">
        <v>202110</v>
      </c>
      <c r="B5872" s="3">
        <v>44499</v>
      </c>
      <c r="C5872" s="2" t="s">
        <v>2262</v>
      </c>
      <c r="D5872" s="2" t="s">
        <v>506</v>
      </c>
      <c r="E5872" s="2">
        <v>45</v>
      </c>
      <c r="F5872" s="2" t="str">
        <f>IF(Table2[[#This Row],[Manual Cat Value]]="",VLOOKUP(Table2[[#This Row],[Description]],'Actuals Lookup'!D:F,3,0),Table2[[#This Row],[Manual Cat Value]])</f>
        <v>Utilities</v>
      </c>
      <c r="J5872" s="2">
        <v>45</v>
      </c>
      <c r="K5872" s="2" t="b">
        <v>0</v>
      </c>
      <c r="L5872" s="2"/>
      <c r="M5872" s="2"/>
      <c r="N5872" s="4" t="s">
        <v>2259</v>
      </c>
      <c r="O5872" s="4" t="str">
        <f>LEFT(Table2[[#This Row],[Description]],75)</f>
        <v>CenturyLink</v>
      </c>
      <c r="P5872" s="2" t="s">
        <v>2408</v>
      </c>
    </row>
    <row r="5873" spans="1:16" hidden="1">
      <c r="A5873" s="2">
        <v>202110</v>
      </c>
      <c r="B5873" s="3">
        <v>44499</v>
      </c>
      <c r="C5873" s="2" t="s">
        <v>2265</v>
      </c>
      <c r="D5873" s="2" t="s">
        <v>532</v>
      </c>
      <c r="E5873" s="2">
        <v>500</v>
      </c>
      <c r="F5873" s="2" t="e">
        <f>IF(Table2[[#This Row],[Manual Cat Value]]="",VLOOKUP(Table2[[#This Row],[Description]],'Actuals Lookup'!D:F,3,0),Table2[[#This Row],[Manual Cat Value]])</f>
        <v>#N/A</v>
      </c>
      <c r="J5873" s="2">
        <v>500</v>
      </c>
      <c r="K5873" s="2" t="b">
        <v>0</v>
      </c>
      <c r="L5873" s="2"/>
      <c r="M5873" s="2"/>
      <c r="N5873" s="4" t="s">
        <v>2259</v>
      </c>
      <c r="O5873" s="4" t="str">
        <f>LEFT(Table2[[#This Row],[Description]],75)</f>
        <v>CHECK 2201 2201</v>
      </c>
      <c r="P5873" s="2" t="s">
        <v>2281</v>
      </c>
    </row>
    <row r="5874" spans="1:16" hidden="1">
      <c r="A5874" s="2">
        <v>202110</v>
      </c>
      <c r="B5874" s="3">
        <v>44499</v>
      </c>
      <c r="C5874" s="2" t="s">
        <v>2265</v>
      </c>
      <c r="D5874" s="2" t="s">
        <v>533</v>
      </c>
      <c r="E5874" s="2">
        <v>32</v>
      </c>
      <c r="F5874" s="2" t="e">
        <f>IF(Table2[[#This Row],[Manual Cat Value]]="",VLOOKUP(Table2[[#This Row],[Description]],'Actuals Lookup'!D:F,3,0),Table2[[#This Row],[Manual Cat Value]])</f>
        <v>#N/A</v>
      </c>
      <c r="J5874" s="2">
        <v>32</v>
      </c>
      <c r="K5874" s="2" t="b">
        <v>0</v>
      </c>
      <c r="L5874" s="2"/>
      <c r="M5874" s="2"/>
      <c r="N5874" s="4" t="s">
        <v>2259</v>
      </c>
      <c r="O5874" s="4" t="str">
        <f>LEFT(Table2[[#This Row],[Description]],75)</f>
        <v>CHECK 2341 2341</v>
      </c>
      <c r="P5874" s="2" t="s">
        <v>2281</v>
      </c>
    </row>
    <row r="5875" spans="1:16" hidden="1">
      <c r="A5875" s="2">
        <v>202110</v>
      </c>
      <c r="B5875" s="3">
        <v>44499</v>
      </c>
      <c r="C5875" s="2" t="s">
        <v>2262</v>
      </c>
      <c r="D5875" s="2" t="s">
        <v>543</v>
      </c>
      <c r="E5875" s="2">
        <v>30.66</v>
      </c>
      <c r="F5875" s="2" t="e">
        <f>IF(Table2[[#This Row],[Manual Cat Value]]="",VLOOKUP(Table2[[#This Row],[Description]],'Actuals Lookup'!D:F,3,0),Table2[[#This Row],[Manual Cat Value]])</f>
        <v>#N/A</v>
      </c>
      <c r="J5875" s="2">
        <v>30.66</v>
      </c>
      <c r="K5875" s="2" t="b">
        <v>0</v>
      </c>
      <c r="L5875" s="2"/>
      <c r="M5875" s="2"/>
      <c r="N5875" s="4" t="s">
        <v>2259</v>
      </c>
      <c r="O5875" s="4" t="str">
        <f>LEFT(Table2[[#This Row],[Description]],75)</f>
        <v>Chipotle</v>
      </c>
      <c r="P5875" s="2" t="s">
        <v>2341</v>
      </c>
    </row>
    <row r="5876" spans="1:16" hidden="1">
      <c r="A5876" s="2">
        <v>202110</v>
      </c>
      <c r="B5876" s="3">
        <v>44499</v>
      </c>
      <c r="C5876" s="2" t="s">
        <v>2265</v>
      </c>
      <c r="D5876" s="2" t="s">
        <v>557</v>
      </c>
      <c r="E5876" s="2">
        <v>70.88</v>
      </c>
      <c r="F5876" s="2" t="e">
        <f>IF(Table2[[#This Row],[Manual Cat Value]]="",VLOOKUP(Table2[[#This Row],[Description]],'Actuals Lookup'!D:F,3,0),Table2[[#This Row],[Manual Cat Value]])</f>
        <v>#N/A</v>
      </c>
      <c r="J5876" s="2">
        <v>70.88</v>
      </c>
      <c r="K5876" s="2" t="b">
        <v>0</v>
      </c>
      <c r="L5876" s="2"/>
      <c r="M5876" s="2"/>
      <c r="N5876" s="4" t="s">
        <v>2259</v>
      </c>
      <c r="O5876" s="4" t="str">
        <f>LEFT(Table2[[#This Row],[Description]],75)</f>
        <v>City of Chanhassen</v>
      </c>
      <c r="P5876" s="2" t="s">
        <v>2298</v>
      </c>
    </row>
    <row r="5877" spans="1:16" hidden="1">
      <c r="A5877" s="2">
        <v>202110</v>
      </c>
      <c r="B5877" s="3">
        <v>44499</v>
      </c>
      <c r="C5877" s="2" t="s">
        <v>2262</v>
      </c>
      <c r="D5877" s="2" t="s">
        <v>566</v>
      </c>
      <c r="E5877" s="2">
        <v>13</v>
      </c>
      <c r="F5877" s="2" t="e">
        <f>IF(Table2[[#This Row],[Manual Cat Value]]="",VLOOKUP(Table2[[#This Row],[Description]],'Actuals Lookup'!D:F,3,0),Table2[[#This Row],[Manual Cat Value]])</f>
        <v>#N/A</v>
      </c>
      <c r="J5877" s="2">
        <v>13</v>
      </c>
      <c r="K5877" s="2" t="b">
        <v>0</v>
      </c>
      <c r="L5877" s="2"/>
      <c r="M5877" s="2"/>
      <c r="N5877" s="4" t="s">
        <v>2259</v>
      </c>
      <c r="O5877" s="4" t="str">
        <f>LEFT(Table2[[#This Row],[Description]],75)</f>
        <v>Clutch Brewing Co LLC</v>
      </c>
      <c r="P5877" s="2" t="s">
        <v>2506</v>
      </c>
    </row>
    <row r="5878" spans="1:16" hidden="1">
      <c r="A5878" s="2">
        <v>202110</v>
      </c>
      <c r="B5878" s="3">
        <v>44499</v>
      </c>
      <c r="C5878" s="2" t="s">
        <v>2262</v>
      </c>
      <c r="D5878" s="2" t="s">
        <v>566</v>
      </c>
      <c r="E5878" s="2">
        <v>14.16</v>
      </c>
      <c r="F5878" s="2" t="e">
        <f>IF(Table2[[#This Row],[Manual Cat Value]]="",VLOOKUP(Table2[[#This Row],[Description]],'Actuals Lookup'!D:F,3,0),Table2[[#This Row],[Manual Cat Value]])</f>
        <v>#N/A</v>
      </c>
      <c r="J5878" s="2">
        <v>14.16</v>
      </c>
      <c r="K5878" s="2" t="b">
        <v>0</v>
      </c>
      <c r="L5878" s="2"/>
      <c r="M5878" s="2"/>
      <c r="N5878" s="4" t="s">
        <v>2259</v>
      </c>
      <c r="O5878" s="4" t="str">
        <f>LEFT(Table2[[#This Row],[Description]],75)</f>
        <v>Clutch Brewing Co LLC</v>
      </c>
      <c r="P5878" s="2" t="s">
        <v>2506</v>
      </c>
    </row>
    <row r="5879" spans="1:16" hidden="1">
      <c r="A5879" s="2">
        <v>202110</v>
      </c>
      <c r="B5879" s="3">
        <v>44499</v>
      </c>
      <c r="C5879" s="2" t="s">
        <v>2262</v>
      </c>
      <c r="D5879" s="2" t="s">
        <v>566</v>
      </c>
      <c r="E5879" s="2">
        <v>16.100000000000001</v>
      </c>
      <c r="F5879" s="2" t="e">
        <f>IF(Table2[[#This Row],[Manual Cat Value]]="",VLOOKUP(Table2[[#This Row],[Description]],'Actuals Lookup'!D:F,3,0),Table2[[#This Row],[Manual Cat Value]])</f>
        <v>#N/A</v>
      </c>
      <c r="J5879" s="2">
        <v>16.100000000000001</v>
      </c>
      <c r="K5879" s="2" t="b">
        <v>0</v>
      </c>
      <c r="L5879" s="2"/>
      <c r="M5879" s="2"/>
      <c r="N5879" s="4" t="s">
        <v>2259</v>
      </c>
      <c r="O5879" s="4" t="str">
        <f>LEFT(Table2[[#This Row],[Description]],75)</f>
        <v>Clutch Brewing Co LLC</v>
      </c>
      <c r="P5879" s="2" t="s">
        <v>2506</v>
      </c>
    </row>
    <row r="5880" spans="1:16" hidden="1">
      <c r="A5880" s="2">
        <v>202110</v>
      </c>
      <c r="B5880" s="3">
        <v>44499</v>
      </c>
      <c r="C5880" s="2" t="s">
        <v>2265</v>
      </c>
      <c r="D5880" s="2" t="s">
        <v>604</v>
      </c>
      <c r="E5880" s="2">
        <v>-51.83</v>
      </c>
      <c r="F5880" s="2" t="e">
        <f>IF(Table2[[#This Row],[Manual Cat Value]]="",VLOOKUP(Table2[[#This Row],[Description]],'Actuals Lookup'!D:F,3,0),Table2[[#This Row],[Manual Cat Value]])</f>
        <v>#N/A</v>
      </c>
      <c r="J5880" s="2">
        <v>51.83</v>
      </c>
      <c r="K5880" s="2" t="b">
        <v>0</v>
      </c>
      <c r="L5880" s="2"/>
      <c r="M5880" s="2"/>
      <c r="N5880" s="4" t="s">
        <v>2273</v>
      </c>
      <c r="O5880" s="4" t="str">
        <f>LEFT(Table2[[#This Row],[Description]],75)</f>
        <v>Connect Your Care Deposit connectyourcare TYPE SVBCLAIMS ID E942875288 CO c</v>
      </c>
      <c r="P5880" s="2" t="s">
        <v>2281</v>
      </c>
    </row>
    <row r="5881" spans="1:16" hidden="1">
      <c r="A5881" s="2">
        <v>202110</v>
      </c>
      <c r="B5881" s="3">
        <v>44499</v>
      </c>
      <c r="C5881" s="2" t="s">
        <v>2265</v>
      </c>
      <c r="D5881" s="2" t="s">
        <v>604</v>
      </c>
      <c r="E5881" s="2">
        <v>-152.61000000000001</v>
      </c>
      <c r="F5881" s="2" t="e">
        <f>IF(Table2[[#This Row],[Manual Cat Value]]="",VLOOKUP(Table2[[#This Row],[Description]],'Actuals Lookup'!D:F,3,0),Table2[[#This Row],[Manual Cat Value]])</f>
        <v>#N/A</v>
      </c>
      <c r="J5881" s="2">
        <v>152.61000000000001</v>
      </c>
      <c r="K5881" s="2" t="b">
        <v>0</v>
      </c>
      <c r="L5881" s="2"/>
      <c r="M5881" s="2"/>
      <c r="N5881" s="4" t="s">
        <v>2273</v>
      </c>
      <c r="O5881" s="4" t="str">
        <f>LEFT(Table2[[#This Row],[Description]],75)</f>
        <v>Connect Your Care Deposit connectyourcare TYPE SVBCLAIMS ID E942875288 CO c</v>
      </c>
      <c r="P5881" s="2" t="s">
        <v>2281</v>
      </c>
    </row>
    <row r="5882" spans="1:16" hidden="1">
      <c r="A5882" s="2">
        <v>202110</v>
      </c>
      <c r="B5882" s="3">
        <v>44499</v>
      </c>
      <c r="C5882" s="2" t="s">
        <v>2317</v>
      </c>
      <c r="D5882" s="2" t="s">
        <v>605</v>
      </c>
      <c r="E5882" s="2">
        <v>-250</v>
      </c>
      <c r="F5882" s="2" t="e">
        <f>IF(Table2[[#This Row],[Manual Cat Value]]="",VLOOKUP(Table2[[#This Row],[Description]],'Actuals Lookup'!D:F,3,0),Table2[[#This Row],[Manual Cat Value]])</f>
        <v>#N/A</v>
      </c>
      <c r="J5882" s="2">
        <v>250</v>
      </c>
      <c r="K5882" s="2" t="b">
        <v>0</v>
      </c>
      <c r="L5882" s="2"/>
      <c r="M5882" s="2"/>
      <c r="N5882" s="4" t="s">
        <v>2273</v>
      </c>
      <c r="O5882" s="4" t="str">
        <f>LEFT(Table2[[#This Row],[Description]],75)</f>
        <v>CONNECTED ANALYT</v>
      </c>
      <c r="P5882" s="2" t="s">
        <v>2493</v>
      </c>
    </row>
    <row r="5883" spans="1:16" hidden="1">
      <c r="A5883" s="2">
        <v>202110</v>
      </c>
      <c r="B5883" s="3">
        <v>44499</v>
      </c>
      <c r="C5883" s="2" t="s">
        <v>2265</v>
      </c>
      <c r="D5883" s="2" t="s">
        <v>631</v>
      </c>
      <c r="E5883" s="2">
        <v>-3442.91</v>
      </c>
      <c r="F5883" s="2" t="e">
        <f>IF(Table2[[#This Row],[Manual Cat Value]]="",VLOOKUP(Table2[[#This Row],[Description]],'Actuals Lookup'!D:F,3,0),Table2[[#This Row],[Manual Cat Value]])</f>
        <v>#N/A</v>
      </c>
      <c r="J5883" s="2">
        <v>3442.91</v>
      </c>
      <c r="K5883" s="2" t="b">
        <v>0</v>
      </c>
      <c r="L5883" s="2"/>
      <c r="M5883" s="2"/>
      <c r="N5883" s="4" t="s">
        <v>2273</v>
      </c>
      <c r="O5883" s="4" t="str">
        <f>LEFT(Table2[[#This Row],[Description]],75)</f>
        <v>CONNECTED ANALYT TYPE DIRECT DEP ID CO CONNECTED ANALYT ACH ECC PPD ACH Tra</v>
      </c>
      <c r="P5883" s="2" t="s">
        <v>2493</v>
      </c>
    </row>
    <row r="5884" spans="1:16" hidden="1">
      <c r="A5884" s="2">
        <v>202110</v>
      </c>
      <c r="B5884" s="3">
        <v>44499</v>
      </c>
      <c r="C5884" s="2" t="s">
        <v>2262</v>
      </c>
      <c r="D5884" s="2" t="s">
        <v>667</v>
      </c>
      <c r="E5884" s="2">
        <v>23.65</v>
      </c>
      <c r="F5884" s="2" t="e">
        <f>IF(Table2[[#This Row],[Manual Cat Value]]="",VLOOKUP(Table2[[#This Row],[Description]],'Actuals Lookup'!D:F,3,0),Table2[[#This Row],[Manual Cat Value]])</f>
        <v>#N/A</v>
      </c>
      <c r="J5884" s="2">
        <v>23.65</v>
      </c>
      <c r="K5884" s="2" t="b">
        <v>0</v>
      </c>
      <c r="L5884" s="2"/>
      <c r="M5884" s="2"/>
      <c r="N5884" s="4" t="s">
        <v>2259</v>
      </c>
      <c r="O5884" s="4" t="str">
        <f>LEFT(Table2[[#This Row],[Description]],75)</f>
        <v>Crate &amp; Barrel</v>
      </c>
      <c r="P5884" s="2" t="s">
        <v>2421</v>
      </c>
    </row>
    <row r="5885" spans="1:16" hidden="1">
      <c r="A5885" s="2">
        <v>202110</v>
      </c>
      <c r="B5885" s="3">
        <v>44499</v>
      </c>
      <c r="C5885" s="2" t="s">
        <v>2262</v>
      </c>
      <c r="D5885" s="2" t="s">
        <v>684</v>
      </c>
      <c r="E5885" s="2">
        <v>61.65</v>
      </c>
      <c r="F5885" s="2" t="str">
        <f>IF(Table2[[#This Row],[Manual Cat Value]]="",VLOOKUP(Table2[[#This Row],[Description]],'Actuals Lookup'!D:F,3,0),Table2[[#This Row],[Manual Cat Value]])</f>
        <v>Groceries</v>
      </c>
      <c r="J5885" s="2">
        <v>61.65</v>
      </c>
      <c r="K5885" s="2" t="b">
        <v>0</v>
      </c>
      <c r="L5885" s="2"/>
      <c r="M5885" s="2"/>
      <c r="N5885" s="4" t="s">
        <v>2259</v>
      </c>
      <c r="O5885" s="4" t="str">
        <f>LEFT(Table2[[#This Row],[Description]],75)</f>
        <v>Cub Foods</v>
      </c>
      <c r="P5885" s="2" t="s">
        <v>2370</v>
      </c>
    </row>
    <row r="5886" spans="1:16" hidden="1">
      <c r="A5886" s="2">
        <v>202110</v>
      </c>
      <c r="B5886" s="3">
        <v>44499</v>
      </c>
      <c r="C5886" s="2" t="s">
        <v>2262</v>
      </c>
      <c r="D5886" s="2" t="s">
        <v>684</v>
      </c>
      <c r="E5886" s="2">
        <v>49.11</v>
      </c>
      <c r="F5886" s="2" t="str">
        <f>IF(Table2[[#This Row],[Manual Cat Value]]="",VLOOKUP(Table2[[#This Row],[Description]],'Actuals Lookup'!D:F,3,0),Table2[[#This Row],[Manual Cat Value]])</f>
        <v>Groceries</v>
      </c>
      <c r="J5886" s="2">
        <v>49.11</v>
      </c>
      <c r="K5886" s="2" t="b">
        <v>0</v>
      </c>
      <c r="L5886" s="2"/>
      <c r="M5886" s="2"/>
      <c r="N5886" s="4" t="s">
        <v>2259</v>
      </c>
      <c r="O5886" s="4" t="str">
        <f>LEFT(Table2[[#This Row],[Description]],75)</f>
        <v>Cub Foods</v>
      </c>
      <c r="P5886" s="2" t="s">
        <v>2370</v>
      </c>
    </row>
    <row r="5887" spans="1:16" hidden="1">
      <c r="A5887" s="2">
        <v>202110</v>
      </c>
      <c r="B5887" s="3">
        <v>44499</v>
      </c>
      <c r="C5887" s="2" t="s">
        <v>2262</v>
      </c>
      <c r="D5887" s="2" t="s">
        <v>684</v>
      </c>
      <c r="E5887" s="2">
        <v>55.88</v>
      </c>
      <c r="F5887" s="2" t="str">
        <f>IF(Table2[[#This Row],[Manual Cat Value]]="",VLOOKUP(Table2[[#This Row],[Description]],'Actuals Lookup'!D:F,3,0),Table2[[#This Row],[Manual Cat Value]])</f>
        <v>Groceries</v>
      </c>
      <c r="J5887" s="2">
        <v>55.88</v>
      </c>
      <c r="K5887" s="2" t="b">
        <v>0</v>
      </c>
      <c r="L5887" s="2"/>
      <c r="M5887" s="2"/>
      <c r="N5887" s="4" t="s">
        <v>2259</v>
      </c>
      <c r="O5887" s="4" t="str">
        <f>LEFT(Table2[[#This Row],[Description]],75)</f>
        <v>Cub Foods</v>
      </c>
      <c r="P5887" s="2" t="s">
        <v>2370</v>
      </c>
    </row>
    <row r="5888" spans="1:16" hidden="1">
      <c r="A5888" s="2">
        <v>202110</v>
      </c>
      <c r="B5888" s="3">
        <v>44499</v>
      </c>
      <c r="C5888" s="2" t="s">
        <v>2262</v>
      </c>
      <c r="D5888" s="2" t="s">
        <v>831</v>
      </c>
      <c r="E5888" s="2">
        <v>32.64</v>
      </c>
      <c r="F5888" s="2" t="e">
        <f>IF(Table2[[#This Row],[Manual Cat Value]]="",VLOOKUP(Table2[[#This Row],[Description]],'Actuals Lookup'!D:F,3,0),Table2[[#This Row],[Manual Cat Value]])</f>
        <v>#N/A</v>
      </c>
      <c r="J5888" s="2">
        <v>32.64</v>
      </c>
      <c r="K5888" s="2" t="b">
        <v>0</v>
      </c>
      <c r="L5888" s="2"/>
      <c r="M5888" s="2"/>
      <c r="N5888" s="4" t="s">
        <v>2259</v>
      </c>
      <c r="O5888" s="4" t="str">
        <f>LEFT(Table2[[#This Row],[Description]],75)</f>
        <v>Excelsior Brewing</v>
      </c>
      <c r="P5888" s="2" t="s">
        <v>2410</v>
      </c>
    </row>
    <row r="5889" spans="1:16" hidden="1">
      <c r="A5889" s="2">
        <v>202110</v>
      </c>
      <c r="B5889" s="3">
        <v>44499</v>
      </c>
      <c r="C5889" s="2" t="s">
        <v>2262</v>
      </c>
      <c r="D5889" s="2" t="s">
        <v>855</v>
      </c>
      <c r="E5889" s="2">
        <v>-276</v>
      </c>
      <c r="F5889" s="2" t="e">
        <f>IF(Table2[[#This Row],[Manual Cat Value]]="",VLOOKUP(Table2[[#This Row],[Description]],'Actuals Lookup'!D:F,3,0),Table2[[#This Row],[Manual Cat Value]])</f>
        <v>#N/A</v>
      </c>
      <c r="J5889" s="2">
        <v>276</v>
      </c>
      <c r="K5889" s="2" t="b">
        <v>0</v>
      </c>
      <c r="L5889" s="2"/>
      <c r="M5889" s="2"/>
      <c r="N5889" s="4" t="s">
        <v>2273</v>
      </c>
      <c r="O5889" s="4" t="str">
        <f>LEFT(Table2[[#This Row],[Description]],75)</f>
        <v>Free People</v>
      </c>
      <c r="P5889" s="2" t="s">
        <v>2575</v>
      </c>
    </row>
    <row r="5890" spans="1:16" hidden="1">
      <c r="A5890" s="2">
        <v>202110</v>
      </c>
      <c r="B5890" s="3">
        <v>44499</v>
      </c>
      <c r="C5890" s="2" t="s">
        <v>2262</v>
      </c>
      <c r="D5890" s="2" t="s">
        <v>889</v>
      </c>
      <c r="E5890" s="2">
        <v>9.14</v>
      </c>
      <c r="F5890" s="2" t="e">
        <f>IF(Table2[[#This Row],[Manual Cat Value]]="",VLOOKUP(Table2[[#This Row],[Description]],'Actuals Lookup'!D:F,3,0),Table2[[#This Row],[Manual Cat Value]])</f>
        <v>#N/A</v>
      </c>
      <c r="J5890" s="2">
        <v>9.14</v>
      </c>
      <c r="K5890" s="2" t="b">
        <v>0</v>
      </c>
      <c r="L5890" s="2"/>
      <c r="M5890" s="2"/>
      <c r="N5890" s="4" t="s">
        <v>2259</v>
      </c>
      <c r="O5890" s="4" t="str">
        <f>LEFT(Table2[[#This Row],[Description]],75)</f>
        <v>General Store Cafe Inc</v>
      </c>
      <c r="P5890" s="2" t="s">
        <v>2281</v>
      </c>
    </row>
    <row r="5891" spans="1:16" hidden="1">
      <c r="A5891" s="2">
        <v>202110</v>
      </c>
      <c r="B5891" s="3">
        <v>44499</v>
      </c>
      <c r="C5891" s="2" t="s">
        <v>2262</v>
      </c>
      <c r="D5891" s="2" t="s">
        <v>898</v>
      </c>
      <c r="E5891" s="2">
        <v>20</v>
      </c>
      <c r="F5891" s="2" t="e">
        <f>IF(Table2[[#This Row],[Manual Cat Value]]="",VLOOKUP(Table2[[#This Row],[Description]],'Actuals Lookup'!D:F,3,0),Table2[[#This Row],[Manual Cat Value]])</f>
        <v>#N/A</v>
      </c>
      <c r="J5891" s="2">
        <v>20</v>
      </c>
      <c r="K5891" s="2" t="b">
        <v>0</v>
      </c>
      <c r="L5891" s="2"/>
      <c r="M5891" s="2"/>
      <c r="N5891" s="4" t="s">
        <v>2259</v>
      </c>
      <c r="O5891" s="4" t="str">
        <f>LEFT(Table2[[#This Row],[Description]],75)</f>
        <v>GoFundMe Vince Glasgow MeRedwood City CA</v>
      </c>
      <c r="P5891" s="2" t="s">
        <v>2281</v>
      </c>
    </row>
    <row r="5892" spans="1:16" hidden="1">
      <c r="A5892" s="2">
        <v>202110</v>
      </c>
      <c r="B5892" s="3">
        <v>44499</v>
      </c>
      <c r="C5892" s="2" t="s">
        <v>2262</v>
      </c>
      <c r="D5892" s="2" t="s">
        <v>937</v>
      </c>
      <c r="E5892" s="2">
        <v>-27</v>
      </c>
      <c r="F5892" s="2" t="e">
        <f>IF(Table2[[#This Row],[Manual Cat Value]]="",VLOOKUP(Table2[[#This Row],[Description]],'Actuals Lookup'!D:F,3,0),Table2[[#This Row],[Manual Cat Value]])</f>
        <v>#N/A</v>
      </c>
      <c r="J5892" s="2">
        <v>27</v>
      </c>
      <c r="K5892" s="2" t="b">
        <v>0</v>
      </c>
      <c r="L5892" s="2"/>
      <c r="M5892" s="2"/>
      <c r="N5892" s="4" t="s">
        <v>2273</v>
      </c>
      <c r="O5892" s="4" t="str">
        <f>LEFT(Table2[[#This Row],[Description]],75)</f>
        <v>Hmcom Ny</v>
      </c>
      <c r="P5892" s="2" t="s">
        <v>2281</v>
      </c>
    </row>
    <row r="5893" spans="1:16" hidden="1">
      <c r="A5893" s="2">
        <v>202110</v>
      </c>
      <c r="B5893" s="3">
        <v>44499</v>
      </c>
      <c r="C5893" s="2" t="s">
        <v>2262</v>
      </c>
      <c r="D5893" s="2" t="s">
        <v>944</v>
      </c>
      <c r="E5893" s="2">
        <v>40.340000000000003</v>
      </c>
      <c r="F5893" s="2" t="e">
        <f>IF(Table2[[#This Row],[Manual Cat Value]]="",VLOOKUP(Table2[[#This Row],[Description]],'Actuals Lookup'!D:F,3,0),Table2[[#This Row],[Manual Cat Value]])</f>
        <v>#N/A</v>
      </c>
      <c r="J5893" s="2">
        <v>40.340000000000003</v>
      </c>
      <c r="K5893" s="2" t="b">
        <v>0</v>
      </c>
      <c r="L5893" s="2"/>
      <c r="M5893" s="2"/>
      <c r="N5893" s="4" t="s">
        <v>2259</v>
      </c>
      <c r="O5893" s="4" t="str">
        <f>LEFT(Table2[[#This Row],[Description]],75)</f>
        <v>Holiday Stationstore</v>
      </c>
      <c r="P5893" s="2" t="s">
        <v>2374</v>
      </c>
    </row>
    <row r="5894" spans="1:16" hidden="1">
      <c r="A5894" s="2">
        <v>202110</v>
      </c>
      <c r="B5894" s="3">
        <v>44499</v>
      </c>
      <c r="C5894" s="2" t="s">
        <v>2262</v>
      </c>
      <c r="D5894" s="2" t="s">
        <v>944</v>
      </c>
      <c r="E5894" s="2">
        <v>47.8</v>
      </c>
      <c r="F5894" s="2" t="e">
        <f>IF(Table2[[#This Row],[Manual Cat Value]]="",VLOOKUP(Table2[[#This Row],[Description]],'Actuals Lookup'!D:F,3,0),Table2[[#This Row],[Manual Cat Value]])</f>
        <v>#N/A</v>
      </c>
      <c r="J5894" s="2">
        <v>47.8</v>
      </c>
      <c r="K5894" s="2" t="b">
        <v>0</v>
      </c>
      <c r="L5894" s="2"/>
      <c r="M5894" s="2"/>
      <c r="N5894" s="4" t="s">
        <v>2259</v>
      </c>
      <c r="O5894" s="4" t="str">
        <f>LEFT(Table2[[#This Row],[Description]],75)</f>
        <v>Holiday Stationstore</v>
      </c>
      <c r="P5894" s="2" t="s">
        <v>2374</v>
      </c>
    </row>
    <row r="5895" spans="1:16" hidden="1">
      <c r="A5895" s="2">
        <v>202110</v>
      </c>
      <c r="B5895" s="3">
        <v>44499</v>
      </c>
      <c r="C5895" s="2" t="s">
        <v>2300</v>
      </c>
      <c r="D5895" s="2" t="s">
        <v>990</v>
      </c>
      <c r="E5895" s="2">
        <v>-13.94</v>
      </c>
      <c r="F5895" s="2" t="e">
        <f>IF(Table2[[#This Row],[Manual Cat Value]]="",VLOOKUP(Table2[[#This Row],[Description]],'Actuals Lookup'!D:F,3,0),Table2[[#This Row],[Manual Cat Value]])</f>
        <v>#N/A</v>
      </c>
      <c r="J5895" s="2">
        <v>13.94</v>
      </c>
      <c r="K5895" s="2" t="b">
        <v>0</v>
      </c>
      <c r="L5895" s="2"/>
      <c r="M5895" s="2"/>
      <c r="N5895" s="4" t="s">
        <v>2273</v>
      </c>
      <c r="O5895" s="4" t="str">
        <f>LEFT(Table2[[#This Row],[Description]],75)</f>
        <v>Interest Income Split Rate APY Earned 100 100121 to 103121</v>
      </c>
      <c r="P5895" s="2" t="s">
        <v>2281</v>
      </c>
    </row>
    <row r="5896" spans="1:16" hidden="1">
      <c r="A5896" s="2">
        <v>202110</v>
      </c>
      <c r="B5896" s="3">
        <v>44499</v>
      </c>
      <c r="C5896" s="2" t="s">
        <v>2265</v>
      </c>
      <c r="D5896" s="2" t="s">
        <v>991</v>
      </c>
      <c r="E5896" s="2">
        <v>-25.37</v>
      </c>
      <c r="F5896" s="2" t="e">
        <f>IF(Table2[[#This Row],[Manual Cat Value]]="",VLOOKUP(Table2[[#This Row],[Description]],'Actuals Lookup'!D:F,3,0),Table2[[#This Row],[Manual Cat Value]])</f>
        <v>#N/A</v>
      </c>
      <c r="J5896" s="2">
        <v>25.37</v>
      </c>
      <c r="K5896" s="2" t="b">
        <v>0</v>
      </c>
      <c r="L5896" s="2"/>
      <c r="M5896" s="2"/>
      <c r="N5896" s="4" t="s">
        <v>2273</v>
      </c>
      <c r="O5896" s="4" t="str">
        <f>LEFT(Table2[[#This Row],[Description]],75)</f>
        <v>Interest Income Split Rate APY Earned 106 100121 to 103121</v>
      </c>
      <c r="P5896" s="2" t="s">
        <v>2281</v>
      </c>
    </row>
    <row r="5897" spans="1:16" hidden="1">
      <c r="A5897" s="2">
        <v>202110</v>
      </c>
      <c r="B5897" s="3">
        <v>44499</v>
      </c>
      <c r="C5897" s="2" t="s">
        <v>2274</v>
      </c>
      <c r="D5897" s="2" t="s">
        <v>994</v>
      </c>
      <c r="E5897" s="2">
        <v>0</v>
      </c>
      <c r="F5897" s="2" t="e">
        <f>IF(Table2[[#This Row],[Manual Cat Value]]="",VLOOKUP(Table2[[#This Row],[Description]],'Actuals Lookup'!D:F,3,0),Table2[[#This Row],[Manual Cat Value]])</f>
        <v>#N/A</v>
      </c>
      <c r="J5897" s="2">
        <v>0</v>
      </c>
      <c r="K5897" s="2" t="b">
        <v>0</v>
      </c>
      <c r="L5897" s="2"/>
      <c r="M5897" s="2"/>
      <c r="N5897" s="4" t="s">
        <v>2273</v>
      </c>
      <c r="O5897" s="4" t="str">
        <f>LEFT(Table2[[#This Row],[Description]],75)</f>
        <v>Interest Paid</v>
      </c>
      <c r="P5897" s="2" t="s">
        <v>2281</v>
      </c>
    </row>
    <row r="5898" spans="1:16" hidden="1">
      <c r="A5898" s="2">
        <v>202110</v>
      </c>
      <c r="B5898" s="3">
        <v>44499</v>
      </c>
      <c r="C5898" s="2" t="s">
        <v>2265</v>
      </c>
      <c r="D5898" s="2" t="s">
        <v>995</v>
      </c>
      <c r="E5898" s="2">
        <v>-333</v>
      </c>
      <c r="F5898" s="2" t="e">
        <f>IF(Table2[[#This Row],[Manual Cat Value]]="",VLOOKUP(Table2[[#This Row],[Description]],'Actuals Lookup'!D:F,3,0),Table2[[#This Row],[Manual Cat Value]])</f>
        <v>#N/A</v>
      </c>
      <c r="J5898" s="2">
        <v>333</v>
      </c>
      <c r="K5898" s="2" t="b">
        <v>0</v>
      </c>
      <c r="L5898" s="2"/>
      <c r="M5898" s="2"/>
      <c r="N5898" s="4" t="s">
        <v>2273</v>
      </c>
      <c r="O5898" s="4" t="str">
        <f>LEFT(Table2[[#This Row],[Description]],75)</f>
        <v>Internal Revenue Service</v>
      </c>
      <c r="P5898" s="2" t="s">
        <v>2281</v>
      </c>
    </row>
    <row r="5899" spans="1:16" hidden="1">
      <c r="A5899" s="2">
        <v>202110</v>
      </c>
      <c r="B5899" s="3">
        <v>44499</v>
      </c>
      <c r="C5899" s="2" t="s">
        <v>2262</v>
      </c>
      <c r="D5899" s="2" t="s">
        <v>1014</v>
      </c>
      <c r="E5899" s="2">
        <v>8.36</v>
      </c>
      <c r="F5899" s="2" t="str">
        <f>IF(Table2[[#This Row],[Manual Cat Value]]="",VLOOKUP(Table2[[#This Row],[Description]],'Actuals Lookup'!D:F,3,0),Table2[[#This Row],[Manual Cat Value]])</f>
        <v>Restaurants</v>
      </c>
      <c r="J5899" s="2">
        <v>8.36</v>
      </c>
      <c r="K5899" s="2" t="b">
        <v>0</v>
      </c>
      <c r="L5899" s="2"/>
      <c r="M5899" s="2"/>
      <c r="N5899" s="4" t="s">
        <v>2259</v>
      </c>
      <c r="O5899" s="4" t="str">
        <f>LEFT(Table2[[#This Row],[Description]],75)</f>
        <v>Jimmy John's</v>
      </c>
      <c r="P5899" s="2" t="s">
        <v>2453</v>
      </c>
    </row>
    <row r="5900" spans="1:16" hidden="1">
      <c r="A5900" s="2">
        <v>202110</v>
      </c>
      <c r="B5900" s="3">
        <v>44499</v>
      </c>
      <c r="C5900" s="2" t="s">
        <v>2262</v>
      </c>
      <c r="D5900" s="2" t="s">
        <v>1014</v>
      </c>
      <c r="E5900" s="2">
        <v>10.93</v>
      </c>
      <c r="F5900" s="2" t="str">
        <f>IF(Table2[[#This Row],[Manual Cat Value]]="",VLOOKUP(Table2[[#This Row],[Description]],'Actuals Lookup'!D:F,3,0),Table2[[#This Row],[Manual Cat Value]])</f>
        <v>Restaurants</v>
      </c>
      <c r="J5900" s="2">
        <v>10.93</v>
      </c>
      <c r="K5900" s="2" t="b">
        <v>0</v>
      </c>
      <c r="L5900" s="2"/>
      <c r="M5900" s="2"/>
      <c r="N5900" s="4" t="s">
        <v>2259</v>
      </c>
      <c r="O5900" s="4" t="str">
        <f>LEFT(Table2[[#This Row],[Description]],75)</f>
        <v>Jimmy John's</v>
      </c>
      <c r="P5900" s="2" t="s">
        <v>2453</v>
      </c>
    </row>
    <row r="5901" spans="1:16" hidden="1">
      <c r="A5901" s="2">
        <v>202110</v>
      </c>
      <c r="B5901" s="3">
        <v>44499</v>
      </c>
      <c r="C5901" s="2" t="s">
        <v>2262</v>
      </c>
      <c r="D5901" s="2" t="s">
        <v>1035</v>
      </c>
      <c r="E5901" s="2">
        <v>76.680000000000007</v>
      </c>
      <c r="F5901" s="2" t="e">
        <f>IF(Table2[[#This Row],[Manual Cat Value]]="",VLOOKUP(Table2[[#This Row],[Description]],'Actuals Lookup'!D:F,3,0),Table2[[#This Row],[Manual Cat Value]])</f>
        <v>#N/A</v>
      </c>
      <c r="J5901" s="2">
        <v>76.680000000000007</v>
      </c>
      <c r="K5901" s="2" t="b">
        <v>0</v>
      </c>
      <c r="L5901" s="2"/>
      <c r="M5901" s="2"/>
      <c r="N5901" s="4" t="s">
        <v>2259</v>
      </c>
      <c r="O5901" s="4" t="str">
        <f>LEFT(Table2[[#This Row],[Description]],75)</f>
        <v>KAIS SUSHI GRILL CHANHASSEN MN</v>
      </c>
      <c r="P5901" s="2" t="s">
        <v>2281</v>
      </c>
    </row>
    <row r="5902" spans="1:16" hidden="1">
      <c r="A5902" s="2">
        <v>202110</v>
      </c>
      <c r="B5902" s="3">
        <v>44499</v>
      </c>
      <c r="C5902" s="2" t="s">
        <v>2447</v>
      </c>
      <c r="D5902" s="2" t="s">
        <v>1079</v>
      </c>
      <c r="E5902" s="2">
        <v>34.130000000000003</v>
      </c>
      <c r="F5902" s="2" t="e">
        <f>IF(Table2[[#This Row],[Manual Cat Value]]="",VLOOKUP(Table2[[#This Row],[Description]],'Actuals Lookup'!D:F,3,0),Table2[[#This Row],[Manual Cat Value]])</f>
        <v>#N/A</v>
      </c>
      <c r="J5902" s="2">
        <v>34.130000000000003</v>
      </c>
      <c r="K5902" s="2" t="b">
        <v>0</v>
      </c>
      <c r="L5902" s="2"/>
      <c r="M5902" s="2"/>
      <c r="N5902" s="4" t="s">
        <v>2259</v>
      </c>
      <c r="O5902" s="4" t="str">
        <f>LEFT(Table2[[#This Row],[Description]],75)</f>
        <v>Kowalski's</v>
      </c>
      <c r="P5902" s="2" t="s">
        <v>2465</v>
      </c>
    </row>
    <row r="5903" spans="1:16" hidden="1">
      <c r="A5903" s="2">
        <v>202110</v>
      </c>
      <c r="B5903" s="3">
        <v>44499</v>
      </c>
      <c r="C5903" s="2" t="s">
        <v>2262</v>
      </c>
      <c r="D5903" s="2" t="s">
        <v>1083</v>
      </c>
      <c r="E5903" s="2">
        <v>10</v>
      </c>
      <c r="F5903" s="2" t="str">
        <f>IF(Table2[[#This Row],[Manual Cat Value]]="",VLOOKUP(Table2[[#This Row],[Description]],'Actuals Lookup'!D:F,3,0),Table2[[#This Row],[Manual Cat Value]])</f>
        <v>Transportation</v>
      </c>
      <c r="J5903" s="2">
        <v>10</v>
      </c>
      <c r="K5903" s="2" t="b">
        <v>0</v>
      </c>
      <c r="L5903" s="2"/>
      <c r="M5903" s="2"/>
      <c r="N5903" s="4" t="s">
        <v>2259</v>
      </c>
      <c r="O5903" s="4" t="str">
        <f>LEFT(Table2[[#This Row],[Description]],75)</f>
        <v>Kwik Trip</v>
      </c>
      <c r="P5903" s="2" t="s">
        <v>2509</v>
      </c>
    </row>
    <row r="5904" spans="1:16" hidden="1">
      <c r="A5904" s="2">
        <v>202110</v>
      </c>
      <c r="B5904" s="3">
        <v>44499</v>
      </c>
      <c r="C5904" s="2" t="s">
        <v>2262</v>
      </c>
      <c r="D5904" s="2" t="s">
        <v>1097</v>
      </c>
      <c r="E5904" s="2">
        <v>59.76</v>
      </c>
      <c r="F5904" s="2" t="e">
        <f>IF(Table2[[#This Row],[Manual Cat Value]]="",VLOOKUP(Table2[[#This Row],[Description]],'Actuals Lookup'!D:F,3,0),Table2[[#This Row],[Manual Cat Value]])</f>
        <v>#N/A</v>
      </c>
      <c r="J5904" s="2">
        <v>59.76</v>
      </c>
      <c r="K5904" s="2" t="b">
        <v>0</v>
      </c>
      <c r="L5904" s="2"/>
      <c r="M5904" s="2"/>
      <c r="N5904" s="4" t="s">
        <v>2259</v>
      </c>
      <c r="O5904" s="4" t="str">
        <f>LEFT(Table2[[#This Row],[Description]],75)</f>
        <v>Lakewinds Food Coop LAKEWINDS CHANHASSEN CHANHASSEN MN</v>
      </c>
      <c r="P5904" s="2" t="s">
        <v>2583</v>
      </c>
    </row>
    <row r="5905" spans="1:16" hidden="1">
      <c r="A5905" s="2">
        <v>202110</v>
      </c>
      <c r="B5905" s="3">
        <v>44499</v>
      </c>
      <c r="C5905" s="2" t="s">
        <v>2262</v>
      </c>
      <c r="D5905" s="2" t="s">
        <v>1102</v>
      </c>
      <c r="E5905" s="2">
        <v>22.92</v>
      </c>
      <c r="F5905" s="2" t="str">
        <f>IF(Table2[[#This Row],[Manual Cat Value]]="",VLOOKUP(Table2[[#This Row],[Description]],'Actuals Lookup'!D:F,3,0),Table2[[#This Row],[Manual Cat Value]])</f>
        <v>Restaurants</v>
      </c>
      <c r="J5905" s="2">
        <v>22.92</v>
      </c>
      <c r="K5905" s="2" t="b">
        <v>0</v>
      </c>
      <c r="L5905" s="2"/>
      <c r="M5905" s="2"/>
      <c r="N5905" s="4" t="s">
        <v>2259</v>
      </c>
      <c r="O5905" s="4" t="str">
        <f>LEFT(Table2[[#This Row],[Description]],75)</f>
        <v>Leeann Chin</v>
      </c>
      <c r="P5905" s="2" t="s">
        <v>2529</v>
      </c>
    </row>
    <row r="5906" spans="1:16" hidden="1">
      <c r="A5906" s="2">
        <v>202110</v>
      </c>
      <c r="B5906" s="3">
        <v>44499</v>
      </c>
      <c r="C5906" s="2" t="s">
        <v>2262</v>
      </c>
      <c r="D5906" s="2" t="s">
        <v>1156</v>
      </c>
      <c r="E5906" s="2">
        <v>39.53</v>
      </c>
      <c r="F5906" s="2" t="e">
        <f>IF(Table2[[#This Row],[Manual Cat Value]]="",VLOOKUP(Table2[[#This Row],[Description]],'Actuals Lookup'!D:F,3,0),Table2[[#This Row],[Manual Cat Value]])</f>
        <v>#N/A</v>
      </c>
      <c r="J5906" s="2">
        <v>39.53</v>
      </c>
      <c r="K5906" s="2" t="b">
        <v>0</v>
      </c>
      <c r="L5906" s="2"/>
      <c r="M5906" s="2"/>
      <c r="N5906" s="4" t="s">
        <v>2259</v>
      </c>
      <c r="O5906" s="4" t="str">
        <f>LEFT(Table2[[#This Row],[Description]],75)</f>
        <v>Lucky</v>
      </c>
      <c r="P5906" s="2" t="s">
        <v>2281</v>
      </c>
    </row>
    <row r="5907" spans="1:16" hidden="1">
      <c r="A5907" s="2">
        <v>202110</v>
      </c>
      <c r="B5907" s="3">
        <v>44499</v>
      </c>
      <c r="C5907" s="2" t="s">
        <v>2262</v>
      </c>
      <c r="D5907" s="2" t="s">
        <v>1184</v>
      </c>
      <c r="E5907" s="2">
        <v>18.850000000000001</v>
      </c>
      <c r="F5907" s="2" t="e">
        <f>IF(Table2[[#This Row],[Manual Cat Value]]="",VLOOKUP(Table2[[#This Row],[Description]],'Actuals Lookup'!D:F,3,0),Table2[[#This Row],[Manual Cat Value]])</f>
        <v>#N/A</v>
      </c>
      <c r="J5907" s="2">
        <v>18.850000000000001</v>
      </c>
      <c r="K5907" s="2" t="b">
        <v>0</v>
      </c>
      <c r="L5907" s="2"/>
      <c r="M5907" s="2"/>
      <c r="N5907" s="4" t="s">
        <v>2259</v>
      </c>
      <c r="O5907" s="4" t="str">
        <f>LEFT(Table2[[#This Row],[Description]],75)</f>
        <v>Maynard's</v>
      </c>
      <c r="P5907" s="2" t="s">
        <v>2504</v>
      </c>
    </row>
    <row r="5908" spans="1:16" hidden="1">
      <c r="A5908" s="2">
        <v>202110</v>
      </c>
      <c r="B5908" s="3">
        <v>44499</v>
      </c>
      <c r="C5908" s="2" t="s">
        <v>2262</v>
      </c>
      <c r="D5908" s="2" t="s">
        <v>1184</v>
      </c>
      <c r="E5908" s="2">
        <v>46.02</v>
      </c>
      <c r="F5908" s="2" t="e">
        <f>IF(Table2[[#This Row],[Manual Cat Value]]="",VLOOKUP(Table2[[#This Row],[Description]],'Actuals Lookup'!D:F,3,0),Table2[[#This Row],[Manual Cat Value]])</f>
        <v>#N/A</v>
      </c>
      <c r="J5908" s="2">
        <v>46.02</v>
      </c>
      <c r="K5908" s="2" t="b">
        <v>0</v>
      </c>
      <c r="L5908" s="2"/>
      <c r="M5908" s="2"/>
      <c r="N5908" s="4" t="s">
        <v>2259</v>
      </c>
      <c r="O5908" s="4" t="str">
        <f>LEFT(Table2[[#This Row],[Description]],75)</f>
        <v>Maynard's</v>
      </c>
      <c r="P5908" s="2" t="s">
        <v>2504</v>
      </c>
    </row>
    <row r="5909" spans="1:16" hidden="1">
      <c r="A5909" s="2">
        <v>202110</v>
      </c>
      <c r="B5909" s="3">
        <v>44499</v>
      </c>
      <c r="C5909" s="2" t="s">
        <v>2262</v>
      </c>
      <c r="D5909" s="2" t="s">
        <v>1184</v>
      </c>
      <c r="E5909" s="2">
        <v>35.25</v>
      </c>
      <c r="F5909" s="2" t="e">
        <f>IF(Table2[[#This Row],[Manual Cat Value]]="",VLOOKUP(Table2[[#This Row],[Description]],'Actuals Lookup'!D:F,3,0),Table2[[#This Row],[Manual Cat Value]])</f>
        <v>#N/A</v>
      </c>
      <c r="J5909" s="2">
        <v>35.25</v>
      </c>
      <c r="K5909" s="2" t="b">
        <v>0</v>
      </c>
      <c r="L5909" s="2"/>
      <c r="M5909" s="2"/>
      <c r="N5909" s="4" t="s">
        <v>2259</v>
      </c>
      <c r="O5909" s="4" t="str">
        <f>LEFT(Table2[[#This Row],[Description]],75)</f>
        <v>Maynard's</v>
      </c>
      <c r="P5909" s="2" t="s">
        <v>2504</v>
      </c>
    </row>
    <row r="5910" spans="1:16" hidden="1">
      <c r="A5910" s="2">
        <v>202110</v>
      </c>
      <c r="B5910" s="3">
        <v>44499</v>
      </c>
      <c r="C5910" s="2" t="s">
        <v>2262</v>
      </c>
      <c r="D5910" s="2" t="s">
        <v>1191</v>
      </c>
      <c r="E5910" s="2">
        <v>12.89</v>
      </c>
      <c r="F5910" s="2" t="e">
        <f>IF(Table2[[#This Row],[Manual Cat Value]]="",VLOOKUP(Table2[[#This Row],[Description]],'Actuals Lookup'!D:F,3,0),Table2[[#This Row],[Manual Cat Value]])</f>
        <v>#N/A</v>
      </c>
      <c r="J5910" s="2">
        <v>12.89</v>
      </c>
      <c r="K5910" s="2" t="b">
        <v>0</v>
      </c>
      <c r="L5910" s="2"/>
      <c r="M5910" s="2"/>
      <c r="N5910" s="4" t="s">
        <v>2259</v>
      </c>
      <c r="O5910" s="4" t="str">
        <f>LEFT(Table2[[#This Row],[Description]],75)</f>
        <v>Menard</v>
      </c>
      <c r="P5910" s="2" t="s">
        <v>2281</v>
      </c>
    </row>
    <row r="5911" spans="1:16" hidden="1">
      <c r="A5911" s="2">
        <v>202110</v>
      </c>
      <c r="B5911" s="3">
        <v>44499</v>
      </c>
      <c r="C5911" s="2" t="s">
        <v>2265</v>
      </c>
      <c r="D5911" s="2" t="s">
        <v>1196</v>
      </c>
      <c r="E5911" s="2">
        <v>270.39999999999998</v>
      </c>
      <c r="F5911" s="2" t="e">
        <f>IF(Table2[[#This Row],[Manual Cat Value]]="",VLOOKUP(Table2[[#This Row],[Description]],'Actuals Lookup'!D:F,3,0),Table2[[#This Row],[Manual Cat Value]])</f>
        <v>#N/A</v>
      </c>
      <c r="J5911" s="2">
        <v>270.39999999999998</v>
      </c>
      <c r="K5911" s="2" t="b">
        <v>0</v>
      </c>
      <c r="L5911" s="2"/>
      <c r="M5911" s="2"/>
      <c r="N5911" s="4" t="s">
        <v>2259</v>
      </c>
      <c r="O5911" s="4" t="str">
        <f>LEFT(Table2[[#This Row],[Description]],75)</f>
        <v>MHCHILDCARELLC TYPE DUES ID CO M MHCHILDCARELLC TYPE DUES ID CO MHCHILDCARE</v>
      </c>
      <c r="P5911" s="2" t="s">
        <v>2497</v>
      </c>
    </row>
    <row r="5912" spans="1:16" hidden="1">
      <c r="A5912" s="2">
        <v>202110</v>
      </c>
      <c r="B5912" s="3">
        <v>44499</v>
      </c>
      <c r="C5912" s="2" t="s">
        <v>2265</v>
      </c>
      <c r="D5912" s="2" t="s">
        <v>1196</v>
      </c>
      <c r="E5912" s="2">
        <v>270.39999999999998</v>
      </c>
      <c r="F5912" s="2" t="e">
        <f>IF(Table2[[#This Row],[Manual Cat Value]]="",VLOOKUP(Table2[[#This Row],[Description]],'Actuals Lookup'!D:F,3,0),Table2[[#This Row],[Manual Cat Value]])</f>
        <v>#N/A</v>
      </c>
      <c r="J5912" s="2">
        <v>270.39999999999998</v>
      </c>
      <c r="K5912" s="2" t="b">
        <v>0</v>
      </c>
      <c r="L5912" s="2"/>
      <c r="M5912" s="2"/>
      <c r="N5912" s="4" t="s">
        <v>2259</v>
      </c>
      <c r="O5912" s="4" t="str">
        <f>LEFT(Table2[[#This Row],[Description]],75)</f>
        <v>MHCHILDCARELLC TYPE DUES ID CO M MHCHILDCARELLC TYPE DUES ID CO MHCHILDCARE</v>
      </c>
      <c r="P5912" s="2" t="s">
        <v>2497</v>
      </c>
    </row>
    <row r="5913" spans="1:16" hidden="1">
      <c r="A5913" s="2">
        <v>202110</v>
      </c>
      <c r="B5913" s="3">
        <v>44499</v>
      </c>
      <c r="C5913" s="2" t="s">
        <v>2265</v>
      </c>
      <c r="D5913" s="2" t="s">
        <v>1196</v>
      </c>
      <c r="E5913" s="2">
        <v>528.79999999999995</v>
      </c>
      <c r="F5913" s="2" t="e">
        <f>IF(Table2[[#This Row],[Manual Cat Value]]="",VLOOKUP(Table2[[#This Row],[Description]],'Actuals Lookup'!D:F,3,0),Table2[[#This Row],[Manual Cat Value]])</f>
        <v>#N/A</v>
      </c>
      <c r="J5913" s="2">
        <v>528.79999999999995</v>
      </c>
      <c r="K5913" s="2" t="b">
        <v>0</v>
      </c>
      <c r="L5913" s="2"/>
      <c r="M5913" s="2"/>
      <c r="N5913" s="4" t="s">
        <v>2259</v>
      </c>
      <c r="O5913" s="4" t="str">
        <f>LEFT(Table2[[#This Row],[Description]],75)</f>
        <v>MHCHILDCARELLC TYPE DUES ID CO M MHCHILDCARELLC TYPE DUES ID CO MHCHILDCARE</v>
      </c>
      <c r="P5913" s="2" t="s">
        <v>2497</v>
      </c>
    </row>
    <row r="5914" spans="1:16" hidden="1">
      <c r="A5914" s="2">
        <v>202110</v>
      </c>
      <c r="B5914" s="3">
        <v>44499</v>
      </c>
      <c r="C5914" s="2" t="s">
        <v>2265</v>
      </c>
      <c r="D5914" s="2" t="s">
        <v>1308</v>
      </c>
      <c r="E5914" s="2">
        <v>200</v>
      </c>
      <c r="F5914" s="2" t="e">
        <f>IF(Table2[[#This Row],[Manual Cat Value]]="",VLOOKUP(Table2[[#This Row],[Description]],'Actuals Lookup'!D:F,3,0),Table2[[#This Row],[Manual Cat Value]])</f>
        <v>#N/A</v>
      </c>
      <c r="J5914" s="2">
        <v>200</v>
      </c>
      <c r="K5914" s="2" t="b">
        <v>0</v>
      </c>
      <c r="L5914" s="2"/>
      <c r="M5914" s="2"/>
      <c r="N5914" s="4" t="s">
        <v>2259</v>
      </c>
      <c r="O5914" s="4" t="str">
        <f>LEFT(Table2[[#This Row],[Description]],75)</f>
        <v>MN DIR ACH TYPE CONTRIB ID CO MN MN DIR ACH TYPE CONTRIB ID CO MN DIR ACH A</v>
      </c>
      <c r="P5914" s="2" t="s">
        <v>2469</v>
      </c>
    </row>
    <row r="5915" spans="1:16" hidden="1">
      <c r="A5915" s="2">
        <v>202110</v>
      </c>
      <c r="B5915" s="3">
        <v>44499</v>
      </c>
      <c r="C5915" s="2" t="s">
        <v>2262</v>
      </c>
      <c r="D5915" s="2" t="s">
        <v>1348</v>
      </c>
      <c r="E5915" s="2">
        <v>43</v>
      </c>
      <c r="F5915" s="2" t="e">
        <f>IF(Table2[[#This Row],[Manual Cat Value]]="",VLOOKUP(Table2[[#This Row],[Description]],'Actuals Lookup'!D:F,3,0),Table2[[#This Row],[Manual Cat Value]])</f>
        <v>#N/A</v>
      </c>
      <c r="J5915" s="2">
        <v>43</v>
      </c>
      <c r="K5915" s="2" t="b">
        <v>0</v>
      </c>
      <c r="L5915" s="2"/>
      <c r="M5915" s="2"/>
      <c r="N5915" s="4" t="s">
        <v>2259</v>
      </c>
      <c r="O5915" s="4" t="str">
        <f>LEFT(Table2[[#This Row],[Description]],75)</f>
        <v>NESPRESSO USA 8886377737 NY</v>
      </c>
      <c r="P5915" s="2" t="s">
        <v>2281</v>
      </c>
    </row>
    <row r="5916" spans="1:16" hidden="1">
      <c r="A5916" s="2">
        <v>202110</v>
      </c>
      <c r="B5916" s="3">
        <v>44499</v>
      </c>
      <c r="C5916" s="2" t="s">
        <v>2447</v>
      </c>
      <c r="D5916" s="2" t="s">
        <v>1350</v>
      </c>
      <c r="E5916" s="2">
        <v>8.99</v>
      </c>
      <c r="F5916" s="2" t="str">
        <f>IF(Table2[[#This Row],[Manual Cat Value]]="",VLOOKUP(Table2[[#This Row],[Description]],'Actuals Lookup'!D:F,3,0),Table2[[#This Row],[Manual Cat Value]])</f>
        <v>Utilities</v>
      </c>
      <c r="J5916" s="2">
        <v>8.99</v>
      </c>
      <c r="K5916" s="2" t="b">
        <v>0</v>
      </c>
      <c r="L5916" s="2"/>
      <c r="M5916" s="2"/>
      <c r="N5916" s="4" t="s">
        <v>2259</v>
      </c>
      <c r="O5916" s="4" t="str">
        <f>LEFT(Table2[[#This Row],[Description]],75)</f>
        <v>Netflix</v>
      </c>
      <c r="P5916" s="2" t="s">
        <v>2306</v>
      </c>
    </row>
    <row r="5917" spans="1:16" hidden="1">
      <c r="A5917" s="2">
        <v>202110</v>
      </c>
      <c r="B5917" s="3">
        <v>44499</v>
      </c>
      <c r="C5917" s="2" t="s">
        <v>2262</v>
      </c>
      <c r="D5917" s="2" t="s">
        <v>1357</v>
      </c>
      <c r="E5917" s="2">
        <v>77.78</v>
      </c>
      <c r="F5917" s="2" t="e">
        <f>IF(Table2[[#This Row],[Manual Cat Value]]="",VLOOKUP(Table2[[#This Row],[Description]],'Actuals Lookup'!D:F,3,0),Table2[[#This Row],[Manual Cat Value]])</f>
        <v>#N/A</v>
      </c>
      <c r="J5917" s="2">
        <v>77.78</v>
      </c>
      <c r="K5917" s="2" t="b">
        <v>0</v>
      </c>
      <c r="L5917" s="2"/>
      <c r="M5917" s="2"/>
      <c r="N5917" s="4" t="s">
        <v>2259</v>
      </c>
      <c r="O5917" s="4" t="str">
        <f>LEFT(Table2[[#This Row],[Description]],75)</f>
        <v>NORTH COOP CHAHASSEN MN</v>
      </c>
      <c r="P5917" s="2" t="s">
        <v>2326</v>
      </c>
    </row>
    <row r="5918" spans="1:16" hidden="1">
      <c r="A5918" s="2">
        <v>202110</v>
      </c>
      <c r="B5918" s="3">
        <v>44499</v>
      </c>
      <c r="C5918" s="2" t="s">
        <v>2262</v>
      </c>
      <c r="D5918" s="2" t="s">
        <v>1396</v>
      </c>
      <c r="E5918" s="2">
        <v>37.67</v>
      </c>
      <c r="F5918" s="2" t="str">
        <f>IF(Table2[[#This Row],[Manual Cat Value]]="",VLOOKUP(Table2[[#This Row],[Description]],'Actuals Lookup'!D:F,3,0),Table2[[#This Row],[Manual Cat Value]])</f>
        <v>Restaurants</v>
      </c>
      <c r="J5918" s="2">
        <v>37.67</v>
      </c>
      <c r="K5918" s="2" t="b">
        <v>0</v>
      </c>
      <c r="L5918" s="2"/>
      <c r="M5918" s="2"/>
      <c r="N5918" s="4" t="s">
        <v>2259</v>
      </c>
      <c r="O5918" s="4" t="str">
        <f>LEFT(Table2[[#This Row],[Description]],75)</f>
        <v>Papa Murphy's</v>
      </c>
      <c r="P5918" s="2" t="s">
        <v>2473</v>
      </c>
    </row>
    <row r="5919" spans="1:16" hidden="1">
      <c r="A5919" s="2">
        <v>202110</v>
      </c>
      <c r="B5919" s="3">
        <v>44499</v>
      </c>
      <c r="C5919" s="2" t="s">
        <v>2265</v>
      </c>
      <c r="D5919" s="2" t="s">
        <v>1471</v>
      </c>
      <c r="E5919" s="2">
        <v>6.47</v>
      </c>
      <c r="F5919" s="2" t="str">
        <f>IF(Table2[[#This Row],[Manual Cat Value]]="",VLOOKUP(Table2[[#This Row],[Description]],'Actuals Lookup'!D:F,3,0),Table2[[#This Row],[Manual Cat Value]])</f>
        <v>Shopping</v>
      </c>
      <c r="J5919" s="2">
        <v>6.47</v>
      </c>
      <c r="K5919" s="2" t="b">
        <v>0</v>
      </c>
      <c r="L5919" s="2"/>
      <c r="M5919" s="2"/>
      <c r="N5919" s="4" t="s">
        <v>2259</v>
      </c>
      <c r="O5919" s="4" t="str">
        <f>LEFT(Table2[[#This Row],[Description]],75)</f>
        <v>PayPal</v>
      </c>
      <c r="P5919" s="2" t="s">
        <v>2322</v>
      </c>
    </row>
    <row r="5920" spans="1:16" hidden="1">
      <c r="A5920" s="2">
        <v>202110</v>
      </c>
      <c r="B5920" s="3">
        <v>44499</v>
      </c>
      <c r="C5920" s="2" t="s">
        <v>2265</v>
      </c>
      <c r="D5920" s="2" t="s">
        <v>1471</v>
      </c>
      <c r="E5920" s="2">
        <v>115</v>
      </c>
      <c r="F5920" s="2" t="str">
        <f>IF(Table2[[#This Row],[Manual Cat Value]]="",VLOOKUP(Table2[[#This Row],[Description]],'Actuals Lookup'!D:F,3,0),Table2[[#This Row],[Manual Cat Value]])</f>
        <v>Shopping</v>
      </c>
      <c r="J5920" s="2">
        <v>115</v>
      </c>
      <c r="K5920" s="2" t="b">
        <v>0</v>
      </c>
      <c r="L5920" s="2"/>
      <c r="M5920" s="2"/>
      <c r="N5920" s="4" t="s">
        <v>2259</v>
      </c>
      <c r="O5920" s="4" t="str">
        <f>LEFT(Table2[[#This Row],[Description]],75)</f>
        <v>PayPal</v>
      </c>
      <c r="P5920" s="2" t="s">
        <v>2322</v>
      </c>
    </row>
    <row r="5921" spans="1:16" hidden="1">
      <c r="A5921" s="2">
        <v>202110</v>
      </c>
      <c r="B5921" s="3">
        <v>44499</v>
      </c>
      <c r="C5921" s="2" t="s">
        <v>2265</v>
      </c>
      <c r="D5921" s="2" t="s">
        <v>1471</v>
      </c>
      <c r="E5921" s="2">
        <v>201.48</v>
      </c>
      <c r="F5921" s="2" t="str">
        <f>IF(Table2[[#This Row],[Manual Cat Value]]="",VLOOKUP(Table2[[#This Row],[Description]],'Actuals Lookup'!D:F,3,0),Table2[[#This Row],[Manual Cat Value]])</f>
        <v>Shopping</v>
      </c>
      <c r="J5921" s="2">
        <v>201.48</v>
      </c>
      <c r="K5921" s="2" t="b">
        <v>0</v>
      </c>
      <c r="L5921" s="2"/>
      <c r="M5921" s="2"/>
      <c r="N5921" s="4" t="s">
        <v>2259</v>
      </c>
      <c r="O5921" s="4" t="str">
        <f>LEFT(Table2[[#This Row],[Description]],75)</f>
        <v>PayPal</v>
      </c>
      <c r="P5921" s="2" t="s">
        <v>2322</v>
      </c>
    </row>
    <row r="5922" spans="1:16" hidden="1">
      <c r="A5922" s="2">
        <v>202110</v>
      </c>
      <c r="B5922" s="3">
        <v>44499</v>
      </c>
      <c r="C5922" s="2" t="s">
        <v>2265</v>
      </c>
      <c r="D5922" s="2" t="s">
        <v>1471</v>
      </c>
      <c r="E5922" s="2">
        <v>0.99</v>
      </c>
      <c r="F5922" s="2" t="str">
        <f>IF(Table2[[#This Row],[Manual Cat Value]]="",VLOOKUP(Table2[[#This Row],[Description]],'Actuals Lookup'!D:F,3,0),Table2[[#This Row],[Manual Cat Value]])</f>
        <v>Shopping</v>
      </c>
      <c r="J5922" s="2">
        <v>0.99</v>
      </c>
      <c r="K5922" s="2" t="b">
        <v>0</v>
      </c>
      <c r="L5922" s="2"/>
      <c r="M5922" s="2"/>
      <c r="N5922" s="4" t="s">
        <v>2259</v>
      </c>
      <c r="O5922" s="4" t="str">
        <f>LEFT(Table2[[#This Row],[Description]],75)</f>
        <v>PayPal</v>
      </c>
      <c r="P5922" s="2" t="s">
        <v>2322</v>
      </c>
    </row>
    <row r="5923" spans="1:16" hidden="1">
      <c r="A5923" s="2">
        <v>202110</v>
      </c>
      <c r="B5923" s="3">
        <v>44499</v>
      </c>
      <c r="C5923" s="2" t="s">
        <v>2265</v>
      </c>
      <c r="D5923" s="2" t="s">
        <v>1471</v>
      </c>
      <c r="E5923" s="2">
        <v>0.99</v>
      </c>
      <c r="F5923" s="2" t="str">
        <f>IF(Table2[[#This Row],[Manual Cat Value]]="",VLOOKUP(Table2[[#This Row],[Description]],'Actuals Lookup'!D:F,3,0),Table2[[#This Row],[Manual Cat Value]])</f>
        <v>Shopping</v>
      </c>
      <c r="J5923" s="2">
        <v>0.99</v>
      </c>
      <c r="K5923" s="2" t="b">
        <v>0</v>
      </c>
      <c r="L5923" s="2"/>
      <c r="M5923" s="2"/>
      <c r="N5923" s="4" t="s">
        <v>2259</v>
      </c>
      <c r="O5923" s="4" t="str">
        <f>LEFT(Table2[[#This Row],[Description]],75)</f>
        <v>PayPal</v>
      </c>
      <c r="P5923" s="2" t="s">
        <v>2322</v>
      </c>
    </row>
    <row r="5924" spans="1:16" hidden="1">
      <c r="A5924" s="2">
        <v>202110</v>
      </c>
      <c r="B5924" s="3">
        <v>44499</v>
      </c>
      <c r="C5924" s="2" t="s">
        <v>2262</v>
      </c>
      <c r="D5924" s="2" t="s">
        <v>1479</v>
      </c>
      <c r="E5924" s="2">
        <v>41.94</v>
      </c>
      <c r="F5924" s="2" t="e">
        <f>IF(Table2[[#This Row],[Manual Cat Value]]="",VLOOKUP(Table2[[#This Row],[Description]],'Actuals Lookup'!D:F,3,0),Table2[[#This Row],[Manual Cat Value]])</f>
        <v>#N/A</v>
      </c>
      <c r="J5924" s="2">
        <v>41.94</v>
      </c>
      <c r="K5924" s="2" t="b">
        <v>0</v>
      </c>
      <c r="L5924" s="2"/>
      <c r="M5924" s="2"/>
      <c r="N5924" s="4" t="s">
        <v>2259</v>
      </c>
      <c r="O5924" s="4" t="str">
        <f>LEFT(Table2[[#This Row],[Description]],75)</f>
        <v>Peloton Cycles PELOTON MEMBERSHIP HTTPSWWWONEPNY</v>
      </c>
      <c r="P5924" s="2" t="s">
        <v>2584</v>
      </c>
    </row>
    <row r="5925" spans="1:16" hidden="1">
      <c r="A5925" s="2">
        <v>202110</v>
      </c>
      <c r="B5925" s="3">
        <v>44499</v>
      </c>
      <c r="C5925" s="2" t="s">
        <v>2262</v>
      </c>
      <c r="D5925" s="2" t="s">
        <v>1535</v>
      </c>
      <c r="E5925" s="2">
        <v>47.73</v>
      </c>
      <c r="F5925" s="2" t="e">
        <f>IF(Table2[[#This Row],[Manual Cat Value]]="",VLOOKUP(Table2[[#This Row],[Description]],'Actuals Lookup'!D:F,3,0),Table2[[#This Row],[Manual Cat Value]])</f>
        <v>#N/A</v>
      </c>
      <c r="J5925" s="2">
        <v>47.73</v>
      </c>
      <c r="K5925" s="2" t="b">
        <v>0</v>
      </c>
      <c r="L5925" s="2"/>
      <c r="M5925" s="2"/>
      <c r="N5925" s="4" t="s">
        <v>2259</v>
      </c>
      <c r="O5925" s="4" t="str">
        <f>LEFT(Table2[[#This Row],[Description]],75)</f>
        <v>Punchbowl Social</v>
      </c>
      <c r="P5925" s="2" t="s">
        <v>2281</v>
      </c>
    </row>
    <row r="5926" spans="1:16" hidden="1">
      <c r="A5926" s="2">
        <v>202110</v>
      </c>
      <c r="B5926" s="3">
        <v>44499</v>
      </c>
      <c r="C5926" s="2" t="s">
        <v>2262</v>
      </c>
      <c r="D5926" s="2" t="s">
        <v>1539</v>
      </c>
      <c r="E5926" s="2">
        <v>99.5</v>
      </c>
      <c r="F5926" s="2" t="e">
        <f>IF(Table2[[#This Row],[Manual Cat Value]]="",VLOOKUP(Table2[[#This Row],[Description]],'Actuals Lookup'!D:F,3,0),Table2[[#This Row],[Manual Cat Value]])</f>
        <v>#N/A</v>
      </c>
      <c r="J5926" s="2">
        <v>99.5</v>
      </c>
      <c r="K5926" s="2" t="b">
        <v>0</v>
      </c>
      <c r="L5926" s="2"/>
      <c r="M5926" s="2"/>
      <c r="N5926" s="4" t="s">
        <v>2259</v>
      </c>
      <c r="O5926" s="4" t="str">
        <f>LEFT(Table2[[#This Row],[Description]],75)</f>
        <v>RAILROADING HERITAGE OF XX9812 M RAILROADING HERITAGE OF 6517659812 MN</v>
      </c>
      <c r="P5926" s="2" t="s">
        <v>2281</v>
      </c>
    </row>
    <row r="5927" spans="1:16" hidden="1">
      <c r="A5927" s="2">
        <v>202110</v>
      </c>
      <c r="B5927" s="3">
        <v>44499</v>
      </c>
      <c r="C5927" s="2" t="s">
        <v>2262</v>
      </c>
      <c r="D5927" s="2" t="s">
        <v>1625</v>
      </c>
      <c r="E5927" s="2">
        <v>10.74</v>
      </c>
      <c r="F5927" s="2" t="e">
        <f>IF(Table2[[#This Row],[Manual Cat Value]]="",VLOOKUP(Table2[[#This Row],[Description]],'Actuals Lookup'!D:F,3,0),Table2[[#This Row],[Manual Cat Value]])</f>
        <v>#N/A</v>
      </c>
      <c r="J5927" s="2">
        <v>10.74</v>
      </c>
      <c r="K5927" s="2" t="b">
        <v>0</v>
      </c>
      <c r="L5927" s="2"/>
      <c r="M5927" s="2"/>
      <c r="N5927" s="4" t="s">
        <v>2259</v>
      </c>
      <c r="O5927" s="4" t="str">
        <f>LEFT(Table2[[#This Row],[Description]],75)</f>
        <v>Scholastic</v>
      </c>
      <c r="P5927" s="2" t="s">
        <v>2281</v>
      </c>
    </row>
    <row r="5928" spans="1:16" hidden="1">
      <c r="A5928" s="2">
        <v>202110</v>
      </c>
      <c r="B5928" s="3">
        <v>44499</v>
      </c>
      <c r="C5928" s="2" t="s">
        <v>2262</v>
      </c>
      <c r="D5928" s="2" t="s">
        <v>1625</v>
      </c>
      <c r="E5928" s="2">
        <v>18.79</v>
      </c>
      <c r="F5928" s="2" t="e">
        <f>IF(Table2[[#This Row],[Manual Cat Value]]="",VLOOKUP(Table2[[#This Row],[Description]],'Actuals Lookup'!D:F,3,0),Table2[[#This Row],[Manual Cat Value]])</f>
        <v>#N/A</v>
      </c>
      <c r="J5928" s="2">
        <v>18.79</v>
      </c>
      <c r="K5928" s="2" t="b">
        <v>0</v>
      </c>
      <c r="L5928" s="2"/>
      <c r="M5928" s="2"/>
      <c r="N5928" s="4" t="s">
        <v>2259</v>
      </c>
      <c r="O5928" s="4" t="str">
        <f>LEFT(Table2[[#This Row],[Description]],75)</f>
        <v>Scholastic</v>
      </c>
      <c r="P5928" s="2" t="s">
        <v>2281</v>
      </c>
    </row>
    <row r="5929" spans="1:16" hidden="1">
      <c r="A5929" s="2">
        <v>202110</v>
      </c>
      <c r="B5929" s="3">
        <v>44499</v>
      </c>
      <c r="C5929" s="2" t="s">
        <v>2317</v>
      </c>
      <c r="D5929" s="2" t="s">
        <v>1633</v>
      </c>
      <c r="E5929" s="2">
        <v>200</v>
      </c>
      <c r="F5929" s="2" t="e">
        <f>IF(Table2[[#This Row],[Manual Cat Value]]="",VLOOKUP(Table2[[#This Row],[Description]],'Actuals Lookup'!D:F,3,0),Table2[[#This Row],[Manual Cat Value]])</f>
        <v>#N/A</v>
      </c>
      <c r="J5929" s="2">
        <v>200</v>
      </c>
      <c r="K5929" s="2" t="b">
        <v>0</v>
      </c>
      <c r="L5929" s="2"/>
      <c r="M5929" s="2"/>
      <c r="N5929" s="4" t="s">
        <v>2259</v>
      </c>
      <c r="O5929" s="4" t="str">
        <f>LEFT(Table2[[#This Row],[Description]],75)</f>
        <v>SCHWAB S&amp;P 500 INDEX FD</v>
      </c>
      <c r="P5929" s="2" t="s">
        <v>2276</v>
      </c>
    </row>
    <row r="5930" spans="1:16" hidden="1">
      <c r="A5930" s="2">
        <v>202110</v>
      </c>
      <c r="B5930" s="3">
        <v>44499</v>
      </c>
      <c r="C5930" s="2" t="s">
        <v>2317</v>
      </c>
      <c r="D5930" s="2" t="s">
        <v>1635</v>
      </c>
      <c r="E5930" s="2">
        <v>200</v>
      </c>
      <c r="F5930" s="2" t="e">
        <f>IF(Table2[[#This Row],[Manual Cat Value]]="",VLOOKUP(Table2[[#This Row],[Description]],'Actuals Lookup'!D:F,3,0),Table2[[#This Row],[Manual Cat Value]])</f>
        <v>#N/A</v>
      </c>
      <c r="J5930" s="2">
        <v>200</v>
      </c>
      <c r="K5930" s="2" t="b">
        <v>0</v>
      </c>
      <c r="L5930" s="2"/>
      <c r="M5930" s="2"/>
      <c r="N5930" s="4" t="s">
        <v>2259</v>
      </c>
      <c r="O5930" s="4" t="str">
        <f>LEFT(Table2[[#This Row],[Description]],75)</f>
        <v>SCHWAB TOTAL STOCK MKT INDEX</v>
      </c>
      <c r="P5930" s="2" t="s">
        <v>2278</v>
      </c>
    </row>
    <row r="5931" spans="1:16" hidden="1">
      <c r="A5931" s="2">
        <v>202110</v>
      </c>
      <c r="B5931" s="3">
        <v>44499</v>
      </c>
      <c r="C5931" s="2" t="s">
        <v>2300</v>
      </c>
      <c r="D5931" s="2" t="s">
        <v>1648</v>
      </c>
      <c r="E5931" s="2">
        <v>-100</v>
      </c>
      <c r="F5931" s="2" t="e">
        <f>IF(Table2[[#This Row],[Manual Cat Value]]="",VLOOKUP(Table2[[#This Row],[Description]],'Actuals Lookup'!D:F,3,0),Table2[[#This Row],[Manual Cat Value]])</f>
        <v>#N/A</v>
      </c>
      <c r="J5931" s="2">
        <v>100</v>
      </c>
      <c r="K5931" s="2" t="b">
        <v>0</v>
      </c>
      <c r="L5931" s="2"/>
      <c r="M5931" s="2"/>
      <c r="N5931" s="4" t="s">
        <v>2273</v>
      </c>
      <c r="O5931" s="4" t="str">
        <f>LEFT(Table2[[#This Row],[Description]],75)</f>
        <v>Share</v>
      </c>
      <c r="P5931" s="2" t="s">
        <v>2448</v>
      </c>
    </row>
    <row r="5932" spans="1:16" hidden="1">
      <c r="A5932" s="2">
        <v>202110</v>
      </c>
      <c r="B5932" s="3">
        <v>44499</v>
      </c>
      <c r="C5932" s="2" t="s">
        <v>2262</v>
      </c>
      <c r="D5932" s="2" t="s">
        <v>1653</v>
      </c>
      <c r="E5932" s="2">
        <v>82.57</v>
      </c>
      <c r="F5932" s="2" t="e">
        <f>IF(Table2[[#This Row],[Manual Cat Value]]="",VLOOKUP(Table2[[#This Row],[Description]],'Actuals Lookup'!D:F,3,0),Table2[[#This Row],[Manual Cat Value]])</f>
        <v>#N/A</v>
      </c>
      <c r="J5932" s="2">
        <v>82.57</v>
      </c>
      <c r="K5932" s="2" t="b">
        <v>0</v>
      </c>
      <c r="L5932" s="2"/>
      <c r="M5932" s="2"/>
      <c r="N5932" s="4" t="s">
        <v>2259</v>
      </c>
      <c r="O5932" s="4" t="str">
        <f>LEFT(Table2[[#This Row],[Description]],75)</f>
        <v>Sherwin Williams</v>
      </c>
      <c r="P5932" s="2" t="s">
        <v>2353</v>
      </c>
    </row>
    <row r="5933" spans="1:16" hidden="1">
      <c r="A5933" s="2">
        <v>202110</v>
      </c>
      <c r="B5933" s="3">
        <v>44499</v>
      </c>
      <c r="C5933" s="2" t="s">
        <v>2262</v>
      </c>
      <c r="D5933" s="2" t="s">
        <v>1667</v>
      </c>
      <c r="E5933" s="2">
        <v>66.650000000000006</v>
      </c>
      <c r="F5933" s="2" t="e">
        <f>IF(Table2[[#This Row],[Manual Cat Value]]="",VLOOKUP(Table2[[#This Row],[Description]],'Actuals Lookup'!D:F,3,0),Table2[[#This Row],[Manual Cat Value]])</f>
        <v>#N/A</v>
      </c>
      <c r="J5933" s="2">
        <v>66.650000000000006</v>
      </c>
      <c r="K5933" s="2" t="b">
        <v>0</v>
      </c>
      <c r="L5933" s="2"/>
      <c r="M5933" s="2"/>
      <c r="N5933" s="4" t="s">
        <v>2259</v>
      </c>
      <c r="O5933" s="4" t="str">
        <f>LEFT(Table2[[#This Row],[Description]],75)</f>
        <v>Sir Smoke A Lot Bbq</v>
      </c>
      <c r="P5933" s="2" t="s">
        <v>2281</v>
      </c>
    </row>
    <row r="5934" spans="1:16" hidden="1">
      <c r="A5934" s="2">
        <v>202110</v>
      </c>
      <c r="B5934" s="3">
        <v>44499</v>
      </c>
      <c r="C5934" s="2" t="s">
        <v>2262</v>
      </c>
      <c r="D5934" s="2" t="s">
        <v>1695</v>
      </c>
      <c r="E5934" s="2">
        <v>-130</v>
      </c>
      <c r="F5934" s="2" t="e">
        <f>IF(Table2[[#This Row],[Manual Cat Value]]="",VLOOKUP(Table2[[#This Row],[Description]],'Actuals Lookup'!D:F,3,0),Table2[[#This Row],[Manual Cat Value]])</f>
        <v>#N/A</v>
      </c>
      <c r="J5934" s="2">
        <v>130</v>
      </c>
      <c r="K5934" s="2" t="b">
        <v>0</v>
      </c>
      <c r="L5934" s="2"/>
      <c r="M5934" s="2"/>
      <c r="N5934" s="4" t="s">
        <v>2273</v>
      </c>
      <c r="O5934" s="4" t="str">
        <f>LEFT(Table2[[#This Row],[Description]],75)</f>
        <v>Sp Roolee Httpsrooleemut</v>
      </c>
      <c r="P5934" s="2" t="s">
        <v>2281</v>
      </c>
    </row>
    <row r="5935" spans="1:16" hidden="1">
      <c r="A5935" s="2">
        <v>202110</v>
      </c>
      <c r="B5935" s="3">
        <v>44499</v>
      </c>
      <c r="C5935" s="2" t="s">
        <v>2262</v>
      </c>
      <c r="D5935" s="2" t="s">
        <v>1707</v>
      </c>
      <c r="E5935" s="2">
        <v>19.04</v>
      </c>
      <c r="F5935" s="2" t="str">
        <f>IF(Table2[[#This Row],[Manual Cat Value]]="",VLOOKUP(Table2[[#This Row],[Description]],'Actuals Lookup'!D:F,3,0),Table2[[#This Row],[Manual Cat Value]])</f>
        <v>Transportation</v>
      </c>
      <c r="J5935" s="2">
        <v>19.04</v>
      </c>
      <c r="K5935" s="2" t="b">
        <v>0</v>
      </c>
      <c r="L5935" s="2"/>
      <c r="M5935" s="2"/>
      <c r="N5935" s="4" t="s">
        <v>2259</v>
      </c>
      <c r="O5935" s="4" t="str">
        <f>LEFT(Table2[[#This Row],[Description]],75)</f>
        <v>Speedway</v>
      </c>
      <c r="P5935" s="2" t="s">
        <v>2381</v>
      </c>
    </row>
    <row r="5936" spans="1:16" hidden="1">
      <c r="A5936" s="2">
        <v>202110</v>
      </c>
      <c r="B5936" s="3">
        <v>44499</v>
      </c>
      <c r="C5936" s="2" t="s">
        <v>2262</v>
      </c>
      <c r="D5936" s="2" t="s">
        <v>1707</v>
      </c>
      <c r="E5936" s="2">
        <v>47.19</v>
      </c>
      <c r="F5936" s="2" t="str">
        <f>IF(Table2[[#This Row],[Manual Cat Value]]="",VLOOKUP(Table2[[#This Row],[Description]],'Actuals Lookup'!D:F,3,0),Table2[[#This Row],[Manual Cat Value]])</f>
        <v>Transportation</v>
      </c>
      <c r="J5936" s="2">
        <v>47.19</v>
      </c>
      <c r="K5936" s="2" t="b">
        <v>0</v>
      </c>
      <c r="L5936" s="2"/>
      <c r="M5936" s="2"/>
      <c r="N5936" s="4" t="s">
        <v>2259</v>
      </c>
      <c r="O5936" s="4" t="str">
        <f>LEFT(Table2[[#This Row],[Description]],75)</f>
        <v>Speedway</v>
      </c>
      <c r="P5936" s="2" t="s">
        <v>2381</v>
      </c>
    </row>
    <row r="5937" spans="1:16" hidden="1">
      <c r="A5937" s="2">
        <v>202110</v>
      </c>
      <c r="B5937" s="3">
        <v>44499</v>
      </c>
      <c r="C5937" s="2" t="s">
        <v>2262</v>
      </c>
      <c r="D5937" s="2" t="s">
        <v>1757</v>
      </c>
      <c r="E5937" s="2">
        <v>15.03</v>
      </c>
      <c r="F5937" s="2" t="e">
        <f>IF(Table2[[#This Row],[Manual Cat Value]]="",VLOOKUP(Table2[[#This Row],[Description]],'Actuals Lookup'!D:F,3,0),Table2[[#This Row],[Manual Cat Value]])</f>
        <v>#N/A</v>
      </c>
      <c r="J5937" s="2">
        <v>15.03</v>
      </c>
      <c r="K5937" s="2" t="b">
        <v>0</v>
      </c>
      <c r="L5937" s="2"/>
      <c r="M5937" s="2"/>
      <c r="N5937" s="4" t="s">
        <v>2259</v>
      </c>
      <c r="O5937" s="4" t="str">
        <f>LEFT(Table2[[#This Row],[Description]],75)</f>
        <v>SQ SOTALICIOUS Excelsior MN SQ SOTALICIOUS Excelsior MN</v>
      </c>
      <c r="P5937" s="2" t="s">
        <v>2281</v>
      </c>
    </row>
    <row r="5938" spans="1:16" hidden="1">
      <c r="A5938" s="2">
        <v>202110</v>
      </c>
      <c r="B5938" s="3">
        <v>44499</v>
      </c>
      <c r="C5938" s="2" t="s">
        <v>2317</v>
      </c>
      <c r="D5938" s="2" t="s">
        <v>1786</v>
      </c>
      <c r="E5938" s="2">
        <v>-25.58</v>
      </c>
      <c r="F5938" s="2" t="e">
        <f>IF(Table2[[#This Row],[Manual Cat Value]]="",VLOOKUP(Table2[[#This Row],[Description]],'Actuals Lookup'!D:F,3,0),Table2[[#This Row],[Manual Cat Value]])</f>
        <v>#N/A</v>
      </c>
      <c r="J5938" s="2">
        <v>25.58</v>
      </c>
      <c r="K5938" s="2" t="b">
        <v>0</v>
      </c>
      <c r="L5938" s="2"/>
      <c r="M5938" s="2"/>
      <c r="N5938" s="4" t="s">
        <v>2273</v>
      </c>
      <c r="O5938" s="4" t="str">
        <f>LEFT(Table2[[#This Row],[Description]],75)</f>
        <v>STRYKER CORP</v>
      </c>
      <c r="P5938" s="2" t="s">
        <v>2385</v>
      </c>
    </row>
    <row r="5939" spans="1:16" hidden="1">
      <c r="A5939" s="2">
        <v>202110</v>
      </c>
      <c r="B5939" s="3">
        <v>44499</v>
      </c>
      <c r="C5939" s="2" t="s">
        <v>2317</v>
      </c>
      <c r="D5939" s="2" t="s">
        <v>1797</v>
      </c>
      <c r="E5939" s="2">
        <v>-250</v>
      </c>
      <c r="F5939" s="2" t="e">
        <f>IF(Table2[[#This Row],[Manual Cat Value]]="",VLOOKUP(Table2[[#This Row],[Description]],'Actuals Lookup'!D:F,3,0),Table2[[#This Row],[Manual Cat Value]])</f>
        <v>#N/A</v>
      </c>
      <c r="J5939" s="2">
        <v>250</v>
      </c>
      <c r="K5939" s="2" t="b">
        <v>0</v>
      </c>
      <c r="L5939" s="2"/>
      <c r="M5939" s="2"/>
      <c r="N5939" s="4" t="s">
        <v>2273</v>
      </c>
      <c r="O5939" s="4" t="str">
        <f>LEFT(Table2[[#This Row],[Description]],75)</f>
        <v>SYNTELLIS PERFOR</v>
      </c>
      <c r="P5939" s="2" t="s">
        <v>2385</v>
      </c>
    </row>
    <row r="5940" spans="1:16" hidden="1">
      <c r="A5940" s="2">
        <v>202110</v>
      </c>
      <c r="B5940" s="3">
        <v>44499</v>
      </c>
      <c r="C5940" s="2" t="s">
        <v>2265</v>
      </c>
      <c r="D5940" s="2" t="s">
        <v>1800</v>
      </c>
      <c r="E5940" s="2">
        <v>-3506.75</v>
      </c>
      <c r="F5940" s="2" t="e">
        <f>IF(Table2[[#This Row],[Manual Cat Value]]="",VLOOKUP(Table2[[#This Row],[Description]],'Actuals Lookup'!D:F,3,0),Table2[[#This Row],[Manual Cat Value]])</f>
        <v>#N/A</v>
      </c>
      <c r="J5940" s="2">
        <v>3506.75</v>
      </c>
      <c r="K5940" s="2" t="b">
        <v>0</v>
      </c>
      <c r="L5940" s="2"/>
      <c r="M5940" s="2"/>
      <c r="N5940" s="4" t="s">
        <v>2273</v>
      </c>
      <c r="O5940" s="4" t="str">
        <f>LEFT(Table2[[#This Row],[Description]],75)</f>
        <v>SYNTELLIS PERFOR TYPE DIRECT DEP ID CO SYNTELLIS PERFOR ACH ECC PPD ACH Tra</v>
      </c>
      <c r="P5940" s="2" t="s">
        <v>2281</v>
      </c>
    </row>
    <row r="5941" spans="1:16" hidden="1">
      <c r="A5941" s="2">
        <v>202110</v>
      </c>
      <c r="B5941" s="3">
        <v>44499</v>
      </c>
      <c r="C5941" s="2" t="s">
        <v>2265</v>
      </c>
      <c r="D5941" s="2" t="s">
        <v>31</v>
      </c>
      <c r="E5941" s="2">
        <v>208.57</v>
      </c>
      <c r="F5941" s="2" t="str">
        <f>IF(Table2[[#This Row],[Manual Cat Value]]="",VLOOKUP(Table2[[#This Row],[Description]],'Actuals Lookup'!D:F,3,0),Table2[[#This Row],[Manual Cat Value]])</f>
        <v>Target</v>
      </c>
      <c r="J5941" s="2">
        <v>208.57</v>
      </c>
      <c r="K5941" s="2" t="b">
        <v>0</v>
      </c>
      <c r="L5941" s="2"/>
      <c r="M5941" s="2"/>
      <c r="N5941" s="4" t="s">
        <v>2259</v>
      </c>
      <c r="O5941" s="4" t="str">
        <f>LEFT(Table2[[#This Row],[Description]],75)</f>
        <v>Target</v>
      </c>
      <c r="P5941" s="2" t="s">
        <v>2309</v>
      </c>
    </row>
    <row r="5942" spans="1:16" hidden="1">
      <c r="A5942" s="2">
        <v>202110</v>
      </c>
      <c r="B5942" s="3">
        <v>44499</v>
      </c>
      <c r="C5942" s="2" t="s">
        <v>2359</v>
      </c>
      <c r="D5942" s="2" t="s">
        <v>1819</v>
      </c>
      <c r="E5942" s="2">
        <v>0.17</v>
      </c>
      <c r="F5942" s="2" t="e">
        <f>IF(Table2[[#This Row],[Manual Cat Value]]="",VLOOKUP(Table2[[#This Row],[Description]],'Actuals Lookup'!D:F,3,0),Table2[[#This Row],[Manual Cat Value]])</f>
        <v>#N/A</v>
      </c>
      <c r="J5942" s="2">
        <v>0.17</v>
      </c>
      <c r="K5942" s="2" t="b">
        <v>0</v>
      </c>
      <c r="L5942" s="2"/>
      <c r="M5942" s="2"/>
      <c r="N5942" s="4" t="s">
        <v>2259</v>
      </c>
      <c r="O5942" s="4" t="str">
        <f>LEFT(Table2[[#This Row],[Description]],75)</f>
        <v>Target Retire 2055 Tr P - Fee</v>
      </c>
      <c r="P5942" s="2" t="s">
        <v>2479</v>
      </c>
    </row>
    <row r="5943" spans="1:16" hidden="1">
      <c r="A5943" s="2">
        <v>202110</v>
      </c>
      <c r="B5943" s="3">
        <v>44499</v>
      </c>
      <c r="C5943" s="2" t="s">
        <v>2338</v>
      </c>
      <c r="D5943" s="2" t="s">
        <v>1819</v>
      </c>
      <c r="E5943" s="2">
        <v>4.13</v>
      </c>
      <c r="F5943" s="2" t="e">
        <f>IF(Table2[[#This Row],[Manual Cat Value]]="",VLOOKUP(Table2[[#This Row],[Description]],'Actuals Lookup'!D:F,3,0),Table2[[#This Row],[Manual Cat Value]])</f>
        <v>#N/A</v>
      </c>
      <c r="J5943" s="2">
        <v>4.13</v>
      </c>
      <c r="K5943" s="2" t="b">
        <v>0</v>
      </c>
      <c r="L5943" s="2"/>
      <c r="M5943" s="2"/>
      <c r="N5943" s="4" t="s">
        <v>2259</v>
      </c>
      <c r="O5943" s="4" t="str">
        <f>LEFT(Table2[[#This Row],[Description]],75)</f>
        <v>Target Retire 2055 Tr P - Fee</v>
      </c>
      <c r="P5943" s="2" t="s">
        <v>2479</v>
      </c>
    </row>
    <row r="5944" spans="1:16" hidden="1">
      <c r="A5944" s="2">
        <v>202110</v>
      </c>
      <c r="B5944" s="3">
        <v>44499</v>
      </c>
      <c r="C5944" s="2" t="s">
        <v>2434</v>
      </c>
      <c r="D5944" s="2" t="s">
        <v>1835</v>
      </c>
      <c r="E5944" s="2">
        <v>-231</v>
      </c>
      <c r="F5944" s="2" t="e">
        <f>IF(Table2[[#This Row],[Manual Cat Value]]="",VLOOKUP(Table2[[#This Row],[Description]],'Actuals Lookup'!D:F,3,0),Table2[[#This Row],[Manual Cat Value]])</f>
        <v>#N/A</v>
      </c>
      <c r="J5944" s="2">
        <v>231</v>
      </c>
      <c r="K5944" s="2" t="b">
        <v>0</v>
      </c>
      <c r="L5944" s="2"/>
      <c r="M5944" s="2"/>
      <c r="N5944" s="4" t="s">
        <v>2273</v>
      </c>
      <c r="O5944" s="4" t="str">
        <f>LEFT(Table2[[#This Row],[Description]],75)</f>
        <v>Tfr JPMORGAN CHASE BAN, CARGILL INCORPOR</v>
      </c>
      <c r="P5944" s="2" t="s">
        <v>2281</v>
      </c>
    </row>
    <row r="5945" spans="1:16" hidden="1">
      <c r="A5945" s="2">
        <v>202110</v>
      </c>
      <c r="B5945" s="3">
        <v>44499</v>
      </c>
      <c r="C5945" s="2" t="s">
        <v>2434</v>
      </c>
      <c r="D5945" s="2" t="s">
        <v>1835</v>
      </c>
      <c r="E5945" s="2">
        <v>-231</v>
      </c>
      <c r="F5945" s="2" t="e">
        <f>IF(Table2[[#This Row],[Manual Cat Value]]="",VLOOKUP(Table2[[#This Row],[Description]],'Actuals Lookup'!D:F,3,0),Table2[[#This Row],[Manual Cat Value]])</f>
        <v>#N/A</v>
      </c>
      <c r="J5945" s="2">
        <v>231</v>
      </c>
      <c r="K5945" s="2" t="b">
        <v>0</v>
      </c>
      <c r="L5945" s="2"/>
      <c r="M5945" s="2"/>
      <c r="N5945" s="4" t="s">
        <v>2273</v>
      </c>
      <c r="O5945" s="4" t="str">
        <f>LEFT(Table2[[#This Row],[Description]],75)</f>
        <v>Tfr JPMORGAN CHASE BAN, CARGILL INCORPOR</v>
      </c>
      <c r="P5945" s="2" t="s">
        <v>2281</v>
      </c>
    </row>
    <row r="5946" spans="1:16" hidden="1">
      <c r="A5946" s="2">
        <v>202110</v>
      </c>
      <c r="B5946" s="3">
        <v>44499</v>
      </c>
      <c r="C5946" s="2" t="s">
        <v>2435</v>
      </c>
      <c r="D5946" s="2" t="s">
        <v>1836</v>
      </c>
      <c r="E5946" s="2">
        <v>-250</v>
      </c>
      <c r="F5946" s="2" t="e">
        <f>IF(Table2[[#This Row],[Manual Cat Value]]="",VLOOKUP(Table2[[#This Row],[Description]],'Actuals Lookup'!D:F,3,0),Table2[[#This Row],[Manual Cat Value]])</f>
        <v>#N/A</v>
      </c>
      <c r="J5946" s="2">
        <v>250</v>
      </c>
      <c r="K5946" s="2" t="b">
        <v>0</v>
      </c>
      <c r="L5946" s="2"/>
      <c r="M5946" s="2"/>
      <c r="N5946" s="4" t="s">
        <v>2273</v>
      </c>
      <c r="O5946" s="4" t="str">
        <f>LEFT(Table2[[#This Row],[Description]],75)</f>
        <v>Tfr JPMORGAN CHASE BAN, CONNECTED ANALYT</v>
      </c>
      <c r="P5946" s="2" t="s">
        <v>2493</v>
      </c>
    </row>
    <row r="5947" spans="1:16" hidden="1">
      <c r="A5947" s="2">
        <v>202110</v>
      </c>
      <c r="B5947" s="3">
        <v>44499</v>
      </c>
      <c r="C5947" s="2" t="s">
        <v>2435</v>
      </c>
      <c r="D5947" s="2" t="s">
        <v>1838</v>
      </c>
      <c r="E5947" s="2">
        <v>-250</v>
      </c>
      <c r="F5947" s="2" t="e">
        <f>IF(Table2[[#This Row],[Manual Cat Value]]="",VLOOKUP(Table2[[#This Row],[Description]],'Actuals Lookup'!D:F,3,0),Table2[[#This Row],[Manual Cat Value]])</f>
        <v>#N/A</v>
      </c>
      <c r="J5947" s="2">
        <v>250</v>
      </c>
      <c r="K5947" s="2" t="b">
        <v>0</v>
      </c>
      <c r="L5947" s="2"/>
      <c r="M5947" s="2"/>
      <c r="N5947" s="4" t="s">
        <v>2273</v>
      </c>
      <c r="O5947" s="4" t="str">
        <f>LEFT(Table2[[#This Row],[Description]],75)</f>
        <v>Tfr JPMORGAN CHASE BAN, SYNTELLIS PERFOR</v>
      </c>
      <c r="P5947" s="2" t="s">
        <v>2281</v>
      </c>
    </row>
    <row r="5948" spans="1:16" hidden="1">
      <c r="A5948" s="2">
        <v>202110</v>
      </c>
      <c r="B5948" s="3">
        <v>44499</v>
      </c>
      <c r="C5948" s="2" t="s">
        <v>2265</v>
      </c>
      <c r="D5948" s="2" t="s">
        <v>1892</v>
      </c>
      <c r="E5948" s="2">
        <v>100</v>
      </c>
      <c r="F5948" s="2" t="e">
        <f>IF(Table2[[#This Row],[Manual Cat Value]]="",VLOOKUP(Table2[[#This Row],[Description]],'Actuals Lookup'!D:F,3,0),Table2[[#This Row],[Manual Cat Value]])</f>
        <v>#N/A</v>
      </c>
      <c r="J5948" s="2">
        <v>100</v>
      </c>
      <c r="K5948" s="2" t="b">
        <v>0</v>
      </c>
      <c r="L5948" s="2"/>
      <c r="M5948" s="2"/>
      <c r="N5948" s="4" t="s">
        <v>2259</v>
      </c>
      <c r="O5948" s="4" t="str">
        <f>LEFT(Table2[[#This Row],[Description]],75)</f>
        <v>To Share 12</v>
      </c>
      <c r="P5948" s="2" t="s">
        <v>2494</v>
      </c>
    </row>
    <row r="5949" spans="1:16" hidden="1">
      <c r="A5949" s="2">
        <v>202110</v>
      </c>
      <c r="B5949" s="3">
        <v>44499</v>
      </c>
      <c r="C5949" s="2" t="s">
        <v>2262</v>
      </c>
      <c r="D5949" s="2" t="s">
        <v>1913</v>
      </c>
      <c r="E5949" s="2">
        <v>390.32</v>
      </c>
      <c r="F5949" s="2" t="e">
        <f>IF(Table2[[#This Row],[Manual Cat Value]]="",VLOOKUP(Table2[[#This Row],[Description]],'Actuals Lookup'!D:F,3,0),Table2[[#This Row],[Manual Cat Value]])</f>
        <v>#N/A</v>
      </c>
      <c r="J5949" s="2">
        <v>390.32</v>
      </c>
      <c r="K5949" s="2" t="b">
        <v>0</v>
      </c>
      <c r="L5949" s="2"/>
      <c r="M5949" s="2"/>
      <c r="N5949" s="4" t="s">
        <v>2259</v>
      </c>
      <c r="O5949" s="4" t="str">
        <f>LEFT(Table2[[#This Row],[Description]],75)</f>
        <v>TOCK ATTRAVAIL KITCHE TRAVAILKIT TOCK ATTRAVAIL KITCHE TRAVAILKITCH IL</v>
      </c>
      <c r="P5949" s="2" t="s">
        <v>2281</v>
      </c>
    </row>
    <row r="5950" spans="1:16" hidden="1">
      <c r="A5950" s="2">
        <v>202110</v>
      </c>
      <c r="B5950" s="3">
        <v>44499</v>
      </c>
      <c r="C5950" s="2" t="s">
        <v>2262</v>
      </c>
      <c r="D5950" s="2" t="s">
        <v>1929</v>
      </c>
      <c r="E5950" s="2">
        <v>880.72</v>
      </c>
      <c r="F5950" s="2" t="str">
        <f>IF(Table2[[#This Row],[Manual Cat Value]]="",VLOOKUP(Table2[[#This Row],[Description]],'Actuals Lookup'!D:F,3,0),Table2[[#This Row],[Manual Cat Value]])</f>
        <v>Transportation</v>
      </c>
      <c r="J5950" s="2">
        <v>880.72</v>
      </c>
      <c r="K5950" s="2" t="b">
        <v>0</v>
      </c>
      <c r="L5950" s="2"/>
      <c r="M5950" s="2"/>
      <c r="N5950" s="4" t="s">
        <v>2259</v>
      </c>
      <c r="O5950" s="4" t="str">
        <f>LEFT(Table2[[#This Row],[Description]],75)</f>
        <v>Toyota</v>
      </c>
      <c r="P5950" s="2" t="s">
        <v>2281</v>
      </c>
    </row>
    <row r="5951" spans="1:16" hidden="1">
      <c r="A5951" s="2">
        <v>202110</v>
      </c>
      <c r="B5951" s="3">
        <v>44499</v>
      </c>
      <c r="C5951" s="2" t="s">
        <v>2265</v>
      </c>
      <c r="D5951" s="2" t="s">
        <v>1935</v>
      </c>
      <c r="E5951" s="2">
        <v>-4.5999999999999996</v>
      </c>
      <c r="F5951" s="2" t="e">
        <f>IF(Table2[[#This Row],[Manual Cat Value]]="",VLOOKUP(Table2[[#This Row],[Description]],'Actuals Lookup'!D:F,3,0),Table2[[#This Row],[Manual Cat Value]])</f>
        <v>#N/A</v>
      </c>
      <c r="J5951" s="2">
        <v>4.5999999999999996</v>
      </c>
      <c r="K5951" s="2" t="b">
        <v>0</v>
      </c>
      <c r="L5951" s="2"/>
      <c r="M5951" s="2"/>
      <c r="N5951" s="4" t="s">
        <v>2273</v>
      </c>
      <c r="O5951" s="4" t="str">
        <f>LEFT(Table2[[#This Row],[Description]],75)</f>
        <v>Transfer from PayPal PAYPAL TYPE TRANSFER ID PAYPALSD11 CO PAYPAL ACH ECC P</v>
      </c>
      <c r="P5951" s="2" t="s">
        <v>2322</v>
      </c>
    </row>
    <row r="5952" spans="1:16" hidden="1">
      <c r="A5952" s="2">
        <v>202110</v>
      </c>
      <c r="B5952" s="3">
        <v>44499</v>
      </c>
      <c r="C5952" s="2" t="s">
        <v>2262</v>
      </c>
      <c r="D5952" s="2" t="s">
        <v>1992</v>
      </c>
      <c r="E5952" s="2">
        <v>100.24</v>
      </c>
      <c r="F5952" s="2" t="e">
        <f>IF(Table2[[#This Row],[Manual Cat Value]]="",VLOOKUP(Table2[[#This Row],[Description]],'Actuals Lookup'!D:F,3,0),Table2[[#This Row],[Manual Cat Value]])</f>
        <v>#N/A</v>
      </c>
      <c r="J5952" s="2">
        <v>100.24</v>
      </c>
      <c r="K5952" s="2" t="b">
        <v>0</v>
      </c>
      <c r="L5952" s="2"/>
      <c r="M5952" s="2"/>
      <c r="N5952" s="4" t="s">
        <v>2259</v>
      </c>
      <c r="O5952" s="4" t="str">
        <f>LEFT(Table2[[#This Row],[Description]],75)</f>
        <v>TRAVAIL KITCHEN ROBBINSDALE MN TRAVAIL KITCHEN ROBBINSDALE MN</v>
      </c>
      <c r="P5952" s="2" t="s">
        <v>2281</v>
      </c>
    </row>
    <row r="5953" spans="1:16" hidden="1">
      <c r="A5953" s="2">
        <v>202110</v>
      </c>
      <c r="B5953" s="3">
        <v>44499</v>
      </c>
      <c r="C5953" s="2" t="s">
        <v>2262</v>
      </c>
      <c r="D5953" s="2" t="s">
        <v>2002</v>
      </c>
      <c r="E5953" s="2">
        <v>21.07</v>
      </c>
      <c r="F5953" s="2" t="e">
        <f>IF(Table2[[#This Row],[Manual Cat Value]]="",VLOOKUP(Table2[[#This Row],[Description]],'Actuals Lookup'!D:F,3,0),Table2[[#This Row],[Manual Cat Value]])</f>
        <v>#N/A</v>
      </c>
      <c r="J5953" s="2">
        <v>21.07</v>
      </c>
      <c r="K5953" s="2" t="b">
        <v>0</v>
      </c>
      <c r="L5953" s="2"/>
      <c r="M5953" s="2"/>
      <c r="N5953" s="4" t="s">
        <v>2259</v>
      </c>
      <c r="O5953" s="4" t="str">
        <f>LEFT(Table2[[#This Row],[Description]],75)</f>
        <v>True Value</v>
      </c>
      <c r="P5953" s="2" t="s">
        <v>2490</v>
      </c>
    </row>
    <row r="5954" spans="1:16" hidden="1">
      <c r="A5954" s="2">
        <v>202110</v>
      </c>
      <c r="B5954" s="3">
        <v>44499</v>
      </c>
      <c r="C5954" s="2" t="s">
        <v>2262</v>
      </c>
      <c r="D5954" s="2" t="s">
        <v>2020</v>
      </c>
      <c r="E5954" s="2">
        <v>18.48</v>
      </c>
      <c r="F5954" s="2" t="e">
        <f>IF(Table2[[#This Row],[Manual Cat Value]]="",VLOOKUP(Table2[[#This Row],[Description]],'Actuals Lookup'!D:F,3,0),Table2[[#This Row],[Manual Cat Value]])</f>
        <v>#N/A</v>
      </c>
      <c r="J5954" s="2">
        <v>18.48</v>
      </c>
      <c r="K5954" s="2" t="b">
        <v>0</v>
      </c>
      <c r="L5954" s="2"/>
      <c r="M5954" s="2"/>
      <c r="N5954" s="4" t="s">
        <v>2259</v>
      </c>
      <c r="O5954" s="4" t="str">
        <f>LEFT(Table2[[#This Row],[Description]],75)</f>
        <v>TST LAGOS TACOS EXCELSIOEXCELSIOR MN</v>
      </c>
      <c r="P5954" s="2" t="s">
        <v>2281</v>
      </c>
    </row>
    <row r="5955" spans="1:16" hidden="1">
      <c r="A5955" s="2">
        <v>202110</v>
      </c>
      <c r="B5955" s="3">
        <v>44499</v>
      </c>
      <c r="C5955" s="2" t="s">
        <v>2262</v>
      </c>
      <c r="D5955" s="2" t="s">
        <v>2021</v>
      </c>
      <c r="E5955" s="2">
        <v>33.08</v>
      </c>
      <c r="F5955" s="2" t="e">
        <f>IF(Table2[[#This Row],[Manual Cat Value]]="",VLOOKUP(Table2[[#This Row],[Description]],'Actuals Lookup'!D:F,3,0),Table2[[#This Row],[Manual Cat Value]])</f>
        <v>#N/A</v>
      </c>
      <c r="J5955" s="2">
        <v>33.08</v>
      </c>
      <c r="K5955" s="2" t="b">
        <v>0</v>
      </c>
      <c r="L5955" s="2"/>
      <c r="M5955" s="2"/>
      <c r="N5955" s="4" t="s">
        <v>2259</v>
      </c>
      <c r="O5955" s="4" t="str">
        <f>LEFT(Table2[[#This Row],[Description]],75)</f>
        <v>TST LAGOS TACOS EXCELSIOXX8495 M TST LAGOS TACOS EXCELSIO9523008495 MN</v>
      </c>
      <c r="P5955" s="2" t="s">
        <v>2281</v>
      </c>
    </row>
    <row r="5956" spans="1:16" hidden="1">
      <c r="A5956" s="2">
        <v>202110</v>
      </c>
      <c r="B5956" s="3">
        <v>44499</v>
      </c>
      <c r="C5956" s="2" t="s">
        <v>2262</v>
      </c>
      <c r="D5956" s="2" t="s">
        <v>2063</v>
      </c>
      <c r="E5956" s="2">
        <v>51</v>
      </c>
      <c r="F5956" s="2" t="e">
        <f>IF(Table2[[#This Row],[Manual Cat Value]]="",VLOOKUP(Table2[[#This Row],[Description]],'Actuals Lookup'!D:F,3,0),Table2[[#This Row],[Manual Cat Value]])</f>
        <v>#N/A</v>
      </c>
      <c r="J5956" s="2">
        <v>51</v>
      </c>
      <c r="K5956" s="2" t="b">
        <v>0</v>
      </c>
      <c r="L5956" s="2"/>
      <c r="M5956" s="2"/>
      <c r="N5956" s="4" t="s">
        <v>2259</v>
      </c>
      <c r="O5956" s="4" t="str">
        <f>LEFT(Table2[[#This Row],[Description]],75)</f>
        <v>Twin Cities In Motion</v>
      </c>
      <c r="P5956" s="2" t="s">
        <v>2281</v>
      </c>
    </row>
    <row r="5957" spans="1:16" hidden="1">
      <c r="A5957" s="2">
        <v>202110</v>
      </c>
      <c r="B5957" s="3">
        <v>44499</v>
      </c>
      <c r="C5957" s="2" t="s">
        <v>2262</v>
      </c>
      <c r="D5957" s="2" t="s">
        <v>2138</v>
      </c>
      <c r="E5957" s="2">
        <v>38.270000000000003</v>
      </c>
      <c r="F5957" s="2" t="e">
        <f>IF(Table2[[#This Row],[Manual Cat Value]]="",VLOOKUP(Table2[[#This Row],[Description]],'Actuals Lookup'!D:F,3,0),Table2[[#This Row],[Manual Cat Value]])</f>
        <v>#N/A</v>
      </c>
      <c r="J5957" s="2">
        <v>38.270000000000003</v>
      </c>
      <c r="K5957" s="2" t="b">
        <v>0</v>
      </c>
      <c r="L5957" s="2"/>
      <c r="M5957" s="2"/>
      <c r="N5957" s="4" t="s">
        <v>2259</v>
      </c>
      <c r="O5957" s="4" t="str">
        <f>LEFT(Table2[[#This Row],[Description]],75)</f>
        <v>Wal-Mart</v>
      </c>
      <c r="P5957" s="2" t="s">
        <v>2296</v>
      </c>
    </row>
    <row r="5958" spans="1:16" hidden="1">
      <c r="A5958" s="2">
        <v>202110</v>
      </c>
      <c r="B5958" s="3">
        <v>44499</v>
      </c>
      <c r="C5958" s="2" t="s">
        <v>2265</v>
      </c>
      <c r="D5958" s="2" t="s">
        <v>2147</v>
      </c>
      <c r="E5958" s="2">
        <v>253</v>
      </c>
      <c r="F5958" s="2" t="e">
        <f>IF(Table2[[#This Row],[Manual Cat Value]]="",VLOOKUP(Table2[[#This Row],[Description]],'Actuals Lookup'!D:F,3,0),Table2[[#This Row],[Manual Cat Value]])</f>
        <v>#N/A</v>
      </c>
      <c r="J5958" s="2">
        <v>253</v>
      </c>
      <c r="K5958" s="2" t="b">
        <v>0</v>
      </c>
      <c r="L5958" s="2"/>
      <c r="M5958" s="2"/>
      <c r="N5958" s="4" t="s">
        <v>2259</v>
      </c>
      <c r="O5958" s="4" t="str">
        <f>LEFT(Table2[[#This Row],[Description]],75)</f>
        <v>Wells Fargo Bank</v>
      </c>
      <c r="P5958" s="2" t="s">
        <v>2281</v>
      </c>
    </row>
    <row r="5959" spans="1:16" hidden="1">
      <c r="A5959" s="2">
        <v>202110</v>
      </c>
      <c r="B5959" s="3">
        <v>44499</v>
      </c>
      <c r="C5959" s="2" t="s">
        <v>2447</v>
      </c>
      <c r="D5959" s="2" t="s">
        <v>458</v>
      </c>
      <c r="E5959" s="2">
        <v>-79.27</v>
      </c>
      <c r="F5959" s="2" t="e">
        <f>IF(Table2[[#This Row],[Manual Cat Value]]="",VLOOKUP(Table2[[#This Row],[Description]],'Actuals Lookup'!D:F,3,0),Table2[[#This Row],[Manual Cat Value]])</f>
        <v>#N/A</v>
      </c>
      <c r="J5959" s="2">
        <v>79.27</v>
      </c>
      <c r="K5959" s="2" t="b">
        <v>0</v>
      </c>
      <c r="L5959" s="2"/>
      <c r="M5959" s="2"/>
      <c r="N5959" s="4" t="s">
        <v>2273</v>
      </c>
      <c r="O5959" s="4" t="str">
        <f>LEFT(Table2[[#This Row],[Description]],75)</f>
        <v>CASHBACK BONUS REDEMPTION payment/STMT CRDT</v>
      </c>
      <c r="P5959" s="2" t="s">
        <v>2304</v>
      </c>
    </row>
    <row r="5960" spans="1:16" hidden="1">
      <c r="A5960" s="2">
        <v>202110</v>
      </c>
      <c r="B5960" s="3">
        <v>44499</v>
      </c>
      <c r="C5960" s="2" t="s">
        <v>2262</v>
      </c>
      <c r="D5960" s="2" t="s">
        <v>674</v>
      </c>
      <c r="E5960" s="2">
        <v>-1651.38</v>
      </c>
      <c r="F5960" s="2" t="e">
        <f>IF(Table2[[#This Row],[Manual Cat Value]]="",VLOOKUP(Table2[[#This Row],[Description]],'Actuals Lookup'!D:F,3,0),Table2[[#This Row],[Manual Cat Value]])</f>
        <v>#N/A</v>
      </c>
      <c r="J5960" s="2">
        <v>1651.38</v>
      </c>
      <c r="K5960" s="2" t="b">
        <v>0</v>
      </c>
      <c r="L5960" s="2"/>
      <c r="M5960" s="2"/>
      <c r="N5960" s="4" t="s">
        <v>2273</v>
      </c>
      <c r="O5960" s="4" t="str">
        <f>LEFT(Table2[[#This Row],[Description]],75)</f>
        <v>Credit Card Payment Received PAYMENT THANK YOU</v>
      </c>
      <c r="P5960" s="2" t="s">
        <v>2560</v>
      </c>
    </row>
    <row r="5961" spans="1:16" hidden="1">
      <c r="A5961" s="2">
        <v>202110</v>
      </c>
      <c r="B5961" s="3">
        <v>44499</v>
      </c>
      <c r="C5961" s="2" t="s">
        <v>2447</v>
      </c>
      <c r="D5961" s="2" t="s">
        <v>997</v>
      </c>
      <c r="E5961" s="2">
        <v>-158.66999999999999</v>
      </c>
      <c r="F5961" s="2" t="str">
        <f>IF(Table2[[#This Row],[Manual Cat Value]]="",VLOOKUP(Table2[[#This Row],[Description]],'Actuals Lookup'!D:F,3,0),Table2[[#This Row],[Manual Cat Value]])</f>
        <v>Delete</v>
      </c>
      <c r="J5961" s="2">
        <v>158.66999999999999</v>
      </c>
      <c r="K5961" s="2" t="b">
        <v>0</v>
      </c>
      <c r="L5961" s="2"/>
      <c r="M5961" s="2"/>
      <c r="N5961" s="4" t="s">
        <v>2273</v>
      </c>
      <c r="O5961" s="4" t="str">
        <f>LEFT(Table2[[#This Row],[Description]],75)</f>
        <v>INTERNET PAYMENT - THANK YOU</v>
      </c>
      <c r="P5961" s="2" t="s">
        <v>2291</v>
      </c>
    </row>
    <row r="5962" spans="1:16" hidden="1">
      <c r="A5962" s="2">
        <v>202110</v>
      </c>
      <c r="B5962" s="3">
        <v>44499</v>
      </c>
      <c r="C5962" s="2" t="s">
        <v>2262</v>
      </c>
      <c r="D5962" s="2" t="s">
        <v>1423</v>
      </c>
      <c r="E5962" s="2">
        <v>-1076.55</v>
      </c>
      <c r="F5962" s="2" t="e">
        <f>IF(Table2[[#This Row],[Manual Cat Value]]="",VLOOKUP(Table2[[#This Row],[Description]],'Actuals Lookup'!D:F,3,0),Table2[[#This Row],[Manual Cat Value]])</f>
        <v>#N/A</v>
      </c>
      <c r="J5962" s="2">
        <v>1076.55</v>
      </c>
      <c r="K5962" s="2" t="b">
        <v>0</v>
      </c>
      <c r="L5962" s="2"/>
      <c r="M5962" s="2"/>
      <c r="N5962" s="4" t="s">
        <v>2273</v>
      </c>
      <c r="O5962" s="4" t="str">
        <f>LEFT(Table2[[#This Row],[Description]],75)</f>
        <v>PAYMENT THANK YOU</v>
      </c>
      <c r="P5962" s="2" t="s">
        <v>2391</v>
      </c>
    </row>
    <row r="5963" spans="1:16" hidden="1">
      <c r="A5963" s="2">
        <v>202110</v>
      </c>
      <c r="B5963" s="3">
        <v>44499</v>
      </c>
      <c r="C5963" s="2" t="s">
        <v>2265</v>
      </c>
      <c r="D5963" s="2" t="s">
        <v>1809</v>
      </c>
      <c r="E5963" s="2">
        <v>-90</v>
      </c>
      <c r="F5963" s="2" t="e">
        <f>IF(Table2[[#This Row],[Manual Cat Value]]="",VLOOKUP(Table2[[#This Row],[Description]],'Actuals Lookup'!D:F,3,0),Table2[[#This Row],[Manual Cat Value]])</f>
        <v>#N/A</v>
      </c>
      <c r="J5963" s="2">
        <v>90</v>
      </c>
      <c r="K5963" s="2" t="b">
        <v>0</v>
      </c>
      <c r="L5963" s="2"/>
      <c r="M5963" s="2"/>
      <c r="N5963" s="4" t="s">
        <v>2273</v>
      </c>
      <c r="O5963" s="4" t="str">
        <f>LEFT(Table2[[#This Row],[Description]],75)</f>
        <v>SYNTELLIS TYPE ID CO SYNTELLIS A SYNTELLIS TYPE PAYMENT ID CO SYNTELLIS ACH</v>
      </c>
      <c r="P5963" s="2" t="s">
        <v>2281</v>
      </c>
    </row>
    <row r="5964" spans="1:16" hidden="1">
      <c r="A5964" s="2">
        <v>202110</v>
      </c>
      <c r="B5964" s="3">
        <v>44499</v>
      </c>
      <c r="C5964" s="2" t="s">
        <v>2265</v>
      </c>
      <c r="D5964" s="2" t="s">
        <v>1968</v>
      </c>
      <c r="E5964" s="2">
        <v>82</v>
      </c>
      <c r="F5964" s="2" t="e">
        <f>IF(Table2[[#This Row],[Manual Cat Value]]="",VLOOKUP(Table2[[#This Row],[Description]],'Actuals Lookup'!D:F,3,0),Table2[[#This Row],[Manual Cat Value]])</f>
        <v>#N/A</v>
      </c>
      <c r="J5964" s="2">
        <v>82</v>
      </c>
      <c r="K5964" s="2" t="b">
        <v>0</v>
      </c>
      <c r="L5964" s="2"/>
      <c r="M5964" s="2"/>
      <c r="N5964" s="4" t="s">
        <v>2259</v>
      </c>
      <c r="O5964" s="4" t="str">
        <f>LEFT(Table2[[#This Row],[Description]],75)</f>
        <v>Transfer to Venmo VENMO TYPE PAYMENT ID CO VENMO ACH ECC WEB ACH Trace 4240</v>
      </c>
      <c r="P5964" s="2" t="s">
        <v>2281</v>
      </c>
    </row>
    <row r="5965" spans="1:16" hidden="1">
      <c r="A5965" s="2">
        <v>202110</v>
      </c>
      <c r="B5965" s="3">
        <v>44499</v>
      </c>
      <c r="C5965" s="2" t="s">
        <v>2265</v>
      </c>
      <c r="D5965" s="2" t="s">
        <v>1977</v>
      </c>
      <c r="E5965" s="2">
        <v>150</v>
      </c>
      <c r="F5965" s="2" t="e">
        <f>IF(Table2[[#This Row],[Manual Cat Value]]="",VLOOKUP(Table2[[#This Row],[Description]],'Actuals Lookup'!D:F,3,0),Table2[[#This Row],[Manual Cat Value]])</f>
        <v>#N/A</v>
      </c>
      <c r="J5965" s="2">
        <v>150</v>
      </c>
      <c r="K5965" s="2" t="b">
        <v>0</v>
      </c>
      <c r="L5965" s="2"/>
      <c r="M5965" s="2"/>
      <c r="N5965" s="4" t="s">
        <v>2259</v>
      </c>
      <c r="O5965" s="4" t="str">
        <f>LEFT(Table2[[#This Row],[Description]],75)</f>
        <v>Transfer to Venmo VENMO TYPE PAYMENT ID CO VENMO ACH ECC WEB ACH Trace 8210</v>
      </c>
      <c r="P5965" s="2" t="s">
        <v>2281</v>
      </c>
    </row>
    <row r="5966" spans="1:16" hidden="1">
      <c r="A5966" s="2">
        <v>202110</v>
      </c>
      <c r="B5966" s="3">
        <v>44499</v>
      </c>
      <c r="C5966" s="2" t="s">
        <v>2265</v>
      </c>
      <c r="D5966" s="2" t="s">
        <v>2203</v>
      </c>
      <c r="E5966" s="2">
        <v>1076.55</v>
      </c>
      <c r="F5966" s="2" t="e">
        <f>IF(Table2[[#This Row],[Manual Cat Value]]="",VLOOKUP(Table2[[#This Row],[Description]],'Actuals Lookup'!D:F,3,0),Table2[[#This Row],[Manual Cat Value]])</f>
        <v>#N/A</v>
      </c>
      <c r="J5966" s="2">
        <v>1076.55</v>
      </c>
      <c r="K5966" s="2" t="b">
        <v>0</v>
      </c>
      <c r="L5966" s="2"/>
      <c r="M5966" s="2"/>
      <c r="N5966" s="4" t="s">
        <v>2259</v>
      </c>
      <c r="O5966" s="4" t="str">
        <f>LEFT(Table2[[#This Row],[Description]],75)</f>
        <v>Withdrawal Home payment to card XX91 Withdrawal Home payment to card 979181</v>
      </c>
      <c r="P5966" s="2" t="s">
        <v>2559</v>
      </c>
    </row>
    <row r="5967" spans="1:16" hidden="1">
      <c r="A5967" s="2">
        <v>202110</v>
      </c>
      <c r="B5967" s="3">
        <v>44499</v>
      </c>
      <c r="C5967" s="2" t="s">
        <v>2265</v>
      </c>
      <c r="D5967" s="2" t="s">
        <v>2203</v>
      </c>
      <c r="E5967" s="2">
        <v>1651.38</v>
      </c>
      <c r="F5967" s="2" t="e">
        <f>IF(Table2[[#This Row],[Manual Cat Value]]="",VLOOKUP(Table2[[#This Row],[Description]],'Actuals Lookup'!D:F,3,0),Table2[[#This Row],[Manual Cat Value]])</f>
        <v>#N/A</v>
      </c>
      <c r="J5967" s="2">
        <v>1651.38</v>
      </c>
      <c r="K5967" s="2" t="b">
        <v>0</v>
      </c>
      <c r="L5967" s="2"/>
      <c r="M5967" s="2"/>
      <c r="N5967" s="4" t="s">
        <v>2259</v>
      </c>
      <c r="O5967" s="4" t="str">
        <f>LEFT(Table2[[#This Row],[Description]],75)</f>
        <v>Withdrawal Home payment to card XX91 Withdrawal Home payment to card 979181</v>
      </c>
      <c r="P5967" s="2" t="s">
        <v>2559</v>
      </c>
    </row>
    <row r="5968" spans="1:16" hidden="1">
      <c r="A5968" s="2">
        <v>202111</v>
      </c>
      <c r="B5968" s="3">
        <v>44501</v>
      </c>
      <c r="C5968" s="2" t="s">
        <v>2265</v>
      </c>
      <c r="D5968" s="2" t="s">
        <v>740</v>
      </c>
      <c r="E5968" s="2">
        <v>158.66999999999999</v>
      </c>
      <c r="F5968" s="2" t="e">
        <f>IF(Table2[[#This Row],[Manual Cat Value]]="",VLOOKUP(Table2[[#This Row],[Description]],'Actuals Lookup'!D:F,3,0),Table2[[#This Row],[Manual Cat Value]])</f>
        <v>#N/A</v>
      </c>
      <c r="J5968" s="2">
        <v>158.66999999999999</v>
      </c>
      <c r="K5968" s="2" t="b">
        <v>0</v>
      </c>
      <c r="L5968" s="2"/>
      <c r="M5968" s="2"/>
      <c r="N5968" s="4" t="s">
        <v>2259</v>
      </c>
      <c r="O5968" s="4" t="str">
        <f>LEFT(Table2[[#This Row],[Description]],75)</f>
        <v>Discover Bank DISCOVER TYPE EPAYMENT ID CO DISCOVER ACH ECC WEB ACH Trace 2</v>
      </c>
      <c r="P5968" s="2" t="s">
        <v>2293</v>
      </c>
    </row>
    <row r="5969" spans="1:16" hidden="1">
      <c r="A5969" s="2">
        <v>202111</v>
      </c>
      <c r="B5969" s="3">
        <v>44501</v>
      </c>
      <c r="C5969" s="2" t="s">
        <v>2270</v>
      </c>
      <c r="D5969" s="2" t="s">
        <v>1410</v>
      </c>
      <c r="E5969" s="2">
        <v>-748.69</v>
      </c>
      <c r="F5969" s="2" t="str">
        <f>IF(Table2[[#This Row],[Manual Cat Value]]="",VLOOKUP(Table2[[#This Row],[Description]],'Actuals Lookup'!D:F,3,0),Table2[[#This Row],[Manual Cat Value]])</f>
        <v>Delete</v>
      </c>
      <c r="J5969" s="2">
        <v>748.69</v>
      </c>
      <c r="K5969" s="2" t="b">
        <v>0</v>
      </c>
      <c r="L5969" s="2"/>
      <c r="M5969" s="2"/>
      <c r="N5969" s="4" t="s">
        <v>2273</v>
      </c>
      <c r="O5969" s="4" t="str">
        <f>LEFT(Table2[[#This Row],[Description]],75)</f>
        <v>PAYMENT</v>
      </c>
      <c r="P5969" s="2" t="s">
        <v>2492</v>
      </c>
    </row>
    <row r="5970" spans="1:16" hidden="1">
      <c r="A5970" s="2">
        <v>202111</v>
      </c>
      <c r="B5970" s="3">
        <v>44501</v>
      </c>
      <c r="C5970" s="2" t="s">
        <v>2317</v>
      </c>
      <c r="D5970" s="2" t="s">
        <v>93</v>
      </c>
      <c r="E5970" s="2">
        <v>-137.47999999999999</v>
      </c>
      <c r="F5970" s="2" t="e">
        <f>IF(Table2[[#This Row],[Manual Cat Value]]="",VLOOKUP(Table2[[#This Row],[Description]],'Actuals Lookup'!D:F,3,0),Table2[[#This Row],[Manual Cat Value]])</f>
        <v>#N/A</v>
      </c>
      <c r="J5970" s="2">
        <v>137.47999999999999</v>
      </c>
      <c r="K5970" s="2" t="b">
        <v>0</v>
      </c>
      <c r="L5970" s="2"/>
      <c r="M5970" s="2"/>
      <c r="N5970" s="4" t="s">
        <v>2273</v>
      </c>
      <c r="O5970" s="4" t="str">
        <f>LEFT(Table2[[#This Row],[Description]],75)</f>
        <v>A T &amp; T INC</v>
      </c>
      <c r="P5970" s="2" t="s">
        <v>2392</v>
      </c>
    </row>
    <row r="5971" spans="1:16" hidden="1">
      <c r="A5971" s="2">
        <v>202111</v>
      </c>
      <c r="B5971" s="3">
        <v>44501</v>
      </c>
      <c r="C5971" s="2" t="s">
        <v>2447</v>
      </c>
      <c r="D5971" s="2" t="s">
        <v>114</v>
      </c>
      <c r="E5971" s="2">
        <v>4.28</v>
      </c>
      <c r="F5971" s="2" t="str">
        <f>IF(Table2[[#This Row],[Manual Cat Value]]="",VLOOKUP(Table2[[#This Row],[Description]],'Actuals Lookup'!D:F,3,0),Table2[[#This Row],[Manual Cat Value]])</f>
        <v>Entertainment</v>
      </c>
      <c r="J5971" s="2">
        <v>4.28</v>
      </c>
      <c r="K5971" s="2" t="b">
        <v>0</v>
      </c>
      <c r="L5971" s="2"/>
      <c r="M5971" s="2"/>
      <c r="N5971" s="4" t="s">
        <v>2259</v>
      </c>
      <c r="O5971" s="4" t="str">
        <f>LEFT(Table2[[#This Row],[Description]],75)</f>
        <v>Amazon Music</v>
      </c>
      <c r="P5971" s="2" t="s">
        <v>2466</v>
      </c>
    </row>
    <row r="5972" spans="1:16" hidden="1">
      <c r="A5972" s="2">
        <v>202111</v>
      </c>
      <c r="B5972" s="3">
        <v>44501</v>
      </c>
      <c r="C5972" s="2" t="s">
        <v>2265</v>
      </c>
      <c r="D5972" s="2" t="s">
        <v>254</v>
      </c>
      <c r="E5972" s="2">
        <v>3003.94</v>
      </c>
      <c r="F5972" s="2" t="str">
        <f>IF(Table2[[#This Row],[Manual Cat Value]]="",VLOOKUP(Table2[[#This Row],[Description]],'Actuals Lookup'!D:F,3,0),Table2[[#This Row],[Manual Cat Value]])</f>
        <v>Rent</v>
      </c>
      <c r="J5972" s="2">
        <v>3003.94</v>
      </c>
      <c r="K5972" s="2" t="b">
        <v>0</v>
      </c>
      <c r="L5972" s="2"/>
      <c r="M5972" s="2"/>
      <c r="N5972" s="4" t="s">
        <v>2259</v>
      </c>
      <c r="O5972" s="4" t="str">
        <f>LEFT(Table2[[#This Row],[Description]],75)</f>
        <v>Baxter Credit Union</v>
      </c>
      <c r="P5972" s="2" t="s">
        <v>2558</v>
      </c>
    </row>
    <row r="5973" spans="1:16" hidden="1">
      <c r="A5973" s="2">
        <v>202111</v>
      </c>
      <c r="B5973" s="3">
        <v>44501</v>
      </c>
      <c r="C5973" s="2" t="s">
        <v>2265</v>
      </c>
      <c r="D5973" s="2" t="s">
        <v>598</v>
      </c>
      <c r="E5973" s="2">
        <v>200</v>
      </c>
      <c r="F5973" s="2" t="e">
        <f>IF(Table2[[#This Row],[Manual Cat Value]]="",VLOOKUP(Table2[[#This Row],[Description]],'Actuals Lookup'!D:F,3,0),Table2[[#This Row],[Manual Cat Value]])</f>
        <v>#N/A</v>
      </c>
      <c r="J5973" s="2">
        <v>200</v>
      </c>
      <c r="K5973" s="2" t="b">
        <v>0</v>
      </c>
      <c r="L5973" s="2"/>
      <c r="M5973" s="2"/>
      <c r="N5973" s="4" t="s">
        <v>2259</v>
      </c>
      <c r="O5973" s="4" t="str">
        <f>LEFT(Table2[[#This Row],[Description]],75)</f>
        <v>College Savings TYPE ACH ID XX58 College Savings TYPE ACH ID 550895818 CO C</v>
      </c>
      <c r="P5973" s="2" t="s">
        <v>2272</v>
      </c>
    </row>
    <row r="5974" spans="1:16" hidden="1">
      <c r="A5974" s="2">
        <v>202111</v>
      </c>
      <c r="B5974" s="3">
        <v>44501</v>
      </c>
      <c r="C5974" s="2" t="s">
        <v>2314</v>
      </c>
      <c r="D5974" s="2" t="s">
        <v>859</v>
      </c>
      <c r="E5974" s="2">
        <v>-589.92999999999995</v>
      </c>
      <c r="F5974" s="2" t="e">
        <f>IF(Table2[[#This Row],[Manual Cat Value]]="",VLOOKUP(Table2[[#This Row],[Description]],'Actuals Lookup'!D:F,3,0),Table2[[#This Row],[Manual Cat Value]])</f>
        <v>#N/A</v>
      </c>
      <c r="J5974" s="2">
        <v>589.92999999999995</v>
      </c>
      <c r="K5974" s="2" t="b">
        <v>0</v>
      </c>
      <c r="L5974" s="2"/>
      <c r="M5974" s="2"/>
      <c r="N5974" s="4" t="s">
        <v>2273</v>
      </c>
      <c r="O5974" s="4" t="str">
        <f>LEFT(Table2[[#This Row],[Description]],75)</f>
        <v>From Share 70</v>
      </c>
      <c r="P5974" s="2" t="s">
        <v>2496</v>
      </c>
    </row>
    <row r="5975" spans="1:16" hidden="1">
      <c r="A5975" s="2">
        <v>202111</v>
      </c>
      <c r="B5975" s="3">
        <v>44501</v>
      </c>
      <c r="C5975" s="2" t="s">
        <v>2262</v>
      </c>
      <c r="D5975" s="2" t="s">
        <v>917</v>
      </c>
      <c r="E5975" s="2">
        <v>60.64</v>
      </c>
      <c r="F5975" s="2" t="e">
        <f>IF(Table2[[#This Row],[Manual Cat Value]]="",VLOOKUP(Table2[[#This Row],[Description]],'Actuals Lookup'!D:F,3,0),Table2[[#This Row],[Manual Cat Value]])</f>
        <v>#N/A</v>
      </c>
      <c r="J5975" s="2">
        <v>60.64</v>
      </c>
      <c r="K5975" s="2" t="b">
        <v>0</v>
      </c>
      <c r="L5975" s="2"/>
      <c r="M5975" s="2"/>
      <c r="N5975" s="4" t="s">
        <v>2259</v>
      </c>
      <c r="O5975" s="4" t="str">
        <f>LEFT(Table2[[#This Row],[Description]],75)</f>
        <v>Handsome Hog</v>
      </c>
      <c r="P5975" s="2" t="s">
        <v>2281</v>
      </c>
    </row>
    <row r="5976" spans="1:16" hidden="1">
      <c r="A5976" s="2">
        <v>202111</v>
      </c>
      <c r="B5976" s="3">
        <v>44501</v>
      </c>
      <c r="C5976" s="2" t="s">
        <v>2270</v>
      </c>
      <c r="D5976" s="2" t="s">
        <v>1524</v>
      </c>
      <c r="E5976" s="2">
        <v>-431</v>
      </c>
      <c r="F5976" s="2" t="e">
        <f>IF(Table2[[#This Row],[Manual Cat Value]]="",VLOOKUP(Table2[[#This Row],[Description]],'Actuals Lookup'!D:F,3,0),Table2[[#This Row],[Manual Cat Value]])</f>
        <v>#N/A</v>
      </c>
      <c r="J5976" s="2">
        <v>431</v>
      </c>
      <c r="K5976" s="2" t="b">
        <v>0</v>
      </c>
      <c r="L5976" s="2"/>
      <c r="M5976" s="2"/>
      <c r="N5976" s="4" t="s">
        <v>2273</v>
      </c>
      <c r="O5976" s="4" t="str">
        <f>LEFT(Table2[[#This Row],[Description]],75)</f>
        <v>Principal Curtailment</v>
      </c>
      <c r="P5976" s="2" t="s">
        <v>2514</v>
      </c>
    </row>
    <row r="5977" spans="1:16" hidden="1">
      <c r="A5977" s="2">
        <v>202111</v>
      </c>
      <c r="B5977" s="3">
        <v>44501</v>
      </c>
      <c r="C5977" s="2" t="s">
        <v>2317</v>
      </c>
      <c r="D5977" s="2" t="s">
        <v>1786</v>
      </c>
      <c r="E5977" s="2">
        <v>25.58</v>
      </c>
      <c r="F5977" s="2" t="e">
        <f>IF(Table2[[#This Row],[Manual Cat Value]]="",VLOOKUP(Table2[[#This Row],[Description]],'Actuals Lookup'!D:F,3,0),Table2[[#This Row],[Manual Cat Value]])</f>
        <v>#N/A</v>
      </c>
      <c r="J5977" s="2">
        <v>25.58</v>
      </c>
      <c r="K5977" s="2" t="b">
        <v>0</v>
      </c>
      <c r="L5977" s="2"/>
      <c r="M5977" s="2"/>
      <c r="N5977" s="4" t="s">
        <v>2259</v>
      </c>
      <c r="O5977" s="4" t="str">
        <f>LEFT(Table2[[#This Row],[Description]],75)</f>
        <v>STRYKER CORP</v>
      </c>
      <c r="P5977" s="2" t="s">
        <v>2385</v>
      </c>
    </row>
    <row r="5978" spans="1:16" hidden="1">
      <c r="A5978" s="2">
        <v>202111</v>
      </c>
      <c r="B5978" s="3">
        <v>44501</v>
      </c>
      <c r="C5978" s="2" t="s">
        <v>2265</v>
      </c>
      <c r="D5978" s="2" t="s">
        <v>1877</v>
      </c>
      <c r="E5978" s="2">
        <v>618.65</v>
      </c>
      <c r="F5978" s="2" t="e">
        <f>IF(Table2[[#This Row],[Manual Cat Value]]="",VLOOKUP(Table2[[#This Row],[Description]],'Actuals Lookup'!D:F,3,0),Table2[[#This Row],[Manual Cat Value]])</f>
        <v>#N/A</v>
      </c>
      <c r="J5978" s="2">
        <v>618.65</v>
      </c>
      <c r="K5978" s="2" t="b">
        <v>0</v>
      </c>
      <c r="L5978" s="2"/>
      <c r="M5978" s="2"/>
      <c r="N5978" s="4" t="s">
        <v>2259</v>
      </c>
      <c r="O5978" s="4" t="str">
        <f>LEFT(Table2[[#This Row],[Description]],75)</f>
        <v>To Loan 02</v>
      </c>
      <c r="P5978" s="2" t="s">
        <v>2316</v>
      </c>
    </row>
    <row r="5979" spans="1:16" hidden="1">
      <c r="A5979" s="2">
        <v>202111</v>
      </c>
      <c r="B5979" s="3">
        <v>44501</v>
      </c>
      <c r="C5979" s="2" t="s">
        <v>2265</v>
      </c>
      <c r="D5979" s="2" t="s">
        <v>1995</v>
      </c>
      <c r="E5979" s="2">
        <v>100</v>
      </c>
      <c r="F5979" s="2" t="e">
        <f>IF(Table2[[#This Row],[Manual Cat Value]]="",VLOOKUP(Table2[[#This Row],[Description]],'Actuals Lookup'!D:F,3,0),Table2[[#This Row],[Manual Cat Value]])</f>
        <v>#N/A</v>
      </c>
      <c r="J5979" s="2">
        <v>100</v>
      </c>
      <c r="K5979" s="2" t="b">
        <v>0</v>
      </c>
      <c r="L5979" s="2"/>
      <c r="M5979" s="2"/>
      <c r="N5979" s="4" t="s">
        <v>2259</v>
      </c>
      <c r="O5979" s="4" t="str">
        <f>LEFT(Table2[[#This Row],[Description]],75)</f>
        <v>Treasurydirect TREASURY DIRECT TYPE TREAS DRCT ID CO TREASURY DIRECT ACH EC</v>
      </c>
      <c r="P5979" s="2" t="s">
        <v>2281</v>
      </c>
    </row>
    <row r="5980" spans="1:16" hidden="1">
      <c r="A5980" s="2">
        <v>202111</v>
      </c>
      <c r="B5980" s="3">
        <v>44501</v>
      </c>
      <c r="C5980" s="2" t="s">
        <v>2274</v>
      </c>
      <c r="D5980" s="2" t="s">
        <v>2110</v>
      </c>
      <c r="E5980" s="2">
        <v>-495.87</v>
      </c>
      <c r="F5980" s="2" t="e">
        <f>IF(Table2[[#This Row],[Manual Cat Value]]="",VLOOKUP(Table2[[#This Row],[Description]],'Actuals Lookup'!D:F,3,0),Table2[[#This Row],[Manual Cat Value]])</f>
        <v>#N/A</v>
      </c>
      <c r="J5980" s="2">
        <v>495.87</v>
      </c>
      <c r="K5980" s="2" t="b">
        <v>0</v>
      </c>
      <c r="L5980" s="2"/>
      <c r="M5980" s="2"/>
      <c r="N5980" s="4" t="s">
        <v>2273</v>
      </c>
      <c r="O5980" s="4" t="str">
        <f>LEFT(Table2[[#This Row],[Description]],75)</f>
        <v>Venmo Cashout</v>
      </c>
      <c r="P5980" s="2" t="s">
        <v>2281</v>
      </c>
    </row>
    <row r="5981" spans="1:16" hidden="1">
      <c r="A5981" s="2">
        <v>202111</v>
      </c>
      <c r="B5981" s="3">
        <v>44502</v>
      </c>
      <c r="C5981" s="2" t="s">
        <v>2317</v>
      </c>
      <c r="D5981" s="2" t="s">
        <v>93</v>
      </c>
      <c r="E5981" s="2">
        <v>137.47999999999999</v>
      </c>
      <c r="F5981" s="2" t="e">
        <f>IF(Table2[[#This Row],[Manual Cat Value]]="",VLOOKUP(Table2[[#This Row],[Description]],'Actuals Lookup'!D:F,3,0),Table2[[#This Row],[Manual Cat Value]])</f>
        <v>#N/A</v>
      </c>
      <c r="J5981" s="2">
        <v>137.47999999999999</v>
      </c>
      <c r="K5981" s="2" t="b">
        <v>0</v>
      </c>
      <c r="L5981" s="2"/>
      <c r="M5981" s="2"/>
      <c r="N5981" s="4" t="s">
        <v>2259</v>
      </c>
      <c r="O5981" s="4" t="str">
        <f>LEFT(Table2[[#This Row],[Description]],75)</f>
        <v>A T &amp; T INC</v>
      </c>
      <c r="P5981" s="2" t="s">
        <v>2392</v>
      </c>
    </row>
    <row r="5982" spans="1:16" hidden="1">
      <c r="A5982" s="2">
        <v>202111</v>
      </c>
      <c r="B5982" s="3">
        <v>44502</v>
      </c>
      <c r="C5982" s="2" t="s">
        <v>2262</v>
      </c>
      <c r="D5982" s="2" t="s">
        <v>38</v>
      </c>
      <c r="E5982" s="2">
        <v>31.03</v>
      </c>
      <c r="F5982" s="2" t="str">
        <f>IF(Table2[[#This Row],[Manual Cat Value]]="",VLOOKUP(Table2[[#This Row],[Description]],'Actuals Lookup'!D:F,3,0),Table2[[#This Row],[Manual Cat Value]])</f>
        <v>Amazon</v>
      </c>
      <c r="J5982" s="2">
        <v>31.03</v>
      </c>
      <c r="K5982" s="2" t="b">
        <v>0</v>
      </c>
      <c r="L5982" s="2"/>
      <c r="M5982" s="2"/>
      <c r="N5982" s="4" t="s">
        <v>2259</v>
      </c>
      <c r="O5982" s="4" t="str">
        <f>LEFT(Table2[[#This Row],[Description]],75)</f>
        <v>Amazon</v>
      </c>
      <c r="P5982" s="2" t="s">
        <v>2260</v>
      </c>
    </row>
    <row r="5983" spans="1:16" hidden="1">
      <c r="A5983" s="2">
        <v>202111</v>
      </c>
      <c r="B5983" s="3">
        <v>44502</v>
      </c>
      <c r="C5983" s="2" t="s">
        <v>2262</v>
      </c>
      <c r="D5983" s="2" t="s">
        <v>277</v>
      </c>
      <c r="E5983" s="2">
        <v>20</v>
      </c>
      <c r="F5983" s="2" t="e">
        <f>IF(Table2[[#This Row],[Manual Cat Value]]="",VLOOKUP(Table2[[#This Row],[Description]],'Actuals Lookup'!D:F,3,0),Table2[[#This Row],[Manual Cat Value]])</f>
        <v>#N/A</v>
      </c>
      <c r="J5983" s="2">
        <v>20</v>
      </c>
      <c r="K5983" s="2" t="b">
        <v>0</v>
      </c>
      <c r="L5983" s="2"/>
      <c r="M5983" s="2"/>
      <c r="N5983" s="4" t="s">
        <v>2259</v>
      </c>
      <c r="O5983" s="4" t="str">
        <f>LEFT(Table2[[#This Row],[Description]],75)</f>
        <v>BENEVITY DONATIONS 8552377875 FL</v>
      </c>
      <c r="P5983" s="2" t="s">
        <v>2281</v>
      </c>
    </row>
    <row r="5984" spans="1:16" hidden="1">
      <c r="A5984" s="2">
        <v>202111</v>
      </c>
      <c r="B5984" s="3">
        <v>44502</v>
      </c>
      <c r="C5984" s="2" t="s">
        <v>2262</v>
      </c>
      <c r="D5984" s="2" t="s">
        <v>1374</v>
      </c>
      <c r="E5984" s="2">
        <v>202.5</v>
      </c>
      <c r="F5984" s="2" t="e">
        <f>IF(Table2[[#This Row],[Manual Cat Value]]="",VLOOKUP(Table2[[#This Row],[Description]],'Actuals Lookup'!D:F,3,0),Table2[[#This Row],[Manual Cat Value]])</f>
        <v>#N/A</v>
      </c>
      <c r="J5984" s="2">
        <v>202.5</v>
      </c>
      <c r="K5984" s="2" t="b">
        <v>0</v>
      </c>
      <c r="L5984" s="2"/>
      <c r="M5984" s="2"/>
      <c r="N5984" s="4" t="s">
        <v>2259</v>
      </c>
      <c r="O5984" s="4" t="str">
        <f>LEFT(Table2[[#This Row],[Description]],75)</f>
        <v>NORTHSTAR REGIONAL 9529743999 MN</v>
      </c>
      <c r="P5984" s="2" t="s">
        <v>2281</v>
      </c>
    </row>
    <row r="5985" spans="1:16" hidden="1">
      <c r="A5985" s="2">
        <v>202111</v>
      </c>
      <c r="B5985" s="3">
        <v>44502</v>
      </c>
      <c r="C5985" s="2" t="s">
        <v>2317</v>
      </c>
      <c r="D5985" s="2" t="s">
        <v>1786</v>
      </c>
      <c r="E5985" s="2">
        <v>-1328.38</v>
      </c>
      <c r="F5985" s="2" t="e">
        <f>IF(Table2[[#This Row],[Manual Cat Value]]="",VLOOKUP(Table2[[#This Row],[Description]],'Actuals Lookup'!D:F,3,0),Table2[[#This Row],[Manual Cat Value]])</f>
        <v>#N/A</v>
      </c>
      <c r="J5985" s="2">
        <v>1328.38</v>
      </c>
      <c r="K5985" s="2" t="b">
        <v>0</v>
      </c>
      <c r="L5985" s="2"/>
      <c r="M5985" s="2"/>
      <c r="N5985" s="4" t="s">
        <v>2273</v>
      </c>
      <c r="O5985" s="4" t="str">
        <f>LEFT(Table2[[#This Row],[Description]],75)</f>
        <v>STRYKER CORP</v>
      </c>
      <c r="P5985" s="2" t="s">
        <v>2385</v>
      </c>
    </row>
    <row r="5986" spans="1:16" hidden="1">
      <c r="A5986" s="2">
        <v>202111</v>
      </c>
      <c r="B5986" s="3">
        <v>44503</v>
      </c>
      <c r="C5986" s="2" t="s">
        <v>2262</v>
      </c>
      <c r="D5986" s="2" t="s">
        <v>927</v>
      </c>
      <c r="E5986" s="2">
        <v>18</v>
      </c>
      <c r="F5986" s="2" t="e">
        <f>IF(Table2[[#This Row],[Manual Cat Value]]="",VLOOKUP(Table2[[#This Row],[Description]],'Actuals Lookup'!D:F,3,0),Table2[[#This Row],[Manual Cat Value]])</f>
        <v>#N/A</v>
      </c>
      <c r="J5986" s="2">
        <v>18</v>
      </c>
      <c r="K5986" s="2" t="b">
        <v>0</v>
      </c>
      <c r="L5986" s="2"/>
      <c r="M5986" s="2"/>
      <c r="N5986" s="4" t="s">
        <v>2259</v>
      </c>
      <c r="O5986" s="4" t="str">
        <f>LEFT(Table2[[#This Row],[Description]],75)</f>
        <v>HBRSUBSCRIPTION XX0886 MA HBRSUBSCRIPTION 8009880886 MA</v>
      </c>
      <c r="P5986" s="2" t="s">
        <v>2564</v>
      </c>
    </row>
    <row r="5987" spans="1:16" hidden="1">
      <c r="A5987" s="2">
        <v>202111</v>
      </c>
      <c r="B5987" s="3">
        <v>44503</v>
      </c>
      <c r="C5987" s="2" t="s">
        <v>2262</v>
      </c>
      <c r="D5987" s="2" t="s">
        <v>1130</v>
      </c>
      <c r="E5987" s="2">
        <v>858.8</v>
      </c>
      <c r="F5987" s="2" t="e">
        <f>IF(Table2[[#This Row],[Manual Cat Value]]="",VLOOKUP(Table2[[#This Row],[Description]],'Actuals Lookup'!D:F,3,0),Table2[[#This Row],[Manual Cat Value]])</f>
        <v>#N/A</v>
      </c>
      <c r="J5987" s="2">
        <v>858.8</v>
      </c>
      <c r="K5987" s="2" t="b">
        <v>0</v>
      </c>
      <c r="L5987" s="2"/>
      <c r="M5987" s="2"/>
      <c r="N5987" s="4" t="s">
        <v>2259</v>
      </c>
      <c r="O5987" s="4" t="str">
        <f>LEFT(Table2[[#This Row],[Description]],75)</f>
        <v>LIVING SPACES MOBILE httpsipchaCA</v>
      </c>
      <c r="P5987" s="2" t="s">
        <v>2281</v>
      </c>
    </row>
    <row r="5988" spans="1:16" hidden="1">
      <c r="A5988" s="2">
        <v>202111</v>
      </c>
      <c r="B5988" s="3">
        <v>44503</v>
      </c>
      <c r="C5988" s="2" t="s">
        <v>2317</v>
      </c>
      <c r="D5988" s="2" t="s">
        <v>1139</v>
      </c>
      <c r="E5988" s="2">
        <v>-20.02</v>
      </c>
      <c r="F5988" s="2" t="e">
        <f>IF(Table2[[#This Row],[Manual Cat Value]]="",VLOOKUP(Table2[[#This Row],[Description]],'Actuals Lookup'!D:F,3,0),Table2[[#This Row],[Manual Cat Value]])</f>
        <v>#N/A</v>
      </c>
      <c r="J5988" s="2">
        <v>20.02</v>
      </c>
      <c r="K5988" s="2" t="b">
        <v>0</v>
      </c>
      <c r="L5988" s="2"/>
      <c r="M5988" s="2"/>
      <c r="N5988" s="4" t="s">
        <v>2273</v>
      </c>
      <c r="O5988" s="4" t="str">
        <f>LEFT(Table2[[#This Row],[Description]],75)</f>
        <v>LOWES COMPANIES INC</v>
      </c>
      <c r="P5988" s="2" t="s">
        <v>2402</v>
      </c>
    </row>
    <row r="5989" spans="1:16" hidden="1">
      <c r="A5989" s="2">
        <v>202111</v>
      </c>
      <c r="B5989" s="3">
        <v>44503</v>
      </c>
      <c r="C5989" s="2" t="s">
        <v>2265</v>
      </c>
      <c r="D5989" s="2" t="s">
        <v>1196</v>
      </c>
      <c r="E5989" s="2">
        <v>528.79999999999995</v>
      </c>
      <c r="F5989" s="2" t="e">
        <f>IF(Table2[[#This Row],[Manual Cat Value]]="",VLOOKUP(Table2[[#This Row],[Description]],'Actuals Lookup'!D:F,3,0),Table2[[#This Row],[Manual Cat Value]])</f>
        <v>#N/A</v>
      </c>
      <c r="J5989" s="2">
        <v>528.79999999999995</v>
      </c>
      <c r="K5989" s="2" t="b">
        <v>0</v>
      </c>
      <c r="L5989" s="2"/>
      <c r="M5989" s="2"/>
      <c r="N5989" s="4" t="s">
        <v>2259</v>
      </c>
      <c r="O5989" s="4" t="str">
        <f>LEFT(Table2[[#This Row],[Description]],75)</f>
        <v>MHCHILDCARELLC TYPE DUES ID CO M MHCHILDCARELLC TYPE DUES ID CO MHCHILDCARE</v>
      </c>
      <c r="P5989" s="2" t="s">
        <v>2497</v>
      </c>
    </row>
    <row r="5990" spans="1:16" hidden="1">
      <c r="A5990" s="2">
        <v>202111</v>
      </c>
      <c r="B5990" s="3">
        <v>44503</v>
      </c>
      <c r="C5990" s="2" t="s">
        <v>2265</v>
      </c>
      <c r="D5990" s="2" t="s">
        <v>1946</v>
      </c>
      <c r="E5990" s="2">
        <v>-18.920000000000002</v>
      </c>
      <c r="F5990" s="2" t="e">
        <f>IF(Table2[[#This Row],[Manual Cat Value]]="",VLOOKUP(Table2[[#This Row],[Description]],'Actuals Lookup'!D:F,3,0),Table2[[#This Row],[Manual Cat Value]])</f>
        <v>#N/A</v>
      </c>
      <c r="J5990" s="2">
        <v>18.920000000000002</v>
      </c>
      <c r="K5990" s="2" t="b">
        <v>0</v>
      </c>
      <c r="L5990" s="2"/>
      <c r="M5990" s="2"/>
      <c r="N5990" s="4" t="s">
        <v>2273</v>
      </c>
      <c r="O5990" s="4" t="str">
        <f>LEFT(Table2[[#This Row],[Description]],75)</f>
        <v>Transfer from PayPal PAYPAL TYPE TRANSFER ID PAYPALSD11 CO PAYPAL ACH ECC P</v>
      </c>
      <c r="P5990" s="2" t="s">
        <v>2322</v>
      </c>
    </row>
    <row r="5991" spans="1:16" hidden="1">
      <c r="A5991" s="2">
        <v>202111</v>
      </c>
      <c r="B5991" s="3">
        <v>44503</v>
      </c>
      <c r="C5991" s="2" t="s">
        <v>2265</v>
      </c>
      <c r="D5991" s="2" t="s">
        <v>2221</v>
      </c>
      <c r="E5991" s="2">
        <v>133.96</v>
      </c>
      <c r="F5991" s="2" t="str">
        <f>IF(Table2[[#This Row],[Manual Cat Value]]="",VLOOKUP(Table2[[#This Row],[Description]],'Actuals Lookup'!D:F,3,0),Table2[[#This Row],[Manual Cat Value]])</f>
        <v>Utilities</v>
      </c>
      <c r="J5991" s="2">
        <v>133.96</v>
      </c>
      <c r="K5991" s="2" t="b">
        <v>0</v>
      </c>
      <c r="L5991" s="2"/>
      <c r="M5991" s="2"/>
      <c r="N5991" s="4" t="s">
        <v>2259</v>
      </c>
      <c r="O5991" s="4" t="str">
        <f>LEFT(Table2[[#This Row],[Description]],75)</f>
        <v>Xcel Energy</v>
      </c>
      <c r="P5991" s="2" t="s">
        <v>2280</v>
      </c>
    </row>
    <row r="5992" spans="1:16" hidden="1">
      <c r="A5992" s="2">
        <v>202111</v>
      </c>
      <c r="B5992" s="3">
        <v>44504</v>
      </c>
      <c r="C5992" s="2" t="s">
        <v>2262</v>
      </c>
      <c r="D5992" s="2" t="s">
        <v>187</v>
      </c>
      <c r="E5992" s="2">
        <v>166.08</v>
      </c>
      <c r="F5992" s="2" t="e">
        <f>IF(Table2[[#This Row],[Manual Cat Value]]="",VLOOKUP(Table2[[#This Row],[Description]],'Actuals Lookup'!D:F,3,0),Table2[[#This Row],[Manual Cat Value]])</f>
        <v>#N/A</v>
      </c>
      <c r="J5992" s="2">
        <v>166.08</v>
      </c>
      <c r="K5992" s="2" t="b">
        <v>0</v>
      </c>
      <c r="L5992" s="2"/>
      <c r="M5992" s="2"/>
      <c r="N5992" s="4" t="s">
        <v>2259</v>
      </c>
      <c r="O5992" s="4" t="str">
        <f>LEFT(Table2[[#This Row],[Description]],75)</f>
        <v>AVOADVOCARE INTL 8005424800 TX</v>
      </c>
      <c r="P5992" s="2" t="s">
        <v>2428</v>
      </c>
    </row>
    <row r="5993" spans="1:16" hidden="1">
      <c r="A5993" s="2">
        <v>202111</v>
      </c>
      <c r="B5993" s="3">
        <v>44504</v>
      </c>
      <c r="C5993" s="2" t="s">
        <v>2317</v>
      </c>
      <c r="D5993" s="2" t="s">
        <v>1139</v>
      </c>
      <c r="E5993" s="2">
        <v>20.02</v>
      </c>
      <c r="F5993" s="2" t="e">
        <f>IF(Table2[[#This Row],[Manual Cat Value]]="",VLOOKUP(Table2[[#This Row],[Description]],'Actuals Lookup'!D:F,3,0),Table2[[#This Row],[Manual Cat Value]])</f>
        <v>#N/A</v>
      </c>
      <c r="J5993" s="2">
        <v>20.02</v>
      </c>
      <c r="K5993" s="2" t="b">
        <v>0</v>
      </c>
      <c r="L5993" s="2"/>
      <c r="M5993" s="2"/>
      <c r="N5993" s="4" t="s">
        <v>2259</v>
      </c>
      <c r="O5993" s="4" t="str">
        <f>LEFT(Table2[[#This Row],[Description]],75)</f>
        <v>LOWES COMPANIES INC</v>
      </c>
      <c r="P5993" s="2" t="s">
        <v>2402</v>
      </c>
    </row>
    <row r="5994" spans="1:16" hidden="1">
      <c r="A5994" s="2">
        <v>202111</v>
      </c>
      <c r="B5994" s="3">
        <v>44505</v>
      </c>
      <c r="C5994" s="2" t="s">
        <v>2262</v>
      </c>
      <c r="D5994" s="2" t="s">
        <v>674</v>
      </c>
      <c r="E5994" s="2">
        <v>-1528.98</v>
      </c>
      <c r="F5994" s="2" t="e">
        <f>IF(Table2[[#This Row],[Manual Cat Value]]="",VLOOKUP(Table2[[#This Row],[Description]],'Actuals Lookup'!D:F,3,0),Table2[[#This Row],[Manual Cat Value]])</f>
        <v>#N/A</v>
      </c>
      <c r="J5994" s="2">
        <v>1528.98</v>
      </c>
      <c r="K5994" s="2" t="b">
        <v>0</v>
      </c>
      <c r="L5994" s="2"/>
      <c r="M5994" s="2"/>
      <c r="N5994" s="4" t="s">
        <v>2273</v>
      </c>
      <c r="O5994" s="4" t="str">
        <f>LEFT(Table2[[#This Row],[Description]],75)</f>
        <v>Credit Card Payment Received PAYMENT THANK YOU</v>
      </c>
      <c r="P5994" s="2" t="s">
        <v>2560</v>
      </c>
    </row>
    <row r="5995" spans="1:16" hidden="1">
      <c r="A5995" s="2">
        <v>202111</v>
      </c>
      <c r="B5995" s="3">
        <v>44505</v>
      </c>
      <c r="C5995" s="2" t="s">
        <v>2265</v>
      </c>
      <c r="D5995" s="2" t="s">
        <v>1959</v>
      </c>
      <c r="E5995" s="2">
        <v>708.43</v>
      </c>
      <c r="F5995" s="2" t="e">
        <f>IF(Table2[[#This Row],[Manual Cat Value]]="",VLOOKUP(Table2[[#This Row],[Description]],'Actuals Lookup'!D:F,3,0),Table2[[#This Row],[Manual Cat Value]])</f>
        <v>#N/A</v>
      </c>
      <c r="J5995" s="2">
        <v>708.43</v>
      </c>
      <c r="K5995" s="2" t="b">
        <v>0</v>
      </c>
      <c r="L5995" s="2"/>
      <c r="M5995" s="2"/>
      <c r="N5995" s="4" t="s">
        <v>2259</v>
      </c>
      <c r="O5995" s="4" t="str">
        <f>LEFT(Table2[[#This Row],[Description]],75)</f>
        <v>Transfer to Venmo VENMO TYPE PAYMENT ID CO VENMO ACH ECC WEB ACH Trace 0819</v>
      </c>
      <c r="P5995" s="2" t="s">
        <v>2281</v>
      </c>
    </row>
    <row r="5996" spans="1:16" hidden="1">
      <c r="A5996" s="2">
        <v>202111</v>
      </c>
      <c r="B5996" s="3">
        <v>44505</v>
      </c>
      <c r="C5996" s="2" t="s">
        <v>2265</v>
      </c>
      <c r="D5996" s="2" t="s">
        <v>2203</v>
      </c>
      <c r="E5996" s="2">
        <v>1528.98</v>
      </c>
      <c r="F5996" s="2" t="e">
        <f>IF(Table2[[#This Row],[Manual Cat Value]]="",VLOOKUP(Table2[[#This Row],[Description]],'Actuals Lookup'!D:F,3,0),Table2[[#This Row],[Manual Cat Value]])</f>
        <v>#N/A</v>
      </c>
      <c r="J5996" s="2">
        <v>1528.98</v>
      </c>
      <c r="K5996" s="2" t="b">
        <v>0</v>
      </c>
      <c r="L5996" s="2"/>
      <c r="M5996" s="2"/>
      <c r="N5996" s="4" t="s">
        <v>2259</v>
      </c>
      <c r="O5996" s="4" t="str">
        <f>LEFT(Table2[[#This Row],[Description]],75)</f>
        <v>Withdrawal Home payment to card XX91 Withdrawal Home payment to card 979181</v>
      </c>
      <c r="P5996" s="2" t="s">
        <v>2559</v>
      </c>
    </row>
    <row r="5997" spans="1:16" hidden="1">
      <c r="A5997" s="2">
        <v>202111</v>
      </c>
      <c r="B5997" s="3">
        <v>44505</v>
      </c>
      <c r="C5997" s="2" t="s">
        <v>2262</v>
      </c>
      <c r="D5997" s="2" t="s">
        <v>301</v>
      </c>
      <c r="E5997" s="133">
        <v>5403.68</v>
      </c>
      <c r="F5997" s="2" t="str">
        <f>IF(Table2[[#This Row],[Manual Cat Value]]="",VLOOKUP(Table2[[#This Row],[Description]],'Actuals Lookup'!D:F,3,0),Table2[[#This Row],[Manual Cat Value]])</f>
        <v>Transportation</v>
      </c>
      <c r="J5997" s="2">
        <v>5403.68</v>
      </c>
      <c r="K5997" s="2" t="b">
        <v>0</v>
      </c>
      <c r="L5997" s="2"/>
      <c r="M5997" s="2"/>
      <c r="N5997" s="4" t="s">
        <v>2259</v>
      </c>
      <c r="O5997" s="4" t="str">
        <f>LEFT(Table2[[#This Row],[Description]],75)</f>
        <v>BMW</v>
      </c>
      <c r="P5997" s="2" t="s">
        <v>2281</v>
      </c>
    </row>
    <row r="5998" spans="1:16" hidden="1">
      <c r="A5998" s="2">
        <v>202111</v>
      </c>
      <c r="B5998" s="3">
        <v>44505</v>
      </c>
      <c r="C5998" s="2" t="s">
        <v>2262</v>
      </c>
      <c r="D5998" s="2" t="s">
        <v>316</v>
      </c>
      <c r="E5998" s="2">
        <v>4.9800000000000004</v>
      </c>
      <c r="F5998" s="2" t="e">
        <f>IF(Table2[[#This Row],[Manual Cat Value]]="",VLOOKUP(Table2[[#This Row],[Description]],'Actuals Lookup'!D:F,3,0),Table2[[#This Row],[Manual Cat Value]])</f>
        <v>#N/A</v>
      </c>
      <c r="J5998" s="2">
        <v>4.9800000000000004</v>
      </c>
      <c r="K5998" s="2" t="b">
        <v>0</v>
      </c>
      <c r="L5998" s="2"/>
      <c r="M5998" s="2"/>
      <c r="N5998" s="4" t="s">
        <v>2259</v>
      </c>
      <c r="O5998" s="4" t="str">
        <f>LEFT(Table2[[#This Row],[Description]],75)</f>
        <v>BP</v>
      </c>
      <c r="P5998" s="2" t="s">
        <v>2484</v>
      </c>
    </row>
    <row r="5999" spans="1:16" hidden="1">
      <c r="A5999" s="2">
        <v>202111</v>
      </c>
      <c r="B5999" s="3">
        <v>44505</v>
      </c>
      <c r="C5999" s="2" t="s">
        <v>2262</v>
      </c>
      <c r="D5999" s="2" t="s">
        <v>729</v>
      </c>
      <c r="E5999" s="2">
        <v>34.909999999999997</v>
      </c>
      <c r="F5999" s="2" t="e">
        <f>IF(Table2[[#This Row],[Manual Cat Value]]="",VLOOKUP(Table2[[#This Row],[Description]],'Actuals Lookup'!D:F,3,0),Table2[[#This Row],[Manual Cat Value]])</f>
        <v>#N/A</v>
      </c>
      <c r="J5999" s="2">
        <v>34.909999999999997</v>
      </c>
      <c r="K5999" s="2" t="b">
        <v>0</v>
      </c>
      <c r="L5999" s="2"/>
      <c r="M5999" s="2"/>
      <c r="N5999" s="4" t="s">
        <v>2259</v>
      </c>
      <c r="O5999" s="4" t="str">
        <f>LEFT(Table2[[#This Row],[Description]],75)</f>
        <v>Detello's Pizza &amp; Pasta</v>
      </c>
      <c r="P5999" s="2" t="s">
        <v>2281</v>
      </c>
    </row>
    <row r="6000" spans="1:16" hidden="1">
      <c r="A6000" s="2">
        <v>202111</v>
      </c>
      <c r="B6000" s="3">
        <v>44505</v>
      </c>
      <c r="C6000" s="2" t="s">
        <v>2265</v>
      </c>
      <c r="D6000" s="2" t="s">
        <v>1471</v>
      </c>
      <c r="E6000" s="2">
        <v>10</v>
      </c>
      <c r="F6000" s="2" t="str">
        <f>IF(Table2[[#This Row],[Manual Cat Value]]="",VLOOKUP(Table2[[#This Row],[Description]],'Actuals Lookup'!D:F,3,0),Table2[[#This Row],[Manual Cat Value]])</f>
        <v>Shopping</v>
      </c>
      <c r="J6000" s="2">
        <v>10</v>
      </c>
      <c r="K6000" s="2" t="b">
        <v>0</v>
      </c>
      <c r="L6000" s="2"/>
      <c r="M6000" s="2"/>
      <c r="N6000" s="4" t="s">
        <v>2259</v>
      </c>
      <c r="O6000" s="4" t="str">
        <f>LEFT(Table2[[#This Row],[Description]],75)</f>
        <v>PayPal</v>
      </c>
      <c r="P6000" s="2" t="s">
        <v>2322</v>
      </c>
    </row>
    <row r="6001" spans="1:16" hidden="1">
      <c r="A6001" s="2">
        <v>202111</v>
      </c>
      <c r="B6001" s="3">
        <v>44505</v>
      </c>
      <c r="C6001" s="2" t="s">
        <v>2317</v>
      </c>
      <c r="D6001" s="2" t="s">
        <v>1629</v>
      </c>
      <c r="E6001" s="2">
        <v>-0.9</v>
      </c>
      <c r="F6001" s="2" t="e">
        <f>IF(Table2[[#This Row],[Manual Cat Value]]="",VLOOKUP(Table2[[#This Row],[Description]],'Actuals Lookup'!D:F,3,0),Table2[[#This Row],[Manual Cat Value]])</f>
        <v>#N/A</v>
      </c>
      <c r="J6001" s="2">
        <v>0.9</v>
      </c>
      <c r="K6001" s="2" t="b">
        <v>0</v>
      </c>
      <c r="L6001" s="2"/>
      <c r="M6001" s="2"/>
      <c r="N6001" s="4" t="s">
        <v>2273</v>
      </c>
      <c r="O6001" s="4" t="str">
        <f>LEFT(Table2[[#This Row],[Description]],75)</f>
        <v>SCHWAB INTERMEDIATE TERMUS TRS ETF</v>
      </c>
      <c r="P6001" s="2" t="s">
        <v>2385</v>
      </c>
    </row>
    <row r="6002" spans="1:16" hidden="1">
      <c r="A6002" s="2">
        <v>202111</v>
      </c>
      <c r="B6002" s="3">
        <v>44506</v>
      </c>
      <c r="C6002" s="2" t="s">
        <v>2262</v>
      </c>
      <c r="D6002" s="2" t="s">
        <v>674</v>
      </c>
      <c r="E6002" s="2">
        <v>-6972.55</v>
      </c>
      <c r="F6002" s="2" t="e">
        <f>IF(Table2[[#This Row],[Manual Cat Value]]="",VLOOKUP(Table2[[#This Row],[Description]],'Actuals Lookup'!D:F,3,0),Table2[[#This Row],[Manual Cat Value]])</f>
        <v>#N/A</v>
      </c>
      <c r="J6002" s="2">
        <v>6972.55</v>
      </c>
      <c r="K6002" s="2" t="b">
        <v>0</v>
      </c>
      <c r="L6002" s="2"/>
      <c r="M6002" s="2"/>
      <c r="N6002" s="4" t="s">
        <v>2273</v>
      </c>
      <c r="O6002" s="4" t="str">
        <f>LEFT(Table2[[#This Row],[Description]],75)</f>
        <v>Credit Card Payment Received PAYMENT THANK YOU</v>
      </c>
      <c r="P6002" s="2" t="s">
        <v>2560</v>
      </c>
    </row>
    <row r="6003" spans="1:16" hidden="1">
      <c r="A6003" s="2">
        <v>202111</v>
      </c>
      <c r="B6003" s="3">
        <v>44506</v>
      </c>
      <c r="C6003" s="2" t="s">
        <v>2265</v>
      </c>
      <c r="D6003" s="2" t="s">
        <v>2203</v>
      </c>
      <c r="E6003" s="2">
        <v>6972.55</v>
      </c>
      <c r="F6003" s="2" t="e">
        <f>IF(Table2[[#This Row],[Manual Cat Value]]="",VLOOKUP(Table2[[#This Row],[Description]],'Actuals Lookup'!D:F,3,0),Table2[[#This Row],[Manual Cat Value]])</f>
        <v>#N/A</v>
      </c>
      <c r="J6003" s="2">
        <v>6972.55</v>
      </c>
      <c r="K6003" s="2" t="b">
        <v>0</v>
      </c>
      <c r="L6003" s="2"/>
      <c r="M6003" s="2"/>
      <c r="N6003" s="4" t="s">
        <v>2259</v>
      </c>
      <c r="O6003" s="4" t="str">
        <f>LEFT(Table2[[#This Row],[Description]],75)</f>
        <v>Withdrawal Home payment to card XX91 Withdrawal Home payment to card 979181</v>
      </c>
      <c r="P6003" s="2" t="s">
        <v>2559</v>
      </c>
    </row>
    <row r="6004" spans="1:16" hidden="1">
      <c r="A6004" s="2">
        <v>202111</v>
      </c>
      <c r="B6004" s="3">
        <v>44507</v>
      </c>
      <c r="C6004" s="2" t="s">
        <v>2262</v>
      </c>
      <c r="D6004" s="2" t="s">
        <v>38</v>
      </c>
      <c r="E6004" s="2">
        <v>25.76</v>
      </c>
      <c r="F6004" s="2" t="str">
        <f>IF(Table2[[#This Row],[Manual Cat Value]]="",VLOOKUP(Table2[[#This Row],[Description]],'Actuals Lookup'!D:F,3,0),Table2[[#This Row],[Manual Cat Value]])</f>
        <v>Amazon</v>
      </c>
      <c r="J6004" s="2">
        <v>25.76</v>
      </c>
      <c r="K6004" s="2" t="b">
        <v>0</v>
      </c>
      <c r="L6004" s="2"/>
      <c r="M6004" s="2"/>
      <c r="N6004" s="4" t="s">
        <v>2259</v>
      </c>
      <c r="O6004" s="4" t="str">
        <f>LEFT(Table2[[#This Row],[Description]],75)</f>
        <v>Amazon</v>
      </c>
      <c r="P6004" s="2" t="s">
        <v>2260</v>
      </c>
    </row>
    <row r="6005" spans="1:16" hidden="1">
      <c r="A6005" s="2">
        <v>202111</v>
      </c>
      <c r="B6005" s="3">
        <v>44507</v>
      </c>
      <c r="C6005" s="2" t="s">
        <v>2262</v>
      </c>
      <c r="D6005" s="2" t="s">
        <v>278</v>
      </c>
      <c r="E6005" s="2">
        <v>40</v>
      </c>
      <c r="F6005" s="2" t="e">
        <f>IF(Table2[[#This Row],[Manual Cat Value]]="",VLOOKUP(Table2[[#This Row],[Description]],'Actuals Lookup'!D:F,3,0),Table2[[#This Row],[Manual Cat Value]])</f>
        <v>#N/A</v>
      </c>
      <c r="J6005" s="2">
        <v>40</v>
      </c>
      <c r="K6005" s="2" t="b">
        <v>0</v>
      </c>
      <c r="L6005" s="2"/>
      <c r="M6005" s="2"/>
      <c r="N6005" s="4" t="s">
        <v>2259</v>
      </c>
      <c r="O6005" s="4" t="str">
        <f>LEFT(Table2[[#This Row],[Description]],75)</f>
        <v>Benevity Inc BENEVITY DONATIONS 8552377875 FL</v>
      </c>
      <c r="P6005" s="2" t="s">
        <v>2281</v>
      </c>
    </row>
    <row r="6006" spans="1:16" hidden="1">
      <c r="A6006" s="2">
        <v>202111</v>
      </c>
      <c r="B6006" s="3">
        <v>44507</v>
      </c>
      <c r="C6006" s="2" t="s">
        <v>2262</v>
      </c>
      <c r="D6006" s="2" t="s">
        <v>684</v>
      </c>
      <c r="E6006" s="2">
        <v>0.01</v>
      </c>
      <c r="F6006" s="2" t="str">
        <f>IF(Table2[[#This Row],[Manual Cat Value]]="",VLOOKUP(Table2[[#This Row],[Description]],'Actuals Lookup'!D:F,3,0),Table2[[#This Row],[Manual Cat Value]])</f>
        <v>Groceries</v>
      </c>
      <c r="J6006" s="2">
        <v>0.01</v>
      </c>
      <c r="K6006" s="2" t="b">
        <v>0</v>
      </c>
      <c r="L6006" s="2"/>
      <c r="M6006" s="2"/>
      <c r="N6006" s="4" t="s">
        <v>2259</v>
      </c>
      <c r="O6006" s="4" t="str">
        <f>LEFT(Table2[[#This Row],[Description]],75)</f>
        <v>Cub Foods</v>
      </c>
      <c r="P6006" s="2" t="s">
        <v>2370</v>
      </c>
    </row>
    <row r="6007" spans="1:16" hidden="1">
      <c r="A6007" s="2">
        <v>202111</v>
      </c>
      <c r="B6007" s="3">
        <v>44507</v>
      </c>
      <c r="C6007" s="2" t="s">
        <v>2262</v>
      </c>
      <c r="D6007" s="2" t="s">
        <v>684</v>
      </c>
      <c r="E6007" s="2">
        <v>50.79</v>
      </c>
      <c r="F6007" s="2" t="str">
        <f>IF(Table2[[#This Row],[Manual Cat Value]]="",VLOOKUP(Table2[[#This Row],[Description]],'Actuals Lookup'!D:F,3,0),Table2[[#This Row],[Manual Cat Value]])</f>
        <v>Groceries</v>
      </c>
      <c r="J6007" s="2">
        <v>50.79</v>
      </c>
      <c r="K6007" s="2" t="b">
        <v>0</v>
      </c>
      <c r="L6007" s="2"/>
      <c r="M6007" s="2"/>
      <c r="N6007" s="4" t="s">
        <v>2259</v>
      </c>
      <c r="O6007" s="4" t="str">
        <f>LEFT(Table2[[#This Row],[Description]],75)</f>
        <v>Cub Foods</v>
      </c>
      <c r="P6007" s="2" t="s">
        <v>2370</v>
      </c>
    </row>
    <row r="6008" spans="1:16" hidden="1">
      <c r="A6008" s="2">
        <v>202111</v>
      </c>
      <c r="B6008" s="3">
        <v>44507</v>
      </c>
      <c r="C6008" s="2" t="s">
        <v>2262</v>
      </c>
      <c r="D6008" s="2" t="s">
        <v>1673</v>
      </c>
      <c r="E6008" s="2">
        <v>524.95000000000005</v>
      </c>
      <c r="F6008" s="2" t="e">
        <f>IF(Table2[[#This Row],[Manual Cat Value]]="",VLOOKUP(Table2[[#This Row],[Description]],'Actuals Lookup'!D:F,3,0),Table2[[#This Row],[Manual Cat Value]])</f>
        <v>#N/A</v>
      </c>
      <c r="J6008" s="2">
        <v>524.95000000000005</v>
      </c>
      <c r="K6008" s="2" t="b">
        <v>0</v>
      </c>
      <c r="L6008" s="2"/>
      <c r="M6008" s="2"/>
      <c r="N6008" s="4" t="s">
        <v>2259</v>
      </c>
      <c r="O6008" s="4" t="str">
        <f>LEFT(Table2[[#This Row],[Description]],75)</f>
        <v>SNOWCOMVAIL RESORTS SKI8888380495 CO</v>
      </c>
      <c r="P6008" s="2" t="s">
        <v>2281</v>
      </c>
    </row>
    <row r="6009" spans="1:16" hidden="1">
      <c r="A6009" s="2">
        <v>202111</v>
      </c>
      <c r="B6009" s="3">
        <v>44507</v>
      </c>
      <c r="C6009" s="2" t="s">
        <v>2262</v>
      </c>
      <c r="D6009" s="2" t="s">
        <v>2002</v>
      </c>
      <c r="E6009" s="2">
        <v>21.48</v>
      </c>
      <c r="F6009" s="2" t="e">
        <f>IF(Table2[[#This Row],[Manual Cat Value]]="",VLOOKUP(Table2[[#This Row],[Description]],'Actuals Lookup'!D:F,3,0),Table2[[#This Row],[Manual Cat Value]])</f>
        <v>#N/A</v>
      </c>
      <c r="J6009" s="2">
        <v>21.48</v>
      </c>
      <c r="K6009" s="2" t="b">
        <v>0</v>
      </c>
      <c r="L6009" s="2"/>
      <c r="M6009" s="2"/>
      <c r="N6009" s="4" t="s">
        <v>2259</v>
      </c>
      <c r="O6009" s="4" t="str">
        <f>LEFT(Table2[[#This Row],[Description]],75)</f>
        <v>True Value</v>
      </c>
      <c r="P6009" s="2" t="s">
        <v>2490</v>
      </c>
    </row>
    <row r="6010" spans="1:16" hidden="1">
      <c r="A6010" s="2">
        <v>202111</v>
      </c>
      <c r="B6010" s="3">
        <v>44508</v>
      </c>
      <c r="C6010" s="2" t="s">
        <v>2262</v>
      </c>
      <c r="D6010" s="2" t="s">
        <v>702</v>
      </c>
      <c r="E6010" s="2">
        <v>547.79999999999995</v>
      </c>
      <c r="F6010" s="2" t="e">
        <f>IF(Table2[[#This Row],[Manual Cat Value]]="",VLOOKUP(Table2[[#This Row],[Description]],'Actuals Lookup'!D:F,3,0),Table2[[#This Row],[Manual Cat Value]])</f>
        <v>#N/A</v>
      </c>
      <c r="J6010" s="2">
        <v>547.79999999999995</v>
      </c>
      <c r="K6010" s="2" t="b">
        <v>0</v>
      </c>
      <c r="L6010" s="2"/>
      <c r="M6010" s="2"/>
      <c r="N6010" s="4" t="s">
        <v>2259</v>
      </c>
      <c r="O6010" s="4" t="str">
        <f>LEFT(Table2[[#This Row],[Description]],75)</f>
        <v>Delta</v>
      </c>
      <c r="P6010" s="2" t="s">
        <v>2510</v>
      </c>
    </row>
    <row r="6011" spans="1:16" hidden="1">
      <c r="A6011" s="2">
        <v>202111</v>
      </c>
      <c r="B6011" s="3">
        <v>44508</v>
      </c>
      <c r="C6011" s="2" t="s">
        <v>2265</v>
      </c>
      <c r="D6011" s="2" t="s">
        <v>1471</v>
      </c>
      <c r="E6011" s="2">
        <v>15.11</v>
      </c>
      <c r="F6011" s="2" t="str">
        <f>IF(Table2[[#This Row],[Manual Cat Value]]="",VLOOKUP(Table2[[#This Row],[Description]],'Actuals Lookup'!D:F,3,0),Table2[[#This Row],[Manual Cat Value]])</f>
        <v>Shopping</v>
      </c>
      <c r="J6011" s="2">
        <v>15.11</v>
      </c>
      <c r="K6011" s="2" t="b">
        <v>0</v>
      </c>
      <c r="L6011" s="2"/>
      <c r="M6011" s="2"/>
      <c r="N6011" s="4" t="s">
        <v>2259</v>
      </c>
      <c r="O6011" s="4" t="str">
        <f>LEFT(Table2[[#This Row],[Description]],75)</f>
        <v>PayPal</v>
      </c>
      <c r="P6011" s="2" t="s">
        <v>2322</v>
      </c>
    </row>
    <row r="6012" spans="1:16" hidden="1">
      <c r="A6012" s="2">
        <v>202111</v>
      </c>
      <c r="B6012" s="3">
        <v>44508</v>
      </c>
      <c r="C6012" s="2" t="s">
        <v>2317</v>
      </c>
      <c r="D6012" s="2" t="s">
        <v>1635</v>
      </c>
      <c r="E6012" s="2">
        <v>200</v>
      </c>
      <c r="F6012" s="2" t="e">
        <f>IF(Table2[[#This Row],[Manual Cat Value]]="",VLOOKUP(Table2[[#This Row],[Description]],'Actuals Lookup'!D:F,3,0),Table2[[#This Row],[Manual Cat Value]])</f>
        <v>#N/A</v>
      </c>
      <c r="J6012" s="2">
        <v>200</v>
      </c>
      <c r="K6012" s="2" t="b">
        <v>0</v>
      </c>
      <c r="L6012" s="2"/>
      <c r="M6012" s="2"/>
      <c r="N6012" s="4" t="s">
        <v>2259</v>
      </c>
      <c r="O6012" s="4" t="str">
        <f>LEFT(Table2[[#This Row],[Description]],75)</f>
        <v>SCHWAB TOTAL STOCK MKT INDEX</v>
      </c>
      <c r="P6012" s="2" t="s">
        <v>2278</v>
      </c>
    </row>
    <row r="6013" spans="1:16" hidden="1">
      <c r="A6013" s="2">
        <v>202111</v>
      </c>
      <c r="B6013" s="3">
        <v>44508</v>
      </c>
      <c r="C6013" s="2" t="s">
        <v>2265</v>
      </c>
      <c r="D6013" s="2" t="s">
        <v>1945</v>
      </c>
      <c r="E6013" s="2">
        <v>-115</v>
      </c>
      <c r="F6013" s="2" t="e">
        <f>IF(Table2[[#This Row],[Manual Cat Value]]="",VLOOKUP(Table2[[#This Row],[Description]],'Actuals Lookup'!D:F,3,0),Table2[[#This Row],[Manual Cat Value]])</f>
        <v>#N/A</v>
      </c>
      <c r="J6013" s="2">
        <v>115</v>
      </c>
      <c r="K6013" s="2" t="b">
        <v>0</v>
      </c>
      <c r="L6013" s="2"/>
      <c r="M6013" s="2"/>
      <c r="N6013" s="4" t="s">
        <v>2273</v>
      </c>
      <c r="O6013" s="4" t="str">
        <f>LEFT(Table2[[#This Row],[Description]],75)</f>
        <v>Transfer from PayPal PAYPAL TYPE TRANSFER ID PAYPALSD11 CO PAYPAL ACH ECC P</v>
      </c>
      <c r="P6013" s="2" t="s">
        <v>2322</v>
      </c>
    </row>
    <row r="6014" spans="1:16" hidden="1">
      <c r="A6014" s="2">
        <v>202111</v>
      </c>
      <c r="B6014" s="3">
        <v>44508</v>
      </c>
      <c r="C6014" s="2" t="s">
        <v>2265</v>
      </c>
      <c r="D6014" s="2" t="s">
        <v>2140</v>
      </c>
      <c r="E6014" s="2">
        <v>131.22</v>
      </c>
      <c r="F6014" s="2" t="e">
        <f>IF(Table2[[#This Row],[Manual Cat Value]]="",VLOOKUP(Table2[[#This Row],[Description]],'Actuals Lookup'!D:F,3,0),Table2[[#This Row],[Manual Cat Value]])</f>
        <v>#N/A</v>
      </c>
      <c r="J6014" s="2">
        <v>131.22</v>
      </c>
      <c r="K6014" s="2" t="b">
        <v>0</v>
      </c>
      <c r="L6014" s="2"/>
      <c r="M6014" s="2"/>
      <c r="N6014" s="4" t="s">
        <v>2259</v>
      </c>
      <c r="O6014" s="4" t="str">
        <f>LEFT(Table2[[#This Row],[Description]],75)</f>
        <v>Waste Management</v>
      </c>
      <c r="P6014" s="2" t="s">
        <v>2318</v>
      </c>
    </row>
    <row r="6015" spans="1:16" hidden="1">
      <c r="A6015" s="2">
        <v>202111</v>
      </c>
      <c r="B6015" s="3">
        <v>44509</v>
      </c>
      <c r="C6015" s="2" t="s">
        <v>2317</v>
      </c>
      <c r="D6015" s="2" t="s">
        <v>305</v>
      </c>
      <c r="E6015" s="2">
        <v>-1092.24</v>
      </c>
      <c r="F6015" s="2" t="e">
        <f>IF(Table2[[#This Row],[Manual Cat Value]]="",VLOOKUP(Table2[[#This Row],[Description]],'Actuals Lookup'!D:F,3,0),Table2[[#This Row],[Manual Cat Value]])</f>
        <v>#N/A</v>
      </c>
      <c r="J6015" s="2">
        <v>1092.24</v>
      </c>
      <c r="K6015" s="2" t="b">
        <v>0</v>
      </c>
      <c r="L6015" s="2"/>
      <c r="M6015" s="2"/>
      <c r="N6015" s="4" t="s">
        <v>2273</v>
      </c>
      <c r="O6015" s="4" t="str">
        <f>LEFT(Table2[[#This Row],[Description]],75)</f>
        <v>BOEING CO</v>
      </c>
      <c r="P6015" s="2" t="s">
        <v>2425</v>
      </c>
    </row>
    <row r="6016" spans="1:16" hidden="1">
      <c r="A6016" s="2">
        <v>202111</v>
      </c>
      <c r="B6016" s="3">
        <v>44509</v>
      </c>
      <c r="C6016" s="2" t="s">
        <v>2265</v>
      </c>
      <c r="D6016" s="2" t="s">
        <v>1196</v>
      </c>
      <c r="E6016" s="2">
        <v>528.79999999999995</v>
      </c>
      <c r="F6016" s="2" t="e">
        <f>IF(Table2[[#This Row],[Manual Cat Value]]="",VLOOKUP(Table2[[#This Row],[Description]],'Actuals Lookup'!D:F,3,0),Table2[[#This Row],[Manual Cat Value]])</f>
        <v>#N/A</v>
      </c>
      <c r="J6016" s="2">
        <v>528.79999999999995</v>
      </c>
      <c r="K6016" s="2" t="b">
        <v>0</v>
      </c>
      <c r="L6016" s="2"/>
      <c r="M6016" s="2"/>
      <c r="N6016" s="4" t="s">
        <v>2259</v>
      </c>
      <c r="O6016" s="4" t="str">
        <f>LEFT(Table2[[#This Row],[Description]],75)</f>
        <v>MHCHILDCARELLC TYPE DUES ID CO M MHCHILDCARELLC TYPE DUES ID CO MHCHILDCARE</v>
      </c>
      <c r="P6016" s="2" t="s">
        <v>2497</v>
      </c>
    </row>
    <row r="6017" spans="1:16" hidden="1">
      <c r="A6017" s="2">
        <v>202111</v>
      </c>
      <c r="B6017" s="3">
        <v>44509</v>
      </c>
      <c r="C6017" s="2" t="s">
        <v>2262</v>
      </c>
      <c r="D6017" s="2" t="s">
        <v>1479</v>
      </c>
      <c r="E6017" s="2">
        <v>41.94</v>
      </c>
      <c r="F6017" s="2" t="e">
        <f>IF(Table2[[#This Row],[Manual Cat Value]]="",VLOOKUP(Table2[[#This Row],[Description]],'Actuals Lookup'!D:F,3,0),Table2[[#This Row],[Manual Cat Value]])</f>
        <v>#N/A</v>
      </c>
      <c r="J6017" s="2">
        <v>41.94</v>
      </c>
      <c r="K6017" s="2" t="b">
        <v>0</v>
      </c>
      <c r="L6017" s="2"/>
      <c r="M6017" s="2"/>
      <c r="N6017" s="4" t="s">
        <v>2259</v>
      </c>
      <c r="O6017" s="4" t="str">
        <f>LEFT(Table2[[#This Row],[Description]],75)</f>
        <v>Peloton Cycles PELOTON MEMBERSHIP HTTPSWWWONEPNY</v>
      </c>
      <c r="P6017" s="2" t="s">
        <v>2584</v>
      </c>
    </row>
    <row r="6018" spans="1:16" hidden="1">
      <c r="A6018" s="2">
        <v>202111</v>
      </c>
      <c r="B6018" s="3">
        <v>44530</v>
      </c>
      <c r="C6018" s="2" t="s">
        <v>2447</v>
      </c>
      <c r="D6018" s="2" t="s">
        <v>38</v>
      </c>
      <c r="E6018" s="2">
        <v>-29.99</v>
      </c>
      <c r="F6018" s="2" t="str">
        <f>IF(Table2[[#This Row],[Manual Cat Value]]="",VLOOKUP(Table2[[#This Row],[Description]],'Actuals Lookup'!D:F,3,0),Table2[[#This Row],[Manual Cat Value]])</f>
        <v>Amazon</v>
      </c>
      <c r="J6018" s="2">
        <v>29.99</v>
      </c>
      <c r="K6018" s="2" t="b">
        <v>0</v>
      </c>
      <c r="L6018" s="2"/>
      <c r="M6018" s="2"/>
      <c r="N6018" s="4" t="s">
        <v>2273</v>
      </c>
      <c r="O6018" s="4" t="str">
        <f>LEFT(Table2[[#This Row],[Description]],75)</f>
        <v>Amazon</v>
      </c>
      <c r="P6018" s="2" t="s">
        <v>2260</v>
      </c>
    </row>
    <row r="6019" spans="1:16" hidden="1">
      <c r="A6019" s="2">
        <v>202111</v>
      </c>
      <c r="B6019" s="3">
        <v>44530</v>
      </c>
      <c r="C6019" s="2" t="s">
        <v>2262</v>
      </c>
      <c r="D6019" s="2" t="s">
        <v>38</v>
      </c>
      <c r="E6019" s="2">
        <v>10.73</v>
      </c>
      <c r="F6019" s="2" t="str">
        <f>IF(Table2[[#This Row],[Manual Cat Value]]="",VLOOKUP(Table2[[#This Row],[Description]],'Actuals Lookup'!D:F,3,0),Table2[[#This Row],[Manual Cat Value]])</f>
        <v>Amazon</v>
      </c>
      <c r="J6019" s="2">
        <v>10.73</v>
      </c>
      <c r="K6019" s="2" t="b">
        <v>0</v>
      </c>
      <c r="L6019" s="2"/>
      <c r="M6019" s="2"/>
      <c r="N6019" s="4" t="s">
        <v>2259</v>
      </c>
      <c r="O6019" s="4" t="str">
        <f>LEFT(Table2[[#This Row],[Description]],75)</f>
        <v>Amazon</v>
      </c>
      <c r="P6019" s="2" t="s">
        <v>2260</v>
      </c>
    </row>
    <row r="6020" spans="1:16" hidden="1">
      <c r="A6020" s="2">
        <v>202111</v>
      </c>
      <c r="B6020" s="3">
        <v>44530</v>
      </c>
      <c r="C6020" s="2" t="s">
        <v>2262</v>
      </c>
      <c r="D6020" s="2" t="s">
        <v>38</v>
      </c>
      <c r="E6020" s="2">
        <v>48.28</v>
      </c>
      <c r="F6020" s="2" t="str">
        <f>IF(Table2[[#This Row],[Manual Cat Value]]="",VLOOKUP(Table2[[#This Row],[Description]],'Actuals Lookup'!D:F,3,0),Table2[[#This Row],[Manual Cat Value]])</f>
        <v>Amazon</v>
      </c>
      <c r="J6020" s="2">
        <v>48.28</v>
      </c>
      <c r="K6020" s="2" t="b">
        <v>0</v>
      </c>
      <c r="L6020" s="2"/>
      <c r="M6020" s="2"/>
      <c r="N6020" s="4" t="s">
        <v>2259</v>
      </c>
      <c r="O6020" s="4" t="str">
        <f>LEFT(Table2[[#This Row],[Description]],75)</f>
        <v>Amazon</v>
      </c>
      <c r="P6020" s="2" t="s">
        <v>2260</v>
      </c>
    </row>
    <row r="6021" spans="1:16" hidden="1">
      <c r="A6021" s="2">
        <v>202111</v>
      </c>
      <c r="B6021" s="3">
        <v>44530</v>
      </c>
      <c r="C6021" s="2" t="s">
        <v>2262</v>
      </c>
      <c r="D6021" s="2" t="s">
        <v>38</v>
      </c>
      <c r="E6021" s="2">
        <v>8.99</v>
      </c>
      <c r="F6021" s="2" t="str">
        <f>IF(Table2[[#This Row],[Manual Cat Value]]="",VLOOKUP(Table2[[#This Row],[Description]],'Actuals Lookup'!D:F,3,0),Table2[[#This Row],[Manual Cat Value]])</f>
        <v>Amazon</v>
      </c>
      <c r="J6021" s="2">
        <v>8.99</v>
      </c>
      <c r="K6021" s="2" t="b">
        <v>0</v>
      </c>
      <c r="L6021" s="2"/>
      <c r="M6021" s="2"/>
      <c r="N6021" s="4" t="s">
        <v>2259</v>
      </c>
      <c r="O6021" s="4" t="str">
        <f>LEFT(Table2[[#This Row],[Description]],75)</f>
        <v>Amazon</v>
      </c>
      <c r="P6021" s="2" t="s">
        <v>2260</v>
      </c>
    </row>
    <row r="6022" spans="1:16" hidden="1">
      <c r="A6022" s="2">
        <v>202111</v>
      </c>
      <c r="B6022" s="3">
        <v>44530</v>
      </c>
      <c r="C6022" s="2" t="s">
        <v>2262</v>
      </c>
      <c r="D6022" s="2" t="s">
        <v>38</v>
      </c>
      <c r="E6022" s="2">
        <v>19.989999999999998</v>
      </c>
      <c r="F6022" s="2" t="str">
        <f>IF(Table2[[#This Row],[Manual Cat Value]]="",VLOOKUP(Table2[[#This Row],[Description]],'Actuals Lookup'!D:F,3,0),Table2[[#This Row],[Manual Cat Value]])</f>
        <v>Amazon</v>
      </c>
      <c r="J6022" s="2">
        <v>19.989999999999998</v>
      </c>
      <c r="K6022" s="2" t="b">
        <v>0</v>
      </c>
      <c r="L6022" s="2"/>
      <c r="M6022" s="2"/>
      <c r="N6022" s="4" t="s">
        <v>2259</v>
      </c>
      <c r="O6022" s="4" t="str">
        <f>LEFT(Table2[[#This Row],[Description]],75)</f>
        <v>Amazon</v>
      </c>
      <c r="P6022" s="2" t="s">
        <v>2260</v>
      </c>
    </row>
    <row r="6023" spans="1:16" hidden="1">
      <c r="A6023" s="2">
        <v>202111</v>
      </c>
      <c r="B6023" s="3">
        <v>44530</v>
      </c>
      <c r="C6023" s="2" t="s">
        <v>2262</v>
      </c>
      <c r="D6023" s="2" t="s">
        <v>38</v>
      </c>
      <c r="E6023" s="2">
        <v>62.26</v>
      </c>
      <c r="F6023" s="2" t="str">
        <f>IF(Table2[[#This Row],[Manual Cat Value]]="",VLOOKUP(Table2[[#This Row],[Description]],'Actuals Lookup'!D:F,3,0),Table2[[#This Row],[Manual Cat Value]])</f>
        <v>Amazon</v>
      </c>
      <c r="J6023" s="2">
        <v>62.26</v>
      </c>
      <c r="K6023" s="2" t="b">
        <v>0</v>
      </c>
      <c r="L6023" s="2"/>
      <c r="M6023" s="2"/>
      <c r="N6023" s="4" t="s">
        <v>2259</v>
      </c>
      <c r="O6023" s="4" t="str">
        <f>LEFT(Table2[[#This Row],[Description]],75)</f>
        <v>Amazon</v>
      </c>
      <c r="P6023" s="2" t="s">
        <v>2260</v>
      </c>
    </row>
    <row r="6024" spans="1:16" hidden="1">
      <c r="A6024" s="2">
        <v>202111</v>
      </c>
      <c r="B6024" s="3">
        <v>44530</v>
      </c>
      <c r="C6024" s="2" t="s">
        <v>2265</v>
      </c>
      <c r="D6024" s="2" t="s">
        <v>131</v>
      </c>
      <c r="E6024" s="2">
        <v>95.49</v>
      </c>
      <c r="F6024" s="2" t="str">
        <f>IF(Table2[[#This Row],[Manual Cat Value]]="",VLOOKUP(Table2[[#This Row],[Description]],'Actuals Lookup'!D:F,3,0),Table2[[#This Row],[Manual Cat Value]])</f>
        <v>Insurance</v>
      </c>
      <c r="J6024" s="2">
        <v>95.49</v>
      </c>
      <c r="K6024" s="2" t="b">
        <v>0</v>
      </c>
      <c r="L6024" s="2"/>
      <c r="M6024" s="2"/>
      <c r="N6024" s="4" t="s">
        <v>2259</v>
      </c>
      <c r="O6024" s="4" t="str">
        <f>LEFT(Table2[[#This Row],[Description]],75)</f>
        <v>American Family Insurance</v>
      </c>
      <c r="P6024" s="2" t="s">
        <v>2286</v>
      </c>
    </row>
    <row r="6025" spans="1:16" hidden="1">
      <c r="A6025" s="2">
        <v>202111</v>
      </c>
      <c r="B6025" s="3">
        <v>44530</v>
      </c>
      <c r="C6025" s="2" t="s">
        <v>2435</v>
      </c>
      <c r="D6025" s="2" t="s">
        <v>164</v>
      </c>
      <c r="E6025" s="2">
        <v>-4.46</v>
      </c>
      <c r="F6025" s="2" t="e">
        <f>IF(Table2[[#This Row],[Manual Cat Value]]="",VLOOKUP(Table2[[#This Row],[Description]],'Actuals Lookup'!D:F,3,0),Table2[[#This Row],[Manual Cat Value]])</f>
        <v>#N/A</v>
      </c>
      <c r="J6025" s="2">
        <v>4.46</v>
      </c>
      <c r="K6025" s="2" t="b">
        <v>0</v>
      </c>
      <c r="L6025" s="2"/>
      <c r="M6025" s="2"/>
      <c r="N6025" s="4" t="s">
        <v>2273</v>
      </c>
      <c r="O6025" s="4" t="str">
        <f>LEFT(Table2[[#This Row],[Description]],75)</f>
        <v>APPLE INC</v>
      </c>
      <c r="P6025" s="2" t="s">
        <v>2405</v>
      </c>
    </row>
    <row r="6026" spans="1:16" hidden="1">
      <c r="A6026" s="2">
        <v>202111</v>
      </c>
      <c r="B6026" s="3">
        <v>44530</v>
      </c>
      <c r="C6026" s="2" t="s">
        <v>2317</v>
      </c>
      <c r="D6026" s="2" t="s">
        <v>164</v>
      </c>
      <c r="E6026" s="2">
        <v>-42.95</v>
      </c>
      <c r="F6026" s="2" t="e">
        <f>IF(Table2[[#This Row],[Manual Cat Value]]="",VLOOKUP(Table2[[#This Row],[Description]],'Actuals Lookup'!D:F,3,0),Table2[[#This Row],[Manual Cat Value]])</f>
        <v>#N/A</v>
      </c>
      <c r="J6026" s="2">
        <v>42.95</v>
      </c>
      <c r="K6026" s="2" t="b">
        <v>0</v>
      </c>
      <c r="L6026" s="2"/>
      <c r="M6026" s="2"/>
      <c r="N6026" s="4" t="s">
        <v>2273</v>
      </c>
      <c r="O6026" s="4" t="str">
        <f>LEFT(Table2[[#This Row],[Description]],75)</f>
        <v>APPLE INC</v>
      </c>
      <c r="P6026" s="2" t="s">
        <v>2405</v>
      </c>
    </row>
    <row r="6027" spans="1:16" hidden="1">
      <c r="A6027" s="2">
        <v>202111</v>
      </c>
      <c r="B6027" s="3">
        <v>44530</v>
      </c>
      <c r="C6027" s="2" t="s">
        <v>2435</v>
      </c>
      <c r="D6027" s="2" t="s">
        <v>164</v>
      </c>
      <c r="E6027" s="2">
        <v>4.46</v>
      </c>
      <c r="F6027" s="2" t="e">
        <f>IF(Table2[[#This Row],[Manual Cat Value]]="",VLOOKUP(Table2[[#This Row],[Description]],'Actuals Lookup'!D:F,3,0),Table2[[#This Row],[Manual Cat Value]])</f>
        <v>#N/A</v>
      </c>
      <c r="J6027" s="2">
        <v>4.46</v>
      </c>
      <c r="K6027" s="2" t="b">
        <v>0</v>
      </c>
      <c r="L6027" s="2"/>
      <c r="M6027" s="2"/>
      <c r="N6027" s="4" t="s">
        <v>2259</v>
      </c>
      <c r="O6027" s="4" t="str">
        <f>LEFT(Table2[[#This Row],[Description]],75)</f>
        <v>APPLE INC</v>
      </c>
      <c r="P6027" s="2" t="s">
        <v>2405</v>
      </c>
    </row>
    <row r="6028" spans="1:16" hidden="1">
      <c r="A6028" s="2">
        <v>202111</v>
      </c>
      <c r="B6028" s="3">
        <v>44530</v>
      </c>
      <c r="C6028" s="2" t="s">
        <v>2317</v>
      </c>
      <c r="D6028" s="2" t="s">
        <v>164</v>
      </c>
      <c r="E6028" s="2">
        <v>42.95</v>
      </c>
      <c r="F6028" s="2" t="e">
        <f>IF(Table2[[#This Row],[Manual Cat Value]]="",VLOOKUP(Table2[[#This Row],[Description]],'Actuals Lookup'!D:F,3,0),Table2[[#This Row],[Manual Cat Value]])</f>
        <v>#N/A</v>
      </c>
      <c r="J6028" s="2">
        <v>42.95</v>
      </c>
      <c r="K6028" s="2" t="b">
        <v>0</v>
      </c>
      <c r="L6028" s="2"/>
      <c r="M6028" s="2"/>
      <c r="N6028" s="4" t="s">
        <v>2259</v>
      </c>
      <c r="O6028" s="4" t="str">
        <f>LEFT(Table2[[#This Row],[Description]],75)</f>
        <v>APPLE INC</v>
      </c>
      <c r="P6028" s="2" t="s">
        <v>2405</v>
      </c>
    </row>
    <row r="6029" spans="1:16" hidden="1">
      <c r="A6029" s="2">
        <v>202111</v>
      </c>
      <c r="B6029" s="3">
        <v>44530</v>
      </c>
      <c r="C6029" s="2" t="s">
        <v>2262</v>
      </c>
      <c r="D6029" s="2" t="s">
        <v>173</v>
      </c>
      <c r="E6029" s="2">
        <v>72</v>
      </c>
      <c r="F6029" s="2" t="e">
        <f>IF(Table2[[#This Row],[Manual Cat Value]]="",VLOOKUP(Table2[[#This Row],[Description]],'Actuals Lookup'!D:F,3,0),Table2[[#This Row],[Manual Cat Value]])</f>
        <v>#N/A</v>
      </c>
      <c r="J6029" s="2">
        <v>72</v>
      </c>
      <c r="K6029" s="2" t="b">
        <v>0</v>
      </c>
      <c r="L6029" s="2"/>
      <c r="M6029" s="2"/>
      <c r="N6029" s="4" t="s">
        <v>2259</v>
      </c>
      <c r="O6029" s="4" t="str">
        <f>LEFT(Table2[[#This Row],[Description]],75)</f>
        <v>ASHA GOLDCOAST DELAWAR CHICAGO IL</v>
      </c>
      <c r="P6029" s="2" t="s">
        <v>2281</v>
      </c>
    </row>
    <row r="6030" spans="1:16" hidden="1">
      <c r="A6030" s="2">
        <v>202111</v>
      </c>
      <c r="B6030" s="3">
        <v>44530</v>
      </c>
      <c r="C6030" s="2" t="s">
        <v>2434</v>
      </c>
      <c r="D6030" s="2" t="s">
        <v>242</v>
      </c>
      <c r="E6030" s="2">
        <v>-0.11</v>
      </c>
      <c r="F6030" s="2" t="e">
        <f>IF(Table2[[#This Row],[Manual Cat Value]]="",VLOOKUP(Table2[[#This Row],[Description]],'Actuals Lookup'!D:F,3,0),Table2[[#This Row],[Manual Cat Value]])</f>
        <v>#N/A</v>
      </c>
      <c r="J6030" s="2">
        <v>0.11</v>
      </c>
      <c r="K6030" s="2" t="b">
        <v>0</v>
      </c>
      <c r="L6030" s="2"/>
      <c r="M6030" s="2"/>
      <c r="N6030" s="4" t="s">
        <v>2273</v>
      </c>
      <c r="O6030" s="4" t="str">
        <f>LEFT(Table2[[#This Row],[Description]],75)</f>
        <v>BANK INT 101621-111521 SCHWAB PREMIER BANK</v>
      </c>
      <c r="P6030" s="2" t="s">
        <v>2281</v>
      </c>
    </row>
    <row r="6031" spans="1:16" hidden="1">
      <c r="A6031" s="2">
        <v>202111</v>
      </c>
      <c r="B6031" s="3">
        <v>44530</v>
      </c>
      <c r="C6031" s="2" t="s">
        <v>2488</v>
      </c>
      <c r="D6031" s="2" t="s">
        <v>242</v>
      </c>
      <c r="E6031" s="2">
        <v>-0.01</v>
      </c>
      <c r="F6031" s="2" t="e">
        <f>IF(Table2[[#This Row],[Manual Cat Value]]="",VLOOKUP(Table2[[#This Row],[Description]],'Actuals Lookup'!D:F,3,0),Table2[[#This Row],[Manual Cat Value]])</f>
        <v>#N/A</v>
      </c>
      <c r="J6031" s="2">
        <v>0.01</v>
      </c>
      <c r="K6031" s="2" t="b">
        <v>0</v>
      </c>
      <c r="L6031" s="2"/>
      <c r="M6031" s="2"/>
      <c r="N6031" s="4" t="s">
        <v>2273</v>
      </c>
      <c r="O6031" s="4" t="str">
        <f>LEFT(Table2[[#This Row],[Description]],75)</f>
        <v>BANK INT 101621-111521 SCHWAB PREMIER BANK</v>
      </c>
      <c r="P6031" s="2" t="s">
        <v>2281</v>
      </c>
    </row>
    <row r="6032" spans="1:16" hidden="1">
      <c r="A6032" s="2">
        <v>202111</v>
      </c>
      <c r="B6032" s="3">
        <v>44530</v>
      </c>
      <c r="C6032" s="2" t="s">
        <v>2435</v>
      </c>
      <c r="D6032" s="2" t="s">
        <v>242</v>
      </c>
      <c r="E6032" s="2">
        <v>-0.04</v>
      </c>
      <c r="F6032" s="2" t="e">
        <f>IF(Table2[[#This Row],[Manual Cat Value]]="",VLOOKUP(Table2[[#This Row],[Description]],'Actuals Lookup'!D:F,3,0),Table2[[#This Row],[Manual Cat Value]])</f>
        <v>#N/A</v>
      </c>
      <c r="J6032" s="2">
        <v>0.04</v>
      </c>
      <c r="K6032" s="2" t="b">
        <v>0</v>
      </c>
      <c r="L6032" s="2"/>
      <c r="M6032" s="2"/>
      <c r="N6032" s="4" t="s">
        <v>2273</v>
      </c>
      <c r="O6032" s="4" t="str">
        <f>LEFT(Table2[[#This Row],[Description]],75)</f>
        <v>BANK INT 101621-111521 SCHWAB PREMIER BANK</v>
      </c>
      <c r="P6032" s="2" t="s">
        <v>2281</v>
      </c>
    </row>
    <row r="6033" spans="1:16" hidden="1">
      <c r="A6033" s="2">
        <v>202111</v>
      </c>
      <c r="B6033" s="3">
        <v>44530</v>
      </c>
      <c r="C6033" s="2" t="s">
        <v>2317</v>
      </c>
      <c r="D6033" s="2" t="s">
        <v>305</v>
      </c>
      <c r="E6033" s="2">
        <v>-660.28</v>
      </c>
      <c r="F6033" s="2" t="e">
        <f>IF(Table2[[#This Row],[Manual Cat Value]]="",VLOOKUP(Table2[[#This Row],[Description]],'Actuals Lookup'!D:F,3,0),Table2[[#This Row],[Manual Cat Value]])</f>
        <v>#N/A</v>
      </c>
      <c r="J6033" s="2">
        <v>660.28</v>
      </c>
      <c r="K6033" s="2" t="b">
        <v>0</v>
      </c>
      <c r="L6033" s="2"/>
      <c r="M6033" s="2"/>
      <c r="N6033" s="4" t="s">
        <v>2273</v>
      </c>
      <c r="O6033" s="4" t="str">
        <f>LEFT(Table2[[#This Row],[Description]],75)</f>
        <v>BOEING CO</v>
      </c>
      <c r="P6033" s="2" t="s">
        <v>2425</v>
      </c>
    </row>
    <row r="6034" spans="1:16" hidden="1">
      <c r="A6034" s="2">
        <v>202111</v>
      </c>
      <c r="B6034" s="3">
        <v>44530</v>
      </c>
      <c r="C6034" s="2" t="s">
        <v>2262</v>
      </c>
      <c r="D6034" s="2" t="s">
        <v>310</v>
      </c>
      <c r="E6034" s="2">
        <v>9</v>
      </c>
      <c r="F6034" s="2" t="e">
        <f>IF(Table2[[#This Row],[Manual Cat Value]]="",VLOOKUP(Table2[[#This Row],[Description]],'Actuals Lookup'!D:F,3,0),Table2[[#This Row],[Manual Cat Value]])</f>
        <v>#N/A</v>
      </c>
      <c r="J6034" s="2">
        <v>9</v>
      </c>
      <c r="K6034" s="2" t="b">
        <v>0</v>
      </c>
      <c r="L6034" s="2"/>
      <c r="M6034" s="2"/>
      <c r="N6034" s="4" t="s">
        <v>2259</v>
      </c>
      <c r="O6034" s="4" t="str">
        <f>LEFT(Table2[[#This Row],[Description]],75)</f>
        <v>BONFES PLUMBING HEATING ASOUTH SAINT PMN</v>
      </c>
      <c r="P6034" s="2" t="s">
        <v>2537</v>
      </c>
    </row>
    <row r="6035" spans="1:16" hidden="1">
      <c r="A6035" s="2">
        <v>202111</v>
      </c>
      <c r="B6035" s="3">
        <v>44530</v>
      </c>
      <c r="C6035" s="2" t="s">
        <v>2262</v>
      </c>
      <c r="D6035" s="2" t="s">
        <v>338</v>
      </c>
      <c r="E6035" s="2">
        <v>33.93</v>
      </c>
      <c r="F6035" s="2" t="e">
        <f>IF(Table2[[#This Row],[Manual Cat Value]]="",VLOOKUP(Table2[[#This Row],[Description]],'Actuals Lookup'!D:F,3,0),Table2[[#This Row],[Manual Cat Value]])</f>
        <v>#N/A</v>
      </c>
      <c r="J6035" s="2">
        <v>33.93</v>
      </c>
      <c r="K6035" s="2" t="b">
        <v>0</v>
      </c>
      <c r="L6035" s="2"/>
      <c r="M6035" s="2"/>
      <c r="N6035" s="4" t="s">
        <v>2259</v>
      </c>
      <c r="O6035" s="4" t="str">
        <f>LEFT(Table2[[#This Row],[Description]],75)</f>
        <v>Byerly's</v>
      </c>
      <c r="P6035" s="2" t="s">
        <v>2364</v>
      </c>
    </row>
    <row r="6036" spans="1:16" hidden="1">
      <c r="A6036" s="2">
        <v>202111</v>
      </c>
      <c r="B6036" s="3">
        <v>44530</v>
      </c>
      <c r="C6036" s="2" t="s">
        <v>2265</v>
      </c>
      <c r="D6036" s="2" t="s">
        <v>412</v>
      </c>
      <c r="E6036" s="2">
        <v>-3042.82</v>
      </c>
      <c r="F6036" s="2" t="e">
        <f>IF(Table2[[#This Row],[Manual Cat Value]]="",VLOOKUP(Table2[[#This Row],[Description]],'Actuals Lookup'!D:F,3,0),Table2[[#This Row],[Manual Cat Value]])</f>
        <v>#N/A</v>
      </c>
      <c r="J6036" s="2">
        <v>3042.82</v>
      </c>
      <c r="K6036" s="2" t="b">
        <v>0</v>
      </c>
      <c r="L6036" s="2"/>
      <c r="M6036" s="2"/>
      <c r="N6036" s="4" t="s">
        <v>2273</v>
      </c>
      <c r="O6036" s="4" t="str">
        <f>LEFT(Table2[[#This Row],[Description]],75)</f>
        <v>Cargill Inc Deposit CARGILL INCORPOR TYPE DIRECT DEP ID CO CARGILL INCORPOR</v>
      </c>
      <c r="P6036" s="2" t="s">
        <v>2545</v>
      </c>
    </row>
    <row r="6037" spans="1:16" hidden="1">
      <c r="A6037" s="2">
        <v>202111</v>
      </c>
      <c r="B6037" s="3">
        <v>44530</v>
      </c>
      <c r="C6037" s="2" t="s">
        <v>2265</v>
      </c>
      <c r="D6037" s="2" t="s">
        <v>415</v>
      </c>
      <c r="E6037" s="2">
        <v>-2971.03</v>
      </c>
      <c r="F6037" s="2" t="e">
        <f>IF(Table2[[#This Row],[Manual Cat Value]]="",VLOOKUP(Table2[[#This Row],[Description]],'Actuals Lookup'!D:F,3,0),Table2[[#This Row],[Manual Cat Value]])</f>
        <v>#N/A</v>
      </c>
      <c r="J6037" s="2">
        <v>2971.03</v>
      </c>
      <c r="K6037" s="2" t="b">
        <v>0</v>
      </c>
      <c r="L6037" s="2"/>
      <c r="M6037" s="2"/>
      <c r="N6037" s="4" t="s">
        <v>2273</v>
      </c>
      <c r="O6037" s="4" t="str">
        <f>LEFT(Table2[[#This Row],[Description]],75)</f>
        <v>Cargill Inc Deposit CARGILL INCORPOR TYPE DIRECT DEP ID CO CARGILL INCORPOR</v>
      </c>
      <c r="P6037" s="2" t="s">
        <v>2545</v>
      </c>
    </row>
    <row r="6038" spans="1:16" hidden="1">
      <c r="A6038" s="2">
        <v>202111</v>
      </c>
      <c r="B6038" s="3">
        <v>44530</v>
      </c>
      <c r="C6038" s="2" t="s">
        <v>2317</v>
      </c>
      <c r="D6038" s="2" t="s">
        <v>424</v>
      </c>
      <c r="E6038" s="2">
        <v>-200</v>
      </c>
      <c r="F6038" s="2" t="e">
        <f>IF(Table2[[#This Row],[Manual Cat Value]]="",VLOOKUP(Table2[[#This Row],[Description]],'Actuals Lookup'!D:F,3,0),Table2[[#This Row],[Manual Cat Value]])</f>
        <v>#N/A</v>
      </c>
      <c r="J6038" s="2">
        <v>200</v>
      </c>
      <c r="K6038" s="2" t="b">
        <v>0</v>
      </c>
      <c r="L6038" s="2"/>
      <c r="M6038" s="2"/>
      <c r="N6038" s="4" t="s">
        <v>2273</v>
      </c>
      <c r="O6038" s="4" t="str">
        <f>LEFT(Table2[[#This Row],[Description]],75)</f>
        <v>CARGILL INCORPOR</v>
      </c>
      <c r="P6038" s="2" t="s">
        <v>2385</v>
      </c>
    </row>
    <row r="6039" spans="1:16" hidden="1">
      <c r="A6039" s="2">
        <v>202111</v>
      </c>
      <c r="B6039" s="3">
        <v>44530</v>
      </c>
      <c r="C6039" s="2" t="s">
        <v>2317</v>
      </c>
      <c r="D6039" s="2" t="s">
        <v>424</v>
      </c>
      <c r="E6039" s="2">
        <v>-200</v>
      </c>
      <c r="F6039" s="2" t="e">
        <f>IF(Table2[[#This Row],[Manual Cat Value]]="",VLOOKUP(Table2[[#This Row],[Description]],'Actuals Lookup'!D:F,3,0),Table2[[#This Row],[Manual Cat Value]])</f>
        <v>#N/A</v>
      </c>
      <c r="J6039" s="2">
        <v>200</v>
      </c>
      <c r="K6039" s="2" t="b">
        <v>0</v>
      </c>
      <c r="L6039" s="2"/>
      <c r="M6039" s="2"/>
      <c r="N6039" s="4" t="s">
        <v>2273</v>
      </c>
      <c r="O6039" s="4" t="str">
        <f>LEFT(Table2[[#This Row],[Description]],75)</f>
        <v>CARGILL INCORPOR</v>
      </c>
      <c r="P6039" s="2" t="s">
        <v>2385</v>
      </c>
    </row>
    <row r="6040" spans="1:16" hidden="1">
      <c r="A6040" s="2">
        <v>202111</v>
      </c>
      <c r="B6040" s="3">
        <v>44530</v>
      </c>
      <c r="C6040" s="2" t="s">
        <v>2265</v>
      </c>
      <c r="D6040" s="2" t="s">
        <v>425</v>
      </c>
      <c r="E6040" s="2">
        <v>-75</v>
      </c>
      <c r="F6040" s="2" t="e">
        <f>IF(Table2[[#This Row],[Manual Cat Value]]="",VLOOKUP(Table2[[#This Row],[Description]],'Actuals Lookup'!D:F,3,0),Table2[[#This Row],[Manual Cat Value]])</f>
        <v>#N/A</v>
      </c>
      <c r="J6040" s="2">
        <v>75</v>
      </c>
      <c r="K6040" s="2" t="b">
        <v>0</v>
      </c>
      <c r="L6040" s="2"/>
      <c r="M6040" s="2"/>
      <c r="N6040" s="4" t="s">
        <v>2273</v>
      </c>
      <c r="O6040" s="4" t="str">
        <f>LEFT(Table2[[#This Row],[Description]],75)</f>
        <v>Cargill Incorpor Type</v>
      </c>
      <c r="P6040" s="2" t="s">
        <v>2282</v>
      </c>
    </row>
    <row r="6041" spans="1:16" hidden="1">
      <c r="A6041" s="2">
        <v>202111</v>
      </c>
      <c r="B6041" s="3">
        <v>44530</v>
      </c>
      <c r="C6041" s="2" t="s">
        <v>2262</v>
      </c>
      <c r="D6041" s="2" t="s">
        <v>506</v>
      </c>
      <c r="E6041" s="2">
        <v>45</v>
      </c>
      <c r="F6041" s="2" t="str">
        <f>IF(Table2[[#This Row],[Manual Cat Value]]="",VLOOKUP(Table2[[#This Row],[Description]],'Actuals Lookup'!D:F,3,0),Table2[[#This Row],[Manual Cat Value]])</f>
        <v>Utilities</v>
      </c>
      <c r="J6041" s="2">
        <v>45</v>
      </c>
      <c r="K6041" s="2" t="b">
        <v>0</v>
      </c>
      <c r="L6041" s="2"/>
      <c r="M6041" s="2"/>
      <c r="N6041" s="4" t="s">
        <v>2259</v>
      </c>
      <c r="O6041" s="4" t="str">
        <f>LEFT(Table2[[#This Row],[Description]],75)</f>
        <v>CenturyLink</v>
      </c>
      <c r="P6041" s="2" t="s">
        <v>2408</v>
      </c>
    </row>
    <row r="6042" spans="1:16" hidden="1">
      <c r="A6042" s="2">
        <v>202111</v>
      </c>
      <c r="B6042" s="3">
        <v>44530</v>
      </c>
      <c r="C6042" s="2" t="s">
        <v>2262</v>
      </c>
      <c r="D6042" s="2" t="s">
        <v>543</v>
      </c>
      <c r="E6042" s="2">
        <v>25.72</v>
      </c>
      <c r="F6042" s="2" t="e">
        <f>IF(Table2[[#This Row],[Manual Cat Value]]="",VLOOKUP(Table2[[#This Row],[Description]],'Actuals Lookup'!D:F,3,0),Table2[[#This Row],[Manual Cat Value]])</f>
        <v>#N/A</v>
      </c>
      <c r="J6042" s="2">
        <v>25.72</v>
      </c>
      <c r="K6042" s="2" t="b">
        <v>0</v>
      </c>
      <c r="L6042" s="2"/>
      <c r="M6042" s="2"/>
      <c r="N6042" s="4" t="s">
        <v>2259</v>
      </c>
      <c r="O6042" s="4" t="str">
        <f>LEFT(Table2[[#This Row],[Description]],75)</f>
        <v>Chipotle</v>
      </c>
      <c r="P6042" s="2" t="s">
        <v>2341</v>
      </c>
    </row>
    <row r="6043" spans="1:16" hidden="1">
      <c r="A6043" s="2">
        <v>202111</v>
      </c>
      <c r="B6043" s="3">
        <v>44530</v>
      </c>
      <c r="C6043" s="2" t="s">
        <v>2265</v>
      </c>
      <c r="D6043" s="2" t="s">
        <v>557</v>
      </c>
      <c r="E6043" s="2">
        <v>70.88</v>
      </c>
      <c r="F6043" s="2" t="e">
        <f>IF(Table2[[#This Row],[Manual Cat Value]]="",VLOOKUP(Table2[[#This Row],[Description]],'Actuals Lookup'!D:F,3,0),Table2[[#This Row],[Manual Cat Value]])</f>
        <v>#N/A</v>
      </c>
      <c r="J6043" s="2">
        <v>70.88</v>
      </c>
      <c r="K6043" s="2" t="b">
        <v>0</v>
      </c>
      <c r="L6043" s="2"/>
      <c r="M6043" s="2"/>
      <c r="N6043" s="4" t="s">
        <v>2259</v>
      </c>
      <c r="O6043" s="4" t="str">
        <f>LEFT(Table2[[#This Row],[Description]],75)</f>
        <v>City of Chanhassen</v>
      </c>
      <c r="P6043" s="2" t="s">
        <v>2298</v>
      </c>
    </row>
    <row r="6044" spans="1:16" hidden="1">
      <c r="A6044" s="2">
        <v>202111</v>
      </c>
      <c r="B6044" s="3">
        <v>44530</v>
      </c>
      <c r="C6044" s="2" t="s">
        <v>2262</v>
      </c>
      <c r="D6044" s="2" t="s">
        <v>567</v>
      </c>
      <c r="E6044" s="2">
        <v>140.63</v>
      </c>
      <c r="F6044" s="2" t="e">
        <f>IF(Table2[[#This Row],[Manual Cat Value]]="",VLOOKUP(Table2[[#This Row],[Description]],'Actuals Lookup'!D:F,3,0),Table2[[#This Row],[Manual Cat Value]])</f>
        <v>#N/A</v>
      </c>
      <c r="J6044" s="2">
        <v>140.63</v>
      </c>
      <c r="K6044" s="2" t="b">
        <v>0</v>
      </c>
      <c r="L6044" s="2"/>
      <c r="M6044" s="2"/>
      <c r="N6044" s="4" t="s">
        <v>2259</v>
      </c>
      <c r="O6044" s="4" t="str">
        <f>LEFT(Table2[[#This Row],[Description]],75)</f>
        <v>Coalition</v>
      </c>
      <c r="P6044" s="2" t="s">
        <v>2458</v>
      </c>
    </row>
    <row r="6045" spans="1:16" hidden="1">
      <c r="A6045" s="2">
        <v>202111</v>
      </c>
      <c r="B6045" s="3">
        <v>44530</v>
      </c>
      <c r="C6045" s="2" t="s">
        <v>2262</v>
      </c>
      <c r="D6045" s="2" t="s">
        <v>569</v>
      </c>
      <c r="E6045" s="2">
        <v>17.5</v>
      </c>
      <c r="F6045" s="2" t="e">
        <f>IF(Table2[[#This Row],[Manual Cat Value]]="",VLOOKUP(Table2[[#This Row],[Description]],'Actuals Lookup'!D:F,3,0),Table2[[#This Row],[Manual Cat Value]])</f>
        <v>#N/A</v>
      </c>
      <c r="J6045" s="2">
        <v>17.5</v>
      </c>
      <c r="K6045" s="2" t="b">
        <v>0</v>
      </c>
      <c r="L6045" s="2"/>
      <c r="M6045" s="2"/>
      <c r="N6045" s="4" t="s">
        <v>2259</v>
      </c>
      <c r="O6045" s="4" t="str">
        <f>LEFT(Table2[[#This Row],[Description]],75)</f>
        <v>COCINA DEL BARRIO MINNEAPOLIS MN</v>
      </c>
      <c r="P6045" s="2" t="s">
        <v>2281</v>
      </c>
    </row>
    <row r="6046" spans="1:16" hidden="1">
      <c r="A6046" s="2">
        <v>202111</v>
      </c>
      <c r="B6046" s="3">
        <v>44530</v>
      </c>
      <c r="C6046" s="2" t="s">
        <v>2262</v>
      </c>
      <c r="D6046" s="2" t="s">
        <v>648</v>
      </c>
      <c r="E6046" s="2">
        <v>53.68</v>
      </c>
      <c r="F6046" s="2" t="str">
        <f>IF(Table2[[#This Row],[Manual Cat Value]]="",VLOOKUP(Table2[[#This Row],[Description]],'Actuals Lookup'!D:F,3,0),Table2[[#This Row],[Manual Cat Value]])</f>
        <v>Groceries</v>
      </c>
      <c r="J6046" s="2">
        <v>53.68</v>
      </c>
      <c r="K6046" s="2" t="b">
        <v>0</v>
      </c>
      <c r="L6046" s="2"/>
      <c r="M6046" s="2"/>
      <c r="N6046" s="4" t="s">
        <v>2259</v>
      </c>
      <c r="O6046" s="4" t="str">
        <f>LEFT(Table2[[#This Row],[Description]],75)</f>
        <v>Costco</v>
      </c>
      <c r="P6046" s="2" t="s">
        <v>2409</v>
      </c>
    </row>
    <row r="6047" spans="1:16" hidden="1">
      <c r="A6047" s="2">
        <v>202111</v>
      </c>
      <c r="B6047" s="3">
        <v>44530</v>
      </c>
      <c r="C6047" s="2" t="s">
        <v>2262</v>
      </c>
      <c r="D6047" s="2" t="s">
        <v>650</v>
      </c>
      <c r="E6047" s="2">
        <v>159.21</v>
      </c>
      <c r="F6047" s="2" t="e">
        <f>IF(Table2[[#This Row],[Manual Cat Value]]="",VLOOKUP(Table2[[#This Row],[Description]],'Actuals Lookup'!D:F,3,0),Table2[[#This Row],[Manual Cat Value]])</f>
        <v>#N/A</v>
      </c>
      <c r="J6047" s="2">
        <v>159.21</v>
      </c>
      <c r="K6047" s="2" t="b">
        <v>0</v>
      </c>
      <c r="L6047" s="2"/>
      <c r="M6047" s="2"/>
      <c r="N6047" s="4" t="s">
        <v>2259</v>
      </c>
      <c r="O6047" s="4" t="str">
        <f>LEFT(Table2[[#This Row],[Description]],75)</f>
        <v>Cov Wayzata</v>
      </c>
      <c r="P6047" s="2" t="s">
        <v>2281</v>
      </c>
    </row>
    <row r="6048" spans="1:16" hidden="1">
      <c r="A6048" s="2">
        <v>202111</v>
      </c>
      <c r="B6048" s="3">
        <v>44530</v>
      </c>
      <c r="C6048" s="2" t="s">
        <v>2262</v>
      </c>
      <c r="D6048" s="2" t="s">
        <v>667</v>
      </c>
      <c r="E6048" s="2">
        <v>260.08</v>
      </c>
      <c r="F6048" s="2" t="e">
        <f>IF(Table2[[#This Row],[Manual Cat Value]]="",VLOOKUP(Table2[[#This Row],[Description]],'Actuals Lookup'!D:F,3,0),Table2[[#This Row],[Manual Cat Value]])</f>
        <v>#N/A</v>
      </c>
      <c r="J6048" s="2">
        <v>260.08</v>
      </c>
      <c r="K6048" s="2" t="b">
        <v>0</v>
      </c>
      <c r="L6048" s="2"/>
      <c r="M6048" s="2"/>
      <c r="N6048" s="4" t="s">
        <v>2259</v>
      </c>
      <c r="O6048" s="4" t="str">
        <f>LEFT(Table2[[#This Row],[Description]],75)</f>
        <v>Crate &amp; Barrel</v>
      </c>
      <c r="P6048" s="2" t="s">
        <v>2421</v>
      </c>
    </row>
    <row r="6049" spans="1:16" hidden="1">
      <c r="A6049" s="2">
        <v>202111</v>
      </c>
      <c r="B6049" s="3">
        <v>44530</v>
      </c>
      <c r="C6049" s="2" t="s">
        <v>2262</v>
      </c>
      <c r="D6049" s="2" t="s">
        <v>684</v>
      </c>
      <c r="E6049" s="2">
        <v>47</v>
      </c>
      <c r="F6049" s="2" t="str">
        <f>IF(Table2[[#This Row],[Manual Cat Value]]="",VLOOKUP(Table2[[#This Row],[Description]],'Actuals Lookup'!D:F,3,0),Table2[[#This Row],[Manual Cat Value]])</f>
        <v>Groceries</v>
      </c>
      <c r="J6049" s="2">
        <v>47</v>
      </c>
      <c r="K6049" s="2" t="b">
        <v>0</v>
      </c>
      <c r="L6049" s="2"/>
      <c r="M6049" s="2"/>
      <c r="N6049" s="4" t="s">
        <v>2259</v>
      </c>
      <c r="O6049" s="4" t="str">
        <f>LEFT(Table2[[#This Row],[Description]],75)</f>
        <v>Cub Foods</v>
      </c>
      <c r="P6049" s="2" t="s">
        <v>2370</v>
      </c>
    </row>
    <row r="6050" spans="1:16" hidden="1">
      <c r="A6050" s="2">
        <v>202111</v>
      </c>
      <c r="B6050" s="3">
        <v>44530</v>
      </c>
      <c r="C6050" s="2" t="s">
        <v>2262</v>
      </c>
      <c r="D6050" s="2" t="s">
        <v>831</v>
      </c>
      <c r="E6050" s="2">
        <v>29.53</v>
      </c>
      <c r="F6050" s="2" t="e">
        <f>IF(Table2[[#This Row],[Manual Cat Value]]="",VLOOKUP(Table2[[#This Row],[Description]],'Actuals Lookup'!D:F,3,0),Table2[[#This Row],[Manual Cat Value]])</f>
        <v>#N/A</v>
      </c>
      <c r="J6050" s="2">
        <v>29.53</v>
      </c>
      <c r="K6050" s="2" t="b">
        <v>0</v>
      </c>
      <c r="L6050" s="2"/>
      <c r="M6050" s="2"/>
      <c r="N6050" s="4" t="s">
        <v>2259</v>
      </c>
      <c r="O6050" s="4" t="str">
        <f>LEFT(Table2[[#This Row],[Description]],75)</f>
        <v>Excelsior Brewing</v>
      </c>
      <c r="P6050" s="2" t="s">
        <v>2410</v>
      </c>
    </row>
    <row r="6051" spans="1:16" hidden="1">
      <c r="A6051" s="2">
        <v>202111</v>
      </c>
      <c r="B6051" s="3">
        <v>44530</v>
      </c>
      <c r="C6051" s="2" t="s">
        <v>2262</v>
      </c>
      <c r="D6051" s="2" t="s">
        <v>848</v>
      </c>
      <c r="E6051" s="2">
        <v>6.14</v>
      </c>
      <c r="F6051" s="2" t="e">
        <f>IF(Table2[[#This Row],[Manual Cat Value]]="",VLOOKUP(Table2[[#This Row],[Description]],'Actuals Lookup'!D:F,3,0),Table2[[#This Row],[Manual Cat Value]])</f>
        <v>#N/A</v>
      </c>
      <c r="J6051" s="2">
        <v>6.14</v>
      </c>
      <c r="K6051" s="2" t="b">
        <v>0</v>
      </c>
      <c r="L6051" s="2"/>
      <c r="M6051" s="2"/>
      <c r="N6051" s="4" t="s">
        <v>2259</v>
      </c>
      <c r="O6051" s="4" t="str">
        <f>LEFT(Table2[[#This Row],[Description]],75)</f>
        <v>Foodhall FOOD HALL P1 8665083558 MN</v>
      </c>
      <c r="P6051" s="2" t="s">
        <v>2281</v>
      </c>
    </row>
    <row r="6052" spans="1:16" hidden="1">
      <c r="A6052" s="2">
        <v>202111</v>
      </c>
      <c r="B6052" s="3">
        <v>44530</v>
      </c>
      <c r="C6052" s="2" t="s">
        <v>2262</v>
      </c>
      <c r="D6052" s="2" t="s">
        <v>892</v>
      </c>
      <c r="E6052" s="2">
        <v>43.27</v>
      </c>
      <c r="F6052" s="2" t="e">
        <f>IF(Table2[[#This Row],[Manual Cat Value]]="",VLOOKUP(Table2[[#This Row],[Description]],'Actuals Lookup'!D:F,3,0),Table2[[#This Row],[Manual Cat Value]])</f>
        <v>#N/A</v>
      </c>
      <c r="J6052" s="2">
        <v>43.27</v>
      </c>
      <c r="K6052" s="2" t="b">
        <v>0</v>
      </c>
      <c r="L6052" s="2"/>
      <c r="M6052" s="2"/>
      <c r="N6052" s="4" t="s">
        <v>2259</v>
      </c>
      <c r="O6052" s="4" t="str">
        <f>LEFT(Table2[[#This Row],[Description]],75)</f>
        <v>GIBSONS BAR STEAKHOUSE CHICAGO IL</v>
      </c>
      <c r="P6052" s="2" t="s">
        <v>2281</v>
      </c>
    </row>
    <row r="6053" spans="1:16" hidden="1">
      <c r="A6053" s="2">
        <v>202111</v>
      </c>
      <c r="B6053" s="3">
        <v>44530</v>
      </c>
      <c r="C6053" s="2" t="s">
        <v>2262</v>
      </c>
      <c r="D6053" s="2" t="s">
        <v>907</v>
      </c>
      <c r="E6053" s="2">
        <v>110.18</v>
      </c>
      <c r="F6053" s="2" t="e">
        <f>IF(Table2[[#This Row],[Manual Cat Value]]="",VLOOKUP(Table2[[#This Row],[Description]],'Actuals Lookup'!D:F,3,0),Table2[[#This Row],[Manual Cat Value]])</f>
        <v>#N/A</v>
      </c>
      <c r="J6053" s="2">
        <v>110.18</v>
      </c>
      <c r="K6053" s="2" t="b">
        <v>0</v>
      </c>
      <c r="L6053" s="2"/>
      <c r="M6053" s="2"/>
      <c r="N6053" s="4" t="s">
        <v>2259</v>
      </c>
      <c r="O6053" s="4" t="str">
        <f>LEFT(Table2[[#This Row],[Description]],75)</f>
        <v>Gray Home &amp; Lifestyle Llc</v>
      </c>
      <c r="P6053" s="2" t="s">
        <v>2281</v>
      </c>
    </row>
    <row r="6054" spans="1:16" hidden="1">
      <c r="A6054" s="2">
        <v>202111</v>
      </c>
      <c r="B6054" s="3">
        <v>44530</v>
      </c>
      <c r="C6054" s="2" t="s">
        <v>2262</v>
      </c>
      <c r="D6054" s="2" t="s">
        <v>918</v>
      </c>
      <c r="E6054" s="2">
        <v>44.79</v>
      </c>
      <c r="F6054" s="2" t="e">
        <f>IF(Table2[[#This Row],[Manual Cat Value]]="",VLOOKUP(Table2[[#This Row],[Description]],'Actuals Lookup'!D:F,3,0),Table2[[#This Row],[Manual Cat Value]])</f>
        <v>#N/A</v>
      </c>
      <c r="J6054" s="2">
        <v>44.79</v>
      </c>
      <c r="K6054" s="2" t="b">
        <v>0</v>
      </c>
      <c r="L6054" s="2"/>
      <c r="M6054" s="2"/>
      <c r="N6054" s="4" t="s">
        <v>2259</v>
      </c>
      <c r="O6054" s="4" t="str">
        <f>LEFT(Table2[[#This Row],[Description]],75)</f>
        <v>Happy Garden</v>
      </c>
      <c r="P6054" s="2" t="s">
        <v>2281</v>
      </c>
    </row>
    <row r="6055" spans="1:16" hidden="1">
      <c r="A6055" s="2">
        <v>202111</v>
      </c>
      <c r="B6055" s="3">
        <v>44530</v>
      </c>
      <c r="C6055" s="2" t="s">
        <v>2262</v>
      </c>
      <c r="D6055" s="2" t="s">
        <v>920</v>
      </c>
      <c r="E6055" s="2">
        <v>14.75</v>
      </c>
      <c r="F6055" s="2" t="e">
        <f>IF(Table2[[#This Row],[Manual Cat Value]]="",VLOOKUP(Table2[[#This Row],[Description]],'Actuals Lookup'!D:F,3,0),Table2[[#This Row],[Manual Cat Value]])</f>
        <v>#N/A</v>
      </c>
      <c r="J6055" s="2">
        <v>14.75</v>
      </c>
      <c r="K6055" s="2" t="b">
        <v>0</v>
      </c>
      <c r="L6055" s="2"/>
      <c r="M6055" s="2"/>
      <c r="N6055" s="4" t="s">
        <v>2259</v>
      </c>
      <c r="O6055" s="4" t="str">
        <f>LEFT(Table2[[#This Row],[Description]],75)</f>
        <v>Haskells</v>
      </c>
      <c r="P6055" s="2" t="s">
        <v>2527</v>
      </c>
    </row>
    <row r="6056" spans="1:16" hidden="1">
      <c r="A6056" s="2">
        <v>202111</v>
      </c>
      <c r="B6056" s="3">
        <v>44530</v>
      </c>
      <c r="C6056" s="2" t="s">
        <v>2262</v>
      </c>
      <c r="D6056" s="2" t="s">
        <v>920</v>
      </c>
      <c r="E6056" s="2">
        <v>50</v>
      </c>
      <c r="F6056" s="2" t="e">
        <f>IF(Table2[[#This Row],[Manual Cat Value]]="",VLOOKUP(Table2[[#This Row],[Description]],'Actuals Lookup'!D:F,3,0),Table2[[#This Row],[Manual Cat Value]])</f>
        <v>#N/A</v>
      </c>
      <c r="J6056" s="2">
        <v>50</v>
      </c>
      <c r="K6056" s="2" t="b">
        <v>0</v>
      </c>
      <c r="L6056" s="2"/>
      <c r="M6056" s="2"/>
      <c r="N6056" s="4" t="s">
        <v>2259</v>
      </c>
      <c r="O6056" s="4" t="str">
        <f>LEFT(Table2[[#This Row],[Description]],75)</f>
        <v>Haskells</v>
      </c>
      <c r="P6056" s="2" t="s">
        <v>2527</v>
      </c>
    </row>
    <row r="6057" spans="1:16" hidden="1">
      <c r="A6057" s="2">
        <v>202111</v>
      </c>
      <c r="B6057" s="3">
        <v>44530</v>
      </c>
      <c r="C6057" s="2" t="s">
        <v>2262</v>
      </c>
      <c r="D6057" s="2" t="s">
        <v>952</v>
      </c>
      <c r="E6057" s="2">
        <v>514.22</v>
      </c>
      <c r="F6057" s="2" t="e">
        <f>IF(Table2[[#This Row],[Manual Cat Value]]="",VLOOKUP(Table2[[#This Row],[Description]],'Actuals Lookup'!D:F,3,0),Table2[[#This Row],[Manual Cat Value]])</f>
        <v>#N/A</v>
      </c>
      <c r="J6057" s="2">
        <v>514.22</v>
      </c>
      <c r="K6057" s="2" t="b">
        <v>0</v>
      </c>
      <c r="L6057" s="2"/>
      <c r="M6057" s="2"/>
      <c r="N6057" s="4" t="s">
        <v>2259</v>
      </c>
      <c r="O6057" s="4" t="str">
        <f>LEFT(Table2[[#This Row],[Description]],75)</f>
        <v>Hotel Chicago</v>
      </c>
      <c r="P6057" s="2" t="s">
        <v>2281</v>
      </c>
    </row>
    <row r="6058" spans="1:16" hidden="1">
      <c r="A6058" s="2">
        <v>202111</v>
      </c>
      <c r="B6058" s="3">
        <v>44530</v>
      </c>
      <c r="C6058" s="2" t="s">
        <v>2262</v>
      </c>
      <c r="D6058" s="2" t="s">
        <v>955</v>
      </c>
      <c r="E6058" s="2">
        <v>223.49</v>
      </c>
      <c r="F6058" s="2" t="e">
        <f>IF(Table2[[#This Row],[Manual Cat Value]]="",VLOOKUP(Table2[[#This Row],[Description]],'Actuals Lookup'!D:F,3,0),Table2[[#This Row],[Manual Cat Value]])</f>
        <v>#N/A</v>
      </c>
      <c r="J6058" s="2">
        <v>223.49</v>
      </c>
      <c r="K6058" s="2" t="b">
        <v>0</v>
      </c>
      <c r="L6058" s="2"/>
      <c r="M6058" s="2"/>
      <c r="N6058" s="4" t="s">
        <v>2259</v>
      </c>
      <c r="O6058" s="4" t="str">
        <f>LEFT(Table2[[#This Row],[Description]],75)</f>
        <v>Hugo's</v>
      </c>
      <c r="P6058" s="2" t="s">
        <v>2281</v>
      </c>
    </row>
    <row r="6059" spans="1:16" hidden="1">
      <c r="A6059" s="2">
        <v>202111</v>
      </c>
      <c r="B6059" s="3">
        <v>44530</v>
      </c>
      <c r="C6059" s="2" t="s">
        <v>2262</v>
      </c>
      <c r="D6059" s="2" t="s">
        <v>958</v>
      </c>
      <c r="E6059" s="2">
        <v>70</v>
      </c>
      <c r="F6059" s="2" t="e">
        <f>IF(Table2[[#This Row],[Manual Cat Value]]="",VLOOKUP(Table2[[#This Row],[Description]],'Actuals Lookup'!D:F,3,0),Table2[[#This Row],[Manual Cat Value]])</f>
        <v>#N/A</v>
      </c>
      <c r="J6059" s="2">
        <v>70</v>
      </c>
      <c r="K6059" s="2" t="b">
        <v>0</v>
      </c>
      <c r="L6059" s="2"/>
      <c r="M6059" s="2"/>
      <c r="N6059" s="4" t="s">
        <v>2259</v>
      </c>
      <c r="O6059" s="4" t="str">
        <f>LEFT(Table2[[#This Row],[Description]],75)</f>
        <v>IDEMIA TSA PRECHECK BILLERICA MA</v>
      </c>
      <c r="P6059" s="2" t="s">
        <v>2281</v>
      </c>
    </row>
    <row r="6060" spans="1:16" hidden="1">
      <c r="A6060" s="2">
        <v>202111</v>
      </c>
      <c r="B6060" s="3">
        <v>44530</v>
      </c>
      <c r="C6060" s="2" t="s">
        <v>2262</v>
      </c>
      <c r="D6060" s="2" t="s">
        <v>979</v>
      </c>
      <c r="E6060" s="2">
        <v>142.76</v>
      </c>
      <c r="F6060" s="2" t="e">
        <f>IF(Table2[[#This Row],[Manual Cat Value]]="",VLOOKUP(Table2[[#This Row],[Description]],'Actuals Lookup'!D:F,3,0),Table2[[#This Row],[Manual Cat Value]])</f>
        <v>#N/A</v>
      </c>
      <c r="J6060" s="2">
        <v>142.76</v>
      </c>
      <c r="K6060" s="2" t="b">
        <v>0</v>
      </c>
      <c r="L6060" s="2"/>
      <c r="M6060" s="2"/>
      <c r="N6060" s="4" t="s">
        <v>2259</v>
      </c>
      <c r="O6060" s="4" t="str">
        <f>LEFT(Table2[[#This Row],[Description]],75)</f>
        <v>Interactive</v>
      </c>
      <c r="P6060" s="2" t="s">
        <v>2281</v>
      </c>
    </row>
    <row r="6061" spans="1:16" hidden="1">
      <c r="A6061" s="2">
        <v>202111</v>
      </c>
      <c r="B6061" s="3">
        <v>44530</v>
      </c>
      <c r="C6061" s="2" t="s">
        <v>2274</v>
      </c>
      <c r="D6061" s="2" t="s">
        <v>994</v>
      </c>
      <c r="E6061" s="2">
        <v>-0.02</v>
      </c>
      <c r="F6061" s="2" t="e">
        <f>IF(Table2[[#This Row],[Manual Cat Value]]="",VLOOKUP(Table2[[#This Row],[Description]],'Actuals Lookup'!D:F,3,0),Table2[[#This Row],[Manual Cat Value]])</f>
        <v>#N/A</v>
      </c>
      <c r="J6061" s="2">
        <v>0.02</v>
      </c>
      <c r="K6061" s="2" t="b">
        <v>0</v>
      </c>
      <c r="L6061" s="2"/>
      <c r="M6061" s="2"/>
      <c r="N6061" s="4" t="s">
        <v>2273</v>
      </c>
      <c r="O6061" s="4" t="str">
        <f>LEFT(Table2[[#This Row],[Description]],75)</f>
        <v>Interest Paid</v>
      </c>
      <c r="P6061" s="2" t="s">
        <v>2281</v>
      </c>
    </row>
    <row r="6062" spans="1:16" hidden="1">
      <c r="A6062" s="2">
        <v>202111</v>
      </c>
      <c r="B6062" s="3">
        <v>44530</v>
      </c>
      <c r="C6062" s="2" t="s">
        <v>2265</v>
      </c>
      <c r="D6062" s="2" t="s">
        <v>995</v>
      </c>
      <c r="E6062" s="2">
        <v>-334</v>
      </c>
      <c r="F6062" s="2" t="e">
        <f>IF(Table2[[#This Row],[Manual Cat Value]]="",VLOOKUP(Table2[[#This Row],[Description]],'Actuals Lookup'!D:F,3,0),Table2[[#This Row],[Manual Cat Value]])</f>
        <v>#N/A</v>
      </c>
      <c r="J6062" s="2">
        <v>334</v>
      </c>
      <c r="K6062" s="2" t="b">
        <v>0</v>
      </c>
      <c r="L6062" s="2"/>
      <c r="M6062" s="2"/>
      <c r="N6062" s="4" t="s">
        <v>2273</v>
      </c>
      <c r="O6062" s="4" t="str">
        <f>LEFT(Table2[[#This Row],[Description]],75)</f>
        <v>Internal Revenue Service</v>
      </c>
      <c r="P6062" s="2" t="s">
        <v>2281</v>
      </c>
    </row>
    <row r="6063" spans="1:16" hidden="1">
      <c r="A6063" s="2">
        <v>202111</v>
      </c>
      <c r="B6063" s="3">
        <v>44530</v>
      </c>
      <c r="C6063" s="2" t="s">
        <v>2262</v>
      </c>
      <c r="D6063" s="2" t="s">
        <v>1083</v>
      </c>
      <c r="E6063" s="2">
        <v>58.78</v>
      </c>
      <c r="F6063" s="2" t="str">
        <f>IF(Table2[[#This Row],[Manual Cat Value]]="",VLOOKUP(Table2[[#This Row],[Description]],'Actuals Lookup'!D:F,3,0),Table2[[#This Row],[Manual Cat Value]])</f>
        <v>Transportation</v>
      </c>
      <c r="J6063" s="2">
        <v>58.78</v>
      </c>
      <c r="K6063" s="2" t="b">
        <v>0</v>
      </c>
      <c r="L6063" s="2"/>
      <c r="M6063" s="2"/>
      <c r="N6063" s="4" t="s">
        <v>2259</v>
      </c>
      <c r="O6063" s="4" t="str">
        <f>LEFT(Table2[[#This Row],[Description]],75)</f>
        <v>Kwik Trip</v>
      </c>
      <c r="P6063" s="2" t="s">
        <v>2509</v>
      </c>
    </row>
    <row r="6064" spans="1:16" hidden="1">
      <c r="A6064" s="2">
        <v>202111</v>
      </c>
      <c r="B6064" s="3">
        <v>44530</v>
      </c>
      <c r="C6064" s="2" t="s">
        <v>2262</v>
      </c>
      <c r="D6064" s="2" t="s">
        <v>1083</v>
      </c>
      <c r="E6064" s="2">
        <v>49.28</v>
      </c>
      <c r="F6064" s="2" t="str">
        <f>IF(Table2[[#This Row],[Manual Cat Value]]="",VLOOKUP(Table2[[#This Row],[Description]],'Actuals Lookup'!D:F,3,0),Table2[[#This Row],[Manual Cat Value]])</f>
        <v>Transportation</v>
      </c>
      <c r="J6064" s="2">
        <v>49.28</v>
      </c>
      <c r="K6064" s="2" t="b">
        <v>0</v>
      </c>
      <c r="L6064" s="2"/>
      <c r="M6064" s="2"/>
      <c r="N6064" s="4" t="s">
        <v>2259</v>
      </c>
      <c r="O6064" s="4" t="str">
        <f>LEFT(Table2[[#This Row],[Description]],75)</f>
        <v>Kwik Trip</v>
      </c>
      <c r="P6064" s="2" t="s">
        <v>2509</v>
      </c>
    </row>
    <row r="6065" spans="1:16" hidden="1">
      <c r="A6065" s="2">
        <v>202111</v>
      </c>
      <c r="B6065" s="3">
        <v>44530</v>
      </c>
      <c r="C6065" s="2" t="s">
        <v>2262</v>
      </c>
      <c r="D6065" s="2" t="s">
        <v>1083</v>
      </c>
      <c r="E6065" s="2">
        <v>49.7</v>
      </c>
      <c r="F6065" s="2" t="str">
        <f>IF(Table2[[#This Row],[Manual Cat Value]]="",VLOOKUP(Table2[[#This Row],[Description]],'Actuals Lookup'!D:F,3,0),Table2[[#This Row],[Manual Cat Value]])</f>
        <v>Transportation</v>
      </c>
      <c r="J6065" s="2">
        <v>49.7</v>
      </c>
      <c r="K6065" s="2" t="b">
        <v>0</v>
      </c>
      <c r="L6065" s="2"/>
      <c r="M6065" s="2"/>
      <c r="N6065" s="4" t="s">
        <v>2259</v>
      </c>
      <c r="O6065" s="4" t="str">
        <f>LEFT(Table2[[#This Row],[Description]],75)</f>
        <v>Kwik Trip</v>
      </c>
      <c r="P6065" s="2" t="s">
        <v>2509</v>
      </c>
    </row>
    <row r="6066" spans="1:16" hidden="1">
      <c r="A6066" s="2">
        <v>202111</v>
      </c>
      <c r="B6066" s="3">
        <v>44530</v>
      </c>
      <c r="C6066" s="2" t="s">
        <v>2262</v>
      </c>
      <c r="D6066" s="2" t="s">
        <v>1095</v>
      </c>
      <c r="E6066" s="2">
        <v>37.46</v>
      </c>
      <c r="F6066" s="2" t="e">
        <f>IF(Table2[[#This Row],[Manual Cat Value]]="",VLOOKUP(Table2[[#This Row],[Description]],'Actuals Lookup'!D:F,3,0),Table2[[#This Row],[Manual Cat Value]])</f>
        <v>#N/A</v>
      </c>
      <c r="J6066" s="2">
        <v>37.46</v>
      </c>
      <c r="K6066" s="2" t="b">
        <v>0</v>
      </c>
      <c r="L6066" s="2"/>
      <c r="M6066" s="2"/>
      <c r="N6066" s="4" t="s">
        <v>2259</v>
      </c>
      <c r="O6066" s="4" t="str">
        <f>LEFT(Table2[[#This Row],[Description]],75)</f>
        <v>LAKEWINDS CHANHASSEN CHANHASSEN MN</v>
      </c>
      <c r="P6066" s="2" t="s">
        <v>2517</v>
      </c>
    </row>
    <row r="6067" spans="1:16" hidden="1">
      <c r="A6067" s="2">
        <v>202111</v>
      </c>
      <c r="B6067" s="3">
        <v>44530</v>
      </c>
      <c r="C6067" s="2" t="s">
        <v>2262</v>
      </c>
      <c r="D6067" s="2" t="s">
        <v>1158</v>
      </c>
      <c r="E6067" s="2">
        <v>78</v>
      </c>
      <c r="F6067" s="2" t="e">
        <f>IF(Table2[[#This Row],[Manual Cat Value]]="",VLOOKUP(Table2[[#This Row],[Description]],'Actuals Lookup'!D:F,3,0),Table2[[#This Row],[Manual Cat Value]])</f>
        <v>#N/A</v>
      </c>
      <c r="J6067" s="2">
        <v>78</v>
      </c>
      <c r="K6067" s="2" t="b">
        <v>0</v>
      </c>
      <c r="L6067" s="2"/>
      <c r="M6067" s="2"/>
      <c r="N6067" s="4" t="s">
        <v>2259</v>
      </c>
      <c r="O6067" s="4" t="str">
        <f>LEFT(Table2[[#This Row],[Description]],75)</f>
        <v>Lululemon</v>
      </c>
      <c r="P6067" s="2" t="s">
        <v>2287</v>
      </c>
    </row>
    <row r="6068" spans="1:16" hidden="1">
      <c r="A6068" s="2">
        <v>202111</v>
      </c>
      <c r="B6068" s="3">
        <v>44530</v>
      </c>
      <c r="C6068" s="2" t="s">
        <v>2262</v>
      </c>
      <c r="D6068" s="2" t="s">
        <v>1158</v>
      </c>
      <c r="E6068" s="2">
        <v>198</v>
      </c>
      <c r="F6068" s="2" t="e">
        <f>IF(Table2[[#This Row],[Manual Cat Value]]="",VLOOKUP(Table2[[#This Row],[Description]],'Actuals Lookup'!D:F,3,0),Table2[[#This Row],[Manual Cat Value]])</f>
        <v>#N/A</v>
      </c>
      <c r="J6068" s="2">
        <v>198</v>
      </c>
      <c r="K6068" s="2" t="b">
        <v>0</v>
      </c>
      <c r="L6068" s="2"/>
      <c r="M6068" s="2"/>
      <c r="N6068" s="4" t="s">
        <v>2259</v>
      </c>
      <c r="O6068" s="4" t="str">
        <f>LEFT(Table2[[#This Row],[Description]],75)</f>
        <v>Lululemon</v>
      </c>
      <c r="P6068" s="2" t="s">
        <v>2287</v>
      </c>
    </row>
    <row r="6069" spans="1:16" hidden="1">
      <c r="A6069" s="2">
        <v>202111</v>
      </c>
      <c r="B6069" s="3">
        <v>44530</v>
      </c>
      <c r="C6069" s="2" t="s">
        <v>2262</v>
      </c>
      <c r="D6069" s="2" t="s">
        <v>1158</v>
      </c>
      <c r="E6069" s="2">
        <v>98</v>
      </c>
      <c r="F6069" s="2" t="e">
        <f>IF(Table2[[#This Row],[Manual Cat Value]]="",VLOOKUP(Table2[[#This Row],[Description]],'Actuals Lookup'!D:F,3,0),Table2[[#This Row],[Manual Cat Value]])</f>
        <v>#N/A</v>
      </c>
      <c r="J6069" s="2">
        <v>98</v>
      </c>
      <c r="K6069" s="2" t="b">
        <v>0</v>
      </c>
      <c r="L6069" s="2"/>
      <c r="M6069" s="2"/>
      <c r="N6069" s="4" t="s">
        <v>2259</v>
      </c>
      <c r="O6069" s="4" t="str">
        <f>LEFT(Table2[[#This Row],[Description]],75)</f>
        <v>Lululemon</v>
      </c>
      <c r="P6069" s="2" t="s">
        <v>2287</v>
      </c>
    </row>
    <row r="6070" spans="1:16" hidden="1">
      <c r="A6070" s="2">
        <v>202111</v>
      </c>
      <c r="B6070" s="3">
        <v>44530</v>
      </c>
      <c r="C6070" s="2" t="s">
        <v>2262</v>
      </c>
      <c r="D6070" s="2" t="s">
        <v>1168</v>
      </c>
      <c r="E6070" s="2">
        <v>63.99</v>
      </c>
      <c r="F6070" s="2" t="str">
        <f>IF(Table2[[#This Row],[Manual Cat Value]]="",VLOOKUP(Table2[[#This Row],[Description]],'Actuals Lookup'!D:F,3,0),Table2[[#This Row],[Manual Cat Value]])</f>
        <v>Transportation</v>
      </c>
      <c r="J6070" s="2">
        <v>63.99</v>
      </c>
      <c r="K6070" s="2" t="b">
        <v>0</v>
      </c>
      <c r="L6070" s="2"/>
      <c r="M6070" s="2"/>
      <c r="N6070" s="4" t="s">
        <v>2259</v>
      </c>
      <c r="O6070" s="4" t="str">
        <f>LEFT(Table2[[#This Row],[Description]],75)</f>
        <v>Lyft</v>
      </c>
      <c r="P6070" s="2" t="s">
        <v>2414</v>
      </c>
    </row>
    <row r="6071" spans="1:16" hidden="1">
      <c r="A6071" s="2">
        <v>202111</v>
      </c>
      <c r="B6071" s="3">
        <v>44530</v>
      </c>
      <c r="C6071" s="2" t="s">
        <v>2262</v>
      </c>
      <c r="D6071" s="2" t="s">
        <v>1172</v>
      </c>
      <c r="E6071" s="2">
        <v>164.18</v>
      </c>
      <c r="F6071" s="2" t="e">
        <f>IF(Table2[[#This Row],[Manual Cat Value]]="",VLOOKUP(Table2[[#This Row],[Description]],'Actuals Lookup'!D:F,3,0),Table2[[#This Row],[Manual Cat Value]])</f>
        <v>#N/A</v>
      </c>
      <c r="J6071" s="2">
        <v>164.18</v>
      </c>
      <c r="K6071" s="2" t="b">
        <v>0</v>
      </c>
      <c r="L6071" s="2"/>
      <c r="M6071" s="2"/>
      <c r="N6071" s="4" t="s">
        <v>2259</v>
      </c>
      <c r="O6071" s="4" t="str">
        <f>LEFT(Table2[[#This Row],[Description]],75)</f>
        <v>MACKENTHUNSMEATSANDDELI ST BONIFACIUSMN</v>
      </c>
      <c r="P6071" s="2" t="s">
        <v>2516</v>
      </c>
    </row>
    <row r="6072" spans="1:16" hidden="1">
      <c r="A6072" s="2">
        <v>202111</v>
      </c>
      <c r="B6072" s="3">
        <v>44530</v>
      </c>
      <c r="C6072" s="2" t="s">
        <v>2262</v>
      </c>
      <c r="D6072" s="2" t="s">
        <v>1174</v>
      </c>
      <c r="E6072" s="2">
        <v>70.5</v>
      </c>
      <c r="F6072" s="2" t="e">
        <f>IF(Table2[[#This Row],[Manual Cat Value]]="",VLOOKUP(Table2[[#This Row],[Description]],'Actuals Lookup'!D:F,3,0),Table2[[#This Row],[Manual Cat Value]])</f>
        <v>#N/A</v>
      </c>
      <c r="J6072" s="2">
        <v>70.5</v>
      </c>
      <c r="K6072" s="2" t="b">
        <v>0</v>
      </c>
      <c r="L6072" s="2"/>
      <c r="M6072" s="2"/>
      <c r="N6072" s="4" t="s">
        <v>2259</v>
      </c>
      <c r="O6072" s="4" t="str">
        <f>LEFT(Table2[[#This Row],[Description]],75)</f>
        <v>Macy's</v>
      </c>
      <c r="P6072" s="2" t="s">
        <v>2281</v>
      </c>
    </row>
    <row r="6073" spans="1:16" hidden="1">
      <c r="A6073" s="2">
        <v>202111</v>
      </c>
      <c r="B6073" s="3">
        <v>44530</v>
      </c>
      <c r="C6073" s="2" t="s">
        <v>2265</v>
      </c>
      <c r="D6073" s="2" t="s">
        <v>1196</v>
      </c>
      <c r="E6073" s="2">
        <v>528.79999999999995</v>
      </c>
      <c r="F6073" s="2" t="e">
        <f>IF(Table2[[#This Row],[Manual Cat Value]]="",VLOOKUP(Table2[[#This Row],[Description]],'Actuals Lookup'!D:F,3,0),Table2[[#This Row],[Manual Cat Value]])</f>
        <v>#N/A</v>
      </c>
      <c r="J6073" s="2">
        <v>528.79999999999995</v>
      </c>
      <c r="K6073" s="2" t="b">
        <v>0</v>
      </c>
      <c r="L6073" s="2"/>
      <c r="M6073" s="2"/>
      <c r="N6073" s="4" t="s">
        <v>2259</v>
      </c>
      <c r="O6073" s="4" t="str">
        <f>LEFT(Table2[[#This Row],[Description]],75)</f>
        <v>MHCHILDCARELLC TYPE DUES ID CO M MHCHILDCARELLC TYPE DUES ID CO MHCHILDCARE</v>
      </c>
      <c r="P6073" s="2" t="s">
        <v>2497</v>
      </c>
    </row>
    <row r="6074" spans="1:16" hidden="1">
      <c r="A6074" s="2">
        <v>202111</v>
      </c>
      <c r="B6074" s="3">
        <v>44530</v>
      </c>
      <c r="C6074" s="2" t="s">
        <v>2265</v>
      </c>
      <c r="D6074" s="2" t="s">
        <v>1196</v>
      </c>
      <c r="E6074" s="2">
        <v>528.79999999999995</v>
      </c>
      <c r="F6074" s="2" t="e">
        <f>IF(Table2[[#This Row],[Manual Cat Value]]="",VLOOKUP(Table2[[#This Row],[Description]],'Actuals Lookup'!D:F,3,0),Table2[[#This Row],[Manual Cat Value]])</f>
        <v>#N/A</v>
      </c>
      <c r="J6074" s="2">
        <v>528.79999999999995</v>
      </c>
      <c r="K6074" s="2" t="b">
        <v>0</v>
      </c>
      <c r="L6074" s="2"/>
      <c r="M6074" s="2"/>
      <c r="N6074" s="4" t="s">
        <v>2259</v>
      </c>
      <c r="O6074" s="4" t="str">
        <f>LEFT(Table2[[#This Row],[Description]],75)</f>
        <v>MHCHILDCARELLC TYPE DUES ID CO M MHCHILDCARELLC TYPE DUES ID CO MHCHILDCARE</v>
      </c>
      <c r="P6074" s="2" t="s">
        <v>2497</v>
      </c>
    </row>
    <row r="6075" spans="1:16" hidden="1">
      <c r="A6075" s="2">
        <v>202111</v>
      </c>
      <c r="B6075" s="3">
        <v>44530</v>
      </c>
      <c r="C6075" s="2" t="s">
        <v>2265</v>
      </c>
      <c r="D6075" s="2" t="s">
        <v>1196</v>
      </c>
      <c r="E6075" s="2">
        <v>528.79999999999995</v>
      </c>
      <c r="F6075" s="2" t="e">
        <f>IF(Table2[[#This Row],[Manual Cat Value]]="",VLOOKUP(Table2[[#This Row],[Description]],'Actuals Lookup'!D:F,3,0),Table2[[#This Row],[Manual Cat Value]])</f>
        <v>#N/A</v>
      </c>
      <c r="J6075" s="2">
        <v>528.79999999999995</v>
      </c>
      <c r="K6075" s="2" t="b">
        <v>0</v>
      </c>
      <c r="L6075" s="2"/>
      <c r="M6075" s="2"/>
      <c r="N6075" s="4" t="s">
        <v>2259</v>
      </c>
      <c r="O6075" s="4" t="str">
        <f>LEFT(Table2[[#This Row],[Description]],75)</f>
        <v>MHCHILDCARELLC TYPE DUES ID CO M MHCHILDCARELLC TYPE DUES ID CO MHCHILDCARE</v>
      </c>
      <c r="P6075" s="2" t="s">
        <v>2497</v>
      </c>
    </row>
    <row r="6076" spans="1:16" hidden="1">
      <c r="A6076" s="2">
        <v>202111</v>
      </c>
      <c r="B6076" s="3">
        <v>44530</v>
      </c>
      <c r="C6076" s="2" t="s">
        <v>2262</v>
      </c>
      <c r="D6076" s="2" t="s">
        <v>1273</v>
      </c>
      <c r="E6076" s="2">
        <v>174.2</v>
      </c>
      <c r="F6076" s="2" t="e">
        <f>IF(Table2[[#This Row],[Manual Cat Value]]="",VLOOKUP(Table2[[#This Row],[Description]],'Actuals Lookup'!D:F,3,0),Table2[[#This Row],[Manual Cat Value]])</f>
        <v>#N/A</v>
      </c>
      <c r="J6076" s="2">
        <v>174.2</v>
      </c>
      <c r="K6076" s="2" t="b">
        <v>0</v>
      </c>
      <c r="L6076" s="2"/>
      <c r="M6076" s="2"/>
      <c r="N6076" s="4" t="s">
        <v>2259</v>
      </c>
      <c r="O6076" s="4" t="str">
        <f>LEFT(Table2[[#This Row],[Description]],75)</f>
        <v>MINTED LLC MINTEDCOM CA</v>
      </c>
      <c r="P6076" s="2" t="s">
        <v>2281</v>
      </c>
    </row>
    <row r="6077" spans="1:16" hidden="1">
      <c r="A6077" s="2">
        <v>202111</v>
      </c>
      <c r="B6077" s="3">
        <v>44530</v>
      </c>
      <c r="C6077" s="2" t="s">
        <v>2265</v>
      </c>
      <c r="D6077" s="2" t="s">
        <v>1306</v>
      </c>
      <c r="E6077" s="2">
        <v>200</v>
      </c>
      <c r="F6077" s="2" t="e">
        <f>IF(Table2[[#This Row],[Manual Cat Value]]="",VLOOKUP(Table2[[#This Row],[Description]],'Actuals Lookup'!D:F,3,0),Table2[[#This Row],[Manual Cat Value]])</f>
        <v>#N/A</v>
      </c>
      <c r="J6077" s="2">
        <v>200</v>
      </c>
      <c r="K6077" s="2" t="b">
        <v>0</v>
      </c>
      <c r="L6077" s="2"/>
      <c r="M6077" s="2"/>
      <c r="N6077" s="4" t="s">
        <v>2259</v>
      </c>
      <c r="O6077" s="4" t="str">
        <f>LEFT(Table2[[#This Row],[Description]],75)</f>
        <v>MN DIR ACH TYPE CONTRIB ID CO MN MN DIR ACH TYPE CONTRIB ID CO MN DIR ACH A</v>
      </c>
      <c r="P6077" s="2" t="s">
        <v>2469</v>
      </c>
    </row>
    <row r="6078" spans="1:16" hidden="1">
      <c r="A6078" s="2">
        <v>202111</v>
      </c>
      <c r="B6078" s="3">
        <v>44530</v>
      </c>
      <c r="C6078" s="2" t="s">
        <v>2262</v>
      </c>
      <c r="D6078" s="2" t="s">
        <v>1320</v>
      </c>
      <c r="E6078" s="2">
        <v>1806.62</v>
      </c>
      <c r="F6078" s="2" t="e">
        <f>IF(Table2[[#This Row],[Manual Cat Value]]="",VLOOKUP(Table2[[#This Row],[Description]],'Actuals Lookup'!D:F,3,0),Table2[[#This Row],[Manual Cat Value]])</f>
        <v>#N/A</v>
      </c>
      <c r="J6078" s="2">
        <v>1806.62</v>
      </c>
      <c r="K6078" s="2" t="b">
        <v>0</v>
      </c>
      <c r="L6078" s="2"/>
      <c r="M6078" s="2"/>
      <c r="N6078" s="4" t="s">
        <v>2259</v>
      </c>
      <c r="O6078" s="4" t="str">
        <f>LEFT(Table2[[#This Row],[Description]],75)</f>
        <v>MODSYCOM WWWMODSYCOMCA</v>
      </c>
      <c r="P6078" s="2" t="s">
        <v>2281</v>
      </c>
    </row>
    <row r="6079" spans="1:16" hidden="1">
      <c r="A6079" s="2">
        <v>202111</v>
      </c>
      <c r="B6079" s="3">
        <v>44530</v>
      </c>
      <c r="C6079" s="2" t="s">
        <v>2447</v>
      </c>
      <c r="D6079" s="2" t="s">
        <v>1350</v>
      </c>
      <c r="E6079" s="2">
        <v>8.99</v>
      </c>
      <c r="F6079" s="2" t="str">
        <f>IF(Table2[[#This Row],[Manual Cat Value]]="",VLOOKUP(Table2[[#This Row],[Description]],'Actuals Lookup'!D:F,3,0),Table2[[#This Row],[Manual Cat Value]])</f>
        <v>Utilities</v>
      </c>
      <c r="J6079" s="2">
        <v>8.99</v>
      </c>
      <c r="K6079" s="2" t="b">
        <v>0</v>
      </c>
      <c r="L6079" s="2"/>
      <c r="M6079" s="2"/>
      <c r="N6079" s="4" t="s">
        <v>2259</v>
      </c>
      <c r="O6079" s="4" t="str">
        <f>LEFT(Table2[[#This Row],[Description]],75)</f>
        <v>Netflix</v>
      </c>
      <c r="P6079" s="2" t="s">
        <v>2306</v>
      </c>
    </row>
    <row r="6080" spans="1:16" hidden="1">
      <c r="A6080" s="2">
        <v>202111</v>
      </c>
      <c r="B6080" s="3">
        <v>44530</v>
      </c>
      <c r="C6080" s="2" t="s">
        <v>2262</v>
      </c>
      <c r="D6080" s="2" t="s">
        <v>1357</v>
      </c>
      <c r="E6080" s="2">
        <v>44.19</v>
      </c>
      <c r="F6080" s="2" t="e">
        <f>IF(Table2[[#This Row],[Manual Cat Value]]="",VLOOKUP(Table2[[#This Row],[Description]],'Actuals Lookup'!D:F,3,0),Table2[[#This Row],[Manual Cat Value]])</f>
        <v>#N/A</v>
      </c>
      <c r="J6080" s="2">
        <v>44.19</v>
      </c>
      <c r="K6080" s="2" t="b">
        <v>0</v>
      </c>
      <c r="L6080" s="2"/>
      <c r="M6080" s="2"/>
      <c r="N6080" s="4" t="s">
        <v>2259</v>
      </c>
      <c r="O6080" s="4" t="str">
        <f>LEFT(Table2[[#This Row],[Description]],75)</f>
        <v>NORTH COOP CHAHASSEN MN</v>
      </c>
      <c r="P6080" s="2" t="s">
        <v>2326</v>
      </c>
    </row>
    <row r="6081" spans="1:16" hidden="1">
      <c r="A6081" s="2">
        <v>202111</v>
      </c>
      <c r="B6081" s="3">
        <v>44530</v>
      </c>
      <c r="C6081" s="2" t="s">
        <v>2262</v>
      </c>
      <c r="D6081" s="2" t="s">
        <v>1365</v>
      </c>
      <c r="E6081" s="2">
        <v>12.35</v>
      </c>
      <c r="F6081" s="2" t="e">
        <f>IF(Table2[[#This Row],[Manual Cat Value]]="",VLOOKUP(Table2[[#This Row],[Description]],'Actuals Lookup'!D:F,3,0),Table2[[#This Row],[Manual Cat Value]])</f>
        <v>#N/A</v>
      </c>
      <c r="J6081" s="2">
        <v>12.35</v>
      </c>
      <c r="K6081" s="2" t="b">
        <v>0</v>
      </c>
      <c r="L6081" s="2"/>
      <c r="M6081" s="2"/>
      <c r="N6081" s="4" t="s">
        <v>2259</v>
      </c>
      <c r="O6081" s="4" t="str">
        <f>LEFT(Table2[[#This Row],[Description]],75)</f>
        <v>NORTH COOP NORTH COOP STRIPECOM MN</v>
      </c>
      <c r="P6081" s="2" t="s">
        <v>2480</v>
      </c>
    </row>
    <row r="6082" spans="1:16" hidden="1">
      <c r="A6082" s="2">
        <v>202111</v>
      </c>
      <c r="B6082" s="3">
        <v>44530</v>
      </c>
      <c r="C6082" s="2" t="s">
        <v>2262</v>
      </c>
      <c r="D6082" s="2" t="s">
        <v>1380</v>
      </c>
      <c r="E6082" s="2">
        <v>67.11</v>
      </c>
      <c r="F6082" s="2" t="str">
        <f>IF(Table2[[#This Row],[Manual Cat Value]]="",VLOOKUP(Table2[[#This Row],[Description]],'Actuals Lookup'!D:F,3,0),Table2[[#This Row],[Manual Cat Value]])</f>
        <v>Restaurants</v>
      </c>
      <c r="J6082" s="2">
        <v>67.11</v>
      </c>
      <c r="K6082" s="2" t="b">
        <v>0</v>
      </c>
      <c r="L6082" s="2"/>
      <c r="M6082" s="2"/>
      <c r="N6082" s="4" t="s">
        <v>2259</v>
      </c>
      <c r="O6082" s="4" t="str">
        <f>LEFT(Table2[[#This Row],[Description]],75)</f>
        <v>Olives</v>
      </c>
      <c r="P6082" s="2" t="s">
        <v>2281</v>
      </c>
    </row>
    <row r="6083" spans="1:16" hidden="1">
      <c r="A6083" s="2">
        <v>202111</v>
      </c>
      <c r="B6083" s="3">
        <v>44530</v>
      </c>
      <c r="C6083" s="2" t="s">
        <v>2262</v>
      </c>
      <c r="D6083" s="2" t="s">
        <v>1404</v>
      </c>
      <c r="E6083" s="2">
        <v>96.93</v>
      </c>
      <c r="F6083" s="2" t="e">
        <f>IF(Table2[[#This Row],[Manual Cat Value]]="",VLOOKUP(Table2[[#This Row],[Description]],'Actuals Lookup'!D:F,3,0),Table2[[#This Row],[Manual Cat Value]])</f>
        <v>#N/A</v>
      </c>
      <c r="J6083" s="2">
        <v>96.93</v>
      </c>
      <c r="K6083" s="2" t="b">
        <v>0</v>
      </c>
      <c r="L6083" s="2"/>
      <c r="M6083" s="2"/>
      <c r="N6083" s="4" t="s">
        <v>2259</v>
      </c>
      <c r="O6083" s="4" t="str">
        <f>LEFT(Table2[[#This Row],[Description]],75)</f>
        <v>Parlor Pizza Bar</v>
      </c>
      <c r="P6083" s="2" t="s">
        <v>2281</v>
      </c>
    </row>
    <row r="6084" spans="1:16" hidden="1">
      <c r="A6084" s="2">
        <v>202111</v>
      </c>
      <c r="B6084" s="3">
        <v>44530</v>
      </c>
      <c r="C6084" s="2" t="s">
        <v>2265</v>
      </c>
      <c r="D6084" s="2" t="s">
        <v>1471</v>
      </c>
      <c r="E6084" s="2">
        <v>31.19</v>
      </c>
      <c r="F6084" s="2" t="str">
        <f>IF(Table2[[#This Row],[Manual Cat Value]]="",VLOOKUP(Table2[[#This Row],[Description]],'Actuals Lookup'!D:F,3,0),Table2[[#This Row],[Manual Cat Value]])</f>
        <v>Shopping</v>
      </c>
      <c r="J6084" s="2">
        <v>31.19</v>
      </c>
      <c r="K6084" s="2" t="b">
        <v>0</v>
      </c>
      <c r="L6084" s="2"/>
      <c r="M6084" s="2"/>
      <c r="N6084" s="4" t="s">
        <v>2259</v>
      </c>
      <c r="O6084" s="4" t="str">
        <f>LEFT(Table2[[#This Row],[Description]],75)</f>
        <v>PayPal</v>
      </c>
      <c r="P6084" s="2" t="s">
        <v>2322</v>
      </c>
    </row>
    <row r="6085" spans="1:16" hidden="1">
      <c r="A6085" s="2">
        <v>202111</v>
      </c>
      <c r="B6085" s="3">
        <v>44530</v>
      </c>
      <c r="C6085" s="2" t="s">
        <v>2265</v>
      </c>
      <c r="D6085" s="2" t="s">
        <v>1471</v>
      </c>
      <c r="E6085" s="2">
        <v>65</v>
      </c>
      <c r="F6085" s="2" t="str">
        <f>IF(Table2[[#This Row],[Manual Cat Value]]="",VLOOKUP(Table2[[#This Row],[Description]],'Actuals Lookup'!D:F,3,0),Table2[[#This Row],[Manual Cat Value]])</f>
        <v>Shopping</v>
      </c>
      <c r="J6085" s="2">
        <v>65</v>
      </c>
      <c r="K6085" s="2" t="b">
        <v>0</v>
      </c>
      <c r="L6085" s="2"/>
      <c r="M6085" s="2"/>
      <c r="N6085" s="4" t="s">
        <v>2259</v>
      </c>
      <c r="O6085" s="4" t="str">
        <f>LEFT(Table2[[#This Row],[Description]],75)</f>
        <v>PayPal</v>
      </c>
      <c r="P6085" s="2" t="s">
        <v>2322</v>
      </c>
    </row>
    <row r="6086" spans="1:16" hidden="1">
      <c r="A6086" s="2">
        <v>202111</v>
      </c>
      <c r="B6086" s="3">
        <v>44530</v>
      </c>
      <c r="C6086" s="2" t="s">
        <v>2265</v>
      </c>
      <c r="D6086" s="2" t="s">
        <v>1471</v>
      </c>
      <c r="E6086" s="2">
        <v>11.87</v>
      </c>
      <c r="F6086" s="2" t="str">
        <f>IF(Table2[[#This Row],[Manual Cat Value]]="",VLOOKUP(Table2[[#This Row],[Description]],'Actuals Lookup'!D:F,3,0),Table2[[#This Row],[Manual Cat Value]])</f>
        <v>Shopping</v>
      </c>
      <c r="J6086" s="2">
        <v>11.87</v>
      </c>
      <c r="K6086" s="2" t="b">
        <v>0</v>
      </c>
      <c r="L6086" s="2"/>
      <c r="M6086" s="2"/>
      <c r="N6086" s="4" t="s">
        <v>2259</v>
      </c>
      <c r="O6086" s="4" t="str">
        <f>LEFT(Table2[[#This Row],[Description]],75)</f>
        <v>PayPal</v>
      </c>
      <c r="P6086" s="2" t="s">
        <v>2322</v>
      </c>
    </row>
    <row r="6087" spans="1:16" hidden="1">
      <c r="A6087" s="2">
        <v>202111</v>
      </c>
      <c r="B6087" s="3">
        <v>44530</v>
      </c>
      <c r="C6087" s="2" t="s">
        <v>2265</v>
      </c>
      <c r="D6087" s="2" t="s">
        <v>1471</v>
      </c>
      <c r="E6087" s="2">
        <v>22.23</v>
      </c>
      <c r="F6087" s="2" t="str">
        <f>IF(Table2[[#This Row],[Manual Cat Value]]="",VLOOKUP(Table2[[#This Row],[Description]],'Actuals Lookup'!D:F,3,0),Table2[[#This Row],[Manual Cat Value]])</f>
        <v>Shopping</v>
      </c>
      <c r="J6087" s="2">
        <v>22.23</v>
      </c>
      <c r="K6087" s="2" t="b">
        <v>0</v>
      </c>
      <c r="L6087" s="2"/>
      <c r="M6087" s="2"/>
      <c r="N6087" s="4" t="s">
        <v>2259</v>
      </c>
      <c r="O6087" s="4" t="str">
        <f>LEFT(Table2[[#This Row],[Description]],75)</f>
        <v>PayPal</v>
      </c>
      <c r="P6087" s="2" t="s">
        <v>2322</v>
      </c>
    </row>
    <row r="6088" spans="1:16" hidden="1">
      <c r="A6088" s="2">
        <v>202111</v>
      </c>
      <c r="B6088" s="3">
        <v>44530</v>
      </c>
      <c r="C6088" s="2" t="s">
        <v>2265</v>
      </c>
      <c r="D6088" s="2" t="s">
        <v>1471</v>
      </c>
      <c r="E6088" s="2">
        <v>0.99</v>
      </c>
      <c r="F6088" s="2" t="str">
        <f>IF(Table2[[#This Row],[Manual Cat Value]]="",VLOOKUP(Table2[[#This Row],[Description]],'Actuals Lookup'!D:F,3,0),Table2[[#This Row],[Manual Cat Value]])</f>
        <v>Shopping</v>
      </c>
      <c r="J6088" s="2">
        <v>0.99</v>
      </c>
      <c r="K6088" s="2" t="b">
        <v>0</v>
      </c>
      <c r="L6088" s="2"/>
      <c r="M6088" s="2"/>
      <c r="N6088" s="4" t="s">
        <v>2259</v>
      </c>
      <c r="O6088" s="4" t="str">
        <f>LEFT(Table2[[#This Row],[Description]],75)</f>
        <v>PayPal</v>
      </c>
      <c r="P6088" s="2" t="s">
        <v>2322</v>
      </c>
    </row>
    <row r="6089" spans="1:16" hidden="1">
      <c r="A6089" s="2">
        <v>202111</v>
      </c>
      <c r="B6089" s="3">
        <v>44530</v>
      </c>
      <c r="C6089" s="2" t="s">
        <v>2265</v>
      </c>
      <c r="D6089" s="2" t="s">
        <v>1471</v>
      </c>
      <c r="E6089" s="2">
        <v>30.06</v>
      </c>
      <c r="F6089" s="2" t="str">
        <f>IF(Table2[[#This Row],[Manual Cat Value]]="",VLOOKUP(Table2[[#This Row],[Description]],'Actuals Lookup'!D:F,3,0),Table2[[#This Row],[Manual Cat Value]])</f>
        <v>Shopping</v>
      </c>
      <c r="J6089" s="2">
        <v>30.06</v>
      </c>
      <c r="K6089" s="2" t="b">
        <v>0</v>
      </c>
      <c r="L6089" s="2"/>
      <c r="M6089" s="2"/>
      <c r="N6089" s="4" t="s">
        <v>2259</v>
      </c>
      <c r="O6089" s="4" t="str">
        <f>LEFT(Table2[[#This Row],[Description]],75)</f>
        <v>PayPal</v>
      </c>
      <c r="P6089" s="2" t="s">
        <v>2322</v>
      </c>
    </row>
    <row r="6090" spans="1:16" hidden="1">
      <c r="A6090" s="2">
        <v>202111</v>
      </c>
      <c r="B6090" s="3">
        <v>44530</v>
      </c>
      <c r="C6090" s="2" t="s">
        <v>2265</v>
      </c>
      <c r="D6090" s="2" t="s">
        <v>1471</v>
      </c>
      <c r="E6090" s="2">
        <v>52.32</v>
      </c>
      <c r="F6090" s="2" t="str">
        <f>IF(Table2[[#This Row],[Manual Cat Value]]="",VLOOKUP(Table2[[#This Row],[Description]],'Actuals Lookup'!D:F,3,0),Table2[[#This Row],[Manual Cat Value]])</f>
        <v>Shopping</v>
      </c>
      <c r="J6090" s="2">
        <v>52.32</v>
      </c>
      <c r="K6090" s="2" t="b">
        <v>0</v>
      </c>
      <c r="L6090" s="2"/>
      <c r="M6090" s="2"/>
      <c r="N6090" s="4" t="s">
        <v>2259</v>
      </c>
      <c r="O6090" s="4" t="str">
        <f>LEFT(Table2[[#This Row],[Description]],75)</f>
        <v>PayPal</v>
      </c>
      <c r="P6090" s="2" t="s">
        <v>2322</v>
      </c>
    </row>
    <row r="6091" spans="1:16" hidden="1">
      <c r="A6091" s="2">
        <v>202111</v>
      </c>
      <c r="B6091" s="3">
        <v>44530</v>
      </c>
      <c r="C6091" s="2" t="s">
        <v>2265</v>
      </c>
      <c r="D6091" s="2" t="s">
        <v>1471</v>
      </c>
      <c r="E6091" s="2">
        <v>78.75</v>
      </c>
      <c r="F6091" s="2" t="str">
        <f>IF(Table2[[#This Row],[Manual Cat Value]]="",VLOOKUP(Table2[[#This Row],[Description]],'Actuals Lookup'!D:F,3,0),Table2[[#This Row],[Manual Cat Value]])</f>
        <v>Shopping</v>
      </c>
      <c r="J6091" s="2">
        <v>78.75</v>
      </c>
      <c r="K6091" s="2" t="b">
        <v>0</v>
      </c>
      <c r="L6091" s="2"/>
      <c r="M6091" s="2"/>
      <c r="N6091" s="4" t="s">
        <v>2259</v>
      </c>
      <c r="O6091" s="4" t="str">
        <f>LEFT(Table2[[#This Row],[Description]],75)</f>
        <v>PayPal</v>
      </c>
      <c r="P6091" s="2" t="s">
        <v>2322</v>
      </c>
    </row>
    <row r="6092" spans="1:16" hidden="1">
      <c r="A6092" s="2">
        <v>202111</v>
      </c>
      <c r="B6092" s="3">
        <v>44530</v>
      </c>
      <c r="C6092" s="2" t="s">
        <v>2265</v>
      </c>
      <c r="D6092" s="2" t="s">
        <v>1471</v>
      </c>
      <c r="E6092" s="2">
        <v>362.38</v>
      </c>
      <c r="F6092" s="2" t="str">
        <f>IF(Table2[[#This Row],[Manual Cat Value]]="",VLOOKUP(Table2[[#This Row],[Description]],'Actuals Lookup'!D:F,3,0),Table2[[#This Row],[Manual Cat Value]])</f>
        <v>Shopping</v>
      </c>
      <c r="J6092" s="2">
        <v>362.38</v>
      </c>
      <c r="K6092" s="2" t="b">
        <v>0</v>
      </c>
      <c r="L6092" s="2"/>
      <c r="M6092" s="2"/>
      <c r="N6092" s="4" t="s">
        <v>2259</v>
      </c>
      <c r="O6092" s="4" t="str">
        <f>LEFT(Table2[[#This Row],[Description]],75)</f>
        <v>PayPal</v>
      </c>
      <c r="P6092" s="2" t="s">
        <v>2322</v>
      </c>
    </row>
    <row r="6093" spans="1:16" hidden="1">
      <c r="A6093" s="2">
        <v>202111</v>
      </c>
      <c r="B6093" s="3">
        <v>44530</v>
      </c>
      <c r="C6093" s="2" t="s">
        <v>2317</v>
      </c>
      <c r="D6093" s="2" t="s">
        <v>1525</v>
      </c>
      <c r="E6093" s="2">
        <v>-34.97</v>
      </c>
      <c r="F6093" s="2" t="e">
        <f>IF(Table2[[#This Row],[Manual Cat Value]]="",VLOOKUP(Table2[[#This Row],[Description]],'Actuals Lookup'!D:F,3,0),Table2[[#This Row],[Manual Cat Value]])</f>
        <v>#N/A</v>
      </c>
      <c r="J6093" s="2">
        <v>34.97</v>
      </c>
      <c r="K6093" s="2" t="b">
        <v>0</v>
      </c>
      <c r="L6093" s="2"/>
      <c r="M6093" s="2"/>
      <c r="N6093" s="4" t="s">
        <v>2273</v>
      </c>
      <c r="O6093" s="4" t="str">
        <f>LEFT(Table2[[#This Row],[Description]],75)</f>
        <v>PROCTER &amp; GAMBLE</v>
      </c>
      <c r="P6093" s="2" t="s">
        <v>2415</v>
      </c>
    </row>
    <row r="6094" spans="1:16" hidden="1">
      <c r="A6094" s="2">
        <v>202111</v>
      </c>
      <c r="B6094" s="3">
        <v>44530</v>
      </c>
      <c r="C6094" s="2" t="s">
        <v>2317</v>
      </c>
      <c r="D6094" s="2" t="s">
        <v>1525</v>
      </c>
      <c r="E6094" s="2">
        <v>34.97</v>
      </c>
      <c r="F6094" s="2" t="e">
        <f>IF(Table2[[#This Row],[Manual Cat Value]]="",VLOOKUP(Table2[[#This Row],[Description]],'Actuals Lookup'!D:F,3,0),Table2[[#This Row],[Manual Cat Value]])</f>
        <v>#N/A</v>
      </c>
      <c r="J6094" s="2">
        <v>34.97</v>
      </c>
      <c r="K6094" s="2" t="b">
        <v>0</v>
      </c>
      <c r="L6094" s="2"/>
      <c r="M6094" s="2"/>
      <c r="N6094" s="4" t="s">
        <v>2259</v>
      </c>
      <c r="O6094" s="4" t="str">
        <f>LEFT(Table2[[#This Row],[Description]],75)</f>
        <v>PROCTER &amp; GAMBLE</v>
      </c>
      <c r="P6094" s="2" t="s">
        <v>2415</v>
      </c>
    </row>
    <row r="6095" spans="1:16" hidden="1">
      <c r="A6095" s="2">
        <v>202111</v>
      </c>
      <c r="B6095" s="3">
        <v>44530</v>
      </c>
      <c r="C6095" s="2" t="s">
        <v>2262</v>
      </c>
      <c r="D6095" s="2" t="s">
        <v>1541</v>
      </c>
      <c r="E6095" s="2">
        <v>66.989999999999995</v>
      </c>
      <c r="F6095" s="2" t="e">
        <f>IF(Table2[[#This Row],[Manual Cat Value]]="",VLOOKUP(Table2[[#This Row],[Description]],'Actuals Lookup'!D:F,3,0),Table2[[#This Row],[Manual Cat Value]])</f>
        <v>#N/A</v>
      </c>
      <c r="J6095" s="2">
        <v>66.989999999999995</v>
      </c>
      <c r="K6095" s="2" t="b">
        <v>0</v>
      </c>
      <c r="L6095" s="2"/>
      <c r="M6095" s="2"/>
      <c r="N6095" s="4" t="s">
        <v>2259</v>
      </c>
      <c r="O6095" s="4" t="str">
        <f>LEFT(Table2[[#This Row],[Description]],75)</f>
        <v>Rally House 8006455409 KS</v>
      </c>
      <c r="P6095" s="2" t="s">
        <v>2467</v>
      </c>
    </row>
    <row r="6096" spans="1:16" hidden="1">
      <c r="A6096" s="2">
        <v>202111</v>
      </c>
      <c r="B6096" s="3">
        <v>44530</v>
      </c>
      <c r="C6096" s="2" t="s">
        <v>2262</v>
      </c>
      <c r="D6096" s="2" t="s">
        <v>1566</v>
      </c>
      <c r="E6096" s="2">
        <v>104.95</v>
      </c>
      <c r="F6096" s="2" t="e">
        <f>IF(Table2[[#This Row],[Manual Cat Value]]="",VLOOKUP(Table2[[#This Row],[Description]],'Actuals Lookup'!D:F,3,0),Table2[[#This Row],[Manual Cat Value]])</f>
        <v>#N/A</v>
      </c>
      <c r="J6096" s="2">
        <v>104.95</v>
      </c>
      <c r="K6096" s="2" t="b">
        <v>0</v>
      </c>
      <c r="L6096" s="2"/>
      <c r="M6096" s="2"/>
      <c r="N6096" s="4" t="s">
        <v>2259</v>
      </c>
      <c r="O6096" s="4" t="str">
        <f>LEFT(Table2[[#This Row],[Description]],75)</f>
        <v>REDCOWMNCOM REDCOWMNCOM MN REDCOWMNCOM REDCOWMNCOM MN</v>
      </c>
      <c r="P6096" s="2" t="s">
        <v>2523</v>
      </c>
    </row>
    <row r="6097" spans="1:16" hidden="1">
      <c r="A6097" s="2">
        <v>202111</v>
      </c>
      <c r="B6097" s="3">
        <v>44530</v>
      </c>
      <c r="C6097" s="2" t="s">
        <v>2262</v>
      </c>
      <c r="D6097" s="2" t="s">
        <v>1581</v>
      </c>
      <c r="E6097" s="2">
        <v>41.19</v>
      </c>
      <c r="F6097" s="2" t="e">
        <f>IF(Table2[[#This Row],[Manual Cat Value]]="",VLOOKUP(Table2[[#This Row],[Description]],'Actuals Lookup'!D:F,3,0),Table2[[#This Row],[Manual Cat Value]])</f>
        <v>#N/A</v>
      </c>
      <c r="J6097" s="2">
        <v>41.19</v>
      </c>
      <c r="K6097" s="2" t="b">
        <v>0</v>
      </c>
      <c r="L6097" s="2"/>
      <c r="M6097" s="2"/>
      <c r="N6097" s="4" t="s">
        <v>2259</v>
      </c>
      <c r="O6097" s="4" t="str">
        <f>LEFT(Table2[[#This Row],[Description]],75)</f>
        <v>Rey Azteca Mexican Restaurant</v>
      </c>
      <c r="P6097" s="2" t="s">
        <v>2281</v>
      </c>
    </row>
    <row r="6098" spans="1:16" hidden="1">
      <c r="A6098" s="2">
        <v>202111</v>
      </c>
      <c r="B6098" s="3">
        <v>44530</v>
      </c>
      <c r="C6098" s="2" t="s">
        <v>2262</v>
      </c>
      <c r="D6098" s="2" t="s">
        <v>1602</v>
      </c>
      <c r="E6098" s="2">
        <v>57.23</v>
      </c>
      <c r="F6098" s="2" t="e">
        <f>IF(Table2[[#This Row],[Manual Cat Value]]="",VLOOKUP(Table2[[#This Row],[Description]],'Actuals Lookup'!D:F,3,0),Table2[[#This Row],[Manual Cat Value]])</f>
        <v>#N/A</v>
      </c>
      <c r="J6098" s="2">
        <v>57.23</v>
      </c>
      <c r="K6098" s="2" t="b">
        <v>0</v>
      </c>
      <c r="L6098" s="2"/>
      <c r="M6098" s="2"/>
      <c r="N6098" s="4" t="s">
        <v>2259</v>
      </c>
      <c r="O6098" s="4" t="str">
        <f>LEFT(Table2[[#This Row],[Description]],75)</f>
        <v>Rosebud</v>
      </c>
      <c r="P6098" s="2" t="s">
        <v>2281</v>
      </c>
    </row>
    <row r="6099" spans="1:16" hidden="1">
      <c r="A6099" s="2">
        <v>202111</v>
      </c>
      <c r="B6099" s="3">
        <v>44530</v>
      </c>
      <c r="C6099" s="2" t="s">
        <v>2262</v>
      </c>
      <c r="D6099" s="2" t="s">
        <v>1624</v>
      </c>
      <c r="E6099" s="2">
        <v>840.61</v>
      </c>
      <c r="F6099" s="2" t="e">
        <f>IF(Table2[[#This Row],[Manual Cat Value]]="",VLOOKUP(Table2[[#This Row],[Description]],'Actuals Lookup'!D:F,3,0),Table2[[#This Row],[Manual Cat Value]])</f>
        <v>#N/A</v>
      </c>
      <c r="J6099" s="2">
        <v>840.61</v>
      </c>
      <c r="K6099" s="2" t="b">
        <v>0</v>
      </c>
      <c r="L6099" s="2"/>
      <c r="M6099" s="2"/>
      <c r="N6099" s="4" t="s">
        <v>2259</v>
      </c>
      <c r="O6099" s="4" t="str">
        <f>LEFT(Table2[[#This Row],[Description]],75)</f>
        <v>SCHEELS EDEN PRAIRIE EDEN PRAIRIE MN</v>
      </c>
      <c r="P6099" s="2" t="s">
        <v>2281</v>
      </c>
    </row>
    <row r="6100" spans="1:16" hidden="1">
      <c r="A6100" s="2">
        <v>202111</v>
      </c>
      <c r="B6100" s="3">
        <v>44530</v>
      </c>
      <c r="C6100" s="2" t="s">
        <v>2317</v>
      </c>
      <c r="D6100" s="2" t="s">
        <v>1630</v>
      </c>
      <c r="E6100" s="2">
        <v>500</v>
      </c>
      <c r="F6100" s="2" t="e">
        <f>IF(Table2[[#This Row],[Manual Cat Value]]="",VLOOKUP(Table2[[#This Row],[Description]],'Actuals Lookup'!D:F,3,0),Table2[[#This Row],[Manual Cat Value]])</f>
        <v>#N/A</v>
      </c>
      <c r="J6100" s="2">
        <v>500</v>
      </c>
      <c r="K6100" s="2" t="b">
        <v>0</v>
      </c>
      <c r="L6100" s="2"/>
      <c r="M6100" s="2"/>
      <c r="N6100" s="4" t="s">
        <v>2259</v>
      </c>
      <c r="O6100" s="4" t="str">
        <f>LEFT(Table2[[#This Row],[Description]],75)</f>
        <v>SCHWAB INTERNATIONAL INDEX</v>
      </c>
      <c r="P6100" s="2" t="s">
        <v>2385</v>
      </c>
    </row>
    <row r="6101" spans="1:16" hidden="1">
      <c r="A6101" s="2">
        <v>202111</v>
      </c>
      <c r="B6101" s="3">
        <v>44530</v>
      </c>
      <c r="C6101" s="2" t="s">
        <v>2317</v>
      </c>
      <c r="D6101" s="2" t="s">
        <v>1632</v>
      </c>
      <c r="E6101" s="2">
        <v>200</v>
      </c>
      <c r="F6101" s="2" t="e">
        <f>IF(Table2[[#This Row],[Manual Cat Value]]="",VLOOKUP(Table2[[#This Row],[Description]],'Actuals Lookup'!D:F,3,0),Table2[[#This Row],[Manual Cat Value]])</f>
        <v>#N/A</v>
      </c>
      <c r="J6101" s="2">
        <v>200</v>
      </c>
      <c r="K6101" s="2" t="b">
        <v>0</v>
      </c>
      <c r="L6101" s="2"/>
      <c r="M6101" s="2"/>
      <c r="N6101" s="4" t="s">
        <v>2259</v>
      </c>
      <c r="O6101" s="4" t="str">
        <f>LEFT(Table2[[#This Row],[Description]],75)</f>
        <v>SCHWAB S&amp;P 500 INDEX</v>
      </c>
      <c r="P6101" s="2" t="s">
        <v>2385</v>
      </c>
    </row>
    <row r="6102" spans="1:16" hidden="1">
      <c r="A6102" s="2">
        <v>202111</v>
      </c>
      <c r="B6102" s="3">
        <v>44530</v>
      </c>
      <c r="C6102" s="2" t="s">
        <v>2317</v>
      </c>
      <c r="D6102" s="2" t="s">
        <v>1634</v>
      </c>
      <c r="E6102" s="2">
        <v>200</v>
      </c>
      <c r="F6102" s="2" t="e">
        <f>IF(Table2[[#This Row],[Manual Cat Value]]="",VLOOKUP(Table2[[#This Row],[Description]],'Actuals Lookup'!D:F,3,0),Table2[[#This Row],[Manual Cat Value]])</f>
        <v>#N/A</v>
      </c>
      <c r="J6102" s="2">
        <v>200</v>
      </c>
      <c r="K6102" s="2" t="b">
        <v>0</v>
      </c>
      <c r="L6102" s="2"/>
      <c r="M6102" s="2"/>
      <c r="N6102" s="4" t="s">
        <v>2259</v>
      </c>
      <c r="O6102" s="4" t="str">
        <f>LEFT(Table2[[#This Row],[Description]],75)</f>
        <v>SCHWAB TOTAL STOCK MARKET INDEX</v>
      </c>
      <c r="P6102" s="2" t="s">
        <v>2385</v>
      </c>
    </row>
    <row r="6103" spans="1:16" hidden="1">
      <c r="A6103" s="2">
        <v>202111</v>
      </c>
      <c r="B6103" s="3">
        <v>44530</v>
      </c>
      <c r="C6103" s="2" t="s">
        <v>2317</v>
      </c>
      <c r="D6103" s="2" t="s">
        <v>1638</v>
      </c>
      <c r="E6103" s="2">
        <v>548.9</v>
      </c>
      <c r="F6103" s="2" t="e">
        <f>IF(Table2[[#This Row],[Manual Cat Value]]="",VLOOKUP(Table2[[#This Row],[Description]],'Actuals Lookup'!D:F,3,0),Table2[[#This Row],[Manual Cat Value]])</f>
        <v>#N/A</v>
      </c>
      <c r="J6103" s="2">
        <v>548.9</v>
      </c>
      <c r="K6103" s="2" t="b">
        <v>0</v>
      </c>
      <c r="L6103" s="2"/>
      <c r="M6103" s="2"/>
      <c r="N6103" s="4" t="s">
        <v>2259</v>
      </c>
      <c r="O6103" s="4" t="str">
        <f>LEFT(Table2[[#This Row],[Description]],75)</f>
        <v>SCHWAB US SMALL CAP ETF</v>
      </c>
      <c r="P6103" s="2" t="s">
        <v>2351</v>
      </c>
    </row>
    <row r="6104" spans="1:16" hidden="1">
      <c r="A6104" s="2">
        <v>202111</v>
      </c>
      <c r="B6104" s="3">
        <v>44530</v>
      </c>
      <c r="C6104" s="2" t="s">
        <v>2317</v>
      </c>
      <c r="D6104" s="2" t="s">
        <v>1638</v>
      </c>
      <c r="E6104" s="2">
        <v>646.95000000000005</v>
      </c>
      <c r="F6104" s="2" t="e">
        <f>IF(Table2[[#This Row],[Manual Cat Value]]="",VLOOKUP(Table2[[#This Row],[Description]],'Actuals Lookup'!D:F,3,0),Table2[[#This Row],[Manual Cat Value]])</f>
        <v>#N/A</v>
      </c>
      <c r="J6104" s="2">
        <v>646.95000000000005</v>
      </c>
      <c r="K6104" s="2" t="b">
        <v>0</v>
      </c>
      <c r="L6104" s="2"/>
      <c r="M6104" s="2"/>
      <c r="N6104" s="4" t="s">
        <v>2259</v>
      </c>
      <c r="O6104" s="4" t="str">
        <f>LEFT(Table2[[#This Row],[Description]],75)</f>
        <v>SCHWAB US SMALL CAP ETF</v>
      </c>
      <c r="P6104" s="2" t="s">
        <v>2351</v>
      </c>
    </row>
    <row r="6105" spans="1:16" hidden="1">
      <c r="A6105" s="2">
        <v>202111</v>
      </c>
      <c r="B6105" s="3">
        <v>44530</v>
      </c>
      <c r="C6105" s="2" t="s">
        <v>2300</v>
      </c>
      <c r="D6105" s="2" t="s">
        <v>1648</v>
      </c>
      <c r="E6105" s="2">
        <v>-100</v>
      </c>
      <c r="F6105" s="2" t="e">
        <f>IF(Table2[[#This Row],[Manual Cat Value]]="",VLOOKUP(Table2[[#This Row],[Description]],'Actuals Lookup'!D:F,3,0),Table2[[#This Row],[Manual Cat Value]])</f>
        <v>#N/A</v>
      </c>
      <c r="J6105" s="2">
        <v>100</v>
      </c>
      <c r="K6105" s="2" t="b">
        <v>0</v>
      </c>
      <c r="L6105" s="2"/>
      <c r="M6105" s="2"/>
      <c r="N6105" s="4" t="s">
        <v>2273</v>
      </c>
      <c r="O6105" s="4" t="str">
        <f>LEFT(Table2[[#This Row],[Description]],75)</f>
        <v>Share</v>
      </c>
      <c r="P6105" s="2" t="s">
        <v>2448</v>
      </c>
    </row>
    <row r="6106" spans="1:16" hidden="1">
      <c r="A6106" s="2">
        <v>202111</v>
      </c>
      <c r="B6106" s="3">
        <v>44530</v>
      </c>
      <c r="C6106" s="2" t="s">
        <v>2262</v>
      </c>
      <c r="D6106" s="2" t="s">
        <v>1651</v>
      </c>
      <c r="E6106" s="2">
        <v>2.87</v>
      </c>
      <c r="F6106" s="2" t="e">
        <f>IF(Table2[[#This Row],[Manual Cat Value]]="",VLOOKUP(Table2[[#This Row],[Description]],'Actuals Lookup'!D:F,3,0),Table2[[#This Row],[Manual Cat Value]])</f>
        <v>#N/A</v>
      </c>
      <c r="J6106" s="2">
        <v>2.87</v>
      </c>
      <c r="K6106" s="2" t="b">
        <v>0</v>
      </c>
      <c r="L6106" s="2"/>
      <c r="M6106" s="2"/>
      <c r="N6106" s="4" t="s">
        <v>2259</v>
      </c>
      <c r="O6106" s="4" t="str">
        <f>LEFT(Table2[[#This Row],[Description]],75)</f>
        <v>Shellis News</v>
      </c>
      <c r="P6106" s="2" t="s">
        <v>2281</v>
      </c>
    </row>
    <row r="6107" spans="1:16" hidden="1">
      <c r="A6107" s="2">
        <v>202111</v>
      </c>
      <c r="B6107" s="3">
        <v>44530</v>
      </c>
      <c r="C6107" s="2" t="s">
        <v>2262</v>
      </c>
      <c r="D6107" s="2" t="s">
        <v>1675</v>
      </c>
      <c r="E6107" s="2">
        <v>32.39</v>
      </c>
      <c r="F6107" s="2" t="e">
        <f>IF(Table2[[#This Row],[Manual Cat Value]]="",VLOOKUP(Table2[[#This Row],[Description]],'Actuals Lookup'!D:F,3,0),Table2[[#This Row],[Manual Cat Value]])</f>
        <v>#N/A</v>
      </c>
      <c r="J6107" s="2">
        <v>32.39</v>
      </c>
      <c r="K6107" s="2" t="b">
        <v>0</v>
      </c>
      <c r="L6107" s="2"/>
      <c r="M6107" s="2"/>
      <c r="N6107" s="4" t="s">
        <v>2259</v>
      </c>
      <c r="O6107" s="4" t="str">
        <f>LEFT(Table2[[#This Row],[Description]],75)</f>
        <v>Something Safari LLC</v>
      </c>
      <c r="P6107" s="2" t="s">
        <v>2281</v>
      </c>
    </row>
    <row r="6108" spans="1:16" hidden="1">
      <c r="A6108" s="2">
        <v>202111</v>
      </c>
      <c r="B6108" s="3">
        <v>44530</v>
      </c>
      <c r="C6108" s="2" t="s">
        <v>2262</v>
      </c>
      <c r="D6108" s="2" t="s">
        <v>1705</v>
      </c>
      <c r="E6108" s="2">
        <v>207.57</v>
      </c>
      <c r="F6108" s="2" t="e">
        <f>IF(Table2[[#This Row],[Manual Cat Value]]="",VLOOKUP(Table2[[#This Row],[Description]],'Actuals Lookup'!D:F,3,0),Table2[[#This Row],[Manual Cat Value]])</f>
        <v>#N/A</v>
      </c>
      <c r="J6108" s="2">
        <v>207.57</v>
      </c>
      <c r="K6108" s="2" t="b">
        <v>0</v>
      </c>
      <c r="L6108" s="2"/>
      <c r="M6108" s="2"/>
      <c r="N6108" s="4" t="s">
        <v>2259</v>
      </c>
      <c r="O6108" s="4" t="str">
        <f>LEFT(Table2[[#This Row],[Description]],75)</f>
        <v>SP TRUE PLAY STRSLDE HTTPSSTAIRSLIUT</v>
      </c>
      <c r="P6108" s="2" t="s">
        <v>2281</v>
      </c>
    </row>
    <row r="6109" spans="1:16" hidden="1">
      <c r="A6109" s="2">
        <v>202111</v>
      </c>
      <c r="B6109" s="3">
        <v>44530</v>
      </c>
      <c r="C6109" s="2" t="s">
        <v>2262</v>
      </c>
      <c r="D6109" s="2" t="s">
        <v>1706</v>
      </c>
      <c r="E6109" s="2">
        <v>31</v>
      </c>
      <c r="F6109" s="2" t="e">
        <f>IF(Table2[[#This Row],[Manual Cat Value]]="",VLOOKUP(Table2[[#This Row],[Description]],'Actuals Lookup'!D:F,3,0),Table2[[#This Row],[Manual Cat Value]])</f>
        <v>#N/A</v>
      </c>
      <c r="J6109" s="2">
        <v>31</v>
      </c>
      <c r="K6109" s="2" t="b">
        <v>0</v>
      </c>
      <c r="L6109" s="2"/>
      <c r="M6109" s="2"/>
      <c r="N6109" s="4" t="s">
        <v>2259</v>
      </c>
      <c r="O6109" s="4" t="str">
        <f>LEFT(Table2[[#This Row],[Description]],75)</f>
        <v>SP UNRLCO UNRLMYSHOPIFMN</v>
      </c>
      <c r="P6109" s="2" t="s">
        <v>2281</v>
      </c>
    </row>
    <row r="6110" spans="1:16" hidden="1">
      <c r="A6110" s="2">
        <v>202111</v>
      </c>
      <c r="B6110" s="3">
        <v>44530</v>
      </c>
      <c r="C6110" s="2" t="s">
        <v>2262</v>
      </c>
      <c r="D6110" s="2" t="s">
        <v>1706</v>
      </c>
      <c r="E6110" s="2">
        <v>83</v>
      </c>
      <c r="F6110" s="2" t="e">
        <f>IF(Table2[[#This Row],[Manual Cat Value]]="",VLOOKUP(Table2[[#This Row],[Description]],'Actuals Lookup'!D:F,3,0),Table2[[#This Row],[Manual Cat Value]])</f>
        <v>#N/A</v>
      </c>
      <c r="J6110" s="2">
        <v>83</v>
      </c>
      <c r="K6110" s="2" t="b">
        <v>0</v>
      </c>
      <c r="L6110" s="2"/>
      <c r="M6110" s="2"/>
      <c r="N6110" s="4" t="s">
        <v>2259</v>
      </c>
      <c r="O6110" s="4" t="str">
        <f>LEFT(Table2[[#This Row],[Description]],75)</f>
        <v>SP UNRLCO UNRLMYSHOPIFMN</v>
      </c>
      <c r="P6110" s="2" t="s">
        <v>2281</v>
      </c>
    </row>
    <row r="6111" spans="1:16" hidden="1">
      <c r="A6111" s="2">
        <v>202111</v>
      </c>
      <c r="B6111" s="3">
        <v>44530</v>
      </c>
      <c r="C6111" s="2" t="s">
        <v>2300</v>
      </c>
      <c r="D6111" s="2" t="s">
        <v>1709</v>
      </c>
      <c r="E6111" s="2">
        <v>-13.58</v>
      </c>
      <c r="F6111" s="2" t="e">
        <f>IF(Table2[[#This Row],[Manual Cat Value]]="",VLOOKUP(Table2[[#This Row],[Description]],'Actuals Lookup'!D:F,3,0),Table2[[#This Row],[Manual Cat Value]])</f>
        <v>#N/A</v>
      </c>
      <c r="J6111" s="2">
        <v>13.58</v>
      </c>
      <c r="K6111" s="2" t="b">
        <v>0</v>
      </c>
      <c r="L6111" s="2"/>
      <c r="M6111" s="2"/>
      <c r="N6111" s="4" t="s">
        <v>2273</v>
      </c>
      <c r="O6111" s="4" t="str">
        <f>LEFT(Table2[[#This Row],[Description]],75)</f>
        <v>Split Rate Apy</v>
      </c>
      <c r="P6111" s="2" t="s">
        <v>2313</v>
      </c>
    </row>
    <row r="6112" spans="1:16" hidden="1">
      <c r="A6112" s="2">
        <v>202111</v>
      </c>
      <c r="B6112" s="3">
        <v>44530</v>
      </c>
      <c r="C6112" s="2" t="s">
        <v>2265</v>
      </c>
      <c r="D6112" s="2" t="s">
        <v>1709</v>
      </c>
      <c r="E6112" s="2">
        <v>-24.31</v>
      </c>
      <c r="F6112" s="2" t="e">
        <f>IF(Table2[[#This Row],[Manual Cat Value]]="",VLOOKUP(Table2[[#This Row],[Description]],'Actuals Lookup'!D:F,3,0),Table2[[#This Row],[Manual Cat Value]])</f>
        <v>#N/A</v>
      </c>
      <c r="J6112" s="2">
        <v>24.31</v>
      </c>
      <c r="K6112" s="2" t="b">
        <v>0</v>
      </c>
      <c r="L6112" s="2"/>
      <c r="M6112" s="2"/>
      <c r="N6112" s="4" t="s">
        <v>2273</v>
      </c>
      <c r="O6112" s="4" t="str">
        <f>LEFT(Table2[[#This Row],[Description]],75)</f>
        <v>Split Rate Apy</v>
      </c>
      <c r="P6112" s="2" t="s">
        <v>2313</v>
      </c>
    </row>
    <row r="6113" spans="1:16" hidden="1">
      <c r="A6113" s="2">
        <v>202111</v>
      </c>
      <c r="B6113" s="3">
        <v>44530</v>
      </c>
      <c r="C6113" s="2" t="s">
        <v>2262</v>
      </c>
      <c r="D6113" s="2" t="s">
        <v>1712</v>
      </c>
      <c r="E6113" s="2">
        <v>3.24</v>
      </c>
      <c r="F6113" s="2" t="e">
        <f>IF(Table2[[#This Row],[Manual Cat Value]]="",VLOOKUP(Table2[[#This Row],[Description]],'Actuals Lookup'!D:F,3,0),Table2[[#This Row],[Manual Cat Value]])</f>
        <v>#N/A</v>
      </c>
      <c r="J6113" s="2">
        <v>3.24</v>
      </c>
      <c r="K6113" s="2" t="b">
        <v>0</v>
      </c>
      <c r="L6113" s="2"/>
      <c r="M6113" s="2"/>
      <c r="N6113" s="4" t="s">
        <v>2259</v>
      </c>
      <c r="O6113" s="4" t="str">
        <f>LEFT(Table2[[#This Row],[Description]],75)</f>
        <v>Spring Hill Suites</v>
      </c>
      <c r="P6113" s="2" t="s">
        <v>2281</v>
      </c>
    </row>
    <row r="6114" spans="1:16" hidden="1">
      <c r="A6114" s="2">
        <v>202111</v>
      </c>
      <c r="B6114" s="3">
        <v>44530</v>
      </c>
      <c r="C6114" s="2" t="s">
        <v>2262</v>
      </c>
      <c r="D6114" s="2" t="s">
        <v>1732</v>
      </c>
      <c r="E6114" s="2">
        <v>195.03</v>
      </c>
      <c r="F6114" s="2" t="e">
        <f>IF(Table2[[#This Row],[Manual Cat Value]]="",VLOOKUP(Table2[[#This Row],[Description]],'Actuals Lookup'!D:F,3,0),Table2[[#This Row],[Manual Cat Value]])</f>
        <v>#N/A</v>
      </c>
      <c r="J6114" s="2">
        <v>195.03</v>
      </c>
      <c r="K6114" s="2" t="b">
        <v>0</v>
      </c>
      <c r="L6114" s="2"/>
      <c r="M6114" s="2"/>
      <c r="N6114" s="4" t="s">
        <v>2259</v>
      </c>
      <c r="O6114" s="4" t="str">
        <f>LEFT(Table2[[#This Row],[Description]],75)</f>
        <v>SQ GOGLOW Edina MN</v>
      </c>
      <c r="P6114" s="2" t="s">
        <v>2281</v>
      </c>
    </row>
    <row r="6115" spans="1:16" hidden="1">
      <c r="A6115" s="2">
        <v>202111</v>
      </c>
      <c r="B6115" s="3">
        <v>44530</v>
      </c>
      <c r="C6115" s="2" t="s">
        <v>2262</v>
      </c>
      <c r="D6115" s="2" t="s">
        <v>1749</v>
      </c>
      <c r="E6115" s="2">
        <v>8.2799999999999994</v>
      </c>
      <c r="F6115" s="2" t="e">
        <f>IF(Table2[[#This Row],[Manual Cat Value]]="",VLOOKUP(Table2[[#This Row],[Description]],'Actuals Lookup'!D:F,3,0),Table2[[#This Row],[Manual Cat Value]])</f>
        <v>#N/A</v>
      </c>
      <c r="J6115" s="2">
        <v>8.2799999999999994</v>
      </c>
      <c r="K6115" s="2" t="b">
        <v>0</v>
      </c>
      <c r="L6115" s="2"/>
      <c r="M6115" s="2"/>
      <c r="N6115" s="4" t="s">
        <v>2259</v>
      </c>
      <c r="O6115" s="4" t="str">
        <f>LEFT(Table2[[#This Row],[Description]],75)</f>
        <v>SQ RED BENCH BAKERY Excelsior MN</v>
      </c>
      <c r="P6115" s="2" t="s">
        <v>2281</v>
      </c>
    </row>
    <row r="6116" spans="1:16" hidden="1">
      <c r="A6116" s="2">
        <v>202111</v>
      </c>
      <c r="B6116" s="3">
        <v>44530</v>
      </c>
      <c r="C6116" s="2" t="s">
        <v>2262</v>
      </c>
      <c r="D6116" s="2" t="s">
        <v>1767</v>
      </c>
      <c r="E6116" s="2">
        <v>13.8</v>
      </c>
      <c r="F6116" s="2" t="e">
        <f>IF(Table2[[#This Row],[Manual Cat Value]]="",VLOOKUP(Table2[[#This Row],[Description]],'Actuals Lookup'!D:F,3,0),Table2[[#This Row],[Manual Cat Value]])</f>
        <v>#N/A</v>
      </c>
      <c r="J6116" s="2">
        <v>13.8</v>
      </c>
      <c r="K6116" s="2" t="b">
        <v>0</v>
      </c>
      <c r="L6116" s="2"/>
      <c r="M6116" s="2"/>
      <c r="N6116" s="4" t="s">
        <v>2259</v>
      </c>
      <c r="O6116" s="4" t="str">
        <f>LEFT(Table2[[#This Row],[Description]],75)</f>
        <v>SQ ZOES GONE BANANAS Excelsior MN</v>
      </c>
      <c r="P6116" s="2" t="s">
        <v>2281</v>
      </c>
    </row>
    <row r="6117" spans="1:16" hidden="1">
      <c r="A6117" s="2">
        <v>202111</v>
      </c>
      <c r="B6117" s="3">
        <v>44530</v>
      </c>
      <c r="C6117" s="2" t="s">
        <v>2317</v>
      </c>
      <c r="D6117" s="2" t="s">
        <v>1774</v>
      </c>
      <c r="E6117" s="2">
        <v>-23.07</v>
      </c>
      <c r="F6117" s="2" t="e">
        <f>IF(Table2[[#This Row],[Manual Cat Value]]="",VLOOKUP(Table2[[#This Row],[Description]],'Actuals Lookup'!D:F,3,0),Table2[[#This Row],[Manual Cat Value]])</f>
        <v>#N/A</v>
      </c>
      <c r="J6117" s="2">
        <v>23.07</v>
      </c>
      <c r="K6117" s="2" t="b">
        <v>0</v>
      </c>
      <c r="L6117" s="2"/>
      <c r="M6117" s="2"/>
      <c r="N6117" s="4" t="s">
        <v>2273</v>
      </c>
      <c r="O6117" s="4" t="str">
        <f>LEFT(Table2[[#This Row],[Description]],75)</f>
        <v>STARBUCKS CORP</v>
      </c>
      <c r="P6117" s="2" t="s">
        <v>2416</v>
      </c>
    </row>
    <row r="6118" spans="1:16" hidden="1">
      <c r="A6118" s="2">
        <v>202111</v>
      </c>
      <c r="B6118" s="3">
        <v>44530</v>
      </c>
      <c r="C6118" s="2" t="s">
        <v>2317</v>
      </c>
      <c r="D6118" s="2" t="s">
        <v>1774</v>
      </c>
      <c r="E6118" s="2">
        <v>23.07</v>
      </c>
      <c r="F6118" s="2" t="e">
        <f>IF(Table2[[#This Row],[Manual Cat Value]]="",VLOOKUP(Table2[[#This Row],[Description]],'Actuals Lookup'!D:F,3,0),Table2[[#This Row],[Manual Cat Value]])</f>
        <v>#N/A</v>
      </c>
      <c r="J6118" s="2">
        <v>23.07</v>
      </c>
      <c r="K6118" s="2" t="b">
        <v>0</v>
      </c>
      <c r="L6118" s="2"/>
      <c r="M6118" s="2"/>
      <c r="N6118" s="4" t="s">
        <v>2259</v>
      </c>
      <c r="O6118" s="4" t="str">
        <f>LEFT(Table2[[#This Row],[Description]],75)</f>
        <v>STARBUCKS CORP</v>
      </c>
      <c r="P6118" s="2" t="s">
        <v>2416</v>
      </c>
    </row>
    <row r="6119" spans="1:16" hidden="1">
      <c r="A6119" s="2">
        <v>202111</v>
      </c>
      <c r="B6119" s="3">
        <v>44530</v>
      </c>
      <c r="C6119" s="2" t="s">
        <v>2317</v>
      </c>
      <c r="D6119" s="2" t="s">
        <v>1797</v>
      </c>
      <c r="E6119" s="2">
        <v>-250</v>
      </c>
      <c r="F6119" s="2" t="e">
        <f>IF(Table2[[#This Row],[Manual Cat Value]]="",VLOOKUP(Table2[[#This Row],[Description]],'Actuals Lookup'!D:F,3,0),Table2[[#This Row],[Manual Cat Value]])</f>
        <v>#N/A</v>
      </c>
      <c r="J6119" s="2">
        <v>250</v>
      </c>
      <c r="K6119" s="2" t="b">
        <v>0</v>
      </c>
      <c r="L6119" s="2"/>
      <c r="M6119" s="2"/>
      <c r="N6119" s="4" t="s">
        <v>2273</v>
      </c>
      <c r="O6119" s="4" t="str">
        <f>LEFT(Table2[[#This Row],[Description]],75)</f>
        <v>SYNTELLIS PERFOR</v>
      </c>
      <c r="P6119" s="2" t="s">
        <v>2385</v>
      </c>
    </row>
    <row r="6120" spans="1:16" hidden="1">
      <c r="A6120" s="2">
        <v>202111</v>
      </c>
      <c r="B6120" s="3">
        <v>44530</v>
      </c>
      <c r="C6120" s="2" t="s">
        <v>2317</v>
      </c>
      <c r="D6120" s="2" t="s">
        <v>1797</v>
      </c>
      <c r="E6120" s="2">
        <v>-250</v>
      </c>
      <c r="F6120" s="2" t="e">
        <f>IF(Table2[[#This Row],[Manual Cat Value]]="",VLOOKUP(Table2[[#This Row],[Description]],'Actuals Lookup'!D:F,3,0),Table2[[#This Row],[Manual Cat Value]])</f>
        <v>#N/A</v>
      </c>
      <c r="J6120" s="2">
        <v>250</v>
      </c>
      <c r="K6120" s="2" t="b">
        <v>0</v>
      </c>
      <c r="L6120" s="2"/>
      <c r="M6120" s="2"/>
      <c r="N6120" s="4" t="s">
        <v>2273</v>
      </c>
      <c r="O6120" s="4" t="str">
        <f>LEFT(Table2[[#This Row],[Description]],75)</f>
        <v>SYNTELLIS PERFOR</v>
      </c>
      <c r="P6120" s="2" t="s">
        <v>2385</v>
      </c>
    </row>
    <row r="6121" spans="1:16" hidden="1">
      <c r="A6121" s="2">
        <v>202111</v>
      </c>
      <c r="B6121" s="3">
        <v>44530</v>
      </c>
      <c r="C6121" s="2" t="s">
        <v>2265</v>
      </c>
      <c r="D6121" s="2" t="s">
        <v>1799</v>
      </c>
      <c r="E6121" s="2">
        <v>-3506.75</v>
      </c>
      <c r="F6121" s="2" t="e">
        <f>IF(Table2[[#This Row],[Manual Cat Value]]="",VLOOKUP(Table2[[#This Row],[Description]],'Actuals Lookup'!D:F,3,0),Table2[[#This Row],[Manual Cat Value]])</f>
        <v>#N/A</v>
      </c>
      <c r="J6121" s="2">
        <v>3506.75</v>
      </c>
      <c r="K6121" s="2" t="b">
        <v>0</v>
      </c>
      <c r="L6121" s="2"/>
      <c r="M6121" s="2"/>
      <c r="N6121" s="4" t="s">
        <v>2273</v>
      </c>
      <c r="O6121" s="4" t="str">
        <f>LEFT(Table2[[#This Row],[Description]],75)</f>
        <v>SYNTELLIS PERFOR TYPE DIRECT DEP ID CO SYNTELLIS PERFOR ACH ECC PPD ACH Tra</v>
      </c>
      <c r="P6121" s="2" t="s">
        <v>2281</v>
      </c>
    </row>
    <row r="6122" spans="1:16" hidden="1">
      <c r="A6122" s="2">
        <v>202111</v>
      </c>
      <c r="B6122" s="3">
        <v>44530</v>
      </c>
      <c r="C6122" s="2" t="s">
        <v>2265</v>
      </c>
      <c r="D6122" s="2" t="s">
        <v>1806</v>
      </c>
      <c r="E6122" s="2">
        <v>-3456.76</v>
      </c>
      <c r="F6122" s="2" t="e">
        <f>IF(Table2[[#This Row],[Manual Cat Value]]="",VLOOKUP(Table2[[#This Row],[Description]],'Actuals Lookup'!D:F,3,0),Table2[[#This Row],[Manual Cat Value]])</f>
        <v>#N/A</v>
      </c>
      <c r="J6122" s="2">
        <v>3456.76</v>
      </c>
      <c r="K6122" s="2" t="b">
        <v>0</v>
      </c>
      <c r="L6122" s="2"/>
      <c r="M6122" s="2"/>
      <c r="N6122" s="4" t="s">
        <v>2273</v>
      </c>
      <c r="O6122" s="4" t="str">
        <f>LEFT(Table2[[#This Row],[Description]],75)</f>
        <v>SYNTELLIS PERFOR TYPE DIRECT DEP ID CO SYNTELLIS PERFOR ACH ECC PPD ACH Tra</v>
      </c>
      <c r="P6122" s="2" t="s">
        <v>2281</v>
      </c>
    </row>
    <row r="6123" spans="1:16" hidden="1">
      <c r="A6123" s="2">
        <v>202111</v>
      </c>
      <c r="B6123" s="3">
        <v>44530</v>
      </c>
      <c r="C6123" s="2" t="s">
        <v>2265</v>
      </c>
      <c r="D6123" s="2" t="s">
        <v>31</v>
      </c>
      <c r="E6123" s="2">
        <v>558.64</v>
      </c>
      <c r="F6123" s="2" t="str">
        <f>IF(Table2[[#This Row],[Manual Cat Value]]="",VLOOKUP(Table2[[#This Row],[Description]],'Actuals Lookup'!D:F,3,0),Table2[[#This Row],[Manual Cat Value]])</f>
        <v>Target</v>
      </c>
      <c r="J6123" s="2">
        <v>558.64</v>
      </c>
      <c r="K6123" s="2" t="b">
        <v>0</v>
      </c>
      <c r="L6123" s="2"/>
      <c r="M6123" s="2"/>
      <c r="N6123" s="4" t="s">
        <v>2259</v>
      </c>
      <c r="O6123" s="4" t="str">
        <f>LEFT(Table2[[#This Row],[Description]],75)</f>
        <v>Target</v>
      </c>
      <c r="P6123" s="2" t="s">
        <v>2309</v>
      </c>
    </row>
    <row r="6124" spans="1:16" hidden="1">
      <c r="A6124" s="2">
        <v>202111</v>
      </c>
      <c r="B6124" s="3">
        <v>44530</v>
      </c>
      <c r="C6124" s="2" t="s">
        <v>2434</v>
      </c>
      <c r="D6124" s="2" t="s">
        <v>1835</v>
      </c>
      <c r="E6124" s="2">
        <v>-231</v>
      </c>
      <c r="F6124" s="2" t="e">
        <f>IF(Table2[[#This Row],[Manual Cat Value]]="",VLOOKUP(Table2[[#This Row],[Description]],'Actuals Lookup'!D:F,3,0),Table2[[#This Row],[Manual Cat Value]])</f>
        <v>#N/A</v>
      </c>
      <c r="J6124" s="2">
        <v>231</v>
      </c>
      <c r="K6124" s="2" t="b">
        <v>0</v>
      </c>
      <c r="L6124" s="2"/>
      <c r="M6124" s="2"/>
      <c r="N6124" s="4" t="s">
        <v>2273</v>
      </c>
      <c r="O6124" s="4" t="str">
        <f>LEFT(Table2[[#This Row],[Description]],75)</f>
        <v>Tfr JPMORGAN CHASE BAN, CARGILL INCORPOR</v>
      </c>
      <c r="P6124" s="2" t="s">
        <v>2281</v>
      </c>
    </row>
    <row r="6125" spans="1:16" hidden="1">
      <c r="A6125" s="2">
        <v>202111</v>
      </c>
      <c r="B6125" s="3">
        <v>44530</v>
      </c>
      <c r="C6125" s="2" t="s">
        <v>2434</v>
      </c>
      <c r="D6125" s="2" t="s">
        <v>1835</v>
      </c>
      <c r="E6125" s="2">
        <v>-231</v>
      </c>
      <c r="F6125" s="2" t="e">
        <f>IF(Table2[[#This Row],[Manual Cat Value]]="",VLOOKUP(Table2[[#This Row],[Description]],'Actuals Lookup'!D:F,3,0),Table2[[#This Row],[Manual Cat Value]])</f>
        <v>#N/A</v>
      </c>
      <c r="J6125" s="2">
        <v>231</v>
      </c>
      <c r="K6125" s="2" t="b">
        <v>0</v>
      </c>
      <c r="L6125" s="2"/>
      <c r="M6125" s="2"/>
      <c r="N6125" s="4" t="s">
        <v>2273</v>
      </c>
      <c r="O6125" s="4" t="str">
        <f>LEFT(Table2[[#This Row],[Description]],75)</f>
        <v>Tfr JPMORGAN CHASE BAN, CARGILL INCORPOR</v>
      </c>
      <c r="P6125" s="2" t="s">
        <v>2281</v>
      </c>
    </row>
    <row r="6126" spans="1:16" hidden="1">
      <c r="A6126" s="2">
        <v>202111</v>
      </c>
      <c r="B6126" s="3">
        <v>44530</v>
      </c>
      <c r="C6126" s="2" t="s">
        <v>2435</v>
      </c>
      <c r="D6126" s="2" t="s">
        <v>1838</v>
      </c>
      <c r="E6126" s="2">
        <v>-250</v>
      </c>
      <c r="F6126" s="2" t="e">
        <f>IF(Table2[[#This Row],[Manual Cat Value]]="",VLOOKUP(Table2[[#This Row],[Description]],'Actuals Lookup'!D:F,3,0),Table2[[#This Row],[Manual Cat Value]])</f>
        <v>#N/A</v>
      </c>
      <c r="J6126" s="2">
        <v>250</v>
      </c>
      <c r="K6126" s="2" t="b">
        <v>0</v>
      </c>
      <c r="L6126" s="2"/>
      <c r="M6126" s="2"/>
      <c r="N6126" s="4" t="s">
        <v>2273</v>
      </c>
      <c r="O6126" s="4" t="str">
        <f>LEFT(Table2[[#This Row],[Description]],75)</f>
        <v>Tfr JPMORGAN CHASE BAN, SYNTELLIS PERFOR</v>
      </c>
      <c r="P6126" s="2" t="s">
        <v>2281</v>
      </c>
    </row>
    <row r="6127" spans="1:16" hidden="1">
      <c r="A6127" s="2">
        <v>202111</v>
      </c>
      <c r="B6127" s="3">
        <v>44530</v>
      </c>
      <c r="C6127" s="2" t="s">
        <v>2435</v>
      </c>
      <c r="D6127" s="2" t="s">
        <v>1838</v>
      </c>
      <c r="E6127" s="2">
        <v>-250</v>
      </c>
      <c r="F6127" s="2" t="e">
        <f>IF(Table2[[#This Row],[Manual Cat Value]]="",VLOOKUP(Table2[[#This Row],[Description]],'Actuals Lookup'!D:F,3,0),Table2[[#This Row],[Manual Cat Value]])</f>
        <v>#N/A</v>
      </c>
      <c r="J6127" s="2">
        <v>250</v>
      </c>
      <c r="K6127" s="2" t="b">
        <v>0</v>
      </c>
      <c r="L6127" s="2"/>
      <c r="M6127" s="2"/>
      <c r="N6127" s="4" t="s">
        <v>2273</v>
      </c>
      <c r="O6127" s="4" t="str">
        <f>LEFT(Table2[[#This Row],[Description]],75)</f>
        <v>Tfr JPMORGAN CHASE BAN, SYNTELLIS PERFOR</v>
      </c>
      <c r="P6127" s="2" t="s">
        <v>2281</v>
      </c>
    </row>
    <row r="6128" spans="1:16" hidden="1">
      <c r="A6128" s="2">
        <v>202111</v>
      </c>
      <c r="B6128" s="3">
        <v>44530</v>
      </c>
      <c r="C6128" s="2" t="s">
        <v>2262</v>
      </c>
      <c r="D6128" s="2" t="s">
        <v>1862</v>
      </c>
      <c r="E6128" s="2">
        <v>20.65</v>
      </c>
      <c r="F6128" s="2" t="e">
        <f>IF(Table2[[#This Row],[Manual Cat Value]]="",VLOOKUP(Table2[[#This Row],[Description]],'Actuals Lookup'!D:F,3,0),Table2[[#This Row],[Manual Cat Value]])</f>
        <v>#N/A</v>
      </c>
      <c r="J6128" s="2">
        <v>20.65</v>
      </c>
      <c r="K6128" s="2" t="b">
        <v>0</v>
      </c>
      <c r="L6128" s="2"/>
      <c r="M6128" s="2"/>
      <c r="N6128" s="4" t="s">
        <v>2259</v>
      </c>
      <c r="O6128" s="4" t="str">
        <f>LEFT(Table2[[#This Row],[Description]],75)</f>
        <v>Thompson</v>
      </c>
      <c r="P6128" s="2" t="s">
        <v>2281</v>
      </c>
    </row>
    <row r="6129" spans="1:16" hidden="1">
      <c r="A6129" s="2">
        <v>202111</v>
      </c>
      <c r="B6129" s="3">
        <v>44530</v>
      </c>
      <c r="C6129" s="2" t="s">
        <v>2265</v>
      </c>
      <c r="D6129" s="2" t="s">
        <v>1892</v>
      </c>
      <c r="E6129" s="2">
        <v>100</v>
      </c>
      <c r="F6129" s="2" t="e">
        <f>IF(Table2[[#This Row],[Manual Cat Value]]="",VLOOKUP(Table2[[#This Row],[Description]],'Actuals Lookup'!D:F,3,0),Table2[[#This Row],[Manual Cat Value]])</f>
        <v>#N/A</v>
      </c>
      <c r="J6129" s="2">
        <v>100</v>
      </c>
      <c r="K6129" s="2" t="b">
        <v>0</v>
      </c>
      <c r="L6129" s="2"/>
      <c r="M6129" s="2"/>
      <c r="N6129" s="4" t="s">
        <v>2259</v>
      </c>
      <c r="O6129" s="4" t="str">
        <f>LEFT(Table2[[#This Row],[Description]],75)</f>
        <v>To Share 12</v>
      </c>
      <c r="P6129" s="2" t="s">
        <v>2494</v>
      </c>
    </row>
    <row r="6130" spans="1:16" hidden="1">
      <c r="A6130" s="2">
        <v>202111</v>
      </c>
      <c r="B6130" s="3">
        <v>44530</v>
      </c>
      <c r="C6130" s="2" t="s">
        <v>2262</v>
      </c>
      <c r="D6130" s="2" t="s">
        <v>1922</v>
      </c>
      <c r="E6130" s="2">
        <v>69.28</v>
      </c>
      <c r="F6130" s="2" t="str">
        <f>IF(Table2[[#This Row],[Manual Cat Value]]="",VLOOKUP(Table2[[#This Row],[Description]],'Actuals Lookup'!D:F,3,0),Table2[[#This Row],[Manual Cat Value]])</f>
        <v>Entertainment</v>
      </c>
      <c r="J6130" s="2">
        <v>69.28</v>
      </c>
      <c r="K6130" s="2" t="b">
        <v>0</v>
      </c>
      <c r="L6130" s="2"/>
      <c r="M6130" s="2"/>
      <c r="N6130" s="4" t="s">
        <v>2259</v>
      </c>
      <c r="O6130" s="4" t="str">
        <f>LEFT(Table2[[#This Row],[Description]],75)</f>
        <v>Topgolf</v>
      </c>
      <c r="P6130" s="2" t="s">
        <v>2281</v>
      </c>
    </row>
    <row r="6131" spans="1:16" hidden="1">
      <c r="A6131" s="2">
        <v>202111</v>
      </c>
      <c r="B6131" s="3">
        <v>44530</v>
      </c>
      <c r="C6131" s="2" t="s">
        <v>2262</v>
      </c>
      <c r="D6131" s="2" t="s">
        <v>1925</v>
      </c>
      <c r="E6131" s="2">
        <v>129.24</v>
      </c>
      <c r="F6131" s="2" t="str">
        <f>IF(Table2[[#This Row],[Manual Cat Value]]="",VLOOKUP(Table2[[#This Row],[Description]],'Actuals Lookup'!D:F,3,0),Table2[[#This Row],[Manual Cat Value]])</f>
        <v>Groceries</v>
      </c>
      <c r="J6131" s="2">
        <v>129.24</v>
      </c>
      <c r="K6131" s="2" t="b">
        <v>0</v>
      </c>
      <c r="L6131" s="2"/>
      <c r="M6131" s="2"/>
      <c r="N6131" s="4" t="s">
        <v>2259</v>
      </c>
      <c r="O6131" s="4" t="str">
        <f>LEFT(Table2[[#This Row],[Description]],75)</f>
        <v>Total Wine &amp; More</v>
      </c>
      <c r="P6131" s="2" t="s">
        <v>2281</v>
      </c>
    </row>
    <row r="6132" spans="1:16" hidden="1">
      <c r="A6132" s="2">
        <v>202111</v>
      </c>
      <c r="B6132" s="3">
        <v>44530</v>
      </c>
      <c r="C6132" s="2" t="s">
        <v>2262</v>
      </c>
      <c r="D6132" s="2" t="s">
        <v>1926</v>
      </c>
      <c r="E6132" s="2">
        <v>124</v>
      </c>
      <c r="F6132" s="2" t="e">
        <f>IF(Table2[[#This Row],[Manual Cat Value]]="",VLOOKUP(Table2[[#This Row],[Description]],'Actuals Lookup'!D:F,3,0),Table2[[#This Row],[Manual Cat Value]])</f>
        <v>#N/A</v>
      </c>
      <c r="J6132" s="2">
        <v>124</v>
      </c>
      <c r="K6132" s="2" t="b">
        <v>0</v>
      </c>
      <c r="L6132" s="2"/>
      <c r="M6132" s="2"/>
      <c r="N6132" s="4" t="s">
        <v>2259</v>
      </c>
      <c r="O6132" s="4" t="str">
        <f>LEFT(Table2[[#This Row],[Description]],75)</f>
        <v>Total Wine and More</v>
      </c>
      <c r="P6132" s="2" t="s">
        <v>2289</v>
      </c>
    </row>
    <row r="6133" spans="1:16" hidden="1">
      <c r="A6133" s="2">
        <v>202111</v>
      </c>
      <c r="B6133" s="3">
        <v>44530</v>
      </c>
      <c r="C6133" s="2" t="s">
        <v>2262</v>
      </c>
      <c r="D6133" s="2" t="s">
        <v>1931</v>
      </c>
      <c r="E6133" s="2">
        <v>160.08000000000001</v>
      </c>
      <c r="F6133" s="2" t="str">
        <f>IF(Table2[[#This Row],[Manual Cat Value]]="",VLOOKUP(Table2[[#This Row],[Description]],'Actuals Lookup'!D:F,3,0),Table2[[#This Row],[Manual Cat Value]])</f>
        <v>Groceries</v>
      </c>
      <c r="J6133" s="2">
        <v>160.08000000000001</v>
      </c>
      <c r="K6133" s="2" t="b">
        <v>0</v>
      </c>
      <c r="L6133" s="2"/>
      <c r="M6133" s="2"/>
      <c r="N6133" s="4" t="s">
        <v>2259</v>
      </c>
      <c r="O6133" s="4" t="str">
        <f>LEFT(Table2[[#This Row],[Description]],75)</f>
        <v>Trader Joe's</v>
      </c>
      <c r="P6133" s="2" t="s">
        <v>2419</v>
      </c>
    </row>
    <row r="6134" spans="1:16" hidden="1">
      <c r="A6134" s="2">
        <v>202111</v>
      </c>
      <c r="B6134" s="3">
        <v>44530</v>
      </c>
      <c r="C6134" s="2" t="s">
        <v>2265</v>
      </c>
      <c r="D6134" s="2" t="s">
        <v>1997</v>
      </c>
      <c r="E6134" s="2">
        <v>5000</v>
      </c>
      <c r="F6134" s="2" t="e">
        <f>IF(Table2[[#This Row],[Manual Cat Value]]="",VLOOKUP(Table2[[#This Row],[Description]],'Actuals Lookup'!D:F,3,0),Table2[[#This Row],[Manual Cat Value]])</f>
        <v>#N/A</v>
      </c>
      <c r="J6134" s="2">
        <v>5000</v>
      </c>
      <c r="K6134" s="2" t="b">
        <v>0</v>
      </c>
      <c r="L6134" s="2"/>
      <c r="M6134" s="2"/>
      <c r="N6134" s="4" t="s">
        <v>2259</v>
      </c>
      <c r="O6134" s="4" t="str">
        <f>LEFT(Table2[[#This Row],[Description]],75)</f>
        <v>Treasurydirect TREASURY DIRECT TYPE TREAS DRCT ID CO TREASURY DIRECT ACH EC</v>
      </c>
      <c r="P6134" s="2" t="s">
        <v>2281</v>
      </c>
    </row>
    <row r="6135" spans="1:16" hidden="1">
      <c r="A6135" s="2">
        <v>202111</v>
      </c>
      <c r="B6135" s="3">
        <v>44530</v>
      </c>
      <c r="C6135" s="2" t="s">
        <v>2262</v>
      </c>
      <c r="D6135" s="2" t="s">
        <v>2013</v>
      </c>
      <c r="E6135" s="2">
        <v>26.37</v>
      </c>
      <c r="F6135" s="2" t="e">
        <f>IF(Table2[[#This Row],[Manual Cat Value]]="",VLOOKUP(Table2[[#This Row],[Description]],'Actuals Lookup'!D:F,3,0),Table2[[#This Row],[Manual Cat Value]])</f>
        <v>#N/A</v>
      </c>
      <c r="J6135" s="2">
        <v>26.37</v>
      </c>
      <c r="K6135" s="2" t="b">
        <v>0</v>
      </c>
      <c r="L6135" s="2"/>
      <c r="M6135" s="2"/>
      <c r="N6135" s="4" t="s">
        <v>2259</v>
      </c>
      <c r="O6135" s="4" t="str">
        <f>LEFT(Table2[[#This Row],[Description]],75)</f>
        <v>TST DUKES ON 7 MINNETONKA MN</v>
      </c>
      <c r="P6135" s="2" t="s">
        <v>2281</v>
      </c>
    </row>
    <row r="6136" spans="1:16" hidden="1">
      <c r="A6136" s="2">
        <v>202111</v>
      </c>
      <c r="B6136" s="3">
        <v>44530</v>
      </c>
      <c r="C6136" s="2" t="s">
        <v>2262</v>
      </c>
      <c r="D6136" s="2" t="s">
        <v>2080</v>
      </c>
      <c r="E6136" s="2">
        <v>9.9600000000000009</v>
      </c>
      <c r="F6136" s="2" t="e">
        <f>IF(Table2[[#This Row],[Manual Cat Value]]="",VLOOKUP(Table2[[#This Row],[Description]],'Actuals Lookup'!D:F,3,0),Table2[[#This Row],[Manual Cat Value]])</f>
        <v>#N/A</v>
      </c>
      <c r="J6136" s="2">
        <v>9.9600000000000009</v>
      </c>
      <c r="K6136" s="2" t="b">
        <v>0</v>
      </c>
      <c r="L6136" s="2"/>
      <c r="M6136" s="2"/>
      <c r="N6136" s="4" t="s">
        <v>2259</v>
      </c>
      <c r="O6136" s="4" t="str">
        <f>LEFT(Table2[[#This Row],[Description]],75)</f>
        <v>Uber.com</v>
      </c>
      <c r="P6136" s="2" t="s">
        <v>2281</v>
      </c>
    </row>
    <row r="6137" spans="1:16" hidden="1">
      <c r="A6137" s="2">
        <v>202111</v>
      </c>
      <c r="B6137" s="3">
        <v>44530</v>
      </c>
      <c r="C6137" s="2" t="s">
        <v>2262</v>
      </c>
      <c r="D6137" s="2" t="s">
        <v>2080</v>
      </c>
      <c r="E6137" s="2">
        <v>11.96</v>
      </c>
      <c r="F6137" s="2" t="e">
        <f>IF(Table2[[#This Row],[Manual Cat Value]]="",VLOOKUP(Table2[[#This Row],[Description]],'Actuals Lookup'!D:F,3,0),Table2[[#This Row],[Manual Cat Value]])</f>
        <v>#N/A</v>
      </c>
      <c r="J6137" s="2">
        <v>11.96</v>
      </c>
      <c r="K6137" s="2" t="b">
        <v>0</v>
      </c>
      <c r="L6137" s="2"/>
      <c r="M6137" s="2"/>
      <c r="N6137" s="4" t="s">
        <v>2259</v>
      </c>
      <c r="O6137" s="4" t="str">
        <f>LEFT(Table2[[#This Row],[Description]],75)</f>
        <v>Uber.com</v>
      </c>
      <c r="P6137" s="2" t="s">
        <v>2281</v>
      </c>
    </row>
    <row r="6138" spans="1:16" hidden="1">
      <c r="A6138" s="2">
        <v>202111</v>
      </c>
      <c r="B6138" s="3">
        <v>44530</v>
      </c>
      <c r="C6138" s="2" t="s">
        <v>2317</v>
      </c>
      <c r="D6138" s="2" t="s">
        <v>2100</v>
      </c>
      <c r="E6138" s="2">
        <v>-5.93</v>
      </c>
      <c r="F6138" s="2" t="e">
        <f>IF(Table2[[#This Row],[Manual Cat Value]]="",VLOOKUP(Table2[[#This Row],[Description]],'Actuals Lookup'!D:F,3,0),Table2[[#This Row],[Manual Cat Value]])</f>
        <v>#N/A</v>
      </c>
      <c r="J6138" s="2">
        <v>5.93</v>
      </c>
      <c r="K6138" s="2" t="b">
        <v>0</v>
      </c>
      <c r="L6138" s="2"/>
      <c r="M6138" s="2"/>
      <c r="N6138" s="4" t="s">
        <v>2273</v>
      </c>
      <c r="O6138" s="4" t="str">
        <f>LEFT(Table2[[#This Row],[Description]],75)</f>
        <v>USD PARTNERS LP LP</v>
      </c>
      <c r="P6138" s="2" t="s">
        <v>2385</v>
      </c>
    </row>
    <row r="6139" spans="1:16" hidden="1">
      <c r="A6139" s="2">
        <v>202111</v>
      </c>
      <c r="B6139" s="3">
        <v>44530</v>
      </c>
      <c r="C6139" s="2" t="s">
        <v>2262</v>
      </c>
      <c r="D6139" s="2" t="s">
        <v>2101</v>
      </c>
      <c r="E6139" s="2">
        <v>54.99</v>
      </c>
      <c r="F6139" s="2" t="str">
        <f>IF(Table2[[#This Row],[Manual Cat Value]]="",VLOOKUP(Table2[[#This Row],[Description]],'Actuals Lookup'!D:F,3,0),Table2[[#This Row],[Manual Cat Value]])</f>
        <v>Misc</v>
      </c>
      <c r="J6139" s="2">
        <v>54.99</v>
      </c>
      <c r="K6139" s="2" t="b">
        <v>0</v>
      </c>
      <c r="L6139" s="2"/>
      <c r="M6139" s="2"/>
      <c r="N6139" s="4" t="s">
        <v>2259</v>
      </c>
      <c r="O6139" s="4" t="str">
        <f>LEFT(Table2[[#This Row],[Description]],75)</f>
        <v>USPS</v>
      </c>
      <c r="P6139" s="2" t="s">
        <v>2281</v>
      </c>
    </row>
    <row r="6140" spans="1:16" hidden="1">
      <c r="A6140" s="2">
        <v>202111</v>
      </c>
      <c r="B6140" s="3">
        <v>44530</v>
      </c>
      <c r="C6140" s="2" t="s">
        <v>2262</v>
      </c>
      <c r="D6140" s="2" t="s">
        <v>2117</v>
      </c>
      <c r="E6140" s="2">
        <v>6</v>
      </c>
      <c r="F6140" s="2" t="e">
        <f>IF(Table2[[#This Row],[Manual Cat Value]]="",VLOOKUP(Table2[[#This Row],[Description]],'Actuals Lookup'!D:F,3,0),Table2[[#This Row],[Manual Cat Value]])</f>
        <v>#N/A</v>
      </c>
      <c r="J6140" s="2">
        <v>6</v>
      </c>
      <c r="K6140" s="2" t="b">
        <v>0</v>
      </c>
      <c r="L6140" s="2"/>
      <c r="M6140" s="2"/>
      <c r="N6140" s="4" t="s">
        <v>2259</v>
      </c>
      <c r="O6140" s="4" t="str">
        <f>LEFT(Table2[[#This Row],[Description]],75)</f>
        <v>VENTRA VENDING 03401 CHICAGO IL</v>
      </c>
      <c r="P6140" s="2" t="s">
        <v>2336</v>
      </c>
    </row>
    <row r="6141" spans="1:16" hidden="1">
      <c r="A6141" s="2">
        <v>202111</v>
      </c>
      <c r="B6141" s="3">
        <v>44530</v>
      </c>
      <c r="C6141" s="2" t="s">
        <v>2262</v>
      </c>
      <c r="D6141" s="2" t="s">
        <v>2120</v>
      </c>
      <c r="E6141" s="2">
        <v>6</v>
      </c>
      <c r="F6141" s="2" t="e">
        <f>IF(Table2[[#This Row],[Manual Cat Value]]="",VLOOKUP(Table2[[#This Row],[Description]],'Actuals Lookup'!D:F,3,0),Table2[[#This Row],[Manual Cat Value]])</f>
        <v>#N/A</v>
      </c>
      <c r="J6141" s="2">
        <v>6</v>
      </c>
      <c r="K6141" s="2" t="b">
        <v>0</v>
      </c>
      <c r="L6141" s="2"/>
      <c r="M6141" s="2"/>
      <c r="N6141" s="4" t="s">
        <v>2259</v>
      </c>
      <c r="O6141" s="4" t="str">
        <f>LEFT(Table2[[#This Row],[Description]],75)</f>
        <v>VENTRA VENDING 12104 CHICAGO IL</v>
      </c>
      <c r="P6141" s="2" t="s">
        <v>2336</v>
      </c>
    </row>
    <row r="6142" spans="1:16" hidden="1">
      <c r="A6142" s="2">
        <v>202111</v>
      </c>
      <c r="B6142" s="3">
        <v>44530</v>
      </c>
      <c r="C6142" s="2" t="s">
        <v>2262</v>
      </c>
      <c r="D6142" s="2" t="s">
        <v>2135</v>
      </c>
      <c r="E6142" s="2">
        <v>17.98</v>
      </c>
      <c r="F6142" s="2" t="str">
        <f>IF(Table2[[#This Row],[Manual Cat Value]]="",VLOOKUP(Table2[[#This Row],[Description]],'Actuals Lookup'!D:F,3,0),Table2[[#This Row],[Manual Cat Value]])</f>
        <v>Groceries</v>
      </c>
      <c r="J6142" s="2">
        <v>17.98</v>
      </c>
      <c r="K6142" s="2" t="b">
        <v>0</v>
      </c>
      <c r="L6142" s="2"/>
      <c r="M6142" s="2"/>
      <c r="N6142" s="4" t="s">
        <v>2259</v>
      </c>
      <c r="O6142" s="4" t="str">
        <f>LEFT(Table2[[#This Row],[Description]],75)</f>
        <v>Walgreens</v>
      </c>
      <c r="P6142" s="2" t="s">
        <v>2389</v>
      </c>
    </row>
    <row r="6143" spans="1:16" hidden="1">
      <c r="A6143" s="2">
        <v>202111</v>
      </c>
      <c r="B6143" s="3">
        <v>44530</v>
      </c>
      <c r="C6143" s="2" t="s">
        <v>2262</v>
      </c>
      <c r="D6143" s="2" t="s">
        <v>2135</v>
      </c>
      <c r="E6143" s="2">
        <v>8.81</v>
      </c>
      <c r="F6143" s="2" t="str">
        <f>IF(Table2[[#This Row],[Manual Cat Value]]="",VLOOKUP(Table2[[#This Row],[Description]],'Actuals Lookup'!D:F,3,0),Table2[[#This Row],[Manual Cat Value]])</f>
        <v>Groceries</v>
      </c>
      <c r="J6143" s="2">
        <v>8.81</v>
      </c>
      <c r="K6143" s="2" t="b">
        <v>0</v>
      </c>
      <c r="L6143" s="2"/>
      <c r="M6143" s="2"/>
      <c r="N6143" s="4" t="s">
        <v>2259</v>
      </c>
      <c r="O6143" s="4" t="str">
        <f>LEFT(Table2[[#This Row],[Description]],75)</f>
        <v>Walgreens</v>
      </c>
      <c r="P6143" s="2" t="s">
        <v>2389</v>
      </c>
    </row>
    <row r="6144" spans="1:16" hidden="1">
      <c r="A6144" s="2">
        <v>202111</v>
      </c>
      <c r="B6144" s="3">
        <v>44530</v>
      </c>
      <c r="C6144" s="2" t="s">
        <v>2262</v>
      </c>
      <c r="D6144" s="2" t="s">
        <v>2144</v>
      </c>
      <c r="E6144" s="2">
        <v>7.52</v>
      </c>
      <c r="F6144" s="2" t="e">
        <f>IF(Table2[[#This Row],[Manual Cat Value]]="",VLOOKUP(Table2[[#This Row],[Description]],'Actuals Lookup'!D:F,3,0),Table2[[#This Row],[Manual Cat Value]])</f>
        <v>#N/A</v>
      </c>
      <c r="J6144" s="2">
        <v>7.52</v>
      </c>
      <c r="K6144" s="2" t="b">
        <v>0</v>
      </c>
      <c r="L6144" s="2"/>
      <c r="M6144" s="2"/>
      <c r="N6144" s="4" t="s">
        <v>2259</v>
      </c>
      <c r="O6144" s="4" t="str">
        <f>LEFT(Table2[[#This Row],[Description]],75)</f>
        <v>WAYZATA CAFE WAYZATA MN</v>
      </c>
      <c r="P6144" s="2" t="s">
        <v>2281</v>
      </c>
    </row>
    <row r="6145" spans="1:16" hidden="1">
      <c r="A6145" s="2">
        <v>202111</v>
      </c>
      <c r="B6145" s="3">
        <v>44530</v>
      </c>
      <c r="C6145" s="2" t="s">
        <v>2262</v>
      </c>
      <c r="D6145" s="2" t="s">
        <v>2145</v>
      </c>
      <c r="E6145" s="2">
        <v>5.14</v>
      </c>
      <c r="F6145" s="2" t="e">
        <f>IF(Table2[[#This Row],[Manual Cat Value]]="",VLOOKUP(Table2[[#This Row],[Description]],'Actuals Lookup'!D:F,3,0),Table2[[#This Row],[Manual Cat Value]])</f>
        <v>#N/A</v>
      </c>
      <c r="J6145" s="2">
        <v>5.14</v>
      </c>
      <c r="K6145" s="2" t="b">
        <v>0</v>
      </c>
      <c r="L6145" s="2"/>
      <c r="M6145" s="2"/>
      <c r="N6145" s="4" t="s">
        <v>2259</v>
      </c>
      <c r="O6145" s="4" t="str">
        <f>LEFT(Table2[[#This Row],[Description]],75)</f>
        <v>WAYZATA COFFEE WAYZATA MN</v>
      </c>
      <c r="P6145" s="2" t="s">
        <v>2281</v>
      </c>
    </row>
    <row r="6146" spans="1:16" hidden="1">
      <c r="A6146" s="2">
        <v>202111</v>
      </c>
      <c r="B6146" s="3">
        <v>44530</v>
      </c>
      <c r="C6146" s="2" t="s">
        <v>2262</v>
      </c>
      <c r="D6146" s="2" t="s">
        <v>2233</v>
      </c>
      <c r="E6146" s="2">
        <v>725.72</v>
      </c>
      <c r="F6146" s="2" t="e">
        <f>IF(Table2[[#This Row],[Manual Cat Value]]="",VLOOKUP(Table2[[#This Row],[Description]],'Actuals Lookup'!D:F,3,0),Table2[[#This Row],[Manual Cat Value]])</f>
        <v>#N/A</v>
      </c>
      <c r="J6146" s="2">
        <v>725.72</v>
      </c>
      <c r="K6146" s="2" t="b">
        <v>0</v>
      </c>
      <c r="L6146" s="2"/>
      <c r="M6146" s="2"/>
      <c r="N6146" s="4" t="s">
        <v>2259</v>
      </c>
      <c r="O6146" s="4" t="str">
        <f>LEFT(Table2[[#This Row],[Description]],75)</f>
        <v>ZEROREZ 9522248084 MN</v>
      </c>
      <c r="P6146" s="2" t="s">
        <v>2281</v>
      </c>
    </row>
    <row r="6147" spans="1:16" hidden="1">
      <c r="A6147" s="2">
        <v>202111</v>
      </c>
      <c r="B6147" s="3">
        <v>44530</v>
      </c>
      <c r="C6147" s="2" t="s">
        <v>2262</v>
      </c>
      <c r="D6147" s="2" t="s">
        <v>674</v>
      </c>
      <c r="E6147" s="2">
        <v>-4314</v>
      </c>
      <c r="F6147" s="2" t="e">
        <f>IF(Table2[[#This Row],[Manual Cat Value]]="",VLOOKUP(Table2[[#This Row],[Description]],'Actuals Lookup'!D:F,3,0),Table2[[#This Row],[Manual Cat Value]])</f>
        <v>#N/A</v>
      </c>
      <c r="J6147" s="2">
        <v>4314</v>
      </c>
      <c r="K6147" s="2" t="b">
        <v>0</v>
      </c>
      <c r="L6147" s="2"/>
      <c r="M6147" s="2"/>
      <c r="N6147" s="4" t="s">
        <v>2273</v>
      </c>
      <c r="O6147" s="4" t="str">
        <f>LEFT(Table2[[#This Row],[Description]],75)</f>
        <v>Credit Card Payment Received PAYMENT THANK YOU</v>
      </c>
      <c r="P6147" s="2" t="s">
        <v>2560</v>
      </c>
    </row>
    <row r="6148" spans="1:16" hidden="1">
      <c r="A6148" s="2">
        <v>202111</v>
      </c>
      <c r="B6148" s="3">
        <v>44530</v>
      </c>
      <c r="C6148" s="2" t="s">
        <v>2262</v>
      </c>
      <c r="D6148" s="2" t="s">
        <v>1423</v>
      </c>
      <c r="E6148" s="2">
        <v>-3701.46</v>
      </c>
      <c r="F6148" s="2" t="e">
        <f>IF(Table2[[#This Row],[Manual Cat Value]]="",VLOOKUP(Table2[[#This Row],[Description]],'Actuals Lookup'!D:F,3,0),Table2[[#This Row],[Manual Cat Value]])</f>
        <v>#N/A</v>
      </c>
      <c r="J6148" s="2">
        <v>3701.46</v>
      </c>
      <c r="K6148" s="2" t="b">
        <v>0</v>
      </c>
      <c r="L6148" s="2"/>
      <c r="M6148" s="2"/>
      <c r="N6148" s="4" t="s">
        <v>2273</v>
      </c>
      <c r="O6148" s="4" t="str">
        <f>LEFT(Table2[[#This Row],[Description]],75)</f>
        <v>PAYMENT THANK YOU</v>
      </c>
      <c r="P6148" s="2" t="s">
        <v>2391</v>
      </c>
    </row>
    <row r="6149" spans="1:16" hidden="1">
      <c r="A6149" s="2">
        <v>202111</v>
      </c>
      <c r="B6149" s="3">
        <v>44530</v>
      </c>
      <c r="C6149" s="2" t="s">
        <v>2265</v>
      </c>
      <c r="D6149" s="2" t="s">
        <v>2203</v>
      </c>
      <c r="E6149" s="2">
        <v>4314</v>
      </c>
      <c r="F6149" s="2" t="e">
        <f>IF(Table2[[#This Row],[Manual Cat Value]]="",VLOOKUP(Table2[[#This Row],[Description]],'Actuals Lookup'!D:F,3,0),Table2[[#This Row],[Manual Cat Value]])</f>
        <v>#N/A</v>
      </c>
      <c r="J6149" s="2">
        <v>4314</v>
      </c>
      <c r="K6149" s="2" t="b">
        <v>0</v>
      </c>
      <c r="L6149" s="2"/>
      <c r="M6149" s="2"/>
      <c r="N6149" s="4" t="s">
        <v>2259</v>
      </c>
      <c r="O6149" s="4" t="str">
        <f>LEFT(Table2[[#This Row],[Description]],75)</f>
        <v>Withdrawal Home payment to card XX91 Withdrawal Home payment to card 979181</v>
      </c>
      <c r="P6149" s="2" t="s">
        <v>2559</v>
      </c>
    </row>
    <row r="6150" spans="1:16" hidden="1">
      <c r="A6150" s="2">
        <v>202111</v>
      </c>
      <c r="B6150" s="3">
        <v>44530</v>
      </c>
      <c r="C6150" s="2" t="s">
        <v>2265</v>
      </c>
      <c r="D6150" s="2" t="s">
        <v>2203</v>
      </c>
      <c r="E6150" s="2">
        <v>3701.46</v>
      </c>
      <c r="F6150" s="2" t="e">
        <f>IF(Table2[[#This Row],[Manual Cat Value]]="",VLOOKUP(Table2[[#This Row],[Description]],'Actuals Lookup'!D:F,3,0),Table2[[#This Row],[Manual Cat Value]])</f>
        <v>#N/A</v>
      </c>
      <c r="J6150" s="2">
        <v>3701.46</v>
      </c>
      <c r="K6150" s="2" t="b">
        <v>0</v>
      </c>
      <c r="L6150" s="2"/>
      <c r="M6150" s="2"/>
      <c r="N6150" s="4" t="s">
        <v>2259</v>
      </c>
      <c r="O6150" s="4" t="str">
        <f>LEFT(Table2[[#This Row],[Description]],75)</f>
        <v>Withdrawal Home payment to card XX91 Withdrawal Home payment to card 979181</v>
      </c>
      <c r="P6150" s="2" t="s">
        <v>2559</v>
      </c>
    </row>
    <row r="6151" spans="1:16" hidden="1">
      <c r="A6151" s="2">
        <v>202112</v>
      </c>
      <c r="B6151" s="3">
        <v>44531</v>
      </c>
      <c r="C6151" s="2" t="s">
        <v>2270</v>
      </c>
      <c r="D6151" s="2" t="s">
        <v>1410</v>
      </c>
      <c r="E6151" s="2">
        <v>-751.64</v>
      </c>
      <c r="F6151" s="2" t="str">
        <f>IF(Table2[[#This Row],[Manual Cat Value]]="",VLOOKUP(Table2[[#This Row],[Description]],'Actuals Lookup'!D:F,3,0),Table2[[#This Row],[Manual Cat Value]])</f>
        <v>Delete</v>
      </c>
      <c r="J6151" s="2">
        <v>751.64</v>
      </c>
      <c r="K6151" s="2" t="b">
        <v>0</v>
      </c>
      <c r="L6151" s="2"/>
      <c r="M6151" s="2"/>
      <c r="N6151" s="4" t="s">
        <v>2273</v>
      </c>
      <c r="O6151" s="4" t="str">
        <f>LEFT(Table2[[#This Row],[Description]],75)</f>
        <v>PAYMENT</v>
      </c>
      <c r="P6151" s="2" t="s">
        <v>2492</v>
      </c>
    </row>
    <row r="6152" spans="1:16" hidden="1">
      <c r="A6152" s="2">
        <v>202112</v>
      </c>
      <c r="B6152" s="3">
        <v>44531</v>
      </c>
      <c r="C6152" s="2" t="s">
        <v>2447</v>
      </c>
      <c r="D6152" s="2" t="s">
        <v>114</v>
      </c>
      <c r="E6152" s="2">
        <v>4.28</v>
      </c>
      <c r="F6152" s="2" t="str">
        <f>IF(Table2[[#This Row],[Manual Cat Value]]="",VLOOKUP(Table2[[#This Row],[Description]],'Actuals Lookup'!D:F,3,0),Table2[[#This Row],[Manual Cat Value]])</f>
        <v>Entertainment</v>
      </c>
      <c r="J6152" s="2">
        <v>4.28</v>
      </c>
      <c r="K6152" s="2" t="b">
        <v>0</v>
      </c>
      <c r="L6152" s="2"/>
      <c r="M6152" s="2"/>
      <c r="N6152" s="4" t="s">
        <v>2259</v>
      </c>
      <c r="O6152" s="4" t="str">
        <f>LEFT(Table2[[#This Row],[Description]],75)</f>
        <v>Amazon Music</v>
      </c>
      <c r="P6152" s="2" t="s">
        <v>2466</v>
      </c>
    </row>
    <row r="6153" spans="1:16" hidden="1">
      <c r="A6153" s="2">
        <v>202112</v>
      </c>
      <c r="B6153" s="3">
        <v>44531</v>
      </c>
      <c r="C6153" s="2" t="s">
        <v>2265</v>
      </c>
      <c r="D6153" s="2" t="s">
        <v>130</v>
      </c>
      <c r="E6153" s="2">
        <v>9.99</v>
      </c>
      <c r="F6153" s="2" t="str">
        <f>IF(Table2[[#This Row],[Manual Cat Value]]="",VLOOKUP(Table2[[#This Row],[Description]],'Actuals Lookup'!D:F,3,0),Table2[[#This Row],[Manual Cat Value]])</f>
        <v>Delete</v>
      </c>
      <c r="J6153" s="2">
        <v>9.99</v>
      </c>
      <c r="K6153" s="2" t="b">
        <v>0</v>
      </c>
      <c r="L6153" s="2"/>
      <c r="M6153" s="2"/>
      <c r="N6153" s="4" t="s">
        <v>2259</v>
      </c>
      <c r="O6153" s="4" t="str">
        <f>LEFT(Table2[[#This Row],[Description]],75)</f>
        <v>American Express</v>
      </c>
      <c r="P6153" s="2" t="s">
        <v>2281</v>
      </c>
    </row>
    <row r="6154" spans="1:16" hidden="1">
      <c r="A6154" s="2">
        <v>202112</v>
      </c>
      <c r="B6154" s="3">
        <v>44531</v>
      </c>
      <c r="C6154" s="2" t="s">
        <v>2265</v>
      </c>
      <c r="D6154" s="2" t="s">
        <v>254</v>
      </c>
      <c r="E6154" s="2">
        <v>3003.94</v>
      </c>
      <c r="F6154" s="2" t="str">
        <f>IF(Table2[[#This Row],[Manual Cat Value]]="",VLOOKUP(Table2[[#This Row],[Description]],'Actuals Lookup'!D:F,3,0),Table2[[#This Row],[Manual Cat Value]])</f>
        <v>Rent</v>
      </c>
      <c r="J6154" s="2">
        <v>3003.94</v>
      </c>
      <c r="K6154" s="2" t="b">
        <v>0</v>
      </c>
      <c r="L6154" s="2"/>
      <c r="M6154" s="2"/>
      <c r="N6154" s="4" t="s">
        <v>2259</v>
      </c>
      <c r="O6154" s="4" t="str">
        <f>LEFT(Table2[[#This Row],[Description]],75)</f>
        <v>Baxter Credit Union</v>
      </c>
      <c r="P6154" s="2" t="s">
        <v>2558</v>
      </c>
    </row>
    <row r="6155" spans="1:16" hidden="1">
      <c r="A6155" s="2">
        <v>202112</v>
      </c>
      <c r="B6155" s="3">
        <v>44531</v>
      </c>
      <c r="C6155" s="2" t="s">
        <v>2265</v>
      </c>
      <c r="D6155" s="2" t="s">
        <v>598</v>
      </c>
      <c r="E6155" s="2">
        <v>200</v>
      </c>
      <c r="F6155" s="2" t="e">
        <f>IF(Table2[[#This Row],[Manual Cat Value]]="",VLOOKUP(Table2[[#This Row],[Description]],'Actuals Lookup'!D:F,3,0),Table2[[#This Row],[Manual Cat Value]])</f>
        <v>#N/A</v>
      </c>
      <c r="J6155" s="2">
        <v>200</v>
      </c>
      <c r="K6155" s="2" t="b">
        <v>0</v>
      </c>
      <c r="L6155" s="2"/>
      <c r="M6155" s="2"/>
      <c r="N6155" s="4" t="s">
        <v>2259</v>
      </c>
      <c r="O6155" s="4" t="str">
        <f>LEFT(Table2[[#This Row],[Description]],75)</f>
        <v>College Savings TYPE ACH ID XX58 College Savings TYPE ACH ID 550895818 CO C</v>
      </c>
      <c r="P6155" s="2" t="s">
        <v>2272</v>
      </c>
    </row>
    <row r="6156" spans="1:16" hidden="1">
      <c r="A6156" s="2">
        <v>202112</v>
      </c>
      <c r="B6156" s="3">
        <v>44531</v>
      </c>
      <c r="C6156" s="2" t="s">
        <v>2262</v>
      </c>
      <c r="D6156" s="2" t="s">
        <v>814</v>
      </c>
      <c r="E6156" s="2">
        <v>33.75</v>
      </c>
      <c r="F6156" s="2" t="e">
        <f>IF(Table2[[#This Row],[Manual Cat Value]]="",VLOOKUP(Table2[[#This Row],[Description]],'Actuals Lookup'!D:F,3,0),Table2[[#This Row],[Manual Cat Value]])</f>
        <v>#N/A</v>
      </c>
      <c r="J6156" s="2">
        <v>33.75</v>
      </c>
      <c r="K6156" s="2" t="b">
        <v>0</v>
      </c>
      <c r="L6156" s="2"/>
      <c r="M6156" s="2"/>
      <c r="N6156" s="4" t="s">
        <v>2259</v>
      </c>
      <c r="O6156" s="4" t="str">
        <f>LEFT(Table2[[#This Row],[Description]],75)</f>
        <v>ENMOTIVE EVENT REGISTRATIBUFFALO GROVEIL</v>
      </c>
      <c r="P6156" s="2" t="s">
        <v>2281</v>
      </c>
    </row>
    <row r="6157" spans="1:16" hidden="1">
      <c r="A6157" s="2">
        <v>202112</v>
      </c>
      <c r="B6157" s="3">
        <v>44531</v>
      </c>
      <c r="C6157" s="2" t="s">
        <v>2435</v>
      </c>
      <c r="D6157" s="2" t="s">
        <v>849</v>
      </c>
      <c r="E6157" s="2">
        <v>-5</v>
      </c>
      <c r="F6157" s="2" t="e">
        <f>IF(Table2[[#This Row],[Manual Cat Value]]="",VLOOKUP(Table2[[#This Row],[Description]],'Actuals Lookup'!D:F,3,0),Table2[[#This Row],[Manual Cat Value]])</f>
        <v>#N/A</v>
      </c>
      <c r="J6157" s="2">
        <v>5</v>
      </c>
      <c r="K6157" s="2" t="b">
        <v>0</v>
      </c>
      <c r="L6157" s="2"/>
      <c r="M6157" s="2"/>
      <c r="N6157" s="4" t="s">
        <v>2273</v>
      </c>
      <c r="O6157" s="4" t="str">
        <f>LEFT(Table2[[#This Row],[Description]],75)</f>
        <v>FORD MOTOR CO</v>
      </c>
      <c r="P6157" s="2" t="s">
        <v>2281</v>
      </c>
    </row>
    <row r="6158" spans="1:16" hidden="1">
      <c r="A6158" s="2">
        <v>202112</v>
      </c>
      <c r="B6158" s="3">
        <v>44531</v>
      </c>
      <c r="C6158" s="2" t="s">
        <v>2314</v>
      </c>
      <c r="D6158" s="2" t="s">
        <v>859</v>
      </c>
      <c r="E6158" s="2">
        <v>-591.94000000000005</v>
      </c>
      <c r="F6158" s="2" t="e">
        <f>IF(Table2[[#This Row],[Manual Cat Value]]="",VLOOKUP(Table2[[#This Row],[Description]],'Actuals Lookup'!D:F,3,0),Table2[[#This Row],[Manual Cat Value]])</f>
        <v>#N/A</v>
      </c>
      <c r="J6158" s="2">
        <v>591.94000000000005</v>
      </c>
      <c r="K6158" s="2" t="b">
        <v>0</v>
      </c>
      <c r="L6158" s="2"/>
      <c r="M6158" s="2"/>
      <c r="N6158" s="4" t="s">
        <v>2273</v>
      </c>
      <c r="O6158" s="4" t="str">
        <f>LEFT(Table2[[#This Row],[Description]],75)</f>
        <v>From Share 70</v>
      </c>
      <c r="P6158" s="2" t="s">
        <v>2496</v>
      </c>
    </row>
    <row r="6159" spans="1:16" hidden="1">
      <c r="A6159" s="2">
        <v>202112</v>
      </c>
      <c r="B6159" s="3">
        <v>44531</v>
      </c>
      <c r="C6159" s="2" t="s">
        <v>2317</v>
      </c>
      <c r="D6159" s="2" t="s">
        <v>978</v>
      </c>
      <c r="E6159" s="2">
        <v>-30.26</v>
      </c>
      <c r="F6159" s="2" t="e">
        <f>IF(Table2[[#This Row],[Manual Cat Value]]="",VLOOKUP(Table2[[#This Row],[Description]],'Actuals Lookup'!D:F,3,0),Table2[[#This Row],[Manual Cat Value]])</f>
        <v>#N/A</v>
      </c>
      <c r="J6159" s="2">
        <v>30.26</v>
      </c>
      <c r="K6159" s="2" t="b">
        <v>0</v>
      </c>
      <c r="L6159" s="2"/>
      <c r="M6159" s="2"/>
      <c r="N6159" s="4" t="s">
        <v>2273</v>
      </c>
      <c r="O6159" s="4" t="str">
        <f>LEFT(Table2[[#This Row],[Description]],75)</f>
        <v>INTEL CORP</v>
      </c>
      <c r="P6159" s="2" t="s">
        <v>2422</v>
      </c>
    </row>
    <row r="6160" spans="1:16" hidden="1">
      <c r="A6160" s="2">
        <v>202112</v>
      </c>
      <c r="B6160" s="3">
        <v>44531</v>
      </c>
      <c r="C6160" s="2" t="s">
        <v>2265</v>
      </c>
      <c r="D6160" s="2" t="s">
        <v>1471</v>
      </c>
      <c r="E6160" s="2">
        <v>16.190000000000001</v>
      </c>
      <c r="F6160" s="2" t="str">
        <f>IF(Table2[[#This Row],[Manual Cat Value]]="",VLOOKUP(Table2[[#This Row],[Description]],'Actuals Lookup'!D:F,3,0),Table2[[#This Row],[Manual Cat Value]])</f>
        <v>Shopping</v>
      </c>
      <c r="J6160" s="2">
        <v>16.190000000000001</v>
      </c>
      <c r="K6160" s="2" t="b">
        <v>0</v>
      </c>
      <c r="L6160" s="2"/>
      <c r="M6160" s="2"/>
      <c r="N6160" s="4" t="s">
        <v>2259</v>
      </c>
      <c r="O6160" s="4" t="str">
        <f>LEFT(Table2[[#This Row],[Description]],75)</f>
        <v>PayPal</v>
      </c>
      <c r="P6160" s="2" t="s">
        <v>2322</v>
      </c>
    </row>
    <row r="6161" spans="1:16" hidden="1">
      <c r="A6161" s="2">
        <v>202112</v>
      </c>
      <c r="B6161" s="3">
        <v>44531</v>
      </c>
      <c r="C6161" s="2" t="s">
        <v>2262</v>
      </c>
      <c r="D6161" s="2" t="s">
        <v>1508</v>
      </c>
      <c r="E6161" s="2">
        <v>39.97</v>
      </c>
      <c r="F6161" s="2" t="str">
        <f>IF(Table2[[#This Row],[Manual Cat Value]]="",VLOOKUP(Table2[[#This Row],[Description]],'Actuals Lookup'!D:F,3,0),Table2[[#This Row],[Manual Cat Value]])</f>
        <v>Shopping</v>
      </c>
      <c r="J6161" s="2">
        <v>39.97</v>
      </c>
      <c r="K6161" s="2" t="b">
        <v>0</v>
      </c>
      <c r="L6161" s="2"/>
      <c r="M6161" s="2"/>
      <c r="N6161" s="4" t="s">
        <v>2259</v>
      </c>
      <c r="O6161" s="4" t="str">
        <f>LEFT(Table2[[#This Row],[Description]],75)</f>
        <v>Pottery Barn</v>
      </c>
      <c r="P6161" s="2" t="s">
        <v>2438</v>
      </c>
    </row>
    <row r="6162" spans="1:16" hidden="1">
      <c r="A6162" s="2">
        <v>202112</v>
      </c>
      <c r="B6162" s="3">
        <v>44531</v>
      </c>
      <c r="C6162" s="2" t="s">
        <v>2262</v>
      </c>
      <c r="D6162" s="2" t="s">
        <v>1508</v>
      </c>
      <c r="E6162" s="2">
        <v>241.98</v>
      </c>
      <c r="F6162" s="2" t="str">
        <f>IF(Table2[[#This Row],[Manual Cat Value]]="",VLOOKUP(Table2[[#This Row],[Description]],'Actuals Lookup'!D:F,3,0),Table2[[#This Row],[Manual Cat Value]])</f>
        <v>Shopping</v>
      </c>
      <c r="J6162" s="2">
        <v>241.98</v>
      </c>
      <c r="K6162" s="2" t="b">
        <v>0</v>
      </c>
      <c r="L6162" s="2"/>
      <c r="M6162" s="2"/>
      <c r="N6162" s="4" t="s">
        <v>2259</v>
      </c>
      <c r="O6162" s="4" t="str">
        <f>LEFT(Table2[[#This Row],[Description]],75)</f>
        <v>Pottery Barn</v>
      </c>
      <c r="P6162" s="2" t="s">
        <v>2438</v>
      </c>
    </row>
    <row r="6163" spans="1:16" hidden="1">
      <c r="A6163" s="2">
        <v>202112</v>
      </c>
      <c r="B6163" s="3">
        <v>44531</v>
      </c>
      <c r="C6163" s="2" t="s">
        <v>2270</v>
      </c>
      <c r="D6163" s="2" t="s">
        <v>1524</v>
      </c>
      <c r="E6163" s="2">
        <v>-431</v>
      </c>
      <c r="F6163" s="2" t="e">
        <f>IF(Table2[[#This Row],[Manual Cat Value]]="",VLOOKUP(Table2[[#This Row],[Description]],'Actuals Lookup'!D:F,3,0),Table2[[#This Row],[Manual Cat Value]])</f>
        <v>#N/A</v>
      </c>
      <c r="J6163" s="2">
        <v>431</v>
      </c>
      <c r="K6163" s="2" t="b">
        <v>0</v>
      </c>
      <c r="L6163" s="2"/>
      <c r="M6163" s="2"/>
      <c r="N6163" s="4" t="s">
        <v>2273</v>
      </c>
      <c r="O6163" s="4" t="str">
        <f>LEFT(Table2[[#This Row],[Description]],75)</f>
        <v>Principal Curtailment</v>
      </c>
      <c r="P6163" s="2" t="s">
        <v>2514</v>
      </c>
    </row>
    <row r="6164" spans="1:16" hidden="1">
      <c r="A6164" s="2">
        <v>202112</v>
      </c>
      <c r="B6164" s="3">
        <v>44531</v>
      </c>
      <c r="C6164" s="2" t="s">
        <v>2317</v>
      </c>
      <c r="D6164" s="2" t="s">
        <v>1553</v>
      </c>
      <c r="E6164" s="2">
        <v>-831.95</v>
      </c>
      <c r="F6164" s="2" t="e">
        <f>IF(Table2[[#This Row],[Manual Cat Value]]="",VLOOKUP(Table2[[#This Row],[Description]],'Actuals Lookup'!D:F,3,0),Table2[[#This Row],[Manual Cat Value]])</f>
        <v>#N/A</v>
      </c>
      <c r="J6164" s="2">
        <v>831.95</v>
      </c>
      <c r="K6164" s="2" t="b">
        <v>0</v>
      </c>
      <c r="L6164" s="2"/>
      <c r="M6164" s="2"/>
      <c r="N6164" s="4" t="s">
        <v>2273</v>
      </c>
      <c r="O6164" s="4" t="str">
        <f>LEFT(Table2[[#This Row],[Description]],75)</f>
        <v>RAYTHEON TECHNOLOGIES CO</v>
      </c>
      <c r="P6164" s="2" t="s">
        <v>2385</v>
      </c>
    </row>
    <row r="6165" spans="1:16" hidden="1">
      <c r="A6165" s="2">
        <v>202112</v>
      </c>
      <c r="B6165" s="3">
        <v>44531</v>
      </c>
      <c r="C6165" s="2" t="s">
        <v>2265</v>
      </c>
      <c r="D6165" s="2" t="s">
        <v>1877</v>
      </c>
      <c r="E6165" s="2">
        <v>618.65</v>
      </c>
      <c r="F6165" s="2" t="e">
        <f>IF(Table2[[#This Row],[Manual Cat Value]]="",VLOOKUP(Table2[[#This Row],[Description]],'Actuals Lookup'!D:F,3,0),Table2[[#This Row],[Manual Cat Value]])</f>
        <v>#N/A</v>
      </c>
      <c r="J6165" s="2">
        <v>618.65</v>
      </c>
      <c r="K6165" s="2" t="b">
        <v>0</v>
      </c>
      <c r="L6165" s="2"/>
      <c r="M6165" s="2"/>
      <c r="N6165" s="4" t="s">
        <v>2259</v>
      </c>
      <c r="O6165" s="4" t="str">
        <f>LEFT(Table2[[#This Row],[Description]],75)</f>
        <v>To Loan 02</v>
      </c>
      <c r="P6165" s="2" t="s">
        <v>2316</v>
      </c>
    </row>
    <row r="6166" spans="1:16" hidden="1">
      <c r="A6166" s="2">
        <v>202112</v>
      </c>
      <c r="B6166" s="3">
        <v>44532</v>
      </c>
      <c r="C6166" s="2" t="s">
        <v>2262</v>
      </c>
      <c r="D6166" s="2" t="s">
        <v>1423</v>
      </c>
      <c r="E6166" s="2">
        <v>-976.06</v>
      </c>
      <c r="F6166" s="2" t="e">
        <f>IF(Table2[[#This Row],[Manual Cat Value]]="",VLOOKUP(Table2[[#This Row],[Description]],'Actuals Lookup'!D:F,3,0),Table2[[#This Row],[Manual Cat Value]])</f>
        <v>#N/A</v>
      </c>
      <c r="J6166" s="2">
        <v>976.06</v>
      </c>
      <c r="K6166" s="2" t="b">
        <v>0</v>
      </c>
      <c r="L6166" s="2"/>
      <c r="M6166" s="2"/>
      <c r="N6166" s="4" t="s">
        <v>2273</v>
      </c>
      <c r="O6166" s="4" t="str">
        <f>LEFT(Table2[[#This Row],[Description]],75)</f>
        <v>PAYMENT THANK YOU</v>
      </c>
      <c r="P6166" s="2" t="s">
        <v>2391</v>
      </c>
    </row>
    <row r="6167" spans="1:16" hidden="1">
      <c r="A6167" s="2">
        <v>202112</v>
      </c>
      <c r="B6167" s="3">
        <v>44532</v>
      </c>
      <c r="C6167" s="2" t="s">
        <v>2265</v>
      </c>
      <c r="D6167" s="2" t="s">
        <v>2203</v>
      </c>
      <c r="E6167" s="2">
        <v>976.06</v>
      </c>
      <c r="F6167" s="2" t="e">
        <f>IF(Table2[[#This Row],[Manual Cat Value]]="",VLOOKUP(Table2[[#This Row],[Description]],'Actuals Lookup'!D:F,3,0),Table2[[#This Row],[Manual Cat Value]])</f>
        <v>#N/A</v>
      </c>
      <c r="J6167" s="2">
        <v>976.06</v>
      </c>
      <c r="K6167" s="2" t="b">
        <v>0</v>
      </c>
      <c r="L6167" s="2"/>
      <c r="M6167" s="2"/>
      <c r="N6167" s="4" t="s">
        <v>2259</v>
      </c>
      <c r="O6167" s="4" t="str">
        <f>LEFT(Table2[[#This Row],[Description]],75)</f>
        <v>Withdrawal Home payment to card XX91 Withdrawal Home payment to card 979181</v>
      </c>
      <c r="P6167" s="2" t="s">
        <v>2559</v>
      </c>
    </row>
    <row r="6168" spans="1:16" hidden="1">
      <c r="A6168" s="2">
        <v>202112</v>
      </c>
      <c r="B6168" s="3">
        <v>44532</v>
      </c>
      <c r="C6168" s="2" t="s">
        <v>2262</v>
      </c>
      <c r="D6168" s="2" t="s">
        <v>38</v>
      </c>
      <c r="E6168" s="2">
        <v>16.100000000000001</v>
      </c>
      <c r="F6168" s="2" t="str">
        <f>IF(Table2[[#This Row],[Manual Cat Value]]="",VLOOKUP(Table2[[#This Row],[Description]],'Actuals Lookup'!D:F,3,0),Table2[[#This Row],[Manual Cat Value]])</f>
        <v>Amazon</v>
      </c>
      <c r="J6168" s="2">
        <v>16.100000000000001</v>
      </c>
      <c r="K6168" s="2" t="b">
        <v>0</v>
      </c>
      <c r="L6168" s="2"/>
      <c r="M6168" s="2"/>
      <c r="N6168" s="4" t="s">
        <v>2259</v>
      </c>
      <c r="O6168" s="4" t="str">
        <f>LEFT(Table2[[#This Row],[Description]],75)</f>
        <v>Amazon</v>
      </c>
      <c r="P6168" s="2" t="s">
        <v>2260</v>
      </c>
    </row>
    <row r="6169" spans="1:16" hidden="1">
      <c r="A6169" s="2">
        <v>202112</v>
      </c>
      <c r="B6169" s="3">
        <v>44532</v>
      </c>
      <c r="C6169" s="2" t="s">
        <v>2262</v>
      </c>
      <c r="D6169" s="2" t="s">
        <v>38</v>
      </c>
      <c r="E6169" s="2">
        <v>30.05</v>
      </c>
      <c r="F6169" s="2" t="str">
        <f>IF(Table2[[#This Row],[Manual Cat Value]]="",VLOOKUP(Table2[[#This Row],[Description]],'Actuals Lookup'!D:F,3,0),Table2[[#This Row],[Manual Cat Value]])</f>
        <v>Amazon</v>
      </c>
      <c r="J6169" s="2">
        <v>30.05</v>
      </c>
      <c r="K6169" s="2" t="b">
        <v>0</v>
      </c>
      <c r="L6169" s="2"/>
      <c r="M6169" s="2"/>
      <c r="N6169" s="4" t="s">
        <v>2259</v>
      </c>
      <c r="O6169" s="4" t="str">
        <f>LEFT(Table2[[#This Row],[Description]],75)</f>
        <v>Amazon</v>
      </c>
      <c r="P6169" s="2" t="s">
        <v>2260</v>
      </c>
    </row>
    <row r="6170" spans="1:16" hidden="1">
      <c r="A6170" s="2">
        <v>202112</v>
      </c>
      <c r="B6170" s="3">
        <v>44532</v>
      </c>
      <c r="C6170" s="2" t="s">
        <v>2317</v>
      </c>
      <c r="D6170" s="2" t="s">
        <v>978</v>
      </c>
      <c r="E6170" s="2">
        <v>30.26</v>
      </c>
      <c r="F6170" s="2" t="e">
        <f>IF(Table2[[#This Row],[Manual Cat Value]]="",VLOOKUP(Table2[[#This Row],[Description]],'Actuals Lookup'!D:F,3,0),Table2[[#This Row],[Manual Cat Value]])</f>
        <v>#N/A</v>
      </c>
      <c r="J6170" s="2">
        <v>30.26</v>
      </c>
      <c r="K6170" s="2" t="b">
        <v>0</v>
      </c>
      <c r="L6170" s="2"/>
      <c r="M6170" s="2"/>
      <c r="N6170" s="4" t="s">
        <v>2259</v>
      </c>
      <c r="O6170" s="4" t="str">
        <f>LEFT(Table2[[#This Row],[Description]],75)</f>
        <v>INTEL CORP</v>
      </c>
      <c r="P6170" s="2" t="s">
        <v>2422</v>
      </c>
    </row>
    <row r="6171" spans="1:16" hidden="1">
      <c r="A6171" s="2">
        <v>202112</v>
      </c>
      <c r="B6171" s="3">
        <v>44532</v>
      </c>
      <c r="C6171" s="2" t="s">
        <v>2262</v>
      </c>
      <c r="D6171" s="2" t="s">
        <v>2223</v>
      </c>
      <c r="E6171" s="2">
        <v>97.19</v>
      </c>
      <c r="F6171" s="2" t="e">
        <f>IF(Table2[[#This Row],[Manual Cat Value]]="",VLOOKUP(Table2[[#This Row],[Description]],'Actuals Lookup'!D:F,3,0),Table2[[#This Row],[Manual Cat Value]])</f>
        <v>#N/A</v>
      </c>
      <c r="J6171" s="2">
        <v>97.19</v>
      </c>
      <c r="K6171" s="2" t="b">
        <v>0</v>
      </c>
      <c r="L6171" s="2"/>
      <c r="M6171" s="2"/>
      <c r="N6171" s="4" t="s">
        <v>2259</v>
      </c>
      <c r="O6171" s="4" t="str">
        <f>LEFT(Table2[[#This Row],[Description]],75)</f>
        <v>YETI 18332259384 5123949384 DE</v>
      </c>
      <c r="P6171" s="2" t="s">
        <v>2281</v>
      </c>
    </row>
    <row r="6172" spans="1:16" hidden="1">
      <c r="A6172" s="2">
        <v>202112</v>
      </c>
      <c r="B6172" s="3">
        <v>44532</v>
      </c>
      <c r="C6172" s="2" t="s">
        <v>2447</v>
      </c>
      <c r="D6172" s="2" t="s">
        <v>2231</v>
      </c>
      <c r="E6172" s="2">
        <v>119.95</v>
      </c>
      <c r="F6172" s="2" t="e">
        <f>IF(Table2[[#This Row],[Manual Cat Value]]="",VLOOKUP(Table2[[#This Row],[Description]],'Actuals Lookup'!D:F,3,0),Table2[[#This Row],[Manual Cat Value]])</f>
        <v>#N/A</v>
      </c>
      <c r="J6172" s="2">
        <v>119.95</v>
      </c>
      <c r="K6172" s="2" t="b">
        <v>0</v>
      </c>
      <c r="L6172" s="2"/>
      <c r="M6172" s="2"/>
      <c r="N6172" s="4" t="s">
        <v>2259</v>
      </c>
      <c r="O6172" s="4" t="str">
        <f>LEFT(Table2[[#This Row],[Description]],75)</f>
        <v>Zappos</v>
      </c>
      <c r="P6172" s="2" t="s">
        <v>2281</v>
      </c>
    </row>
    <row r="6173" spans="1:16" hidden="1">
      <c r="A6173" s="2">
        <v>202112</v>
      </c>
      <c r="B6173" s="3">
        <v>44533</v>
      </c>
      <c r="C6173" s="2" t="s">
        <v>2262</v>
      </c>
      <c r="D6173" s="2" t="s">
        <v>924</v>
      </c>
      <c r="E6173" s="2">
        <v>18</v>
      </c>
      <c r="F6173" s="2" t="e">
        <f>IF(Table2[[#This Row],[Manual Cat Value]]="",VLOOKUP(Table2[[#This Row],[Description]],'Actuals Lookup'!D:F,3,0),Table2[[#This Row],[Manual Cat Value]])</f>
        <v>#N/A</v>
      </c>
      <c r="J6173" s="2">
        <v>18</v>
      </c>
      <c r="K6173" s="2" t="b">
        <v>0</v>
      </c>
      <c r="L6173" s="2"/>
      <c r="M6173" s="2"/>
      <c r="N6173" s="4" t="s">
        <v>2259</v>
      </c>
      <c r="O6173" s="4" t="str">
        <f>LEFT(Table2[[#This Row],[Description]],75)</f>
        <v>HBRSUBSCRIPTION 8009880886 MA</v>
      </c>
      <c r="P6173" s="2" t="s">
        <v>2564</v>
      </c>
    </row>
    <row r="6174" spans="1:16" hidden="1">
      <c r="A6174" s="2">
        <v>202112</v>
      </c>
      <c r="B6174" s="3">
        <v>44533</v>
      </c>
      <c r="C6174" s="2" t="s">
        <v>2262</v>
      </c>
      <c r="D6174" s="2" t="s">
        <v>1083</v>
      </c>
      <c r="E6174" s="2">
        <v>47.48</v>
      </c>
      <c r="F6174" s="2" t="str">
        <f>IF(Table2[[#This Row],[Manual Cat Value]]="",VLOOKUP(Table2[[#This Row],[Description]],'Actuals Lookup'!D:F,3,0),Table2[[#This Row],[Manual Cat Value]])</f>
        <v>Transportation</v>
      </c>
      <c r="J6174" s="2">
        <v>47.48</v>
      </c>
      <c r="K6174" s="2" t="b">
        <v>0</v>
      </c>
      <c r="L6174" s="2"/>
      <c r="M6174" s="2"/>
      <c r="N6174" s="4" t="s">
        <v>2259</v>
      </c>
      <c r="O6174" s="4" t="str">
        <f>LEFT(Table2[[#This Row],[Description]],75)</f>
        <v>Kwik Trip</v>
      </c>
      <c r="P6174" s="2" t="s">
        <v>2509</v>
      </c>
    </row>
    <row r="6175" spans="1:16" hidden="1">
      <c r="A6175" s="2">
        <v>202112</v>
      </c>
      <c r="B6175" s="3">
        <v>44533</v>
      </c>
      <c r="C6175" s="2" t="s">
        <v>2262</v>
      </c>
      <c r="D6175" s="2" t="s">
        <v>2135</v>
      </c>
      <c r="E6175" s="2">
        <v>28.39</v>
      </c>
      <c r="F6175" s="2" t="str">
        <f>IF(Table2[[#This Row],[Manual Cat Value]]="",VLOOKUP(Table2[[#This Row],[Description]],'Actuals Lookup'!D:F,3,0),Table2[[#This Row],[Manual Cat Value]])</f>
        <v>Groceries</v>
      </c>
      <c r="J6175" s="2">
        <v>28.39</v>
      </c>
      <c r="K6175" s="2" t="b">
        <v>0</v>
      </c>
      <c r="L6175" s="2"/>
      <c r="M6175" s="2"/>
      <c r="N6175" s="4" t="s">
        <v>2259</v>
      </c>
      <c r="O6175" s="4" t="str">
        <f>LEFT(Table2[[#This Row],[Description]],75)</f>
        <v>Walgreens</v>
      </c>
      <c r="P6175" s="2" t="s">
        <v>2389</v>
      </c>
    </row>
    <row r="6176" spans="1:16" hidden="1">
      <c r="A6176" s="2">
        <v>202112</v>
      </c>
      <c r="B6176" s="3">
        <v>44534</v>
      </c>
      <c r="C6176" s="2" t="s">
        <v>2447</v>
      </c>
      <c r="D6176" s="2" t="s">
        <v>38</v>
      </c>
      <c r="E6176" s="2">
        <v>18.899999999999999</v>
      </c>
      <c r="F6176" s="2" t="str">
        <f>IF(Table2[[#This Row],[Manual Cat Value]]="",VLOOKUP(Table2[[#This Row],[Description]],'Actuals Lookup'!D:F,3,0),Table2[[#This Row],[Manual Cat Value]])</f>
        <v>Amazon</v>
      </c>
      <c r="J6176" s="2">
        <v>18.899999999999999</v>
      </c>
      <c r="K6176" s="2" t="b">
        <v>0</v>
      </c>
      <c r="L6176" s="2"/>
      <c r="M6176" s="2"/>
      <c r="N6176" s="4" t="s">
        <v>2259</v>
      </c>
      <c r="O6176" s="4" t="str">
        <f>LEFT(Table2[[#This Row],[Description]],75)</f>
        <v>Amazon</v>
      </c>
      <c r="P6176" s="2" t="s">
        <v>2260</v>
      </c>
    </row>
    <row r="6177" spans="1:16" hidden="1">
      <c r="A6177" s="2">
        <v>202112</v>
      </c>
      <c r="B6177" s="3">
        <v>44534</v>
      </c>
      <c r="C6177" s="2" t="s">
        <v>2447</v>
      </c>
      <c r="D6177" s="2" t="s">
        <v>38</v>
      </c>
      <c r="E6177" s="2">
        <v>24.64</v>
      </c>
      <c r="F6177" s="2" t="str">
        <f>IF(Table2[[#This Row],[Manual Cat Value]]="",VLOOKUP(Table2[[#This Row],[Description]],'Actuals Lookup'!D:F,3,0),Table2[[#This Row],[Manual Cat Value]])</f>
        <v>Amazon</v>
      </c>
      <c r="J6177" s="2">
        <v>24.64</v>
      </c>
      <c r="K6177" s="2" t="b">
        <v>0</v>
      </c>
      <c r="L6177" s="2"/>
      <c r="M6177" s="2"/>
      <c r="N6177" s="4" t="s">
        <v>2259</v>
      </c>
      <c r="O6177" s="4" t="str">
        <f>LEFT(Table2[[#This Row],[Description]],75)</f>
        <v>Amazon</v>
      </c>
      <c r="P6177" s="2" t="s">
        <v>2260</v>
      </c>
    </row>
    <row r="6178" spans="1:16" hidden="1">
      <c r="A6178" s="2">
        <v>202112</v>
      </c>
      <c r="B6178" s="3">
        <v>44535</v>
      </c>
      <c r="C6178" s="2" t="s">
        <v>2262</v>
      </c>
      <c r="D6178" s="2" t="s">
        <v>835</v>
      </c>
      <c r="E6178" s="2">
        <v>25.5</v>
      </c>
      <c r="F6178" s="2" t="e">
        <f>IF(Table2[[#This Row],[Manual Cat Value]]="",VLOOKUP(Table2[[#This Row],[Description]],'Actuals Lookup'!D:F,3,0),Table2[[#This Row],[Manual Cat Value]])</f>
        <v>#N/A</v>
      </c>
      <c r="J6178" s="2">
        <v>25.5</v>
      </c>
      <c r="K6178" s="2" t="b">
        <v>0</v>
      </c>
      <c r="L6178" s="2"/>
      <c r="M6178" s="2"/>
      <c r="N6178" s="4" t="s">
        <v>2259</v>
      </c>
      <c r="O6178" s="4" t="str">
        <f>LEFT(Table2[[#This Row],[Description]],75)</f>
        <v>Facebook</v>
      </c>
      <c r="P6178" s="2" t="s">
        <v>2281</v>
      </c>
    </row>
    <row r="6179" spans="1:16" hidden="1">
      <c r="A6179" s="2">
        <v>202112</v>
      </c>
      <c r="B6179" s="3">
        <v>44535</v>
      </c>
      <c r="C6179" s="2" t="s">
        <v>2262</v>
      </c>
      <c r="D6179" s="2" t="s">
        <v>1028</v>
      </c>
      <c r="E6179" s="2">
        <v>91.82</v>
      </c>
      <c r="F6179" s="2" t="e">
        <f>IF(Table2[[#This Row],[Manual Cat Value]]="",VLOOKUP(Table2[[#This Row],[Description]],'Actuals Lookup'!D:F,3,0),Table2[[#This Row],[Manual Cat Value]])</f>
        <v>#N/A</v>
      </c>
      <c r="J6179" s="2">
        <v>91.82</v>
      </c>
      <c r="K6179" s="2" t="b">
        <v>0</v>
      </c>
      <c r="L6179" s="2"/>
      <c r="M6179" s="2"/>
      <c r="N6179" s="4" t="s">
        <v>2259</v>
      </c>
      <c r="O6179" s="4" t="str">
        <f>LEFT(Table2[[#This Row],[Description]],75)</f>
        <v>JURASSIC QUEST SHOW XX0030 TX JURASSIC QUEST SHOW 3 9363200030 TX</v>
      </c>
      <c r="P6179" s="2" t="s">
        <v>2281</v>
      </c>
    </row>
    <row r="6180" spans="1:16" hidden="1">
      <c r="A6180" s="2">
        <v>202112</v>
      </c>
      <c r="B6180" s="3">
        <v>44535</v>
      </c>
      <c r="C6180" s="2" t="s">
        <v>2262</v>
      </c>
      <c r="D6180" s="2" t="s">
        <v>1249</v>
      </c>
      <c r="E6180" s="2">
        <v>21.46</v>
      </c>
      <c r="F6180" s="2" t="e">
        <f>IF(Table2[[#This Row],[Manual Cat Value]]="",VLOOKUP(Table2[[#This Row],[Description]],'Actuals Lookup'!D:F,3,0),Table2[[#This Row],[Manual Cat Value]])</f>
        <v>#N/A</v>
      </c>
      <c r="J6180" s="2">
        <v>21.46</v>
      </c>
      <c r="K6180" s="2" t="b">
        <v>0</v>
      </c>
      <c r="L6180" s="2"/>
      <c r="M6180" s="2"/>
      <c r="N6180" s="4" t="s">
        <v>2259</v>
      </c>
      <c r="O6180" s="4" t="str">
        <f>LEFT(Table2[[#This Row],[Description]],75)</f>
        <v>Microsoft</v>
      </c>
      <c r="P6180" s="2" t="s">
        <v>2281</v>
      </c>
    </row>
    <row r="6181" spans="1:16" hidden="1">
      <c r="A6181" s="2">
        <v>202112</v>
      </c>
      <c r="B6181" s="3">
        <v>44536</v>
      </c>
      <c r="C6181" s="2" t="s">
        <v>2265</v>
      </c>
      <c r="D6181" s="2" t="s">
        <v>199</v>
      </c>
      <c r="E6181" s="2">
        <v>276.86</v>
      </c>
      <c r="F6181" s="2" t="e">
        <f>IF(Table2[[#This Row],[Manual Cat Value]]="",VLOOKUP(Table2[[#This Row],[Description]],'Actuals Lookup'!D:F,3,0),Table2[[#This Row],[Manual Cat Value]])</f>
        <v>#N/A</v>
      </c>
      <c r="J6181" s="2">
        <v>276.86</v>
      </c>
      <c r="K6181" s="2" t="b">
        <v>0</v>
      </c>
      <c r="L6181" s="2"/>
      <c r="M6181" s="2"/>
      <c r="N6181" s="4" t="s">
        <v>2259</v>
      </c>
      <c r="O6181" s="4" t="str">
        <f>LEFT(Table2[[#This Row],[Description]],75)</f>
        <v>Banana Republic</v>
      </c>
      <c r="P6181" s="2" t="s">
        <v>2281</v>
      </c>
    </row>
    <row r="6182" spans="1:16" hidden="1">
      <c r="A6182" s="2">
        <v>202112</v>
      </c>
      <c r="B6182" s="3">
        <v>44536</v>
      </c>
      <c r="C6182" s="2" t="s">
        <v>2262</v>
      </c>
      <c r="D6182" s="2" t="s">
        <v>702</v>
      </c>
      <c r="E6182" s="2">
        <v>478.8</v>
      </c>
      <c r="F6182" s="2" t="e">
        <f>IF(Table2[[#This Row],[Manual Cat Value]]="",VLOOKUP(Table2[[#This Row],[Description]],'Actuals Lookup'!D:F,3,0),Table2[[#This Row],[Manual Cat Value]])</f>
        <v>#N/A</v>
      </c>
      <c r="J6182" s="2">
        <v>478.8</v>
      </c>
      <c r="K6182" s="2" t="b">
        <v>0</v>
      </c>
      <c r="L6182" s="2"/>
      <c r="M6182" s="2"/>
      <c r="N6182" s="4" t="s">
        <v>2259</v>
      </c>
      <c r="O6182" s="4" t="str">
        <f>LEFT(Table2[[#This Row],[Description]],75)</f>
        <v>Delta</v>
      </c>
      <c r="P6182" s="2" t="s">
        <v>2510</v>
      </c>
    </row>
    <row r="6183" spans="1:16" hidden="1">
      <c r="A6183" s="2">
        <v>202112</v>
      </c>
      <c r="B6183" s="3">
        <v>44536</v>
      </c>
      <c r="C6183" s="2" t="s">
        <v>2265</v>
      </c>
      <c r="D6183" s="2" t="s">
        <v>1355</v>
      </c>
      <c r="E6183" s="2">
        <v>255</v>
      </c>
      <c r="F6183" s="2" t="str">
        <f>IF(Table2[[#This Row],[Manual Cat Value]]="",VLOOKUP(Table2[[#This Row],[Description]],'Actuals Lookup'!D:F,3,0),Table2[[#This Row],[Manual Cat Value]])</f>
        <v>Shopping</v>
      </c>
      <c r="J6183" s="2">
        <v>255</v>
      </c>
      <c r="K6183" s="2" t="b">
        <v>0</v>
      </c>
      <c r="L6183" s="2"/>
      <c r="M6183" s="2"/>
      <c r="N6183" s="4" t="s">
        <v>2259</v>
      </c>
      <c r="O6183" s="4" t="str">
        <f>LEFT(Table2[[#This Row],[Description]],75)</f>
        <v>Nordstrom</v>
      </c>
      <c r="P6183" s="2" t="s">
        <v>2352</v>
      </c>
    </row>
    <row r="6184" spans="1:16" hidden="1">
      <c r="A6184" s="2">
        <v>202112</v>
      </c>
      <c r="B6184" s="3">
        <v>44536</v>
      </c>
      <c r="C6184" s="2" t="s">
        <v>2265</v>
      </c>
      <c r="D6184" s="2" t="s">
        <v>1471</v>
      </c>
      <c r="E6184" s="2">
        <v>10</v>
      </c>
      <c r="F6184" s="2" t="str">
        <f>IF(Table2[[#This Row],[Manual Cat Value]]="",VLOOKUP(Table2[[#This Row],[Description]],'Actuals Lookup'!D:F,3,0),Table2[[#This Row],[Manual Cat Value]])</f>
        <v>Shopping</v>
      </c>
      <c r="J6184" s="2">
        <v>10</v>
      </c>
      <c r="K6184" s="2" t="b">
        <v>0</v>
      </c>
      <c r="L6184" s="2"/>
      <c r="M6184" s="2"/>
      <c r="N6184" s="4" t="s">
        <v>2259</v>
      </c>
      <c r="O6184" s="4" t="str">
        <f>LEFT(Table2[[#This Row],[Description]],75)</f>
        <v>PayPal</v>
      </c>
      <c r="P6184" s="2" t="s">
        <v>2322</v>
      </c>
    </row>
    <row r="6185" spans="1:16" hidden="1">
      <c r="A6185" s="2">
        <v>202112</v>
      </c>
      <c r="B6185" s="3">
        <v>44537</v>
      </c>
      <c r="C6185" s="2" t="s">
        <v>2317</v>
      </c>
      <c r="D6185" s="2" t="s">
        <v>164</v>
      </c>
      <c r="E6185" s="2">
        <v>-1622.1</v>
      </c>
      <c r="F6185" s="2" t="e">
        <f>IF(Table2[[#This Row],[Manual Cat Value]]="",VLOOKUP(Table2[[#This Row],[Description]],'Actuals Lookup'!D:F,3,0),Table2[[#This Row],[Manual Cat Value]])</f>
        <v>#N/A</v>
      </c>
      <c r="J6185" s="2">
        <v>1622.1</v>
      </c>
      <c r="K6185" s="2" t="b">
        <v>0</v>
      </c>
      <c r="L6185" s="2"/>
      <c r="M6185" s="2"/>
      <c r="N6185" s="4" t="s">
        <v>2273</v>
      </c>
      <c r="O6185" s="4" t="str">
        <f>LEFT(Table2[[#This Row],[Description]],75)</f>
        <v>APPLE INC</v>
      </c>
      <c r="P6185" s="2" t="s">
        <v>2405</v>
      </c>
    </row>
    <row r="6186" spans="1:16" hidden="1">
      <c r="A6186" s="2">
        <v>202112</v>
      </c>
      <c r="B6186" s="3">
        <v>44537</v>
      </c>
      <c r="C6186" s="2" t="s">
        <v>2262</v>
      </c>
      <c r="D6186" s="2" t="s">
        <v>947</v>
      </c>
      <c r="E6186" s="2">
        <v>5.34</v>
      </c>
      <c r="F6186" s="2" t="e">
        <f>IF(Table2[[#This Row],[Manual Cat Value]]="",VLOOKUP(Table2[[#This Row],[Description]],'Actuals Lookup'!D:F,3,0),Table2[[#This Row],[Manual Cat Value]])</f>
        <v>#N/A</v>
      </c>
      <c r="J6186" s="2">
        <v>5.34</v>
      </c>
      <c r="K6186" s="2" t="b">
        <v>0</v>
      </c>
      <c r="L6186" s="2"/>
      <c r="M6186" s="2"/>
      <c r="N6186" s="4" t="s">
        <v>2259</v>
      </c>
      <c r="O6186" s="4" t="str">
        <f>LEFT(Table2[[#This Row],[Description]],75)</f>
        <v>Home Depot</v>
      </c>
      <c r="P6186" s="2" t="s">
        <v>2396</v>
      </c>
    </row>
    <row r="6187" spans="1:16" hidden="1">
      <c r="A6187" s="2">
        <v>202112</v>
      </c>
      <c r="B6187" s="3">
        <v>44537</v>
      </c>
      <c r="C6187" s="2" t="s">
        <v>2265</v>
      </c>
      <c r="D6187" s="2" t="s">
        <v>1196</v>
      </c>
      <c r="E6187" s="2">
        <v>528.79999999999995</v>
      </c>
      <c r="F6187" s="2" t="e">
        <f>IF(Table2[[#This Row],[Manual Cat Value]]="",VLOOKUP(Table2[[#This Row],[Description]],'Actuals Lookup'!D:F,3,0),Table2[[#This Row],[Manual Cat Value]])</f>
        <v>#N/A</v>
      </c>
      <c r="J6187" s="2">
        <v>528.79999999999995</v>
      </c>
      <c r="K6187" s="2" t="b">
        <v>0</v>
      </c>
      <c r="L6187" s="2"/>
      <c r="M6187" s="2"/>
      <c r="N6187" s="4" t="s">
        <v>2259</v>
      </c>
      <c r="O6187" s="4" t="str">
        <f>LEFT(Table2[[#This Row],[Description]],75)</f>
        <v>MHCHILDCARELLC TYPE DUES ID CO M MHCHILDCARELLC TYPE DUES ID CO MHCHILDCARE</v>
      </c>
      <c r="P6187" s="2" t="s">
        <v>2497</v>
      </c>
    </row>
    <row r="6188" spans="1:16" hidden="1">
      <c r="A6188" s="2">
        <v>202112</v>
      </c>
      <c r="B6188" s="3">
        <v>44537</v>
      </c>
      <c r="C6188" s="2" t="s">
        <v>2317</v>
      </c>
      <c r="D6188" s="2" t="s">
        <v>1629</v>
      </c>
      <c r="E6188" s="2">
        <v>-1.05</v>
      </c>
      <c r="F6188" s="2" t="e">
        <f>IF(Table2[[#This Row],[Manual Cat Value]]="",VLOOKUP(Table2[[#This Row],[Description]],'Actuals Lookup'!D:F,3,0),Table2[[#This Row],[Manual Cat Value]])</f>
        <v>#N/A</v>
      </c>
      <c r="J6188" s="2">
        <v>1.05</v>
      </c>
      <c r="K6188" s="2" t="b">
        <v>0</v>
      </c>
      <c r="L6188" s="2"/>
      <c r="M6188" s="2"/>
      <c r="N6188" s="4" t="s">
        <v>2273</v>
      </c>
      <c r="O6188" s="4" t="str">
        <f>LEFT(Table2[[#This Row],[Description]],75)</f>
        <v>SCHWAB INTERMEDIATE TERMUS TRS ETF</v>
      </c>
      <c r="P6188" s="2" t="s">
        <v>2385</v>
      </c>
    </row>
    <row r="6189" spans="1:16" hidden="1">
      <c r="A6189" s="2">
        <v>202112</v>
      </c>
      <c r="B6189" s="3">
        <v>44537</v>
      </c>
      <c r="C6189" s="2" t="s">
        <v>2317</v>
      </c>
      <c r="D6189" s="2" t="s">
        <v>1634</v>
      </c>
      <c r="E6189" s="2">
        <v>200</v>
      </c>
      <c r="F6189" s="2" t="e">
        <f>IF(Table2[[#This Row],[Manual Cat Value]]="",VLOOKUP(Table2[[#This Row],[Description]],'Actuals Lookup'!D:F,3,0),Table2[[#This Row],[Manual Cat Value]])</f>
        <v>#N/A</v>
      </c>
      <c r="J6189" s="2">
        <v>200</v>
      </c>
      <c r="K6189" s="2" t="b">
        <v>0</v>
      </c>
      <c r="L6189" s="2"/>
      <c r="M6189" s="2"/>
      <c r="N6189" s="4" t="s">
        <v>2259</v>
      </c>
      <c r="O6189" s="4" t="str">
        <f>LEFT(Table2[[#This Row],[Description]],75)</f>
        <v>SCHWAB TOTAL STOCK MARKET INDEX</v>
      </c>
      <c r="P6189" s="2" t="s">
        <v>2385</v>
      </c>
    </row>
    <row r="6190" spans="1:16" hidden="1">
      <c r="A6190" s="2">
        <v>202112</v>
      </c>
      <c r="B6190" s="3">
        <v>44537</v>
      </c>
      <c r="C6190" s="2" t="s">
        <v>2317</v>
      </c>
      <c r="D6190" s="2" t="s">
        <v>2130</v>
      </c>
      <c r="E6190" s="2">
        <v>-33.25</v>
      </c>
      <c r="F6190" s="2" t="e">
        <f>IF(Table2[[#This Row],[Manual Cat Value]]="",VLOOKUP(Table2[[#This Row],[Description]],'Actuals Lookup'!D:F,3,0),Table2[[#This Row],[Manual Cat Value]])</f>
        <v>#N/A</v>
      </c>
      <c r="J6190" s="2">
        <v>33.25</v>
      </c>
      <c r="K6190" s="2" t="b">
        <v>0</v>
      </c>
      <c r="L6190" s="2"/>
      <c r="M6190" s="2"/>
      <c r="N6190" s="4" t="s">
        <v>2273</v>
      </c>
      <c r="O6190" s="4" t="str">
        <f>LEFT(Table2[[#This Row],[Description]],75)</f>
        <v>VISA INC CLASS A</v>
      </c>
      <c r="P6190" s="2" t="s">
        <v>2423</v>
      </c>
    </row>
    <row r="6191" spans="1:16" hidden="1">
      <c r="A6191" s="2">
        <v>202112</v>
      </c>
      <c r="B6191" s="3">
        <v>44537</v>
      </c>
      <c r="C6191" s="2" t="s">
        <v>2265</v>
      </c>
      <c r="D6191" s="2" t="s">
        <v>2221</v>
      </c>
      <c r="E6191" s="2">
        <v>129.68</v>
      </c>
      <c r="F6191" s="2" t="str">
        <f>IF(Table2[[#This Row],[Manual Cat Value]]="",VLOOKUP(Table2[[#This Row],[Description]],'Actuals Lookup'!D:F,3,0),Table2[[#This Row],[Manual Cat Value]])</f>
        <v>Utilities</v>
      </c>
      <c r="J6191" s="2">
        <v>129.68</v>
      </c>
      <c r="K6191" s="2" t="b">
        <v>0</v>
      </c>
      <c r="L6191" s="2"/>
      <c r="M6191" s="2"/>
      <c r="N6191" s="4" t="s">
        <v>2259</v>
      </c>
      <c r="O6191" s="4" t="str">
        <f>LEFT(Table2[[#This Row],[Description]],75)</f>
        <v>Xcel Energy</v>
      </c>
      <c r="P6191" s="2" t="s">
        <v>2280</v>
      </c>
    </row>
    <row r="6192" spans="1:16" hidden="1">
      <c r="A6192" s="2">
        <v>202112</v>
      </c>
      <c r="B6192" s="3">
        <v>44538</v>
      </c>
      <c r="C6192" s="2" t="s">
        <v>2265</v>
      </c>
      <c r="D6192" s="2" t="s">
        <v>199</v>
      </c>
      <c r="E6192" s="2">
        <v>2.79</v>
      </c>
      <c r="F6192" s="2" t="e">
        <f>IF(Table2[[#This Row],[Manual Cat Value]]="",VLOOKUP(Table2[[#This Row],[Description]],'Actuals Lookup'!D:F,3,0),Table2[[#This Row],[Manual Cat Value]])</f>
        <v>#N/A</v>
      </c>
      <c r="J6192" s="2">
        <v>2.79</v>
      </c>
      <c r="K6192" s="2" t="b">
        <v>0</v>
      </c>
      <c r="L6192" s="2"/>
      <c r="M6192" s="2"/>
      <c r="N6192" s="4" t="s">
        <v>2259</v>
      </c>
      <c r="O6192" s="4" t="str">
        <f>LEFT(Table2[[#This Row],[Description]],75)</f>
        <v>Banana Republic</v>
      </c>
      <c r="P6192" s="2" t="s">
        <v>2281</v>
      </c>
    </row>
    <row r="6193" spans="1:16" hidden="1">
      <c r="A6193" s="2">
        <v>202112</v>
      </c>
      <c r="B6193" s="3">
        <v>44538</v>
      </c>
      <c r="C6193" s="2" t="s">
        <v>2262</v>
      </c>
      <c r="D6193" s="2" t="s">
        <v>1076</v>
      </c>
      <c r="E6193" s="2">
        <v>28</v>
      </c>
      <c r="F6193" s="2" t="str">
        <f>IF(Table2[[#This Row],[Manual Cat Value]]="",VLOOKUP(Table2[[#This Row],[Description]],'Actuals Lookup'!D:F,3,0),Table2[[#This Row],[Manual Cat Value]])</f>
        <v>Shopping</v>
      </c>
      <c r="J6193" s="2">
        <v>28</v>
      </c>
      <c r="K6193" s="2" t="b">
        <v>0</v>
      </c>
      <c r="L6193" s="2"/>
      <c r="M6193" s="2"/>
      <c r="N6193" s="4" t="s">
        <v>2259</v>
      </c>
      <c r="O6193" s="4" t="str">
        <f>LEFT(Table2[[#This Row],[Description]],75)</f>
        <v>Kohl's</v>
      </c>
      <c r="P6193" s="2" t="s">
        <v>2522</v>
      </c>
    </row>
    <row r="6194" spans="1:16" hidden="1">
      <c r="A6194" s="2">
        <v>202112</v>
      </c>
      <c r="B6194" s="3">
        <v>44538</v>
      </c>
      <c r="C6194" s="2" t="s">
        <v>2317</v>
      </c>
      <c r="D6194" s="2" t="s">
        <v>2130</v>
      </c>
      <c r="E6194" s="2">
        <v>33.25</v>
      </c>
      <c r="F6194" s="2" t="e">
        <f>IF(Table2[[#This Row],[Manual Cat Value]]="",VLOOKUP(Table2[[#This Row],[Description]],'Actuals Lookup'!D:F,3,0),Table2[[#This Row],[Manual Cat Value]])</f>
        <v>#N/A</v>
      </c>
      <c r="J6194" s="2">
        <v>33.25</v>
      </c>
      <c r="K6194" s="2" t="b">
        <v>0</v>
      </c>
      <c r="L6194" s="2"/>
      <c r="M6194" s="2"/>
      <c r="N6194" s="4" t="s">
        <v>2259</v>
      </c>
      <c r="O6194" s="4" t="str">
        <f>LEFT(Table2[[#This Row],[Description]],75)</f>
        <v>VISA INC CLASS A</v>
      </c>
      <c r="P6194" s="2" t="s">
        <v>2423</v>
      </c>
    </row>
    <row r="6195" spans="1:16" hidden="1">
      <c r="A6195" s="2">
        <v>202112</v>
      </c>
      <c r="B6195" s="3">
        <v>44539</v>
      </c>
      <c r="C6195" s="2" t="s">
        <v>2262</v>
      </c>
      <c r="D6195" s="2" t="s">
        <v>1423</v>
      </c>
      <c r="E6195" s="2">
        <v>-1845.73</v>
      </c>
      <c r="F6195" s="2" t="e">
        <f>IF(Table2[[#This Row],[Manual Cat Value]]="",VLOOKUP(Table2[[#This Row],[Description]],'Actuals Lookup'!D:F,3,0),Table2[[#This Row],[Manual Cat Value]])</f>
        <v>#N/A</v>
      </c>
      <c r="J6195" s="2">
        <v>1845.73</v>
      </c>
      <c r="K6195" s="2" t="b">
        <v>0</v>
      </c>
      <c r="L6195" s="2"/>
      <c r="M6195" s="2"/>
      <c r="N6195" s="4" t="s">
        <v>2273</v>
      </c>
      <c r="O6195" s="4" t="str">
        <f>LEFT(Table2[[#This Row],[Description]],75)</f>
        <v>PAYMENT THANK YOU</v>
      </c>
      <c r="P6195" s="2" t="s">
        <v>2391</v>
      </c>
    </row>
    <row r="6196" spans="1:16" hidden="1">
      <c r="A6196" s="2">
        <v>202112</v>
      </c>
      <c r="B6196" s="3">
        <v>44539</v>
      </c>
      <c r="C6196" s="2" t="s">
        <v>2265</v>
      </c>
      <c r="D6196" s="2" t="s">
        <v>1969</v>
      </c>
      <c r="E6196" s="2">
        <v>80.61</v>
      </c>
      <c r="F6196" s="2" t="e">
        <f>IF(Table2[[#This Row],[Manual Cat Value]]="",VLOOKUP(Table2[[#This Row],[Description]],'Actuals Lookup'!D:F,3,0),Table2[[#This Row],[Manual Cat Value]])</f>
        <v>#N/A</v>
      </c>
      <c r="J6196" s="2">
        <v>80.61</v>
      </c>
      <c r="K6196" s="2" t="b">
        <v>0</v>
      </c>
      <c r="L6196" s="2"/>
      <c r="M6196" s="2"/>
      <c r="N6196" s="4" t="s">
        <v>2259</v>
      </c>
      <c r="O6196" s="4" t="str">
        <f>LEFT(Table2[[#This Row],[Description]],75)</f>
        <v>Transfer to Venmo VENMO TYPE PAYMENT ID CO VENMO ACH ECC WEB ACH Trace 4272</v>
      </c>
      <c r="P6196" s="2" t="s">
        <v>2281</v>
      </c>
    </row>
    <row r="6197" spans="1:16" hidden="1">
      <c r="A6197" s="2">
        <v>202112</v>
      </c>
      <c r="B6197" s="3">
        <v>44539</v>
      </c>
      <c r="C6197" s="2" t="s">
        <v>2265</v>
      </c>
      <c r="D6197" s="2" t="s">
        <v>1978</v>
      </c>
      <c r="E6197" s="2">
        <v>125</v>
      </c>
      <c r="F6197" s="2" t="e">
        <f>IF(Table2[[#This Row],[Manual Cat Value]]="",VLOOKUP(Table2[[#This Row],[Description]],'Actuals Lookup'!D:F,3,0),Table2[[#This Row],[Manual Cat Value]])</f>
        <v>#N/A</v>
      </c>
      <c r="J6197" s="2">
        <v>125</v>
      </c>
      <c r="K6197" s="2" t="b">
        <v>0</v>
      </c>
      <c r="L6197" s="2"/>
      <c r="M6197" s="2"/>
      <c r="N6197" s="4" t="s">
        <v>2259</v>
      </c>
      <c r="O6197" s="4" t="str">
        <f>LEFT(Table2[[#This Row],[Description]],75)</f>
        <v>Transfer to Venmo VENMO TYPE PAYMENT ID CO VENMO ACH ECC WEB ACH Trace 9230</v>
      </c>
      <c r="P6197" s="2" t="s">
        <v>2281</v>
      </c>
    </row>
    <row r="6198" spans="1:16" hidden="1">
      <c r="A6198" s="2">
        <v>202112</v>
      </c>
      <c r="B6198" s="3">
        <v>44539</v>
      </c>
      <c r="C6198" s="2" t="s">
        <v>2265</v>
      </c>
      <c r="D6198" s="2" t="s">
        <v>2203</v>
      </c>
      <c r="E6198" s="2">
        <v>1845.73</v>
      </c>
      <c r="F6198" s="2" t="e">
        <f>IF(Table2[[#This Row],[Manual Cat Value]]="",VLOOKUP(Table2[[#This Row],[Description]],'Actuals Lookup'!D:F,3,0),Table2[[#This Row],[Manual Cat Value]])</f>
        <v>#N/A</v>
      </c>
      <c r="J6198" s="2">
        <v>1845.73</v>
      </c>
      <c r="K6198" s="2" t="b">
        <v>0</v>
      </c>
      <c r="L6198" s="2"/>
      <c r="M6198" s="2"/>
      <c r="N6198" s="4" t="s">
        <v>2259</v>
      </c>
      <c r="O6198" s="4" t="str">
        <f>LEFT(Table2[[#This Row],[Description]],75)</f>
        <v>Withdrawal Home payment to card XX91 Withdrawal Home payment to card 979181</v>
      </c>
      <c r="P6198" s="2" t="s">
        <v>2559</v>
      </c>
    </row>
    <row r="6199" spans="1:16" hidden="1">
      <c r="A6199" s="2">
        <v>202112</v>
      </c>
      <c r="B6199" s="3">
        <v>44539</v>
      </c>
      <c r="C6199" s="2" t="s">
        <v>2265</v>
      </c>
      <c r="D6199" s="2" t="s">
        <v>406</v>
      </c>
      <c r="E6199" s="2">
        <v>-3042.84</v>
      </c>
      <c r="F6199" s="2" t="e">
        <f>IF(Table2[[#This Row],[Manual Cat Value]]="",VLOOKUP(Table2[[#This Row],[Description]],'Actuals Lookup'!D:F,3,0),Table2[[#This Row],[Manual Cat Value]])</f>
        <v>#N/A</v>
      </c>
      <c r="J6199" s="2">
        <v>3042.84</v>
      </c>
      <c r="K6199" s="2" t="b">
        <v>0</v>
      </c>
      <c r="L6199" s="2"/>
      <c r="M6199" s="2"/>
      <c r="N6199" s="4" t="s">
        <v>2273</v>
      </c>
      <c r="O6199" s="4" t="str">
        <f>LEFT(Table2[[#This Row],[Description]],75)</f>
        <v>Cargill Inc Deposit CARGILL INCORPOR TYPE DIRECT DEP ID CO CARGILL INCORPOR</v>
      </c>
      <c r="P6199" s="2" t="s">
        <v>2545</v>
      </c>
    </row>
    <row r="6200" spans="1:16" hidden="1">
      <c r="A6200" s="2">
        <v>202112</v>
      </c>
      <c r="B6200" s="3">
        <v>44539</v>
      </c>
      <c r="C6200" s="2" t="s">
        <v>2265</v>
      </c>
      <c r="D6200" s="2" t="s">
        <v>425</v>
      </c>
      <c r="E6200" s="2">
        <v>-75</v>
      </c>
      <c r="F6200" s="2" t="e">
        <f>IF(Table2[[#This Row],[Manual Cat Value]]="",VLOOKUP(Table2[[#This Row],[Description]],'Actuals Lookup'!D:F,3,0),Table2[[#This Row],[Manual Cat Value]])</f>
        <v>#N/A</v>
      </c>
      <c r="J6200" s="2">
        <v>75</v>
      </c>
      <c r="K6200" s="2" t="b">
        <v>0</v>
      </c>
      <c r="L6200" s="2"/>
      <c r="M6200" s="2"/>
      <c r="N6200" s="4" t="s">
        <v>2273</v>
      </c>
      <c r="O6200" s="4" t="str">
        <f>LEFT(Table2[[#This Row],[Description]],75)</f>
        <v>Cargill Incorpor Type</v>
      </c>
      <c r="P6200" s="2" t="s">
        <v>2282</v>
      </c>
    </row>
    <row r="6201" spans="1:16" hidden="1">
      <c r="A6201" s="2">
        <v>202112</v>
      </c>
      <c r="B6201" s="3">
        <v>44539</v>
      </c>
      <c r="C6201" s="2" t="s">
        <v>2262</v>
      </c>
      <c r="D6201" s="2" t="s">
        <v>1068</v>
      </c>
      <c r="E6201" s="2">
        <v>47</v>
      </c>
      <c r="F6201" s="2" t="str">
        <f>IF(Table2[[#This Row],[Manual Cat Value]]="",VLOOKUP(Table2[[#This Row],[Description]],'Actuals Lookup'!D:F,3,0),Table2[[#This Row],[Manual Cat Value]])</f>
        <v>Misc</v>
      </c>
      <c r="J6201" s="2">
        <v>47</v>
      </c>
      <c r="K6201" s="2" t="b">
        <v>0</v>
      </c>
      <c r="L6201" s="2"/>
      <c r="M6201" s="2"/>
      <c r="N6201" s="4" t="s">
        <v>2259</v>
      </c>
      <c r="O6201" s="4" t="str">
        <f>LEFT(Table2[[#This Row],[Description]],75)</f>
        <v>Kids Hair</v>
      </c>
      <c r="P6201" s="2" t="s">
        <v>2281</v>
      </c>
    </row>
    <row r="6202" spans="1:16" hidden="1">
      <c r="A6202" s="2">
        <v>202112</v>
      </c>
      <c r="B6202" s="3">
        <v>44539</v>
      </c>
      <c r="C6202" s="2" t="s">
        <v>2265</v>
      </c>
      <c r="D6202" s="2" t="s">
        <v>1471</v>
      </c>
      <c r="E6202" s="2">
        <v>322.11</v>
      </c>
      <c r="F6202" s="2" t="str">
        <f>IF(Table2[[#This Row],[Manual Cat Value]]="",VLOOKUP(Table2[[#This Row],[Description]],'Actuals Lookup'!D:F,3,0),Table2[[#This Row],[Manual Cat Value]])</f>
        <v>Shopping</v>
      </c>
      <c r="J6202" s="2">
        <v>322.11</v>
      </c>
      <c r="K6202" s="2" t="b">
        <v>0</v>
      </c>
      <c r="L6202" s="2"/>
      <c r="M6202" s="2"/>
      <c r="N6202" s="4" t="s">
        <v>2259</v>
      </c>
      <c r="O6202" s="4" t="str">
        <f>LEFT(Table2[[#This Row],[Description]],75)</f>
        <v>PayPal</v>
      </c>
      <c r="P6202" s="2" t="s">
        <v>2322</v>
      </c>
    </row>
    <row r="6203" spans="1:16" hidden="1">
      <c r="A6203" s="2">
        <v>202112</v>
      </c>
      <c r="B6203" s="3">
        <v>44539</v>
      </c>
      <c r="C6203" s="2" t="s">
        <v>2262</v>
      </c>
      <c r="D6203" s="2" t="s">
        <v>1481</v>
      </c>
      <c r="E6203" s="2">
        <v>41.94</v>
      </c>
      <c r="F6203" s="2" t="e">
        <f>IF(Table2[[#This Row],[Manual Cat Value]]="",VLOOKUP(Table2[[#This Row],[Description]],'Actuals Lookup'!D:F,3,0),Table2[[#This Row],[Manual Cat Value]])</f>
        <v>#N/A</v>
      </c>
      <c r="J6203" s="2">
        <v>41.94</v>
      </c>
      <c r="K6203" s="2" t="b">
        <v>0</v>
      </c>
      <c r="L6203" s="2"/>
      <c r="M6203" s="2"/>
      <c r="N6203" s="4" t="s">
        <v>2259</v>
      </c>
      <c r="O6203" s="4" t="str">
        <f>LEFT(Table2[[#This Row],[Description]],75)</f>
        <v>PELOTON MEMBERSHIP HTTPSWWWONEPNY</v>
      </c>
      <c r="P6203" s="2" t="s">
        <v>2281</v>
      </c>
    </row>
    <row r="6204" spans="1:16" hidden="1">
      <c r="A6204" s="2">
        <v>202112</v>
      </c>
      <c r="B6204" s="3">
        <v>44539</v>
      </c>
      <c r="C6204" s="2" t="s">
        <v>2265</v>
      </c>
      <c r="D6204" s="2" t="s">
        <v>1943</v>
      </c>
      <c r="E6204" s="2">
        <v>-65</v>
      </c>
      <c r="F6204" s="2" t="e">
        <f>IF(Table2[[#This Row],[Manual Cat Value]]="",VLOOKUP(Table2[[#This Row],[Description]],'Actuals Lookup'!D:F,3,0),Table2[[#This Row],[Manual Cat Value]])</f>
        <v>#N/A</v>
      </c>
      <c r="J6204" s="2">
        <v>65</v>
      </c>
      <c r="K6204" s="2" t="b">
        <v>0</v>
      </c>
      <c r="L6204" s="2"/>
      <c r="M6204" s="2"/>
      <c r="N6204" s="4" t="s">
        <v>2273</v>
      </c>
      <c r="O6204" s="4" t="str">
        <f>LEFT(Table2[[#This Row],[Description]],75)</f>
        <v>Transfer from PayPal PAYPAL TYPE TRANSFER ID PAYPALSD11 CO PAYPAL ACH ECC P</v>
      </c>
      <c r="P6204" s="2" t="s">
        <v>2322</v>
      </c>
    </row>
    <row r="6205" spans="1:16" hidden="1">
      <c r="A6205" s="2">
        <v>202112</v>
      </c>
      <c r="B6205" s="3">
        <v>44560</v>
      </c>
      <c r="C6205" s="2" t="s">
        <v>2265</v>
      </c>
      <c r="D6205" s="2" t="s">
        <v>76</v>
      </c>
      <c r="E6205" s="2">
        <v>302</v>
      </c>
      <c r="F6205" s="2" t="e">
        <f>IF(Table2[[#This Row],[Manual Cat Value]]="",VLOOKUP(Table2[[#This Row],[Description]],'Actuals Lookup'!D:F,3,0),Table2[[#This Row],[Manual Cat Value]])</f>
        <v>#N/A</v>
      </c>
      <c r="J6205" s="2">
        <v>302</v>
      </c>
      <c r="K6205" s="2" t="b">
        <v>0</v>
      </c>
      <c r="L6205" s="2"/>
      <c r="M6205" s="2"/>
      <c r="N6205" s="4" t="s">
        <v>2259</v>
      </c>
      <c r="O6205" s="4" t="str">
        <f>LEFT(Table2[[#This Row],[Description]],75)</f>
        <v>06 455 Pond Promenade Chanhassen MN</v>
      </c>
      <c r="P6205" s="2" t="s">
        <v>2281</v>
      </c>
    </row>
    <row r="6206" spans="1:16" hidden="1">
      <c r="A6206" s="2">
        <v>202112</v>
      </c>
      <c r="B6206" s="3">
        <v>44560</v>
      </c>
      <c r="C6206" s="2" t="s">
        <v>2262</v>
      </c>
      <c r="D6206" s="2" t="s">
        <v>99</v>
      </c>
      <c r="E6206" s="2">
        <v>95</v>
      </c>
      <c r="F6206" s="2" t="e">
        <f>IF(Table2[[#This Row],[Manual Cat Value]]="",VLOOKUP(Table2[[#This Row],[Description]],'Actuals Lookup'!D:F,3,0),Table2[[#This Row],[Manual Cat Value]])</f>
        <v>#N/A</v>
      </c>
      <c r="J6206" s="2">
        <v>95</v>
      </c>
      <c r="K6206" s="2" t="b">
        <v>0</v>
      </c>
      <c r="L6206" s="2"/>
      <c r="M6206" s="2"/>
      <c r="N6206" s="4" t="s">
        <v>2259</v>
      </c>
      <c r="O6206" s="4" t="str">
        <f>LEFT(Table2[[#This Row],[Description]],75)</f>
        <v>ACTChaskaComCtr XX3176 MN ACTChaskaComCtr 9524483176 MN</v>
      </c>
      <c r="P6206" s="2" t="s">
        <v>2281</v>
      </c>
    </row>
    <row r="6207" spans="1:16" hidden="1">
      <c r="A6207" s="2">
        <v>202112</v>
      </c>
      <c r="B6207" s="3">
        <v>44560</v>
      </c>
      <c r="C6207" s="2" t="s">
        <v>2447</v>
      </c>
      <c r="D6207" s="2" t="s">
        <v>38</v>
      </c>
      <c r="E6207" s="2">
        <v>69.95</v>
      </c>
      <c r="F6207" s="2" t="str">
        <f>IF(Table2[[#This Row],[Manual Cat Value]]="",VLOOKUP(Table2[[#This Row],[Description]],'Actuals Lookup'!D:F,3,0),Table2[[#This Row],[Manual Cat Value]])</f>
        <v>Amazon</v>
      </c>
      <c r="J6207" s="2">
        <v>69.95</v>
      </c>
      <c r="K6207" s="2" t="b">
        <v>0</v>
      </c>
      <c r="L6207" s="2"/>
      <c r="M6207" s="2"/>
      <c r="N6207" s="4" t="s">
        <v>2259</v>
      </c>
      <c r="O6207" s="4" t="str">
        <f>LEFT(Table2[[#This Row],[Description]],75)</f>
        <v>Amazon</v>
      </c>
      <c r="P6207" s="2" t="s">
        <v>2260</v>
      </c>
    </row>
    <row r="6208" spans="1:16" hidden="1">
      <c r="A6208" s="2">
        <v>202112</v>
      </c>
      <c r="B6208" s="3">
        <v>44560</v>
      </c>
      <c r="C6208" s="2" t="s">
        <v>2262</v>
      </c>
      <c r="D6208" s="2" t="s">
        <v>38</v>
      </c>
      <c r="E6208" s="2">
        <v>30.9</v>
      </c>
      <c r="F6208" s="2" t="str">
        <f>IF(Table2[[#This Row],[Manual Cat Value]]="",VLOOKUP(Table2[[#This Row],[Description]],'Actuals Lookup'!D:F,3,0),Table2[[#This Row],[Manual Cat Value]])</f>
        <v>Amazon</v>
      </c>
      <c r="J6208" s="2">
        <v>30.9</v>
      </c>
      <c r="K6208" s="2" t="b">
        <v>0</v>
      </c>
      <c r="L6208" s="2"/>
      <c r="M6208" s="2"/>
      <c r="N6208" s="4" t="s">
        <v>2259</v>
      </c>
      <c r="O6208" s="4" t="str">
        <f>LEFT(Table2[[#This Row],[Description]],75)</f>
        <v>Amazon</v>
      </c>
      <c r="P6208" s="2" t="s">
        <v>2260</v>
      </c>
    </row>
    <row r="6209" spans="1:16" hidden="1">
      <c r="A6209" s="2">
        <v>202112</v>
      </c>
      <c r="B6209" s="3">
        <v>44560</v>
      </c>
      <c r="C6209" s="2" t="s">
        <v>2447</v>
      </c>
      <c r="D6209" s="2" t="s">
        <v>38</v>
      </c>
      <c r="E6209" s="2">
        <v>9.65</v>
      </c>
      <c r="F6209" s="2" t="str">
        <f>IF(Table2[[#This Row],[Manual Cat Value]]="",VLOOKUP(Table2[[#This Row],[Description]],'Actuals Lookup'!D:F,3,0),Table2[[#This Row],[Manual Cat Value]])</f>
        <v>Amazon</v>
      </c>
      <c r="J6209" s="2">
        <v>9.65</v>
      </c>
      <c r="K6209" s="2" t="b">
        <v>0</v>
      </c>
      <c r="L6209" s="2"/>
      <c r="M6209" s="2"/>
      <c r="N6209" s="4" t="s">
        <v>2259</v>
      </c>
      <c r="O6209" s="4" t="str">
        <f>LEFT(Table2[[#This Row],[Description]],75)</f>
        <v>Amazon</v>
      </c>
      <c r="P6209" s="2" t="s">
        <v>2260</v>
      </c>
    </row>
    <row r="6210" spans="1:16" hidden="1">
      <c r="A6210" s="2">
        <v>202112</v>
      </c>
      <c r="B6210" s="3">
        <v>44560</v>
      </c>
      <c r="C6210" s="2" t="s">
        <v>2262</v>
      </c>
      <c r="D6210" s="2" t="s">
        <v>38</v>
      </c>
      <c r="E6210" s="2">
        <v>32.200000000000003</v>
      </c>
      <c r="F6210" s="2" t="str">
        <f>IF(Table2[[#This Row],[Manual Cat Value]]="",VLOOKUP(Table2[[#This Row],[Description]],'Actuals Lookup'!D:F,3,0),Table2[[#This Row],[Manual Cat Value]])</f>
        <v>Amazon</v>
      </c>
      <c r="J6210" s="2">
        <v>32.200000000000003</v>
      </c>
      <c r="K6210" s="2" t="b">
        <v>0</v>
      </c>
      <c r="L6210" s="2"/>
      <c r="M6210" s="2"/>
      <c r="N6210" s="4" t="s">
        <v>2259</v>
      </c>
      <c r="O6210" s="4" t="str">
        <f>LEFT(Table2[[#This Row],[Description]],75)</f>
        <v>Amazon</v>
      </c>
      <c r="P6210" s="2" t="s">
        <v>2260</v>
      </c>
    </row>
    <row r="6211" spans="1:16" hidden="1">
      <c r="A6211" s="2">
        <v>202112</v>
      </c>
      <c r="B6211" s="3">
        <v>44560</v>
      </c>
      <c r="C6211" s="2" t="s">
        <v>2262</v>
      </c>
      <c r="D6211" s="2" t="s">
        <v>38</v>
      </c>
      <c r="E6211" s="2">
        <v>34.950000000000003</v>
      </c>
      <c r="F6211" s="2" t="str">
        <f>IF(Table2[[#This Row],[Manual Cat Value]]="",VLOOKUP(Table2[[#This Row],[Description]],'Actuals Lookup'!D:F,3,0),Table2[[#This Row],[Manual Cat Value]])</f>
        <v>Amazon</v>
      </c>
      <c r="J6211" s="2">
        <v>34.950000000000003</v>
      </c>
      <c r="K6211" s="2" t="b">
        <v>0</v>
      </c>
      <c r="L6211" s="2"/>
      <c r="M6211" s="2"/>
      <c r="N6211" s="4" t="s">
        <v>2259</v>
      </c>
      <c r="O6211" s="4" t="str">
        <f>LEFT(Table2[[#This Row],[Description]],75)</f>
        <v>Amazon</v>
      </c>
      <c r="P6211" s="2" t="s">
        <v>2260</v>
      </c>
    </row>
    <row r="6212" spans="1:16" hidden="1">
      <c r="A6212" s="2">
        <v>202112</v>
      </c>
      <c r="B6212" s="3">
        <v>44560</v>
      </c>
      <c r="C6212" s="2" t="s">
        <v>2447</v>
      </c>
      <c r="D6212" s="2" t="s">
        <v>38</v>
      </c>
      <c r="E6212" s="2">
        <v>20.23</v>
      </c>
      <c r="F6212" s="2" t="str">
        <f>IF(Table2[[#This Row],[Manual Cat Value]]="",VLOOKUP(Table2[[#This Row],[Description]],'Actuals Lookup'!D:F,3,0),Table2[[#This Row],[Manual Cat Value]])</f>
        <v>Amazon</v>
      </c>
      <c r="J6212" s="2">
        <v>20.23</v>
      </c>
      <c r="K6212" s="2" t="b">
        <v>0</v>
      </c>
      <c r="L6212" s="2"/>
      <c r="M6212" s="2"/>
      <c r="N6212" s="4" t="s">
        <v>2259</v>
      </c>
      <c r="O6212" s="4" t="str">
        <f>LEFT(Table2[[#This Row],[Description]],75)</f>
        <v>Amazon</v>
      </c>
      <c r="P6212" s="2" t="s">
        <v>2260</v>
      </c>
    </row>
    <row r="6213" spans="1:16" hidden="1">
      <c r="A6213" s="2">
        <v>202112</v>
      </c>
      <c r="B6213" s="3">
        <v>44560</v>
      </c>
      <c r="C6213" s="2" t="s">
        <v>2447</v>
      </c>
      <c r="D6213" s="2" t="s">
        <v>38</v>
      </c>
      <c r="E6213" s="2">
        <v>27.91</v>
      </c>
      <c r="F6213" s="2" t="str">
        <f>IF(Table2[[#This Row],[Manual Cat Value]]="",VLOOKUP(Table2[[#This Row],[Description]],'Actuals Lookup'!D:F,3,0),Table2[[#This Row],[Manual Cat Value]])</f>
        <v>Amazon</v>
      </c>
      <c r="J6213" s="2">
        <v>27.91</v>
      </c>
      <c r="K6213" s="2" t="b">
        <v>0</v>
      </c>
      <c r="L6213" s="2"/>
      <c r="M6213" s="2"/>
      <c r="N6213" s="4" t="s">
        <v>2259</v>
      </c>
      <c r="O6213" s="4" t="str">
        <f>LEFT(Table2[[#This Row],[Description]],75)</f>
        <v>Amazon</v>
      </c>
      <c r="P6213" s="2" t="s">
        <v>2260</v>
      </c>
    </row>
    <row r="6214" spans="1:16" hidden="1">
      <c r="A6214" s="2">
        <v>202112</v>
      </c>
      <c r="B6214" s="3">
        <v>44560</v>
      </c>
      <c r="C6214" s="2" t="s">
        <v>2447</v>
      </c>
      <c r="D6214" s="2" t="s">
        <v>38</v>
      </c>
      <c r="E6214" s="2">
        <v>32.97</v>
      </c>
      <c r="F6214" s="2" t="str">
        <f>IF(Table2[[#This Row],[Manual Cat Value]]="",VLOOKUP(Table2[[#This Row],[Description]],'Actuals Lookup'!D:F,3,0),Table2[[#This Row],[Manual Cat Value]])</f>
        <v>Amazon</v>
      </c>
      <c r="J6214" s="2">
        <v>32.97</v>
      </c>
      <c r="K6214" s="2" t="b">
        <v>0</v>
      </c>
      <c r="L6214" s="2"/>
      <c r="M6214" s="2"/>
      <c r="N6214" s="4" t="s">
        <v>2259</v>
      </c>
      <c r="O6214" s="4" t="str">
        <f>LEFT(Table2[[#This Row],[Description]],75)</f>
        <v>Amazon</v>
      </c>
      <c r="P6214" s="2" t="s">
        <v>2260</v>
      </c>
    </row>
    <row r="6215" spans="1:16" hidden="1">
      <c r="A6215" s="2">
        <v>202112</v>
      </c>
      <c r="B6215" s="3">
        <v>44560</v>
      </c>
      <c r="C6215" s="2" t="s">
        <v>2262</v>
      </c>
      <c r="D6215" s="2" t="s">
        <v>38</v>
      </c>
      <c r="E6215" s="2">
        <v>27.89</v>
      </c>
      <c r="F6215" s="2" t="str">
        <f>IF(Table2[[#This Row],[Manual Cat Value]]="",VLOOKUP(Table2[[#This Row],[Description]],'Actuals Lookup'!D:F,3,0),Table2[[#This Row],[Manual Cat Value]])</f>
        <v>Amazon</v>
      </c>
      <c r="J6215" s="2">
        <v>27.89</v>
      </c>
      <c r="K6215" s="2" t="b">
        <v>0</v>
      </c>
      <c r="L6215" s="2"/>
      <c r="M6215" s="2"/>
      <c r="N6215" s="4" t="s">
        <v>2259</v>
      </c>
      <c r="O6215" s="4" t="str">
        <f>LEFT(Table2[[#This Row],[Description]],75)</f>
        <v>Amazon</v>
      </c>
      <c r="P6215" s="2" t="s">
        <v>2260</v>
      </c>
    </row>
    <row r="6216" spans="1:16" hidden="1">
      <c r="A6216" s="2">
        <v>202112</v>
      </c>
      <c r="B6216" s="3">
        <v>44560</v>
      </c>
      <c r="C6216" s="2" t="s">
        <v>2447</v>
      </c>
      <c r="D6216" s="2" t="s">
        <v>38</v>
      </c>
      <c r="E6216" s="2">
        <v>80.09</v>
      </c>
      <c r="F6216" s="2" t="str">
        <f>IF(Table2[[#This Row],[Manual Cat Value]]="",VLOOKUP(Table2[[#This Row],[Description]],'Actuals Lookup'!D:F,3,0),Table2[[#This Row],[Manual Cat Value]])</f>
        <v>Amazon</v>
      </c>
      <c r="J6216" s="2">
        <v>80.09</v>
      </c>
      <c r="K6216" s="2" t="b">
        <v>0</v>
      </c>
      <c r="L6216" s="2"/>
      <c r="M6216" s="2"/>
      <c r="N6216" s="4" t="s">
        <v>2259</v>
      </c>
      <c r="O6216" s="4" t="str">
        <f>LEFT(Table2[[#This Row],[Description]],75)</f>
        <v>Amazon</v>
      </c>
      <c r="P6216" s="2" t="s">
        <v>2260</v>
      </c>
    </row>
    <row r="6217" spans="1:16" hidden="1">
      <c r="A6217" s="2">
        <v>202112</v>
      </c>
      <c r="B6217" s="3">
        <v>44560</v>
      </c>
      <c r="C6217" s="2" t="s">
        <v>2447</v>
      </c>
      <c r="D6217" s="2" t="s">
        <v>38</v>
      </c>
      <c r="E6217" s="2">
        <v>24.69</v>
      </c>
      <c r="F6217" s="2" t="str">
        <f>IF(Table2[[#This Row],[Manual Cat Value]]="",VLOOKUP(Table2[[#This Row],[Description]],'Actuals Lookup'!D:F,3,0),Table2[[#This Row],[Manual Cat Value]])</f>
        <v>Amazon</v>
      </c>
      <c r="J6217" s="2">
        <v>24.69</v>
      </c>
      <c r="K6217" s="2" t="b">
        <v>0</v>
      </c>
      <c r="L6217" s="2"/>
      <c r="M6217" s="2"/>
      <c r="N6217" s="4" t="s">
        <v>2259</v>
      </c>
      <c r="O6217" s="4" t="str">
        <f>LEFT(Table2[[#This Row],[Description]],75)</f>
        <v>Amazon</v>
      </c>
      <c r="P6217" s="2" t="s">
        <v>2260</v>
      </c>
    </row>
    <row r="6218" spans="1:16" hidden="1">
      <c r="A6218" s="2">
        <v>202112</v>
      </c>
      <c r="B6218" s="3">
        <v>44560</v>
      </c>
      <c r="C6218" s="2" t="s">
        <v>2447</v>
      </c>
      <c r="D6218" s="2" t="s">
        <v>38</v>
      </c>
      <c r="E6218" s="2">
        <v>7.4</v>
      </c>
      <c r="F6218" s="2" t="str">
        <f>IF(Table2[[#This Row],[Manual Cat Value]]="",VLOOKUP(Table2[[#This Row],[Description]],'Actuals Lookup'!D:F,3,0),Table2[[#This Row],[Manual Cat Value]])</f>
        <v>Amazon</v>
      </c>
      <c r="J6218" s="2">
        <v>7.4</v>
      </c>
      <c r="K6218" s="2" t="b">
        <v>0</v>
      </c>
      <c r="L6218" s="2"/>
      <c r="M6218" s="2"/>
      <c r="N6218" s="4" t="s">
        <v>2259</v>
      </c>
      <c r="O6218" s="4" t="str">
        <f>LEFT(Table2[[#This Row],[Description]],75)</f>
        <v>Amazon</v>
      </c>
      <c r="P6218" s="2" t="s">
        <v>2260</v>
      </c>
    </row>
    <row r="6219" spans="1:16" hidden="1">
      <c r="A6219" s="2">
        <v>202112</v>
      </c>
      <c r="B6219" s="3">
        <v>44560</v>
      </c>
      <c r="C6219" s="2" t="s">
        <v>2447</v>
      </c>
      <c r="D6219" s="2" t="s">
        <v>38</v>
      </c>
      <c r="E6219" s="2">
        <v>48.97</v>
      </c>
      <c r="F6219" s="2" t="str">
        <f>IF(Table2[[#This Row],[Manual Cat Value]]="",VLOOKUP(Table2[[#This Row],[Description]],'Actuals Lookup'!D:F,3,0),Table2[[#This Row],[Manual Cat Value]])</f>
        <v>Amazon</v>
      </c>
      <c r="J6219" s="2">
        <v>48.97</v>
      </c>
      <c r="K6219" s="2" t="b">
        <v>0</v>
      </c>
      <c r="L6219" s="2"/>
      <c r="M6219" s="2"/>
      <c r="N6219" s="4" t="s">
        <v>2259</v>
      </c>
      <c r="O6219" s="4" t="str">
        <f>LEFT(Table2[[#This Row],[Description]],75)</f>
        <v>Amazon</v>
      </c>
      <c r="P6219" s="2" t="s">
        <v>2260</v>
      </c>
    </row>
    <row r="6220" spans="1:16" hidden="1">
      <c r="A6220" s="2">
        <v>202112</v>
      </c>
      <c r="B6220" s="3">
        <v>44560</v>
      </c>
      <c r="C6220" s="2" t="s">
        <v>2447</v>
      </c>
      <c r="D6220" s="2" t="s">
        <v>38</v>
      </c>
      <c r="E6220" s="2">
        <v>-26.41</v>
      </c>
      <c r="F6220" s="2" t="str">
        <f>IF(Table2[[#This Row],[Manual Cat Value]]="",VLOOKUP(Table2[[#This Row],[Description]],'Actuals Lookup'!D:F,3,0),Table2[[#This Row],[Manual Cat Value]])</f>
        <v>Amazon</v>
      </c>
      <c r="J6220" s="2">
        <v>26.41</v>
      </c>
      <c r="K6220" s="2" t="b">
        <v>0</v>
      </c>
      <c r="L6220" s="2"/>
      <c r="M6220" s="2"/>
      <c r="N6220" s="4" t="s">
        <v>2273</v>
      </c>
      <c r="O6220" s="4" t="str">
        <f>LEFT(Table2[[#This Row],[Description]],75)</f>
        <v>Amazon</v>
      </c>
      <c r="P6220" s="2" t="s">
        <v>2260</v>
      </c>
    </row>
    <row r="6221" spans="1:16" hidden="1">
      <c r="A6221" s="2">
        <v>202112</v>
      </c>
      <c r="B6221" s="3">
        <v>44560</v>
      </c>
      <c r="C6221" s="2" t="s">
        <v>2262</v>
      </c>
      <c r="D6221" s="2" t="s">
        <v>38</v>
      </c>
      <c r="E6221" s="2">
        <v>42.94</v>
      </c>
      <c r="F6221" s="2" t="str">
        <f>IF(Table2[[#This Row],[Manual Cat Value]]="",VLOOKUP(Table2[[#This Row],[Description]],'Actuals Lookup'!D:F,3,0),Table2[[#This Row],[Manual Cat Value]])</f>
        <v>Amazon</v>
      </c>
      <c r="J6221" s="2">
        <v>42.94</v>
      </c>
      <c r="K6221" s="2" t="b">
        <v>0</v>
      </c>
      <c r="L6221" s="2"/>
      <c r="M6221" s="2"/>
      <c r="N6221" s="4" t="s">
        <v>2259</v>
      </c>
      <c r="O6221" s="4" t="str">
        <f>LEFT(Table2[[#This Row],[Description]],75)</f>
        <v>Amazon</v>
      </c>
      <c r="P6221" s="2" t="s">
        <v>2260</v>
      </c>
    </row>
    <row r="6222" spans="1:16" hidden="1">
      <c r="A6222" s="2">
        <v>202112</v>
      </c>
      <c r="B6222" s="3">
        <v>44560</v>
      </c>
      <c r="C6222" s="2" t="s">
        <v>2262</v>
      </c>
      <c r="D6222" s="2" t="s">
        <v>38</v>
      </c>
      <c r="E6222" s="2">
        <v>8.56</v>
      </c>
      <c r="F6222" s="2" t="str">
        <f>IF(Table2[[#This Row],[Manual Cat Value]]="",VLOOKUP(Table2[[#This Row],[Description]],'Actuals Lookup'!D:F,3,0),Table2[[#This Row],[Manual Cat Value]])</f>
        <v>Amazon</v>
      </c>
      <c r="J6222" s="2">
        <v>8.56</v>
      </c>
      <c r="K6222" s="2" t="b">
        <v>0</v>
      </c>
      <c r="L6222" s="2"/>
      <c r="M6222" s="2"/>
      <c r="N6222" s="4" t="s">
        <v>2259</v>
      </c>
      <c r="O6222" s="4" t="str">
        <f>LEFT(Table2[[#This Row],[Description]],75)</f>
        <v>Amazon</v>
      </c>
      <c r="P6222" s="2" t="s">
        <v>2260</v>
      </c>
    </row>
    <row r="6223" spans="1:16" hidden="1">
      <c r="A6223" s="2">
        <v>202112</v>
      </c>
      <c r="B6223" s="3">
        <v>44560</v>
      </c>
      <c r="C6223" s="2" t="s">
        <v>2262</v>
      </c>
      <c r="D6223" s="2" t="s">
        <v>38</v>
      </c>
      <c r="E6223" s="2">
        <v>15.02</v>
      </c>
      <c r="F6223" s="2" t="str">
        <f>IF(Table2[[#This Row],[Manual Cat Value]]="",VLOOKUP(Table2[[#This Row],[Description]],'Actuals Lookup'!D:F,3,0),Table2[[#This Row],[Manual Cat Value]])</f>
        <v>Amazon</v>
      </c>
      <c r="J6223" s="2">
        <v>15.02</v>
      </c>
      <c r="K6223" s="2" t="b">
        <v>0</v>
      </c>
      <c r="L6223" s="2"/>
      <c r="M6223" s="2"/>
      <c r="N6223" s="4" t="s">
        <v>2259</v>
      </c>
      <c r="O6223" s="4" t="str">
        <f>LEFT(Table2[[#This Row],[Description]],75)</f>
        <v>Amazon</v>
      </c>
      <c r="P6223" s="2" t="s">
        <v>2260</v>
      </c>
    </row>
    <row r="6224" spans="1:16" hidden="1">
      <c r="A6224" s="2">
        <v>202112</v>
      </c>
      <c r="B6224" s="3">
        <v>44560</v>
      </c>
      <c r="C6224" s="2" t="s">
        <v>2265</v>
      </c>
      <c r="D6224" s="2" t="s">
        <v>131</v>
      </c>
      <c r="E6224" s="2">
        <v>95.5</v>
      </c>
      <c r="F6224" s="2" t="str">
        <f>IF(Table2[[#This Row],[Manual Cat Value]]="",VLOOKUP(Table2[[#This Row],[Description]],'Actuals Lookup'!D:F,3,0),Table2[[#This Row],[Manual Cat Value]])</f>
        <v>Insurance</v>
      </c>
      <c r="J6224" s="2">
        <v>95.5</v>
      </c>
      <c r="K6224" s="2" t="b">
        <v>0</v>
      </c>
      <c r="L6224" s="2"/>
      <c r="M6224" s="2"/>
      <c r="N6224" s="4" t="s">
        <v>2259</v>
      </c>
      <c r="O6224" s="4" t="str">
        <f>LEFT(Table2[[#This Row],[Description]],75)</f>
        <v>American Family Insurance</v>
      </c>
      <c r="P6224" s="2" t="s">
        <v>2286</v>
      </c>
    </row>
    <row r="6225" spans="1:16" hidden="1">
      <c r="A6225" s="2">
        <v>202112</v>
      </c>
      <c r="B6225" s="3">
        <v>44560</v>
      </c>
      <c r="C6225" s="2" t="s">
        <v>2274</v>
      </c>
      <c r="D6225" s="2" t="s">
        <v>176</v>
      </c>
      <c r="E6225" s="2">
        <v>-3</v>
      </c>
      <c r="F6225" s="2" t="e">
        <f>IF(Table2[[#This Row],[Manual Cat Value]]="",VLOOKUP(Table2[[#This Row],[Description]],'Actuals Lookup'!D:F,3,0),Table2[[#This Row],[Manual Cat Value]])</f>
        <v>#N/A</v>
      </c>
      <c r="J6225" s="2">
        <v>3</v>
      </c>
      <c r="K6225" s="2" t="b">
        <v>0</v>
      </c>
      <c r="L6225" s="2"/>
      <c r="M6225" s="2"/>
      <c r="N6225" s="4" t="s">
        <v>2273</v>
      </c>
      <c r="O6225" s="4" t="str">
        <f>LEFT(Table2[[#This Row],[Description]],75)</f>
        <v>ATM Fee Rebate</v>
      </c>
      <c r="P6225" s="2" t="s">
        <v>2281</v>
      </c>
    </row>
    <row r="6226" spans="1:16" hidden="1">
      <c r="A6226" s="2">
        <v>202112</v>
      </c>
      <c r="B6226" s="3">
        <v>44560</v>
      </c>
      <c r="C6226" s="2" t="s">
        <v>2265</v>
      </c>
      <c r="D6226" s="2" t="s">
        <v>177</v>
      </c>
      <c r="E6226" s="2">
        <v>-2</v>
      </c>
      <c r="F6226" s="2" t="e">
        <f>IF(Table2[[#This Row],[Manual Cat Value]]="",VLOOKUP(Table2[[#This Row],[Description]],'Actuals Lookup'!D:F,3,0),Table2[[#This Row],[Manual Cat Value]])</f>
        <v>#N/A</v>
      </c>
      <c r="J6226" s="2">
        <v>2</v>
      </c>
      <c r="K6226" s="2" t="b">
        <v>0</v>
      </c>
      <c r="L6226" s="2"/>
      <c r="M6226" s="2"/>
      <c r="N6226" s="4" t="s">
        <v>2273</v>
      </c>
      <c r="O6226" s="4" t="str">
        <f>LEFT(Table2[[#This Row],[Description]],75)</f>
        <v>ATM FEE REFUND</v>
      </c>
      <c r="P6226" s="2" t="s">
        <v>2281</v>
      </c>
    </row>
    <row r="6227" spans="1:16" hidden="1">
      <c r="A6227" s="2">
        <v>202112</v>
      </c>
      <c r="B6227" s="3">
        <v>44560</v>
      </c>
      <c r="C6227" s="2" t="s">
        <v>2262</v>
      </c>
      <c r="D6227" s="2" t="s">
        <v>187</v>
      </c>
      <c r="E6227" s="2">
        <v>146.74</v>
      </c>
      <c r="F6227" s="2" t="e">
        <f>IF(Table2[[#This Row],[Manual Cat Value]]="",VLOOKUP(Table2[[#This Row],[Description]],'Actuals Lookup'!D:F,3,0),Table2[[#This Row],[Manual Cat Value]])</f>
        <v>#N/A</v>
      </c>
      <c r="J6227" s="2">
        <v>146.74</v>
      </c>
      <c r="K6227" s="2" t="b">
        <v>0</v>
      </c>
      <c r="L6227" s="2"/>
      <c r="M6227" s="2"/>
      <c r="N6227" s="4" t="s">
        <v>2259</v>
      </c>
      <c r="O6227" s="4" t="str">
        <f>LEFT(Table2[[#This Row],[Description]],75)</f>
        <v>AVOADVOCARE INTL 8005424800 TX</v>
      </c>
      <c r="P6227" s="2" t="s">
        <v>2428</v>
      </c>
    </row>
    <row r="6228" spans="1:16" hidden="1">
      <c r="A6228" s="2">
        <v>202112</v>
      </c>
      <c r="B6228" s="3">
        <v>44560</v>
      </c>
      <c r="C6228" s="2" t="s">
        <v>2434</v>
      </c>
      <c r="D6228" s="2" t="s">
        <v>245</v>
      </c>
      <c r="E6228" s="2">
        <v>-0.12</v>
      </c>
      <c r="F6228" s="2" t="e">
        <f>IF(Table2[[#This Row],[Manual Cat Value]]="",VLOOKUP(Table2[[#This Row],[Description]],'Actuals Lookup'!D:F,3,0),Table2[[#This Row],[Manual Cat Value]])</f>
        <v>#N/A</v>
      </c>
      <c r="J6228" s="2">
        <v>0.12</v>
      </c>
      <c r="K6228" s="2" t="b">
        <v>0</v>
      </c>
      <c r="L6228" s="2"/>
      <c r="M6228" s="2"/>
      <c r="N6228" s="4" t="s">
        <v>2273</v>
      </c>
      <c r="O6228" s="4" t="str">
        <f>LEFT(Table2[[#This Row],[Description]],75)</f>
        <v>BANK INT 111621-121521 SCHWAB PREMIER BANK</v>
      </c>
      <c r="P6228" s="2" t="s">
        <v>2281</v>
      </c>
    </row>
    <row r="6229" spans="1:16" hidden="1">
      <c r="A6229" s="2">
        <v>202112</v>
      </c>
      <c r="B6229" s="3">
        <v>44560</v>
      </c>
      <c r="C6229" s="2" t="s">
        <v>2262</v>
      </c>
      <c r="D6229" s="2" t="s">
        <v>281</v>
      </c>
      <c r="E6229" s="2">
        <v>161.4</v>
      </c>
      <c r="F6229" s="2" t="e">
        <f>IF(Table2[[#This Row],[Manual Cat Value]]="",VLOOKUP(Table2[[#This Row],[Description]],'Actuals Lookup'!D:F,3,0),Table2[[#This Row],[Manual Cat Value]])</f>
        <v>#N/A</v>
      </c>
      <c r="J6229" s="2">
        <v>161.4</v>
      </c>
      <c r="K6229" s="2" t="b">
        <v>0</v>
      </c>
      <c r="L6229" s="2"/>
      <c r="M6229" s="2"/>
      <c r="N6229" s="4" t="s">
        <v>2259</v>
      </c>
      <c r="O6229" s="4" t="str">
        <f>LEFT(Table2[[#This Row],[Description]],75)</f>
        <v>Best Cleaners</v>
      </c>
      <c r="P6229" s="2" t="s">
        <v>2406</v>
      </c>
    </row>
    <row r="6230" spans="1:16" hidden="1">
      <c r="A6230" s="2">
        <v>202112</v>
      </c>
      <c r="B6230" s="3">
        <v>44560</v>
      </c>
      <c r="C6230" s="2" t="s">
        <v>2262</v>
      </c>
      <c r="D6230" s="2" t="s">
        <v>307</v>
      </c>
      <c r="E6230" s="2">
        <v>9</v>
      </c>
      <c r="F6230" s="2" t="e">
        <f>IF(Table2[[#This Row],[Manual Cat Value]]="",VLOOKUP(Table2[[#This Row],[Description]],'Actuals Lookup'!D:F,3,0),Table2[[#This Row],[Manual Cat Value]])</f>
        <v>#N/A</v>
      </c>
      <c r="J6230" s="2">
        <v>9</v>
      </c>
      <c r="K6230" s="2" t="b">
        <v>0</v>
      </c>
      <c r="L6230" s="2"/>
      <c r="M6230" s="2"/>
      <c r="N6230" s="4" t="s">
        <v>2259</v>
      </c>
      <c r="O6230" s="4" t="str">
        <f>LEFT(Table2[[#This Row],[Description]],75)</f>
        <v>Bonfes Plumbing Heating &amp; Air Services</v>
      </c>
      <c r="P6230" s="2" t="s">
        <v>2537</v>
      </c>
    </row>
    <row r="6231" spans="1:16" hidden="1">
      <c r="A6231" s="2">
        <v>202112</v>
      </c>
      <c r="B6231" s="3">
        <v>44560</v>
      </c>
      <c r="C6231" s="2" t="s">
        <v>2262</v>
      </c>
      <c r="D6231" s="2" t="s">
        <v>316</v>
      </c>
      <c r="E6231" s="2">
        <v>51.22</v>
      </c>
      <c r="F6231" s="2" t="e">
        <f>IF(Table2[[#This Row],[Manual Cat Value]]="",VLOOKUP(Table2[[#This Row],[Description]],'Actuals Lookup'!D:F,3,0),Table2[[#This Row],[Manual Cat Value]])</f>
        <v>#N/A</v>
      </c>
      <c r="J6231" s="2">
        <v>51.22</v>
      </c>
      <c r="K6231" s="2" t="b">
        <v>0</v>
      </c>
      <c r="L6231" s="2"/>
      <c r="M6231" s="2"/>
      <c r="N6231" s="4" t="s">
        <v>2259</v>
      </c>
      <c r="O6231" s="4" t="str">
        <f>LEFT(Table2[[#This Row],[Description]],75)</f>
        <v>BP</v>
      </c>
      <c r="P6231" s="2" t="s">
        <v>2484</v>
      </c>
    </row>
    <row r="6232" spans="1:16" hidden="1">
      <c r="A6232" s="2">
        <v>202112</v>
      </c>
      <c r="B6232" s="3">
        <v>44560</v>
      </c>
      <c r="C6232" s="2" t="s">
        <v>2262</v>
      </c>
      <c r="D6232" s="2" t="s">
        <v>324</v>
      </c>
      <c r="E6232" s="2">
        <v>293.52</v>
      </c>
      <c r="F6232" s="2" t="e">
        <f>IF(Table2[[#This Row],[Manual Cat Value]]="",VLOOKUP(Table2[[#This Row],[Description]],'Actuals Lookup'!D:F,3,0),Table2[[#This Row],[Manual Cat Value]])</f>
        <v>#N/A</v>
      </c>
      <c r="J6232" s="2">
        <v>293.52</v>
      </c>
      <c r="K6232" s="2" t="b">
        <v>0</v>
      </c>
      <c r="L6232" s="2"/>
      <c r="M6232" s="2"/>
      <c r="N6232" s="4" t="s">
        <v>2259</v>
      </c>
      <c r="O6232" s="4" t="str">
        <f>LEFT(Table2[[#This Row],[Description]],75)</f>
        <v>BUCA EDEN PRAIRIE MN</v>
      </c>
      <c r="P6232" s="2" t="s">
        <v>2281</v>
      </c>
    </row>
    <row r="6233" spans="1:16" hidden="1">
      <c r="A6233" s="2">
        <v>202112</v>
      </c>
      <c r="B6233" s="3">
        <v>44560</v>
      </c>
      <c r="C6233" s="2" t="s">
        <v>2262</v>
      </c>
      <c r="D6233" s="2" t="s">
        <v>325</v>
      </c>
      <c r="E6233" s="2">
        <v>159.62</v>
      </c>
      <c r="F6233" s="2" t="e">
        <f>IF(Table2[[#This Row],[Manual Cat Value]]="",VLOOKUP(Table2[[#This Row],[Description]],'Actuals Lookup'!D:F,3,0),Table2[[#This Row],[Manual Cat Value]])</f>
        <v>#N/A</v>
      </c>
      <c r="J6233" s="2">
        <v>159.62</v>
      </c>
      <c r="K6233" s="2" t="b">
        <v>0</v>
      </c>
      <c r="L6233" s="2"/>
      <c r="M6233" s="2"/>
      <c r="N6233" s="4" t="s">
        <v>2259</v>
      </c>
      <c r="O6233" s="4" t="str">
        <f>LEFT(Table2[[#This Row],[Description]],75)</f>
        <v>BUCK HILL SKI AREA BURNSVILLE MN</v>
      </c>
      <c r="P6233" s="2" t="s">
        <v>2281</v>
      </c>
    </row>
    <row r="6234" spans="1:16" hidden="1">
      <c r="A6234" s="2">
        <v>202112</v>
      </c>
      <c r="B6234" s="3">
        <v>44560</v>
      </c>
      <c r="C6234" s="2" t="s">
        <v>2262</v>
      </c>
      <c r="D6234" s="2" t="s">
        <v>346</v>
      </c>
      <c r="E6234" s="2">
        <v>6.2</v>
      </c>
      <c r="F6234" s="2" t="e">
        <f>IF(Table2[[#This Row],[Manual Cat Value]]="",VLOOKUP(Table2[[#This Row],[Description]],'Actuals Lookup'!D:F,3,0),Table2[[#This Row],[Manual Cat Value]])</f>
        <v>#N/A</v>
      </c>
      <c r="J6234" s="2">
        <v>6.2</v>
      </c>
      <c r="K6234" s="2" t="b">
        <v>0</v>
      </c>
      <c r="L6234" s="2"/>
      <c r="M6234" s="2"/>
      <c r="N6234" s="4" t="s">
        <v>2259</v>
      </c>
      <c r="O6234" s="4" t="str">
        <f>LEFT(Table2[[#This Row],[Description]],75)</f>
        <v>Canteen Vending</v>
      </c>
      <c r="P6234" s="2" t="s">
        <v>2281</v>
      </c>
    </row>
    <row r="6235" spans="1:16" hidden="1">
      <c r="A6235" s="2">
        <v>202112</v>
      </c>
      <c r="B6235" s="3">
        <v>44560</v>
      </c>
      <c r="C6235" s="2" t="s">
        <v>2265</v>
      </c>
      <c r="D6235" s="2" t="s">
        <v>409</v>
      </c>
      <c r="E6235" s="2">
        <v>-3024.87</v>
      </c>
      <c r="F6235" s="2" t="e">
        <f>IF(Table2[[#This Row],[Manual Cat Value]]="",VLOOKUP(Table2[[#This Row],[Description]],'Actuals Lookup'!D:F,3,0),Table2[[#This Row],[Manual Cat Value]])</f>
        <v>#N/A</v>
      </c>
      <c r="J6235" s="2">
        <v>3024.87</v>
      </c>
      <c r="K6235" s="2" t="b">
        <v>0</v>
      </c>
      <c r="L6235" s="2"/>
      <c r="M6235" s="2"/>
      <c r="N6235" s="4" t="s">
        <v>2273</v>
      </c>
      <c r="O6235" s="4" t="str">
        <f>LEFT(Table2[[#This Row],[Description]],75)</f>
        <v>Cargill Inc Deposit CARGILL INCORPOR TYPE DIRECT DEP ID CO CARGILL INCORPOR</v>
      </c>
      <c r="P6235" s="2" t="s">
        <v>2545</v>
      </c>
    </row>
    <row r="6236" spans="1:16" hidden="1">
      <c r="A6236" s="2">
        <v>202112</v>
      </c>
      <c r="B6236" s="3">
        <v>44560</v>
      </c>
      <c r="C6236" s="2" t="s">
        <v>2317</v>
      </c>
      <c r="D6236" s="2" t="s">
        <v>424</v>
      </c>
      <c r="E6236" s="2">
        <v>-200</v>
      </c>
      <c r="F6236" s="2" t="e">
        <f>IF(Table2[[#This Row],[Manual Cat Value]]="",VLOOKUP(Table2[[#This Row],[Description]],'Actuals Lookup'!D:F,3,0),Table2[[#This Row],[Manual Cat Value]])</f>
        <v>#N/A</v>
      </c>
      <c r="J6236" s="2">
        <v>200</v>
      </c>
      <c r="K6236" s="2" t="b">
        <v>0</v>
      </c>
      <c r="L6236" s="2"/>
      <c r="M6236" s="2"/>
      <c r="N6236" s="4" t="s">
        <v>2273</v>
      </c>
      <c r="O6236" s="4" t="str">
        <f>LEFT(Table2[[#This Row],[Description]],75)</f>
        <v>CARGILL INCORPOR</v>
      </c>
      <c r="P6236" s="2" t="s">
        <v>2385</v>
      </c>
    </row>
    <row r="6237" spans="1:16" hidden="1">
      <c r="A6237" s="2">
        <v>202112</v>
      </c>
      <c r="B6237" s="3">
        <v>44560</v>
      </c>
      <c r="C6237" s="2" t="s">
        <v>2262</v>
      </c>
      <c r="D6237" s="2" t="s">
        <v>456</v>
      </c>
      <c r="E6237" s="2">
        <v>28.44</v>
      </c>
      <c r="F6237" s="2" t="e">
        <f>IF(Table2[[#This Row],[Manual Cat Value]]="",VLOOKUP(Table2[[#This Row],[Description]],'Actuals Lookup'!D:F,3,0),Table2[[#This Row],[Manual Cat Value]])</f>
        <v>#N/A</v>
      </c>
      <c r="J6237" s="2">
        <v>28.44</v>
      </c>
      <c r="K6237" s="2" t="b">
        <v>0</v>
      </c>
      <c r="L6237" s="2"/>
      <c r="M6237" s="2"/>
      <c r="N6237" s="4" t="s">
        <v>2259</v>
      </c>
      <c r="O6237" s="4" t="str">
        <f>LEFT(Table2[[#This Row],[Description]],75)</f>
        <v>Casey's</v>
      </c>
      <c r="P6237" s="2" t="s">
        <v>2281</v>
      </c>
    </row>
    <row r="6238" spans="1:16" hidden="1">
      <c r="A6238" s="2">
        <v>202112</v>
      </c>
      <c r="B6238" s="3">
        <v>44560</v>
      </c>
      <c r="C6238" s="2" t="s">
        <v>2265</v>
      </c>
      <c r="D6238" s="2" t="s">
        <v>494</v>
      </c>
      <c r="E6238" s="2">
        <v>175.25</v>
      </c>
      <c r="F6238" s="2" t="str">
        <f>IF(Table2[[#This Row],[Manual Cat Value]]="",VLOOKUP(Table2[[#This Row],[Description]],'Actuals Lookup'!D:F,3,0),Table2[[#This Row],[Manual Cat Value]])</f>
        <v>Utilities</v>
      </c>
      <c r="J6238" s="2">
        <v>175.25</v>
      </c>
      <c r="K6238" s="2" t="b">
        <v>0</v>
      </c>
      <c r="L6238" s="2"/>
      <c r="M6238" s="2"/>
      <c r="N6238" s="4" t="s">
        <v>2259</v>
      </c>
      <c r="O6238" s="4" t="str">
        <f>LEFT(Table2[[#This Row],[Description]],75)</f>
        <v>CenterPoint Energy</v>
      </c>
      <c r="P6238" s="2" t="s">
        <v>2546</v>
      </c>
    </row>
    <row r="6239" spans="1:16" hidden="1">
      <c r="A6239" s="2">
        <v>202112</v>
      </c>
      <c r="B6239" s="3">
        <v>44560</v>
      </c>
      <c r="C6239" s="2" t="s">
        <v>2262</v>
      </c>
      <c r="D6239" s="2" t="s">
        <v>506</v>
      </c>
      <c r="E6239" s="2">
        <v>45</v>
      </c>
      <c r="F6239" s="2" t="str">
        <f>IF(Table2[[#This Row],[Manual Cat Value]]="",VLOOKUP(Table2[[#This Row],[Description]],'Actuals Lookup'!D:F,3,0),Table2[[#This Row],[Manual Cat Value]])</f>
        <v>Utilities</v>
      </c>
      <c r="J6239" s="2">
        <v>45</v>
      </c>
      <c r="K6239" s="2" t="b">
        <v>0</v>
      </c>
      <c r="L6239" s="2"/>
      <c r="M6239" s="2"/>
      <c r="N6239" s="4" t="s">
        <v>2259</v>
      </c>
      <c r="O6239" s="4" t="str">
        <f>LEFT(Table2[[#This Row],[Description]],75)</f>
        <v>CenturyLink</v>
      </c>
      <c r="P6239" s="2" t="s">
        <v>2408</v>
      </c>
    </row>
    <row r="6240" spans="1:16" hidden="1">
      <c r="A6240" s="2">
        <v>202112</v>
      </c>
      <c r="B6240" s="3">
        <v>44560</v>
      </c>
      <c r="C6240" s="2" t="s">
        <v>2317</v>
      </c>
      <c r="D6240" s="2" t="s">
        <v>537</v>
      </c>
      <c r="E6240" s="2">
        <v>-63.58</v>
      </c>
      <c r="F6240" s="2" t="e">
        <f>IF(Table2[[#This Row],[Manual Cat Value]]="",VLOOKUP(Table2[[#This Row],[Description]],'Actuals Lookup'!D:F,3,0),Table2[[#This Row],[Manual Cat Value]])</f>
        <v>#N/A</v>
      </c>
      <c r="J6240" s="2">
        <v>63.58</v>
      </c>
      <c r="K6240" s="2" t="b">
        <v>0</v>
      </c>
      <c r="L6240" s="2"/>
      <c r="M6240" s="2"/>
      <c r="N6240" s="4" t="s">
        <v>2273</v>
      </c>
      <c r="O6240" s="4" t="str">
        <f>LEFT(Table2[[#This Row],[Description]],75)</f>
        <v>CHEVRON CORP</v>
      </c>
      <c r="P6240" s="2" t="s">
        <v>2430</v>
      </c>
    </row>
    <row r="6241" spans="1:16" hidden="1">
      <c r="A6241" s="2">
        <v>202112</v>
      </c>
      <c r="B6241" s="3">
        <v>44560</v>
      </c>
      <c r="C6241" s="2" t="s">
        <v>2262</v>
      </c>
      <c r="D6241" s="2" t="s">
        <v>543</v>
      </c>
      <c r="E6241" s="2">
        <v>33.29</v>
      </c>
      <c r="F6241" s="2" t="e">
        <f>IF(Table2[[#This Row],[Manual Cat Value]]="",VLOOKUP(Table2[[#This Row],[Description]],'Actuals Lookup'!D:F,3,0),Table2[[#This Row],[Manual Cat Value]])</f>
        <v>#N/A</v>
      </c>
      <c r="J6241" s="2">
        <v>33.29</v>
      </c>
      <c r="K6241" s="2" t="b">
        <v>0</v>
      </c>
      <c r="L6241" s="2"/>
      <c r="M6241" s="2"/>
      <c r="N6241" s="4" t="s">
        <v>2259</v>
      </c>
      <c r="O6241" s="4" t="str">
        <f>LEFT(Table2[[#This Row],[Description]],75)</f>
        <v>Chipotle</v>
      </c>
      <c r="P6241" s="2" t="s">
        <v>2341</v>
      </c>
    </row>
    <row r="6242" spans="1:16" hidden="1">
      <c r="A6242" s="2">
        <v>202112</v>
      </c>
      <c r="B6242" s="3">
        <v>44560</v>
      </c>
      <c r="C6242" s="2" t="s">
        <v>2265</v>
      </c>
      <c r="D6242" s="2" t="s">
        <v>557</v>
      </c>
      <c r="E6242" s="2">
        <v>44.87</v>
      </c>
      <c r="F6242" s="2" t="e">
        <f>IF(Table2[[#This Row],[Manual Cat Value]]="",VLOOKUP(Table2[[#This Row],[Description]],'Actuals Lookup'!D:F,3,0),Table2[[#This Row],[Manual Cat Value]])</f>
        <v>#N/A</v>
      </c>
      <c r="J6242" s="2">
        <v>44.87</v>
      </c>
      <c r="K6242" s="2" t="b">
        <v>0</v>
      </c>
      <c r="L6242" s="2"/>
      <c r="M6242" s="2"/>
      <c r="N6242" s="4" t="s">
        <v>2259</v>
      </c>
      <c r="O6242" s="4" t="str">
        <f>LEFT(Table2[[#This Row],[Description]],75)</f>
        <v>City of Chanhassen</v>
      </c>
      <c r="P6242" s="2" t="s">
        <v>2298</v>
      </c>
    </row>
    <row r="6243" spans="1:16" hidden="1">
      <c r="A6243" s="2">
        <v>202112</v>
      </c>
      <c r="B6243" s="3">
        <v>44560</v>
      </c>
      <c r="C6243" s="2" t="s">
        <v>2262</v>
      </c>
      <c r="D6243" s="2" t="s">
        <v>559</v>
      </c>
      <c r="E6243" s="2">
        <v>120</v>
      </c>
      <c r="F6243" s="2" t="e">
        <f>IF(Table2[[#This Row],[Manual Cat Value]]="",VLOOKUP(Table2[[#This Row],[Description]],'Actuals Lookup'!D:F,3,0),Table2[[#This Row],[Manual Cat Value]])</f>
        <v>#N/A</v>
      </c>
      <c r="J6243" s="2">
        <v>120</v>
      </c>
      <c r="K6243" s="2" t="b">
        <v>0</v>
      </c>
      <c r="L6243" s="2"/>
      <c r="M6243" s="2"/>
      <c r="N6243" s="4" t="s">
        <v>2259</v>
      </c>
      <c r="O6243" s="4" t="str">
        <f>LEFT(Table2[[#This Row],[Description]],75)</f>
        <v>City of Minnetonka</v>
      </c>
      <c r="P6243" s="2" t="s">
        <v>2281</v>
      </c>
    </row>
    <row r="6244" spans="1:16" hidden="1">
      <c r="A6244" s="2">
        <v>202112</v>
      </c>
      <c r="B6244" s="3">
        <v>44560</v>
      </c>
      <c r="C6244" s="2" t="s">
        <v>2262</v>
      </c>
      <c r="D6244" s="2" t="s">
        <v>644</v>
      </c>
      <c r="E6244" s="2">
        <v>48.12</v>
      </c>
      <c r="F6244" s="2" t="e">
        <f>IF(Table2[[#This Row],[Manual Cat Value]]="",VLOOKUP(Table2[[#This Row],[Description]],'Actuals Lookup'!D:F,3,0),Table2[[#This Row],[Manual Cat Value]])</f>
        <v>#N/A</v>
      </c>
      <c r="J6244" s="2">
        <v>48.12</v>
      </c>
      <c r="K6244" s="2" t="b">
        <v>0</v>
      </c>
      <c r="L6244" s="2"/>
      <c r="M6244" s="2"/>
      <c r="N6244" s="4" t="s">
        <v>2259</v>
      </c>
      <c r="O6244" s="4" t="str">
        <f>LEFT(Table2[[#This Row],[Description]],75)</f>
        <v>Coop North</v>
      </c>
      <c r="P6244" s="2" t="s">
        <v>2281</v>
      </c>
    </row>
    <row r="6245" spans="1:16" hidden="1">
      <c r="A6245" s="2">
        <v>202112</v>
      </c>
      <c r="B6245" s="3">
        <v>44560</v>
      </c>
      <c r="C6245" s="2" t="s">
        <v>2262</v>
      </c>
      <c r="D6245" s="2" t="s">
        <v>684</v>
      </c>
      <c r="E6245" s="2">
        <v>168.32</v>
      </c>
      <c r="F6245" s="2" t="str">
        <f>IF(Table2[[#This Row],[Manual Cat Value]]="",VLOOKUP(Table2[[#This Row],[Description]],'Actuals Lookup'!D:F,3,0),Table2[[#This Row],[Manual Cat Value]])</f>
        <v>Groceries</v>
      </c>
      <c r="J6245" s="2">
        <v>168.32</v>
      </c>
      <c r="K6245" s="2" t="b">
        <v>0</v>
      </c>
      <c r="L6245" s="2"/>
      <c r="M6245" s="2"/>
      <c r="N6245" s="4" t="s">
        <v>2259</v>
      </c>
      <c r="O6245" s="4" t="str">
        <f>LEFT(Table2[[#This Row],[Description]],75)</f>
        <v>Cub Foods</v>
      </c>
      <c r="P6245" s="2" t="s">
        <v>2370</v>
      </c>
    </row>
    <row r="6246" spans="1:16" hidden="1">
      <c r="A6246" s="2">
        <v>202112</v>
      </c>
      <c r="B6246" s="3">
        <v>44560</v>
      </c>
      <c r="C6246" s="2" t="s">
        <v>2262</v>
      </c>
      <c r="D6246" s="2" t="s">
        <v>684</v>
      </c>
      <c r="E6246" s="2">
        <v>32.840000000000003</v>
      </c>
      <c r="F6246" s="2" t="str">
        <f>IF(Table2[[#This Row],[Manual Cat Value]]="",VLOOKUP(Table2[[#This Row],[Description]],'Actuals Lookup'!D:F,3,0),Table2[[#This Row],[Manual Cat Value]])</f>
        <v>Groceries</v>
      </c>
      <c r="J6246" s="2">
        <v>32.840000000000003</v>
      </c>
      <c r="K6246" s="2" t="b">
        <v>0</v>
      </c>
      <c r="L6246" s="2"/>
      <c r="M6246" s="2"/>
      <c r="N6246" s="4" t="s">
        <v>2259</v>
      </c>
      <c r="O6246" s="4" t="str">
        <f>LEFT(Table2[[#This Row],[Description]],75)</f>
        <v>Cub Foods</v>
      </c>
      <c r="P6246" s="2" t="s">
        <v>2370</v>
      </c>
    </row>
    <row r="6247" spans="1:16" hidden="1">
      <c r="A6247" s="2">
        <v>202112</v>
      </c>
      <c r="B6247" s="3">
        <v>44560</v>
      </c>
      <c r="C6247" s="2" t="s">
        <v>2262</v>
      </c>
      <c r="D6247" s="2" t="s">
        <v>684</v>
      </c>
      <c r="E6247" s="2">
        <v>128.51</v>
      </c>
      <c r="F6247" s="2" t="str">
        <f>IF(Table2[[#This Row],[Manual Cat Value]]="",VLOOKUP(Table2[[#This Row],[Description]],'Actuals Lookup'!D:F,3,0),Table2[[#This Row],[Manual Cat Value]])</f>
        <v>Groceries</v>
      </c>
      <c r="J6247" s="2">
        <v>128.51</v>
      </c>
      <c r="K6247" s="2" t="b">
        <v>0</v>
      </c>
      <c r="L6247" s="2"/>
      <c r="M6247" s="2"/>
      <c r="N6247" s="4" t="s">
        <v>2259</v>
      </c>
      <c r="O6247" s="4" t="str">
        <f>LEFT(Table2[[#This Row],[Description]],75)</f>
        <v>Cub Foods</v>
      </c>
      <c r="P6247" s="2" t="s">
        <v>2370</v>
      </c>
    </row>
    <row r="6248" spans="1:16" hidden="1">
      <c r="A6248" s="2">
        <v>202112</v>
      </c>
      <c r="B6248" s="3">
        <v>44560</v>
      </c>
      <c r="C6248" s="2" t="s">
        <v>2262</v>
      </c>
      <c r="D6248" s="2" t="s">
        <v>684</v>
      </c>
      <c r="E6248" s="2">
        <v>25.46</v>
      </c>
      <c r="F6248" s="2" t="str">
        <f>IF(Table2[[#This Row],[Manual Cat Value]]="",VLOOKUP(Table2[[#This Row],[Description]],'Actuals Lookup'!D:F,3,0),Table2[[#This Row],[Manual Cat Value]])</f>
        <v>Groceries</v>
      </c>
      <c r="J6248" s="2">
        <v>25.46</v>
      </c>
      <c r="K6248" s="2" t="b">
        <v>0</v>
      </c>
      <c r="L6248" s="2"/>
      <c r="M6248" s="2"/>
      <c r="N6248" s="4" t="s">
        <v>2259</v>
      </c>
      <c r="O6248" s="4" t="str">
        <f>LEFT(Table2[[#This Row],[Description]],75)</f>
        <v>Cub Foods</v>
      </c>
      <c r="P6248" s="2" t="s">
        <v>2370</v>
      </c>
    </row>
    <row r="6249" spans="1:16" hidden="1">
      <c r="A6249" s="2">
        <v>202112</v>
      </c>
      <c r="B6249" s="3">
        <v>44560</v>
      </c>
      <c r="C6249" s="2" t="s">
        <v>2265</v>
      </c>
      <c r="D6249" s="2" t="s">
        <v>710</v>
      </c>
      <c r="E6249" s="2">
        <v>-1000</v>
      </c>
      <c r="F6249" s="2" t="str">
        <f>IF(Table2[[#This Row],[Manual Cat Value]]="",VLOOKUP(Table2[[#This Row],[Description]],'Actuals Lookup'!D:F,3,0),Table2[[#This Row],[Manual Cat Value]])</f>
        <v>Delete</v>
      </c>
      <c r="J6249" s="2">
        <v>1000</v>
      </c>
      <c r="K6249" s="2" t="b">
        <v>0</v>
      </c>
      <c r="L6249" s="2"/>
      <c r="M6249" s="2"/>
      <c r="N6249" s="4" t="s">
        <v>2273</v>
      </c>
      <c r="O6249" s="4" t="str">
        <f>LEFT(Table2[[#This Row],[Description]],75)</f>
        <v>Deposit by Check Deposit Anywhere check deposit</v>
      </c>
      <c r="P6249" s="2" t="s">
        <v>2281</v>
      </c>
    </row>
    <row r="6250" spans="1:16" hidden="1">
      <c r="A6250" s="2">
        <v>202112</v>
      </c>
      <c r="B6250" s="3">
        <v>44560</v>
      </c>
      <c r="C6250" s="2" t="s">
        <v>2265</v>
      </c>
      <c r="D6250" s="2" t="s">
        <v>710</v>
      </c>
      <c r="E6250" s="2">
        <v>-500</v>
      </c>
      <c r="F6250" s="2" t="str">
        <f>IF(Table2[[#This Row],[Manual Cat Value]]="",VLOOKUP(Table2[[#This Row],[Description]],'Actuals Lookup'!D:F,3,0),Table2[[#This Row],[Manual Cat Value]])</f>
        <v>Delete</v>
      </c>
      <c r="J6250" s="2">
        <v>500</v>
      </c>
      <c r="K6250" s="2" t="b">
        <v>0</v>
      </c>
      <c r="L6250" s="2"/>
      <c r="M6250" s="2"/>
      <c r="N6250" s="4" t="s">
        <v>2273</v>
      </c>
      <c r="O6250" s="4" t="str">
        <f>LEFT(Table2[[#This Row],[Description]],75)</f>
        <v>Deposit by Check Deposit Anywhere check deposit</v>
      </c>
      <c r="P6250" s="2" t="s">
        <v>2281</v>
      </c>
    </row>
    <row r="6251" spans="1:16" hidden="1">
      <c r="A6251" s="2">
        <v>202112</v>
      </c>
      <c r="B6251" s="3">
        <v>44560</v>
      </c>
      <c r="C6251" s="2" t="s">
        <v>2265</v>
      </c>
      <c r="D6251" s="2" t="s">
        <v>710</v>
      </c>
      <c r="E6251" s="2">
        <v>-1000</v>
      </c>
      <c r="F6251" s="2" t="str">
        <f>IF(Table2[[#This Row],[Manual Cat Value]]="",VLOOKUP(Table2[[#This Row],[Description]],'Actuals Lookup'!D:F,3,0),Table2[[#This Row],[Manual Cat Value]])</f>
        <v>Delete</v>
      </c>
      <c r="J6251" s="2">
        <v>1000</v>
      </c>
      <c r="K6251" s="2" t="b">
        <v>0</v>
      </c>
      <c r="L6251" s="2"/>
      <c r="M6251" s="2"/>
      <c r="N6251" s="4" t="s">
        <v>2273</v>
      </c>
      <c r="O6251" s="4" t="str">
        <f>LEFT(Table2[[#This Row],[Description]],75)</f>
        <v>Deposit by Check Deposit Anywhere check deposit</v>
      </c>
      <c r="P6251" s="2" t="s">
        <v>2281</v>
      </c>
    </row>
    <row r="6252" spans="1:16" hidden="1">
      <c r="A6252" s="2">
        <v>202112</v>
      </c>
      <c r="B6252" s="3">
        <v>44560</v>
      </c>
      <c r="C6252" s="2" t="s">
        <v>2262</v>
      </c>
      <c r="D6252" s="2" t="s">
        <v>732</v>
      </c>
      <c r="E6252" s="2">
        <v>295.95</v>
      </c>
      <c r="F6252" s="2" t="e">
        <f>IF(Table2[[#This Row],[Manual Cat Value]]="",VLOOKUP(Table2[[#This Row],[Description]],'Actuals Lookup'!D:F,3,0),Table2[[#This Row],[Manual Cat Value]])</f>
        <v>#N/A</v>
      </c>
      <c r="J6252" s="2">
        <v>295.95</v>
      </c>
      <c r="K6252" s="2" t="b">
        <v>0</v>
      </c>
      <c r="L6252" s="2"/>
      <c r="M6252" s="2"/>
      <c r="N6252" s="4" t="s">
        <v>2259</v>
      </c>
      <c r="O6252" s="4" t="str">
        <f>LEFT(Table2[[#This Row],[Description]],75)</f>
        <v>Dick's Sporting</v>
      </c>
      <c r="P6252" s="2" t="s">
        <v>2281</v>
      </c>
    </row>
    <row r="6253" spans="1:16" hidden="1">
      <c r="A6253" s="2">
        <v>202112</v>
      </c>
      <c r="B6253" s="3">
        <v>44560</v>
      </c>
      <c r="C6253" s="2" t="s">
        <v>2262</v>
      </c>
      <c r="D6253" s="2" t="s">
        <v>804</v>
      </c>
      <c r="E6253" s="2">
        <v>8</v>
      </c>
      <c r="F6253" s="2" t="e">
        <f>IF(Table2[[#This Row],[Manual Cat Value]]="",VLOOKUP(Table2[[#This Row],[Description]],'Actuals Lookup'!D:F,3,0),Table2[[#This Row],[Manual Cat Value]])</f>
        <v>#N/A</v>
      </c>
      <c r="J6253" s="2">
        <v>8</v>
      </c>
      <c r="K6253" s="2" t="b">
        <v>0</v>
      </c>
      <c r="L6253" s="2"/>
      <c r="M6253" s="2"/>
      <c r="N6253" s="4" t="s">
        <v>2259</v>
      </c>
      <c r="O6253" s="4" t="str">
        <f>LEFT(Table2[[#This Row],[Description]],75)</f>
        <v>Edgetek Hockey</v>
      </c>
      <c r="P6253" s="2" t="s">
        <v>2281</v>
      </c>
    </row>
    <row r="6254" spans="1:16" hidden="1">
      <c r="A6254" s="2">
        <v>202112</v>
      </c>
      <c r="B6254" s="3">
        <v>44560</v>
      </c>
      <c r="C6254" s="2" t="s">
        <v>2262</v>
      </c>
      <c r="D6254" s="2" t="s">
        <v>845</v>
      </c>
      <c r="E6254" s="2">
        <v>73.94</v>
      </c>
      <c r="F6254" s="2" t="e">
        <f>IF(Table2[[#This Row],[Manual Cat Value]]="",VLOOKUP(Table2[[#This Row],[Description]],'Actuals Lookup'!D:F,3,0),Table2[[#This Row],[Manual Cat Value]])</f>
        <v>#N/A</v>
      </c>
      <c r="J6254" s="2">
        <v>73.94</v>
      </c>
      <c r="K6254" s="2" t="b">
        <v>0</v>
      </c>
      <c r="L6254" s="2"/>
      <c r="M6254" s="2"/>
      <c r="N6254" s="4" t="s">
        <v>2259</v>
      </c>
      <c r="O6254" s="4" t="str">
        <f>LEFT(Table2[[#This Row],[Description]],75)</f>
        <v>FLEET FARM 3200 CARVER MN</v>
      </c>
      <c r="P6254" s="2" t="s">
        <v>2281</v>
      </c>
    </row>
    <row r="6255" spans="1:16" hidden="1">
      <c r="A6255" s="2">
        <v>202112</v>
      </c>
      <c r="B6255" s="3">
        <v>44560</v>
      </c>
      <c r="C6255" s="2" t="s">
        <v>2262</v>
      </c>
      <c r="D6255" s="2" t="s">
        <v>845</v>
      </c>
      <c r="E6255" s="2">
        <v>61.16</v>
      </c>
      <c r="F6255" s="2" t="e">
        <f>IF(Table2[[#This Row],[Manual Cat Value]]="",VLOOKUP(Table2[[#This Row],[Description]],'Actuals Lookup'!D:F,3,0),Table2[[#This Row],[Manual Cat Value]])</f>
        <v>#N/A</v>
      </c>
      <c r="J6255" s="2">
        <v>61.16</v>
      </c>
      <c r="K6255" s="2" t="b">
        <v>0</v>
      </c>
      <c r="L6255" s="2"/>
      <c r="M6255" s="2"/>
      <c r="N6255" s="4" t="s">
        <v>2259</v>
      </c>
      <c r="O6255" s="4" t="str">
        <f>LEFT(Table2[[#This Row],[Description]],75)</f>
        <v>FLEET FARM 3200 CARVER MN</v>
      </c>
      <c r="P6255" s="2" t="s">
        <v>2281</v>
      </c>
    </row>
    <row r="6256" spans="1:16" hidden="1">
      <c r="A6256" s="2">
        <v>202112</v>
      </c>
      <c r="B6256" s="3">
        <v>44560</v>
      </c>
      <c r="C6256" s="2" t="s">
        <v>2274</v>
      </c>
      <c r="D6256" s="2" t="s">
        <v>879</v>
      </c>
      <c r="E6256" s="2">
        <v>-300</v>
      </c>
      <c r="F6256" s="2" t="e">
        <f>IF(Table2[[#This Row],[Manual Cat Value]]="",VLOOKUP(Table2[[#This Row],[Description]],'Actuals Lookup'!D:F,3,0),Table2[[#This Row],[Manual Cat Value]])</f>
        <v>#N/A</v>
      </c>
      <c r="J6256" s="2">
        <v>300</v>
      </c>
      <c r="K6256" s="2" t="b">
        <v>0</v>
      </c>
      <c r="L6256" s="2"/>
      <c r="M6256" s="2"/>
      <c r="N6256" s="4" t="s">
        <v>2273</v>
      </c>
      <c r="O6256" s="4" t="str">
        <f>LEFT(Table2[[#This Row],[Description]],75)</f>
        <v>Funds Transfer from Brokerage -5308</v>
      </c>
      <c r="P6256" s="2" t="s">
        <v>2498</v>
      </c>
    </row>
    <row r="6257" spans="1:16" hidden="1">
      <c r="A6257" s="2">
        <v>202112</v>
      </c>
      <c r="B6257" s="3">
        <v>44560</v>
      </c>
      <c r="C6257" s="2" t="s">
        <v>2274</v>
      </c>
      <c r="D6257" s="2" t="s">
        <v>879</v>
      </c>
      <c r="E6257" s="2">
        <v>-1000</v>
      </c>
      <c r="F6257" s="2" t="e">
        <f>IF(Table2[[#This Row],[Manual Cat Value]]="",VLOOKUP(Table2[[#This Row],[Description]],'Actuals Lookup'!D:F,3,0),Table2[[#This Row],[Manual Cat Value]])</f>
        <v>#N/A</v>
      </c>
      <c r="J6257" s="2">
        <v>1000</v>
      </c>
      <c r="K6257" s="2" t="b">
        <v>0</v>
      </c>
      <c r="L6257" s="2"/>
      <c r="M6257" s="2"/>
      <c r="N6257" s="4" t="s">
        <v>2273</v>
      </c>
      <c r="O6257" s="4" t="str">
        <f>LEFT(Table2[[#This Row],[Description]],75)</f>
        <v>Funds Transfer from Brokerage -5308</v>
      </c>
      <c r="P6257" s="2" t="s">
        <v>2498</v>
      </c>
    </row>
    <row r="6258" spans="1:16" hidden="1">
      <c r="A6258" s="2">
        <v>202112</v>
      </c>
      <c r="B6258" s="3">
        <v>44560</v>
      </c>
      <c r="C6258" s="2" t="s">
        <v>2262</v>
      </c>
      <c r="D6258" s="2" t="s">
        <v>890</v>
      </c>
      <c r="E6258" s="2">
        <v>35.21</v>
      </c>
      <c r="F6258" s="2" t="e">
        <f>IF(Table2[[#This Row],[Manual Cat Value]]="",VLOOKUP(Table2[[#This Row],[Description]],'Actuals Lookup'!D:F,3,0),Table2[[#This Row],[Manual Cat Value]])</f>
        <v>#N/A</v>
      </c>
      <c r="J6258" s="2">
        <v>35.21</v>
      </c>
      <c r="K6258" s="2" t="b">
        <v>0</v>
      </c>
      <c r="L6258" s="2"/>
      <c r="M6258" s="2"/>
      <c r="N6258" s="4" t="s">
        <v>2259</v>
      </c>
      <c r="O6258" s="4" t="str">
        <f>LEFT(Table2[[#This Row],[Description]],75)</f>
        <v>General Store Of Minnetonka GENERALSTOREOFMINNETONKA MINNETONKA MN</v>
      </c>
      <c r="P6258" s="2" t="s">
        <v>2281</v>
      </c>
    </row>
    <row r="6259" spans="1:16" hidden="1">
      <c r="A6259" s="2">
        <v>202112</v>
      </c>
      <c r="B6259" s="3">
        <v>44560</v>
      </c>
      <c r="C6259" s="2" t="s">
        <v>2262</v>
      </c>
      <c r="D6259" s="2" t="s">
        <v>929</v>
      </c>
      <c r="E6259" s="2">
        <v>38.119999999999997</v>
      </c>
      <c r="F6259" s="2" t="e">
        <f>IF(Table2[[#This Row],[Manual Cat Value]]="",VLOOKUP(Table2[[#This Row],[Description]],'Actuals Lookup'!D:F,3,0),Table2[[#This Row],[Manual Cat Value]])</f>
        <v>#N/A</v>
      </c>
      <c r="J6259" s="2">
        <v>38.119999999999997</v>
      </c>
      <c r="K6259" s="2" t="b">
        <v>0</v>
      </c>
      <c r="L6259" s="2"/>
      <c r="M6259" s="2"/>
      <c r="N6259" s="4" t="s">
        <v>2259</v>
      </c>
      <c r="O6259" s="4" t="str">
        <f>LEFT(Table2[[#This Row],[Description]],75)</f>
        <v>Hey Day Lower Bricktown Oklahoma CityOK</v>
      </c>
      <c r="P6259" s="2" t="s">
        <v>2557</v>
      </c>
    </row>
    <row r="6260" spans="1:16" hidden="1">
      <c r="A6260" s="2">
        <v>202112</v>
      </c>
      <c r="B6260" s="3">
        <v>44560</v>
      </c>
      <c r="C6260" s="2" t="s">
        <v>2262</v>
      </c>
      <c r="D6260" s="2" t="s">
        <v>929</v>
      </c>
      <c r="E6260" s="2">
        <v>73.790000000000006</v>
      </c>
      <c r="F6260" s="2" t="e">
        <f>IF(Table2[[#This Row],[Manual Cat Value]]="",VLOOKUP(Table2[[#This Row],[Description]],'Actuals Lookup'!D:F,3,0),Table2[[#This Row],[Manual Cat Value]])</f>
        <v>#N/A</v>
      </c>
      <c r="J6260" s="2">
        <v>73.790000000000006</v>
      </c>
      <c r="K6260" s="2" t="b">
        <v>0</v>
      </c>
      <c r="L6260" s="2"/>
      <c r="M6260" s="2"/>
      <c r="N6260" s="4" t="s">
        <v>2259</v>
      </c>
      <c r="O6260" s="4" t="str">
        <f>LEFT(Table2[[#This Row],[Description]],75)</f>
        <v>Hey Day Lower Bricktown Oklahoma CityOK</v>
      </c>
      <c r="P6260" s="2" t="s">
        <v>2557</v>
      </c>
    </row>
    <row r="6261" spans="1:16" hidden="1">
      <c r="A6261" s="2">
        <v>202112</v>
      </c>
      <c r="B6261" s="3">
        <v>44560</v>
      </c>
      <c r="C6261" s="2" t="s">
        <v>2262</v>
      </c>
      <c r="D6261" s="2" t="s">
        <v>947</v>
      </c>
      <c r="E6261" s="2">
        <v>5.13</v>
      </c>
      <c r="F6261" s="2" t="e">
        <f>IF(Table2[[#This Row],[Manual Cat Value]]="",VLOOKUP(Table2[[#This Row],[Description]],'Actuals Lookup'!D:F,3,0),Table2[[#This Row],[Manual Cat Value]])</f>
        <v>#N/A</v>
      </c>
      <c r="J6261" s="2">
        <v>5.13</v>
      </c>
      <c r="K6261" s="2" t="b">
        <v>0</v>
      </c>
      <c r="L6261" s="2"/>
      <c r="M6261" s="2"/>
      <c r="N6261" s="4" t="s">
        <v>2259</v>
      </c>
      <c r="O6261" s="4" t="str">
        <f>LEFT(Table2[[#This Row],[Description]],75)</f>
        <v>Home Depot</v>
      </c>
      <c r="P6261" s="2" t="s">
        <v>2396</v>
      </c>
    </row>
    <row r="6262" spans="1:16" hidden="1">
      <c r="A6262" s="2">
        <v>202112</v>
      </c>
      <c r="B6262" s="3">
        <v>44560</v>
      </c>
      <c r="C6262" s="2" t="s">
        <v>2262</v>
      </c>
      <c r="D6262" s="2" t="s">
        <v>947</v>
      </c>
      <c r="E6262" s="2">
        <v>6.24</v>
      </c>
      <c r="F6262" s="2" t="e">
        <f>IF(Table2[[#This Row],[Manual Cat Value]]="",VLOOKUP(Table2[[#This Row],[Description]],'Actuals Lookup'!D:F,3,0),Table2[[#This Row],[Manual Cat Value]])</f>
        <v>#N/A</v>
      </c>
      <c r="J6262" s="2">
        <v>6.24</v>
      </c>
      <c r="K6262" s="2" t="b">
        <v>0</v>
      </c>
      <c r="L6262" s="2"/>
      <c r="M6262" s="2"/>
      <c r="N6262" s="4" t="s">
        <v>2259</v>
      </c>
      <c r="O6262" s="4" t="str">
        <f>LEFT(Table2[[#This Row],[Description]],75)</f>
        <v>Home Depot</v>
      </c>
      <c r="P6262" s="2" t="s">
        <v>2396</v>
      </c>
    </row>
    <row r="6263" spans="1:16" hidden="1">
      <c r="A6263" s="2">
        <v>202112</v>
      </c>
      <c r="B6263" s="3">
        <v>44560</v>
      </c>
      <c r="C6263" s="2" t="s">
        <v>2262</v>
      </c>
      <c r="D6263" s="2" t="s">
        <v>947</v>
      </c>
      <c r="E6263" s="2">
        <v>10.71</v>
      </c>
      <c r="F6263" s="2" t="e">
        <f>IF(Table2[[#This Row],[Manual Cat Value]]="",VLOOKUP(Table2[[#This Row],[Description]],'Actuals Lookup'!D:F,3,0),Table2[[#This Row],[Manual Cat Value]])</f>
        <v>#N/A</v>
      </c>
      <c r="J6263" s="2">
        <v>10.71</v>
      </c>
      <c r="K6263" s="2" t="b">
        <v>0</v>
      </c>
      <c r="L6263" s="2"/>
      <c r="M6263" s="2"/>
      <c r="N6263" s="4" t="s">
        <v>2259</v>
      </c>
      <c r="O6263" s="4" t="str">
        <f>LEFT(Table2[[#This Row],[Description]],75)</f>
        <v>Home Depot</v>
      </c>
      <c r="P6263" s="2" t="s">
        <v>2396</v>
      </c>
    </row>
    <row r="6264" spans="1:16" hidden="1">
      <c r="A6264" s="2">
        <v>202112</v>
      </c>
      <c r="B6264" s="3">
        <v>44560</v>
      </c>
      <c r="C6264" s="2" t="s">
        <v>2262</v>
      </c>
      <c r="D6264" s="2" t="s">
        <v>947</v>
      </c>
      <c r="E6264" s="2">
        <v>11.53</v>
      </c>
      <c r="F6264" s="2" t="e">
        <f>IF(Table2[[#This Row],[Manual Cat Value]]="",VLOOKUP(Table2[[#This Row],[Description]],'Actuals Lookup'!D:F,3,0),Table2[[#This Row],[Manual Cat Value]])</f>
        <v>#N/A</v>
      </c>
      <c r="J6264" s="2">
        <v>11.53</v>
      </c>
      <c r="K6264" s="2" t="b">
        <v>0</v>
      </c>
      <c r="L6264" s="2"/>
      <c r="M6264" s="2"/>
      <c r="N6264" s="4" t="s">
        <v>2259</v>
      </c>
      <c r="O6264" s="4" t="str">
        <f>LEFT(Table2[[#This Row],[Description]],75)</f>
        <v>Home Depot</v>
      </c>
      <c r="P6264" s="2" t="s">
        <v>2396</v>
      </c>
    </row>
    <row r="6265" spans="1:16" hidden="1">
      <c r="A6265" s="2">
        <v>202112</v>
      </c>
      <c r="B6265" s="3">
        <v>44560</v>
      </c>
      <c r="C6265" s="2" t="s">
        <v>2262</v>
      </c>
      <c r="D6265" s="2" t="s">
        <v>947</v>
      </c>
      <c r="E6265" s="2">
        <v>19.32</v>
      </c>
      <c r="F6265" s="2" t="e">
        <f>IF(Table2[[#This Row],[Manual Cat Value]]="",VLOOKUP(Table2[[#This Row],[Description]],'Actuals Lookup'!D:F,3,0),Table2[[#This Row],[Manual Cat Value]])</f>
        <v>#N/A</v>
      </c>
      <c r="J6265" s="2">
        <v>19.32</v>
      </c>
      <c r="K6265" s="2" t="b">
        <v>0</v>
      </c>
      <c r="L6265" s="2"/>
      <c r="M6265" s="2"/>
      <c r="N6265" s="4" t="s">
        <v>2259</v>
      </c>
      <c r="O6265" s="4" t="str">
        <f>LEFT(Table2[[#This Row],[Description]],75)</f>
        <v>Home Depot</v>
      </c>
      <c r="P6265" s="2" t="s">
        <v>2396</v>
      </c>
    </row>
    <row r="6266" spans="1:16" hidden="1">
      <c r="A6266" s="2">
        <v>202112</v>
      </c>
      <c r="B6266" s="3">
        <v>44560</v>
      </c>
      <c r="C6266" s="2" t="s">
        <v>2262</v>
      </c>
      <c r="D6266" s="2" t="s">
        <v>947</v>
      </c>
      <c r="E6266" s="2">
        <v>40.79</v>
      </c>
      <c r="F6266" s="2" t="e">
        <f>IF(Table2[[#This Row],[Manual Cat Value]]="",VLOOKUP(Table2[[#This Row],[Description]],'Actuals Lookup'!D:F,3,0),Table2[[#This Row],[Manual Cat Value]])</f>
        <v>#N/A</v>
      </c>
      <c r="J6266" s="2">
        <v>40.79</v>
      </c>
      <c r="K6266" s="2" t="b">
        <v>0</v>
      </c>
      <c r="L6266" s="2"/>
      <c r="M6266" s="2"/>
      <c r="N6266" s="4" t="s">
        <v>2259</v>
      </c>
      <c r="O6266" s="4" t="str">
        <f>LEFT(Table2[[#This Row],[Description]],75)</f>
        <v>Home Depot</v>
      </c>
      <c r="P6266" s="2" t="s">
        <v>2396</v>
      </c>
    </row>
    <row r="6267" spans="1:16" hidden="1">
      <c r="A6267" s="2">
        <v>202112</v>
      </c>
      <c r="B6267" s="3">
        <v>44560</v>
      </c>
      <c r="C6267" s="2" t="s">
        <v>2262</v>
      </c>
      <c r="D6267" s="2" t="s">
        <v>979</v>
      </c>
      <c r="E6267" s="2">
        <v>53</v>
      </c>
      <c r="F6267" s="2" t="e">
        <f>IF(Table2[[#This Row],[Manual Cat Value]]="",VLOOKUP(Table2[[#This Row],[Description]],'Actuals Lookup'!D:F,3,0),Table2[[#This Row],[Manual Cat Value]])</f>
        <v>#N/A</v>
      </c>
      <c r="J6267" s="2">
        <v>53</v>
      </c>
      <c r="K6267" s="2" t="b">
        <v>0</v>
      </c>
      <c r="L6267" s="2"/>
      <c r="M6267" s="2"/>
      <c r="N6267" s="4" t="s">
        <v>2259</v>
      </c>
      <c r="O6267" s="4" t="str">
        <f>LEFT(Table2[[#This Row],[Description]],75)</f>
        <v>Interactive</v>
      </c>
      <c r="P6267" s="2" t="s">
        <v>2281</v>
      </c>
    </row>
    <row r="6268" spans="1:16" hidden="1">
      <c r="A6268" s="2">
        <v>202112</v>
      </c>
      <c r="B6268" s="3">
        <v>44560</v>
      </c>
      <c r="C6268" s="2" t="s">
        <v>2274</v>
      </c>
      <c r="D6268" s="2" t="s">
        <v>994</v>
      </c>
      <c r="E6268" s="2">
        <v>-0.01</v>
      </c>
      <c r="F6268" s="2" t="e">
        <f>IF(Table2[[#This Row],[Manual Cat Value]]="",VLOOKUP(Table2[[#This Row],[Description]],'Actuals Lookup'!D:F,3,0),Table2[[#This Row],[Manual Cat Value]])</f>
        <v>#N/A</v>
      </c>
      <c r="J6268" s="2">
        <v>0.01</v>
      </c>
      <c r="K6268" s="2" t="b">
        <v>0</v>
      </c>
      <c r="L6268" s="2"/>
      <c r="M6268" s="2"/>
      <c r="N6268" s="4" t="s">
        <v>2273</v>
      </c>
      <c r="O6268" s="4" t="str">
        <f>LEFT(Table2[[#This Row],[Description]],75)</f>
        <v>Interest Paid</v>
      </c>
      <c r="P6268" s="2" t="s">
        <v>2281</v>
      </c>
    </row>
    <row r="6269" spans="1:16" hidden="1">
      <c r="A6269" s="2">
        <v>202112</v>
      </c>
      <c r="B6269" s="3">
        <v>44560</v>
      </c>
      <c r="C6269" s="2" t="s">
        <v>2265</v>
      </c>
      <c r="D6269" s="2" t="s">
        <v>995</v>
      </c>
      <c r="E6269" s="2">
        <v>-333</v>
      </c>
      <c r="F6269" s="2" t="e">
        <f>IF(Table2[[#This Row],[Manual Cat Value]]="",VLOOKUP(Table2[[#This Row],[Description]],'Actuals Lookup'!D:F,3,0),Table2[[#This Row],[Manual Cat Value]])</f>
        <v>#N/A</v>
      </c>
      <c r="J6269" s="2">
        <v>333</v>
      </c>
      <c r="K6269" s="2" t="b">
        <v>0</v>
      </c>
      <c r="L6269" s="2"/>
      <c r="M6269" s="2"/>
      <c r="N6269" s="4" t="s">
        <v>2273</v>
      </c>
      <c r="O6269" s="4" t="str">
        <f>LEFT(Table2[[#This Row],[Description]],75)</f>
        <v>Internal Revenue Service</v>
      </c>
      <c r="P6269" s="2" t="s">
        <v>2281</v>
      </c>
    </row>
    <row r="6270" spans="1:16" hidden="1">
      <c r="A6270" s="2">
        <v>202112</v>
      </c>
      <c r="B6270" s="3">
        <v>44560</v>
      </c>
      <c r="C6270" s="2" t="s">
        <v>2262</v>
      </c>
      <c r="D6270" s="2" t="s">
        <v>1018</v>
      </c>
      <c r="E6270" s="2">
        <v>5.49</v>
      </c>
      <c r="F6270" s="2" t="e">
        <f>IF(Table2[[#This Row],[Manual Cat Value]]="",VLOOKUP(Table2[[#This Row],[Description]],'Actuals Lookup'!D:F,3,0),Table2[[#This Row],[Manual Cat Value]])</f>
        <v>#N/A</v>
      </c>
      <c r="J6270" s="2">
        <v>5.49</v>
      </c>
      <c r="K6270" s="2" t="b">
        <v>0</v>
      </c>
      <c r="L6270" s="2"/>
      <c r="M6270" s="2"/>
      <c r="N6270" s="4" t="s">
        <v>2259</v>
      </c>
      <c r="O6270" s="4" t="str">
        <f>LEFT(Table2[[#This Row],[Description]],75)</f>
        <v>JOEY NOVAS EXCELSIOR MN JOEY NOVAS EXCELSIOR MN</v>
      </c>
      <c r="P6270" s="2" t="s">
        <v>2585</v>
      </c>
    </row>
    <row r="6271" spans="1:16" hidden="1">
      <c r="A6271" s="2">
        <v>202112</v>
      </c>
      <c r="B6271" s="3">
        <v>44560</v>
      </c>
      <c r="C6271" s="2" t="s">
        <v>2262</v>
      </c>
      <c r="D6271" s="2" t="s">
        <v>1018</v>
      </c>
      <c r="E6271" s="2">
        <v>65.709999999999994</v>
      </c>
      <c r="F6271" s="2" t="e">
        <f>IF(Table2[[#This Row],[Manual Cat Value]]="",VLOOKUP(Table2[[#This Row],[Description]],'Actuals Lookup'!D:F,3,0),Table2[[#This Row],[Manual Cat Value]])</f>
        <v>#N/A</v>
      </c>
      <c r="J6271" s="2">
        <v>65.709999999999994</v>
      </c>
      <c r="K6271" s="2" t="b">
        <v>0</v>
      </c>
      <c r="L6271" s="2"/>
      <c r="M6271" s="2"/>
      <c r="N6271" s="4" t="s">
        <v>2259</v>
      </c>
      <c r="O6271" s="4" t="str">
        <f>LEFT(Table2[[#This Row],[Description]],75)</f>
        <v>JOEY NOVAS EXCELSIOR MN JOEY NOVAS EXCELSIOR MN</v>
      </c>
      <c r="P6271" s="2" t="s">
        <v>2585</v>
      </c>
    </row>
    <row r="6272" spans="1:16" hidden="1">
      <c r="A6272" s="2">
        <v>202112</v>
      </c>
      <c r="B6272" s="3">
        <v>44560</v>
      </c>
      <c r="C6272" s="2" t="s">
        <v>2262</v>
      </c>
      <c r="D6272" s="2" t="s">
        <v>1079</v>
      </c>
      <c r="E6272" s="2">
        <v>21.97</v>
      </c>
      <c r="F6272" s="2" t="e">
        <f>IF(Table2[[#This Row],[Manual Cat Value]]="",VLOOKUP(Table2[[#This Row],[Description]],'Actuals Lookup'!D:F,3,0),Table2[[#This Row],[Manual Cat Value]])</f>
        <v>#N/A</v>
      </c>
      <c r="J6272" s="2">
        <v>21.97</v>
      </c>
      <c r="K6272" s="2" t="b">
        <v>0</v>
      </c>
      <c r="L6272" s="2"/>
      <c r="M6272" s="2"/>
      <c r="N6272" s="4" t="s">
        <v>2259</v>
      </c>
      <c r="O6272" s="4" t="str">
        <f>LEFT(Table2[[#This Row],[Description]],75)</f>
        <v>Kowalski's</v>
      </c>
      <c r="P6272" s="2" t="s">
        <v>2281</v>
      </c>
    </row>
    <row r="6273" spans="1:16" hidden="1">
      <c r="A6273" s="2">
        <v>202112</v>
      </c>
      <c r="B6273" s="3">
        <v>44560</v>
      </c>
      <c r="C6273" s="2" t="s">
        <v>2262</v>
      </c>
      <c r="D6273" s="2" t="s">
        <v>1083</v>
      </c>
      <c r="E6273" s="2">
        <v>47.46</v>
      </c>
      <c r="F6273" s="2" t="str">
        <f>IF(Table2[[#This Row],[Manual Cat Value]]="",VLOOKUP(Table2[[#This Row],[Description]],'Actuals Lookup'!D:F,3,0),Table2[[#This Row],[Manual Cat Value]])</f>
        <v>Transportation</v>
      </c>
      <c r="J6273" s="2">
        <v>47.46</v>
      </c>
      <c r="K6273" s="2" t="b">
        <v>0</v>
      </c>
      <c r="L6273" s="2"/>
      <c r="M6273" s="2"/>
      <c r="N6273" s="4" t="s">
        <v>2259</v>
      </c>
      <c r="O6273" s="4" t="str">
        <f>LEFT(Table2[[#This Row],[Description]],75)</f>
        <v>Kwik Trip</v>
      </c>
      <c r="P6273" s="2" t="s">
        <v>2509</v>
      </c>
    </row>
    <row r="6274" spans="1:16" hidden="1">
      <c r="A6274" s="2">
        <v>202112</v>
      </c>
      <c r="B6274" s="3">
        <v>44560</v>
      </c>
      <c r="C6274" s="2" t="s">
        <v>2262</v>
      </c>
      <c r="D6274" s="2" t="s">
        <v>1083</v>
      </c>
      <c r="E6274" s="2">
        <v>45.74</v>
      </c>
      <c r="F6274" s="2" t="str">
        <f>IF(Table2[[#This Row],[Manual Cat Value]]="",VLOOKUP(Table2[[#This Row],[Description]],'Actuals Lookup'!D:F,3,0),Table2[[#This Row],[Manual Cat Value]])</f>
        <v>Transportation</v>
      </c>
      <c r="J6274" s="2">
        <v>45.74</v>
      </c>
      <c r="K6274" s="2" t="b">
        <v>0</v>
      </c>
      <c r="L6274" s="2"/>
      <c r="M6274" s="2"/>
      <c r="N6274" s="4" t="s">
        <v>2259</v>
      </c>
      <c r="O6274" s="4" t="str">
        <f>LEFT(Table2[[#This Row],[Description]],75)</f>
        <v>Kwik Trip</v>
      </c>
      <c r="P6274" s="2" t="s">
        <v>2509</v>
      </c>
    </row>
    <row r="6275" spans="1:16" hidden="1">
      <c r="A6275" s="2">
        <v>202112</v>
      </c>
      <c r="B6275" s="3">
        <v>44560</v>
      </c>
      <c r="C6275" s="2" t="s">
        <v>2262</v>
      </c>
      <c r="D6275" s="2" t="s">
        <v>1097</v>
      </c>
      <c r="E6275" s="2">
        <v>26.52</v>
      </c>
      <c r="F6275" s="2" t="e">
        <f>IF(Table2[[#This Row],[Manual Cat Value]]="",VLOOKUP(Table2[[#This Row],[Description]],'Actuals Lookup'!D:F,3,0),Table2[[#This Row],[Manual Cat Value]])</f>
        <v>#N/A</v>
      </c>
      <c r="J6275" s="2">
        <v>26.52</v>
      </c>
      <c r="K6275" s="2" t="b">
        <v>0</v>
      </c>
      <c r="L6275" s="2"/>
      <c r="M6275" s="2"/>
      <c r="N6275" s="4" t="s">
        <v>2259</v>
      </c>
      <c r="O6275" s="4" t="str">
        <f>LEFT(Table2[[#This Row],[Description]],75)</f>
        <v>Lakewinds Food Coop LAKEWINDS CHANHASSEN CHANHASSEN MN</v>
      </c>
      <c r="P6275" s="2" t="s">
        <v>2583</v>
      </c>
    </row>
    <row r="6276" spans="1:16" hidden="1">
      <c r="A6276" s="2">
        <v>202112</v>
      </c>
      <c r="B6276" s="3">
        <v>44560</v>
      </c>
      <c r="C6276" s="2" t="s">
        <v>2262</v>
      </c>
      <c r="D6276" s="2" t="s">
        <v>1172</v>
      </c>
      <c r="E6276" s="2">
        <v>97.14</v>
      </c>
      <c r="F6276" s="2" t="e">
        <f>IF(Table2[[#This Row],[Manual Cat Value]]="",VLOOKUP(Table2[[#This Row],[Description]],'Actuals Lookup'!D:F,3,0),Table2[[#This Row],[Manual Cat Value]])</f>
        <v>#N/A</v>
      </c>
      <c r="J6276" s="2">
        <v>97.14</v>
      </c>
      <c r="K6276" s="2" t="b">
        <v>0</v>
      </c>
      <c r="L6276" s="2"/>
      <c r="M6276" s="2"/>
      <c r="N6276" s="4" t="s">
        <v>2259</v>
      </c>
      <c r="O6276" s="4" t="str">
        <f>LEFT(Table2[[#This Row],[Description]],75)</f>
        <v>MACKENTHUNSMEATSANDDELI ST BONIFACIUSMN</v>
      </c>
      <c r="P6276" s="2" t="s">
        <v>2516</v>
      </c>
    </row>
    <row r="6277" spans="1:16" hidden="1">
      <c r="A6277" s="2">
        <v>202112</v>
      </c>
      <c r="B6277" s="3">
        <v>44560</v>
      </c>
      <c r="C6277" s="2" t="s">
        <v>2262</v>
      </c>
      <c r="D6277" s="2" t="s">
        <v>1174</v>
      </c>
      <c r="E6277" s="2">
        <v>-41.13</v>
      </c>
      <c r="F6277" s="2" t="e">
        <f>IF(Table2[[#This Row],[Manual Cat Value]]="",VLOOKUP(Table2[[#This Row],[Description]],'Actuals Lookup'!D:F,3,0),Table2[[#This Row],[Manual Cat Value]])</f>
        <v>#N/A</v>
      </c>
      <c r="J6277" s="2">
        <v>41.13</v>
      </c>
      <c r="K6277" s="2" t="b">
        <v>0</v>
      </c>
      <c r="L6277" s="2"/>
      <c r="M6277" s="2"/>
      <c r="N6277" s="4" t="s">
        <v>2273</v>
      </c>
      <c r="O6277" s="4" t="str">
        <f>LEFT(Table2[[#This Row],[Description]],75)</f>
        <v>Macy's</v>
      </c>
      <c r="P6277" s="2" t="s">
        <v>2281</v>
      </c>
    </row>
    <row r="6278" spans="1:16" hidden="1">
      <c r="A6278" s="2">
        <v>202112</v>
      </c>
      <c r="B6278" s="3">
        <v>44560</v>
      </c>
      <c r="C6278" s="2" t="s">
        <v>2262</v>
      </c>
      <c r="D6278" s="2" t="s">
        <v>1194</v>
      </c>
      <c r="E6278" s="2">
        <v>30.75</v>
      </c>
      <c r="F6278" s="2" t="str">
        <f>IF(Table2[[#This Row],[Manual Cat Value]]="",VLOOKUP(Table2[[#This Row],[Description]],'Actuals Lookup'!D:F,3,0),Table2[[#This Row],[Manual Cat Value]])</f>
        <v>Groceries</v>
      </c>
      <c r="J6278" s="2">
        <v>30.75</v>
      </c>
      <c r="K6278" s="2" t="b">
        <v>0</v>
      </c>
      <c r="L6278" s="2"/>
      <c r="M6278" s="2"/>
      <c r="N6278" s="4" t="s">
        <v>2259</v>
      </c>
      <c r="O6278" s="4" t="str">
        <f>LEFT(Table2[[#This Row],[Description]],75)</f>
        <v>MGM Liquor Warehouse</v>
      </c>
      <c r="P6278" s="2" t="s">
        <v>2472</v>
      </c>
    </row>
    <row r="6279" spans="1:16" hidden="1">
      <c r="A6279" s="2">
        <v>202112</v>
      </c>
      <c r="B6279" s="3">
        <v>44560</v>
      </c>
      <c r="C6279" s="2" t="s">
        <v>2265</v>
      </c>
      <c r="D6279" s="2" t="s">
        <v>1196</v>
      </c>
      <c r="E6279" s="2">
        <v>528.79999999999995</v>
      </c>
      <c r="F6279" s="2" t="e">
        <f>IF(Table2[[#This Row],[Manual Cat Value]]="",VLOOKUP(Table2[[#This Row],[Description]],'Actuals Lookup'!D:F,3,0),Table2[[#This Row],[Manual Cat Value]])</f>
        <v>#N/A</v>
      </c>
      <c r="J6279" s="2">
        <v>528.79999999999995</v>
      </c>
      <c r="K6279" s="2" t="b">
        <v>0</v>
      </c>
      <c r="L6279" s="2"/>
      <c r="M6279" s="2"/>
      <c r="N6279" s="4" t="s">
        <v>2259</v>
      </c>
      <c r="O6279" s="4" t="str">
        <f>LEFT(Table2[[#This Row],[Description]],75)</f>
        <v>MHCHILDCARELLC TYPE DUES ID CO M MHCHILDCARELLC TYPE DUES ID CO MHCHILDCARE</v>
      </c>
      <c r="P6279" s="2" t="s">
        <v>2497</v>
      </c>
    </row>
    <row r="6280" spans="1:16" hidden="1">
      <c r="A6280" s="2">
        <v>202112</v>
      </c>
      <c r="B6280" s="3">
        <v>44560</v>
      </c>
      <c r="C6280" s="2" t="s">
        <v>2265</v>
      </c>
      <c r="D6280" s="2" t="s">
        <v>1196</v>
      </c>
      <c r="E6280" s="2">
        <v>528.79999999999995</v>
      </c>
      <c r="F6280" s="2" t="e">
        <f>IF(Table2[[#This Row],[Manual Cat Value]]="",VLOOKUP(Table2[[#This Row],[Description]],'Actuals Lookup'!D:F,3,0),Table2[[#This Row],[Manual Cat Value]])</f>
        <v>#N/A</v>
      </c>
      <c r="J6280" s="2">
        <v>528.79999999999995</v>
      </c>
      <c r="K6280" s="2" t="b">
        <v>0</v>
      </c>
      <c r="L6280" s="2"/>
      <c r="M6280" s="2"/>
      <c r="N6280" s="4" t="s">
        <v>2259</v>
      </c>
      <c r="O6280" s="4" t="str">
        <f>LEFT(Table2[[#This Row],[Description]],75)</f>
        <v>MHCHILDCARELLC TYPE DUES ID CO M MHCHILDCARELLC TYPE DUES ID CO MHCHILDCARE</v>
      </c>
      <c r="P6280" s="2" t="s">
        <v>2497</v>
      </c>
    </row>
    <row r="6281" spans="1:16" hidden="1">
      <c r="A6281" s="2">
        <v>202112</v>
      </c>
      <c r="B6281" s="3">
        <v>44560</v>
      </c>
      <c r="C6281" s="2" t="s">
        <v>2265</v>
      </c>
      <c r="D6281" s="2" t="s">
        <v>1196</v>
      </c>
      <c r="E6281" s="2">
        <v>528.79999999999995</v>
      </c>
      <c r="F6281" s="2" t="e">
        <f>IF(Table2[[#This Row],[Manual Cat Value]]="",VLOOKUP(Table2[[#This Row],[Description]],'Actuals Lookup'!D:F,3,0),Table2[[#This Row],[Manual Cat Value]])</f>
        <v>#N/A</v>
      </c>
      <c r="J6281" s="2">
        <v>528.79999999999995</v>
      </c>
      <c r="K6281" s="2" t="b">
        <v>0</v>
      </c>
      <c r="L6281" s="2"/>
      <c r="M6281" s="2"/>
      <c r="N6281" s="4" t="s">
        <v>2259</v>
      </c>
      <c r="O6281" s="4" t="str">
        <f>LEFT(Table2[[#This Row],[Description]],75)</f>
        <v>MHCHILDCARELLC TYPE DUES ID CO M MHCHILDCARELLC TYPE DUES ID CO MHCHILDCARE</v>
      </c>
      <c r="P6281" s="2" t="s">
        <v>2497</v>
      </c>
    </row>
    <row r="6282" spans="1:16" hidden="1">
      <c r="A6282" s="2">
        <v>202112</v>
      </c>
      <c r="B6282" s="3">
        <v>44560</v>
      </c>
      <c r="C6282" s="2" t="s">
        <v>2262</v>
      </c>
      <c r="D6282" s="2" t="s">
        <v>1247</v>
      </c>
      <c r="E6282" s="2">
        <v>46.47</v>
      </c>
      <c r="F6282" s="2" t="e">
        <f>IF(Table2[[#This Row],[Manual Cat Value]]="",VLOOKUP(Table2[[#This Row],[Description]],'Actuals Lookup'!D:F,3,0),Table2[[#This Row],[Manual Cat Value]])</f>
        <v>#N/A</v>
      </c>
      <c r="J6282" s="2">
        <v>46.47</v>
      </c>
      <c r="K6282" s="2" t="b">
        <v>0</v>
      </c>
      <c r="L6282" s="2"/>
      <c r="M6282" s="2"/>
      <c r="N6282" s="4" t="s">
        <v>2259</v>
      </c>
      <c r="O6282" s="4" t="str">
        <f>LEFT(Table2[[#This Row],[Description]],75)</f>
        <v>MICHAEL MURPHYS OKLAHOMA CITYOK</v>
      </c>
      <c r="P6282" s="2" t="s">
        <v>2281</v>
      </c>
    </row>
    <row r="6283" spans="1:16" hidden="1">
      <c r="A6283" s="2">
        <v>202112</v>
      </c>
      <c r="B6283" s="3">
        <v>44560</v>
      </c>
      <c r="C6283" s="2" t="s">
        <v>2262</v>
      </c>
      <c r="D6283" s="2" t="s">
        <v>1248</v>
      </c>
      <c r="E6283" s="2">
        <v>26.86</v>
      </c>
      <c r="F6283" s="2" t="e">
        <f>IF(Table2[[#This Row],[Manual Cat Value]]="",VLOOKUP(Table2[[#This Row],[Description]],'Actuals Lookup'!D:F,3,0),Table2[[#This Row],[Manual Cat Value]])</f>
        <v>#N/A</v>
      </c>
      <c r="J6283" s="2">
        <v>26.86</v>
      </c>
      <c r="K6283" s="2" t="b">
        <v>0</v>
      </c>
      <c r="L6283" s="2"/>
      <c r="M6283" s="2"/>
      <c r="N6283" s="4" t="s">
        <v>2259</v>
      </c>
      <c r="O6283" s="4" t="str">
        <f>LEFT(Table2[[#This Row],[Description]],75)</f>
        <v>Michaels</v>
      </c>
      <c r="P6283" s="2" t="s">
        <v>2281</v>
      </c>
    </row>
    <row r="6284" spans="1:16" hidden="1">
      <c r="A6284" s="2">
        <v>202112</v>
      </c>
      <c r="B6284" s="3">
        <v>44560</v>
      </c>
      <c r="C6284" s="2" t="s">
        <v>2262</v>
      </c>
      <c r="D6284" s="2" t="s">
        <v>1252</v>
      </c>
      <c r="E6284" s="2">
        <v>64.2</v>
      </c>
      <c r="F6284" s="2" t="e">
        <f>IF(Table2[[#This Row],[Manual Cat Value]]="",VLOOKUP(Table2[[#This Row],[Description]],'Actuals Lookup'!D:F,3,0),Table2[[#This Row],[Manual Cat Value]])</f>
        <v>#N/A</v>
      </c>
      <c r="J6284" s="2">
        <v>64.2</v>
      </c>
      <c r="K6284" s="2" t="b">
        <v>0</v>
      </c>
      <c r="L6284" s="2"/>
      <c r="M6284" s="2"/>
      <c r="N6284" s="4" t="s">
        <v>2259</v>
      </c>
      <c r="O6284" s="4" t="str">
        <f>LEFT(Table2[[#This Row],[Description]],75)</f>
        <v>Milano</v>
      </c>
      <c r="P6284" s="2" t="s">
        <v>2281</v>
      </c>
    </row>
    <row r="6285" spans="1:16" hidden="1">
      <c r="A6285" s="2">
        <v>202112</v>
      </c>
      <c r="B6285" s="3">
        <v>44560</v>
      </c>
      <c r="C6285" s="2" t="s">
        <v>2265</v>
      </c>
      <c r="D6285" s="2" t="s">
        <v>1310</v>
      </c>
      <c r="E6285" s="2">
        <v>200</v>
      </c>
      <c r="F6285" s="2" t="e">
        <f>IF(Table2[[#This Row],[Manual Cat Value]]="",VLOOKUP(Table2[[#This Row],[Description]],'Actuals Lookup'!D:F,3,0),Table2[[#This Row],[Manual Cat Value]])</f>
        <v>#N/A</v>
      </c>
      <c r="J6285" s="2">
        <v>200</v>
      </c>
      <c r="K6285" s="2" t="b">
        <v>0</v>
      </c>
      <c r="L6285" s="2"/>
      <c r="M6285" s="2"/>
      <c r="N6285" s="4" t="s">
        <v>2259</v>
      </c>
      <c r="O6285" s="4" t="str">
        <f>LEFT(Table2[[#This Row],[Description]],75)</f>
        <v>MN DIR ACH TYPE CONTRIB ID CO MN MN DIR ACH TYPE CONTRIB ID CO MN DIR ACH N</v>
      </c>
      <c r="P6285" s="2" t="s">
        <v>2469</v>
      </c>
    </row>
    <row r="6286" spans="1:16" hidden="1">
      <c r="A6286" s="2">
        <v>202112</v>
      </c>
      <c r="B6286" s="3">
        <v>44560</v>
      </c>
      <c r="C6286" s="2" t="s">
        <v>2262</v>
      </c>
      <c r="D6286" s="2" t="s">
        <v>1318</v>
      </c>
      <c r="E6286" s="2">
        <v>20</v>
      </c>
      <c r="F6286" s="2" t="e">
        <f>IF(Table2[[#This Row],[Manual Cat Value]]="",VLOOKUP(Table2[[#This Row],[Description]],'Actuals Lookup'!D:F,3,0),Table2[[#This Row],[Manual Cat Value]])</f>
        <v>#N/A</v>
      </c>
      <c r="J6286" s="2">
        <v>20</v>
      </c>
      <c r="K6286" s="2" t="b">
        <v>0</v>
      </c>
      <c r="L6286" s="2"/>
      <c r="M6286" s="2"/>
      <c r="N6286" s="4" t="s">
        <v>2259</v>
      </c>
      <c r="O6286" s="4" t="str">
        <f>LEFT(Table2[[#This Row],[Description]],75)</f>
        <v>MN LAND ARBORETUM WWWARBORETUMMN</v>
      </c>
      <c r="P6286" s="2" t="s">
        <v>2281</v>
      </c>
    </row>
    <row r="6287" spans="1:16" hidden="1">
      <c r="A6287" s="2">
        <v>202112</v>
      </c>
      <c r="B6287" s="3">
        <v>44560</v>
      </c>
      <c r="C6287" s="2" t="s">
        <v>2262</v>
      </c>
      <c r="D6287" s="2" t="s">
        <v>1321</v>
      </c>
      <c r="E6287" s="2">
        <v>-35.81</v>
      </c>
      <c r="F6287" s="2" t="e">
        <f>IF(Table2[[#This Row],[Manual Cat Value]]="",VLOOKUP(Table2[[#This Row],[Description]],'Actuals Lookup'!D:F,3,0),Table2[[#This Row],[Manual Cat Value]])</f>
        <v>#N/A</v>
      </c>
      <c r="J6287" s="2">
        <v>35.81</v>
      </c>
      <c r="K6287" s="2" t="b">
        <v>0</v>
      </c>
      <c r="L6287" s="2"/>
      <c r="M6287" s="2"/>
      <c r="N6287" s="4" t="s">
        <v>2273</v>
      </c>
      <c r="O6287" s="4" t="str">
        <f>LEFT(Table2[[#This Row],[Description]],75)</f>
        <v>Modsycom Wwwmodsycomca</v>
      </c>
      <c r="P6287" s="2" t="s">
        <v>2281</v>
      </c>
    </row>
    <row r="6288" spans="1:16" hidden="1">
      <c r="A6288" s="2">
        <v>202112</v>
      </c>
      <c r="B6288" s="3">
        <v>44560</v>
      </c>
      <c r="C6288" s="2" t="s">
        <v>2262</v>
      </c>
      <c r="D6288" s="2" t="s">
        <v>1322</v>
      </c>
      <c r="E6288" s="2">
        <v>-50.21</v>
      </c>
      <c r="F6288" s="2" t="e">
        <f>IF(Table2[[#This Row],[Manual Cat Value]]="",VLOOKUP(Table2[[#This Row],[Description]],'Actuals Lookup'!D:F,3,0),Table2[[#This Row],[Manual Cat Value]])</f>
        <v>#N/A</v>
      </c>
      <c r="J6288" s="2">
        <v>50.21</v>
      </c>
      <c r="K6288" s="2" t="b">
        <v>0</v>
      </c>
      <c r="L6288" s="2"/>
      <c r="M6288" s="2"/>
      <c r="N6288" s="4" t="s">
        <v>2273</v>
      </c>
      <c r="O6288" s="4" t="str">
        <f>LEFT(Table2[[#This Row],[Description]],75)</f>
        <v>Modsycom Wwwmodsycomca Modsycom</v>
      </c>
      <c r="P6288" s="2" t="s">
        <v>2281</v>
      </c>
    </row>
    <row r="6289" spans="1:16" hidden="1">
      <c r="A6289" s="2">
        <v>202112</v>
      </c>
      <c r="B6289" s="3">
        <v>44560</v>
      </c>
      <c r="C6289" s="2" t="s">
        <v>2262</v>
      </c>
      <c r="D6289" s="2" t="s">
        <v>1322</v>
      </c>
      <c r="E6289" s="2">
        <v>-86.7</v>
      </c>
      <c r="F6289" s="2" t="e">
        <f>IF(Table2[[#This Row],[Manual Cat Value]]="",VLOOKUP(Table2[[#This Row],[Description]],'Actuals Lookup'!D:F,3,0),Table2[[#This Row],[Manual Cat Value]])</f>
        <v>#N/A</v>
      </c>
      <c r="J6289" s="2">
        <v>86.7</v>
      </c>
      <c r="K6289" s="2" t="b">
        <v>0</v>
      </c>
      <c r="L6289" s="2"/>
      <c r="M6289" s="2"/>
      <c r="N6289" s="4" t="s">
        <v>2273</v>
      </c>
      <c r="O6289" s="4" t="str">
        <f>LEFT(Table2[[#This Row],[Description]],75)</f>
        <v>Modsycom Wwwmodsycomca Modsycom</v>
      </c>
      <c r="P6289" s="2" t="s">
        <v>2281</v>
      </c>
    </row>
    <row r="6290" spans="1:16" hidden="1">
      <c r="A6290" s="2">
        <v>202112</v>
      </c>
      <c r="B6290" s="3">
        <v>44560</v>
      </c>
      <c r="C6290" s="2" t="s">
        <v>2262</v>
      </c>
      <c r="D6290" s="2" t="s">
        <v>1344</v>
      </c>
      <c r="E6290" s="2">
        <v>257.39999999999998</v>
      </c>
      <c r="F6290" s="2" t="e">
        <f>IF(Table2[[#This Row],[Manual Cat Value]]="",VLOOKUP(Table2[[#This Row],[Description]],'Actuals Lookup'!D:F,3,0),Table2[[#This Row],[Manual Cat Value]])</f>
        <v>#N/A</v>
      </c>
      <c r="J6290" s="2">
        <v>257.39999999999998</v>
      </c>
      <c r="K6290" s="2" t="b">
        <v>0</v>
      </c>
      <c r="L6290" s="2"/>
      <c r="M6290" s="2"/>
      <c r="N6290" s="4" t="s">
        <v>2259</v>
      </c>
      <c r="O6290" s="4" t="str">
        <f>LEFT(Table2[[#This Row],[Description]],75)</f>
        <v>National Car</v>
      </c>
      <c r="P6290" s="2" t="s">
        <v>2281</v>
      </c>
    </row>
    <row r="6291" spans="1:16" hidden="1">
      <c r="A6291" s="2">
        <v>202112</v>
      </c>
      <c r="B6291" s="3">
        <v>44560</v>
      </c>
      <c r="C6291" s="2" t="s">
        <v>2262</v>
      </c>
      <c r="D6291" s="2" t="s">
        <v>1348</v>
      </c>
      <c r="E6291" s="2">
        <v>105</v>
      </c>
      <c r="F6291" s="2" t="e">
        <f>IF(Table2[[#This Row],[Manual Cat Value]]="",VLOOKUP(Table2[[#This Row],[Description]],'Actuals Lookup'!D:F,3,0),Table2[[#This Row],[Manual Cat Value]])</f>
        <v>#N/A</v>
      </c>
      <c r="J6291" s="2">
        <v>105</v>
      </c>
      <c r="K6291" s="2" t="b">
        <v>0</v>
      </c>
      <c r="L6291" s="2"/>
      <c r="M6291" s="2"/>
      <c r="N6291" s="4" t="s">
        <v>2259</v>
      </c>
      <c r="O6291" s="4" t="str">
        <f>LEFT(Table2[[#This Row],[Description]],75)</f>
        <v>NESPRESSO USA 8886377737 NY</v>
      </c>
      <c r="P6291" s="2" t="s">
        <v>2281</v>
      </c>
    </row>
    <row r="6292" spans="1:16" hidden="1">
      <c r="A6292" s="2">
        <v>202112</v>
      </c>
      <c r="B6292" s="3">
        <v>44560</v>
      </c>
      <c r="C6292" s="2" t="s">
        <v>2447</v>
      </c>
      <c r="D6292" s="2" t="s">
        <v>1350</v>
      </c>
      <c r="E6292" s="2">
        <v>8.99</v>
      </c>
      <c r="F6292" s="2" t="str">
        <f>IF(Table2[[#This Row],[Manual Cat Value]]="",VLOOKUP(Table2[[#This Row],[Description]],'Actuals Lookup'!D:F,3,0),Table2[[#This Row],[Manual Cat Value]])</f>
        <v>Utilities</v>
      </c>
      <c r="J6292" s="2">
        <v>8.99</v>
      </c>
      <c r="K6292" s="2" t="b">
        <v>0</v>
      </c>
      <c r="L6292" s="2"/>
      <c r="M6292" s="2"/>
      <c r="N6292" s="4" t="s">
        <v>2259</v>
      </c>
      <c r="O6292" s="4" t="str">
        <f>LEFT(Table2[[#This Row],[Description]],75)</f>
        <v>Netflix</v>
      </c>
      <c r="P6292" s="2" t="s">
        <v>2306</v>
      </c>
    </row>
    <row r="6293" spans="1:16" hidden="1">
      <c r="A6293" s="2">
        <v>202112</v>
      </c>
      <c r="B6293" s="3">
        <v>44560</v>
      </c>
      <c r="C6293" s="2" t="s">
        <v>2262</v>
      </c>
      <c r="D6293" s="2" t="s">
        <v>1364</v>
      </c>
      <c r="E6293" s="2">
        <v>44.66</v>
      </c>
      <c r="F6293" s="2" t="e">
        <f>IF(Table2[[#This Row],[Manual Cat Value]]="",VLOOKUP(Table2[[#This Row],[Description]],'Actuals Lookup'!D:F,3,0),Table2[[#This Row],[Manual Cat Value]])</f>
        <v>#N/A</v>
      </c>
      <c r="J6293" s="2">
        <v>44.66</v>
      </c>
      <c r="K6293" s="2" t="b">
        <v>0</v>
      </c>
      <c r="L6293" s="2"/>
      <c r="M6293" s="2"/>
      <c r="N6293" s="4" t="s">
        <v>2259</v>
      </c>
      <c r="O6293" s="4" t="str">
        <f>LEFT(Table2[[#This Row],[Description]],75)</f>
        <v>NORTH COOP NORTH COOP sburks827livMN</v>
      </c>
      <c r="P6293" s="2" t="s">
        <v>2480</v>
      </c>
    </row>
    <row r="6294" spans="1:16" hidden="1">
      <c r="A6294" s="2">
        <v>202112</v>
      </c>
      <c r="B6294" s="3">
        <v>44560</v>
      </c>
      <c r="C6294" s="2" t="s">
        <v>2262</v>
      </c>
      <c r="D6294" s="2" t="s">
        <v>1369</v>
      </c>
      <c r="E6294" s="2">
        <v>49</v>
      </c>
      <c r="F6294" s="2" t="e">
        <f>IF(Table2[[#This Row],[Manual Cat Value]]="",VLOOKUP(Table2[[#This Row],[Description]],'Actuals Lookup'!D:F,3,0),Table2[[#This Row],[Manual Cat Value]])</f>
        <v>#N/A</v>
      </c>
      <c r="J6294" s="2">
        <v>49</v>
      </c>
      <c r="K6294" s="2" t="b">
        <v>0</v>
      </c>
      <c r="L6294" s="2"/>
      <c r="M6294" s="2"/>
      <c r="N6294" s="4" t="s">
        <v>2259</v>
      </c>
      <c r="O6294" s="4" t="str">
        <f>LEFT(Table2[[#This Row],[Description]],75)</f>
        <v>North Face</v>
      </c>
      <c r="P6294" s="2" t="s">
        <v>2524</v>
      </c>
    </row>
    <row r="6295" spans="1:16" hidden="1">
      <c r="A6295" s="2">
        <v>202112</v>
      </c>
      <c r="B6295" s="3">
        <v>44560</v>
      </c>
      <c r="C6295" s="2" t="s">
        <v>2262</v>
      </c>
      <c r="D6295" s="2" t="s">
        <v>1377</v>
      </c>
      <c r="E6295" s="2">
        <v>60.01</v>
      </c>
      <c r="F6295" s="2" t="e">
        <f>IF(Table2[[#This Row],[Manual Cat Value]]="",VLOOKUP(Table2[[#This Row],[Description]],'Actuals Lookup'!D:F,3,0),Table2[[#This Row],[Manual Cat Value]])</f>
        <v>#N/A</v>
      </c>
      <c r="J6295" s="2">
        <v>60.01</v>
      </c>
      <c r="K6295" s="2" t="b">
        <v>0</v>
      </c>
      <c r="L6295" s="2"/>
      <c r="M6295" s="2"/>
      <c r="N6295" s="4" t="s">
        <v>2259</v>
      </c>
      <c r="O6295" s="4" t="str">
        <f>LEFT(Table2[[#This Row],[Description]],75)</f>
        <v>of Minnesota</v>
      </c>
      <c r="P6295" s="2" t="s">
        <v>2281</v>
      </c>
    </row>
    <row r="6296" spans="1:16" hidden="1">
      <c r="A6296" s="2">
        <v>202112</v>
      </c>
      <c r="B6296" s="3">
        <v>44560</v>
      </c>
      <c r="C6296" s="2" t="s">
        <v>2262</v>
      </c>
      <c r="D6296" s="2" t="s">
        <v>1396</v>
      </c>
      <c r="E6296" s="2">
        <v>23.62</v>
      </c>
      <c r="F6296" s="2" t="str">
        <f>IF(Table2[[#This Row],[Manual Cat Value]]="",VLOOKUP(Table2[[#This Row],[Description]],'Actuals Lookup'!D:F,3,0),Table2[[#This Row],[Manual Cat Value]])</f>
        <v>Restaurants</v>
      </c>
      <c r="J6296" s="2">
        <v>23.62</v>
      </c>
      <c r="K6296" s="2" t="b">
        <v>0</v>
      </c>
      <c r="L6296" s="2"/>
      <c r="M6296" s="2"/>
      <c r="N6296" s="4" t="s">
        <v>2259</v>
      </c>
      <c r="O6296" s="4" t="str">
        <f>LEFT(Table2[[#This Row],[Description]],75)</f>
        <v>Papa Murphy's</v>
      </c>
      <c r="P6296" s="2" t="s">
        <v>2473</v>
      </c>
    </row>
    <row r="6297" spans="1:16" hidden="1">
      <c r="A6297" s="2">
        <v>202112</v>
      </c>
      <c r="B6297" s="3">
        <v>44560</v>
      </c>
      <c r="C6297" s="2" t="s">
        <v>2262</v>
      </c>
      <c r="D6297" s="2" t="s">
        <v>1402</v>
      </c>
      <c r="E6297" s="2">
        <v>44.2</v>
      </c>
      <c r="F6297" s="2" t="e">
        <f>IF(Table2[[#This Row],[Manual Cat Value]]="",VLOOKUP(Table2[[#This Row],[Description]],'Actuals Lookup'!D:F,3,0),Table2[[#This Row],[Manual Cat Value]])</f>
        <v>#N/A</v>
      </c>
      <c r="J6297" s="2">
        <v>44.2</v>
      </c>
      <c r="K6297" s="2" t="b">
        <v>0</v>
      </c>
      <c r="L6297" s="2"/>
      <c r="M6297" s="2"/>
      <c r="N6297" s="4" t="s">
        <v>2259</v>
      </c>
      <c r="O6297" s="4" t="str">
        <f>LEFT(Table2[[#This Row],[Description]],75)</f>
        <v>Parking Management Corp</v>
      </c>
      <c r="P6297" s="2" t="s">
        <v>2281</v>
      </c>
    </row>
    <row r="6298" spans="1:16" hidden="1">
      <c r="A6298" s="2">
        <v>202112</v>
      </c>
      <c r="B6298" s="3">
        <v>44560</v>
      </c>
      <c r="C6298" s="2" t="s">
        <v>2262</v>
      </c>
      <c r="D6298" s="2" t="s">
        <v>1402</v>
      </c>
      <c r="E6298" s="2">
        <v>44.2</v>
      </c>
      <c r="F6298" s="2" t="e">
        <f>IF(Table2[[#This Row],[Manual Cat Value]]="",VLOOKUP(Table2[[#This Row],[Description]],'Actuals Lookup'!D:F,3,0),Table2[[#This Row],[Manual Cat Value]])</f>
        <v>#N/A</v>
      </c>
      <c r="J6298" s="2">
        <v>44.2</v>
      </c>
      <c r="K6298" s="2" t="b">
        <v>0</v>
      </c>
      <c r="L6298" s="2"/>
      <c r="M6298" s="2"/>
      <c r="N6298" s="4" t="s">
        <v>2259</v>
      </c>
      <c r="O6298" s="4" t="str">
        <f>LEFT(Table2[[#This Row],[Description]],75)</f>
        <v>Parking Management Corp</v>
      </c>
      <c r="P6298" s="2" t="s">
        <v>2281</v>
      </c>
    </row>
    <row r="6299" spans="1:16" hidden="1">
      <c r="A6299" s="2">
        <v>202112</v>
      </c>
      <c r="B6299" s="3">
        <v>44560</v>
      </c>
      <c r="C6299" s="2" t="s">
        <v>2265</v>
      </c>
      <c r="D6299" s="2" t="s">
        <v>1471</v>
      </c>
      <c r="E6299" s="2">
        <v>43.2</v>
      </c>
      <c r="F6299" s="2" t="str">
        <f>IF(Table2[[#This Row],[Manual Cat Value]]="",VLOOKUP(Table2[[#This Row],[Description]],'Actuals Lookup'!D:F,3,0),Table2[[#This Row],[Manual Cat Value]])</f>
        <v>Shopping</v>
      </c>
      <c r="J6299" s="2">
        <v>43.2</v>
      </c>
      <c r="K6299" s="2" t="b">
        <v>0</v>
      </c>
      <c r="L6299" s="2"/>
      <c r="M6299" s="2"/>
      <c r="N6299" s="4" t="s">
        <v>2259</v>
      </c>
      <c r="O6299" s="4" t="str">
        <f>LEFT(Table2[[#This Row],[Description]],75)</f>
        <v>PayPal</v>
      </c>
      <c r="P6299" s="2" t="s">
        <v>2322</v>
      </c>
    </row>
    <row r="6300" spans="1:16" hidden="1">
      <c r="A6300" s="2">
        <v>202112</v>
      </c>
      <c r="B6300" s="3">
        <v>44560</v>
      </c>
      <c r="C6300" s="2" t="s">
        <v>2265</v>
      </c>
      <c r="D6300" s="2" t="s">
        <v>1471</v>
      </c>
      <c r="E6300" s="2">
        <v>0.99</v>
      </c>
      <c r="F6300" s="2" t="str">
        <f>IF(Table2[[#This Row],[Manual Cat Value]]="",VLOOKUP(Table2[[#This Row],[Description]],'Actuals Lookup'!D:F,3,0),Table2[[#This Row],[Manual Cat Value]])</f>
        <v>Shopping</v>
      </c>
      <c r="J6300" s="2">
        <v>0.99</v>
      </c>
      <c r="K6300" s="2" t="b">
        <v>0</v>
      </c>
      <c r="L6300" s="2"/>
      <c r="M6300" s="2"/>
      <c r="N6300" s="4" t="s">
        <v>2259</v>
      </c>
      <c r="O6300" s="4" t="str">
        <f>LEFT(Table2[[#This Row],[Description]],75)</f>
        <v>PayPal</v>
      </c>
      <c r="P6300" s="2" t="s">
        <v>2322</v>
      </c>
    </row>
    <row r="6301" spans="1:16" hidden="1">
      <c r="A6301" s="2">
        <v>202112</v>
      </c>
      <c r="B6301" s="3">
        <v>44560</v>
      </c>
      <c r="C6301" s="2" t="s">
        <v>2265</v>
      </c>
      <c r="D6301" s="2" t="s">
        <v>1471</v>
      </c>
      <c r="E6301" s="2">
        <v>0.99</v>
      </c>
      <c r="F6301" s="2" t="str">
        <f>IF(Table2[[#This Row],[Manual Cat Value]]="",VLOOKUP(Table2[[#This Row],[Description]],'Actuals Lookup'!D:F,3,0),Table2[[#This Row],[Manual Cat Value]])</f>
        <v>Shopping</v>
      </c>
      <c r="J6301" s="2">
        <v>0.99</v>
      </c>
      <c r="K6301" s="2" t="b">
        <v>0</v>
      </c>
      <c r="L6301" s="2"/>
      <c r="M6301" s="2"/>
      <c r="N6301" s="4" t="s">
        <v>2259</v>
      </c>
      <c r="O6301" s="4" t="str">
        <f>LEFT(Table2[[#This Row],[Description]],75)</f>
        <v>PayPal</v>
      </c>
      <c r="P6301" s="2" t="s">
        <v>2322</v>
      </c>
    </row>
    <row r="6302" spans="1:16" hidden="1">
      <c r="A6302" s="2">
        <v>202112</v>
      </c>
      <c r="B6302" s="3">
        <v>44560</v>
      </c>
      <c r="C6302" s="2" t="s">
        <v>2262</v>
      </c>
      <c r="D6302" s="2" t="s">
        <v>1488</v>
      </c>
      <c r="E6302" s="2">
        <v>57.98</v>
      </c>
      <c r="F6302" s="2" t="e">
        <f>IF(Table2[[#This Row],[Manual Cat Value]]="",VLOOKUP(Table2[[#This Row],[Description]],'Actuals Lookup'!D:F,3,0),Table2[[#This Row],[Manual Cat Value]])</f>
        <v>#N/A</v>
      </c>
      <c r="J6302" s="2">
        <v>57.98</v>
      </c>
      <c r="K6302" s="2" t="b">
        <v>0</v>
      </c>
      <c r="L6302" s="2"/>
      <c r="M6302" s="2"/>
      <c r="N6302" s="4" t="s">
        <v>2259</v>
      </c>
      <c r="O6302" s="4" t="str">
        <f>LEFT(Table2[[#This Row],[Description]],75)</f>
        <v>PHOTODAY ORDER HTTPSWWWPHOTFL</v>
      </c>
      <c r="P6302" s="2" t="s">
        <v>2281</v>
      </c>
    </row>
    <row r="6303" spans="1:16" hidden="1">
      <c r="A6303" s="2">
        <v>202112</v>
      </c>
      <c r="B6303" s="3">
        <v>44560</v>
      </c>
      <c r="C6303" s="2" t="s">
        <v>2447</v>
      </c>
      <c r="D6303" s="2" t="s">
        <v>1506</v>
      </c>
      <c r="E6303" s="2">
        <v>28.95</v>
      </c>
      <c r="F6303" s="2" t="e">
        <f>IF(Table2[[#This Row],[Manual Cat Value]]="",VLOOKUP(Table2[[#This Row],[Description]],'Actuals Lookup'!D:F,3,0),Table2[[#This Row],[Manual Cat Value]])</f>
        <v>#N/A</v>
      </c>
      <c r="J6303" s="2">
        <v>28.95</v>
      </c>
      <c r="K6303" s="2" t="b">
        <v>0</v>
      </c>
      <c r="L6303" s="2"/>
      <c r="M6303" s="2"/>
      <c r="N6303" s="4" t="s">
        <v>2259</v>
      </c>
      <c r="O6303" s="4" t="str">
        <f>LEFT(Table2[[#This Row],[Description]],75)</f>
        <v>PORTSIDE STILLWATER MN</v>
      </c>
      <c r="P6303" s="2" t="s">
        <v>2281</v>
      </c>
    </row>
    <row r="6304" spans="1:16" hidden="1">
      <c r="A6304" s="2">
        <v>202112</v>
      </c>
      <c r="B6304" s="3">
        <v>44560</v>
      </c>
      <c r="C6304" s="2" t="s">
        <v>2262</v>
      </c>
      <c r="D6304" s="2" t="s">
        <v>1580</v>
      </c>
      <c r="E6304" s="2">
        <v>84.03</v>
      </c>
      <c r="F6304" s="2" t="e">
        <f>IF(Table2[[#This Row],[Manual Cat Value]]="",VLOOKUP(Table2[[#This Row],[Description]],'Actuals Lookup'!D:F,3,0),Table2[[#This Row],[Manual Cat Value]])</f>
        <v>#N/A</v>
      </c>
      <c r="J6304" s="2">
        <v>84.03</v>
      </c>
      <c r="K6304" s="2" t="b">
        <v>0</v>
      </c>
      <c r="L6304" s="2"/>
      <c r="M6304" s="2"/>
      <c r="N6304" s="4" t="s">
        <v>2259</v>
      </c>
      <c r="O6304" s="4" t="str">
        <f>LEFT(Table2[[#This Row],[Description]],75)</f>
        <v>Revival</v>
      </c>
      <c r="P6304" s="2" t="s">
        <v>2281</v>
      </c>
    </row>
    <row r="6305" spans="1:16" hidden="1">
      <c r="A6305" s="2">
        <v>202112</v>
      </c>
      <c r="B6305" s="3">
        <v>44560</v>
      </c>
      <c r="C6305" s="2" t="s">
        <v>2317</v>
      </c>
      <c r="D6305" s="2" t="s">
        <v>1632</v>
      </c>
      <c r="E6305" s="2">
        <v>-0.19</v>
      </c>
      <c r="F6305" s="2" t="e">
        <f>IF(Table2[[#This Row],[Manual Cat Value]]="",VLOOKUP(Table2[[#This Row],[Description]],'Actuals Lookup'!D:F,3,0),Table2[[#This Row],[Manual Cat Value]])</f>
        <v>#N/A</v>
      </c>
      <c r="J6305" s="2">
        <v>0.19</v>
      </c>
      <c r="K6305" s="2" t="b">
        <v>0</v>
      </c>
      <c r="L6305" s="2"/>
      <c r="M6305" s="2"/>
      <c r="N6305" s="4" t="s">
        <v>2273</v>
      </c>
      <c r="O6305" s="4" t="str">
        <f>LEFT(Table2[[#This Row],[Description]],75)</f>
        <v>SCHWAB S&amp;P 500 INDEX</v>
      </c>
      <c r="P6305" s="2" t="s">
        <v>2385</v>
      </c>
    </row>
    <row r="6306" spans="1:16" hidden="1">
      <c r="A6306" s="2">
        <v>202112</v>
      </c>
      <c r="B6306" s="3">
        <v>44560</v>
      </c>
      <c r="C6306" s="2" t="s">
        <v>2317</v>
      </c>
      <c r="D6306" s="2" t="s">
        <v>1632</v>
      </c>
      <c r="E6306" s="2">
        <v>0.19</v>
      </c>
      <c r="F6306" s="2" t="e">
        <f>IF(Table2[[#This Row],[Manual Cat Value]]="",VLOOKUP(Table2[[#This Row],[Description]],'Actuals Lookup'!D:F,3,0),Table2[[#This Row],[Manual Cat Value]])</f>
        <v>#N/A</v>
      </c>
      <c r="J6306" s="2">
        <v>0.19</v>
      </c>
      <c r="K6306" s="2" t="b">
        <v>0</v>
      </c>
      <c r="L6306" s="2"/>
      <c r="M6306" s="2"/>
      <c r="N6306" s="4" t="s">
        <v>2259</v>
      </c>
      <c r="O6306" s="4" t="str">
        <f>LEFT(Table2[[#This Row],[Description]],75)</f>
        <v>SCHWAB S&amp;P 500 INDEX</v>
      </c>
      <c r="P6306" s="2" t="s">
        <v>2385</v>
      </c>
    </row>
    <row r="6307" spans="1:16" hidden="1">
      <c r="A6307" s="2">
        <v>202112</v>
      </c>
      <c r="B6307" s="3">
        <v>44560</v>
      </c>
      <c r="C6307" s="2" t="s">
        <v>2434</v>
      </c>
      <c r="D6307" s="2" t="s">
        <v>1632</v>
      </c>
      <c r="E6307" s="2">
        <v>-1.06</v>
      </c>
      <c r="F6307" s="2" t="e">
        <f>IF(Table2[[#This Row],[Manual Cat Value]]="",VLOOKUP(Table2[[#This Row],[Description]],'Actuals Lookup'!D:F,3,0),Table2[[#This Row],[Manual Cat Value]])</f>
        <v>#N/A</v>
      </c>
      <c r="J6307" s="2">
        <v>1.06</v>
      </c>
      <c r="K6307" s="2" t="b">
        <v>0</v>
      </c>
      <c r="L6307" s="2"/>
      <c r="M6307" s="2"/>
      <c r="N6307" s="4" t="s">
        <v>2273</v>
      </c>
      <c r="O6307" s="4" t="str">
        <f>LEFT(Table2[[#This Row],[Description]],75)</f>
        <v>SCHWAB S&amp;P 500 INDEX</v>
      </c>
      <c r="P6307" s="2" t="s">
        <v>2281</v>
      </c>
    </row>
    <row r="6308" spans="1:16" hidden="1">
      <c r="A6308" s="2">
        <v>202112</v>
      </c>
      <c r="B6308" s="3">
        <v>44560</v>
      </c>
      <c r="C6308" s="2" t="s">
        <v>2434</v>
      </c>
      <c r="D6308" s="2" t="s">
        <v>1632</v>
      </c>
      <c r="E6308" s="2">
        <v>1.06</v>
      </c>
      <c r="F6308" s="2" t="e">
        <f>IF(Table2[[#This Row],[Manual Cat Value]]="",VLOOKUP(Table2[[#This Row],[Description]],'Actuals Lookup'!D:F,3,0),Table2[[#This Row],[Manual Cat Value]])</f>
        <v>#N/A</v>
      </c>
      <c r="J6308" s="2">
        <v>1.06</v>
      </c>
      <c r="K6308" s="2" t="b">
        <v>0</v>
      </c>
      <c r="L6308" s="2"/>
      <c r="M6308" s="2"/>
      <c r="N6308" s="4" t="s">
        <v>2259</v>
      </c>
      <c r="O6308" s="4" t="str">
        <f>LEFT(Table2[[#This Row],[Description]],75)</f>
        <v>SCHWAB S&amp;P 500 INDEX</v>
      </c>
      <c r="P6308" s="2" t="s">
        <v>2281</v>
      </c>
    </row>
    <row r="6309" spans="1:16" hidden="1">
      <c r="A6309" s="2">
        <v>202112</v>
      </c>
      <c r="B6309" s="3">
        <v>44560</v>
      </c>
      <c r="C6309" s="2" t="s">
        <v>2317</v>
      </c>
      <c r="D6309" s="2" t="s">
        <v>1632</v>
      </c>
      <c r="E6309" s="2">
        <v>-2.36</v>
      </c>
      <c r="F6309" s="2" t="e">
        <f>IF(Table2[[#This Row],[Manual Cat Value]]="",VLOOKUP(Table2[[#This Row],[Description]],'Actuals Lookup'!D:F,3,0),Table2[[#This Row],[Manual Cat Value]])</f>
        <v>#N/A</v>
      </c>
      <c r="J6309" s="2">
        <v>2.36</v>
      </c>
      <c r="K6309" s="2" t="b">
        <v>0</v>
      </c>
      <c r="L6309" s="2"/>
      <c r="M6309" s="2"/>
      <c r="N6309" s="4" t="s">
        <v>2273</v>
      </c>
      <c r="O6309" s="4" t="str">
        <f>LEFT(Table2[[#This Row],[Description]],75)</f>
        <v>SCHWAB S&amp;P 500 INDEX</v>
      </c>
      <c r="P6309" s="2" t="s">
        <v>2385</v>
      </c>
    </row>
    <row r="6310" spans="1:16" hidden="1">
      <c r="A6310" s="2">
        <v>202112</v>
      </c>
      <c r="B6310" s="3">
        <v>44560</v>
      </c>
      <c r="C6310" s="2" t="s">
        <v>2317</v>
      </c>
      <c r="D6310" s="2" t="s">
        <v>1632</v>
      </c>
      <c r="E6310" s="2">
        <v>2.36</v>
      </c>
      <c r="F6310" s="2" t="e">
        <f>IF(Table2[[#This Row],[Manual Cat Value]]="",VLOOKUP(Table2[[#This Row],[Description]],'Actuals Lookup'!D:F,3,0),Table2[[#This Row],[Manual Cat Value]])</f>
        <v>#N/A</v>
      </c>
      <c r="J6310" s="2">
        <v>2.36</v>
      </c>
      <c r="K6310" s="2" t="b">
        <v>0</v>
      </c>
      <c r="L6310" s="2"/>
      <c r="M6310" s="2"/>
      <c r="N6310" s="4" t="s">
        <v>2259</v>
      </c>
      <c r="O6310" s="4" t="str">
        <f>LEFT(Table2[[#This Row],[Description]],75)</f>
        <v>SCHWAB S&amp;P 500 INDEX</v>
      </c>
      <c r="P6310" s="2" t="s">
        <v>2385</v>
      </c>
    </row>
    <row r="6311" spans="1:16" hidden="1">
      <c r="A6311" s="2">
        <v>202112</v>
      </c>
      <c r="B6311" s="3">
        <v>44560</v>
      </c>
      <c r="C6311" s="2" t="s">
        <v>2435</v>
      </c>
      <c r="D6311" s="2" t="s">
        <v>1632</v>
      </c>
      <c r="E6311" s="2">
        <v>-5.49</v>
      </c>
      <c r="F6311" s="2" t="e">
        <f>IF(Table2[[#This Row],[Manual Cat Value]]="",VLOOKUP(Table2[[#This Row],[Description]],'Actuals Lookup'!D:F,3,0),Table2[[#This Row],[Manual Cat Value]])</f>
        <v>#N/A</v>
      </c>
      <c r="J6311" s="2">
        <v>5.49</v>
      </c>
      <c r="K6311" s="2" t="b">
        <v>0</v>
      </c>
      <c r="L6311" s="2"/>
      <c r="M6311" s="2"/>
      <c r="N6311" s="4" t="s">
        <v>2273</v>
      </c>
      <c r="O6311" s="4" t="str">
        <f>LEFT(Table2[[#This Row],[Description]],75)</f>
        <v>SCHWAB S&amp;P 500 INDEX</v>
      </c>
      <c r="P6311" s="2" t="s">
        <v>2281</v>
      </c>
    </row>
    <row r="6312" spans="1:16" hidden="1">
      <c r="A6312" s="2">
        <v>202112</v>
      </c>
      <c r="B6312" s="3">
        <v>44560</v>
      </c>
      <c r="C6312" s="2" t="s">
        <v>2435</v>
      </c>
      <c r="D6312" s="2" t="s">
        <v>1632</v>
      </c>
      <c r="E6312" s="2">
        <v>5.49</v>
      </c>
      <c r="F6312" s="2" t="e">
        <f>IF(Table2[[#This Row],[Manual Cat Value]]="",VLOOKUP(Table2[[#This Row],[Description]],'Actuals Lookup'!D:F,3,0),Table2[[#This Row],[Manual Cat Value]])</f>
        <v>#N/A</v>
      </c>
      <c r="J6312" s="2">
        <v>5.49</v>
      </c>
      <c r="K6312" s="2" t="b">
        <v>0</v>
      </c>
      <c r="L6312" s="2"/>
      <c r="M6312" s="2"/>
      <c r="N6312" s="4" t="s">
        <v>2259</v>
      </c>
      <c r="O6312" s="4" t="str">
        <f>LEFT(Table2[[#This Row],[Description]],75)</f>
        <v>SCHWAB S&amp;P 500 INDEX</v>
      </c>
      <c r="P6312" s="2" t="s">
        <v>2281</v>
      </c>
    </row>
    <row r="6313" spans="1:16" hidden="1">
      <c r="A6313" s="2">
        <v>202112</v>
      </c>
      <c r="B6313" s="3">
        <v>44560</v>
      </c>
      <c r="C6313" s="2" t="s">
        <v>2355</v>
      </c>
      <c r="D6313" s="2" t="s">
        <v>1632</v>
      </c>
      <c r="E6313" s="2">
        <v>-9.42</v>
      </c>
      <c r="F6313" s="2" t="e">
        <f>IF(Table2[[#This Row],[Manual Cat Value]]="",VLOOKUP(Table2[[#This Row],[Description]],'Actuals Lookup'!D:F,3,0),Table2[[#This Row],[Manual Cat Value]])</f>
        <v>#N/A</v>
      </c>
      <c r="J6313" s="2">
        <v>9.42</v>
      </c>
      <c r="K6313" s="2" t="b">
        <v>0</v>
      </c>
      <c r="L6313" s="2"/>
      <c r="M6313" s="2"/>
      <c r="N6313" s="4" t="s">
        <v>2273</v>
      </c>
      <c r="O6313" s="4" t="str">
        <f>LEFT(Table2[[#This Row],[Description]],75)</f>
        <v>SCHWAB S&amp;P 500 INDEX</v>
      </c>
      <c r="P6313" s="2" t="s">
        <v>2281</v>
      </c>
    </row>
    <row r="6314" spans="1:16" hidden="1">
      <c r="A6314" s="2">
        <v>202112</v>
      </c>
      <c r="B6314" s="3">
        <v>44560</v>
      </c>
      <c r="C6314" s="2" t="s">
        <v>2275</v>
      </c>
      <c r="D6314" s="2" t="s">
        <v>1632</v>
      </c>
      <c r="E6314" s="2">
        <v>-9.3000000000000007</v>
      </c>
      <c r="F6314" s="2" t="e">
        <f>IF(Table2[[#This Row],[Manual Cat Value]]="",VLOOKUP(Table2[[#This Row],[Description]],'Actuals Lookup'!D:F,3,0),Table2[[#This Row],[Manual Cat Value]])</f>
        <v>#N/A</v>
      </c>
      <c r="J6314" s="2">
        <v>9.3000000000000007</v>
      </c>
      <c r="K6314" s="2" t="b">
        <v>0</v>
      </c>
      <c r="L6314" s="2"/>
      <c r="M6314" s="2"/>
      <c r="N6314" s="4" t="s">
        <v>2273</v>
      </c>
      <c r="O6314" s="4" t="str">
        <f>LEFT(Table2[[#This Row],[Description]],75)</f>
        <v>SCHWAB S&amp;P 500 INDEX</v>
      </c>
      <c r="P6314" s="2" t="s">
        <v>2281</v>
      </c>
    </row>
    <row r="6315" spans="1:16" hidden="1">
      <c r="A6315" s="2">
        <v>202112</v>
      </c>
      <c r="B6315" s="3">
        <v>44560</v>
      </c>
      <c r="C6315" s="2" t="s">
        <v>2277</v>
      </c>
      <c r="D6315" s="2" t="s">
        <v>1632</v>
      </c>
      <c r="E6315" s="2">
        <v>-18.72</v>
      </c>
      <c r="F6315" s="2" t="e">
        <f>IF(Table2[[#This Row],[Manual Cat Value]]="",VLOOKUP(Table2[[#This Row],[Description]],'Actuals Lookup'!D:F,3,0),Table2[[#This Row],[Manual Cat Value]])</f>
        <v>#N/A</v>
      </c>
      <c r="J6315" s="2">
        <v>18.72</v>
      </c>
      <c r="K6315" s="2" t="b">
        <v>0</v>
      </c>
      <c r="L6315" s="2"/>
      <c r="M6315" s="2"/>
      <c r="N6315" s="4" t="s">
        <v>2273</v>
      </c>
      <c r="O6315" s="4" t="str">
        <f>LEFT(Table2[[#This Row],[Description]],75)</f>
        <v>SCHWAB S&amp;P 500 INDEX</v>
      </c>
      <c r="P6315" s="2" t="s">
        <v>2281</v>
      </c>
    </row>
    <row r="6316" spans="1:16" hidden="1">
      <c r="A6316" s="2">
        <v>202112</v>
      </c>
      <c r="B6316" s="3">
        <v>44560</v>
      </c>
      <c r="C6316" s="2" t="s">
        <v>2355</v>
      </c>
      <c r="D6316" s="2" t="s">
        <v>1632</v>
      </c>
      <c r="E6316" s="2">
        <v>9.42</v>
      </c>
      <c r="F6316" s="2" t="e">
        <f>IF(Table2[[#This Row],[Manual Cat Value]]="",VLOOKUP(Table2[[#This Row],[Description]],'Actuals Lookup'!D:F,3,0),Table2[[#This Row],[Manual Cat Value]])</f>
        <v>#N/A</v>
      </c>
      <c r="J6316" s="2">
        <v>9.42</v>
      </c>
      <c r="K6316" s="2" t="b">
        <v>0</v>
      </c>
      <c r="L6316" s="2"/>
      <c r="M6316" s="2"/>
      <c r="N6316" s="4" t="s">
        <v>2259</v>
      </c>
      <c r="O6316" s="4" t="str">
        <f>LEFT(Table2[[#This Row],[Description]],75)</f>
        <v>SCHWAB S&amp;P 500 INDEX</v>
      </c>
      <c r="P6316" s="2" t="s">
        <v>2281</v>
      </c>
    </row>
    <row r="6317" spans="1:16" hidden="1">
      <c r="A6317" s="2">
        <v>202112</v>
      </c>
      <c r="B6317" s="3">
        <v>44560</v>
      </c>
      <c r="C6317" s="2" t="s">
        <v>2275</v>
      </c>
      <c r="D6317" s="2" t="s">
        <v>1632</v>
      </c>
      <c r="E6317" s="2">
        <v>9.3000000000000007</v>
      </c>
      <c r="F6317" s="2" t="e">
        <f>IF(Table2[[#This Row],[Manual Cat Value]]="",VLOOKUP(Table2[[#This Row],[Description]],'Actuals Lookup'!D:F,3,0),Table2[[#This Row],[Manual Cat Value]])</f>
        <v>#N/A</v>
      </c>
      <c r="J6317" s="2">
        <v>9.3000000000000007</v>
      </c>
      <c r="K6317" s="2" t="b">
        <v>0</v>
      </c>
      <c r="L6317" s="2"/>
      <c r="M6317" s="2"/>
      <c r="N6317" s="4" t="s">
        <v>2259</v>
      </c>
      <c r="O6317" s="4" t="str">
        <f>LEFT(Table2[[#This Row],[Description]],75)</f>
        <v>SCHWAB S&amp;P 500 INDEX</v>
      </c>
      <c r="P6317" s="2" t="s">
        <v>2281</v>
      </c>
    </row>
    <row r="6318" spans="1:16" hidden="1">
      <c r="A6318" s="2">
        <v>202112</v>
      </c>
      <c r="B6318" s="3">
        <v>44560</v>
      </c>
      <c r="C6318" s="2" t="s">
        <v>2277</v>
      </c>
      <c r="D6318" s="2" t="s">
        <v>1632</v>
      </c>
      <c r="E6318" s="2">
        <v>18.72</v>
      </c>
      <c r="F6318" s="2" t="e">
        <f>IF(Table2[[#This Row],[Manual Cat Value]]="",VLOOKUP(Table2[[#This Row],[Description]],'Actuals Lookup'!D:F,3,0),Table2[[#This Row],[Manual Cat Value]])</f>
        <v>#N/A</v>
      </c>
      <c r="J6318" s="2">
        <v>18.72</v>
      </c>
      <c r="K6318" s="2" t="b">
        <v>0</v>
      </c>
      <c r="L6318" s="2"/>
      <c r="M6318" s="2"/>
      <c r="N6318" s="4" t="s">
        <v>2259</v>
      </c>
      <c r="O6318" s="4" t="str">
        <f>LEFT(Table2[[#This Row],[Description]],75)</f>
        <v>SCHWAB S&amp;P 500 INDEX</v>
      </c>
      <c r="P6318" s="2" t="s">
        <v>2281</v>
      </c>
    </row>
    <row r="6319" spans="1:16" hidden="1">
      <c r="A6319" s="2">
        <v>202112</v>
      </c>
      <c r="B6319" s="3">
        <v>44560</v>
      </c>
      <c r="C6319" s="2" t="s">
        <v>2434</v>
      </c>
      <c r="D6319" s="2" t="s">
        <v>1632</v>
      </c>
      <c r="E6319" s="2">
        <v>-13.39</v>
      </c>
      <c r="F6319" s="2" t="e">
        <f>IF(Table2[[#This Row],[Manual Cat Value]]="",VLOOKUP(Table2[[#This Row],[Description]],'Actuals Lookup'!D:F,3,0),Table2[[#This Row],[Manual Cat Value]])</f>
        <v>#N/A</v>
      </c>
      <c r="J6319" s="2">
        <v>13.39</v>
      </c>
      <c r="K6319" s="2" t="b">
        <v>0</v>
      </c>
      <c r="L6319" s="2"/>
      <c r="M6319" s="2"/>
      <c r="N6319" s="4" t="s">
        <v>2273</v>
      </c>
      <c r="O6319" s="4" t="str">
        <f>LEFT(Table2[[#This Row],[Description]],75)</f>
        <v>SCHWAB S&amp;P 500 INDEX</v>
      </c>
      <c r="P6319" s="2" t="s">
        <v>2281</v>
      </c>
    </row>
    <row r="6320" spans="1:16" hidden="1">
      <c r="A6320" s="2">
        <v>202112</v>
      </c>
      <c r="B6320" s="3">
        <v>44560</v>
      </c>
      <c r="C6320" s="2" t="s">
        <v>2434</v>
      </c>
      <c r="D6320" s="2" t="s">
        <v>1632</v>
      </c>
      <c r="E6320" s="2">
        <v>13.39</v>
      </c>
      <c r="F6320" s="2" t="e">
        <f>IF(Table2[[#This Row],[Manual Cat Value]]="",VLOOKUP(Table2[[#This Row],[Description]],'Actuals Lookup'!D:F,3,0),Table2[[#This Row],[Manual Cat Value]])</f>
        <v>#N/A</v>
      </c>
      <c r="J6320" s="2">
        <v>13.39</v>
      </c>
      <c r="K6320" s="2" t="b">
        <v>0</v>
      </c>
      <c r="L6320" s="2"/>
      <c r="M6320" s="2"/>
      <c r="N6320" s="4" t="s">
        <v>2259</v>
      </c>
      <c r="O6320" s="4" t="str">
        <f>LEFT(Table2[[#This Row],[Description]],75)</f>
        <v>SCHWAB S&amp;P 500 INDEX</v>
      </c>
      <c r="P6320" s="2" t="s">
        <v>2281</v>
      </c>
    </row>
    <row r="6321" spans="1:16" hidden="1">
      <c r="A6321" s="2">
        <v>202112</v>
      </c>
      <c r="B6321" s="3">
        <v>44560</v>
      </c>
      <c r="C6321" s="2" t="s">
        <v>2317</v>
      </c>
      <c r="D6321" s="2" t="s">
        <v>1632</v>
      </c>
      <c r="E6321" s="2">
        <v>-42.04</v>
      </c>
      <c r="F6321" s="2" t="e">
        <f>IF(Table2[[#This Row],[Manual Cat Value]]="",VLOOKUP(Table2[[#This Row],[Description]],'Actuals Lookup'!D:F,3,0),Table2[[#This Row],[Manual Cat Value]])</f>
        <v>#N/A</v>
      </c>
      <c r="J6321" s="2">
        <v>42.04</v>
      </c>
      <c r="K6321" s="2" t="b">
        <v>0</v>
      </c>
      <c r="L6321" s="2"/>
      <c r="M6321" s="2"/>
      <c r="N6321" s="4" t="s">
        <v>2273</v>
      </c>
      <c r="O6321" s="4" t="str">
        <f>LEFT(Table2[[#This Row],[Description]],75)</f>
        <v>SCHWAB S&amp;P 500 INDEX</v>
      </c>
      <c r="P6321" s="2" t="s">
        <v>2385</v>
      </c>
    </row>
    <row r="6322" spans="1:16" hidden="1">
      <c r="A6322" s="2">
        <v>202112</v>
      </c>
      <c r="B6322" s="3">
        <v>44560</v>
      </c>
      <c r="C6322" s="2" t="s">
        <v>2317</v>
      </c>
      <c r="D6322" s="2" t="s">
        <v>1632</v>
      </c>
      <c r="E6322" s="2">
        <v>42.04</v>
      </c>
      <c r="F6322" s="2" t="e">
        <f>IF(Table2[[#This Row],[Manual Cat Value]]="",VLOOKUP(Table2[[#This Row],[Description]],'Actuals Lookup'!D:F,3,0),Table2[[#This Row],[Manual Cat Value]])</f>
        <v>#N/A</v>
      </c>
      <c r="J6322" s="2">
        <v>42.04</v>
      </c>
      <c r="K6322" s="2" t="b">
        <v>0</v>
      </c>
      <c r="L6322" s="2"/>
      <c r="M6322" s="2"/>
      <c r="N6322" s="4" t="s">
        <v>2259</v>
      </c>
      <c r="O6322" s="4" t="str">
        <f>LEFT(Table2[[#This Row],[Description]],75)</f>
        <v>SCHWAB S&amp;P 500 INDEX</v>
      </c>
      <c r="P6322" s="2" t="s">
        <v>2385</v>
      </c>
    </row>
    <row r="6323" spans="1:16" hidden="1">
      <c r="A6323" s="2">
        <v>202112</v>
      </c>
      <c r="B6323" s="3">
        <v>44560</v>
      </c>
      <c r="C6323" s="2" t="s">
        <v>2435</v>
      </c>
      <c r="D6323" s="2" t="s">
        <v>1632</v>
      </c>
      <c r="E6323" s="2">
        <v>-69.27</v>
      </c>
      <c r="F6323" s="2" t="e">
        <f>IF(Table2[[#This Row],[Manual Cat Value]]="",VLOOKUP(Table2[[#This Row],[Description]],'Actuals Lookup'!D:F,3,0),Table2[[#This Row],[Manual Cat Value]])</f>
        <v>#N/A</v>
      </c>
      <c r="J6323" s="2">
        <v>69.27</v>
      </c>
      <c r="K6323" s="2" t="b">
        <v>0</v>
      </c>
      <c r="L6323" s="2"/>
      <c r="M6323" s="2"/>
      <c r="N6323" s="4" t="s">
        <v>2273</v>
      </c>
      <c r="O6323" s="4" t="str">
        <f>LEFT(Table2[[#This Row],[Description]],75)</f>
        <v>SCHWAB S&amp;P 500 INDEX</v>
      </c>
      <c r="P6323" s="2" t="s">
        <v>2281</v>
      </c>
    </row>
    <row r="6324" spans="1:16" hidden="1">
      <c r="A6324" s="2">
        <v>202112</v>
      </c>
      <c r="B6324" s="3">
        <v>44560</v>
      </c>
      <c r="C6324" s="2" t="s">
        <v>2435</v>
      </c>
      <c r="D6324" s="2" t="s">
        <v>1632</v>
      </c>
      <c r="E6324" s="2">
        <v>69.27</v>
      </c>
      <c r="F6324" s="2" t="e">
        <f>IF(Table2[[#This Row],[Manual Cat Value]]="",VLOOKUP(Table2[[#This Row],[Description]],'Actuals Lookup'!D:F,3,0),Table2[[#This Row],[Manual Cat Value]])</f>
        <v>#N/A</v>
      </c>
      <c r="J6324" s="2">
        <v>69.27</v>
      </c>
      <c r="K6324" s="2" t="b">
        <v>0</v>
      </c>
      <c r="L6324" s="2"/>
      <c r="M6324" s="2"/>
      <c r="N6324" s="4" t="s">
        <v>2259</v>
      </c>
      <c r="O6324" s="4" t="str">
        <f>LEFT(Table2[[#This Row],[Description]],75)</f>
        <v>SCHWAB S&amp;P 500 INDEX</v>
      </c>
      <c r="P6324" s="2" t="s">
        <v>2281</v>
      </c>
    </row>
    <row r="6325" spans="1:16" hidden="1">
      <c r="A6325" s="2">
        <v>202112</v>
      </c>
      <c r="B6325" s="3">
        <v>44560</v>
      </c>
      <c r="C6325" s="2" t="s">
        <v>2275</v>
      </c>
      <c r="D6325" s="2" t="s">
        <v>1632</v>
      </c>
      <c r="E6325" s="2">
        <v>-117.41</v>
      </c>
      <c r="F6325" s="2" t="e">
        <f>IF(Table2[[#This Row],[Manual Cat Value]]="",VLOOKUP(Table2[[#This Row],[Description]],'Actuals Lookup'!D:F,3,0),Table2[[#This Row],[Manual Cat Value]])</f>
        <v>#N/A</v>
      </c>
      <c r="J6325" s="2">
        <v>117.41</v>
      </c>
      <c r="K6325" s="2" t="b">
        <v>0</v>
      </c>
      <c r="L6325" s="2"/>
      <c r="M6325" s="2"/>
      <c r="N6325" s="4" t="s">
        <v>2273</v>
      </c>
      <c r="O6325" s="4" t="str">
        <f>LEFT(Table2[[#This Row],[Description]],75)</f>
        <v>SCHWAB S&amp;P 500 INDEX</v>
      </c>
      <c r="P6325" s="2" t="s">
        <v>2281</v>
      </c>
    </row>
    <row r="6326" spans="1:16" hidden="1">
      <c r="A6326" s="2">
        <v>202112</v>
      </c>
      <c r="B6326" s="3">
        <v>44560</v>
      </c>
      <c r="C6326" s="2" t="s">
        <v>2277</v>
      </c>
      <c r="D6326" s="2" t="s">
        <v>1632</v>
      </c>
      <c r="E6326" s="2">
        <v>-117.41</v>
      </c>
      <c r="F6326" s="2" t="e">
        <f>IF(Table2[[#This Row],[Manual Cat Value]]="",VLOOKUP(Table2[[#This Row],[Description]],'Actuals Lookup'!D:F,3,0),Table2[[#This Row],[Manual Cat Value]])</f>
        <v>#N/A</v>
      </c>
      <c r="J6326" s="2">
        <v>117.41</v>
      </c>
      <c r="K6326" s="2" t="b">
        <v>0</v>
      </c>
      <c r="L6326" s="2"/>
      <c r="M6326" s="2"/>
      <c r="N6326" s="4" t="s">
        <v>2273</v>
      </c>
      <c r="O6326" s="4" t="str">
        <f>LEFT(Table2[[#This Row],[Description]],75)</f>
        <v>SCHWAB S&amp;P 500 INDEX</v>
      </c>
      <c r="P6326" s="2" t="s">
        <v>2281</v>
      </c>
    </row>
    <row r="6327" spans="1:16" hidden="1">
      <c r="A6327" s="2">
        <v>202112</v>
      </c>
      <c r="B6327" s="3">
        <v>44560</v>
      </c>
      <c r="C6327" s="2" t="s">
        <v>2275</v>
      </c>
      <c r="D6327" s="2" t="s">
        <v>1632</v>
      </c>
      <c r="E6327" s="2">
        <v>117.41</v>
      </c>
      <c r="F6327" s="2" t="e">
        <f>IF(Table2[[#This Row],[Manual Cat Value]]="",VLOOKUP(Table2[[#This Row],[Description]],'Actuals Lookup'!D:F,3,0),Table2[[#This Row],[Manual Cat Value]])</f>
        <v>#N/A</v>
      </c>
      <c r="J6327" s="2">
        <v>117.41</v>
      </c>
      <c r="K6327" s="2" t="b">
        <v>0</v>
      </c>
      <c r="L6327" s="2"/>
      <c r="M6327" s="2"/>
      <c r="N6327" s="4" t="s">
        <v>2259</v>
      </c>
      <c r="O6327" s="4" t="str">
        <f>LEFT(Table2[[#This Row],[Description]],75)</f>
        <v>SCHWAB S&amp;P 500 INDEX</v>
      </c>
      <c r="P6327" s="2" t="s">
        <v>2281</v>
      </c>
    </row>
    <row r="6328" spans="1:16" hidden="1">
      <c r="A6328" s="2">
        <v>202112</v>
      </c>
      <c r="B6328" s="3">
        <v>44560</v>
      </c>
      <c r="C6328" s="2" t="s">
        <v>2277</v>
      </c>
      <c r="D6328" s="2" t="s">
        <v>1632</v>
      </c>
      <c r="E6328" s="2">
        <v>117.41</v>
      </c>
      <c r="F6328" s="2" t="e">
        <f>IF(Table2[[#This Row],[Manual Cat Value]]="",VLOOKUP(Table2[[#This Row],[Description]],'Actuals Lookup'!D:F,3,0),Table2[[#This Row],[Manual Cat Value]])</f>
        <v>#N/A</v>
      </c>
      <c r="J6328" s="2">
        <v>117.41</v>
      </c>
      <c r="K6328" s="2" t="b">
        <v>0</v>
      </c>
      <c r="L6328" s="2"/>
      <c r="M6328" s="2"/>
      <c r="N6328" s="4" t="s">
        <v>2259</v>
      </c>
      <c r="O6328" s="4" t="str">
        <f>LEFT(Table2[[#This Row],[Description]],75)</f>
        <v>SCHWAB S&amp;P 500 INDEX</v>
      </c>
      <c r="P6328" s="2" t="s">
        <v>2281</v>
      </c>
    </row>
    <row r="6329" spans="1:16" hidden="1">
      <c r="A6329" s="2">
        <v>202112</v>
      </c>
      <c r="B6329" s="3">
        <v>44560</v>
      </c>
      <c r="C6329" s="2" t="s">
        <v>2355</v>
      </c>
      <c r="D6329" s="2" t="s">
        <v>1632</v>
      </c>
      <c r="E6329" s="2">
        <v>-118.93</v>
      </c>
      <c r="F6329" s="2" t="e">
        <f>IF(Table2[[#This Row],[Manual Cat Value]]="",VLOOKUP(Table2[[#This Row],[Description]],'Actuals Lookup'!D:F,3,0),Table2[[#This Row],[Manual Cat Value]])</f>
        <v>#N/A</v>
      </c>
      <c r="J6329" s="2">
        <v>118.93</v>
      </c>
      <c r="K6329" s="2" t="b">
        <v>0</v>
      </c>
      <c r="L6329" s="2"/>
      <c r="M6329" s="2"/>
      <c r="N6329" s="4" t="s">
        <v>2273</v>
      </c>
      <c r="O6329" s="4" t="str">
        <f>LEFT(Table2[[#This Row],[Description]],75)</f>
        <v>SCHWAB S&amp;P 500 INDEX</v>
      </c>
      <c r="P6329" s="2" t="s">
        <v>2281</v>
      </c>
    </row>
    <row r="6330" spans="1:16" hidden="1">
      <c r="A6330" s="2">
        <v>202112</v>
      </c>
      <c r="B6330" s="3">
        <v>44560</v>
      </c>
      <c r="C6330" s="2" t="s">
        <v>2277</v>
      </c>
      <c r="D6330" s="2" t="s">
        <v>1632</v>
      </c>
      <c r="E6330" s="2">
        <v>-118.93</v>
      </c>
      <c r="F6330" s="2" t="e">
        <f>IF(Table2[[#This Row],[Manual Cat Value]]="",VLOOKUP(Table2[[#This Row],[Description]],'Actuals Lookup'!D:F,3,0),Table2[[#This Row],[Manual Cat Value]])</f>
        <v>#N/A</v>
      </c>
      <c r="J6330" s="2">
        <v>118.93</v>
      </c>
      <c r="K6330" s="2" t="b">
        <v>0</v>
      </c>
      <c r="L6330" s="2"/>
      <c r="M6330" s="2"/>
      <c r="N6330" s="4" t="s">
        <v>2273</v>
      </c>
      <c r="O6330" s="4" t="str">
        <f>LEFT(Table2[[#This Row],[Description]],75)</f>
        <v>SCHWAB S&amp;P 500 INDEX</v>
      </c>
      <c r="P6330" s="2" t="s">
        <v>2281</v>
      </c>
    </row>
    <row r="6331" spans="1:16" hidden="1">
      <c r="A6331" s="2">
        <v>202112</v>
      </c>
      <c r="B6331" s="3">
        <v>44560</v>
      </c>
      <c r="C6331" s="2" t="s">
        <v>2355</v>
      </c>
      <c r="D6331" s="2" t="s">
        <v>1632</v>
      </c>
      <c r="E6331" s="2">
        <v>118.93</v>
      </c>
      <c r="F6331" s="2" t="e">
        <f>IF(Table2[[#This Row],[Manual Cat Value]]="",VLOOKUP(Table2[[#This Row],[Description]],'Actuals Lookup'!D:F,3,0),Table2[[#This Row],[Manual Cat Value]])</f>
        <v>#N/A</v>
      </c>
      <c r="J6331" s="2">
        <v>118.93</v>
      </c>
      <c r="K6331" s="2" t="b">
        <v>0</v>
      </c>
      <c r="L6331" s="2"/>
      <c r="M6331" s="2"/>
      <c r="N6331" s="4" t="s">
        <v>2259</v>
      </c>
      <c r="O6331" s="4" t="str">
        <f>LEFT(Table2[[#This Row],[Description]],75)</f>
        <v>SCHWAB S&amp;P 500 INDEX</v>
      </c>
      <c r="P6331" s="2" t="s">
        <v>2281</v>
      </c>
    </row>
    <row r="6332" spans="1:16" hidden="1">
      <c r="A6332" s="2">
        <v>202112</v>
      </c>
      <c r="B6332" s="3">
        <v>44560</v>
      </c>
      <c r="C6332" s="2" t="s">
        <v>2277</v>
      </c>
      <c r="D6332" s="2" t="s">
        <v>1632</v>
      </c>
      <c r="E6332" s="2">
        <v>118.93</v>
      </c>
      <c r="F6332" s="2" t="e">
        <f>IF(Table2[[#This Row],[Manual Cat Value]]="",VLOOKUP(Table2[[#This Row],[Description]],'Actuals Lookup'!D:F,3,0),Table2[[#This Row],[Manual Cat Value]])</f>
        <v>#N/A</v>
      </c>
      <c r="J6332" s="2">
        <v>118.93</v>
      </c>
      <c r="K6332" s="2" t="b">
        <v>0</v>
      </c>
      <c r="L6332" s="2"/>
      <c r="M6332" s="2"/>
      <c r="N6332" s="4" t="s">
        <v>2259</v>
      </c>
      <c r="O6332" s="4" t="str">
        <f>LEFT(Table2[[#This Row],[Description]],75)</f>
        <v>SCHWAB S&amp;P 500 INDEX</v>
      </c>
      <c r="P6332" s="2" t="s">
        <v>2281</v>
      </c>
    </row>
    <row r="6333" spans="1:16" hidden="1">
      <c r="A6333" s="2">
        <v>202112</v>
      </c>
      <c r="B6333" s="3">
        <v>44560</v>
      </c>
      <c r="C6333" s="2" t="s">
        <v>2317</v>
      </c>
      <c r="D6333" s="2" t="s">
        <v>1632</v>
      </c>
      <c r="E6333" s="2">
        <v>-530.80999999999995</v>
      </c>
      <c r="F6333" s="2" t="e">
        <f>IF(Table2[[#This Row],[Manual Cat Value]]="",VLOOKUP(Table2[[#This Row],[Description]],'Actuals Lookup'!D:F,3,0),Table2[[#This Row],[Manual Cat Value]])</f>
        <v>#N/A</v>
      </c>
      <c r="J6333" s="2">
        <v>530.80999999999995</v>
      </c>
      <c r="K6333" s="2" t="b">
        <v>0</v>
      </c>
      <c r="L6333" s="2"/>
      <c r="M6333" s="2"/>
      <c r="N6333" s="4" t="s">
        <v>2273</v>
      </c>
      <c r="O6333" s="4" t="str">
        <f>LEFT(Table2[[#This Row],[Description]],75)</f>
        <v>SCHWAB S&amp;P 500 INDEX</v>
      </c>
      <c r="P6333" s="2" t="s">
        <v>2385</v>
      </c>
    </row>
    <row r="6334" spans="1:16" hidden="1">
      <c r="A6334" s="2">
        <v>202112</v>
      </c>
      <c r="B6334" s="3">
        <v>44560</v>
      </c>
      <c r="C6334" s="2" t="s">
        <v>2317</v>
      </c>
      <c r="D6334" s="2" t="s">
        <v>1632</v>
      </c>
      <c r="E6334" s="2">
        <v>530.80999999999995</v>
      </c>
      <c r="F6334" s="2" t="e">
        <f>IF(Table2[[#This Row],[Manual Cat Value]]="",VLOOKUP(Table2[[#This Row],[Description]],'Actuals Lookup'!D:F,3,0),Table2[[#This Row],[Manual Cat Value]])</f>
        <v>#N/A</v>
      </c>
      <c r="J6334" s="2">
        <v>530.80999999999995</v>
      </c>
      <c r="K6334" s="2" t="b">
        <v>0</v>
      </c>
      <c r="L6334" s="2"/>
      <c r="M6334" s="2"/>
      <c r="N6334" s="4" t="s">
        <v>2259</v>
      </c>
      <c r="O6334" s="4" t="str">
        <f>LEFT(Table2[[#This Row],[Description]],75)</f>
        <v>SCHWAB S&amp;P 500 INDEX</v>
      </c>
      <c r="P6334" s="2" t="s">
        <v>2385</v>
      </c>
    </row>
    <row r="6335" spans="1:16" hidden="1">
      <c r="A6335" s="2">
        <v>202112</v>
      </c>
      <c r="B6335" s="3">
        <v>44560</v>
      </c>
      <c r="C6335" s="2" t="s">
        <v>2488</v>
      </c>
      <c r="D6335" s="2" t="s">
        <v>1634</v>
      </c>
      <c r="E6335" s="2">
        <v>-0.37</v>
      </c>
      <c r="F6335" s="2" t="e">
        <f>IF(Table2[[#This Row],[Manual Cat Value]]="",VLOOKUP(Table2[[#This Row],[Description]],'Actuals Lookup'!D:F,3,0),Table2[[#This Row],[Manual Cat Value]])</f>
        <v>#N/A</v>
      </c>
      <c r="J6335" s="2">
        <v>0.37</v>
      </c>
      <c r="K6335" s="2" t="b">
        <v>0</v>
      </c>
      <c r="L6335" s="2"/>
      <c r="M6335" s="2"/>
      <c r="N6335" s="4" t="s">
        <v>2273</v>
      </c>
      <c r="O6335" s="4" t="str">
        <f>LEFT(Table2[[#This Row],[Description]],75)</f>
        <v>SCHWAB TOTAL STOCK MARKET INDEX</v>
      </c>
      <c r="P6335" s="2" t="s">
        <v>2281</v>
      </c>
    </row>
    <row r="6336" spans="1:16" hidden="1">
      <c r="A6336" s="2">
        <v>202112</v>
      </c>
      <c r="B6336" s="3">
        <v>44560</v>
      </c>
      <c r="C6336" s="2" t="s">
        <v>2317</v>
      </c>
      <c r="D6336" s="2" t="s">
        <v>1634</v>
      </c>
      <c r="E6336" s="2">
        <v>-0.26</v>
      </c>
      <c r="F6336" s="2" t="e">
        <f>IF(Table2[[#This Row],[Manual Cat Value]]="",VLOOKUP(Table2[[#This Row],[Description]],'Actuals Lookup'!D:F,3,0),Table2[[#This Row],[Manual Cat Value]])</f>
        <v>#N/A</v>
      </c>
      <c r="J6336" s="2">
        <v>0.26</v>
      </c>
      <c r="K6336" s="2" t="b">
        <v>0</v>
      </c>
      <c r="L6336" s="2"/>
      <c r="M6336" s="2"/>
      <c r="N6336" s="4" t="s">
        <v>2273</v>
      </c>
      <c r="O6336" s="4" t="str">
        <f>LEFT(Table2[[#This Row],[Description]],75)</f>
        <v>SCHWAB TOTAL STOCK MARKET INDEX</v>
      </c>
      <c r="P6336" s="2" t="s">
        <v>2385</v>
      </c>
    </row>
    <row r="6337" spans="1:16" hidden="1">
      <c r="A6337" s="2">
        <v>202112</v>
      </c>
      <c r="B6337" s="3">
        <v>44560</v>
      </c>
      <c r="C6337" s="2" t="s">
        <v>2528</v>
      </c>
      <c r="D6337" s="2" t="s">
        <v>1634</v>
      </c>
      <c r="E6337" s="2">
        <v>-0.32</v>
      </c>
      <c r="F6337" s="2" t="e">
        <f>IF(Table2[[#This Row],[Manual Cat Value]]="",VLOOKUP(Table2[[#This Row],[Description]],'Actuals Lookup'!D:F,3,0),Table2[[#This Row],[Manual Cat Value]])</f>
        <v>#N/A</v>
      </c>
      <c r="J6337" s="2">
        <v>0.32</v>
      </c>
      <c r="K6337" s="2" t="b">
        <v>0</v>
      </c>
      <c r="L6337" s="2"/>
      <c r="M6337" s="2"/>
      <c r="N6337" s="4" t="s">
        <v>2273</v>
      </c>
      <c r="O6337" s="4" t="str">
        <f>LEFT(Table2[[#This Row],[Description]],75)</f>
        <v>SCHWAB TOTAL STOCK MARKET INDEX</v>
      </c>
      <c r="P6337" s="2" t="s">
        <v>2281</v>
      </c>
    </row>
    <row r="6338" spans="1:16" hidden="1">
      <c r="A6338" s="2">
        <v>202112</v>
      </c>
      <c r="B6338" s="3">
        <v>44560</v>
      </c>
      <c r="C6338" s="2" t="s">
        <v>2488</v>
      </c>
      <c r="D6338" s="2" t="s">
        <v>1634</v>
      </c>
      <c r="E6338" s="2">
        <v>0.37</v>
      </c>
      <c r="F6338" s="2" t="e">
        <f>IF(Table2[[#This Row],[Manual Cat Value]]="",VLOOKUP(Table2[[#This Row],[Description]],'Actuals Lookup'!D:F,3,0),Table2[[#This Row],[Manual Cat Value]])</f>
        <v>#N/A</v>
      </c>
      <c r="J6338" s="2">
        <v>0.37</v>
      </c>
      <c r="K6338" s="2" t="b">
        <v>0</v>
      </c>
      <c r="L6338" s="2"/>
      <c r="M6338" s="2"/>
      <c r="N6338" s="4" t="s">
        <v>2259</v>
      </c>
      <c r="O6338" s="4" t="str">
        <f>LEFT(Table2[[#This Row],[Description]],75)</f>
        <v>SCHWAB TOTAL STOCK MARKET INDEX</v>
      </c>
      <c r="P6338" s="2" t="s">
        <v>2281</v>
      </c>
    </row>
    <row r="6339" spans="1:16" hidden="1">
      <c r="A6339" s="2">
        <v>202112</v>
      </c>
      <c r="B6339" s="3">
        <v>44560</v>
      </c>
      <c r="C6339" s="2" t="s">
        <v>2317</v>
      </c>
      <c r="D6339" s="2" t="s">
        <v>1634</v>
      </c>
      <c r="E6339" s="2">
        <v>0.26</v>
      </c>
      <c r="F6339" s="2" t="e">
        <f>IF(Table2[[#This Row],[Manual Cat Value]]="",VLOOKUP(Table2[[#This Row],[Description]],'Actuals Lookup'!D:F,3,0),Table2[[#This Row],[Manual Cat Value]])</f>
        <v>#N/A</v>
      </c>
      <c r="J6339" s="2">
        <v>0.26</v>
      </c>
      <c r="K6339" s="2" t="b">
        <v>0</v>
      </c>
      <c r="L6339" s="2"/>
      <c r="M6339" s="2"/>
      <c r="N6339" s="4" t="s">
        <v>2259</v>
      </c>
      <c r="O6339" s="4" t="str">
        <f>LEFT(Table2[[#This Row],[Description]],75)</f>
        <v>SCHWAB TOTAL STOCK MARKET INDEX</v>
      </c>
      <c r="P6339" s="2" t="s">
        <v>2385</v>
      </c>
    </row>
    <row r="6340" spans="1:16" hidden="1">
      <c r="A6340" s="2">
        <v>202112</v>
      </c>
      <c r="B6340" s="3">
        <v>44560</v>
      </c>
      <c r="C6340" s="2" t="s">
        <v>2528</v>
      </c>
      <c r="D6340" s="2" t="s">
        <v>1634</v>
      </c>
      <c r="E6340" s="2">
        <v>0.32</v>
      </c>
      <c r="F6340" s="2" t="e">
        <f>IF(Table2[[#This Row],[Manual Cat Value]]="",VLOOKUP(Table2[[#This Row],[Description]],'Actuals Lookup'!D:F,3,0),Table2[[#This Row],[Manual Cat Value]])</f>
        <v>#N/A</v>
      </c>
      <c r="J6340" s="2">
        <v>0.32</v>
      </c>
      <c r="K6340" s="2" t="b">
        <v>0</v>
      </c>
      <c r="L6340" s="2"/>
      <c r="M6340" s="2"/>
      <c r="N6340" s="4" t="s">
        <v>2259</v>
      </c>
      <c r="O6340" s="4" t="str">
        <f>LEFT(Table2[[#This Row],[Description]],75)</f>
        <v>SCHWAB TOTAL STOCK MARKET INDEX</v>
      </c>
      <c r="P6340" s="2" t="s">
        <v>2281</v>
      </c>
    </row>
    <row r="6341" spans="1:16" hidden="1">
      <c r="A6341" s="2">
        <v>202112</v>
      </c>
      <c r="B6341" s="3">
        <v>44560</v>
      </c>
      <c r="C6341" s="2" t="s">
        <v>2434</v>
      </c>
      <c r="D6341" s="2" t="s">
        <v>1634</v>
      </c>
      <c r="E6341" s="2">
        <v>-0.53</v>
      </c>
      <c r="F6341" s="2" t="e">
        <f>IF(Table2[[#This Row],[Manual Cat Value]]="",VLOOKUP(Table2[[#This Row],[Description]],'Actuals Lookup'!D:F,3,0),Table2[[#This Row],[Manual Cat Value]])</f>
        <v>#N/A</v>
      </c>
      <c r="J6341" s="2">
        <v>0.53</v>
      </c>
      <c r="K6341" s="2" t="b">
        <v>0</v>
      </c>
      <c r="L6341" s="2"/>
      <c r="M6341" s="2"/>
      <c r="N6341" s="4" t="s">
        <v>2273</v>
      </c>
      <c r="O6341" s="4" t="str">
        <f>LEFT(Table2[[#This Row],[Description]],75)</f>
        <v>SCHWAB TOTAL STOCK MARKET INDEX</v>
      </c>
      <c r="P6341" s="2" t="s">
        <v>2281</v>
      </c>
    </row>
    <row r="6342" spans="1:16" hidden="1">
      <c r="A6342" s="2">
        <v>202112</v>
      </c>
      <c r="B6342" s="3">
        <v>44560</v>
      </c>
      <c r="C6342" s="2" t="s">
        <v>2435</v>
      </c>
      <c r="D6342" s="2" t="s">
        <v>1634</v>
      </c>
      <c r="E6342" s="2">
        <v>-0.66</v>
      </c>
      <c r="F6342" s="2" t="e">
        <f>IF(Table2[[#This Row],[Manual Cat Value]]="",VLOOKUP(Table2[[#This Row],[Description]],'Actuals Lookup'!D:F,3,0),Table2[[#This Row],[Manual Cat Value]])</f>
        <v>#N/A</v>
      </c>
      <c r="J6342" s="2">
        <v>0.66</v>
      </c>
      <c r="K6342" s="2" t="b">
        <v>0</v>
      </c>
      <c r="L6342" s="2"/>
      <c r="M6342" s="2"/>
      <c r="N6342" s="4" t="s">
        <v>2273</v>
      </c>
      <c r="O6342" s="4" t="str">
        <f>LEFT(Table2[[#This Row],[Description]],75)</f>
        <v>SCHWAB TOTAL STOCK MARKET INDEX</v>
      </c>
      <c r="P6342" s="2" t="s">
        <v>2281</v>
      </c>
    </row>
    <row r="6343" spans="1:16" hidden="1">
      <c r="A6343" s="2">
        <v>202112</v>
      </c>
      <c r="B6343" s="3">
        <v>44560</v>
      </c>
      <c r="C6343" s="2" t="s">
        <v>2275</v>
      </c>
      <c r="D6343" s="2" t="s">
        <v>1634</v>
      </c>
      <c r="E6343" s="2">
        <v>-0.91</v>
      </c>
      <c r="F6343" s="2" t="e">
        <f>IF(Table2[[#This Row],[Manual Cat Value]]="",VLOOKUP(Table2[[#This Row],[Description]],'Actuals Lookup'!D:F,3,0),Table2[[#This Row],[Manual Cat Value]])</f>
        <v>#N/A</v>
      </c>
      <c r="J6343" s="2">
        <v>0.91</v>
      </c>
      <c r="K6343" s="2" t="b">
        <v>0</v>
      </c>
      <c r="L6343" s="2"/>
      <c r="M6343" s="2"/>
      <c r="N6343" s="4" t="s">
        <v>2273</v>
      </c>
      <c r="O6343" s="4" t="str">
        <f>LEFT(Table2[[#This Row],[Description]],75)</f>
        <v>SCHWAB TOTAL STOCK MARKET INDEX</v>
      </c>
      <c r="P6343" s="2" t="s">
        <v>2281</v>
      </c>
    </row>
    <row r="6344" spans="1:16" hidden="1">
      <c r="A6344" s="2">
        <v>202112</v>
      </c>
      <c r="B6344" s="3">
        <v>44560</v>
      </c>
      <c r="C6344" s="2" t="s">
        <v>2317</v>
      </c>
      <c r="D6344" s="2" t="s">
        <v>1634</v>
      </c>
      <c r="E6344" s="2">
        <v>-1.47</v>
      </c>
      <c r="F6344" s="2" t="e">
        <f>IF(Table2[[#This Row],[Manual Cat Value]]="",VLOOKUP(Table2[[#This Row],[Description]],'Actuals Lookup'!D:F,3,0),Table2[[#This Row],[Manual Cat Value]])</f>
        <v>#N/A</v>
      </c>
      <c r="J6344" s="2">
        <v>1.47</v>
      </c>
      <c r="K6344" s="2" t="b">
        <v>0</v>
      </c>
      <c r="L6344" s="2"/>
      <c r="M6344" s="2"/>
      <c r="N6344" s="4" t="s">
        <v>2273</v>
      </c>
      <c r="O6344" s="4" t="str">
        <f>LEFT(Table2[[#This Row],[Description]],75)</f>
        <v>SCHWAB TOTAL STOCK MARKET INDEX</v>
      </c>
      <c r="P6344" s="2" t="s">
        <v>2385</v>
      </c>
    </row>
    <row r="6345" spans="1:16" hidden="1">
      <c r="A6345" s="2">
        <v>202112</v>
      </c>
      <c r="B6345" s="3">
        <v>44560</v>
      </c>
      <c r="C6345" s="2" t="s">
        <v>2277</v>
      </c>
      <c r="D6345" s="2" t="s">
        <v>1634</v>
      </c>
      <c r="E6345" s="2">
        <v>-0.91</v>
      </c>
      <c r="F6345" s="2" t="e">
        <f>IF(Table2[[#This Row],[Manual Cat Value]]="",VLOOKUP(Table2[[#This Row],[Description]],'Actuals Lookup'!D:F,3,0),Table2[[#This Row],[Manual Cat Value]])</f>
        <v>#N/A</v>
      </c>
      <c r="J6345" s="2">
        <v>0.91</v>
      </c>
      <c r="K6345" s="2" t="b">
        <v>0</v>
      </c>
      <c r="L6345" s="2"/>
      <c r="M6345" s="2"/>
      <c r="N6345" s="4" t="s">
        <v>2273</v>
      </c>
      <c r="O6345" s="4" t="str">
        <f>LEFT(Table2[[#This Row],[Description]],75)</f>
        <v>SCHWAB TOTAL STOCK MARKET INDEX</v>
      </c>
      <c r="P6345" s="2" t="s">
        <v>2281</v>
      </c>
    </row>
    <row r="6346" spans="1:16" hidden="1">
      <c r="A6346" s="2">
        <v>202112</v>
      </c>
      <c r="B6346" s="3">
        <v>44560</v>
      </c>
      <c r="C6346" s="2" t="s">
        <v>2434</v>
      </c>
      <c r="D6346" s="2" t="s">
        <v>1634</v>
      </c>
      <c r="E6346" s="2">
        <v>0.53</v>
      </c>
      <c r="F6346" s="2" t="e">
        <f>IF(Table2[[#This Row],[Manual Cat Value]]="",VLOOKUP(Table2[[#This Row],[Description]],'Actuals Lookup'!D:F,3,0),Table2[[#This Row],[Manual Cat Value]])</f>
        <v>#N/A</v>
      </c>
      <c r="J6346" s="2">
        <v>0.53</v>
      </c>
      <c r="K6346" s="2" t="b">
        <v>0</v>
      </c>
      <c r="L6346" s="2"/>
      <c r="M6346" s="2"/>
      <c r="N6346" s="4" t="s">
        <v>2259</v>
      </c>
      <c r="O6346" s="4" t="str">
        <f>LEFT(Table2[[#This Row],[Description]],75)</f>
        <v>SCHWAB TOTAL STOCK MARKET INDEX</v>
      </c>
      <c r="P6346" s="2" t="s">
        <v>2281</v>
      </c>
    </row>
    <row r="6347" spans="1:16" hidden="1">
      <c r="A6347" s="2">
        <v>202112</v>
      </c>
      <c r="B6347" s="3">
        <v>44560</v>
      </c>
      <c r="C6347" s="2" t="s">
        <v>2435</v>
      </c>
      <c r="D6347" s="2" t="s">
        <v>1634</v>
      </c>
      <c r="E6347" s="2">
        <v>0.66</v>
      </c>
      <c r="F6347" s="2" t="e">
        <f>IF(Table2[[#This Row],[Manual Cat Value]]="",VLOOKUP(Table2[[#This Row],[Description]],'Actuals Lookup'!D:F,3,0),Table2[[#This Row],[Manual Cat Value]])</f>
        <v>#N/A</v>
      </c>
      <c r="J6347" s="2">
        <v>0.66</v>
      </c>
      <c r="K6347" s="2" t="b">
        <v>0</v>
      </c>
      <c r="L6347" s="2"/>
      <c r="M6347" s="2"/>
      <c r="N6347" s="4" t="s">
        <v>2259</v>
      </c>
      <c r="O6347" s="4" t="str">
        <f>LEFT(Table2[[#This Row],[Description]],75)</f>
        <v>SCHWAB TOTAL STOCK MARKET INDEX</v>
      </c>
      <c r="P6347" s="2" t="s">
        <v>2281</v>
      </c>
    </row>
    <row r="6348" spans="1:16" hidden="1">
      <c r="A6348" s="2">
        <v>202112</v>
      </c>
      <c r="B6348" s="3">
        <v>44560</v>
      </c>
      <c r="C6348" s="2" t="s">
        <v>2275</v>
      </c>
      <c r="D6348" s="2" t="s">
        <v>1634</v>
      </c>
      <c r="E6348" s="2">
        <v>0.91</v>
      </c>
      <c r="F6348" s="2" t="e">
        <f>IF(Table2[[#This Row],[Manual Cat Value]]="",VLOOKUP(Table2[[#This Row],[Description]],'Actuals Lookup'!D:F,3,0),Table2[[#This Row],[Manual Cat Value]])</f>
        <v>#N/A</v>
      </c>
      <c r="J6348" s="2">
        <v>0.91</v>
      </c>
      <c r="K6348" s="2" t="b">
        <v>0</v>
      </c>
      <c r="L6348" s="2"/>
      <c r="M6348" s="2"/>
      <c r="N6348" s="4" t="s">
        <v>2259</v>
      </c>
      <c r="O6348" s="4" t="str">
        <f>LEFT(Table2[[#This Row],[Description]],75)</f>
        <v>SCHWAB TOTAL STOCK MARKET INDEX</v>
      </c>
      <c r="P6348" s="2" t="s">
        <v>2281</v>
      </c>
    </row>
    <row r="6349" spans="1:16" hidden="1">
      <c r="A6349" s="2">
        <v>202112</v>
      </c>
      <c r="B6349" s="3">
        <v>44560</v>
      </c>
      <c r="C6349" s="2" t="s">
        <v>2317</v>
      </c>
      <c r="D6349" s="2" t="s">
        <v>1634</v>
      </c>
      <c r="E6349" s="2">
        <v>1.47</v>
      </c>
      <c r="F6349" s="2" t="e">
        <f>IF(Table2[[#This Row],[Manual Cat Value]]="",VLOOKUP(Table2[[#This Row],[Description]],'Actuals Lookup'!D:F,3,0),Table2[[#This Row],[Manual Cat Value]])</f>
        <v>#N/A</v>
      </c>
      <c r="J6349" s="2">
        <v>1.47</v>
      </c>
      <c r="K6349" s="2" t="b">
        <v>0</v>
      </c>
      <c r="L6349" s="2"/>
      <c r="M6349" s="2"/>
      <c r="N6349" s="4" t="s">
        <v>2259</v>
      </c>
      <c r="O6349" s="4" t="str">
        <f>LEFT(Table2[[#This Row],[Description]],75)</f>
        <v>SCHWAB TOTAL STOCK MARKET INDEX</v>
      </c>
      <c r="P6349" s="2" t="s">
        <v>2385</v>
      </c>
    </row>
    <row r="6350" spans="1:16" hidden="1">
      <c r="A6350" s="2">
        <v>202112</v>
      </c>
      <c r="B6350" s="3">
        <v>44560</v>
      </c>
      <c r="C6350" s="2" t="s">
        <v>2277</v>
      </c>
      <c r="D6350" s="2" t="s">
        <v>1634</v>
      </c>
      <c r="E6350" s="2">
        <v>0.91</v>
      </c>
      <c r="F6350" s="2" t="e">
        <f>IF(Table2[[#This Row],[Manual Cat Value]]="",VLOOKUP(Table2[[#This Row],[Description]],'Actuals Lookup'!D:F,3,0),Table2[[#This Row],[Manual Cat Value]])</f>
        <v>#N/A</v>
      </c>
      <c r="J6350" s="2">
        <v>0.91</v>
      </c>
      <c r="K6350" s="2" t="b">
        <v>0</v>
      </c>
      <c r="L6350" s="2"/>
      <c r="M6350" s="2"/>
      <c r="N6350" s="4" t="s">
        <v>2259</v>
      </c>
      <c r="O6350" s="4" t="str">
        <f>LEFT(Table2[[#This Row],[Description]],75)</f>
        <v>SCHWAB TOTAL STOCK MARKET INDEX</v>
      </c>
      <c r="P6350" s="2" t="s">
        <v>2281</v>
      </c>
    </row>
    <row r="6351" spans="1:16" hidden="1">
      <c r="A6351" s="2">
        <v>202112</v>
      </c>
      <c r="B6351" s="3">
        <v>44560</v>
      </c>
      <c r="C6351" s="2" t="s">
        <v>2355</v>
      </c>
      <c r="D6351" s="2" t="s">
        <v>1634</v>
      </c>
      <c r="E6351" s="2">
        <v>-2.29</v>
      </c>
      <c r="F6351" s="2" t="e">
        <f>IF(Table2[[#This Row],[Manual Cat Value]]="",VLOOKUP(Table2[[#This Row],[Description]],'Actuals Lookup'!D:F,3,0),Table2[[#This Row],[Manual Cat Value]])</f>
        <v>#N/A</v>
      </c>
      <c r="J6351" s="2">
        <v>2.29</v>
      </c>
      <c r="K6351" s="2" t="b">
        <v>0</v>
      </c>
      <c r="L6351" s="2"/>
      <c r="M6351" s="2"/>
      <c r="N6351" s="4" t="s">
        <v>2273</v>
      </c>
      <c r="O6351" s="4" t="str">
        <f>LEFT(Table2[[#This Row],[Description]],75)</f>
        <v>SCHWAB TOTAL STOCK MARKET INDEX</v>
      </c>
      <c r="P6351" s="2" t="s">
        <v>2281</v>
      </c>
    </row>
    <row r="6352" spans="1:16" hidden="1">
      <c r="A6352" s="2">
        <v>202112</v>
      </c>
      <c r="B6352" s="3">
        <v>44560</v>
      </c>
      <c r="C6352" s="2" t="s">
        <v>2488</v>
      </c>
      <c r="D6352" s="2" t="s">
        <v>1634</v>
      </c>
      <c r="E6352" s="2">
        <v>-2.14</v>
      </c>
      <c r="F6352" s="2" t="e">
        <f>IF(Table2[[#This Row],[Manual Cat Value]]="",VLOOKUP(Table2[[#This Row],[Description]],'Actuals Lookup'!D:F,3,0),Table2[[#This Row],[Manual Cat Value]])</f>
        <v>#N/A</v>
      </c>
      <c r="J6352" s="2">
        <v>2.14</v>
      </c>
      <c r="K6352" s="2" t="b">
        <v>0</v>
      </c>
      <c r="L6352" s="2"/>
      <c r="M6352" s="2"/>
      <c r="N6352" s="4" t="s">
        <v>2273</v>
      </c>
      <c r="O6352" s="4" t="str">
        <f>LEFT(Table2[[#This Row],[Description]],75)</f>
        <v>SCHWAB TOTAL STOCK MARKET INDEX</v>
      </c>
      <c r="P6352" s="2" t="s">
        <v>2281</v>
      </c>
    </row>
    <row r="6353" spans="1:16" hidden="1">
      <c r="A6353" s="2">
        <v>202112</v>
      </c>
      <c r="B6353" s="3">
        <v>44560</v>
      </c>
      <c r="C6353" s="2" t="s">
        <v>2277</v>
      </c>
      <c r="D6353" s="2" t="s">
        <v>1634</v>
      </c>
      <c r="E6353" s="2">
        <v>-2.29</v>
      </c>
      <c r="F6353" s="2" t="e">
        <f>IF(Table2[[#This Row],[Manual Cat Value]]="",VLOOKUP(Table2[[#This Row],[Description]],'Actuals Lookup'!D:F,3,0),Table2[[#This Row],[Manual Cat Value]])</f>
        <v>#N/A</v>
      </c>
      <c r="J6353" s="2">
        <v>2.29</v>
      </c>
      <c r="K6353" s="2" t="b">
        <v>0</v>
      </c>
      <c r="L6353" s="2"/>
      <c r="M6353" s="2"/>
      <c r="N6353" s="4" t="s">
        <v>2273</v>
      </c>
      <c r="O6353" s="4" t="str">
        <f>LEFT(Table2[[#This Row],[Description]],75)</f>
        <v>SCHWAB TOTAL STOCK MARKET INDEX</v>
      </c>
      <c r="P6353" s="2" t="s">
        <v>2281</v>
      </c>
    </row>
    <row r="6354" spans="1:16" hidden="1">
      <c r="A6354" s="2">
        <v>202112</v>
      </c>
      <c r="B6354" s="3">
        <v>44560</v>
      </c>
      <c r="C6354" s="2" t="s">
        <v>2528</v>
      </c>
      <c r="D6354" s="2" t="s">
        <v>1634</v>
      </c>
      <c r="E6354" s="2">
        <v>-1.83</v>
      </c>
      <c r="F6354" s="2" t="e">
        <f>IF(Table2[[#This Row],[Manual Cat Value]]="",VLOOKUP(Table2[[#This Row],[Description]],'Actuals Lookup'!D:F,3,0),Table2[[#This Row],[Manual Cat Value]])</f>
        <v>#N/A</v>
      </c>
      <c r="J6354" s="2">
        <v>1.83</v>
      </c>
      <c r="K6354" s="2" t="b">
        <v>0</v>
      </c>
      <c r="L6354" s="2"/>
      <c r="M6354" s="2"/>
      <c r="N6354" s="4" t="s">
        <v>2273</v>
      </c>
      <c r="O6354" s="4" t="str">
        <f>LEFT(Table2[[#This Row],[Description]],75)</f>
        <v>SCHWAB TOTAL STOCK MARKET INDEX</v>
      </c>
      <c r="P6354" s="2" t="s">
        <v>2281</v>
      </c>
    </row>
    <row r="6355" spans="1:16" hidden="1">
      <c r="A6355" s="2">
        <v>202112</v>
      </c>
      <c r="B6355" s="3">
        <v>44560</v>
      </c>
      <c r="C6355" s="2" t="s">
        <v>2355</v>
      </c>
      <c r="D6355" s="2" t="s">
        <v>1634</v>
      </c>
      <c r="E6355" s="2">
        <v>2.29</v>
      </c>
      <c r="F6355" s="2" t="e">
        <f>IF(Table2[[#This Row],[Manual Cat Value]]="",VLOOKUP(Table2[[#This Row],[Description]],'Actuals Lookup'!D:F,3,0),Table2[[#This Row],[Manual Cat Value]])</f>
        <v>#N/A</v>
      </c>
      <c r="J6355" s="2">
        <v>2.29</v>
      </c>
      <c r="K6355" s="2" t="b">
        <v>0</v>
      </c>
      <c r="L6355" s="2"/>
      <c r="M6355" s="2"/>
      <c r="N6355" s="4" t="s">
        <v>2259</v>
      </c>
      <c r="O6355" s="4" t="str">
        <f>LEFT(Table2[[#This Row],[Description]],75)</f>
        <v>SCHWAB TOTAL STOCK MARKET INDEX</v>
      </c>
      <c r="P6355" s="2" t="s">
        <v>2281</v>
      </c>
    </row>
    <row r="6356" spans="1:16" hidden="1">
      <c r="A6356" s="2">
        <v>202112</v>
      </c>
      <c r="B6356" s="3">
        <v>44560</v>
      </c>
      <c r="C6356" s="2" t="s">
        <v>2488</v>
      </c>
      <c r="D6356" s="2" t="s">
        <v>1634</v>
      </c>
      <c r="E6356" s="2">
        <v>2.14</v>
      </c>
      <c r="F6356" s="2" t="e">
        <f>IF(Table2[[#This Row],[Manual Cat Value]]="",VLOOKUP(Table2[[#This Row],[Description]],'Actuals Lookup'!D:F,3,0),Table2[[#This Row],[Manual Cat Value]])</f>
        <v>#N/A</v>
      </c>
      <c r="J6356" s="2">
        <v>2.14</v>
      </c>
      <c r="K6356" s="2" t="b">
        <v>0</v>
      </c>
      <c r="L6356" s="2"/>
      <c r="M6356" s="2"/>
      <c r="N6356" s="4" t="s">
        <v>2259</v>
      </c>
      <c r="O6356" s="4" t="str">
        <f>LEFT(Table2[[#This Row],[Description]],75)</f>
        <v>SCHWAB TOTAL STOCK MARKET INDEX</v>
      </c>
      <c r="P6356" s="2" t="s">
        <v>2281</v>
      </c>
    </row>
    <row r="6357" spans="1:16" hidden="1">
      <c r="A6357" s="2">
        <v>202112</v>
      </c>
      <c r="B6357" s="3">
        <v>44560</v>
      </c>
      <c r="C6357" s="2" t="s">
        <v>2277</v>
      </c>
      <c r="D6357" s="2" t="s">
        <v>1634</v>
      </c>
      <c r="E6357" s="2">
        <v>2.29</v>
      </c>
      <c r="F6357" s="2" t="e">
        <f>IF(Table2[[#This Row],[Manual Cat Value]]="",VLOOKUP(Table2[[#This Row],[Description]],'Actuals Lookup'!D:F,3,0),Table2[[#This Row],[Manual Cat Value]])</f>
        <v>#N/A</v>
      </c>
      <c r="J6357" s="2">
        <v>2.29</v>
      </c>
      <c r="K6357" s="2" t="b">
        <v>0</v>
      </c>
      <c r="L6357" s="2"/>
      <c r="M6357" s="2"/>
      <c r="N6357" s="4" t="s">
        <v>2259</v>
      </c>
      <c r="O6357" s="4" t="str">
        <f>LEFT(Table2[[#This Row],[Description]],75)</f>
        <v>SCHWAB TOTAL STOCK MARKET INDEX</v>
      </c>
      <c r="P6357" s="2" t="s">
        <v>2281</v>
      </c>
    </row>
    <row r="6358" spans="1:16" hidden="1">
      <c r="A6358" s="2">
        <v>202112</v>
      </c>
      <c r="B6358" s="3">
        <v>44560</v>
      </c>
      <c r="C6358" s="2" t="s">
        <v>2528</v>
      </c>
      <c r="D6358" s="2" t="s">
        <v>1634</v>
      </c>
      <c r="E6358" s="2">
        <v>1.83</v>
      </c>
      <c r="F6358" s="2" t="e">
        <f>IF(Table2[[#This Row],[Manual Cat Value]]="",VLOOKUP(Table2[[#This Row],[Description]],'Actuals Lookup'!D:F,3,0),Table2[[#This Row],[Manual Cat Value]])</f>
        <v>#N/A</v>
      </c>
      <c r="J6358" s="2">
        <v>1.83</v>
      </c>
      <c r="K6358" s="2" t="b">
        <v>0</v>
      </c>
      <c r="L6358" s="2"/>
      <c r="M6358" s="2"/>
      <c r="N6358" s="4" t="s">
        <v>2259</v>
      </c>
      <c r="O6358" s="4" t="str">
        <f>LEFT(Table2[[#This Row],[Description]],75)</f>
        <v>SCHWAB TOTAL STOCK MARKET INDEX</v>
      </c>
      <c r="P6358" s="2" t="s">
        <v>2281</v>
      </c>
    </row>
    <row r="6359" spans="1:16" hidden="1">
      <c r="A6359" s="2">
        <v>202112</v>
      </c>
      <c r="B6359" s="3">
        <v>44560</v>
      </c>
      <c r="C6359" s="2" t="s">
        <v>2434</v>
      </c>
      <c r="D6359" s="2" t="s">
        <v>1634</v>
      </c>
      <c r="E6359" s="2">
        <v>-3.07</v>
      </c>
      <c r="F6359" s="2" t="e">
        <f>IF(Table2[[#This Row],[Manual Cat Value]]="",VLOOKUP(Table2[[#This Row],[Description]],'Actuals Lookup'!D:F,3,0),Table2[[#This Row],[Manual Cat Value]])</f>
        <v>#N/A</v>
      </c>
      <c r="J6359" s="2">
        <v>3.07</v>
      </c>
      <c r="K6359" s="2" t="b">
        <v>0</v>
      </c>
      <c r="L6359" s="2"/>
      <c r="M6359" s="2"/>
      <c r="N6359" s="4" t="s">
        <v>2273</v>
      </c>
      <c r="O6359" s="4" t="str">
        <f>LEFT(Table2[[#This Row],[Description]],75)</f>
        <v>SCHWAB TOTAL STOCK MARKET INDEX</v>
      </c>
      <c r="P6359" s="2" t="s">
        <v>2281</v>
      </c>
    </row>
    <row r="6360" spans="1:16" hidden="1">
      <c r="A6360" s="2">
        <v>202112</v>
      </c>
      <c r="B6360" s="3">
        <v>44560</v>
      </c>
      <c r="C6360" s="2" t="s">
        <v>2434</v>
      </c>
      <c r="D6360" s="2" t="s">
        <v>1634</v>
      </c>
      <c r="E6360" s="2">
        <v>3.07</v>
      </c>
      <c r="F6360" s="2" t="e">
        <f>IF(Table2[[#This Row],[Manual Cat Value]]="",VLOOKUP(Table2[[#This Row],[Description]],'Actuals Lookup'!D:F,3,0),Table2[[#This Row],[Manual Cat Value]])</f>
        <v>#N/A</v>
      </c>
      <c r="J6360" s="2">
        <v>3.07</v>
      </c>
      <c r="K6360" s="2" t="b">
        <v>0</v>
      </c>
      <c r="L6360" s="2"/>
      <c r="M6360" s="2"/>
      <c r="N6360" s="4" t="s">
        <v>2259</v>
      </c>
      <c r="O6360" s="4" t="str">
        <f>LEFT(Table2[[#This Row],[Description]],75)</f>
        <v>SCHWAB TOTAL STOCK MARKET INDEX</v>
      </c>
      <c r="P6360" s="2" t="s">
        <v>2281</v>
      </c>
    </row>
    <row r="6361" spans="1:16" hidden="1">
      <c r="A6361" s="2">
        <v>202112</v>
      </c>
      <c r="B6361" s="3">
        <v>44560</v>
      </c>
      <c r="C6361" s="2" t="s">
        <v>2435</v>
      </c>
      <c r="D6361" s="2" t="s">
        <v>1634</v>
      </c>
      <c r="E6361" s="2">
        <v>-3.82</v>
      </c>
      <c r="F6361" s="2" t="e">
        <f>IF(Table2[[#This Row],[Manual Cat Value]]="",VLOOKUP(Table2[[#This Row],[Description]],'Actuals Lookup'!D:F,3,0),Table2[[#This Row],[Manual Cat Value]])</f>
        <v>#N/A</v>
      </c>
      <c r="J6361" s="2">
        <v>3.82</v>
      </c>
      <c r="K6361" s="2" t="b">
        <v>0</v>
      </c>
      <c r="L6361" s="2"/>
      <c r="M6361" s="2"/>
      <c r="N6361" s="4" t="s">
        <v>2273</v>
      </c>
      <c r="O6361" s="4" t="str">
        <f>LEFT(Table2[[#This Row],[Description]],75)</f>
        <v>SCHWAB TOTAL STOCK MARKET INDEX</v>
      </c>
      <c r="P6361" s="2" t="s">
        <v>2281</v>
      </c>
    </row>
    <row r="6362" spans="1:16" hidden="1">
      <c r="A6362" s="2">
        <v>202112</v>
      </c>
      <c r="B6362" s="3">
        <v>44560</v>
      </c>
      <c r="C6362" s="2" t="s">
        <v>2435</v>
      </c>
      <c r="D6362" s="2" t="s">
        <v>1634</v>
      </c>
      <c r="E6362" s="2">
        <v>3.82</v>
      </c>
      <c r="F6362" s="2" t="e">
        <f>IF(Table2[[#This Row],[Manual Cat Value]]="",VLOOKUP(Table2[[#This Row],[Description]],'Actuals Lookup'!D:F,3,0),Table2[[#This Row],[Manual Cat Value]])</f>
        <v>#N/A</v>
      </c>
      <c r="J6362" s="2">
        <v>3.82</v>
      </c>
      <c r="K6362" s="2" t="b">
        <v>0</v>
      </c>
      <c r="L6362" s="2"/>
      <c r="M6362" s="2"/>
      <c r="N6362" s="4" t="s">
        <v>2259</v>
      </c>
      <c r="O6362" s="4" t="str">
        <f>LEFT(Table2[[#This Row],[Description]],75)</f>
        <v>SCHWAB TOTAL STOCK MARKET INDEX</v>
      </c>
      <c r="P6362" s="2" t="s">
        <v>2281</v>
      </c>
    </row>
    <row r="6363" spans="1:16" hidden="1">
      <c r="A6363" s="2">
        <v>202112</v>
      </c>
      <c r="B6363" s="3">
        <v>44560</v>
      </c>
      <c r="C6363" s="2" t="s">
        <v>2275</v>
      </c>
      <c r="D6363" s="2" t="s">
        <v>1634</v>
      </c>
      <c r="E6363" s="2">
        <v>-5.25</v>
      </c>
      <c r="F6363" s="2" t="e">
        <f>IF(Table2[[#This Row],[Manual Cat Value]]="",VLOOKUP(Table2[[#This Row],[Description]],'Actuals Lookup'!D:F,3,0),Table2[[#This Row],[Manual Cat Value]])</f>
        <v>#N/A</v>
      </c>
      <c r="J6363" s="2">
        <v>5.25</v>
      </c>
      <c r="K6363" s="2" t="b">
        <v>0</v>
      </c>
      <c r="L6363" s="2"/>
      <c r="M6363" s="2"/>
      <c r="N6363" s="4" t="s">
        <v>2273</v>
      </c>
      <c r="O6363" s="4" t="str">
        <f>LEFT(Table2[[#This Row],[Description]],75)</f>
        <v>SCHWAB TOTAL STOCK MARKET INDEX</v>
      </c>
      <c r="P6363" s="2" t="s">
        <v>2281</v>
      </c>
    </row>
    <row r="6364" spans="1:16" hidden="1">
      <c r="A6364" s="2">
        <v>202112</v>
      </c>
      <c r="B6364" s="3">
        <v>44560</v>
      </c>
      <c r="C6364" s="2" t="s">
        <v>2277</v>
      </c>
      <c r="D6364" s="2" t="s">
        <v>1634</v>
      </c>
      <c r="E6364" s="2">
        <v>-5.25</v>
      </c>
      <c r="F6364" s="2" t="e">
        <f>IF(Table2[[#This Row],[Manual Cat Value]]="",VLOOKUP(Table2[[#This Row],[Description]],'Actuals Lookup'!D:F,3,0),Table2[[#This Row],[Manual Cat Value]])</f>
        <v>#N/A</v>
      </c>
      <c r="J6364" s="2">
        <v>5.25</v>
      </c>
      <c r="K6364" s="2" t="b">
        <v>0</v>
      </c>
      <c r="L6364" s="2"/>
      <c r="M6364" s="2"/>
      <c r="N6364" s="4" t="s">
        <v>2273</v>
      </c>
      <c r="O6364" s="4" t="str">
        <f>LEFT(Table2[[#This Row],[Description]],75)</f>
        <v>SCHWAB TOTAL STOCK MARKET INDEX</v>
      </c>
      <c r="P6364" s="2" t="s">
        <v>2281</v>
      </c>
    </row>
    <row r="6365" spans="1:16" hidden="1">
      <c r="A6365" s="2">
        <v>202112</v>
      </c>
      <c r="B6365" s="3">
        <v>44560</v>
      </c>
      <c r="C6365" s="2" t="s">
        <v>2275</v>
      </c>
      <c r="D6365" s="2" t="s">
        <v>1634</v>
      </c>
      <c r="E6365" s="2">
        <v>5.25</v>
      </c>
      <c r="F6365" s="2" t="e">
        <f>IF(Table2[[#This Row],[Manual Cat Value]]="",VLOOKUP(Table2[[#This Row],[Description]],'Actuals Lookup'!D:F,3,0),Table2[[#This Row],[Manual Cat Value]])</f>
        <v>#N/A</v>
      </c>
      <c r="J6365" s="2">
        <v>5.25</v>
      </c>
      <c r="K6365" s="2" t="b">
        <v>0</v>
      </c>
      <c r="L6365" s="2"/>
      <c r="M6365" s="2"/>
      <c r="N6365" s="4" t="s">
        <v>2259</v>
      </c>
      <c r="O6365" s="4" t="str">
        <f>LEFT(Table2[[#This Row],[Description]],75)</f>
        <v>SCHWAB TOTAL STOCK MARKET INDEX</v>
      </c>
      <c r="P6365" s="2" t="s">
        <v>2281</v>
      </c>
    </row>
    <row r="6366" spans="1:16" hidden="1">
      <c r="A6366" s="2">
        <v>202112</v>
      </c>
      <c r="B6366" s="3">
        <v>44560</v>
      </c>
      <c r="C6366" s="2" t="s">
        <v>2277</v>
      </c>
      <c r="D6366" s="2" t="s">
        <v>1634</v>
      </c>
      <c r="E6366" s="2">
        <v>5.25</v>
      </c>
      <c r="F6366" s="2" t="e">
        <f>IF(Table2[[#This Row],[Manual Cat Value]]="",VLOOKUP(Table2[[#This Row],[Description]],'Actuals Lookup'!D:F,3,0),Table2[[#This Row],[Manual Cat Value]])</f>
        <v>#N/A</v>
      </c>
      <c r="J6366" s="2">
        <v>5.25</v>
      </c>
      <c r="K6366" s="2" t="b">
        <v>0</v>
      </c>
      <c r="L6366" s="2"/>
      <c r="M6366" s="2"/>
      <c r="N6366" s="4" t="s">
        <v>2259</v>
      </c>
      <c r="O6366" s="4" t="str">
        <f>LEFT(Table2[[#This Row],[Description]],75)</f>
        <v>SCHWAB TOTAL STOCK MARKET INDEX</v>
      </c>
      <c r="P6366" s="2" t="s">
        <v>2281</v>
      </c>
    </row>
    <row r="6367" spans="1:16" hidden="1">
      <c r="A6367" s="2">
        <v>202112</v>
      </c>
      <c r="B6367" s="3">
        <v>44560</v>
      </c>
      <c r="C6367" s="2" t="s">
        <v>2317</v>
      </c>
      <c r="D6367" s="2" t="s">
        <v>1634</v>
      </c>
      <c r="E6367" s="2">
        <v>-7.04</v>
      </c>
      <c r="F6367" s="2" t="e">
        <f>IF(Table2[[#This Row],[Manual Cat Value]]="",VLOOKUP(Table2[[#This Row],[Description]],'Actuals Lookup'!D:F,3,0),Table2[[#This Row],[Manual Cat Value]])</f>
        <v>#N/A</v>
      </c>
      <c r="J6367" s="2">
        <v>7.04</v>
      </c>
      <c r="K6367" s="2" t="b">
        <v>0</v>
      </c>
      <c r="L6367" s="2"/>
      <c r="M6367" s="2"/>
      <c r="N6367" s="4" t="s">
        <v>2273</v>
      </c>
      <c r="O6367" s="4" t="str">
        <f>LEFT(Table2[[#This Row],[Description]],75)</f>
        <v>SCHWAB TOTAL STOCK MARKET INDEX</v>
      </c>
      <c r="P6367" s="2" t="s">
        <v>2385</v>
      </c>
    </row>
    <row r="6368" spans="1:16" hidden="1">
      <c r="A6368" s="2">
        <v>202112</v>
      </c>
      <c r="B6368" s="3">
        <v>44560</v>
      </c>
      <c r="C6368" s="2" t="s">
        <v>2317</v>
      </c>
      <c r="D6368" s="2" t="s">
        <v>1634</v>
      </c>
      <c r="E6368" s="2">
        <v>7.04</v>
      </c>
      <c r="F6368" s="2" t="e">
        <f>IF(Table2[[#This Row],[Manual Cat Value]]="",VLOOKUP(Table2[[#This Row],[Description]],'Actuals Lookup'!D:F,3,0),Table2[[#This Row],[Manual Cat Value]])</f>
        <v>#N/A</v>
      </c>
      <c r="J6368" s="2">
        <v>7.04</v>
      </c>
      <c r="K6368" s="2" t="b">
        <v>0</v>
      </c>
      <c r="L6368" s="2"/>
      <c r="M6368" s="2"/>
      <c r="N6368" s="4" t="s">
        <v>2259</v>
      </c>
      <c r="O6368" s="4" t="str">
        <f>LEFT(Table2[[#This Row],[Description]],75)</f>
        <v>SCHWAB TOTAL STOCK MARKET INDEX</v>
      </c>
      <c r="P6368" s="2" t="s">
        <v>2385</v>
      </c>
    </row>
    <row r="6369" spans="1:16" hidden="1">
      <c r="A6369" s="2">
        <v>202112</v>
      </c>
      <c r="B6369" s="3">
        <v>44560</v>
      </c>
      <c r="C6369" s="2" t="s">
        <v>2528</v>
      </c>
      <c r="D6369" s="2" t="s">
        <v>1634</v>
      </c>
      <c r="E6369" s="2">
        <v>-8.74</v>
      </c>
      <c r="F6369" s="2" t="e">
        <f>IF(Table2[[#This Row],[Manual Cat Value]]="",VLOOKUP(Table2[[#This Row],[Description]],'Actuals Lookup'!D:F,3,0),Table2[[#This Row],[Manual Cat Value]])</f>
        <v>#N/A</v>
      </c>
      <c r="J6369" s="2">
        <v>8.74</v>
      </c>
      <c r="K6369" s="2" t="b">
        <v>0</v>
      </c>
      <c r="L6369" s="2"/>
      <c r="M6369" s="2"/>
      <c r="N6369" s="4" t="s">
        <v>2273</v>
      </c>
      <c r="O6369" s="4" t="str">
        <f>LEFT(Table2[[#This Row],[Description]],75)</f>
        <v>SCHWAB TOTAL STOCK MARKET INDEX</v>
      </c>
      <c r="P6369" s="2" t="s">
        <v>2281</v>
      </c>
    </row>
    <row r="6370" spans="1:16" hidden="1">
      <c r="A6370" s="2">
        <v>202112</v>
      </c>
      <c r="B6370" s="3">
        <v>44560</v>
      </c>
      <c r="C6370" s="2" t="s">
        <v>2528</v>
      </c>
      <c r="D6370" s="2" t="s">
        <v>1634</v>
      </c>
      <c r="E6370" s="2">
        <v>8.74</v>
      </c>
      <c r="F6370" s="2" t="e">
        <f>IF(Table2[[#This Row],[Manual Cat Value]]="",VLOOKUP(Table2[[#This Row],[Description]],'Actuals Lookup'!D:F,3,0),Table2[[#This Row],[Manual Cat Value]])</f>
        <v>#N/A</v>
      </c>
      <c r="J6370" s="2">
        <v>8.74</v>
      </c>
      <c r="K6370" s="2" t="b">
        <v>0</v>
      </c>
      <c r="L6370" s="2"/>
      <c r="M6370" s="2"/>
      <c r="N6370" s="4" t="s">
        <v>2259</v>
      </c>
      <c r="O6370" s="4" t="str">
        <f>LEFT(Table2[[#This Row],[Description]],75)</f>
        <v>SCHWAB TOTAL STOCK MARKET INDEX</v>
      </c>
      <c r="P6370" s="2" t="s">
        <v>2281</v>
      </c>
    </row>
    <row r="6371" spans="1:16" hidden="1">
      <c r="A6371" s="2">
        <v>202112</v>
      </c>
      <c r="B6371" s="3">
        <v>44560</v>
      </c>
      <c r="C6371" s="2" t="s">
        <v>2488</v>
      </c>
      <c r="D6371" s="2" t="s">
        <v>1634</v>
      </c>
      <c r="E6371" s="2">
        <v>-10.199999999999999</v>
      </c>
      <c r="F6371" s="2" t="e">
        <f>IF(Table2[[#This Row],[Manual Cat Value]]="",VLOOKUP(Table2[[#This Row],[Description]],'Actuals Lookup'!D:F,3,0),Table2[[#This Row],[Manual Cat Value]])</f>
        <v>#N/A</v>
      </c>
      <c r="J6371" s="2">
        <v>10.199999999999999</v>
      </c>
      <c r="K6371" s="2" t="b">
        <v>0</v>
      </c>
      <c r="L6371" s="2"/>
      <c r="M6371" s="2"/>
      <c r="N6371" s="4" t="s">
        <v>2273</v>
      </c>
      <c r="O6371" s="4" t="str">
        <f>LEFT(Table2[[#This Row],[Description]],75)</f>
        <v>SCHWAB TOTAL STOCK MARKET INDEX</v>
      </c>
      <c r="P6371" s="2" t="s">
        <v>2281</v>
      </c>
    </row>
    <row r="6372" spans="1:16" hidden="1">
      <c r="A6372" s="2">
        <v>202112</v>
      </c>
      <c r="B6372" s="3">
        <v>44560</v>
      </c>
      <c r="C6372" s="2" t="s">
        <v>2488</v>
      </c>
      <c r="D6372" s="2" t="s">
        <v>1634</v>
      </c>
      <c r="E6372" s="2">
        <v>10.199999999999999</v>
      </c>
      <c r="F6372" s="2" t="e">
        <f>IF(Table2[[#This Row],[Manual Cat Value]]="",VLOOKUP(Table2[[#This Row],[Description]],'Actuals Lookup'!D:F,3,0),Table2[[#This Row],[Manual Cat Value]])</f>
        <v>#N/A</v>
      </c>
      <c r="J6372" s="2">
        <v>10.199999999999999</v>
      </c>
      <c r="K6372" s="2" t="b">
        <v>0</v>
      </c>
      <c r="L6372" s="2"/>
      <c r="M6372" s="2"/>
      <c r="N6372" s="4" t="s">
        <v>2259</v>
      </c>
      <c r="O6372" s="4" t="str">
        <f>LEFT(Table2[[#This Row],[Description]],75)</f>
        <v>SCHWAB TOTAL STOCK MARKET INDEX</v>
      </c>
      <c r="P6372" s="2" t="s">
        <v>2281</v>
      </c>
    </row>
    <row r="6373" spans="1:16" hidden="1">
      <c r="A6373" s="2">
        <v>202112</v>
      </c>
      <c r="B6373" s="3">
        <v>44560</v>
      </c>
      <c r="C6373" s="2" t="s">
        <v>2355</v>
      </c>
      <c r="D6373" s="2" t="s">
        <v>1634</v>
      </c>
      <c r="E6373" s="2">
        <v>-13.16</v>
      </c>
      <c r="F6373" s="2" t="e">
        <f>IF(Table2[[#This Row],[Manual Cat Value]]="",VLOOKUP(Table2[[#This Row],[Description]],'Actuals Lookup'!D:F,3,0),Table2[[#This Row],[Manual Cat Value]])</f>
        <v>#N/A</v>
      </c>
      <c r="J6373" s="2">
        <v>13.16</v>
      </c>
      <c r="K6373" s="2" t="b">
        <v>0</v>
      </c>
      <c r="L6373" s="2"/>
      <c r="M6373" s="2"/>
      <c r="N6373" s="4" t="s">
        <v>2273</v>
      </c>
      <c r="O6373" s="4" t="str">
        <f>LEFT(Table2[[#This Row],[Description]],75)</f>
        <v>SCHWAB TOTAL STOCK MARKET INDEX</v>
      </c>
      <c r="P6373" s="2" t="s">
        <v>2281</v>
      </c>
    </row>
    <row r="6374" spans="1:16" hidden="1">
      <c r="A6374" s="2">
        <v>202112</v>
      </c>
      <c r="B6374" s="3">
        <v>44560</v>
      </c>
      <c r="C6374" s="2" t="s">
        <v>2277</v>
      </c>
      <c r="D6374" s="2" t="s">
        <v>1634</v>
      </c>
      <c r="E6374" s="2">
        <v>-13.16</v>
      </c>
      <c r="F6374" s="2" t="e">
        <f>IF(Table2[[#This Row],[Manual Cat Value]]="",VLOOKUP(Table2[[#This Row],[Description]],'Actuals Lookup'!D:F,3,0),Table2[[#This Row],[Manual Cat Value]])</f>
        <v>#N/A</v>
      </c>
      <c r="J6374" s="2">
        <v>13.16</v>
      </c>
      <c r="K6374" s="2" t="b">
        <v>0</v>
      </c>
      <c r="L6374" s="2"/>
      <c r="M6374" s="2"/>
      <c r="N6374" s="4" t="s">
        <v>2273</v>
      </c>
      <c r="O6374" s="4" t="str">
        <f>LEFT(Table2[[#This Row],[Description]],75)</f>
        <v>SCHWAB TOTAL STOCK MARKET INDEX</v>
      </c>
      <c r="P6374" s="2" t="s">
        <v>2281</v>
      </c>
    </row>
    <row r="6375" spans="1:16" hidden="1">
      <c r="A6375" s="2">
        <v>202112</v>
      </c>
      <c r="B6375" s="3">
        <v>44560</v>
      </c>
      <c r="C6375" s="2" t="s">
        <v>2355</v>
      </c>
      <c r="D6375" s="2" t="s">
        <v>1634</v>
      </c>
      <c r="E6375" s="2">
        <v>13.16</v>
      </c>
      <c r="F6375" s="2" t="e">
        <f>IF(Table2[[#This Row],[Manual Cat Value]]="",VLOOKUP(Table2[[#This Row],[Description]],'Actuals Lookup'!D:F,3,0),Table2[[#This Row],[Manual Cat Value]])</f>
        <v>#N/A</v>
      </c>
      <c r="J6375" s="2">
        <v>13.16</v>
      </c>
      <c r="K6375" s="2" t="b">
        <v>0</v>
      </c>
      <c r="L6375" s="2"/>
      <c r="M6375" s="2"/>
      <c r="N6375" s="4" t="s">
        <v>2259</v>
      </c>
      <c r="O6375" s="4" t="str">
        <f>LEFT(Table2[[#This Row],[Description]],75)</f>
        <v>SCHWAB TOTAL STOCK MARKET INDEX</v>
      </c>
      <c r="P6375" s="2" t="s">
        <v>2281</v>
      </c>
    </row>
    <row r="6376" spans="1:16" hidden="1">
      <c r="A6376" s="2">
        <v>202112</v>
      </c>
      <c r="B6376" s="3">
        <v>44560</v>
      </c>
      <c r="C6376" s="2" t="s">
        <v>2277</v>
      </c>
      <c r="D6376" s="2" t="s">
        <v>1634</v>
      </c>
      <c r="E6376" s="2">
        <v>13.16</v>
      </c>
      <c r="F6376" s="2" t="e">
        <f>IF(Table2[[#This Row],[Manual Cat Value]]="",VLOOKUP(Table2[[#This Row],[Description]],'Actuals Lookup'!D:F,3,0),Table2[[#This Row],[Manual Cat Value]])</f>
        <v>#N/A</v>
      </c>
      <c r="J6376" s="2">
        <v>13.16</v>
      </c>
      <c r="K6376" s="2" t="b">
        <v>0</v>
      </c>
      <c r="L6376" s="2"/>
      <c r="M6376" s="2"/>
      <c r="N6376" s="4" t="s">
        <v>2259</v>
      </c>
      <c r="O6376" s="4" t="str">
        <f>LEFT(Table2[[#This Row],[Description]],75)</f>
        <v>SCHWAB TOTAL STOCK MARKET INDEX</v>
      </c>
      <c r="P6376" s="2" t="s">
        <v>2281</v>
      </c>
    </row>
    <row r="6377" spans="1:16" hidden="1">
      <c r="A6377" s="2">
        <v>202112</v>
      </c>
      <c r="B6377" s="3">
        <v>44560</v>
      </c>
      <c r="C6377" s="2" t="s">
        <v>2317</v>
      </c>
      <c r="D6377" s="2" t="s">
        <v>1634</v>
      </c>
      <c r="E6377" s="2">
        <v>-14.13</v>
      </c>
      <c r="F6377" s="2" t="e">
        <f>IF(Table2[[#This Row],[Manual Cat Value]]="",VLOOKUP(Table2[[#This Row],[Description]],'Actuals Lookup'!D:F,3,0),Table2[[#This Row],[Manual Cat Value]])</f>
        <v>#N/A</v>
      </c>
      <c r="J6377" s="2">
        <v>14.13</v>
      </c>
      <c r="K6377" s="2" t="b">
        <v>0</v>
      </c>
      <c r="L6377" s="2"/>
      <c r="M6377" s="2"/>
      <c r="N6377" s="4" t="s">
        <v>2273</v>
      </c>
      <c r="O6377" s="4" t="str">
        <f>LEFT(Table2[[#This Row],[Description]],75)</f>
        <v>SCHWAB TOTAL STOCK MARKET INDEX</v>
      </c>
      <c r="P6377" s="2" t="s">
        <v>2385</v>
      </c>
    </row>
    <row r="6378" spans="1:16" hidden="1">
      <c r="A6378" s="2">
        <v>202112</v>
      </c>
      <c r="B6378" s="3">
        <v>44560</v>
      </c>
      <c r="C6378" s="2" t="s">
        <v>2317</v>
      </c>
      <c r="D6378" s="2" t="s">
        <v>1634</v>
      </c>
      <c r="E6378" s="2">
        <v>14.13</v>
      </c>
      <c r="F6378" s="2" t="e">
        <f>IF(Table2[[#This Row],[Manual Cat Value]]="",VLOOKUP(Table2[[#This Row],[Description]],'Actuals Lookup'!D:F,3,0),Table2[[#This Row],[Manual Cat Value]])</f>
        <v>#N/A</v>
      </c>
      <c r="J6378" s="2">
        <v>14.13</v>
      </c>
      <c r="K6378" s="2" t="b">
        <v>0</v>
      </c>
      <c r="L6378" s="2"/>
      <c r="M6378" s="2"/>
      <c r="N6378" s="4" t="s">
        <v>2259</v>
      </c>
      <c r="O6378" s="4" t="str">
        <f>LEFT(Table2[[#This Row],[Description]],75)</f>
        <v>SCHWAB TOTAL STOCK MARKET INDEX</v>
      </c>
      <c r="P6378" s="2" t="s">
        <v>2385</v>
      </c>
    </row>
    <row r="6379" spans="1:16" hidden="1">
      <c r="A6379" s="2">
        <v>202112</v>
      </c>
      <c r="B6379" s="3">
        <v>44560</v>
      </c>
      <c r="C6379" s="2" t="s">
        <v>2434</v>
      </c>
      <c r="D6379" s="2" t="s">
        <v>1634</v>
      </c>
      <c r="E6379" s="2">
        <v>-14.66</v>
      </c>
      <c r="F6379" s="2" t="e">
        <f>IF(Table2[[#This Row],[Manual Cat Value]]="",VLOOKUP(Table2[[#This Row],[Description]],'Actuals Lookup'!D:F,3,0),Table2[[#This Row],[Manual Cat Value]])</f>
        <v>#N/A</v>
      </c>
      <c r="J6379" s="2">
        <v>14.66</v>
      </c>
      <c r="K6379" s="2" t="b">
        <v>0</v>
      </c>
      <c r="L6379" s="2"/>
      <c r="M6379" s="2"/>
      <c r="N6379" s="4" t="s">
        <v>2273</v>
      </c>
      <c r="O6379" s="4" t="str">
        <f>LEFT(Table2[[#This Row],[Description]],75)</f>
        <v>SCHWAB TOTAL STOCK MARKET INDEX</v>
      </c>
      <c r="P6379" s="2" t="s">
        <v>2281</v>
      </c>
    </row>
    <row r="6380" spans="1:16" hidden="1">
      <c r="A6380" s="2">
        <v>202112</v>
      </c>
      <c r="B6380" s="3">
        <v>44560</v>
      </c>
      <c r="C6380" s="2" t="s">
        <v>2434</v>
      </c>
      <c r="D6380" s="2" t="s">
        <v>1634</v>
      </c>
      <c r="E6380" s="2">
        <v>14.66</v>
      </c>
      <c r="F6380" s="2" t="e">
        <f>IF(Table2[[#This Row],[Manual Cat Value]]="",VLOOKUP(Table2[[#This Row],[Description]],'Actuals Lookup'!D:F,3,0),Table2[[#This Row],[Manual Cat Value]])</f>
        <v>#N/A</v>
      </c>
      <c r="J6380" s="2">
        <v>14.66</v>
      </c>
      <c r="K6380" s="2" t="b">
        <v>0</v>
      </c>
      <c r="L6380" s="2"/>
      <c r="M6380" s="2"/>
      <c r="N6380" s="4" t="s">
        <v>2259</v>
      </c>
      <c r="O6380" s="4" t="str">
        <f>LEFT(Table2[[#This Row],[Description]],75)</f>
        <v>SCHWAB TOTAL STOCK MARKET INDEX</v>
      </c>
      <c r="P6380" s="2" t="s">
        <v>2281</v>
      </c>
    </row>
    <row r="6381" spans="1:16" hidden="1">
      <c r="A6381" s="2">
        <v>202112</v>
      </c>
      <c r="B6381" s="3">
        <v>44560</v>
      </c>
      <c r="C6381" s="2" t="s">
        <v>2435</v>
      </c>
      <c r="D6381" s="2" t="s">
        <v>1634</v>
      </c>
      <c r="E6381" s="2">
        <v>-18.22</v>
      </c>
      <c r="F6381" s="2" t="e">
        <f>IF(Table2[[#This Row],[Manual Cat Value]]="",VLOOKUP(Table2[[#This Row],[Description]],'Actuals Lookup'!D:F,3,0),Table2[[#This Row],[Manual Cat Value]])</f>
        <v>#N/A</v>
      </c>
      <c r="J6381" s="2">
        <v>18.22</v>
      </c>
      <c r="K6381" s="2" t="b">
        <v>0</v>
      </c>
      <c r="L6381" s="2"/>
      <c r="M6381" s="2"/>
      <c r="N6381" s="4" t="s">
        <v>2273</v>
      </c>
      <c r="O6381" s="4" t="str">
        <f>LEFT(Table2[[#This Row],[Description]],75)</f>
        <v>SCHWAB TOTAL STOCK MARKET INDEX</v>
      </c>
      <c r="P6381" s="2" t="s">
        <v>2281</v>
      </c>
    </row>
    <row r="6382" spans="1:16" hidden="1">
      <c r="A6382" s="2">
        <v>202112</v>
      </c>
      <c r="B6382" s="3">
        <v>44560</v>
      </c>
      <c r="C6382" s="2" t="s">
        <v>2435</v>
      </c>
      <c r="D6382" s="2" t="s">
        <v>1634</v>
      </c>
      <c r="E6382" s="2">
        <v>18.22</v>
      </c>
      <c r="F6382" s="2" t="e">
        <f>IF(Table2[[#This Row],[Manual Cat Value]]="",VLOOKUP(Table2[[#This Row],[Description]],'Actuals Lookup'!D:F,3,0),Table2[[#This Row],[Manual Cat Value]])</f>
        <v>#N/A</v>
      </c>
      <c r="J6382" s="2">
        <v>18.22</v>
      </c>
      <c r="K6382" s="2" t="b">
        <v>0</v>
      </c>
      <c r="L6382" s="2"/>
      <c r="M6382" s="2"/>
      <c r="N6382" s="4" t="s">
        <v>2259</v>
      </c>
      <c r="O6382" s="4" t="str">
        <f>LEFT(Table2[[#This Row],[Description]],75)</f>
        <v>SCHWAB TOTAL STOCK MARKET INDEX</v>
      </c>
      <c r="P6382" s="2" t="s">
        <v>2281</v>
      </c>
    </row>
    <row r="6383" spans="1:16" hidden="1">
      <c r="A6383" s="2">
        <v>202112</v>
      </c>
      <c r="B6383" s="3">
        <v>44560</v>
      </c>
      <c r="C6383" s="2" t="s">
        <v>2275</v>
      </c>
      <c r="D6383" s="2" t="s">
        <v>1634</v>
      </c>
      <c r="E6383" s="2">
        <v>-25.05</v>
      </c>
      <c r="F6383" s="2" t="e">
        <f>IF(Table2[[#This Row],[Manual Cat Value]]="",VLOOKUP(Table2[[#This Row],[Description]],'Actuals Lookup'!D:F,3,0),Table2[[#This Row],[Manual Cat Value]])</f>
        <v>#N/A</v>
      </c>
      <c r="J6383" s="2">
        <v>25.05</v>
      </c>
      <c r="K6383" s="2" t="b">
        <v>0</v>
      </c>
      <c r="L6383" s="2"/>
      <c r="M6383" s="2"/>
      <c r="N6383" s="4" t="s">
        <v>2273</v>
      </c>
      <c r="O6383" s="4" t="str">
        <f>LEFT(Table2[[#This Row],[Description]],75)</f>
        <v>SCHWAB TOTAL STOCK MARKET INDEX</v>
      </c>
      <c r="P6383" s="2" t="s">
        <v>2281</v>
      </c>
    </row>
    <row r="6384" spans="1:16" hidden="1">
      <c r="A6384" s="2">
        <v>202112</v>
      </c>
      <c r="B6384" s="3">
        <v>44560</v>
      </c>
      <c r="C6384" s="2" t="s">
        <v>2277</v>
      </c>
      <c r="D6384" s="2" t="s">
        <v>1634</v>
      </c>
      <c r="E6384" s="2">
        <v>-25.05</v>
      </c>
      <c r="F6384" s="2" t="e">
        <f>IF(Table2[[#This Row],[Manual Cat Value]]="",VLOOKUP(Table2[[#This Row],[Description]],'Actuals Lookup'!D:F,3,0),Table2[[#This Row],[Manual Cat Value]])</f>
        <v>#N/A</v>
      </c>
      <c r="J6384" s="2">
        <v>25.05</v>
      </c>
      <c r="K6384" s="2" t="b">
        <v>0</v>
      </c>
      <c r="L6384" s="2"/>
      <c r="M6384" s="2"/>
      <c r="N6384" s="4" t="s">
        <v>2273</v>
      </c>
      <c r="O6384" s="4" t="str">
        <f>LEFT(Table2[[#This Row],[Description]],75)</f>
        <v>SCHWAB TOTAL STOCK MARKET INDEX</v>
      </c>
      <c r="P6384" s="2" t="s">
        <v>2281</v>
      </c>
    </row>
    <row r="6385" spans="1:16" hidden="1">
      <c r="A6385" s="2">
        <v>202112</v>
      </c>
      <c r="B6385" s="3">
        <v>44560</v>
      </c>
      <c r="C6385" s="2" t="s">
        <v>2275</v>
      </c>
      <c r="D6385" s="2" t="s">
        <v>1634</v>
      </c>
      <c r="E6385" s="2">
        <v>25.05</v>
      </c>
      <c r="F6385" s="2" t="e">
        <f>IF(Table2[[#This Row],[Manual Cat Value]]="",VLOOKUP(Table2[[#This Row],[Description]],'Actuals Lookup'!D:F,3,0),Table2[[#This Row],[Manual Cat Value]])</f>
        <v>#N/A</v>
      </c>
      <c r="J6385" s="2">
        <v>25.05</v>
      </c>
      <c r="K6385" s="2" t="b">
        <v>0</v>
      </c>
      <c r="L6385" s="2"/>
      <c r="M6385" s="2"/>
      <c r="N6385" s="4" t="s">
        <v>2259</v>
      </c>
      <c r="O6385" s="4" t="str">
        <f>LEFT(Table2[[#This Row],[Description]],75)</f>
        <v>SCHWAB TOTAL STOCK MARKET INDEX</v>
      </c>
      <c r="P6385" s="2" t="s">
        <v>2281</v>
      </c>
    </row>
    <row r="6386" spans="1:16" hidden="1">
      <c r="A6386" s="2">
        <v>202112</v>
      </c>
      <c r="B6386" s="3">
        <v>44560</v>
      </c>
      <c r="C6386" s="2" t="s">
        <v>2277</v>
      </c>
      <c r="D6386" s="2" t="s">
        <v>1634</v>
      </c>
      <c r="E6386" s="2">
        <v>25.05</v>
      </c>
      <c r="F6386" s="2" t="e">
        <f>IF(Table2[[#This Row],[Manual Cat Value]]="",VLOOKUP(Table2[[#This Row],[Description]],'Actuals Lookup'!D:F,3,0),Table2[[#This Row],[Manual Cat Value]])</f>
        <v>#N/A</v>
      </c>
      <c r="J6386" s="2">
        <v>25.05</v>
      </c>
      <c r="K6386" s="2" t="b">
        <v>0</v>
      </c>
      <c r="L6386" s="2"/>
      <c r="M6386" s="2"/>
      <c r="N6386" s="4" t="s">
        <v>2259</v>
      </c>
      <c r="O6386" s="4" t="str">
        <f>LEFT(Table2[[#This Row],[Description]],75)</f>
        <v>SCHWAB TOTAL STOCK MARKET INDEX</v>
      </c>
      <c r="P6386" s="2" t="s">
        <v>2281</v>
      </c>
    </row>
    <row r="6387" spans="1:16" hidden="1">
      <c r="A6387" s="2">
        <v>202112</v>
      </c>
      <c r="B6387" s="3">
        <v>44560</v>
      </c>
      <c r="C6387" s="2" t="s">
        <v>2355</v>
      </c>
      <c r="D6387" s="2" t="s">
        <v>1634</v>
      </c>
      <c r="E6387" s="2">
        <v>-62.79</v>
      </c>
      <c r="F6387" s="2" t="e">
        <f>IF(Table2[[#This Row],[Manual Cat Value]]="",VLOOKUP(Table2[[#This Row],[Description]],'Actuals Lookup'!D:F,3,0),Table2[[#This Row],[Manual Cat Value]])</f>
        <v>#N/A</v>
      </c>
      <c r="J6387" s="2">
        <v>62.79</v>
      </c>
      <c r="K6387" s="2" t="b">
        <v>0</v>
      </c>
      <c r="L6387" s="2"/>
      <c r="M6387" s="2"/>
      <c r="N6387" s="4" t="s">
        <v>2273</v>
      </c>
      <c r="O6387" s="4" t="str">
        <f>LEFT(Table2[[#This Row],[Description]],75)</f>
        <v>SCHWAB TOTAL STOCK MARKET INDEX</v>
      </c>
      <c r="P6387" s="2" t="s">
        <v>2281</v>
      </c>
    </row>
    <row r="6388" spans="1:16" hidden="1">
      <c r="A6388" s="2">
        <v>202112</v>
      </c>
      <c r="B6388" s="3">
        <v>44560</v>
      </c>
      <c r="C6388" s="2" t="s">
        <v>2277</v>
      </c>
      <c r="D6388" s="2" t="s">
        <v>1634</v>
      </c>
      <c r="E6388" s="2">
        <v>-62.79</v>
      </c>
      <c r="F6388" s="2" t="e">
        <f>IF(Table2[[#This Row],[Manual Cat Value]]="",VLOOKUP(Table2[[#This Row],[Description]],'Actuals Lookup'!D:F,3,0),Table2[[#This Row],[Manual Cat Value]])</f>
        <v>#N/A</v>
      </c>
      <c r="J6388" s="2">
        <v>62.79</v>
      </c>
      <c r="K6388" s="2" t="b">
        <v>0</v>
      </c>
      <c r="L6388" s="2"/>
      <c r="M6388" s="2"/>
      <c r="N6388" s="4" t="s">
        <v>2273</v>
      </c>
      <c r="O6388" s="4" t="str">
        <f>LEFT(Table2[[#This Row],[Description]],75)</f>
        <v>SCHWAB TOTAL STOCK MARKET INDEX</v>
      </c>
      <c r="P6388" s="2" t="s">
        <v>2281</v>
      </c>
    </row>
    <row r="6389" spans="1:16" hidden="1">
      <c r="A6389" s="2">
        <v>202112</v>
      </c>
      <c r="B6389" s="3">
        <v>44560</v>
      </c>
      <c r="C6389" s="2" t="s">
        <v>2355</v>
      </c>
      <c r="D6389" s="2" t="s">
        <v>1634</v>
      </c>
      <c r="E6389" s="2">
        <v>62.79</v>
      </c>
      <c r="F6389" s="2" t="e">
        <f>IF(Table2[[#This Row],[Manual Cat Value]]="",VLOOKUP(Table2[[#This Row],[Description]],'Actuals Lookup'!D:F,3,0),Table2[[#This Row],[Manual Cat Value]])</f>
        <v>#N/A</v>
      </c>
      <c r="J6389" s="2">
        <v>62.79</v>
      </c>
      <c r="K6389" s="2" t="b">
        <v>0</v>
      </c>
      <c r="L6389" s="2"/>
      <c r="M6389" s="2"/>
      <c r="N6389" s="4" t="s">
        <v>2259</v>
      </c>
      <c r="O6389" s="4" t="str">
        <f>LEFT(Table2[[#This Row],[Description]],75)</f>
        <v>SCHWAB TOTAL STOCK MARKET INDEX</v>
      </c>
      <c r="P6389" s="2" t="s">
        <v>2281</v>
      </c>
    </row>
    <row r="6390" spans="1:16" hidden="1">
      <c r="A6390" s="2">
        <v>202112</v>
      </c>
      <c r="B6390" s="3">
        <v>44560</v>
      </c>
      <c r="C6390" s="2" t="s">
        <v>2277</v>
      </c>
      <c r="D6390" s="2" t="s">
        <v>1634</v>
      </c>
      <c r="E6390" s="2">
        <v>62.79</v>
      </c>
      <c r="F6390" s="2" t="e">
        <f>IF(Table2[[#This Row],[Manual Cat Value]]="",VLOOKUP(Table2[[#This Row],[Description]],'Actuals Lookup'!D:F,3,0),Table2[[#This Row],[Manual Cat Value]])</f>
        <v>#N/A</v>
      </c>
      <c r="J6390" s="2">
        <v>62.79</v>
      </c>
      <c r="K6390" s="2" t="b">
        <v>0</v>
      </c>
      <c r="L6390" s="2"/>
      <c r="M6390" s="2"/>
      <c r="N6390" s="4" t="s">
        <v>2259</v>
      </c>
      <c r="O6390" s="4" t="str">
        <f>LEFT(Table2[[#This Row],[Description]],75)</f>
        <v>SCHWAB TOTAL STOCK MARKET INDEX</v>
      </c>
      <c r="P6390" s="2" t="s">
        <v>2281</v>
      </c>
    </row>
    <row r="6391" spans="1:16" hidden="1">
      <c r="A6391" s="2">
        <v>202112</v>
      </c>
      <c r="B6391" s="3">
        <v>44560</v>
      </c>
      <c r="C6391" s="2" t="s">
        <v>2317</v>
      </c>
      <c r="D6391" s="2" t="s">
        <v>1634</v>
      </c>
      <c r="E6391" s="2">
        <v>-81.19</v>
      </c>
      <c r="F6391" s="2" t="e">
        <f>IF(Table2[[#This Row],[Manual Cat Value]]="",VLOOKUP(Table2[[#This Row],[Description]],'Actuals Lookup'!D:F,3,0),Table2[[#This Row],[Manual Cat Value]])</f>
        <v>#N/A</v>
      </c>
      <c r="J6391" s="2">
        <v>81.19</v>
      </c>
      <c r="K6391" s="2" t="b">
        <v>0</v>
      </c>
      <c r="L6391" s="2"/>
      <c r="M6391" s="2"/>
      <c r="N6391" s="4" t="s">
        <v>2273</v>
      </c>
      <c r="O6391" s="4" t="str">
        <f>LEFT(Table2[[#This Row],[Description]],75)</f>
        <v>SCHWAB TOTAL STOCK MARKET INDEX</v>
      </c>
      <c r="P6391" s="2" t="s">
        <v>2385</v>
      </c>
    </row>
    <row r="6392" spans="1:16" hidden="1">
      <c r="A6392" s="2">
        <v>202112</v>
      </c>
      <c r="B6392" s="3">
        <v>44560</v>
      </c>
      <c r="C6392" s="2" t="s">
        <v>2317</v>
      </c>
      <c r="D6392" s="2" t="s">
        <v>1634</v>
      </c>
      <c r="E6392" s="2">
        <v>81.19</v>
      </c>
      <c r="F6392" s="2" t="e">
        <f>IF(Table2[[#This Row],[Manual Cat Value]]="",VLOOKUP(Table2[[#This Row],[Description]],'Actuals Lookup'!D:F,3,0),Table2[[#This Row],[Manual Cat Value]])</f>
        <v>#N/A</v>
      </c>
      <c r="J6392" s="2">
        <v>81.19</v>
      </c>
      <c r="K6392" s="2" t="b">
        <v>0</v>
      </c>
      <c r="L6392" s="2"/>
      <c r="M6392" s="2"/>
      <c r="N6392" s="4" t="s">
        <v>2259</v>
      </c>
      <c r="O6392" s="4" t="str">
        <f>LEFT(Table2[[#This Row],[Description]],75)</f>
        <v>SCHWAB TOTAL STOCK MARKET INDEX</v>
      </c>
      <c r="P6392" s="2" t="s">
        <v>2385</v>
      </c>
    </row>
    <row r="6393" spans="1:16" hidden="1">
      <c r="A6393" s="2">
        <v>202112</v>
      </c>
      <c r="B6393" s="3">
        <v>44560</v>
      </c>
      <c r="C6393" s="2" t="s">
        <v>2317</v>
      </c>
      <c r="D6393" s="2" t="s">
        <v>1634</v>
      </c>
      <c r="E6393" s="2">
        <v>-387.42</v>
      </c>
      <c r="F6393" s="2" t="e">
        <f>IF(Table2[[#This Row],[Manual Cat Value]]="",VLOOKUP(Table2[[#This Row],[Description]],'Actuals Lookup'!D:F,3,0),Table2[[#This Row],[Manual Cat Value]])</f>
        <v>#N/A</v>
      </c>
      <c r="J6393" s="2">
        <v>387.42</v>
      </c>
      <c r="K6393" s="2" t="b">
        <v>0</v>
      </c>
      <c r="L6393" s="2"/>
      <c r="M6393" s="2"/>
      <c r="N6393" s="4" t="s">
        <v>2273</v>
      </c>
      <c r="O6393" s="4" t="str">
        <f>LEFT(Table2[[#This Row],[Description]],75)</f>
        <v>SCHWAB TOTAL STOCK MARKET INDEX</v>
      </c>
      <c r="P6393" s="2" t="s">
        <v>2385</v>
      </c>
    </row>
    <row r="6394" spans="1:16" hidden="1">
      <c r="A6394" s="2">
        <v>202112</v>
      </c>
      <c r="B6394" s="3">
        <v>44560</v>
      </c>
      <c r="C6394" s="2" t="s">
        <v>2317</v>
      </c>
      <c r="D6394" s="2" t="s">
        <v>1634</v>
      </c>
      <c r="E6394" s="2">
        <v>387.42</v>
      </c>
      <c r="F6394" s="2" t="e">
        <f>IF(Table2[[#This Row],[Manual Cat Value]]="",VLOOKUP(Table2[[#This Row],[Description]],'Actuals Lookup'!D:F,3,0),Table2[[#This Row],[Manual Cat Value]])</f>
        <v>#N/A</v>
      </c>
      <c r="J6394" s="2">
        <v>387.42</v>
      </c>
      <c r="K6394" s="2" t="b">
        <v>0</v>
      </c>
      <c r="L6394" s="2"/>
      <c r="M6394" s="2"/>
      <c r="N6394" s="4" t="s">
        <v>2259</v>
      </c>
      <c r="O6394" s="4" t="str">
        <f>LEFT(Table2[[#This Row],[Description]],75)</f>
        <v>SCHWAB TOTAL STOCK MARKET INDEX</v>
      </c>
      <c r="P6394" s="2" t="s">
        <v>2385</v>
      </c>
    </row>
    <row r="6395" spans="1:16" hidden="1">
      <c r="A6395" s="2">
        <v>202112</v>
      </c>
      <c r="B6395" s="3">
        <v>44560</v>
      </c>
      <c r="C6395" s="2" t="s">
        <v>2275</v>
      </c>
      <c r="D6395" s="2" t="s">
        <v>1637</v>
      </c>
      <c r="E6395" s="2">
        <v>-3.04</v>
      </c>
      <c r="F6395" s="2" t="e">
        <f>IF(Table2[[#This Row],[Manual Cat Value]]="",VLOOKUP(Table2[[#This Row],[Description]],'Actuals Lookup'!D:F,3,0),Table2[[#This Row],[Manual Cat Value]])</f>
        <v>#N/A</v>
      </c>
      <c r="J6395" s="2">
        <v>3.04</v>
      </c>
      <c r="K6395" s="2" t="b">
        <v>0</v>
      </c>
      <c r="L6395" s="2"/>
      <c r="M6395" s="2"/>
      <c r="N6395" s="4" t="s">
        <v>2273</v>
      </c>
      <c r="O6395" s="4" t="str">
        <f>LEFT(Table2[[#This Row],[Description]],75)</f>
        <v>SCHWAB US LARGE-CAP GROWTH IDX</v>
      </c>
      <c r="P6395" s="2" t="s">
        <v>2281</v>
      </c>
    </row>
    <row r="6396" spans="1:16" hidden="1">
      <c r="A6396" s="2">
        <v>202112</v>
      </c>
      <c r="B6396" s="3">
        <v>44560</v>
      </c>
      <c r="C6396" s="2" t="s">
        <v>2317</v>
      </c>
      <c r="D6396" s="2" t="s">
        <v>1637</v>
      </c>
      <c r="E6396" s="2">
        <v>-3.4</v>
      </c>
      <c r="F6396" s="2" t="e">
        <f>IF(Table2[[#This Row],[Manual Cat Value]]="",VLOOKUP(Table2[[#This Row],[Description]],'Actuals Lookup'!D:F,3,0),Table2[[#This Row],[Manual Cat Value]])</f>
        <v>#N/A</v>
      </c>
      <c r="J6396" s="2">
        <v>3.4</v>
      </c>
      <c r="K6396" s="2" t="b">
        <v>0</v>
      </c>
      <c r="L6396" s="2"/>
      <c r="M6396" s="2"/>
      <c r="N6396" s="4" t="s">
        <v>2273</v>
      </c>
      <c r="O6396" s="4" t="str">
        <f>LEFT(Table2[[#This Row],[Description]],75)</f>
        <v>SCHWAB US LARGE-CAP GROWTH IDX</v>
      </c>
      <c r="P6396" s="2" t="s">
        <v>2385</v>
      </c>
    </row>
    <row r="6397" spans="1:16" hidden="1">
      <c r="A6397" s="2">
        <v>202112</v>
      </c>
      <c r="B6397" s="3">
        <v>44560</v>
      </c>
      <c r="C6397" s="2" t="s">
        <v>2277</v>
      </c>
      <c r="D6397" s="2" t="s">
        <v>1637</v>
      </c>
      <c r="E6397" s="2">
        <v>-3.04</v>
      </c>
      <c r="F6397" s="2" t="e">
        <f>IF(Table2[[#This Row],[Manual Cat Value]]="",VLOOKUP(Table2[[#This Row],[Description]],'Actuals Lookup'!D:F,3,0),Table2[[#This Row],[Manual Cat Value]])</f>
        <v>#N/A</v>
      </c>
      <c r="J6397" s="2">
        <v>3.04</v>
      </c>
      <c r="K6397" s="2" t="b">
        <v>0</v>
      </c>
      <c r="L6397" s="2"/>
      <c r="M6397" s="2"/>
      <c r="N6397" s="4" t="s">
        <v>2273</v>
      </c>
      <c r="O6397" s="4" t="str">
        <f>LEFT(Table2[[#This Row],[Description]],75)</f>
        <v>SCHWAB US LARGE-CAP GROWTH IDX</v>
      </c>
      <c r="P6397" s="2" t="s">
        <v>2281</v>
      </c>
    </row>
    <row r="6398" spans="1:16" hidden="1">
      <c r="A6398" s="2">
        <v>202112</v>
      </c>
      <c r="B6398" s="3">
        <v>44560</v>
      </c>
      <c r="C6398" s="2" t="s">
        <v>2275</v>
      </c>
      <c r="D6398" s="2" t="s">
        <v>1637</v>
      </c>
      <c r="E6398" s="2">
        <v>3.04</v>
      </c>
      <c r="F6398" s="2" t="e">
        <f>IF(Table2[[#This Row],[Manual Cat Value]]="",VLOOKUP(Table2[[#This Row],[Description]],'Actuals Lookup'!D:F,3,0),Table2[[#This Row],[Manual Cat Value]])</f>
        <v>#N/A</v>
      </c>
      <c r="J6398" s="2">
        <v>3.04</v>
      </c>
      <c r="K6398" s="2" t="b">
        <v>0</v>
      </c>
      <c r="L6398" s="2"/>
      <c r="M6398" s="2"/>
      <c r="N6398" s="4" t="s">
        <v>2259</v>
      </c>
      <c r="O6398" s="4" t="str">
        <f>LEFT(Table2[[#This Row],[Description]],75)</f>
        <v>SCHWAB US LARGE-CAP GROWTH IDX</v>
      </c>
      <c r="P6398" s="2" t="s">
        <v>2281</v>
      </c>
    </row>
    <row r="6399" spans="1:16" hidden="1">
      <c r="A6399" s="2">
        <v>202112</v>
      </c>
      <c r="B6399" s="3">
        <v>44560</v>
      </c>
      <c r="C6399" s="2" t="s">
        <v>2317</v>
      </c>
      <c r="D6399" s="2" t="s">
        <v>1637</v>
      </c>
      <c r="E6399" s="2">
        <v>3.4</v>
      </c>
      <c r="F6399" s="2" t="e">
        <f>IF(Table2[[#This Row],[Manual Cat Value]]="",VLOOKUP(Table2[[#This Row],[Description]],'Actuals Lookup'!D:F,3,0),Table2[[#This Row],[Manual Cat Value]])</f>
        <v>#N/A</v>
      </c>
      <c r="J6399" s="2">
        <v>3.4</v>
      </c>
      <c r="K6399" s="2" t="b">
        <v>0</v>
      </c>
      <c r="L6399" s="2"/>
      <c r="M6399" s="2"/>
      <c r="N6399" s="4" t="s">
        <v>2259</v>
      </c>
      <c r="O6399" s="4" t="str">
        <f>LEFT(Table2[[#This Row],[Description]],75)</f>
        <v>SCHWAB US LARGE-CAP GROWTH IDX</v>
      </c>
      <c r="P6399" s="2" t="s">
        <v>2385</v>
      </c>
    </row>
    <row r="6400" spans="1:16" hidden="1">
      <c r="A6400" s="2">
        <v>202112</v>
      </c>
      <c r="B6400" s="3">
        <v>44560</v>
      </c>
      <c r="C6400" s="2" t="s">
        <v>2277</v>
      </c>
      <c r="D6400" s="2" t="s">
        <v>1637</v>
      </c>
      <c r="E6400" s="2">
        <v>3.04</v>
      </c>
      <c r="F6400" s="2" t="e">
        <f>IF(Table2[[#This Row],[Manual Cat Value]]="",VLOOKUP(Table2[[#This Row],[Description]],'Actuals Lookup'!D:F,3,0),Table2[[#This Row],[Manual Cat Value]])</f>
        <v>#N/A</v>
      </c>
      <c r="J6400" s="2">
        <v>3.04</v>
      </c>
      <c r="K6400" s="2" t="b">
        <v>0</v>
      </c>
      <c r="L6400" s="2"/>
      <c r="M6400" s="2"/>
      <c r="N6400" s="4" t="s">
        <v>2259</v>
      </c>
      <c r="O6400" s="4" t="str">
        <f>LEFT(Table2[[#This Row],[Description]],75)</f>
        <v>SCHWAB US LARGE-CAP GROWTH IDX</v>
      </c>
      <c r="P6400" s="2" t="s">
        <v>2281</v>
      </c>
    </row>
    <row r="6401" spans="1:16" hidden="1">
      <c r="A6401" s="2">
        <v>202112</v>
      </c>
      <c r="B6401" s="3">
        <v>44560</v>
      </c>
      <c r="C6401" s="2" t="s">
        <v>2275</v>
      </c>
      <c r="D6401" s="2" t="s">
        <v>1637</v>
      </c>
      <c r="E6401" s="2">
        <v>-14.45</v>
      </c>
      <c r="F6401" s="2" t="e">
        <f>IF(Table2[[#This Row],[Manual Cat Value]]="",VLOOKUP(Table2[[#This Row],[Description]],'Actuals Lookup'!D:F,3,0),Table2[[#This Row],[Manual Cat Value]])</f>
        <v>#N/A</v>
      </c>
      <c r="J6401" s="2">
        <v>14.45</v>
      </c>
      <c r="K6401" s="2" t="b">
        <v>0</v>
      </c>
      <c r="L6401" s="2"/>
      <c r="M6401" s="2"/>
      <c r="N6401" s="4" t="s">
        <v>2273</v>
      </c>
      <c r="O6401" s="4" t="str">
        <f>LEFT(Table2[[#This Row],[Description]],75)</f>
        <v>SCHWAB US LARGE-CAP GROWTH IDX</v>
      </c>
      <c r="P6401" s="2" t="s">
        <v>2281</v>
      </c>
    </row>
    <row r="6402" spans="1:16" hidden="1">
      <c r="A6402" s="2">
        <v>202112</v>
      </c>
      <c r="B6402" s="3">
        <v>44560</v>
      </c>
      <c r="C6402" s="2" t="s">
        <v>2277</v>
      </c>
      <c r="D6402" s="2" t="s">
        <v>1637</v>
      </c>
      <c r="E6402" s="2">
        <v>-14.45</v>
      </c>
      <c r="F6402" s="2" t="e">
        <f>IF(Table2[[#This Row],[Manual Cat Value]]="",VLOOKUP(Table2[[#This Row],[Description]],'Actuals Lookup'!D:F,3,0),Table2[[#This Row],[Manual Cat Value]])</f>
        <v>#N/A</v>
      </c>
      <c r="J6402" s="2">
        <v>14.45</v>
      </c>
      <c r="K6402" s="2" t="b">
        <v>0</v>
      </c>
      <c r="L6402" s="2"/>
      <c r="M6402" s="2"/>
      <c r="N6402" s="4" t="s">
        <v>2273</v>
      </c>
      <c r="O6402" s="4" t="str">
        <f>LEFT(Table2[[#This Row],[Description]],75)</f>
        <v>SCHWAB US LARGE-CAP GROWTH IDX</v>
      </c>
      <c r="P6402" s="2" t="s">
        <v>2281</v>
      </c>
    </row>
    <row r="6403" spans="1:16" hidden="1">
      <c r="A6403" s="2">
        <v>202112</v>
      </c>
      <c r="B6403" s="3">
        <v>44560</v>
      </c>
      <c r="C6403" s="2" t="s">
        <v>2275</v>
      </c>
      <c r="D6403" s="2" t="s">
        <v>1637</v>
      </c>
      <c r="E6403" s="2">
        <v>14.45</v>
      </c>
      <c r="F6403" s="2" t="e">
        <f>IF(Table2[[#This Row],[Manual Cat Value]]="",VLOOKUP(Table2[[#This Row],[Description]],'Actuals Lookup'!D:F,3,0),Table2[[#This Row],[Manual Cat Value]])</f>
        <v>#N/A</v>
      </c>
      <c r="J6403" s="2">
        <v>14.45</v>
      </c>
      <c r="K6403" s="2" t="b">
        <v>0</v>
      </c>
      <c r="L6403" s="2"/>
      <c r="M6403" s="2"/>
      <c r="N6403" s="4" t="s">
        <v>2259</v>
      </c>
      <c r="O6403" s="4" t="str">
        <f>LEFT(Table2[[#This Row],[Description]],75)</f>
        <v>SCHWAB US LARGE-CAP GROWTH IDX</v>
      </c>
      <c r="P6403" s="2" t="s">
        <v>2281</v>
      </c>
    </row>
    <row r="6404" spans="1:16" hidden="1">
      <c r="A6404" s="2">
        <v>202112</v>
      </c>
      <c r="B6404" s="3">
        <v>44560</v>
      </c>
      <c r="C6404" s="2" t="s">
        <v>2277</v>
      </c>
      <c r="D6404" s="2" t="s">
        <v>1637</v>
      </c>
      <c r="E6404" s="2">
        <v>14.45</v>
      </c>
      <c r="F6404" s="2" t="e">
        <f>IF(Table2[[#This Row],[Manual Cat Value]]="",VLOOKUP(Table2[[#This Row],[Description]],'Actuals Lookup'!D:F,3,0),Table2[[#This Row],[Manual Cat Value]])</f>
        <v>#N/A</v>
      </c>
      <c r="J6404" s="2">
        <v>14.45</v>
      </c>
      <c r="K6404" s="2" t="b">
        <v>0</v>
      </c>
      <c r="L6404" s="2"/>
      <c r="M6404" s="2"/>
      <c r="N6404" s="4" t="s">
        <v>2259</v>
      </c>
      <c r="O6404" s="4" t="str">
        <f>LEFT(Table2[[#This Row],[Description]],75)</f>
        <v>SCHWAB US LARGE-CAP GROWTH IDX</v>
      </c>
      <c r="P6404" s="2" t="s">
        <v>2281</v>
      </c>
    </row>
    <row r="6405" spans="1:16" hidden="1">
      <c r="A6405" s="2">
        <v>202112</v>
      </c>
      <c r="B6405" s="3">
        <v>44560</v>
      </c>
      <c r="C6405" s="2" t="s">
        <v>2317</v>
      </c>
      <c r="D6405" s="2" t="s">
        <v>1637</v>
      </c>
      <c r="E6405" s="2">
        <v>-16.170000000000002</v>
      </c>
      <c r="F6405" s="2" t="e">
        <f>IF(Table2[[#This Row],[Manual Cat Value]]="",VLOOKUP(Table2[[#This Row],[Description]],'Actuals Lookup'!D:F,3,0),Table2[[#This Row],[Manual Cat Value]])</f>
        <v>#N/A</v>
      </c>
      <c r="J6405" s="2">
        <v>16.170000000000002</v>
      </c>
      <c r="K6405" s="2" t="b">
        <v>0</v>
      </c>
      <c r="L6405" s="2"/>
      <c r="M6405" s="2"/>
      <c r="N6405" s="4" t="s">
        <v>2273</v>
      </c>
      <c r="O6405" s="4" t="str">
        <f>LEFT(Table2[[#This Row],[Description]],75)</f>
        <v>SCHWAB US LARGE-CAP GROWTH IDX</v>
      </c>
      <c r="P6405" s="2" t="s">
        <v>2385</v>
      </c>
    </row>
    <row r="6406" spans="1:16" hidden="1">
      <c r="A6406" s="2">
        <v>202112</v>
      </c>
      <c r="B6406" s="3">
        <v>44560</v>
      </c>
      <c r="C6406" s="2" t="s">
        <v>2317</v>
      </c>
      <c r="D6406" s="2" t="s">
        <v>1637</v>
      </c>
      <c r="E6406" s="2">
        <v>16.170000000000002</v>
      </c>
      <c r="F6406" s="2" t="e">
        <f>IF(Table2[[#This Row],[Manual Cat Value]]="",VLOOKUP(Table2[[#This Row],[Description]],'Actuals Lookup'!D:F,3,0),Table2[[#This Row],[Manual Cat Value]])</f>
        <v>#N/A</v>
      </c>
      <c r="J6406" s="2">
        <v>16.170000000000002</v>
      </c>
      <c r="K6406" s="2" t="b">
        <v>0</v>
      </c>
      <c r="L6406" s="2"/>
      <c r="M6406" s="2"/>
      <c r="N6406" s="4" t="s">
        <v>2259</v>
      </c>
      <c r="O6406" s="4" t="str">
        <f>LEFT(Table2[[#This Row],[Description]],75)</f>
        <v>SCHWAB US LARGE-CAP GROWTH IDX</v>
      </c>
      <c r="P6406" s="2" t="s">
        <v>2385</v>
      </c>
    </row>
    <row r="6407" spans="1:16" hidden="1">
      <c r="A6407" s="2">
        <v>202112</v>
      </c>
      <c r="B6407" s="3">
        <v>44560</v>
      </c>
      <c r="C6407" s="2" t="s">
        <v>2275</v>
      </c>
      <c r="D6407" s="2" t="s">
        <v>1637</v>
      </c>
      <c r="E6407" s="2">
        <v>-27.19</v>
      </c>
      <c r="F6407" s="2" t="e">
        <f>IF(Table2[[#This Row],[Manual Cat Value]]="",VLOOKUP(Table2[[#This Row],[Description]],'Actuals Lookup'!D:F,3,0),Table2[[#This Row],[Manual Cat Value]])</f>
        <v>#N/A</v>
      </c>
      <c r="J6407" s="2">
        <v>27.19</v>
      </c>
      <c r="K6407" s="2" t="b">
        <v>0</v>
      </c>
      <c r="L6407" s="2"/>
      <c r="M6407" s="2"/>
      <c r="N6407" s="4" t="s">
        <v>2273</v>
      </c>
      <c r="O6407" s="4" t="str">
        <f>LEFT(Table2[[#This Row],[Description]],75)</f>
        <v>SCHWAB US LARGE-CAP GROWTH IDX</v>
      </c>
      <c r="P6407" s="2" t="s">
        <v>2281</v>
      </c>
    </row>
    <row r="6408" spans="1:16" hidden="1">
      <c r="A6408" s="2">
        <v>202112</v>
      </c>
      <c r="B6408" s="3">
        <v>44560</v>
      </c>
      <c r="C6408" s="2" t="s">
        <v>2277</v>
      </c>
      <c r="D6408" s="2" t="s">
        <v>1637</v>
      </c>
      <c r="E6408" s="2">
        <v>-27.19</v>
      </c>
      <c r="F6408" s="2" t="e">
        <f>IF(Table2[[#This Row],[Manual Cat Value]]="",VLOOKUP(Table2[[#This Row],[Description]],'Actuals Lookup'!D:F,3,0),Table2[[#This Row],[Manual Cat Value]])</f>
        <v>#N/A</v>
      </c>
      <c r="J6408" s="2">
        <v>27.19</v>
      </c>
      <c r="K6408" s="2" t="b">
        <v>0</v>
      </c>
      <c r="L6408" s="2"/>
      <c r="M6408" s="2"/>
      <c r="N6408" s="4" t="s">
        <v>2273</v>
      </c>
      <c r="O6408" s="4" t="str">
        <f>LEFT(Table2[[#This Row],[Description]],75)</f>
        <v>SCHWAB US LARGE-CAP GROWTH IDX</v>
      </c>
      <c r="P6408" s="2" t="s">
        <v>2281</v>
      </c>
    </row>
    <row r="6409" spans="1:16" hidden="1">
      <c r="A6409" s="2">
        <v>202112</v>
      </c>
      <c r="B6409" s="3">
        <v>44560</v>
      </c>
      <c r="C6409" s="2" t="s">
        <v>2275</v>
      </c>
      <c r="D6409" s="2" t="s">
        <v>1637</v>
      </c>
      <c r="E6409" s="2">
        <v>27.19</v>
      </c>
      <c r="F6409" s="2" t="e">
        <f>IF(Table2[[#This Row],[Manual Cat Value]]="",VLOOKUP(Table2[[#This Row],[Description]],'Actuals Lookup'!D:F,3,0),Table2[[#This Row],[Manual Cat Value]])</f>
        <v>#N/A</v>
      </c>
      <c r="J6409" s="2">
        <v>27.19</v>
      </c>
      <c r="K6409" s="2" t="b">
        <v>0</v>
      </c>
      <c r="L6409" s="2"/>
      <c r="M6409" s="2"/>
      <c r="N6409" s="4" t="s">
        <v>2259</v>
      </c>
      <c r="O6409" s="4" t="str">
        <f>LEFT(Table2[[#This Row],[Description]],75)</f>
        <v>SCHWAB US LARGE-CAP GROWTH IDX</v>
      </c>
      <c r="P6409" s="2" t="s">
        <v>2281</v>
      </c>
    </row>
    <row r="6410" spans="1:16" hidden="1">
      <c r="A6410" s="2">
        <v>202112</v>
      </c>
      <c r="B6410" s="3">
        <v>44560</v>
      </c>
      <c r="C6410" s="2" t="s">
        <v>2277</v>
      </c>
      <c r="D6410" s="2" t="s">
        <v>1637</v>
      </c>
      <c r="E6410" s="2">
        <v>27.19</v>
      </c>
      <c r="F6410" s="2" t="e">
        <f>IF(Table2[[#This Row],[Manual Cat Value]]="",VLOOKUP(Table2[[#This Row],[Description]],'Actuals Lookup'!D:F,3,0),Table2[[#This Row],[Manual Cat Value]])</f>
        <v>#N/A</v>
      </c>
      <c r="J6410" s="2">
        <v>27.19</v>
      </c>
      <c r="K6410" s="2" t="b">
        <v>0</v>
      </c>
      <c r="L6410" s="2"/>
      <c r="M6410" s="2"/>
      <c r="N6410" s="4" t="s">
        <v>2259</v>
      </c>
      <c r="O6410" s="4" t="str">
        <f>LEFT(Table2[[#This Row],[Description]],75)</f>
        <v>SCHWAB US LARGE-CAP GROWTH IDX</v>
      </c>
      <c r="P6410" s="2" t="s">
        <v>2281</v>
      </c>
    </row>
    <row r="6411" spans="1:16" hidden="1">
      <c r="A6411" s="2">
        <v>202112</v>
      </c>
      <c r="B6411" s="3">
        <v>44560</v>
      </c>
      <c r="C6411" s="2" t="s">
        <v>2317</v>
      </c>
      <c r="D6411" s="2" t="s">
        <v>1637</v>
      </c>
      <c r="E6411" s="2">
        <v>-30.42</v>
      </c>
      <c r="F6411" s="2" t="e">
        <f>IF(Table2[[#This Row],[Manual Cat Value]]="",VLOOKUP(Table2[[#This Row],[Description]],'Actuals Lookup'!D:F,3,0),Table2[[#This Row],[Manual Cat Value]])</f>
        <v>#N/A</v>
      </c>
      <c r="J6411" s="2">
        <v>30.42</v>
      </c>
      <c r="K6411" s="2" t="b">
        <v>0</v>
      </c>
      <c r="L6411" s="2"/>
      <c r="M6411" s="2"/>
      <c r="N6411" s="4" t="s">
        <v>2273</v>
      </c>
      <c r="O6411" s="4" t="str">
        <f>LEFT(Table2[[#This Row],[Description]],75)</f>
        <v>SCHWAB US LARGE-CAP GROWTH IDX</v>
      </c>
      <c r="P6411" s="2" t="s">
        <v>2385</v>
      </c>
    </row>
    <row r="6412" spans="1:16" hidden="1">
      <c r="A6412" s="2">
        <v>202112</v>
      </c>
      <c r="B6412" s="3">
        <v>44560</v>
      </c>
      <c r="C6412" s="2" t="s">
        <v>2317</v>
      </c>
      <c r="D6412" s="2" t="s">
        <v>1637</v>
      </c>
      <c r="E6412" s="2">
        <v>30.42</v>
      </c>
      <c r="F6412" s="2" t="e">
        <f>IF(Table2[[#This Row],[Manual Cat Value]]="",VLOOKUP(Table2[[#This Row],[Description]],'Actuals Lookup'!D:F,3,0),Table2[[#This Row],[Manual Cat Value]])</f>
        <v>#N/A</v>
      </c>
      <c r="J6412" s="2">
        <v>30.42</v>
      </c>
      <c r="K6412" s="2" t="b">
        <v>0</v>
      </c>
      <c r="L6412" s="2"/>
      <c r="M6412" s="2"/>
      <c r="N6412" s="4" t="s">
        <v>2259</v>
      </c>
      <c r="O6412" s="4" t="str">
        <f>LEFT(Table2[[#This Row],[Description]],75)</f>
        <v>SCHWAB US LARGE-CAP GROWTH IDX</v>
      </c>
      <c r="P6412" s="2" t="s">
        <v>2385</v>
      </c>
    </row>
    <row r="6413" spans="1:16" hidden="1">
      <c r="A6413" s="2">
        <v>202112</v>
      </c>
      <c r="B6413" s="3">
        <v>44560</v>
      </c>
      <c r="C6413" s="2" t="s">
        <v>2265</v>
      </c>
      <c r="D6413" s="2" t="s">
        <v>1648</v>
      </c>
      <c r="E6413" s="2">
        <v>-253</v>
      </c>
      <c r="F6413" s="2" t="e">
        <f>IF(Table2[[#This Row],[Manual Cat Value]]="",VLOOKUP(Table2[[#This Row],[Description]],'Actuals Lookup'!D:F,3,0),Table2[[#This Row],[Manual Cat Value]])</f>
        <v>#N/A</v>
      </c>
      <c r="J6413" s="2">
        <v>253</v>
      </c>
      <c r="K6413" s="2" t="b">
        <v>0</v>
      </c>
      <c r="L6413" s="2"/>
      <c r="M6413" s="2"/>
      <c r="N6413" s="4" t="s">
        <v>2273</v>
      </c>
      <c r="O6413" s="4" t="str">
        <f>LEFT(Table2[[#This Row],[Description]],75)</f>
        <v>Share</v>
      </c>
      <c r="P6413" s="2" t="s">
        <v>2448</v>
      </c>
    </row>
    <row r="6414" spans="1:16" hidden="1">
      <c r="A6414" s="2">
        <v>202112</v>
      </c>
      <c r="B6414" s="3">
        <v>44560</v>
      </c>
      <c r="C6414" s="2" t="s">
        <v>2300</v>
      </c>
      <c r="D6414" s="2" t="s">
        <v>1648</v>
      </c>
      <c r="E6414" s="2">
        <v>-100</v>
      </c>
      <c r="F6414" s="2" t="e">
        <f>IF(Table2[[#This Row],[Manual Cat Value]]="",VLOOKUP(Table2[[#This Row],[Description]],'Actuals Lookup'!D:F,3,0),Table2[[#This Row],[Manual Cat Value]])</f>
        <v>#N/A</v>
      </c>
      <c r="J6414" s="2">
        <v>100</v>
      </c>
      <c r="K6414" s="2" t="b">
        <v>0</v>
      </c>
      <c r="L6414" s="2"/>
      <c r="M6414" s="2"/>
      <c r="N6414" s="4" t="s">
        <v>2273</v>
      </c>
      <c r="O6414" s="4" t="str">
        <f>LEFT(Table2[[#This Row],[Description]],75)</f>
        <v>Share</v>
      </c>
      <c r="P6414" s="2" t="s">
        <v>2448</v>
      </c>
    </row>
    <row r="6415" spans="1:16" hidden="1">
      <c r="A6415" s="2">
        <v>202112</v>
      </c>
      <c r="B6415" s="3">
        <v>44560</v>
      </c>
      <c r="C6415" s="2" t="s">
        <v>2262</v>
      </c>
      <c r="D6415" s="2" t="s">
        <v>1658</v>
      </c>
      <c r="E6415" s="2">
        <v>29.63</v>
      </c>
      <c r="F6415" s="2" t="e">
        <f>IF(Table2[[#This Row],[Manual Cat Value]]="",VLOOKUP(Table2[[#This Row],[Description]],'Actuals Lookup'!D:F,3,0),Table2[[#This Row],[Manual Cat Value]])</f>
        <v>#N/A</v>
      </c>
      <c r="J6415" s="2">
        <v>29.63</v>
      </c>
      <c r="K6415" s="2" t="b">
        <v>0</v>
      </c>
      <c r="L6415" s="2"/>
      <c r="M6415" s="2"/>
      <c r="N6415" s="4" t="s">
        <v>2259</v>
      </c>
      <c r="O6415" s="4" t="str">
        <f>LEFT(Table2[[#This Row],[Description]],75)</f>
        <v>Shorewood Liquor Inc</v>
      </c>
      <c r="P6415" s="2" t="s">
        <v>2281</v>
      </c>
    </row>
    <row r="6416" spans="1:16" hidden="1">
      <c r="A6416" s="2">
        <v>202112</v>
      </c>
      <c r="B6416" s="3">
        <v>44560</v>
      </c>
      <c r="C6416" s="2" t="s">
        <v>2262</v>
      </c>
      <c r="D6416" s="2" t="s">
        <v>1664</v>
      </c>
      <c r="E6416" s="2">
        <v>286.44</v>
      </c>
      <c r="F6416" s="2" t="str">
        <f>IF(Table2[[#This Row],[Manual Cat Value]]="",VLOOKUP(Table2[[#This Row],[Description]],'Actuals Lookup'!D:F,3,0),Table2[[#This Row],[Manual Cat Value]])</f>
        <v>Gifts</v>
      </c>
      <c r="J6416" s="2">
        <v>286.44</v>
      </c>
      <c r="K6416" s="2" t="b">
        <v>0</v>
      </c>
      <c r="L6416" s="2"/>
      <c r="M6416" s="2"/>
      <c r="N6416" s="4" t="s">
        <v>2259</v>
      </c>
      <c r="O6416" s="4" t="str">
        <f>LEFT(Table2[[#This Row],[Description]],75)</f>
        <v>Shutterfly</v>
      </c>
      <c r="P6416" s="2" t="s">
        <v>2281</v>
      </c>
    </row>
    <row r="6417" spans="1:16" hidden="1">
      <c r="A6417" s="2">
        <v>202112</v>
      </c>
      <c r="B6417" s="3">
        <v>44560</v>
      </c>
      <c r="C6417" s="2" t="s">
        <v>2262</v>
      </c>
      <c r="D6417" s="2" t="s">
        <v>1672</v>
      </c>
      <c r="E6417" s="2">
        <v>39.9</v>
      </c>
      <c r="F6417" s="2" t="e">
        <f>IF(Table2[[#This Row],[Manual Cat Value]]="",VLOOKUP(Table2[[#This Row],[Description]],'Actuals Lookup'!D:F,3,0),Table2[[#This Row],[Manual Cat Value]])</f>
        <v>#N/A</v>
      </c>
      <c r="J6417" s="2">
        <v>39.9</v>
      </c>
      <c r="K6417" s="2" t="b">
        <v>0</v>
      </c>
      <c r="L6417" s="2"/>
      <c r="M6417" s="2"/>
      <c r="N6417" s="4" t="s">
        <v>2259</v>
      </c>
      <c r="O6417" s="4" t="str">
        <f>LEFT(Table2[[#This Row],[Description]],75)</f>
        <v>SMM WEB TNEW XX9803 MN SMM WEB TNEW 6512659803 MN</v>
      </c>
      <c r="P6417" s="2" t="s">
        <v>2281</v>
      </c>
    </row>
    <row r="6418" spans="1:16" hidden="1">
      <c r="A6418" s="2">
        <v>202112</v>
      </c>
      <c r="B6418" s="3">
        <v>44560</v>
      </c>
      <c r="C6418" s="2" t="s">
        <v>2262</v>
      </c>
      <c r="D6418" s="2" t="s">
        <v>2586</v>
      </c>
      <c r="E6418" s="2">
        <v>-83</v>
      </c>
      <c r="F6418" s="2" t="e">
        <f>IF(Table2[[#This Row],[Manual Cat Value]]="",VLOOKUP(Table2[[#This Row],[Description]],'Actuals Lookup'!D:F,3,0),Table2[[#This Row],[Manual Cat Value]])</f>
        <v>#N/A</v>
      </c>
      <c r="J6418" s="2">
        <v>83</v>
      </c>
      <c r="K6418" s="2" t="b">
        <v>0</v>
      </c>
      <c r="L6418" s="2"/>
      <c r="M6418" s="2"/>
      <c r="N6418" s="4" t="s">
        <v>2273</v>
      </c>
      <c r="O6418" s="4" t="str">
        <f>LEFT(Table2[[#This Row],[Description]],75)</f>
        <v>Sp Unrlco Unrlmyshopifmn</v>
      </c>
      <c r="P6418" s="2" t="s">
        <v>2281</v>
      </c>
    </row>
    <row r="6419" spans="1:16" hidden="1">
      <c r="A6419" s="2">
        <v>202112</v>
      </c>
      <c r="B6419" s="3">
        <v>44560</v>
      </c>
      <c r="C6419" s="2" t="s">
        <v>2262</v>
      </c>
      <c r="D6419" s="2" t="s">
        <v>1707</v>
      </c>
      <c r="E6419" s="2">
        <v>47.05</v>
      </c>
      <c r="F6419" s="2" t="str">
        <f>IF(Table2[[#This Row],[Manual Cat Value]]="",VLOOKUP(Table2[[#This Row],[Description]],'Actuals Lookup'!D:F,3,0),Table2[[#This Row],[Manual Cat Value]])</f>
        <v>Transportation</v>
      </c>
      <c r="J6419" s="2">
        <v>47.05</v>
      </c>
      <c r="K6419" s="2" t="b">
        <v>0</v>
      </c>
      <c r="L6419" s="2"/>
      <c r="M6419" s="2"/>
      <c r="N6419" s="4" t="s">
        <v>2259</v>
      </c>
      <c r="O6419" s="4" t="str">
        <f>LEFT(Table2[[#This Row],[Description]],75)</f>
        <v>Speedway</v>
      </c>
      <c r="P6419" s="2" t="s">
        <v>2381</v>
      </c>
    </row>
    <row r="6420" spans="1:16" hidden="1">
      <c r="A6420" s="2">
        <v>202112</v>
      </c>
      <c r="B6420" s="3">
        <v>44560</v>
      </c>
      <c r="C6420" s="2" t="s">
        <v>2262</v>
      </c>
      <c r="D6420" s="2" t="s">
        <v>1707</v>
      </c>
      <c r="E6420" s="2">
        <v>54.58</v>
      </c>
      <c r="F6420" s="2" t="str">
        <f>IF(Table2[[#This Row],[Manual Cat Value]]="",VLOOKUP(Table2[[#This Row],[Description]],'Actuals Lookup'!D:F,3,0),Table2[[#This Row],[Manual Cat Value]])</f>
        <v>Transportation</v>
      </c>
      <c r="J6420" s="2">
        <v>54.58</v>
      </c>
      <c r="K6420" s="2" t="b">
        <v>0</v>
      </c>
      <c r="L6420" s="2"/>
      <c r="M6420" s="2"/>
      <c r="N6420" s="4" t="s">
        <v>2259</v>
      </c>
      <c r="O6420" s="4" t="str">
        <f>LEFT(Table2[[#This Row],[Description]],75)</f>
        <v>Speedway</v>
      </c>
      <c r="P6420" s="2" t="s">
        <v>2381</v>
      </c>
    </row>
    <row r="6421" spans="1:16" hidden="1">
      <c r="A6421" s="2">
        <v>202112</v>
      </c>
      <c r="B6421" s="3">
        <v>44560</v>
      </c>
      <c r="C6421" s="2" t="s">
        <v>2300</v>
      </c>
      <c r="D6421" s="2" t="s">
        <v>1709</v>
      </c>
      <c r="E6421" s="2">
        <v>-14.13</v>
      </c>
      <c r="F6421" s="2" t="e">
        <f>IF(Table2[[#This Row],[Manual Cat Value]]="",VLOOKUP(Table2[[#This Row],[Description]],'Actuals Lookup'!D:F,3,0),Table2[[#This Row],[Manual Cat Value]])</f>
        <v>#N/A</v>
      </c>
      <c r="J6421" s="2">
        <v>14.13</v>
      </c>
      <c r="K6421" s="2" t="b">
        <v>0</v>
      </c>
      <c r="L6421" s="2"/>
      <c r="M6421" s="2"/>
      <c r="N6421" s="4" t="s">
        <v>2273</v>
      </c>
      <c r="O6421" s="4" t="str">
        <f>LEFT(Table2[[#This Row],[Description]],75)</f>
        <v>Split Rate Apy</v>
      </c>
      <c r="P6421" s="2" t="s">
        <v>2313</v>
      </c>
    </row>
    <row r="6422" spans="1:16" hidden="1">
      <c r="A6422" s="2">
        <v>202112</v>
      </c>
      <c r="B6422" s="3">
        <v>44560</v>
      </c>
      <c r="C6422" s="2" t="s">
        <v>2265</v>
      </c>
      <c r="D6422" s="2" t="s">
        <v>1709</v>
      </c>
      <c r="E6422" s="2">
        <v>-18.71</v>
      </c>
      <c r="F6422" s="2" t="e">
        <f>IF(Table2[[#This Row],[Manual Cat Value]]="",VLOOKUP(Table2[[#This Row],[Description]],'Actuals Lookup'!D:F,3,0),Table2[[#This Row],[Manual Cat Value]])</f>
        <v>#N/A</v>
      </c>
      <c r="J6422" s="2">
        <v>18.71</v>
      </c>
      <c r="K6422" s="2" t="b">
        <v>0</v>
      </c>
      <c r="L6422" s="2"/>
      <c r="M6422" s="2"/>
      <c r="N6422" s="4" t="s">
        <v>2273</v>
      </c>
      <c r="O6422" s="4" t="str">
        <f>LEFT(Table2[[#This Row],[Description]],75)</f>
        <v>Split Rate Apy</v>
      </c>
      <c r="P6422" s="2" t="s">
        <v>2313</v>
      </c>
    </row>
    <row r="6423" spans="1:16" hidden="1">
      <c r="A6423" s="2">
        <v>202112</v>
      </c>
      <c r="B6423" s="3">
        <v>44560</v>
      </c>
      <c r="C6423" s="2" t="s">
        <v>2262</v>
      </c>
      <c r="D6423" s="2" t="s">
        <v>1769</v>
      </c>
      <c r="E6423" s="2">
        <v>7.14</v>
      </c>
      <c r="F6423" s="2" t="e">
        <f>IF(Table2[[#This Row],[Manual Cat Value]]="",VLOOKUP(Table2[[#This Row],[Description]],'Actuals Lookup'!D:F,3,0),Table2[[#This Row],[Manual Cat Value]])</f>
        <v>#N/A</v>
      </c>
      <c r="J6423" s="2">
        <v>7.14</v>
      </c>
      <c r="K6423" s="2" t="b">
        <v>0</v>
      </c>
      <c r="L6423" s="2"/>
      <c r="M6423" s="2"/>
      <c r="N6423" s="4" t="s">
        <v>2259</v>
      </c>
      <c r="O6423" s="4" t="str">
        <f>LEFT(Table2[[#This Row],[Description]],75)</f>
        <v>ST BONI LIQUOR STORE 9524461818 MN</v>
      </c>
      <c r="P6423" s="2" t="s">
        <v>2281</v>
      </c>
    </row>
    <row r="6424" spans="1:16" hidden="1">
      <c r="A6424" s="2">
        <v>202112</v>
      </c>
      <c r="B6424" s="3">
        <v>44560</v>
      </c>
      <c r="C6424" s="2" t="s">
        <v>2262</v>
      </c>
      <c r="D6424" s="2" t="s">
        <v>1773</v>
      </c>
      <c r="E6424" s="2">
        <v>10</v>
      </c>
      <c r="F6424" s="2" t="str">
        <f>IF(Table2[[#This Row],[Manual Cat Value]]="",VLOOKUP(Table2[[#This Row],[Description]],'Actuals Lookup'!D:F,3,0),Table2[[#This Row],[Manual Cat Value]])</f>
        <v>Restaurants</v>
      </c>
      <c r="J6424" s="2">
        <v>10</v>
      </c>
      <c r="K6424" s="2" t="b">
        <v>0</v>
      </c>
      <c r="L6424" s="2"/>
      <c r="M6424" s="2"/>
      <c r="N6424" s="4" t="s">
        <v>2259</v>
      </c>
      <c r="O6424" s="4" t="str">
        <f>LEFT(Table2[[#This Row],[Description]],75)</f>
        <v>Starbucks</v>
      </c>
      <c r="P6424" s="2" t="s">
        <v>2454</v>
      </c>
    </row>
    <row r="6425" spans="1:16" hidden="1">
      <c r="A6425" s="2">
        <v>202112</v>
      </c>
      <c r="B6425" s="3">
        <v>44560</v>
      </c>
      <c r="C6425" s="2" t="s">
        <v>2262</v>
      </c>
      <c r="D6425" s="2" t="s">
        <v>1773</v>
      </c>
      <c r="E6425" s="2">
        <v>30</v>
      </c>
      <c r="F6425" s="2" t="str">
        <f>IF(Table2[[#This Row],[Manual Cat Value]]="",VLOOKUP(Table2[[#This Row],[Description]],'Actuals Lookup'!D:F,3,0),Table2[[#This Row],[Manual Cat Value]])</f>
        <v>Restaurants</v>
      </c>
      <c r="J6425" s="2">
        <v>30</v>
      </c>
      <c r="K6425" s="2" t="b">
        <v>0</v>
      </c>
      <c r="L6425" s="2"/>
      <c r="M6425" s="2"/>
      <c r="N6425" s="4" t="s">
        <v>2259</v>
      </c>
      <c r="O6425" s="4" t="str">
        <f>LEFT(Table2[[#This Row],[Description]],75)</f>
        <v>Starbucks</v>
      </c>
      <c r="P6425" s="2" t="s">
        <v>2454</v>
      </c>
    </row>
    <row r="6426" spans="1:16" hidden="1">
      <c r="A6426" s="2">
        <v>202112</v>
      </c>
      <c r="B6426" s="3">
        <v>44560</v>
      </c>
      <c r="C6426" s="2" t="s">
        <v>2262</v>
      </c>
      <c r="D6426" s="2" t="s">
        <v>1773</v>
      </c>
      <c r="E6426" s="2">
        <v>20</v>
      </c>
      <c r="F6426" s="2" t="str">
        <f>IF(Table2[[#This Row],[Manual Cat Value]]="",VLOOKUP(Table2[[#This Row],[Description]],'Actuals Lookup'!D:F,3,0),Table2[[#This Row],[Manual Cat Value]])</f>
        <v>Restaurants</v>
      </c>
      <c r="J6426" s="2">
        <v>20</v>
      </c>
      <c r="K6426" s="2" t="b">
        <v>0</v>
      </c>
      <c r="L6426" s="2"/>
      <c r="M6426" s="2"/>
      <c r="N6426" s="4" t="s">
        <v>2259</v>
      </c>
      <c r="O6426" s="4" t="str">
        <f>LEFT(Table2[[#This Row],[Description]],75)</f>
        <v>Starbucks</v>
      </c>
      <c r="P6426" s="2" t="s">
        <v>2454</v>
      </c>
    </row>
    <row r="6427" spans="1:16" hidden="1">
      <c r="A6427" s="2">
        <v>202112</v>
      </c>
      <c r="B6427" s="3">
        <v>44560</v>
      </c>
      <c r="C6427" s="2" t="s">
        <v>2262</v>
      </c>
      <c r="D6427" s="2" t="s">
        <v>1773</v>
      </c>
      <c r="E6427" s="2">
        <v>10</v>
      </c>
      <c r="F6427" s="2" t="str">
        <f>IF(Table2[[#This Row],[Manual Cat Value]]="",VLOOKUP(Table2[[#This Row],[Description]],'Actuals Lookup'!D:F,3,0),Table2[[#This Row],[Manual Cat Value]])</f>
        <v>Restaurants</v>
      </c>
      <c r="J6427" s="2">
        <v>10</v>
      </c>
      <c r="K6427" s="2" t="b">
        <v>0</v>
      </c>
      <c r="L6427" s="2"/>
      <c r="M6427" s="2"/>
      <c r="N6427" s="4" t="s">
        <v>2259</v>
      </c>
      <c r="O6427" s="4" t="str">
        <f>LEFT(Table2[[#This Row],[Description]],75)</f>
        <v>Starbucks</v>
      </c>
      <c r="P6427" s="2" t="s">
        <v>2454</v>
      </c>
    </row>
    <row r="6428" spans="1:16" hidden="1">
      <c r="A6428" s="2">
        <v>202112</v>
      </c>
      <c r="B6428" s="3">
        <v>44560</v>
      </c>
      <c r="C6428" s="2" t="s">
        <v>2265</v>
      </c>
      <c r="D6428" s="2" t="s">
        <v>1801</v>
      </c>
      <c r="E6428" s="2">
        <v>-3506.76</v>
      </c>
      <c r="F6428" s="2" t="e">
        <f>IF(Table2[[#This Row],[Manual Cat Value]]="",VLOOKUP(Table2[[#This Row],[Description]],'Actuals Lookup'!D:F,3,0),Table2[[#This Row],[Manual Cat Value]])</f>
        <v>#N/A</v>
      </c>
      <c r="J6428" s="2">
        <v>3506.76</v>
      </c>
      <c r="K6428" s="2" t="b">
        <v>0</v>
      </c>
      <c r="L6428" s="2"/>
      <c r="M6428" s="2"/>
      <c r="N6428" s="4" t="s">
        <v>2273</v>
      </c>
      <c r="O6428" s="4" t="str">
        <f>LEFT(Table2[[#This Row],[Description]],75)</f>
        <v>SYNTELLIS PERFOR TYPE DIRECT DEP ID CO SYNTELLIS PERFOR ACH ECC PPD ACH Tra</v>
      </c>
      <c r="P6428" s="2" t="s">
        <v>2281</v>
      </c>
    </row>
    <row r="6429" spans="1:16" hidden="1">
      <c r="A6429" s="2">
        <v>202112</v>
      </c>
      <c r="B6429" s="3">
        <v>44560</v>
      </c>
      <c r="C6429" s="2" t="s">
        <v>2265</v>
      </c>
      <c r="D6429" s="2" t="s">
        <v>1802</v>
      </c>
      <c r="E6429" s="2">
        <v>-3456.76</v>
      </c>
      <c r="F6429" s="2" t="e">
        <f>IF(Table2[[#This Row],[Manual Cat Value]]="",VLOOKUP(Table2[[#This Row],[Description]],'Actuals Lookup'!D:F,3,0),Table2[[#This Row],[Manual Cat Value]])</f>
        <v>#N/A</v>
      </c>
      <c r="J6429" s="2">
        <v>3456.76</v>
      </c>
      <c r="K6429" s="2" t="b">
        <v>0</v>
      </c>
      <c r="L6429" s="2"/>
      <c r="M6429" s="2"/>
      <c r="N6429" s="4" t="s">
        <v>2273</v>
      </c>
      <c r="O6429" s="4" t="str">
        <f>LEFT(Table2[[#This Row],[Description]],75)</f>
        <v>SYNTELLIS PERFOR TYPE DIRECT DEP ID CO SYNTELLIS PERFOR ACH ECC PPD ACH Tra</v>
      </c>
      <c r="P6429" s="2" t="s">
        <v>2281</v>
      </c>
    </row>
    <row r="6430" spans="1:16" hidden="1">
      <c r="A6430" s="2">
        <v>202112</v>
      </c>
      <c r="B6430" s="3">
        <v>44560</v>
      </c>
      <c r="C6430" s="2" t="s">
        <v>2265</v>
      </c>
      <c r="D6430" s="2" t="s">
        <v>31</v>
      </c>
      <c r="E6430" s="2">
        <v>729.07</v>
      </c>
      <c r="F6430" s="2" t="str">
        <f>IF(Table2[[#This Row],[Manual Cat Value]]="",VLOOKUP(Table2[[#This Row],[Description]],'Actuals Lookup'!D:F,3,0),Table2[[#This Row],[Manual Cat Value]])</f>
        <v>Target</v>
      </c>
      <c r="J6430" s="2">
        <v>729.07</v>
      </c>
      <c r="K6430" s="2" t="b">
        <v>0</v>
      </c>
      <c r="L6430" s="2"/>
      <c r="M6430" s="2"/>
      <c r="N6430" s="4" t="s">
        <v>2259</v>
      </c>
      <c r="O6430" s="4" t="str">
        <f>LEFT(Table2[[#This Row],[Description]],75)</f>
        <v>Target</v>
      </c>
      <c r="P6430" s="2" t="s">
        <v>2309</v>
      </c>
    </row>
    <row r="6431" spans="1:16" hidden="1">
      <c r="A6431" s="2">
        <v>202112</v>
      </c>
      <c r="B6431" s="3">
        <v>44560</v>
      </c>
      <c r="C6431" s="2" t="s">
        <v>2262</v>
      </c>
      <c r="D6431" s="2" t="s">
        <v>31</v>
      </c>
      <c r="E6431" s="2">
        <v>105.02</v>
      </c>
      <c r="F6431" s="2" t="str">
        <f>IF(Table2[[#This Row],[Manual Cat Value]]="",VLOOKUP(Table2[[#This Row],[Description]],'Actuals Lookup'!D:F,3,0),Table2[[#This Row],[Manual Cat Value]])</f>
        <v>Target</v>
      </c>
      <c r="J6431" s="2">
        <v>105.02</v>
      </c>
      <c r="K6431" s="2" t="b">
        <v>0</v>
      </c>
      <c r="L6431" s="2"/>
      <c r="M6431" s="2"/>
      <c r="N6431" s="4" t="s">
        <v>2259</v>
      </c>
      <c r="O6431" s="4" t="str">
        <f>LEFT(Table2[[#This Row],[Description]],75)</f>
        <v>Target</v>
      </c>
      <c r="P6431" s="2" t="s">
        <v>2309</v>
      </c>
    </row>
    <row r="6432" spans="1:16" hidden="1">
      <c r="A6432" s="2">
        <v>202112</v>
      </c>
      <c r="B6432" s="3">
        <v>44560</v>
      </c>
      <c r="C6432" s="2" t="s">
        <v>2434</v>
      </c>
      <c r="D6432" s="2" t="s">
        <v>1835</v>
      </c>
      <c r="E6432" s="2">
        <v>-231</v>
      </c>
      <c r="F6432" s="2" t="e">
        <f>IF(Table2[[#This Row],[Manual Cat Value]]="",VLOOKUP(Table2[[#This Row],[Description]],'Actuals Lookup'!D:F,3,0),Table2[[#This Row],[Manual Cat Value]])</f>
        <v>#N/A</v>
      </c>
      <c r="J6432" s="2">
        <v>231</v>
      </c>
      <c r="K6432" s="2" t="b">
        <v>0</v>
      </c>
      <c r="L6432" s="2"/>
      <c r="M6432" s="2"/>
      <c r="N6432" s="4" t="s">
        <v>2273</v>
      </c>
      <c r="O6432" s="4" t="str">
        <f>LEFT(Table2[[#This Row],[Description]],75)</f>
        <v>Tfr JPMORGAN CHASE BAN, CARGILL INCORPOR</v>
      </c>
      <c r="P6432" s="2" t="s">
        <v>2281</v>
      </c>
    </row>
    <row r="6433" spans="1:16" hidden="1">
      <c r="A6433" s="2">
        <v>202112</v>
      </c>
      <c r="B6433" s="3">
        <v>44560</v>
      </c>
      <c r="C6433" s="2" t="s">
        <v>2434</v>
      </c>
      <c r="D6433" s="2" t="s">
        <v>1835</v>
      </c>
      <c r="E6433" s="2">
        <v>-231</v>
      </c>
      <c r="F6433" s="2" t="e">
        <f>IF(Table2[[#This Row],[Manual Cat Value]]="",VLOOKUP(Table2[[#This Row],[Description]],'Actuals Lookup'!D:F,3,0),Table2[[#This Row],[Manual Cat Value]])</f>
        <v>#N/A</v>
      </c>
      <c r="J6433" s="2">
        <v>231</v>
      </c>
      <c r="K6433" s="2" t="b">
        <v>0</v>
      </c>
      <c r="L6433" s="2"/>
      <c r="M6433" s="2"/>
      <c r="N6433" s="4" t="s">
        <v>2273</v>
      </c>
      <c r="O6433" s="4" t="str">
        <f>LEFT(Table2[[#This Row],[Description]],75)</f>
        <v>Tfr JPMORGAN CHASE BAN, CARGILL INCORPOR</v>
      </c>
      <c r="P6433" s="2" t="s">
        <v>2281</v>
      </c>
    </row>
    <row r="6434" spans="1:16" hidden="1">
      <c r="A6434" s="2">
        <v>202112</v>
      </c>
      <c r="B6434" s="3">
        <v>44560</v>
      </c>
      <c r="C6434" s="2" t="s">
        <v>2262</v>
      </c>
      <c r="D6434" s="2" t="s">
        <v>1859</v>
      </c>
      <c r="E6434" s="2">
        <v>65.67</v>
      </c>
      <c r="F6434" s="2" t="e">
        <f>IF(Table2[[#This Row],[Manual Cat Value]]="",VLOOKUP(Table2[[#This Row],[Description]],'Actuals Lookup'!D:F,3,0),Table2[[#This Row],[Manual Cat Value]])</f>
        <v>#N/A</v>
      </c>
      <c r="J6434" s="2">
        <v>65.67</v>
      </c>
      <c r="K6434" s="2" t="b">
        <v>0</v>
      </c>
      <c r="L6434" s="2"/>
      <c r="M6434" s="2"/>
      <c r="N6434" s="4" t="s">
        <v>2259</v>
      </c>
      <c r="O6434" s="4" t="str">
        <f>LEFT(Table2[[#This Row],[Description]],75)</f>
        <v>The UPS Store</v>
      </c>
      <c r="P6434" s="2" t="s">
        <v>2281</v>
      </c>
    </row>
    <row r="6435" spans="1:16" hidden="1">
      <c r="A6435" s="2">
        <v>202112</v>
      </c>
      <c r="B6435" s="3">
        <v>44560</v>
      </c>
      <c r="C6435" s="2" t="s">
        <v>2262</v>
      </c>
      <c r="D6435" s="2" t="s">
        <v>1868</v>
      </c>
      <c r="E6435" s="2">
        <v>5.22</v>
      </c>
      <c r="F6435" s="2" t="e">
        <f>IF(Table2[[#This Row],[Manual Cat Value]]="",VLOOKUP(Table2[[#This Row],[Description]],'Actuals Lookup'!D:F,3,0),Table2[[#This Row],[Manual Cat Value]])</f>
        <v>#N/A</v>
      </c>
      <c r="J6435" s="2">
        <v>5.22</v>
      </c>
      <c r="K6435" s="2" t="b">
        <v>0</v>
      </c>
      <c r="L6435" s="2"/>
      <c r="M6435" s="2"/>
      <c r="N6435" s="4" t="s">
        <v>2259</v>
      </c>
      <c r="O6435" s="4" t="str">
        <f>LEFT(Table2[[#This Row],[Description]],75)</f>
        <v>TIFFS TREATS OKC 2146414377 OK</v>
      </c>
      <c r="P6435" s="2" t="s">
        <v>2281</v>
      </c>
    </row>
    <row r="6436" spans="1:16" hidden="1">
      <c r="A6436" s="2">
        <v>202112</v>
      </c>
      <c r="B6436" s="3">
        <v>44560</v>
      </c>
      <c r="C6436" s="2" t="s">
        <v>2265</v>
      </c>
      <c r="D6436" s="2" t="s">
        <v>1892</v>
      </c>
      <c r="E6436" s="2">
        <v>100</v>
      </c>
      <c r="F6436" s="2" t="e">
        <f>IF(Table2[[#This Row],[Manual Cat Value]]="",VLOOKUP(Table2[[#This Row],[Description]],'Actuals Lookup'!D:F,3,0),Table2[[#This Row],[Manual Cat Value]])</f>
        <v>#N/A</v>
      </c>
      <c r="J6436" s="2">
        <v>100</v>
      </c>
      <c r="K6436" s="2" t="b">
        <v>0</v>
      </c>
      <c r="L6436" s="2"/>
      <c r="M6436" s="2"/>
      <c r="N6436" s="4" t="s">
        <v>2259</v>
      </c>
      <c r="O6436" s="4" t="str">
        <f>LEFT(Table2[[#This Row],[Description]],75)</f>
        <v>To Share 12</v>
      </c>
      <c r="P6436" s="2" t="s">
        <v>2494</v>
      </c>
    </row>
    <row r="6437" spans="1:16" hidden="1">
      <c r="A6437" s="2">
        <v>202112</v>
      </c>
      <c r="B6437" s="3">
        <v>44560</v>
      </c>
      <c r="C6437" s="2" t="s">
        <v>2305</v>
      </c>
      <c r="D6437" s="2" t="s">
        <v>1905</v>
      </c>
      <c r="E6437" s="2">
        <v>253</v>
      </c>
      <c r="F6437" s="2" t="e">
        <f>IF(Table2[[#This Row],[Manual Cat Value]]="",VLOOKUP(Table2[[#This Row],[Description]],'Actuals Lookup'!D:F,3,0),Table2[[#This Row],[Manual Cat Value]])</f>
        <v>#N/A</v>
      </c>
      <c r="J6437" s="2">
        <v>253</v>
      </c>
      <c r="K6437" s="2" t="b">
        <v>0</v>
      </c>
      <c r="L6437" s="2"/>
      <c r="M6437" s="2"/>
      <c r="N6437" s="4" t="s">
        <v>2259</v>
      </c>
      <c r="O6437" s="4" t="str">
        <f>LEFT(Table2[[#This Row],[Description]],75)</f>
        <v>To Share 70</v>
      </c>
      <c r="P6437" s="2" t="s">
        <v>2281</v>
      </c>
    </row>
    <row r="6438" spans="1:16" hidden="1">
      <c r="A6438" s="2">
        <v>202112</v>
      </c>
      <c r="B6438" s="3">
        <v>44560</v>
      </c>
      <c r="C6438" s="2" t="s">
        <v>2262</v>
      </c>
      <c r="D6438" s="2" t="s">
        <v>1928</v>
      </c>
      <c r="E6438" s="2">
        <v>137.79</v>
      </c>
      <c r="F6438" s="2" t="e">
        <f>IF(Table2[[#This Row],[Manual Cat Value]]="",VLOOKUP(Table2[[#This Row],[Description]],'Actuals Lookup'!D:F,3,0),Table2[[#This Row],[Manual Cat Value]])</f>
        <v>#N/A</v>
      </c>
      <c r="J6438" s="2">
        <v>137.79</v>
      </c>
      <c r="K6438" s="2" t="b">
        <v>0</v>
      </c>
      <c r="L6438" s="2"/>
      <c r="M6438" s="2"/>
      <c r="N6438" s="4" t="s">
        <v>2259</v>
      </c>
      <c r="O6438" s="4" t="str">
        <f>LEFT(Table2[[#This Row],[Description]],75)</f>
        <v>Total Wine More</v>
      </c>
      <c r="P6438" s="2" t="s">
        <v>2556</v>
      </c>
    </row>
    <row r="6439" spans="1:16" hidden="1">
      <c r="A6439" s="2">
        <v>202112</v>
      </c>
      <c r="B6439" s="3">
        <v>44560</v>
      </c>
      <c r="C6439" s="2" t="s">
        <v>2265</v>
      </c>
      <c r="D6439" s="2" t="s">
        <v>1937</v>
      </c>
      <c r="E6439" s="2">
        <v>-45.33</v>
      </c>
      <c r="F6439" s="2" t="e">
        <f>IF(Table2[[#This Row],[Manual Cat Value]]="",VLOOKUP(Table2[[#This Row],[Description]],'Actuals Lookup'!D:F,3,0),Table2[[#This Row],[Manual Cat Value]])</f>
        <v>#N/A</v>
      </c>
      <c r="J6439" s="2">
        <v>45.33</v>
      </c>
      <c r="K6439" s="2" t="b">
        <v>0</v>
      </c>
      <c r="L6439" s="2"/>
      <c r="M6439" s="2"/>
      <c r="N6439" s="4" t="s">
        <v>2273</v>
      </c>
      <c r="O6439" s="4" t="str">
        <f>LEFT(Table2[[#This Row],[Description]],75)</f>
        <v>Transfer from PayPal PAYPAL TYPE TRANSFER ID PAYPALSD11 CO PAYPAL ACH ECC P</v>
      </c>
      <c r="P6439" s="2" t="s">
        <v>2322</v>
      </c>
    </row>
    <row r="6440" spans="1:16" hidden="1">
      <c r="A6440" s="2">
        <v>202112</v>
      </c>
      <c r="B6440" s="3">
        <v>44560</v>
      </c>
      <c r="C6440" s="2" t="s">
        <v>2265</v>
      </c>
      <c r="D6440" s="2" t="s">
        <v>1940</v>
      </c>
      <c r="E6440" s="2">
        <v>-362.38</v>
      </c>
      <c r="F6440" s="2" t="e">
        <f>IF(Table2[[#This Row],[Manual Cat Value]]="",VLOOKUP(Table2[[#This Row],[Description]],'Actuals Lookup'!D:F,3,0),Table2[[#This Row],[Manual Cat Value]])</f>
        <v>#N/A</v>
      </c>
      <c r="J6440" s="2">
        <v>362.38</v>
      </c>
      <c r="K6440" s="2" t="b">
        <v>0</v>
      </c>
      <c r="L6440" s="2"/>
      <c r="M6440" s="2"/>
      <c r="N6440" s="4" t="s">
        <v>2273</v>
      </c>
      <c r="O6440" s="4" t="str">
        <f>LEFT(Table2[[#This Row],[Description]],75)</f>
        <v>Transfer from PayPal PAYPAL TYPE TRANSFER ID PAYPALSD11 CO PAYPAL ACH ECC P</v>
      </c>
      <c r="P6440" s="2" t="s">
        <v>2322</v>
      </c>
    </row>
    <row r="6441" spans="1:16" hidden="1">
      <c r="A6441" s="2">
        <v>202112</v>
      </c>
      <c r="B6441" s="3">
        <v>44560</v>
      </c>
      <c r="C6441" s="2" t="s">
        <v>2265</v>
      </c>
      <c r="D6441" s="2" t="s">
        <v>1941</v>
      </c>
      <c r="E6441" s="2">
        <v>-4.5999999999999996</v>
      </c>
      <c r="F6441" s="2" t="e">
        <f>IF(Table2[[#This Row],[Manual Cat Value]]="",VLOOKUP(Table2[[#This Row],[Description]],'Actuals Lookup'!D:F,3,0),Table2[[#This Row],[Manual Cat Value]])</f>
        <v>#N/A</v>
      </c>
      <c r="J6441" s="2">
        <v>4.5999999999999996</v>
      </c>
      <c r="K6441" s="2" t="b">
        <v>0</v>
      </c>
      <c r="L6441" s="2"/>
      <c r="M6441" s="2"/>
      <c r="N6441" s="4" t="s">
        <v>2273</v>
      </c>
      <c r="O6441" s="4" t="str">
        <f>LEFT(Table2[[#This Row],[Description]],75)</f>
        <v>Transfer from PayPal PAYPAL TYPE TRANSFER ID PAYPALSD11 CO PAYPAL ACH ECC P</v>
      </c>
      <c r="P6441" s="2" t="s">
        <v>2322</v>
      </c>
    </row>
    <row r="6442" spans="1:16" hidden="1">
      <c r="A6442" s="2">
        <v>202112</v>
      </c>
      <c r="B6442" s="3">
        <v>44560</v>
      </c>
      <c r="C6442" s="2" t="s">
        <v>2265</v>
      </c>
      <c r="D6442" s="2" t="s">
        <v>1996</v>
      </c>
      <c r="E6442" s="2">
        <v>1000</v>
      </c>
      <c r="F6442" s="2" t="e">
        <f>IF(Table2[[#This Row],[Manual Cat Value]]="",VLOOKUP(Table2[[#This Row],[Description]],'Actuals Lookup'!D:F,3,0),Table2[[#This Row],[Manual Cat Value]])</f>
        <v>#N/A</v>
      </c>
      <c r="J6442" s="2">
        <v>1000</v>
      </c>
      <c r="K6442" s="2" t="b">
        <v>0</v>
      </c>
      <c r="L6442" s="2"/>
      <c r="M6442" s="2"/>
      <c r="N6442" s="4" t="s">
        <v>2259</v>
      </c>
      <c r="O6442" s="4" t="str">
        <f>LEFT(Table2[[#This Row],[Description]],75)</f>
        <v>Treasurydirect TREASURY DIRECT TYPE TREAS DRCT ID CO TREASURY DIRECT ACH EC</v>
      </c>
      <c r="P6442" s="2" t="s">
        <v>2281</v>
      </c>
    </row>
    <row r="6443" spans="1:16" hidden="1">
      <c r="A6443" s="2">
        <v>202112</v>
      </c>
      <c r="B6443" s="3">
        <v>44560</v>
      </c>
      <c r="C6443" s="2" t="s">
        <v>2262</v>
      </c>
      <c r="D6443" s="2" t="s">
        <v>2006</v>
      </c>
      <c r="E6443" s="2">
        <v>2.14</v>
      </c>
      <c r="F6443" s="2" t="e">
        <f>IF(Table2[[#This Row],[Manual Cat Value]]="",VLOOKUP(Table2[[#This Row],[Description]],'Actuals Lookup'!D:F,3,0),Table2[[#This Row],[Manual Cat Value]])</f>
        <v>#N/A</v>
      </c>
      <c r="J6443" s="2">
        <v>2.14</v>
      </c>
      <c r="K6443" s="2" t="b">
        <v>0</v>
      </c>
      <c r="L6443" s="2"/>
      <c r="M6443" s="2"/>
      <c r="N6443" s="4" t="s">
        <v>2259</v>
      </c>
      <c r="O6443" s="4" t="str">
        <f>LEFT(Table2[[#This Row],[Description]],75)</f>
        <v>TST BOMBAY PIZZA KITCHENEDEN PRAIRIE MN</v>
      </c>
      <c r="P6443" s="2" t="s">
        <v>2281</v>
      </c>
    </row>
    <row r="6444" spans="1:16" hidden="1">
      <c r="A6444" s="2">
        <v>202112</v>
      </c>
      <c r="B6444" s="3">
        <v>44560</v>
      </c>
      <c r="C6444" s="2" t="s">
        <v>2262</v>
      </c>
      <c r="D6444" s="2" t="s">
        <v>2006</v>
      </c>
      <c r="E6444" s="2">
        <v>51.4</v>
      </c>
      <c r="F6444" s="2" t="e">
        <f>IF(Table2[[#This Row],[Manual Cat Value]]="",VLOOKUP(Table2[[#This Row],[Description]],'Actuals Lookup'!D:F,3,0),Table2[[#This Row],[Manual Cat Value]])</f>
        <v>#N/A</v>
      </c>
      <c r="J6444" s="2">
        <v>51.4</v>
      </c>
      <c r="K6444" s="2" t="b">
        <v>0</v>
      </c>
      <c r="L6444" s="2"/>
      <c r="M6444" s="2"/>
      <c r="N6444" s="4" t="s">
        <v>2259</v>
      </c>
      <c r="O6444" s="4" t="str">
        <f>LEFT(Table2[[#This Row],[Description]],75)</f>
        <v>TST BOMBAY PIZZA KITCHENEDEN PRAIRIE MN</v>
      </c>
      <c r="P6444" s="2" t="s">
        <v>2281</v>
      </c>
    </row>
    <row r="6445" spans="1:16" hidden="1">
      <c r="A6445" s="2">
        <v>202112</v>
      </c>
      <c r="B6445" s="3">
        <v>44560</v>
      </c>
      <c r="C6445" s="2" t="s">
        <v>2274</v>
      </c>
      <c r="D6445" s="2" t="s">
        <v>2076</v>
      </c>
      <c r="E6445" s="2">
        <v>300</v>
      </c>
      <c r="F6445" s="2" t="e">
        <f>IF(Table2[[#This Row],[Manual Cat Value]]="",VLOOKUP(Table2[[#This Row],[Description]],'Actuals Lookup'!D:F,3,0),Table2[[#This Row],[Manual Cat Value]])</f>
        <v>#N/A</v>
      </c>
      <c r="J6445" s="2">
        <v>300</v>
      </c>
      <c r="K6445" s="2" t="b">
        <v>0</v>
      </c>
      <c r="L6445" s="2"/>
      <c r="M6445" s="2"/>
      <c r="N6445" s="4" t="s">
        <v>2259</v>
      </c>
      <c r="O6445" s="4" t="str">
        <f>LEFT(Table2[[#This Row],[Description]],75)</f>
        <v>U.S. Bank</v>
      </c>
      <c r="P6445" s="2" t="s">
        <v>2281</v>
      </c>
    </row>
    <row r="6446" spans="1:16" hidden="1">
      <c r="A6446" s="2">
        <v>202112</v>
      </c>
      <c r="B6446" s="3">
        <v>44560</v>
      </c>
      <c r="C6446" s="2" t="s">
        <v>2265</v>
      </c>
      <c r="D6446" s="2" t="s">
        <v>2112</v>
      </c>
      <c r="E6446" s="2">
        <v>-1859.27</v>
      </c>
      <c r="F6446" s="2" t="e">
        <f>IF(Table2[[#This Row],[Manual Cat Value]]="",VLOOKUP(Table2[[#This Row],[Description]],'Actuals Lookup'!D:F,3,0),Table2[[#This Row],[Manual Cat Value]])</f>
        <v>#N/A</v>
      </c>
      <c r="J6446" s="2">
        <v>1859.27</v>
      </c>
      <c r="K6446" s="2" t="b">
        <v>0</v>
      </c>
      <c r="L6446" s="2"/>
      <c r="M6446" s="2"/>
      <c r="N6446" s="4" t="s">
        <v>2273</v>
      </c>
      <c r="O6446" s="4" t="str">
        <f>LEFT(Table2[[#This Row],[Description]],75)</f>
        <v>Venmo Type Cashout</v>
      </c>
      <c r="P6446" s="2" t="s">
        <v>2279</v>
      </c>
    </row>
    <row r="6447" spans="1:16" hidden="1">
      <c r="A6447" s="2">
        <v>202112</v>
      </c>
      <c r="B6447" s="3">
        <v>44560</v>
      </c>
      <c r="C6447" s="2" t="s">
        <v>2274</v>
      </c>
      <c r="D6447" s="2" t="s">
        <v>2147</v>
      </c>
      <c r="E6447" s="2">
        <v>603</v>
      </c>
      <c r="F6447" s="2" t="e">
        <f>IF(Table2[[#This Row],[Manual Cat Value]]="",VLOOKUP(Table2[[#This Row],[Description]],'Actuals Lookup'!D:F,3,0),Table2[[#This Row],[Manual Cat Value]])</f>
        <v>#N/A</v>
      </c>
      <c r="J6447" s="2">
        <v>603</v>
      </c>
      <c r="K6447" s="2" t="b">
        <v>0</v>
      </c>
      <c r="L6447" s="2"/>
      <c r="M6447" s="2"/>
      <c r="N6447" s="4" t="s">
        <v>2259</v>
      </c>
      <c r="O6447" s="4" t="str">
        <f>LEFT(Table2[[#This Row],[Description]],75)</f>
        <v>Wells Fargo Bank</v>
      </c>
      <c r="P6447" s="2" t="s">
        <v>2281</v>
      </c>
    </row>
    <row r="6448" spans="1:16" hidden="1">
      <c r="A6448" s="2">
        <v>202112</v>
      </c>
      <c r="B6448" s="3">
        <v>44560</v>
      </c>
      <c r="C6448" s="2" t="s">
        <v>2265</v>
      </c>
      <c r="D6448" s="2" t="s">
        <v>2160</v>
      </c>
      <c r="E6448" s="2">
        <v>200</v>
      </c>
      <c r="F6448" s="2" t="e">
        <f>IF(Table2[[#This Row],[Manual Cat Value]]="",VLOOKUP(Table2[[#This Row],[Description]],'Actuals Lookup'!D:F,3,0),Table2[[#This Row],[Manual Cat Value]])</f>
        <v>#N/A</v>
      </c>
      <c r="J6448" s="2">
        <v>200</v>
      </c>
      <c r="K6448" s="2" t="b">
        <v>0</v>
      </c>
      <c r="L6448" s="2"/>
      <c r="M6448" s="2"/>
      <c r="N6448" s="4" t="s">
        <v>2259</v>
      </c>
      <c r="O6448" s="4" t="str">
        <f>LEFT(Table2[[#This Row],[Description]],75)</f>
        <v>Wings Financial</v>
      </c>
      <c r="P6448" s="2" t="s">
        <v>2281</v>
      </c>
    </row>
    <row r="6449" spans="1:16" hidden="1">
      <c r="A6449" s="2">
        <v>202112</v>
      </c>
      <c r="B6449" s="3">
        <v>44560</v>
      </c>
      <c r="C6449" s="2" t="s">
        <v>2447</v>
      </c>
      <c r="D6449" s="2" t="s">
        <v>458</v>
      </c>
      <c r="E6449" s="2">
        <v>-8</v>
      </c>
      <c r="F6449" s="2" t="e">
        <f>IF(Table2[[#This Row],[Manual Cat Value]]="",VLOOKUP(Table2[[#This Row],[Description]],'Actuals Lookup'!D:F,3,0),Table2[[#This Row],[Manual Cat Value]])</f>
        <v>#N/A</v>
      </c>
      <c r="J6449" s="2">
        <v>8</v>
      </c>
      <c r="K6449" s="2" t="b">
        <v>0</v>
      </c>
      <c r="L6449" s="2"/>
      <c r="M6449" s="2"/>
      <c r="N6449" s="4" t="s">
        <v>2273</v>
      </c>
      <c r="O6449" s="4" t="str">
        <f>LEFT(Table2[[#This Row],[Description]],75)</f>
        <v>CASHBACK BONUS REDEMPTION payment/STMT CRDT</v>
      </c>
      <c r="P6449" s="2" t="s">
        <v>2304</v>
      </c>
    </row>
    <row r="6450" spans="1:16" hidden="1">
      <c r="A6450" s="2">
        <v>202112</v>
      </c>
      <c r="B6450" s="3">
        <v>44560</v>
      </c>
      <c r="C6450" s="2" t="s">
        <v>2262</v>
      </c>
      <c r="D6450" s="2" t="s">
        <v>674</v>
      </c>
      <c r="E6450" s="2">
        <v>-891.11</v>
      </c>
      <c r="F6450" s="2" t="e">
        <f>IF(Table2[[#This Row],[Manual Cat Value]]="",VLOOKUP(Table2[[#This Row],[Description]],'Actuals Lookup'!D:F,3,0),Table2[[#This Row],[Manual Cat Value]])</f>
        <v>#N/A</v>
      </c>
      <c r="J6450" s="2">
        <v>891.11</v>
      </c>
      <c r="K6450" s="2" t="b">
        <v>0</v>
      </c>
      <c r="L6450" s="2"/>
      <c r="M6450" s="2"/>
      <c r="N6450" s="4" t="s">
        <v>2273</v>
      </c>
      <c r="O6450" s="4" t="str">
        <f>LEFT(Table2[[#This Row],[Description]],75)</f>
        <v>Credit Card Payment Received PAYMENT THANK YOU</v>
      </c>
      <c r="P6450" s="2" t="s">
        <v>2560</v>
      </c>
    </row>
    <row r="6451" spans="1:16" hidden="1">
      <c r="A6451" s="2">
        <v>202112</v>
      </c>
      <c r="B6451" s="3">
        <v>44560</v>
      </c>
      <c r="C6451" s="2" t="s">
        <v>2262</v>
      </c>
      <c r="D6451" s="2" t="s">
        <v>674</v>
      </c>
      <c r="E6451" s="2">
        <v>-1104.81</v>
      </c>
      <c r="F6451" s="2" t="e">
        <f>IF(Table2[[#This Row],[Manual Cat Value]]="",VLOOKUP(Table2[[#This Row],[Description]],'Actuals Lookup'!D:F,3,0),Table2[[#This Row],[Manual Cat Value]])</f>
        <v>#N/A</v>
      </c>
      <c r="J6451" s="2">
        <v>1104.81</v>
      </c>
      <c r="K6451" s="2" t="b">
        <v>0</v>
      </c>
      <c r="L6451" s="2"/>
      <c r="M6451" s="2"/>
      <c r="N6451" s="4" t="s">
        <v>2273</v>
      </c>
      <c r="O6451" s="4" t="str">
        <f>LEFT(Table2[[#This Row],[Description]],75)</f>
        <v>Credit Card Payment Received PAYMENT THANK YOU</v>
      </c>
      <c r="P6451" s="2" t="s">
        <v>2560</v>
      </c>
    </row>
    <row r="6452" spans="1:16" hidden="1">
      <c r="A6452" s="2">
        <v>202112</v>
      </c>
      <c r="B6452" s="3">
        <v>44560</v>
      </c>
      <c r="C6452" s="2" t="s">
        <v>2262</v>
      </c>
      <c r="D6452" s="2" t="s">
        <v>674</v>
      </c>
      <c r="E6452" s="2">
        <v>-1357.64</v>
      </c>
      <c r="F6452" s="2" t="e">
        <f>IF(Table2[[#This Row],[Manual Cat Value]]="",VLOOKUP(Table2[[#This Row],[Description]],'Actuals Lookup'!D:F,3,0),Table2[[#This Row],[Manual Cat Value]])</f>
        <v>#N/A</v>
      </c>
      <c r="J6452" s="2">
        <v>1357.64</v>
      </c>
      <c r="K6452" s="2" t="b">
        <v>0</v>
      </c>
      <c r="L6452" s="2"/>
      <c r="M6452" s="2"/>
      <c r="N6452" s="4" t="s">
        <v>2273</v>
      </c>
      <c r="O6452" s="4" t="str">
        <f>LEFT(Table2[[#This Row],[Description]],75)</f>
        <v>Credit Card Payment Received PAYMENT THANK YOU</v>
      </c>
      <c r="P6452" s="2" t="s">
        <v>2560</v>
      </c>
    </row>
    <row r="6453" spans="1:16" hidden="1">
      <c r="A6453" s="2">
        <v>202112</v>
      </c>
      <c r="B6453" s="3">
        <v>44560</v>
      </c>
      <c r="C6453" s="2" t="s">
        <v>2265</v>
      </c>
      <c r="D6453" s="2" t="s">
        <v>746</v>
      </c>
      <c r="E6453" s="2">
        <v>493.86</v>
      </c>
      <c r="F6453" s="2" t="e">
        <f>IF(Table2[[#This Row],[Manual Cat Value]]="",VLOOKUP(Table2[[#This Row],[Description]],'Actuals Lookup'!D:F,3,0),Table2[[#This Row],[Manual Cat Value]])</f>
        <v>#N/A</v>
      </c>
      <c r="J6453" s="2">
        <v>493.86</v>
      </c>
      <c r="K6453" s="2" t="b">
        <v>0</v>
      </c>
      <c r="L6453" s="2"/>
      <c r="M6453" s="2"/>
      <c r="N6453" s="4" t="s">
        <v>2259</v>
      </c>
      <c r="O6453" s="4" t="str">
        <f>LEFT(Table2[[#This Row],[Description]],75)</f>
        <v>Discover Bank DISCOVER TYPE EPAYMENT ID CO DISCOVER NAME TRUITT JEFF ACH EC</v>
      </c>
      <c r="P6453" s="2" t="s">
        <v>2293</v>
      </c>
    </row>
    <row r="6454" spans="1:16" hidden="1">
      <c r="A6454" s="2">
        <v>202112</v>
      </c>
      <c r="B6454" s="3">
        <v>44560</v>
      </c>
      <c r="C6454" s="2" t="s">
        <v>2447</v>
      </c>
      <c r="D6454" s="2" t="s">
        <v>997</v>
      </c>
      <c r="E6454" s="2">
        <v>-493.86</v>
      </c>
      <c r="F6454" s="2" t="str">
        <f>IF(Table2[[#This Row],[Manual Cat Value]]="",VLOOKUP(Table2[[#This Row],[Description]],'Actuals Lookup'!D:F,3,0),Table2[[#This Row],[Manual Cat Value]])</f>
        <v>Delete</v>
      </c>
      <c r="J6454" s="2">
        <v>493.86</v>
      </c>
      <c r="K6454" s="2" t="b">
        <v>0</v>
      </c>
      <c r="L6454" s="2"/>
      <c r="M6454" s="2"/>
      <c r="N6454" s="4" t="s">
        <v>2273</v>
      </c>
      <c r="O6454" s="4" t="str">
        <f>LEFT(Table2[[#This Row],[Description]],75)</f>
        <v>INTERNET PAYMENT - THANK YOU</v>
      </c>
      <c r="P6454" s="2" t="s">
        <v>2291</v>
      </c>
    </row>
    <row r="6455" spans="1:16" hidden="1">
      <c r="A6455" s="2">
        <v>202112</v>
      </c>
      <c r="B6455" s="3">
        <v>44560</v>
      </c>
      <c r="C6455" s="2" t="s">
        <v>2265</v>
      </c>
      <c r="D6455" s="2" t="s">
        <v>1961</v>
      </c>
      <c r="E6455" s="2">
        <v>319</v>
      </c>
      <c r="F6455" s="2" t="e">
        <f>IF(Table2[[#This Row],[Manual Cat Value]]="",VLOOKUP(Table2[[#This Row],[Description]],'Actuals Lookup'!D:F,3,0),Table2[[#This Row],[Manual Cat Value]])</f>
        <v>#N/A</v>
      </c>
      <c r="J6455" s="2">
        <v>319</v>
      </c>
      <c r="K6455" s="2" t="b">
        <v>0</v>
      </c>
      <c r="L6455" s="2"/>
      <c r="M6455" s="2"/>
      <c r="N6455" s="4" t="s">
        <v>2259</v>
      </c>
      <c r="O6455" s="4" t="str">
        <f>LEFT(Table2[[#This Row],[Description]],75)</f>
        <v>Transfer to Venmo VENMO TYPE PAYMENT ID CO VENMO ACH ECC WEB ACH Trace 2362</v>
      </c>
      <c r="P6455" s="2" t="s">
        <v>2281</v>
      </c>
    </row>
    <row r="6456" spans="1:16" hidden="1">
      <c r="A6456" s="2">
        <v>202112</v>
      </c>
      <c r="B6456" s="3">
        <v>44560</v>
      </c>
      <c r="C6456" s="2" t="s">
        <v>2265</v>
      </c>
      <c r="D6456" s="2" t="s">
        <v>1971</v>
      </c>
      <c r="E6456" s="2">
        <v>60</v>
      </c>
      <c r="F6456" s="2" t="e">
        <f>IF(Table2[[#This Row],[Manual Cat Value]]="",VLOOKUP(Table2[[#This Row],[Description]],'Actuals Lookup'!D:F,3,0),Table2[[#This Row],[Manual Cat Value]])</f>
        <v>#N/A</v>
      </c>
      <c r="J6456" s="2">
        <v>60</v>
      </c>
      <c r="K6456" s="2" t="b">
        <v>0</v>
      </c>
      <c r="L6456" s="2"/>
      <c r="M6456" s="2"/>
      <c r="N6456" s="4" t="s">
        <v>2259</v>
      </c>
      <c r="O6456" s="4" t="str">
        <f>LEFT(Table2[[#This Row],[Description]],75)</f>
        <v>Transfer to Venmo VENMO TYPE PAYMENT ID CO VENMO ACH ECC WEB ACH Trace 5772</v>
      </c>
      <c r="P6456" s="2" t="s">
        <v>2281</v>
      </c>
    </row>
    <row r="6457" spans="1:16" hidden="1">
      <c r="A6457" s="2">
        <v>202112</v>
      </c>
      <c r="B6457" s="3">
        <v>44560</v>
      </c>
      <c r="C6457" s="2" t="s">
        <v>2265</v>
      </c>
      <c r="D6457" s="2" t="s">
        <v>1975</v>
      </c>
      <c r="E6457" s="2">
        <v>980.94</v>
      </c>
      <c r="F6457" s="2" t="e">
        <f>IF(Table2[[#This Row],[Manual Cat Value]]="",VLOOKUP(Table2[[#This Row],[Description]],'Actuals Lookup'!D:F,3,0),Table2[[#This Row],[Manual Cat Value]])</f>
        <v>#N/A</v>
      </c>
      <c r="J6457" s="2">
        <v>980.94</v>
      </c>
      <c r="K6457" s="2" t="b">
        <v>0</v>
      </c>
      <c r="L6457" s="2"/>
      <c r="M6457" s="2"/>
      <c r="N6457" s="4" t="s">
        <v>2259</v>
      </c>
      <c r="O6457" s="4" t="str">
        <f>LEFT(Table2[[#This Row],[Description]],75)</f>
        <v>Transfer to Venmo VENMO TYPE PAYMENT ID CO VENMO ACH ECC WEB ACH Trace 7498</v>
      </c>
      <c r="P6457" s="2" t="s">
        <v>2281</v>
      </c>
    </row>
    <row r="6458" spans="1:16" hidden="1">
      <c r="A6458" s="2">
        <v>202112</v>
      </c>
      <c r="B6458" s="3">
        <v>44560</v>
      </c>
      <c r="C6458" s="2" t="s">
        <v>2265</v>
      </c>
      <c r="D6458" s="2" t="s">
        <v>1980</v>
      </c>
      <c r="E6458" s="2">
        <v>35</v>
      </c>
      <c r="F6458" s="2" t="e">
        <f>IF(Table2[[#This Row],[Manual Cat Value]]="",VLOOKUP(Table2[[#This Row],[Description]],'Actuals Lookup'!D:F,3,0),Table2[[#This Row],[Manual Cat Value]])</f>
        <v>#N/A</v>
      </c>
      <c r="J6458" s="2">
        <v>35</v>
      </c>
      <c r="K6458" s="2" t="b">
        <v>0</v>
      </c>
      <c r="L6458" s="2"/>
      <c r="M6458" s="2"/>
      <c r="N6458" s="4" t="s">
        <v>2259</v>
      </c>
      <c r="O6458" s="4" t="str">
        <f>LEFT(Table2[[#This Row],[Description]],75)</f>
        <v>Transfer to Venmo VENMO TYPE PAYMENT ID CO VENMO NAME BRITNEY TRUITT ACH EC</v>
      </c>
      <c r="P6458" s="2" t="s">
        <v>2281</v>
      </c>
    </row>
    <row r="6459" spans="1:16" hidden="1">
      <c r="A6459" s="2">
        <v>202112</v>
      </c>
      <c r="B6459" s="3">
        <v>44560</v>
      </c>
      <c r="C6459" s="2" t="s">
        <v>2265</v>
      </c>
      <c r="D6459" s="2" t="s">
        <v>1981</v>
      </c>
      <c r="E6459" s="2">
        <v>125</v>
      </c>
      <c r="F6459" s="2" t="e">
        <f>IF(Table2[[#This Row],[Manual Cat Value]]="",VLOOKUP(Table2[[#This Row],[Description]],'Actuals Lookup'!D:F,3,0),Table2[[#This Row],[Manual Cat Value]])</f>
        <v>#N/A</v>
      </c>
      <c r="J6459" s="2">
        <v>125</v>
      </c>
      <c r="K6459" s="2" t="b">
        <v>0</v>
      </c>
      <c r="L6459" s="2"/>
      <c r="M6459" s="2"/>
      <c r="N6459" s="4" t="s">
        <v>2259</v>
      </c>
      <c r="O6459" s="4" t="str">
        <f>LEFT(Table2[[#This Row],[Description]],75)</f>
        <v>Transfer to Venmo VENMO TYPE PAYMENT ID CO VENMO NAME BRITNEY TRUITT ACH EC</v>
      </c>
      <c r="P6459" s="2" t="s">
        <v>2281</v>
      </c>
    </row>
    <row r="6460" spans="1:16" hidden="1">
      <c r="A6460" s="2">
        <v>202112</v>
      </c>
      <c r="B6460" s="3">
        <v>44560</v>
      </c>
      <c r="C6460" s="2" t="s">
        <v>2265</v>
      </c>
      <c r="D6460" s="2" t="s">
        <v>2203</v>
      </c>
      <c r="E6460" s="2">
        <v>891.11</v>
      </c>
      <c r="F6460" s="2" t="e">
        <f>IF(Table2[[#This Row],[Manual Cat Value]]="",VLOOKUP(Table2[[#This Row],[Description]],'Actuals Lookup'!D:F,3,0),Table2[[#This Row],[Manual Cat Value]])</f>
        <v>#N/A</v>
      </c>
      <c r="J6460" s="2">
        <v>891.11</v>
      </c>
      <c r="K6460" s="2" t="b">
        <v>0</v>
      </c>
      <c r="L6460" s="2"/>
      <c r="M6460" s="2"/>
      <c r="N6460" s="4" t="s">
        <v>2259</v>
      </c>
      <c r="O6460" s="4" t="str">
        <f>LEFT(Table2[[#This Row],[Description]],75)</f>
        <v>Withdrawal Home payment to card XX91 Withdrawal Home payment to card 979181</v>
      </c>
      <c r="P6460" s="2" t="s">
        <v>2559</v>
      </c>
    </row>
    <row r="6461" spans="1:16" hidden="1">
      <c r="A6461" s="2">
        <v>202112</v>
      </c>
      <c r="B6461" s="3">
        <v>44560</v>
      </c>
      <c r="C6461" s="2" t="s">
        <v>2265</v>
      </c>
      <c r="D6461" s="2" t="s">
        <v>2203</v>
      </c>
      <c r="E6461" s="2">
        <v>1104.81</v>
      </c>
      <c r="F6461" s="2" t="e">
        <f>IF(Table2[[#This Row],[Manual Cat Value]]="",VLOOKUP(Table2[[#This Row],[Description]],'Actuals Lookup'!D:F,3,0),Table2[[#This Row],[Manual Cat Value]])</f>
        <v>#N/A</v>
      </c>
      <c r="J6461" s="2">
        <v>1104.81</v>
      </c>
      <c r="K6461" s="2" t="b">
        <v>0</v>
      </c>
      <c r="L6461" s="2"/>
      <c r="M6461" s="2"/>
      <c r="N6461" s="4" t="s">
        <v>2259</v>
      </c>
      <c r="O6461" s="4" t="str">
        <f>LEFT(Table2[[#This Row],[Description]],75)</f>
        <v>Withdrawal Home payment to card XX91 Withdrawal Home payment to card 979181</v>
      </c>
      <c r="P6461" s="2" t="s">
        <v>2559</v>
      </c>
    </row>
    <row r="6462" spans="1:16" hidden="1">
      <c r="A6462" s="2">
        <v>202112</v>
      </c>
      <c r="B6462" s="3">
        <v>44560</v>
      </c>
      <c r="C6462" s="2" t="s">
        <v>2265</v>
      </c>
      <c r="D6462" s="2" t="s">
        <v>2203</v>
      </c>
      <c r="E6462" s="2">
        <v>1357.64</v>
      </c>
      <c r="F6462" s="2" t="e">
        <f>IF(Table2[[#This Row],[Manual Cat Value]]="",VLOOKUP(Table2[[#This Row],[Description]],'Actuals Lookup'!D:F,3,0),Table2[[#This Row],[Manual Cat Value]])</f>
        <v>#N/A</v>
      </c>
      <c r="J6462" s="2">
        <v>1357.64</v>
      </c>
      <c r="K6462" s="2" t="b">
        <v>0</v>
      </c>
      <c r="L6462" s="2"/>
      <c r="M6462" s="2"/>
      <c r="N6462" s="4" t="s">
        <v>2259</v>
      </c>
      <c r="O6462" s="4" t="str">
        <f>LEFT(Table2[[#This Row],[Description]],75)</f>
        <v>Withdrawal Home payment to card XX91 Withdrawal Home payment to card 979181</v>
      </c>
      <c r="P6462" s="2" t="s">
        <v>2559</v>
      </c>
    </row>
    <row r="6463" spans="1:16" hidden="1">
      <c r="A6463" s="2">
        <v>202201</v>
      </c>
      <c r="B6463" s="3">
        <v>44562</v>
      </c>
      <c r="C6463" s="2" t="s">
        <v>2447</v>
      </c>
      <c r="D6463" s="2" t="s">
        <v>114</v>
      </c>
      <c r="E6463" s="2">
        <v>4.28</v>
      </c>
      <c r="F6463" s="2" t="str">
        <f>IF(Table2[[#This Row],[Manual Cat Value]]="",VLOOKUP(Table2[[#This Row],[Description]],'Actuals Lookup'!D:F,3,0),Table2[[#This Row],[Manual Cat Value]])</f>
        <v>Entertainment</v>
      </c>
      <c r="J6463" s="2">
        <v>4.28</v>
      </c>
      <c r="K6463" s="2" t="b">
        <v>0</v>
      </c>
      <c r="L6463" s="2"/>
      <c r="M6463" s="2"/>
      <c r="N6463" s="4" t="s">
        <v>2259</v>
      </c>
      <c r="O6463" s="4" t="str">
        <f>LEFT(Table2[[#This Row],[Description]],75)</f>
        <v>Amazon Music</v>
      </c>
      <c r="P6463" s="2" t="s">
        <v>2466</v>
      </c>
    </row>
    <row r="6464" spans="1:16" hidden="1">
      <c r="A6464" s="2">
        <v>202201</v>
      </c>
      <c r="B6464" s="3">
        <v>44562</v>
      </c>
      <c r="C6464" s="2" t="s">
        <v>2314</v>
      </c>
      <c r="D6464" s="2" t="s">
        <v>859</v>
      </c>
      <c r="E6464" s="2">
        <v>592.17999999999995</v>
      </c>
      <c r="F6464" s="2" t="e">
        <f>IF(Table2[[#This Row],[Manual Cat Value]]="",VLOOKUP(Table2[[#This Row],[Description]],'Actuals Lookup'!D:F,3,0),Table2[[#This Row],[Manual Cat Value]])</f>
        <v>#N/A</v>
      </c>
      <c r="J6464" s="2">
        <v>-592.17999999999995</v>
      </c>
      <c r="K6464" s="2" t="b">
        <v>0</v>
      </c>
      <c r="L6464" s="2"/>
      <c r="M6464" s="2"/>
      <c r="N6464" s="4" t="s">
        <v>2273</v>
      </c>
      <c r="O6464" s="4" t="str">
        <f>LEFT(Table2[[#This Row],[Description]],75)</f>
        <v>From Share 70</v>
      </c>
      <c r="P6464" s="2" t="s">
        <v>2496</v>
      </c>
    </row>
    <row r="6465" spans="1:16" hidden="1">
      <c r="A6465" s="2">
        <v>202201</v>
      </c>
      <c r="B6465" s="3">
        <v>44562</v>
      </c>
      <c r="C6465" s="2" t="s">
        <v>2265</v>
      </c>
      <c r="D6465" s="2" t="s">
        <v>1877</v>
      </c>
      <c r="E6465" s="2">
        <v>618.65</v>
      </c>
      <c r="F6465" s="2" t="e">
        <f>IF(Table2[[#This Row],[Manual Cat Value]]="",VLOOKUP(Table2[[#This Row],[Description]],'Actuals Lookup'!D:F,3,0),Table2[[#This Row],[Manual Cat Value]])</f>
        <v>#N/A</v>
      </c>
      <c r="J6465" s="2">
        <v>618.65</v>
      </c>
      <c r="K6465" s="2" t="b">
        <v>0</v>
      </c>
      <c r="L6465" s="2"/>
      <c r="M6465" s="2"/>
      <c r="N6465" s="4" t="s">
        <v>2259</v>
      </c>
      <c r="O6465" s="4" t="str">
        <f>LEFT(Table2[[#This Row],[Description]],75)</f>
        <v>To Loan 02</v>
      </c>
      <c r="P6465" s="2" t="s">
        <v>2316</v>
      </c>
    </row>
    <row r="6466" spans="1:16" hidden="1">
      <c r="A6466" s="2">
        <v>202201</v>
      </c>
      <c r="B6466" s="3">
        <v>44563</v>
      </c>
      <c r="C6466" s="2" t="s">
        <v>2262</v>
      </c>
      <c r="D6466" s="2" t="s">
        <v>1086</v>
      </c>
      <c r="E6466" s="2">
        <v>16.350000000000001</v>
      </c>
      <c r="F6466" s="2" t="e">
        <f>IF(Table2[[#This Row],[Manual Cat Value]]="",VLOOKUP(Table2[[#This Row],[Description]],'Actuals Lookup'!D:F,3,0),Table2[[#This Row],[Manual Cat Value]])</f>
        <v>#N/A</v>
      </c>
      <c r="J6466" s="2">
        <v>16.350000000000001</v>
      </c>
      <c r="K6466" s="2" t="b">
        <v>0</v>
      </c>
      <c r="L6466" s="2"/>
      <c r="M6466" s="2"/>
      <c r="N6466" s="4" t="s">
        <v>2259</v>
      </c>
      <c r="O6466" s="4" t="str">
        <f>LEFT(Table2[[#This Row],[Description]],75)</f>
        <v>L.L. Bean</v>
      </c>
      <c r="P6466" s="2" t="s">
        <v>2281</v>
      </c>
    </row>
    <row r="6467" spans="1:16" hidden="1">
      <c r="A6467" s="2">
        <v>202201</v>
      </c>
      <c r="B6467" s="3">
        <v>44563</v>
      </c>
      <c r="C6467" s="2" t="s">
        <v>2262</v>
      </c>
      <c r="D6467" s="2" t="s">
        <v>1183</v>
      </c>
      <c r="E6467" s="2">
        <v>24.77</v>
      </c>
      <c r="F6467" s="2" t="e">
        <f>IF(Table2[[#This Row],[Manual Cat Value]]="",VLOOKUP(Table2[[#This Row],[Description]],'Actuals Lookup'!D:F,3,0),Table2[[#This Row],[Manual Cat Value]])</f>
        <v>#N/A</v>
      </c>
      <c r="J6467" s="2">
        <v>24.77</v>
      </c>
      <c r="K6467" s="2" t="b">
        <v>0</v>
      </c>
      <c r="L6467" s="2"/>
      <c r="M6467" s="2"/>
      <c r="N6467" s="4" t="s">
        <v>2259</v>
      </c>
      <c r="O6467" s="4" t="str">
        <f>LEFT(Table2[[#This Row],[Description]],75)</f>
        <v>MAVERIK CNTRY STRE 199 SALT LAKE CTYUT</v>
      </c>
      <c r="P6467" s="2" t="s">
        <v>2281</v>
      </c>
    </row>
    <row r="6468" spans="1:16" hidden="1">
      <c r="A6468" s="2">
        <v>202201</v>
      </c>
      <c r="B6468" s="3">
        <v>44563</v>
      </c>
      <c r="C6468" s="2" t="s">
        <v>2262</v>
      </c>
      <c r="D6468" s="2" t="s">
        <v>1400</v>
      </c>
      <c r="E6468" s="2">
        <v>14.12</v>
      </c>
      <c r="F6468" s="2" t="e">
        <f>IF(Table2[[#This Row],[Manual Cat Value]]="",VLOOKUP(Table2[[#This Row],[Description]],'Actuals Lookup'!D:F,3,0),Table2[[#This Row],[Manual Cat Value]])</f>
        <v>#N/A</v>
      </c>
      <c r="J6468" s="2">
        <v>14.12</v>
      </c>
      <c r="K6468" s="2" t="b">
        <v>0</v>
      </c>
      <c r="L6468" s="2"/>
      <c r="M6468" s="2"/>
      <c r="N6468" s="4" t="s">
        <v>2259</v>
      </c>
      <c r="O6468" s="4" t="str">
        <f>LEFT(Table2[[#This Row],[Description]],75)</f>
        <v>Park City Parks</v>
      </c>
      <c r="P6468" s="2" t="s">
        <v>2281</v>
      </c>
    </row>
    <row r="6469" spans="1:16" hidden="1">
      <c r="A6469" s="2">
        <v>202201</v>
      </c>
      <c r="B6469" s="3">
        <v>44563</v>
      </c>
      <c r="C6469" s="2" t="s">
        <v>2262</v>
      </c>
      <c r="D6469" s="2" t="s">
        <v>1671</v>
      </c>
      <c r="E6469" s="2">
        <v>5</v>
      </c>
      <c r="F6469" s="2" t="e">
        <f>IF(Table2[[#This Row],[Manual Cat Value]]="",VLOOKUP(Table2[[#This Row],[Description]],'Actuals Lookup'!D:F,3,0),Table2[[#This Row],[Manual Cat Value]])</f>
        <v>#N/A</v>
      </c>
      <c r="J6469" s="2">
        <v>5</v>
      </c>
      <c r="K6469" s="2" t="b">
        <v>0</v>
      </c>
      <c r="L6469" s="2"/>
      <c r="M6469" s="2"/>
      <c r="N6469" s="4" t="s">
        <v>2259</v>
      </c>
      <c r="O6469" s="4" t="str">
        <f>LEFT(Table2[[#This Row],[Description]],75)</f>
        <v>SMM AUTO PARKING RAMP XX9444 MN SMM AUTO PARKING RAMP 6512219444 MN</v>
      </c>
      <c r="P6469" s="2" t="s">
        <v>2281</v>
      </c>
    </row>
    <row r="6470" spans="1:16" hidden="1">
      <c r="A6470" s="2">
        <v>202201</v>
      </c>
      <c r="B6470" s="3">
        <v>44563</v>
      </c>
      <c r="C6470" s="2" t="s">
        <v>2262</v>
      </c>
      <c r="D6470" s="2" t="s">
        <v>1773</v>
      </c>
      <c r="E6470" s="2">
        <v>10</v>
      </c>
      <c r="F6470" s="2" t="str">
        <f>IF(Table2[[#This Row],[Manual Cat Value]]="",VLOOKUP(Table2[[#This Row],[Description]],'Actuals Lookup'!D:F,3,0),Table2[[#This Row],[Manual Cat Value]])</f>
        <v>Restaurants</v>
      </c>
      <c r="J6470" s="2">
        <v>10</v>
      </c>
      <c r="K6470" s="2" t="b">
        <v>0</v>
      </c>
      <c r="L6470" s="2"/>
      <c r="M6470" s="2"/>
      <c r="N6470" s="4" t="s">
        <v>2259</v>
      </c>
      <c r="O6470" s="4" t="str">
        <f>LEFT(Table2[[#This Row],[Description]],75)</f>
        <v>Starbucks</v>
      </c>
      <c r="P6470" s="2" t="s">
        <v>2454</v>
      </c>
    </row>
    <row r="6471" spans="1:16" hidden="1">
      <c r="A6471" s="2">
        <v>202201</v>
      </c>
      <c r="B6471" s="3">
        <v>44563</v>
      </c>
      <c r="C6471" s="2" t="s">
        <v>2262</v>
      </c>
      <c r="D6471" s="2" t="s">
        <v>1775</v>
      </c>
      <c r="E6471" s="2">
        <v>173.26</v>
      </c>
      <c r="F6471" s="2" t="e">
        <f>IF(Table2[[#This Row],[Manual Cat Value]]="",VLOOKUP(Table2[[#This Row],[Description]],'Actuals Lookup'!D:F,3,0),Table2[[#This Row],[Manual Cat Value]])</f>
        <v>#N/A</v>
      </c>
      <c r="J6471" s="2">
        <v>173.26</v>
      </c>
      <c r="K6471" s="2" t="b">
        <v>0</v>
      </c>
      <c r="L6471" s="2"/>
      <c r="M6471" s="2"/>
      <c r="N6471" s="4" t="s">
        <v>2259</v>
      </c>
      <c r="O6471" s="4" t="str">
        <f>LEFT(Table2[[#This Row],[Description]],75)</f>
        <v>State Liquor Store</v>
      </c>
      <c r="P6471" s="2" t="s">
        <v>2281</v>
      </c>
    </row>
    <row r="6472" spans="1:16" hidden="1">
      <c r="A6472" s="2">
        <v>202201</v>
      </c>
      <c r="B6472" s="3">
        <v>44563</v>
      </c>
      <c r="C6472" s="2" t="s">
        <v>2262</v>
      </c>
      <c r="D6472" s="2" t="s">
        <v>2102</v>
      </c>
      <c r="E6472" s="2">
        <v>22.66</v>
      </c>
      <c r="F6472" s="2" t="e">
        <f>IF(Table2[[#This Row],[Manual Cat Value]]="",VLOOKUP(Table2[[#This Row],[Description]],'Actuals Lookup'!D:F,3,0),Table2[[#This Row],[Manual Cat Value]])</f>
        <v>#N/A</v>
      </c>
      <c r="J6472" s="2">
        <v>22.66</v>
      </c>
      <c r="K6472" s="2" t="b">
        <v>0</v>
      </c>
      <c r="L6472" s="2"/>
      <c r="M6472" s="2"/>
      <c r="N6472" s="4" t="s">
        <v>2259</v>
      </c>
      <c r="O6472" s="4" t="str">
        <f>LEFT(Table2[[#This Row],[Description]],75)</f>
        <v>Utah Brewers Cooperative, L.C.</v>
      </c>
      <c r="P6472" s="2" t="s">
        <v>2281</v>
      </c>
    </row>
    <row r="6473" spans="1:16" hidden="1">
      <c r="A6473" s="2">
        <v>202201</v>
      </c>
      <c r="B6473" s="3">
        <v>44564</v>
      </c>
      <c r="C6473" s="2" t="s">
        <v>2262</v>
      </c>
      <c r="D6473" s="2" t="s">
        <v>674</v>
      </c>
      <c r="E6473" s="2">
        <v>1174.06</v>
      </c>
      <c r="F6473" s="2" t="e">
        <f>IF(Table2[[#This Row],[Manual Cat Value]]="",VLOOKUP(Table2[[#This Row],[Description]],'Actuals Lookup'!D:F,3,0),Table2[[#This Row],[Manual Cat Value]])</f>
        <v>#N/A</v>
      </c>
      <c r="J6473" s="2">
        <v>-1174.06</v>
      </c>
      <c r="K6473" s="2" t="b">
        <v>0</v>
      </c>
      <c r="L6473" s="2"/>
      <c r="M6473" s="2"/>
      <c r="N6473" s="4" t="s">
        <v>2273</v>
      </c>
      <c r="O6473" s="4" t="str">
        <f>LEFT(Table2[[#This Row],[Description]],75)</f>
        <v>Credit Card Payment Received PAYMENT THANK YOU</v>
      </c>
      <c r="P6473" s="2" t="s">
        <v>2560</v>
      </c>
    </row>
    <row r="6474" spans="1:16" hidden="1">
      <c r="A6474" s="2">
        <v>202201</v>
      </c>
      <c r="B6474" s="3">
        <v>44564</v>
      </c>
      <c r="C6474" s="2" t="s">
        <v>2270</v>
      </c>
      <c r="D6474" s="2" t="s">
        <v>1410</v>
      </c>
      <c r="E6474" s="2">
        <v>754.6</v>
      </c>
      <c r="F6474" s="2" t="str">
        <f>IF(Table2[[#This Row],[Manual Cat Value]]="",VLOOKUP(Table2[[#This Row],[Description]],'Actuals Lookup'!D:F,3,0),Table2[[#This Row],[Manual Cat Value]])</f>
        <v>Delete</v>
      </c>
      <c r="J6474" s="2">
        <v>-754.6</v>
      </c>
      <c r="K6474" s="2" t="b">
        <v>0</v>
      </c>
      <c r="L6474" s="2"/>
      <c r="M6474" s="2"/>
      <c r="N6474" s="4" t="s">
        <v>2273</v>
      </c>
      <c r="O6474" s="4" t="str">
        <f>LEFT(Table2[[#This Row],[Description]],75)</f>
        <v>PAYMENT</v>
      </c>
      <c r="P6474" s="2" t="s">
        <v>2492</v>
      </c>
    </row>
    <row r="6475" spans="1:16" hidden="1">
      <c r="A6475" s="2">
        <v>202201</v>
      </c>
      <c r="B6475" s="3">
        <v>44564</v>
      </c>
      <c r="C6475" s="2" t="s">
        <v>2265</v>
      </c>
      <c r="D6475" s="2" t="s">
        <v>2203</v>
      </c>
      <c r="E6475" s="2">
        <v>1174.06</v>
      </c>
      <c r="F6475" s="2" t="e">
        <f>IF(Table2[[#This Row],[Manual Cat Value]]="",VLOOKUP(Table2[[#This Row],[Description]],'Actuals Lookup'!D:F,3,0),Table2[[#This Row],[Manual Cat Value]])</f>
        <v>#N/A</v>
      </c>
      <c r="J6475" s="2">
        <v>1174.06</v>
      </c>
      <c r="K6475" s="2" t="b">
        <v>0</v>
      </c>
      <c r="L6475" s="2"/>
      <c r="M6475" s="2"/>
      <c r="N6475" s="4" t="s">
        <v>2259</v>
      </c>
      <c r="O6475" s="4" t="str">
        <f>LEFT(Table2[[#This Row],[Description]],75)</f>
        <v>Withdrawal Home payment to card XX91 Withdrawal Home payment to card 979181</v>
      </c>
      <c r="P6475" s="2" t="s">
        <v>2559</v>
      </c>
    </row>
    <row r="6476" spans="1:16" hidden="1">
      <c r="A6476" s="2">
        <v>202201</v>
      </c>
      <c r="B6476" s="3">
        <v>44564</v>
      </c>
      <c r="C6476" s="2" t="s">
        <v>2265</v>
      </c>
      <c r="D6476" s="2" t="s">
        <v>254</v>
      </c>
      <c r="E6476" s="2">
        <v>3003.94</v>
      </c>
      <c r="F6476" s="2" t="str">
        <f>IF(Table2[[#This Row],[Manual Cat Value]]="",VLOOKUP(Table2[[#This Row],[Description]],'Actuals Lookup'!D:F,3,0),Table2[[#This Row],[Manual Cat Value]])</f>
        <v>Rent</v>
      </c>
      <c r="J6476" s="2">
        <v>3003.94</v>
      </c>
      <c r="K6476" s="2" t="b">
        <v>0</v>
      </c>
      <c r="L6476" s="2"/>
      <c r="M6476" s="2"/>
      <c r="N6476" s="4" t="s">
        <v>2259</v>
      </c>
      <c r="O6476" s="4" t="str">
        <f>LEFT(Table2[[#This Row],[Description]],75)</f>
        <v>Baxter Credit Union</v>
      </c>
      <c r="P6476" s="2" t="s">
        <v>2558</v>
      </c>
    </row>
    <row r="6477" spans="1:16" hidden="1">
      <c r="A6477" s="2">
        <v>202201</v>
      </c>
      <c r="B6477" s="3">
        <v>44564</v>
      </c>
      <c r="C6477" s="2" t="s">
        <v>2265</v>
      </c>
      <c r="D6477" s="2" t="s">
        <v>598</v>
      </c>
      <c r="E6477" s="2">
        <v>200</v>
      </c>
      <c r="F6477" s="2" t="e">
        <f>IF(Table2[[#This Row],[Manual Cat Value]]="",VLOOKUP(Table2[[#This Row],[Description]],'Actuals Lookup'!D:F,3,0),Table2[[#This Row],[Manual Cat Value]])</f>
        <v>#N/A</v>
      </c>
      <c r="J6477" s="2">
        <v>200</v>
      </c>
      <c r="K6477" s="2" t="b">
        <v>0</v>
      </c>
      <c r="L6477" s="2"/>
      <c r="M6477" s="2"/>
      <c r="N6477" s="4" t="s">
        <v>2259</v>
      </c>
      <c r="O6477" s="4" t="str">
        <f>LEFT(Table2[[#This Row],[Description]],75)</f>
        <v>College Savings TYPE ACH ID XX58 College Savings TYPE ACH ID 550895818 CO C</v>
      </c>
      <c r="P6477" s="2" t="s">
        <v>2272</v>
      </c>
    </row>
    <row r="6478" spans="1:16" hidden="1">
      <c r="A6478" s="2">
        <v>202201</v>
      </c>
      <c r="B6478" s="3">
        <v>44564</v>
      </c>
      <c r="C6478" s="2" t="s">
        <v>2265</v>
      </c>
      <c r="D6478" s="2" t="s">
        <v>599</v>
      </c>
      <c r="E6478" s="2">
        <v>250</v>
      </c>
      <c r="F6478" s="2" t="e">
        <f>IF(Table2[[#This Row],[Manual Cat Value]]="",VLOOKUP(Table2[[#This Row],[Description]],'Actuals Lookup'!D:F,3,0),Table2[[#This Row],[Manual Cat Value]])</f>
        <v>#N/A</v>
      </c>
      <c r="J6478" s="2">
        <v>250</v>
      </c>
      <c r="K6478" s="2" t="b">
        <v>0</v>
      </c>
      <c r="L6478" s="2"/>
      <c r="M6478" s="2"/>
      <c r="N6478" s="4" t="s">
        <v>2259</v>
      </c>
      <c r="O6478" s="4" t="str">
        <f>LEFT(Table2[[#This Row],[Description]],75)</f>
        <v>College Savings TYPE ACH ID XX58 College Savings TYPE ACH ID 550895818 CO C</v>
      </c>
      <c r="P6478" s="2" t="s">
        <v>2272</v>
      </c>
    </row>
    <row r="6479" spans="1:16" hidden="1">
      <c r="A6479" s="2">
        <v>202201</v>
      </c>
      <c r="B6479" s="3">
        <v>44564</v>
      </c>
      <c r="C6479" s="2" t="s">
        <v>2262</v>
      </c>
      <c r="D6479" s="2" t="s">
        <v>794</v>
      </c>
      <c r="E6479" s="2">
        <v>123.18</v>
      </c>
      <c r="F6479" s="2" t="e">
        <f>IF(Table2[[#This Row],[Manual Cat Value]]="",VLOOKUP(Table2[[#This Row],[Description]],'Actuals Lookup'!D:F,3,0),Table2[[#This Row],[Manual Cat Value]])</f>
        <v>#N/A</v>
      </c>
      <c r="J6479" s="2">
        <v>123.18</v>
      </c>
      <c r="K6479" s="2" t="b">
        <v>0</v>
      </c>
      <c r="L6479" s="2"/>
      <c r="M6479" s="2"/>
      <c r="N6479" s="4" t="s">
        <v>2259</v>
      </c>
      <c r="O6479" s="4" t="str">
        <f>LEFT(Table2[[#This Row],[Description]],75)</f>
        <v>DUGINS WEST PARK CITY UT</v>
      </c>
      <c r="P6479" s="2" t="s">
        <v>2281</v>
      </c>
    </row>
    <row r="6480" spans="1:16" hidden="1">
      <c r="A6480" s="2">
        <v>202201</v>
      </c>
      <c r="B6480" s="3">
        <v>44564</v>
      </c>
      <c r="C6480" s="2" t="s">
        <v>2262</v>
      </c>
      <c r="D6480" s="2" t="s">
        <v>844</v>
      </c>
      <c r="E6480" s="2">
        <v>273.04000000000002</v>
      </c>
      <c r="F6480" s="2" t="e">
        <f>IF(Table2[[#This Row],[Manual Cat Value]]="",VLOOKUP(Table2[[#This Row],[Description]],'Actuals Lookup'!D:F,3,0),Table2[[#This Row],[Manual Cat Value]])</f>
        <v>#N/A</v>
      </c>
      <c r="J6480" s="2">
        <v>273.04000000000002</v>
      </c>
      <c r="K6480" s="2" t="b">
        <v>0</v>
      </c>
      <c r="L6480" s="2"/>
      <c r="M6480" s="2"/>
      <c r="N6480" s="4" t="s">
        <v>2259</v>
      </c>
      <c r="O6480" s="4" t="str">
        <f>LEFT(Table2[[#This Row],[Description]],75)</f>
        <v>Firewood</v>
      </c>
      <c r="P6480" s="2" t="s">
        <v>2281</v>
      </c>
    </row>
    <row r="6481" spans="1:16" hidden="1">
      <c r="A6481" s="2">
        <v>202201</v>
      </c>
      <c r="B6481" s="3">
        <v>44564</v>
      </c>
      <c r="C6481" s="2" t="s">
        <v>2262</v>
      </c>
      <c r="D6481" s="2" t="s">
        <v>927</v>
      </c>
      <c r="E6481" s="2">
        <v>18</v>
      </c>
      <c r="F6481" s="2" t="e">
        <f>IF(Table2[[#This Row],[Manual Cat Value]]="",VLOOKUP(Table2[[#This Row],[Description]],'Actuals Lookup'!D:F,3,0),Table2[[#This Row],[Manual Cat Value]])</f>
        <v>#N/A</v>
      </c>
      <c r="J6481" s="2">
        <v>18</v>
      </c>
      <c r="K6481" s="2" t="b">
        <v>0</v>
      </c>
      <c r="L6481" s="2"/>
      <c r="M6481" s="2"/>
      <c r="N6481" s="4" t="s">
        <v>2259</v>
      </c>
      <c r="O6481" s="4" t="str">
        <f>LEFT(Table2[[#This Row],[Description]],75)</f>
        <v>HBRSUBSCRIPTION XX0886 MA HBRSUBSCRIPTION 8009880886 MA</v>
      </c>
      <c r="P6481" s="2" t="s">
        <v>2564</v>
      </c>
    </row>
    <row r="6482" spans="1:16" hidden="1">
      <c r="A6482" s="2">
        <v>202201</v>
      </c>
      <c r="B6482" s="3">
        <v>44564</v>
      </c>
      <c r="C6482" s="2" t="s">
        <v>2262</v>
      </c>
      <c r="D6482" s="2" t="s">
        <v>931</v>
      </c>
      <c r="E6482" s="2">
        <v>32.729999999999997</v>
      </c>
      <c r="F6482" s="2" t="e">
        <f>IF(Table2[[#This Row],[Manual Cat Value]]="",VLOOKUP(Table2[[#This Row],[Description]],'Actuals Lookup'!D:F,3,0),Table2[[#This Row],[Manual Cat Value]])</f>
        <v>#N/A</v>
      </c>
      <c r="J6482" s="2">
        <v>32.729999999999997</v>
      </c>
      <c r="K6482" s="2" t="b">
        <v>0</v>
      </c>
      <c r="L6482" s="2"/>
      <c r="M6482" s="2"/>
      <c r="N6482" s="4" t="s">
        <v>2259</v>
      </c>
      <c r="O6482" s="4" t="str">
        <f>LEFT(Table2[[#This Row],[Description]],75)</f>
        <v>HIGH WEST WHISKEY XX8300 UT HIGH WEST WHISKEY 14356498300 UT</v>
      </c>
      <c r="P6482" s="2" t="s">
        <v>2281</v>
      </c>
    </row>
    <row r="6483" spans="1:16" hidden="1">
      <c r="A6483" s="2">
        <v>202201</v>
      </c>
      <c r="B6483" s="3">
        <v>44564</v>
      </c>
      <c r="C6483" s="2" t="s">
        <v>2265</v>
      </c>
      <c r="D6483" s="2" t="s">
        <v>1309</v>
      </c>
      <c r="E6483" s="2">
        <v>250</v>
      </c>
      <c r="F6483" s="2" t="e">
        <f>IF(Table2[[#This Row],[Manual Cat Value]]="",VLOOKUP(Table2[[#This Row],[Description]],'Actuals Lookup'!D:F,3,0),Table2[[#This Row],[Manual Cat Value]])</f>
        <v>#N/A</v>
      </c>
      <c r="J6483" s="2">
        <v>250</v>
      </c>
      <c r="K6483" s="2" t="b">
        <v>0</v>
      </c>
      <c r="L6483" s="2"/>
      <c r="M6483" s="2"/>
      <c r="N6483" s="4" t="s">
        <v>2259</v>
      </c>
      <c r="O6483" s="4" t="str">
        <f>LEFT(Table2[[#This Row],[Description]],75)</f>
        <v>MN DIR ACH TYPE CONTRIB ID CO MN MN DIR ACH TYPE CONTRIB ID CO MN DIR ACH N</v>
      </c>
      <c r="P6483" s="2" t="s">
        <v>2469</v>
      </c>
    </row>
    <row r="6484" spans="1:16" hidden="1">
      <c r="A6484" s="2">
        <v>202201</v>
      </c>
      <c r="B6484" s="3">
        <v>44564</v>
      </c>
      <c r="C6484" s="2" t="s">
        <v>2262</v>
      </c>
      <c r="D6484" s="2" t="s">
        <v>1379</v>
      </c>
      <c r="E6484" s="2">
        <v>74.16</v>
      </c>
      <c r="F6484" s="2" t="e">
        <f>IF(Table2[[#This Row],[Manual Cat Value]]="",VLOOKUP(Table2[[#This Row],[Description]],'Actuals Lookup'!D:F,3,0),Table2[[#This Row],[Manual Cat Value]])</f>
        <v>#N/A</v>
      </c>
      <c r="J6484" s="2">
        <v>74.16</v>
      </c>
      <c r="K6484" s="2" t="b">
        <v>0</v>
      </c>
      <c r="L6484" s="2"/>
      <c r="M6484" s="2"/>
      <c r="N6484" s="4" t="s">
        <v>2259</v>
      </c>
      <c r="O6484" s="4" t="str">
        <f>LEFT(Table2[[#This Row],[Description]],75)</f>
        <v>OLIVE TWEED 18014715658 UT</v>
      </c>
      <c r="P6484" s="2" t="s">
        <v>2281</v>
      </c>
    </row>
    <row r="6485" spans="1:16" hidden="1">
      <c r="A6485" s="2">
        <v>202201</v>
      </c>
      <c r="B6485" s="3">
        <v>44564</v>
      </c>
      <c r="C6485" s="2" t="s">
        <v>2262</v>
      </c>
      <c r="D6485" s="2" t="s">
        <v>1399</v>
      </c>
      <c r="E6485" s="2">
        <v>42.09</v>
      </c>
      <c r="F6485" s="2" t="e">
        <f>IF(Table2[[#This Row],[Manual Cat Value]]="",VLOOKUP(Table2[[#This Row],[Description]],'Actuals Lookup'!D:F,3,0),Table2[[#This Row],[Manual Cat Value]])</f>
        <v>#N/A</v>
      </c>
      <c r="J6485" s="2">
        <v>42.09</v>
      </c>
      <c r="K6485" s="2" t="b">
        <v>0</v>
      </c>
      <c r="L6485" s="2"/>
      <c r="M6485" s="2"/>
      <c r="N6485" s="4" t="s">
        <v>2259</v>
      </c>
      <c r="O6485" s="4" t="str">
        <f>LEFT(Table2[[#This Row],[Description]],75)</f>
        <v>PARK CITY FB PARK CITY UT PARK CITY FB PARK CITY UT</v>
      </c>
      <c r="P6485" s="2" t="s">
        <v>2281</v>
      </c>
    </row>
    <row r="6486" spans="1:16" hidden="1">
      <c r="A6486" s="2">
        <v>202201</v>
      </c>
      <c r="B6486" s="3">
        <v>44564</v>
      </c>
      <c r="C6486" s="2" t="s">
        <v>2270</v>
      </c>
      <c r="D6486" s="2" t="s">
        <v>1524</v>
      </c>
      <c r="E6486" s="2">
        <v>431</v>
      </c>
      <c r="F6486" s="2" t="e">
        <f>IF(Table2[[#This Row],[Manual Cat Value]]="",VLOOKUP(Table2[[#This Row],[Description]],'Actuals Lookup'!D:F,3,0),Table2[[#This Row],[Manual Cat Value]])</f>
        <v>#N/A</v>
      </c>
      <c r="J6486" s="2">
        <v>-431</v>
      </c>
      <c r="K6486" s="2" t="b">
        <v>0</v>
      </c>
      <c r="L6486" s="2"/>
      <c r="M6486" s="2"/>
      <c r="N6486" s="4" t="s">
        <v>2273</v>
      </c>
      <c r="O6486" s="4" t="str">
        <f>LEFT(Table2[[#This Row],[Description]],75)</f>
        <v>Principal Curtailment</v>
      </c>
      <c r="P6486" s="2" t="s">
        <v>2514</v>
      </c>
    </row>
    <row r="6487" spans="1:16" hidden="1">
      <c r="A6487" s="2">
        <v>202201</v>
      </c>
      <c r="B6487" s="3">
        <v>44565</v>
      </c>
      <c r="C6487" s="2" t="s">
        <v>2262</v>
      </c>
      <c r="D6487" s="2" t="s">
        <v>931</v>
      </c>
      <c r="E6487" s="2">
        <v>32.729999999999997</v>
      </c>
      <c r="F6487" s="2" t="e">
        <f>IF(Table2[[#This Row],[Manual Cat Value]]="",VLOOKUP(Table2[[#This Row],[Description]],'Actuals Lookup'!D:F,3,0),Table2[[#This Row],[Manual Cat Value]])</f>
        <v>#N/A</v>
      </c>
      <c r="J6487" s="2">
        <v>32.729999999999997</v>
      </c>
      <c r="K6487" s="2" t="b">
        <v>0</v>
      </c>
      <c r="L6487" s="2"/>
      <c r="M6487" s="2"/>
      <c r="N6487" s="4" t="s">
        <v>2259</v>
      </c>
      <c r="O6487" s="4" t="str">
        <f>LEFT(Table2[[#This Row],[Description]],75)</f>
        <v>HIGH WEST WHISKEY XX8300 UT HIGH WEST WHISKEY 14356498300 UT</v>
      </c>
      <c r="P6487" s="2" t="s">
        <v>2281</v>
      </c>
    </row>
    <row r="6488" spans="1:16" hidden="1">
      <c r="A6488" s="2">
        <v>202201</v>
      </c>
      <c r="B6488" s="3">
        <v>44565</v>
      </c>
      <c r="C6488" s="2" t="s">
        <v>2262</v>
      </c>
      <c r="D6488" s="2" t="s">
        <v>1399</v>
      </c>
      <c r="E6488" s="2">
        <v>21.46</v>
      </c>
      <c r="F6488" s="2" t="e">
        <f>IF(Table2[[#This Row],[Manual Cat Value]]="",VLOOKUP(Table2[[#This Row],[Description]],'Actuals Lookup'!D:F,3,0),Table2[[#This Row],[Manual Cat Value]])</f>
        <v>#N/A</v>
      </c>
      <c r="J6488" s="2">
        <v>21.46</v>
      </c>
      <c r="K6488" s="2" t="b">
        <v>0</v>
      </c>
      <c r="L6488" s="2"/>
      <c r="M6488" s="2"/>
      <c r="N6488" s="4" t="s">
        <v>2259</v>
      </c>
      <c r="O6488" s="4" t="str">
        <f>LEFT(Table2[[#This Row],[Description]],75)</f>
        <v>PARK CITY FB PARK CITY UT PARK CITY FB PARK CITY UT</v>
      </c>
      <c r="P6488" s="2" t="s">
        <v>2281</v>
      </c>
    </row>
    <row r="6489" spans="1:16" hidden="1">
      <c r="A6489" s="2">
        <v>202201</v>
      </c>
      <c r="B6489" s="3">
        <v>44565</v>
      </c>
      <c r="C6489" s="2" t="s">
        <v>2262</v>
      </c>
      <c r="D6489" s="2" t="s">
        <v>1399</v>
      </c>
      <c r="E6489" s="2">
        <v>45.01</v>
      </c>
      <c r="F6489" s="2" t="e">
        <f>IF(Table2[[#This Row],[Manual Cat Value]]="",VLOOKUP(Table2[[#This Row],[Description]],'Actuals Lookup'!D:F,3,0),Table2[[#This Row],[Manual Cat Value]])</f>
        <v>#N/A</v>
      </c>
      <c r="J6489" s="2">
        <v>45.01</v>
      </c>
      <c r="K6489" s="2" t="b">
        <v>0</v>
      </c>
      <c r="L6489" s="2"/>
      <c r="M6489" s="2"/>
      <c r="N6489" s="4" t="s">
        <v>2259</v>
      </c>
      <c r="O6489" s="4" t="str">
        <f>LEFT(Table2[[#This Row],[Description]],75)</f>
        <v>PARK CITY FB PARK CITY UT PARK CITY FB PARK CITY UT</v>
      </c>
      <c r="P6489" s="2" t="s">
        <v>2281</v>
      </c>
    </row>
    <row r="6490" spans="1:16" hidden="1">
      <c r="A6490" s="2">
        <v>202201</v>
      </c>
      <c r="B6490" s="3">
        <v>44565</v>
      </c>
      <c r="C6490" s="2" t="s">
        <v>2262</v>
      </c>
      <c r="D6490" s="2" t="s">
        <v>1401</v>
      </c>
      <c r="E6490" s="2">
        <v>51.78</v>
      </c>
      <c r="F6490" s="2" t="e">
        <f>IF(Table2[[#This Row],[Manual Cat Value]]="",VLOOKUP(Table2[[#This Row],[Description]],'Actuals Lookup'!D:F,3,0),Table2[[#This Row],[Manual Cat Value]])</f>
        <v>#N/A</v>
      </c>
      <c r="J6490" s="2">
        <v>51.78</v>
      </c>
      <c r="K6490" s="2" t="b">
        <v>0</v>
      </c>
      <c r="L6490" s="2"/>
      <c r="M6490" s="2"/>
      <c r="N6490" s="4" t="s">
        <v>2259</v>
      </c>
      <c r="O6490" s="4" t="str">
        <f>LEFT(Table2[[#This Row],[Description]],75)</f>
        <v>PARK CITY SOUVENIR CO SALT LAKE PARK CITY SOUVENIR CO SALT LAKE CITUT</v>
      </c>
      <c r="P6490" s="2" t="s">
        <v>2281</v>
      </c>
    </row>
    <row r="6491" spans="1:16" hidden="1">
      <c r="A6491" s="2">
        <v>202201</v>
      </c>
      <c r="B6491" s="3">
        <v>44566</v>
      </c>
      <c r="C6491" s="2" t="s">
        <v>2265</v>
      </c>
      <c r="D6491" s="2" t="s">
        <v>1990</v>
      </c>
      <c r="E6491" s="2">
        <v>20</v>
      </c>
      <c r="F6491" s="2" t="e">
        <f>IF(Table2[[#This Row],[Manual Cat Value]]="",VLOOKUP(Table2[[#This Row],[Description]],'Actuals Lookup'!D:F,3,0),Table2[[#This Row],[Manual Cat Value]])</f>
        <v>#N/A</v>
      </c>
      <c r="J6491" s="2">
        <v>20</v>
      </c>
      <c r="K6491" s="2" t="b">
        <v>0</v>
      </c>
      <c r="L6491" s="2"/>
      <c r="M6491" s="2"/>
      <c r="N6491" s="4" t="s">
        <v>2259</v>
      </c>
      <c r="O6491" s="4" t="str">
        <f>LEFT(Table2[[#This Row],[Description]],75)</f>
        <v>Transfer to Venmo VENMO TYPE PAYMENT ID CO VENMO NAME JEFF TRUITT ACH ECC W</v>
      </c>
      <c r="P6491" s="2" t="s">
        <v>2281</v>
      </c>
    </row>
    <row r="6492" spans="1:16" hidden="1">
      <c r="A6492" s="2">
        <v>202201</v>
      </c>
      <c r="B6492" s="3">
        <v>44566</v>
      </c>
      <c r="C6492" s="2" t="s">
        <v>2262</v>
      </c>
      <c r="D6492" s="2" t="s">
        <v>316</v>
      </c>
      <c r="E6492" s="2">
        <v>37.04</v>
      </c>
      <c r="F6492" s="2" t="e">
        <f>IF(Table2[[#This Row],[Manual Cat Value]]="",VLOOKUP(Table2[[#This Row],[Description]],'Actuals Lookup'!D:F,3,0),Table2[[#This Row],[Manual Cat Value]])</f>
        <v>#N/A</v>
      </c>
      <c r="J6492" s="2">
        <v>37.04</v>
      </c>
      <c r="K6492" s="2" t="b">
        <v>0</v>
      </c>
      <c r="L6492" s="2"/>
      <c r="M6492" s="2"/>
      <c r="N6492" s="4" t="s">
        <v>2259</v>
      </c>
      <c r="O6492" s="4" t="str">
        <f>LEFT(Table2[[#This Row],[Description]],75)</f>
        <v>BP</v>
      </c>
      <c r="P6492" s="2" t="s">
        <v>2484</v>
      </c>
    </row>
    <row r="6493" spans="1:16" hidden="1">
      <c r="A6493" s="2">
        <v>202201</v>
      </c>
      <c r="B6493" s="3">
        <v>44566</v>
      </c>
      <c r="C6493" s="2" t="s">
        <v>2265</v>
      </c>
      <c r="D6493" s="2" t="s">
        <v>1196</v>
      </c>
      <c r="E6493" s="2">
        <v>536.29999999999995</v>
      </c>
      <c r="F6493" s="2" t="e">
        <f>IF(Table2[[#This Row],[Manual Cat Value]]="",VLOOKUP(Table2[[#This Row],[Description]],'Actuals Lookup'!D:F,3,0),Table2[[#This Row],[Manual Cat Value]])</f>
        <v>#N/A</v>
      </c>
      <c r="J6493" s="2">
        <v>536.29999999999995</v>
      </c>
      <c r="K6493" s="2" t="b">
        <v>0</v>
      </c>
      <c r="L6493" s="2"/>
      <c r="M6493" s="2"/>
      <c r="N6493" s="4" t="s">
        <v>2259</v>
      </c>
      <c r="O6493" s="4" t="str">
        <f>LEFT(Table2[[#This Row],[Description]],75)</f>
        <v>MHCHILDCARELLC TYPE DUES ID CO M MHCHILDCARELLC TYPE DUES ID CO MHCHILDCARE</v>
      </c>
      <c r="P6493" s="2" t="s">
        <v>2497</v>
      </c>
    </row>
    <row r="6494" spans="1:16" hidden="1">
      <c r="A6494" s="2">
        <v>202201</v>
      </c>
      <c r="B6494" s="3">
        <v>44566</v>
      </c>
      <c r="C6494" s="2" t="s">
        <v>2262</v>
      </c>
      <c r="D6494" s="2" t="s">
        <v>1344</v>
      </c>
      <c r="E6494" s="2">
        <v>213.13</v>
      </c>
      <c r="F6494" s="2" t="e">
        <f>IF(Table2[[#This Row],[Manual Cat Value]]="",VLOOKUP(Table2[[#This Row],[Description]],'Actuals Lookup'!D:F,3,0),Table2[[#This Row],[Manual Cat Value]])</f>
        <v>#N/A</v>
      </c>
      <c r="J6494" s="2">
        <v>213.13</v>
      </c>
      <c r="K6494" s="2" t="b">
        <v>0</v>
      </c>
      <c r="L6494" s="2"/>
      <c r="M6494" s="2"/>
      <c r="N6494" s="4" t="s">
        <v>2259</v>
      </c>
      <c r="O6494" s="4" t="str">
        <f>LEFT(Table2[[#This Row],[Description]],75)</f>
        <v>National Car</v>
      </c>
      <c r="P6494" s="2" t="s">
        <v>2281</v>
      </c>
    </row>
    <row r="6495" spans="1:16" hidden="1">
      <c r="A6495" s="2">
        <v>202201</v>
      </c>
      <c r="B6495" s="3">
        <v>44566</v>
      </c>
      <c r="C6495" s="2" t="s">
        <v>2262</v>
      </c>
      <c r="D6495" s="2" t="s">
        <v>1399</v>
      </c>
      <c r="E6495" s="2">
        <v>9.9</v>
      </c>
      <c r="F6495" s="2" t="e">
        <f>IF(Table2[[#This Row],[Manual Cat Value]]="",VLOOKUP(Table2[[#This Row],[Description]],'Actuals Lookup'!D:F,3,0),Table2[[#This Row],[Manual Cat Value]])</f>
        <v>#N/A</v>
      </c>
      <c r="J6495" s="2">
        <v>9.9</v>
      </c>
      <c r="K6495" s="2" t="b">
        <v>0</v>
      </c>
      <c r="L6495" s="2"/>
      <c r="M6495" s="2"/>
      <c r="N6495" s="4" t="s">
        <v>2259</v>
      </c>
      <c r="O6495" s="4" t="str">
        <f>LEFT(Table2[[#This Row],[Description]],75)</f>
        <v>PARK CITY FB PARK CITY UT PARK CITY FB PARK CITY UT</v>
      </c>
      <c r="P6495" s="2" t="s">
        <v>2281</v>
      </c>
    </row>
    <row r="6496" spans="1:16" hidden="1">
      <c r="A6496" s="2">
        <v>202201</v>
      </c>
      <c r="B6496" s="3">
        <v>44566</v>
      </c>
      <c r="C6496" s="2" t="s">
        <v>2262</v>
      </c>
      <c r="D6496" s="2" t="s">
        <v>1399</v>
      </c>
      <c r="E6496" s="2">
        <v>25.26</v>
      </c>
      <c r="F6496" s="2" t="e">
        <f>IF(Table2[[#This Row],[Manual Cat Value]]="",VLOOKUP(Table2[[#This Row],[Description]],'Actuals Lookup'!D:F,3,0),Table2[[#This Row],[Manual Cat Value]])</f>
        <v>#N/A</v>
      </c>
      <c r="J6496" s="2">
        <v>25.26</v>
      </c>
      <c r="K6496" s="2" t="b">
        <v>0</v>
      </c>
      <c r="L6496" s="2"/>
      <c r="M6496" s="2"/>
      <c r="N6496" s="4" t="s">
        <v>2259</v>
      </c>
      <c r="O6496" s="4" t="str">
        <f>LEFT(Table2[[#This Row],[Description]],75)</f>
        <v>PARK CITY FB PARK CITY UT PARK CITY FB PARK CITY UT</v>
      </c>
      <c r="P6496" s="2" t="s">
        <v>2281</v>
      </c>
    </row>
    <row r="6497" spans="1:16" hidden="1">
      <c r="A6497" s="2">
        <v>202201</v>
      </c>
      <c r="B6497" s="3">
        <v>44566</v>
      </c>
      <c r="C6497" s="2" t="s">
        <v>2262</v>
      </c>
      <c r="D6497" s="2" t="s">
        <v>1400</v>
      </c>
      <c r="E6497" s="2">
        <v>191.83</v>
      </c>
      <c r="F6497" s="2" t="e">
        <f>IF(Table2[[#This Row],[Manual Cat Value]]="",VLOOKUP(Table2[[#This Row],[Description]],'Actuals Lookup'!D:F,3,0),Table2[[#This Row],[Manual Cat Value]])</f>
        <v>#N/A</v>
      </c>
      <c r="J6497" s="2">
        <v>191.83</v>
      </c>
      <c r="K6497" s="2" t="b">
        <v>0</v>
      </c>
      <c r="L6497" s="2"/>
      <c r="M6497" s="2"/>
      <c r="N6497" s="4" t="s">
        <v>2259</v>
      </c>
      <c r="O6497" s="4" t="str">
        <f>LEFT(Table2[[#This Row],[Description]],75)</f>
        <v>Park City Parks</v>
      </c>
      <c r="P6497" s="2" t="s">
        <v>2281</v>
      </c>
    </row>
    <row r="6498" spans="1:16" hidden="1">
      <c r="A6498" s="2">
        <v>202201</v>
      </c>
      <c r="B6498" s="3">
        <v>44566</v>
      </c>
      <c r="C6498" s="2" t="s">
        <v>2265</v>
      </c>
      <c r="D6498" s="2" t="s">
        <v>1471</v>
      </c>
      <c r="E6498" s="2">
        <v>10</v>
      </c>
      <c r="F6498" s="2" t="str">
        <f>IF(Table2[[#This Row],[Manual Cat Value]]="",VLOOKUP(Table2[[#This Row],[Description]],'Actuals Lookup'!D:F,3,0),Table2[[#This Row],[Manual Cat Value]])</f>
        <v>Shopping</v>
      </c>
      <c r="J6498" s="2">
        <v>10</v>
      </c>
      <c r="K6498" s="2" t="b">
        <v>0</v>
      </c>
      <c r="L6498" s="2"/>
      <c r="M6498" s="2"/>
      <c r="N6498" s="4" t="s">
        <v>2259</v>
      </c>
      <c r="O6498" s="4" t="str">
        <f>LEFT(Table2[[#This Row],[Description]],75)</f>
        <v>PayPal</v>
      </c>
      <c r="P6498" s="2" t="s">
        <v>2322</v>
      </c>
    </row>
    <row r="6499" spans="1:16" hidden="1">
      <c r="A6499" s="2">
        <v>202201</v>
      </c>
      <c r="B6499" s="3">
        <v>44566</v>
      </c>
      <c r="C6499" s="2" t="s">
        <v>2262</v>
      </c>
      <c r="D6499" s="2" t="s">
        <v>1487</v>
      </c>
      <c r="E6499" s="2">
        <v>10.43</v>
      </c>
      <c r="F6499" s="2" t="e">
        <f>IF(Table2[[#This Row],[Manual Cat Value]]="",VLOOKUP(Table2[[#This Row],[Description]],'Actuals Lookup'!D:F,3,0),Table2[[#This Row],[Manual Cat Value]])</f>
        <v>#N/A</v>
      </c>
      <c r="J6499" s="2">
        <v>10.43</v>
      </c>
      <c r="K6499" s="2" t="b">
        <v>0</v>
      </c>
      <c r="L6499" s="2"/>
      <c r="M6499" s="2"/>
      <c r="N6499" s="4" t="s">
        <v>2259</v>
      </c>
      <c r="O6499" s="4" t="str">
        <f>LEFT(Table2[[#This Row],[Description]],75)</f>
        <v>Phillips 66</v>
      </c>
      <c r="P6499" s="2" t="s">
        <v>2281</v>
      </c>
    </row>
    <row r="6500" spans="1:16" hidden="1">
      <c r="A6500" s="2">
        <v>202201</v>
      </c>
      <c r="B6500" s="3">
        <v>44566</v>
      </c>
      <c r="C6500" s="2" t="s">
        <v>2262</v>
      </c>
      <c r="D6500" s="2" t="s">
        <v>1773</v>
      </c>
      <c r="E6500" s="2">
        <v>10</v>
      </c>
      <c r="F6500" s="2" t="str">
        <f>IF(Table2[[#This Row],[Manual Cat Value]]="",VLOOKUP(Table2[[#This Row],[Description]],'Actuals Lookup'!D:F,3,0),Table2[[#This Row],[Manual Cat Value]])</f>
        <v>Restaurants</v>
      </c>
      <c r="J6500" s="2">
        <v>10</v>
      </c>
      <c r="K6500" s="2" t="b">
        <v>0</v>
      </c>
      <c r="L6500" s="2"/>
      <c r="M6500" s="2"/>
      <c r="N6500" s="4" t="s">
        <v>2259</v>
      </c>
      <c r="O6500" s="4" t="str">
        <f>LEFT(Table2[[#This Row],[Description]],75)</f>
        <v>Starbucks</v>
      </c>
      <c r="P6500" s="2" t="s">
        <v>2454</v>
      </c>
    </row>
    <row r="6501" spans="1:16" hidden="1">
      <c r="A6501" s="2">
        <v>202201</v>
      </c>
      <c r="B6501" s="3">
        <v>44567</v>
      </c>
      <c r="C6501" s="2" t="s">
        <v>2265</v>
      </c>
      <c r="D6501" s="2" t="s">
        <v>1984</v>
      </c>
      <c r="E6501" s="2">
        <v>232.37</v>
      </c>
      <c r="F6501" s="2" t="e">
        <f>IF(Table2[[#This Row],[Manual Cat Value]]="",VLOOKUP(Table2[[#This Row],[Description]],'Actuals Lookup'!D:F,3,0),Table2[[#This Row],[Manual Cat Value]])</f>
        <v>#N/A</v>
      </c>
      <c r="J6501" s="2">
        <v>232.37</v>
      </c>
      <c r="K6501" s="2" t="b">
        <v>0</v>
      </c>
      <c r="L6501" s="2"/>
      <c r="M6501" s="2"/>
      <c r="N6501" s="4" t="s">
        <v>2259</v>
      </c>
      <c r="O6501" s="4" t="str">
        <f>LEFT(Table2[[#This Row],[Description]],75)</f>
        <v>Transfer to Venmo VENMO TYPE PAYMENT ID CO VENMO NAME BRITNEY TRUITT ACH EC</v>
      </c>
      <c r="P6501" s="2" t="s">
        <v>2281</v>
      </c>
    </row>
    <row r="6502" spans="1:16" hidden="1">
      <c r="A6502" s="2">
        <v>202201</v>
      </c>
      <c r="B6502" s="3">
        <v>44567</v>
      </c>
      <c r="C6502" s="2" t="s">
        <v>2265</v>
      </c>
      <c r="D6502" s="2" t="s">
        <v>1985</v>
      </c>
      <c r="E6502" s="2">
        <v>125</v>
      </c>
      <c r="F6502" s="2" t="e">
        <f>IF(Table2[[#This Row],[Manual Cat Value]]="",VLOOKUP(Table2[[#This Row],[Description]],'Actuals Lookup'!D:F,3,0),Table2[[#This Row],[Manual Cat Value]])</f>
        <v>#N/A</v>
      </c>
      <c r="J6502" s="2">
        <v>125</v>
      </c>
      <c r="K6502" s="2" t="b">
        <v>0</v>
      </c>
      <c r="L6502" s="2"/>
      <c r="M6502" s="2"/>
      <c r="N6502" s="4" t="s">
        <v>2259</v>
      </c>
      <c r="O6502" s="4" t="str">
        <f>LEFT(Table2[[#This Row],[Description]],75)</f>
        <v>Transfer to Venmo VENMO TYPE PAYMENT ID CO VENMO NAME BRITNEY TRUITT ACH EC</v>
      </c>
      <c r="P6502" s="2" t="s">
        <v>2281</v>
      </c>
    </row>
    <row r="6503" spans="1:16" hidden="1">
      <c r="A6503" s="2">
        <v>202201</v>
      </c>
      <c r="B6503" s="3">
        <v>44567</v>
      </c>
      <c r="C6503" s="2" t="s">
        <v>2265</v>
      </c>
      <c r="D6503" s="2" t="s">
        <v>1988</v>
      </c>
      <c r="E6503" s="2">
        <v>54.57</v>
      </c>
      <c r="F6503" s="2" t="e">
        <f>IF(Table2[[#This Row],[Manual Cat Value]]="",VLOOKUP(Table2[[#This Row],[Description]],'Actuals Lookup'!D:F,3,0),Table2[[#This Row],[Manual Cat Value]])</f>
        <v>#N/A</v>
      </c>
      <c r="J6503" s="2">
        <v>54.57</v>
      </c>
      <c r="K6503" s="2" t="b">
        <v>0</v>
      </c>
      <c r="L6503" s="2"/>
      <c r="M6503" s="2"/>
      <c r="N6503" s="4" t="s">
        <v>2259</v>
      </c>
      <c r="O6503" s="4" t="str">
        <f>LEFT(Table2[[#This Row],[Description]],75)</f>
        <v>Transfer to Venmo VENMO TYPE PAYMENT ID CO VENMO NAME JEFF TRUITT ACH ECC W</v>
      </c>
      <c r="P6503" s="2" t="s">
        <v>2281</v>
      </c>
    </row>
    <row r="6504" spans="1:16" hidden="1">
      <c r="A6504" s="2">
        <v>202201</v>
      </c>
      <c r="B6504" s="3">
        <v>44567</v>
      </c>
      <c r="C6504" s="2" t="s">
        <v>2265</v>
      </c>
      <c r="D6504" s="2" t="s">
        <v>1989</v>
      </c>
      <c r="E6504" s="2">
        <v>234.12</v>
      </c>
      <c r="F6504" s="2" t="e">
        <f>IF(Table2[[#This Row],[Manual Cat Value]]="",VLOOKUP(Table2[[#This Row],[Description]],'Actuals Lookup'!D:F,3,0),Table2[[#This Row],[Manual Cat Value]])</f>
        <v>#N/A</v>
      </c>
      <c r="J6504" s="2">
        <v>234.12</v>
      </c>
      <c r="K6504" s="2" t="b">
        <v>0</v>
      </c>
      <c r="L6504" s="2"/>
      <c r="M6504" s="2"/>
      <c r="N6504" s="4" t="s">
        <v>2259</v>
      </c>
      <c r="O6504" s="4" t="str">
        <f>LEFT(Table2[[#This Row],[Description]],75)</f>
        <v>Transfer to Venmo VENMO TYPE PAYMENT ID CO VENMO NAME JEFF TRUITT ACH ECC W</v>
      </c>
      <c r="P6504" s="2" t="s">
        <v>2281</v>
      </c>
    </row>
    <row r="6505" spans="1:16" hidden="1">
      <c r="A6505" s="2">
        <v>202201</v>
      </c>
      <c r="B6505" s="3">
        <v>44567</v>
      </c>
      <c r="C6505" s="2" t="s">
        <v>2265</v>
      </c>
      <c r="D6505" s="2" t="s">
        <v>413</v>
      </c>
      <c r="E6505" s="2">
        <v>2565.59</v>
      </c>
      <c r="F6505" s="2" t="e">
        <f>IF(Table2[[#This Row],[Manual Cat Value]]="",VLOOKUP(Table2[[#This Row],[Description]],'Actuals Lookup'!D:F,3,0),Table2[[#This Row],[Manual Cat Value]])</f>
        <v>#N/A</v>
      </c>
      <c r="J6505" s="2">
        <v>-2565.59</v>
      </c>
      <c r="K6505" s="2" t="b">
        <v>0</v>
      </c>
      <c r="L6505" s="2"/>
      <c r="M6505" s="2"/>
      <c r="N6505" s="4" t="s">
        <v>2273</v>
      </c>
      <c r="O6505" s="4" t="str">
        <f>LEFT(Table2[[#This Row],[Description]],75)</f>
        <v>Cargill Inc Deposit CARGILL INCORPOR TYPE DIRECT DEP ID CO CARGILL INCORPOR</v>
      </c>
      <c r="P6505" s="2" t="s">
        <v>2545</v>
      </c>
    </row>
    <row r="6506" spans="1:16" hidden="1">
      <c r="A6506" s="2">
        <v>202201</v>
      </c>
      <c r="B6506" s="3">
        <v>44567</v>
      </c>
      <c r="C6506" s="2" t="s">
        <v>2262</v>
      </c>
      <c r="D6506" s="2" t="s">
        <v>1826</v>
      </c>
      <c r="E6506" s="2">
        <v>21.96</v>
      </c>
      <c r="F6506" s="2" t="e">
        <f>IF(Table2[[#This Row],[Manual Cat Value]]="",VLOOKUP(Table2[[#This Row],[Description]],'Actuals Lookup'!D:F,3,0),Table2[[#This Row],[Manual Cat Value]])</f>
        <v>#N/A</v>
      </c>
      <c r="J6506" s="2">
        <v>21.96</v>
      </c>
      <c r="K6506" s="2" t="b">
        <v>0</v>
      </c>
      <c r="L6506" s="2"/>
      <c r="M6506" s="2"/>
      <c r="N6506" s="4" t="s">
        <v>2259</v>
      </c>
      <c r="O6506" s="4" t="str">
        <f>LEFT(Table2[[#This Row],[Description]],75)</f>
        <v>TAZA CHANHASSEN MN TAZA CHANHASSEN MN</v>
      </c>
      <c r="P6506" s="2" t="s">
        <v>2281</v>
      </c>
    </row>
    <row r="6507" spans="1:16" hidden="1">
      <c r="A6507" s="2">
        <v>202201</v>
      </c>
      <c r="B6507" s="3">
        <v>44567</v>
      </c>
      <c r="C6507" s="2" t="s">
        <v>2265</v>
      </c>
      <c r="D6507" s="2" t="s">
        <v>2221</v>
      </c>
      <c r="E6507" s="2">
        <v>135.31</v>
      </c>
      <c r="F6507" s="2" t="str">
        <f>IF(Table2[[#This Row],[Manual Cat Value]]="",VLOOKUP(Table2[[#This Row],[Description]],'Actuals Lookup'!D:F,3,0),Table2[[#This Row],[Manual Cat Value]])</f>
        <v>Utilities</v>
      </c>
      <c r="J6507" s="2">
        <v>135.31</v>
      </c>
      <c r="K6507" s="2" t="b">
        <v>0</v>
      </c>
      <c r="L6507" s="2"/>
      <c r="M6507" s="2"/>
      <c r="N6507" s="4" t="s">
        <v>2259</v>
      </c>
      <c r="O6507" s="4" t="str">
        <f>LEFT(Table2[[#This Row],[Description]],75)</f>
        <v>Xcel Energy</v>
      </c>
      <c r="P6507" s="2" t="s">
        <v>2280</v>
      </c>
    </row>
    <row r="6508" spans="1:16" hidden="1">
      <c r="A6508" s="2">
        <v>202201</v>
      </c>
      <c r="B6508" s="3">
        <v>44568</v>
      </c>
      <c r="C6508" s="2" t="s">
        <v>2262</v>
      </c>
      <c r="D6508" s="2" t="s">
        <v>161</v>
      </c>
      <c r="E6508" s="2">
        <v>15.6</v>
      </c>
      <c r="F6508" s="2" t="str">
        <f>IF(Table2[[#This Row],[Manual Cat Value]]="",VLOOKUP(Table2[[#This Row],[Description]],'Actuals Lookup'!D:F,3,0),Table2[[#This Row],[Manual Cat Value]])</f>
        <v>Shopping</v>
      </c>
      <c r="J6508" s="2">
        <v>15.6</v>
      </c>
      <c r="K6508" s="2" t="b">
        <v>0</v>
      </c>
      <c r="L6508" s="2"/>
      <c r="M6508" s="2"/>
      <c r="N6508" s="4" t="s">
        <v>2259</v>
      </c>
      <c r="O6508" s="4" t="str">
        <f>LEFT(Table2[[#This Row],[Description]],75)</f>
        <v>Anthropologie</v>
      </c>
      <c r="P6508" s="2" t="s">
        <v>2295</v>
      </c>
    </row>
    <row r="6509" spans="1:16" hidden="1">
      <c r="A6509" s="2">
        <v>202201</v>
      </c>
      <c r="B6509" s="3">
        <v>44568</v>
      </c>
      <c r="C6509" s="2" t="s">
        <v>2262</v>
      </c>
      <c r="D6509" s="2" t="s">
        <v>161</v>
      </c>
      <c r="E6509" s="2">
        <v>298</v>
      </c>
      <c r="F6509" s="2" t="str">
        <f>IF(Table2[[#This Row],[Manual Cat Value]]="",VLOOKUP(Table2[[#This Row],[Description]],'Actuals Lookup'!D:F,3,0),Table2[[#This Row],[Manual Cat Value]])</f>
        <v>Shopping</v>
      </c>
      <c r="J6509" s="2">
        <v>298</v>
      </c>
      <c r="K6509" s="2" t="b">
        <v>0</v>
      </c>
      <c r="L6509" s="2"/>
      <c r="M6509" s="2"/>
      <c r="N6509" s="4" t="s">
        <v>2259</v>
      </c>
      <c r="O6509" s="4" t="str">
        <f>LEFT(Table2[[#This Row],[Description]],75)</f>
        <v>Anthropologie</v>
      </c>
      <c r="P6509" s="2" t="s">
        <v>2295</v>
      </c>
    </row>
    <row r="6510" spans="1:16" hidden="1">
      <c r="A6510" s="2">
        <v>202201</v>
      </c>
      <c r="B6510" s="3">
        <v>44568</v>
      </c>
      <c r="C6510" s="2" t="s">
        <v>2274</v>
      </c>
      <c r="D6510" s="2" t="s">
        <v>511</v>
      </c>
      <c r="E6510" s="2">
        <v>400</v>
      </c>
      <c r="F6510" s="2" t="e">
        <f>IF(Table2[[#This Row],[Manual Cat Value]]="",VLOOKUP(Table2[[#This Row],[Description]],'Actuals Lookup'!D:F,3,0),Table2[[#This Row],[Manual Cat Value]])</f>
        <v>#N/A</v>
      </c>
      <c r="J6510" s="2">
        <v>400</v>
      </c>
      <c r="K6510" s="2" t="b">
        <v>0</v>
      </c>
      <c r="L6510" s="2"/>
      <c r="M6510" s="2"/>
      <c r="N6510" s="4" t="s">
        <v>2259</v>
      </c>
      <c r="O6510" s="4" t="str">
        <f>LEFT(Table2[[#This Row],[Description]],75)</f>
        <v>Charter Bank 455 Pond P Chanhassen</v>
      </c>
      <c r="P6510" s="2" t="s">
        <v>2281</v>
      </c>
    </row>
    <row r="6511" spans="1:16" hidden="1">
      <c r="A6511" s="2">
        <v>202201</v>
      </c>
      <c r="B6511" s="3">
        <v>44568</v>
      </c>
      <c r="C6511" s="2" t="s">
        <v>2274</v>
      </c>
      <c r="D6511" s="2" t="s">
        <v>571</v>
      </c>
      <c r="E6511" s="2">
        <v>18.86</v>
      </c>
      <c r="F6511" s="2" t="e">
        <f>IF(Table2[[#This Row],[Manual Cat Value]]="",VLOOKUP(Table2[[#This Row],[Description]],'Actuals Lookup'!D:F,3,0),Table2[[#This Row],[Manual Cat Value]])</f>
        <v>#N/A</v>
      </c>
      <c r="J6511" s="2">
        <v>-18.86</v>
      </c>
      <c r="K6511" s="2" t="b">
        <v>0</v>
      </c>
      <c r="L6511" s="2"/>
      <c r="M6511" s="2"/>
      <c r="N6511" s="4" t="s">
        <v>2273</v>
      </c>
      <c r="O6511" s="4" t="str">
        <f>LEFT(Table2[[#This Row],[Description]],75)</f>
        <v>Coinbase.com Npcjumy</v>
      </c>
      <c r="P6511" s="2" t="s">
        <v>2281</v>
      </c>
    </row>
    <row r="6512" spans="1:16" hidden="1">
      <c r="A6512" s="2">
        <v>202201</v>
      </c>
      <c r="B6512" s="3">
        <v>44568</v>
      </c>
      <c r="C6512" s="2" t="s">
        <v>2262</v>
      </c>
      <c r="D6512" s="2" t="s">
        <v>888</v>
      </c>
      <c r="E6512" s="2">
        <v>12.8</v>
      </c>
      <c r="F6512" s="2" t="e">
        <f>IF(Table2[[#This Row],[Manual Cat Value]]="",VLOOKUP(Table2[[#This Row],[Description]],'Actuals Lookup'!D:F,3,0),Table2[[#This Row],[Manual Cat Value]])</f>
        <v>#N/A</v>
      </c>
      <c r="J6512" s="2">
        <v>-12.8</v>
      </c>
      <c r="K6512" s="2" t="b">
        <v>0</v>
      </c>
      <c r="L6512" s="2"/>
      <c r="M6512" s="2"/>
      <c r="N6512" s="4" t="s">
        <v>2273</v>
      </c>
      <c r="O6512" s="4" t="str">
        <f>LEFT(Table2[[#This Row],[Description]],75)</f>
        <v>General Minnetonka Generalstoreofminnetonka</v>
      </c>
      <c r="P6512" s="2" t="s">
        <v>2281</v>
      </c>
    </row>
    <row r="6513" spans="1:16" hidden="1">
      <c r="A6513" s="2">
        <v>202201</v>
      </c>
      <c r="B6513" s="3">
        <v>44568</v>
      </c>
      <c r="C6513" s="2" t="s">
        <v>2338</v>
      </c>
      <c r="D6513" s="2" t="s">
        <v>1820</v>
      </c>
      <c r="E6513" s="2">
        <v>865.38</v>
      </c>
      <c r="F6513" s="2" t="e">
        <f>IF(Table2[[#This Row],[Manual Cat Value]]="",VLOOKUP(Table2[[#This Row],[Description]],'Actuals Lookup'!D:F,3,0),Table2[[#This Row],[Manual Cat Value]])</f>
        <v>#N/A</v>
      </c>
      <c r="J6513" s="2">
        <v>-865.38</v>
      </c>
      <c r="K6513" s="2" t="b">
        <v>0</v>
      </c>
      <c r="L6513" s="2"/>
      <c r="M6513" s="2"/>
      <c r="N6513" s="4" t="s">
        <v>2273</v>
      </c>
      <c r="O6513" s="4" t="str">
        <f>LEFT(Table2[[#This Row],[Description]],75)</f>
        <v>Target Retire 2055 Tr P - Plan Contribution</v>
      </c>
      <c r="P6513" s="2" t="s">
        <v>2386</v>
      </c>
    </row>
    <row r="6514" spans="1:16" hidden="1">
      <c r="A6514" s="2">
        <v>202201</v>
      </c>
      <c r="B6514" s="3">
        <v>44568</v>
      </c>
      <c r="C6514" s="2" t="s">
        <v>2434</v>
      </c>
      <c r="D6514" s="2" t="s">
        <v>1835</v>
      </c>
      <c r="E6514" s="2">
        <v>231</v>
      </c>
      <c r="F6514" s="2" t="e">
        <f>IF(Table2[[#This Row],[Manual Cat Value]]="",VLOOKUP(Table2[[#This Row],[Description]],'Actuals Lookup'!D:F,3,0),Table2[[#This Row],[Manual Cat Value]])</f>
        <v>#N/A</v>
      </c>
      <c r="J6514" s="2">
        <v>-231</v>
      </c>
      <c r="K6514" s="2" t="b">
        <v>0</v>
      </c>
      <c r="L6514" s="2"/>
      <c r="M6514" s="2"/>
      <c r="N6514" s="4" t="s">
        <v>2273</v>
      </c>
      <c r="O6514" s="4" t="str">
        <f>LEFT(Table2[[#This Row],[Description]],75)</f>
        <v>Tfr JPMORGAN CHASE BAN, CARGILL INCORPOR</v>
      </c>
      <c r="P6514" s="2" t="s">
        <v>2281</v>
      </c>
    </row>
    <row r="6515" spans="1:16" hidden="1">
      <c r="A6515" s="2">
        <v>202201</v>
      </c>
      <c r="B6515" s="3">
        <v>44570</v>
      </c>
      <c r="C6515" s="2" t="s">
        <v>2262</v>
      </c>
      <c r="D6515" s="2" t="s">
        <v>38</v>
      </c>
      <c r="E6515" s="2">
        <v>127.78</v>
      </c>
      <c r="F6515" s="2" t="str">
        <f>IF(Table2[[#This Row],[Manual Cat Value]]="",VLOOKUP(Table2[[#This Row],[Description]],'Actuals Lookup'!D:F,3,0),Table2[[#This Row],[Manual Cat Value]])</f>
        <v>Amazon</v>
      </c>
      <c r="J6515" s="2">
        <v>127.78</v>
      </c>
      <c r="K6515" s="2" t="b">
        <v>0</v>
      </c>
      <c r="L6515" s="2"/>
      <c r="M6515" s="2"/>
      <c r="N6515" s="4" t="s">
        <v>2259</v>
      </c>
      <c r="O6515" s="4" t="str">
        <f>LEFT(Table2[[#This Row],[Description]],75)</f>
        <v>Amazon</v>
      </c>
      <c r="P6515" s="2" t="s">
        <v>2260</v>
      </c>
    </row>
    <row r="6516" spans="1:16" hidden="1">
      <c r="A6516" s="2">
        <v>202201</v>
      </c>
      <c r="B6516" s="3">
        <v>44570</v>
      </c>
      <c r="C6516" s="2" t="s">
        <v>2262</v>
      </c>
      <c r="D6516" s="2" t="s">
        <v>38</v>
      </c>
      <c r="E6516" s="2">
        <v>163.52000000000001</v>
      </c>
      <c r="F6516" s="2" t="str">
        <f>IF(Table2[[#This Row],[Manual Cat Value]]="",VLOOKUP(Table2[[#This Row],[Description]],'Actuals Lookup'!D:F,3,0),Table2[[#This Row],[Manual Cat Value]])</f>
        <v>Amazon</v>
      </c>
      <c r="J6516" s="2">
        <v>163.52000000000001</v>
      </c>
      <c r="K6516" s="2" t="b">
        <v>0</v>
      </c>
      <c r="L6516" s="2"/>
      <c r="M6516" s="2"/>
      <c r="N6516" s="4" t="s">
        <v>2259</v>
      </c>
      <c r="O6516" s="4" t="str">
        <f>LEFT(Table2[[#This Row],[Description]],75)</f>
        <v>Amazon</v>
      </c>
      <c r="P6516" s="2" t="s">
        <v>2260</v>
      </c>
    </row>
    <row r="6517" spans="1:16" hidden="1">
      <c r="A6517" s="2">
        <v>202201</v>
      </c>
      <c r="B6517" s="3">
        <v>44570</v>
      </c>
      <c r="C6517" s="2" t="s">
        <v>2262</v>
      </c>
      <c r="D6517" s="2" t="s">
        <v>1083</v>
      </c>
      <c r="E6517" s="2">
        <v>17.97</v>
      </c>
      <c r="F6517" s="2" t="str">
        <f>IF(Table2[[#This Row],[Manual Cat Value]]="",VLOOKUP(Table2[[#This Row],[Description]],'Actuals Lookup'!D:F,3,0),Table2[[#This Row],[Manual Cat Value]])</f>
        <v>Transportation</v>
      </c>
      <c r="J6517" s="2">
        <v>17.97</v>
      </c>
      <c r="K6517" s="2" t="b">
        <v>0</v>
      </c>
      <c r="L6517" s="2"/>
      <c r="M6517" s="2"/>
      <c r="N6517" s="4" t="s">
        <v>2259</v>
      </c>
      <c r="O6517" s="4" t="str">
        <f>LEFT(Table2[[#This Row],[Description]],75)</f>
        <v>Kwik Trip</v>
      </c>
      <c r="P6517" s="2" t="s">
        <v>2509</v>
      </c>
    </row>
    <row r="6518" spans="1:16" hidden="1">
      <c r="A6518" s="2">
        <v>202201</v>
      </c>
      <c r="B6518" s="3">
        <v>44570</v>
      </c>
      <c r="C6518" s="2" t="s">
        <v>2274</v>
      </c>
      <c r="D6518" s="2" t="s">
        <v>1272</v>
      </c>
      <c r="E6518" s="2">
        <v>460</v>
      </c>
      <c r="F6518" s="2" t="e">
        <f>IF(Table2[[#This Row],[Manual Cat Value]]="",VLOOKUP(Table2[[#This Row],[Description]],'Actuals Lookup'!D:F,3,0),Table2[[#This Row],[Manual Cat Value]])</f>
        <v>#N/A</v>
      </c>
      <c r="J6518" s="2">
        <v>460</v>
      </c>
      <c r="K6518" s="2" t="b">
        <v>0</v>
      </c>
      <c r="L6518" s="2"/>
      <c r="M6518" s="2"/>
      <c r="N6518" s="4" t="s">
        <v>2259</v>
      </c>
      <c r="O6518" s="4" t="str">
        <f>LEFT(Table2[[#This Row],[Description]],75)</f>
        <v>Minnwest Bank</v>
      </c>
      <c r="P6518" s="2" t="s">
        <v>2281</v>
      </c>
    </row>
    <row r="6519" spans="1:16" hidden="1">
      <c r="A6519" s="2">
        <v>202201</v>
      </c>
      <c r="B6519" s="3">
        <v>44570</v>
      </c>
      <c r="C6519" s="2" t="s">
        <v>2262</v>
      </c>
      <c r="D6519" s="2" t="s">
        <v>1479</v>
      </c>
      <c r="E6519" s="2">
        <v>41.94</v>
      </c>
      <c r="F6519" s="2" t="e">
        <f>IF(Table2[[#This Row],[Manual Cat Value]]="",VLOOKUP(Table2[[#This Row],[Description]],'Actuals Lookup'!D:F,3,0),Table2[[#This Row],[Manual Cat Value]])</f>
        <v>#N/A</v>
      </c>
      <c r="J6519" s="2">
        <v>41.94</v>
      </c>
      <c r="K6519" s="2" t="b">
        <v>0</v>
      </c>
      <c r="L6519" s="2"/>
      <c r="M6519" s="2"/>
      <c r="N6519" s="4" t="s">
        <v>2259</v>
      </c>
      <c r="O6519" s="4" t="str">
        <f>LEFT(Table2[[#This Row],[Description]],75)</f>
        <v>Peloton Cycles PELOTON MEMBERSHIP HTTPSWWWONEPNY</v>
      </c>
      <c r="P6519" s="2" t="s">
        <v>2281</v>
      </c>
    </row>
    <row r="6520" spans="1:16" hidden="1">
      <c r="A6520" s="2">
        <v>202201</v>
      </c>
      <c r="B6520" s="3">
        <v>44570</v>
      </c>
      <c r="C6520" s="2" t="s">
        <v>2262</v>
      </c>
      <c r="D6520" s="2" t="s">
        <v>2001</v>
      </c>
      <c r="E6520" s="2">
        <v>207.57</v>
      </c>
      <c r="F6520" s="2" t="e">
        <f>IF(Table2[[#This Row],[Manual Cat Value]]="",VLOOKUP(Table2[[#This Row],[Description]],'Actuals Lookup'!D:F,3,0),Table2[[#This Row],[Manual Cat Value]])</f>
        <v>#N/A</v>
      </c>
      <c r="J6520" s="2">
        <v>-207.57</v>
      </c>
      <c r="K6520" s="2" t="b">
        <v>0</v>
      </c>
      <c r="L6520" s="2"/>
      <c r="M6520" s="2"/>
      <c r="N6520" s="4" t="s">
        <v>2273</v>
      </c>
      <c r="O6520" s="4" t="str">
        <f>LEFT(Table2[[#This Row],[Description]],75)</f>
        <v>True Play Strslde</v>
      </c>
      <c r="P6520" s="2" t="s">
        <v>2281</v>
      </c>
    </row>
    <row r="6521" spans="1:16" hidden="1">
      <c r="A6521" s="2">
        <v>202201</v>
      </c>
      <c r="B6521" s="3">
        <v>44571</v>
      </c>
      <c r="C6521" s="2" t="s">
        <v>2262</v>
      </c>
      <c r="D6521" s="2" t="s">
        <v>674</v>
      </c>
      <c r="E6521" s="2">
        <v>1678.17</v>
      </c>
      <c r="F6521" s="2" t="e">
        <f>IF(Table2[[#This Row],[Manual Cat Value]]="",VLOOKUP(Table2[[#This Row],[Description]],'Actuals Lookup'!D:F,3,0),Table2[[#This Row],[Manual Cat Value]])</f>
        <v>#N/A</v>
      </c>
      <c r="J6521" s="2">
        <v>-1678.17</v>
      </c>
      <c r="K6521" s="2" t="b">
        <v>0</v>
      </c>
      <c r="L6521" s="2"/>
      <c r="M6521" s="2"/>
      <c r="N6521" s="4" t="s">
        <v>2273</v>
      </c>
      <c r="O6521" s="4" t="str">
        <f>LEFT(Table2[[#This Row],[Description]],75)</f>
        <v>Credit Card Payment Received PAYMENT THANK YOU</v>
      </c>
      <c r="P6521" s="2" t="s">
        <v>2560</v>
      </c>
    </row>
    <row r="6522" spans="1:16" hidden="1">
      <c r="A6522" s="2">
        <v>202201</v>
      </c>
      <c r="B6522" s="3">
        <v>44571</v>
      </c>
      <c r="C6522" s="2" t="s">
        <v>2265</v>
      </c>
      <c r="D6522" s="2" t="s">
        <v>2203</v>
      </c>
      <c r="E6522" s="2">
        <v>1678.17</v>
      </c>
      <c r="F6522" s="2" t="e">
        <f>IF(Table2[[#This Row],[Manual Cat Value]]="",VLOOKUP(Table2[[#This Row],[Description]],'Actuals Lookup'!D:F,3,0),Table2[[#This Row],[Manual Cat Value]])</f>
        <v>#N/A</v>
      </c>
      <c r="J6522" s="2">
        <v>1678.17</v>
      </c>
      <c r="K6522" s="2" t="b">
        <v>0</v>
      </c>
      <c r="L6522" s="2"/>
      <c r="M6522" s="2"/>
      <c r="N6522" s="4" t="s">
        <v>2259</v>
      </c>
      <c r="O6522" s="4" t="str">
        <f>LEFT(Table2[[#This Row],[Description]],75)</f>
        <v>Withdrawal Home payment to card XX91 Withdrawal Home payment to card 979181</v>
      </c>
      <c r="P6522" s="2" t="s">
        <v>2559</v>
      </c>
    </row>
    <row r="6523" spans="1:16" hidden="1">
      <c r="A6523" s="2">
        <v>202201</v>
      </c>
      <c r="B6523" s="3">
        <v>44571</v>
      </c>
      <c r="C6523" s="2" t="s">
        <v>2262</v>
      </c>
      <c r="D6523" s="2" t="s">
        <v>38</v>
      </c>
      <c r="E6523" s="2">
        <v>10.19</v>
      </c>
      <c r="F6523" s="2" t="str">
        <f>IF(Table2[[#This Row],[Manual Cat Value]]="",VLOOKUP(Table2[[#This Row],[Description]],'Actuals Lookup'!D:F,3,0),Table2[[#This Row],[Manual Cat Value]])</f>
        <v>Amazon</v>
      </c>
      <c r="J6523" s="2">
        <v>10.19</v>
      </c>
      <c r="K6523" s="2" t="b">
        <v>0</v>
      </c>
      <c r="L6523" s="2"/>
      <c r="M6523" s="2"/>
      <c r="N6523" s="4" t="s">
        <v>2259</v>
      </c>
      <c r="O6523" s="4" t="str">
        <f>LEFT(Table2[[#This Row],[Description]],75)</f>
        <v>Amazon</v>
      </c>
      <c r="P6523" s="2" t="s">
        <v>2260</v>
      </c>
    </row>
    <row r="6524" spans="1:16" hidden="1">
      <c r="A6524" s="2">
        <v>202201</v>
      </c>
      <c r="B6524" s="3">
        <v>44571</v>
      </c>
      <c r="C6524" s="2" t="s">
        <v>2262</v>
      </c>
      <c r="D6524" s="2" t="s">
        <v>161</v>
      </c>
      <c r="E6524" s="2">
        <v>41.97</v>
      </c>
      <c r="F6524" s="2" t="str">
        <f>IF(Table2[[#This Row],[Manual Cat Value]]="",VLOOKUP(Table2[[#This Row],[Description]],'Actuals Lookup'!D:F,3,0),Table2[[#This Row],[Manual Cat Value]])</f>
        <v>Shopping</v>
      </c>
      <c r="J6524" s="2">
        <v>41.97</v>
      </c>
      <c r="K6524" s="2" t="b">
        <v>0</v>
      </c>
      <c r="L6524" s="2"/>
      <c r="M6524" s="2"/>
      <c r="N6524" s="4" t="s">
        <v>2259</v>
      </c>
      <c r="O6524" s="4" t="str">
        <f>LEFT(Table2[[#This Row],[Description]],75)</f>
        <v>Anthropologie</v>
      </c>
      <c r="P6524" s="2" t="s">
        <v>2295</v>
      </c>
    </row>
    <row r="6525" spans="1:16" hidden="1">
      <c r="A6525" s="2">
        <v>202201</v>
      </c>
      <c r="B6525" s="3">
        <v>44571</v>
      </c>
      <c r="C6525" s="2" t="s">
        <v>2262</v>
      </c>
      <c r="D6525" s="2" t="s">
        <v>1018</v>
      </c>
      <c r="E6525" s="2">
        <v>45.31</v>
      </c>
      <c r="F6525" s="2" t="e">
        <f>IF(Table2[[#This Row],[Manual Cat Value]]="",VLOOKUP(Table2[[#This Row],[Description]],'Actuals Lookup'!D:F,3,0),Table2[[#This Row],[Manual Cat Value]])</f>
        <v>#N/A</v>
      </c>
      <c r="J6525" s="2">
        <v>45.31</v>
      </c>
      <c r="K6525" s="2" t="b">
        <v>0</v>
      </c>
      <c r="L6525" s="2"/>
      <c r="M6525" s="2"/>
      <c r="N6525" s="4" t="s">
        <v>2259</v>
      </c>
      <c r="O6525" s="4" t="str">
        <f>LEFT(Table2[[#This Row],[Description]],75)</f>
        <v>JOEY NOVAS EXCELSIOR MN JOEY NOVAS EXCELSIOR MN</v>
      </c>
      <c r="P6525" s="2" t="s">
        <v>2585</v>
      </c>
    </row>
    <row r="6526" spans="1:16" hidden="1">
      <c r="A6526" s="2">
        <v>202201</v>
      </c>
      <c r="B6526" s="3">
        <v>44571</v>
      </c>
      <c r="C6526" s="2" t="s">
        <v>2262</v>
      </c>
      <c r="D6526" s="2" t="s">
        <v>1928</v>
      </c>
      <c r="E6526" s="2">
        <v>131.24</v>
      </c>
      <c r="F6526" s="2" t="e">
        <f>IF(Table2[[#This Row],[Manual Cat Value]]="",VLOOKUP(Table2[[#This Row],[Description]],'Actuals Lookup'!D:F,3,0),Table2[[#This Row],[Manual Cat Value]])</f>
        <v>#N/A</v>
      </c>
      <c r="J6526" s="2">
        <v>131.24</v>
      </c>
      <c r="K6526" s="2" t="b">
        <v>0</v>
      </c>
      <c r="L6526" s="2"/>
      <c r="M6526" s="2"/>
      <c r="N6526" s="4" t="s">
        <v>2259</v>
      </c>
      <c r="O6526" s="4" t="str">
        <f>LEFT(Table2[[#This Row],[Description]],75)</f>
        <v>Total Wine More</v>
      </c>
      <c r="P6526" s="2" t="s">
        <v>2556</v>
      </c>
    </row>
    <row r="6527" spans="1:16" hidden="1">
      <c r="A6527" s="2">
        <v>202201</v>
      </c>
      <c r="B6527" s="3">
        <v>44571</v>
      </c>
      <c r="C6527" s="2" t="s">
        <v>2274</v>
      </c>
      <c r="D6527" s="2" t="s">
        <v>2110</v>
      </c>
      <c r="E6527" s="2">
        <v>107.28</v>
      </c>
      <c r="F6527" s="2" t="e">
        <f>IF(Table2[[#This Row],[Manual Cat Value]]="",VLOOKUP(Table2[[#This Row],[Description]],'Actuals Lookup'!D:F,3,0),Table2[[#This Row],[Manual Cat Value]])</f>
        <v>#N/A</v>
      </c>
      <c r="J6527" s="2">
        <v>-107.28</v>
      </c>
      <c r="K6527" s="2" t="b">
        <v>0</v>
      </c>
      <c r="L6527" s="2"/>
      <c r="M6527" s="2"/>
      <c r="N6527" s="4" t="s">
        <v>2273</v>
      </c>
      <c r="O6527" s="4" t="str">
        <f>LEFT(Table2[[#This Row],[Description]],75)</f>
        <v>Venmo Cashout</v>
      </c>
      <c r="P6527" s="2" t="s">
        <v>2281</v>
      </c>
    </row>
    <row r="6528" spans="1:16" hidden="1">
      <c r="A6528" s="2">
        <v>202201</v>
      </c>
      <c r="B6528" s="3">
        <v>44572</v>
      </c>
      <c r="C6528" s="2" t="s">
        <v>2262</v>
      </c>
      <c r="D6528" s="2" t="s">
        <v>947</v>
      </c>
      <c r="E6528" s="2">
        <v>46.15</v>
      </c>
      <c r="F6528" s="2" t="e">
        <f>IF(Table2[[#This Row],[Manual Cat Value]]="",VLOOKUP(Table2[[#This Row],[Description]],'Actuals Lookup'!D:F,3,0),Table2[[#This Row],[Manual Cat Value]])</f>
        <v>#N/A</v>
      </c>
      <c r="J6528" s="2">
        <v>-46.15</v>
      </c>
      <c r="K6528" s="2" t="b">
        <v>0</v>
      </c>
      <c r="L6528" s="2"/>
      <c r="M6528" s="2"/>
      <c r="N6528" s="4" t="s">
        <v>2273</v>
      </c>
      <c r="O6528" s="4" t="str">
        <f>LEFT(Table2[[#This Row],[Description]],75)</f>
        <v>Home Depot</v>
      </c>
      <c r="P6528" s="2" t="s">
        <v>2396</v>
      </c>
    </row>
    <row r="6529" spans="1:16" hidden="1">
      <c r="A6529" s="2">
        <v>202201</v>
      </c>
      <c r="B6529" s="3">
        <v>44572</v>
      </c>
      <c r="C6529" s="2" t="s">
        <v>2262</v>
      </c>
      <c r="D6529" s="2" t="s">
        <v>1188</v>
      </c>
      <c r="E6529" s="2">
        <v>3.74</v>
      </c>
      <c r="F6529" s="2" t="str">
        <f>IF(Table2[[#This Row],[Manual Cat Value]]="",VLOOKUP(Table2[[#This Row],[Description]],'Actuals Lookup'!D:F,3,0),Table2[[#This Row],[Manual Cat Value]])</f>
        <v>Restaurants</v>
      </c>
      <c r="J6529" s="2">
        <v>3.74</v>
      </c>
      <c r="K6529" s="2" t="b">
        <v>0</v>
      </c>
      <c r="L6529" s="2"/>
      <c r="M6529" s="2"/>
      <c r="N6529" s="4" t="s">
        <v>2259</v>
      </c>
      <c r="O6529" s="4" t="str">
        <f>LEFT(Table2[[#This Row],[Description]],75)</f>
        <v>McDonald's</v>
      </c>
      <c r="P6529" s="2" t="s">
        <v>2340</v>
      </c>
    </row>
    <row r="6530" spans="1:16" hidden="1">
      <c r="A6530" s="2">
        <v>202201</v>
      </c>
      <c r="B6530" s="3">
        <v>44572</v>
      </c>
      <c r="C6530" s="2" t="s">
        <v>2262</v>
      </c>
      <c r="D6530" s="2" t="s">
        <v>2043</v>
      </c>
      <c r="E6530" s="2">
        <v>108.09</v>
      </c>
      <c r="F6530" s="2" t="e">
        <f>IF(Table2[[#This Row],[Manual Cat Value]]="",VLOOKUP(Table2[[#This Row],[Description]],'Actuals Lookup'!D:F,3,0),Table2[[#This Row],[Manual Cat Value]])</f>
        <v>#N/A</v>
      </c>
      <c r="J6530" s="2">
        <v>108.09</v>
      </c>
      <c r="K6530" s="2" t="b">
        <v>0</v>
      </c>
      <c r="L6530" s="2"/>
      <c r="M6530" s="2"/>
      <c r="N6530" s="4" t="s">
        <v>2259</v>
      </c>
      <c r="O6530" s="4" t="str">
        <f>LEFT(Table2[[#This Row],[Description]],75)</f>
        <v>TST SMOKE ON THE WATER OKAUCHEE WI</v>
      </c>
      <c r="P6530" s="2" t="s">
        <v>2281</v>
      </c>
    </row>
    <row r="6531" spans="1:16" hidden="1">
      <c r="A6531" s="2">
        <v>202201</v>
      </c>
      <c r="B6531" s="3">
        <v>44573</v>
      </c>
      <c r="C6531" s="2" t="s">
        <v>2262</v>
      </c>
      <c r="D6531" s="2" t="s">
        <v>38</v>
      </c>
      <c r="E6531" s="2">
        <v>225.48</v>
      </c>
      <c r="F6531" s="2" t="str">
        <f>IF(Table2[[#This Row],[Manual Cat Value]]="",VLOOKUP(Table2[[#This Row],[Description]],'Actuals Lookup'!D:F,3,0),Table2[[#This Row],[Manual Cat Value]])</f>
        <v>Amazon</v>
      </c>
      <c r="J6531" s="2">
        <v>225.48</v>
      </c>
      <c r="K6531" s="2" t="b">
        <v>0</v>
      </c>
      <c r="L6531" s="2"/>
      <c r="M6531" s="2"/>
      <c r="N6531" s="4" t="s">
        <v>2259</v>
      </c>
      <c r="O6531" s="4" t="str">
        <f>LEFT(Table2[[#This Row],[Description]],75)</f>
        <v>Amazon</v>
      </c>
      <c r="P6531" s="2" t="s">
        <v>2260</v>
      </c>
    </row>
    <row r="6532" spans="1:16" hidden="1">
      <c r="A6532" s="2">
        <v>202201</v>
      </c>
      <c r="B6532" s="3">
        <v>44573</v>
      </c>
      <c r="C6532" s="2" t="s">
        <v>2262</v>
      </c>
      <c r="D6532" s="2" t="s">
        <v>684</v>
      </c>
      <c r="E6532" s="2">
        <v>98.82</v>
      </c>
      <c r="F6532" s="2" t="str">
        <f>IF(Table2[[#This Row],[Manual Cat Value]]="",VLOOKUP(Table2[[#This Row],[Description]],'Actuals Lookup'!D:F,3,0),Table2[[#This Row],[Manual Cat Value]])</f>
        <v>Groceries</v>
      </c>
      <c r="J6532" s="2">
        <v>98.82</v>
      </c>
      <c r="K6532" s="2" t="b">
        <v>0</v>
      </c>
      <c r="L6532" s="2"/>
      <c r="M6532" s="2"/>
      <c r="N6532" s="4" t="s">
        <v>2259</v>
      </c>
      <c r="O6532" s="4" t="str">
        <f>LEFT(Table2[[#This Row],[Description]],75)</f>
        <v>Cub Foods</v>
      </c>
      <c r="P6532" s="2" t="s">
        <v>2370</v>
      </c>
    </row>
    <row r="6533" spans="1:16" hidden="1">
      <c r="A6533" s="2">
        <v>202201</v>
      </c>
      <c r="B6533" s="3">
        <v>44573</v>
      </c>
      <c r="C6533" s="2" t="s">
        <v>2262</v>
      </c>
      <c r="D6533" s="2" t="s">
        <v>1773</v>
      </c>
      <c r="E6533" s="2">
        <v>15</v>
      </c>
      <c r="F6533" s="2" t="str">
        <f>IF(Table2[[#This Row],[Manual Cat Value]]="",VLOOKUP(Table2[[#This Row],[Description]],'Actuals Lookup'!D:F,3,0),Table2[[#This Row],[Manual Cat Value]])</f>
        <v>Restaurants</v>
      </c>
      <c r="J6533" s="2">
        <v>15</v>
      </c>
      <c r="K6533" s="2" t="b">
        <v>0</v>
      </c>
      <c r="L6533" s="2"/>
      <c r="M6533" s="2"/>
      <c r="N6533" s="4" t="s">
        <v>2259</v>
      </c>
      <c r="O6533" s="4" t="str">
        <f>LEFT(Table2[[#This Row],[Description]],75)</f>
        <v>Starbucks</v>
      </c>
      <c r="P6533" s="2" t="s">
        <v>2454</v>
      </c>
    </row>
    <row r="6534" spans="1:16" hidden="1">
      <c r="A6534" s="2">
        <v>202201</v>
      </c>
      <c r="B6534" s="3">
        <v>44573</v>
      </c>
      <c r="C6534" s="2" t="s">
        <v>2262</v>
      </c>
      <c r="D6534" s="2" t="s">
        <v>2135</v>
      </c>
      <c r="E6534" s="2">
        <v>23.98</v>
      </c>
      <c r="F6534" s="2" t="str">
        <f>IF(Table2[[#This Row],[Manual Cat Value]]="",VLOOKUP(Table2[[#This Row],[Description]],'Actuals Lookup'!D:F,3,0),Table2[[#This Row],[Manual Cat Value]])</f>
        <v>Groceries</v>
      </c>
      <c r="J6534" s="2">
        <v>23.98</v>
      </c>
      <c r="K6534" s="2" t="b">
        <v>0</v>
      </c>
      <c r="L6534" s="2"/>
      <c r="M6534" s="2"/>
      <c r="N6534" s="4" t="s">
        <v>2259</v>
      </c>
      <c r="O6534" s="4" t="str">
        <f>LEFT(Table2[[#This Row],[Description]],75)</f>
        <v>Walgreens</v>
      </c>
      <c r="P6534" s="2" t="s">
        <v>2389</v>
      </c>
    </row>
    <row r="6535" spans="1:16" hidden="1">
      <c r="A6535" s="2">
        <v>202201</v>
      </c>
      <c r="B6535" s="3">
        <v>44574</v>
      </c>
      <c r="C6535" s="2" t="s">
        <v>2262</v>
      </c>
      <c r="D6535" s="2" t="s">
        <v>38</v>
      </c>
      <c r="E6535" s="2">
        <v>18.100000000000001</v>
      </c>
      <c r="F6535" s="2" t="str">
        <f>IF(Table2[[#This Row],[Manual Cat Value]]="",VLOOKUP(Table2[[#This Row],[Description]],'Actuals Lookup'!D:F,3,0),Table2[[#This Row],[Manual Cat Value]])</f>
        <v>Amazon</v>
      </c>
      <c r="J6535" s="2">
        <v>18.100000000000001</v>
      </c>
      <c r="K6535" s="2" t="b">
        <v>0</v>
      </c>
      <c r="L6535" s="2"/>
      <c r="M6535" s="2"/>
      <c r="N6535" s="4" t="s">
        <v>2259</v>
      </c>
      <c r="O6535" s="4" t="str">
        <f>LEFT(Table2[[#This Row],[Description]],75)</f>
        <v>Amazon</v>
      </c>
      <c r="P6535" s="2" t="s">
        <v>2260</v>
      </c>
    </row>
    <row r="6536" spans="1:16" hidden="1">
      <c r="A6536" s="2">
        <v>202201</v>
      </c>
      <c r="B6536" s="3">
        <v>44574</v>
      </c>
      <c r="C6536" s="2" t="s">
        <v>2262</v>
      </c>
      <c r="D6536" s="2" t="s">
        <v>506</v>
      </c>
      <c r="E6536" s="2">
        <v>45</v>
      </c>
      <c r="F6536" s="2" t="str">
        <f>IF(Table2[[#This Row],[Manual Cat Value]]="",VLOOKUP(Table2[[#This Row],[Description]],'Actuals Lookup'!D:F,3,0),Table2[[#This Row],[Manual Cat Value]])</f>
        <v>Utilities</v>
      </c>
      <c r="J6536" s="2">
        <v>45</v>
      </c>
      <c r="K6536" s="2" t="b">
        <v>0</v>
      </c>
      <c r="L6536" s="2"/>
      <c r="M6536" s="2"/>
      <c r="N6536" s="4" t="s">
        <v>2259</v>
      </c>
      <c r="O6536" s="4" t="str">
        <f>LEFT(Table2[[#This Row],[Description]],75)</f>
        <v>CenturyLink</v>
      </c>
      <c r="P6536" s="2" t="s">
        <v>2408</v>
      </c>
    </row>
    <row r="6537" spans="1:16" hidden="1">
      <c r="A6537" s="2">
        <v>202201</v>
      </c>
      <c r="B6537" s="3">
        <v>44574</v>
      </c>
      <c r="C6537" s="2" t="s">
        <v>2265</v>
      </c>
      <c r="D6537" s="2" t="s">
        <v>1807</v>
      </c>
      <c r="E6537" s="2">
        <v>3037.89</v>
      </c>
      <c r="F6537" s="2" t="e">
        <f>IF(Table2[[#This Row],[Manual Cat Value]]="",VLOOKUP(Table2[[#This Row],[Description]],'Actuals Lookup'!D:F,3,0),Table2[[#This Row],[Manual Cat Value]])</f>
        <v>#N/A</v>
      </c>
      <c r="J6537" s="2">
        <v>-3037.89</v>
      </c>
      <c r="K6537" s="2" t="b">
        <v>0</v>
      </c>
      <c r="L6537" s="2"/>
      <c r="M6537" s="2"/>
      <c r="N6537" s="4" t="s">
        <v>2273</v>
      </c>
      <c r="O6537" s="4" t="str">
        <f>LEFT(Table2[[#This Row],[Description]],75)</f>
        <v>SYNTELLIS PERFOR TYPE DIRECT DEP ID CO SYNTELLIS PERFOR ACH ECC PPD ACH Tra</v>
      </c>
      <c r="P6537" s="2" t="s">
        <v>2281</v>
      </c>
    </row>
    <row r="6538" spans="1:16" hidden="1">
      <c r="A6538" s="2">
        <v>202201</v>
      </c>
      <c r="B6538" s="3">
        <v>44575</v>
      </c>
      <c r="C6538" s="2" t="s">
        <v>2265</v>
      </c>
      <c r="D6538" s="2" t="s">
        <v>131</v>
      </c>
      <c r="E6538" s="2">
        <v>102.49</v>
      </c>
      <c r="F6538" s="2" t="str">
        <f>IF(Table2[[#This Row],[Manual Cat Value]]="",VLOOKUP(Table2[[#This Row],[Description]],'Actuals Lookup'!D:F,3,0),Table2[[#This Row],[Manual Cat Value]])</f>
        <v>Insurance</v>
      </c>
      <c r="J6538" s="2">
        <v>102.49</v>
      </c>
      <c r="K6538" s="2" t="b">
        <v>0</v>
      </c>
      <c r="L6538" s="2"/>
      <c r="M6538" s="2"/>
      <c r="N6538" s="4" t="s">
        <v>2259</v>
      </c>
      <c r="O6538" s="4" t="str">
        <f>LEFT(Table2[[#This Row],[Description]],75)</f>
        <v>American Family Insurance</v>
      </c>
      <c r="P6538" s="2" t="s">
        <v>2286</v>
      </c>
    </row>
    <row r="6539" spans="1:16" hidden="1">
      <c r="A6539" s="2">
        <v>202201</v>
      </c>
      <c r="B6539" s="3">
        <v>44575</v>
      </c>
      <c r="C6539" s="2" t="s">
        <v>2262</v>
      </c>
      <c r="D6539" s="2" t="s">
        <v>1079</v>
      </c>
      <c r="E6539" s="2">
        <v>3</v>
      </c>
      <c r="F6539" s="2" t="e">
        <f>IF(Table2[[#This Row],[Manual Cat Value]]="",VLOOKUP(Table2[[#This Row],[Description]],'Actuals Lookup'!D:F,3,0),Table2[[#This Row],[Manual Cat Value]])</f>
        <v>#N/A</v>
      </c>
      <c r="J6539" s="2">
        <v>3</v>
      </c>
      <c r="K6539" s="2" t="b">
        <v>0</v>
      </c>
      <c r="L6539" s="2"/>
      <c r="M6539" s="2"/>
      <c r="N6539" s="4" t="s">
        <v>2259</v>
      </c>
      <c r="O6539" s="4" t="str">
        <f>LEFT(Table2[[#This Row],[Description]],75)</f>
        <v>Kowalski's</v>
      </c>
      <c r="P6539" s="2" t="s">
        <v>2281</v>
      </c>
    </row>
    <row r="6540" spans="1:16" hidden="1">
      <c r="A6540" s="2">
        <v>202201</v>
      </c>
      <c r="B6540" s="3">
        <v>44575</v>
      </c>
      <c r="C6540" s="2" t="s">
        <v>2262</v>
      </c>
      <c r="D6540" s="2" t="s">
        <v>1732</v>
      </c>
      <c r="E6540" s="2">
        <v>35.11</v>
      </c>
      <c r="F6540" s="2" t="e">
        <f>IF(Table2[[#This Row],[Manual Cat Value]]="",VLOOKUP(Table2[[#This Row],[Description]],'Actuals Lookup'!D:F,3,0),Table2[[#This Row],[Manual Cat Value]])</f>
        <v>#N/A</v>
      </c>
      <c r="J6540" s="2">
        <v>35.11</v>
      </c>
      <c r="K6540" s="2" t="b">
        <v>0</v>
      </c>
      <c r="L6540" s="2"/>
      <c r="M6540" s="2"/>
      <c r="N6540" s="4" t="s">
        <v>2259</v>
      </c>
      <c r="O6540" s="4" t="str">
        <f>LEFT(Table2[[#This Row],[Description]],75)</f>
        <v>SQ GOGLOW Edina MN</v>
      </c>
      <c r="P6540" s="2" t="s">
        <v>2281</v>
      </c>
    </row>
    <row r="6541" spans="1:16" hidden="1">
      <c r="A6541" s="2">
        <v>202201</v>
      </c>
      <c r="B6541" s="3">
        <v>44577</v>
      </c>
      <c r="C6541" s="2" t="s">
        <v>2262</v>
      </c>
      <c r="D6541" s="2" t="s">
        <v>538</v>
      </c>
      <c r="E6541" s="2">
        <v>25.54</v>
      </c>
      <c r="F6541" s="2" t="str">
        <f>IF(Table2[[#This Row],[Manual Cat Value]]="",VLOOKUP(Table2[[#This Row],[Description]],'Actuals Lookup'!D:F,3,0),Table2[[#This Row],[Manual Cat Value]])</f>
        <v>Restaurants</v>
      </c>
      <c r="J6541" s="2">
        <v>25.54</v>
      </c>
      <c r="K6541" s="2" t="b">
        <v>0</v>
      </c>
      <c r="L6541" s="2"/>
      <c r="M6541" s="2"/>
      <c r="N6541" s="4" t="s">
        <v>2259</v>
      </c>
      <c r="O6541" s="4" t="str">
        <f>LEFT(Table2[[#This Row],[Description]],75)</f>
        <v>Chick-Fil-A</v>
      </c>
      <c r="P6541" s="2" t="s">
        <v>2470</v>
      </c>
    </row>
    <row r="6542" spans="1:16" hidden="1">
      <c r="A6542" s="2">
        <v>202201</v>
      </c>
      <c r="B6542" s="3">
        <v>44577</v>
      </c>
      <c r="C6542" s="2" t="s">
        <v>2262</v>
      </c>
      <c r="D6542" s="2" t="s">
        <v>1083</v>
      </c>
      <c r="E6542" s="2">
        <v>35.58</v>
      </c>
      <c r="F6542" s="2" t="str">
        <f>IF(Table2[[#This Row],[Manual Cat Value]]="",VLOOKUP(Table2[[#This Row],[Description]],'Actuals Lookup'!D:F,3,0),Table2[[#This Row],[Manual Cat Value]])</f>
        <v>Transportation</v>
      </c>
      <c r="J6542" s="2">
        <v>35.58</v>
      </c>
      <c r="K6542" s="2" t="b">
        <v>0</v>
      </c>
      <c r="L6542" s="2"/>
      <c r="M6542" s="2"/>
      <c r="N6542" s="4" t="s">
        <v>2259</v>
      </c>
      <c r="O6542" s="4" t="str">
        <f>LEFT(Table2[[#This Row],[Description]],75)</f>
        <v>Kwik Trip</v>
      </c>
      <c r="P6542" s="2" t="s">
        <v>2509</v>
      </c>
    </row>
    <row r="6543" spans="1:16" hidden="1">
      <c r="A6543" s="2">
        <v>202201</v>
      </c>
      <c r="B6543" s="3">
        <v>44577</v>
      </c>
      <c r="C6543" s="2" t="s">
        <v>2262</v>
      </c>
      <c r="D6543" s="2" t="s">
        <v>1264</v>
      </c>
      <c r="E6543" s="2">
        <v>3.12</v>
      </c>
      <c r="F6543" s="2" t="e">
        <f>IF(Table2[[#This Row],[Manual Cat Value]]="",VLOOKUP(Table2[[#This Row],[Description]],'Actuals Lookup'!D:F,3,0),Table2[[#This Row],[Manual Cat Value]])</f>
        <v>#N/A</v>
      </c>
      <c r="J6543" s="2">
        <v>3.12</v>
      </c>
      <c r="K6543" s="2" t="b">
        <v>0</v>
      </c>
      <c r="L6543" s="2"/>
      <c r="M6543" s="2"/>
      <c r="N6543" s="4" t="s">
        <v>2259</v>
      </c>
      <c r="O6543" s="4" t="str">
        <f>LEFT(Table2[[#This Row],[Description]],75)</f>
        <v>Minneapolissaint Paul Internatio MINNEAPOLIS AIRPORT SAINT PAUL MN</v>
      </c>
      <c r="P6543" s="2" t="s">
        <v>2281</v>
      </c>
    </row>
    <row r="6544" spans="1:16" hidden="1">
      <c r="A6544" s="2">
        <v>202201</v>
      </c>
      <c r="B6544" s="3">
        <v>44577</v>
      </c>
      <c r="C6544" s="2" t="s">
        <v>2262</v>
      </c>
      <c r="D6544" s="2" t="s">
        <v>1773</v>
      </c>
      <c r="E6544" s="2">
        <v>6.1</v>
      </c>
      <c r="F6544" s="2" t="str">
        <f>IF(Table2[[#This Row],[Manual Cat Value]]="",VLOOKUP(Table2[[#This Row],[Description]],'Actuals Lookup'!D:F,3,0),Table2[[#This Row],[Manual Cat Value]])</f>
        <v>Restaurants</v>
      </c>
      <c r="J6544" s="2">
        <v>6.1</v>
      </c>
      <c r="K6544" s="2" t="b">
        <v>0</v>
      </c>
      <c r="L6544" s="2"/>
      <c r="M6544" s="2"/>
      <c r="N6544" s="4" t="s">
        <v>2259</v>
      </c>
      <c r="O6544" s="4" t="str">
        <f>LEFT(Table2[[#This Row],[Description]],75)</f>
        <v>Starbucks</v>
      </c>
      <c r="P6544" s="2" t="s">
        <v>2454</v>
      </c>
    </row>
    <row r="6545" spans="1:16" hidden="1">
      <c r="A6545" s="2">
        <v>202201</v>
      </c>
      <c r="B6545" s="3">
        <v>44579</v>
      </c>
      <c r="C6545" s="2" t="s">
        <v>2262</v>
      </c>
      <c r="D6545" s="2" t="s">
        <v>1097</v>
      </c>
      <c r="E6545" s="2">
        <v>20.55</v>
      </c>
      <c r="F6545" s="2" t="e">
        <f>IF(Table2[[#This Row],[Manual Cat Value]]="",VLOOKUP(Table2[[#This Row],[Description]],'Actuals Lookup'!D:F,3,0),Table2[[#This Row],[Manual Cat Value]])</f>
        <v>#N/A</v>
      </c>
      <c r="J6545" s="2">
        <v>20.55</v>
      </c>
      <c r="K6545" s="2" t="b">
        <v>0</v>
      </c>
      <c r="L6545" s="2"/>
      <c r="M6545" s="2"/>
      <c r="N6545" s="4" t="s">
        <v>2259</v>
      </c>
      <c r="O6545" s="4" t="str">
        <f>LEFT(Table2[[#This Row],[Description]],75)</f>
        <v>Lakewinds Food Coop LAKEWINDS CHANHASSEN CHANHASSEN MN</v>
      </c>
      <c r="P6545" s="2" t="s">
        <v>2583</v>
      </c>
    </row>
    <row r="6546" spans="1:16" hidden="1">
      <c r="A6546" s="2">
        <v>202201</v>
      </c>
      <c r="B6546" s="3">
        <v>44579</v>
      </c>
      <c r="C6546" s="2" t="s">
        <v>2265</v>
      </c>
      <c r="D6546" s="2" t="s">
        <v>1311</v>
      </c>
      <c r="E6546" s="2">
        <v>200</v>
      </c>
      <c r="F6546" s="2" t="e">
        <f>IF(Table2[[#This Row],[Manual Cat Value]]="",VLOOKUP(Table2[[#This Row],[Description]],'Actuals Lookup'!D:F,3,0),Table2[[#This Row],[Manual Cat Value]])</f>
        <v>#N/A</v>
      </c>
      <c r="J6546" s="2">
        <v>200</v>
      </c>
      <c r="K6546" s="2" t="b">
        <v>0</v>
      </c>
      <c r="L6546" s="2"/>
      <c r="M6546" s="2"/>
      <c r="N6546" s="4" t="s">
        <v>2259</v>
      </c>
      <c r="O6546" s="4" t="str">
        <f>LEFT(Table2[[#This Row],[Description]],75)</f>
        <v>MN DIR ACH TYPE CONTRIB ID CO MN MN DIR ACH TYPE CONTRIB ID CO MN DIR ACH N</v>
      </c>
      <c r="P6546" s="2" t="s">
        <v>2469</v>
      </c>
    </row>
    <row r="6547" spans="1:16" hidden="1">
      <c r="A6547" s="2">
        <v>202201</v>
      </c>
      <c r="B6547" s="3">
        <v>44579</v>
      </c>
      <c r="C6547" s="2" t="s">
        <v>2262</v>
      </c>
      <c r="D6547" s="2" t="s">
        <v>2150</v>
      </c>
      <c r="E6547" s="2">
        <v>133.32</v>
      </c>
      <c r="F6547" s="2" t="e">
        <f>IF(Table2[[#This Row],[Manual Cat Value]]="",VLOOKUP(Table2[[#This Row],[Description]],'Actuals Lookup'!D:F,3,0),Table2[[#This Row],[Manual Cat Value]])</f>
        <v>#N/A</v>
      </c>
      <c r="J6547" s="2">
        <v>133.32</v>
      </c>
      <c r="K6547" s="2" t="b">
        <v>0</v>
      </c>
      <c r="L6547" s="2"/>
      <c r="M6547" s="2"/>
      <c r="N6547" s="4" t="s">
        <v>2259</v>
      </c>
      <c r="O6547" s="4" t="str">
        <f>LEFT(Table2[[#This Row],[Description]],75)</f>
        <v>WEST BAY CLUB BAY HOUSE ESTERO F WEST BAY CLUB BAY HOUSE ESTERO FL</v>
      </c>
      <c r="P6547" s="2" t="s">
        <v>2281</v>
      </c>
    </row>
    <row r="6548" spans="1:16" hidden="1">
      <c r="A6548" s="2">
        <v>202201</v>
      </c>
      <c r="B6548" s="3">
        <v>44580</v>
      </c>
      <c r="C6548" s="2" t="s">
        <v>2265</v>
      </c>
      <c r="D6548" s="2" t="s">
        <v>1196</v>
      </c>
      <c r="E6548" s="2">
        <v>836.35</v>
      </c>
      <c r="F6548" s="2" t="e">
        <f>IF(Table2[[#This Row],[Manual Cat Value]]="",VLOOKUP(Table2[[#This Row],[Description]],'Actuals Lookup'!D:F,3,0),Table2[[#This Row],[Manual Cat Value]])</f>
        <v>#N/A</v>
      </c>
      <c r="J6548" s="2">
        <v>836.35</v>
      </c>
      <c r="K6548" s="2" t="b">
        <v>0</v>
      </c>
      <c r="L6548" s="2"/>
      <c r="M6548" s="2"/>
      <c r="N6548" s="4" t="s">
        <v>2259</v>
      </c>
      <c r="O6548" s="4" t="str">
        <f>LEFT(Table2[[#This Row],[Description]],75)</f>
        <v>MHCHILDCARELLC TYPE DUES ID CO M MHCHILDCARELLC TYPE DUES ID CO MHCHILDCARE</v>
      </c>
      <c r="P6548" s="2" t="s">
        <v>2497</v>
      </c>
    </row>
    <row r="6549" spans="1:16" hidden="1">
      <c r="A6549" s="2">
        <v>202201</v>
      </c>
      <c r="B6549" s="3">
        <v>44580</v>
      </c>
      <c r="C6549" s="2" t="s">
        <v>2262</v>
      </c>
      <c r="D6549" s="2" t="s">
        <v>1541</v>
      </c>
      <c r="E6549" s="2">
        <v>147.97</v>
      </c>
      <c r="F6549" s="2" t="e">
        <f>IF(Table2[[#This Row],[Manual Cat Value]]="",VLOOKUP(Table2[[#This Row],[Description]],'Actuals Lookup'!D:F,3,0),Table2[[#This Row],[Manual Cat Value]])</f>
        <v>#N/A</v>
      </c>
      <c r="J6549" s="2">
        <v>147.97</v>
      </c>
      <c r="K6549" s="2" t="b">
        <v>0</v>
      </c>
      <c r="L6549" s="2"/>
      <c r="M6549" s="2"/>
      <c r="N6549" s="4" t="s">
        <v>2259</v>
      </c>
      <c r="O6549" s="4" t="str">
        <f>LEFT(Table2[[#This Row],[Description]],75)</f>
        <v>Rally House 8006455409 KS</v>
      </c>
      <c r="P6549" s="2" t="s">
        <v>2467</v>
      </c>
    </row>
    <row r="6550" spans="1:16" hidden="1">
      <c r="A6550" s="2">
        <v>202201</v>
      </c>
      <c r="B6550" s="3">
        <v>44580</v>
      </c>
      <c r="C6550" s="2" t="s">
        <v>2262</v>
      </c>
      <c r="D6550" s="2" t="s">
        <v>1604</v>
      </c>
      <c r="E6550" s="2">
        <v>30.3</v>
      </c>
      <c r="F6550" s="2" t="e">
        <f>IF(Table2[[#This Row],[Manual Cat Value]]="",VLOOKUP(Table2[[#This Row],[Description]],'Actuals Lookup'!D:F,3,0),Table2[[#This Row],[Manual Cat Value]])</f>
        <v>#N/A</v>
      </c>
      <c r="J6550" s="2">
        <v>30.3</v>
      </c>
      <c r="K6550" s="2" t="b">
        <v>0</v>
      </c>
      <c r="L6550" s="2"/>
      <c r="M6550" s="2"/>
      <c r="N6550" s="4" t="s">
        <v>2259</v>
      </c>
      <c r="O6550" s="4" t="str">
        <f>LEFT(Table2[[#This Row],[Description]],75)</f>
        <v>RSW BEACHES TRAVELMART FORT MYER RSW BEACHES TRAVELMART FORT MYERS FL</v>
      </c>
      <c r="P6550" s="2" t="s">
        <v>2281</v>
      </c>
    </row>
    <row r="6551" spans="1:16" hidden="1">
      <c r="A6551" s="2">
        <v>202201</v>
      </c>
      <c r="B6551" s="3">
        <v>44580</v>
      </c>
      <c r="C6551" s="2" t="s">
        <v>2262</v>
      </c>
      <c r="D6551" s="2" t="s">
        <v>2089</v>
      </c>
      <c r="E6551" s="2">
        <v>83</v>
      </c>
      <c r="F6551" s="2" t="e">
        <f>IF(Table2[[#This Row],[Manual Cat Value]]="",VLOOKUP(Table2[[#This Row],[Description]],'Actuals Lookup'!D:F,3,0),Table2[[#This Row],[Manual Cat Value]])</f>
        <v>#N/A</v>
      </c>
      <c r="J6551" s="2">
        <v>83</v>
      </c>
      <c r="K6551" s="2" t="b">
        <v>0</v>
      </c>
      <c r="L6551" s="2"/>
      <c r="M6551" s="2"/>
      <c r="N6551" s="4" t="s">
        <v>2259</v>
      </c>
      <c r="O6551" s="4" t="str">
        <f>LEFT(Table2[[#This Row],[Description]],75)</f>
        <v>UNRLCO UNRLMYSHOPIFMN UNRLCO UNRLMYSHOPIFMN</v>
      </c>
      <c r="P6551" s="2" t="s">
        <v>2281</v>
      </c>
    </row>
    <row r="6552" spans="1:16" hidden="1">
      <c r="A6552" s="2">
        <v>202201</v>
      </c>
      <c r="B6552" s="3">
        <v>44581</v>
      </c>
      <c r="C6552" s="2" t="s">
        <v>2265</v>
      </c>
      <c r="D6552" s="2" t="s">
        <v>1986</v>
      </c>
      <c r="E6552" s="2">
        <v>125</v>
      </c>
      <c r="F6552" s="2" t="e">
        <f>IF(Table2[[#This Row],[Manual Cat Value]]="",VLOOKUP(Table2[[#This Row],[Description]],'Actuals Lookup'!D:F,3,0),Table2[[#This Row],[Manual Cat Value]])</f>
        <v>#N/A</v>
      </c>
      <c r="J6552" s="2">
        <v>125</v>
      </c>
      <c r="K6552" s="2" t="b">
        <v>0</v>
      </c>
      <c r="L6552" s="2"/>
      <c r="M6552" s="2"/>
      <c r="N6552" s="4" t="s">
        <v>2259</v>
      </c>
      <c r="O6552" s="4" t="str">
        <f>LEFT(Table2[[#This Row],[Description]],75)</f>
        <v>Transfer to Venmo VENMO TYPE PAYMENT ID CO VENMO NAME BRITNEY TRUITT ACH EC</v>
      </c>
      <c r="P6552" s="2" t="s">
        <v>2281</v>
      </c>
    </row>
    <row r="6553" spans="1:16" hidden="1">
      <c r="A6553" s="2">
        <v>202201</v>
      </c>
      <c r="B6553" s="3">
        <v>44581</v>
      </c>
      <c r="C6553" s="2" t="s">
        <v>2265</v>
      </c>
      <c r="D6553" s="2" t="s">
        <v>414</v>
      </c>
      <c r="E6553" s="2">
        <v>2578.2600000000002</v>
      </c>
      <c r="F6553" s="2" t="e">
        <f>IF(Table2[[#This Row],[Manual Cat Value]]="",VLOOKUP(Table2[[#This Row],[Description]],'Actuals Lookup'!D:F,3,0),Table2[[#This Row],[Manual Cat Value]])</f>
        <v>#N/A</v>
      </c>
      <c r="J6553" s="2">
        <v>-2578.2600000000002</v>
      </c>
      <c r="K6553" s="2" t="b">
        <v>0</v>
      </c>
      <c r="L6553" s="2"/>
      <c r="M6553" s="2"/>
      <c r="N6553" s="4" t="s">
        <v>2273</v>
      </c>
      <c r="O6553" s="4" t="str">
        <f>LEFT(Table2[[#This Row],[Description]],75)</f>
        <v>Cargill Inc Deposit CARGILL INCORPOR TYPE DIRECT DEP ID CO CARGILL INCORPOR</v>
      </c>
      <c r="P6553" s="2" t="s">
        <v>2545</v>
      </c>
    </row>
    <row r="6554" spans="1:16" hidden="1">
      <c r="A6554" s="2">
        <v>202201</v>
      </c>
      <c r="B6554" s="3">
        <v>44582</v>
      </c>
      <c r="C6554" s="2" t="s">
        <v>2262</v>
      </c>
      <c r="D6554" s="2" t="s">
        <v>307</v>
      </c>
      <c r="E6554" s="2">
        <v>9</v>
      </c>
      <c r="F6554" s="2" t="e">
        <f>IF(Table2[[#This Row],[Manual Cat Value]]="",VLOOKUP(Table2[[#This Row],[Description]],'Actuals Lookup'!D:F,3,0),Table2[[#This Row],[Manual Cat Value]])</f>
        <v>#N/A</v>
      </c>
      <c r="J6554" s="2">
        <v>9</v>
      </c>
      <c r="K6554" s="2" t="b">
        <v>0</v>
      </c>
      <c r="L6554" s="2"/>
      <c r="M6554" s="2"/>
      <c r="N6554" s="4" t="s">
        <v>2259</v>
      </c>
      <c r="O6554" s="4" t="str">
        <f>LEFT(Table2[[#This Row],[Description]],75)</f>
        <v>Bonfes Plumbing Heating &amp; Air Services</v>
      </c>
      <c r="P6554" s="2" t="s">
        <v>2537</v>
      </c>
    </row>
    <row r="6555" spans="1:16" hidden="1">
      <c r="A6555" s="2">
        <v>202201</v>
      </c>
      <c r="B6555" s="3">
        <v>44582</v>
      </c>
      <c r="C6555" s="2" t="s">
        <v>2262</v>
      </c>
      <c r="D6555" s="2" t="s">
        <v>543</v>
      </c>
      <c r="E6555" s="2">
        <v>31.78</v>
      </c>
      <c r="F6555" s="2" t="e">
        <f>IF(Table2[[#This Row],[Manual Cat Value]]="",VLOOKUP(Table2[[#This Row],[Description]],'Actuals Lookup'!D:F,3,0),Table2[[#This Row],[Manual Cat Value]])</f>
        <v>#N/A</v>
      </c>
      <c r="J6555" s="2">
        <v>31.78</v>
      </c>
      <c r="K6555" s="2" t="b">
        <v>0</v>
      </c>
      <c r="L6555" s="2"/>
      <c r="M6555" s="2"/>
      <c r="N6555" s="4" t="s">
        <v>2259</v>
      </c>
      <c r="O6555" s="4" t="str">
        <f>LEFT(Table2[[#This Row],[Description]],75)</f>
        <v>Chipotle</v>
      </c>
      <c r="P6555" s="2" t="s">
        <v>2341</v>
      </c>
    </row>
    <row r="6556" spans="1:16" hidden="1">
      <c r="A6556" s="2">
        <v>202201</v>
      </c>
      <c r="B6556" s="3">
        <v>44582</v>
      </c>
      <c r="C6556" s="2" t="s">
        <v>2265</v>
      </c>
      <c r="D6556" s="2" t="s">
        <v>557</v>
      </c>
      <c r="E6556" s="2">
        <v>52.74</v>
      </c>
      <c r="F6556" s="2" t="e">
        <f>IF(Table2[[#This Row],[Manual Cat Value]]="",VLOOKUP(Table2[[#This Row],[Description]],'Actuals Lookup'!D:F,3,0),Table2[[#This Row],[Manual Cat Value]])</f>
        <v>#N/A</v>
      </c>
      <c r="J6556" s="2">
        <v>52.74</v>
      </c>
      <c r="K6556" s="2" t="b">
        <v>0</v>
      </c>
      <c r="L6556" s="2"/>
      <c r="M6556" s="2"/>
      <c r="N6556" s="4" t="s">
        <v>2259</v>
      </c>
      <c r="O6556" s="4" t="str">
        <f>LEFT(Table2[[#This Row],[Description]],75)</f>
        <v>City of Chanhassen</v>
      </c>
      <c r="P6556" s="2" t="s">
        <v>2298</v>
      </c>
    </row>
    <row r="6557" spans="1:16" hidden="1">
      <c r="A6557" s="2">
        <v>202201</v>
      </c>
      <c r="B6557" s="3">
        <v>44582</v>
      </c>
      <c r="C6557" s="2" t="s">
        <v>2265</v>
      </c>
      <c r="D6557" s="2" t="s">
        <v>1471</v>
      </c>
      <c r="E6557" s="2">
        <v>15.11</v>
      </c>
      <c r="F6557" s="2" t="str">
        <f>IF(Table2[[#This Row],[Manual Cat Value]]="",VLOOKUP(Table2[[#This Row],[Description]],'Actuals Lookup'!D:F,3,0),Table2[[#This Row],[Manual Cat Value]])</f>
        <v>Shopping</v>
      </c>
      <c r="J6557" s="2">
        <v>15.11</v>
      </c>
      <c r="K6557" s="2" t="b">
        <v>0</v>
      </c>
      <c r="L6557" s="2"/>
      <c r="M6557" s="2"/>
      <c r="N6557" s="4" t="s">
        <v>2259</v>
      </c>
      <c r="O6557" s="4" t="str">
        <f>LEFT(Table2[[#This Row],[Description]],75)</f>
        <v>PayPal</v>
      </c>
      <c r="P6557" s="2" t="s">
        <v>2322</v>
      </c>
    </row>
    <row r="6558" spans="1:16" hidden="1">
      <c r="A6558" s="2">
        <v>202201</v>
      </c>
      <c r="B6558" s="3">
        <v>44582</v>
      </c>
      <c r="C6558" s="2" t="s">
        <v>2338</v>
      </c>
      <c r="D6558" s="2" t="s">
        <v>1820</v>
      </c>
      <c r="E6558" s="2">
        <v>865.38</v>
      </c>
      <c r="F6558" s="2" t="e">
        <f>IF(Table2[[#This Row],[Manual Cat Value]]="",VLOOKUP(Table2[[#This Row],[Description]],'Actuals Lookup'!D:F,3,0),Table2[[#This Row],[Manual Cat Value]])</f>
        <v>#N/A</v>
      </c>
      <c r="J6558" s="2">
        <v>-865.38</v>
      </c>
      <c r="K6558" s="2" t="b">
        <v>0</v>
      </c>
      <c r="L6558" s="2"/>
      <c r="M6558" s="2"/>
      <c r="N6558" s="4" t="s">
        <v>2273</v>
      </c>
      <c r="O6558" s="4" t="str">
        <f>LEFT(Table2[[#This Row],[Description]],75)</f>
        <v>Target Retire 2055 Tr P - Plan Contribution</v>
      </c>
      <c r="P6558" s="2" t="s">
        <v>2386</v>
      </c>
    </row>
    <row r="6559" spans="1:16" hidden="1">
      <c r="A6559" s="2">
        <v>202201</v>
      </c>
      <c r="B6559" s="3">
        <v>44584</v>
      </c>
      <c r="C6559" s="2" t="s">
        <v>2262</v>
      </c>
      <c r="D6559" s="2" t="s">
        <v>648</v>
      </c>
      <c r="E6559" s="2">
        <v>418.44</v>
      </c>
      <c r="F6559" s="2" t="str">
        <f>IF(Table2[[#This Row],[Manual Cat Value]]="",VLOOKUP(Table2[[#This Row],[Description]],'Actuals Lookup'!D:F,3,0),Table2[[#This Row],[Manual Cat Value]])</f>
        <v>Groceries</v>
      </c>
      <c r="J6559" s="2">
        <v>418.44</v>
      </c>
      <c r="K6559" s="2" t="b">
        <v>0</v>
      </c>
      <c r="L6559" s="2"/>
      <c r="M6559" s="2"/>
      <c r="N6559" s="4" t="s">
        <v>2259</v>
      </c>
      <c r="O6559" s="4" t="str">
        <f>LEFT(Table2[[#This Row],[Description]],75)</f>
        <v>Costco</v>
      </c>
      <c r="P6559" s="2" t="s">
        <v>2409</v>
      </c>
    </row>
    <row r="6560" spans="1:16" hidden="1">
      <c r="A6560" s="2">
        <v>202201</v>
      </c>
      <c r="B6560" s="3">
        <v>44584</v>
      </c>
      <c r="C6560" s="2" t="s">
        <v>2262</v>
      </c>
      <c r="D6560" s="2" t="s">
        <v>947</v>
      </c>
      <c r="E6560" s="2">
        <v>19.309999999999999</v>
      </c>
      <c r="F6560" s="2" t="e">
        <f>IF(Table2[[#This Row],[Manual Cat Value]]="",VLOOKUP(Table2[[#This Row],[Description]],'Actuals Lookup'!D:F,3,0),Table2[[#This Row],[Manual Cat Value]])</f>
        <v>#N/A</v>
      </c>
      <c r="J6560" s="2">
        <v>19.309999999999999</v>
      </c>
      <c r="K6560" s="2" t="b">
        <v>0</v>
      </c>
      <c r="L6560" s="2"/>
      <c r="M6560" s="2"/>
      <c r="N6560" s="4" t="s">
        <v>2259</v>
      </c>
      <c r="O6560" s="4" t="str">
        <f>LEFT(Table2[[#This Row],[Description]],75)</f>
        <v>Home Depot</v>
      </c>
      <c r="P6560" s="2" t="s">
        <v>2396</v>
      </c>
    </row>
    <row r="6561" spans="1:16" hidden="1">
      <c r="A6561" s="2">
        <v>202201</v>
      </c>
      <c r="B6561" s="3">
        <v>44584</v>
      </c>
      <c r="C6561" s="2" t="s">
        <v>2262</v>
      </c>
      <c r="D6561" s="2" t="s">
        <v>1083</v>
      </c>
      <c r="E6561" s="2">
        <v>48.95</v>
      </c>
      <c r="F6561" s="2" t="str">
        <f>IF(Table2[[#This Row],[Manual Cat Value]]="",VLOOKUP(Table2[[#This Row],[Description]],'Actuals Lookup'!D:F,3,0),Table2[[#This Row],[Manual Cat Value]])</f>
        <v>Transportation</v>
      </c>
      <c r="J6561" s="2">
        <v>48.95</v>
      </c>
      <c r="K6561" s="2" t="b">
        <v>0</v>
      </c>
      <c r="L6561" s="2"/>
      <c r="M6561" s="2"/>
      <c r="N6561" s="4" t="s">
        <v>2259</v>
      </c>
      <c r="O6561" s="4" t="str">
        <f>LEFT(Table2[[#This Row],[Description]],75)</f>
        <v>Kwik Trip</v>
      </c>
      <c r="P6561" s="2" t="s">
        <v>2509</v>
      </c>
    </row>
    <row r="6562" spans="1:16" hidden="1">
      <c r="A6562" s="2">
        <v>202201</v>
      </c>
      <c r="B6562" s="3">
        <v>44584</v>
      </c>
      <c r="C6562" s="2" t="s">
        <v>2262</v>
      </c>
      <c r="D6562" s="2" t="s">
        <v>1396</v>
      </c>
      <c r="E6562" s="2">
        <v>30.88</v>
      </c>
      <c r="F6562" s="2" t="str">
        <f>IF(Table2[[#This Row],[Manual Cat Value]]="",VLOOKUP(Table2[[#This Row],[Description]],'Actuals Lookup'!D:F,3,0),Table2[[#This Row],[Manual Cat Value]])</f>
        <v>Restaurants</v>
      </c>
      <c r="J6562" s="2">
        <v>30.88</v>
      </c>
      <c r="K6562" s="2" t="b">
        <v>0</v>
      </c>
      <c r="L6562" s="2"/>
      <c r="M6562" s="2"/>
      <c r="N6562" s="4" t="s">
        <v>2259</v>
      </c>
      <c r="O6562" s="4" t="str">
        <f>LEFT(Table2[[#This Row],[Description]],75)</f>
        <v>Papa Murphy's</v>
      </c>
      <c r="P6562" s="2" t="s">
        <v>2473</v>
      </c>
    </row>
    <row r="6563" spans="1:16" hidden="1">
      <c r="A6563" s="2">
        <v>202201</v>
      </c>
      <c r="B6563" s="3">
        <v>44584</v>
      </c>
      <c r="C6563" s="2" t="s">
        <v>2300</v>
      </c>
      <c r="D6563" s="2" t="s">
        <v>1648</v>
      </c>
      <c r="E6563" s="2">
        <v>100</v>
      </c>
      <c r="F6563" s="2" t="e">
        <f>IF(Table2[[#This Row],[Manual Cat Value]]="",VLOOKUP(Table2[[#This Row],[Description]],'Actuals Lookup'!D:F,3,0),Table2[[#This Row],[Manual Cat Value]])</f>
        <v>#N/A</v>
      </c>
      <c r="J6563" s="2">
        <v>-100</v>
      </c>
      <c r="K6563" s="2" t="b">
        <v>0</v>
      </c>
      <c r="L6563" s="2"/>
      <c r="M6563" s="2"/>
      <c r="N6563" s="4" t="s">
        <v>2273</v>
      </c>
      <c r="O6563" s="4" t="str">
        <f>LEFT(Table2[[#This Row],[Description]],75)</f>
        <v>Share</v>
      </c>
      <c r="P6563" s="2" t="s">
        <v>2448</v>
      </c>
    </row>
    <row r="6564" spans="1:16" hidden="1">
      <c r="A6564" s="2">
        <v>202201</v>
      </c>
      <c r="B6564" s="3">
        <v>44584</v>
      </c>
      <c r="C6564" s="2" t="s">
        <v>2265</v>
      </c>
      <c r="D6564" s="2" t="s">
        <v>1892</v>
      </c>
      <c r="E6564" s="2">
        <v>100</v>
      </c>
      <c r="F6564" s="2" t="e">
        <f>IF(Table2[[#This Row],[Manual Cat Value]]="",VLOOKUP(Table2[[#This Row],[Description]],'Actuals Lookup'!D:F,3,0),Table2[[#This Row],[Manual Cat Value]])</f>
        <v>#N/A</v>
      </c>
      <c r="J6564" s="2">
        <v>100</v>
      </c>
      <c r="K6564" s="2" t="b">
        <v>0</v>
      </c>
      <c r="L6564" s="2"/>
      <c r="M6564" s="2"/>
      <c r="N6564" s="4" t="s">
        <v>2259</v>
      </c>
      <c r="O6564" s="4" t="str">
        <f>LEFT(Table2[[#This Row],[Description]],75)</f>
        <v>To Share 12</v>
      </c>
      <c r="P6564" s="2" t="s">
        <v>2494</v>
      </c>
    </row>
    <row r="6565" spans="1:16" hidden="1">
      <c r="A6565" s="2">
        <v>202201</v>
      </c>
      <c r="B6565" s="3">
        <v>44584</v>
      </c>
      <c r="C6565" s="2" t="s">
        <v>2262</v>
      </c>
      <c r="D6565" s="2" t="s">
        <v>2135</v>
      </c>
      <c r="E6565" s="2">
        <v>47.98</v>
      </c>
      <c r="F6565" s="2" t="str">
        <f>IF(Table2[[#This Row],[Manual Cat Value]]="",VLOOKUP(Table2[[#This Row],[Description]],'Actuals Lookup'!D:F,3,0),Table2[[#This Row],[Manual Cat Value]])</f>
        <v>Groceries</v>
      </c>
      <c r="J6565" s="2">
        <v>47.98</v>
      </c>
      <c r="K6565" s="2" t="b">
        <v>0</v>
      </c>
      <c r="L6565" s="2"/>
      <c r="M6565" s="2"/>
      <c r="N6565" s="4" t="s">
        <v>2259</v>
      </c>
      <c r="O6565" s="4" t="str">
        <f>LEFT(Table2[[#This Row],[Description]],75)</f>
        <v>Walgreens</v>
      </c>
      <c r="P6565" s="2" t="s">
        <v>2389</v>
      </c>
    </row>
    <row r="6566" spans="1:16" hidden="1">
      <c r="A6566" s="2">
        <v>202201</v>
      </c>
      <c r="B6566" s="3">
        <v>44584</v>
      </c>
      <c r="C6566" s="2" t="s">
        <v>2262</v>
      </c>
      <c r="D6566" s="2" t="s">
        <v>2135</v>
      </c>
      <c r="E6566" s="2">
        <v>95.96</v>
      </c>
      <c r="F6566" s="2" t="str">
        <f>IF(Table2[[#This Row],[Manual Cat Value]]="",VLOOKUP(Table2[[#This Row],[Description]],'Actuals Lookup'!D:F,3,0),Table2[[#This Row],[Manual Cat Value]])</f>
        <v>Groceries</v>
      </c>
      <c r="J6566" s="2">
        <v>95.96</v>
      </c>
      <c r="K6566" s="2" t="b">
        <v>0</v>
      </c>
      <c r="L6566" s="2"/>
      <c r="M6566" s="2"/>
      <c r="N6566" s="4" t="s">
        <v>2259</v>
      </c>
      <c r="O6566" s="4" t="str">
        <f>LEFT(Table2[[#This Row],[Description]],75)</f>
        <v>Walgreens</v>
      </c>
      <c r="P6566" s="2" t="s">
        <v>2389</v>
      </c>
    </row>
    <row r="6567" spans="1:16" hidden="1">
      <c r="A6567" s="2">
        <v>202201</v>
      </c>
      <c r="B6567" s="3">
        <v>44585</v>
      </c>
      <c r="C6567" s="2" t="s">
        <v>2262</v>
      </c>
      <c r="D6567" s="2" t="s">
        <v>674</v>
      </c>
      <c r="E6567" s="2">
        <v>1946.66</v>
      </c>
      <c r="F6567" s="2" t="e">
        <f>IF(Table2[[#This Row],[Manual Cat Value]]="",VLOOKUP(Table2[[#This Row],[Description]],'Actuals Lookup'!D:F,3,0),Table2[[#This Row],[Manual Cat Value]])</f>
        <v>#N/A</v>
      </c>
      <c r="J6567" s="2">
        <v>-1946.66</v>
      </c>
      <c r="K6567" s="2" t="b">
        <v>0</v>
      </c>
      <c r="L6567" s="2"/>
      <c r="M6567" s="2"/>
      <c r="N6567" s="4" t="s">
        <v>2273</v>
      </c>
      <c r="O6567" s="4" t="str">
        <f>LEFT(Table2[[#This Row],[Description]],75)</f>
        <v>Credit Card Payment Received PAYMENT THANK YOU</v>
      </c>
      <c r="P6567" s="2" t="s">
        <v>2560</v>
      </c>
    </row>
    <row r="6568" spans="1:16" hidden="1">
      <c r="A6568" s="2">
        <v>202201</v>
      </c>
      <c r="B6568" s="3">
        <v>44585</v>
      </c>
      <c r="C6568" s="2" t="s">
        <v>2265</v>
      </c>
      <c r="D6568" s="2" t="s">
        <v>2203</v>
      </c>
      <c r="E6568" s="2">
        <v>1946.66</v>
      </c>
      <c r="F6568" s="2" t="e">
        <f>IF(Table2[[#This Row],[Manual Cat Value]]="",VLOOKUP(Table2[[#This Row],[Description]],'Actuals Lookup'!D:F,3,0),Table2[[#This Row],[Manual Cat Value]])</f>
        <v>#N/A</v>
      </c>
      <c r="J6568" s="2">
        <v>1946.66</v>
      </c>
      <c r="K6568" s="2" t="b">
        <v>0</v>
      </c>
      <c r="L6568" s="2"/>
      <c r="M6568" s="2"/>
      <c r="N6568" s="4" t="s">
        <v>2259</v>
      </c>
      <c r="O6568" s="4" t="str">
        <f>LEFT(Table2[[#This Row],[Description]],75)</f>
        <v>Withdrawal Home payment to card XX91 Withdrawal Home payment to card 979181</v>
      </c>
      <c r="P6568" s="2" t="s">
        <v>2559</v>
      </c>
    </row>
    <row r="6569" spans="1:16" hidden="1">
      <c r="A6569" s="2">
        <v>202201</v>
      </c>
      <c r="B6569" s="3">
        <v>44585</v>
      </c>
      <c r="C6569" s="2" t="s">
        <v>2262</v>
      </c>
      <c r="D6569" s="2" t="s">
        <v>559</v>
      </c>
      <c r="E6569" s="2">
        <v>32</v>
      </c>
      <c r="F6569" s="2" t="e">
        <f>IF(Table2[[#This Row],[Manual Cat Value]]="",VLOOKUP(Table2[[#This Row],[Description]],'Actuals Lookup'!D:F,3,0),Table2[[#This Row],[Manual Cat Value]])</f>
        <v>#N/A</v>
      </c>
      <c r="J6569" s="2">
        <v>32</v>
      </c>
      <c r="K6569" s="2" t="b">
        <v>0</v>
      </c>
      <c r="L6569" s="2"/>
      <c r="M6569" s="2"/>
      <c r="N6569" s="4" t="s">
        <v>2259</v>
      </c>
      <c r="O6569" s="4" t="str">
        <f>LEFT(Table2[[#This Row],[Description]],75)</f>
        <v>City of Minnetonka</v>
      </c>
      <c r="P6569" s="2" t="s">
        <v>2281</v>
      </c>
    </row>
    <row r="6570" spans="1:16" hidden="1">
      <c r="A6570" s="2">
        <v>202201</v>
      </c>
      <c r="B6570" s="3">
        <v>44585</v>
      </c>
      <c r="C6570" s="2" t="s">
        <v>2262</v>
      </c>
      <c r="D6570" s="2" t="s">
        <v>947</v>
      </c>
      <c r="E6570" s="2">
        <v>4.24</v>
      </c>
      <c r="F6570" s="2" t="e">
        <f>IF(Table2[[#This Row],[Manual Cat Value]]="",VLOOKUP(Table2[[#This Row],[Description]],'Actuals Lookup'!D:F,3,0),Table2[[#This Row],[Manual Cat Value]])</f>
        <v>#N/A</v>
      </c>
      <c r="J6570" s="2">
        <v>4.24</v>
      </c>
      <c r="K6570" s="2" t="b">
        <v>0</v>
      </c>
      <c r="L6570" s="2"/>
      <c r="M6570" s="2"/>
      <c r="N6570" s="4" t="s">
        <v>2259</v>
      </c>
      <c r="O6570" s="4" t="str">
        <f>LEFT(Table2[[#This Row],[Description]],75)</f>
        <v>Home Depot</v>
      </c>
      <c r="P6570" s="2" t="s">
        <v>2396</v>
      </c>
    </row>
    <row r="6571" spans="1:16" hidden="1">
      <c r="A6571" s="2">
        <v>202201</v>
      </c>
      <c r="B6571" s="3">
        <v>44585</v>
      </c>
      <c r="C6571" s="2" t="s">
        <v>2262</v>
      </c>
      <c r="D6571" s="2" t="s">
        <v>1187</v>
      </c>
      <c r="E6571" s="2">
        <v>7.63</v>
      </c>
      <c r="F6571" s="2" t="e">
        <f>IF(Table2[[#This Row],[Manual Cat Value]]="",VLOOKUP(Table2[[#This Row],[Description]],'Actuals Lookup'!D:F,3,0),Table2[[#This Row],[Manual Cat Value]])</f>
        <v>#N/A</v>
      </c>
      <c r="J6571" s="2">
        <v>7.63</v>
      </c>
      <c r="K6571" s="2" t="b">
        <v>0</v>
      </c>
      <c r="L6571" s="2"/>
      <c r="M6571" s="2"/>
      <c r="N6571" s="4" t="s">
        <v>2259</v>
      </c>
      <c r="O6571" s="4" t="str">
        <f>LEFT(Table2[[#This Row],[Description]],75)</f>
        <v>Maynards Restaurant MAYNARDS EXCELSIOR EXCELSIOR MN</v>
      </c>
      <c r="P6571" s="2" t="s">
        <v>2504</v>
      </c>
    </row>
    <row r="6572" spans="1:16" hidden="1">
      <c r="A6572" s="2">
        <v>202201</v>
      </c>
      <c r="B6572" s="3">
        <v>44585</v>
      </c>
      <c r="C6572" s="2" t="s">
        <v>2262</v>
      </c>
      <c r="D6572" s="2" t="s">
        <v>1187</v>
      </c>
      <c r="E6572" s="2">
        <v>59.03</v>
      </c>
      <c r="F6572" s="2" t="e">
        <f>IF(Table2[[#This Row],[Manual Cat Value]]="",VLOOKUP(Table2[[#This Row],[Description]],'Actuals Lookup'!D:F,3,0),Table2[[#This Row],[Manual Cat Value]])</f>
        <v>#N/A</v>
      </c>
      <c r="J6572" s="2">
        <v>59.03</v>
      </c>
      <c r="K6572" s="2" t="b">
        <v>0</v>
      </c>
      <c r="L6572" s="2"/>
      <c r="M6572" s="2"/>
      <c r="N6572" s="4" t="s">
        <v>2259</v>
      </c>
      <c r="O6572" s="4" t="str">
        <f>LEFT(Table2[[#This Row],[Description]],75)</f>
        <v>Maynards Restaurant MAYNARDS EXCELSIOR EXCELSIOR MN</v>
      </c>
      <c r="P6572" s="2" t="s">
        <v>2504</v>
      </c>
    </row>
    <row r="6573" spans="1:16" hidden="1">
      <c r="A6573" s="2">
        <v>202201</v>
      </c>
      <c r="B6573" s="3">
        <v>44586</v>
      </c>
      <c r="C6573" s="2" t="s">
        <v>2265</v>
      </c>
      <c r="D6573" s="2" t="s">
        <v>1983</v>
      </c>
      <c r="E6573" s="2">
        <v>50</v>
      </c>
      <c r="F6573" s="2" t="e">
        <f>IF(Table2[[#This Row],[Manual Cat Value]]="",VLOOKUP(Table2[[#This Row],[Description]],'Actuals Lookup'!D:F,3,0),Table2[[#This Row],[Manual Cat Value]])</f>
        <v>#N/A</v>
      </c>
      <c r="J6573" s="2">
        <v>50</v>
      </c>
      <c r="K6573" s="2" t="b">
        <v>0</v>
      </c>
      <c r="L6573" s="2"/>
      <c r="M6573" s="2"/>
      <c r="N6573" s="4" t="s">
        <v>2259</v>
      </c>
      <c r="O6573" s="4" t="str">
        <f>LEFT(Table2[[#This Row],[Description]],75)</f>
        <v>Transfer to Venmo VENMO TYPE PAYMENT ID CO VENMO NAME BRITNEY TRUITT ACH EC</v>
      </c>
      <c r="P6573" s="2" t="s">
        <v>2281</v>
      </c>
    </row>
    <row r="6574" spans="1:16" hidden="1">
      <c r="A6574" s="2">
        <v>202201</v>
      </c>
      <c r="B6574" s="3">
        <v>44586</v>
      </c>
      <c r="C6574" s="2" t="s">
        <v>2265</v>
      </c>
      <c r="D6574" s="2" t="s">
        <v>31</v>
      </c>
      <c r="E6574" s="2">
        <v>579.54</v>
      </c>
      <c r="F6574" s="2" t="str">
        <f>IF(Table2[[#This Row],[Manual Cat Value]]="",VLOOKUP(Table2[[#This Row],[Description]],'Actuals Lookup'!D:F,3,0),Table2[[#This Row],[Manual Cat Value]])</f>
        <v>Target</v>
      </c>
      <c r="J6574" s="2">
        <v>579.54</v>
      </c>
      <c r="K6574" s="2" t="b">
        <v>0</v>
      </c>
      <c r="L6574" s="2"/>
      <c r="M6574" s="2"/>
      <c r="N6574" s="4" t="s">
        <v>2259</v>
      </c>
      <c r="O6574" s="4" t="str">
        <f>LEFT(Table2[[#This Row],[Description]],75)</f>
        <v>Target</v>
      </c>
      <c r="P6574" s="2" t="s">
        <v>2309</v>
      </c>
    </row>
    <row r="6575" spans="1:16" hidden="1">
      <c r="A6575" s="2">
        <v>202201</v>
      </c>
      <c r="B6575" s="3">
        <v>44587</v>
      </c>
      <c r="C6575" s="2" t="s">
        <v>2265</v>
      </c>
      <c r="D6575" s="2" t="s">
        <v>494</v>
      </c>
      <c r="E6575" s="2">
        <v>163.71</v>
      </c>
      <c r="F6575" s="2" t="str">
        <f>IF(Table2[[#This Row],[Manual Cat Value]]="",VLOOKUP(Table2[[#This Row],[Description]],'Actuals Lookup'!D:F,3,0),Table2[[#This Row],[Manual Cat Value]])</f>
        <v>Utilities</v>
      </c>
      <c r="J6575" s="2">
        <v>163.71</v>
      </c>
      <c r="K6575" s="2" t="b">
        <v>0</v>
      </c>
      <c r="L6575" s="2"/>
      <c r="M6575" s="2"/>
      <c r="N6575" s="4" t="s">
        <v>2259</v>
      </c>
      <c r="O6575" s="4" t="str">
        <f>LEFT(Table2[[#This Row],[Description]],75)</f>
        <v>CenterPoint Energy</v>
      </c>
      <c r="P6575" s="2" t="s">
        <v>2546</v>
      </c>
    </row>
    <row r="6576" spans="1:16" hidden="1">
      <c r="A6576" s="2">
        <v>202201</v>
      </c>
      <c r="B6576" s="3">
        <v>44587</v>
      </c>
      <c r="C6576" s="2" t="s">
        <v>2265</v>
      </c>
      <c r="D6576" s="2" t="s">
        <v>1196</v>
      </c>
      <c r="E6576" s="2">
        <v>536.29999999999995</v>
      </c>
      <c r="F6576" s="2" t="e">
        <f>IF(Table2[[#This Row],[Manual Cat Value]]="",VLOOKUP(Table2[[#This Row],[Description]],'Actuals Lookup'!D:F,3,0),Table2[[#This Row],[Manual Cat Value]])</f>
        <v>#N/A</v>
      </c>
      <c r="J6576" s="2">
        <v>536.29999999999995</v>
      </c>
      <c r="K6576" s="2" t="b">
        <v>0</v>
      </c>
      <c r="L6576" s="2"/>
      <c r="M6576" s="2"/>
      <c r="N6576" s="4" t="s">
        <v>2259</v>
      </c>
      <c r="O6576" s="4" t="str">
        <f>LEFT(Table2[[#This Row],[Description]],75)</f>
        <v>MHCHILDCARELLC TYPE DUES ID CO M MHCHILDCARELLC TYPE DUES ID CO MHCHILDCARE</v>
      </c>
      <c r="P6576" s="2" t="s">
        <v>2497</v>
      </c>
    </row>
    <row r="6577" spans="1:16" hidden="1">
      <c r="A6577" s="2">
        <v>202201</v>
      </c>
      <c r="B6577" s="3">
        <v>44587</v>
      </c>
      <c r="C6577" s="2" t="s">
        <v>2447</v>
      </c>
      <c r="D6577" s="2" t="s">
        <v>1350</v>
      </c>
      <c r="E6577" s="2">
        <v>8.99</v>
      </c>
      <c r="F6577" s="2" t="str">
        <f>IF(Table2[[#This Row],[Manual Cat Value]]="",VLOOKUP(Table2[[#This Row],[Description]],'Actuals Lookup'!D:F,3,0),Table2[[#This Row],[Manual Cat Value]])</f>
        <v>Utilities</v>
      </c>
      <c r="J6577" s="2">
        <v>8.99</v>
      </c>
      <c r="K6577" s="2" t="b">
        <v>0</v>
      </c>
      <c r="L6577" s="2"/>
      <c r="M6577" s="2"/>
      <c r="N6577" s="4" t="s">
        <v>2259</v>
      </c>
      <c r="O6577" s="4" t="str">
        <f>LEFT(Table2[[#This Row],[Description]],75)</f>
        <v>Netflix</v>
      </c>
      <c r="P6577" s="2" t="s">
        <v>2306</v>
      </c>
    </row>
    <row r="6578" spans="1:16" hidden="1">
      <c r="A6578" s="2">
        <v>202201</v>
      </c>
      <c r="B6578" s="3">
        <v>44587</v>
      </c>
      <c r="C6578" s="2" t="s">
        <v>2359</v>
      </c>
      <c r="D6578" s="2" t="s">
        <v>1819</v>
      </c>
      <c r="E6578" s="2">
        <v>0.17</v>
      </c>
      <c r="F6578" s="2" t="e">
        <f>IF(Table2[[#This Row],[Manual Cat Value]]="",VLOOKUP(Table2[[#This Row],[Description]],'Actuals Lookup'!D:F,3,0),Table2[[#This Row],[Manual Cat Value]])</f>
        <v>#N/A</v>
      </c>
      <c r="J6578" s="2">
        <v>0.17</v>
      </c>
      <c r="K6578" s="2" t="b">
        <v>0</v>
      </c>
      <c r="L6578" s="2"/>
      <c r="M6578" s="2"/>
      <c r="N6578" s="4" t="s">
        <v>2259</v>
      </c>
      <c r="O6578" s="4" t="str">
        <f>LEFT(Table2[[#This Row],[Description]],75)</f>
        <v>Target Retire 2055 Tr P - Fee</v>
      </c>
      <c r="P6578" s="2" t="s">
        <v>2479</v>
      </c>
    </row>
    <row r="6579" spans="1:16" hidden="1">
      <c r="A6579" s="2">
        <v>202201</v>
      </c>
      <c r="B6579" s="3">
        <v>44587</v>
      </c>
      <c r="C6579" s="2" t="s">
        <v>2338</v>
      </c>
      <c r="D6579" s="2" t="s">
        <v>1819</v>
      </c>
      <c r="E6579" s="2">
        <v>4.17</v>
      </c>
      <c r="F6579" s="2" t="e">
        <f>IF(Table2[[#This Row],[Manual Cat Value]]="",VLOOKUP(Table2[[#This Row],[Description]],'Actuals Lookup'!D:F,3,0),Table2[[#This Row],[Manual Cat Value]])</f>
        <v>#N/A</v>
      </c>
      <c r="J6579" s="2">
        <v>4.17</v>
      </c>
      <c r="K6579" s="2" t="b">
        <v>0</v>
      </c>
      <c r="L6579" s="2"/>
      <c r="M6579" s="2"/>
      <c r="N6579" s="4" t="s">
        <v>2259</v>
      </c>
      <c r="O6579" s="4" t="str">
        <f>LEFT(Table2[[#This Row],[Description]],75)</f>
        <v>Target Retire 2055 Tr P - Fee</v>
      </c>
      <c r="P6579" s="2" t="s">
        <v>2479</v>
      </c>
    </row>
    <row r="6580" spans="1:16" hidden="1">
      <c r="A6580" s="2">
        <v>202201</v>
      </c>
      <c r="B6580" s="3">
        <v>44588</v>
      </c>
      <c r="C6580" s="2" t="s">
        <v>2262</v>
      </c>
      <c r="D6580" s="2" t="s">
        <v>38</v>
      </c>
      <c r="E6580" s="2">
        <v>66.180000000000007</v>
      </c>
      <c r="F6580" s="2" t="str">
        <f>IF(Table2[[#This Row],[Manual Cat Value]]="",VLOOKUP(Table2[[#This Row],[Description]],'Actuals Lookup'!D:F,3,0),Table2[[#This Row],[Manual Cat Value]])</f>
        <v>Amazon</v>
      </c>
      <c r="J6580" s="2">
        <v>66.180000000000007</v>
      </c>
      <c r="K6580" s="2" t="b">
        <v>0</v>
      </c>
      <c r="L6580" s="2"/>
      <c r="M6580" s="2"/>
      <c r="N6580" s="4" t="s">
        <v>2259</v>
      </c>
      <c r="O6580" s="4" t="str">
        <f>LEFT(Table2[[#This Row],[Description]],75)</f>
        <v>Amazon</v>
      </c>
      <c r="P6580" s="2" t="s">
        <v>2260</v>
      </c>
    </row>
    <row r="6581" spans="1:16" hidden="1">
      <c r="A6581" s="2">
        <v>202201</v>
      </c>
      <c r="B6581" s="3">
        <v>44588</v>
      </c>
      <c r="C6581" s="2" t="s">
        <v>2262</v>
      </c>
      <c r="D6581" s="2" t="s">
        <v>187</v>
      </c>
      <c r="E6581" s="2">
        <v>141.69</v>
      </c>
      <c r="F6581" s="2" t="e">
        <f>IF(Table2[[#This Row],[Manual Cat Value]]="",VLOOKUP(Table2[[#This Row],[Description]],'Actuals Lookup'!D:F,3,0),Table2[[#This Row],[Manual Cat Value]])</f>
        <v>#N/A</v>
      </c>
      <c r="J6581" s="2">
        <v>141.69</v>
      </c>
      <c r="K6581" s="2" t="b">
        <v>0</v>
      </c>
      <c r="L6581" s="2"/>
      <c r="M6581" s="2"/>
      <c r="N6581" s="4" t="s">
        <v>2259</v>
      </c>
      <c r="O6581" s="4" t="str">
        <f>LEFT(Table2[[#This Row],[Description]],75)</f>
        <v>AVOADVOCARE INTL 8005424800 TX</v>
      </c>
      <c r="P6581" s="2" t="s">
        <v>2428</v>
      </c>
    </row>
    <row r="6582" spans="1:16" hidden="1">
      <c r="A6582" s="2">
        <v>202201</v>
      </c>
      <c r="B6582" s="3">
        <v>44588</v>
      </c>
      <c r="C6582" s="2" t="s">
        <v>2338</v>
      </c>
      <c r="D6582" s="2" t="s">
        <v>403</v>
      </c>
      <c r="E6582" s="2">
        <v>1599.17</v>
      </c>
      <c r="F6582" s="2" t="e">
        <f>IF(Table2[[#This Row],[Manual Cat Value]]="",VLOOKUP(Table2[[#This Row],[Description]],'Actuals Lookup'!D:F,3,0),Table2[[#This Row],[Manual Cat Value]])</f>
        <v>#N/A</v>
      </c>
      <c r="J6582" s="2">
        <v>-1599.17</v>
      </c>
      <c r="K6582" s="2" t="b">
        <v>0</v>
      </c>
      <c r="L6582" s="2"/>
      <c r="M6582" s="2"/>
      <c r="N6582" s="4" t="s">
        <v>2273</v>
      </c>
      <c r="O6582" s="4" t="str">
        <f>LEFT(Table2[[#This Row],[Description]],75)</f>
        <v>Cargill ESOP Stock Fund - Plan Contribution</v>
      </c>
      <c r="P6582" s="2" t="s">
        <v>2451</v>
      </c>
    </row>
    <row r="6583" spans="1:16" hidden="1">
      <c r="A6583" s="2">
        <v>202201</v>
      </c>
      <c r="B6583" s="3">
        <v>44588</v>
      </c>
      <c r="C6583" s="2" t="s">
        <v>2262</v>
      </c>
      <c r="D6583" s="2" t="s">
        <v>947</v>
      </c>
      <c r="E6583" s="2">
        <v>38.630000000000003</v>
      </c>
      <c r="F6583" s="2" t="e">
        <f>IF(Table2[[#This Row],[Manual Cat Value]]="",VLOOKUP(Table2[[#This Row],[Description]],'Actuals Lookup'!D:F,3,0),Table2[[#This Row],[Manual Cat Value]])</f>
        <v>#N/A</v>
      </c>
      <c r="J6583" s="2">
        <v>38.630000000000003</v>
      </c>
      <c r="K6583" s="2" t="b">
        <v>0</v>
      </c>
      <c r="L6583" s="2"/>
      <c r="M6583" s="2"/>
      <c r="N6583" s="4" t="s">
        <v>2259</v>
      </c>
      <c r="O6583" s="4" t="str">
        <f>LEFT(Table2[[#This Row],[Description]],75)</f>
        <v>Home Depot</v>
      </c>
      <c r="P6583" s="2" t="s">
        <v>2396</v>
      </c>
    </row>
    <row r="6584" spans="1:16" hidden="1">
      <c r="A6584" s="2">
        <v>202201</v>
      </c>
      <c r="B6584" s="3">
        <v>44589</v>
      </c>
      <c r="C6584" s="2" t="s">
        <v>2265</v>
      </c>
      <c r="D6584" s="2" t="s">
        <v>1471</v>
      </c>
      <c r="E6584" s="2">
        <v>0.99</v>
      </c>
      <c r="F6584" s="2" t="str">
        <f>IF(Table2[[#This Row],[Manual Cat Value]]="",VLOOKUP(Table2[[#This Row],[Description]],'Actuals Lookup'!D:F,3,0),Table2[[#This Row],[Manual Cat Value]])</f>
        <v>Shopping</v>
      </c>
      <c r="J6584" s="2">
        <v>0.99</v>
      </c>
      <c r="K6584" s="2" t="b">
        <v>0</v>
      </c>
      <c r="L6584" s="2"/>
      <c r="M6584" s="2"/>
      <c r="N6584" s="4" t="s">
        <v>2259</v>
      </c>
      <c r="O6584" s="4" t="str">
        <f>LEFT(Table2[[#This Row],[Description]],75)</f>
        <v>PayPal</v>
      </c>
      <c r="P6584" s="2" t="s">
        <v>2322</v>
      </c>
    </row>
    <row r="6585" spans="1:16" hidden="1">
      <c r="A6585" s="2">
        <v>202201</v>
      </c>
      <c r="B6585" s="3">
        <v>44591</v>
      </c>
      <c r="C6585" s="2" t="s">
        <v>2262</v>
      </c>
      <c r="D6585" s="2" t="s">
        <v>38</v>
      </c>
      <c r="E6585" s="2">
        <v>22.53</v>
      </c>
      <c r="F6585" s="2" t="str">
        <f>IF(Table2[[#This Row],[Manual Cat Value]]="",VLOOKUP(Table2[[#This Row],[Description]],'Actuals Lookup'!D:F,3,0),Table2[[#This Row],[Manual Cat Value]])</f>
        <v>Amazon</v>
      </c>
      <c r="J6585" s="2">
        <v>22.53</v>
      </c>
      <c r="K6585" s="2" t="b">
        <v>0</v>
      </c>
      <c r="L6585" s="2"/>
      <c r="M6585" s="2"/>
      <c r="N6585" s="4" t="s">
        <v>2259</v>
      </c>
      <c r="O6585" s="4" t="str">
        <f>LEFT(Table2[[#This Row],[Description]],75)</f>
        <v>Amazon</v>
      </c>
      <c r="P6585" s="2" t="s">
        <v>2260</v>
      </c>
    </row>
    <row r="6586" spans="1:16" hidden="1">
      <c r="A6586" s="2">
        <v>202201</v>
      </c>
      <c r="B6586" s="3">
        <v>44591</v>
      </c>
      <c r="C6586" s="2" t="s">
        <v>2262</v>
      </c>
      <c r="D6586" s="2" t="s">
        <v>332</v>
      </c>
      <c r="E6586" s="2">
        <v>119.87</v>
      </c>
      <c r="F6586" s="2" t="e">
        <f>IF(Table2[[#This Row],[Manual Cat Value]]="",VLOOKUP(Table2[[#This Row],[Description]],'Actuals Lookup'!D:F,3,0),Table2[[#This Row],[Manual Cat Value]])</f>
        <v>#N/A</v>
      </c>
      <c r="J6586" s="2">
        <v>119.87</v>
      </c>
      <c r="K6586" s="2" t="b">
        <v>0</v>
      </c>
      <c r="L6586" s="2"/>
      <c r="M6586" s="2"/>
      <c r="N6586" s="4" t="s">
        <v>2259</v>
      </c>
      <c r="O6586" s="4" t="str">
        <f>LEFT(Table2[[#This Row],[Description]],75)</f>
        <v>BULL WREN EXCELSIOR MN BULL WREN EXCELSIOR MN</v>
      </c>
      <c r="P6586" s="2" t="s">
        <v>2281</v>
      </c>
    </row>
    <row r="6587" spans="1:16" hidden="1">
      <c r="A6587" s="2">
        <v>202201</v>
      </c>
      <c r="B6587" s="3">
        <v>44591</v>
      </c>
      <c r="C6587" s="2" t="s">
        <v>2265</v>
      </c>
      <c r="D6587" s="2" t="s">
        <v>425</v>
      </c>
      <c r="E6587" s="2">
        <v>75</v>
      </c>
      <c r="F6587" s="2" t="e">
        <f>IF(Table2[[#This Row],[Manual Cat Value]]="",VLOOKUP(Table2[[#This Row],[Description]],'Actuals Lookup'!D:F,3,0),Table2[[#This Row],[Manual Cat Value]])</f>
        <v>#N/A</v>
      </c>
      <c r="J6587" s="2">
        <v>-75</v>
      </c>
      <c r="K6587" s="2" t="b">
        <v>0</v>
      </c>
      <c r="L6587" s="2"/>
      <c r="M6587" s="2"/>
      <c r="N6587" s="4" t="s">
        <v>2273</v>
      </c>
      <c r="O6587" s="4" t="str">
        <f>LEFT(Table2[[#This Row],[Description]],75)</f>
        <v>Cargill Incorpor Type</v>
      </c>
      <c r="P6587" s="2" t="s">
        <v>2282</v>
      </c>
    </row>
    <row r="6588" spans="1:16" hidden="1">
      <c r="A6588" s="2">
        <v>202201</v>
      </c>
      <c r="B6588" s="3">
        <v>44591</v>
      </c>
      <c r="C6588" s="2" t="s">
        <v>2262</v>
      </c>
      <c r="D6588" s="2" t="s">
        <v>970</v>
      </c>
      <c r="E6588" s="2">
        <v>60.04</v>
      </c>
      <c r="F6588" s="2" t="e">
        <f>IF(Table2[[#This Row],[Manual Cat Value]]="",VLOOKUP(Table2[[#This Row],[Description]],'Actuals Lookup'!D:F,3,0),Table2[[#This Row],[Manual Cat Value]])</f>
        <v>#N/A</v>
      </c>
      <c r="J6588" s="2">
        <v>60.04</v>
      </c>
      <c r="K6588" s="2" t="b">
        <v>0</v>
      </c>
      <c r="L6588" s="2"/>
      <c r="M6588" s="2"/>
      <c r="N6588" s="4" t="s">
        <v>2259</v>
      </c>
      <c r="O6588" s="4" t="str">
        <f>LEFT(Table2[[#This Row],[Description]],75)</f>
        <v>Inside Edge Golf</v>
      </c>
      <c r="P6588" s="2" t="s">
        <v>2281</v>
      </c>
    </row>
    <row r="6589" spans="1:16" hidden="1">
      <c r="A6589" s="2">
        <v>202201</v>
      </c>
      <c r="B6589" s="3">
        <v>44591</v>
      </c>
      <c r="C6589" s="2" t="s">
        <v>2262</v>
      </c>
      <c r="D6589" s="2" t="s">
        <v>1032</v>
      </c>
      <c r="E6589" s="2">
        <v>26.82</v>
      </c>
      <c r="F6589" s="2" t="e">
        <f>IF(Table2[[#This Row],[Manual Cat Value]]="",VLOOKUP(Table2[[#This Row],[Description]],'Actuals Lookup'!D:F,3,0),Table2[[#This Row],[Manual Cat Value]])</f>
        <v>#N/A</v>
      </c>
      <c r="J6589" s="2">
        <v>26.82</v>
      </c>
      <c r="K6589" s="2" t="b">
        <v>0</v>
      </c>
      <c r="L6589" s="2"/>
      <c r="M6589" s="2"/>
      <c r="N6589" s="4" t="s">
        <v>2259</v>
      </c>
      <c r="O6589" s="4" t="str">
        <f>LEFT(Table2[[#This Row],[Description]],75)</f>
        <v>KAIS SUSHI AND GRILL MINNETONKA KAIS SUSHI AND GRILL MINNETONKA MN</v>
      </c>
      <c r="P6589" s="2" t="s">
        <v>2587</v>
      </c>
    </row>
    <row r="6590" spans="1:16" hidden="1">
      <c r="A6590" s="2">
        <v>202201</v>
      </c>
      <c r="B6590" s="3">
        <v>44591</v>
      </c>
      <c r="C6590" s="2" t="s">
        <v>2262</v>
      </c>
      <c r="D6590" s="2" t="s">
        <v>1079</v>
      </c>
      <c r="E6590" s="2">
        <v>27.59</v>
      </c>
      <c r="F6590" s="2" t="e">
        <f>IF(Table2[[#This Row],[Manual Cat Value]]="",VLOOKUP(Table2[[#This Row],[Description]],'Actuals Lookup'!D:F,3,0),Table2[[#This Row],[Manual Cat Value]])</f>
        <v>#N/A</v>
      </c>
      <c r="J6590" s="2">
        <v>27.59</v>
      </c>
      <c r="K6590" s="2" t="b">
        <v>0</v>
      </c>
      <c r="L6590" s="2"/>
      <c r="M6590" s="2"/>
      <c r="N6590" s="4" t="s">
        <v>2259</v>
      </c>
      <c r="O6590" s="4" t="str">
        <f>LEFT(Table2[[#This Row],[Description]],75)</f>
        <v>Kowalski's</v>
      </c>
      <c r="P6590" s="2" t="s">
        <v>2281</v>
      </c>
    </row>
    <row r="6591" spans="1:16" hidden="1">
      <c r="A6591" s="2">
        <v>202201</v>
      </c>
      <c r="B6591" s="3">
        <v>44591</v>
      </c>
      <c r="C6591" s="2" t="s">
        <v>2262</v>
      </c>
      <c r="D6591" s="2" t="s">
        <v>1083</v>
      </c>
      <c r="E6591" s="2">
        <v>47.45</v>
      </c>
      <c r="F6591" s="2" t="str">
        <f>IF(Table2[[#This Row],[Manual Cat Value]]="",VLOOKUP(Table2[[#This Row],[Description]],'Actuals Lookup'!D:F,3,0),Table2[[#This Row],[Manual Cat Value]])</f>
        <v>Transportation</v>
      </c>
      <c r="J6591" s="2">
        <v>47.45</v>
      </c>
      <c r="K6591" s="2" t="b">
        <v>0</v>
      </c>
      <c r="L6591" s="2"/>
      <c r="M6591" s="2"/>
      <c r="N6591" s="4" t="s">
        <v>2259</v>
      </c>
      <c r="O6591" s="4" t="str">
        <f>LEFT(Table2[[#This Row],[Description]],75)</f>
        <v>Kwik Trip</v>
      </c>
      <c r="P6591" s="2" t="s">
        <v>2509</v>
      </c>
    </row>
    <row r="6592" spans="1:16" hidden="1">
      <c r="A6592" s="2">
        <v>202201</v>
      </c>
      <c r="B6592" s="3">
        <v>44591</v>
      </c>
      <c r="C6592" s="2" t="s">
        <v>2262</v>
      </c>
      <c r="D6592" s="2" t="s">
        <v>1760</v>
      </c>
      <c r="E6592" s="2">
        <v>106.29</v>
      </c>
      <c r="F6592" s="2" t="e">
        <f>IF(Table2[[#This Row],[Manual Cat Value]]="",VLOOKUP(Table2[[#This Row],[Description]],'Actuals Lookup'!D:F,3,0),Table2[[#This Row],[Manual Cat Value]])</f>
        <v>#N/A</v>
      </c>
      <c r="J6592" s="2">
        <v>106.29</v>
      </c>
      <c r="K6592" s="2" t="b">
        <v>0</v>
      </c>
      <c r="L6592" s="2"/>
      <c r="M6592" s="2"/>
      <c r="N6592" s="4" t="s">
        <v>2259</v>
      </c>
      <c r="O6592" s="4" t="str">
        <f>LEFT(Table2[[#This Row],[Description]],75)</f>
        <v>SQ STEP CHILD LLC Minneapolis MN SQ STEP CHILD LLC Minneapolis MN</v>
      </c>
      <c r="P6592" s="2" t="s">
        <v>2281</v>
      </c>
    </row>
    <row r="6593" spans="1:16" hidden="1">
      <c r="A6593" s="2">
        <v>202201</v>
      </c>
      <c r="B6593" s="3">
        <v>44591</v>
      </c>
      <c r="C6593" s="2" t="s">
        <v>2265</v>
      </c>
      <c r="D6593" s="2" t="s">
        <v>1804</v>
      </c>
      <c r="E6593" s="2">
        <v>2956.33</v>
      </c>
      <c r="F6593" s="2" t="e">
        <f>IF(Table2[[#This Row],[Manual Cat Value]]="",VLOOKUP(Table2[[#This Row],[Description]],'Actuals Lookup'!D:F,3,0),Table2[[#This Row],[Manual Cat Value]])</f>
        <v>#N/A</v>
      </c>
      <c r="J6593" s="2">
        <v>-2956.33</v>
      </c>
      <c r="K6593" s="2" t="b">
        <v>0</v>
      </c>
      <c r="L6593" s="2"/>
      <c r="M6593" s="2"/>
      <c r="N6593" s="4" t="s">
        <v>2273</v>
      </c>
      <c r="O6593" s="4" t="str">
        <f>LEFT(Table2[[#This Row],[Description]],75)</f>
        <v>SYNTELLIS PERFOR TYPE DIRECT DEP ID CO SYNTELLIS PERFOR ACH ECC PPD ACH Tra</v>
      </c>
      <c r="P6593" s="2" t="s">
        <v>2281</v>
      </c>
    </row>
    <row r="6594" spans="1:16" hidden="1">
      <c r="A6594" s="2">
        <v>202201</v>
      </c>
      <c r="B6594" s="3">
        <v>44591</v>
      </c>
      <c r="C6594" s="2" t="s">
        <v>2262</v>
      </c>
      <c r="D6594" s="2" t="s">
        <v>1823</v>
      </c>
      <c r="E6594" s="2">
        <v>27.71</v>
      </c>
      <c r="F6594" s="2" t="e">
        <f>IF(Table2[[#This Row],[Manual Cat Value]]="",VLOOKUP(Table2[[#This Row],[Description]],'Actuals Lookup'!D:F,3,0),Table2[[#This Row],[Manual Cat Value]])</f>
        <v>#N/A</v>
      </c>
      <c r="J6594" s="2">
        <v>27.71</v>
      </c>
      <c r="K6594" s="2" t="b">
        <v>0</v>
      </c>
      <c r="L6594" s="2"/>
      <c r="M6594" s="2"/>
      <c r="N6594" s="4" t="s">
        <v>2259</v>
      </c>
      <c r="O6594" s="4" t="str">
        <f>LEFT(Table2[[#This Row],[Description]],75)</f>
        <v>Tavern 4&amp;5</v>
      </c>
      <c r="P6594" s="2" t="s">
        <v>2588</v>
      </c>
    </row>
    <row r="6595" spans="1:16" hidden="1">
      <c r="A6595" s="2">
        <v>202201</v>
      </c>
      <c r="B6595" s="3">
        <v>44592</v>
      </c>
      <c r="C6595" s="2" t="s">
        <v>2262</v>
      </c>
      <c r="D6595" s="2" t="s">
        <v>651</v>
      </c>
      <c r="E6595" s="2">
        <v>25.45</v>
      </c>
      <c r="F6595" s="2" t="e">
        <f>IF(Table2[[#This Row],[Manual Cat Value]]="",VLOOKUP(Table2[[#This Row],[Description]],'Actuals Lookup'!D:F,3,0),Table2[[#This Row],[Manual Cat Value]])</f>
        <v>#N/A</v>
      </c>
      <c r="J6595" s="2">
        <v>25.45</v>
      </c>
      <c r="K6595" s="2" t="b">
        <v>0</v>
      </c>
      <c r="L6595" s="2"/>
      <c r="M6595" s="2"/>
      <c r="N6595" s="4" t="s">
        <v>2259</v>
      </c>
      <c r="O6595" s="4" t="str">
        <f>LEFT(Table2[[#This Row],[Description]],75)</f>
        <v>COWBOY JACKS DOWNTOWN MINNEAPOLIS MN</v>
      </c>
      <c r="P6595" s="2" t="s">
        <v>2281</v>
      </c>
    </row>
    <row r="6596" spans="1:16" hidden="1">
      <c r="A6596" s="2">
        <v>202201</v>
      </c>
      <c r="B6596" s="3">
        <v>44592</v>
      </c>
      <c r="C6596" s="2" t="s">
        <v>2262</v>
      </c>
      <c r="D6596" s="2" t="s">
        <v>808</v>
      </c>
      <c r="E6596" s="2">
        <v>69</v>
      </c>
      <c r="F6596" s="2" t="str">
        <f>IF(Table2[[#This Row],[Manual Cat Value]]="",VLOOKUP(Table2[[#This Row],[Description]],'Actuals Lookup'!D:F,3,0),Table2[[#This Row],[Manual Cat Value]])</f>
        <v>Misc</v>
      </c>
      <c r="J6596" s="2">
        <v>69</v>
      </c>
      <c r="K6596" s="2" t="b">
        <v>0</v>
      </c>
      <c r="L6596" s="2"/>
      <c r="M6596" s="2"/>
      <c r="N6596" s="4" t="s">
        <v>2259</v>
      </c>
      <c r="O6596" s="4" t="str">
        <f>LEFT(Table2[[#This Row],[Description]],75)</f>
        <v>Elite Nails</v>
      </c>
      <c r="P6596" s="2" t="s">
        <v>2487</v>
      </c>
    </row>
    <row r="6597" spans="1:16" hidden="1">
      <c r="A6597" s="2">
        <v>202201</v>
      </c>
      <c r="B6597" s="3">
        <v>44592</v>
      </c>
      <c r="C6597" s="2" t="s">
        <v>2262</v>
      </c>
      <c r="D6597" s="2" t="s">
        <v>1173</v>
      </c>
      <c r="E6597" s="2">
        <v>42.39</v>
      </c>
      <c r="F6597" s="2" t="e">
        <f>IF(Table2[[#This Row],[Manual Cat Value]]="",VLOOKUP(Table2[[#This Row],[Description]],'Actuals Lookup'!D:F,3,0),Table2[[#This Row],[Manual Cat Value]])</f>
        <v>#N/A</v>
      </c>
      <c r="J6597" s="2">
        <v>42.39</v>
      </c>
      <c r="K6597" s="2" t="b">
        <v>0</v>
      </c>
      <c r="L6597" s="2"/>
      <c r="M6597" s="2"/>
      <c r="N6597" s="4" t="s">
        <v>2259</v>
      </c>
      <c r="O6597" s="4" t="str">
        <f>LEFT(Table2[[#This Row],[Description]],75)</f>
        <v>Mac's</v>
      </c>
      <c r="P6597" s="2" t="s">
        <v>2281</v>
      </c>
    </row>
    <row r="6598" spans="1:16" hidden="1">
      <c r="A6598" s="2">
        <v>202201</v>
      </c>
      <c r="B6598" s="3">
        <v>44592</v>
      </c>
      <c r="C6598" s="2" t="s">
        <v>2265</v>
      </c>
      <c r="D6598" s="2" t="s">
        <v>1471</v>
      </c>
      <c r="E6598" s="2">
        <v>0.99</v>
      </c>
      <c r="F6598" s="2" t="str">
        <f>IF(Table2[[#This Row],[Manual Cat Value]]="",VLOOKUP(Table2[[#This Row],[Description]],'Actuals Lookup'!D:F,3,0),Table2[[#This Row],[Manual Cat Value]])</f>
        <v>Shopping</v>
      </c>
      <c r="J6598" s="2">
        <v>0.99</v>
      </c>
      <c r="K6598" s="2" t="b">
        <v>0</v>
      </c>
      <c r="L6598" s="2"/>
      <c r="M6598" s="2"/>
      <c r="N6598" s="4" t="s">
        <v>2259</v>
      </c>
      <c r="O6598" s="4" t="str">
        <f>LEFT(Table2[[#This Row],[Description]],75)</f>
        <v>PayPal</v>
      </c>
      <c r="P6598" s="2" t="s">
        <v>2322</v>
      </c>
    </row>
    <row r="6599" spans="1:16" hidden="1">
      <c r="A6599" s="2">
        <v>202201</v>
      </c>
      <c r="B6599" s="3">
        <v>44592</v>
      </c>
      <c r="C6599" s="2" t="s">
        <v>2265</v>
      </c>
      <c r="D6599" s="2" t="s">
        <v>1471</v>
      </c>
      <c r="E6599" s="2">
        <v>2.25</v>
      </c>
      <c r="F6599" s="2" t="str">
        <f>IF(Table2[[#This Row],[Manual Cat Value]]="",VLOOKUP(Table2[[#This Row],[Description]],'Actuals Lookup'!D:F,3,0),Table2[[#This Row],[Manual Cat Value]])</f>
        <v>Shopping</v>
      </c>
      <c r="J6599" s="2">
        <v>2.25</v>
      </c>
      <c r="K6599" s="2" t="b">
        <v>0</v>
      </c>
      <c r="L6599" s="2"/>
      <c r="M6599" s="2"/>
      <c r="N6599" s="4" t="s">
        <v>2259</v>
      </c>
      <c r="O6599" s="4" t="str">
        <f>LEFT(Table2[[#This Row],[Description]],75)</f>
        <v>PayPal</v>
      </c>
      <c r="P6599" s="2" t="s">
        <v>2322</v>
      </c>
    </row>
    <row r="6600" spans="1:16" hidden="1">
      <c r="A6600" s="2">
        <v>202201</v>
      </c>
      <c r="B6600" s="3">
        <v>44592</v>
      </c>
      <c r="C6600" s="2" t="s">
        <v>2265</v>
      </c>
      <c r="D6600" s="2" t="s">
        <v>1471</v>
      </c>
      <c r="E6600" s="2">
        <v>5.39</v>
      </c>
      <c r="F6600" s="2" t="str">
        <f>IF(Table2[[#This Row],[Manual Cat Value]]="",VLOOKUP(Table2[[#This Row],[Description]],'Actuals Lookup'!D:F,3,0),Table2[[#This Row],[Manual Cat Value]])</f>
        <v>Shopping</v>
      </c>
      <c r="J6600" s="2">
        <v>5.39</v>
      </c>
      <c r="K6600" s="2" t="b">
        <v>0</v>
      </c>
      <c r="L6600" s="2"/>
      <c r="M6600" s="2"/>
      <c r="N6600" s="4" t="s">
        <v>2259</v>
      </c>
      <c r="O6600" s="4" t="str">
        <f>LEFT(Table2[[#This Row],[Description]],75)</f>
        <v>PayPal</v>
      </c>
      <c r="P6600" s="2" t="s">
        <v>2322</v>
      </c>
    </row>
    <row r="6601" spans="1:16" hidden="1">
      <c r="A6601" s="2">
        <v>202201</v>
      </c>
      <c r="B6601" s="3">
        <v>44592</v>
      </c>
      <c r="C6601" s="2" t="s">
        <v>2265</v>
      </c>
      <c r="D6601" s="2" t="s">
        <v>1471</v>
      </c>
      <c r="E6601" s="2">
        <v>6.47</v>
      </c>
      <c r="F6601" s="2" t="str">
        <f>IF(Table2[[#This Row],[Manual Cat Value]]="",VLOOKUP(Table2[[#This Row],[Description]],'Actuals Lookup'!D:F,3,0),Table2[[#This Row],[Manual Cat Value]])</f>
        <v>Shopping</v>
      </c>
      <c r="J6601" s="2">
        <v>6.47</v>
      </c>
      <c r="K6601" s="2" t="b">
        <v>0</v>
      </c>
      <c r="L6601" s="2"/>
      <c r="M6601" s="2"/>
      <c r="N6601" s="4" t="s">
        <v>2259</v>
      </c>
      <c r="O6601" s="4" t="str">
        <f>LEFT(Table2[[#This Row],[Description]],75)</f>
        <v>PayPal</v>
      </c>
      <c r="P6601" s="2" t="s">
        <v>2322</v>
      </c>
    </row>
    <row r="6602" spans="1:16" hidden="1">
      <c r="A6602" s="2">
        <v>202201</v>
      </c>
      <c r="B6602" s="3">
        <v>44592</v>
      </c>
      <c r="C6602" s="2" t="s">
        <v>2265</v>
      </c>
      <c r="D6602" s="2" t="s">
        <v>1471</v>
      </c>
      <c r="E6602" s="2">
        <v>97.12</v>
      </c>
      <c r="F6602" s="2" t="str">
        <f>IF(Table2[[#This Row],[Manual Cat Value]]="",VLOOKUP(Table2[[#This Row],[Description]],'Actuals Lookup'!D:F,3,0),Table2[[#This Row],[Manual Cat Value]])</f>
        <v>Shopping</v>
      </c>
      <c r="J6602" s="2">
        <v>97.12</v>
      </c>
      <c r="K6602" s="2" t="b">
        <v>0</v>
      </c>
      <c r="L6602" s="2"/>
      <c r="M6602" s="2"/>
      <c r="N6602" s="4" t="s">
        <v>2259</v>
      </c>
      <c r="O6602" s="4" t="str">
        <f>LEFT(Table2[[#This Row],[Description]],75)</f>
        <v>PayPal</v>
      </c>
      <c r="P6602" s="2" t="s">
        <v>2322</v>
      </c>
    </row>
    <row r="6603" spans="1:16" hidden="1">
      <c r="A6603" s="2">
        <v>202201</v>
      </c>
      <c r="B6603" s="3">
        <v>44592</v>
      </c>
      <c r="C6603" s="2" t="s">
        <v>2300</v>
      </c>
      <c r="D6603" s="2" t="s">
        <v>1709</v>
      </c>
      <c r="E6603" s="2">
        <v>14.23</v>
      </c>
      <c r="F6603" s="2" t="e">
        <f>IF(Table2[[#This Row],[Manual Cat Value]]="",VLOOKUP(Table2[[#This Row],[Description]],'Actuals Lookup'!D:F,3,0),Table2[[#This Row],[Manual Cat Value]])</f>
        <v>#N/A</v>
      </c>
      <c r="J6603" s="2">
        <v>-14.23</v>
      </c>
      <c r="K6603" s="2" t="b">
        <v>0</v>
      </c>
      <c r="L6603" s="2"/>
      <c r="M6603" s="2"/>
      <c r="N6603" s="4" t="s">
        <v>2273</v>
      </c>
      <c r="O6603" s="4" t="str">
        <f>LEFT(Table2[[#This Row],[Description]],75)</f>
        <v>Split Rate Apy</v>
      </c>
      <c r="P6603" s="2" t="s">
        <v>2313</v>
      </c>
    </row>
    <row r="6604" spans="1:16" hidden="1">
      <c r="A6604" s="2">
        <v>202201</v>
      </c>
      <c r="B6604" s="3">
        <v>44592</v>
      </c>
      <c r="C6604" s="2" t="s">
        <v>2265</v>
      </c>
      <c r="D6604" s="2" t="s">
        <v>1709</v>
      </c>
      <c r="E6604" s="2">
        <v>19.21</v>
      </c>
      <c r="F6604" s="2" t="e">
        <f>IF(Table2[[#This Row],[Manual Cat Value]]="",VLOOKUP(Table2[[#This Row],[Description]],'Actuals Lookup'!D:F,3,0),Table2[[#This Row],[Manual Cat Value]])</f>
        <v>#N/A</v>
      </c>
      <c r="J6604" s="2">
        <v>-19.21</v>
      </c>
      <c r="K6604" s="2" t="b">
        <v>0</v>
      </c>
      <c r="L6604" s="2"/>
      <c r="M6604" s="2"/>
      <c r="N6604" s="4" t="s">
        <v>2273</v>
      </c>
      <c r="O6604" s="4" t="str">
        <f>LEFT(Table2[[#This Row],[Description]],75)</f>
        <v>Split Rate Apy</v>
      </c>
      <c r="P6604" s="2" t="s">
        <v>2313</v>
      </c>
    </row>
    <row r="6605" spans="1:16" hidden="1">
      <c r="A6605" s="2">
        <v>202202</v>
      </c>
      <c r="B6605" s="3">
        <v>44593</v>
      </c>
      <c r="C6605" s="2" t="s">
        <v>2262</v>
      </c>
      <c r="D6605" s="2" t="s">
        <v>674</v>
      </c>
      <c r="E6605" s="2">
        <v>924.54</v>
      </c>
      <c r="F6605" s="2" t="e">
        <f>IF(Table2[[#This Row],[Manual Cat Value]]="",VLOOKUP(Table2[[#This Row],[Description]],'Actuals Lookup'!D:F,3,0),Table2[[#This Row],[Manual Cat Value]])</f>
        <v>#N/A</v>
      </c>
      <c r="J6605" s="2">
        <v>-924.54</v>
      </c>
      <c r="K6605" s="2" t="b">
        <v>0</v>
      </c>
      <c r="L6605" s="2"/>
      <c r="M6605" s="2"/>
      <c r="N6605" s="4" t="s">
        <v>2273</v>
      </c>
      <c r="O6605" s="4" t="str">
        <f>LEFT(Table2[[#This Row],[Description]],75)</f>
        <v>Credit Card Payment Received PAYMENT THANK YOU</v>
      </c>
      <c r="P6605" s="2" t="s">
        <v>2560</v>
      </c>
    </row>
    <row r="6606" spans="1:16" hidden="1">
      <c r="A6606" s="2">
        <v>202202</v>
      </c>
      <c r="B6606" s="3">
        <v>44593</v>
      </c>
      <c r="C6606" s="2" t="s">
        <v>2270</v>
      </c>
      <c r="D6606" s="2" t="s">
        <v>1410</v>
      </c>
      <c r="E6606" s="2">
        <v>757.56</v>
      </c>
      <c r="F6606" s="2" t="str">
        <f>IF(Table2[[#This Row],[Manual Cat Value]]="",VLOOKUP(Table2[[#This Row],[Description]],'Actuals Lookup'!D:F,3,0),Table2[[#This Row],[Manual Cat Value]])</f>
        <v>Delete</v>
      </c>
      <c r="J6606" s="2">
        <v>-757.56</v>
      </c>
      <c r="K6606" s="2" t="b">
        <v>0</v>
      </c>
      <c r="L6606" s="2"/>
      <c r="M6606" s="2"/>
      <c r="N6606" s="4" t="s">
        <v>2273</v>
      </c>
      <c r="O6606" s="4" t="str">
        <f>LEFT(Table2[[#This Row],[Description]],75)</f>
        <v>PAYMENT</v>
      </c>
      <c r="P6606" s="2" t="s">
        <v>2492</v>
      </c>
    </row>
    <row r="6607" spans="1:16" hidden="1">
      <c r="A6607" s="2">
        <v>202202</v>
      </c>
      <c r="B6607" s="3">
        <v>44593</v>
      </c>
      <c r="C6607" s="2" t="s">
        <v>2265</v>
      </c>
      <c r="D6607" s="2" t="s">
        <v>2203</v>
      </c>
      <c r="E6607" s="2">
        <v>924.54</v>
      </c>
      <c r="F6607" s="2" t="e">
        <f>IF(Table2[[#This Row],[Manual Cat Value]]="",VLOOKUP(Table2[[#This Row],[Description]],'Actuals Lookup'!D:F,3,0),Table2[[#This Row],[Manual Cat Value]])</f>
        <v>#N/A</v>
      </c>
      <c r="J6607" s="2">
        <v>924.54</v>
      </c>
      <c r="K6607" s="2" t="b">
        <v>0</v>
      </c>
      <c r="L6607" s="2"/>
      <c r="M6607" s="2"/>
      <c r="N6607" s="4" t="s">
        <v>2259</v>
      </c>
      <c r="O6607" s="4" t="str">
        <f>LEFT(Table2[[#This Row],[Description]],75)</f>
        <v>Withdrawal Home payment to card XX91 Withdrawal Home payment to card 979181</v>
      </c>
      <c r="P6607" s="2" t="s">
        <v>2559</v>
      </c>
    </row>
    <row r="6608" spans="1:16" hidden="1">
      <c r="A6608" s="2">
        <v>202202</v>
      </c>
      <c r="B6608" s="3">
        <v>44593</v>
      </c>
      <c r="C6608" s="2" t="s">
        <v>2447</v>
      </c>
      <c r="D6608" s="2" t="s">
        <v>114</v>
      </c>
      <c r="E6608" s="2">
        <v>4.28</v>
      </c>
      <c r="F6608" s="2" t="str">
        <f>IF(Table2[[#This Row],[Manual Cat Value]]="",VLOOKUP(Table2[[#This Row],[Description]],'Actuals Lookup'!D:F,3,0),Table2[[#This Row],[Manual Cat Value]])</f>
        <v>Entertainment</v>
      </c>
      <c r="J6608" s="2">
        <v>4.28</v>
      </c>
      <c r="K6608" s="2" t="b">
        <v>0</v>
      </c>
      <c r="L6608" s="2"/>
      <c r="M6608" s="2"/>
      <c r="N6608" s="4" t="s">
        <v>2259</v>
      </c>
      <c r="O6608" s="4" t="str">
        <f>LEFT(Table2[[#This Row],[Description]],75)</f>
        <v>Amazon Music</v>
      </c>
      <c r="P6608" s="2" t="s">
        <v>2466</v>
      </c>
    </row>
    <row r="6609" spans="1:16" hidden="1">
      <c r="A6609" s="2">
        <v>202202</v>
      </c>
      <c r="B6609" s="3">
        <v>44593</v>
      </c>
      <c r="C6609" s="2" t="s">
        <v>2265</v>
      </c>
      <c r="D6609" s="2" t="s">
        <v>254</v>
      </c>
      <c r="E6609" s="2">
        <v>3003.94</v>
      </c>
      <c r="F6609" s="2" t="str">
        <f>IF(Table2[[#This Row],[Manual Cat Value]]="",VLOOKUP(Table2[[#This Row],[Description]],'Actuals Lookup'!D:F,3,0),Table2[[#This Row],[Manual Cat Value]])</f>
        <v>Rent</v>
      </c>
      <c r="J6609" s="2">
        <v>3003.94</v>
      </c>
      <c r="K6609" s="2" t="b">
        <v>0</v>
      </c>
      <c r="L6609" s="2"/>
      <c r="M6609" s="2"/>
      <c r="N6609" s="4" t="s">
        <v>2259</v>
      </c>
      <c r="O6609" s="4" t="str">
        <f>LEFT(Table2[[#This Row],[Description]],75)</f>
        <v>Baxter Credit Union</v>
      </c>
      <c r="P6609" s="2" t="s">
        <v>2558</v>
      </c>
    </row>
    <row r="6610" spans="1:16" hidden="1">
      <c r="A6610" s="2">
        <v>202202</v>
      </c>
      <c r="B6610" s="3">
        <v>44593</v>
      </c>
      <c r="C6610" s="2" t="s">
        <v>2262</v>
      </c>
      <c r="D6610" s="2" t="s">
        <v>553</v>
      </c>
      <c r="E6610" s="2">
        <v>10</v>
      </c>
      <c r="F6610" s="2" t="str">
        <f>IF(Table2[[#This Row],[Manual Cat Value]]="",VLOOKUP(Table2[[#This Row],[Description]],'Actuals Lookup'!D:F,3,0),Table2[[#This Row],[Manual Cat Value]])</f>
        <v>Transportation</v>
      </c>
      <c r="J6610" s="2">
        <v>10</v>
      </c>
      <c r="K6610" s="2" t="b">
        <v>0</v>
      </c>
      <c r="L6610" s="2"/>
      <c r="M6610" s="2"/>
      <c r="N6610" s="4" t="s">
        <v>2259</v>
      </c>
      <c r="O6610" s="4" t="str">
        <f>LEFT(Table2[[#This Row],[Description]],75)</f>
        <v>Circle K</v>
      </c>
      <c r="P6610" s="2" t="s">
        <v>2281</v>
      </c>
    </row>
    <row r="6611" spans="1:16" hidden="1">
      <c r="A6611" s="2">
        <v>202202</v>
      </c>
      <c r="B6611" s="3">
        <v>44593</v>
      </c>
      <c r="C6611" s="2" t="s">
        <v>2265</v>
      </c>
      <c r="D6611" s="2" t="s">
        <v>598</v>
      </c>
      <c r="E6611" s="2">
        <v>200</v>
      </c>
      <c r="F6611" s="2" t="e">
        <f>IF(Table2[[#This Row],[Manual Cat Value]]="",VLOOKUP(Table2[[#This Row],[Description]],'Actuals Lookup'!D:F,3,0),Table2[[#This Row],[Manual Cat Value]])</f>
        <v>#N/A</v>
      </c>
      <c r="J6611" s="2">
        <v>200</v>
      </c>
      <c r="K6611" s="2" t="b">
        <v>0</v>
      </c>
      <c r="L6611" s="2"/>
      <c r="M6611" s="2"/>
      <c r="N6611" s="4" t="s">
        <v>2259</v>
      </c>
      <c r="O6611" s="4" t="str">
        <f>LEFT(Table2[[#This Row],[Description]],75)</f>
        <v>College Savings TYPE ACH ID XX58 College Savings TYPE ACH ID 550895818 CO C</v>
      </c>
      <c r="P6611" s="2" t="s">
        <v>2272</v>
      </c>
    </row>
    <row r="6612" spans="1:16" hidden="1">
      <c r="A6612" s="2">
        <v>202202</v>
      </c>
      <c r="B6612" s="3">
        <v>44593</v>
      </c>
      <c r="C6612" s="2" t="s">
        <v>2314</v>
      </c>
      <c r="D6612" s="2" t="s">
        <v>859</v>
      </c>
      <c r="E6612" s="2">
        <v>593.29999999999995</v>
      </c>
      <c r="F6612" s="2" t="e">
        <f>IF(Table2[[#This Row],[Manual Cat Value]]="",VLOOKUP(Table2[[#This Row],[Description]],'Actuals Lookup'!D:F,3,0),Table2[[#This Row],[Manual Cat Value]])</f>
        <v>#N/A</v>
      </c>
      <c r="J6612" s="2">
        <v>-593.29999999999995</v>
      </c>
      <c r="K6612" s="2" t="b">
        <v>0</v>
      </c>
      <c r="L6612" s="2"/>
      <c r="M6612" s="2"/>
      <c r="N6612" s="4" t="s">
        <v>2273</v>
      </c>
      <c r="O6612" s="4" t="str">
        <f>LEFT(Table2[[#This Row],[Description]],75)</f>
        <v>From Share 70</v>
      </c>
      <c r="P6612" s="2" t="s">
        <v>2496</v>
      </c>
    </row>
    <row r="6613" spans="1:16" hidden="1">
      <c r="A6613" s="2">
        <v>202202</v>
      </c>
      <c r="B6613" s="3">
        <v>44593</v>
      </c>
      <c r="C6613" s="2" t="s">
        <v>2265</v>
      </c>
      <c r="D6613" s="2" t="s">
        <v>1196</v>
      </c>
      <c r="E6613" s="2">
        <v>536.29999999999995</v>
      </c>
      <c r="F6613" s="2" t="e">
        <f>IF(Table2[[#This Row],[Manual Cat Value]]="",VLOOKUP(Table2[[#This Row],[Description]],'Actuals Lookup'!D:F,3,0),Table2[[#This Row],[Manual Cat Value]])</f>
        <v>#N/A</v>
      </c>
      <c r="J6613" s="2">
        <v>536.29999999999995</v>
      </c>
      <c r="K6613" s="2" t="b">
        <v>0</v>
      </c>
      <c r="L6613" s="2"/>
      <c r="M6613" s="2"/>
      <c r="N6613" s="4" t="s">
        <v>2259</v>
      </c>
      <c r="O6613" s="4" t="str">
        <f>LEFT(Table2[[#This Row],[Description]],75)</f>
        <v>MHCHILDCARELLC TYPE DUES ID CO M MHCHILDCARELLC TYPE DUES ID CO MHCHILDCARE</v>
      </c>
      <c r="P6613" s="2" t="s">
        <v>2497</v>
      </c>
    </row>
    <row r="6614" spans="1:16" hidden="1">
      <c r="A6614" s="2">
        <v>202202</v>
      </c>
      <c r="B6614" s="3">
        <v>44593</v>
      </c>
      <c r="C6614" s="2" t="s">
        <v>2270</v>
      </c>
      <c r="D6614" s="2" t="s">
        <v>1524</v>
      </c>
      <c r="E6614" s="2">
        <v>431</v>
      </c>
      <c r="F6614" s="2" t="e">
        <f>IF(Table2[[#This Row],[Manual Cat Value]]="",VLOOKUP(Table2[[#This Row],[Description]],'Actuals Lookup'!D:F,3,0),Table2[[#This Row],[Manual Cat Value]])</f>
        <v>#N/A</v>
      </c>
      <c r="J6614" s="2">
        <v>-431</v>
      </c>
      <c r="K6614" s="2" t="b">
        <v>0</v>
      </c>
      <c r="L6614" s="2"/>
      <c r="M6614" s="2"/>
      <c r="N6614" s="4" t="s">
        <v>2273</v>
      </c>
      <c r="O6614" s="4" t="str">
        <f>LEFT(Table2[[#This Row],[Description]],75)</f>
        <v>Principal Curtailment</v>
      </c>
      <c r="P6614" s="2" t="s">
        <v>2514</v>
      </c>
    </row>
    <row r="6615" spans="1:16" hidden="1">
      <c r="A6615" s="2">
        <v>202202</v>
      </c>
      <c r="B6615" s="3">
        <v>44593</v>
      </c>
      <c r="C6615" s="2" t="s">
        <v>2262</v>
      </c>
      <c r="D6615" s="2" t="s">
        <v>1544</v>
      </c>
      <c r="E6615" s="2">
        <v>71.19</v>
      </c>
      <c r="F6615" s="2" t="e">
        <f>IF(Table2[[#This Row],[Manual Cat Value]]="",VLOOKUP(Table2[[#This Row],[Description]],'Actuals Lookup'!D:F,3,0),Table2[[#This Row],[Manual Cat Value]])</f>
        <v>#N/A</v>
      </c>
      <c r="J6615" s="2">
        <v>-71.19</v>
      </c>
      <c r="K6615" s="2" t="b">
        <v>0</v>
      </c>
      <c r="L6615" s="2"/>
      <c r="M6615" s="2"/>
      <c r="N6615" s="4" t="s">
        <v>2273</v>
      </c>
      <c r="O6615" s="4" t="str">
        <f>LEFT(Table2[[#This Row],[Description]],75)</f>
        <v>Rally House Ks</v>
      </c>
      <c r="P6615" s="2" t="s">
        <v>2467</v>
      </c>
    </row>
    <row r="6616" spans="1:16" hidden="1">
      <c r="A6616" s="2">
        <v>202202</v>
      </c>
      <c r="B6616" s="3">
        <v>44593</v>
      </c>
      <c r="C6616" s="2" t="s">
        <v>2262</v>
      </c>
      <c r="D6616" s="2" t="s">
        <v>1547</v>
      </c>
      <c r="E6616" s="2">
        <v>4</v>
      </c>
      <c r="F6616" s="2" t="e">
        <f>IF(Table2[[#This Row],[Manual Cat Value]]="",VLOOKUP(Table2[[#This Row],[Description]],'Actuals Lookup'!D:F,3,0),Table2[[#This Row],[Manual Cat Value]])</f>
        <v>#N/A</v>
      </c>
      <c r="J6616" s="2">
        <v>4</v>
      </c>
      <c r="K6616" s="2" t="b">
        <v>0</v>
      </c>
      <c r="L6616" s="2"/>
      <c r="M6616" s="2"/>
      <c r="N6616" s="4" t="s">
        <v>2259</v>
      </c>
      <c r="O6616" s="4" t="str">
        <f>LEFT(Table2[[#This Row],[Description]],75)</f>
        <v>Ramp B B RAMP 8066 MINNEAPOLIS MN</v>
      </c>
      <c r="P6616" s="2" t="s">
        <v>2281</v>
      </c>
    </row>
    <row r="6617" spans="1:16" hidden="1">
      <c r="A6617" s="2">
        <v>202202</v>
      </c>
      <c r="B6617" s="3">
        <v>44593</v>
      </c>
      <c r="C6617" s="2" t="s">
        <v>2265</v>
      </c>
      <c r="D6617" s="2" t="s">
        <v>1877</v>
      </c>
      <c r="E6617" s="2">
        <v>618.65</v>
      </c>
      <c r="F6617" s="2" t="e">
        <f>IF(Table2[[#This Row],[Manual Cat Value]]="",VLOOKUP(Table2[[#This Row],[Description]],'Actuals Lookup'!D:F,3,0),Table2[[#This Row],[Manual Cat Value]])</f>
        <v>#N/A</v>
      </c>
      <c r="J6617" s="2">
        <v>618.65</v>
      </c>
      <c r="K6617" s="2" t="b">
        <v>0</v>
      </c>
      <c r="L6617" s="2"/>
      <c r="M6617" s="2"/>
      <c r="N6617" s="4" t="s">
        <v>2259</v>
      </c>
      <c r="O6617" s="4" t="str">
        <f>LEFT(Table2[[#This Row],[Description]],75)</f>
        <v>To Loan 02</v>
      </c>
      <c r="P6617" s="2" t="s">
        <v>2316</v>
      </c>
    </row>
    <row r="6618" spans="1:16" hidden="1">
      <c r="A6618" s="2">
        <v>202202</v>
      </c>
      <c r="B6618" s="3">
        <v>44594</v>
      </c>
      <c r="C6618" s="2" t="s">
        <v>2447</v>
      </c>
      <c r="D6618" s="2" t="s">
        <v>38</v>
      </c>
      <c r="E6618" s="2">
        <v>50.02</v>
      </c>
      <c r="F6618" s="2" t="str">
        <f>IF(Table2[[#This Row],[Manual Cat Value]]="",VLOOKUP(Table2[[#This Row],[Description]],'Actuals Lookup'!D:F,3,0),Table2[[#This Row],[Manual Cat Value]])</f>
        <v>Amazon</v>
      </c>
      <c r="J6618" s="2">
        <v>50.02</v>
      </c>
      <c r="K6618" s="2" t="b">
        <v>0</v>
      </c>
      <c r="L6618" s="2"/>
      <c r="M6618" s="2"/>
      <c r="N6618" s="4" t="s">
        <v>2259</v>
      </c>
      <c r="O6618" s="4" t="str">
        <f>LEFT(Table2[[#This Row],[Description]],75)</f>
        <v>Amazon</v>
      </c>
      <c r="P6618" s="2" t="s">
        <v>2260</v>
      </c>
    </row>
    <row r="6619" spans="1:16" hidden="1">
      <c r="A6619" s="2">
        <v>202202</v>
      </c>
      <c r="B6619" s="3">
        <v>44595</v>
      </c>
      <c r="C6619" s="2" t="s">
        <v>2262</v>
      </c>
      <c r="D6619" s="2" t="s">
        <v>38</v>
      </c>
      <c r="E6619" s="2">
        <v>127.78</v>
      </c>
      <c r="F6619" s="2" t="str">
        <f>IF(Table2[[#This Row],[Manual Cat Value]]="",VLOOKUP(Table2[[#This Row],[Description]],'Actuals Lookup'!D:F,3,0),Table2[[#This Row],[Manual Cat Value]])</f>
        <v>Amazon</v>
      </c>
      <c r="J6619" s="2">
        <v>127.78</v>
      </c>
      <c r="K6619" s="2" t="b">
        <v>0</v>
      </c>
      <c r="L6619" s="2"/>
      <c r="M6619" s="2"/>
      <c r="N6619" s="4" t="s">
        <v>2259</v>
      </c>
      <c r="O6619" s="4" t="str">
        <f>LEFT(Table2[[#This Row],[Description]],75)</f>
        <v>Amazon</v>
      </c>
      <c r="P6619" s="2" t="s">
        <v>2260</v>
      </c>
    </row>
    <row r="6620" spans="1:16" hidden="1">
      <c r="A6620" s="2">
        <v>202202</v>
      </c>
      <c r="B6620" s="3">
        <v>44595</v>
      </c>
      <c r="C6620" s="2" t="s">
        <v>2265</v>
      </c>
      <c r="D6620" s="2" t="s">
        <v>420</v>
      </c>
      <c r="E6620" s="2">
        <v>2493.8200000000002</v>
      </c>
      <c r="F6620" s="2" t="e">
        <f>IF(Table2[[#This Row],[Manual Cat Value]]="",VLOOKUP(Table2[[#This Row],[Description]],'Actuals Lookup'!D:F,3,0),Table2[[#This Row],[Manual Cat Value]])</f>
        <v>#N/A</v>
      </c>
      <c r="J6620" s="2">
        <v>-2493.8200000000002</v>
      </c>
      <c r="K6620" s="2" t="b">
        <v>0</v>
      </c>
      <c r="L6620" s="2"/>
      <c r="M6620" s="2"/>
      <c r="N6620" s="4" t="s">
        <v>2273</v>
      </c>
      <c r="O6620" s="4" t="str">
        <f>LEFT(Table2[[#This Row],[Description]],75)</f>
        <v>Cargill Inc Deposit CARGILL INCORPOR TYPE DIRECT DEP ID CO CARGILL INCORPOR</v>
      </c>
      <c r="P6620" s="2" t="s">
        <v>2545</v>
      </c>
    </row>
    <row r="6621" spans="1:16" hidden="1">
      <c r="A6621" s="2">
        <v>202202</v>
      </c>
      <c r="B6621" s="3">
        <v>44595</v>
      </c>
      <c r="C6621" s="2" t="s">
        <v>2262</v>
      </c>
      <c r="D6621" s="2" t="s">
        <v>927</v>
      </c>
      <c r="E6621" s="2">
        <v>18</v>
      </c>
      <c r="F6621" s="2" t="e">
        <f>IF(Table2[[#This Row],[Manual Cat Value]]="",VLOOKUP(Table2[[#This Row],[Description]],'Actuals Lookup'!D:F,3,0),Table2[[#This Row],[Manual Cat Value]])</f>
        <v>#N/A</v>
      </c>
      <c r="J6621" s="2">
        <v>18</v>
      </c>
      <c r="K6621" s="2" t="b">
        <v>0</v>
      </c>
      <c r="L6621" s="2"/>
      <c r="M6621" s="2"/>
      <c r="N6621" s="4" t="s">
        <v>2259</v>
      </c>
      <c r="O6621" s="4" t="str">
        <f>LEFT(Table2[[#This Row],[Description]],75)</f>
        <v>HBRSUBSCRIPTION XX0886 MA HBRSUBSCRIPTION 8009880886 MA</v>
      </c>
      <c r="P6621" s="2" t="s">
        <v>2564</v>
      </c>
    </row>
    <row r="6622" spans="1:16" hidden="1">
      <c r="A6622" s="2">
        <v>202202</v>
      </c>
      <c r="B6622" s="3">
        <v>44595</v>
      </c>
      <c r="C6622" s="2" t="s">
        <v>2262</v>
      </c>
      <c r="D6622" s="2" t="s">
        <v>1544</v>
      </c>
      <c r="E6622" s="2">
        <v>72.19</v>
      </c>
      <c r="F6622" s="2" t="e">
        <f>IF(Table2[[#This Row],[Manual Cat Value]]="",VLOOKUP(Table2[[#This Row],[Description]],'Actuals Lookup'!D:F,3,0),Table2[[#This Row],[Manual Cat Value]])</f>
        <v>#N/A</v>
      </c>
      <c r="J6622" s="2">
        <v>-72.19</v>
      </c>
      <c r="K6622" s="2" t="b">
        <v>0</v>
      </c>
      <c r="L6622" s="2"/>
      <c r="M6622" s="2"/>
      <c r="N6622" s="4" t="s">
        <v>2273</v>
      </c>
      <c r="O6622" s="4" t="str">
        <f>LEFT(Table2[[#This Row],[Description]],75)</f>
        <v>Rally House Ks</v>
      </c>
      <c r="P6622" s="2" t="s">
        <v>2467</v>
      </c>
    </row>
    <row r="6623" spans="1:16" hidden="1">
      <c r="A6623" s="2">
        <v>202202</v>
      </c>
      <c r="B6623" s="3">
        <v>44596</v>
      </c>
      <c r="C6623" s="2" t="s">
        <v>2262</v>
      </c>
      <c r="D6623" s="2" t="s">
        <v>338</v>
      </c>
      <c r="E6623" s="2">
        <v>65.72</v>
      </c>
      <c r="F6623" s="2" t="e">
        <f>IF(Table2[[#This Row],[Manual Cat Value]]="",VLOOKUP(Table2[[#This Row],[Description]],'Actuals Lookup'!D:F,3,0),Table2[[#This Row],[Manual Cat Value]])</f>
        <v>#N/A</v>
      </c>
      <c r="J6623" s="2">
        <v>65.72</v>
      </c>
      <c r="K6623" s="2" t="b">
        <v>0</v>
      </c>
      <c r="L6623" s="2"/>
      <c r="M6623" s="2"/>
      <c r="N6623" s="4" t="s">
        <v>2259</v>
      </c>
      <c r="O6623" s="4" t="str">
        <f>LEFT(Table2[[#This Row],[Description]],75)</f>
        <v>Byerly's</v>
      </c>
      <c r="P6623" s="2" t="s">
        <v>2364</v>
      </c>
    </row>
    <row r="6624" spans="1:16" hidden="1">
      <c r="A6624" s="2">
        <v>202202</v>
      </c>
      <c r="B6624" s="3">
        <v>44596</v>
      </c>
      <c r="C6624" s="2" t="s">
        <v>2262</v>
      </c>
      <c r="D6624" s="2" t="s">
        <v>1928</v>
      </c>
      <c r="E6624" s="2">
        <v>81.8</v>
      </c>
      <c r="F6624" s="2" t="e">
        <f>IF(Table2[[#This Row],[Manual Cat Value]]="",VLOOKUP(Table2[[#This Row],[Description]],'Actuals Lookup'!D:F,3,0),Table2[[#This Row],[Manual Cat Value]])</f>
        <v>#N/A</v>
      </c>
      <c r="J6624" s="2">
        <v>81.8</v>
      </c>
      <c r="K6624" s="2" t="b">
        <v>0</v>
      </c>
      <c r="L6624" s="2"/>
      <c r="M6624" s="2"/>
      <c r="N6624" s="4" t="s">
        <v>2259</v>
      </c>
      <c r="O6624" s="4" t="str">
        <f>LEFT(Table2[[#This Row],[Description]],75)</f>
        <v>Total Wine More</v>
      </c>
      <c r="P6624" s="2" t="s">
        <v>2556</v>
      </c>
    </row>
    <row r="6625" spans="1:16" hidden="1">
      <c r="A6625" s="2">
        <v>202202</v>
      </c>
      <c r="B6625" s="3">
        <v>44597</v>
      </c>
      <c r="C6625" s="2" t="s">
        <v>2447</v>
      </c>
      <c r="D6625" s="2" t="s">
        <v>38</v>
      </c>
      <c r="E6625" s="2">
        <v>19.63</v>
      </c>
      <c r="F6625" s="2" t="str">
        <f>IF(Table2[[#This Row],[Manual Cat Value]]="",VLOOKUP(Table2[[#This Row],[Description]],'Actuals Lookup'!D:F,3,0),Table2[[#This Row],[Manual Cat Value]])</f>
        <v>Amazon</v>
      </c>
      <c r="J6625" s="2">
        <v>19.63</v>
      </c>
      <c r="K6625" s="2" t="b">
        <v>0</v>
      </c>
      <c r="L6625" s="2"/>
      <c r="M6625" s="2"/>
      <c r="N6625" s="4" t="s">
        <v>2259</v>
      </c>
      <c r="O6625" s="4" t="str">
        <f>LEFT(Table2[[#This Row],[Description]],75)</f>
        <v>Amazon</v>
      </c>
      <c r="P6625" s="2" t="s">
        <v>2260</v>
      </c>
    </row>
    <row r="6626" spans="1:16" hidden="1">
      <c r="A6626" s="2">
        <v>202202</v>
      </c>
      <c r="B6626" s="3">
        <v>44598</v>
      </c>
      <c r="C6626" s="2" t="s">
        <v>2447</v>
      </c>
      <c r="D6626" s="2" t="s">
        <v>38</v>
      </c>
      <c r="E6626" s="2">
        <v>19.63</v>
      </c>
      <c r="F6626" s="2" t="str">
        <f>IF(Table2[[#This Row],[Manual Cat Value]]="",VLOOKUP(Table2[[#This Row],[Description]],'Actuals Lookup'!D:F,3,0),Table2[[#This Row],[Manual Cat Value]])</f>
        <v>Amazon</v>
      </c>
      <c r="J6626" s="2">
        <v>19.63</v>
      </c>
      <c r="K6626" s="2" t="b">
        <v>0</v>
      </c>
      <c r="L6626" s="2"/>
      <c r="M6626" s="2"/>
      <c r="N6626" s="4" t="s">
        <v>2259</v>
      </c>
      <c r="O6626" s="4" t="str">
        <f>LEFT(Table2[[#This Row],[Description]],75)</f>
        <v>Amazon</v>
      </c>
      <c r="P6626" s="2" t="s">
        <v>2260</v>
      </c>
    </row>
    <row r="6627" spans="1:16" hidden="1">
      <c r="A6627" s="2">
        <v>202202</v>
      </c>
      <c r="B6627" s="3">
        <v>44598</v>
      </c>
      <c r="C6627" s="2" t="s">
        <v>2262</v>
      </c>
      <c r="D6627" s="2" t="s">
        <v>313</v>
      </c>
      <c r="E6627" s="2">
        <v>143.49</v>
      </c>
      <c r="F6627" s="2" t="e">
        <f>IF(Table2[[#This Row],[Manual Cat Value]]="",VLOOKUP(Table2[[#This Row],[Description]],'Actuals Lookup'!D:F,3,0),Table2[[#This Row],[Manual Cat Value]])</f>
        <v>#N/A</v>
      </c>
      <c r="J6627" s="2">
        <v>143.49</v>
      </c>
      <c r="K6627" s="2" t="b">
        <v>0</v>
      </c>
      <c r="L6627" s="2"/>
      <c r="M6627" s="2"/>
      <c r="N6627" s="4" t="s">
        <v>2259</v>
      </c>
      <c r="O6627" s="4" t="str">
        <f>LEFT(Table2[[#This Row],[Description]],75)</f>
        <v>Borough</v>
      </c>
      <c r="P6627" s="2" t="s">
        <v>2263</v>
      </c>
    </row>
    <row r="6628" spans="1:16" hidden="1">
      <c r="A6628" s="2">
        <v>202202</v>
      </c>
      <c r="B6628" s="3">
        <v>44598</v>
      </c>
      <c r="C6628" s="2" t="s">
        <v>2262</v>
      </c>
      <c r="D6628" s="2" t="s">
        <v>1071</v>
      </c>
      <c r="E6628" s="2">
        <v>47</v>
      </c>
      <c r="F6628" s="2" t="e">
        <f>IF(Table2[[#This Row],[Manual Cat Value]]="",VLOOKUP(Table2[[#This Row],[Description]],'Actuals Lookup'!D:F,3,0),Table2[[#This Row],[Manual Cat Value]])</f>
        <v>#N/A</v>
      </c>
      <c r="J6628" s="2">
        <v>47</v>
      </c>
      <c r="K6628" s="2" t="b">
        <v>0</v>
      </c>
      <c r="L6628" s="2"/>
      <c r="M6628" s="2"/>
      <c r="N6628" s="4" t="s">
        <v>2259</v>
      </c>
      <c r="O6628" s="4" t="str">
        <f>LEFT(Table2[[#This Row],[Description]],75)</f>
        <v>KIDS HAIR CH CHANHASSEN MN KIDS HAIR CH CHANHASSEN MN</v>
      </c>
      <c r="P6628" s="2" t="s">
        <v>2281</v>
      </c>
    </row>
    <row r="6629" spans="1:16" hidden="1">
      <c r="A6629" s="2">
        <v>202202</v>
      </c>
      <c r="B6629" s="3">
        <v>44598</v>
      </c>
      <c r="C6629" s="2" t="s">
        <v>2262</v>
      </c>
      <c r="D6629" s="2" t="s">
        <v>1083</v>
      </c>
      <c r="E6629" s="2">
        <v>48.92</v>
      </c>
      <c r="F6629" s="2" t="str">
        <f>IF(Table2[[#This Row],[Manual Cat Value]]="",VLOOKUP(Table2[[#This Row],[Description]],'Actuals Lookup'!D:F,3,0),Table2[[#This Row],[Manual Cat Value]])</f>
        <v>Transportation</v>
      </c>
      <c r="J6629" s="2">
        <v>48.92</v>
      </c>
      <c r="K6629" s="2" t="b">
        <v>0</v>
      </c>
      <c r="L6629" s="2"/>
      <c r="M6629" s="2"/>
      <c r="N6629" s="4" t="s">
        <v>2259</v>
      </c>
      <c r="O6629" s="4" t="str">
        <f>LEFT(Table2[[#This Row],[Description]],75)</f>
        <v>Kwik Trip</v>
      </c>
      <c r="P6629" s="2" t="s">
        <v>2509</v>
      </c>
    </row>
    <row r="6630" spans="1:16" hidden="1">
      <c r="A6630" s="2">
        <v>202202</v>
      </c>
      <c r="B6630" s="3">
        <v>44598</v>
      </c>
      <c r="C6630" s="2" t="s">
        <v>2262</v>
      </c>
      <c r="D6630" s="2" t="s">
        <v>1327</v>
      </c>
      <c r="E6630" s="2">
        <v>36.130000000000003</v>
      </c>
      <c r="F6630" s="2" t="e">
        <f>IF(Table2[[#This Row],[Manual Cat Value]]="",VLOOKUP(Table2[[#This Row],[Description]],'Actuals Lookup'!D:F,3,0),Table2[[#This Row],[Manual Cat Value]])</f>
        <v>#N/A</v>
      </c>
      <c r="J6630" s="2">
        <v>36.130000000000003</v>
      </c>
      <c r="K6630" s="2" t="b">
        <v>0</v>
      </c>
      <c r="L6630" s="2"/>
      <c r="M6630" s="2"/>
      <c r="N6630" s="4" t="s">
        <v>2259</v>
      </c>
      <c r="O6630" s="4" t="str">
        <f>LEFT(Table2[[#This Row],[Description]],75)</f>
        <v>MONTE CARLO MINNEAPOLIS MN</v>
      </c>
      <c r="P6630" s="2" t="s">
        <v>2589</v>
      </c>
    </row>
    <row r="6631" spans="1:16" hidden="1">
      <c r="A6631" s="2">
        <v>202202</v>
      </c>
      <c r="B6631" s="3">
        <v>44598</v>
      </c>
      <c r="C6631" s="2" t="s">
        <v>2262</v>
      </c>
      <c r="D6631" s="2" t="s">
        <v>1752</v>
      </c>
      <c r="E6631" s="2">
        <v>6.37</v>
      </c>
      <c r="F6631" s="2" t="e">
        <f>IF(Table2[[#This Row],[Manual Cat Value]]="",VLOOKUP(Table2[[#This Row],[Description]],'Actuals Lookup'!D:F,3,0),Table2[[#This Row],[Manual Cat Value]])</f>
        <v>#N/A</v>
      </c>
      <c r="J6631" s="2">
        <v>6.37</v>
      </c>
      <c r="K6631" s="2" t="b">
        <v>0</v>
      </c>
      <c r="L6631" s="2"/>
      <c r="M6631" s="2"/>
      <c r="N6631" s="4" t="s">
        <v>2259</v>
      </c>
      <c r="O6631" s="4" t="str">
        <f>LEFT(Table2[[#This Row],[Description]],75)</f>
        <v>SQ RUBYS ROOST VICTORIAVictoria MN</v>
      </c>
      <c r="P6631" s="2" t="s">
        <v>2590</v>
      </c>
    </row>
    <row r="6632" spans="1:16" hidden="1">
      <c r="A6632" s="2">
        <v>202202</v>
      </c>
      <c r="B6632" s="3">
        <v>44598</v>
      </c>
      <c r="C6632" s="2" t="s">
        <v>2262</v>
      </c>
      <c r="D6632" s="2" t="s">
        <v>2059</v>
      </c>
      <c r="E6632" s="2">
        <v>39.06</v>
      </c>
      <c r="F6632" s="2" t="e">
        <f>IF(Table2[[#This Row],[Manual Cat Value]]="",VLOOKUP(Table2[[#This Row],[Description]],'Actuals Lookup'!D:F,3,0),Table2[[#This Row],[Manual Cat Value]])</f>
        <v>#N/A</v>
      </c>
      <c r="J6632" s="2">
        <v>39.06</v>
      </c>
      <c r="K6632" s="2" t="b">
        <v>0</v>
      </c>
      <c r="L6632" s="2"/>
      <c r="M6632" s="2"/>
      <c r="N6632" s="4" t="s">
        <v>2259</v>
      </c>
      <c r="O6632" s="4" t="str">
        <f>LEFT(Table2[[#This Row],[Description]],75)</f>
        <v>Tullibee</v>
      </c>
      <c r="P6632" s="2" t="s">
        <v>2281</v>
      </c>
    </row>
    <row r="6633" spans="1:16" hidden="1">
      <c r="A6633" s="2">
        <v>202202</v>
      </c>
      <c r="B6633" s="3">
        <v>44598</v>
      </c>
      <c r="C6633" s="2" t="s">
        <v>2262</v>
      </c>
      <c r="D6633" s="2" t="s">
        <v>2079</v>
      </c>
      <c r="E6633" s="2">
        <v>42.17</v>
      </c>
      <c r="F6633" s="2" t="str">
        <f>IF(Table2[[#This Row],[Manual Cat Value]]="",VLOOKUP(Table2[[#This Row],[Description]],'Actuals Lookup'!D:F,3,0),Table2[[#This Row],[Manual Cat Value]])</f>
        <v>Restaurants</v>
      </c>
      <c r="J6633" s="2">
        <v>42.17</v>
      </c>
      <c r="K6633" s="2" t="b">
        <v>0</v>
      </c>
      <c r="L6633" s="2"/>
      <c r="M6633" s="2"/>
      <c r="N6633" s="4" t="s">
        <v>2259</v>
      </c>
      <c r="O6633" s="4" t="str">
        <f>LEFT(Table2[[#This Row],[Description]],75)</f>
        <v>Uber Eats</v>
      </c>
      <c r="P6633" s="2" t="s">
        <v>2582</v>
      </c>
    </row>
    <row r="6634" spans="1:16" hidden="1">
      <c r="A6634" s="2">
        <v>202202</v>
      </c>
      <c r="B6634" s="3">
        <v>44599</v>
      </c>
      <c r="C6634" s="2" t="s">
        <v>2262</v>
      </c>
      <c r="D6634" s="2" t="s">
        <v>674</v>
      </c>
      <c r="E6634" s="2">
        <v>527.05999999999995</v>
      </c>
      <c r="F6634" s="2" t="e">
        <f>IF(Table2[[#This Row],[Manual Cat Value]]="",VLOOKUP(Table2[[#This Row],[Description]],'Actuals Lookup'!D:F,3,0),Table2[[#This Row],[Manual Cat Value]])</f>
        <v>#N/A</v>
      </c>
      <c r="J6634" s="2">
        <v>-527.05999999999995</v>
      </c>
      <c r="K6634" s="2" t="b">
        <v>0</v>
      </c>
      <c r="L6634" s="2"/>
      <c r="M6634" s="2"/>
      <c r="N6634" s="4" t="s">
        <v>2273</v>
      </c>
      <c r="O6634" s="4" t="str">
        <f>LEFT(Table2[[#This Row],[Description]],75)</f>
        <v>Credit Card Payment Received PAYMENT THANK YOU</v>
      </c>
      <c r="P6634" s="2" t="s">
        <v>2560</v>
      </c>
    </row>
    <row r="6635" spans="1:16" hidden="1">
      <c r="A6635" s="2">
        <v>202202</v>
      </c>
      <c r="B6635" s="3">
        <v>44599</v>
      </c>
      <c r="C6635" s="2" t="s">
        <v>2265</v>
      </c>
      <c r="D6635" s="2" t="s">
        <v>2203</v>
      </c>
      <c r="E6635" s="2">
        <v>527.05999999999995</v>
      </c>
      <c r="F6635" s="2" t="e">
        <f>IF(Table2[[#This Row],[Manual Cat Value]]="",VLOOKUP(Table2[[#This Row],[Description]],'Actuals Lookup'!D:F,3,0),Table2[[#This Row],[Manual Cat Value]])</f>
        <v>#N/A</v>
      </c>
      <c r="J6635" s="2">
        <v>527.05999999999995</v>
      </c>
      <c r="K6635" s="2" t="b">
        <v>0</v>
      </c>
      <c r="L6635" s="2"/>
      <c r="M6635" s="2"/>
      <c r="N6635" s="4" t="s">
        <v>2259</v>
      </c>
      <c r="O6635" s="4" t="str">
        <f>LEFT(Table2[[#This Row],[Description]],75)</f>
        <v>Withdrawal Home payment to card XX91 Withdrawal Home payment to card 979181</v>
      </c>
      <c r="P6635" s="2" t="s">
        <v>2559</v>
      </c>
    </row>
    <row r="6636" spans="1:16" hidden="1">
      <c r="A6636" s="2">
        <v>202202</v>
      </c>
      <c r="B6636" s="3">
        <v>44599</v>
      </c>
      <c r="C6636" s="2" t="s">
        <v>2262</v>
      </c>
      <c r="D6636" s="2" t="s">
        <v>1171</v>
      </c>
      <c r="E6636" s="2">
        <v>60.68</v>
      </c>
      <c r="F6636" s="2" t="e">
        <f>IF(Table2[[#This Row],[Manual Cat Value]]="",VLOOKUP(Table2[[#This Row],[Description]],'Actuals Lookup'!D:F,3,0),Table2[[#This Row],[Manual Cat Value]])</f>
        <v>#N/A</v>
      </c>
      <c r="J6636" s="2">
        <v>60.68</v>
      </c>
      <c r="K6636" s="2" t="b">
        <v>0</v>
      </c>
      <c r="L6636" s="2"/>
      <c r="M6636" s="2"/>
      <c r="N6636" s="4" t="s">
        <v>2259</v>
      </c>
      <c r="O6636" s="4" t="str">
        <f>LEFT(Table2[[#This Row],[Description]],75)</f>
        <v>MACKENTHUNSMEATSANDDELI ST BONIF MACKENTHUNSMEATSANDDELI ST BONIFACIUSMN</v>
      </c>
      <c r="P6636" s="2" t="s">
        <v>2516</v>
      </c>
    </row>
    <row r="6637" spans="1:16" hidden="1">
      <c r="A6637" s="2">
        <v>202202</v>
      </c>
      <c r="B6637" s="3">
        <v>44599</v>
      </c>
      <c r="C6637" s="2" t="s">
        <v>2265</v>
      </c>
      <c r="D6637" s="2" t="s">
        <v>1471</v>
      </c>
      <c r="E6637" s="2">
        <v>4.3099999999999996</v>
      </c>
      <c r="F6637" s="2" t="str">
        <f>IF(Table2[[#This Row],[Manual Cat Value]]="",VLOOKUP(Table2[[#This Row],[Description]],'Actuals Lookup'!D:F,3,0),Table2[[#This Row],[Manual Cat Value]])</f>
        <v>Shopping</v>
      </c>
      <c r="J6637" s="2">
        <v>4.3099999999999996</v>
      </c>
      <c r="K6637" s="2" t="b">
        <v>0</v>
      </c>
      <c r="L6637" s="2"/>
      <c r="M6637" s="2"/>
      <c r="N6637" s="4" t="s">
        <v>2259</v>
      </c>
      <c r="O6637" s="4" t="str">
        <f>LEFT(Table2[[#This Row],[Description]],75)</f>
        <v>PayPal</v>
      </c>
      <c r="P6637" s="2" t="s">
        <v>2322</v>
      </c>
    </row>
    <row r="6638" spans="1:16" hidden="1">
      <c r="A6638" s="2">
        <v>202202</v>
      </c>
      <c r="B6638" s="3">
        <v>44599</v>
      </c>
      <c r="C6638" s="2" t="s">
        <v>2265</v>
      </c>
      <c r="D6638" s="2" t="s">
        <v>1471</v>
      </c>
      <c r="E6638" s="2">
        <v>10</v>
      </c>
      <c r="F6638" s="2" t="str">
        <f>IF(Table2[[#This Row],[Manual Cat Value]]="",VLOOKUP(Table2[[#This Row],[Description]],'Actuals Lookup'!D:F,3,0),Table2[[#This Row],[Manual Cat Value]])</f>
        <v>Shopping</v>
      </c>
      <c r="J6638" s="2">
        <v>10</v>
      </c>
      <c r="K6638" s="2" t="b">
        <v>0</v>
      </c>
      <c r="L6638" s="2"/>
      <c r="M6638" s="2"/>
      <c r="N6638" s="4" t="s">
        <v>2259</v>
      </c>
      <c r="O6638" s="4" t="str">
        <f>LEFT(Table2[[#This Row],[Description]],75)</f>
        <v>PayPal</v>
      </c>
      <c r="P6638" s="2" t="s">
        <v>2322</v>
      </c>
    </row>
    <row r="6639" spans="1:16" hidden="1">
      <c r="A6639" s="2">
        <v>202202</v>
      </c>
      <c r="B6639" s="3">
        <v>44599</v>
      </c>
      <c r="C6639" s="2" t="s">
        <v>2338</v>
      </c>
      <c r="D6639" s="2" t="s">
        <v>1820</v>
      </c>
      <c r="E6639" s="2">
        <v>807.7</v>
      </c>
      <c r="F6639" s="2" t="e">
        <f>IF(Table2[[#This Row],[Manual Cat Value]]="",VLOOKUP(Table2[[#This Row],[Description]],'Actuals Lookup'!D:F,3,0),Table2[[#This Row],[Manual Cat Value]])</f>
        <v>#N/A</v>
      </c>
      <c r="J6639" s="2">
        <v>-807.7</v>
      </c>
      <c r="K6639" s="2" t="b">
        <v>0</v>
      </c>
      <c r="L6639" s="2"/>
      <c r="M6639" s="2"/>
      <c r="N6639" s="4" t="s">
        <v>2273</v>
      </c>
      <c r="O6639" s="4" t="str">
        <f>LEFT(Table2[[#This Row],[Description]],75)</f>
        <v>Target Retire 2055 Tr P - Plan Contribution</v>
      </c>
      <c r="P6639" s="2" t="s">
        <v>2386</v>
      </c>
    </row>
    <row r="6640" spans="1:16" hidden="1">
      <c r="A6640" s="2">
        <v>202202</v>
      </c>
      <c r="B6640" s="3">
        <v>44600</v>
      </c>
      <c r="C6640" s="2" t="s">
        <v>2447</v>
      </c>
      <c r="D6640" s="2" t="s">
        <v>38</v>
      </c>
      <c r="E6640" s="2">
        <v>39.700000000000003</v>
      </c>
      <c r="F6640" s="2" t="str">
        <f>IF(Table2[[#This Row],[Manual Cat Value]]="",VLOOKUP(Table2[[#This Row],[Description]],'Actuals Lookup'!D:F,3,0),Table2[[#This Row],[Manual Cat Value]])</f>
        <v>Amazon</v>
      </c>
      <c r="J6640" s="2">
        <v>39.700000000000003</v>
      </c>
      <c r="K6640" s="2" t="b">
        <v>0</v>
      </c>
      <c r="L6640" s="2"/>
      <c r="M6640" s="2"/>
      <c r="N6640" s="4" t="s">
        <v>2259</v>
      </c>
      <c r="O6640" s="4" t="str">
        <f>LEFT(Table2[[#This Row],[Description]],75)</f>
        <v>Amazon</v>
      </c>
      <c r="P6640" s="2" t="s">
        <v>2260</v>
      </c>
    </row>
    <row r="6641" spans="1:16" hidden="1">
      <c r="A6641" s="2">
        <v>202202</v>
      </c>
      <c r="B6641" s="3">
        <v>44600</v>
      </c>
      <c r="C6641" s="2" t="s">
        <v>2262</v>
      </c>
      <c r="D6641" s="2" t="s">
        <v>339</v>
      </c>
      <c r="E6641" s="2">
        <v>125</v>
      </c>
      <c r="F6641" s="2" t="e">
        <f>IF(Table2[[#This Row],[Manual Cat Value]]="",VLOOKUP(Table2[[#This Row],[Description]],'Actuals Lookup'!D:F,3,0),Table2[[#This Row],[Manual Cat Value]])</f>
        <v>#N/A</v>
      </c>
      <c r="J6641" s="2">
        <v>125</v>
      </c>
      <c r="K6641" s="2" t="b">
        <v>0</v>
      </c>
      <c r="L6641" s="2"/>
      <c r="M6641" s="2"/>
      <c r="N6641" s="4" t="s">
        <v>2259</v>
      </c>
      <c r="O6641" s="4" t="str">
        <f>LEFT(Table2[[#This Row],[Description]],75)</f>
        <v>C3 YOUTH LACROSSE WWWCHASKALACMN C3 YOUTH LACROSSE WWWCHASKALACMN</v>
      </c>
      <c r="P6641" s="2" t="s">
        <v>2281</v>
      </c>
    </row>
    <row r="6642" spans="1:16" hidden="1">
      <c r="A6642" s="2">
        <v>202202</v>
      </c>
      <c r="B6642" s="3">
        <v>44600</v>
      </c>
      <c r="C6642" s="2" t="s">
        <v>2265</v>
      </c>
      <c r="D6642" s="2" t="s">
        <v>1196</v>
      </c>
      <c r="E6642" s="2">
        <v>536.29999999999995</v>
      </c>
      <c r="F6642" s="2" t="e">
        <f>IF(Table2[[#This Row],[Manual Cat Value]]="",VLOOKUP(Table2[[#This Row],[Description]],'Actuals Lookup'!D:F,3,0),Table2[[#This Row],[Manual Cat Value]])</f>
        <v>#N/A</v>
      </c>
      <c r="J6642" s="2">
        <v>536.29999999999995</v>
      </c>
      <c r="K6642" s="2" t="b">
        <v>0</v>
      </c>
      <c r="L6642" s="2"/>
      <c r="M6642" s="2"/>
      <c r="N6642" s="4" t="s">
        <v>2259</v>
      </c>
      <c r="O6642" s="4" t="str">
        <f>LEFT(Table2[[#This Row],[Description]],75)</f>
        <v>MHCHILDCARELLC TYPE DUES ID CO M MHCHILDCARELLC TYPE DUES ID CO MHCHILDCARE</v>
      </c>
      <c r="P6642" s="2" t="s">
        <v>2497</v>
      </c>
    </row>
    <row r="6643" spans="1:16" hidden="1">
      <c r="A6643" s="2">
        <v>202202</v>
      </c>
      <c r="B6643" s="3">
        <v>44600</v>
      </c>
      <c r="C6643" s="2" t="s">
        <v>2262</v>
      </c>
      <c r="D6643" s="2" t="s">
        <v>1357</v>
      </c>
      <c r="E6643" s="2">
        <v>21.84</v>
      </c>
      <c r="F6643" s="2" t="e">
        <f>IF(Table2[[#This Row],[Manual Cat Value]]="",VLOOKUP(Table2[[#This Row],[Description]],'Actuals Lookup'!D:F,3,0),Table2[[#This Row],[Manual Cat Value]])</f>
        <v>#N/A</v>
      </c>
      <c r="J6643" s="2">
        <v>21.84</v>
      </c>
      <c r="K6643" s="2" t="b">
        <v>0</v>
      </c>
      <c r="L6643" s="2"/>
      <c r="M6643" s="2"/>
      <c r="N6643" s="4" t="s">
        <v>2259</v>
      </c>
      <c r="O6643" s="4" t="str">
        <f>LEFT(Table2[[#This Row],[Description]],75)</f>
        <v>NORTH COOP CHAHASSEN MN</v>
      </c>
      <c r="P6643" s="2" t="s">
        <v>2326</v>
      </c>
    </row>
    <row r="6644" spans="1:16" hidden="1">
      <c r="A6644" s="2">
        <v>202202</v>
      </c>
      <c r="B6644" s="3">
        <v>44600</v>
      </c>
      <c r="C6644" s="2" t="s">
        <v>2262</v>
      </c>
      <c r="D6644" s="2" t="s">
        <v>1357</v>
      </c>
      <c r="E6644" s="2">
        <v>72.95</v>
      </c>
      <c r="F6644" s="2" t="e">
        <f>IF(Table2[[#This Row],[Manual Cat Value]]="",VLOOKUP(Table2[[#This Row],[Description]],'Actuals Lookup'!D:F,3,0),Table2[[#This Row],[Manual Cat Value]])</f>
        <v>#N/A</v>
      </c>
      <c r="J6644" s="2">
        <v>72.95</v>
      </c>
      <c r="K6644" s="2" t="b">
        <v>0</v>
      </c>
      <c r="L6644" s="2"/>
      <c r="M6644" s="2"/>
      <c r="N6644" s="4" t="s">
        <v>2259</v>
      </c>
      <c r="O6644" s="4" t="str">
        <f>LEFT(Table2[[#This Row],[Description]],75)</f>
        <v>NORTH COOP CHAHASSEN MN</v>
      </c>
      <c r="P6644" s="2" t="s">
        <v>2326</v>
      </c>
    </row>
    <row r="6645" spans="1:16" hidden="1">
      <c r="A6645" s="2">
        <v>202202</v>
      </c>
      <c r="B6645" s="3">
        <v>44600</v>
      </c>
      <c r="C6645" s="2" t="s">
        <v>2262</v>
      </c>
      <c r="D6645" s="2" t="s">
        <v>1497</v>
      </c>
      <c r="E6645" s="2">
        <v>12</v>
      </c>
      <c r="F6645" s="2" t="e">
        <f>IF(Table2[[#This Row],[Manual Cat Value]]="",VLOOKUP(Table2[[#This Row],[Description]],'Actuals Lookup'!D:F,3,0),Table2[[#This Row],[Manual Cat Value]])</f>
        <v>#N/A</v>
      </c>
      <c r="J6645" s="2">
        <v>12</v>
      </c>
      <c r="K6645" s="2" t="b">
        <v>0</v>
      </c>
      <c r="L6645" s="2"/>
      <c r="M6645" s="2"/>
      <c r="N6645" s="4" t="s">
        <v>2259</v>
      </c>
      <c r="O6645" s="4" t="str">
        <f>LEFT(Table2[[#This Row],[Description]],75)</f>
        <v>PLAZA RAMP 8069 MINNEAPOLIS MN PLAZA RAMP 8069 MINNEAPOLIS MN</v>
      </c>
      <c r="P6645" s="2" t="s">
        <v>2281</v>
      </c>
    </row>
    <row r="6646" spans="1:16" hidden="1">
      <c r="A6646" s="2">
        <v>202202</v>
      </c>
      <c r="B6646" s="3">
        <v>44600</v>
      </c>
      <c r="C6646" s="2" t="s">
        <v>2262</v>
      </c>
      <c r="D6646" s="2" t="s">
        <v>2095</v>
      </c>
      <c r="E6646" s="2">
        <v>15</v>
      </c>
      <c r="F6646" s="2" t="e">
        <f>IF(Table2[[#This Row],[Manual Cat Value]]="",VLOOKUP(Table2[[#This Row],[Description]],'Actuals Lookup'!D:F,3,0),Table2[[#This Row],[Manual Cat Value]])</f>
        <v>#N/A</v>
      </c>
      <c r="J6646" s="2">
        <v>15</v>
      </c>
      <c r="K6646" s="2" t="b">
        <v>0</v>
      </c>
      <c r="L6646" s="2"/>
      <c r="M6646" s="2"/>
      <c r="N6646" s="4" t="s">
        <v>2259</v>
      </c>
      <c r="O6646" s="4" t="str">
        <f>LEFT(Table2[[#This Row],[Description]],75)</f>
        <v>US Lacrosse Inc</v>
      </c>
      <c r="P6646" s="2" t="s">
        <v>2281</v>
      </c>
    </row>
    <row r="6647" spans="1:16" hidden="1">
      <c r="A6647" s="2">
        <v>202202</v>
      </c>
      <c r="B6647" s="3">
        <v>44600</v>
      </c>
      <c r="C6647" s="2" t="s">
        <v>2265</v>
      </c>
      <c r="D6647" s="2" t="s">
        <v>2140</v>
      </c>
      <c r="E6647" s="2">
        <v>150.38</v>
      </c>
      <c r="F6647" s="2" t="e">
        <f>IF(Table2[[#This Row],[Manual Cat Value]]="",VLOOKUP(Table2[[#This Row],[Description]],'Actuals Lookup'!D:F,3,0),Table2[[#This Row],[Manual Cat Value]])</f>
        <v>#N/A</v>
      </c>
      <c r="J6647" s="2">
        <v>150.38</v>
      </c>
      <c r="K6647" s="2" t="b">
        <v>0</v>
      </c>
      <c r="L6647" s="2"/>
      <c r="M6647" s="2"/>
      <c r="N6647" s="4" t="s">
        <v>2259</v>
      </c>
      <c r="O6647" s="4" t="str">
        <f>LEFT(Table2[[#This Row],[Description]],75)</f>
        <v>Waste Management</v>
      </c>
      <c r="P6647" s="2" t="s">
        <v>2318</v>
      </c>
    </row>
    <row r="6648" spans="1:16" hidden="1">
      <c r="A6648" s="2">
        <v>202202</v>
      </c>
      <c r="B6648" s="3">
        <v>44600</v>
      </c>
      <c r="C6648" s="2" t="s">
        <v>2265</v>
      </c>
      <c r="D6648" s="2" t="s">
        <v>2221</v>
      </c>
      <c r="E6648" s="2">
        <v>175.38</v>
      </c>
      <c r="F6648" s="2" t="str">
        <f>IF(Table2[[#This Row],[Manual Cat Value]]="",VLOOKUP(Table2[[#This Row],[Description]],'Actuals Lookup'!D:F,3,0),Table2[[#This Row],[Manual Cat Value]])</f>
        <v>Utilities</v>
      </c>
      <c r="J6648" s="2">
        <v>175.38</v>
      </c>
      <c r="K6648" s="2" t="b">
        <v>0</v>
      </c>
      <c r="L6648" s="2"/>
      <c r="M6648" s="2"/>
      <c r="N6648" s="4" t="s">
        <v>2259</v>
      </c>
      <c r="O6648" s="4" t="str">
        <f>LEFT(Table2[[#This Row],[Description]],75)</f>
        <v>Xcel Energy</v>
      </c>
      <c r="P6648" s="2" t="s">
        <v>2280</v>
      </c>
    </row>
    <row r="6649" spans="1:16" hidden="1">
      <c r="A6649" s="2">
        <v>202202</v>
      </c>
      <c r="B6649" s="3">
        <v>44601</v>
      </c>
      <c r="C6649" s="2" t="s">
        <v>2262</v>
      </c>
      <c r="D6649" s="2" t="s">
        <v>1014</v>
      </c>
      <c r="E6649" s="2">
        <v>13.08</v>
      </c>
      <c r="F6649" s="2" t="str">
        <f>IF(Table2[[#This Row],[Manual Cat Value]]="",VLOOKUP(Table2[[#This Row],[Description]],'Actuals Lookup'!D:F,3,0),Table2[[#This Row],[Manual Cat Value]])</f>
        <v>Restaurants</v>
      </c>
      <c r="J6649" s="2">
        <v>13.08</v>
      </c>
      <c r="K6649" s="2" t="b">
        <v>0</v>
      </c>
      <c r="L6649" s="2"/>
      <c r="M6649" s="2"/>
      <c r="N6649" s="4" t="s">
        <v>2259</v>
      </c>
      <c r="O6649" s="4" t="str">
        <f>LEFT(Table2[[#This Row],[Description]],75)</f>
        <v>Jimmy John's</v>
      </c>
      <c r="P6649" s="2" t="s">
        <v>2453</v>
      </c>
    </row>
    <row r="6650" spans="1:16" hidden="1">
      <c r="A6650" s="2">
        <v>202202</v>
      </c>
      <c r="B6650" s="3">
        <v>44601</v>
      </c>
      <c r="C6650" s="2" t="s">
        <v>2447</v>
      </c>
      <c r="D6650" s="2" t="s">
        <v>1275</v>
      </c>
      <c r="E6650" s="2">
        <v>10.75</v>
      </c>
      <c r="F6650" s="2" t="str">
        <f>IF(Table2[[#This Row],[Manual Cat Value]]="",VLOOKUP(Table2[[#This Row],[Description]],'Actuals Lookup'!D:F,3,0),Table2[[#This Row],[Manual Cat Value]])</f>
        <v>Transportation</v>
      </c>
      <c r="J6650" s="2">
        <v>10.75</v>
      </c>
      <c r="K6650" s="2" t="b">
        <v>0</v>
      </c>
      <c r="L6650" s="2"/>
      <c r="M6650" s="2"/>
      <c r="N6650" s="4" t="s">
        <v>2259</v>
      </c>
      <c r="O6650" s="4" t="str">
        <f>LEFT(Table2[[#This Row],[Description]],75)</f>
        <v>Mister Car Wash</v>
      </c>
      <c r="P6650" s="2" t="s">
        <v>2281</v>
      </c>
    </row>
    <row r="6651" spans="1:16" hidden="1">
      <c r="A6651" s="2">
        <v>202202</v>
      </c>
      <c r="B6651" s="3">
        <v>44601</v>
      </c>
      <c r="C6651" s="2" t="s">
        <v>2265</v>
      </c>
      <c r="D6651" s="2" t="s">
        <v>1471</v>
      </c>
      <c r="E6651" s="2">
        <v>87.91</v>
      </c>
      <c r="F6651" s="2" t="str">
        <f>IF(Table2[[#This Row],[Manual Cat Value]]="",VLOOKUP(Table2[[#This Row],[Description]],'Actuals Lookup'!D:F,3,0),Table2[[#This Row],[Manual Cat Value]])</f>
        <v>Shopping</v>
      </c>
      <c r="J6651" s="2">
        <v>87.91</v>
      </c>
      <c r="K6651" s="2" t="b">
        <v>0</v>
      </c>
      <c r="L6651" s="2"/>
      <c r="M6651" s="2"/>
      <c r="N6651" s="4" t="s">
        <v>2259</v>
      </c>
      <c r="O6651" s="4" t="str">
        <f>LEFT(Table2[[#This Row],[Description]],75)</f>
        <v>PayPal</v>
      </c>
      <c r="P6651" s="2" t="s">
        <v>2322</v>
      </c>
    </row>
    <row r="6652" spans="1:16" hidden="1">
      <c r="A6652" s="2">
        <v>202202</v>
      </c>
      <c r="B6652" s="3">
        <v>44601</v>
      </c>
      <c r="C6652" s="2" t="s">
        <v>2262</v>
      </c>
      <c r="D6652" s="2" t="s">
        <v>1479</v>
      </c>
      <c r="E6652" s="2">
        <v>41.94</v>
      </c>
      <c r="F6652" s="2" t="e">
        <f>IF(Table2[[#This Row],[Manual Cat Value]]="",VLOOKUP(Table2[[#This Row],[Description]],'Actuals Lookup'!D:F,3,0),Table2[[#This Row],[Manual Cat Value]])</f>
        <v>#N/A</v>
      </c>
      <c r="J6652" s="2">
        <v>41.94</v>
      </c>
      <c r="K6652" s="2" t="b">
        <v>0</v>
      </c>
      <c r="L6652" s="2"/>
      <c r="M6652" s="2"/>
      <c r="N6652" s="4" t="s">
        <v>2259</v>
      </c>
      <c r="O6652" s="4" t="str">
        <f>LEFT(Table2[[#This Row],[Description]],75)</f>
        <v>Peloton Cycles PELOTON MEMBERSHIP HTTPSWWWONEPNY</v>
      </c>
      <c r="P6652" s="2" t="s">
        <v>2584</v>
      </c>
    </row>
    <row r="6653" spans="1:16" hidden="1">
      <c r="A6653" s="2">
        <v>202202</v>
      </c>
      <c r="B6653" s="3">
        <v>44602</v>
      </c>
      <c r="C6653" s="2" t="s">
        <v>2265</v>
      </c>
      <c r="D6653" s="2" t="s">
        <v>1471</v>
      </c>
      <c r="E6653" s="2">
        <v>35.950000000000003</v>
      </c>
      <c r="F6653" s="2" t="str">
        <f>IF(Table2[[#This Row],[Manual Cat Value]]="",VLOOKUP(Table2[[#This Row],[Description]],'Actuals Lookup'!D:F,3,0),Table2[[#This Row],[Manual Cat Value]])</f>
        <v>Shopping</v>
      </c>
      <c r="J6653" s="2">
        <v>35.950000000000003</v>
      </c>
      <c r="K6653" s="2" t="b">
        <v>0</v>
      </c>
      <c r="L6653" s="2"/>
      <c r="M6653" s="2"/>
      <c r="N6653" s="4" t="s">
        <v>2259</v>
      </c>
      <c r="O6653" s="4" t="str">
        <f>LEFT(Table2[[#This Row],[Description]],75)</f>
        <v>PayPal</v>
      </c>
      <c r="P6653" s="2" t="s">
        <v>2322</v>
      </c>
    </row>
    <row r="6654" spans="1:16" ht="28.5" hidden="1">
      <c r="A6654" s="2">
        <v>202202</v>
      </c>
      <c r="B6654" s="3">
        <v>44603</v>
      </c>
      <c r="C6654" s="2" t="s">
        <v>2447</v>
      </c>
      <c r="D6654" s="5" t="s">
        <v>138</v>
      </c>
      <c r="E6654" s="2">
        <v>16.95</v>
      </c>
      <c r="F6654" s="2" t="e">
        <f>IF(Table2[[#This Row],[Manual Cat Value]]="",VLOOKUP(Table2[[#This Row],[Description]],'Actuals Lookup'!D:F,3,0),Table2[[#This Row],[Manual Cat Value]])</f>
        <v>#N/A</v>
      </c>
      <c r="J6654" s="2">
        <v>16.95</v>
      </c>
      <c r="K6654" s="2" t="b">
        <v>0</v>
      </c>
      <c r="L6654" s="2"/>
      <c r="M6654" s="2"/>
      <c r="N6654" s="4" t="s">
        <v>2259</v>
      </c>
      <c r="O6654" s="4" t="str">
        <f>LEFT(Table2[[#This Row],[Description]],75)</f>
        <v>AMZN MKTP US*7N3NX6ZF3 AMZN.COM/BILLWA
278ND7YX5KW</v>
      </c>
      <c r="P6654" s="2" t="s">
        <v>2281</v>
      </c>
    </row>
    <row r="6655" spans="1:16" hidden="1">
      <c r="A6655" s="2">
        <v>202202</v>
      </c>
      <c r="B6655" s="3">
        <v>44603</v>
      </c>
      <c r="C6655" s="2" t="s">
        <v>2262</v>
      </c>
      <c r="D6655" s="2" t="s">
        <v>161</v>
      </c>
      <c r="E6655" s="2">
        <v>25.81</v>
      </c>
      <c r="F6655" s="2" t="str">
        <f>IF(Table2[[#This Row],[Manual Cat Value]]="",VLOOKUP(Table2[[#This Row],[Description]],'Actuals Lookup'!D:F,3,0),Table2[[#This Row],[Manual Cat Value]])</f>
        <v>Shopping</v>
      </c>
      <c r="J6655" s="2">
        <v>25.81</v>
      </c>
      <c r="K6655" s="2" t="b">
        <v>0</v>
      </c>
      <c r="L6655" s="2"/>
      <c r="M6655" s="2"/>
      <c r="N6655" s="4" t="s">
        <v>2259</v>
      </c>
      <c r="O6655" s="4" t="str">
        <f>LEFT(Table2[[#This Row],[Description]],75)</f>
        <v>Anthropologie</v>
      </c>
      <c r="P6655" s="2" t="s">
        <v>2295</v>
      </c>
    </row>
    <row r="6656" spans="1:16" hidden="1">
      <c r="A6656" s="2">
        <v>202202</v>
      </c>
      <c r="B6656" s="3">
        <v>44603</v>
      </c>
      <c r="C6656" s="2" t="s">
        <v>2262</v>
      </c>
      <c r="D6656" s="2" t="s">
        <v>543</v>
      </c>
      <c r="E6656" s="2">
        <v>34.15</v>
      </c>
      <c r="F6656" s="2" t="e">
        <f>IF(Table2[[#This Row],[Manual Cat Value]]="",VLOOKUP(Table2[[#This Row],[Description]],'Actuals Lookup'!D:F,3,0),Table2[[#This Row],[Manual Cat Value]])</f>
        <v>#N/A</v>
      </c>
      <c r="J6656" s="2">
        <v>34.15</v>
      </c>
      <c r="K6656" s="2" t="b">
        <v>0</v>
      </c>
      <c r="L6656" s="2"/>
      <c r="M6656" s="2"/>
      <c r="N6656" s="4" t="s">
        <v>2259</v>
      </c>
      <c r="O6656" s="4" t="str">
        <f>LEFT(Table2[[#This Row],[Description]],75)</f>
        <v>Chipotle</v>
      </c>
      <c r="P6656" s="2" t="s">
        <v>2341</v>
      </c>
    </row>
    <row r="6657" spans="1:16" ht="28.5" hidden="1">
      <c r="A6657" s="2">
        <v>202202</v>
      </c>
      <c r="B6657" s="3">
        <v>44603</v>
      </c>
      <c r="C6657" s="2" t="s">
        <v>2447</v>
      </c>
      <c r="D6657" s="5" t="s">
        <v>1714</v>
      </c>
      <c r="E6657" s="2">
        <v>25.6</v>
      </c>
      <c r="F6657" s="2" t="e">
        <f>IF(Table2[[#This Row],[Manual Cat Value]]="",VLOOKUP(Table2[[#This Row],[Description]],'Actuals Lookup'!D:F,3,0),Table2[[#This Row],[Manual Cat Value]])</f>
        <v>#N/A</v>
      </c>
      <c r="J6657" s="2">
        <v>25.6</v>
      </c>
      <c r="K6657" s="2" t="b">
        <v>0</v>
      </c>
      <c r="L6657" s="2"/>
      <c r="M6657" s="2"/>
      <c r="N6657" s="4" t="s">
        <v>2259</v>
      </c>
      <c r="O6657" s="4" t="str">
        <f>LEFT(Table2[[#This Row],[Description]],75)</f>
        <v>SQ *ENKI BREWING COMPA VICTORIA MN
0002305843015181345790</v>
      </c>
      <c r="P6657" s="2" t="s">
        <v>2281</v>
      </c>
    </row>
    <row r="6658" spans="1:16" ht="28.5" hidden="1">
      <c r="A6658" s="2">
        <v>202202</v>
      </c>
      <c r="B6658" s="3">
        <v>44605</v>
      </c>
      <c r="C6658" s="2" t="s">
        <v>2447</v>
      </c>
      <c r="D6658" s="5" t="s">
        <v>137</v>
      </c>
      <c r="E6658" s="2">
        <v>48.31</v>
      </c>
      <c r="F6658" s="2" t="e">
        <f>IF(Table2[[#This Row],[Manual Cat Value]]="",VLOOKUP(Table2[[#This Row],[Description]],'Actuals Lookup'!D:F,3,0),Table2[[#This Row],[Manual Cat Value]])</f>
        <v>#N/A</v>
      </c>
      <c r="J6658" s="2">
        <v>48.31</v>
      </c>
      <c r="K6658" s="2" t="b">
        <v>0</v>
      </c>
      <c r="L6658" s="2"/>
      <c r="M6658" s="2"/>
      <c r="N6658" s="4" t="s">
        <v>2259</v>
      </c>
      <c r="O6658" s="4" t="str">
        <f>LEFT(Table2[[#This Row],[Description]],75)</f>
        <v>AMZN MKTP US*4B5MA8073 AMZN.COM/BILLWA
MV8BRWDVYA7</v>
      </c>
      <c r="P6658" s="2" t="s">
        <v>2281</v>
      </c>
    </row>
    <row r="6659" spans="1:16" hidden="1">
      <c r="A6659" s="2">
        <v>202202</v>
      </c>
      <c r="B6659" s="3">
        <v>44605</v>
      </c>
      <c r="C6659" s="2" t="s">
        <v>2262</v>
      </c>
      <c r="D6659" s="2" t="s">
        <v>161</v>
      </c>
      <c r="E6659" s="2">
        <v>225.57</v>
      </c>
      <c r="F6659" s="2" t="str">
        <f>IF(Table2[[#This Row],[Manual Cat Value]]="",VLOOKUP(Table2[[#This Row],[Description]],'Actuals Lookup'!D:F,3,0),Table2[[#This Row],[Manual Cat Value]])</f>
        <v>Shopping</v>
      </c>
      <c r="J6659" s="2">
        <v>-225.57</v>
      </c>
      <c r="K6659" s="2" t="b">
        <v>0</v>
      </c>
      <c r="L6659" s="2"/>
      <c r="M6659" s="2"/>
      <c r="N6659" s="4" t="s">
        <v>2273</v>
      </c>
      <c r="O6659" s="4" t="str">
        <f>LEFT(Table2[[#This Row],[Description]],75)</f>
        <v>Anthropologie</v>
      </c>
      <c r="P6659" s="2" t="s">
        <v>2295</v>
      </c>
    </row>
    <row r="6660" spans="1:16" hidden="1">
      <c r="A6660" s="2">
        <v>202202</v>
      </c>
      <c r="B6660" s="3">
        <v>44605</v>
      </c>
      <c r="C6660" s="2" t="s">
        <v>2262</v>
      </c>
      <c r="D6660" s="2" t="s">
        <v>322</v>
      </c>
      <c r="E6660" s="2">
        <v>12.99</v>
      </c>
      <c r="F6660" s="2" t="e">
        <f>IF(Table2[[#This Row],[Manual Cat Value]]="",VLOOKUP(Table2[[#This Row],[Description]],'Actuals Lookup'!D:F,3,0),Table2[[#This Row],[Manual Cat Value]])</f>
        <v>#N/A</v>
      </c>
      <c r="J6660" s="2">
        <v>12.99</v>
      </c>
      <c r="K6660" s="2" t="b">
        <v>0</v>
      </c>
      <c r="L6660" s="2"/>
      <c r="M6660" s="2"/>
      <c r="N6660" s="4" t="s">
        <v>2259</v>
      </c>
      <c r="O6660" s="4" t="str">
        <f>LEFT(Table2[[#This Row],[Description]],75)</f>
        <v>Bruegger's</v>
      </c>
      <c r="P6660" s="2" t="s">
        <v>2281</v>
      </c>
    </row>
    <row r="6661" spans="1:16" hidden="1">
      <c r="A6661" s="2">
        <v>202202</v>
      </c>
      <c r="B6661" s="3">
        <v>44605</v>
      </c>
      <c r="C6661" s="2" t="s">
        <v>2262</v>
      </c>
      <c r="D6661" s="2" t="s">
        <v>338</v>
      </c>
      <c r="E6661" s="2">
        <v>18.88</v>
      </c>
      <c r="F6661" s="2" t="e">
        <f>IF(Table2[[#This Row],[Manual Cat Value]]="",VLOOKUP(Table2[[#This Row],[Description]],'Actuals Lookup'!D:F,3,0),Table2[[#This Row],[Manual Cat Value]])</f>
        <v>#N/A</v>
      </c>
      <c r="J6661" s="2">
        <v>18.88</v>
      </c>
      <c r="K6661" s="2" t="b">
        <v>0</v>
      </c>
      <c r="L6661" s="2"/>
      <c r="M6661" s="2"/>
      <c r="N6661" s="4" t="s">
        <v>2259</v>
      </c>
      <c r="O6661" s="4" t="str">
        <f>LEFT(Table2[[#This Row],[Description]],75)</f>
        <v>Byerly's</v>
      </c>
      <c r="P6661" s="2" t="s">
        <v>2364</v>
      </c>
    </row>
    <row r="6662" spans="1:16" hidden="1">
      <c r="A6662" s="2">
        <v>202202</v>
      </c>
      <c r="B6662" s="3">
        <v>44605</v>
      </c>
      <c r="C6662" s="2" t="s">
        <v>2262</v>
      </c>
      <c r="D6662" s="2" t="s">
        <v>338</v>
      </c>
      <c r="E6662" s="2">
        <v>23.93</v>
      </c>
      <c r="F6662" s="2" t="e">
        <f>IF(Table2[[#This Row],[Manual Cat Value]]="",VLOOKUP(Table2[[#This Row],[Description]],'Actuals Lookup'!D:F,3,0),Table2[[#This Row],[Manual Cat Value]])</f>
        <v>#N/A</v>
      </c>
      <c r="J6662" s="2">
        <v>23.93</v>
      </c>
      <c r="K6662" s="2" t="b">
        <v>0</v>
      </c>
      <c r="L6662" s="2"/>
      <c r="M6662" s="2"/>
      <c r="N6662" s="4" t="s">
        <v>2259</v>
      </c>
      <c r="O6662" s="4" t="str">
        <f>LEFT(Table2[[#This Row],[Description]],75)</f>
        <v>Byerly's</v>
      </c>
      <c r="P6662" s="2" t="s">
        <v>2364</v>
      </c>
    </row>
    <row r="6663" spans="1:16" hidden="1">
      <c r="A6663" s="2">
        <v>202202</v>
      </c>
      <c r="B6663" s="3">
        <v>44605</v>
      </c>
      <c r="C6663" s="2" t="s">
        <v>2262</v>
      </c>
      <c r="D6663" s="2" t="s">
        <v>338</v>
      </c>
      <c r="E6663" s="2">
        <v>44.77</v>
      </c>
      <c r="F6663" s="2" t="e">
        <f>IF(Table2[[#This Row],[Manual Cat Value]]="",VLOOKUP(Table2[[#This Row],[Description]],'Actuals Lookup'!D:F,3,0),Table2[[#This Row],[Manual Cat Value]])</f>
        <v>#N/A</v>
      </c>
      <c r="J6663" s="2">
        <v>44.77</v>
      </c>
      <c r="K6663" s="2" t="b">
        <v>0</v>
      </c>
      <c r="L6663" s="2"/>
      <c r="M6663" s="2"/>
      <c r="N6663" s="4" t="s">
        <v>2259</v>
      </c>
      <c r="O6663" s="4" t="str">
        <f>LEFT(Table2[[#This Row],[Description]],75)</f>
        <v>Byerly's</v>
      </c>
      <c r="P6663" s="2" t="s">
        <v>2364</v>
      </c>
    </row>
    <row r="6664" spans="1:16" hidden="1">
      <c r="A6664" s="2">
        <v>202202</v>
      </c>
      <c r="B6664" s="3">
        <v>44605</v>
      </c>
      <c r="C6664" s="2" t="s">
        <v>2262</v>
      </c>
      <c r="D6664" s="2" t="s">
        <v>453</v>
      </c>
      <c r="E6664" s="2">
        <v>9.9</v>
      </c>
      <c r="F6664" s="2" t="str">
        <f>IF(Table2[[#This Row],[Manual Cat Value]]="",VLOOKUP(Table2[[#This Row],[Description]],'Actuals Lookup'!D:F,3,0),Table2[[#This Row],[Manual Cat Value]])</f>
        <v>Restaurants</v>
      </c>
      <c r="J6664" s="2">
        <v>9.9</v>
      </c>
      <c r="K6664" s="2" t="b">
        <v>0</v>
      </c>
      <c r="L6664" s="2"/>
      <c r="M6664" s="2"/>
      <c r="N6664" s="4" t="s">
        <v>2259</v>
      </c>
      <c r="O6664" s="4" t="str">
        <f>LEFT(Table2[[#This Row],[Description]],75)</f>
        <v>Caribou Coffee</v>
      </c>
      <c r="P6664" s="2" t="s">
        <v>2329</v>
      </c>
    </row>
    <row r="6665" spans="1:16" hidden="1">
      <c r="A6665" s="2">
        <v>202202</v>
      </c>
      <c r="B6665" s="3">
        <v>44605</v>
      </c>
      <c r="C6665" s="2" t="s">
        <v>2262</v>
      </c>
      <c r="D6665" s="2" t="s">
        <v>506</v>
      </c>
      <c r="E6665" s="2">
        <v>45</v>
      </c>
      <c r="F6665" s="2" t="str">
        <f>IF(Table2[[#This Row],[Manual Cat Value]]="",VLOOKUP(Table2[[#This Row],[Description]],'Actuals Lookup'!D:F,3,0),Table2[[#This Row],[Manual Cat Value]])</f>
        <v>Utilities</v>
      </c>
      <c r="J6665" s="2">
        <v>45</v>
      </c>
      <c r="K6665" s="2" t="b">
        <v>0</v>
      </c>
      <c r="L6665" s="2"/>
      <c r="M6665" s="2"/>
      <c r="N6665" s="4" t="s">
        <v>2259</v>
      </c>
      <c r="O6665" s="4" t="str">
        <f>LEFT(Table2[[#This Row],[Description]],75)</f>
        <v>CenturyLink</v>
      </c>
      <c r="P6665" s="2" t="s">
        <v>2408</v>
      </c>
    </row>
    <row r="6666" spans="1:16" hidden="1">
      <c r="A6666" s="2">
        <v>202202</v>
      </c>
      <c r="B6666" s="3">
        <v>44605</v>
      </c>
      <c r="C6666" s="2" t="s">
        <v>2262</v>
      </c>
      <c r="D6666" s="2" t="s">
        <v>647</v>
      </c>
      <c r="E6666" s="2">
        <v>25.24</v>
      </c>
      <c r="F6666" s="2" t="e">
        <f>IF(Table2[[#This Row],[Manual Cat Value]]="",VLOOKUP(Table2[[#This Row],[Description]],'Actuals Lookup'!D:F,3,0),Table2[[#This Row],[Manual Cat Value]])</f>
        <v>#N/A</v>
      </c>
      <c r="J6666" s="2">
        <v>25.24</v>
      </c>
      <c r="K6666" s="2" t="b">
        <v>0</v>
      </c>
      <c r="L6666" s="2"/>
      <c r="M6666" s="2"/>
      <c r="N6666" s="4" t="s">
        <v>2259</v>
      </c>
      <c r="O6666" s="4" t="str">
        <f>LEFT(Table2[[#This Row],[Description]],75)</f>
        <v>CORVINO SUPPER CLUB XX3301 MO CORVINO SUPPER CLUB 9137083301 MO</v>
      </c>
      <c r="P6666" s="2" t="s">
        <v>2281</v>
      </c>
    </row>
    <row r="6667" spans="1:16" hidden="1">
      <c r="A6667" s="2">
        <v>202202</v>
      </c>
      <c r="B6667" s="3">
        <v>44605</v>
      </c>
      <c r="C6667" s="2" t="s">
        <v>2262</v>
      </c>
      <c r="D6667" s="2" t="s">
        <v>692</v>
      </c>
      <c r="E6667" s="2">
        <v>3.86</v>
      </c>
      <c r="F6667" s="2" t="str">
        <f>IF(Table2[[#This Row],[Manual Cat Value]]="",VLOOKUP(Table2[[#This Row],[Description]],'Actuals Lookup'!D:F,3,0),Table2[[#This Row],[Manual Cat Value]])</f>
        <v>Restaurants</v>
      </c>
      <c r="J6667" s="2">
        <v>3.86</v>
      </c>
      <c r="K6667" s="2" t="b">
        <v>0</v>
      </c>
      <c r="L6667" s="2"/>
      <c r="M6667" s="2"/>
      <c r="N6667" s="4" t="s">
        <v>2259</v>
      </c>
      <c r="O6667" s="4" t="str">
        <f>LEFT(Table2[[#This Row],[Description]],75)</f>
        <v>Dairy Queen</v>
      </c>
      <c r="P6667" s="2" t="s">
        <v>2574</v>
      </c>
    </row>
    <row r="6668" spans="1:16" hidden="1">
      <c r="A6668" s="2">
        <v>202202</v>
      </c>
      <c r="B6668" s="3">
        <v>44605</v>
      </c>
      <c r="C6668" s="2" t="s">
        <v>2262</v>
      </c>
      <c r="D6668" s="2" t="s">
        <v>893</v>
      </c>
      <c r="E6668" s="2">
        <v>38.68</v>
      </c>
      <c r="F6668" s="2" t="e">
        <f>IF(Table2[[#This Row],[Manual Cat Value]]="",VLOOKUP(Table2[[#This Row],[Description]],'Actuals Lookup'!D:F,3,0),Table2[[#This Row],[Manual Cat Value]])</f>
        <v>#N/A</v>
      </c>
      <c r="J6668" s="2">
        <v>38.68</v>
      </c>
      <c r="K6668" s="2" t="b">
        <v>0</v>
      </c>
      <c r="L6668" s="2"/>
      <c r="M6668" s="2"/>
      <c r="N6668" s="4" t="s">
        <v>2259</v>
      </c>
      <c r="O6668" s="4" t="str">
        <f>LEFT(Table2[[#This Row],[Description]],75)</f>
        <v>Gina Marias Pizza</v>
      </c>
      <c r="P6668" s="2" t="s">
        <v>2281</v>
      </c>
    </row>
    <row r="6669" spans="1:16" hidden="1">
      <c r="A6669" s="2">
        <v>202202</v>
      </c>
      <c r="B6669" s="3">
        <v>44605</v>
      </c>
      <c r="C6669" s="2" t="s">
        <v>2262</v>
      </c>
      <c r="D6669" s="2" t="s">
        <v>1083</v>
      </c>
      <c r="E6669" s="2">
        <v>51.79</v>
      </c>
      <c r="F6669" s="2" t="str">
        <f>IF(Table2[[#This Row],[Manual Cat Value]]="",VLOOKUP(Table2[[#This Row],[Description]],'Actuals Lookup'!D:F,3,0),Table2[[#This Row],[Manual Cat Value]])</f>
        <v>Transportation</v>
      </c>
      <c r="J6669" s="2">
        <v>51.79</v>
      </c>
      <c r="K6669" s="2" t="b">
        <v>0</v>
      </c>
      <c r="L6669" s="2"/>
      <c r="M6669" s="2"/>
      <c r="N6669" s="4" t="s">
        <v>2259</v>
      </c>
      <c r="O6669" s="4" t="str">
        <f>LEFT(Table2[[#This Row],[Description]],75)</f>
        <v>Kwik Trip</v>
      </c>
      <c r="P6669" s="2" t="s">
        <v>2509</v>
      </c>
    </row>
    <row r="6670" spans="1:16" hidden="1">
      <c r="A6670" s="2">
        <v>202202</v>
      </c>
      <c r="B6670" s="3">
        <v>44605</v>
      </c>
      <c r="C6670" s="2" t="s">
        <v>2262</v>
      </c>
      <c r="D6670" s="2" t="s">
        <v>1407</v>
      </c>
      <c r="E6670" s="2">
        <v>25.32</v>
      </c>
      <c r="F6670" s="2" t="e">
        <f>IF(Table2[[#This Row],[Manual Cat Value]]="",VLOOKUP(Table2[[#This Row],[Description]],'Actuals Lookup'!D:F,3,0),Table2[[#This Row],[Manual Cat Value]])</f>
        <v>#N/A</v>
      </c>
      <c r="J6670" s="2">
        <v>25.32</v>
      </c>
      <c r="K6670" s="2" t="b">
        <v>0</v>
      </c>
      <c r="L6670" s="2"/>
      <c r="M6670" s="2"/>
      <c r="N6670" s="4" t="s">
        <v>2259</v>
      </c>
      <c r="O6670" s="4" t="str">
        <f>LEFT(Table2[[#This Row],[Description]],75)</f>
        <v>Party City</v>
      </c>
      <c r="P6670" s="2" t="s">
        <v>2378</v>
      </c>
    </row>
    <row r="6671" spans="1:16" hidden="1">
      <c r="A6671" s="2">
        <v>202202</v>
      </c>
      <c r="B6671" s="3">
        <v>44605</v>
      </c>
      <c r="C6671" s="2" t="s">
        <v>2265</v>
      </c>
      <c r="D6671" s="2" t="s">
        <v>1803</v>
      </c>
      <c r="E6671" s="2">
        <v>2906.33</v>
      </c>
      <c r="F6671" s="2" t="e">
        <f>IF(Table2[[#This Row],[Manual Cat Value]]="",VLOOKUP(Table2[[#This Row],[Description]],'Actuals Lookup'!D:F,3,0),Table2[[#This Row],[Manual Cat Value]])</f>
        <v>#N/A</v>
      </c>
      <c r="J6671" s="2">
        <v>-2906.33</v>
      </c>
      <c r="K6671" s="2" t="b">
        <v>0</v>
      </c>
      <c r="L6671" s="2"/>
      <c r="M6671" s="2"/>
      <c r="N6671" s="4" t="s">
        <v>2273</v>
      </c>
      <c r="O6671" s="4" t="str">
        <f>LEFT(Table2[[#This Row],[Description]],75)</f>
        <v>SYNTELLIS PERFOR TYPE DIRECT DEP ID CO SYNTELLIS PERFOR ACH ECC PPD ACH Tra</v>
      </c>
      <c r="P6671" s="2" t="s">
        <v>2281</v>
      </c>
    </row>
    <row r="6672" spans="1:16" hidden="1">
      <c r="A6672" s="2">
        <v>202202</v>
      </c>
      <c r="B6672" s="3">
        <v>44605</v>
      </c>
      <c r="C6672" s="2" t="s">
        <v>2262</v>
      </c>
      <c r="D6672" s="2" t="s">
        <v>1931</v>
      </c>
      <c r="E6672" s="2">
        <v>19.309999999999999</v>
      </c>
      <c r="F6672" s="2" t="str">
        <f>IF(Table2[[#This Row],[Manual Cat Value]]="",VLOOKUP(Table2[[#This Row],[Description]],'Actuals Lookup'!D:F,3,0),Table2[[#This Row],[Manual Cat Value]])</f>
        <v>Groceries</v>
      </c>
      <c r="J6672" s="2">
        <v>19.309999999999999</v>
      </c>
      <c r="K6672" s="2" t="b">
        <v>0</v>
      </c>
      <c r="L6672" s="2"/>
      <c r="M6672" s="2"/>
      <c r="N6672" s="4" t="s">
        <v>2259</v>
      </c>
      <c r="O6672" s="4" t="str">
        <f>LEFT(Table2[[#This Row],[Description]],75)</f>
        <v>Trader Joe's</v>
      </c>
      <c r="P6672" s="2" t="s">
        <v>2419</v>
      </c>
    </row>
    <row r="6673" spans="1:16" hidden="1">
      <c r="A6673" s="2">
        <v>202202</v>
      </c>
      <c r="B6673" s="3">
        <v>44605</v>
      </c>
      <c r="C6673" s="2" t="s">
        <v>2262</v>
      </c>
      <c r="D6673" s="2" t="s">
        <v>2089</v>
      </c>
      <c r="E6673" s="2">
        <v>83</v>
      </c>
      <c r="F6673" s="2" t="e">
        <f>IF(Table2[[#This Row],[Manual Cat Value]]="",VLOOKUP(Table2[[#This Row],[Description]],'Actuals Lookup'!D:F,3,0),Table2[[#This Row],[Manual Cat Value]])</f>
        <v>#N/A</v>
      </c>
      <c r="J6673" s="2">
        <v>83</v>
      </c>
      <c r="K6673" s="2" t="b">
        <v>0</v>
      </c>
      <c r="L6673" s="2"/>
      <c r="M6673" s="2"/>
      <c r="N6673" s="4" t="s">
        <v>2259</v>
      </c>
      <c r="O6673" s="4" t="str">
        <f>LEFT(Table2[[#This Row],[Description]],75)</f>
        <v>UNRLCO UNRLMYSHOPIFMN UNRLCO UNRLMYSHOPIFMN</v>
      </c>
      <c r="P6673" s="2" t="s">
        <v>2281</v>
      </c>
    </row>
    <row r="6674" spans="1:16" hidden="1">
      <c r="A6674" s="2">
        <v>202202</v>
      </c>
      <c r="B6674" s="3">
        <v>44606</v>
      </c>
      <c r="C6674" s="2" t="s">
        <v>2265</v>
      </c>
      <c r="D6674" s="2" t="s">
        <v>131</v>
      </c>
      <c r="E6674" s="2">
        <v>102.49</v>
      </c>
      <c r="F6674" s="2" t="str">
        <f>IF(Table2[[#This Row],[Manual Cat Value]]="",VLOOKUP(Table2[[#This Row],[Description]],'Actuals Lookup'!D:F,3,0),Table2[[#This Row],[Manual Cat Value]])</f>
        <v>Insurance</v>
      </c>
      <c r="J6674" s="2">
        <v>102.49</v>
      </c>
      <c r="K6674" s="2" t="b">
        <v>0</v>
      </c>
      <c r="L6674" s="2"/>
      <c r="M6674" s="2"/>
      <c r="N6674" s="4" t="s">
        <v>2259</v>
      </c>
      <c r="O6674" s="4" t="str">
        <f>LEFT(Table2[[#This Row],[Description]],75)</f>
        <v>American Family Insurance</v>
      </c>
      <c r="P6674" s="2" t="s">
        <v>2286</v>
      </c>
    </row>
    <row r="6675" spans="1:16" ht="28.5" hidden="1">
      <c r="A6675" s="2">
        <v>202202</v>
      </c>
      <c r="B6675" s="3">
        <v>44606</v>
      </c>
      <c r="C6675" s="2" t="s">
        <v>2447</v>
      </c>
      <c r="D6675" s="5" t="s">
        <v>143</v>
      </c>
      <c r="E6675" s="2">
        <v>39.72</v>
      </c>
      <c r="F6675" s="2" t="e">
        <f>IF(Table2[[#This Row],[Manual Cat Value]]="",VLOOKUP(Table2[[#This Row],[Description]],'Actuals Lookup'!D:F,3,0),Table2[[#This Row],[Manual Cat Value]])</f>
        <v>#N/A</v>
      </c>
      <c r="J6675" s="2">
        <v>39.72</v>
      </c>
      <c r="K6675" s="2" t="b">
        <v>0</v>
      </c>
      <c r="L6675" s="2"/>
      <c r="M6675" s="2"/>
      <c r="N6675" s="4" t="s">
        <v>2259</v>
      </c>
      <c r="O6675" s="4" t="str">
        <f>LEFT(Table2[[#This Row],[Description]],75)</f>
        <v>AMZN MKTP US*TE0LF5RL3 AMZN.COM/BILLWA
2W0TPYA4XLK</v>
      </c>
      <c r="P6675" s="2" t="s">
        <v>2281</v>
      </c>
    </row>
    <row r="6676" spans="1:16" hidden="1">
      <c r="A6676" s="2">
        <v>202202</v>
      </c>
      <c r="B6676" s="3">
        <v>44606</v>
      </c>
      <c r="C6676" s="2" t="s">
        <v>2265</v>
      </c>
      <c r="D6676" s="2" t="s">
        <v>1471</v>
      </c>
      <c r="E6676" s="2">
        <v>6.84</v>
      </c>
      <c r="F6676" s="2" t="str">
        <f>IF(Table2[[#This Row],[Manual Cat Value]]="",VLOOKUP(Table2[[#This Row],[Description]],'Actuals Lookup'!D:F,3,0),Table2[[#This Row],[Manual Cat Value]])</f>
        <v>Shopping</v>
      </c>
      <c r="J6676" s="2">
        <v>6.84</v>
      </c>
      <c r="K6676" s="2" t="b">
        <v>0</v>
      </c>
      <c r="L6676" s="2"/>
      <c r="M6676" s="2"/>
      <c r="N6676" s="4" t="s">
        <v>2259</v>
      </c>
      <c r="O6676" s="4" t="str">
        <f>LEFT(Table2[[#This Row],[Description]],75)</f>
        <v>PayPal</v>
      </c>
      <c r="P6676" s="2" t="s">
        <v>2322</v>
      </c>
    </row>
    <row r="6677" spans="1:16" hidden="1">
      <c r="A6677" s="2">
        <v>202202</v>
      </c>
      <c r="B6677" s="3">
        <v>44606</v>
      </c>
      <c r="C6677" s="2" t="s">
        <v>2265</v>
      </c>
      <c r="D6677" s="2" t="s">
        <v>1471</v>
      </c>
      <c r="E6677" s="2">
        <v>7.55</v>
      </c>
      <c r="F6677" s="2" t="str">
        <f>IF(Table2[[#This Row],[Manual Cat Value]]="",VLOOKUP(Table2[[#This Row],[Description]],'Actuals Lookup'!D:F,3,0),Table2[[#This Row],[Manual Cat Value]])</f>
        <v>Shopping</v>
      </c>
      <c r="J6677" s="2">
        <v>7.55</v>
      </c>
      <c r="K6677" s="2" t="b">
        <v>0</v>
      </c>
      <c r="L6677" s="2"/>
      <c r="M6677" s="2"/>
      <c r="N6677" s="4" t="s">
        <v>2259</v>
      </c>
      <c r="O6677" s="4" t="str">
        <f>LEFT(Table2[[#This Row],[Description]],75)</f>
        <v>PayPal</v>
      </c>
      <c r="P6677" s="2" t="s">
        <v>2322</v>
      </c>
    </row>
    <row r="6678" spans="1:16" hidden="1">
      <c r="A6678" s="2">
        <v>202202</v>
      </c>
      <c r="B6678" s="3">
        <v>44607</v>
      </c>
      <c r="C6678" s="2" t="s">
        <v>2262</v>
      </c>
      <c r="D6678" s="2" t="s">
        <v>684</v>
      </c>
      <c r="E6678" s="2">
        <v>100.51</v>
      </c>
      <c r="F6678" s="2" t="str">
        <f>IF(Table2[[#This Row],[Manual Cat Value]]="",VLOOKUP(Table2[[#This Row],[Description]],'Actuals Lookup'!D:F,3,0),Table2[[#This Row],[Manual Cat Value]])</f>
        <v>Groceries</v>
      </c>
      <c r="J6678" s="2">
        <v>100.51</v>
      </c>
      <c r="K6678" s="2" t="b">
        <v>0</v>
      </c>
      <c r="L6678" s="2"/>
      <c r="M6678" s="2"/>
      <c r="N6678" s="4" t="s">
        <v>2259</v>
      </c>
      <c r="O6678" s="4" t="str">
        <f>LEFT(Table2[[#This Row],[Description]],75)</f>
        <v>Cub Foods</v>
      </c>
      <c r="P6678" s="2" t="s">
        <v>2370</v>
      </c>
    </row>
    <row r="6679" spans="1:16" hidden="1">
      <c r="A6679" s="2">
        <v>202202</v>
      </c>
      <c r="B6679" s="3">
        <v>44607</v>
      </c>
      <c r="C6679" s="2" t="s">
        <v>2262</v>
      </c>
      <c r="D6679" s="2" t="s">
        <v>894</v>
      </c>
      <c r="E6679" s="2">
        <v>25</v>
      </c>
      <c r="F6679" s="2" t="e">
        <f>IF(Table2[[#This Row],[Manual Cat Value]]="",VLOOKUP(Table2[[#This Row],[Description]],'Actuals Lookup'!D:F,3,0),Table2[[#This Row],[Manual Cat Value]])</f>
        <v>#N/A</v>
      </c>
      <c r="J6679" s="2">
        <v>25</v>
      </c>
      <c r="K6679" s="2" t="b">
        <v>0</v>
      </c>
      <c r="L6679" s="2"/>
      <c r="M6679" s="2"/>
      <c r="N6679" s="4" t="s">
        <v>2259</v>
      </c>
      <c r="O6679" s="4" t="str">
        <f>LEFT(Table2[[#This Row],[Description]],75)</f>
        <v>Girl Scouts</v>
      </c>
      <c r="P6679" s="2" t="s">
        <v>2281</v>
      </c>
    </row>
    <row r="6680" spans="1:16" hidden="1">
      <c r="A6680" s="2">
        <v>202202</v>
      </c>
      <c r="B6680" s="3">
        <v>44607</v>
      </c>
      <c r="C6680" s="2" t="s">
        <v>2262</v>
      </c>
      <c r="D6680" s="2" t="s">
        <v>998</v>
      </c>
      <c r="E6680" s="2">
        <v>79</v>
      </c>
      <c r="F6680" s="2" t="e">
        <f>IF(Table2[[#This Row],[Manual Cat Value]]="",VLOOKUP(Table2[[#This Row],[Description]],'Actuals Lookup'!D:F,3,0),Table2[[#This Row],[Manual Cat Value]])</f>
        <v>#N/A</v>
      </c>
      <c r="J6680" s="2">
        <v>79</v>
      </c>
      <c r="K6680" s="2" t="b">
        <v>0</v>
      </c>
      <c r="L6680" s="2"/>
      <c r="M6680" s="2"/>
      <c r="N6680" s="4" t="s">
        <v>2259</v>
      </c>
      <c r="O6680" s="4" t="str">
        <f>LEFT(Table2[[#This Row],[Description]],75)</f>
        <v>Intuit TurboTax</v>
      </c>
      <c r="P6680" s="2" t="s">
        <v>2281</v>
      </c>
    </row>
    <row r="6681" spans="1:16" hidden="1">
      <c r="A6681" s="2">
        <v>202202</v>
      </c>
      <c r="B6681" s="3">
        <v>44607</v>
      </c>
      <c r="C6681" s="2" t="s">
        <v>2265</v>
      </c>
      <c r="D6681" s="2" t="s">
        <v>1471</v>
      </c>
      <c r="E6681" s="2">
        <v>8.6300000000000008</v>
      </c>
      <c r="F6681" s="2" t="str">
        <f>IF(Table2[[#This Row],[Manual Cat Value]]="",VLOOKUP(Table2[[#This Row],[Description]],'Actuals Lookup'!D:F,3,0),Table2[[#This Row],[Manual Cat Value]])</f>
        <v>Shopping</v>
      </c>
      <c r="J6681" s="2">
        <v>8.6300000000000008</v>
      </c>
      <c r="K6681" s="2" t="b">
        <v>0</v>
      </c>
      <c r="L6681" s="2"/>
      <c r="M6681" s="2"/>
      <c r="N6681" s="4" t="s">
        <v>2259</v>
      </c>
      <c r="O6681" s="4" t="str">
        <f>LEFT(Table2[[#This Row],[Description]],75)</f>
        <v>PayPal</v>
      </c>
      <c r="P6681" s="2" t="s">
        <v>2322</v>
      </c>
    </row>
    <row r="6682" spans="1:16" ht="28.5" hidden="1">
      <c r="A6682" s="2">
        <v>202202</v>
      </c>
      <c r="B6682" s="3">
        <v>44608</v>
      </c>
      <c r="C6682" s="2" t="s">
        <v>2447</v>
      </c>
      <c r="D6682" s="5" t="s">
        <v>123</v>
      </c>
      <c r="E6682" s="2">
        <v>8.7100000000000009</v>
      </c>
      <c r="F6682" s="2" t="e">
        <f>IF(Table2[[#This Row],[Manual Cat Value]]="",VLOOKUP(Table2[[#This Row],[Description]],'Actuals Lookup'!D:F,3,0),Table2[[#This Row],[Manual Cat Value]])</f>
        <v>#N/A</v>
      </c>
      <c r="J6682" s="2">
        <v>8.7100000000000009</v>
      </c>
      <c r="K6682" s="2" t="b">
        <v>0</v>
      </c>
      <c r="L6682" s="2"/>
      <c r="M6682" s="2"/>
      <c r="N6682" s="4" t="s">
        <v>2259</v>
      </c>
      <c r="O6682" s="4" t="str">
        <f>LEFT(Table2[[#This Row],[Description]],75)</f>
        <v>AMAZON.COM*1U2QK71Z3 AMZN.COM/BILLWA
HFUU4C7BO4J</v>
      </c>
      <c r="P6682" s="2" t="s">
        <v>2281</v>
      </c>
    </row>
    <row r="6683" spans="1:16" hidden="1">
      <c r="A6683" s="2">
        <v>202202</v>
      </c>
      <c r="B6683" s="3">
        <v>44608</v>
      </c>
      <c r="C6683" s="2" t="s">
        <v>2265</v>
      </c>
      <c r="D6683" s="2" t="s">
        <v>1196</v>
      </c>
      <c r="E6683" s="2">
        <v>536.29999999999995</v>
      </c>
      <c r="F6683" s="2" t="e">
        <f>IF(Table2[[#This Row],[Manual Cat Value]]="",VLOOKUP(Table2[[#This Row],[Description]],'Actuals Lookup'!D:F,3,0),Table2[[#This Row],[Manual Cat Value]])</f>
        <v>#N/A</v>
      </c>
      <c r="J6683" s="2">
        <v>536.29999999999995</v>
      </c>
      <c r="K6683" s="2" t="b">
        <v>0</v>
      </c>
      <c r="L6683" s="2"/>
      <c r="M6683" s="2"/>
      <c r="N6683" s="4" t="s">
        <v>2259</v>
      </c>
      <c r="O6683" s="4" t="str">
        <f>LEFT(Table2[[#This Row],[Description]],75)</f>
        <v>MHCHILDCARELLC TYPE DUES ID CO M MHCHILDCARELLC TYPE DUES ID CO MHCHILDCARE</v>
      </c>
      <c r="P6683" s="2" t="s">
        <v>2497</v>
      </c>
    </row>
    <row r="6684" spans="1:16" hidden="1">
      <c r="A6684" s="2">
        <v>202202</v>
      </c>
      <c r="B6684" s="3">
        <v>44609</v>
      </c>
      <c r="C6684" s="2" t="s">
        <v>2262</v>
      </c>
      <c r="D6684" s="2" t="s">
        <v>98</v>
      </c>
      <c r="E6684" s="2">
        <v>95</v>
      </c>
      <c r="F6684" s="2" t="e">
        <f>IF(Table2[[#This Row],[Manual Cat Value]]="",VLOOKUP(Table2[[#This Row],[Description]],'Actuals Lookup'!D:F,3,0),Table2[[#This Row],[Manual Cat Value]])</f>
        <v>#N/A</v>
      </c>
      <c r="J6684" s="2">
        <v>95</v>
      </c>
      <c r="K6684" s="2" t="b">
        <v>0</v>
      </c>
      <c r="L6684" s="2"/>
      <c r="M6684" s="2"/>
      <c r="N6684" s="4" t="s">
        <v>2259</v>
      </c>
      <c r="O6684" s="4" t="str">
        <f>LEFT(Table2[[#This Row],[Description]],75)</f>
        <v>ACTChaskaComCtr 9524483176 MN</v>
      </c>
      <c r="P6684" s="2" t="s">
        <v>2281</v>
      </c>
    </row>
    <row r="6685" spans="1:16" hidden="1">
      <c r="A6685" s="2">
        <v>202202</v>
      </c>
      <c r="B6685" s="3">
        <v>44609</v>
      </c>
      <c r="C6685" s="2" t="s">
        <v>2265</v>
      </c>
      <c r="D6685" s="2" t="s">
        <v>428</v>
      </c>
      <c r="E6685" s="2">
        <v>2493.8000000000002</v>
      </c>
      <c r="F6685" s="2" t="e">
        <f>IF(Table2[[#This Row],[Manual Cat Value]]="",VLOOKUP(Table2[[#This Row],[Description]],'Actuals Lookup'!D:F,3,0),Table2[[#This Row],[Manual Cat Value]])</f>
        <v>#N/A</v>
      </c>
      <c r="J6685" s="2">
        <v>-2493.8000000000002</v>
      </c>
      <c r="K6685" s="2" t="b">
        <v>0</v>
      </c>
      <c r="L6685" s="2"/>
      <c r="M6685" s="2"/>
      <c r="N6685" s="4" t="s">
        <v>2273</v>
      </c>
      <c r="O6685" s="4" t="str">
        <f>LEFT(Table2[[#This Row],[Description]],75)</f>
        <v>CARGILL INCORPOR TYPE DIRECT DEP ID CO CARGILL INCORPOR ACH ECC PPD ACH Tra</v>
      </c>
      <c r="P6685" s="2" t="s">
        <v>2281</v>
      </c>
    </row>
    <row r="6686" spans="1:16" hidden="1">
      <c r="A6686" s="2">
        <v>202202</v>
      </c>
      <c r="B6686" s="3">
        <v>44610</v>
      </c>
      <c r="C6686" s="2" t="s">
        <v>2262</v>
      </c>
      <c r="D6686" s="2" t="s">
        <v>674</v>
      </c>
      <c r="E6686" s="2">
        <v>899.06</v>
      </c>
      <c r="F6686" s="2" t="e">
        <f>IF(Table2[[#This Row],[Manual Cat Value]]="",VLOOKUP(Table2[[#This Row],[Description]],'Actuals Lookup'!D:F,3,0),Table2[[#This Row],[Manual Cat Value]])</f>
        <v>#N/A</v>
      </c>
      <c r="J6686" s="2">
        <v>-899.06</v>
      </c>
      <c r="K6686" s="2" t="b">
        <v>0</v>
      </c>
      <c r="L6686" s="2"/>
      <c r="M6686" s="2"/>
      <c r="N6686" s="4" t="s">
        <v>2273</v>
      </c>
      <c r="O6686" s="4" t="str">
        <f>LEFT(Table2[[#This Row],[Description]],75)</f>
        <v>Credit Card Payment Received PAYMENT THANK YOU</v>
      </c>
      <c r="P6686" s="2" t="s">
        <v>2560</v>
      </c>
    </row>
    <row r="6687" spans="1:16" hidden="1">
      <c r="A6687" s="2">
        <v>202202</v>
      </c>
      <c r="B6687" s="3">
        <v>44610</v>
      </c>
      <c r="C6687" s="2" t="s">
        <v>2265</v>
      </c>
      <c r="D6687" s="2" t="s">
        <v>1465</v>
      </c>
      <c r="E6687" s="2">
        <v>647.65</v>
      </c>
      <c r="F6687" s="2" t="e">
        <f>IF(Table2[[#This Row],[Manual Cat Value]]="",VLOOKUP(Table2[[#This Row],[Description]],'Actuals Lookup'!D:F,3,0),Table2[[#This Row],[Manual Cat Value]])</f>
        <v>#N/A</v>
      </c>
      <c r="J6687" s="2">
        <v>647.65</v>
      </c>
      <c r="K6687" s="2" t="b">
        <v>0</v>
      </c>
      <c r="L6687" s="2"/>
      <c r="M6687" s="2"/>
      <c r="N6687" s="4" t="s">
        <v>2259</v>
      </c>
      <c r="O6687" s="4" t="str">
        <f>LEFT(Table2[[#This Row],[Description]],75)</f>
        <v>Payment to Nordstrom</v>
      </c>
      <c r="P6687" s="2" t="s">
        <v>2281</v>
      </c>
    </row>
    <row r="6688" spans="1:16" hidden="1">
      <c r="A6688" s="2">
        <v>202202</v>
      </c>
      <c r="B6688" s="3">
        <v>44610</v>
      </c>
      <c r="C6688" s="2" t="s">
        <v>2265</v>
      </c>
      <c r="D6688" s="2" t="s">
        <v>812</v>
      </c>
      <c r="E6688" s="2">
        <v>5000</v>
      </c>
      <c r="F6688" s="2" t="e">
        <f>IF(Table2[[#This Row],[Manual Cat Value]]="",VLOOKUP(Table2[[#This Row],[Description]],'Actuals Lookup'!D:F,3,0),Table2[[#This Row],[Manual Cat Value]])</f>
        <v>#N/A</v>
      </c>
      <c r="J6688" s="2">
        <v>-5000</v>
      </c>
      <c r="K6688" s="2" t="b">
        <v>0</v>
      </c>
      <c r="L6688" s="2"/>
      <c r="M6688" s="2"/>
      <c r="N6688" s="4" t="s">
        <v>2273</v>
      </c>
      <c r="O6688" s="4" t="str">
        <f>LEFT(Table2[[#This Row],[Description]],75)</f>
        <v>EMPLOYEE BENEFIT TYPE EBC ID CO</v>
      </c>
      <c r="P6688" s="2" t="s">
        <v>2281</v>
      </c>
    </row>
    <row r="6689" spans="1:16" hidden="1">
      <c r="A6689" s="2">
        <v>202202</v>
      </c>
      <c r="B6689" s="3">
        <v>44610</v>
      </c>
      <c r="C6689" s="2" t="s">
        <v>2265</v>
      </c>
      <c r="D6689" s="2" t="s">
        <v>1286</v>
      </c>
      <c r="E6689" s="2">
        <v>200</v>
      </c>
      <c r="F6689" s="2" t="e">
        <f>IF(Table2[[#This Row],[Manual Cat Value]]="",VLOOKUP(Table2[[#This Row],[Description]],'Actuals Lookup'!D:F,3,0),Table2[[#This Row],[Manual Cat Value]])</f>
        <v>#N/A</v>
      </c>
      <c r="J6689" s="2">
        <v>200</v>
      </c>
      <c r="K6689" s="2" t="b">
        <v>0</v>
      </c>
      <c r="L6689" s="2"/>
      <c r="M6689" s="2"/>
      <c r="N6689" s="4" t="s">
        <v>2259</v>
      </c>
      <c r="O6689" s="4" t="str">
        <f>LEFT(Table2[[#This Row],[Description]],75)</f>
        <v>MN DIR ACH TYPE CONTRIB ID CO MN</v>
      </c>
      <c r="P6689" s="2" t="s">
        <v>2591</v>
      </c>
    </row>
    <row r="6690" spans="1:16" hidden="1">
      <c r="A6690" s="2">
        <v>202202</v>
      </c>
      <c r="B6690" s="3">
        <v>44610</v>
      </c>
      <c r="C6690" s="2" t="s">
        <v>2338</v>
      </c>
      <c r="D6690" s="2" t="s">
        <v>1820</v>
      </c>
      <c r="E6690" s="2">
        <v>807.7</v>
      </c>
      <c r="F6690" s="2" t="e">
        <f>IF(Table2[[#This Row],[Manual Cat Value]]="",VLOOKUP(Table2[[#This Row],[Description]],'Actuals Lookup'!D:F,3,0),Table2[[#This Row],[Manual Cat Value]])</f>
        <v>#N/A</v>
      </c>
      <c r="J6690" s="2">
        <v>-807.7</v>
      </c>
      <c r="K6690" s="2" t="b">
        <v>0</v>
      </c>
      <c r="L6690" s="2"/>
      <c r="M6690" s="2"/>
      <c r="N6690" s="4" t="s">
        <v>2273</v>
      </c>
      <c r="O6690" s="4" t="str">
        <f>LEFT(Table2[[#This Row],[Description]],75)</f>
        <v>Target Retire 2055 Tr P - Plan Contribution</v>
      </c>
      <c r="P6690" s="2" t="s">
        <v>2386</v>
      </c>
    </row>
    <row r="6691" spans="1:16" hidden="1">
      <c r="A6691" s="2">
        <v>202202</v>
      </c>
      <c r="B6691" s="3">
        <v>44610</v>
      </c>
      <c r="C6691" s="2" t="s">
        <v>2265</v>
      </c>
      <c r="D6691" s="2" t="s">
        <v>2204</v>
      </c>
      <c r="E6691" s="2">
        <v>899.06</v>
      </c>
      <c r="F6691" s="2" t="e">
        <f>IF(Table2[[#This Row],[Manual Cat Value]]="",VLOOKUP(Table2[[#This Row],[Description]],'Actuals Lookup'!D:F,3,0),Table2[[#This Row],[Manual Cat Value]])</f>
        <v>#N/A</v>
      </c>
      <c r="J6691" s="2">
        <v>899.06</v>
      </c>
      <c r="K6691" s="2" t="b">
        <v>0</v>
      </c>
      <c r="L6691" s="2"/>
      <c r="M6691" s="2"/>
      <c r="N6691" s="4" t="s">
        <v>2259</v>
      </c>
      <c r="O6691" s="4" t="str">
        <f>LEFT(Table2[[#This Row],[Description]],75)</f>
        <v>Withdrawal Home Pmt to card XX91</v>
      </c>
      <c r="P6691" s="2" t="s">
        <v>2281</v>
      </c>
    </row>
    <row r="6692" spans="1:16" hidden="1">
      <c r="A6692" s="2">
        <v>202202</v>
      </c>
      <c r="B6692" s="3">
        <v>44612</v>
      </c>
      <c r="C6692" s="2" t="s">
        <v>2262</v>
      </c>
      <c r="D6692" s="2" t="s">
        <v>944</v>
      </c>
      <c r="E6692" s="2">
        <v>50.77</v>
      </c>
      <c r="F6692" s="2" t="e">
        <f>IF(Table2[[#This Row],[Manual Cat Value]]="",VLOOKUP(Table2[[#This Row],[Description]],'Actuals Lookup'!D:F,3,0),Table2[[#This Row],[Manual Cat Value]])</f>
        <v>#N/A</v>
      </c>
      <c r="J6692" s="2">
        <v>50.77</v>
      </c>
      <c r="K6692" s="2" t="b">
        <v>0</v>
      </c>
      <c r="L6692" s="2"/>
      <c r="M6692" s="2"/>
      <c r="N6692" s="4" t="s">
        <v>2259</v>
      </c>
      <c r="O6692" s="4" t="str">
        <f>LEFT(Table2[[#This Row],[Description]],75)</f>
        <v>Holiday Stationstore</v>
      </c>
      <c r="P6692" s="2" t="s">
        <v>2374</v>
      </c>
    </row>
    <row r="6693" spans="1:16" hidden="1">
      <c r="A6693" s="2">
        <v>202202</v>
      </c>
      <c r="B6693" s="3">
        <v>44612</v>
      </c>
      <c r="C6693" s="2" t="s">
        <v>2262</v>
      </c>
      <c r="D6693" s="2" t="s">
        <v>2143</v>
      </c>
      <c r="E6693" s="2">
        <v>9.48</v>
      </c>
      <c r="F6693" s="2" t="e">
        <f>IF(Table2[[#This Row],[Manual Cat Value]]="",VLOOKUP(Table2[[#This Row],[Description]],'Actuals Lookup'!D:F,3,0),Table2[[#This Row],[Manual Cat Value]])</f>
        <v>#N/A</v>
      </c>
      <c r="J6693" s="2">
        <v>9.48</v>
      </c>
      <c r="K6693" s="2" t="b">
        <v>0</v>
      </c>
      <c r="L6693" s="2"/>
      <c r="M6693" s="2"/>
      <c r="N6693" s="4" t="s">
        <v>2259</v>
      </c>
      <c r="O6693" s="4" t="str">
        <f>LEFT(Table2[[#This Row],[Description]],75)</f>
        <v>WAYNES FOODS PLUS DANBURY WI WAYNES FOODS PLUS DANBURY WI</v>
      </c>
      <c r="P6693" s="2" t="s">
        <v>2281</v>
      </c>
    </row>
    <row r="6694" spans="1:16" hidden="1">
      <c r="A6694" s="2">
        <v>202202</v>
      </c>
      <c r="B6694" s="3">
        <v>44612</v>
      </c>
      <c r="C6694" s="2" t="s">
        <v>2262</v>
      </c>
      <c r="D6694" s="2" t="s">
        <v>2143</v>
      </c>
      <c r="E6694" s="2">
        <v>33.74</v>
      </c>
      <c r="F6694" s="2" t="e">
        <f>IF(Table2[[#This Row],[Manual Cat Value]]="",VLOOKUP(Table2[[#This Row],[Description]],'Actuals Lookup'!D:F,3,0),Table2[[#This Row],[Manual Cat Value]])</f>
        <v>#N/A</v>
      </c>
      <c r="J6694" s="2">
        <v>33.74</v>
      </c>
      <c r="K6694" s="2" t="b">
        <v>0</v>
      </c>
      <c r="L6694" s="2"/>
      <c r="M6694" s="2"/>
      <c r="N6694" s="4" t="s">
        <v>2259</v>
      </c>
      <c r="O6694" s="4" t="str">
        <f>LEFT(Table2[[#This Row],[Description]],75)</f>
        <v>WAYNES FOODS PLUS DANBURY WI WAYNES FOODS PLUS DANBURY WI</v>
      </c>
      <c r="P6694" s="2" t="s">
        <v>2281</v>
      </c>
    </row>
    <row r="6695" spans="1:16" hidden="1">
      <c r="A6695" s="2">
        <v>202202</v>
      </c>
      <c r="B6695" s="3">
        <v>44613</v>
      </c>
      <c r="C6695" s="2" t="s">
        <v>2262</v>
      </c>
      <c r="D6695" s="2" t="s">
        <v>276</v>
      </c>
      <c r="E6695" s="2">
        <v>15.81</v>
      </c>
      <c r="F6695" s="2" t="e">
        <f>IF(Table2[[#This Row],[Manual Cat Value]]="",VLOOKUP(Table2[[#This Row],[Description]],'Actuals Lookup'!D:F,3,0),Table2[[#This Row],[Manual Cat Value]])</f>
        <v>#N/A</v>
      </c>
      <c r="J6695" s="2">
        <v>15.81</v>
      </c>
      <c r="K6695" s="2" t="b">
        <v>0</v>
      </c>
      <c r="L6695" s="2"/>
      <c r="M6695" s="2"/>
      <c r="N6695" s="4" t="s">
        <v>2259</v>
      </c>
      <c r="O6695" s="4" t="str">
        <f>LEFT(Table2[[#This Row],[Description]],75)</f>
        <v>BDC CHEESE STORE GRANTSBURG WI</v>
      </c>
      <c r="P6695" s="2" t="s">
        <v>2281</v>
      </c>
    </row>
    <row r="6696" spans="1:16" hidden="1">
      <c r="A6696" s="2">
        <v>202202</v>
      </c>
      <c r="B6696" s="3">
        <v>44613</v>
      </c>
      <c r="C6696" s="2" t="s">
        <v>2262</v>
      </c>
      <c r="D6696" s="2" t="s">
        <v>276</v>
      </c>
      <c r="E6696" s="2">
        <v>80.3</v>
      </c>
      <c r="F6696" s="2" t="e">
        <f>IF(Table2[[#This Row],[Manual Cat Value]]="",VLOOKUP(Table2[[#This Row],[Description]],'Actuals Lookup'!D:F,3,0),Table2[[#This Row],[Manual Cat Value]])</f>
        <v>#N/A</v>
      </c>
      <c r="J6696" s="2">
        <v>80.3</v>
      </c>
      <c r="K6696" s="2" t="b">
        <v>0</v>
      </c>
      <c r="L6696" s="2"/>
      <c r="M6696" s="2"/>
      <c r="N6696" s="4" t="s">
        <v>2259</v>
      </c>
      <c r="O6696" s="4" t="str">
        <f>LEFT(Table2[[#This Row],[Description]],75)</f>
        <v>BDC CHEESE STORE GRANTSBURG WI</v>
      </c>
      <c r="P6696" s="2" t="s">
        <v>2281</v>
      </c>
    </row>
    <row r="6697" spans="1:16" hidden="1">
      <c r="A6697" s="2">
        <v>202202</v>
      </c>
      <c r="B6697" s="3">
        <v>44613</v>
      </c>
      <c r="C6697" s="2" t="s">
        <v>2262</v>
      </c>
      <c r="D6697" s="2" t="s">
        <v>307</v>
      </c>
      <c r="E6697" s="2">
        <v>9</v>
      </c>
      <c r="F6697" s="2" t="e">
        <f>IF(Table2[[#This Row],[Manual Cat Value]]="",VLOOKUP(Table2[[#This Row],[Description]],'Actuals Lookup'!D:F,3,0),Table2[[#This Row],[Manual Cat Value]])</f>
        <v>#N/A</v>
      </c>
      <c r="J6697" s="2">
        <v>9</v>
      </c>
      <c r="K6697" s="2" t="b">
        <v>0</v>
      </c>
      <c r="L6697" s="2"/>
      <c r="M6697" s="2"/>
      <c r="N6697" s="4" t="s">
        <v>2259</v>
      </c>
      <c r="O6697" s="4" t="str">
        <f>LEFT(Table2[[#This Row],[Description]],75)</f>
        <v>Bonfes Plumbing Heating &amp; Air Services</v>
      </c>
      <c r="P6697" s="2" t="s">
        <v>2537</v>
      </c>
    </row>
    <row r="6698" spans="1:16" hidden="1">
      <c r="A6698" s="2">
        <v>202202</v>
      </c>
      <c r="B6698" s="3">
        <v>44613</v>
      </c>
      <c r="C6698" s="2" t="s">
        <v>2265</v>
      </c>
      <c r="D6698" s="2" t="s">
        <v>637</v>
      </c>
      <c r="E6698" s="2">
        <v>195.77</v>
      </c>
      <c r="F6698" s="2" t="e">
        <f>IF(Table2[[#This Row],[Manual Cat Value]]="",VLOOKUP(Table2[[#This Row],[Description]],'Actuals Lookup'!D:F,3,0),Table2[[#This Row],[Manual Cat Value]])</f>
        <v>#N/A</v>
      </c>
      <c r="J6698" s="2">
        <v>-195.77</v>
      </c>
      <c r="K6698" s="2" t="b">
        <v>0</v>
      </c>
      <c r="L6698" s="2"/>
      <c r="M6698" s="2"/>
      <c r="N6698" s="4" t="s">
        <v>2273</v>
      </c>
      <c r="O6698" s="4" t="str">
        <f>LEFT(Table2[[#This Row],[Description]],75)</f>
        <v>Connectyourcare Type Svbclaims</v>
      </c>
      <c r="P6698" s="2" t="s">
        <v>2281</v>
      </c>
    </row>
    <row r="6699" spans="1:16" hidden="1">
      <c r="A6699" s="2">
        <v>202202</v>
      </c>
      <c r="B6699" s="3">
        <v>44613</v>
      </c>
      <c r="C6699" s="2" t="s">
        <v>2262</v>
      </c>
      <c r="D6699" s="2" t="s">
        <v>1407</v>
      </c>
      <c r="E6699" s="2">
        <v>21.71</v>
      </c>
      <c r="F6699" s="2" t="e">
        <f>IF(Table2[[#This Row],[Manual Cat Value]]="",VLOOKUP(Table2[[#This Row],[Description]],'Actuals Lookup'!D:F,3,0),Table2[[#This Row],[Manual Cat Value]])</f>
        <v>#N/A</v>
      </c>
      <c r="J6699" s="2">
        <v>21.71</v>
      </c>
      <c r="K6699" s="2" t="b">
        <v>0</v>
      </c>
      <c r="L6699" s="2"/>
      <c r="M6699" s="2"/>
      <c r="N6699" s="4" t="s">
        <v>2259</v>
      </c>
      <c r="O6699" s="4" t="str">
        <f>LEFT(Table2[[#This Row],[Description]],75)</f>
        <v>Party City</v>
      </c>
      <c r="P6699" s="2" t="s">
        <v>2378</v>
      </c>
    </row>
    <row r="6700" spans="1:16" hidden="1">
      <c r="A6700" s="2">
        <v>202202</v>
      </c>
      <c r="B6700" s="3">
        <v>44613</v>
      </c>
      <c r="C6700" s="2" t="s">
        <v>2262</v>
      </c>
      <c r="D6700" s="2" t="s">
        <v>1494</v>
      </c>
      <c r="E6700" s="2">
        <v>52.11</v>
      </c>
      <c r="F6700" s="2" t="e">
        <f>IF(Table2[[#This Row],[Manual Cat Value]]="",VLOOKUP(Table2[[#This Row],[Description]],'Actuals Lookup'!D:F,3,0),Table2[[#This Row],[Manual Cat Value]])</f>
        <v>#N/A</v>
      </c>
      <c r="J6700" s="2">
        <v>52.11</v>
      </c>
      <c r="K6700" s="2" t="b">
        <v>0</v>
      </c>
      <c r="L6700" s="2"/>
      <c r="M6700" s="2"/>
      <c r="N6700" s="4" t="s">
        <v>2259</v>
      </c>
      <c r="O6700" s="4" t="str">
        <f>LEFT(Table2[[#This Row],[Description]],75)</f>
        <v>Pizza Pub</v>
      </c>
      <c r="P6700" s="2" t="s">
        <v>2281</v>
      </c>
    </row>
    <row r="6701" spans="1:16" hidden="1">
      <c r="A6701" s="2">
        <v>202202</v>
      </c>
      <c r="B6701" s="3">
        <v>44613</v>
      </c>
      <c r="C6701" s="2" t="s">
        <v>2262</v>
      </c>
      <c r="D6701" s="2" t="s">
        <v>1773</v>
      </c>
      <c r="E6701" s="2">
        <v>10</v>
      </c>
      <c r="F6701" s="2" t="str">
        <f>IF(Table2[[#This Row],[Manual Cat Value]]="",VLOOKUP(Table2[[#This Row],[Description]],'Actuals Lookup'!D:F,3,0),Table2[[#This Row],[Manual Cat Value]])</f>
        <v>Restaurants</v>
      </c>
      <c r="J6701" s="2">
        <v>10</v>
      </c>
      <c r="K6701" s="2" t="b">
        <v>0</v>
      </c>
      <c r="L6701" s="2"/>
      <c r="M6701" s="2"/>
      <c r="N6701" s="4" t="s">
        <v>2259</v>
      </c>
      <c r="O6701" s="4" t="str">
        <f>LEFT(Table2[[#This Row],[Description]],75)</f>
        <v>Starbucks</v>
      </c>
      <c r="P6701" s="2" t="s">
        <v>2454</v>
      </c>
    </row>
    <row r="6702" spans="1:16" hidden="1">
      <c r="A6702" s="2">
        <v>202202</v>
      </c>
      <c r="B6702" s="3">
        <v>44613</v>
      </c>
      <c r="C6702" s="2" t="s">
        <v>2265</v>
      </c>
      <c r="D6702" s="2" t="s">
        <v>2067</v>
      </c>
      <c r="E6702" s="2">
        <v>15</v>
      </c>
      <c r="F6702" s="2" t="e">
        <f>IF(Table2[[#This Row],[Manual Cat Value]]="",VLOOKUP(Table2[[#This Row],[Description]],'Actuals Lookup'!D:F,3,0),Table2[[#This Row],[Manual Cat Value]])</f>
        <v>#N/A</v>
      </c>
      <c r="J6702" s="2">
        <v>-15</v>
      </c>
      <c r="K6702" s="2" t="b">
        <v>0</v>
      </c>
      <c r="L6702" s="2"/>
      <c r="M6702" s="2"/>
      <c r="N6702" s="4" t="s">
        <v>2273</v>
      </c>
      <c r="O6702" s="4" t="str">
        <f>LEFT(Table2[[#This Row],[Description]],75)</f>
        <v>TYPE TRANSFER ID PAYPALSD11 CO PAYPAL ACH ECC PPD ACH Trace 03346</v>
      </c>
      <c r="P6702" s="2" t="s">
        <v>2322</v>
      </c>
    </row>
    <row r="6703" spans="1:16" hidden="1">
      <c r="A6703" s="2">
        <v>202202</v>
      </c>
      <c r="B6703" s="3">
        <v>44614</v>
      </c>
      <c r="C6703" s="2" t="s">
        <v>2265</v>
      </c>
      <c r="D6703" s="2" t="s">
        <v>1459</v>
      </c>
      <c r="E6703" s="2">
        <v>140.22999999999999</v>
      </c>
      <c r="F6703" s="2" t="e">
        <f>IF(Table2[[#This Row],[Manual Cat Value]]="",VLOOKUP(Table2[[#This Row],[Description]],'Actuals Lookup'!D:F,3,0),Table2[[#This Row],[Manual Cat Value]])</f>
        <v>#N/A</v>
      </c>
      <c r="J6703" s="2">
        <v>140.22999999999999</v>
      </c>
      <c r="K6703" s="2" t="b">
        <v>0</v>
      </c>
      <c r="L6703" s="2"/>
      <c r="M6703" s="2"/>
      <c r="N6703" s="4" t="s">
        <v>2259</v>
      </c>
      <c r="O6703" s="4" t="str">
        <f>LEFT(Table2[[#This Row],[Description]],75)</f>
        <v>Payment to Banana Republic</v>
      </c>
      <c r="P6703" s="2" t="s">
        <v>2281</v>
      </c>
    </row>
    <row r="6704" spans="1:16" hidden="1">
      <c r="A6704" s="2">
        <v>202202</v>
      </c>
      <c r="B6704" s="3">
        <v>44614</v>
      </c>
      <c r="C6704" s="2" t="s">
        <v>2265</v>
      </c>
      <c r="D6704" s="2" t="s">
        <v>1810</v>
      </c>
      <c r="E6704" s="2">
        <v>135</v>
      </c>
      <c r="F6704" s="2" t="e">
        <f>IF(Table2[[#This Row],[Manual Cat Value]]="",VLOOKUP(Table2[[#This Row],[Description]],'Actuals Lookup'!D:F,3,0),Table2[[#This Row],[Manual Cat Value]])</f>
        <v>#N/A</v>
      </c>
      <c r="J6704" s="2">
        <v>-135</v>
      </c>
      <c r="K6704" s="2" t="b">
        <v>0</v>
      </c>
      <c r="L6704" s="2"/>
      <c r="M6704" s="2"/>
      <c r="N6704" s="4" t="s">
        <v>2273</v>
      </c>
      <c r="O6704" s="4" t="str">
        <f>LEFT(Table2[[#This Row],[Description]],75)</f>
        <v>SYNTELLIS TYPE PAYMENT  ID  CO S</v>
      </c>
      <c r="P6704" s="2" t="s">
        <v>2281</v>
      </c>
    </row>
    <row r="6705" spans="1:16" ht="28.5" hidden="1">
      <c r="A6705" s="2">
        <v>202202</v>
      </c>
      <c r="B6705" s="3">
        <v>44614</v>
      </c>
      <c r="C6705" s="2" t="s">
        <v>2447</v>
      </c>
      <c r="D6705" s="5" t="s">
        <v>134</v>
      </c>
      <c r="E6705" s="2">
        <v>89.08</v>
      </c>
      <c r="F6705" s="2" t="e">
        <f>IF(Table2[[#This Row],[Manual Cat Value]]="",VLOOKUP(Table2[[#This Row],[Description]],'Actuals Lookup'!D:F,3,0),Table2[[#This Row],[Manual Cat Value]])</f>
        <v>#N/A</v>
      </c>
      <c r="J6705" s="2">
        <v>89.08</v>
      </c>
      <c r="K6705" s="2" t="b">
        <v>0</v>
      </c>
      <c r="L6705" s="2"/>
      <c r="M6705" s="2"/>
      <c r="N6705" s="4" t="s">
        <v>2259</v>
      </c>
      <c r="O6705" s="4" t="str">
        <f>LEFT(Table2[[#This Row],[Description]],75)</f>
        <v>AMZN MKTP US*1I2WT2XL1 AMZN.COM/BILLWA
763RBXH4RB0</v>
      </c>
      <c r="P6705" s="2" t="s">
        <v>2281</v>
      </c>
    </row>
    <row r="6706" spans="1:16" hidden="1">
      <c r="A6706" s="2">
        <v>202202</v>
      </c>
      <c r="B6706" s="3">
        <v>44614</v>
      </c>
      <c r="C6706" s="2" t="s">
        <v>2262</v>
      </c>
      <c r="D6706" s="2" t="s">
        <v>540</v>
      </c>
      <c r="E6706" s="2">
        <v>55.8</v>
      </c>
      <c r="F6706" s="2" t="e">
        <f>IF(Table2[[#This Row],[Manual Cat Value]]="",VLOOKUP(Table2[[#This Row],[Description]],'Actuals Lookup'!D:F,3,0),Table2[[#This Row],[Manual Cat Value]])</f>
        <v>#N/A</v>
      </c>
      <c r="J6706" s="2">
        <v>55.8</v>
      </c>
      <c r="K6706" s="2" t="b">
        <v>0</v>
      </c>
      <c r="L6706" s="2"/>
      <c r="M6706" s="2"/>
      <c r="N6706" s="4" t="s">
        <v>2259</v>
      </c>
      <c r="O6706" s="4" t="str">
        <f>LEFT(Table2[[#This Row],[Description]],75)</f>
        <v>Childrens Museum</v>
      </c>
      <c r="P6706" s="2" t="s">
        <v>2281</v>
      </c>
    </row>
    <row r="6707" spans="1:16" hidden="1">
      <c r="A6707" s="2">
        <v>202202</v>
      </c>
      <c r="B6707" s="3">
        <v>44614</v>
      </c>
      <c r="C6707" s="2" t="s">
        <v>2265</v>
      </c>
      <c r="D6707" s="2" t="s">
        <v>556</v>
      </c>
      <c r="E6707" s="2">
        <v>55.5</v>
      </c>
      <c r="F6707" s="2" t="e">
        <f>IF(Table2[[#This Row],[Manual Cat Value]]="",VLOOKUP(Table2[[#This Row],[Description]],'Actuals Lookup'!D:F,3,0),Table2[[#This Row],[Manual Cat Value]])</f>
        <v>#N/A</v>
      </c>
      <c r="J6707" s="2">
        <v>55.5</v>
      </c>
      <c r="K6707" s="2" t="b">
        <v>0</v>
      </c>
      <c r="L6707" s="2"/>
      <c r="M6707" s="2"/>
      <c r="N6707" s="4" t="s">
        <v>2259</v>
      </c>
      <c r="O6707" s="4" t="str">
        <f>LEFT(Table2[[#This Row],[Description]],75)</f>
        <v>CITY OF CHANHASS TYPE UTIL BILL</v>
      </c>
      <c r="P6707" s="2" t="s">
        <v>2281</v>
      </c>
    </row>
    <row r="6708" spans="1:16" hidden="1">
      <c r="A6708" s="2">
        <v>202202</v>
      </c>
      <c r="B6708" s="3">
        <v>44614</v>
      </c>
      <c r="C6708" s="2" t="s">
        <v>2262</v>
      </c>
      <c r="D6708" s="2" t="s">
        <v>1707</v>
      </c>
      <c r="E6708" s="2">
        <v>53.61</v>
      </c>
      <c r="F6708" s="2" t="str">
        <f>IF(Table2[[#This Row],[Manual Cat Value]]="",VLOOKUP(Table2[[#This Row],[Description]],'Actuals Lookup'!D:F,3,0),Table2[[#This Row],[Manual Cat Value]])</f>
        <v>Transportation</v>
      </c>
      <c r="J6708" s="2">
        <v>53.61</v>
      </c>
      <c r="K6708" s="2" t="b">
        <v>0</v>
      </c>
      <c r="L6708" s="2"/>
      <c r="M6708" s="2"/>
      <c r="N6708" s="4" t="s">
        <v>2259</v>
      </c>
      <c r="O6708" s="4" t="str">
        <f>LEFT(Table2[[#This Row],[Description]],75)</f>
        <v>Speedway</v>
      </c>
      <c r="P6708" s="2" t="s">
        <v>2381</v>
      </c>
    </row>
    <row r="6709" spans="1:16" hidden="1">
      <c r="A6709" s="2">
        <v>202202</v>
      </c>
      <c r="B6709" s="3">
        <v>44614</v>
      </c>
      <c r="C6709" s="2" t="s">
        <v>2265</v>
      </c>
      <c r="D6709" s="2" t="s">
        <v>1958</v>
      </c>
      <c r="E6709" s="2">
        <v>338</v>
      </c>
      <c r="F6709" s="2" t="str">
        <f>IF(Table2[[#This Row],[Manual Cat Value]]="",VLOOKUP(Table2[[#This Row],[Description]],'Actuals Lookup'!D:F,3,0),Table2[[#This Row],[Manual Cat Value]])</f>
        <v>Shopping</v>
      </c>
      <c r="J6709" s="2">
        <v>338</v>
      </c>
      <c r="K6709" s="2" t="b">
        <v>0</v>
      </c>
      <c r="L6709" s="2"/>
      <c r="M6709" s="2"/>
      <c r="N6709" s="4" t="s">
        <v>2259</v>
      </c>
      <c r="O6709" s="4" t="str">
        <f>LEFT(Table2[[#This Row],[Description]],75)</f>
        <v>Transfer to Venmo</v>
      </c>
      <c r="P6709" s="2" t="s">
        <v>2281</v>
      </c>
    </row>
    <row r="6710" spans="1:16" hidden="1">
      <c r="A6710" s="2">
        <v>202202</v>
      </c>
      <c r="B6710" s="3">
        <v>44615</v>
      </c>
      <c r="C6710" s="2" t="s">
        <v>2300</v>
      </c>
      <c r="D6710" s="2" t="s">
        <v>859</v>
      </c>
      <c r="E6710" s="2">
        <v>100</v>
      </c>
      <c r="F6710" s="2" t="e">
        <f>IF(Table2[[#This Row],[Manual Cat Value]]="",VLOOKUP(Table2[[#This Row],[Description]],'Actuals Lookup'!D:F,3,0),Table2[[#This Row],[Manual Cat Value]])</f>
        <v>#N/A</v>
      </c>
      <c r="J6710" s="2">
        <v>-100</v>
      </c>
      <c r="K6710" s="2" t="b">
        <v>0</v>
      </c>
      <c r="L6710" s="2"/>
      <c r="M6710" s="2"/>
      <c r="N6710" s="4" t="s">
        <v>2273</v>
      </c>
      <c r="O6710" s="4" t="str">
        <f>LEFT(Table2[[#This Row],[Description]],75)</f>
        <v>From Share 70</v>
      </c>
      <c r="P6710" s="2" t="s">
        <v>2496</v>
      </c>
    </row>
    <row r="6711" spans="1:16" hidden="1">
      <c r="A6711" s="2">
        <v>202202</v>
      </c>
      <c r="B6711" s="3">
        <v>44615</v>
      </c>
      <c r="C6711" s="2" t="s">
        <v>2262</v>
      </c>
      <c r="D6711" s="2" t="s">
        <v>1098</v>
      </c>
      <c r="E6711" s="2">
        <v>22.6</v>
      </c>
      <c r="F6711" s="2" t="e">
        <f>IF(Table2[[#This Row],[Manual Cat Value]]="",VLOOKUP(Table2[[#This Row],[Description]],'Actuals Lookup'!D:F,3,0),Table2[[#This Row],[Manual Cat Value]])</f>
        <v>#N/A</v>
      </c>
      <c r="J6711" s="2">
        <v>22.6</v>
      </c>
      <c r="K6711" s="2" t="b">
        <v>0</v>
      </c>
      <c r="L6711" s="2"/>
      <c r="M6711" s="2"/>
      <c r="N6711" s="4" t="s">
        <v>2259</v>
      </c>
      <c r="O6711" s="4" t="str">
        <f>LEFT(Table2[[#This Row],[Description]],75)</f>
        <v>Lancer</v>
      </c>
      <c r="P6711" s="2" t="s">
        <v>2281</v>
      </c>
    </row>
    <row r="6712" spans="1:16" hidden="1">
      <c r="A6712" s="2">
        <v>202202</v>
      </c>
      <c r="B6712" s="3">
        <v>44615</v>
      </c>
      <c r="C6712" s="2" t="s">
        <v>2265</v>
      </c>
      <c r="D6712" s="2" t="s">
        <v>1195</v>
      </c>
      <c r="E6712" s="2">
        <v>536.29999999999995</v>
      </c>
      <c r="F6712" s="2" t="e">
        <f>IF(Table2[[#This Row],[Manual Cat Value]]="",VLOOKUP(Table2[[#This Row],[Description]],'Actuals Lookup'!D:F,3,0),Table2[[#This Row],[Manual Cat Value]])</f>
        <v>#N/A</v>
      </c>
      <c r="J6712" s="2">
        <v>536.29999999999995</v>
      </c>
      <c r="K6712" s="2" t="b">
        <v>0</v>
      </c>
      <c r="L6712" s="2"/>
      <c r="M6712" s="2"/>
      <c r="N6712" s="4" t="s">
        <v>2259</v>
      </c>
      <c r="O6712" s="4" t="str">
        <f>LEFT(Table2[[#This Row],[Description]],75)</f>
        <v>MHCHILDCARELLC TYPE DUES ID CO M</v>
      </c>
      <c r="P6712" s="2" t="s">
        <v>2497</v>
      </c>
    </row>
    <row r="6713" spans="1:16" hidden="1">
      <c r="A6713" s="2">
        <v>202202</v>
      </c>
      <c r="B6713" s="3">
        <v>44615</v>
      </c>
      <c r="C6713" s="2" t="s">
        <v>2265</v>
      </c>
      <c r="D6713" s="2" t="s">
        <v>1892</v>
      </c>
      <c r="E6713" s="2">
        <v>100</v>
      </c>
      <c r="F6713" s="2" t="e">
        <f>IF(Table2[[#This Row],[Manual Cat Value]]="",VLOOKUP(Table2[[#This Row],[Description]],'Actuals Lookup'!D:F,3,0),Table2[[#This Row],[Manual Cat Value]])</f>
        <v>#N/A</v>
      </c>
      <c r="J6713" s="2">
        <v>100</v>
      </c>
      <c r="K6713" s="2" t="b">
        <v>0</v>
      </c>
      <c r="L6713" s="2"/>
      <c r="M6713" s="2"/>
      <c r="N6713" s="4" t="s">
        <v>2259</v>
      </c>
      <c r="O6713" s="4" t="str">
        <f>LEFT(Table2[[#This Row],[Description]],75)</f>
        <v>To Share 12</v>
      </c>
      <c r="P6713" s="2" t="s">
        <v>2494</v>
      </c>
    </row>
    <row r="6714" spans="1:16" hidden="1">
      <c r="A6714" s="2">
        <v>202202</v>
      </c>
      <c r="B6714" s="3">
        <v>44616</v>
      </c>
      <c r="C6714" s="2" t="s">
        <v>2359</v>
      </c>
      <c r="D6714" s="2" t="s">
        <v>1820</v>
      </c>
      <c r="E6714" s="2">
        <v>3493.52</v>
      </c>
      <c r="F6714" s="2" t="e">
        <f>IF(Table2[[#This Row],[Manual Cat Value]]="",VLOOKUP(Table2[[#This Row],[Description]],'Actuals Lookup'!D:F,3,0),Table2[[#This Row],[Manual Cat Value]])</f>
        <v>#N/A</v>
      </c>
      <c r="J6714" s="2">
        <v>-3493.52</v>
      </c>
      <c r="K6714" s="2" t="b">
        <v>0</v>
      </c>
      <c r="L6714" s="2"/>
      <c r="M6714" s="2"/>
      <c r="N6714" s="4" t="s">
        <v>2273</v>
      </c>
      <c r="O6714" s="4" t="str">
        <f>LEFT(Table2[[#This Row],[Description]],75)</f>
        <v>Target Retire 2055 Tr P - Plan Contribution</v>
      </c>
      <c r="P6714" s="2" t="s">
        <v>2386</v>
      </c>
    </row>
    <row r="6715" spans="1:16" hidden="1">
      <c r="A6715" s="2">
        <v>202202</v>
      </c>
      <c r="B6715" s="3">
        <v>44616</v>
      </c>
      <c r="C6715" s="2" t="s">
        <v>2265</v>
      </c>
      <c r="D6715" s="2" t="s">
        <v>1958</v>
      </c>
      <c r="E6715" s="2">
        <v>125</v>
      </c>
      <c r="F6715" s="2" t="str">
        <f>IF(Table2[[#This Row],[Manual Cat Value]]="",VLOOKUP(Table2[[#This Row],[Description]],'Actuals Lookup'!D:F,3,0),Table2[[#This Row],[Manual Cat Value]])</f>
        <v>Shopping</v>
      </c>
      <c r="J6715" s="2">
        <v>125</v>
      </c>
      <c r="K6715" s="2" t="b">
        <v>0</v>
      </c>
      <c r="L6715" s="2"/>
      <c r="M6715" s="2"/>
      <c r="N6715" s="4" t="s">
        <v>2259</v>
      </c>
      <c r="O6715" s="4" t="str">
        <f>LEFT(Table2[[#This Row],[Description]],75)</f>
        <v>Transfer to Venmo</v>
      </c>
      <c r="P6715" s="2" t="s">
        <v>2281</v>
      </c>
    </row>
    <row r="6716" spans="1:16" hidden="1">
      <c r="A6716" s="2">
        <v>202202</v>
      </c>
      <c r="B6716" s="3">
        <v>44617</v>
      </c>
      <c r="C6716" s="2" t="s">
        <v>2265</v>
      </c>
      <c r="D6716" s="2" t="s">
        <v>514</v>
      </c>
      <c r="E6716" s="2">
        <v>47</v>
      </c>
      <c r="F6716" s="2" t="e">
        <f>IF(Table2[[#This Row],[Manual Cat Value]]="",VLOOKUP(Table2[[#This Row],[Description]],'Actuals Lookup'!D:F,3,0),Table2[[#This Row],[Manual Cat Value]])</f>
        <v>#N/A</v>
      </c>
      <c r="J6716" s="2">
        <v>47</v>
      </c>
      <c r="K6716" s="2" t="b">
        <v>0</v>
      </c>
      <c r="L6716" s="2"/>
      <c r="M6716" s="2"/>
      <c r="N6716" s="4" t="s">
        <v>2259</v>
      </c>
      <c r="O6716" s="4" t="str">
        <f>LEFT(Table2[[#This Row],[Description]],75)</f>
        <v>CHECK  2342</v>
      </c>
      <c r="P6716" s="2" t="s">
        <v>2281</v>
      </c>
    </row>
    <row r="6717" spans="1:16" hidden="1">
      <c r="A6717" s="2">
        <v>202202</v>
      </c>
      <c r="B6717" s="3">
        <v>44617</v>
      </c>
      <c r="C6717" s="2" t="s">
        <v>2447</v>
      </c>
      <c r="D6717" s="2" t="s">
        <v>1822</v>
      </c>
      <c r="E6717" s="2">
        <v>31.61</v>
      </c>
      <c r="F6717" s="2" t="e">
        <f>IF(Table2[[#This Row],[Manual Cat Value]]="",VLOOKUP(Table2[[#This Row],[Description]],'Actuals Lookup'!D:F,3,0),Table2[[#This Row],[Manual Cat Value]])</f>
        <v>#N/A</v>
      </c>
      <c r="J6717" s="2">
        <v>31.61</v>
      </c>
      <c r="K6717" s="2" t="b">
        <v>0</v>
      </c>
      <c r="L6717" s="2"/>
      <c r="M6717" s="2"/>
      <c r="N6717" s="4" t="s">
        <v>2259</v>
      </c>
      <c r="O6717" s="4" t="str">
        <f>LEFT(Table2[[#This Row],[Description]],75)</f>
        <v>TAVERN 4 &amp; 5 EDEN PRAIRIE MN</v>
      </c>
      <c r="P6717" s="2" t="s">
        <v>2281</v>
      </c>
    </row>
    <row r="6718" spans="1:16" hidden="1">
      <c r="A6718" s="2">
        <v>202202</v>
      </c>
      <c r="B6718" s="3">
        <v>44617</v>
      </c>
      <c r="C6718" s="2" t="s">
        <v>2262</v>
      </c>
      <c r="D6718" s="2" t="s">
        <v>1853</v>
      </c>
      <c r="E6718" s="2">
        <v>515.20000000000005</v>
      </c>
      <c r="F6718" s="2" t="e">
        <f>IF(Table2[[#This Row],[Manual Cat Value]]="",VLOOKUP(Table2[[#This Row],[Description]],'Actuals Lookup'!D:F,3,0),Table2[[#This Row],[Manual Cat Value]])</f>
        <v>#N/A</v>
      </c>
      <c r="J6718" s="2">
        <v>515.20000000000005</v>
      </c>
      <c r="K6718" s="2" t="b">
        <v>0</v>
      </c>
      <c r="L6718" s="2"/>
      <c r="M6718" s="2"/>
      <c r="N6718" s="4" t="s">
        <v>2259</v>
      </c>
      <c r="O6718" s="4" t="str">
        <f>LEFT(Table2[[#This Row],[Description]],75)</f>
        <v>THE MARKER HOTEL XX5193 FL</v>
      </c>
      <c r="P6718" s="2" t="s">
        <v>2281</v>
      </c>
    </row>
    <row r="6719" spans="1:16" ht="28.5" hidden="1">
      <c r="A6719" s="2">
        <v>202202</v>
      </c>
      <c r="B6719" s="3">
        <v>44618</v>
      </c>
      <c r="C6719" s="2" t="s">
        <v>2447</v>
      </c>
      <c r="D6719" s="5" t="s">
        <v>1351</v>
      </c>
      <c r="E6719" s="2">
        <v>8.99</v>
      </c>
      <c r="F6719" s="2" t="e">
        <f>IF(Table2[[#This Row],[Manual Cat Value]]="",VLOOKUP(Table2[[#This Row],[Description]],'Actuals Lookup'!D:F,3,0),Table2[[#This Row],[Manual Cat Value]])</f>
        <v>#N/A</v>
      </c>
      <c r="J6719" s="2">
        <v>8.99</v>
      </c>
      <c r="K6719" s="2" t="b">
        <v>0</v>
      </c>
      <c r="L6719" s="2"/>
      <c r="M6719" s="2"/>
      <c r="N6719" s="4" t="s">
        <v>2259</v>
      </c>
      <c r="O6719" s="4" t="str">
        <f>LEFT(Table2[[#This Row],[Description]],75)</f>
        <v>NETFLIX.COM NETFLIX.COM CA
NETFLIX.COM</v>
      </c>
      <c r="P6719" s="2" t="s">
        <v>2281</v>
      </c>
    </row>
    <row r="6720" spans="1:16" ht="28.5" hidden="1">
      <c r="A6720" s="2">
        <v>202202</v>
      </c>
      <c r="B6720" s="3">
        <v>44619</v>
      </c>
      <c r="C6720" s="2" t="s">
        <v>2447</v>
      </c>
      <c r="D6720" s="5" t="s">
        <v>135</v>
      </c>
      <c r="E6720" s="2">
        <v>10.73</v>
      </c>
      <c r="F6720" s="2" t="e">
        <f>IF(Table2[[#This Row],[Manual Cat Value]]="",VLOOKUP(Table2[[#This Row],[Description]],'Actuals Lookup'!D:F,3,0),Table2[[#This Row],[Manual Cat Value]])</f>
        <v>#N/A</v>
      </c>
      <c r="J6720" s="2">
        <v>10.73</v>
      </c>
      <c r="K6720" s="2" t="b">
        <v>0</v>
      </c>
      <c r="L6720" s="2"/>
      <c r="M6720" s="2"/>
      <c r="N6720" s="4" t="s">
        <v>2259</v>
      </c>
      <c r="O6720" s="4" t="str">
        <f>LEFT(Table2[[#This Row],[Description]],75)</f>
        <v>AMZN MKTP US*1I3061YQ1 AMZN.COM/BILLWA
6YBXNTHYVL7</v>
      </c>
      <c r="P6720" s="2" t="s">
        <v>2281</v>
      </c>
    </row>
    <row r="6721" spans="1:16" hidden="1">
      <c r="A6721" s="2">
        <v>202202</v>
      </c>
      <c r="B6721" s="3">
        <v>44619</v>
      </c>
      <c r="C6721" s="2" t="s">
        <v>2262</v>
      </c>
      <c r="D6721" s="2" t="s">
        <v>1485</v>
      </c>
      <c r="E6721" s="2">
        <v>59.91</v>
      </c>
      <c r="F6721" s="2" t="e">
        <f>IF(Table2[[#This Row],[Manual Cat Value]]="",VLOOKUP(Table2[[#This Row],[Description]],'Actuals Lookup'!D:F,3,0),Table2[[#This Row],[Manual Cat Value]])</f>
        <v>#N/A</v>
      </c>
      <c r="J6721" s="2">
        <v>59.91</v>
      </c>
      <c r="K6721" s="2" t="b">
        <v>0</v>
      </c>
      <c r="L6721" s="2"/>
      <c r="M6721" s="2"/>
      <c r="N6721" s="4" t="s">
        <v>2259</v>
      </c>
      <c r="O6721" s="4" t="str">
        <f>LEFT(Table2[[#This Row],[Description]],75)</f>
        <v>Personalization Mall</v>
      </c>
      <c r="P6721" s="2" t="s">
        <v>2281</v>
      </c>
    </row>
    <row r="6722" spans="1:16" hidden="1">
      <c r="A6722" s="2">
        <v>202202</v>
      </c>
      <c r="B6722" s="3">
        <v>44619</v>
      </c>
      <c r="C6722" s="2" t="s">
        <v>2262</v>
      </c>
      <c r="D6722" s="2" t="s">
        <v>1773</v>
      </c>
      <c r="E6722" s="2">
        <v>25</v>
      </c>
      <c r="F6722" s="2" t="str">
        <f>IF(Table2[[#This Row],[Manual Cat Value]]="",VLOOKUP(Table2[[#This Row],[Description]],'Actuals Lookup'!D:F,3,0),Table2[[#This Row],[Manual Cat Value]])</f>
        <v>Restaurants</v>
      </c>
      <c r="J6722" s="2">
        <v>25</v>
      </c>
      <c r="K6722" s="2" t="b">
        <v>0</v>
      </c>
      <c r="L6722" s="2"/>
      <c r="M6722" s="2"/>
      <c r="N6722" s="4" t="s">
        <v>2259</v>
      </c>
      <c r="O6722" s="4" t="str">
        <f>LEFT(Table2[[#This Row],[Description]],75)</f>
        <v>Starbucks</v>
      </c>
      <c r="P6722" s="2" t="s">
        <v>2454</v>
      </c>
    </row>
    <row r="6723" spans="1:16" hidden="1">
      <c r="A6723" s="2">
        <v>202202</v>
      </c>
      <c r="B6723" s="3">
        <v>44619</v>
      </c>
      <c r="C6723" s="2" t="s">
        <v>2265</v>
      </c>
      <c r="D6723" s="2" t="s">
        <v>1798</v>
      </c>
      <c r="E6723" s="2">
        <v>2956.34</v>
      </c>
      <c r="F6723" s="2" t="e">
        <f>IF(Table2[[#This Row],[Manual Cat Value]]="",VLOOKUP(Table2[[#This Row],[Description]],'Actuals Lookup'!D:F,3,0),Table2[[#This Row],[Manual Cat Value]])</f>
        <v>#N/A</v>
      </c>
      <c r="J6723" s="2">
        <v>-2956.34</v>
      </c>
      <c r="K6723" s="2" t="b">
        <v>0</v>
      </c>
      <c r="L6723" s="2"/>
      <c r="M6723" s="2"/>
      <c r="N6723" s="4" t="s">
        <v>2273</v>
      </c>
      <c r="O6723" s="4" t="str">
        <f>LEFT(Table2[[#This Row],[Description]],75)</f>
        <v>SYNTELLIS PERFOR TYPE DIRECT DEP</v>
      </c>
      <c r="P6723" s="2" t="s">
        <v>2281</v>
      </c>
    </row>
    <row r="6724" spans="1:16" hidden="1">
      <c r="A6724" s="2">
        <v>202202</v>
      </c>
      <c r="B6724" s="3">
        <v>44619</v>
      </c>
      <c r="C6724" s="2" t="s">
        <v>2262</v>
      </c>
      <c r="D6724" s="2" t="s">
        <v>1849</v>
      </c>
      <c r="E6724" s="2">
        <v>15.02</v>
      </c>
      <c r="F6724" s="2" t="str">
        <f>IF(Table2[[#This Row],[Manual Cat Value]]="",VLOOKUP(Table2[[#This Row],[Description]],'Actuals Lookup'!D:F,3,0),Table2[[#This Row],[Manual Cat Value]])</f>
        <v>House Maintenance</v>
      </c>
      <c r="J6724" s="2">
        <v>15.02</v>
      </c>
      <c r="K6724" s="2" t="b">
        <v>0</v>
      </c>
      <c r="L6724" s="2"/>
      <c r="M6724" s="2"/>
      <c r="N6724" s="4" t="s">
        <v>2259</v>
      </c>
      <c r="O6724" s="4" t="str">
        <f>LEFT(Table2[[#This Row],[Description]],75)</f>
        <v>The Home Depot</v>
      </c>
      <c r="P6724" s="2" t="s">
        <v>2281</v>
      </c>
    </row>
    <row r="6725" spans="1:16" hidden="1">
      <c r="A6725" s="2">
        <v>202202</v>
      </c>
      <c r="B6725" s="3">
        <v>44619</v>
      </c>
      <c r="C6725" s="2" t="s">
        <v>2262</v>
      </c>
      <c r="D6725" s="2" t="s">
        <v>1849</v>
      </c>
      <c r="E6725" s="2">
        <v>38.630000000000003</v>
      </c>
      <c r="F6725" s="2" t="str">
        <f>IF(Table2[[#This Row],[Manual Cat Value]]="",VLOOKUP(Table2[[#This Row],[Description]],'Actuals Lookup'!D:F,3,0),Table2[[#This Row],[Manual Cat Value]])</f>
        <v>House Maintenance</v>
      </c>
      <c r="J6725" s="2">
        <v>38.630000000000003</v>
      </c>
      <c r="K6725" s="2" t="b">
        <v>0</v>
      </c>
      <c r="L6725" s="2"/>
      <c r="M6725" s="2"/>
      <c r="N6725" s="4" t="s">
        <v>2259</v>
      </c>
      <c r="O6725" s="4" t="str">
        <f>LEFT(Table2[[#This Row],[Description]],75)</f>
        <v>The Home Depot</v>
      </c>
      <c r="P6725" s="2" t="s">
        <v>2281</v>
      </c>
    </row>
    <row r="6726" spans="1:16" hidden="1">
      <c r="A6726" s="2">
        <v>202202</v>
      </c>
      <c r="B6726" s="3">
        <v>44619</v>
      </c>
      <c r="C6726" s="2" t="s">
        <v>2262</v>
      </c>
      <c r="D6726" s="2" t="s">
        <v>2002</v>
      </c>
      <c r="E6726" s="2">
        <v>0.82</v>
      </c>
      <c r="F6726" s="2" t="e">
        <f>IF(Table2[[#This Row],[Manual Cat Value]]="",VLOOKUP(Table2[[#This Row],[Description]],'Actuals Lookup'!D:F,3,0),Table2[[#This Row],[Manual Cat Value]])</f>
        <v>#N/A</v>
      </c>
      <c r="J6726" s="2">
        <v>0.82</v>
      </c>
      <c r="K6726" s="2" t="b">
        <v>0</v>
      </c>
      <c r="L6726" s="2"/>
      <c r="M6726" s="2"/>
      <c r="N6726" s="4" t="s">
        <v>2259</v>
      </c>
      <c r="O6726" s="4" t="str">
        <f>LEFT(Table2[[#This Row],[Description]],75)</f>
        <v>True Value</v>
      </c>
      <c r="P6726" s="2" t="s">
        <v>2490</v>
      </c>
    </row>
    <row r="6727" spans="1:16" hidden="1">
      <c r="A6727" s="2">
        <v>202202</v>
      </c>
      <c r="B6727" s="3">
        <v>44619</v>
      </c>
      <c r="C6727" s="2" t="s">
        <v>2262</v>
      </c>
      <c r="D6727" s="2" t="s">
        <v>2101</v>
      </c>
      <c r="E6727" s="2">
        <v>8.9499999999999993</v>
      </c>
      <c r="F6727" s="2" t="str">
        <f>IF(Table2[[#This Row],[Manual Cat Value]]="",VLOOKUP(Table2[[#This Row],[Description]],'Actuals Lookup'!D:F,3,0),Table2[[#This Row],[Manual Cat Value]])</f>
        <v>Misc</v>
      </c>
      <c r="J6727" s="2">
        <v>8.9499999999999993</v>
      </c>
      <c r="K6727" s="2" t="b">
        <v>0</v>
      </c>
      <c r="L6727" s="2"/>
      <c r="M6727" s="2"/>
      <c r="N6727" s="4" t="s">
        <v>2259</v>
      </c>
      <c r="O6727" s="4" t="str">
        <f>LEFT(Table2[[#This Row],[Description]],75)</f>
        <v>USPS</v>
      </c>
      <c r="P6727" s="2" t="s">
        <v>2281</v>
      </c>
    </row>
    <row r="6728" spans="1:16" hidden="1">
      <c r="A6728" s="2">
        <v>202202</v>
      </c>
      <c r="B6728" s="3">
        <v>44620</v>
      </c>
      <c r="C6728" s="2" t="s">
        <v>2262</v>
      </c>
      <c r="D6728" s="2" t="s">
        <v>1411</v>
      </c>
      <c r="E6728" s="2">
        <v>3139.26</v>
      </c>
      <c r="F6728" s="2" t="e">
        <f>IF(Table2[[#This Row],[Manual Cat Value]]="",VLOOKUP(Table2[[#This Row],[Description]],'Actuals Lookup'!D:F,3,0),Table2[[#This Row],[Manual Cat Value]])</f>
        <v>#N/A</v>
      </c>
      <c r="J6728" s="2">
        <v>-3139.26</v>
      </c>
      <c r="K6728" s="2" t="b">
        <v>0</v>
      </c>
      <c r="L6728" s="2"/>
      <c r="M6728" s="2"/>
      <c r="N6728" s="4" t="s">
        <v>2273</v>
      </c>
      <c r="O6728" s="4" t="str">
        <f>LEFT(Table2[[#This Row],[Description]],75)</f>
        <v>PAYMENT  THANK YOU</v>
      </c>
      <c r="P6728" s="2" t="s">
        <v>2281</v>
      </c>
    </row>
    <row r="6729" spans="1:16" hidden="1">
      <c r="A6729" s="2">
        <v>202202</v>
      </c>
      <c r="B6729" s="3">
        <v>44620</v>
      </c>
      <c r="C6729" s="2" t="s">
        <v>2265</v>
      </c>
      <c r="D6729" s="2" t="s">
        <v>2203</v>
      </c>
      <c r="E6729" s="2">
        <v>3139.26</v>
      </c>
      <c r="F6729" s="2" t="e">
        <f>IF(Table2[[#This Row],[Manual Cat Value]]="",VLOOKUP(Table2[[#This Row],[Description]],'Actuals Lookup'!D:F,3,0),Table2[[#This Row],[Manual Cat Value]])</f>
        <v>#N/A</v>
      </c>
      <c r="J6729" s="2">
        <v>3139.26</v>
      </c>
      <c r="K6729" s="2" t="b">
        <v>0</v>
      </c>
      <c r="L6729" s="2"/>
      <c r="M6729" s="2"/>
      <c r="N6729" s="4" t="s">
        <v>2259</v>
      </c>
      <c r="O6729" s="4" t="str">
        <f>LEFT(Table2[[#This Row],[Description]],75)</f>
        <v>Withdrawal Home payment to card XX91 Withdrawal Home payment to card 979181</v>
      </c>
      <c r="P6729" s="2" t="s">
        <v>2559</v>
      </c>
    </row>
    <row r="6730" spans="1:16" ht="28.5" hidden="1">
      <c r="A6730" s="2">
        <v>202202</v>
      </c>
      <c r="B6730" s="3">
        <v>44620</v>
      </c>
      <c r="C6730" s="2" t="s">
        <v>2447</v>
      </c>
      <c r="D6730" s="5" t="s">
        <v>136</v>
      </c>
      <c r="E6730" s="2">
        <v>53.66</v>
      </c>
      <c r="F6730" s="2" t="e">
        <f>IF(Table2[[#This Row],[Manual Cat Value]]="",VLOOKUP(Table2[[#This Row],[Description]],'Actuals Lookup'!D:F,3,0),Table2[[#This Row],[Manual Cat Value]])</f>
        <v>#N/A</v>
      </c>
      <c r="J6730" s="2">
        <v>53.66</v>
      </c>
      <c r="K6730" s="2" t="b">
        <v>0</v>
      </c>
      <c r="L6730" s="2"/>
      <c r="M6730" s="2"/>
      <c r="N6730" s="4" t="s">
        <v>2259</v>
      </c>
      <c r="O6730" s="4" t="str">
        <f>LEFT(Table2[[#This Row],[Description]],75)</f>
        <v>AMZN MKTP US*1I31L4W90 AMZN.COM/BILLWA
14ZUJ5HRDRV</v>
      </c>
      <c r="P6730" s="2" t="s">
        <v>2281</v>
      </c>
    </row>
    <row r="6731" spans="1:16" hidden="1">
      <c r="A6731" s="2">
        <v>202202</v>
      </c>
      <c r="B6731" s="3">
        <v>44620</v>
      </c>
      <c r="C6731" s="2" t="s">
        <v>2262</v>
      </c>
      <c r="D6731" s="2" t="s">
        <v>325</v>
      </c>
      <c r="E6731" s="2">
        <v>4</v>
      </c>
      <c r="F6731" s="2" t="e">
        <f>IF(Table2[[#This Row],[Manual Cat Value]]="",VLOOKUP(Table2[[#This Row],[Description]],'Actuals Lookup'!D:F,3,0),Table2[[#This Row],[Manual Cat Value]])</f>
        <v>#N/A</v>
      </c>
      <c r="J6731" s="2">
        <v>4</v>
      </c>
      <c r="K6731" s="2" t="b">
        <v>0</v>
      </c>
      <c r="L6731" s="2"/>
      <c r="M6731" s="2"/>
      <c r="N6731" s="4" t="s">
        <v>2259</v>
      </c>
      <c r="O6731" s="4" t="str">
        <f>LEFT(Table2[[#This Row],[Description]],75)</f>
        <v>BUCK HILL SKI AREA BURNSVILLE MN</v>
      </c>
      <c r="P6731" s="2" t="s">
        <v>2281</v>
      </c>
    </row>
    <row r="6732" spans="1:16" hidden="1">
      <c r="A6732" s="2">
        <v>202202</v>
      </c>
      <c r="B6732" s="3">
        <v>44620</v>
      </c>
      <c r="C6732" s="2" t="s">
        <v>2262</v>
      </c>
      <c r="D6732" s="2" t="s">
        <v>325</v>
      </c>
      <c r="E6732" s="2">
        <v>42.85</v>
      </c>
      <c r="F6732" s="2" t="e">
        <f>IF(Table2[[#This Row],[Manual Cat Value]]="",VLOOKUP(Table2[[#This Row],[Description]],'Actuals Lookup'!D:F,3,0),Table2[[#This Row],[Manual Cat Value]])</f>
        <v>#N/A</v>
      </c>
      <c r="J6732" s="2">
        <v>42.85</v>
      </c>
      <c r="K6732" s="2" t="b">
        <v>0</v>
      </c>
      <c r="L6732" s="2"/>
      <c r="M6732" s="2"/>
      <c r="N6732" s="4" t="s">
        <v>2259</v>
      </c>
      <c r="O6732" s="4" t="str">
        <f>LEFT(Table2[[#This Row],[Description]],75)</f>
        <v>BUCK HILL SKI AREA BURNSVILLE MN</v>
      </c>
      <c r="P6732" s="2" t="s">
        <v>2281</v>
      </c>
    </row>
    <row r="6733" spans="1:16" hidden="1">
      <c r="A6733" s="2">
        <v>202202</v>
      </c>
      <c r="B6733" s="3">
        <v>44620</v>
      </c>
      <c r="C6733" s="2" t="s">
        <v>2262</v>
      </c>
      <c r="D6733" s="2" t="s">
        <v>326</v>
      </c>
      <c r="E6733" s="2">
        <v>89.99</v>
      </c>
      <c r="F6733" s="2" t="e">
        <f>IF(Table2[[#This Row],[Manual Cat Value]]="",VLOOKUP(Table2[[#This Row],[Description]],'Actuals Lookup'!D:F,3,0),Table2[[#This Row],[Manual Cat Value]])</f>
        <v>#N/A</v>
      </c>
      <c r="J6733" s="2">
        <v>89.99</v>
      </c>
      <c r="K6733" s="2" t="b">
        <v>0</v>
      </c>
      <c r="L6733" s="2"/>
      <c r="M6733" s="2"/>
      <c r="N6733" s="4" t="s">
        <v>2259</v>
      </c>
      <c r="O6733" s="4" t="str">
        <f>LEFT(Table2[[#This Row],[Description]],75)</f>
        <v>BUCK HILL WEBSITE 9524357174 MN</v>
      </c>
      <c r="P6733" s="2" t="s">
        <v>2281</v>
      </c>
    </row>
    <row r="6734" spans="1:16" hidden="1">
      <c r="A6734" s="2">
        <v>202202</v>
      </c>
      <c r="B6734" s="3">
        <v>44620</v>
      </c>
      <c r="C6734" s="2" t="s">
        <v>2262</v>
      </c>
      <c r="D6734" s="2" t="s">
        <v>922</v>
      </c>
      <c r="E6734" s="2">
        <v>99.56</v>
      </c>
      <c r="F6734" s="2" t="e">
        <f>IF(Table2[[#This Row],[Manual Cat Value]]="",VLOOKUP(Table2[[#This Row],[Description]],'Actuals Lookup'!D:F,3,0),Table2[[#This Row],[Manual Cat Value]])</f>
        <v>#N/A</v>
      </c>
      <c r="J6734" s="2">
        <v>99.56</v>
      </c>
      <c r="K6734" s="2" t="b">
        <v>0</v>
      </c>
      <c r="L6734" s="2"/>
      <c r="M6734" s="2"/>
      <c r="N6734" s="4" t="s">
        <v>2259</v>
      </c>
      <c r="O6734" s="4" t="str">
        <f>LEFT(Table2[[#This Row],[Description]],75)</f>
        <v>Hazelwood Food &amp; Drink LLC</v>
      </c>
      <c r="P6734" s="2" t="s">
        <v>2281</v>
      </c>
    </row>
    <row r="6735" spans="1:16" hidden="1">
      <c r="A6735" s="2">
        <v>202202</v>
      </c>
      <c r="B6735" s="3">
        <v>44620</v>
      </c>
      <c r="C6735" s="2" t="s">
        <v>2262</v>
      </c>
      <c r="D6735" s="2" t="s">
        <v>967</v>
      </c>
      <c r="E6735" s="2">
        <v>77.33</v>
      </c>
      <c r="F6735" s="2" t="e">
        <f>IF(Table2[[#This Row],[Manual Cat Value]]="",VLOOKUP(Table2[[#This Row],[Description]],'Actuals Lookup'!D:F,3,0),Table2[[#This Row],[Manual Cat Value]])</f>
        <v>#N/A</v>
      </c>
      <c r="J6735" s="2">
        <v>77.33</v>
      </c>
      <c r="K6735" s="2" t="b">
        <v>0</v>
      </c>
      <c r="L6735" s="2"/>
      <c r="M6735" s="2"/>
      <c r="N6735" s="4" t="s">
        <v>2259</v>
      </c>
      <c r="O6735" s="4" t="str">
        <f>LEFT(Table2[[#This Row],[Description]],75)</f>
        <v>INEFFABLE BREWING COMPANYBURNSVILLE MN</v>
      </c>
      <c r="P6735" s="2" t="s">
        <v>2281</v>
      </c>
    </row>
    <row r="6736" spans="1:16" hidden="1">
      <c r="A6736" s="2">
        <v>202202</v>
      </c>
      <c r="B6736" s="3">
        <v>44620</v>
      </c>
      <c r="C6736" s="2" t="s">
        <v>2265</v>
      </c>
      <c r="D6736" s="2" t="s">
        <v>1471</v>
      </c>
      <c r="E6736" s="2">
        <v>0.99</v>
      </c>
      <c r="F6736" s="2" t="str">
        <f>IF(Table2[[#This Row],[Manual Cat Value]]="",VLOOKUP(Table2[[#This Row],[Description]],'Actuals Lookup'!D:F,3,0),Table2[[#This Row],[Manual Cat Value]])</f>
        <v>Shopping</v>
      </c>
      <c r="J6736" s="2">
        <v>0.99</v>
      </c>
      <c r="K6736" s="2" t="b">
        <v>0</v>
      </c>
      <c r="L6736" s="2"/>
      <c r="M6736" s="2"/>
      <c r="N6736" s="4" t="s">
        <v>2259</v>
      </c>
      <c r="O6736" s="4" t="str">
        <f>LEFT(Table2[[#This Row],[Description]],75)</f>
        <v>PayPal</v>
      </c>
      <c r="P6736" s="2" t="s">
        <v>2322</v>
      </c>
    </row>
    <row r="6737" spans="1:16" hidden="1">
      <c r="A6737" s="2">
        <v>202202</v>
      </c>
      <c r="B6737" s="3">
        <v>44620</v>
      </c>
      <c r="C6737" s="2" t="s">
        <v>2300</v>
      </c>
      <c r="D6737" s="2" t="s">
        <v>1709</v>
      </c>
      <c r="E6737" s="2">
        <v>12.94</v>
      </c>
      <c r="F6737" s="2" t="e">
        <f>IF(Table2[[#This Row],[Manual Cat Value]]="",VLOOKUP(Table2[[#This Row],[Description]],'Actuals Lookup'!D:F,3,0),Table2[[#This Row],[Manual Cat Value]])</f>
        <v>#N/A</v>
      </c>
      <c r="J6737" s="2">
        <v>-12.94</v>
      </c>
      <c r="K6737" s="2" t="b">
        <v>0</v>
      </c>
      <c r="L6737" s="2"/>
      <c r="M6737" s="2"/>
      <c r="N6737" s="4" t="s">
        <v>2273</v>
      </c>
      <c r="O6737" s="4" t="str">
        <f>LEFT(Table2[[#This Row],[Description]],75)</f>
        <v>Split Rate Apy</v>
      </c>
      <c r="P6737" s="2" t="s">
        <v>2313</v>
      </c>
    </row>
    <row r="6738" spans="1:16" hidden="1">
      <c r="A6738" s="2">
        <v>202202</v>
      </c>
      <c r="B6738" s="3">
        <v>44620</v>
      </c>
      <c r="C6738" s="2" t="s">
        <v>2265</v>
      </c>
      <c r="D6738" s="2" t="s">
        <v>1709</v>
      </c>
      <c r="E6738" s="2">
        <v>18.11</v>
      </c>
      <c r="F6738" s="2" t="e">
        <f>IF(Table2[[#This Row],[Manual Cat Value]]="",VLOOKUP(Table2[[#This Row],[Description]],'Actuals Lookup'!D:F,3,0),Table2[[#This Row],[Manual Cat Value]])</f>
        <v>#N/A</v>
      </c>
      <c r="J6738" s="2">
        <v>-18.11</v>
      </c>
      <c r="K6738" s="2" t="b">
        <v>0</v>
      </c>
      <c r="L6738" s="2"/>
      <c r="M6738" s="2"/>
      <c r="N6738" s="4" t="s">
        <v>2273</v>
      </c>
      <c r="O6738" s="4" t="str">
        <f>LEFT(Table2[[#This Row],[Description]],75)</f>
        <v>Split Rate Apy</v>
      </c>
      <c r="P6738" s="2" t="s">
        <v>2313</v>
      </c>
    </row>
    <row r="6739" spans="1:16" hidden="1">
      <c r="A6739" s="2">
        <v>202202</v>
      </c>
      <c r="B6739" s="3">
        <v>44620</v>
      </c>
      <c r="C6739" s="2" t="s">
        <v>2265</v>
      </c>
      <c r="D6739" s="2" t="s">
        <v>31</v>
      </c>
      <c r="E6739" s="2">
        <v>559.28</v>
      </c>
      <c r="F6739" s="2" t="str">
        <f>IF(Table2[[#This Row],[Manual Cat Value]]="",VLOOKUP(Table2[[#This Row],[Description]],'Actuals Lookup'!D:F,3,0),Table2[[#This Row],[Manual Cat Value]])</f>
        <v>Target</v>
      </c>
      <c r="J6739" s="2">
        <v>559.28</v>
      </c>
      <c r="K6739" s="2" t="b">
        <v>0</v>
      </c>
      <c r="L6739" s="2"/>
      <c r="M6739" s="2"/>
      <c r="N6739" s="4" t="s">
        <v>2259</v>
      </c>
      <c r="O6739" s="4" t="str">
        <f>LEFT(Table2[[#This Row],[Description]],75)</f>
        <v>Target</v>
      </c>
      <c r="P6739" s="2" t="s">
        <v>2309</v>
      </c>
    </row>
    <row r="6740" spans="1:16" hidden="1">
      <c r="A6740" s="2">
        <v>202202</v>
      </c>
      <c r="B6740" s="3">
        <v>44620</v>
      </c>
      <c r="C6740" s="2" t="s">
        <v>2262</v>
      </c>
      <c r="D6740" s="2" t="s">
        <v>2079</v>
      </c>
      <c r="E6740" s="2">
        <v>47.01</v>
      </c>
      <c r="F6740" s="2" t="str">
        <f>IF(Table2[[#This Row],[Manual Cat Value]]="",VLOOKUP(Table2[[#This Row],[Description]],'Actuals Lookup'!D:F,3,0),Table2[[#This Row],[Manual Cat Value]])</f>
        <v>Restaurants</v>
      </c>
      <c r="J6740" s="2">
        <v>47.01</v>
      </c>
      <c r="K6740" s="2" t="b">
        <v>0</v>
      </c>
      <c r="L6740" s="2"/>
      <c r="M6740" s="2"/>
      <c r="N6740" s="4" t="s">
        <v>2259</v>
      </c>
      <c r="O6740" s="4" t="str">
        <f>LEFT(Table2[[#This Row],[Description]],75)</f>
        <v>Uber Eats</v>
      </c>
      <c r="P6740" s="2" t="s">
        <v>2582</v>
      </c>
    </row>
    <row r="6741" spans="1:16" hidden="1">
      <c r="A6741" s="2">
        <v>202202</v>
      </c>
      <c r="B6741" s="3">
        <v>44620</v>
      </c>
      <c r="C6741" s="2" t="s">
        <v>2262</v>
      </c>
      <c r="D6741" s="2" t="s">
        <v>2123</v>
      </c>
      <c r="E6741" s="2">
        <v>49.95</v>
      </c>
      <c r="F6741" s="2" t="e">
        <f>IF(Table2[[#This Row],[Manual Cat Value]]="",VLOOKUP(Table2[[#This Row],[Description]],'Actuals Lookup'!D:F,3,0),Table2[[#This Row],[Manual Cat Value]])</f>
        <v>#N/A</v>
      </c>
      <c r="J6741" s="2">
        <v>49.95</v>
      </c>
      <c r="K6741" s="2" t="b">
        <v>0</v>
      </c>
      <c r="L6741" s="2"/>
      <c r="M6741" s="2"/>
      <c r="N6741" s="4" t="s">
        <v>2259</v>
      </c>
      <c r="O6741" s="4" t="str">
        <f>LEFT(Table2[[#This Row],[Description]],75)</f>
        <v>Victoria's Secret</v>
      </c>
      <c r="P6741" s="2" t="s">
        <v>2281</v>
      </c>
    </row>
    <row r="6742" spans="1:16" hidden="1">
      <c r="A6742" s="2">
        <v>202203</v>
      </c>
      <c r="B6742" s="3">
        <v>44621</v>
      </c>
      <c r="C6742" s="2" t="s">
        <v>2262</v>
      </c>
      <c r="D6742" s="2" t="s">
        <v>674</v>
      </c>
      <c r="E6742" s="2">
        <v>-3549.95</v>
      </c>
      <c r="F6742" s="2" t="e">
        <f>IF(Table2[[#This Row],[Manual Cat Value]]="",VLOOKUP(Table2[[#This Row],[Description]],'Actuals Lookup'!D:F,3,0),Table2[[#This Row],[Manual Cat Value]])</f>
        <v>#N/A</v>
      </c>
      <c r="J6742" s="2">
        <v>3549.95</v>
      </c>
      <c r="K6742" s="2" t="b">
        <v>0</v>
      </c>
      <c r="L6742" s="2"/>
      <c r="M6742" s="2"/>
      <c r="N6742" s="4" t="s">
        <v>2273</v>
      </c>
      <c r="O6742" s="4" t="str">
        <f>LEFT(Table2[[#This Row],[Description]],75)</f>
        <v>Credit Card Payment Received PAYMENT THANK YOU</v>
      </c>
      <c r="P6742" s="2" t="s">
        <v>2560</v>
      </c>
    </row>
    <row r="6743" spans="1:16" hidden="1">
      <c r="A6743" s="2">
        <v>202203</v>
      </c>
      <c r="B6743" s="3">
        <v>44621</v>
      </c>
      <c r="C6743" s="2" t="s">
        <v>2265</v>
      </c>
      <c r="D6743" s="2" t="s">
        <v>1460</v>
      </c>
      <c r="E6743" s="2">
        <v>3003.94</v>
      </c>
      <c r="F6743" s="2" t="str">
        <f>IF(Table2[[#This Row],[Manual Cat Value]]="",VLOOKUP(Table2[[#This Row],[Description]],'Actuals Lookup'!D:F,3,0),Table2[[#This Row],[Manual Cat Value]])</f>
        <v>Rent</v>
      </c>
      <c r="J6743" s="2">
        <v>3003.94</v>
      </c>
      <c r="K6743" s="2" t="b">
        <v>0</v>
      </c>
      <c r="L6743" s="2"/>
      <c r="M6743" s="2"/>
      <c r="N6743" s="4" t="s">
        <v>2259</v>
      </c>
      <c r="O6743" s="4" t="str">
        <f>LEFT(Table2[[#This Row],[Description]],75)</f>
        <v>Payment to Baxter Credit Union</v>
      </c>
      <c r="P6743" s="2" t="s">
        <v>2281</v>
      </c>
    </row>
    <row r="6744" spans="1:16" ht="28.5" hidden="1">
      <c r="A6744" s="2">
        <v>202203</v>
      </c>
      <c r="B6744" s="3">
        <v>44621</v>
      </c>
      <c r="C6744" s="2" t="s">
        <v>2447</v>
      </c>
      <c r="D6744" s="5" t="s">
        <v>117</v>
      </c>
      <c r="E6744" s="2">
        <v>4.28</v>
      </c>
      <c r="F6744" s="2" t="e">
        <f>IF(Table2[[#This Row],[Manual Cat Value]]="",VLOOKUP(Table2[[#This Row],[Description]],'Actuals Lookup'!D:F,3,0),Table2[[#This Row],[Manual Cat Value]])</f>
        <v>#N/A</v>
      </c>
      <c r="J6744" s="2">
        <v>4.28</v>
      </c>
      <c r="K6744" s="2" t="b">
        <v>0</v>
      </c>
      <c r="L6744" s="2"/>
      <c r="M6744" s="2"/>
      <c r="N6744" s="4" t="s">
        <v>2259</v>
      </c>
      <c r="O6744" s="4" t="str">
        <f>LEFT(Table2[[#This Row],[Description]],75)</f>
        <v>AMAZON MUSIC*1W0VS5C80 888-802-3080 WA
33KGFZKXKQE</v>
      </c>
      <c r="P6744" s="2" t="s">
        <v>2281</v>
      </c>
    </row>
    <row r="6745" spans="1:16" hidden="1">
      <c r="A6745" s="2">
        <v>202203</v>
      </c>
      <c r="B6745" s="3">
        <v>44621</v>
      </c>
      <c r="C6745" s="2" t="s">
        <v>2262</v>
      </c>
      <c r="D6745" s="2" t="s">
        <v>162</v>
      </c>
      <c r="E6745" s="2">
        <v>-130</v>
      </c>
      <c r="F6745" s="2" t="e">
        <f>IF(Table2[[#This Row],[Manual Cat Value]]="",VLOOKUP(Table2[[#This Row],[Description]],'Actuals Lookup'!D:F,3,0),Table2[[#This Row],[Manual Cat Value]])</f>
        <v>#N/A</v>
      </c>
      <c r="J6745" s="2">
        <v>130</v>
      </c>
      <c r="K6745" s="2" t="b">
        <v>0</v>
      </c>
      <c r="L6745" s="2"/>
      <c r="M6745" s="2"/>
      <c r="N6745" s="4" t="s">
        <v>2273</v>
      </c>
      <c r="O6745" s="4" t="str">
        <f>LEFT(Table2[[#This Row],[Description]],75)</f>
        <v>ANTHROPOLOGIECOM        PHILADEL</v>
      </c>
      <c r="P6745" s="2" t="s">
        <v>2281</v>
      </c>
    </row>
    <row r="6746" spans="1:16" hidden="1">
      <c r="A6746" s="2">
        <v>202203</v>
      </c>
      <c r="B6746" s="3">
        <v>44621</v>
      </c>
      <c r="C6746" s="2" t="s">
        <v>2265</v>
      </c>
      <c r="D6746" s="2" t="s">
        <v>515</v>
      </c>
      <c r="E6746" s="2">
        <v>15</v>
      </c>
      <c r="F6746" s="2" t="e">
        <f>IF(Table2[[#This Row],[Manual Cat Value]]="",VLOOKUP(Table2[[#This Row],[Description]],'Actuals Lookup'!D:F,3,0),Table2[[#This Row],[Manual Cat Value]])</f>
        <v>#N/A</v>
      </c>
      <c r="J6746" s="2">
        <v>15</v>
      </c>
      <c r="K6746" s="2" t="b">
        <v>0</v>
      </c>
      <c r="L6746" s="2"/>
      <c r="M6746" s="2"/>
      <c r="N6746" s="4" t="s">
        <v>2259</v>
      </c>
      <c r="O6746" s="4" t="str">
        <f>LEFT(Table2[[#This Row],[Description]],75)</f>
        <v>CHECK  2343</v>
      </c>
      <c r="P6746" s="2" t="s">
        <v>2281</v>
      </c>
    </row>
    <row r="6747" spans="1:16" hidden="1">
      <c r="A6747" s="2">
        <v>202203</v>
      </c>
      <c r="B6747" s="3">
        <v>44621</v>
      </c>
      <c r="C6747" s="2" t="s">
        <v>2265</v>
      </c>
      <c r="D6747" s="2" t="s">
        <v>597</v>
      </c>
      <c r="E6747" s="2">
        <v>200</v>
      </c>
      <c r="F6747" s="2" t="e">
        <f>IF(Table2[[#This Row],[Manual Cat Value]]="",VLOOKUP(Table2[[#This Row],[Description]],'Actuals Lookup'!D:F,3,0),Table2[[#This Row],[Manual Cat Value]])</f>
        <v>#N/A</v>
      </c>
      <c r="J6747" s="2">
        <v>200</v>
      </c>
      <c r="K6747" s="2" t="b">
        <v>0</v>
      </c>
      <c r="L6747" s="2"/>
      <c r="M6747" s="2"/>
      <c r="N6747" s="4" t="s">
        <v>2259</v>
      </c>
      <c r="O6747" s="4" t="str">
        <f>LEFT(Table2[[#This Row],[Description]],75)</f>
        <v>College Savings TYPE ACH ID XX58</v>
      </c>
      <c r="P6747" s="2" t="s">
        <v>2592</v>
      </c>
    </row>
    <row r="6748" spans="1:16" hidden="1">
      <c r="A6748" s="2">
        <v>202203</v>
      </c>
      <c r="B6748" s="3">
        <v>44621</v>
      </c>
      <c r="C6748" s="2" t="s">
        <v>2265</v>
      </c>
      <c r="D6748" s="2" t="s">
        <v>1877</v>
      </c>
      <c r="E6748" s="2">
        <v>618.65</v>
      </c>
      <c r="F6748" s="2" t="e">
        <f>IF(Table2[[#This Row],[Manual Cat Value]]="",VLOOKUP(Table2[[#This Row],[Description]],'Actuals Lookup'!D:F,3,0),Table2[[#This Row],[Manual Cat Value]])</f>
        <v>#N/A</v>
      </c>
      <c r="J6748" s="2">
        <v>618.65</v>
      </c>
      <c r="K6748" s="2" t="b">
        <v>0</v>
      </c>
      <c r="L6748" s="2"/>
      <c r="M6748" s="2"/>
      <c r="N6748" s="4" t="s">
        <v>2259</v>
      </c>
      <c r="O6748" s="4" t="str">
        <f>LEFT(Table2[[#This Row],[Description]],75)</f>
        <v>To Loan 02</v>
      </c>
      <c r="P6748" s="2" t="s">
        <v>2316</v>
      </c>
    </row>
    <row r="6749" spans="1:16" hidden="1">
      <c r="A6749" s="2">
        <v>202203</v>
      </c>
      <c r="B6749" s="3">
        <v>44621</v>
      </c>
      <c r="C6749" s="2" t="s">
        <v>2265</v>
      </c>
      <c r="D6749" s="2" t="s">
        <v>1955</v>
      </c>
      <c r="E6749" s="2">
        <v>0.99</v>
      </c>
      <c r="F6749" s="2" t="str">
        <f>IF(Table2[[#This Row],[Manual Cat Value]]="",VLOOKUP(Table2[[#This Row],[Description]],'Actuals Lookup'!D:F,3,0),Table2[[#This Row],[Manual Cat Value]])</f>
        <v>Shopping</v>
      </c>
      <c r="J6749" s="2">
        <v>0.99</v>
      </c>
      <c r="K6749" s="2" t="b">
        <v>0</v>
      </c>
      <c r="L6749" s="2"/>
      <c r="M6749" s="2"/>
      <c r="N6749" s="4" t="s">
        <v>2259</v>
      </c>
      <c r="O6749" s="4" t="str">
        <f>LEFT(Table2[[#This Row],[Description]],75)</f>
        <v>Transfer to PayPal</v>
      </c>
      <c r="P6749" s="2" t="s">
        <v>2322</v>
      </c>
    </row>
    <row r="6750" spans="1:16" hidden="1">
      <c r="A6750" s="2">
        <v>202203</v>
      </c>
      <c r="B6750" s="3">
        <v>44621</v>
      </c>
      <c r="C6750" s="2" t="s">
        <v>2265</v>
      </c>
      <c r="D6750" s="2" t="s">
        <v>1955</v>
      </c>
      <c r="E6750" s="2">
        <v>5.39</v>
      </c>
      <c r="F6750" s="2" t="str">
        <f>IF(Table2[[#This Row],[Manual Cat Value]]="",VLOOKUP(Table2[[#This Row],[Description]],'Actuals Lookup'!D:F,3,0),Table2[[#This Row],[Manual Cat Value]])</f>
        <v>Shopping</v>
      </c>
      <c r="J6750" s="2">
        <v>5.39</v>
      </c>
      <c r="K6750" s="2" t="b">
        <v>0</v>
      </c>
      <c r="L6750" s="2"/>
      <c r="M6750" s="2"/>
      <c r="N6750" s="4" t="s">
        <v>2259</v>
      </c>
      <c r="O6750" s="4" t="str">
        <f>LEFT(Table2[[#This Row],[Description]],75)</f>
        <v>Transfer to PayPal</v>
      </c>
      <c r="P6750" s="2" t="s">
        <v>2322</v>
      </c>
    </row>
    <row r="6751" spans="1:16" hidden="1">
      <c r="A6751" s="2">
        <v>202203</v>
      </c>
      <c r="B6751" s="3">
        <v>44621</v>
      </c>
      <c r="C6751" s="2" t="s">
        <v>2265</v>
      </c>
      <c r="D6751" s="2" t="s">
        <v>2204</v>
      </c>
      <c r="E6751" s="2">
        <v>3549.95</v>
      </c>
      <c r="F6751" s="2" t="e">
        <f>IF(Table2[[#This Row],[Manual Cat Value]]="",VLOOKUP(Table2[[#This Row],[Description]],'Actuals Lookup'!D:F,3,0),Table2[[#This Row],[Manual Cat Value]])</f>
        <v>#N/A</v>
      </c>
      <c r="J6751" s="2">
        <v>3549.95</v>
      </c>
      <c r="K6751" s="2" t="b">
        <v>0</v>
      </c>
      <c r="L6751" s="2"/>
      <c r="M6751" s="2"/>
      <c r="N6751" s="4" t="s">
        <v>2259</v>
      </c>
      <c r="O6751" s="4" t="str">
        <f>LEFT(Table2[[#This Row],[Description]],75)</f>
        <v>Withdrawal Home Pmt to card XX91</v>
      </c>
      <c r="P6751" s="2" t="s">
        <v>2593</v>
      </c>
    </row>
    <row r="6752" spans="1:16" hidden="1">
      <c r="A6752" s="2">
        <v>202203</v>
      </c>
      <c r="B6752" s="3">
        <v>44622</v>
      </c>
      <c r="C6752" s="2" t="s">
        <v>2262</v>
      </c>
      <c r="D6752" s="2" t="s">
        <v>1083</v>
      </c>
      <c r="E6752" s="2">
        <v>55.43</v>
      </c>
      <c r="F6752" s="2" t="str">
        <f>IF(Table2[[#This Row],[Manual Cat Value]]="",VLOOKUP(Table2[[#This Row],[Description]],'Actuals Lookup'!D:F,3,0),Table2[[#This Row],[Manual Cat Value]])</f>
        <v>Transportation</v>
      </c>
      <c r="J6752" s="2">
        <v>55.43</v>
      </c>
      <c r="K6752" s="2" t="b">
        <v>0</v>
      </c>
      <c r="L6752" s="2"/>
      <c r="M6752" s="2"/>
      <c r="N6752" s="4" t="s">
        <v>2259</v>
      </c>
      <c r="O6752" s="4" t="str">
        <f>LEFT(Table2[[#This Row],[Description]],75)</f>
        <v>Kwik Trip</v>
      </c>
      <c r="P6752" s="2" t="s">
        <v>2509</v>
      </c>
    </row>
    <row r="6753" spans="1:16" hidden="1">
      <c r="A6753" s="2">
        <v>202203</v>
      </c>
      <c r="B6753" s="3">
        <v>44622</v>
      </c>
      <c r="C6753" s="2" t="s">
        <v>2265</v>
      </c>
      <c r="D6753" s="2" t="s">
        <v>1471</v>
      </c>
      <c r="E6753" s="2">
        <v>8.6300000000000008</v>
      </c>
      <c r="F6753" s="2" t="str">
        <f>IF(Table2[[#This Row],[Manual Cat Value]]="",VLOOKUP(Table2[[#This Row],[Description]],'Actuals Lookup'!D:F,3,0),Table2[[#This Row],[Manual Cat Value]])</f>
        <v>Shopping</v>
      </c>
      <c r="J6753" s="2">
        <v>8.6300000000000008</v>
      </c>
      <c r="K6753" s="2" t="b">
        <v>0</v>
      </c>
      <c r="L6753" s="2"/>
      <c r="M6753" s="2"/>
      <c r="N6753" s="4" t="s">
        <v>2259</v>
      </c>
      <c r="O6753" s="4" t="str">
        <f>LEFT(Table2[[#This Row],[Description]],75)</f>
        <v>PayPal</v>
      </c>
      <c r="P6753" s="2" t="s">
        <v>2322</v>
      </c>
    </row>
    <row r="6754" spans="1:16" hidden="1">
      <c r="A6754">
        <v>202202</v>
      </c>
      <c r="B6754" s="3">
        <v>44622</v>
      </c>
      <c r="C6754" t="s">
        <v>2281</v>
      </c>
      <c r="D6754" t="s">
        <v>14</v>
      </c>
      <c r="E6754">
        <f>125*2</f>
        <v>250</v>
      </c>
      <c r="F6754" s="2" t="str">
        <f>IF(Table2[[#This Row],[Manual Cat Value]]="",VLOOKUP(Table2[[#This Row],[Description]],'Actuals Lookup'!D:F,3,0),Table2[[#This Row],[Manual Cat Value]])</f>
        <v>Exp - Cleaning</v>
      </c>
      <c r="G6754" t="e">
        <f>VLOOKUP(D6754,Lookup!G:H,2,0)</f>
        <v>#N/A</v>
      </c>
      <c r="H6754" s="8" t="s">
        <v>13</v>
      </c>
      <c r="O6754" t="str">
        <f>LEFT(Table2[[#This Row],[Description]],75)</f>
        <v>Cleaning</v>
      </c>
    </row>
    <row r="6755" spans="1:16" hidden="1">
      <c r="A6755" s="2">
        <v>202203</v>
      </c>
      <c r="B6755" s="3">
        <v>44623</v>
      </c>
      <c r="C6755" s="2" t="s">
        <v>2265</v>
      </c>
      <c r="D6755" s="2" t="s">
        <v>419</v>
      </c>
      <c r="E6755" s="2">
        <v>-2493.81</v>
      </c>
      <c r="F6755" s="2" t="e">
        <f>IF(Table2[[#This Row],[Manual Cat Value]]="",VLOOKUP(Table2[[#This Row],[Description]],'Actuals Lookup'!D:F,3,0),Table2[[#This Row],[Manual Cat Value]])</f>
        <v>#N/A</v>
      </c>
      <c r="J6755" s="2">
        <v>2493.81</v>
      </c>
      <c r="K6755" s="2" t="b">
        <v>0</v>
      </c>
      <c r="L6755" s="2"/>
      <c r="M6755" s="2"/>
      <c r="N6755" s="4" t="s">
        <v>2273</v>
      </c>
      <c r="O6755" s="4" t="str">
        <f>LEFT(Table2[[#This Row],[Description]],75)</f>
        <v>Cargill Inc Deposit CARGILL INCORPOR TYPE DIRECT DEP ID CO CARGILL INCORPOR</v>
      </c>
      <c r="P6755" s="2" t="s">
        <v>2545</v>
      </c>
    </row>
    <row r="6756" spans="1:16" hidden="1">
      <c r="A6756" s="2">
        <v>202203</v>
      </c>
      <c r="B6756" s="3">
        <v>44623</v>
      </c>
      <c r="C6756" s="2" t="s">
        <v>2262</v>
      </c>
      <c r="D6756" s="2" t="s">
        <v>927</v>
      </c>
      <c r="E6756" s="2">
        <v>18</v>
      </c>
      <c r="F6756" s="2" t="e">
        <f>IF(Table2[[#This Row],[Manual Cat Value]]="",VLOOKUP(Table2[[#This Row],[Description]],'Actuals Lookup'!D:F,3,0),Table2[[#This Row],[Manual Cat Value]])</f>
        <v>#N/A</v>
      </c>
      <c r="J6756" s="2">
        <v>18</v>
      </c>
      <c r="K6756" s="2" t="b">
        <v>0</v>
      </c>
      <c r="L6756" s="2"/>
      <c r="M6756" s="2"/>
      <c r="N6756" s="4" t="s">
        <v>2259</v>
      </c>
      <c r="O6756" s="4" t="str">
        <f>LEFT(Table2[[#This Row],[Description]],75)</f>
        <v>HBRSUBSCRIPTION XX0886 MA HBRSUBSCRIPTION 8009880886 MA</v>
      </c>
      <c r="P6756" s="2" t="s">
        <v>2564</v>
      </c>
    </row>
    <row r="6757" spans="1:16" hidden="1">
      <c r="A6757" s="2">
        <v>202203</v>
      </c>
      <c r="B6757" s="3">
        <v>44623</v>
      </c>
      <c r="C6757" s="2" t="s">
        <v>2265</v>
      </c>
      <c r="D6757" s="2" t="s">
        <v>1196</v>
      </c>
      <c r="E6757" s="2">
        <v>536.29999999999995</v>
      </c>
      <c r="F6757" s="2" t="e">
        <f>IF(Table2[[#This Row],[Manual Cat Value]]="",VLOOKUP(Table2[[#This Row],[Description]],'Actuals Lookup'!D:F,3,0),Table2[[#This Row],[Manual Cat Value]])</f>
        <v>#N/A</v>
      </c>
      <c r="J6757" s="2">
        <v>536.29999999999995</v>
      </c>
      <c r="K6757" s="2" t="b">
        <v>0</v>
      </c>
      <c r="L6757" s="2"/>
      <c r="M6757" s="2"/>
      <c r="N6757" s="4" t="s">
        <v>2259</v>
      </c>
      <c r="O6757" s="4" t="str">
        <f>LEFT(Table2[[#This Row],[Description]],75)</f>
        <v>MHCHILDCARELLC TYPE DUES ID CO M MHCHILDCARELLC TYPE DUES ID CO MHCHILDCARE</v>
      </c>
      <c r="P6757" s="2" t="s">
        <v>2497</v>
      </c>
    </row>
    <row r="6758" spans="1:16" hidden="1">
      <c r="A6758" s="2">
        <v>202203</v>
      </c>
      <c r="B6758" s="3">
        <v>44624</v>
      </c>
      <c r="C6758" s="2" t="s">
        <v>2262</v>
      </c>
      <c r="D6758" s="2" t="s">
        <v>684</v>
      </c>
      <c r="E6758" s="2">
        <v>5.51</v>
      </c>
      <c r="F6758" s="2" t="str">
        <f>IF(Table2[[#This Row],[Manual Cat Value]]="",VLOOKUP(Table2[[#This Row],[Description]],'Actuals Lookup'!D:F,3,0),Table2[[#This Row],[Manual Cat Value]])</f>
        <v>Groceries</v>
      </c>
      <c r="J6758" s="2">
        <v>5.51</v>
      </c>
      <c r="K6758" s="2" t="b">
        <v>0</v>
      </c>
      <c r="L6758" s="2"/>
      <c r="M6758" s="2"/>
      <c r="N6758" s="4" t="s">
        <v>2259</v>
      </c>
      <c r="O6758" s="4" t="str">
        <f>LEFT(Table2[[#This Row],[Description]],75)</f>
        <v>Cub Foods</v>
      </c>
      <c r="P6758" s="2" t="s">
        <v>2370</v>
      </c>
    </row>
    <row r="6759" spans="1:16" hidden="1">
      <c r="A6759" s="2">
        <v>202203</v>
      </c>
      <c r="B6759" s="3">
        <v>44624</v>
      </c>
      <c r="C6759" s="2" t="s">
        <v>2262</v>
      </c>
      <c r="D6759" s="2" t="s">
        <v>1778</v>
      </c>
      <c r="E6759" s="2">
        <v>94.37</v>
      </c>
      <c r="F6759" s="2" t="str">
        <f>IF(Table2[[#This Row],[Manual Cat Value]]="",VLOOKUP(Table2[[#This Row],[Description]],'Actuals Lookup'!D:F,3,0),Table2[[#This Row],[Manual Cat Value]])</f>
        <v>Restaurants</v>
      </c>
      <c r="J6759" s="2">
        <v>94.37</v>
      </c>
      <c r="K6759" s="2" t="b">
        <v>0</v>
      </c>
      <c r="L6759" s="2"/>
      <c r="M6759" s="2"/>
      <c r="N6759" s="4" t="s">
        <v>2259</v>
      </c>
      <c r="O6759" s="4" t="str">
        <f>LEFT(Table2[[#This Row],[Description]],75)</f>
        <v>Station Pizzeria</v>
      </c>
      <c r="P6759" s="2" t="s">
        <v>2554</v>
      </c>
    </row>
    <row r="6760" spans="1:16" ht="28.5" hidden="1">
      <c r="A6760" s="2">
        <v>202203</v>
      </c>
      <c r="B6760" s="3">
        <v>44625</v>
      </c>
      <c r="C6760" s="2" t="s">
        <v>2447</v>
      </c>
      <c r="D6760" s="5" t="s">
        <v>120</v>
      </c>
      <c r="E6760" s="2">
        <v>-9.98</v>
      </c>
      <c r="F6760" s="2" t="e">
        <f>IF(Table2[[#This Row],[Manual Cat Value]]="",VLOOKUP(Table2[[#This Row],[Description]],'Actuals Lookup'!D:F,3,0),Table2[[#This Row],[Manual Cat Value]])</f>
        <v>#N/A</v>
      </c>
      <c r="J6760" s="2">
        <v>9.98</v>
      </c>
      <c r="K6760" s="2" t="b">
        <v>0</v>
      </c>
      <c r="L6760" s="2"/>
      <c r="M6760" s="2"/>
      <c r="N6760" s="4" t="s">
        <v>2273</v>
      </c>
      <c r="O6760" s="4" t="str">
        <f>LEFT(Table2[[#This Row],[Description]],75)</f>
        <v>AMAZON.COM AMZN.COM/BILLWA
4KT01BMIH49</v>
      </c>
      <c r="P6760" s="2" t="s">
        <v>2281</v>
      </c>
    </row>
    <row r="6761" spans="1:16" ht="28.5" hidden="1">
      <c r="A6761" s="2">
        <v>202203</v>
      </c>
      <c r="B6761" s="3">
        <v>44625</v>
      </c>
      <c r="C6761" s="2" t="s">
        <v>2447</v>
      </c>
      <c r="D6761" s="5" t="s">
        <v>122</v>
      </c>
      <c r="E6761" s="2">
        <v>48.14</v>
      </c>
      <c r="F6761" s="2" t="e">
        <f>IF(Table2[[#This Row],[Manual Cat Value]]="",VLOOKUP(Table2[[#This Row],[Description]],'Actuals Lookup'!D:F,3,0),Table2[[#This Row],[Manual Cat Value]])</f>
        <v>#N/A</v>
      </c>
      <c r="J6761" s="2">
        <v>48.14</v>
      </c>
      <c r="K6761" s="2" t="b">
        <v>0</v>
      </c>
      <c r="L6761" s="2"/>
      <c r="M6761" s="2"/>
      <c r="N6761" s="4" t="s">
        <v>2259</v>
      </c>
      <c r="O6761" s="4" t="str">
        <f>LEFT(Table2[[#This Row],[Description]],75)</f>
        <v>AMAZON.COM*1I5WL1Y02 AMZN.COM/BILLWA
47HZKXB4BLQ</v>
      </c>
      <c r="P6761" s="2" t="s">
        <v>2281</v>
      </c>
    </row>
    <row r="6762" spans="1:16" hidden="1">
      <c r="A6762" s="2">
        <v>202203</v>
      </c>
      <c r="B6762" s="3">
        <v>44625</v>
      </c>
      <c r="C6762" s="2" t="s">
        <v>2447</v>
      </c>
      <c r="D6762" s="2" t="s">
        <v>827</v>
      </c>
      <c r="E6762" s="2">
        <v>561.97</v>
      </c>
      <c r="F6762" s="2" t="e">
        <f>IF(Table2[[#This Row],[Manual Cat Value]]="",VLOOKUP(Table2[[#This Row],[Description]],'Actuals Lookup'!D:F,3,0),Table2[[#This Row],[Manual Cat Value]])</f>
        <v>#N/A</v>
      </c>
      <c r="J6762" s="2">
        <v>561.97</v>
      </c>
      <c r="K6762" s="2" t="b">
        <v>0</v>
      </c>
      <c r="L6762" s="2"/>
      <c r="M6762" s="2"/>
      <c r="N6762" s="4" t="s">
        <v>2259</v>
      </c>
      <c r="O6762" s="4" t="str">
        <f>LEFT(Table2[[#This Row],[Description]],75)</f>
        <v>EVEREVE - 60 HOPKINS MN</v>
      </c>
      <c r="P6762" s="2" t="s">
        <v>2281</v>
      </c>
    </row>
    <row r="6763" spans="1:16" hidden="1">
      <c r="A6763" s="2">
        <v>202203</v>
      </c>
      <c r="B6763" s="3">
        <v>44625</v>
      </c>
      <c r="C6763" s="2" t="s">
        <v>2447</v>
      </c>
      <c r="D6763" s="2" t="s">
        <v>1534</v>
      </c>
      <c r="E6763" s="2">
        <v>22.9</v>
      </c>
      <c r="F6763" s="2" t="e">
        <f>IF(Table2[[#This Row],[Manual Cat Value]]="",VLOOKUP(Table2[[#This Row],[Description]],'Actuals Lookup'!D:F,3,0),Table2[[#This Row],[Manual Cat Value]])</f>
        <v>#N/A</v>
      </c>
      <c r="J6763" s="2">
        <v>22.9</v>
      </c>
      <c r="K6763" s="2" t="b">
        <v>0</v>
      </c>
      <c r="L6763" s="2"/>
      <c r="M6763" s="2"/>
      <c r="N6763" s="4" t="s">
        <v>2259</v>
      </c>
      <c r="O6763" s="4" t="str">
        <f>LEFT(Table2[[#This Row],[Description]],75)</f>
        <v>PUNCH BOWL SOCIAL MINNEA SAINT LOUIS PMN</v>
      </c>
      <c r="P6763" s="2" t="s">
        <v>2281</v>
      </c>
    </row>
    <row r="6764" spans="1:16" hidden="1">
      <c r="A6764" s="2">
        <v>202203</v>
      </c>
      <c r="B6764" s="3">
        <v>44626</v>
      </c>
      <c r="C6764" s="2" t="s">
        <v>2447</v>
      </c>
      <c r="D6764" s="2" t="s">
        <v>85</v>
      </c>
      <c r="E6764" s="2">
        <v>41.78</v>
      </c>
      <c r="F6764" s="2" t="e">
        <f>IF(Table2[[#This Row],[Manual Cat Value]]="",VLOOKUP(Table2[[#This Row],[Description]],'Actuals Lookup'!D:F,3,0),Table2[[#This Row],[Manual Cat Value]])</f>
        <v>#N/A</v>
      </c>
      <c r="J6764" s="2">
        <v>41.78</v>
      </c>
      <c r="K6764" s="2" t="b">
        <v>0</v>
      </c>
      <c r="L6764" s="2"/>
      <c r="M6764" s="2"/>
      <c r="N6764" s="4" t="s">
        <v>2259</v>
      </c>
      <c r="O6764" s="4" t="str">
        <f>LEFT(Table2[[#This Row],[Description]],75)</f>
        <v>6SMITH WAYZATA MN</v>
      </c>
      <c r="P6764" s="2" t="s">
        <v>2281</v>
      </c>
    </row>
    <row r="6765" spans="1:16" hidden="1">
      <c r="A6765" s="2">
        <v>202203</v>
      </c>
      <c r="B6765" s="3">
        <v>44626</v>
      </c>
      <c r="C6765" s="2" t="s">
        <v>2262</v>
      </c>
      <c r="D6765" s="2" t="s">
        <v>2594</v>
      </c>
      <c r="E6765" s="2">
        <v>126.04</v>
      </c>
      <c r="F6765" s="2" t="str">
        <f>IF(Table2[[#This Row],[Manual Cat Value]]="",VLOOKUP(Table2[[#This Row],[Description]],'Actuals Lookup'!D:F,3,0),Table2[[#This Row],[Manual Cat Value]])</f>
        <v>Healthcare</v>
      </c>
      <c r="J6765" s="2">
        <v>126.04</v>
      </c>
      <c r="K6765" s="2" t="b">
        <v>0</v>
      </c>
      <c r="L6765" s="2"/>
      <c r="M6765" s="2"/>
      <c r="N6765" s="4" t="s">
        <v>2259</v>
      </c>
      <c r="O6765" s="4" t="str">
        <f>LEFT(Table2[[#This Row],[Description]],75)</f>
        <v>AdvoCare</v>
      </c>
      <c r="P6765" s="2" t="s">
        <v>2292</v>
      </c>
    </row>
    <row r="6766" spans="1:16" hidden="1">
      <c r="A6766" s="2">
        <v>202203</v>
      </c>
      <c r="B6766" s="3">
        <v>44626</v>
      </c>
      <c r="C6766" s="2" t="s">
        <v>2262</v>
      </c>
      <c r="D6766" s="2" t="s">
        <v>1003</v>
      </c>
      <c r="E6766" s="2">
        <v>10</v>
      </c>
      <c r="F6766" s="2" t="e">
        <f>IF(Table2[[#This Row],[Manual Cat Value]]="",VLOOKUP(Table2[[#This Row],[Description]],'Actuals Lookup'!D:F,3,0),Table2[[#This Row],[Manual Cat Value]])</f>
        <v>#N/A</v>
      </c>
      <c r="J6766" s="2">
        <v>10</v>
      </c>
      <c r="K6766" s="2" t="b">
        <v>0</v>
      </c>
      <c r="L6766" s="2"/>
      <c r="M6766" s="2"/>
      <c r="N6766" s="4" t="s">
        <v>2259</v>
      </c>
      <c r="O6766" s="4" t="str">
        <f>LEFT(Table2[[#This Row],[Description]],75)</f>
        <v>IVS VENDING MASSAGE HOPKINS MN</v>
      </c>
      <c r="P6766" s="2" t="s">
        <v>2281</v>
      </c>
    </row>
    <row r="6767" spans="1:16" ht="28.5" hidden="1">
      <c r="A6767" s="2">
        <v>202203</v>
      </c>
      <c r="B6767" s="3">
        <v>44626</v>
      </c>
      <c r="C6767" s="2" t="s">
        <v>2447</v>
      </c>
      <c r="D6767" s="5" t="s">
        <v>1514</v>
      </c>
      <c r="E6767" s="2">
        <v>25.22</v>
      </c>
      <c r="F6767" s="2" t="e">
        <f>IF(Table2[[#This Row],[Manual Cat Value]]="",VLOOKUP(Table2[[#This Row],[Description]],'Actuals Lookup'!D:F,3,0),Table2[[#This Row],[Manual Cat Value]])</f>
        <v>#N/A</v>
      </c>
      <c r="J6767" s="2">
        <v>25.22</v>
      </c>
      <c r="K6767" s="2" t="b">
        <v>0</v>
      </c>
      <c r="L6767" s="2"/>
      <c r="M6767" s="2"/>
      <c r="N6767" s="4" t="s">
        <v>2259</v>
      </c>
      <c r="O6767" s="4" t="str">
        <f>LEFT(Table2[[#This Row],[Description]],75)</f>
        <v>PRIME VIDEO*1W6XW7FQ2 888-802-3080 WA
5Q5HZ1UXAXQ</v>
      </c>
      <c r="P6767" s="2" t="s">
        <v>2342</v>
      </c>
    </row>
    <row r="6768" spans="1:16" hidden="1">
      <c r="A6768" s="2">
        <v>202203</v>
      </c>
      <c r="B6768" s="3">
        <v>44626</v>
      </c>
      <c r="C6768" s="2" t="s">
        <v>2262</v>
      </c>
      <c r="D6768" s="2" t="s">
        <v>1924</v>
      </c>
      <c r="E6768" s="2">
        <v>87.84</v>
      </c>
      <c r="F6768" s="2" t="e">
        <f>IF(Table2[[#This Row],[Manual Cat Value]]="",VLOOKUP(Table2[[#This Row],[Description]],'Actuals Lookup'!D:F,3,0),Table2[[#This Row],[Manual Cat Value]])</f>
        <v>#N/A</v>
      </c>
      <c r="J6768" s="2">
        <v>87.84</v>
      </c>
      <c r="K6768" s="2" t="b">
        <v>0</v>
      </c>
      <c r="L6768" s="2"/>
      <c r="M6768" s="2"/>
      <c r="N6768" s="4" t="s">
        <v>2259</v>
      </c>
      <c r="O6768" s="4" t="str">
        <f>LEFT(Table2[[#This Row],[Description]],75)</f>
        <v>Total Wine  More</v>
      </c>
      <c r="P6768" s="2" t="s">
        <v>2595</v>
      </c>
    </row>
    <row r="6769" spans="1:16" hidden="1">
      <c r="A6769" s="2">
        <v>202203</v>
      </c>
      <c r="B6769" s="3">
        <v>44626</v>
      </c>
      <c r="C6769" s="2" t="s">
        <v>2447</v>
      </c>
      <c r="D6769" s="2" t="s">
        <v>2058</v>
      </c>
      <c r="E6769" s="2">
        <v>37.26</v>
      </c>
      <c r="F6769" s="2" t="e">
        <f>IF(Table2[[#This Row],[Manual Cat Value]]="",VLOOKUP(Table2[[#This Row],[Description]],'Actuals Lookup'!D:F,3,0),Table2[[#This Row],[Manual Cat Value]])</f>
        <v>#N/A</v>
      </c>
      <c r="J6769" s="2">
        <v>37.26</v>
      </c>
      <c r="K6769" s="2" t="b">
        <v>0</v>
      </c>
      <c r="L6769" s="2"/>
      <c r="M6769" s="2"/>
      <c r="N6769" s="4" t="s">
        <v>2259</v>
      </c>
      <c r="O6769" s="4" t="str">
        <f>LEFT(Table2[[#This Row],[Description]],75)</f>
        <v>TST* THE LOOP SLP SAINT LOUIS PMN</v>
      </c>
      <c r="P6769" s="2" t="s">
        <v>2281</v>
      </c>
    </row>
    <row r="6770" spans="1:16" hidden="1">
      <c r="A6770" s="2">
        <v>202203</v>
      </c>
      <c r="B6770" s="3">
        <v>44626</v>
      </c>
      <c r="C6770" s="2" t="s">
        <v>2447</v>
      </c>
      <c r="D6770" s="2" t="s">
        <v>2058</v>
      </c>
      <c r="E6770" s="2">
        <v>66.27</v>
      </c>
      <c r="F6770" s="2" t="e">
        <f>IF(Table2[[#This Row],[Manual Cat Value]]="",VLOOKUP(Table2[[#This Row],[Description]],'Actuals Lookup'!D:F,3,0),Table2[[#This Row],[Manual Cat Value]])</f>
        <v>#N/A</v>
      </c>
      <c r="J6770" s="2">
        <v>66.27</v>
      </c>
      <c r="K6770" s="2" t="b">
        <v>0</v>
      </c>
      <c r="L6770" s="2"/>
      <c r="M6770" s="2"/>
      <c r="N6770" s="4" t="s">
        <v>2259</v>
      </c>
      <c r="O6770" s="4" t="str">
        <f>LEFT(Table2[[#This Row],[Description]],75)</f>
        <v>TST* THE LOOP SLP SAINT LOUIS PMN</v>
      </c>
      <c r="P6770" s="2" t="s">
        <v>2281</v>
      </c>
    </row>
    <row r="6771" spans="1:16" hidden="1">
      <c r="A6771" s="2">
        <v>202203</v>
      </c>
      <c r="B6771" s="3">
        <v>44627</v>
      </c>
      <c r="C6771" s="2" t="s">
        <v>2262</v>
      </c>
      <c r="D6771" s="2" t="s">
        <v>684</v>
      </c>
      <c r="E6771" s="2">
        <v>45.98</v>
      </c>
      <c r="F6771" s="2" t="str">
        <f>IF(Table2[[#This Row],[Manual Cat Value]]="",VLOOKUP(Table2[[#This Row],[Description]],'Actuals Lookup'!D:F,3,0),Table2[[#This Row],[Manual Cat Value]])</f>
        <v>Groceries</v>
      </c>
      <c r="J6771" s="2">
        <v>45.98</v>
      </c>
      <c r="K6771" s="2" t="b">
        <v>0</v>
      </c>
      <c r="L6771" s="2"/>
      <c r="M6771" s="2"/>
      <c r="N6771" s="4" t="s">
        <v>2259</v>
      </c>
      <c r="O6771" s="4" t="str">
        <f>LEFT(Table2[[#This Row],[Description]],75)</f>
        <v>Cub Foods</v>
      </c>
      <c r="P6771" s="2" t="s">
        <v>2370</v>
      </c>
    </row>
    <row r="6772" spans="1:16" hidden="1">
      <c r="A6772" s="2">
        <v>202203</v>
      </c>
      <c r="B6772" s="3">
        <v>44627</v>
      </c>
      <c r="C6772" s="2" t="s">
        <v>2262</v>
      </c>
      <c r="D6772" s="2" t="s">
        <v>703</v>
      </c>
      <c r="E6772" s="2">
        <v>11.2</v>
      </c>
      <c r="F6772" s="2" t="str">
        <f>IF(Table2[[#This Row],[Manual Cat Value]]="",VLOOKUP(Table2[[#This Row],[Description]],'Actuals Lookup'!D:F,3,0),Table2[[#This Row],[Manual Cat Value]])</f>
        <v>Delete</v>
      </c>
      <c r="J6772" s="2">
        <v>11.2</v>
      </c>
      <c r="K6772" s="2" t="b">
        <v>0</v>
      </c>
      <c r="L6772" s="2"/>
      <c r="M6772" s="2"/>
      <c r="N6772" s="4" t="s">
        <v>2259</v>
      </c>
      <c r="O6772" s="4" t="str">
        <f>LEFT(Table2[[#This Row],[Description]],75)</f>
        <v>Delta Air Lines</v>
      </c>
      <c r="P6772" s="2" t="s">
        <v>2281</v>
      </c>
    </row>
    <row r="6773" spans="1:16" hidden="1">
      <c r="A6773" s="2">
        <v>202203</v>
      </c>
      <c r="B6773" s="3">
        <v>44627</v>
      </c>
      <c r="C6773" s="2" t="s">
        <v>2262</v>
      </c>
      <c r="D6773" s="2" t="s">
        <v>703</v>
      </c>
      <c r="E6773" s="2">
        <v>180</v>
      </c>
      <c r="F6773" s="2" t="str">
        <f>IF(Table2[[#This Row],[Manual Cat Value]]="",VLOOKUP(Table2[[#This Row],[Description]],'Actuals Lookup'!D:F,3,0),Table2[[#This Row],[Manual Cat Value]])</f>
        <v>Delete</v>
      </c>
      <c r="J6773" s="2">
        <v>180</v>
      </c>
      <c r="K6773" s="2" t="b">
        <v>0</v>
      </c>
      <c r="L6773" s="2"/>
      <c r="M6773" s="2"/>
      <c r="N6773" s="4" t="s">
        <v>2259</v>
      </c>
      <c r="O6773" s="4" t="str">
        <f>LEFT(Table2[[#This Row],[Description]],75)</f>
        <v>Delta Air Lines</v>
      </c>
      <c r="P6773" s="2" t="s">
        <v>2281</v>
      </c>
    </row>
    <row r="6774" spans="1:16" hidden="1">
      <c r="A6774" s="2">
        <v>202203</v>
      </c>
      <c r="B6774" s="3">
        <v>44627</v>
      </c>
      <c r="C6774" s="2" t="s">
        <v>2262</v>
      </c>
      <c r="D6774" s="2" t="s">
        <v>914</v>
      </c>
      <c r="E6774" s="2">
        <v>12.5</v>
      </c>
      <c r="F6774" s="2" t="e">
        <f>IF(Table2[[#This Row],[Manual Cat Value]]="",VLOOKUP(Table2[[#This Row],[Description]],'Actuals Lookup'!D:F,3,0),Table2[[#This Row],[Manual Cat Value]])</f>
        <v>#N/A</v>
      </c>
      <c r="J6774" s="2">
        <v>12.5</v>
      </c>
      <c r="K6774" s="2" t="b">
        <v>0</v>
      </c>
      <c r="L6774" s="2"/>
      <c r="M6774" s="2"/>
      <c r="N6774" s="4" t="s">
        <v>2259</v>
      </c>
      <c r="O6774" s="4" t="str">
        <f>LEFT(Table2[[#This Row],[Description]],75)</f>
        <v>Hammer Made</v>
      </c>
      <c r="P6774" s="2" t="s">
        <v>2281</v>
      </c>
    </row>
    <row r="6775" spans="1:16" hidden="1">
      <c r="A6775" s="2">
        <v>202203</v>
      </c>
      <c r="B6775" s="3">
        <v>44627</v>
      </c>
      <c r="C6775" s="2" t="s">
        <v>2262</v>
      </c>
      <c r="D6775" s="2" t="s">
        <v>914</v>
      </c>
      <c r="E6775" s="2">
        <v>148.5</v>
      </c>
      <c r="F6775" s="2" t="e">
        <f>IF(Table2[[#This Row],[Manual Cat Value]]="",VLOOKUP(Table2[[#This Row],[Description]],'Actuals Lookup'!D:F,3,0),Table2[[#This Row],[Manual Cat Value]])</f>
        <v>#N/A</v>
      </c>
      <c r="J6775" s="2">
        <v>148.5</v>
      </c>
      <c r="K6775" s="2" t="b">
        <v>0</v>
      </c>
      <c r="L6775" s="2"/>
      <c r="M6775" s="2"/>
      <c r="N6775" s="4" t="s">
        <v>2259</v>
      </c>
      <c r="O6775" s="4" t="str">
        <f>LEFT(Table2[[#This Row],[Description]],75)</f>
        <v>Hammer Made</v>
      </c>
      <c r="P6775" s="2" t="s">
        <v>2281</v>
      </c>
    </row>
    <row r="6776" spans="1:16" hidden="1">
      <c r="A6776" s="2">
        <v>202203</v>
      </c>
      <c r="B6776" s="3">
        <v>44627</v>
      </c>
      <c r="C6776" s="2" t="s">
        <v>2262</v>
      </c>
      <c r="D6776" s="2" t="s">
        <v>1066</v>
      </c>
      <c r="E6776" s="2">
        <v>95.7</v>
      </c>
      <c r="F6776" s="2" t="e">
        <f>IF(Table2[[#This Row],[Manual Cat Value]]="",VLOOKUP(Table2[[#This Row],[Description]],'Actuals Lookup'!D:F,3,0),Table2[[#This Row],[Manual Cat Value]])</f>
        <v>#N/A</v>
      </c>
      <c r="J6776" s="2">
        <v>95.7</v>
      </c>
      <c r="K6776" s="2" t="b">
        <v>0</v>
      </c>
      <c r="L6776" s="2"/>
      <c r="M6776" s="2"/>
      <c r="N6776" s="4" t="s">
        <v>2259</v>
      </c>
      <c r="O6776" s="4" t="str">
        <f>LEFT(Table2[[#This Row],[Description]],75)</f>
        <v>Kay Jewelers</v>
      </c>
      <c r="P6776" s="2" t="s">
        <v>2281</v>
      </c>
    </row>
    <row r="6777" spans="1:16" hidden="1">
      <c r="A6777" s="2">
        <v>202203</v>
      </c>
      <c r="B6777" s="3">
        <v>44627</v>
      </c>
      <c r="C6777" s="2" t="s">
        <v>2262</v>
      </c>
      <c r="D6777" s="2" t="s">
        <v>1707</v>
      </c>
      <c r="E6777" s="2">
        <v>7.23</v>
      </c>
      <c r="F6777" s="2" t="str">
        <f>IF(Table2[[#This Row],[Manual Cat Value]]="",VLOOKUP(Table2[[#This Row],[Description]],'Actuals Lookup'!D:F,3,0),Table2[[#This Row],[Manual Cat Value]])</f>
        <v>Transportation</v>
      </c>
      <c r="J6777" s="2">
        <v>7.23</v>
      </c>
      <c r="K6777" s="2" t="b">
        <v>0</v>
      </c>
      <c r="L6777" s="2"/>
      <c r="M6777" s="2"/>
      <c r="N6777" s="4" t="s">
        <v>2259</v>
      </c>
      <c r="O6777" s="4" t="str">
        <f>LEFT(Table2[[#This Row],[Description]],75)</f>
        <v>Speedway</v>
      </c>
      <c r="P6777" s="2" t="s">
        <v>2381</v>
      </c>
    </row>
    <row r="6778" spans="1:16" hidden="1">
      <c r="A6778" s="2">
        <v>202203</v>
      </c>
      <c r="B6778" s="3">
        <v>44627</v>
      </c>
      <c r="C6778" s="2" t="s">
        <v>2262</v>
      </c>
      <c r="D6778" s="2" t="s">
        <v>1707</v>
      </c>
      <c r="E6778" s="2">
        <v>42.49</v>
      </c>
      <c r="F6778" s="2" t="str">
        <f>IF(Table2[[#This Row],[Manual Cat Value]]="",VLOOKUP(Table2[[#This Row],[Description]],'Actuals Lookup'!D:F,3,0),Table2[[#This Row],[Manual Cat Value]])</f>
        <v>Transportation</v>
      </c>
      <c r="J6778" s="2">
        <v>42.49</v>
      </c>
      <c r="K6778" s="2" t="b">
        <v>0</v>
      </c>
      <c r="L6778" s="2"/>
      <c r="M6778" s="2"/>
      <c r="N6778" s="4" t="s">
        <v>2259</v>
      </c>
      <c r="O6778" s="4" t="str">
        <f>LEFT(Table2[[#This Row],[Description]],75)</f>
        <v>Speedway</v>
      </c>
      <c r="P6778" s="2" t="s">
        <v>2381</v>
      </c>
    </row>
    <row r="6779" spans="1:16" hidden="1">
      <c r="A6779" s="2">
        <v>202203</v>
      </c>
      <c r="B6779" s="3">
        <v>44627</v>
      </c>
      <c r="C6779" s="2" t="s">
        <v>2262</v>
      </c>
      <c r="D6779" s="2" t="s">
        <v>1829</v>
      </c>
      <c r="E6779" s="2">
        <v>100.63</v>
      </c>
      <c r="F6779" s="2" t="e">
        <f>IF(Table2[[#This Row],[Manual Cat Value]]="",VLOOKUP(Table2[[#This Row],[Description]],'Actuals Lookup'!D:F,3,0),Table2[[#This Row],[Manual Cat Value]])</f>
        <v>#N/A</v>
      </c>
      <c r="J6779" s="2">
        <v>100.63</v>
      </c>
      <c r="K6779" s="2" t="b">
        <v>0</v>
      </c>
      <c r="L6779" s="2"/>
      <c r="M6779" s="2"/>
      <c r="N6779" s="4" t="s">
        <v>2259</v>
      </c>
      <c r="O6779" s="4" t="str">
        <f>LEFT(Table2[[#This Row],[Description]],75)</f>
        <v>TEQUILA BUTCHER CHANHASSEN MN</v>
      </c>
      <c r="P6779" s="2" t="s">
        <v>2446</v>
      </c>
    </row>
    <row r="6780" spans="1:16" hidden="1">
      <c r="A6780" s="2">
        <v>202203</v>
      </c>
      <c r="B6780" s="3">
        <v>44627</v>
      </c>
      <c r="C6780" s="2" t="s">
        <v>2262</v>
      </c>
      <c r="D6780" s="2" t="s">
        <v>1930</v>
      </c>
      <c r="E6780" s="2">
        <v>98.04</v>
      </c>
      <c r="F6780" s="2" t="e">
        <f>IF(Table2[[#This Row],[Manual Cat Value]]="",VLOOKUP(Table2[[#This Row],[Description]],'Actuals Lookup'!D:F,3,0),Table2[[#This Row],[Manual Cat Value]])</f>
        <v>#N/A</v>
      </c>
      <c r="J6780" s="2">
        <v>98.04</v>
      </c>
      <c r="K6780" s="2" t="b">
        <v>0</v>
      </c>
      <c r="L6780" s="2"/>
      <c r="M6780" s="2"/>
      <c r="N6780" s="4" t="s">
        <v>2259</v>
      </c>
      <c r="O6780" s="4" t="str">
        <f>LEFT(Table2[[#This Row],[Description]],75)</f>
        <v>Trader Joes</v>
      </c>
      <c r="P6780" s="2" t="s">
        <v>2419</v>
      </c>
    </row>
    <row r="6781" spans="1:16" hidden="1">
      <c r="A6781" s="2">
        <v>202203</v>
      </c>
      <c r="B6781" s="3">
        <v>44627</v>
      </c>
      <c r="C6781" s="2" t="s">
        <v>2265</v>
      </c>
      <c r="D6781" s="2" t="s">
        <v>1958</v>
      </c>
      <c r="E6781" s="2">
        <v>7</v>
      </c>
      <c r="F6781" s="2" t="str">
        <f>IF(Table2[[#This Row],[Manual Cat Value]]="",VLOOKUP(Table2[[#This Row],[Description]],'Actuals Lookup'!D:F,3,0),Table2[[#This Row],[Manual Cat Value]])</f>
        <v>Shopping</v>
      </c>
      <c r="J6781" s="2">
        <v>7</v>
      </c>
      <c r="K6781" s="2" t="b">
        <v>0</v>
      </c>
      <c r="L6781" s="2"/>
      <c r="M6781" s="2"/>
      <c r="N6781" s="4" t="s">
        <v>2259</v>
      </c>
      <c r="O6781" s="4" t="str">
        <f>LEFT(Table2[[#This Row],[Description]],75)</f>
        <v>Transfer to Venmo</v>
      </c>
      <c r="P6781" s="2" t="s">
        <v>2281</v>
      </c>
    </row>
    <row r="6782" spans="1:16" hidden="1">
      <c r="A6782" s="2">
        <v>202203</v>
      </c>
      <c r="B6782" s="3">
        <v>44628</v>
      </c>
      <c r="C6782" s="2" t="s">
        <v>2262</v>
      </c>
      <c r="D6782" s="2" t="s">
        <v>161</v>
      </c>
      <c r="E6782" s="2">
        <v>52.8</v>
      </c>
      <c r="F6782" s="2" t="str">
        <f>IF(Table2[[#This Row],[Manual Cat Value]]="",VLOOKUP(Table2[[#This Row],[Description]],'Actuals Lookup'!D:F,3,0),Table2[[#This Row],[Manual Cat Value]])</f>
        <v>Shopping</v>
      </c>
      <c r="J6782" s="2">
        <v>52.8</v>
      </c>
      <c r="K6782" s="2" t="b">
        <v>0</v>
      </c>
      <c r="L6782" s="2"/>
      <c r="M6782" s="2"/>
      <c r="N6782" s="4" t="s">
        <v>2259</v>
      </c>
      <c r="O6782" s="4" t="str">
        <f>LEFT(Table2[[#This Row],[Description]],75)</f>
        <v>Anthropologie</v>
      </c>
      <c r="P6782" s="2" t="s">
        <v>2295</v>
      </c>
    </row>
    <row r="6783" spans="1:16" hidden="1">
      <c r="A6783" s="2">
        <v>202203</v>
      </c>
      <c r="B6783" s="3">
        <v>44628</v>
      </c>
      <c r="C6783" s="2" t="s">
        <v>2265</v>
      </c>
      <c r="D6783" s="2" t="s">
        <v>516</v>
      </c>
      <c r="E6783" s="2">
        <v>160</v>
      </c>
      <c r="F6783" s="2" t="e">
        <f>IF(Table2[[#This Row],[Manual Cat Value]]="",VLOOKUP(Table2[[#This Row],[Description]],'Actuals Lookup'!D:F,3,0),Table2[[#This Row],[Manual Cat Value]])</f>
        <v>#N/A</v>
      </c>
      <c r="J6783" s="2">
        <v>160</v>
      </c>
      <c r="K6783" s="2" t="b">
        <v>0</v>
      </c>
      <c r="L6783" s="2"/>
      <c r="M6783" s="2"/>
      <c r="N6783" s="4" t="s">
        <v>2259</v>
      </c>
      <c r="O6783" s="4" t="str">
        <f>LEFT(Table2[[#This Row],[Description]],75)</f>
        <v>CHECK  Processed Check  PASSPORT</v>
      </c>
      <c r="P6783" s="2" t="s">
        <v>2281</v>
      </c>
    </row>
    <row r="6784" spans="1:16" hidden="1">
      <c r="A6784" s="2">
        <v>202203</v>
      </c>
      <c r="B6784" s="3">
        <v>44628</v>
      </c>
      <c r="C6784" s="2" t="s">
        <v>2262</v>
      </c>
      <c r="D6784" s="2" t="s">
        <v>1165</v>
      </c>
      <c r="E6784" s="2">
        <v>401.71</v>
      </c>
      <c r="F6784" s="2" t="str">
        <f>IF(Table2[[#This Row],[Manual Cat Value]]="",VLOOKUP(Table2[[#This Row],[Description]],'Actuals Lookup'!D:F,3,0),Table2[[#This Row],[Manual Cat Value]])</f>
        <v>Travel</v>
      </c>
      <c r="J6784" s="2">
        <v>401.71</v>
      </c>
      <c r="K6784" s="2" t="b">
        <v>0</v>
      </c>
      <c r="L6784" s="2"/>
      <c r="M6784" s="2"/>
      <c r="N6784" s="4" t="s">
        <v>2259</v>
      </c>
      <c r="O6784" s="4" t="str">
        <f>LEFT(Table2[[#This Row],[Description]],75)</f>
        <v>Lutsen Mountains</v>
      </c>
      <c r="P6784" s="2" t="s">
        <v>2281</v>
      </c>
    </row>
    <row r="6785" spans="1:16" hidden="1">
      <c r="A6785" s="2">
        <v>202203</v>
      </c>
      <c r="B6785" s="3">
        <v>44628</v>
      </c>
      <c r="C6785" s="2" t="s">
        <v>2265</v>
      </c>
      <c r="D6785" s="2" t="s">
        <v>1195</v>
      </c>
      <c r="E6785" s="2">
        <v>536.29999999999995</v>
      </c>
      <c r="F6785" s="2" t="e">
        <f>IF(Table2[[#This Row],[Manual Cat Value]]="",VLOOKUP(Table2[[#This Row],[Description]],'Actuals Lookup'!D:F,3,0),Table2[[#This Row],[Manual Cat Value]])</f>
        <v>#N/A</v>
      </c>
      <c r="J6785" s="2">
        <v>536.29999999999995</v>
      </c>
      <c r="K6785" s="2" t="b">
        <v>0</v>
      </c>
      <c r="L6785" s="2"/>
      <c r="M6785" s="2"/>
      <c r="N6785" s="4" t="s">
        <v>2259</v>
      </c>
      <c r="O6785" s="4" t="str">
        <f>LEFT(Table2[[#This Row],[Description]],75)</f>
        <v>MHCHILDCARELLC TYPE DUES ID CO M</v>
      </c>
      <c r="P6785" s="2" t="s">
        <v>2497</v>
      </c>
    </row>
    <row r="6786" spans="1:16" hidden="1">
      <c r="A6786" s="2">
        <v>202203</v>
      </c>
      <c r="B6786" s="3">
        <v>44628</v>
      </c>
      <c r="C6786" s="2" t="s">
        <v>2262</v>
      </c>
      <c r="D6786" s="2" t="s">
        <v>1477</v>
      </c>
      <c r="E6786" s="2">
        <v>-18.36</v>
      </c>
      <c r="F6786" s="2" t="str">
        <f>IF(Table2[[#This Row],[Manual Cat Value]]="",VLOOKUP(Table2[[#This Row],[Description]],'Actuals Lookup'!D:F,3,0),Table2[[#This Row],[Manual Cat Value]])</f>
        <v>Gym</v>
      </c>
      <c r="J6786" s="2">
        <v>18.36</v>
      </c>
      <c r="K6786" s="2" t="b">
        <v>0</v>
      </c>
      <c r="L6786" s="2"/>
      <c r="M6786" s="2"/>
      <c r="N6786" s="4" t="s">
        <v>2273</v>
      </c>
      <c r="O6786" s="4" t="str">
        <f>LEFT(Table2[[#This Row],[Description]],75)</f>
        <v>Peloton Cycles</v>
      </c>
      <c r="P6786" s="2" t="s">
        <v>2281</v>
      </c>
    </row>
    <row r="6787" spans="1:16" hidden="1">
      <c r="A6787" s="2">
        <v>202203</v>
      </c>
      <c r="B6787" s="3">
        <v>44628</v>
      </c>
      <c r="C6787" s="2" t="s">
        <v>2262</v>
      </c>
      <c r="D6787" s="2" t="s">
        <v>1477</v>
      </c>
      <c r="E6787" s="2">
        <v>-34.64</v>
      </c>
      <c r="F6787" s="2" t="str">
        <f>IF(Table2[[#This Row],[Manual Cat Value]]="",VLOOKUP(Table2[[#This Row],[Description]],'Actuals Lookup'!D:F,3,0),Table2[[#This Row],[Manual Cat Value]])</f>
        <v>Gym</v>
      </c>
      <c r="J6787" s="2">
        <v>34.64</v>
      </c>
      <c r="K6787" s="2" t="b">
        <v>0</v>
      </c>
      <c r="L6787" s="2"/>
      <c r="M6787" s="2"/>
      <c r="N6787" s="4" t="s">
        <v>2273</v>
      </c>
      <c r="O6787" s="4" t="str">
        <f>LEFT(Table2[[#This Row],[Description]],75)</f>
        <v>Peloton Cycles</v>
      </c>
      <c r="P6787" s="2" t="s">
        <v>2281</v>
      </c>
    </row>
    <row r="6788" spans="1:16" hidden="1">
      <c r="A6788" s="2">
        <v>202203</v>
      </c>
      <c r="B6788" s="3">
        <v>44628</v>
      </c>
      <c r="C6788" s="2" t="s">
        <v>2262</v>
      </c>
      <c r="D6788" s="2" t="s">
        <v>1759</v>
      </c>
      <c r="E6788" s="2">
        <v>247.62</v>
      </c>
      <c r="F6788" s="2" t="e">
        <f>IF(Table2[[#This Row],[Manual Cat Value]]="",VLOOKUP(Table2[[#This Row],[Description]],'Actuals Lookup'!D:F,3,0),Table2[[#This Row],[Manual Cat Value]])</f>
        <v>#N/A</v>
      </c>
      <c r="J6788" s="2">
        <v>247.62</v>
      </c>
      <c r="K6788" s="2" t="b">
        <v>0</v>
      </c>
      <c r="L6788" s="2"/>
      <c r="M6788" s="2"/>
      <c r="N6788" s="4" t="s">
        <v>2259</v>
      </c>
      <c r="O6788" s="4" t="str">
        <f>LEFT(Table2[[#This Row],[Description]],75)</f>
        <v>SQ STEAMOLOGY MOBILE DETWayzata</v>
      </c>
      <c r="P6788" s="2" t="s">
        <v>2281</v>
      </c>
    </row>
    <row r="6789" spans="1:16" hidden="1">
      <c r="A6789" s="2">
        <v>202203</v>
      </c>
      <c r="B6789" s="3">
        <v>44628</v>
      </c>
      <c r="C6789" s="2" t="s">
        <v>2262</v>
      </c>
      <c r="D6789" s="2" t="s">
        <v>2079</v>
      </c>
      <c r="E6789" s="2">
        <v>6.96</v>
      </c>
      <c r="F6789" s="2" t="str">
        <f>IF(Table2[[#This Row],[Manual Cat Value]]="",VLOOKUP(Table2[[#This Row],[Description]],'Actuals Lookup'!D:F,3,0),Table2[[#This Row],[Manual Cat Value]])</f>
        <v>Restaurants</v>
      </c>
      <c r="J6789" s="2">
        <v>6.96</v>
      </c>
      <c r="K6789" s="2" t="b">
        <v>0</v>
      </c>
      <c r="L6789" s="2"/>
      <c r="M6789" s="2"/>
      <c r="N6789" s="4" t="s">
        <v>2259</v>
      </c>
      <c r="O6789" s="4" t="str">
        <f>LEFT(Table2[[#This Row],[Description]],75)</f>
        <v>Uber Eats</v>
      </c>
      <c r="P6789" s="2" t="s">
        <v>2582</v>
      </c>
    </row>
    <row r="6790" spans="1:16" hidden="1">
      <c r="A6790" s="2">
        <v>202203</v>
      </c>
      <c r="B6790" s="3">
        <v>44628</v>
      </c>
      <c r="C6790" s="2" t="s">
        <v>2262</v>
      </c>
      <c r="D6790" s="2" t="s">
        <v>2079</v>
      </c>
      <c r="E6790" s="2">
        <v>34.840000000000003</v>
      </c>
      <c r="F6790" s="2" t="str">
        <f>IF(Table2[[#This Row],[Manual Cat Value]]="",VLOOKUP(Table2[[#This Row],[Description]],'Actuals Lookup'!D:F,3,0),Table2[[#This Row],[Manual Cat Value]])</f>
        <v>Restaurants</v>
      </c>
      <c r="J6790" s="2">
        <v>34.840000000000003</v>
      </c>
      <c r="K6790" s="2" t="b">
        <v>0</v>
      </c>
      <c r="L6790" s="2"/>
      <c r="M6790" s="2"/>
      <c r="N6790" s="4" t="s">
        <v>2259</v>
      </c>
      <c r="O6790" s="4" t="str">
        <f>LEFT(Table2[[#This Row],[Description]],75)</f>
        <v>Uber Eats</v>
      </c>
      <c r="P6790" s="2" t="s">
        <v>2582</v>
      </c>
    </row>
    <row r="6791" spans="1:16" hidden="1">
      <c r="A6791" s="2">
        <v>202203</v>
      </c>
      <c r="B6791" s="3">
        <v>44629</v>
      </c>
      <c r="C6791" s="2" t="s">
        <v>2265</v>
      </c>
      <c r="D6791" s="2" t="s">
        <v>1470</v>
      </c>
      <c r="E6791" s="2">
        <v>205.87</v>
      </c>
      <c r="F6791" s="2" t="str">
        <f>IF(Table2[[#This Row],[Manual Cat Value]]="",VLOOKUP(Table2[[#This Row],[Description]],'Actuals Lookup'!D:F,3,0),Table2[[#This Row],[Manual Cat Value]])</f>
        <v>Utilities</v>
      </c>
      <c r="J6791" s="2">
        <v>205.87</v>
      </c>
      <c r="K6791" s="2" t="b">
        <v>0</v>
      </c>
      <c r="L6791" s="2"/>
      <c r="M6791" s="2"/>
      <c r="N6791" s="4" t="s">
        <v>2259</v>
      </c>
      <c r="O6791" s="4" t="str">
        <f>LEFT(Table2[[#This Row],[Description]],75)</f>
        <v>Payment to Xcel Energy</v>
      </c>
      <c r="P6791" s="2" t="s">
        <v>2596</v>
      </c>
    </row>
    <row r="6792" spans="1:16" hidden="1">
      <c r="A6792" s="2">
        <v>202203</v>
      </c>
      <c r="B6792" s="3">
        <v>44629</v>
      </c>
      <c r="C6792" s="2" t="s">
        <v>2262</v>
      </c>
      <c r="D6792" s="2" t="s">
        <v>648</v>
      </c>
      <c r="E6792" s="2">
        <v>30.8</v>
      </c>
      <c r="F6792" s="2" t="str">
        <f>IF(Table2[[#This Row],[Manual Cat Value]]="",VLOOKUP(Table2[[#This Row],[Description]],'Actuals Lookup'!D:F,3,0),Table2[[#This Row],[Manual Cat Value]])</f>
        <v>Groceries</v>
      </c>
      <c r="J6792" s="2">
        <v>30.8</v>
      </c>
      <c r="K6792" s="2" t="b">
        <v>0</v>
      </c>
      <c r="L6792" s="2"/>
      <c r="M6792" s="2"/>
      <c r="N6792" s="4" t="s">
        <v>2259</v>
      </c>
      <c r="O6792" s="4" t="str">
        <f>LEFT(Table2[[#This Row],[Description]],75)</f>
        <v>Costco</v>
      </c>
      <c r="P6792" s="2" t="s">
        <v>2409</v>
      </c>
    </row>
    <row r="6793" spans="1:16" hidden="1">
      <c r="A6793" s="2">
        <v>202203</v>
      </c>
      <c r="B6793" s="3">
        <v>44629</v>
      </c>
      <c r="C6793" s="2" t="s">
        <v>2262</v>
      </c>
      <c r="D6793" s="2" t="s">
        <v>648</v>
      </c>
      <c r="E6793" s="2">
        <v>126.56</v>
      </c>
      <c r="F6793" s="2" t="str">
        <f>IF(Table2[[#This Row],[Manual Cat Value]]="",VLOOKUP(Table2[[#This Row],[Description]],'Actuals Lookup'!D:F,3,0),Table2[[#This Row],[Manual Cat Value]])</f>
        <v>Groceries</v>
      </c>
      <c r="J6793" s="2">
        <v>126.56</v>
      </c>
      <c r="K6793" s="2" t="b">
        <v>0</v>
      </c>
      <c r="L6793" s="2"/>
      <c r="M6793" s="2"/>
      <c r="N6793" s="4" t="s">
        <v>2259</v>
      </c>
      <c r="O6793" s="4" t="str">
        <f>LEFT(Table2[[#This Row],[Description]],75)</f>
        <v>Costco</v>
      </c>
      <c r="P6793" s="2" t="s">
        <v>2409</v>
      </c>
    </row>
    <row r="6794" spans="1:16" hidden="1">
      <c r="A6794" s="2">
        <v>202203</v>
      </c>
      <c r="B6794" s="3">
        <v>44629</v>
      </c>
      <c r="C6794" s="2" t="s">
        <v>2262</v>
      </c>
      <c r="D6794" s="2" t="s">
        <v>1083</v>
      </c>
      <c r="E6794" s="2">
        <v>70.48</v>
      </c>
      <c r="F6794" s="2" t="str">
        <f>IF(Table2[[#This Row],[Manual Cat Value]]="",VLOOKUP(Table2[[#This Row],[Description]],'Actuals Lookup'!D:F,3,0),Table2[[#This Row],[Manual Cat Value]])</f>
        <v>Transportation</v>
      </c>
      <c r="J6794" s="2">
        <v>70.48</v>
      </c>
      <c r="K6794" s="2" t="b">
        <v>0</v>
      </c>
      <c r="L6794" s="2"/>
      <c r="M6794" s="2"/>
      <c r="N6794" s="4" t="s">
        <v>2259</v>
      </c>
      <c r="O6794" s="4" t="str">
        <f>LEFT(Table2[[#This Row],[Description]],75)</f>
        <v>Kwik Trip</v>
      </c>
      <c r="P6794" s="2" t="s">
        <v>2509</v>
      </c>
    </row>
    <row r="6795" spans="1:16" hidden="1">
      <c r="A6795" s="2">
        <v>202203</v>
      </c>
      <c r="B6795" s="3">
        <v>44629</v>
      </c>
      <c r="C6795" s="2" t="s">
        <v>2262</v>
      </c>
      <c r="D6795" s="2" t="s">
        <v>1102</v>
      </c>
      <c r="E6795" s="2">
        <v>20.73</v>
      </c>
      <c r="F6795" s="2" t="str">
        <f>IF(Table2[[#This Row],[Manual Cat Value]]="",VLOOKUP(Table2[[#This Row],[Description]],'Actuals Lookup'!D:F,3,0),Table2[[#This Row],[Manual Cat Value]])</f>
        <v>Restaurants</v>
      </c>
      <c r="J6795" s="2">
        <v>20.73</v>
      </c>
      <c r="K6795" s="2" t="b">
        <v>0</v>
      </c>
      <c r="L6795" s="2"/>
      <c r="M6795" s="2"/>
      <c r="N6795" s="4" t="s">
        <v>2259</v>
      </c>
      <c r="O6795" s="4" t="str">
        <f>LEFT(Table2[[#This Row],[Description]],75)</f>
        <v>Leeann Chin</v>
      </c>
      <c r="P6795" s="2" t="s">
        <v>2529</v>
      </c>
    </row>
    <row r="6796" spans="1:16" hidden="1">
      <c r="A6796" s="2">
        <v>202203</v>
      </c>
      <c r="B6796" s="3">
        <v>44629</v>
      </c>
      <c r="C6796" s="2" t="s">
        <v>2262</v>
      </c>
      <c r="D6796" s="2" t="s">
        <v>1338</v>
      </c>
      <c r="E6796" s="2">
        <v>16.28</v>
      </c>
      <c r="F6796" s="2" t="e">
        <f>IF(Table2[[#This Row],[Manual Cat Value]]="",VLOOKUP(Table2[[#This Row],[Description]],'Actuals Lookup'!D:F,3,0),Table2[[#This Row],[Manual Cat Value]])</f>
        <v>#N/A</v>
      </c>
      <c r="J6796" s="2">
        <v>16.28</v>
      </c>
      <c r="K6796" s="2" t="b">
        <v>0</v>
      </c>
      <c r="L6796" s="2"/>
      <c r="M6796" s="2"/>
      <c r="N6796" s="4" t="s">
        <v>2259</v>
      </c>
      <c r="O6796" s="4" t="str">
        <f>LEFT(Table2[[#This Row],[Description]],75)</f>
        <v>MSP CAMDEN FOOD XX1162 SAINT PAU</v>
      </c>
      <c r="P6796" s="2" t="s">
        <v>2281</v>
      </c>
    </row>
    <row r="6797" spans="1:16" hidden="1">
      <c r="A6797" s="2">
        <v>202203</v>
      </c>
      <c r="B6797" s="3">
        <v>44629</v>
      </c>
      <c r="C6797" s="2" t="s">
        <v>2262</v>
      </c>
      <c r="D6797" s="2" t="s">
        <v>1477</v>
      </c>
      <c r="E6797" s="2">
        <v>41.94</v>
      </c>
      <c r="F6797" s="2" t="str">
        <f>IF(Table2[[#This Row],[Manual Cat Value]]="",VLOOKUP(Table2[[#This Row],[Description]],'Actuals Lookup'!D:F,3,0),Table2[[#This Row],[Manual Cat Value]])</f>
        <v>Gym</v>
      </c>
      <c r="J6797" s="2">
        <v>41.94</v>
      </c>
      <c r="K6797" s="2" t="b">
        <v>0</v>
      </c>
      <c r="L6797" s="2"/>
      <c r="M6797" s="2"/>
      <c r="N6797" s="4" t="s">
        <v>2259</v>
      </c>
      <c r="O6797" s="4" t="str">
        <f>LEFT(Table2[[#This Row],[Description]],75)</f>
        <v>Peloton Cycles</v>
      </c>
      <c r="P6797" s="2" t="s">
        <v>2281</v>
      </c>
    </row>
    <row r="6798" spans="1:16" hidden="1">
      <c r="A6798" s="2">
        <v>202203</v>
      </c>
      <c r="B6798" s="3">
        <v>44630</v>
      </c>
      <c r="C6798" s="2" t="s">
        <v>2265</v>
      </c>
      <c r="D6798" s="2" t="s">
        <v>1982</v>
      </c>
      <c r="E6798" s="2">
        <v>125</v>
      </c>
      <c r="F6798" s="2" t="e">
        <f>IF(Table2[[#This Row],[Manual Cat Value]]="",VLOOKUP(Table2[[#This Row],[Description]],'Actuals Lookup'!D:F,3,0),Table2[[#This Row],[Manual Cat Value]])</f>
        <v>#N/A</v>
      </c>
      <c r="J6798" s="2">
        <v>125</v>
      </c>
      <c r="K6798" s="2" t="b">
        <v>0</v>
      </c>
      <c r="L6798" s="2"/>
      <c r="M6798" s="2"/>
      <c r="N6798" s="4" t="s">
        <v>2259</v>
      </c>
      <c r="O6798" s="4" t="str">
        <f>LEFT(Table2[[#This Row],[Description]],75)</f>
        <v>Transfer to Venmo VENMO TYPE PAYMENT ID CO VENMO NAME BRITNEY TRUITT ACH EC</v>
      </c>
      <c r="P6798" s="2" t="s">
        <v>2281</v>
      </c>
    </row>
    <row r="6799" spans="1:16" hidden="1">
      <c r="A6799" s="2">
        <v>202203</v>
      </c>
      <c r="B6799" s="3">
        <v>44630</v>
      </c>
      <c r="C6799" s="2" t="s">
        <v>2262</v>
      </c>
      <c r="D6799" s="2" t="s">
        <v>835</v>
      </c>
      <c r="E6799" s="2">
        <v>22.28</v>
      </c>
      <c r="F6799" s="2" t="e">
        <f>IF(Table2[[#This Row],[Manual Cat Value]]="",VLOOKUP(Table2[[#This Row],[Description]],'Actuals Lookup'!D:F,3,0),Table2[[#This Row],[Manual Cat Value]])</f>
        <v>#N/A</v>
      </c>
      <c r="J6799" s="2">
        <v>22.28</v>
      </c>
      <c r="K6799" s="2" t="b">
        <v>0</v>
      </c>
      <c r="L6799" s="2"/>
      <c r="M6799" s="2"/>
      <c r="N6799" s="4" t="s">
        <v>2259</v>
      </c>
      <c r="O6799" s="4" t="str">
        <f>LEFT(Table2[[#This Row],[Description]],75)</f>
        <v>Facebook</v>
      </c>
      <c r="P6799" s="2" t="s">
        <v>2281</v>
      </c>
    </row>
    <row r="6800" spans="1:16" hidden="1">
      <c r="A6800" s="2">
        <v>202203</v>
      </c>
      <c r="B6800" s="3">
        <v>44630</v>
      </c>
      <c r="C6800" s="2" t="s">
        <v>2262</v>
      </c>
      <c r="D6800" s="2" t="s">
        <v>1014</v>
      </c>
      <c r="E6800" s="2">
        <v>22.85</v>
      </c>
      <c r="F6800" s="2" t="str">
        <f>IF(Table2[[#This Row],[Manual Cat Value]]="",VLOOKUP(Table2[[#This Row],[Description]],'Actuals Lookup'!D:F,3,0),Table2[[#This Row],[Manual Cat Value]])</f>
        <v>Restaurants</v>
      </c>
      <c r="J6800" s="2">
        <v>22.85</v>
      </c>
      <c r="K6800" s="2" t="b">
        <v>0</v>
      </c>
      <c r="L6800" s="2"/>
      <c r="M6800" s="2"/>
      <c r="N6800" s="4" t="s">
        <v>2259</v>
      </c>
      <c r="O6800" s="4" t="str">
        <f>LEFT(Table2[[#This Row],[Description]],75)</f>
        <v>Jimmy John's</v>
      </c>
      <c r="P6800" s="2" t="s">
        <v>2453</v>
      </c>
    </row>
    <row r="6801" spans="1:16" hidden="1">
      <c r="A6801" s="2">
        <v>202203</v>
      </c>
      <c r="B6801" s="3">
        <v>44630</v>
      </c>
      <c r="C6801" s="2" t="s">
        <v>2262</v>
      </c>
      <c r="D6801" s="2" t="s">
        <v>1707</v>
      </c>
      <c r="E6801" s="2">
        <v>7.29</v>
      </c>
      <c r="F6801" s="2" t="str">
        <f>IF(Table2[[#This Row],[Manual Cat Value]]="",VLOOKUP(Table2[[#This Row],[Description]],'Actuals Lookup'!D:F,3,0),Table2[[#This Row],[Manual Cat Value]])</f>
        <v>Transportation</v>
      </c>
      <c r="J6801" s="2">
        <v>7.29</v>
      </c>
      <c r="K6801" s="2" t="b">
        <v>0</v>
      </c>
      <c r="L6801" s="2"/>
      <c r="M6801" s="2"/>
      <c r="N6801" s="4" t="s">
        <v>2259</v>
      </c>
      <c r="O6801" s="4" t="str">
        <f>LEFT(Table2[[#This Row],[Description]],75)</f>
        <v>Speedway</v>
      </c>
      <c r="P6801" s="2" t="s">
        <v>2381</v>
      </c>
    </row>
    <row r="6802" spans="1:16" hidden="1">
      <c r="A6802" s="2">
        <v>202203</v>
      </c>
      <c r="B6802" s="3">
        <v>44630</v>
      </c>
      <c r="C6802" s="2" t="s">
        <v>2262</v>
      </c>
      <c r="D6802" s="2" t="s">
        <v>1929</v>
      </c>
      <c r="E6802" s="2">
        <v>1592.7</v>
      </c>
      <c r="F6802" s="2" t="str">
        <f>IF(Table2[[#This Row],[Manual Cat Value]]="",VLOOKUP(Table2[[#This Row],[Description]],'Actuals Lookup'!D:F,3,0),Table2[[#This Row],[Manual Cat Value]])</f>
        <v>Transportation</v>
      </c>
      <c r="J6802" s="2">
        <v>1592.7</v>
      </c>
      <c r="K6802" s="2" t="b">
        <v>0</v>
      </c>
      <c r="L6802" s="2"/>
      <c r="M6802" s="2"/>
      <c r="N6802" s="4" t="s">
        <v>2259</v>
      </c>
      <c r="O6802" s="4" t="str">
        <f>LEFT(Table2[[#This Row],[Description]],75)</f>
        <v>Toyota</v>
      </c>
      <c r="P6802" s="2" t="s">
        <v>2281</v>
      </c>
    </row>
    <row r="6803" spans="1:16" hidden="1">
      <c r="A6803" s="2">
        <v>202203</v>
      </c>
      <c r="B6803" s="3">
        <v>44631</v>
      </c>
      <c r="C6803" s="2" t="s">
        <v>2262</v>
      </c>
      <c r="D6803" s="2" t="s">
        <v>795</v>
      </c>
      <c r="E6803" s="2">
        <v>9.7899999999999991</v>
      </c>
      <c r="F6803" s="2" t="e">
        <f>IF(Table2[[#This Row],[Manual Cat Value]]="",VLOOKUP(Table2[[#This Row],[Description]],'Actuals Lookup'!D:F,3,0),Table2[[#This Row],[Manual Cat Value]])</f>
        <v>#N/A</v>
      </c>
      <c r="J6803" s="2">
        <v>9.7899999999999991</v>
      </c>
      <c r="K6803" s="2" t="b">
        <v>0</v>
      </c>
      <c r="L6803" s="2"/>
      <c r="M6803" s="2"/>
      <c r="N6803" s="4" t="s">
        <v>2259</v>
      </c>
      <c r="O6803" s="4" t="str">
        <f>LEFT(Table2[[#This Row],[Description]],75)</f>
        <v>Duluth Trading Co</v>
      </c>
      <c r="P6803" s="2" t="s">
        <v>2281</v>
      </c>
    </row>
    <row r="6804" spans="1:16" hidden="1">
      <c r="A6804" s="2">
        <v>202203</v>
      </c>
      <c r="B6804" s="3">
        <v>44631</v>
      </c>
      <c r="C6804" s="2" t="s">
        <v>2447</v>
      </c>
      <c r="D6804" s="2" t="s">
        <v>1394</v>
      </c>
      <c r="E6804" s="2">
        <v>16.5</v>
      </c>
      <c r="F6804" s="2" t="e">
        <f>IF(Table2[[#This Row],[Manual Cat Value]]="",VLOOKUP(Table2[[#This Row],[Description]],'Actuals Lookup'!D:F,3,0),Table2[[#This Row],[Manual Cat Value]])</f>
        <v>#N/A</v>
      </c>
      <c r="J6804" s="2">
        <v>16.5</v>
      </c>
      <c r="K6804" s="2" t="b">
        <v>0</v>
      </c>
      <c r="L6804" s="2"/>
      <c r="M6804" s="2"/>
      <c r="N6804" s="4" t="s">
        <v>2259</v>
      </c>
      <c r="O6804" s="4" t="str">
        <f>LEFT(Table2[[#This Row],[Description]],75)</f>
        <v>PAPA CHARLIES RSTRNT LUTSEN MN</v>
      </c>
      <c r="P6804" s="2" t="s">
        <v>2281</v>
      </c>
    </row>
    <row r="6805" spans="1:16" hidden="1">
      <c r="A6805" s="2">
        <v>202203</v>
      </c>
      <c r="B6805" s="3">
        <v>44631</v>
      </c>
      <c r="C6805" s="2" t="s">
        <v>2265</v>
      </c>
      <c r="D6805" s="2" t="s">
        <v>1958</v>
      </c>
      <c r="E6805" s="2">
        <v>160.86000000000001</v>
      </c>
      <c r="F6805" s="2" t="str">
        <f>IF(Table2[[#This Row],[Manual Cat Value]]="",VLOOKUP(Table2[[#This Row],[Description]],'Actuals Lookup'!D:F,3,0),Table2[[#This Row],[Manual Cat Value]])</f>
        <v>Shopping</v>
      </c>
      <c r="J6805" s="2">
        <v>160.86000000000001</v>
      </c>
      <c r="K6805" s="2" t="b">
        <v>0</v>
      </c>
      <c r="L6805" s="2"/>
      <c r="M6805" s="2"/>
      <c r="N6805" s="4" t="s">
        <v>2259</v>
      </c>
      <c r="O6805" s="4" t="str">
        <f>LEFT(Table2[[#This Row],[Description]],75)</f>
        <v>Transfer to Venmo</v>
      </c>
      <c r="P6805" s="2" t="s">
        <v>2281</v>
      </c>
    </row>
    <row r="6806" spans="1:16" hidden="1">
      <c r="A6806" s="2">
        <v>202203</v>
      </c>
      <c r="B6806" s="3">
        <v>44633</v>
      </c>
      <c r="C6806" s="2" t="s">
        <v>2262</v>
      </c>
      <c r="D6806" s="2" t="s">
        <v>175</v>
      </c>
      <c r="E6806" s="2">
        <v>3.88</v>
      </c>
      <c r="F6806" s="2" t="e">
        <f>IF(Table2[[#This Row],[Manual Cat Value]]="",VLOOKUP(Table2[[#This Row],[Description]],'Actuals Lookup'!D:F,3,0),Table2[[#This Row],[Manual Cat Value]])</f>
        <v>#N/A</v>
      </c>
      <c r="J6806" s="2">
        <v>3.88</v>
      </c>
      <c r="K6806" s="2" t="b">
        <v>0</v>
      </c>
      <c r="L6806" s="2"/>
      <c r="M6806" s="2"/>
      <c r="N6806" s="4" t="s">
        <v>2259</v>
      </c>
      <c r="O6806" s="4" t="str">
        <f>LEFT(Table2[[#This Row],[Description]],75)</f>
        <v>ATL CNBC ATLANTA GA</v>
      </c>
      <c r="P6806" s="2" t="s">
        <v>2281</v>
      </c>
    </row>
    <row r="6807" spans="1:16" hidden="1">
      <c r="A6807" s="2">
        <v>202203</v>
      </c>
      <c r="B6807" s="3">
        <v>44633</v>
      </c>
      <c r="C6807" s="2" t="s">
        <v>2262</v>
      </c>
      <c r="D6807" s="2" t="s">
        <v>300</v>
      </c>
      <c r="E6807" s="2">
        <v>51.77</v>
      </c>
      <c r="F6807" s="2" t="e">
        <f>IF(Table2[[#This Row],[Manual Cat Value]]="",VLOOKUP(Table2[[#This Row],[Description]],'Actuals Lookup'!D:F,3,0),Table2[[#This Row],[Manual Cat Value]])</f>
        <v>#N/A</v>
      </c>
      <c r="J6807" s="2">
        <v>51.77</v>
      </c>
      <c r="K6807" s="2" t="b">
        <v>0</v>
      </c>
      <c r="L6807" s="2"/>
      <c r="M6807" s="2"/>
      <c r="N6807" s="4" t="s">
        <v>2259</v>
      </c>
      <c r="O6807" s="4" t="str">
        <f>LEFT(Table2[[#This Row],[Description]],75)</f>
        <v>Bluefin Grille</v>
      </c>
      <c r="P6807" s="2" t="s">
        <v>2281</v>
      </c>
    </row>
    <row r="6808" spans="1:16" hidden="1">
      <c r="A6808" s="2">
        <v>202203</v>
      </c>
      <c r="B6808" s="3">
        <v>44633</v>
      </c>
      <c r="C6808" s="2" t="s">
        <v>2262</v>
      </c>
      <c r="D6808" s="2" t="s">
        <v>453</v>
      </c>
      <c r="E6808" s="2">
        <v>4.55</v>
      </c>
      <c r="F6808" s="2" t="str">
        <f>IF(Table2[[#This Row],[Manual Cat Value]]="",VLOOKUP(Table2[[#This Row],[Description]],'Actuals Lookup'!D:F,3,0),Table2[[#This Row],[Manual Cat Value]])</f>
        <v>Restaurants</v>
      </c>
      <c r="J6808" s="2">
        <v>4.55</v>
      </c>
      <c r="K6808" s="2" t="b">
        <v>0</v>
      </c>
      <c r="L6808" s="2"/>
      <c r="M6808" s="2"/>
      <c r="N6808" s="4" t="s">
        <v>2259</v>
      </c>
      <c r="O6808" s="4" t="str">
        <f>LEFT(Table2[[#This Row],[Description]],75)</f>
        <v>Caribou Coffee</v>
      </c>
      <c r="P6808" s="2" t="s">
        <v>2329</v>
      </c>
    </row>
    <row r="6809" spans="1:16" hidden="1">
      <c r="A6809" s="2">
        <v>202203</v>
      </c>
      <c r="B6809" s="3">
        <v>44633</v>
      </c>
      <c r="C6809" s="2" t="s">
        <v>2262</v>
      </c>
      <c r="D6809" s="2" t="s">
        <v>508</v>
      </c>
      <c r="E6809" s="2">
        <v>45</v>
      </c>
      <c r="F6809" s="2" t="e">
        <f>IF(Table2[[#This Row],[Manual Cat Value]]="",VLOOKUP(Table2[[#This Row],[Description]],'Actuals Lookup'!D:F,3,0),Table2[[#This Row],[Manual Cat Value]])</f>
        <v>#N/A</v>
      </c>
      <c r="J6809" s="2">
        <v>45</v>
      </c>
      <c r="K6809" s="2" t="b">
        <v>0</v>
      </c>
      <c r="L6809" s="2"/>
      <c r="M6809" s="2"/>
      <c r="N6809" s="4" t="s">
        <v>2259</v>
      </c>
      <c r="O6809" s="4" t="str">
        <f>LEFT(Table2[[#This Row],[Description]],75)</f>
        <v>CENTURYLINK SIMPLE MONROE LA</v>
      </c>
      <c r="P6809" s="2" t="s">
        <v>2281</v>
      </c>
    </row>
    <row r="6810" spans="1:16" hidden="1">
      <c r="A6810" s="2">
        <v>202203</v>
      </c>
      <c r="B6810" s="3">
        <v>44633</v>
      </c>
      <c r="C6810" s="2" t="s">
        <v>2262</v>
      </c>
      <c r="D6810" s="2" t="s">
        <v>1083</v>
      </c>
      <c r="E6810" s="2">
        <v>21.63</v>
      </c>
      <c r="F6810" s="2" t="str">
        <f>IF(Table2[[#This Row],[Manual Cat Value]]="",VLOOKUP(Table2[[#This Row],[Description]],'Actuals Lookup'!D:F,3,0),Table2[[#This Row],[Manual Cat Value]])</f>
        <v>Transportation</v>
      </c>
      <c r="J6810" s="2">
        <v>21.63</v>
      </c>
      <c r="K6810" s="2" t="b">
        <v>0</v>
      </c>
      <c r="L6810" s="2"/>
      <c r="M6810" s="2"/>
      <c r="N6810" s="4" t="s">
        <v>2259</v>
      </c>
      <c r="O6810" s="4" t="str">
        <f>LEFT(Table2[[#This Row],[Description]],75)</f>
        <v>Kwik Trip</v>
      </c>
      <c r="P6810" s="2" t="s">
        <v>2509</v>
      </c>
    </row>
    <row r="6811" spans="1:16" hidden="1">
      <c r="A6811" s="2">
        <v>202203</v>
      </c>
      <c r="B6811" s="3">
        <v>44633</v>
      </c>
      <c r="C6811" s="2" t="s">
        <v>2265</v>
      </c>
      <c r="D6811" s="2" t="s">
        <v>1798</v>
      </c>
      <c r="E6811" s="2">
        <v>-2906.32</v>
      </c>
      <c r="F6811" s="2" t="e">
        <f>IF(Table2[[#This Row],[Manual Cat Value]]="",VLOOKUP(Table2[[#This Row],[Description]],'Actuals Lookup'!D:F,3,0),Table2[[#This Row],[Manual Cat Value]])</f>
        <v>#N/A</v>
      </c>
      <c r="J6811" s="2">
        <v>2906.32</v>
      </c>
      <c r="K6811" s="2" t="b">
        <v>0</v>
      </c>
      <c r="L6811" s="2"/>
      <c r="M6811" s="2"/>
      <c r="N6811" s="4" t="s">
        <v>2273</v>
      </c>
      <c r="O6811" s="4" t="str">
        <f>LEFT(Table2[[#This Row],[Description]],75)</f>
        <v>SYNTELLIS PERFOR TYPE DIRECT DEP</v>
      </c>
      <c r="P6811" s="2" t="s">
        <v>2281</v>
      </c>
    </row>
    <row r="6812" spans="1:16" hidden="1">
      <c r="A6812" s="2">
        <v>202203</v>
      </c>
      <c r="B6812" s="3">
        <v>44633</v>
      </c>
      <c r="C6812" s="2" t="s">
        <v>2262</v>
      </c>
      <c r="D6812" s="2" t="s">
        <v>1910</v>
      </c>
      <c r="E6812" s="2">
        <v>18.77</v>
      </c>
      <c r="F6812" s="2" t="e">
        <f>IF(Table2[[#This Row],[Manual Cat Value]]="",VLOOKUP(Table2[[#This Row],[Description]],'Actuals Lookup'!D:F,3,0),Table2[[#This Row],[Manual Cat Value]])</f>
        <v>#N/A</v>
      </c>
      <c r="J6812" s="2">
        <v>18.77</v>
      </c>
      <c r="K6812" s="2" t="b">
        <v>0</v>
      </c>
      <c r="L6812" s="2"/>
      <c r="M6812" s="2"/>
      <c r="N6812" s="4" t="s">
        <v>2259</v>
      </c>
      <c r="O6812" s="4" t="str">
        <f>LEFT(Table2[[#This Row],[Description]],75)</f>
        <v>TOBIES STATION INC HINCKLEY MN</v>
      </c>
      <c r="P6812" s="2" t="s">
        <v>2281</v>
      </c>
    </row>
    <row r="6813" spans="1:16" hidden="1">
      <c r="A6813" s="2">
        <v>202203</v>
      </c>
      <c r="B6813" s="3">
        <v>44633</v>
      </c>
      <c r="C6813" s="2" t="s">
        <v>2262</v>
      </c>
      <c r="D6813" s="2" t="s">
        <v>2007</v>
      </c>
      <c r="E6813" s="2">
        <v>28.33</v>
      </c>
      <c r="F6813" s="2" t="e">
        <f>IF(Table2[[#This Row],[Manual Cat Value]]="",VLOOKUP(Table2[[#This Row],[Description]],'Actuals Lookup'!D:F,3,0),Table2[[#This Row],[Manual Cat Value]])</f>
        <v>#N/A</v>
      </c>
      <c r="J6813" s="2">
        <v>28.33</v>
      </c>
      <c r="K6813" s="2" t="b">
        <v>0</v>
      </c>
      <c r="L6813" s="2"/>
      <c r="M6813" s="2"/>
      <c r="N6813" s="4" t="s">
        <v>2259</v>
      </c>
      <c r="O6813" s="4" t="str">
        <f>LEFT(Table2[[#This Row],[Description]],75)</f>
        <v>TST CASTLE DANGER BREWERTWO HARB</v>
      </c>
      <c r="P6813" s="2" t="s">
        <v>2281</v>
      </c>
    </row>
    <row r="6814" spans="1:16" hidden="1">
      <c r="A6814" s="2">
        <v>202203</v>
      </c>
      <c r="B6814" s="3">
        <v>44633</v>
      </c>
      <c r="C6814" s="2" t="s">
        <v>2262</v>
      </c>
      <c r="D6814" s="2" t="s">
        <v>2016</v>
      </c>
      <c r="E6814" s="2">
        <v>58.03</v>
      </c>
      <c r="F6814" s="2" t="e">
        <f>IF(Table2[[#This Row],[Manual Cat Value]]="",VLOOKUP(Table2[[#This Row],[Description]],'Actuals Lookup'!D:F,3,0),Table2[[#This Row],[Manual Cat Value]])</f>
        <v>#N/A</v>
      </c>
      <c r="J6814" s="2">
        <v>58.03</v>
      </c>
      <c r="K6814" s="2" t="b">
        <v>0</v>
      </c>
      <c r="L6814" s="2"/>
      <c r="M6814" s="2"/>
      <c r="N6814" s="4" t="s">
        <v>2259</v>
      </c>
      <c r="O6814" s="4" t="str">
        <f>LEFT(Table2[[#This Row],[Description]],75)</f>
        <v>TST FITGERS BREWHOUSE DULUTH MN</v>
      </c>
      <c r="P6814" s="2" t="s">
        <v>2281</v>
      </c>
    </row>
    <row r="6815" spans="1:16" hidden="1">
      <c r="A6815" s="2">
        <v>202203</v>
      </c>
      <c r="B6815" s="3">
        <v>44634</v>
      </c>
      <c r="C6815" s="2" t="s">
        <v>2262</v>
      </c>
      <c r="D6815" s="2" t="s">
        <v>673</v>
      </c>
      <c r="E6815" s="2">
        <v>-764.79</v>
      </c>
      <c r="F6815" s="2" t="str">
        <f>IF(Table2[[#This Row],[Manual Cat Value]]="",VLOOKUP(Table2[[#This Row],[Description]],'Actuals Lookup'!D:F,3,0),Table2[[#This Row],[Manual Cat Value]])</f>
        <v>Delete</v>
      </c>
      <c r="J6815" s="2">
        <v>764.79</v>
      </c>
      <c r="K6815" s="2" t="b">
        <v>0</v>
      </c>
      <c r="L6815" s="2"/>
      <c r="M6815" s="2"/>
      <c r="N6815" s="4" t="s">
        <v>2273</v>
      </c>
      <c r="O6815" s="4" t="str">
        <f>LEFT(Table2[[#This Row],[Description]],75)</f>
        <v>Credit Card Payment Received</v>
      </c>
      <c r="P6815" s="2" t="s">
        <v>2597</v>
      </c>
    </row>
    <row r="6816" spans="1:16" hidden="1">
      <c r="A6816" s="2">
        <v>202203</v>
      </c>
      <c r="B6816" s="3">
        <v>44634</v>
      </c>
      <c r="C6816" s="2" t="s">
        <v>2265</v>
      </c>
      <c r="D6816" s="2" t="s">
        <v>801</v>
      </c>
      <c r="E6816" s="2">
        <v>-0.1</v>
      </c>
      <c r="F6816" s="2" t="e">
        <f>IF(Table2[[#This Row],[Manual Cat Value]]="",VLOOKUP(Table2[[#This Row],[Description]],'Actuals Lookup'!D:F,3,0),Table2[[#This Row],[Manual Cat Value]])</f>
        <v>#N/A</v>
      </c>
      <c r="J6816" s="2">
        <v>0.1</v>
      </c>
      <c r="K6816" s="2" t="b">
        <v>0</v>
      </c>
      <c r="L6816" s="2"/>
      <c r="M6816" s="2"/>
      <c r="N6816" s="4" t="s">
        <v>2273</v>
      </c>
      <c r="O6816" s="4" t="str">
        <f>LEFT(Table2[[#This Row],[Description]],75)</f>
        <v>eBay IncZWX0ZELX TYPE PAYMENTS</v>
      </c>
      <c r="P6816" s="2" t="s">
        <v>2281</v>
      </c>
    </row>
    <row r="6817" spans="1:16" hidden="1">
      <c r="A6817" s="2">
        <v>202203</v>
      </c>
      <c r="B6817" s="3">
        <v>44634</v>
      </c>
      <c r="C6817" s="2" t="s">
        <v>2265</v>
      </c>
      <c r="D6817" s="2" t="s">
        <v>131</v>
      </c>
      <c r="E6817" s="2">
        <v>102.49</v>
      </c>
      <c r="F6817" s="2" t="str">
        <f>IF(Table2[[#This Row],[Manual Cat Value]]="",VLOOKUP(Table2[[#This Row],[Description]],'Actuals Lookup'!D:F,3,0),Table2[[#This Row],[Manual Cat Value]])</f>
        <v>Insurance</v>
      </c>
      <c r="J6817" s="2">
        <v>102.49</v>
      </c>
      <c r="K6817" s="2" t="b">
        <v>0</v>
      </c>
      <c r="L6817" s="2"/>
      <c r="M6817" s="2"/>
      <c r="N6817" s="4" t="s">
        <v>2259</v>
      </c>
      <c r="O6817" s="4" t="str">
        <f>LEFT(Table2[[#This Row],[Description]],75)</f>
        <v>American Family Insurance</v>
      </c>
      <c r="P6817" s="2" t="s">
        <v>2286</v>
      </c>
    </row>
    <row r="6818" spans="1:16" hidden="1">
      <c r="A6818" s="2">
        <v>202203</v>
      </c>
      <c r="B6818" s="3">
        <v>44634</v>
      </c>
      <c r="C6818" s="2" t="s">
        <v>2262</v>
      </c>
      <c r="D6818" s="2" t="s">
        <v>945</v>
      </c>
      <c r="E6818" s="2">
        <v>60.53</v>
      </c>
      <c r="F6818" s="2" t="str">
        <f>IF(Table2[[#This Row],[Manual Cat Value]]="",VLOOKUP(Table2[[#This Row],[Description]],'Actuals Lookup'!D:F,3,0),Table2[[#This Row],[Manual Cat Value]])</f>
        <v>Groceries</v>
      </c>
      <c r="J6818" s="2">
        <v>60.53</v>
      </c>
      <c r="K6818" s="2" t="b">
        <v>0</v>
      </c>
      <c r="L6818" s="2"/>
      <c r="M6818" s="2"/>
      <c r="N6818" s="4" t="s">
        <v>2259</v>
      </c>
      <c r="O6818" s="4" t="str">
        <f>LEFT(Table2[[#This Row],[Description]],75)</f>
        <v>Holiday Stationstores</v>
      </c>
      <c r="P6818" s="2" t="s">
        <v>2281</v>
      </c>
    </row>
    <row r="6819" spans="1:16" hidden="1">
      <c r="A6819" s="2">
        <v>202203</v>
      </c>
      <c r="B6819" s="3">
        <v>44634</v>
      </c>
      <c r="C6819" s="2" t="s">
        <v>2262</v>
      </c>
      <c r="D6819" s="2" t="s">
        <v>1093</v>
      </c>
      <c r="E6819" s="2">
        <v>100.22</v>
      </c>
      <c r="F6819" s="2" t="e">
        <f>IF(Table2[[#This Row],[Manual Cat Value]]="",VLOOKUP(Table2[[#This Row],[Description]],'Actuals Lookup'!D:F,3,0),Table2[[#This Row],[Manual Cat Value]])</f>
        <v>#N/A</v>
      </c>
      <c r="J6819" s="2">
        <v>100.22</v>
      </c>
      <c r="K6819" s="2" t="b">
        <v>0</v>
      </c>
      <c r="L6819" s="2"/>
      <c r="M6819" s="2"/>
      <c r="N6819" s="4" t="s">
        <v>2259</v>
      </c>
      <c r="O6819" s="4" t="str">
        <f>LEFT(Table2[[#This Row],[Description]],75)</f>
        <v>LAKE SUPERIOR TRADING GRAND MARA</v>
      </c>
      <c r="P6819" s="2" t="s">
        <v>2281</v>
      </c>
    </row>
    <row r="6820" spans="1:16" hidden="1">
      <c r="A6820" s="2">
        <v>202203</v>
      </c>
      <c r="B6820" s="3">
        <v>44634</v>
      </c>
      <c r="C6820" s="2" t="s">
        <v>2262</v>
      </c>
      <c r="D6820" s="2" t="s">
        <v>1790</v>
      </c>
      <c r="E6820" s="2">
        <v>16.5</v>
      </c>
      <c r="F6820" s="2" t="e">
        <f>IF(Table2[[#This Row],[Manual Cat Value]]="",VLOOKUP(Table2[[#This Row],[Description]],'Actuals Lookup'!D:F,3,0),Table2[[#This Row],[Manual Cat Value]])</f>
        <v>#N/A</v>
      </c>
      <c r="J6820" s="2">
        <v>16.5</v>
      </c>
      <c r="K6820" s="2" t="b">
        <v>0</v>
      </c>
      <c r="L6820" s="2"/>
      <c r="M6820" s="2"/>
      <c r="N6820" s="4" t="s">
        <v>2259</v>
      </c>
      <c r="O6820" s="4" t="str">
        <f>LEFT(Table2[[#This Row],[Description]],75)</f>
        <v>SUMMIT CHALET LUTSEN MN</v>
      </c>
      <c r="P6820" s="2" t="s">
        <v>2281</v>
      </c>
    </row>
    <row r="6821" spans="1:16" hidden="1">
      <c r="A6821" s="2">
        <v>202203</v>
      </c>
      <c r="B6821" s="3">
        <v>44634</v>
      </c>
      <c r="C6821" s="2" t="s">
        <v>2262</v>
      </c>
      <c r="D6821" s="2" t="s">
        <v>1790</v>
      </c>
      <c r="E6821" s="2">
        <v>22.81</v>
      </c>
      <c r="F6821" s="2" t="e">
        <f>IF(Table2[[#This Row],[Manual Cat Value]]="",VLOOKUP(Table2[[#This Row],[Description]],'Actuals Lookup'!D:F,3,0),Table2[[#This Row],[Manual Cat Value]])</f>
        <v>#N/A</v>
      </c>
      <c r="J6821" s="2">
        <v>22.81</v>
      </c>
      <c r="K6821" s="2" t="b">
        <v>0</v>
      </c>
      <c r="L6821" s="2"/>
      <c r="M6821" s="2"/>
      <c r="N6821" s="4" t="s">
        <v>2259</v>
      </c>
      <c r="O6821" s="4" t="str">
        <f>LEFT(Table2[[#This Row],[Description]],75)</f>
        <v>SUMMIT CHALET LUTSEN MN</v>
      </c>
      <c r="P6821" s="2" t="s">
        <v>2281</v>
      </c>
    </row>
    <row r="6822" spans="1:16" hidden="1">
      <c r="A6822" s="2">
        <v>202203</v>
      </c>
      <c r="B6822" s="3">
        <v>44634</v>
      </c>
      <c r="C6822" s="2" t="s">
        <v>2262</v>
      </c>
      <c r="D6822" s="2" t="s">
        <v>1790</v>
      </c>
      <c r="E6822" s="2">
        <v>36.14</v>
      </c>
      <c r="F6822" s="2" t="e">
        <f>IF(Table2[[#This Row],[Manual Cat Value]]="",VLOOKUP(Table2[[#This Row],[Description]],'Actuals Lookup'!D:F,3,0),Table2[[#This Row],[Manual Cat Value]])</f>
        <v>#N/A</v>
      </c>
      <c r="J6822" s="2">
        <v>36.14</v>
      </c>
      <c r="K6822" s="2" t="b">
        <v>0</v>
      </c>
      <c r="L6822" s="2"/>
      <c r="M6822" s="2"/>
      <c r="N6822" s="4" t="s">
        <v>2259</v>
      </c>
      <c r="O6822" s="4" t="str">
        <f>LEFT(Table2[[#This Row],[Description]],75)</f>
        <v>SUMMIT CHALET LUTSEN MN</v>
      </c>
      <c r="P6822" s="2" t="s">
        <v>2281</v>
      </c>
    </row>
    <row r="6823" spans="1:16" hidden="1">
      <c r="A6823" s="2">
        <v>202203</v>
      </c>
      <c r="B6823" s="3">
        <v>44634</v>
      </c>
      <c r="C6823" s="2" t="s">
        <v>2262</v>
      </c>
      <c r="D6823" s="2" t="s">
        <v>1790</v>
      </c>
      <c r="E6823" s="2">
        <v>38.08</v>
      </c>
      <c r="F6823" s="2" t="e">
        <f>IF(Table2[[#This Row],[Manual Cat Value]]="",VLOOKUP(Table2[[#This Row],[Description]],'Actuals Lookup'!D:F,3,0),Table2[[#This Row],[Manual Cat Value]])</f>
        <v>#N/A</v>
      </c>
      <c r="J6823" s="2">
        <v>38.08</v>
      </c>
      <c r="K6823" s="2" t="b">
        <v>0</v>
      </c>
      <c r="L6823" s="2"/>
      <c r="M6823" s="2"/>
      <c r="N6823" s="4" t="s">
        <v>2259</v>
      </c>
      <c r="O6823" s="4" t="str">
        <f>LEFT(Table2[[#This Row],[Description]],75)</f>
        <v>SUMMIT CHALET LUTSEN MN</v>
      </c>
      <c r="P6823" s="2" t="s">
        <v>2281</v>
      </c>
    </row>
    <row r="6824" spans="1:16" hidden="1">
      <c r="A6824" s="2">
        <v>202203</v>
      </c>
      <c r="B6824" s="3">
        <v>44634</v>
      </c>
      <c r="C6824" s="2" t="s">
        <v>2262</v>
      </c>
      <c r="D6824" s="2" t="s">
        <v>1909</v>
      </c>
      <c r="E6824" s="2">
        <v>2.67</v>
      </c>
      <c r="F6824" s="2" t="e">
        <f>IF(Table2[[#This Row],[Manual Cat Value]]="",VLOOKUP(Table2[[#This Row],[Description]],'Actuals Lookup'!D:F,3,0),Table2[[#This Row],[Manual Cat Value]])</f>
        <v>#N/A</v>
      </c>
      <c r="J6824" s="2">
        <v>2.67</v>
      </c>
      <c r="K6824" s="2" t="b">
        <v>0</v>
      </c>
      <c r="L6824" s="2"/>
      <c r="M6824" s="2"/>
      <c r="N6824" s="4" t="s">
        <v>2259</v>
      </c>
      <c r="O6824" s="4" t="str">
        <f>LEFT(Table2[[#This Row],[Description]],75)</f>
        <v>TOBIES CARIBOU XX7968 MN</v>
      </c>
      <c r="P6824" s="2" t="s">
        <v>2281</v>
      </c>
    </row>
    <row r="6825" spans="1:16" hidden="1">
      <c r="A6825" s="2">
        <v>202203</v>
      </c>
      <c r="B6825" s="3">
        <v>44634</v>
      </c>
      <c r="C6825" s="2" t="s">
        <v>2265</v>
      </c>
      <c r="D6825" s="2" t="s">
        <v>1958</v>
      </c>
      <c r="E6825" s="2">
        <v>60</v>
      </c>
      <c r="F6825" s="2" t="str">
        <f>IF(Table2[[#This Row],[Manual Cat Value]]="",VLOOKUP(Table2[[#This Row],[Description]],'Actuals Lookup'!D:F,3,0),Table2[[#This Row],[Manual Cat Value]])</f>
        <v>Shopping</v>
      </c>
      <c r="J6825" s="2">
        <v>60</v>
      </c>
      <c r="K6825" s="2" t="b">
        <v>0</v>
      </c>
      <c r="L6825" s="2"/>
      <c r="M6825" s="2"/>
      <c r="N6825" s="4" t="s">
        <v>2259</v>
      </c>
      <c r="O6825" s="4" t="str">
        <f>LEFT(Table2[[#This Row],[Description]],75)</f>
        <v>Transfer to Venmo</v>
      </c>
      <c r="P6825" s="2" t="s">
        <v>2281</v>
      </c>
    </row>
    <row r="6826" spans="1:16" hidden="1">
      <c r="A6826" s="2">
        <v>202203</v>
      </c>
      <c r="B6826" s="3">
        <v>44634</v>
      </c>
      <c r="C6826" s="2" t="s">
        <v>2265</v>
      </c>
      <c r="D6826" s="2" t="s">
        <v>2204</v>
      </c>
      <c r="E6826" s="2">
        <v>764.79</v>
      </c>
      <c r="F6826" s="2" t="e">
        <f>IF(Table2[[#This Row],[Manual Cat Value]]="",VLOOKUP(Table2[[#This Row],[Description]],'Actuals Lookup'!D:F,3,0),Table2[[#This Row],[Manual Cat Value]])</f>
        <v>#N/A</v>
      </c>
      <c r="J6826" s="2">
        <v>764.79</v>
      </c>
      <c r="K6826" s="2" t="b">
        <v>0</v>
      </c>
      <c r="L6826" s="2"/>
      <c r="M6826" s="2"/>
      <c r="N6826" s="4" t="s">
        <v>2259</v>
      </c>
      <c r="O6826" s="4" t="str">
        <f>LEFT(Table2[[#This Row],[Description]],75)</f>
        <v>Withdrawal Home Pmt to card XX91</v>
      </c>
      <c r="P6826" s="2" t="s">
        <v>2593</v>
      </c>
    </row>
    <row r="6827" spans="1:16" hidden="1">
      <c r="A6827" s="2">
        <v>202203</v>
      </c>
      <c r="B6827" s="3">
        <v>44635</v>
      </c>
      <c r="C6827" s="2" t="s">
        <v>2262</v>
      </c>
      <c r="D6827" s="2" t="s">
        <v>673</v>
      </c>
      <c r="E6827" s="2">
        <v>-300</v>
      </c>
      <c r="F6827" s="2" t="str">
        <f>IF(Table2[[#This Row],[Manual Cat Value]]="",VLOOKUP(Table2[[#This Row],[Description]],'Actuals Lookup'!D:F,3,0),Table2[[#This Row],[Manual Cat Value]])</f>
        <v>Delete</v>
      </c>
      <c r="J6827" s="2">
        <v>300</v>
      </c>
      <c r="K6827" s="2" t="b">
        <v>0</v>
      </c>
      <c r="L6827" s="2"/>
      <c r="M6827" s="2"/>
      <c r="N6827" s="4" t="s">
        <v>2273</v>
      </c>
      <c r="O6827" s="4" t="str">
        <f>LEFT(Table2[[#This Row],[Description]],75)</f>
        <v>Credit Card Payment Received</v>
      </c>
      <c r="P6827" s="2" t="s">
        <v>2597</v>
      </c>
    </row>
    <row r="6828" spans="1:16" hidden="1">
      <c r="A6828" s="2">
        <v>202203</v>
      </c>
      <c r="B6828" s="3">
        <v>44635</v>
      </c>
      <c r="C6828" s="2" t="s">
        <v>2447</v>
      </c>
      <c r="D6828" s="2" t="s">
        <v>997</v>
      </c>
      <c r="E6828" s="2">
        <v>-1248.17</v>
      </c>
      <c r="F6828" s="2" t="str">
        <f>IF(Table2[[#This Row],[Manual Cat Value]]="",VLOOKUP(Table2[[#This Row],[Description]],'Actuals Lookup'!D:F,3,0),Table2[[#This Row],[Manual Cat Value]])</f>
        <v>Delete</v>
      </c>
      <c r="J6828" s="2">
        <v>1248.17</v>
      </c>
      <c r="K6828" s="2" t="b">
        <v>0</v>
      </c>
      <c r="L6828" s="2"/>
      <c r="M6828" s="2"/>
      <c r="N6828" s="4" t="s">
        <v>2273</v>
      </c>
      <c r="O6828" s="4" t="str">
        <f>LEFT(Table2[[#This Row],[Description]],75)</f>
        <v>INTERNET PAYMENT - THANK YOU</v>
      </c>
      <c r="P6828" s="2" t="s">
        <v>2291</v>
      </c>
    </row>
    <row r="6829" spans="1:16" hidden="1">
      <c r="A6829" s="2">
        <v>202203</v>
      </c>
      <c r="B6829" s="3">
        <v>44635</v>
      </c>
      <c r="C6829" s="2" t="s">
        <v>2262</v>
      </c>
      <c r="D6829" s="2" t="s">
        <v>160</v>
      </c>
      <c r="E6829" s="2">
        <v>125.7</v>
      </c>
      <c r="F6829" s="2" t="e">
        <f>IF(Table2[[#This Row],[Manual Cat Value]]="",VLOOKUP(Table2[[#This Row],[Description]],'Actuals Lookup'!D:F,3,0),Table2[[#This Row],[Manual Cat Value]])</f>
        <v>#N/A</v>
      </c>
      <c r="J6829" s="2">
        <v>125.7</v>
      </c>
      <c r="K6829" s="2" t="b">
        <v>0</v>
      </c>
      <c r="L6829" s="2"/>
      <c r="M6829" s="2"/>
      <c r="N6829" s="4" t="s">
        <v>2259</v>
      </c>
      <c r="O6829" s="4" t="str">
        <f>LEFT(Table2[[#This Row],[Description]],75)</f>
        <v>ANGRY TROUT CAFE 2183871265 MN</v>
      </c>
      <c r="P6829" s="2" t="s">
        <v>2281</v>
      </c>
    </row>
    <row r="6830" spans="1:16" hidden="1">
      <c r="A6830" s="2">
        <v>202203</v>
      </c>
      <c r="B6830" s="3">
        <v>44635</v>
      </c>
      <c r="C6830" s="2" t="s">
        <v>2447</v>
      </c>
      <c r="D6830" s="2" t="s">
        <v>459</v>
      </c>
      <c r="E6830" s="2">
        <v>-19.760000000000002</v>
      </c>
      <c r="F6830" s="2" t="str">
        <f>IF(Table2[[#This Row],[Manual Cat Value]]="",VLOOKUP(Table2[[#This Row],[Description]],'Actuals Lookup'!D:F,3,0),Table2[[#This Row],[Manual Cat Value]])</f>
        <v>Dividend</v>
      </c>
      <c r="J6830" s="2">
        <v>19.760000000000002</v>
      </c>
      <c r="K6830" s="2" t="b">
        <v>0</v>
      </c>
      <c r="L6830" s="2"/>
      <c r="M6830" s="2"/>
      <c r="N6830" s="4" t="s">
        <v>2273</v>
      </c>
      <c r="O6830" s="4" t="str">
        <f>LEFT(Table2[[#This Row],[Description]],75)</f>
        <v>CASHBACK BONUS REDEMPTION PYMT/STMT CRDT</v>
      </c>
      <c r="P6830" s="2" t="s">
        <v>2598</v>
      </c>
    </row>
    <row r="6831" spans="1:16" hidden="1">
      <c r="A6831" s="2">
        <v>202203</v>
      </c>
      <c r="B6831" s="3">
        <v>44635</v>
      </c>
      <c r="C6831" s="2" t="s">
        <v>2262</v>
      </c>
      <c r="D6831" s="2" t="s">
        <v>680</v>
      </c>
      <c r="E6831" s="2">
        <v>28.35</v>
      </c>
      <c r="F6831" s="2" t="e">
        <f>IF(Table2[[#This Row],[Manual Cat Value]]="",VLOOKUP(Table2[[#This Row],[Description]],'Actuals Lookup'!D:F,3,0),Table2[[#This Row],[Manual Cat Value]])</f>
        <v>#N/A</v>
      </c>
      <c r="J6831" s="2">
        <v>28.35</v>
      </c>
      <c r="K6831" s="2" t="b">
        <v>0</v>
      </c>
      <c r="L6831" s="2"/>
      <c r="M6831" s="2"/>
      <c r="N6831" s="4" t="s">
        <v>2259</v>
      </c>
      <c r="O6831" s="4" t="str">
        <f>LEFT(Table2[[#This Row],[Description]],75)</f>
        <v>Crisp  Green</v>
      </c>
      <c r="P6831" s="2" t="s">
        <v>2281</v>
      </c>
    </row>
    <row r="6832" spans="1:16" hidden="1">
      <c r="A6832" s="2">
        <v>202203</v>
      </c>
      <c r="B6832" s="3">
        <v>44635</v>
      </c>
      <c r="C6832" s="2" t="s">
        <v>2262</v>
      </c>
      <c r="D6832" s="2" t="s">
        <v>1324</v>
      </c>
      <c r="E6832" s="2">
        <v>67.55</v>
      </c>
      <c r="F6832" s="2" t="e">
        <f>IF(Table2[[#This Row],[Manual Cat Value]]="",VLOOKUP(Table2[[#This Row],[Description]],'Actuals Lookup'!D:F,3,0),Table2[[#This Row],[Manual Cat Value]])</f>
        <v>#N/A</v>
      </c>
      <c r="J6832" s="2">
        <v>67.55</v>
      </c>
      <c r="K6832" s="2" t="b">
        <v>0</v>
      </c>
      <c r="L6832" s="2"/>
      <c r="M6832" s="2"/>
      <c r="N6832" s="4" t="s">
        <v>2259</v>
      </c>
      <c r="O6832" s="4" t="str">
        <f>LEFT(Table2[[#This Row],[Description]],75)</f>
        <v>MOGULS GRILLE AND TAP XX8060 MN</v>
      </c>
      <c r="P6832" s="2" t="s">
        <v>2281</v>
      </c>
    </row>
    <row r="6833" spans="1:16" hidden="1">
      <c r="A6833" s="2">
        <v>202203</v>
      </c>
      <c r="B6833" s="3">
        <v>44635</v>
      </c>
      <c r="C6833" s="2" t="s">
        <v>2262</v>
      </c>
      <c r="D6833" s="2" t="s">
        <v>1910</v>
      </c>
      <c r="E6833" s="2">
        <v>26.1</v>
      </c>
      <c r="F6833" s="2" t="e">
        <f>IF(Table2[[#This Row],[Manual Cat Value]]="",VLOOKUP(Table2[[#This Row],[Description]],'Actuals Lookup'!D:F,3,0),Table2[[#This Row],[Manual Cat Value]])</f>
        <v>#N/A</v>
      </c>
      <c r="J6833" s="2">
        <v>26.1</v>
      </c>
      <c r="K6833" s="2" t="b">
        <v>0</v>
      </c>
      <c r="L6833" s="2"/>
      <c r="M6833" s="2"/>
      <c r="N6833" s="4" t="s">
        <v>2259</v>
      </c>
      <c r="O6833" s="4" t="str">
        <f>LEFT(Table2[[#This Row],[Description]],75)</f>
        <v>TOBIES STATION INC HINCKLEY MN</v>
      </c>
      <c r="P6833" s="2" t="s">
        <v>2281</v>
      </c>
    </row>
    <row r="6834" spans="1:16" hidden="1">
      <c r="A6834" s="2">
        <v>202203</v>
      </c>
      <c r="B6834" s="3">
        <v>44635</v>
      </c>
      <c r="C6834" s="2" t="s">
        <v>2265</v>
      </c>
      <c r="D6834" s="2" t="s">
        <v>2204</v>
      </c>
      <c r="E6834" s="2">
        <v>300</v>
      </c>
      <c r="F6834" s="2" t="e">
        <f>IF(Table2[[#This Row],[Manual Cat Value]]="",VLOOKUP(Table2[[#This Row],[Description]],'Actuals Lookup'!D:F,3,0),Table2[[#This Row],[Manual Cat Value]])</f>
        <v>#N/A</v>
      </c>
      <c r="J6834" s="2">
        <v>300</v>
      </c>
      <c r="K6834" s="2" t="b">
        <v>0</v>
      </c>
      <c r="L6834" s="2"/>
      <c r="M6834" s="2"/>
      <c r="N6834" s="4" t="s">
        <v>2259</v>
      </c>
      <c r="O6834" s="4" t="str">
        <f>LEFT(Table2[[#This Row],[Description]],75)</f>
        <v>Withdrawal Home Pmt to card XX91</v>
      </c>
      <c r="P6834" s="2" t="s">
        <v>2593</v>
      </c>
    </row>
    <row r="6835" spans="1:16" hidden="1">
      <c r="A6835" s="2">
        <v>202203</v>
      </c>
      <c r="B6835" s="3">
        <v>44636</v>
      </c>
      <c r="C6835" s="2" t="s">
        <v>2265</v>
      </c>
      <c r="D6835" s="2" t="s">
        <v>1464</v>
      </c>
      <c r="E6835" s="2">
        <v>1248.17</v>
      </c>
      <c r="F6835" s="2" t="str">
        <f>IF(Table2[[#This Row],[Manual Cat Value]]="",VLOOKUP(Table2[[#This Row],[Description]],'Actuals Lookup'!D:F,3,0),Table2[[#This Row],[Manual Cat Value]])</f>
        <v>Delete</v>
      </c>
      <c r="J6835" s="2">
        <v>1248.17</v>
      </c>
      <c r="K6835" s="2" t="b">
        <v>0</v>
      </c>
      <c r="L6835" s="2"/>
      <c r="M6835" s="2"/>
      <c r="N6835" s="4" t="s">
        <v>2259</v>
      </c>
      <c r="O6835" s="4" t="str">
        <f>LEFT(Table2[[#This Row],[Description]],75)</f>
        <v>Payment to Discover Bank</v>
      </c>
      <c r="P6835" s="2" t="s">
        <v>2281</v>
      </c>
    </row>
    <row r="6836" spans="1:16" hidden="1">
      <c r="A6836" s="2">
        <v>202203</v>
      </c>
      <c r="B6836" s="3">
        <v>44636</v>
      </c>
      <c r="C6836" s="2" t="s">
        <v>2447</v>
      </c>
      <c r="D6836" s="2" t="s">
        <v>1033</v>
      </c>
      <c r="E6836" s="2">
        <v>53.11</v>
      </c>
      <c r="F6836" s="2" t="e">
        <f>IF(Table2[[#This Row],[Manual Cat Value]]="",VLOOKUP(Table2[[#This Row],[Description]],'Actuals Lookup'!D:F,3,0),Table2[[#This Row],[Manual Cat Value]])</f>
        <v>#N/A</v>
      </c>
      <c r="J6836" s="2">
        <v>53.11</v>
      </c>
      <c r="K6836" s="2" t="b">
        <v>0</v>
      </c>
      <c r="L6836" s="2"/>
      <c r="M6836" s="2"/>
      <c r="N6836" s="4" t="s">
        <v>2259</v>
      </c>
      <c r="O6836" s="4" t="str">
        <f>LEFT(Table2[[#This Row],[Description]],75)</f>
        <v>KAI'S SUSHI AND GRILL MINNETONKA MN</v>
      </c>
      <c r="P6836" s="2" t="s">
        <v>2281</v>
      </c>
    </row>
    <row r="6837" spans="1:16" hidden="1">
      <c r="A6837" s="2">
        <v>202203</v>
      </c>
      <c r="B6837" s="3">
        <v>44636</v>
      </c>
      <c r="C6837" s="2" t="s">
        <v>2265</v>
      </c>
      <c r="D6837" s="2" t="s">
        <v>1195</v>
      </c>
      <c r="E6837" s="2">
        <v>536.29999999999995</v>
      </c>
      <c r="F6837" s="2" t="e">
        <f>IF(Table2[[#This Row],[Manual Cat Value]]="",VLOOKUP(Table2[[#This Row],[Description]],'Actuals Lookup'!D:F,3,0),Table2[[#This Row],[Manual Cat Value]])</f>
        <v>#N/A</v>
      </c>
      <c r="J6837" s="2">
        <v>536.29999999999995</v>
      </c>
      <c r="K6837" s="2" t="b">
        <v>0</v>
      </c>
      <c r="L6837" s="2"/>
      <c r="M6837" s="2"/>
      <c r="N6837" s="4" t="s">
        <v>2259</v>
      </c>
      <c r="O6837" s="4" t="str">
        <f>LEFT(Table2[[#This Row],[Description]],75)</f>
        <v>MHCHILDCARELLC TYPE DUES ID CO M</v>
      </c>
      <c r="P6837" s="2" t="s">
        <v>2497</v>
      </c>
    </row>
    <row r="6838" spans="1:16" hidden="1">
      <c r="A6838" s="2">
        <v>202203</v>
      </c>
      <c r="B6838" s="3">
        <v>44636</v>
      </c>
      <c r="C6838" s="2" t="s">
        <v>2262</v>
      </c>
      <c r="D6838" s="2" t="s">
        <v>1909</v>
      </c>
      <c r="E6838" s="2">
        <v>5.14</v>
      </c>
      <c r="F6838" s="2" t="e">
        <f>IF(Table2[[#This Row],[Manual Cat Value]]="",VLOOKUP(Table2[[#This Row],[Description]],'Actuals Lookup'!D:F,3,0),Table2[[#This Row],[Manual Cat Value]])</f>
        <v>#N/A</v>
      </c>
      <c r="J6838" s="2">
        <v>5.14</v>
      </c>
      <c r="K6838" s="2" t="b">
        <v>0</v>
      </c>
      <c r="L6838" s="2"/>
      <c r="M6838" s="2"/>
      <c r="N6838" s="4" t="s">
        <v>2259</v>
      </c>
      <c r="O6838" s="4" t="str">
        <f>LEFT(Table2[[#This Row],[Description]],75)</f>
        <v>TOBIES CARIBOU XX7968 MN</v>
      </c>
      <c r="P6838" s="2" t="s">
        <v>2281</v>
      </c>
    </row>
    <row r="6839" spans="1:16" hidden="1">
      <c r="A6839" s="2">
        <v>202203</v>
      </c>
      <c r="B6839" s="3">
        <v>44636</v>
      </c>
      <c r="C6839" s="2" t="s">
        <v>2265</v>
      </c>
      <c r="D6839" s="2" t="s">
        <v>1955</v>
      </c>
      <c r="E6839" s="2">
        <v>711.09</v>
      </c>
      <c r="F6839" s="2" t="str">
        <f>IF(Table2[[#This Row],[Manual Cat Value]]="",VLOOKUP(Table2[[#This Row],[Description]],'Actuals Lookup'!D:F,3,0),Table2[[#This Row],[Manual Cat Value]])</f>
        <v>Shopping</v>
      </c>
      <c r="J6839" s="2">
        <v>711.09</v>
      </c>
      <c r="K6839" s="2" t="b">
        <v>0</v>
      </c>
      <c r="L6839" s="2"/>
      <c r="M6839" s="2"/>
      <c r="N6839" s="4" t="s">
        <v>2259</v>
      </c>
      <c r="O6839" s="4" t="str">
        <f>LEFT(Table2[[#This Row],[Description]],75)</f>
        <v>Transfer to PayPal</v>
      </c>
      <c r="P6839" s="2" t="s">
        <v>2322</v>
      </c>
    </row>
    <row r="6840" spans="1:16" hidden="1">
      <c r="A6840" s="2">
        <v>202203</v>
      </c>
      <c r="B6840" s="3">
        <v>44637</v>
      </c>
      <c r="C6840" s="2" t="s">
        <v>2265</v>
      </c>
      <c r="D6840" s="2" t="s">
        <v>1461</v>
      </c>
      <c r="E6840" s="2">
        <v>474.22</v>
      </c>
      <c r="F6840" s="2" t="str">
        <f>IF(Table2[[#This Row],[Manual Cat Value]]="",VLOOKUP(Table2[[#This Row],[Description]],'Actuals Lookup'!D:F,3,0),Table2[[#This Row],[Manual Cat Value]])</f>
        <v>Delete</v>
      </c>
      <c r="J6840" s="2">
        <v>474.22</v>
      </c>
      <c r="K6840" s="2" t="b">
        <v>0</v>
      </c>
      <c r="L6840" s="2"/>
      <c r="M6840" s="2"/>
      <c r="N6840" s="4" t="s">
        <v>2259</v>
      </c>
      <c r="O6840" s="4" t="str">
        <f>LEFT(Table2[[#This Row],[Description]],75)</f>
        <v>Payment to CenterPoint Energy</v>
      </c>
      <c r="P6840" s="2" t="s">
        <v>2281</v>
      </c>
    </row>
    <row r="6841" spans="1:16" hidden="1">
      <c r="A6841" s="2">
        <v>202203</v>
      </c>
      <c r="B6841" s="3">
        <v>44637</v>
      </c>
      <c r="C6841" s="2" t="s">
        <v>2262</v>
      </c>
      <c r="D6841" s="2" t="s">
        <v>150</v>
      </c>
      <c r="E6841" s="2">
        <v>246.28</v>
      </c>
      <c r="F6841" s="2" t="e">
        <f>IF(Table2[[#This Row],[Manual Cat Value]]="",VLOOKUP(Table2[[#This Row],[Description]],'Actuals Lookup'!D:F,3,0),Table2[[#This Row],[Manual Cat Value]])</f>
        <v>#N/A</v>
      </c>
      <c r="J6841" s="2">
        <v>246.28</v>
      </c>
      <c r="K6841" s="2" t="b">
        <v>0</v>
      </c>
      <c r="L6841" s="2"/>
      <c r="M6841" s="2"/>
      <c r="N6841" s="4" t="s">
        <v>2259</v>
      </c>
      <c r="O6841" s="4" t="str">
        <f>LEFT(Table2[[#This Row],[Description]],75)</f>
        <v>AMZN Mktp US1N7NV6TB1 Amzncombil</v>
      </c>
      <c r="P6841" s="2" t="s">
        <v>2281</v>
      </c>
    </row>
    <row r="6842" spans="1:16" hidden="1">
      <c r="A6842" s="2">
        <v>202203</v>
      </c>
      <c r="B6842" s="3">
        <v>44637</v>
      </c>
      <c r="C6842" s="2" t="s">
        <v>2262</v>
      </c>
      <c r="D6842" s="2" t="s">
        <v>153</v>
      </c>
      <c r="E6842" s="2">
        <v>487.94</v>
      </c>
      <c r="F6842" s="2" t="e">
        <f>IF(Table2[[#This Row],[Manual Cat Value]]="",VLOOKUP(Table2[[#This Row],[Description]],'Actuals Lookup'!D:F,3,0),Table2[[#This Row],[Manual Cat Value]])</f>
        <v>#N/A</v>
      </c>
      <c r="J6842" s="2">
        <v>487.94</v>
      </c>
      <c r="K6842" s="2" t="b">
        <v>0</v>
      </c>
      <c r="L6842" s="2"/>
      <c r="M6842" s="2"/>
      <c r="N6842" s="4" t="s">
        <v>2259</v>
      </c>
      <c r="O6842" s="4" t="str">
        <f>LEFT(Table2[[#This Row],[Description]],75)</f>
        <v>AMZN Mktp US1Z0AP7IQ0 Amzncombil</v>
      </c>
      <c r="P6842" s="2" t="s">
        <v>2281</v>
      </c>
    </row>
    <row r="6843" spans="1:16" hidden="1">
      <c r="A6843" s="2">
        <v>202203</v>
      </c>
      <c r="B6843" s="3">
        <v>44637</v>
      </c>
      <c r="C6843" s="2" t="s">
        <v>2265</v>
      </c>
      <c r="D6843" s="2" t="s">
        <v>404</v>
      </c>
      <c r="E6843" s="2">
        <v>-2493.8000000000002</v>
      </c>
      <c r="F6843" s="2" t="str">
        <f>IF(Table2[[#This Row],[Manual Cat Value]]="",VLOOKUP(Table2[[#This Row],[Description]],'Actuals Lookup'!D:F,3,0),Table2[[#This Row],[Manual Cat Value]])</f>
        <v>Britney</v>
      </c>
      <c r="J6843" s="2">
        <v>2493.8000000000002</v>
      </c>
      <c r="K6843" s="2" t="b">
        <v>0</v>
      </c>
      <c r="L6843" s="2"/>
      <c r="M6843" s="2"/>
      <c r="N6843" s="4" t="s">
        <v>2273</v>
      </c>
      <c r="O6843" s="4" t="str">
        <f>LEFT(Table2[[#This Row],[Description]],75)</f>
        <v>Cargill Inc Deposit</v>
      </c>
      <c r="P6843" s="2" t="s">
        <v>2281</v>
      </c>
    </row>
    <row r="6844" spans="1:16" hidden="1">
      <c r="A6844" s="2">
        <v>202203</v>
      </c>
      <c r="B6844" s="3">
        <v>44637</v>
      </c>
      <c r="C6844" s="2" t="s">
        <v>2265</v>
      </c>
      <c r="D6844" s="2" t="s">
        <v>1958</v>
      </c>
      <c r="E6844" s="2">
        <v>15</v>
      </c>
      <c r="F6844" s="2" t="str">
        <f>IF(Table2[[#This Row],[Manual Cat Value]]="",VLOOKUP(Table2[[#This Row],[Description]],'Actuals Lookup'!D:F,3,0),Table2[[#This Row],[Manual Cat Value]])</f>
        <v>Shopping</v>
      </c>
      <c r="J6844" s="2">
        <v>15</v>
      </c>
      <c r="K6844" s="2" t="b">
        <v>0</v>
      </c>
      <c r="L6844" s="2"/>
      <c r="M6844" s="2"/>
      <c r="N6844" s="4" t="s">
        <v>2259</v>
      </c>
      <c r="O6844" s="4" t="str">
        <f>LEFT(Table2[[#This Row],[Description]],75)</f>
        <v>Transfer to Venmo</v>
      </c>
      <c r="P6844" s="2" t="s">
        <v>2281</v>
      </c>
    </row>
    <row r="6845" spans="1:16" hidden="1">
      <c r="A6845" s="2">
        <v>202203</v>
      </c>
      <c r="B6845" s="3">
        <v>44637</v>
      </c>
      <c r="C6845" s="2" t="s">
        <v>2265</v>
      </c>
      <c r="D6845" s="2" t="s">
        <v>1958</v>
      </c>
      <c r="E6845" s="2">
        <v>20</v>
      </c>
      <c r="F6845" s="2" t="str">
        <f>IF(Table2[[#This Row],[Manual Cat Value]]="",VLOOKUP(Table2[[#This Row],[Description]],'Actuals Lookup'!D:F,3,0),Table2[[#This Row],[Manual Cat Value]])</f>
        <v>Shopping</v>
      </c>
      <c r="J6845" s="2">
        <v>20</v>
      </c>
      <c r="K6845" s="2" t="b">
        <v>0</v>
      </c>
      <c r="L6845" s="2"/>
      <c r="M6845" s="2"/>
      <c r="N6845" s="4" t="s">
        <v>2259</v>
      </c>
      <c r="O6845" s="4" t="str">
        <f>LEFT(Table2[[#This Row],[Description]],75)</f>
        <v>Transfer to Venmo</v>
      </c>
      <c r="P6845" s="2" t="s">
        <v>2281</v>
      </c>
    </row>
    <row r="6846" spans="1:16" hidden="1">
      <c r="A6846" s="2">
        <v>202203</v>
      </c>
      <c r="B6846" s="3">
        <v>44638</v>
      </c>
      <c r="C6846" s="2" t="s">
        <v>2265</v>
      </c>
      <c r="D6846" s="2" t="s">
        <v>800</v>
      </c>
      <c r="E6846" s="2">
        <v>0.1</v>
      </c>
      <c r="F6846" s="2" t="e">
        <f>IF(Table2[[#This Row],[Manual Cat Value]]="",VLOOKUP(Table2[[#This Row],[Description]],'Actuals Lookup'!D:F,3,0),Table2[[#This Row],[Manual Cat Value]])</f>
        <v>#N/A</v>
      </c>
      <c r="J6846" s="2">
        <v>0.1</v>
      </c>
      <c r="K6846" s="2" t="b">
        <v>0</v>
      </c>
      <c r="L6846" s="2"/>
      <c r="M6846" s="2"/>
      <c r="N6846" s="4" t="s">
        <v>2259</v>
      </c>
      <c r="O6846" s="4" t="str">
        <f>LEFT(Table2[[#This Row],[Description]],75)</f>
        <v>eBay IncHGHXGMRL TYPE PAYMENTS I</v>
      </c>
      <c r="P6846" s="2" t="s">
        <v>2281</v>
      </c>
    </row>
    <row r="6847" spans="1:16" hidden="1">
      <c r="A6847" s="2">
        <v>202203</v>
      </c>
      <c r="B6847" s="3">
        <v>44638</v>
      </c>
      <c r="C6847" s="2" t="s">
        <v>2265</v>
      </c>
      <c r="D6847" s="2" t="s">
        <v>1286</v>
      </c>
      <c r="E6847" s="2">
        <v>200</v>
      </c>
      <c r="F6847" s="2" t="e">
        <f>IF(Table2[[#This Row],[Manual Cat Value]]="",VLOOKUP(Table2[[#This Row],[Description]],'Actuals Lookup'!D:F,3,0),Table2[[#This Row],[Manual Cat Value]])</f>
        <v>#N/A</v>
      </c>
      <c r="J6847" s="2">
        <v>200</v>
      </c>
      <c r="K6847" s="2" t="b">
        <v>0</v>
      </c>
      <c r="L6847" s="2"/>
      <c r="M6847" s="2"/>
      <c r="N6847" s="4" t="s">
        <v>2259</v>
      </c>
      <c r="O6847" s="4" t="str">
        <f>LEFT(Table2[[#This Row],[Description]],75)</f>
        <v>MN DIR ACH TYPE CONTRIB ID CO MN</v>
      </c>
      <c r="P6847" s="2" t="s">
        <v>2591</v>
      </c>
    </row>
    <row r="6848" spans="1:16" hidden="1">
      <c r="A6848" s="2">
        <v>202203</v>
      </c>
      <c r="B6848" s="3">
        <v>44638</v>
      </c>
      <c r="C6848" s="2" t="s">
        <v>2265</v>
      </c>
      <c r="D6848" s="2" t="s">
        <v>1958</v>
      </c>
      <c r="E6848" s="2">
        <v>90</v>
      </c>
      <c r="F6848" s="2" t="str">
        <f>IF(Table2[[#This Row],[Manual Cat Value]]="",VLOOKUP(Table2[[#This Row],[Description]],'Actuals Lookup'!D:F,3,0),Table2[[#This Row],[Manual Cat Value]])</f>
        <v>Shopping</v>
      </c>
      <c r="J6848" s="2">
        <v>90</v>
      </c>
      <c r="K6848" s="2" t="b">
        <v>0</v>
      </c>
      <c r="L6848" s="2"/>
      <c r="M6848" s="2"/>
      <c r="N6848" s="4" t="s">
        <v>2259</v>
      </c>
      <c r="O6848" s="4" t="str">
        <f>LEFT(Table2[[#This Row],[Description]],75)</f>
        <v>Transfer to Venmo</v>
      </c>
      <c r="P6848" s="2" t="s">
        <v>2281</v>
      </c>
    </row>
    <row r="6849" spans="1:16" hidden="1">
      <c r="A6849" s="2">
        <v>202203</v>
      </c>
      <c r="B6849" s="3">
        <v>44640</v>
      </c>
      <c r="C6849" s="2" t="s">
        <v>2262</v>
      </c>
      <c r="D6849" s="2" t="s">
        <v>113</v>
      </c>
      <c r="E6849" s="2">
        <v>-487.94</v>
      </c>
      <c r="F6849" s="2" t="str">
        <f>IF(Table2[[#This Row],[Manual Cat Value]]="",VLOOKUP(Table2[[#This Row],[Description]],'Actuals Lookup'!D:F,3,0),Table2[[#This Row],[Manual Cat Value]])</f>
        <v>Amazon</v>
      </c>
      <c r="J6849" s="2">
        <v>487.94</v>
      </c>
      <c r="K6849" s="2" t="b">
        <v>0</v>
      </c>
      <c r="L6849" s="2"/>
      <c r="M6849" s="2"/>
      <c r="N6849" s="4" t="s">
        <v>2273</v>
      </c>
      <c r="O6849" s="4" t="str">
        <f>LEFT(Table2[[#This Row],[Description]],75)</f>
        <v>Amazon Marketplace</v>
      </c>
      <c r="P6849" s="2" t="s">
        <v>2281</v>
      </c>
    </row>
    <row r="6850" spans="1:16" hidden="1">
      <c r="A6850" s="2">
        <v>202203</v>
      </c>
      <c r="B6850" s="3">
        <v>44640</v>
      </c>
      <c r="C6850" s="2" t="s">
        <v>2262</v>
      </c>
      <c r="D6850" s="2" t="s">
        <v>1380</v>
      </c>
      <c r="E6850" s="2">
        <v>31.86</v>
      </c>
      <c r="F6850" s="2" t="str">
        <f>IF(Table2[[#This Row],[Manual Cat Value]]="",VLOOKUP(Table2[[#This Row],[Description]],'Actuals Lookup'!D:F,3,0),Table2[[#This Row],[Manual Cat Value]])</f>
        <v>Restaurants</v>
      </c>
      <c r="J6850" s="2">
        <v>31.86</v>
      </c>
      <c r="K6850" s="2" t="b">
        <v>0</v>
      </c>
      <c r="L6850" s="2"/>
      <c r="M6850" s="2"/>
      <c r="N6850" s="4" t="s">
        <v>2259</v>
      </c>
      <c r="O6850" s="4" t="str">
        <f>LEFT(Table2[[#This Row],[Description]],75)</f>
        <v>Olives</v>
      </c>
      <c r="P6850" s="2" t="s">
        <v>2281</v>
      </c>
    </row>
    <row r="6851" spans="1:16" hidden="1">
      <c r="A6851" s="2">
        <v>202203</v>
      </c>
      <c r="B6851" s="3">
        <v>44641</v>
      </c>
      <c r="C6851" s="2" t="s">
        <v>2262</v>
      </c>
      <c r="D6851" s="2" t="s">
        <v>309</v>
      </c>
      <c r="E6851" s="2">
        <v>9</v>
      </c>
      <c r="F6851" s="2" t="e">
        <f>IF(Table2[[#This Row],[Manual Cat Value]]="",VLOOKUP(Table2[[#This Row],[Description]],'Actuals Lookup'!D:F,3,0),Table2[[#This Row],[Manual Cat Value]])</f>
        <v>#N/A</v>
      </c>
      <c r="J6851" s="2">
        <v>9</v>
      </c>
      <c r="K6851" s="2" t="b">
        <v>0</v>
      </c>
      <c r="L6851" s="2"/>
      <c r="M6851" s="2"/>
      <c r="N6851" s="4" t="s">
        <v>2259</v>
      </c>
      <c r="O6851" s="4" t="str">
        <f>LEFT(Table2[[#This Row],[Description]],75)</f>
        <v>BONFES PLUMBING HEATING ASOUTH S</v>
      </c>
      <c r="P6851" s="2" t="s">
        <v>2537</v>
      </c>
    </row>
    <row r="6852" spans="1:16" hidden="1">
      <c r="A6852" s="2">
        <v>202203</v>
      </c>
      <c r="B6852" s="3">
        <v>44641</v>
      </c>
      <c r="C6852" s="2" t="s">
        <v>2265</v>
      </c>
      <c r="D6852" s="2" t="s">
        <v>556</v>
      </c>
      <c r="E6852" s="2">
        <v>55.5</v>
      </c>
      <c r="F6852" s="2" t="e">
        <f>IF(Table2[[#This Row],[Manual Cat Value]]="",VLOOKUP(Table2[[#This Row],[Description]],'Actuals Lookup'!D:F,3,0),Table2[[#This Row],[Manual Cat Value]])</f>
        <v>#N/A</v>
      </c>
      <c r="J6852" s="2">
        <v>55.5</v>
      </c>
      <c r="K6852" s="2" t="b">
        <v>0</v>
      </c>
      <c r="L6852" s="2"/>
      <c r="M6852" s="2"/>
      <c r="N6852" s="4" t="s">
        <v>2259</v>
      </c>
      <c r="O6852" s="4" t="str">
        <f>LEFT(Table2[[#This Row],[Description]],75)</f>
        <v>CITY OF CHANHASS TYPE UTIL BILL</v>
      </c>
      <c r="P6852" s="2" t="s">
        <v>2281</v>
      </c>
    </row>
    <row r="6853" spans="1:16" hidden="1">
      <c r="A6853" s="2">
        <v>202203</v>
      </c>
      <c r="B6853" s="3">
        <v>44641</v>
      </c>
      <c r="C6853" s="2" t="s">
        <v>2262</v>
      </c>
      <c r="D6853" s="2" t="s">
        <v>684</v>
      </c>
      <c r="E6853" s="2">
        <v>220.65</v>
      </c>
      <c r="F6853" s="2" t="str">
        <f>IF(Table2[[#This Row],[Manual Cat Value]]="",VLOOKUP(Table2[[#This Row],[Description]],'Actuals Lookup'!D:F,3,0),Table2[[#This Row],[Manual Cat Value]])</f>
        <v>Groceries</v>
      </c>
      <c r="J6853" s="2">
        <v>220.65</v>
      </c>
      <c r="K6853" s="2" t="b">
        <v>0</v>
      </c>
      <c r="L6853" s="2"/>
      <c r="M6853" s="2"/>
      <c r="N6853" s="4" t="s">
        <v>2259</v>
      </c>
      <c r="O6853" s="4" t="str">
        <f>LEFT(Table2[[#This Row],[Description]],75)</f>
        <v>Cub Foods</v>
      </c>
      <c r="P6853" s="2" t="s">
        <v>2370</v>
      </c>
    </row>
    <row r="6854" spans="1:16" hidden="1">
      <c r="A6854" s="2">
        <v>202203</v>
      </c>
      <c r="B6854" s="3">
        <v>44641</v>
      </c>
      <c r="C6854" s="2" t="s">
        <v>2262</v>
      </c>
      <c r="D6854" s="2" t="s">
        <v>1186</v>
      </c>
      <c r="E6854" s="2">
        <v>85.6</v>
      </c>
      <c r="F6854" s="2" t="e">
        <f>IF(Table2[[#This Row],[Manual Cat Value]]="",VLOOKUP(Table2[[#This Row],[Description]],'Actuals Lookup'!D:F,3,0),Table2[[#This Row],[Manual Cat Value]])</f>
        <v>#N/A</v>
      </c>
      <c r="J6854" s="2">
        <v>85.6</v>
      </c>
      <c r="K6854" s="2" t="b">
        <v>0</v>
      </c>
      <c r="L6854" s="2"/>
      <c r="M6854" s="2"/>
      <c r="N6854" s="4" t="s">
        <v>2259</v>
      </c>
      <c r="O6854" s="4" t="str">
        <f>LEFT(Table2[[#This Row],[Description]],75)</f>
        <v>Maynards Restaurant</v>
      </c>
      <c r="P6854" s="2" t="s">
        <v>2504</v>
      </c>
    </row>
    <row r="6855" spans="1:16" hidden="1">
      <c r="A6855" s="2">
        <v>202203</v>
      </c>
      <c r="B6855" s="3">
        <v>44641</v>
      </c>
      <c r="C6855" s="2" t="s">
        <v>2262</v>
      </c>
      <c r="D6855" s="2" t="s">
        <v>1356</v>
      </c>
      <c r="E6855" s="2">
        <v>55.35</v>
      </c>
      <c r="F6855" s="2" t="str">
        <f>IF(Table2[[#This Row],[Manual Cat Value]]="",VLOOKUP(Table2[[#This Row],[Description]],'Actuals Lookup'!D:F,3,0),Table2[[#This Row],[Manual Cat Value]])</f>
        <v>Restaurants</v>
      </c>
      <c r="J6855" s="2">
        <v>55.35</v>
      </c>
      <c r="K6855" s="2" t="b">
        <v>0</v>
      </c>
      <c r="L6855" s="2"/>
      <c r="M6855" s="2"/>
      <c r="N6855" s="4" t="s">
        <v>2259</v>
      </c>
      <c r="O6855" s="4" t="str">
        <f>LEFT(Table2[[#This Row],[Description]],75)</f>
        <v>North Coop</v>
      </c>
      <c r="P6855" s="2" t="s">
        <v>2281</v>
      </c>
    </row>
    <row r="6856" spans="1:16" hidden="1">
      <c r="A6856" s="2">
        <v>202203</v>
      </c>
      <c r="B6856" s="3">
        <v>44641</v>
      </c>
      <c r="C6856" s="2" t="s">
        <v>2265</v>
      </c>
      <c r="D6856" s="2" t="s">
        <v>1955</v>
      </c>
      <c r="E6856" s="2">
        <v>9.7100000000000009</v>
      </c>
      <c r="F6856" s="2" t="str">
        <f>IF(Table2[[#This Row],[Manual Cat Value]]="",VLOOKUP(Table2[[#This Row],[Description]],'Actuals Lookup'!D:F,3,0),Table2[[#This Row],[Manual Cat Value]])</f>
        <v>Shopping</v>
      </c>
      <c r="J6856" s="2">
        <v>9.7100000000000009</v>
      </c>
      <c r="K6856" s="2" t="b">
        <v>0</v>
      </c>
      <c r="L6856" s="2"/>
      <c r="M6856" s="2"/>
      <c r="N6856" s="4" t="s">
        <v>2259</v>
      </c>
      <c r="O6856" s="4" t="str">
        <f>LEFT(Table2[[#This Row],[Description]],75)</f>
        <v>Transfer to PayPal</v>
      </c>
      <c r="P6856" s="2" t="s">
        <v>2322</v>
      </c>
    </row>
    <row r="6857" spans="1:16" hidden="1">
      <c r="A6857" s="2">
        <v>202203</v>
      </c>
      <c r="B6857" s="3">
        <v>44641</v>
      </c>
      <c r="C6857" s="2" t="s">
        <v>2265</v>
      </c>
      <c r="D6857" s="2" t="s">
        <v>1958</v>
      </c>
      <c r="E6857" s="2">
        <v>15</v>
      </c>
      <c r="F6857" s="2" t="str">
        <f>IF(Table2[[#This Row],[Manual Cat Value]]="",VLOOKUP(Table2[[#This Row],[Description]],'Actuals Lookup'!D:F,3,0),Table2[[#This Row],[Manual Cat Value]])</f>
        <v>Shopping</v>
      </c>
      <c r="J6857" s="2">
        <v>15</v>
      </c>
      <c r="K6857" s="2" t="b">
        <v>0</v>
      </c>
      <c r="L6857" s="2"/>
      <c r="M6857" s="2"/>
      <c r="N6857" s="4" t="s">
        <v>2259</v>
      </c>
      <c r="O6857" s="4" t="str">
        <f>LEFT(Table2[[#This Row],[Description]],75)</f>
        <v>Transfer to Venmo</v>
      </c>
      <c r="P6857" s="2" t="s">
        <v>2281</v>
      </c>
    </row>
    <row r="6858" spans="1:16" hidden="1">
      <c r="A6858" s="2">
        <v>202203</v>
      </c>
      <c r="B6858" s="3">
        <v>44641</v>
      </c>
      <c r="C6858" s="2" t="s">
        <v>2265</v>
      </c>
      <c r="D6858" s="2" t="s">
        <v>1958</v>
      </c>
      <c r="E6858" s="2">
        <v>20</v>
      </c>
      <c r="F6858" s="2" t="str">
        <f>IF(Table2[[#This Row],[Manual Cat Value]]="",VLOOKUP(Table2[[#This Row],[Description]],'Actuals Lookup'!D:F,3,0),Table2[[#This Row],[Manual Cat Value]])</f>
        <v>Shopping</v>
      </c>
      <c r="J6858" s="2">
        <v>20</v>
      </c>
      <c r="K6858" s="2" t="b">
        <v>0</v>
      </c>
      <c r="L6858" s="2"/>
      <c r="M6858" s="2"/>
      <c r="N6858" s="4" t="s">
        <v>2259</v>
      </c>
      <c r="O6858" s="4" t="str">
        <f>LEFT(Table2[[#This Row],[Description]],75)</f>
        <v>Transfer to Venmo</v>
      </c>
      <c r="P6858" s="2" t="s">
        <v>2281</v>
      </c>
    </row>
    <row r="6859" spans="1:16" hidden="1">
      <c r="A6859" s="2">
        <v>202203</v>
      </c>
      <c r="B6859" s="3">
        <v>44641</v>
      </c>
      <c r="C6859" s="2" t="s">
        <v>2262</v>
      </c>
      <c r="D6859" s="2" t="s">
        <v>2002</v>
      </c>
      <c r="E6859" s="2">
        <v>109.95</v>
      </c>
      <c r="F6859" s="2" t="e">
        <f>IF(Table2[[#This Row],[Manual Cat Value]]="",VLOOKUP(Table2[[#This Row],[Description]],'Actuals Lookup'!D:F,3,0),Table2[[#This Row],[Manual Cat Value]])</f>
        <v>#N/A</v>
      </c>
      <c r="J6859" s="2">
        <v>109.95</v>
      </c>
      <c r="K6859" s="2" t="b">
        <v>0</v>
      </c>
      <c r="L6859" s="2"/>
      <c r="M6859" s="2"/>
      <c r="N6859" s="4" t="s">
        <v>2259</v>
      </c>
      <c r="O6859" s="4" t="str">
        <f>LEFT(Table2[[#This Row],[Description]],75)</f>
        <v>True Value</v>
      </c>
      <c r="P6859" s="2" t="s">
        <v>2490</v>
      </c>
    </row>
    <row r="6860" spans="1:16" hidden="1">
      <c r="A6860" s="2">
        <v>202203</v>
      </c>
      <c r="B6860" s="3">
        <v>44642</v>
      </c>
      <c r="C6860" s="2" t="s">
        <v>2262</v>
      </c>
      <c r="D6860" s="2" t="s">
        <v>1083</v>
      </c>
      <c r="E6860" s="2">
        <v>47.19</v>
      </c>
      <c r="F6860" s="2" t="str">
        <f>IF(Table2[[#This Row],[Manual Cat Value]]="",VLOOKUP(Table2[[#This Row],[Description]],'Actuals Lookup'!D:F,3,0),Table2[[#This Row],[Manual Cat Value]])</f>
        <v>Transportation</v>
      </c>
      <c r="J6860" s="2">
        <v>47.19</v>
      </c>
      <c r="K6860" s="2" t="b">
        <v>0</v>
      </c>
      <c r="L6860" s="2"/>
      <c r="M6860" s="2"/>
      <c r="N6860" s="4" t="s">
        <v>2259</v>
      </c>
      <c r="O6860" s="4" t="str">
        <f>LEFT(Table2[[#This Row],[Description]],75)</f>
        <v>Kwik Trip</v>
      </c>
      <c r="P6860" s="2" t="s">
        <v>2509</v>
      </c>
    </row>
    <row r="6861" spans="1:16" hidden="1">
      <c r="A6861" s="2">
        <v>202203</v>
      </c>
      <c r="B6861" s="3">
        <v>44642</v>
      </c>
      <c r="C6861" s="2" t="s">
        <v>2265</v>
      </c>
      <c r="D6861" s="2" t="s">
        <v>1195</v>
      </c>
      <c r="E6861" s="2">
        <v>536.29999999999995</v>
      </c>
      <c r="F6861" s="2" t="e">
        <f>IF(Table2[[#This Row],[Manual Cat Value]]="",VLOOKUP(Table2[[#This Row],[Description]],'Actuals Lookup'!D:F,3,0),Table2[[#This Row],[Manual Cat Value]])</f>
        <v>#N/A</v>
      </c>
      <c r="J6861" s="2">
        <v>536.29999999999995</v>
      </c>
      <c r="K6861" s="2" t="b">
        <v>0</v>
      </c>
      <c r="L6861" s="2"/>
      <c r="M6861" s="2"/>
      <c r="N6861" s="4" t="s">
        <v>2259</v>
      </c>
      <c r="O6861" s="4" t="str">
        <f>LEFT(Table2[[#This Row],[Description]],75)</f>
        <v>MHCHILDCARELLC TYPE DUES ID CO M</v>
      </c>
      <c r="P6861" s="2" t="s">
        <v>2497</v>
      </c>
    </row>
    <row r="6862" spans="1:16" hidden="1">
      <c r="A6862" s="2">
        <v>202203</v>
      </c>
      <c r="B6862" s="3">
        <v>44642</v>
      </c>
      <c r="C6862" s="2" t="s">
        <v>2262</v>
      </c>
      <c r="D6862" s="2" t="s">
        <v>1538</v>
      </c>
      <c r="E6862" s="2">
        <v>83.32</v>
      </c>
      <c r="F6862" s="2" t="e">
        <f>IF(Table2[[#This Row],[Manual Cat Value]]="",VLOOKUP(Table2[[#This Row],[Description]],'Actuals Lookup'!D:F,3,0),Table2[[#This Row],[Manual Cat Value]])</f>
        <v>#N/A</v>
      </c>
      <c r="J6862" s="2">
        <v>83.32</v>
      </c>
      <c r="K6862" s="2" t="b">
        <v>0</v>
      </c>
      <c r="L6862" s="2"/>
      <c r="M6862" s="2"/>
      <c r="N6862" s="4" t="s">
        <v>2259</v>
      </c>
      <c r="O6862" s="4" t="str">
        <f>LEFT(Table2[[#This Row],[Description]],75)</f>
        <v>Race Roster Canada RACE ROSTER HTTPSRACEROSTMA</v>
      </c>
      <c r="P6862" s="2" t="s">
        <v>2281</v>
      </c>
    </row>
    <row r="6863" spans="1:16" hidden="1">
      <c r="A6863" s="2">
        <v>202203</v>
      </c>
      <c r="B6863" s="3">
        <v>44643</v>
      </c>
      <c r="C6863" s="2" t="s">
        <v>2447</v>
      </c>
      <c r="D6863" s="2" t="s">
        <v>330</v>
      </c>
      <c r="E6863" s="2">
        <v>38.11</v>
      </c>
      <c r="F6863" s="2" t="e">
        <f>IF(Table2[[#This Row],[Manual Cat Value]]="",VLOOKUP(Table2[[#This Row],[Description]],'Actuals Lookup'!D:F,3,0),Table2[[#This Row],[Manual Cat Value]])</f>
        <v>#N/A</v>
      </c>
      <c r="J6863" s="2">
        <v>38.11</v>
      </c>
      <c r="K6863" s="2" t="b">
        <v>0</v>
      </c>
      <c r="L6863" s="2"/>
      <c r="M6863" s="2"/>
      <c r="N6863" s="4" t="s">
        <v>2259</v>
      </c>
      <c r="O6863" s="4" t="str">
        <f>LEFT(Table2[[#This Row],[Description]],75)</f>
        <v>BUFFALO WILD WINGS 0088 CHANHASSEN MN</v>
      </c>
      <c r="P6863" s="2" t="s">
        <v>2281</v>
      </c>
    </row>
    <row r="6864" spans="1:16" hidden="1">
      <c r="A6864" s="2">
        <v>202203</v>
      </c>
      <c r="B6864" s="3">
        <v>44643</v>
      </c>
      <c r="C6864" s="2" t="s">
        <v>2300</v>
      </c>
      <c r="D6864" s="2" t="s">
        <v>859</v>
      </c>
      <c r="E6864" s="2">
        <v>-100</v>
      </c>
      <c r="F6864" s="2" t="e">
        <f>IF(Table2[[#This Row],[Manual Cat Value]]="",VLOOKUP(Table2[[#This Row],[Description]],'Actuals Lookup'!D:F,3,0),Table2[[#This Row],[Manual Cat Value]])</f>
        <v>#N/A</v>
      </c>
      <c r="J6864" s="2">
        <v>100</v>
      </c>
      <c r="K6864" s="2" t="b">
        <v>0</v>
      </c>
      <c r="L6864" s="2"/>
      <c r="M6864" s="2"/>
      <c r="N6864" s="4" t="s">
        <v>2273</v>
      </c>
      <c r="O6864" s="4" t="str">
        <f>LEFT(Table2[[#This Row],[Description]],75)</f>
        <v>From Share 70</v>
      </c>
      <c r="P6864" s="2" t="s">
        <v>2496</v>
      </c>
    </row>
    <row r="6865" spans="1:16" hidden="1">
      <c r="A6865" s="2">
        <v>202203</v>
      </c>
      <c r="B6865" s="3">
        <v>44643</v>
      </c>
      <c r="C6865" s="2" t="s">
        <v>2265</v>
      </c>
      <c r="D6865" s="2" t="s">
        <v>1892</v>
      </c>
      <c r="E6865" s="2">
        <v>100</v>
      </c>
      <c r="F6865" s="2" t="e">
        <f>IF(Table2[[#This Row],[Manual Cat Value]]="",VLOOKUP(Table2[[#This Row],[Description]],'Actuals Lookup'!D:F,3,0),Table2[[#This Row],[Manual Cat Value]])</f>
        <v>#N/A</v>
      </c>
      <c r="J6865" s="2">
        <v>100</v>
      </c>
      <c r="K6865" s="2" t="b">
        <v>0</v>
      </c>
      <c r="L6865" s="2"/>
      <c r="M6865" s="2"/>
      <c r="N6865" s="4" t="s">
        <v>2259</v>
      </c>
      <c r="O6865" s="4" t="str">
        <f>LEFT(Table2[[#This Row],[Description]],75)</f>
        <v>To Share 12</v>
      </c>
      <c r="P6865" s="2" t="s">
        <v>2494</v>
      </c>
    </row>
    <row r="6866" spans="1:16" hidden="1">
      <c r="A6866" s="2">
        <v>202203</v>
      </c>
      <c r="B6866" s="3">
        <v>44644</v>
      </c>
      <c r="C6866" s="2" t="s">
        <v>2265</v>
      </c>
      <c r="D6866" s="2" t="s">
        <v>426</v>
      </c>
      <c r="E6866" s="2">
        <v>-150</v>
      </c>
      <c r="F6866" s="2" t="e">
        <f>IF(Table2[[#This Row],[Manual Cat Value]]="",VLOOKUP(Table2[[#This Row],[Description]],'Actuals Lookup'!D:F,3,0),Table2[[#This Row],[Manual Cat Value]])</f>
        <v>#N/A</v>
      </c>
      <c r="J6866" s="2">
        <v>150</v>
      </c>
      <c r="K6866" s="2" t="b">
        <v>0</v>
      </c>
      <c r="L6866" s="2"/>
      <c r="M6866" s="2"/>
      <c r="N6866" s="4" t="s">
        <v>2273</v>
      </c>
      <c r="O6866" s="4" t="str">
        <f>LEFT(Table2[[#This Row],[Description]],75)</f>
        <v>CARGILL INCORPOR TYPE   ID  CO C</v>
      </c>
      <c r="P6866" s="2" t="s">
        <v>2281</v>
      </c>
    </row>
    <row r="6867" spans="1:16" hidden="1">
      <c r="A6867" s="2">
        <v>202203</v>
      </c>
      <c r="B6867" s="3">
        <v>44644</v>
      </c>
      <c r="C6867" s="2" t="s">
        <v>2262</v>
      </c>
      <c r="D6867" s="2" t="s">
        <v>1585</v>
      </c>
      <c r="E6867" s="2">
        <v>395.49</v>
      </c>
      <c r="F6867" s="2" t="e">
        <f>IF(Table2[[#This Row],[Manual Cat Value]]="",VLOOKUP(Table2[[#This Row],[Description]],'Actuals Lookup'!D:F,3,0),Table2[[#This Row],[Manual Cat Value]])</f>
        <v>#N/A</v>
      </c>
      <c r="J6867" s="2">
        <v>395.49</v>
      </c>
      <c r="K6867" s="2" t="b">
        <v>0</v>
      </c>
      <c r="L6867" s="2"/>
      <c r="M6867" s="2"/>
      <c r="N6867" s="4" t="s">
        <v>2259</v>
      </c>
      <c r="O6867" s="4" t="str">
        <f>LEFT(Table2[[#This Row],[Description]],75)</f>
        <v>Ridgeview Medical Center</v>
      </c>
      <c r="P6867" s="2" t="s">
        <v>2281</v>
      </c>
    </row>
    <row r="6868" spans="1:16" hidden="1">
      <c r="A6868" s="2">
        <v>202203</v>
      </c>
      <c r="B6868" s="3">
        <v>44644</v>
      </c>
      <c r="C6868" s="2" t="s">
        <v>2265</v>
      </c>
      <c r="D6868" s="2" t="s">
        <v>1958</v>
      </c>
      <c r="E6868" s="2">
        <v>125</v>
      </c>
      <c r="F6868" s="2" t="str">
        <f>IF(Table2[[#This Row],[Manual Cat Value]]="",VLOOKUP(Table2[[#This Row],[Description]],'Actuals Lookup'!D:F,3,0),Table2[[#This Row],[Manual Cat Value]])</f>
        <v>Shopping</v>
      </c>
      <c r="J6868" s="2">
        <v>125</v>
      </c>
      <c r="K6868" s="2" t="b">
        <v>0</v>
      </c>
      <c r="L6868" s="2"/>
      <c r="M6868" s="2"/>
      <c r="N6868" s="4" t="s">
        <v>2259</v>
      </c>
      <c r="O6868" s="4" t="str">
        <f>LEFT(Table2[[#This Row],[Description]],75)</f>
        <v>Transfer to Venmo</v>
      </c>
      <c r="P6868" s="2" t="s">
        <v>2281</v>
      </c>
    </row>
    <row r="6869" spans="1:16" hidden="1">
      <c r="A6869" s="2">
        <v>202203</v>
      </c>
      <c r="B6869" s="3">
        <v>44645</v>
      </c>
      <c r="C6869" s="2" t="s">
        <v>2262</v>
      </c>
      <c r="D6869" s="2" t="s">
        <v>1924</v>
      </c>
      <c r="E6869" s="2">
        <v>60.94</v>
      </c>
      <c r="F6869" s="2" t="e">
        <f>IF(Table2[[#This Row],[Manual Cat Value]]="",VLOOKUP(Table2[[#This Row],[Description]],'Actuals Lookup'!D:F,3,0),Table2[[#This Row],[Manual Cat Value]])</f>
        <v>#N/A</v>
      </c>
      <c r="J6869" s="2">
        <v>60.94</v>
      </c>
      <c r="K6869" s="2" t="b">
        <v>0</v>
      </c>
      <c r="L6869" s="2"/>
      <c r="M6869" s="2"/>
      <c r="N6869" s="4" t="s">
        <v>2259</v>
      </c>
      <c r="O6869" s="4" t="str">
        <f>LEFT(Table2[[#This Row],[Description]],75)</f>
        <v>Total Wine  More</v>
      </c>
      <c r="P6869" s="2" t="s">
        <v>2595</v>
      </c>
    </row>
    <row r="6870" spans="1:16" hidden="1">
      <c r="A6870" s="2">
        <v>202203</v>
      </c>
      <c r="B6870" s="3">
        <v>44645</v>
      </c>
      <c r="C6870" s="2" t="s">
        <v>2265</v>
      </c>
      <c r="D6870" s="2" t="s">
        <v>1955</v>
      </c>
      <c r="E6870" s="2">
        <v>8.49</v>
      </c>
      <c r="F6870" s="2" t="str">
        <f>IF(Table2[[#This Row],[Manual Cat Value]]="",VLOOKUP(Table2[[#This Row],[Description]],'Actuals Lookup'!D:F,3,0),Table2[[#This Row],[Manual Cat Value]])</f>
        <v>Shopping</v>
      </c>
      <c r="J6870" s="2">
        <v>8.49</v>
      </c>
      <c r="K6870" s="2" t="b">
        <v>0</v>
      </c>
      <c r="L6870" s="2"/>
      <c r="M6870" s="2"/>
      <c r="N6870" s="4" t="s">
        <v>2259</v>
      </c>
      <c r="O6870" s="4" t="str">
        <f>LEFT(Table2[[#This Row],[Description]],75)</f>
        <v>Transfer to PayPal</v>
      </c>
      <c r="P6870" s="2" t="s">
        <v>2322</v>
      </c>
    </row>
    <row r="6871" spans="1:16" ht="28.5" hidden="1">
      <c r="A6871" s="2">
        <v>202203</v>
      </c>
      <c r="B6871" s="3">
        <v>44646</v>
      </c>
      <c r="C6871" s="2" t="s">
        <v>2447</v>
      </c>
      <c r="D6871" s="5" t="s">
        <v>1351</v>
      </c>
      <c r="E6871" s="2">
        <v>9.99</v>
      </c>
      <c r="F6871" s="2" t="e">
        <f>IF(Table2[[#This Row],[Manual Cat Value]]="",VLOOKUP(Table2[[#This Row],[Description]],'Actuals Lookup'!D:F,3,0),Table2[[#This Row],[Manual Cat Value]])</f>
        <v>#N/A</v>
      </c>
      <c r="J6871" s="2">
        <v>9.99</v>
      </c>
      <c r="K6871" s="2" t="b">
        <v>0</v>
      </c>
      <c r="L6871" s="2"/>
      <c r="M6871" s="2"/>
      <c r="N6871" s="4" t="s">
        <v>2259</v>
      </c>
      <c r="O6871" s="4" t="str">
        <f>LEFT(Table2[[#This Row],[Description]],75)</f>
        <v>NETFLIX.COM NETFLIX.COM CA
NETFLIX.COM</v>
      </c>
      <c r="P6871" s="2" t="s">
        <v>2599</v>
      </c>
    </row>
    <row r="6872" spans="1:16" hidden="1">
      <c r="A6872" s="2">
        <v>202203</v>
      </c>
      <c r="B6872" s="3">
        <v>44647</v>
      </c>
      <c r="C6872" s="2" t="s">
        <v>2262</v>
      </c>
      <c r="D6872" s="2" t="s">
        <v>891</v>
      </c>
      <c r="E6872" s="2">
        <v>110.8</v>
      </c>
      <c r="F6872" s="2" t="e">
        <f>IF(Table2[[#This Row],[Manual Cat Value]]="",VLOOKUP(Table2[[#This Row],[Description]],'Actuals Lookup'!D:F,3,0),Table2[[#This Row],[Manual Cat Value]])</f>
        <v>#N/A</v>
      </c>
      <c r="J6872" s="2">
        <v>110.8</v>
      </c>
      <c r="K6872" s="2" t="b">
        <v>0</v>
      </c>
      <c r="L6872" s="2"/>
      <c r="M6872" s="2"/>
      <c r="N6872" s="4" t="s">
        <v>2259</v>
      </c>
      <c r="O6872" s="4" t="str">
        <f>LEFT(Table2[[#This Row],[Description]],75)</f>
        <v>GERTEN GRNHS FUNDRAISING XX1501</v>
      </c>
      <c r="P6872" s="2" t="s">
        <v>2281</v>
      </c>
    </row>
    <row r="6873" spans="1:16" hidden="1">
      <c r="A6873" s="2">
        <v>202203</v>
      </c>
      <c r="B6873" s="3">
        <v>44647</v>
      </c>
      <c r="C6873" s="2" t="s">
        <v>2262</v>
      </c>
      <c r="D6873" s="2" t="s">
        <v>908</v>
      </c>
      <c r="E6873" s="2">
        <v>36.43</v>
      </c>
      <c r="F6873" s="2" t="e">
        <f>IF(Table2[[#This Row],[Manual Cat Value]]="",VLOOKUP(Table2[[#This Row],[Description]],'Actuals Lookup'!D:F,3,0),Table2[[#This Row],[Manual Cat Value]])</f>
        <v>#N/A</v>
      </c>
      <c r="J6873" s="2">
        <v>36.43</v>
      </c>
      <c r="K6873" s="2" t="b">
        <v>0</v>
      </c>
      <c r="L6873" s="2"/>
      <c r="M6873" s="2"/>
      <c r="N6873" s="4" t="s">
        <v>2259</v>
      </c>
      <c r="O6873" s="4" t="str">
        <f>LEFT(Table2[[#This Row],[Description]],75)</f>
        <v>Great Mandarin Restaurant</v>
      </c>
      <c r="P6873" s="2" t="s">
        <v>2281</v>
      </c>
    </row>
    <row r="6874" spans="1:16" hidden="1">
      <c r="A6874" s="2">
        <v>202203</v>
      </c>
      <c r="B6874" s="3">
        <v>44647</v>
      </c>
      <c r="C6874" s="2" t="s">
        <v>2262</v>
      </c>
      <c r="D6874" s="2" t="s">
        <v>1722</v>
      </c>
      <c r="E6874" s="2">
        <v>8.68</v>
      </c>
      <c r="F6874" s="2" t="e">
        <f>IF(Table2[[#This Row],[Manual Cat Value]]="",VLOOKUP(Table2[[#This Row],[Description]],'Actuals Lookup'!D:F,3,0),Table2[[#This Row],[Manual Cat Value]])</f>
        <v>#N/A</v>
      </c>
      <c r="J6874" s="2">
        <v>8.68</v>
      </c>
      <c r="K6874" s="2" t="b">
        <v>0</v>
      </c>
      <c r="L6874" s="2"/>
      <c r="M6874" s="2"/>
      <c r="N6874" s="4" t="s">
        <v>2259</v>
      </c>
      <c r="O6874" s="4" t="str">
        <f>LEFT(Table2[[#This Row],[Description]],75)</f>
        <v>Sq Eden Prarie</v>
      </c>
      <c r="P6874" s="2" t="s">
        <v>2281</v>
      </c>
    </row>
    <row r="6875" spans="1:16" hidden="1">
      <c r="A6875" s="2">
        <v>202203</v>
      </c>
      <c r="B6875" s="3">
        <v>44647</v>
      </c>
      <c r="C6875" s="2" t="s">
        <v>2262</v>
      </c>
      <c r="D6875" s="2" t="s">
        <v>1723</v>
      </c>
      <c r="E6875" s="2">
        <v>7.78</v>
      </c>
      <c r="F6875" s="2" t="e">
        <f>IF(Table2[[#This Row],[Manual Cat Value]]="",VLOOKUP(Table2[[#This Row],[Description]],'Actuals Lookup'!D:F,3,0),Table2[[#This Row],[Manual Cat Value]])</f>
        <v>#N/A</v>
      </c>
      <c r="J6875" s="2">
        <v>7.78</v>
      </c>
      <c r="K6875" s="2" t="b">
        <v>0</v>
      </c>
      <c r="L6875" s="2"/>
      <c r="M6875" s="2"/>
      <c r="N6875" s="4" t="s">
        <v>2259</v>
      </c>
      <c r="O6875" s="4" t="str">
        <f>LEFT(Table2[[#This Row],[Description]],75)</f>
        <v>SQ EDEN PRARIE CENTER FUEden Pra</v>
      </c>
      <c r="P6875" s="2" t="s">
        <v>2281</v>
      </c>
    </row>
    <row r="6876" spans="1:16" hidden="1">
      <c r="A6876" s="2">
        <v>202203</v>
      </c>
      <c r="B6876" s="3">
        <v>44647</v>
      </c>
      <c r="C6876" s="2" t="s">
        <v>2262</v>
      </c>
      <c r="D6876" s="2" t="s">
        <v>1953</v>
      </c>
      <c r="E6876" s="2">
        <v>51.54</v>
      </c>
      <c r="F6876" s="2" t="e">
        <f>IF(Table2[[#This Row],[Manual Cat Value]]="",VLOOKUP(Table2[[#This Row],[Description]],'Actuals Lookup'!D:F,3,0),Table2[[#This Row],[Manual Cat Value]])</f>
        <v>#N/A</v>
      </c>
      <c r="J6876" s="2">
        <v>51.54</v>
      </c>
      <c r="K6876" s="2" t="b">
        <v>0</v>
      </c>
      <c r="L6876" s="2"/>
      <c r="M6876" s="2"/>
      <c r="N6876" s="4" t="s">
        <v>2259</v>
      </c>
      <c r="O6876" s="4" t="str">
        <f>LEFT(Table2[[#This Row],[Description]],75)</f>
        <v>Transfer to Facebook Pay</v>
      </c>
      <c r="P6876" s="2" t="s">
        <v>2281</v>
      </c>
    </row>
    <row r="6877" spans="1:16" hidden="1">
      <c r="A6877" s="2">
        <v>202203</v>
      </c>
      <c r="B6877" s="3">
        <v>44647</v>
      </c>
      <c r="C6877" s="2" t="s">
        <v>2262</v>
      </c>
      <c r="D6877" s="2" t="s">
        <v>2042</v>
      </c>
      <c r="E6877" s="2">
        <v>54.19</v>
      </c>
      <c r="F6877" s="2" t="e">
        <f>IF(Table2[[#This Row],[Manual Cat Value]]="",VLOOKUP(Table2[[#This Row],[Description]],'Actuals Lookup'!D:F,3,0),Table2[[#This Row],[Manual Cat Value]])</f>
        <v>#N/A</v>
      </c>
      <c r="J6877" s="2">
        <v>54.19</v>
      </c>
      <c r="K6877" s="2" t="b">
        <v>0</v>
      </c>
      <c r="L6877" s="2"/>
      <c r="M6877" s="2"/>
      <c r="N6877" s="4" t="s">
        <v>2259</v>
      </c>
      <c r="O6877" s="4" t="str">
        <f>LEFT(Table2[[#This Row],[Description]],75)</f>
        <v>TST RED WAGON PIZZA CO XX7147 MN</v>
      </c>
      <c r="P6877" s="2" t="s">
        <v>2600</v>
      </c>
    </row>
    <row r="6878" spans="1:16" hidden="1">
      <c r="A6878" s="2">
        <v>202203</v>
      </c>
      <c r="B6878" s="3">
        <v>44648</v>
      </c>
      <c r="C6878" s="2" t="s">
        <v>2265</v>
      </c>
      <c r="D6878" s="2" t="s">
        <v>1466</v>
      </c>
      <c r="E6878" s="2">
        <v>705.6</v>
      </c>
      <c r="F6878" s="2" t="e">
        <f>IF(Table2[[#This Row],[Manual Cat Value]]="",VLOOKUP(Table2[[#This Row],[Description]],'Actuals Lookup'!D:F,3,0),Table2[[#This Row],[Manual Cat Value]])</f>
        <v>#N/A</v>
      </c>
      <c r="J6878" s="2">
        <v>705.6</v>
      </c>
      <c r="K6878" s="2" t="b">
        <v>0</v>
      </c>
      <c r="L6878" s="2"/>
      <c r="M6878" s="2"/>
      <c r="N6878" s="4" t="s">
        <v>2259</v>
      </c>
      <c r="O6878" s="4" t="str">
        <f>LEFT(Table2[[#This Row],[Description]],75)</f>
        <v>Payment to Target</v>
      </c>
      <c r="P6878" s="2" t="s">
        <v>2601</v>
      </c>
    </row>
    <row r="6879" spans="1:16" hidden="1">
      <c r="A6879" s="2">
        <v>202203</v>
      </c>
      <c r="B6879" s="3">
        <v>44648</v>
      </c>
      <c r="C6879" s="2" t="s">
        <v>2262</v>
      </c>
      <c r="D6879" s="2" t="s">
        <v>1825</v>
      </c>
      <c r="E6879" s="2">
        <v>49</v>
      </c>
      <c r="F6879" s="2" t="e">
        <f>IF(Table2[[#This Row],[Manual Cat Value]]="",VLOOKUP(Table2[[#This Row],[Description]],'Actuals Lookup'!D:F,3,0),Table2[[#This Row],[Manual Cat Value]])</f>
        <v>#N/A</v>
      </c>
      <c r="J6879" s="2">
        <v>49</v>
      </c>
      <c r="K6879" s="2" t="b">
        <v>0</v>
      </c>
      <c r="L6879" s="2"/>
      <c r="M6879" s="2"/>
      <c r="N6879" s="4" t="s">
        <v>2259</v>
      </c>
      <c r="O6879" s="4" t="str">
        <f>LEFT(Table2[[#This Row],[Description]],75)</f>
        <v>Tax Payment to Turbotax</v>
      </c>
      <c r="P6879" s="2" t="s">
        <v>2281</v>
      </c>
    </row>
    <row r="6880" spans="1:16" hidden="1">
      <c r="A6880" s="2">
        <v>202203</v>
      </c>
      <c r="B6880" s="3">
        <v>44648</v>
      </c>
      <c r="C6880" s="2" t="s">
        <v>2262</v>
      </c>
      <c r="D6880" s="2" t="s">
        <v>684</v>
      </c>
      <c r="E6880" s="2">
        <v>218.19</v>
      </c>
      <c r="F6880" s="2" t="str">
        <f>IF(Table2[[#This Row],[Manual Cat Value]]="",VLOOKUP(Table2[[#This Row],[Description]],'Actuals Lookup'!D:F,3,0),Table2[[#This Row],[Manual Cat Value]])</f>
        <v>Groceries</v>
      </c>
      <c r="J6880" s="2">
        <v>218.19</v>
      </c>
      <c r="K6880" s="2" t="b">
        <v>0</v>
      </c>
      <c r="L6880" s="2"/>
      <c r="M6880" s="2"/>
      <c r="N6880" s="4" t="s">
        <v>2259</v>
      </c>
      <c r="O6880" s="4" t="str">
        <f>LEFT(Table2[[#This Row],[Description]],75)</f>
        <v>Cub Foods</v>
      </c>
      <c r="P6880" s="2" t="s">
        <v>2370</v>
      </c>
    </row>
    <row r="6881" spans="1:16" hidden="1">
      <c r="A6881" s="2">
        <v>202203</v>
      </c>
      <c r="B6881" s="3">
        <v>44648</v>
      </c>
      <c r="C6881" s="2" t="s">
        <v>2262</v>
      </c>
      <c r="D6881" s="2" t="s">
        <v>792</v>
      </c>
      <c r="E6881" s="2">
        <v>39.99</v>
      </c>
      <c r="F6881" s="2" t="str">
        <f>IF(Table2[[#This Row],[Manual Cat Value]]="",VLOOKUP(Table2[[#This Row],[Description]],'Actuals Lookup'!D:F,3,0),Table2[[#This Row],[Manual Cat Value]])</f>
        <v>Shopping</v>
      </c>
      <c r="J6881" s="2">
        <v>39.99</v>
      </c>
      <c r="K6881" s="2" t="b">
        <v>0</v>
      </c>
      <c r="L6881" s="2"/>
      <c r="M6881" s="2"/>
      <c r="N6881" s="4" t="s">
        <v>2259</v>
      </c>
      <c r="O6881" s="4" t="str">
        <f>LEFT(Table2[[#This Row],[Description]],75)</f>
        <v>DSW</v>
      </c>
      <c r="P6881" s="2" t="s">
        <v>2602</v>
      </c>
    </row>
    <row r="6882" spans="1:16" hidden="1">
      <c r="A6882" s="2">
        <v>202203</v>
      </c>
      <c r="B6882" s="3">
        <v>44648</v>
      </c>
      <c r="C6882" s="2" t="s">
        <v>2265</v>
      </c>
      <c r="D6882" s="2" t="s">
        <v>1955</v>
      </c>
      <c r="E6882" s="2">
        <v>0.99</v>
      </c>
      <c r="F6882" s="2" t="str">
        <f>IF(Table2[[#This Row],[Manual Cat Value]]="",VLOOKUP(Table2[[#This Row],[Description]],'Actuals Lookup'!D:F,3,0),Table2[[#This Row],[Manual Cat Value]])</f>
        <v>Shopping</v>
      </c>
      <c r="J6882" s="2">
        <v>0.99</v>
      </c>
      <c r="K6882" s="2" t="b">
        <v>0</v>
      </c>
      <c r="L6882" s="2"/>
      <c r="M6882" s="2"/>
      <c r="N6882" s="4" t="s">
        <v>2259</v>
      </c>
      <c r="O6882" s="4" t="str">
        <f>LEFT(Table2[[#This Row],[Description]],75)</f>
        <v>Transfer to PayPal</v>
      </c>
      <c r="P6882" s="2" t="s">
        <v>2322</v>
      </c>
    </row>
    <row r="6883" spans="1:16" hidden="1">
      <c r="A6883" s="2">
        <v>202203</v>
      </c>
      <c r="B6883" s="3">
        <v>44648</v>
      </c>
      <c r="C6883" s="2" t="s">
        <v>2265</v>
      </c>
      <c r="D6883" s="2" t="s">
        <v>1955</v>
      </c>
      <c r="E6883" s="2">
        <v>5.81</v>
      </c>
      <c r="F6883" s="2" t="str">
        <f>IF(Table2[[#This Row],[Manual Cat Value]]="",VLOOKUP(Table2[[#This Row],[Description]],'Actuals Lookup'!D:F,3,0),Table2[[#This Row],[Manual Cat Value]])</f>
        <v>Shopping</v>
      </c>
      <c r="J6883" s="2">
        <v>5.81</v>
      </c>
      <c r="K6883" s="2" t="b">
        <v>0</v>
      </c>
      <c r="L6883" s="2"/>
      <c r="M6883" s="2"/>
      <c r="N6883" s="4" t="s">
        <v>2259</v>
      </c>
      <c r="O6883" s="4" t="str">
        <f>LEFT(Table2[[#This Row],[Description]],75)</f>
        <v>Transfer to PayPal</v>
      </c>
      <c r="P6883" s="2" t="s">
        <v>2322</v>
      </c>
    </row>
    <row r="6884" spans="1:16" hidden="1">
      <c r="A6884" s="2">
        <v>202203</v>
      </c>
      <c r="B6884" s="3">
        <v>44648</v>
      </c>
      <c r="C6884" s="2" t="s">
        <v>2265</v>
      </c>
      <c r="D6884" s="2" t="s">
        <v>1955</v>
      </c>
      <c r="E6884" s="2">
        <v>8.98</v>
      </c>
      <c r="F6884" s="2" t="str">
        <f>IF(Table2[[#This Row],[Manual Cat Value]]="",VLOOKUP(Table2[[#This Row],[Description]],'Actuals Lookup'!D:F,3,0),Table2[[#This Row],[Manual Cat Value]])</f>
        <v>Shopping</v>
      </c>
      <c r="J6884" s="2">
        <v>8.98</v>
      </c>
      <c r="K6884" s="2" t="b">
        <v>0</v>
      </c>
      <c r="L6884" s="2"/>
      <c r="M6884" s="2"/>
      <c r="N6884" s="4" t="s">
        <v>2259</v>
      </c>
      <c r="O6884" s="4" t="str">
        <f>LEFT(Table2[[#This Row],[Description]],75)</f>
        <v>Transfer to PayPal</v>
      </c>
      <c r="P6884" s="2" t="s">
        <v>2322</v>
      </c>
    </row>
    <row r="6885" spans="1:16" hidden="1">
      <c r="A6885" s="2">
        <v>202203</v>
      </c>
      <c r="B6885" s="3">
        <v>44649</v>
      </c>
      <c r="C6885" s="2" t="s">
        <v>2262</v>
      </c>
      <c r="D6885" s="2" t="s">
        <v>792</v>
      </c>
      <c r="E6885" s="2">
        <v>54.99</v>
      </c>
      <c r="F6885" s="2" t="str">
        <f>IF(Table2[[#This Row],[Manual Cat Value]]="",VLOOKUP(Table2[[#This Row],[Description]],'Actuals Lookup'!D:F,3,0),Table2[[#This Row],[Manual Cat Value]])</f>
        <v>Shopping</v>
      </c>
      <c r="J6885" s="2">
        <v>54.99</v>
      </c>
      <c r="K6885" s="2" t="b">
        <v>0</v>
      </c>
      <c r="L6885" s="2"/>
      <c r="M6885" s="2"/>
      <c r="N6885" s="4" t="s">
        <v>2259</v>
      </c>
      <c r="O6885" s="4" t="str">
        <f>LEFT(Table2[[#This Row],[Description]],75)</f>
        <v>DSW</v>
      </c>
      <c r="P6885" s="2" t="s">
        <v>2602</v>
      </c>
    </row>
    <row r="6886" spans="1:16" hidden="1">
      <c r="A6886" s="2">
        <v>202203</v>
      </c>
      <c r="B6886" s="3">
        <v>44649</v>
      </c>
      <c r="C6886" s="2" t="s">
        <v>2265</v>
      </c>
      <c r="D6886" s="2" t="s">
        <v>799</v>
      </c>
      <c r="E6886" s="2">
        <v>-209.68</v>
      </c>
      <c r="F6886" s="2" t="e">
        <f>IF(Table2[[#This Row],[Manual Cat Value]]="",VLOOKUP(Table2[[#This Row],[Description]],'Actuals Lookup'!D:F,3,0),Table2[[#This Row],[Manual Cat Value]])</f>
        <v>#N/A</v>
      </c>
      <c r="J6886" s="2">
        <v>209.68</v>
      </c>
      <c r="K6886" s="2" t="b">
        <v>0</v>
      </c>
      <c r="L6886" s="2"/>
      <c r="M6886" s="2"/>
      <c r="N6886" s="4" t="s">
        <v>2273</v>
      </c>
      <c r="O6886" s="4" t="str">
        <f>LEFT(Table2[[#This Row],[Description]],75)</f>
        <v>eBay</v>
      </c>
      <c r="P6886" s="2" t="s">
        <v>2281</v>
      </c>
    </row>
    <row r="6887" spans="1:16" hidden="1">
      <c r="A6887" s="2">
        <v>202203</v>
      </c>
      <c r="B6887" s="3">
        <v>44649</v>
      </c>
      <c r="C6887" s="2" t="s">
        <v>2265</v>
      </c>
      <c r="D6887" s="2" t="s">
        <v>1195</v>
      </c>
      <c r="E6887" s="2">
        <v>536.29999999999995</v>
      </c>
      <c r="F6887" s="2" t="e">
        <f>IF(Table2[[#This Row],[Manual Cat Value]]="",VLOOKUP(Table2[[#This Row],[Description]],'Actuals Lookup'!D:F,3,0),Table2[[#This Row],[Manual Cat Value]])</f>
        <v>#N/A</v>
      </c>
      <c r="J6887" s="2">
        <v>536.29999999999995</v>
      </c>
      <c r="K6887" s="2" t="b">
        <v>0</v>
      </c>
      <c r="L6887" s="2"/>
      <c r="M6887" s="2"/>
      <c r="N6887" s="4" t="s">
        <v>2259</v>
      </c>
      <c r="O6887" s="4" t="str">
        <f>LEFT(Table2[[#This Row],[Description]],75)</f>
        <v>MHCHILDCARELLC TYPE DUES ID CO M</v>
      </c>
      <c r="P6887" s="2" t="s">
        <v>2497</v>
      </c>
    </row>
    <row r="6888" spans="1:16" hidden="1">
      <c r="A6888" s="2">
        <v>202203</v>
      </c>
      <c r="B6888" s="3">
        <v>44649</v>
      </c>
      <c r="C6888" s="2" t="s">
        <v>2262</v>
      </c>
      <c r="D6888" s="2" t="s">
        <v>1248</v>
      </c>
      <c r="E6888" s="2">
        <v>21.42</v>
      </c>
      <c r="F6888" s="2" t="e">
        <f>IF(Table2[[#This Row],[Manual Cat Value]]="",VLOOKUP(Table2[[#This Row],[Description]],'Actuals Lookup'!D:F,3,0),Table2[[#This Row],[Manual Cat Value]])</f>
        <v>#N/A</v>
      </c>
      <c r="J6888" s="2">
        <v>21.42</v>
      </c>
      <c r="K6888" s="2" t="b">
        <v>0</v>
      </c>
      <c r="L6888" s="2"/>
      <c r="M6888" s="2"/>
      <c r="N6888" s="4" t="s">
        <v>2259</v>
      </c>
      <c r="O6888" s="4" t="str">
        <f>LEFT(Table2[[#This Row],[Description]],75)</f>
        <v>Michaels</v>
      </c>
      <c r="P6888" s="2" t="s">
        <v>2603</v>
      </c>
    </row>
    <row r="6889" spans="1:16" hidden="1">
      <c r="A6889" s="2">
        <v>202203</v>
      </c>
      <c r="B6889" s="3">
        <v>44649</v>
      </c>
      <c r="C6889" s="2" t="s">
        <v>2262</v>
      </c>
      <c r="D6889" s="2" t="s">
        <v>1355</v>
      </c>
      <c r="E6889" s="2">
        <v>5.88</v>
      </c>
      <c r="F6889" s="2" t="str">
        <f>IF(Table2[[#This Row],[Manual Cat Value]]="",VLOOKUP(Table2[[#This Row],[Description]],'Actuals Lookup'!D:F,3,0),Table2[[#This Row],[Manual Cat Value]])</f>
        <v>Shopping</v>
      </c>
      <c r="J6889" s="2">
        <v>5.88</v>
      </c>
      <c r="K6889" s="2" t="b">
        <v>0</v>
      </c>
      <c r="L6889" s="2"/>
      <c r="M6889" s="2"/>
      <c r="N6889" s="4" t="s">
        <v>2259</v>
      </c>
      <c r="O6889" s="4" t="str">
        <f>LEFT(Table2[[#This Row],[Description]],75)</f>
        <v>Nordstrom</v>
      </c>
      <c r="P6889" s="2" t="s">
        <v>2352</v>
      </c>
    </row>
    <row r="6890" spans="1:16" hidden="1">
      <c r="A6890" s="2">
        <v>202203</v>
      </c>
      <c r="B6890" s="3">
        <v>44649</v>
      </c>
      <c r="C6890" s="2" t="s">
        <v>2265</v>
      </c>
      <c r="D6890" s="2" t="s">
        <v>1798</v>
      </c>
      <c r="E6890" s="2">
        <v>-2956.34</v>
      </c>
      <c r="F6890" s="2" t="e">
        <f>IF(Table2[[#This Row],[Manual Cat Value]]="",VLOOKUP(Table2[[#This Row],[Description]],'Actuals Lookup'!D:F,3,0),Table2[[#This Row],[Manual Cat Value]])</f>
        <v>#N/A</v>
      </c>
      <c r="J6890" s="2">
        <v>2956.34</v>
      </c>
      <c r="K6890" s="2" t="b">
        <v>0</v>
      </c>
      <c r="L6890" s="2"/>
      <c r="M6890" s="2"/>
      <c r="N6890" s="4" t="s">
        <v>2273</v>
      </c>
      <c r="O6890" s="4" t="str">
        <f>LEFT(Table2[[#This Row],[Description]],75)</f>
        <v>SYNTELLIS PERFOR TYPE DIRECT DEP</v>
      </c>
      <c r="P6890" s="2" t="s">
        <v>2281</v>
      </c>
    </row>
    <row r="6891" spans="1:16" hidden="1">
      <c r="A6891" s="2">
        <v>202203</v>
      </c>
      <c r="B6891" s="3">
        <v>44649</v>
      </c>
      <c r="C6891" s="2" t="s">
        <v>2265</v>
      </c>
      <c r="D6891" s="2" t="s">
        <v>1955</v>
      </c>
      <c r="E6891" s="2">
        <v>0.99</v>
      </c>
      <c r="F6891" s="2" t="str">
        <f>IF(Table2[[#This Row],[Manual Cat Value]]="",VLOOKUP(Table2[[#This Row],[Description]],'Actuals Lookup'!D:F,3,0),Table2[[#This Row],[Manual Cat Value]])</f>
        <v>Shopping</v>
      </c>
      <c r="J6891" s="2">
        <v>0.99</v>
      </c>
      <c r="K6891" s="2" t="b">
        <v>0</v>
      </c>
      <c r="L6891" s="2"/>
      <c r="M6891" s="2"/>
      <c r="N6891" s="4" t="s">
        <v>2259</v>
      </c>
      <c r="O6891" s="4" t="str">
        <f>LEFT(Table2[[#This Row],[Description]],75)</f>
        <v>Transfer to PayPal</v>
      </c>
      <c r="P6891" s="2" t="s">
        <v>2322</v>
      </c>
    </row>
    <row r="6892" spans="1:16" hidden="1">
      <c r="A6892" s="2">
        <v>202203</v>
      </c>
      <c r="B6892" s="3">
        <v>44650</v>
      </c>
      <c r="C6892" s="2" t="s">
        <v>2262</v>
      </c>
      <c r="D6892" s="2" t="s">
        <v>673</v>
      </c>
      <c r="E6892" s="2">
        <v>-2234.31</v>
      </c>
      <c r="F6892" s="2" t="str">
        <f>IF(Table2[[#This Row],[Manual Cat Value]]="",VLOOKUP(Table2[[#This Row],[Description]],'Actuals Lookup'!D:F,3,0),Table2[[#This Row],[Manual Cat Value]])</f>
        <v>Delete</v>
      </c>
      <c r="J6892" s="2">
        <v>2234.31</v>
      </c>
      <c r="K6892" s="2" t="b">
        <v>0</v>
      </c>
      <c r="L6892" s="2"/>
      <c r="M6892" s="2"/>
      <c r="N6892" s="4" t="s">
        <v>2273</v>
      </c>
      <c r="O6892" s="4" t="str">
        <f>LEFT(Table2[[#This Row],[Description]],75)</f>
        <v>Credit Card Payment Received</v>
      </c>
      <c r="P6892" s="2" t="s">
        <v>2597</v>
      </c>
    </row>
    <row r="6893" spans="1:16" hidden="1">
      <c r="A6893" s="2">
        <v>202203</v>
      </c>
      <c r="B6893" s="3">
        <v>44650</v>
      </c>
      <c r="C6893" s="2" t="s">
        <v>2265</v>
      </c>
      <c r="D6893" s="2" t="s">
        <v>1824</v>
      </c>
      <c r="E6893" s="2">
        <v>1477</v>
      </c>
      <c r="F6893" s="2" t="e">
        <f>IF(Table2[[#This Row],[Manual Cat Value]]="",VLOOKUP(Table2[[#This Row],[Description]],'Actuals Lookup'!D:F,3,0),Table2[[#This Row],[Manual Cat Value]])</f>
        <v>#N/A</v>
      </c>
      <c r="J6893" s="2">
        <v>1477</v>
      </c>
      <c r="K6893" s="2" t="b">
        <v>0</v>
      </c>
      <c r="L6893" s="2"/>
      <c r="M6893" s="2"/>
      <c r="N6893" s="4" t="s">
        <v>2259</v>
      </c>
      <c r="O6893" s="4" t="str">
        <f>LEFT(Table2[[#This Row],[Description]],75)</f>
        <v>Tax Payment to Minnesota Departm</v>
      </c>
      <c r="P6893" s="2" t="s">
        <v>2604</v>
      </c>
    </row>
    <row r="6894" spans="1:16" hidden="1">
      <c r="A6894" s="2">
        <v>202203</v>
      </c>
      <c r="B6894" s="3">
        <v>44650</v>
      </c>
      <c r="C6894" s="2" t="s">
        <v>2262</v>
      </c>
      <c r="D6894" s="2" t="s">
        <v>1083</v>
      </c>
      <c r="E6894" s="2">
        <v>47</v>
      </c>
      <c r="F6894" s="2" t="str">
        <f>IF(Table2[[#This Row],[Manual Cat Value]]="",VLOOKUP(Table2[[#This Row],[Description]],'Actuals Lookup'!D:F,3,0),Table2[[#This Row],[Manual Cat Value]])</f>
        <v>Transportation</v>
      </c>
      <c r="J6894" s="2">
        <v>47</v>
      </c>
      <c r="K6894" s="2" t="b">
        <v>0</v>
      </c>
      <c r="L6894" s="2"/>
      <c r="M6894" s="2"/>
      <c r="N6894" s="4" t="s">
        <v>2259</v>
      </c>
      <c r="O6894" s="4" t="str">
        <f>LEFT(Table2[[#This Row],[Description]],75)</f>
        <v>Kwik Trip</v>
      </c>
      <c r="P6894" s="2" t="s">
        <v>2509</v>
      </c>
    </row>
    <row r="6895" spans="1:16" hidden="1">
      <c r="A6895" s="2">
        <v>202203</v>
      </c>
      <c r="B6895" s="3">
        <v>44650</v>
      </c>
      <c r="C6895" s="2" t="s">
        <v>2265</v>
      </c>
      <c r="D6895" s="2" t="s">
        <v>2204</v>
      </c>
      <c r="E6895" s="2">
        <v>2234.31</v>
      </c>
      <c r="F6895" s="2" t="e">
        <f>IF(Table2[[#This Row],[Manual Cat Value]]="",VLOOKUP(Table2[[#This Row],[Description]],'Actuals Lookup'!D:F,3,0),Table2[[#This Row],[Manual Cat Value]])</f>
        <v>#N/A</v>
      </c>
      <c r="J6895" s="2">
        <v>2234.31</v>
      </c>
      <c r="K6895" s="2" t="b">
        <v>0</v>
      </c>
      <c r="L6895" s="2"/>
      <c r="M6895" s="2"/>
      <c r="N6895" s="4" t="s">
        <v>2259</v>
      </c>
      <c r="O6895" s="4" t="str">
        <f>LEFT(Table2[[#This Row],[Description]],75)</f>
        <v>Withdrawal Home Pmt to card XX91</v>
      </c>
      <c r="P6895" s="2" t="s">
        <v>2593</v>
      </c>
    </row>
    <row r="6896" spans="1:16" hidden="1">
      <c r="A6896">
        <v>202203</v>
      </c>
      <c r="B6896" s="3">
        <v>44650</v>
      </c>
      <c r="C6896" t="s">
        <v>2281</v>
      </c>
      <c r="D6896" t="s">
        <v>14</v>
      </c>
      <c r="E6896">
        <f>125*2</f>
        <v>250</v>
      </c>
      <c r="F6896" s="2" t="str">
        <f>IF(Table2[[#This Row],[Manual Cat Value]]="",VLOOKUP(Table2[[#This Row],[Description]],'Actuals Lookup'!D:F,3,0),Table2[[#This Row],[Manual Cat Value]])</f>
        <v>Exp - Cleaning</v>
      </c>
      <c r="G6896" t="e">
        <f>VLOOKUP(D6896,Lookup!G:H,2,0)</f>
        <v>#N/A</v>
      </c>
      <c r="H6896" s="8" t="s">
        <v>13</v>
      </c>
      <c r="O6896" t="str">
        <f>LEFT(Table2[[#This Row],[Description]],75)</f>
        <v>Cleaning</v>
      </c>
    </row>
    <row r="6897" spans="1:16" hidden="1">
      <c r="A6897" s="2">
        <v>202203</v>
      </c>
      <c r="B6897" s="3">
        <v>44651</v>
      </c>
      <c r="C6897" s="2" t="s">
        <v>2265</v>
      </c>
      <c r="D6897" s="2" t="s">
        <v>1470</v>
      </c>
      <c r="E6897" s="2">
        <v>221.8</v>
      </c>
      <c r="F6897" s="2" t="str">
        <f>IF(Table2[[#This Row],[Manual Cat Value]]="",VLOOKUP(Table2[[#This Row],[Description]],'Actuals Lookup'!D:F,3,0),Table2[[#This Row],[Manual Cat Value]])</f>
        <v>Utilities</v>
      </c>
      <c r="J6897" s="2">
        <v>221.8</v>
      </c>
      <c r="K6897" s="2" t="b">
        <v>0</v>
      </c>
      <c r="L6897" s="2"/>
      <c r="M6897" s="2"/>
      <c r="N6897" s="4" t="s">
        <v>2259</v>
      </c>
      <c r="O6897" s="4" t="str">
        <f>LEFT(Table2[[#This Row],[Description]],75)</f>
        <v>Payment to Xcel Energy</v>
      </c>
      <c r="P6897" s="2" t="s">
        <v>2281</v>
      </c>
    </row>
    <row r="6898" spans="1:16" hidden="1">
      <c r="A6898" s="2">
        <v>202203</v>
      </c>
      <c r="B6898" s="3">
        <v>44651</v>
      </c>
      <c r="C6898" s="2" t="s">
        <v>2265</v>
      </c>
      <c r="D6898" s="2" t="s">
        <v>427</v>
      </c>
      <c r="E6898" s="2">
        <v>-2743.82</v>
      </c>
      <c r="F6898" s="2" t="e">
        <f>IF(Table2[[#This Row],[Manual Cat Value]]="",VLOOKUP(Table2[[#This Row],[Description]],'Actuals Lookup'!D:F,3,0),Table2[[#This Row],[Manual Cat Value]])</f>
        <v>#N/A</v>
      </c>
      <c r="J6898" s="2">
        <v>2743.82</v>
      </c>
      <c r="K6898" s="2" t="b">
        <v>0</v>
      </c>
      <c r="L6898" s="2"/>
      <c r="M6898" s="2"/>
      <c r="N6898" s="4" t="s">
        <v>2273</v>
      </c>
      <c r="O6898" s="4" t="str">
        <f>LEFT(Table2[[#This Row],[Description]],75)</f>
        <v>CARGILL INCORPOR TYPE DIRECT DEP</v>
      </c>
      <c r="P6898" s="2" t="s">
        <v>2281</v>
      </c>
    </row>
    <row r="6899" spans="1:16" hidden="1">
      <c r="A6899" s="2">
        <v>202203</v>
      </c>
      <c r="B6899" s="3">
        <v>44651</v>
      </c>
      <c r="C6899" s="2" t="s">
        <v>2265</v>
      </c>
      <c r="D6899" s="2" t="s">
        <v>802</v>
      </c>
      <c r="E6899" s="2">
        <v>-238.53</v>
      </c>
      <c r="F6899" s="2" t="e">
        <f>IF(Table2[[#This Row],[Manual Cat Value]]="",VLOOKUP(Table2[[#This Row],[Description]],'Actuals Lookup'!D:F,3,0),Table2[[#This Row],[Manual Cat Value]])</f>
        <v>#N/A</v>
      </c>
      <c r="J6899" s="2">
        <v>238.53</v>
      </c>
      <c r="K6899" s="2" t="b">
        <v>0</v>
      </c>
      <c r="L6899" s="2"/>
      <c r="M6899" s="2"/>
      <c r="N6899" s="4" t="s">
        <v>2273</v>
      </c>
      <c r="O6899" s="4" t="str">
        <f>LEFT(Table2[[#This Row],[Description]],75)</f>
        <v>eBay TYPE PAYOUT  ID   CO eBay A</v>
      </c>
      <c r="P6899" s="2" t="s">
        <v>2281</v>
      </c>
    </row>
    <row r="6900" spans="1:16" hidden="1">
      <c r="A6900" s="2">
        <v>202203</v>
      </c>
      <c r="B6900" s="3">
        <v>44651</v>
      </c>
      <c r="C6900" s="2" t="s">
        <v>2262</v>
      </c>
      <c r="D6900" s="2" t="s">
        <v>825</v>
      </c>
      <c r="E6900" s="2">
        <v>-293.39999999999998</v>
      </c>
      <c r="F6900" s="2" t="str">
        <f>IF(Table2[[#This Row],[Manual Cat Value]]="",VLOOKUP(Table2[[#This Row],[Description]],'Actuals Lookup'!D:F,3,0),Table2[[#This Row],[Manual Cat Value]])</f>
        <v>Shopping</v>
      </c>
      <c r="J6900" s="2">
        <v>293.39999999999998</v>
      </c>
      <c r="K6900" s="2" t="b">
        <v>0</v>
      </c>
      <c r="L6900" s="2"/>
      <c r="M6900" s="2"/>
      <c r="N6900" s="4" t="s">
        <v>2273</v>
      </c>
      <c r="O6900" s="4" t="str">
        <f>LEFT(Table2[[#This Row],[Description]],75)</f>
        <v>Evereve</v>
      </c>
      <c r="P6900" s="2" t="s">
        <v>2281</v>
      </c>
    </row>
    <row r="6901" spans="1:16" hidden="1">
      <c r="A6901" s="2">
        <v>202203</v>
      </c>
      <c r="B6901" s="3">
        <v>44651</v>
      </c>
      <c r="C6901" s="2" t="s">
        <v>2300</v>
      </c>
      <c r="D6901" s="2" t="s">
        <v>981</v>
      </c>
      <c r="E6901" s="2">
        <v>-14.42</v>
      </c>
      <c r="F6901" s="2" t="e">
        <f>IF(Table2[[#This Row],[Manual Cat Value]]="",VLOOKUP(Table2[[#This Row],[Description]],'Actuals Lookup'!D:F,3,0),Table2[[#This Row],[Manual Cat Value]])</f>
        <v>#N/A</v>
      </c>
      <c r="J6901" s="2">
        <v>14.42</v>
      </c>
      <c r="K6901" s="2" t="b">
        <v>0</v>
      </c>
      <c r="L6901" s="2"/>
      <c r="M6901" s="2"/>
      <c r="N6901" s="4" t="s">
        <v>2273</v>
      </c>
      <c r="O6901" s="4" t="str">
        <f>LEFT(Table2[[#This Row],[Description]],75)</f>
        <v>Interest Income</v>
      </c>
      <c r="P6901" s="2" t="s">
        <v>2281</v>
      </c>
    </row>
    <row r="6902" spans="1:16" hidden="1">
      <c r="A6902" s="2">
        <v>202203</v>
      </c>
      <c r="B6902" s="3">
        <v>44651</v>
      </c>
      <c r="C6902" s="2" t="s">
        <v>2265</v>
      </c>
      <c r="D6902" s="2" t="s">
        <v>981</v>
      </c>
      <c r="E6902" s="2">
        <v>-14.95</v>
      </c>
      <c r="F6902" s="2" t="e">
        <f>IF(Table2[[#This Row],[Manual Cat Value]]="",VLOOKUP(Table2[[#This Row],[Description]],'Actuals Lookup'!D:F,3,0),Table2[[#This Row],[Manual Cat Value]])</f>
        <v>#N/A</v>
      </c>
      <c r="J6902" s="2">
        <v>14.95</v>
      </c>
      <c r="K6902" s="2" t="b">
        <v>0</v>
      </c>
      <c r="L6902" s="2"/>
      <c r="M6902" s="2"/>
      <c r="N6902" s="4" t="s">
        <v>2273</v>
      </c>
      <c r="O6902" s="4" t="str">
        <f>LEFT(Table2[[#This Row],[Description]],75)</f>
        <v>Interest Income</v>
      </c>
      <c r="P6902" s="2" t="s">
        <v>2281</v>
      </c>
    </row>
    <row r="6903" spans="1:16" hidden="1">
      <c r="A6903" s="2">
        <v>202204</v>
      </c>
      <c r="B6903" s="3">
        <v>44652</v>
      </c>
      <c r="C6903" s="2" t="s">
        <v>2262</v>
      </c>
      <c r="D6903" s="2" t="s">
        <v>113</v>
      </c>
      <c r="E6903" s="2">
        <v>-246.28</v>
      </c>
      <c r="F6903" s="2" t="str">
        <f>IF(Table2[[#This Row],[Manual Cat Value]]="",VLOOKUP(Table2[[#This Row],[Description]],'Actuals Lookup'!D:F,3,0),Table2[[#This Row],[Manual Cat Value]])</f>
        <v>Amazon</v>
      </c>
      <c r="J6903" s="2">
        <v>-246.28</v>
      </c>
      <c r="K6903" s="2" t="b">
        <v>0</v>
      </c>
      <c r="L6903" s="2"/>
      <c r="M6903" s="2"/>
      <c r="N6903" s="4" t="s">
        <v>2273</v>
      </c>
      <c r="O6903" s="4" t="str">
        <f>LEFT(Table2[[#This Row],[Description]],75)</f>
        <v>Amazon Marketplace</v>
      </c>
      <c r="P6903" s="2" t="s">
        <v>2281</v>
      </c>
    </row>
    <row r="6904" spans="1:16" ht="28.5" hidden="1">
      <c r="A6904" s="2">
        <v>202204</v>
      </c>
      <c r="B6904" s="3">
        <v>44652</v>
      </c>
      <c r="C6904" s="2" t="s">
        <v>2447</v>
      </c>
      <c r="D6904" s="5" t="s">
        <v>115</v>
      </c>
      <c r="E6904" s="2">
        <v>4.28</v>
      </c>
      <c r="F6904" s="2" t="e">
        <f>IF(Table2[[#This Row],[Manual Cat Value]]="",VLOOKUP(Table2[[#This Row],[Description]],'Actuals Lookup'!D:F,3,0),Table2[[#This Row],[Manual Cat Value]])</f>
        <v>#N/A</v>
      </c>
      <c r="J6904" s="2">
        <v>4.28</v>
      </c>
      <c r="K6904" s="2" t="b">
        <v>0</v>
      </c>
      <c r="L6904" s="2"/>
      <c r="M6904" s="2"/>
      <c r="N6904" s="4" t="s">
        <v>2259</v>
      </c>
      <c r="O6904" s="4" t="str">
        <f>LEFT(Table2[[#This Row],[Description]],75)</f>
        <v>AMAZON MUSIC*168MY6VK2 888-802-3080 WA
51YQP6E8HHP</v>
      </c>
      <c r="P6904" s="2" t="s">
        <v>2281</v>
      </c>
    </row>
    <row r="6905" spans="1:16" hidden="1">
      <c r="A6905" s="2">
        <v>202204</v>
      </c>
      <c r="B6905" s="3">
        <v>44652</v>
      </c>
      <c r="C6905" s="2" t="s">
        <v>2265</v>
      </c>
      <c r="D6905" s="2" t="s">
        <v>597</v>
      </c>
      <c r="E6905" s="2">
        <v>200</v>
      </c>
      <c r="F6905" s="2" t="e">
        <f>IF(Table2[[#This Row],[Manual Cat Value]]="",VLOOKUP(Table2[[#This Row],[Description]],'Actuals Lookup'!D:F,3,0),Table2[[#This Row],[Manual Cat Value]])</f>
        <v>#N/A</v>
      </c>
      <c r="J6905" s="2">
        <v>200</v>
      </c>
      <c r="K6905" s="2" t="b">
        <v>0</v>
      </c>
      <c r="L6905" s="2"/>
      <c r="M6905" s="2"/>
      <c r="N6905" s="4" t="s">
        <v>2259</v>
      </c>
      <c r="O6905" s="4" t="str">
        <f>LEFT(Table2[[#This Row],[Description]],75)</f>
        <v>College Savings TYPE ACH ID XX58</v>
      </c>
      <c r="P6905" s="2" t="s">
        <v>2592</v>
      </c>
    </row>
    <row r="6906" spans="1:16" hidden="1">
      <c r="A6906" s="2">
        <v>202204</v>
      </c>
      <c r="B6906" s="3">
        <v>44652</v>
      </c>
      <c r="C6906" s="2" t="s">
        <v>2314</v>
      </c>
      <c r="D6906" s="2" t="s">
        <v>859</v>
      </c>
      <c r="E6906" s="2">
        <v>-595.57000000000005</v>
      </c>
      <c r="F6906" s="2" t="e">
        <f>IF(Table2[[#This Row],[Manual Cat Value]]="",VLOOKUP(Table2[[#This Row],[Description]],'Actuals Lookup'!D:F,3,0),Table2[[#This Row],[Manual Cat Value]])</f>
        <v>#N/A</v>
      </c>
      <c r="J6906" s="2">
        <v>-595.57000000000005</v>
      </c>
      <c r="K6906" s="2" t="b">
        <v>0</v>
      </c>
      <c r="L6906" s="2"/>
      <c r="M6906" s="2"/>
      <c r="N6906" s="4" t="s">
        <v>2273</v>
      </c>
      <c r="O6906" s="4" t="str">
        <f>LEFT(Table2[[#This Row],[Description]],75)</f>
        <v>From Share 70</v>
      </c>
      <c r="P6906" s="2" t="s">
        <v>2496</v>
      </c>
    </row>
    <row r="6907" spans="1:16" hidden="1">
      <c r="A6907" s="2">
        <v>202204</v>
      </c>
      <c r="B6907" s="3">
        <v>44652</v>
      </c>
      <c r="C6907" s="2" t="s">
        <v>2262</v>
      </c>
      <c r="D6907" s="2" t="s">
        <v>945</v>
      </c>
      <c r="E6907" s="2">
        <v>20.66</v>
      </c>
      <c r="F6907" s="2" t="str">
        <f>IF(Table2[[#This Row],[Manual Cat Value]]="",VLOOKUP(Table2[[#This Row],[Description]],'Actuals Lookup'!D:F,3,0),Table2[[#This Row],[Manual Cat Value]])</f>
        <v>Groceries</v>
      </c>
      <c r="J6907" s="2">
        <v>20.66</v>
      </c>
      <c r="K6907" s="2" t="b">
        <v>0</v>
      </c>
      <c r="L6907" s="2"/>
      <c r="M6907" s="2"/>
      <c r="N6907" s="4" t="s">
        <v>2259</v>
      </c>
      <c r="O6907" s="4" t="str">
        <f>LEFT(Table2[[#This Row],[Description]],75)</f>
        <v>Holiday Stationstores</v>
      </c>
      <c r="P6907" s="2" t="s">
        <v>2605</v>
      </c>
    </row>
    <row r="6908" spans="1:16" hidden="1">
      <c r="A6908" s="2">
        <v>202204</v>
      </c>
      <c r="B6908" s="3">
        <v>44652</v>
      </c>
      <c r="C6908" s="2" t="s">
        <v>2262</v>
      </c>
      <c r="D6908" s="2" t="s">
        <v>945</v>
      </c>
      <c r="E6908" s="2">
        <v>56.45</v>
      </c>
      <c r="F6908" s="2" t="str">
        <f>IF(Table2[[#This Row],[Manual Cat Value]]="",VLOOKUP(Table2[[#This Row],[Description]],'Actuals Lookup'!D:F,3,0),Table2[[#This Row],[Manual Cat Value]])</f>
        <v>Groceries</v>
      </c>
      <c r="J6908" s="2">
        <v>56.45</v>
      </c>
      <c r="K6908" s="2" t="b">
        <v>0</v>
      </c>
      <c r="L6908" s="2"/>
      <c r="M6908" s="2"/>
      <c r="N6908" s="4" t="s">
        <v>2259</v>
      </c>
      <c r="O6908" s="4" t="str">
        <f>LEFT(Table2[[#This Row],[Description]],75)</f>
        <v>Holiday Stationstores</v>
      </c>
      <c r="P6908" s="2" t="s">
        <v>2605</v>
      </c>
    </row>
    <row r="6909" spans="1:16" hidden="1">
      <c r="A6909" s="2">
        <v>202204</v>
      </c>
      <c r="B6909" s="3">
        <v>44652</v>
      </c>
      <c r="C6909" s="2" t="s">
        <v>2270</v>
      </c>
      <c r="D6909" s="2" t="s">
        <v>1524</v>
      </c>
      <c r="E6909" s="2">
        <v>-431</v>
      </c>
      <c r="F6909" s="2" t="e">
        <f>IF(Table2[[#This Row],[Manual Cat Value]]="",VLOOKUP(Table2[[#This Row],[Description]],'Actuals Lookup'!D:F,3,0),Table2[[#This Row],[Manual Cat Value]])</f>
        <v>#N/A</v>
      </c>
      <c r="J6909" s="2">
        <v>-431</v>
      </c>
      <c r="K6909" s="2" t="b">
        <v>0</v>
      </c>
      <c r="L6909" s="2"/>
      <c r="M6909" s="2"/>
      <c r="N6909" s="4" t="s">
        <v>2273</v>
      </c>
      <c r="O6909" s="4" t="str">
        <f>LEFT(Table2[[#This Row],[Description]],75)</f>
        <v>Principal Curtailment</v>
      </c>
      <c r="P6909" s="2" t="s">
        <v>2514</v>
      </c>
    </row>
    <row r="6910" spans="1:16" hidden="1">
      <c r="A6910" s="2">
        <v>202204</v>
      </c>
      <c r="B6910" s="3">
        <v>44652</v>
      </c>
      <c r="C6910" s="2" t="s">
        <v>2265</v>
      </c>
      <c r="D6910" s="2" t="s">
        <v>1877</v>
      </c>
      <c r="E6910" s="2">
        <v>618.65</v>
      </c>
      <c r="F6910" s="2" t="e">
        <f>IF(Table2[[#This Row],[Manual Cat Value]]="",VLOOKUP(Table2[[#This Row],[Description]],'Actuals Lookup'!D:F,3,0),Table2[[#This Row],[Manual Cat Value]])</f>
        <v>#N/A</v>
      </c>
      <c r="J6910" s="2">
        <v>618.65</v>
      </c>
      <c r="K6910" s="2" t="b">
        <v>0</v>
      </c>
      <c r="L6910" s="2"/>
      <c r="M6910" s="2"/>
      <c r="N6910" s="4" t="s">
        <v>2259</v>
      </c>
      <c r="O6910" s="4" t="str">
        <f>LEFT(Table2[[#This Row],[Description]],75)</f>
        <v>To Loan 02</v>
      </c>
      <c r="P6910" s="2" t="s">
        <v>2316</v>
      </c>
    </row>
    <row r="6911" spans="1:16" hidden="1">
      <c r="A6911" s="2">
        <v>202204</v>
      </c>
      <c r="B6911" s="3">
        <v>44652</v>
      </c>
      <c r="C6911" s="2" t="s">
        <v>2270</v>
      </c>
      <c r="D6911" s="2" t="s">
        <v>1410</v>
      </c>
      <c r="E6911" s="2">
        <v>-763.51</v>
      </c>
      <c r="F6911" s="2" t="str">
        <f>IF(Table2[[#This Row],[Manual Cat Value]]="",VLOOKUP(Table2[[#This Row],[Description]],'Actuals Lookup'!D:F,3,0),Table2[[#This Row],[Manual Cat Value]])</f>
        <v>Delete</v>
      </c>
      <c r="J6911" s="2">
        <v>-763.51</v>
      </c>
      <c r="K6911" s="2" t="b">
        <v>0</v>
      </c>
      <c r="L6911" s="2"/>
      <c r="M6911" s="2"/>
      <c r="N6911" s="4" t="s">
        <v>2273</v>
      </c>
      <c r="O6911" s="4" t="str">
        <f>LEFT(Table2[[#This Row],[Description]],75)</f>
        <v>PAYMENT</v>
      </c>
      <c r="P6911" s="2" t="s">
        <v>2492</v>
      </c>
    </row>
    <row r="6912" spans="1:16" hidden="1">
      <c r="A6912" s="2">
        <v>202204</v>
      </c>
      <c r="B6912" s="3">
        <v>44652</v>
      </c>
      <c r="C6912" s="2" t="s">
        <v>2265</v>
      </c>
      <c r="D6912" s="2" t="s">
        <v>1460</v>
      </c>
      <c r="E6912" s="2">
        <v>3003.94</v>
      </c>
      <c r="F6912" s="2" t="str">
        <f>IF(Table2[[#This Row],[Manual Cat Value]]="",VLOOKUP(Table2[[#This Row],[Description]],'Actuals Lookup'!D:F,3,0),Table2[[#This Row],[Manual Cat Value]])</f>
        <v>Rent</v>
      </c>
      <c r="J6912" s="2">
        <v>3003.94</v>
      </c>
      <c r="K6912" s="2" t="b">
        <v>0</v>
      </c>
      <c r="L6912" s="2"/>
      <c r="M6912" s="2"/>
      <c r="N6912" s="4" t="s">
        <v>2259</v>
      </c>
      <c r="O6912" s="4" t="str">
        <f>LEFT(Table2[[#This Row],[Description]],75)</f>
        <v>Payment to Baxter Credit Union</v>
      </c>
      <c r="P6912" s="2" t="s">
        <v>2281</v>
      </c>
    </row>
    <row r="6913" spans="1:16" hidden="1">
      <c r="A6913" s="2">
        <v>202204</v>
      </c>
      <c r="B6913" s="3">
        <v>44653</v>
      </c>
      <c r="C6913" s="2" t="s">
        <v>2447</v>
      </c>
      <c r="D6913" s="2" t="s">
        <v>1476</v>
      </c>
      <c r="E6913" s="2">
        <v>10.87</v>
      </c>
      <c r="F6913" s="2" t="e">
        <f>IF(Table2[[#This Row],[Manual Cat Value]]="",VLOOKUP(Table2[[#This Row],[Description]],'Actuals Lookup'!D:F,3,0),Table2[[#This Row],[Manual Cat Value]])</f>
        <v>#N/A</v>
      </c>
      <c r="J6913" s="2">
        <v>10.87</v>
      </c>
      <c r="K6913" s="2" t="b">
        <v>0</v>
      </c>
      <c r="L6913" s="2"/>
      <c r="M6913" s="2"/>
      <c r="N6913" s="4" t="s">
        <v>2259</v>
      </c>
      <c r="O6913" s="4" t="str">
        <f>LEFT(Table2[[#This Row],[Description]],75)</f>
        <v>PEKARNA MEAT MARKET JORDAN MN</v>
      </c>
      <c r="P6913" s="2" t="s">
        <v>2281</v>
      </c>
    </row>
    <row r="6914" spans="1:16" hidden="1">
      <c r="A6914" s="2">
        <v>202204</v>
      </c>
      <c r="B6914" s="3">
        <v>44653</v>
      </c>
      <c r="C6914" s="2" t="s">
        <v>2447</v>
      </c>
      <c r="D6914" s="2" t="s">
        <v>2155</v>
      </c>
      <c r="E6914" s="2">
        <v>71.62</v>
      </c>
      <c r="F6914" s="2" t="e">
        <f>IF(Table2[[#This Row],[Manual Cat Value]]="",VLOOKUP(Table2[[#This Row],[Description]],'Actuals Lookup'!D:F,3,0),Table2[[#This Row],[Manual Cat Value]])</f>
        <v>#N/A</v>
      </c>
      <c r="J6914" s="2">
        <v>71.62</v>
      </c>
      <c r="K6914" s="2" t="b">
        <v>0</v>
      </c>
      <c r="L6914" s="2"/>
      <c r="M6914" s="2"/>
      <c r="N6914" s="4" t="s">
        <v>2259</v>
      </c>
      <c r="O6914" s="4" t="str">
        <f>LEFT(Table2[[#This Row],[Description]],75)</f>
        <v>WILD RUFFLE 6128055138 MN</v>
      </c>
      <c r="P6914" s="2" t="s">
        <v>2281</v>
      </c>
    </row>
    <row r="6915" spans="1:16" hidden="1">
      <c r="A6915" s="2">
        <v>202204</v>
      </c>
      <c r="B6915" s="3">
        <v>44654</v>
      </c>
      <c r="C6915" s="2" t="s">
        <v>2262</v>
      </c>
      <c r="D6915" s="2" t="s">
        <v>925</v>
      </c>
      <c r="E6915" s="2">
        <v>18</v>
      </c>
      <c r="F6915" s="2" t="e">
        <f>IF(Table2[[#This Row],[Manual Cat Value]]="",VLOOKUP(Table2[[#This Row],[Description]],'Actuals Lookup'!D:F,3,0),Table2[[#This Row],[Manual Cat Value]])</f>
        <v>#N/A</v>
      </c>
      <c r="J6915" s="2">
        <v>18</v>
      </c>
      <c r="K6915" s="2" t="b">
        <v>0</v>
      </c>
      <c r="L6915" s="2"/>
      <c r="M6915" s="2"/>
      <c r="N6915" s="4" t="s">
        <v>2259</v>
      </c>
      <c r="O6915" s="4" t="str">
        <f>LEFT(Table2[[#This Row],[Description]],75)</f>
        <v>HBRSUBSCRIPTION XX0886 MA</v>
      </c>
      <c r="P6915" s="2" t="s">
        <v>2564</v>
      </c>
    </row>
    <row r="6916" spans="1:16" hidden="1">
      <c r="A6916" s="2">
        <v>202204</v>
      </c>
      <c r="B6916" s="3">
        <v>44654</v>
      </c>
      <c r="C6916" s="2" t="s">
        <v>2262</v>
      </c>
      <c r="D6916" s="2" t="s">
        <v>963</v>
      </c>
      <c r="E6916" s="2">
        <v>25</v>
      </c>
      <c r="F6916" s="2" t="e">
        <f>IF(Table2[[#This Row],[Manual Cat Value]]="",VLOOKUP(Table2[[#This Row],[Description]],'Actuals Lookup'!D:F,3,0),Table2[[#This Row],[Manual Cat Value]])</f>
        <v>#N/A</v>
      </c>
      <c r="J6916" s="2">
        <v>25</v>
      </c>
      <c r="K6916" s="2" t="b">
        <v>0</v>
      </c>
      <c r="L6916" s="2"/>
      <c r="M6916" s="2"/>
      <c r="N6916" s="4" t="s">
        <v>2259</v>
      </c>
      <c r="O6916" s="4" t="str">
        <f>LEFT(Table2[[#This Row],[Description]],75)</f>
        <v>IN MORLEYS MAPLE SYRUP XX2301 WI</v>
      </c>
      <c r="P6916" s="2" t="s">
        <v>2281</v>
      </c>
    </row>
    <row r="6917" spans="1:16" hidden="1">
      <c r="A6917" s="2">
        <v>202204</v>
      </c>
      <c r="B6917" s="3">
        <v>44654</v>
      </c>
      <c r="C6917" s="2" t="s">
        <v>2262</v>
      </c>
      <c r="D6917" s="2" t="s">
        <v>1267</v>
      </c>
      <c r="E6917" s="2">
        <v>107</v>
      </c>
      <c r="F6917" s="2" t="str">
        <f>IF(Table2[[#This Row],[Manual Cat Value]]="",VLOOKUP(Table2[[#This Row],[Description]],'Actuals Lookup'!D:F,3,0),Table2[[#This Row],[Manual Cat Value]])</f>
        <v>Entertainment</v>
      </c>
      <c r="J6917" s="2">
        <v>107</v>
      </c>
      <c r="K6917" s="2" t="b">
        <v>0</v>
      </c>
      <c r="L6917" s="2"/>
      <c r="M6917" s="2"/>
      <c r="N6917" s="4" t="s">
        <v>2259</v>
      </c>
      <c r="O6917" s="4" t="str">
        <f>LEFT(Table2[[#This Row],[Description]],75)</f>
        <v>Minnesota State Parks</v>
      </c>
      <c r="P6917" s="2" t="s">
        <v>2281</v>
      </c>
    </row>
    <row r="6918" spans="1:16" hidden="1">
      <c r="A6918" s="2">
        <v>202204</v>
      </c>
      <c r="B6918" s="3">
        <v>44654</v>
      </c>
      <c r="C6918" s="2" t="s">
        <v>2262</v>
      </c>
      <c r="D6918" s="2" t="s">
        <v>1267</v>
      </c>
      <c r="E6918" s="2">
        <v>157</v>
      </c>
      <c r="F6918" s="2" t="str">
        <f>IF(Table2[[#This Row],[Manual Cat Value]]="",VLOOKUP(Table2[[#This Row],[Description]],'Actuals Lookup'!D:F,3,0),Table2[[#This Row],[Manual Cat Value]])</f>
        <v>Entertainment</v>
      </c>
      <c r="J6918" s="2">
        <v>157</v>
      </c>
      <c r="K6918" s="2" t="b">
        <v>0</v>
      </c>
      <c r="L6918" s="2"/>
      <c r="M6918" s="2"/>
      <c r="N6918" s="4" t="s">
        <v>2259</v>
      </c>
      <c r="O6918" s="4" t="str">
        <f>LEFT(Table2[[#This Row],[Description]],75)</f>
        <v>Minnesota State Parks</v>
      </c>
      <c r="P6918" s="2" t="s">
        <v>2281</v>
      </c>
    </row>
    <row r="6919" spans="1:16" hidden="1">
      <c r="A6919" s="2">
        <v>202204</v>
      </c>
      <c r="B6919" s="3">
        <v>44655</v>
      </c>
      <c r="C6919" s="2" t="s">
        <v>2265</v>
      </c>
      <c r="D6919" s="2" t="s">
        <v>996</v>
      </c>
      <c r="E6919" s="2">
        <v>-13083</v>
      </c>
      <c r="F6919" s="2" t="e">
        <f>IF(Table2[[#This Row],[Manual Cat Value]]="",VLOOKUP(Table2[[#This Row],[Description]],'Actuals Lookup'!D:F,3,0),Table2[[#This Row],[Manual Cat Value]])</f>
        <v>#N/A</v>
      </c>
      <c r="J6919" s="2">
        <v>-13083</v>
      </c>
      <c r="K6919" s="2" t="b">
        <v>0</v>
      </c>
      <c r="L6919" s="2"/>
      <c r="M6919" s="2"/>
      <c r="N6919" s="4" t="s">
        <v>2273</v>
      </c>
      <c r="O6919" s="4" t="str">
        <f>LEFT(Table2[[#This Row],[Description]],75)</f>
        <v>Internal Revenue Service Deposit</v>
      </c>
      <c r="P6919" s="2" t="s">
        <v>2281</v>
      </c>
    </row>
    <row r="6920" spans="1:16" hidden="1">
      <c r="A6920" s="2">
        <v>202204</v>
      </c>
      <c r="B6920" s="3">
        <v>44655</v>
      </c>
      <c r="C6920" s="2" t="s">
        <v>2262</v>
      </c>
      <c r="D6920" s="2" t="s">
        <v>1163</v>
      </c>
      <c r="E6920" s="2">
        <v>143.08000000000001</v>
      </c>
      <c r="F6920" s="2" t="e">
        <f>IF(Table2[[#This Row],[Manual Cat Value]]="",VLOOKUP(Table2[[#This Row],[Description]],'Actuals Lookup'!D:F,3,0),Table2[[#This Row],[Manual Cat Value]])</f>
        <v>#N/A</v>
      </c>
      <c r="J6920" s="2">
        <v>143.08000000000001</v>
      </c>
      <c r="K6920" s="2" t="b">
        <v>0</v>
      </c>
      <c r="L6920" s="2"/>
      <c r="M6920" s="2"/>
      <c r="N6920" s="4" t="s">
        <v>2259</v>
      </c>
      <c r="O6920" s="4" t="str">
        <f>LEFT(Table2[[#This Row],[Description]],75)</f>
        <v>Lunds  Byerlys</v>
      </c>
      <c r="P6920" s="2" t="s">
        <v>2364</v>
      </c>
    </row>
    <row r="6921" spans="1:16" hidden="1">
      <c r="A6921" s="2">
        <v>202204</v>
      </c>
      <c r="B6921" s="3">
        <v>44655</v>
      </c>
      <c r="C6921" s="2" t="s">
        <v>2262</v>
      </c>
      <c r="D6921" s="2" t="s">
        <v>1333</v>
      </c>
      <c r="E6921" s="2">
        <v>27</v>
      </c>
      <c r="F6921" s="2" t="e">
        <f>IF(Table2[[#This Row],[Manual Cat Value]]="",VLOOKUP(Table2[[#This Row],[Description]],'Actuals Lookup'!D:F,3,0),Table2[[#This Row],[Manual Cat Value]])</f>
        <v>#N/A</v>
      </c>
      <c r="J6921" s="2">
        <v>27</v>
      </c>
      <c r="K6921" s="2" t="b">
        <v>0</v>
      </c>
      <c r="L6921" s="2"/>
      <c r="M6921" s="2"/>
      <c r="N6921" s="4" t="s">
        <v>2259</v>
      </c>
      <c r="O6921" s="4" t="str">
        <f>LEFT(Table2[[#This Row],[Description]],75)</f>
        <v>MOUSSE SPARKLING WINE CO JORDAN</v>
      </c>
      <c r="P6921" s="2" t="s">
        <v>2281</v>
      </c>
    </row>
    <row r="6922" spans="1:16" hidden="1">
      <c r="A6922" s="2">
        <v>202204</v>
      </c>
      <c r="B6922" s="3">
        <v>44655</v>
      </c>
      <c r="C6922" s="2" t="s">
        <v>2262</v>
      </c>
      <c r="D6922" s="2" t="s">
        <v>1924</v>
      </c>
      <c r="E6922" s="2">
        <v>50.5</v>
      </c>
      <c r="F6922" s="2" t="e">
        <f>IF(Table2[[#This Row],[Manual Cat Value]]="",VLOOKUP(Table2[[#This Row],[Description]],'Actuals Lookup'!D:F,3,0),Table2[[#This Row],[Manual Cat Value]])</f>
        <v>#N/A</v>
      </c>
      <c r="J6922" s="2">
        <v>50.5</v>
      </c>
      <c r="K6922" s="2" t="b">
        <v>0</v>
      </c>
      <c r="L6922" s="2"/>
      <c r="M6922" s="2"/>
      <c r="N6922" s="4" t="s">
        <v>2259</v>
      </c>
      <c r="O6922" s="4" t="str">
        <f>LEFT(Table2[[#This Row],[Description]],75)</f>
        <v>Total Wine  More</v>
      </c>
      <c r="P6922" s="2" t="s">
        <v>2595</v>
      </c>
    </row>
    <row r="6923" spans="1:16" hidden="1">
      <c r="A6923" s="2">
        <v>202204</v>
      </c>
      <c r="B6923" s="3">
        <v>44656</v>
      </c>
      <c r="C6923" s="2" t="s">
        <v>2262</v>
      </c>
      <c r="D6923" s="2" t="s">
        <v>935</v>
      </c>
      <c r="E6923" s="2">
        <v>64.959999999999994</v>
      </c>
      <c r="F6923" s="2" t="e">
        <f>IF(Table2[[#This Row],[Manual Cat Value]]="",VLOOKUP(Table2[[#This Row],[Description]],'Actuals Lookup'!D:F,3,0),Table2[[#This Row],[Manual Cat Value]])</f>
        <v>#N/A</v>
      </c>
      <c r="J6923" s="2">
        <v>64.959999999999994</v>
      </c>
      <c r="K6923" s="2" t="b">
        <v>0</v>
      </c>
      <c r="L6923" s="2"/>
      <c r="M6923" s="2"/>
      <c r="N6923" s="4" t="s">
        <v>2259</v>
      </c>
      <c r="O6923" s="4" t="str">
        <f>LEFT(Table2[[#This Row],[Description]],75)</f>
        <v>HM</v>
      </c>
      <c r="P6923" s="2" t="s">
        <v>2281</v>
      </c>
    </row>
    <row r="6924" spans="1:16" hidden="1">
      <c r="A6924" s="2">
        <v>202204</v>
      </c>
      <c r="B6924" s="3">
        <v>44657</v>
      </c>
      <c r="C6924" s="2" t="s">
        <v>2262</v>
      </c>
      <c r="D6924" s="2" t="s">
        <v>2594</v>
      </c>
      <c r="E6924" s="2">
        <v>126.04</v>
      </c>
      <c r="F6924" s="2" t="str">
        <f>IF(Table2[[#This Row],[Manual Cat Value]]="",VLOOKUP(Table2[[#This Row],[Description]],'Actuals Lookup'!D:F,3,0),Table2[[#This Row],[Manual Cat Value]])</f>
        <v>Healthcare</v>
      </c>
      <c r="J6924" s="2">
        <v>126.04</v>
      </c>
      <c r="K6924" s="2" t="b">
        <v>0</v>
      </c>
      <c r="L6924" s="2"/>
      <c r="M6924" s="2"/>
      <c r="N6924" s="4" t="s">
        <v>2259</v>
      </c>
      <c r="O6924" s="4" t="str">
        <f>LEFT(Table2[[#This Row],[Description]],75)</f>
        <v>AdvoCare</v>
      </c>
      <c r="P6924" s="2" t="s">
        <v>2292</v>
      </c>
    </row>
    <row r="6925" spans="1:16" hidden="1">
      <c r="A6925" s="2">
        <v>202204</v>
      </c>
      <c r="B6925" s="3">
        <v>44657</v>
      </c>
      <c r="C6925" s="2" t="s">
        <v>2262</v>
      </c>
      <c r="D6925" s="2" t="s">
        <v>1340</v>
      </c>
      <c r="E6925" s="2">
        <v>4.99</v>
      </c>
      <c r="F6925" s="2" t="e">
        <f>IF(Table2[[#This Row],[Manual Cat Value]]="",VLOOKUP(Table2[[#This Row],[Description]],'Actuals Lookup'!D:F,3,0),Table2[[#This Row],[Manual Cat Value]])</f>
        <v>#N/A</v>
      </c>
      <c r="J6925" s="2">
        <v>4.99</v>
      </c>
      <c r="K6925" s="2" t="b">
        <v>0</v>
      </c>
      <c r="L6925" s="2"/>
      <c r="M6925" s="2"/>
      <c r="N6925" s="4" t="s">
        <v>2259</v>
      </c>
      <c r="O6925" s="4" t="str">
        <f>LEFT(Table2[[#This Row],[Description]],75)</f>
        <v>MSP HUDSON ST2295 SAINT PAUL MN</v>
      </c>
      <c r="P6925" s="2" t="s">
        <v>2281</v>
      </c>
    </row>
    <row r="6926" spans="1:16" hidden="1">
      <c r="A6926" s="2">
        <v>202204</v>
      </c>
      <c r="B6926" s="3">
        <v>44657</v>
      </c>
      <c r="C6926" s="2" t="s">
        <v>2262</v>
      </c>
      <c r="D6926" s="2" t="s">
        <v>1352</v>
      </c>
      <c r="E6926" s="2">
        <v>25.77</v>
      </c>
      <c r="F6926" s="2" t="e">
        <f>IF(Table2[[#This Row],[Manual Cat Value]]="",VLOOKUP(Table2[[#This Row],[Description]],'Actuals Lookup'!D:F,3,0),Table2[[#This Row],[Manual Cat Value]])</f>
        <v>#N/A</v>
      </c>
      <c r="J6926" s="2">
        <v>25.77</v>
      </c>
      <c r="K6926" s="2" t="b">
        <v>0</v>
      </c>
      <c r="L6926" s="2"/>
      <c r="M6926" s="2"/>
      <c r="N6926" s="4" t="s">
        <v>2259</v>
      </c>
      <c r="O6926" s="4" t="str">
        <f>LEFT(Table2[[#This Row],[Description]],75)</f>
        <v>Noodles  Company</v>
      </c>
      <c r="P6926" s="2" t="s">
        <v>2606</v>
      </c>
    </row>
    <row r="6927" spans="1:16" hidden="1">
      <c r="A6927" s="2">
        <v>202204</v>
      </c>
      <c r="B6927" s="3">
        <v>44657</v>
      </c>
      <c r="C6927" s="2" t="s">
        <v>2262</v>
      </c>
      <c r="D6927" s="2" t="s">
        <v>1523</v>
      </c>
      <c r="E6927" s="2">
        <v>228.77</v>
      </c>
      <c r="F6927" s="2" t="e">
        <f>IF(Table2[[#This Row],[Manual Cat Value]]="",VLOOKUP(Table2[[#This Row],[Description]],'Actuals Lookup'!D:F,3,0),Table2[[#This Row],[Manual Cat Value]])</f>
        <v>#N/A</v>
      </c>
      <c r="J6927" s="2">
        <v>228.77</v>
      </c>
      <c r="K6927" s="2" t="b">
        <v>0</v>
      </c>
      <c r="L6927" s="2"/>
      <c r="M6927" s="2"/>
      <c r="N6927" s="4" t="s">
        <v>2259</v>
      </c>
      <c r="O6927" s="4" t="str">
        <f>LEFT(Table2[[#This Row],[Description]],75)</f>
        <v>PRIMP EXCELSIOR XX1049 MN</v>
      </c>
      <c r="P6927" s="2" t="s">
        <v>2281</v>
      </c>
    </row>
    <row r="6928" spans="1:16" hidden="1">
      <c r="A6928" s="2">
        <v>202204</v>
      </c>
      <c r="B6928" s="3">
        <v>44657</v>
      </c>
      <c r="C6928" s="2" t="s">
        <v>2262</v>
      </c>
      <c r="D6928" s="2" t="s">
        <v>1600</v>
      </c>
      <c r="E6928" s="2">
        <v>80.959999999999994</v>
      </c>
      <c r="F6928" s="2" t="e">
        <f>IF(Table2[[#This Row],[Manual Cat Value]]="",VLOOKUP(Table2[[#This Row],[Description]],'Actuals Lookup'!D:F,3,0),Table2[[#This Row],[Manual Cat Value]])</f>
        <v>#N/A</v>
      </c>
      <c r="J6928" s="2">
        <v>80.959999999999994</v>
      </c>
      <c r="K6928" s="2" t="b">
        <v>0</v>
      </c>
      <c r="L6928" s="2"/>
      <c r="M6928" s="2"/>
      <c r="N6928" s="4" t="s">
        <v>2259</v>
      </c>
      <c r="O6928" s="4" t="str">
        <f>LEFT(Table2[[#This Row],[Description]],75)</f>
        <v>Roka Akor</v>
      </c>
      <c r="P6928" s="2" t="s">
        <v>2281</v>
      </c>
    </row>
    <row r="6929" spans="1:16" hidden="1">
      <c r="A6929" s="2">
        <v>202204</v>
      </c>
      <c r="B6929" s="3">
        <v>44658</v>
      </c>
      <c r="C6929" s="2" t="s">
        <v>2262</v>
      </c>
      <c r="D6929" s="2" t="s">
        <v>314</v>
      </c>
      <c r="E6929" s="2">
        <v>3.34</v>
      </c>
      <c r="F6929" s="2" t="e">
        <f>IF(Table2[[#This Row],[Manual Cat Value]]="",VLOOKUP(Table2[[#This Row],[Description]],'Actuals Lookup'!D:F,3,0),Table2[[#This Row],[Manual Cat Value]])</f>
        <v>#N/A</v>
      </c>
      <c r="J6929" s="2">
        <v>3.34</v>
      </c>
      <c r="K6929" s="2" t="b">
        <v>0</v>
      </c>
      <c r="L6929" s="2"/>
      <c r="M6929" s="2"/>
      <c r="N6929" s="4" t="s">
        <v>2259</v>
      </c>
      <c r="O6929" s="4" t="str">
        <f>LEFT(Table2[[#This Row],[Description]],75)</f>
        <v>BOTTLE ROCKET TERM 1 C ST PAUL M</v>
      </c>
      <c r="P6929" s="2" t="s">
        <v>2281</v>
      </c>
    </row>
    <row r="6930" spans="1:16" hidden="1">
      <c r="A6930" s="2">
        <v>202204</v>
      </c>
      <c r="B6930" s="3">
        <v>44658</v>
      </c>
      <c r="C6930" s="2" t="s">
        <v>2262</v>
      </c>
      <c r="D6930" s="2" t="s">
        <v>1013</v>
      </c>
      <c r="E6930" s="2">
        <v>19.510000000000002</v>
      </c>
      <c r="F6930" s="2" t="e">
        <f>IF(Table2[[#This Row],[Manual Cat Value]]="",VLOOKUP(Table2[[#This Row],[Description]],'Actuals Lookup'!D:F,3,0),Table2[[#This Row],[Manual Cat Value]])</f>
        <v>#N/A</v>
      </c>
      <c r="J6930" s="2">
        <v>19.510000000000002</v>
      </c>
      <c r="K6930" s="2" t="b">
        <v>0</v>
      </c>
      <c r="L6930" s="2"/>
      <c r="M6930" s="2"/>
      <c r="N6930" s="4" t="s">
        <v>2259</v>
      </c>
      <c r="O6930" s="4" t="str">
        <f>LEFT(Table2[[#This Row],[Description]],75)</f>
        <v>Jimmy Johns</v>
      </c>
      <c r="P6930" s="2" t="s">
        <v>2453</v>
      </c>
    </row>
    <row r="6931" spans="1:16" hidden="1">
      <c r="A6931" s="2">
        <v>202204</v>
      </c>
      <c r="B6931" s="3">
        <v>44658</v>
      </c>
      <c r="C6931" s="2" t="s">
        <v>2262</v>
      </c>
      <c r="D6931" s="2" t="s">
        <v>1070</v>
      </c>
      <c r="E6931" s="2">
        <v>52</v>
      </c>
      <c r="F6931" s="2" t="e">
        <f>IF(Table2[[#This Row],[Manual Cat Value]]="",VLOOKUP(Table2[[#This Row],[Description]],'Actuals Lookup'!D:F,3,0),Table2[[#This Row],[Manual Cat Value]])</f>
        <v>#N/A</v>
      </c>
      <c r="J6931" s="2">
        <v>52</v>
      </c>
      <c r="K6931" s="2" t="b">
        <v>0</v>
      </c>
      <c r="L6931" s="2"/>
      <c r="M6931" s="2"/>
      <c r="N6931" s="4" t="s">
        <v>2259</v>
      </c>
      <c r="O6931" s="4" t="str">
        <f>LEFT(Table2[[#This Row],[Description]],75)</f>
        <v>KIDS HAIR CH CHANHASSEN MN</v>
      </c>
      <c r="P6931" s="2" t="s">
        <v>2281</v>
      </c>
    </row>
    <row r="6932" spans="1:16" hidden="1">
      <c r="A6932" s="2">
        <v>202204</v>
      </c>
      <c r="B6932" s="3">
        <v>44658</v>
      </c>
      <c r="C6932" s="2" t="s">
        <v>2265</v>
      </c>
      <c r="D6932" s="2" t="s">
        <v>1195</v>
      </c>
      <c r="E6932" s="2">
        <v>536.29999999999995</v>
      </c>
      <c r="F6932" s="2" t="e">
        <f>IF(Table2[[#This Row],[Manual Cat Value]]="",VLOOKUP(Table2[[#This Row],[Description]],'Actuals Lookup'!D:F,3,0),Table2[[#This Row],[Manual Cat Value]])</f>
        <v>#N/A</v>
      </c>
      <c r="J6932" s="2">
        <v>536.29999999999995</v>
      </c>
      <c r="K6932" s="2" t="b">
        <v>0</v>
      </c>
      <c r="L6932" s="2"/>
      <c r="M6932" s="2"/>
      <c r="N6932" s="4" t="s">
        <v>2259</v>
      </c>
      <c r="O6932" s="4" t="str">
        <f>LEFT(Table2[[#This Row],[Description]],75)</f>
        <v>MHCHILDCARELLC TYPE DUES ID CO M</v>
      </c>
      <c r="P6932" s="2" t="s">
        <v>2497</v>
      </c>
    </row>
    <row r="6933" spans="1:16" hidden="1">
      <c r="A6933" s="2">
        <v>202204</v>
      </c>
      <c r="B6933" s="3">
        <v>44658</v>
      </c>
      <c r="C6933" s="2" t="s">
        <v>2262</v>
      </c>
      <c r="D6933" s="2" t="s">
        <v>1347</v>
      </c>
      <c r="E6933" s="2">
        <v>35</v>
      </c>
      <c r="F6933" s="2" t="str">
        <f>IF(Table2[[#This Row],[Manual Cat Value]]="",VLOOKUP(Table2[[#This Row],[Description]],'Actuals Lookup'!D:F,3,0),Table2[[#This Row],[Manual Cat Value]])</f>
        <v>Groceries</v>
      </c>
      <c r="J6933" s="2">
        <v>35</v>
      </c>
      <c r="K6933" s="2" t="b">
        <v>0</v>
      </c>
      <c r="L6933" s="2"/>
      <c r="M6933" s="2"/>
      <c r="N6933" s="4" t="s">
        <v>2259</v>
      </c>
      <c r="O6933" s="4" t="str">
        <f>LEFT(Table2[[#This Row],[Description]],75)</f>
        <v>Nespresso</v>
      </c>
      <c r="P6933" s="2" t="s">
        <v>2281</v>
      </c>
    </row>
    <row r="6934" spans="1:16" hidden="1">
      <c r="A6934" s="2">
        <v>202204</v>
      </c>
      <c r="B6934" s="3">
        <v>44658</v>
      </c>
      <c r="C6934" s="2" t="s">
        <v>2262</v>
      </c>
      <c r="D6934" s="2" t="s">
        <v>1626</v>
      </c>
      <c r="E6934" s="2">
        <v>15.01</v>
      </c>
      <c r="F6934" s="2" t="str">
        <f>IF(Table2[[#This Row],[Manual Cat Value]]="",VLOOKUP(Table2[[#This Row],[Description]],'Actuals Lookup'!D:F,3,0),Table2[[#This Row],[Manual Cat Value]])</f>
        <v>Shopping</v>
      </c>
      <c r="J6934" s="2">
        <v>15.01</v>
      </c>
      <c r="K6934" s="2" t="b">
        <v>0</v>
      </c>
      <c r="L6934" s="2"/>
      <c r="M6934" s="2"/>
      <c r="N6934" s="4" t="s">
        <v>2259</v>
      </c>
      <c r="O6934" s="4" t="str">
        <f>LEFT(Table2[[#This Row],[Description]],75)</f>
        <v>Scholastic Corporation</v>
      </c>
      <c r="P6934" s="2" t="s">
        <v>2281</v>
      </c>
    </row>
    <row r="6935" spans="1:16" hidden="1">
      <c r="A6935" s="2">
        <v>202204</v>
      </c>
      <c r="B6935" s="3">
        <v>44658</v>
      </c>
      <c r="C6935" s="2" t="s">
        <v>2262</v>
      </c>
      <c r="D6935" s="2" t="s">
        <v>1915</v>
      </c>
      <c r="E6935" s="2">
        <v>122</v>
      </c>
      <c r="F6935" s="2" t="e">
        <f>IF(Table2[[#This Row],[Manual Cat Value]]="",VLOOKUP(Table2[[#This Row],[Description]],'Actuals Lookup'!D:F,3,0),Table2[[#This Row],[Manual Cat Value]])</f>
        <v>#N/A</v>
      </c>
      <c r="J6935" s="2">
        <v>122</v>
      </c>
      <c r="K6935" s="2" t="b">
        <v>0</v>
      </c>
      <c r="L6935" s="2"/>
      <c r="M6935" s="2"/>
      <c r="N6935" s="4" t="s">
        <v>2259</v>
      </c>
      <c r="O6935" s="4" t="str">
        <f>LEFT(Table2[[#This Row],[Description]],75)</f>
        <v>TOMMY BAHAMA 613 CHICAGO IL</v>
      </c>
      <c r="P6935" s="2" t="s">
        <v>2281</v>
      </c>
    </row>
    <row r="6936" spans="1:16" hidden="1">
      <c r="A6936" s="2">
        <v>202204</v>
      </c>
      <c r="B6936" s="3">
        <v>44658</v>
      </c>
      <c r="C6936" s="2" t="s">
        <v>2265</v>
      </c>
      <c r="D6936" s="2" t="s">
        <v>1958</v>
      </c>
      <c r="E6936" s="2">
        <v>125</v>
      </c>
      <c r="F6936" s="2" t="str">
        <f>IF(Table2[[#This Row],[Manual Cat Value]]="",VLOOKUP(Table2[[#This Row],[Description]],'Actuals Lookup'!D:F,3,0),Table2[[#This Row],[Manual Cat Value]])</f>
        <v>Shopping</v>
      </c>
      <c r="J6936" s="2">
        <v>125</v>
      </c>
      <c r="K6936" s="2" t="b">
        <v>0</v>
      </c>
      <c r="L6936" s="2"/>
      <c r="M6936" s="2"/>
      <c r="N6936" s="4" t="s">
        <v>2259</v>
      </c>
      <c r="O6936" s="4" t="str">
        <f>LEFT(Table2[[#This Row],[Description]],75)</f>
        <v>Transfer to Venmo</v>
      </c>
      <c r="P6936" s="2" t="s">
        <v>2281</v>
      </c>
    </row>
    <row r="6937" spans="1:16" hidden="1">
      <c r="A6937" s="2">
        <v>202204</v>
      </c>
      <c r="B6937" s="3">
        <v>44658</v>
      </c>
      <c r="C6937" s="2" t="s">
        <v>2265</v>
      </c>
      <c r="D6937" s="2" t="s">
        <v>1470</v>
      </c>
      <c r="E6937" s="2">
        <v>221.8</v>
      </c>
      <c r="F6937" s="2" t="str">
        <f>IF(Table2[[#This Row],[Manual Cat Value]]="",VLOOKUP(Table2[[#This Row],[Description]],'Actuals Lookup'!D:F,3,0),Table2[[#This Row],[Manual Cat Value]])</f>
        <v>Utilities</v>
      </c>
      <c r="J6937" s="2">
        <v>221.8</v>
      </c>
      <c r="K6937" s="2" t="b">
        <v>0</v>
      </c>
      <c r="L6937" s="2"/>
      <c r="M6937" s="2"/>
      <c r="N6937" s="4" t="s">
        <v>2259</v>
      </c>
      <c r="O6937" s="4" t="str">
        <f>LEFT(Table2[[#This Row],[Description]],75)</f>
        <v>Payment to Xcel Energy</v>
      </c>
      <c r="P6937" s="2" t="s">
        <v>2596</v>
      </c>
    </row>
    <row r="6938" spans="1:16" hidden="1">
      <c r="A6938" s="2">
        <v>202204</v>
      </c>
      <c r="B6938" s="3">
        <v>44659</v>
      </c>
      <c r="C6938" s="2" t="s">
        <v>2262</v>
      </c>
      <c r="D6938" s="2" t="s">
        <v>1405</v>
      </c>
      <c r="E6938" s="2">
        <v>50.24</v>
      </c>
      <c r="F6938" s="2" t="e">
        <f>IF(Table2[[#This Row],[Manual Cat Value]]="",VLOOKUP(Table2[[#This Row],[Description]],'Actuals Lookup'!D:F,3,0),Table2[[#This Row],[Manual Cat Value]])</f>
        <v>#N/A</v>
      </c>
      <c r="J6938" s="2">
        <v>50.24</v>
      </c>
      <c r="K6938" s="2" t="b">
        <v>0</v>
      </c>
      <c r="L6938" s="2"/>
      <c r="M6938" s="2"/>
      <c r="N6938" s="4" t="s">
        <v>2259</v>
      </c>
      <c r="O6938" s="4" t="str">
        <f>LEFT(Table2[[#This Row],[Description]],75)</f>
        <v>PARLOR PIZZA W KINZIE   CHICAGO</v>
      </c>
      <c r="P6938" s="2" t="s">
        <v>2281</v>
      </c>
    </row>
    <row r="6939" spans="1:16" hidden="1">
      <c r="A6939" s="2">
        <v>202204</v>
      </c>
      <c r="B6939" s="3">
        <v>44659</v>
      </c>
      <c r="C6939" s="2" t="s">
        <v>2265</v>
      </c>
      <c r="D6939" s="2" t="s">
        <v>2204</v>
      </c>
      <c r="E6939" s="2">
        <v>890.36</v>
      </c>
      <c r="F6939" s="2" t="e">
        <f>IF(Table2[[#This Row],[Manual Cat Value]]="",VLOOKUP(Table2[[#This Row],[Description]],'Actuals Lookup'!D:F,3,0),Table2[[#This Row],[Manual Cat Value]])</f>
        <v>#N/A</v>
      </c>
      <c r="J6939" s="2">
        <v>890.36</v>
      </c>
      <c r="K6939" s="2" t="b">
        <v>0</v>
      </c>
      <c r="L6939" s="2"/>
      <c r="M6939" s="2"/>
      <c r="N6939" s="4" t="s">
        <v>2259</v>
      </c>
      <c r="O6939" s="4" t="str">
        <f>LEFT(Table2[[#This Row],[Description]],75)</f>
        <v>Withdrawal Home Pmt to card XX91</v>
      </c>
      <c r="P6939" s="2" t="s">
        <v>2593</v>
      </c>
    </row>
    <row r="6940" spans="1:16" hidden="1">
      <c r="A6940" s="2">
        <v>202204</v>
      </c>
      <c r="B6940" s="3">
        <v>44659</v>
      </c>
      <c r="C6940" s="2" t="s">
        <v>2262</v>
      </c>
      <c r="D6940" s="2" t="s">
        <v>673</v>
      </c>
      <c r="E6940" s="2">
        <v>-890.36</v>
      </c>
      <c r="F6940" s="2" t="str">
        <f>IF(Table2[[#This Row],[Manual Cat Value]]="",VLOOKUP(Table2[[#This Row],[Description]],'Actuals Lookup'!D:F,3,0),Table2[[#This Row],[Manual Cat Value]])</f>
        <v>Delete</v>
      </c>
      <c r="J6940" s="2">
        <v>-890.36</v>
      </c>
      <c r="K6940" s="2" t="b">
        <v>0</v>
      </c>
      <c r="L6940" s="2"/>
      <c r="M6940" s="2"/>
      <c r="N6940" s="4" t="s">
        <v>2273</v>
      </c>
      <c r="O6940" s="4" t="str">
        <f>LEFT(Table2[[#This Row],[Description]],75)</f>
        <v>Credit Card Payment Received</v>
      </c>
      <c r="P6940" s="2" t="s">
        <v>2597</v>
      </c>
    </row>
    <row r="6941" spans="1:16" hidden="1">
      <c r="A6941" s="2">
        <v>202204</v>
      </c>
      <c r="B6941" s="3">
        <v>44661</v>
      </c>
      <c r="C6941" s="2" t="s">
        <v>2262</v>
      </c>
      <c r="D6941" s="2" t="s">
        <v>786</v>
      </c>
      <c r="E6941" s="2">
        <v>60.3</v>
      </c>
      <c r="F6941" s="2" t="e">
        <f>IF(Table2[[#This Row],[Manual Cat Value]]="",VLOOKUP(Table2[[#This Row],[Description]],'Actuals Lookup'!D:F,3,0),Table2[[#This Row],[Manual Cat Value]])</f>
        <v>#N/A</v>
      </c>
      <c r="J6941" s="2">
        <v>60.3</v>
      </c>
      <c r="K6941" s="2" t="b">
        <v>0</v>
      </c>
      <c r="L6941" s="2"/>
      <c r="M6941" s="2"/>
      <c r="N6941" s="4" t="s">
        <v>2259</v>
      </c>
      <c r="O6941" s="4" t="str">
        <f>LEFT(Table2[[#This Row],[Description]],75)</f>
        <v>DON RAMON STREET TACOS SHAKOPEE</v>
      </c>
      <c r="P6941" s="2" t="s">
        <v>2281</v>
      </c>
    </row>
    <row r="6942" spans="1:16" hidden="1">
      <c r="A6942" s="2">
        <v>202204</v>
      </c>
      <c r="B6942" s="3">
        <v>44661</v>
      </c>
      <c r="C6942" s="2" t="s">
        <v>2262</v>
      </c>
      <c r="D6942" s="2" t="s">
        <v>945</v>
      </c>
      <c r="E6942" s="2">
        <v>61.46</v>
      </c>
      <c r="F6942" s="2" t="str">
        <f>IF(Table2[[#This Row],[Manual Cat Value]]="",VLOOKUP(Table2[[#This Row],[Description]],'Actuals Lookup'!D:F,3,0),Table2[[#This Row],[Manual Cat Value]])</f>
        <v>Groceries</v>
      </c>
      <c r="J6942" s="2">
        <v>61.46</v>
      </c>
      <c r="K6942" s="2" t="b">
        <v>0</v>
      </c>
      <c r="L6942" s="2"/>
      <c r="M6942" s="2"/>
      <c r="N6942" s="4" t="s">
        <v>2259</v>
      </c>
      <c r="O6942" s="4" t="str">
        <f>LEFT(Table2[[#This Row],[Description]],75)</f>
        <v>Holiday Stationstores</v>
      </c>
      <c r="P6942" s="2" t="s">
        <v>2605</v>
      </c>
    </row>
    <row r="6943" spans="1:16" hidden="1">
      <c r="A6943" s="2">
        <v>202204</v>
      </c>
      <c r="B6943" s="3">
        <v>44661</v>
      </c>
      <c r="C6943" s="2" t="s">
        <v>2262</v>
      </c>
      <c r="D6943" s="2" t="s">
        <v>1171</v>
      </c>
      <c r="E6943" s="2">
        <v>115.5</v>
      </c>
      <c r="F6943" s="2" t="e">
        <f>IF(Table2[[#This Row],[Manual Cat Value]]="",VLOOKUP(Table2[[#This Row],[Description]],'Actuals Lookup'!D:F,3,0),Table2[[#This Row],[Manual Cat Value]])</f>
        <v>#N/A</v>
      </c>
      <c r="J6943" s="2">
        <v>115.5</v>
      </c>
      <c r="K6943" s="2" t="b">
        <v>0</v>
      </c>
      <c r="L6943" s="2"/>
      <c r="M6943" s="2"/>
      <c r="N6943" s="4" t="s">
        <v>2259</v>
      </c>
      <c r="O6943" s="4" t="str">
        <f>LEFT(Table2[[#This Row],[Description]],75)</f>
        <v>MACKENTHUNSMEATSANDDELI ST BONIF MACKENTHUNSMEATSANDDELI ST BONIFACIUSMN</v>
      </c>
      <c r="P6943" s="2" t="s">
        <v>2516</v>
      </c>
    </row>
    <row r="6944" spans="1:16" hidden="1">
      <c r="A6944" s="2">
        <v>202204</v>
      </c>
      <c r="B6944" s="3">
        <v>44661</v>
      </c>
      <c r="C6944" s="2" t="s">
        <v>2262</v>
      </c>
      <c r="D6944" s="2" t="s">
        <v>1378</v>
      </c>
      <c r="E6944" s="2">
        <v>63.48</v>
      </c>
      <c r="F6944" s="2" t="e">
        <f>IF(Table2[[#This Row],[Manual Cat Value]]="",VLOOKUP(Table2[[#This Row],[Description]],'Actuals Lookup'!D:F,3,0),Table2[[#This Row],[Manual Cat Value]])</f>
        <v>#N/A</v>
      </c>
      <c r="J6944" s="2">
        <v>63.48</v>
      </c>
      <c r="K6944" s="2" t="b">
        <v>0</v>
      </c>
      <c r="L6944" s="2"/>
      <c r="M6944" s="2"/>
      <c r="N6944" s="4" t="s">
        <v>2259</v>
      </c>
      <c r="O6944" s="4" t="str">
        <f>LEFT(Table2[[#This Row],[Description]],75)</f>
        <v>Old Town Pour House</v>
      </c>
      <c r="P6944" s="2" t="s">
        <v>2281</v>
      </c>
    </row>
    <row r="6945" spans="1:16" hidden="1">
      <c r="A6945" s="2">
        <v>202204</v>
      </c>
      <c r="B6945" s="3">
        <v>44661</v>
      </c>
      <c r="C6945" s="2" t="s">
        <v>2262</v>
      </c>
      <c r="D6945" s="2" t="s">
        <v>1477</v>
      </c>
      <c r="E6945" s="2">
        <v>41.94</v>
      </c>
      <c r="F6945" s="2" t="str">
        <f>IF(Table2[[#This Row],[Manual Cat Value]]="",VLOOKUP(Table2[[#This Row],[Description]],'Actuals Lookup'!D:F,3,0),Table2[[#This Row],[Manual Cat Value]])</f>
        <v>Gym</v>
      </c>
      <c r="J6945" s="2">
        <v>41.94</v>
      </c>
      <c r="K6945" s="2" t="b">
        <v>0</v>
      </c>
      <c r="L6945" s="2"/>
      <c r="M6945" s="2"/>
      <c r="N6945" s="4" t="s">
        <v>2259</v>
      </c>
      <c r="O6945" s="4" t="str">
        <f>LEFT(Table2[[#This Row],[Description]],75)</f>
        <v>Peloton Cycles</v>
      </c>
      <c r="P6945" s="2" t="s">
        <v>2281</v>
      </c>
    </row>
    <row r="6946" spans="1:16" hidden="1">
      <c r="A6946" s="2">
        <v>202204</v>
      </c>
      <c r="B6946" s="3">
        <v>44661</v>
      </c>
      <c r="C6946" s="2" t="s">
        <v>2262</v>
      </c>
      <c r="D6946" s="2" t="s">
        <v>1626</v>
      </c>
      <c r="E6946" s="2">
        <v>20.38</v>
      </c>
      <c r="F6946" s="2" t="str">
        <f>IF(Table2[[#This Row],[Manual Cat Value]]="",VLOOKUP(Table2[[#This Row],[Description]],'Actuals Lookup'!D:F,3,0),Table2[[#This Row],[Manual Cat Value]])</f>
        <v>Shopping</v>
      </c>
      <c r="J6946" s="2">
        <v>20.38</v>
      </c>
      <c r="K6946" s="2" t="b">
        <v>0</v>
      </c>
      <c r="L6946" s="2"/>
      <c r="M6946" s="2"/>
      <c r="N6946" s="4" t="s">
        <v>2259</v>
      </c>
      <c r="O6946" s="4" t="str">
        <f>LEFT(Table2[[#This Row],[Description]],75)</f>
        <v>Scholastic Corporation</v>
      </c>
      <c r="P6946" s="2" t="s">
        <v>2281</v>
      </c>
    </row>
    <row r="6947" spans="1:16" hidden="1">
      <c r="A6947" s="2">
        <v>202204</v>
      </c>
      <c r="B6947" s="3">
        <v>44661</v>
      </c>
      <c r="C6947" s="2" t="s">
        <v>2262</v>
      </c>
      <c r="D6947" s="2" t="s">
        <v>1716</v>
      </c>
      <c r="E6947" s="2">
        <v>16.48</v>
      </c>
      <c r="F6947" s="2" t="e">
        <f>IF(Table2[[#This Row],[Manual Cat Value]]="",VLOOKUP(Table2[[#This Row],[Description]],'Actuals Lookup'!D:F,3,0),Table2[[#This Row],[Manual Cat Value]])</f>
        <v>#N/A</v>
      </c>
      <c r="J6947" s="2">
        <v>16.48</v>
      </c>
      <c r="K6947" s="2" t="b">
        <v>0</v>
      </c>
      <c r="L6947" s="2"/>
      <c r="M6947" s="2"/>
      <c r="N6947" s="4" t="s">
        <v>2259</v>
      </c>
      <c r="O6947" s="4" t="str">
        <f>LEFT(Table2[[#This Row],[Description]],75)</f>
        <v>SQ BADGER HILL BREWING Shakopee</v>
      </c>
      <c r="P6947" s="2" t="s">
        <v>2281</v>
      </c>
    </row>
    <row r="6948" spans="1:16" hidden="1">
      <c r="A6948" s="2">
        <v>202204</v>
      </c>
      <c r="B6948" s="3">
        <v>44661</v>
      </c>
      <c r="C6948" s="2" t="s">
        <v>2262</v>
      </c>
      <c r="D6948" s="2" t="s">
        <v>1773</v>
      </c>
      <c r="E6948" s="2">
        <v>3.52</v>
      </c>
      <c r="F6948" s="2" t="str">
        <f>IF(Table2[[#This Row],[Manual Cat Value]]="",VLOOKUP(Table2[[#This Row],[Description]],'Actuals Lookup'!D:F,3,0),Table2[[#This Row],[Manual Cat Value]])</f>
        <v>Restaurants</v>
      </c>
      <c r="J6948" s="2">
        <v>3.52</v>
      </c>
      <c r="K6948" s="2" t="b">
        <v>0</v>
      </c>
      <c r="L6948" s="2"/>
      <c r="M6948" s="2"/>
      <c r="N6948" s="4" t="s">
        <v>2259</v>
      </c>
      <c r="O6948" s="4" t="str">
        <f>LEFT(Table2[[#This Row],[Description]],75)</f>
        <v>Starbucks</v>
      </c>
      <c r="P6948" s="2" t="s">
        <v>2454</v>
      </c>
    </row>
    <row r="6949" spans="1:16" hidden="1">
      <c r="A6949" s="2">
        <v>202204</v>
      </c>
      <c r="B6949" s="3">
        <v>44661</v>
      </c>
      <c r="C6949" s="2" t="s">
        <v>2262</v>
      </c>
      <c r="D6949" s="2" t="s">
        <v>2046</v>
      </c>
      <c r="E6949" s="2">
        <v>13</v>
      </c>
      <c r="F6949" s="2" t="e">
        <f>IF(Table2[[#This Row],[Manual Cat Value]]="",VLOOKUP(Table2[[#This Row],[Description]],'Actuals Lookup'!D:F,3,0),Table2[[#This Row],[Manual Cat Value]])</f>
        <v>#N/A</v>
      </c>
      <c r="J6949" s="2">
        <v>13</v>
      </c>
      <c r="K6949" s="2" t="b">
        <v>0</v>
      </c>
      <c r="L6949" s="2"/>
      <c r="M6949" s="2"/>
      <c r="N6949" s="4" t="s">
        <v>2259</v>
      </c>
      <c r="O6949" s="4" t="str">
        <f>LEFT(Table2[[#This Row],[Description]],75)</f>
        <v>TST UNMAPPED BREWING COMINNETONK</v>
      </c>
      <c r="P6949" s="2" t="s">
        <v>2281</v>
      </c>
    </row>
    <row r="6950" spans="1:16" hidden="1">
      <c r="A6950" s="2">
        <v>202204</v>
      </c>
      <c r="B6950" s="3">
        <v>44661</v>
      </c>
      <c r="C6950" s="2" t="s">
        <v>2262</v>
      </c>
      <c r="D6950" s="2" t="s">
        <v>2078</v>
      </c>
      <c r="E6950" s="2">
        <v>31.91</v>
      </c>
      <c r="F6950" s="2" t="str">
        <f>IF(Table2[[#This Row],[Manual Cat Value]]="",VLOOKUP(Table2[[#This Row],[Description]],'Actuals Lookup'!D:F,3,0),Table2[[#This Row],[Manual Cat Value]])</f>
        <v>Transportation</v>
      </c>
      <c r="J6950" s="2">
        <v>31.91</v>
      </c>
      <c r="K6950" s="2" t="b">
        <v>0</v>
      </c>
      <c r="L6950" s="2"/>
      <c r="M6950" s="2"/>
      <c r="N6950" s="4" t="s">
        <v>2259</v>
      </c>
      <c r="O6950" s="4" t="str">
        <f>LEFT(Table2[[#This Row],[Description]],75)</f>
        <v>Uber</v>
      </c>
      <c r="P6950" s="2" t="s">
        <v>2281</v>
      </c>
    </row>
    <row r="6951" spans="1:16" hidden="1">
      <c r="A6951" s="2">
        <v>202204</v>
      </c>
      <c r="B6951" s="3">
        <v>44662</v>
      </c>
      <c r="C6951" s="2" t="s">
        <v>2262</v>
      </c>
      <c r="D6951" s="2" t="s">
        <v>96</v>
      </c>
      <c r="E6951" s="2">
        <v>177.34</v>
      </c>
      <c r="F6951" s="2" t="e">
        <f>IF(Table2[[#This Row],[Manual Cat Value]]="",VLOOKUP(Table2[[#This Row],[Description]],'Actuals Lookup'!D:F,3,0),Table2[[#This Row],[Manual Cat Value]])</f>
        <v>#N/A</v>
      </c>
      <c r="J6951" s="2">
        <v>177.34</v>
      </c>
      <c r="K6951" s="2" t="b">
        <v>0</v>
      </c>
      <c r="L6951" s="2"/>
      <c r="M6951" s="2"/>
      <c r="N6951" s="4" t="s">
        <v>2259</v>
      </c>
      <c r="O6951" s="4" t="str">
        <f>LEFT(Table2[[#This Row],[Description]],75)</f>
        <v>Ace Hardware</v>
      </c>
      <c r="P6951" s="2" t="s">
        <v>2578</v>
      </c>
    </row>
    <row r="6952" spans="1:16" hidden="1">
      <c r="A6952" s="2">
        <v>202204</v>
      </c>
      <c r="B6952" s="3">
        <v>44662</v>
      </c>
      <c r="C6952" s="2" t="s">
        <v>2262</v>
      </c>
      <c r="D6952" s="2" t="s">
        <v>540</v>
      </c>
      <c r="E6952" s="2">
        <v>41.85</v>
      </c>
      <c r="F6952" s="2" t="e">
        <f>IF(Table2[[#This Row],[Manual Cat Value]]="",VLOOKUP(Table2[[#This Row],[Description]],'Actuals Lookup'!D:F,3,0),Table2[[#This Row],[Manual Cat Value]])</f>
        <v>#N/A</v>
      </c>
      <c r="J6952" s="2">
        <v>41.85</v>
      </c>
      <c r="K6952" s="2" t="b">
        <v>0</v>
      </c>
      <c r="L6952" s="2"/>
      <c r="M6952" s="2"/>
      <c r="N6952" s="4" t="s">
        <v>2259</v>
      </c>
      <c r="O6952" s="4" t="str">
        <f>LEFT(Table2[[#This Row],[Description]],75)</f>
        <v>Childrens Museum</v>
      </c>
      <c r="P6952" s="2" t="s">
        <v>2281</v>
      </c>
    </row>
    <row r="6953" spans="1:16" hidden="1">
      <c r="A6953" s="2">
        <v>202204</v>
      </c>
      <c r="B6953" s="3">
        <v>44662</v>
      </c>
      <c r="C6953" s="2" t="s">
        <v>2262</v>
      </c>
      <c r="D6953" s="2" t="s">
        <v>1504</v>
      </c>
      <c r="E6953" s="2">
        <v>1477.49</v>
      </c>
      <c r="F6953" s="2" t="e">
        <f>IF(Table2[[#This Row],[Manual Cat Value]]="",VLOOKUP(Table2[[#This Row],[Description]],'Actuals Lookup'!D:F,3,0),Table2[[#This Row],[Manual Cat Value]])</f>
        <v>#N/A</v>
      </c>
      <c r="J6953" s="2">
        <v>1477.49</v>
      </c>
      <c r="K6953" s="2" t="b">
        <v>0</v>
      </c>
      <c r="L6953" s="2"/>
      <c r="M6953" s="2"/>
      <c r="N6953" s="4" t="s">
        <v>2259</v>
      </c>
      <c r="O6953" s="4" t="str">
        <f>LEFT(Table2[[#This Row],[Description]],75)</f>
        <v>Polywood</v>
      </c>
      <c r="P6953" s="2" t="s">
        <v>2281</v>
      </c>
    </row>
    <row r="6954" spans="1:16" hidden="1">
      <c r="A6954" s="2">
        <v>202204</v>
      </c>
      <c r="B6954" s="3">
        <v>44662</v>
      </c>
      <c r="C6954" s="2" t="s">
        <v>2262</v>
      </c>
      <c r="D6954" s="2" t="s">
        <v>1770</v>
      </c>
      <c r="E6954" s="2">
        <v>42.9</v>
      </c>
      <c r="F6954" s="2" t="e">
        <f>IF(Table2[[#This Row],[Manual Cat Value]]="",VLOOKUP(Table2[[#This Row],[Description]],'Actuals Lookup'!D:F,3,0),Table2[[#This Row],[Manual Cat Value]])</f>
        <v>#N/A</v>
      </c>
      <c r="J6954" s="2">
        <v>42.9</v>
      </c>
      <c r="K6954" s="2" t="b">
        <v>0</v>
      </c>
      <c r="L6954" s="2"/>
      <c r="M6954" s="2"/>
      <c r="N6954" s="4" t="s">
        <v>2259</v>
      </c>
      <c r="O6954" s="4" t="str">
        <f>LEFT(Table2[[#This Row],[Description]],75)</f>
        <v>ST BONI LIQUOR STORE XX1818 MN</v>
      </c>
      <c r="P6954" s="2" t="s">
        <v>2281</v>
      </c>
    </row>
    <row r="6955" spans="1:16" hidden="1">
      <c r="A6955" s="2">
        <v>202204</v>
      </c>
      <c r="B6955" s="3">
        <v>44663</v>
      </c>
      <c r="C6955" s="2" t="s">
        <v>2262</v>
      </c>
      <c r="D6955" s="2" t="s">
        <v>1248</v>
      </c>
      <c r="E6955" s="2">
        <v>10.7</v>
      </c>
      <c r="F6955" s="2" t="e">
        <f>IF(Table2[[#This Row],[Manual Cat Value]]="",VLOOKUP(Table2[[#This Row],[Description]],'Actuals Lookup'!D:F,3,0),Table2[[#This Row],[Manual Cat Value]])</f>
        <v>#N/A</v>
      </c>
      <c r="J6955" s="2">
        <v>10.7</v>
      </c>
      <c r="K6955" s="2" t="b">
        <v>0</v>
      </c>
      <c r="L6955" s="2"/>
      <c r="M6955" s="2"/>
      <c r="N6955" s="4" t="s">
        <v>2259</v>
      </c>
      <c r="O6955" s="4" t="str">
        <f>LEFT(Table2[[#This Row],[Description]],75)</f>
        <v>Michaels</v>
      </c>
      <c r="P6955" s="2" t="s">
        <v>2603</v>
      </c>
    </row>
    <row r="6956" spans="1:16" hidden="1">
      <c r="A6956" s="2">
        <v>202204</v>
      </c>
      <c r="B6956" s="3">
        <v>44663</v>
      </c>
      <c r="C6956" s="2" t="s">
        <v>2262</v>
      </c>
      <c r="D6956" s="2" t="s">
        <v>1276</v>
      </c>
      <c r="E6956" s="2">
        <v>10.75</v>
      </c>
      <c r="F6956" s="2" t="e">
        <f>IF(Table2[[#This Row],[Manual Cat Value]]="",VLOOKUP(Table2[[#This Row],[Description]],'Actuals Lookup'!D:F,3,0),Table2[[#This Row],[Manual Cat Value]])</f>
        <v>#N/A</v>
      </c>
      <c r="J6956" s="2">
        <v>10.75</v>
      </c>
      <c r="K6956" s="2" t="b">
        <v>0</v>
      </c>
      <c r="L6956" s="2"/>
      <c r="M6956" s="2"/>
      <c r="N6956" s="4" t="s">
        <v>2259</v>
      </c>
      <c r="O6956" s="4" t="str">
        <f>LEFT(Table2[[#This Row],[Description]],75)</f>
        <v>MISTER CAR WASH 611 EDEN PRAIRIE MN</v>
      </c>
      <c r="P6956" s="2" t="s">
        <v>2281</v>
      </c>
    </row>
    <row r="6957" spans="1:16" hidden="1">
      <c r="A6957" s="2">
        <v>202204</v>
      </c>
      <c r="B6957" s="3">
        <v>44663</v>
      </c>
      <c r="C6957" s="2" t="s">
        <v>2262</v>
      </c>
      <c r="D6957" s="2" t="s">
        <v>1373</v>
      </c>
      <c r="E6957" s="2">
        <v>706.59</v>
      </c>
      <c r="F6957" s="2" t="e">
        <f>IF(Table2[[#This Row],[Manual Cat Value]]="",VLOOKUP(Table2[[#This Row],[Description]],'Actuals Lookup'!D:F,3,0),Table2[[#This Row],[Manual Cat Value]])</f>
        <v>#N/A</v>
      </c>
      <c r="J6957" s="2">
        <v>706.59</v>
      </c>
      <c r="K6957" s="2" t="b">
        <v>0</v>
      </c>
      <c r="L6957" s="2"/>
      <c r="M6957" s="2"/>
      <c r="N6957" s="4" t="s">
        <v>2259</v>
      </c>
      <c r="O6957" s="4" t="str">
        <f>LEFT(Table2[[#This Row],[Description]],75)</f>
        <v>Northstar Regional</v>
      </c>
      <c r="P6957" s="2" t="s">
        <v>2281</v>
      </c>
    </row>
    <row r="6958" spans="1:16" hidden="1">
      <c r="A6958" s="2">
        <v>202204</v>
      </c>
      <c r="B6958" s="3">
        <v>44663</v>
      </c>
      <c r="C6958" s="2" t="s">
        <v>2265</v>
      </c>
      <c r="D6958" s="2" t="s">
        <v>1987</v>
      </c>
      <c r="E6958" s="2">
        <v>150</v>
      </c>
      <c r="F6958" s="2" t="e">
        <f>IF(Table2[[#This Row],[Manual Cat Value]]="",VLOOKUP(Table2[[#This Row],[Description]],'Actuals Lookup'!D:F,3,0),Table2[[#This Row],[Manual Cat Value]])</f>
        <v>#N/A</v>
      </c>
      <c r="J6958" s="2">
        <v>150</v>
      </c>
      <c r="K6958" s="2" t="b">
        <v>0</v>
      </c>
      <c r="L6958" s="2"/>
      <c r="M6958" s="2"/>
      <c r="N6958" s="4" t="s">
        <v>2259</v>
      </c>
      <c r="O6958" s="4" t="str">
        <f>LEFT(Table2[[#This Row],[Description]],75)</f>
        <v>Transfer to Venmo VENMO TYPE PAYMENT ID CO VENMO NAME BRITNEY TRUITT ACH EC</v>
      </c>
      <c r="P6958" s="2" t="s">
        <v>2281</v>
      </c>
    </row>
    <row r="6959" spans="1:16" hidden="1">
      <c r="A6959" s="2">
        <v>202204</v>
      </c>
      <c r="B6959" s="3">
        <v>44664</v>
      </c>
      <c r="C6959" s="2" t="s">
        <v>2262</v>
      </c>
      <c r="D6959" s="2" t="s">
        <v>453</v>
      </c>
      <c r="E6959" s="2">
        <v>5.19</v>
      </c>
      <c r="F6959" s="2" t="str">
        <f>IF(Table2[[#This Row],[Manual Cat Value]]="",VLOOKUP(Table2[[#This Row],[Description]],'Actuals Lookup'!D:F,3,0),Table2[[#This Row],[Manual Cat Value]])</f>
        <v>Restaurants</v>
      </c>
      <c r="J6959" s="2">
        <v>5.19</v>
      </c>
      <c r="K6959" s="2" t="b">
        <v>0</v>
      </c>
      <c r="L6959" s="2"/>
      <c r="M6959" s="2"/>
      <c r="N6959" s="4" t="s">
        <v>2259</v>
      </c>
      <c r="O6959" s="4" t="str">
        <f>LEFT(Table2[[#This Row],[Description]],75)</f>
        <v>Caribou Coffee</v>
      </c>
      <c r="P6959" s="2" t="s">
        <v>2329</v>
      </c>
    </row>
    <row r="6960" spans="1:16" hidden="1">
      <c r="A6960" s="2">
        <v>202204</v>
      </c>
      <c r="B6960" s="3">
        <v>44664</v>
      </c>
      <c r="C6960" s="2" t="s">
        <v>2262</v>
      </c>
      <c r="D6960" s="2" t="s">
        <v>508</v>
      </c>
      <c r="E6960" s="2">
        <v>45</v>
      </c>
      <c r="F6960" s="2" t="e">
        <f>IF(Table2[[#This Row],[Manual Cat Value]]="",VLOOKUP(Table2[[#This Row],[Description]],'Actuals Lookup'!D:F,3,0),Table2[[#This Row],[Manual Cat Value]])</f>
        <v>#N/A</v>
      </c>
      <c r="J6960" s="2">
        <v>45</v>
      </c>
      <c r="K6960" s="2" t="b">
        <v>0</v>
      </c>
      <c r="L6960" s="2"/>
      <c r="M6960" s="2"/>
      <c r="N6960" s="4" t="s">
        <v>2259</v>
      </c>
      <c r="O6960" s="4" t="str">
        <f>LEFT(Table2[[#This Row],[Description]],75)</f>
        <v>CENTURYLINK SIMPLE MONROE LA</v>
      </c>
      <c r="P6960" s="2" t="s">
        <v>2281</v>
      </c>
    </row>
    <row r="6961" spans="1:16" hidden="1">
      <c r="A6961" s="2">
        <v>202204</v>
      </c>
      <c r="B6961" s="3">
        <v>44664</v>
      </c>
      <c r="C6961" s="2" t="s">
        <v>2262</v>
      </c>
      <c r="D6961" s="2" t="s">
        <v>784</v>
      </c>
      <c r="E6961" s="2">
        <v>31.75</v>
      </c>
      <c r="F6961" s="2" t="e">
        <f>IF(Table2[[#This Row],[Manual Cat Value]]="",VLOOKUP(Table2[[#This Row],[Description]],'Actuals Lookup'!D:F,3,0),Table2[[#This Row],[Manual Cat Value]])</f>
        <v>#N/A</v>
      </c>
      <c r="J6961" s="2">
        <v>31.75</v>
      </c>
      <c r="K6961" s="2" t="b">
        <v>0</v>
      </c>
      <c r="L6961" s="2"/>
      <c r="M6961" s="2"/>
      <c r="N6961" s="4" t="s">
        <v>2259</v>
      </c>
      <c r="O6961" s="4" t="str">
        <f>LEFT(Table2[[#This Row],[Description]],75)</f>
        <v>Dominos Pizza</v>
      </c>
      <c r="P6961" s="2" t="s">
        <v>2431</v>
      </c>
    </row>
    <row r="6962" spans="1:16" hidden="1">
      <c r="A6962" s="2">
        <v>202204</v>
      </c>
      <c r="B6962" s="3">
        <v>44664</v>
      </c>
      <c r="C6962" s="2" t="s">
        <v>2262</v>
      </c>
      <c r="D6962" s="2" t="s">
        <v>829</v>
      </c>
      <c r="E6962" s="2">
        <v>702</v>
      </c>
      <c r="F6962" s="2" t="e">
        <f>IF(Table2[[#This Row],[Manual Cat Value]]="",VLOOKUP(Table2[[#This Row],[Description]],'Actuals Lookup'!D:F,3,0),Table2[[#This Row],[Manual Cat Value]])</f>
        <v>#N/A</v>
      </c>
      <c r="J6962" s="2">
        <v>702</v>
      </c>
      <c r="K6962" s="2" t="b">
        <v>0</v>
      </c>
      <c r="L6962" s="2"/>
      <c r="M6962" s="2"/>
      <c r="N6962" s="4" t="s">
        <v>2259</v>
      </c>
      <c r="O6962" s="4" t="str">
        <f>LEFT(Table2[[#This Row],[Description]],75)</f>
        <v>EVEREVE 1 MINNEAPOLIS MN</v>
      </c>
      <c r="P6962" s="2" t="s">
        <v>2607</v>
      </c>
    </row>
    <row r="6963" spans="1:16" hidden="1">
      <c r="A6963" s="2">
        <v>202204</v>
      </c>
      <c r="B6963" s="3">
        <v>44664</v>
      </c>
      <c r="C6963" s="2" t="s">
        <v>2265</v>
      </c>
      <c r="D6963" s="2" t="s">
        <v>1195</v>
      </c>
      <c r="E6963" s="2">
        <v>536.29999999999995</v>
      </c>
      <c r="F6963" s="2" t="e">
        <f>IF(Table2[[#This Row],[Manual Cat Value]]="",VLOOKUP(Table2[[#This Row],[Description]],'Actuals Lookup'!D:F,3,0),Table2[[#This Row],[Manual Cat Value]])</f>
        <v>#N/A</v>
      </c>
      <c r="J6963" s="2">
        <v>536.29999999999995</v>
      </c>
      <c r="K6963" s="2" t="b">
        <v>0</v>
      </c>
      <c r="L6963" s="2"/>
      <c r="M6963" s="2"/>
      <c r="N6963" s="4" t="s">
        <v>2259</v>
      </c>
      <c r="O6963" s="4" t="str">
        <f>LEFT(Table2[[#This Row],[Description]],75)</f>
        <v>MHCHILDCARELLC TYPE DUES ID CO M</v>
      </c>
      <c r="P6963" s="2" t="s">
        <v>2497</v>
      </c>
    </row>
    <row r="6964" spans="1:16" hidden="1">
      <c r="A6964" s="2">
        <v>202204</v>
      </c>
      <c r="B6964" s="3">
        <v>44664</v>
      </c>
      <c r="C6964" s="2" t="s">
        <v>2265</v>
      </c>
      <c r="D6964" s="2" t="s">
        <v>1798</v>
      </c>
      <c r="E6964" s="2">
        <v>-3441.21</v>
      </c>
      <c r="F6964" s="2" t="e">
        <f>IF(Table2[[#This Row],[Manual Cat Value]]="",VLOOKUP(Table2[[#This Row],[Description]],'Actuals Lookup'!D:F,3,0),Table2[[#This Row],[Manual Cat Value]])</f>
        <v>#N/A</v>
      </c>
      <c r="J6964" s="2">
        <v>-3441.21</v>
      </c>
      <c r="K6964" s="2" t="b">
        <v>0</v>
      </c>
      <c r="L6964" s="2"/>
      <c r="M6964" s="2"/>
      <c r="N6964" s="4" t="s">
        <v>2273</v>
      </c>
      <c r="O6964" s="4" t="str">
        <f>LEFT(Table2[[#This Row],[Description]],75)</f>
        <v>SYNTELLIS PERFOR TYPE DIRECT DEP</v>
      </c>
      <c r="P6964" s="2" t="s">
        <v>2281</v>
      </c>
    </row>
    <row r="6965" spans="1:16" hidden="1">
      <c r="A6965" s="2">
        <v>202204</v>
      </c>
      <c r="B6965" s="3">
        <v>44664</v>
      </c>
      <c r="C6965" s="2" t="s">
        <v>2265</v>
      </c>
      <c r="D6965" s="2" t="s">
        <v>2204</v>
      </c>
      <c r="E6965" s="2">
        <v>2945.83</v>
      </c>
      <c r="F6965" s="2" t="e">
        <f>IF(Table2[[#This Row],[Manual Cat Value]]="",VLOOKUP(Table2[[#This Row],[Description]],'Actuals Lookup'!D:F,3,0),Table2[[#This Row],[Manual Cat Value]])</f>
        <v>#N/A</v>
      </c>
      <c r="J6965" s="2">
        <v>2945.83</v>
      </c>
      <c r="K6965" s="2" t="b">
        <v>0</v>
      </c>
      <c r="L6965" s="2"/>
      <c r="M6965" s="2"/>
      <c r="N6965" s="4" t="s">
        <v>2259</v>
      </c>
      <c r="O6965" s="4" t="str">
        <f>LEFT(Table2[[#This Row],[Description]],75)</f>
        <v>Withdrawal Home Pmt to card XX91</v>
      </c>
      <c r="P6965" s="2" t="s">
        <v>2593</v>
      </c>
    </row>
    <row r="6966" spans="1:16" hidden="1">
      <c r="A6966" s="2">
        <v>202204</v>
      </c>
      <c r="B6966" s="3">
        <v>44664</v>
      </c>
      <c r="C6966" s="2" t="s">
        <v>2262</v>
      </c>
      <c r="D6966" s="2" t="s">
        <v>673</v>
      </c>
      <c r="E6966" s="2">
        <v>-2945.83</v>
      </c>
      <c r="F6966" s="2" t="str">
        <f>IF(Table2[[#This Row],[Manual Cat Value]]="",VLOOKUP(Table2[[#This Row],[Description]],'Actuals Lookup'!D:F,3,0),Table2[[#This Row],[Manual Cat Value]])</f>
        <v>Delete</v>
      </c>
      <c r="J6966" s="2">
        <v>-2945.83</v>
      </c>
      <c r="K6966" s="2" t="b">
        <v>0</v>
      </c>
      <c r="L6966" s="2"/>
      <c r="M6966" s="2"/>
      <c r="N6966" s="4" t="s">
        <v>2273</v>
      </c>
      <c r="O6966" s="4" t="str">
        <f>LEFT(Table2[[#This Row],[Description]],75)</f>
        <v>Credit Card Payment Received</v>
      </c>
      <c r="P6966" s="2" t="s">
        <v>2597</v>
      </c>
    </row>
    <row r="6967" spans="1:16" hidden="1">
      <c r="A6967" s="2">
        <v>202204</v>
      </c>
      <c r="B6967" s="3">
        <v>44665</v>
      </c>
      <c r="C6967" s="2" t="s">
        <v>2265</v>
      </c>
      <c r="D6967" s="2" t="s">
        <v>131</v>
      </c>
      <c r="E6967" s="2">
        <v>102.49</v>
      </c>
      <c r="F6967" s="2" t="str">
        <f>IF(Table2[[#This Row],[Manual Cat Value]]="",VLOOKUP(Table2[[#This Row],[Description]],'Actuals Lookup'!D:F,3,0),Table2[[#This Row],[Manual Cat Value]])</f>
        <v>Insurance</v>
      </c>
      <c r="J6967" s="2">
        <v>102.49</v>
      </c>
      <c r="K6967" s="2" t="b">
        <v>0</v>
      </c>
      <c r="L6967" s="2"/>
      <c r="M6967" s="2"/>
      <c r="N6967" s="4" t="s">
        <v>2259</v>
      </c>
      <c r="O6967" s="4" t="str">
        <f>LEFT(Table2[[#This Row],[Description]],75)</f>
        <v>American Family Insurance</v>
      </c>
      <c r="P6967" s="2" t="s">
        <v>2286</v>
      </c>
    </row>
    <row r="6968" spans="1:16" hidden="1">
      <c r="A6968" s="2">
        <v>202204</v>
      </c>
      <c r="B6968" s="3">
        <v>44665</v>
      </c>
      <c r="C6968" s="2" t="s">
        <v>2265</v>
      </c>
      <c r="D6968" s="2" t="s">
        <v>404</v>
      </c>
      <c r="E6968" s="2">
        <v>-2448.73</v>
      </c>
      <c r="F6968" s="2" t="str">
        <f>IF(Table2[[#This Row],[Manual Cat Value]]="",VLOOKUP(Table2[[#This Row],[Description]],'Actuals Lookup'!D:F,3,0),Table2[[#This Row],[Manual Cat Value]])</f>
        <v>Britney</v>
      </c>
      <c r="J6968" s="2">
        <v>-2448.73</v>
      </c>
      <c r="K6968" s="2" t="b">
        <v>0</v>
      </c>
      <c r="L6968" s="2"/>
      <c r="M6968" s="2"/>
      <c r="N6968" s="4" t="s">
        <v>2273</v>
      </c>
      <c r="O6968" s="4" t="str">
        <f>LEFT(Table2[[#This Row],[Description]],75)</f>
        <v>Cargill Inc Deposit</v>
      </c>
      <c r="P6968" s="2" t="s">
        <v>2281</v>
      </c>
    </row>
    <row r="6969" spans="1:16" hidden="1">
      <c r="A6969" s="2">
        <v>202204</v>
      </c>
      <c r="B6969" s="3">
        <v>44665</v>
      </c>
      <c r="C6969" s="2" t="s">
        <v>2265</v>
      </c>
      <c r="D6969" s="2" t="s">
        <v>1468</v>
      </c>
      <c r="E6969" s="2">
        <v>2000</v>
      </c>
      <c r="F6969" s="2" t="e">
        <f>IF(Table2[[#This Row],[Manual Cat Value]]="",VLOOKUP(Table2[[#This Row],[Description]],'Actuals Lookup'!D:F,3,0),Table2[[#This Row],[Manual Cat Value]])</f>
        <v>#N/A</v>
      </c>
      <c r="J6969" s="2">
        <v>2000</v>
      </c>
      <c r="K6969" s="2" t="b">
        <v>0</v>
      </c>
      <c r="L6969" s="2"/>
      <c r="M6969" s="2"/>
      <c r="N6969" s="4" t="s">
        <v>2259</v>
      </c>
      <c r="O6969" s="4" t="str">
        <f>LEFT(Table2[[#This Row],[Description]],75)</f>
        <v>Payment to Treasurydirectgov</v>
      </c>
      <c r="P6969" s="2" t="s">
        <v>2281</v>
      </c>
    </row>
    <row r="6970" spans="1:16" hidden="1">
      <c r="A6970" s="2">
        <v>202204</v>
      </c>
      <c r="B6970" s="3">
        <v>44666</v>
      </c>
      <c r="C6970" s="2" t="s">
        <v>2447</v>
      </c>
      <c r="D6970" s="2" t="s">
        <v>110</v>
      </c>
      <c r="E6970" s="2">
        <v>8.5</v>
      </c>
      <c r="F6970" s="2" t="e">
        <f>IF(Table2[[#This Row],[Manual Cat Value]]="",VLOOKUP(Table2[[#This Row],[Description]],'Actuals Lookup'!D:F,3,0),Table2[[#This Row],[Manual Cat Value]])</f>
        <v>#N/A</v>
      </c>
      <c r="J6970" s="2">
        <v>8.5</v>
      </c>
      <c r="K6970" s="2" t="b">
        <v>0</v>
      </c>
      <c r="L6970" s="2"/>
      <c r="M6970" s="2"/>
      <c r="N6970" s="4" t="s">
        <v>2259</v>
      </c>
      <c r="O6970" s="4" t="str">
        <f>LEFT(Table2[[#This Row],[Description]],75)</f>
        <v>ALLIED PARKING WTC DAI MINNEAPOLIS MN</v>
      </c>
      <c r="P6970" s="2" t="s">
        <v>2281</v>
      </c>
    </row>
    <row r="6971" spans="1:16" hidden="1">
      <c r="A6971" s="2">
        <v>202204</v>
      </c>
      <c r="B6971" s="3">
        <v>44666</v>
      </c>
      <c r="C6971" s="2" t="s">
        <v>2265</v>
      </c>
      <c r="D6971" s="2" t="s">
        <v>2204</v>
      </c>
      <c r="E6971" s="2">
        <v>783.94</v>
      </c>
      <c r="F6971" s="2" t="e">
        <f>IF(Table2[[#This Row],[Manual Cat Value]]="",VLOOKUP(Table2[[#This Row],[Description]],'Actuals Lookup'!D:F,3,0),Table2[[#This Row],[Manual Cat Value]])</f>
        <v>#N/A</v>
      </c>
      <c r="J6971" s="2">
        <v>783.94</v>
      </c>
      <c r="K6971" s="2" t="b">
        <v>0</v>
      </c>
      <c r="L6971" s="2"/>
      <c r="M6971" s="2"/>
      <c r="N6971" s="4" t="s">
        <v>2259</v>
      </c>
      <c r="O6971" s="4" t="str">
        <f>LEFT(Table2[[#This Row],[Description]],75)</f>
        <v>Withdrawal Home Pmt to card XX91</v>
      </c>
      <c r="P6971" s="2" t="s">
        <v>2593</v>
      </c>
    </row>
    <row r="6972" spans="1:16" hidden="1">
      <c r="A6972" s="2">
        <v>202204</v>
      </c>
      <c r="B6972" s="3">
        <v>44666</v>
      </c>
      <c r="C6972" s="2" t="s">
        <v>2262</v>
      </c>
      <c r="D6972" s="2" t="s">
        <v>673</v>
      </c>
      <c r="E6972" s="2">
        <v>-783.94</v>
      </c>
      <c r="F6972" s="2" t="str">
        <f>IF(Table2[[#This Row],[Manual Cat Value]]="",VLOOKUP(Table2[[#This Row],[Description]],'Actuals Lookup'!D:F,3,0),Table2[[#This Row],[Manual Cat Value]])</f>
        <v>Delete</v>
      </c>
      <c r="J6972" s="2">
        <v>-783.94</v>
      </c>
      <c r="K6972" s="2" t="b">
        <v>0</v>
      </c>
      <c r="L6972" s="2"/>
      <c r="M6972" s="2"/>
      <c r="N6972" s="4" t="s">
        <v>2273</v>
      </c>
      <c r="O6972" s="4" t="str">
        <f>LEFT(Table2[[#This Row],[Description]],75)</f>
        <v>Credit Card Payment Received</v>
      </c>
      <c r="P6972" s="2" t="s">
        <v>2597</v>
      </c>
    </row>
    <row r="6973" spans="1:16" hidden="1">
      <c r="A6973" s="2">
        <v>202204</v>
      </c>
      <c r="B6973" s="3">
        <v>44668</v>
      </c>
      <c r="C6973" s="2" t="s">
        <v>2262</v>
      </c>
      <c r="D6973" s="2" t="s">
        <v>684</v>
      </c>
      <c r="E6973" s="2">
        <v>66.09</v>
      </c>
      <c r="F6973" s="2" t="str">
        <f>IF(Table2[[#This Row],[Manual Cat Value]]="",VLOOKUP(Table2[[#This Row],[Description]],'Actuals Lookup'!D:F,3,0),Table2[[#This Row],[Manual Cat Value]])</f>
        <v>Groceries</v>
      </c>
      <c r="J6973" s="2">
        <v>66.09</v>
      </c>
      <c r="K6973" s="2" t="b">
        <v>0</v>
      </c>
      <c r="L6973" s="2"/>
      <c r="M6973" s="2"/>
      <c r="N6973" s="4" t="s">
        <v>2259</v>
      </c>
      <c r="O6973" s="4" t="str">
        <f>LEFT(Table2[[#This Row],[Description]],75)</f>
        <v>Cub Foods</v>
      </c>
      <c r="P6973" s="2" t="s">
        <v>2370</v>
      </c>
    </row>
    <row r="6974" spans="1:16" hidden="1">
      <c r="A6974" s="2">
        <v>202204</v>
      </c>
      <c r="B6974" s="3">
        <v>44668</v>
      </c>
      <c r="C6974" s="2" t="s">
        <v>2262</v>
      </c>
      <c r="D6974" s="2" t="s">
        <v>1083</v>
      </c>
      <c r="E6974" s="2">
        <v>53.11</v>
      </c>
      <c r="F6974" s="2" t="str">
        <f>IF(Table2[[#This Row],[Manual Cat Value]]="",VLOOKUP(Table2[[#This Row],[Description]],'Actuals Lookup'!D:F,3,0),Table2[[#This Row],[Manual Cat Value]])</f>
        <v>Transportation</v>
      </c>
      <c r="J6974" s="2">
        <v>53.11</v>
      </c>
      <c r="K6974" s="2" t="b">
        <v>0</v>
      </c>
      <c r="L6974" s="2"/>
      <c r="M6974" s="2"/>
      <c r="N6974" s="4" t="s">
        <v>2259</v>
      </c>
      <c r="O6974" s="4" t="str">
        <f>LEFT(Table2[[#This Row],[Description]],75)</f>
        <v>Kwik Trip</v>
      </c>
      <c r="P6974" s="2" t="s">
        <v>2509</v>
      </c>
    </row>
    <row r="6975" spans="1:16" hidden="1">
      <c r="A6975" s="2">
        <v>202204</v>
      </c>
      <c r="B6975" s="3">
        <v>44668</v>
      </c>
      <c r="C6975" s="2" t="s">
        <v>2262</v>
      </c>
      <c r="D6975" s="2" t="s">
        <v>1098</v>
      </c>
      <c r="E6975" s="2">
        <v>7.1</v>
      </c>
      <c r="F6975" s="2" t="e">
        <f>IF(Table2[[#This Row],[Manual Cat Value]]="",VLOOKUP(Table2[[#This Row],[Description]],'Actuals Lookup'!D:F,3,0),Table2[[#This Row],[Manual Cat Value]])</f>
        <v>#N/A</v>
      </c>
      <c r="J6975" s="2">
        <v>7.1</v>
      </c>
      <c r="K6975" s="2" t="b">
        <v>0</v>
      </c>
      <c r="L6975" s="2"/>
      <c r="M6975" s="2"/>
      <c r="N6975" s="4" t="s">
        <v>2259</v>
      </c>
      <c r="O6975" s="4" t="str">
        <f>LEFT(Table2[[#This Row],[Description]],75)</f>
        <v>Lancer</v>
      </c>
      <c r="P6975" s="2" t="s">
        <v>2281</v>
      </c>
    </row>
    <row r="6976" spans="1:16" hidden="1">
      <c r="A6976" s="2">
        <v>202204</v>
      </c>
      <c r="B6976" s="3">
        <v>44668</v>
      </c>
      <c r="C6976" s="2" t="s">
        <v>2262</v>
      </c>
      <c r="D6976" s="2" t="s">
        <v>1098</v>
      </c>
      <c r="E6976" s="2">
        <v>26.61</v>
      </c>
      <c r="F6976" s="2" t="e">
        <f>IF(Table2[[#This Row],[Manual Cat Value]]="",VLOOKUP(Table2[[#This Row],[Description]],'Actuals Lookup'!D:F,3,0),Table2[[#This Row],[Manual Cat Value]])</f>
        <v>#N/A</v>
      </c>
      <c r="J6976" s="2">
        <v>26.61</v>
      </c>
      <c r="K6976" s="2" t="b">
        <v>0</v>
      </c>
      <c r="L6976" s="2"/>
      <c r="M6976" s="2"/>
      <c r="N6976" s="4" t="s">
        <v>2259</v>
      </c>
      <c r="O6976" s="4" t="str">
        <f>LEFT(Table2[[#This Row],[Description]],75)</f>
        <v>Lancer</v>
      </c>
      <c r="P6976" s="2" t="s">
        <v>2281</v>
      </c>
    </row>
    <row r="6977" spans="1:16" hidden="1">
      <c r="A6977" s="2">
        <v>202204</v>
      </c>
      <c r="B6977" s="3">
        <v>44668</v>
      </c>
      <c r="C6977" s="2" t="s">
        <v>2262</v>
      </c>
      <c r="D6977" s="2" t="s">
        <v>1248</v>
      </c>
      <c r="E6977" s="2">
        <v>-4.68</v>
      </c>
      <c r="F6977" s="2" t="e">
        <f>IF(Table2[[#This Row],[Manual Cat Value]]="",VLOOKUP(Table2[[#This Row],[Description]],'Actuals Lookup'!D:F,3,0),Table2[[#This Row],[Manual Cat Value]])</f>
        <v>#N/A</v>
      </c>
      <c r="J6977" s="2">
        <v>-4.68</v>
      </c>
      <c r="K6977" s="2" t="b">
        <v>0</v>
      </c>
      <c r="L6977" s="2"/>
      <c r="M6977" s="2"/>
      <c r="N6977" s="4" t="s">
        <v>2273</v>
      </c>
      <c r="O6977" s="4" t="str">
        <f>LEFT(Table2[[#This Row],[Description]],75)</f>
        <v>Michaels</v>
      </c>
      <c r="P6977" s="2" t="s">
        <v>2603</v>
      </c>
    </row>
    <row r="6978" spans="1:16" hidden="1">
      <c r="A6978" s="2">
        <v>202204</v>
      </c>
      <c r="B6978" s="3">
        <v>44668</v>
      </c>
      <c r="C6978" s="2" t="s">
        <v>2262</v>
      </c>
      <c r="D6978" s="2" t="s">
        <v>1356</v>
      </c>
      <c r="E6978" s="2">
        <v>74.56</v>
      </c>
      <c r="F6978" s="2" t="str">
        <f>IF(Table2[[#This Row],[Manual Cat Value]]="",VLOOKUP(Table2[[#This Row],[Description]],'Actuals Lookup'!D:F,3,0),Table2[[#This Row],[Manual Cat Value]])</f>
        <v>Restaurants</v>
      </c>
      <c r="J6978" s="2">
        <v>74.56</v>
      </c>
      <c r="K6978" s="2" t="b">
        <v>0</v>
      </c>
      <c r="L6978" s="2"/>
      <c r="M6978" s="2"/>
      <c r="N6978" s="4" t="s">
        <v>2259</v>
      </c>
      <c r="O6978" s="4" t="str">
        <f>LEFT(Table2[[#This Row],[Description]],75)</f>
        <v>North Coop</v>
      </c>
      <c r="P6978" s="2" t="s">
        <v>2608</v>
      </c>
    </row>
    <row r="6979" spans="1:16" hidden="1">
      <c r="A6979" s="2">
        <v>202204</v>
      </c>
      <c r="B6979" s="3">
        <v>44668</v>
      </c>
      <c r="C6979" s="2" t="s">
        <v>2262</v>
      </c>
      <c r="D6979" s="2" t="s">
        <v>1380</v>
      </c>
      <c r="E6979" s="2">
        <v>96.86</v>
      </c>
      <c r="F6979" s="2" t="str">
        <f>IF(Table2[[#This Row],[Manual Cat Value]]="",VLOOKUP(Table2[[#This Row],[Description]],'Actuals Lookup'!D:F,3,0),Table2[[#This Row],[Manual Cat Value]])</f>
        <v>Restaurants</v>
      </c>
      <c r="J6979" s="2">
        <v>96.86</v>
      </c>
      <c r="K6979" s="2" t="b">
        <v>0</v>
      </c>
      <c r="L6979" s="2"/>
      <c r="M6979" s="2"/>
      <c r="N6979" s="4" t="s">
        <v>2259</v>
      </c>
      <c r="O6979" s="4" t="str">
        <f>LEFT(Table2[[#This Row],[Description]],75)</f>
        <v>Olives</v>
      </c>
      <c r="P6979" s="2" t="s">
        <v>2609</v>
      </c>
    </row>
    <row r="6980" spans="1:16" hidden="1">
      <c r="A6980" s="2">
        <v>202204</v>
      </c>
      <c r="B6980" s="3">
        <v>44669</v>
      </c>
      <c r="C6980" s="2" t="s">
        <v>2447</v>
      </c>
      <c r="D6980" s="2" t="s">
        <v>1100</v>
      </c>
      <c r="E6980" s="2">
        <v>29</v>
      </c>
      <c r="F6980" s="2" t="str">
        <f>IF(Table2[[#This Row],[Manual Cat Value]]="",VLOOKUP(Table2[[#This Row],[Description]],'Actuals Lookup'!D:F,3,0),Table2[[#This Row],[Manual Cat Value]])</f>
        <v>Misc</v>
      </c>
      <c r="J6980" s="2">
        <v>29</v>
      </c>
      <c r="K6980" s="2" t="b">
        <v>0</v>
      </c>
      <c r="L6980" s="2"/>
      <c r="M6980" s="2"/>
      <c r="N6980" s="4" t="s">
        <v>2259</v>
      </c>
      <c r="O6980" s="4" t="str">
        <f>LEFT(Table2[[#This Row],[Description]],75)</f>
        <v>LATE FEE</v>
      </c>
      <c r="P6980" s="2" t="s">
        <v>2281</v>
      </c>
    </row>
    <row r="6981" spans="1:16" hidden="1">
      <c r="A6981" s="2">
        <v>202204</v>
      </c>
      <c r="B6981" s="3">
        <v>44669</v>
      </c>
      <c r="C6981" s="2" t="s">
        <v>2265</v>
      </c>
      <c r="D6981" s="2" t="s">
        <v>1286</v>
      </c>
      <c r="E6981" s="2">
        <v>200</v>
      </c>
      <c r="F6981" s="2" t="e">
        <f>IF(Table2[[#This Row],[Manual Cat Value]]="",VLOOKUP(Table2[[#This Row],[Description]],'Actuals Lookup'!D:F,3,0),Table2[[#This Row],[Manual Cat Value]])</f>
        <v>#N/A</v>
      </c>
      <c r="J6981" s="2">
        <v>200</v>
      </c>
      <c r="K6981" s="2" t="b">
        <v>0</v>
      </c>
      <c r="L6981" s="2"/>
      <c r="M6981" s="2"/>
      <c r="N6981" s="4" t="s">
        <v>2259</v>
      </c>
      <c r="O6981" s="4" t="str">
        <f>LEFT(Table2[[#This Row],[Description]],75)</f>
        <v>MN DIR ACH TYPE CONTRIB ID CO MN</v>
      </c>
      <c r="P6981" s="2" t="s">
        <v>2591</v>
      </c>
    </row>
    <row r="6982" spans="1:16" hidden="1">
      <c r="A6982" s="2">
        <v>202204</v>
      </c>
      <c r="B6982" s="3">
        <v>44669</v>
      </c>
      <c r="C6982" s="2" t="s">
        <v>2262</v>
      </c>
      <c r="D6982" s="2" t="s">
        <v>1574</v>
      </c>
      <c r="E6982" s="2">
        <v>19.989999999999998</v>
      </c>
      <c r="F6982" s="2" t="e">
        <f>IF(Table2[[#This Row],[Manual Cat Value]]="",VLOOKUP(Table2[[#This Row],[Description]],'Actuals Lookup'!D:F,3,0),Table2[[#This Row],[Manual Cat Value]])</f>
        <v>#N/A</v>
      </c>
      <c r="J6982" s="2">
        <v>19.989999999999998</v>
      </c>
      <c r="K6982" s="2" t="b">
        <v>0</v>
      </c>
      <c r="L6982" s="2"/>
      <c r="M6982" s="2"/>
      <c r="N6982" s="4" t="s">
        <v>2259</v>
      </c>
      <c r="O6982" s="4" t="str">
        <f>LEFT(Table2[[#This Row],[Description]],75)</f>
        <v>Reservationscom</v>
      </c>
      <c r="P6982" s="2" t="s">
        <v>2610</v>
      </c>
    </row>
    <row r="6983" spans="1:16" hidden="1">
      <c r="A6983" s="2">
        <v>202204</v>
      </c>
      <c r="B6983" s="3">
        <v>44669</v>
      </c>
      <c r="C6983" s="2" t="s">
        <v>2262</v>
      </c>
      <c r="D6983" s="2" t="s">
        <v>1574</v>
      </c>
      <c r="E6983" s="2">
        <v>216.96</v>
      </c>
      <c r="F6983" s="2" t="e">
        <f>IF(Table2[[#This Row],[Manual Cat Value]]="",VLOOKUP(Table2[[#This Row],[Description]],'Actuals Lookup'!D:F,3,0),Table2[[#This Row],[Manual Cat Value]])</f>
        <v>#N/A</v>
      </c>
      <c r="J6983" s="2">
        <v>216.96</v>
      </c>
      <c r="K6983" s="2" t="b">
        <v>0</v>
      </c>
      <c r="L6983" s="2"/>
      <c r="M6983" s="2"/>
      <c r="N6983" s="4" t="s">
        <v>2259</v>
      </c>
      <c r="O6983" s="4" t="str">
        <f>LEFT(Table2[[#This Row],[Description]],75)</f>
        <v>Reservationscom</v>
      </c>
      <c r="P6983" s="2" t="s">
        <v>2610</v>
      </c>
    </row>
    <row r="6984" spans="1:16" hidden="1">
      <c r="A6984" s="2">
        <v>202204</v>
      </c>
      <c r="B6984" s="3">
        <v>44669</v>
      </c>
      <c r="C6984" s="2" t="s">
        <v>2262</v>
      </c>
      <c r="D6984" s="2" t="s">
        <v>1739</v>
      </c>
      <c r="E6984" s="2">
        <v>50</v>
      </c>
      <c r="F6984" s="2" t="e">
        <f>IF(Table2[[#This Row],[Manual Cat Value]]="",VLOOKUP(Table2[[#This Row],[Description]],'Actuals Lookup'!D:F,3,0),Table2[[#This Row],[Manual Cat Value]])</f>
        <v>#N/A</v>
      </c>
      <c r="J6984" s="2">
        <v>50</v>
      </c>
      <c r="K6984" s="2" t="b">
        <v>0</v>
      </c>
      <c r="L6984" s="2"/>
      <c r="M6984" s="2"/>
      <c r="N6984" s="4" t="s">
        <v>2259</v>
      </c>
      <c r="O6984" s="4" t="str">
        <f>LEFT(Table2[[#This Row],[Description]],75)</f>
        <v>SQ J  S BREAKAWAY CORP gosqcom C</v>
      </c>
      <c r="P6984" s="2" t="s">
        <v>2281</v>
      </c>
    </row>
    <row r="6985" spans="1:16" hidden="1">
      <c r="A6985" s="2">
        <v>202204</v>
      </c>
      <c r="B6985" s="3">
        <v>44669</v>
      </c>
      <c r="C6985" s="2" t="s">
        <v>2265</v>
      </c>
      <c r="D6985" s="2" t="s">
        <v>1955</v>
      </c>
      <c r="E6985" s="2">
        <v>6.47</v>
      </c>
      <c r="F6985" s="2" t="str">
        <f>IF(Table2[[#This Row],[Manual Cat Value]]="",VLOOKUP(Table2[[#This Row],[Description]],'Actuals Lookup'!D:F,3,0),Table2[[#This Row],[Manual Cat Value]])</f>
        <v>Shopping</v>
      </c>
      <c r="J6985" s="2">
        <v>6.47</v>
      </c>
      <c r="K6985" s="2" t="b">
        <v>0</v>
      </c>
      <c r="L6985" s="2"/>
      <c r="M6985" s="2"/>
      <c r="N6985" s="4" t="s">
        <v>2259</v>
      </c>
      <c r="O6985" s="4" t="str">
        <f>LEFT(Table2[[#This Row],[Description]],75)</f>
        <v>Transfer to PayPal</v>
      </c>
      <c r="P6985" s="2" t="s">
        <v>2322</v>
      </c>
    </row>
    <row r="6986" spans="1:16" hidden="1">
      <c r="A6986" s="2">
        <v>202204</v>
      </c>
      <c r="B6986" s="3">
        <v>44670</v>
      </c>
      <c r="C6986" s="2" t="s">
        <v>2262</v>
      </c>
      <c r="D6986" s="2" t="s">
        <v>1789</v>
      </c>
      <c r="E6986" s="2">
        <v>256.97000000000003</v>
      </c>
      <c r="F6986" s="2" t="e">
        <f>IF(Table2[[#This Row],[Manual Cat Value]]="",VLOOKUP(Table2[[#This Row],[Description]],'Actuals Lookup'!D:F,3,0),Table2[[#This Row],[Manual Cat Value]])</f>
        <v>#N/A</v>
      </c>
      <c r="J6986" s="2">
        <v>256.97000000000003</v>
      </c>
      <c r="K6986" s="2" t="b">
        <v>0</v>
      </c>
      <c r="L6986" s="2"/>
      <c r="M6986" s="2"/>
      <c r="N6986" s="4" t="s">
        <v>2259</v>
      </c>
      <c r="O6986" s="4" t="str">
        <f>LEFT(Table2[[#This Row],[Description]],75)</f>
        <v>Suja Juice</v>
      </c>
      <c r="P6986" s="2" t="s">
        <v>2281</v>
      </c>
    </row>
    <row r="6987" spans="1:16" hidden="1">
      <c r="A6987" s="2">
        <v>202204</v>
      </c>
      <c r="B6987" s="3">
        <v>44670</v>
      </c>
      <c r="C6987" s="2" t="s">
        <v>2265</v>
      </c>
      <c r="D6987" s="2" t="s">
        <v>1958</v>
      </c>
      <c r="E6987" s="2">
        <v>46.62</v>
      </c>
      <c r="F6987" s="2" t="str">
        <f>IF(Table2[[#This Row],[Manual Cat Value]]="",VLOOKUP(Table2[[#This Row],[Description]],'Actuals Lookup'!D:F,3,0),Table2[[#This Row],[Manual Cat Value]])</f>
        <v>Shopping</v>
      </c>
      <c r="J6987" s="2">
        <v>46.62</v>
      </c>
      <c r="K6987" s="2" t="b">
        <v>0</v>
      </c>
      <c r="L6987" s="2"/>
      <c r="M6987" s="2"/>
      <c r="N6987" s="4" t="s">
        <v>2259</v>
      </c>
      <c r="O6987" s="4" t="str">
        <f>LEFT(Table2[[#This Row],[Description]],75)</f>
        <v>Transfer to Venmo</v>
      </c>
      <c r="P6987" s="2" t="s">
        <v>2281</v>
      </c>
    </row>
    <row r="6988" spans="1:16" hidden="1">
      <c r="A6988" s="2">
        <v>202204</v>
      </c>
      <c r="B6988" s="3">
        <v>44670</v>
      </c>
      <c r="C6988" s="2" t="s">
        <v>2262</v>
      </c>
      <c r="D6988" s="2" t="s">
        <v>2127</v>
      </c>
      <c r="E6988" s="2">
        <v>36</v>
      </c>
      <c r="F6988" s="2" t="e">
        <f>IF(Table2[[#This Row],[Manual Cat Value]]="",VLOOKUP(Table2[[#This Row],[Description]],'Actuals Lookup'!D:F,3,0),Table2[[#This Row],[Manual Cat Value]])</f>
        <v>#N/A</v>
      </c>
      <c r="J6988" s="2">
        <v>36</v>
      </c>
      <c r="K6988" s="2" t="b">
        <v>0</v>
      </c>
      <c r="L6988" s="2"/>
      <c r="M6988" s="2"/>
      <c r="N6988" s="4" t="s">
        <v>2259</v>
      </c>
      <c r="O6988" s="4" t="str">
        <f>LEFT(Table2[[#This Row],[Description]],75)</f>
        <v>Vineyards</v>
      </c>
      <c r="P6988" s="2" t="s">
        <v>2611</v>
      </c>
    </row>
    <row r="6989" spans="1:16" hidden="1">
      <c r="A6989" s="2">
        <v>202204</v>
      </c>
      <c r="B6989" s="3">
        <v>44671</v>
      </c>
      <c r="C6989" s="2" t="s">
        <v>2265</v>
      </c>
      <c r="D6989" s="2" t="s">
        <v>1958</v>
      </c>
      <c r="E6989" s="2">
        <v>80.37</v>
      </c>
      <c r="F6989" s="2" t="str">
        <f>IF(Table2[[#This Row],[Manual Cat Value]]="",VLOOKUP(Table2[[#This Row],[Description]],'Actuals Lookup'!D:F,3,0),Table2[[#This Row],[Manual Cat Value]])</f>
        <v>Shopping</v>
      </c>
      <c r="J6989" s="2">
        <v>80.37</v>
      </c>
      <c r="K6989" s="2" t="b">
        <v>0</v>
      </c>
      <c r="L6989" s="2"/>
      <c r="M6989" s="2"/>
      <c r="N6989" s="4" t="s">
        <v>2259</v>
      </c>
      <c r="O6989" s="4" t="str">
        <f>LEFT(Table2[[#This Row],[Description]],75)</f>
        <v>Transfer to Venmo</v>
      </c>
      <c r="P6989" s="2" t="s">
        <v>2281</v>
      </c>
    </row>
    <row r="6990" spans="1:16" hidden="1">
      <c r="A6990" s="2">
        <v>202204</v>
      </c>
      <c r="B6990" s="3">
        <v>44672</v>
      </c>
      <c r="C6990" s="2" t="s">
        <v>2262</v>
      </c>
      <c r="D6990" s="2" t="s">
        <v>309</v>
      </c>
      <c r="E6990" s="2">
        <v>9</v>
      </c>
      <c r="F6990" s="2" t="e">
        <f>IF(Table2[[#This Row],[Manual Cat Value]]="",VLOOKUP(Table2[[#This Row],[Description]],'Actuals Lookup'!D:F,3,0),Table2[[#This Row],[Manual Cat Value]])</f>
        <v>#N/A</v>
      </c>
      <c r="J6990" s="2">
        <v>9</v>
      </c>
      <c r="K6990" s="2" t="b">
        <v>0</v>
      </c>
      <c r="L6990" s="2"/>
      <c r="M6990" s="2"/>
      <c r="N6990" s="4" t="s">
        <v>2259</v>
      </c>
      <c r="O6990" s="4" t="str">
        <f>LEFT(Table2[[#This Row],[Description]],75)</f>
        <v>BONFES PLUMBING HEATING ASOUTH S</v>
      </c>
      <c r="P6990" s="2" t="s">
        <v>2537</v>
      </c>
    </row>
    <row r="6991" spans="1:16" hidden="1">
      <c r="A6991" s="2">
        <v>202204</v>
      </c>
      <c r="B6991" s="3">
        <v>44672</v>
      </c>
      <c r="C6991" s="2" t="s">
        <v>2265</v>
      </c>
      <c r="D6991" s="2" t="s">
        <v>556</v>
      </c>
      <c r="E6991" s="2">
        <v>47.22</v>
      </c>
      <c r="F6991" s="2" t="e">
        <f>IF(Table2[[#This Row],[Manual Cat Value]]="",VLOOKUP(Table2[[#This Row],[Description]],'Actuals Lookup'!D:F,3,0),Table2[[#This Row],[Manual Cat Value]])</f>
        <v>#N/A</v>
      </c>
      <c r="J6991" s="2">
        <v>47.22</v>
      </c>
      <c r="K6991" s="2" t="b">
        <v>0</v>
      </c>
      <c r="L6991" s="2"/>
      <c r="M6991" s="2"/>
      <c r="N6991" s="4" t="s">
        <v>2259</v>
      </c>
      <c r="O6991" s="4" t="str">
        <f>LEFT(Table2[[#This Row],[Description]],75)</f>
        <v>CITY OF CHANHASS TYPE UTIL BILL</v>
      </c>
      <c r="P6991" s="2" t="s">
        <v>2281</v>
      </c>
    </row>
    <row r="6992" spans="1:16" hidden="1">
      <c r="A6992" s="2">
        <v>202204</v>
      </c>
      <c r="B6992" s="3">
        <v>44672</v>
      </c>
      <c r="C6992" s="2" t="s">
        <v>2265</v>
      </c>
      <c r="D6992" s="2" t="s">
        <v>1195</v>
      </c>
      <c r="E6992" s="2">
        <v>536.29999999999995</v>
      </c>
      <c r="F6992" s="2" t="e">
        <f>IF(Table2[[#This Row],[Manual Cat Value]]="",VLOOKUP(Table2[[#This Row],[Description]],'Actuals Lookup'!D:F,3,0),Table2[[#This Row],[Manual Cat Value]])</f>
        <v>#N/A</v>
      </c>
      <c r="J6992" s="2">
        <v>536.29999999999995</v>
      </c>
      <c r="K6992" s="2" t="b">
        <v>0</v>
      </c>
      <c r="L6992" s="2"/>
      <c r="M6992" s="2"/>
      <c r="N6992" s="4" t="s">
        <v>2259</v>
      </c>
      <c r="O6992" s="4" t="str">
        <f>LEFT(Table2[[#This Row],[Description]],75)</f>
        <v>MHCHILDCARELLC TYPE DUES ID CO M</v>
      </c>
      <c r="P6992" s="2" t="s">
        <v>2497</v>
      </c>
    </row>
    <row r="6993" spans="1:16" hidden="1">
      <c r="A6993" s="2">
        <v>202204</v>
      </c>
      <c r="B6993" s="3">
        <v>44672</v>
      </c>
      <c r="C6993" s="2" t="s">
        <v>2262</v>
      </c>
      <c r="D6993" s="2" t="s">
        <v>1352</v>
      </c>
      <c r="E6993" s="2">
        <v>27.65</v>
      </c>
      <c r="F6993" s="2" t="e">
        <f>IF(Table2[[#This Row],[Manual Cat Value]]="",VLOOKUP(Table2[[#This Row],[Description]],'Actuals Lookup'!D:F,3,0),Table2[[#This Row],[Manual Cat Value]])</f>
        <v>#N/A</v>
      </c>
      <c r="J6993" s="2">
        <v>27.65</v>
      </c>
      <c r="K6993" s="2" t="b">
        <v>0</v>
      </c>
      <c r="L6993" s="2"/>
      <c r="M6993" s="2"/>
      <c r="N6993" s="4" t="s">
        <v>2259</v>
      </c>
      <c r="O6993" s="4" t="str">
        <f>LEFT(Table2[[#This Row],[Description]],75)</f>
        <v>Noodles  Company</v>
      </c>
      <c r="P6993" s="2" t="s">
        <v>2606</v>
      </c>
    </row>
    <row r="6994" spans="1:16" hidden="1">
      <c r="A6994" s="2">
        <v>202204</v>
      </c>
      <c r="B6994" s="3">
        <v>44672</v>
      </c>
      <c r="C6994" s="2" t="s">
        <v>2265</v>
      </c>
      <c r="D6994" s="2" t="s">
        <v>1955</v>
      </c>
      <c r="E6994" s="2">
        <v>14.03</v>
      </c>
      <c r="F6994" s="2" t="str">
        <f>IF(Table2[[#This Row],[Manual Cat Value]]="",VLOOKUP(Table2[[#This Row],[Description]],'Actuals Lookup'!D:F,3,0),Table2[[#This Row],[Manual Cat Value]])</f>
        <v>Shopping</v>
      </c>
      <c r="J6994" s="2">
        <v>14.03</v>
      </c>
      <c r="K6994" s="2" t="b">
        <v>0</v>
      </c>
      <c r="L6994" s="2"/>
      <c r="M6994" s="2"/>
      <c r="N6994" s="4" t="s">
        <v>2259</v>
      </c>
      <c r="O6994" s="4" t="str">
        <f>LEFT(Table2[[#This Row],[Description]],75)</f>
        <v>Transfer to PayPal</v>
      </c>
      <c r="P6994" s="2" t="s">
        <v>2322</v>
      </c>
    </row>
    <row r="6995" spans="1:16" hidden="1">
      <c r="A6995" s="2">
        <v>202204</v>
      </c>
      <c r="B6995" s="3">
        <v>44673</v>
      </c>
      <c r="C6995" s="2" t="s">
        <v>2262</v>
      </c>
      <c r="D6995" s="2" t="s">
        <v>545</v>
      </c>
      <c r="E6995" s="2">
        <v>5.26</v>
      </c>
      <c r="F6995" s="2" t="str">
        <f>IF(Table2[[#This Row],[Manual Cat Value]]="",VLOOKUP(Table2[[#This Row],[Description]],'Actuals Lookup'!D:F,3,0),Table2[[#This Row],[Manual Cat Value]])</f>
        <v>Restaurants</v>
      </c>
      <c r="J6995" s="2">
        <v>5.26</v>
      </c>
      <c r="K6995" s="2" t="b">
        <v>0</v>
      </c>
      <c r="L6995" s="2"/>
      <c r="M6995" s="2"/>
      <c r="N6995" s="4" t="s">
        <v>2259</v>
      </c>
      <c r="O6995" s="4" t="str">
        <f>LEFT(Table2[[#This Row],[Description]],75)</f>
        <v>Chipotle Mexican Grill</v>
      </c>
      <c r="P6995" s="2" t="s">
        <v>2612</v>
      </c>
    </row>
    <row r="6996" spans="1:16" hidden="1">
      <c r="A6996" s="2">
        <v>202204</v>
      </c>
      <c r="B6996" s="3">
        <v>44673</v>
      </c>
      <c r="C6996" s="2" t="s">
        <v>2262</v>
      </c>
      <c r="D6996" s="2" t="s">
        <v>1267</v>
      </c>
      <c r="E6996" s="2">
        <v>-150</v>
      </c>
      <c r="F6996" s="2" t="str">
        <f>IF(Table2[[#This Row],[Manual Cat Value]]="",VLOOKUP(Table2[[#This Row],[Description]],'Actuals Lookup'!D:F,3,0),Table2[[#This Row],[Manual Cat Value]])</f>
        <v>Entertainment</v>
      </c>
      <c r="J6996" s="2">
        <v>-150</v>
      </c>
      <c r="K6996" s="2" t="b">
        <v>0</v>
      </c>
      <c r="L6996" s="2"/>
      <c r="M6996" s="2"/>
      <c r="N6996" s="4" t="s">
        <v>2273</v>
      </c>
      <c r="O6996" s="4" t="str">
        <f>LEFT(Table2[[#This Row],[Description]],75)</f>
        <v>Minnesota State Parks</v>
      </c>
      <c r="P6996" s="2" t="s">
        <v>2281</v>
      </c>
    </row>
    <row r="6997" spans="1:16" hidden="1">
      <c r="A6997" s="2">
        <v>202204</v>
      </c>
      <c r="B6997" s="3">
        <v>44673</v>
      </c>
      <c r="C6997" s="2" t="s">
        <v>2265</v>
      </c>
      <c r="D6997" s="2" t="s">
        <v>1958</v>
      </c>
      <c r="E6997" s="2">
        <v>125</v>
      </c>
      <c r="F6997" s="2" t="str">
        <f>IF(Table2[[#This Row],[Manual Cat Value]]="",VLOOKUP(Table2[[#This Row],[Description]],'Actuals Lookup'!D:F,3,0),Table2[[#This Row],[Manual Cat Value]])</f>
        <v>Shopping</v>
      </c>
      <c r="J6997" s="2">
        <v>125</v>
      </c>
      <c r="K6997" s="2" t="b">
        <v>0</v>
      </c>
      <c r="L6997" s="2"/>
      <c r="M6997" s="2"/>
      <c r="N6997" s="4" t="s">
        <v>2259</v>
      </c>
      <c r="O6997" s="4" t="str">
        <f>LEFT(Table2[[#This Row],[Description]],75)</f>
        <v>Transfer to Venmo</v>
      </c>
      <c r="P6997" s="2" t="s">
        <v>2281</v>
      </c>
    </row>
    <row r="6998" spans="1:16" ht="28.5" hidden="1">
      <c r="A6998" s="2">
        <v>202204</v>
      </c>
      <c r="B6998" s="3">
        <v>44674</v>
      </c>
      <c r="C6998" s="2" t="s">
        <v>2447</v>
      </c>
      <c r="D6998" s="5" t="s">
        <v>779</v>
      </c>
      <c r="E6998" s="2">
        <v>60.49</v>
      </c>
      <c r="F6998" s="2" t="e">
        <f>IF(Table2[[#This Row],[Manual Cat Value]]="",VLOOKUP(Table2[[#This Row],[Description]],'Actuals Lookup'!D:F,3,0),Table2[[#This Row],[Manual Cat Value]])</f>
        <v>#N/A</v>
      </c>
      <c r="J6998" s="2">
        <v>60.49</v>
      </c>
      <c r="K6998" s="2" t="b">
        <v>0</v>
      </c>
      <c r="L6998" s="2"/>
      <c r="M6998" s="2"/>
      <c r="N6998" s="4" t="s">
        <v>2259</v>
      </c>
      <c r="O6998" s="4" t="str">
        <f>LEFT(Table2[[#This Row],[Description]],75)</f>
        <v>DNCSS MN TWINS CONCESS MINNEAPOLIS MN
02326B</v>
      </c>
      <c r="P6998" s="2" t="s">
        <v>2281</v>
      </c>
    </row>
    <row r="6999" spans="1:16" hidden="1">
      <c r="A6999" s="2">
        <v>202204</v>
      </c>
      <c r="B6999" s="3">
        <v>44674</v>
      </c>
      <c r="C6999" s="2" t="s">
        <v>2300</v>
      </c>
      <c r="D6999" s="2" t="s">
        <v>859</v>
      </c>
      <c r="E6999" s="2">
        <v>-100</v>
      </c>
      <c r="F6999" s="2" t="e">
        <f>IF(Table2[[#This Row],[Manual Cat Value]]="",VLOOKUP(Table2[[#This Row],[Description]],'Actuals Lookup'!D:F,3,0),Table2[[#This Row],[Manual Cat Value]])</f>
        <v>#N/A</v>
      </c>
      <c r="J6999" s="2">
        <v>-100</v>
      </c>
      <c r="K6999" s="2" t="b">
        <v>0</v>
      </c>
      <c r="L6999" s="2"/>
      <c r="M6999" s="2"/>
      <c r="N6999" s="4" t="s">
        <v>2273</v>
      </c>
      <c r="O6999" s="4" t="str">
        <f>LEFT(Table2[[#This Row],[Description]],75)</f>
        <v>From Share 70</v>
      </c>
      <c r="P6999" s="2" t="s">
        <v>2496</v>
      </c>
    </row>
    <row r="7000" spans="1:16" hidden="1">
      <c r="A7000" s="2">
        <v>202204</v>
      </c>
      <c r="B7000" s="3">
        <v>44674</v>
      </c>
      <c r="C7000" s="2" t="s">
        <v>2447</v>
      </c>
      <c r="D7000" s="2" t="s">
        <v>980</v>
      </c>
      <c r="E7000" s="2">
        <v>2.0099999999999998</v>
      </c>
      <c r="F7000" s="2" t="str">
        <f>IF(Table2[[#This Row],[Manual Cat Value]]="",VLOOKUP(Table2[[#This Row],[Description]],'Actuals Lookup'!D:F,3,0),Table2[[#This Row],[Manual Cat Value]])</f>
        <v>Misc</v>
      </c>
      <c r="J7000" s="2">
        <v>2.0099999999999998</v>
      </c>
      <c r="K7000" s="2" t="b">
        <v>0</v>
      </c>
      <c r="L7000" s="2"/>
      <c r="M7000" s="2"/>
      <c r="N7000" s="4" t="s">
        <v>2259</v>
      </c>
      <c r="O7000" s="4" t="str">
        <f>LEFT(Table2[[#This Row],[Description]],75)</f>
        <v>INTEREST CHARGE ON PURCHASES</v>
      </c>
      <c r="P7000" s="2" t="s">
        <v>2281</v>
      </c>
    </row>
    <row r="7001" spans="1:16" hidden="1">
      <c r="A7001" s="2">
        <v>202204</v>
      </c>
      <c r="B7001" s="3">
        <v>44674</v>
      </c>
      <c r="C7001" s="2" t="s">
        <v>2265</v>
      </c>
      <c r="D7001" s="2" t="s">
        <v>1892</v>
      </c>
      <c r="E7001" s="2">
        <v>100</v>
      </c>
      <c r="F7001" s="2" t="e">
        <f>IF(Table2[[#This Row],[Manual Cat Value]]="",VLOOKUP(Table2[[#This Row],[Description]],'Actuals Lookup'!D:F,3,0),Table2[[#This Row],[Manual Cat Value]])</f>
        <v>#N/A</v>
      </c>
      <c r="J7001" s="2">
        <v>100</v>
      </c>
      <c r="K7001" s="2" t="b">
        <v>0</v>
      </c>
      <c r="L7001" s="2"/>
      <c r="M7001" s="2"/>
      <c r="N7001" s="4" t="s">
        <v>2259</v>
      </c>
      <c r="O7001" s="4" t="str">
        <f>LEFT(Table2[[#This Row],[Description]],75)</f>
        <v>To Share 12</v>
      </c>
      <c r="P7001" s="2" t="s">
        <v>2494</v>
      </c>
    </row>
    <row r="7002" spans="1:16" hidden="1">
      <c r="A7002" s="2">
        <v>202204</v>
      </c>
      <c r="B7002" s="3">
        <v>44675</v>
      </c>
      <c r="C7002" s="2" t="s">
        <v>2262</v>
      </c>
      <c r="D7002" s="2" t="s">
        <v>701</v>
      </c>
      <c r="E7002" s="2">
        <v>14.69</v>
      </c>
      <c r="F7002" s="2" t="str">
        <f>IF(Table2[[#This Row],[Manual Cat Value]]="",VLOOKUP(Table2[[#This Row],[Description]],'Actuals Lookup'!D:F,3,0),Table2[[#This Row],[Manual Cat Value]])</f>
        <v>Restaurants</v>
      </c>
      <c r="J7002" s="2">
        <v>14.69</v>
      </c>
      <c r="K7002" s="2" t="b">
        <v>0</v>
      </c>
      <c r="L7002" s="2"/>
      <c r="M7002" s="2"/>
      <c r="N7002" s="4" t="s">
        <v>2259</v>
      </c>
      <c r="O7002" s="4" t="str">
        <f>LEFT(Table2[[#This Row],[Description]],75)</f>
        <v>Delaware North</v>
      </c>
      <c r="P7002" s="2" t="s">
        <v>2281</v>
      </c>
    </row>
    <row r="7003" spans="1:16" hidden="1">
      <c r="A7003" s="2">
        <v>202204</v>
      </c>
      <c r="B7003" s="3">
        <v>44675</v>
      </c>
      <c r="C7003" s="2" t="s">
        <v>2262</v>
      </c>
      <c r="D7003" s="2" t="s">
        <v>701</v>
      </c>
      <c r="E7003" s="2">
        <v>15.76</v>
      </c>
      <c r="F7003" s="2" t="str">
        <f>IF(Table2[[#This Row],[Manual Cat Value]]="",VLOOKUP(Table2[[#This Row],[Description]],'Actuals Lookup'!D:F,3,0),Table2[[#This Row],[Manual Cat Value]])</f>
        <v>Restaurants</v>
      </c>
      <c r="J7003" s="2">
        <v>15.76</v>
      </c>
      <c r="K7003" s="2" t="b">
        <v>0</v>
      </c>
      <c r="L7003" s="2"/>
      <c r="M7003" s="2"/>
      <c r="N7003" s="4" t="s">
        <v>2259</v>
      </c>
      <c r="O7003" s="4" t="str">
        <f>LEFT(Table2[[#This Row],[Description]],75)</f>
        <v>Delaware North</v>
      </c>
      <c r="P7003" s="2" t="s">
        <v>2281</v>
      </c>
    </row>
    <row r="7004" spans="1:16" hidden="1">
      <c r="A7004" s="2">
        <v>202204</v>
      </c>
      <c r="B7004" s="3">
        <v>44675</v>
      </c>
      <c r="C7004" s="2" t="s">
        <v>2262</v>
      </c>
      <c r="D7004" s="2" t="s">
        <v>945</v>
      </c>
      <c r="E7004" s="2">
        <v>62.85</v>
      </c>
      <c r="F7004" s="2" t="str">
        <f>IF(Table2[[#This Row],[Manual Cat Value]]="",VLOOKUP(Table2[[#This Row],[Description]],'Actuals Lookup'!D:F,3,0),Table2[[#This Row],[Manual Cat Value]])</f>
        <v>Groceries</v>
      </c>
      <c r="J7004" s="2">
        <v>62.85</v>
      </c>
      <c r="K7004" s="2" t="b">
        <v>0</v>
      </c>
      <c r="L7004" s="2"/>
      <c r="M7004" s="2"/>
      <c r="N7004" s="4" t="s">
        <v>2259</v>
      </c>
      <c r="O7004" s="4" t="str">
        <f>LEFT(Table2[[#This Row],[Description]],75)</f>
        <v>Holiday Stationstores</v>
      </c>
      <c r="P7004" s="2" t="s">
        <v>2605</v>
      </c>
    </row>
    <row r="7005" spans="1:16" hidden="1">
      <c r="A7005" s="2">
        <v>202204</v>
      </c>
      <c r="B7005" s="3">
        <v>44675</v>
      </c>
      <c r="C7005" s="2" t="s">
        <v>2262</v>
      </c>
      <c r="D7005" s="2" t="s">
        <v>1826</v>
      </c>
      <c r="E7005" s="2">
        <v>21.96</v>
      </c>
      <c r="F7005" s="2" t="e">
        <f>IF(Table2[[#This Row],[Manual Cat Value]]="",VLOOKUP(Table2[[#This Row],[Description]],'Actuals Lookup'!D:F,3,0),Table2[[#This Row],[Manual Cat Value]])</f>
        <v>#N/A</v>
      </c>
      <c r="J7005" s="2">
        <v>21.96</v>
      </c>
      <c r="K7005" s="2" t="b">
        <v>0</v>
      </c>
      <c r="L7005" s="2"/>
      <c r="M7005" s="2"/>
      <c r="N7005" s="4" t="s">
        <v>2259</v>
      </c>
      <c r="O7005" s="4" t="str">
        <f>LEFT(Table2[[#This Row],[Description]],75)</f>
        <v>TAZA CHANHASSEN MN TAZA CHANHASSEN MN</v>
      </c>
      <c r="P7005" s="2" t="s">
        <v>2613</v>
      </c>
    </row>
    <row r="7006" spans="1:16" hidden="1">
      <c r="A7006" s="2">
        <v>202204</v>
      </c>
      <c r="B7006" s="3">
        <v>44675</v>
      </c>
      <c r="C7006" s="2" t="s">
        <v>2447</v>
      </c>
      <c r="D7006" s="2" t="s">
        <v>2048</v>
      </c>
      <c r="E7006" s="2">
        <v>38.6</v>
      </c>
      <c r="F7006" s="2" t="e">
        <f>IF(Table2[[#This Row],[Manual Cat Value]]="",VLOOKUP(Table2[[#This Row],[Description]],'Actuals Lookup'!D:F,3,0),Table2[[#This Row],[Manual Cat Value]])</f>
        <v>#N/A</v>
      </c>
      <c r="J7006" s="2">
        <v>38.6</v>
      </c>
      <c r="K7006" s="2" t="b">
        <v>0</v>
      </c>
      <c r="L7006" s="2"/>
      <c r="M7006" s="2"/>
      <c r="N7006" s="4" t="s">
        <v>2259</v>
      </c>
      <c r="O7006" s="4" t="str">
        <f>LEFT(Table2[[#This Row],[Description]],75)</f>
        <v>TST* BLVD MINNETONKA MN</v>
      </c>
      <c r="P7006" s="2" t="s">
        <v>2281</v>
      </c>
    </row>
    <row r="7007" spans="1:16" hidden="1">
      <c r="A7007" s="2">
        <v>202204</v>
      </c>
      <c r="B7007" s="3">
        <v>44676</v>
      </c>
      <c r="C7007" s="2" t="s">
        <v>2265</v>
      </c>
      <c r="D7007" s="2" t="s">
        <v>199</v>
      </c>
      <c r="E7007" s="2">
        <v>699.34</v>
      </c>
      <c r="F7007" s="2" t="e">
        <f>IF(Table2[[#This Row],[Manual Cat Value]]="",VLOOKUP(Table2[[#This Row],[Description]],'Actuals Lookup'!D:F,3,0),Table2[[#This Row],[Manual Cat Value]])</f>
        <v>#N/A</v>
      </c>
      <c r="J7007" s="2">
        <v>699.34</v>
      </c>
      <c r="K7007" s="2" t="b">
        <v>0</v>
      </c>
      <c r="L7007" s="2"/>
      <c r="M7007" s="2"/>
      <c r="N7007" s="4" t="s">
        <v>2259</v>
      </c>
      <c r="O7007" s="4" t="str">
        <f>LEFT(Table2[[#This Row],[Description]],75)</f>
        <v>Banana Republic</v>
      </c>
      <c r="P7007" s="2" t="s">
        <v>2614</v>
      </c>
    </row>
    <row r="7008" spans="1:16" hidden="1">
      <c r="A7008" s="2">
        <v>202204</v>
      </c>
      <c r="B7008" s="3">
        <v>44676</v>
      </c>
      <c r="C7008" s="2" t="s">
        <v>2262</v>
      </c>
      <c r="D7008" s="2" t="s">
        <v>649</v>
      </c>
      <c r="E7008" s="2">
        <v>39.5</v>
      </c>
      <c r="F7008" s="2" t="e">
        <f>IF(Table2[[#This Row],[Manual Cat Value]]="",VLOOKUP(Table2[[#This Row],[Description]],'Actuals Lookup'!D:F,3,0),Table2[[#This Row],[Manual Cat Value]])</f>
        <v>#N/A</v>
      </c>
      <c r="J7008" s="2">
        <v>39.5</v>
      </c>
      <c r="K7008" s="2" t="b">
        <v>0</v>
      </c>
      <c r="L7008" s="2"/>
      <c r="M7008" s="2"/>
      <c r="N7008" s="4" t="s">
        <v>2259</v>
      </c>
      <c r="O7008" s="4" t="str">
        <f>LEFT(Table2[[#This Row],[Description]],75)</f>
        <v>Country Club Lanes</v>
      </c>
      <c r="P7008" s="2" t="s">
        <v>2615</v>
      </c>
    </row>
    <row r="7009" spans="1:16" hidden="1">
      <c r="A7009" s="2">
        <v>202204</v>
      </c>
      <c r="B7009" s="3">
        <v>44676</v>
      </c>
      <c r="C7009" s="2" t="s">
        <v>2262</v>
      </c>
      <c r="D7009" s="2" t="s">
        <v>684</v>
      </c>
      <c r="E7009" s="2">
        <v>71.2</v>
      </c>
      <c r="F7009" s="2" t="str">
        <f>IF(Table2[[#This Row],[Manual Cat Value]]="",VLOOKUP(Table2[[#This Row],[Description]],'Actuals Lookup'!D:F,3,0),Table2[[#This Row],[Manual Cat Value]])</f>
        <v>Groceries</v>
      </c>
      <c r="J7009" s="2">
        <v>71.2</v>
      </c>
      <c r="K7009" s="2" t="b">
        <v>0</v>
      </c>
      <c r="L7009" s="2"/>
      <c r="M7009" s="2"/>
      <c r="N7009" s="4" t="s">
        <v>2259</v>
      </c>
      <c r="O7009" s="4" t="str">
        <f>LEFT(Table2[[#This Row],[Description]],75)</f>
        <v>Cub Foods</v>
      </c>
      <c r="P7009" s="2" t="s">
        <v>2370</v>
      </c>
    </row>
    <row r="7010" spans="1:16" hidden="1">
      <c r="A7010" s="2">
        <v>202204</v>
      </c>
      <c r="B7010" s="3">
        <v>44676</v>
      </c>
      <c r="C7010" s="2" t="s">
        <v>2265</v>
      </c>
      <c r="D7010" s="2" t="s">
        <v>1355</v>
      </c>
      <c r="E7010" s="2">
        <v>200</v>
      </c>
      <c r="F7010" s="2" t="str">
        <f>IF(Table2[[#This Row],[Manual Cat Value]]="",VLOOKUP(Table2[[#This Row],[Description]],'Actuals Lookup'!D:F,3,0),Table2[[#This Row],[Manual Cat Value]])</f>
        <v>Shopping</v>
      </c>
      <c r="J7010" s="2">
        <v>200</v>
      </c>
      <c r="K7010" s="2" t="b">
        <v>0</v>
      </c>
      <c r="L7010" s="2"/>
      <c r="M7010" s="2"/>
      <c r="N7010" s="4" t="s">
        <v>2259</v>
      </c>
      <c r="O7010" s="4" t="str">
        <f>LEFT(Table2[[#This Row],[Description]],75)</f>
        <v>Nordstrom</v>
      </c>
      <c r="P7010" s="2" t="s">
        <v>2352</v>
      </c>
    </row>
    <row r="7011" spans="1:16" hidden="1">
      <c r="A7011" s="2">
        <v>202204</v>
      </c>
      <c r="B7011" s="3">
        <v>44676</v>
      </c>
      <c r="C7011" s="2" t="s">
        <v>2262</v>
      </c>
      <c r="D7011" s="2" t="s">
        <v>1581</v>
      </c>
      <c r="E7011" s="2">
        <v>71.099999999999994</v>
      </c>
      <c r="F7011" s="2" t="e">
        <f>IF(Table2[[#This Row],[Manual Cat Value]]="",VLOOKUP(Table2[[#This Row],[Description]],'Actuals Lookup'!D:F,3,0),Table2[[#This Row],[Manual Cat Value]])</f>
        <v>#N/A</v>
      </c>
      <c r="J7011" s="2">
        <v>71.099999999999994</v>
      </c>
      <c r="K7011" s="2" t="b">
        <v>0</v>
      </c>
      <c r="L7011" s="2"/>
      <c r="M7011" s="2"/>
      <c r="N7011" s="4" t="s">
        <v>2259</v>
      </c>
      <c r="O7011" s="4" t="str">
        <f>LEFT(Table2[[#This Row],[Description]],75)</f>
        <v>Rey Azteca Mexican Restaurant</v>
      </c>
      <c r="P7011" s="2" t="s">
        <v>2616</v>
      </c>
    </row>
    <row r="7012" spans="1:16" hidden="1">
      <c r="A7012" s="2">
        <v>202204</v>
      </c>
      <c r="B7012" s="3">
        <v>44676</v>
      </c>
      <c r="C7012" s="2" t="s">
        <v>2265</v>
      </c>
      <c r="D7012" s="2" t="s">
        <v>31</v>
      </c>
      <c r="E7012" s="2">
        <v>164.51</v>
      </c>
      <c r="F7012" s="2" t="str">
        <f>IF(Table2[[#This Row],[Manual Cat Value]]="",VLOOKUP(Table2[[#This Row],[Description]],'Actuals Lookup'!D:F,3,0),Table2[[#This Row],[Manual Cat Value]])</f>
        <v>Target</v>
      </c>
      <c r="J7012" s="2">
        <v>164.51</v>
      </c>
      <c r="K7012" s="2" t="b">
        <v>0</v>
      </c>
      <c r="L7012" s="2"/>
      <c r="M7012" s="2"/>
      <c r="N7012" s="4" t="s">
        <v>2259</v>
      </c>
      <c r="O7012" s="4" t="str">
        <f>LEFT(Table2[[#This Row],[Description]],75)</f>
        <v>Target</v>
      </c>
      <c r="P7012" s="2" t="s">
        <v>2309</v>
      </c>
    </row>
    <row r="7013" spans="1:16" hidden="1">
      <c r="A7013" s="2">
        <v>202204</v>
      </c>
      <c r="B7013" s="3">
        <v>44676</v>
      </c>
      <c r="C7013" s="2" t="s">
        <v>2265</v>
      </c>
      <c r="D7013" s="2" t="s">
        <v>2065</v>
      </c>
      <c r="E7013" s="2">
        <v>-8000</v>
      </c>
      <c r="F7013" s="2" t="e">
        <f>IF(Table2[[#This Row],[Manual Cat Value]]="",VLOOKUP(Table2[[#This Row],[Description]],'Actuals Lookup'!D:F,3,0),Table2[[#This Row],[Manual Cat Value]])</f>
        <v>#N/A</v>
      </c>
      <c r="J7013" s="2">
        <v>-8000</v>
      </c>
      <c r="K7013" s="2" t="b">
        <v>0</v>
      </c>
      <c r="L7013" s="2"/>
      <c r="M7013" s="2"/>
      <c r="N7013" s="4" t="s">
        <v>2273</v>
      </c>
      <c r="O7013" s="4" t="str">
        <f>LEFT(Table2[[#This Row],[Description]],75)</f>
        <v>Type Online Id</v>
      </c>
      <c r="P7013" s="2" t="s">
        <v>2281</v>
      </c>
    </row>
    <row r="7014" spans="1:16" hidden="1">
      <c r="A7014" s="2">
        <v>202204</v>
      </c>
      <c r="B7014" s="3">
        <v>44677</v>
      </c>
      <c r="C7014" s="2" t="s">
        <v>2262</v>
      </c>
      <c r="D7014" s="2" t="s">
        <v>38</v>
      </c>
      <c r="E7014" s="2">
        <v>29.35</v>
      </c>
      <c r="F7014" s="2" t="str">
        <f>IF(Table2[[#This Row],[Manual Cat Value]]="",VLOOKUP(Table2[[#This Row],[Description]],'Actuals Lookup'!D:F,3,0),Table2[[#This Row],[Manual Cat Value]])</f>
        <v>Amazon</v>
      </c>
      <c r="J7014" s="2">
        <v>29.35</v>
      </c>
      <c r="K7014" s="2" t="b">
        <v>0</v>
      </c>
      <c r="L7014" s="2"/>
      <c r="M7014" s="2"/>
      <c r="N7014" s="4" t="s">
        <v>2259</v>
      </c>
      <c r="O7014" s="4" t="str">
        <f>LEFT(Table2[[#This Row],[Description]],75)</f>
        <v>Amazon</v>
      </c>
      <c r="P7014" s="2" t="s">
        <v>2260</v>
      </c>
    </row>
    <row r="7015" spans="1:16" hidden="1">
      <c r="A7015" s="2">
        <v>202204</v>
      </c>
      <c r="B7015" s="3">
        <v>44677</v>
      </c>
      <c r="C7015" s="2" t="s">
        <v>2265</v>
      </c>
      <c r="D7015" s="2" t="s">
        <v>425</v>
      </c>
      <c r="E7015" s="2">
        <v>-93</v>
      </c>
      <c r="F7015" s="2" t="e">
        <f>IF(Table2[[#This Row],[Manual Cat Value]]="",VLOOKUP(Table2[[#This Row],[Description]],'Actuals Lookup'!D:F,3,0),Table2[[#This Row],[Manual Cat Value]])</f>
        <v>#N/A</v>
      </c>
      <c r="J7015" s="2">
        <v>-93</v>
      </c>
      <c r="K7015" s="2" t="b">
        <v>0</v>
      </c>
      <c r="L7015" s="2"/>
      <c r="M7015" s="2"/>
      <c r="N7015" s="4" t="s">
        <v>2273</v>
      </c>
      <c r="O7015" s="4" t="str">
        <f>LEFT(Table2[[#This Row],[Description]],75)</f>
        <v>Cargill Incorpor Type</v>
      </c>
      <c r="P7015" s="2" t="s">
        <v>2282</v>
      </c>
    </row>
    <row r="7016" spans="1:16" hidden="1">
      <c r="A7016" s="2">
        <v>202204</v>
      </c>
      <c r="B7016" s="3">
        <v>44677</v>
      </c>
      <c r="C7016" s="2" t="s">
        <v>2262</v>
      </c>
      <c r="D7016" s="2" t="s">
        <v>560</v>
      </c>
      <c r="E7016" s="2">
        <v>23</v>
      </c>
      <c r="F7016" s="2" t="e">
        <f>IF(Table2[[#This Row],[Manual Cat Value]]="",VLOOKUP(Table2[[#This Row],[Description]],'Actuals Lookup'!D:F,3,0),Table2[[#This Row],[Manual Cat Value]])</f>
        <v>#N/A</v>
      </c>
      <c r="J7016" s="2">
        <v>23</v>
      </c>
      <c r="K7016" s="2" t="b">
        <v>0</v>
      </c>
      <c r="L7016" s="2"/>
      <c r="M7016" s="2"/>
      <c r="N7016" s="4" t="s">
        <v>2259</v>
      </c>
      <c r="O7016" s="4" t="str">
        <f>LEFT(Table2[[#This Row],[Description]],75)</f>
        <v>City of Waconia</v>
      </c>
      <c r="P7016" s="2" t="s">
        <v>2281</v>
      </c>
    </row>
    <row r="7017" spans="1:16" hidden="1">
      <c r="A7017" s="2">
        <v>202204</v>
      </c>
      <c r="B7017" s="3">
        <v>44677</v>
      </c>
      <c r="C7017" s="2" t="s">
        <v>2267</v>
      </c>
      <c r="D7017" s="2" t="s">
        <v>710</v>
      </c>
      <c r="E7017" s="2">
        <v>-150</v>
      </c>
      <c r="F7017" s="2" t="str">
        <f>IF(Table2[[#This Row],[Manual Cat Value]]="",VLOOKUP(Table2[[#This Row],[Description]],'Actuals Lookup'!D:F,3,0),Table2[[#This Row],[Manual Cat Value]])</f>
        <v>Delete</v>
      </c>
      <c r="J7017" s="2">
        <v>-150</v>
      </c>
      <c r="K7017" s="2" t="b">
        <v>0</v>
      </c>
      <c r="L7017" s="2"/>
      <c r="M7017" s="2"/>
      <c r="N7017" s="4" t="s">
        <v>2273</v>
      </c>
      <c r="O7017" s="4" t="str">
        <f>LEFT(Table2[[#This Row],[Description]],75)</f>
        <v>Deposit by Check Deposit Anywhere check deposit</v>
      </c>
      <c r="P7017" s="2" t="s">
        <v>2281</v>
      </c>
    </row>
    <row r="7018" spans="1:16" hidden="1">
      <c r="A7018" s="2">
        <v>202204</v>
      </c>
      <c r="B7018" s="3">
        <v>44677</v>
      </c>
      <c r="C7018" s="2" t="s">
        <v>2265</v>
      </c>
      <c r="D7018" s="2" t="s">
        <v>1196</v>
      </c>
      <c r="E7018" s="2">
        <v>536.29999999999995</v>
      </c>
      <c r="F7018" s="2" t="e">
        <f>IF(Table2[[#This Row],[Manual Cat Value]]="",VLOOKUP(Table2[[#This Row],[Description]],'Actuals Lookup'!D:F,3,0),Table2[[#This Row],[Manual Cat Value]])</f>
        <v>#N/A</v>
      </c>
      <c r="J7018" s="2">
        <v>536.29999999999995</v>
      </c>
      <c r="K7018" s="2" t="b">
        <v>0</v>
      </c>
      <c r="L7018" s="2"/>
      <c r="M7018" s="2"/>
      <c r="N7018" s="4" t="s">
        <v>2259</v>
      </c>
      <c r="O7018" s="4" t="str">
        <f>LEFT(Table2[[#This Row],[Description]],75)</f>
        <v>MHCHILDCARELLC TYPE DUES ID CO M MHCHILDCARELLC TYPE DUES ID CO MHCHILDCARE</v>
      </c>
      <c r="P7018" s="2" t="s">
        <v>2497</v>
      </c>
    </row>
    <row r="7019" spans="1:16" ht="28.5" hidden="1">
      <c r="A7019" s="2">
        <v>202204</v>
      </c>
      <c r="B7019" s="3">
        <v>44677</v>
      </c>
      <c r="C7019" s="2" t="s">
        <v>2447</v>
      </c>
      <c r="D7019" s="5" t="s">
        <v>1351</v>
      </c>
      <c r="E7019" s="2">
        <v>9.99</v>
      </c>
      <c r="F7019" s="2" t="e">
        <f>IF(Table2[[#This Row],[Manual Cat Value]]="",VLOOKUP(Table2[[#This Row],[Description]],'Actuals Lookup'!D:F,3,0),Table2[[#This Row],[Manual Cat Value]])</f>
        <v>#N/A</v>
      </c>
      <c r="J7019" s="2">
        <v>9.99</v>
      </c>
      <c r="K7019" s="2" t="b">
        <v>0</v>
      </c>
      <c r="L7019" s="2"/>
      <c r="M7019" s="2"/>
      <c r="N7019" s="4" t="s">
        <v>2259</v>
      </c>
      <c r="O7019" s="4" t="str">
        <f>LEFT(Table2[[#This Row],[Description]],75)</f>
        <v>NETFLIX.COM NETFLIX.COM CA
NETFLIX.COM</v>
      </c>
      <c r="P7019" s="2" t="s">
        <v>2599</v>
      </c>
    </row>
    <row r="7020" spans="1:16" hidden="1">
      <c r="A7020" s="2">
        <v>202204</v>
      </c>
      <c r="B7020" s="3">
        <v>44678</v>
      </c>
      <c r="C7020" s="2" t="s">
        <v>2262</v>
      </c>
      <c r="D7020" s="2" t="s">
        <v>1682</v>
      </c>
      <c r="E7020" s="2">
        <v>122.09</v>
      </c>
      <c r="F7020" s="2" t="str">
        <f>IF(Table2[[#This Row],[Manual Cat Value]]="",VLOOKUP(Table2[[#This Row],[Description]],'Actuals Lookup'!D:F,3,0),Table2[[#This Row],[Manual Cat Value]])</f>
        <v>Healthcare</v>
      </c>
      <c r="J7020" s="2">
        <v>122.09</v>
      </c>
      <c r="K7020" s="2" t="b">
        <v>0</v>
      </c>
      <c r="L7020" s="2"/>
      <c r="M7020" s="2"/>
      <c r="N7020" s="4" t="s">
        <v>2259</v>
      </c>
      <c r="O7020" s="4" t="str">
        <f>LEFT(Table2[[#This Row],[Description]],75)</f>
        <v>South Lake Pediatrics</v>
      </c>
      <c r="P7020" s="2" t="s">
        <v>2617</v>
      </c>
    </row>
    <row r="7021" spans="1:16" hidden="1">
      <c r="A7021" s="2">
        <v>202204</v>
      </c>
      <c r="B7021" s="3">
        <v>44678</v>
      </c>
      <c r="C7021" s="2" t="s">
        <v>2265</v>
      </c>
      <c r="D7021" s="2" t="s">
        <v>1805</v>
      </c>
      <c r="E7021" s="2">
        <v>-3491.21</v>
      </c>
      <c r="F7021" s="2" t="e">
        <f>IF(Table2[[#This Row],[Manual Cat Value]]="",VLOOKUP(Table2[[#This Row],[Description]],'Actuals Lookup'!D:F,3,0),Table2[[#This Row],[Manual Cat Value]])</f>
        <v>#N/A</v>
      </c>
      <c r="J7021" s="2">
        <v>-3491.21</v>
      </c>
      <c r="K7021" s="2" t="b">
        <v>0</v>
      </c>
      <c r="L7021" s="2"/>
      <c r="M7021" s="2"/>
      <c r="N7021" s="4" t="s">
        <v>2273</v>
      </c>
      <c r="O7021" s="4" t="str">
        <f>LEFT(Table2[[#This Row],[Description]],75)</f>
        <v>SYNTELLIS PERFOR TYPE DIRECT DEP ID CO SYNTELLIS PERFOR ACH ECC PPD ACH Tra</v>
      </c>
      <c r="P7021" s="2" t="s">
        <v>2281</v>
      </c>
    </row>
    <row r="7022" spans="1:16" hidden="1">
      <c r="A7022" s="2">
        <v>202204</v>
      </c>
      <c r="B7022" s="3">
        <v>44679</v>
      </c>
      <c r="C7022" s="2" t="s">
        <v>2265</v>
      </c>
      <c r="D7022" s="2" t="s">
        <v>423</v>
      </c>
      <c r="E7022" s="2">
        <v>-2448.7199999999998</v>
      </c>
      <c r="F7022" s="2" t="e">
        <f>IF(Table2[[#This Row],[Manual Cat Value]]="",VLOOKUP(Table2[[#This Row],[Description]],'Actuals Lookup'!D:F,3,0),Table2[[#This Row],[Manual Cat Value]])</f>
        <v>#N/A</v>
      </c>
      <c r="J7022" s="2">
        <v>-2448.7199999999998</v>
      </c>
      <c r="K7022" s="2" t="b">
        <v>0</v>
      </c>
      <c r="L7022" s="2"/>
      <c r="M7022" s="2"/>
      <c r="N7022" s="4" t="s">
        <v>2273</v>
      </c>
      <c r="O7022" s="4" t="str">
        <f>LEFT(Table2[[#This Row],[Description]],75)</f>
        <v>Cargill Inc Deposit CARGILL INCORPOR TYPE DIRECT DEP ID CO CARGILL INCORPOR</v>
      </c>
      <c r="P7022" s="2" t="s">
        <v>2545</v>
      </c>
    </row>
    <row r="7023" spans="1:16" hidden="1">
      <c r="A7023" s="2">
        <v>202204</v>
      </c>
      <c r="B7023" s="3">
        <v>44679</v>
      </c>
      <c r="C7023" s="2" t="s">
        <v>2262</v>
      </c>
      <c r="D7023" s="2" t="s">
        <v>602</v>
      </c>
      <c r="E7023" s="2">
        <v>23.42</v>
      </c>
      <c r="F7023" s="2" t="e">
        <f>IF(Table2[[#This Row],[Manual Cat Value]]="",VLOOKUP(Table2[[#This Row],[Description]],'Actuals Lookup'!D:F,3,0),Table2[[#This Row],[Manual Cat Value]])</f>
        <v>#N/A</v>
      </c>
      <c r="J7023" s="2">
        <v>23.42</v>
      </c>
      <c r="K7023" s="2" t="b">
        <v>0</v>
      </c>
      <c r="L7023" s="2"/>
      <c r="M7023" s="2"/>
      <c r="N7023" s="4" t="s">
        <v>2259</v>
      </c>
      <c r="O7023" s="4" t="str">
        <f>LEFT(Table2[[#This Row],[Description]],75)</f>
        <v>Company Store</v>
      </c>
      <c r="P7023" s="2" t="s">
        <v>2281</v>
      </c>
    </row>
    <row r="7024" spans="1:16" hidden="1">
      <c r="A7024" s="2">
        <v>202204</v>
      </c>
      <c r="B7024" s="3">
        <v>44679</v>
      </c>
      <c r="C7024" s="2" t="s">
        <v>2265</v>
      </c>
      <c r="D7024" s="2" t="s">
        <v>1471</v>
      </c>
      <c r="E7024" s="2">
        <v>0.99</v>
      </c>
      <c r="F7024" s="2" t="str">
        <f>IF(Table2[[#This Row],[Manual Cat Value]]="",VLOOKUP(Table2[[#This Row],[Description]],'Actuals Lookup'!D:F,3,0),Table2[[#This Row],[Manual Cat Value]])</f>
        <v>Shopping</v>
      </c>
      <c r="J7024" s="2">
        <v>0.99</v>
      </c>
      <c r="K7024" s="2" t="b">
        <v>0</v>
      </c>
      <c r="L7024" s="2"/>
      <c r="M7024" s="2"/>
      <c r="N7024" s="4" t="s">
        <v>2259</v>
      </c>
      <c r="O7024" s="4" t="str">
        <f>LEFT(Table2[[#This Row],[Description]],75)</f>
        <v>PayPal</v>
      </c>
      <c r="P7024" s="2" t="s">
        <v>2322</v>
      </c>
    </row>
    <row r="7025" spans="1:16" hidden="1">
      <c r="A7025" s="2">
        <v>202204</v>
      </c>
      <c r="B7025" s="3">
        <v>44679</v>
      </c>
      <c r="C7025" s="2" t="s">
        <v>2265</v>
      </c>
      <c r="D7025" s="2" t="s">
        <v>1998</v>
      </c>
      <c r="E7025" s="2">
        <v>8000</v>
      </c>
      <c r="F7025" s="2" t="e">
        <f>IF(Table2[[#This Row],[Manual Cat Value]]="",VLOOKUP(Table2[[#This Row],[Description]],'Actuals Lookup'!D:F,3,0),Table2[[#This Row],[Manual Cat Value]])</f>
        <v>#N/A</v>
      </c>
      <c r="J7025" s="2">
        <v>8000</v>
      </c>
      <c r="K7025" s="2" t="b">
        <v>0</v>
      </c>
      <c r="L7025" s="2"/>
      <c r="M7025" s="2"/>
      <c r="N7025" s="4" t="s">
        <v>2259</v>
      </c>
      <c r="O7025" s="4" t="str">
        <f>LEFT(Table2[[#This Row],[Description]],75)</f>
        <v>Treasurydirectgov TREASURY DIRECT TYPE TREAS DRCT ID CO TREASURY DIRECT ACH</v>
      </c>
      <c r="P7025" s="2" t="s">
        <v>2281</v>
      </c>
    </row>
    <row r="7026" spans="1:16" hidden="1">
      <c r="A7026" s="2">
        <v>202204</v>
      </c>
      <c r="B7026" s="3">
        <v>44680</v>
      </c>
      <c r="C7026" s="2" t="s">
        <v>2262</v>
      </c>
      <c r="D7026" s="2" t="s">
        <v>826</v>
      </c>
      <c r="E7026" s="2">
        <v>257.99</v>
      </c>
      <c r="F7026" s="2" t="e">
        <f>IF(Table2[[#This Row],[Manual Cat Value]]="",VLOOKUP(Table2[[#This Row],[Description]],'Actuals Lookup'!D:F,3,0),Table2[[#This Row],[Manual Cat Value]])</f>
        <v>#N/A</v>
      </c>
      <c r="J7026" s="2">
        <v>257.99</v>
      </c>
      <c r="K7026" s="2" t="b">
        <v>0</v>
      </c>
      <c r="L7026" s="2"/>
      <c r="M7026" s="2"/>
      <c r="N7026" s="4" t="s">
        <v>2259</v>
      </c>
      <c r="O7026" s="4" t="str">
        <f>LEFT(Table2[[#This Row],[Description]],75)</f>
        <v>EVEREVE  60             HOPKINS</v>
      </c>
      <c r="P7026" s="2" t="s">
        <v>2607</v>
      </c>
    </row>
    <row r="7027" spans="1:16" hidden="1">
      <c r="A7027" s="2">
        <v>202204</v>
      </c>
      <c r="B7027" s="3">
        <v>44680</v>
      </c>
      <c r="C7027" s="2" t="s">
        <v>2262</v>
      </c>
      <c r="D7027" s="2" t="s">
        <v>1164</v>
      </c>
      <c r="E7027" s="2">
        <v>137.79</v>
      </c>
      <c r="F7027" s="2" t="e">
        <f>IF(Table2[[#This Row],[Manual Cat Value]]="",VLOOKUP(Table2[[#This Row],[Description]],'Actuals Lookup'!D:F,3,0),Table2[[#This Row],[Manual Cat Value]])</f>
        <v>#N/A</v>
      </c>
      <c r="J7027" s="2">
        <v>137.79</v>
      </c>
      <c r="K7027" s="2" t="b">
        <v>0</v>
      </c>
      <c r="L7027" s="2"/>
      <c r="M7027" s="2"/>
      <c r="N7027" s="4" t="s">
        <v>2259</v>
      </c>
      <c r="O7027" s="4" t="str">
        <f>LEFT(Table2[[#This Row],[Description]],75)</f>
        <v>LUNDSBYERLYS CHANH      CHANHASS</v>
      </c>
      <c r="P7027" s="2" t="s">
        <v>2364</v>
      </c>
    </row>
    <row r="7028" spans="1:16" hidden="1">
      <c r="A7028" s="2">
        <v>202204</v>
      </c>
      <c r="B7028" s="3">
        <v>44680</v>
      </c>
      <c r="C7028" s="2" t="s">
        <v>2265</v>
      </c>
      <c r="D7028" s="2" t="s">
        <v>1955</v>
      </c>
      <c r="E7028" s="2">
        <v>0.99</v>
      </c>
      <c r="F7028" s="2" t="str">
        <f>IF(Table2[[#This Row],[Manual Cat Value]]="",VLOOKUP(Table2[[#This Row],[Description]],'Actuals Lookup'!D:F,3,0),Table2[[#This Row],[Manual Cat Value]])</f>
        <v>Shopping</v>
      </c>
      <c r="J7028" s="2">
        <v>0.99</v>
      </c>
      <c r="K7028" s="2" t="b">
        <v>0</v>
      </c>
      <c r="L7028" s="2"/>
      <c r="M7028" s="2"/>
      <c r="N7028" s="4" t="s">
        <v>2259</v>
      </c>
      <c r="O7028" s="4" t="str">
        <f>LEFT(Table2[[#This Row],[Description]],75)</f>
        <v>Transfer to PayPal</v>
      </c>
      <c r="P7028" s="2" t="s">
        <v>2322</v>
      </c>
    </row>
    <row r="7029" spans="1:16" hidden="1">
      <c r="A7029" s="2">
        <v>202204</v>
      </c>
      <c r="B7029" s="3">
        <v>44680</v>
      </c>
      <c r="C7029" s="2" t="s">
        <v>2265</v>
      </c>
      <c r="D7029" s="2" t="s">
        <v>2204</v>
      </c>
      <c r="E7029" s="2">
        <v>1302.1600000000001</v>
      </c>
      <c r="F7029" s="2" t="e">
        <f>IF(Table2[[#This Row],[Manual Cat Value]]="",VLOOKUP(Table2[[#This Row],[Description]],'Actuals Lookup'!D:F,3,0),Table2[[#This Row],[Manual Cat Value]])</f>
        <v>#N/A</v>
      </c>
      <c r="J7029" s="2">
        <v>1302.1600000000001</v>
      </c>
      <c r="K7029" s="2" t="b">
        <v>0</v>
      </c>
      <c r="L7029" s="2"/>
      <c r="M7029" s="2"/>
      <c r="N7029" s="4" t="s">
        <v>2259</v>
      </c>
      <c r="O7029" s="4" t="str">
        <f>LEFT(Table2[[#This Row],[Description]],75)</f>
        <v>Withdrawal Home Pmt to card XX91</v>
      </c>
      <c r="P7029" s="2" t="s">
        <v>2593</v>
      </c>
    </row>
    <row r="7030" spans="1:16" hidden="1">
      <c r="A7030" s="2">
        <v>202204</v>
      </c>
      <c r="B7030" s="3">
        <v>44680</v>
      </c>
      <c r="C7030" s="2" t="s">
        <v>2262</v>
      </c>
      <c r="D7030" s="2" t="s">
        <v>673</v>
      </c>
      <c r="E7030" s="2">
        <v>-1302.1600000000001</v>
      </c>
      <c r="F7030" s="2" t="str">
        <f>IF(Table2[[#This Row],[Manual Cat Value]]="",VLOOKUP(Table2[[#This Row],[Description]],'Actuals Lookup'!D:F,3,0),Table2[[#This Row],[Manual Cat Value]])</f>
        <v>Delete</v>
      </c>
      <c r="J7030" s="2">
        <v>-1302.1600000000001</v>
      </c>
      <c r="K7030" s="2" t="b">
        <v>0</v>
      </c>
      <c r="L7030" s="2"/>
      <c r="M7030" s="2"/>
      <c r="N7030" s="4" t="s">
        <v>2273</v>
      </c>
      <c r="O7030" s="4" t="str">
        <f>LEFT(Table2[[#This Row],[Description]],75)</f>
        <v>Credit Card Payment Received</v>
      </c>
      <c r="P7030" s="2" t="s">
        <v>2597</v>
      </c>
    </row>
    <row r="7031" spans="1:16" hidden="1">
      <c r="A7031" s="2">
        <v>202204</v>
      </c>
      <c r="B7031" s="3">
        <v>44680</v>
      </c>
      <c r="C7031" s="2" t="s">
        <v>2265</v>
      </c>
      <c r="D7031" s="2" t="s">
        <v>1465</v>
      </c>
      <c r="E7031" s="2">
        <v>253.41</v>
      </c>
      <c r="F7031" s="2" t="e">
        <f>IF(Table2[[#This Row],[Manual Cat Value]]="",VLOOKUP(Table2[[#This Row],[Description]],'Actuals Lookup'!D:F,3,0),Table2[[#This Row],[Manual Cat Value]])</f>
        <v>#N/A</v>
      </c>
      <c r="J7031" s="2">
        <v>253.41</v>
      </c>
      <c r="K7031" s="2" t="b">
        <v>0</v>
      </c>
      <c r="L7031" s="2"/>
      <c r="M7031" s="2"/>
      <c r="N7031" s="4" t="s">
        <v>2259</v>
      </c>
      <c r="O7031" s="4" t="str">
        <f>LEFT(Table2[[#This Row],[Description]],75)</f>
        <v>Payment to Nordstrom</v>
      </c>
      <c r="P7031" s="2" t="s">
        <v>2618</v>
      </c>
    </row>
    <row r="7032" spans="1:16" hidden="1">
      <c r="A7032" s="2">
        <v>202204</v>
      </c>
      <c r="B7032" s="3">
        <v>44681</v>
      </c>
      <c r="C7032" s="2" t="s">
        <v>2262</v>
      </c>
      <c r="D7032" s="2" t="s">
        <v>151</v>
      </c>
      <c r="E7032" s="2">
        <v>17.170000000000002</v>
      </c>
      <c r="F7032" s="2" t="e">
        <f>IF(Table2[[#This Row],[Manual Cat Value]]="",VLOOKUP(Table2[[#This Row],[Description]],'Actuals Lookup'!D:F,3,0),Table2[[#This Row],[Manual Cat Value]])</f>
        <v>#N/A</v>
      </c>
      <c r="J7032" s="2">
        <v>17.170000000000002</v>
      </c>
      <c r="K7032" s="2" t="b">
        <v>0</v>
      </c>
      <c r="L7032" s="2"/>
      <c r="M7032" s="2"/>
      <c r="N7032" s="4" t="s">
        <v>2259</v>
      </c>
      <c r="O7032" s="4" t="str">
        <f>LEFT(Table2[[#This Row],[Description]],75)</f>
        <v>AMZN Mktp US1Q9AW1NN2 Amzncombil</v>
      </c>
      <c r="P7032" s="2" t="s">
        <v>2619</v>
      </c>
    </row>
    <row r="7033" spans="1:16" hidden="1">
      <c r="A7033" s="2">
        <v>202204</v>
      </c>
      <c r="B7033" s="3">
        <v>44681</v>
      </c>
      <c r="C7033" s="2" t="s">
        <v>2262</v>
      </c>
      <c r="D7033" s="2" t="s">
        <v>825</v>
      </c>
      <c r="E7033" s="2">
        <v>-457</v>
      </c>
      <c r="F7033" s="2" t="str">
        <f>IF(Table2[[#This Row],[Manual Cat Value]]="",VLOOKUP(Table2[[#This Row],[Description]],'Actuals Lookup'!D:F,3,0),Table2[[#This Row],[Manual Cat Value]])</f>
        <v>Shopping</v>
      </c>
      <c r="J7033" s="2">
        <v>-457</v>
      </c>
      <c r="K7033" s="2" t="b">
        <v>0</v>
      </c>
      <c r="L7033" s="2"/>
      <c r="M7033" s="2"/>
      <c r="N7033" s="4" t="s">
        <v>2273</v>
      </c>
      <c r="O7033" s="4" t="str">
        <f>LEFT(Table2[[#This Row],[Description]],75)</f>
        <v>Evereve</v>
      </c>
      <c r="P7033" s="2" t="s">
        <v>2620</v>
      </c>
    </row>
    <row r="7034" spans="1:16" hidden="1">
      <c r="A7034" s="2">
        <v>202204</v>
      </c>
      <c r="B7034" s="3">
        <v>44681</v>
      </c>
      <c r="C7034" s="2" t="s">
        <v>2300</v>
      </c>
      <c r="D7034" s="2" t="s">
        <v>981</v>
      </c>
      <c r="E7034" s="2">
        <v>-14.05</v>
      </c>
      <c r="F7034" s="2" t="e">
        <f>IF(Table2[[#This Row],[Manual Cat Value]]="",VLOOKUP(Table2[[#This Row],[Description]],'Actuals Lookup'!D:F,3,0),Table2[[#This Row],[Manual Cat Value]])</f>
        <v>#N/A</v>
      </c>
      <c r="J7034" s="2">
        <v>-14.05</v>
      </c>
      <c r="K7034" s="2" t="b">
        <v>0</v>
      </c>
      <c r="L7034" s="2"/>
      <c r="M7034" s="2"/>
      <c r="N7034" s="4" t="s">
        <v>2273</v>
      </c>
      <c r="O7034" s="4" t="str">
        <f>LEFT(Table2[[#This Row],[Description]],75)</f>
        <v>Interest Income</v>
      </c>
      <c r="P7034" s="2" t="s">
        <v>2281</v>
      </c>
    </row>
    <row r="7035" spans="1:16" hidden="1">
      <c r="A7035" s="2">
        <v>202204</v>
      </c>
      <c r="B7035" s="3">
        <v>44681</v>
      </c>
      <c r="C7035" s="2" t="s">
        <v>2265</v>
      </c>
      <c r="D7035" s="2" t="s">
        <v>981</v>
      </c>
      <c r="E7035" s="2">
        <v>-22.93</v>
      </c>
      <c r="F7035" s="2" t="e">
        <f>IF(Table2[[#This Row],[Manual Cat Value]]="",VLOOKUP(Table2[[#This Row],[Description]],'Actuals Lookup'!D:F,3,0),Table2[[#This Row],[Manual Cat Value]])</f>
        <v>#N/A</v>
      </c>
      <c r="J7035" s="2">
        <v>-22.93</v>
      </c>
      <c r="K7035" s="2" t="b">
        <v>0</v>
      </c>
      <c r="L7035" s="2"/>
      <c r="M7035" s="2"/>
      <c r="N7035" s="4" t="s">
        <v>2273</v>
      </c>
      <c r="O7035" s="4" t="str">
        <f>LEFT(Table2[[#This Row],[Description]],75)</f>
        <v>Interest Income</v>
      </c>
      <c r="P7035" s="2" t="s">
        <v>2281</v>
      </c>
    </row>
    <row r="7036" spans="1:16" hidden="1">
      <c r="A7036">
        <v>202204</v>
      </c>
      <c r="B7036" s="3">
        <v>44681</v>
      </c>
      <c r="C7036" t="s">
        <v>2281</v>
      </c>
      <c r="D7036" t="s">
        <v>14</v>
      </c>
      <c r="E7036">
        <f>125*2</f>
        <v>250</v>
      </c>
      <c r="F7036" s="2" t="str">
        <f>IF(Table2[[#This Row],[Manual Cat Value]]="",VLOOKUP(Table2[[#This Row],[Description]],'Actuals Lookup'!D:F,3,0),Table2[[#This Row],[Manual Cat Value]])</f>
        <v>Exp - Cleaning</v>
      </c>
      <c r="G7036" t="e">
        <f>VLOOKUP(D7036,Lookup!G:H,2,0)</f>
        <v>#N/A</v>
      </c>
      <c r="H7036" s="8" t="s">
        <v>13</v>
      </c>
      <c r="O7036" t="str">
        <f>LEFT(Table2[[#This Row],[Description]],75)</f>
        <v>Cleaning</v>
      </c>
    </row>
    <row r="7037" spans="1:16" ht="30" hidden="1">
      <c r="A7037" s="25">
        <f t="shared" ref="A7037:A7068" si="0">VALUE(YEAR(B7037)&amp;TEXT(MONTH(B7037),"00"))</f>
        <v>202205</v>
      </c>
      <c r="B7037" s="6">
        <v>44682</v>
      </c>
      <c r="C7037" t="s">
        <v>2447</v>
      </c>
      <c r="D7037" s="7" t="s">
        <v>116</v>
      </c>
      <c r="E7037">
        <f t="shared" ref="E7037:E7068" si="1">IF(M7037="credit",-1*J7037,J7037)</f>
        <v>4.28</v>
      </c>
      <c r="F7037" s="2" t="str">
        <f>IF(Table2[[#This Row],[Manual Cat Value]]="",VLOOKUP(Table2[[#This Row],[Description]],'Actuals Lookup'!D:F,3,0),Table2[[#This Row],[Manual Cat Value]])</f>
        <v>Exp - Entertainment</v>
      </c>
      <c r="G7037" t="str">
        <f>VLOOKUP(D7037,Lookup!G:H,2,0)</f>
        <v>Entertainment</v>
      </c>
      <c r="H7037" s="8" t="s">
        <v>39</v>
      </c>
      <c r="J7037">
        <v>4.28</v>
      </c>
      <c r="K7037" s="6"/>
      <c r="L7037" s="6"/>
      <c r="M7037" t="s">
        <v>2513</v>
      </c>
      <c r="O7037" t="str">
        <f>LEFT(Table2[[#This Row],[Description]],75)</f>
        <v>AMAZON MUSIC*1Q24K80L2 888-802-3080 WA
4NSAVB50RI5</v>
      </c>
    </row>
    <row r="7038" spans="1:16" hidden="1">
      <c r="A7038" s="25">
        <f t="shared" si="0"/>
        <v>202205</v>
      </c>
      <c r="B7038" s="6">
        <v>44682</v>
      </c>
      <c r="C7038" t="s">
        <v>2314</v>
      </c>
      <c r="D7038" t="s">
        <v>859</v>
      </c>
      <c r="E7038">
        <f t="shared" si="1"/>
        <v>-597.41</v>
      </c>
      <c r="F7038" s="2" t="str">
        <f>IF(Table2[[#This Row],[Manual Cat Value]]="",VLOOKUP(Table2[[#This Row],[Description]],'Actuals Lookup'!D:F,3,0),Table2[[#This Row],[Manual Cat Value]])</f>
        <v>Delete</v>
      </c>
      <c r="G7038" t="str">
        <f>VLOOKUP(D7038,Lookup!G:H,2,0)</f>
        <v>Car Loan</v>
      </c>
      <c r="H7038" s="8" t="s">
        <v>9</v>
      </c>
      <c r="J7038">
        <v>597.41</v>
      </c>
      <c r="K7038" s="6"/>
      <c r="L7038" s="6"/>
      <c r="M7038" t="s">
        <v>2621</v>
      </c>
      <c r="O7038" t="str">
        <f>LEFT(Table2[[#This Row],[Description]],75)</f>
        <v>From Share 70</v>
      </c>
    </row>
    <row r="7039" spans="1:16" hidden="1">
      <c r="A7039" s="25">
        <f t="shared" si="0"/>
        <v>202205</v>
      </c>
      <c r="B7039" s="6">
        <v>44682</v>
      </c>
      <c r="C7039" t="s">
        <v>2265</v>
      </c>
      <c r="D7039" t="s">
        <v>1877</v>
      </c>
      <c r="E7039">
        <f t="shared" si="1"/>
        <v>618.65</v>
      </c>
      <c r="F7039" s="2" t="e">
        <f>IF(Table2[[#This Row],[Manual Cat Value]]="",VLOOKUP(Table2[[#This Row],[Description]],'Actuals Lookup'!D:F,3,0),Table2[[#This Row],[Manual Cat Value]])</f>
        <v>#N/A</v>
      </c>
      <c r="G7039" t="str">
        <f>VLOOKUP(D7039,Lookup!G:H,2,0)</f>
        <v>Car Loan</v>
      </c>
      <c r="J7039">
        <v>618.65</v>
      </c>
      <c r="K7039" s="6"/>
      <c r="L7039" s="6"/>
      <c r="M7039" t="s">
        <v>2513</v>
      </c>
      <c r="O7039" t="str">
        <f>LEFT(Table2[[#This Row],[Description]],75)</f>
        <v>To Loan 02</v>
      </c>
    </row>
    <row r="7040" spans="1:16" hidden="1">
      <c r="A7040" s="25">
        <f t="shared" si="0"/>
        <v>202205</v>
      </c>
      <c r="B7040" s="6">
        <v>44683</v>
      </c>
      <c r="C7040" t="s">
        <v>2262</v>
      </c>
      <c r="D7040" t="s">
        <v>96</v>
      </c>
      <c r="E7040">
        <f t="shared" si="1"/>
        <v>44.22</v>
      </c>
      <c r="F7040" s="2" t="e">
        <f>IF(Table2[[#This Row],[Manual Cat Value]]="",VLOOKUP(Table2[[#This Row],[Description]],'Actuals Lookup'!D:F,3,0),Table2[[#This Row],[Manual Cat Value]])</f>
        <v>#N/A</v>
      </c>
      <c r="G7040" t="str">
        <f>VLOOKUP(D7040,Lookup!G:H,2,0)</f>
        <v>House Maintenance</v>
      </c>
      <c r="J7040">
        <v>44.22</v>
      </c>
      <c r="K7040" s="6"/>
      <c r="L7040" s="6"/>
      <c r="M7040" t="s">
        <v>2513</v>
      </c>
      <c r="O7040" t="str">
        <f>LEFT(Table2[[#This Row],[Description]],75)</f>
        <v>Ace Hardware</v>
      </c>
    </row>
    <row r="7041" spans="1:15" hidden="1">
      <c r="A7041" s="25">
        <f t="shared" si="0"/>
        <v>202205</v>
      </c>
      <c r="B7041" s="6">
        <v>44683</v>
      </c>
      <c r="C7041" t="s">
        <v>2262</v>
      </c>
      <c r="D7041" t="s">
        <v>558</v>
      </c>
      <c r="E7041">
        <f t="shared" si="1"/>
        <v>27</v>
      </c>
      <c r="F7041" s="2" t="e">
        <f>IF(Table2[[#This Row],[Manual Cat Value]]="",VLOOKUP(Table2[[#This Row],[Description]],'Actuals Lookup'!D:F,3,0),Table2[[#This Row],[Manual Cat Value]])</f>
        <v>#N/A</v>
      </c>
      <c r="G7041" t="str">
        <f>VLOOKUP(D7041,Lookup!G:H,2,0)</f>
        <v>Transportation</v>
      </c>
      <c r="J7041">
        <v>27</v>
      </c>
      <c r="K7041" s="6"/>
      <c r="L7041" s="6"/>
      <c r="M7041" t="s">
        <v>2513</v>
      </c>
      <c r="O7041" t="str">
        <f>LEFT(Table2[[#This Row],[Description]],75)</f>
        <v>City Of Edina</v>
      </c>
    </row>
    <row r="7042" spans="1:15" hidden="1">
      <c r="A7042" s="25">
        <f t="shared" si="0"/>
        <v>202205</v>
      </c>
      <c r="B7042" s="6">
        <v>44683</v>
      </c>
      <c r="C7042" t="s">
        <v>2265</v>
      </c>
      <c r="D7042" t="s">
        <v>597</v>
      </c>
      <c r="E7042">
        <f t="shared" si="1"/>
        <v>200</v>
      </c>
      <c r="F7042" s="2" t="e">
        <f>IF(Table2[[#This Row],[Manual Cat Value]]="",VLOOKUP(Table2[[#This Row],[Description]],'Actuals Lookup'!D:F,3,0),Table2[[#This Row],[Manual Cat Value]])</f>
        <v>#N/A</v>
      </c>
      <c r="G7042" t="str">
        <f>VLOOKUP(D7042,Lookup!G:H,2,0)</f>
        <v>Delete</v>
      </c>
      <c r="J7042">
        <v>200</v>
      </c>
      <c r="K7042" s="6"/>
      <c r="L7042" s="6"/>
      <c r="M7042" t="s">
        <v>2513</v>
      </c>
      <c r="O7042" t="str">
        <f>LEFT(Table2[[#This Row],[Description]],75)</f>
        <v>College Savings TYPE ACH ID XX58</v>
      </c>
    </row>
    <row r="7043" spans="1:15" hidden="1">
      <c r="A7043" s="25">
        <f t="shared" si="0"/>
        <v>202205</v>
      </c>
      <c r="B7043" s="6">
        <v>44683</v>
      </c>
      <c r="C7043" t="s">
        <v>2262</v>
      </c>
      <c r="D7043" t="s">
        <v>935</v>
      </c>
      <c r="E7043">
        <f t="shared" si="1"/>
        <v>-29.99</v>
      </c>
      <c r="F7043" s="2" t="e">
        <f>IF(Table2[[#This Row],[Manual Cat Value]]="",VLOOKUP(Table2[[#This Row],[Description]],'Actuals Lookup'!D:F,3,0),Table2[[#This Row],[Manual Cat Value]])</f>
        <v>#N/A</v>
      </c>
      <c r="G7043" t="str">
        <f>VLOOKUP(D7043,Lookup!G:H,2,0)</f>
        <v>Shopping</v>
      </c>
      <c r="J7043">
        <v>29.99</v>
      </c>
      <c r="K7043" s="6"/>
      <c r="L7043" s="6"/>
      <c r="M7043" t="s">
        <v>2621</v>
      </c>
      <c r="O7043" t="str">
        <f>LEFT(Table2[[#This Row],[Description]],75)</f>
        <v>HM</v>
      </c>
    </row>
    <row r="7044" spans="1:15" hidden="1">
      <c r="A7044" s="25">
        <f t="shared" si="0"/>
        <v>202205</v>
      </c>
      <c r="B7044" s="6">
        <v>44683</v>
      </c>
      <c r="C7044" t="s">
        <v>2262</v>
      </c>
      <c r="D7044" t="s">
        <v>959</v>
      </c>
      <c r="E7044">
        <f t="shared" si="1"/>
        <v>142.97</v>
      </c>
      <c r="F7044" s="2" t="e">
        <f>IF(Table2[[#This Row],[Manual Cat Value]]="",VLOOKUP(Table2[[#This Row],[Description]],'Actuals Lookup'!D:F,3,0),Table2[[#This Row],[Manual Cat Value]])</f>
        <v>#N/A</v>
      </c>
      <c r="G7044" t="str">
        <f>VLOOKUP(D7044,Lookup!G:H,2,0)</f>
        <v>Restaurants</v>
      </c>
      <c r="J7044">
        <v>142.97</v>
      </c>
      <c r="K7044" s="6"/>
      <c r="L7044" s="6"/>
      <c r="M7044" t="s">
        <v>2513</v>
      </c>
      <c r="O7044" t="str">
        <f>LEFT(Table2[[#This Row],[Description]],75)</f>
        <v>Ie Italian Eatery</v>
      </c>
    </row>
    <row r="7045" spans="1:15" hidden="1">
      <c r="A7045" s="25">
        <f t="shared" si="0"/>
        <v>202205</v>
      </c>
      <c r="B7045" s="6">
        <v>44683</v>
      </c>
      <c r="C7045" t="s">
        <v>2262</v>
      </c>
      <c r="D7045" t="s">
        <v>1159</v>
      </c>
      <c r="E7045">
        <f t="shared" si="1"/>
        <v>168</v>
      </c>
      <c r="F7045" s="2" t="str">
        <f>IF(Table2[[#This Row],[Manual Cat Value]]="",VLOOKUP(Table2[[#This Row],[Description]],'Actuals Lookup'!D:F,3,0),Table2[[#This Row],[Manual Cat Value]])</f>
        <v>Shopping</v>
      </c>
      <c r="G7045" t="str">
        <f>VLOOKUP(D7045,Lookup!G:H,2,0)</f>
        <v>Shopping</v>
      </c>
      <c r="J7045">
        <v>168</v>
      </c>
      <c r="K7045" s="6"/>
      <c r="L7045" s="6"/>
      <c r="M7045" t="s">
        <v>2513</v>
      </c>
      <c r="O7045" t="str">
        <f>LEFT(Table2[[#This Row],[Description]],75)</f>
        <v>Lululemon Athletica</v>
      </c>
    </row>
    <row r="7046" spans="1:15" hidden="1">
      <c r="A7046" s="25">
        <f t="shared" si="0"/>
        <v>202205</v>
      </c>
      <c r="B7046" s="6">
        <v>44683</v>
      </c>
      <c r="C7046" t="s">
        <v>2262</v>
      </c>
      <c r="D7046" t="s">
        <v>1356</v>
      </c>
      <c r="E7046">
        <f t="shared" si="1"/>
        <v>49.5</v>
      </c>
      <c r="F7046" s="2" t="str">
        <f>IF(Table2[[#This Row],[Manual Cat Value]]="",VLOOKUP(Table2[[#This Row],[Description]],'Actuals Lookup'!D:F,3,0),Table2[[#This Row],[Manual Cat Value]])</f>
        <v>Restaurants</v>
      </c>
      <c r="G7046" t="str">
        <f>VLOOKUP(D7046,Lookup!G:H,2,0)</f>
        <v>Restaurants</v>
      </c>
      <c r="J7046">
        <v>49.5</v>
      </c>
      <c r="K7046" s="6"/>
      <c r="L7046" s="6"/>
      <c r="M7046" t="s">
        <v>2513</v>
      </c>
      <c r="O7046" t="str">
        <f>LEFT(Table2[[#This Row],[Description]],75)</f>
        <v>North Coop</v>
      </c>
    </row>
    <row r="7047" spans="1:15" hidden="1">
      <c r="A7047" s="25">
        <f t="shared" si="0"/>
        <v>202205</v>
      </c>
      <c r="B7047" s="6">
        <v>44683</v>
      </c>
      <c r="C7047" t="s">
        <v>2262</v>
      </c>
      <c r="D7047" t="s">
        <v>1477</v>
      </c>
      <c r="E7047">
        <f t="shared" si="1"/>
        <v>32</v>
      </c>
      <c r="F7047" s="2" t="str">
        <f>IF(Table2[[#This Row],[Manual Cat Value]]="",VLOOKUP(Table2[[#This Row],[Description]],'Actuals Lookup'!D:F,3,0),Table2[[#This Row],[Manual Cat Value]])</f>
        <v>Gym</v>
      </c>
      <c r="G7047" t="str">
        <f>VLOOKUP(D7047,Lookup!G:H,2,0)</f>
        <v>Gym</v>
      </c>
      <c r="J7047">
        <v>32</v>
      </c>
      <c r="K7047" s="6"/>
      <c r="L7047" s="6"/>
      <c r="M7047" t="s">
        <v>2513</v>
      </c>
      <c r="O7047" t="str">
        <f>LEFT(Table2[[#This Row],[Description]],75)</f>
        <v>Peloton Cycles</v>
      </c>
    </row>
    <row r="7048" spans="1:15" hidden="1">
      <c r="A7048" s="25">
        <f t="shared" si="0"/>
        <v>202205</v>
      </c>
      <c r="B7048" s="6">
        <v>44683</v>
      </c>
      <c r="C7048" t="s">
        <v>2270</v>
      </c>
      <c r="D7048" t="s">
        <v>1524</v>
      </c>
      <c r="E7048">
        <f t="shared" si="1"/>
        <v>-431</v>
      </c>
      <c r="F7048" s="2" t="e">
        <f>IF(Table2[[#This Row],[Manual Cat Value]]="",VLOOKUP(Table2[[#This Row],[Description]],'Actuals Lookup'!D:F,3,0),Table2[[#This Row],[Manual Cat Value]])</f>
        <v>#N/A</v>
      </c>
      <c r="G7048" t="str">
        <f>VLOOKUP(D7048,Lookup!G:H,2,0)</f>
        <v>Delete</v>
      </c>
      <c r="J7048">
        <v>431</v>
      </c>
      <c r="K7048" s="6"/>
      <c r="L7048" s="6"/>
      <c r="M7048" t="s">
        <v>2621</v>
      </c>
      <c r="O7048" t="str">
        <f>LEFT(Table2[[#This Row],[Description]],75)</f>
        <v>Principal Curtailment</v>
      </c>
    </row>
    <row r="7049" spans="1:15" hidden="1">
      <c r="A7049" s="25">
        <f t="shared" si="0"/>
        <v>202205</v>
      </c>
      <c r="B7049" s="6">
        <v>44683</v>
      </c>
      <c r="C7049" t="s">
        <v>2262</v>
      </c>
      <c r="D7049" t="s">
        <v>1707</v>
      </c>
      <c r="E7049">
        <f t="shared" si="1"/>
        <v>66.39</v>
      </c>
      <c r="F7049" s="2" t="str">
        <f>IF(Table2[[#This Row],[Manual Cat Value]]="",VLOOKUP(Table2[[#This Row],[Description]],'Actuals Lookup'!D:F,3,0),Table2[[#This Row],[Manual Cat Value]])</f>
        <v>Transportation</v>
      </c>
      <c r="G7049" t="str">
        <f>VLOOKUP(D7049,Lookup!G:H,2,0)</f>
        <v>Transportation</v>
      </c>
      <c r="J7049">
        <v>66.39</v>
      </c>
      <c r="K7049" s="6"/>
      <c r="L7049" s="6"/>
      <c r="M7049" t="s">
        <v>2513</v>
      </c>
      <c r="O7049" t="str">
        <f>LEFT(Table2[[#This Row],[Description]],75)</f>
        <v>Speedway</v>
      </c>
    </row>
    <row r="7050" spans="1:15" hidden="1">
      <c r="A7050" s="25">
        <f t="shared" si="0"/>
        <v>202205</v>
      </c>
      <c r="B7050" s="6">
        <v>44683</v>
      </c>
      <c r="C7050" t="s">
        <v>2262</v>
      </c>
      <c r="D7050" t="s">
        <v>1717</v>
      </c>
      <c r="E7050">
        <f t="shared" si="1"/>
        <v>18.399999999999999</v>
      </c>
      <c r="F7050" s="2" t="e">
        <f>IF(Table2[[#This Row],[Manual Cat Value]]="",VLOOKUP(Table2[[#This Row],[Description]],'Actuals Lookup'!D:F,3,0),Table2[[#This Row],[Manual Cat Value]])</f>
        <v>#N/A</v>
      </c>
      <c r="G7050" t="str">
        <f>VLOOKUP(D7050,Lookup!G:H,2,0)</f>
        <v>Restaurants</v>
      </c>
      <c r="J7050">
        <v>18.399999999999999</v>
      </c>
      <c r="K7050" s="6"/>
      <c r="L7050" s="6"/>
      <c r="M7050" t="s">
        <v>2513</v>
      </c>
      <c r="O7050" t="str">
        <f>LEFT(Table2[[#This Row],[Description]],75)</f>
        <v>SQ BOOM ISLAND BREWING CMinneton</v>
      </c>
    </row>
    <row r="7051" spans="1:15" hidden="1">
      <c r="A7051" s="25">
        <f t="shared" si="0"/>
        <v>202205</v>
      </c>
      <c r="B7051" s="6">
        <v>44683</v>
      </c>
      <c r="C7051" t="s">
        <v>2262</v>
      </c>
      <c r="D7051" t="s">
        <v>31</v>
      </c>
      <c r="E7051">
        <f t="shared" si="1"/>
        <v>29.99</v>
      </c>
      <c r="F7051" s="2" t="str">
        <f>IF(Table2[[#This Row],[Manual Cat Value]]="",VLOOKUP(Table2[[#This Row],[Description]],'Actuals Lookup'!D:F,3,0),Table2[[#This Row],[Manual Cat Value]])</f>
        <v>Target</v>
      </c>
      <c r="G7051" t="str">
        <f>VLOOKUP(D7051,Lookup!G:H,2,0)</f>
        <v>Target</v>
      </c>
      <c r="J7051">
        <v>29.99</v>
      </c>
      <c r="K7051" s="6"/>
      <c r="L7051" s="6"/>
      <c r="M7051" t="s">
        <v>2513</v>
      </c>
      <c r="O7051" t="str">
        <f>LEFT(Table2[[#This Row],[Description]],75)</f>
        <v>Target</v>
      </c>
    </row>
    <row r="7052" spans="1:15" hidden="1">
      <c r="A7052" s="25">
        <f t="shared" si="0"/>
        <v>202205</v>
      </c>
      <c r="B7052" s="6">
        <v>44683</v>
      </c>
      <c r="C7052" t="s">
        <v>2262</v>
      </c>
      <c r="D7052" t="s">
        <v>2125</v>
      </c>
      <c r="E7052">
        <f t="shared" si="1"/>
        <v>429.5</v>
      </c>
      <c r="F7052" s="2" t="e">
        <f>IF(Table2[[#This Row],[Manual Cat Value]]="",VLOOKUP(Table2[[#This Row],[Description]],'Actuals Lookup'!D:F,3,0),Table2[[#This Row],[Manual Cat Value]])</f>
        <v>#N/A</v>
      </c>
      <c r="G7052" t="str">
        <f>VLOOKUP(D7052,Lookup!G:H,2,0)</f>
        <v>Shopping</v>
      </c>
      <c r="J7052">
        <v>429.5</v>
      </c>
      <c r="K7052" s="6"/>
      <c r="L7052" s="6"/>
      <c r="M7052" t="s">
        <v>2513</v>
      </c>
      <c r="O7052" t="str">
        <f>LEFT(Table2[[#This Row],[Description]],75)</f>
        <v>Vineyard Vines</v>
      </c>
    </row>
    <row r="7053" spans="1:15" hidden="1">
      <c r="A7053" s="25">
        <f t="shared" si="0"/>
        <v>202205</v>
      </c>
      <c r="B7053" s="6">
        <v>44683</v>
      </c>
      <c r="C7053" t="s">
        <v>2447</v>
      </c>
      <c r="D7053" t="s">
        <v>997</v>
      </c>
      <c r="E7053">
        <f t="shared" si="1"/>
        <v>-336.57</v>
      </c>
      <c r="F7053" s="2" t="str">
        <f>IF(Table2[[#This Row],[Manual Cat Value]]="",VLOOKUP(Table2[[#This Row],[Description]],'Actuals Lookup'!D:F,3,0),Table2[[#This Row],[Manual Cat Value]])</f>
        <v>Delete</v>
      </c>
      <c r="G7053" t="str">
        <f>VLOOKUP(D7053,Lookup!G:H,2,0)</f>
        <v>Delete</v>
      </c>
      <c r="J7053">
        <v>336.57</v>
      </c>
      <c r="K7053" s="6"/>
      <c r="L7053" s="6"/>
      <c r="M7053" t="s">
        <v>2621</v>
      </c>
      <c r="O7053" t="str">
        <f>LEFT(Table2[[#This Row],[Description]],75)</f>
        <v>INTERNET PAYMENT - THANK YOU</v>
      </c>
    </row>
    <row r="7054" spans="1:15" hidden="1">
      <c r="A7054" s="25">
        <f t="shared" si="0"/>
        <v>202205</v>
      </c>
      <c r="B7054" s="6">
        <v>44683</v>
      </c>
      <c r="C7054" t="s">
        <v>2270</v>
      </c>
      <c r="D7054" t="s">
        <v>1410</v>
      </c>
      <c r="E7054">
        <f t="shared" si="1"/>
        <v>-766.5</v>
      </c>
      <c r="F7054" s="2" t="str">
        <f>IF(Table2[[#This Row],[Manual Cat Value]]="",VLOOKUP(Table2[[#This Row],[Description]],'Actuals Lookup'!D:F,3,0),Table2[[#This Row],[Manual Cat Value]])</f>
        <v>Delete</v>
      </c>
      <c r="G7054" t="str">
        <f>VLOOKUP(D7054,Lookup!G:H,2,0)</f>
        <v>Delete</v>
      </c>
      <c r="J7054">
        <v>766.5</v>
      </c>
      <c r="K7054" s="6"/>
      <c r="L7054" s="6"/>
      <c r="M7054" t="s">
        <v>2621</v>
      </c>
      <c r="O7054" t="str">
        <f>LEFT(Table2[[#This Row],[Description]],75)</f>
        <v>PAYMENT</v>
      </c>
    </row>
    <row r="7055" spans="1:15" hidden="1">
      <c r="A7055" s="25">
        <f t="shared" si="0"/>
        <v>202205</v>
      </c>
      <c r="B7055" s="6">
        <v>44683</v>
      </c>
      <c r="C7055" t="s">
        <v>2265</v>
      </c>
      <c r="D7055" t="s">
        <v>1460</v>
      </c>
      <c r="E7055">
        <f t="shared" si="1"/>
        <v>3003.94</v>
      </c>
      <c r="F7055" s="2" t="str">
        <f>IF(Table2[[#This Row],[Manual Cat Value]]="",VLOOKUP(Table2[[#This Row],[Description]],'Actuals Lookup'!D:F,3,0),Table2[[#This Row],[Manual Cat Value]])</f>
        <v>Rent</v>
      </c>
      <c r="G7055" t="str">
        <f>VLOOKUP(D7055,Lookup!G:H,2,0)</f>
        <v>Rent</v>
      </c>
      <c r="J7055">
        <v>3003.94</v>
      </c>
      <c r="K7055" s="6"/>
      <c r="L7055" s="6"/>
      <c r="M7055" t="s">
        <v>2513</v>
      </c>
      <c r="O7055" t="str">
        <f>LEFT(Table2[[#This Row],[Description]],75)</f>
        <v>Payment to Baxter Credit Union</v>
      </c>
    </row>
    <row r="7056" spans="1:15" hidden="1">
      <c r="A7056" s="25">
        <f t="shared" si="0"/>
        <v>202205</v>
      </c>
      <c r="B7056" s="6">
        <v>44684</v>
      </c>
      <c r="C7056" t="s">
        <v>2262</v>
      </c>
      <c r="D7056" t="s">
        <v>107</v>
      </c>
      <c r="E7056">
        <f t="shared" si="1"/>
        <v>66.59</v>
      </c>
      <c r="F7056" s="2" t="e">
        <f>IF(Table2[[#This Row],[Manual Cat Value]]="",VLOOKUP(Table2[[#This Row],[Description]],'Actuals Lookup'!D:F,3,0),Table2[[#This Row],[Manual Cat Value]])</f>
        <v>#N/A</v>
      </c>
      <c r="G7056" t="str">
        <f>VLOOKUP(D7056,Lookup!G:H,2,0)</f>
        <v>Dry Cleaning</v>
      </c>
      <c r="J7056">
        <v>66.59</v>
      </c>
      <c r="K7056" s="6"/>
      <c r="L7056" s="6"/>
      <c r="M7056" t="s">
        <v>2513</v>
      </c>
      <c r="O7056" t="str">
        <f>LEFT(Table2[[#This Row],[Description]],75)</f>
        <v>All Seasons Garment Care Excelsi</v>
      </c>
    </row>
    <row r="7057" spans="1:15" hidden="1">
      <c r="A7057" s="25">
        <f t="shared" si="0"/>
        <v>202205</v>
      </c>
      <c r="B7057" s="6">
        <v>44684</v>
      </c>
      <c r="C7057" t="s">
        <v>2262</v>
      </c>
      <c r="D7057" t="s">
        <v>684</v>
      </c>
      <c r="E7057">
        <f t="shared" si="1"/>
        <v>24.13</v>
      </c>
      <c r="F7057" s="2" t="str">
        <f>IF(Table2[[#This Row],[Manual Cat Value]]="",VLOOKUP(Table2[[#This Row],[Description]],'Actuals Lookup'!D:F,3,0),Table2[[#This Row],[Manual Cat Value]])</f>
        <v>Groceries</v>
      </c>
      <c r="G7057" t="str">
        <f>VLOOKUP(D7057,Lookup!G:H,2,0)</f>
        <v>Groceries</v>
      </c>
      <c r="J7057">
        <v>24.13</v>
      </c>
      <c r="K7057" s="6"/>
      <c r="L7057" s="6"/>
      <c r="M7057" t="s">
        <v>2513</v>
      </c>
      <c r="O7057" t="str">
        <f>LEFT(Table2[[#This Row],[Description]],75)</f>
        <v>Cub Foods</v>
      </c>
    </row>
    <row r="7058" spans="1:15" hidden="1">
      <c r="A7058" s="25">
        <f t="shared" si="0"/>
        <v>202205</v>
      </c>
      <c r="B7058" s="6">
        <v>44684</v>
      </c>
      <c r="C7058" t="s">
        <v>2262</v>
      </c>
      <c r="D7058" t="s">
        <v>925</v>
      </c>
      <c r="E7058">
        <f t="shared" si="1"/>
        <v>18</v>
      </c>
      <c r="F7058" s="2" t="e">
        <f>IF(Table2[[#This Row],[Manual Cat Value]]="",VLOOKUP(Table2[[#This Row],[Description]],'Actuals Lookup'!D:F,3,0),Table2[[#This Row],[Manual Cat Value]])</f>
        <v>#N/A</v>
      </c>
      <c r="G7058" t="str">
        <f>VLOOKUP(D7058,Lookup!G:H,2,0)</f>
        <v>Entertainment</v>
      </c>
      <c r="J7058">
        <v>18</v>
      </c>
      <c r="K7058" s="6"/>
      <c r="L7058" s="6"/>
      <c r="M7058" t="s">
        <v>2513</v>
      </c>
      <c r="O7058" t="str">
        <f>LEFT(Table2[[#This Row],[Description]],75)</f>
        <v>HBRSUBSCRIPTION XX0886 MA</v>
      </c>
    </row>
    <row r="7059" spans="1:15" hidden="1">
      <c r="A7059" s="25">
        <f t="shared" si="0"/>
        <v>202205</v>
      </c>
      <c r="B7059" s="6">
        <v>44684</v>
      </c>
      <c r="C7059" t="s">
        <v>2265</v>
      </c>
      <c r="D7059" t="s">
        <v>1195</v>
      </c>
      <c r="E7059">
        <f t="shared" si="1"/>
        <v>536.29999999999995</v>
      </c>
      <c r="F7059" s="2" t="e">
        <f>IF(Table2[[#This Row],[Manual Cat Value]]="",VLOOKUP(Table2[[#This Row],[Description]],'Actuals Lookup'!D:F,3,0),Table2[[#This Row],[Manual Cat Value]])</f>
        <v>#N/A</v>
      </c>
      <c r="G7059" t="str">
        <f>VLOOKUP(D7059,Lookup!G:H,2,0)</f>
        <v>Day Care</v>
      </c>
      <c r="J7059">
        <v>536.29999999999995</v>
      </c>
      <c r="K7059" s="6"/>
      <c r="L7059" s="6"/>
      <c r="M7059" t="s">
        <v>2513</v>
      </c>
      <c r="O7059" t="str">
        <f>LEFT(Table2[[#This Row],[Description]],75)</f>
        <v>MHCHILDCARELLC TYPE DUES ID CO M</v>
      </c>
    </row>
    <row r="7060" spans="1:15" hidden="1">
      <c r="A7060" s="25">
        <f t="shared" si="0"/>
        <v>202205</v>
      </c>
      <c r="B7060" s="6">
        <v>44684</v>
      </c>
      <c r="C7060" t="s">
        <v>2262</v>
      </c>
      <c r="D7060" t="s">
        <v>1665</v>
      </c>
      <c r="E7060">
        <f t="shared" si="1"/>
        <v>75</v>
      </c>
      <c r="F7060" s="2" t="e">
        <f>IF(Table2[[#This Row],[Manual Cat Value]]="",VLOOKUP(Table2[[#This Row],[Description]],'Actuals Lookup'!D:F,3,0),Table2[[#This Row],[Manual Cat Value]])</f>
        <v>#N/A</v>
      </c>
      <c r="G7060" t="str">
        <f>VLOOKUP(D7060,Lookup!G:H,2,0)</f>
        <v>Gifts</v>
      </c>
      <c r="J7060">
        <v>75</v>
      </c>
      <c r="K7060" s="6"/>
      <c r="L7060" s="6"/>
      <c r="M7060" t="s">
        <v>2513</v>
      </c>
      <c r="O7060" t="str">
        <f>LEFT(Table2[[#This Row],[Description]],75)</f>
        <v>SignUp OutrunALD2021 XX1360 NJ</v>
      </c>
    </row>
    <row r="7061" spans="1:15" hidden="1">
      <c r="A7061" s="25">
        <f t="shared" si="0"/>
        <v>202205</v>
      </c>
      <c r="B7061" s="6">
        <v>44684</v>
      </c>
      <c r="C7061" t="s">
        <v>2262</v>
      </c>
      <c r="D7061" t="s">
        <v>2126</v>
      </c>
      <c r="E7061">
        <f t="shared" si="1"/>
        <v>97.2</v>
      </c>
      <c r="F7061" s="2" t="e">
        <f>IF(Table2[[#This Row],[Manual Cat Value]]="",VLOOKUP(Table2[[#This Row],[Description]],'Actuals Lookup'!D:F,3,0),Table2[[#This Row],[Manual Cat Value]])</f>
        <v>#N/A</v>
      </c>
      <c r="G7061" t="str">
        <f>VLOOKUP(D7061,Lookup!G:H,2,0)</f>
        <v>Shopping</v>
      </c>
      <c r="J7061">
        <v>97.2</v>
      </c>
      <c r="K7061" s="6"/>
      <c r="L7061" s="6"/>
      <c r="M7061" t="s">
        <v>2513</v>
      </c>
      <c r="O7061" t="str">
        <f>LEFT(Table2[[#This Row],[Description]],75)</f>
        <v>VINEYARD VINES LLC XX4982 CT</v>
      </c>
    </row>
    <row r="7062" spans="1:15" hidden="1">
      <c r="A7062" s="25">
        <f t="shared" si="0"/>
        <v>202205</v>
      </c>
      <c r="B7062" s="6">
        <v>44684</v>
      </c>
      <c r="C7062" t="s">
        <v>2262</v>
      </c>
      <c r="D7062" t="s">
        <v>2126</v>
      </c>
      <c r="E7062">
        <f t="shared" si="1"/>
        <v>182.7</v>
      </c>
      <c r="F7062" s="2" t="e">
        <f>IF(Table2[[#This Row],[Manual Cat Value]]="",VLOOKUP(Table2[[#This Row],[Description]],'Actuals Lookup'!D:F,3,0),Table2[[#This Row],[Manual Cat Value]])</f>
        <v>#N/A</v>
      </c>
      <c r="G7062" t="str">
        <f>VLOOKUP(D7062,Lookup!G:H,2,0)</f>
        <v>Shopping</v>
      </c>
      <c r="J7062">
        <v>182.7</v>
      </c>
      <c r="K7062" s="6"/>
      <c r="L7062" s="6"/>
      <c r="M7062" t="s">
        <v>2513</v>
      </c>
      <c r="O7062" t="str">
        <f>LEFT(Table2[[#This Row],[Description]],75)</f>
        <v>VINEYARD VINES LLC XX4982 CT</v>
      </c>
    </row>
    <row r="7063" spans="1:15" hidden="1">
      <c r="A7063" s="25">
        <f t="shared" si="0"/>
        <v>202205</v>
      </c>
      <c r="B7063" s="6">
        <v>44684</v>
      </c>
      <c r="C7063" t="s">
        <v>2262</v>
      </c>
      <c r="D7063" t="s">
        <v>2135</v>
      </c>
      <c r="E7063">
        <f t="shared" si="1"/>
        <v>40.06</v>
      </c>
      <c r="F7063" s="2" t="str">
        <f>IF(Table2[[#This Row],[Manual Cat Value]]="",VLOOKUP(Table2[[#This Row],[Description]],'Actuals Lookup'!D:F,3,0),Table2[[#This Row],[Manual Cat Value]])</f>
        <v>Groceries</v>
      </c>
      <c r="G7063" t="str">
        <f>VLOOKUP(D7063,Lookup!G:H,2,0)</f>
        <v>Shopping</v>
      </c>
      <c r="J7063">
        <v>40.06</v>
      </c>
      <c r="K7063" s="6"/>
      <c r="L7063" s="6"/>
      <c r="M7063" t="s">
        <v>2513</v>
      </c>
      <c r="O7063" t="str">
        <f>LEFT(Table2[[#This Row],[Description]],75)</f>
        <v>Walgreens</v>
      </c>
    </row>
    <row r="7064" spans="1:15" hidden="1">
      <c r="A7064" s="25">
        <f t="shared" si="0"/>
        <v>202205</v>
      </c>
      <c r="B7064" s="6">
        <v>44684</v>
      </c>
      <c r="C7064" t="s">
        <v>2265</v>
      </c>
      <c r="D7064" t="s">
        <v>2204</v>
      </c>
      <c r="E7064">
        <f t="shared" si="1"/>
        <v>933.93</v>
      </c>
      <c r="F7064" s="2" t="e">
        <f>IF(Table2[[#This Row],[Manual Cat Value]]="",VLOOKUP(Table2[[#This Row],[Description]],'Actuals Lookup'!D:F,3,0),Table2[[#This Row],[Manual Cat Value]])</f>
        <v>#N/A</v>
      </c>
      <c r="G7064" t="str">
        <f>VLOOKUP(D7064,Lookup!G:H,2,0)</f>
        <v>Delete</v>
      </c>
      <c r="J7064">
        <v>933.93</v>
      </c>
      <c r="K7064" s="6"/>
      <c r="L7064" s="6"/>
      <c r="M7064" t="s">
        <v>2513</v>
      </c>
      <c r="O7064" t="str">
        <f>LEFT(Table2[[#This Row],[Description]],75)</f>
        <v>Withdrawal Home Pmt to card XX91</v>
      </c>
    </row>
    <row r="7065" spans="1:15" hidden="1">
      <c r="A7065" s="25">
        <f t="shared" si="0"/>
        <v>202205</v>
      </c>
      <c r="B7065" s="6">
        <v>44684</v>
      </c>
      <c r="C7065" t="s">
        <v>2262</v>
      </c>
      <c r="D7065" t="s">
        <v>674</v>
      </c>
      <c r="E7065">
        <f t="shared" si="1"/>
        <v>-933.93</v>
      </c>
      <c r="F7065" s="2" t="e">
        <f>IF(Table2[[#This Row],[Manual Cat Value]]="",VLOOKUP(Table2[[#This Row],[Description]],'Actuals Lookup'!D:F,3,0),Table2[[#This Row],[Manual Cat Value]])</f>
        <v>#N/A</v>
      </c>
      <c r="G7065" t="str">
        <f>VLOOKUP(D7065,Lookup!G:H,2,0)</f>
        <v>Delete</v>
      </c>
      <c r="J7065">
        <v>933.93</v>
      </c>
      <c r="K7065" s="6"/>
      <c r="L7065" s="6"/>
      <c r="M7065" t="s">
        <v>2621</v>
      </c>
      <c r="O7065" t="str">
        <f>LEFT(Table2[[#This Row],[Description]],75)</f>
        <v>Credit Card Payment Received PAYMENT THANK YOU</v>
      </c>
    </row>
    <row r="7066" spans="1:15" hidden="1">
      <c r="A7066" s="25">
        <f t="shared" si="0"/>
        <v>202205</v>
      </c>
      <c r="B7066" s="6">
        <v>44684</v>
      </c>
      <c r="C7066" t="s">
        <v>2265</v>
      </c>
      <c r="D7066" t="s">
        <v>1464</v>
      </c>
      <c r="E7066">
        <f t="shared" si="1"/>
        <v>336.57</v>
      </c>
      <c r="F7066" s="2" t="str">
        <f>IF(Table2[[#This Row],[Manual Cat Value]]="",VLOOKUP(Table2[[#This Row],[Description]],'Actuals Lookup'!D:F,3,0),Table2[[#This Row],[Manual Cat Value]])</f>
        <v>Delete</v>
      </c>
      <c r="G7066" t="str">
        <f>VLOOKUP(D7066,Lookup!G:H,2,0)</f>
        <v>Delete</v>
      </c>
      <c r="J7066">
        <v>336.57</v>
      </c>
      <c r="K7066" s="6"/>
      <c r="L7066" s="6"/>
      <c r="M7066" t="s">
        <v>2513</v>
      </c>
      <c r="O7066" t="str">
        <f>LEFT(Table2[[#This Row],[Description]],75)</f>
        <v>Payment to Discover Bank</v>
      </c>
    </row>
    <row r="7067" spans="1:15" hidden="1">
      <c r="A7067" s="25">
        <f t="shared" si="0"/>
        <v>202205</v>
      </c>
      <c r="B7067" s="6">
        <v>44685</v>
      </c>
      <c r="C7067" t="s">
        <v>2262</v>
      </c>
      <c r="D7067" t="s">
        <v>1018</v>
      </c>
      <c r="E7067">
        <f t="shared" si="1"/>
        <v>22.37</v>
      </c>
      <c r="F7067" s="2" t="e">
        <f>IF(Table2[[#This Row],[Manual Cat Value]]="",VLOOKUP(Table2[[#This Row],[Description]],'Actuals Lookup'!D:F,3,0),Table2[[#This Row],[Manual Cat Value]])</f>
        <v>#N/A</v>
      </c>
      <c r="G7067" t="str">
        <f>VLOOKUP(D7067,Lookup!G:H,2,0)</f>
        <v>Restaurants</v>
      </c>
      <c r="J7067">
        <v>22.37</v>
      </c>
      <c r="K7067" s="6"/>
      <c r="L7067" s="6"/>
      <c r="M7067" t="s">
        <v>2513</v>
      </c>
      <c r="O7067" t="str">
        <f>LEFT(Table2[[#This Row],[Description]],75)</f>
        <v>JOEY NOVAS EXCELSIOR MN JOEY NOVAS EXCELSIOR MN</v>
      </c>
    </row>
    <row r="7068" spans="1:15" hidden="1">
      <c r="A7068" s="25">
        <f t="shared" si="0"/>
        <v>202205</v>
      </c>
      <c r="B7068" s="6">
        <v>44686</v>
      </c>
      <c r="C7068" t="s">
        <v>2262</v>
      </c>
      <c r="D7068" t="s">
        <v>101</v>
      </c>
      <c r="E7068">
        <f t="shared" si="1"/>
        <v>9.6999999999999993</v>
      </c>
      <c r="F7068" s="2" t="e">
        <f>IF(Table2[[#This Row],[Manual Cat Value]]="",VLOOKUP(Table2[[#This Row],[Description]],'Actuals Lookup'!D:F,3,0),Table2[[#This Row],[Manual Cat Value]])</f>
        <v>#N/A</v>
      </c>
      <c r="G7068" t="str">
        <f>VLOOKUP(D7068,Lookup!G:H,2,0)</f>
        <v>Groceries</v>
      </c>
      <c r="J7068">
        <v>9.6999999999999993</v>
      </c>
      <c r="K7068" s="6"/>
      <c r="L7068" s="6"/>
      <c r="M7068" t="s">
        <v>2513</v>
      </c>
      <c r="O7068" t="str">
        <f>LEFT(Table2[[#This Row],[Description]],75)</f>
        <v>ADELES EXCELSIOR MN ADELES EXCELSIOR MN</v>
      </c>
    </row>
    <row r="7069" spans="1:15" hidden="1">
      <c r="A7069" s="25">
        <f t="shared" ref="A7069:A7100" si="2">VALUE(YEAR(B7069)&amp;TEXT(MONTH(B7069),"00"))</f>
        <v>202205</v>
      </c>
      <c r="B7069" s="6">
        <v>44686</v>
      </c>
      <c r="C7069" t="s">
        <v>2447</v>
      </c>
      <c r="D7069" t="s">
        <v>1850</v>
      </c>
      <c r="E7069">
        <f t="shared" ref="E7069:E7100" si="3">IF(M7069="credit",-1*J7069,J7069)</f>
        <v>110.25</v>
      </c>
      <c r="F7069" s="2" t="str">
        <f>IF(Table2[[#This Row],[Manual Cat Value]]="",VLOOKUP(Table2[[#This Row],[Description]],'Actuals Lookup'!D:F,3,0),Table2[[#This Row],[Manual Cat Value]])</f>
        <v>House Maintenance</v>
      </c>
      <c r="G7069" t="str">
        <f>VLOOKUP(D7069,Lookup!G:H,2,0)</f>
        <v>House Maintenance</v>
      </c>
      <c r="J7069">
        <v>110.25</v>
      </c>
      <c r="K7069" s="6"/>
      <c r="L7069" s="6"/>
      <c r="M7069" t="s">
        <v>2513</v>
      </c>
      <c r="O7069" t="str">
        <f>LEFT(Table2[[#This Row],[Description]],75)</f>
        <v>THE HOME DEPOT #2825 CHASKA MN</v>
      </c>
    </row>
    <row r="7070" spans="1:15" hidden="1">
      <c r="A7070" s="25">
        <f t="shared" si="2"/>
        <v>202205</v>
      </c>
      <c r="B7070" s="6">
        <v>44687</v>
      </c>
      <c r="C7070" t="s">
        <v>2447</v>
      </c>
      <c r="D7070" t="s">
        <v>877</v>
      </c>
      <c r="E7070">
        <f t="shared" si="3"/>
        <v>18.579999999999998</v>
      </c>
      <c r="F7070" s="2" t="e">
        <f>IF(Table2[[#This Row],[Manual Cat Value]]="",VLOOKUP(Table2[[#This Row],[Description]],'Actuals Lookup'!D:F,3,0),Table2[[#This Row],[Manual Cat Value]])</f>
        <v>#N/A</v>
      </c>
      <c r="G7070" t="str">
        <f>VLOOKUP(D7070,Lookup!G:H,2,0)</f>
        <v>Restaurants</v>
      </c>
      <c r="J7070">
        <v>18.579999999999998</v>
      </c>
      <c r="K7070" s="6"/>
      <c r="L7070" s="6"/>
      <c r="M7070" t="s">
        <v>2513</v>
      </c>
      <c r="O7070" t="str">
        <f>LEFT(Table2[[#This Row],[Description]],75)</f>
        <v>FULTON, LLC MINNEAPOLIS MN</v>
      </c>
    </row>
    <row r="7071" spans="1:15" hidden="1">
      <c r="A7071" s="25">
        <f t="shared" si="2"/>
        <v>202205</v>
      </c>
      <c r="B7071" s="6">
        <v>44687</v>
      </c>
      <c r="C7071" t="s">
        <v>2262</v>
      </c>
      <c r="D7071" t="s">
        <v>1704</v>
      </c>
      <c r="E7071">
        <f t="shared" si="3"/>
        <v>49.99</v>
      </c>
      <c r="F7071" s="2" t="e">
        <f>IF(Table2[[#This Row],[Manual Cat Value]]="",VLOOKUP(Table2[[#This Row],[Description]],'Actuals Lookup'!D:F,3,0),Table2[[#This Row],[Manual Cat Value]])</f>
        <v>#N/A</v>
      </c>
      <c r="G7071" t="str">
        <f>VLOOKUP(D7071,Lookup!G:H,2,0)</f>
        <v>Shopping</v>
      </c>
      <c r="J7071">
        <v>49.99</v>
      </c>
      <c r="K7071" s="6"/>
      <c r="L7071" s="6"/>
      <c r="M7071" t="s">
        <v>2513</v>
      </c>
      <c r="O7071" t="str">
        <f>LEFT(Table2[[#This Row],[Description]],75)</f>
        <v>SP TOP FORM DESIGN WWWTOPFORMDEW</v>
      </c>
    </row>
    <row r="7072" spans="1:15" hidden="1">
      <c r="A7072" s="25">
        <f t="shared" si="2"/>
        <v>202205</v>
      </c>
      <c r="B7072" s="6">
        <v>44687</v>
      </c>
      <c r="C7072" t="s">
        <v>2265</v>
      </c>
      <c r="D7072" t="s">
        <v>1958</v>
      </c>
      <c r="E7072">
        <f t="shared" si="3"/>
        <v>125</v>
      </c>
      <c r="F7072" s="2" t="str">
        <f>IF(Table2[[#This Row],[Manual Cat Value]]="",VLOOKUP(Table2[[#This Row],[Description]],'Actuals Lookup'!D:F,3,0),Table2[[#This Row],[Manual Cat Value]])</f>
        <v>Shopping</v>
      </c>
      <c r="G7072" t="str">
        <f>VLOOKUP(D7072,Lookup!G:H,2,0)</f>
        <v>Travel</v>
      </c>
      <c r="J7072">
        <v>125</v>
      </c>
      <c r="K7072" s="6"/>
      <c r="L7072" s="6"/>
      <c r="M7072" t="s">
        <v>2513</v>
      </c>
      <c r="O7072" t="str">
        <f>LEFT(Table2[[#This Row],[Description]],75)</f>
        <v>Transfer to Venmo</v>
      </c>
    </row>
    <row r="7073" spans="1:15" hidden="1">
      <c r="A7073" s="25">
        <f t="shared" si="2"/>
        <v>202205</v>
      </c>
      <c r="B7073" s="6">
        <v>44688</v>
      </c>
      <c r="C7073" t="s">
        <v>2447</v>
      </c>
      <c r="D7073" t="s">
        <v>846</v>
      </c>
      <c r="E7073">
        <f t="shared" si="3"/>
        <v>54</v>
      </c>
      <c r="F7073" s="2" t="e">
        <f>IF(Table2[[#This Row],[Manual Cat Value]]="",VLOOKUP(Table2[[#This Row],[Description]],'Actuals Lookup'!D:F,3,0),Table2[[#This Row],[Manual Cat Value]])</f>
        <v>#N/A</v>
      </c>
      <c r="G7073" t="str">
        <f>VLOOKUP(D7073,Lookup!G:H,2,0)</f>
        <v>Restaurants</v>
      </c>
      <c r="J7073">
        <v>54</v>
      </c>
      <c r="K7073" s="6"/>
      <c r="L7073" s="6"/>
      <c r="M7073" t="s">
        <v>2513</v>
      </c>
      <c r="O7073" t="str">
        <f>LEFT(Table2[[#This Row],[Description]],75)</f>
        <v>FLOYDS BAR AND GRILL VICTORIA MN</v>
      </c>
    </row>
    <row r="7074" spans="1:15" hidden="1">
      <c r="A7074" s="25">
        <f t="shared" si="2"/>
        <v>202205</v>
      </c>
      <c r="B7074" s="6">
        <v>44688</v>
      </c>
      <c r="C7074" t="s">
        <v>2447</v>
      </c>
      <c r="D7074" t="s">
        <v>1855</v>
      </c>
      <c r="E7074">
        <f t="shared" si="3"/>
        <v>122.18</v>
      </c>
      <c r="F7074" s="2" t="e">
        <f>IF(Table2[[#This Row],[Manual Cat Value]]="",VLOOKUP(Table2[[#This Row],[Description]],'Actuals Lookup'!D:F,3,0),Table2[[#This Row],[Manual Cat Value]])</f>
        <v>#N/A</v>
      </c>
      <c r="G7074" t="str">
        <f>VLOOKUP(D7074,Lookup!G:H,2,0)</f>
        <v>Restaurants</v>
      </c>
      <c r="J7074">
        <v>122.18</v>
      </c>
      <c r="K7074" s="6"/>
      <c r="L7074" s="6"/>
      <c r="M7074" t="s">
        <v>2513</v>
      </c>
      <c r="O7074" t="str">
        <f>LEFT(Table2[[#This Row],[Description]],75)</f>
        <v>THE NOBLE LION VICTORIA MN</v>
      </c>
    </row>
    <row r="7075" spans="1:15" hidden="1">
      <c r="A7075" s="25">
        <f t="shared" si="2"/>
        <v>202205</v>
      </c>
      <c r="B7075" s="6">
        <v>44689</v>
      </c>
      <c r="C7075" t="s">
        <v>2447</v>
      </c>
      <c r="D7075" t="s">
        <v>317</v>
      </c>
      <c r="E7075">
        <f t="shared" si="3"/>
        <v>62.65</v>
      </c>
      <c r="F7075" s="2" t="e">
        <f>IF(Table2[[#This Row],[Manual Cat Value]]="",VLOOKUP(Table2[[#This Row],[Description]],'Actuals Lookup'!D:F,3,0),Table2[[#This Row],[Manual Cat Value]])</f>
        <v>#N/A</v>
      </c>
      <c r="G7075" t="str">
        <f>VLOOKUP(D7075,Lookup!G:H,2,0)</f>
        <v>Transportation</v>
      </c>
      <c r="J7075">
        <v>62.65</v>
      </c>
      <c r="K7075" s="6"/>
      <c r="L7075" s="6"/>
      <c r="M7075" t="s">
        <v>2513</v>
      </c>
      <c r="O7075" t="str">
        <f>LEFT(Table2[[#This Row],[Description]],75)</f>
        <v>BP#9267972HWY 13 BP SAVAGE MN</v>
      </c>
    </row>
    <row r="7076" spans="1:15" hidden="1">
      <c r="A7076" s="25">
        <f t="shared" si="2"/>
        <v>202205</v>
      </c>
      <c r="B7076" s="6">
        <v>44689</v>
      </c>
      <c r="C7076" t="s">
        <v>2262</v>
      </c>
      <c r="D7076" t="s">
        <v>684</v>
      </c>
      <c r="E7076">
        <f t="shared" si="3"/>
        <v>113</v>
      </c>
      <c r="F7076" s="2" t="str">
        <f>IF(Table2[[#This Row],[Manual Cat Value]]="",VLOOKUP(Table2[[#This Row],[Description]],'Actuals Lookup'!D:F,3,0),Table2[[#This Row],[Manual Cat Value]])</f>
        <v>Groceries</v>
      </c>
      <c r="G7076" t="str">
        <f>VLOOKUP(D7076,Lookup!G:H,2,0)</f>
        <v>Groceries</v>
      </c>
      <c r="J7076">
        <v>113</v>
      </c>
      <c r="K7076" s="6"/>
      <c r="L7076" s="6"/>
      <c r="M7076" t="s">
        <v>2513</v>
      </c>
      <c r="O7076" t="str">
        <f>LEFT(Table2[[#This Row],[Description]],75)</f>
        <v>Cub Foods</v>
      </c>
    </row>
    <row r="7077" spans="1:15" hidden="1">
      <c r="A7077" s="25">
        <f t="shared" si="2"/>
        <v>202205</v>
      </c>
      <c r="B7077" s="6">
        <v>44689</v>
      </c>
      <c r="C7077" t="s">
        <v>2447</v>
      </c>
      <c r="D7077" t="s">
        <v>1003</v>
      </c>
      <c r="E7077">
        <f t="shared" si="3"/>
        <v>10</v>
      </c>
      <c r="F7077" s="2" t="e">
        <f>IF(Table2[[#This Row],[Manual Cat Value]]="",VLOOKUP(Table2[[#This Row],[Description]],'Actuals Lookup'!D:F,3,0),Table2[[#This Row],[Manual Cat Value]])</f>
        <v>#N/A</v>
      </c>
      <c r="G7077" t="str">
        <f>VLOOKUP(D7077,Lookup!G:H,2,0)</f>
        <v>Entertainment</v>
      </c>
      <c r="J7077">
        <v>10</v>
      </c>
      <c r="K7077" s="6"/>
      <c r="L7077" s="6"/>
      <c r="M7077" t="s">
        <v>2513</v>
      </c>
      <c r="O7077" t="str">
        <f>LEFT(Table2[[#This Row],[Description]],75)</f>
        <v>IVS VENDING MASSAGE HOPKINS MN</v>
      </c>
    </row>
    <row r="7078" spans="1:15" hidden="1">
      <c r="A7078" s="25">
        <f t="shared" si="2"/>
        <v>202205</v>
      </c>
      <c r="B7078" s="6">
        <v>44689</v>
      </c>
      <c r="C7078" t="s">
        <v>2447</v>
      </c>
      <c r="D7078" t="s">
        <v>1003</v>
      </c>
      <c r="E7078">
        <f t="shared" si="3"/>
        <v>10</v>
      </c>
      <c r="F7078" s="2" t="e">
        <f>IF(Table2[[#This Row],[Manual Cat Value]]="",VLOOKUP(Table2[[#This Row],[Description]],'Actuals Lookup'!D:F,3,0),Table2[[#This Row],[Manual Cat Value]])</f>
        <v>#N/A</v>
      </c>
      <c r="G7078" t="str">
        <f>VLOOKUP(D7078,Lookup!G:H,2,0)</f>
        <v>Entertainment</v>
      </c>
      <c r="J7078">
        <v>10</v>
      </c>
      <c r="K7078" s="6"/>
      <c r="L7078" s="6"/>
      <c r="M7078" t="s">
        <v>2513</v>
      </c>
      <c r="O7078" t="str">
        <f>LEFT(Table2[[#This Row],[Description]],75)</f>
        <v>IVS VENDING MASSAGE HOPKINS MN</v>
      </c>
    </row>
    <row r="7079" spans="1:15" hidden="1">
      <c r="A7079" s="25">
        <f t="shared" si="2"/>
        <v>202205</v>
      </c>
      <c r="B7079" s="6">
        <v>44689</v>
      </c>
      <c r="C7079" t="s">
        <v>2262</v>
      </c>
      <c r="D7079" t="s">
        <v>1185</v>
      </c>
      <c r="E7079">
        <f t="shared" si="3"/>
        <v>63.04</v>
      </c>
      <c r="F7079" s="2" t="e">
        <f>IF(Table2[[#This Row],[Manual Cat Value]]="",VLOOKUP(Table2[[#This Row],[Description]],'Actuals Lookup'!D:F,3,0),Table2[[#This Row],[Manual Cat Value]])</f>
        <v>#N/A</v>
      </c>
      <c r="G7079" t="str">
        <f>VLOOKUP(D7079,Lookup!G:H,2,0)</f>
        <v>Restaurants</v>
      </c>
      <c r="J7079">
        <v>63.04</v>
      </c>
      <c r="K7079" s="6"/>
      <c r="L7079" s="6"/>
      <c r="M7079" t="s">
        <v>2513</v>
      </c>
      <c r="O7079" t="str">
        <f>LEFT(Table2[[#This Row],[Description]],75)</f>
        <v>MAYNARDS EXCELSIOR THE EXCELSIOR</v>
      </c>
    </row>
    <row r="7080" spans="1:15" hidden="1">
      <c r="A7080" s="25">
        <f t="shared" si="2"/>
        <v>202205</v>
      </c>
      <c r="B7080" s="6">
        <v>44690</v>
      </c>
      <c r="C7080" t="s">
        <v>2262</v>
      </c>
      <c r="D7080" t="s">
        <v>957</v>
      </c>
      <c r="E7080">
        <f t="shared" si="3"/>
        <v>44.23</v>
      </c>
      <c r="F7080" s="2" t="e">
        <f>IF(Table2[[#This Row],[Manual Cat Value]]="",VLOOKUP(Table2[[#This Row],[Description]],'Actuals Lookup'!D:F,3,0),Table2[[#This Row],[Manual Cat Value]])</f>
        <v>#N/A</v>
      </c>
      <c r="G7080" t="str">
        <f>VLOOKUP(D7080,Lookup!G:H,2,0)</f>
        <v>Restaurants</v>
      </c>
      <c r="J7080">
        <v>44.23</v>
      </c>
      <c r="K7080" s="6"/>
      <c r="L7080" s="6"/>
      <c r="M7080" t="s">
        <v>2513</v>
      </c>
      <c r="O7080" t="str">
        <f>LEFT(Table2[[#This Row],[Description]],75)</f>
        <v>I WOK PHO SAVAGE MN</v>
      </c>
    </row>
    <row r="7081" spans="1:15" hidden="1">
      <c r="A7081" s="25">
        <f t="shared" si="2"/>
        <v>202205</v>
      </c>
      <c r="B7081" s="6">
        <v>44690</v>
      </c>
      <c r="C7081" t="s">
        <v>2262</v>
      </c>
      <c r="D7081" t="s">
        <v>1477</v>
      </c>
      <c r="E7081">
        <f t="shared" si="3"/>
        <v>41.94</v>
      </c>
      <c r="F7081" s="2" t="str">
        <f>IF(Table2[[#This Row],[Manual Cat Value]]="",VLOOKUP(Table2[[#This Row],[Description]],'Actuals Lookup'!D:F,3,0),Table2[[#This Row],[Manual Cat Value]])</f>
        <v>Gym</v>
      </c>
      <c r="G7081" t="str">
        <f>VLOOKUP(D7081,Lookup!G:H,2,0)</f>
        <v>Gym</v>
      </c>
      <c r="J7081">
        <v>41.94</v>
      </c>
      <c r="K7081" s="6"/>
      <c r="L7081" s="6"/>
      <c r="M7081" t="s">
        <v>2513</v>
      </c>
      <c r="O7081" t="str">
        <f>LEFT(Table2[[#This Row],[Description]],75)</f>
        <v>Peloton Cycles</v>
      </c>
    </row>
    <row r="7082" spans="1:15" hidden="1">
      <c r="A7082" s="25">
        <f t="shared" si="2"/>
        <v>202205</v>
      </c>
      <c r="B7082" s="6">
        <v>44690</v>
      </c>
      <c r="C7082" t="s">
        <v>2262</v>
      </c>
      <c r="D7082" t="s">
        <v>2041</v>
      </c>
      <c r="E7082">
        <f t="shared" si="3"/>
        <v>97.39</v>
      </c>
      <c r="F7082" s="2" t="e">
        <f>IF(Table2[[#This Row],[Manual Cat Value]]="",VLOOKUP(Table2[[#This Row],[Description]],'Actuals Lookup'!D:F,3,0),Table2[[#This Row],[Manual Cat Value]])</f>
        <v>#N/A</v>
      </c>
      <c r="G7082" t="str">
        <f>VLOOKUP(D7082,Lookup!G:H,2,0)</f>
        <v>Restaurants</v>
      </c>
      <c r="J7082">
        <v>97.39</v>
      </c>
      <c r="K7082" s="6"/>
      <c r="L7082" s="6"/>
      <c r="M7082" t="s">
        <v>2513</v>
      </c>
      <c r="O7082" t="str">
        <f>LEFT(Table2[[#This Row],[Description]],75)</f>
        <v>TST Red Wagon Pizza Co Minneapol</v>
      </c>
    </row>
    <row r="7083" spans="1:15" hidden="1">
      <c r="A7083" s="25">
        <f t="shared" si="2"/>
        <v>202205</v>
      </c>
      <c r="B7083" s="6">
        <v>44690</v>
      </c>
      <c r="C7083" t="s">
        <v>2265</v>
      </c>
      <c r="D7083" t="s">
        <v>1461</v>
      </c>
      <c r="E7083">
        <f t="shared" si="3"/>
        <v>222.66</v>
      </c>
      <c r="F7083" s="2" t="str">
        <f>IF(Table2[[#This Row],[Manual Cat Value]]="",VLOOKUP(Table2[[#This Row],[Description]],'Actuals Lookup'!D:F,3,0),Table2[[#This Row],[Manual Cat Value]])</f>
        <v>Delete</v>
      </c>
      <c r="G7083" t="str">
        <f>VLOOKUP(D7083,Lookup!G:H,2,0)</f>
        <v>Utilities</v>
      </c>
      <c r="J7083">
        <v>222.66</v>
      </c>
      <c r="K7083" s="6"/>
      <c r="L7083" s="6"/>
      <c r="M7083" t="s">
        <v>2513</v>
      </c>
      <c r="O7083" t="str">
        <f>LEFT(Table2[[#This Row],[Description]],75)</f>
        <v>Payment to CenterPoint Energy</v>
      </c>
    </row>
    <row r="7084" spans="1:15" hidden="1">
      <c r="A7084" s="25">
        <f t="shared" si="2"/>
        <v>202205</v>
      </c>
      <c r="B7084" s="6">
        <v>44691</v>
      </c>
      <c r="C7084" t="s">
        <v>2447</v>
      </c>
      <c r="D7084" t="s">
        <v>459</v>
      </c>
      <c r="E7084">
        <f t="shared" si="3"/>
        <v>-10.36</v>
      </c>
      <c r="F7084" s="2" t="str">
        <f>IF(Table2[[#This Row],[Manual Cat Value]]="",VLOOKUP(Table2[[#This Row],[Description]],'Actuals Lookup'!D:F,3,0),Table2[[#This Row],[Manual Cat Value]])</f>
        <v>Dividend</v>
      </c>
      <c r="G7084" t="str">
        <f>VLOOKUP(D7084,Lookup!G:H,2,0)</f>
        <v>Delete</v>
      </c>
      <c r="J7084">
        <v>10.36</v>
      </c>
      <c r="K7084" s="6"/>
      <c r="L7084" s="6"/>
      <c r="M7084" t="s">
        <v>2621</v>
      </c>
      <c r="O7084" t="str">
        <f>LEFT(Table2[[#This Row],[Description]],75)</f>
        <v>CASHBACK BONUS REDEMPTION PYMT/STMT CRDT</v>
      </c>
    </row>
    <row r="7085" spans="1:15" hidden="1">
      <c r="A7085" s="25">
        <f t="shared" si="2"/>
        <v>202205</v>
      </c>
      <c r="B7085" s="6">
        <v>44691</v>
      </c>
      <c r="C7085" t="s">
        <v>2262</v>
      </c>
      <c r="D7085" t="s">
        <v>648</v>
      </c>
      <c r="E7085">
        <f t="shared" si="3"/>
        <v>44.99</v>
      </c>
      <c r="F7085" s="2" t="str">
        <f>IF(Table2[[#This Row],[Manual Cat Value]]="",VLOOKUP(Table2[[#This Row],[Description]],'Actuals Lookup'!D:F,3,0),Table2[[#This Row],[Manual Cat Value]])</f>
        <v>Groceries</v>
      </c>
      <c r="G7085" t="str">
        <f>VLOOKUP(D7085,Lookup!G:H,2,0)</f>
        <v>Groceries</v>
      </c>
      <c r="J7085">
        <v>44.99</v>
      </c>
      <c r="K7085" s="6"/>
      <c r="L7085" s="6"/>
      <c r="M7085" t="s">
        <v>2513</v>
      </c>
      <c r="O7085" t="str">
        <f>LEFT(Table2[[#This Row],[Description]],75)</f>
        <v>Costco</v>
      </c>
    </row>
    <row r="7086" spans="1:15" hidden="1">
      <c r="A7086" s="25">
        <f t="shared" si="2"/>
        <v>202205</v>
      </c>
      <c r="B7086" s="6">
        <v>44691</v>
      </c>
      <c r="C7086" t="s">
        <v>2262</v>
      </c>
      <c r="D7086" t="s">
        <v>648</v>
      </c>
      <c r="E7086">
        <f t="shared" si="3"/>
        <v>75.89</v>
      </c>
      <c r="F7086" s="2" t="str">
        <f>IF(Table2[[#This Row],[Manual Cat Value]]="",VLOOKUP(Table2[[#This Row],[Description]],'Actuals Lookup'!D:F,3,0),Table2[[#This Row],[Manual Cat Value]])</f>
        <v>Groceries</v>
      </c>
      <c r="G7086" t="str">
        <f>VLOOKUP(D7086,Lookup!G:H,2,0)</f>
        <v>Groceries</v>
      </c>
      <c r="J7086">
        <v>75.89</v>
      </c>
      <c r="K7086" s="6"/>
      <c r="L7086" s="6"/>
      <c r="M7086" t="s">
        <v>2513</v>
      </c>
      <c r="O7086" t="str">
        <f>LEFT(Table2[[#This Row],[Description]],75)</f>
        <v>Costco</v>
      </c>
    </row>
    <row r="7087" spans="1:15" hidden="1">
      <c r="A7087" s="25">
        <f t="shared" si="2"/>
        <v>202205</v>
      </c>
      <c r="B7087" s="6">
        <v>44691</v>
      </c>
      <c r="C7087" t="s">
        <v>2267</v>
      </c>
      <c r="D7087" t="s">
        <v>709</v>
      </c>
      <c r="E7087">
        <f t="shared" si="3"/>
        <v>-5000</v>
      </c>
      <c r="F7087" s="2" t="e">
        <f>IF(Table2[[#This Row],[Manual Cat Value]]="",VLOOKUP(Table2[[#This Row],[Description]],'Actuals Lookup'!D:F,3,0),Table2[[#This Row],[Manual Cat Value]])</f>
        <v>#N/A</v>
      </c>
      <c r="G7087" t="str">
        <f>VLOOKUP(D7087,Lookup!G:H,2,0)</f>
        <v>delete</v>
      </c>
      <c r="J7087">
        <v>5000</v>
      </c>
      <c r="K7087" s="6"/>
      <c r="L7087" s="6"/>
      <c r="M7087" t="s">
        <v>2621</v>
      </c>
      <c r="O7087" t="str">
        <f>LEFT(Table2[[#This Row],[Description]],75)</f>
        <v>Deposit by Check Deposit Anywher</v>
      </c>
    </row>
    <row r="7088" spans="1:15" hidden="1">
      <c r="A7088" s="25">
        <f t="shared" si="2"/>
        <v>202205</v>
      </c>
      <c r="B7088" s="6">
        <v>44691</v>
      </c>
      <c r="C7088" t="s">
        <v>2262</v>
      </c>
      <c r="D7088" t="s">
        <v>1013</v>
      </c>
      <c r="E7088">
        <f t="shared" si="3"/>
        <v>18.329999999999998</v>
      </c>
      <c r="F7088" s="2" t="e">
        <f>IF(Table2[[#This Row],[Manual Cat Value]]="",VLOOKUP(Table2[[#This Row],[Description]],'Actuals Lookup'!D:F,3,0),Table2[[#This Row],[Manual Cat Value]])</f>
        <v>#N/A</v>
      </c>
      <c r="G7088" t="str">
        <f>VLOOKUP(D7088,Lookup!G:H,2,0)</f>
        <v>Restaurants</v>
      </c>
      <c r="J7088">
        <v>18.329999999999998</v>
      </c>
      <c r="K7088" s="6"/>
      <c r="L7088" s="6"/>
      <c r="M7088" t="s">
        <v>2513</v>
      </c>
      <c r="O7088" t="str">
        <f>LEFT(Table2[[#This Row],[Description]],75)</f>
        <v>Jimmy Johns</v>
      </c>
    </row>
    <row r="7089" spans="1:15" hidden="1">
      <c r="A7089" s="25">
        <f t="shared" si="2"/>
        <v>202205</v>
      </c>
      <c r="B7089" s="6">
        <v>44691</v>
      </c>
      <c r="C7089" t="s">
        <v>2265</v>
      </c>
      <c r="D7089" t="s">
        <v>1195</v>
      </c>
      <c r="E7089">
        <f t="shared" si="3"/>
        <v>536.29999999999995</v>
      </c>
      <c r="F7089" s="2" t="e">
        <f>IF(Table2[[#This Row],[Manual Cat Value]]="",VLOOKUP(Table2[[#This Row],[Description]],'Actuals Lookup'!D:F,3,0),Table2[[#This Row],[Manual Cat Value]])</f>
        <v>#N/A</v>
      </c>
      <c r="G7089" t="str">
        <f>VLOOKUP(D7089,Lookup!G:H,2,0)</f>
        <v>Day Care</v>
      </c>
      <c r="J7089">
        <v>536.29999999999995</v>
      </c>
      <c r="K7089" s="6"/>
      <c r="L7089" s="6"/>
      <c r="M7089" t="s">
        <v>2513</v>
      </c>
      <c r="O7089" t="str">
        <f>LEFT(Table2[[#This Row],[Description]],75)</f>
        <v>MHCHILDCARELLC TYPE DUES ID CO M</v>
      </c>
    </row>
    <row r="7090" spans="1:15" hidden="1">
      <c r="A7090" s="25">
        <f t="shared" si="2"/>
        <v>202205</v>
      </c>
      <c r="B7090" s="6">
        <v>44691</v>
      </c>
      <c r="C7090" t="s">
        <v>2262</v>
      </c>
      <c r="D7090" t="s">
        <v>1267</v>
      </c>
      <c r="E7090">
        <f t="shared" si="3"/>
        <v>-100</v>
      </c>
      <c r="F7090" s="2" t="str">
        <f>IF(Table2[[#This Row],[Manual Cat Value]]="",VLOOKUP(Table2[[#This Row],[Description]],'Actuals Lookup'!D:F,3,0),Table2[[#This Row],[Manual Cat Value]])</f>
        <v>Entertainment</v>
      </c>
      <c r="G7090" t="str">
        <f>VLOOKUP(D7090,Lookup!G:H,2,0)</f>
        <v>Delete</v>
      </c>
      <c r="J7090">
        <v>100</v>
      </c>
      <c r="K7090" s="6"/>
      <c r="L7090" s="6"/>
      <c r="M7090" t="s">
        <v>2621</v>
      </c>
      <c r="O7090" t="str">
        <f>LEFT(Table2[[#This Row],[Description]],75)</f>
        <v>Minnesota State Parks</v>
      </c>
    </row>
    <row r="7091" spans="1:15" hidden="1">
      <c r="A7091" s="25">
        <f t="shared" si="2"/>
        <v>202205</v>
      </c>
      <c r="B7091" s="6">
        <v>44691</v>
      </c>
      <c r="C7091" t="s">
        <v>2262</v>
      </c>
      <c r="D7091" t="s">
        <v>31</v>
      </c>
      <c r="E7091">
        <f t="shared" si="3"/>
        <v>9.65</v>
      </c>
      <c r="F7091" s="2" t="str">
        <f>IF(Table2[[#This Row],[Manual Cat Value]]="",VLOOKUP(Table2[[#This Row],[Description]],'Actuals Lookup'!D:F,3,0),Table2[[#This Row],[Manual Cat Value]])</f>
        <v>Target</v>
      </c>
      <c r="G7091" t="str">
        <f>VLOOKUP(D7091,Lookup!G:H,2,0)</f>
        <v>Target</v>
      </c>
      <c r="J7091">
        <v>9.65</v>
      </c>
      <c r="K7091" s="6"/>
      <c r="L7091" s="6"/>
      <c r="M7091" t="s">
        <v>2513</v>
      </c>
      <c r="O7091" t="str">
        <f>LEFT(Table2[[#This Row],[Description]],75)</f>
        <v>Target</v>
      </c>
    </row>
    <row r="7092" spans="1:15" hidden="1">
      <c r="A7092" s="25">
        <f t="shared" si="2"/>
        <v>202205</v>
      </c>
      <c r="B7092" s="6">
        <v>44691</v>
      </c>
      <c r="C7092" t="s">
        <v>2262</v>
      </c>
      <c r="D7092" t="s">
        <v>1849</v>
      </c>
      <c r="E7092">
        <f t="shared" si="3"/>
        <v>53.74</v>
      </c>
      <c r="F7092" s="2" t="str">
        <f>IF(Table2[[#This Row],[Manual Cat Value]]="",VLOOKUP(Table2[[#This Row],[Description]],'Actuals Lookup'!D:F,3,0),Table2[[#This Row],[Manual Cat Value]])</f>
        <v>House Maintenance</v>
      </c>
      <c r="G7092" t="str">
        <f>VLOOKUP(D7092,Lookup!G:H,2,0)</f>
        <v>House Maintenance</v>
      </c>
      <c r="J7092">
        <v>53.74</v>
      </c>
      <c r="K7092" s="6"/>
      <c r="L7092" s="6"/>
      <c r="M7092" t="s">
        <v>2513</v>
      </c>
      <c r="O7092" t="str">
        <f>LEFT(Table2[[#This Row],[Description]],75)</f>
        <v>The Home Depot</v>
      </c>
    </row>
    <row r="7093" spans="1:15" hidden="1">
      <c r="A7093" s="25">
        <f t="shared" si="2"/>
        <v>202205</v>
      </c>
      <c r="B7093" s="6">
        <v>44691</v>
      </c>
      <c r="C7093" t="s">
        <v>2262</v>
      </c>
      <c r="D7093" t="s">
        <v>1849</v>
      </c>
      <c r="E7093">
        <f t="shared" si="3"/>
        <v>26.85</v>
      </c>
      <c r="F7093" s="2" t="str">
        <f>IF(Table2[[#This Row],[Manual Cat Value]]="",VLOOKUP(Table2[[#This Row],[Description]],'Actuals Lookup'!D:F,3,0),Table2[[#This Row],[Manual Cat Value]])</f>
        <v>House Maintenance</v>
      </c>
      <c r="G7093" t="str">
        <f>VLOOKUP(D7093,Lookup!G:H,2,0)</f>
        <v>House Maintenance</v>
      </c>
      <c r="J7093">
        <v>26.85</v>
      </c>
      <c r="K7093" s="6"/>
      <c r="L7093" s="6"/>
      <c r="M7093" t="s">
        <v>2513</v>
      </c>
      <c r="O7093" t="str">
        <f>LEFT(Table2[[#This Row],[Description]],75)</f>
        <v>The Home Depot</v>
      </c>
    </row>
    <row r="7094" spans="1:15" hidden="1">
      <c r="A7094" s="25">
        <f t="shared" si="2"/>
        <v>202205</v>
      </c>
      <c r="B7094" s="6">
        <v>44691</v>
      </c>
      <c r="C7094" t="s">
        <v>2262</v>
      </c>
      <c r="D7094" t="s">
        <v>1930</v>
      </c>
      <c r="E7094">
        <f t="shared" si="3"/>
        <v>152.11000000000001</v>
      </c>
      <c r="F7094" s="2" t="e">
        <f>IF(Table2[[#This Row],[Manual Cat Value]]="",VLOOKUP(Table2[[#This Row],[Description]],'Actuals Lookup'!D:F,3,0),Table2[[#This Row],[Manual Cat Value]])</f>
        <v>#N/A</v>
      </c>
      <c r="G7094" t="str">
        <f>VLOOKUP(D7094,Lookup!G:H,2,0)</f>
        <v>Groceries</v>
      </c>
      <c r="J7094">
        <v>152.11000000000001</v>
      </c>
      <c r="K7094" s="6"/>
      <c r="L7094" s="6"/>
      <c r="M7094" t="s">
        <v>2513</v>
      </c>
      <c r="O7094" t="str">
        <f>LEFT(Table2[[#This Row],[Description]],75)</f>
        <v>Trader Joes</v>
      </c>
    </row>
    <row r="7095" spans="1:15" hidden="1">
      <c r="A7095" s="25">
        <f t="shared" si="2"/>
        <v>202205</v>
      </c>
      <c r="B7095" s="6">
        <v>44691</v>
      </c>
      <c r="C7095" t="s">
        <v>2265</v>
      </c>
      <c r="D7095" t="s">
        <v>1958</v>
      </c>
      <c r="E7095">
        <f t="shared" si="3"/>
        <v>80.37</v>
      </c>
      <c r="F7095" s="2" t="str">
        <f>IF(Table2[[#This Row],[Manual Cat Value]]="",VLOOKUP(Table2[[#This Row],[Description]],'Actuals Lookup'!D:F,3,0),Table2[[#This Row],[Manual Cat Value]])</f>
        <v>Shopping</v>
      </c>
      <c r="G7095" t="str">
        <f>VLOOKUP(D7095,Lookup!G:H,2,0)</f>
        <v>Travel</v>
      </c>
      <c r="J7095">
        <v>80.37</v>
      </c>
      <c r="K7095" s="6"/>
      <c r="L7095" s="6"/>
      <c r="M7095" t="s">
        <v>2513</v>
      </c>
      <c r="O7095" t="str">
        <f>LEFT(Table2[[#This Row],[Description]],75)</f>
        <v>Transfer to Venmo</v>
      </c>
    </row>
    <row r="7096" spans="1:15" hidden="1">
      <c r="A7096" s="25">
        <f t="shared" si="2"/>
        <v>202205</v>
      </c>
      <c r="B7096" s="6">
        <v>44691</v>
      </c>
      <c r="C7096" t="s">
        <v>2447</v>
      </c>
      <c r="D7096" t="s">
        <v>997</v>
      </c>
      <c r="E7096">
        <f t="shared" si="3"/>
        <v>-318.93</v>
      </c>
      <c r="F7096" s="2" t="str">
        <f>IF(Table2[[#This Row],[Manual Cat Value]]="",VLOOKUP(Table2[[#This Row],[Description]],'Actuals Lookup'!D:F,3,0),Table2[[#This Row],[Manual Cat Value]])</f>
        <v>Delete</v>
      </c>
      <c r="G7096" t="str">
        <f>VLOOKUP(D7096,Lookup!G:H,2,0)</f>
        <v>Delete</v>
      </c>
      <c r="J7096">
        <v>318.93</v>
      </c>
      <c r="K7096" s="6"/>
      <c r="L7096" s="6"/>
      <c r="M7096" t="s">
        <v>2621</v>
      </c>
      <c r="O7096" t="str">
        <f>LEFT(Table2[[#This Row],[Description]],75)</f>
        <v>INTERNET PAYMENT - THANK YOU</v>
      </c>
    </row>
    <row r="7097" spans="1:15" hidden="1">
      <c r="A7097" s="25">
        <f t="shared" si="2"/>
        <v>202205</v>
      </c>
      <c r="B7097" s="6">
        <v>44691</v>
      </c>
      <c r="C7097" t="s">
        <v>2265</v>
      </c>
      <c r="D7097" t="s">
        <v>1469</v>
      </c>
      <c r="E7097">
        <f t="shared" si="3"/>
        <v>163.44</v>
      </c>
      <c r="F7097" s="2" t="str">
        <f>IF(Table2[[#This Row],[Manual Cat Value]]="",VLOOKUP(Table2[[#This Row],[Description]],'Actuals Lookup'!D:F,3,0),Table2[[#This Row],[Manual Cat Value]])</f>
        <v>Utilities</v>
      </c>
      <c r="G7097" t="str">
        <f>VLOOKUP(D7097,Lookup!G:H,2,0)</f>
        <v>utilities</v>
      </c>
      <c r="J7097">
        <v>163.44</v>
      </c>
      <c r="K7097" s="6"/>
      <c r="L7097" s="6"/>
      <c r="M7097" t="s">
        <v>2513</v>
      </c>
      <c r="O7097" t="str">
        <f>LEFT(Table2[[#This Row],[Description]],75)</f>
        <v>Payment to Waste management</v>
      </c>
    </row>
    <row r="7098" spans="1:15" hidden="1">
      <c r="A7098" s="25">
        <f t="shared" si="2"/>
        <v>202205</v>
      </c>
      <c r="B7098" s="6">
        <v>44692</v>
      </c>
      <c r="C7098" t="s">
        <v>2262</v>
      </c>
      <c r="D7098" t="s">
        <v>825</v>
      </c>
      <c r="E7098">
        <f t="shared" si="3"/>
        <v>-187</v>
      </c>
      <c r="F7098" s="2" t="str">
        <f>IF(Table2[[#This Row],[Manual Cat Value]]="",VLOOKUP(Table2[[#This Row],[Description]],'Actuals Lookup'!D:F,3,0),Table2[[#This Row],[Manual Cat Value]])</f>
        <v>Shopping</v>
      </c>
      <c r="G7098" t="str">
        <f>VLOOKUP(D7098,Lookup!G:H,2,0)</f>
        <v>Shopping</v>
      </c>
      <c r="J7098">
        <v>187</v>
      </c>
      <c r="K7098" s="6"/>
      <c r="L7098" s="6"/>
      <c r="M7098" t="s">
        <v>2621</v>
      </c>
      <c r="O7098" t="str">
        <f>LEFT(Table2[[#This Row],[Description]],75)</f>
        <v>Evereve</v>
      </c>
    </row>
    <row r="7099" spans="1:15" hidden="1">
      <c r="A7099" s="25">
        <f t="shared" si="2"/>
        <v>202205</v>
      </c>
      <c r="B7099" s="6">
        <v>44692</v>
      </c>
      <c r="C7099" t="s">
        <v>2262</v>
      </c>
      <c r="D7099" t="s">
        <v>1083</v>
      </c>
      <c r="E7099">
        <f t="shared" si="3"/>
        <v>74.290000000000006</v>
      </c>
      <c r="F7099" s="2" t="str">
        <f>IF(Table2[[#This Row],[Manual Cat Value]]="",VLOOKUP(Table2[[#This Row],[Description]],'Actuals Lookup'!D:F,3,0),Table2[[#This Row],[Manual Cat Value]])</f>
        <v>Transportation</v>
      </c>
      <c r="G7099" t="str">
        <f>VLOOKUP(D7099,Lookup!G:H,2,0)</f>
        <v>Transportation</v>
      </c>
      <c r="J7099">
        <v>74.290000000000006</v>
      </c>
      <c r="K7099" s="6"/>
      <c r="L7099" s="6"/>
      <c r="M7099" t="s">
        <v>2513</v>
      </c>
      <c r="O7099" t="str">
        <f>LEFT(Table2[[#This Row],[Description]],75)</f>
        <v>Kwik Trip</v>
      </c>
    </row>
    <row r="7100" spans="1:15" hidden="1">
      <c r="A7100" s="25">
        <f t="shared" si="2"/>
        <v>202205</v>
      </c>
      <c r="B7100" s="6">
        <v>44692</v>
      </c>
      <c r="C7100" t="s">
        <v>2262</v>
      </c>
      <c r="D7100" t="s">
        <v>1548</v>
      </c>
      <c r="E7100">
        <f t="shared" si="3"/>
        <v>467</v>
      </c>
      <c r="F7100" s="2" t="e">
        <f>IF(Table2[[#This Row],[Manual Cat Value]]="",VLOOKUP(Table2[[#This Row],[Description]],'Actuals Lookup'!D:F,3,0),Table2[[#This Row],[Manual Cat Value]])</f>
        <v>#N/A</v>
      </c>
      <c r="G7100" t="str">
        <f>VLOOKUP(D7100,Lookup!G:H,2,0)</f>
        <v>House Maintenance</v>
      </c>
      <c r="J7100">
        <v>467</v>
      </c>
      <c r="K7100" s="6"/>
      <c r="L7100" s="6"/>
      <c r="M7100" t="s">
        <v>2513</v>
      </c>
      <c r="O7100" t="str">
        <f>LEFT(Table2[[#This Row],[Description]],75)</f>
        <v>RANDYS ELECTRIC MINNEAPOLIS MN</v>
      </c>
    </row>
    <row r="7101" spans="1:15" hidden="1">
      <c r="A7101" s="25">
        <f t="shared" ref="A7101:A7132" si="4">VALUE(YEAR(B7101)&amp;TEXT(MONTH(B7101),"00"))</f>
        <v>202205</v>
      </c>
      <c r="B7101" s="6">
        <v>44692</v>
      </c>
      <c r="C7101" t="s">
        <v>2262</v>
      </c>
      <c r="D7101" t="s">
        <v>1613</v>
      </c>
      <c r="E7101">
        <f t="shared" ref="E7101:E7132" si="5">IF(M7101="credit",-1*J7101,J7101)</f>
        <v>14.5</v>
      </c>
      <c r="F7101" s="2" t="e">
        <f>IF(Table2[[#This Row],[Manual Cat Value]]="",VLOOKUP(Table2[[#This Row],[Description]],'Actuals Lookup'!D:F,3,0),Table2[[#This Row],[Manual Cat Value]])</f>
        <v>#N/A</v>
      </c>
      <c r="G7101" t="str">
        <f>VLOOKUP(D7101,Lookup!G:H,2,0)</f>
        <v>misc</v>
      </c>
      <c r="J7101">
        <v>14.5</v>
      </c>
      <c r="K7101" s="6"/>
      <c r="L7101" s="6"/>
      <c r="M7101" t="s">
        <v>2513</v>
      </c>
      <c r="O7101" t="str">
        <f>LEFT(Table2[[#This Row],[Description]],75)</f>
        <v>RVTEDINA PUBLIC SCHOOLS XX3900 M</v>
      </c>
    </row>
    <row r="7102" spans="1:15" hidden="1">
      <c r="A7102" s="25">
        <f t="shared" si="4"/>
        <v>202205</v>
      </c>
      <c r="B7102" s="6">
        <v>44692</v>
      </c>
      <c r="C7102" t="s">
        <v>2265</v>
      </c>
      <c r="D7102" t="s">
        <v>1798</v>
      </c>
      <c r="E7102">
        <f t="shared" si="5"/>
        <v>-3441.21</v>
      </c>
      <c r="F7102" s="2" t="e">
        <f>IF(Table2[[#This Row],[Manual Cat Value]]="",VLOOKUP(Table2[[#This Row],[Description]],'Actuals Lookup'!D:F,3,0),Table2[[#This Row],[Manual Cat Value]])</f>
        <v>#N/A</v>
      </c>
      <c r="G7102" t="str">
        <f>VLOOKUP(D7102,Lookup!G:H,2,0)</f>
        <v>Delete</v>
      </c>
      <c r="J7102">
        <v>3441.21</v>
      </c>
      <c r="K7102" s="6"/>
      <c r="L7102" s="6"/>
      <c r="M7102" t="s">
        <v>2621</v>
      </c>
      <c r="O7102" t="str">
        <f>LEFT(Table2[[#This Row],[Description]],75)</f>
        <v>SYNTELLIS PERFOR TYPE DIRECT DEP</v>
      </c>
    </row>
    <row r="7103" spans="1:15" hidden="1">
      <c r="A7103" s="25">
        <f t="shared" si="4"/>
        <v>202205</v>
      </c>
      <c r="B7103" s="6">
        <v>44692</v>
      </c>
      <c r="C7103" t="s">
        <v>2265</v>
      </c>
      <c r="D7103" t="s">
        <v>1464</v>
      </c>
      <c r="E7103">
        <f t="shared" si="5"/>
        <v>318.93</v>
      </c>
      <c r="F7103" s="2" t="str">
        <f>IF(Table2[[#This Row],[Manual Cat Value]]="",VLOOKUP(Table2[[#This Row],[Description]],'Actuals Lookup'!D:F,3,0),Table2[[#This Row],[Manual Cat Value]])</f>
        <v>Delete</v>
      </c>
      <c r="G7103" t="str">
        <f>VLOOKUP(D7103,Lookup!G:H,2,0)</f>
        <v>Delete</v>
      </c>
      <c r="J7103">
        <v>318.93</v>
      </c>
      <c r="K7103" s="6"/>
      <c r="L7103" s="6"/>
      <c r="M7103" t="s">
        <v>2513</v>
      </c>
      <c r="O7103" t="str">
        <f>LEFT(Table2[[#This Row],[Description]],75)</f>
        <v>Payment to Discover Bank</v>
      </c>
    </row>
    <row r="7104" spans="1:15" hidden="1">
      <c r="A7104" s="25">
        <f t="shared" si="4"/>
        <v>202205</v>
      </c>
      <c r="B7104" s="6">
        <v>44693</v>
      </c>
      <c r="C7104" t="s">
        <v>2265</v>
      </c>
      <c r="D7104" t="s">
        <v>404</v>
      </c>
      <c r="E7104">
        <f t="shared" si="5"/>
        <v>-2479.5</v>
      </c>
      <c r="F7104" s="2" t="str">
        <f>IF(Table2[[#This Row],[Manual Cat Value]]="",VLOOKUP(Table2[[#This Row],[Description]],'Actuals Lookup'!D:F,3,0),Table2[[#This Row],[Manual Cat Value]])</f>
        <v>Britney</v>
      </c>
      <c r="G7104" t="str">
        <f>VLOOKUP(D7104,Lookup!G:H,2,0)</f>
        <v>Inc - Britney</v>
      </c>
      <c r="J7104">
        <v>2479.5</v>
      </c>
      <c r="K7104" s="6"/>
      <c r="L7104" s="6"/>
      <c r="M7104" t="s">
        <v>2621</v>
      </c>
      <c r="O7104" t="str">
        <f>LEFT(Table2[[#This Row],[Description]],75)</f>
        <v>Cargill Inc Deposit</v>
      </c>
    </row>
    <row r="7105" spans="1:15" hidden="1">
      <c r="A7105" s="25">
        <f t="shared" si="4"/>
        <v>202205</v>
      </c>
      <c r="B7105" s="6">
        <v>44693</v>
      </c>
      <c r="C7105" t="s">
        <v>2262</v>
      </c>
      <c r="D7105" t="s">
        <v>1839</v>
      </c>
      <c r="E7105">
        <f t="shared" si="5"/>
        <v>125</v>
      </c>
      <c r="F7105" s="2" t="e">
        <f>IF(Table2[[#This Row],[Manual Cat Value]]="",VLOOKUP(Table2[[#This Row],[Description]],'Actuals Lookup'!D:F,3,0),Table2[[#This Row],[Manual Cat Value]])</f>
        <v>#N/A</v>
      </c>
      <c r="G7105" t="str">
        <f>VLOOKUP(D7105,Lookup!G:H,2,0)</f>
        <v>gifts</v>
      </c>
      <c r="J7105">
        <v>125</v>
      </c>
      <c r="K7105" s="6"/>
      <c r="L7105" s="6"/>
      <c r="M7105" t="s">
        <v>2513</v>
      </c>
      <c r="O7105" t="str">
        <f>LEFT(Table2[[#This Row],[Description]],75)</f>
        <v>The Als Association</v>
      </c>
    </row>
    <row r="7106" spans="1:15" hidden="1">
      <c r="A7106" s="25">
        <f t="shared" si="4"/>
        <v>202205</v>
      </c>
      <c r="B7106" s="6">
        <v>44693</v>
      </c>
      <c r="C7106" t="s">
        <v>2265</v>
      </c>
      <c r="D7106" t="s">
        <v>1958</v>
      </c>
      <c r="E7106">
        <f t="shared" si="5"/>
        <v>150</v>
      </c>
      <c r="F7106" s="2" t="str">
        <f>IF(Table2[[#This Row],[Manual Cat Value]]="",VLOOKUP(Table2[[#This Row],[Description]],'Actuals Lookup'!D:F,3,0),Table2[[#This Row],[Manual Cat Value]])</f>
        <v>Shopping</v>
      </c>
      <c r="G7106" t="str">
        <f>VLOOKUP(D7106,Lookup!G:H,2,0)</f>
        <v>Travel</v>
      </c>
      <c r="J7106">
        <v>150</v>
      </c>
      <c r="K7106" s="6"/>
      <c r="L7106" s="6"/>
      <c r="M7106" t="s">
        <v>2513</v>
      </c>
      <c r="O7106" t="str">
        <f>LEFT(Table2[[#This Row],[Description]],75)</f>
        <v>Transfer to Venmo</v>
      </c>
    </row>
    <row r="7107" spans="1:15" hidden="1">
      <c r="A7107" s="25">
        <f t="shared" si="4"/>
        <v>202205</v>
      </c>
      <c r="B7107" s="6">
        <v>44693</v>
      </c>
      <c r="C7107" t="s">
        <v>2265</v>
      </c>
      <c r="D7107" t="s">
        <v>2204</v>
      </c>
      <c r="E7107">
        <f t="shared" si="5"/>
        <v>1595.69</v>
      </c>
      <c r="F7107" s="2" t="e">
        <f>IF(Table2[[#This Row],[Manual Cat Value]]="",VLOOKUP(Table2[[#This Row],[Description]],'Actuals Lookup'!D:F,3,0),Table2[[#This Row],[Manual Cat Value]])</f>
        <v>#N/A</v>
      </c>
      <c r="G7107" t="str">
        <f>VLOOKUP(D7107,Lookup!G:H,2,0)</f>
        <v>Delete</v>
      </c>
      <c r="J7107">
        <v>1595.69</v>
      </c>
      <c r="K7107" s="6"/>
      <c r="L7107" s="6"/>
      <c r="M7107" t="s">
        <v>2513</v>
      </c>
      <c r="O7107" t="str">
        <f>LEFT(Table2[[#This Row],[Description]],75)</f>
        <v>Withdrawal Home Pmt to card XX91</v>
      </c>
    </row>
    <row r="7108" spans="1:15" hidden="1">
      <c r="A7108" s="25">
        <f t="shared" si="4"/>
        <v>202205</v>
      </c>
      <c r="B7108" s="6">
        <v>44693</v>
      </c>
      <c r="C7108" t="s">
        <v>2262</v>
      </c>
      <c r="D7108" t="s">
        <v>673</v>
      </c>
      <c r="E7108">
        <f t="shared" si="5"/>
        <v>-1595.69</v>
      </c>
      <c r="F7108" s="2" t="str">
        <f>IF(Table2[[#This Row],[Manual Cat Value]]="",VLOOKUP(Table2[[#This Row],[Description]],'Actuals Lookup'!D:F,3,0),Table2[[#This Row],[Manual Cat Value]])</f>
        <v>Delete</v>
      </c>
      <c r="G7108" t="str">
        <f>VLOOKUP(D7108,Lookup!G:H,2,0)</f>
        <v>Delete</v>
      </c>
      <c r="J7108">
        <v>1595.69</v>
      </c>
      <c r="K7108" s="6"/>
      <c r="L7108" s="6"/>
      <c r="M7108" t="s">
        <v>2621</v>
      </c>
      <c r="O7108" t="str">
        <f>LEFT(Table2[[#This Row],[Description]],75)</f>
        <v>Credit Card Payment Received</v>
      </c>
    </row>
    <row r="7109" spans="1:15" hidden="1">
      <c r="A7109" s="25">
        <f t="shared" si="4"/>
        <v>202205</v>
      </c>
      <c r="B7109" s="6">
        <v>44694</v>
      </c>
      <c r="C7109" t="s">
        <v>2447</v>
      </c>
      <c r="D7109" t="s">
        <v>810</v>
      </c>
      <c r="E7109">
        <f t="shared" si="5"/>
        <v>106</v>
      </c>
      <c r="F7109" s="2" t="e">
        <f>IF(Table2[[#This Row],[Manual Cat Value]]="",VLOOKUP(Table2[[#This Row],[Description]],'Actuals Lookup'!D:F,3,0),Table2[[#This Row],[Manual Cat Value]])</f>
        <v>#N/A</v>
      </c>
      <c r="G7109" t="str">
        <f>VLOOKUP(D7109,Lookup!G:H,2,0)</f>
        <v>Shopping</v>
      </c>
      <c r="J7109">
        <v>106</v>
      </c>
      <c r="K7109" s="6"/>
      <c r="L7109" s="6"/>
      <c r="M7109" t="s">
        <v>2513</v>
      </c>
      <c r="O7109" t="str">
        <f>LEFT(Table2[[#This Row],[Description]],75)</f>
        <v>ELITE NAILS LLC CHANHASSEN MN</v>
      </c>
    </row>
    <row r="7110" spans="1:15" hidden="1">
      <c r="A7110" s="25">
        <f t="shared" si="4"/>
        <v>202205</v>
      </c>
      <c r="B7110" s="6">
        <v>44694</v>
      </c>
      <c r="C7110" t="s">
        <v>2262</v>
      </c>
      <c r="D7110" t="s">
        <v>843</v>
      </c>
      <c r="E7110">
        <f t="shared" si="5"/>
        <v>18.170000000000002</v>
      </c>
      <c r="F7110" s="2" t="e">
        <f>IF(Table2[[#This Row],[Manual Cat Value]]="",VLOOKUP(Table2[[#This Row],[Description]],'Actuals Lookup'!D:F,3,0),Table2[[#This Row],[Manual Cat Value]])</f>
        <v>#N/A</v>
      </c>
      <c r="G7110" t="str">
        <f>VLOOKUP(D7110,Lookup!G:H,2,0)</f>
        <v>Restaurants</v>
      </c>
      <c r="J7110">
        <v>18.170000000000002</v>
      </c>
      <c r="K7110" s="6"/>
      <c r="L7110" s="6"/>
      <c r="M7110" t="s">
        <v>2513</v>
      </c>
      <c r="O7110" t="str">
        <f>LEFT(Table2[[#This Row],[Description]],75)</f>
        <v>FIRE AND NICE ALEHOUSE MINNEAPOL</v>
      </c>
    </row>
    <row r="7111" spans="1:15" hidden="1">
      <c r="A7111" s="25">
        <f t="shared" si="4"/>
        <v>202205</v>
      </c>
      <c r="B7111" s="6">
        <v>44694</v>
      </c>
      <c r="C7111" t="s">
        <v>2262</v>
      </c>
      <c r="D7111" t="s">
        <v>1462</v>
      </c>
      <c r="E7111">
        <f t="shared" si="5"/>
        <v>45</v>
      </c>
      <c r="F7111" s="2" t="str">
        <f>IF(Table2[[#This Row],[Manual Cat Value]]="",VLOOKUP(Table2[[#This Row],[Description]],'Actuals Lookup'!D:F,3,0),Table2[[#This Row],[Manual Cat Value]])</f>
        <v>Utilities</v>
      </c>
      <c r="G7111" t="str">
        <f>VLOOKUP(D7111,Lookup!G:H,2,0)</f>
        <v>utilities</v>
      </c>
      <c r="J7111">
        <v>45</v>
      </c>
      <c r="K7111" s="6"/>
      <c r="L7111" s="6"/>
      <c r="M7111" t="s">
        <v>2513</v>
      </c>
      <c r="O7111" t="str">
        <f>LEFT(Table2[[#This Row],[Description]],75)</f>
        <v>Payment to CenturyLink</v>
      </c>
    </row>
    <row r="7112" spans="1:15" hidden="1">
      <c r="A7112" s="25">
        <f t="shared" si="4"/>
        <v>202205</v>
      </c>
      <c r="B7112" s="6">
        <v>44695</v>
      </c>
      <c r="C7112" t="s">
        <v>2447</v>
      </c>
      <c r="D7112" t="s">
        <v>1484</v>
      </c>
      <c r="E7112">
        <f t="shared" si="5"/>
        <v>5.47</v>
      </c>
      <c r="F7112" s="2" t="e">
        <f>IF(Table2[[#This Row],[Manual Cat Value]]="",VLOOKUP(Table2[[#This Row],[Description]],'Actuals Lookup'!D:F,3,0),Table2[[#This Row],[Manual Cat Value]])</f>
        <v>#N/A</v>
      </c>
      <c r="G7112" t="str">
        <f>VLOOKUP(D7112,Lookup!G:H,2,0)</f>
        <v>Groceries</v>
      </c>
      <c r="J7112">
        <v>5.47</v>
      </c>
      <c r="K7112" s="6"/>
      <c r="L7112" s="6"/>
      <c r="M7112" t="s">
        <v>2513</v>
      </c>
      <c r="O7112" t="str">
        <f>LEFT(Table2[[#This Row],[Description]],75)</f>
        <v>PEOPLES ORGANIC MINNETONKA MN</v>
      </c>
    </row>
    <row r="7113" spans="1:15" hidden="1">
      <c r="A7113" s="25">
        <f t="shared" si="4"/>
        <v>202205</v>
      </c>
      <c r="B7113" s="6">
        <v>44695</v>
      </c>
      <c r="C7113" t="s">
        <v>2447</v>
      </c>
      <c r="D7113" t="s">
        <v>1484</v>
      </c>
      <c r="E7113">
        <f t="shared" si="5"/>
        <v>22.19</v>
      </c>
      <c r="F7113" s="2" t="e">
        <f>IF(Table2[[#This Row],[Manual Cat Value]]="",VLOOKUP(Table2[[#This Row],[Description]],'Actuals Lookup'!D:F,3,0),Table2[[#This Row],[Manual Cat Value]])</f>
        <v>#N/A</v>
      </c>
      <c r="G7113" t="str">
        <f>VLOOKUP(D7113,Lookup!G:H,2,0)</f>
        <v>Groceries</v>
      </c>
      <c r="J7113">
        <v>22.19</v>
      </c>
      <c r="K7113" s="6"/>
      <c r="L7113" s="6"/>
      <c r="M7113" t="s">
        <v>2513</v>
      </c>
      <c r="O7113" t="str">
        <f>LEFT(Table2[[#This Row],[Description]],75)</f>
        <v>PEOPLES ORGANIC MINNETONKA MN</v>
      </c>
    </row>
    <row r="7114" spans="1:15" hidden="1">
      <c r="A7114" s="25">
        <f t="shared" si="4"/>
        <v>202205</v>
      </c>
      <c r="B7114" s="6">
        <v>44696</v>
      </c>
      <c r="C7114" t="s">
        <v>2262</v>
      </c>
      <c r="D7114" t="s">
        <v>148</v>
      </c>
      <c r="E7114">
        <f t="shared" si="5"/>
        <v>26.83</v>
      </c>
      <c r="F7114" s="2" t="e">
        <f>IF(Table2[[#This Row],[Manual Cat Value]]="",VLOOKUP(Table2[[#This Row],[Description]],'Actuals Lookup'!D:F,3,0),Table2[[#This Row],[Manual Cat Value]])</f>
        <v>#N/A</v>
      </c>
      <c r="G7114" t="str">
        <f>VLOOKUP(D7114,Lookup!G:H,2,0)</f>
        <v>Amazon</v>
      </c>
      <c r="J7114">
        <v>26.83</v>
      </c>
      <c r="K7114" s="6"/>
      <c r="L7114" s="6"/>
      <c r="M7114" t="s">
        <v>2513</v>
      </c>
      <c r="O7114" t="str">
        <f>LEFT(Table2[[#This Row],[Description]],75)</f>
        <v>AMZN Mktp US1L7SK9NS2 Amzncombil</v>
      </c>
    </row>
    <row r="7115" spans="1:15" hidden="1">
      <c r="A7115" s="25">
        <f t="shared" si="4"/>
        <v>202205</v>
      </c>
      <c r="B7115" s="6">
        <v>44696</v>
      </c>
      <c r="C7115" t="s">
        <v>2262</v>
      </c>
      <c r="D7115" t="s">
        <v>301</v>
      </c>
      <c r="E7115" s="58">
        <f t="shared" si="5"/>
        <v>1264.93</v>
      </c>
      <c r="F7115" s="2" t="str">
        <f>IF(Table2[[#This Row],[Manual Cat Value]]="",VLOOKUP(Table2[[#This Row],[Description]],'Actuals Lookup'!D:F,3,0),Table2[[#This Row],[Manual Cat Value]])</f>
        <v>Transportation</v>
      </c>
      <c r="G7115" t="str">
        <f>VLOOKUP(D7115,Lookup!G:H,2,0)</f>
        <v>Transportation</v>
      </c>
      <c r="J7115">
        <v>1264.93</v>
      </c>
      <c r="K7115" s="6"/>
      <c r="L7115" s="6"/>
      <c r="M7115" t="s">
        <v>2513</v>
      </c>
      <c r="O7115" t="str">
        <f>LEFT(Table2[[#This Row],[Description]],75)</f>
        <v>BMW</v>
      </c>
    </row>
    <row r="7116" spans="1:15" hidden="1">
      <c r="A7116" s="25">
        <f t="shared" si="4"/>
        <v>202205</v>
      </c>
      <c r="B7116" s="6">
        <v>44696</v>
      </c>
      <c r="C7116" t="s">
        <v>2262</v>
      </c>
      <c r="D7116" t="s">
        <v>1728</v>
      </c>
      <c r="E7116">
        <f t="shared" si="5"/>
        <v>18.559999999999999</v>
      </c>
      <c r="F7116" s="2" t="e">
        <f>IF(Table2[[#This Row],[Manual Cat Value]]="",VLOOKUP(Table2[[#This Row],[Description]],'Actuals Lookup'!D:F,3,0),Table2[[#This Row],[Manual Cat Value]])</f>
        <v>#N/A</v>
      </c>
      <c r="G7116" t="str">
        <f>VLOOKUP(D7116,Lookup!G:H,2,0)</f>
        <v>Restaurants</v>
      </c>
      <c r="J7116">
        <v>18.559999999999999</v>
      </c>
      <c r="K7116" s="6"/>
      <c r="L7116" s="6"/>
      <c r="M7116" t="s">
        <v>2513</v>
      </c>
      <c r="O7116" t="str">
        <f>LEFT(Table2[[#This Row],[Description]],75)</f>
        <v>SQ EXCELSIOR BREWING COMExcelsio</v>
      </c>
    </row>
    <row r="7117" spans="1:15" hidden="1">
      <c r="A7117" s="25">
        <f t="shared" si="4"/>
        <v>202205</v>
      </c>
      <c r="B7117" s="6">
        <v>44696</v>
      </c>
      <c r="C7117" t="s">
        <v>2262</v>
      </c>
      <c r="D7117" t="s">
        <v>1728</v>
      </c>
      <c r="E7117">
        <f t="shared" si="5"/>
        <v>18.559999999999999</v>
      </c>
      <c r="F7117" s="2" t="e">
        <f>IF(Table2[[#This Row],[Manual Cat Value]]="",VLOOKUP(Table2[[#This Row],[Description]],'Actuals Lookup'!D:F,3,0),Table2[[#This Row],[Manual Cat Value]])</f>
        <v>#N/A</v>
      </c>
      <c r="G7117" t="str">
        <f>VLOOKUP(D7117,Lookup!G:H,2,0)</f>
        <v>Restaurants</v>
      </c>
      <c r="J7117">
        <v>18.559999999999999</v>
      </c>
      <c r="K7117" s="6"/>
      <c r="L7117" s="6"/>
      <c r="M7117" t="s">
        <v>2513</v>
      </c>
      <c r="O7117" t="str">
        <f>LEFT(Table2[[#This Row],[Description]],75)</f>
        <v>SQ EXCELSIOR BREWING COMExcelsio</v>
      </c>
    </row>
    <row r="7118" spans="1:15" hidden="1">
      <c r="A7118" s="25">
        <f t="shared" si="4"/>
        <v>202205</v>
      </c>
      <c r="B7118" s="6">
        <v>44696</v>
      </c>
      <c r="C7118" t="s">
        <v>2262</v>
      </c>
      <c r="D7118" t="s">
        <v>1728</v>
      </c>
      <c r="E7118">
        <f t="shared" si="5"/>
        <v>16.47</v>
      </c>
      <c r="F7118" s="2" t="e">
        <f>IF(Table2[[#This Row],[Manual Cat Value]]="",VLOOKUP(Table2[[#This Row],[Description]],'Actuals Lookup'!D:F,3,0),Table2[[#This Row],[Manual Cat Value]])</f>
        <v>#N/A</v>
      </c>
      <c r="G7118" t="str">
        <f>VLOOKUP(D7118,Lookup!G:H,2,0)</f>
        <v>Restaurants</v>
      </c>
      <c r="J7118">
        <v>16.47</v>
      </c>
      <c r="K7118" s="6"/>
      <c r="L7118" s="6"/>
      <c r="M7118" t="s">
        <v>2513</v>
      </c>
      <c r="O7118" t="str">
        <f>LEFT(Table2[[#This Row],[Description]],75)</f>
        <v>SQ EXCELSIOR BREWING COMExcelsio</v>
      </c>
    </row>
    <row r="7119" spans="1:15" hidden="1">
      <c r="A7119" s="25">
        <f t="shared" si="4"/>
        <v>202205</v>
      </c>
      <c r="B7119" s="6">
        <v>44696</v>
      </c>
      <c r="C7119" t="s">
        <v>2262</v>
      </c>
      <c r="D7119" t="s">
        <v>1919</v>
      </c>
      <c r="E7119">
        <f t="shared" si="5"/>
        <v>503.17</v>
      </c>
      <c r="F7119" s="2" t="e">
        <f>IF(Table2[[#This Row],[Manual Cat Value]]="",VLOOKUP(Table2[[#This Row],[Description]],'Actuals Lookup'!D:F,3,0),Table2[[#This Row],[Manual Cat Value]])</f>
        <v>#N/A</v>
      </c>
      <c r="G7119" t="str">
        <f>VLOOKUP(D7119,Lookup!G:H,2,0)</f>
        <v>shopping</v>
      </c>
      <c r="J7119">
        <v>503.17</v>
      </c>
      <c r="K7119" s="6"/>
      <c r="L7119" s="6"/>
      <c r="M7119" t="s">
        <v>2513</v>
      </c>
      <c r="O7119" t="str">
        <f>LEFT(Table2[[#This Row],[Description]],75)</f>
        <v>TONKADALE GREENHOUSE XX6480 MN</v>
      </c>
    </row>
    <row r="7120" spans="1:15" hidden="1">
      <c r="A7120" s="25">
        <f t="shared" si="4"/>
        <v>202205</v>
      </c>
      <c r="B7120" s="6">
        <v>44696</v>
      </c>
      <c r="C7120" t="s">
        <v>2262</v>
      </c>
      <c r="D7120" t="s">
        <v>2094</v>
      </c>
      <c r="E7120">
        <f t="shared" si="5"/>
        <v>55</v>
      </c>
      <c r="F7120" s="2" t="str">
        <f>IF(Table2[[#This Row],[Manual Cat Value]]="",VLOOKUP(Table2[[#This Row],[Description]],'Actuals Lookup'!D:F,3,0),Table2[[#This Row],[Manual Cat Value]])</f>
        <v>Day Care</v>
      </c>
      <c r="G7120" t="str">
        <f>VLOOKUP(D7120,Lookup!G:H,2,0)</f>
        <v>delete</v>
      </c>
      <c r="J7120">
        <v>55</v>
      </c>
      <c r="K7120" s="6"/>
      <c r="L7120" s="6"/>
      <c r="M7120" t="s">
        <v>2513</v>
      </c>
      <c r="O7120" t="str">
        <f>LEFT(Table2[[#This Row],[Description]],75)</f>
        <v>Us Lacrosse</v>
      </c>
    </row>
    <row r="7121" spans="1:15" hidden="1">
      <c r="A7121" s="25">
        <f t="shared" si="4"/>
        <v>202205</v>
      </c>
      <c r="B7121" s="6">
        <v>44697</v>
      </c>
      <c r="C7121" t="s">
        <v>2265</v>
      </c>
      <c r="D7121" t="s">
        <v>131</v>
      </c>
      <c r="E7121">
        <f t="shared" si="5"/>
        <v>102.48</v>
      </c>
      <c r="F7121" s="2" t="str">
        <f>IF(Table2[[#This Row],[Manual Cat Value]]="",VLOOKUP(Table2[[#This Row],[Description]],'Actuals Lookup'!D:F,3,0),Table2[[#This Row],[Manual Cat Value]])</f>
        <v>Insurance</v>
      </c>
      <c r="G7121" t="str">
        <f>VLOOKUP(D7121,Lookup!G:H,2,0)</f>
        <v>Insurance</v>
      </c>
      <c r="J7121">
        <v>102.48</v>
      </c>
      <c r="K7121" s="6"/>
      <c r="L7121" s="6"/>
      <c r="M7121" t="s">
        <v>2513</v>
      </c>
      <c r="O7121" t="str">
        <f>LEFT(Table2[[#This Row],[Description]],75)</f>
        <v>American Family Insurance</v>
      </c>
    </row>
    <row r="7122" spans="1:15" hidden="1">
      <c r="A7122" s="25">
        <f t="shared" si="4"/>
        <v>202205</v>
      </c>
      <c r="B7122" s="6">
        <v>44697</v>
      </c>
      <c r="C7122" t="s">
        <v>2262</v>
      </c>
      <c r="D7122" t="s">
        <v>1106</v>
      </c>
      <c r="E7122">
        <f t="shared" si="5"/>
        <v>8.5</v>
      </c>
      <c r="F7122" s="2" t="e">
        <f>IF(Table2[[#This Row],[Manual Cat Value]]="",VLOOKUP(Table2[[#This Row],[Description]],'Actuals Lookup'!D:F,3,0),Table2[[#This Row],[Manual Cat Value]])</f>
        <v>#N/A</v>
      </c>
      <c r="G7122" t="str">
        <f>VLOOKUP(D7122,Lookup!G:H,2,0)</f>
        <v>Restaurants</v>
      </c>
      <c r="J7122">
        <v>8.5</v>
      </c>
      <c r="K7122" s="6"/>
      <c r="L7122" s="6"/>
      <c r="M7122" t="s">
        <v>2513</v>
      </c>
      <c r="O7122" t="str">
        <f>LEFT(Table2[[#This Row],[Description]],75)</f>
        <v>Licks Unlimited</v>
      </c>
    </row>
    <row r="7123" spans="1:15" hidden="1">
      <c r="A7123" s="25">
        <f t="shared" si="4"/>
        <v>202205</v>
      </c>
      <c r="B7123" s="6">
        <v>44697</v>
      </c>
      <c r="C7123" t="s">
        <v>2262</v>
      </c>
      <c r="D7123" t="s">
        <v>1356</v>
      </c>
      <c r="E7123">
        <f t="shared" si="5"/>
        <v>47.84</v>
      </c>
      <c r="F7123" s="2" t="str">
        <f>IF(Table2[[#This Row],[Manual Cat Value]]="",VLOOKUP(Table2[[#This Row],[Description]],'Actuals Lookup'!D:F,3,0),Table2[[#This Row],[Manual Cat Value]])</f>
        <v>Restaurants</v>
      </c>
      <c r="G7123" t="str">
        <f>VLOOKUP(D7123,Lookup!G:H,2,0)</f>
        <v>Restaurants</v>
      </c>
      <c r="J7123">
        <v>47.84</v>
      </c>
      <c r="K7123" s="6"/>
      <c r="L7123" s="6"/>
      <c r="M7123" t="s">
        <v>2513</v>
      </c>
      <c r="O7123" t="str">
        <f>LEFT(Table2[[#This Row],[Description]],75)</f>
        <v>North Coop</v>
      </c>
    </row>
    <row r="7124" spans="1:15" hidden="1">
      <c r="A7124" s="25">
        <f t="shared" si="4"/>
        <v>202205</v>
      </c>
      <c r="B7124" s="6">
        <v>44697</v>
      </c>
      <c r="C7124" t="s">
        <v>2262</v>
      </c>
      <c r="D7124" t="s">
        <v>1700</v>
      </c>
      <c r="E7124">
        <f t="shared" si="5"/>
        <v>203.96</v>
      </c>
      <c r="F7124" s="2" t="e">
        <f>IF(Table2[[#This Row],[Manual Cat Value]]="",VLOOKUP(Table2[[#This Row],[Description]],'Actuals Lookup'!D:F,3,0),Table2[[#This Row],[Manual Cat Value]])</f>
        <v>#N/A</v>
      </c>
      <c r="G7124" t="str">
        <f>VLOOKUP(D7124,Lookup!G:H,2,0)</f>
        <v>Restaurants</v>
      </c>
      <c r="J7124">
        <v>203.96</v>
      </c>
      <c r="K7124" s="6"/>
      <c r="L7124" s="6"/>
      <c r="M7124" t="s">
        <v>2513</v>
      </c>
      <c r="O7124" t="str">
        <f>LEFT(Table2[[#This Row],[Description]],75)</f>
        <v>SP SENDJOESKCBBQ SENDJOESBARBQKS SP SENDJOESKCBBQ SENDJOESBARBQKS</v>
      </c>
    </row>
    <row r="7125" spans="1:15" hidden="1">
      <c r="A7125" s="25">
        <f t="shared" si="4"/>
        <v>202205</v>
      </c>
      <c r="B7125" s="6">
        <v>44697</v>
      </c>
      <c r="C7125" t="s">
        <v>2262</v>
      </c>
      <c r="D7125" t="s">
        <v>1707</v>
      </c>
      <c r="E7125">
        <f t="shared" si="5"/>
        <v>63.19</v>
      </c>
      <c r="F7125" s="2" t="str">
        <f>IF(Table2[[#This Row],[Manual Cat Value]]="",VLOOKUP(Table2[[#This Row],[Description]],'Actuals Lookup'!D:F,3,0),Table2[[#This Row],[Manual Cat Value]])</f>
        <v>Transportation</v>
      </c>
      <c r="G7125" t="str">
        <f>VLOOKUP(D7125,Lookup!G:H,2,0)</f>
        <v>Transportation</v>
      </c>
      <c r="J7125">
        <v>63.19</v>
      </c>
      <c r="K7125" s="6"/>
      <c r="L7125" s="6"/>
      <c r="M7125" t="s">
        <v>2513</v>
      </c>
      <c r="O7125" t="str">
        <f>LEFT(Table2[[#This Row],[Description]],75)</f>
        <v>Speedway</v>
      </c>
    </row>
    <row r="7126" spans="1:15" hidden="1">
      <c r="A7126" s="25">
        <f t="shared" si="4"/>
        <v>202205</v>
      </c>
      <c r="B7126" s="6">
        <v>44697</v>
      </c>
      <c r="C7126" t="s">
        <v>2262</v>
      </c>
      <c r="D7126" t="s">
        <v>1930</v>
      </c>
      <c r="E7126">
        <f t="shared" si="5"/>
        <v>19.899999999999999</v>
      </c>
      <c r="F7126" s="2" t="e">
        <f>IF(Table2[[#This Row],[Manual Cat Value]]="",VLOOKUP(Table2[[#This Row],[Description]],'Actuals Lookup'!D:F,3,0),Table2[[#This Row],[Manual Cat Value]])</f>
        <v>#N/A</v>
      </c>
      <c r="G7126" t="str">
        <f>VLOOKUP(D7126,Lookup!G:H,2,0)</f>
        <v>Groceries</v>
      </c>
      <c r="J7126">
        <v>19.899999999999999</v>
      </c>
      <c r="K7126" s="6"/>
      <c r="L7126" s="6"/>
      <c r="M7126" t="s">
        <v>2513</v>
      </c>
      <c r="O7126" t="str">
        <f>LEFT(Table2[[#This Row],[Description]],75)</f>
        <v>Trader Joes</v>
      </c>
    </row>
    <row r="7127" spans="1:15" hidden="1">
      <c r="A7127" s="25">
        <f t="shared" si="4"/>
        <v>202205</v>
      </c>
      <c r="B7127" s="6">
        <v>44697</v>
      </c>
      <c r="C7127" t="s">
        <v>2262</v>
      </c>
      <c r="D7127" t="s">
        <v>1930</v>
      </c>
      <c r="E7127">
        <f t="shared" si="5"/>
        <v>18.68</v>
      </c>
      <c r="F7127" s="2" t="e">
        <f>IF(Table2[[#This Row],[Manual Cat Value]]="",VLOOKUP(Table2[[#This Row],[Description]],'Actuals Lookup'!D:F,3,0),Table2[[#This Row],[Manual Cat Value]])</f>
        <v>#N/A</v>
      </c>
      <c r="G7127" t="str">
        <f>VLOOKUP(D7127,Lookup!G:H,2,0)</f>
        <v>Groceries</v>
      </c>
      <c r="J7127">
        <v>18.68</v>
      </c>
      <c r="K7127" s="6"/>
      <c r="L7127" s="6"/>
      <c r="M7127" t="s">
        <v>2513</v>
      </c>
      <c r="O7127" t="str">
        <f>LEFT(Table2[[#This Row],[Description]],75)</f>
        <v>Trader Joes</v>
      </c>
    </row>
    <row r="7128" spans="1:15" hidden="1">
      <c r="A7128" s="25">
        <f t="shared" si="4"/>
        <v>202205</v>
      </c>
      <c r="B7128" s="6">
        <v>44697</v>
      </c>
      <c r="C7128" t="s">
        <v>2265</v>
      </c>
      <c r="D7128" t="s">
        <v>1955</v>
      </c>
      <c r="E7128">
        <f t="shared" si="5"/>
        <v>34.51</v>
      </c>
      <c r="F7128" s="2" t="str">
        <f>IF(Table2[[#This Row],[Manual Cat Value]]="",VLOOKUP(Table2[[#This Row],[Description]],'Actuals Lookup'!D:F,3,0),Table2[[#This Row],[Manual Cat Value]])</f>
        <v>Shopping</v>
      </c>
      <c r="G7128" t="str">
        <f>VLOOKUP(D7128,Lookup!G:H,2,0)</f>
        <v>Shopping</v>
      </c>
      <c r="J7128">
        <v>34.51</v>
      </c>
      <c r="K7128" s="6"/>
      <c r="L7128" s="6"/>
      <c r="M7128" t="s">
        <v>2513</v>
      </c>
      <c r="O7128" t="str">
        <f>LEFT(Table2[[#This Row],[Description]],75)</f>
        <v>Transfer to PayPal</v>
      </c>
    </row>
    <row r="7129" spans="1:15" hidden="1">
      <c r="A7129" s="25">
        <f t="shared" si="4"/>
        <v>202205</v>
      </c>
      <c r="B7129" s="6">
        <v>44698</v>
      </c>
      <c r="C7129" t="s">
        <v>2262</v>
      </c>
      <c r="D7129" t="s">
        <v>689</v>
      </c>
      <c r="E7129">
        <f t="shared" si="5"/>
        <v>6.74</v>
      </c>
      <c r="F7129" s="2" t="e">
        <f>IF(Table2[[#This Row],[Manual Cat Value]]="",VLOOKUP(Table2[[#This Row],[Description]],'Actuals Lookup'!D:F,3,0),Table2[[#This Row],[Manual Cat Value]])</f>
        <v>#N/A</v>
      </c>
      <c r="G7129" t="str">
        <f>VLOOKUP(D7129,Lookup!G:H,2,0)</f>
        <v>Restaurants</v>
      </c>
      <c r="J7129">
        <v>6.74</v>
      </c>
      <c r="K7129" s="6"/>
      <c r="L7129" s="6"/>
      <c r="M7129" t="s">
        <v>2513</v>
      </c>
      <c r="O7129" t="str">
        <f>LEFT(Table2[[#This Row],[Description]],75)</f>
        <v>Culvers</v>
      </c>
    </row>
    <row r="7130" spans="1:15" hidden="1">
      <c r="A7130" s="25">
        <f t="shared" si="4"/>
        <v>202205</v>
      </c>
      <c r="B7130" s="6">
        <v>44698</v>
      </c>
      <c r="C7130" t="s">
        <v>2265</v>
      </c>
      <c r="D7130" t="s">
        <v>1195</v>
      </c>
      <c r="E7130">
        <f t="shared" si="5"/>
        <v>536.29999999999995</v>
      </c>
      <c r="F7130" s="2" t="e">
        <f>IF(Table2[[#This Row],[Manual Cat Value]]="",VLOOKUP(Table2[[#This Row],[Description]],'Actuals Lookup'!D:F,3,0),Table2[[#This Row],[Manual Cat Value]])</f>
        <v>#N/A</v>
      </c>
      <c r="G7130" t="str">
        <f>VLOOKUP(D7130,Lookup!G:H,2,0)</f>
        <v>Day Care</v>
      </c>
      <c r="J7130">
        <v>536.29999999999995</v>
      </c>
      <c r="K7130" s="6"/>
      <c r="L7130" s="6"/>
      <c r="M7130" t="s">
        <v>2513</v>
      </c>
      <c r="O7130" t="str">
        <f>LEFT(Table2[[#This Row],[Description]],75)</f>
        <v>MHCHILDCARELLC TYPE DUES ID CO M</v>
      </c>
    </row>
    <row r="7131" spans="1:15" hidden="1">
      <c r="A7131" s="25">
        <f t="shared" si="4"/>
        <v>202205</v>
      </c>
      <c r="B7131" s="6">
        <v>44698</v>
      </c>
      <c r="C7131" t="s">
        <v>2262</v>
      </c>
      <c r="D7131" t="s">
        <v>1918</v>
      </c>
      <c r="E7131">
        <f t="shared" si="5"/>
        <v>-451.58</v>
      </c>
      <c r="F7131" s="2" t="e">
        <f>IF(Table2[[#This Row],[Manual Cat Value]]="",VLOOKUP(Table2[[#This Row],[Description]],'Actuals Lookup'!D:F,3,0),Table2[[#This Row],[Manual Cat Value]])</f>
        <v>#N/A</v>
      </c>
      <c r="G7131" t="str">
        <f>VLOOKUP(D7131,Lookup!G:H,2,0)</f>
        <v>shopping</v>
      </c>
      <c r="J7131">
        <v>451.58</v>
      </c>
      <c r="K7131" s="6"/>
      <c r="L7131" s="6"/>
      <c r="M7131" t="s">
        <v>2621</v>
      </c>
      <c r="O7131" t="str">
        <f>LEFT(Table2[[#This Row],[Description]],75)</f>
        <v>TONKADALE GREENHOUSE MINNETONKA</v>
      </c>
    </row>
    <row r="7132" spans="1:15" hidden="1">
      <c r="A7132" s="25">
        <f t="shared" si="4"/>
        <v>202205</v>
      </c>
      <c r="B7132" s="6">
        <v>44699</v>
      </c>
      <c r="C7132" t="s">
        <v>2447</v>
      </c>
      <c r="D7132" t="s">
        <v>544</v>
      </c>
      <c r="E7132">
        <f t="shared" si="5"/>
        <v>-4.72</v>
      </c>
      <c r="F7132" s="2" t="e">
        <f>IF(Table2[[#This Row],[Manual Cat Value]]="",VLOOKUP(Table2[[#This Row],[Description]],'Actuals Lookup'!D:F,3,0),Table2[[#This Row],[Manual Cat Value]])</f>
        <v>#N/A</v>
      </c>
      <c r="G7132" t="str">
        <f>VLOOKUP(D7132,Lookup!G:H,2,0)</f>
        <v>Restaurants</v>
      </c>
      <c r="J7132">
        <v>4.72</v>
      </c>
      <c r="K7132" s="6"/>
      <c r="L7132" s="6"/>
      <c r="M7132" t="s">
        <v>2621</v>
      </c>
      <c r="O7132" t="str">
        <f>LEFT(Table2[[#This Row],[Description]],75)</f>
        <v>CHIPOTLE 0431 CHANHASSEN MN</v>
      </c>
    </row>
    <row r="7133" spans="1:15" hidden="1">
      <c r="A7133" s="25">
        <f t="shared" ref="A7133:A7164" si="6">VALUE(YEAR(B7133)&amp;TEXT(MONTH(B7133),"00"))</f>
        <v>202205</v>
      </c>
      <c r="B7133" s="6">
        <v>44699</v>
      </c>
      <c r="C7133" t="s">
        <v>2262</v>
      </c>
      <c r="D7133" t="s">
        <v>684</v>
      </c>
      <c r="E7133">
        <f t="shared" ref="E7133:E7164" si="7">IF(M7133="credit",-1*J7133,J7133)</f>
        <v>28.76</v>
      </c>
      <c r="F7133" s="2" t="str">
        <f>IF(Table2[[#This Row],[Manual Cat Value]]="",VLOOKUP(Table2[[#This Row],[Description]],'Actuals Lookup'!D:F,3,0),Table2[[#This Row],[Manual Cat Value]])</f>
        <v>Groceries</v>
      </c>
      <c r="G7133" t="str">
        <f>VLOOKUP(D7133,Lookup!G:H,2,0)</f>
        <v>Groceries</v>
      </c>
      <c r="J7133">
        <v>28.76</v>
      </c>
      <c r="K7133" s="6"/>
      <c r="L7133" s="6"/>
      <c r="M7133" t="s">
        <v>2513</v>
      </c>
      <c r="O7133" t="str">
        <f>LEFT(Table2[[#This Row],[Description]],75)</f>
        <v>Cub Foods</v>
      </c>
    </row>
    <row r="7134" spans="1:15" hidden="1">
      <c r="A7134" s="25">
        <f t="shared" si="6"/>
        <v>202205</v>
      </c>
      <c r="B7134" s="6">
        <v>44699</v>
      </c>
      <c r="C7134" t="s">
        <v>2262</v>
      </c>
      <c r="D7134" t="s">
        <v>703</v>
      </c>
      <c r="E7134">
        <f t="shared" si="7"/>
        <v>392.2</v>
      </c>
      <c r="F7134" s="2" t="str">
        <f>IF(Table2[[#This Row],[Manual Cat Value]]="",VLOOKUP(Table2[[#This Row],[Description]],'Actuals Lookup'!D:F,3,0),Table2[[#This Row],[Manual Cat Value]])</f>
        <v>Delete</v>
      </c>
      <c r="G7134" t="str">
        <f>VLOOKUP(D7134,Lookup!G:H,2,0)</f>
        <v>Travel</v>
      </c>
      <c r="J7134">
        <v>392.2</v>
      </c>
      <c r="K7134" s="6"/>
      <c r="L7134" s="6"/>
      <c r="M7134" t="s">
        <v>2513</v>
      </c>
      <c r="O7134" t="str">
        <f>LEFT(Table2[[#This Row],[Description]],75)</f>
        <v>Delta Air Lines</v>
      </c>
    </row>
    <row r="7135" spans="1:15" hidden="1">
      <c r="A7135" s="25">
        <f t="shared" si="6"/>
        <v>202205</v>
      </c>
      <c r="B7135" s="6">
        <v>44699</v>
      </c>
      <c r="C7135" t="s">
        <v>2262</v>
      </c>
      <c r="D7135" t="s">
        <v>703</v>
      </c>
      <c r="E7135">
        <f t="shared" si="7"/>
        <v>392.2</v>
      </c>
      <c r="F7135" s="2" t="str">
        <f>IF(Table2[[#This Row],[Manual Cat Value]]="",VLOOKUP(Table2[[#This Row],[Description]],'Actuals Lookup'!D:F,3,0),Table2[[#This Row],[Manual Cat Value]])</f>
        <v>Delete</v>
      </c>
      <c r="G7135" t="str">
        <f>VLOOKUP(D7135,Lookup!G:H,2,0)</f>
        <v>Travel</v>
      </c>
      <c r="J7135">
        <v>392.2</v>
      </c>
      <c r="K7135" s="6"/>
      <c r="L7135" s="6"/>
      <c r="M7135" t="s">
        <v>2513</v>
      </c>
      <c r="O7135" t="str">
        <f>LEFT(Table2[[#This Row],[Description]],75)</f>
        <v>Delta Air Lines</v>
      </c>
    </row>
    <row r="7136" spans="1:15" hidden="1">
      <c r="A7136" s="25">
        <f t="shared" si="6"/>
        <v>202205</v>
      </c>
      <c r="B7136" s="6">
        <v>44699</v>
      </c>
      <c r="C7136" t="s">
        <v>2262</v>
      </c>
      <c r="D7136" t="s">
        <v>703</v>
      </c>
      <c r="E7136">
        <f t="shared" si="7"/>
        <v>307.2</v>
      </c>
      <c r="F7136" s="2" t="str">
        <f>IF(Table2[[#This Row],[Manual Cat Value]]="",VLOOKUP(Table2[[#This Row],[Description]],'Actuals Lookup'!D:F,3,0),Table2[[#This Row],[Manual Cat Value]])</f>
        <v>Delete</v>
      </c>
      <c r="G7136" t="str">
        <f>VLOOKUP(D7136,Lookup!G:H,2,0)</f>
        <v>Travel</v>
      </c>
      <c r="J7136">
        <v>307.2</v>
      </c>
      <c r="K7136" s="6"/>
      <c r="L7136" s="6"/>
      <c r="M7136" t="s">
        <v>2513</v>
      </c>
      <c r="O7136" t="str">
        <f>LEFT(Table2[[#This Row],[Description]],75)</f>
        <v>Delta Air Lines</v>
      </c>
    </row>
    <row r="7137" spans="1:15" hidden="1">
      <c r="A7137" s="25">
        <f t="shared" si="6"/>
        <v>202205</v>
      </c>
      <c r="B7137" s="6">
        <v>44699</v>
      </c>
      <c r="C7137" t="s">
        <v>2265</v>
      </c>
      <c r="D7137" t="s">
        <v>1286</v>
      </c>
      <c r="E7137">
        <f t="shared" si="7"/>
        <v>200</v>
      </c>
      <c r="F7137" s="2" t="e">
        <f>IF(Table2[[#This Row],[Manual Cat Value]]="",VLOOKUP(Table2[[#This Row],[Description]],'Actuals Lookup'!D:F,3,0),Table2[[#This Row],[Manual Cat Value]])</f>
        <v>#N/A</v>
      </c>
      <c r="G7137" t="str">
        <f>VLOOKUP(D7137,Lookup!G:H,2,0)</f>
        <v>Delete</v>
      </c>
      <c r="J7137">
        <v>200</v>
      </c>
      <c r="K7137" s="6"/>
      <c r="L7137" s="6"/>
      <c r="M7137" t="s">
        <v>2513</v>
      </c>
      <c r="O7137" t="str">
        <f>LEFT(Table2[[#This Row],[Description]],75)</f>
        <v>MN DIR ACH TYPE CONTRIB ID CO MN</v>
      </c>
    </row>
    <row r="7138" spans="1:15" hidden="1">
      <c r="A7138" s="25">
        <f t="shared" si="6"/>
        <v>202205</v>
      </c>
      <c r="B7138" s="6">
        <v>44699</v>
      </c>
      <c r="C7138" t="s">
        <v>2262</v>
      </c>
      <c r="D7138" t="s">
        <v>1511</v>
      </c>
      <c r="E7138">
        <f t="shared" si="7"/>
        <v>119.98</v>
      </c>
      <c r="F7138" s="2" t="e">
        <f>IF(Table2[[#This Row],[Manual Cat Value]]="",VLOOKUP(Table2[[#This Row],[Description]],'Actuals Lookup'!D:F,3,0),Table2[[#This Row],[Manual Cat Value]])</f>
        <v>#N/A</v>
      </c>
      <c r="G7138" t="str">
        <f>VLOOKUP(D7138,Lookup!G:H,2,0)</f>
        <v>Healthcare</v>
      </c>
      <c r="J7138">
        <v>119.98</v>
      </c>
      <c r="K7138" s="6"/>
      <c r="L7138" s="6"/>
      <c r="M7138" t="s">
        <v>2513</v>
      </c>
      <c r="O7138" t="str">
        <f>LEFT(Table2[[#This Row],[Description]],75)</f>
        <v>PRESCHOOL SMILES XX1827 MN</v>
      </c>
    </row>
    <row r="7139" spans="1:15" hidden="1">
      <c r="A7139" s="25">
        <f t="shared" si="6"/>
        <v>202205</v>
      </c>
      <c r="B7139" s="6">
        <v>44699</v>
      </c>
      <c r="C7139" t="s">
        <v>2262</v>
      </c>
      <c r="D7139" t="s">
        <v>1782</v>
      </c>
      <c r="E7139">
        <f t="shared" si="7"/>
        <v>20</v>
      </c>
      <c r="F7139" s="2" t="e">
        <f>IF(Table2[[#This Row],[Manual Cat Value]]="",VLOOKUP(Table2[[#This Row],[Description]],'Actuals Lookup'!D:F,3,0),Table2[[#This Row],[Manual Cat Value]])</f>
        <v>#N/A</v>
      </c>
      <c r="G7139" t="str">
        <f>VLOOKUP(D7139,Lookup!G:H,2,0)</f>
        <v>Shopping</v>
      </c>
      <c r="J7139">
        <v>20</v>
      </c>
      <c r="K7139" s="6"/>
      <c r="L7139" s="6"/>
      <c r="M7139" t="s">
        <v>2513</v>
      </c>
      <c r="O7139" t="str">
        <f>LEFT(Table2[[#This Row],[Description]],75)</f>
        <v>Stitch Fix</v>
      </c>
    </row>
    <row r="7140" spans="1:15" hidden="1">
      <c r="A7140" s="25">
        <f t="shared" si="6"/>
        <v>202205</v>
      </c>
      <c r="B7140" s="6">
        <v>44700</v>
      </c>
      <c r="C7140" t="s">
        <v>2262</v>
      </c>
      <c r="D7140" t="s">
        <v>149</v>
      </c>
      <c r="E7140">
        <f t="shared" si="7"/>
        <v>32.1</v>
      </c>
      <c r="F7140" s="2" t="e">
        <f>IF(Table2[[#This Row],[Manual Cat Value]]="",VLOOKUP(Table2[[#This Row],[Description]],'Actuals Lookup'!D:F,3,0),Table2[[#This Row],[Manual Cat Value]])</f>
        <v>#N/A</v>
      </c>
      <c r="G7140" t="str">
        <f>VLOOKUP(D7140,Lookup!G:H,2,0)</f>
        <v>Amazon</v>
      </c>
      <c r="J7140">
        <v>32.1</v>
      </c>
      <c r="K7140" s="6"/>
      <c r="L7140" s="6"/>
      <c r="M7140" t="s">
        <v>2513</v>
      </c>
      <c r="O7140" t="str">
        <f>LEFT(Table2[[#This Row],[Description]],75)</f>
        <v>AMZN Mktp US1L7WN0DG2 Amzncombil</v>
      </c>
    </row>
    <row r="7141" spans="1:15" hidden="1">
      <c r="A7141" s="25">
        <f t="shared" si="6"/>
        <v>202205</v>
      </c>
      <c r="B7141" s="6">
        <v>44700</v>
      </c>
      <c r="C7141" t="s">
        <v>2262</v>
      </c>
      <c r="D7141" t="s">
        <v>1782</v>
      </c>
      <c r="E7141">
        <f t="shared" si="7"/>
        <v>20</v>
      </c>
      <c r="F7141" s="2" t="e">
        <f>IF(Table2[[#This Row],[Manual Cat Value]]="",VLOOKUP(Table2[[#This Row],[Description]],'Actuals Lookup'!D:F,3,0),Table2[[#This Row],[Manual Cat Value]])</f>
        <v>#N/A</v>
      </c>
      <c r="G7141" t="str">
        <f>VLOOKUP(D7141,Lookup!G:H,2,0)</f>
        <v>Shopping</v>
      </c>
      <c r="J7141">
        <v>20</v>
      </c>
      <c r="K7141" s="6"/>
      <c r="L7141" s="6"/>
      <c r="M7141" t="s">
        <v>2513</v>
      </c>
      <c r="O7141" t="str">
        <f>LEFT(Table2[[#This Row],[Description]],75)</f>
        <v>Stitch Fix</v>
      </c>
    </row>
    <row r="7142" spans="1:15" hidden="1">
      <c r="A7142" s="25">
        <f t="shared" si="6"/>
        <v>202205</v>
      </c>
      <c r="B7142" s="6">
        <v>44701</v>
      </c>
      <c r="C7142" t="s">
        <v>2262</v>
      </c>
      <c r="D7142" t="s">
        <v>1727</v>
      </c>
      <c r="E7142">
        <f t="shared" si="7"/>
        <v>83.9</v>
      </c>
      <c r="F7142" s="2" t="e">
        <f>IF(Table2[[#This Row],[Manual Cat Value]]="",VLOOKUP(Table2[[#This Row],[Description]],'Actuals Lookup'!D:F,3,0),Table2[[#This Row],[Manual Cat Value]])</f>
        <v>#N/A</v>
      </c>
      <c r="G7142" t="str">
        <f>VLOOKUP(D7142,Lookup!G:H,2,0)</f>
        <v>Restaurants</v>
      </c>
      <c r="J7142">
        <v>83.9</v>
      </c>
      <c r="K7142" s="6"/>
      <c r="L7142" s="6"/>
      <c r="M7142" t="s">
        <v>2513</v>
      </c>
      <c r="O7142" t="str">
        <f>LEFT(Table2[[#This Row],[Description]],75)</f>
        <v>SQ ENKI EVENTS Victoria MN</v>
      </c>
    </row>
    <row r="7143" spans="1:15" hidden="1">
      <c r="A7143" s="25">
        <f t="shared" si="6"/>
        <v>202205</v>
      </c>
      <c r="B7143" s="6">
        <v>44701</v>
      </c>
      <c r="C7143" t="s">
        <v>2265</v>
      </c>
      <c r="D7143" t="s">
        <v>1958</v>
      </c>
      <c r="E7143">
        <f t="shared" si="7"/>
        <v>125</v>
      </c>
      <c r="F7143" s="2" t="str">
        <f>IF(Table2[[#This Row],[Manual Cat Value]]="",VLOOKUP(Table2[[#This Row],[Description]],'Actuals Lookup'!D:F,3,0),Table2[[#This Row],[Manual Cat Value]])</f>
        <v>Shopping</v>
      </c>
      <c r="G7143" t="str">
        <f>VLOOKUP(D7143,Lookup!G:H,2,0)</f>
        <v>Travel</v>
      </c>
      <c r="J7143">
        <v>125</v>
      </c>
      <c r="K7143" s="6"/>
      <c r="L7143" s="6"/>
      <c r="M7143" t="s">
        <v>2513</v>
      </c>
      <c r="O7143" t="str">
        <f>LEFT(Table2[[#This Row],[Description]],75)</f>
        <v>Transfer to Venmo</v>
      </c>
    </row>
    <row r="7144" spans="1:15" hidden="1">
      <c r="A7144" s="25">
        <f t="shared" si="6"/>
        <v>202205</v>
      </c>
      <c r="B7144" s="6">
        <v>44702</v>
      </c>
      <c r="C7144" t="s">
        <v>2265</v>
      </c>
      <c r="D7144" t="s">
        <v>86</v>
      </c>
      <c r="E7144">
        <f t="shared" si="7"/>
        <v>82.95</v>
      </c>
      <c r="F7144" s="2" t="e">
        <f>IF(Table2[[#This Row],[Manual Cat Value]]="",VLOOKUP(Table2[[#This Row],[Description]],'Actuals Lookup'!D:F,3,0),Table2[[#This Row],[Manual Cat Value]])</f>
        <v>#N/A</v>
      </c>
      <c r="G7144" t="str">
        <f>VLOOKUP(D7144,Lookup!G:H,2,0)</f>
        <v>delete</v>
      </c>
      <c r="J7144">
        <v>82.95</v>
      </c>
      <c r="K7144" s="6"/>
      <c r="L7144" s="6"/>
      <c r="M7144" t="s">
        <v>2513</v>
      </c>
      <c r="O7144" t="str">
        <f>LEFT(Table2[[#This Row],[Description]],75)</f>
        <v>70 RIVER VALLEYK270632 103 E CED</v>
      </c>
    </row>
    <row r="7145" spans="1:15" hidden="1">
      <c r="A7145" s="25">
        <f t="shared" si="6"/>
        <v>202205</v>
      </c>
      <c r="B7145" s="6">
        <v>44703</v>
      </c>
      <c r="C7145" t="s">
        <v>2262</v>
      </c>
      <c r="D7145" t="s">
        <v>146</v>
      </c>
      <c r="E7145">
        <f t="shared" si="7"/>
        <v>22.5</v>
      </c>
      <c r="F7145" s="2" t="e">
        <f>IF(Table2[[#This Row],[Manual Cat Value]]="",VLOOKUP(Table2[[#This Row],[Description]],'Actuals Lookup'!D:F,3,0),Table2[[#This Row],[Manual Cat Value]])</f>
        <v>#N/A</v>
      </c>
      <c r="G7145" t="str">
        <f>VLOOKUP(D7145,Lookup!G:H,2,0)</f>
        <v>Amazon</v>
      </c>
      <c r="J7145">
        <v>22.5</v>
      </c>
      <c r="K7145" s="6"/>
      <c r="L7145" s="6"/>
      <c r="M7145" t="s">
        <v>2513</v>
      </c>
      <c r="O7145" t="str">
        <f>LEFT(Table2[[#This Row],[Description]],75)</f>
        <v>AMZN Mktp US1L5BO0W00 Amzncombil</v>
      </c>
    </row>
    <row r="7146" spans="1:15" hidden="1">
      <c r="A7146" s="25">
        <f t="shared" si="6"/>
        <v>202205</v>
      </c>
      <c r="B7146" s="6">
        <v>44703</v>
      </c>
      <c r="C7146" t="s">
        <v>2262</v>
      </c>
      <c r="D7146" t="s">
        <v>309</v>
      </c>
      <c r="E7146">
        <f t="shared" si="7"/>
        <v>9</v>
      </c>
      <c r="F7146" s="2" t="e">
        <f>IF(Table2[[#This Row],[Manual Cat Value]]="",VLOOKUP(Table2[[#This Row],[Description]],'Actuals Lookup'!D:F,3,0),Table2[[#This Row],[Manual Cat Value]])</f>
        <v>#N/A</v>
      </c>
      <c r="G7146" t="str">
        <f>VLOOKUP(D7146,Lookup!G:H,2,0)</f>
        <v>House Maintenance</v>
      </c>
      <c r="J7146">
        <v>9</v>
      </c>
      <c r="K7146" s="6"/>
      <c r="L7146" s="6"/>
      <c r="M7146" t="s">
        <v>2513</v>
      </c>
      <c r="O7146" t="str">
        <f>LEFT(Table2[[#This Row],[Description]],75)</f>
        <v>BONFES PLUMBING HEATING ASOUTH S</v>
      </c>
    </row>
    <row r="7147" spans="1:15" hidden="1">
      <c r="A7147" s="25">
        <f t="shared" si="6"/>
        <v>202205</v>
      </c>
      <c r="B7147" s="6">
        <v>44703</v>
      </c>
      <c r="C7147" t="s">
        <v>2262</v>
      </c>
      <c r="D7147" t="s">
        <v>457</v>
      </c>
      <c r="E7147">
        <f t="shared" si="7"/>
        <v>7.39</v>
      </c>
      <c r="F7147" s="2" t="e">
        <f>IF(Table2[[#This Row],[Manual Cat Value]]="",VLOOKUP(Table2[[#This Row],[Description]],'Actuals Lookup'!D:F,3,0),Table2[[#This Row],[Manual Cat Value]])</f>
        <v>#N/A</v>
      </c>
      <c r="G7147" t="str">
        <f>VLOOKUP(D7147,Lookup!G:H,2,0)</f>
        <v>Transportation</v>
      </c>
      <c r="J7147">
        <v>7.39</v>
      </c>
      <c r="K7147" s="6"/>
      <c r="L7147" s="6"/>
      <c r="M7147" t="s">
        <v>2513</v>
      </c>
      <c r="O7147" t="str">
        <f>LEFT(Table2[[#This Row],[Description]],75)</f>
        <v>Caseys General Stores</v>
      </c>
    </row>
    <row r="7148" spans="1:15" hidden="1">
      <c r="A7148" s="25">
        <f t="shared" si="6"/>
        <v>202205</v>
      </c>
      <c r="B7148" s="6">
        <v>44703</v>
      </c>
      <c r="C7148" t="s">
        <v>2262</v>
      </c>
      <c r="D7148" t="s">
        <v>457</v>
      </c>
      <c r="E7148">
        <f t="shared" si="7"/>
        <v>55.28</v>
      </c>
      <c r="F7148" s="2" t="e">
        <f>IF(Table2[[#This Row],[Manual Cat Value]]="",VLOOKUP(Table2[[#This Row],[Description]],'Actuals Lookup'!D:F,3,0),Table2[[#This Row],[Manual Cat Value]])</f>
        <v>#N/A</v>
      </c>
      <c r="G7148" t="str">
        <f>VLOOKUP(D7148,Lookup!G:H,2,0)</f>
        <v>Transportation</v>
      </c>
      <c r="J7148">
        <v>55.28</v>
      </c>
      <c r="K7148" s="6"/>
      <c r="L7148" s="6"/>
      <c r="M7148" t="s">
        <v>2513</v>
      </c>
      <c r="O7148" t="str">
        <f>LEFT(Table2[[#This Row],[Description]],75)</f>
        <v>Caseys General Stores</v>
      </c>
    </row>
    <row r="7149" spans="1:15" ht="30" hidden="1">
      <c r="A7149" s="25">
        <f t="shared" si="6"/>
        <v>202205</v>
      </c>
      <c r="B7149" s="6">
        <v>44703</v>
      </c>
      <c r="C7149" t="s">
        <v>2447</v>
      </c>
      <c r="D7149" s="7" t="s">
        <v>1351</v>
      </c>
      <c r="E7149">
        <f t="shared" si="7"/>
        <v>15.49</v>
      </c>
      <c r="F7149" s="2" t="e">
        <f>IF(Table2[[#This Row],[Manual Cat Value]]="",VLOOKUP(Table2[[#This Row],[Description]],'Actuals Lookup'!D:F,3,0),Table2[[#This Row],[Manual Cat Value]])</f>
        <v>#N/A</v>
      </c>
      <c r="G7149" t="str">
        <f>VLOOKUP(D7149,Lookup!G:H,2,0)</f>
        <v>Entertainment</v>
      </c>
      <c r="J7149">
        <v>15.49</v>
      </c>
      <c r="K7149" s="6"/>
      <c r="L7149" s="6"/>
      <c r="M7149" t="s">
        <v>2513</v>
      </c>
      <c r="O7149" t="str">
        <f>LEFT(Table2[[#This Row],[Description]],75)</f>
        <v>NETFLIX.COM NETFLIX.COM CA
NETFLIX.COM</v>
      </c>
    </row>
    <row r="7150" spans="1:15" hidden="1">
      <c r="A7150" s="25">
        <f t="shared" si="6"/>
        <v>202205</v>
      </c>
      <c r="B7150" s="6">
        <v>44703</v>
      </c>
      <c r="C7150" t="s">
        <v>2262</v>
      </c>
      <c r="D7150" t="s">
        <v>1510</v>
      </c>
      <c r="E7150">
        <f t="shared" si="7"/>
        <v>-39.979999999999997</v>
      </c>
      <c r="F7150" s="2" t="e">
        <f>IF(Table2[[#This Row],[Manual Cat Value]]="",VLOOKUP(Table2[[#This Row],[Description]],'Actuals Lookup'!D:F,3,0),Table2[[#This Row],[Manual Cat Value]])</f>
        <v>#N/A</v>
      </c>
      <c r="G7150" t="str">
        <f>VLOOKUP(D7150,Lookup!G:H,2,0)</f>
        <v>Healthcare</v>
      </c>
      <c r="J7150">
        <v>39.979999999999997</v>
      </c>
      <c r="K7150" s="6"/>
      <c r="L7150" s="6"/>
      <c r="M7150" t="s">
        <v>2621</v>
      </c>
      <c r="O7150" t="str">
        <f>LEFT(Table2[[#This Row],[Description]],75)</f>
        <v>PRESCHOOL SMILES 1XX8276MN</v>
      </c>
    </row>
    <row r="7151" spans="1:15" hidden="1">
      <c r="A7151" s="25">
        <f t="shared" si="6"/>
        <v>202205</v>
      </c>
      <c r="B7151" s="6">
        <v>44703</v>
      </c>
      <c r="C7151" t="s">
        <v>2262</v>
      </c>
      <c r="D7151" t="s">
        <v>1510</v>
      </c>
      <c r="E7151">
        <f t="shared" si="7"/>
        <v>-11.99</v>
      </c>
      <c r="F7151" s="2" t="e">
        <f>IF(Table2[[#This Row],[Manual Cat Value]]="",VLOOKUP(Table2[[#This Row],[Description]],'Actuals Lookup'!D:F,3,0),Table2[[#This Row],[Manual Cat Value]])</f>
        <v>#N/A</v>
      </c>
      <c r="G7151" t="str">
        <f>VLOOKUP(D7151,Lookup!G:H,2,0)</f>
        <v>Healthcare</v>
      </c>
      <c r="J7151">
        <v>11.99</v>
      </c>
      <c r="K7151" s="6"/>
      <c r="L7151" s="6"/>
      <c r="M7151" t="s">
        <v>2621</v>
      </c>
      <c r="O7151" t="str">
        <f>LEFT(Table2[[#This Row],[Description]],75)</f>
        <v>PRESCHOOL SMILES 1XX8276MN</v>
      </c>
    </row>
    <row r="7152" spans="1:15" hidden="1">
      <c r="A7152" s="25">
        <f t="shared" si="6"/>
        <v>202205</v>
      </c>
      <c r="B7152" s="6">
        <v>44703</v>
      </c>
      <c r="C7152" t="s">
        <v>2262</v>
      </c>
      <c r="D7152" t="s">
        <v>1601</v>
      </c>
      <c r="E7152">
        <f t="shared" si="7"/>
        <v>61.37</v>
      </c>
      <c r="F7152" s="2" t="e">
        <f>IF(Table2[[#This Row],[Manual Cat Value]]="",VLOOKUP(Table2[[#This Row],[Description]],'Actuals Lookup'!D:F,3,0),Table2[[#This Row],[Manual Cat Value]])</f>
        <v>#N/A</v>
      </c>
      <c r="G7152" t="str">
        <f>VLOOKUP(D7152,Lookup!G:H,2,0)</f>
        <v>shopping</v>
      </c>
      <c r="J7152">
        <v>61.37</v>
      </c>
      <c r="K7152" s="6"/>
      <c r="L7152" s="6"/>
      <c r="M7152" t="s">
        <v>2513</v>
      </c>
      <c r="O7152" t="str">
        <f>LEFT(Table2[[#This Row],[Description]],75)</f>
        <v>Root River Rod Co</v>
      </c>
    </row>
    <row r="7153" spans="1:15" hidden="1">
      <c r="A7153" s="25">
        <f t="shared" si="6"/>
        <v>202205</v>
      </c>
      <c r="B7153" s="6">
        <v>44703</v>
      </c>
      <c r="C7153" t="s">
        <v>2262</v>
      </c>
      <c r="D7153" t="s">
        <v>1621</v>
      </c>
      <c r="E7153">
        <f t="shared" si="7"/>
        <v>85.62</v>
      </c>
      <c r="F7153" s="2" t="str">
        <f>IF(Table2[[#This Row],[Manual Cat Value]]="",VLOOKUP(Table2[[#This Row],[Description]],'Actuals Lookup'!D:F,3,0),Table2[[#This Row],[Manual Cat Value]])</f>
        <v>Shopping</v>
      </c>
      <c r="G7153" t="str">
        <f>VLOOKUP(D7153,Lookup!G:H,2,0)</f>
        <v>shopping</v>
      </c>
      <c r="J7153">
        <v>85.62</v>
      </c>
      <c r="K7153" s="6"/>
      <c r="L7153" s="6"/>
      <c r="M7153" t="s">
        <v>2513</v>
      </c>
      <c r="O7153" t="str">
        <f>LEFT(Table2[[#This Row],[Description]],75)</f>
        <v>Scheels All Sports</v>
      </c>
    </row>
    <row r="7154" spans="1:15" hidden="1">
      <c r="A7154" s="25">
        <f t="shared" si="6"/>
        <v>202205</v>
      </c>
      <c r="B7154" s="6">
        <v>44703</v>
      </c>
      <c r="C7154" t="s">
        <v>2262</v>
      </c>
      <c r="D7154" t="s">
        <v>1628</v>
      </c>
      <c r="E7154">
        <f t="shared" si="7"/>
        <v>61.52</v>
      </c>
      <c r="F7154" s="2" t="e">
        <f>IF(Table2[[#This Row],[Manual Cat Value]]="",VLOOKUP(Table2[[#This Row],[Description]],'Actuals Lookup'!D:F,3,0),Table2[[#This Row],[Manual Cat Value]])</f>
        <v>#N/A</v>
      </c>
      <c r="G7154" t="str">
        <f>VLOOKUP(D7154,Lookup!G:H,2,0)</f>
        <v>misc</v>
      </c>
      <c r="J7154">
        <v>61.52</v>
      </c>
      <c r="K7154" s="6"/>
      <c r="L7154" s="6"/>
      <c r="M7154" t="s">
        <v>2513</v>
      </c>
      <c r="O7154" t="str">
        <f>LEFT(Table2[[#This Row],[Description]],75)</f>
        <v>Schoolkidzcom</v>
      </c>
    </row>
    <row r="7155" spans="1:15" hidden="1">
      <c r="A7155" s="25">
        <f t="shared" si="6"/>
        <v>202205</v>
      </c>
      <c r="B7155" s="6">
        <v>44703</v>
      </c>
      <c r="C7155" t="s">
        <v>2262</v>
      </c>
      <c r="D7155" t="s">
        <v>1814</v>
      </c>
      <c r="E7155">
        <f t="shared" si="7"/>
        <v>16.5</v>
      </c>
      <c r="F7155" s="2" t="e">
        <f>IF(Table2[[#This Row],[Manual Cat Value]]="",VLOOKUP(Table2[[#This Row],[Description]],'Actuals Lookup'!D:F,3,0),Table2[[#This Row],[Manual Cat Value]])</f>
        <v>#N/A</v>
      </c>
      <c r="G7155" t="str">
        <f>VLOOKUP(D7155,Lookup!G:H,2,0)</f>
        <v>Restaurants</v>
      </c>
      <c r="J7155">
        <v>16.5</v>
      </c>
      <c r="K7155" s="6"/>
      <c r="L7155" s="6"/>
      <c r="M7155" t="s">
        <v>2513</v>
      </c>
      <c r="O7155" t="str">
        <f>LEFT(Table2[[#This Row],[Description]],75)</f>
        <v>Taquera</v>
      </c>
    </row>
    <row r="7156" spans="1:15" hidden="1">
      <c r="A7156" s="25">
        <f t="shared" si="6"/>
        <v>202205</v>
      </c>
      <c r="B7156" s="6">
        <v>44703</v>
      </c>
      <c r="C7156" t="s">
        <v>2262</v>
      </c>
      <c r="D7156" t="s">
        <v>1920</v>
      </c>
      <c r="E7156">
        <f t="shared" si="7"/>
        <v>21.96</v>
      </c>
      <c r="F7156" s="2" t="e">
        <f>IF(Table2[[#This Row],[Manual Cat Value]]="",VLOOKUP(Table2[[#This Row],[Description]],'Actuals Lookup'!D:F,3,0),Table2[[#This Row],[Manual Cat Value]])</f>
        <v>#N/A</v>
      </c>
      <c r="G7156" t="str">
        <f>VLOOKUP(D7156,Lookup!G:H,2,0)</f>
        <v>Groceries</v>
      </c>
      <c r="J7156">
        <v>21.96</v>
      </c>
      <c r="K7156" s="6"/>
      <c r="L7156" s="6"/>
      <c r="M7156" t="s">
        <v>2513</v>
      </c>
      <c r="O7156" t="str">
        <f>LEFT(Table2[[#This Row],[Description]],75)</f>
        <v>Top Ten Liquors</v>
      </c>
    </row>
    <row r="7157" spans="1:15" hidden="1">
      <c r="A7157" s="25">
        <f t="shared" si="6"/>
        <v>202205</v>
      </c>
      <c r="B7157" s="6">
        <v>44703</v>
      </c>
      <c r="C7157" t="s">
        <v>2447</v>
      </c>
      <c r="D7157" t="s">
        <v>2051</v>
      </c>
      <c r="E7157">
        <f t="shared" si="7"/>
        <v>128.47</v>
      </c>
      <c r="F7157" s="2" t="e">
        <f>IF(Table2[[#This Row],[Manual Cat Value]]="",VLOOKUP(Table2[[#This Row],[Description]],'Actuals Lookup'!D:F,3,0),Table2[[#This Row],[Manual Cat Value]])</f>
        <v>#N/A</v>
      </c>
      <c r="G7157" t="str">
        <f>VLOOKUP(D7157,Lookup!G:H,2,0)</f>
        <v>Restaurants</v>
      </c>
      <c r="J7157">
        <v>128.47</v>
      </c>
      <c r="K7157" s="6"/>
      <c r="L7157" s="6"/>
      <c r="M7157" t="s">
        <v>2513</v>
      </c>
      <c r="O7157" t="str">
        <f>LEFT(Table2[[#This Row],[Description]],75)</f>
        <v>TST* CRAVE FOOD &amp; DRINK MINNEAPOLIS MN</v>
      </c>
    </row>
    <row r="7158" spans="1:15" hidden="1">
      <c r="A7158" s="25">
        <f t="shared" si="6"/>
        <v>202205</v>
      </c>
      <c r="B7158" s="6">
        <v>44703</v>
      </c>
      <c r="C7158" t="s">
        <v>2262</v>
      </c>
      <c r="D7158" t="s">
        <v>2101</v>
      </c>
      <c r="E7158">
        <f t="shared" si="7"/>
        <v>9.4499999999999993</v>
      </c>
      <c r="F7158" s="2" t="str">
        <f>IF(Table2[[#This Row],[Manual Cat Value]]="",VLOOKUP(Table2[[#This Row],[Description]],'Actuals Lookup'!D:F,3,0),Table2[[#This Row],[Manual Cat Value]])</f>
        <v>Misc</v>
      </c>
      <c r="G7158" t="str">
        <f>VLOOKUP(D7158,Lookup!G:H,2,0)</f>
        <v>Misc</v>
      </c>
      <c r="J7158">
        <v>9.4499999999999993</v>
      </c>
      <c r="K7158" s="6"/>
      <c r="L7158" s="6"/>
      <c r="M7158" t="s">
        <v>2513</v>
      </c>
      <c r="O7158" t="str">
        <f>LEFT(Table2[[#This Row],[Description]],75)</f>
        <v>USPS</v>
      </c>
    </row>
    <row r="7159" spans="1:15" hidden="1">
      <c r="A7159" s="25">
        <f t="shared" si="6"/>
        <v>202205</v>
      </c>
      <c r="B7159" s="6">
        <v>44704</v>
      </c>
      <c r="C7159" t="s">
        <v>2262</v>
      </c>
      <c r="D7159" t="s">
        <v>96</v>
      </c>
      <c r="E7159">
        <f t="shared" si="7"/>
        <v>36</v>
      </c>
      <c r="F7159" s="2" t="e">
        <f>IF(Table2[[#This Row],[Manual Cat Value]]="",VLOOKUP(Table2[[#This Row],[Description]],'Actuals Lookup'!D:F,3,0),Table2[[#This Row],[Manual Cat Value]])</f>
        <v>#N/A</v>
      </c>
      <c r="G7159" t="str">
        <f>VLOOKUP(D7159,Lookup!G:H,2,0)</f>
        <v>House Maintenance</v>
      </c>
      <c r="J7159">
        <v>36</v>
      </c>
      <c r="K7159" s="6"/>
      <c r="L7159" s="6"/>
      <c r="M7159" t="s">
        <v>2513</v>
      </c>
      <c r="O7159" t="str">
        <f>LEFT(Table2[[#This Row],[Description]],75)</f>
        <v>Ace Hardware</v>
      </c>
    </row>
    <row r="7160" spans="1:15" hidden="1">
      <c r="A7160" s="25">
        <f t="shared" si="6"/>
        <v>202205</v>
      </c>
      <c r="B7160" s="6">
        <v>44704</v>
      </c>
      <c r="C7160" t="s">
        <v>2265</v>
      </c>
      <c r="D7160" t="s">
        <v>556</v>
      </c>
      <c r="E7160">
        <f t="shared" si="7"/>
        <v>55.5</v>
      </c>
      <c r="F7160" s="2" t="e">
        <f>IF(Table2[[#This Row],[Manual Cat Value]]="",VLOOKUP(Table2[[#This Row],[Description]],'Actuals Lookup'!D:F,3,0),Table2[[#This Row],[Manual Cat Value]])</f>
        <v>#N/A</v>
      </c>
      <c r="G7160" t="str">
        <f>VLOOKUP(D7160,Lookup!G:H,2,0)</f>
        <v>Utilities</v>
      </c>
      <c r="J7160">
        <v>55.5</v>
      </c>
      <c r="K7160" s="6"/>
      <c r="L7160" s="6"/>
      <c r="M7160" t="s">
        <v>2513</v>
      </c>
      <c r="O7160" t="str">
        <f>LEFT(Table2[[#This Row],[Description]],75)</f>
        <v>CITY OF CHANHASS TYPE UTIL BILL</v>
      </c>
    </row>
    <row r="7161" spans="1:15" hidden="1">
      <c r="A7161" s="25">
        <f t="shared" si="6"/>
        <v>202205</v>
      </c>
      <c r="B7161" s="6">
        <v>44704</v>
      </c>
      <c r="C7161" t="s">
        <v>2262</v>
      </c>
      <c r="D7161" t="s">
        <v>689</v>
      </c>
      <c r="E7161">
        <f t="shared" si="7"/>
        <v>8.4600000000000009</v>
      </c>
      <c r="F7161" s="2" t="e">
        <f>IF(Table2[[#This Row],[Manual Cat Value]]="",VLOOKUP(Table2[[#This Row],[Description]],'Actuals Lookup'!D:F,3,0),Table2[[#This Row],[Manual Cat Value]])</f>
        <v>#N/A</v>
      </c>
      <c r="G7161" t="str">
        <f>VLOOKUP(D7161,Lookup!G:H,2,0)</f>
        <v>Restaurants</v>
      </c>
      <c r="J7161">
        <v>8.4600000000000009</v>
      </c>
      <c r="K7161" s="6"/>
      <c r="L7161" s="6"/>
      <c r="M7161" t="s">
        <v>2513</v>
      </c>
      <c r="O7161" t="str">
        <f>LEFT(Table2[[#This Row],[Description]],75)</f>
        <v>Culvers</v>
      </c>
    </row>
    <row r="7162" spans="1:15" hidden="1">
      <c r="A7162" s="25">
        <f t="shared" si="6"/>
        <v>202205</v>
      </c>
      <c r="B7162" s="6">
        <v>44704</v>
      </c>
      <c r="C7162" t="s">
        <v>2300</v>
      </c>
      <c r="D7162" t="s">
        <v>859</v>
      </c>
      <c r="E7162">
        <f t="shared" si="7"/>
        <v>-100</v>
      </c>
      <c r="F7162" s="2" t="e">
        <f>IF(Table2[[#This Row],[Manual Cat Value]]="",VLOOKUP(Table2[[#This Row],[Description]],'Actuals Lookup'!D:F,3,0),Table2[[#This Row],[Manual Cat Value]])</f>
        <v>#N/A</v>
      </c>
      <c r="G7162" t="str">
        <f>VLOOKUP(D7162,Lookup!G:H,2,0)</f>
        <v>Car Loan</v>
      </c>
      <c r="J7162">
        <v>100</v>
      </c>
      <c r="K7162" s="6"/>
      <c r="L7162" s="6"/>
      <c r="M7162" t="s">
        <v>2621</v>
      </c>
      <c r="O7162" t="str">
        <f>LEFT(Table2[[#This Row],[Description]],75)</f>
        <v>From Share 70</v>
      </c>
    </row>
    <row r="7163" spans="1:15" hidden="1">
      <c r="A7163" s="25">
        <f t="shared" si="6"/>
        <v>202205</v>
      </c>
      <c r="B7163" s="6">
        <v>44704</v>
      </c>
      <c r="C7163" t="s">
        <v>2262</v>
      </c>
      <c r="D7163" t="s">
        <v>945</v>
      </c>
      <c r="E7163">
        <f t="shared" si="7"/>
        <v>65.83</v>
      </c>
      <c r="F7163" s="2" t="str">
        <f>IF(Table2[[#This Row],[Manual Cat Value]]="",VLOOKUP(Table2[[#This Row],[Description]],'Actuals Lookup'!D:F,3,0),Table2[[#This Row],[Manual Cat Value]])</f>
        <v>Groceries</v>
      </c>
      <c r="G7163" t="str">
        <f>VLOOKUP(D7163,Lookup!G:H,2,0)</f>
        <v>Transportation</v>
      </c>
      <c r="J7163">
        <v>65.83</v>
      </c>
      <c r="K7163" s="6"/>
      <c r="L7163" s="6"/>
      <c r="M7163" t="s">
        <v>2513</v>
      </c>
      <c r="O7163" t="str">
        <f>LEFT(Table2[[#This Row],[Description]],75)</f>
        <v>Holiday Stationstores</v>
      </c>
    </row>
    <row r="7164" spans="1:15" hidden="1">
      <c r="A7164" s="25">
        <f t="shared" si="6"/>
        <v>202205</v>
      </c>
      <c r="B7164" s="6">
        <v>44704</v>
      </c>
      <c r="C7164" t="s">
        <v>2262</v>
      </c>
      <c r="D7164" t="s">
        <v>1474</v>
      </c>
      <c r="E7164">
        <f t="shared" si="7"/>
        <v>14.74</v>
      </c>
      <c r="F7164" s="2" t="e">
        <f>IF(Table2[[#This Row],[Manual Cat Value]]="",VLOOKUP(Table2[[#This Row],[Description]],'Actuals Lookup'!D:F,3,0),Table2[[#This Row],[Manual Cat Value]])</f>
        <v>#N/A</v>
      </c>
      <c r="G7164" t="str">
        <f>VLOOKUP(D7164,Lookup!G:H,2,0)</f>
        <v>Restaurants</v>
      </c>
      <c r="J7164">
        <v>14.74</v>
      </c>
      <c r="K7164" s="6"/>
      <c r="L7164" s="6"/>
      <c r="M7164" t="s">
        <v>2513</v>
      </c>
      <c r="O7164" t="str">
        <f>LEFT(Table2[[#This Row],[Description]],75)</f>
        <v>Pedal Pushers Cafe</v>
      </c>
    </row>
    <row r="7165" spans="1:15" hidden="1">
      <c r="A7165" s="25">
        <f t="shared" ref="A7165:A7196" si="8">VALUE(YEAR(B7165)&amp;TEXT(MONTH(B7165),"00"))</f>
        <v>202205</v>
      </c>
      <c r="B7165" s="6">
        <v>44704</v>
      </c>
      <c r="C7165" t="s">
        <v>2262</v>
      </c>
      <c r="D7165" t="s">
        <v>1796</v>
      </c>
      <c r="E7165">
        <f t="shared" ref="E7165:E7199" si="9">IF(M7165="credit",-1*J7165,J7165)</f>
        <v>14.4</v>
      </c>
      <c r="F7165" s="2" t="e">
        <f>IF(Table2[[#This Row],[Manual Cat Value]]="",VLOOKUP(Table2[[#This Row],[Description]],'Actuals Lookup'!D:F,3,0),Table2[[#This Row],[Manual Cat Value]])</f>
        <v>#N/A</v>
      </c>
      <c r="G7165" t="str">
        <f>VLOOKUP(D7165,Lookup!G:H,2,0)</f>
        <v>Restaurants</v>
      </c>
      <c r="J7165">
        <v>14.4</v>
      </c>
      <c r="K7165" s="6"/>
      <c r="L7165" s="6"/>
      <c r="M7165" t="s">
        <v>2513</v>
      </c>
      <c r="O7165" t="str">
        <f>LEFT(Table2[[#This Row],[Description]],75)</f>
        <v>SYLVAN BREWING LLC LANESBORO MN</v>
      </c>
    </row>
    <row r="7166" spans="1:15" hidden="1">
      <c r="A7166" s="25">
        <f t="shared" si="8"/>
        <v>202205</v>
      </c>
      <c r="B7166" s="6">
        <v>44704</v>
      </c>
      <c r="C7166" t="s">
        <v>2265</v>
      </c>
      <c r="D7166" t="s">
        <v>1892</v>
      </c>
      <c r="E7166">
        <f t="shared" si="9"/>
        <v>100</v>
      </c>
      <c r="F7166" s="2" t="e">
        <f>IF(Table2[[#This Row],[Manual Cat Value]]="",VLOOKUP(Table2[[#This Row],[Description]],'Actuals Lookup'!D:F,3,0),Table2[[#This Row],[Manual Cat Value]])</f>
        <v>#N/A</v>
      </c>
      <c r="G7166" t="str">
        <f>VLOOKUP(D7166,Lookup!G:H,2,0)</f>
        <v>Delete</v>
      </c>
      <c r="J7166">
        <v>100</v>
      </c>
      <c r="K7166" s="6"/>
      <c r="L7166" s="6"/>
      <c r="M7166" t="s">
        <v>2513</v>
      </c>
      <c r="O7166" t="str">
        <f>LEFT(Table2[[#This Row],[Description]],75)</f>
        <v>To Share 12</v>
      </c>
    </row>
    <row r="7167" spans="1:15" hidden="1">
      <c r="A7167" s="25">
        <f t="shared" si="8"/>
        <v>202205</v>
      </c>
      <c r="B7167" s="6">
        <v>44705</v>
      </c>
      <c r="C7167" t="s">
        <v>2265</v>
      </c>
      <c r="D7167" t="s">
        <v>719</v>
      </c>
      <c r="E7167">
        <f t="shared" si="9"/>
        <v>-5150</v>
      </c>
      <c r="F7167" s="2" t="e">
        <f>IF(Table2[[#This Row],[Manual Cat Value]]="",VLOOKUP(Table2[[#This Row],[Description]],'Actuals Lookup'!D:F,3,0),Table2[[#This Row],[Manual Cat Value]])</f>
        <v>#N/A</v>
      </c>
      <c r="G7167" t="str">
        <f>VLOOKUP(D7167,Lookup!G:H,2,0)</f>
        <v>delete</v>
      </c>
      <c r="J7167">
        <v>5150</v>
      </c>
      <c r="K7167" s="6"/>
      <c r="L7167" s="6"/>
      <c r="M7167" t="s">
        <v>2621</v>
      </c>
      <c r="O7167" t="str">
        <f>LEFT(Table2[[#This Row],[Description]],75)</f>
        <v>Deposit Transfer From TRUITTBRIT</v>
      </c>
    </row>
    <row r="7168" spans="1:15" hidden="1">
      <c r="A7168" s="25">
        <f t="shared" si="8"/>
        <v>202205</v>
      </c>
      <c r="B7168" s="6">
        <v>44705</v>
      </c>
      <c r="C7168" t="s">
        <v>2265</v>
      </c>
      <c r="D7168" t="s">
        <v>1195</v>
      </c>
      <c r="E7168">
        <f t="shared" si="9"/>
        <v>536.29999999999995</v>
      </c>
      <c r="F7168" s="2" t="e">
        <f>IF(Table2[[#This Row],[Manual Cat Value]]="",VLOOKUP(Table2[[#This Row],[Description]],'Actuals Lookup'!D:F,3,0),Table2[[#This Row],[Manual Cat Value]])</f>
        <v>#N/A</v>
      </c>
      <c r="G7168" t="str">
        <f>VLOOKUP(D7168,Lookup!G:H,2,0)</f>
        <v>Day Care</v>
      </c>
      <c r="J7168">
        <v>536.29999999999995</v>
      </c>
      <c r="K7168" s="6"/>
      <c r="L7168" s="6"/>
      <c r="M7168" t="s">
        <v>2513</v>
      </c>
      <c r="O7168" t="str">
        <f>LEFT(Table2[[#This Row],[Description]],75)</f>
        <v>MHCHILDCARELLC TYPE DUES ID CO M</v>
      </c>
    </row>
    <row r="7169" spans="1:15" hidden="1">
      <c r="A7169" s="25">
        <f t="shared" si="8"/>
        <v>202205</v>
      </c>
      <c r="B7169" s="6">
        <v>44705</v>
      </c>
      <c r="C7169" t="s">
        <v>2262</v>
      </c>
      <c r="D7169" t="s">
        <v>1782</v>
      </c>
      <c r="E7169">
        <f t="shared" si="9"/>
        <v>6</v>
      </c>
      <c r="F7169" s="2" t="e">
        <f>IF(Table2[[#This Row],[Manual Cat Value]]="",VLOOKUP(Table2[[#This Row],[Description]],'Actuals Lookup'!D:F,3,0),Table2[[#This Row],[Manual Cat Value]])</f>
        <v>#N/A</v>
      </c>
      <c r="G7169" t="str">
        <f>VLOOKUP(D7169,Lookup!G:H,2,0)</f>
        <v>Shopping</v>
      </c>
      <c r="J7169">
        <v>6</v>
      </c>
      <c r="K7169" s="6"/>
      <c r="L7169" s="6"/>
      <c r="M7169" t="s">
        <v>2513</v>
      </c>
      <c r="O7169" t="str">
        <f>LEFT(Table2[[#This Row],[Description]],75)</f>
        <v>Stitch Fix</v>
      </c>
    </row>
    <row r="7170" spans="1:15" hidden="1">
      <c r="A7170" s="25">
        <f t="shared" si="8"/>
        <v>202205</v>
      </c>
      <c r="B7170" s="6">
        <v>44705</v>
      </c>
      <c r="C7170" t="s">
        <v>2265</v>
      </c>
      <c r="D7170" t="s">
        <v>1955</v>
      </c>
      <c r="E7170">
        <f t="shared" si="9"/>
        <v>180</v>
      </c>
      <c r="F7170" s="2" t="str">
        <f>IF(Table2[[#This Row],[Manual Cat Value]]="",VLOOKUP(Table2[[#This Row],[Description]],'Actuals Lookup'!D:F,3,0),Table2[[#This Row],[Manual Cat Value]])</f>
        <v>Shopping</v>
      </c>
      <c r="G7170" t="str">
        <f>VLOOKUP(D7170,Lookup!G:H,2,0)</f>
        <v>Shopping</v>
      </c>
      <c r="J7170">
        <v>180</v>
      </c>
      <c r="K7170" s="6"/>
      <c r="L7170" s="6"/>
      <c r="M7170" t="s">
        <v>2513</v>
      </c>
      <c r="O7170" t="str">
        <f>LEFT(Table2[[#This Row],[Description]],75)</f>
        <v>Transfer to PayPal</v>
      </c>
    </row>
    <row r="7171" spans="1:15" hidden="1">
      <c r="A7171" s="25">
        <f t="shared" si="8"/>
        <v>202205</v>
      </c>
      <c r="B7171" s="6">
        <v>44705</v>
      </c>
      <c r="C7171" t="s">
        <v>2262</v>
      </c>
      <c r="D7171" t="s">
        <v>2135</v>
      </c>
      <c r="E7171">
        <f t="shared" si="9"/>
        <v>26.18</v>
      </c>
      <c r="F7171" s="2" t="str">
        <f>IF(Table2[[#This Row],[Manual Cat Value]]="",VLOOKUP(Table2[[#This Row],[Description]],'Actuals Lookup'!D:F,3,0),Table2[[#This Row],[Manual Cat Value]])</f>
        <v>Groceries</v>
      </c>
      <c r="G7171" t="str">
        <f>VLOOKUP(D7171,Lookup!G:H,2,0)</f>
        <v>Shopping</v>
      </c>
      <c r="J7171">
        <v>26.18</v>
      </c>
      <c r="K7171" s="6"/>
      <c r="L7171" s="6"/>
      <c r="M7171" t="s">
        <v>2513</v>
      </c>
      <c r="O7171" t="str">
        <f>LEFT(Table2[[#This Row],[Description]],75)</f>
        <v>Walgreens</v>
      </c>
    </row>
    <row r="7172" spans="1:15" hidden="1">
      <c r="A7172" s="25">
        <f t="shared" si="8"/>
        <v>202205</v>
      </c>
      <c r="B7172" s="6">
        <v>44705</v>
      </c>
      <c r="C7172" t="s">
        <v>2265</v>
      </c>
      <c r="D7172" t="s">
        <v>2204</v>
      </c>
      <c r="E7172">
        <f t="shared" si="9"/>
        <v>3843.31</v>
      </c>
      <c r="F7172" s="2" t="e">
        <f>IF(Table2[[#This Row],[Manual Cat Value]]="",VLOOKUP(Table2[[#This Row],[Description]],'Actuals Lookup'!D:F,3,0),Table2[[#This Row],[Manual Cat Value]])</f>
        <v>#N/A</v>
      </c>
      <c r="G7172" t="str">
        <f>VLOOKUP(D7172,Lookup!G:H,2,0)</f>
        <v>Delete</v>
      </c>
      <c r="J7172">
        <v>3843.31</v>
      </c>
      <c r="K7172" s="6"/>
      <c r="L7172" s="6"/>
      <c r="M7172" t="s">
        <v>2513</v>
      </c>
      <c r="O7172" t="str">
        <f>LEFT(Table2[[#This Row],[Description]],75)</f>
        <v>Withdrawal Home Pmt to card XX91</v>
      </c>
    </row>
    <row r="7173" spans="1:15" hidden="1">
      <c r="A7173" s="25">
        <f t="shared" si="8"/>
        <v>202205</v>
      </c>
      <c r="B7173" s="6">
        <v>44705</v>
      </c>
      <c r="C7173" t="s">
        <v>2267</v>
      </c>
      <c r="D7173" t="s">
        <v>2210</v>
      </c>
      <c r="E7173">
        <f t="shared" si="9"/>
        <v>5150</v>
      </c>
      <c r="F7173" s="2" t="e">
        <f>IF(Table2[[#This Row],[Manual Cat Value]]="",VLOOKUP(Table2[[#This Row],[Description]],'Actuals Lookup'!D:F,3,0),Table2[[#This Row],[Manual Cat Value]])</f>
        <v>#N/A</v>
      </c>
      <c r="G7173" t="str">
        <f>VLOOKUP(D7173,Lookup!G:H,2,0)</f>
        <v>delete</v>
      </c>
      <c r="J7173">
        <v>5150</v>
      </c>
      <c r="K7173" s="6"/>
      <c r="L7173" s="6"/>
      <c r="M7173" t="s">
        <v>2513</v>
      </c>
      <c r="O7173" t="str">
        <f>LEFT(Table2[[#This Row],[Description]],75)</f>
        <v>Withdrawal Trans To TRUITTJEFF B</v>
      </c>
    </row>
    <row r="7174" spans="1:15" hidden="1">
      <c r="A7174" s="25">
        <f t="shared" si="8"/>
        <v>202205</v>
      </c>
      <c r="B7174" s="6">
        <v>44705</v>
      </c>
      <c r="C7174" t="s">
        <v>2262</v>
      </c>
      <c r="D7174" t="s">
        <v>673</v>
      </c>
      <c r="E7174">
        <f t="shared" si="9"/>
        <v>-3843.31</v>
      </c>
      <c r="F7174" s="2" t="str">
        <f>IF(Table2[[#This Row],[Manual Cat Value]]="",VLOOKUP(Table2[[#This Row],[Description]],'Actuals Lookup'!D:F,3,0),Table2[[#This Row],[Manual Cat Value]])</f>
        <v>Delete</v>
      </c>
      <c r="G7174" t="str">
        <f>VLOOKUP(D7174,Lookup!G:H,2,0)</f>
        <v>Delete</v>
      </c>
      <c r="J7174">
        <v>3843.31</v>
      </c>
      <c r="K7174" s="6"/>
      <c r="L7174" s="6"/>
      <c r="M7174" t="s">
        <v>2621</v>
      </c>
      <c r="O7174" t="str">
        <f>LEFT(Table2[[#This Row],[Description]],75)</f>
        <v>Credit Card Payment Received</v>
      </c>
    </row>
    <row r="7175" spans="1:15" hidden="1">
      <c r="A7175" s="25">
        <f t="shared" si="8"/>
        <v>202205</v>
      </c>
      <c r="B7175" s="6">
        <v>44705</v>
      </c>
      <c r="C7175" t="s">
        <v>2265</v>
      </c>
      <c r="D7175" t="s">
        <v>1458</v>
      </c>
      <c r="E7175">
        <f t="shared" si="9"/>
        <v>18.02</v>
      </c>
      <c r="F7175" s="2" t="str">
        <f>IF(Table2[[#This Row],[Manual Cat Value]]="",VLOOKUP(Table2[[#This Row],[Description]],'Actuals Lookup'!D:F,3,0),Table2[[#This Row],[Manual Cat Value]])</f>
        <v>Delete</v>
      </c>
      <c r="G7175" t="str">
        <f>VLOOKUP(D7175,Lookup!G:H,2,0)</f>
        <v>delete</v>
      </c>
      <c r="J7175">
        <v>18.02</v>
      </c>
      <c r="K7175" s="6"/>
      <c r="L7175" s="6"/>
      <c r="M7175" t="s">
        <v>2513</v>
      </c>
      <c r="O7175" t="str">
        <f>LEFT(Table2[[#This Row],[Description]],75)</f>
        <v>Payment to American Express</v>
      </c>
    </row>
    <row r="7176" spans="1:15" hidden="1">
      <c r="A7176" s="25">
        <f t="shared" si="8"/>
        <v>202205</v>
      </c>
      <c r="B7176" s="6">
        <v>44706</v>
      </c>
      <c r="C7176" t="s">
        <v>2262</v>
      </c>
      <c r="D7176" t="s">
        <v>545</v>
      </c>
      <c r="E7176">
        <f t="shared" si="9"/>
        <v>10.42</v>
      </c>
      <c r="F7176" s="2" t="str">
        <f>IF(Table2[[#This Row],[Manual Cat Value]]="",VLOOKUP(Table2[[#This Row],[Description]],'Actuals Lookup'!D:F,3,0),Table2[[#This Row],[Manual Cat Value]])</f>
        <v>Restaurants</v>
      </c>
      <c r="G7176" t="str">
        <f>VLOOKUP(D7176,Lookup!G:H,2,0)</f>
        <v>Restaurants</v>
      </c>
      <c r="J7176">
        <v>10.42</v>
      </c>
      <c r="K7176" s="6"/>
      <c r="L7176" s="6"/>
      <c r="M7176" t="s">
        <v>2513</v>
      </c>
      <c r="O7176" t="str">
        <f>LEFT(Table2[[#This Row],[Description]],75)</f>
        <v>Chipotle Mexican Grill</v>
      </c>
    </row>
    <row r="7177" spans="1:15" hidden="1">
      <c r="A7177" s="25">
        <f t="shared" si="8"/>
        <v>202205</v>
      </c>
      <c r="B7177" s="6">
        <v>44706</v>
      </c>
      <c r="C7177" t="s">
        <v>2262</v>
      </c>
      <c r="D7177" t="s">
        <v>545</v>
      </c>
      <c r="E7177">
        <f t="shared" si="9"/>
        <v>5.32</v>
      </c>
      <c r="F7177" s="2" t="str">
        <f>IF(Table2[[#This Row],[Manual Cat Value]]="",VLOOKUP(Table2[[#This Row],[Description]],'Actuals Lookup'!D:F,3,0),Table2[[#This Row],[Manual Cat Value]])</f>
        <v>Restaurants</v>
      </c>
      <c r="G7177" t="str">
        <f>VLOOKUP(D7177,Lookup!G:H,2,0)</f>
        <v>Restaurants</v>
      </c>
      <c r="J7177">
        <v>5.32</v>
      </c>
      <c r="K7177" s="6"/>
      <c r="L7177" s="6"/>
      <c r="M7177" t="s">
        <v>2513</v>
      </c>
      <c r="O7177" t="str">
        <f>LEFT(Table2[[#This Row],[Description]],75)</f>
        <v>Chipotle Mexican Grill</v>
      </c>
    </row>
    <row r="7178" spans="1:15" hidden="1">
      <c r="A7178" s="25">
        <f t="shared" si="8"/>
        <v>202205</v>
      </c>
      <c r="B7178" s="6">
        <v>44706</v>
      </c>
      <c r="C7178" t="s">
        <v>2262</v>
      </c>
      <c r="D7178" t="s">
        <v>545</v>
      </c>
      <c r="E7178">
        <f t="shared" si="9"/>
        <v>8.6999999999999993</v>
      </c>
      <c r="F7178" s="2" t="str">
        <f>IF(Table2[[#This Row],[Manual Cat Value]]="",VLOOKUP(Table2[[#This Row],[Description]],'Actuals Lookup'!D:F,3,0),Table2[[#This Row],[Manual Cat Value]])</f>
        <v>Restaurants</v>
      </c>
      <c r="G7178" t="str">
        <f>VLOOKUP(D7178,Lookup!G:H,2,0)</f>
        <v>Restaurants</v>
      </c>
      <c r="J7178">
        <v>8.6999999999999993</v>
      </c>
      <c r="K7178" s="6"/>
      <c r="L7178" s="6"/>
      <c r="M7178" t="s">
        <v>2513</v>
      </c>
      <c r="O7178" t="str">
        <f>LEFT(Table2[[#This Row],[Description]],75)</f>
        <v>Chipotle Mexican Grill</v>
      </c>
    </row>
    <row r="7179" spans="1:15" hidden="1">
      <c r="A7179" s="25">
        <f t="shared" si="8"/>
        <v>202205</v>
      </c>
      <c r="B7179" s="6">
        <v>44706</v>
      </c>
      <c r="C7179" t="s">
        <v>2265</v>
      </c>
      <c r="D7179" t="s">
        <v>638</v>
      </c>
      <c r="E7179">
        <f t="shared" si="9"/>
        <v>-391.72</v>
      </c>
      <c r="F7179" s="2" t="e">
        <f>IF(Table2[[#This Row],[Manual Cat Value]]="",VLOOKUP(Table2[[#This Row],[Description]],'Actuals Lookup'!D:F,3,0),Table2[[#This Row],[Manual Cat Value]])</f>
        <v>#N/A</v>
      </c>
      <c r="G7179" t="str">
        <f>VLOOKUP(D7179,Lookup!G:H,2,0)</f>
        <v>Delete</v>
      </c>
      <c r="J7179">
        <v>391.72</v>
      </c>
      <c r="K7179" s="6"/>
      <c r="L7179" s="6"/>
      <c r="M7179" t="s">
        <v>2621</v>
      </c>
      <c r="O7179" t="str">
        <f>LEFT(Table2[[#This Row],[Description]],75)</f>
        <v>connectyourcare TYPE SVBCLAIMS</v>
      </c>
    </row>
    <row r="7180" spans="1:15" hidden="1">
      <c r="A7180" s="25">
        <f t="shared" si="8"/>
        <v>202205</v>
      </c>
      <c r="B7180" s="6">
        <v>44706</v>
      </c>
      <c r="C7180" t="s">
        <v>2265</v>
      </c>
      <c r="D7180" t="s">
        <v>1955</v>
      </c>
      <c r="E7180">
        <f t="shared" si="9"/>
        <v>28.08</v>
      </c>
      <c r="F7180" s="2" t="str">
        <f>IF(Table2[[#This Row],[Manual Cat Value]]="",VLOOKUP(Table2[[#This Row],[Description]],'Actuals Lookup'!D:F,3,0),Table2[[#This Row],[Manual Cat Value]])</f>
        <v>Shopping</v>
      </c>
      <c r="G7180" t="str">
        <f>VLOOKUP(D7180,Lookup!G:H,2,0)</f>
        <v>Shopping</v>
      </c>
      <c r="J7180">
        <v>28.08</v>
      </c>
      <c r="K7180" s="6"/>
      <c r="L7180" s="6"/>
      <c r="M7180" t="s">
        <v>2513</v>
      </c>
      <c r="O7180" t="str">
        <f>LEFT(Table2[[#This Row],[Description]],75)</f>
        <v>Transfer to PayPal</v>
      </c>
    </row>
    <row r="7181" spans="1:15" hidden="1">
      <c r="A7181" s="25">
        <f t="shared" si="8"/>
        <v>202205</v>
      </c>
      <c r="B7181" s="6">
        <v>44707</v>
      </c>
      <c r="C7181" t="s">
        <v>2265</v>
      </c>
      <c r="D7181" t="s">
        <v>426</v>
      </c>
      <c r="E7181">
        <f t="shared" si="9"/>
        <v>-149.16</v>
      </c>
      <c r="F7181" s="2" t="e">
        <f>IF(Table2[[#This Row],[Manual Cat Value]]="",VLOOKUP(Table2[[#This Row],[Description]],'Actuals Lookup'!D:F,3,0),Table2[[#This Row],[Manual Cat Value]])</f>
        <v>#N/A</v>
      </c>
      <c r="G7181" t="str">
        <f>VLOOKUP(D7181,Lookup!G:H,2,0)</f>
        <v>Inc - Britney</v>
      </c>
      <c r="J7181">
        <v>149.16</v>
      </c>
      <c r="K7181" s="6"/>
      <c r="L7181" s="6"/>
      <c r="M7181" t="s">
        <v>2621</v>
      </c>
      <c r="O7181" t="str">
        <f>LEFT(Table2[[#This Row],[Description]],75)</f>
        <v>CARGILL INCORPOR TYPE   ID  CO C</v>
      </c>
    </row>
    <row r="7182" spans="1:15" hidden="1">
      <c r="A7182" s="25">
        <f t="shared" si="8"/>
        <v>202205</v>
      </c>
      <c r="B7182" s="6">
        <v>44707</v>
      </c>
      <c r="C7182" t="s">
        <v>2265</v>
      </c>
      <c r="D7182" t="s">
        <v>427</v>
      </c>
      <c r="E7182">
        <f t="shared" si="9"/>
        <v>-2448.7199999999998</v>
      </c>
      <c r="F7182" s="2" t="e">
        <f>IF(Table2[[#This Row],[Manual Cat Value]]="",VLOOKUP(Table2[[#This Row],[Description]],'Actuals Lookup'!D:F,3,0),Table2[[#This Row],[Manual Cat Value]])</f>
        <v>#N/A</v>
      </c>
      <c r="G7182" t="str">
        <f>VLOOKUP(D7182,Lookup!G:H,2,0)</f>
        <v>Inc - Britney</v>
      </c>
      <c r="J7182">
        <v>2448.7199999999998</v>
      </c>
      <c r="K7182" s="6"/>
      <c r="L7182" s="6"/>
      <c r="M7182" t="s">
        <v>2621</v>
      </c>
      <c r="O7182" t="str">
        <f>LEFT(Table2[[#This Row],[Description]],75)</f>
        <v>CARGILL INCORPOR TYPE DIRECT DEP</v>
      </c>
    </row>
    <row r="7183" spans="1:15" hidden="1">
      <c r="A7183" s="25">
        <f t="shared" si="8"/>
        <v>202205</v>
      </c>
      <c r="B7183" s="6">
        <v>44707</v>
      </c>
      <c r="C7183" t="s">
        <v>2265</v>
      </c>
      <c r="D7183" t="s">
        <v>1955</v>
      </c>
      <c r="E7183">
        <f t="shared" si="9"/>
        <v>42.98</v>
      </c>
      <c r="F7183" s="2" t="str">
        <f>IF(Table2[[#This Row],[Manual Cat Value]]="",VLOOKUP(Table2[[#This Row],[Description]],'Actuals Lookup'!D:F,3,0),Table2[[#This Row],[Manual Cat Value]])</f>
        <v>Shopping</v>
      </c>
      <c r="G7183" t="str">
        <f>VLOOKUP(D7183,Lookup!G:H,2,0)</f>
        <v>Shopping</v>
      </c>
      <c r="J7183">
        <v>42.98</v>
      </c>
      <c r="K7183" s="6"/>
      <c r="L7183" s="6"/>
      <c r="M7183" t="s">
        <v>2513</v>
      </c>
      <c r="O7183" t="str">
        <f>LEFT(Table2[[#This Row],[Description]],75)</f>
        <v>Transfer to PayPal</v>
      </c>
    </row>
    <row r="7184" spans="1:15" hidden="1">
      <c r="A7184" s="25">
        <f t="shared" si="8"/>
        <v>202205</v>
      </c>
      <c r="B7184" s="6">
        <v>44707</v>
      </c>
      <c r="C7184" t="s">
        <v>2265</v>
      </c>
      <c r="D7184" t="s">
        <v>1466</v>
      </c>
      <c r="E7184">
        <f t="shared" si="9"/>
        <v>461.55</v>
      </c>
      <c r="F7184" s="2" t="e">
        <f>IF(Table2[[#This Row],[Manual Cat Value]]="",VLOOKUP(Table2[[#This Row],[Description]],'Actuals Lookup'!D:F,3,0),Table2[[#This Row],[Manual Cat Value]])</f>
        <v>#N/A</v>
      </c>
      <c r="G7184" t="str">
        <f>VLOOKUP(D7184,Lookup!G:H,2,0)</f>
        <v>Target</v>
      </c>
      <c r="J7184">
        <v>461.55</v>
      </c>
      <c r="K7184" s="6"/>
      <c r="L7184" s="6"/>
      <c r="M7184" t="s">
        <v>2513</v>
      </c>
      <c r="O7184" t="str">
        <f>LEFT(Table2[[#This Row],[Description]],75)</f>
        <v>Payment to Target</v>
      </c>
    </row>
    <row r="7185" spans="1:15" hidden="1">
      <c r="A7185" s="25">
        <f t="shared" si="8"/>
        <v>202205</v>
      </c>
      <c r="B7185" s="6">
        <v>44708</v>
      </c>
      <c r="C7185" t="s">
        <v>2262</v>
      </c>
      <c r="D7185" t="s">
        <v>945</v>
      </c>
      <c r="E7185">
        <f t="shared" si="9"/>
        <v>29</v>
      </c>
      <c r="F7185" s="2" t="str">
        <f>IF(Table2[[#This Row],[Manual Cat Value]]="",VLOOKUP(Table2[[#This Row],[Description]],'Actuals Lookup'!D:F,3,0),Table2[[#This Row],[Manual Cat Value]])</f>
        <v>Groceries</v>
      </c>
      <c r="G7185" t="str">
        <f>VLOOKUP(D7185,Lookup!G:H,2,0)</f>
        <v>Transportation</v>
      </c>
      <c r="J7185">
        <v>29</v>
      </c>
      <c r="K7185" s="6"/>
      <c r="L7185" s="6"/>
      <c r="M7185" t="s">
        <v>2513</v>
      </c>
      <c r="O7185" t="str">
        <f>LEFT(Table2[[#This Row],[Description]],75)</f>
        <v>Holiday Stationstores</v>
      </c>
    </row>
    <row r="7186" spans="1:15" hidden="1">
      <c r="A7186" s="25">
        <f t="shared" si="8"/>
        <v>202205</v>
      </c>
      <c r="B7186" s="6">
        <v>44708</v>
      </c>
      <c r="C7186" t="s">
        <v>2262</v>
      </c>
      <c r="D7186" t="s">
        <v>1008</v>
      </c>
      <c r="E7186">
        <f t="shared" si="9"/>
        <v>14.17</v>
      </c>
      <c r="F7186" s="2" t="e">
        <f>IF(Table2[[#This Row],[Manual Cat Value]]="",VLOOKUP(Table2[[#This Row],[Description]],'Actuals Lookup'!D:F,3,0),Table2[[#This Row],[Manual Cat Value]])</f>
        <v>#N/A</v>
      </c>
      <c r="G7186" t="str">
        <f>VLOOKUP(D7186,Lookup!G:H,2,0)</f>
        <v>Restaurants</v>
      </c>
      <c r="J7186">
        <v>14.17</v>
      </c>
      <c r="K7186" s="6"/>
      <c r="L7186" s="6"/>
      <c r="M7186" t="s">
        <v>2513</v>
      </c>
      <c r="O7186" t="str">
        <f>LEFT(Table2[[#This Row],[Description]],75)</f>
        <v>JACK PINE BREWERY BAXTER MN</v>
      </c>
    </row>
    <row r="7187" spans="1:15" hidden="1">
      <c r="A7187" s="25">
        <f t="shared" si="8"/>
        <v>202205</v>
      </c>
      <c r="B7187" s="6">
        <v>44708</v>
      </c>
      <c r="C7187" t="s">
        <v>2262</v>
      </c>
      <c r="D7187" t="s">
        <v>1072</v>
      </c>
      <c r="E7187">
        <f t="shared" si="9"/>
        <v>27.24</v>
      </c>
      <c r="F7187" s="2" t="e">
        <f>IF(Table2[[#This Row],[Manual Cat Value]]="",VLOOKUP(Table2[[#This Row],[Description]],'Actuals Lookup'!D:F,3,0),Table2[[#This Row],[Manual Cat Value]])</f>
        <v>#N/A</v>
      </c>
      <c r="G7187" t="str">
        <f>VLOOKUP(D7187,Lookup!G:H,2,0)</f>
        <v>shopping</v>
      </c>
      <c r="J7187">
        <v>27.24</v>
      </c>
      <c r="K7187" s="6"/>
      <c r="L7187" s="6"/>
      <c r="M7187" t="s">
        <v>2513</v>
      </c>
      <c r="O7187" t="str">
        <f>LEFT(Table2[[#This Row],[Description]],75)</f>
        <v>King Tobaccobaxter</v>
      </c>
    </row>
    <row r="7188" spans="1:15" hidden="1">
      <c r="A7188" s="25">
        <f t="shared" si="8"/>
        <v>202205</v>
      </c>
      <c r="B7188" s="6">
        <v>44708</v>
      </c>
      <c r="C7188" t="s">
        <v>2447</v>
      </c>
      <c r="D7188" t="s">
        <v>2235</v>
      </c>
      <c r="E7188">
        <f t="shared" si="9"/>
        <v>23.56</v>
      </c>
      <c r="F7188" s="2" t="e">
        <f>IF(Table2[[#This Row],[Manual Cat Value]]="",VLOOKUP(Table2[[#This Row],[Description]],'Actuals Lookup'!D:F,3,0),Table2[[#This Row],[Manual Cat Value]])</f>
        <v>#N/A</v>
      </c>
      <c r="G7188" t="str">
        <f>VLOOKUP(D7188,Lookup!G:H,2,0)</f>
        <v>Restaurants</v>
      </c>
      <c r="J7188">
        <v>23.56</v>
      </c>
      <c r="K7188" s="6"/>
      <c r="L7188" s="6"/>
      <c r="M7188" t="s">
        <v>2513</v>
      </c>
      <c r="O7188" t="str">
        <f>LEFT(Table2[[#This Row],[Description]],75)</f>
        <v>ZORBAZ ON GULL LAKE NISSWA MN</v>
      </c>
    </row>
    <row r="7189" spans="1:15" hidden="1">
      <c r="A7189" s="25">
        <f t="shared" si="8"/>
        <v>202205</v>
      </c>
      <c r="B7189" s="6">
        <v>44709</v>
      </c>
      <c r="C7189" t="s">
        <v>2447</v>
      </c>
      <c r="D7189" t="s">
        <v>1328</v>
      </c>
      <c r="E7189">
        <f t="shared" si="9"/>
        <v>20.68</v>
      </c>
      <c r="F7189" s="2" t="e">
        <f>IF(Table2[[#This Row],[Manual Cat Value]]="",VLOOKUP(Table2[[#This Row],[Description]],'Actuals Lookup'!D:F,3,0),Table2[[#This Row],[Manual Cat Value]])</f>
        <v>#N/A</v>
      </c>
      <c r="G7189" t="str">
        <f>VLOOKUP(D7189,Lookup!G:H,2,0)</f>
        <v>Restaurants</v>
      </c>
      <c r="J7189">
        <v>20.68</v>
      </c>
      <c r="K7189" s="6"/>
      <c r="L7189" s="6"/>
      <c r="M7189" t="s">
        <v>2513</v>
      </c>
      <c r="O7189" t="str">
        <f>LEFT(Table2[[#This Row],[Description]],75)</f>
        <v>MOREY'S SEAFOOD MARKETS BAXTER MN</v>
      </c>
    </row>
    <row r="7190" spans="1:15" hidden="1">
      <c r="A7190" s="25">
        <f t="shared" si="8"/>
        <v>202205</v>
      </c>
      <c r="B7190" s="6">
        <v>44710</v>
      </c>
      <c r="C7190" t="s">
        <v>2447</v>
      </c>
      <c r="D7190" t="s">
        <v>250</v>
      </c>
      <c r="E7190">
        <f t="shared" si="9"/>
        <v>65.67</v>
      </c>
      <c r="F7190" s="2" t="e">
        <f>IF(Table2[[#This Row],[Manual Cat Value]]="",VLOOKUP(Table2[[#This Row],[Description]],'Actuals Lookup'!D:F,3,0),Table2[[#This Row],[Manual Cat Value]])</f>
        <v>#N/A</v>
      </c>
      <c r="G7190" t="str">
        <f>VLOOKUP(D7190,Lookup!G:H,2,0)</f>
        <v>Restaurants</v>
      </c>
      <c r="J7190">
        <v>65.67</v>
      </c>
      <c r="K7190" s="6"/>
      <c r="L7190" s="6"/>
      <c r="M7190" t="s">
        <v>2513</v>
      </c>
      <c r="O7190" t="str">
        <f>LEFT(Table2[[#This Row],[Description]],75)</f>
        <v>BAR HARBOR LAKE SHORE MN</v>
      </c>
    </row>
    <row r="7191" spans="1:15" hidden="1">
      <c r="A7191" s="25">
        <f t="shared" si="8"/>
        <v>202205</v>
      </c>
      <c r="B7191" s="6">
        <v>44710</v>
      </c>
      <c r="C7191" t="s">
        <v>2262</v>
      </c>
      <c r="D7191" t="s">
        <v>256</v>
      </c>
      <c r="E7191">
        <f t="shared" si="9"/>
        <v>100</v>
      </c>
      <c r="F7191" s="2" t="e">
        <f>IF(Table2[[#This Row],[Manual Cat Value]]="",VLOOKUP(Table2[[#This Row],[Description]],'Actuals Lookup'!D:F,3,0),Table2[[#This Row],[Manual Cat Value]])</f>
        <v>#N/A</v>
      </c>
      <c r="G7191" t="str">
        <f>VLOOKUP(D7191,Lookup!G:H,2,0)</f>
        <v>Misc</v>
      </c>
      <c r="J7191">
        <v>100</v>
      </c>
      <c r="K7191" s="6"/>
      <c r="L7191" s="6"/>
      <c r="M7191" t="s">
        <v>2513</v>
      </c>
      <c r="O7191" t="str">
        <f>LEFT(Table2[[#This Row],[Description]],75)</f>
        <v>BCSMINNETONKA COMMUNITY XX6800 M</v>
      </c>
    </row>
    <row r="7192" spans="1:15" ht="30" hidden="1">
      <c r="A7192" s="25">
        <f t="shared" si="8"/>
        <v>202205</v>
      </c>
      <c r="B7192" s="6">
        <v>44710</v>
      </c>
      <c r="C7192" t="s">
        <v>2447</v>
      </c>
      <c r="D7192" s="7" t="s">
        <v>911</v>
      </c>
      <c r="E7192">
        <f t="shared" si="9"/>
        <v>99.51</v>
      </c>
      <c r="F7192" s="2" t="e">
        <f>IF(Table2[[#This Row],[Manual Cat Value]]="",VLOOKUP(Table2[[#This Row],[Description]],'Actuals Lookup'!D:F,3,0),Table2[[#This Row],[Manual Cat Value]])</f>
        <v>#N/A</v>
      </c>
      <c r="G7192" t="str">
        <f>VLOOKUP(D7192,Lookup!G:H,2,0)</f>
        <v>travel</v>
      </c>
      <c r="J7192">
        <v>99.51</v>
      </c>
      <c r="K7192" s="6"/>
      <c r="L7192" s="6"/>
      <c r="M7192" t="s">
        <v>2513</v>
      </c>
      <c r="O7192" t="str">
        <f>LEFT(Table2[[#This Row],[Description]],75)</f>
        <v>GULL LAKE MARINA LAKESHORE MN
N742128299324959NV</v>
      </c>
    </row>
    <row r="7193" spans="1:15" ht="30" hidden="1">
      <c r="A7193" s="25">
        <f t="shared" si="8"/>
        <v>202205</v>
      </c>
      <c r="B7193" s="6">
        <v>44710</v>
      </c>
      <c r="C7193" t="s">
        <v>2447</v>
      </c>
      <c r="D7193" s="7" t="s">
        <v>912</v>
      </c>
      <c r="E7193">
        <f t="shared" si="9"/>
        <v>45.19</v>
      </c>
      <c r="F7193" s="2" t="e">
        <f>IF(Table2[[#This Row],[Manual Cat Value]]="",VLOOKUP(Table2[[#This Row],[Description]],'Actuals Lookup'!D:F,3,0),Table2[[#This Row],[Manual Cat Value]])</f>
        <v>#N/A</v>
      </c>
      <c r="G7193" t="str">
        <f>VLOOKUP(D7193,Lookup!G:H,2,0)</f>
        <v>travel</v>
      </c>
      <c r="J7193">
        <v>45.19</v>
      </c>
      <c r="K7193" s="6"/>
      <c r="L7193" s="6"/>
      <c r="M7193" t="s">
        <v>2513</v>
      </c>
      <c r="O7193" t="str">
        <f>LEFT(Table2[[#This Row],[Description]],75)</f>
        <v>GULL LAKE MARINA LAKESHORE MN
N752128328305679NV</v>
      </c>
    </row>
    <row r="7194" spans="1:15" hidden="1">
      <c r="A7194" s="25">
        <f t="shared" si="8"/>
        <v>202205</v>
      </c>
      <c r="B7194" s="6">
        <v>44710</v>
      </c>
      <c r="C7194" t="s">
        <v>2262</v>
      </c>
      <c r="D7194" t="s">
        <v>1083</v>
      </c>
      <c r="E7194">
        <f t="shared" si="9"/>
        <v>61.46</v>
      </c>
      <c r="F7194" s="2" t="str">
        <f>IF(Table2[[#This Row],[Manual Cat Value]]="",VLOOKUP(Table2[[#This Row],[Description]],'Actuals Lookup'!D:F,3,0),Table2[[#This Row],[Manual Cat Value]])</f>
        <v>Transportation</v>
      </c>
      <c r="G7194" t="str">
        <f>VLOOKUP(D7194,Lookup!G:H,2,0)</f>
        <v>Transportation</v>
      </c>
      <c r="J7194">
        <v>61.46</v>
      </c>
      <c r="K7194" s="6"/>
      <c r="L7194" s="6"/>
      <c r="M7194" t="s">
        <v>2513</v>
      </c>
      <c r="O7194" t="str">
        <f>LEFT(Table2[[#This Row],[Description]],75)</f>
        <v>Kwik Trip</v>
      </c>
    </row>
    <row r="7195" spans="1:15" hidden="1">
      <c r="A7195" s="25">
        <f t="shared" si="8"/>
        <v>202205</v>
      </c>
      <c r="B7195" s="6">
        <v>44710</v>
      </c>
      <c r="C7195" t="s">
        <v>2265</v>
      </c>
      <c r="D7195" t="s">
        <v>1798</v>
      </c>
      <c r="E7195">
        <f t="shared" si="9"/>
        <v>-3291.22</v>
      </c>
      <c r="F7195" s="2" t="e">
        <f>IF(Table2[[#This Row],[Manual Cat Value]]="",VLOOKUP(Table2[[#This Row],[Description]],'Actuals Lookup'!D:F,3,0),Table2[[#This Row],[Manual Cat Value]])</f>
        <v>#N/A</v>
      </c>
      <c r="G7195" t="str">
        <f>VLOOKUP(D7195,Lookup!G:H,2,0)</f>
        <v>Delete</v>
      </c>
      <c r="J7195">
        <v>3291.22</v>
      </c>
      <c r="K7195" s="6"/>
      <c r="L7195" s="6"/>
      <c r="M7195" t="s">
        <v>2621</v>
      </c>
      <c r="O7195" t="str">
        <f>LEFT(Table2[[#This Row],[Description]],75)</f>
        <v>SYNTELLIS PERFOR TYPE DIRECT DEP</v>
      </c>
    </row>
    <row r="7196" spans="1:15" hidden="1">
      <c r="A7196" s="25">
        <f t="shared" si="8"/>
        <v>202205</v>
      </c>
      <c r="B7196" s="6">
        <v>44710</v>
      </c>
      <c r="C7196" t="s">
        <v>2262</v>
      </c>
      <c r="D7196" t="s">
        <v>31</v>
      </c>
      <c r="E7196">
        <f t="shared" si="9"/>
        <v>8.35</v>
      </c>
      <c r="F7196" s="2" t="str">
        <f>IF(Table2[[#This Row],[Manual Cat Value]]="",VLOOKUP(Table2[[#This Row],[Description]],'Actuals Lookup'!D:F,3,0),Table2[[#This Row],[Manual Cat Value]])</f>
        <v>Target</v>
      </c>
      <c r="G7196" t="str">
        <f>VLOOKUP(D7196,Lookup!G:H,2,0)</f>
        <v>Target</v>
      </c>
      <c r="J7196">
        <v>8.35</v>
      </c>
      <c r="K7196" s="6"/>
      <c r="L7196" s="6"/>
      <c r="M7196" t="s">
        <v>2513</v>
      </c>
      <c r="O7196" t="str">
        <f>LEFT(Table2[[#This Row],[Description]],75)</f>
        <v>Target</v>
      </c>
    </row>
    <row r="7197" spans="1:15" hidden="1">
      <c r="A7197" s="25">
        <f t="shared" ref="A7197:A7199" si="10">VALUE(YEAR(B7197)&amp;TEXT(MONTH(B7197),"00"))</f>
        <v>202205</v>
      </c>
      <c r="B7197" s="6">
        <v>44710</v>
      </c>
      <c r="C7197" t="s">
        <v>2262</v>
      </c>
      <c r="D7197" t="s">
        <v>2153</v>
      </c>
      <c r="E7197">
        <f t="shared" si="9"/>
        <v>22.05</v>
      </c>
      <c r="F7197" s="2" t="e">
        <f>IF(Table2[[#This Row],[Manual Cat Value]]="",VLOOKUP(Table2[[#This Row],[Description]],'Actuals Lookup'!D:F,3,0),Table2[[#This Row],[Manual Cat Value]])</f>
        <v>#N/A</v>
      </c>
      <c r="G7197" t="str">
        <f>VLOOKUP(D7197,Lookup!G:H,2,0)</f>
        <v>Groceries</v>
      </c>
      <c r="J7197">
        <v>22.05</v>
      </c>
      <c r="K7197" s="6"/>
      <c r="L7197" s="6"/>
      <c r="M7197" t="s">
        <v>2513</v>
      </c>
      <c r="O7197" t="str">
        <f>LEFT(Table2[[#This Row],[Description]],75)</f>
        <v>WESTSIDE LIQUOR OF BAXTERBAXTER</v>
      </c>
    </row>
    <row r="7198" spans="1:15" hidden="1">
      <c r="A7198" s="25">
        <f t="shared" si="10"/>
        <v>202205</v>
      </c>
      <c r="B7198" s="6">
        <v>44711</v>
      </c>
      <c r="C7198" t="s">
        <v>2447</v>
      </c>
      <c r="D7198" t="s">
        <v>1085</v>
      </c>
      <c r="E7198">
        <f t="shared" si="9"/>
        <v>47.81</v>
      </c>
      <c r="F7198" s="2" t="e">
        <f>IF(Table2[[#This Row],[Manual Cat Value]]="",VLOOKUP(Table2[[#This Row],[Description]],'Actuals Lookup'!D:F,3,0),Table2[[#This Row],[Manual Cat Value]])</f>
        <v>#N/A</v>
      </c>
      <c r="G7198" t="str">
        <f>VLOOKUP(D7198,Lookup!G:H,2,0)</f>
        <v>Transportation</v>
      </c>
      <c r="J7198">
        <v>47.81</v>
      </c>
      <c r="K7198" s="6"/>
      <c r="L7198" s="6"/>
      <c r="M7198" t="s">
        <v>2513</v>
      </c>
      <c r="O7198" t="str">
        <f>LEFT(Table2[[#This Row],[Description]],75)</f>
        <v>KWIK TRIP 00001495691 SAINT CLOUD MN</v>
      </c>
    </row>
    <row r="7199" spans="1:15" hidden="1">
      <c r="A7199" s="25">
        <f t="shared" si="10"/>
        <v>202205</v>
      </c>
      <c r="B7199" s="6">
        <v>44711</v>
      </c>
      <c r="C7199" t="s">
        <v>2447</v>
      </c>
      <c r="D7199" t="s">
        <v>1328</v>
      </c>
      <c r="E7199">
        <f t="shared" si="9"/>
        <v>61.23</v>
      </c>
      <c r="F7199" s="2" t="e">
        <f>IF(Table2[[#This Row],[Manual Cat Value]]="",VLOOKUP(Table2[[#This Row],[Description]],'Actuals Lookup'!D:F,3,0),Table2[[#This Row],[Manual Cat Value]])</f>
        <v>#N/A</v>
      </c>
      <c r="G7199" t="str">
        <f>VLOOKUP(D7199,Lookup!G:H,2,0)</f>
        <v>Restaurants</v>
      </c>
      <c r="J7199">
        <v>61.23</v>
      </c>
      <c r="K7199" s="6"/>
      <c r="L7199" s="6"/>
      <c r="M7199" t="s">
        <v>2513</v>
      </c>
      <c r="O7199" t="str">
        <f>LEFT(Table2[[#This Row],[Description]],75)</f>
        <v>MOREY'S SEAFOOD MARKETS BAXTER MN</v>
      </c>
    </row>
    <row r="7200" spans="1:15" hidden="1">
      <c r="A7200">
        <v>202205</v>
      </c>
      <c r="B7200" s="3">
        <v>44711</v>
      </c>
      <c r="C7200" t="s">
        <v>2281</v>
      </c>
      <c r="D7200" t="s">
        <v>14</v>
      </c>
      <c r="E7200">
        <f>125*2</f>
        <v>250</v>
      </c>
      <c r="F7200" s="2" t="str">
        <f>IF(Table2[[#This Row],[Manual Cat Value]]="",VLOOKUP(Table2[[#This Row],[Description]],'Actuals Lookup'!D:F,3,0),Table2[[#This Row],[Manual Cat Value]])</f>
        <v>Exp - Cleaning</v>
      </c>
      <c r="G7200" t="e">
        <f>VLOOKUP(D7200,Lookup!G:H,2,0)</f>
        <v>#N/A</v>
      </c>
      <c r="H7200" s="8" t="s">
        <v>13</v>
      </c>
      <c r="O7200" t="str">
        <f>LEFT(Table2[[#This Row],[Description]],75)</f>
        <v>Cleaning</v>
      </c>
    </row>
    <row r="7201" spans="1:15" hidden="1">
      <c r="A7201" s="25">
        <f t="shared" ref="A7201:A7232" si="11">VALUE(YEAR(B7201)&amp;TEXT(MONTH(B7201),"00"))</f>
        <v>202205</v>
      </c>
      <c r="B7201" s="6">
        <v>44712</v>
      </c>
      <c r="C7201" t="s">
        <v>2262</v>
      </c>
      <c r="D7201" t="s">
        <v>152</v>
      </c>
      <c r="E7201">
        <f t="shared" ref="E7201:E7226" si="12">IF(M7201="credit",-1*J7201,J7201)</f>
        <v>83.89</v>
      </c>
      <c r="F7201" s="2" t="e">
        <f>IF(Table2[[#This Row],[Manual Cat Value]]="",VLOOKUP(Table2[[#This Row],[Description]],'Actuals Lookup'!D:F,3,0),Table2[[#This Row],[Manual Cat Value]])</f>
        <v>#N/A</v>
      </c>
      <c r="G7201" t="str">
        <f>VLOOKUP(D7201,Lookup!G:H,2,0)</f>
        <v>Amazon</v>
      </c>
      <c r="J7201">
        <v>83.89</v>
      </c>
      <c r="K7201" s="6"/>
      <c r="L7201" s="6"/>
      <c r="M7201" t="s">
        <v>2513</v>
      </c>
      <c r="O7201" t="str">
        <f>LEFT(Table2[[#This Row],[Description]],75)</f>
        <v>AMZN Mktp US1X5YT5LZ0 Amzncombil</v>
      </c>
    </row>
    <row r="7202" spans="1:15" hidden="1">
      <c r="A7202" s="25">
        <f t="shared" si="11"/>
        <v>202205</v>
      </c>
      <c r="B7202" s="6">
        <v>44712</v>
      </c>
      <c r="C7202" t="s">
        <v>2265</v>
      </c>
      <c r="D7202" t="s">
        <v>177</v>
      </c>
      <c r="E7202">
        <f t="shared" si="12"/>
        <v>-2.95</v>
      </c>
      <c r="F7202" s="2" t="e">
        <f>IF(Table2[[#This Row],[Manual Cat Value]]="",VLOOKUP(Table2[[#This Row],[Description]],'Actuals Lookup'!D:F,3,0),Table2[[#This Row],[Manual Cat Value]])</f>
        <v>#N/A</v>
      </c>
      <c r="G7202" t="str">
        <f>VLOOKUP(D7202,Lookup!G:H,2,0)</f>
        <v>Delete</v>
      </c>
      <c r="J7202">
        <v>2.95</v>
      </c>
      <c r="K7202" s="6"/>
      <c r="L7202" s="6"/>
      <c r="M7202" t="s">
        <v>2621</v>
      </c>
      <c r="O7202" t="str">
        <f>LEFT(Table2[[#This Row],[Description]],75)</f>
        <v>ATM FEE REFUND</v>
      </c>
    </row>
    <row r="7203" spans="1:15" hidden="1">
      <c r="A7203" s="25">
        <f t="shared" si="11"/>
        <v>202205</v>
      </c>
      <c r="B7203" s="6">
        <v>44712</v>
      </c>
      <c r="C7203" t="s">
        <v>2265</v>
      </c>
      <c r="D7203" t="s">
        <v>981</v>
      </c>
      <c r="E7203">
        <f t="shared" si="12"/>
        <v>-23.6</v>
      </c>
      <c r="F7203" s="2" t="e">
        <f>IF(Table2[[#This Row],[Manual Cat Value]]="",VLOOKUP(Table2[[#This Row],[Description]],'Actuals Lookup'!D:F,3,0),Table2[[#This Row],[Manual Cat Value]])</f>
        <v>#N/A</v>
      </c>
      <c r="G7203" t="str">
        <f>VLOOKUP(D7203,Lookup!G:H,2,0)</f>
        <v>Dividend</v>
      </c>
      <c r="J7203">
        <v>23.6</v>
      </c>
      <c r="K7203" s="6"/>
      <c r="L7203" s="6"/>
      <c r="M7203" t="s">
        <v>2621</v>
      </c>
      <c r="O7203" t="str">
        <f>LEFT(Table2[[#This Row],[Description]],75)</f>
        <v>Interest Income</v>
      </c>
    </row>
    <row r="7204" spans="1:15" hidden="1">
      <c r="A7204" s="25">
        <f t="shared" si="11"/>
        <v>202205</v>
      </c>
      <c r="B7204" s="6">
        <v>44712</v>
      </c>
      <c r="C7204" t="s">
        <v>2300</v>
      </c>
      <c r="D7204" t="s">
        <v>1710</v>
      </c>
      <c r="E7204">
        <f t="shared" si="12"/>
        <v>-14.62</v>
      </c>
      <c r="F7204" s="2" t="e">
        <f>IF(Table2[[#This Row],[Manual Cat Value]]="",VLOOKUP(Table2[[#This Row],[Description]],'Actuals Lookup'!D:F,3,0),Table2[[#This Row],[Manual Cat Value]])</f>
        <v>#N/A</v>
      </c>
      <c r="G7204" t="str">
        <f>VLOOKUP(D7204,Lookup!G:H,2,0)</f>
        <v>delete</v>
      </c>
      <c r="J7204">
        <v>14.62</v>
      </c>
      <c r="K7204" s="6"/>
      <c r="L7204" s="6"/>
      <c r="M7204" t="s">
        <v>2621</v>
      </c>
      <c r="O7204" t="str">
        <f>LEFT(Table2[[#This Row],[Description]],75)</f>
        <v>Split Rate APY Earned  100 05012</v>
      </c>
    </row>
    <row r="7205" spans="1:15" hidden="1">
      <c r="A7205" s="25">
        <f t="shared" si="11"/>
        <v>202205</v>
      </c>
      <c r="B7205" s="6">
        <v>44712</v>
      </c>
      <c r="C7205" t="s">
        <v>2262</v>
      </c>
      <c r="D7205" t="s">
        <v>1782</v>
      </c>
      <c r="E7205">
        <f t="shared" si="12"/>
        <v>20</v>
      </c>
      <c r="F7205" s="2" t="e">
        <f>IF(Table2[[#This Row],[Manual Cat Value]]="",VLOOKUP(Table2[[#This Row],[Description]],'Actuals Lookup'!D:F,3,0),Table2[[#This Row],[Manual Cat Value]])</f>
        <v>#N/A</v>
      </c>
      <c r="G7205" t="str">
        <f>VLOOKUP(D7205,Lookup!G:H,2,0)</f>
        <v>Shopping</v>
      </c>
      <c r="J7205">
        <v>20</v>
      </c>
      <c r="K7205" s="6"/>
      <c r="L7205" s="6"/>
      <c r="M7205" t="s">
        <v>2513</v>
      </c>
      <c r="O7205" t="str">
        <f>LEFT(Table2[[#This Row],[Description]],75)</f>
        <v>Stitch Fix</v>
      </c>
    </row>
    <row r="7206" spans="1:15" hidden="1">
      <c r="A7206" s="25">
        <f t="shared" si="11"/>
        <v>202205</v>
      </c>
      <c r="B7206" s="6">
        <v>44712</v>
      </c>
      <c r="C7206" t="s">
        <v>2265</v>
      </c>
      <c r="D7206" t="s">
        <v>1955</v>
      </c>
      <c r="E7206">
        <f t="shared" si="12"/>
        <v>571.24</v>
      </c>
      <c r="F7206" s="2" t="str">
        <f>IF(Table2[[#This Row],[Manual Cat Value]]="",VLOOKUP(Table2[[#This Row],[Description]],'Actuals Lookup'!D:F,3,0),Table2[[#This Row],[Manual Cat Value]])</f>
        <v>Shopping</v>
      </c>
      <c r="G7206" t="str">
        <f>VLOOKUP(D7206,Lookup!G:H,2,0)</f>
        <v>Shopping</v>
      </c>
      <c r="J7206">
        <v>571.24</v>
      </c>
      <c r="K7206" s="6"/>
      <c r="L7206" s="6"/>
      <c r="M7206" t="s">
        <v>2513</v>
      </c>
      <c r="O7206" t="str">
        <f>LEFT(Table2[[#This Row],[Description]],75)</f>
        <v>Transfer to PayPal</v>
      </c>
    </row>
    <row r="7207" spans="1:15" hidden="1">
      <c r="A7207" s="25">
        <f t="shared" si="11"/>
        <v>202205</v>
      </c>
      <c r="B7207" s="6">
        <v>44712</v>
      </c>
      <c r="C7207" t="s">
        <v>2265</v>
      </c>
      <c r="D7207" t="s">
        <v>1955</v>
      </c>
      <c r="E7207">
        <f t="shared" si="12"/>
        <v>467.08</v>
      </c>
      <c r="F7207" s="2" t="str">
        <f>IF(Table2[[#This Row],[Manual Cat Value]]="",VLOOKUP(Table2[[#This Row],[Description]],'Actuals Lookup'!D:F,3,0),Table2[[#This Row],[Manual Cat Value]])</f>
        <v>Shopping</v>
      </c>
      <c r="G7207" t="str">
        <f>VLOOKUP(D7207,Lookup!G:H,2,0)</f>
        <v>Shopping</v>
      </c>
      <c r="J7207">
        <v>467.08</v>
      </c>
      <c r="K7207" s="6"/>
      <c r="L7207" s="6"/>
      <c r="M7207" t="s">
        <v>2513</v>
      </c>
      <c r="O7207" t="str">
        <f>LEFT(Table2[[#This Row],[Description]],75)</f>
        <v>Transfer to PayPal</v>
      </c>
    </row>
    <row r="7208" spans="1:15" hidden="1">
      <c r="A7208" s="25">
        <f t="shared" si="11"/>
        <v>202205</v>
      </c>
      <c r="B7208" s="6">
        <v>44712</v>
      </c>
      <c r="C7208" t="s">
        <v>2265</v>
      </c>
      <c r="D7208" t="s">
        <v>1955</v>
      </c>
      <c r="E7208">
        <f t="shared" si="12"/>
        <v>95.19</v>
      </c>
      <c r="F7208" s="2" t="str">
        <f>IF(Table2[[#This Row],[Manual Cat Value]]="",VLOOKUP(Table2[[#This Row],[Description]],'Actuals Lookup'!D:F,3,0),Table2[[#This Row],[Manual Cat Value]])</f>
        <v>Shopping</v>
      </c>
      <c r="G7208" t="str">
        <f>VLOOKUP(D7208,Lookup!G:H,2,0)</f>
        <v>Shopping</v>
      </c>
      <c r="J7208">
        <v>95.19</v>
      </c>
      <c r="K7208" s="6"/>
      <c r="L7208" s="6"/>
      <c r="M7208" t="s">
        <v>2513</v>
      </c>
      <c r="O7208" t="str">
        <f>LEFT(Table2[[#This Row],[Description]],75)</f>
        <v>Transfer to PayPal</v>
      </c>
    </row>
    <row r="7209" spans="1:15" hidden="1">
      <c r="A7209" s="25">
        <f t="shared" si="11"/>
        <v>202205</v>
      </c>
      <c r="B7209" s="6">
        <v>44712</v>
      </c>
      <c r="C7209" t="s">
        <v>2265</v>
      </c>
      <c r="D7209" t="s">
        <v>1955</v>
      </c>
      <c r="E7209">
        <f t="shared" si="12"/>
        <v>0.99</v>
      </c>
      <c r="F7209" s="2" t="str">
        <f>IF(Table2[[#This Row],[Manual Cat Value]]="",VLOOKUP(Table2[[#This Row],[Description]],'Actuals Lookup'!D:F,3,0),Table2[[#This Row],[Manual Cat Value]])</f>
        <v>Shopping</v>
      </c>
      <c r="G7209" t="str">
        <f>VLOOKUP(D7209,Lookup!G:H,2,0)</f>
        <v>Shopping</v>
      </c>
      <c r="J7209">
        <v>0.99</v>
      </c>
      <c r="K7209" s="6"/>
      <c r="L7209" s="6"/>
      <c r="M7209" t="s">
        <v>2513</v>
      </c>
      <c r="O7209" t="str">
        <f>LEFT(Table2[[#This Row],[Description]],75)</f>
        <v>Transfer to PayPal</v>
      </c>
    </row>
    <row r="7210" spans="1:15" hidden="1">
      <c r="A7210" s="25">
        <f t="shared" si="11"/>
        <v>202205</v>
      </c>
      <c r="B7210" s="6">
        <v>44712</v>
      </c>
      <c r="C7210" t="s">
        <v>2265</v>
      </c>
      <c r="D7210" t="s">
        <v>1955</v>
      </c>
      <c r="E7210">
        <f t="shared" si="12"/>
        <v>0.99</v>
      </c>
      <c r="F7210" s="2" t="str">
        <f>IF(Table2[[#This Row],[Manual Cat Value]]="",VLOOKUP(Table2[[#This Row],[Description]],'Actuals Lookup'!D:F,3,0),Table2[[#This Row],[Manual Cat Value]])</f>
        <v>Shopping</v>
      </c>
      <c r="G7210" t="str">
        <f>VLOOKUP(D7210,Lookup!G:H,2,0)</f>
        <v>Shopping</v>
      </c>
      <c r="J7210">
        <v>0.99</v>
      </c>
      <c r="K7210" s="6"/>
      <c r="L7210" s="6"/>
      <c r="M7210" t="s">
        <v>2513</v>
      </c>
      <c r="O7210" t="str">
        <f>LEFT(Table2[[#This Row],[Description]],75)</f>
        <v>Transfer to PayPal</v>
      </c>
    </row>
    <row r="7211" spans="1:15" hidden="1">
      <c r="A7211" s="25">
        <f t="shared" si="11"/>
        <v>202205</v>
      </c>
      <c r="B7211" s="6">
        <v>44712</v>
      </c>
      <c r="C7211" t="s">
        <v>2265</v>
      </c>
      <c r="D7211" t="s">
        <v>1958</v>
      </c>
      <c r="E7211">
        <f t="shared" si="12"/>
        <v>38</v>
      </c>
      <c r="F7211" s="2" t="str">
        <f>IF(Table2[[#This Row],[Manual Cat Value]]="",VLOOKUP(Table2[[#This Row],[Description]],'Actuals Lookup'!D:F,3,0),Table2[[#This Row],[Manual Cat Value]])</f>
        <v>Shopping</v>
      </c>
      <c r="G7211" t="str">
        <f>VLOOKUP(D7211,Lookup!G:H,2,0)</f>
        <v>Travel</v>
      </c>
      <c r="J7211">
        <v>38</v>
      </c>
      <c r="K7211" s="6"/>
      <c r="L7211" s="6"/>
      <c r="M7211" t="s">
        <v>2513</v>
      </c>
      <c r="O7211" t="str">
        <f>LEFT(Table2[[#This Row],[Description]],75)</f>
        <v>Transfer to Venmo</v>
      </c>
    </row>
    <row r="7212" spans="1:15" hidden="1">
      <c r="A7212" s="25">
        <f t="shared" si="11"/>
        <v>202205</v>
      </c>
      <c r="B7212" s="6">
        <v>44712</v>
      </c>
      <c r="C7212" t="s">
        <v>2265</v>
      </c>
      <c r="D7212" t="s">
        <v>1465</v>
      </c>
      <c r="E7212">
        <f t="shared" si="12"/>
        <v>26.88</v>
      </c>
      <c r="F7212" s="2" t="e">
        <f>IF(Table2[[#This Row],[Manual Cat Value]]="",VLOOKUP(Table2[[#This Row],[Description]],'Actuals Lookup'!D:F,3,0),Table2[[#This Row],[Manual Cat Value]])</f>
        <v>#N/A</v>
      </c>
      <c r="G7212" t="str">
        <f>VLOOKUP(D7212,Lookup!G:H,2,0)</f>
        <v>Shopping</v>
      </c>
      <c r="J7212">
        <v>26.88</v>
      </c>
      <c r="K7212" s="6"/>
      <c r="L7212" s="6"/>
      <c r="M7212" t="s">
        <v>2513</v>
      </c>
      <c r="O7212" t="str">
        <f>LEFT(Table2[[#This Row],[Description]],75)</f>
        <v>Payment to Nordstrom</v>
      </c>
    </row>
    <row r="7213" spans="1:15" ht="30" hidden="1">
      <c r="A7213" s="25">
        <f t="shared" si="11"/>
        <v>202206</v>
      </c>
      <c r="B7213" s="6">
        <v>44713</v>
      </c>
      <c r="C7213" t="s">
        <v>2447</v>
      </c>
      <c r="D7213" s="7" t="s">
        <v>118</v>
      </c>
      <c r="E7213">
        <f t="shared" si="12"/>
        <v>5.36</v>
      </c>
      <c r="F7213" s="2" t="e">
        <f>IF(Table2[[#This Row],[Manual Cat Value]]="",VLOOKUP(Table2[[#This Row],[Description]],'Actuals Lookup'!D:F,3,0),Table2[[#This Row],[Manual Cat Value]])</f>
        <v>#N/A</v>
      </c>
      <c r="G7213" t="str">
        <f>VLOOKUP(D7213,Lookup!G:H,2,0)</f>
        <v>Entertainment</v>
      </c>
      <c r="J7213">
        <v>5.36</v>
      </c>
      <c r="K7213" s="6"/>
      <c r="L7213" s="6"/>
      <c r="M7213" t="s">
        <v>2513</v>
      </c>
      <c r="O7213" t="str">
        <f>LEFT(Table2[[#This Row],[Description]],75)</f>
        <v>AMAZON MUSIC*5I5K121W3 888-802-3080 WA
4WTNABW2X6S</v>
      </c>
    </row>
    <row r="7214" spans="1:15" hidden="1">
      <c r="A7214" s="25">
        <f t="shared" si="11"/>
        <v>202206</v>
      </c>
      <c r="B7214" s="6">
        <v>44713</v>
      </c>
      <c r="C7214" t="s">
        <v>2262</v>
      </c>
      <c r="D7214" t="s">
        <v>200</v>
      </c>
      <c r="E7214">
        <f t="shared" si="12"/>
        <v>18.2</v>
      </c>
      <c r="F7214" s="2" t="e">
        <f>IF(Table2[[#This Row],[Manual Cat Value]]="",VLOOKUP(Table2[[#This Row],[Description]],'Actuals Lookup'!D:F,3,0),Table2[[#This Row],[Manual Cat Value]])</f>
        <v>#N/A</v>
      </c>
      <c r="G7214" t="str">
        <f>VLOOKUP(D7214,Lookup!G:H,2,0)</f>
        <v>Shopping</v>
      </c>
      <c r="J7214">
        <v>18.2</v>
      </c>
      <c r="K7214" s="6"/>
      <c r="L7214" s="6"/>
      <c r="M7214" t="s">
        <v>2513</v>
      </c>
      <c r="O7214" t="str">
        <f>LEFT(Table2[[#This Row],[Description]],75)</f>
        <v>BANANA REPUBLIC ONLINE  88827789</v>
      </c>
    </row>
    <row r="7215" spans="1:15" hidden="1">
      <c r="A7215" s="25">
        <f t="shared" si="11"/>
        <v>202206</v>
      </c>
      <c r="B7215" s="6">
        <v>44713</v>
      </c>
      <c r="C7215" t="s">
        <v>2262</v>
      </c>
      <c r="D7215" t="s">
        <v>200</v>
      </c>
      <c r="E7215">
        <f t="shared" si="12"/>
        <v>39.200000000000003</v>
      </c>
      <c r="F7215" s="2" t="e">
        <f>IF(Table2[[#This Row],[Manual Cat Value]]="",VLOOKUP(Table2[[#This Row],[Description]],'Actuals Lookup'!D:F,3,0),Table2[[#This Row],[Manual Cat Value]])</f>
        <v>#N/A</v>
      </c>
      <c r="G7215" t="str">
        <f>VLOOKUP(D7215,Lookup!G:H,2,0)</f>
        <v>Shopping</v>
      </c>
      <c r="J7215">
        <v>39.200000000000003</v>
      </c>
      <c r="K7215" s="6"/>
      <c r="L7215" s="6"/>
      <c r="M7215" t="s">
        <v>2513</v>
      </c>
      <c r="O7215" t="str">
        <f>LEFT(Table2[[#This Row],[Description]],75)</f>
        <v>BANANA REPUBLIC ONLINE  88827789</v>
      </c>
    </row>
    <row r="7216" spans="1:15" hidden="1">
      <c r="A7216" s="25">
        <f t="shared" si="11"/>
        <v>202206</v>
      </c>
      <c r="B7216" s="6">
        <v>44713</v>
      </c>
      <c r="C7216" t="s">
        <v>2262</v>
      </c>
      <c r="D7216" t="s">
        <v>454</v>
      </c>
      <c r="E7216">
        <f t="shared" si="12"/>
        <v>31.66</v>
      </c>
      <c r="F7216" s="2" t="e">
        <f>IF(Table2[[#This Row],[Manual Cat Value]]="",VLOOKUP(Table2[[#This Row],[Description]],'Actuals Lookup'!D:F,3,0),Table2[[#This Row],[Manual Cat Value]])</f>
        <v>#N/A</v>
      </c>
      <c r="G7216" t="str">
        <f>VLOOKUP(D7216,Lookup!G:H,2,0)</f>
        <v>Restaurants</v>
      </c>
      <c r="J7216">
        <v>31.66</v>
      </c>
      <c r="K7216" s="6"/>
      <c r="L7216" s="6"/>
      <c r="M7216" t="s">
        <v>2513</v>
      </c>
      <c r="O7216" t="str">
        <f>LEFT(Table2[[#This Row],[Description]],75)</f>
        <v>CARIBOU COFFEE 1435     SAINT CL</v>
      </c>
    </row>
    <row r="7217" spans="1:15" hidden="1">
      <c r="A7217" s="25">
        <f t="shared" si="11"/>
        <v>202206</v>
      </c>
      <c r="B7217" s="6">
        <v>44713</v>
      </c>
      <c r="C7217" t="s">
        <v>2265</v>
      </c>
      <c r="D7217" t="s">
        <v>597</v>
      </c>
      <c r="E7217">
        <f t="shared" si="12"/>
        <v>200</v>
      </c>
      <c r="F7217" s="2" t="e">
        <f>IF(Table2[[#This Row],[Manual Cat Value]]="",VLOOKUP(Table2[[#This Row],[Description]],'Actuals Lookup'!D:F,3,0),Table2[[#This Row],[Manual Cat Value]])</f>
        <v>#N/A</v>
      </c>
      <c r="G7217" t="str">
        <f>VLOOKUP(D7217,Lookup!G:H,2,0)</f>
        <v>Delete</v>
      </c>
      <c r="J7217">
        <v>200</v>
      </c>
      <c r="K7217" s="6"/>
      <c r="L7217" s="6"/>
      <c r="M7217" t="s">
        <v>2513</v>
      </c>
      <c r="O7217" t="str">
        <f>LEFT(Table2[[#This Row],[Description]],75)</f>
        <v>College Savings TYPE ACH ID XX58</v>
      </c>
    </row>
    <row r="7218" spans="1:15" hidden="1">
      <c r="A7218" s="25">
        <f t="shared" si="11"/>
        <v>202206</v>
      </c>
      <c r="B7218" s="6">
        <v>44713</v>
      </c>
      <c r="C7218" t="s">
        <v>2314</v>
      </c>
      <c r="D7218" t="s">
        <v>859</v>
      </c>
      <c r="E7218">
        <f t="shared" si="12"/>
        <v>-597.84</v>
      </c>
      <c r="F7218" s="2" t="str">
        <f>IF(Table2[[#This Row],[Manual Cat Value]]="",VLOOKUP(Table2[[#This Row],[Description]],'Actuals Lookup'!D:F,3,0),Table2[[#This Row],[Manual Cat Value]])</f>
        <v>Delete</v>
      </c>
      <c r="G7218" t="str">
        <f>VLOOKUP(D7218,Lookup!G:H,2,0)</f>
        <v>Car Loan</v>
      </c>
      <c r="H7218" s="8" t="s">
        <v>9</v>
      </c>
      <c r="J7218">
        <v>597.84</v>
      </c>
      <c r="K7218" s="6"/>
      <c r="L7218" s="6"/>
      <c r="M7218" t="s">
        <v>2621</v>
      </c>
      <c r="O7218" t="str">
        <f>LEFT(Table2[[#This Row],[Description]],75)</f>
        <v>From Share 70</v>
      </c>
    </row>
    <row r="7219" spans="1:15" hidden="1">
      <c r="A7219" s="25">
        <f t="shared" si="11"/>
        <v>202206</v>
      </c>
      <c r="B7219" s="6">
        <v>44713</v>
      </c>
      <c r="C7219" t="s">
        <v>2265</v>
      </c>
      <c r="D7219" t="s">
        <v>1011</v>
      </c>
      <c r="E7219">
        <f t="shared" si="12"/>
        <v>-1250</v>
      </c>
      <c r="F7219" s="2" t="e">
        <f>IF(Table2[[#This Row],[Manual Cat Value]]="",VLOOKUP(Table2[[#This Row],[Description]],'Actuals Lookup'!D:F,3,0),Table2[[#This Row],[Manual Cat Value]])</f>
        <v>#N/A</v>
      </c>
      <c r="G7219" t="str">
        <f>VLOOKUP(D7219,Lookup!G:H,2,0)</f>
        <v>delete</v>
      </c>
      <c r="J7219">
        <v>1250</v>
      </c>
      <c r="K7219" s="6"/>
      <c r="L7219" s="6"/>
      <c r="M7219" t="s">
        <v>2621</v>
      </c>
      <c r="O7219" t="str">
        <f>LEFT(Table2[[#This Row],[Description]],75)</f>
        <v>JEFFREY BRYAN T TYPE P2P  ID   C</v>
      </c>
    </row>
    <row r="7220" spans="1:15" hidden="1">
      <c r="A7220" s="25">
        <f t="shared" si="11"/>
        <v>202206</v>
      </c>
      <c r="B7220" s="6">
        <v>44713</v>
      </c>
      <c r="C7220" t="s">
        <v>2265</v>
      </c>
      <c r="D7220" t="s">
        <v>1195</v>
      </c>
      <c r="E7220">
        <f t="shared" si="12"/>
        <v>536.29999999999995</v>
      </c>
      <c r="F7220" s="2" t="e">
        <f>IF(Table2[[#This Row],[Manual Cat Value]]="",VLOOKUP(Table2[[#This Row],[Description]],'Actuals Lookup'!D:F,3,0),Table2[[#This Row],[Manual Cat Value]])</f>
        <v>#N/A</v>
      </c>
      <c r="G7220" t="str">
        <f>VLOOKUP(D7220,Lookup!G:H,2,0)</f>
        <v>Day Care</v>
      </c>
      <c r="J7220">
        <v>536.29999999999995</v>
      </c>
      <c r="K7220" s="6"/>
      <c r="L7220" s="6"/>
      <c r="M7220" t="s">
        <v>2513</v>
      </c>
      <c r="O7220" t="str">
        <f>LEFT(Table2[[#This Row],[Description]],75)</f>
        <v>MHCHILDCARELLC TYPE DUES ID CO M</v>
      </c>
    </row>
    <row r="7221" spans="1:15" hidden="1">
      <c r="A7221" s="25">
        <f t="shared" si="11"/>
        <v>202206</v>
      </c>
      <c r="B7221" s="6">
        <v>44713</v>
      </c>
      <c r="C7221" t="s">
        <v>2262</v>
      </c>
      <c r="D7221" t="s">
        <v>1409</v>
      </c>
      <c r="E7221">
        <f t="shared" si="12"/>
        <v>152</v>
      </c>
      <c r="F7221" s="2" t="e">
        <f>IF(Table2[[#This Row],[Manual Cat Value]]="",VLOOKUP(Table2[[#This Row],[Description]],'Actuals Lookup'!D:F,3,0),Table2[[#This Row],[Manual Cat Value]])</f>
        <v>#N/A</v>
      </c>
      <c r="G7221" t="str">
        <f>VLOOKUP(D7221,Lookup!G:H,2,0)</f>
        <v>shopping</v>
      </c>
      <c r="J7221">
        <v>152</v>
      </c>
      <c r="K7221" s="6"/>
      <c r="L7221" s="6"/>
      <c r="M7221" t="s">
        <v>2513</v>
      </c>
      <c r="O7221" t="str">
        <f>LEFT(Table2[[#This Row],[Description]],75)</f>
        <v>Patagonia Direct Inc    80063864</v>
      </c>
    </row>
    <row r="7222" spans="1:15" hidden="1">
      <c r="A7222" s="25">
        <f t="shared" si="11"/>
        <v>202206</v>
      </c>
      <c r="B7222" s="6">
        <v>44713</v>
      </c>
      <c r="C7222" t="s">
        <v>2262</v>
      </c>
      <c r="D7222" t="s">
        <v>1409</v>
      </c>
      <c r="E7222">
        <f t="shared" si="12"/>
        <v>226</v>
      </c>
      <c r="F7222" s="2" t="e">
        <f>IF(Table2[[#This Row],[Manual Cat Value]]="",VLOOKUP(Table2[[#This Row],[Description]],'Actuals Lookup'!D:F,3,0),Table2[[#This Row],[Manual Cat Value]])</f>
        <v>#N/A</v>
      </c>
      <c r="G7222" t="str">
        <f>VLOOKUP(D7222,Lookup!G:H,2,0)</f>
        <v>shopping</v>
      </c>
      <c r="J7222">
        <v>226</v>
      </c>
      <c r="K7222" s="6"/>
      <c r="L7222" s="6"/>
      <c r="M7222" t="s">
        <v>2513</v>
      </c>
      <c r="O7222" t="str">
        <f>LEFT(Table2[[#This Row],[Description]],75)</f>
        <v>Patagonia Direct Inc    80063864</v>
      </c>
    </row>
    <row r="7223" spans="1:15" hidden="1">
      <c r="A7223" s="25">
        <f t="shared" si="11"/>
        <v>202206</v>
      </c>
      <c r="B7223" s="6">
        <v>44713</v>
      </c>
      <c r="C7223" t="s">
        <v>2265</v>
      </c>
      <c r="D7223" t="s">
        <v>1877</v>
      </c>
      <c r="E7223">
        <f t="shared" si="12"/>
        <v>618.65</v>
      </c>
      <c r="F7223" s="2" t="e">
        <f>IF(Table2[[#This Row],[Manual Cat Value]]="",VLOOKUP(Table2[[#This Row],[Description]],'Actuals Lookup'!D:F,3,0),Table2[[#This Row],[Manual Cat Value]])</f>
        <v>#N/A</v>
      </c>
      <c r="G7223" t="str">
        <f>VLOOKUP(D7223,Lookup!G:H,2,0)</f>
        <v>Car Loan</v>
      </c>
      <c r="J7223">
        <v>618.65</v>
      </c>
      <c r="K7223" s="6"/>
      <c r="L7223" s="6"/>
      <c r="M7223" t="s">
        <v>2513</v>
      </c>
      <c r="O7223" t="str">
        <f>LEFT(Table2[[#This Row],[Description]],75)</f>
        <v>To Loan 02</v>
      </c>
    </row>
    <row r="7224" spans="1:15" hidden="1">
      <c r="A7224" s="25">
        <f t="shared" si="11"/>
        <v>202206</v>
      </c>
      <c r="B7224" s="6">
        <v>44713</v>
      </c>
      <c r="C7224" t="s">
        <v>2262</v>
      </c>
      <c r="D7224" t="s">
        <v>2222</v>
      </c>
      <c r="E7224">
        <f t="shared" si="12"/>
        <v>32.409999999999997</v>
      </c>
      <c r="F7224" s="2" t="e">
        <f>IF(Table2[[#This Row],[Manual Cat Value]]="",VLOOKUP(Table2[[#This Row],[Description]],'Actuals Lookup'!D:F,3,0),Table2[[#This Row],[Manual Cat Value]])</f>
        <v>#N/A</v>
      </c>
      <c r="G7224" t="str">
        <f>VLOOKUP(D7224,Lookup!G:H,2,0)</f>
        <v>shopping</v>
      </c>
      <c r="J7224">
        <v>32.409999999999997</v>
      </c>
      <c r="K7224" s="6"/>
      <c r="L7224" s="6"/>
      <c r="M7224" t="s">
        <v>2513</v>
      </c>
      <c r="O7224" t="str">
        <f>LEFT(Table2[[#This Row],[Description]],75)</f>
        <v>YETI 18332259384      5123949384</v>
      </c>
    </row>
    <row r="7225" spans="1:15" hidden="1">
      <c r="A7225" s="25">
        <f t="shared" si="11"/>
        <v>202206</v>
      </c>
      <c r="B7225" s="6">
        <v>44713</v>
      </c>
      <c r="C7225" t="s">
        <v>2262</v>
      </c>
      <c r="D7225" t="s">
        <v>2222</v>
      </c>
      <c r="E7225">
        <f t="shared" si="12"/>
        <v>136.11000000000001</v>
      </c>
      <c r="F7225" s="2" t="e">
        <f>IF(Table2[[#This Row],[Manual Cat Value]]="",VLOOKUP(Table2[[#This Row],[Description]],'Actuals Lookup'!D:F,3,0),Table2[[#This Row],[Manual Cat Value]])</f>
        <v>#N/A</v>
      </c>
      <c r="G7225" t="str">
        <f>VLOOKUP(D7225,Lookup!G:H,2,0)</f>
        <v>shopping</v>
      </c>
      <c r="J7225">
        <v>136.11000000000001</v>
      </c>
      <c r="K7225" s="6"/>
      <c r="L7225" s="6"/>
      <c r="M7225" t="s">
        <v>2513</v>
      </c>
      <c r="O7225" t="str">
        <f>LEFT(Table2[[#This Row],[Description]],75)</f>
        <v>YETI 18332259384      5123949384</v>
      </c>
    </row>
    <row r="7226" spans="1:15" hidden="1">
      <c r="A7226" s="25">
        <f t="shared" si="11"/>
        <v>202206</v>
      </c>
      <c r="B7226" s="6">
        <v>44713</v>
      </c>
      <c r="C7226" t="s">
        <v>2270</v>
      </c>
      <c r="D7226" t="s">
        <v>1410</v>
      </c>
      <c r="E7226">
        <f t="shared" si="12"/>
        <v>-769.49</v>
      </c>
      <c r="F7226" s="2" t="str">
        <f>IF(Table2[[#This Row],[Manual Cat Value]]="",VLOOKUP(Table2[[#This Row],[Description]],'Actuals Lookup'!D:F,3,0),Table2[[#This Row],[Manual Cat Value]])</f>
        <v>Delete</v>
      </c>
      <c r="G7226" t="str">
        <f>VLOOKUP(D7226,Lookup!G:H,2,0)</f>
        <v>Delete</v>
      </c>
      <c r="J7226">
        <v>769.49</v>
      </c>
      <c r="K7226" s="6"/>
      <c r="L7226" s="6"/>
      <c r="M7226" t="s">
        <v>2621</v>
      </c>
      <c r="O7226" t="str">
        <f>LEFT(Table2[[#This Row],[Description]],75)</f>
        <v>PAYMENT</v>
      </c>
    </row>
    <row r="7227" spans="1:15" hidden="1">
      <c r="A7227" s="25">
        <f t="shared" si="11"/>
        <v>202206</v>
      </c>
      <c r="B7227" s="6">
        <v>44713</v>
      </c>
      <c r="C7227" t="s">
        <v>2265</v>
      </c>
      <c r="D7227" t="s">
        <v>1460</v>
      </c>
      <c r="E7227">
        <v>3003.94</v>
      </c>
      <c r="F7227" s="2" t="str">
        <f>IF(Table2[[#This Row],[Manual Cat Value]]="",VLOOKUP(Table2[[#This Row],[Description]],'Actuals Lookup'!D:F,3,0),Table2[[#This Row],[Manual Cat Value]])</f>
        <v>Rent</v>
      </c>
      <c r="G7227" t="str">
        <f>VLOOKUP(D7227,Lookup!G:H,2,0)</f>
        <v>Rent</v>
      </c>
      <c r="J7227">
        <v>2572.94</v>
      </c>
      <c r="K7227" s="6"/>
      <c r="L7227" s="6"/>
      <c r="M7227" t="s">
        <v>2513</v>
      </c>
      <c r="O7227" t="str">
        <f>LEFT(Table2[[#This Row],[Description]],75)</f>
        <v>Payment to Baxter Credit Union</v>
      </c>
    </row>
    <row r="7228" spans="1:15" hidden="1">
      <c r="A7228" s="25">
        <f t="shared" si="11"/>
        <v>202206</v>
      </c>
      <c r="B7228" s="6">
        <v>44713</v>
      </c>
      <c r="C7228" t="s">
        <v>2265</v>
      </c>
      <c r="D7228" t="s">
        <v>1810</v>
      </c>
      <c r="E7228">
        <f t="shared" ref="E7228:E7259" si="13">IF(M7228="credit",-1*J7228,J7228)</f>
        <v>-130.24</v>
      </c>
      <c r="F7228" s="2" t="e">
        <f>IF(Table2[[#This Row],[Manual Cat Value]]="",VLOOKUP(Table2[[#This Row],[Description]],'Actuals Lookup'!D:F,3,0),Table2[[#This Row],[Manual Cat Value]])</f>
        <v>#N/A</v>
      </c>
      <c r="G7228" t="str">
        <f>VLOOKUP(D7228,Lookup!G:H,2,0)</f>
        <v>Delete</v>
      </c>
      <c r="J7228">
        <v>130.24</v>
      </c>
      <c r="K7228" s="6"/>
      <c r="L7228" s="6"/>
      <c r="M7228" t="s">
        <v>2621</v>
      </c>
      <c r="O7228" t="str">
        <f>LEFT(Table2[[#This Row],[Description]],75)</f>
        <v>SYNTELLIS TYPE PAYMENT  ID  CO S</v>
      </c>
    </row>
    <row r="7229" spans="1:15" hidden="1">
      <c r="A7229" s="25">
        <f t="shared" si="11"/>
        <v>202206</v>
      </c>
      <c r="B7229" s="6">
        <v>44714</v>
      </c>
      <c r="C7229" t="s">
        <v>2262</v>
      </c>
      <c r="D7229" t="s">
        <v>200</v>
      </c>
      <c r="E7229">
        <f t="shared" si="13"/>
        <v>16.8</v>
      </c>
      <c r="F7229" s="2" t="e">
        <f>IF(Table2[[#This Row],[Manual Cat Value]]="",VLOOKUP(Table2[[#This Row],[Description]],'Actuals Lookup'!D:F,3,0),Table2[[#This Row],[Manual Cat Value]])</f>
        <v>#N/A</v>
      </c>
      <c r="G7229" t="str">
        <f>VLOOKUP(D7229,Lookup!G:H,2,0)</f>
        <v>Shopping</v>
      </c>
      <c r="J7229">
        <v>16.8</v>
      </c>
      <c r="K7229" s="6"/>
      <c r="L7229" s="6"/>
      <c r="M7229" t="s">
        <v>2513</v>
      </c>
      <c r="O7229" t="str">
        <f>LEFT(Table2[[#This Row],[Description]],75)</f>
        <v>BANANA REPUBLIC ONLINE  88827789</v>
      </c>
    </row>
    <row r="7230" spans="1:15" hidden="1">
      <c r="A7230" s="25">
        <f t="shared" si="11"/>
        <v>202206</v>
      </c>
      <c r="B7230" s="6">
        <v>44714</v>
      </c>
      <c r="C7230" t="s">
        <v>2262</v>
      </c>
      <c r="D7230" t="s">
        <v>686</v>
      </c>
      <c r="E7230">
        <f t="shared" si="13"/>
        <v>93.37</v>
      </c>
      <c r="F7230" s="2" t="e">
        <f>IF(Table2[[#This Row],[Manual Cat Value]]="",VLOOKUP(Table2[[#This Row],[Description]],'Actuals Lookup'!D:F,3,0),Table2[[#This Row],[Manual Cat Value]])</f>
        <v>#N/A</v>
      </c>
      <c r="G7230" t="str">
        <f>VLOOKUP(D7230,Lookup!G:H,2,0)</f>
        <v>Groceries</v>
      </c>
      <c r="J7230">
        <v>93.37</v>
      </c>
      <c r="K7230" s="6"/>
      <c r="L7230" s="6"/>
      <c r="M7230" t="s">
        <v>2513</v>
      </c>
      <c r="O7230" t="str">
        <f>LEFT(Table2[[#This Row],[Description]],75)</f>
        <v>CUB FOODS 1636          SHOREWOO</v>
      </c>
    </row>
    <row r="7231" spans="1:15" hidden="1">
      <c r="A7231" s="25">
        <f t="shared" si="11"/>
        <v>202206</v>
      </c>
      <c r="B7231" s="6">
        <v>44714</v>
      </c>
      <c r="C7231" t="s">
        <v>2262</v>
      </c>
      <c r="D7231" t="s">
        <v>1069</v>
      </c>
      <c r="E7231">
        <f t="shared" si="13"/>
        <v>52</v>
      </c>
      <c r="F7231" s="2" t="e">
        <f>IF(Table2[[#This Row],[Manual Cat Value]]="",VLOOKUP(Table2[[#This Row],[Description]],'Actuals Lookup'!D:F,3,0),Table2[[#This Row],[Manual Cat Value]])</f>
        <v>#N/A</v>
      </c>
      <c r="G7231" t="str">
        <f>VLOOKUP(D7231,Lookup!G:H,2,0)</f>
        <v>misc</v>
      </c>
      <c r="J7231">
        <v>52</v>
      </c>
      <c r="K7231" s="6"/>
      <c r="L7231" s="6"/>
      <c r="M7231" t="s">
        <v>2513</v>
      </c>
      <c r="O7231" t="str">
        <f>LEFT(Table2[[#This Row],[Description]],75)</f>
        <v>KIDS HAIR CH             CHANHAS</v>
      </c>
    </row>
    <row r="7232" spans="1:15" hidden="1">
      <c r="A7232" s="25">
        <f t="shared" si="11"/>
        <v>202206</v>
      </c>
      <c r="B7232" s="6">
        <v>44714</v>
      </c>
      <c r="C7232" t="s">
        <v>2265</v>
      </c>
      <c r="D7232" t="s">
        <v>1472</v>
      </c>
      <c r="E7232">
        <f t="shared" si="13"/>
        <v>15.11</v>
      </c>
      <c r="F7232" s="2" t="e">
        <f>IF(Table2[[#This Row],[Manual Cat Value]]="",VLOOKUP(Table2[[#This Row],[Description]],'Actuals Lookup'!D:F,3,0),Table2[[#This Row],[Manual Cat Value]])</f>
        <v>#N/A</v>
      </c>
      <c r="G7232" t="str">
        <f>VLOOKUP(D7232,Lookup!G:H,2,0)</f>
        <v>shopping</v>
      </c>
      <c r="J7232">
        <v>15.11</v>
      </c>
      <c r="K7232" s="6"/>
      <c r="L7232" s="6"/>
      <c r="M7232" t="s">
        <v>2513</v>
      </c>
      <c r="O7232" t="str">
        <f>LEFT(Table2[[#This Row],[Description]],75)</f>
        <v>PAYPAL TYPE INST XFER  ID PAYPAL</v>
      </c>
    </row>
    <row r="7233" spans="1:15" hidden="1">
      <c r="A7233" s="25">
        <f t="shared" ref="A7233:A7264" si="14">VALUE(YEAR(B7233)&amp;TEXT(MONTH(B7233),"00"))</f>
        <v>202206</v>
      </c>
      <c r="B7233" s="6">
        <v>44714</v>
      </c>
      <c r="C7233" t="s">
        <v>2265</v>
      </c>
      <c r="D7233" t="s">
        <v>2113</v>
      </c>
      <c r="E7233">
        <f t="shared" si="13"/>
        <v>200</v>
      </c>
      <c r="F7233" s="2" t="e">
        <f>IF(Table2[[#This Row],[Manual Cat Value]]="",VLOOKUP(Table2[[#This Row],[Description]],'Actuals Lookup'!D:F,3,0),Table2[[#This Row],[Manual Cat Value]])</f>
        <v>#N/A</v>
      </c>
      <c r="G7233" t="str">
        <f>VLOOKUP(D7233,Lookup!G:H,2,0)</f>
        <v>shopping</v>
      </c>
      <c r="J7233">
        <v>200</v>
      </c>
      <c r="K7233" s="6"/>
      <c r="L7233" s="6"/>
      <c r="M7233" t="s">
        <v>2513</v>
      </c>
      <c r="O7233" t="str">
        <f>LEFT(Table2[[#This Row],[Description]],75)</f>
        <v>VENMO TYPE PAYMENT  ID   CO VENM</v>
      </c>
    </row>
    <row r="7234" spans="1:15" hidden="1">
      <c r="A7234" s="25">
        <f t="shared" si="14"/>
        <v>202206</v>
      </c>
      <c r="B7234" s="6">
        <v>44715</v>
      </c>
      <c r="C7234" t="s">
        <v>2262</v>
      </c>
      <c r="D7234" t="s">
        <v>199</v>
      </c>
      <c r="E7234">
        <f t="shared" si="13"/>
        <v>21.43</v>
      </c>
      <c r="F7234" s="2" t="e">
        <f>IF(Table2[[#This Row],[Manual Cat Value]]="",VLOOKUP(Table2[[#This Row],[Description]],'Actuals Lookup'!D:F,3,0),Table2[[#This Row],[Manual Cat Value]])</f>
        <v>#N/A</v>
      </c>
      <c r="G7234" t="str">
        <f>VLOOKUP(D7234,Lookup!G:H,2,0)</f>
        <v>Shopping</v>
      </c>
      <c r="J7234">
        <v>21.43</v>
      </c>
      <c r="K7234" s="6"/>
      <c r="L7234" s="6"/>
      <c r="M7234" t="s">
        <v>2513</v>
      </c>
      <c r="O7234" t="str">
        <f>LEFT(Table2[[#This Row],[Description]],75)</f>
        <v>Banana Republic</v>
      </c>
    </row>
    <row r="7235" spans="1:15" hidden="1">
      <c r="A7235" s="25">
        <f t="shared" si="14"/>
        <v>202206</v>
      </c>
      <c r="B7235" s="6">
        <v>44715</v>
      </c>
      <c r="C7235" t="s">
        <v>2262</v>
      </c>
      <c r="D7235" t="s">
        <v>199</v>
      </c>
      <c r="E7235">
        <f t="shared" si="13"/>
        <v>5</v>
      </c>
      <c r="F7235" s="2" t="e">
        <f>IF(Table2[[#This Row],[Manual Cat Value]]="",VLOOKUP(Table2[[#This Row],[Description]],'Actuals Lookup'!D:F,3,0),Table2[[#This Row],[Manual Cat Value]])</f>
        <v>#N/A</v>
      </c>
      <c r="G7235" t="str">
        <f>VLOOKUP(D7235,Lookup!G:H,2,0)</f>
        <v>Shopping</v>
      </c>
      <c r="J7235">
        <v>5</v>
      </c>
      <c r="K7235" s="6"/>
      <c r="L7235" s="6"/>
      <c r="M7235" t="s">
        <v>2513</v>
      </c>
      <c r="O7235" t="str">
        <f>LEFT(Table2[[#This Row],[Description]],75)</f>
        <v>Banana Republic</v>
      </c>
    </row>
    <row r="7236" spans="1:15" hidden="1">
      <c r="A7236" s="25">
        <f t="shared" si="14"/>
        <v>202206</v>
      </c>
      <c r="B7236" s="6">
        <v>44715</v>
      </c>
      <c r="C7236" t="s">
        <v>2262</v>
      </c>
      <c r="D7236" t="s">
        <v>648</v>
      </c>
      <c r="E7236">
        <f t="shared" si="13"/>
        <v>94.62</v>
      </c>
      <c r="F7236" s="2" t="str">
        <f>IF(Table2[[#This Row],[Manual Cat Value]]="",VLOOKUP(Table2[[#This Row],[Description]],'Actuals Lookup'!D:F,3,0),Table2[[#This Row],[Manual Cat Value]])</f>
        <v>Groceries</v>
      </c>
      <c r="G7236" t="str">
        <f>VLOOKUP(D7236,Lookup!G:H,2,0)</f>
        <v>Groceries</v>
      </c>
      <c r="J7236">
        <v>94.62</v>
      </c>
      <c r="K7236" s="6"/>
      <c r="L7236" s="6"/>
      <c r="M7236" t="s">
        <v>2513</v>
      </c>
      <c r="O7236" t="str">
        <f>LEFT(Table2[[#This Row],[Description]],75)</f>
        <v>Costco</v>
      </c>
    </row>
    <row r="7237" spans="1:15" hidden="1">
      <c r="A7237" s="25">
        <f t="shared" si="14"/>
        <v>202206</v>
      </c>
      <c r="B7237" s="6">
        <v>44715</v>
      </c>
      <c r="C7237" t="s">
        <v>2262</v>
      </c>
      <c r="D7237" t="s">
        <v>925</v>
      </c>
      <c r="E7237">
        <f t="shared" si="13"/>
        <v>18</v>
      </c>
      <c r="F7237" s="2" t="e">
        <f>IF(Table2[[#This Row],[Manual Cat Value]]="",VLOOKUP(Table2[[#This Row],[Description]],'Actuals Lookup'!D:F,3,0),Table2[[#This Row],[Manual Cat Value]])</f>
        <v>#N/A</v>
      </c>
      <c r="G7237" t="str">
        <f>VLOOKUP(D7237,Lookup!G:H,2,0)</f>
        <v>Entertainment</v>
      </c>
      <c r="J7237">
        <v>18</v>
      </c>
      <c r="K7237" s="6"/>
      <c r="L7237" s="6"/>
      <c r="M7237" t="s">
        <v>2513</v>
      </c>
      <c r="O7237" t="str">
        <f>LEFT(Table2[[#This Row],[Description]],75)</f>
        <v>HBRSUBSCRIPTION XX0886 MA</v>
      </c>
    </row>
    <row r="7238" spans="1:15" hidden="1">
      <c r="A7238" s="25">
        <f t="shared" si="14"/>
        <v>202206</v>
      </c>
      <c r="B7238" s="6">
        <v>44715</v>
      </c>
      <c r="C7238" t="s">
        <v>2262</v>
      </c>
      <c r="D7238" t="s">
        <v>1408</v>
      </c>
      <c r="E7238">
        <f t="shared" si="13"/>
        <v>39</v>
      </c>
      <c r="F7238" s="2" t="str">
        <f>IF(Table2[[#This Row],[Manual Cat Value]]="",VLOOKUP(Table2[[#This Row],[Description]],'Actuals Lookup'!D:F,3,0),Table2[[#This Row],[Manual Cat Value]])</f>
        <v>Shopping</v>
      </c>
      <c r="G7238" t="str">
        <f>VLOOKUP(D7238,Lookup!G:H,2,0)</f>
        <v>Shopping</v>
      </c>
      <c r="J7238">
        <v>39</v>
      </c>
      <c r="K7238" s="6"/>
      <c r="L7238" s="6"/>
      <c r="M7238" t="s">
        <v>2513</v>
      </c>
      <c r="O7238" t="str">
        <f>LEFT(Table2[[#This Row],[Description]],75)</f>
        <v>Patagonia</v>
      </c>
    </row>
    <row r="7239" spans="1:15" hidden="1">
      <c r="A7239" s="25">
        <f t="shared" si="14"/>
        <v>202206</v>
      </c>
      <c r="B7239" s="6">
        <v>44715</v>
      </c>
      <c r="C7239" t="s">
        <v>2265</v>
      </c>
      <c r="D7239" t="s">
        <v>1955</v>
      </c>
      <c r="E7239">
        <f t="shared" si="13"/>
        <v>65.44</v>
      </c>
      <c r="F7239" s="2" t="str">
        <f>IF(Table2[[#This Row],[Manual Cat Value]]="",VLOOKUP(Table2[[#This Row],[Description]],'Actuals Lookup'!D:F,3,0),Table2[[#This Row],[Manual Cat Value]])</f>
        <v>Shopping</v>
      </c>
      <c r="G7239" t="str">
        <f>VLOOKUP(D7239,Lookup!G:H,2,0)</f>
        <v>Shopping</v>
      </c>
      <c r="J7239">
        <v>65.44</v>
      </c>
      <c r="K7239" s="6"/>
      <c r="L7239" s="6"/>
      <c r="M7239" t="s">
        <v>2513</v>
      </c>
      <c r="O7239" t="str">
        <f>LEFT(Table2[[#This Row],[Description]],75)</f>
        <v>Transfer to PayPal</v>
      </c>
    </row>
    <row r="7240" spans="1:15" hidden="1">
      <c r="A7240" s="25">
        <f t="shared" si="14"/>
        <v>202206</v>
      </c>
      <c r="B7240" s="6">
        <v>44715</v>
      </c>
      <c r="C7240" t="s">
        <v>2265</v>
      </c>
      <c r="D7240" t="s">
        <v>1958</v>
      </c>
      <c r="E7240">
        <f t="shared" si="13"/>
        <v>30</v>
      </c>
      <c r="F7240" s="2" t="str">
        <f>IF(Table2[[#This Row],[Manual Cat Value]]="",VLOOKUP(Table2[[#This Row],[Description]],'Actuals Lookup'!D:F,3,0),Table2[[#This Row],[Manual Cat Value]])</f>
        <v>Shopping</v>
      </c>
      <c r="G7240" t="str">
        <f>VLOOKUP(D7240,Lookup!G:H,2,0)</f>
        <v>Travel</v>
      </c>
      <c r="J7240">
        <v>30</v>
      </c>
      <c r="K7240" s="6"/>
      <c r="L7240" s="6"/>
      <c r="M7240" t="s">
        <v>2513</v>
      </c>
      <c r="O7240" t="str">
        <f>LEFT(Table2[[#This Row],[Description]],75)</f>
        <v>Transfer to Venmo</v>
      </c>
    </row>
    <row r="7241" spans="1:15" hidden="1">
      <c r="A7241" s="25">
        <f t="shared" si="14"/>
        <v>202206</v>
      </c>
      <c r="B7241" s="6">
        <v>44715</v>
      </c>
      <c r="C7241" t="s">
        <v>2265</v>
      </c>
      <c r="D7241" t="s">
        <v>1958</v>
      </c>
      <c r="E7241">
        <f t="shared" si="13"/>
        <v>29</v>
      </c>
      <c r="F7241" s="2" t="str">
        <f>IF(Table2[[#This Row],[Manual Cat Value]]="",VLOOKUP(Table2[[#This Row],[Description]],'Actuals Lookup'!D:F,3,0),Table2[[#This Row],[Manual Cat Value]])</f>
        <v>Shopping</v>
      </c>
      <c r="G7241" t="str">
        <f>VLOOKUP(D7241,Lookup!G:H,2,0)</f>
        <v>Travel</v>
      </c>
      <c r="J7241">
        <v>29</v>
      </c>
      <c r="K7241" s="6"/>
      <c r="L7241" s="6"/>
      <c r="M7241" t="s">
        <v>2513</v>
      </c>
      <c r="O7241" t="str">
        <f>LEFT(Table2[[#This Row],[Description]],75)</f>
        <v>Transfer to Venmo</v>
      </c>
    </row>
    <row r="7242" spans="1:15" hidden="1">
      <c r="A7242" s="25">
        <f t="shared" si="14"/>
        <v>202206</v>
      </c>
      <c r="B7242" s="6">
        <v>44717</v>
      </c>
      <c r="C7242" t="s">
        <v>2262</v>
      </c>
      <c r="D7242" t="s">
        <v>199</v>
      </c>
      <c r="E7242">
        <f t="shared" si="13"/>
        <v>12.8</v>
      </c>
      <c r="F7242" s="2" t="e">
        <f>IF(Table2[[#This Row],[Manual Cat Value]]="",VLOOKUP(Table2[[#This Row],[Description]],'Actuals Lookup'!D:F,3,0),Table2[[#This Row],[Manual Cat Value]])</f>
        <v>#N/A</v>
      </c>
      <c r="G7242" t="str">
        <f>VLOOKUP(D7242,Lookup!G:H,2,0)</f>
        <v>Shopping</v>
      </c>
      <c r="J7242">
        <v>12.8</v>
      </c>
      <c r="K7242" s="6"/>
      <c r="L7242" s="6"/>
      <c r="M7242" t="s">
        <v>2513</v>
      </c>
      <c r="O7242" t="str">
        <f>LEFT(Table2[[#This Row],[Description]],75)</f>
        <v>Banana Republic</v>
      </c>
    </row>
    <row r="7243" spans="1:15" hidden="1">
      <c r="A7243" s="25">
        <f t="shared" si="14"/>
        <v>202206</v>
      </c>
      <c r="B7243" s="6">
        <v>44717</v>
      </c>
      <c r="C7243" t="s">
        <v>2262</v>
      </c>
      <c r="D7243" t="s">
        <v>199</v>
      </c>
      <c r="E7243">
        <f t="shared" si="13"/>
        <v>122.39</v>
      </c>
      <c r="F7243" s="2" t="e">
        <f>IF(Table2[[#This Row],[Manual Cat Value]]="",VLOOKUP(Table2[[#This Row],[Description]],'Actuals Lookup'!D:F,3,0),Table2[[#This Row],[Manual Cat Value]])</f>
        <v>#N/A</v>
      </c>
      <c r="G7243" t="str">
        <f>VLOOKUP(D7243,Lookup!G:H,2,0)</f>
        <v>Shopping</v>
      </c>
      <c r="J7243">
        <v>122.39</v>
      </c>
      <c r="K7243" s="6"/>
      <c r="L7243" s="6"/>
      <c r="M7243" t="s">
        <v>2513</v>
      </c>
      <c r="O7243" t="str">
        <f>LEFT(Table2[[#This Row],[Description]],75)</f>
        <v>Banana Republic</v>
      </c>
    </row>
    <row r="7244" spans="1:15" hidden="1">
      <c r="A7244" s="25">
        <f t="shared" si="14"/>
        <v>202206</v>
      </c>
      <c r="B7244" s="6">
        <v>44717</v>
      </c>
      <c r="C7244" t="s">
        <v>2262</v>
      </c>
      <c r="D7244" t="s">
        <v>684</v>
      </c>
      <c r="E7244">
        <f t="shared" si="13"/>
        <v>34.950000000000003</v>
      </c>
      <c r="F7244" s="2" t="str">
        <f>IF(Table2[[#This Row],[Manual Cat Value]]="",VLOOKUP(Table2[[#This Row],[Description]],'Actuals Lookup'!D:F,3,0),Table2[[#This Row],[Manual Cat Value]])</f>
        <v>Groceries</v>
      </c>
      <c r="G7244" t="str">
        <f>VLOOKUP(D7244,Lookup!G:H,2,0)</f>
        <v>Groceries</v>
      </c>
      <c r="J7244">
        <v>34.950000000000003</v>
      </c>
      <c r="K7244" s="6"/>
      <c r="L7244" s="6"/>
      <c r="M7244" t="s">
        <v>2513</v>
      </c>
      <c r="O7244" t="str">
        <f>LEFT(Table2[[#This Row],[Description]],75)</f>
        <v>Cub Foods</v>
      </c>
    </row>
    <row r="7245" spans="1:15" hidden="1">
      <c r="A7245" s="25">
        <f t="shared" si="14"/>
        <v>202206</v>
      </c>
      <c r="B7245" s="6">
        <v>44717</v>
      </c>
      <c r="C7245" t="s">
        <v>2262</v>
      </c>
      <c r="D7245" t="s">
        <v>31</v>
      </c>
      <c r="E7245">
        <f t="shared" si="13"/>
        <v>13.95</v>
      </c>
      <c r="F7245" s="2" t="str">
        <f>IF(Table2[[#This Row],[Manual Cat Value]]="",VLOOKUP(Table2[[#This Row],[Description]],'Actuals Lookup'!D:F,3,0),Table2[[#This Row],[Manual Cat Value]])</f>
        <v>Target</v>
      </c>
      <c r="G7245" t="str">
        <f>VLOOKUP(D7245,Lookup!G:H,2,0)</f>
        <v>Target</v>
      </c>
      <c r="J7245">
        <v>13.95</v>
      </c>
      <c r="K7245" s="6"/>
      <c r="L7245" s="6"/>
      <c r="M7245" t="s">
        <v>2513</v>
      </c>
      <c r="O7245" t="str">
        <f>LEFT(Table2[[#This Row],[Description]],75)</f>
        <v>Target</v>
      </c>
    </row>
    <row r="7246" spans="1:15" hidden="1">
      <c r="A7246" s="25">
        <f t="shared" si="14"/>
        <v>202206</v>
      </c>
      <c r="B7246" s="6">
        <v>44717</v>
      </c>
      <c r="C7246" t="s">
        <v>2262</v>
      </c>
      <c r="D7246" t="s">
        <v>1924</v>
      </c>
      <c r="E7246">
        <f t="shared" si="13"/>
        <v>103.17</v>
      </c>
      <c r="F7246" s="2" t="e">
        <f>IF(Table2[[#This Row],[Manual Cat Value]]="",VLOOKUP(Table2[[#This Row],[Description]],'Actuals Lookup'!D:F,3,0),Table2[[#This Row],[Manual Cat Value]])</f>
        <v>#N/A</v>
      </c>
      <c r="G7246" t="str">
        <f>VLOOKUP(D7246,Lookup!G:H,2,0)</f>
        <v>Groceries</v>
      </c>
      <c r="J7246">
        <v>103.17</v>
      </c>
      <c r="K7246" s="6"/>
      <c r="L7246" s="6"/>
      <c r="M7246" t="s">
        <v>2513</v>
      </c>
      <c r="O7246" t="str">
        <f>LEFT(Table2[[#This Row],[Description]],75)</f>
        <v>Total Wine  More</v>
      </c>
    </row>
    <row r="7247" spans="1:15" hidden="1">
      <c r="A7247" s="25">
        <f t="shared" si="14"/>
        <v>202206</v>
      </c>
      <c r="B7247" s="6">
        <v>44717</v>
      </c>
      <c r="C7247" t="s">
        <v>2262</v>
      </c>
      <c r="D7247" t="s">
        <v>2023</v>
      </c>
      <c r="E7247">
        <f t="shared" si="13"/>
        <v>77.680000000000007</v>
      </c>
      <c r="F7247" s="2" t="e">
        <f>IF(Table2[[#This Row],[Manual Cat Value]]="",VLOOKUP(Table2[[#This Row],[Description]],'Actuals Lookup'!D:F,3,0),Table2[[#This Row],[Manual Cat Value]])</f>
        <v>#N/A</v>
      </c>
      <c r="G7247" t="str">
        <f>VLOOKUP(D7247,Lookup!G:H,2,0)</f>
        <v>Restaurants</v>
      </c>
      <c r="J7247">
        <v>77.680000000000007</v>
      </c>
      <c r="K7247" s="6"/>
      <c r="L7247" s="6"/>
      <c r="M7247" t="s">
        <v>2513</v>
      </c>
      <c r="O7247" t="str">
        <f>LEFT(Table2[[#This Row],[Description]],75)</f>
        <v>TST Lolas Lakehouse Waconia MN</v>
      </c>
    </row>
    <row r="7248" spans="1:15" hidden="1">
      <c r="A7248" s="25">
        <f t="shared" si="14"/>
        <v>202206</v>
      </c>
      <c r="B7248" s="6">
        <v>44718</v>
      </c>
      <c r="C7248" t="s">
        <v>2305</v>
      </c>
      <c r="D7248" t="s">
        <v>709</v>
      </c>
      <c r="E7248">
        <f t="shared" si="13"/>
        <v>-55</v>
      </c>
      <c r="F7248" s="2" t="e">
        <f>IF(Table2[[#This Row],[Manual Cat Value]]="",VLOOKUP(Table2[[#This Row],[Description]],'Actuals Lookup'!D:F,3,0),Table2[[#This Row],[Manual Cat Value]])</f>
        <v>#N/A</v>
      </c>
      <c r="G7248" t="str">
        <f>VLOOKUP(D7248,Lookup!G:H,2,0)</f>
        <v>delete</v>
      </c>
      <c r="J7248">
        <v>55</v>
      </c>
      <c r="K7248" s="6"/>
      <c r="L7248" s="6"/>
      <c r="M7248" t="s">
        <v>2621</v>
      </c>
      <c r="O7248" t="str">
        <f>LEFT(Table2[[#This Row],[Description]],75)</f>
        <v>Deposit by Check Deposit Anywher</v>
      </c>
    </row>
    <row r="7249" spans="1:15" hidden="1">
      <c r="A7249" s="25">
        <f t="shared" si="14"/>
        <v>202206</v>
      </c>
      <c r="B7249" s="6">
        <v>44718</v>
      </c>
      <c r="C7249" t="s">
        <v>2262</v>
      </c>
      <c r="D7249" t="s">
        <v>854</v>
      </c>
      <c r="E7249">
        <f t="shared" si="13"/>
        <v>98.75</v>
      </c>
      <c r="F7249" s="2" t="str">
        <f>IF(Table2[[#This Row],[Manual Cat Value]]="",VLOOKUP(Table2[[#This Row],[Description]],'Actuals Lookup'!D:F,3,0),Table2[[#This Row],[Manual Cat Value]])</f>
        <v>Shopping</v>
      </c>
      <c r="G7249" t="str">
        <f>VLOOKUP(D7249,Lookup!G:H,2,0)</f>
        <v>Shopping</v>
      </c>
      <c r="J7249">
        <v>98.75</v>
      </c>
      <c r="K7249" s="6"/>
      <c r="L7249" s="6"/>
      <c r="M7249" t="s">
        <v>2513</v>
      </c>
      <c r="O7249" t="str">
        <f>LEFT(Table2[[#This Row],[Description]],75)</f>
        <v>Free Fly Apparel</v>
      </c>
    </row>
    <row r="7250" spans="1:15" hidden="1">
      <c r="A7250" s="25">
        <f t="shared" si="14"/>
        <v>202206</v>
      </c>
      <c r="B7250" s="6">
        <v>44718</v>
      </c>
      <c r="C7250" t="s">
        <v>2262</v>
      </c>
      <c r="D7250" t="s">
        <v>1407</v>
      </c>
      <c r="E7250">
        <f t="shared" si="13"/>
        <v>17.600000000000001</v>
      </c>
      <c r="F7250" s="2" t="e">
        <f>IF(Table2[[#This Row],[Manual Cat Value]]="",VLOOKUP(Table2[[#This Row],[Description]],'Actuals Lookup'!D:F,3,0),Table2[[#This Row],[Manual Cat Value]])</f>
        <v>#N/A</v>
      </c>
      <c r="G7250" t="str">
        <f>VLOOKUP(D7250,Lookup!G:H,2,0)</f>
        <v>Shopping</v>
      </c>
      <c r="J7250">
        <v>17.600000000000001</v>
      </c>
      <c r="K7250" s="6"/>
      <c r="L7250" s="6"/>
      <c r="M7250" t="s">
        <v>2513</v>
      </c>
      <c r="O7250" t="str">
        <f>LEFT(Table2[[#This Row],[Description]],75)</f>
        <v>Party City</v>
      </c>
    </row>
    <row r="7251" spans="1:15" hidden="1">
      <c r="A7251" s="25">
        <f t="shared" si="14"/>
        <v>202206</v>
      </c>
      <c r="B7251" s="6">
        <v>44718</v>
      </c>
      <c r="C7251" t="s">
        <v>2265</v>
      </c>
      <c r="D7251" t="s">
        <v>1955</v>
      </c>
      <c r="E7251">
        <f t="shared" si="13"/>
        <v>61.9</v>
      </c>
      <c r="F7251" s="2" t="str">
        <f>IF(Table2[[#This Row],[Manual Cat Value]]="",VLOOKUP(Table2[[#This Row],[Description]],'Actuals Lookup'!D:F,3,0),Table2[[#This Row],[Manual Cat Value]])</f>
        <v>Shopping</v>
      </c>
      <c r="G7251" t="str">
        <f>VLOOKUP(D7251,Lookup!G:H,2,0)</f>
        <v>Shopping</v>
      </c>
      <c r="J7251">
        <v>61.9</v>
      </c>
      <c r="K7251" s="6"/>
      <c r="L7251" s="6"/>
      <c r="M7251" t="s">
        <v>2513</v>
      </c>
      <c r="O7251" t="str">
        <f>LEFT(Table2[[#This Row],[Description]],75)</f>
        <v>Transfer to PayPal</v>
      </c>
    </row>
    <row r="7252" spans="1:15" hidden="1">
      <c r="A7252" s="25">
        <f t="shared" si="14"/>
        <v>202206</v>
      </c>
      <c r="B7252" s="6">
        <v>44719</v>
      </c>
      <c r="C7252" t="s">
        <v>2262</v>
      </c>
      <c r="D7252" t="s">
        <v>199</v>
      </c>
      <c r="E7252">
        <f t="shared" si="13"/>
        <v>39.200000000000003</v>
      </c>
      <c r="F7252" s="2" t="e">
        <f>IF(Table2[[#This Row],[Manual Cat Value]]="",VLOOKUP(Table2[[#This Row],[Description]],'Actuals Lookup'!D:F,3,0),Table2[[#This Row],[Manual Cat Value]])</f>
        <v>#N/A</v>
      </c>
      <c r="G7252" t="str">
        <f>VLOOKUP(D7252,Lookup!G:H,2,0)</f>
        <v>Shopping</v>
      </c>
      <c r="J7252">
        <v>39.200000000000003</v>
      </c>
      <c r="K7252" s="6"/>
      <c r="L7252" s="6"/>
      <c r="M7252" t="s">
        <v>2513</v>
      </c>
      <c r="O7252" t="str">
        <f>LEFT(Table2[[#This Row],[Description]],75)</f>
        <v>Banana Republic</v>
      </c>
    </row>
    <row r="7253" spans="1:15" hidden="1">
      <c r="A7253" s="25">
        <f t="shared" si="14"/>
        <v>202206</v>
      </c>
      <c r="B7253" s="6">
        <v>44719</v>
      </c>
      <c r="C7253" t="s">
        <v>2262</v>
      </c>
      <c r="D7253" t="s">
        <v>2125</v>
      </c>
      <c r="E7253">
        <f t="shared" si="13"/>
        <v>285</v>
      </c>
      <c r="F7253" s="2" t="e">
        <f>IF(Table2[[#This Row],[Manual Cat Value]]="",VLOOKUP(Table2[[#This Row],[Description]],'Actuals Lookup'!D:F,3,0),Table2[[#This Row],[Manual Cat Value]])</f>
        <v>#N/A</v>
      </c>
      <c r="G7253" t="str">
        <f>VLOOKUP(D7253,Lookup!G:H,2,0)</f>
        <v>Shopping</v>
      </c>
      <c r="J7253">
        <v>285</v>
      </c>
      <c r="K7253" s="6"/>
      <c r="L7253" s="6"/>
      <c r="M7253" t="s">
        <v>2513</v>
      </c>
      <c r="O7253" t="str">
        <f>LEFT(Table2[[#This Row],[Description]],75)</f>
        <v>Vineyard Vines</v>
      </c>
    </row>
    <row r="7254" spans="1:15" hidden="1">
      <c r="A7254" s="25">
        <f t="shared" si="14"/>
        <v>202206</v>
      </c>
      <c r="B7254" s="6">
        <v>44719</v>
      </c>
      <c r="C7254" t="s">
        <v>2265</v>
      </c>
      <c r="D7254" t="s">
        <v>1470</v>
      </c>
      <c r="E7254">
        <f t="shared" si="13"/>
        <v>151.80000000000001</v>
      </c>
      <c r="F7254" s="2" t="str">
        <f>IF(Table2[[#This Row],[Manual Cat Value]]="",VLOOKUP(Table2[[#This Row],[Description]],'Actuals Lookup'!D:F,3,0),Table2[[#This Row],[Manual Cat Value]])</f>
        <v>Utilities</v>
      </c>
      <c r="G7254" t="str">
        <f>VLOOKUP(D7254,Lookup!G:H,2,0)</f>
        <v>Utilities</v>
      </c>
      <c r="J7254">
        <v>151.80000000000001</v>
      </c>
      <c r="K7254" s="6"/>
      <c r="L7254" s="6"/>
      <c r="M7254" t="s">
        <v>2513</v>
      </c>
      <c r="O7254" t="str">
        <f>LEFT(Table2[[#This Row],[Description]],75)</f>
        <v>Payment to Xcel Energy</v>
      </c>
    </row>
    <row r="7255" spans="1:15" hidden="1">
      <c r="A7255" s="25">
        <f t="shared" si="14"/>
        <v>202206</v>
      </c>
      <c r="B7255" s="6">
        <v>44720</v>
      </c>
      <c r="C7255" t="s">
        <v>2265</v>
      </c>
      <c r="D7255" t="s">
        <v>597</v>
      </c>
      <c r="E7255">
        <f t="shared" si="13"/>
        <v>220</v>
      </c>
      <c r="F7255" s="2" t="e">
        <f>IF(Table2[[#This Row],[Manual Cat Value]]="",VLOOKUP(Table2[[#This Row],[Description]],'Actuals Lookup'!D:F,3,0),Table2[[#This Row],[Manual Cat Value]])</f>
        <v>#N/A</v>
      </c>
      <c r="G7255" t="str">
        <f>VLOOKUP(D7255,Lookup!G:H,2,0)</f>
        <v>Delete</v>
      </c>
      <c r="J7255">
        <v>220</v>
      </c>
      <c r="K7255" s="6"/>
      <c r="L7255" s="6"/>
      <c r="M7255" t="s">
        <v>2513</v>
      </c>
      <c r="O7255" t="str">
        <f>LEFT(Table2[[#This Row],[Description]],75)</f>
        <v>College Savings TYPE ACH ID XX58</v>
      </c>
    </row>
    <row r="7256" spans="1:15" hidden="1">
      <c r="A7256" s="25">
        <f t="shared" si="14"/>
        <v>202206</v>
      </c>
      <c r="B7256" s="6">
        <v>44720</v>
      </c>
      <c r="C7256" t="s">
        <v>2262</v>
      </c>
      <c r="D7256" t="s">
        <v>1013</v>
      </c>
      <c r="E7256">
        <f t="shared" si="13"/>
        <v>13.83</v>
      </c>
      <c r="F7256" s="2" t="e">
        <f>IF(Table2[[#This Row],[Manual Cat Value]]="",VLOOKUP(Table2[[#This Row],[Description]],'Actuals Lookup'!D:F,3,0),Table2[[#This Row],[Manual Cat Value]])</f>
        <v>#N/A</v>
      </c>
      <c r="G7256" t="str">
        <f>VLOOKUP(D7256,Lookup!G:H,2,0)</f>
        <v>Restaurants</v>
      </c>
      <c r="J7256">
        <v>13.83</v>
      </c>
      <c r="K7256" s="6"/>
      <c r="L7256" s="6"/>
      <c r="M7256" t="s">
        <v>2513</v>
      </c>
      <c r="O7256" t="str">
        <f>LEFT(Table2[[#This Row],[Description]],75)</f>
        <v>Jimmy Johns</v>
      </c>
    </row>
    <row r="7257" spans="1:15" hidden="1">
      <c r="A7257" s="25">
        <f t="shared" si="14"/>
        <v>202206</v>
      </c>
      <c r="B7257" s="6">
        <v>44720</v>
      </c>
      <c r="C7257" t="s">
        <v>2262</v>
      </c>
      <c r="D7257" t="s">
        <v>1083</v>
      </c>
      <c r="E7257">
        <f t="shared" si="13"/>
        <v>73.92</v>
      </c>
      <c r="F7257" s="2" t="str">
        <f>IF(Table2[[#This Row],[Manual Cat Value]]="",VLOOKUP(Table2[[#This Row],[Description]],'Actuals Lookup'!D:F,3,0),Table2[[#This Row],[Manual Cat Value]])</f>
        <v>Transportation</v>
      </c>
      <c r="G7257" t="str">
        <f>VLOOKUP(D7257,Lookup!G:H,2,0)</f>
        <v>Transportation</v>
      </c>
      <c r="J7257">
        <v>73.92</v>
      </c>
      <c r="K7257" s="6"/>
      <c r="L7257" s="6"/>
      <c r="M7257" t="s">
        <v>2513</v>
      </c>
      <c r="O7257" t="str">
        <f>LEFT(Table2[[#This Row],[Description]],75)</f>
        <v>Kwik Trip</v>
      </c>
    </row>
    <row r="7258" spans="1:15" ht="30" hidden="1">
      <c r="A7258" s="25">
        <f t="shared" si="14"/>
        <v>202206</v>
      </c>
      <c r="B7258" s="6">
        <v>44720</v>
      </c>
      <c r="C7258" t="s">
        <v>2447</v>
      </c>
      <c r="D7258" s="7" t="s">
        <v>2054</v>
      </c>
      <c r="E7258">
        <f t="shared" si="13"/>
        <v>75.680000000000007</v>
      </c>
      <c r="F7258" s="2" t="e">
        <f>IF(Table2[[#This Row],[Manual Cat Value]]="",VLOOKUP(Table2[[#This Row],[Description]],'Actuals Lookup'!D:F,3,0),Table2[[#This Row],[Manual Cat Value]])</f>
        <v>#N/A</v>
      </c>
      <c r="G7258" t="str">
        <f>VLOOKUP(D7258,Lookup!G:H,2,0)</f>
        <v>Restaurants</v>
      </c>
      <c r="J7258">
        <v>75.680000000000007</v>
      </c>
      <c r="K7258" s="6"/>
      <c r="L7258" s="6"/>
      <c r="M7258" t="s">
        <v>2513</v>
      </c>
      <c r="O7258" t="str">
        <f>LEFT(Table2[[#This Row],[Description]],75)</f>
        <v>TST* KHALUNA MINNEAPOLIS MN
00055789007350753578AA</v>
      </c>
    </row>
    <row r="7259" spans="1:15" hidden="1">
      <c r="A7259" s="25">
        <f t="shared" si="14"/>
        <v>202206</v>
      </c>
      <c r="B7259" s="6">
        <v>44720</v>
      </c>
      <c r="C7259" t="s">
        <v>2447</v>
      </c>
      <c r="D7259" t="s">
        <v>2144</v>
      </c>
      <c r="E7259">
        <f t="shared" si="13"/>
        <v>9.6999999999999993</v>
      </c>
      <c r="F7259" s="2" t="e">
        <f>IF(Table2[[#This Row],[Manual Cat Value]]="",VLOOKUP(Table2[[#This Row],[Description]],'Actuals Lookup'!D:F,3,0),Table2[[#This Row],[Manual Cat Value]])</f>
        <v>#N/A</v>
      </c>
      <c r="G7259" t="str">
        <f>VLOOKUP(D7259,Lookup!G:H,2,0)</f>
        <v>Restaurants</v>
      </c>
      <c r="J7259">
        <v>9.6999999999999993</v>
      </c>
      <c r="K7259" s="6"/>
      <c r="L7259" s="6"/>
      <c r="M7259" t="s">
        <v>2513</v>
      </c>
      <c r="O7259" t="str">
        <f>LEFT(Table2[[#This Row],[Description]],75)</f>
        <v>WAYZATA CAFE WAYZATA MN</v>
      </c>
    </row>
    <row r="7260" spans="1:15" hidden="1">
      <c r="A7260" s="25">
        <f t="shared" si="14"/>
        <v>202206</v>
      </c>
      <c r="B7260" s="6">
        <v>44720</v>
      </c>
      <c r="C7260" t="s">
        <v>2262</v>
      </c>
      <c r="D7260" t="s">
        <v>2148</v>
      </c>
      <c r="E7260">
        <f t="shared" ref="E7260:E7291" si="15">IF(M7260="credit",-1*J7260,J7260)</f>
        <v>11.85</v>
      </c>
      <c r="F7260" s="2" t="e">
        <f>IF(Table2[[#This Row],[Manual Cat Value]]="",VLOOKUP(Table2[[#This Row],[Description]],'Actuals Lookup'!D:F,3,0),Table2[[#This Row],[Manual Cat Value]])</f>
        <v>#N/A</v>
      </c>
      <c r="G7260" t="str">
        <f>VLOOKUP(D7260,Lookup!G:H,2,0)</f>
        <v>Restaurants</v>
      </c>
      <c r="J7260">
        <v>11.85</v>
      </c>
      <c r="K7260" s="6"/>
      <c r="L7260" s="6"/>
      <c r="M7260" t="s">
        <v>2513</v>
      </c>
      <c r="O7260" t="str">
        <f>LEFT(Table2[[#This Row],[Description]],75)</f>
        <v>Wendys</v>
      </c>
    </row>
    <row r="7261" spans="1:15" hidden="1">
      <c r="A7261" s="25">
        <f t="shared" si="14"/>
        <v>202206</v>
      </c>
      <c r="B7261" s="6">
        <v>44721</v>
      </c>
      <c r="C7261" t="s">
        <v>2265</v>
      </c>
      <c r="D7261" t="s">
        <v>427</v>
      </c>
      <c r="E7261">
        <f t="shared" si="15"/>
        <v>-2448.73</v>
      </c>
      <c r="F7261" s="2" t="e">
        <f>IF(Table2[[#This Row],[Manual Cat Value]]="",VLOOKUP(Table2[[#This Row],[Description]],'Actuals Lookup'!D:F,3,0),Table2[[#This Row],[Manual Cat Value]])</f>
        <v>#N/A</v>
      </c>
      <c r="G7261" t="str">
        <f>VLOOKUP(D7261,Lookup!G:H,2,0)</f>
        <v>Inc - Britney</v>
      </c>
      <c r="J7261">
        <v>2448.73</v>
      </c>
      <c r="K7261" s="6"/>
      <c r="L7261" s="6"/>
      <c r="M7261" t="s">
        <v>2621</v>
      </c>
      <c r="O7261" t="str">
        <f>LEFT(Table2[[#This Row],[Description]],75)</f>
        <v>CARGILL INCORPOR TYPE DIRECT DEP</v>
      </c>
    </row>
    <row r="7262" spans="1:15" hidden="1">
      <c r="A7262" s="25">
        <f t="shared" si="14"/>
        <v>202206</v>
      </c>
      <c r="B7262" s="6">
        <v>44721</v>
      </c>
      <c r="C7262" t="s">
        <v>2262</v>
      </c>
      <c r="D7262" t="s">
        <v>1477</v>
      </c>
      <c r="E7262">
        <f t="shared" si="15"/>
        <v>47.32</v>
      </c>
      <c r="F7262" s="2" t="str">
        <f>IF(Table2[[#This Row],[Manual Cat Value]]="",VLOOKUP(Table2[[#This Row],[Description]],'Actuals Lookup'!D:F,3,0),Table2[[#This Row],[Manual Cat Value]])</f>
        <v>Gym</v>
      </c>
      <c r="G7262" t="str">
        <f>VLOOKUP(D7262,Lookup!G:H,2,0)</f>
        <v>Gym</v>
      </c>
      <c r="J7262">
        <v>47.32</v>
      </c>
      <c r="K7262" s="6"/>
      <c r="L7262" s="6"/>
      <c r="M7262" t="s">
        <v>2513</v>
      </c>
      <c r="O7262" t="str">
        <f>LEFT(Table2[[#This Row],[Description]],75)</f>
        <v>Peloton Cycles</v>
      </c>
    </row>
    <row r="7263" spans="1:15" hidden="1">
      <c r="A7263" s="25">
        <f t="shared" si="14"/>
        <v>202206</v>
      </c>
      <c r="B7263" s="6">
        <v>44721</v>
      </c>
      <c r="C7263" t="s">
        <v>2262</v>
      </c>
      <c r="D7263" t="s">
        <v>2145</v>
      </c>
      <c r="E7263">
        <f t="shared" si="15"/>
        <v>7.71</v>
      </c>
      <c r="F7263" s="2" t="e">
        <f>IF(Table2[[#This Row],[Manual Cat Value]]="",VLOOKUP(Table2[[#This Row],[Description]],'Actuals Lookup'!D:F,3,0),Table2[[#This Row],[Manual Cat Value]])</f>
        <v>#N/A</v>
      </c>
      <c r="G7263" t="str">
        <f>VLOOKUP(D7263,Lookup!G:H,2,0)</f>
        <v>Restaurants</v>
      </c>
      <c r="J7263">
        <v>7.71</v>
      </c>
      <c r="K7263" s="6"/>
      <c r="L7263" s="6"/>
      <c r="M7263" t="s">
        <v>2513</v>
      </c>
      <c r="O7263" t="str">
        <f>LEFT(Table2[[#This Row],[Description]],75)</f>
        <v>WAYZATA COFFEE WAYZATA MN</v>
      </c>
    </row>
    <row r="7264" spans="1:15" hidden="1">
      <c r="A7264" s="25">
        <f t="shared" si="14"/>
        <v>202206</v>
      </c>
      <c r="B7264" s="6">
        <v>44722</v>
      </c>
      <c r="C7264" t="s">
        <v>2265</v>
      </c>
      <c r="D7264" t="s">
        <v>1934</v>
      </c>
      <c r="E7264">
        <f t="shared" si="15"/>
        <v>-571.24</v>
      </c>
      <c r="F7264" s="2" t="str">
        <f>IF(Table2[[#This Row],[Manual Cat Value]]="",VLOOKUP(Table2[[#This Row],[Description]],'Actuals Lookup'!D:F,3,0),Table2[[#This Row],[Manual Cat Value]])</f>
        <v>Shopping</v>
      </c>
      <c r="G7264" t="str">
        <f>VLOOKUP(D7264,Lookup!G:H,2,0)</f>
        <v>delete</v>
      </c>
      <c r="J7264">
        <v>571.24</v>
      </c>
      <c r="K7264" s="6"/>
      <c r="L7264" s="6"/>
      <c r="M7264" t="s">
        <v>2621</v>
      </c>
      <c r="O7264" t="str">
        <f>LEFT(Table2[[#This Row],[Description]],75)</f>
        <v>Transfer from PayPal</v>
      </c>
    </row>
    <row r="7265" spans="1:15" hidden="1">
      <c r="A7265" s="25">
        <f t="shared" ref="A7265:A7296" si="16">VALUE(YEAR(B7265)&amp;TEXT(MONTH(B7265),"00"))</f>
        <v>202206</v>
      </c>
      <c r="B7265" s="6">
        <v>44722</v>
      </c>
      <c r="C7265" t="s">
        <v>2265</v>
      </c>
      <c r="D7265" t="s">
        <v>1958</v>
      </c>
      <c r="E7265">
        <f t="shared" si="15"/>
        <v>170.06</v>
      </c>
      <c r="F7265" s="2" t="str">
        <f>IF(Table2[[#This Row],[Manual Cat Value]]="",VLOOKUP(Table2[[#This Row],[Description]],'Actuals Lookup'!D:F,3,0),Table2[[#This Row],[Manual Cat Value]])</f>
        <v>Shopping</v>
      </c>
      <c r="G7265" t="str">
        <f>VLOOKUP(D7265,Lookup!G:H,2,0)</f>
        <v>Travel</v>
      </c>
      <c r="J7265">
        <v>170.06</v>
      </c>
      <c r="K7265" s="6"/>
      <c r="L7265" s="6"/>
      <c r="M7265" t="s">
        <v>2513</v>
      </c>
      <c r="O7265" t="str">
        <f>LEFT(Table2[[#This Row],[Description]],75)</f>
        <v>Transfer to Venmo</v>
      </c>
    </row>
    <row r="7266" spans="1:15" hidden="1">
      <c r="A7266" s="25">
        <f t="shared" si="16"/>
        <v>202206</v>
      </c>
      <c r="B7266" s="6">
        <v>44722</v>
      </c>
      <c r="C7266" t="s">
        <v>2265</v>
      </c>
      <c r="D7266" t="s">
        <v>1958</v>
      </c>
      <c r="E7266">
        <f t="shared" si="15"/>
        <v>80.34</v>
      </c>
      <c r="F7266" s="2" t="str">
        <f>IF(Table2[[#This Row],[Manual Cat Value]]="",VLOOKUP(Table2[[#This Row],[Description]],'Actuals Lookup'!D:F,3,0),Table2[[#This Row],[Manual Cat Value]])</f>
        <v>Shopping</v>
      </c>
      <c r="G7266" t="str">
        <f>VLOOKUP(D7266,Lookup!G:H,2,0)</f>
        <v>Travel</v>
      </c>
      <c r="J7266">
        <v>80.34</v>
      </c>
      <c r="K7266" s="6"/>
      <c r="L7266" s="6"/>
      <c r="M7266" t="s">
        <v>2513</v>
      </c>
      <c r="O7266" t="str">
        <f>LEFT(Table2[[#This Row],[Description]],75)</f>
        <v>Transfer to Venmo</v>
      </c>
    </row>
    <row r="7267" spans="1:15" hidden="1">
      <c r="A7267" s="25">
        <f t="shared" si="16"/>
        <v>202206</v>
      </c>
      <c r="B7267" s="6">
        <v>44724</v>
      </c>
      <c r="C7267" t="s">
        <v>2262</v>
      </c>
      <c r="D7267" t="s">
        <v>199</v>
      </c>
      <c r="E7267">
        <f t="shared" si="15"/>
        <v>-7</v>
      </c>
      <c r="F7267" s="2" t="e">
        <f>IF(Table2[[#This Row],[Manual Cat Value]]="",VLOOKUP(Table2[[#This Row],[Description]],'Actuals Lookup'!D:F,3,0),Table2[[#This Row],[Manual Cat Value]])</f>
        <v>#N/A</v>
      </c>
      <c r="G7267" t="str">
        <f>VLOOKUP(D7267,Lookup!G:H,2,0)</f>
        <v>Shopping</v>
      </c>
      <c r="J7267">
        <v>7</v>
      </c>
      <c r="K7267" s="6"/>
      <c r="L7267" s="6"/>
      <c r="M7267" t="s">
        <v>2621</v>
      </c>
      <c r="O7267" t="str">
        <f>LEFT(Table2[[#This Row],[Description]],75)</f>
        <v>Banana Republic</v>
      </c>
    </row>
    <row r="7268" spans="1:15" hidden="1">
      <c r="A7268" s="25">
        <f t="shared" si="16"/>
        <v>202206</v>
      </c>
      <c r="B7268" s="6">
        <v>44724</v>
      </c>
      <c r="C7268" t="s">
        <v>2262</v>
      </c>
      <c r="D7268" t="s">
        <v>318</v>
      </c>
      <c r="E7268">
        <f t="shared" si="15"/>
        <v>6.4</v>
      </c>
      <c r="F7268" s="2" t="str">
        <f>IF(Table2[[#This Row],[Manual Cat Value]]="",VLOOKUP(Table2[[#This Row],[Description]],'Actuals Lookup'!D:F,3,0),Table2[[#This Row],[Manual Cat Value]])</f>
        <v>Restaurants</v>
      </c>
      <c r="G7268" t="str">
        <f>VLOOKUP(D7268,Lookup!G:H,2,0)</f>
        <v>Restaurants</v>
      </c>
      <c r="J7268">
        <v>6.4</v>
      </c>
      <c r="K7268" s="6"/>
      <c r="L7268" s="6"/>
      <c r="M7268" t="s">
        <v>2513</v>
      </c>
      <c r="O7268" t="str">
        <f>LEFT(Table2[[#This Row],[Description]],75)</f>
        <v>Brewery</v>
      </c>
    </row>
    <row r="7269" spans="1:15" ht="30" hidden="1">
      <c r="A7269" s="25">
        <f t="shared" si="16"/>
        <v>202206</v>
      </c>
      <c r="B7269" s="6">
        <v>44724</v>
      </c>
      <c r="C7269" t="s">
        <v>2447</v>
      </c>
      <c r="D7269" s="7" t="s">
        <v>942</v>
      </c>
      <c r="E7269">
        <f t="shared" si="15"/>
        <v>78.66</v>
      </c>
      <c r="F7269" s="2" t="e">
        <f>IF(Table2[[#This Row],[Manual Cat Value]]="",VLOOKUP(Table2[[#This Row],[Description]],'Actuals Lookup'!D:F,3,0),Table2[[#This Row],[Manual Cat Value]])</f>
        <v>#N/A</v>
      </c>
      <c r="G7269" t="str">
        <f>VLOOKUP(D7269,Lookup!G:H,2,0)</f>
        <v>transportation</v>
      </c>
      <c r="J7269">
        <v>78.66</v>
      </c>
      <c r="K7269" s="6"/>
      <c r="L7269" s="6"/>
      <c r="M7269" t="s">
        <v>2513</v>
      </c>
      <c r="O7269" t="str">
        <f>LEFT(Table2[[#This Row],[Description]],75)</f>
        <v>HOLIDAY STATIONS 0340 CHASKA MN
APPLE PAY ENDING IN 8856</v>
      </c>
    </row>
    <row r="7270" spans="1:15" hidden="1">
      <c r="A7270" s="25">
        <f t="shared" si="16"/>
        <v>202206</v>
      </c>
      <c r="B7270" s="6">
        <v>44725</v>
      </c>
      <c r="C7270" t="s">
        <v>2262</v>
      </c>
      <c r="D7270" t="s">
        <v>825</v>
      </c>
      <c r="E7270">
        <f t="shared" si="15"/>
        <v>149.97</v>
      </c>
      <c r="F7270" s="2" t="str">
        <f>IF(Table2[[#This Row],[Manual Cat Value]]="",VLOOKUP(Table2[[#This Row],[Description]],'Actuals Lookup'!D:F,3,0),Table2[[#This Row],[Manual Cat Value]])</f>
        <v>Shopping</v>
      </c>
      <c r="G7270" t="str">
        <f>VLOOKUP(D7270,Lookup!G:H,2,0)</f>
        <v>Shopping</v>
      </c>
      <c r="J7270">
        <v>149.97</v>
      </c>
      <c r="K7270" s="6"/>
      <c r="L7270" s="6"/>
      <c r="M7270" t="s">
        <v>2513</v>
      </c>
      <c r="O7270" t="str">
        <f>LEFT(Table2[[#This Row],[Description]],75)</f>
        <v>Evereve</v>
      </c>
    </row>
    <row r="7271" spans="1:15" hidden="1">
      <c r="A7271" s="25">
        <f t="shared" si="16"/>
        <v>202206</v>
      </c>
      <c r="B7271" s="6">
        <v>44725</v>
      </c>
      <c r="C7271" t="s">
        <v>2265</v>
      </c>
      <c r="D7271" t="s">
        <v>1798</v>
      </c>
      <c r="E7271">
        <f t="shared" si="15"/>
        <v>-3241.21</v>
      </c>
      <c r="F7271" s="2" t="e">
        <f>IF(Table2[[#This Row],[Manual Cat Value]]="",VLOOKUP(Table2[[#This Row],[Description]],'Actuals Lookup'!D:F,3,0),Table2[[#This Row],[Manual Cat Value]])</f>
        <v>#N/A</v>
      </c>
      <c r="G7271" t="str">
        <f>VLOOKUP(D7271,Lookup!G:H,2,0)</f>
        <v>Delete</v>
      </c>
      <c r="J7271">
        <v>3241.21</v>
      </c>
      <c r="K7271" s="6"/>
      <c r="L7271" s="6"/>
      <c r="M7271" t="s">
        <v>2621</v>
      </c>
      <c r="O7271" t="str">
        <f>LEFT(Table2[[#This Row],[Description]],75)</f>
        <v>SYNTELLIS PERFOR TYPE DIRECT DEP</v>
      </c>
    </row>
    <row r="7272" spans="1:15" hidden="1">
      <c r="A7272" s="25">
        <f t="shared" si="16"/>
        <v>202206</v>
      </c>
      <c r="B7272" s="6">
        <v>44725</v>
      </c>
      <c r="C7272" t="s">
        <v>2265</v>
      </c>
      <c r="D7272" t="s">
        <v>1955</v>
      </c>
      <c r="E7272">
        <f t="shared" si="15"/>
        <v>218.18</v>
      </c>
      <c r="F7272" s="2" t="str">
        <f>IF(Table2[[#This Row],[Manual Cat Value]]="",VLOOKUP(Table2[[#This Row],[Description]],'Actuals Lookup'!D:F,3,0),Table2[[#This Row],[Manual Cat Value]])</f>
        <v>Delete</v>
      </c>
      <c r="G7272" t="str">
        <f>VLOOKUP(D7272,Lookup!G:H,2,0)</f>
        <v>Shopping</v>
      </c>
      <c r="H7272" s="8" t="s">
        <v>9</v>
      </c>
      <c r="I7272" t="s">
        <v>2622</v>
      </c>
      <c r="J7272">
        <v>218.18</v>
      </c>
      <c r="K7272" s="6"/>
      <c r="L7272" s="6"/>
      <c r="M7272" t="s">
        <v>2513</v>
      </c>
      <c r="O7272" t="str">
        <f>LEFT(Table2[[#This Row],[Description]],75)</f>
        <v>Transfer to PayPal</v>
      </c>
    </row>
    <row r="7273" spans="1:15" hidden="1">
      <c r="A7273" s="25">
        <f t="shared" si="16"/>
        <v>202206</v>
      </c>
      <c r="B7273" s="6">
        <v>44725</v>
      </c>
      <c r="C7273" t="s">
        <v>2265</v>
      </c>
      <c r="D7273" t="s">
        <v>1955</v>
      </c>
      <c r="E7273">
        <f t="shared" si="15"/>
        <v>227.42</v>
      </c>
      <c r="F7273" s="2" t="str">
        <f>IF(Table2[[#This Row],[Manual Cat Value]]="",VLOOKUP(Table2[[#This Row],[Description]],'Actuals Lookup'!D:F,3,0),Table2[[#This Row],[Manual Cat Value]])</f>
        <v>Delete</v>
      </c>
      <c r="G7273" t="str">
        <f>VLOOKUP(D7273,Lookup!G:H,2,0)</f>
        <v>Shopping</v>
      </c>
      <c r="H7273" s="8" t="s">
        <v>9</v>
      </c>
      <c r="I7273" t="s">
        <v>2622</v>
      </c>
      <c r="J7273">
        <v>227.42</v>
      </c>
      <c r="K7273" s="6"/>
      <c r="L7273" s="6"/>
      <c r="M7273" t="s">
        <v>2513</v>
      </c>
      <c r="O7273" t="str">
        <f>LEFT(Table2[[#This Row],[Description]],75)</f>
        <v>Transfer to PayPal</v>
      </c>
    </row>
    <row r="7274" spans="1:15" hidden="1">
      <c r="A7274" s="25">
        <f t="shared" si="16"/>
        <v>202206</v>
      </c>
      <c r="B7274" s="6">
        <v>44725</v>
      </c>
      <c r="C7274" t="s">
        <v>2262</v>
      </c>
      <c r="D7274" t="s">
        <v>2162</v>
      </c>
      <c r="E7274">
        <f t="shared" si="15"/>
        <v>65</v>
      </c>
      <c r="F7274" s="2" t="e">
        <f>IF(Table2[[#This Row],[Manual Cat Value]]="",VLOOKUP(Table2[[#This Row],[Description]],'Actuals Lookup'!D:F,3,0),Table2[[#This Row],[Manual Cat Value]])</f>
        <v>#N/A</v>
      </c>
      <c r="G7274" t="str">
        <f>VLOOKUP(D7274,Lookup!G:H,2,0)</f>
        <v>travel</v>
      </c>
      <c r="J7274">
        <v>65</v>
      </c>
      <c r="K7274" s="6"/>
      <c r="L7274" s="6"/>
      <c r="M7274" t="s">
        <v>2513</v>
      </c>
      <c r="O7274" t="str">
        <f>LEFT(Table2[[#This Row],[Description]],75)</f>
        <v>Wisconsin Department Of Natural</v>
      </c>
    </row>
    <row r="7275" spans="1:15" hidden="1">
      <c r="A7275" s="25">
        <f t="shared" si="16"/>
        <v>202206</v>
      </c>
      <c r="B7275" s="6">
        <v>44725</v>
      </c>
      <c r="C7275" t="s">
        <v>2262</v>
      </c>
      <c r="D7275" t="s">
        <v>2163</v>
      </c>
      <c r="E7275">
        <f t="shared" si="15"/>
        <v>1.3</v>
      </c>
      <c r="F7275" s="2" t="e">
        <f>IF(Table2[[#This Row],[Manual Cat Value]]="",VLOOKUP(Table2[[#This Row],[Description]],'Actuals Lookup'!D:F,3,0),Table2[[#This Row],[Manual Cat Value]])</f>
        <v>#N/A</v>
      </c>
      <c r="G7275" t="str">
        <f>VLOOKUP(D7275,Lookup!G:H,2,0)</f>
        <v>travel</v>
      </c>
      <c r="J7275">
        <v>1.3</v>
      </c>
      <c r="K7275" s="6"/>
      <c r="L7275" s="6"/>
      <c r="M7275" t="s">
        <v>2513</v>
      </c>
      <c r="O7275" t="str">
        <f>LEFT(Table2[[#This Row],[Description]],75)</f>
        <v>Wisconsin Dnr Service ChargesFee</v>
      </c>
    </row>
    <row r="7276" spans="1:15" hidden="1">
      <c r="A7276" s="25">
        <f t="shared" si="16"/>
        <v>202206</v>
      </c>
      <c r="B7276" s="6">
        <v>44725</v>
      </c>
      <c r="C7276" t="s">
        <v>2262</v>
      </c>
      <c r="D7276" t="s">
        <v>1462</v>
      </c>
      <c r="E7276">
        <f t="shared" si="15"/>
        <v>45</v>
      </c>
      <c r="F7276" s="2" t="str">
        <f>IF(Table2[[#This Row],[Manual Cat Value]]="",VLOOKUP(Table2[[#This Row],[Description]],'Actuals Lookup'!D:F,3,0),Table2[[#This Row],[Manual Cat Value]])</f>
        <v>Utilities</v>
      </c>
      <c r="G7276" t="str">
        <f>VLOOKUP(D7276,Lookup!G:H,2,0)</f>
        <v>utilities</v>
      </c>
      <c r="J7276">
        <v>45</v>
      </c>
      <c r="K7276" s="6"/>
      <c r="L7276" s="6"/>
      <c r="M7276" t="s">
        <v>2513</v>
      </c>
      <c r="O7276" t="str">
        <f>LEFT(Table2[[#This Row],[Description]],75)</f>
        <v>Payment to CenturyLink</v>
      </c>
    </row>
    <row r="7277" spans="1:15" hidden="1">
      <c r="A7277" s="25">
        <f t="shared" si="16"/>
        <v>202206</v>
      </c>
      <c r="B7277" s="6">
        <v>44726</v>
      </c>
      <c r="C7277" t="s">
        <v>2265</v>
      </c>
      <c r="D7277" t="s">
        <v>131</v>
      </c>
      <c r="E7277">
        <f t="shared" si="15"/>
        <v>102.48</v>
      </c>
      <c r="F7277" s="2" t="str">
        <f>IF(Table2[[#This Row],[Manual Cat Value]]="",VLOOKUP(Table2[[#This Row],[Description]],'Actuals Lookup'!D:F,3,0),Table2[[#This Row],[Manual Cat Value]])</f>
        <v>Insurance</v>
      </c>
      <c r="G7277" t="str">
        <f>VLOOKUP(D7277,Lookup!G:H,2,0)</f>
        <v>Insurance</v>
      </c>
      <c r="J7277">
        <v>102.48</v>
      </c>
      <c r="K7277" s="6"/>
      <c r="L7277" s="6"/>
      <c r="M7277" t="s">
        <v>2513</v>
      </c>
      <c r="O7277" t="str">
        <f>LEFT(Table2[[#This Row],[Description]],75)</f>
        <v>American Family Insurance</v>
      </c>
    </row>
    <row r="7278" spans="1:15" hidden="1">
      <c r="A7278" s="25">
        <f t="shared" si="16"/>
        <v>202206</v>
      </c>
      <c r="B7278" s="6">
        <v>44726</v>
      </c>
      <c r="C7278" t="s">
        <v>2262</v>
      </c>
      <c r="D7278" t="s">
        <v>292</v>
      </c>
      <c r="E7278">
        <f t="shared" si="15"/>
        <v>124.11</v>
      </c>
      <c r="F7278" s="2" t="e">
        <f>IF(Table2[[#This Row],[Manual Cat Value]]="",VLOOKUP(Table2[[#This Row],[Description]],'Actuals Lookup'!D:F,3,0),Table2[[#This Row],[Manual Cat Value]])</f>
        <v>#N/A</v>
      </c>
      <c r="G7278" t="str">
        <f>VLOOKUP(D7278,Lookup!G:H,2,0)</f>
        <v>Restaurants</v>
      </c>
      <c r="J7278">
        <v>124.11</v>
      </c>
      <c r="K7278" s="6"/>
      <c r="L7278" s="6"/>
      <c r="M7278" t="s">
        <v>2513</v>
      </c>
      <c r="O7278" t="str">
        <f>LEFT(Table2[[#This Row],[Description]],75)</f>
        <v>BIRCHS ON THE LAKE LONG LAKE MN</v>
      </c>
    </row>
    <row r="7279" spans="1:15" hidden="1">
      <c r="A7279" s="25">
        <f t="shared" si="16"/>
        <v>202206</v>
      </c>
      <c r="B7279" s="6">
        <v>44726</v>
      </c>
      <c r="C7279" t="s">
        <v>2265</v>
      </c>
      <c r="D7279" t="s">
        <v>638</v>
      </c>
      <c r="E7279">
        <f t="shared" si="15"/>
        <v>-159.99</v>
      </c>
      <c r="F7279" s="2" t="e">
        <f>IF(Table2[[#This Row],[Manual Cat Value]]="",VLOOKUP(Table2[[#This Row],[Description]],'Actuals Lookup'!D:F,3,0),Table2[[#This Row],[Manual Cat Value]])</f>
        <v>#N/A</v>
      </c>
      <c r="G7279" t="str">
        <f>VLOOKUP(D7279,Lookup!G:H,2,0)</f>
        <v>Delete</v>
      </c>
      <c r="J7279">
        <v>159.99</v>
      </c>
      <c r="K7279" s="6"/>
      <c r="L7279" s="6"/>
      <c r="M7279" t="s">
        <v>2621</v>
      </c>
      <c r="O7279" t="str">
        <f>LEFT(Table2[[#This Row],[Description]],75)</f>
        <v>connectyourcare TYPE SVBCLAIMS</v>
      </c>
    </row>
    <row r="7280" spans="1:15" hidden="1">
      <c r="A7280" s="25">
        <f t="shared" si="16"/>
        <v>202206</v>
      </c>
      <c r="B7280" s="6">
        <v>44726</v>
      </c>
      <c r="C7280" t="s">
        <v>2265</v>
      </c>
      <c r="D7280" t="s">
        <v>1195</v>
      </c>
      <c r="E7280">
        <f t="shared" si="15"/>
        <v>536.5</v>
      </c>
      <c r="F7280" s="2" t="e">
        <f>IF(Table2[[#This Row],[Manual Cat Value]]="",VLOOKUP(Table2[[#This Row],[Description]],'Actuals Lookup'!D:F,3,0),Table2[[#This Row],[Manual Cat Value]])</f>
        <v>#N/A</v>
      </c>
      <c r="G7280" t="str">
        <f>VLOOKUP(D7280,Lookup!G:H,2,0)</f>
        <v>Day Care</v>
      </c>
      <c r="J7280">
        <v>536.5</v>
      </c>
      <c r="K7280" s="6"/>
      <c r="L7280" s="6"/>
      <c r="M7280" t="s">
        <v>2513</v>
      </c>
      <c r="O7280" t="str">
        <f>LEFT(Table2[[#This Row],[Description]],75)</f>
        <v>MHCHILDCARELLC TYPE DUES ID CO M</v>
      </c>
    </row>
    <row r="7281" spans="1:15" hidden="1">
      <c r="A7281" s="25">
        <f t="shared" si="16"/>
        <v>202206</v>
      </c>
      <c r="B7281" s="6">
        <v>44726</v>
      </c>
      <c r="C7281" t="s">
        <v>2265</v>
      </c>
      <c r="D7281" t="s">
        <v>2204</v>
      </c>
      <c r="E7281">
        <f t="shared" si="15"/>
        <v>2619.37</v>
      </c>
      <c r="F7281" s="2" t="e">
        <f>IF(Table2[[#This Row],[Manual Cat Value]]="",VLOOKUP(Table2[[#This Row],[Description]],'Actuals Lookup'!D:F,3,0),Table2[[#This Row],[Manual Cat Value]])</f>
        <v>#N/A</v>
      </c>
      <c r="G7281" t="str">
        <f>VLOOKUP(D7281,Lookup!G:H,2,0)</f>
        <v>Delete</v>
      </c>
      <c r="J7281">
        <v>2619.37</v>
      </c>
      <c r="K7281" s="6"/>
      <c r="L7281" s="6"/>
      <c r="M7281" t="s">
        <v>2513</v>
      </c>
      <c r="O7281" t="str">
        <f>LEFT(Table2[[#This Row],[Description]],75)</f>
        <v>Withdrawal Home Pmt to card XX91</v>
      </c>
    </row>
    <row r="7282" spans="1:15" hidden="1">
      <c r="A7282" s="25">
        <f t="shared" si="16"/>
        <v>202206</v>
      </c>
      <c r="B7282" s="6">
        <v>44726</v>
      </c>
      <c r="C7282" t="s">
        <v>2262</v>
      </c>
      <c r="D7282" t="s">
        <v>673</v>
      </c>
      <c r="E7282">
        <f t="shared" si="15"/>
        <v>-2619.37</v>
      </c>
      <c r="F7282" s="2" t="str">
        <f>IF(Table2[[#This Row],[Manual Cat Value]]="",VLOOKUP(Table2[[#This Row],[Description]],'Actuals Lookup'!D:F,3,0),Table2[[#This Row],[Manual Cat Value]])</f>
        <v>Delete</v>
      </c>
      <c r="G7282" t="str">
        <f>VLOOKUP(D7282,Lookup!G:H,2,0)</f>
        <v>Delete</v>
      </c>
      <c r="J7282">
        <v>2619.37</v>
      </c>
      <c r="K7282" s="6"/>
      <c r="L7282" s="6"/>
      <c r="M7282" t="s">
        <v>2621</v>
      </c>
      <c r="O7282" t="str">
        <f>LEFT(Table2[[#This Row],[Description]],75)</f>
        <v>Credit Card Payment Received</v>
      </c>
    </row>
    <row r="7283" spans="1:15" hidden="1">
      <c r="A7283" s="25">
        <f t="shared" si="16"/>
        <v>202206</v>
      </c>
      <c r="B7283" s="6">
        <v>44727</v>
      </c>
      <c r="C7283" t="s">
        <v>2262</v>
      </c>
      <c r="D7283" t="s">
        <v>1354</v>
      </c>
      <c r="E7283">
        <f t="shared" si="15"/>
        <v>50</v>
      </c>
      <c r="F7283" s="2" t="e">
        <f>IF(Table2[[#This Row],[Manual Cat Value]]="",VLOOKUP(Table2[[#This Row],[Description]],'Actuals Lookup'!D:F,3,0),Table2[[#This Row],[Manual Cat Value]])</f>
        <v>#N/A</v>
      </c>
      <c r="G7283" t="str">
        <f>VLOOKUP(D7283,Lookup!G:H,2,0)</f>
        <v>delete</v>
      </c>
      <c r="J7283">
        <v>50</v>
      </c>
      <c r="K7283" s="6"/>
      <c r="L7283" s="6"/>
      <c r="M7283" t="s">
        <v>2513</v>
      </c>
      <c r="O7283" t="str">
        <f>LEFT(Table2[[#This Row],[Description]],75)</f>
        <v>Noom</v>
      </c>
    </row>
    <row r="7284" spans="1:15" hidden="1">
      <c r="A7284" s="25">
        <f t="shared" si="16"/>
        <v>202206</v>
      </c>
      <c r="B7284" s="6">
        <v>44727</v>
      </c>
      <c r="C7284" t="s">
        <v>2262</v>
      </c>
      <c r="D7284" t="s">
        <v>1354</v>
      </c>
      <c r="E7284">
        <f t="shared" si="15"/>
        <v>119</v>
      </c>
      <c r="F7284" s="2" t="e">
        <f>IF(Table2[[#This Row],[Manual Cat Value]]="",VLOOKUP(Table2[[#This Row],[Description]],'Actuals Lookup'!D:F,3,0),Table2[[#This Row],[Manual Cat Value]])</f>
        <v>#N/A</v>
      </c>
      <c r="G7284" t="str">
        <f>VLOOKUP(D7284,Lookup!G:H,2,0)</f>
        <v>delete</v>
      </c>
      <c r="J7284">
        <v>119</v>
      </c>
      <c r="K7284" s="6"/>
      <c r="L7284" s="6"/>
      <c r="M7284" t="s">
        <v>2513</v>
      </c>
      <c r="O7284" t="str">
        <f>LEFT(Table2[[#This Row],[Description]],75)</f>
        <v>Noom</v>
      </c>
    </row>
    <row r="7285" spans="1:15" hidden="1">
      <c r="A7285" s="25">
        <f t="shared" si="16"/>
        <v>202206</v>
      </c>
      <c r="B7285" s="6">
        <v>44727</v>
      </c>
      <c r="C7285" t="s">
        <v>2262</v>
      </c>
      <c r="D7285" t="s">
        <v>1384</v>
      </c>
      <c r="E7285">
        <f t="shared" si="15"/>
        <v>150</v>
      </c>
      <c r="F7285" s="2" t="e">
        <f>IF(Table2[[#This Row],[Manual Cat Value]]="",VLOOKUP(Table2[[#This Row],[Description]],'Actuals Lookup'!D:F,3,0),Table2[[#This Row],[Manual Cat Value]])</f>
        <v>#N/A</v>
      </c>
      <c r="G7285" t="str">
        <f>VLOOKUP(D7285,Lookup!G:H,2,0)</f>
        <v>Healthcare</v>
      </c>
      <c r="J7285">
        <v>150</v>
      </c>
      <c r="K7285" s="6"/>
      <c r="L7285" s="6"/>
      <c r="M7285" t="s">
        <v>2513</v>
      </c>
      <c r="O7285" t="str">
        <f>LEFT(Table2[[#This Row],[Description]],75)</f>
        <v>Oraldna</v>
      </c>
    </row>
    <row r="7286" spans="1:15" hidden="1">
      <c r="A7286" s="25">
        <f t="shared" si="16"/>
        <v>202206</v>
      </c>
      <c r="B7286" s="6">
        <v>44728</v>
      </c>
      <c r="C7286" t="s">
        <v>2265</v>
      </c>
      <c r="D7286" t="s">
        <v>426</v>
      </c>
      <c r="E7286">
        <f t="shared" si="15"/>
        <v>-80</v>
      </c>
      <c r="F7286" s="2" t="e">
        <f>IF(Table2[[#This Row],[Manual Cat Value]]="",VLOOKUP(Table2[[#This Row],[Description]],'Actuals Lookup'!D:F,3,0),Table2[[#This Row],[Manual Cat Value]])</f>
        <v>#N/A</v>
      </c>
      <c r="G7286" t="str">
        <f>VLOOKUP(D7286,Lookup!G:H,2,0)</f>
        <v>Inc - Britney</v>
      </c>
      <c r="J7286">
        <v>80</v>
      </c>
      <c r="K7286" s="6"/>
      <c r="L7286" s="6"/>
      <c r="M7286" t="s">
        <v>2621</v>
      </c>
      <c r="O7286" t="str">
        <f>LEFT(Table2[[#This Row],[Description]],75)</f>
        <v>CARGILL INCORPOR TYPE   ID  CO C</v>
      </c>
    </row>
    <row r="7287" spans="1:15" hidden="1">
      <c r="A7287" s="25">
        <f t="shared" si="16"/>
        <v>202206</v>
      </c>
      <c r="B7287" s="6">
        <v>44728</v>
      </c>
      <c r="C7287" t="s">
        <v>2262</v>
      </c>
      <c r="D7287" t="s">
        <v>1741</v>
      </c>
      <c r="E7287">
        <f t="shared" si="15"/>
        <v>27</v>
      </c>
      <c r="F7287" s="2" t="e">
        <f>IF(Table2[[#This Row],[Manual Cat Value]]="",VLOOKUP(Table2[[#This Row],[Description]],'Actuals Lookup'!D:F,3,0),Table2[[#This Row],[Manual Cat Value]])</f>
        <v>#N/A</v>
      </c>
      <c r="G7287" t="str">
        <f>VLOOKUP(D7287,Lookup!G:H,2,0)</f>
        <v>Restaurants</v>
      </c>
      <c r="J7287">
        <v>27</v>
      </c>
      <c r="K7287" s="6"/>
      <c r="L7287" s="6"/>
      <c r="M7287" t="s">
        <v>2513</v>
      </c>
      <c r="O7287" t="str">
        <f>LEFT(Table2[[#This Row],[Description]],75)</f>
        <v>SQ LAKE MINNETONKA EXCELExcelsio</v>
      </c>
    </row>
    <row r="7288" spans="1:15" hidden="1">
      <c r="A7288" s="25">
        <f t="shared" si="16"/>
        <v>202206</v>
      </c>
      <c r="B7288" s="6">
        <v>44728</v>
      </c>
      <c r="C7288" t="s">
        <v>2262</v>
      </c>
      <c r="D7288" t="s">
        <v>1743</v>
      </c>
      <c r="E7288">
        <f t="shared" si="15"/>
        <v>46.8</v>
      </c>
      <c r="F7288" s="2" t="e">
        <f>IF(Table2[[#This Row],[Manual Cat Value]]="",VLOOKUP(Table2[[#This Row],[Description]],'Actuals Lookup'!D:F,3,0),Table2[[#This Row],[Manual Cat Value]])</f>
        <v>#N/A</v>
      </c>
      <c r="G7288" t="str">
        <f>VLOOKUP(D7288,Lookup!G:H,2,0)</f>
        <v>Restaurants</v>
      </c>
      <c r="J7288">
        <v>46.8</v>
      </c>
      <c r="K7288" s="6"/>
      <c r="L7288" s="6"/>
      <c r="M7288" t="s">
        <v>2513</v>
      </c>
      <c r="O7288" t="str">
        <f>LEFT(Table2[[#This Row],[Description]],75)</f>
        <v>SQ MN FAVES DBA YUMMY TUExcelsio</v>
      </c>
    </row>
    <row r="7289" spans="1:15" hidden="1">
      <c r="A7289" s="25">
        <f t="shared" si="16"/>
        <v>202206</v>
      </c>
      <c r="B7289" s="6">
        <v>44728</v>
      </c>
      <c r="C7289" t="s">
        <v>2265</v>
      </c>
      <c r="D7289" t="s">
        <v>1955</v>
      </c>
      <c r="E7289">
        <f t="shared" si="15"/>
        <v>61.77</v>
      </c>
      <c r="F7289" s="2" t="str">
        <f>IF(Table2[[#This Row],[Manual Cat Value]]="",VLOOKUP(Table2[[#This Row],[Description]],'Actuals Lookup'!D:F,3,0),Table2[[#This Row],[Manual Cat Value]])</f>
        <v>Shopping</v>
      </c>
      <c r="G7289" t="str">
        <f>VLOOKUP(D7289,Lookup!G:H,2,0)</f>
        <v>Shopping</v>
      </c>
      <c r="J7289">
        <v>61.77</v>
      </c>
      <c r="K7289" s="6"/>
      <c r="L7289" s="6"/>
      <c r="M7289" t="s">
        <v>2513</v>
      </c>
      <c r="O7289" t="str">
        <f>LEFT(Table2[[#This Row],[Description]],75)</f>
        <v>Transfer to PayPal</v>
      </c>
    </row>
    <row r="7290" spans="1:15" hidden="1">
      <c r="A7290" s="25">
        <f t="shared" si="16"/>
        <v>202206</v>
      </c>
      <c r="B7290" s="6">
        <v>44729</v>
      </c>
      <c r="C7290" t="s">
        <v>2262</v>
      </c>
      <c r="D7290" t="s">
        <v>703</v>
      </c>
      <c r="E7290">
        <f t="shared" si="15"/>
        <v>105</v>
      </c>
      <c r="F7290" s="2" t="str">
        <f>IF(Table2[[#This Row],[Manual Cat Value]]="",VLOOKUP(Table2[[#This Row],[Description]],'Actuals Lookup'!D:F,3,0),Table2[[#This Row],[Manual Cat Value]])</f>
        <v>Delete</v>
      </c>
      <c r="G7290" t="str">
        <f>VLOOKUP(D7290,Lookup!G:H,2,0)</f>
        <v>Travel</v>
      </c>
      <c r="J7290">
        <v>105</v>
      </c>
      <c r="K7290" s="6"/>
      <c r="L7290" s="6"/>
      <c r="M7290" t="s">
        <v>2513</v>
      </c>
      <c r="O7290" t="str">
        <f>LEFT(Table2[[#This Row],[Description]],75)</f>
        <v>Delta Air Lines</v>
      </c>
    </row>
    <row r="7291" spans="1:15" hidden="1">
      <c r="A7291" s="25">
        <f t="shared" si="16"/>
        <v>202206</v>
      </c>
      <c r="B7291" s="6">
        <v>44729</v>
      </c>
      <c r="C7291" t="s">
        <v>2262</v>
      </c>
      <c r="D7291" t="s">
        <v>703</v>
      </c>
      <c r="E7291">
        <f t="shared" si="15"/>
        <v>607.20000000000005</v>
      </c>
      <c r="F7291" s="2" t="str">
        <f>IF(Table2[[#This Row],[Manual Cat Value]]="",VLOOKUP(Table2[[#This Row],[Description]],'Actuals Lookup'!D:F,3,0),Table2[[#This Row],[Manual Cat Value]])</f>
        <v>Delete</v>
      </c>
      <c r="G7291" t="str">
        <f>VLOOKUP(D7291,Lookup!G:H,2,0)</f>
        <v>Travel</v>
      </c>
      <c r="J7291">
        <v>607.20000000000005</v>
      </c>
      <c r="K7291" s="6"/>
      <c r="L7291" s="6"/>
      <c r="M7291" t="s">
        <v>2513</v>
      </c>
      <c r="O7291" t="str">
        <f>LEFT(Table2[[#This Row],[Description]],75)</f>
        <v>Delta Air Lines</v>
      </c>
    </row>
    <row r="7292" spans="1:15" hidden="1">
      <c r="A7292" s="25">
        <f t="shared" si="16"/>
        <v>202206</v>
      </c>
      <c r="B7292" s="6">
        <v>44729</v>
      </c>
      <c r="C7292" t="s">
        <v>2265</v>
      </c>
      <c r="D7292" t="s">
        <v>1958</v>
      </c>
      <c r="E7292">
        <f t="shared" ref="E7292:E7323" si="17">IF(M7292="credit",-1*J7292,J7292)</f>
        <v>125</v>
      </c>
      <c r="F7292" s="2" t="str">
        <f>IF(Table2[[#This Row],[Manual Cat Value]]="",VLOOKUP(Table2[[#This Row],[Description]],'Actuals Lookup'!D:F,3,0),Table2[[#This Row],[Manual Cat Value]])</f>
        <v>Shopping</v>
      </c>
      <c r="G7292" t="str">
        <f>VLOOKUP(D7292,Lookup!G:H,2,0)</f>
        <v>Travel</v>
      </c>
      <c r="J7292">
        <v>125</v>
      </c>
      <c r="K7292" s="6"/>
      <c r="L7292" s="6"/>
      <c r="M7292" t="s">
        <v>2513</v>
      </c>
      <c r="O7292" t="str">
        <f>LEFT(Table2[[#This Row],[Description]],75)</f>
        <v>Transfer to Venmo</v>
      </c>
    </row>
    <row r="7293" spans="1:15" hidden="1">
      <c r="A7293" s="25">
        <f t="shared" si="16"/>
        <v>202206</v>
      </c>
      <c r="B7293" s="6">
        <v>44730</v>
      </c>
      <c r="C7293" t="s">
        <v>2447</v>
      </c>
      <c r="D7293" t="s">
        <v>737</v>
      </c>
      <c r="E7293">
        <f t="shared" si="17"/>
        <v>-335.55</v>
      </c>
      <c r="F7293" s="2" t="str">
        <f>IF(Table2[[#This Row],[Manual Cat Value]]="",VLOOKUP(Table2[[#This Row],[Description]],'Actuals Lookup'!D:F,3,0),Table2[[#This Row],[Manual Cat Value]])</f>
        <v>Delete</v>
      </c>
      <c r="G7293" t="str">
        <f>VLOOKUP(D7293,Lookup!G:H,2,0)</f>
        <v>delete</v>
      </c>
      <c r="J7293">
        <v>335.55</v>
      </c>
      <c r="K7293" s="6"/>
      <c r="L7293" s="6"/>
      <c r="M7293" t="s">
        <v>2621</v>
      </c>
      <c r="O7293" t="str">
        <f>LEFT(Table2[[#This Row],[Description]],75)</f>
        <v>DIRECTPAY FULL BALANCE</v>
      </c>
    </row>
    <row r="7294" spans="1:15" hidden="1">
      <c r="A7294" s="25">
        <f t="shared" si="16"/>
        <v>202206</v>
      </c>
      <c r="B7294" s="6">
        <v>44731</v>
      </c>
      <c r="C7294" t="s">
        <v>2262</v>
      </c>
      <c r="D7294" t="s">
        <v>318</v>
      </c>
      <c r="E7294">
        <f t="shared" si="17"/>
        <v>7.06</v>
      </c>
      <c r="F7294" s="2" t="str">
        <f>IF(Table2[[#This Row],[Manual Cat Value]]="",VLOOKUP(Table2[[#This Row],[Description]],'Actuals Lookup'!D:F,3,0),Table2[[#This Row],[Manual Cat Value]])</f>
        <v>Restaurants</v>
      </c>
      <c r="G7294" t="str">
        <f>VLOOKUP(D7294,Lookup!G:H,2,0)</f>
        <v>Restaurants</v>
      </c>
      <c r="J7294">
        <v>7.06</v>
      </c>
      <c r="K7294" s="6"/>
      <c r="L7294" s="6"/>
      <c r="M7294" t="s">
        <v>2513</v>
      </c>
      <c r="O7294" t="str">
        <f>LEFT(Table2[[#This Row],[Description]],75)</f>
        <v>Brewery</v>
      </c>
    </row>
    <row r="7295" spans="1:15" hidden="1">
      <c r="A7295" s="25">
        <f t="shared" si="16"/>
        <v>202206</v>
      </c>
      <c r="B7295" s="6">
        <v>44731</v>
      </c>
      <c r="C7295" t="s">
        <v>2262</v>
      </c>
      <c r="D7295" t="s">
        <v>318</v>
      </c>
      <c r="E7295">
        <f t="shared" si="17"/>
        <v>34</v>
      </c>
      <c r="F7295" s="2" t="str">
        <f>IF(Table2[[#This Row],[Manual Cat Value]]="",VLOOKUP(Table2[[#This Row],[Description]],'Actuals Lookup'!D:F,3,0),Table2[[#This Row],[Manual Cat Value]])</f>
        <v>Restaurants</v>
      </c>
      <c r="G7295" t="str">
        <f>VLOOKUP(D7295,Lookup!G:H,2,0)</f>
        <v>Restaurants</v>
      </c>
      <c r="J7295">
        <v>34</v>
      </c>
      <c r="K7295" s="6"/>
      <c r="L7295" s="6"/>
      <c r="M7295" t="s">
        <v>2513</v>
      </c>
      <c r="O7295" t="str">
        <f>LEFT(Table2[[#This Row],[Description]],75)</f>
        <v>Brewery</v>
      </c>
    </row>
    <row r="7296" spans="1:15" hidden="1">
      <c r="A7296" s="25">
        <f t="shared" si="16"/>
        <v>202206</v>
      </c>
      <c r="B7296" s="6">
        <v>44731</v>
      </c>
      <c r="C7296" t="s">
        <v>2262</v>
      </c>
      <c r="D7296" t="s">
        <v>1912</v>
      </c>
      <c r="E7296">
        <f t="shared" si="17"/>
        <v>52.25</v>
      </c>
      <c r="F7296" s="2" t="e">
        <f>IF(Table2[[#This Row],[Manual Cat Value]]="",VLOOKUP(Table2[[#This Row],[Description]],'Actuals Lookup'!D:F,3,0),Table2[[#This Row],[Manual Cat Value]])</f>
        <v>#N/A</v>
      </c>
      <c r="G7296" t="str">
        <f>VLOOKUP(D7296,Lookup!G:H,2,0)</f>
        <v>Restaurants</v>
      </c>
      <c r="J7296">
        <v>52.25</v>
      </c>
      <c r="K7296" s="6"/>
      <c r="L7296" s="6"/>
      <c r="M7296" t="s">
        <v>2513</v>
      </c>
      <c r="O7296" t="str">
        <f>LEFT(Table2[[#This Row],[Description]],75)</f>
        <v>TOCK ATKADO MISE kadonomisec IL</v>
      </c>
    </row>
    <row r="7297" spans="1:15" ht="30" hidden="1">
      <c r="A7297" s="25">
        <f t="shared" ref="A7297:A7328" si="18">VALUE(YEAR(B7297)&amp;TEXT(MONTH(B7297),"00"))</f>
        <v>202206</v>
      </c>
      <c r="B7297" s="6">
        <v>44732</v>
      </c>
      <c r="C7297" t="s">
        <v>2447</v>
      </c>
      <c r="D7297" s="7" t="s">
        <v>940</v>
      </c>
      <c r="E7297">
        <f t="shared" si="17"/>
        <v>86.72</v>
      </c>
      <c r="F7297" s="2" t="e">
        <f>IF(Table2[[#This Row],[Manual Cat Value]]="",VLOOKUP(Table2[[#This Row],[Description]],'Actuals Lookup'!D:F,3,0),Table2[[#This Row],[Manual Cat Value]])</f>
        <v>#N/A</v>
      </c>
      <c r="G7297" t="str">
        <f>VLOOKUP(D7297,Lookup!G:H,2,0)</f>
        <v>transportation</v>
      </c>
      <c r="J7297">
        <v>86.72</v>
      </c>
      <c r="K7297" s="6"/>
      <c r="L7297" s="6"/>
      <c r="M7297" t="s">
        <v>2513</v>
      </c>
      <c r="O7297" t="str">
        <f>LEFT(Table2[[#This Row],[Description]],75)</f>
        <v>HOLIDAY STATIONS 0217 EDINA MN
APPLE PAY ENDING IN 8856</v>
      </c>
    </row>
    <row r="7298" spans="1:15" ht="30" hidden="1">
      <c r="A7298" s="25">
        <f t="shared" si="18"/>
        <v>202206</v>
      </c>
      <c r="B7298" s="6">
        <v>44733</v>
      </c>
      <c r="C7298" t="s">
        <v>2447</v>
      </c>
      <c r="D7298" s="7" t="s">
        <v>125</v>
      </c>
      <c r="E7298">
        <f t="shared" si="17"/>
        <v>0.56000000000000005</v>
      </c>
      <c r="F7298" s="2" t="e">
        <f>IF(Table2[[#This Row],[Manual Cat Value]]="",VLOOKUP(Table2[[#This Row],[Description]],'Actuals Lookup'!D:F,3,0),Table2[[#This Row],[Manual Cat Value]])</f>
        <v>#N/A</v>
      </c>
      <c r="G7298" t="str">
        <f>VLOOKUP(D7298,Lookup!G:H,2,0)</f>
        <v>Amazon</v>
      </c>
      <c r="J7298">
        <v>0.56000000000000005</v>
      </c>
      <c r="K7298" s="6"/>
      <c r="L7298" s="6"/>
      <c r="M7298" t="s">
        <v>2513</v>
      </c>
      <c r="O7298" t="str">
        <f>LEFT(Table2[[#This Row],[Description]],75)</f>
        <v>AMAZON.COM*JC6F49YZ3 AMZN.COM/BILLWA
440AX8WVGUX</v>
      </c>
    </row>
    <row r="7299" spans="1:15" hidden="1">
      <c r="A7299" s="25">
        <f t="shared" si="18"/>
        <v>202206</v>
      </c>
      <c r="B7299" s="6">
        <v>44733</v>
      </c>
      <c r="C7299" t="s">
        <v>2262</v>
      </c>
      <c r="D7299" t="s">
        <v>127</v>
      </c>
      <c r="E7299">
        <f t="shared" si="17"/>
        <v>21.44</v>
      </c>
      <c r="F7299" s="2" t="e">
        <f>IF(Table2[[#This Row],[Manual Cat Value]]="",VLOOKUP(Table2[[#This Row],[Description]],'Actuals Lookup'!D:F,3,0),Table2[[#This Row],[Manual Cat Value]])</f>
        <v>#N/A</v>
      </c>
      <c r="G7299" t="str">
        <f>VLOOKUP(D7299,Lookup!G:H,2,0)</f>
        <v>Amazon</v>
      </c>
      <c r="J7299">
        <v>21.44</v>
      </c>
      <c r="K7299" s="6"/>
      <c r="L7299" s="6"/>
      <c r="M7299" t="s">
        <v>2513</v>
      </c>
      <c r="O7299" t="str">
        <f>LEFT(Table2[[#This Row],[Description]],75)</f>
        <v>AmazoncomLV9LA9ZZ3     Amzncombi</v>
      </c>
    </row>
    <row r="7300" spans="1:15" hidden="1">
      <c r="A7300" s="25">
        <f t="shared" si="18"/>
        <v>202206</v>
      </c>
      <c r="B7300" s="6">
        <v>44733</v>
      </c>
      <c r="C7300" t="s">
        <v>2262</v>
      </c>
      <c r="D7300" t="s">
        <v>309</v>
      </c>
      <c r="E7300">
        <f t="shared" si="17"/>
        <v>9</v>
      </c>
      <c r="F7300" s="2" t="e">
        <f>IF(Table2[[#This Row],[Manual Cat Value]]="",VLOOKUP(Table2[[#This Row],[Description]],'Actuals Lookup'!D:F,3,0),Table2[[#This Row],[Manual Cat Value]])</f>
        <v>#N/A</v>
      </c>
      <c r="G7300" t="str">
        <f>VLOOKUP(D7300,Lookup!G:H,2,0)</f>
        <v>House Maintenance</v>
      </c>
      <c r="J7300">
        <v>9</v>
      </c>
      <c r="K7300" s="6"/>
      <c r="L7300" s="6"/>
      <c r="M7300" t="s">
        <v>2513</v>
      </c>
      <c r="O7300" t="str">
        <f>LEFT(Table2[[#This Row],[Description]],75)</f>
        <v>BONFES PLUMBING HEATING ASOUTH S</v>
      </c>
    </row>
    <row r="7301" spans="1:15" hidden="1">
      <c r="A7301" s="25">
        <f t="shared" si="18"/>
        <v>202206</v>
      </c>
      <c r="B7301" s="6">
        <v>44733</v>
      </c>
      <c r="C7301" t="s">
        <v>2265</v>
      </c>
      <c r="D7301" t="s">
        <v>556</v>
      </c>
      <c r="E7301">
        <f t="shared" si="17"/>
        <v>55.5</v>
      </c>
      <c r="F7301" s="2" t="e">
        <f>IF(Table2[[#This Row],[Manual Cat Value]]="",VLOOKUP(Table2[[#This Row],[Description]],'Actuals Lookup'!D:F,3,0),Table2[[#This Row],[Manual Cat Value]])</f>
        <v>#N/A</v>
      </c>
      <c r="G7301" t="str">
        <f>VLOOKUP(D7301,Lookup!G:H,2,0)</f>
        <v>Utilities</v>
      </c>
      <c r="J7301">
        <v>55.5</v>
      </c>
      <c r="K7301" s="6"/>
      <c r="L7301" s="6"/>
      <c r="M7301" t="s">
        <v>2513</v>
      </c>
      <c r="O7301" t="str">
        <f>LEFT(Table2[[#This Row],[Description]],75)</f>
        <v>CITY OF CHANHASS TYPE UTIL BILL</v>
      </c>
    </row>
    <row r="7302" spans="1:15" hidden="1">
      <c r="A7302" s="25">
        <f t="shared" si="18"/>
        <v>202206</v>
      </c>
      <c r="B7302" s="6">
        <v>44733</v>
      </c>
      <c r="C7302" t="s">
        <v>2262</v>
      </c>
      <c r="D7302" t="s">
        <v>1160</v>
      </c>
      <c r="E7302">
        <f t="shared" si="17"/>
        <v>80</v>
      </c>
      <c r="F7302" s="2" t="e">
        <f>IF(Table2[[#This Row],[Manual Cat Value]]="",VLOOKUP(Table2[[#This Row],[Description]],'Actuals Lookup'!D:F,3,0),Table2[[#This Row],[Manual Cat Value]])</f>
        <v>#N/A</v>
      </c>
      <c r="G7302" t="str">
        <f>VLOOKUP(D7302,Lookup!G:H,2,0)</f>
        <v>Shopping</v>
      </c>
      <c r="J7302">
        <v>80</v>
      </c>
      <c r="K7302" s="6"/>
      <c r="L7302" s="6"/>
      <c r="M7302" t="s">
        <v>2513</v>
      </c>
      <c r="O7302" t="str">
        <f>LEFT(Table2[[#This Row],[Description]],75)</f>
        <v>LULULEMONCOM            87726393</v>
      </c>
    </row>
    <row r="7303" spans="1:15" hidden="1">
      <c r="A7303" s="25">
        <f t="shared" si="18"/>
        <v>202206</v>
      </c>
      <c r="B7303" s="6">
        <v>44733</v>
      </c>
      <c r="C7303" t="s">
        <v>2265</v>
      </c>
      <c r="D7303" t="s">
        <v>1286</v>
      </c>
      <c r="E7303">
        <f t="shared" si="17"/>
        <v>200</v>
      </c>
      <c r="F7303" s="2" t="e">
        <f>IF(Table2[[#This Row],[Manual Cat Value]]="",VLOOKUP(Table2[[#This Row],[Description]],'Actuals Lookup'!D:F,3,0),Table2[[#This Row],[Manual Cat Value]])</f>
        <v>#N/A</v>
      </c>
      <c r="G7303" t="str">
        <f>VLOOKUP(D7303,Lookup!G:H,2,0)</f>
        <v>Delete</v>
      </c>
      <c r="J7303">
        <v>200</v>
      </c>
      <c r="K7303" s="6"/>
      <c r="L7303" s="6"/>
      <c r="M7303" t="s">
        <v>2513</v>
      </c>
      <c r="O7303" t="str">
        <f>LEFT(Table2[[#This Row],[Description]],75)</f>
        <v>MN DIR ACH TYPE CONTRIB ID CO MN</v>
      </c>
    </row>
    <row r="7304" spans="1:15" hidden="1">
      <c r="A7304" s="25">
        <f t="shared" si="18"/>
        <v>202206</v>
      </c>
      <c r="B7304" s="6">
        <v>44733</v>
      </c>
      <c r="C7304" t="s">
        <v>2262</v>
      </c>
      <c r="D7304" t="s">
        <v>1409</v>
      </c>
      <c r="E7304">
        <f t="shared" si="17"/>
        <v>-135</v>
      </c>
      <c r="F7304" s="2" t="e">
        <f>IF(Table2[[#This Row],[Manual Cat Value]]="",VLOOKUP(Table2[[#This Row],[Description]],'Actuals Lookup'!D:F,3,0),Table2[[#This Row],[Manual Cat Value]])</f>
        <v>#N/A</v>
      </c>
      <c r="G7304" t="str">
        <f>VLOOKUP(D7304,Lookup!G:H,2,0)</f>
        <v>shopping</v>
      </c>
      <c r="J7304">
        <v>135</v>
      </c>
      <c r="K7304" s="6"/>
      <c r="L7304" s="6"/>
      <c r="M7304" t="s">
        <v>2621</v>
      </c>
      <c r="O7304" t="str">
        <f>LEFT(Table2[[#This Row],[Description]],75)</f>
        <v>Patagonia Direct Inc    80063864</v>
      </c>
    </row>
    <row r="7305" spans="1:15" hidden="1">
      <c r="A7305" s="25">
        <f t="shared" si="18"/>
        <v>202206</v>
      </c>
      <c r="B7305" s="6">
        <v>44733</v>
      </c>
      <c r="C7305" t="s">
        <v>2262</v>
      </c>
      <c r="D7305" t="s">
        <v>1409</v>
      </c>
      <c r="E7305">
        <f t="shared" si="17"/>
        <v>-39</v>
      </c>
      <c r="F7305" s="2" t="e">
        <f>IF(Table2[[#This Row],[Manual Cat Value]]="",VLOOKUP(Table2[[#This Row],[Description]],'Actuals Lookup'!D:F,3,0),Table2[[#This Row],[Manual Cat Value]])</f>
        <v>#N/A</v>
      </c>
      <c r="G7305" t="str">
        <f>VLOOKUP(D7305,Lookup!G:H,2,0)</f>
        <v>shopping</v>
      </c>
      <c r="J7305">
        <v>39</v>
      </c>
      <c r="K7305" s="6"/>
      <c r="L7305" s="6"/>
      <c r="M7305" t="s">
        <v>2621</v>
      </c>
      <c r="O7305" t="str">
        <f>LEFT(Table2[[#This Row],[Description]],75)</f>
        <v>Patagonia Direct Inc    80063864</v>
      </c>
    </row>
    <row r="7306" spans="1:15" hidden="1">
      <c r="A7306" s="25">
        <f t="shared" si="18"/>
        <v>202206</v>
      </c>
      <c r="B7306" s="6">
        <v>44733</v>
      </c>
      <c r="C7306" t="s">
        <v>2262</v>
      </c>
      <c r="D7306" t="s">
        <v>1409</v>
      </c>
      <c r="E7306">
        <f t="shared" si="17"/>
        <v>-93</v>
      </c>
      <c r="F7306" s="2" t="e">
        <f>IF(Table2[[#This Row],[Manual Cat Value]]="",VLOOKUP(Table2[[#This Row],[Description]],'Actuals Lookup'!D:F,3,0),Table2[[#This Row],[Manual Cat Value]])</f>
        <v>#N/A</v>
      </c>
      <c r="G7306" t="str">
        <f>VLOOKUP(D7306,Lookup!G:H,2,0)</f>
        <v>shopping</v>
      </c>
      <c r="J7306">
        <v>93</v>
      </c>
      <c r="K7306" s="6"/>
      <c r="L7306" s="6"/>
      <c r="M7306" t="s">
        <v>2621</v>
      </c>
      <c r="O7306" t="str">
        <f>LEFT(Table2[[#This Row],[Description]],75)</f>
        <v>Patagonia Direct Inc    80063864</v>
      </c>
    </row>
    <row r="7307" spans="1:15" hidden="1">
      <c r="A7307" s="25">
        <f t="shared" si="18"/>
        <v>202206</v>
      </c>
      <c r="B7307" s="6">
        <v>44733</v>
      </c>
      <c r="C7307" t="s">
        <v>2265</v>
      </c>
      <c r="D7307" t="s">
        <v>1955</v>
      </c>
      <c r="E7307">
        <f t="shared" si="17"/>
        <v>108.95</v>
      </c>
      <c r="F7307" s="2" t="str">
        <f>IF(Table2[[#This Row],[Manual Cat Value]]="",VLOOKUP(Table2[[#This Row],[Description]],'Actuals Lookup'!D:F,3,0),Table2[[#This Row],[Manual Cat Value]])</f>
        <v>Shopping</v>
      </c>
      <c r="G7307" t="str">
        <f>VLOOKUP(D7307,Lookup!G:H,2,0)</f>
        <v>Shopping</v>
      </c>
      <c r="J7307">
        <v>108.95</v>
      </c>
      <c r="K7307" s="6"/>
      <c r="L7307" s="6"/>
      <c r="M7307" t="s">
        <v>2513</v>
      </c>
      <c r="O7307" t="str">
        <f>LEFT(Table2[[#This Row],[Description]],75)</f>
        <v>Transfer to PayPal</v>
      </c>
    </row>
    <row r="7308" spans="1:15" hidden="1">
      <c r="A7308" s="25">
        <f t="shared" si="18"/>
        <v>202206</v>
      </c>
      <c r="B7308" s="6">
        <v>44733</v>
      </c>
      <c r="C7308" t="s">
        <v>2265</v>
      </c>
      <c r="D7308" t="s">
        <v>1464</v>
      </c>
      <c r="E7308">
        <f t="shared" si="17"/>
        <v>335.55</v>
      </c>
      <c r="F7308" s="2" t="str">
        <f>IF(Table2[[#This Row],[Manual Cat Value]]="",VLOOKUP(Table2[[#This Row],[Description]],'Actuals Lookup'!D:F,3,0),Table2[[#This Row],[Manual Cat Value]])</f>
        <v>Delete</v>
      </c>
      <c r="G7308" t="str">
        <f>VLOOKUP(D7308,Lookup!G:H,2,0)</f>
        <v>Delete</v>
      </c>
      <c r="J7308">
        <v>335.55</v>
      </c>
      <c r="K7308" s="6"/>
      <c r="L7308" s="6"/>
      <c r="M7308" t="s">
        <v>2513</v>
      </c>
      <c r="O7308" t="str">
        <f>LEFT(Table2[[#This Row],[Description]],75)</f>
        <v>Payment to Discover Bank</v>
      </c>
    </row>
    <row r="7309" spans="1:15" hidden="1">
      <c r="A7309" s="25">
        <f t="shared" si="18"/>
        <v>202206</v>
      </c>
      <c r="B7309" s="6">
        <v>44734</v>
      </c>
      <c r="C7309" t="s">
        <v>2262</v>
      </c>
      <c r="D7309" t="s">
        <v>157</v>
      </c>
      <c r="E7309">
        <f t="shared" si="17"/>
        <v>19.98</v>
      </c>
      <c r="F7309" s="2" t="e">
        <f>IF(Table2[[#This Row],[Manual Cat Value]]="",VLOOKUP(Table2[[#This Row],[Description]],'Actuals Lookup'!D:F,3,0),Table2[[#This Row],[Manual Cat Value]])</f>
        <v>#N/A</v>
      </c>
      <c r="G7309" t="str">
        <f>VLOOKUP(D7309,Lookup!G:H,2,0)</f>
        <v>Amazon</v>
      </c>
      <c r="J7309">
        <v>19.98</v>
      </c>
      <c r="K7309" s="6"/>
      <c r="L7309" s="6"/>
      <c r="M7309" t="s">
        <v>2513</v>
      </c>
      <c r="O7309" t="str">
        <f>LEFT(Table2[[#This Row],[Description]],75)</f>
        <v>AMZN Mktp USQA3QH1PV3   Amzncomb</v>
      </c>
    </row>
    <row r="7310" spans="1:15" hidden="1">
      <c r="A7310" s="25">
        <f t="shared" si="18"/>
        <v>202206</v>
      </c>
      <c r="B7310" s="6">
        <v>44734</v>
      </c>
      <c r="C7310" t="s">
        <v>2262</v>
      </c>
      <c r="D7310" t="s">
        <v>159</v>
      </c>
      <c r="E7310">
        <f t="shared" si="17"/>
        <v>16.989999999999998</v>
      </c>
      <c r="F7310" s="2" t="e">
        <f>IF(Table2[[#This Row],[Manual Cat Value]]="",VLOOKUP(Table2[[#This Row],[Description]],'Actuals Lookup'!D:F,3,0),Table2[[#This Row],[Manual Cat Value]])</f>
        <v>#N/A</v>
      </c>
      <c r="G7310" t="str">
        <f>VLOOKUP(D7310,Lookup!G:H,2,0)</f>
        <v>Amazon</v>
      </c>
      <c r="J7310">
        <v>16.989999999999998</v>
      </c>
      <c r="K7310" s="6"/>
      <c r="L7310" s="6"/>
      <c r="M7310" t="s">
        <v>2513</v>
      </c>
      <c r="O7310" t="str">
        <f>LEFT(Table2[[#This Row],[Description]],75)</f>
        <v>AMZN Mktp USYM3KB9353   Amzncomb</v>
      </c>
    </row>
    <row r="7311" spans="1:15" hidden="1">
      <c r="A7311" s="25">
        <f t="shared" si="18"/>
        <v>202206</v>
      </c>
      <c r="B7311" s="6">
        <v>44734</v>
      </c>
      <c r="C7311" t="s">
        <v>2265</v>
      </c>
      <c r="D7311" t="s">
        <v>1195</v>
      </c>
      <c r="E7311">
        <f t="shared" si="17"/>
        <v>536.5</v>
      </c>
      <c r="F7311" s="2" t="e">
        <f>IF(Table2[[#This Row],[Manual Cat Value]]="",VLOOKUP(Table2[[#This Row],[Description]],'Actuals Lookup'!D:F,3,0),Table2[[#This Row],[Manual Cat Value]])</f>
        <v>#N/A</v>
      </c>
      <c r="G7311" t="str">
        <f>VLOOKUP(D7311,Lookup!G:H,2,0)</f>
        <v>Day Care</v>
      </c>
      <c r="J7311">
        <v>536.5</v>
      </c>
      <c r="K7311" s="6"/>
      <c r="L7311" s="6"/>
      <c r="M7311" t="s">
        <v>2513</v>
      </c>
      <c r="O7311" t="str">
        <f>LEFT(Table2[[#This Row],[Description]],75)</f>
        <v>MHCHILDCARELLC TYPE DUES ID CO M</v>
      </c>
    </row>
    <row r="7312" spans="1:15" hidden="1">
      <c r="A7312" s="25">
        <f t="shared" si="18"/>
        <v>202206</v>
      </c>
      <c r="B7312" s="6">
        <v>44734</v>
      </c>
      <c r="C7312" t="s">
        <v>2265</v>
      </c>
      <c r="D7312" t="s">
        <v>2204</v>
      </c>
      <c r="E7312">
        <f t="shared" si="17"/>
        <v>1165.8599999999999</v>
      </c>
      <c r="F7312" s="2" t="e">
        <f>IF(Table2[[#This Row],[Manual Cat Value]]="",VLOOKUP(Table2[[#This Row],[Description]],'Actuals Lookup'!D:F,3,0),Table2[[#This Row],[Manual Cat Value]])</f>
        <v>#N/A</v>
      </c>
      <c r="G7312" t="str">
        <f>VLOOKUP(D7312,Lookup!G:H,2,0)</f>
        <v>Delete</v>
      </c>
      <c r="J7312">
        <v>1165.8599999999999</v>
      </c>
      <c r="K7312" s="6"/>
      <c r="L7312" s="6"/>
      <c r="M7312" t="s">
        <v>2513</v>
      </c>
      <c r="O7312" t="str">
        <f>LEFT(Table2[[#This Row],[Description]],75)</f>
        <v>Withdrawal Home Pmt to card XX91</v>
      </c>
    </row>
    <row r="7313" spans="1:15" hidden="1">
      <c r="A7313" s="25">
        <f t="shared" si="18"/>
        <v>202206</v>
      </c>
      <c r="B7313" s="6">
        <v>44734</v>
      </c>
      <c r="C7313" t="s">
        <v>2262</v>
      </c>
      <c r="D7313" t="s">
        <v>673</v>
      </c>
      <c r="E7313">
        <f t="shared" si="17"/>
        <v>-1165.8599999999999</v>
      </c>
      <c r="F7313" s="2" t="str">
        <f>IF(Table2[[#This Row],[Manual Cat Value]]="",VLOOKUP(Table2[[#This Row],[Description]],'Actuals Lookup'!D:F,3,0),Table2[[#This Row],[Manual Cat Value]])</f>
        <v>Delete</v>
      </c>
      <c r="G7313" t="str">
        <f>VLOOKUP(D7313,Lookup!G:H,2,0)</f>
        <v>Delete</v>
      </c>
      <c r="J7313">
        <v>1165.8599999999999</v>
      </c>
      <c r="K7313" s="6"/>
      <c r="L7313" s="6"/>
      <c r="M7313" t="s">
        <v>2621</v>
      </c>
      <c r="O7313" t="str">
        <f>LEFT(Table2[[#This Row],[Description]],75)</f>
        <v>Credit Card Payment Received</v>
      </c>
    </row>
    <row r="7314" spans="1:15" hidden="1">
      <c r="A7314" s="25">
        <f t="shared" si="18"/>
        <v>202206</v>
      </c>
      <c r="B7314" s="6">
        <v>44735</v>
      </c>
      <c r="C7314" t="s">
        <v>2262</v>
      </c>
      <c r="D7314" t="s">
        <v>155</v>
      </c>
      <c r="E7314">
        <f t="shared" si="17"/>
        <v>9.4</v>
      </c>
      <c r="F7314" s="2" t="e">
        <f>IF(Table2[[#This Row],[Manual Cat Value]]="",VLOOKUP(Table2[[#This Row],[Description]],'Actuals Lookup'!D:F,3,0),Table2[[#This Row],[Manual Cat Value]])</f>
        <v>#N/A</v>
      </c>
      <c r="G7314" t="str">
        <f>VLOOKUP(D7314,Lookup!G:H,2,0)</f>
        <v>Amazon</v>
      </c>
      <c r="J7314">
        <v>9.4</v>
      </c>
      <c r="K7314" s="6"/>
      <c r="L7314" s="6"/>
      <c r="M7314" t="s">
        <v>2513</v>
      </c>
      <c r="O7314" t="str">
        <f>LEFT(Table2[[#This Row],[Description]],75)</f>
        <v>AMZN Mktp USA258Y41C3 Amzncombil</v>
      </c>
    </row>
    <row r="7315" spans="1:15" hidden="1">
      <c r="A7315" s="25">
        <f t="shared" si="18"/>
        <v>202206</v>
      </c>
      <c r="B7315" s="6">
        <v>44735</v>
      </c>
      <c r="C7315" t="s">
        <v>2265</v>
      </c>
      <c r="D7315" t="s">
        <v>427</v>
      </c>
      <c r="E7315">
        <f t="shared" si="17"/>
        <v>-2448.7199999999998</v>
      </c>
      <c r="F7315" s="2" t="e">
        <f>IF(Table2[[#This Row],[Manual Cat Value]]="",VLOOKUP(Table2[[#This Row],[Description]],'Actuals Lookup'!D:F,3,0),Table2[[#This Row],[Manual Cat Value]])</f>
        <v>#N/A</v>
      </c>
      <c r="G7315" t="str">
        <f>VLOOKUP(D7315,Lookup!G:H,2,0)</f>
        <v>Inc - Britney</v>
      </c>
      <c r="J7315">
        <v>2448.7199999999998</v>
      </c>
      <c r="K7315" s="6"/>
      <c r="L7315" s="6"/>
      <c r="M7315" t="s">
        <v>2621</v>
      </c>
      <c r="O7315" t="str">
        <f>LEFT(Table2[[#This Row],[Description]],75)</f>
        <v>CARGILL INCORPOR TYPE DIRECT DEP</v>
      </c>
    </row>
    <row r="7316" spans="1:15" hidden="1">
      <c r="A7316" s="25">
        <f t="shared" si="18"/>
        <v>202206</v>
      </c>
      <c r="B7316" s="6">
        <v>44735</v>
      </c>
      <c r="C7316" t="s">
        <v>2262</v>
      </c>
      <c r="D7316" t="s">
        <v>684</v>
      </c>
      <c r="E7316">
        <f t="shared" si="17"/>
        <v>47.03</v>
      </c>
      <c r="F7316" s="2" t="str">
        <f>IF(Table2[[#This Row],[Manual Cat Value]]="",VLOOKUP(Table2[[#This Row],[Description]],'Actuals Lookup'!D:F,3,0),Table2[[#This Row],[Manual Cat Value]])</f>
        <v>Groceries</v>
      </c>
      <c r="G7316" t="str">
        <f>VLOOKUP(D7316,Lookup!G:H,2,0)</f>
        <v>Groceries</v>
      </c>
      <c r="J7316">
        <v>47.03</v>
      </c>
      <c r="K7316" s="6"/>
      <c r="L7316" s="6"/>
      <c r="M7316" t="s">
        <v>2513</v>
      </c>
      <c r="O7316" t="str">
        <f>LEFT(Table2[[#This Row],[Description]],75)</f>
        <v>Cub Foods</v>
      </c>
    </row>
    <row r="7317" spans="1:15" hidden="1">
      <c r="A7317" s="25">
        <f t="shared" si="18"/>
        <v>202206</v>
      </c>
      <c r="B7317" s="6">
        <v>44735</v>
      </c>
      <c r="C7317" t="s">
        <v>2300</v>
      </c>
      <c r="D7317" t="s">
        <v>859</v>
      </c>
      <c r="E7317">
        <f t="shared" si="17"/>
        <v>-100</v>
      </c>
      <c r="F7317" s="2" t="str">
        <f>IF(Table2[[#This Row],[Manual Cat Value]]="",VLOOKUP(Table2[[#This Row],[Description]],'Actuals Lookup'!D:F,3,0),Table2[[#This Row],[Manual Cat Value]])</f>
        <v>Delete</v>
      </c>
      <c r="G7317" t="str">
        <f>VLOOKUP(D7317,Lookup!G:H,2,0)</f>
        <v>Car Loan</v>
      </c>
      <c r="H7317" s="8" t="s">
        <v>9</v>
      </c>
      <c r="J7317">
        <v>100</v>
      </c>
      <c r="K7317" s="6"/>
      <c r="L7317" s="6"/>
      <c r="M7317" t="s">
        <v>2621</v>
      </c>
      <c r="O7317" t="str">
        <f>LEFT(Table2[[#This Row],[Description]],75)</f>
        <v>From Share 70</v>
      </c>
    </row>
    <row r="7318" spans="1:15" hidden="1">
      <c r="A7318" s="25">
        <f t="shared" si="18"/>
        <v>202206</v>
      </c>
      <c r="B7318" s="6">
        <v>44735</v>
      </c>
      <c r="C7318" t="s">
        <v>2262</v>
      </c>
      <c r="D7318" t="s">
        <v>1267</v>
      </c>
      <c r="E7318">
        <f t="shared" si="17"/>
        <v>47</v>
      </c>
      <c r="F7318" s="2" t="str">
        <f>IF(Table2[[#This Row],[Manual Cat Value]]="",VLOOKUP(Table2[[#This Row],[Description]],'Actuals Lookup'!D:F,3,0),Table2[[#This Row],[Manual Cat Value]])</f>
        <v>Entertainment</v>
      </c>
      <c r="G7318" t="str">
        <f>VLOOKUP(D7318,Lookup!G:H,2,0)</f>
        <v>Delete</v>
      </c>
      <c r="J7318">
        <v>47</v>
      </c>
      <c r="K7318" s="6"/>
      <c r="L7318" s="6"/>
      <c r="M7318" t="s">
        <v>2513</v>
      </c>
      <c r="O7318" t="str">
        <f>LEFT(Table2[[#This Row],[Description]],75)</f>
        <v>Minnesota State Parks</v>
      </c>
    </row>
    <row r="7319" spans="1:15" hidden="1">
      <c r="A7319" s="25">
        <f t="shared" si="18"/>
        <v>202206</v>
      </c>
      <c r="B7319" s="6">
        <v>44735</v>
      </c>
      <c r="C7319" t="s">
        <v>2262</v>
      </c>
      <c r="D7319" t="s">
        <v>1784</v>
      </c>
      <c r="E7319">
        <f t="shared" si="17"/>
        <v>87.44</v>
      </c>
      <c r="F7319" s="2" t="e">
        <f>IF(Table2[[#This Row],[Manual Cat Value]]="",VLOOKUP(Table2[[#This Row],[Description]],'Actuals Lookup'!D:F,3,0),Table2[[#This Row],[Manual Cat Value]])</f>
        <v>#N/A</v>
      </c>
      <c r="G7319" t="str">
        <f>VLOOKUP(D7319,Lookup!G:H,2,0)</f>
        <v>Restaurants</v>
      </c>
      <c r="J7319">
        <v>87.44</v>
      </c>
      <c r="K7319" s="6"/>
      <c r="L7319" s="6"/>
      <c r="M7319" t="s">
        <v>2513</v>
      </c>
      <c r="O7319" t="str">
        <f>LEFT(Table2[[#This Row],[Description]],75)</f>
        <v>STONEBROOKE GOLF CLUB SHAKOPEE MN</v>
      </c>
    </row>
    <row r="7320" spans="1:15" hidden="1">
      <c r="A7320" s="25">
        <f t="shared" si="18"/>
        <v>202206</v>
      </c>
      <c r="B7320" s="6">
        <v>44735</v>
      </c>
      <c r="C7320" t="s">
        <v>2262</v>
      </c>
      <c r="D7320" t="s">
        <v>1843</v>
      </c>
      <c r="E7320">
        <f t="shared" si="17"/>
        <v>31.66</v>
      </c>
      <c r="F7320" s="2" t="str">
        <f>IF(Table2[[#This Row],[Manual Cat Value]]="",VLOOKUP(Table2[[#This Row],[Description]],'Actuals Lookup'!D:F,3,0),Table2[[#This Row],[Manual Cat Value]])</f>
        <v>Shopping</v>
      </c>
      <c r="G7320" t="str">
        <f>VLOOKUP(D7320,Lookup!G:H,2,0)</f>
        <v>shopping</v>
      </c>
      <c r="J7320">
        <v>31.66</v>
      </c>
      <c r="K7320" s="6"/>
      <c r="L7320" s="6"/>
      <c r="M7320" t="s">
        <v>2513</v>
      </c>
      <c r="O7320" t="str">
        <f>LEFT(Table2[[#This Row],[Description]],75)</f>
        <v>The Company Store</v>
      </c>
    </row>
    <row r="7321" spans="1:15" hidden="1">
      <c r="A7321" s="25">
        <f t="shared" si="18"/>
        <v>202206</v>
      </c>
      <c r="B7321" s="6">
        <v>44735</v>
      </c>
      <c r="C7321" t="s">
        <v>2262</v>
      </c>
      <c r="D7321" t="s">
        <v>1854</v>
      </c>
      <c r="E7321">
        <f t="shared" si="17"/>
        <v>220.29</v>
      </c>
      <c r="F7321" s="2" t="str">
        <f>IF(Table2[[#This Row],[Manual Cat Value]]="",VLOOKUP(Table2[[#This Row],[Description]],'Actuals Lookup'!D:F,3,0),Table2[[#This Row],[Manual Cat Value]])</f>
        <v>Exp - House Maint</v>
      </c>
      <c r="G7321" t="str">
        <f>VLOOKUP(D7321,Lookup!G:H,2,0)</f>
        <v>shopping</v>
      </c>
      <c r="H7321" s="8" t="s">
        <v>1</v>
      </c>
      <c r="J7321">
        <v>220.29</v>
      </c>
      <c r="K7321" s="6"/>
      <c r="L7321" s="6"/>
      <c r="M7321" t="s">
        <v>2513</v>
      </c>
      <c r="O7321" t="str">
        <f>LEFT(Table2[[#This Row],[Description]],75)</f>
        <v>The Mustard Seed</v>
      </c>
    </row>
    <row r="7322" spans="1:15" hidden="1">
      <c r="A7322" s="25">
        <f t="shared" si="18"/>
        <v>202206</v>
      </c>
      <c r="B7322" s="6">
        <v>44735</v>
      </c>
      <c r="C7322" t="s">
        <v>2265</v>
      </c>
      <c r="D7322" t="s">
        <v>1892</v>
      </c>
      <c r="E7322">
        <f t="shared" si="17"/>
        <v>100</v>
      </c>
      <c r="F7322" s="2" t="e">
        <f>IF(Table2[[#This Row],[Manual Cat Value]]="",VLOOKUP(Table2[[#This Row],[Description]],'Actuals Lookup'!D:F,3,0),Table2[[#This Row],[Manual Cat Value]])</f>
        <v>#N/A</v>
      </c>
      <c r="G7322" t="str">
        <f>VLOOKUP(D7322,Lookup!G:H,2,0)</f>
        <v>Delete</v>
      </c>
      <c r="J7322">
        <v>100</v>
      </c>
      <c r="K7322" s="6"/>
      <c r="L7322" s="6"/>
      <c r="M7322" t="s">
        <v>2513</v>
      </c>
      <c r="O7322" t="str">
        <f>LEFT(Table2[[#This Row],[Description]],75)</f>
        <v>To Share 12</v>
      </c>
    </row>
    <row r="7323" spans="1:15" hidden="1">
      <c r="A7323" s="25">
        <f t="shared" si="18"/>
        <v>202206</v>
      </c>
      <c r="B7323" s="6">
        <v>44735</v>
      </c>
      <c r="C7323" t="s">
        <v>2262</v>
      </c>
      <c r="D7323" t="s">
        <v>1930</v>
      </c>
      <c r="E7323">
        <f t="shared" si="17"/>
        <v>41.39</v>
      </c>
      <c r="F7323" s="2" t="e">
        <f>IF(Table2[[#This Row],[Manual Cat Value]]="",VLOOKUP(Table2[[#This Row],[Description]],'Actuals Lookup'!D:F,3,0),Table2[[#This Row],[Manual Cat Value]])</f>
        <v>#N/A</v>
      </c>
      <c r="G7323" t="str">
        <f>VLOOKUP(D7323,Lookup!G:H,2,0)</f>
        <v>Groceries</v>
      </c>
      <c r="J7323">
        <v>41.39</v>
      </c>
      <c r="K7323" s="6"/>
      <c r="L7323" s="6"/>
      <c r="M7323" t="s">
        <v>2513</v>
      </c>
      <c r="O7323" t="str">
        <f>LEFT(Table2[[#This Row],[Description]],75)</f>
        <v>Trader Joes</v>
      </c>
    </row>
    <row r="7324" spans="1:15" hidden="1">
      <c r="A7324" s="25">
        <f t="shared" si="18"/>
        <v>202206</v>
      </c>
      <c r="B7324" s="6">
        <v>44735</v>
      </c>
      <c r="C7324" t="s">
        <v>2262</v>
      </c>
      <c r="D7324" t="s">
        <v>2144</v>
      </c>
      <c r="E7324">
        <f t="shared" ref="E7324:E7355" si="19">IF(M7324="credit",-1*J7324,J7324)</f>
        <v>7.95</v>
      </c>
      <c r="F7324" s="2" t="e">
        <f>IF(Table2[[#This Row],[Manual Cat Value]]="",VLOOKUP(Table2[[#This Row],[Description]],'Actuals Lookup'!D:F,3,0),Table2[[#This Row],[Manual Cat Value]])</f>
        <v>#N/A</v>
      </c>
      <c r="G7324" t="str">
        <f>VLOOKUP(D7324,Lookup!G:H,2,0)</f>
        <v>Restaurants</v>
      </c>
      <c r="J7324">
        <v>7.95</v>
      </c>
      <c r="K7324" s="6"/>
      <c r="L7324" s="6"/>
      <c r="M7324" t="s">
        <v>2513</v>
      </c>
      <c r="O7324" t="str">
        <f>LEFT(Table2[[#This Row],[Description]],75)</f>
        <v>WAYZATA CAFE WAYZATA MN</v>
      </c>
    </row>
    <row r="7325" spans="1:15" hidden="1">
      <c r="A7325" s="25">
        <f t="shared" si="18"/>
        <v>202206</v>
      </c>
      <c r="B7325" s="6">
        <v>44735</v>
      </c>
      <c r="C7325" t="s">
        <v>2265</v>
      </c>
      <c r="D7325" t="s">
        <v>1810</v>
      </c>
      <c r="E7325">
        <f t="shared" si="19"/>
        <v>-96.66</v>
      </c>
      <c r="F7325" s="2" t="e">
        <f>IF(Table2[[#This Row],[Manual Cat Value]]="",VLOOKUP(Table2[[#This Row],[Description]],'Actuals Lookup'!D:F,3,0),Table2[[#This Row],[Manual Cat Value]])</f>
        <v>#N/A</v>
      </c>
      <c r="G7325" t="str">
        <f>VLOOKUP(D7325,Lookup!G:H,2,0)</f>
        <v>Delete</v>
      </c>
      <c r="J7325">
        <v>96.66</v>
      </c>
      <c r="K7325" s="6"/>
      <c r="L7325" s="6"/>
      <c r="M7325" t="s">
        <v>2621</v>
      </c>
      <c r="O7325" t="str">
        <f>LEFT(Table2[[#This Row],[Description]],75)</f>
        <v>SYNTELLIS TYPE PAYMENT  ID  CO S</v>
      </c>
    </row>
    <row r="7326" spans="1:15" ht="30" hidden="1">
      <c r="A7326" s="25">
        <f t="shared" si="18"/>
        <v>202206</v>
      </c>
      <c r="B7326" s="6">
        <v>44736</v>
      </c>
      <c r="C7326" t="s">
        <v>2447</v>
      </c>
      <c r="D7326" s="7" t="s">
        <v>142</v>
      </c>
      <c r="E7326">
        <f t="shared" si="19"/>
        <v>21.95</v>
      </c>
      <c r="F7326" s="2" t="e">
        <f>IF(Table2[[#This Row],[Manual Cat Value]]="",VLOOKUP(Table2[[#This Row],[Description]],'Actuals Lookup'!D:F,3,0),Table2[[#This Row],[Manual Cat Value]])</f>
        <v>#N/A</v>
      </c>
      <c r="G7326" t="str">
        <f>VLOOKUP(D7326,Lookup!G:H,2,0)</f>
        <v>Amazon</v>
      </c>
      <c r="J7326">
        <v>21.95</v>
      </c>
      <c r="K7326" s="6"/>
      <c r="L7326" s="6"/>
      <c r="M7326" t="s">
        <v>2513</v>
      </c>
      <c r="O7326" t="str">
        <f>LEFT(Table2[[#This Row],[Description]],75)</f>
        <v>AMZN MKTP US*RZ30I11B3 AMZN.COM/BILLWA
SXP0H81EJON</v>
      </c>
    </row>
    <row r="7327" spans="1:15" hidden="1">
      <c r="A7327" s="25">
        <f t="shared" si="18"/>
        <v>202206</v>
      </c>
      <c r="B7327" s="6">
        <v>44736</v>
      </c>
      <c r="C7327" t="s">
        <v>2262</v>
      </c>
      <c r="D7327" t="s">
        <v>897</v>
      </c>
      <c r="E7327">
        <f t="shared" si="19"/>
        <v>50</v>
      </c>
      <c r="F7327" s="2" t="e">
        <f>IF(Table2[[#This Row],[Manual Cat Value]]="",VLOOKUP(Table2[[#This Row],[Description]],'Actuals Lookup'!D:F,3,0),Table2[[#This Row],[Manual Cat Value]])</f>
        <v>#N/A</v>
      </c>
      <c r="G7327" t="str">
        <f>VLOOKUP(D7327,Lookup!G:H,2,0)</f>
        <v>Gifts</v>
      </c>
      <c r="J7327">
        <v>50</v>
      </c>
      <c r="K7327" s="6"/>
      <c r="L7327" s="6"/>
      <c r="M7327" t="s">
        <v>2513</v>
      </c>
      <c r="O7327" t="str">
        <f>LEFT(Table2[[#This Row],[Description]],75)</f>
        <v>GoFundMe Donate to help sRedwood</v>
      </c>
    </row>
    <row r="7328" spans="1:15" hidden="1">
      <c r="A7328" s="25">
        <f t="shared" si="18"/>
        <v>202206</v>
      </c>
      <c r="B7328" s="6">
        <v>44736</v>
      </c>
      <c r="C7328" t="s">
        <v>2262</v>
      </c>
      <c r="D7328" t="s">
        <v>1914</v>
      </c>
      <c r="E7328">
        <f t="shared" si="19"/>
        <v>245</v>
      </c>
      <c r="F7328" s="2" t="e">
        <f>IF(Table2[[#This Row],[Manual Cat Value]]="",VLOOKUP(Table2[[#This Row],[Description]],'Actuals Lookup'!D:F,3,0),Table2[[#This Row],[Manual Cat Value]])</f>
        <v>#N/A</v>
      </c>
      <c r="G7328" t="str">
        <f>VLOOKUP(D7328,Lookup!G:H,2,0)</f>
        <v>shopping</v>
      </c>
      <c r="J7328">
        <v>245</v>
      </c>
      <c r="K7328" s="6"/>
      <c r="L7328" s="6"/>
      <c r="M7328" t="s">
        <v>2513</v>
      </c>
      <c r="O7328" t="str">
        <f>LEFT(Table2[[#This Row],[Description]],75)</f>
        <v>Tommy Bahama</v>
      </c>
    </row>
    <row r="7329" spans="1:15" hidden="1">
      <c r="A7329" s="25">
        <f t="shared" ref="A7329:A7360" si="20">VALUE(YEAR(B7329)&amp;TEXT(MONTH(B7329),"00"))</f>
        <v>202206</v>
      </c>
      <c r="B7329" s="6">
        <v>44736</v>
      </c>
      <c r="C7329" t="s">
        <v>2265</v>
      </c>
      <c r="D7329" t="s">
        <v>1958</v>
      </c>
      <c r="E7329">
        <f t="shared" si="19"/>
        <v>150</v>
      </c>
      <c r="F7329" s="2" t="str">
        <f>IF(Table2[[#This Row],[Manual Cat Value]]="",VLOOKUP(Table2[[#This Row],[Description]],'Actuals Lookup'!D:F,3,0),Table2[[#This Row],[Manual Cat Value]])</f>
        <v>Shopping</v>
      </c>
      <c r="G7329" t="str">
        <f>VLOOKUP(D7329,Lookup!G:H,2,0)</f>
        <v>Travel</v>
      </c>
      <c r="J7329">
        <v>150</v>
      </c>
      <c r="K7329" s="6"/>
      <c r="L7329" s="6"/>
      <c r="M7329" t="s">
        <v>2513</v>
      </c>
      <c r="O7329" t="str">
        <f>LEFT(Table2[[#This Row],[Description]],75)</f>
        <v>Transfer to Venmo</v>
      </c>
    </row>
    <row r="7330" spans="1:15" ht="30" hidden="1">
      <c r="A7330" s="25">
        <f t="shared" si="20"/>
        <v>202206</v>
      </c>
      <c r="B7330" s="6">
        <v>44737</v>
      </c>
      <c r="C7330" t="s">
        <v>2447</v>
      </c>
      <c r="D7330" s="7" t="s">
        <v>140</v>
      </c>
      <c r="E7330">
        <f t="shared" si="19"/>
        <v>59.21</v>
      </c>
      <c r="F7330" s="2" t="e">
        <f>IF(Table2[[#This Row],[Manual Cat Value]]="",VLOOKUP(Table2[[#This Row],[Description]],'Actuals Lookup'!D:F,3,0),Table2[[#This Row],[Manual Cat Value]])</f>
        <v>#N/A</v>
      </c>
      <c r="G7330" t="str">
        <f>VLOOKUP(D7330,Lookup!G:H,2,0)</f>
        <v>Amazon</v>
      </c>
      <c r="J7330">
        <v>59.21</v>
      </c>
      <c r="K7330" s="6"/>
      <c r="L7330" s="6"/>
      <c r="M7330" t="s">
        <v>2513</v>
      </c>
      <c r="O7330" t="str">
        <f>LEFT(Table2[[#This Row],[Description]],75)</f>
        <v>AMZN MKTP US*CZ6LL9YJ3 AMZN.COM/BILLWA
1F9OBDANONO</v>
      </c>
    </row>
    <row r="7331" spans="1:15" hidden="1">
      <c r="A7331" s="25">
        <f t="shared" si="20"/>
        <v>202206</v>
      </c>
      <c r="B7331" s="6">
        <v>44738</v>
      </c>
      <c r="C7331" t="s">
        <v>2262</v>
      </c>
      <c r="D7331" t="s">
        <v>154</v>
      </c>
      <c r="E7331">
        <f t="shared" si="19"/>
        <v>8.5399999999999991</v>
      </c>
      <c r="F7331" s="2" t="e">
        <f>IF(Table2[[#This Row],[Manual Cat Value]]="",VLOOKUP(Table2[[#This Row],[Description]],'Actuals Lookup'!D:F,3,0),Table2[[#This Row],[Manual Cat Value]])</f>
        <v>#N/A</v>
      </c>
      <c r="G7331" t="str">
        <f>VLOOKUP(D7331,Lookup!G:H,2,0)</f>
        <v>Amazon</v>
      </c>
      <c r="J7331">
        <v>8.5399999999999991</v>
      </c>
      <c r="K7331" s="6"/>
      <c r="L7331" s="6"/>
      <c r="M7331" t="s">
        <v>2513</v>
      </c>
      <c r="O7331" t="str">
        <f>LEFT(Table2[[#This Row],[Description]],75)</f>
        <v>AMZN Mktp US3F6BA43Z3 Amzncombil</v>
      </c>
    </row>
    <row r="7332" spans="1:15" hidden="1">
      <c r="A7332" s="25">
        <f t="shared" si="20"/>
        <v>202206</v>
      </c>
      <c r="B7332" s="6">
        <v>44738</v>
      </c>
      <c r="C7332" t="s">
        <v>2262</v>
      </c>
      <c r="D7332" t="s">
        <v>199</v>
      </c>
      <c r="E7332">
        <f t="shared" si="19"/>
        <v>20.43</v>
      </c>
      <c r="F7332" s="2" t="e">
        <f>IF(Table2[[#This Row],[Manual Cat Value]]="",VLOOKUP(Table2[[#This Row],[Description]],'Actuals Lookup'!D:F,3,0),Table2[[#This Row],[Manual Cat Value]])</f>
        <v>#N/A</v>
      </c>
      <c r="G7332" t="str">
        <f>VLOOKUP(D7332,Lookup!G:H,2,0)</f>
        <v>Shopping</v>
      </c>
      <c r="J7332">
        <v>20.43</v>
      </c>
      <c r="K7332" s="6"/>
      <c r="L7332" s="6"/>
      <c r="M7332" t="s">
        <v>2513</v>
      </c>
      <c r="O7332" t="str">
        <f>LEFT(Table2[[#This Row],[Description]],75)</f>
        <v>Banana Republic</v>
      </c>
    </row>
    <row r="7333" spans="1:15" hidden="1">
      <c r="A7333" s="25">
        <f t="shared" si="20"/>
        <v>202206</v>
      </c>
      <c r="B7333" s="6">
        <v>44738</v>
      </c>
      <c r="C7333" t="s">
        <v>2262</v>
      </c>
      <c r="D7333" t="s">
        <v>199</v>
      </c>
      <c r="E7333">
        <f t="shared" si="19"/>
        <v>24.71</v>
      </c>
      <c r="F7333" s="2" t="e">
        <f>IF(Table2[[#This Row],[Manual Cat Value]]="",VLOOKUP(Table2[[#This Row],[Description]],'Actuals Lookup'!D:F,3,0),Table2[[#This Row],[Manual Cat Value]])</f>
        <v>#N/A</v>
      </c>
      <c r="G7333" t="str">
        <f>VLOOKUP(D7333,Lookup!G:H,2,0)</f>
        <v>Shopping</v>
      </c>
      <c r="J7333">
        <v>24.71</v>
      </c>
      <c r="K7333" s="6"/>
      <c r="L7333" s="6"/>
      <c r="M7333" t="s">
        <v>2513</v>
      </c>
      <c r="O7333" t="str">
        <f>LEFT(Table2[[#This Row],[Description]],75)</f>
        <v>Banana Republic</v>
      </c>
    </row>
    <row r="7334" spans="1:15" hidden="1">
      <c r="A7334" s="25">
        <f t="shared" si="20"/>
        <v>202206</v>
      </c>
      <c r="B7334" s="6">
        <v>44738</v>
      </c>
      <c r="C7334" t="s">
        <v>2262</v>
      </c>
      <c r="D7334" t="s">
        <v>684</v>
      </c>
      <c r="E7334">
        <f t="shared" si="19"/>
        <v>106.16</v>
      </c>
      <c r="F7334" s="2" t="str">
        <f>IF(Table2[[#This Row],[Manual Cat Value]]="",VLOOKUP(Table2[[#This Row],[Description]],'Actuals Lookup'!D:F,3,0),Table2[[#This Row],[Manual Cat Value]])</f>
        <v>Groceries</v>
      </c>
      <c r="G7334" t="str">
        <f>VLOOKUP(D7334,Lookup!G:H,2,0)</f>
        <v>Groceries</v>
      </c>
      <c r="J7334">
        <v>106.16</v>
      </c>
      <c r="K7334" s="6"/>
      <c r="L7334" s="6"/>
      <c r="M7334" t="s">
        <v>2513</v>
      </c>
      <c r="O7334" t="str">
        <f>LEFT(Table2[[#This Row],[Description]],75)</f>
        <v>Cub Foods</v>
      </c>
    </row>
    <row r="7335" spans="1:15" hidden="1">
      <c r="A7335" s="25">
        <f t="shared" si="20"/>
        <v>202206</v>
      </c>
      <c r="B7335" s="6">
        <v>44738</v>
      </c>
      <c r="C7335" t="s">
        <v>2262</v>
      </c>
      <c r="D7335" t="s">
        <v>854</v>
      </c>
      <c r="E7335">
        <f t="shared" si="19"/>
        <v>-45.9</v>
      </c>
      <c r="F7335" s="2" t="str">
        <f>IF(Table2[[#This Row],[Manual Cat Value]]="",VLOOKUP(Table2[[#This Row],[Description]],'Actuals Lookup'!D:F,3,0),Table2[[#This Row],[Manual Cat Value]])</f>
        <v>Shopping</v>
      </c>
      <c r="G7335" t="str">
        <f>VLOOKUP(D7335,Lookup!G:H,2,0)</f>
        <v>Shopping</v>
      </c>
      <c r="J7335">
        <v>45.9</v>
      </c>
      <c r="K7335" s="6"/>
      <c r="L7335" s="6"/>
      <c r="M7335" t="s">
        <v>2621</v>
      </c>
      <c r="O7335" t="str">
        <f>LEFT(Table2[[#This Row],[Description]],75)</f>
        <v>Free Fly Apparel</v>
      </c>
    </row>
    <row r="7336" spans="1:15" hidden="1">
      <c r="A7336" s="25">
        <f t="shared" si="20"/>
        <v>202206</v>
      </c>
      <c r="B7336" s="6">
        <v>44738</v>
      </c>
      <c r="C7336" t="s">
        <v>2262</v>
      </c>
      <c r="D7336" t="s">
        <v>1250</v>
      </c>
      <c r="E7336">
        <f t="shared" si="19"/>
        <v>149.29</v>
      </c>
      <c r="F7336" s="2" t="e">
        <f>IF(Table2[[#This Row],[Manual Cat Value]]="",VLOOKUP(Table2[[#This Row],[Description]],'Actuals Lookup'!D:F,3,0),Table2[[#This Row],[Manual Cat Value]])</f>
        <v>#N/A</v>
      </c>
      <c r="G7336" t="str">
        <f>VLOOKUP(D7336,Lookup!G:H,2,0)</f>
        <v>shopping</v>
      </c>
      <c r="J7336">
        <v>149.29</v>
      </c>
      <c r="K7336" s="6"/>
      <c r="L7336" s="6"/>
      <c r="M7336" t="s">
        <v>2513</v>
      </c>
      <c r="O7336" t="str">
        <f>LEFT(Table2[[#This Row],[Description]],75)</f>
        <v>Midwest Aqua Care</v>
      </c>
    </row>
    <row r="7337" spans="1:15" hidden="1">
      <c r="A7337" s="25">
        <f t="shared" si="20"/>
        <v>202206</v>
      </c>
      <c r="B7337" s="6">
        <v>44738</v>
      </c>
      <c r="C7337" t="s">
        <v>2262</v>
      </c>
      <c r="D7337" t="s">
        <v>1312</v>
      </c>
      <c r="E7337">
        <f t="shared" si="19"/>
        <v>1.38</v>
      </c>
      <c r="F7337" s="2" t="e">
        <f>IF(Table2[[#This Row],[Manual Cat Value]]="",VLOOKUP(Table2[[#This Row],[Description]],'Actuals Lookup'!D:F,3,0),Table2[[#This Row],[Manual Cat Value]])</f>
        <v>#N/A</v>
      </c>
      <c r="G7337" t="str">
        <f>VLOOKUP(D7337,Lookup!G:H,2,0)</f>
        <v>misc</v>
      </c>
      <c r="J7337">
        <v>1.38</v>
      </c>
      <c r="K7337" s="6"/>
      <c r="L7337" s="6"/>
      <c r="M7337" t="s">
        <v>2513</v>
      </c>
      <c r="O7337" t="str">
        <f>LEFT(Table2[[#This Row],[Description]],75)</f>
        <v>MN DRIVER AND VEHICLE XXXXX3298</v>
      </c>
    </row>
    <row r="7338" spans="1:15" hidden="1">
      <c r="A7338" s="25">
        <f t="shared" si="20"/>
        <v>202206</v>
      </c>
      <c r="B7338" s="6">
        <v>44738</v>
      </c>
      <c r="C7338" t="s">
        <v>2262</v>
      </c>
      <c r="D7338" t="s">
        <v>1312</v>
      </c>
      <c r="E7338">
        <f t="shared" si="19"/>
        <v>64.25</v>
      </c>
      <c r="F7338" s="2" t="e">
        <f>IF(Table2[[#This Row],[Manual Cat Value]]="",VLOOKUP(Table2[[#This Row],[Description]],'Actuals Lookup'!D:F,3,0),Table2[[#This Row],[Manual Cat Value]])</f>
        <v>#N/A</v>
      </c>
      <c r="G7338" t="str">
        <f>VLOOKUP(D7338,Lookup!G:H,2,0)</f>
        <v>misc</v>
      </c>
      <c r="J7338">
        <v>64.25</v>
      </c>
      <c r="K7338" s="6"/>
      <c r="L7338" s="6"/>
      <c r="M7338" t="s">
        <v>2513</v>
      </c>
      <c r="O7338" t="str">
        <f>LEFT(Table2[[#This Row],[Description]],75)</f>
        <v>MN DRIVER AND VEHICLE XXXXX3298</v>
      </c>
    </row>
    <row r="7339" spans="1:15" hidden="1">
      <c r="A7339" s="25">
        <f t="shared" si="20"/>
        <v>202206</v>
      </c>
      <c r="B7339" s="6">
        <v>44738</v>
      </c>
      <c r="C7339" t="s">
        <v>2262</v>
      </c>
      <c r="D7339" t="s">
        <v>1343</v>
      </c>
      <c r="E7339">
        <f t="shared" si="19"/>
        <v>48.38</v>
      </c>
      <c r="F7339" s="2" t="e">
        <f>IF(Table2[[#This Row],[Manual Cat Value]]="",VLOOKUP(Table2[[#This Row],[Description]],'Actuals Lookup'!D:F,3,0),Table2[[#This Row],[Manual Cat Value]])</f>
        <v>#N/A</v>
      </c>
      <c r="G7339" t="str">
        <f>VLOOKUP(D7339,Lookup!G:H,2,0)</f>
        <v>Restaurants</v>
      </c>
      <c r="J7339">
        <v>48.38</v>
      </c>
      <c r="K7339" s="6"/>
      <c r="L7339" s="6"/>
      <c r="M7339" t="s">
        <v>2513</v>
      </c>
      <c r="O7339" t="str">
        <f>LEFT(Table2[[#This Row],[Description]],75)</f>
        <v>NASHVILLE COOP SAINT PAUL MN</v>
      </c>
    </row>
    <row r="7340" spans="1:15" hidden="1">
      <c r="A7340" s="25">
        <f t="shared" si="20"/>
        <v>202206</v>
      </c>
      <c r="B7340" s="6">
        <v>44738</v>
      </c>
      <c r="C7340" t="s">
        <v>2262</v>
      </c>
      <c r="D7340" t="s">
        <v>1350</v>
      </c>
      <c r="E7340">
        <f t="shared" si="19"/>
        <v>10.79</v>
      </c>
      <c r="F7340" s="2" t="str">
        <f>IF(Table2[[#This Row],[Manual Cat Value]]="",VLOOKUP(Table2[[#This Row],[Description]],'Actuals Lookup'!D:F,3,0),Table2[[#This Row],[Manual Cat Value]])</f>
        <v>Utilities</v>
      </c>
      <c r="G7340" t="str">
        <f>VLOOKUP(D7340,Lookup!G:H,2,0)</f>
        <v>Utilities</v>
      </c>
      <c r="J7340">
        <v>10.79</v>
      </c>
      <c r="K7340" s="6"/>
      <c r="L7340" s="6"/>
      <c r="M7340" t="s">
        <v>2513</v>
      </c>
      <c r="O7340" t="str">
        <f>LEFT(Table2[[#This Row],[Description]],75)</f>
        <v>Netflix</v>
      </c>
    </row>
    <row r="7341" spans="1:15" hidden="1">
      <c r="A7341" s="25">
        <f t="shared" si="20"/>
        <v>202206</v>
      </c>
      <c r="B7341" s="6">
        <v>44738</v>
      </c>
      <c r="C7341" t="s">
        <v>2262</v>
      </c>
      <c r="D7341" t="s">
        <v>1924</v>
      </c>
      <c r="E7341">
        <f t="shared" si="19"/>
        <v>64.78</v>
      </c>
      <c r="F7341" s="2" t="e">
        <f>IF(Table2[[#This Row],[Manual Cat Value]]="",VLOOKUP(Table2[[#This Row],[Description]],'Actuals Lookup'!D:F,3,0),Table2[[#This Row],[Manual Cat Value]])</f>
        <v>#N/A</v>
      </c>
      <c r="G7341" t="str">
        <f>VLOOKUP(D7341,Lookup!G:H,2,0)</f>
        <v>Groceries</v>
      </c>
      <c r="J7341">
        <v>64.78</v>
      </c>
      <c r="K7341" s="6"/>
      <c r="L7341" s="6"/>
      <c r="M7341" t="s">
        <v>2513</v>
      </c>
      <c r="O7341" t="str">
        <f>LEFT(Table2[[#This Row],[Description]],75)</f>
        <v>Total Wine  More</v>
      </c>
    </row>
    <row r="7342" spans="1:15" hidden="1">
      <c r="A7342" s="25">
        <f t="shared" si="20"/>
        <v>202206</v>
      </c>
      <c r="B7342" s="6">
        <v>44738</v>
      </c>
      <c r="C7342" t="s">
        <v>2262</v>
      </c>
      <c r="D7342" t="s">
        <v>2036</v>
      </c>
      <c r="E7342">
        <f t="shared" si="19"/>
        <v>40</v>
      </c>
      <c r="F7342" s="2" t="e">
        <f>IF(Table2[[#This Row],[Manual Cat Value]]="",VLOOKUP(Table2[[#This Row],[Description]],'Actuals Lookup'!D:F,3,0),Table2[[#This Row],[Manual Cat Value]])</f>
        <v>#N/A</v>
      </c>
      <c r="G7342" t="str">
        <f>VLOOKUP(D7342,Lookup!G:H,2,0)</f>
        <v>Restaurants</v>
      </c>
      <c r="J7342">
        <v>40</v>
      </c>
      <c r="K7342" s="6"/>
      <c r="L7342" s="6"/>
      <c r="M7342" t="s">
        <v>2513</v>
      </c>
      <c r="O7342" t="str">
        <f>LEFT(Table2[[#This Row],[Description]],75)</f>
        <v>TST Red Cow 50th St Minneapolis MN</v>
      </c>
    </row>
    <row r="7343" spans="1:15" hidden="1">
      <c r="A7343" s="25">
        <f t="shared" si="20"/>
        <v>202206</v>
      </c>
      <c r="B7343" s="6">
        <v>44738</v>
      </c>
      <c r="C7343" t="s">
        <v>2447</v>
      </c>
      <c r="D7343" t="s">
        <v>2049</v>
      </c>
      <c r="E7343">
        <f t="shared" si="19"/>
        <v>29.07</v>
      </c>
      <c r="F7343" s="2" t="e">
        <f>IF(Table2[[#This Row],[Manual Cat Value]]="",VLOOKUP(Table2[[#This Row],[Description]],'Actuals Lookup'!D:F,3,0),Table2[[#This Row],[Manual Cat Value]])</f>
        <v>#N/A</v>
      </c>
      <c r="G7343" t="str">
        <f>VLOOKUP(D7343,Lookup!G:H,2,0)</f>
        <v>Restaurants</v>
      </c>
      <c r="J7343">
        <v>29.07</v>
      </c>
      <c r="K7343" s="6"/>
      <c r="L7343" s="6"/>
      <c r="M7343" t="s">
        <v>2513</v>
      </c>
      <c r="O7343" t="str">
        <f>LEFT(Table2[[#This Row],[Description]],75)</f>
        <v>TST* BOROUGH AND PARLOUR MINNEAPOLIS MN</v>
      </c>
    </row>
    <row r="7344" spans="1:15" hidden="1">
      <c r="A7344" s="25">
        <f t="shared" si="20"/>
        <v>202206</v>
      </c>
      <c r="B7344" s="6">
        <v>44738</v>
      </c>
      <c r="C7344" t="s">
        <v>2262</v>
      </c>
      <c r="D7344" t="s">
        <v>1463</v>
      </c>
      <c r="E7344">
        <f t="shared" si="19"/>
        <v>10</v>
      </c>
      <c r="F7344" s="2" t="e">
        <f>IF(Table2[[#This Row],[Manual Cat Value]]="",VLOOKUP(Table2[[#This Row],[Description]],'Actuals Lookup'!D:F,3,0),Table2[[#This Row],[Manual Cat Value]])</f>
        <v>#N/A</v>
      </c>
      <c r="G7344" t="str">
        <f>VLOOKUP(D7344,Lookup!G:H,2,0)</f>
        <v>transportation</v>
      </c>
      <c r="J7344">
        <v>10</v>
      </c>
      <c r="K7344" s="6"/>
      <c r="L7344" s="6"/>
      <c r="M7344" t="s">
        <v>2513</v>
      </c>
      <c r="O7344" t="str">
        <f>LEFT(Table2[[#This Row],[Description]],75)</f>
        <v>Payment to City Of Saint Paul</v>
      </c>
    </row>
    <row r="7345" spans="1:15" hidden="1">
      <c r="A7345" s="25">
        <f t="shared" si="20"/>
        <v>202206</v>
      </c>
      <c r="B7345" s="6">
        <v>44739</v>
      </c>
      <c r="C7345" t="s">
        <v>2262</v>
      </c>
      <c r="D7345" t="s">
        <v>563</v>
      </c>
      <c r="E7345">
        <f t="shared" si="19"/>
        <v>15</v>
      </c>
      <c r="F7345" s="2" t="e">
        <f>IF(Table2[[#This Row],[Manual Cat Value]]="",VLOOKUP(Table2[[#This Row],[Description]],'Actuals Lookup'!D:F,3,0),Table2[[#This Row],[Manual Cat Value]])</f>
        <v>#N/A</v>
      </c>
      <c r="G7345" t="str">
        <f>VLOOKUP(D7345,Lookup!G:H,2,0)</f>
        <v>Transportation</v>
      </c>
      <c r="J7345">
        <v>15</v>
      </c>
      <c r="K7345" s="6"/>
      <c r="L7345" s="6"/>
      <c r="M7345" t="s">
        <v>2513</v>
      </c>
      <c r="O7345" t="str">
        <f>LEFT(Table2[[#This Row],[Description]],75)</f>
        <v>CK HOLIDAY  06340       CHASKA</v>
      </c>
    </row>
    <row r="7346" spans="1:15" hidden="1">
      <c r="A7346" s="25">
        <f t="shared" si="20"/>
        <v>202206</v>
      </c>
      <c r="B7346" s="6">
        <v>44739</v>
      </c>
      <c r="C7346" t="s">
        <v>2262</v>
      </c>
      <c r="D7346" t="s">
        <v>1030</v>
      </c>
      <c r="E7346">
        <f t="shared" si="19"/>
        <v>394.81</v>
      </c>
      <c r="F7346" s="2" t="e">
        <f>IF(Table2[[#This Row],[Manual Cat Value]]="",VLOOKUP(Table2[[#This Row],[Description]],'Actuals Lookup'!D:F,3,0),Table2[[#This Row],[Manual Cat Value]])</f>
        <v>#N/A</v>
      </c>
      <c r="G7346" t="str">
        <f>VLOOKUP(D7346,Lookup!G:H,2,0)</f>
        <v>Restaurants</v>
      </c>
      <c r="J7346">
        <v>394.81</v>
      </c>
      <c r="K7346" s="6"/>
      <c r="L7346" s="6"/>
      <c r="M7346" t="s">
        <v>2513</v>
      </c>
      <c r="O7346" t="str">
        <f>LEFT(Table2[[#This Row],[Description]],75)</f>
        <v>KADO NO MISEKAISEKI FURUMinneapo</v>
      </c>
    </row>
    <row r="7347" spans="1:15" hidden="1">
      <c r="A7347" s="25">
        <f t="shared" si="20"/>
        <v>202206</v>
      </c>
      <c r="B7347" s="6">
        <v>44739</v>
      </c>
      <c r="C7347" t="s">
        <v>2262</v>
      </c>
      <c r="D7347" t="s">
        <v>1084</v>
      </c>
      <c r="E7347">
        <f t="shared" si="19"/>
        <v>76.45</v>
      </c>
      <c r="F7347" s="2" t="e">
        <f>IF(Table2[[#This Row],[Manual Cat Value]]="",VLOOKUP(Table2[[#This Row],[Description]],'Actuals Lookup'!D:F,3,0),Table2[[#This Row],[Manual Cat Value]])</f>
        <v>#N/A</v>
      </c>
      <c r="G7347" t="str">
        <f>VLOOKUP(D7347,Lookup!G:H,2,0)</f>
        <v>Transportation</v>
      </c>
      <c r="J7347">
        <v>76.45</v>
      </c>
      <c r="K7347" s="6"/>
      <c r="L7347" s="6"/>
      <c r="M7347" t="s">
        <v>2513</v>
      </c>
      <c r="O7347" t="str">
        <f>LEFT(Table2[[#This Row],[Description]],75)</f>
        <v>KWIK TRIP  88600008862   CHASKA</v>
      </c>
    </row>
    <row r="7348" spans="1:15" hidden="1">
      <c r="A7348" s="25">
        <f t="shared" si="20"/>
        <v>202206</v>
      </c>
      <c r="B7348" s="6">
        <v>44739</v>
      </c>
      <c r="C7348" t="s">
        <v>2262</v>
      </c>
      <c r="D7348" t="s">
        <v>1326</v>
      </c>
      <c r="E7348">
        <f t="shared" si="19"/>
        <v>30.54</v>
      </c>
      <c r="F7348" s="2" t="e">
        <f>IF(Table2[[#This Row],[Manual Cat Value]]="",VLOOKUP(Table2[[#This Row],[Description]],'Actuals Lookup'!D:F,3,0),Table2[[#This Row],[Manual Cat Value]])</f>
        <v>#N/A</v>
      </c>
      <c r="G7348" t="str">
        <f>VLOOKUP(D7348,Lookup!G:H,2,0)</f>
        <v>Restaurants</v>
      </c>
      <c r="J7348">
        <v>30.54</v>
      </c>
      <c r="K7348" s="6"/>
      <c r="L7348" s="6"/>
      <c r="M7348" t="s">
        <v>2513</v>
      </c>
      <c r="O7348" t="str">
        <f>LEFT(Table2[[#This Row],[Description]],75)</f>
        <v>MONTE CARLO              MINNEAP</v>
      </c>
    </row>
    <row r="7349" spans="1:15" hidden="1">
      <c r="A7349" s="25">
        <f t="shared" si="20"/>
        <v>202206</v>
      </c>
      <c r="B7349" s="6">
        <v>44739</v>
      </c>
      <c r="C7349" t="s">
        <v>2265</v>
      </c>
      <c r="D7349" t="s">
        <v>1473</v>
      </c>
      <c r="E7349">
        <f t="shared" si="19"/>
        <v>-28.52</v>
      </c>
      <c r="F7349" s="2" t="e">
        <f>IF(Table2[[#This Row],[Manual Cat Value]]="",VLOOKUP(Table2[[#This Row],[Description]],'Actuals Lookup'!D:F,3,0),Table2[[#This Row],[Manual Cat Value]])</f>
        <v>#N/A</v>
      </c>
      <c r="G7349" t="str">
        <f>VLOOKUP(D7349,Lookup!G:H,2,0)</f>
        <v>shopping</v>
      </c>
      <c r="J7349">
        <v>28.52</v>
      </c>
      <c r="K7349" s="6"/>
      <c r="L7349" s="6"/>
      <c r="M7349" t="s">
        <v>2621</v>
      </c>
      <c r="O7349" t="str">
        <f>LEFT(Table2[[#This Row],[Description]],75)</f>
        <v>PAYPAL TYPE TRANSFER  ID PAYPALS</v>
      </c>
    </row>
    <row r="7350" spans="1:15" hidden="1">
      <c r="A7350" s="25">
        <f t="shared" si="20"/>
        <v>202206</v>
      </c>
      <c r="B7350" s="6">
        <v>44739</v>
      </c>
      <c r="C7350" t="s">
        <v>2262</v>
      </c>
      <c r="D7350" t="s">
        <v>1708</v>
      </c>
      <c r="E7350">
        <f t="shared" si="19"/>
        <v>80.8</v>
      </c>
      <c r="F7350" s="2" t="e">
        <f>IF(Table2[[#This Row],[Manual Cat Value]]="",VLOOKUP(Table2[[#This Row],[Description]],'Actuals Lookup'!D:F,3,0),Table2[[#This Row],[Manual Cat Value]])</f>
        <v>#N/A</v>
      </c>
      <c r="G7350" t="str">
        <f>VLOOKUP(D7350,Lookup!G:H,2,0)</f>
        <v>transportation</v>
      </c>
      <c r="J7350">
        <v>80.8</v>
      </c>
      <c r="K7350" s="6"/>
      <c r="L7350" s="6"/>
      <c r="M7350" t="s">
        <v>2513</v>
      </c>
      <c r="O7350" t="str">
        <f>LEFT(Table2[[#This Row],[Description]],75)</f>
        <v>SPEEDWAY 04159           EDEN PR</v>
      </c>
    </row>
    <row r="7351" spans="1:15" hidden="1">
      <c r="A7351" s="25">
        <f t="shared" si="20"/>
        <v>202206</v>
      </c>
      <c r="B7351" s="6">
        <v>44739</v>
      </c>
      <c r="C7351" t="s">
        <v>2262</v>
      </c>
      <c r="D7351" t="s">
        <v>1851</v>
      </c>
      <c r="E7351">
        <f t="shared" si="19"/>
        <v>298</v>
      </c>
      <c r="F7351" s="2" t="e">
        <f>IF(Table2[[#This Row],[Manual Cat Value]]="",VLOOKUP(Table2[[#This Row],[Description]],'Actuals Lookup'!D:F,3,0),Table2[[#This Row],[Manual Cat Value]])</f>
        <v>#N/A</v>
      </c>
      <c r="G7351" t="str">
        <f>VLOOKUP(D7351,Lookup!G:H,2,0)</f>
        <v>House Maintenance</v>
      </c>
      <c r="J7351">
        <v>298</v>
      </c>
      <c r="K7351" s="6"/>
      <c r="L7351" s="6"/>
      <c r="M7351" t="s">
        <v>2513</v>
      </c>
      <c r="O7351" t="str">
        <f>LEFT(Table2[[#This Row],[Description]],75)</f>
        <v>THE HOME DEPOT 2825     CHASKA</v>
      </c>
    </row>
    <row r="7352" spans="1:15" hidden="1">
      <c r="A7352" s="25">
        <f t="shared" si="20"/>
        <v>202206</v>
      </c>
      <c r="B7352" s="6">
        <v>44739</v>
      </c>
      <c r="C7352" t="s">
        <v>2262</v>
      </c>
      <c r="D7352" t="s">
        <v>1927</v>
      </c>
      <c r="E7352">
        <f t="shared" si="19"/>
        <v>65.33</v>
      </c>
      <c r="F7352" s="2" t="e">
        <f>IF(Table2[[#This Row],[Manual Cat Value]]="",VLOOKUP(Table2[[#This Row],[Description]],'Actuals Lookup'!D:F,3,0),Table2[[#This Row],[Manual Cat Value]])</f>
        <v>#N/A</v>
      </c>
      <c r="G7352" t="str">
        <f>VLOOKUP(D7352,Lookup!G:H,2,0)</f>
        <v>Groceries</v>
      </c>
      <c r="J7352">
        <v>65.33</v>
      </c>
      <c r="K7352" s="6"/>
      <c r="L7352" s="6"/>
      <c r="M7352" t="s">
        <v>2513</v>
      </c>
      <c r="O7352" t="str">
        <f>LEFT(Table2[[#This Row],[Description]],75)</f>
        <v>TOTAL WINE AND MORE      CHANHAS</v>
      </c>
    </row>
    <row r="7353" spans="1:15" hidden="1">
      <c r="A7353" s="25">
        <f t="shared" si="20"/>
        <v>202206</v>
      </c>
      <c r="B7353" s="6">
        <v>44739</v>
      </c>
      <c r="C7353" t="s">
        <v>2265</v>
      </c>
      <c r="D7353" t="s">
        <v>1466</v>
      </c>
      <c r="E7353">
        <f t="shared" si="19"/>
        <v>393.63</v>
      </c>
      <c r="F7353" s="2" t="e">
        <f>IF(Table2[[#This Row],[Manual Cat Value]]="",VLOOKUP(Table2[[#This Row],[Description]],'Actuals Lookup'!D:F,3,0),Table2[[#This Row],[Manual Cat Value]])</f>
        <v>#N/A</v>
      </c>
      <c r="G7353" t="str">
        <f>VLOOKUP(D7353,Lookup!G:H,2,0)</f>
        <v>Target</v>
      </c>
      <c r="J7353">
        <v>393.63</v>
      </c>
      <c r="K7353" s="6"/>
      <c r="L7353" s="6"/>
      <c r="M7353" t="s">
        <v>2513</v>
      </c>
      <c r="O7353" t="str">
        <f>LEFT(Table2[[#This Row],[Description]],75)</f>
        <v>Payment to Target</v>
      </c>
    </row>
    <row r="7354" spans="1:15" ht="30" hidden="1">
      <c r="A7354" s="25">
        <f t="shared" si="20"/>
        <v>202206</v>
      </c>
      <c r="B7354" s="6">
        <v>44740</v>
      </c>
      <c r="C7354" t="s">
        <v>2447</v>
      </c>
      <c r="D7354" s="7" t="s">
        <v>144</v>
      </c>
      <c r="E7354">
        <f t="shared" si="19"/>
        <v>26.99</v>
      </c>
      <c r="F7354" s="2" t="e">
        <f>IF(Table2[[#This Row],[Manual Cat Value]]="",VLOOKUP(Table2[[#This Row],[Description]],'Actuals Lookup'!D:F,3,0),Table2[[#This Row],[Manual Cat Value]])</f>
        <v>#N/A</v>
      </c>
      <c r="G7354" t="str">
        <f>VLOOKUP(D7354,Lookup!G:H,2,0)</f>
        <v>Amazon</v>
      </c>
      <c r="J7354">
        <v>26.99</v>
      </c>
      <c r="K7354" s="6"/>
      <c r="L7354" s="6"/>
      <c r="M7354" t="s">
        <v>2513</v>
      </c>
      <c r="O7354" t="str">
        <f>LEFT(Table2[[#This Row],[Description]],75)</f>
        <v>AMZN MKTP US*XP9DU6L93 AMZN.COM/BILLWA
2PP2PZINRW5</v>
      </c>
    </row>
    <row r="7355" spans="1:15" hidden="1">
      <c r="A7355" s="25">
        <f t="shared" si="20"/>
        <v>202206</v>
      </c>
      <c r="B7355" s="6">
        <v>44740</v>
      </c>
      <c r="C7355" t="s">
        <v>2262</v>
      </c>
      <c r="D7355" t="s">
        <v>199</v>
      </c>
      <c r="E7355">
        <f t="shared" si="19"/>
        <v>19.309999999999999</v>
      </c>
      <c r="F7355" s="2" t="e">
        <f>IF(Table2[[#This Row],[Manual Cat Value]]="",VLOOKUP(Table2[[#This Row],[Description]],'Actuals Lookup'!D:F,3,0),Table2[[#This Row],[Manual Cat Value]])</f>
        <v>#N/A</v>
      </c>
      <c r="G7355" t="str">
        <f>VLOOKUP(D7355,Lookup!G:H,2,0)</f>
        <v>Shopping</v>
      </c>
      <c r="J7355">
        <v>19.309999999999999</v>
      </c>
      <c r="K7355" s="6"/>
      <c r="L7355" s="6"/>
      <c r="M7355" t="s">
        <v>2513</v>
      </c>
      <c r="O7355" t="str">
        <f>LEFT(Table2[[#This Row],[Description]],75)</f>
        <v>Banana Republic</v>
      </c>
    </row>
    <row r="7356" spans="1:15" hidden="1">
      <c r="A7356" s="25">
        <f t="shared" si="20"/>
        <v>202206</v>
      </c>
      <c r="B7356" s="6">
        <v>44740</v>
      </c>
      <c r="C7356" t="s">
        <v>2265</v>
      </c>
      <c r="D7356" t="s">
        <v>1195</v>
      </c>
      <c r="E7356">
        <f t="shared" ref="E7356:E7374" si="21">IF(M7356="credit",-1*J7356,J7356)</f>
        <v>536.5</v>
      </c>
      <c r="F7356" s="2" t="e">
        <f>IF(Table2[[#This Row],[Manual Cat Value]]="",VLOOKUP(Table2[[#This Row],[Description]],'Actuals Lookup'!D:F,3,0),Table2[[#This Row],[Manual Cat Value]])</f>
        <v>#N/A</v>
      </c>
      <c r="G7356" t="str">
        <f>VLOOKUP(D7356,Lookup!G:H,2,0)</f>
        <v>Day Care</v>
      </c>
      <c r="J7356">
        <v>536.5</v>
      </c>
      <c r="K7356" s="6"/>
      <c r="L7356" s="6"/>
      <c r="M7356" t="s">
        <v>2513</v>
      </c>
      <c r="O7356" t="str">
        <f>LEFT(Table2[[#This Row],[Description]],75)</f>
        <v>MHCHILDCARELLC TYPE DUES ID CO M</v>
      </c>
    </row>
    <row r="7357" spans="1:15" hidden="1">
      <c r="A7357" s="25">
        <f t="shared" si="20"/>
        <v>202206</v>
      </c>
      <c r="B7357" s="6">
        <v>44740</v>
      </c>
      <c r="C7357" t="s">
        <v>2262</v>
      </c>
      <c r="D7357" t="s">
        <v>1371</v>
      </c>
      <c r="E7357">
        <f t="shared" si="21"/>
        <v>62.8</v>
      </c>
      <c r="F7357" s="2" t="e">
        <f>IF(Table2[[#This Row],[Manual Cat Value]]="",VLOOKUP(Table2[[#This Row],[Description]],'Actuals Lookup'!D:F,3,0),Table2[[#This Row],[Manual Cat Value]])</f>
        <v>#N/A</v>
      </c>
      <c r="G7357" t="str">
        <f>VLOOKUP(D7357,Lookup!G:H,2,0)</f>
        <v>Restaurants</v>
      </c>
      <c r="J7357">
        <v>62.8</v>
      </c>
      <c r="K7357" s="6"/>
      <c r="L7357" s="6"/>
      <c r="M7357" t="s">
        <v>2513</v>
      </c>
      <c r="O7357" t="str">
        <f>LEFT(Table2[[#This Row],[Description]],75)</f>
        <v>Northbound Smokehouse Brewpub</v>
      </c>
    </row>
    <row r="7358" spans="1:15" hidden="1">
      <c r="A7358" s="25">
        <f t="shared" si="20"/>
        <v>202206</v>
      </c>
      <c r="B7358" s="6">
        <v>44740</v>
      </c>
      <c r="C7358" t="s">
        <v>2262</v>
      </c>
      <c r="D7358" t="s">
        <v>1668</v>
      </c>
      <c r="E7358">
        <f t="shared" si="21"/>
        <v>48.28</v>
      </c>
      <c r="F7358" s="2" t="e">
        <f>IF(Table2[[#This Row],[Manual Cat Value]]="",VLOOKUP(Table2[[#This Row],[Description]],'Actuals Lookup'!D:F,3,0),Table2[[#This Row],[Manual Cat Value]])</f>
        <v>#N/A</v>
      </c>
      <c r="G7358" t="str">
        <f>VLOOKUP(D7358,Lookup!G:H,2,0)</f>
        <v>shopping</v>
      </c>
      <c r="J7358">
        <v>48.28</v>
      </c>
      <c r="K7358" s="6"/>
      <c r="L7358" s="6"/>
      <c r="M7358" t="s">
        <v>2513</v>
      </c>
      <c r="O7358" t="str">
        <f>LEFT(Table2[[#This Row],[Description]],75)</f>
        <v>Siteone Landscape Supply SITEONE LLC1038 6129193130 MN</v>
      </c>
    </row>
    <row r="7359" spans="1:15" hidden="1">
      <c r="A7359" s="25">
        <f t="shared" si="20"/>
        <v>202206</v>
      </c>
      <c r="B7359" s="6">
        <v>44740</v>
      </c>
      <c r="C7359" t="s">
        <v>2265</v>
      </c>
      <c r="D7359" t="s">
        <v>1798</v>
      </c>
      <c r="E7359">
        <f t="shared" si="21"/>
        <v>-5584.02</v>
      </c>
      <c r="F7359" s="2" t="e">
        <f>IF(Table2[[#This Row],[Manual Cat Value]]="",VLOOKUP(Table2[[#This Row],[Description]],'Actuals Lookup'!D:F,3,0),Table2[[#This Row],[Manual Cat Value]])</f>
        <v>#N/A</v>
      </c>
      <c r="G7359" t="str">
        <f>VLOOKUP(D7359,Lookup!G:H,2,0)</f>
        <v>Delete</v>
      </c>
      <c r="J7359">
        <v>5584.02</v>
      </c>
      <c r="K7359" s="6"/>
      <c r="L7359" s="6"/>
      <c r="M7359" t="s">
        <v>2621</v>
      </c>
      <c r="O7359" t="str">
        <f>LEFT(Table2[[#This Row],[Description]],75)</f>
        <v>SYNTELLIS PERFOR TYPE DIRECT DEP</v>
      </c>
    </row>
    <row r="7360" spans="1:15" hidden="1">
      <c r="A7360" s="25">
        <f t="shared" si="20"/>
        <v>202206</v>
      </c>
      <c r="B7360" s="6">
        <v>44740</v>
      </c>
      <c r="C7360" t="s">
        <v>2265</v>
      </c>
      <c r="D7360" t="s">
        <v>1955</v>
      </c>
      <c r="E7360">
        <f t="shared" si="21"/>
        <v>21.59</v>
      </c>
      <c r="F7360" s="2" t="str">
        <f>IF(Table2[[#This Row],[Manual Cat Value]]="",VLOOKUP(Table2[[#This Row],[Description]],'Actuals Lookup'!D:F,3,0),Table2[[#This Row],[Manual Cat Value]])</f>
        <v>Shopping</v>
      </c>
      <c r="G7360" t="str">
        <f>VLOOKUP(D7360,Lookup!G:H,2,0)</f>
        <v>Shopping</v>
      </c>
      <c r="J7360">
        <v>21.59</v>
      </c>
      <c r="K7360" s="6"/>
      <c r="L7360" s="6"/>
      <c r="M7360" t="s">
        <v>2513</v>
      </c>
      <c r="O7360" t="str">
        <f>LEFT(Table2[[#This Row],[Description]],75)</f>
        <v>Transfer to PayPal</v>
      </c>
    </row>
    <row r="7361" spans="1:15" hidden="1">
      <c r="A7361" s="25">
        <f t="shared" ref="A7361:A7374" si="22">VALUE(YEAR(B7361)&amp;TEXT(MONTH(B7361),"00"))</f>
        <v>202206</v>
      </c>
      <c r="B7361" s="6">
        <v>44740</v>
      </c>
      <c r="C7361" t="s">
        <v>2265</v>
      </c>
      <c r="D7361" t="s">
        <v>1955</v>
      </c>
      <c r="E7361">
        <f t="shared" si="21"/>
        <v>0.99</v>
      </c>
      <c r="F7361" s="2" t="str">
        <f>IF(Table2[[#This Row],[Manual Cat Value]]="",VLOOKUP(Table2[[#This Row],[Description]],'Actuals Lookup'!D:F,3,0),Table2[[#This Row],[Manual Cat Value]])</f>
        <v>Shopping</v>
      </c>
      <c r="G7361" t="str">
        <f>VLOOKUP(D7361,Lookup!G:H,2,0)</f>
        <v>Shopping</v>
      </c>
      <c r="J7361">
        <v>0.99</v>
      </c>
      <c r="K7361" s="6"/>
      <c r="L7361" s="6"/>
      <c r="M7361" t="s">
        <v>2513</v>
      </c>
      <c r="O7361" t="str">
        <f>LEFT(Table2[[#This Row],[Description]],75)</f>
        <v>Transfer to PayPal</v>
      </c>
    </row>
    <row r="7362" spans="1:15" hidden="1">
      <c r="A7362" s="25">
        <f t="shared" si="22"/>
        <v>202206</v>
      </c>
      <c r="B7362" s="6">
        <v>44740</v>
      </c>
      <c r="C7362" t="s">
        <v>2447</v>
      </c>
      <c r="D7362" t="s">
        <v>2052</v>
      </c>
      <c r="E7362">
        <f t="shared" si="21"/>
        <v>219.13</v>
      </c>
      <c r="F7362" s="2" t="e">
        <f>IF(Table2[[#This Row],[Manual Cat Value]]="",VLOOKUP(Table2[[#This Row],[Description]],'Actuals Lookup'!D:F,3,0),Table2[[#This Row],[Manual Cat Value]])</f>
        <v>#N/A</v>
      </c>
      <c r="G7362" t="str">
        <f>VLOOKUP(D7362,Lookup!G:H,2,0)</f>
        <v>Restaurants</v>
      </c>
      <c r="J7362">
        <v>219.13</v>
      </c>
      <c r="K7362" s="6"/>
      <c r="L7362" s="6"/>
      <c r="M7362" t="s">
        <v>2513</v>
      </c>
      <c r="O7362" t="str">
        <f>LEFT(Table2[[#This Row],[Description]],75)</f>
        <v>TST* ETTA CHICAGO IL</v>
      </c>
    </row>
    <row r="7363" spans="1:15" hidden="1">
      <c r="A7363" s="25">
        <f t="shared" si="22"/>
        <v>202206</v>
      </c>
      <c r="B7363" s="6">
        <v>44741</v>
      </c>
      <c r="C7363" t="s">
        <v>2262</v>
      </c>
      <c r="D7363" t="s">
        <v>156</v>
      </c>
      <c r="E7363">
        <f t="shared" si="21"/>
        <v>9.65</v>
      </c>
      <c r="F7363" s="2" t="e">
        <f>IF(Table2[[#This Row],[Manual Cat Value]]="",VLOOKUP(Table2[[#This Row],[Description]],'Actuals Lookup'!D:F,3,0),Table2[[#This Row],[Manual Cat Value]])</f>
        <v>#N/A</v>
      </c>
      <c r="G7363" t="str">
        <f>VLOOKUP(D7363,Lookup!G:H,2,0)</f>
        <v>Amazon</v>
      </c>
      <c r="J7363">
        <v>9.65</v>
      </c>
      <c r="K7363" s="6"/>
      <c r="L7363" s="6"/>
      <c r="M7363" t="s">
        <v>2513</v>
      </c>
      <c r="O7363" t="str">
        <f>LEFT(Table2[[#This Row],[Description]],75)</f>
        <v>AMZN Mktp USJU9CC9PT3 Amzncombil</v>
      </c>
    </row>
    <row r="7364" spans="1:15" hidden="1">
      <c r="A7364" s="25">
        <f t="shared" si="22"/>
        <v>202206</v>
      </c>
      <c r="B7364" s="6">
        <v>44741</v>
      </c>
      <c r="C7364" t="s">
        <v>2262</v>
      </c>
      <c r="D7364" t="s">
        <v>1849</v>
      </c>
      <c r="E7364">
        <f t="shared" si="21"/>
        <v>29.18</v>
      </c>
      <c r="F7364" s="2" t="str">
        <f>IF(Table2[[#This Row],[Manual Cat Value]]="",VLOOKUP(Table2[[#This Row],[Description]],'Actuals Lookup'!D:F,3,0),Table2[[#This Row],[Manual Cat Value]])</f>
        <v>House Maintenance</v>
      </c>
      <c r="G7364" t="str">
        <f>VLOOKUP(D7364,Lookup!G:H,2,0)</f>
        <v>House Maintenance</v>
      </c>
      <c r="J7364">
        <v>29.18</v>
      </c>
      <c r="K7364" s="6"/>
      <c r="L7364" s="6"/>
      <c r="M7364" t="s">
        <v>2513</v>
      </c>
      <c r="O7364" t="str">
        <f>LEFT(Table2[[#This Row],[Description]],75)</f>
        <v>The Home Depot</v>
      </c>
    </row>
    <row r="7365" spans="1:15" hidden="1">
      <c r="A7365" s="25">
        <f t="shared" si="22"/>
        <v>202206</v>
      </c>
      <c r="B7365" s="6">
        <v>44741</v>
      </c>
      <c r="C7365" t="s">
        <v>2262</v>
      </c>
      <c r="D7365" t="s">
        <v>1849</v>
      </c>
      <c r="E7365">
        <f t="shared" si="21"/>
        <v>-39.15</v>
      </c>
      <c r="F7365" s="2" t="str">
        <f>IF(Table2[[#This Row],[Manual Cat Value]]="",VLOOKUP(Table2[[#This Row],[Description]],'Actuals Lookup'!D:F,3,0),Table2[[#This Row],[Manual Cat Value]])</f>
        <v>House Maintenance</v>
      </c>
      <c r="G7365" t="str">
        <f>VLOOKUP(D7365,Lookup!G:H,2,0)</f>
        <v>House Maintenance</v>
      </c>
      <c r="J7365">
        <v>39.15</v>
      </c>
      <c r="K7365" s="6"/>
      <c r="L7365" s="6"/>
      <c r="M7365" t="s">
        <v>2621</v>
      </c>
      <c r="O7365" t="str">
        <f>LEFT(Table2[[#This Row],[Description]],75)</f>
        <v>The Home Depot</v>
      </c>
    </row>
    <row r="7366" spans="1:15" hidden="1">
      <c r="A7366" s="25">
        <f t="shared" si="22"/>
        <v>202206</v>
      </c>
      <c r="B7366" s="6">
        <v>44741</v>
      </c>
      <c r="C7366" t="s">
        <v>2265</v>
      </c>
      <c r="D7366" t="s">
        <v>1955</v>
      </c>
      <c r="E7366">
        <f t="shared" si="21"/>
        <v>0.99</v>
      </c>
      <c r="F7366" s="2" t="str">
        <f>IF(Table2[[#This Row],[Manual Cat Value]]="",VLOOKUP(Table2[[#This Row],[Description]],'Actuals Lookup'!D:F,3,0),Table2[[#This Row],[Manual Cat Value]])</f>
        <v>Shopping</v>
      </c>
      <c r="G7366" t="str">
        <f>VLOOKUP(D7366,Lookup!G:H,2,0)</f>
        <v>Shopping</v>
      </c>
      <c r="J7366">
        <v>0.99</v>
      </c>
      <c r="K7366" s="6"/>
      <c r="L7366" s="6"/>
      <c r="M7366" t="s">
        <v>2513</v>
      </c>
      <c r="O7366" t="str">
        <f>LEFT(Table2[[#This Row],[Description]],75)</f>
        <v>Transfer to PayPal</v>
      </c>
    </row>
    <row r="7367" spans="1:15" hidden="1">
      <c r="A7367" s="25">
        <f t="shared" si="22"/>
        <v>202206</v>
      </c>
      <c r="B7367" s="6">
        <v>44741</v>
      </c>
      <c r="C7367" t="s">
        <v>2262</v>
      </c>
      <c r="D7367" t="s">
        <v>2002</v>
      </c>
      <c r="E7367">
        <f t="shared" si="21"/>
        <v>26.87</v>
      </c>
      <c r="F7367" s="2" t="e">
        <f>IF(Table2[[#This Row],[Manual Cat Value]]="",VLOOKUP(Table2[[#This Row],[Description]],'Actuals Lookup'!D:F,3,0),Table2[[#This Row],[Manual Cat Value]])</f>
        <v>#N/A</v>
      </c>
      <c r="G7367" t="str">
        <f>VLOOKUP(D7367,Lookup!G:H,2,0)</f>
        <v>House Maintenance</v>
      </c>
      <c r="J7367">
        <v>26.87</v>
      </c>
      <c r="K7367" s="6"/>
      <c r="L7367" s="6"/>
      <c r="M7367" t="s">
        <v>2513</v>
      </c>
      <c r="O7367" t="str">
        <f>LEFT(Table2[[#This Row],[Description]],75)</f>
        <v>True Value</v>
      </c>
    </row>
    <row r="7368" spans="1:15" hidden="1">
      <c r="A7368" s="25">
        <f t="shared" si="22"/>
        <v>202206</v>
      </c>
      <c r="B7368" s="6">
        <v>44741</v>
      </c>
      <c r="C7368" t="s">
        <v>2262</v>
      </c>
      <c r="D7368" t="s">
        <v>2105</v>
      </c>
      <c r="E7368">
        <f t="shared" si="21"/>
        <v>133.44</v>
      </c>
      <c r="F7368" s="2" t="e">
        <f>IF(Table2[[#This Row],[Manual Cat Value]]="",VLOOKUP(Table2[[#This Row],[Description]],'Actuals Lookup'!D:F,3,0),Table2[[#This Row],[Manual Cat Value]])</f>
        <v>#N/A</v>
      </c>
      <c r="G7368" t="str">
        <f>VLOOKUP(D7368,Lookup!G:H,2,0)</f>
        <v>Transportation</v>
      </c>
      <c r="J7368">
        <v>133.44</v>
      </c>
      <c r="K7368" s="6"/>
      <c r="L7368" s="6"/>
      <c r="M7368" t="s">
        <v>2513</v>
      </c>
      <c r="O7368" t="str">
        <f>LEFT(Table2[[#This Row],[Description]],75)</f>
        <v>Valvoline Instant Oil Change</v>
      </c>
    </row>
    <row r="7369" spans="1:15" hidden="1">
      <c r="A7369" s="25">
        <f t="shared" si="22"/>
        <v>202206</v>
      </c>
      <c r="B7369" s="6">
        <v>44742</v>
      </c>
      <c r="C7369" t="s">
        <v>2262</v>
      </c>
      <c r="D7369" t="s">
        <v>158</v>
      </c>
      <c r="E7369">
        <f t="shared" si="21"/>
        <v>21.95</v>
      </c>
      <c r="F7369" s="2" t="e">
        <f>IF(Table2[[#This Row],[Manual Cat Value]]="",VLOOKUP(Table2[[#This Row],[Description]],'Actuals Lookup'!D:F,3,0),Table2[[#This Row],[Manual Cat Value]])</f>
        <v>#N/A</v>
      </c>
      <c r="G7369" t="str">
        <f>VLOOKUP(D7369,Lookup!G:H,2,0)</f>
        <v>Amazon</v>
      </c>
      <c r="J7369">
        <v>21.95</v>
      </c>
      <c r="K7369" s="6"/>
      <c r="L7369" s="6"/>
      <c r="M7369" t="s">
        <v>2513</v>
      </c>
      <c r="O7369" t="str">
        <f>LEFT(Table2[[#This Row],[Description]],75)</f>
        <v>AMZN Mktp USWU8CB0WC3   Amzncomb</v>
      </c>
    </row>
    <row r="7370" spans="1:15" hidden="1">
      <c r="A7370" s="25">
        <f t="shared" si="22"/>
        <v>202206</v>
      </c>
      <c r="B7370" s="6">
        <v>44742</v>
      </c>
      <c r="C7370" t="s">
        <v>2262</v>
      </c>
      <c r="D7370" t="s">
        <v>342</v>
      </c>
      <c r="E7370">
        <f t="shared" si="21"/>
        <v>15</v>
      </c>
      <c r="F7370" s="2" t="e">
        <f>IF(Table2[[#This Row],[Manual Cat Value]]="",VLOOKUP(Table2[[#This Row],[Description]],'Actuals Lookup'!D:F,3,0),Table2[[#This Row],[Manual Cat Value]])</f>
        <v>#N/A</v>
      </c>
      <c r="G7370" t="str">
        <f>VLOOKUP(D7370,Lookup!G:H,2,0)</f>
        <v>Entertainment</v>
      </c>
      <c r="J7370">
        <v>15</v>
      </c>
      <c r="K7370" s="6"/>
      <c r="L7370" s="6"/>
      <c r="M7370" t="s">
        <v>2513</v>
      </c>
      <c r="O7370" t="str">
        <f>LEFT(Table2[[#This Row],[Description]],75)</f>
        <v>Cabin Fever Sporting GoodVictori</v>
      </c>
    </row>
    <row r="7371" spans="1:15" hidden="1">
      <c r="A7371" s="25">
        <f t="shared" si="22"/>
        <v>202206</v>
      </c>
      <c r="B7371" s="6">
        <v>44742</v>
      </c>
      <c r="C7371" t="s">
        <v>2300</v>
      </c>
      <c r="D7371" t="s">
        <v>981</v>
      </c>
      <c r="E7371">
        <f t="shared" si="21"/>
        <v>-14.24</v>
      </c>
      <c r="F7371" s="2" t="e">
        <f>IF(Table2[[#This Row],[Manual Cat Value]]="",VLOOKUP(Table2[[#This Row],[Description]],'Actuals Lookup'!D:F,3,0),Table2[[#This Row],[Manual Cat Value]])</f>
        <v>#N/A</v>
      </c>
      <c r="G7371" t="str">
        <f>VLOOKUP(D7371,Lookup!G:H,2,0)</f>
        <v>Dividend</v>
      </c>
      <c r="J7371">
        <v>14.24</v>
      </c>
      <c r="K7371" s="6"/>
      <c r="L7371" s="6"/>
      <c r="M7371" t="s">
        <v>2621</v>
      </c>
      <c r="O7371" t="str">
        <f>LEFT(Table2[[#This Row],[Description]],75)</f>
        <v>Interest Income</v>
      </c>
    </row>
    <row r="7372" spans="1:15" hidden="1">
      <c r="A7372" s="25">
        <f t="shared" si="22"/>
        <v>202206</v>
      </c>
      <c r="B7372" s="6">
        <v>44742</v>
      </c>
      <c r="C7372" t="s">
        <v>2265</v>
      </c>
      <c r="D7372" t="s">
        <v>981</v>
      </c>
      <c r="E7372">
        <f t="shared" si="21"/>
        <v>-24.47</v>
      </c>
      <c r="F7372" s="2" t="e">
        <f>IF(Table2[[#This Row],[Manual Cat Value]]="",VLOOKUP(Table2[[#This Row],[Description]],'Actuals Lookup'!D:F,3,0),Table2[[#This Row],[Manual Cat Value]])</f>
        <v>#N/A</v>
      </c>
      <c r="G7372" t="str">
        <f>VLOOKUP(D7372,Lookup!G:H,2,0)</f>
        <v>Dividend</v>
      </c>
      <c r="J7372">
        <v>24.47</v>
      </c>
      <c r="K7372" s="6"/>
      <c r="L7372" s="6"/>
      <c r="M7372" t="s">
        <v>2621</v>
      </c>
      <c r="O7372" t="str">
        <f>LEFT(Table2[[#This Row],[Description]],75)</f>
        <v>Interest Income</v>
      </c>
    </row>
    <row r="7373" spans="1:15" hidden="1">
      <c r="A7373" s="25">
        <f t="shared" si="22"/>
        <v>202206</v>
      </c>
      <c r="B7373" s="6">
        <v>44742</v>
      </c>
      <c r="C7373" t="s">
        <v>2262</v>
      </c>
      <c r="D7373" t="s">
        <v>1015</v>
      </c>
      <c r="E7373">
        <f t="shared" si="21"/>
        <v>31.07</v>
      </c>
      <c r="F7373" s="2" t="e">
        <f>IF(Table2[[#This Row],[Manual Cat Value]]="",VLOOKUP(Table2[[#This Row],[Description]],'Actuals Lookup'!D:F,3,0),Table2[[#This Row],[Manual Cat Value]])</f>
        <v>#N/A</v>
      </c>
      <c r="G7373" t="str">
        <f>VLOOKUP(D7373,Lookup!G:H,2,0)</f>
        <v>Restaurants</v>
      </c>
      <c r="J7373">
        <v>31.07</v>
      </c>
      <c r="K7373" s="6"/>
      <c r="L7373" s="6"/>
      <c r="M7373" t="s">
        <v>2513</v>
      </c>
      <c r="O7373" t="str">
        <f>LEFT(Table2[[#This Row],[Description]],75)</f>
        <v>JIMMY JOHNS 923  ECO   CHANHASSE</v>
      </c>
    </row>
    <row r="7374" spans="1:15" hidden="1">
      <c r="A7374" s="25">
        <f t="shared" si="22"/>
        <v>202206</v>
      </c>
      <c r="B7374" s="6">
        <v>44742</v>
      </c>
      <c r="C7374" t="s">
        <v>2265</v>
      </c>
      <c r="D7374" t="s">
        <v>1955</v>
      </c>
      <c r="E7374">
        <f t="shared" si="21"/>
        <v>125.58</v>
      </c>
      <c r="F7374" s="2" t="str">
        <f>IF(Table2[[#This Row],[Manual Cat Value]]="",VLOOKUP(Table2[[#This Row],[Description]],'Actuals Lookup'!D:F,3,0),Table2[[#This Row],[Manual Cat Value]])</f>
        <v>Shopping</v>
      </c>
      <c r="G7374" t="str">
        <f>VLOOKUP(D7374,Lookup!G:H,2,0)</f>
        <v>Shopping</v>
      </c>
      <c r="J7374">
        <v>125.58</v>
      </c>
      <c r="K7374" s="6"/>
      <c r="L7374" s="6"/>
      <c r="M7374" t="s">
        <v>2513</v>
      </c>
      <c r="O7374" t="str">
        <f>LEFT(Table2[[#This Row],[Description]],75)</f>
        <v>Transfer to PayPal</v>
      </c>
    </row>
    <row r="7375" spans="1:15" hidden="1">
      <c r="A7375">
        <v>202206</v>
      </c>
      <c r="B7375" s="3">
        <v>44742</v>
      </c>
      <c r="C7375" t="s">
        <v>2281</v>
      </c>
      <c r="D7375" t="s">
        <v>14</v>
      </c>
      <c r="E7375">
        <f>125*2</f>
        <v>250</v>
      </c>
      <c r="F7375" s="2" t="str">
        <f>IF(Table2[[#This Row],[Manual Cat Value]]="",VLOOKUP(Table2[[#This Row],[Description]],'Actuals Lookup'!D:F,3,0),Table2[[#This Row],[Manual Cat Value]])</f>
        <v>Exp - Cleaning</v>
      </c>
      <c r="G7375" t="e">
        <f>VLOOKUP(D7375,Lookup!G:H,2,0)</f>
        <v>#N/A</v>
      </c>
      <c r="H7375" s="8" t="s">
        <v>13</v>
      </c>
      <c r="O7375" t="str">
        <f>LEFT(Table2[[#This Row],[Description]],75)</f>
        <v>Cleaning</v>
      </c>
    </row>
    <row r="7376" spans="1:15" ht="30" hidden="1">
      <c r="A7376" s="25">
        <f t="shared" ref="A7376:A7381" si="23">VALUE(YEAR(B7376)&amp;TEXT(MONTH(B7376),"00"))</f>
        <v>202207</v>
      </c>
      <c r="B7376" s="6">
        <v>44743</v>
      </c>
      <c r="C7376" t="s">
        <v>2447</v>
      </c>
      <c r="D7376" s="7" t="s">
        <v>119</v>
      </c>
      <c r="E7376">
        <f t="shared" ref="E7376:E7407" si="24">IF(M7376="credit",-1*J7376,J7376)</f>
        <v>5.36</v>
      </c>
      <c r="F7376" s="2" t="e">
        <f>IF(Table2[[#This Row],[Manual Cat Value]]="",VLOOKUP(Table2[[#This Row],[Description]],'Actuals Lookup'!D:F,3,0),Table2[[#This Row],[Manual Cat Value]])</f>
        <v>#N/A</v>
      </c>
      <c r="G7376" t="str">
        <f>VLOOKUP(D7376,Lookup!G:H,2,0)</f>
        <v>Entertainment</v>
      </c>
      <c r="J7376">
        <v>5.36</v>
      </c>
      <c r="K7376" s="6"/>
      <c r="L7376" s="6"/>
      <c r="M7376" t="s">
        <v>2513</v>
      </c>
      <c r="O7376" t="str">
        <f>LEFT(Table2[[#This Row],[Description]],75)</f>
        <v>AMAZON MUSIC*SJ5FX6WK3 888-802-3080 WA
115JK319OHI</v>
      </c>
    </row>
    <row r="7377" spans="1:15" hidden="1">
      <c r="A7377" s="25">
        <f t="shared" si="23"/>
        <v>202207</v>
      </c>
      <c r="B7377" s="6">
        <v>44743</v>
      </c>
      <c r="C7377" t="s">
        <v>2262</v>
      </c>
      <c r="D7377" t="s">
        <v>147</v>
      </c>
      <c r="E7377">
        <f t="shared" si="24"/>
        <v>7.51</v>
      </c>
      <c r="F7377" s="2" t="e">
        <f>IF(Table2[[#This Row],[Manual Cat Value]]="",VLOOKUP(Table2[[#This Row],[Description]],'Actuals Lookup'!D:F,3,0),Table2[[#This Row],[Manual Cat Value]])</f>
        <v>#N/A</v>
      </c>
      <c r="G7377" t="str">
        <f>VLOOKUP(D7377,Lookup!G:H,2,0)</f>
        <v>Amazon</v>
      </c>
      <c r="J7377">
        <v>7.51</v>
      </c>
      <c r="K7377" s="6"/>
      <c r="L7377" s="6"/>
      <c r="M7377" t="s">
        <v>2513</v>
      </c>
      <c r="O7377" t="str">
        <f>LEFT(Table2[[#This Row],[Description]],75)</f>
        <v>AMZN Mktp US1L64I5LY3   Amzncomb</v>
      </c>
    </row>
    <row r="7378" spans="1:15" hidden="1">
      <c r="A7378" s="25">
        <f t="shared" si="23"/>
        <v>202207</v>
      </c>
      <c r="B7378" s="6">
        <v>44743</v>
      </c>
      <c r="C7378" t="s">
        <v>2262</v>
      </c>
      <c r="D7378" t="s">
        <v>255</v>
      </c>
      <c r="E7378">
        <f t="shared" si="24"/>
        <v>38</v>
      </c>
      <c r="F7378" s="2" t="e">
        <f>IF(Table2[[#This Row],[Manual Cat Value]]="",VLOOKUP(Table2[[#This Row],[Description]],'Actuals Lookup'!D:F,3,0),Table2[[#This Row],[Manual Cat Value]])</f>
        <v>#N/A</v>
      </c>
      <c r="G7378" t="str">
        <f>VLOOKUP(D7378,Lookup!G:H,2,0)</f>
        <v>Misc</v>
      </c>
      <c r="J7378">
        <v>38</v>
      </c>
      <c r="K7378" s="6"/>
      <c r="L7378" s="6"/>
      <c r="M7378" t="s">
        <v>2513</v>
      </c>
      <c r="O7378" t="str">
        <f>LEFT(Table2[[#This Row],[Description]],75)</f>
        <v>BCSMINNETONKA COMMUNITY 95240168</v>
      </c>
    </row>
    <row r="7379" spans="1:15" hidden="1">
      <c r="A7379" s="25">
        <f t="shared" si="23"/>
        <v>202207</v>
      </c>
      <c r="B7379" s="6">
        <v>44743</v>
      </c>
      <c r="C7379" t="s">
        <v>2262</v>
      </c>
      <c r="D7379" t="s">
        <v>547</v>
      </c>
      <c r="E7379">
        <f t="shared" si="24"/>
        <v>23.46</v>
      </c>
      <c r="F7379" s="2" t="e">
        <f>IF(Table2[[#This Row],[Manual Cat Value]]="",VLOOKUP(Table2[[#This Row],[Description]],'Actuals Lookup'!D:F,3,0),Table2[[#This Row],[Manual Cat Value]])</f>
        <v>#N/A</v>
      </c>
      <c r="G7379" t="str">
        <f>VLOOKUP(D7379,Lookup!G:H,2,0)</f>
        <v>Restaurants</v>
      </c>
      <c r="J7379">
        <v>23.46</v>
      </c>
      <c r="K7379" s="6"/>
      <c r="L7379" s="6"/>
      <c r="M7379" t="s">
        <v>2513</v>
      </c>
      <c r="O7379" t="str">
        <f>LEFT(Table2[[#This Row],[Description]],75)</f>
        <v>CHIPOTLE ONLINE          CHIPOTL</v>
      </c>
    </row>
    <row r="7380" spans="1:15" hidden="1">
      <c r="A7380" s="25">
        <f t="shared" si="23"/>
        <v>202207</v>
      </c>
      <c r="B7380" s="6">
        <v>44743</v>
      </c>
      <c r="C7380" t="s">
        <v>2265</v>
      </c>
      <c r="D7380" t="s">
        <v>597</v>
      </c>
      <c r="E7380">
        <f t="shared" si="24"/>
        <v>200</v>
      </c>
      <c r="F7380" s="2" t="e">
        <f>IF(Table2[[#This Row],[Manual Cat Value]]="",VLOOKUP(Table2[[#This Row],[Description]],'Actuals Lookup'!D:F,3,0),Table2[[#This Row],[Manual Cat Value]])</f>
        <v>#N/A</v>
      </c>
      <c r="G7380" t="str">
        <f>VLOOKUP(D7380,Lookup!G:H,2,0)</f>
        <v>Delete</v>
      </c>
      <c r="J7380">
        <v>200</v>
      </c>
      <c r="K7380" s="6"/>
      <c r="L7380" s="6"/>
      <c r="M7380" t="s">
        <v>2513</v>
      </c>
      <c r="O7380" t="str">
        <f>LEFT(Table2[[#This Row],[Description]],75)</f>
        <v>College Savings TYPE ACH ID XX58</v>
      </c>
    </row>
    <row r="7381" spans="1:15" hidden="1">
      <c r="A7381" s="25">
        <f t="shared" si="23"/>
        <v>202207</v>
      </c>
      <c r="B7381" s="6">
        <v>44743</v>
      </c>
      <c r="C7381" t="s">
        <v>2314</v>
      </c>
      <c r="D7381" t="s">
        <v>859</v>
      </c>
      <c r="E7381">
        <f t="shared" si="24"/>
        <v>-599.61</v>
      </c>
      <c r="F7381" s="2" t="str">
        <f>IF(Table2[[#This Row],[Manual Cat Value]]="",VLOOKUP(Table2[[#This Row],[Description]],'Actuals Lookup'!D:F,3,0),Table2[[#This Row],[Manual Cat Value]])</f>
        <v>Delete</v>
      </c>
      <c r="G7381" t="str">
        <f>VLOOKUP(D7381,Lookup!G:H,2,0)</f>
        <v>Car Loan</v>
      </c>
      <c r="H7381" s="8" t="s">
        <v>9</v>
      </c>
      <c r="J7381">
        <v>599.61</v>
      </c>
      <c r="K7381" s="6"/>
      <c r="L7381" s="6"/>
      <c r="M7381" t="s">
        <v>2621</v>
      </c>
      <c r="O7381" t="str">
        <f>LEFT(Table2[[#This Row],[Description]],75)</f>
        <v>From Share 70</v>
      </c>
    </row>
    <row r="7382" spans="1:15" hidden="1">
      <c r="A7382" s="25">
        <f>VALUE(YEAR(Table2[[#This Row],[Date]])&amp;TEXT(MONTH(Table2[[#This Row],[Date]]),"00"))</f>
        <v>202207</v>
      </c>
      <c r="B7382" s="6">
        <v>44743</v>
      </c>
      <c r="C7382" t="s">
        <v>2314</v>
      </c>
      <c r="D7382" t="s">
        <v>859</v>
      </c>
      <c r="E7382">
        <f t="shared" si="24"/>
        <v>-599.61</v>
      </c>
      <c r="F7382" s="2" t="str">
        <f>IF(Table2[[#This Row],[Manual Cat Value]]="",VLOOKUP(Table2[[#This Row],[Description]],'Actuals Lookup'!D:F,3,0),Table2[[#This Row],[Manual Cat Value]])</f>
        <v>Delete</v>
      </c>
      <c r="G7382" t="str">
        <f>VLOOKUP(D7382,Lookup!G:H,2,0)</f>
        <v>Car Loan</v>
      </c>
      <c r="H7382" s="8" t="s">
        <v>9</v>
      </c>
      <c r="J7382">
        <v>599.61</v>
      </c>
      <c r="M7382" t="s">
        <v>2621</v>
      </c>
      <c r="O7382" t="str">
        <f>LEFT(Table2[[#This Row],[Description]],75)</f>
        <v>From Share 70</v>
      </c>
    </row>
    <row r="7383" spans="1:15" hidden="1">
      <c r="A7383" s="25">
        <f t="shared" ref="A7383:A7390" si="25">VALUE(YEAR(B7383)&amp;TEXT(MONTH(B7383),"00"))</f>
        <v>202207</v>
      </c>
      <c r="B7383" s="6">
        <v>44743</v>
      </c>
      <c r="C7383" t="s">
        <v>2262</v>
      </c>
      <c r="D7383" t="s">
        <v>1094</v>
      </c>
      <c r="E7383">
        <f t="shared" si="24"/>
        <v>4.59</v>
      </c>
      <c r="F7383" s="2" t="e">
        <f>IF(Table2[[#This Row],[Manual Cat Value]]="",VLOOKUP(Table2[[#This Row],[Description]],'Actuals Lookup'!D:F,3,0),Table2[[#This Row],[Manual Cat Value]])</f>
        <v>#N/A</v>
      </c>
      <c r="G7383" t="str">
        <f>VLOOKUP(D7383,Lookup!G:H,2,0)</f>
        <v>Groceries</v>
      </c>
      <c r="J7383">
        <v>4.59</v>
      </c>
      <c r="K7383" s="6"/>
      <c r="L7383" s="6"/>
      <c r="M7383" t="s">
        <v>2513</v>
      </c>
      <c r="O7383" t="str">
        <f>LEFT(Table2[[#This Row],[Description]],75)</f>
        <v>LAKEWINDS  CHANHASSEN   CHANHASS</v>
      </c>
    </row>
    <row r="7384" spans="1:15" hidden="1">
      <c r="A7384" s="25">
        <f t="shared" si="25"/>
        <v>202207</v>
      </c>
      <c r="B7384" s="6">
        <v>44743</v>
      </c>
      <c r="C7384" t="s">
        <v>2262</v>
      </c>
      <c r="D7384" t="s">
        <v>1623</v>
      </c>
      <c r="E7384">
        <f t="shared" si="24"/>
        <v>68</v>
      </c>
      <c r="F7384" s="2" t="e">
        <f>IF(Table2[[#This Row],[Manual Cat Value]]="",VLOOKUP(Table2[[#This Row],[Description]],'Actuals Lookup'!D:F,3,0),Table2[[#This Row],[Manual Cat Value]])</f>
        <v>#N/A</v>
      </c>
      <c r="G7384" t="str">
        <f>VLOOKUP(D7384,Lookup!G:H,2,0)</f>
        <v>shopping</v>
      </c>
      <c r="J7384">
        <v>68</v>
      </c>
      <c r="K7384" s="6"/>
      <c r="L7384" s="6"/>
      <c r="M7384" t="s">
        <v>2513</v>
      </c>
      <c r="O7384" t="str">
        <f>LEFT(Table2[[#This Row],[Description]],75)</f>
        <v>SCHEELS EDEN PRAIRIE     EDEN PR</v>
      </c>
    </row>
    <row r="7385" spans="1:15" hidden="1">
      <c r="A7385" s="25">
        <f t="shared" si="25"/>
        <v>202207</v>
      </c>
      <c r="B7385" s="6">
        <v>44743</v>
      </c>
      <c r="C7385" t="s">
        <v>2262</v>
      </c>
      <c r="D7385" t="s">
        <v>1815</v>
      </c>
      <c r="E7385">
        <f t="shared" si="24"/>
        <v>5.97</v>
      </c>
      <c r="F7385" s="2" t="e">
        <f>IF(Table2[[#This Row],[Manual Cat Value]]="",VLOOKUP(Table2[[#This Row],[Description]],'Actuals Lookup'!D:F,3,0),Table2[[#This Row],[Manual Cat Value]])</f>
        <v>#N/A</v>
      </c>
      <c r="G7385" t="str">
        <f>VLOOKUP(D7385,Lookup!G:H,2,0)</f>
        <v>target</v>
      </c>
      <c r="J7385">
        <v>5.97</v>
      </c>
      <c r="K7385" s="6"/>
      <c r="L7385" s="6"/>
      <c r="M7385" t="s">
        <v>2513</v>
      </c>
      <c r="O7385" t="str">
        <f>LEFT(Table2[[#This Row],[Description]],75)</f>
        <v>TARGET        00002204   EDEN PR</v>
      </c>
    </row>
    <row r="7386" spans="1:15" hidden="1">
      <c r="A7386" s="25">
        <f t="shared" si="25"/>
        <v>202207</v>
      </c>
      <c r="B7386" s="6">
        <v>44743</v>
      </c>
      <c r="C7386" t="s">
        <v>2262</v>
      </c>
      <c r="D7386" t="s">
        <v>1815</v>
      </c>
      <c r="E7386">
        <f t="shared" si="24"/>
        <v>108.43</v>
      </c>
      <c r="F7386" s="2" t="e">
        <f>IF(Table2[[#This Row],[Manual Cat Value]]="",VLOOKUP(Table2[[#This Row],[Description]],'Actuals Lookup'!D:F,3,0),Table2[[#This Row],[Manual Cat Value]])</f>
        <v>#N/A</v>
      </c>
      <c r="G7386" t="str">
        <f>VLOOKUP(D7386,Lookup!G:H,2,0)</f>
        <v>target</v>
      </c>
      <c r="J7386">
        <v>108.43</v>
      </c>
      <c r="K7386" s="6"/>
      <c r="L7386" s="6"/>
      <c r="M7386" t="s">
        <v>2513</v>
      </c>
      <c r="O7386" t="str">
        <f>LEFT(Table2[[#This Row],[Description]],75)</f>
        <v>TARGET        00002204   EDEN PR</v>
      </c>
    </row>
    <row r="7387" spans="1:15" hidden="1">
      <c r="A7387" s="25">
        <f t="shared" si="25"/>
        <v>202207</v>
      </c>
      <c r="B7387" s="6">
        <v>44743</v>
      </c>
      <c r="C7387" t="s">
        <v>2265</v>
      </c>
      <c r="D7387" t="s">
        <v>1877</v>
      </c>
      <c r="E7387">
        <f t="shared" si="24"/>
        <v>618.65</v>
      </c>
      <c r="F7387" s="2" t="e">
        <f>IF(Table2[[#This Row],[Manual Cat Value]]="",VLOOKUP(Table2[[#This Row],[Description]],'Actuals Lookup'!D:F,3,0),Table2[[#This Row],[Manual Cat Value]])</f>
        <v>#N/A</v>
      </c>
      <c r="G7387" t="str">
        <f>VLOOKUP(D7387,Lookup!G:H,2,0)</f>
        <v>Car Loan</v>
      </c>
      <c r="J7387">
        <v>618.65</v>
      </c>
      <c r="K7387" s="6"/>
      <c r="L7387" s="6"/>
      <c r="M7387" t="s">
        <v>2513</v>
      </c>
      <c r="O7387" t="str">
        <f>LEFT(Table2[[#This Row],[Description]],75)</f>
        <v>To Loan 02</v>
      </c>
    </row>
    <row r="7388" spans="1:15" hidden="1">
      <c r="A7388" s="25">
        <f t="shared" si="25"/>
        <v>202207</v>
      </c>
      <c r="B7388" s="6">
        <v>44743</v>
      </c>
      <c r="C7388" t="s">
        <v>2262</v>
      </c>
      <c r="D7388" t="s">
        <v>1921</v>
      </c>
      <c r="E7388">
        <f t="shared" si="24"/>
        <v>60.43</v>
      </c>
      <c r="F7388" s="2" t="e">
        <f>IF(Table2[[#This Row],[Manual Cat Value]]="",VLOOKUP(Table2[[#This Row],[Description]],'Actuals Lookup'!D:F,3,0),Table2[[#This Row],[Manual Cat Value]])</f>
        <v>#N/A</v>
      </c>
      <c r="G7388" t="str">
        <f>VLOOKUP(D7388,Lookup!G:H,2,0)</f>
        <v>Groceries</v>
      </c>
      <c r="J7388">
        <v>60.43</v>
      </c>
      <c r="K7388" s="6"/>
      <c r="L7388" s="6"/>
      <c r="M7388" t="s">
        <v>2513</v>
      </c>
      <c r="O7388" t="str">
        <f>LEFT(Table2[[#This Row],[Description]],75)</f>
        <v>TOP TEN LIQUORS          CHANHAS</v>
      </c>
    </row>
    <row r="7389" spans="1:15" hidden="1">
      <c r="A7389" s="25">
        <f t="shared" si="25"/>
        <v>202207</v>
      </c>
      <c r="B7389" s="6">
        <v>44743</v>
      </c>
      <c r="C7389" t="s">
        <v>2262</v>
      </c>
      <c r="D7389" t="s">
        <v>2136</v>
      </c>
      <c r="E7389">
        <f t="shared" si="24"/>
        <v>41.82</v>
      </c>
      <c r="F7389" s="2" t="e">
        <f>IF(Table2[[#This Row],[Manual Cat Value]]="",VLOOKUP(Table2[[#This Row],[Description]],'Actuals Lookup'!D:F,3,0),Table2[[#This Row],[Manual Cat Value]])</f>
        <v>#N/A</v>
      </c>
      <c r="G7389" t="str">
        <f>VLOOKUP(D7389,Lookup!G:H,2,0)</f>
        <v>shopping</v>
      </c>
      <c r="J7389">
        <v>41.82</v>
      </c>
      <c r="K7389" s="6"/>
      <c r="L7389" s="6"/>
      <c r="M7389" t="s">
        <v>2513</v>
      </c>
      <c r="O7389" t="str">
        <f>LEFT(Table2[[#This Row],[Description]],75)</f>
        <v>WALGREENS 12044         EDEN PRA</v>
      </c>
    </row>
    <row r="7390" spans="1:15" hidden="1">
      <c r="A7390" s="25">
        <f t="shared" si="25"/>
        <v>202207</v>
      </c>
      <c r="B7390" s="6">
        <v>44743</v>
      </c>
      <c r="C7390" t="s">
        <v>2270</v>
      </c>
      <c r="D7390" t="s">
        <v>1410</v>
      </c>
      <c r="E7390">
        <f t="shared" si="24"/>
        <v>-771.42</v>
      </c>
      <c r="F7390" s="2" t="str">
        <f>IF(Table2[[#This Row],[Manual Cat Value]]="",VLOOKUP(Table2[[#This Row],[Description]],'Actuals Lookup'!D:F,3,0),Table2[[#This Row],[Manual Cat Value]])</f>
        <v>Delete</v>
      </c>
      <c r="G7390" t="str">
        <f>VLOOKUP(D7390,Lookup!G:H,2,0)</f>
        <v>Delete</v>
      </c>
      <c r="J7390">
        <v>771.42</v>
      </c>
      <c r="K7390" s="6"/>
      <c r="L7390" s="6"/>
      <c r="M7390" t="s">
        <v>2621</v>
      </c>
      <c r="O7390" t="str">
        <f>LEFT(Table2[[#This Row],[Description]],75)</f>
        <v>PAYMENT</v>
      </c>
    </row>
    <row r="7391" spans="1:15" hidden="1">
      <c r="A7391" s="25">
        <f>VALUE(YEAR(Table2[[#This Row],[Date]])&amp;TEXT(MONTH(Table2[[#This Row],[Date]]),"00"))</f>
        <v>202207</v>
      </c>
      <c r="B7391" s="6">
        <v>44743</v>
      </c>
      <c r="C7391" t="s">
        <v>2270</v>
      </c>
      <c r="D7391" t="s">
        <v>1410</v>
      </c>
      <c r="E7391">
        <f t="shared" si="24"/>
        <v>-771.42</v>
      </c>
      <c r="F7391" s="2" t="str">
        <f>IF(Table2[[#This Row],[Manual Cat Value]]="",VLOOKUP(Table2[[#This Row],[Description]],'Actuals Lookup'!D:F,3,0),Table2[[#This Row],[Manual Cat Value]])</f>
        <v>Delete</v>
      </c>
      <c r="G7391" t="str">
        <f>VLOOKUP(D7391,Lookup!G:H,2,0)</f>
        <v>Delete</v>
      </c>
      <c r="H7391" s="8" t="s">
        <v>9</v>
      </c>
      <c r="J7391">
        <v>771.42</v>
      </c>
      <c r="M7391" t="s">
        <v>2621</v>
      </c>
      <c r="O7391" t="str">
        <f>LEFT(Table2[[#This Row],[Description]],75)</f>
        <v>PAYMENT</v>
      </c>
    </row>
    <row r="7392" spans="1:15" hidden="1">
      <c r="A7392" s="25">
        <f>VALUE(YEAR(Table2[[#This Row],[Date]])&amp;TEXT(MONTH(Table2[[#This Row],[Date]]),"00"))</f>
        <v>202207</v>
      </c>
      <c r="B7392" s="6">
        <v>44743</v>
      </c>
      <c r="C7392" t="s">
        <v>2270</v>
      </c>
      <c r="D7392" t="s">
        <v>1410</v>
      </c>
      <c r="E7392">
        <f t="shared" si="24"/>
        <v>2572.94</v>
      </c>
      <c r="F7392" s="2" t="str">
        <f>IF(Table2[[#This Row],[Manual Cat Value]]="",VLOOKUP(Table2[[#This Row],[Description]],'Actuals Lookup'!D:F,3,0),Table2[[#This Row],[Manual Cat Value]])</f>
        <v>Delete</v>
      </c>
      <c r="G7392" t="str">
        <f>VLOOKUP(D7392,Lookup!G:H,2,0)</f>
        <v>Delete</v>
      </c>
      <c r="H7392" s="8" t="s">
        <v>9</v>
      </c>
      <c r="J7392">
        <v>2572.94</v>
      </c>
      <c r="M7392" t="s">
        <v>2513</v>
      </c>
      <c r="O7392" t="str">
        <f>LEFT(Table2[[#This Row],[Description]],75)</f>
        <v>PAYMENT</v>
      </c>
    </row>
    <row r="7393" spans="1:15" hidden="1">
      <c r="A7393" s="25">
        <f t="shared" ref="A7393:A7399" si="26">VALUE(YEAR(B7393)&amp;TEXT(MONTH(B7393),"00"))</f>
        <v>202207</v>
      </c>
      <c r="B7393" s="6">
        <v>44743</v>
      </c>
      <c r="C7393" t="s">
        <v>2265</v>
      </c>
      <c r="D7393" t="s">
        <v>1460</v>
      </c>
      <c r="E7393">
        <f t="shared" si="24"/>
        <v>2572.94</v>
      </c>
      <c r="F7393" s="2" t="str">
        <f>IF(Table2[[#This Row],[Manual Cat Value]]="",VLOOKUP(Table2[[#This Row],[Description]],'Actuals Lookup'!D:F,3,0),Table2[[#This Row],[Manual Cat Value]])</f>
        <v>Rent</v>
      </c>
      <c r="G7393" t="str">
        <f>VLOOKUP(D7393,Lookup!G:H,2,0)</f>
        <v>Rent</v>
      </c>
      <c r="J7393">
        <v>2572.94</v>
      </c>
      <c r="K7393" s="6"/>
      <c r="L7393" s="6"/>
      <c r="M7393" t="s">
        <v>2513</v>
      </c>
      <c r="O7393" t="str">
        <f>LEFT(Table2[[#This Row],[Description]],75)</f>
        <v>Payment to Baxter Credit Union</v>
      </c>
    </row>
    <row r="7394" spans="1:15" hidden="1">
      <c r="A7394" s="25">
        <f t="shared" si="26"/>
        <v>202207</v>
      </c>
      <c r="B7394" s="6">
        <v>44745</v>
      </c>
      <c r="C7394" t="s">
        <v>2262</v>
      </c>
      <c r="D7394" t="s">
        <v>318</v>
      </c>
      <c r="E7394">
        <f t="shared" si="24"/>
        <v>3.52</v>
      </c>
      <c r="F7394" s="2" t="str">
        <f>IF(Table2[[#This Row],[Manual Cat Value]]="",VLOOKUP(Table2[[#This Row],[Description]],'Actuals Lookup'!D:F,3,0),Table2[[#This Row],[Manual Cat Value]])</f>
        <v>Restaurants</v>
      </c>
      <c r="G7394" t="str">
        <f>VLOOKUP(D7394,Lookup!G:H,2,0)</f>
        <v>Restaurants</v>
      </c>
      <c r="J7394">
        <v>3.52</v>
      </c>
      <c r="K7394" s="6"/>
      <c r="L7394" s="6"/>
      <c r="M7394" t="s">
        <v>2513</v>
      </c>
      <c r="O7394" t="str">
        <f>LEFT(Table2[[#This Row],[Description]],75)</f>
        <v>Brewery</v>
      </c>
    </row>
    <row r="7395" spans="1:15" hidden="1">
      <c r="A7395" s="25">
        <f t="shared" si="26"/>
        <v>202207</v>
      </c>
      <c r="B7395" s="6">
        <v>44745</v>
      </c>
      <c r="C7395" t="s">
        <v>2262</v>
      </c>
      <c r="D7395" t="s">
        <v>925</v>
      </c>
      <c r="E7395">
        <f t="shared" si="24"/>
        <v>18</v>
      </c>
      <c r="F7395" s="2" t="e">
        <f>IF(Table2[[#This Row],[Manual Cat Value]]="",VLOOKUP(Table2[[#This Row],[Description]],'Actuals Lookup'!D:F,3,0),Table2[[#This Row],[Manual Cat Value]])</f>
        <v>#N/A</v>
      </c>
      <c r="G7395" t="str">
        <f>VLOOKUP(D7395,Lookup!G:H,2,0)</f>
        <v>Entertainment</v>
      </c>
      <c r="J7395">
        <v>18</v>
      </c>
      <c r="K7395" s="6"/>
      <c r="L7395" s="6"/>
      <c r="M7395" t="s">
        <v>2513</v>
      </c>
      <c r="O7395" t="str">
        <f>LEFT(Table2[[#This Row],[Description]],75)</f>
        <v>HBRSUBSCRIPTION XX0886 MA</v>
      </c>
    </row>
    <row r="7396" spans="1:15" hidden="1">
      <c r="A7396" s="25">
        <f t="shared" si="26"/>
        <v>202207</v>
      </c>
      <c r="B7396" s="6">
        <v>44745</v>
      </c>
      <c r="C7396" t="s">
        <v>2262</v>
      </c>
      <c r="D7396" t="s">
        <v>945</v>
      </c>
      <c r="E7396">
        <f t="shared" si="24"/>
        <v>7.88</v>
      </c>
      <c r="F7396" s="2" t="str">
        <f>IF(Table2[[#This Row],[Manual Cat Value]]="",VLOOKUP(Table2[[#This Row],[Description]],'Actuals Lookup'!D:F,3,0),Table2[[#This Row],[Manual Cat Value]])</f>
        <v>Groceries</v>
      </c>
      <c r="G7396" t="str">
        <f>VLOOKUP(D7396,Lookup!G:H,2,0)</f>
        <v>Transportation</v>
      </c>
      <c r="J7396">
        <v>7.88</v>
      </c>
      <c r="K7396" s="6"/>
      <c r="L7396" s="6"/>
      <c r="M7396" t="s">
        <v>2513</v>
      </c>
      <c r="O7396" t="str">
        <f>LEFT(Table2[[#This Row],[Description]],75)</f>
        <v>Holiday Stationstores</v>
      </c>
    </row>
    <row r="7397" spans="1:15" hidden="1">
      <c r="A7397" s="25">
        <f t="shared" si="26"/>
        <v>202207</v>
      </c>
      <c r="B7397" s="6">
        <v>44745</v>
      </c>
      <c r="C7397" t="s">
        <v>2262</v>
      </c>
      <c r="D7397" t="s">
        <v>945</v>
      </c>
      <c r="E7397">
        <f t="shared" si="24"/>
        <v>69.89</v>
      </c>
      <c r="F7397" s="2" t="str">
        <f>IF(Table2[[#This Row],[Manual Cat Value]]="",VLOOKUP(Table2[[#This Row],[Description]],'Actuals Lookup'!D:F,3,0),Table2[[#This Row],[Manual Cat Value]])</f>
        <v>Groceries</v>
      </c>
      <c r="G7397" t="str">
        <f>VLOOKUP(D7397,Lookup!G:H,2,0)</f>
        <v>Transportation</v>
      </c>
      <c r="J7397">
        <v>69.89</v>
      </c>
      <c r="K7397" s="6"/>
      <c r="L7397" s="6"/>
      <c r="M7397" t="s">
        <v>2513</v>
      </c>
      <c r="O7397" t="str">
        <f>LEFT(Table2[[#This Row],[Description]],75)</f>
        <v>Holiday Stationstores</v>
      </c>
    </row>
    <row r="7398" spans="1:15" hidden="1">
      <c r="A7398" s="25">
        <f t="shared" si="26"/>
        <v>202207</v>
      </c>
      <c r="B7398" s="6">
        <v>44745</v>
      </c>
      <c r="C7398" t="s">
        <v>2262</v>
      </c>
      <c r="D7398" t="s">
        <v>1157</v>
      </c>
      <c r="E7398">
        <f t="shared" si="24"/>
        <v>11.38</v>
      </c>
      <c r="F7398" s="2" t="e">
        <f>IF(Table2[[#This Row],[Manual Cat Value]]="",VLOOKUP(Table2[[#This Row],[Description]],'Actuals Lookup'!D:F,3,0),Table2[[#This Row],[Manual Cat Value]])</f>
        <v>#N/A</v>
      </c>
      <c r="G7398" t="str">
        <f>VLOOKUP(D7398,Lookup!G:H,2,0)</f>
        <v>shopping</v>
      </c>
      <c r="J7398">
        <v>11.38</v>
      </c>
      <c r="K7398" s="6"/>
      <c r="L7398" s="6"/>
      <c r="M7398" t="s">
        <v>2513</v>
      </c>
      <c r="O7398" t="str">
        <f>LEFT(Table2[[#This Row],[Description]],75)</f>
        <v>LUCKY SEVEN GENERAL STOREBALSAM</v>
      </c>
    </row>
    <row r="7399" spans="1:15" hidden="1">
      <c r="A7399" s="25">
        <f t="shared" si="26"/>
        <v>202207</v>
      </c>
      <c r="B7399" s="6">
        <v>44745</v>
      </c>
      <c r="C7399" t="s">
        <v>2262</v>
      </c>
      <c r="D7399" t="s">
        <v>1159</v>
      </c>
      <c r="E7399">
        <f t="shared" si="24"/>
        <v>-80</v>
      </c>
      <c r="F7399" s="2" t="str">
        <f>IF(Table2[[#This Row],[Manual Cat Value]]="",VLOOKUP(Table2[[#This Row],[Description]],'Actuals Lookup'!D:F,3,0),Table2[[#This Row],[Manual Cat Value]])</f>
        <v>Delete</v>
      </c>
      <c r="G7399" t="str">
        <f>VLOOKUP(D7399,Lookup!G:H,2,0)</f>
        <v>Shopping</v>
      </c>
      <c r="H7399" s="8" t="s">
        <v>9</v>
      </c>
      <c r="J7399">
        <v>80</v>
      </c>
      <c r="K7399" s="6"/>
      <c r="L7399" s="6"/>
      <c r="M7399" t="s">
        <v>2621</v>
      </c>
      <c r="O7399" t="str">
        <f>LEFT(Table2[[#This Row],[Description]],75)</f>
        <v>Lululemon Athletica</v>
      </c>
    </row>
    <row r="7400" spans="1:15" hidden="1">
      <c r="A7400" s="25">
        <f>VALUE(YEAR(Table2[[#This Row],[Date]])&amp;TEXT(MONTH(Table2[[#This Row],[Date]]),"00"))</f>
        <v>202207</v>
      </c>
      <c r="B7400" s="6">
        <v>44745</v>
      </c>
      <c r="C7400" t="s">
        <v>2262</v>
      </c>
      <c r="D7400" t="s">
        <v>1159</v>
      </c>
      <c r="E7400">
        <f t="shared" si="24"/>
        <v>-80</v>
      </c>
      <c r="F7400" s="2" t="str">
        <f>IF(Table2[[#This Row],[Manual Cat Value]]="",VLOOKUP(Table2[[#This Row],[Description]],'Actuals Lookup'!D:F,3,0),Table2[[#This Row],[Manual Cat Value]])</f>
        <v>Exp - Shopping</v>
      </c>
      <c r="G7400" t="str">
        <f>VLOOKUP(D7400,Lookup!G:H,2,0)</f>
        <v>Shopping</v>
      </c>
      <c r="H7400" s="8" t="s">
        <v>36</v>
      </c>
      <c r="J7400">
        <v>80</v>
      </c>
      <c r="M7400" t="s">
        <v>2621</v>
      </c>
      <c r="O7400" t="str">
        <f>LEFT(Table2[[#This Row],[Description]],75)</f>
        <v>Lululemon Athletica</v>
      </c>
    </row>
    <row r="7401" spans="1:15" ht="30" hidden="1">
      <c r="A7401" s="25">
        <f t="shared" ref="A7401:A7407" si="27">VALUE(YEAR(B7401)&amp;TEXT(MONTH(B7401),"00"))</f>
        <v>202207</v>
      </c>
      <c r="B7401" s="6">
        <v>44747</v>
      </c>
      <c r="C7401" t="s">
        <v>2447</v>
      </c>
      <c r="D7401" s="7" t="s">
        <v>141</v>
      </c>
      <c r="E7401">
        <f t="shared" si="24"/>
        <v>22.43</v>
      </c>
      <c r="F7401" s="2" t="e">
        <f>IF(Table2[[#This Row],[Manual Cat Value]]="",VLOOKUP(Table2[[#This Row],[Description]],'Actuals Lookup'!D:F,3,0),Table2[[#This Row],[Manual Cat Value]])</f>
        <v>#N/A</v>
      </c>
      <c r="G7401" t="str">
        <f>VLOOKUP(D7401,Lookup!G:H,2,0)</f>
        <v>Amazon</v>
      </c>
      <c r="J7401">
        <v>22.43</v>
      </c>
      <c r="K7401" s="6"/>
      <c r="L7401" s="6"/>
      <c r="M7401" t="s">
        <v>2513</v>
      </c>
      <c r="O7401" t="str">
        <f>LEFT(Table2[[#This Row],[Description]],75)</f>
        <v>AMZN MKTP US*RK29967P3 AMZN.COM/BILLWA
4YIG0DYF1TN</v>
      </c>
    </row>
    <row r="7402" spans="1:15" hidden="1">
      <c r="A7402" s="25">
        <f t="shared" si="27"/>
        <v>202207</v>
      </c>
      <c r="B7402" s="6">
        <v>44747</v>
      </c>
      <c r="C7402" t="s">
        <v>2262</v>
      </c>
      <c r="D7402" t="s">
        <v>186</v>
      </c>
      <c r="E7402">
        <f t="shared" si="24"/>
        <v>127.35</v>
      </c>
      <c r="F7402" s="2" t="e">
        <f>IF(Table2[[#This Row],[Manual Cat Value]]="",VLOOKUP(Table2[[#This Row],[Description]],'Actuals Lookup'!D:F,3,0),Table2[[#This Row],[Manual Cat Value]])</f>
        <v>#N/A</v>
      </c>
      <c r="G7402" t="str">
        <f>VLOOKUP(D7402,Lookup!G:H,2,0)</f>
        <v>Groceries</v>
      </c>
      <c r="J7402">
        <v>127.35</v>
      </c>
      <c r="K7402" s="6"/>
      <c r="L7402" s="6"/>
      <c r="M7402" t="s">
        <v>2513</v>
      </c>
      <c r="O7402" t="str">
        <f>LEFT(Table2[[#This Row],[Description]],75)</f>
        <v>AVOADVOCARE INTL        80054248</v>
      </c>
    </row>
    <row r="7403" spans="1:15" hidden="1">
      <c r="A7403" s="25">
        <f t="shared" si="27"/>
        <v>202207</v>
      </c>
      <c r="B7403" s="6">
        <v>44747</v>
      </c>
      <c r="C7403" t="s">
        <v>2265</v>
      </c>
      <c r="D7403" t="s">
        <v>513</v>
      </c>
      <c r="E7403">
        <f t="shared" si="24"/>
        <v>523.62</v>
      </c>
      <c r="F7403" s="2" t="e">
        <f>IF(Table2[[#This Row],[Manual Cat Value]]="",VLOOKUP(Table2[[#This Row],[Description]],'Actuals Lookup'!D:F,3,0),Table2[[#This Row],[Manual Cat Value]])</f>
        <v>#N/A</v>
      </c>
      <c r="G7403">
        <f>VLOOKUP(D7403,Lookup!G:H,2,0)</f>
        <v>0</v>
      </c>
      <c r="J7403">
        <v>523.62</v>
      </c>
      <c r="K7403" s="6"/>
      <c r="L7403" s="6"/>
      <c r="M7403" t="s">
        <v>2513</v>
      </c>
      <c r="O7403" t="str">
        <f>LEFT(Table2[[#This Row],[Description]],75)</f>
        <v>CHECK  2152</v>
      </c>
    </row>
    <row r="7404" spans="1:15" hidden="1">
      <c r="A7404" s="25">
        <f t="shared" si="27"/>
        <v>202207</v>
      </c>
      <c r="B7404" s="6">
        <v>44747</v>
      </c>
      <c r="C7404" t="s">
        <v>2262</v>
      </c>
      <c r="D7404" t="s">
        <v>1861</v>
      </c>
      <c r="E7404">
        <f t="shared" si="24"/>
        <v>11.37</v>
      </c>
      <c r="F7404" s="2" t="e">
        <f>IF(Table2[[#This Row],[Manual Cat Value]]="",VLOOKUP(Table2[[#This Row],[Description]],'Actuals Lookup'!D:F,3,0),Table2[[#This Row],[Manual Cat Value]])</f>
        <v>#N/A</v>
      </c>
      <c r="G7404" t="str">
        <f>VLOOKUP(D7404,Lookup!G:H,2,0)</f>
        <v>Restaurants</v>
      </c>
      <c r="J7404">
        <v>11.37</v>
      </c>
      <c r="K7404" s="6"/>
      <c r="L7404" s="6"/>
      <c r="M7404" t="s">
        <v>2513</v>
      </c>
      <c r="O7404" t="str">
        <f>LEFT(Table2[[#This Row],[Description]],75)</f>
        <v>THIRSTY OTTER TAVERN     7154853</v>
      </c>
    </row>
    <row r="7405" spans="1:15" hidden="1">
      <c r="A7405" s="25">
        <f t="shared" si="27"/>
        <v>202207</v>
      </c>
      <c r="B7405" s="6">
        <v>44747</v>
      </c>
      <c r="C7405" t="s">
        <v>2265</v>
      </c>
      <c r="D7405" t="s">
        <v>1955</v>
      </c>
      <c r="E7405">
        <f t="shared" si="24"/>
        <v>45.35</v>
      </c>
      <c r="F7405" s="2" t="str">
        <f>IF(Table2[[#This Row],[Manual Cat Value]]="",VLOOKUP(Table2[[#This Row],[Description]],'Actuals Lookup'!D:F,3,0),Table2[[#This Row],[Manual Cat Value]])</f>
        <v>Shopping</v>
      </c>
      <c r="G7405" t="str">
        <f>VLOOKUP(D7405,Lookup!G:H,2,0)</f>
        <v>Shopping</v>
      </c>
      <c r="J7405">
        <v>45.35</v>
      </c>
      <c r="K7405" s="6"/>
      <c r="L7405" s="6"/>
      <c r="M7405" t="s">
        <v>2513</v>
      </c>
      <c r="O7405" t="str">
        <f>LEFT(Table2[[#This Row],[Description]],75)</f>
        <v>Transfer to PayPal</v>
      </c>
    </row>
    <row r="7406" spans="1:15" hidden="1">
      <c r="A7406" s="25">
        <f t="shared" si="27"/>
        <v>202207</v>
      </c>
      <c r="B7406" s="6">
        <v>44747</v>
      </c>
      <c r="C7406" t="s">
        <v>2265</v>
      </c>
      <c r="D7406" t="s">
        <v>2204</v>
      </c>
      <c r="E7406">
        <f t="shared" si="24"/>
        <v>3035.15</v>
      </c>
      <c r="F7406" s="2" t="e">
        <f>IF(Table2[[#This Row],[Manual Cat Value]]="",VLOOKUP(Table2[[#This Row],[Description]],'Actuals Lookup'!D:F,3,0),Table2[[#This Row],[Manual Cat Value]])</f>
        <v>#N/A</v>
      </c>
      <c r="G7406" t="str">
        <f>VLOOKUP(D7406,Lookup!G:H,2,0)</f>
        <v>Delete</v>
      </c>
      <c r="J7406">
        <v>3035.15</v>
      </c>
      <c r="K7406" s="6"/>
      <c r="L7406" s="6"/>
      <c r="M7406" t="s">
        <v>2513</v>
      </c>
      <c r="O7406" t="str">
        <f>LEFT(Table2[[#This Row],[Description]],75)</f>
        <v>Withdrawal Home Pmt to card XX91</v>
      </c>
    </row>
    <row r="7407" spans="1:15" hidden="1">
      <c r="A7407" s="25">
        <f t="shared" si="27"/>
        <v>202207</v>
      </c>
      <c r="B7407" s="6">
        <v>44747</v>
      </c>
      <c r="C7407" t="s">
        <v>2262</v>
      </c>
      <c r="D7407" t="s">
        <v>1411</v>
      </c>
      <c r="E7407">
        <f t="shared" si="24"/>
        <v>-3035.15</v>
      </c>
      <c r="F7407" s="2" t="e">
        <f>IF(Table2[[#This Row],[Manual Cat Value]]="",VLOOKUP(Table2[[#This Row],[Description]],'Actuals Lookup'!D:F,3,0),Table2[[#This Row],[Manual Cat Value]])</f>
        <v>#N/A</v>
      </c>
      <c r="G7407" t="str">
        <f>VLOOKUP(D7407,Lookup!G:H,2,0)</f>
        <v>Delete</v>
      </c>
      <c r="J7407">
        <v>3035.15</v>
      </c>
      <c r="K7407" s="6"/>
      <c r="L7407" s="6"/>
      <c r="M7407" t="s">
        <v>2621</v>
      </c>
      <c r="O7407" t="str">
        <f>LEFT(Table2[[#This Row],[Description]],75)</f>
        <v>PAYMENT  THANK YOU</v>
      </c>
    </row>
    <row r="7408" spans="1:15" hidden="1">
      <c r="A7408" s="25">
        <f>VALUE(YEAR(Table2[[#This Row],[Date]])&amp;TEXT(MONTH(Table2[[#This Row],[Date]]),"00"))</f>
        <v>202207</v>
      </c>
      <c r="B7408" s="6">
        <v>44747</v>
      </c>
      <c r="C7408" t="s">
        <v>2262</v>
      </c>
      <c r="D7408" t="s">
        <v>1411</v>
      </c>
      <c r="E7408">
        <f t="shared" ref="E7408:E7439" si="28">IF(M7408="credit",-1*J7408,J7408)</f>
        <v>-3035.15</v>
      </c>
      <c r="F7408" s="2" t="str">
        <f>IF(Table2[[#This Row],[Manual Cat Value]]="",VLOOKUP(Table2[[#This Row],[Description]],'Actuals Lookup'!D:F,3,0),Table2[[#This Row],[Manual Cat Value]])</f>
        <v>Delete</v>
      </c>
      <c r="G7408" t="str">
        <f>VLOOKUP(D7408,Lookup!G:H,2,0)</f>
        <v>Delete</v>
      </c>
      <c r="H7408" s="8" t="s">
        <v>9</v>
      </c>
      <c r="J7408">
        <v>3035.15</v>
      </c>
      <c r="M7408" t="s">
        <v>2621</v>
      </c>
      <c r="O7408" t="str">
        <f>LEFT(Table2[[#This Row],[Description]],75)</f>
        <v>PAYMENT  THANK YOU</v>
      </c>
    </row>
    <row r="7409" spans="1:15" ht="30" hidden="1">
      <c r="A7409" s="25">
        <f t="shared" ref="A7409:A7416" si="29">VALUE(YEAR(B7409)&amp;TEXT(MONTH(B7409),"00"))</f>
        <v>202207</v>
      </c>
      <c r="B7409" s="6">
        <v>44748</v>
      </c>
      <c r="C7409" t="s">
        <v>2447</v>
      </c>
      <c r="D7409" s="7" t="s">
        <v>126</v>
      </c>
      <c r="E7409">
        <f t="shared" si="28"/>
        <v>21.85</v>
      </c>
      <c r="F7409" s="2" t="e">
        <f>IF(Table2[[#This Row],[Manual Cat Value]]="",VLOOKUP(Table2[[#This Row],[Description]],'Actuals Lookup'!D:F,3,0),Table2[[#This Row],[Manual Cat Value]])</f>
        <v>#N/A</v>
      </c>
      <c r="G7409" t="str">
        <f>VLOOKUP(D7409,Lookup!G:H,2,0)</f>
        <v>Amazon</v>
      </c>
      <c r="J7409">
        <v>21.85</v>
      </c>
      <c r="K7409" s="6"/>
      <c r="L7409" s="6"/>
      <c r="M7409" t="s">
        <v>2513</v>
      </c>
      <c r="O7409" t="str">
        <f>LEFT(Table2[[#This Row],[Description]],75)</f>
        <v>AMAZON.COM*SP3JO0OO3 AMZN.COM/BILLWA
3KVG0MU99Y7</v>
      </c>
    </row>
    <row r="7410" spans="1:15" hidden="1">
      <c r="A7410" s="25">
        <f t="shared" si="29"/>
        <v>202207</v>
      </c>
      <c r="B7410" s="6">
        <v>44748</v>
      </c>
      <c r="C7410" t="s">
        <v>2262</v>
      </c>
      <c r="D7410" t="s">
        <v>200</v>
      </c>
      <c r="E7410">
        <f t="shared" si="28"/>
        <v>63.2</v>
      </c>
      <c r="F7410" s="2" t="e">
        <f>IF(Table2[[#This Row],[Manual Cat Value]]="",VLOOKUP(Table2[[#This Row],[Description]],'Actuals Lookup'!D:F,3,0),Table2[[#This Row],[Manual Cat Value]])</f>
        <v>#N/A</v>
      </c>
      <c r="G7410" t="str">
        <f>VLOOKUP(D7410,Lookup!G:H,2,0)</f>
        <v>Shopping</v>
      </c>
      <c r="J7410">
        <v>63.2</v>
      </c>
      <c r="K7410" s="6"/>
      <c r="L7410" s="6"/>
      <c r="M7410" t="s">
        <v>2513</v>
      </c>
      <c r="O7410" t="str">
        <f>LEFT(Table2[[#This Row],[Description]],75)</f>
        <v>BANANA REPUBLIC ONLINE  88827789</v>
      </c>
    </row>
    <row r="7411" spans="1:15" hidden="1">
      <c r="A7411" s="25">
        <f t="shared" si="29"/>
        <v>202207</v>
      </c>
      <c r="B7411" s="6">
        <v>44748</v>
      </c>
      <c r="C7411" t="s">
        <v>2447</v>
      </c>
      <c r="D7411" t="s">
        <v>292</v>
      </c>
      <c r="E7411">
        <f t="shared" si="28"/>
        <v>128.22999999999999</v>
      </c>
      <c r="F7411" s="2" t="e">
        <f>IF(Table2[[#This Row],[Manual Cat Value]]="",VLOOKUP(Table2[[#This Row],[Description]],'Actuals Lookup'!D:F,3,0),Table2[[#This Row],[Manual Cat Value]])</f>
        <v>#N/A</v>
      </c>
      <c r="G7411" t="str">
        <f>VLOOKUP(D7411,Lookup!G:H,2,0)</f>
        <v>Restaurants</v>
      </c>
      <c r="J7411">
        <v>128.22999999999999</v>
      </c>
      <c r="K7411" s="6"/>
      <c r="L7411" s="6"/>
      <c r="M7411" t="s">
        <v>2513</v>
      </c>
      <c r="O7411" t="str">
        <f>LEFT(Table2[[#This Row],[Description]],75)</f>
        <v>BIRCHS ON THE LAKE LONG LAKE MN</v>
      </c>
    </row>
    <row r="7412" spans="1:15" hidden="1">
      <c r="A7412" s="25">
        <f t="shared" si="29"/>
        <v>202207</v>
      </c>
      <c r="B7412" s="6">
        <v>44748</v>
      </c>
      <c r="C7412" t="s">
        <v>2265</v>
      </c>
      <c r="D7412" t="s">
        <v>1195</v>
      </c>
      <c r="E7412">
        <f t="shared" si="28"/>
        <v>536.5</v>
      </c>
      <c r="F7412" s="2" t="e">
        <f>IF(Table2[[#This Row],[Manual Cat Value]]="",VLOOKUP(Table2[[#This Row],[Description]],'Actuals Lookup'!D:F,3,0),Table2[[#This Row],[Manual Cat Value]])</f>
        <v>#N/A</v>
      </c>
      <c r="G7412" t="str">
        <f>VLOOKUP(D7412,Lookup!G:H,2,0)</f>
        <v>Day Care</v>
      </c>
      <c r="J7412">
        <v>536.5</v>
      </c>
      <c r="K7412" s="6"/>
      <c r="L7412" s="6"/>
      <c r="M7412" t="s">
        <v>2513</v>
      </c>
      <c r="O7412" t="str">
        <f>LEFT(Table2[[#This Row],[Description]],75)</f>
        <v>MHCHILDCARELLC TYPE DUES ID CO M</v>
      </c>
    </row>
    <row r="7413" spans="1:15" hidden="1">
      <c r="A7413" s="25">
        <f t="shared" si="29"/>
        <v>202207</v>
      </c>
      <c r="B7413" s="6">
        <v>44748</v>
      </c>
      <c r="C7413" t="s">
        <v>2262</v>
      </c>
      <c r="D7413" t="s">
        <v>1409</v>
      </c>
      <c r="E7413">
        <f t="shared" si="28"/>
        <v>138</v>
      </c>
      <c r="F7413" s="2" t="e">
        <f>IF(Table2[[#This Row],[Manual Cat Value]]="",VLOOKUP(Table2[[#This Row],[Description]],'Actuals Lookup'!D:F,3,0),Table2[[#This Row],[Manual Cat Value]])</f>
        <v>#N/A</v>
      </c>
      <c r="G7413" t="str">
        <f>VLOOKUP(D7413,Lookup!G:H,2,0)</f>
        <v>shopping</v>
      </c>
      <c r="J7413">
        <v>138</v>
      </c>
      <c r="K7413" s="6"/>
      <c r="L7413" s="6"/>
      <c r="M7413" t="s">
        <v>2513</v>
      </c>
      <c r="O7413" t="str">
        <f>LEFT(Table2[[#This Row],[Description]],75)</f>
        <v>Patagonia Direct Inc    80063864</v>
      </c>
    </row>
    <row r="7414" spans="1:15" hidden="1">
      <c r="A7414" s="25">
        <f t="shared" si="29"/>
        <v>202207</v>
      </c>
      <c r="B7414" s="6">
        <v>44748</v>
      </c>
      <c r="C7414" t="s">
        <v>2262</v>
      </c>
      <c r="D7414" t="s">
        <v>1771</v>
      </c>
      <c r="E7414">
        <f t="shared" si="28"/>
        <v>25</v>
      </c>
      <c r="F7414" s="2" t="e">
        <f>IF(Table2[[#This Row],[Manual Cat Value]]="",VLOOKUP(Table2[[#This Row],[Description]],'Actuals Lookup'!D:F,3,0),Table2[[#This Row],[Manual Cat Value]])</f>
        <v>#N/A</v>
      </c>
      <c r="G7414" t="str">
        <f>VLOOKUP(D7414,Lookup!G:H,2,0)</f>
        <v>Entertainment</v>
      </c>
      <c r="J7414">
        <v>25</v>
      </c>
      <c r="K7414" s="6"/>
      <c r="L7414" s="6"/>
      <c r="M7414" t="s">
        <v>2513</v>
      </c>
      <c r="O7414" t="str">
        <f>LEFT(Table2[[#This Row],[Description]],75)</f>
        <v>ST CROIX FALLS CINEMA    ST CROI</v>
      </c>
    </row>
    <row r="7415" spans="1:15" hidden="1">
      <c r="A7415" s="25">
        <f t="shared" si="29"/>
        <v>202207</v>
      </c>
      <c r="B7415" s="6">
        <v>44748</v>
      </c>
      <c r="C7415" t="s">
        <v>2262</v>
      </c>
      <c r="D7415" t="s">
        <v>1921</v>
      </c>
      <c r="E7415">
        <f t="shared" si="28"/>
        <v>128.41999999999999</v>
      </c>
      <c r="F7415" s="2" t="e">
        <f>IF(Table2[[#This Row],[Manual Cat Value]]="",VLOOKUP(Table2[[#This Row],[Description]],'Actuals Lookup'!D:F,3,0),Table2[[#This Row],[Manual Cat Value]])</f>
        <v>#N/A</v>
      </c>
      <c r="G7415" t="str">
        <f>VLOOKUP(D7415,Lookup!G:H,2,0)</f>
        <v>Groceries</v>
      </c>
      <c r="J7415">
        <v>128.41999999999999</v>
      </c>
      <c r="K7415" s="6"/>
      <c r="L7415" s="6"/>
      <c r="M7415" t="s">
        <v>2513</v>
      </c>
      <c r="O7415" t="str">
        <f>LEFT(Table2[[#This Row],[Description]],75)</f>
        <v>TOP TEN LIQUORS          CHANHAS</v>
      </c>
    </row>
    <row r="7416" spans="1:15" hidden="1">
      <c r="A7416" s="25">
        <f t="shared" si="29"/>
        <v>202207</v>
      </c>
      <c r="B7416" s="6">
        <v>44748</v>
      </c>
      <c r="C7416" t="s">
        <v>2447</v>
      </c>
      <c r="D7416" t="s">
        <v>997</v>
      </c>
      <c r="E7416">
        <f t="shared" si="28"/>
        <v>-982.04</v>
      </c>
      <c r="F7416" s="2" t="str">
        <f>IF(Table2[[#This Row],[Manual Cat Value]]="",VLOOKUP(Table2[[#This Row],[Description]],'Actuals Lookup'!D:F,3,0),Table2[[#This Row],[Manual Cat Value]])</f>
        <v>Delete</v>
      </c>
      <c r="G7416" t="str">
        <f>VLOOKUP(D7416,Lookup!G:H,2,0)</f>
        <v>Delete</v>
      </c>
      <c r="J7416">
        <v>982.04</v>
      </c>
      <c r="K7416" s="6"/>
      <c r="L7416" s="6"/>
      <c r="M7416" t="s">
        <v>2621</v>
      </c>
      <c r="O7416" t="str">
        <f>LEFT(Table2[[#This Row],[Description]],75)</f>
        <v>INTERNET PAYMENT - THANK YOU</v>
      </c>
    </row>
    <row r="7417" spans="1:15" hidden="1">
      <c r="A7417" s="25">
        <f>VALUE(YEAR(Table2[[#This Row],[Date]])&amp;TEXT(MONTH(Table2[[#This Row],[Date]]),"00"))</f>
        <v>202207</v>
      </c>
      <c r="B7417" s="6">
        <v>44748</v>
      </c>
      <c r="C7417" t="s">
        <v>2447</v>
      </c>
      <c r="D7417" t="s">
        <v>997</v>
      </c>
      <c r="E7417">
        <f t="shared" si="28"/>
        <v>-982.04</v>
      </c>
      <c r="F7417" s="2" t="str">
        <f>IF(Table2[[#This Row],[Manual Cat Value]]="",VLOOKUP(Table2[[#This Row],[Description]],'Actuals Lookup'!D:F,3,0),Table2[[#This Row],[Manual Cat Value]])</f>
        <v>Delete</v>
      </c>
      <c r="G7417" t="str">
        <f>VLOOKUP(D7417,Lookup!G:H,2,0)</f>
        <v>Delete</v>
      </c>
      <c r="H7417" s="8" t="s">
        <v>9</v>
      </c>
      <c r="J7417">
        <v>982.04</v>
      </c>
      <c r="M7417" t="s">
        <v>2621</v>
      </c>
      <c r="O7417" t="str">
        <f>LEFT(Table2[[#This Row],[Description]],75)</f>
        <v>INTERNET PAYMENT - THANK YOU</v>
      </c>
    </row>
    <row r="7418" spans="1:15" hidden="1">
      <c r="A7418" s="25">
        <f>VALUE(YEAR(B7418)&amp;TEXT(MONTH(B7418),"00"))</f>
        <v>202207</v>
      </c>
      <c r="B7418" s="6">
        <v>44749</v>
      </c>
      <c r="C7418" t="s">
        <v>2262</v>
      </c>
      <c r="D7418" t="s">
        <v>184</v>
      </c>
      <c r="E7418">
        <f t="shared" si="28"/>
        <v>167.08</v>
      </c>
      <c r="F7418" s="2" t="e">
        <f>IF(Table2[[#This Row],[Manual Cat Value]]="",VLOOKUP(Table2[[#This Row],[Description]],'Actuals Lookup'!D:F,3,0),Table2[[#This Row],[Manual Cat Value]])</f>
        <v>#N/A</v>
      </c>
      <c r="G7418" t="str">
        <f>VLOOKUP(D7418,Lookup!G:H,2,0)</f>
        <v>Shopping</v>
      </c>
      <c r="J7418">
        <v>167.08</v>
      </c>
      <c r="K7418" s="6"/>
      <c r="L7418" s="6"/>
      <c r="M7418" t="s">
        <v>2513</v>
      </c>
      <c r="O7418" t="str">
        <f>LEFT(Table2[[#This Row],[Description]],75)</f>
        <v>ATT W318 58845          CHANHASS</v>
      </c>
    </row>
    <row r="7419" spans="1:15" hidden="1">
      <c r="A7419" s="25">
        <f>VALUE(YEAR(B7419)&amp;TEXT(MONTH(B7419),"00"))</f>
        <v>202207</v>
      </c>
      <c r="B7419" s="6">
        <v>44749</v>
      </c>
      <c r="C7419" t="s">
        <v>2262</v>
      </c>
      <c r="D7419" t="s">
        <v>320</v>
      </c>
      <c r="E7419">
        <f t="shared" si="28"/>
        <v>10</v>
      </c>
      <c r="F7419" s="2" t="e">
        <f>IF(Table2[[#This Row],[Manual Cat Value]]="",VLOOKUP(Table2[[#This Row],[Description]],'Actuals Lookup'!D:F,3,0),Table2[[#This Row],[Manual Cat Value]])</f>
        <v>#N/A</v>
      </c>
      <c r="G7419" t="str">
        <f>VLOOKUP(D7419,Lookup!G:H,2,0)</f>
        <v>Transportation</v>
      </c>
      <c r="J7419">
        <v>10</v>
      </c>
      <c r="K7419" s="6"/>
      <c r="L7419" s="6"/>
      <c r="M7419" t="s">
        <v>2513</v>
      </c>
      <c r="O7419" t="str">
        <f>LEFT(Table2[[#This Row],[Description]],75)</f>
        <v>BROWNS CAR WASH          CHANHAS</v>
      </c>
    </row>
    <row r="7420" spans="1:15" hidden="1">
      <c r="A7420" s="25">
        <f>VALUE(YEAR(B7420)&amp;TEXT(MONTH(B7420),"00"))</f>
        <v>202207</v>
      </c>
      <c r="B7420" s="6">
        <v>44749</v>
      </c>
      <c r="C7420" t="s">
        <v>2265</v>
      </c>
      <c r="D7420" t="s">
        <v>426</v>
      </c>
      <c r="E7420">
        <f t="shared" si="28"/>
        <v>-75</v>
      </c>
      <c r="F7420" s="2" t="e">
        <f>IF(Table2[[#This Row],[Manual Cat Value]]="",VLOOKUP(Table2[[#This Row],[Description]],'Actuals Lookup'!D:F,3,0),Table2[[#This Row],[Manual Cat Value]])</f>
        <v>#N/A</v>
      </c>
      <c r="G7420" t="str">
        <f>VLOOKUP(D7420,Lookup!G:H,2,0)</f>
        <v>Inc - Britney</v>
      </c>
      <c r="J7420">
        <v>75</v>
      </c>
      <c r="K7420" s="6"/>
      <c r="L7420" s="6"/>
      <c r="M7420" t="s">
        <v>2621</v>
      </c>
      <c r="O7420" t="str">
        <f>LEFT(Table2[[#This Row],[Description]],75)</f>
        <v>CARGILL INCORPOR TYPE   ID  CO C</v>
      </c>
    </row>
    <row r="7421" spans="1:15" hidden="1">
      <c r="A7421" s="25">
        <f>VALUE(YEAR(Table2[[#This Row],[Date]])&amp;TEXT(MONTH(Table2[[#This Row],[Date]]),"00"))</f>
        <v>202207</v>
      </c>
      <c r="B7421" s="6">
        <v>44749</v>
      </c>
      <c r="C7421" t="s">
        <v>2265</v>
      </c>
      <c r="D7421" t="s">
        <v>426</v>
      </c>
      <c r="E7421">
        <f t="shared" si="28"/>
        <v>-75</v>
      </c>
      <c r="F7421" s="2" t="str">
        <f>IF(Table2[[#This Row],[Manual Cat Value]]="",VLOOKUP(Table2[[#This Row],[Description]],'Actuals Lookup'!D:F,3,0),Table2[[#This Row],[Manual Cat Value]])</f>
        <v>Inc - Britney</v>
      </c>
      <c r="G7421" t="str">
        <f>VLOOKUP(D7421,Lookup!G:H,2,0)</f>
        <v>Inc - Britney</v>
      </c>
      <c r="H7421" s="8" t="s">
        <v>65</v>
      </c>
      <c r="J7421">
        <v>75</v>
      </c>
      <c r="M7421" t="s">
        <v>2621</v>
      </c>
      <c r="O7421" t="str">
        <f>LEFT(Table2[[#This Row],[Description]],75)</f>
        <v>CARGILL INCORPOR TYPE   ID  CO C</v>
      </c>
    </row>
    <row r="7422" spans="1:15" hidden="1">
      <c r="A7422" s="25">
        <f>VALUE(YEAR(B7422)&amp;TEXT(MONTH(B7422),"00"))</f>
        <v>202207</v>
      </c>
      <c r="B7422" s="6">
        <v>44749</v>
      </c>
      <c r="C7422" t="s">
        <v>2265</v>
      </c>
      <c r="D7422" t="s">
        <v>427</v>
      </c>
      <c r="E7422">
        <f t="shared" si="28"/>
        <v>-2448.7399999999998</v>
      </c>
      <c r="F7422" s="2" t="e">
        <f>IF(Table2[[#This Row],[Manual Cat Value]]="",VLOOKUP(Table2[[#This Row],[Description]],'Actuals Lookup'!D:F,3,0),Table2[[#This Row],[Manual Cat Value]])</f>
        <v>#N/A</v>
      </c>
      <c r="G7422" t="str">
        <f>VLOOKUP(D7422,Lookup!G:H,2,0)</f>
        <v>Inc - Britney</v>
      </c>
      <c r="J7422">
        <v>2448.7399999999998</v>
      </c>
      <c r="K7422" s="6"/>
      <c r="L7422" s="6"/>
      <c r="M7422" t="s">
        <v>2621</v>
      </c>
      <c r="O7422" t="str">
        <f>LEFT(Table2[[#This Row],[Description]],75)</f>
        <v>CARGILL INCORPOR TYPE DIRECT DEP</v>
      </c>
    </row>
    <row r="7423" spans="1:15" hidden="1">
      <c r="A7423" s="25">
        <f>VALUE(YEAR(Table2[[#This Row],[Date]])&amp;TEXT(MONTH(Table2[[#This Row],[Date]]),"00"))</f>
        <v>202207</v>
      </c>
      <c r="B7423" s="6">
        <v>44749</v>
      </c>
      <c r="C7423" t="s">
        <v>2265</v>
      </c>
      <c r="D7423" t="s">
        <v>427</v>
      </c>
      <c r="E7423">
        <f t="shared" si="28"/>
        <v>-2448.7399999999998</v>
      </c>
      <c r="F7423" s="2" t="str">
        <f>IF(Table2[[#This Row],[Manual Cat Value]]="",VLOOKUP(Table2[[#This Row],[Description]],'Actuals Lookup'!D:F,3,0),Table2[[#This Row],[Manual Cat Value]])</f>
        <v>Inc - Britney</v>
      </c>
      <c r="G7423" t="str">
        <f>VLOOKUP(D7423,Lookup!G:H,2,0)</f>
        <v>Inc - Britney</v>
      </c>
      <c r="H7423" s="8" t="s">
        <v>65</v>
      </c>
      <c r="J7423">
        <v>2448.7399999999998</v>
      </c>
      <c r="M7423" t="s">
        <v>2621</v>
      </c>
      <c r="O7423" t="str">
        <f>LEFT(Table2[[#This Row],[Description]],75)</f>
        <v>CARGILL INCORPOR TYPE DIRECT DEP</v>
      </c>
    </row>
    <row r="7424" spans="1:15" hidden="1">
      <c r="A7424" s="25">
        <f t="shared" ref="A7424:A7463" si="30">VALUE(YEAR(B7424)&amp;TEXT(MONTH(B7424),"00"))</f>
        <v>202207</v>
      </c>
      <c r="B7424" s="6">
        <v>44749</v>
      </c>
      <c r="C7424" t="s">
        <v>2262</v>
      </c>
      <c r="D7424" t="s">
        <v>824</v>
      </c>
      <c r="E7424">
        <f t="shared" si="28"/>
        <v>77.72</v>
      </c>
      <c r="F7424" s="2" t="e">
        <f>IF(Table2[[#This Row],[Manual Cat Value]]="",VLOOKUP(Table2[[#This Row],[Description]],'Actuals Lookup'!D:F,3,0),Table2[[#This Row],[Manual Cat Value]])</f>
        <v>#N/A</v>
      </c>
      <c r="G7424" t="str">
        <f>VLOOKUP(D7424,Lookup!G:H,2,0)</f>
        <v>Shopping</v>
      </c>
      <c r="J7424">
        <v>77.72</v>
      </c>
      <c r="K7424" s="6"/>
      <c r="L7424" s="6"/>
      <c r="M7424" t="s">
        <v>2513</v>
      </c>
      <c r="O7424" t="str">
        <f>LEFT(Table2[[#This Row],[Description]],75)</f>
        <v>Etsycom  TwoBeesBabyBou718855795</v>
      </c>
    </row>
    <row r="7425" spans="1:15" hidden="1">
      <c r="A7425" s="25">
        <f t="shared" si="30"/>
        <v>202207</v>
      </c>
      <c r="B7425" s="6">
        <v>44749</v>
      </c>
      <c r="C7425" t="s">
        <v>2265</v>
      </c>
      <c r="D7425" t="s">
        <v>1464</v>
      </c>
      <c r="E7425">
        <f t="shared" si="28"/>
        <v>982.04</v>
      </c>
      <c r="F7425" s="2" t="str">
        <f>IF(Table2[[#This Row],[Manual Cat Value]]="",VLOOKUP(Table2[[#This Row],[Description]],'Actuals Lookup'!D:F,3,0),Table2[[#This Row],[Manual Cat Value]])</f>
        <v>Delete</v>
      </c>
      <c r="G7425" t="str">
        <f>VLOOKUP(D7425,Lookup!G:H,2,0)</f>
        <v>Delete</v>
      </c>
      <c r="J7425">
        <v>982.04</v>
      </c>
      <c r="K7425" s="6"/>
      <c r="L7425" s="6"/>
      <c r="M7425" t="s">
        <v>2513</v>
      </c>
      <c r="O7425" t="str">
        <f>LEFT(Table2[[#This Row],[Description]],75)</f>
        <v>Payment to Discover Bank</v>
      </c>
    </row>
    <row r="7426" spans="1:15" hidden="1">
      <c r="A7426" s="25">
        <f t="shared" si="30"/>
        <v>202207</v>
      </c>
      <c r="B7426" s="6">
        <v>44749</v>
      </c>
      <c r="C7426" t="s">
        <v>2265</v>
      </c>
      <c r="D7426" t="s">
        <v>1470</v>
      </c>
      <c r="E7426">
        <f t="shared" si="28"/>
        <v>168.62</v>
      </c>
      <c r="F7426" s="2" t="str">
        <f>IF(Table2[[#This Row],[Manual Cat Value]]="",VLOOKUP(Table2[[#This Row],[Description]],'Actuals Lookup'!D:F,3,0),Table2[[#This Row],[Manual Cat Value]])</f>
        <v>Utilities</v>
      </c>
      <c r="G7426" t="str">
        <f>VLOOKUP(D7426,Lookup!G:H,2,0)</f>
        <v>Utilities</v>
      </c>
      <c r="J7426">
        <v>168.62</v>
      </c>
      <c r="K7426" s="6"/>
      <c r="L7426" s="6"/>
      <c r="M7426" t="s">
        <v>2513</v>
      </c>
      <c r="O7426" t="str">
        <f>LEFT(Table2[[#This Row],[Description]],75)</f>
        <v>Payment to Xcel Energy</v>
      </c>
    </row>
    <row r="7427" spans="1:15" hidden="1">
      <c r="A7427" s="25">
        <f t="shared" si="30"/>
        <v>202207</v>
      </c>
      <c r="B7427" s="6">
        <v>44750</v>
      </c>
      <c r="C7427" t="s">
        <v>2265</v>
      </c>
      <c r="D7427" t="s">
        <v>84</v>
      </c>
      <c r="E7427">
        <f t="shared" si="28"/>
        <v>34.630000000000003</v>
      </c>
      <c r="F7427" s="2" t="e">
        <f>IF(Table2[[#This Row],[Manual Cat Value]]="",VLOOKUP(Table2[[#This Row],[Description]],'Actuals Lookup'!D:F,3,0),Table2[[#This Row],[Manual Cat Value]])</f>
        <v>#N/A</v>
      </c>
      <c r="G7427" t="str">
        <f>VLOOKUP(D7427,Lookup!G:H,2,0)</f>
        <v>Groceries</v>
      </c>
      <c r="J7427">
        <v>34.630000000000003</v>
      </c>
      <c r="K7427" s="6"/>
      <c r="L7427" s="6"/>
      <c r="M7427" t="s">
        <v>2513</v>
      </c>
      <c r="O7427" t="str">
        <f>LEFT(Table2[[#This Row],[Description]],75)</f>
        <v>49 WINCO FOODS 160 2913 Max Aven</v>
      </c>
    </row>
    <row r="7428" spans="1:15" hidden="1">
      <c r="A7428" s="25">
        <f t="shared" si="30"/>
        <v>202207</v>
      </c>
      <c r="B7428" s="6">
        <v>44750</v>
      </c>
      <c r="C7428" t="s">
        <v>2262</v>
      </c>
      <c r="D7428" t="s">
        <v>308</v>
      </c>
      <c r="E7428">
        <f t="shared" si="28"/>
        <v>283</v>
      </c>
      <c r="F7428" s="2" t="e">
        <f>IF(Table2[[#This Row],[Manual Cat Value]]="",VLOOKUP(Table2[[#This Row],[Description]],'Actuals Lookup'!D:F,3,0),Table2[[#This Row],[Manual Cat Value]])</f>
        <v>#N/A</v>
      </c>
      <c r="G7428" t="str">
        <f>VLOOKUP(D7428,Lookup!G:H,2,0)</f>
        <v>House Maintenance</v>
      </c>
      <c r="J7428">
        <v>283</v>
      </c>
      <c r="K7428" s="6"/>
      <c r="L7428" s="6"/>
      <c r="M7428" t="s">
        <v>2513</v>
      </c>
      <c r="O7428" t="str">
        <f>LEFT(Table2[[#This Row],[Description]],75)</f>
        <v>BONFES PLUMBING HEATING A6513326</v>
      </c>
    </row>
    <row r="7429" spans="1:15" hidden="1">
      <c r="A7429" s="25">
        <f t="shared" si="30"/>
        <v>202207</v>
      </c>
      <c r="B7429" s="6">
        <v>44750</v>
      </c>
      <c r="C7429" t="s">
        <v>2262</v>
      </c>
      <c r="D7429" t="s">
        <v>943</v>
      </c>
      <c r="E7429">
        <f t="shared" si="28"/>
        <v>60.36</v>
      </c>
      <c r="F7429" s="2" t="e">
        <f>IF(Table2[[#This Row],[Manual Cat Value]]="",VLOOKUP(Table2[[#This Row],[Description]],'Actuals Lookup'!D:F,3,0),Table2[[#This Row],[Manual Cat Value]])</f>
        <v>#N/A</v>
      </c>
      <c r="G7429" t="str">
        <f>VLOOKUP(D7429,Lookup!G:H,2,0)</f>
        <v>transportation</v>
      </c>
      <c r="J7429">
        <v>60.36</v>
      </c>
      <c r="K7429" s="6"/>
      <c r="L7429" s="6"/>
      <c r="M7429" t="s">
        <v>2513</v>
      </c>
      <c r="O7429" t="str">
        <f>LEFT(Table2[[#This Row],[Description]],75)</f>
        <v>HOLIDAY STATIONS 0360    VICTORI</v>
      </c>
    </row>
    <row r="7430" spans="1:15" hidden="1">
      <c r="A7430" s="25">
        <f t="shared" si="30"/>
        <v>202207</v>
      </c>
      <c r="B7430" s="6">
        <v>44750</v>
      </c>
      <c r="C7430" t="s">
        <v>2262</v>
      </c>
      <c r="D7430" t="s">
        <v>1708</v>
      </c>
      <c r="E7430">
        <f t="shared" si="28"/>
        <v>52.62</v>
      </c>
      <c r="F7430" s="2" t="e">
        <f>IF(Table2[[#This Row],[Manual Cat Value]]="",VLOOKUP(Table2[[#This Row],[Description]],'Actuals Lookup'!D:F,3,0),Table2[[#This Row],[Manual Cat Value]])</f>
        <v>#N/A</v>
      </c>
      <c r="G7430" t="str">
        <f>VLOOKUP(D7430,Lookup!G:H,2,0)</f>
        <v>transportation</v>
      </c>
      <c r="J7430">
        <v>52.62</v>
      </c>
      <c r="K7430" s="6"/>
      <c r="L7430" s="6"/>
      <c r="M7430" t="s">
        <v>2513</v>
      </c>
      <c r="O7430" t="str">
        <f>LEFT(Table2[[#This Row],[Description]],75)</f>
        <v>SPEEDWAY 04159           EDEN PR</v>
      </c>
    </row>
    <row r="7431" spans="1:15" hidden="1">
      <c r="A7431" s="25">
        <f t="shared" si="30"/>
        <v>202207</v>
      </c>
      <c r="B7431" s="6">
        <v>44750</v>
      </c>
      <c r="C7431" t="s">
        <v>2262</v>
      </c>
      <c r="D7431" t="s">
        <v>1746</v>
      </c>
      <c r="E7431">
        <f t="shared" si="28"/>
        <v>75.17</v>
      </c>
      <c r="F7431" s="2" t="e">
        <f>IF(Table2[[#This Row],[Manual Cat Value]]="",VLOOKUP(Table2[[#This Row],[Description]],'Actuals Lookup'!D:F,3,0),Table2[[#This Row],[Manual Cat Value]])</f>
        <v>#N/A</v>
      </c>
      <c r="G7431" t="str">
        <f>VLOOKUP(D7431,Lookup!G:H,2,0)</f>
        <v>Shopping</v>
      </c>
      <c r="J7431">
        <v>75.17</v>
      </c>
      <c r="K7431" s="6"/>
      <c r="L7431" s="6"/>
      <c r="M7431" t="s">
        <v>2513</v>
      </c>
      <c r="O7431" t="str">
        <f>LEFT(Table2[[#This Row],[Description]],75)</f>
        <v>SQ NOTHING BUT HEMP     Chaska</v>
      </c>
    </row>
    <row r="7432" spans="1:15" hidden="1">
      <c r="A7432" s="25">
        <f t="shared" si="30"/>
        <v>202207</v>
      </c>
      <c r="B7432" s="6">
        <v>44751</v>
      </c>
      <c r="C7432" t="s">
        <v>2447</v>
      </c>
      <c r="D7432" t="s">
        <v>921</v>
      </c>
      <c r="E7432">
        <f t="shared" si="28"/>
        <v>49.53</v>
      </c>
      <c r="F7432" s="2" t="e">
        <f>IF(Table2[[#This Row],[Manual Cat Value]]="",VLOOKUP(Table2[[#This Row],[Description]],'Actuals Lookup'!D:F,3,0),Table2[[#This Row],[Manual Cat Value]])</f>
        <v>#N/A</v>
      </c>
      <c r="G7432" t="str">
        <f>VLOOKUP(D7432,Lookup!G:H,2,0)</f>
        <v>Restaurants</v>
      </c>
      <c r="J7432">
        <v>49.53</v>
      </c>
      <c r="K7432" s="6"/>
      <c r="L7432" s="6"/>
      <c r="M7432" t="s">
        <v>2513</v>
      </c>
      <c r="O7432" t="str">
        <f>LEFT(Table2[[#This Row],[Description]],75)</f>
        <v>HAZELWOOD FOOD &amp; DRINK - EXCELSIOR MN</v>
      </c>
    </row>
    <row r="7433" spans="1:15" hidden="1">
      <c r="A7433" s="25">
        <f t="shared" si="30"/>
        <v>202207</v>
      </c>
      <c r="B7433" s="6">
        <v>44752</v>
      </c>
      <c r="C7433" t="s">
        <v>2262</v>
      </c>
      <c r="D7433" t="s">
        <v>551</v>
      </c>
      <c r="E7433">
        <f t="shared" si="28"/>
        <v>84.77</v>
      </c>
      <c r="F7433" s="2" t="e">
        <f>IF(Table2[[#This Row],[Manual Cat Value]]="",VLOOKUP(Table2[[#This Row],[Description]],'Actuals Lookup'!D:F,3,0),Table2[[#This Row],[Manual Cat Value]])</f>
        <v>#N/A</v>
      </c>
      <c r="G7433" t="str">
        <f>VLOOKUP(D7433,Lookup!G:H,2,0)</f>
        <v>Shopping</v>
      </c>
      <c r="J7433">
        <v>84.77</v>
      </c>
      <c r="K7433" s="6"/>
      <c r="L7433" s="6"/>
      <c r="M7433" t="s">
        <v>2513</v>
      </c>
      <c r="O7433" t="str">
        <f>LEFT(Table2[[#This Row],[Description]],75)</f>
        <v>CHURCHILLS QUALITY CIGARSVICTORI</v>
      </c>
    </row>
    <row r="7434" spans="1:15" hidden="1">
      <c r="A7434" s="25">
        <f t="shared" si="30"/>
        <v>202207</v>
      </c>
      <c r="B7434" s="6">
        <v>44752</v>
      </c>
      <c r="C7434" t="s">
        <v>2262</v>
      </c>
      <c r="D7434" t="s">
        <v>1080</v>
      </c>
      <c r="E7434">
        <f t="shared" si="28"/>
        <v>29.21</v>
      </c>
      <c r="F7434" s="2" t="e">
        <f>IF(Table2[[#This Row],[Manual Cat Value]]="",VLOOKUP(Table2[[#This Row],[Description]],'Actuals Lookup'!D:F,3,0),Table2[[#This Row],[Manual Cat Value]])</f>
        <v>#N/A</v>
      </c>
      <c r="G7434" t="str">
        <f>VLOOKUP(D7434,Lookup!G:H,2,0)</f>
        <v>Groceries</v>
      </c>
      <c r="J7434">
        <v>29.21</v>
      </c>
      <c r="K7434" s="6"/>
      <c r="L7434" s="6"/>
      <c r="M7434" t="s">
        <v>2513</v>
      </c>
      <c r="O7434" t="str">
        <f>LEFT(Table2[[#This Row],[Description]],75)</f>
        <v>KOWALSKIS MARKET        EDEN PRA</v>
      </c>
    </row>
    <row r="7435" spans="1:15" hidden="1">
      <c r="A7435" s="25">
        <f t="shared" si="30"/>
        <v>202207</v>
      </c>
      <c r="B7435" s="6">
        <v>44752</v>
      </c>
      <c r="C7435" t="s">
        <v>2262</v>
      </c>
      <c r="D7435" t="s">
        <v>1169</v>
      </c>
      <c r="E7435">
        <f t="shared" si="28"/>
        <v>50.86</v>
      </c>
      <c r="F7435" s="2" t="e">
        <f>IF(Table2[[#This Row],[Manual Cat Value]]="",VLOOKUP(Table2[[#This Row],[Description]],'Actuals Lookup'!D:F,3,0),Table2[[#This Row],[Manual Cat Value]])</f>
        <v>#N/A</v>
      </c>
      <c r="G7435" t="str">
        <f>VLOOKUP(D7435,Lookup!G:H,2,0)</f>
        <v>transportation</v>
      </c>
      <c r="J7435">
        <v>50.86</v>
      </c>
      <c r="K7435" s="6"/>
      <c r="L7435" s="6"/>
      <c r="M7435" t="s">
        <v>2513</v>
      </c>
      <c r="O7435" t="str">
        <f>LEFT(Table2[[#This Row],[Description]],75)</f>
        <v>LYFT   1 RIDE 0708     LYFTCOM</v>
      </c>
    </row>
    <row r="7436" spans="1:15" hidden="1">
      <c r="A7436" s="25">
        <f t="shared" si="30"/>
        <v>202207</v>
      </c>
      <c r="B7436" s="6">
        <v>44752</v>
      </c>
      <c r="C7436" t="s">
        <v>2262</v>
      </c>
      <c r="D7436" t="s">
        <v>1313</v>
      </c>
      <c r="E7436">
        <f t="shared" si="28"/>
        <v>5.85</v>
      </c>
      <c r="F7436" s="2" t="e">
        <f>IF(Table2[[#This Row],[Manual Cat Value]]="",VLOOKUP(Table2[[#This Row],[Description]],'Actuals Lookup'!D:F,3,0),Table2[[#This Row],[Manual Cat Value]])</f>
        <v>#N/A</v>
      </c>
      <c r="G7436" t="str">
        <f>VLOOKUP(D7436,Lookup!G:H,2,0)</f>
        <v>misc</v>
      </c>
      <c r="J7436">
        <v>5.85</v>
      </c>
      <c r="K7436" s="6"/>
      <c r="L7436" s="6"/>
      <c r="M7436" t="s">
        <v>2513</v>
      </c>
      <c r="O7436" t="str">
        <f>LEFT(Table2[[#This Row],[Description]],75)</f>
        <v>MN DRIVER AND VEHICLE XXXXXX2973</v>
      </c>
    </row>
    <row r="7437" spans="1:15" hidden="1">
      <c r="A7437" s="25">
        <f t="shared" si="30"/>
        <v>202207</v>
      </c>
      <c r="B7437" s="6">
        <v>44752</v>
      </c>
      <c r="C7437" t="s">
        <v>2262</v>
      </c>
      <c r="D7437" t="s">
        <v>1313</v>
      </c>
      <c r="E7437">
        <f t="shared" si="28"/>
        <v>272.25</v>
      </c>
      <c r="F7437" s="2" t="str">
        <f>IF(Table2[[#This Row],[Manual Cat Value]]="",VLOOKUP(Table2[[#This Row],[Description]],'Actuals Lookup'!D:F,3,0),Table2[[#This Row],[Manual Cat Value]])</f>
        <v>Exp - Transportation</v>
      </c>
      <c r="G7437" t="str">
        <f>VLOOKUP(D7437,Lookup!G:H,2,0)</f>
        <v>misc</v>
      </c>
      <c r="H7437" s="8" t="s">
        <v>22</v>
      </c>
      <c r="J7437">
        <v>272.25</v>
      </c>
      <c r="K7437" s="6"/>
      <c r="L7437" s="6"/>
      <c r="M7437" t="s">
        <v>2513</v>
      </c>
      <c r="O7437" t="str">
        <f>LEFT(Table2[[#This Row],[Description]],75)</f>
        <v>MN DRIVER AND VEHICLE XXXXXX2973</v>
      </c>
    </row>
    <row r="7438" spans="1:15" hidden="1">
      <c r="A7438" s="25">
        <f t="shared" si="30"/>
        <v>202207</v>
      </c>
      <c r="B7438" s="6">
        <v>44752</v>
      </c>
      <c r="C7438" t="s">
        <v>2262</v>
      </c>
      <c r="D7438" t="s">
        <v>1339</v>
      </c>
      <c r="E7438">
        <f t="shared" si="28"/>
        <v>6.35</v>
      </c>
      <c r="F7438" s="2" t="e">
        <f>IF(Table2[[#This Row],[Manual Cat Value]]="",VLOOKUP(Table2[[#This Row],[Description]],'Actuals Lookup'!D:F,3,0),Table2[[#This Row],[Manual Cat Value]])</f>
        <v>#N/A</v>
      </c>
      <c r="G7438" t="str">
        <f>VLOOKUP(D7438,Lookup!G:H,2,0)</f>
        <v>travel</v>
      </c>
      <c r="J7438">
        <v>6.35</v>
      </c>
      <c r="K7438" s="6"/>
      <c r="L7438" s="6"/>
      <c r="M7438" t="s">
        <v>2513</v>
      </c>
      <c r="O7438" t="str">
        <f>LEFT(Table2[[#This Row],[Description]],75)</f>
        <v>MSP HUDSON ST2295        SAINT P</v>
      </c>
    </row>
    <row r="7439" spans="1:15" hidden="1">
      <c r="A7439" s="25">
        <f t="shared" si="30"/>
        <v>202207</v>
      </c>
      <c r="B7439" s="6">
        <v>44752</v>
      </c>
      <c r="C7439" t="s">
        <v>2262</v>
      </c>
      <c r="D7439" t="s">
        <v>1341</v>
      </c>
      <c r="E7439">
        <f t="shared" si="28"/>
        <v>23.01</v>
      </c>
      <c r="F7439" s="2" t="e">
        <f>IF(Table2[[#This Row],[Manual Cat Value]]="",VLOOKUP(Table2[[#This Row],[Description]],'Actuals Lookup'!D:F,3,0),Table2[[#This Row],[Manual Cat Value]])</f>
        <v>#N/A</v>
      </c>
      <c r="G7439" t="str">
        <f>VLOOKUP(D7439,Lookup!G:H,2,0)</f>
        <v>Restaurants</v>
      </c>
      <c r="J7439">
        <v>23.01</v>
      </c>
      <c r="K7439" s="6"/>
      <c r="L7439" s="6"/>
      <c r="M7439" t="s">
        <v>2513</v>
      </c>
      <c r="O7439" t="str">
        <f>LEFT(Table2[[#This Row],[Description]],75)</f>
        <v>MSP REPUBLIC BARD 6751200SAINT P</v>
      </c>
    </row>
    <row r="7440" spans="1:15" hidden="1">
      <c r="A7440" s="25">
        <f t="shared" si="30"/>
        <v>202207</v>
      </c>
      <c r="B7440" s="6">
        <v>44752</v>
      </c>
      <c r="C7440" t="s">
        <v>2262</v>
      </c>
      <c r="D7440" t="s">
        <v>1480</v>
      </c>
      <c r="E7440">
        <f t="shared" ref="E7440:E7471" si="31">IF(M7440="credit",-1*J7440,J7440)</f>
        <v>47.32</v>
      </c>
      <c r="F7440" s="2" t="e">
        <f>IF(Table2[[#This Row],[Manual Cat Value]]="",VLOOKUP(Table2[[#This Row],[Description]],'Actuals Lookup'!D:F,3,0),Table2[[#This Row],[Manual Cat Value]])</f>
        <v>#N/A</v>
      </c>
      <c r="G7440" t="str">
        <f>VLOOKUP(D7440,Lookup!G:H,2,0)</f>
        <v>gym</v>
      </c>
      <c r="J7440">
        <v>47.32</v>
      </c>
      <c r="K7440" s="6"/>
      <c r="L7440" s="6"/>
      <c r="M7440" t="s">
        <v>2513</v>
      </c>
      <c r="O7440" t="str">
        <f>LEFT(Table2[[#This Row],[Description]],75)</f>
        <v>PELOTON MEMBERSHIP      HTTPSWWW</v>
      </c>
    </row>
    <row r="7441" spans="1:15" hidden="1">
      <c r="A7441" s="25">
        <f t="shared" si="30"/>
        <v>202207</v>
      </c>
      <c r="B7441" s="6">
        <v>44752</v>
      </c>
      <c r="C7441" t="s">
        <v>2262</v>
      </c>
      <c r="D7441" t="s">
        <v>1795</v>
      </c>
      <c r="E7441">
        <f t="shared" si="31"/>
        <v>11</v>
      </c>
      <c r="F7441" s="2" t="e">
        <f>IF(Table2[[#This Row],[Manual Cat Value]]="",VLOOKUP(Table2[[#This Row],[Description]],'Actuals Lookup'!D:F,3,0),Table2[[#This Row],[Manual Cat Value]])</f>
        <v>#N/A</v>
      </c>
      <c r="G7441" t="str">
        <f>VLOOKUP(D7441,Lookup!G:H,2,0)</f>
        <v>Shopping</v>
      </c>
      <c r="J7441">
        <v>11</v>
      </c>
      <c r="K7441" s="6"/>
      <c r="L7441" s="6"/>
      <c r="M7441" t="s">
        <v>2513</v>
      </c>
      <c r="O7441" t="str">
        <f>LEFT(Table2[[#This Row],[Description]],75)</f>
        <v>SWEETCAST ANGLER FLYSHOP BIG TIM</v>
      </c>
    </row>
    <row r="7442" spans="1:15" hidden="1">
      <c r="A7442" s="25">
        <f t="shared" si="30"/>
        <v>202207</v>
      </c>
      <c r="B7442" s="6">
        <v>44752</v>
      </c>
      <c r="C7442" t="s">
        <v>2262</v>
      </c>
      <c r="D7442" t="s">
        <v>1795</v>
      </c>
      <c r="E7442">
        <f t="shared" si="31"/>
        <v>19.25</v>
      </c>
      <c r="F7442" s="2" t="e">
        <f>IF(Table2[[#This Row],[Manual Cat Value]]="",VLOOKUP(Table2[[#This Row],[Description]],'Actuals Lookup'!D:F,3,0),Table2[[#This Row],[Manual Cat Value]])</f>
        <v>#N/A</v>
      </c>
      <c r="G7442" t="str">
        <f>VLOOKUP(D7442,Lookup!G:H,2,0)</f>
        <v>Shopping</v>
      </c>
      <c r="J7442">
        <v>19.25</v>
      </c>
      <c r="K7442" s="6"/>
      <c r="L7442" s="6"/>
      <c r="M7442" t="s">
        <v>2513</v>
      </c>
      <c r="O7442" t="str">
        <f>LEFT(Table2[[#This Row],[Description]],75)</f>
        <v>SWEETCAST ANGLER FLYSHOP BIG TIM</v>
      </c>
    </row>
    <row r="7443" spans="1:15" hidden="1">
      <c r="A7443" s="25">
        <f t="shared" si="30"/>
        <v>202207</v>
      </c>
      <c r="B7443" s="6">
        <v>44752</v>
      </c>
      <c r="C7443" t="s">
        <v>2262</v>
      </c>
      <c r="D7443" t="s">
        <v>1851</v>
      </c>
      <c r="E7443">
        <f t="shared" si="31"/>
        <v>8.9700000000000006</v>
      </c>
      <c r="F7443" s="2" t="e">
        <f>IF(Table2[[#This Row],[Manual Cat Value]]="",VLOOKUP(Table2[[#This Row],[Description]],'Actuals Lookup'!D:F,3,0),Table2[[#This Row],[Manual Cat Value]])</f>
        <v>#N/A</v>
      </c>
      <c r="G7443" t="str">
        <f>VLOOKUP(D7443,Lookup!G:H,2,0)</f>
        <v>House Maintenance</v>
      </c>
      <c r="J7443">
        <v>8.9700000000000006</v>
      </c>
      <c r="K7443" s="6"/>
      <c r="L7443" s="6"/>
      <c r="M7443" t="s">
        <v>2513</v>
      </c>
      <c r="O7443" t="str">
        <f>LEFT(Table2[[#This Row],[Description]],75)</f>
        <v>THE HOME DEPOT 2825     CHASKA</v>
      </c>
    </row>
    <row r="7444" spans="1:15" ht="30" hidden="1">
      <c r="A7444" s="25">
        <f t="shared" si="30"/>
        <v>202207</v>
      </c>
      <c r="B7444" s="6">
        <v>44753</v>
      </c>
      <c r="C7444" t="s">
        <v>2447</v>
      </c>
      <c r="D7444" s="7" t="s">
        <v>124</v>
      </c>
      <c r="E7444">
        <f t="shared" si="31"/>
        <v>15.02</v>
      </c>
      <c r="F7444" s="2" t="e">
        <f>IF(Table2[[#This Row],[Manual Cat Value]]="",VLOOKUP(Table2[[#This Row],[Description]],'Actuals Lookup'!D:F,3,0),Table2[[#This Row],[Manual Cat Value]])</f>
        <v>#N/A</v>
      </c>
      <c r="G7444" t="str">
        <f>VLOOKUP(D7444,Lookup!G:H,2,0)</f>
        <v>Amazon</v>
      </c>
      <c r="J7444">
        <v>15.02</v>
      </c>
      <c r="K7444" s="6"/>
      <c r="L7444" s="6"/>
      <c r="M7444" t="s">
        <v>2513</v>
      </c>
      <c r="O7444" t="str">
        <f>LEFT(Table2[[#This Row],[Description]],75)</f>
        <v>AMAZON.COM*A11073S53 AMZN.COM/BILLWA
6OJHY48NGS2</v>
      </c>
    </row>
    <row r="7445" spans="1:15" ht="30" hidden="1">
      <c r="A7445" s="25">
        <f t="shared" si="30"/>
        <v>202207</v>
      </c>
      <c r="B7445" s="6">
        <v>44753</v>
      </c>
      <c r="C7445" t="s">
        <v>2447</v>
      </c>
      <c r="D7445" s="7" t="s">
        <v>145</v>
      </c>
      <c r="E7445">
        <f t="shared" si="31"/>
        <v>45.1</v>
      </c>
      <c r="F7445" s="2" t="e">
        <f>IF(Table2[[#This Row],[Manual Cat Value]]="",VLOOKUP(Table2[[#This Row],[Description]],'Actuals Lookup'!D:F,3,0),Table2[[#This Row],[Manual Cat Value]])</f>
        <v>#N/A</v>
      </c>
      <c r="G7445" t="str">
        <f>VLOOKUP(D7445,Lookup!G:H,2,0)</f>
        <v>Amazon</v>
      </c>
      <c r="J7445">
        <v>45.1</v>
      </c>
      <c r="K7445" s="6"/>
      <c r="L7445" s="6"/>
      <c r="M7445" t="s">
        <v>2513</v>
      </c>
      <c r="O7445" t="str">
        <f>LEFT(Table2[[#This Row],[Description]],75)</f>
        <v>AMZN MKTP US*YP2RO5H53 AMZN.COM/BILLWA
3WQQKAO1T6X</v>
      </c>
    </row>
    <row r="7446" spans="1:15" hidden="1">
      <c r="A7446" s="25">
        <f t="shared" si="30"/>
        <v>202207</v>
      </c>
      <c r="B7446" s="6">
        <v>44753</v>
      </c>
      <c r="C7446" t="s">
        <v>2262</v>
      </c>
      <c r="D7446" t="s">
        <v>308</v>
      </c>
      <c r="E7446">
        <f t="shared" si="31"/>
        <v>287.10000000000002</v>
      </c>
      <c r="F7446" s="2" t="e">
        <f>IF(Table2[[#This Row],[Manual Cat Value]]="",VLOOKUP(Table2[[#This Row],[Description]],'Actuals Lookup'!D:F,3,0),Table2[[#This Row],[Manual Cat Value]])</f>
        <v>#N/A</v>
      </c>
      <c r="G7446" t="str">
        <f>VLOOKUP(D7446,Lookup!G:H,2,0)</f>
        <v>House Maintenance</v>
      </c>
      <c r="J7446">
        <v>287.10000000000002</v>
      </c>
      <c r="K7446" s="6"/>
      <c r="L7446" s="6"/>
      <c r="M7446" t="s">
        <v>2513</v>
      </c>
      <c r="O7446" t="str">
        <f>LEFT(Table2[[#This Row],[Description]],75)</f>
        <v>BONFES PLUMBING HEATING A6513326</v>
      </c>
    </row>
    <row r="7447" spans="1:15" hidden="1">
      <c r="A7447" s="25">
        <f t="shared" si="30"/>
        <v>202207</v>
      </c>
      <c r="B7447" s="6">
        <v>44753</v>
      </c>
      <c r="C7447" t="s">
        <v>2262</v>
      </c>
      <c r="D7447" t="s">
        <v>783</v>
      </c>
      <c r="E7447">
        <f t="shared" si="31"/>
        <v>37.5</v>
      </c>
      <c r="F7447" s="2" t="e">
        <f>IF(Table2[[#This Row],[Manual Cat Value]]="",VLOOKUP(Table2[[#This Row],[Description]],'Actuals Lookup'!D:F,3,0),Table2[[#This Row],[Manual Cat Value]])</f>
        <v>#N/A</v>
      </c>
      <c r="G7447" t="str">
        <f>VLOOKUP(D7447,Lookup!G:H,2,0)</f>
        <v>Restaurants</v>
      </c>
      <c r="J7447">
        <v>37.5</v>
      </c>
      <c r="K7447" s="6"/>
      <c r="L7447" s="6"/>
      <c r="M7447" t="s">
        <v>2513</v>
      </c>
      <c r="O7447" t="str">
        <f>LEFT(Table2[[#This Row],[Description]],75)</f>
        <v>DOMINOS 1931            EXCELSIO</v>
      </c>
    </row>
    <row r="7448" spans="1:15" hidden="1">
      <c r="A7448" s="25">
        <f t="shared" si="30"/>
        <v>202207</v>
      </c>
      <c r="B7448" s="6">
        <v>44753</v>
      </c>
      <c r="C7448" t="s">
        <v>2262</v>
      </c>
      <c r="D7448" t="s">
        <v>1145</v>
      </c>
      <c r="E7448">
        <f t="shared" si="31"/>
        <v>35.450000000000003</v>
      </c>
      <c r="F7448" s="2" t="e">
        <f>IF(Table2[[#This Row],[Manual Cat Value]]="",VLOOKUP(Table2[[#This Row],[Description]],'Actuals Lookup'!D:F,3,0),Table2[[#This Row],[Manual Cat Value]])</f>
        <v>#N/A</v>
      </c>
      <c r="G7448" t="str">
        <f>VLOOKUP(D7448,Lookup!G:H,2,0)</f>
        <v>shopping</v>
      </c>
      <c r="J7448">
        <v>35.450000000000003</v>
      </c>
      <c r="K7448" s="6"/>
      <c r="L7448" s="6"/>
      <c r="M7448" t="s">
        <v>2513</v>
      </c>
      <c r="O7448" t="str">
        <f>LEFT(Table2[[#This Row],[Description]],75)</f>
        <v>LS SOUTH LAKE CYCLE      9524743</v>
      </c>
    </row>
    <row r="7449" spans="1:15" hidden="1">
      <c r="A7449" s="25">
        <f t="shared" si="30"/>
        <v>202207</v>
      </c>
      <c r="B7449" s="6">
        <v>44753</v>
      </c>
      <c r="C7449" t="s">
        <v>2265</v>
      </c>
      <c r="D7449" t="s">
        <v>1958</v>
      </c>
      <c r="E7449">
        <f t="shared" si="31"/>
        <v>125</v>
      </c>
      <c r="F7449" s="2" t="str">
        <f>IF(Table2[[#This Row],[Manual Cat Value]]="",VLOOKUP(Table2[[#This Row],[Description]],'Actuals Lookup'!D:F,3,0),Table2[[#This Row],[Manual Cat Value]])</f>
        <v>Shopping</v>
      </c>
      <c r="G7449" t="str">
        <f>VLOOKUP(D7449,Lookup!G:H,2,0)</f>
        <v>Travel</v>
      </c>
      <c r="J7449">
        <v>125</v>
      </c>
      <c r="K7449" s="6"/>
      <c r="L7449" s="6"/>
      <c r="M7449" t="s">
        <v>2513</v>
      </c>
      <c r="O7449" t="str">
        <f>LEFT(Table2[[#This Row],[Description]],75)</f>
        <v>Transfer to Venmo</v>
      </c>
    </row>
    <row r="7450" spans="1:15" ht="30" hidden="1">
      <c r="A7450" s="25">
        <f t="shared" si="30"/>
        <v>202207</v>
      </c>
      <c r="B7450" s="6">
        <v>44754</v>
      </c>
      <c r="C7450" t="s">
        <v>2447</v>
      </c>
      <c r="D7450" s="7" t="s">
        <v>139</v>
      </c>
      <c r="E7450">
        <f t="shared" si="31"/>
        <v>31.27</v>
      </c>
      <c r="F7450" s="2" t="e">
        <f>IF(Table2[[#This Row],[Manual Cat Value]]="",VLOOKUP(Table2[[#This Row],[Description]],'Actuals Lookup'!D:F,3,0),Table2[[#This Row],[Manual Cat Value]])</f>
        <v>#N/A</v>
      </c>
      <c r="G7450" t="str">
        <f>VLOOKUP(D7450,Lookup!G:H,2,0)</f>
        <v>Amazon</v>
      </c>
      <c r="J7450">
        <v>31.27</v>
      </c>
      <c r="K7450" s="6"/>
      <c r="L7450" s="6"/>
      <c r="M7450" t="s">
        <v>2513</v>
      </c>
      <c r="O7450" t="str">
        <f>LEFT(Table2[[#This Row],[Description]],75)</f>
        <v>AMZN MKTP US*AD4D556E3 AMZN.COM/BILLWA
5LIJLXAPJZP</v>
      </c>
    </row>
    <row r="7451" spans="1:15" hidden="1">
      <c r="A7451" s="25">
        <f t="shared" si="30"/>
        <v>202207</v>
      </c>
      <c r="B7451" s="6">
        <v>44754</v>
      </c>
      <c r="C7451" t="s">
        <v>2262</v>
      </c>
      <c r="D7451" t="s">
        <v>685</v>
      </c>
      <c r="E7451">
        <f t="shared" si="31"/>
        <v>40.15</v>
      </c>
      <c r="F7451" s="2" t="e">
        <f>IF(Table2[[#This Row],[Manual Cat Value]]="",VLOOKUP(Table2[[#This Row],[Description]],'Actuals Lookup'!D:F,3,0),Table2[[#This Row],[Manual Cat Value]])</f>
        <v>#N/A</v>
      </c>
      <c r="G7451" t="str">
        <f>VLOOKUP(D7451,Lookup!G:H,2,0)</f>
        <v>Groceries</v>
      </c>
      <c r="J7451">
        <v>40.15</v>
      </c>
      <c r="K7451" s="6"/>
      <c r="L7451" s="6"/>
      <c r="M7451" t="s">
        <v>2513</v>
      </c>
      <c r="O7451" t="str">
        <f>LEFT(Table2[[#This Row],[Description]],75)</f>
        <v>CUB FOODS 01644          9529341</v>
      </c>
    </row>
    <row r="7452" spans="1:15" hidden="1">
      <c r="A7452" s="25">
        <f t="shared" si="30"/>
        <v>202207</v>
      </c>
      <c r="B7452" s="6">
        <v>44755</v>
      </c>
      <c r="C7452" t="s">
        <v>2262</v>
      </c>
      <c r="D7452" t="s">
        <v>507</v>
      </c>
      <c r="E7452">
        <f t="shared" si="31"/>
        <v>45</v>
      </c>
      <c r="F7452" s="2" t="e">
        <f>IF(Table2[[#This Row],[Manual Cat Value]]="",VLOOKUP(Table2[[#This Row],[Description]],'Actuals Lookup'!D:F,3,0),Table2[[#This Row],[Manual Cat Value]])</f>
        <v>#N/A</v>
      </c>
      <c r="G7452" t="str">
        <f>VLOOKUP(D7452,Lookup!G:H,2,0)</f>
        <v>Utilities</v>
      </c>
      <c r="J7452">
        <v>45</v>
      </c>
      <c r="K7452" s="6"/>
      <c r="L7452" s="6"/>
      <c r="M7452" t="s">
        <v>2513</v>
      </c>
      <c r="O7452" t="str">
        <f>LEFT(Table2[[#This Row],[Description]],75)</f>
        <v>CENTURYLINK SIMPLE       8002014</v>
      </c>
    </row>
    <row r="7453" spans="1:15" hidden="1">
      <c r="A7453" s="25">
        <f t="shared" si="30"/>
        <v>202207</v>
      </c>
      <c r="B7453" s="6">
        <v>44755</v>
      </c>
      <c r="C7453" t="s">
        <v>2262</v>
      </c>
      <c r="D7453" t="s">
        <v>669</v>
      </c>
      <c r="E7453">
        <f t="shared" si="31"/>
        <v>84.14</v>
      </c>
      <c r="F7453" s="2" t="e">
        <f>IF(Table2[[#This Row],[Manual Cat Value]]="",VLOOKUP(Table2[[#This Row],[Description]],'Actuals Lookup'!D:F,3,0),Table2[[#This Row],[Manual Cat Value]])</f>
        <v>#N/A</v>
      </c>
      <c r="G7453" t="str">
        <f>VLOOKUP(D7453,Lookup!G:H,2,0)</f>
        <v>Groceries</v>
      </c>
      <c r="J7453">
        <v>84.14</v>
      </c>
      <c r="K7453" s="6"/>
      <c r="L7453" s="6"/>
      <c r="M7453" t="s">
        <v>2513</v>
      </c>
      <c r="O7453" t="str">
        <f>LEFT(Table2[[#This Row],[Description]],75)</f>
        <v>CRAZY WOMAN LIQUOR       BUFFALO</v>
      </c>
    </row>
    <row r="7454" spans="1:15" hidden="1">
      <c r="A7454" s="25">
        <f t="shared" si="30"/>
        <v>202207</v>
      </c>
      <c r="B7454" s="6">
        <v>44755</v>
      </c>
      <c r="C7454" t="s">
        <v>2262</v>
      </c>
      <c r="D7454" t="s">
        <v>733</v>
      </c>
      <c r="E7454">
        <f t="shared" si="31"/>
        <v>41.98</v>
      </c>
      <c r="F7454" s="2" t="e">
        <f>IF(Table2[[#This Row],[Manual Cat Value]]="",VLOOKUP(Table2[[#This Row],[Description]],'Actuals Lookup'!D:F,3,0),Table2[[#This Row],[Manual Cat Value]])</f>
        <v>#N/A</v>
      </c>
      <c r="G7454" t="str">
        <f>VLOOKUP(D7454,Lookup!G:H,2,0)</f>
        <v>Shopping</v>
      </c>
      <c r="J7454">
        <v>41.98</v>
      </c>
      <c r="K7454" s="6"/>
      <c r="L7454" s="6"/>
      <c r="M7454" t="s">
        <v>2513</v>
      </c>
      <c r="O7454" t="str">
        <f>LEFT(Table2[[#This Row],[Description]],75)</f>
        <v>DICKS SPORTING GOODS    CASPER</v>
      </c>
    </row>
    <row r="7455" spans="1:15" hidden="1">
      <c r="A7455" s="25">
        <f t="shared" si="30"/>
        <v>202207</v>
      </c>
      <c r="B7455" s="6">
        <v>44755</v>
      </c>
      <c r="C7455" t="s">
        <v>2262</v>
      </c>
      <c r="D7455" t="s">
        <v>828</v>
      </c>
      <c r="E7455">
        <f t="shared" si="31"/>
        <v>97.2</v>
      </c>
      <c r="F7455" s="2" t="e">
        <f>IF(Table2[[#This Row],[Manual Cat Value]]="",VLOOKUP(Table2[[#This Row],[Description]],'Actuals Lookup'!D:F,3,0),Table2[[#This Row],[Manual Cat Value]])</f>
        <v>#N/A</v>
      </c>
      <c r="G7455" t="str">
        <f>VLOOKUP(D7455,Lookup!G:H,2,0)</f>
        <v>Shopping</v>
      </c>
      <c r="J7455">
        <v>97.2</v>
      </c>
      <c r="K7455" s="6"/>
      <c r="L7455" s="6"/>
      <c r="M7455" t="s">
        <v>2513</v>
      </c>
      <c r="O7455" t="str">
        <f>LEFT(Table2[[#This Row],[Description]],75)</f>
        <v>EVEREVE  8              WAYZATA</v>
      </c>
    </row>
    <row r="7456" spans="1:15" hidden="1">
      <c r="A7456" s="25">
        <f t="shared" si="30"/>
        <v>202207</v>
      </c>
      <c r="B7456" s="6">
        <v>44755</v>
      </c>
      <c r="C7456" t="s">
        <v>2262</v>
      </c>
      <c r="D7456" t="s">
        <v>1131</v>
      </c>
      <c r="E7456">
        <f t="shared" si="31"/>
        <v>2.79</v>
      </c>
      <c r="F7456" s="2" t="e">
        <f>IF(Table2[[#This Row],[Manual Cat Value]]="",VLOOKUP(Table2[[#This Row],[Description]],'Actuals Lookup'!D:F,3,0),Table2[[#This Row],[Manual Cat Value]])</f>
        <v>#N/A</v>
      </c>
      <c r="G7456" t="str">
        <f>VLOOKUP(D7456,Lookup!G:H,2,0)</f>
        <v>transportation</v>
      </c>
      <c r="J7456">
        <v>2.79</v>
      </c>
      <c r="K7456" s="6"/>
      <c r="L7456" s="6"/>
      <c r="M7456" t="s">
        <v>2513</v>
      </c>
      <c r="O7456" t="str">
        <f>LEFT(Table2[[#This Row],[Description]],75)</f>
        <v>LOAF N JUG 0110         CASPER</v>
      </c>
    </row>
    <row r="7457" spans="1:15" hidden="1">
      <c r="A7457" s="25">
        <f t="shared" si="30"/>
        <v>202207</v>
      </c>
      <c r="B7457" s="6">
        <v>44755</v>
      </c>
      <c r="C7457" t="s">
        <v>2265</v>
      </c>
      <c r="D7457" t="s">
        <v>1195</v>
      </c>
      <c r="E7457">
        <f t="shared" si="31"/>
        <v>536.5</v>
      </c>
      <c r="F7457" s="2" t="e">
        <f>IF(Table2[[#This Row],[Manual Cat Value]]="",VLOOKUP(Table2[[#This Row],[Description]],'Actuals Lookup'!D:F,3,0),Table2[[#This Row],[Manual Cat Value]])</f>
        <v>#N/A</v>
      </c>
      <c r="G7457" t="str">
        <f>VLOOKUP(D7457,Lookup!G:H,2,0)</f>
        <v>Day Care</v>
      </c>
      <c r="J7457">
        <v>536.5</v>
      </c>
      <c r="K7457" s="6"/>
      <c r="L7457" s="6"/>
      <c r="M7457" t="s">
        <v>2513</v>
      </c>
      <c r="O7457" t="str">
        <f>LEFT(Table2[[#This Row],[Description]],75)</f>
        <v>MHCHILDCARELLC TYPE DUES ID CO M</v>
      </c>
    </row>
    <row r="7458" spans="1:15" hidden="1">
      <c r="A7458" s="25">
        <f t="shared" si="30"/>
        <v>202207</v>
      </c>
      <c r="B7458" s="6">
        <v>44755</v>
      </c>
      <c r="C7458" t="s">
        <v>2262</v>
      </c>
      <c r="D7458" t="s">
        <v>1846</v>
      </c>
      <c r="E7458">
        <f t="shared" si="31"/>
        <v>2.4900000000000002</v>
      </c>
      <c r="F7458" s="2" t="e">
        <f>IF(Table2[[#This Row],[Manual Cat Value]]="",VLOOKUP(Table2[[#This Row],[Description]],'Actuals Lookup'!D:F,3,0),Table2[[#This Row],[Manual Cat Value]])</f>
        <v>#N/A</v>
      </c>
      <c r="G7458" t="str">
        <f>VLOOKUP(D7458,Lookup!G:H,2,0)</f>
        <v>shopping</v>
      </c>
      <c r="J7458">
        <v>2.4900000000000002</v>
      </c>
      <c r="K7458" s="6"/>
      <c r="L7458" s="6"/>
      <c r="M7458" t="s">
        <v>2513</v>
      </c>
      <c r="O7458" t="str">
        <f>LEFT(Table2[[#This Row],[Description]],75)</f>
        <v>THE FORT                 BIG TIM</v>
      </c>
    </row>
    <row r="7459" spans="1:15" hidden="1">
      <c r="A7459" s="25">
        <f t="shared" si="30"/>
        <v>202207</v>
      </c>
      <c r="B7459" s="6">
        <v>44755</v>
      </c>
      <c r="C7459" t="s">
        <v>2262</v>
      </c>
      <c r="D7459" t="s">
        <v>1846</v>
      </c>
      <c r="E7459">
        <f t="shared" si="31"/>
        <v>48.79</v>
      </c>
      <c r="F7459" s="2" t="e">
        <f>IF(Table2[[#This Row],[Manual Cat Value]]="",VLOOKUP(Table2[[#This Row],[Description]],'Actuals Lookup'!D:F,3,0),Table2[[#This Row],[Manual Cat Value]])</f>
        <v>#N/A</v>
      </c>
      <c r="G7459" t="str">
        <f>VLOOKUP(D7459,Lookup!G:H,2,0)</f>
        <v>shopping</v>
      </c>
      <c r="J7459">
        <v>48.79</v>
      </c>
      <c r="K7459" s="6"/>
      <c r="L7459" s="6"/>
      <c r="M7459" t="s">
        <v>2513</v>
      </c>
      <c r="O7459" t="str">
        <f>LEFT(Table2[[#This Row],[Description]],75)</f>
        <v>THE FORT                 BIG TIM</v>
      </c>
    </row>
    <row r="7460" spans="1:15" hidden="1">
      <c r="A7460" s="25">
        <f t="shared" si="30"/>
        <v>202207</v>
      </c>
      <c r="B7460" s="6">
        <v>44755</v>
      </c>
      <c r="C7460" t="s">
        <v>2262</v>
      </c>
      <c r="D7460" t="s">
        <v>2137</v>
      </c>
      <c r="E7460">
        <f t="shared" si="31"/>
        <v>11.82</v>
      </c>
      <c r="F7460" s="2" t="e">
        <f>IF(Table2[[#This Row],[Manual Cat Value]]="",VLOOKUP(Table2[[#This Row],[Description]],'Actuals Lookup'!D:F,3,0),Table2[[#This Row],[Manual Cat Value]])</f>
        <v>#N/A</v>
      </c>
      <c r="G7460" t="str">
        <f>VLOOKUP(D7460,Lookup!G:H,2,0)</f>
        <v>shopping</v>
      </c>
      <c r="J7460">
        <v>11.82</v>
      </c>
      <c r="K7460" s="6"/>
      <c r="L7460" s="6"/>
      <c r="M7460" t="s">
        <v>2513</v>
      </c>
      <c r="O7460" t="str">
        <f>LEFT(Table2[[#This Row],[Description]],75)</f>
        <v>WALGREENS 6280          EDEN PRA</v>
      </c>
    </row>
    <row r="7461" spans="1:15" hidden="1">
      <c r="A7461" s="25">
        <f t="shared" si="30"/>
        <v>202207</v>
      </c>
      <c r="B7461" s="6">
        <v>44755</v>
      </c>
      <c r="C7461" t="s">
        <v>2262</v>
      </c>
      <c r="D7461" t="s">
        <v>2137</v>
      </c>
      <c r="E7461">
        <f t="shared" si="31"/>
        <v>54.95</v>
      </c>
      <c r="F7461" s="2" t="e">
        <f>IF(Table2[[#This Row],[Manual Cat Value]]="",VLOOKUP(Table2[[#This Row],[Description]],'Actuals Lookup'!D:F,3,0),Table2[[#This Row],[Manual Cat Value]])</f>
        <v>#N/A</v>
      </c>
      <c r="G7461" t="str">
        <f>VLOOKUP(D7461,Lookup!G:H,2,0)</f>
        <v>shopping</v>
      </c>
      <c r="J7461">
        <v>54.95</v>
      </c>
      <c r="K7461" s="6"/>
      <c r="L7461" s="6"/>
      <c r="M7461" t="s">
        <v>2513</v>
      </c>
      <c r="O7461" t="str">
        <f>LEFT(Table2[[#This Row],[Description]],75)</f>
        <v>WALGREENS 6280          EDEN PRA</v>
      </c>
    </row>
    <row r="7462" spans="1:15" hidden="1">
      <c r="A7462" s="25">
        <f t="shared" si="30"/>
        <v>202207</v>
      </c>
      <c r="B7462" s="6">
        <v>44756</v>
      </c>
      <c r="C7462" t="s">
        <v>2265</v>
      </c>
      <c r="D7462" t="s">
        <v>131</v>
      </c>
      <c r="E7462">
        <f t="shared" si="31"/>
        <v>102.48</v>
      </c>
      <c r="F7462" s="2" t="str">
        <f>IF(Table2[[#This Row],[Manual Cat Value]]="",VLOOKUP(Table2[[#This Row],[Description]],'Actuals Lookup'!D:F,3,0),Table2[[#This Row],[Manual Cat Value]])</f>
        <v>Insurance</v>
      </c>
      <c r="G7462" t="str">
        <f>VLOOKUP(D7462,Lookup!G:H,2,0)</f>
        <v>Insurance</v>
      </c>
      <c r="J7462">
        <v>102.48</v>
      </c>
      <c r="K7462" s="6"/>
      <c r="L7462" s="6"/>
      <c r="M7462" t="s">
        <v>2513</v>
      </c>
      <c r="O7462" t="str">
        <f>LEFT(Table2[[#This Row],[Description]],75)</f>
        <v>American Family Insurance</v>
      </c>
    </row>
    <row r="7463" spans="1:15" hidden="1">
      <c r="A7463" s="25">
        <f t="shared" si="30"/>
        <v>202207</v>
      </c>
      <c r="B7463" s="6">
        <v>44756</v>
      </c>
      <c r="C7463" t="s">
        <v>2262</v>
      </c>
      <c r="D7463" t="s">
        <v>200</v>
      </c>
      <c r="E7463">
        <f t="shared" si="31"/>
        <v>-150.38999999999999</v>
      </c>
      <c r="F7463" s="2" t="str">
        <f>IF(Table2[[#This Row],[Manual Cat Value]]="",VLOOKUP(Table2[[#This Row],[Description]],'Actuals Lookup'!D:F,3,0),Table2[[#This Row],[Manual Cat Value]])</f>
        <v>Delete</v>
      </c>
      <c r="G7463" t="str">
        <f>VLOOKUP(D7463,Lookup!G:H,2,0)</f>
        <v>Shopping</v>
      </c>
      <c r="H7463" s="8" t="s">
        <v>9</v>
      </c>
      <c r="J7463">
        <v>150.38999999999999</v>
      </c>
      <c r="K7463" s="6"/>
      <c r="L7463" s="6"/>
      <c r="M7463" t="s">
        <v>2621</v>
      </c>
      <c r="O7463" t="str">
        <f>LEFT(Table2[[#This Row],[Description]],75)</f>
        <v>BANANA REPUBLIC ONLINE  88827789</v>
      </c>
    </row>
    <row r="7464" spans="1:15" hidden="1">
      <c r="A7464" s="25">
        <f>VALUE(YEAR(Table2[[#This Row],[Date]])&amp;TEXT(MONTH(Table2[[#This Row],[Date]]),"00"))</f>
        <v>202207</v>
      </c>
      <c r="B7464" s="6">
        <v>44756</v>
      </c>
      <c r="C7464" t="s">
        <v>2262</v>
      </c>
      <c r="D7464" t="s">
        <v>200</v>
      </c>
      <c r="E7464">
        <f t="shared" si="31"/>
        <v>-150.38999999999999</v>
      </c>
      <c r="F7464" s="2" t="str">
        <f>IF(Table2[[#This Row],[Manual Cat Value]]="",VLOOKUP(Table2[[#This Row],[Description]],'Actuals Lookup'!D:F,3,0),Table2[[#This Row],[Manual Cat Value]])</f>
        <v>Exp - Shopping</v>
      </c>
      <c r="G7464" t="str">
        <f>VLOOKUP(D7464,Lookup!G:H,2,0)</f>
        <v>Shopping</v>
      </c>
      <c r="H7464" s="8" t="s">
        <v>36</v>
      </c>
      <c r="J7464">
        <v>150.38999999999999</v>
      </c>
      <c r="M7464" t="s">
        <v>2621</v>
      </c>
      <c r="O7464" t="str">
        <f>LEFT(Table2[[#This Row],[Description]],75)</f>
        <v>BANANA REPUBLIC ONLINE  88827789</v>
      </c>
    </row>
    <row r="7465" spans="1:15" hidden="1">
      <c r="A7465" s="25">
        <f t="shared" ref="A7465:A7480" si="32">VALUE(YEAR(B7465)&amp;TEXT(MONTH(B7465),"00"))</f>
        <v>202207</v>
      </c>
      <c r="B7465" s="6">
        <v>44756</v>
      </c>
      <c r="C7465" t="s">
        <v>2262</v>
      </c>
      <c r="D7465" t="s">
        <v>640</v>
      </c>
      <c r="E7465">
        <f t="shared" si="31"/>
        <v>17.64</v>
      </c>
      <c r="F7465" s="2" t="e">
        <f>IF(Table2[[#This Row],[Manual Cat Value]]="",VLOOKUP(Table2[[#This Row],[Description]],'Actuals Lookup'!D:F,3,0),Table2[[#This Row],[Manual Cat Value]])</f>
        <v>#N/A</v>
      </c>
      <c r="G7465" t="str">
        <f>VLOOKUP(D7465,Lookup!G:H,2,0)</f>
        <v>Transportation</v>
      </c>
      <c r="J7465">
        <v>17.64</v>
      </c>
      <c r="K7465" s="6"/>
      <c r="L7465" s="6"/>
      <c r="M7465" t="s">
        <v>2513</v>
      </c>
      <c r="O7465" t="str">
        <f>LEFT(Table2[[#This Row],[Description]],75)</f>
        <v>CONOCO  ALTA CONVENIENCESAGUACHE</v>
      </c>
    </row>
    <row r="7466" spans="1:15" hidden="1">
      <c r="A7466" s="25">
        <f t="shared" si="32"/>
        <v>202207</v>
      </c>
      <c r="B7466" s="6">
        <v>44756</v>
      </c>
      <c r="C7466" t="s">
        <v>2262</v>
      </c>
      <c r="D7466" t="s">
        <v>640</v>
      </c>
      <c r="E7466">
        <f t="shared" si="31"/>
        <v>38.81</v>
      </c>
      <c r="F7466" s="2" t="e">
        <f>IF(Table2[[#This Row],[Manual Cat Value]]="",VLOOKUP(Table2[[#This Row],[Description]],'Actuals Lookup'!D:F,3,0),Table2[[#This Row],[Manual Cat Value]])</f>
        <v>#N/A</v>
      </c>
      <c r="G7466" t="str">
        <f>VLOOKUP(D7466,Lookup!G:H,2,0)</f>
        <v>Transportation</v>
      </c>
      <c r="J7466">
        <v>38.81</v>
      </c>
      <c r="K7466" s="6"/>
      <c r="L7466" s="6"/>
      <c r="M7466" t="s">
        <v>2513</v>
      </c>
      <c r="O7466" t="str">
        <f>LEFT(Table2[[#This Row],[Description]],75)</f>
        <v>CONOCO  ALTA CONVENIENCESAGUACHE</v>
      </c>
    </row>
    <row r="7467" spans="1:15" hidden="1">
      <c r="A7467" s="25">
        <f t="shared" si="32"/>
        <v>202207</v>
      </c>
      <c r="B7467" s="6">
        <v>44756</v>
      </c>
      <c r="C7467" t="s">
        <v>2262</v>
      </c>
      <c r="D7467" t="s">
        <v>641</v>
      </c>
      <c r="E7467">
        <f t="shared" si="31"/>
        <v>4.8600000000000003</v>
      </c>
      <c r="F7467" s="2" t="e">
        <f>IF(Table2[[#This Row],[Manual Cat Value]]="",VLOOKUP(Table2[[#This Row],[Description]],'Actuals Lookup'!D:F,3,0),Table2[[#This Row],[Manual Cat Value]])</f>
        <v>#N/A</v>
      </c>
      <c r="G7467" t="str">
        <f>VLOOKUP(D7467,Lookup!G:H,2,0)</f>
        <v>Transportation</v>
      </c>
      <c r="J7467">
        <v>4.8600000000000003</v>
      </c>
      <c r="K7467" s="6"/>
      <c r="L7467" s="6"/>
      <c r="M7467" t="s">
        <v>2513</v>
      </c>
      <c r="O7467" t="str">
        <f>LEFT(Table2[[#This Row],[Description]],75)</f>
        <v>CONOCO  GUNSMOKE TRAVEL BUENA VI</v>
      </c>
    </row>
    <row r="7468" spans="1:15" hidden="1">
      <c r="A7468" s="25">
        <f t="shared" si="32"/>
        <v>202207</v>
      </c>
      <c r="B7468" s="6">
        <v>44756</v>
      </c>
      <c r="C7468" t="s">
        <v>2262</v>
      </c>
      <c r="D7468" t="s">
        <v>850</v>
      </c>
      <c r="E7468">
        <f t="shared" si="31"/>
        <v>89.41</v>
      </c>
      <c r="F7468" s="2" t="e">
        <f>IF(Table2[[#This Row],[Manual Cat Value]]="",VLOOKUP(Table2[[#This Row],[Description]],'Actuals Lookup'!D:F,3,0),Table2[[#This Row],[Manual Cat Value]])</f>
        <v>#N/A</v>
      </c>
      <c r="G7468" t="str">
        <f>VLOOKUP(D7468,Lookup!G:H,2,0)</f>
        <v>Restaurants</v>
      </c>
      <c r="J7468">
        <v>89.41</v>
      </c>
      <c r="K7468" s="6"/>
      <c r="L7468" s="6"/>
      <c r="M7468" t="s">
        <v>2513</v>
      </c>
      <c r="O7468" t="str">
        <f>LEFT(Table2[[#This Row],[Description]],75)</f>
        <v>FORT COLLINSLAKESIDE    FORT COL</v>
      </c>
    </row>
    <row r="7469" spans="1:15" hidden="1">
      <c r="A7469" s="25">
        <f t="shared" si="32"/>
        <v>202207</v>
      </c>
      <c r="B7469" s="6">
        <v>44756</v>
      </c>
      <c r="C7469" t="s">
        <v>2262</v>
      </c>
      <c r="D7469" t="s">
        <v>1141</v>
      </c>
      <c r="E7469">
        <f t="shared" si="31"/>
        <v>45.22</v>
      </c>
      <c r="F7469" s="2" t="e">
        <f>IF(Table2[[#This Row],[Manual Cat Value]]="",VLOOKUP(Table2[[#This Row],[Description]],'Actuals Lookup'!D:F,3,0),Table2[[#This Row],[Manual Cat Value]])</f>
        <v>#N/A</v>
      </c>
      <c r="G7469" t="str">
        <f>VLOOKUP(D7469,Lookup!G:H,2,0)</f>
        <v>shopping</v>
      </c>
      <c r="J7469">
        <v>45.22</v>
      </c>
      <c r="K7469" s="6"/>
      <c r="L7469" s="6"/>
      <c r="M7469" t="s">
        <v>2513</v>
      </c>
      <c r="O7469" t="str">
        <f>LEFT(Table2[[#This Row],[Description]],75)</f>
        <v>LS SAN JUAN SPORTS       1866932</v>
      </c>
    </row>
    <row r="7470" spans="1:15" hidden="1">
      <c r="A7470" s="25">
        <f t="shared" si="32"/>
        <v>202207</v>
      </c>
      <c r="B7470" s="6">
        <v>44756</v>
      </c>
      <c r="C7470" t="s">
        <v>2262</v>
      </c>
      <c r="D7470" t="s">
        <v>1146</v>
      </c>
      <c r="E7470">
        <f t="shared" si="31"/>
        <v>66.739999999999995</v>
      </c>
      <c r="F7470" s="2" t="e">
        <f>IF(Table2[[#This Row],[Manual Cat Value]]="",VLOOKUP(Table2[[#This Row],[Description]],'Actuals Lookup'!D:F,3,0),Table2[[#This Row],[Manual Cat Value]])</f>
        <v>#N/A</v>
      </c>
      <c r="G7470" t="str">
        <f>VLOOKUP(D7470,Lookup!G:H,2,0)</f>
        <v>shopping</v>
      </c>
      <c r="J7470">
        <v>66.739999999999995</v>
      </c>
      <c r="K7470" s="6"/>
      <c r="L7470" s="6"/>
      <c r="M7470" t="s">
        <v>2513</v>
      </c>
      <c r="O7470" t="str">
        <f>LEFT(Table2[[#This Row],[Description]],75)</f>
        <v>LS TSHIRT SHOP          18669321</v>
      </c>
    </row>
    <row r="7471" spans="1:15" hidden="1">
      <c r="A7471" s="25">
        <f t="shared" si="32"/>
        <v>202207</v>
      </c>
      <c r="B7471" s="6">
        <v>44756</v>
      </c>
      <c r="C7471" t="s">
        <v>2262</v>
      </c>
      <c r="D7471" t="s">
        <v>1549</v>
      </c>
      <c r="E7471">
        <f t="shared" si="31"/>
        <v>44.12</v>
      </c>
      <c r="F7471" s="2" t="e">
        <f>IF(Table2[[#This Row],[Manual Cat Value]]="",VLOOKUP(Table2[[#This Row],[Description]],'Actuals Lookup'!D:F,3,0),Table2[[#This Row],[Manual Cat Value]])</f>
        <v>#N/A</v>
      </c>
      <c r="G7471" t="str">
        <f>VLOOKUP(D7471,Lookup!G:H,2,0)</f>
        <v>travel</v>
      </c>
      <c r="J7471">
        <v>44.12</v>
      </c>
      <c r="K7471" s="6"/>
      <c r="L7471" s="6"/>
      <c r="M7471" t="s">
        <v>2513</v>
      </c>
      <c r="O7471" t="str">
        <f>LEFT(Table2[[#This Row],[Description]],75)</f>
        <v>RAOCOPARKSWILDLIFE CO   88857272</v>
      </c>
    </row>
    <row r="7472" spans="1:15" hidden="1">
      <c r="A7472" s="25">
        <f t="shared" si="32"/>
        <v>202207</v>
      </c>
      <c r="B7472" s="6">
        <v>44756</v>
      </c>
      <c r="C7472" t="s">
        <v>2262</v>
      </c>
      <c r="D7472" t="s">
        <v>1685</v>
      </c>
      <c r="E7472">
        <f t="shared" ref="E7472:E7503" si="33">IF(M7472="credit",-1*J7472,J7472)</f>
        <v>78.260000000000005</v>
      </c>
      <c r="F7472" s="2" t="e">
        <f>IF(Table2[[#This Row],[Manual Cat Value]]="",VLOOKUP(Table2[[#This Row],[Description]],'Actuals Lookup'!D:F,3,0),Table2[[#This Row],[Manual Cat Value]])</f>
        <v>#N/A</v>
      </c>
      <c r="G7472" t="str">
        <f>VLOOKUP(D7472,Lookup!G:H,2,0)</f>
        <v>Shopping</v>
      </c>
      <c r="J7472">
        <v>78.260000000000005</v>
      </c>
      <c r="K7472" s="6"/>
      <c r="L7472" s="6"/>
      <c r="M7472" t="s">
        <v>2513</v>
      </c>
      <c r="O7472" t="str">
        <f>LEFT(Table2[[#This Row],[Description]],75)</f>
        <v>SP CREEDE OLIVE OIL      1719658</v>
      </c>
    </row>
    <row r="7473" spans="1:15" hidden="1">
      <c r="A7473" s="25">
        <f t="shared" si="32"/>
        <v>202207</v>
      </c>
      <c r="B7473" s="6">
        <v>44756</v>
      </c>
      <c r="C7473" t="s">
        <v>2262</v>
      </c>
      <c r="D7473" t="s">
        <v>1756</v>
      </c>
      <c r="E7473">
        <f t="shared" si="33"/>
        <v>93.84</v>
      </c>
      <c r="F7473" s="2" t="e">
        <f>IF(Table2[[#This Row],[Manual Cat Value]]="",VLOOKUP(Table2[[#This Row],[Description]],'Actuals Lookup'!D:F,3,0),Table2[[#This Row],[Manual Cat Value]])</f>
        <v>#N/A</v>
      </c>
      <c r="G7473" t="str">
        <f>VLOOKUP(D7473,Lookup!G:H,2,0)</f>
        <v>Travel</v>
      </c>
      <c r="J7473">
        <v>93.84</v>
      </c>
      <c r="K7473" s="6"/>
      <c r="L7473" s="6"/>
      <c r="M7473" t="s">
        <v>2513</v>
      </c>
      <c r="O7473" t="str">
        <f>LEFT(Table2[[#This Row],[Description]],75)</f>
        <v>SQ SNOWSHOE LODGE AND CAgosqcom</v>
      </c>
    </row>
    <row r="7474" spans="1:15" hidden="1">
      <c r="A7474" s="25">
        <f t="shared" si="32"/>
        <v>202207</v>
      </c>
      <c r="B7474" s="6">
        <v>44756</v>
      </c>
      <c r="C7474" t="s">
        <v>2262</v>
      </c>
      <c r="D7474" t="s">
        <v>1816</v>
      </c>
      <c r="E7474">
        <f t="shared" si="33"/>
        <v>56.83</v>
      </c>
      <c r="F7474" s="2" t="e">
        <f>IF(Table2[[#This Row],[Manual Cat Value]]="",VLOOKUP(Table2[[#This Row],[Description]],'Actuals Lookup'!D:F,3,0),Table2[[#This Row],[Manual Cat Value]])</f>
        <v>#N/A</v>
      </c>
      <c r="G7474" t="str">
        <f>VLOOKUP(D7474,Lookup!G:H,2,0)</f>
        <v>target</v>
      </c>
      <c r="J7474">
        <v>56.83</v>
      </c>
      <c r="K7474" s="6"/>
      <c r="L7474" s="6"/>
      <c r="M7474" t="s">
        <v>2513</v>
      </c>
      <c r="O7474" t="str">
        <f>LEFT(Table2[[#This Row],[Description]],75)</f>
        <v>TARGET        00015008   GOLDEN</v>
      </c>
    </row>
    <row r="7475" spans="1:15" hidden="1">
      <c r="A7475" s="25">
        <f t="shared" si="32"/>
        <v>202207</v>
      </c>
      <c r="B7475" s="6">
        <v>44757</v>
      </c>
      <c r="C7475" t="s">
        <v>2262</v>
      </c>
      <c r="D7475" t="s">
        <v>1082</v>
      </c>
      <c r="E7475">
        <f t="shared" si="33"/>
        <v>2.99</v>
      </c>
      <c r="F7475" s="2" t="e">
        <f>IF(Table2[[#This Row],[Manual Cat Value]]="",VLOOKUP(Table2[[#This Row],[Description]],'Actuals Lookup'!D:F,3,0),Table2[[#This Row],[Manual Cat Value]])</f>
        <v>#N/A</v>
      </c>
      <c r="G7475" t="str">
        <f>VLOOKUP(D7475,Lookup!G:H,2,0)</f>
        <v>transportation</v>
      </c>
      <c r="J7475">
        <v>2.99</v>
      </c>
      <c r="K7475" s="6"/>
      <c r="L7475" s="6"/>
      <c r="M7475" t="s">
        <v>2513</v>
      </c>
      <c r="O7475" t="str">
        <f>LEFT(Table2[[#This Row],[Description]],75)</f>
        <v>KUMGO 0913 LONGMONT     LONGMONT</v>
      </c>
    </row>
    <row r="7476" spans="1:15" hidden="1">
      <c r="A7476" s="25">
        <f t="shared" si="32"/>
        <v>202207</v>
      </c>
      <c r="B7476" s="6">
        <v>44757</v>
      </c>
      <c r="C7476" t="s">
        <v>2262</v>
      </c>
      <c r="D7476" t="s">
        <v>1082</v>
      </c>
      <c r="E7476">
        <f t="shared" si="33"/>
        <v>44.67</v>
      </c>
      <c r="F7476" s="2" t="e">
        <f>IF(Table2[[#This Row],[Manual Cat Value]]="",VLOOKUP(Table2[[#This Row],[Description]],'Actuals Lookup'!D:F,3,0),Table2[[#This Row],[Manual Cat Value]])</f>
        <v>#N/A</v>
      </c>
      <c r="G7476" t="str">
        <f>VLOOKUP(D7476,Lookup!G:H,2,0)</f>
        <v>transportation</v>
      </c>
      <c r="J7476">
        <v>44.67</v>
      </c>
      <c r="K7476" s="6"/>
      <c r="L7476" s="6"/>
      <c r="M7476" t="s">
        <v>2513</v>
      </c>
      <c r="O7476" t="str">
        <f>LEFT(Table2[[#This Row],[Description]],75)</f>
        <v>KUMGO 0913 LONGMONT     LONGMONT</v>
      </c>
    </row>
    <row r="7477" spans="1:15" hidden="1">
      <c r="A7477" s="25">
        <f t="shared" si="32"/>
        <v>202207</v>
      </c>
      <c r="B7477" s="6">
        <v>44757</v>
      </c>
      <c r="C7477" t="s">
        <v>2262</v>
      </c>
      <c r="D7477" t="s">
        <v>1545</v>
      </c>
      <c r="E7477">
        <f t="shared" si="33"/>
        <v>64.06</v>
      </c>
      <c r="F7477" s="2" t="e">
        <f>IF(Table2[[#This Row],[Manual Cat Value]]="",VLOOKUP(Table2[[#This Row],[Description]],'Actuals Lookup'!D:F,3,0),Table2[[#This Row],[Manual Cat Value]])</f>
        <v>#N/A</v>
      </c>
      <c r="G7477" t="str">
        <f>VLOOKUP(D7477,Lookup!G:H,2,0)</f>
        <v>shopping</v>
      </c>
      <c r="J7477">
        <v>64.06</v>
      </c>
      <c r="K7477" s="6"/>
      <c r="L7477" s="6"/>
      <c r="M7477" t="s">
        <v>2513</v>
      </c>
      <c r="O7477" t="str">
        <f>LEFT(Table2[[#This Row],[Description]],75)</f>
        <v>RAMBLE HOUSE LLC         CREEDE</v>
      </c>
    </row>
    <row r="7478" spans="1:15" hidden="1">
      <c r="A7478" s="25">
        <f t="shared" si="32"/>
        <v>202207</v>
      </c>
      <c r="B7478" s="6">
        <v>44757</v>
      </c>
      <c r="C7478" t="s">
        <v>2262</v>
      </c>
      <c r="D7478" t="s">
        <v>1549</v>
      </c>
      <c r="E7478">
        <f t="shared" si="33"/>
        <v>44.12</v>
      </c>
      <c r="F7478" s="2" t="e">
        <f>IF(Table2[[#This Row],[Manual Cat Value]]="",VLOOKUP(Table2[[#This Row],[Description]],'Actuals Lookup'!D:F,3,0),Table2[[#This Row],[Manual Cat Value]])</f>
        <v>#N/A</v>
      </c>
      <c r="G7478" t="str">
        <f>VLOOKUP(D7478,Lookup!G:H,2,0)</f>
        <v>travel</v>
      </c>
      <c r="J7478">
        <v>44.12</v>
      </c>
      <c r="K7478" s="6"/>
      <c r="L7478" s="6"/>
      <c r="M7478" t="s">
        <v>2513</v>
      </c>
      <c r="O7478" t="str">
        <f>LEFT(Table2[[#This Row],[Description]],75)</f>
        <v>RAOCOPARKSWILDLIFE CO   88857272</v>
      </c>
    </row>
    <row r="7479" spans="1:15" hidden="1">
      <c r="A7479" s="25">
        <f t="shared" si="32"/>
        <v>202207</v>
      </c>
      <c r="B7479" s="6">
        <v>44760</v>
      </c>
      <c r="C7479" t="s">
        <v>2265</v>
      </c>
      <c r="D7479" t="s">
        <v>1286</v>
      </c>
      <c r="E7479">
        <f t="shared" si="33"/>
        <v>200</v>
      </c>
      <c r="F7479" s="2" t="e">
        <f>IF(Table2[[#This Row],[Manual Cat Value]]="",VLOOKUP(Table2[[#This Row],[Description]],'Actuals Lookup'!D:F,3,0),Table2[[#This Row],[Manual Cat Value]])</f>
        <v>#N/A</v>
      </c>
      <c r="G7479" t="str">
        <f>VLOOKUP(D7479,Lookup!G:H,2,0)</f>
        <v>Delete</v>
      </c>
      <c r="J7479">
        <v>200</v>
      </c>
      <c r="K7479" s="6"/>
      <c r="L7479" s="6"/>
      <c r="M7479" t="s">
        <v>2513</v>
      </c>
      <c r="O7479" t="str">
        <f>LEFT(Table2[[#This Row],[Description]],75)</f>
        <v>MN DIR ACH TYPE CONTRIB ID CO MN</v>
      </c>
    </row>
    <row r="7480" spans="1:15" hidden="1">
      <c r="A7480" s="25">
        <f t="shared" si="32"/>
        <v>202207</v>
      </c>
      <c r="B7480" s="6">
        <v>44760</v>
      </c>
      <c r="C7480" t="s">
        <v>2447</v>
      </c>
      <c r="D7480" t="s">
        <v>1398</v>
      </c>
      <c r="E7480">
        <f t="shared" si="33"/>
        <v>41.4</v>
      </c>
      <c r="F7480" s="2" t="str">
        <f>IF(Table2[[#This Row],[Manual Cat Value]]="",VLOOKUP(Table2[[#This Row],[Description]],'Actuals Lookup'!D:F,3,0),Table2[[#This Row],[Manual Cat Value]])</f>
        <v>Delete</v>
      </c>
      <c r="G7480" t="str">
        <f>VLOOKUP(D7480,Lookup!G:H,2,0)</f>
        <v>Groceries</v>
      </c>
      <c r="H7480" s="8" t="s">
        <v>9</v>
      </c>
      <c r="J7480">
        <v>41.4</v>
      </c>
      <c r="K7480" s="6"/>
      <c r="L7480" s="6"/>
      <c r="M7480" t="s">
        <v>2513</v>
      </c>
      <c r="O7480" t="str">
        <f>LEFT(Table2[[#This Row],[Description]],75)</f>
        <v>Park Avenue Liquor</v>
      </c>
    </row>
    <row r="7481" spans="1:15" hidden="1">
      <c r="A7481" s="25">
        <f>VALUE(YEAR(Table2[[#This Row],[Date]])&amp;TEXT(MONTH(Table2[[#This Row],[Date]]),"00"))</f>
        <v>202207</v>
      </c>
      <c r="B7481" s="6">
        <v>44760</v>
      </c>
      <c r="C7481" t="s">
        <v>2447</v>
      </c>
      <c r="D7481" t="s">
        <v>2623</v>
      </c>
      <c r="E7481">
        <f t="shared" si="33"/>
        <v>41.4</v>
      </c>
      <c r="F7481" s="2" t="str">
        <f>IF(Table2[[#This Row],[Manual Cat Value]]="",VLOOKUP(Table2[[#This Row],[Description]],'Actuals Lookup'!D:F,3,0),Table2[[#This Row],[Manual Cat Value]])</f>
        <v>Exp - Groceries</v>
      </c>
      <c r="G7481" t="e">
        <f>VLOOKUP(D7481,Lookup!G:H,2,0)</f>
        <v>#N/A</v>
      </c>
      <c r="H7481" s="8" t="s">
        <v>27</v>
      </c>
      <c r="J7481">
        <v>41.4</v>
      </c>
      <c r="M7481" t="s">
        <v>2513</v>
      </c>
      <c r="O7481" t="str">
        <f>LEFT(Table2[[#This Row],[Description]],75)</f>
        <v>PARK AVENUE LIQUOR MONTE VISTA CO</v>
      </c>
    </row>
    <row r="7482" spans="1:15" hidden="1">
      <c r="A7482" s="25">
        <f>VALUE(YEAR(B7482)&amp;TEXT(MONTH(B7482),"00"))</f>
        <v>202207</v>
      </c>
      <c r="B7482" s="6">
        <v>44760</v>
      </c>
      <c r="C7482" t="s">
        <v>2447</v>
      </c>
      <c r="D7482" t="s">
        <v>1916</v>
      </c>
      <c r="E7482">
        <f t="shared" si="33"/>
        <v>36.75</v>
      </c>
      <c r="F7482" s="2" t="e">
        <f>IF(Table2[[#This Row],[Manual Cat Value]]="",VLOOKUP(Table2[[#This Row],[Description]],'Actuals Lookup'!D:F,3,0),Table2[[#This Row],[Manual Cat Value]])</f>
        <v>#N/A</v>
      </c>
      <c r="G7482" t="str">
        <f>VLOOKUP(D7482,Lookup!G:H,2,0)</f>
        <v>Restaurants</v>
      </c>
      <c r="J7482">
        <v>36.75</v>
      </c>
      <c r="K7482" s="6"/>
      <c r="L7482" s="6"/>
      <c r="M7482" t="s">
        <v>2513</v>
      </c>
      <c r="O7482" t="str">
        <f>LEFT(Table2[[#This Row],[Description]],75)</f>
        <v>TOMMYKNOCKER TAVERN CREEDE CO</v>
      </c>
    </row>
    <row r="7483" spans="1:15" hidden="1">
      <c r="A7483" s="25">
        <f>VALUE(YEAR(B7483)&amp;TEXT(MONTH(B7483),"00"))</f>
        <v>202207</v>
      </c>
      <c r="B7483" s="6">
        <v>44760</v>
      </c>
      <c r="C7483" t="s">
        <v>2265</v>
      </c>
      <c r="D7483" t="s">
        <v>1955</v>
      </c>
      <c r="E7483">
        <f t="shared" si="33"/>
        <v>21.59</v>
      </c>
      <c r="F7483" s="2" t="str">
        <f>IF(Table2[[#This Row],[Manual Cat Value]]="",VLOOKUP(Table2[[#This Row],[Description]],'Actuals Lookup'!D:F,3,0),Table2[[#This Row],[Manual Cat Value]])</f>
        <v>Shopping</v>
      </c>
      <c r="G7483" t="str">
        <f>VLOOKUP(D7483,Lookup!G:H,2,0)</f>
        <v>Shopping</v>
      </c>
      <c r="J7483">
        <v>21.59</v>
      </c>
      <c r="K7483" s="6"/>
      <c r="L7483" s="6"/>
      <c r="M7483" t="s">
        <v>2513</v>
      </c>
      <c r="O7483" t="str">
        <f>LEFT(Table2[[#This Row],[Description]],75)</f>
        <v>Transfer to PayPal</v>
      </c>
    </row>
    <row r="7484" spans="1:15" hidden="1">
      <c r="A7484" s="25">
        <f>VALUE(YEAR(Table2[[#This Row],[Date]])&amp;TEXT(MONTH(Table2[[#This Row],[Date]]),"00"))</f>
        <v>202207</v>
      </c>
      <c r="B7484" s="6">
        <v>44761</v>
      </c>
      <c r="C7484" t="s">
        <v>2262</v>
      </c>
      <c r="D7484" t="s">
        <v>2624</v>
      </c>
      <c r="E7484">
        <f t="shared" si="33"/>
        <v>31.53</v>
      </c>
      <c r="F7484" s="2" t="str">
        <f>IF(Table2[[#This Row],[Manual Cat Value]]="",VLOOKUP(Table2[[#This Row],[Description]],'Actuals Lookup'!D:F,3,0),Table2[[#This Row],[Manual Cat Value]])</f>
        <v>Exp - Transportation</v>
      </c>
      <c r="G7484" t="e">
        <f>VLOOKUP(D7484,Lookup!G:H,2,0)</f>
        <v>#N/A</v>
      </c>
      <c r="H7484" s="8" t="s">
        <v>22</v>
      </c>
      <c r="J7484">
        <v>31.53</v>
      </c>
      <c r="M7484" t="s">
        <v>2513</v>
      </c>
      <c r="O7484" t="str">
        <f>LEFT(Table2[[#This Row],[Description]],75)</f>
        <v>CONOCO - ALTA CONVENIENCEMONTE VISTA CO REF #2403454JP01W37BJK</v>
      </c>
    </row>
    <row r="7485" spans="1:15" hidden="1">
      <c r="A7485" s="25">
        <f>VALUE(YEAR(B7485)&amp;TEXT(MONTH(B7485),"00"))</f>
        <v>202207</v>
      </c>
      <c r="B7485" s="6">
        <v>44761</v>
      </c>
      <c r="C7485" t="s">
        <v>2447</v>
      </c>
      <c r="D7485" t="s">
        <v>1067</v>
      </c>
      <c r="E7485">
        <f t="shared" si="33"/>
        <v>11.86</v>
      </c>
      <c r="F7485" s="2" t="e">
        <f>IF(Table2[[#This Row],[Manual Cat Value]]="",VLOOKUP(Table2[[#This Row],[Description]],'Actuals Lookup'!D:F,3,0),Table2[[#This Row],[Manual Cat Value]])</f>
        <v>#N/A</v>
      </c>
      <c r="G7485" t="str">
        <f>VLOOKUP(D7485,Lookup!G:H,2,0)</f>
        <v>Restaurants</v>
      </c>
      <c r="J7485">
        <v>11.86</v>
      </c>
      <c r="K7485" s="6"/>
      <c r="L7485" s="6"/>
      <c r="M7485" t="s">
        <v>2513</v>
      </c>
      <c r="O7485" t="str">
        <f>LEFT(Table2[[#This Row],[Description]],75)</f>
        <v>KFC/PHX I675001</v>
      </c>
    </row>
    <row r="7486" spans="1:15" ht="30" hidden="1">
      <c r="A7486" s="25">
        <f>VALUE(YEAR(Table2[[#This Row],[Date]])&amp;TEXT(MONTH(Table2[[#This Row],[Date]]),"00"))</f>
        <v>202207</v>
      </c>
      <c r="B7486" s="6">
        <v>44761</v>
      </c>
      <c r="C7486" t="s">
        <v>2447</v>
      </c>
      <c r="D7486" s="7" t="s">
        <v>2625</v>
      </c>
      <c r="E7486">
        <f t="shared" si="33"/>
        <v>11.86</v>
      </c>
      <c r="F7486" s="2" t="str">
        <f>IF(Table2[[#This Row],[Manual Cat Value]]="",VLOOKUP(Table2[[#This Row],[Description]],'Actuals Lookup'!D:F,3,0),Table2[[#This Row],[Manual Cat Value]])</f>
        <v>Exp - Restaurants</v>
      </c>
      <c r="G7486" t="e">
        <f>VLOOKUP(D7486,Lookup!G:H,2,0)</f>
        <v>#N/A</v>
      </c>
      <c r="H7486" s="78" t="s">
        <v>25</v>
      </c>
      <c r="J7486">
        <v>11.86</v>
      </c>
      <c r="M7486" t="s">
        <v>2513</v>
      </c>
      <c r="O7486" t="str">
        <f>LEFT(Table2[[#This Row],[Description]],75)</f>
        <v>KFC/PHX I675001 DENVER CO
APPLE PAY ENDING IN 8856</v>
      </c>
    </row>
    <row r="7487" spans="1:15" hidden="1">
      <c r="A7487" s="25">
        <f>VALUE(YEAR(Table2[[#This Row],[Date]])&amp;TEXT(MONTH(Table2[[#This Row],[Date]]),"00"))</f>
        <v>202207</v>
      </c>
      <c r="B7487" s="6">
        <v>44761</v>
      </c>
      <c r="C7487" t="s">
        <v>2265</v>
      </c>
      <c r="D7487" t="s">
        <v>2626</v>
      </c>
      <c r="E7487">
        <f t="shared" si="33"/>
        <v>536.5</v>
      </c>
      <c r="F7487" s="2" t="str">
        <f>IF(Table2[[#This Row],[Manual Cat Value]]="",VLOOKUP(Table2[[#This Row],[Description]],'Actuals Lookup'!D:F,3,0),Table2[[#This Row],[Manual Cat Value]])</f>
        <v>Exp - Day Care</v>
      </c>
      <c r="G7487" t="e">
        <f>VLOOKUP(D7487,Lookup!G:H,2,0)</f>
        <v>#N/A</v>
      </c>
      <c r="H7487" s="8" t="s">
        <v>19</v>
      </c>
      <c r="J7487">
        <v>536.5</v>
      </c>
      <c r="M7487" t="s">
        <v>2513</v>
      </c>
      <c r="O7487" t="str">
        <f>LEFT(Table2[[#This Row],[Description]],75)</f>
        <v xml:space="preserve">Withdrawal ACH MHCHILDCARELLC TYPE: DUES ID: 1824708198 CO: MHCHILDCARELLC </v>
      </c>
    </row>
    <row r="7488" spans="1:15" hidden="1">
      <c r="A7488" s="25">
        <f>VALUE(YEAR(B7488)&amp;TEXT(MONTH(B7488),"00"))</f>
        <v>202207</v>
      </c>
      <c r="B7488" s="6">
        <v>44762</v>
      </c>
      <c r="C7488" t="s">
        <v>2447</v>
      </c>
      <c r="D7488" t="s">
        <v>133</v>
      </c>
      <c r="E7488">
        <f t="shared" si="33"/>
        <v>12.87</v>
      </c>
      <c r="F7488" s="2" t="e">
        <f>IF(Table2[[#This Row],[Manual Cat Value]]="",VLOOKUP(Table2[[#This Row],[Description]],'Actuals Lookup'!D:F,3,0),Table2[[#This Row],[Manual Cat Value]])</f>
        <v>#N/A</v>
      </c>
      <c r="G7488" t="str">
        <f>VLOOKUP(D7488,Lookup!G:H,2,0)</f>
        <v>Amazon</v>
      </c>
      <c r="J7488">
        <v>12.87</v>
      </c>
      <c r="K7488" s="6"/>
      <c r="L7488" s="6"/>
      <c r="M7488" t="s">
        <v>2513</v>
      </c>
      <c r="O7488" t="str">
        <f>LEFT(Table2[[#This Row],[Description]],75)</f>
        <v>AMZN Mktp US</v>
      </c>
    </row>
    <row r="7489" spans="1:15" hidden="1">
      <c r="A7489" s="25">
        <f>VALUE(YEAR(B7489)&amp;TEXT(MONTH(B7489),"00"))</f>
        <v>202207</v>
      </c>
      <c r="B7489" s="6">
        <v>44762</v>
      </c>
      <c r="C7489" t="s">
        <v>2447</v>
      </c>
      <c r="D7489" t="s">
        <v>133</v>
      </c>
      <c r="E7489">
        <f t="shared" si="33"/>
        <v>20.39</v>
      </c>
      <c r="F7489" s="2" t="e">
        <f>IF(Table2[[#This Row],[Manual Cat Value]]="",VLOOKUP(Table2[[#This Row],[Description]],'Actuals Lookup'!D:F,3,0),Table2[[#This Row],[Manual Cat Value]])</f>
        <v>#N/A</v>
      </c>
      <c r="G7489" t="str">
        <f>VLOOKUP(D7489,Lookup!G:H,2,0)</f>
        <v>Amazon</v>
      </c>
      <c r="J7489">
        <v>20.39</v>
      </c>
      <c r="K7489" s="6"/>
      <c r="L7489" s="6"/>
      <c r="M7489" t="s">
        <v>2513</v>
      </c>
      <c r="O7489" t="str">
        <f>LEFT(Table2[[#This Row],[Description]],75)</f>
        <v>AMZN Mktp US</v>
      </c>
    </row>
    <row r="7490" spans="1:15" hidden="1">
      <c r="A7490" s="25">
        <f>VALUE(YEAR(B7490)&amp;TEXT(MONTH(B7490),"00"))</f>
        <v>202207</v>
      </c>
      <c r="B7490" s="6">
        <v>44762</v>
      </c>
      <c r="C7490" t="s">
        <v>2447</v>
      </c>
      <c r="D7490" t="s">
        <v>809</v>
      </c>
      <c r="E7490">
        <f t="shared" si="33"/>
        <v>54</v>
      </c>
      <c r="F7490" s="2" t="e">
        <f>IF(Table2[[#This Row],[Manual Cat Value]]="",VLOOKUP(Table2[[#This Row],[Description]],'Actuals Lookup'!D:F,3,0),Table2[[#This Row],[Manual Cat Value]])</f>
        <v>#N/A</v>
      </c>
      <c r="G7490" t="str">
        <f>VLOOKUP(D7490,Lookup!G:H,2,0)</f>
        <v>Shopping</v>
      </c>
      <c r="J7490">
        <v>54</v>
      </c>
      <c r="K7490" s="6"/>
      <c r="L7490" s="6"/>
      <c r="M7490" t="s">
        <v>2513</v>
      </c>
      <c r="O7490" t="str">
        <f>LEFT(Table2[[#This Row],[Description]],75)</f>
        <v>ELITE NAILS LLC</v>
      </c>
    </row>
    <row r="7491" spans="1:15" hidden="1">
      <c r="A7491" s="25">
        <f>VALUE(YEAR(Table2[[#This Row],[Date]])&amp;TEXT(MONTH(Table2[[#This Row],[Date]]),"00"))</f>
        <v>202207</v>
      </c>
      <c r="B7491" s="6">
        <v>44762</v>
      </c>
      <c r="C7491" t="s">
        <v>2447</v>
      </c>
      <c r="D7491" t="s">
        <v>810</v>
      </c>
      <c r="E7491">
        <f t="shared" si="33"/>
        <v>54</v>
      </c>
      <c r="F7491" s="2" t="str">
        <f>IF(Table2[[#This Row],[Manual Cat Value]]="",VLOOKUP(Table2[[#This Row],[Description]],'Actuals Lookup'!D:F,3,0),Table2[[#This Row],[Manual Cat Value]])</f>
        <v>Exp - Shopping</v>
      </c>
      <c r="G7491" t="str">
        <f>VLOOKUP(D7491,Lookup!G:H,2,0)</f>
        <v>Shopping</v>
      </c>
      <c r="H7491" s="8" t="s">
        <v>36</v>
      </c>
      <c r="J7491">
        <v>54</v>
      </c>
      <c r="M7491" t="s">
        <v>2513</v>
      </c>
      <c r="O7491" t="str">
        <f>LEFT(Table2[[#This Row],[Description]],75)</f>
        <v>ELITE NAILS LLC CHANHASSEN MN</v>
      </c>
    </row>
    <row r="7492" spans="1:15" ht="30" hidden="1">
      <c r="A7492" s="25">
        <f>VALUE(YEAR(Table2[[#This Row],[Date]])&amp;TEXT(MONTH(Table2[[#This Row],[Date]]),"00"))</f>
        <v>202207</v>
      </c>
      <c r="B7492" s="6">
        <v>44763</v>
      </c>
      <c r="C7492" t="s">
        <v>2447</v>
      </c>
      <c r="D7492" s="7" t="s">
        <v>2627</v>
      </c>
      <c r="E7492">
        <f t="shared" si="33"/>
        <v>12.87</v>
      </c>
      <c r="F7492" s="2" t="str">
        <f>IF(Table2[[#This Row],[Manual Cat Value]]="",VLOOKUP(Table2[[#This Row],[Description]],'Actuals Lookup'!D:F,3,0),Table2[[#This Row],[Manual Cat Value]])</f>
        <v>Exp - Amazon</v>
      </c>
      <c r="G7492" t="e">
        <f>VLOOKUP(D7492,Lookup!G:H,2,0)</f>
        <v>#N/A</v>
      </c>
      <c r="H7492" s="78" t="s">
        <v>37</v>
      </c>
      <c r="J7492">
        <v>12.87</v>
      </c>
      <c r="M7492" t="s">
        <v>2513</v>
      </c>
      <c r="O7492" t="str">
        <f>LEFT(Table2[[#This Row],[Description]],75)</f>
        <v>AMZN MKTP US*5Z0PV0H83 AMZN.COM/BILLWA
4VCQ4BUTFM2</v>
      </c>
    </row>
    <row r="7493" spans="1:15" ht="30" hidden="1">
      <c r="A7493" s="25">
        <f>VALUE(YEAR(Table2[[#This Row],[Date]])&amp;TEXT(MONTH(Table2[[#This Row],[Date]]),"00"))</f>
        <v>202207</v>
      </c>
      <c r="B7493" s="6">
        <v>44763</v>
      </c>
      <c r="C7493" t="s">
        <v>2447</v>
      </c>
      <c r="D7493" s="7" t="s">
        <v>2628</v>
      </c>
      <c r="E7493">
        <f t="shared" si="33"/>
        <v>20.39</v>
      </c>
      <c r="F7493" s="2" t="str">
        <f>IF(Table2[[#This Row],[Manual Cat Value]]="",VLOOKUP(Table2[[#This Row],[Description]],'Actuals Lookup'!D:F,3,0),Table2[[#This Row],[Manual Cat Value]])</f>
        <v>Exp - Amazon</v>
      </c>
      <c r="G7493" t="e">
        <f>VLOOKUP(D7493,Lookup!G:H,2,0)</f>
        <v>#N/A</v>
      </c>
      <c r="H7493" s="78" t="s">
        <v>37</v>
      </c>
      <c r="J7493">
        <v>20.39</v>
      </c>
      <c r="M7493" t="s">
        <v>2513</v>
      </c>
      <c r="O7493" t="str">
        <f>LEFT(Table2[[#This Row],[Description]],75)</f>
        <v>AMZN MKTP US*ZW5RN4NR3 AMZN.COM/BILLWA
2J1RRE48SAS</v>
      </c>
    </row>
    <row r="7494" spans="1:15" hidden="1">
      <c r="A7494" s="25">
        <f>VALUE(YEAR(Table2[[#This Row],[Date]])&amp;TEXT(MONTH(Table2[[#This Row],[Date]]),"00"))</f>
        <v>202207</v>
      </c>
      <c r="B7494" s="6">
        <v>44763</v>
      </c>
      <c r="C7494" t="s">
        <v>2262</v>
      </c>
      <c r="D7494" t="s">
        <v>2629</v>
      </c>
      <c r="E7494">
        <f t="shared" si="33"/>
        <v>9</v>
      </c>
      <c r="F7494" s="2" t="str">
        <f>IF(Table2[[#This Row],[Manual Cat Value]]="",VLOOKUP(Table2[[#This Row],[Description]],'Actuals Lookup'!D:F,3,0),Table2[[#This Row],[Manual Cat Value]])</f>
        <v>Exp - Utilities</v>
      </c>
      <c r="G7494" t="e">
        <f>VLOOKUP(D7494,Lookup!G:H,2,0)</f>
        <v>#N/A</v>
      </c>
      <c r="H7494" s="8" t="s">
        <v>6</v>
      </c>
      <c r="J7494">
        <v>9</v>
      </c>
      <c r="M7494" t="s">
        <v>2513</v>
      </c>
      <c r="O7494" t="str">
        <f>LEFT(Table2[[#This Row],[Description]],75)</f>
        <v>BONFES PLUMBING HEATING ASOUTH SAINT PMN REF #2427539JTS66KL994</v>
      </c>
    </row>
    <row r="7495" spans="1:15" hidden="1">
      <c r="A7495" s="25">
        <f>VALUE(YEAR(Table2[[#This Row],[Date]])&amp;TEXT(MONTH(Table2[[#This Row],[Date]]),"00"))</f>
        <v>202207</v>
      </c>
      <c r="B7495" s="6">
        <v>44763</v>
      </c>
      <c r="C7495" t="s">
        <v>2262</v>
      </c>
      <c r="D7495" t="s">
        <v>2630</v>
      </c>
      <c r="E7495">
        <f t="shared" si="33"/>
        <v>657.2</v>
      </c>
      <c r="F7495" s="2" t="str">
        <f>IF(Table2[[#This Row],[Manual Cat Value]]="",VLOOKUP(Table2[[#This Row],[Description]],'Actuals Lookup'!D:F,3,0),Table2[[#This Row],[Manual Cat Value]])</f>
        <v>Delete</v>
      </c>
      <c r="G7495" t="e">
        <f>VLOOKUP(D7495,Lookup!G:H,2,0)</f>
        <v>#N/A</v>
      </c>
      <c r="H7495" s="8" t="s">
        <v>9</v>
      </c>
      <c r="I7495" t="s">
        <v>2631</v>
      </c>
      <c r="J7495">
        <v>657.2</v>
      </c>
      <c r="M7495" t="s">
        <v>2513</v>
      </c>
      <c r="O7495" t="str">
        <f>LEFT(Table2[[#This Row],[Description]],75)</f>
        <v>DELTA AIR 0062328911019DELTA.COM CA REF #2471705JTTQ3YPARL</v>
      </c>
    </row>
    <row r="7496" spans="1:15" hidden="1">
      <c r="A7496" s="25">
        <f>VALUE(YEAR(Table2[[#This Row],[Date]])&amp;TEXT(MONTH(Table2[[#This Row],[Date]]),"00"))</f>
        <v>202207</v>
      </c>
      <c r="B7496" s="6">
        <v>44763</v>
      </c>
      <c r="C7496" t="s">
        <v>2265</v>
      </c>
      <c r="D7496" t="s">
        <v>2632</v>
      </c>
      <c r="E7496">
        <f t="shared" si="33"/>
        <v>-2448.73</v>
      </c>
      <c r="F7496" s="2" t="str">
        <f>IF(Table2[[#This Row],[Manual Cat Value]]="",VLOOKUP(Table2[[#This Row],[Description]],'Actuals Lookup'!D:F,3,0),Table2[[#This Row],[Manual Cat Value]])</f>
        <v>Inc - Britney</v>
      </c>
      <c r="G7496" t="e">
        <f>VLOOKUP(D7496,Lookup!G:H,2,0)</f>
        <v>#N/A</v>
      </c>
      <c r="H7496" s="8" t="s">
        <v>65</v>
      </c>
      <c r="J7496">
        <v>2448.73</v>
      </c>
      <c r="M7496" t="s">
        <v>2621</v>
      </c>
      <c r="O7496" t="str">
        <f>LEFT(Table2[[#This Row],[Description]],75)</f>
        <v>Deposit ACH CARGILL INCORPOR TYPE: DIRECT DEP ID: 9111111101 CO: CARGILL IN</v>
      </c>
    </row>
    <row r="7497" spans="1:15" hidden="1">
      <c r="A7497" s="25">
        <f>VALUE(YEAR(Table2[[#This Row],[Date]])&amp;TEXT(MONTH(Table2[[#This Row],[Date]]),"00"))</f>
        <v>202207</v>
      </c>
      <c r="B7497" s="6">
        <v>44763</v>
      </c>
      <c r="C7497" t="s">
        <v>2262</v>
      </c>
      <c r="D7497" t="s">
        <v>2633</v>
      </c>
      <c r="E7497">
        <f t="shared" si="33"/>
        <v>451.18</v>
      </c>
      <c r="F7497" s="2" t="str">
        <f>IF(Table2[[#This Row],[Manual Cat Value]]="",VLOOKUP(Table2[[#This Row],[Description]],'Actuals Lookup'!D:F,3,0),Table2[[#This Row],[Manual Cat Value]])</f>
        <v>Delete</v>
      </c>
      <c r="G7497" t="e">
        <f>VLOOKUP(D7497,Lookup!G:H,2,0)</f>
        <v>#N/A</v>
      </c>
      <c r="H7497" s="8" t="s">
        <v>9</v>
      </c>
      <c r="I7497" t="s">
        <v>2634</v>
      </c>
      <c r="J7497">
        <v>451.18</v>
      </c>
      <c r="M7497" t="s">
        <v>2513</v>
      </c>
      <c r="O7497" t="str">
        <f>LEFT(Table2[[#This Row],[Description]],75)</f>
        <v>FH* FURY ADVENTURES 185-54955551 FL REF #2449216JT000WKYQH</v>
      </c>
    </row>
    <row r="7498" spans="1:15" hidden="1">
      <c r="A7498" s="25">
        <f>VALUE(YEAR(Table2[[#This Row],[Date]])&amp;TEXT(MONTH(Table2[[#This Row],[Date]]),"00"))</f>
        <v>202207</v>
      </c>
      <c r="B7498" s="6">
        <v>44763</v>
      </c>
      <c r="C7498" t="s">
        <v>2262</v>
      </c>
      <c r="D7498" t="s">
        <v>2635</v>
      </c>
      <c r="E7498">
        <f t="shared" si="33"/>
        <v>100</v>
      </c>
      <c r="F7498" s="2" t="str">
        <f>IF(Table2[[#This Row],[Manual Cat Value]]="",VLOOKUP(Table2[[#This Row],[Description]],'Actuals Lookup'!D:F,3,0),Table2[[#This Row],[Manual Cat Value]])</f>
        <v>Exp - Travel</v>
      </c>
      <c r="G7498" t="e">
        <f>VLOOKUP(D7498,Lookup!G:H,2,0)</f>
        <v>#N/A</v>
      </c>
      <c r="H7498" s="8" t="s">
        <v>52</v>
      </c>
      <c r="J7498">
        <v>100</v>
      </c>
      <c r="M7498" t="s">
        <v>2513</v>
      </c>
      <c r="O7498" t="str">
        <f>LEFT(Table2[[#This Row],[Description]],75)</f>
        <v>FH* KEY WEST PROMOTION 185-54955551 FL REF #2449216JT000XB05F</v>
      </c>
    </row>
    <row r="7499" spans="1:15" hidden="1">
      <c r="A7499" s="25">
        <f>VALUE(YEAR(Table2[[#This Row],[Date]])&amp;TEXT(MONTH(Table2[[#This Row],[Date]]),"00"))</f>
        <v>202207</v>
      </c>
      <c r="B7499" s="6">
        <v>44763</v>
      </c>
      <c r="C7499" t="s">
        <v>2262</v>
      </c>
      <c r="D7499" t="s">
        <v>2636</v>
      </c>
      <c r="E7499">
        <f t="shared" si="33"/>
        <v>36.409999999999997</v>
      </c>
      <c r="F7499" s="2" t="str">
        <f>IF(Table2[[#This Row],[Manual Cat Value]]="",VLOOKUP(Table2[[#This Row],[Description]],'Actuals Lookup'!D:F,3,0),Table2[[#This Row],[Manual Cat Value]])</f>
        <v>Exp - Restaurants</v>
      </c>
      <c r="G7499" t="e">
        <f>VLOOKUP(D7499,Lookup!G:H,2,0)</f>
        <v>#N/A</v>
      </c>
      <c r="H7499" s="8" t="s">
        <v>25</v>
      </c>
      <c r="J7499">
        <v>36.409999999999997</v>
      </c>
      <c r="M7499" t="s">
        <v>2513</v>
      </c>
      <c r="O7499" t="str">
        <f>LEFT(Table2[[#This Row],[Description]],75)</f>
        <v>MACKENTHUN'S MEATS &amp; DELIST BONIFACIUSMN REF #2445388JS000A3GET</v>
      </c>
    </row>
    <row r="7500" spans="1:15" hidden="1">
      <c r="A7500" s="25">
        <f>VALUE(YEAR(Table2[[#This Row],[Date]])&amp;TEXT(MONTH(Table2[[#This Row],[Date]]),"00"))</f>
        <v>202207</v>
      </c>
      <c r="B7500" s="6">
        <v>44763</v>
      </c>
      <c r="C7500" t="s">
        <v>2262</v>
      </c>
      <c r="D7500" t="s">
        <v>2637</v>
      </c>
      <c r="E7500">
        <f t="shared" si="33"/>
        <v>16.73</v>
      </c>
      <c r="F7500" s="2" t="str">
        <f>IF(Table2[[#This Row],[Manual Cat Value]]="",VLOOKUP(Table2[[#This Row],[Description]],'Actuals Lookup'!D:F,3,0),Table2[[#This Row],[Manual Cat Value]])</f>
        <v>Exp - Utilities</v>
      </c>
      <c r="G7500" t="e">
        <f>VLOOKUP(D7500,Lookup!G:H,2,0)</f>
        <v>#N/A</v>
      </c>
      <c r="H7500" s="8" t="s">
        <v>6</v>
      </c>
      <c r="J7500">
        <v>16.73</v>
      </c>
      <c r="M7500" t="s">
        <v>2513</v>
      </c>
      <c r="O7500" t="str">
        <f>LEFT(Table2[[#This Row],[Description]],75)</f>
        <v>Netflix.com 866-5797172 CA REF #2490641JT4DP0ALM6</v>
      </c>
    </row>
    <row r="7501" spans="1:15" hidden="1">
      <c r="A7501" s="25">
        <f>VALUE(YEAR(Table2[[#This Row],[Date]])&amp;TEXT(MONTH(Table2[[#This Row],[Date]]),"00"))</f>
        <v>202207</v>
      </c>
      <c r="B7501" s="6">
        <v>44763</v>
      </c>
      <c r="C7501" t="s">
        <v>2262</v>
      </c>
      <c r="D7501" t="s">
        <v>2638</v>
      </c>
      <c r="E7501">
        <f t="shared" si="33"/>
        <v>157.13</v>
      </c>
      <c r="F7501" s="2" t="str">
        <f>IF(Table2[[#This Row],[Manual Cat Value]]="",VLOOKUP(Table2[[#This Row],[Description]],'Actuals Lookup'!D:F,3,0),Table2[[#This Row],[Manual Cat Value]])</f>
        <v>Exp - Restaurants</v>
      </c>
      <c r="G7501" t="e">
        <f>VLOOKUP(D7501,Lookup!G:H,2,0)</f>
        <v>#N/A</v>
      </c>
      <c r="H7501" s="8" t="s">
        <v>25</v>
      </c>
      <c r="J7501">
        <v>157.13</v>
      </c>
      <c r="M7501" t="s">
        <v>2513</v>
      </c>
      <c r="O7501" t="str">
        <f>LEFT(Table2[[#This Row],[Description]],75)</f>
        <v>TST* Red Cow - 50th St Minneapolis MN REF #2469216JT2XM83KFK</v>
      </c>
    </row>
    <row r="7502" spans="1:15" hidden="1">
      <c r="A7502" s="25">
        <f>VALUE(YEAR(Table2[[#This Row],[Date]])&amp;TEXT(MONTH(Table2[[#This Row],[Date]]),"00"))</f>
        <v>202207</v>
      </c>
      <c r="B7502" s="6">
        <v>44763</v>
      </c>
      <c r="C7502" t="s">
        <v>2265</v>
      </c>
      <c r="D7502" t="s">
        <v>2639</v>
      </c>
      <c r="E7502">
        <f t="shared" si="33"/>
        <v>30.66</v>
      </c>
      <c r="F7502" s="2" t="str">
        <f>IF(Table2[[#This Row],[Manual Cat Value]]="",VLOOKUP(Table2[[#This Row],[Description]],'Actuals Lookup'!D:F,3,0),Table2[[#This Row],[Manual Cat Value]])</f>
        <v>Exp - Utilities</v>
      </c>
      <c r="G7502" t="e">
        <f>VLOOKUP(D7502,Lookup!G:H,2,0)</f>
        <v>#N/A</v>
      </c>
      <c r="H7502" s="8" t="s">
        <v>6</v>
      </c>
      <c r="J7502">
        <v>30.66</v>
      </c>
      <c r="M7502" t="s">
        <v>2513</v>
      </c>
      <c r="O7502" t="str">
        <f>LEFT(Table2[[#This Row],[Description]],75)</f>
        <v xml:space="preserve">Withdrawal ACH CITY OF CHANHASS TYPE: UTIL BILL ID: 1410885331 CO: CITY OF </v>
      </c>
    </row>
    <row r="7503" spans="1:15" hidden="1">
      <c r="A7503" s="25">
        <f>VALUE(YEAR(Table2[[#This Row],[Date]])&amp;TEXT(MONTH(Table2[[#This Row],[Date]]),"00"))</f>
        <v>202207</v>
      </c>
      <c r="B7503" s="6">
        <v>44763</v>
      </c>
      <c r="C7503" t="s">
        <v>2265</v>
      </c>
      <c r="D7503" t="s">
        <v>2640</v>
      </c>
      <c r="E7503">
        <f t="shared" si="33"/>
        <v>3140.2</v>
      </c>
      <c r="F7503" s="2" t="str">
        <f>IF(Table2[[#This Row],[Manual Cat Value]]="",VLOOKUP(Table2[[#This Row],[Description]],'Actuals Lookup'!D:F,3,0),Table2[[#This Row],[Manual Cat Value]])</f>
        <v>Delete</v>
      </c>
      <c r="G7503" t="e">
        <f>VLOOKUP(D7503,Lookup!G:H,2,0)</f>
        <v>#N/A</v>
      </c>
      <c r="H7503" s="8" t="s">
        <v>9</v>
      </c>
      <c r="J7503">
        <v>3140.2</v>
      </c>
      <c r="M7503" t="s">
        <v>2513</v>
      </c>
      <c r="O7503" t="str">
        <f>LEFT(Table2[[#This Row],[Description]],75)</f>
        <v>Withdrawal Home Banking Pmt to card XXXXXXXXXXXX-9181</v>
      </c>
    </row>
    <row r="7504" spans="1:15" hidden="1">
      <c r="A7504" s="25">
        <f>VALUE(YEAR(Table2[[#This Row],[Date]])&amp;TEXT(MONTH(Table2[[#This Row],[Date]]),"00"))</f>
        <v>202207</v>
      </c>
      <c r="B7504" s="6">
        <v>44763</v>
      </c>
      <c r="C7504" t="s">
        <v>2262</v>
      </c>
      <c r="D7504" t="s">
        <v>2641</v>
      </c>
      <c r="E7504">
        <f t="shared" ref="E7504:E7535" si="34">IF(M7504="credit",-1*J7504,J7504)</f>
        <v>-3140.2</v>
      </c>
      <c r="F7504" s="2" t="str">
        <f>IF(Table2[[#This Row],[Manual Cat Value]]="",VLOOKUP(Table2[[#This Row],[Description]],'Actuals Lookup'!D:F,3,0),Table2[[#This Row],[Manual Cat Value]])</f>
        <v>Delete</v>
      </c>
      <c r="G7504" t="e">
        <f>VLOOKUP(D7504,Lookup!G:H,2,0)</f>
        <v>#N/A</v>
      </c>
      <c r="H7504" s="8" t="s">
        <v>9</v>
      </c>
      <c r="J7504">
        <v>3140.2</v>
      </c>
      <c r="M7504" t="s">
        <v>2621</v>
      </c>
      <c r="O7504" t="str">
        <f>LEFT(Table2[[#This Row],[Description]],75)</f>
        <v>PAYMENT - THANK YOU REF #7473457JV00XTMJG9</v>
      </c>
    </row>
    <row r="7505" spans="1:15" hidden="1">
      <c r="A7505" s="25">
        <f>VALUE(YEAR(Table2[[#This Row],[Date]])&amp;TEXT(MONTH(Table2[[#This Row],[Date]]),"00"))</f>
        <v>202207</v>
      </c>
      <c r="B7505" s="6">
        <v>44764</v>
      </c>
      <c r="C7505" t="s">
        <v>2262</v>
      </c>
      <c r="D7505" t="s">
        <v>2642</v>
      </c>
      <c r="E7505">
        <f t="shared" si="34"/>
        <v>8.7899999999999991</v>
      </c>
      <c r="F7505" s="2" t="str">
        <f>IF(Table2[[#This Row],[Manual Cat Value]]="",VLOOKUP(Table2[[#This Row],[Description]],'Actuals Lookup'!D:F,3,0),Table2[[#This Row],[Manual Cat Value]])</f>
        <v>Exp - Restaurants</v>
      </c>
      <c r="G7505" t="e">
        <f>VLOOKUP(D7505,Lookup!G:H,2,0)</f>
        <v>#N/A</v>
      </c>
      <c r="H7505" s="8" t="s">
        <v>25</v>
      </c>
      <c r="J7505">
        <v>8.7899999999999991</v>
      </c>
      <c r="M7505" t="s">
        <v>2513</v>
      </c>
      <c r="O7505" t="str">
        <f>LEFT(Table2[[#This Row],[Description]],75)</f>
        <v>JIMMY JOHNS - 724 - E- CHANHASSEN MN REF #2426979JSEJ4DJ9N8</v>
      </c>
    </row>
    <row r="7506" spans="1:15" hidden="1">
      <c r="A7506" s="25">
        <f>VALUE(YEAR(Table2[[#This Row],[Date]])&amp;TEXT(MONTH(Table2[[#This Row],[Date]]),"00"))</f>
        <v>202207</v>
      </c>
      <c r="B7506" s="6">
        <v>44764</v>
      </c>
      <c r="C7506" t="s">
        <v>2262</v>
      </c>
      <c r="D7506" t="s">
        <v>2643</v>
      </c>
      <c r="E7506">
        <f t="shared" si="34"/>
        <v>74.08</v>
      </c>
      <c r="F7506" s="2" t="str">
        <f>IF(Table2[[#This Row],[Manual Cat Value]]="",VLOOKUP(Table2[[#This Row],[Description]],'Actuals Lookup'!D:F,3,0),Table2[[#This Row],[Manual Cat Value]])</f>
        <v>Exp - Transportation</v>
      </c>
      <c r="G7506" t="e">
        <f>VLOOKUP(D7506,Lookup!G:H,2,0)</f>
        <v>#N/A</v>
      </c>
      <c r="H7506" s="8" t="s">
        <v>22</v>
      </c>
      <c r="J7506">
        <v>74.08</v>
      </c>
      <c r="M7506" t="s">
        <v>2513</v>
      </c>
      <c r="O7506" t="str">
        <f>LEFT(Table2[[#This Row],[Description]],75)</f>
        <v>KWIK TRIP 47700004770 ST BONIFACIUSMN REF #2416407JSL3HMGG2S</v>
      </c>
    </row>
    <row r="7507" spans="1:15" hidden="1">
      <c r="A7507" s="25">
        <f>VALUE(YEAR(Table2[[#This Row],[Date]])&amp;TEXT(MONTH(Table2[[#This Row],[Date]]),"00"))</f>
        <v>202207</v>
      </c>
      <c r="B7507" s="6">
        <v>44764</v>
      </c>
      <c r="C7507" t="s">
        <v>2262</v>
      </c>
      <c r="D7507" t="s">
        <v>2644</v>
      </c>
      <c r="E7507">
        <f t="shared" si="34"/>
        <v>80.33</v>
      </c>
      <c r="F7507" s="2" t="str">
        <f>IF(Table2[[#This Row],[Manual Cat Value]]="",VLOOKUP(Table2[[#This Row],[Description]],'Actuals Lookup'!D:F,3,0),Table2[[#This Row],[Manual Cat Value]])</f>
        <v>Exp - Groceries</v>
      </c>
      <c r="G7507" t="e">
        <f>VLOOKUP(D7507,Lookup!G:H,2,0)</f>
        <v>#N/A</v>
      </c>
      <c r="H7507" s="8" t="s">
        <v>27</v>
      </c>
      <c r="J7507">
        <v>80.33</v>
      </c>
      <c r="M7507" t="s">
        <v>2513</v>
      </c>
      <c r="O7507" t="str">
        <f>LEFT(Table2[[#This Row],[Description]],75)</f>
        <v>LUNDS&amp;BYERLYS CHANH CHANHASSEN MN REF #2442733JSM83LLLGN</v>
      </c>
    </row>
    <row r="7508" spans="1:15" hidden="1">
      <c r="A7508" s="25">
        <f>VALUE(YEAR(Table2[[#This Row],[Date]])&amp;TEXT(MONTH(Table2[[#This Row],[Date]]),"00"))</f>
        <v>202207</v>
      </c>
      <c r="B7508" s="6">
        <v>44764</v>
      </c>
      <c r="C7508" t="s">
        <v>2262</v>
      </c>
      <c r="D7508" t="s">
        <v>2645</v>
      </c>
      <c r="E7508">
        <f t="shared" si="34"/>
        <v>60</v>
      </c>
      <c r="F7508" s="2" t="str">
        <f>IF(Table2[[#This Row],[Manual Cat Value]]="",VLOOKUP(Table2[[#This Row],[Description]],'Actuals Lookup'!D:F,3,0),Table2[[#This Row],[Manual Cat Value]])</f>
        <v>Exp - Entertainment</v>
      </c>
      <c r="G7508" t="e">
        <f>VLOOKUP(D7508,Lookup!G:H,2,0)</f>
        <v>#N/A</v>
      </c>
      <c r="H7508" s="8" t="s">
        <v>39</v>
      </c>
      <c r="J7508">
        <v>60</v>
      </c>
      <c r="M7508" t="s">
        <v>2513</v>
      </c>
      <c r="O7508" t="str">
        <f>LEFT(Table2[[#This Row],[Description]],75)</f>
        <v>STAGES THEATRE COMPANY 952-979-1108 MN REF #2463269JSEJ44VNV3</v>
      </c>
    </row>
    <row r="7509" spans="1:15" ht="30" hidden="1">
      <c r="A7509" s="25">
        <f>VALUE(YEAR(Table2[[#This Row],[Date]])&amp;TEXT(MONTH(Table2[[#This Row],[Date]]),"00"))</f>
        <v>202207</v>
      </c>
      <c r="B7509" s="6">
        <v>44765</v>
      </c>
      <c r="C7509" t="s">
        <v>2447</v>
      </c>
      <c r="D7509" s="7" t="s">
        <v>2646</v>
      </c>
      <c r="E7509">
        <f t="shared" si="34"/>
        <v>70.25</v>
      </c>
      <c r="F7509" s="2" t="str">
        <f>IF(Table2[[#This Row],[Manual Cat Value]]="",VLOOKUP(Table2[[#This Row],[Description]],'Actuals Lookup'!D:F,3,0),Table2[[#This Row],[Manual Cat Value]])</f>
        <v>Exp - Restaurants</v>
      </c>
      <c r="G7509" t="e">
        <f>VLOOKUP(D7509,Lookup!G:H,2,0)</f>
        <v>#N/A</v>
      </c>
      <c r="H7509" s="78" t="s">
        <v>25</v>
      </c>
      <c r="J7509">
        <v>70.25</v>
      </c>
      <c r="M7509" t="s">
        <v>2513</v>
      </c>
      <c r="O7509" t="str">
        <f>LEFT(Table2[[#This Row],[Description]],75)</f>
        <v>SQ *ENKI BREWING COMPA VICTORIA MN
0002305843016010699376</v>
      </c>
    </row>
    <row r="7510" spans="1:15" hidden="1">
      <c r="A7510" s="25">
        <f>VALUE(YEAR(Table2[[#This Row],[Date]])&amp;TEXT(MONTH(Table2[[#This Row],[Date]]),"00"))</f>
        <v>202207</v>
      </c>
      <c r="B7510" s="6">
        <v>44765</v>
      </c>
      <c r="C7510" t="s">
        <v>2447</v>
      </c>
      <c r="D7510" t="s">
        <v>2647</v>
      </c>
      <c r="E7510">
        <f t="shared" si="34"/>
        <v>55.69</v>
      </c>
      <c r="F7510" s="2" t="str">
        <f>IF(Table2[[#This Row],[Manual Cat Value]]="",VLOOKUP(Table2[[#This Row],[Description]],'Actuals Lookup'!D:F,3,0),Table2[[#This Row],[Manual Cat Value]])</f>
        <v>Exp - Restaurants</v>
      </c>
      <c r="G7510" t="e">
        <f>VLOOKUP(D7510,Lookup!G:H,2,0)</f>
        <v>#N/A</v>
      </c>
      <c r="H7510" s="8" t="s">
        <v>25</v>
      </c>
      <c r="J7510">
        <v>55.69</v>
      </c>
      <c r="M7510" t="s">
        <v>2513</v>
      </c>
      <c r="O7510" t="str">
        <f>LEFT(Table2[[#This Row],[Description]],75)</f>
        <v>VICTORIA BURROW VICTORIA MN</v>
      </c>
    </row>
    <row r="7511" spans="1:15" hidden="1">
      <c r="A7511" s="25">
        <f>VALUE(YEAR(Table2[[#This Row],[Date]])&amp;TEXT(MONTH(Table2[[#This Row],[Date]]),"00"))</f>
        <v>202207</v>
      </c>
      <c r="B7511" s="6">
        <v>44765</v>
      </c>
      <c r="C7511" t="s">
        <v>2265</v>
      </c>
      <c r="D7511" t="s">
        <v>2648</v>
      </c>
      <c r="E7511">
        <f t="shared" si="34"/>
        <v>100</v>
      </c>
      <c r="F7511" s="2" t="str">
        <f>IF(Table2[[#This Row],[Manual Cat Value]]="",VLOOKUP(Table2[[#This Row],[Description]],'Actuals Lookup'!D:F,3,0),Table2[[#This Row],[Manual Cat Value]])</f>
        <v>Delete</v>
      </c>
      <c r="G7511" t="e">
        <f>VLOOKUP(D7511,Lookup!G:H,2,0)</f>
        <v>#N/A</v>
      </c>
      <c r="H7511" s="8" t="s">
        <v>9</v>
      </c>
      <c r="J7511">
        <v>100</v>
      </c>
      <c r="M7511" t="s">
        <v>2513</v>
      </c>
      <c r="O7511" t="str">
        <f>LEFT(Table2[[#This Row],[Description]],75)</f>
        <v>Withdrawal Home Banking Transfer To Share 12 REF # 67611</v>
      </c>
    </row>
    <row r="7512" spans="1:15" hidden="1">
      <c r="A7512" s="25">
        <f>VALUE(YEAR(Table2[[#This Row],[Date]])&amp;TEXT(MONTH(Table2[[#This Row],[Date]]),"00"))</f>
        <v>202207</v>
      </c>
      <c r="B7512" s="6">
        <v>44766</v>
      </c>
      <c r="C7512" t="s">
        <v>2262</v>
      </c>
      <c r="D7512" t="s">
        <v>2649</v>
      </c>
      <c r="E7512">
        <f t="shared" si="34"/>
        <v>88</v>
      </c>
      <c r="F7512" s="2" t="str">
        <f>IF(Table2[[#This Row],[Manual Cat Value]]="",VLOOKUP(Table2[[#This Row],[Description]],'Actuals Lookup'!D:F,3,0),Table2[[#This Row],[Manual Cat Value]])</f>
        <v>Exp - Restaurants</v>
      </c>
      <c r="G7512" t="e">
        <f>VLOOKUP(D7512,Lookup!G:H,2,0)</f>
        <v>#N/A</v>
      </c>
      <c r="H7512" s="8" t="s">
        <v>25</v>
      </c>
      <c r="J7512">
        <v>88</v>
      </c>
      <c r="M7512" t="s">
        <v>2513</v>
      </c>
      <c r="O7512" t="str">
        <f>LEFT(Table2[[#This Row],[Description]],75)</f>
        <v>MAYNARD'S EXCELSIOR THE EXCELSIOR MN REF #2480197JW5SB32AT3</v>
      </c>
    </row>
    <row r="7513" spans="1:15" hidden="1">
      <c r="A7513" s="25">
        <f>VALUE(YEAR(Table2[[#This Row],[Date]])&amp;TEXT(MONTH(Table2[[#This Row],[Date]]),"00"))</f>
        <v>202207</v>
      </c>
      <c r="B7513" s="6">
        <v>44766</v>
      </c>
      <c r="C7513" t="s">
        <v>2262</v>
      </c>
      <c r="D7513" t="s">
        <v>2650</v>
      </c>
      <c r="E7513">
        <f t="shared" si="34"/>
        <v>45.35</v>
      </c>
      <c r="F7513" s="2" t="str">
        <f>IF(Table2[[#This Row],[Manual Cat Value]]="",VLOOKUP(Table2[[#This Row],[Description]],'Actuals Lookup'!D:F,3,0),Table2[[#This Row],[Manual Cat Value]])</f>
        <v>Exp - Shopping</v>
      </c>
      <c r="G7513" t="e">
        <f>VLOOKUP(D7513,Lookup!G:H,2,0)</f>
        <v>#N/A</v>
      </c>
      <c r="H7513" s="8" t="s">
        <v>36</v>
      </c>
      <c r="J7513">
        <v>45.35</v>
      </c>
      <c r="M7513" t="s">
        <v>2513</v>
      </c>
      <c r="O7513" t="str">
        <f>LEFT(Table2[[#This Row],[Description]],75)</f>
        <v>SCHEELS EDEN PRAIRIE EDEN PRAIRIE MN REF #2413829JWP73MVK5L</v>
      </c>
    </row>
    <row r="7514" spans="1:15" hidden="1">
      <c r="A7514" s="25">
        <f>VALUE(YEAR(Table2[[#This Row],[Date]])&amp;TEXT(MONTH(Table2[[#This Row],[Date]]),"00"))</f>
        <v>202207</v>
      </c>
      <c r="B7514" s="6">
        <v>44766</v>
      </c>
      <c r="C7514" t="s">
        <v>2262</v>
      </c>
      <c r="D7514" t="s">
        <v>2651</v>
      </c>
      <c r="E7514">
        <f t="shared" si="34"/>
        <v>6.34</v>
      </c>
      <c r="F7514" s="2" t="str">
        <f>IF(Table2[[#This Row],[Manual Cat Value]]="",VLOOKUP(Table2[[#This Row],[Description]],'Actuals Lookup'!D:F,3,0),Table2[[#This Row],[Manual Cat Value]])</f>
        <v>Exp - Restaurants</v>
      </c>
      <c r="G7514" t="e">
        <f>VLOOKUP(D7514,Lookup!G:H,2,0)</f>
        <v>#N/A</v>
      </c>
      <c r="H7514" s="8" t="s">
        <v>25</v>
      </c>
      <c r="J7514">
        <v>6.34</v>
      </c>
      <c r="M7514" t="s">
        <v>2513</v>
      </c>
      <c r="O7514" t="str">
        <f>LEFT(Table2[[#This Row],[Description]],75)</f>
        <v>STARBUCKS STORE 02220 BLOOMINGTON MN REF #2469216JW2XBSY8W8</v>
      </c>
    </row>
    <row r="7515" spans="1:15" hidden="1">
      <c r="A7515" s="25">
        <f>VALUE(YEAR(Table2[[#This Row],[Date]])&amp;TEXT(MONTH(Table2[[#This Row],[Date]]),"00"))</f>
        <v>202207</v>
      </c>
      <c r="B7515" s="6">
        <v>44766</v>
      </c>
      <c r="C7515" t="s">
        <v>2262</v>
      </c>
      <c r="D7515" t="s">
        <v>2652</v>
      </c>
      <c r="E7515">
        <f t="shared" si="34"/>
        <v>60</v>
      </c>
      <c r="F7515" s="2" t="str">
        <f>IF(Table2[[#This Row],[Manual Cat Value]]="",VLOOKUP(Table2[[#This Row],[Description]],'Actuals Lookup'!D:F,3,0),Table2[[#This Row],[Manual Cat Value]])</f>
        <v>Exp - Shopping</v>
      </c>
      <c r="G7515" t="e">
        <f>VLOOKUP(D7515,Lookup!G:H,2,0)</f>
        <v>#N/A</v>
      </c>
      <c r="H7515" s="8" t="s">
        <v>36</v>
      </c>
      <c r="J7515">
        <v>60</v>
      </c>
      <c r="M7515" t="s">
        <v>2513</v>
      </c>
      <c r="O7515" t="str">
        <f>LEFT(Table2[[#This Row],[Description]],75)</f>
        <v>TOMMY BAHAMA ECOMM 866-986-8282 WA REF #2469216JV2XW0K1GM</v>
      </c>
    </row>
    <row r="7516" spans="1:15" hidden="1">
      <c r="A7516" s="25">
        <f>VALUE(YEAR(Table2[[#This Row],[Date]])&amp;TEXT(MONTH(Table2[[#This Row],[Date]]),"00"))</f>
        <v>202207</v>
      </c>
      <c r="B7516" s="6">
        <v>44766</v>
      </c>
      <c r="C7516" t="s">
        <v>2262</v>
      </c>
      <c r="D7516" t="s">
        <v>2653</v>
      </c>
      <c r="E7516">
        <f t="shared" si="34"/>
        <v>29.8</v>
      </c>
      <c r="F7516" s="2" t="str">
        <f>IF(Table2[[#This Row],[Manual Cat Value]]="",VLOOKUP(Table2[[#This Row],[Description]],'Actuals Lookup'!D:F,3,0),Table2[[#This Row],[Manual Cat Value]])</f>
        <v>Exp - Misc</v>
      </c>
      <c r="G7516" t="e">
        <f>VLOOKUP(D7516,Lookup!G:H,2,0)</f>
        <v>#N/A</v>
      </c>
      <c r="H7516" s="8" t="s">
        <v>46</v>
      </c>
      <c r="J7516">
        <v>29.8</v>
      </c>
      <c r="M7516" t="s">
        <v>2513</v>
      </c>
      <c r="O7516" t="str">
        <f>LEFT(Table2[[#This Row],[Description]],75)</f>
        <v>USPS PO 2616500318 CHASKA MN REF #2413746JX018D221T</v>
      </c>
    </row>
    <row r="7517" spans="1:15" hidden="1">
      <c r="A7517" s="25">
        <f>VALUE(YEAR(Table2[[#This Row],[Date]])&amp;TEXT(MONTH(Table2[[#This Row],[Date]]),"00"))</f>
        <v>202207</v>
      </c>
      <c r="B7517" s="6">
        <v>44767</v>
      </c>
      <c r="C7517" t="s">
        <v>2262</v>
      </c>
      <c r="D7517" t="s">
        <v>2654</v>
      </c>
      <c r="E7517">
        <f t="shared" si="34"/>
        <v>344.93</v>
      </c>
      <c r="F7517" s="2" t="str">
        <f>IF(Table2[[#This Row],[Manual Cat Value]]="",VLOOKUP(Table2[[#This Row],[Description]],'Actuals Lookup'!D:F,3,0),Table2[[#This Row],[Manual Cat Value]])</f>
        <v>Exp - Shopping</v>
      </c>
      <c r="G7517" t="e">
        <f>VLOOKUP(D7517,Lookup!G:H,2,0)</f>
        <v>#N/A</v>
      </c>
      <c r="H7517" s="8" t="s">
        <v>36</v>
      </c>
      <c r="J7517">
        <v>344.93</v>
      </c>
      <c r="M7517" t="s">
        <v>2513</v>
      </c>
      <c r="O7517" t="str">
        <f>LEFT(Table2[[#This Row],[Description]],75)</f>
        <v>Evereve 877-2906262 MN REF #2490641JX4DZX5S8Z</v>
      </c>
    </row>
    <row r="7518" spans="1:15" hidden="1">
      <c r="A7518" s="25">
        <f>VALUE(YEAR(Table2[[#This Row],[Date]])&amp;TEXT(MONTH(Table2[[#This Row],[Date]]),"00"))</f>
        <v>202207</v>
      </c>
      <c r="B7518" s="6">
        <v>44767</v>
      </c>
      <c r="C7518" t="s">
        <v>2262</v>
      </c>
      <c r="D7518" t="s">
        <v>2655</v>
      </c>
      <c r="E7518">
        <f t="shared" si="34"/>
        <v>43.81</v>
      </c>
      <c r="F7518" s="2" t="str">
        <f>IF(Table2[[#This Row],[Manual Cat Value]]="",VLOOKUP(Table2[[#This Row],[Description]],'Actuals Lookup'!D:F,3,0),Table2[[#This Row],[Manual Cat Value]])</f>
        <v>Exp - Transportation</v>
      </c>
      <c r="G7518" t="e">
        <f>VLOOKUP(D7518,Lookup!G:H,2,0)</f>
        <v>#N/A</v>
      </c>
      <c r="H7518" s="8" t="s">
        <v>22</v>
      </c>
      <c r="J7518">
        <v>43.81</v>
      </c>
      <c r="M7518" t="s">
        <v>2513</v>
      </c>
      <c r="O7518" t="str">
        <f>LEFT(Table2[[#This Row],[Description]],75)</f>
        <v>HOLIDAY STATIONS 0012 SHOREWOOD MN REF #2494166JXRQEBQFYD</v>
      </c>
    </row>
    <row r="7519" spans="1:15" hidden="1">
      <c r="A7519" s="25">
        <f>VALUE(YEAR(Table2[[#This Row],[Date]])&amp;TEXT(MONTH(Table2[[#This Row],[Date]]),"00"))</f>
        <v>202207</v>
      </c>
      <c r="B7519" s="6">
        <v>44767</v>
      </c>
      <c r="C7519" t="s">
        <v>2262</v>
      </c>
      <c r="D7519" t="s">
        <v>2656</v>
      </c>
      <c r="E7519">
        <f t="shared" si="34"/>
        <v>5.41</v>
      </c>
      <c r="F7519" s="2" t="str">
        <f>IF(Table2[[#This Row],[Manual Cat Value]]="",VLOOKUP(Table2[[#This Row],[Description]],'Actuals Lookup'!D:F,3,0),Table2[[#This Row],[Manual Cat Value]])</f>
        <v>Exp - Transportation</v>
      </c>
      <c r="G7519" t="e">
        <f>VLOOKUP(D7519,Lookup!G:H,2,0)</f>
        <v>#N/A</v>
      </c>
      <c r="H7519" s="8" t="s">
        <v>22</v>
      </c>
      <c r="J7519">
        <v>5.41</v>
      </c>
      <c r="M7519" t="s">
        <v>2513</v>
      </c>
      <c r="O7519" t="str">
        <f>LEFT(Table2[[#This Row],[Description]],75)</f>
        <v>HOLIDAY STATIONS 0012 SHOREWOOD MN REF #2494166JXRQEBQG07</v>
      </c>
    </row>
    <row r="7520" spans="1:15" hidden="1">
      <c r="A7520" s="25">
        <f>VALUE(YEAR(Table2[[#This Row],[Date]])&amp;TEXT(MONTH(Table2[[#This Row],[Date]]),"00"))</f>
        <v>202207</v>
      </c>
      <c r="B7520" s="6">
        <v>44767</v>
      </c>
      <c r="C7520" t="s">
        <v>2262</v>
      </c>
      <c r="D7520" t="s">
        <v>2657</v>
      </c>
      <c r="E7520">
        <f t="shared" si="34"/>
        <v>27.64</v>
      </c>
      <c r="F7520" s="2" t="str">
        <f>IF(Table2[[#This Row],[Manual Cat Value]]="",VLOOKUP(Table2[[#This Row],[Description]],'Actuals Lookup'!D:F,3,0),Table2[[#This Row],[Manual Cat Value]])</f>
        <v>Exp - Transportation</v>
      </c>
      <c r="G7520" t="e">
        <f>VLOOKUP(D7520,Lookup!G:H,2,0)</f>
        <v>#N/A</v>
      </c>
      <c r="H7520" s="8" t="s">
        <v>22</v>
      </c>
      <c r="J7520">
        <v>27.64</v>
      </c>
      <c r="M7520" t="s">
        <v>2513</v>
      </c>
      <c r="O7520" t="str">
        <f>LEFT(Table2[[#This Row],[Description]],75)</f>
        <v>HOLIDAY STATIONS 0419 SAINT CROIX FWI REF #2494166JXRQEBBL1A</v>
      </c>
    </row>
    <row r="7521" spans="1:15" hidden="1">
      <c r="A7521" s="25">
        <f>VALUE(YEAR(Table2[[#This Row],[Date]])&amp;TEXT(MONTH(Table2[[#This Row],[Date]]),"00"))</f>
        <v>202207</v>
      </c>
      <c r="B7521" s="6">
        <v>44767</v>
      </c>
      <c r="C7521" t="s">
        <v>2262</v>
      </c>
      <c r="D7521" t="s">
        <v>2658</v>
      </c>
      <c r="E7521">
        <f t="shared" si="34"/>
        <v>10</v>
      </c>
      <c r="F7521" s="2" t="str">
        <f>IF(Table2[[#This Row],[Manual Cat Value]]="",VLOOKUP(Table2[[#This Row],[Description]],'Actuals Lookup'!D:F,3,0),Table2[[#This Row],[Manual Cat Value]])</f>
        <v>Exp - Restaurants</v>
      </c>
      <c r="G7521" t="e">
        <f>VLOOKUP(D7521,Lookup!G:H,2,0)</f>
        <v>#N/A</v>
      </c>
      <c r="H7521" s="8" t="s">
        <v>25</v>
      </c>
      <c r="J7521">
        <v>10</v>
      </c>
      <c r="M7521" t="s">
        <v>2513</v>
      </c>
      <c r="O7521" t="str">
        <f>LEFT(Table2[[#This Row],[Description]],75)</f>
        <v>VICTORIA BURROW ARCADE 800-9355961 MN REF #2418310JXS66LGXZR</v>
      </c>
    </row>
    <row r="7522" spans="1:15" hidden="1">
      <c r="A7522" s="25">
        <f>VALUE(YEAR(Table2[[#This Row],[Date]])&amp;TEXT(MONTH(Table2[[#This Row],[Date]]),"00"))</f>
        <v>202207</v>
      </c>
      <c r="B7522" s="6">
        <v>44767</v>
      </c>
      <c r="C7522" t="s">
        <v>2265</v>
      </c>
      <c r="D7522" t="s">
        <v>2659</v>
      </c>
      <c r="E7522">
        <f t="shared" si="34"/>
        <v>441.39</v>
      </c>
      <c r="F7522" s="2" t="str">
        <f>IF(Table2[[#This Row],[Manual Cat Value]]="",VLOOKUP(Table2[[#This Row],[Description]],'Actuals Lookup'!D:F,3,0),Table2[[#This Row],[Manual Cat Value]])</f>
        <v>Exp - Target</v>
      </c>
      <c r="G7522" t="e">
        <f>VLOOKUP(D7522,Lookup!G:H,2,0)</f>
        <v>#N/A</v>
      </c>
      <c r="H7522" s="8" t="s">
        <v>30</v>
      </c>
      <c r="J7522">
        <v>441.39</v>
      </c>
      <c r="M7522" t="s">
        <v>2513</v>
      </c>
      <c r="O7522" t="str">
        <f>LEFT(Table2[[#This Row],[Description]],75)</f>
        <v>Withdrawal ACH TARGET CARD SRVC TYPE: AUTO PYMT ID: 1411721813 CO: TARGET C</v>
      </c>
    </row>
    <row r="7523" spans="1:15" hidden="1">
      <c r="A7523" s="25">
        <f>VALUE(YEAR(Table2[[#This Row],[Date]])&amp;TEXT(MONTH(Table2[[#This Row],[Date]]),"00"))</f>
        <v>202207</v>
      </c>
      <c r="B7523" s="6">
        <v>44768</v>
      </c>
      <c r="C7523" t="s">
        <v>2262</v>
      </c>
      <c r="D7523" t="s">
        <v>2660</v>
      </c>
      <c r="E7523">
        <f t="shared" si="34"/>
        <v>-24.71</v>
      </c>
      <c r="F7523" s="2" t="str">
        <f>IF(Table2[[#This Row],[Manual Cat Value]]="",VLOOKUP(Table2[[#This Row],[Description]],'Actuals Lookup'!D:F,3,0),Table2[[#This Row],[Manual Cat Value]])</f>
        <v>Exp - Shopping</v>
      </c>
      <c r="G7523" t="e">
        <f>VLOOKUP(D7523,Lookup!G:H,2,0)</f>
        <v>#N/A</v>
      </c>
      <c r="H7523" s="8" t="s">
        <v>36</v>
      </c>
      <c r="J7523">
        <v>24.71</v>
      </c>
      <c r="M7523" t="s">
        <v>2621</v>
      </c>
      <c r="O7523" t="str">
        <f>LEFT(Table2[[#This Row],[Description]],75)</f>
        <v>BANANA REPUBLIC ON-LINE 888-2778959 OH REF #7478930JYFYHM61S3</v>
      </c>
    </row>
    <row r="7524" spans="1:15" hidden="1">
      <c r="A7524" s="25">
        <f>VALUE(YEAR(Table2[[#This Row],[Date]])&amp;TEXT(MONTH(Table2[[#This Row],[Date]]),"00"))</f>
        <v>202207</v>
      </c>
      <c r="B7524" s="6">
        <v>44768</v>
      </c>
      <c r="C7524" t="s">
        <v>2262</v>
      </c>
      <c r="D7524" t="s">
        <v>2661</v>
      </c>
      <c r="E7524">
        <f t="shared" si="34"/>
        <v>-63.2</v>
      </c>
      <c r="F7524" s="2" t="str">
        <f>IF(Table2[[#This Row],[Manual Cat Value]]="",VLOOKUP(Table2[[#This Row],[Description]],'Actuals Lookup'!D:F,3,0),Table2[[#This Row],[Manual Cat Value]])</f>
        <v>Exp - Shopping</v>
      </c>
      <c r="G7524" t="e">
        <f>VLOOKUP(D7524,Lookup!G:H,2,0)</f>
        <v>#N/A</v>
      </c>
      <c r="H7524" s="8" t="s">
        <v>36</v>
      </c>
      <c r="J7524">
        <v>63.2</v>
      </c>
      <c r="M7524" t="s">
        <v>2621</v>
      </c>
      <c r="O7524" t="str">
        <f>LEFT(Table2[[#This Row],[Description]],75)</f>
        <v>BANANA REPUBLIC ON-LINE 888-2778959 OH REF #7478930JYG1P05TQY</v>
      </c>
    </row>
    <row r="7525" spans="1:15" hidden="1">
      <c r="A7525" s="25">
        <f>VALUE(YEAR(Table2[[#This Row],[Date]])&amp;TEXT(MONTH(Table2[[#This Row],[Date]]),"00"))</f>
        <v>202207</v>
      </c>
      <c r="B7525" s="6">
        <v>44768</v>
      </c>
      <c r="C7525" t="s">
        <v>2262</v>
      </c>
      <c r="D7525" t="s">
        <v>2662</v>
      </c>
      <c r="E7525">
        <f t="shared" si="34"/>
        <v>-40</v>
      </c>
      <c r="F7525" s="2" t="str">
        <f>IF(Table2[[#This Row],[Manual Cat Value]]="",VLOOKUP(Table2[[#This Row],[Description]],'Actuals Lookup'!D:F,3,0),Table2[[#This Row],[Manual Cat Value]])</f>
        <v>Exp - Entertainment</v>
      </c>
      <c r="G7525" t="e">
        <f>VLOOKUP(D7525,Lookup!G:H,2,0)</f>
        <v>#N/A</v>
      </c>
      <c r="H7525" s="8" t="s">
        <v>39</v>
      </c>
      <c r="J7525">
        <v>40</v>
      </c>
      <c r="M7525" t="s">
        <v>2621</v>
      </c>
      <c r="O7525" t="str">
        <f>LEFT(Table2[[#This Row],[Description]],75)</f>
        <v>MINNESOTA STATE PARKS 866-8572757 MN REF #7471705JYJMXT6DPG</v>
      </c>
    </row>
    <row r="7526" spans="1:15" hidden="1">
      <c r="A7526" s="25">
        <f>VALUE(YEAR(Table2[[#This Row],[Date]])&amp;TEXT(MONTH(Table2[[#This Row],[Date]]),"00"))</f>
        <v>202207</v>
      </c>
      <c r="B7526" s="6">
        <v>44768</v>
      </c>
      <c r="C7526" t="s">
        <v>2447</v>
      </c>
      <c r="D7526" t="s">
        <v>2663</v>
      </c>
      <c r="E7526">
        <f t="shared" si="34"/>
        <v>0.5</v>
      </c>
      <c r="F7526" s="2" t="str">
        <f>IF(Table2[[#This Row],[Manual Cat Value]]="",VLOOKUP(Table2[[#This Row],[Description]],'Actuals Lookup'!D:F,3,0),Table2[[#This Row],[Manual Cat Value]])</f>
        <v>Exp - Misc</v>
      </c>
      <c r="G7526" t="e">
        <f>VLOOKUP(D7526,Lookup!G:H,2,0)</f>
        <v>#N/A</v>
      </c>
      <c r="H7526" s="8" t="s">
        <v>46</v>
      </c>
      <c r="J7526">
        <v>0.5</v>
      </c>
      <c r="M7526" t="s">
        <v>2513</v>
      </c>
      <c r="O7526" t="str">
        <f>LEFT(Table2[[#This Row],[Description]],75)</f>
        <v>WINDSOR UNIVERSITY 2028099980 DC</v>
      </c>
    </row>
    <row r="7527" spans="1:15" hidden="1">
      <c r="A7527" s="25">
        <f>VALUE(YEAR(Table2[[#This Row],[Date]])&amp;TEXT(MONTH(Table2[[#This Row],[Date]]),"00"))</f>
        <v>202207</v>
      </c>
      <c r="B7527" s="6">
        <v>44768</v>
      </c>
      <c r="C7527" t="s">
        <v>2265</v>
      </c>
      <c r="D7527" t="s">
        <v>2664</v>
      </c>
      <c r="E7527">
        <f t="shared" si="34"/>
        <v>201.34</v>
      </c>
      <c r="F7527" s="2" t="str">
        <f>IF(Table2[[#This Row],[Manual Cat Value]]="",VLOOKUP(Table2[[#This Row],[Description]],'Actuals Lookup'!D:F,3,0),Table2[[#This Row],[Manual Cat Value]])</f>
        <v>Delete</v>
      </c>
      <c r="G7527" t="e">
        <f>VLOOKUP(D7527,Lookup!G:H,2,0)</f>
        <v>#N/A</v>
      </c>
      <c r="H7527" s="8" t="s">
        <v>9</v>
      </c>
      <c r="I7527" t="s">
        <v>2665</v>
      </c>
      <c r="J7527">
        <v>201.34</v>
      </c>
      <c r="M7527" t="s">
        <v>2513</v>
      </c>
      <c r="O7527" t="str">
        <f>LEFT(Table2[[#This Row],[Description]],75)</f>
        <v xml:space="preserve">Withdrawal ACH PAYPAL TYPE: INST XFER ID: PAYPALSI77 CO: PAYPAL NAME: JEFF </v>
      </c>
    </row>
    <row r="7528" spans="1:15" hidden="1">
      <c r="A7528" s="25">
        <f>VALUE(YEAR(Table2[[#This Row],[Date]])&amp;TEXT(MONTH(Table2[[#This Row],[Date]]),"00"))</f>
        <v>202207</v>
      </c>
      <c r="B7528" s="6">
        <v>44769</v>
      </c>
      <c r="C7528" t="s">
        <v>2262</v>
      </c>
      <c r="D7528" t="s">
        <v>2666</v>
      </c>
      <c r="E7528">
        <f t="shared" si="34"/>
        <v>92.42</v>
      </c>
      <c r="F7528" s="2" t="str">
        <f>IF(Table2[[#This Row],[Manual Cat Value]]="",VLOOKUP(Table2[[#This Row],[Description]],'Actuals Lookup'!D:F,3,0),Table2[[#This Row],[Manual Cat Value]])</f>
        <v>Exp - Groceries</v>
      </c>
      <c r="G7528" t="e">
        <f>VLOOKUP(D7528,Lookup!G:H,2,0)</f>
        <v>#N/A</v>
      </c>
      <c r="H7528" s="8" t="s">
        <v>27</v>
      </c>
      <c r="J7528">
        <v>92.42</v>
      </c>
      <c r="M7528" t="s">
        <v>2513</v>
      </c>
      <c r="O7528" t="str">
        <f>LEFT(Table2[[#This Row],[Description]],75)</f>
        <v>CUB FOODS CHANHASSEN MN REF #2442733JZM83FQ5VF</v>
      </c>
    </row>
    <row r="7529" spans="1:15" hidden="1">
      <c r="A7529" s="25">
        <f>VALUE(YEAR(Table2[[#This Row],[Date]])&amp;TEXT(MONTH(Table2[[#This Row],[Date]]),"00"))</f>
        <v>202207</v>
      </c>
      <c r="B7529" s="6">
        <v>44769</v>
      </c>
      <c r="C7529" t="s">
        <v>2262</v>
      </c>
      <c r="D7529" t="s">
        <v>2667</v>
      </c>
      <c r="E7529">
        <f t="shared" si="34"/>
        <v>21.48</v>
      </c>
      <c r="F7529" s="2" t="e">
        <f>IF(Table2[[#This Row],[Manual Cat Value]]="",VLOOKUP(Table2[[#This Row],[Description]],'Actuals Lookup'!D:F,3,0),Table2[[#This Row],[Manual Cat Value]])</f>
        <v>#N/A</v>
      </c>
      <c r="G7529" t="e">
        <f>VLOOKUP(D7529,Lookup!G:H,2,0)</f>
        <v>#N/A</v>
      </c>
      <c r="I7529" t="s">
        <v>2668</v>
      </c>
      <c r="J7529">
        <v>21.48</v>
      </c>
      <c r="M7529" t="s">
        <v>2513</v>
      </c>
      <c r="O7529" t="str">
        <f>LEFT(Table2[[#This Row],[Description]],75)</f>
        <v>Fully Ref Jz</v>
      </c>
    </row>
    <row r="7530" spans="1:15" hidden="1">
      <c r="A7530" s="25">
        <f>VALUE(YEAR(Table2[[#This Row],[Date]])&amp;TEXT(MONTH(Table2[[#This Row],[Date]]),"00"))</f>
        <v>202207</v>
      </c>
      <c r="B7530" s="6">
        <v>44769</v>
      </c>
      <c r="C7530" t="s">
        <v>2262</v>
      </c>
      <c r="D7530" t="s">
        <v>2669</v>
      </c>
      <c r="E7530">
        <f t="shared" si="34"/>
        <v>21.25</v>
      </c>
      <c r="F7530" s="2" t="str">
        <f>IF(Table2[[#This Row],[Manual Cat Value]]="",VLOOKUP(Table2[[#This Row],[Description]],'Actuals Lookup'!D:F,3,0),Table2[[#This Row],[Manual Cat Value]])</f>
        <v>Exp - Healthcare</v>
      </c>
      <c r="G7530" t="e">
        <f>VLOOKUP(D7530,Lookup!G:H,2,0)</f>
        <v>#N/A</v>
      </c>
      <c r="H7530" s="8" t="s">
        <v>47</v>
      </c>
      <c r="J7530">
        <v>21.25</v>
      </c>
      <c r="M7530" t="s">
        <v>2513</v>
      </c>
      <c r="O7530" t="str">
        <f>LEFT(Table2[[#This Row],[Description]],75)</f>
        <v>SQ *SEEK EYE CARE PA Victoria MN REF #2469216JZ2Y0YF0YS</v>
      </c>
    </row>
    <row r="7531" spans="1:15" hidden="1">
      <c r="A7531" s="25">
        <f>VALUE(YEAR(Table2[[#This Row],[Date]])&amp;TEXT(MONTH(Table2[[#This Row],[Date]]),"00"))</f>
        <v>202207</v>
      </c>
      <c r="B7531" s="6">
        <v>44769</v>
      </c>
      <c r="C7531" t="s">
        <v>2265</v>
      </c>
      <c r="D7531" t="s">
        <v>2670</v>
      </c>
      <c r="E7531">
        <f t="shared" si="34"/>
        <v>536.5</v>
      </c>
      <c r="F7531" s="2" t="str">
        <f>IF(Table2[[#This Row],[Manual Cat Value]]="",VLOOKUP(Table2[[#This Row],[Description]],'Actuals Lookup'!D:F,3,0),Table2[[#This Row],[Manual Cat Value]])</f>
        <v>Exp - Day Care</v>
      </c>
      <c r="G7531" t="e">
        <f>VLOOKUP(D7531,Lookup!G:H,2,0)</f>
        <v>#N/A</v>
      </c>
      <c r="H7531" s="8" t="s">
        <v>19</v>
      </c>
      <c r="J7531">
        <v>536.5</v>
      </c>
      <c r="M7531" t="s">
        <v>2513</v>
      </c>
      <c r="O7531" t="str">
        <f>LEFT(Table2[[#This Row],[Description]],75)</f>
        <v xml:space="preserve">Withdrawal ACH MHCHILDCARELLC TYPE: DUES ID: 1824708198 CO: MHCHILDCARELLC </v>
      </c>
    </row>
    <row r="7532" spans="1:15" hidden="1">
      <c r="A7532" s="25">
        <f>VALUE(YEAR(Table2[[#This Row],[Date]])&amp;TEXT(MONTH(Table2[[#This Row],[Date]]),"00"))</f>
        <v>202207</v>
      </c>
      <c r="B7532" s="6">
        <v>44769</v>
      </c>
      <c r="C7532" t="s">
        <v>2265</v>
      </c>
      <c r="D7532" t="s">
        <v>2671</v>
      </c>
      <c r="E7532">
        <f t="shared" si="34"/>
        <v>74</v>
      </c>
      <c r="F7532" s="2" t="str">
        <f>IF(Table2[[#This Row],[Manual Cat Value]]="",VLOOKUP(Table2[[#This Row],[Description]],'Actuals Lookup'!D:F,3,0),Table2[[#This Row],[Manual Cat Value]])</f>
        <v>Exp - Shopping</v>
      </c>
      <c r="G7532" t="e">
        <f>VLOOKUP(D7532,Lookup!G:H,2,0)</f>
        <v>#N/A</v>
      </c>
      <c r="H7532" s="8" t="s">
        <v>36</v>
      </c>
      <c r="I7532" t="s">
        <v>2672</v>
      </c>
      <c r="J7532">
        <v>74</v>
      </c>
      <c r="M7532" t="s">
        <v>2513</v>
      </c>
      <c r="O7532" t="str">
        <f>LEFT(Table2[[#This Row],[Description]],75)</f>
        <v xml:space="preserve">Withdrawal ACH PAYPAL TYPE: INST XFER ID: PAYPALSI77 CO: PAYPAL NAME: JEFF </v>
      </c>
    </row>
    <row r="7533" spans="1:15" hidden="1">
      <c r="A7533" s="25">
        <f>VALUE(YEAR(Table2[[#This Row],[Date]])&amp;TEXT(MONTH(Table2[[#This Row],[Date]]),"00"))</f>
        <v>202207</v>
      </c>
      <c r="B7533" s="6">
        <v>44770</v>
      </c>
      <c r="C7533" t="s">
        <v>2262</v>
      </c>
      <c r="D7533" t="s">
        <v>2673</v>
      </c>
      <c r="E7533">
        <f t="shared" si="34"/>
        <v>42.92</v>
      </c>
      <c r="F7533" s="2" t="str">
        <f>IF(Table2[[#This Row],[Manual Cat Value]]="",VLOOKUP(Table2[[#This Row],[Description]],'Actuals Lookup'!D:F,3,0),Table2[[#This Row],[Manual Cat Value]])</f>
        <v>Exp - Amazon</v>
      </c>
      <c r="G7533" t="e">
        <f>VLOOKUP(D7533,Lookup!G:H,2,0)</f>
        <v>#N/A</v>
      </c>
      <c r="H7533" s="8" t="s">
        <v>37</v>
      </c>
      <c r="J7533">
        <v>42.92</v>
      </c>
      <c r="M7533" t="s">
        <v>2513</v>
      </c>
      <c r="O7533" t="str">
        <f>LEFT(Table2[[#This Row],[Description]],75)</f>
        <v>AMZN Mktp US*GZ4P39GQ3 Amzn.com/billWA REF #2469216K02XTXG9NM</v>
      </c>
    </row>
    <row r="7534" spans="1:15" hidden="1">
      <c r="A7534" s="25">
        <f>VALUE(YEAR(Table2[[#This Row],[Date]])&amp;TEXT(MONTH(Table2[[#This Row],[Date]]),"00"))</f>
        <v>202207</v>
      </c>
      <c r="B7534" s="6">
        <v>44770</v>
      </c>
      <c r="C7534" t="s">
        <v>2265</v>
      </c>
      <c r="D7534" t="s">
        <v>2674</v>
      </c>
      <c r="E7534">
        <f t="shared" si="34"/>
        <v>-91.22</v>
      </c>
      <c r="F7534" s="2" t="str">
        <f>IF(Table2[[#This Row],[Manual Cat Value]]="",VLOOKUP(Table2[[#This Row],[Description]],'Actuals Lookup'!D:F,3,0),Table2[[#This Row],[Manual Cat Value]])</f>
        <v>Inc - Britney</v>
      </c>
      <c r="G7534" t="e">
        <f>VLOOKUP(D7534,Lookup!G:H,2,0)</f>
        <v>#N/A</v>
      </c>
      <c r="H7534" s="8" t="s">
        <v>65</v>
      </c>
      <c r="J7534">
        <v>91.22</v>
      </c>
      <c r="M7534" t="s">
        <v>2621</v>
      </c>
      <c r="O7534" t="str">
        <f>LEFT(Table2[[#This Row],[Description]],75)</f>
        <v>Deposit ACH CARGILL INCORPOR TYPE: 004XXXXXXX ID: 2410177680 CO: CARGILL IN</v>
      </c>
    </row>
    <row r="7535" spans="1:15" hidden="1">
      <c r="A7535" s="25">
        <f>VALUE(YEAR(Table2[[#This Row],[Date]])&amp;TEXT(MONTH(Table2[[#This Row],[Date]]),"00"))</f>
        <v>202207</v>
      </c>
      <c r="B7535" s="6">
        <v>44770</v>
      </c>
      <c r="C7535" t="s">
        <v>2265</v>
      </c>
      <c r="D7535" t="s">
        <v>2675</v>
      </c>
      <c r="E7535">
        <f t="shared" si="34"/>
        <v>-33672.04</v>
      </c>
      <c r="F7535" s="2" t="str">
        <f>IF(Table2[[#This Row],[Manual Cat Value]]="",VLOOKUP(Table2[[#This Row],[Description]],'Actuals Lookup'!D:F,3,0),Table2[[#This Row],[Manual Cat Value]])</f>
        <v>Inc - Britney</v>
      </c>
      <c r="G7535" t="e">
        <f>VLOOKUP(D7535,Lookup!G:H,2,0)</f>
        <v>#N/A</v>
      </c>
      <c r="H7535" s="8" t="s">
        <v>65</v>
      </c>
      <c r="J7535">
        <v>33672.04</v>
      </c>
      <c r="M7535" t="s">
        <v>2621</v>
      </c>
      <c r="O7535" t="str">
        <f>LEFT(Table2[[#This Row],[Description]],75)</f>
        <v>Deposit ACH CARGILL INCORPOR TYPE: DIRECT DEP ID: 9111111101 CO: CARGILL IN</v>
      </c>
    </row>
    <row r="7536" spans="1:15" hidden="1">
      <c r="A7536" s="25">
        <f>VALUE(YEAR(Table2[[#This Row],[Date]])&amp;TEXT(MONTH(Table2[[#This Row],[Date]]),"00"))</f>
        <v>202207</v>
      </c>
      <c r="B7536" s="6">
        <v>44770</v>
      </c>
      <c r="C7536" t="s">
        <v>2262</v>
      </c>
      <c r="D7536" t="s">
        <v>2676</v>
      </c>
      <c r="E7536">
        <f t="shared" ref="E7536:E7563" si="35">IF(M7536="credit",-1*J7536,J7536)</f>
        <v>450</v>
      </c>
      <c r="F7536" s="2" t="str">
        <f>IF(Table2[[#This Row],[Manual Cat Value]]="",VLOOKUP(Table2[[#This Row],[Description]],'Actuals Lookup'!D:F,3,0),Table2[[#This Row],[Manual Cat Value]])</f>
        <v>Exp - Entertainment</v>
      </c>
      <c r="G7536" t="e">
        <f>VLOOKUP(D7536,Lookup!G:H,2,0)</f>
        <v>#N/A</v>
      </c>
      <c r="H7536" s="8" t="s">
        <v>39</v>
      </c>
      <c r="J7536">
        <v>450</v>
      </c>
      <c r="M7536" t="s">
        <v>2513</v>
      </c>
      <c r="O7536" t="str">
        <f>LEFT(Table2[[#This Row],[Description]],75)</f>
        <v>FOSS SWIM SCHOOL HTTPSWWW.FOSSMN REF #2401134K10002LQMZ</v>
      </c>
    </row>
    <row r="7537" spans="1:15" hidden="1">
      <c r="A7537" s="25">
        <f>VALUE(YEAR(Table2[[#This Row],[Date]])&amp;TEXT(MONTH(Table2[[#This Row],[Date]]),"00"))</f>
        <v>202207</v>
      </c>
      <c r="B7537" s="6">
        <v>44770</v>
      </c>
      <c r="C7537" t="s">
        <v>2262</v>
      </c>
      <c r="D7537" t="s">
        <v>2677</v>
      </c>
      <c r="E7537">
        <f t="shared" si="35"/>
        <v>413</v>
      </c>
      <c r="F7537" s="2" t="str">
        <f>IF(Table2[[#This Row],[Manual Cat Value]]="",VLOOKUP(Table2[[#This Row],[Description]],'Actuals Lookup'!D:F,3,0),Table2[[#This Row],[Manual Cat Value]])</f>
        <v>Exp - Healthcare</v>
      </c>
      <c r="G7537" t="e">
        <f>VLOOKUP(D7537,Lookup!G:H,2,0)</f>
        <v>#N/A</v>
      </c>
      <c r="H7537" s="8" t="s">
        <v>47</v>
      </c>
      <c r="J7537">
        <v>413</v>
      </c>
      <c r="M7537" t="s">
        <v>2513</v>
      </c>
      <c r="O7537" t="str">
        <f>LEFT(Table2[[#This Row],[Description]],75)</f>
        <v>RIDGEVIEW MEDICAL CENTER WACONIA MN REF #2480197K010DV2Q5D</v>
      </c>
    </row>
    <row r="7538" spans="1:15" hidden="1">
      <c r="A7538" s="25">
        <f>VALUE(YEAR(Table2[[#This Row],[Date]])&amp;TEXT(MONTH(Table2[[#This Row],[Date]]),"00"))</f>
        <v>202207</v>
      </c>
      <c r="B7538" s="6">
        <v>44770</v>
      </c>
      <c r="C7538" t="s">
        <v>2447</v>
      </c>
      <c r="D7538" t="s">
        <v>2663</v>
      </c>
      <c r="E7538">
        <f t="shared" si="35"/>
        <v>-0.5</v>
      </c>
      <c r="F7538" s="2" t="str">
        <f>IF(Table2[[#This Row],[Manual Cat Value]]="",VLOOKUP(Table2[[#This Row],[Description]],'Actuals Lookup'!D:F,3,0),Table2[[#This Row],[Manual Cat Value]])</f>
        <v>Exp - Misc</v>
      </c>
      <c r="G7538" t="e">
        <f>VLOOKUP(D7538,Lookup!G:H,2,0)</f>
        <v>#N/A</v>
      </c>
      <c r="H7538" s="8" t="s">
        <v>46</v>
      </c>
      <c r="J7538">
        <v>0.5</v>
      </c>
      <c r="M7538" t="s">
        <v>2621</v>
      </c>
      <c r="O7538" t="str">
        <f>LEFT(Table2[[#This Row],[Description]],75)</f>
        <v>WINDSOR UNIVERSITY 2028099980 DC</v>
      </c>
    </row>
    <row r="7539" spans="1:15" hidden="1">
      <c r="A7539" s="25">
        <f>VALUE(YEAR(Table2[[#This Row],[Date]])&amp;TEXT(MONTH(Table2[[#This Row],[Date]]),"00"))</f>
        <v>202207</v>
      </c>
      <c r="B7539" s="6">
        <v>44770</v>
      </c>
      <c r="C7539" t="s">
        <v>2265</v>
      </c>
      <c r="D7539" t="s">
        <v>2678</v>
      </c>
      <c r="E7539">
        <f t="shared" si="35"/>
        <v>0.99</v>
      </c>
      <c r="F7539" s="2" t="str">
        <f>IF(Table2[[#This Row],[Manual Cat Value]]="",VLOOKUP(Table2[[#This Row],[Description]],'Actuals Lookup'!D:F,3,0),Table2[[#This Row],[Manual Cat Value]])</f>
        <v>Exp - Entertainment</v>
      </c>
      <c r="G7539" t="e">
        <f>VLOOKUP(D7539,Lookup!G:H,2,0)</f>
        <v>#N/A</v>
      </c>
      <c r="H7539" s="8" t="s">
        <v>39</v>
      </c>
      <c r="J7539">
        <v>0.99</v>
      </c>
      <c r="M7539" t="s">
        <v>2513</v>
      </c>
      <c r="O7539" t="str">
        <f>LEFT(Table2[[#This Row],[Description]],75)</f>
        <v xml:space="preserve">Withdrawal ACH PAYPAL TYPE: INST XFER ID: PAYPALSI77 CO: PAYPAL NAME: JEFF </v>
      </c>
    </row>
    <row r="7540" spans="1:15" hidden="1">
      <c r="A7540" s="25">
        <f>VALUE(YEAR(Table2[[#This Row],[Date]])&amp;TEXT(MONTH(Table2[[#This Row],[Date]]),"00"))</f>
        <v>202207</v>
      </c>
      <c r="B7540" s="6">
        <v>44770</v>
      </c>
      <c r="C7540" t="s">
        <v>2447</v>
      </c>
      <c r="D7540" t="s">
        <v>997</v>
      </c>
      <c r="E7540">
        <f t="shared" si="35"/>
        <v>-617.14</v>
      </c>
      <c r="F7540" s="2" t="str">
        <f>IF(Table2[[#This Row],[Manual Cat Value]]="",VLOOKUP(Table2[[#This Row],[Description]],'Actuals Lookup'!D:F,3,0),Table2[[#This Row],[Manual Cat Value]])</f>
        <v>Delete</v>
      </c>
      <c r="G7540" t="str">
        <f>VLOOKUP(D7540,Lookup!G:H,2,0)</f>
        <v>Delete</v>
      </c>
      <c r="J7540">
        <v>617.14</v>
      </c>
      <c r="M7540" t="s">
        <v>2621</v>
      </c>
      <c r="O7540" t="str">
        <f>LEFT(Table2[[#This Row],[Description]],75)</f>
        <v>INTERNET PAYMENT - THANK YOU</v>
      </c>
    </row>
    <row r="7541" spans="1:15" hidden="1">
      <c r="A7541" s="25">
        <f>VALUE(YEAR(Table2[[#This Row],[Date]])&amp;TEXT(MONTH(Table2[[#This Row],[Date]]),"00"))</f>
        <v>202207</v>
      </c>
      <c r="B7541" s="6">
        <v>44770</v>
      </c>
      <c r="C7541" t="s">
        <v>2265</v>
      </c>
      <c r="D7541" t="s">
        <v>2679</v>
      </c>
      <c r="E7541">
        <f t="shared" si="35"/>
        <v>125</v>
      </c>
      <c r="F7541" s="2" t="str">
        <f>IF(Table2[[#This Row],[Manual Cat Value]]="",VLOOKUP(Table2[[#This Row],[Description]],'Actuals Lookup'!D:F,3,0),Table2[[#This Row],[Manual Cat Value]])</f>
        <v>Exp - Shopping</v>
      </c>
      <c r="G7541" t="e">
        <f>VLOOKUP(D7541,Lookup!G:H,2,0)</f>
        <v>#N/A</v>
      </c>
      <c r="H7541" s="8" t="s">
        <v>36</v>
      </c>
      <c r="J7541">
        <v>125</v>
      </c>
      <c r="M7541" t="s">
        <v>2513</v>
      </c>
      <c r="O7541" t="str">
        <f>LEFT(Table2[[#This Row],[Description]],75)</f>
        <v>Withdrawal ACH VENMO TYPE: PAYMENT ID: 326XXXXXXX CO: VENMO NAME: BRITNEY T</v>
      </c>
    </row>
    <row r="7542" spans="1:15" hidden="1">
      <c r="A7542" s="25">
        <f>VALUE(YEAR(Table2[[#This Row],[Date]])&amp;TEXT(MONTH(Table2[[#This Row],[Date]]),"00"))</f>
        <v>202207</v>
      </c>
      <c r="B7542" s="6">
        <v>44771</v>
      </c>
      <c r="C7542" t="s">
        <v>2262</v>
      </c>
      <c r="D7542" t="s">
        <v>2680</v>
      </c>
      <c r="E7542">
        <f t="shared" si="35"/>
        <v>13.83</v>
      </c>
      <c r="F7542" s="2" t="str">
        <f>IF(Table2[[#This Row],[Manual Cat Value]]="",VLOOKUP(Table2[[#This Row],[Description]],'Actuals Lookup'!D:F,3,0),Table2[[#This Row],[Manual Cat Value]])</f>
        <v>Exp - Amazon</v>
      </c>
      <c r="G7542" t="e">
        <f>VLOOKUP(D7542,Lookup!G:H,2,0)</f>
        <v>#N/A</v>
      </c>
      <c r="H7542" s="8" t="s">
        <v>37</v>
      </c>
      <c r="J7542">
        <v>13.83</v>
      </c>
      <c r="M7542" t="s">
        <v>2513</v>
      </c>
      <c r="O7542" t="str">
        <f>LEFT(Table2[[#This Row],[Description]],75)</f>
        <v>AMZN Mktp US*FR8XF00I3 Amzn.com/billWA REF #2469216K12XR5PYRX</v>
      </c>
    </row>
    <row r="7543" spans="1:15" hidden="1">
      <c r="A7543" s="25">
        <f>VALUE(YEAR(Table2[[#This Row],[Date]])&amp;TEXT(MONTH(Table2[[#This Row],[Date]]),"00"))</f>
        <v>202207</v>
      </c>
      <c r="B7543" s="6">
        <v>44771</v>
      </c>
      <c r="C7543" t="s">
        <v>2265</v>
      </c>
      <c r="D7543" t="s">
        <v>2681</v>
      </c>
      <c r="E7543">
        <f t="shared" si="35"/>
        <v>-429.69</v>
      </c>
      <c r="F7543" s="2" t="str">
        <f>IF(Table2[[#This Row],[Manual Cat Value]]="",VLOOKUP(Table2[[#This Row],[Description]],'Actuals Lookup'!D:F,3,0),Table2[[#This Row],[Manual Cat Value]])</f>
        <v>Exp - Healthcare</v>
      </c>
      <c r="G7543" t="e">
        <f>VLOOKUP(D7543,Lookup!G:H,2,0)</f>
        <v>#N/A</v>
      </c>
      <c r="H7543" s="8" t="s">
        <v>47</v>
      </c>
      <c r="J7543">
        <v>429.69</v>
      </c>
      <c r="M7543" t="s">
        <v>2621</v>
      </c>
      <c r="O7543" t="str">
        <f>LEFT(Table2[[#This Row],[Description]],75)</f>
        <v>Deposit ACH connectyourcare TYPE: SVB-CLAIMS ID: E942875288 CO: connectyour</v>
      </c>
    </row>
    <row r="7544" spans="1:15" hidden="1">
      <c r="A7544" s="25">
        <f>VALUE(YEAR(Table2[[#This Row],[Date]])&amp;TEXT(MONTH(Table2[[#This Row],[Date]]),"00"))</f>
        <v>202207</v>
      </c>
      <c r="B7544" s="6">
        <v>44771</v>
      </c>
      <c r="C7544" t="s">
        <v>2262</v>
      </c>
      <c r="D7544" t="s">
        <v>2682</v>
      </c>
      <c r="E7544">
        <f t="shared" si="35"/>
        <v>148.75</v>
      </c>
      <c r="F7544" s="2" t="str">
        <f>IF(Table2[[#This Row],[Manual Cat Value]]="",VLOOKUP(Table2[[#This Row],[Description]],'Actuals Lookup'!D:F,3,0),Table2[[#This Row],[Manual Cat Value]])</f>
        <v>Exp - Healthcare</v>
      </c>
      <c r="G7544" t="e">
        <f>VLOOKUP(D7544,Lookup!G:H,2,0)</f>
        <v>#N/A</v>
      </c>
      <c r="H7544" s="8" t="s">
        <v>47</v>
      </c>
      <c r="J7544">
        <v>148.75</v>
      </c>
      <c r="M7544" t="s">
        <v>2513</v>
      </c>
      <c r="O7544" t="str">
        <f>LEFT(Table2[[#This Row],[Description]],75)</f>
        <v>dox*Ridgeview Medical Ce 866-2174483 WA REF #2490641K14E84H49D</v>
      </c>
    </row>
    <row r="7545" spans="1:15" hidden="1">
      <c r="A7545" s="25">
        <f>VALUE(YEAR(Table2[[#This Row],[Date]])&amp;TEXT(MONTH(Table2[[#This Row],[Date]]),"00"))</f>
        <v>202207</v>
      </c>
      <c r="B7545" s="6">
        <v>44771</v>
      </c>
      <c r="C7545" t="s">
        <v>2262</v>
      </c>
      <c r="D7545" t="s">
        <v>2683</v>
      </c>
      <c r="E7545">
        <f t="shared" si="35"/>
        <v>51.85</v>
      </c>
      <c r="F7545" s="2" t="str">
        <f>IF(Table2[[#This Row],[Manual Cat Value]]="",VLOOKUP(Table2[[#This Row],[Description]],'Actuals Lookup'!D:F,3,0),Table2[[#This Row],[Manual Cat Value]])</f>
        <v>Exp - Transportation</v>
      </c>
      <c r="G7545" t="e">
        <f>VLOOKUP(D7545,Lookup!G:H,2,0)</f>
        <v>#N/A</v>
      </c>
      <c r="H7545" s="8" t="s">
        <v>22</v>
      </c>
      <c r="J7545">
        <v>51.85</v>
      </c>
      <c r="M7545" t="s">
        <v>2513</v>
      </c>
      <c r="O7545" t="str">
        <f>LEFT(Table2[[#This Row],[Description]],75)</f>
        <v>KWIK TRIP 40200004028 CHANHASSEN MN REF #2416407K1L3HDJYS6</v>
      </c>
    </row>
    <row r="7546" spans="1:15" hidden="1">
      <c r="A7546" s="25">
        <f>VALUE(YEAR(Table2[[#This Row],[Date]])&amp;TEXT(MONTH(Table2[[#This Row],[Date]]),"00"))</f>
        <v>202207</v>
      </c>
      <c r="B7546" s="6">
        <v>44771</v>
      </c>
      <c r="C7546" t="s">
        <v>2262</v>
      </c>
      <c r="D7546" t="s">
        <v>2684</v>
      </c>
      <c r="E7546">
        <f t="shared" si="35"/>
        <v>25.45</v>
      </c>
      <c r="F7546" s="2" t="str">
        <f>IF(Table2[[#This Row],[Manual Cat Value]]="",VLOOKUP(Table2[[#This Row],[Description]],'Actuals Lookup'!D:F,3,0),Table2[[#This Row],[Manual Cat Value]])</f>
        <v>Exp - House Maint</v>
      </c>
      <c r="G7546" t="e">
        <f>VLOOKUP(D7546,Lookup!G:H,2,0)</f>
        <v>#N/A</v>
      </c>
      <c r="H7546" s="8" t="s">
        <v>1</v>
      </c>
      <c r="J7546">
        <v>25.45</v>
      </c>
      <c r="M7546" t="s">
        <v>2513</v>
      </c>
      <c r="O7546" t="str">
        <f>LEFT(Table2[[#This Row],[Description]],75)</f>
        <v>THE HOME DEPOT #2825 CHASKA MN REF #2494301K109FVSVNT</v>
      </c>
    </row>
    <row r="7547" spans="1:15" hidden="1">
      <c r="A7547" s="25">
        <f>VALUE(YEAR(Table2[[#This Row],[Date]])&amp;TEXT(MONTH(Table2[[#This Row],[Date]]),"00"))</f>
        <v>202207</v>
      </c>
      <c r="B7547" s="6">
        <v>44771</v>
      </c>
      <c r="C7547" t="s">
        <v>2265</v>
      </c>
      <c r="D7547" t="s">
        <v>2685</v>
      </c>
      <c r="E7547">
        <f t="shared" si="35"/>
        <v>0.99</v>
      </c>
      <c r="F7547" s="2" t="str">
        <f>IF(Table2[[#This Row],[Manual Cat Value]]="",VLOOKUP(Table2[[#This Row],[Description]],'Actuals Lookup'!D:F,3,0),Table2[[#This Row],[Manual Cat Value]])</f>
        <v>Exp - Entertainment</v>
      </c>
      <c r="G7547" t="e">
        <f>VLOOKUP(D7547,Lookup!G:H,2,0)</f>
        <v>#N/A</v>
      </c>
      <c r="H7547" s="8" t="s">
        <v>39</v>
      </c>
      <c r="J7547">
        <v>0.99</v>
      </c>
      <c r="M7547" t="s">
        <v>2513</v>
      </c>
      <c r="O7547" t="str">
        <f>LEFT(Table2[[#This Row],[Description]],75)</f>
        <v xml:space="preserve">Withdrawal ACH PAYPAL TYPE: INST XFER ID: PAYPALSI77 CO: PAYPAL NAME: JEFF </v>
      </c>
    </row>
    <row r="7548" spans="1:15" hidden="1">
      <c r="A7548" s="25">
        <f>VALUE(YEAR(Table2[[#This Row],[Date]])&amp;TEXT(MONTH(Table2[[#This Row],[Date]]),"00"))</f>
        <v>202207</v>
      </c>
      <c r="B7548" s="6">
        <v>44771</v>
      </c>
      <c r="C7548" t="s">
        <v>2265</v>
      </c>
      <c r="D7548" t="s">
        <v>2686</v>
      </c>
      <c r="E7548">
        <f t="shared" si="35"/>
        <v>617.14</v>
      </c>
      <c r="F7548" s="2" t="str">
        <f>IF(Table2[[#This Row],[Manual Cat Value]]="",VLOOKUP(Table2[[#This Row],[Description]],'Actuals Lookup'!D:F,3,0),Table2[[#This Row],[Manual Cat Value]])</f>
        <v>Delete</v>
      </c>
      <c r="G7548" t="e">
        <f>VLOOKUP(D7548,Lookup!G:H,2,0)</f>
        <v>#N/A</v>
      </c>
      <c r="H7548" s="8" t="s">
        <v>9</v>
      </c>
      <c r="J7548">
        <v>617.14</v>
      </c>
      <c r="M7548" t="s">
        <v>2513</v>
      </c>
      <c r="O7548" t="str">
        <f>LEFT(Table2[[#This Row],[Description]],75)</f>
        <v>Withdrawal ACH DISCOVER TYPE: E-PAYMENT ID: 2510020270 CO: DISCOVER NAME: T</v>
      </c>
    </row>
    <row r="7549" spans="1:15" hidden="1">
      <c r="A7549" s="25">
        <f>VALUE(YEAR(Table2[[#This Row],[Date]])&amp;TEXT(MONTH(Table2[[#This Row],[Date]]),"00"))</f>
        <v>202207</v>
      </c>
      <c r="B7549" s="6">
        <v>44772</v>
      </c>
      <c r="C7549" t="s">
        <v>2447</v>
      </c>
      <c r="D7549" t="s">
        <v>2687</v>
      </c>
      <c r="E7549">
        <f t="shared" si="35"/>
        <v>61.86</v>
      </c>
      <c r="F7549" s="2" t="str">
        <f>IF(Table2[[#This Row],[Manual Cat Value]]="",VLOOKUP(Table2[[#This Row],[Description]],'Actuals Lookup'!D:F,3,0),Table2[[#This Row],[Manual Cat Value]])</f>
        <v>Exp - Restaurants</v>
      </c>
      <c r="G7549" t="e">
        <f>VLOOKUP(D7549,Lookup!G:H,2,0)</f>
        <v>#N/A</v>
      </c>
      <c r="H7549" s="8" t="s">
        <v>25</v>
      </c>
      <c r="J7549">
        <v>61.86</v>
      </c>
      <c r="M7549" t="s">
        <v>2513</v>
      </c>
      <c r="O7549" t="str">
        <f>LEFT(Table2[[#This Row],[Description]],75)</f>
        <v>BLACK SHEEP PIZZA - NICO MINNEAPOLIS MN</v>
      </c>
    </row>
    <row r="7550" spans="1:15" hidden="1">
      <c r="A7550" s="25">
        <f>VALUE(YEAR(Table2[[#This Row],[Date]])&amp;TEXT(MONTH(Table2[[#This Row],[Date]]),"00"))</f>
        <v>202207</v>
      </c>
      <c r="B7550" s="6">
        <v>44772</v>
      </c>
      <c r="C7550" t="s">
        <v>2447</v>
      </c>
      <c r="D7550" t="s">
        <v>1568</v>
      </c>
      <c r="E7550">
        <f t="shared" si="35"/>
        <v>51.75</v>
      </c>
      <c r="F7550" s="2" t="str">
        <f>IF(Table2[[#This Row],[Manual Cat Value]]="",VLOOKUP(Table2[[#This Row],[Description]],'Actuals Lookup'!D:F,3,0),Table2[[#This Row],[Manual Cat Value]])</f>
        <v>Exp - Restaurants</v>
      </c>
      <c r="G7550" t="str">
        <f>VLOOKUP(D7550,Lookup!G:H,2,0)</f>
        <v>Restaurants</v>
      </c>
      <c r="H7550" s="8" t="s">
        <v>25</v>
      </c>
      <c r="J7550">
        <v>51.75</v>
      </c>
      <c r="M7550" t="s">
        <v>2513</v>
      </c>
      <c r="O7550" t="str">
        <f>LEFT(Table2[[#This Row],[Description]],75)</f>
        <v>REDSTONE AMERICAN GRILL EDEN PRAIRIE MN</v>
      </c>
    </row>
    <row r="7551" spans="1:15" hidden="1">
      <c r="A7551" s="25">
        <f>VALUE(YEAR(Table2[[#This Row],[Date]])&amp;TEXT(MONTH(Table2[[#This Row],[Date]]),"00"))</f>
        <v>202207</v>
      </c>
      <c r="B7551" s="6">
        <v>44773</v>
      </c>
      <c r="C7551" t="s">
        <v>2262</v>
      </c>
      <c r="D7551" t="s">
        <v>2688</v>
      </c>
      <c r="E7551">
        <f t="shared" si="35"/>
        <v>8.59</v>
      </c>
      <c r="F7551" s="2" t="str">
        <f>IF(Table2[[#This Row],[Manual Cat Value]]="",VLOOKUP(Table2[[#This Row],[Description]],'Actuals Lookup'!D:F,3,0),Table2[[#This Row],[Manual Cat Value]])</f>
        <v>Exp - Shopping</v>
      </c>
      <c r="G7551" t="e">
        <f>VLOOKUP(D7551,Lookup!G:H,2,0)</f>
        <v>#N/A</v>
      </c>
      <c r="H7551" s="8" t="s">
        <v>36</v>
      </c>
      <c r="J7551">
        <v>8.59</v>
      </c>
      <c r="M7551" t="s">
        <v>2513</v>
      </c>
      <c r="O7551" t="str">
        <f>LEFT(Table2[[#This Row],[Description]],75)</f>
        <v>AT&amp;T W318 58845 CHANHASSEN MN REF #2405523K4PM46RVLL</v>
      </c>
    </row>
    <row r="7552" spans="1:15" hidden="1">
      <c r="A7552" s="25">
        <f>VALUE(YEAR(Table2[[#This Row],[Date]])&amp;TEXT(MONTH(Table2[[#This Row],[Date]]),"00"))</f>
        <v>202207</v>
      </c>
      <c r="B7552" s="6">
        <v>44773</v>
      </c>
      <c r="C7552" t="s">
        <v>2281</v>
      </c>
      <c r="D7552" t="s">
        <v>14</v>
      </c>
      <c r="E7552">
        <f t="shared" si="35"/>
        <v>250</v>
      </c>
      <c r="F7552" s="2" t="str">
        <f>IF(Table2[[#This Row],[Manual Cat Value]]="",VLOOKUP(Table2[[#This Row],[Description]],'Actuals Lookup'!D:F,3,0),Table2[[#This Row],[Manual Cat Value]])</f>
        <v>Exp - Cleaning</v>
      </c>
      <c r="G7552" t="e">
        <f>VLOOKUP(D7552,Lookup!G:H,2,0)</f>
        <v>#N/A</v>
      </c>
      <c r="H7552" s="8" t="s">
        <v>13</v>
      </c>
      <c r="J7552">
        <v>250</v>
      </c>
      <c r="M7552" t="s">
        <v>2513</v>
      </c>
      <c r="O7552" t="str">
        <f>LEFT(Table2[[#This Row],[Description]],75)</f>
        <v>Cleaning</v>
      </c>
    </row>
    <row r="7553" spans="1:15" hidden="1">
      <c r="A7553" s="25">
        <f>VALUE(YEAR(Table2[[#This Row],[Date]])&amp;TEXT(MONTH(Table2[[#This Row],[Date]]),"00"))</f>
        <v>202207</v>
      </c>
      <c r="B7553" s="6">
        <v>44773</v>
      </c>
      <c r="C7553" t="s">
        <v>2262</v>
      </c>
      <c r="D7553" t="s">
        <v>2689</v>
      </c>
      <c r="E7553">
        <f t="shared" si="35"/>
        <v>243.19</v>
      </c>
      <c r="F7553" s="2" t="str">
        <f>IF(Table2[[#This Row],[Manual Cat Value]]="",VLOOKUP(Table2[[#This Row],[Description]],'Actuals Lookup'!D:F,3,0),Table2[[#This Row],[Manual Cat Value]])</f>
        <v>Exp - Groceries</v>
      </c>
      <c r="G7553" t="e">
        <f>VLOOKUP(D7553,Lookup!G:H,2,0)</f>
        <v>#N/A</v>
      </c>
      <c r="H7553" s="8" t="s">
        <v>27</v>
      </c>
      <c r="J7553">
        <v>243.19</v>
      </c>
      <c r="M7553" t="s">
        <v>2513</v>
      </c>
      <c r="O7553" t="str">
        <f>LEFT(Table2[[#This Row],[Description]],75)</f>
        <v>COSTCO WHSE #0783 EDEN PRAIRIE MN REF #2494300K4S4AFKN9B</v>
      </c>
    </row>
    <row r="7554" spans="1:15" hidden="1">
      <c r="A7554" s="25">
        <f>VALUE(YEAR(Table2[[#This Row],[Date]])&amp;TEXT(MONTH(Table2[[#This Row],[Date]]),"00"))</f>
        <v>202207</v>
      </c>
      <c r="B7554" s="6">
        <v>44773</v>
      </c>
      <c r="C7554" t="s">
        <v>2265</v>
      </c>
      <c r="D7554" t="s">
        <v>2690</v>
      </c>
      <c r="E7554">
        <f t="shared" si="35"/>
        <v>-24.78</v>
      </c>
      <c r="F7554" s="2" t="str">
        <f>IF(Table2[[#This Row],[Manual Cat Value]]="",VLOOKUP(Table2[[#This Row],[Description]],'Actuals Lookup'!D:F,3,0),Table2[[#This Row],[Manual Cat Value]])</f>
        <v>Delete</v>
      </c>
      <c r="G7554" t="e">
        <f>VLOOKUP(D7554,Lookup!G:H,2,0)</f>
        <v>#N/A</v>
      </c>
      <c r="H7554" s="8" t="s">
        <v>9</v>
      </c>
      <c r="J7554">
        <v>24.78</v>
      </c>
      <c r="M7554" t="s">
        <v>2621</v>
      </c>
      <c r="O7554" t="str">
        <f>LEFT(Table2[[#This Row],[Description]],75)</f>
        <v>Deposit Dividend Split Rate Annual Percentage Yield Earned 1.50% from 07/01</v>
      </c>
    </row>
    <row r="7555" spans="1:15" hidden="1">
      <c r="A7555" s="25">
        <f>VALUE(YEAR(Table2[[#This Row],[Date]])&amp;TEXT(MONTH(Table2[[#This Row],[Date]]),"00"))</f>
        <v>202207</v>
      </c>
      <c r="B7555" s="6">
        <v>44773</v>
      </c>
      <c r="C7555" t="s">
        <v>2262</v>
      </c>
      <c r="D7555" t="s">
        <v>2691</v>
      </c>
      <c r="E7555">
        <f t="shared" si="35"/>
        <v>-75.2</v>
      </c>
      <c r="F7555" s="2" t="str">
        <f>IF(Table2[[#This Row],[Manual Cat Value]]="",VLOOKUP(Table2[[#This Row],[Description]],'Actuals Lookup'!D:F,3,0),Table2[[#This Row],[Manual Cat Value]])</f>
        <v>Exp - Travel</v>
      </c>
      <c r="G7555" t="e">
        <f>VLOOKUP(D7555,Lookup!G:H,2,0)</f>
        <v>#N/A</v>
      </c>
      <c r="H7555" s="8" t="s">
        <v>52</v>
      </c>
      <c r="J7555">
        <v>75.2</v>
      </c>
      <c r="M7555" t="s">
        <v>2621</v>
      </c>
      <c r="O7555" t="str">
        <f>LEFT(Table2[[#This Row],[Description]],75)</f>
        <v>FH* FURY ADVENTURES 185-54955551 FL REF #2449216K40005E17R</v>
      </c>
    </row>
    <row r="7556" spans="1:15" hidden="1">
      <c r="A7556" s="25">
        <f>VALUE(YEAR(Table2[[#This Row],[Date]])&amp;TEXT(MONTH(Table2[[#This Row],[Date]]),"00"))</f>
        <v>202207</v>
      </c>
      <c r="B7556" s="6">
        <v>44773</v>
      </c>
      <c r="C7556" t="s">
        <v>2262</v>
      </c>
      <c r="D7556" t="s">
        <v>2692</v>
      </c>
      <c r="E7556">
        <f t="shared" si="35"/>
        <v>8.66</v>
      </c>
      <c r="F7556" s="2" t="str">
        <f>IF(Table2[[#This Row],[Manual Cat Value]]="",VLOOKUP(Table2[[#This Row],[Description]],'Actuals Lookup'!D:F,3,0),Table2[[#This Row],[Manual Cat Value]])</f>
        <v>Exp - Transportation</v>
      </c>
      <c r="G7556" t="e">
        <f>VLOOKUP(D7556,Lookup!G:H,2,0)</f>
        <v>#N/A</v>
      </c>
      <c r="H7556" s="8" t="s">
        <v>22</v>
      </c>
      <c r="J7556">
        <v>8.66</v>
      </c>
      <c r="M7556" t="s">
        <v>2513</v>
      </c>
      <c r="O7556" t="str">
        <f>LEFT(Table2[[#This Row],[Description]],75)</f>
        <v>LYFT SCOOTER RIDE 855-865-9553 CA REF #2449215K4LRNV0H2M</v>
      </c>
    </row>
    <row r="7557" spans="1:15" hidden="1">
      <c r="A7557" s="25">
        <f>VALUE(YEAR(Table2[[#This Row],[Date]])&amp;TEXT(MONTH(Table2[[#This Row],[Date]]),"00"))</f>
        <v>202207</v>
      </c>
      <c r="B7557" s="6">
        <v>44773</v>
      </c>
      <c r="C7557" t="s">
        <v>2262</v>
      </c>
      <c r="D7557" t="s">
        <v>2693</v>
      </c>
      <c r="E7557">
        <f t="shared" si="35"/>
        <v>5.29</v>
      </c>
      <c r="F7557" s="2" t="str">
        <f>IF(Table2[[#This Row],[Manual Cat Value]]="",VLOOKUP(Table2[[#This Row],[Description]],'Actuals Lookup'!D:F,3,0),Table2[[#This Row],[Manual Cat Value]])</f>
        <v>Exp - Transportation</v>
      </c>
      <c r="G7557" t="e">
        <f>VLOOKUP(D7557,Lookup!G:H,2,0)</f>
        <v>#N/A</v>
      </c>
      <c r="H7557" s="8" t="s">
        <v>22</v>
      </c>
      <c r="J7557">
        <v>5.29</v>
      </c>
      <c r="M7557" t="s">
        <v>2513</v>
      </c>
      <c r="O7557" t="str">
        <f>LEFT(Table2[[#This Row],[Description]],75)</f>
        <v>LYFT SCOOTER RIDE 855-865-9553 CA REF #2449215K4MNGMNRZ2</v>
      </c>
    </row>
    <row r="7558" spans="1:15" hidden="1">
      <c r="A7558" s="25">
        <f>VALUE(YEAR(Table2[[#This Row],[Date]])&amp;TEXT(MONTH(Table2[[#This Row],[Date]]),"00"))</f>
        <v>202207</v>
      </c>
      <c r="B7558" s="6">
        <v>44773</v>
      </c>
      <c r="C7558" t="s">
        <v>2262</v>
      </c>
      <c r="D7558" t="s">
        <v>2694</v>
      </c>
      <c r="E7558">
        <f t="shared" si="35"/>
        <v>2.77</v>
      </c>
      <c r="F7558" s="2" t="str">
        <f>IF(Table2[[#This Row],[Manual Cat Value]]="",VLOOKUP(Table2[[#This Row],[Description]],'Actuals Lookup'!D:F,3,0),Table2[[#This Row],[Manual Cat Value]])</f>
        <v>Exp - Transportation</v>
      </c>
      <c r="G7558" t="e">
        <f>VLOOKUP(D7558,Lookup!G:H,2,0)</f>
        <v>#N/A</v>
      </c>
      <c r="H7558" s="8" t="s">
        <v>22</v>
      </c>
      <c r="J7558">
        <v>2.77</v>
      </c>
      <c r="M7558" t="s">
        <v>2513</v>
      </c>
      <c r="O7558" t="str">
        <f>LEFT(Table2[[#This Row],[Description]],75)</f>
        <v>LYFT SCOOTER RIDE 855-865-9553 CA REF #2449215K4MNGSF3NT</v>
      </c>
    </row>
    <row r="7559" spans="1:15" hidden="1">
      <c r="A7559" s="25">
        <f>VALUE(YEAR(Table2[[#This Row],[Date]])&amp;TEXT(MONTH(Table2[[#This Row],[Date]]),"00"))</f>
        <v>202207</v>
      </c>
      <c r="B7559" s="6">
        <v>44773</v>
      </c>
      <c r="C7559" t="s">
        <v>2262</v>
      </c>
      <c r="D7559" t="s">
        <v>2695</v>
      </c>
      <c r="E7559">
        <f t="shared" si="35"/>
        <v>62.1</v>
      </c>
      <c r="F7559" s="2" t="str">
        <f>IF(Table2[[#This Row],[Manual Cat Value]]="",VLOOKUP(Table2[[#This Row],[Description]],'Actuals Lookup'!D:F,3,0),Table2[[#This Row],[Manual Cat Value]])</f>
        <v>Exp - Restaurants</v>
      </c>
      <c r="G7559" t="e">
        <f>VLOOKUP(D7559,Lookup!G:H,2,0)</f>
        <v>#N/A</v>
      </c>
      <c r="H7559" s="8" t="s">
        <v>25</v>
      </c>
      <c r="J7559">
        <v>62.1</v>
      </c>
      <c r="M7559" t="s">
        <v>2513</v>
      </c>
      <c r="O7559" t="str">
        <f>LEFT(Table2[[#This Row],[Description]],75)</f>
        <v>MIYABI EXCEISIOR MN REF #2455193K20EXNG2TZ</v>
      </c>
    </row>
    <row r="7560" spans="1:15" hidden="1">
      <c r="A7560" s="25">
        <f>VALUE(YEAR(Table2[[#This Row],[Date]])&amp;TEXT(MONTH(Table2[[#This Row],[Date]]),"00"))</f>
        <v>202207</v>
      </c>
      <c r="B7560" s="6">
        <v>44773</v>
      </c>
      <c r="C7560" t="s">
        <v>2262</v>
      </c>
      <c r="D7560" t="s">
        <v>2696</v>
      </c>
      <c r="E7560">
        <f t="shared" si="35"/>
        <v>112.69</v>
      </c>
      <c r="F7560" s="2" t="str">
        <f>IF(Table2[[#This Row],[Manual Cat Value]]="",VLOOKUP(Table2[[#This Row],[Description]],'Actuals Lookup'!D:F,3,0),Table2[[#This Row],[Manual Cat Value]])</f>
        <v>Exp - Restaurants</v>
      </c>
      <c r="G7560" t="e">
        <f>VLOOKUP(D7560,Lookup!G:H,2,0)</f>
        <v>#N/A</v>
      </c>
      <c r="H7560" s="8" t="s">
        <v>25</v>
      </c>
      <c r="J7560">
        <v>112.69</v>
      </c>
      <c r="M7560" t="s">
        <v>2513</v>
      </c>
      <c r="O7560" t="str">
        <f>LEFT(Table2[[#This Row],[Description]],75)</f>
        <v>NORTH COOP CHAHASSEN MN REF #2474455K3D3322Z3K</v>
      </c>
    </row>
    <row r="7561" spans="1:15" hidden="1">
      <c r="A7561" s="25">
        <f>VALUE(YEAR(Table2[[#This Row],[Date]])&amp;TEXT(MONTH(Table2[[#This Row],[Date]]),"00"))</f>
        <v>202207</v>
      </c>
      <c r="B7561" s="6">
        <v>44773</v>
      </c>
      <c r="C7561" t="s">
        <v>2262</v>
      </c>
      <c r="D7561" t="s">
        <v>2697</v>
      </c>
      <c r="E7561">
        <f t="shared" si="35"/>
        <v>6.58</v>
      </c>
      <c r="F7561" s="2" t="str">
        <f>IF(Table2[[#This Row],[Manual Cat Value]]="",VLOOKUP(Table2[[#This Row],[Description]],'Actuals Lookup'!D:F,3,0),Table2[[#This Row],[Manual Cat Value]])</f>
        <v>Exp - Target</v>
      </c>
      <c r="G7561" t="e">
        <f>VLOOKUP(D7561,Lookup!G:H,2,0)</f>
        <v>#N/A</v>
      </c>
      <c r="H7561" s="8" t="s">
        <v>30</v>
      </c>
      <c r="J7561">
        <v>6.58</v>
      </c>
      <c r="M7561" t="s">
        <v>2513</v>
      </c>
      <c r="O7561" t="str">
        <f>LEFT(Table2[[#This Row],[Description]],75)</f>
        <v>TARGET 00008623 CHANHASSEN MN REF #2416407K22LRFRNW7</v>
      </c>
    </row>
    <row r="7562" spans="1:15" hidden="1">
      <c r="A7562" s="25">
        <f>VALUE(YEAR(Table2[[#This Row],[Date]])&amp;TEXT(MONTH(Table2[[#This Row],[Date]]),"00"))</f>
        <v>202207</v>
      </c>
      <c r="B7562" s="6">
        <v>44773</v>
      </c>
      <c r="C7562" t="s">
        <v>2447</v>
      </c>
      <c r="D7562" t="s">
        <v>2698</v>
      </c>
      <c r="E7562">
        <f t="shared" si="35"/>
        <v>36.799999999999997</v>
      </c>
      <c r="F7562" s="2" t="str">
        <f>IF(Table2[[#This Row],[Manual Cat Value]]="",VLOOKUP(Table2[[#This Row],[Description]],'Actuals Lookup'!D:F,3,0),Table2[[#This Row],[Manual Cat Value]])</f>
        <v>Exp - Restaurants</v>
      </c>
      <c r="G7562" t="e">
        <f>VLOOKUP(D7562,Lookup!G:H,2,0)</f>
        <v>#N/A</v>
      </c>
      <c r="H7562" s="8" t="s">
        <v>25</v>
      </c>
      <c r="J7562">
        <v>36.799999999999997</v>
      </c>
      <c r="M7562" t="s">
        <v>2513</v>
      </c>
      <c r="O7562" t="str">
        <f>LEFT(Table2[[#This Row],[Description]],75)</f>
        <v>TST* DANGEROUS MAN BREWI MINNEAPOLIS MN</v>
      </c>
    </row>
    <row r="7563" spans="1:15" ht="30" hidden="1">
      <c r="A7563" s="25">
        <f>VALUE(YEAR(Table2[[#This Row],[Date]])&amp;TEXT(MONTH(Table2[[#This Row],[Date]]),"00"))</f>
        <v>202208</v>
      </c>
      <c r="B7563" s="6">
        <v>44774</v>
      </c>
      <c r="C7563" t="s">
        <v>2447</v>
      </c>
      <c r="D7563" s="7" t="s">
        <v>2699</v>
      </c>
      <c r="E7563">
        <f t="shared" si="35"/>
        <v>5.36</v>
      </c>
      <c r="F7563" s="2" t="str">
        <f>IF(Table2[[#This Row],[Manual Cat Value]]="",VLOOKUP(Table2[[#This Row],[Description]],'Actuals Lookup'!D:F,3,0),Table2[[#This Row],[Manual Cat Value]])</f>
        <v>Exp - Shopping</v>
      </c>
      <c r="G7563" t="e">
        <f>VLOOKUP(D7563,Lookup!G:H,2,0)</f>
        <v>#N/A</v>
      </c>
      <c r="H7563" s="78" t="s">
        <v>36</v>
      </c>
      <c r="I7563" s="78"/>
      <c r="J7563">
        <v>5.36</v>
      </c>
      <c r="M7563" t="s">
        <v>2513</v>
      </c>
      <c r="O7563" t="str">
        <f>LEFT(Table2[[#This Row],[Description]],75)</f>
        <v>AMAZON MUSIC*EK90L6S23 888-802-3080 WA
14LNNKNLWUS</v>
      </c>
    </row>
    <row r="7564" spans="1:15" hidden="1">
      <c r="A7564" s="25">
        <f>VALUE(YEAR(Table2[[#This Row],[Date]])&amp;TEXT(MONTH(Table2[[#This Row],[Date]]),"00"))</f>
        <v>202208</v>
      </c>
      <c r="B7564" s="6">
        <v>44774</v>
      </c>
      <c r="C7564" t="s">
        <v>2281</v>
      </c>
      <c r="D7564" t="s">
        <v>14</v>
      </c>
      <c r="E7564">
        <f>125*2</f>
        <v>250</v>
      </c>
      <c r="F7564" s="2" t="str">
        <f>IF(Table2[[#This Row],[Manual Cat Value]]="",VLOOKUP(Table2[[#This Row],[Description]],'Actuals Lookup'!D:F,3,0),Table2[[#This Row],[Manual Cat Value]])</f>
        <v>Exp - Cleaning</v>
      </c>
      <c r="G7564" t="e">
        <f>VLOOKUP(D7564,Lookup!G:H,2,0)</f>
        <v>#N/A</v>
      </c>
      <c r="H7564" s="8" t="s">
        <v>13</v>
      </c>
      <c r="I7564" s="8"/>
      <c r="J7564">
        <v>250</v>
      </c>
      <c r="M7564" t="s">
        <v>2513</v>
      </c>
      <c r="O7564" t="str">
        <f>LEFT(Table2[[#This Row],[Description]],75)</f>
        <v>Cleaning</v>
      </c>
    </row>
    <row r="7565" spans="1:15" hidden="1">
      <c r="A7565" s="25">
        <f>VALUE(YEAR(Table2[[#This Row],[Date]])&amp;TEXT(MONTH(Table2[[#This Row],[Date]]),"00"))</f>
        <v>202208</v>
      </c>
      <c r="B7565" s="6">
        <v>44774</v>
      </c>
      <c r="C7565" t="s">
        <v>2262</v>
      </c>
      <c r="D7565" t="s">
        <v>2700</v>
      </c>
      <c r="E7565">
        <f t="shared" ref="E7565:E7576" si="36">IF(M7565="credit",-1*J7565,J7565)</f>
        <v>25.74</v>
      </c>
      <c r="F7565" s="2" t="str">
        <f>IF(Table2[[#This Row],[Manual Cat Value]]="",VLOOKUP(Table2[[#This Row],[Description]],'Actuals Lookup'!D:F,3,0),Table2[[#This Row],[Manual Cat Value]])</f>
        <v>Exp - Transportation</v>
      </c>
      <c r="G7565" t="e">
        <f>VLOOKUP(D7565,Lookup!G:H,2,0)</f>
        <v>#N/A</v>
      </c>
      <c r="H7565" s="8" t="s">
        <v>22</v>
      </c>
      <c r="I7565" s="8"/>
      <c r="J7565">
        <v>25.74</v>
      </c>
      <c r="M7565" t="s">
        <v>2513</v>
      </c>
      <c r="O7565" t="str">
        <f>LEFT(Table2[[#This Row],[Description]],75)</f>
        <v>LYFT RIDE SAT 11PM 855-865-9553 CA REF #2449215K4MNHQNXFE</v>
      </c>
    </row>
    <row r="7566" spans="1:15" hidden="1">
      <c r="A7566" s="25">
        <f>VALUE(YEAR(Table2[[#This Row],[Date]])&amp;TEXT(MONTH(Table2[[#This Row],[Date]]),"00"))</f>
        <v>202208</v>
      </c>
      <c r="B7566" s="6">
        <v>44774</v>
      </c>
      <c r="C7566" t="s">
        <v>2262</v>
      </c>
      <c r="D7566" t="s">
        <v>2701</v>
      </c>
      <c r="E7566">
        <f t="shared" si="36"/>
        <v>41.13</v>
      </c>
      <c r="F7566" s="2" t="str">
        <f>IF(Table2[[#This Row],[Manual Cat Value]]="",VLOOKUP(Table2[[#This Row],[Description]],'Actuals Lookup'!D:F,3,0),Table2[[#This Row],[Manual Cat Value]])</f>
        <v>Exp - Restaurants</v>
      </c>
      <c r="G7566" t="e">
        <f>VLOOKUP(D7566,Lookup!G:H,2,0)</f>
        <v>#N/A</v>
      </c>
      <c r="H7566" s="8" t="s">
        <v>25</v>
      </c>
      <c r="I7566" s="8"/>
      <c r="J7566">
        <v>41.13</v>
      </c>
      <c r="M7566" t="s">
        <v>2513</v>
      </c>
      <c r="O7566" t="str">
        <f>LEFT(Table2[[#This Row],[Description]],75)</f>
        <v>PRYES BREWING COMPANY MINNEAPOLIS MN REF #2434285K40FWY9BPW</v>
      </c>
    </row>
    <row r="7567" spans="1:15" hidden="1">
      <c r="A7567" s="25">
        <f>VALUE(YEAR(Table2[[#This Row],[Date]])&amp;TEXT(MONTH(Table2[[#This Row],[Date]]),"00"))</f>
        <v>202208</v>
      </c>
      <c r="B7567" s="6">
        <v>44774</v>
      </c>
      <c r="C7567" t="s">
        <v>2262</v>
      </c>
      <c r="D7567" t="s">
        <v>2702</v>
      </c>
      <c r="E7567">
        <f t="shared" si="36"/>
        <v>20.16</v>
      </c>
      <c r="F7567" s="2" t="str">
        <f>IF(Table2[[#This Row],[Manual Cat Value]]="",VLOOKUP(Table2[[#This Row],[Description]],'Actuals Lookup'!D:F,3,0),Table2[[#This Row],[Manual Cat Value]])</f>
        <v>Exp - Restaurants</v>
      </c>
      <c r="G7567" t="e">
        <f>VLOOKUP(D7567,Lookup!G:H,2,0)</f>
        <v>#N/A</v>
      </c>
      <c r="H7567" s="8" t="s">
        <v>25</v>
      </c>
      <c r="I7567" s="8"/>
      <c r="J7567">
        <v>20.16</v>
      </c>
      <c r="M7567" t="s">
        <v>2513</v>
      </c>
      <c r="O7567" t="str">
        <f>LEFT(Table2[[#This Row],[Description]],75)</f>
        <v>PRYES BREWING COMPANY MINNEAPOLIS MN REF #2434285K40FWY9GLW</v>
      </c>
    </row>
    <row r="7568" spans="1:15" hidden="1">
      <c r="A7568" s="25">
        <f>VALUE(YEAR(Table2[[#This Row],[Date]])&amp;TEXT(MONTH(Table2[[#This Row],[Date]]),"00"))</f>
        <v>202208</v>
      </c>
      <c r="B7568" s="6">
        <v>44774</v>
      </c>
      <c r="C7568" t="s">
        <v>2262</v>
      </c>
      <c r="D7568" t="s">
        <v>2703</v>
      </c>
      <c r="E7568">
        <f t="shared" si="36"/>
        <v>8.17</v>
      </c>
      <c r="F7568" s="2" t="str">
        <f>IF(Table2[[#This Row],[Manual Cat Value]]="",VLOOKUP(Table2[[#This Row],[Description]],'Actuals Lookup'!D:F,3,0),Table2[[#This Row],[Manual Cat Value]])</f>
        <v>Exp - Transportation</v>
      </c>
      <c r="G7568" t="e">
        <f>VLOOKUP(D7568,Lookup!G:H,2,0)</f>
        <v>#N/A</v>
      </c>
      <c r="H7568" s="8" t="s">
        <v>22</v>
      </c>
      <c r="I7568" s="8"/>
      <c r="J7568">
        <v>8.17</v>
      </c>
      <c r="M7568" t="s">
        <v>2513</v>
      </c>
      <c r="O7568" t="str">
        <f>LEFT(Table2[[#This Row],[Description]],75)</f>
        <v>UBER TRIP HELP.UBER.COMCA REF #2449215K4LWG8HSET</v>
      </c>
    </row>
    <row r="7569" spans="1:15" hidden="1">
      <c r="A7569" s="25">
        <f>VALUE(YEAR(Table2[[#This Row],[Date]])&amp;TEXT(MONTH(Table2[[#This Row],[Date]]),"00"))</f>
        <v>202208</v>
      </c>
      <c r="B7569" s="6">
        <v>44774</v>
      </c>
      <c r="C7569" t="s">
        <v>2265</v>
      </c>
      <c r="D7569" t="s">
        <v>2704</v>
      </c>
      <c r="E7569">
        <f t="shared" si="36"/>
        <v>200</v>
      </c>
      <c r="F7569" s="2" t="str">
        <f>IF(Table2[[#This Row],[Manual Cat Value]]="",VLOOKUP(Table2[[#This Row],[Description]],'Actuals Lookup'!D:F,3,0),Table2[[#This Row],[Manual Cat Value]])</f>
        <v>Sav - College Savings</v>
      </c>
      <c r="G7569" t="e">
        <f>VLOOKUP(D7569,Lookup!G:H,2,0)</f>
        <v>#N/A</v>
      </c>
      <c r="H7569" s="8" t="s">
        <v>60</v>
      </c>
      <c r="I7569" s="8"/>
      <c r="J7569">
        <v>200</v>
      </c>
      <c r="M7569" t="s">
        <v>2513</v>
      </c>
      <c r="O7569" t="str">
        <f>LEFT(Table2[[#This Row],[Description]],75)</f>
        <v xml:space="preserve">Withdrawal ACH College Savings TYPE: ACH ID: 550895818 CO: College Savings </v>
      </c>
    </row>
    <row r="7570" spans="1:15" hidden="1">
      <c r="A7570" s="25">
        <f>VALUE(YEAR(Table2[[#This Row],[Date]])&amp;TEXT(MONTH(Table2[[#This Row],[Date]]),"00"))</f>
        <v>202208</v>
      </c>
      <c r="B7570" s="6">
        <v>44774</v>
      </c>
      <c r="C7570" t="s">
        <v>2265</v>
      </c>
      <c r="D7570" t="s">
        <v>2705</v>
      </c>
      <c r="E7570">
        <f t="shared" si="36"/>
        <v>107.86</v>
      </c>
      <c r="F7570" s="2" t="str">
        <f>IF(Table2[[#This Row],[Manual Cat Value]]="",VLOOKUP(Table2[[#This Row],[Description]],'Actuals Lookup'!D:F,3,0),Table2[[#This Row],[Manual Cat Value]])</f>
        <v>Exp - Utilities</v>
      </c>
      <c r="G7570" t="e">
        <f>VLOOKUP(D7570,Lookup!G:H,2,0)</f>
        <v>#N/A</v>
      </c>
      <c r="H7570" s="8" t="s">
        <v>6</v>
      </c>
      <c r="I7570" s="8"/>
      <c r="J7570">
        <v>107.86</v>
      </c>
      <c r="M7570" t="s">
        <v>2513</v>
      </c>
      <c r="O7570" t="str">
        <f>LEFT(Table2[[#This Row],[Description]],75)</f>
        <v xml:space="preserve">Withdrawal ACH CPENERGY MNGCO TYPE: MGC ACH EB ID: 176051140S CO: CPENERGY </v>
      </c>
    </row>
    <row r="7571" spans="1:15" hidden="1">
      <c r="A7571" s="25">
        <f>VALUE(YEAR(Table2[[#This Row],[Date]])&amp;TEXT(MONTH(Table2[[#This Row],[Date]]),"00"))</f>
        <v>202208</v>
      </c>
      <c r="B7571" s="6">
        <v>44774</v>
      </c>
      <c r="C7571" t="s">
        <v>2265</v>
      </c>
      <c r="D7571" t="s">
        <v>2706</v>
      </c>
      <c r="E7571">
        <f t="shared" si="36"/>
        <v>280.76</v>
      </c>
      <c r="F7571" s="2" t="str">
        <f>IF(Table2[[#This Row],[Manual Cat Value]]="",VLOOKUP(Table2[[#This Row],[Description]],'Actuals Lookup'!D:F,3,0),Table2[[#This Row],[Manual Cat Value]])</f>
        <v>Exp - Healthcare</v>
      </c>
      <c r="G7571" t="e">
        <f>VLOOKUP(D7571,Lookup!G:H,2,0)</f>
        <v>#N/A</v>
      </c>
      <c r="H7571" s="8" t="s">
        <v>47</v>
      </c>
      <c r="I7571" s="8"/>
      <c r="J7571">
        <v>280.76</v>
      </c>
      <c r="M7571" t="s">
        <v>2513</v>
      </c>
      <c r="O7571" t="str">
        <f>LEFT(Table2[[#This Row],[Description]],75)</f>
        <v>Withdrawal ACH ESSENTIA HEALTH TYPE: ESSENTIA H ID: C200360007 CO: ESSENTIA</v>
      </c>
    </row>
    <row r="7572" spans="1:15" hidden="1">
      <c r="A7572" s="25">
        <f>VALUE(YEAR(Table2[[#This Row],[Date]])&amp;TEXT(MONTH(Table2[[#This Row],[Date]]),"00"))</f>
        <v>202208</v>
      </c>
      <c r="B7572" s="6">
        <v>44774</v>
      </c>
      <c r="C7572" t="s">
        <v>2265</v>
      </c>
      <c r="D7572" t="s">
        <v>2707</v>
      </c>
      <c r="E7572">
        <f t="shared" si="36"/>
        <v>10</v>
      </c>
      <c r="F7572" s="2" t="str">
        <f>IF(Table2[[#This Row],[Manual Cat Value]]="",VLOOKUP(Table2[[#This Row],[Description]],'Actuals Lookup'!D:F,3,0),Table2[[#This Row],[Manual Cat Value]])</f>
        <v>Exp - Shopping</v>
      </c>
      <c r="G7572" t="e">
        <f>VLOOKUP(D7572,Lookup!G:H,2,0)</f>
        <v>#N/A</v>
      </c>
      <c r="H7572" s="8" t="s">
        <v>36</v>
      </c>
      <c r="I7572" s="8"/>
      <c r="J7572">
        <v>10</v>
      </c>
      <c r="M7572" t="s">
        <v>2513</v>
      </c>
      <c r="O7572" t="str">
        <f>LEFT(Table2[[#This Row],[Description]],75)</f>
        <v xml:space="preserve">Withdrawal ACH PAYPAL TYPE: INST XFER ID: PAYPALSI77 CO: PAYPAL NAME: JEFF </v>
      </c>
    </row>
    <row r="7573" spans="1:15" hidden="1">
      <c r="A7573" s="25">
        <f>VALUE(YEAR(Table2[[#This Row],[Date]])&amp;TEXT(MONTH(Table2[[#This Row],[Date]]),"00"))</f>
        <v>202208</v>
      </c>
      <c r="B7573" s="6">
        <v>44774</v>
      </c>
      <c r="C7573" t="s">
        <v>2265</v>
      </c>
      <c r="D7573" t="s">
        <v>2708</v>
      </c>
      <c r="E7573">
        <f t="shared" si="36"/>
        <v>0.5</v>
      </c>
      <c r="F7573" s="2" t="str">
        <f>IF(Table2[[#This Row],[Manual Cat Value]]="",VLOOKUP(Table2[[#This Row],[Description]],'Actuals Lookup'!D:F,3,0),Table2[[#This Row],[Manual Cat Value]])</f>
        <v>Exp - Shopping</v>
      </c>
      <c r="G7573" t="e">
        <f>VLOOKUP(D7573,Lookup!G:H,2,0)</f>
        <v>#N/A</v>
      </c>
      <c r="H7573" s="8" t="s">
        <v>36</v>
      </c>
      <c r="I7573" s="8"/>
      <c r="J7573">
        <v>0.5</v>
      </c>
      <c r="M7573" t="s">
        <v>2513</v>
      </c>
      <c r="O7573" t="str">
        <f>LEFT(Table2[[#This Row],[Description]],75)</f>
        <v xml:space="preserve">Withdrawal ACH PAYPAL TYPE: INST XFER ID: PAYPALSI77 CO: PAYPAL NAME: JEFF </v>
      </c>
    </row>
    <row r="7574" spans="1:15" hidden="1">
      <c r="A7574" s="25">
        <f>VALUE(YEAR(Table2[[#This Row],[Date]])&amp;TEXT(MONTH(Table2[[#This Row],[Date]]),"00"))</f>
        <v>202208</v>
      </c>
      <c r="B7574" s="6">
        <v>44774</v>
      </c>
      <c r="C7574" t="s">
        <v>2265</v>
      </c>
      <c r="D7574" t="s">
        <v>2709</v>
      </c>
      <c r="E7574">
        <f t="shared" si="36"/>
        <v>618.65</v>
      </c>
      <c r="F7574" s="2" t="str">
        <f>IF(Table2[[#This Row],[Manual Cat Value]]="",VLOOKUP(Table2[[#This Row],[Description]],'Actuals Lookup'!D:F,3,0),Table2[[#This Row],[Manual Cat Value]])</f>
        <v>Exp - Car Loan</v>
      </c>
      <c r="G7574" t="e">
        <f>VLOOKUP(D7574,Lookup!G:H,2,0)</f>
        <v>#N/A</v>
      </c>
      <c r="H7574" s="8" t="s">
        <v>10</v>
      </c>
      <c r="I7574" s="8"/>
      <c r="J7574">
        <v>618.65</v>
      </c>
      <c r="M7574" t="s">
        <v>2513</v>
      </c>
      <c r="O7574" t="str">
        <f>LEFT(Table2[[#This Row],[Description]],75)</f>
        <v>Withdrawal Home Banking Transfer To Loan 02 REF # 178189</v>
      </c>
    </row>
    <row r="7575" spans="1:15" hidden="1">
      <c r="A7575" s="25">
        <f>VALUE(YEAR(Table2[[#This Row],[Date]])&amp;TEXT(MONTH(Table2[[#This Row],[Date]]),"00"))</f>
        <v>202208</v>
      </c>
      <c r="B7575" s="6">
        <v>44774</v>
      </c>
      <c r="C7575" t="s">
        <v>2710</v>
      </c>
      <c r="D7575" t="s">
        <v>1410</v>
      </c>
      <c r="E7575">
        <f t="shared" si="36"/>
        <v>2572.94</v>
      </c>
      <c r="F7575" s="2" t="str">
        <f>IF(Table2[[#This Row],[Manual Cat Value]]="",VLOOKUP(Table2[[#This Row],[Description]],'Actuals Lookup'!D:F,3,0),Table2[[#This Row],[Manual Cat Value]])</f>
        <v>Delete</v>
      </c>
      <c r="G7575" t="str">
        <f>VLOOKUP(D7575,Lookup!G:H,2,0)</f>
        <v>Delete</v>
      </c>
      <c r="H7575" s="8" t="s">
        <v>9</v>
      </c>
      <c r="I7575" s="8"/>
      <c r="J7575">
        <v>2572.94</v>
      </c>
      <c r="M7575" t="s">
        <v>2513</v>
      </c>
      <c r="O7575" t="str">
        <f>LEFT(Table2[[#This Row],[Description]],75)</f>
        <v>PAYMENT</v>
      </c>
    </row>
    <row r="7576" spans="1:15" hidden="1">
      <c r="A7576" s="25">
        <f>VALUE(YEAR(Table2[[#This Row],[Date]])&amp;TEXT(MONTH(Table2[[#This Row],[Date]]),"00"))</f>
        <v>202208</v>
      </c>
      <c r="B7576" s="6">
        <v>44774</v>
      </c>
      <c r="C7576" t="s">
        <v>2314</v>
      </c>
      <c r="D7576" t="s">
        <v>2711</v>
      </c>
      <c r="E7576">
        <f t="shared" si="36"/>
        <v>-618.65</v>
      </c>
      <c r="F7576" s="2" t="str">
        <f>IF(Table2[[#This Row],[Manual Cat Value]]="",VLOOKUP(Table2[[#This Row],[Description]],'Actuals Lookup'!D:F,3,0),Table2[[#This Row],[Manual Cat Value]])</f>
        <v>Delete</v>
      </c>
      <c r="G7576" t="e">
        <f>VLOOKUP(D7576,Lookup!G:H,2,0)</f>
        <v>#N/A</v>
      </c>
      <c r="H7576" s="8" t="s">
        <v>9</v>
      </c>
      <c r="I7576" s="8"/>
      <c r="J7576">
        <v>618.65</v>
      </c>
      <c r="M7576" t="s">
        <v>2621</v>
      </c>
      <c r="O7576" t="str">
        <f>LEFT(Table2[[#This Row],[Description]],75)</f>
        <v>Payments Home Banking Transfer From Share 70 REF # 178189</v>
      </c>
    </row>
    <row r="7577" spans="1:15" hidden="1">
      <c r="A7577">
        <v>202401</v>
      </c>
      <c r="B7577" s="6">
        <v>45294</v>
      </c>
      <c r="C7577" t="s">
        <v>2712</v>
      </c>
      <c r="D7577" t="s">
        <v>2713</v>
      </c>
      <c r="E7577">
        <v>7433.71</v>
      </c>
      <c r="F7577" s="2" t="str">
        <f>IF(Table2[[#This Row],[Manual Cat Value]]="",VLOOKUP(Table2[[#This Row],[Description]],'Actuals Lookup'!D:F,3,0),VLOOKUP(Table2[[#This Row],[Manual Cat Value]],Lookup!A:B,2,0))</f>
        <v>Delete</v>
      </c>
      <c r="H7577" s="8" t="s">
        <v>9</v>
      </c>
      <c r="I7577" s="8"/>
      <c r="O7577" t="str">
        <f>LEFT(Table2[[#This Row],[Description]],75)</f>
        <v>Draft 2301 Tracer XX4997</v>
      </c>
    </row>
    <row r="7578" spans="1:15" ht="30" hidden="1">
      <c r="A7578" s="25">
        <f>VALUE(YEAR(Table2[[#This Row],[Date]])&amp;TEXT(MONTH(Table2[[#This Row],[Date]]),"00"))</f>
        <v>202208</v>
      </c>
      <c r="B7578" s="6">
        <v>44775</v>
      </c>
      <c r="C7578" t="s">
        <v>2447</v>
      </c>
      <c r="D7578" s="7" t="s">
        <v>2714</v>
      </c>
      <c r="E7578">
        <f t="shared" ref="E7578:E7609" si="37">IF(M7578="credit",-1*J7578,J7578)</f>
        <v>41.73</v>
      </c>
      <c r="F7578" s="2" t="str">
        <f>IF(Table2[[#This Row],[Manual Cat Value]]="",VLOOKUP(Table2[[#This Row],[Description]],'Actuals Lookup'!D:F,3,0),Table2[[#This Row],[Manual Cat Value]])</f>
        <v>Exp - Amazon</v>
      </c>
      <c r="G7578" t="e">
        <f>VLOOKUP(D7578,Lookup!G:H,2,0)</f>
        <v>#N/A</v>
      </c>
      <c r="H7578" s="78" t="s">
        <v>37</v>
      </c>
      <c r="I7578" s="78"/>
      <c r="J7578">
        <v>41.73</v>
      </c>
      <c r="M7578" t="s">
        <v>2513</v>
      </c>
      <c r="O7578" t="str">
        <f>LEFT(Table2[[#This Row],[Description]],75)</f>
        <v>AMAZON.COM*NC7LF7RY3 AMZN.COM/BILLWA
16KGWMHF37G</v>
      </c>
    </row>
    <row r="7579" spans="1:15" ht="30" hidden="1">
      <c r="A7579" s="25">
        <f>VALUE(YEAR(Table2[[#This Row],[Date]])&amp;TEXT(MONTH(Table2[[#This Row],[Date]]),"00"))</f>
        <v>202208</v>
      </c>
      <c r="B7579" s="6">
        <v>44775</v>
      </c>
      <c r="C7579" t="s">
        <v>2447</v>
      </c>
      <c r="D7579" s="7" t="s">
        <v>2715</v>
      </c>
      <c r="E7579">
        <f t="shared" si="37"/>
        <v>83.67</v>
      </c>
      <c r="F7579" s="2" t="str">
        <f>IF(Table2[[#This Row],[Manual Cat Value]]="",VLOOKUP(Table2[[#This Row],[Description]],'Actuals Lookup'!D:F,3,0),Table2[[#This Row],[Manual Cat Value]])</f>
        <v>Exp - Amazon</v>
      </c>
      <c r="G7579" t="e">
        <f>VLOOKUP(D7579,Lookup!G:H,2,0)</f>
        <v>#N/A</v>
      </c>
      <c r="H7579" s="78" t="s">
        <v>37</v>
      </c>
      <c r="I7579" s="78"/>
      <c r="J7579">
        <v>83.67</v>
      </c>
      <c r="M7579" t="s">
        <v>2513</v>
      </c>
      <c r="O7579" t="str">
        <f>LEFT(Table2[[#This Row],[Description]],75)</f>
        <v>AMZN MKTP US*AA0DE43Z3 AMZN.COM/BILLWA
13TJ2X8559M</v>
      </c>
    </row>
    <row r="7580" spans="1:15" hidden="1">
      <c r="A7580" s="25">
        <f>VALUE(YEAR(Table2[[#This Row],[Date]])&amp;TEXT(MONTH(Table2[[#This Row],[Date]]),"00"))</f>
        <v>202208</v>
      </c>
      <c r="B7580" s="6">
        <v>44775</v>
      </c>
      <c r="C7580" t="s">
        <v>2262</v>
      </c>
      <c r="D7580" t="s">
        <v>2716</v>
      </c>
      <c r="E7580">
        <f t="shared" si="37"/>
        <v>115</v>
      </c>
      <c r="F7580" s="2" t="str">
        <f>IF(Table2[[#This Row],[Manual Cat Value]]="",VLOOKUP(Table2[[#This Row],[Description]],'Actuals Lookup'!D:F,3,0),Table2[[#This Row],[Manual Cat Value]])</f>
        <v>Exp - Misc</v>
      </c>
      <c r="G7580" t="e">
        <f>VLOOKUP(D7580,Lookup!G:H,2,0)</f>
        <v>#N/A</v>
      </c>
      <c r="H7580" s="8" t="s">
        <v>46</v>
      </c>
      <c r="I7580" s="8"/>
      <c r="J7580">
        <v>115</v>
      </c>
      <c r="M7580" t="s">
        <v>2513</v>
      </c>
      <c r="O7580" t="str">
        <f>LEFT(Table2[[#This Row],[Description]],75)</f>
        <v>BCS*MINNETONKA COMMUNITY 952-401-6800 MN REF #2413746K60102RM7T</v>
      </c>
    </row>
    <row r="7581" spans="1:15" hidden="1">
      <c r="A7581" s="25">
        <f>VALUE(YEAR(Table2[[#This Row],[Date]])&amp;TEXT(MONTH(Table2[[#This Row],[Date]]),"00"))</f>
        <v>202208</v>
      </c>
      <c r="B7581" s="6">
        <v>44775</v>
      </c>
      <c r="C7581" t="s">
        <v>2262</v>
      </c>
      <c r="D7581" t="s">
        <v>2717</v>
      </c>
      <c r="E7581">
        <f t="shared" si="37"/>
        <v>-224.96</v>
      </c>
      <c r="F7581" s="2" t="str">
        <f>IF(Table2[[#This Row],[Manual Cat Value]]="",VLOOKUP(Table2[[#This Row],[Description]],'Actuals Lookup'!D:F,3,0),Table2[[#This Row],[Manual Cat Value]])</f>
        <v>Exp - Shopping</v>
      </c>
      <c r="G7581" t="e">
        <f>VLOOKUP(D7581,Lookup!G:H,2,0)</f>
        <v>#N/A</v>
      </c>
      <c r="H7581" s="8" t="s">
        <v>36</v>
      </c>
      <c r="I7581" s="8"/>
      <c r="J7581">
        <v>224.96</v>
      </c>
      <c r="M7581" t="s">
        <v>2621</v>
      </c>
      <c r="O7581" t="str">
        <f>LEFT(Table2[[#This Row],[Description]],75)</f>
        <v>EVEREVE - 60 HOPKINS MN REF #7426979K42XVG54Z9</v>
      </c>
    </row>
    <row r="7582" spans="1:15" hidden="1">
      <c r="A7582" s="25">
        <f>VALUE(YEAR(Table2[[#This Row],[Date]])&amp;TEXT(MONTH(Table2[[#This Row],[Date]]),"00"))</f>
        <v>202208</v>
      </c>
      <c r="B7582" s="6">
        <v>44775</v>
      </c>
      <c r="C7582" t="s">
        <v>2265</v>
      </c>
      <c r="D7582" t="s">
        <v>2718</v>
      </c>
      <c r="E7582">
        <f t="shared" si="37"/>
        <v>536.5</v>
      </c>
      <c r="F7582" s="2" t="str">
        <f>IF(Table2[[#This Row],[Manual Cat Value]]="",VLOOKUP(Table2[[#This Row],[Description]],'Actuals Lookup'!D:F,3,0),Table2[[#This Row],[Manual Cat Value]])</f>
        <v>Exp - Day Care</v>
      </c>
      <c r="G7582" t="e">
        <f>VLOOKUP(D7582,Lookup!G:H,2,0)</f>
        <v>#N/A</v>
      </c>
      <c r="H7582" s="8" t="s">
        <v>19</v>
      </c>
      <c r="I7582" s="8"/>
      <c r="J7582">
        <v>536.5</v>
      </c>
      <c r="M7582" t="s">
        <v>2513</v>
      </c>
      <c r="O7582" t="str">
        <f>LEFT(Table2[[#This Row],[Description]],75)</f>
        <v xml:space="preserve">Withdrawal ACH MHCHILDCARELLC TYPE: DUES ID: 1824708198 CO: MHCHILDCARELLC </v>
      </c>
    </row>
    <row r="7583" spans="1:15" hidden="1">
      <c r="A7583" s="25">
        <f>VALUE(YEAR(Table2[[#This Row],[Date]])&amp;TEXT(MONTH(Table2[[#This Row],[Date]]),"00"))</f>
        <v>202208</v>
      </c>
      <c r="B7583" s="6">
        <v>44776</v>
      </c>
      <c r="C7583" t="s">
        <v>2262</v>
      </c>
      <c r="D7583" t="s">
        <v>2719</v>
      </c>
      <c r="E7583">
        <f t="shared" si="37"/>
        <v>18</v>
      </c>
      <c r="F7583" s="2" t="str">
        <f>IF(Table2[[#This Row],[Manual Cat Value]]="",VLOOKUP(Table2[[#This Row],[Description]],'Actuals Lookup'!D:F,3,0),Table2[[#This Row],[Manual Cat Value]])</f>
        <v>Exp - Utilities</v>
      </c>
      <c r="G7583" t="e">
        <f>VLOOKUP(D7583,Lookup!G:H,2,0)</f>
        <v>#N/A</v>
      </c>
      <c r="H7583" s="8" t="s">
        <v>6</v>
      </c>
      <c r="I7583" s="8"/>
      <c r="J7583">
        <v>18</v>
      </c>
      <c r="M7583" t="s">
        <v>2513</v>
      </c>
      <c r="O7583" t="str">
        <f>LEFT(Table2[[#This Row],[Description]],75)</f>
        <v>HBRSUBSCRIPTION 800-988-0886 MA REF #2449215K6LVTJJ8TJ</v>
      </c>
    </row>
    <row r="7584" spans="1:15" hidden="1">
      <c r="A7584" s="25">
        <f>VALUE(YEAR(Table2[[#This Row],[Date]])&amp;TEXT(MONTH(Table2[[#This Row],[Date]]),"00"))</f>
        <v>202208</v>
      </c>
      <c r="B7584" s="6">
        <v>44776</v>
      </c>
      <c r="C7584" t="s">
        <v>2447</v>
      </c>
      <c r="D7584" t="s">
        <v>1850</v>
      </c>
      <c r="E7584">
        <f t="shared" si="37"/>
        <v>18.100000000000001</v>
      </c>
      <c r="F7584" s="2" t="str">
        <f>IF(Table2[[#This Row],[Manual Cat Value]]="",VLOOKUP(Table2[[#This Row],[Description]],'Actuals Lookup'!D:F,3,0),Table2[[#This Row],[Manual Cat Value]])</f>
        <v>Exp - House Maint</v>
      </c>
      <c r="G7584" t="str">
        <f>VLOOKUP(D7584,Lookup!G:H,2,0)</f>
        <v>House Maintenance</v>
      </c>
      <c r="H7584" s="8" t="s">
        <v>1</v>
      </c>
      <c r="I7584" s="8"/>
      <c r="J7584">
        <v>18.100000000000001</v>
      </c>
      <c r="M7584" t="s">
        <v>2513</v>
      </c>
      <c r="O7584" t="str">
        <f>LEFT(Table2[[#This Row],[Description]],75)</f>
        <v>THE HOME DEPOT #2825 CHASKA MN</v>
      </c>
    </row>
    <row r="7585" spans="1:15" hidden="1">
      <c r="A7585" s="25">
        <f>VALUE(YEAR(Table2[[#This Row],[Date]])&amp;TEXT(MONTH(Table2[[#This Row],[Date]]),"00"))</f>
        <v>202208</v>
      </c>
      <c r="B7585" s="6">
        <v>44776</v>
      </c>
      <c r="C7585" t="s">
        <v>2265</v>
      </c>
      <c r="D7585" t="s">
        <v>2720</v>
      </c>
      <c r="E7585">
        <f t="shared" si="37"/>
        <v>57.12</v>
      </c>
      <c r="F7585" s="2" t="str">
        <f>IF(Table2[[#This Row],[Manual Cat Value]]="",VLOOKUP(Table2[[#This Row],[Description]],'Actuals Lookup'!D:F,3,0),Table2[[#This Row],[Manual Cat Value]])</f>
        <v>Exp - Shopping</v>
      </c>
      <c r="G7585" t="e">
        <f>VLOOKUP(D7585,Lookup!G:H,2,0)</f>
        <v>#N/A</v>
      </c>
      <c r="H7585" s="8" t="s">
        <v>36</v>
      </c>
      <c r="I7585" s="8" t="s">
        <v>2721</v>
      </c>
      <c r="J7585">
        <v>57.12</v>
      </c>
      <c r="M7585" t="s">
        <v>2513</v>
      </c>
      <c r="O7585" t="str">
        <f>LEFT(Table2[[#This Row],[Description]],75)</f>
        <v xml:space="preserve">Withdrawal ACH PAYPAL TYPE: INST XFER ID: PAYPALSI77 CO: PAYPAL NAME: JEFF </v>
      </c>
    </row>
    <row r="7586" spans="1:15" ht="30" hidden="1">
      <c r="A7586" s="25">
        <f>VALUE(YEAR(Table2[[#This Row],[Date]])&amp;TEXT(MONTH(Table2[[#This Row],[Date]]),"00"))</f>
        <v>202208</v>
      </c>
      <c r="B7586" s="6">
        <v>44777</v>
      </c>
      <c r="C7586" t="s">
        <v>2447</v>
      </c>
      <c r="D7586" s="7" t="s">
        <v>2722</v>
      </c>
      <c r="E7586">
        <f t="shared" si="37"/>
        <v>39.99</v>
      </c>
      <c r="F7586" s="2" t="str">
        <f>IF(Table2[[#This Row],[Manual Cat Value]]="",VLOOKUP(Table2[[#This Row],[Description]],'Actuals Lookup'!D:F,3,0),Table2[[#This Row],[Manual Cat Value]])</f>
        <v>Exp - Amazon</v>
      </c>
      <c r="G7586" t="e">
        <f>VLOOKUP(D7586,Lookup!G:H,2,0)</f>
        <v>#N/A</v>
      </c>
      <c r="H7586" s="78" t="s">
        <v>37</v>
      </c>
      <c r="I7586" s="78"/>
      <c r="J7586">
        <v>39.99</v>
      </c>
      <c r="M7586" t="s">
        <v>2513</v>
      </c>
      <c r="O7586" t="str">
        <f>LEFT(Table2[[#This Row],[Description]],75)</f>
        <v>AMZN MKTP US*NV8UT21B3 AMZN.COM/BILLWA
36JRYOHCG1R</v>
      </c>
    </row>
    <row r="7587" spans="1:15" hidden="1">
      <c r="A7587" s="25">
        <f>VALUE(YEAR(Table2[[#This Row],[Date]])&amp;TEXT(MONTH(Table2[[#This Row],[Date]]),"00"))</f>
        <v>202208</v>
      </c>
      <c r="B7587" s="6">
        <v>44777</v>
      </c>
      <c r="C7587" t="s">
        <v>2262</v>
      </c>
      <c r="D7587" t="s">
        <v>2723</v>
      </c>
      <c r="E7587">
        <f t="shared" si="37"/>
        <v>64.02</v>
      </c>
      <c r="F7587" s="2" t="str">
        <f>IF(Table2[[#This Row],[Manual Cat Value]]="",VLOOKUP(Table2[[#This Row],[Description]],'Actuals Lookup'!D:F,3,0),Table2[[#This Row],[Manual Cat Value]])</f>
        <v>Exp - Transportation</v>
      </c>
      <c r="G7587" t="e">
        <f>VLOOKUP(D7587,Lookup!G:H,2,0)</f>
        <v>#N/A</v>
      </c>
      <c r="H7587" s="8" t="s">
        <v>22</v>
      </c>
      <c r="I7587" s="8"/>
      <c r="J7587">
        <v>64.02</v>
      </c>
      <c r="M7587" t="s">
        <v>2513</v>
      </c>
      <c r="O7587" t="str">
        <f>LEFT(Table2[[#This Row],[Description]],75)</f>
        <v>BP#1370200CHANHASSEN BP CHANHASSEN MN REF #2412254K8MLX15YXT</v>
      </c>
    </row>
    <row r="7588" spans="1:15" hidden="1">
      <c r="A7588" s="25">
        <f>VALUE(YEAR(Table2[[#This Row],[Date]])&amp;TEXT(MONTH(Table2[[#This Row],[Date]]),"00"))</f>
        <v>202208</v>
      </c>
      <c r="B7588" s="6">
        <v>44777</v>
      </c>
      <c r="C7588" t="s">
        <v>2262</v>
      </c>
      <c r="D7588" t="s">
        <v>2724</v>
      </c>
      <c r="E7588">
        <f t="shared" si="37"/>
        <v>5.69</v>
      </c>
      <c r="F7588" s="2" t="str">
        <f>IF(Table2[[#This Row],[Manual Cat Value]]="",VLOOKUP(Table2[[#This Row],[Description]],'Actuals Lookup'!D:F,3,0),Table2[[#This Row],[Manual Cat Value]])</f>
        <v>Exp - Transportation</v>
      </c>
      <c r="G7588" t="e">
        <f>VLOOKUP(D7588,Lookup!G:H,2,0)</f>
        <v>#N/A</v>
      </c>
      <c r="H7588" s="8" t="s">
        <v>22</v>
      </c>
      <c r="I7588" s="8"/>
      <c r="J7588">
        <v>5.69</v>
      </c>
      <c r="M7588" t="s">
        <v>2513</v>
      </c>
      <c r="O7588" t="str">
        <f>LEFT(Table2[[#This Row],[Description]],75)</f>
        <v>BP#1944651325 WASHINGTON WOBURN MA REF #2412254K8MLX3BZXK</v>
      </c>
    </row>
    <row r="7589" spans="1:15" hidden="1">
      <c r="A7589" s="25">
        <f>VALUE(YEAR(Table2[[#This Row],[Date]])&amp;TEXT(MONTH(Table2[[#This Row],[Date]]),"00"))</f>
        <v>202208</v>
      </c>
      <c r="B7589" s="6">
        <v>44777</v>
      </c>
      <c r="C7589" t="s">
        <v>2262</v>
      </c>
      <c r="D7589" t="s">
        <v>2725</v>
      </c>
      <c r="E7589">
        <f t="shared" si="37"/>
        <v>7.48</v>
      </c>
      <c r="F7589" s="2" t="str">
        <f>IF(Table2[[#This Row],[Manual Cat Value]]="",VLOOKUP(Table2[[#This Row],[Description]],'Actuals Lookup'!D:F,3,0),Table2[[#This Row],[Manual Cat Value]])</f>
        <v>Exp - Restaurants</v>
      </c>
      <c r="G7589" t="e">
        <f>VLOOKUP(D7589,Lookup!G:H,2,0)</f>
        <v>#N/A</v>
      </c>
      <c r="H7589" s="8" t="s">
        <v>25</v>
      </c>
      <c r="I7589" s="8"/>
      <c r="J7589">
        <v>7.48</v>
      </c>
      <c r="M7589" t="s">
        <v>2513</v>
      </c>
      <c r="O7589" t="str">
        <f>LEFT(Table2[[#This Row],[Description]],75)</f>
        <v>CARIBOU COFFEE CO #122 MINNEAPOLIS MN REF #2444500K7EJ34E0HD</v>
      </c>
    </row>
    <row r="7590" spans="1:15" hidden="1">
      <c r="A7590" s="25">
        <f>VALUE(YEAR(Table2[[#This Row],[Date]])&amp;TEXT(MONTH(Table2[[#This Row],[Date]]),"00"))</f>
        <v>202208</v>
      </c>
      <c r="B7590" s="6">
        <v>44777</v>
      </c>
      <c r="C7590" t="s">
        <v>2447</v>
      </c>
      <c r="D7590" t="s">
        <v>2726</v>
      </c>
      <c r="E7590">
        <f t="shared" si="37"/>
        <v>21.99</v>
      </c>
      <c r="F7590" s="2" t="str">
        <f>IF(Table2[[#This Row],[Manual Cat Value]]="",VLOOKUP(Table2[[#This Row],[Description]],'Actuals Lookup'!D:F,3,0),Table2[[#This Row],[Manual Cat Value]])</f>
        <v>Exp - Restaurants</v>
      </c>
      <c r="G7590" t="e">
        <f>VLOOKUP(D7590,Lookup!G:H,2,0)</f>
        <v>#N/A</v>
      </c>
      <c r="H7590" s="8" t="s">
        <v>25</v>
      </c>
      <c r="I7590" s="8"/>
      <c r="J7590">
        <v>21.99</v>
      </c>
      <c r="M7590" t="s">
        <v>2513</v>
      </c>
      <c r="O7590" t="str">
        <f>LEFT(Table2[[#This Row],[Description]],75)</f>
        <v>DAIRY QUEEN #11437 VICTORIA MN</v>
      </c>
    </row>
    <row r="7591" spans="1:15" hidden="1">
      <c r="A7591" s="25">
        <f>VALUE(YEAR(Table2[[#This Row],[Date]])&amp;TEXT(MONTH(Table2[[#This Row],[Date]]),"00"))</f>
        <v>202208</v>
      </c>
      <c r="B7591" s="6">
        <v>44777</v>
      </c>
      <c r="C7591" t="s">
        <v>2265</v>
      </c>
      <c r="D7591" t="s">
        <v>2727</v>
      </c>
      <c r="E7591">
        <f t="shared" si="37"/>
        <v>-3835.19</v>
      </c>
      <c r="F7591" s="2" t="str">
        <f>IF(Table2[[#This Row],[Manual Cat Value]]="",VLOOKUP(Table2[[#This Row],[Description]],'Actuals Lookup'!D:F,3,0),Table2[[#This Row],[Manual Cat Value]])</f>
        <v>Delete</v>
      </c>
      <c r="G7591" t="e">
        <f>VLOOKUP(D7591,Lookup!G:H,2,0)</f>
        <v>#N/A</v>
      </c>
      <c r="H7591" s="8" t="s">
        <v>9</v>
      </c>
      <c r="I7591" s="8"/>
      <c r="J7591">
        <v>3835.19</v>
      </c>
      <c r="M7591" t="s">
        <v>2621</v>
      </c>
      <c r="O7591" t="str">
        <f>LEFT(Table2[[#This Row],[Description]],75)</f>
        <v>Deposit ACH CARGILL INCORPOR TYPE: DIRECT DEP ID: 9111111101 CO: CARGILL IN</v>
      </c>
    </row>
    <row r="7592" spans="1:15" hidden="1">
      <c r="A7592" s="25">
        <f>VALUE(YEAR(Table2[[#This Row],[Date]])&amp;TEXT(MONTH(Table2[[#This Row],[Date]]),"00"))</f>
        <v>202208</v>
      </c>
      <c r="B7592" s="6">
        <v>44777</v>
      </c>
      <c r="C7592" t="s">
        <v>2262</v>
      </c>
      <c r="D7592" t="s">
        <v>2728</v>
      </c>
      <c r="E7592">
        <f t="shared" si="37"/>
        <v>71.75</v>
      </c>
      <c r="F7592" s="2" t="str">
        <f>IF(Table2[[#This Row],[Manual Cat Value]]="",VLOOKUP(Table2[[#This Row],[Description]],'Actuals Lookup'!D:F,3,0),Table2[[#This Row],[Manual Cat Value]])</f>
        <v>Exp - Groceries</v>
      </c>
      <c r="G7592" t="e">
        <f>VLOOKUP(D7592,Lookup!G:H,2,0)</f>
        <v>#N/A</v>
      </c>
      <c r="H7592" s="8" t="s">
        <v>27</v>
      </c>
      <c r="I7592" s="8"/>
      <c r="J7592">
        <v>71.75</v>
      </c>
      <c r="M7592" t="s">
        <v>2513</v>
      </c>
      <c r="O7592" t="str">
        <f>LEFT(Table2[[#This Row],[Description]],75)</f>
        <v>KOWALSKI'S MARKET EDEN PRAIRIE MN REF #2442733K7LM8JAM9J</v>
      </c>
    </row>
    <row r="7593" spans="1:15" hidden="1">
      <c r="A7593" s="25">
        <f>VALUE(YEAR(Table2[[#This Row],[Date]])&amp;TEXT(MONTH(Table2[[#This Row],[Date]]),"00"))</f>
        <v>202208</v>
      </c>
      <c r="B7593" s="6">
        <v>44777</v>
      </c>
      <c r="C7593" t="s">
        <v>2262</v>
      </c>
      <c r="D7593" t="s">
        <v>2729</v>
      </c>
      <c r="E7593">
        <f t="shared" si="37"/>
        <v>81.99</v>
      </c>
      <c r="F7593" s="2" t="str">
        <f>IF(Table2[[#This Row],[Manual Cat Value]]="",VLOOKUP(Table2[[#This Row],[Description]],'Actuals Lookup'!D:F,3,0),Table2[[#This Row],[Manual Cat Value]])</f>
        <v>Exp - Transportation</v>
      </c>
      <c r="G7593" t="e">
        <f>VLOOKUP(D7593,Lookup!G:H,2,0)</f>
        <v>#N/A</v>
      </c>
      <c r="H7593" s="8" t="s">
        <v>22</v>
      </c>
      <c r="I7593" s="8"/>
      <c r="J7593">
        <v>81.99</v>
      </c>
      <c r="M7593" t="s">
        <v>2513</v>
      </c>
      <c r="O7593" t="str">
        <f>LEFT(Table2[[#This Row],[Description]],75)</f>
        <v>LYFT *1 RIDE 08-02 LYFT.COM CA REF #2401134K7000XW3KZ</v>
      </c>
    </row>
    <row r="7594" spans="1:15" hidden="1">
      <c r="A7594" s="25">
        <f>VALUE(YEAR(Table2[[#This Row],[Date]])&amp;TEXT(MONTH(Table2[[#This Row],[Date]]),"00"))</f>
        <v>202208</v>
      </c>
      <c r="B7594" s="6">
        <v>44777</v>
      </c>
      <c r="C7594" t="s">
        <v>2262</v>
      </c>
      <c r="D7594" t="s">
        <v>2730</v>
      </c>
      <c r="E7594">
        <f t="shared" si="37"/>
        <v>32.39</v>
      </c>
      <c r="F7594" s="2" t="str">
        <f>IF(Table2[[#This Row],[Manual Cat Value]]="",VLOOKUP(Table2[[#This Row],[Description]],'Actuals Lookup'!D:F,3,0),Table2[[#This Row],[Manual Cat Value]])</f>
        <v>Exp - Shopping</v>
      </c>
      <c r="G7594" t="e">
        <f>VLOOKUP(D7594,Lookup!G:H,2,0)</f>
        <v>#N/A</v>
      </c>
      <c r="H7594" s="8" t="s">
        <v>36</v>
      </c>
      <c r="I7594" s="8"/>
      <c r="J7594">
        <v>32.39</v>
      </c>
      <c r="M7594" t="s">
        <v>2513</v>
      </c>
      <c r="O7594" t="str">
        <f>LEFT(Table2[[#This Row],[Description]],75)</f>
        <v>WALGREENS #2063 SALEM MA REF #2444500K800V956GL</v>
      </c>
    </row>
    <row r="7595" spans="1:15" hidden="1">
      <c r="A7595" s="25">
        <f>VALUE(YEAR(Table2[[#This Row],[Date]])&amp;TEXT(MONTH(Table2[[#This Row],[Date]]),"00"))</f>
        <v>202208</v>
      </c>
      <c r="B7595" s="6">
        <v>44777</v>
      </c>
      <c r="C7595" t="s">
        <v>2447</v>
      </c>
      <c r="D7595" t="s">
        <v>2731</v>
      </c>
      <c r="E7595">
        <f t="shared" si="37"/>
        <v>40.5</v>
      </c>
      <c r="F7595" s="2" t="str">
        <f>IF(Table2[[#This Row],[Manual Cat Value]]="",VLOOKUP(Table2[[#This Row],[Description]],'Actuals Lookup'!D:F,3,0),Table2[[#This Row],[Manual Cat Value]])</f>
        <v>Exp - Groceries</v>
      </c>
      <c r="G7595" t="e">
        <f>VLOOKUP(D7595,Lookup!G:H,2,0)</f>
        <v>#N/A</v>
      </c>
      <c r="H7595" s="8" t="s">
        <v>27</v>
      </c>
      <c r="I7595" s="8"/>
      <c r="J7595">
        <v>40.5</v>
      </c>
      <c r="M7595" t="s">
        <v>2513</v>
      </c>
      <c r="O7595" t="str">
        <f>LEFT(Table2[[#This Row],[Description]],75)</f>
        <v>WOVEN MEAT CO 3203491002 MN</v>
      </c>
    </row>
    <row r="7596" spans="1:15" hidden="1">
      <c r="A7596" s="25">
        <f>VALUE(YEAR(Table2[[#This Row],[Date]])&amp;TEXT(MONTH(Table2[[#This Row],[Date]]),"00"))</f>
        <v>202208</v>
      </c>
      <c r="B7596" s="6">
        <v>44777</v>
      </c>
      <c r="C7596" t="s">
        <v>2265</v>
      </c>
      <c r="D7596" t="s">
        <v>2732</v>
      </c>
      <c r="E7596">
        <f t="shared" si="37"/>
        <v>273.14</v>
      </c>
      <c r="F7596" s="2" t="str">
        <f>IF(Table2[[#This Row],[Manual Cat Value]]="",VLOOKUP(Table2[[#This Row],[Description]],'Actuals Lookup'!D:F,3,0),Table2[[#This Row],[Manual Cat Value]])</f>
        <v>Exp - Shopping</v>
      </c>
      <c r="G7596" t="e">
        <f>VLOOKUP(D7596,Lookup!G:H,2,0)</f>
        <v>#N/A</v>
      </c>
      <c r="H7596" s="8" t="s">
        <v>36</v>
      </c>
      <c r="I7596" s="8"/>
      <c r="J7596">
        <v>273.14</v>
      </c>
      <c r="M7596" t="s">
        <v>2513</v>
      </c>
      <c r="O7596" t="str">
        <f>LEFT(Table2[[#This Row],[Description]],75)</f>
        <v>Withdrawal ACH VENMO TYPE: PAYMENT ID: 326XXXXXXX CO: VENMO NAME: BRITNEY T</v>
      </c>
    </row>
    <row r="7597" spans="1:15" hidden="1">
      <c r="A7597" s="25">
        <f>VALUE(YEAR(Table2[[#This Row],[Date]])&amp;TEXT(MONTH(Table2[[#This Row],[Date]]),"00"))</f>
        <v>202208</v>
      </c>
      <c r="B7597" s="6">
        <v>44778</v>
      </c>
      <c r="C7597" t="s">
        <v>2262</v>
      </c>
      <c r="D7597" t="s">
        <v>2733</v>
      </c>
      <c r="E7597">
        <f t="shared" si="37"/>
        <v>-450</v>
      </c>
      <c r="F7597" s="2" t="str">
        <f>IF(Table2[[#This Row],[Manual Cat Value]]="",VLOOKUP(Table2[[#This Row],[Description]],'Actuals Lookup'!D:F,3,0),Table2[[#This Row],[Manual Cat Value]])</f>
        <v>Exp - Entertainment</v>
      </c>
      <c r="G7597" t="e">
        <f>VLOOKUP(D7597,Lookup!G:H,2,0)</f>
        <v>#N/A</v>
      </c>
      <c r="H7597" s="8" t="s">
        <v>39</v>
      </c>
      <c r="I7597" s="8"/>
      <c r="J7597">
        <v>450</v>
      </c>
      <c r="M7597" t="s">
        <v>2621</v>
      </c>
      <c r="O7597" t="str">
        <f>LEFT(Table2[[#This Row],[Description]],75)</f>
        <v>FOSS SWIM SCHOOL HTTPSWWW.FOSSMN REF #2401134K8000LDFT8</v>
      </c>
    </row>
    <row r="7598" spans="1:15" hidden="1">
      <c r="A7598" s="25">
        <f>VALUE(YEAR(Table2[[#This Row],[Date]])&amp;TEXT(MONTH(Table2[[#This Row],[Date]]),"00"))</f>
        <v>202208</v>
      </c>
      <c r="B7598" s="6">
        <v>44778</v>
      </c>
      <c r="C7598" t="s">
        <v>2262</v>
      </c>
      <c r="D7598" t="s">
        <v>2734</v>
      </c>
      <c r="E7598">
        <f t="shared" si="37"/>
        <v>9.8699999999999992</v>
      </c>
      <c r="F7598" s="2" t="str">
        <f>IF(Table2[[#This Row],[Manual Cat Value]]="",VLOOKUP(Table2[[#This Row],[Description]],'Actuals Lookup'!D:F,3,0),Table2[[#This Row],[Manual Cat Value]])</f>
        <v>Delete</v>
      </c>
      <c r="G7598" t="e">
        <f>VLOOKUP(D7598,Lookup!G:H,2,0)</f>
        <v>#N/A</v>
      </c>
      <c r="H7598" s="8" t="s">
        <v>9</v>
      </c>
      <c r="I7598" s="8"/>
      <c r="J7598">
        <v>9.8699999999999992</v>
      </c>
      <c r="M7598" t="s">
        <v>2513</v>
      </c>
      <c r="O7598" t="str">
        <f>LEFT(Table2[[#This Row],[Description]],75)</f>
        <v>GULF OIL 92042570 WOBURN MA REF #2423168K9RBGHYV38</v>
      </c>
    </row>
    <row r="7599" spans="1:15" hidden="1">
      <c r="A7599" s="25">
        <f>VALUE(YEAR(Table2[[#This Row],[Date]])&amp;TEXT(MONTH(Table2[[#This Row],[Date]]),"00"))</f>
        <v>202208</v>
      </c>
      <c r="B7599" s="6">
        <v>44778</v>
      </c>
      <c r="C7599" t="s">
        <v>2262</v>
      </c>
      <c r="D7599" t="s">
        <v>2735</v>
      </c>
      <c r="E7599">
        <f t="shared" si="37"/>
        <v>29.99</v>
      </c>
      <c r="F7599" s="2" t="str">
        <f>IF(Table2[[#This Row],[Manual Cat Value]]="",VLOOKUP(Table2[[#This Row],[Description]],'Actuals Lookup'!D:F,3,0),Table2[[#This Row],[Manual Cat Value]])</f>
        <v>Exp - Transportation</v>
      </c>
      <c r="G7599" t="e">
        <f>VLOOKUP(D7599,Lookup!G:H,2,0)</f>
        <v>#N/A</v>
      </c>
      <c r="H7599" s="8" t="s">
        <v>22</v>
      </c>
      <c r="I7599" s="8"/>
      <c r="J7599">
        <v>29.99</v>
      </c>
      <c r="M7599" t="s">
        <v>2513</v>
      </c>
      <c r="O7599" t="str">
        <f>LEFT(Table2[[#This Row],[Description]],75)</f>
        <v>LYFT *1 RIDE 08-03 LYFT.COM CA REF #2401134K9000E03S7</v>
      </c>
    </row>
    <row r="7600" spans="1:15" hidden="1">
      <c r="A7600" s="25">
        <f>VALUE(YEAR(Table2[[#This Row],[Date]])&amp;TEXT(MONTH(Table2[[#This Row],[Date]]),"00"))</f>
        <v>202208</v>
      </c>
      <c r="B7600" s="6">
        <v>44778</v>
      </c>
      <c r="C7600" t="s">
        <v>2262</v>
      </c>
      <c r="D7600" t="s">
        <v>2736</v>
      </c>
      <c r="E7600">
        <f t="shared" si="37"/>
        <v>-70</v>
      </c>
      <c r="F7600" s="2" t="str">
        <f>IF(Table2[[#This Row],[Manual Cat Value]]="",VLOOKUP(Table2[[#This Row],[Description]],'Actuals Lookup'!D:F,3,0),Table2[[#This Row],[Manual Cat Value]])</f>
        <v>Exp - Shopping</v>
      </c>
      <c r="G7600" t="e">
        <f>VLOOKUP(D7600,Lookup!G:H,2,0)</f>
        <v>#N/A</v>
      </c>
      <c r="H7600" s="8" t="s">
        <v>36</v>
      </c>
      <c r="I7600" s="8"/>
      <c r="J7600">
        <v>70</v>
      </c>
      <c r="M7600" t="s">
        <v>2621</v>
      </c>
      <c r="O7600" t="str">
        <f>LEFT(Table2[[#This Row],[Description]],75)</f>
        <v>Patagonia Direct Inc. 800-6386464 CA REF #7420429K807S4HRZD</v>
      </c>
    </row>
    <row r="7601" spans="1:15" hidden="1">
      <c r="A7601" s="25">
        <f>VALUE(YEAR(Table2[[#This Row],[Date]])&amp;TEXT(MONTH(Table2[[#This Row],[Date]]),"00"))</f>
        <v>202208</v>
      </c>
      <c r="B7601" s="6">
        <v>44778</v>
      </c>
      <c r="C7601" t="s">
        <v>2262</v>
      </c>
      <c r="D7601" t="s">
        <v>2737</v>
      </c>
      <c r="E7601">
        <f t="shared" si="37"/>
        <v>25.75</v>
      </c>
      <c r="F7601" s="2" t="str">
        <f>IF(Table2[[#This Row],[Manual Cat Value]]="",VLOOKUP(Table2[[#This Row],[Description]],'Actuals Lookup'!D:F,3,0),Table2[[#This Row],[Manual Cat Value]])</f>
        <v>Exp - Groceries</v>
      </c>
      <c r="G7601" t="e">
        <f>VLOOKUP(D7601,Lookup!G:H,2,0)</f>
        <v>#N/A</v>
      </c>
      <c r="H7601" s="8" t="s">
        <v>27</v>
      </c>
      <c r="I7601" s="8"/>
      <c r="J7601">
        <v>25.75</v>
      </c>
      <c r="M7601" t="s">
        <v>2513</v>
      </c>
      <c r="O7601" t="str">
        <f>LEFT(Table2[[#This Row],[Description]],75)</f>
        <v>PP*WISCONSINCHEESE VICTORIA MN REF #2449215K8S18QYEEQ</v>
      </c>
    </row>
    <row r="7602" spans="1:15" hidden="1">
      <c r="A7602" s="25">
        <f>VALUE(YEAR(Table2[[#This Row],[Date]])&amp;TEXT(MONTH(Table2[[#This Row],[Date]]),"00"))</f>
        <v>202208</v>
      </c>
      <c r="B7602" s="6">
        <v>44778</v>
      </c>
      <c r="C7602" t="s">
        <v>2262</v>
      </c>
      <c r="D7602" t="s">
        <v>2738</v>
      </c>
      <c r="E7602">
        <f t="shared" si="37"/>
        <v>14.11</v>
      </c>
      <c r="F7602" s="2" t="str">
        <f>IF(Table2[[#This Row],[Manual Cat Value]]="",VLOOKUP(Table2[[#This Row],[Description]],'Actuals Lookup'!D:F,3,0),Table2[[#This Row],[Manual Cat Value]])</f>
        <v>Exp - Restaurants</v>
      </c>
      <c r="G7602" t="e">
        <f>VLOOKUP(D7602,Lookup!G:H,2,0)</f>
        <v>#N/A</v>
      </c>
      <c r="H7602" s="8" t="s">
        <v>25</v>
      </c>
      <c r="I7602" s="8"/>
      <c r="J7602">
        <v>14.11</v>
      </c>
      <c r="M7602" t="s">
        <v>2513</v>
      </c>
      <c r="O7602" t="str">
        <f>LEFT(Table2[[#This Row],[Description]],75)</f>
        <v>SALADWORKS - WOBURN WOBURN MA REF #2426979K8EJ99VEQP</v>
      </c>
    </row>
    <row r="7603" spans="1:15" hidden="1">
      <c r="A7603" s="25">
        <f>VALUE(YEAR(Table2[[#This Row],[Date]])&amp;TEXT(MONTH(Table2[[#This Row],[Date]]),"00"))</f>
        <v>202208</v>
      </c>
      <c r="B7603" s="6">
        <v>44778</v>
      </c>
      <c r="C7603" t="s">
        <v>2265</v>
      </c>
      <c r="D7603" t="s">
        <v>2739</v>
      </c>
      <c r="E7603">
        <f t="shared" si="37"/>
        <v>353.55</v>
      </c>
      <c r="F7603" s="2" t="str">
        <f>IF(Table2[[#This Row],[Manual Cat Value]]="",VLOOKUP(Table2[[#This Row],[Description]],'Actuals Lookup'!D:F,3,0),Table2[[#This Row],[Manual Cat Value]])</f>
        <v>Exp - Utilities</v>
      </c>
      <c r="G7603" t="e">
        <f>VLOOKUP(D7603,Lookup!G:H,2,0)</f>
        <v>#N/A</v>
      </c>
      <c r="H7603" s="8" t="s">
        <v>6</v>
      </c>
      <c r="I7603" s="8"/>
      <c r="J7603">
        <v>353.55</v>
      </c>
      <c r="M7603" t="s">
        <v>2513</v>
      </c>
      <c r="O7603" t="str">
        <f>LEFT(Table2[[#This Row],[Description]],75)</f>
        <v>Withdrawal ACH XCEL ENERGY-MN TYPE: XCELENERGY ID: 7411967505 CO: XCEL ENER</v>
      </c>
    </row>
    <row r="7604" spans="1:15" hidden="1">
      <c r="A7604" s="25">
        <f>VALUE(YEAR(Table2[[#This Row],[Date]])&amp;TEXT(MONTH(Table2[[#This Row],[Date]]),"00"))</f>
        <v>202208</v>
      </c>
      <c r="B7604" s="6">
        <v>44780</v>
      </c>
      <c r="C7604" t="s">
        <v>2262</v>
      </c>
      <c r="D7604" t="s">
        <v>2740</v>
      </c>
      <c r="E7604">
        <f t="shared" si="37"/>
        <v>435.45</v>
      </c>
      <c r="F7604" s="2" t="str">
        <f>IF(Table2[[#This Row],[Manual Cat Value]]="",VLOOKUP(Table2[[#This Row],[Description]],'Actuals Lookup'!D:F,3,0),Table2[[#This Row],[Manual Cat Value]])</f>
        <v>Delete</v>
      </c>
      <c r="G7604" t="e">
        <f>VLOOKUP(D7604,Lookup!G:H,2,0)</f>
        <v>#N/A</v>
      </c>
      <c r="H7604" s="8" t="s">
        <v>9</v>
      </c>
      <c r="I7604" s="8"/>
      <c r="J7604">
        <v>435.45</v>
      </c>
      <c r="M7604" t="s">
        <v>2513</v>
      </c>
      <c r="O7604" t="str">
        <f>LEFT(Table2[[#This Row],[Description]],75)</f>
        <v>AVIS RENT-A-CAR EAST BOSTON MA REF #2494135KAR0M5AZ8J</v>
      </c>
    </row>
    <row r="7605" spans="1:15" hidden="1">
      <c r="A7605" s="25">
        <f>VALUE(YEAR(Table2[[#This Row],[Date]])&amp;TEXT(MONTH(Table2[[#This Row],[Date]]),"00"))</f>
        <v>202208</v>
      </c>
      <c r="B7605" s="6">
        <v>44780</v>
      </c>
      <c r="C7605" t="s">
        <v>2262</v>
      </c>
      <c r="D7605" t="s">
        <v>2741</v>
      </c>
      <c r="E7605">
        <f t="shared" si="37"/>
        <v>3.21</v>
      </c>
      <c r="F7605" s="2" t="str">
        <f>IF(Table2[[#This Row],[Manual Cat Value]]="",VLOOKUP(Table2[[#This Row],[Description]],'Actuals Lookup'!D:F,3,0),Table2[[#This Row],[Manual Cat Value]])</f>
        <v>Exp - Restaurants</v>
      </c>
      <c r="G7605" t="e">
        <f>VLOOKUP(D7605,Lookup!G:H,2,0)</f>
        <v>#N/A</v>
      </c>
      <c r="H7605" s="8" t="s">
        <v>25</v>
      </c>
      <c r="I7605" s="8"/>
      <c r="J7605">
        <v>3.21</v>
      </c>
      <c r="M7605" t="s">
        <v>2513</v>
      </c>
      <c r="O7605" t="str">
        <f>LEFT(Table2[[#This Row],[Description]],75)</f>
        <v>DELAWARE NORTH LOGAN F&amp;B EAST BOSTON MA REF #2443106KAW62F4558</v>
      </c>
    </row>
    <row r="7606" spans="1:15" hidden="1">
      <c r="A7606" s="25">
        <f>VALUE(YEAR(Table2[[#This Row],[Date]])&amp;TEXT(MONTH(Table2[[#This Row],[Date]]),"00"))</f>
        <v>202208</v>
      </c>
      <c r="B7606" s="6">
        <v>44780</v>
      </c>
      <c r="C7606" t="s">
        <v>2262</v>
      </c>
      <c r="D7606" t="s">
        <v>2742</v>
      </c>
      <c r="E7606">
        <f t="shared" si="37"/>
        <v>655.66</v>
      </c>
      <c r="F7606" s="2" t="str">
        <f>IF(Table2[[#This Row],[Manual Cat Value]]="",VLOOKUP(Table2[[#This Row],[Description]],'Actuals Lookup'!D:F,3,0),Table2[[#This Row],[Manual Cat Value]])</f>
        <v>Delete</v>
      </c>
      <c r="G7606" t="e">
        <f>VLOOKUP(D7606,Lookup!G:H,2,0)</f>
        <v>#N/A</v>
      </c>
      <c r="H7606" s="8" t="s">
        <v>9</v>
      </c>
      <c r="I7606" s="8"/>
      <c r="J7606">
        <v>655.66</v>
      </c>
      <c r="M7606" t="s">
        <v>2513</v>
      </c>
      <c r="O7606" t="str">
        <f>LEFT(Table2[[#This Row],[Description]],75)</f>
        <v>HILTON BOSTON WOBURN WOBURN MA REF #2405523KA11H47Z5G</v>
      </c>
    </row>
    <row r="7607" spans="1:15" hidden="1">
      <c r="A7607" s="25">
        <f>VALUE(YEAR(Table2[[#This Row],[Date]])&amp;TEXT(MONTH(Table2[[#This Row],[Date]]),"00"))</f>
        <v>202208</v>
      </c>
      <c r="B7607" s="6">
        <v>44780</v>
      </c>
      <c r="C7607" t="s">
        <v>2262</v>
      </c>
      <c r="D7607" t="s">
        <v>2743</v>
      </c>
      <c r="E7607">
        <f t="shared" si="37"/>
        <v>32.18</v>
      </c>
      <c r="F7607" s="2" t="str">
        <f>IF(Table2[[#This Row],[Manual Cat Value]]="",VLOOKUP(Table2[[#This Row],[Description]],'Actuals Lookup'!D:F,3,0),Table2[[#This Row],[Manual Cat Value]])</f>
        <v>Exp - Restaurants</v>
      </c>
      <c r="G7607" t="e">
        <f>VLOOKUP(D7607,Lookup!G:H,2,0)</f>
        <v>#N/A</v>
      </c>
      <c r="H7607" s="8" t="s">
        <v>25</v>
      </c>
      <c r="I7607" s="8"/>
      <c r="J7607">
        <v>32.18</v>
      </c>
      <c r="M7607" t="s">
        <v>2513</v>
      </c>
      <c r="O7607" t="str">
        <f>LEFT(Table2[[#This Row],[Description]],75)</f>
        <v>LIFE TIME CAFE 151Q48 952-380-0303 MN REF #2469216KB2XKX29S9</v>
      </c>
    </row>
    <row r="7608" spans="1:15" hidden="1">
      <c r="A7608" s="25">
        <f>VALUE(YEAR(Table2[[#This Row],[Date]])&amp;TEXT(MONTH(Table2[[#This Row],[Date]]),"00"))</f>
        <v>202208</v>
      </c>
      <c r="B7608" s="6">
        <v>44780</v>
      </c>
      <c r="C7608" t="s">
        <v>2262</v>
      </c>
      <c r="D7608" t="s">
        <v>2744</v>
      </c>
      <c r="E7608">
        <f t="shared" si="37"/>
        <v>23.42</v>
      </c>
      <c r="F7608" s="2" t="str">
        <f>IF(Table2[[#This Row],[Manual Cat Value]]="",VLOOKUP(Table2[[#This Row],[Description]],'Actuals Lookup'!D:F,3,0),Table2[[#This Row],[Manual Cat Value]])</f>
        <v>Exp - Restaurants</v>
      </c>
      <c r="G7608" t="e">
        <f>VLOOKUP(D7608,Lookup!G:H,2,0)</f>
        <v>#N/A</v>
      </c>
      <c r="H7608" s="8" t="s">
        <v>25</v>
      </c>
      <c r="I7608" s="8"/>
      <c r="J7608">
        <v>23.42</v>
      </c>
      <c r="M7608" t="s">
        <v>2513</v>
      </c>
      <c r="O7608" t="str">
        <f>LEFT(Table2[[#This Row],[Description]],75)</f>
        <v>NORTH COOP* NORTH COOP sburks827@livMN REF #2449216K9001F3VAS</v>
      </c>
    </row>
    <row r="7609" spans="1:15" hidden="1">
      <c r="A7609" s="25">
        <f>VALUE(YEAR(Table2[[#This Row],[Date]])&amp;TEXT(MONTH(Table2[[#This Row],[Date]]),"00"))</f>
        <v>202208</v>
      </c>
      <c r="B7609" s="6">
        <v>44780</v>
      </c>
      <c r="C7609" t="s">
        <v>2262</v>
      </c>
      <c r="D7609" t="s">
        <v>2745</v>
      </c>
      <c r="E7609">
        <f t="shared" si="37"/>
        <v>93.36</v>
      </c>
      <c r="F7609" s="2" t="str">
        <f>IF(Table2[[#This Row],[Manual Cat Value]]="",VLOOKUP(Table2[[#This Row],[Description]],'Actuals Lookup'!D:F,3,0),Table2[[#This Row],[Manual Cat Value]])</f>
        <v>Exp - Restaurants</v>
      </c>
      <c r="G7609" t="e">
        <f>VLOOKUP(D7609,Lookup!G:H,2,0)</f>
        <v>#N/A</v>
      </c>
      <c r="H7609" s="8" t="s">
        <v>25</v>
      </c>
      <c r="I7609" s="8"/>
      <c r="J7609">
        <v>93.36</v>
      </c>
      <c r="M7609" t="s">
        <v>2513</v>
      </c>
      <c r="O7609" t="str">
        <f>LEFT(Table2[[#This Row],[Description]],75)</f>
        <v>SQ *GLOBAL TRAVEL SERVICEExcelsior MN REF #2469216K92XEGBJBL</v>
      </c>
    </row>
    <row r="7610" spans="1:15" hidden="1">
      <c r="A7610" s="25">
        <f>VALUE(YEAR(Table2[[#This Row],[Date]])&amp;TEXT(MONTH(Table2[[#This Row],[Date]]),"00"))</f>
        <v>202208</v>
      </c>
      <c r="B7610" s="6">
        <v>44781</v>
      </c>
      <c r="C7610" t="s">
        <v>2262</v>
      </c>
      <c r="D7610" t="s">
        <v>2746</v>
      </c>
      <c r="E7610">
        <f t="shared" ref="E7610:E7641" si="38">IF(M7610="credit",-1*J7610,J7610)</f>
        <v>21.46</v>
      </c>
      <c r="F7610" s="2" t="str">
        <f>IF(Table2[[#This Row],[Manual Cat Value]]="",VLOOKUP(Table2[[#This Row],[Description]],'Actuals Lookup'!D:F,3,0),Table2[[#This Row],[Manual Cat Value]])</f>
        <v>Exp - Amazon</v>
      </c>
      <c r="G7610" t="e">
        <f>VLOOKUP(D7610,Lookup!G:H,2,0)</f>
        <v>#N/A</v>
      </c>
      <c r="H7610" s="8" t="s">
        <v>37</v>
      </c>
      <c r="I7610" s="8"/>
      <c r="J7610">
        <v>21.46</v>
      </c>
      <c r="M7610" t="s">
        <v>2513</v>
      </c>
      <c r="O7610" t="str">
        <f>LEFT(Table2[[#This Row],[Description]],75)</f>
        <v>AMZN Mktp US*RR7UN1YN3 Amzn.com/billWA REF #2469216KB2X4BYL6G</v>
      </c>
    </row>
    <row r="7611" spans="1:15" hidden="1">
      <c r="A7611" s="25">
        <f>VALUE(YEAR(Table2[[#This Row],[Date]])&amp;TEXT(MONTH(Table2[[#This Row],[Date]]),"00"))</f>
        <v>202208</v>
      </c>
      <c r="B7611" s="6">
        <v>44781</v>
      </c>
      <c r="C7611" t="s">
        <v>2262</v>
      </c>
      <c r="D7611" t="s">
        <v>2747</v>
      </c>
      <c r="E7611">
        <f t="shared" si="38"/>
        <v>149.33000000000001</v>
      </c>
      <c r="F7611" s="2" t="str">
        <f>IF(Table2[[#This Row],[Manual Cat Value]]="",VLOOKUP(Table2[[#This Row],[Description]],'Actuals Lookup'!D:F,3,0),Table2[[#This Row],[Manual Cat Value]])</f>
        <v>Exp - Groceries</v>
      </c>
      <c r="G7611" t="e">
        <f>VLOOKUP(D7611,Lookup!G:H,2,0)</f>
        <v>#N/A</v>
      </c>
      <c r="H7611" s="8" t="s">
        <v>27</v>
      </c>
      <c r="I7611" s="8"/>
      <c r="J7611">
        <v>149.33000000000001</v>
      </c>
      <c r="M7611" t="s">
        <v>2513</v>
      </c>
      <c r="O7611" t="str">
        <f>LEFT(Table2[[#This Row],[Description]],75)</f>
        <v>AVO*ADVOCARE INTL 800-542-4800 TX REF #2469216KB2XVVQ5EM</v>
      </c>
    </row>
    <row r="7612" spans="1:15" hidden="1">
      <c r="A7612" s="25">
        <f>VALUE(YEAR(Table2[[#This Row],[Date]])&amp;TEXT(MONTH(Table2[[#This Row],[Date]]),"00"))</f>
        <v>202208</v>
      </c>
      <c r="B7612" s="6">
        <v>44781</v>
      </c>
      <c r="C7612" t="s">
        <v>2262</v>
      </c>
      <c r="D7612" t="s">
        <v>2748</v>
      </c>
      <c r="E7612">
        <f t="shared" si="38"/>
        <v>3.21</v>
      </c>
      <c r="F7612" s="2" t="str">
        <f>IF(Table2[[#This Row],[Manual Cat Value]]="",VLOOKUP(Table2[[#This Row],[Description]],'Actuals Lookup'!D:F,3,0),Table2[[#This Row],[Manual Cat Value]])</f>
        <v>Exp - Shopping</v>
      </c>
      <c r="G7612" t="e">
        <f>VLOOKUP(D7612,Lookup!G:H,2,0)</f>
        <v>#N/A</v>
      </c>
      <c r="H7612" s="8" t="s">
        <v>36</v>
      </c>
      <c r="I7612" s="8"/>
      <c r="J7612">
        <v>3.21</v>
      </c>
      <c r="M7612" t="s">
        <v>2513</v>
      </c>
      <c r="O7612" t="str">
        <f>LEFT(Table2[[#This Row],[Description]],75)</f>
        <v>Cabin Fever Sporting GoodVictoria MN REF #2445388KQ02HDELRM</v>
      </c>
    </row>
    <row r="7613" spans="1:15" hidden="1">
      <c r="A7613" s="25">
        <f>VALUE(YEAR(Table2[[#This Row],[Date]])&amp;TEXT(MONTH(Table2[[#This Row],[Date]]),"00"))</f>
        <v>202208</v>
      </c>
      <c r="B7613" s="6">
        <v>44781</v>
      </c>
      <c r="C7613" t="s">
        <v>2262</v>
      </c>
      <c r="D7613" t="s">
        <v>2749</v>
      </c>
      <c r="E7613">
        <f t="shared" si="38"/>
        <v>8</v>
      </c>
      <c r="F7613" s="2" t="str">
        <f>IF(Table2[[#This Row],[Manual Cat Value]]="",VLOOKUP(Table2[[#This Row],[Description]],'Actuals Lookup'!D:F,3,0),Table2[[#This Row],[Manual Cat Value]])</f>
        <v>Exp - Entertainment</v>
      </c>
      <c r="G7613" t="e">
        <f>VLOOKUP(D7613,Lookup!G:H,2,0)</f>
        <v>#N/A</v>
      </c>
      <c r="H7613" s="8" t="s">
        <v>39</v>
      </c>
      <c r="I7613" s="8"/>
      <c r="J7613">
        <v>8</v>
      </c>
      <c r="M7613" t="s">
        <v>2513</v>
      </c>
      <c r="O7613" t="str">
        <f>LEFT(Table2[[#This Row],[Description]],75)</f>
        <v>D J*WALL-ST-JOURNAL 800-568-7625 MA REF #2469216KB2Y1WN9HW</v>
      </c>
    </row>
    <row r="7614" spans="1:15" hidden="1">
      <c r="A7614" s="25">
        <f>VALUE(YEAR(Table2[[#This Row],[Date]])&amp;TEXT(MONTH(Table2[[#This Row],[Date]]),"00"))</f>
        <v>202208</v>
      </c>
      <c r="B7614" s="6">
        <v>44781</v>
      </c>
      <c r="C7614" t="s">
        <v>2447</v>
      </c>
      <c r="D7614" t="s">
        <v>2750</v>
      </c>
      <c r="E7614">
        <f t="shared" si="38"/>
        <v>15.91</v>
      </c>
      <c r="F7614" s="2" t="str">
        <f>IF(Table2[[#This Row],[Manual Cat Value]]="",VLOOKUP(Table2[[#This Row],[Description]],'Actuals Lookup'!D:F,3,0),Table2[[#This Row],[Manual Cat Value]])</f>
        <v>Exp - House Maint</v>
      </c>
      <c r="G7614" t="e">
        <f>VLOOKUP(D7614,Lookup!G:H,2,0)</f>
        <v>#N/A</v>
      </c>
      <c r="H7614" s="8" t="s">
        <v>1</v>
      </c>
      <c r="I7614" s="8"/>
      <c r="J7614">
        <v>15.91</v>
      </c>
      <c r="M7614" t="s">
        <v>2513</v>
      </c>
      <c r="O7614" t="str">
        <f>LEFT(Table2[[#This Row],[Description]],75)</f>
        <v>THE HOME DEPOT #2812 EDEN PRAIRIE MN</v>
      </c>
    </row>
    <row r="7615" spans="1:15" hidden="1">
      <c r="A7615" s="25">
        <f>VALUE(YEAR(Table2[[#This Row],[Date]])&amp;TEXT(MONTH(Table2[[#This Row],[Date]]),"00"))</f>
        <v>202208</v>
      </c>
      <c r="B7615" s="6">
        <v>44781</v>
      </c>
      <c r="C7615" t="s">
        <v>2265</v>
      </c>
      <c r="D7615" t="s">
        <v>2640</v>
      </c>
      <c r="E7615">
        <f t="shared" si="38"/>
        <v>4909.3999999999996</v>
      </c>
      <c r="F7615" s="2" t="str">
        <f>IF(Table2[[#This Row],[Manual Cat Value]]="",VLOOKUP(Table2[[#This Row],[Description]],'Actuals Lookup'!D:F,3,0),Table2[[#This Row],[Manual Cat Value]])</f>
        <v>Delete</v>
      </c>
      <c r="G7615" t="e">
        <f>VLOOKUP(D7615,Lookup!G:H,2,0)</f>
        <v>#N/A</v>
      </c>
      <c r="H7615" s="8" t="s">
        <v>9</v>
      </c>
      <c r="I7615" s="8"/>
      <c r="J7615">
        <v>4909.3999999999996</v>
      </c>
      <c r="M7615" t="s">
        <v>2513</v>
      </c>
      <c r="O7615" t="str">
        <f>LEFT(Table2[[#This Row],[Description]],75)</f>
        <v>Withdrawal Home Banking Pmt to card XXXXXXXXXXXX-9181</v>
      </c>
    </row>
    <row r="7616" spans="1:15" hidden="1">
      <c r="A7616" s="25">
        <f>VALUE(YEAR(Table2[[#This Row],[Date]])&amp;TEXT(MONTH(Table2[[#This Row],[Date]]),"00"))</f>
        <v>202208</v>
      </c>
      <c r="B7616" s="6">
        <v>44781</v>
      </c>
      <c r="C7616" t="s">
        <v>2262</v>
      </c>
      <c r="D7616" t="s">
        <v>2751</v>
      </c>
      <c r="E7616">
        <f t="shared" si="38"/>
        <v>-4909.3999999999996</v>
      </c>
      <c r="F7616" s="2" t="str">
        <f>IF(Table2[[#This Row],[Manual Cat Value]]="",VLOOKUP(Table2[[#This Row],[Description]],'Actuals Lookup'!D:F,3,0),Table2[[#This Row],[Manual Cat Value]])</f>
        <v>Delete</v>
      </c>
      <c r="G7616" t="e">
        <f>VLOOKUP(D7616,Lookup!G:H,2,0)</f>
        <v>#N/A</v>
      </c>
      <c r="H7616" s="8" t="s">
        <v>9</v>
      </c>
      <c r="I7616" s="8"/>
      <c r="J7616">
        <v>4909.3999999999996</v>
      </c>
      <c r="M7616" t="s">
        <v>2621</v>
      </c>
      <c r="O7616" t="str">
        <f>LEFT(Table2[[#This Row],[Description]],75)</f>
        <v>PAYMENT - THANK YOU REF #7473457KD00XTMJG7</v>
      </c>
    </row>
    <row r="7617" spans="1:15" hidden="1">
      <c r="A7617" s="25">
        <f>VALUE(YEAR(Table2[[#This Row],[Date]])&amp;TEXT(MONTH(Table2[[#This Row],[Date]]),"00"))</f>
        <v>202208</v>
      </c>
      <c r="B7617" s="6">
        <v>44782</v>
      </c>
      <c r="C7617" t="s">
        <v>2262</v>
      </c>
      <c r="D7617" t="s">
        <v>2752</v>
      </c>
      <c r="E7617">
        <f t="shared" si="38"/>
        <v>3.22</v>
      </c>
      <c r="F7617" s="2" t="str">
        <f>IF(Table2[[#This Row],[Manual Cat Value]]="",VLOOKUP(Table2[[#This Row],[Description]],'Actuals Lookup'!D:F,3,0),Table2[[#This Row],[Manual Cat Value]])</f>
        <v>Exp - Shopping</v>
      </c>
      <c r="G7617" t="e">
        <f>VLOOKUP(D7617,Lookup!G:H,2,0)</f>
        <v>#N/A</v>
      </c>
      <c r="H7617" s="8" t="s">
        <v>36</v>
      </c>
      <c r="I7617" s="8"/>
      <c r="J7617">
        <v>3.22</v>
      </c>
      <c r="M7617" t="s">
        <v>2513</v>
      </c>
      <c r="O7617" t="str">
        <f>LEFT(Table2[[#This Row],[Description]],75)</f>
        <v>5TH AVENUE MARKET MINNEAPOLIS MN REF #2409990KQ0VYW5E97</v>
      </c>
    </row>
    <row r="7618" spans="1:15" hidden="1">
      <c r="A7618" s="25">
        <f>VALUE(YEAR(Table2[[#This Row],[Date]])&amp;TEXT(MONTH(Table2[[#This Row],[Date]]),"00"))</f>
        <v>202208</v>
      </c>
      <c r="B7618" s="6">
        <v>44782</v>
      </c>
      <c r="C7618" t="s">
        <v>2262</v>
      </c>
      <c r="D7618" t="s">
        <v>2753</v>
      </c>
      <c r="E7618">
        <f t="shared" si="38"/>
        <v>8.8800000000000008</v>
      </c>
      <c r="F7618" s="2" t="str">
        <f>IF(Table2[[#This Row],[Manual Cat Value]]="",VLOOKUP(Table2[[#This Row],[Description]],'Actuals Lookup'!D:F,3,0),Table2[[#This Row],[Manual Cat Value]])</f>
        <v>Exp - Restaurants</v>
      </c>
      <c r="G7618" t="e">
        <f>VLOOKUP(D7618,Lookup!G:H,2,0)</f>
        <v>#N/A</v>
      </c>
      <c r="H7618" s="8" t="s">
        <v>25</v>
      </c>
      <c r="I7618" s="8"/>
      <c r="J7618">
        <v>8.8800000000000008</v>
      </c>
      <c r="M7618" t="s">
        <v>2513</v>
      </c>
      <c r="O7618" t="str">
        <f>LEFT(Table2[[#This Row],[Description]],75)</f>
        <v>DNCSS MN TWINS CONCESS MINNEAPOLIS MN REF #2469216KQ2XPHXRS2</v>
      </c>
    </row>
    <row r="7619" spans="1:15" hidden="1">
      <c r="A7619" s="25">
        <f>VALUE(YEAR(Table2[[#This Row],[Date]])&amp;TEXT(MONTH(Table2[[#This Row],[Date]]),"00"))</f>
        <v>202208</v>
      </c>
      <c r="B7619" s="6">
        <v>44782</v>
      </c>
      <c r="C7619" t="s">
        <v>2262</v>
      </c>
      <c r="D7619" t="s">
        <v>2754</v>
      </c>
      <c r="E7619">
        <f t="shared" si="38"/>
        <v>39.07</v>
      </c>
      <c r="F7619" s="2" t="str">
        <f>IF(Table2[[#This Row],[Manual Cat Value]]="",VLOOKUP(Table2[[#This Row],[Description]],'Actuals Lookup'!D:F,3,0),Table2[[#This Row],[Manual Cat Value]])</f>
        <v>Exp - Restaurants</v>
      </c>
      <c r="G7619" t="e">
        <f>VLOOKUP(D7619,Lookup!G:H,2,0)</f>
        <v>#N/A</v>
      </c>
      <c r="H7619" s="8" t="s">
        <v>25</v>
      </c>
      <c r="I7619" s="8"/>
      <c r="J7619">
        <v>39.07</v>
      </c>
      <c r="M7619" t="s">
        <v>2513</v>
      </c>
      <c r="O7619" t="str">
        <f>LEFT(Table2[[#This Row],[Description]],75)</f>
        <v>DNCSS MN TWINS CONCESS MINNEAPOLIS MN REF #2469216KQ2XPHYT3M</v>
      </c>
    </row>
    <row r="7620" spans="1:15" hidden="1">
      <c r="A7620" s="25">
        <f>VALUE(YEAR(Table2[[#This Row],[Date]])&amp;TEXT(MONTH(Table2[[#This Row],[Date]]),"00"))</f>
        <v>202208</v>
      </c>
      <c r="B7620" s="6">
        <v>44782</v>
      </c>
      <c r="C7620" t="s">
        <v>2262</v>
      </c>
      <c r="D7620" t="s">
        <v>2755</v>
      </c>
      <c r="E7620">
        <f t="shared" si="38"/>
        <v>16.38</v>
      </c>
      <c r="F7620" s="2" t="str">
        <f>IF(Table2[[#This Row],[Manual Cat Value]]="",VLOOKUP(Table2[[#This Row],[Description]],'Actuals Lookup'!D:F,3,0),Table2[[#This Row],[Manual Cat Value]])</f>
        <v>Exp - Restaurants</v>
      </c>
      <c r="G7620" t="e">
        <f>VLOOKUP(D7620,Lookup!G:H,2,0)</f>
        <v>#N/A</v>
      </c>
      <c r="H7620" s="8" t="s">
        <v>25</v>
      </c>
      <c r="I7620" s="8"/>
      <c r="J7620">
        <v>16.38</v>
      </c>
      <c r="M7620" t="s">
        <v>2513</v>
      </c>
      <c r="O7620" t="str">
        <f>LEFT(Table2[[#This Row],[Description]],75)</f>
        <v>DNCSS MN TWINS CONCESS MINNEAPOLIS MN REF #2469216KQ2XPHYXEW</v>
      </c>
    </row>
    <row r="7621" spans="1:15" hidden="1">
      <c r="A7621" s="25">
        <f>VALUE(YEAR(Table2[[#This Row],[Date]])&amp;TEXT(MONTH(Table2[[#This Row],[Date]]),"00"))</f>
        <v>202208</v>
      </c>
      <c r="B7621" s="6">
        <v>44782</v>
      </c>
      <c r="C7621" t="s">
        <v>2262</v>
      </c>
      <c r="D7621" t="s">
        <v>2756</v>
      </c>
      <c r="E7621">
        <f t="shared" si="38"/>
        <v>47.32</v>
      </c>
      <c r="F7621" s="2" t="str">
        <f>IF(Table2[[#This Row],[Manual Cat Value]]="",VLOOKUP(Table2[[#This Row],[Description]],'Actuals Lookup'!D:F,3,0),Table2[[#This Row],[Manual Cat Value]])</f>
        <v>Exp - Gym</v>
      </c>
      <c r="G7621" t="e">
        <f>VLOOKUP(D7621,Lookup!G:H,2,0)</f>
        <v>#N/A</v>
      </c>
      <c r="H7621" s="8" t="s">
        <v>33</v>
      </c>
      <c r="I7621" s="8"/>
      <c r="J7621">
        <v>47.32</v>
      </c>
      <c r="M7621" t="s">
        <v>2513</v>
      </c>
      <c r="O7621" t="str">
        <f>LEFT(Table2[[#This Row],[Description]],75)</f>
        <v>PELOTON* MEMBERSHIP HTTPSWWW.ONEPNY REF #2401134KQ000V0GJ9</v>
      </c>
    </row>
    <row r="7622" spans="1:15" hidden="1">
      <c r="A7622" s="25">
        <f>VALUE(YEAR(Table2[[#This Row],[Date]])&amp;TEXT(MONTH(Table2[[#This Row],[Date]]),"00"))</f>
        <v>202208</v>
      </c>
      <c r="B7622" s="6">
        <v>44782</v>
      </c>
      <c r="C7622" t="s">
        <v>2265</v>
      </c>
      <c r="D7622" t="s">
        <v>2757</v>
      </c>
      <c r="E7622">
        <f t="shared" si="38"/>
        <v>536.5</v>
      </c>
      <c r="F7622" s="2" t="str">
        <f>IF(Table2[[#This Row],[Manual Cat Value]]="",VLOOKUP(Table2[[#This Row],[Description]],'Actuals Lookup'!D:F,3,0),Table2[[#This Row],[Manual Cat Value]])</f>
        <v>Exp - Day Care</v>
      </c>
      <c r="G7622" t="e">
        <f>VLOOKUP(D7622,Lookup!G:H,2,0)</f>
        <v>#N/A</v>
      </c>
      <c r="H7622" s="8" t="s">
        <v>19</v>
      </c>
      <c r="I7622" s="8"/>
      <c r="J7622">
        <v>536.5</v>
      </c>
      <c r="M7622" t="s">
        <v>2513</v>
      </c>
      <c r="O7622" t="str">
        <f>LEFT(Table2[[#This Row],[Description]],75)</f>
        <v xml:space="preserve">Withdrawal ACH MHCHILDCARELLC TYPE: DUES ID: 1824708198 CO: MHCHILDCARELLC </v>
      </c>
    </row>
    <row r="7623" spans="1:15" hidden="1">
      <c r="A7623" s="25">
        <f>VALUE(YEAR(Table2[[#This Row],[Date]])&amp;TEXT(MONTH(Table2[[#This Row],[Date]]),"00"))</f>
        <v>202208</v>
      </c>
      <c r="B7623" s="6">
        <v>44782</v>
      </c>
      <c r="C7623" t="s">
        <v>2265</v>
      </c>
      <c r="D7623" t="s">
        <v>2758</v>
      </c>
      <c r="E7623">
        <f t="shared" si="38"/>
        <v>168.58</v>
      </c>
      <c r="F7623" s="2" t="str">
        <f>IF(Table2[[#This Row],[Manual Cat Value]]="",VLOOKUP(Table2[[#This Row],[Description]],'Actuals Lookup'!D:F,3,0),Table2[[#This Row],[Manual Cat Value]])</f>
        <v>Exp - Utilities</v>
      </c>
      <c r="G7623" t="e">
        <f>VLOOKUP(D7623,Lookup!G:H,2,0)</f>
        <v>#N/A</v>
      </c>
      <c r="H7623" s="8" t="s">
        <v>6</v>
      </c>
      <c r="I7623" s="8"/>
      <c r="J7623">
        <v>168.58</v>
      </c>
      <c r="M7623" t="s">
        <v>2513</v>
      </c>
      <c r="O7623" t="str">
        <f>LEFT(Table2[[#This Row],[Description]],75)</f>
        <v>Withdrawal ACH WASTE MANAGEMENT TYPE: INTERNET ID: 9049038216 CO: WASTE MAN</v>
      </c>
    </row>
    <row r="7624" spans="1:15" hidden="1">
      <c r="A7624" s="25">
        <f>VALUE(YEAR(Table2[[#This Row],[Date]])&amp;TEXT(MONTH(Table2[[#This Row],[Date]]),"00"))</f>
        <v>202208</v>
      </c>
      <c r="B7624" s="6">
        <v>44782</v>
      </c>
      <c r="C7624" t="s">
        <v>2262</v>
      </c>
      <c r="D7624" t="s">
        <v>2759</v>
      </c>
      <c r="E7624">
        <f t="shared" si="38"/>
        <v>88.75</v>
      </c>
      <c r="F7624" s="2" t="str">
        <f>IF(Table2[[#This Row],[Manual Cat Value]]="",VLOOKUP(Table2[[#This Row],[Description]],'Actuals Lookup'!D:F,3,0),Table2[[#This Row],[Manual Cat Value]])</f>
        <v>Exp - Restaurants</v>
      </c>
      <c r="G7624" t="e">
        <f>VLOOKUP(D7624,Lookup!G:H,2,0)</f>
        <v>#N/A</v>
      </c>
      <c r="H7624" s="8" t="s">
        <v>25</v>
      </c>
      <c r="I7624" s="8"/>
      <c r="J7624">
        <v>88.75</v>
      </c>
      <c r="M7624" t="s">
        <v>2513</v>
      </c>
      <c r="O7624" t="str">
        <f>LEFT(Table2[[#This Row],[Description]],75)</f>
        <v>TWINS MOBILE PAYMENT 800-352-0212 CA REF #2473309KQHHBHZZZT</v>
      </c>
    </row>
    <row r="7625" spans="1:15" ht="30" hidden="1">
      <c r="A7625" s="25">
        <f>VALUE(YEAR(Table2[[#This Row],[Date]])&amp;TEXT(MONTH(Table2[[#This Row],[Date]]),"00"))</f>
        <v>202208</v>
      </c>
      <c r="B7625" s="6">
        <v>44783</v>
      </c>
      <c r="C7625" t="s">
        <v>2447</v>
      </c>
      <c r="D7625" s="7" t="s">
        <v>2760</v>
      </c>
      <c r="E7625">
        <f t="shared" si="38"/>
        <v>65.42</v>
      </c>
      <c r="F7625" s="2" t="str">
        <f>IF(Table2[[#This Row],[Manual Cat Value]]="",VLOOKUP(Table2[[#This Row],[Description]],'Actuals Lookup'!D:F,3,0),Table2[[#This Row],[Manual Cat Value]])</f>
        <v>Exp - Amazon</v>
      </c>
      <c r="G7625" t="e">
        <f>VLOOKUP(D7625,Lookup!G:H,2,0)</f>
        <v>#N/A</v>
      </c>
      <c r="H7625" s="78" t="s">
        <v>37</v>
      </c>
      <c r="I7625" s="78"/>
      <c r="J7625">
        <v>65.42</v>
      </c>
      <c r="M7625" t="s">
        <v>2513</v>
      </c>
      <c r="O7625" t="str">
        <f>LEFT(Table2[[#This Row],[Description]],75)</f>
        <v>AMZN MKTP US*0D0VD0CH3 AMZN.COM/BILLWA
1XUZNGUW3UD</v>
      </c>
    </row>
    <row r="7626" spans="1:15" ht="30" hidden="1">
      <c r="A7626" s="25">
        <f>VALUE(YEAR(Table2[[#This Row],[Date]])&amp;TEXT(MONTH(Table2[[#This Row],[Date]]),"00"))</f>
        <v>202208</v>
      </c>
      <c r="B7626" s="6">
        <v>44783</v>
      </c>
      <c r="C7626" t="s">
        <v>2447</v>
      </c>
      <c r="D7626" s="7" t="s">
        <v>2761</v>
      </c>
      <c r="E7626">
        <f t="shared" si="38"/>
        <v>27.8</v>
      </c>
      <c r="F7626" s="2" t="str">
        <f>IF(Table2[[#This Row],[Manual Cat Value]]="",VLOOKUP(Table2[[#This Row],[Description]],'Actuals Lookup'!D:F,3,0),Table2[[#This Row],[Manual Cat Value]])</f>
        <v>Exp - Amazon</v>
      </c>
      <c r="G7626" t="e">
        <f>VLOOKUP(D7626,Lookup!G:H,2,0)</f>
        <v>#N/A</v>
      </c>
      <c r="H7626" s="78" t="s">
        <v>37</v>
      </c>
      <c r="I7626" s="78"/>
      <c r="J7626">
        <v>27.8</v>
      </c>
      <c r="M7626" t="s">
        <v>2513</v>
      </c>
      <c r="O7626" t="str">
        <f>LEFT(Table2[[#This Row],[Description]],75)</f>
        <v>AMZN MKTP US*1Y8HU1TO0 AMZN.COM/BILLWA
2QGKWCARN00</v>
      </c>
    </row>
    <row r="7627" spans="1:15" hidden="1">
      <c r="A7627" s="25">
        <f>VALUE(YEAR(Table2[[#This Row],[Date]])&amp;TEXT(MONTH(Table2[[#This Row],[Date]]),"00"))</f>
        <v>202208</v>
      </c>
      <c r="B7627" s="6">
        <v>44783</v>
      </c>
      <c r="C7627" t="s">
        <v>2265</v>
      </c>
      <c r="D7627" t="s">
        <v>2762</v>
      </c>
      <c r="E7627">
        <f t="shared" si="38"/>
        <v>4</v>
      </c>
      <c r="F7627" s="2" t="str">
        <f>IF(Table2[[#This Row],[Manual Cat Value]]="",VLOOKUP(Table2[[#This Row],[Description]],'Actuals Lookup'!D:F,3,0),Table2[[#This Row],[Manual Cat Value]])</f>
        <v>Delete</v>
      </c>
      <c r="G7627" t="e">
        <f>VLOOKUP(D7627,Lookup!G:H,2,0)</f>
        <v>#N/A</v>
      </c>
      <c r="H7627" s="8" t="s">
        <v>9</v>
      </c>
      <c r="I7627" s="8"/>
      <c r="J7627">
        <v>4</v>
      </c>
      <c r="M7627" t="s">
        <v>2513</v>
      </c>
      <c r="O7627" t="str">
        <f>LEFT(Table2[[#This Row],[Description]],75)</f>
        <v>ATM Fee</v>
      </c>
    </row>
    <row r="7628" spans="1:15" hidden="1">
      <c r="A7628" s="25">
        <f>VALUE(YEAR(Table2[[#This Row],[Date]])&amp;TEXT(MONTH(Table2[[#This Row],[Date]]),"00"))</f>
        <v>202208</v>
      </c>
      <c r="B7628" s="6">
        <v>44783</v>
      </c>
      <c r="C7628" t="s">
        <v>2262</v>
      </c>
      <c r="D7628" t="s">
        <v>2763</v>
      </c>
      <c r="E7628">
        <f t="shared" si="38"/>
        <v>388</v>
      </c>
      <c r="F7628" s="2" t="str">
        <f>IF(Table2[[#This Row],[Manual Cat Value]]="",VLOOKUP(Table2[[#This Row],[Description]],'Actuals Lookup'!D:F,3,0),Table2[[#This Row],[Manual Cat Value]])</f>
        <v>Exp - Groceries</v>
      </c>
      <c r="G7628" t="e">
        <f>VLOOKUP(D7628,Lookup!G:H,2,0)</f>
        <v>#N/A</v>
      </c>
      <c r="H7628" s="8" t="s">
        <v>27</v>
      </c>
      <c r="I7628" s="8"/>
      <c r="J7628">
        <v>388</v>
      </c>
      <c r="M7628" t="s">
        <v>2513</v>
      </c>
      <c r="O7628" t="str">
        <f>LEFT(Table2[[#This Row],[Description]],75)</f>
        <v>COOLER CLEANSE 212-531-3111 NY REF #2480197KD8B2Y219B</v>
      </c>
    </row>
    <row r="7629" spans="1:15" hidden="1">
      <c r="A7629" s="25">
        <f>VALUE(YEAR(Table2[[#This Row],[Date]])&amp;TEXT(MONTH(Table2[[#This Row],[Date]]),"00"))</f>
        <v>202208</v>
      </c>
      <c r="B7629" s="6">
        <v>44783</v>
      </c>
      <c r="C7629" t="s">
        <v>2265</v>
      </c>
      <c r="D7629" t="s">
        <v>2764</v>
      </c>
      <c r="E7629">
        <f t="shared" si="38"/>
        <v>400</v>
      </c>
      <c r="F7629" s="2" t="str">
        <f>IF(Table2[[#This Row],[Manual Cat Value]]="",VLOOKUP(Table2[[#This Row],[Description]],'Actuals Lookup'!D:F,3,0),Table2[[#This Row],[Manual Cat Value]])</f>
        <v>Delete</v>
      </c>
      <c r="G7629" t="e">
        <f>VLOOKUP(D7629,Lookup!G:H,2,0)</f>
        <v>#N/A</v>
      </c>
      <c r="H7629" s="8" t="s">
        <v>9</v>
      </c>
      <c r="I7629" s="8"/>
      <c r="J7629">
        <v>400</v>
      </c>
      <c r="M7629" t="s">
        <v>2513</v>
      </c>
      <c r="O7629" t="str">
        <f>LEFT(Table2[[#This Row],[Description]],75)</f>
        <v>Withdrawal at ATM #000000430002 435 WATER ST EXCELSIOR MN</v>
      </c>
    </row>
    <row r="7630" spans="1:15" hidden="1">
      <c r="A7630" s="25">
        <f>VALUE(YEAR(Table2[[#This Row],[Date]])&amp;TEXT(MONTH(Table2[[#This Row],[Date]]),"00"))</f>
        <v>202208</v>
      </c>
      <c r="B7630" s="6">
        <v>44784</v>
      </c>
      <c r="C7630" t="s">
        <v>2262</v>
      </c>
      <c r="D7630" t="s">
        <v>2765</v>
      </c>
      <c r="E7630">
        <f t="shared" si="38"/>
        <v>450</v>
      </c>
      <c r="F7630" s="2" t="str">
        <f>IF(Table2[[#This Row],[Manual Cat Value]]="",VLOOKUP(Table2[[#This Row],[Description]],'Actuals Lookup'!D:F,3,0),Table2[[#This Row],[Manual Cat Value]])</f>
        <v>Exp - Entertainment</v>
      </c>
      <c r="G7630" t="e">
        <f>VLOOKUP(D7630,Lookup!G:H,2,0)</f>
        <v>#N/A</v>
      </c>
      <c r="H7630" s="8" t="s">
        <v>39</v>
      </c>
      <c r="I7630" s="8"/>
      <c r="J7630">
        <v>450</v>
      </c>
      <c r="M7630" t="s">
        <v>2513</v>
      </c>
      <c r="O7630" t="str">
        <f>LEFT(Table2[[#This Row],[Description]],75)</f>
        <v>FOSS SWIM SCHOOL HTTPSWWW.FOSSMN REF #2401134KE000TRKF2</v>
      </c>
    </row>
    <row r="7631" spans="1:15" hidden="1">
      <c r="A7631" s="25">
        <f>VALUE(YEAR(Table2[[#This Row],[Date]])&amp;TEXT(MONTH(Table2[[#This Row],[Date]]),"00"))</f>
        <v>202208</v>
      </c>
      <c r="B7631" s="6">
        <v>44784</v>
      </c>
      <c r="C7631" t="s">
        <v>2265</v>
      </c>
      <c r="D7631" t="s">
        <v>2766</v>
      </c>
      <c r="E7631">
        <f t="shared" si="38"/>
        <v>24.83</v>
      </c>
      <c r="F7631" s="2" t="str">
        <f>IF(Table2[[#This Row],[Manual Cat Value]]="",VLOOKUP(Table2[[#This Row],[Description]],'Actuals Lookup'!D:F,3,0),Table2[[#This Row],[Manual Cat Value]])</f>
        <v>Exp - Shopping</v>
      </c>
      <c r="G7631" t="e">
        <f>VLOOKUP(D7631,Lookup!G:H,2,0)</f>
        <v>#N/A</v>
      </c>
      <c r="H7631" s="8" t="s">
        <v>36</v>
      </c>
      <c r="I7631" s="8"/>
      <c r="J7631">
        <v>24.83</v>
      </c>
      <c r="M7631" t="s">
        <v>2513</v>
      </c>
      <c r="O7631" t="str">
        <f>LEFT(Table2[[#This Row],[Description]],75)</f>
        <v xml:space="preserve">Withdrawal ACH PAYPAL TYPE: INST XFER ID: PAYPALSI77 CO: PAYPAL NAME: JEFF </v>
      </c>
    </row>
    <row r="7632" spans="1:15" hidden="1">
      <c r="A7632" s="25">
        <f>VALUE(YEAR(Table2[[#This Row],[Date]])&amp;TEXT(MONTH(Table2[[#This Row],[Date]]),"00"))</f>
        <v>202208</v>
      </c>
      <c r="B7632" s="6">
        <v>44784</v>
      </c>
      <c r="C7632" t="s">
        <v>2265</v>
      </c>
      <c r="D7632" t="s">
        <v>2767</v>
      </c>
      <c r="E7632">
        <f t="shared" si="38"/>
        <v>142.16999999999999</v>
      </c>
      <c r="F7632" s="2" t="str">
        <f>IF(Table2[[#This Row],[Manual Cat Value]]="",VLOOKUP(Table2[[#This Row],[Description]],'Actuals Lookup'!D:F,3,0),Table2[[#This Row],[Manual Cat Value]])</f>
        <v>Exp - Healthcare</v>
      </c>
      <c r="G7632" t="e">
        <f>VLOOKUP(D7632,Lookup!G:H,2,0)</f>
        <v>#N/A</v>
      </c>
      <c r="H7632" s="8" t="s">
        <v>47</v>
      </c>
      <c r="I7632" s="8"/>
      <c r="J7632">
        <v>142.16999999999999</v>
      </c>
      <c r="M7632" t="s">
        <v>2513</v>
      </c>
      <c r="O7632" t="str">
        <f>LEFT(Table2[[#This Row],[Description]],75)</f>
        <v>Withdrawal ACH Ridgeview Medica TYPE: ONLINE PAY ID: RF00059954 CO: Ridgevi</v>
      </c>
    </row>
    <row r="7633" spans="1:15" hidden="1">
      <c r="A7633" s="25">
        <f>VALUE(YEAR(Table2[[#This Row],[Date]])&amp;TEXT(MONTH(Table2[[#This Row],[Date]]),"00"))</f>
        <v>202208</v>
      </c>
      <c r="B7633" s="6">
        <v>44785</v>
      </c>
      <c r="C7633" t="s">
        <v>2262</v>
      </c>
      <c r="D7633" t="s">
        <v>2768</v>
      </c>
      <c r="E7633">
        <f t="shared" si="38"/>
        <v>45.73</v>
      </c>
      <c r="F7633" s="2" t="str">
        <f>IF(Table2[[#This Row],[Manual Cat Value]]="",VLOOKUP(Table2[[#This Row],[Description]],'Actuals Lookup'!D:F,3,0),Table2[[#This Row],[Manual Cat Value]])</f>
        <v>Exp - Travel</v>
      </c>
      <c r="G7633" t="e">
        <f>VLOOKUP(D7633,Lookup!G:H,2,0)</f>
        <v>#N/A</v>
      </c>
      <c r="H7633" s="8" t="s">
        <v>52</v>
      </c>
      <c r="I7633" s="8"/>
      <c r="J7633">
        <v>45.73</v>
      </c>
      <c r="M7633" t="s">
        <v>2513</v>
      </c>
      <c r="O7633" t="str">
        <f>LEFT(Table2[[#This Row],[Description]],75)</f>
        <v>ATLANTA AIRPORT ATLANTA GA REF #2443106KGW5SMEZHT</v>
      </c>
    </row>
    <row r="7634" spans="1:15" hidden="1">
      <c r="A7634" s="25">
        <f>VALUE(YEAR(Table2[[#This Row],[Date]])&amp;TEXT(MONTH(Table2[[#This Row],[Date]]),"00"))</f>
        <v>202208</v>
      </c>
      <c r="B7634" s="6">
        <v>44785</v>
      </c>
      <c r="C7634" t="s">
        <v>2262</v>
      </c>
      <c r="D7634" t="s">
        <v>2769</v>
      </c>
      <c r="E7634">
        <f t="shared" si="38"/>
        <v>4.1900000000000004</v>
      </c>
      <c r="F7634" s="2" t="str">
        <f>IF(Table2[[#This Row],[Manual Cat Value]]="",VLOOKUP(Table2[[#This Row],[Description]],'Actuals Lookup'!D:F,3,0),Table2[[#This Row],[Manual Cat Value]])</f>
        <v>Exp - Restaurants</v>
      </c>
      <c r="G7634" t="e">
        <f>VLOOKUP(D7634,Lookup!G:H,2,0)</f>
        <v>#N/A</v>
      </c>
      <c r="H7634" s="8" t="s">
        <v>25</v>
      </c>
      <c r="I7634" s="8"/>
      <c r="J7634">
        <v>4.1900000000000004</v>
      </c>
      <c r="M7634" t="s">
        <v>2513</v>
      </c>
      <c r="O7634" t="str">
        <f>LEFT(Table2[[#This Row],[Description]],75)</f>
        <v>CARIBOU COFFEE CO #123 MINNEAPOLIS MN REF #2444500KG00V7KR3Y</v>
      </c>
    </row>
    <row r="7635" spans="1:15" hidden="1">
      <c r="A7635" s="25">
        <f>VALUE(YEAR(Table2[[#This Row],[Date]])&amp;TEXT(MONTH(Table2[[#This Row],[Date]]),"00"))</f>
        <v>202208</v>
      </c>
      <c r="B7635" s="6">
        <v>44785</v>
      </c>
      <c r="C7635" t="s">
        <v>2262</v>
      </c>
      <c r="D7635" t="s">
        <v>2770</v>
      </c>
      <c r="E7635">
        <f t="shared" si="38"/>
        <v>464.38</v>
      </c>
      <c r="F7635" s="2" t="str">
        <f>IF(Table2[[#This Row],[Manual Cat Value]]="",VLOOKUP(Table2[[#This Row],[Description]],'Actuals Lookup'!D:F,3,0),Table2[[#This Row],[Manual Cat Value]])</f>
        <v>Delete</v>
      </c>
      <c r="G7635" t="e">
        <f>VLOOKUP(D7635,Lookup!G:H,2,0)</f>
        <v>#N/A</v>
      </c>
      <c r="H7635" s="8" t="s">
        <v>9</v>
      </c>
      <c r="I7635" s="8"/>
      <c r="J7635">
        <v>464.38</v>
      </c>
      <c r="M7635" t="s">
        <v>2513</v>
      </c>
      <c r="O7635" t="str">
        <f>LEFT(Table2[[#This Row],[Description]],75)</f>
        <v>FH* KEY WEST PROMOTION HTTPSWWW.KEYWFL REF #2449216KF000LQHJ0</v>
      </c>
    </row>
    <row r="7636" spans="1:15" hidden="1">
      <c r="A7636" s="25">
        <f>VALUE(YEAR(Table2[[#This Row],[Date]])&amp;TEXT(MONTH(Table2[[#This Row],[Date]]),"00"))</f>
        <v>202208</v>
      </c>
      <c r="B7636" s="6">
        <v>44785</v>
      </c>
      <c r="C7636" t="s">
        <v>2262</v>
      </c>
      <c r="D7636" t="s">
        <v>2771</v>
      </c>
      <c r="E7636">
        <f t="shared" si="38"/>
        <v>10.79</v>
      </c>
      <c r="F7636" s="2" t="str">
        <f>IF(Table2[[#This Row],[Manual Cat Value]]="",VLOOKUP(Table2[[#This Row],[Description]],'Actuals Lookup'!D:F,3,0),Table2[[#This Row],[Manual Cat Value]])</f>
        <v>Exp - Travel</v>
      </c>
      <c r="G7636" t="e">
        <f>VLOOKUP(D7636,Lookup!G:H,2,0)</f>
        <v>#N/A</v>
      </c>
      <c r="H7636" s="8" t="s">
        <v>52</v>
      </c>
      <c r="I7636" s="8"/>
      <c r="J7636">
        <v>10.79</v>
      </c>
      <c r="M7636" t="s">
        <v>2513</v>
      </c>
      <c r="O7636" t="str">
        <f>LEFT(Table2[[#This Row],[Description]],75)</f>
        <v>SHELLIS NEWS ST2240 ATLANTA GA REF #2443106KGRQEB935B</v>
      </c>
    </row>
    <row r="7637" spans="1:15" hidden="1">
      <c r="A7637" s="25">
        <f>VALUE(YEAR(Table2[[#This Row],[Date]])&amp;TEXT(MONTH(Table2[[#This Row],[Date]]),"00"))</f>
        <v>202208</v>
      </c>
      <c r="B7637" s="6">
        <v>44786</v>
      </c>
      <c r="C7637" t="s">
        <v>2447</v>
      </c>
      <c r="D7637" t="s">
        <v>2772</v>
      </c>
      <c r="E7637">
        <f t="shared" si="38"/>
        <v>78</v>
      </c>
      <c r="F7637" s="2" t="str">
        <f>IF(Table2[[#This Row],[Manual Cat Value]]="",VLOOKUP(Table2[[#This Row],[Description]],'Actuals Lookup'!D:F,3,0),Table2[[#This Row],[Manual Cat Value]])</f>
        <v>Exp - Shopping</v>
      </c>
      <c r="G7637" t="e">
        <f>VLOOKUP(D7637,Lookup!G:H,2,0)</f>
        <v>#N/A</v>
      </c>
      <c r="H7637" s="8" t="s">
        <v>36</v>
      </c>
      <c r="I7637" s="8"/>
      <c r="J7637">
        <v>78</v>
      </c>
      <c r="M7637" t="s">
        <v>2513</v>
      </c>
      <c r="O7637" t="str">
        <f>LEFT(Table2[[#This Row],[Description]],75)</f>
        <v>ROSE NAILS PRAIRIE VILLAKS</v>
      </c>
    </row>
    <row r="7638" spans="1:15" hidden="1">
      <c r="A7638" s="25">
        <f>VALUE(YEAR(Table2[[#This Row],[Date]])&amp;TEXT(MONTH(Table2[[#This Row],[Date]]),"00"))</f>
        <v>202208</v>
      </c>
      <c r="B7638" s="6">
        <v>44787</v>
      </c>
      <c r="C7638" t="s">
        <v>2262</v>
      </c>
      <c r="D7638" t="s">
        <v>2773</v>
      </c>
      <c r="E7638">
        <f t="shared" si="38"/>
        <v>45</v>
      </c>
      <c r="F7638" s="2" t="str">
        <f>IF(Table2[[#This Row],[Manual Cat Value]]="",VLOOKUP(Table2[[#This Row],[Description]],'Actuals Lookup'!D:F,3,0),Table2[[#This Row],[Manual Cat Value]])</f>
        <v>Exp - Utilities</v>
      </c>
      <c r="G7638" t="e">
        <f>VLOOKUP(D7638,Lookup!G:H,2,0)</f>
        <v>#N/A</v>
      </c>
      <c r="H7638" s="8" t="s">
        <v>6</v>
      </c>
      <c r="I7638" s="8"/>
      <c r="J7638">
        <v>45</v>
      </c>
      <c r="M7638" t="s">
        <v>2513</v>
      </c>
      <c r="O7638" t="str">
        <f>LEFT(Table2[[#This Row],[Description]],75)</f>
        <v>CENTURYLINK SIMPLE 800-201-4099 LA REF #2444500KG5SQMNS4X</v>
      </c>
    </row>
    <row r="7639" spans="1:15" hidden="1">
      <c r="A7639" s="25">
        <f>VALUE(YEAR(Table2[[#This Row],[Date]])&amp;TEXT(MONTH(Table2[[#This Row],[Date]]),"00"))</f>
        <v>202208</v>
      </c>
      <c r="B7639" s="6">
        <v>44787</v>
      </c>
      <c r="C7639" t="s">
        <v>2262</v>
      </c>
      <c r="D7639" t="s">
        <v>2774</v>
      </c>
      <c r="E7639">
        <f t="shared" si="38"/>
        <v>164.05</v>
      </c>
      <c r="F7639" s="2" t="str">
        <f>IF(Table2[[#This Row],[Manual Cat Value]]="",VLOOKUP(Table2[[#This Row],[Description]],'Actuals Lookup'!D:F,3,0),Table2[[#This Row],[Manual Cat Value]])</f>
        <v>Exp - Travel</v>
      </c>
      <c r="G7639" t="e">
        <f>VLOOKUP(D7639,Lookup!G:H,2,0)</f>
        <v>#N/A</v>
      </c>
      <c r="H7639" s="8" t="s">
        <v>52</v>
      </c>
      <c r="I7639" s="8"/>
      <c r="J7639">
        <v>164.05</v>
      </c>
      <c r="M7639" t="s">
        <v>2513</v>
      </c>
      <c r="O7639" t="str">
        <f>LEFT(Table2[[#This Row],[Description]],75)</f>
        <v>CERO BODEGA KEY WEST FL REF #2494168KH61DKQ4ED</v>
      </c>
    </row>
    <row r="7640" spans="1:15" hidden="1">
      <c r="A7640" s="25">
        <f>VALUE(YEAR(Table2[[#This Row],[Date]])&amp;TEXT(MONTH(Table2[[#This Row],[Date]]),"00"))</f>
        <v>202208</v>
      </c>
      <c r="B7640" s="6">
        <v>44787</v>
      </c>
      <c r="C7640" t="s">
        <v>2262</v>
      </c>
      <c r="D7640" t="s">
        <v>2775</v>
      </c>
      <c r="E7640">
        <f t="shared" si="38"/>
        <v>6.81</v>
      </c>
      <c r="F7640" s="2" t="str">
        <f>IF(Table2[[#This Row],[Manual Cat Value]]="",VLOOKUP(Table2[[#This Row],[Description]],'Actuals Lookup'!D:F,3,0),Table2[[#This Row],[Manual Cat Value]])</f>
        <v>Exp - Travel</v>
      </c>
      <c r="G7640" t="e">
        <f>VLOOKUP(D7640,Lookup!G:H,2,0)</f>
        <v>#N/A</v>
      </c>
      <c r="H7640" s="8" t="s">
        <v>52</v>
      </c>
      <c r="I7640" s="8"/>
      <c r="J7640">
        <v>6.81</v>
      </c>
      <c r="M7640" t="s">
        <v>2513</v>
      </c>
      <c r="O7640" t="str">
        <f>LEFT(Table2[[#This Row],[Description]],75)</f>
        <v>CUBAN COFFEE QUEEN WATERFKEY WEST FL REF #2401339KH01Q5MB9G</v>
      </c>
    </row>
    <row r="7641" spans="1:15" hidden="1">
      <c r="A7641" s="25">
        <f>VALUE(YEAR(Table2[[#This Row],[Date]])&amp;TEXT(MONTH(Table2[[#This Row],[Date]]),"00"))</f>
        <v>202208</v>
      </c>
      <c r="B7641" s="6">
        <v>44787</v>
      </c>
      <c r="C7641" t="s">
        <v>2265</v>
      </c>
      <c r="D7641" t="s">
        <v>2776</v>
      </c>
      <c r="E7641">
        <f t="shared" si="38"/>
        <v>-1961.13</v>
      </c>
      <c r="F7641" s="2" t="str">
        <f>IF(Table2[[#This Row],[Manual Cat Value]]="",VLOOKUP(Table2[[#This Row],[Description]],'Actuals Lookup'!D:F,3,0),Table2[[#This Row],[Manual Cat Value]])</f>
        <v>Inc - Jeff</v>
      </c>
      <c r="G7641" t="e">
        <f>VLOOKUP(D7641,Lookup!G:H,2,0)</f>
        <v>#N/A</v>
      </c>
      <c r="H7641" s="8" t="s">
        <v>63</v>
      </c>
      <c r="I7641" s="8"/>
      <c r="J7641">
        <v>1961.13</v>
      </c>
      <c r="M7641" t="s">
        <v>2621</v>
      </c>
      <c r="O7641" t="str">
        <f>LEFT(Table2[[#This Row],[Description]],75)</f>
        <v>Deposit ACH EMPYREAN SOLUTIO TYPE: 193XXXXXXX ID: 5330903620 CO: EMPYREAN S</v>
      </c>
    </row>
    <row r="7642" spans="1:15" hidden="1">
      <c r="A7642" s="25">
        <f>VALUE(YEAR(Table2[[#This Row],[Date]])&amp;TEXT(MONTH(Table2[[#This Row],[Date]]),"00"))</f>
        <v>202208</v>
      </c>
      <c r="B7642" s="6">
        <v>44787</v>
      </c>
      <c r="C7642" t="s">
        <v>2265</v>
      </c>
      <c r="D7642" t="s">
        <v>2777</v>
      </c>
      <c r="E7642">
        <f t="shared" ref="E7642:E7673" si="39">IF(M7642="credit",-1*J7642,J7642)</f>
        <v>-3265.43</v>
      </c>
      <c r="F7642" s="2" t="str">
        <f>IF(Table2[[#This Row],[Manual Cat Value]]="",VLOOKUP(Table2[[#This Row],[Description]],'Actuals Lookup'!D:F,3,0),Table2[[#This Row],[Manual Cat Value]])</f>
        <v>Inc - Jeff</v>
      </c>
      <c r="G7642" t="e">
        <f>VLOOKUP(D7642,Lookup!G:H,2,0)</f>
        <v>#N/A</v>
      </c>
      <c r="H7642" s="8" t="s">
        <v>63</v>
      </c>
      <c r="I7642" s="8"/>
      <c r="J7642">
        <v>3265.43</v>
      </c>
      <c r="M7642" t="s">
        <v>2621</v>
      </c>
      <c r="O7642" t="str">
        <f>LEFT(Table2[[#This Row],[Description]],75)</f>
        <v>Deposit ACH TRINET TYPE: PAYROLL ID: 194XXXXXXX CO: TRINET Entry Class Code</v>
      </c>
    </row>
    <row r="7643" spans="1:15" hidden="1">
      <c r="A7643" s="25">
        <f>VALUE(YEAR(Table2[[#This Row],[Date]])&amp;TEXT(MONTH(Table2[[#This Row],[Date]]),"00"))</f>
        <v>202208</v>
      </c>
      <c r="B7643" s="6">
        <v>44787</v>
      </c>
      <c r="C7643" t="s">
        <v>2262</v>
      </c>
      <c r="D7643" t="s">
        <v>2778</v>
      </c>
      <c r="E7643">
        <f t="shared" si="39"/>
        <v>68.05</v>
      </c>
      <c r="F7643" s="2" t="str">
        <f>IF(Table2[[#This Row],[Manual Cat Value]]="",VLOOKUP(Table2[[#This Row],[Description]],'Actuals Lookup'!D:F,3,0),Table2[[#This Row],[Manual Cat Value]])</f>
        <v>Exp - Transportation</v>
      </c>
      <c r="G7643" t="e">
        <f>VLOOKUP(D7643,Lookup!G:H,2,0)</f>
        <v>#N/A</v>
      </c>
      <c r="H7643" s="8" t="s">
        <v>22</v>
      </c>
      <c r="I7643" s="8"/>
      <c r="J7643">
        <v>68.05</v>
      </c>
      <c r="M7643" t="s">
        <v>2513</v>
      </c>
      <c r="O7643" t="str">
        <f>LEFT(Table2[[#This Row],[Description]],75)</f>
        <v>HOLIDAY STATIONS 0083 SHAKOPEE MN REF #2494166KGRQEB91AS</v>
      </c>
    </row>
    <row r="7644" spans="1:15" hidden="1">
      <c r="A7644" s="25">
        <f>VALUE(YEAR(Table2[[#This Row],[Date]])&amp;TEXT(MONTH(Table2[[#This Row],[Date]]),"00"))</f>
        <v>202208</v>
      </c>
      <c r="B7644" s="6">
        <v>44787</v>
      </c>
      <c r="C7644" t="s">
        <v>2262</v>
      </c>
      <c r="D7644" t="s">
        <v>2779</v>
      </c>
      <c r="E7644">
        <f t="shared" si="39"/>
        <v>5.05</v>
      </c>
      <c r="F7644" s="2" t="str">
        <f>IF(Table2[[#This Row],[Manual Cat Value]]="",VLOOKUP(Table2[[#This Row],[Description]],'Actuals Lookup'!D:F,3,0),Table2[[#This Row],[Manual Cat Value]])</f>
        <v>Exp - Transportation</v>
      </c>
      <c r="G7644" t="e">
        <f>VLOOKUP(D7644,Lookup!G:H,2,0)</f>
        <v>#N/A</v>
      </c>
      <c r="H7644" s="8" t="s">
        <v>22</v>
      </c>
      <c r="I7644" s="8"/>
      <c r="J7644">
        <v>5.05</v>
      </c>
      <c r="M7644" t="s">
        <v>2513</v>
      </c>
      <c r="O7644" t="str">
        <f>LEFT(Table2[[#This Row],[Description]],75)</f>
        <v>HOLIDAY STATIONS 0083 SHAKOPEE MN REF #2494166KGRQEB91Q4</v>
      </c>
    </row>
    <row r="7645" spans="1:15" hidden="1">
      <c r="A7645" s="25">
        <f>VALUE(YEAR(Table2[[#This Row],[Date]])&amp;TEXT(MONTH(Table2[[#This Row],[Date]]),"00"))</f>
        <v>202208</v>
      </c>
      <c r="B7645" s="6">
        <v>44787</v>
      </c>
      <c r="C7645" t="s">
        <v>2262</v>
      </c>
      <c r="D7645" t="s">
        <v>2780</v>
      </c>
      <c r="E7645">
        <f t="shared" si="39"/>
        <v>68.37</v>
      </c>
      <c r="F7645" s="2" t="str">
        <f>IF(Table2[[#This Row],[Manual Cat Value]]="",VLOOKUP(Table2[[#This Row],[Description]],'Actuals Lookup'!D:F,3,0),Table2[[#This Row],[Manual Cat Value]])</f>
        <v>Exp - Groceries</v>
      </c>
      <c r="G7645" t="e">
        <f>VLOOKUP(D7645,Lookup!G:H,2,0)</f>
        <v>#N/A</v>
      </c>
      <c r="H7645" s="8" t="s">
        <v>27</v>
      </c>
      <c r="I7645" s="8"/>
      <c r="J7645">
        <v>68.37</v>
      </c>
      <c r="M7645" t="s">
        <v>2513</v>
      </c>
      <c r="O7645" t="str">
        <f>LEFT(Table2[[#This Row],[Description]],75)</f>
        <v>HY-VEE PR VILLAGE 1532 PRAIRIE VLG KS REF #2413746KJ00XA111M</v>
      </c>
    </row>
    <row r="7646" spans="1:15" hidden="1">
      <c r="A7646" s="25">
        <f>VALUE(YEAR(Table2[[#This Row],[Date]])&amp;TEXT(MONTH(Table2[[#This Row],[Date]]),"00"))</f>
        <v>202208</v>
      </c>
      <c r="B7646" s="6">
        <v>44787</v>
      </c>
      <c r="C7646" t="s">
        <v>2262</v>
      </c>
      <c r="D7646" t="s">
        <v>2781</v>
      </c>
      <c r="E7646">
        <f t="shared" si="39"/>
        <v>32</v>
      </c>
      <c r="F7646" s="2" t="str">
        <f>IF(Table2[[#This Row],[Manual Cat Value]]="",VLOOKUP(Table2[[#This Row],[Description]],'Actuals Lookup'!D:F,3,0),Table2[[#This Row],[Manual Cat Value]])</f>
        <v>Exp - Travel</v>
      </c>
      <c r="G7646" t="e">
        <f>VLOOKUP(D7646,Lookup!G:H,2,0)</f>
        <v>#N/A</v>
      </c>
      <c r="H7646" s="8" t="s">
        <v>52</v>
      </c>
      <c r="I7646" s="8"/>
      <c r="J7646">
        <v>32</v>
      </c>
      <c r="M7646" t="s">
        <v>2513</v>
      </c>
      <c r="O7646" t="str">
        <f>LEFT(Table2[[#This Row],[Description]],75)</f>
        <v>IRISH KEVINS 305-2921262 FL REF #2454045KH0WRWTL9V</v>
      </c>
    </row>
    <row r="7647" spans="1:15" hidden="1">
      <c r="A7647" s="25">
        <f>VALUE(YEAR(Table2[[#This Row],[Date]])&amp;TEXT(MONTH(Table2[[#This Row],[Date]]),"00"))</f>
        <v>202208</v>
      </c>
      <c r="B7647" s="6">
        <v>44787</v>
      </c>
      <c r="C7647" t="s">
        <v>2262</v>
      </c>
      <c r="D7647" t="s">
        <v>2782</v>
      </c>
      <c r="E7647">
        <f t="shared" si="39"/>
        <v>39.950000000000003</v>
      </c>
      <c r="F7647" s="2" t="str">
        <f>IF(Table2[[#This Row],[Manual Cat Value]]="",VLOOKUP(Table2[[#This Row],[Description]],'Actuals Lookup'!D:F,3,0),Table2[[#This Row],[Manual Cat Value]])</f>
        <v>Exp - Transportation</v>
      </c>
      <c r="G7647" t="e">
        <f>VLOOKUP(D7647,Lookup!G:H,2,0)</f>
        <v>#N/A</v>
      </c>
      <c r="H7647" s="8" t="s">
        <v>22</v>
      </c>
      <c r="I7647" s="8"/>
      <c r="J7647">
        <v>39.950000000000003</v>
      </c>
      <c r="M7647" t="s">
        <v>2513</v>
      </c>
      <c r="O7647" t="str">
        <f>LEFT(Table2[[#This Row],[Description]],75)</f>
        <v>LYFT *1 RIDE 08-11 LYFT.COM CA REF #2401134KG0010WJNP</v>
      </c>
    </row>
    <row r="7648" spans="1:15" hidden="1">
      <c r="A7648" s="25">
        <f>VALUE(YEAR(Table2[[#This Row],[Date]])&amp;TEXT(MONTH(Table2[[#This Row],[Date]]),"00"))</f>
        <v>202208</v>
      </c>
      <c r="B7648" s="6">
        <v>44787</v>
      </c>
      <c r="C7648" t="s">
        <v>2262</v>
      </c>
      <c r="D7648" t="s">
        <v>2783</v>
      </c>
      <c r="E7648">
        <f t="shared" si="39"/>
        <v>5.21</v>
      </c>
      <c r="F7648" s="2" t="str">
        <f>IF(Table2[[#This Row],[Manual Cat Value]]="",VLOOKUP(Table2[[#This Row],[Description]],'Actuals Lookup'!D:F,3,0),Table2[[#This Row],[Manual Cat Value]])</f>
        <v>Exp - Restaurants</v>
      </c>
      <c r="G7648" t="e">
        <f>VLOOKUP(D7648,Lookup!G:H,2,0)</f>
        <v>#N/A</v>
      </c>
      <c r="H7648" s="8" t="s">
        <v>25</v>
      </c>
      <c r="I7648" s="8"/>
      <c r="J7648">
        <v>5.21</v>
      </c>
      <c r="M7648" t="s">
        <v>2513</v>
      </c>
      <c r="O7648" t="str">
        <f>LEFT(Table2[[#This Row],[Description]],75)</f>
        <v>MINNEAPOLIS AIRPORT SAINT PAUL MN REF #2443106KGRL619422</v>
      </c>
    </row>
    <row r="7649" spans="1:15" hidden="1">
      <c r="A7649" s="25">
        <f>VALUE(YEAR(Table2[[#This Row],[Date]])&amp;TEXT(MONTH(Table2[[#This Row],[Date]]),"00"))</f>
        <v>202208</v>
      </c>
      <c r="B7649" s="6">
        <v>44787</v>
      </c>
      <c r="C7649" t="s">
        <v>2262</v>
      </c>
      <c r="D7649" t="s">
        <v>2784</v>
      </c>
      <c r="E7649">
        <f t="shared" si="39"/>
        <v>164.41</v>
      </c>
      <c r="F7649" s="2" t="str">
        <f>IF(Table2[[#This Row],[Manual Cat Value]]="",VLOOKUP(Table2[[#This Row],[Description]],'Actuals Lookup'!D:F,3,0),Table2[[#This Row],[Manual Cat Value]])</f>
        <v>Exp - House Maint</v>
      </c>
      <c r="G7649" t="e">
        <f>VLOOKUP(D7649,Lookup!G:H,2,0)</f>
        <v>#N/A</v>
      </c>
      <c r="H7649" s="8" t="s">
        <v>1</v>
      </c>
      <c r="I7649" s="8"/>
      <c r="J7649">
        <v>164.41</v>
      </c>
      <c r="M7649" t="s">
        <v>2513</v>
      </c>
      <c r="O7649" t="str">
        <f>LEFT(Table2[[#This Row],[Description]],75)</f>
        <v>PLUNKETTS PEST CONTROL MINNEAPOLIS MN REF #2401339KG016XZAYB</v>
      </c>
    </row>
    <row r="7650" spans="1:15" hidden="1">
      <c r="A7650" s="25">
        <f>VALUE(YEAR(Table2[[#This Row],[Date]])&amp;TEXT(MONTH(Table2[[#This Row],[Date]]),"00"))</f>
        <v>202208</v>
      </c>
      <c r="B7650" s="6">
        <v>44787</v>
      </c>
      <c r="C7650" t="s">
        <v>2262</v>
      </c>
      <c r="D7650" t="s">
        <v>2785</v>
      </c>
      <c r="E7650">
        <f t="shared" si="39"/>
        <v>32.36</v>
      </c>
      <c r="F7650" s="2" t="e">
        <f>IF(Table2[[#This Row],[Manual Cat Value]]="",VLOOKUP(Table2[[#This Row],[Description]],'Actuals Lookup'!D:F,3,0),Table2[[#This Row],[Manual Cat Value]])</f>
        <v>#N/A</v>
      </c>
      <c r="G7650" t="e">
        <f>VLOOKUP(D7650,Lookup!G:H,2,0)</f>
        <v>#N/A</v>
      </c>
      <c r="I7650" s="8"/>
      <c r="J7650">
        <v>32.36</v>
      </c>
      <c r="M7650" t="s">
        <v>2513</v>
      </c>
      <c r="O7650" t="str">
        <f>LEFT(Table2[[#This Row],[Description]],75)</f>
        <v>RICKS &amp; DURTY HARRYS KEY WEST FL REF #2432300KGBM3SNXH4</v>
      </c>
    </row>
    <row r="7651" spans="1:15" hidden="1">
      <c r="A7651" s="25">
        <f>VALUE(YEAR(Table2[[#This Row],[Date]])&amp;TEXT(MONTH(Table2[[#This Row],[Date]]),"00"))</f>
        <v>202208</v>
      </c>
      <c r="B7651" s="6">
        <v>44787</v>
      </c>
      <c r="C7651" t="s">
        <v>2262</v>
      </c>
      <c r="D7651" t="s">
        <v>2786</v>
      </c>
      <c r="E7651">
        <f t="shared" si="39"/>
        <v>8.2100000000000009</v>
      </c>
      <c r="F7651" s="2" t="str">
        <f>IF(Table2[[#This Row],[Manual Cat Value]]="",VLOOKUP(Table2[[#This Row],[Description]],'Actuals Lookup'!D:F,3,0),Table2[[#This Row],[Manual Cat Value]])</f>
        <v>Exp - Travel</v>
      </c>
      <c r="G7651" t="e">
        <f>VLOOKUP(D7651,Lookup!G:H,2,0)</f>
        <v>#N/A</v>
      </c>
      <c r="H7651" s="8" t="s">
        <v>52</v>
      </c>
      <c r="I7651" s="8"/>
      <c r="J7651">
        <v>8.2100000000000009</v>
      </c>
      <c r="M7651" t="s">
        <v>2513</v>
      </c>
      <c r="O7651" t="str">
        <f>LEFT(Table2[[#This Row],[Description]],75)</f>
        <v>RICKS &amp; DURTY HARRYS KEY WEST FL REF #2432300KGBM3STYV8</v>
      </c>
    </row>
    <row r="7652" spans="1:15" hidden="1">
      <c r="A7652" s="25">
        <f>VALUE(YEAR(Table2[[#This Row],[Date]])&amp;TEXT(MONTH(Table2[[#This Row],[Date]]),"00"))</f>
        <v>202208</v>
      </c>
      <c r="B7652" s="6">
        <v>44787</v>
      </c>
      <c r="C7652" t="s">
        <v>2262</v>
      </c>
      <c r="D7652" t="s">
        <v>2787</v>
      </c>
      <c r="E7652">
        <f t="shared" si="39"/>
        <v>29</v>
      </c>
      <c r="F7652" s="2" t="str">
        <f>IF(Table2[[#This Row],[Manual Cat Value]]="",VLOOKUP(Table2[[#This Row],[Description]],'Actuals Lookup'!D:F,3,0),Table2[[#This Row],[Manual Cat Value]])</f>
        <v>Exp - Travel</v>
      </c>
      <c r="G7652" t="e">
        <f>VLOOKUP(D7652,Lookup!G:H,2,0)</f>
        <v>#N/A</v>
      </c>
      <c r="H7652" s="8" t="s">
        <v>52</v>
      </c>
      <c r="I7652" s="8"/>
      <c r="J7652">
        <v>29</v>
      </c>
      <c r="M7652" t="s">
        <v>2513</v>
      </c>
      <c r="O7652" t="str">
        <f>LEFT(Table2[[#This Row],[Description]],75)</f>
        <v>SQ *FURY WATER ADVE KEY WEST FL REF #2449215KGMJTY0BGQ</v>
      </c>
    </row>
    <row r="7653" spans="1:15" hidden="1">
      <c r="A7653" s="25">
        <f>VALUE(YEAR(Table2[[#This Row],[Date]])&amp;TEXT(MONTH(Table2[[#This Row],[Date]]),"00"))</f>
        <v>202208</v>
      </c>
      <c r="B7653" s="6">
        <v>44787</v>
      </c>
      <c r="C7653" t="s">
        <v>2262</v>
      </c>
      <c r="D7653" t="s">
        <v>2788</v>
      </c>
      <c r="E7653">
        <f t="shared" si="39"/>
        <v>37.61</v>
      </c>
      <c r="F7653" s="2" t="str">
        <f>IF(Table2[[#This Row],[Manual Cat Value]]="",VLOOKUP(Table2[[#This Row],[Description]],'Actuals Lookup'!D:F,3,0),Table2[[#This Row],[Manual Cat Value]])</f>
        <v>Exp - Travel</v>
      </c>
      <c r="G7653" t="e">
        <f>VLOOKUP(D7653,Lookup!G:H,2,0)</f>
        <v>#N/A</v>
      </c>
      <c r="H7653" s="8" t="s">
        <v>52</v>
      </c>
      <c r="I7653" s="8"/>
      <c r="J7653">
        <v>37.61</v>
      </c>
      <c r="M7653" t="s">
        <v>2513</v>
      </c>
      <c r="O7653" t="str">
        <f>LEFT(Table2[[#This Row],[Description]],75)</f>
        <v>SQ *HAPPY ROOSTER Key West FL REF #2469216KG2XDA9ASE</v>
      </c>
    </row>
    <row r="7654" spans="1:15" hidden="1">
      <c r="A7654" s="25">
        <f>VALUE(YEAR(Table2[[#This Row],[Date]])&amp;TEXT(MONTH(Table2[[#This Row],[Date]]),"00"))</f>
        <v>202208</v>
      </c>
      <c r="B7654" s="6">
        <v>44787</v>
      </c>
      <c r="C7654" t="s">
        <v>2262</v>
      </c>
      <c r="D7654" t="s">
        <v>2789</v>
      </c>
      <c r="E7654">
        <f t="shared" si="39"/>
        <v>-515.20000000000005</v>
      </c>
      <c r="F7654" s="2" t="str">
        <f>IF(Table2[[#This Row],[Manual Cat Value]]="",VLOOKUP(Table2[[#This Row],[Description]],'Actuals Lookup'!D:F,3,0),Table2[[#This Row],[Manual Cat Value]])</f>
        <v>Delete</v>
      </c>
      <c r="G7654" t="e">
        <f>VLOOKUP(D7654,Lookup!G:H,2,0)</f>
        <v>#N/A</v>
      </c>
      <c r="H7654" s="8" t="s">
        <v>9</v>
      </c>
      <c r="I7654" s="8"/>
      <c r="J7654">
        <v>515.20000000000005</v>
      </c>
      <c r="M7654" t="s">
        <v>2621</v>
      </c>
      <c r="O7654" t="str">
        <f>LEFT(Table2[[#This Row],[Description]],75)</f>
        <v>THE MARKER KEY WEST KEY WEST FL CREDIT REF #7405522KH11GW8XYX</v>
      </c>
    </row>
    <row r="7655" spans="1:15" hidden="1">
      <c r="A7655" s="25">
        <f>VALUE(YEAR(Table2[[#This Row],[Date]])&amp;TEXT(MONTH(Table2[[#This Row],[Date]]),"00"))</f>
        <v>202208</v>
      </c>
      <c r="B7655" s="6">
        <v>44787</v>
      </c>
      <c r="C7655" t="s">
        <v>2262</v>
      </c>
      <c r="D7655" t="s">
        <v>2790</v>
      </c>
      <c r="E7655">
        <f t="shared" si="39"/>
        <v>-515.20000000000005</v>
      </c>
      <c r="F7655" s="2" t="str">
        <f>IF(Table2[[#This Row],[Manual Cat Value]]="",VLOOKUP(Table2[[#This Row],[Description]],'Actuals Lookup'!D:F,3,0),Table2[[#This Row],[Manual Cat Value]])</f>
        <v>Delete</v>
      </c>
      <c r="G7655" t="e">
        <f>VLOOKUP(D7655,Lookup!G:H,2,0)</f>
        <v>#N/A</v>
      </c>
      <c r="H7655" s="8" t="s">
        <v>9</v>
      </c>
      <c r="I7655" s="8"/>
      <c r="J7655">
        <v>515.20000000000005</v>
      </c>
      <c r="M7655" t="s">
        <v>2621</v>
      </c>
      <c r="O7655" t="str">
        <f>LEFT(Table2[[#This Row],[Description]],75)</f>
        <v>THE MARKER KEY WEST KEY WEST FL CREDIT REF #7405522KH11GW8Y2S</v>
      </c>
    </row>
    <row r="7656" spans="1:15" hidden="1">
      <c r="A7656" s="25">
        <f>VALUE(YEAR(Table2[[#This Row],[Date]])&amp;TEXT(MONTH(Table2[[#This Row],[Date]]),"00"))</f>
        <v>202208</v>
      </c>
      <c r="B7656" s="6">
        <v>44787</v>
      </c>
      <c r="C7656" t="s">
        <v>2262</v>
      </c>
      <c r="D7656" t="s">
        <v>2791</v>
      </c>
      <c r="E7656">
        <f t="shared" si="39"/>
        <v>8.48</v>
      </c>
      <c r="F7656" s="2" t="str">
        <f>IF(Table2[[#This Row],[Manual Cat Value]]="",VLOOKUP(Table2[[#This Row],[Description]],'Actuals Lookup'!D:F,3,0),Table2[[#This Row],[Manual Cat Value]])</f>
        <v>Exp - Restaurants</v>
      </c>
      <c r="G7656" t="e">
        <f>VLOOKUP(D7656,Lookup!G:H,2,0)</f>
        <v>#N/A</v>
      </c>
      <c r="H7656" s="8" t="s">
        <v>25</v>
      </c>
      <c r="I7656" s="8"/>
      <c r="J7656">
        <v>8.48</v>
      </c>
      <c r="M7656" t="s">
        <v>2513</v>
      </c>
      <c r="O7656" t="str">
        <f>LEFT(Table2[[#This Row],[Description]],75)</f>
        <v>TST* The Breakfast Club, Key West FL REF #2469216KH2X9263LE</v>
      </c>
    </row>
    <row r="7657" spans="1:15" hidden="1">
      <c r="A7657" s="25">
        <f>VALUE(YEAR(Table2[[#This Row],[Date]])&amp;TEXT(MONTH(Table2[[#This Row],[Date]]),"00"))</f>
        <v>202208</v>
      </c>
      <c r="B7657" s="6">
        <v>44787</v>
      </c>
      <c r="C7657" t="s">
        <v>2262</v>
      </c>
      <c r="D7657" t="s">
        <v>2792</v>
      </c>
      <c r="E7657">
        <f t="shared" si="39"/>
        <v>171.58</v>
      </c>
      <c r="F7657" s="2" t="str">
        <f>IF(Table2[[#This Row],[Manual Cat Value]]="",VLOOKUP(Table2[[#This Row],[Description]],'Actuals Lookup'!D:F,3,0),Table2[[#This Row],[Manual Cat Value]])</f>
        <v>Exp - Travel</v>
      </c>
      <c r="G7657" t="e">
        <f>VLOOKUP(D7657,Lookup!G:H,2,0)</f>
        <v>#N/A</v>
      </c>
      <c r="H7657" s="8" t="s">
        <v>52</v>
      </c>
      <c r="I7657" s="8"/>
      <c r="J7657">
        <v>171.58</v>
      </c>
      <c r="M7657" t="s">
        <v>2513</v>
      </c>
      <c r="O7657" t="str">
        <f>LEFT(Table2[[#This Row],[Description]],75)</f>
        <v>TST* THE SEASIDE CAFE KEY WEST FL REF #2413746KHEJMMRKVX</v>
      </c>
    </row>
    <row r="7658" spans="1:15" hidden="1">
      <c r="A7658" s="25">
        <f>VALUE(YEAR(Table2[[#This Row],[Date]])&amp;TEXT(MONTH(Table2[[#This Row],[Date]]),"00"))</f>
        <v>202208</v>
      </c>
      <c r="B7658" s="6">
        <v>44787</v>
      </c>
      <c r="C7658" t="s">
        <v>2262</v>
      </c>
      <c r="D7658" t="s">
        <v>2793</v>
      </c>
      <c r="E7658">
        <f t="shared" si="39"/>
        <v>15.4</v>
      </c>
      <c r="F7658" s="2" t="str">
        <f>IF(Table2[[#This Row],[Manual Cat Value]]="",VLOOKUP(Table2[[#This Row],[Description]],'Actuals Lookup'!D:F,3,0),Table2[[#This Row],[Manual Cat Value]])</f>
        <v>Exp - Transportation</v>
      </c>
      <c r="G7658" t="e">
        <f>VLOOKUP(D7658,Lookup!G:H,2,0)</f>
        <v>#N/A</v>
      </c>
      <c r="H7658" s="8" t="s">
        <v>22</v>
      </c>
      <c r="I7658" s="8"/>
      <c r="J7658">
        <v>15.4</v>
      </c>
      <c r="M7658" t="s">
        <v>2513</v>
      </c>
      <c r="O7658" t="str">
        <f>LEFT(Table2[[#This Row],[Description]],75)</f>
        <v>UBER TRIP HELP.UBER.COMCA REF #2449215KJMNQE6QV8</v>
      </c>
    </row>
    <row r="7659" spans="1:15" hidden="1">
      <c r="A7659" s="25">
        <f>VALUE(YEAR(Table2[[#This Row],[Date]])&amp;TEXT(MONTH(Table2[[#This Row],[Date]]),"00"))</f>
        <v>202208</v>
      </c>
      <c r="B7659" s="6">
        <v>44788</v>
      </c>
      <c r="C7659" t="s">
        <v>2262</v>
      </c>
      <c r="D7659" t="s">
        <v>2794</v>
      </c>
      <c r="E7659">
        <f t="shared" si="39"/>
        <v>74.11</v>
      </c>
      <c r="F7659" s="2" t="str">
        <f>IF(Table2[[#This Row],[Manual Cat Value]]="",VLOOKUP(Table2[[#This Row],[Description]],'Actuals Lookup'!D:F,3,0),Table2[[#This Row],[Manual Cat Value]])</f>
        <v>Exp - Travel</v>
      </c>
      <c r="G7659" t="e">
        <f>VLOOKUP(D7659,Lookup!G:H,2,0)</f>
        <v>#N/A</v>
      </c>
      <c r="H7659" s="8" t="s">
        <v>52</v>
      </c>
      <c r="I7659" s="8"/>
      <c r="J7659">
        <v>74.11</v>
      </c>
      <c r="M7659" t="s">
        <v>2513</v>
      </c>
      <c r="O7659" t="str">
        <f>LEFT(Table2[[#This Row],[Description]],75)</f>
        <v>DANTE'SPRIME KW KEY WEST FL REF #2437735KK0000LR9N</v>
      </c>
    </row>
    <row r="7660" spans="1:15" hidden="1">
      <c r="A7660" s="25">
        <f>VALUE(YEAR(Table2[[#This Row],[Date]])&amp;TEXT(MONTH(Table2[[#This Row],[Date]]),"00"))</f>
        <v>202208</v>
      </c>
      <c r="B7660" s="6">
        <v>44788</v>
      </c>
      <c r="C7660" t="s">
        <v>2262</v>
      </c>
      <c r="D7660" t="s">
        <v>2795</v>
      </c>
      <c r="E7660">
        <f t="shared" si="39"/>
        <v>64.489999999999995</v>
      </c>
      <c r="F7660" s="2" t="str">
        <f>IF(Table2[[#This Row],[Manual Cat Value]]="",VLOOKUP(Table2[[#This Row],[Description]],'Actuals Lookup'!D:F,3,0),Table2[[#This Row],[Manual Cat Value]])</f>
        <v>Exp - Travel</v>
      </c>
      <c r="G7660" t="e">
        <f>VLOOKUP(D7660,Lookup!G:H,2,0)</f>
        <v>#N/A</v>
      </c>
      <c r="H7660" s="8" t="s">
        <v>52</v>
      </c>
      <c r="I7660" s="8"/>
      <c r="J7660">
        <v>64.489999999999995</v>
      </c>
      <c r="M7660" t="s">
        <v>2513</v>
      </c>
      <c r="O7660" t="str">
        <f>LEFT(Table2[[#This Row],[Description]],75)</f>
        <v>LS TROPICALLY HIP 305-2952522 FL REF #2449216KJ000KM15G</v>
      </c>
    </row>
    <row r="7661" spans="1:15" hidden="1">
      <c r="A7661" s="25">
        <f>VALUE(YEAR(Table2[[#This Row],[Date]])&amp;TEXT(MONTH(Table2[[#This Row],[Date]]),"00"))</f>
        <v>202208</v>
      </c>
      <c r="B7661" s="6">
        <v>44788</v>
      </c>
      <c r="C7661" t="s">
        <v>2262</v>
      </c>
      <c r="D7661" t="s">
        <v>2796</v>
      </c>
      <c r="E7661">
        <f t="shared" si="39"/>
        <v>20.64</v>
      </c>
      <c r="F7661" s="2" t="str">
        <f>IF(Table2[[#This Row],[Manual Cat Value]]="",VLOOKUP(Table2[[#This Row],[Description]],'Actuals Lookup'!D:F,3,0),Table2[[#This Row],[Manual Cat Value]])</f>
        <v>Exp - Travel</v>
      </c>
      <c r="G7661" t="e">
        <f>VLOOKUP(D7661,Lookup!G:H,2,0)</f>
        <v>#N/A</v>
      </c>
      <c r="H7661" s="8" t="s">
        <v>52</v>
      </c>
      <c r="I7661" s="8"/>
      <c r="J7661">
        <v>20.64</v>
      </c>
      <c r="M7661" t="s">
        <v>2513</v>
      </c>
      <c r="O7661" t="str">
        <f>LEFT(Table2[[#This Row],[Description]],75)</f>
        <v>SQ *FIGJAM COFFEE KEY WEST FL REF #2449215KJMJW520D8</v>
      </c>
    </row>
    <row r="7662" spans="1:15" hidden="1">
      <c r="A7662" s="25">
        <f>VALUE(YEAR(Table2[[#This Row],[Date]])&amp;TEXT(MONTH(Table2[[#This Row],[Date]]),"00"))</f>
        <v>202208</v>
      </c>
      <c r="B7662" s="6">
        <v>44788</v>
      </c>
      <c r="C7662" t="s">
        <v>2262</v>
      </c>
      <c r="D7662" t="s">
        <v>2797</v>
      </c>
      <c r="E7662">
        <f t="shared" si="39"/>
        <v>11.74</v>
      </c>
      <c r="F7662" s="2" t="str">
        <f>IF(Table2[[#This Row],[Manual Cat Value]]="",VLOOKUP(Table2[[#This Row],[Description]],'Actuals Lookup'!D:F,3,0),Table2[[#This Row],[Manual Cat Value]])</f>
        <v>Exp - Restaurants</v>
      </c>
      <c r="G7662" t="e">
        <f>VLOOKUP(D7662,Lookup!G:H,2,0)</f>
        <v>#N/A</v>
      </c>
      <c r="H7662" s="8" t="s">
        <v>25</v>
      </c>
      <c r="I7662" s="8"/>
      <c r="J7662">
        <v>11.74</v>
      </c>
      <c r="M7662" t="s">
        <v>2513</v>
      </c>
      <c r="O7662" t="str">
        <f>LEFT(Table2[[#This Row],[Description]],75)</f>
        <v>SQ *SMOOTHIE BAY Key West FL REF #2469216KJ2XZ0HAPD</v>
      </c>
    </row>
    <row r="7663" spans="1:15" hidden="1">
      <c r="A7663" s="25">
        <f>VALUE(YEAR(Table2[[#This Row],[Date]])&amp;TEXT(MONTH(Table2[[#This Row],[Date]]),"00"))</f>
        <v>202208</v>
      </c>
      <c r="B7663" s="6">
        <v>44788</v>
      </c>
      <c r="C7663" t="s">
        <v>2262</v>
      </c>
      <c r="D7663" t="s">
        <v>2798</v>
      </c>
      <c r="E7663">
        <f t="shared" si="39"/>
        <v>29.72</v>
      </c>
      <c r="F7663" s="2" t="str">
        <f>IF(Table2[[#This Row],[Manual Cat Value]]="",VLOOKUP(Table2[[#This Row],[Description]],'Actuals Lookup'!D:F,3,0),Table2[[#This Row],[Manual Cat Value]])</f>
        <v>Exp - Restaurants</v>
      </c>
      <c r="G7663" t="e">
        <f>VLOOKUP(D7663,Lookup!G:H,2,0)</f>
        <v>#N/A</v>
      </c>
      <c r="H7663" s="8" t="s">
        <v>25</v>
      </c>
      <c r="I7663" s="8"/>
      <c r="J7663">
        <v>29.72</v>
      </c>
      <c r="M7663" t="s">
        <v>2513</v>
      </c>
      <c r="O7663" t="str">
        <f>LEFT(Table2[[#This Row],[Description]],75)</f>
        <v>UBER EATS HELP.UBER.COMCA REF #2449215KKMNGT50MD</v>
      </c>
    </row>
    <row r="7664" spans="1:15" hidden="1">
      <c r="A7664" s="25">
        <f>VALUE(YEAR(Table2[[#This Row],[Date]])&amp;TEXT(MONTH(Table2[[#This Row],[Date]]),"00"))</f>
        <v>202208</v>
      </c>
      <c r="B7664" s="6">
        <v>44788</v>
      </c>
      <c r="C7664" t="s">
        <v>2265</v>
      </c>
      <c r="D7664" t="s">
        <v>2799</v>
      </c>
      <c r="E7664">
        <f t="shared" si="39"/>
        <v>30.45</v>
      </c>
      <c r="F7664" s="2" t="str">
        <f>IF(Table2[[#This Row],[Manual Cat Value]]="",VLOOKUP(Table2[[#This Row],[Description]],'Actuals Lookup'!D:F,3,0),Table2[[#This Row],[Manual Cat Value]])</f>
        <v>Exp - Shopping</v>
      </c>
      <c r="G7664" t="e">
        <f>VLOOKUP(D7664,Lookup!G:H,2,0)</f>
        <v>#N/A</v>
      </c>
      <c r="H7664" s="8" t="s">
        <v>36</v>
      </c>
      <c r="I7664" s="8" t="s">
        <v>2800</v>
      </c>
      <c r="J7664">
        <v>30.45</v>
      </c>
      <c r="M7664" t="s">
        <v>2513</v>
      </c>
      <c r="O7664" t="str">
        <f>LEFT(Table2[[#This Row],[Description]],75)</f>
        <v xml:space="preserve">Withdrawal ACH PAYPAL TYPE: INST XFER ID: PAYPALSI77 CO: PAYPAL NAME: JEFF </v>
      </c>
    </row>
    <row r="7665" spans="1:15" hidden="1">
      <c r="A7665" s="25">
        <f>VALUE(YEAR(Table2[[#This Row],[Date]])&amp;TEXT(MONTH(Table2[[#This Row],[Date]]),"00"))</f>
        <v>202208</v>
      </c>
      <c r="B7665" s="6">
        <v>44788</v>
      </c>
      <c r="C7665" t="s">
        <v>2265</v>
      </c>
      <c r="D7665" t="s">
        <v>2801</v>
      </c>
      <c r="E7665">
        <f t="shared" si="39"/>
        <v>102.48</v>
      </c>
      <c r="F7665" s="2" t="str">
        <f>IF(Table2[[#This Row],[Manual Cat Value]]="",VLOOKUP(Table2[[#This Row],[Description]],'Actuals Lookup'!D:F,3,0),Table2[[#This Row],[Manual Cat Value]])</f>
        <v>Exp - Utilities</v>
      </c>
      <c r="G7665" t="e">
        <f>VLOOKUP(D7665,Lookup!G:H,2,0)</f>
        <v>#N/A</v>
      </c>
      <c r="H7665" s="8" t="s">
        <v>6</v>
      </c>
      <c r="I7665" s="8"/>
      <c r="J7665">
        <v>102.48</v>
      </c>
      <c r="M7665" t="s">
        <v>2513</v>
      </c>
      <c r="O7665" t="str">
        <f>LEFT(Table2[[#This Row],[Description]],75)</f>
        <v>Withdrawal ACH AMERICAN FAMILY TYPE: WEBPAYMENT ID: PEBP075965 CO: AMERICAN</v>
      </c>
    </row>
    <row r="7666" spans="1:15" hidden="1">
      <c r="A7666" s="25">
        <f>VALUE(YEAR(Table2[[#This Row],[Date]])&amp;TEXT(MONTH(Table2[[#This Row],[Date]]),"00"))</f>
        <v>202208</v>
      </c>
      <c r="B7666" s="6">
        <v>44789</v>
      </c>
      <c r="C7666" t="s">
        <v>2262</v>
      </c>
      <c r="D7666" t="s">
        <v>2802</v>
      </c>
      <c r="E7666">
        <f t="shared" si="39"/>
        <v>66.3</v>
      </c>
      <c r="F7666" s="2" t="str">
        <f>IF(Table2[[#This Row],[Manual Cat Value]]="",VLOOKUP(Table2[[#This Row],[Description]],'Actuals Lookup'!D:F,3,0),Table2[[#This Row],[Manual Cat Value]])</f>
        <v>Exp - Dry Cleaning</v>
      </c>
      <c r="G7666" t="e">
        <f>VLOOKUP(D7666,Lookup!G:H,2,0)</f>
        <v>#N/A</v>
      </c>
      <c r="H7666" s="8" t="s">
        <v>42</v>
      </c>
      <c r="I7666" s="8"/>
      <c r="J7666">
        <v>66.3</v>
      </c>
      <c r="M7666" t="s">
        <v>2513</v>
      </c>
      <c r="O7666" t="str">
        <f>LEFT(Table2[[#This Row],[Description]],75)</f>
        <v>All Seasons Garment Care Excelsior MN REF #2419304KL02J9GQN9</v>
      </c>
    </row>
    <row r="7667" spans="1:15" hidden="1">
      <c r="A7667" s="25">
        <f>VALUE(YEAR(Table2[[#This Row],[Date]])&amp;TEXT(MONTH(Table2[[#This Row],[Date]]),"00"))</f>
        <v>202208</v>
      </c>
      <c r="B7667" s="6">
        <v>44789</v>
      </c>
      <c r="C7667" t="s">
        <v>2447</v>
      </c>
      <c r="D7667" t="s">
        <v>2803</v>
      </c>
      <c r="E7667">
        <f t="shared" si="39"/>
        <v>62.66</v>
      </c>
      <c r="F7667" s="2" t="str">
        <f>IF(Table2[[#This Row],[Manual Cat Value]]="",VLOOKUP(Table2[[#This Row],[Description]],'Actuals Lookup'!D:F,3,0),Table2[[#This Row],[Manual Cat Value]])</f>
        <v>Exp - Groceries</v>
      </c>
      <c r="G7667" t="e">
        <f>VLOOKUP(D7667,Lookup!G:H,2,0)</f>
        <v>#N/A</v>
      </c>
      <c r="H7667" s="8" t="s">
        <v>27</v>
      </c>
      <c r="I7667" s="8"/>
      <c r="J7667">
        <v>62.66</v>
      </c>
      <c r="M7667" t="s">
        <v>2513</v>
      </c>
      <c r="O7667" t="str">
        <f>LEFT(Table2[[#This Row],[Description]],75)</f>
        <v>ARCO GREENWOOD MARKET GREENWOOD MN</v>
      </c>
    </row>
    <row r="7668" spans="1:15" hidden="1">
      <c r="A7668" s="25">
        <f>VALUE(YEAR(Table2[[#This Row],[Date]])&amp;TEXT(MONTH(Table2[[#This Row],[Date]]),"00"))</f>
        <v>202208</v>
      </c>
      <c r="B7668" s="6">
        <v>44789</v>
      </c>
      <c r="C7668" t="s">
        <v>2262</v>
      </c>
      <c r="D7668" t="s">
        <v>2804</v>
      </c>
      <c r="E7668">
        <f t="shared" si="39"/>
        <v>91.87</v>
      </c>
      <c r="F7668" s="2" t="str">
        <f>IF(Table2[[#This Row],[Manual Cat Value]]="",VLOOKUP(Table2[[#This Row],[Description]],'Actuals Lookup'!D:F,3,0),Table2[[#This Row],[Manual Cat Value]])</f>
        <v>Exp - Groceries</v>
      </c>
      <c r="G7668" t="e">
        <f>VLOOKUP(D7668,Lookup!G:H,2,0)</f>
        <v>#N/A</v>
      </c>
      <c r="H7668" s="8" t="s">
        <v>27</v>
      </c>
      <c r="I7668" s="8"/>
      <c r="J7668">
        <v>91.87</v>
      </c>
      <c r="M7668" t="s">
        <v>2513</v>
      </c>
      <c r="O7668" t="str">
        <f>LEFT(Table2[[#This Row],[Description]],75)</f>
        <v>CUB FOODS #1636 SHOREWOOD MN REF #2442733KKM83GYBSP</v>
      </c>
    </row>
    <row r="7669" spans="1:15" hidden="1">
      <c r="A7669" s="25">
        <f>VALUE(YEAR(Table2[[#This Row],[Date]])&amp;TEXT(MONTH(Table2[[#This Row],[Date]]),"00"))</f>
        <v>202208</v>
      </c>
      <c r="B7669" s="6">
        <v>44789</v>
      </c>
      <c r="C7669" t="s">
        <v>2262</v>
      </c>
      <c r="D7669" t="s">
        <v>2805</v>
      </c>
      <c r="E7669">
        <f t="shared" si="39"/>
        <v>56</v>
      </c>
      <c r="F7669" s="2" t="str">
        <f>IF(Table2[[#This Row],[Manual Cat Value]]="",VLOOKUP(Table2[[#This Row],[Description]],'Actuals Lookup'!D:F,3,0),Table2[[#This Row],[Manual Cat Value]])</f>
        <v>Exp - Transportation</v>
      </c>
      <c r="G7669" t="e">
        <f>VLOOKUP(D7669,Lookup!G:H,2,0)</f>
        <v>#N/A</v>
      </c>
      <c r="H7669" s="8" t="s">
        <v>22</v>
      </c>
      <c r="I7669" s="8"/>
      <c r="J7669">
        <v>56</v>
      </c>
      <c r="M7669" t="s">
        <v>2513</v>
      </c>
      <c r="O7669" t="str">
        <f>LEFT(Table2[[#This Row],[Description]],75)</f>
        <v>MSP AIRPORT PARKING SAINT PAUL MN REF #2403454KK01J535ZL</v>
      </c>
    </row>
    <row r="7670" spans="1:15" hidden="1">
      <c r="A7670" s="25">
        <f>VALUE(YEAR(Table2[[#This Row],[Date]])&amp;TEXT(MONTH(Table2[[#This Row],[Date]]),"00"))</f>
        <v>202208</v>
      </c>
      <c r="B7670" s="6">
        <v>44789</v>
      </c>
      <c r="C7670" t="s">
        <v>2262</v>
      </c>
      <c r="D7670" t="s">
        <v>2806</v>
      </c>
      <c r="E7670">
        <f t="shared" si="39"/>
        <v>1131.1500000000001</v>
      </c>
      <c r="F7670" s="2" t="str">
        <f>IF(Table2[[#This Row],[Manual Cat Value]]="",VLOOKUP(Table2[[#This Row],[Description]],'Actuals Lookup'!D:F,3,0),Table2[[#This Row],[Manual Cat Value]])</f>
        <v>Delete</v>
      </c>
      <c r="G7670" t="e">
        <f>VLOOKUP(D7670,Lookup!G:H,2,0)</f>
        <v>#N/A</v>
      </c>
      <c r="H7670" s="8" t="s">
        <v>9</v>
      </c>
      <c r="I7670" s="8"/>
      <c r="J7670">
        <v>1131.1500000000001</v>
      </c>
      <c r="M7670" t="s">
        <v>2513</v>
      </c>
      <c r="O7670" t="str">
        <f>LEFT(Table2[[#This Row],[Description]],75)</f>
        <v>THE MARKER KEY WEST KEY WEST FL REF #2405522KK11GWHL2T</v>
      </c>
    </row>
    <row r="7671" spans="1:15" hidden="1">
      <c r="A7671" s="25">
        <f>VALUE(YEAR(Table2[[#This Row],[Date]])&amp;TEXT(MONTH(Table2[[#This Row],[Date]]),"00"))</f>
        <v>202208</v>
      </c>
      <c r="B7671" s="6">
        <v>44789</v>
      </c>
      <c r="C7671" t="s">
        <v>2265</v>
      </c>
      <c r="D7671" t="s">
        <v>2807</v>
      </c>
      <c r="E7671">
        <f t="shared" si="39"/>
        <v>536.5</v>
      </c>
      <c r="F7671" s="2" t="str">
        <f>IF(Table2[[#This Row],[Manual Cat Value]]="",VLOOKUP(Table2[[#This Row],[Description]],'Actuals Lookup'!D:F,3,0),Table2[[#This Row],[Manual Cat Value]])</f>
        <v>Exp - Day Care</v>
      </c>
      <c r="G7671" t="e">
        <f>VLOOKUP(D7671,Lookup!G:H,2,0)</f>
        <v>#N/A</v>
      </c>
      <c r="H7671" s="8" t="s">
        <v>19</v>
      </c>
      <c r="I7671" s="8"/>
      <c r="J7671">
        <v>536.5</v>
      </c>
      <c r="M7671" t="s">
        <v>2513</v>
      </c>
      <c r="O7671" t="str">
        <f>LEFT(Table2[[#This Row],[Description]],75)</f>
        <v xml:space="preserve">Withdrawal ACH MHCHILDCARELLC TYPE: DUES ID: 1824708198 CO: MHCHILDCARELLC </v>
      </c>
    </row>
    <row r="7672" spans="1:15" ht="30" hidden="1">
      <c r="A7672" s="25">
        <f>VALUE(YEAR(Table2[[#This Row],[Date]])&amp;TEXT(MONTH(Table2[[#This Row],[Date]]),"00"))</f>
        <v>202208</v>
      </c>
      <c r="B7672" s="6">
        <v>44790</v>
      </c>
      <c r="C7672" t="s">
        <v>2447</v>
      </c>
      <c r="D7672" s="7" t="s">
        <v>2808</v>
      </c>
      <c r="E7672">
        <f t="shared" si="39"/>
        <v>13.95</v>
      </c>
      <c r="F7672" s="2" t="str">
        <f>IF(Table2[[#This Row],[Manual Cat Value]]="",VLOOKUP(Table2[[#This Row],[Description]],'Actuals Lookup'!D:F,3,0),Table2[[#This Row],[Manual Cat Value]])</f>
        <v>Exp - Amazon</v>
      </c>
      <c r="G7672" t="e">
        <f>VLOOKUP(D7672,Lookup!G:H,2,0)</f>
        <v>#N/A</v>
      </c>
      <c r="H7672" s="78" t="s">
        <v>37</v>
      </c>
      <c r="I7672" s="78"/>
      <c r="J7672">
        <v>13.95</v>
      </c>
      <c r="M7672" t="s">
        <v>2513</v>
      </c>
      <c r="O7672" t="str">
        <f>LEFT(Table2[[#This Row],[Description]],75)</f>
        <v>AMZN MKTP US*8J38C1QO3 AMZN.COM/BILLWA
2XZOE7MJ2AJ</v>
      </c>
    </row>
    <row r="7673" spans="1:15" ht="30" hidden="1">
      <c r="A7673" s="25">
        <f>VALUE(YEAR(Table2[[#This Row],[Date]])&amp;TEXT(MONTH(Table2[[#This Row],[Date]]),"00"))</f>
        <v>202208</v>
      </c>
      <c r="B7673" s="6">
        <v>44790</v>
      </c>
      <c r="C7673" t="s">
        <v>2447</v>
      </c>
      <c r="D7673" s="7" t="s">
        <v>2809</v>
      </c>
      <c r="E7673">
        <f t="shared" si="39"/>
        <v>76.459999999999994</v>
      </c>
      <c r="F7673" s="2" t="str">
        <f>IF(Table2[[#This Row],[Manual Cat Value]]="",VLOOKUP(Table2[[#This Row],[Description]],'Actuals Lookup'!D:F,3,0),Table2[[#This Row],[Manual Cat Value]])</f>
        <v>Exp - Amazon</v>
      </c>
      <c r="G7673" t="e">
        <f>VLOOKUP(D7673,Lookup!G:H,2,0)</f>
        <v>#N/A</v>
      </c>
      <c r="H7673" s="78" t="s">
        <v>37</v>
      </c>
      <c r="I7673" s="78"/>
      <c r="J7673">
        <v>76.459999999999994</v>
      </c>
      <c r="M7673" t="s">
        <v>2513</v>
      </c>
      <c r="O7673" t="str">
        <f>LEFT(Table2[[#This Row],[Description]],75)</f>
        <v>AMZN MKTP US*H934W8NO3 AMZN.COM/BILLWA
1HZ6ODHYE5V</v>
      </c>
    </row>
    <row r="7674" spans="1:15" hidden="1">
      <c r="A7674" s="25">
        <f>VALUE(YEAR(Table2[[#This Row],[Date]])&amp;TEXT(MONTH(Table2[[#This Row],[Date]]),"00"))</f>
        <v>202208</v>
      </c>
      <c r="B7674" s="6">
        <v>44790</v>
      </c>
      <c r="C7674" t="s">
        <v>2262</v>
      </c>
      <c r="D7674" t="s">
        <v>2810</v>
      </c>
      <c r="E7674">
        <f t="shared" ref="E7674:E7705" si="40">IF(M7674="credit",-1*J7674,J7674)</f>
        <v>497.2</v>
      </c>
      <c r="F7674" s="2" t="str">
        <f>IF(Table2[[#This Row],[Manual Cat Value]]="",VLOOKUP(Table2[[#This Row],[Description]],'Actuals Lookup'!D:F,3,0),Table2[[#This Row],[Manual Cat Value]])</f>
        <v>Delete</v>
      </c>
      <c r="G7674" t="e">
        <f>VLOOKUP(D7674,Lookup!G:H,2,0)</f>
        <v>#N/A</v>
      </c>
      <c r="H7674" s="8" t="s">
        <v>9</v>
      </c>
      <c r="I7674" s="8"/>
      <c r="J7674">
        <v>497.2</v>
      </c>
      <c r="M7674" t="s">
        <v>2513</v>
      </c>
      <c r="O7674" t="str">
        <f>LEFT(Table2[[#This Row],[Description]],75)</f>
        <v>DELTA AIR 0062332949012DELTA.COM CA REF #2471705KLTQQ00SAZ</v>
      </c>
    </row>
    <row r="7675" spans="1:15" hidden="1">
      <c r="A7675" s="25">
        <f>VALUE(YEAR(Table2[[#This Row],[Date]])&amp;TEXT(MONTH(Table2[[#This Row],[Date]]),"00"))</f>
        <v>202208</v>
      </c>
      <c r="B7675" s="6">
        <v>44790</v>
      </c>
      <c r="C7675" t="s">
        <v>2262</v>
      </c>
      <c r="D7675" t="s">
        <v>2811</v>
      </c>
      <c r="E7675">
        <f t="shared" si="40"/>
        <v>38.799999999999997</v>
      </c>
      <c r="F7675" s="2" t="str">
        <f>IF(Table2[[#This Row],[Manual Cat Value]]="",VLOOKUP(Table2[[#This Row],[Description]],'Actuals Lookup'!D:F,3,0),Table2[[#This Row],[Manual Cat Value]])</f>
        <v>Exp - Transportation</v>
      </c>
      <c r="G7675" t="e">
        <f>VLOOKUP(D7675,Lookup!G:H,2,0)</f>
        <v>#N/A</v>
      </c>
      <c r="H7675" s="8" t="s">
        <v>22</v>
      </c>
      <c r="I7675" s="8"/>
      <c r="J7675">
        <v>38.799999999999997</v>
      </c>
      <c r="M7675" t="s">
        <v>2513</v>
      </c>
      <c r="O7675" t="str">
        <f>LEFT(Table2[[#This Row],[Description]],75)</f>
        <v>LYFT RIDE MON 7AM 855-865-9553 CA REF #2449215KLMNMZH7LF</v>
      </c>
    </row>
    <row r="7676" spans="1:15" hidden="1">
      <c r="A7676" s="25">
        <f>VALUE(YEAR(Table2[[#This Row],[Date]])&amp;TEXT(MONTH(Table2[[#This Row],[Date]]),"00"))</f>
        <v>202208</v>
      </c>
      <c r="B7676" s="6">
        <v>44790</v>
      </c>
      <c r="C7676" t="s">
        <v>2262</v>
      </c>
      <c r="D7676" t="s">
        <v>2812</v>
      </c>
      <c r="E7676">
        <f t="shared" si="40"/>
        <v>6.43</v>
      </c>
      <c r="F7676" s="2" t="str">
        <f>IF(Table2[[#This Row],[Manual Cat Value]]="",VLOOKUP(Table2[[#This Row],[Description]],'Actuals Lookup'!D:F,3,0),Table2[[#This Row],[Manual Cat Value]])</f>
        <v>Exp - Utilities</v>
      </c>
      <c r="G7676" t="e">
        <f>VLOOKUP(D7676,Lookup!G:H,2,0)</f>
        <v>#N/A</v>
      </c>
      <c r="H7676" s="8" t="s">
        <v>6</v>
      </c>
      <c r="I7676" s="8"/>
      <c r="J7676">
        <v>6.43</v>
      </c>
      <c r="M7676" t="s">
        <v>2513</v>
      </c>
      <c r="O7676" t="str">
        <f>LEFT(Table2[[#This Row],[Description]],75)</f>
        <v>Prime Video*5X1UI7SU3 888-802-3080 WA REF #2469216KM2Y0E4Y5Y</v>
      </c>
    </row>
    <row r="7677" spans="1:15" hidden="1">
      <c r="A7677" s="25">
        <f>VALUE(YEAR(Table2[[#This Row],[Date]])&amp;TEXT(MONTH(Table2[[#This Row],[Date]]),"00"))</f>
        <v>202208</v>
      </c>
      <c r="B7677" s="6">
        <v>44790</v>
      </c>
      <c r="C7677" t="s">
        <v>2265</v>
      </c>
      <c r="D7677" t="s">
        <v>2813</v>
      </c>
      <c r="E7677">
        <f t="shared" si="40"/>
        <v>82.32</v>
      </c>
      <c r="F7677" s="2" t="str">
        <f>IF(Table2[[#This Row],[Manual Cat Value]]="",VLOOKUP(Table2[[#This Row],[Description]],'Actuals Lookup'!D:F,3,0),Table2[[#This Row],[Manual Cat Value]])</f>
        <v>Exp - Shopping</v>
      </c>
      <c r="G7677" t="e">
        <f>VLOOKUP(D7677,Lookup!G:H,2,0)</f>
        <v>#N/A</v>
      </c>
      <c r="H7677" s="8" t="s">
        <v>36</v>
      </c>
      <c r="I7677" s="8"/>
      <c r="J7677">
        <v>82.32</v>
      </c>
      <c r="M7677" t="s">
        <v>2513</v>
      </c>
      <c r="O7677" t="str">
        <f>LEFT(Table2[[#This Row],[Description]],75)</f>
        <v>Withdrawal ACH VENMO TYPE: PAYMENT ID: 326XXXXXXX CO: VENMO NAME: BRITNEY T</v>
      </c>
    </row>
    <row r="7678" spans="1:15" hidden="1">
      <c r="A7678" s="25">
        <f>VALUE(YEAR(Table2[[#This Row],[Date]])&amp;TEXT(MONTH(Table2[[#This Row],[Date]]),"00"))</f>
        <v>202208</v>
      </c>
      <c r="B7678" s="6">
        <v>44791</v>
      </c>
      <c r="C7678" t="s">
        <v>2262</v>
      </c>
      <c r="D7678" t="s">
        <v>2814</v>
      </c>
      <c r="E7678">
        <f t="shared" si="40"/>
        <v>31</v>
      </c>
      <c r="F7678" s="2" t="str">
        <f>IF(Table2[[#This Row],[Manual Cat Value]]="",VLOOKUP(Table2[[#This Row],[Description]],'Actuals Lookup'!D:F,3,0),Table2[[#This Row],[Manual Cat Value]])</f>
        <v>Exp - Shopping</v>
      </c>
      <c r="G7678" t="e">
        <f>VLOOKUP(D7678,Lookup!G:H,2,0)</f>
        <v>#N/A</v>
      </c>
      <c r="H7678" s="8" t="s">
        <v>36</v>
      </c>
      <c r="I7678" s="8"/>
      <c r="J7678">
        <v>31</v>
      </c>
      <c r="M7678" t="s">
        <v>2513</v>
      </c>
      <c r="O7678" t="str">
        <f>LEFT(Table2[[#This Row],[Description]],75)</f>
        <v>BRIGHTSTAR 502-890-2575 KY REF #2449215KMRTPT3JQ7</v>
      </c>
    </row>
    <row r="7679" spans="1:15" hidden="1">
      <c r="A7679" s="25">
        <f>VALUE(YEAR(Table2[[#This Row],[Date]])&amp;TEXT(MONTH(Table2[[#This Row],[Date]]),"00"))</f>
        <v>202208</v>
      </c>
      <c r="B7679" s="6">
        <v>44791</v>
      </c>
      <c r="C7679" t="s">
        <v>2265</v>
      </c>
      <c r="D7679" t="s">
        <v>2815</v>
      </c>
      <c r="E7679">
        <f t="shared" si="40"/>
        <v>-3654.36</v>
      </c>
      <c r="F7679" s="2" t="str">
        <f>IF(Table2[[#This Row],[Manual Cat Value]]="",VLOOKUP(Table2[[#This Row],[Description]],'Actuals Lookup'!D:F,3,0),Table2[[#This Row],[Manual Cat Value]])</f>
        <v>Inc - Britney</v>
      </c>
      <c r="G7679" t="e">
        <f>VLOOKUP(D7679,Lookup!G:H,2,0)</f>
        <v>#N/A</v>
      </c>
      <c r="H7679" s="8" t="s">
        <v>65</v>
      </c>
      <c r="I7679" s="8"/>
      <c r="J7679">
        <v>3654.36</v>
      </c>
      <c r="M7679" t="s">
        <v>2621</v>
      </c>
      <c r="O7679" t="str">
        <f>LEFT(Table2[[#This Row],[Description]],75)</f>
        <v>Deposit ACH CARGILL INCORPOR TYPE: DIRECT DEP ID: 9111111101 CO: CARGILL IN</v>
      </c>
    </row>
    <row r="7680" spans="1:15" hidden="1">
      <c r="A7680" s="25">
        <f>VALUE(YEAR(Table2[[#This Row],[Date]])&amp;TEXT(MONTH(Table2[[#This Row],[Date]]),"00"))</f>
        <v>202208</v>
      </c>
      <c r="B7680" s="6">
        <v>44791</v>
      </c>
      <c r="C7680" t="s">
        <v>2265</v>
      </c>
      <c r="D7680" t="s">
        <v>2816</v>
      </c>
      <c r="E7680">
        <f t="shared" si="40"/>
        <v>-1838</v>
      </c>
      <c r="F7680" s="2" t="str">
        <f>IF(Table2[[#This Row],[Manual Cat Value]]="",VLOOKUP(Table2[[#This Row],[Description]],'Actuals Lookup'!D:F,3,0),Table2[[#This Row],[Manual Cat Value]])</f>
        <v>Delete</v>
      </c>
      <c r="G7680" t="e">
        <f>VLOOKUP(D7680,Lookup!G:H,2,0)</f>
        <v>#N/A</v>
      </c>
      <c r="H7680" s="8" t="s">
        <v>9</v>
      </c>
      <c r="I7680" s="8"/>
      <c r="J7680">
        <v>1838</v>
      </c>
      <c r="M7680" t="s">
        <v>2621</v>
      </c>
      <c r="O7680" t="str">
        <f>LEFT(Table2[[#This Row],[Description]],75)</f>
        <v xml:space="preserve">Deposit ACH VENMO TYPE: CASHOUT ID: 526XXXXXXX CO: VENMO Entry Class Code: </v>
      </c>
    </row>
    <row r="7681" spans="1:15" hidden="1">
      <c r="A7681" s="25">
        <f>VALUE(YEAR(Table2[[#This Row],[Date]])&amp;TEXT(MONTH(Table2[[#This Row],[Date]]),"00"))</f>
        <v>202208</v>
      </c>
      <c r="B7681" s="6">
        <v>44791</v>
      </c>
      <c r="C7681" t="s">
        <v>2265</v>
      </c>
      <c r="D7681" t="s">
        <v>2817</v>
      </c>
      <c r="E7681">
        <f t="shared" si="40"/>
        <v>200</v>
      </c>
      <c r="F7681" s="2" t="str">
        <f>IF(Table2[[#This Row],[Manual Cat Value]]="",VLOOKUP(Table2[[#This Row],[Description]],'Actuals Lookup'!D:F,3,0),Table2[[#This Row],[Manual Cat Value]])</f>
        <v>Exp - Day Care</v>
      </c>
      <c r="G7681" t="e">
        <f>VLOOKUP(D7681,Lookup!G:H,2,0)</f>
        <v>#N/A</v>
      </c>
      <c r="H7681" s="8" t="s">
        <v>19</v>
      </c>
      <c r="I7681" s="8"/>
      <c r="J7681">
        <v>200</v>
      </c>
      <c r="M7681" t="s">
        <v>2513</v>
      </c>
      <c r="O7681" t="str">
        <f>LEFT(Table2[[#This Row],[Description]],75)</f>
        <v>Withdrawal ACH MN DIR ACH TYPE: CONTRIB ID: 2416007162 CO: MN DIR ACH NAME:</v>
      </c>
    </row>
    <row r="7682" spans="1:15" ht="30" hidden="1">
      <c r="A7682" s="25">
        <f>VALUE(YEAR(Table2[[#This Row],[Date]])&amp;TEXT(MONTH(Table2[[#This Row],[Date]]),"00"))</f>
        <v>202208</v>
      </c>
      <c r="B7682" s="6">
        <v>44792</v>
      </c>
      <c r="C7682" t="s">
        <v>2447</v>
      </c>
      <c r="D7682" s="7" t="s">
        <v>2818</v>
      </c>
      <c r="E7682">
        <f t="shared" si="40"/>
        <v>-11.99</v>
      </c>
      <c r="F7682" s="2" t="str">
        <f>IF(Table2[[#This Row],[Manual Cat Value]]="",VLOOKUP(Table2[[#This Row],[Description]],'Actuals Lookup'!D:F,3,0),Table2[[#This Row],[Manual Cat Value]])</f>
        <v>Exp - Amazon</v>
      </c>
      <c r="G7682" t="e">
        <f>VLOOKUP(D7682,Lookup!G:H,2,0)</f>
        <v>#N/A</v>
      </c>
      <c r="H7682" s="78" t="s">
        <v>37</v>
      </c>
      <c r="I7682" s="78"/>
      <c r="J7682">
        <v>11.99</v>
      </c>
      <c r="M7682" t="s">
        <v>2621</v>
      </c>
      <c r="O7682" t="str">
        <f>LEFT(Table2[[#This Row],[Description]],75)</f>
        <v>AMZN MKTP US AMZN.COM/BILLWA
175ATQO7H2A</v>
      </c>
    </row>
    <row r="7683" spans="1:15" ht="30" hidden="1">
      <c r="A7683" s="25">
        <f>VALUE(YEAR(Table2[[#This Row],[Date]])&amp;TEXT(MONTH(Table2[[#This Row],[Date]]),"00"))</f>
        <v>202208</v>
      </c>
      <c r="B7683" s="6">
        <v>44792</v>
      </c>
      <c r="C7683" t="s">
        <v>2447</v>
      </c>
      <c r="D7683" s="7" t="s">
        <v>2819</v>
      </c>
      <c r="E7683">
        <f t="shared" si="40"/>
        <v>-24.98</v>
      </c>
      <c r="F7683" s="2" t="str">
        <f>IF(Table2[[#This Row],[Manual Cat Value]]="",VLOOKUP(Table2[[#This Row],[Description]],'Actuals Lookup'!D:F,3,0),Table2[[#This Row],[Manual Cat Value]])</f>
        <v>Exp - Amazon</v>
      </c>
      <c r="G7683" t="e">
        <f>VLOOKUP(D7683,Lookup!G:H,2,0)</f>
        <v>#N/A</v>
      </c>
      <c r="H7683" s="78" t="s">
        <v>37</v>
      </c>
      <c r="I7683" s="78"/>
      <c r="J7683">
        <v>24.98</v>
      </c>
      <c r="M7683" t="s">
        <v>2621</v>
      </c>
      <c r="O7683" t="str">
        <f>LEFT(Table2[[#This Row],[Description]],75)</f>
        <v>AMZN MKTP US AMZN.COM/BILLWA
4XTJDH3N4EE</v>
      </c>
    </row>
    <row r="7684" spans="1:15" ht="30" hidden="1">
      <c r="A7684" s="25">
        <f>VALUE(YEAR(Table2[[#This Row],[Date]])&amp;TEXT(MONTH(Table2[[#This Row],[Date]]),"00"))</f>
        <v>202208</v>
      </c>
      <c r="B7684" s="6">
        <v>44792</v>
      </c>
      <c r="C7684" t="s">
        <v>2447</v>
      </c>
      <c r="D7684" s="7" t="s">
        <v>2820</v>
      </c>
      <c r="E7684">
        <f t="shared" si="40"/>
        <v>-39.99</v>
      </c>
      <c r="F7684" s="2" t="str">
        <f>IF(Table2[[#This Row],[Manual Cat Value]]="",VLOOKUP(Table2[[#This Row],[Description]],'Actuals Lookup'!D:F,3,0),Table2[[#This Row],[Manual Cat Value]])</f>
        <v>Exp - Amazon</v>
      </c>
      <c r="G7684" t="e">
        <f>VLOOKUP(D7684,Lookup!G:H,2,0)</f>
        <v>#N/A</v>
      </c>
      <c r="H7684" s="78" t="s">
        <v>37</v>
      </c>
      <c r="I7684" s="78"/>
      <c r="J7684">
        <v>39.99</v>
      </c>
      <c r="M7684" t="s">
        <v>2621</v>
      </c>
      <c r="O7684" t="str">
        <f>LEFT(Table2[[#This Row],[Description]],75)</f>
        <v>AMZN MKTP US AMZN.COM/BILLWA
4ZK4FGP1KQW</v>
      </c>
    </row>
    <row r="7685" spans="1:15" hidden="1">
      <c r="A7685" s="25">
        <f>VALUE(YEAR(Table2[[#This Row],[Date]])&amp;TEXT(MONTH(Table2[[#This Row],[Date]]),"00"))</f>
        <v>202208</v>
      </c>
      <c r="B7685" s="6">
        <v>44792</v>
      </c>
      <c r="C7685" t="s">
        <v>2447</v>
      </c>
      <c r="D7685" t="s">
        <v>2821</v>
      </c>
      <c r="E7685">
        <f t="shared" si="40"/>
        <v>33</v>
      </c>
      <c r="F7685" s="2" t="str">
        <f>IF(Table2[[#This Row],[Manual Cat Value]]="",VLOOKUP(Table2[[#This Row],[Description]],'Actuals Lookup'!D:F,3,0),Table2[[#This Row],[Manual Cat Value]])</f>
        <v>Exp - Shopping</v>
      </c>
      <c r="G7685" t="e">
        <f>VLOOKUP(D7685,Lookup!G:H,2,0)</f>
        <v>#N/A</v>
      </c>
      <c r="H7685" s="8" t="s">
        <v>36</v>
      </c>
      <c r="I7685" s="8"/>
      <c r="J7685">
        <v>33</v>
      </c>
      <c r="M7685" t="s">
        <v>2513</v>
      </c>
      <c r="O7685" t="str">
        <f>LEFT(Table2[[#This Row],[Description]],75)</f>
        <v>PP*ELITESPORTS SAN JOSE CA</v>
      </c>
    </row>
    <row r="7686" spans="1:15" hidden="1">
      <c r="A7686" s="25">
        <f>VALUE(YEAR(Table2[[#This Row],[Date]])&amp;TEXT(MONTH(Table2[[#This Row],[Date]]),"00"))</f>
        <v>202208</v>
      </c>
      <c r="B7686" s="6">
        <v>44792</v>
      </c>
      <c r="C7686" t="s">
        <v>2265</v>
      </c>
      <c r="D7686" t="s">
        <v>2822</v>
      </c>
      <c r="E7686">
        <f t="shared" si="40"/>
        <v>65</v>
      </c>
      <c r="F7686" s="2" t="str">
        <f>IF(Table2[[#This Row],[Manual Cat Value]]="",VLOOKUP(Table2[[#This Row],[Description]],'Actuals Lookup'!D:F,3,0),Table2[[#This Row],[Manual Cat Value]])</f>
        <v>Exp - Shopping</v>
      </c>
      <c r="G7686" t="e">
        <f>VLOOKUP(D7686,Lookup!G:H,2,0)</f>
        <v>#N/A</v>
      </c>
      <c r="H7686" s="8" t="s">
        <v>36</v>
      </c>
      <c r="I7686" s="8"/>
      <c r="J7686">
        <v>65</v>
      </c>
      <c r="M7686" t="s">
        <v>2513</v>
      </c>
      <c r="O7686" t="str">
        <f>LEFT(Table2[[#This Row],[Description]],75)</f>
        <v xml:space="preserve">Withdrawal ACH PAYPAL TYPE: INST XFER ID: PAYPALSI77 CO: PAYPAL NAME: JEFF </v>
      </c>
    </row>
    <row r="7687" spans="1:15" ht="30" hidden="1">
      <c r="A7687" s="25">
        <f>VALUE(YEAR(Table2[[#This Row],[Date]])&amp;TEXT(MONTH(Table2[[#This Row],[Date]]),"00"))</f>
        <v>202208</v>
      </c>
      <c r="B7687" s="6">
        <v>44793</v>
      </c>
      <c r="C7687" t="s">
        <v>2447</v>
      </c>
      <c r="D7687" s="7" t="s">
        <v>2823</v>
      </c>
      <c r="E7687">
        <f t="shared" si="40"/>
        <v>-21.99</v>
      </c>
      <c r="F7687" s="2" t="str">
        <f>IF(Table2[[#This Row],[Manual Cat Value]]="",VLOOKUP(Table2[[#This Row],[Description]],'Actuals Lookup'!D:F,3,0),Table2[[#This Row],[Manual Cat Value]])</f>
        <v>Exp - Amazon</v>
      </c>
      <c r="G7687" t="e">
        <f>VLOOKUP(D7687,Lookup!G:H,2,0)</f>
        <v>#N/A</v>
      </c>
      <c r="H7687" s="78" t="s">
        <v>37</v>
      </c>
      <c r="I7687" s="78"/>
      <c r="J7687">
        <v>21.99</v>
      </c>
      <c r="M7687" t="s">
        <v>2621</v>
      </c>
      <c r="O7687" t="str">
        <f>LEFT(Table2[[#This Row],[Description]],75)</f>
        <v>AMZN MKTP US AMZN.COM/BILLWA
69KGD26486A</v>
      </c>
    </row>
    <row r="7688" spans="1:15" hidden="1">
      <c r="A7688" s="25">
        <f>VALUE(YEAR(Table2[[#This Row],[Date]])&amp;TEXT(MONTH(Table2[[#This Row],[Date]]),"00"))</f>
        <v>202208</v>
      </c>
      <c r="B7688" s="6">
        <v>44793</v>
      </c>
      <c r="C7688" t="s">
        <v>2447</v>
      </c>
      <c r="D7688" t="s">
        <v>459</v>
      </c>
      <c r="E7688">
        <f t="shared" si="40"/>
        <v>-17</v>
      </c>
      <c r="F7688" s="2" t="str">
        <f>IF(Table2[[#This Row],[Manual Cat Value]]="",VLOOKUP(Table2[[#This Row],[Description]],'Actuals Lookup'!D:F,3,0),Table2[[#This Row],[Manual Cat Value]])</f>
        <v>Delete</v>
      </c>
      <c r="G7688" t="str">
        <f>VLOOKUP(D7688,Lookup!G:H,2,0)</f>
        <v>Delete</v>
      </c>
      <c r="H7688" s="8" t="s">
        <v>9</v>
      </c>
      <c r="I7688" s="8"/>
      <c r="J7688">
        <v>17</v>
      </c>
      <c r="M7688" t="s">
        <v>2621</v>
      </c>
      <c r="O7688" t="str">
        <f>LEFT(Table2[[#This Row],[Description]],75)</f>
        <v>CASHBACK BONUS REDEMPTION PYMT/STMT CRDT</v>
      </c>
    </row>
    <row r="7689" spans="1:15" ht="30" hidden="1">
      <c r="A7689" s="25">
        <f>VALUE(YEAR(Table2[[#This Row],[Date]])&amp;TEXT(MONTH(Table2[[#This Row],[Date]]),"00"))</f>
        <v>202208</v>
      </c>
      <c r="B7689" s="6">
        <v>44793</v>
      </c>
      <c r="C7689" t="s">
        <v>2447</v>
      </c>
      <c r="D7689" s="7" t="s">
        <v>2824</v>
      </c>
      <c r="E7689">
        <f t="shared" si="40"/>
        <v>139.51</v>
      </c>
      <c r="F7689" s="2" t="str">
        <f>IF(Table2[[#This Row],[Manual Cat Value]]="",VLOOKUP(Table2[[#This Row],[Description]],'Actuals Lookup'!D:F,3,0),Table2[[#This Row],[Manual Cat Value]])</f>
        <v>Exp - Restaurants</v>
      </c>
      <c r="G7689" t="e">
        <f>VLOOKUP(D7689,Lookup!G:H,2,0)</f>
        <v>#N/A</v>
      </c>
      <c r="H7689" s="78" t="s">
        <v>25</v>
      </c>
      <c r="I7689" s="78"/>
      <c r="J7689">
        <v>139.51</v>
      </c>
      <c r="M7689" t="s">
        <v>2513</v>
      </c>
      <c r="O7689" t="str">
        <f>LEFT(Table2[[#This Row],[Description]],75)</f>
        <v>TST* DUKES ON 7 MINNETONKA MN
00017403008254706899AA</v>
      </c>
    </row>
    <row r="7690" spans="1:15" hidden="1">
      <c r="A7690" s="25">
        <f>VALUE(YEAR(Table2[[#This Row],[Date]])&amp;TEXT(MONTH(Table2[[#This Row],[Date]]),"00"))</f>
        <v>202208</v>
      </c>
      <c r="B7690" s="6">
        <v>44793</v>
      </c>
      <c r="C7690" t="s">
        <v>2265</v>
      </c>
      <c r="D7690" t="s">
        <v>2640</v>
      </c>
      <c r="E7690">
        <f t="shared" si="40"/>
        <v>3739.3</v>
      </c>
      <c r="F7690" s="2" t="str">
        <f>IF(Table2[[#This Row],[Manual Cat Value]]="",VLOOKUP(Table2[[#This Row],[Description]],'Actuals Lookup'!D:F,3,0),Table2[[#This Row],[Manual Cat Value]])</f>
        <v>Delete</v>
      </c>
      <c r="G7690" t="e">
        <f>VLOOKUP(D7690,Lookup!G:H,2,0)</f>
        <v>#N/A</v>
      </c>
      <c r="H7690" s="8" t="s">
        <v>9</v>
      </c>
      <c r="I7690" s="8"/>
      <c r="J7690">
        <v>3739.3</v>
      </c>
      <c r="M7690" t="s">
        <v>2513</v>
      </c>
      <c r="O7690" t="str">
        <f>LEFT(Table2[[#This Row],[Description]],75)</f>
        <v>Withdrawal Home Banking Pmt to card XXXXXXXXXXXX-9181</v>
      </c>
    </row>
    <row r="7691" spans="1:15" hidden="1">
      <c r="A7691" s="25">
        <f>VALUE(YEAR(Table2[[#This Row],[Date]])&amp;TEXT(MONTH(Table2[[#This Row],[Date]]),"00"))</f>
        <v>202208</v>
      </c>
      <c r="B7691" s="6">
        <v>44793</v>
      </c>
      <c r="C7691" t="s">
        <v>2447</v>
      </c>
      <c r="D7691" t="s">
        <v>997</v>
      </c>
      <c r="E7691">
        <f t="shared" si="40"/>
        <v>-724.45</v>
      </c>
      <c r="F7691" s="2" t="str">
        <f>IF(Table2[[#This Row],[Manual Cat Value]]="",VLOOKUP(Table2[[#This Row],[Description]],'Actuals Lookup'!D:F,3,0),Table2[[#This Row],[Manual Cat Value]])</f>
        <v>Delete</v>
      </c>
      <c r="G7691" t="str">
        <f>VLOOKUP(D7691,Lookup!G:H,2,0)</f>
        <v>Delete</v>
      </c>
      <c r="H7691" s="8" t="s">
        <v>9</v>
      </c>
      <c r="I7691" s="8"/>
      <c r="J7691">
        <v>724.45</v>
      </c>
      <c r="M7691" t="s">
        <v>2621</v>
      </c>
      <c r="O7691" t="str">
        <f>LEFT(Table2[[#This Row],[Description]],75)</f>
        <v>INTERNET PAYMENT - THANK YOU</v>
      </c>
    </row>
    <row r="7692" spans="1:15" hidden="1">
      <c r="A7692" s="25">
        <f>VALUE(YEAR(Table2[[#This Row],[Date]])&amp;TEXT(MONTH(Table2[[#This Row],[Date]]),"00"))</f>
        <v>202208</v>
      </c>
      <c r="B7692" s="6">
        <v>44793</v>
      </c>
      <c r="C7692" t="s">
        <v>2262</v>
      </c>
      <c r="D7692" t="s">
        <v>2825</v>
      </c>
      <c r="E7692">
        <f t="shared" si="40"/>
        <v>-3739.3</v>
      </c>
      <c r="F7692" s="2" t="str">
        <f>IF(Table2[[#This Row],[Manual Cat Value]]="",VLOOKUP(Table2[[#This Row],[Description]],'Actuals Lookup'!D:F,3,0),Table2[[#This Row],[Manual Cat Value]])</f>
        <v>Delete</v>
      </c>
      <c r="G7692" t="e">
        <f>VLOOKUP(D7692,Lookup!G:H,2,0)</f>
        <v>#N/A</v>
      </c>
      <c r="H7692" s="8" t="s">
        <v>9</v>
      </c>
      <c r="I7692" s="8"/>
      <c r="J7692">
        <v>3739.3</v>
      </c>
      <c r="M7692" t="s">
        <v>2621</v>
      </c>
      <c r="O7692" t="str">
        <f>LEFT(Table2[[#This Row],[Description]],75)</f>
        <v>PAYMENT - THANK YOU REF #7473457KT00XTMJG3</v>
      </c>
    </row>
    <row r="7693" spans="1:15" ht="30" hidden="1">
      <c r="A7693" s="25">
        <f>VALUE(YEAR(Table2[[#This Row],[Date]])&amp;TEXT(MONTH(Table2[[#This Row],[Date]]),"00"))</f>
        <v>202208</v>
      </c>
      <c r="B7693" s="6">
        <v>44794</v>
      </c>
      <c r="C7693" t="s">
        <v>2447</v>
      </c>
      <c r="D7693" s="7" t="s">
        <v>2826</v>
      </c>
      <c r="E7693">
        <f t="shared" si="40"/>
        <v>27.09</v>
      </c>
      <c r="F7693" s="2" t="str">
        <f>IF(Table2[[#This Row],[Manual Cat Value]]="",VLOOKUP(Table2[[#This Row],[Description]],'Actuals Lookup'!D:F,3,0),Table2[[#This Row],[Manual Cat Value]])</f>
        <v>Exp - Amazon</v>
      </c>
      <c r="G7693" t="e">
        <f>VLOOKUP(D7693,Lookup!G:H,2,0)</f>
        <v>#N/A</v>
      </c>
      <c r="H7693" s="78" t="s">
        <v>37</v>
      </c>
      <c r="I7693" s="78"/>
      <c r="J7693">
        <v>27.09</v>
      </c>
      <c r="M7693" t="s">
        <v>2513</v>
      </c>
      <c r="O7693" t="str">
        <f>LEFT(Table2[[#This Row],[Description]],75)</f>
        <v>AMZN MKTP US*VV4F03ZT3 AMZN.COM/BILLWA
7B49S6IBXZA</v>
      </c>
    </row>
    <row r="7694" spans="1:15" hidden="1">
      <c r="A7694" s="25">
        <f>VALUE(YEAR(Table2[[#This Row],[Date]])&amp;TEXT(MONTH(Table2[[#This Row],[Date]]),"00"))</f>
        <v>202208</v>
      </c>
      <c r="B7694" s="6">
        <v>44794</v>
      </c>
      <c r="C7694" t="s">
        <v>2262</v>
      </c>
      <c r="D7694" t="s">
        <v>2827</v>
      </c>
      <c r="E7694">
        <f t="shared" si="40"/>
        <v>171.78</v>
      </c>
      <c r="F7694" s="2" t="str">
        <f>IF(Table2[[#This Row],[Manual Cat Value]]="",VLOOKUP(Table2[[#This Row],[Description]],'Actuals Lookup'!D:F,3,0),Table2[[#This Row],[Manual Cat Value]])</f>
        <v>Exp - Entertainment</v>
      </c>
      <c r="G7694" t="e">
        <f>VLOOKUP(D7694,Lookup!G:H,2,0)</f>
        <v>#N/A</v>
      </c>
      <c r="H7694" s="8" t="s">
        <v>39</v>
      </c>
      <c r="I7694" s="8"/>
      <c r="J7694">
        <v>171.78</v>
      </c>
      <c r="M7694" t="s">
        <v>2513</v>
      </c>
      <c r="O7694" t="str">
        <f>LEFT(Table2[[#This Row],[Description]],75)</f>
        <v>AXS.COMTARGET CENTER 888-929-7849 CA REF #2449215KRLREYE9SA</v>
      </c>
    </row>
    <row r="7695" spans="1:15" hidden="1">
      <c r="A7695" s="25">
        <f>VALUE(YEAR(Table2[[#This Row],[Date]])&amp;TEXT(MONTH(Table2[[#This Row],[Date]]),"00"))</f>
        <v>202208</v>
      </c>
      <c r="B7695" s="6">
        <v>44794</v>
      </c>
      <c r="C7695" t="s">
        <v>2262</v>
      </c>
      <c r="D7695" t="s">
        <v>2828</v>
      </c>
      <c r="E7695">
        <f t="shared" si="40"/>
        <v>26</v>
      </c>
      <c r="F7695" s="2" t="str">
        <f>IF(Table2[[#This Row],[Manual Cat Value]]="",VLOOKUP(Table2[[#This Row],[Description]],'Actuals Lookup'!D:F,3,0),Table2[[#This Row],[Manual Cat Value]])</f>
        <v>Exp - Misc</v>
      </c>
      <c r="G7695" t="e">
        <f>VLOOKUP(D7695,Lookup!G:H,2,0)</f>
        <v>#N/A</v>
      </c>
      <c r="H7695" s="8" t="s">
        <v>46</v>
      </c>
      <c r="I7695" s="8"/>
      <c r="J7695">
        <v>26</v>
      </c>
      <c r="M7695" t="s">
        <v>2513</v>
      </c>
      <c r="O7695" t="str">
        <f>LEFT(Table2[[#This Row],[Description]],75)</f>
        <v>KIDS HAIR CH CHANHASSEN MN REF #2426979KPEJ517G1B</v>
      </c>
    </row>
    <row r="7696" spans="1:15" hidden="1">
      <c r="A7696" s="25">
        <f>VALUE(YEAR(Table2[[#This Row],[Date]])&amp;TEXT(MONTH(Table2[[#This Row],[Date]]),"00"))</f>
        <v>202208</v>
      </c>
      <c r="B7696" s="6">
        <v>44794</v>
      </c>
      <c r="C7696" t="s">
        <v>2262</v>
      </c>
      <c r="D7696" t="s">
        <v>2829</v>
      </c>
      <c r="E7696">
        <f t="shared" si="40"/>
        <v>65.59</v>
      </c>
      <c r="F7696" s="2" t="str">
        <f>IF(Table2[[#This Row],[Manual Cat Value]]="",VLOOKUP(Table2[[#This Row],[Description]],'Actuals Lookup'!D:F,3,0),Table2[[#This Row],[Manual Cat Value]])</f>
        <v>Exp - Restaurants</v>
      </c>
      <c r="G7696" t="e">
        <f>VLOOKUP(D7696,Lookup!G:H,2,0)</f>
        <v>#N/A</v>
      </c>
      <c r="H7696" s="8" t="s">
        <v>25</v>
      </c>
      <c r="I7696" s="8"/>
      <c r="J7696">
        <v>65.59</v>
      </c>
      <c r="M7696" t="s">
        <v>2513</v>
      </c>
      <c r="O7696" t="str">
        <f>LEFT(Table2[[#This Row],[Description]],75)</f>
        <v>KONA GRILL - MINNETONKA MINNETONKA MN REF #2478930KPKAYNXP5F</v>
      </c>
    </row>
    <row r="7697" spans="1:15" hidden="1">
      <c r="A7697" s="25">
        <f>VALUE(YEAR(Table2[[#This Row],[Date]])&amp;TEXT(MONTH(Table2[[#This Row],[Date]]),"00"))</f>
        <v>202208</v>
      </c>
      <c r="B7697" s="6">
        <v>44794</v>
      </c>
      <c r="C7697" t="s">
        <v>2262</v>
      </c>
      <c r="D7697" t="s">
        <v>2830</v>
      </c>
      <c r="E7697">
        <f t="shared" si="40"/>
        <v>11.81</v>
      </c>
      <c r="F7697" s="2" t="str">
        <f>IF(Table2[[#This Row],[Manual Cat Value]]="",VLOOKUP(Table2[[#This Row],[Description]],'Actuals Lookup'!D:F,3,0),Table2[[#This Row],[Manual Cat Value]])</f>
        <v>Exp - Restaurants</v>
      </c>
      <c r="G7697" t="e">
        <f>VLOOKUP(D7697,Lookup!G:H,2,0)</f>
        <v>#N/A</v>
      </c>
      <c r="H7697" s="8" t="s">
        <v>25</v>
      </c>
      <c r="I7697" s="8"/>
      <c r="J7697">
        <v>11.81</v>
      </c>
      <c r="M7697" t="s">
        <v>2513</v>
      </c>
      <c r="O7697" t="str">
        <f>LEFT(Table2[[#This Row],[Description]],75)</f>
        <v>LEEANN CHIN 0163 EDEN PRA310-9959954 MN REF #2454045KR01MMKG8F</v>
      </c>
    </row>
    <row r="7698" spans="1:15" hidden="1">
      <c r="A7698" s="25">
        <f>VALUE(YEAR(Table2[[#This Row],[Date]])&amp;TEXT(MONTH(Table2[[#This Row],[Date]]),"00"))</f>
        <v>202208</v>
      </c>
      <c r="B7698" s="6">
        <v>44794</v>
      </c>
      <c r="C7698" t="s">
        <v>2262</v>
      </c>
      <c r="D7698" t="s">
        <v>2831</v>
      </c>
      <c r="E7698">
        <f t="shared" si="40"/>
        <v>206.73</v>
      </c>
      <c r="F7698" s="2" t="str">
        <f>IF(Table2[[#This Row],[Manual Cat Value]]="",VLOOKUP(Table2[[#This Row],[Description]],'Actuals Lookup'!D:F,3,0),Table2[[#This Row],[Manual Cat Value]])</f>
        <v>Exp - Gifts</v>
      </c>
      <c r="G7698" t="e">
        <f>VLOOKUP(D7698,Lookup!G:H,2,0)</f>
        <v>#N/A</v>
      </c>
      <c r="H7698" s="8" t="s">
        <v>44</v>
      </c>
      <c r="I7698" s="8"/>
      <c r="J7698">
        <v>206.73</v>
      </c>
      <c r="M7698" t="s">
        <v>2513</v>
      </c>
      <c r="O7698" t="str">
        <f>LEFT(Table2[[#This Row],[Description]],75)</f>
        <v>MENS WEARHOUSE #4113 EDEN PRAIRIE MN REF #2432688KR2LZ2Q912</v>
      </c>
    </row>
    <row r="7699" spans="1:15" hidden="1">
      <c r="A7699" s="25">
        <f>VALUE(YEAR(Table2[[#This Row],[Date]])&amp;TEXT(MONTH(Table2[[#This Row],[Date]]),"00"))</f>
        <v>202208</v>
      </c>
      <c r="B7699" s="6">
        <v>44794</v>
      </c>
      <c r="C7699" t="s">
        <v>2262</v>
      </c>
      <c r="D7699" t="s">
        <v>2832</v>
      </c>
      <c r="E7699">
        <f t="shared" si="40"/>
        <v>16.73</v>
      </c>
      <c r="F7699" s="2" t="str">
        <f>IF(Table2[[#This Row],[Manual Cat Value]]="",VLOOKUP(Table2[[#This Row],[Description]],'Actuals Lookup'!D:F,3,0),Table2[[#This Row],[Manual Cat Value]])</f>
        <v>Exp - Utilities</v>
      </c>
      <c r="G7699" t="e">
        <f>VLOOKUP(D7699,Lookup!G:H,2,0)</f>
        <v>#N/A</v>
      </c>
      <c r="H7699" s="8" t="s">
        <v>6</v>
      </c>
      <c r="I7699" s="8"/>
      <c r="J7699">
        <v>16.73</v>
      </c>
      <c r="M7699" t="s">
        <v>2513</v>
      </c>
      <c r="O7699" t="str">
        <f>LEFT(Table2[[#This Row],[Description]],75)</f>
        <v>Netflix.com 866-5797172 CA REF #2490641KR4FTBSD43</v>
      </c>
    </row>
    <row r="7700" spans="1:15" hidden="1">
      <c r="A7700" s="25">
        <f>VALUE(YEAR(Table2[[#This Row],[Date]])&amp;TEXT(MONTH(Table2[[#This Row],[Date]]),"00"))</f>
        <v>202208</v>
      </c>
      <c r="B7700" s="6">
        <v>44794</v>
      </c>
      <c r="C7700" t="s">
        <v>2262</v>
      </c>
      <c r="D7700" t="s">
        <v>2833</v>
      </c>
      <c r="E7700">
        <f t="shared" si="40"/>
        <v>8.6</v>
      </c>
      <c r="F7700" s="2" t="str">
        <f>IF(Table2[[#This Row],[Manual Cat Value]]="",VLOOKUP(Table2[[#This Row],[Description]],'Actuals Lookup'!D:F,3,0),Table2[[#This Row],[Manual Cat Value]])</f>
        <v>Exp - Entertainment</v>
      </c>
      <c r="G7700" t="e">
        <f>VLOOKUP(D7700,Lookup!G:H,2,0)</f>
        <v>#N/A</v>
      </c>
      <c r="H7700" s="8" t="s">
        <v>39</v>
      </c>
      <c r="I7700" s="8"/>
      <c r="J7700">
        <v>8.6</v>
      </c>
      <c r="M7700" t="s">
        <v>2513</v>
      </c>
      <c r="O7700" t="str">
        <f>LEFT(Table2[[#This Row],[Description]],75)</f>
        <v>SQ *EDEN PRARIE CENTER FUEden Prairie MN REF #2469216KP2XGE401W</v>
      </c>
    </row>
    <row r="7701" spans="1:15" hidden="1">
      <c r="A7701" s="25">
        <f>VALUE(YEAR(Table2[[#This Row],[Date]])&amp;TEXT(MONTH(Table2[[#This Row],[Date]]),"00"))</f>
        <v>202208</v>
      </c>
      <c r="B7701" s="6">
        <v>44795</v>
      </c>
      <c r="C7701" t="s">
        <v>2262</v>
      </c>
      <c r="D7701" t="s">
        <v>2834</v>
      </c>
      <c r="E7701">
        <f t="shared" si="40"/>
        <v>9</v>
      </c>
      <c r="F7701" s="2" t="str">
        <f>IF(Table2[[#This Row],[Manual Cat Value]]="",VLOOKUP(Table2[[#This Row],[Description]],'Actuals Lookup'!D:F,3,0),Table2[[#This Row],[Manual Cat Value]])</f>
        <v>Exp - House Maint</v>
      </c>
      <c r="G7701" t="e">
        <f>VLOOKUP(D7701,Lookup!G:H,2,0)</f>
        <v>#N/A</v>
      </c>
      <c r="H7701" s="8" t="s">
        <v>1</v>
      </c>
      <c r="I7701" s="8"/>
      <c r="J7701">
        <v>9</v>
      </c>
      <c r="M7701" t="s">
        <v>2513</v>
      </c>
      <c r="O7701" t="str">
        <f>LEFT(Table2[[#This Row],[Description]],75)</f>
        <v>BONFES PLUMBING HEATING ASOUTH SAINT PMN REF #2427539KTS66M9PPH</v>
      </c>
    </row>
    <row r="7702" spans="1:15" hidden="1">
      <c r="A7702" s="25">
        <f>VALUE(YEAR(Table2[[#This Row],[Date]])&amp;TEXT(MONTH(Table2[[#This Row],[Date]]),"00"))</f>
        <v>202208</v>
      </c>
      <c r="B7702" s="6">
        <v>44795</v>
      </c>
      <c r="C7702" t="s">
        <v>2262</v>
      </c>
      <c r="D7702" t="s">
        <v>2835</v>
      </c>
      <c r="E7702">
        <f t="shared" si="40"/>
        <v>21.51</v>
      </c>
      <c r="F7702" s="2" t="str">
        <f>IF(Table2[[#This Row],[Manual Cat Value]]="",VLOOKUP(Table2[[#This Row],[Description]],'Actuals Lookup'!D:F,3,0),Table2[[#This Row],[Manual Cat Value]])</f>
        <v>Exp - Groceries</v>
      </c>
      <c r="G7702" t="e">
        <f>VLOOKUP(D7702,Lookup!G:H,2,0)</f>
        <v>#N/A</v>
      </c>
      <c r="H7702" s="8" t="s">
        <v>27</v>
      </c>
      <c r="I7702" s="8"/>
      <c r="J7702">
        <v>21.51</v>
      </c>
      <c r="M7702" t="s">
        <v>2513</v>
      </c>
      <c r="O7702" t="str">
        <f>LEFT(Table2[[#This Row],[Description]],75)</f>
        <v>CUB FOODS CHANHASSEN MN REF #2442733KTM83ANE1X</v>
      </c>
    </row>
    <row r="7703" spans="1:15" hidden="1">
      <c r="A7703" s="25">
        <f>VALUE(YEAR(Table2[[#This Row],[Date]])&amp;TEXT(MONTH(Table2[[#This Row],[Date]]),"00"))</f>
        <v>202208</v>
      </c>
      <c r="B7703" s="6">
        <v>44795</v>
      </c>
      <c r="C7703" t="s">
        <v>2262</v>
      </c>
      <c r="D7703" t="s">
        <v>2836</v>
      </c>
      <c r="E7703">
        <f t="shared" si="40"/>
        <v>36.799999999999997</v>
      </c>
      <c r="F7703" s="2" t="str">
        <f>IF(Table2[[#This Row],[Manual Cat Value]]="",VLOOKUP(Table2[[#This Row],[Description]],'Actuals Lookup'!D:F,3,0),Table2[[#This Row],[Manual Cat Value]])</f>
        <v>Exp - Transportation</v>
      </c>
      <c r="G7703" t="e">
        <f>VLOOKUP(D7703,Lookup!G:H,2,0)</f>
        <v>#N/A</v>
      </c>
      <c r="H7703" s="8" t="s">
        <v>22</v>
      </c>
      <c r="I7703" s="8"/>
      <c r="J7703">
        <v>36.799999999999997</v>
      </c>
      <c r="M7703" t="s">
        <v>2513</v>
      </c>
      <c r="O7703" t="str">
        <f>LEFT(Table2[[#This Row],[Description]],75)</f>
        <v>SPEEDWAY 04366 EXCELSIOR MN REF #2413746KS0180MN2T</v>
      </c>
    </row>
    <row r="7704" spans="1:15" hidden="1">
      <c r="A7704" s="25">
        <f>VALUE(YEAR(Table2[[#This Row],[Date]])&amp;TEXT(MONTH(Table2[[#This Row],[Date]]),"00"))</f>
        <v>202208</v>
      </c>
      <c r="B7704" s="6">
        <v>44795</v>
      </c>
      <c r="C7704" t="s">
        <v>2262</v>
      </c>
      <c r="D7704" t="s">
        <v>2837</v>
      </c>
      <c r="E7704">
        <f t="shared" si="40"/>
        <v>3.78</v>
      </c>
      <c r="F7704" s="2" t="str">
        <f>IF(Table2[[#This Row],[Manual Cat Value]]="",VLOOKUP(Table2[[#This Row],[Description]],'Actuals Lookup'!D:F,3,0),Table2[[#This Row],[Manual Cat Value]])</f>
        <v>Exp - Transportation</v>
      </c>
      <c r="G7704" t="e">
        <f>VLOOKUP(D7704,Lookup!G:H,2,0)</f>
        <v>#N/A</v>
      </c>
      <c r="H7704" s="8" t="s">
        <v>22</v>
      </c>
      <c r="I7704" s="8"/>
      <c r="J7704">
        <v>3.78</v>
      </c>
      <c r="M7704" t="s">
        <v>2513</v>
      </c>
      <c r="O7704" t="str">
        <f>LEFT(Table2[[#This Row],[Description]],75)</f>
        <v>SPEEDWAY 04366 EXCELSIOR MN REF #2413746KS0180MN5Q</v>
      </c>
    </row>
    <row r="7705" spans="1:15" hidden="1">
      <c r="A7705" s="25">
        <f>VALUE(YEAR(Table2[[#This Row],[Date]])&amp;TEXT(MONTH(Table2[[#This Row],[Date]]),"00"))</f>
        <v>202208</v>
      </c>
      <c r="B7705" s="6">
        <v>44795</v>
      </c>
      <c r="C7705" t="s">
        <v>2265</v>
      </c>
      <c r="D7705" t="s">
        <v>2838</v>
      </c>
      <c r="E7705">
        <f t="shared" si="40"/>
        <v>94.55</v>
      </c>
      <c r="F7705" s="2" t="str">
        <f>IF(Table2[[#This Row],[Manual Cat Value]]="",VLOOKUP(Table2[[#This Row],[Description]],'Actuals Lookup'!D:F,3,0),Table2[[#This Row],[Manual Cat Value]])</f>
        <v>Exp - Utilities</v>
      </c>
      <c r="G7705" t="e">
        <f>VLOOKUP(D7705,Lookup!G:H,2,0)</f>
        <v>#N/A</v>
      </c>
      <c r="H7705" s="8" t="s">
        <v>6</v>
      </c>
      <c r="I7705" s="8"/>
      <c r="J7705">
        <v>94.55</v>
      </c>
      <c r="M7705" t="s">
        <v>2513</v>
      </c>
      <c r="O7705" t="str">
        <f>LEFT(Table2[[#This Row],[Description]],75)</f>
        <v xml:space="preserve">Withdrawal ACH CITY OF CHANHASS TYPE: UTIL BILL ID: 1410885331 CO: CITY OF </v>
      </c>
    </row>
    <row r="7706" spans="1:15" hidden="1">
      <c r="A7706" s="25">
        <f>VALUE(YEAR(Table2[[#This Row],[Date]])&amp;TEXT(MONTH(Table2[[#This Row],[Date]]),"00"))</f>
        <v>202208</v>
      </c>
      <c r="B7706" s="6">
        <v>44795</v>
      </c>
      <c r="C7706" t="s">
        <v>2265</v>
      </c>
      <c r="D7706" t="s">
        <v>2839</v>
      </c>
      <c r="E7706">
        <f t="shared" ref="E7706:E7737" si="41">IF(M7706="credit",-1*J7706,J7706)</f>
        <v>724.45</v>
      </c>
      <c r="F7706" s="2" t="str">
        <f>IF(Table2[[#This Row],[Manual Cat Value]]="",VLOOKUP(Table2[[#This Row],[Description]],'Actuals Lookup'!D:F,3,0),Table2[[#This Row],[Manual Cat Value]])</f>
        <v>Delete</v>
      </c>
      <c r="G7706" t="e">
        <f>VLOOKUP(D7706,Lookup!G:H,2,0)</f>
        <v>#N/A</v>
      </c>
      <c r="H7706" s="8" t="s">
        <v>9</v>
      </c>
      <c r="I7706" s="8"/>
      <c r="J7706">
        <v>724.45</v>
      </c>
      <c r="M7706" t="s">
        <v>2513</v>
      </c>
      <c r="O7706" t="str">
        <f>LEFT(Table2[[#This Row],[Description]],75)</f>
        <v>Withdrawal ACH DISCOVER TYPE: E-PAYMENT ID: 2510020270 CO: DISCOVER NAME: T</v>
      </c>
    </row>
    <row r="7707" spans="1:15" hidden="1">
      <c r="A7707" s="25">
        <f>VALUE(YEAR(Table2[[#This Row],[Date]])&amp;TEXT(MONTH(Table2[[#This Row],[Date]]),"00"))</f>
        <v>202208</v>
      </c>
      <c r="B7707" s="6">
        <v>44796</v>
      </c>
      <c r="C7707" t="s">
        <v>2262</v>
      </c>
      <c r="D7707" t="s">
        <v>2840</v>
      </c>
      <c r="E7707">
        <f t="shared" si="41"/>
        <v>32.159999999999997</v>
      </c>
      <c r="F7707" s="2" t="str">
        <f>IF(Table2[[#This Row],[Manual Cat Value]]="",VLOOKUP(Table2[[#This Row],[Description]],'Actuals Lookup'!D:F,3,0),Table2[[#This Row],[Manual Cat Value]])</f>
        <v>Exp - Amazon</v>
      </c>
      <c r="G7707" t="e">
        <f>VLOOKUP(D7707,Lookup!G:H,2,0)</f>
        <v>#N/A</v>
      </c>
      <c r="H7707" s="8" t="s">
        <v>37</v>
      </c>
      <c r="I7707" s="8"/>
      <c r="J7707">
        <v>32.159999999999997</v>
      </c>
      <c r="M7707" t="s">
        <v>2513</v>
      </c>
      <c r="O7707" t="str">
        <f>LEFT(Table2[[#This Row],[Description]],75)</f>
        <v>Amazon.com*ZW8US0B03 Amzn.com/billWA REF #2469216KS2XGDKXFW</v>
      </c>
    </row>
    <row r="7708" spans="1:15" ht="30" hidden="1">
      <c r="A7708" s="25">
        <f>VALUE(YEAR(Table2[[#This Row],[Date]])&amp;TEXT(MONTH(Table2[[#This Row],[Date]]),"00"))</f>
        <v>202208</v>
      </c>
      <c r="B7708" s="6">
        <v>44796</v>
      </c>
      <c r="C7708" t="s">
        <v>2447</v>
      </c>
      <c r="D7708" s="7" t="s">
        <v>2841</v>
      </c>
      <c r="E7708">
        <f t="shared" si="41"/>
        <v>27.04</v>
      </c>
      <c r="F7708" s="2" t="str">
        <f>IF(Table2[[#This Row],[Manual Cat Value]]="",VLOOKUP(Table2[[#This Row],[Description]],'Actuals Lookup'!D:F,3,0),Table2[[#This Row],[Manual Cat Value]])</f>
        <v>Exp - Amazon</v>
      </c>
      <c r="G7708" t="e">
        <f>VLOOKUP(D7708,Lookup!G:H,2,0)</f>
        <v>#N/A</v>
      </c>
      <c r="H7708" s="78" t="s">
        <v>37</v>
      </c>
      <c r="I7708" s="78"/>
      <c r="J7708">
        <v>27.04</v>
      </c>
      <c r="M7708" t="s">
        <v>2513</v>
      </c>
      <c r="O7708" t="str">
        <f>LEFT(Table2[[#This Row],[Description]],75)</f>
        <v>AMZN MKTP US*8D6ML97U3 AMZN.COM/BILLWA
550WZHJZJRZ</v>
      </c>
    </row>
    <row r="7709" spans="1:15" hidden="1">
      <c r="A7709" s="25">
        <f>VALUE(YEAR(Table2[[#This Row],[Date]])&amp;TEXT(MONTH(Table2[[#This Row],[Date]]),"00"))</f>
        <v>202208</v>
      </c>
      <c r="B7709" s="6">
        <v>44796</v>
      </c>
      <c r="C7709" t="s">
        <v>2262</v>
      </c>
      <c r="D7709" t="s">
        <v>2842</v>
      </c>
      <c r="E7709">
        <f t="shared" si="41"/>
        <v>129.35</v>
      </c>
      <c r="F7709" s="2" t="str">
        <f>IF(Table2[[#This Row],[Manual Cat Value]]="",VLOOKUP(Table2[[#This Row],[Description]],'Actuals Lookup'!D:F,3,0),Table2[[#This Row],[Manual Cat Value]])</f>
        <v>Exp - Groceries</v>
      </c>
      <c r="G7709" t="e">
        <f>VLOOKUP(D7709,Lookup!G:H,2,0)</f>
        <v>#N/A</v>
      </c>
      <c r="H7709" s="8" t="s">
        <v>27</v>
      </c>
      <c r="I7709" s="8"/>
      <c r="J7709">
        <v>129.35</v>
      </c>
      <c r="M7709" t="s">
        <v>2513</v>
      </c>
      <c r="O7709" t="str">
        <f>LEFT(Table2[[#This Row],[Description]],75)</f>
        <v>CUB FOODS 01644 952-934-1010 MN REF #2423168KS2DQZ3PRP</v>
      </c>
    </row>
    <row r="7710" spans="1:15" hidden="1">
      <c r="A7710" s="25">
        <f>VALUE(YEAR(Table2[[#This Row],[Date]])&amp;TEXT(MONTH(Table2[[#This Row],[Date]]),"00"))</f>
        <v>202208</v>
      </c>
      <c r="B7710" s="6">
        <v>44796</v>
      </c>
      <c r="C7710" t="s">
        <v>2300</v>
      </c>
      <c r="D7710" t="s">
        <v>2843</v>
      </c>
      <c r="E7710">
        <f t="shared" si="41"/>
        <v>-100</v>
      </c>
      <c r="F7710" s="2" t="str">
        <f>IF(Table2[[#This Row],[Manual Cat Value]]="",VLOOKUP(Table2[[#This Row],[Description]],'Actuals Lookup'!D:F,3,0),Table2[[#This Row],[Manual Cat Value]])</f>
        <v>Sav - Savings</v>
      </c>
      <c r="G7710" t="e">
        <f>VLOOKUP(D7710,Lookup!G:H,2,0)</f>
        <v>#N/A</v>
      </c>
      <c r="H7710" s="8" t="s">
        <v>58</v>
      </c>
      <c r="I7710" s="8"/>
      <c r="J7710">
        <v>100</v>
      </c>
      <c r="M7710" t="s">
        <v>2621</v>
      </c>
      <c r="O7710" t="str">
        <f>LEFT(Table2[[#This Row],[Description]],75)</f>
        <v>Deposit Home Banking Transfer From Share 70 REF # 498400</v>
      </c>
    </row>
    <row r="7711" spans="1:15" hidden="1">
      <c r="A7711" s="25">
        <f>VALUE(YEAR(Table2[[#This Row],[Date]])&amp;TEXT(MONTH(Table2[[#This Row],[Date]]),"00"))</f>
        <v>202208</v>
      </c>
      <c r="B7711" s="6">
        <v>44796</v>
      </c>
      <c r="C7711" t="s">
        <v>2265</v>
      </c>
      <c r="D7711" t="s">
        <v>2844</v>
      </c>
      <c r="E7711">
        <f t="shared" si="41"/>
        <v>536.5</v>
      </c>
      <c r="F7711" s="2" t="str">
        <f>IF(Table2[[#This Row],[Manual Cat Value]]="",VLOOKUP(Table2[[#This Row],[Description]],'Actuals Lookup'!D:F,3,0),Table2[[#This Row],[Manual Cat Value]])</f>
        <v>Exp - Day Care</v>
      </c>
      <c r="G7711" t="e">
        <f>VLOOKUP(D7711,Lookup!G:H,2,0)</f>
        <v>#N/A</v>
      </c>
      <c r="H7711" s="8" t="s">
        <v>19</v>
      </c>
      <c r="I7711" s="8"/>
      <c r="J7711">
        <v>536.5</v>
      </c>
      <c r="M7711" t="s">
        <v>2513</v>
      </c>
      <c r="O7711" t="str">
        <f>LEFT(Table2[[#This Row],[Description]],75)</f>
        <v xml:space="preserve">Withdrawal ACH MHCHILDCARELLC TYPE: DUES ID: 1824708198 CO: MHCHILDCARELLC </v>
      </c>
    </row>
    <row r="7712" spans="1:15" hidden="1">
      <c r="A7712" s="25">
        <f>VALUE(YEAR(Table2[[#This Row],[Date]])&amp;TEXT(MONTH(Table2[[#This Row],[Date]]),"00"))</f>
        <v>202208</v>
      </c>
      <c r="B7712" s="6">
        <v>44796</v>
      </c>
      <c r="C7712" t="s">
        <v>2265</v>
      </c>
      <c r="D7712" t="s">
        <v>2845</v>
      </c>
      <c r="E7712">
        <f t="shared" si="41"/>
        <v>52.9</v>
      </c>
      <c r="F7712" s="2" t="str">
        <f>IF(Table2[[#This Row],[Manual Cat Value]]="",VLOOKUP(Table2[[#This Row],[Description]],'Actuals Lookup'!D:F,3,0),Table2[[#This Row],[Manual Cat Value]])</f>
        <v>Exp - Shopping</v>
      </c>
      <c r="G7712" t="e">
        <f>VLOOKUP(D7712,Lookup!G:H,2,0)</f>
        <v>#N/A</v>
      </c>
      <c r="H7712" s="8" t="s">
        <v>36</v>
      </c>
      <c r="I7712" s="8" t="s">
        <v>2846</v>
      </c>
      <c r="J7712">
        <v>52.9</v>
      </c>
      <c r="M7712" t="s">
        <v>2513</v>
      </c>
      <c r="O7712" t="str">
        <f>LEFT(Table2[[#This Row],[Description]],75)</f>
        <v xml:space="preserve">Withdrawal ACH PAYPAL TYPE: INST XFER ID: PAYPALSI77 CO: PAYPAL NAME: JEFF </v>
      </c>
    </row>
    <row r="7713" spans="1:15" hidden="1">
      <c r="A7713" s="25">
        <f>VALUE(YEAR(Table2[[#This Row],[Date]])&amp;TEXT(MONTH(Table2[[#This Row],[Date]]),"00"))</f>
        <v>202208</v>
      </c>
      <c r="B7713" s="6">
        <v>44796</v>
      </c>
      <c r="C7713" t="s">
        <v>2265</v>
      </c>
      <c r="D7713" t="s">
        <v>2847</v>
      </c>
      <c r="E7713">
        <f t="shared" si="41"/>
        <v>100</v>
      </c>
      <c r="F7713" s="2" t="str">
        <f>IF(Table2[[#This Row],[Manual Cat Value]]="",VLOOKUP(Table2[[#This Row],[Description]],'Actuals Lookup'!D:F,3,0),Table2[[#This Row],[Manual Cat Value]])</f>
        <v>Sav - Savings</v>
      </c>
      <c r="G7713" t="e">
        <f>VLOOKUP(D7713,Lookup!G:H,2,0)</f>
        <v>#N/A</v>
      </c>
      <c r="H7713" s="8" t="s">
        <v>58</v>
      </c>
      <c r="I7713" s="8"/>
      <c r="J7713">
        <v>100</v>
      </c>
      <c r="M7713" t="s">
        <v>2513</v>
      </c>
      <c r="O7713" t="str">
        <f>LEFT(Table2[[#This Row],[Description]],75)</f>
        <v>Withdrawal Home Banking Transfer To Share 12 REF # 498400</v>
      </c>
    </row>
    <row r="7714" spans="1:15" hidden="1">
      <c r="A7714" s="25">
        <f>VALUE(YEAR(Table2[[#This Row],[Date]])&amp;TEXT(MONTH(Table2[[#This Row],[Date]]),"00"))</f>
        <v>202208</v>
      </c>
      <c r="B7714" s="6">
        <v>44796</v>
      </c>
      <c r="C7714" t="s">
        <v>2265</v>
      </c>
      <c r="D7714" t="s">
        <v>2848</v>
      </c>
      <c r="E7714">
        <f t="shared" si="41"/>
        <v>165.61</v>
      </c>
      <c r="F7714" s="2" t="str">
        <f>IF(Table2[[#This Row],[Manual Cat Value]]="",VLOOKUP(Table2[[#This Row],[Description]],'Actuals Lookup'!D:F,3,0),Table2[[#This Row],[Manual Cat Value]])</f>
        <v>Exp - Shopping</v>
      </c>
      <c r="G7714" t="e">
        <f>VLOOKUP(D7714,Lookup!G:H,2,0)</f>
        <v>#N/A</v>
      </c>
      <c r="H7714" s="8" t="s">
        <v>36</v>
      </c>
      <c r="I7714" s="8"/>
      <c r="J7714">
        <v>165.61</v>
      </c>
      <c r="M7714" t="s">
        <v>2513</v>
      </c>
      <c r="O7714" t="str">
        <f>LEFT(Table2[[#This Row],[Description]],75)</f>
        <v>Withdrawal ACH VENMO TYPE: PAYMENT ID: 326XXXXXXX CO: VENMO NAME: BRITNEY T</v>
      </c>
    </row>
    <row r="7715" spans="1:15" hidden="1">
      <c r="A7715" s="25">
        <f>VALUE(YEAR(Table2[[#This Row],[Date]])&amp;TEXT(MONTH(Table2[[#This Row],[Date]]),"00"))</f>
        <v>202208</v>
      </c>
      <c r="B7715" s="6">
        <v>44797</v>
      </c>
      <c r="C7715" t="s">
        <v>2262</v>
      </c>
      <c r="D7715" t="s">
        <v>2849</v>
      </c>
      <c r="E7715">
        <f t="shared" si="41"/>
        <v>520.91999999999996</v>
      </c>
      <c r="F7715" s="2" t="str">
        <f>IF(Table2[[#This Row],[Manual Cat Value]]="",VLOOKUP(Table2[[#This Row],[Description]],'Actuals Lookup'!D:F,3,0),Table2[[#This Row],[Manual Cat Value]])</f>
        <v>Delete</v>
      </c>
      <c r="G7715" t="e">
        <f>VLOOKUP(D7715,Lookup!G:H,2,0)</f>
        <v>#N/A</v>
      </c>
      <c r="H7715" s="8" t="s">
        <v>9</v>
      </c>
      <c r="I7715" s="8" t="s">
        <v>2850</v>
      </c>
      <c r="J7715">
        <v>520.91999999999996</v>
      </c>
      <c r="M7715" t="s">
        <v>2513</v>
      </c>
      <c r="O7715" t="str">
        <f>LEFT(Table2[[#This Row],[Description]],75)</f>
        <v>RESERVATION HILTONBOS 8449963737 CA REF #2449215KVLWJHQFMP</v>
      </c>
    </row>
    <row r="7716" spans="1:15" hidden="1">
      <c r="A7716" s="25">
        <f>VALUE(YEAR(Table2[[#This Row],[Date]])&amp;TEXT(MONTH(Table2[[#This Row],[Date]]),"00"))</f>
        <v>202208</v>
      </c>
      <c r="B7716" s="6">
        <v>44797</v>
      </c>
      <c r="C7716" t="s">
        <v>2265</v>
      </c>
      <c r="D7716" t="s">
        <v>2851</v>
      </c>
      <c r="E7716">
        <f t="shared" si="41"/>
        <v>43</v>
      </c>
      <c r="F7716" s="2" t="str">
        <f>IF(Table2[[#This Row],[Manual Cat Value]]="",VLOOKUP(Table2[[#This Row],[Description]],'Actuals Lookup'!D:F,3,0),Table2[[#This Row],[Manual Cat Value]])</f>
        <v>Exp - Shopping</v>
      </c>
      <c r="G7716" t="e">
        <f>VLOOKUP(D7716,Lookup!G:H,2,0)</f>
        <v>#N/A</v>
      </c>
      <c r="H7716" s="8" t="s">
        <v>36</v>
      </c>
      <c r="I7716" s="8" t="s">
        <v>2852</v>
      </c>
      <c r="J7716">
        <v>43</v>
      </c>
      <c r="M7716" t="s">
        <v>2513</v>
      </c>
      <c r="O7716" t="str">
        <f>LEFT(Table2[[#This Row],[Description]],75)</f>
        <v xml:space="preserve">Withdrawal ACH PAYPAL TYPE: INST XFER ID: PAYPALSI77 CO: PAYPAL NAME: JEFF </v>
      </c>
    </row>
    <row r="7717" spans="1:15" hidden="1">
      <c r="A7717" s="25">
        <f>VALUE(YEAR(Table2[[#This Row],[Date]])&amp;TEXT(MONTH(Table2[[#This Row],[Date]]),"00"))</f>
        <v>202208</v>
      </c>
      <c r="B7717" s="6">
        <v>44798</v>
      </c>
      <c r="C7717" t="s">
        <v>2262</v>
      </c>
      <c r="D7717" t="s">
        <v>2853</v>
      </c>
      <c r="E7717">
        <f t="shared" si="41"/>
        <v>6.42</v>
      </c>
      <c r="F7717" s="2" t="str">
        <f>IF(Table2[[#This Row],[Manual Cat Value]]="",VLOOKUP(Table2[[#This Row],[Description]],'Actuals Lookup'!D:F,3,0),Table2[[#This Row],[Manual Cat Value]])</f>
        <v>Exp - Amazon</v>
      </c>
      <c r="G7717" t="e">
        <f>VLOOKUP(D7717,Lookup!G:H,2,0)</f>
        <v>#N/A</v>
      </c>
      <c r="H7717" s="8" t="s">
        <v>37</v>
      </c>
      <c r="I7717" s="8"/>
      <c r="J7717">
        <v>6.42</v>
      </c>
      <c r="M7717" t="s">
        <v>2513</v>
      </c>
      <c r="O7717" t="str">
        <f>LEFT(Table2[[#This Row],[Description]],75)</f>
        <v>AMZN Mktp US*MR64V78J3 Amzn.com/billWA REF #2469216KW2XA95P65</v>
      </c>
    </row>
    <row r="7718" spans="1:15" hidden="1">
      <c r="A7718" s="25">
        <f>VALUE(YEAR(Table2[[#This Row],[Date]])&amp;TEXT(MONTH(Table2[[#This Row],[Date]]),"00"))</f>
        <v>202208</v>
      </c>
      <c r="B7718" s="6">
        <v>44798</v>
      </c>
      <c r="C7718" t="s">
        <v>2262</v>
      </c>
      <c r="D7718" t="s">
        <v>2854</v>
      </c>
      <c r="E7718">
        <f t="shared" si="41"/>
        <v>72.27</v>
      </c>
      <c r="F7718" s="2" t="str">
        <f>IF(Table2[[#This Row],[Manual Cat Value]]="",VLOOKUP(Table2[[#This Row],[Description]],'Actuals Lookup'!D:F,3,0),Table2[[#This Row],[Manual Cat Value]])</f>
        <v>Exp - Amazon</v>
      </c>
      <c r="G7718" t="e">
        <f>VLOOKUP(D7718,Lookup!G:H,2,0)</f>
        <v>#N/A</v>
      </c>
      <c r="H7718" s="8" t="s">
        <v>37</v>
      </c>
      <c r="I7718" s="8"/>
      <c r="J7718">
        <v>72.27</v>
      </c>
      <c r="M7718" t="s">
        <v>2513</v>
      </c>
      <c r="O7718" t="str">
        <f>LEFT(Table2[[#This Row],[Description]],75)</f>
        <v>AMZN Mktp US*P39AX7DQ3 Amzn.com/billWA REF #2469216KW2XAP2AAX</v>
      </c>
    </row>
    <row r="7719" spans="1:15" hidden="1">
      <c r="A7719" s="25">
        <f>VALUE(YEAR(Table2[[#This Row],[Date]])&amp;TEXT(MONTH(Table2[[#This Row],[Date]]),"00"))</f>
        <v>202208</v>
      </c>
      <c r="B7719" s="6">
        <v>44798</v>
      </c>
      <c r="C7719" t="s">
        <v>2262</v>
      </c>
      <c r="D7719" t="s">
        <v>2855</v>
      </c>
      <c r="E7719">
        <f t="shared" si="41"/>
        <v>60</v>
      </c>
      <c r="F7719" s="2" t="str">
        <f>IF(Table2[[#This Row],[Manual Cat Value]]="",VLOOKUP(Table2[[#This Row],[Description]],'Actuals Lookup'!D:F,3,0),Table2[[#This Row],[Manual Cat Value]])</f>
        <v>Delete</v>
      </c>
      <c r="G7719" t="e">
        <f>VLOOKUP(D7719,Lookup!G:H,2,0)</f>
        <v>#N/A</v>
      </c>
      <c r="H7719" s="8" t="s">
        <v>9</v>
      </c>
      <c r="I7719" s="8"/>
      <c r="J7719">
        <v>60</v>
      </c>
      <c r="M7719" t="s">
        <v>2513</v>
      </c>
      <c r="O7719" t="str">
        <f>LEFT(Table2[[#This Row],[Description]],75)</f>
        <v>DELTA AIR 0062334685936DELTA.COM CA REF #2471705KWTQEQ9QLQ</v>
      </c>
    </row>
    <row r="7720" spans="1:15" hidden="1">
      <c r="A7720" s="25">
        <f>VALUE(YEAR(Table2[[#This Row],[Date]])&amp;TEXT(MONTH(Table2[[#This Row],[Date]]),"00"))</f>
        <v>202208</v>
      </c>
      <c r="B7720" s="6">
        <v>44798</v>
      </c>
      <c r="C7720" t="s">
        <v>2265</v>
      </c>
      <c r="D7720" t="s">
        <v>2856</v>
      </c>
      <c r="E7720">
        <f t="shared" si="41"/>
        <v>-132.01</v>
      </c>
      <c r="F7720" s="2" t="str">
        <f>IF(Table2[[#This Row],[Manual Cat Value]]="",VLOOKUP(Table2[[#This Row],[Description]],'Actuals Lookup'!D:F,3,0),Table2[[#This Row],[Manual Cat Value]])</f>
        <v>Inc - Britney</v>
      </c>
      <c r="G7720" t="e">
        <f>VLOOKUP(D7720,Lookup!G:H,2,0)</f>
        <v>#N/A</v>
      </c>
      <c r="H7720" s="8" t="s">
        <v>65</v>
      </c>
      <c r="I7720" s="8"/>
      <c r="J7720">
        <v>132.01</v>
      </c>
      <c r="M7720" t="s">
        <v>2621</v>
      </c>
      <c r="O7720" t="str">
        <f>LEFT(Table2[[#This Row],[Description]],75)</f>
        <v>Deposit ACH CARGILL INCORPOR TYPE: 004XXXXXXX ID: 2410177680 CO: CARGILL IN</v>
      </c>
    </row>
    <row r="7721" spans="1:15" hidden="1">
      <c r="A7721" s="25">
        <f>VALUE(YEAR(Table2[[#This Row],[Date]])&amp;TEXT(MONTH(Table2[[#This Row],[Date]]),"00"))</f>
        <v>202208</v>
      </c>
      <c r="B7721" s="6">
        <v>44798</v>
      </c>
      <c r="C7721" t="s">
        <v>2262</v>
      </c>
      <c r="D7721" t="s">
        <v>2857</v>
      </c>
      <c r="E7721">
        <f t="shared" si="41"/>
        <v>7.05</v>
      </c>
      <c r="F7721" s="2" t="str">
        <f>IF(Table2[[#This Row],[Manual Cat Value]]="",VLOOKUP(Table2[[#This Row],[Description]],'Actuals Lookup'!D:F,3,0),Table2[[#This Row],[Manual Cat Value]])</f>
        <v>Exp - Restaurants</v>
      </c>
      <c r="G7721" t="e">
        <f>VLOOKUP(D7721,Lookup!G:H,2,0)</f>
        <v>#N/A</v>
      </c>
      <c r="H7721" s="8" t="s">
        <v>25</v>
      </c>
      <c r="I7721" s="8"/>
      <c r="J7721">
        <v>7.05</v>
      </c>
      <c r="M7721" t="s">
        <v>2513</v>
      </c>
      <c r="O7721" t="str">
        <f>LEFT(Table2[[#This Row],[Description]],75)</f>
        <v>LICKS UNLIMITED EXCELSIOR MN REF #2401339KW02HT04P6</v>
      </c>
    </row>
    <row r="7722" spans="1:15" hidden="1">
      <c r="A7722" s="25">
        <f>VALUE(YEAR(Table2[[#This Row],[Date]])&amp;TEXT(MONTH(Table2[[#This Row],[Date]]),"00"))</f>
        <v>202208</v>
      </c>
      <c r="B7722" s="6">
        <v>44798</v>
      </c>
      <c r="C7722" t="s">
        <v>2265</v>
      </c>
      <c r="D7722" t="s">
        <v>2858</v>
      </c>
      <c r="E7722">
        <f t="shared" si="41"/>
        <v>42.1</v>
      </c>
      <c r="F7722" s="2" t="str">
        <f>IF(Table2[[#This Row],[Manual Cat Value]]="",VLOOKUP(Table2[[#This Row],[Description]],'Actuals Lookup'!D:F,3,0),Table2[[#This Row],[Manual Cat Value]])</f>
        <v>Exp - Shopping</v>
      </c>
      <c r="G7722" t="e">
        <f>VLOOKUP(D7722,Lookup!G:H,2,0)</f>
        <v>#N/A</v>
      </c>
      <c r="H7722" s="8" t="s">
        <v>36</v>
      </c>
      <c r="I7722" s="8" t="s">
        <v>2846</v>
      </c>
      <c r="J7722">
        <v>42.1</v>
      </c>
      <c r="M7722" t="s">
        <v>2513</v>
      </c>
      <c r="O7722" t="str">
        <f>LEFT(Table2[[#This Row],[Description]],75)</f>
        <v xml:space="preserve">Withdrawal ACH PAYPAL TYPE: INST XFER ID: PAYPALSI77 CO: PAYPAL NAME: JEFF </v>
      </c>
    </row>
    <row r="7723" spans="1:15" hidden="1">
      <c r="A7723" s="25">
        <f>VALUE(YEAR(Table2[[#This Row],[Date]])&amp;TEXT(MONTH(Table2[[#This Row],[Date]]),"00"))</f>
        <v>202208</v>
      </c>
      <c r="B7723" s="6">
        <v>44798</v>
      </c>
      <c r="C7723" t="s">
        <v>2265</v>
      </c>
      <c r="D7723" t="s">
        <v>2859</v>
      </c>
      <c r="E7723">
        <f t="shared" si="41"/>
        <v>288.69</v>
      </c>
      <c r="F7723" s="2" t="str">
        <f>IF(Table2[[#This Row],[Manual Cat Value]]="",VLOOKUP(Table2[[#This Row],[Description]],'Actuals Lookup'!D:F,3,0),Table2[[#This Row],[Manual Cat Value]])</f>
        <v>Exp - Target</v>
      </c>
      <c r="G7723" t="e">
        <f>VLOOKUP(D7723,Lookup!G:H,2,0)</f>
        <v>#N/A</v>
      </c>
      <c r="H7723" s="8" t="s">
        <v>30</v>
      </c>
      <c r="I7723" s="8"/>
      <c r="J7723">
        <v>288.69</v>
      </c>
      <c r="M7723" t="s">
        <v>2513</v>
      </c>
      <c r="O7723" t="str">
        <f>LEFT(Table2[[#This Row],[Description]],75)</f>
        <v>Withdrawal ACH TARGET CARD SRVC TYPE: AUTO PYMT ID: 1411721813 CO: TARGET C</v>
      </c>
    </row>
    <row r="7724" spans="1:15" hidden="1">
      <c r="A7724" s="25">
        <f>VALUE(YEAR(Table2[[#This Row],[Date]])&amp;TEXT(MONTH(Table2[[#This Row],[Date]]),"00"))</f>
        <v>202208</v>
      </c>
      <c r="B7724" s="6">
        <v>44798</v>
      </c>
      <c r="C7724" t="s">
        <v>2265</v>
      </c>
      <c r="D7724" t="s">
        <v>2860</v>
      </c>
      <c r="E7724">
        <f t="shared" si="41"/>
        <v>30</v>
      </c>
      <c r="F7724" s="2" t="str">
        <f>IF(Table2[[#This Row],[Manual Cat Value]]="",VLOOKUP(Table2[[#This Row],[Description]],'Actuals Lookup'!D:F,3,0),Table2[[#This Row],[Manual Cat Value]])</f>
        <v>Exp - Amazon</v>
      </c>
      <c r="G7724" t="e">
        <f>VLOOKUP(D7724,Lookup!G:H,2,0)</f>
        <v>#N/A</v>
      </c>
      <c r="H7724" s="8" t="s">
        <v>37</v>
      </c>
      <c r="I7724" s="8"/>
      <c r="J7724">
        <v>30</v>
      </c>
      <c r="M7724" t="s">
        <v>2513</v>
      </c>
      <c r="O7724" t="str">
        <f>LEFT(Table2[[#This Row],[Description]],75)</f>
        <v>Withdrawal POS #0000BCTKD3GI AMAZON.COM*IO4HQ8HS3 SEATTLE WA</v>
      </c>
    </row>
    <row r="7725" spans="1:15" hidden="1">
      <c r="A7725" s="25">
        <f>VALUE(YEAR(Table2[[#This Row],[Date]])&amp;TEXT(MONTH(Table2[[#This Row],[Date]]),"00"))</f>
        <v>202208</v>
      </c>
      <c r="B7725" s="6">
        <v>44798</v>
      </c>
      <c r="C7725" t="s">
        <v>2265</v>
      </c>
      <c r="D7725" t="s">
        <v>2861</v>
      </c>
      <c r="E7725">
        <f t="shared" si="41"/>
        <v>824.53</v>
      </c>
      <c r="F7725" s="2" t="str">
        <f>IF(Table2[[#This Row],[Manual Cat Value]]="",VLOOKUP(Table2[[#This Row],[Description]],'Actuals Lookup'!D:F,3,0),Table2[[#This Row],[Manual Cat Value]])</f>
        <v>Exp - Shopping</v>
      </c>
      <c r="G7725" t="e">
        <f>VLOOKUP(D7725,Lookup!G:H,2,0)</f>
        <v>#N/A</v>
      </c>
      <c r="H7725" s="8" t="s">
        <v>36</v>
      </c>
      <c r="I7725" s="8"/>
      <c r="J7725">
        <v>824.53</v>
      </c>
      <c r="M7725" t="s">
        <v>2513</v>
      </c>
      <c r="O7725" t="str">
        <f>LEFT(Table2[[#This Row],[Description]],75)</f>
        <v>Withdrawal ACH NORDSTROM TYPE: PAYMENT ID: 9044022131 CO: NORDSTROM NAME: J</v>
      </c>
    </row>
    <row r="7726" spans="1:15" hidden="1">
      <c r="A7726" s="25">
        <f>VALUE(YEAR(Table2[[#This Row],[Date]])&amp;TEXT(MONTH(Table2[[#This Row],[Date]]),"00"))</f>
        <v>202208</v>
      </c>
      <c r="B7726" s="6">
        <v>44799</v>
      </c>
      <c r="C7726" t="s">
        <v>2262</v>
      </c>
      <c r="D7726" t="s">
        <v>2862</v>
      </c>
      <c r="E7726">
        <f t="shared" si="41"/>
        <v>17.97</v>
      </c>
      <c r="F7726" s="2" t="str">
        <f>IF(Table2[[#This Row],[Manual Cat Value]]="",VLOOKUP(Table2[[#This Row],[Description]],'Actuals Lookup'!D:F,3,0),Table2[[#This Row],[Manual Cat Value]])</f>
        <v>Exp - Groceries</v>
      </c>
      <c r="G7726" t="e">
        <f>VLOOKUP(D7726,Lookup!G:H,2,0)</f>
        <v>#N/A</v>
      </c>
      <c r="H7726" s="8" t="s">
        <v>27</v>
      </c>
      <c r="I7726" s="8"/>
      <c r="J7726">
        <v>17.97</v>
      </c>
      <c r="M7726" t="s">
        <v>2513</v>
      </c>
      <c r="O7726" t="str">
        <f>LEFT(Table2[[#This Row],[Description]],75)</f>
        <v>CUB FOODS CHANHASSEN MN REF #2442733KXM83KXM18</v>
      </c>
    </row>
    <row r="7727" spans="1:15" hidden="1">
      <c r="A7727" s="25">
        <f>VALUE(YEAR(Table2[[#This Row],[Date]])&amp;TEXT(MONTH(Table2[[#This Row],[Date]]),"00"))</f>
        <v>202208</v>
      </c>
      <c r="B7727" s="6">
        <v>44799</v>
      </c>
      <c r="C7727" t="s">
        <v>2265</v>
      </c>
      <c r="D7727" t="s">
        <v>2863</v>
      </c>
      <c r="E7727">
        <f t="shared" si="41"/>
        <v>25</v>
      </c>
      <c r="F7727" s="2" t="str">
        <f>IF(Table2[[#This Row],[Manual Cat Value]]="",VLOOKUP(Table2[[#This Row],[Description]],'Actuals Lookup'!D:F,3,0),Table2[[#This Row],[Manual Cat Value]])</f>
        <v>Exp - Shopping</v>
      </c>
      <c r="G7727" t="e">
        <f>VLOOKUP(D7727,Lookup!G:H,2,0)</f>
        <v>#N/A</v>
      </c>
      <c r="H7727" s="8" t="s">
        <v>36</v>
      </c>
      <c r="I7727" s="8"/>
      <c r="J7727">
        <v>25</v>
      </c>
      <c r="M7727" t="s">
        <v>2513</v>
      </c>
      <c r="O7727" t="str">
        <f>LEFT(Table2[[#This Row],[Description]],75)</f>
        <v>Withdrawal ACH VENMO TYPE: PAYMENT ID: 326XXXXXXX CO: VENMO NAME: BRITNEY T</v>
      </c>
    </row>
    <row r="7728" spans="1:15" ht="30" hidden="1">
      <c r="A7728" s="25">
        <f>VALUE(YEAR(Table2[[#This Row],[Date]])&amp;TEXT(MONTH(Table2[[#This Row],[Date]]),"00"))</f>
        <v>202208</v>
      </c>
      <c r="B7728" s="6">
        <v>44800</v>
      </c>
      <c r="C7728" t="s">
        <v>2447</v>
      </c>
      <c r="D7728" s="7" t="s">
        <v>2864</v>
      </c>
      <c r="E7728">
        <f t="shared" si="41"/>
        <v>58.51</v>
      </c>
      <c r="F7728" s="2" t="str">
        <f>IF(Table2[[#This Row],[Manual Cat Value]]="",VLOOKUP(Table2[[#This Row],[Description]],'Actuals Lookup'!D:F,3,0),Table2[[#This Row],[Manual Cat Value]])</f>
        <v>Exp - Groceries</v>
      </c>
      <c r="G7728" t="e">
        <f>VLOOKUP(D7728,Lookup!G:H,2,0)</f>
        <v>#N/A</v>
      </c>
      <c r="H7728" s="78" t="s">
        <v>27</v>
      </c>
      <c r="I7728" s="78"/>
      <c r="J7728">
        <v>58.51</v>
      </c>
      <c r="M7728" t="s">
        <v>2513</v>
      </c>
      <c r="O7728" t="str">
        <f>LEFT(Table2[[#This Row],[Description]],75)</f>
        <v>DICK'S FRESH MARKET AMERY WI
APPLE PAY ENDING IN 3050</v>
      </c>
    </row>
    <row r="7729" spans="1:15" hidden="1">
      <c r="A7729" s="25">
        <f>VALUE(YEAR(Table2[[#This Row],[Date]])&amp;TEXT(MONTH(Table2[[#This Row],[Date]]),"00"))</f>
        <v>202208</v>
      </c>
      <c r="B7729" s="6">
        <v>44801</v>
      </c>
      <c r="C7729" t="s">
        <v>2262</v>
      </c>
      <c r="D7729" t="s">
        <v>2865</v>
      </c>
      <c r="E7729">
        <f t="shared" si="41"/>
        <v>59.27</v>
      </c>
      <c r="F7729" s="2" t="str">
        <f>IF(Table2[[#This Row],[Manual Cat Value]]="",VLOOKUP(Table2[[#This Row],[Description]],'Actuals Lookup'!D:F,3,0),Table2[[#This Row],[Manual Cat Value]])</f>
        <v>Exp - Transportation</v>
      </c>
      <c r="G7729" t="e">
        <f>VLOOKUP(D7729,Lookup!G:H,2,0)</f>
        <v>#N/A</v>
      </c>
      <c r="H7729" s="8" t="s">
        <v>22</v>
      </c>
      <c r="I7729" s="8"/>
      <c r="J7729">
        <v>59.27</v>
      </c>
      <c r="M7729" t="s">
        <v>2513</v>
      </c>
      <c r="O7729" t="str">
        <f>LEFT(Table2[[#This Row],[Description]],75)</f>
        <v>LOVE'S #832 COLUMBUS MN REF #2469216KZ2YVVL3K0</v>
      </c>
    </row>
    <row r="7730" spans="1:15" hidden="1">
      <c r="A7730" s="25">
        <f>VALUE(YEAR(Table2[[#This Row],[Date]])&amp;TEXT(MONTH(Table2[[#This Row],[Date]]),"00"))</f>
        <v>202208</v>
      </c>
      <c r="B7730" s="6">
        <v>44801</v>
      </c>
      <c r="C7730" t="s">
        <v>2262</v>
      </c>
      <c r="D7730" t="s">
        <v>2866</v>
      </c>
      <c r="E7730">
        <f t="shared" si="41"/>
        <v>142.16999999999999</v>
      </c>
      <c r="F7730" s="2" t="str">
        <f>IF(Table2[[#This Row],[Manual Cat Value]]="",VLOOKUP(Table2[[#This Row],[Description]],'Actuals Lookup'!D:F,3,0),Table2[[#This Row],[Manual Cat Value]])</f>
        <v>Exp - Healthcare</v>
      </c>
      <c r="G7730" t="e">
        <f>VLOOKUP(D7730,Lookup!G:H,2,0)</f>
        <v>#N/A</v>
      </c>
      <c r="H7730" s="8" t="s">
        <v>47</v>
      </c>
      <c r="I7730" s="8"/>
      <c r="J7730">
        <v>142.16999999999999</v>
      </c>
      <c r="M7730" t="s">
        <v>2513</v>
      </c>
      <c r="O7730" t="str">
        <f>LEFT(Table2[[#This Row],[Description]],75)</f>
        <v>RIDGEVIEW MEDICAL CENTER WACONIA MN REF #2480197KY0ZPPN264</v>
      </c>
    </row>
    <row r="7731" spans="1:15" ht="45" hidden="1">
      <c r="A7731" s="25">
        <f>VALUE(YEAR(Table2[[#This Row],[Date]])&amp;TEXT(MONTH(Table2[[#This Row],[Date]]),"00"))</f>
        <v>202208</v>
      </c>
      <c r="B7731" s="6">
        <v>44801</v>
      </c>
      <c r="C7731" t="s">
        <v>2447</v>
      </c>
      <c r="D7731" s="7" t="s">
        <v>2867</v>
      </c>
      <c r="E7731">
        <f t="shared" si="41"/>
        <v>12.29</v>
      </c>
      <c r="F7731" s="2" t="str">
        <f>IF(Table2[[#This Row],[Manual Cat Value]]="",VLOOKUP(Table2[[#This Row],[Description]],'Actuals Lookup'!D:F,3,0),Table2[[#This Row],[Manual Cat Value]])</f>
        <v>Exp - Restaurants</v>
      </c>
      <c r="G7731" t="e">
        <f>VLOOKUP(D7731,Lookup!G:H,2,0)</f>
        <v>#N/A</v>
      </c>
      <c r="H7731" s="78" t="s">
        <v>25</v>
      </c>
      <c r="I7731" s="78"/>
      <c r="J7731">
        <v>12.29</v>
      </c>
      <c r="M7731" t="s">
        <v>2513</v>
      </c>
      <c r="O7731" t="str">
        <f>LEFT(Table2[[#This Row],[Description]],75)</f>
        <v>SQ *HOPSACK LLC BALSAM LAKE WI
APPLE PAY ENDING IN 3050
0002305843016202587</v>
      </c>
    </row>
    <row r="7732" spans="1:15" ht="30" hidden="1">
      <c r="A7732" s="25">
        <f>VALUE(YEAR(Table2[[#This Row],[Date]])&amp;TEXT(MONTH(Table2[[#This Row],[Date]]),"00"))</f>
        <v>202208</v>
      </c>
      <c r="B7732" s="6">
        <v>44802</v>
      </c>
      <c r="C7732" t="s">
        <v>2447</v>
      </c>
      <c r="D7732" s="7" t="s">
        <v>2868</v>
      </c>
      <c r="E7732">
        <f t="shared" si="41"/>
        <v>-58.68</v>
      </c>
      <c r="F7732" s="2" t="str">
        <f>IF(Table2[[#This Row],[Manual Cat Value]]="",VLOOKUP(Table2[[#This Row],[Description]],'Actuals Lookup'!D:F,3,0),Table2[[#This Row],[Manual Cat Value]])</f>
        <v>Exp - Amazon</v>
      </c>
      <c r="G7732" t="e">
        <f>VLOOKUP(D7732,Lookup!G:H,2,0)</f>
        <v>#N/A</v>
      </c>
      <c r="H7732" s="78" t="s">
        <v>37</v>
      </c>
      <c r="I7732" s="78"/>
      <c r="J7732">
        <v>58.68</v>
      </c>
      <c r="M7732" t="s">
        <v>2621</v>
      </c>
      <c r="O7732" t="str">
        <f>LEFT(Table2[[#This Row],[Description]],75)</f>
        <v>AMZN MKTP US AMZN.COM/BILLWA
59IT6TCZ9CG</v>
      </c>
    </row>
    <row r="7733" spans="1:15" hidden="1">
      <c r="A7733" s="25">
        <f>VALUE(YEAR(Table2[[#This Row],[Date]])&amp;TEXT(MONTH(Table2[[#This Row],[Date]]),"00"))</f>
        <v>202208</v>
      </c>
      <c r="B7733" s="6">
        <v>44802</v>
      </c>
      <c r="C7733" t="s">
        <v>2265</v>
      </c>
      <c r="D7733" t="s">
        <v>2869</v>
      </c>
      <c r="E7733">
        <f t="shared" si="41"/>
        <v>-47512.57</v>
      </c>
      <c r="F7733" s="2" t="str">
        <f>IF(Table2[[#This Row],[Manual Cat Value]]="",VLOOKUP(Table2[[#This Row],[Description]],'Actuals Lookup'!D:F,3,0),Table2[[#This Row],[Manual Cat Value]])</f>
        <v>Delete</v>
      </c>
      <c r="G7733" t="e">
        <f>VLOOKUP(D7733,Lookup!G:H,2,0)</f>
        <v>#N/A</v>
      </c>
      <c r="H7733" s="8" t="s">
        <v>9</v>
      </c>
      <c r="I7733" s="8" t="s">
        <v>2870</v>
      </c>
      <c r="J7733">
        <v>47512.57</v>
      </c>
      <c r="M7733" t="s">
        <v>2621</v>
      </c>
      <c r="O7733" t="str">
        <f>LEFT(Table2[[#This Row],[Description]],75)</f>
        <v>Deposit ACH SYNTELLIS TYPE: CREDITS ID: 1851377808 CO: SYNTELLIS Entry Clas</v>
      </c>
    </row>
    <row r="7734" spans="1:15" hidden="1">
      <c r="A7734" s="25">
        <f>VALUE(YEAR(Table2[[#This Row],[Date]])&amp;TEXT(MONTH(Table2[[#This Row],[Date]]),"00"))</f>
        <v>202208</v>
      </c>
      <c r="B7734" s="6">
        <v>44802</v>
      </c>
      <c r="C7734" t="s">
        <v>2262</v>
      </c>
      <c r="D7734" t="s">
        <v>2871</v>
      </c>
      <c r="E7734">
        <f t="shared" si="41"/>
        <v>37.56</v>
      </c>
      <c r="F7734" s="2" t="str">
        <f>IF(Table2[[#This Row],[Manual Cat Value]]="",VLOOKUP(Table2[[#This Row],[Description]],'Actuals Lookup'!D:F,3,0),Table2[[#This Row],[Manual Cat Value]])</f>
        <v>Exp - Shopping</v>
      </c>
      <c r="G7734" t="e">
        <f>VLOOKUP(D7734,Lookup!G:H,2,0)</f>
        <v>#N/A</v>
      </c>
      <c r="H7734" s="8" t="s">
        <v>36</v>
      </c>
      <c r="I7734" s="8"/>
      <c r="J7734">
        <v>37.56</v>
      </c>
      <c r="M7734" t="s">
        <v>2513</v>
      </c>
      <c r="O7734" t="str">
        <f>LEFT(Table2[[#This Row],[Description]],75)</f>
        <v>Etsy.com - BakersCustomAp718-8557955 NY REF #2420429L100TJB07A</v>
      </c>
    </row>
    <row r="7735" spans="1:15" hidden="1">
      <c r="A7735" s="25">
        <f>VALUE(YEAR(Table2[[#This Row],[Date]])&amp;TEXT(MONTH(Table2[[#This Row],[Date]]),"00"))</f>
        <v>202208</v>
      </c>
      <c r="B7735" s="6">
        <v>44802</v>
      </c>
      <c r="C7735" t="s">
        <v>2262</v>
      </c>
      <c r="D7735" t="s">
        <v>2872</v>
      </c>
      <c r="E7735">
        <f t="shared" si="41"/>
        <v>60.32</v>
      </c>
      <c r="F7735" s="2" t="str">
        <f>IF(Table2[[#This Row],[Manual Cat Value]]="",VLOOKUP(Table2[[#This Row],[Description]],'Actuals Lookup'!D:F,3,0),Table2[[#This Row],[Manual Cat Value]])</f>
        <v>Exp - Restaurants</v>
      </c>
      <c r="G7735" t="e">
        <f>VLOOKUP(D7735,Lookup!G:H,2,0)</f>
        <v>#N/A</v>
      </c>
      <c r="H7735" s="8" t="s">
        <v>25</v>
      </c>
      <c r="I7735" s="8"/>
      <c r="J7735">
        <v>60.32</v>
      </c>
      <c r="M7735" t="s">
        <v>2513</v>
      </c>
      <c r="O7735" t="str">
        <f>LEFT(Table2[[#This Row],[Description]],75)</f>
        <v>THIRSTY OTTER TAVERN 715-4853400 WI REF #2400097L0LQRKNEL5</v>
      </c>
    </row>
    <row r="7736" spans="1:15" hidden="1">
      <c r="A7736" s="25">
        <f>VALUE(YEAR(Table2[[#This Row],[Date]])&amp;TEXT(MONTH(Table2[[#This Row],[Date]]),"00"))</f>
        <v>202208</v>
      </c>
      <c r="B7736" s="6">
        <v>44802</v>
      </c>
      <c r="C7736" t="s">
        <v>2265</v>
      </c>
      <c r="D7736" t="s">
        <v>2873</v>
      </c>
      <c r="E7736">
        <f t="shared" si="41"/>
        <v>21.59</v>
      </c>
      <c r="F7736" s="2" t="str">
        <f>IF(Table2[[#This Row],[Manual Cat Value]]="",VLOOKUP(Table2[[#This Row],[Description]],'Actuals Lookup'!D:F,3,0),Table2[[#This Row],[Manual Cat Value]])</f>
        <v>Exp - Shopping</v>
      </c>
      <c r="G7736" t="e">
        <f>VLOOKUP(D7736,Lookup!G:H,2,0)</f>
        <v>#N/A</v>
      </c>
      <c r="H7736" s="8" t="s">
        <v>36</v>
      </c>
      <c r="I7736" s="8" t="s">
        <v>2874</v>
      </c>
      <c r="J7736">
        <v>21.59</v>
      </c>
      <c r="M7736" t="s">
        <v>2513</v>
      </c>
      <c r="O7736" t="str">
        <f>LEFT(Table2[[#This Row],[Description]],75)</f>
        <v xml:space="preserve">Withdrawal ACH PAYPAL TYPE: INST XFER ID: PAYPALSI77 CO: PAYPAL NAME: JEFF </v>
      </c>
    </row>
    <row r="7737" spans="1:15" hidden="1">
      <c r="A7737" s="25">
        <f>VALUE(YEAR(Table2[[#This Row],[Date]])&amp;TEXT(MONTH(Table2[[#This Row],[Date]]),"00"))</f>
        <v>202208</v>
      </c>
      <c r="B7737" s="6">
        <v>44802</v>
      </c>
      <c r="C7737" t="s">
        <v>2265</v>
      </c>
      <c r="D7737" t="s">
        <v>2875</v>
      </c>
      <c r="E7737">
        <f t="shared" si="41"/>
        <v>0.99</v>
      </c>
      <c r="F7737" s="2" t="str">
        <f>IF(Table2[[#This Row],[Manual Cat Value]]="",VLOOKUP(Table2[[#This Row],[Description]],'Actuals Lookup'!D:F,3,0),Table2[[#This Row],[Manual Cat Value]])</f>
        <v>Exp - Shopping</v>
      </c>
      <c r="G7737" t="e">
        <f>VLOOKUP(D7737,Lookup!G:H,2,0)</f>
        <v>#N/A</v>
      </c>
      <c r="H7737" s="8" t="s">
        <v>36</v>
      </c>
      <c r="I7737" s="8"/>
      <c r="J7737">
        <v>0.99</v>
      </c>
      <c r="M7737" t="s">
        <v>2513</v>
      </c>
      <c r="O7737" t="str">
        <f>LEFT(Table2[[#This Row],[Description]],75)</f>
        <v xml:space="preserve">Withdrawal ACH PAYPAL TYPE: INST XFER ID: PAYPALSI77 CO: PAYPAL NAME: JEFF </v>
      </c>
    </row>
    <row r="7738" spans="1:15" hidden="1">
      <c r="A7738" s="25">
        <f>VALUE(YEAR(Table2[[#This Row],[Date]])&amp;TEXT(MONTH(Table2[[#This Row],[Date]]),"00"))</f>
        <v>202208</v>
      </c>
      <c r="B7738" s="6">
        <v>44802</v>
      </c>
      <c r="C7738" t="s">
        <v>2265</v>
      </c>
      <c r="D7738" t="s">
        <v>2876</v>
      </c>
      <c r="E7738">
        <f t="shared" ref="E7738:E7769" si="42">IF(M7738="credit",-1*J7738,J7738)</f>
        <v>0.99</v>
      </c>
      <c r="F7738" s="2" t="str">
        <f>IF(Table2[[#This Row],[Manual Cat Value]]="",VLOOKUP(Table2[[#This Row],[Description]],'Actuals Lookup'!D:F,3,0),Table2[[#This Row],[Manual Cat Value]])</f>
        <v>Exp - Shopping</v>
      </c>
      <c r="G7738" t="e">
        <f>VLOOKUP(D7738,Lookup!G:H,2,0)</f>
        <v>#N/A</v>
      </c>
      <c r="H7738" s="8" t="s">
        <v>36</v>
      </c>
      <c r="I7738" s="8"/>
      <c r="J7738">
        <v>0.99</v>
      </c>
      <c r="M7738" t="s">
        <v>2513</v>
      </c>
      <c r="O7738" t="str">
        <f>LEFT(Table2[[#This Row],[Description]],75)</f>
        <v xml:space="preserve">Withdrawal ACH PAYPAL TYPE: INST XFER ID: PAYPALSI77 CO: PAYPAL NAME: JEFF </v>
      </c>
    </row>
    <row r="7739" spans="1:15" hidden="1">
      <c r="A7739" s="25">
        <f>VALUE(YEAR(Table2[[#This Row],[Date]])&amp;TEXT(MONTH(Table2[[#This Row],[Date]]),"00"))</f>
        <v>202208</v>
      </c>
      <c r="B7739" s="6">
        <v>44802</v>
      </c>
      <c r="C7739" t="s">
        <v>2265</v>
      </c>
      <c r="D7739" t="s">
        <v>2877</v>
      </c>
      <c r="E7739">
        <f t="shared" si="42"/>
        <v>20</v>
      </c>
      <c r="F7739" s="2" t="str">
        <f>IF(Table2[[#This Row],[Manual Cat Value]]="",VLOOKUP(Table2[[#This Row],[Description]],'Actuals Lookup'!D:F,3,0),Table2[[#This Row],[Manual Cat Value]])</f>
        <v>Exp - Entertainment</v>
      </c>
      <c r="G7739" t="e">
        <f>VLOOKUP(D7739,Lookup!G:H,2,0)</f>
        <v>#N/A</v>
      </c>
      <c r="H7739" s="8" t="s">
        <v>39</v>
      </c>
      <c r="I7739" s="8" t="s">
        <v>2878</v>
      </c>
      <c r="J7739">
        <v>20</v>
      </c>
      <c r="M7739" t="s">
        <v>2513</v>
      </c>
      <c r="O7739" t="str">
        <f>LEFT(Table2[[#This Row],[Description]],75)</f>
        <v>Withdrawal ACH VENMO TYPE: PAYMENT ID: 326XXXXXXX CO: VENMO NAME: JEFF TRUI</v>
      </c>
    </row>
    <row r="7740" spans="1:15" hidden="1">
      <c r="A7740" s="25">
        <f>VALUE(YEAR(Table2[[#This Row],[Date]])&amp;TEXT(MONTH(Table2[[#This Row],[Date]]),"00"))</f>
        <v>202208</v>
      </c>
      <c r="B7740" s="6">
        <v>44802</v>
      </c>
      <c r="C7740" t="s">
        <v>2265</v>
      </c>
      <c r="D7740" t="s">
        <v>2879</v>
      </c>
      <c r="E7740">
        <f t="shared" si="42"/>
        <v>100</v>
      </c>
      <c r="F7740" s="2" t="str">
        <f>IF(Table2[[#This Row],[Manual Cat Value]]="",VLOOKUP(Table2[[#This Row],[Description]],'Actuals Lookup'!D:F,3,0),Table2[[#This Row],[Manual Cat Value]])</f>
        <v>Exp - Entertainment</v>
      </c>
      <c r="G7740" t="e">
        <f>VLOOKUP(D7740,Lookup!G:H,2,0)</f>
        <v>#N/A</v>
      </c>
      <c r="H7740" s="8" t="s">
        <v>39</v>
      </c>
      <c r="I7740" s="8" t="s">
        <v>2880</v>
      </c>
      <c r="J7740">
        <v>100</v>
      </c>
      <c r="M7740" t="s">
        <v>2513</v>
      </c>
      <c r="O7740" t="str">
        <f>LEFT(Table2[[#This Row],[Description]],75)</f>
        <v>Withdrawal ACH VENMO TYPE: PAYMENT ID: 326XXXXXXX CO: VENMO NAME: JEFF TRUI</v>
      </c>
    </row>
    <row r="7741" spans="1:15" hidden="1">
      <c r="A7741" s="25">
        <f>VALUE(YEAR(Table2[[#This Row],[Date]])&amp;TEXT(MONTH(Table2[[#This Row],[Date]]),"00"))</f>
        <v>202208</v>
      </c>
      <c r="B7741" s="6">
        <v>44803</v>
      </c>
      <c r="C7741" t="s">
        <v>2262</v>
      </c>
      <c r="D7741" t="s">
        <v>2881</v>
      </c>
      <c r="E7741">
        <f t="shared" si="42"/>
        <v>154.34</v>
      </c>
      <c r="F7741" s="2" t="str">
        <f>IF(Table2[[#This Row],[Manual Cat Value]]="",VLOOKUP(Table2[[#This Row],[Description]],'Actuals Lookup'!D:F,3,0),Table2[[#This Row],[Manual Cat Value]])</f>
        <v>Exp - Amazon</v>
      </c>
      <c r="G7741" t="e">
        <f>VLOOKUP(D7741,Lookup!G:H,2,0)</f>
        <v>#N/A</v>
      </c>
      <c r="H7741" s="8" t="s">
        <v>37</v>
      </c>
      <c r="I7741" s="8"/>
      <c r="J7741">
        <v>154.34</v>
      </c>
      <c r="M7741" t="s">
        <v>2513</v>
      </c>
      <c r="O7741" t="str">
        <f>LEFT(Table2[[#This Row],[Description]],75)</f>
        <v>AMZN Mktp US*JD2B47T63 Amzn.com/billWA REF #2469216L130RKT5KB</v>
      </c>
    </row>
    <row r="7742" spans="1:15" hidden="1">
      <c r="A7742" s="25">
        <f>VALUE(YEAR(Table2[[#This Row],[Date]])&amp;TEXT(MONTH(Table2[[#This Row],[Date]]),"00"))</f>
        <v>202208</v>
      </c>
      <c r="B7742" s="6">
        <v>44803</v>
      </c>
      <c r="C7742" t="s">
        <v>2265</v>
      </c>
      <c r="D7742" t="s">
        <v>2762</v>
      </c>
      <c r="E7742">
        <f t="shared" si="42"/>
        <v>3</v>
      </c>
      <c r="F7742" s="2" t="str">
        <f>IF(Table2[[#This Row],[Manual Cat Value]]="",VLOOKUP(Table2[[#This Row],[Description]],'Actuals Lookup'!D:F,3,0),Table2[[#This Row],[Manual Cat Value]])</f>
        <v>Delete</v>
      </c>
      <c r="G7742" t="e">
        <f>VLOOKUP(D7742,Lookup!G:H,2,0)</f>
        <v>#N/A</v>
      </c>
      <c r="H7742" s="8" t="s">
        <v>9</v>
      </c>
      <c r="I7742" s="8"/>
      <c r="J7742">
        <v>3</v>
      </c>
      <c r="M7742" t="s">
        <v>2513</v>
      </c>
      <c r="O7742" t="str">
        <f>LEFT(Table2[[#This Row],[Description]],75)</f>
        <v>ATM Fee</v>
      </c>
    </row>
    <row r="7743" spans="1:15" hidden="1">
      <c r="A7743" s="25">
        <f>VALUE(YEAR(Table2[[#This Row],[Date]])&amp;TEXT(MONTH(Table2[[#This Row],[Date]]),"00"))</f>
        <v>202208</v>
      </c>
      <c r="B7743" s="6">
        <v>44803</v>
      </c>
      <c r="C7743" t="s">
        <v>2262</v>
      </c>
      <c r="D7743" t="s">
        <v>2882</v>
      </c>
      <c r="E7743">
        <f t="shared" si="42"/>
        <v>31.22</v>
      </c>
      <c r="F7743" s="2" t="str">
        <f>IF(Table2[[#This Row],[Manual Cat Value]]="",VLOOKUP(Table2[[#This Row],[Description]],'Actuals Lookup'!D:F,3,0),Table2[[#This Row],[Manual Cat Value]])</f>
        <v>Exp - Transportation</v>
      </c>
      <c r="G7743" t="e">
        <f>VLOOKUP(D7743,Lookup!G:H,2,0)</f>
        <v>#N/A</v>
      </c>
      <c r="H7743" s="8" t="s">
        <v>22</v>
      </c>
      <c r="I7743" s="8"/>
      <c r="J7743">
        <v>31.22</v>
      </c>
      <c r="M7743" t="s">
        <v>2513</v>
      </c>
      <c r="O7743" t="str">
        <f>LEFT(Table2[[#This Row],[Description]],75)</f>
        <v>CHASKA 952-448-5112 MN REF #2423168L12DGHJNAW</v>
      </c>
    </row>
    <row r="7744" spans="1:15" hidden="1">
      <c r="A7744" s="25">
        <f>VALUE(YEAR(Table2[[#This Row],[Date]])&amp;TEXT(MONTH(Table2[[#This Row],[Date]]),"00"))</f>
        <v>202208</v>
      </c>
      <c r="B7744" s="6">
        <v>44803</v>
      </c>
      <c r="C7744" t="s">
        <v>2265</v>
      </c>
      <c r="D7744" t="s">
        <v>2883</v>
      </c>
      <c r="E7744">
        <f t="shared" si="42"/>
        <v>-3265.44</v>
      </c>
      <c r="F7744" s="2" t="str">
        <f>IF(Table2[[#This Row],[Manual Cat Value]]="",VLOOKUP(Table2[[#This Row],[Description]],'Actuals Lookup'!D:F,3,0),Table2[[#This Row],[Manual Cat Value]])</f>
        <v>Inc - Jeff</v>
      </c>
      <c r="G7744" t="e">
        <f>VLOOKUP(D7744,Lookup!G:H,2,0)</f>
        <v>#N/A</v>
      </c>
      <c r="H7744" s="8" t="s">
        <v>63</v>
      </c>
      <c r="I7744" s="8"/>
      <c r="J7744">
        <v>3265.44</v>
      </c>
      <c r="M7744" t="s">
        <v>2621</v>
      </c>
      <c r="O7744" t="str">
        <f>LEFT(Table2[[#This Row],[Description]],75)</f>
        <v>Deposit ACH TRINET TYPE: PAYROLL ID: 194XXXXXXX CO: TRINET Entry Class Code</v>
      </c>
    </row>
    <row r="7745" spans="1:15" hidden="1">
      <c r="A7745" s="25">
        <f>VALUE(YEAR(Table2[[#This Row],[Date]])&amp;TEXT(MONTH(Table2[[#This Row],[Date]]),"00"))</f>
        <v>202208</v>
      </c>
      <c r="B7745" s="6">
        <v>44803</v>
      </c>
      <c r="C7745" t="s">
        <v>2262</v>
      </c>
      <c r="D7745" t="s">
        <v>2884</v>
      </c>
      <c r="E7745">
        <f t="shared" si="42"/>
        <v>11.8</v>
      </c>
      <c r="F7745" s="2" t="str">
        <f>IF(Table2[[#This Row],[Manual Cat Value]]="",VLOOKUP(Table2[[#This Row],[Description]],'Actuals Lookup'!D:F,3,0),Table2[[#This Row],[Manual Cat Value]])</f>
        <v>Exp - Groceries</v>
      </c>
      <c r="G7745" t="e">
        <f>VLOOKUP(D7745,Lookup!G:H,2,0)</f>
        <v>#N/A</v>
      </c>
      <c r="H7745" s="8" t="s">
        <v>27</v>
      </c>
      <c r="I7745" s="8"/>
      <c r="J7745">
        <v>11.8</v>
      </c>
      <c r="M7745" t="s">
        <v>2513</v>
      </c>
      <c r="O7745" t="str">
        <f>LEFT(Table2[[#This Row],[Description]],75)</f>
        <v>LUNDS&amp;BYERLYS CHANH CHANHASSEN MN REF #2442733L1M83E9GAT</v>
      </c>
    </row>
    <row r="7746" spans="1:15" hidden="1">
      <c r="A7746" s="25">
        <f>VALUE(YEAR(Table2[[#This Row],[Date]])&amp;TEXT(MONTH(Table2[[#This Row],[Date]]),"00"))</f>
        <v>202208</v>
      </c>
      <c r="B7746" s="6">
        <v>44803</v>
      </c>
      <c r="C7746" t="s">
        <v>2265</v>
      </c>
      <c r="D7746" t="s">
        <v>2885</v>
      </c>
      <c r="E7746">
        <f t="shared" si="42"/>
        <v>25000</v>
      </c>
      <c r="F7746" s="2" t="str">
        <f>IF(Table2[[#This Row],[Manual Cat Value]]="",VLOOKUP(Table2[[#This Row],[Description]],'Actuals Lookup'!D:F,3,0),Table2[[#This Row],[Manual Cat Value]])</f>
        <v>Delete</v>
      </c>
      <c r="G7746" t="e">
        <f>VLOOKUP(D7746,Lookup!G:H,2,0)</f>
        <v>#N/A</v>
      </c>
      <c r="H7746" s="8" t="s">
        <v>9</v>
      </c>
      <c r="I7746" s="8" t="s">
        <v>2886</v>
      </c>
      <c r="J7746">
        <v>25000</v>
      </c>
      <c r="M7746" t="s">
        <v>2513</v>
      </c>
      <c r="O7746" t="str">
        <f>LEFT(Table2[[#This Row],[Description]],75)</f>
        <v xml:space="preserve">Withdrawal ACH TRUITT,JEFF B TYPE: Online ID: 1271992400 NAME: TRUITT,JEFF </v>
      </c>
    </row>
    <row r="7747" spans="1:15" hidden="1">
      <c r="A7747" s="25">
        <f>VALUE(YEAR(Table2[[#This Row],[Date]])&amp;TEXT(MONTH(Table2[[#This Row],[Date]]),"00"))</f>
        <v>202208</v>
      </c>
      <c r="B7747" s="6">
        <v>44803</v>
      </c>
      <c r="C7747" t="s">
        <v>2265</v>
      </c>
      <c r="D7747" t="s">
        <v>2887</v>
      </c>
      <c r="E7747">
        <f t="shared" si="42"/>
        <v>400</v>
      </c>
      <c r="F7747" s="2" t="str">
        <f>IF(Table2[[#This Row],[Manual Cat Value]]="",VLOOKUP(Table2[[#This Row],[Description]],'Actuals Lookup'!D:F,3,0),Table2[[#This Row],[Manual Cat Value]])</f>
        <v>Delete</v>
      </c>
      <c r="G7747" t="e">
        <f>VLOOKUP(D7747,Lookup!G:H,2,0)</f>
        <v>#N/A</v>
      </c>
      <c r="H7747" s="8" t="s">
        <v>9</v>
      </c>
      <c r="I7747" s="8"/>
      <c r="J7747">
        <v>400</v>
      </c>
      <c r="M7747" t="s">
        <v>2513</v>
      </c>
      <c r="O7747" t="str">
        <f>LEFT(Table2[[#This Row],[Description]],75)</f>
        <v>Withdrawal at ATM #000022424511 U.S. BANK US BANK CHANHASSEN CHANHASSEN MN</v>
      </c>
    </row>
    <row r="7748" spans="1:15" hidden="1">
      <c r="A7748" s="25">
        <f>VALUE(YEAR(Table2[[#This Row],[Date]])&amp;TEXT(MONTH(Table2[[#This Row],[Date]]),"00"))</f>
        <v>202208</v>
      </c>
      <c r="B7748" s="6">
        <v>44803</v>
      </c>
      <c r="C7748" t="s">
        <v>2265</v>
      </c>
      <c r="D7748" t="s">
        <v>2640</v>
      </c>
      <c r="E7748">
        <f t="shared" si="42"/>
        <v>1723.79</v>
      </c>
      <c r="F7748" s="2" t="str">
        <f>IF(Table2[[#This Row],[Manual Cat Value]]="",VLOOKUP(Table2[[#This Row],[Description]],'Actuals Lookup'!D:F,3,0),Table2[[#This Row],[Manual Cat Value]])</f>
        <v>Delete</v>
      </c>
      <c r="G7748" t="e">
        <f>VLOOKUP(D7748,Lookup!G:H,2,0)</f>
        <v>#N/A</v>
      </c>
      <c r="H7748" s="8" t="s">
        <v>9</v>
      </c>
      <c r="I7748" s="8"/>
      <c r="J7748">
        <v>1723.79</v>
      </c>
      <c r="M7748" t="s">
        <v>2513</v>
      </c>
      <c r="O7748" t="str">
        <f>LEFT(Table2[[#This Row],[Description]],75)</f>
        <v>Withdrawal Home Banking Pmt to card XXXXXXXXXXXX-9181</v>
      </c>
    </row>
    <row r="7749" spans="1:15" hidden="1">
      <c r="A7749" s="25">
        <f>VALUE(YEAR(Table2[[#This Row],[Date]])&amp;TEXT(MONTH(Table2[[#This Row],[Date]]),"00"))</f>
        <v>202208</v>
      </c>
      <c r="B7749" s="6">
        <v>44803</v>
      </c>
      <c r="C7749" t="s">
        <v>2262</v>
      </c>
      <c r="D7749" t="s">
        <v>2888</v>
      </c>
      <c r="E7749">
        <f t="shared" si="42"/>
        <v>-1723.79</v>
      </c>
      <c r="F7749" s="2" t="str">
        <f>IF(Table2[[#This Row],[Manual Cat Value]]="",VLOOKUP(Table2[[#This Row],[Description]],'Actuals Lookup'!D:F,3,0),Table2[[#This Row],[Manual Cat Value]])</f>
        <v>Delete</v>
      </c>
      <c r="G7749" t="e">
        <f>VLOOKUP(D7749,Lookup!G:H,2,0)</f>
        <v>#N/A</v>
      </c>
      <c r="H7749" s="8" t="s">
        <v>9</v>
      </c>
      <c r="I7749" s="8"/>
      <c r="J7749">
        <v>1723.79</v>
      </c>
      <c r="M7749" t="s">
        <v>2621</v>
      </c>
      <c r="O7749" t="str">
        <f>LEFT(Table2[[#This Row],[Description]],75)</f>
        <v>PAYMENT - THANK YOU REF #7473457L300XTMJG1</v>
      </c>
    </row>
    <row r="7750" spans="1:15" hidden="1">
      <c r="A7750" s="25">
        <f>VALUE(YEAR(Table2[[#This Row],[Date]])&amp;TEXT(MONTH(Table2[[#This Row],[Date]]),"00"))</f>
        <v>202208</v>
      </c>
      <c r="B7750" s="6">
        <v>44804</v>
      </c>
      <c r="C7750" t="s">
        <v>2265</v>
      </c>
      <c r="D7750" t="s">
        <v>2889</v>
      </c>
      <c r="E7750">
        <f t="shared" si="42"/>
        <v>0</v>
      </c>
      <c r="F7750" s="2" t="str">
        <f>IF(Table2[[#This Row],[Manual Cat Value]]="",VLOOKUP(Table2[[#This Row],[Description]],'Actuals Lookup'!D:F,3,0),Table2[[#This Row],[Manual Cat Value]])</f>
        <v>Delete</v>
      </c>
      <c r="G7750" t="e">
        <f>VLOOKUP(D7750,Lookup!G:H,2,0)</f>
        <v>#N/A</v>
      </c>
      <c r="H7750" s="8" t="s">
        <v>9</v>
      </c>
      <c r="I7750" s="8"/>
      <c r="J7750">
        <v>0</v>
      </c>
      <c r="M7750" t="s">
        <v>2621</v>
      </c>
      <c r="O7750" t="str">
        <f>LEFT(Table2[[#This Row],[Description]],75)</f>
        <v>ATM Fee Reimbursement</v>
      </c>
    </row>
    <row r="7751" spans="1:15" hidden="1">
      <c r="A7751" s="25">
        <f>VALUE(YEAR(Table2[[#This Row],[Date]])&amp;TEXT(MONTH(Table2[[#This Row],[Date]]),"00"))</f>
        <v>202208</v>
      </c>
      <c r="B7751" s="6">
        <v>44804</v>
      </c>
      <c r="C7751" t="s">
        <v>2262</v>
      </c>
      <c r="D7751" t="s">
        <v>2890</v>
      </c>
      <c r="E7751">
        <f t="shared" si="42"/>
        <v>36.020000000000003</v>
      </c>
      <c r="F7751" s="2" t="str">
        <f>IF(Table2[[#This Row],[Manual Cat Value]]="",VLOOKUP(Table2[[#This Row],[Description]],'Actuals Lookup'!D:F,3,0),Table2[[#This Row],[Manual Cat Value]])</f>
        <v>Exp - Transportation</v>
      </c>
      <c r="G7751" t="e">
        <f>VLOOKUP(D7751,Lookup!G:H,2,0)</f>
        <v>#N/A</v>
      </c>
      <c r="H7751" s="8" t="s">
        <v>22</v>
      </c>
      <c r="I7751" s="8"/>
      <c r="J7751">
        <v>36.020000000000003</v>
      </c>
      <c r="M7751" t="s">
        <v>2513</v>
      </c>
      <c r="O7751" t="str">
        <f>LEFT(Table2[[#This Row],[Description]],75)</f>
        <v>BP#1370200CHANHASSEN BP CHANHASSEN MN REF #2412254L3MLX1G58W</v>
      </c>
    </row>
    <row r="7752" spans="1:15" hidden="1">
      <c r="A7752" s="25">
        <f>VALUE(YEAR(Table2[[#This Row],[Date]])&amp;TEXT(MONTH(Table2[[#This Row],[Date]]),"00"))</f>
        <v>202208</v>
      </c>
      <c r="B7752" s="6">
        <v>44804</v>
      </c>
      <c r="C7752" t="s">
        <v>2262</v>
      </c>
      <c r="D7752" t="s">
        <v>2891</v>
      </c>
      <c r="E7752">
        <f t="shared" si="42"/>
        <v>8.8000000000000007</v>
      </c>
      <c r="F7752" s="2" t="str">
        <f>IF(Table2[[#This Row],[Manual Cat Value]]="",VLOOKUP(Table2[[#This Row],[Description]],'Actuals Lookup'!D:F,3,0),Table2[[#This Row],[Manual Cat Value]])</f>
        <v>Exp - Transportation</v>
      </c>
      <c r="G7752" t="e">
        <f>VLOOKUP(D7752,Lookup!G:H,2,0)</f>
        <v>#N/A</v>
      </c>
      <c r="H7752" s="8" t="s">
        <v>22</v>
      </c>
      <c r="I7752" s="8"/>
      <c r="J7752">
        <v>8.8000000000000007</v>
      </c>
      <c r="M7752" t="s">
        <v>2513</v>
      </c>
      <c r="O7752" t="str">
        <f>LEFT(Table2[[#This Row],[Description]],75)</f>
        <v>BP#1370200CHANHASSEN BP CHANHASSEN MN REF #2412254L3MLX1G5AD</v>
      </c>
    </row>
    <row r="7753" spans="1:15" hidden="1">
      <c r="A7753" s="25">
        <f>VALUE(YEAR(Table2[[#This Row],[Date]])&amp;TEXT(MONTH(Table2[[#This Row],[Date]]),"00"))</f>
        <v>202208</v>
      </c>
      <c r="B7753" s="6">
        <v>44804</v>
      </c>
      <c r="C7753" t="s">
        <v>2262</v>
      </c>
      <c r="D7753" t="s">
        <v>2892</v>
      </c>
      <c r="E7753">
        <f t="shared" si="42"/>
        <v>45.97</v>
      </c>
      <c r="F7753" s="2" t="str">
        <f>IF(Table2[[#This Row],[Manual Cat Value]]="",VLOOKUP(Table2[[#This Row],[Description]],'Actuals Lookup'!D:F,3,0),Table2[[#This Row],[Manual Cat Value]])</f>
        <v>Exp - Groceries</v>
      </c>
      <c r="G7753" t="e">
        <f>VLOOKUP(D7753,Lookup!G:H,2,0)</f>
        <v>#N/A</v>
      </c>
      <c r="H7753" s="8" t="s">
        <v>27</v>
      </c>
      <c r="I7753" s="8"/>
      <c r="J7753">
        <v>45.97</v>
      </c>
      <c r="M7753" t="s">
        <v>2513</v>
      </c>
      <c r="O7753" t="str">
        <f>LEFT(Table2[[#This Row],[Description]],75)</f>
        <v>CUB FOODS 01644 952-934-1010 MN REF #2423168L22DD0Y64N</v>
      </c>
    </row>
    <row r="7754" spans="1:15" hidden="1">
      <c r="A7754" s="25">
        <f>VALUE(YEAR(Table2[[#This Row],[Date]])&amp;TEXT(MONTH(Table2[[#This Row],[Date]]),"00"))</f>
        <v>202208</v>
      </c>
      <c r="B7754" s="6">
        <v>44804</v>
      </c>
      <c r="C7754" t="s">
        <v>2265</v>
      </c>
      <c r="D7754" t="s">
        <v>2893</v>
      </c>
      <c r="E7754">
        <f t="shared" si="42"/>
        <v>-0.25</v>
      </c>
      <c r="F7754" s="2" t="str">
        <f>IF(Table2[[#This Row],[Manual Cat Value]]="",VLOOKUP(Table2[[#This Row],[Description]],'Actuals Lookup'!D:F,3,0),Table2[[#This Row],[Manual Cat Value]])</f>
        <v>Delete</v>
      </c>
      <c r="G7754" t="e">
        <f>VLOOKUP(D7754,Lookup!G:H,2,0)</f>
        <v>#N/A</v>
      </c>
      <c r="H7754" s="8" t="s">
        <v>9</v>
      </c>
      <c r="I7754" s="8"/>
      <c r="J7754">
        <v>0.25</v>
      </c>
      <c r="M7754" t="s">
        <v>2621</v>
      </c>
      <c r="O7754" t="str">
        <f>LEFT(Table2[[#This Row],[Description]],75)</f>
        <v>Deposit ACH DISCOVER BANK TYPE: ACCTVERIFY ID: 1770527921 CO: DISCOVER BANK</v>
      </c>
    </row>
    <row r="7755" spans="1:15" hidden="1">
      <c r="A7755" s="25">
        <f>VALUE(YEAR(Table2[[#This Row],[Date]])&amp;TEXT(MONTH(Table2[[#This Row],[Date]]),"00"))</f>
        <v>202208</v>
      </c>
      <c r="B7755" s="6">
        <v>44804</v>
      </c>
      <c r="C7755" t="s">
        <v>2265</v>
      </c>
      <c r="D7755" t="s">
        <v>2894</v>
      </c>
      <c r="E7755">
        <f t="shared" si="42"/>
        <v>-0.36</v>
      </c>
      <c r="F7755" s="2" t="str">
        <f>IF(Table2[[#This Row],[Manual Cat Value]]="",VLOOKUP(Table2[[#This Row],[Description]],'Actuals Lookup'!D:F,3,0),Table2[[#This Row],[Manual Cat Value]])</f>
        <v>Delete</v>
      </c>
      <c r="G7755" t="e">
        <f>VLOOKUP(D7755,Lookup!G:H,2,0)</f>
        <v>#N/A</v>
      </c>
      <c r="H7755" s="8" t="s">
        <v>9</v>
      </c>
      <c r="I7755" s="8"/>
      <c r="J7755">
        <v>0.36</v>
      </c>
      <c r="M7755" t="s">
        <v>2621</v>
      </c>
      <c r="O7755" t="str">
        <f>LEFT(Table2[[#This Row],[Description]],75)</f>
        <v>Deposit ACH DISCOVER BANK TYPE: ACCTVERIFY ID: 1770527921 CO: DISCOVER BANK</v>
      </c>
    </row>
    <row r="7756" spans="1:15" hidden="1">
      <c r="A7756" s="25">
        <f>VALUE(YEAR(Table2[[#This Row],[Date]])&amp;TEXT(MONTH(Table2[[#This Row],[Date]]),"00"))</f>
        <v>202208</v>
      </c>
      <c r="B7756" s="6">
        <v>44804</v>
      </c>
      <c r="C7756" t="s">
        <v>2265</v>
      </c>
      <c r="D7756" t="s">
        <v>2895</v>
      </c>
      <c r="E7756">
        <f t="shared" si="42"/>
        <v>-5.41</v>
      </c>
      <c r="F7756" s="2" t="str">
        <f>IF(Table2[[#This Row],[Manual Cat Value]]="",VLOOKUP(Table2[[#This Row],[Description]],'Actuals Lookup'!D:F,3,0),Table2[[#This Row],[Manual Cat Value]])</f>
        <v>Exp - Shopping</v>
      </c>
      <c r="G7756" t="e">
        <f>VLOOKUP(D7756,Lookup!G:H,2,0)</f>
        <v>#N/A</v>
      </c>
      <c r="H7756" s="8" t="s">
        <v>36</v>
      </c>
      <c r="I7756" s="8"/>
      <c r="J7756">
        <v>5.41</v>
      </c>
      <c r="M7756" t="s">
        <v>2621</v>
      </c>
      <c r="O7756" t="str">
        <f>LEFT(Table2[[#This Row],[Description]],75)</f>
        <v>Deposit ACH PAYPAL TYPE: TRANSFER ID: PAYPALSD11 CO: PAYPAL Entry Class Cod</v>
      </c>
    </row>
    <row r="7757" spans="1:15" hidden="1">
      <c r="A7757" s="25">
        <f>VALUE(YEAR(Table2[[#This Row],[Date]])&amp;TEXT(MONTH(Table2[[#This Row],[Date]]),"00"))</f>
        <v>202208</v>
      </c>
      <c r="B7757" s="6">
        <v>44804</v>
      </c>
      <c r="C7757" t="s">
        <v>2265</v>
      </c>
      <c r="D7757" t="s">
        <v>2896</v>
      </c>
      <c r="E7757">
        <f t="shared" si="42"/>
        <v>-7</v>
      </c>
      <c r="F7757" s="2" t="str">
        <f>IF(Table2[[#This Row],[Manual Cat Value]]="",VLOOKUP(Table2[[#This Row],[Description]],'Actuals Lookup'!D:F,3,0),Table2[[#This Row],[Manual Cat Value]])</f>
        <v>Delete</v>
      </c>
      <c r="G7757" t="e">
        <f>VLOOKUP(D7757,Lookup!G:H,2,0)</f>
        <v>#N/A</v>
      </c>
      <c r="H7757" s="8" t="s">
        <v>9</v>
      </c>
      <c r="I7757" s="8"/>
      <c r="J7757">
        <v>7</v>
      </c>
      <c r="M7757" t="s">
        <v>2621</v>
      </c>
      <c r="O7757" t="str">
        <f>LEFT(Table2[[#This Row],[Description]],75)</f>
        <v>Deposit ATM FEE REFUND</v>
      </c>
    </row>
    <row r="7758" spans="1:15" hidden="1">
      <c r="A7758" s="25">
        <f>VALUE(YEAR(Table2[[#This Row],[Date]])&amp;TEXT(MONTH(Table2[[#This Row],[Date]]),"00"))</f>
        <v>202208</v>
      </c>
      <c r="B7758" s="6">
        <v>44804</v>
      </c>
      <c r="C7758" t="s">
        <v>2265</v>
      </c>
      <c r="D7758" t="s">
        <v>2897</v>
      </c>
      <c r="E7758">
        <f t="shared" si="42"/>
        <v>-25.52</v>
      </c>
      <c r="F7758" s="2" t="str">
        <f>IF(Table2[[#This Row],[Manual Cat Value]]="",VLOOKUP(Table2[[#This Row],[Description]],'Actuals Lookup'!D:F,3,0),Table2[[#This Row],[Manual Cat Value]])</f>
        <v>Delete</v>
      </c>
      <c r="G7758" t="e">
        <f>VLOOKUP(D7758,Lookup!G:H,2,0)</f>
        <v>#N/A</v>
      </c>
      <c r="H7758" s="8" t="s">
        <v>9</v>
      </c>
      <c r="I7758" s="8"/>
      <c r="J7758">
        <v>25.52</v>
      </c>
      <c r="M7758" t="s">
        <v>2621</v>
      </c>
      <c r="O7758" t="str">
        <f>LEFT(Table2[[#This Row],[Description]],75)</f>
        <v>Deposit Dividend Split Rate Annual Percentage Yield Earned 0.66% from 08/01</v>
      </c>
    </row>
    <row r="7759" spans="1:15" hidden="1">
      <c r="A7759" s="25">
        <f>VALUE(YEAR(Table2[[#This Row],[Date]])&amp;TEXT(MONTH(Table2[[#This Row],[Date]]),"00"))</f>
        <v>202208</v>
      </c>
      <c r="B7759" s="6">
        <v>44804</v>
      </c>
      <c r="C7759" t="s">
        <v>2300</v>
      </c>
      <c r="D7759" t="s">
        <v>2898</v>
      </c>
      <c r="E7759">
        <f t="shared" si="42"/>
        <v>-14.91</v>
      </c>
      <c r="F7759" s="2" t="str">
        <f>IF(Table2[[#This Row],[Manual Cat Value]]="",VLOOKUP(Table2[[#This Row],[Description]],'Actuals Lookup'!D:F,3,0),Table2[[#This Row],[Manual Cat Value]])</f>
        <v>Delete</v>
      </c>
      <c r="G7759" t="e">
        <f>VLOOKUP(D7759,Lookup!G:H,2,0)</f>
        <v>#N/A</v>
      </c>
      <c r="H7759" s="8" t="s">
        <v>9</v>
      </c>
      <c r="I7759" s="8"/>
      <c r="J7759">
        <v>14.91</v>
      </c>
      <c r="M7759" t="s">
        <v>2621</v>
      </c>
      <c r="O7759" t="str">
        <f>LEFT(Table2[[#This Row],[Description]],75)</f>
        <v>Deposit Dividend Split Rate Annual Percentage Yield Earned 1.00% from 08/01</v>
      </c>
    </row>
    <row r="7760" spans="1:15" hidden="1">
      <c r="A7760" s="25">
        <f>VALUE(YEAR(Table2[[#This Row],[Date]])&amp;TEXT(MONTH(Table2[[#This Row],[Date]]),"00"))</f>
        <v>202208</v>
      </c>
      <c r="B7760" s="6">
        <v>44804</v>
      </c>
      <c r="C7760" t="s">
        <v>2265</v>
      </c>
      <c r="D7760" t="s">
        <v>2899</v>
      </c>
      <c r="E7760">
        <f t="shared" si="42"/>
        <v>0.61</v>
      </c>
      <c r="F7760" s="2" t="str">
        <f>IF(Table2[[#This Row],[Manual Cat Value]]="",VLOOKUP(Table2[[#This Row],[Description]],'Actuals Lookup'!D:F,3,0),Table2[[#This Row],[Manual Cat Value]])</f>
        <v>Delete</v>
      </c>
      <c r="G7760" t="e">
        <f>VLOOKUP(D7760,Lookup!G:H,2,0)</f>
        <v>#N/A</v>
      </c>
      <c r="H7760" s="8" t="s">
        <v>9</v>
      </c>
      <c r="I7760" s="8"/>
      <c r="J7760">
        <v>0.61</v>
      </c>
      <c r="M7760" t="s">
        <v>2513</v>
      </c>
      <c r="O7760" t="str">
        <f>LEFT(Table2[[#This Row],[Description]],75)</f>
        <v>Withdrawal ACH DISCOVER BANK TYPE: ACCTVERIFY ID: 3770527921 CO: DISCOVER B</v>
      </c>
    </row>
    <row r="7761" spans="1:15" hidden="1">
      <c r="A7761" s="25">
        <f>VALUE(YEAR(Table2[[#This Row],[Date]])&amp;TEXT(MONTH(Table2[[#This Row],[Date]]),"00"))</f>
        <v>202208</v>
      </c>
      <c r="B7761" s="6">
        <v>44804</v>
      </c>
      <c r="C7761" t="s">
        <v>2265</v>
      </c>
      <c r="D7761" t="s">
        <v>2900</v>
      </c>
      <c r="E7761">
        <f t="shared" si="42"/>
        <v>370</v>
      </c>
      <c r="F7761" s="2" t="str">
        <f>IF(Table2[[#This Row],[Manual Cat Value]]="",VLOOKUP(Table2[[#This Row],[Description]],'Actuals Lookup'!D:F,3,0),Table2[[#This Row],[Manual Cat Value]])</f>
        <v>Exp - Day Care</v>
      </c>
      <c r="G7761" t="e">
        <f>VLOOKUP(D7761,Lookup!G:H,2,0)</f>
        <v>#N/A</v>
      </c>
      <c r="H7761" s="8" t="s">
        <v>19</v>
      </c>
      <c r="I7761" s="8"/>
      <c r="J7761">
        <v>370</v>
      </c>
      <c r="M7761" t="s">
        <v>2513</v>
      </c>
      <c r="O7761" t="str">
        <f>LEFT(Table2[[#This Row],[Description]],75)</f>
        <v xml:space="preserve">Withdrawal ACH MHCHILDCARELLC TYPE: DUES ID: 1824708198 CO: MHCHILDCARELLC </v>
      </c>
    </row>
    <row r="7762" spans="1:15" hidden="1">
      <c r="A7762" s="25">
        <f>VALUE(YEAR(Table2[[#This Row],[Date]])&amp;TEXT(MONTH(Table2[[#This Row],[Date]]),"00"))</f>
        <v>202208</v>
      </c>
      <c r="B7762" s="6">
        <v>44804</v>
      </c>
      <c r="C7762" t="s">
        <v>2265</v>
      </c>
      <c r="D7762" t="s">
        <v>2901</v>
      </c>
      <c r="E7762">
        <f t="shared" si="42"/>
        <v>4.99</v>
      </c>
      <c r="F7762" s="2" t="str">
        <f>IF(Table2[[#This Row],[Manual Cat Value]]="",VLOOKUP(Table2[[#This Row],[Description]],'Actuals Lookup'!D:F,3,0),Table2[[#This Row],[Manual Cat Value]])</f>
        <v>Exp - Travel</v>
      </c>
      <c r="G7762" t="e">
        <f>VLOOKUP(D7762,Lookup!G:H,2,0)</f>
        <v>#N/A</v>
      </c>
      <c r="H7762" s="8" t="s">
        <v>52</v>
      </c>
      <c r="I7762" s="8"/>
      <c r="J7762">
        <v>4.99</v>
      </c>
      <c r="M7762" t="s">
        <v>2513</v>
      </c>
      <c r="O7762" t="str">
        <f>LEFT(Table2[[#This Row],[Description]],75)</f>
        <v>Withdrawal ACH VENMO TYPE: PAYMENT ID: 326XXXXXXX CO: VENMO NAME: JEFF TRUI</v>
      </c>
    </row>
    <row r="7763" spans="1:15" hidden="1">
      <c r="A7763" s="25">
        <f>VALUE(YEAR(Table2[[#This Row],[Date]])&amp;TEXT(MONTH(Table2[[#This Row],[Date]]),"00"))</f>
        <v>202208</v>
      </c>
      <c r="B7763" s="6">
        <v>44804</v>
      </c>
      <c r="C7763" t="s">
        <v>2265</v>
      </c>
      <c r="D7763" t="s">
        <v>2902</v>
      </c>
      <c r="E7763">
        <f t="shared" si="42"/>
        <v>257.64999999999998</v>
      </c>
      <c r="F7763" s="2" t="str">
        <f>IF(Table2[[#This Row],[Manual Cat Value]]="",VLOOKUP(Table2[[#This Row],[Description]],'Actuals Lookup'!D:F,3,0),Table2[[#This Row],[Manual Cat Value]])</f>
        <v>Exp - Travel</v>
      </c>
      <c r="G7763" t="e">
        <f>VLOOKUP(D7763,Lookup!G:H,2,0)</f>
        <v>#N/A</v>
      </c>
      <c r="H7763" s="8" t="s">
        <v>52</v>
      </c>
      <c r="I7763" s="8" t="s">
        <v>2903</v>
      </c>
      <c r="J7763">
        <v>257.64999999999998</v>
      </c>
      <c r="M7763" t="s">
        <v>2513</v>
      </c>
      <c r="O7763" t="str">
        <f>LEFT(Table2[[#This Row],[Description]],75)</f>
        <v>Withdrawal ACH VENMO TYPE: PAYMENT ID: 326XXXXXXX CO: VENMO NAME: JEFF TRUI</v>
      </c>
    </row>
    <row r="7764" spans="1:15" ht="30" hidden="1">
      <c r="A7764" s="25">
        <f>VALUE(YEAR(Table2[[#This Row],[Date]])&amp;TEXT(MONTH(Table2[[#This Row],[Date]]),"00"))</f>
        <v>202209</v>
      </c>
      <c r="B7764" s="6">
        <v>44805</v>
      </c>
      <c r="C7764" t="s">
        <v>2447</v>
      </c>
      <c r="D7764" s="7" t="s">
        <v>2904</v>
      </c>
      <c r="E7764">
        <f t="shared" si="42"/>
        <v>5.36</v>
      </c>
      <c r="F7764" s="2" t="str">
        <f>IF(Table2[[#This Row],[Manual Cat Value]]="",VLOOKUP(Table2[[#This Row],[Description]],'Actuals Lookup'!D:F,3,0),Table2[[#This Row],[Manual Cat Value]])</f>
        <v>Exp - Amazon</v>
      </c>
      <c r="G7764" t="e">
        <f>VLOOKUP(D7764,Lookup!G:H,2,0)</f>
        <v>#N/A</v>
      </c>
      <c r="H7764" s="8" t="s">
        <v>37</v>
      </c>
      <c r="I7764" s="8"/>
      <c r="J7764">
        <v>5.36</v>
      </c>
      <c r="M7764" t="s">
        <v>2513</v>
      </c>
      <c r="O7764" t="str">
        <f>LEFT(Table2[[#This Row],[Description]],75)</f>
        <v>AMAZON MUSIC*1V7PW6861 888-802-3080 WA
5ITB2Z4KM40</v>
      </c>
    </row>
    <row r="7765" spans="1:15" hidden="1">
      <c r="A7765" s="25">
        <f>VALUE(YEAR(Table2[[#This Row],[Date]])&amp;TEXT(MONTH(Table2[[#This Row],[Date]]),"00"))</f>
        <v>202209</v>
      </c>
      <c r="B7765" s="6">
        <v>44805</v>
      </c>
      <c r="C7765" t="s">
        <v>2265</v>
      </c>
      <c r="D7765" t="s">
        <v>2905</v>
      </c>
      <c r="E7765">
        <f t="shared" si="42"/>
        <v>-1338.87</v>
      </c>
      <c r="F7765" s="2" t="str">
        <f>IF(Table2[[#This Row],[Manual Cat Value]]="",VLOOKUP(Table2[[#This Row],[Description]],'Actuals Lookup'!D:F,3,0),Table2[[#This Row],[Manual Cat Value]])</f>
        <v>Delete</v>
      </c>
      <c r="G7765" t="e">
        <f>VLOOKUP(D7765,Lookup!G:H,2,0)</f>
        <v>#N/A</v>
      </c>
      <c r="H7765" s="8" t="s">
        <v>9</v>
      </c>
      <c r="I7765" s="8"/>
      <c r="J7765">
        <v>1338.87</v>
      </c>
      <c r="M7765" t="s">
        <v>2621</v>
      </c>
      <c r="O7765" t="str">
        <f>LEFT(Table2[[#This Row],[Description]],75)</f>
        <v>Deposit ACH BAXTER CREDIT UN TYPE: REWARDS DE ID: 9044036378 CO: BAXTER CRE</v>
      </c>
    </row>
    <row r="7766" spans="1:15" hidden="1">
      <c r="A7766" s="25">
        <f>VALUE(YEAR(Table2[[#This Row],[Date]])&amp;TEXT(MONTH(Table2[[#This Row],[Date]]),"00"))</f>
        <v>202209</v>
      </c>
      <c r="B7766" s="6">
        <v>44805</v>
      </c>
      <c r="C7766" t="s">
        <v>2265</v>
      </c>
      <c r="D7766" t="s">
        <v>2906</v>
      </c>
      <c r="E7766">
        <f t="shared" si="42"/>
        <v>-3654.36</v>
      </c>
      <c r="F7766" s="2" t="str">
        <f>IF(Table2[[#This Row],[Manual Cat Value]]="",VLOOKUP(Table2[[#This Row],[Description]],'Actuals Lookup'!D:F,3,0),Table2[[#This Row],[Manual Cat Value]])</f>
        <v>Inc - Britney</v>
      </c>
      <c r="G7766" t="e">
        <f>VLOOKUP(D7766,Lookup!G:H,2,0)</f>
        <v>#N/A</v>
      </c>
      <c r="H7766" s="8" t="s">
        <v>65</v>
      </c>
      <c r="I7766" s="8"/>
      <c r="J7766">
        <v>3654.36</v>
      </c>
      <c r="M7766" t="s">
        <v>2621</v>
      </c>
      <c r="O7766" t="str">
        <f>LEFT(Table2[[#This Row],[Description]],75)</f>
        <v>Deposit ACH CARGILL INCORPOR TYPE: DIRECT DEP ID: 9111111101 CO: CARGILL IN</v>
      </c>
    </row>
    <row r="7767" spans="1:15" hidden="1">
      <c r="A7767" s="25">
        <f>VALUE(YEAR(Table2[[#This Row],[Date]])&amp;TEXT(MONTH(Table2[[#This Row],[Date]]),"00"))</f>
        <v>202209</v>
      </c>
      <c r="B7767" s="6">
        <v>44805</v>
      </c>
      <c r="C7767" t="s">
        <v>2265</v>
      </c>
      <c r="D7767" t="s">
        <v>2907</v>
      </c>
      <c r="E7767">
        <f t="shared" si="42"/>
        <v>-632.20000000000005</v>
      </c>
      <c r="F7767" s="2" t="str">
        <f>IF(Table2[[#This Row],[Manual Cat Value]]="",VLOOKUP(Table2[[#This Row],[Description]],'Actuals Lookup'!D:F,3,0),Table2[[#This Row],[Manual Cat Value]])</f>
        <v>Inc - Jeff</v>
      </c>
      <c r="G7767" t="e">
        <f>VLOOKUP(D7767,Lookup!G:H,2,0)</f>
        <v>#N/A</v>
      </c>
      <c r="H7767" s="8" t="s">
        <v>63</v>
      </c>
      <c r="I7767" s="8"/>
      <c r="J7767">
        <v>632.20000000000005</v>
      </c>
      <c r="M7767" t="s">
        <v>2621</v>
      </c>
      <c r="O7767" t="str">
        <f>LEFT(Table2[[#This Row],[Description]],75)</f>
        <v>Deposit ACH EMPYREAN SOLUTIO TYPE: 193XXXXXXX ID: 5330903620 CO: EMPYREAN S</v>
      </c>
    </row>
    <row r="7768" spans="1:15" hidden="1">
      <c r="A7768" s="25">
        <f>VALUE(YEAR(Table2[[#This Row],[Date]])&amp;TEXT(MONTH(Table2[[#This Row],[Date]]),"00"))</f>
        <v>202209</v>
      </c>
      <c r="B7768" s="6">
        <v>44805</v>
      </c>
      <c r="C7768" t="s">
        <v>2262</v>
      </c>
      <c r="D7768" t="s">
        <v>2908</v>
      </c>
      <c r="E7768">
        <f t="shared" si="42"/>
        <v>41.65</v>
      </c>
      <c r="F7768" s="2" t="str">
        <f>IF(Table2[[#This Row],[Manual Cat Value]]="",VLOOKUP(Table2[[#This Row],[Description]],'Actuals Lookup'!D:F,3,0),Table2[[#This Row],[Manual Cat Value]])</f>
        <v>Exp - Restaurants</v>
      </c>
      <c r="G7768" t="e">
        <f>VLOOKUP(D7768,Lookup!G:H,2,0)</f>
        <v>#N/A</v>
      </c>
      <c r="H7768" s="8" t="s">
        <v>25</v>
      </c>
      <c r="I7768" s="8"/>
      <c r="J7768">
        <v>41.65</v>
      </c>
      <c r="M7768" t="s">
        <v>2513</v>
      </c>
      <c r="O7768" t="str">
        <f>LEFT(Table2[[#This Row],[Description]],75)</f>
        <v>MAYNARDS R* MAYNARDS E MAYNARDSEXCELMN REF #2449216L40005A8WW</v>
      </c>
    </row>
    <row r="7769" spans="1:15" ht="30" hidden="1">
      <c r="A7769" s="25">
        <f>VALUE(YEAR(Table2[[#This Row],[Date]])&amp;TEXT(MONTH(Table2[[#This Row],[Date]]),"00"))</f>
        <v>202209</v>
      </c>
      <c r="B7769" s="6">
        <v>44805</v>
      </c>
      <c r="C7769" t="s">
        <v>2447</v>
      </c>
      <c r="D7769" s="7" t="s">
        <v>2909</v>
      </c>
      <c r="E7769">
        <f t="shared" si="42"/>
        <v>79.36</v>
      </c>
      <c r="F7769" s="2" t="str">
        <f>IF(Table2[[#This Row],[Manual Cat Value]]="",VLOOKUP(Table2[[#This Row],[Description]],'Actuals Lookup'!D:F,3,0),Table2[[#This Row],[Manual Cat Value]])</f>
        <v>Exp - Restaurants</v>
      </c>
      <c r="G7769" t="e">
        <f>VLOOKUP(D7769,Lookup!G:H,2,0)</f>
        <v>#N/A</v>
      </c>
      <c r="H7769" s="8" t="s">
        <v>25</v>
      </c>
      <c r="I7769" s="8"/>
      <c r="J7769">
        <v>79.36</v>
      </c>
      <c r="M7769" t="s">
        <v>2513</v>
      </c>
      <c r="O7769" t="str">
        <f>LEFT(Table2[[#This Row],[Description]],75)</f>
        <v>TST* FREIGHT HOUSE STILLWATER MN
00085400008400517371AA</v>
      </c>
    </row>
    <row r="7770" spans="1:15" hidden="1">
      <c r="A7770" s="25">
        <f>VALUE(YEAR(Table2[[#This Row],[Date]])&amp;TEXT(MONTH(Table2[[#This Row],[Date]]),"00"))</f>
        <v>202209</v>
      </c>
      <c r="B7770" s="6">
        <v>44805</v>
      </c>
      <c r="C7770" t="s">
        <v>2265</v>
      </c>
      <c r="D7770" t="s">
        <v>2910</v>
      </c>
      <c r="E7770">
        <f t="shared" ref="E7770:E7776" si="43">IF(M7770="credit",-1*J7770,J7770)</f>
        <v>200</v>
      </c>
      <c r="F7770" s="2" t="str">
        <f>IF(Table2[[#This Row],[Manual Cat Value]]="",VLOOKUP(Table2[[#This Row],[Description]],'Actuals Lookup'!D:F,3,0),Table2[[#This Row],[Manual Cat Value]])</f>
        <v>Sav - College Savings</v>
      </c>
      <c r="G7770" t="e">
        <f>VLOOKUP(D7770,Lookup!G:H,2,0)</f>
        <v>#N/A</v>
      </c>
      <c r="H7770" s="8" t="s">
        <v>60</v>
      </c>
      <c r="I7770" s="8"/>
      <c r="J7770">
        <v>200</v>
      </c>
      <c r="M7770" t="s">
        <v>2513</v>
      </c>
      <c r="O7770" t="str">
        <f>LEFT(Table2[[#This Row],[Description]],75)</f>
        <v xml:space="preserve">Withdrawal ACH College Savings TYPE: ACH ID: 550895818 CO: College Savings </v>
      </c>
    </row>
    <row r="7771" spans="1:15" hidden="1">
      <c r="A7771" s="25">
        <f>VALUE(YEAR(Table2[[#This Row],[Date]])&amp;TEXT(MONTH(Table2[[#This Row],[Date]]),"00"))</f>
        <v>202209</v>
      </c>
      <c r="B7771" s="6">
        <v>44805</v>
      </c>
      <c r="C7771" t="s">
        <v>2265</v>
      </c>
      <c r="D7771" t="s">
        <v>2911</v>
      </c>
      <c r="E7771">
        <f t="shared" si="43"/>
        <v>15000</v>
      </c>
      <c r="F7771" s="2" t="str">
        <f>IF(Table2[[#This Row],[Manual Cat Value]]="",VLOOKUP(Table2[[#This Row],[Description]],'Actuals Lookup'!D:F,3,0),Table2[[#This Row],[Manual Cat Value]])</f>
        <v>Delete</v>
      </c>
      <c r="G7771" t="e">
        <f>VLOOKUP(D7771,Lookup!G:H,2,0)</f>
        <v>#N/A</v>
      </c>
      <c r="H7771" s="8" t="s">
        <v>9</v>
      </c>
      <c r="I7771" s="8"/>
      <c r="J7771">
        <v>15000</v>
      </c>
      <c r="M7771" t="s">
        <v>2513</v>
      </c>
      <c r="O7771" t="str">
        <f>LEFT(Table2[[#This Row],[Description]],75)</f>
        <v>Withdrawal ACH DISCOVER BANK TYPE: ACCT FUND ID: 3770527921 CO: DISCOVER BA</v>
      </c>
    </row>
    <row r="7772" spans="1:15" hidden="1">
      <c r="A7772" s="25">
        <f>VALUE(YEAR(Table2[[#This Row],[Date]])&amp;TEXT(MONTH(Table2[[#This Row],[Date]]),"00"))</f>
        <v>202209</v>
      </c>
      <c r="B7772" s="6">
        <v>44805</v>
      </c>
      <c r="C7772" t="s">
        <v>2265</v>
      </c>
      <c r="D7772" t="s">
        <v>2912</v>
      </c>
      <c r="E7772">
        <f t="shared" si="43"/>
        <v>164.28</v>
      </c>
      <c r="F7772" s="2" t="str">
        <f>IF(Table2[[#This Row],[Manual Cat Value]]="",VLOOKUP(Table2[[#This Row],[Description]],'Actuals Lookup'!D:F,3,0),Table2[[#This Row],[Manual Cat Value]])</f>
        <v>Exp - Shopping</v>
      </c>
      <c r="G7772" t="e">
        <f>VLOOKUP(D7772,Lookup!G:H,2,0)</f>
        <v>#N/A</v>
      </c>
      <c r="H7772" s="8" t="s">
        <v>36</v>
      </c>
      <c r="I7772" s="8"/>
      <c r="J7772">
        <v>164.28</v>
      </c>
      <c r="M7772" t="s">
        <v>2513</v>
      </c>
      <c r="O7772" t="str">
        <f>LEFT(Table2[[#This Row],[Description]],75)</f>
        <v xml:space="preserve">Withdrawal ACH PAYPAL TYPE: INST XFER ID: PAYPALSI77 CO: PAYPAL NAME: JEFF </v>
      </c>
    </row>
    <row r="7773" spans="1:15" hidden="1">
      <c r="A7773" s="25">
        <f>VALUE(YEAR(Table2[[#This Row],[Date]])&amp;TEXT(MONTH(Table2[[#This Row],[Date]]),"00"))</f>
        <v>202209</v>
      </c>
      <c r="B7773" s="6">
        <v>44805</v>
      </c>
      <c r="C7773" t="s">
        <v>2265</v>
      </c>
      <c r="D7773" t="s">
        <v>2913</v>
      </c>
      <c r="E7773">
        <f t="shared" si="43"/>
        <v>618.65</v>
      </c>
      <c r="F7773" s="2" t="str">
        <f>IF(Table2[[#This Row],[Manual Cat Value]]="",VLOOKUP(Table2[[#This Row],[Description]],'Actuals Lookup'!D:F,3,0),Table2[[#This Row],[Manual Cat Value]])</f>
        <v>Exp - Car Loan</v>
      </c>
      <c r="G7773" t="e">
        <f>VLOOKUP(D7773,Lookup!G:H,2,0)</f>
        <v>#N/A</v>
      </c>
      <c r="H7773" s="8" t="s">
        <v>10</v>
      </c>
      <c r="I7773" s="8"/>
      <c r="J7773">
        <v>618.65</v>
      </c>
      <c r="M7773" t="s">
        <v>2513</v>
      </c>
      <c r="O7773" t="str">
        <f>LEFT(Table2[[#This Row],[Description]],75)</f>
        <v>Withdrawal Home Banking Transfer To Loan 02 REF # 623147</v>
      </c>
    </row>
    <row r="7774" spans="1:15" hidden="1">
      <c r="A7774" s="25">
        <f>VALUE(YEAR(Table2[[#This Row],[Date]])&amp;TEXT(MONTH(Table2[[#This Row],[Date]]),"00"))</f>
        <v>202209</v>
      </c>
      <c r="B7774" s="6">
        <v>44805</v>
      </c>
      <c r="C7774" t="s">
        <v>2710</v>
      </c>
      <c r="D7774" t="s">
        <v>1410</v>
      </c>
      <c r="E7774">
        <f t="shared" si="43"/>
        <v>2606.27</v>
      </c>
      <c r="F7774" s="2" t="str">
        <f>IF(Table2[[#This Row],[Manual Cat Value]]="",VLOOKUP(Table2[[#This Row],[Description]],'Actuals Lookup'!D:F,3,0),Table2[[#This Row],[Manual Cat Value]])</f>
        <v>Exp - Rent</v>
      </c>
      <c r="G7774" t="str">
        <f>VLOOKUP(D7774,Lookup!G:H,2,0)</f>
        <v>Delete</v>
      </c>
      <c r="H7774" s="8" t="s">
        <v>4</v>
      </c>
      <c r="I7774" s="8"/>
      <c r="J7774">
        <v>2606.27</v>
      </c>
      <c r="M7774" t="s">
        <v>2513</v>
      </c>
      <c r="O7774" t="str">
        <f>LEFT(Table2[[#This Row],[Description]],75)</f>
        <v>PAYMENT</v>
      </c>
    </row>
    <row r="7775" spans="1:15" hidden="1">
      <c r="A7775" s="25">
        <f>VALUE(YEAR(Table2[[#This Row],[Date]])&amp;TEXT(MONTH(Table2[[#This Row],[Date]]),"00"))</f>
        <v>202209</v>
      </c>
      <c r="B7775" s="6">
        <v>44805</v>
      </c>
      <c r="C7775" t="s">
        <v>2314</v>
      </c>
      <c r="D7775" t="s">
        <v>2914</v>
      </c>
      <c r="E7775">
        <f t="shared" si="43"/>
        <v>-618.65</v>
      </c>
      <c r="F7775" s="2" t="str">
        <f>IF(Table2[[#This Row],[Manual Cat Value]]="",VLOOKUP(Table2[[#This Row],[Description]],'Actuals Lookup'!D:F,3,0),Table2[[#This Row],[Manual Cat Value]])</f>
        <v>Delete</v>
      </c>
      <c r="G7775" t="e">
        <f>VLOOKUP(D7775,Lookup!G:H,2,0)</f>
        <v>#N/A</v>
      </c>
      <c r="H7775" s="8" t="s">
        <v>9</v>
      </c>
      <c r="I7775" s="8"/>
      <c r="J7775">
        <v>618.65</v>
      </c>
      <c r="M7775" t="s">
        <v>2621</v>
      </c>
      <c r="O7775" t="str">
        <f>LEFT(Table2[[#This Row],[Description]],75)</f>
        <v>Payments Home Banking Transfer From Share 70 REF # 623147</v>
      </c>
    </row>
    <row r="7776" spans="1:15" hidden="1">
      <c r="A7776" s="25">
        <f>VALUE(YEAR(Table2[[#This Row],[Date]])&amp;TEXT(MONTH(Table2[[#This Row],[Date]]),"00"))</f>
        <v>202209</v>
      </c>
      <c r="B7776" s="6">
        <v>44805</v>
      </c>
      <c r="C7776" t="s">
        <v>2265</v>
      </c>
      <c r="D7776" t="s">
        <v>2915</v>
      </c>
      <c r="E7776">
        <f t="shared" si="43"/>
        <v>20</v>
      </c>
      <c r="F7776" s="2" t="str">
        <f>IF(Table2[[#This Row],[Manual Cat Value]]="",VLOOKUP(Table2[[#This Row],[Description]],'Actuals Lookup'!D:F,3,0),Table2[[#This Row],[Manual Cat Value]])</f>
        <v>Exp - Shopping</v>
      </c>
      <c r="G7776" t="e">
        <f>VLOOKUP(D7776,Lookup!G:H,2,0)</f>
        <v>#N/A</v>
      </c>
      <c r="H7776" s="8" t="s">
        <v>36</v>
      </c>
      <c r="I7776" s="8"/>
      <c r="J7776">
        <v>20</v>
      </c>
      <c r="M7776" t="s">
        <v>2513</v>
      </c>
      <c r="O7776" t="str">
        <f>LEFT(Table2[[#This Row],[Description]],75)</f>
        <v>Withdrawal ACH VENMO TYPE: PAYMENT ID: 326XXXXXXX CO: VENMO NAME: BRITNEY T</v>
      </c>
    </row>
    <row r="7777" spans="1:15" hidden="1">
      <c r="A7777" s="25">
        <f>VALUE(YEAR(Table2[[#This Row],[Date]])&amp;TEXT(MONTH(Table2[[#This Row],[Date]]),"00"))</f>
        <v>202306</v>
      </c>
      <c r="B7777" s="6">
        <v>45097</v>
      </c>
      <c r="C7777" t="s">
        <v>2916</v>
      </c>
      <c r="D7777" t="s">
        <v>2917</v>
      </c>
      <c r="E7777">
        <v>50</v>
      </c>
      <c r="F7777" s="2" t="str">
        <f>IF(Table2[[#This Row],[Manual Cat Value]]="",VLOOKUP(Table2[[#This Row],[Description]],'Actuals Lookup'!D:F,3,0),Table2[[#This Row],[Manual Cat Value]])</f>
        <v>Delete</v>
      </c>
      <c r="H7777" s="8" t="s">
        <v>9</v>
      </c>
      <c r="I7777" s="8"/>
      <c r="O7777" t="str">
        <f>LEFT(Table2[[#This Row],[Description]],75)</f>
        <v>Draft 2321 Tracer XX3064</v>
      </c>
    </row>
    <row r="7778" spans="1:15" hidden="1">
      <c r="A7778" s="25">
        <f>VALUE(YEAR(Table2[[#This Row],[Date]])&amp;TEXT(MONTH(Table2[[#This Row],[Date]]),"00"))</f>
        <v>202209</v>
      </c>
      <c r="B7778" s="6">
        <v>44806</v>
      </c>
      <c r="C7778" t="s">
        <v>2265</v>
      </c>
      <c r="D7778" t="s">
        <v>2918</v>
      </c>
      <c r="E7778">
        <f t="shared" ref="E7778:E7809" si="44">IF(M7778="credit",-1*J7778,J7778)</f>
        <v>-12000</v>
      </c>
      <c r="F7778" s="2" t="str">
        <f>IF(Table2[[#This Row],[Manual Cat Value]]="",VLOOKUP(Table2[[#This Row],[Description]],'Actuals Lookup'!D:F,3,0),Table2[[#This Row],[Manual Cat Value]])</f>
        <v>Delete</v>
      </c>
      <c r="G7778" t="e">
        <f>VLOOKUP(D7778,Lookup!G:H,2,0)</f>
        <v>#N/A</v>
      </c>
      <c r="H7778" s="8" t="s">
        <v>9</v>
      </c>
      <c r="I7778" s="8"/>
      <c r="J7778">
        <v>12000</v>
      </c>
      <c r="M7778" t="s">
        <v>2621</v>
      </c>
      <c r="O7778" t="str">
        <f>LEFT(Table2[[#This Row],[Description]],75)</f>
        <v>Deposit Home Banking Transfer From Share 12 REF # 658560</v>
      </c>
    </row>
    <row r="7779" spans="1:15" ht="30" hidden="1">
      <c r="A7779" s="25">
        <f>VALUE(YEAR(Table2[[#This Row],[Date]])&amp;TEXT(MONTH(Table2[[#This Row],[Date]]),"00"))</f>
        <v>202209</v>
      </c>
      <c r="B7779" s="6">
        <v>44806</v>
      </c>
      <c r="C7779" t="s">
        <v>2447</v>
      </c>
      <c r="D7779" s="7" t="s">
        <v>2919</v>
      </c>
      <c r="E7779">
        <f t="shared" si="44"/>
        <v>13.64</v>
      </c>
      <c r="F7779" s="2" t="str">
        <f>IF(Table2[[#This Row],[Manual Cat Value]]="",VLOOKUP(Table2[[#This Row],[Description]],'Actuals Lookup'!D:F,3,0),Table2[[#This Row],[Manual Cat Value]])</f>
        <v>Exp - Restaurants</v>
      </c>
      <c r="G7779" t="e">
        <f>VLOOKUP(D7779,Lookup!G:H,2,0)</f>
        <v>#N/A</v>
      </c>
      <c r="H7779" s="8" t="s">
        <v>25</v>
      </c>
      <c r="I7779" s="8"/>
      <c r="J7779">
        <v>13.64</v>
      </c>
      <c r="M7779" t="s">
        <v>2513</v>
      </c>
      <c r="O7779" t="str">
        <f>LEFT(Table2[[#This Row],[Description]],75)</f>
        <v>JEFFS BLACKSMITHS SHOP B BALSAM LAKE WI
APPLE PAY ENDING IN 8856</v>
      </c>
    </row>
    <row r="7780" spans="1:15" hidden="1">
      <c r="A7780" s="25">
        <f>VALUE(YEAR(Table2[[#This Row],[Date]])&amp;TEXT(MONTH(Table2[[#This Row],[Date]]),"00"))</f>
        <v>202209</v>
      </c>
      <c r="B7780" s="6">
        <v>44806</v>
      </c>
      <c r="C7780" t="s">
        <v>2262</v>
      </c>
      <c r="D7780" t="s">
        <v>2920</v>
      </c>
      <c r="E7780">
        <f t="shared" si="44"/>
        <v>54.18</v>
      </c>
      <c r="F7780" s="2" t="str">
        <f>IF(Table2[[#This Row],[Manual Cat Value]]="",VLOOKUP(Table2[[#This Row],[Description]],'Actuals Lookup'!D:F,3,0),Table2[[#This Row],[Manual Cat Value]])</f>
        <v>Exp - Shopping</v>
      </c>
      <c r="G7780" t="e">
        <f>VLOOKUP(D7780,Lookup!G:H,2,0)</f>
        <v>#N/A</v>
      </c>
      <c r="H7780" s="8" t="s">
        <v>36</v>
      </c>
      <c r="I7780" s="8"/>
      <c r="J7780">
        <v>54.18</v>
      </c>
      <c r="M7780" t="s">
        <v>2513</v>
      </c>
      <c r="O7780" t="str">
        <f>LEFT(Table2[[#This Row],[Description]],75)</f>
        <v>SP LAKE AND COMPANY 172-08499131 MN REF #2401134L50002RTWT</v>
      </c>
    </row>
    <row r="7781" spans="1:15" hidden="1">
      <c r="A7781" s="25">
        <f>VALUE(YEAR(Table2[[#This Row],[Date]])&amp;TEXT(MONTH(Table2[[#This Row],[Date]]),"00"))</f>
        <v>202209</v>
      </c>
      <c r="B7781" s="6">
        <v>44806</v>
      </c>
      <c r="C7781" t="s">
        <v>2262</v>
      </c>
      <c r="D7781" t="s">
        <v>2921</v>
      </c>
      <c r="E7781">
        <f t="shared" si="44"/>
        <v>76.819999999999993</v>
      </c>
      <c r="F7781" s="2" t="str">
        <f>IF(Table2[[#This Row],[Manual Cat Value]]="",VLOOKUP(Table2[[#This Row],[Description]],'Actuals Lookup'!D:F,3,0),Table2[[#This Row],[Manual Cat Value]])</f>
        <v>Exp - Shopping</v>
      </c>
      <c r="G7781" t="e">
        <f>VLOOKUP(D7781,Lookup!G:H,2,0)</f>
        <v>#N/A</v>
      </c>
      <c r="H7781" s="8" t="s">
        <v>36</v>
      </c>
      <c r="I7781" s="8"/>
      <c r="J7781">
        <v>76.819999999999993</v>
      </c>
      <c r="M7781" t="s">
        <v>2513</v>
      </c>
      <c r="O7781" t="str">
        <f>LEFT(Table2[[#This Row],[Description]],75)</f>
        <v>SP SOTA CLOTHING 195-23814230 MN REF #2449216L500021BDW</v>
      </c>
    </row>
    <row r="7782" spans="1:15" hidden="1">
      <c r="A7782" s="25">
        <f>VALUE(YEAR(Table2[[#This Row],[Date]])&amp;TEXT(MONTH(Table2[[#This Row],[Date]]),"00"))</f>
        <v>202209</v>
      </c>
      <c r="B7782" s="6">
        <v>44806</v>
      </c>
      <c r="C7782" t="s">
        <v>2262</v>
      </c>
      <c r="D7782" t="s">
        <v>2922</v>
      </c>
      <c r="E7782">
        <f t="shared" si="44"/>
        <v>254.5</v>
      </c>
      <c r="F7782" s="2" t="str">
        <f>IF(Table2[[#This Row],[Manual Cat Value]]="",VLOOKUP(Table2[[#This Row],[Description]],'Actuals Lookup'!D:F,3,0),Table2[[#This Row],[Manual Cat Value]])</f>
        <v>Exp - Healthcare</v>
      </c>
      <c r="G7782" t="e">
        <f>VLOOKUP(D7782,Lookup!G:H,2,0)</f>
        <v>#N/A</v>
      </c>
      <c r="H7782" s="8" t="s">
        <v>47</v>
      </c>
      <c r="I7782" s="8"/>
      <c r="J7782">
        <v>254.5</v>
      </c>
      <c r="M7782" t="s">
        <v>2513</v>
      </c>
      <c r="O7782" t="str">
        <f>LEFT(Table2[[#This Row],[Description]],75)</f>
        <v>SQ *SEEK EYE CARE PA gosq.com MN REF #2469216L532W12WLN</v>
      </c>
    </row>
    <row r="7783" spans="1:15" hidden="1">
      <c r="A7783" s="25">
        <f>VALUE(YEAR(Table2[[#This Row],[Date]])&amp;TEXT(MONTH(Table2[[#This Row],[Date]]),"00"))</f>
        <v>202209</v>
      </c>
      <c r="B7783" s="6">
        <v>44806</v>
      </c>
      <c r="C7783" t="s">
        <v>2300</v>
      </c>
      <c r="D7783" t="s">
        <v>2923</v>
      </c>
      <c r="E7783">
        <f t="shared" si="44"/>
        <v>12000</v>
      </c>
      <c r="F7783" s="2" t="str">
        <f>IF(Table2[[#This Row],[Manual Cat Value]]="",VLOOKUP(Table2[[#This Row],[Description]],'Actuals Lookup'!D:F,3,0),Table2[[#This Row],[Manual Cat Value]])</f>
        <v>Delete</v>
      </c>
      <c r="G7783" t="e">
        <f>VLOOKUP(D7783,Lookup!G:H,2,0)</f>
        <v>#N/A</v>
      </c>
      <c r="H7783" s="8" t="s">
        <v>9</v>
      </c>
      <c r="I7783" s="8"/>
      <c r="J7783">
        <v>12000</v>
      </c>
      <c r="M7783" t="s">
        <v>2513</v>
      </c>
      <c r="O7783" t="str">
        <f>LEFT(Table2[[#This Row],[Description]],75)</f>
        <v>Withdrawal Home Banking Transfer To Share 70 REF # 658560</v>
      </c>
    </row>
    <row r="7784" spans="1:15" hidden="1">
      <c r="A7784" s="25">
        <f>VALUE(YEAR(Table2[[#This Row],[Date]])&amp;TEXT(MONTH(Table2[[#This Row],[Date]]),"00"))</f>
        <v>202209</v>
      </c>
      <c r="B7784" s="6">
        <v>44808</v>
      </c>
      <c r="C7784" t="s">
        <v>2262</v>
      </c>
      <c r="D7784" t="s">
        <v>2924</v>
      </c>
      <c r="E7784">
        <f t="shared" si="44"/>
        <v>8</v>
      </c>
      <c r="F7784" s="2" t="str">
        <f>IF(Table2[[#This Row],[Manual Cat Value]]="",VLOOKUP(Table2[[#This Row],[Description]],'Actuals Lookup'!D:F,3,0),Table2[[#This Row],[Manual Cat Value]])</f>
        <v>Exp - Utilities</v>
      </c>
      <c r="G7784" t="e">
        <f>VLOOKUP(D7784,Lookup!G:H,2,0)</f>
        <v>#N/A</v>
      </c>
      <c r="H7784" s="8" t="s">
        <v>6</v>
      </c>
      <c r="I7784" s="8"/>
      <c r="J7784">
        <v>8</v>
      </c>
      <c r="M7784" t="s">
        <v>2513</v>
      </c>
      <c r="O7784" t="str">
        <f>LEFT(Table2[[#This Row],[Description]],75)</f>
        <v>D J*WALL-ST-JOURNAL 800-568-7625 MA REF #2469216L63443V4W1</v>
      </c>
    </row>
    <row r="7785" spans="1:15" hidden="1">
      <c r="A7785" s="25">
        <f>VALUE(YEAR(Table2[[#This Row],[Date]])&amp;TEXT(MONTH(Table2[[#This Row],[Date]]),"00"))</f>
        <v>202209</v>
      </c>
      <c r="B7785" s="6">
        <v>44808</v>
      </c>
      <c r="C7785" t="s">
        <v>2262</v>
      </c>
      <c r="D7785" t="s">
        <v>2925</v>
      </c>
      <c r="E7785">
        <f t="shared" si="44"/>
        <v>18</v>
      </c>
      <c r="F7785" s="2" t="str">
        <f>IF(Table2[[#This Row],[Manual Cat Value]]="",VLOOKUP(Table2[[#This Row],[Description]],'Actuals Lookup'!D:F,3,0),Table2[[#This Row],[Manual Cat Value]])</f>
        <v>Exp - Utilities</v>
      </c>
      <c r="G7785" t="e">
        <f>VLOOKUP(D7785,Lookup!G:H,2,0)</f>
        <v>#N/A</v>
      </c>
      <c r="H7785" s="8" t="s">
        <v>6</v>
      </c>
      <c r="I7785" s="8"/>
      <c r="J7785">
        <v>18</v>
      </c>
      <c r="M7785" t="s">
        <v>2513</v>
      </c>
      <c r="O7785" t="str">
        <f>LEFT(Table2[[#This Row],[Description]],75)</f>
        <v>HBRSUBSCRIPTION 800-988-0886 MA REF #2449215L5LS2GWKH1</v>
      </c>
    </row>
    <row r="7786" spans="1:15" hidden="1">
      <c r="A7786" s="25">
        <f>VALUE(YEAR(Table2[[#This Row],[Date]])&amp;TEXT(MONTH(Table2[[#This Row],[Date]]),"00"))</f>
        <v>202209</v>
      </c>
      <c r="B7786" s="6">
        <v>44808</v>
      </c>
      <c r="C7786" t="s">
        <v>2262</v>
      </c>
      <c r="D7786" t="s">
        <v>2926</v>
      </c>
      <c r="E7786">
        <f t="shared" si="44"/>
        <v>43.45</v>
      </c>
      <c r="F7786" s="2" t="str">
        <f>IF(Table2[[#This Row],[Manual Cat Value]]="",VLOOKUP(Table2[[#This Row],[Description]],'Actuals Lookup'!D:F,3,0),Table2[[#This Row],[Manual Cat Value]])</f>
        <v>Exp - Restaurants</v>
      </c>
      <c r="G7786" t="e">
        <f>VLOOKUP(D7786,Lookup!G:H,2,0)</f>
        <v>#N/A</v>
      </c>
      <c r="H7786" s="8" t="s">
        <v>25</v>
      </c>
      <c r="I7786" s="8"/>
      <c r="J7786">
        <v>43.45</v>
      </c>
      <c r="M7786" t="s">
        <v>2513</v>
      </c>
      <c r="O7786" t="str">
        <f>LEFT(Table2[[#This Row],[Description]],75)</f>
        <v>SQ *BALSAM LAKE BREWERY ABalsam Lake WI REF #2469216L634792ZHB</v>
      </c>
    </row>
    <row r="7787" spans="1:15" hidden="1">
      <c r="A7787" s="25">
        <f>VALUE(YEAR(Table2[[#This Row],[Date]])&amp;TEXT(MONTH(Table2[[#This Row],[Date]]),"00"))</f>
        <v>202209</v>
      </c>
      <c r="B7787" s="6">
        <v>44809</v>
      </c>
      <c r="C7787" t="s">
        <v>2262</v>
      </c>
      <c r="D7787" t="s">
        <v>2927</v>
      </c>
      <c r="E7787">
        <f t="shared" si="44"/>
        <v>68</v>
      </c>
      <c r="F7787" s="2" t="str">
        <f>IF(Table2[[#This Row],[Manual Cat Value]]="",VLOOKUP(Table2[[#This Row],[Description]],'Actuals Lookup'!D:F,3,0),Table2[[#This Row],[Manual Cat Value]])</f>
        <v>Exp - Restaurants</v>
      </c>
      <c r="G7787" t="e">
        <f>VLOOKUP(D7787,Lookup!G:H,2,0)</f>
        <v>#N/A</v>
      </c>
      <c r="H7787" s="8" t="s">
        <v>25</v>
      </c>
      <c r="I7787" s="8"/>
      <c r="J7787">
        <v>68</v>
      </c>
      <c r="M7787" t="s">
        <v>2513</v>
      </c>
      <c r="O7787" t="str">
        <f>LEFT(Table2[[#This Row],[Description]],75)</f>
        <v>BARRED OWL, LLC BALSAM LAKE WI REF #2434285L70FX5MHRV</v>
      </c>
    </row>
    <row r="7788" spans="1:15" hidden="1">
      <c r="A7788" s="25">
        <f>VALUE(YEAR(Table2[[#This Row],[Date]])&amp;TEXT(MONTH(Table2[[#This Row],[Date]]),"00"))</f>
        <v>202209</v>
      </c>
      <c r="B7788" s="6">
        <v>44810</v>
      </c>
      <c r="C7788" t="s">
        <v>2262</v>
      </c>
      <c r="D7788" t="s">
        <v>2928</v>
      </c>
      <c r="E7788">
        <f t="shared" si="44"/>
        <v>33.74</v>
      </c>
      <c r="F7788" s="2" t="str">
        <f>IF(Table2[[#This Row],[Manual Cat Value]]="",VLOOKUP(Table2[[#This Row],[Description]],'Actuals Lookup'!D:F,3,0),Table2[[#This Row],[Manual Cat Value]])</f>
        <v>Exp - Transportation</v>
      </c>
      <c r="G7788" t="e">
        <f>VLOOKUP(D7788,Lookup!G:H,2,0)</f>
        <v>#N/A</v>
      </c>
      <c r="H7788" s="8" t="s">
        <v>22</v>
      </c>
      <c r="I7788" s="8"/>
      <c r="J7788">
        <v>33.74</v>
      </c>
      <c r="M7788" t="s">
        <v>2513</v>
      </c>
      <c r="O7788" t="str">
        <f>LEFT(Table2[[#This Row],[Description]],75)</f>
        <v>HOLIDAY STATIONS 0419 SAINT CROIX FWI REF #2494166L8RQEBLJJP</v>
      </c>
    </row>
    <row r="7789" spans="1:15" hidden="1">
      <c r="A7789" s="25">
        <f>VALUE(YEAR(Table2[[#This Row],[Date]])&amp;TEXT(MONTH(Table2[[#This Row],[Date]]),"00"))</f>
        <v>202209</v>
      </c>
      <c r="B7789" s="6">
        <v>44810</v>
      </c>
      <c r="C7789" t="s">
        <v>2447</v>
      </c>
      <c r="D7789" t="s">
        <v>2929</v>
      </c>
      <c r="E7789">
        <f t="shared" si="44"/>
        <v>40.46</v>
      </c>
      <c r="F7789" s="2" t="str">
        <f>IF(Table2[[#This Row],[Manual Cat Value]]="",VLOOKUP(Table2[[#This Row],[Description]],'Actuals Lookup'!D:F,3,0),Table2[[#This Row],[Manual Cat Value]])</f>
        <v>Exp - Restaurants</v>
      </c>
      <c r="G7789" t="e">
        <f>VLOOKUP(D7789,Lookup!G:H,2,0)</f>
        <v>#N/A</v>
      </c>
      <c r="H7789" s="8" t="s">
        <v>25</v>
      </c>
      <c r="I7789" s="8"/>
      <c r="J7789">
        <v>40.46</v>
      </c>
      <c r="M7789" t="s">
        <v>2513</v>
      </c>
      <c r="O7789" t="str">
        <f>LEFT(Table2[[#This Row],[Description]],75)</f>
        <v>MAYNARD'S EXCELSIOR THE EXCELSIOR MN</v>
      </c>
    </row>
    <row r="7790" spans="1:15" hidden="1">
      <c r="A7790" s="25">
        <f>VALUE(YEAR(Table2[[#This Row],[Date]])&amp;TEXT(MONTH(Table2[[#This Row],[Date]]),"00"))</f>
        <v>202209</v>
      </c>
      <c r="B7790" s="6">
        <v>44810</v>
      </c>
      <c r="C7790" t="s">
        <v>2262</v>
      </c>
      <c r="D7790" t="s">
        <v>2930</v>
      </c>
      <c r="E7790">
        <f t="shared" si="44"/>
        <v>70</v>
      </c>
      <c r="F7790" s="2" t="str">
        <f>IF(Table2[[#This Row],[Manual Cat Value]]="",VLOOKUP(Table2[[#This Row],[Description]],'Actuals Lookup'!D:F,3,0),Table2[[#This Row],[Manual Cat Value]])</f>
        <v>Exp - Day Care</v>
      </c>
      <c r="G7790" t="e">
        <f>VLOOKUP(D7790,Lookup!G:H,2,0)</f>
        <v>#N/A</v>
      </c>
      <c r="H7790" s="8" t="s">
        <v>19</v>
      </c>
      <c r="I7790" s="8"/>
      <c r="J7790">
        <v>70</v>
      </c>
      <c r="M7790" t="s">
        <v>2513</v>
      </c>
      <c r="O7790" t="str">
        <f>LEFT(Table2[[#This Row],[Description]],75)</f>
        <v>RVT*MTKA PUB SCHLS-WEB 952-4015000 MN REF #2490641L74GV7N7G8</v>
      </c>
    </row>
    <row r="7791" spans="1:15" hidden="1">
      <c r="A7791" s="25">
        <f>VALUE(YEAR(Table2[[#This Row],[Date]])&amp;TEXT(MONTH(Table2[[#This Row],[Date]]),"00"))</f>
        <v>202209</v>
      </c>
      <c r="B7791" s="6">
        <v>44810</v>
      </c>
      <c r="C7791" t="s">
        <v>2265</v>
      </c>
      <c r="D7791" t="s">
        <v>2931</v>
      </c>
      <c r="E7791">
        <f t="shared" si="44"/>
        <v>12000</v>
      </c>
      <c r="F7791" s="2" t="str">
        <f>IF(Table2[[#This Row],[Manual Cat Value]]="",VLOOKUP(Table2[[#This Row],[Description]],'Actuals Lookup'!D:F,3,0),Table2[[#This Row],[Manual Cat Value]])</f>
        <v>Delete</v>
      </c>
      <c r="G7791" t="e">
        <f>VLOOKUP(D7791,Lookup!G:H,2,0)</f>
        <v>#N/A</v>
      </c>
      <c r="H7791" s="8" t="s">
        <v>9</v>
      </c>
      <c r="I7791" s="8"/>
      <c r="J7791">
        <v>12000</v>
      </c>
      <c r="M7791" t="s">
        <v>2513</v>
      </c>
      <c r="O7791" t="str">
        <f>LEFT(Table2[[#This Row],[Description]],75)</f>
        <v>Withdrawal ACH DISCOVER BANK TYPE: ETRANSFER ID: 3770527921 CO: DISCOVER BA</v>
      </c>
    </row>
    <row r="7792" spans="1:15" hidden="1">
      <c r="A7792" s="25">
        <f>VALUE(YEAR(Table2[[#This Row],[Date]])&amp;TEXT(MONTH(Table2[[#This Row],[Date]]),"00"))</f>
        <v>202209</v>
      </c>
      <c r="B7792" s="6">
        <v>44810</v>
      </c>
      <c r="C7792" t="s">
        <v>2265</v>
      </c>
      <c r="D7792" t="s">
        <v>2932</v>
      </c>
      <c r="E7792">
        <f t="shared" si="44"/>
        <v>99</v>
      </c>
      <c r="F7792" s="2" t="str">
        <f>IF(Table2[[#This Row],[Manual Cat Value]]="",VLOOKUP(Table2[[#This Row],[Description]],'Actuals Lookup'!D:F,3,0),Table2[[#This Row],[Manual Cat Value]])</f>
        <v>Exp - Shopping</v>
      </c>
      <c r="G7792" t="e">
        <f>VLOOKUP(D7792,Lookup!G:H,2,0)</f>
        <v>#N/A</v>
      </c>
      <c r="H7792" s="8" t="s">
        <v>36</v>
      </c>
      <c r="I7792" s="8"/>
      <c r="J7792">
        <v>99</v>
      </c>
      <c r="M7792" t="s">
        <v>2513</v>
      </c>
      <c r="O7792" t="str">
        <f>LEFT(Table2[[#This Row],[Description]],75)</f>
        <v xml:space="preserve">Withdrawal ACH PAYPAL TYPE: INST XFER ID: PAYPALSI77 CO: PAYPAL NAME: JEFF </v>
      </c>
    </row>
    <row r="7793" spans="1:15" hidden="1">
      <c r="A7793" s="25">
        <f>VALUE(YEAR(Table2[[#This Row],[Date]])&amp;TEXT(MONTH(Table2[[#This Row],[Date]]),"00"))</f>
        <v>202209</v>
      </c>
      <c r="B7793" s="6">
        <v>44810</v>
      </c>
      <c r="C7793" t="s">
        <v>2265</v>
      </c>
      <c r="D7793" t="s">
        <v>2933</v>
      </c>
      <c r="E7793">
        <f t="shared" si="44"/>
        <v>301.10000000000002</v>
      </c>
      <c r="F7793" s="2" t="str">
        <f>IF(Table2[[#This Row],[Manual Cat Value]]="",VLOOKUP(Table2[[#This Row],[Description]],'Actuals Lookup'!D:F,3,0),Table2[[#This Row],[Manual Cat Value]])</f>
        <v>Exp - Utilities</v>
      </c>
      <c r="G7793" t="e">
        <f>VLOOKUP(D7793,Lookup!G:H,2,0)</f>
        <v>#N/A</v>
      </c>
      <c r="H7793" s="8" t="s">
        <v>6</v>
      </c>
      <c r="I7793" s="8"/>
      <c r="J7793">
        <v>301.10000000000002</v>
      </c>
      <c r="M7793" t="s">
        <v>2513</v>
      </c>
      <c r="O7793" t="str">
        <f>LEFT(Table2[[#This Row],[Description]],75)</f>
        <v>Withdrawal ACH XCEL ENERGY-MN TYPE: XCELENERGY ID: 7411967505 CO: XCEL ENER</v>
      </c>
    </row>
    <row r="7794" spans="1:15" ht="30" hidden="1">
      <c r="A7794" s="25">
        <f>VALUE(YEAR(Table2[[#This Row],[Date]])&amp;TEXT(MONTH(Table2[[#This Row],[Date]]),"00"))</f>
        <v>202209</v>
      </c>
      <c r="B7794" s="6">
        <v>44811</v>
      </c>
      <c r="C7794" t="s">
        <v>2447</v>
      </c>
      <c r="D7794" s="7" t="s">
        <v>2934</v>
      </c>
      <c r="E7794">
        <f t="shared" si="44"/>
        <v>35.94</v>
      </c>
      <c r="F7794" s="2" t="str">
        <f>IF(Table2[[#This Row],[Manual Cat Value]]="",VLOOKUP(Table2[[#This Row],[Description]],'Actuals Lookup'!D:F,3,0),Table2[[#This Row],[Manual Cat Value]])</f>
        <v>Exp - Amazon</v>
      </c>
      <c r="G7794" t="e">
        <f>VLOOKUP(D7794,Lookup!G:H,2,0)</f>
        <v>#N/A</v>
      </c>
      <c r="H7794" s="8" t="s">
        <v>37</v>
      </c>
      <c r="I7794" s="8"/>
      <c r="J7794">
        <v>35.94</v>
      </c>
      <c r="M7794" t="s">
        <v>2513</v>
      </c>
      <c r="O7794" t="str">
        <f>LEFT(Table2[[#This Row],[Description]],75)</f>
        <v>AMZN MKTP US*1V4K446T2 AMZN.COM/BILLWA
7FKPL6D47VQ</v>
      </c>
    </row>
    <row r="7795" spans="1:15" hidden="1">
      <c r="A7795" s="25">
        <f>VALUE(YEAR(Table2[[#This Row],[Date]])&amp;TEXT(MONTH(Table2[[#This Row],[Date]]),"00"))</f>
        <v>202209</v>
      </c>
      <c r="B7795" s="6">
        <v>44811</v>
      </c>
      <c r="C7795" t="s">
        <v>2262</v>
      </c>
      <c r="D7795" t="s">
        <v>2935</v>
      </c>
      <c r="E7795">
        <f t="shared" si="44"/>
        <v>80.72</v>
      </c>
      <c r="F7795" s="2" t="str">
        <f>IF(Table2[[#This Row],[Manual Cat Value]]="",VLOOKUP(Table2[[#This Row],[Description]],'Actuals Lookup'!D:F,3,0),Table2[[#This Row],[Manual Cat Value]])</f>
        <v>Exp - Groceries</v>
      </c>
      <c r="G7795" t="e">
        <f>VLOOKUP(D7795,Lookup!G:H,2,0)</f>
        <v>#N/A</v>
      </c>
      <c r="H7795" s="8" t="s">
        <v>27</v>
      </c>
      <c r="I7795" s="8"/>
      <c r="J7795">
        <v>80.72</v>
      </c>
      <c r="M7795" t="s">
        <v>2513</v>
      </c>
      <c r="O7795" t="str">
        <f>LEFT(Table2[[#This Row],[Description]],75)</f>
        <v>CUB FOODS 1636 952-380-9900 MN REF #2423168L92DF3NG1W</v>
      </c>
    </row>
    <row r="7796" spans="1:15" hidden="1">
      <c r="A7796" s="25">
        <f>VALUE(YEAR(Table2[[#This Row],[Date]])&amp;TEXT(MONTH(Table2[[#This Row],[Date]]),"00"))</f>
        <v>202209</v>
      </c>
      <c r="B7796" s="6">
        <v>44811</v>
      </c>
      <c r="C7796" t="s">
        <v>2262</v>
      </c>
      <c r="D7796" t="s">
        <v>2936</v>
      </c>
      <c r="E7796">
        <f t="shared" si="44"/>
        <v>30</v>
      </c>
      <c r="F7796" s="2" t="str">
        <f>IF(Table2[[#This Row],[Manual Cat Value]]="",VLOOKUP(Table2[[#This Row],[Description]],'Actuals Lookup'!D:F,3,0),Table2[[#This Row],[Manual Cat Value]])</f>
        <v>Exp - Entertainment</v>
      </c>
      <c r="G7796" t="e">
        <f>VLOOKUP(D7796,Lookup!G:H,2,0)</f>
        <v>#N/A</v>
      </c>
      <c r="H7796" s="8" t="s">
        <v>39</v>
      </c>
      <c r="I7796" s="8"/>
      <c r="J7796">
        <v>30</v>
      </c>
      <c r="M7796" t="s">
        <v>2513</v>
      </c>
      <c r="O7796" t="str">
        <f>LEFT(Table2[[#This Row],[Description]],75)</f>
        <v>MN LAND ARBORETUM WWW.ARBORETUMMN REF #2449216L9000KHWS9</v>
      </c>
    </row>
    <row r="7797" spans="1:15" ht="30" hidden="1">
      <c r="A7797" s="25">
        <f>VALUE(YEAR(Table2[[#This Row],[Date]])&amp;TEXT(MONTH(Table2[[#This Row],[Date]]),"00"))</f>
        <v>202209</v>
      </c>
      <c r="B7797" s="6">
        <v>44812</v>
      </c>
      <c r="C7797" t="s">
        <v>2447</v>
      </c>
      <c r="D7797" s="7" t="s">
        <v>2937</v>
      </c>
      <c r="E7797">
        <f t="shared" si="44"/>
        <v>23.72</v>
      </c>
      <c r="F7797" s="2" t="str">
        <f>IF(Table2[[#This Row],[Manual Cat Value]]="",VLOOKUP(Table2[[#This Row],[Description]],'Actuals Lookup'!D:F,3,0),Table2[[#This Row],[Manual Cat Value]])</f>
        <v>Exp - Restaurants</v>
      </c>
      <c r="G7797" t="e">
        <f>VLOOKUP(D7797,Lookup!G:H,2,0)</f>
        <v>#N/A</v>
      </c>
      <c r="H7797" s="8" t="s">
        <v>25</v>
      </c>
      <c r="I7797" s="8"/>
      <c r="J7797">
        <v>23.72</v>
      </c>
      <c r="M7797" t="s">
        <v>2513</v>
      </c>
      <c r="O7797" t="str">
        <f>LEFT(Table2[[#This Row],[Description]],75)</f>
        <v>CARIBOU COFFEE CO #1164 EXCELSIOR MN
APPLE PAY ENDING IN 8856</v>
      </c>
    </row>
    <row r="7798" spans="1:15" hidden="1">
      <c r="A7798" s="25">
        <f>VALUE(YEAR(Table2[[#This Row],[Date]])&amp;TEXT(MONTH(Table2[[#This Row],[Date]]),"00"))</f>
        <v>202209</v>
      </c>
      <c r="B7798" s="6">
        <v>44812</v>
      </c>
      <c r="C7798" t="s">
        <v>2262</v>
      </c>
      <c r="D7798" t="s">
        <v>2938</v>
      </c>
      <c r="E7798">
        <f t="shared" si="44"/>
        <v>86.15</v>
      </c>
      <c r="F7798" s="2" t="str">
        <f>IF(Table2[[#This Row],[Manual Cat Value]]="",VLOOKUP(Table2[[#This Row],[Description]],'Actuals Lookup'!D:F,3,0),Table2[[#This Row],[Manual Cat Value]])</f>
        <v>Exp - Utilities</v>
      </c>
      <c r="G7798" t="e">
        <f>VLOOKUP(D7798,Lookup!G:H,2,0)</f>
        <v>#N/A</v>
      </c>
      <c r="H7798" s="8" t="s">
        <v>6</v>
      </c>
      <c r="I7798" s="8"/>
      <c r="J7798">
        <v>86.15</v>
      </c>
      <c r="M7798" t="s">
        <v>2513</v>
      </c>
      <c r="O7798" t="str">
        <f>LEFT(Table2[[#This Row],[Description]],75)</f>
        <v>FSI*CENTERPOINT ENERGY 877-477-1664 TX REF #2469216LA2XJ1W874</v>
      </c>
    </row>
    <row r="7799" spans="1:15" hidden="1">
      <c r="A7799" s="25">
        <f>VALUE(YEAR(Table2[[#This Row],[Date]])&amp;TEXT(MONTH(Table2[[#This Row],[Date]]),"00"))</f>
        <v>202209</v>
      </c>
      <c r="B7799" s="6">
        <v>44812</v>
      </c>
      <c r="C7799" t="s">
        <v>2262</v>
      </c>
      <c r="D7799" t="s">
        <v>2939</v>
      </c>
      <c r="E7799">
        <f t="shared" si="44"/>
        <v>102.59</v>
      </c>
      <c r="F7799" s="2" t="str">
        <f>IF(Table2[[#This Row],[Manual Cat Value]]="",VLOOKUP(Table2[[#This Row],[Description]],'Actuals Lookup'!D:F,3,0),Table2[[#This Row],[Manual Cat Value]])</f>
        <v>Exp - Restaurants</v>
      </c>
      <c r="G7799" t="e">
        <f>VLOOKUP(D7799,Lookup!G:H,2,0)</f>
        <v>#N/A</v>
      </c>
      <c r="H7799" s="8" t="s">
        <v>25</v>
      </c>
      <c r="I7799" s="8"/>
      <c r="J7799">
        <v>102.59</v>
      </c>
      <c r="M7799" t="s">
        <v>2513</v>
      </c>
      <c r="O7799" t="str">
        <f>LEFT(Table2[[#This Row],[Description]],75)</f>
        <v>LOGGERS BAR &amp; GRILL 651-2698120 WI REF #2400097LAMNJJM4AQ</v>
      </c>
    </row>
    <row r="7800" spans="1:15" hidden="1">
      <c r="A7800" s="25">
        <f>VALUE(YEAR(Table2[[#This Row],[Date]])&amp;TEXT(MONTH(Table2[[#This Row],[Date]]),"00"))</f>
        <v>202209</v>
      </c>
      <c r="B7800" s="6">
        <v>44812</v>
      </c>
      <c r="C7800" t="s">
        <v>2262</v>
      </c>
      <c r="D7800" t="s">
        <v>2940</v>
      </c>
      <c r="E7800">
        <f t="shared" si="44"/>
        <v>119.42</v>
      </c>
      <c r="F7800" s="2" t="str">
        <f>IF(Table2[[#This Row],[Manual Cat Value]]="",VLOOKUP(Table2[[#This Row],[Description]],'Actuals Lookup'!D:F,3,0),Table2[[#This Row],[Manual Cat Value]])</f>
        <v>Exp - Healthcare</v>
      </c>
      <c r="G7800" t="e">
        <f>VLOOKUP(D7800,Lookup!G:H,2,0)</f>
        <v>#N/A</v>
      </c>
      <c r="H7800" s="8" t="s">
        <v>47</v>
      </c>
      <c r="I7800" s="8"/>
      <c r="J7800">
        <v>119.42</v>
      </c>
      <c r="M7800" t="s">
        <v>2513</v>
      </c>
      <c r="O7800" t="str">
        <f>LEFT(Table2[[#This Row],[Description]],75)</f>
        <v>PARK NICOLLET 11510 866-3821799 MN REF #2471705LB3J394WPH</v>
      </c>
    </row>
    <row r="7801" spans="1:15" hidden="1">
      <c r="A7801" s="25">
        <f>VALUE(YEAR(Table2[[#This Row],[Date]])&amp;TEXT(MONTH(Table2[[#This Row],[Date]]),"00"))</f>
        <v>202209</v>
      </c>
      <c r="B7801" s="6">
        <v>44812</v>
      </c>
      <c r="C7801" t="s">
        <v>2265</v>
      </c>
      <c r="D7801" t="s">
        <v>2941</v>
      </c>
      <c r="E7801">
        <f t="shared" si="44"/>
        <v>370</v>
      </c>
      <c r="F7801" s="2" t="str">
        <f>IF(Table2[[#This Row],[Manual Cat Value]]="",VLOOKUP(Table2[[#This Row],[Description]],'Actuals Lookup'!D:F,3,0),Table2[[#This Row],[Manual Cat Value]])</f>
        <v>Exp - Day Care</v>
      </c>
      <c r="G7801" t="e">
        <f>VLOOKUP(D7801,Lookup!G:H,2,0)</f>
        <v>#N/A</v>
      </c>
      <c r="H7801" s="8" t="s">
        <v>19</v>
      </c>
      <c r="I7801" s="8"/>
      <c r="J7801">
        <v>370</v>
      </c>
      <c r="M7801" t="s">
        <v>2513</v>
      </c>
      <c r="O7801" t="str">
        <f>LEFT(Table2[[#This Row],[Description]],75)</f>
        <v xml:space="preserve">Withdrawal ACH MHCHILDCARELLC TYPE: DUES ID: 1824708198 CO: MHCHILDCARELLC </v>
      </c>
    </row>
    <row r="7802" spans="1:15" hidden="1">
      <c r="A7802" s="25">
        <f>VALUE(YEAR(Table2[[#This Row],[Date]])&amp;TEXT(MONTH(Table2[[#This Row],[Date]]),"00"))</f>
        <v>202209</v>
      </c>
      <c r="B7802" s="6">
        <v>44813</v>
      </c>
      <c r="C7802" t="s">
        <v>2447</v>
      </c>
      <c r="D7802" t="s">
        <v>2942</v>
      </c>
      <c r="E7802">
        <f t="shared" si="44"/>
        <v>10</v>
      </c>
      <c r="F7802" s="2" t="str">
        <f>IF(Table2[[#This Row],[Manual Cat Value]]="",VLOOKUP(Table2[[#This Row],[Description]],'Actuals Lookup'!D:F,3,0),Table2[[#This Row],[Manual Cat Value]])</f>
        <v>Exp - Restaurants</v>
      </c>
      <c r="G7802" t="e">
        <f>VLOOKUP(D7802,Lookup!G:H,2,0)</f>
        <v>#N/A</v>
      </c>
      <c r="H7802" s="8" t="s">
        <v>25</v>
      </c>
      <c r="I7802" s="8"/>
      <c r="J7802">
        <v>10</v>
      </c>
      <c r="M7802" t="s">
        <v>2513</v>
      </c>
      <c r="O7802" t="str">
        <f>LEFT(Table2[[#This Row],[Description]],75)</f>
        <v>PAPA MURPHY'S MN035 OLO 952-294-4646 MN</v>
      </c>
    </row>
    <row r="7803" spans="1:15" hidden="1">
      <c r="A7803" s="25">
        <f>VALUE(YEAR(Table2[[#This Row],[Date]])&amp;TEXT(MONTH(Table2[[#This Row],[Date]]),"00"))</f>
        <v>202209</v>
      </c>
      <c r="B7803" s="6">
        <v>44813</v>
      </c>
      <c r="C7803" t="s">
        <v>2262</v>
      </c>
      <c r="D7803" t="s">
        <v>2943</v>
      </c>
      <c r="E7803">
        <f t="shared" si="44"/>
        <v>47.32</v>
      </c>
      <c r="F7803" s="2" t="str">
        <f>IF(Table2[[#This Row],[Manual Cat Value]]="",VLOOKUP(Table2[[#This Row],[Description]],'Actuals Lookup'!D:F,3,0),Table2[[#This Row],[Manual Cat Value]])</f>
        <v>Exp - Gym</v>
      </c>
      <c r="G7803" t="e">
        <f>VLOOKUP(D7803,Lookup!G:H,2,0)</f>
        <v>#N/A</v>
      </c>
      <c r="H7803" s="8" t="s">
        <v>33</v>
      </c>
      <c r="I7803" s="8"/>
      <c r="J7803">
        <v>47.32</v>
      </c>
      <c r="M7803" t="s">
        <v>2513</v>
      </c>
      <c r="O7803" t="str">
        <f>LEFT(Table2[[#This Row],[Description]],75)</f>
        <v>PELOTON* MEMBERSHIP HTTPSWWW.ONEPNY REF #2401134LB000ZDNFW</v>
      </c>
    </row>
    <row r="7804" spans="1:15" ht="30" hidden="1">
      <c r="A7804" s="25">
        <f>VALUE(YEAR(Table2[[#This Row],[Date]])&amp;TEXT(MONTH(Table2[[#This Row],[Date]]),"00"))</f>
        <v>202209</v>
      </c>
      <c r="B7804" s="6">
        <v>44814</v>
      </c>
      <c r="C7804" t="s">
        <v>2447</v>
      </c>
      <c r="D7804" s="7" t="s">
        <v>2944</v>
      </c>
      <c r="E7804">
        <f t="shared" si="44"/>
        <v>107.05</v>
      </c>
      <c r="F7804" s="2" t="str">
        <f>IF(Table2[[#This Row],[Manual Cat Value]]="",VLOOKUP(Table2[[#This Row],[Description]],'Actuals Lookup'!D:F,3,0),Table2[[#This Row],[Manual Cat Value]])</f>
        <v>Exp - Entertainment</v>
      </c>
      <c r="G7804" t="e">
        <f>VLOOKUP(D7804,Lookup!G:H,2,0)</f>
        <v>#N/A</v>
      </c>
      <c r="H7804" s="8" t="s">
        <v>39</v>
      </c>
      <c r="I7804" s="8"/>
      <c r="J7804">
        <v>107.05</v>
      </c>
      <c r="M7804" t="s">
        <v>2513</v>
      </c>
      <c r="O7804" t="str">
        <f>LEFT(Table2[[#This Row],[Description]],75)</f>
        <v>ARBORETUM APPLEHOUSE CHASKA MN
APPLE PAY ENDING IN 8856</v>
      </c>
    </row>
    <row r="7805" spans="1:15" ht="45" hidden="1">
      <c r="A7805" s="25">
        <f>VALUE(YEAR(Table2[[#This Row],[Date]])&amp;TEXT(MONTH(Table2[[#This Row],[Date]]),"00"))</f>
        <v>202209</v>
      </c>
      <c r="B7805" s="6">
        <v>44814</v>
      </c>
      <c r="C7805" t="s">
        <v>2447</v>
      </c>
      <c r="D7805" s="7" t="s">
        <v>2945</v>
      </c>
      <c r="E7805">
        <f t="shared" si="44"/>
        <v>15</v>
      </c>
      <c r="F7805" s="2" t="str">
        <f>IF(Table2[[#This Row],[Manual Cat Value]]="",VLOOKUP(Table2[[#This Row],[Description]],'Actuals Lookup'!D:F,3,0),Table2[[#This Row],[Manual Cat Value]])</f>
        <v>Exp - Restaurants</v>
      </c>
      <c r="G7805" t="e">
        <f>VLOOKUP(D7805,Lookup!G:H,2,0)</f>
        <v>#N/A</v>
      </c>
      <c r="H7805" s="8" t="s">
        <v>25</v>
      </c>
      <c r="I7805" s="8"/>
      <c r="J7805">
        <v>15</v>
      </c>
      <c r="M7805" t="s">
        <v>2513</v>
      </c>
      <c r="O7805" t="str">
        <f>LEFT(Table2[[#This Row],[Description]],75)</f>
        <v>SQ *NORTH STAR DONUTS VICTORIA MN
APPLE PAY ENDING IN 8856
0001152921511885</v>
      </c>
    </row>
    <row r="7806" spans="1:15" ht="30" hidden="1">
      <c r="A7806" s="25">
        <f>VALUE(YEAR(Table2[[#This Row],[Date]])&amp;TEXT(MONTH(Table2[[#This Row],[Date]]),"00"))</f>
        <v>202209</v>
      </c>
      <c r="B7806" s="6">
        <v>44814</v>
      </c>
      <c r="C7806" t="s">
        <v>2447</v>
      </c>
      <c r="D7806" s="7" t="s">
        <v>2946</v>
      </c>
      <c r="E7806">
        <f t="shared" si="44"/>
        <v>12</v>
      </c>
      <c r="F7806" s="2" t="str">
        <f>IF(Table2[[#This Row],[Manual Cat Value]]="",VLOOKUP(Table2[[#This Row],[Description]],'Actuals Lookup'!D:F,3,0),Table2[[#This Row],[Manual Cat Value]])</f>
        <v>Exp - Restaurants</v>
      </c>
      <c r="G7806" t="e">
        <f>VLOOKUP(D7806,Lookup!G:H,2,0)</f>
        <v>#N/A</v>
      </c>
      <c r="H7806" s="8" t="s">
        <v>25</v>
      </c>
      <c r="I7806" s="8"/>
      <c r="J7806">
        <v>12</v>
      </c>
      <c r="M7806" t="s">
        <v>2513</v>
      </c>
      <c r="O7806" t="str">
        <f>LEFT(Table2[[#This Row],[Description]],75)</f>
        <v>SQ *PEPPERS AGOGO WAYZATA MN
0002305843016273645864</v>
      </c>
    </row>
    <row r="7807" spans="1:15" hidden="1">
      <c r="A7807" s="25">
        <f>VALUE(YEAR(Table2[[#This Row],[Date]])&amp;TEXT(MONTH(Table2[[#This Row],[Date]]),"00"))</f>
        <v>202209</v>
      </c>
      <c r="B7807" s="6">
        <v>44815</v>
      </c>
      <c r="C7807" t="s">
        <v>2262</v>
      </c>
      <c r="D7807" t="s">
        <v>2947</v>
      </c>
      <c r="E7807">
        <f t="shared" si="44"/>
        <v>64.989999999999995</v>
      </c>
      <c r="F7807" s="2" t="str">
        <f>IF(Table2[[#This Row],[Manual Cat Value]]="",VLOOKUP(Table2[[#This Row],[Description]],'Actuals Lookup'!D:F,3,0),Table2[[#This Row],[Manual Cat Value]])</f>
        <v>Exp - Shopping</v>
      </c>
      <c r="G7807" t="e">
        <f>VLOOKUP(D7807,Lookup!G:H,2,0)</f>
        <v>#N/A</v>
      </c>
      <c r="H7807" s="8" t="s">
        <v>36</v>
      </c>
      <c r="I7807" s="8"/>
      <c r="J7807">
        <v>64.989999999999995</v>
      </c>
      <c r="M7807" t="s">
        <v>2513</v>
      </c>
      <c r="O7807" t="str">
        <f>LEFT(Table2[[#This Row],[Description]],75)</f>
        <v>Evereve 877-2906262 MN REF #2490641LQ4H53772R</v>
      </c>
    </row>
    <row r="7808" spans="1:15" ht="30" hidden="1">
      <c r="A7808" s="25">
        <f>VALUE(YEAR(Table2[[#This Row],[Date]])&amp;TEXT(MONTH(Table2[[#This Row],[Date]]),"00"))</f>
        <v>202209</v>
      </c>
      <c r="B7808" s="6">
        <v>44815</v>
      </c>
      <c r="C7808" t="s">
        <v>2447</v>
      </c>
      <c r="D7808" s="7" t="s">
        <v>2948</v>
      </c>
      <c r="E7808">
        <f t="shared" si="44"/>
        <v>22.85</v>
      </c>
      <c r="F7808" s="2" t="str">
        <f>IF(Table2[[#This Row],[Manual Cat Value]]="",VLOOKUP(Table2[[#This Row],[Description]],'Actuals Lookup'!D:F,3,0),Table2[[#This Row],[Manual Cat Value]])</f>
        <v>Exp - Restaurants</v>
      </c>
      <c r="G7808" t="e">
        <f>VLOOKUP(D7808,Lookup!G:H,2,0)</f>
        <v>#N/A</v>
      </c>
      <c r="H7808" s="8" t="s">
        <v>25</v>
      </c>
      <c r="I7808" s="8"/>
      <c r="J7808">
        <v>22.85</v>
      </c>
      <c r="M7808" t="s">
        <v>2513</v>
      </c>
      <c r="O7808" t="str">
        <f>LEFT(Table2[[#This Row],[Description]],75)</f>
        <v>JIMMY JOHNS # 916 EDEN PRAIRIE MN
APPLE PAY ENDING IN 8856</v>
      </c>
    </row>
    <row r="7809" spans="1:15" hidden="1">
      <c r="A7809" s="25">
        <f>VALUE(YEAR(Table2[[#This Row],[Date]])&amp;TEXT(MONTH(Table2[[#This Row],[Date]]),"00"))</f>
        <v>202209</v>
      </c>
      <c r="B7809" s="6">
        <v>44815</v>
      </c>
      <c r="C7809" t="s">
        <v>2262</v>
      </c>
      <c r="D7809" t="s">
        <v>2949</v>
      </c>
      <c r="E7809">
        <f t="shared" si="44"/>
        <v>50.05</v>
      </c>
      <c r="F7809" s="2" t="str">
        <f>IF(Table2[[#This Row],[Manual Cat Value]]="",VLOOKUP(Table2[[#This Row],[Description]],'Actuals Lookup'!D:F,3,0),Table2[[#This Row],[Manual Cat Value]])</f>
        <v>Exp - Restaurants</v>
      </c>
      <c r="G7809" t="e">
        <f>VLOOKUP(D7809,Lookup!G:H,2,0)</f>
        <v>#N/A</v>
      </c>
      <c r="H7809" s="8" t="s">
        <v>25</v>
      </c>
      <c r="I7809" s="8"/>
      <c r="J7809">
        <v>50.05</v>
      </c>
      <c r="M7809" t="s">
        <v>2513</v>
      </c>
      <c r="O7809" t="str">
        <f>LEFT(Table2[[#This Row],[Description]],75)</f>
        <v>NORTH COOP* NORTH COOP sburks827@livMN REF #2449216LE0004AY5Z</v>
      </c>
    </row>
    <row r="7810" spans="1:15" hidden="1">
      <c r="A7810" s="25">
        <f>VALUE(YEAR(Table2[[#This Row],[Date]])&amp;TEXT(MONTH(Table2[[#This Row],[Date]]),"00"))</f>
        <v>202209</v>
      </c>
      <c r="B7810" s="6">
        <v>44815</v>
      </c>
      <c r="C7810" t="s">
        <v>2262</v>
      </c>
      <c r="D7810" t="s">
        <v>2950</v>
      </c>
      <c r="E7810">
        <f t="shared" ref="E7810:E7841" si="45">IF(M7810="credit",-1*J7810,J7810)</f>
        <v>56.12</v>
      </c>
      <c r="F7810" s="2" t="str">
        <f>IF(Table2[[#This Row],[Manual Cat Value]]="",VLOOKUP(Table2[[#This Row],[Description]],'Actuals Lookup'!D:F,3,0),Table2[[#This Row],[Manual Cat Value]])</f>
        <v>Exp - Transportation</v>
      </c>
      <c r="G7810" t="e">
        <f>VLOOKUP(D7810,Lookup!G:H,2,0)</f>
        <v>#N/A</v>
      </c>
      <c r="H7810" s="8" t="s">
        <v>22</v>
      </c>
      <c r="I7810" s="8"/>
      <c r="J7810">
        <v>56.12</v>
      </c>
      <c r="M7810" t="s">
        <v>2513</v>
      </c>
      <c r="O7810" t="str">
        <f>LEFT(Table2[[#This Row],[Description]],75)</f>
        <v>SPEEDWAY 04366 EXCELSIOR MN REF #2413746LE00ZF3402</v>
      </c>
    </row>
    <row r="7811" spans="1:15" hidden="1">
      <c r="A7811" s="25">
        <f>VALUE(YEAR(Table2[[#This Row],[Date]])&amp;TEXT(MONTH(Table2[[#This Row],[Date]]),"00"))</f>
        <v>202209</v>
      </c>
      <c r="B7811" s="6">
        <v>44815</v>
      </c>
      <c r="C7811" t="s">
        <v>2262</v>
      </c>
      <c r="D7811" t="s">
        <v>2951</v>
      </c>
      <c r="E7811">
        <f t="shared" si="45"/>
        <v>41.99</v>
      </c>
      <c r="F7811" s="2" t="str">
        <f>IF(Table2[[#This Row],[Manual Cat Value]]="",VLOOKUP(Table2[[#This Row],[Description]],'Actuals Lookup'!D:F,3,0),Table2[[#This Row],[Manual Cat Value]])</f>
        <v>Exp - Shopping</v>
      </c>
      <c r="G7811" t="e">
        <f>VLOOKUP(D7811,Lookup!G:H,2,0)</f>
        <v>#N/A</v>
      </c>
      <c r="H7811" s="8" t="s">
        <v>36</v>
      </c>
      <c r="I7811" s="8"/>
      <c r="J7811">
        <v>41.99</v>
      </c>
      <c r="M7811" t="s">
        <v>2513</v>
      </c>
      <c r="O7811" t="str">
        <f>LEFT(Table2[[#This Row],[Description]],75)</f>
        <v>WALGREENS #3114 EDINA MN REF #2444500LE00SG0HLL</v>
      </c>
    </row>
    <row r="7812" spans="1:15" ht="30" hidden="1">
      <c r="A7812" s="25">
        <f>VALUE(YEAR(Table2[[#This Row],[Date]])&amp;TEXT(MONTH(Table2[[#This Row],[Date]]),"00"))</f>
        <v>202209</v>
      </c>
      <c r="B7812" s="6">
        <v>44816</v>
      </c>
      <c r="C7812" t="s">
        <v>2447</v>
      </c>
      <c r="D7812" s="7" t="s">
        <v>2952</v>
      </c>
      <c r="E7812">
        <f t="shared" si="45"/>
        <v>34.94</v>
      </c>
      <c r="F7812" s="2" t="str">
        <f>IF(Table2[[#This Row],[Manual Cat Value]]="",VLOOKUP(Table2[[#This Row],[Description]],'Actuals Lookup'!D:F,3,0),Table2[[#This Row],[Manual Cat Value]])</f>
        <v>Exp - Amazon</v>
      </c>
      <c r="G7812" t="e">
        <f>VLOOKUP(D7812,Lookup!G:H,2,0)</f>
        <v>#N/A</v>
      </c>
      <c r="H7812" s="8" t="s">
        <v>37</v>
      </c>
      <c r="I7812" s="8"/>
      <c r="J7812">
        <v>34.94</v>
      </c>
      <c r="M7812" t="s">
        <v>2513</v>
      </c>
      <c r="O7812" t="str">
        <f>LEFT(Table2[[#This Row],[Description]],75)</f>
        <v>AMAZON.COM*1F9V691W2 AMZN.COM/BILLWA
76WTQNCPIPE</v>
      </c>
    </row>
    <row r="7813" spans="1:15" hidden="1">
      <c r="A7813" s="25">
        <f>VALUE(YEAR(Table2[[#This Row],[Date]])&amp;TEXT(MONTH(Table2[[#This Row],[Date]]),"00"))</f>
        <v>202209</v>
      </c>
      <c r="B7813" s="6">
        <v>44816</v>
      </c>
      <c r="C7813" t="s">
        <v>2262</v>
      </c>
      <c r="D7813" t="s">
        <v>2953</v>
      </c>
      <c r="E7813">
        <f t="shared" si="45"/>
        <v>230.7</v>
      </c>
      <c r="F7813" s="2" t="str">
        <f>IF(Table2[[#This Row],[Manual Cat Value]]="",VLOOKUP(Table2[[#This Row],[Description]],'Actuals Lookup'!D:F,3,0),Table2[[#This Row],[Manual Cat Value]])</f>
        <v>Exp - Groceries</v>
      </c>
      <c r="G7813" t="e">
        <f>VLOOKUP(D7813,Lookup!G:H,2,0)</f>
        <v>#N/A</v>
      </c>
      <c r="H7813" s="8" t="s">
        <v>27</v>
      </c>
      <c r="I7813" s="8"/>
      <c r="J7813">
        <v>230.7</v>
      </c>
      <c r="M7813" t="s">
        <v>2513</v>
      </c>
      <c r="O7813" t="str">
        <f>LEFT(Table2[[#This Row],[Description]],75)</f>
        <v>COSTCO WHSE #0783 EDEN PRAIRIE MN REF #2494300LFS4AFKH96</v>
      </c>
    </row>
    <row r="7814" spans="1:15" hidden="1">
      <c r="A7814" s="25">
        <f>VALUE(YEAR(Table2[[#This Row],[Date]])&amp;TEXT(MONTH(Table2[[#This Row],[Date]]),"00"))</f>
        <v>202209</v>
      </c>
      <c r="B7814" s="6">
        <v>44816</v>
      </c>
      <c r="C7814" t="s">
        <v>2265</v>
      </c>
      <c r="D7814" t="s">
        <v>2954</v>
      </c>
      <c r="E7814">
        <f t="shared" si="45"/>
        <v>280.85000000000002</v>
      </c>
      <c r="F7814" s="2" t="str">
        <f>IF(Table2[[#This Row],[Manual Cat Value]]="",VLOOKUP(Table2[[#This Row],[Description]],'Actuals Lookup'!D:F,3,0),Table2[[#This Row],[Manual Cat Value]])</f>
        <v>Exp - Travel</v>
      </c>
      <c r="G7814" t="e">
        <f>VLOOKUP(D7814,Lookup!G:H,2,0)</f>
        <v>#N/A</v>
      </c>
      <c r="H7814" s="8" t="s">
        <v>52</v>
      </c>
      <c r="I7814" s="8" t="s">
        <v>2955</v>
      </c>
      <c r="J7814">
        <v>280.85000000000002</v>
      </c>
      <c r="M7814" t="s">
        <v>2513</v>
      </c>
      <c r="O7814" t="str">
        <f>LEFT(Table2[[#This Row],[Description]],75)</f>
        <v>Withdrawal ACH VENMO TYPE: PAYMENT ID: 326XXXXXXX CO: VENMO NAME: JEFF TRUI</v>
      </c>
    </row>
    <row r="7815" spans="1:15" hidden="1">
      <c r="A7815" s="25">
        <f>VALUE(YEAR(Table2[[#This Row],[Date]])&amp;TEXT(MONTH(Table2[[#This Row],[Date]]),"00"))</f>
        <v>202209</v>
      </c>
      <c r="B7815" s="6">
        <v>44817</v>
      </c>
      <c r="C7815" t="s">
        <v>2447</v>
      </c>
      <c r="D7815" t="s">
        <v>459</v>
      </c>
      <c r="E7815">
        <f t="shared" si="45"/>
        <v>-29.08</v>
      </c>
      <c r="F7815" s="2" t="str">
        <f>IF(Table2[[#This Row],[Manual Cat Value]]="",VLOOKUP(Table2[[#This Row],[Description]],'Actuals Lookup'!D:F,3,0),Table2[[#This Row],[Manual Cat Value]])</f>
        <v>Dividend</v>
      </c>
      <c r="G7815" t="str">
        <f>VLOOKUP(D7815,Lookup!G:H,2,0)</f>
        <v>Delete</v>
      </c>
      <c r="I7815" s="8"/>
      <c r="J7815">
        <v>29.08</v>
      </c>
      <c r="M7815" t="s">
        <v>2621</v>
      </c>
      <c r="O7815" t="str">
        <f>LEFT(Table2[[#This Row],[Description]],75)</f>
        <v>CASHBACK BONUS REDEMPTION PYMT/STMT CRDT</v>
      </c>
    </row>
    <row r="7816" spans="1:15" hidden="1">
      <c r="A7816" s="25">
        <f>VALUE(YEAR(Table2[[#This Row],[Date]])&amp;TEXT(MONTH(Table2[[#This Row],[Date]]),"00"))</f>
        <v>202209</v>
      </c>
      <c r="B7816" s="6">
        <v>44817</v>
      </c>
      <c r="C7816" t="s">
        <v>2262</v>
      </c>
      <c r="D7816" t="s">
        <v>2956</v>
      </c>
      <c r="E7816">
        <f t="shared" si="45"/>
        <v>45</v>
      </c>
      <c r="F7816" s="2" t="str">
        <f>IF(Table2[[#This Row],[Manual Cat Value]]="",VLOOKUP(Table2[[#This Row],[Description]],'Actuals Lookup'!D:F,3,0),Table2[[#This Row],[Manual Cat Value]])</f>
        <v>Exp - Utilities</v>
      </c>
      <c r="G7816" t="e">
        <f>VLOOKUP(D7816,Lookup!G:H,2,0)</f>
        <v>#N/A</v>
      </c>
      <c r="H7816" s="8" t="s">
        <v>6</v>
      </c>
      <c r="I7816" s="8"/>
      <c r="J7816">
        <v>45</v>
      </c>
      <c r="M7816" t="s">
        <v>2513</v>
      </c>
      <c r="O7816" t="str">
        <f>LEFT(Table2[[#This Row],[Description]],75)</f>
        <v>CENTURYLINK SIMPLE 800-201-4099 LA REF #2444500LF2XAK6AVH</v>
      </c>
    </row>
    <row r="7817" spans="1:15" hidden="1">
      <c r="A7817" s="25">
        <f>VALUE(YEAR(Table2[[#This Row],[Date]])&amp;TEXT(MONTH(Table2[[#This Row],[Date]]),"00"))</f>
        <v>202209</v>
      </c>
      <c r="B7817" s="6">
        <v>44817</v>
      </c>
      <c r="C7817" t="s">
        <v>2262</v>
      </c>
      <c r="D7817" t="s">
        <v>2957</v>
      </c>
      <c r="E7817">
        <f t="shared" si="45"/>
        <v>-520.91999999999996</v>
      </c>
      <c r="F7817" s="2" t="str">
        <f>IF(Table2[[#This Row],[Manual Cat Value]]="",VLOOKUP(Table2[[#This Row],[Description]],'Actuals Lookup'!D:F,3,0),Table2[[#This Row],[Manual Cat Value]])</f>
        <v>Delete</v>
      </c>
      <c r="G7817" t="e">
        <f>VLOOKUP(D7817,Lookup!G:H,2,0)</f>
        <v>#N/A</v>
      </c>
      <c r="H7817" s="8" t="s">
        <v>9</v>
      </c>
      <c r="I7817" s="8"/>
      <c r="J7817">
        <v>520.91999999999996</v>
      </c>
      <c r="M7817" t="s">
        <v>2621</v>
      </c>
      <c r="O7817" t="str">
        <f>LEFT(Table2[[#This Row],[Description]],75)</f>
        <v>RESERVATION HILTONBOS 844-996- CREDIT REF #7449215LFLRM33GK0</v>
      </c>
    </row>
    <row r="7818" spans="1:15" hidden="1">
      <c r="A7818" s="25">
        <f>VALUE(YEAR(Table2[[#This Row],[Date]])&amp;TEXT(MONTH(Table2[[#This Row],[Date]]),"00"))</f>
        <v>202209</v>
      </c>
      <c r="B7818" s="6">
        <v>44817</v>
      </c>
      <c r="C7818" t="s">
        <v>2447</v>
      </c>
      <c r="D7818" t="s">
        <v>2958</v>
      </c>
      <c r="E7818">
        <f t="shared" si="45"/>
        <v>38.590000000000003</v>
      </c>
      <c r="F7818" s="2" t="str">
        <f>IF(Table2[[#This Row],[Manual Cat Value]]="",VLOOKUP(Table2[[#This Row],[Description]],'Actuals Lookup'!D:F,3,0),Table2[[#This Row],[Manual Cat Value]])</f>
        <v>Exp - Restaurants</v>
      </c>
      <c r="G7818" t="e">
        <f>VLOOKUP(D7818,Lookup!G:H,2,0)</f>
        <v>#N/A</v>
      </c>
      <c r="H7818" s="8" t="s">
        <v>25</v>
      </c>
      <c r="I7818" s="8"/>
      <c r="J7818">
        <v>38.590000000000003</v>
      </c>
      <c r="M7818" t="s">
        <v>2513</v>
      </c>
      <c r="O7818" t="str">
        <f>LEFT(Table2[[#This Row],[Description]],75)</f>
        <v>SATAY 2 GO APPLE VALLEY MN</v>
      </c>
    </row>
    <row r="7819" spans="1:15" hidden="1">
      <c r="A7819" s="25">
        <f>VALUE(YEAR(Table2[[#This Row],[Date]])&amp;TEXT(MONTH(Table2[[#This Row],[Date]]),"00"))</f>
        <v>202209</v>
      </c>
      <c r="B7819" s="6">
        <v>44817</v>
      </c>
      <c r="C7819" t="s">
        <v>2265</v>
      </c>
      <c r="D7819" t="s">
        <v>2959</v>
      </c>
      <c r="E7819">
        <f t="shared" si="45"/>
        <v>370</v>
      </c>
      <c r="F7819" s="2" t="str">
        <f>IF(Table2[[#This Row],[Manual Cat Value]]="",VLOOKUP(Table2[[#This Row],[Description]],'Actuals Lookup'!D:F,3,0),Table2[[#This Row],[Manual Cat Value]])</f>
        <v>Exp - Day Care</v>
      </c>
      <c r="G7819" t="e">
        <f>VLOOKUP(D7819,Lookup!G:H,2,0)</f>
        <v>#N/A</v>
      </c>
      <c r="H7819" s="8" t="s">
        <v>19</v>
      </c>
      <c r="I7819" s="8"/>
      <c r="J7819">
        <v>370</v>
      </c>
      <c r="M7819" t="s">
        <v>2513</v>
      </c>
      <c r="O7819" t="str">
        <f>LEFT(Table2[[#This Row],[Description]],75)</f>
        <v xml:space="preserve">Withdrawal ACH MHCHILDCARELLC TYPE: DUES ID: 1824708198 CO: MHCHILDCARELLC </v>
      </c>
    </row>
    <row r="7820" spans="1:15" hidden="1">
      <c r="A7820" s="25">
        <f>VALUE(YEAR(Table2[[#This Row],[Date]])&amp;TEXT(MONTH(Table2[[#This Row],[Date]]),"00"))</f>
        <v>202209</v>
      </c>
      <c r="B7820" s="6">
        <v>44817</v>
      </c>
      <c r="C7820" t="s">
        <v>2447</v>
      </c>
      <c r="D7820" t="s">
        <v>997</v>
      </c>
      <c r="E7820">
        <f t="shared" si="45"/>
        <v>-476.11</v>
      </c>
      <c r="F7820" s="2" t="str">
        <f>IF(Table2[[#This Row],[Manual Cat Value]]="",VLOOKUP(Table2[[#This Row],[Description]],'Actuals Lookup'!D:F,3,0),Table2[[#This Row],[Manual Cat Value]])</f>
        <v>Delete</v>
      </c>
      <c r="G7820" t="str">
        <f>VLOOKUP(D7820,Lookup!G:H,2,0)</f>
        <v>Delete</v>
      </c>
      <c r="I7820" s="8"/>
      <c r="J7820">
        <v>476.11</v>
      </c>
      <c r="M7820" t="s">
        <v>2621</v>
      </c>
      <c r="O7820" t="str">
        <f>LEFT(Table2[[#This Row],[Description]],75)</f>
        <v>INTERNET PAYMENT - THANK YOU</v>
      </c>
    </row>
    <row r="7821" spans="1:15" hidden="1">
      <c r="A7821" s="25">
        <f>VALUE(YEAR(Table2[[#This Row],[Date]])&amp;TEXT(MONTH(Table2[[#This Row],[Date]]),"00"))</f>
        <v>202209</v>
      </c>
      <c r="B7821" s="6">
        <v>44817</v>
      </c>
      <c r="C7821" t="s">
        <v>2265</v>
      </c>
      <c r="D7821" t="s">
        <v>2960</v>
      </c>
      <c r="E7821">
        <f t="shared" si="45"/>
        <v>150</v>
      </c>
      <c r="F7821" s="2" t="str">
        <f>IF(Table2[[#This Row],[Manual Cat Value]]="",VLOOKUP(Table2[[#This Row],[Description]],'Actuals Lookup'!D:F,3,0),Table2[[#This Row],[Manual Cat Value]])</f>
        <v>Exp - Shopping</v>
      </c>
      <c r="G7821" t="e">
        <f>VLOOKUP(D7821,Lookup!G:H,2,0)</f>
        <v>#N/A</v>
      </c>
      <c r="H7821" s="8" t="s">
        <v>36</v>
      </c>
      <c r="I7821" s="8"/>
      <c r="J7821">
        <v>150</v>
      </c>
      <c r="M7821" t="s">
        <v>2513</v>
      </c>
      <c r="O7821" t="str">
        <f>LEFT(Table2[[#This Row],[Description]],75)</f>
        <v>Withdrawal ACH VENMO TYPE: PAYMENT ID: 326XXXXXXX CO: VENMO NAME: BRITNEY T</v>
      </c>
    </row>
    <row r="7822" spans="1:15" hidden="1">
      <c r="A7822" s="25">
        <f>VALUE(YEAR(Table2[[#This Row],[Date]])&amp;TEXT(MONTH(Table2[[#This Row],[Date]]),"00"))</f>
        <v>202209</v>
      </c>
      <c r="B7822" s="6">
        <v>44818</v>
      </c>
      <c r="C7822" t="s">
        <v>2265</v>
      </c>
      <c r="D7822" t="s">
        <v>2961</v>
      </c>
      <c r="E7822">
        <f t="shared" si="45"/>
        <v>-3265.42</v>
      </c>
      <c r="F7822" s="2" t="str">
        <f>IF(Table2[[#This Row],[Manual Cat Value]]="",VLOOKUP(Table2[[#This Row],[Description]],'Actuals Lookup'!D:F,3,0),Table2[[#This Row],[Manual Cat Value]])</f>
        <v>Inc - Jeff</v>
      </c>
      <c r="G7822" t="e">
        <f>VLOOKUP(D7822,Lookup!G:H,2,0)</f>
        <v>#N/A</v>
      </c>
      <c r="H7822" s="8" t="s">
        <v>63</v>
      </c>
      <c r="I7822" s="8"/>
      <c r="J7822">
        <v>3265.42</v>
      </c>
      <c r="M7822" t="s">
        <v>2621</v>
      </c>
      <c r="O7822" t="str">
        <f>LEFT(Table2[[#This Row],[Description]],75)</f>
        <v>Deposit ACH TRINET TYPE: PAYROLL ID: 194XXXXXXX CO: TRINET Entry Class Code</v>
      </c>
    </row>
    <row r="7823" spans="1:15" hidden="1">
      <c r="A7823" s="25">
        <f>VALUE(YEAR(Table2[[#This Row],[Date]])&amp;TEXT(MONTH(Table2[[#This Row],[Date]]),"00"))</f>
        <v>202209</v>
      </c>
      <c r="B7823" s="6">
        <v>44818</v>
      </c>
      <c r="C7823" t="s">
        <v>2447</v>
      </c>
      <c r="D7823" t="s">
        <v>2962</v>
      </c>
      <c r="E7823">
        <f t="shared" si="45"/>
        <v>61.95</v>
      </c>
      <c r="F7823" s="2" t="str">
        <f>IF(Table2[[#This Row],[Manual Cat Value]]="",VLOOKUP(Table2[[#This Row],[Description]],'Actuals Lookup'!D:F,3,0),Table2[[#This Row],[Manual Cat Value]])</f>
        <v>Exp - Shopping</v>
      </c>
      <c r="G7823" t="e">
        <f>VLOOKUP(D7823,Lookup!G:H,2,0)</f>
        <v>#N/A</v>
      </c>
      <c r="H7823" s="8" t="s">
        <v>36</v>
      </c>
      <c r="I7823" s="8"/>
      <c r="J7823">
        <v>61.95</v>
      </c>
      <c r="M7823" t="s">
        <v>2513</v>
      </c>
      <c r="O7823" t="str">
        <f>LEFT(Table2[[#This Row],[Description]],75)</f>
        <v>PAYPAL *FREE FLY 402-935-7733 CA</v>
      </c>
    </row>
    <row r="7824" spans="1:15" hidden="1">
      <c r="A7824" s="25">
        <f>VALUE(YEAR(Table2[[#This Row],[Date]])&amp;TEXT(MONTH(Table2[[#This Row],[Date]]),"00"))</f>
        <v>202209</v>
      </c>
      <c r="B7824" s="6">
        <v>44818</v>
      </c>
      <c r="C7824" t="s">
        <v>2447</v>
      </c>
      <c r="D7824" t="s">
        <v>2963</v>
      </c>
      <c r="E7824">
        <f t="shared" si="45"/>
        <v>66.989999999999995</v>
      </c>
      <c r="F7824" s="2" t="str">
        <f>IF(Table2[[#This Row],[Manual Cat Value]]="",VLOOKUP(Table2[[#This Row],[Description]],'Actuals Lookup'!D:F,3,0),Table2[[#This Row],[Manual Cat Value]])</f>
        <v>Exp - Restaurants</v>
      </c>
      <c r="G7824" t="e">
        <f>VLOOKUP(D7824,Lookup!G:H,2,0)</f>
        <v>#N/A</v>
      </c>
      <c r="H7824" s="8" t="s">
        <v>25</v>
      </c>
      <c r="I7824" s="8"/>
      <c r="J7824">
        <v>66.989999999999995</v>
      </c>
      <c r="M7824" t="s">
        <v>2513</v>
      </c>
      <c r="O7824" t="str">
        <f>LEFT(Table2[[#This Row],[Description]],75)</f>
        <v>SPASSO MINNETONKA MN</v>
      </c>
    </row>
    <row r="7825" spans="1:15" hidden="1">
      <c r="A7825" s="25">
        <f>VALUE(YEAR(Table2[[#This Row],[Date]])&amp;TEXT(MONTH(Table2[[#This Row],[Date]]),"00"))</f>
        <v>202209</v>
      </c>
      <c r="B7825" s="6">
        <v>44818</v>
      </c>
      <c r="C7825" t="s">
        <v>2262</v>
      </c>
      <c r="D7825" t="s">
        <v>2964</v>
      </c>
      <c r="E7825">
        <f t="shared" si="45"/>
        <v>61.77</v>
      </c>
      <c r="F7825" s="2" t="str">
        <f>IF(Table2[[#This Row],[Manual Cat Value]]="",VLOOKUP(Table2[[#This Row],[Description]],'Actuals Lookup'!D:F,3,0),Table2[[#This Row],[Manual Cat Value]])</f>
        <v>Exp - Transportation</v>
      </c>
      <c r="G7825" t="e">
        <f>VLOOKUP(D7825,Lookup!G:H,2,0)</f>
        <v>#N/A</v>
      </c>
      <c r="H7825" s="8" t="s">
        <v>22</v>
      </c>
      <c r="I7825" s="8"/>
      <c r="J7825">
        <v>61.77</v>
      </c>
      <c r="M7825" t="s">
        <v>2513</v>
      </c>
      <c r="O7825" t="str">
        <f>LEFT(Table2[[#This Row],[Description]],75)</f>
        <v>SPEEDWAY 04159 EDEN PRAIRIE MN REF #2413746LH0106066K</v>
      </c>
    </row>
    <row r="7826" spans="1:15" hidden="1">
      <c r="A7826" s="25">
        <f>VALUE(YEAR(Table2[[#This Row],[Date]])&amp;TEXT(MONTH(Table2[[#This Row],[Date]]),"00"))</f>
        <v>202209</v>
      </c>
      <c r="B7826" s="6">
        <v>44818</v>
      </c>
      <c r="C7826" t="s">
        <v>2265</v>
      </c>
      <c r="D7826" t="s">
        <v>2965</v>
      </c>
      <c r="E7826">
        <f t="shared" si="45"/>
        <v>102.48</v>
      </c>
      <c r="F7826" s="2" t="str">
        <f>IF(Table2[[#This Row],[Manual Cat Value]]="",VLOOKUP(Table2[[#This Row],[Description]],'Actuals Lookup'!D:F,3,0),Table2[[#This Row],[Manual Cat Value]])</f>
        <v>Exp - Insurance</v>
      </c>
      <c r="G7826" t="e">
        <f>VLOOKUP(D7826,Lookup!G:H,2,0)</f>
        <v>#N/A</v>
      </c>
      <c r="H7826" s="8" t="s">
        <v>17</v>
      </c>
      <c r="I7826" s="8"/>
      <c r="J7826">
        <v>102.48</v>
      </c>
      <c r="M7826" t="s">
        <v>2513</v>
      </c>
      <c r="O7826" t="str">
        <f>LEFT(Table2[[#This Row],[Description]],75)</f>
        <v>Withdrawal ACH AMERICAN FAMILY TYPE: WEBPAYMENT ID: PEBP075965 CO: AMERICAN</v>
      </c>
    </row>
    <row r="7827" spans="1:15" hidden="1">
      <c r="A7827" s="25">
        <f>VALUE(YEAR(Table2[[#This Row],[Date]])&amp;TEXT(MONTH(Table2[[#This Row],[Date]]),"00"))</f>
        <v>202209</v>
      </c>
      <c r="B7827" s="6">
        <v>44818</v>
      </c>
      <c r="C7827" t="s">
        <v>2265</v>
      </c>
      <c r="D7827" t="s">
        <v>2966</v>
      </c>
      <c r="E7827">
        <f t="shared" si="45"/>
        <v>476.11</v>
      </c>
      <c r="F7827" s="2" t="str">
        <f>IF(Table2[[#This Row],[Manual Cat Value]]="",VLOOKUP(Table2[[#This Row],[Description]],'Actuals Lookup'!D:F,3,0),Table2[[#This Row],[Manual Cat Value]])</f>
        <v>Delete</v>
      </c>
      <c r="G7827" t="e">
        <f>VLOOKUP(D7827,Lookup!G:H,2,0)</f>
        <v>#N/A</v>
      </c>
      <c r="H7827" s="8" t="s">
        <v>9</v>
      </c>
      <c r="I7827" s="8"/>
      <c r="J7827">
        <v>476.11</v>
      </c>
      <c r="M7827" t="s">
        <v>2513</v>
      </c>
      <c r="O7827" t="str">
        <f>LEFT(Table2[[#This Row],[Description]],75)</f>
        <v>Withdrawal ACH DISCOVER TYPE: E-PAYMENT ID: 2510020270 CO: DISCOVER NAME: T</v>
      </c>
    </row>
    <row r="7828" spans="1:15" ht="30" hidden="1">
      <c r="A7828" s="25">
        <f>VALUE(YEAR(Table2[[#This Row],[Date]])&amp;TEXT(MONTH(Table2[[#This Row],[Date]]),"00"))</f>
        <v>202209</v>
      </c>
      <c r="B7828" s="6">
        <v>44819</v>
      </c>
      <c r="C7828" t="s">
        <v>2447</v>
      </c>
      <c r="D7828" s="7" t="s">
        <v>2967</v>
      </c>
      <c r="E7828">
        <f t="shared" si="45"/>
        <v>13.95</v>
      </c>
      <c r="F7828" s="2" t="str">
        <f>IF(Table2[[#This Row],[Manual Cat Value]]="",VLOOKUP(Table2[[#This Row],[Description]],'Actuals Lookup'!D:F,3,0),Table2[[#This Row],[Manual Cat Value]])</f>
        <v>Exp - Amazon</v>
      </c>
      <c r="G7828" t="e">
        <f>VLOOKUP(D7828,Lookup!G:H,2,0)</f>
        <v>#N/A</v>
      </c>
      <c r="H7828" s="8" t="s">
        <v>37</v>
      </c>
      <c r="I7828" s="8"/>
      <c r="J7828">
        <v>13.95</v>
      </c>
      <c r="M7828" t="s">
        <v>2513</v>
      </c>
      <c r="O7828" t="str">
        <f>LEFT(Table2[[#This Row],[Description]],75)</f>
        <v>AMZN MKTP US*1M1WJ9NK0 AMZN.COM/BILLWA
63B3BPEDHYN</v>
      </c>
    </row>
    <row r="7829" spans="1:15" hidden="1">
      <c r="A7829" s="25">
        <f>VALUE(YEAR(Table2[[#This Row],[Date]])&amp;TEXT(MONTH(Table2[[#This Row],[Date]]),"00"))</f>
        <v>202209</v>
      </c>
      <c r="B7829" s="6">
        <v>44819</v>
      </c>
      <c r="C7829" t="s">
        <v>2265</v>
      </c>
      <c r="D7829" t="s">
        <v>2968</v>
      </c>
      <c r="E7829">
        <f t="shared" si="45"/>
        <v>-3654.36</v>
      </c>
      <c r="F7829" s="2" t="str">
        <f>IF(Table2[[#This Row],[Manual Cat Value]]="",VLOOKUP(Table2[[#This Row],[Description]],'Actuals Lookup'!D:F,3,0),Table2[[#This Row],[Manual Cat Value]])</f>
        <v>Inc - Britney</v>
      </c>
      <c r="G7829" t="e">
        <f>VLOOKUP(D7829,Lookup!G:H,2,0)</f>
        <v>#N/A</v>
      </c>
      <c r="H7829" s="8" t="s">
        <v>65</v>
      </c>
      <c r="I7829" s="8"/>
      <c r="J7829">
        <v>3654.36</v>
      </c>
      <c r="M7829" t="s">
        <v>2621</v>
      </c>
      <c r="O7829" t="str">
        <f>LEFT(Table2[[#This Row],[Description]],75)</f>
        <v>Deposit ACH CARGILL INCORPOR TYPE: DIRECT DEP ID: 9111111101 CO: CARGILL IN</v>
      </c>
    </row>
    <row r="7830" spans="1:15" hidden="1">
      <c r="A7830" s="25">
        <f>VALUE(YEAR(Table2[[#This Row],[Date]])&amp;TEXT(MONTH(Table2[[#This Row],[Date]]),"00"))</f>
        <v>202209</v>
      </c>
      <c r="B7830" s="6">
        <v>44819</v>
      </c>
      <c r="C7830" t="s">
        <v>2265</v>
      </c>
      <c r="D7830" t="s">
        <v>2969</v>
      </c>
      <c r="E7830">
        <f t="shared" si="45"/>
        <v>-82.32</v>
      </c>
      <c r="F7830" s="2" t="str">
        <f>IF(Table2[[#This Row],[Manual Cat Value]]="",VLOOKUP(Table2[[#This Row],[Description]],'Actuals Lookup'!D:F,3,0),Table2[[#This Row],[Manual Cat Value]])</f>
        <v>Exp - Shopping</v>
      </c>
      <c r="G7830" t="e">
        <f>VLOOKUP(D7830,Lookup!G:H,2,0)</f>
        <v>#N/A</v>
      </c>
      <c r="H7830" s="8" t="s">
        <v>36</v>
      </c>
      <c r="I7830" s="8"/>
      <c r="J7830">
        <v>82.32</v>
      </c>
      <c r="M7830" t="s">
        <v>2621</v>
      </c>
      <c r="O7830" t="str">
        <f>LEFT(Table2[[#This Row],[Description]],75)</f>
        <v>Deposit ACH VENMO TYPE: REFUND ID: 426XXXXXXX CO: VENMO Entry Class Code: P</v>
      </c>
    </row>
    <row r="7831" spans="1:15" hidden="1">
      <c r="A7831" s="25">
        <f>VALUE(YEAR(Table2[[#This Row],[Date]])&amp;TEXT(MONTH(Table2[[#This Row],[Date]]),"00"))</f>
        <v>202209</v>
      </c>
      <c r="B7831" s="6">
        <v>44819</v>
      </c>
      <c r="C7831" t="s">
        <v>2262</v>
      </c>
      <c r="D7831" t="s">
        <v>2970</v>
      </c>
      <c r="E7831">
        <f t="shared" si="45"/>
        <v>62.9</v>
      </c>
      <c r="F7831" s="2" t="str">
        <f>IF(Table2[[#This Row],[Manual Cat Value]]="",VLOOKUP(Table2[[#This Row],[Description]],'Actuals Lookup'!D:F,3,0),Table2[[#This Row],[Manual Cat Value]])</f>
        <v>Exp - Groceries</v>
      </c>
      <c r="G7831" t="e">
        <f>VLOOKUP(D7831,Lookup!G:H,2,0)</f>
        <v>#N/A</v>
      </c>
      <c r="H7831" s="8" t="s">
        <v>27</v>
      </c>
      <c r="I7831" s="8"/>
      <c r="J7831">
        <v>62.9</v>
      </c>
      <c r="M7831" t="s">
        <v>2513</v>
      </c>
      <c r="O7831" t="str">
        <f>LEFT(Table2[[#This Row],[Description]],75)</f>
        <v>LAKEWINDS - MINNETONKA MINNETONKA MN REF #2405523LJRBGRKQ2W</v>
      </c>
    </row>
    <row r="7832" spans="1:15" hidden="1">
      <c r="A7832" s="25">
        <f>VALUE(YEAR(Table2[[#This Row],[Date]])&amp;TEXT(MONTH(Table2[[#This Row],[Date]]),"00"))</f>
        <v>202209</v>
      </c>
      <c r="B7832" s="6">
        <v>44819</v>
      </c>
      <c r="C7832" t="s">
        <v>2447</v>
      </c>
      <c r="D7832" t="s">
        <v>2971</v>
      </c>
      <c r="E7832">
        <f t="shared" si="45"/>
        <v>179.9</v>
      </c>
      <c r="F7832" s="2" t="str">
        <f>IF(Table2[[#This Row],[Manual Cat Value]]="",VLOOKUP(Table2[[#This Row],[Description]],'Actuals Lookup'!D:F,3,0),Table2[[#This Row],[Manual Cat Value]])</f>
        <v>Exp - Shopping</v>
      </c>
      <c r="G7832" t="e">
        <f>VLOOKUP(D7832,Lookup!G:H,2,0)</f>
        <v>#N/A</v>
      </c>
      <c r="H7832" s="8" t="s">
        <v>36</v>
      </c>
      <c r="I7832" s="8"/>
      <c r="J7832">
        <v>179.9</v>
      </c>
      <c r="M7832" t="s">
        <v>2513</v>
      </c>
      <c r="O7832" t="str">
        <f>LEFT(Table2[[#This Row],[Description]],75)</f>
        <v>PAYPAL *PONCHO 402-935-7733 CA</v>
      </c>
    </row>
    <row r="7833" spans="1:15" hidden="1">
      <c r="A7833" s="25">
        <f>VALUE(YEAR(Table2[[#This Row],[Date]])&amp;TEXT(MONTH(Table2[[#This Row],[Date]]),"00"))</f>
        <v>202209</v>
      </c>
      <c r="B7833" s="6">
        <v>44819</v>
      </c>
      <c r="C7833" t="s">
        <v>2262</v>
      </c>
      <c r="D7833" t="s">
        <v>2972</v>
      </c>
      <c r="E7833">
        <f t="shared" si="45"/>
        <v>365.58</v>
      </c>
      <c r="F7833" s="2" t="str">
        <f>IF(Table2[[#This Row],[Manual Cat Value]]="",VLOOKUP(Table2[[#This Row],[Description]],'Actuals Lookup'!D:F,3,0),Table2[[#This Row],[Manual Cat Value]])</f>
        <v>Exp - House Maint</v>
      </c>
      <c r="G7833" t="e">
        <f>VLOOKUP(D7833,Lookup!G:H,2,0)</f>
        <v>#N/A</v>
      </c>
      <c r="H7833" s="8" t="s">
        <v>1</v>
      </c>
      <c r="I7833" s="8" t="s">
        <v>2973</v>
      </c>
      <c r="J7833">
        <v>365.58</v>
      </c>
      <c r="M7833" t="s">
        <v>2513</v>
      </c>
      <c r="O7833" t="str">
        <f>LEFT(Table2[[#This Row],[Description]],75)</f>
        <v>SHINE OF MINNETONKA HTTPSWWW.SHINMN REF #2449216LH0015AXAJ</v>
      </c>
    </row>
    <row r="7834" spans="1:15" hidden="1">
      <c r="A7834" s="25">
        <f>VALUE(YEAR(Table2[[#This Row],[Date]])&amp;TEXT(MONTH(Table2[[#This Row],[Date]]),"00"))</f>
        <v>202209</v>
      </c>
      <c r="B7834" s="6">
        <v>44819</v>
      </c>
      <c r="C7834" t="s">
        <v>2265</v>
      </c>
      <c r="D7834" t="s">
        <v>2640</v>
      </c>
      <c r="E7834">
        <f t="shared" si="45"/>
        <v>1452.39</v>
      </c>
      <c r="F7834" s="2" t="str">
        <f>IF(Table2[[#This Row],[Manual Cat Value]]="",VLOOKUP(Table2[[#This Row],[Description]],'Actuals Lookup'!D:F,3,0),Table2[[#This Row],[Manual Cat Value]])</f>
        <v>Delete</v>
      </c>
      <c r="G7834" t="e">
        <f>VLOOKUP(D7834,Lookup!G:H,2,0)</f>
        <v>#N/A</v>
      </c>
      <c r="H7834" s="8" t="s">
        <v>9</v>
      </c>
      <c r="I7834" s="8"/>
      <c r="J7834">
        <v>1452.39</v>
      </c>
      <c r="M7834" t="s">
        <v>2513</v>
      </c>
      <c r="O7834" t="str">
        <f>LEFT(Table2[[#This Row],[Description]],75)</f>
        <v>Withdrawal Home Banking Pmt to card XXXXXXXXXXXX-9181</v>
      </c>
    </row>
    <row r="7835" spans="1:15" hidden="1">
      <c r="A7835" s="25">
        <f>VALUE(YEAR(Table2[[#This Row],[Date]])&amp;TEXT(MONTH(Table2[[#This Row],[Date]]),"00"))</f>
        <v>202209</v>
      </c>
      <c r="B7835" s="6">
        <v>44819</v>
      </c>
      <c r="C7835" t="s">
        <v>2262</v>
      </c>
      <c r="D7835" t="s">
        <v>2974</v>
      </c>
      <c r="E7835">
        <f t="shared" si="45"/>
        <v>-1452.39</v>
      </c>
      <c r="F7835" s="2" t="str">
        <f>IF(Table2[[#This Row],[Manual Cat Value]]="",VLOOKUP(Table2[[#This Row],[Description]],'Actuals Lookup'!D:F,3,0),Table2[[#This Row],[Manual Cat Value]])</f>
        <v>Delete</v>
      </c>
      <c r="G7835" t="e">
        <f>VLOOKUP(D7835,Lookup!G:H,2,0)</f>
        <v>#N/A</v>
      </c>
      <c r="H7835" s="8" t="s">
        <v>9</v>
      </c>
      <c r="I7835" s="8"/>
      <c r="J7835">
        <v>1452.39</v>
      </c>
      <c r="M7835" t="s">
        <v>2621</v>
      </c>
      <c r="O7835" t="str">
        <f>LEFT(Table2[[#This Row],[Description]],75)</f>
        <v>PAYMENT - THANK YOU REF #7473457LK00XTMJG2</v>
      </c>
    </row>
    <row r="7836" spans="1:15" hidden="1">
      <c r="A7836" s="25">
        <f>VALUE(YEAR(Table2[[#This Row],[Date]])&amp;TEXT(MONTH(Table2[[#This Row],[Date]]),"00"))</f>
        <v>202209</v>
      </c>
      <c r="B7836" s="6">
        <v>44819</v>
      </c>
      <c r="C7836" t="s">
        <v>2265</v>
      </c>
      <c r="D7836" t="s">
        <v>2975</v>
      </c>
      <c r="E7836">
        <f t="shared" si="45"/>
        <v>125</v>
      </c>
      <c r="F7836" s="2" t="str">
        <f>IF(Table2[[#This Row],[Manual Cat Value]]="",VLOOKUP(Table2[[#This Row],[Description]],'Actuals Lookup'!D:F,3,0),Table2[[#This Row],[Manual Cat Value]])</f>
        <v>Exp - Shopping</v>
      </c>
      <c r="G7836" t="e">
        <f>VLOOKUP(D7836,Lookup!G:H,2,0)</f>
        <v>#N/A</v>
      </c>
      <c r="H7836" s="8" t="s">
        <v>36</v>
      </c>
      <c r="I7836" s="8"/>
      <c r="J7836">
        <v>125</v>
      </c>
      <c r="M7836" t="s">
        <v>2513</v>
      </c>
      <c r="O7836" t="str">
        <f>LEFT(Table2[[#This Row],[Description]],75)</f>
        <v>Withdrawal ACH VENMO TYPE: PAYMENT ID: 326XXXXXXX CO: VENMO NAME: BRITNEY T</v>
      </c>
    </row>
    <row r="7837" spans="1:15" hidden="1">
      <c r="A7837" s="25">
        <f>VALUE(YEAR(Table2[[#This Row],[Date]])&amp;TEXT(MONTH(Table2[[#This Row],[Date]]),"00"))</f>
        <v>202209</v>
      </c>
      <c r="B7837" s="6">
        <v>44819</v>
      </c>
      <c r="C7837" t="s">
        <v>2265</v>
      </c>
      <c r="D7837" t="s">
        <v>2976</v>
      </c>
      <c r="E7837">
        <f t="shared" si="45"/>
        <v>111.81</v>
      </c>
      <c r="F7837" s="2" t="str">
        <f>IF(Table2[[#This Row],[Manual Cat Value]]="",VLOOKUP(Table2[[#This Row],[Description]],'Actuals Lookup'!D:F,3,0),Table2[[#This Row],[Manual Cat Value]])</f>
        <v>Exp - Shopping</v>
      </c>
      <c r="G7837" t="e">
        <f>VLOOKUP(D7837,Lookup!G:H,2,0)</f>
        <v>#N/A</v>
      </c>
      <c r="H7837" s="8" t="s">
        <v>36</v>
      </c>
      <c r="I7837" s="8"/>
      <c r="J7837">
        <v>111.81</v>
      </c>
      <c r="M7837" t="s">
        <v>2513</v>
      </c>
      <c r="O7837" t="str">
        <f>LEFT(Table2[[#This Row],[Description]],75)</f>
        <v>Withdrawal ACH VENMO TYPE: PAYMENT ID: 326XXXXXXX CO: VENMO NAME: BRITNEY T</v>
      </c>
    </row>
    <row r="7838" spans="1:15" hidden="1">
      <c r="A7838" s="25">
        <f>VALUE(YEAR(Table2[[#This Row],[Date]])&amp;TEXT(MONTH(Table2[[#This Row],[Date]]),"00"))</f>
        <v>202209</v>
      </c>
      <c r="B7838" s="6">
        <v>44820</v>
      </c>
      <c r="C7838" t="s">
        <v>2262</v>
      </c>
      <c r="D7838" t="s">
        <v>2977</v>
      </c>
      <c r="E7838">
        <f t="shared" si="45"/>
        <v>141.52000000000001</v>
      </c>
      <c r="F7838" s="2" t="str">
        <f>IF(Table2[[#This Row],[Manual Cat Value]]="",VLOOKUP(Table2[[#This Row],[Description]],'Actuals Lookup'!D:F,3,0),Table2[[#This Row],[Manual Cat Value]])</f>
        <v>Exp - Travel</v>
      </c>
      <c r="G7838" t="e">
        <f>VLOOKUP(D7838,Lookup!G:H,2,0)</f>
        <v>#N/A</v>
      </c>
      <c r="H7838" s="8" t="s">
        <v>52</v>
      </c>
      <c r="I7838" s="8"/>
      <c r="J7838">
        <v>141.52000000000001</v>
      </c>
      <c r="M7838" t="s">
        <v>2513</v>
      </c>
      <c r="O7838" t="str">
        <f>LEFT(Table2[[#This Row],[Description]],75)</f>
        <v>ALLIANZ TRAVEL INS ALLIANZINS.USVA REF #2449215LKLS08MX1R</v>
      </c>
    </row>
    <row r="7839" spans="1:15" hidden="1">
      <c r="A7839" s="25">
        <f>VALUE(YEAR(Table2[[#This Row],[Date]])&amp;TEXT(MONTH(Table2[[#This Row],[Date]]),"00"))</f>
        <v>202209</v>
      </c>
      <c r="B7839" s="6">
        <v>44820</v>
      </c>
      <c r="C7839" t="s">
        <v>2262</v>
      </c>
      <c r="D7839" t="s">
        <v>2978</v>
      </c>
      <c r="E7839">
        <f t="shared" si="45"/>
        <v>446.7</v>
      </c>
      <c r="F7839" s="2" t="str">
        <f>IF(Table2[[#This Row],[Manual Cat Value]]="",VLOOKUP(Table2[[#This Row],[Description]],'Actuals Lookup'!D:F,3,0),Table2[[#This Row],[Manual Cat Value]])</f>
        <v>Exp - Travel</v>
      </c>
      <c r="G7839" t="e">
        <f>VLOOKUP(D7839,Lookup!G:H,2,0)</f>
        <v>#N/A</v>
      </c>
      <c r="H7839" s="8" t="s">
        <v>52</v>
      </c>
      <c r="I7839" s="8" t="s">
        <v>2979</v>
      </c>
      <c r="J7839">
        <v>446.7</v>
      </c>
      <c r="M7839" t="s">
        <v>2513</v>
      </c>
      <c r="O7839" t="str">
        <f>LEFT(Table2[[#This Row],[Description]],75)</f>
        <v>AMERICAN AIR0012337602985FORT WORTH TX REF #2494300LKJEENK6H7</v>
      </c>
    </row>
    <row r="7840" spans="1:15" hidden="1">
      <c r="A7840" s="25">
        <f>VALUE(YEAR(Table2[[#This Row],[Date]])&amp;TEXT(MONTH(Table2[[#This Row],[Date]]),"00"))</f>
        <v>202209</v>
      </c>
      <c r="B7840" s="6">
        <v>44820</v>
      </c>
      <c r="C7840" t="s">
        <v>2262</v>
      </c>
      <c r="D7840" t="s">
        <v>2980</v>
      </c>
      <c r="E7840">
        <f t="shared" si="45"/>
        <v>446.7</v>
      </c>
      <c r="F7840" s="2" t="str">
        <f>IF(Table2[[#This Row],[Manual Cat Value]]="",VLOOKUP(Table2[[#This Row],[Description]],'Actuals Lookup'!D:F,3,0),Table2[[#This Row],[Manual Cat Value]])</f>
        <v>Exp - Travel</v>
      </c>
      <c r="G7840" t="e">
        <f>VLOOKUP(D7840,Lookup!G:H,2,0)</f>
        <v>#N/A</v>
      </c>
      <c r="H7840" s="8" t="s">
        <v>52</v>
      </c>
      <c r="I7840" s="8" t="s">
        <v>2979</v>
      </c>
      <c r="J7840">
        <v>446.7</v>
      </c>
      <c r="M7840" t="s">
        <v>2513</v>
      </c>
      <c r="O7840" t="str">
        <f>LEFT(Table2[[#This Row],[Description]],75)</f>
        <v>AMERICAN AIR0012337602986FORT WORTH TX REF #2494300LKJEENK6GE</v>
      </c>
    </row>
    <row r="7841" spans="1:15" hidden="1">
      <c r="A7841" s="25">
        <f>VALUE(YEAR(Table2[[#This Row],[Date]])&amp;TEXT(MONTH(Table2[[#This Row],[Date]]),"00"))</f>
        <v>202209</v>
      </c>
      <c r="B7841" s="6">
        <v>44820</v>
      </c>
      <c r="C7841" t="s">
        <v>2262</v>
      </c>
      <c r="D7841" t="s">
        <v>2981</v>
      </c>
      <c r="E7841">
        <f t="shared" si="45"/>
        <v>446.7</v>
      </c>
      <c r="F7841" s="2" t="str">
        <f>IF(Table2[[#This Row],[Manual Cat Value]]="",VLOOKUP(Table2[[#This Row],[Description]],'Actuals Lookup'!D:F,3,0),Table2[[#This Row],[Manual Cat Value]])</f>
        <v>Exp - Travel</v>
      </c>
      <c r="G7841" t="e">
        <f>VLOOKUP(D7841,Lookup!G:H,2,0)</f>
        <v>#N/A</v>
      </c>
      <c r="H7841" s="8" t="s">
        <v>52</v>
      </c>
      <c r="I7841" s="8" t="s">
        <v>2979</v>
      </c>
      <c r="J7841">
        <v>446.7</v>
      </c>
      <c r="M7841" t="s">
        <v>2513</v>
      </c>
      <c r="O7841" t="str">
        <f>LEFT(Table2[[#This Row],[Description]],75)</f>
        <v>AMERICAN AIR0012337602987FORT WORTH TX REF #2494300LKJEENK6K9</v>
      </c>
    </row>
    <row r="7842" spans="1:15" hidden="1">
      <c r="A7842" s="25">
        <f>VALUE(YEAR(Table2[[#This Row],[Date]])&amp;TEXT(MONTH(Table2[[#This Row],[Date]]),"00"))</f>
        <v>202209</v>
      </c>
      <c r="B7842" s="6">
        <v>44820</v>
      </c>
      <c r="C7842" t="s">
        <v>2262</v>
      </c>
      <c r="D7842" t="s">
        <v>2982</v>
      </c>
      <c r="E7842">
        <f t="shared" ref="E7842:E7873" si="46">IF(M7842="credit",-1*J7842,J7842)</f>
        <v>446.7</v>
      </c>
      <c r="F7842" s="2" t="str">
        <f>IF(Table2[[#This Row],[Manual Cat Value]]="",VLOOKUP(Table2[[#This Row],[Description]],'Actuals Lookup'!D:F,3,0),Table2[[#This Row],[Manual Cat Value]])</f>
        <v>Exp - Travel</v>
      </c>
      <c r="G7842" t="e">
        <f>VLOOKUP(D7842,Lookup!G:H,2,0)</f>
        <v>#N/A</v>
      </c>
      <c r="H7842" s="8" t="s">
        <v>52</v>
      </c>
      <c r="I7842" s="8" t="s">
        <v>2979</v>
      </c>
      <c r="J7842">
        <v>446.7</v>
      </c>
      <c r="M7842" t="s">
        <v>2513</v>
      </c>
      <c r="O7842" t="str">
        <f>LEFT(Table2[[#This Row],[Description]],75)</f>
        <v>AMERICAN AIR0012337602988FORT WORTH TX REF #2494300LKJEENK6LA</v>
      </c>
    </row>
    <row r="7843" spans="1:15" ht="30" hidden="1">
      <c r="A7843" s="25">
        <f>VALUE(YEAR(Table2[[#This Row],[Date]])&amp;TEXT(MONTH(Table2[[#This Row],[Date]]),"00"))</f>
        <v>202209</v>
      </c>
      <c r="B7843" s="6">
        <v>44820</v>
      </c>
      <c r="C7843" t="s">
        <v>2447</v>
      </c>
      <c r="D7843" s="7" t="s">
        <v>2983</v>
      </c>
      <c r="E7843">
        <f t="shared" si="46"/>
        <v>53.54</v>
      </c>
      <c r="F7843" s="2" t="str">
        <f>IF(Table2[[#This Row],[Manual Cat Value]]="",VLOOKUP(Table2[[#This Row],[Description]],'Actuals Lookup'!D:F,3,0),Table2[[#This Row],[Manual Cat Value]])</f>
        <v>Exp - Restaurants</v>
      </c>
      <c r="G7843" t="e">
        <f>VLOOKUP(D7843,Lookup!G:H,2,0)</f>
        <v>#N/A</v>
      </c>
      <c r="H7843" s="8" t="s">
        <v>25</v>
      </c>
      <c r="I7843" s="8"/>
      <c r="J7843">
        <v>53.54</v>
      </c>
      <c r="M7843" t="s">
        <v>2513</v>
      </c>
      <c r="O7843" t="str">
        <f>LEFT(Table2[[#This Row],[Description]],75)</f>
        <v>TST* THE GROCERS TABLE WAYZATA MN
00017999008590138591AA</v>
      </c>
    </row>
    <row r="7844" spans="1:15" hidden="1">
      <c r="A7844" s="25">
        <f>VALUE(YEAR(Table2[[#This Row],[Date]])&amp;TEXT(MONTH(Table2[[#This Row],[Date]]),"00"))</f>
        <v>202209</v>
      </c>
      <c r="B7844" s="6">
        <v>44821</v>
      </c>
      <c r="C7844" t="s">
        <v>2447</v>
      </c>
      <c r="D7844" t="s">
        <v>1124</v>
      </c>
      <c r="E7844">
        <f t="shared" si="46"/>
        <v>51.93</v>
      </c>
      <c r="F7844" s="2" t="e">
        <f>IF(Table2[[#This Row],[Manual Cat Value]]="",VLOOKUP(Table2[[#This Row],[Description]],'Actuals Lookup'!D:F,3,0),Table2[[#This Row],[Manual Cat Value]])</f>
        <v>#N/A</v>
      </c>
      <c r="G7844" t="str">
        <f>VLOOKUP(D7844,Lookup!G:H,2,0)</f>
        <v>Restaurants</v>
      </c>
      <c r="I7844" s="8"/>
      <c r="J7844">
        <v>51.93</v>
      </c>
      <c r="M7844" t="s">
        <v>2513</v>
      </c>
      <c r="O7844" t="str">
        <f>LEFT(Table2[[#This Row],[Description]],75)</f>
        <v>LIONS TAP EDEN PRAIRIE MN</v>
      </c>
    </row>
    <row r="7845" spans="1:15" hidden="1">
      <c r="A7845" s="25">
        <f>VALUE(YEAR(Table2[[#This Row],[Date]])&amp;TEXT(MONTH(Table2[[#This Row],[Date]]),"00"))</f>
        <v>202209</v>
      </c>
      <c r="B7845" s="6">
        <v>44821</v>
      </c>
      <c r="C7845" t="s">
        <v>2447</v>
      </c>
      <c r="D7845" t="s">
        <v>2984</v>
      </c>
      <c r="E7845">
        <f t="shared" si="46"/>
        <v>73.150000000000006</v>
      </c>
      <c r="F7845" s="2" t="str">
        <f>IF(Table2[[#This Row],[Manual Cat Value]]="",VLOOKUP(Table2[[#This Row],[Description]],'Actuals Lookup'!D:F,3,0),Table2[[#This Row],[Manual Cat Value]])</f>
        <v>Exp - Shopping</v>
      </c>
      <c r="G7845" t="e">
        <f>VLOOKUP(D7845,Lookup!G:H,2,0)</f>
        <v>#N/A</v>
      </c>
      <c r="H7845" s="8" t="s">
        <v>36</v>
      </c>
      <c r="I7845" s="8"/>
      <c r="J7845">
        <v>73.150000000000006</v>
      </c>
      <c r="M7845" t="s">
        <v>2513</v>
      </c>
      <c r="O7845" t="str">
        <f>LEFT(Table2[[#This Row],[Description]],75)</f>
        <v>PAYPAL *REI 402-935-7733 CA</v>
      </c>
    </row>
    <row r="7846" spans="1:15" ht="30" hidden="1">
      <c r="A7846" s="25">
        <f>VALUE(YEAR(Table2[[#This Row],[Date]])&amp;TEXT(MONTH(Table2[[#This Row],[Date]]),"00"))</f>
        <v>202209</v>
      </c>
      <c r="B7846" s="6">
        <v>44822</v>
      </c>
      <c r="C7846" t="s">
        <v>2447</v>
      </c>
      <c r="D7846" s="7" t="s">
        <v>2985</v>
      </c>
      <c r="E7846">
        <f t="shared" si="46"/>
        <v>6.11</v>
      </c>
      <c r="F7846" s="2" t="str">
        <f>IF(Table2[[#This Row],[Manual Cat Value]]="",VLOOKUP(Table2[[#This Row],[Description]],'Actuals Lookup'!D:F,3,0),Table2[[#This Row],[Manual Cat Value]])</f>
        <v>Exp - Restaurants</v>
      </c>
      <c r="G7846" t="e">
        <f>VLOOKUP(D7846,Lookup!G:H,2,0)</f>
        <v>#N/A</v>
      </c>
      <c r="H7846" s="8" t="s">
        <v>25</v>
      </c>
      <c r="I7846" s="8"/>
      <c r="J7846">
        <v>6.11</v>
      </c>
      <c r="M7846" t="s">
        <v>2513</v>
      </c>
      <c r="O7846" t="str">
        <f>LEFT(Table2[[#This Row],[Description]],75)</f>
        <v>CARIBOU COFFEE CO #116 CHANHASSEN MN
APPLE PAY ENDING IN 8856</v>
      </c>
    </row>
    <row r="7847" spans="1:15" hidden="1">
      <c r="A7847" s="25">
        <f>VALUE(YEAR(Table2[[#This Row],[Date]])&amp;TEXT(MONTH(Table2[[#This Row],[Date]]),"00"))</f>
        <v>202209</v>
      </c>
      <c r="B7847" s="6">
        <v>44822</v>
      </c>
      <c r="C7847" t="s">
        <v>2262</v>
      </c>
      <c r="D7847" t="s">
        <v>2986</v>
      </c>
      <c r="E7847">
        <f t="shared" si="46"/>
        <v>6.43</v>
      </c>
      <c r="F7847" s="2" t="str">
        <f>IF(Table2[[#This Row],[Manual Cat Value]]="",VLOOKUP(Table2[[#This Row],[Description]],'Actuals Lookup'!D:F,3,0),Table2[[#This Row],[Manual Cat Value]])</f>
        <v>Exp - Utilities</v>
      </c>
      <c r="G7847" t="e">
        <f>VLOOKUP(D7847,Lookup!G:H,2,0)</f>
        <v>#N/A</v>
      </c>
      <c r="H7847" s="8" t="s">
        <v>6</v>
      </c>
      <c r="I7847" s="8"/>
      <c r="J7847">
        <v>6.43</v>
      </c>
      <c r="M7847" t="s">
        <v>2513</v>
      </c>
      <c r="O7847" t="str">
        <f>LEFT(Table2[[#This Row],[Description]],75)</f>
        <v>Prime Video*1M1017BN1 888-802-3080 WA REF #2469216LL33TAX97R</v>
      </c>
    </row>
    <row r="7848" spans="1:15" hidden="1">
      <c r="A7848" s="25">
        <f>VALUE(YEAR(Table2[[#This Row],[Date]])&amp;TEXT(MONTH(Table2[[#This Row],[Date]]),"00"))</f>
        <v>202209</v>
      </c>
      <c r="B7848" s="6">
        <v>44822</v>
      </c>
      <c r="C7848" t="s">
        <v>2262</v>
      </c>
      <c r="D7848" t="s">
        <v>2987</v>
      </c>
      <c r="E7848">
        <f t="shared" si="46"/>
        <v>62.97</v>
      </c>
      <c r="F7848" s="2" t="str">
        <f>IF(Table2[[#This Row],[Manual Cat Value]]="",VLOOKUP(Table2[[#This Row],[Description]],'Actuals Lookup'!D:F,3,0),Table2[[#This Row],[Manual Cat Value]])</f>
        <v>Exp - Shopping</v>
      </c>
      <c r="G7848" t="e">
        <f>VLOOKUP(D7848,Lookup!G:H,2,0)</f>
        <v>#N/A</v>
      </c>
      <c r="H7848" s="8" t="s">
        <v>36</v>
      </c>
      <c r="I7848" s="8"/>
      <c r="J7848">
        <v>62.97</v>
      </c>
      <c r="M7848" t="s">
        <v>2513</v>
      </c>
      <c r="O7848" t="str">
        <f>LEFT(Table2[[#This Row],[Description]],75)</f>
        <v>Sailers Greenhouse SHAKOPEE MN REF #2445388LM02MZ66XA</v>
      </c>
    </row>
    <row r="7849" spans="1:15" hidden="1">
      <c r="A7849" s="25">
        <f>VALUE(YEAR(Table2[[#This Row],[Date]])&amp;TEXT(MONTH(Table2[[#This Row],[Date]]),"00"))</f>
        <v>202209</v>
      </c>
      <c r="B7849" s="6">
        <v>44822</v>
      </c>
      <c r="C7849" t="s">
        <v>2262</v>
      </c>
      <c r="D7849" t="s">
        <v>2988</v>
      </c>
      <c r="E7849">
        <f t="shared" si="46"/>
        <v>6</v>
      </c>
      <c r="F7849" s="2" t="str">
        <f>IF(Table2[[#This Row],[Manual Cat Value]]="",VLOOKUP(Table2[[#This Row],[Description]],'Actuals Lookup'!D:F,3,0),Table2[[#This Row],[Manual Cat Value]])</f>
        <v>Exp - Restaurants</v>
      </c>
      <c r="G7849" t="e">
        <f>VLOOKUP(D7849,Lookup!G:H,2,0)</f>
        <v>#N/A</v>
      </c>
      <c r="H7849" s="8" t="s">
        <v>25</v>
      </c>
      <c r="I7849" s="8"/>
      <c r="J7849">
        <v>6</v>
      </c>
      <c r="M7849" t="s">
        <v>2513</v>
      </c>
      <c r="O7849" t="str">
        <f>LEFT(Table2[[#This Row],[Description]],75)</f>
        <v>VICTORIA HEALTHY HUB 6127506106 MN REF #2405523LL2MK46KGB</v>
      </c>
    </row>
    <row r="7850" spans="1:15" hidden="1">
      <c r="A7850" s="25">
        <f>VALUE(YEAR(Table2[[#This Row],[Date]])&amp;TEXT(MONTH(Table2[[#This Row],[Date]]),"00"))</f>
        <v>202209</v>
      </c>
      <c r="B7850" s="6">
        <v>44823</v>
      </c>
      <c r="C7850" t="s">
        <v>2262</v>
      </c>
      <c r="D7850" t="s">
        <v>2989</v>
      </c>
      <c r="E7850">
        <f t="shared" si="46"/>
        <v>105.35</v>
      </c>
      <c r="F7850" s="2" t="str">
        <f>IF(Table2[[#This Row],[Manual Cat Value]]="",VLOOKUP(Table2[[#This Row],[Description]],'Actuals Lookup'!D:F,3,0),Table2[[#This Row],[Manual Cat Value]])</f>
        <v>Exp - Gifts</v>
      </c>
      <c r="G7850" t="e">
        <f>VLOOKUP(D7850,Lookup!G:H,2,0)</f>
        <v>#N/A</v>
      </c>
      <c r="H7850" s="8" t="s">
        <v>44</v>
      </c>
      <c r="I7850" s="8"/>
      <c r="J7850">
        <v>105.35</v>
      </c>
      <c r="M7850" t="s">
        <v>2513</v>
      </c>
      <c r="O7850" t="str">
        <f>LEFT(Table2[[#This Row],[Description]],75)</f>
        <v>BACHMAN'S ONLINE MINNEAPOLIS MN REF #2480197LN61MAVEV8</v>
      </c>
    </row>
    <row r="7851" spans="1:15" hidden="1">
      <c r="A7851" s="25">
        <f>VALUE(YEAR(Table2[[#This Row],[Date]])&amp;TEXT(MONTH(Table2[[#This Row],[Date]]),"00"))</f>
        <v>202209</v>
      </c>
      <c r="B7851" s="6">
        <v>44823</v>
      </c>
      <c r="C7851" t="s">
        <v>2262</v>
      </c>
      <c r="D7851" t="s">
        <v>2990</v>
      </c>
      <c r="E7851">
        <f t="shared" si="46"/>
        <v>1172.1400000000001</v>
      </c>
      <c r="F7851" s="2" t="str">
        <f>IF(Table2[[#This Row],[Manual Cat Value]]="",VLOOKUP(Table2[[#This Row],[Description]],'Actuals Lookup'!D:F,3,0),Table2[[#This Row],[Manual Cat Value]])</f>
        <v>Exp - Travel</v>
      </c>
      <c r="G7851" t="e">
        <f>VLOOKUP(D7851,Lookup!G:H,2,0)</f>
        <v>#N/A</v>
      </c>
      <c r="H7851" s="8" t="s">
        <v>52</v>
      </c>
      <c r="I7851" s="8" t="s">
        <v>2991</v>
      </c>
      <c r="J7851">
        <v>1172.1400000000001</v>
      </c>
      <c r="M7851" t="s">
        <v>2513</v>
      </c>
      <c r="O7851" t="str">
        <f>LEFT(Table2[[#This Row],[Description]],75)</f>
        <v>COPA AIR 2302179642206COPAAIR.COM FL REF #2400704LNSFG6GV8L</v>
      </c>
    </row>
    <row r="7852" spans="1:15" hidden="1">
      <c r="A7852" s="25">
        <f>VALUE(YEAR(Table2[[#This Row],[Date]])&amp;TEXT(MONTH(Table2[[#This Row],[Date]]),"00"))</f>
        <v>202209</v>
      </c>
      <c r="B7852" s="6">
        <v>44823</v>
      </c>
      <c r="C7852" t="s">
        <v>2262</v>
      </c>
      <c r="D7852" t="s">
        <v>2992</v>
      </c>
      <c r="E7852">
        <f t="shared" si="46"/>
        <v>176.6</v>
      </c>
      <c r="F7852" s="2" t="str">
        <f>IF(Table2[[#This Row],[Manual Cat Value]]="",VLOOKUP(Table2[[#This Row],[Description]],'Actuals Lookup'!D:F,3,0),Table2[[#This Row],[Manual Cat Value]])</f>
        <v>Delete</v>
      </c>
      <c r="G7852" t="e">
        <f>VLOOKUP(D7852,Lookup!G:H,2,0)</f>
        <v>#N/A</v>
      </c>
      <c r="H7852" s="8" t="s">
        <v>9</v>
      </c>
      <c r="I7852" s="8" t="s">
        <v>2993</v>
      </c>
      <c r="J7852">
        <v>176.6</v>
      </c>
      <c r="M7852" t="s">
        <v>2513</v>
      </c>
      <c r="O7852" t="str">
        <f>LEFT(Table2[[#This Row],[Description]],75)</f>
        <v>DELTA AIR 0062338225240DELTA.COM CA REF #2471705LMTQMSLZYY</v>
      </c>
    </row>
    <row r="7853" spans="1:15" hidden="1">
      <c r="A7853" s="25">
        <f>VALUE(YEAR(Table2[[#This Row],[Date]])&amp;TEXT(MONTH(Table2[[#This Row],[Date]]),"00"))</f>
        <v>202209</v>
      </c>
      <c r="B7853" s="6">
        <v>44823</v>
      </c>
      <c r="C7853" t="s">
        <v>2262</v>
      </c>
      <c r="D7853" t="s">
        <v>2994</v>
      </c>
      <c r="E7853">
        <f t="shared" si="46"/>
        <v>932.2</v>
      </c>
      <c r="F7853" s="2" t="str">
        <f>IF(Table2[[#This Row],[Manual Cat Value]]="",VLOOKUP(Table2[[#This Row],[Description]],'Actuals Lookup'!D:F,3,0),Table2[[#This Row],[Manual Cat Value]])</f>
        <v>Delete</v>
      </c>
      <c r="G7853" t="e">
        <f>VLOOKUP(D7853,Lookup!G:H,2,0)</f>
        <v>#N/A</v>
      </c>
      <c r="H7853" s="8" t="s">
        <v>9</v>
      </c>
      <c r="I7853" s="8" t="s">
        <v>2993</v>
      </c>
      <c r="J7853">
        <v>932.2</v>
      </c>
      <c r="M7853" t="s">
        <v>2513</v>
      </c>
      <c r="O7853" t="str">
        <f>LEFT(Table2[[#This Row],[Description]],75)</f>
        <v>DELTA AIR 0062338225241DELTA.COM CA REF #2471705LMTQMSLZYE</v>
      </c>
    </row>
    <row r="7854" spans="1:15" hidden="1">
      <c r="A7854" s="25">
        <f>VALUE(YEAR(Table2[[#This Row],[Date]])&amp;TEXT(MONTH(Table2[[#This Row],[Date]]),"00"))</f>
        <v>202209</v>
      </c>
      <c r="B7854" s="6">
        <v>44823</v>
      </c>
      <c r="C7854" t="s">
        <v>2262</v>
      </c>
      <c r="D7854" t="s">
        <v>2995</v>
      </c>
      <c r="E7854">
        <f t="shared" si="46"/>
        <v>932.2</v>
      </c>
      <c r="F7854" s="2" t="str">
        <f>IF(Table2[[#This Row],[Manual Cat Value]]="",VLOOKUP(Table2[[#This Row],[Description]],'Actuals Lookup'!D:F,3,0),Table2[[#This Row],[Manual Cat Value]])</f>
        <v>Delete</v>
      </c>
      <c r="G7854" t="e">
        <f>VLOOKUP(D7854,Lookup!G:H,2,0)</f>
        <v>#N/A</v>
      </c>
      <c r="H7854" s="8" t="s">
        <v>9</v>
      </c>
      <c r="I7854" s="8" t="s">
        <v>2993</v>
      </c>
      <c r="J7854">
        <v>932.2</v>
      </c>
      <c r="M7854" t="s">
        <v>2513</v>
      </c>
      <c r="O7854" t="str">
        <f>LEFT(Table2[[#This Row],[Description]],75)</f>
        <v>DELTA AIR 0062338225242DELTA.COM CA REF #2471705LMTQMSLZYN</v>
      </c>
    </row>
    <row r="7855" spans="1:15" hidden="1">
      <c r="A7855" s="25">
        <f>VALUE(YEAR(Table2[[#This Row],[Date]])&amp;TEXT(MONTH(Table2[[#This Row],[Date]]),"00"))</f>
        <v>202209</v>
      </c>
      <c r="B7855" s="6">
        <v>44823</v>
      </c>
      <c r="C7855" t="s">
        <v>2262</v>
      </c>
      <c r="D7855" t="s">
        <v>2996</v>
      </c>
      <c r="E7855">
        <f t="shared" si="46"/>
        <v>932.2</v>
      </c>
      <c r="F7855" s="2" t="str">
        <f>IF(Table2[[#This Row],[Manual Cat Value]]="",VLOOKUP(Table2[[#This Row],[Description]],'Actuals Lookup'!D:F,3,0),Table2[[#This Row],[Manual Cat Value]])</f>
        <v>Delete</v>
      </c>
      <c r="G7855" t="e">
        <f>VLOOKUP(D7855,Lookup!G:H,2,0)</f>
        <v>#N/A</v>
      </c>
      <c r="H7855" s="8" t="s">
        <v>9</v>
      </c>
      <c r="I7855" s="8" t="s">
        <v>2993</v>
      </c>
      <c r="J7855">
        <v>932.2</v>
      </c>
      <c r="M7855" t="s">
        <v>2513</v>
      </c>
      <c r="O7855" t="str">
        <f>LEFT(Table2[[#This Row],[Description]],75)</f>
        <v>DELTA AIR 0062338225243DELTA.COM CA REF #2471705LMTQMSLZY6</v>
      </c>
    </row>
    <row r="7856" spans="1:15" hidden="1">
      <c r="A7856" s="25">
        <f>VALUE(YEAR(Table2[[#This Row],[Date]])&amp;TEXT(MONTH(Table2[[#This Row],[Date]]),"00"))</f>
        <v>202209</v>
      </c>
      <c r="B7856" s="6">
        <v>44823</v>
      </c>
      <c r="C7856" t="s">
        <v>2262</v>
      </c>
      <c r="D7856" t="s">
        <v>2997</v>
      </c>
      <c r="E7856">
        <f t="shared" si="46"/>
        <v>-64.989999999999995</v>
      </c>
      <c r="F7856" s="2" t="str">
        <f>IF(Table2[[#This Row],[Manual Cat Value]]="",VLOOKUP(Table2[[#This Row],[Description]],'Actuals Lookup'!D:F,3,0),Table2[[#This Row],[Manual Cat Value]])</f>
        <v>Exp - Shopping</v>
      </c>
      <c r="G7856" t="e">
        <f>VLOOKUP(D7856,Lookup!G:H,2,0)</f>
        <v>#N/A</v>
      </c>
      <c r="H7856" s="8" t="s">
        <v>36</v>
      </c>
      <c r="I7856" s="8"/>
      <c r="J7856">
        <v>64.989999999999995</v>
      </c>
      <c r="M7856" t="s">
        <v>2621</v>
      </c>
      <c r="O7856" t="str">
        <f>LEFT(Table2[[#This Row],[Description]],75)</f>
        <v>EVEREVE - 8 WAYZATA MN REF #7426979LLEJN8PGAB</v>
      </c>
    </row>
    <row r="7857" spans="1:15" hidden="1">
      <c r="A7857" s="25">
        <f>VALUE(YEAR(Table2[[#This Row],[Date]])&amp;TEXT(MONTH(Table2[[#This Row],[Date]]),"00"))</f>
        <v>202209</v>
      </c>
      <c r="B7857" s="6">
        <v>44823</v>
      </c>
      <c r="C7857" t="s">
        <v>2262</v>
      </c>
      <c r="D7857" t="s">
        <v>2998</v>
      </c>
      <c r="E7857">
        <f t="shared" si="46"/>
        <v>88.91</v>
      </c>
      <c r="F7857" s="2" t="str">
        <f>IF(Table2[[#This Row],[Manual Cat Value]]="",VLOOKUP(Table2[[#This Row],[Description]],'Actuals Lookup'!D:F,3,0),Table2[[#This Row],[Manual Cat Value]])</f>
        <v>Exp - Groceries</v>
      </c>
      <c r="G7857" t="e">
        <f>VLOOKUP(D7857,Lookup!G:H,2,0)</f>
        <v>#N/A</v>
      </c>
      <c r="H7857" s="8" t="s">
        <v>27</v>
      </c>
      <c r="I7857" s="8"/>
      <c r="J7857">
        <v>88.91</v>
      </c>
      <c r="M7857" t="s">
        <v>2513</v>
      </c>
      <c r="O7857" t="str">
        <f>LEFT(Table2[[#This Row],[Description]],75)</f>
        <v>LUNDS&amp;BYERLYS CHANH CHANHASSEN MN REF #2442733LMM83QPH15</v>
      </c>
    </row>
    <row r="7858" spans="1:15" hidden="1">
      <c r="A7858" s="25">
        <f>VALUE(YEAR(Table2[[#This Row],[Date]])&amp;TEXT(MONTH(Table2[[#This Row],[Date]]),"00"))</f>
        <v>202209</v>
      </c>
      <c r="B7858" s="6">
        <v>44823</v>
      </c>
      <c r="C7858" t="s">
        <v>2262</v>
      </c>
      <c r="D7858" t="s">
        <v>2999</v>
      </c>
      <c r="E7858">
        <f t="shared" si="46"/>
        <v>20.329999999999998</v>
      </c>
      <c r="F7858" s="2" t="str">
        <f>IF(Table2[[#This Row],[Manual Cat Value]]="",VLOOKUP(Table2[[#This Row],[Description]],'Actuals Lookup'!D:F,3,0),Table2[[#This Row],[Manual Cat Value]])</f>
        <v>Exp - House Maint</v>
      </c>
      <c r="G7858" t="e">
        <f>VLOOKUP(D7858,Lookup!G:H,2,0)</f>
        <v>#N/A</v>
      </c>
      <c r="H7858" s="8" t="s">
        <v>1</v>
      </c>
      <c r="I7858" s="8"/>
      <c r="J7858">
        <v>20.329999999999998</v>
      </c>
      <c r="M7858" t="s">
        <v>2513</v>
      </c>
      <c r="O7858" t="str">
        <f>LEFT(Table2[[#This Row],[Description]],75)</f>
        <v>THE HOME DEPOT #2825 CHASKA MN REF #2494301LM09FV1MT4</v>
      </c>
    </row>
    <row r="7859" spans="1:15" hidden="1">
      <c r="A7859" s="25">
        <f>VALUE(YEAR(Table2[[#This Row],[Date]])&amp;TEXT(MONTH(Table2[[#This Row],[Date]]),"00"))</f>
        <v>202209</v>
      </c>
      <c r="B7859" s="6">
        <v>44823</v>
      </c>
      <c r="C7859" t="s">
        <v>2262</v>
      </c>
      <c r="D7859" t="s">
        <v>3000</v>
      </c>
      <c r="E7859">
        <f t="shared" si="46"/>
        <v>366.39</v>
      </c>
      <c r="F7859" s="2" t="str">
        <f>IF(Table2[[#This Row],[Manual Cat Value]]="",VLOOKUP(Table2[[#This Row],[Description]],'Actuals Lookup'!D:F,3,0),Table2[[#This Row],[Manual Cat Value]])</f>
        <v>Exp - Restaurants</v>
      </c>
      <c r="G7859" t="e">
        <f>VLOOKUP(D7859,Lookup!G:H,2,0)</f>
        <v>#N/A</v>
      </c>
      <c r="H7859" s="8" t="s">
        <v>25</v>
      </c>
      <c r="I7859" s="8"/>
      <c r="J7859">
        <v>366.39</v>
      </c>
      <c r="M7859" t="s">
        <v>2513</v>
      </c>
      <c r="O7859" t="str">
        <f>LEFT(Table2[[#This Row],[Description]],75)</f>
        <v>TOCK ATDEMI 312-561-4554 IL REF #2449215LNLRHBRAX6</v>
      </c>
    </row>
    <row r="7860" spans="1:15" hidden="1">
      <c r="A7860" s="25">
        <f>VALUE(YEAR(Table2[[#This Row],[Date]])&amp;TEXT(MONTH(Table2[[#This Row],[Date]]),"00"))</f>
        <v>202209</v>
      </c>
      <c r="B7860" s="6">
        <v>44823</v>
      </c>
      <c r="C7860" t="s">
        <v>2265</v>
      </c>
      <c r="D7860" t="s">
        <v>3001</v>
      </c>
      <c r="E7860">
        <f t="shared" si="46"/>
        <v>200</v>
      </c>
      <c r="F7860" s="2" t="str">
        <f>IF(Table2[[#This Row],[Manual Cat Value]]="",VLOOKUP(Table2[[#This Row],[Description]],'Actuals Lookup'!D:F,3,0),Table2[[#This Row],[Manual Cat Value]])</f>
        <v>Exp - Day Care</v>
      </c>
      <c r="G7860" t="e">
        <f>VLOOKUP(D7860,Lookup!G:H,2,0)</f>
        <v>#N/A</v>
      </c>
      <c r="H7860" s="8" t="s">
        <v>19</v>
      </c>
      <c r="I7860" s="8"/>
      <c r="J7860">
        <v>200</v>
      </c>
      <c r="M7860" t="s">
        <v>2513</v>
      </c>
      <c r="O7860" t="str">
        <f>LEFT(Table2[[#This Row],[Description]],75)</f>
        <v>Withdrawal ACH MN DIR ACH TYPE: CONTRIB ID: 2416007162 CO: MN DIR ACH NAME:</v>
      </c>
    </row>
    <row r="7861" spans="1:15" hidden="1">
      <c r="A7861" s="25">
        <f>VALUE(YEAR(Table2[[#This Row],[Date]])&amp;TEXT(MONTH(Table2[[#This Row],[Date]]),"00"))</f>
        <v>202209</v>
      </c>
      <c r="B7861" s="6">
        <v>44823</v>
      </c>
      <c r="C7861" t="s">
        <v>2265</v>
      </c>
      <c r="D7861" t="s">
        <v>3002</v>
      </c>
      <c r="E7861">
        <f t="shared" si="46"/>
        <v>21.8</v>
      </c>
      <c r="F7861" s="2" t="str">
        <f>IF(Table2[[#This Row],[Manual Cat Value]]="",VLOOKUP(Table2[[#This Row],[Description]],'Actuals Lookup'!D:F,3,0),Table2[[#This Row],[Manual Cat Value]])</f>
        <v>Exp - Shopping</v>
      </c>
      <c r="G7861" t="e">
        <f>VLOOKUP(D7861,Lookup!G:H,2,0)</f>
        <v>#N/A</v>
      </c>
      <c r="H7861" s="8" t="s">
        <v>36</v>
      </c>
      <c r="I7861" s="8"/>
      <c r="J7861">
        <v>21.8</v>
      </c>
      <c r="M7861" t="s">
        <v>2513</v>
      </c>
      <c r="O7861" t="str">
        <f>LEFT(Table2[[#This Row],[Description]],75)</f>
        <v xml:space="preserve">Withdrawal ACH PAYPAL TYPE: INST XFER ID: PAYPALSI77 CO: PAYPAL NAME: JEFF </v>
      </c>
    </row>
    <row r="7862" spans="1:15" hidden="1">
      <c r="A7862" s="25">
        <f>VALUE(YEAR(Table2[[#This Row],[Date]])&amp;TEXT(MONTH(Table2[[#This Row],[Date]]),"00"))</f>
        <v>202209</v>
      </c>
      <c r="B7862" s="6">
        <v>44823</v>
      </c>
      <c r="C7862" t="s">
        <v>2265</v>
      </c>
      <c r="D7862" t="s">
        <v>3003</v>
      </c>
      <c r="E7862">
        <f t="shared" si="46"/>
        <v>65.44</v>
      </c>
      <c r="F7862" s="2" t="str">
        <f>IF(Table2[[#This Row],[Manual Cat Value]]="",VLOOKUP(Table2[[#This Row],[Description]],'Actuals Lookup'!D:F,3,0),Table2[[#This Row],[Manual Cat Value]])</f>
        <v>Exp - Shopping</v>
      </c>
      <c r="G7862" t="e">
        <f>VLOOKUP(D7862,Lookup!G:H,2,0)</f>
        <v>#N/A</v>
      </c>
      <c r="H7862" s="8" t="s">
        <v>36</v>
      </c>
      <c r="I7862" s="8"/>
      <c r="J7862">
        <v>65.44</v>
      </c>
      <c r="M7862" t="s">
        <v>2513</v>
      </c>
      <c r="O7862" t="str">
        <f>LEFT(Table2[[#This Row],[Description]],75)</f>
        <v xml:space="preserve">Withdrawal ACH PAYPAL TYPE: INST XFER ID: PAYPALSI77 CO: PAYPAL NAME: JEFF </v>
      </c>
    </row>
    <row r="7863" spans="1:15" hidden="1">
      <c r="A7863" s="25">
        <f>VALUE(YEAR(Table2[[#This Row],[Date]])&amp;TEXT(MONTH(Table2[[#This Row],[Date]]),"00"))</f>
        <v>202209</v>
      </c>
      <c r="B7863" s="6">
        <v>44823</v>
      </c>
      <c r="C7863" t="s">
        <v>2447</v>
      </c>
      <c r="D7863" t="s">
        <v>997</v>
      </c>
      <c r="E7863">
        <f t="shared" si="46"/>
        <v>-574.94000000000005</v>
      </c>
      <c r="F7863" s="2" t="str">
        <f>IF(Table2[[#This Row],[Manual Cat Value]]="",VLOOKUP(Table2[[#This Row],[Description]],'Actuals Lookup'!D:F,3,0),Table2[[#This Row],[Manual Cat Value]])</f>
        <v>Delete</v>
      </c>
      <c r="G7863" t="str">
        <f>VLOOKUP(D7863,Lookup!G:H,2,0)</f>
        <v>Delete</v>
      </c>
      <c r="I7863" s="8"/>
      <c r="J7863">
        <v>574.94000000000005</v>
      </c>
      <c r="M7863" t="s">
        <v>2621</v>
      </c>
      <c r="O7863" t="str">
        <f>LEFT(Table2[[#This Row],[Description]],75)</f>
        <v>INTERNET PAYMENT - THANK YOU</v>
      </c>
    </row>
    <row r="7864" spans="1:15" hidden="1">
      <c r="A7864" s="25">
        <f>VALUE(YEAR(Table2[[#This Row],[Date]])&amp;TEXT(MONTH(Table2[[#This Row],[Date]]),"00"))</f>
        <v>202209</v>
      </c>
      <c r="B7864" s="6">
        <v>44823</v>
      </c>
      <c r="C7864" t="s">
        <v>2265</v>
      </c>
      <c r="D7864" t="s">
        <v>3004</v>
      </c>
      <c r="E7864">
        <f t="shared" si="46"/>
        <v>15</v>
      </c>
      <c r="F7864" s="2" t="str">
        <f>IF(Table2[[#This Row],[Manual Cat Value]]="",VLOOKUP(Table2[[#This Row],[Description]],'Actuals Lookup'!D:F,3,0),Table2[[#This Row],[Manual Cat Value]])</f>
        <v>Exp - Shopping</v>
      </c>
      <c r="G7864" t="e">
        <f>VLOOKUP(D7864,Lookup!G:H,2,0)</f>
        <v>#N/A</v>
      </c>
      <c r="H7864" s="8" t="s">
        <v>36</v>
      </c>
      <c r="I7864" s="8"/>
      <c r="J7864">
        <v>15</v>
      </c>
      <c r="M7864" t="s">
        <v>2513</v>
      </c>
      <c r="O7864" t="str">
        <f>LEFT(Table2[[#This Row],[Description]],75)</f>
        <v>Withdrawal ACH VENMO TYPE: PAYMENT ID: 326XXXXXXX CO: VENMO NAME: BRITNEY T</v>
      </c>
    </row>
    <row r="7865" spans="1:15" ht="30" hidden="1">
      <c r="A7865" s="25">
        <f>VALUE(YEAR(Table2[[#This Row],[Date]])&amp;TEXT(MONTH(Table2[[#This Row],[Date]]),"00"))</f>
        <v>202209</v>
      </c>
      <c r="B7865" s="6">
        <v>44824</v>
      </c>
      <c r="C7865" t="s">
        <v>2447</v>
      </c>
      <c r="D7865" s="7" t="s">
        <v>3005</v>
      </c>
      <c r="E7865">
        <f t="shared" si="46"/>
        <v>8.27</v>
      </c>
      <c r="F7865" s="2" t="str">
        <f>IF(Table2[[#This Row],[Manual Cat Value]]="",VLOOKUP(Table2[[#This Row],[Description]],'Actuals Lookup'!D:F,3,0),Table2[[#This Row],[Manual Cat Value]])</f>
        <v>Exp - Amazon</v>
      </c>
      <c r="G7865" t="e">
        <f>VLOOKUP(D7865,Lookup!G:H,2,0)</f>
        <v>#N/A</v>
      </c>
      <c r="H7865" s="8" t="s">
        <v>37</v>
      </c>
      <c r="I7865" s="8"/>
      <c r="J7865">
        <v>8.27</v>
      </c>
      <c r="M7865" t="s">
        <v>2513</v>
      </c>
      <c r="O7865" t="str">
        <f>LEFT(Table2[[#This Row],[Description]],75)</f>
        <v>AMZN MKTP US*1U7BJ24M1 AMZN.COM/BILLWA
66FNOBSIRLU</v>
      </c>
    </row>
    <row r="7866" spans="1:15" hidden="1">
      <c r="A7866" s="25">
        <f>VALUE(YEAR(Table2[[#This Row],[Date]])&amp;TEXT(MONTH(Table2[[#This Row],[Date]]),"00"))</f>
        <v>202209</v>
      </c>
      <c r="B7866" s="6">
        <v>44824</v>
      </c>
      <c r="C7866" t="s">
        <v>2262</v>
      </c>
      <c r="D7866" t="s">
        <v>3006</v>
      </c>
      <c r="E7866">
        <f t="shared" si="46"/>
        <v>44.84</v>
      </c>
      <c r="F7866" s="2" t="str">
        <f>IF(Table2[[#This Row],[Manual Cat Value]]="",VLOOKUP(Table2[[#This Row],[Description]],'Actuals Lookup'!D:F,3,0),Table2[[#This Row],[Manual Cat Value]])</f>
        <v>Exp - Groceries</v>
      </c>
      <c r="G7866" t="e">
        <f>VLOOKUP(D7866,Lookup!G:H,2,0)</f>
        <v>#N/A</v>
      </c>
      <c r="H7866" s="8" t="s">
        <v>27</v>
      </c>
      <c r="I7866" s="8"/>
      <c r="J7866">
        <v>44.84</v>
      </c>
      <c r="M7866" t="s">
        <v>2513</v>
      </c>
      <c r="O7866" t="str">
        <f>LEFT(Table2[[#This Row],[Description]],75)</f>
        <v>CUB FOODS 01644 952-934-1010 MN REF #2423168LN2DDVR2KM</v>
      </c>
    </row>
    <row r="7867" spans="1:15" hidden="1">
      <c r="A7867" s="25">
        <f>VALUE(YEAR(Table2[[#This Row],[Date]])&amp;TEXT(MONTH(Table2[[#This Row],[Date]]),"00"))</f>
        <v>202209</v>
      </c>
      <c r="B7867" s="6">
        <v>44824</v>
      </c>
      <c r="C7867" t="s">
        <v>2262</v>
      </c>
      <c r="D7867" t="s">
        <v>3007</v>
      </c>
      <c r="E7867">
        <f t="shared" si="46"/>
        <v>-2.99</v>
      </c>
      <c r="F7867" s="2" t="str">
        <f>IF(Table2[[#This Row],[Manual Cat Value]]="",VLOOKUP(Table2[[#This Row],[Description]],'Actuals Lookup'!D:F,3,0),Table2[[#This Row],[Manual Cat Value]])</f>
        <v>Exp - Groceries</v>
      </c>
      <c r="G7867" t="e">
        <f>VLOOKUP(D7867,Lookup!G:H,2,0)</f>
        <v>#N/A</v>
      </c>
      <c r="H7867" s="8" t="s">
        <v>27</v>
      </c>
      <c r="I7867" s="8"/>
      <c r="J7867">
        <v>2.99</v>
      </c>
      <c r="M7867" t="s">
        <v>2621</v>
      </c>
      <c r="O7867" t="str">
        <f>LEFT(Table2[[#This Row],[Description]],75)</f>
        <v>CUB FOODS 01644 CUB.COM MN REF #7423168LN2D9R4E63</v>
      </c>
    </row>
    <row r="7868" spans="1:15" hidden="1">
      <c r="A7868" s="25">
        <f>VALUE(YEAR(Table2[[#This Row],[Date]])&amp;TEXT(MONTH(Table2[[#This Row],[Date]]),"00"))</f>
        <v>202209</v>
      </c>
      <c r="B7868" s="6">
        <v>44824</v>
      </c>
      <c r="C7868" t="s">
        <v>2265</v>
      </c>
      <c r="D7868" t="s">
        <v>3008</v>
      </c>
      <c r="E7868">
        <f t="shared" si="46"/>
        <v>-3728.8</v>
      </c>
      <c r="F7868" s="2" t="str">
        <f>IF(Table2[[#This Row],[Manual Cat Value]]="",VLOOKUP(Table2[[#This Row],[Description]],'Actuals Lookup'!D:F,3,0),Table2[[#This Row],[Manual Cat Value]])</f>
        <v>Delete</v>
      </c>
      <c r="G7868" t="e">
        <f>VLOOKUP(D7868,Lookup!G:H,2,0)</f>
        <v>#N/A</v>
      </c>
      <c r="H7868" s="8" t="s">
        <v>9</v>
      </c>
      <c r="I7868" s="8"/>
      <c r="J7868">
        <v>3728.8</v>
      </c>
      <c r="M7868" t="s">
        <v>2621</v>
      </c>
      <c r="O7868" t="str">
        <f>LEFT(Table2[[#This Row],[Description]],75)</f>
        <v xml:space="preserve">Deposit ACH VENMO TYPE: CASHOUT ID: 526XXXXXXX CO: VENMO Entry Class Code: </v>
      </c>
    </row>
    <row r="7869" spans="1:15" hidden="1">
      <c r="A7869" s="25">
        <f>VALUE(YEAR(Table2[[#This Row],[Date]])&amp;TEXT(MONTH(Table2[[#This Row],[Date]]),"00"))</f>
        <v>202209</v>
      </c>
      <c r="B7869" s="6">
        <v>44824</v>
      </c>
      <c r="C7869" t="s">
        <v>2262</v>
      </c>
      <c r="D7869" t="s">
        <v>3009</v>
      </c>
      <c r="E7869">
        <f t="shared" si="46"/>
        <v>179.9</v>
      </c>
      <c r="F7869" s="2" t="str">
        <f>IF(Table2[[#This Row],[Manual Cat Value]]="",VLOOKUP(Table2[[#This Row],[Description]],'Actuals Lookup'!D:F,3,0),Table2[[#This Row],[Manual Cat Value]])</f>
        <v>Exp - Shopping</v>
      </c>
      <c r="G7869" t="e">
        <f>VLOOKUP(D7869,Lookup!G:H,2,0)</f>
        <v>#N/A</v>
      </c>
      <c r="H7869" s="8" t="s">
        <v>36</v>
      </c>
      <c r="I7869" s="8"/>
      <c r="J7869">
        <v>179.9</v>
      </c>
      <c r="M7869" t="s">
        <v>2513</v>
      </c>
      <c r="O7869" t="str">
        <f>LEFT(Table2[[#This Row],[Description]],75)</f>
        <v>SP PONCHO HTTPSPONCHOOUNY REF #2449216LN000WWNRK</v>
      </c>
    </row>
    <row r="7870" spans="1:15" hidden="1">
      <c r="A7870" s="25">
        <f>VALUE(YEAR(Table2[[#This Row],[Date]])&amp;TEXT(MONTH(Table2[[#This Row],[Date]]),"00"))</f>
        <v>202209</v>
      </c>
      <c r="B7870" s="6">
        <v>44824</v>
      </c>
      <c r="C7870" t="s">
        <v>2265</v>
      </c>
      <c r="D7870" t="s">
        <v>3010</v>
      </c>
      <c r="E7870">
        <f t="shared" si="46"/>
        <v>370</v>
      </c>
      <c r="F7870" s="2" t="str">
        <f>IF(Table2[[#This Row],[Manual Cat Value]]="",VLOOKUP(Table2[[#This Row],[Description]],'Actuals Lookup'!D:F,3,0),Table2[[#This Row],[Manual Cat Value]])</f>
        <v>Exp - Day Care</v>
      </c>
      <c r="G7870" t="e">
        <f>VLOOKUP(D7870,Lookup!G:H,2,0)</f>
        <v>#N/A</v>
      </c>
      <c r="H7870" s="8" t="s">
        <v>19</v>
      </c>
      <c r="I7870" s="8"/>
      <c r="J7870">
        <v>370</v>
      </c>
      <c r="M7870" t="s">
        <v>2513</v>
      </c>
      <c r="O7870" t="str">
        <f>LEFT(Table2[[#This Row],[Description]],75)</f>
        <v xml:space="preserve">Withdrawal ACH MHCHILDCARELLC TYPE: DUES ID: 1824708198 CO: MHCHILDCARELLC </v>
      </c>
    </row>
    <row r="7871" spans="1:15" hidden="1">
      <c r="A7871" s="25">
        <f>VALUE(YEAR(Table2[[#This Row],[Date]])&amp;TEXT(MONTH(Table2[[#This Row],[Date]]),"00"))</f>
        <v>202209</v>
      </c>
      <c r="B7871" s="6">
        <v>44824</v>
      </c>
      <c r="C7871" t="s">
        <v>2265</v>
      </c>
      <c r="D7871" t="s">
        <v>2640</v>
      </c>
      <c r="E7871">
        <f t="shared" si="46"/>
        <v>7093.53</v>
      </c>
      <c r="F7871" s="2" t="str">
        <f>IF(Table2[[#This Row],[Manual Cat Value]]="",VLOOKUP(Table2[[#This Row],[Description]],'Actuals Lookup'!D:F,3,0),Table2[[#This Row],[Manual Cat Value]])</f>
        <v>Delete</v>
      </c>
      <c r="G7871" t="e">
        <f>VLOOKUP(D7871,Lookup!G:H,2,0)</f>
        <v>#N/A</v>
      </c>
      <c r="H7871" s="8" t="s">
        <v>9</v>
      </c>
      <c r="I7871" s="8"/>
      <c r="J7871">
        <v>7093.53</v>
      </c>
      <c r="M7871" t="s">
        <v>2513</v>
      </c>
      <c r="O7871" t="str">
        <f>LEFT(Table2[[#This Row],[Description]],75)</f>
        <v>Withdrawal Home Banking Pmt to card XXXXXXXXXXXX-9181</v>
      </c>
    </row>
    <row r="7872" spans="1:15" hidden="1">
      <c r="A7872" s="25">
        <f>VALUE(YEAR(Table2[[#This Row],[Date]])&amp;TEXT(MONTH(Table2[[#This Row],[Date]]),"00"))</f>
        <v>202209</v>
      </c>
      <c r="B7872" s="6">
        <v>44824</v>
      </c>
      <c r="C7872" t="s">
        <v>2262</v>
      </c>
      <c r="D7872" t="s">
        <v>3011</v>
      </c>
      <c r="E7872">
        <f t="shared" si="46"/>
        <v>-7093.53</v>
      </c>
      <c r="F7872" s="2" t="str">
        <f>IF(Table2[[#This Row],[Manual Cat Value]]="",VLOOKUP(Table2[[#This Row],[Description]],'Actuals Lookup'!D:F,3,0),Table2[[#This Row],[Manual Cat Value]])</f>
        <v>Delete</v>
      </c>
      <c r="G7872" t="e">
        <f>VLOOKUP(D7872,Lookup!G:H,2,0)</f>
        <v>#N/A</v>
      </c>
      <c r="H7872" s="8" t="s">
        <v>9</v>
      </c>
      <c r="I7872" s="8"/>
      <c r="J7872">
        <v>7093.53</v>
      </c>
      <c r="M7872" t="s">
        <v>2621</v>
      </c>
      <c r="O7872" t="str">
        <f>LEFT(Table2[[#This Row],[Description]],75)</f>
        <v>PAYMENT - THANK YOU REF #7473457LR00XTMJG5</v>
      </c>
    </row>
    <row r="7873" spans="1:15" hidden="1">
      <c r="A7873" s="25">
        <f>VALUE(YEAR(Table2[[#This Row],[Date]])&amp;TEXT(MONTH(Table2[[#This Row],[Date]]),"00"))</f>
        <v>202209</v>
      </c>
      <c r="B7873" s="6">
        <v>44824</v>
      </c>
      <c r="C7873" t="s">
        <v>2265</v>
      </c>
      <c r="D7873" t="s">
        <v>3012</v>
      </c>
      <c r="E7873">
        <f t="shared" si="46"/>
        <v>574.94000000000005</v>
      </c>
      <c r="F7873" s="2" t="str">
        <f>IF(Table2[[#This Row],[Manual Cat Value]]="",VLOOKUP(Table2[[#This Row],[Description]],'Actuals Lookup'!D:F,3,0),Table2[[#This Row],[Manual Cat Value]])</f>
        <v>Delete</v>
      </c>
      <c r="G7873" t="e">
        <f>VLOOKUP(D7873,Lookup!G:H,2,0)</f>
        <v>#N/A</v>
      </c>
      <c r="H7873" s="8" t="s">
        <v>9</v>
      </c>
      <c r="I7873" s="8"/>
      <c r="J7873">
        <v>574.94000000000005</v>
      </c>
      <c r="M7873" t="s">
        <v>2513</v>
      </c>
      <c r="O7873" t="str">
        <f>LEFT(Table2[[#This Row],[Description]],75)</f>
        <v>Withdrawal ACH DISCOVER TYPE: E-PAYMENT ID: 2510020270 CO: DISCOVER NAME: T</v>
      </c>
    </row>
    <row r="7874" spans="1:15" hidden="1">
      <c r="A7874" s="25">
        <f>VALUE(YEAR(Table2[[#This Row],[Date]])&amp;TEXT(MONTH(Table2[[#This Row],[Date]]),"00"))</f>
        <v>202209</v>
      </c>
      <c r="B7874" s="6">
        <v>44825</v>
      </c>
      <c r="C7874" t="s">
        <v>2262</v>
      </c>
      <c r="D7874" t="s">
        <v>3013</v>
      </c>
      <c r="E7874">
        <f t="shared" ref="E7874:E7905" si="47">IF(M7874="credit",-1*J7874,J7874)</f>
        <v>11</v>
      </c>
      <c r="F7874" s="2" t="str">
        <f>IF(Table2[[#This Row],[Manual Cat Value]]="",VLOOKUP(Table2[[#This Row],[Description]],'Actuals Lookup'!D:F,3,0),Table2[[#This Row],[Manual Cat Value]])</f>
        <v>Exp - House Maint</v>
      </c>
      <c r="G7874" t="e">
        <f>VLOOKUP(D7874,Lookup!G:H,2,0)</f>
        <v>#N/A</v>
      </c>
      <c r="H7874" s="8" t="s">
        <v>1</v>
      </c>
      <c r="I7874" s="8"/>
      <c r="J7874">
        <v>11</v>
      </c>
      <c r="M7874" t="s">
        <v>2513</v>
      </c>
      <c r="O7874" t="str">
        <f>LEFT(Table2[[#This Row],[Description]],75)</f>
        <v>BONFES PLUMBING HEATING A651-3326633 MN REF #2427539LPS66D4TQ8</v>
      </c>
    </row>
    <row r="7875" spans="1:15" hidden="1">
      <c r="A7875" s="25">
        <f>VALUE(YEAR(Table2[[#This Row],[Date]])&amp;TEXT(MONTH(Table2[[#This Row],[Date]]),"00"))</f>
        <v>202209</v>
      </c>
      <c r="B7875" s="6">
        <v>44825</v>
      </c>
      <c r="C7875" t="s">
        <v>2262</v>
      </c>
      <c r="D7875" t="s">
        <v>3014</v>
      </c>
      <c r="E7875">
        <f t="shared" si="47"/>
        <v>16.73</v>
      </c>
      <c r="F7875" s="2" t="str">
        <f>IF(Table2[[#This Row],[Manual Cat Value]]="",VLOOKUP(Table2[[#This Row],[Description]],'Actuals Lookup'!D:F,3,0),Table2[[#This Row],[Manual Cat Value]])</f>
        <v>Exp - Utilities</v>
      </c>
      <c r="G7875" t="e">
        <f>VLOOKUP(D7875,Lookup!G:H,2,0)</f>
        <v>#N/A</v>
      </c>
      <c r="H7875" s="8" t="s">
        <v>6</v>
      </c>
      <c r="I7875" s="8"/>
      <c r="J7875">
        <v>16.73</v>
      </c>
      <c r="M7875" t="s">
        <v>2513</v>
      </c>
      <c r="O7875" t="str">
        <f>LEFT(Table2[[#This Row],[Description]],75)</f>
        <v>Netflix.com 866-5797172 CA REF #2490641LP4HSLV3DN</v>
      </c>
    </row>
    <row r="7876" spans="1:15" hidden="1">
      <c r="A7876" s="25">
        <f>VALUE(YEAR(Table2[[#This Row],[Date]])&amp;TEXT(MONTH(Table2[[#This Row],[Date]]),"00"))</f>
        <v>202209</v>
      </c>
      <c r="B7876" s="6">
        <v>44825</v>
      </c>
      <c r="C7876" t="s">
        <v>2265</v>
      </c>
      <c r="D7876" t="s">
        <v>3015</v>
      </c>
      <c r="E7876">
        <f t="shared" si="47"/>
        <v>66.209999999999994</v>
      </c>
      <c r="F7876" s="2" t="str">
        <f>IF(Table2[[#This Row],[Manual Cat Value]]="",VLOOKUP(Table2[[#This Row],[Description]],'Actuals Lookup'!D:F,3,0),Table2[[#This Row],[Manual Cat Value]])</f>
        <v>Exp - Utilities</v>
      </c>
      <c r="G7876" t="e">
        <f>VLOOKUP(D7876,Lookup!G:H,2,0)</f>
        <v>#N/A</v>
      </c>
      <c r="H7876" s="8" t="s">
        <v>6</v>
      </c>
      <c r="I7876" s="8"/>
      <c r="J7876">
        <v>66.209999999999994</v>
      </c>
      <c r="M7876" t="s">
        <v>2513</v>
      </c>
      <c r="O7876" t="str">
        <f>LEFT(Table2[[#This Row],[Description]],75)</f>
        <v xml:space="preserve">Withdrawal ACH CITY OF CHANHASS TYPE: UTIL BILL ID: 1410885331 CO: CITY OF </v>
      </c>
    </row>
    <row r="7877" spans="1:15" hidden="1">
      <c r="A7877" s="25">
        <f>VALUE(YEAR(Table2[[#This Row],[Date]])&amp;TEXT(MONTH(Table2[[#This Row],[Date]]),"00"))</f>
        <v>202209</v>
      </c>
      <c r="B7877" s="6">
        <v>44826</v>
      </c>
      <c r="C7877" t="s">
        <v>2262</v>
      </c>
      <c r="D7877" t="s">
        <v>3016</v>
      </c>
      <c r="E7877">
        <f t="shared" si="47"/>
        <v>125</v>
      </c>
      <c r="F7877" s="2" t="str">
        <f>IF(Table2[[#This Row],[Manual Cat Value]]="",VLOOKUP(Table2[[#This Row],[Description]],'Actuals Lookup'!D:F,3,0),Table2[[#This Row],[Manual Cat Value]])</f>
        <v>Exp - Day Care</v>
      </c>
      <c r="G7877" t="e">
        <f>VLOOKUP(D7877,Lookup!G:H,2,0)</f>
        <v>#N/A</v>
      </c>
      <c r="H7877" s="8" t="s">
        <v>19</v>
      </c>
      <c r="I7877" s="8"/>
      <c r="J7877">
        <v>125</v>
      </c>
      <c r="M7877" t="s">
        <v>2513</v>
      </c>
      <c r="O7877" t="str">
        <f>LEFT(Table2[[#This Row],[Description]],75)</f>
        <v>BCS*MINNETONKA COMMUNITY 952-401-6800 MN REF #2413746LT01DBYVLJ</v>
      </c>
    </row>
    <row r="7878" spans="1:15" hidden="1">
      <c r="A7878" s="25">
        <f>VALUE(YEAR(Table2[[#This Row],[Date]])&amp;TEXT(MONTH(Table2[[#This Row],[Date]]),"00"))</f>
        <v>202209</v>
      </c>
      <c r="B7878" s="6">
        <v>44826</v>
      </c>
      <c r="C7878" t="s">
        <v>2262</v>
      </c>
      <c r="D7878" t="s">
        <v>3017</v>
      </c>
      <c r="E7878">
        <f t="shared" si="47"/>
        <v>184.68</v>
      </c>
      <c r="F7878" s="2" t="str">
        <f>IF(Table2[[#This Row],[Manual Cat Value]]="",VLOOKUP(Table2[[#This Row],[Description]],'Actuals Lookup'!D:F,3,0),Table2[[#This Row],[Manual Cat Value]])</f>
        <v>Exp - Day Care</v>
      </c>
      <c r="G7878" t="e">
        <f>VLOOKUP(D7878,Lookup!G:H,2,0)</f>
        <v>#N/A</v>
      </c>
      <c r="H7878" s="8" t="s">
        <v>19</v>
      </c>
      <c r="I7878" s="8"/>
      <c r="J7878">
        <v>184.68</v>
      </c>
      <c r="M7878" t="s">
        <v>2513</v>
      </c>
      <c r="O7878" t="str">
        <f>LEFT(Table2[[#This Row],[Description]],75)</f>
        <v>BCS*MINNETONKA COMMUNITY 952-401-6800 MN REF #2413746LT01DBYVP5</v>
      </c>
    </row>
    <row r="7879" spans="1:15" ht="30" hidden="1">
      <c r="A7879" s="25">
        <f>VALUE(YEAR(Table2[[#This Row],[Date]])&amp;TEXT(MONTH(Table2[[#This Row],[Date]]),"00"))</f>
        <v>202209</v>
      </c>
      <c r="B7879" s="6">
        <v>44826</v>
      </c>
      <c r="C7879" t="s">
        <v>2447</v>
      </c>
      <c r="D7879" s="7" t="s">
        <v>3018</v>
      </c>
      <c r="E7879">
        <f t="shared" si="47"/>
        <v>28.67</v>
      </c>
      <c r="F7879" s="2" t="str">
        <f>IF(Table2[[#This Row],[Manual Cat Value]]="",VLOOKUP(Table2[[#This Row],[Description]],'Actuals Lookup'!D:F,3,0),Table2[[#This Row],[Manual Cat Value]])</f>
        <v>Exp - Restaurants</v>
      </c>
      <c r="G7879" t="e">
        <f>VLOOKUP(D7879,Lookup!G:H,2,0)</f>
        <v>#N/A</v>
      </c>
      <c r="H7879" s="8" t="s">
        <v>25</v>
      </c>
      <c r="I7879" s="8"/>
      <c r="J7879">
        <v>28.67</v>
      </c>
      <c r="M7879" t="s">
        <v>2513</v>
      </c>
      <c r="O7879" t="str">
        <f>LEFT(Table2[[#This Row],[Description]],75)</f>
        <v>NOODLES &amp; CO 347 CHANHASSEN MN
APPLE PAY ENDING IN 8856</v>
      </c>
    </row>
    <row r="7880" spans="1:15" hidden="1">
      <c r="A7880" s="25">
        <f>VALUE(YEAR(Table2[[#This Row],[Date]])&amp;TEXT(MONTH(Table2[[#This Row],[Date]]),"00"))</f>
        <v>202209</v>
      </c>
      <c r="B7880" s="6">
        <v>44826</v>
      </c>
      <c r="C7880" t="s">
        <v>2262</v>
      </c>
      <c r="D7880" t="s">
        <v>3019</v>
      </c>
      <c r="E7880">
        <f t="shared" si="47"/>
        <v>157.71</v>
      </c>
      <c r="F7880" s="2" t="str">
        <f>IF(Table2[[#This Row],[Manual Cat Value]]="",VLOOKUP(Table2[[#This Row],[Description]],'Actuals Lookup'!D:F,3,0),Table2[[#This Row],[Manual Cat Value]])</f>
        <v>Exp - House Maint</v>
      </c>
      <c r="G7880" t="e">
        <f>VLOOKUP(D7880,Lookup!G:H,2,0)</f>
        <v>#N/A</v>
      </c>
      <c r="H7880" s="8" t="s">
        <v>1</v>
      </c>
      <c r="I7880" s="8"/>
      <c r="J7880">
        <v>157.71</v>
      </c>
      <c r="M7880" t="s">
        <v>2513</v>
      </c>
      <c r="O7880" t="str">
        <f>LEFT(Table2[[#This Row],[Description]],75)</f>
        <v>PLUNKETTS PEST CONTROL MINNEAPOLIS MN REF #2401339LR025ZNXYY</v>
      </c>
    </row>
    <row r="7881" spans="1:15" hidden="1">
      <c r="A7881" s="25">
        <f>VALUE(YEAR(Table2[[#This Row],[Date]])&amp;TEXT(MONTH(Table2[[#This Row],[Date]]),"00"))</f>
        <v>202209</v>
      </c>
      <c r="B7881" s="6">
        <v>44826</v>
      </c>
      <c r="C7881" t="s">
        <v>2262</v>
      </c>
      <c r="D7881" t="s">
        <v>3020</v>
      </c>
      <c r="E7881">
        <f t="shared" si="47"/>
        <v>1538.04</v>
      </c>
      <c r="F7881" s="2" t="str">
        <f>IF(Table2[[#This Row],[Manual Cat Value]]="",VLOOKUP(Table2[[#This Row],[Description]],'Actuals Lookup'!D:F,3,0),Table2[[#This Row],[Manual Cat Value]])</f>
        <v>Exp - Transportation</v>
      </c>
      <c r="G7881" t="e">
        <f>VLOOKUP(D7881,Lookup!G:H,2,0)</f>
        <v>#N/A</v>
      </c>
      <c r="H7881" s="8" t="s">
        <v>22</v>
      </c>
      <c r="I7881" s="8"/>
      <c r="J7881">
        <v>1538.04</v>
      </c>
      <c r="M7881" t="s">
        <v>2513</v>
      </c>
      <c r="O7881" t="str">
        <f>LEFT(Table2[[#This Row],[Description]],75)</f>
        <v>RUDY LUTHER TOYOTA GOLDEN VALLEYMN REF #2449398LR60R8EG1A</v>
      </c>
    </row>
    <row r="7882" spans="1:15" hidden="1">
      <c r="A7882" s="25">
        <f>VALUE(YEAR(Table2[[#This Row],[Date]])&amp;TEXT(MONTH(Table2[[#This Row],[Date]]),"00"))</f>
        <v>202209</v>
      </c>
      <c r="B7882" s="6">
        <v>44826</v>
      </c>
      <c r="C7882" t="s">
        <v>2262</v>
      </c>
      <c r="D7882" t="s">
        <v>3021</v>
      </c>
      <c r="E7882">
        <f t="shared" si="47"/>
        <v>100</v>
      </c>
      <c r="F7882" s="2" t="str">
        <f>IF(Table2[[#This Row],[Manual Cat Value]]="",VLOOKUP(Table2[[#This Row],[Description]],'Actuals Lookup'!D:F,3,0),Table2[[#This Row],[Manual Cat Value]])</f>
        <v>Exp - Day Care</v>
      </c>
      <c r="G7882" t="e">
        <f>VLOOKUP(D7882,Lookup!G:H,2,0)</f>
        <v>#N/A</v>
      </c>
      <c r="H7882" s="8" t="s">
        <v>19</v>
      </c>
      <c r="I7882" s="8"/>
      <c r="J7882">
        <v>100</v>
      </c>
      <c r="M7882" t="s">
        <v>2513</v>
      </c>
      <c r="O7882" t="str">
        <f>LEFT(Table2[[#This Row],[Description]],75)</f>
        <v>RVT*MTKA PUB SCHLS-WEB 952-4015000 MN REF #2490641LP4HWDAXEF</v>
      </c>
    </row>
    <row r="7883" spans="1:15" hidden="1">
      <c r="A7883" s="25">
        <f>VALUE(YEAR(Table2[[#This Row],[Date]])&amp;TEXT(MONTH(Table2[[#This Row],[Date]]),"00"))</f>
        <v>202209</v>
      </c>
      <c r="B7883" s="6">
        <v>44826</v>
      </c>
      <c r="C7883" t="s">
        <v>2262</v>
      </c>
      <c r="D7883" t="s">
        <v>3022</v>
      </c>
      <c r="E7883">
        <f t="shared" si="47"/>
        <v>14.95</v>
      </c>
      <c r="F7883" s="2" t="str">
        <f>IF(Table2[[#This Row],[Manual Cat Value]]="",VLOOKUP(Table2[[#This Row],[Description]],'Actuals Lookup'!D:F,3,0),Table2[[#This Row],[Manual Cat Value]])</f>
        <v>Exp - Restaurants</v>
      </c>
      <c r="G7883" t="e">
        <f>VLOOKUP(D7883,Lookup!G:H,2,0)</f>
        <v>#N/A</v>
      </c>
      <c r="H7883" s="8" t="s">
        <v>25</v>
      </c>
      <c r="I7883" s="8"/>
      <c r="J7883">
        <v>14.95</v>
      </c>
      <c r="M7883" t="s">
        <v>2513</v>
      </c>
      <c r="O7883" t="str">
        <f>LEFT(Table2[[#This Row],[Description]],75)</f>
        <v>SQ *EQ YEE GOLDEN VALLEYMN REF #2449215LRMJLPMF31</v>
      </c>
    </row>
    <row r="7884" spans="1:15" hidden="1">
      <c r="A7884" s="25">
        <f>VALUE(YEAR(Table2[[#This Row],[Date]])&amp;TEXT(MONTH(Table2[[#This Row],[Date]]),"00"))</f>
        <v>202209</v>
      </c>
      <c r="B7884" s="6">
        <v>44827</v>
      </c>
      <c r="C7884" t="s">
        <v>2710</v>
      </c>
      <c r="D7884" t="s">
        <v>3023</v>
      </c>
      <c r="E7884">
        <f t="shared" si="47"/>
        <v>2952</v>
      </c>
      <c r="F7884" s="2" t="str">
        <f>IF(Table2[[#This Row],[Manual Cat Value]]="",VLOOKUP(Table2[[#This Row],[Description]],'Actuals Lookup'!D:F,3,0),Table2[[#This Row],[Manual Cat Value]])</f>
        <v>Delete</v>
      </c>
      <c r="G7884" t="e">
        <f>VLOOKUP(D7884,Lookup!G:H,2,0)</f>
        <v>#N/A</v>
      </c>
      <c r="H7884" s="8" t="s">
        <v>9</v>
      </c>
      <c r="I7884" s="8"/>
      <c r="J7884">
        <v>2952</v>
      </c>
      <c r="M7884" t="s">
        <v>2513</v>
      </c>
      <c r="O7884" t="str">
        <f>LEFT(Table2[[#This Row],[Description]],75)</f>
        <v>County Tax Disbursed</v>
      </c>
    </row>
    <row r="7885" spans="1:15" hidden="1">
      <c r="A7885" s="25">
        <f>VALUE(YEAR(Table2[[#This Row],[Date]])&amp;TEXT(MONTH(Table2[[#This Row],[Date]]),"00"))</f>
        <v>202209</v>
      </c>
      <c r="B7885" s="6">
        <v>44827</v>
      </c>
      <c r="C7885" t="s">
        <v>2300</v>
      </c>
      <c r="D7885" t="s">
        <v>3024</v>
      </c>
      <c r="E7885">
        <f t="shared" si="47"/>
        <v>-100</v>
      </c>
      <c r="F7885" s="2" t="str">
        <f>IF(Table2[[#This Row],[Manual Cat Value]]="",VLOOKUP(Table2[[#This Row],[Description]],'Actuals Lookup'!D:F,3,0),Table2[[#This Row],[Manual Cat Value]])</f>
        <v>Delete</v>
      </c>
      <c r="G7885" t="e">
        <f>VLOOKUP(D7885,Lookup!G:H,2,0)</f>
        <v>#N/A</v>
      </c>
      <c r="H7885" s="8" t="s">
        <v>9</v>
      </c>
      <c r="I7885" s="8"/>
      <c r="J7885">
        <v>100</v>
      </c>
      <c r="M7885" t="s">
        <v>2621</v>
      </c>
      <c r="O7885" t="str">
        <f>LEFT(Table2[[#This Row],[Description]],75)</f>
        <v>Deposit Home Banking Transfer From Share 70 REF # 941703</v>
      </c>
    </row>
    <row r="7886" spans="1:15" hidden="1">
      <c r="A7886" s="25">
        <f>VALUE(YEAR(Table2[[#This Row],[Date]])&amp;TEXT(MONTH(Table2[[#This Row],[Date]]),"00"))</f>
        <v>202209</v>
      </c>
      <c r="B7886" s="6">
        <v>44827</v>
      </c>
      <c r="C7886" t="s">
        <v>2262</v>
      </c>
      <c r="D7886" t="s">
        <v>3025</v>
      </c>
      <c r="E7886">
        <f t="shared" si="47"/>
        <v>57.28</v>
      </c>
      <c r="F7886" s="2" t="str">
        <f>IF(Table2[[#This Row],[Manual Cat Value]]="",VLOOKUP(Table2[[#This Row],[Description]],'Actuals Lookup'!D:F,3,0),Table2[[#This Row],[Manual Cat Value]])</f>
        <v>Exp - Transportation</v>
      </c>
      <c r="G7886" t="e">
        <f>VLOOKUP(D7886,Lookup!G:H,2,0)</f>
        <v>#N/A</v>
      </c>
      <c r="H7886" s="8" t="s">
        <v>22</v>
      </c>
      <c r="I7886" s="8"/>
      <c r="J7886">
        <v>57.28</v>
      </c>
      <c r="M7886" t="s">
        <v>2513</v>
      </c>
      <c r="O7886" t="str">
        <f>LEFT(Table2[[#This Row],[Description]],75)</f>
        <v>KWIK TRIP 40200004028 CHANHASSEN MN REF #2416407LTL3HJY1YF</v>
      </c>
    </row>
    <row r="7887" spans="1:15" hidden="1">
      <c r="A7887" s="25">
        <f>VALUE(YEAR(Table2[[#This Row],[Date]])&amp;TEXT(MONTH(Table2[[#This Row],[Date]]),"00"))</f>
        <v>202209</v>
      </c>
      <c r="B7887" s="6">
        <v>44827</v>
      </c>
      <c r="C7887" t="s">
        <v>2265</v>
      </c>
      <c r="D7887" t="s">
        <v>3026</v>
      </c>
      <c r="E7887">
        <f t="shared" si="47"/>
        <v>9.93</v>
      </c>
      <c r="F7887" s="2" t="str">
        <f>IF(Table2[[#This Row],[Manual Cat Value]]="",VLOOKUP(Table2[[#This Row],[Description]],'Actuals Lookup'!D:F,3,0),Table2[[#This Row],[Manual Cat Value]])</f>
        <v>Exp - Shopping</v>
      </c>
      <c r="G7887" t="e">
        <f>VLOOKUP(D7887,Lookup!G:H,2,0)</f>
        <v>#N/A</v>
      </c>
      <c r="H7887" s="8" t="s">
        <v>36</v>
      </c>
      <c r="I7887" s="8"/>
      <c r="J7887">
        <v>9.93</v>
      </c>
      <c r="M7887" t="s">
        <v>2513</v>
      </c>
      <c r="O7887" t="str">
        <f>LEFT(Table2[[#This Row],[Description]],75)</f>
        <v xml:space="preserve">Withdrawal ACH PAYPAL TYPE: INST XFER ID: PAYPALSI77 CO: PAYPAL NAME: JEFF </v>
      </c>
    </row>
    <row r="7888" spans="1:15" hidden="1">
      <c r="A7888" s="25">
        <f>VALUE(YEAR(Table2[[#This Row],[Date]])&amp;TEXT(MONTH(Table2[[#This Row],[Date]]),"00"))</f>
        <v>202209</v>
      </c>
      <c r="B7888" s="6">
        <v>44827</v>
      </c>
      <c r="C7888" t="s">
        <v>2265</v>
      </c>
      <c r="D7888" t="s">
        <v>3027</v>
      </c>
      <c r="E7888">
        <f t="shared" si="47"/>
        <v>100</v>
      </c>
      <c r="F7888" s="2" t="str">
        <f>IF(Table2[[#This Row],[Manual Cat Value]]="",VLOOKUP(Table2[[#This Row],[Description]],'Actuals Lookup'!D:F,3,0),Table2[[#This Row],[Manual Cat Value]])</f>
        <v>Delete</v>
      </c>
      <c r="G7888" t="e">
        <f>VLOOKUP(D7888,Lookup!G:H,2,0)</f>
        <v>#N/A</v>
      </c>
      <c r="H7888" s="8" t="s">
        <v>9</v>
      </c>
      <c r="I7888" s="8"/>
      <c r="J7888">
        <v>100</v>
      </c>
      <c r="M7888" t="s">
        <v>2513</v>
      </c>
      <c r="O7888" t="str">
        <f>LEFT(Table2[[#This Row],[Description]],75)</f>
        <v>Withdrawal Home Banking Transfer To Share 12 REF # 941703</v>
      </c>
    </row>
    <row r="7889" spans="1:15" ht="30" hidden="1">
      <c r="A7889" s="25">
        <f>VALUE(YEAR(Table2[[#This Row],[Date]])&amp;TEXT(MONTH(Table2[[#This Row],[Date]]),"00"))</f>
        <v>202209</v>
      </c>
      <c r="B7889" s="6">
        <v>44828</v>
      </c>
      <c r="C7889" t="s">
        <v>2447</v>
      </c>
      <c r="D7889" s="7" t="s">
        <v>3028</v>
      </c>
      <c r="E7889">
        <f t="shared" si="47"/>
        <v>69.97</v>
      </c>
      <c r="F7889" s="2" t="str">
        <f>IF(Table2[[#This Row],[Manual Cat Value]]="",VLOOKUP(Table2[[#This Row],[Description]],'Actuals Lookup'!D:F,3,0),Table2[[#This Row],[Manual Cat Value]])</f>
        <v>Exp - Amazon</v>
      </c>
      <c r="G7889" t="e">
        <f>VLOOKUP(D7889,Lookup!G:H,2,0)</f>
        <v>#N/A</v>
      </c>
      <c r="H7889" s="8" t="s">
        <v>37</v>
      </c>
      <c r="I7889" s="8"/>
      <c r="J7889">
        <v>69.97</v>
      </c>
      <c r="M7889" t="s">
        <v>2513</v>
      </c>
      <c r="O7889" t="str">
        <f>LEFT(Table2[[#This Row],[Description]],75)</f>
        <v>AMZN MKTP US*1U7ZE5XO0 AMZN.COM/BILLWA
2AGEBI02GIM</v>
      </c>
    </row>
    <row r="7890" spans="1:15" hidden="1">
      <c r="A7890" s="25">
        <f>VALUE(YEAR(Table2[[#This Row],[Date]])&amp;TEXT(MONTH(Table2[[#This Row],[Date]]),"00"))</f>
        <v>202209</v>
      </c>
      <c r="B7890" s="6">
        <v>44828</v>
      </c>
      <c r="C7890" t="s">
        <v>2447</v>
      </c>
      <c r="D7890" t="s">
        <v>3029</v>
      </c>
      <c r="E7890">
        <f t="shared" si="47"/>
        <v>44</v>
      </c>
      <c r="F7890" s="2" t="str">
        <f>IF(Table2[[#This Row],[Manual Cat Value]]="",VLOOKUP(Table2[[#This Row],[Description]],'Actuals Lookup'!D:F,3,0),Table2[[#This Row],[Manual Cat Value]])</f>
        <v>Exp - Entertainment</v>
      </c>
      <c r="G7890" t="e">
        <f>VLOOKUP(D7890,Lookup!G:H,2,0)</f>
        <v>#N/A</v>
      </c>
      <c r="H7890" s="8" t="s">
        <v>39</v>
      </c>
      <c r="I7890" s="8"/>
      <c r="J7890">
        <v>44</v>
      </c>
      <c r="M7890" t="s">
        <v>2513</v>
      </c>
      <c r="O7890" t="str">
        <f>LEFT(Table2[[#This Row],[Description]],75)</f>
        <v>UMINNMLAEVENTS CHASKA MN</v>
      </c>
    </row>
    <row r="7891" spans="1:15" hidden="1">
      <c r="A7891" s="25">
        <f>VALUE(YEAR(Table2[[#This Row],[Date]])&amp;TEXT(MONTH(Table2[[#This Row],[Date]]),"00"))</f>
        <v>202209</v>
      </c>
      <c r="B7891" s="6">
        <v>44829</v>
      </c>
      <c r="C7891" t="s">
        <v>2265</v>
      </c>
      <c r="D7891" t="s">
        <v>3030</v>
      </c>
      <c r="E7891">
        <f t="shared" si="47"/>
        <v>-75</v>
      </c>
      <c r="F7891" s="2" t="str">
        <f>IF(Table2[[#This Row],[Manual Cat Value]]="",VLOOKUP(Table2[[#This Row],[Description]],'Actuals Lookup'!D:F,3,0),Table2[[#This Row],[Manual Cat Value]])</f>
        <v>Inc - Britney</v>
      </c>
      <c r="G7891" t="e">
        <f>VLOOKUP(D7891,Lookup!G:H,2,0)</f>
        <v>#N/A</v>
      </c>
      <c r="H7891" s="8" t="s">
        <v>65</v>
      </c>
      <c r="I7891" s="8"/>
      <c r="J7891">
        <v>75</v>
      </c>
      <c r="M7891" t="s">
        <v>2621</v>
      </c>
      <c r="O7891" t="str">
        <f>LEFT(Table2[[#This Row],[Description]],75)</f>
        <v>Deposit ACH CARGILL INCORPOR TYPE: 004XXXXXXX ID: 2410177680 CO: CARGILL IN</v>
      </c>
    </row>
    <row r="7892" spans="1:15" hidden="1">
      <c r="A7892" s="25">
        <f>VALUE(YEAR(Table2[[#This Row],[Date]])&amp;TEXT(MONTH(Table2[[#This Row],[Date]]),"00"))</f>
        <v>202209</v>
      </c>
      <c r="B7892" s="6">
        <v>44830</v>
      </c>
      <c r="C7892" t="s">
        <v>2447</v>
      </c>
      <c r="D7892" t="s">
        <v>810</v>
      </c>
      <c r="E7892">
        <f t="shared" si="47"/>
        <v>181</v>
      </c>
      <c r="F7892" s="2" t="e">
        <f>IF(Table2[[#This Row],[Manual Cat Value]]="",VLOOKUP(Table2[[#This Row],[Description]],'Actuals Lookup'!D:F,3,0),Table2[[#This Row],[Manual Cat Value]])</f>
        <v>#N/A</v>
      </c>
      <c r="G7892" t="str">
        <f>VLOOKUP(D7892,Lookup!G:H,2,0)</f>
        <v>Shopping</v>
      </c>
      <c r="I7892" s="8"/>
      <c r="J7892">
        <v>181</v>
      </c>
      <c r="M7892" t="s">
        <v>2513</v>
      </c>
      <c r="O7892" t="str">
        <f>LEFT(Table2[[#This Row],[Description]],75)</f>
        <v>ELITE NAILS LLC CHANHASSEN MN</v>
      </c>
    </row>
    <row r="7893" spans="1:15" hidden="1">
      <c r="A7893" s="25">
        <f>VALUE(YEAR(Table2[[#This Row],[Date]])&amp;TEXT(MONTH(Table2[[#This Row],[Date]]),"00"))</f>
        <v>202209</v>
      </c>
      <c r="B7893" s="6">
        <v>44830</v>
      </c>
      <c r="C7893" t="s">
        <v>2447</v>
      </c>
      <c r="D7893" t="s">
        <v>3031</v>
      </c>
      <c r="E7893">
        <f t="shared" si="47"/>
        <v>18.989999999999998</v>
      </c>
      <c r="F7893" s="2" t="str">
        <f>IF(Table2[[#This Row],[Manual Cat Value]]="",VLOOKUP(Table2[[#This Row],[Description]],'Actuals Lookup'!D:F,3,0),Table2[[#This Row],[Manual Cat Value]])</f>
        <v>Exp - Entertainment</v>
      </c>
      <c r="G7893" t="e">
        <f>VLOOKUP(D7893,Lookup!G:H,2,0)</f>
        <v>#N/A</v>
      </c>
      <c r="H7893" s="8" t="s">
        <v>39</v>
      </c>
      <c r="I7893" s="8"/>
      <c r="J7893">
        <v>18.989999999999998</v>
      </c>
      <c r="M7893" t="s">
        <v>2513</v>
      </c>
      <c r="O7893" t="str">
        <f>LEFT(Table2[[#This Row],[Description]],75)</f>
        <v>LANCER @ MINNESOTA ZOO APPLE VALLEY MN</v>
      </c>
    </row>
    <row r="7894" spans="1:15" hidden="1">
      <c r="A7894" s="25">
        <f>VALUE(YEAR(Table2[[#This Row],[Date]])&amp;TEXT(MONTH(Table2[[#This Row],[Date]]),"00"))</f>
        <v>202209</v>
      </c>
      <c r="B7894" s="6">
        <v>44830</v>
      </c>
      <c r="C7894" t="s">
        <v>2262</v>
      </c>
      <c r="D7894" t="s">
        <v>3032</v>
      </c>
      <c r="E7894">
        <f t="shared" si="47"/>
        <v>161.05000000000001</v>
      </c>
      <c r="F7894" s="2" t="str">
        <f>IF(Table2[[#This Row],[Manual Cat Value]]="",VLOOKUP(Table2[[#This Row],[Description]],'Actuals Lookup'!D:F,3,0),Table2[[#This Row],[Manual Cat Value]])</f>
        <v>Exp - House Maint</v>
      </c>
      <c r="G7894" t="e">
        <f>VLOOKUP(D7894,Lookup!G:H,2,0)</f>
        <v>#N/A</v>
      </c>
      <c r="H7894" s="8" t="s">
        <v>1</v>
      </c>
      <c r="I7894" s="8"/>
      <c r="J7894">
        <v>161.05000000000001</v>
      </c>
      <c r="M7894" t="s">
        <v>2513</v>
      </c>
      <c r="O7894" t="str">
        <f>LEFT(Table2[[#This Row],[Description]],75)</f>
        <v>MENARDS.COM 715-876-6378 WI REF #2413746LW8R16X1T7</v>
      </c>
    </row>
    <row r="7895" spans="1:15" hidden="1">
      <c r="A7895" s="25">
        <f>VALUE(YEAR(Table2[[#This Row],[Date]])&amp;TEXT(MONTH(Table2[[#This Row],[Date]]),"00"))</f>
        <v>202209</v>
      </c>
      <c r="B7895" s="6">
        <v>44830</v>
      </c>
      <c r="C7895" t="s">
        <v>2447</v>
      </c>
      <c r="D7895" t="s">
        <v>3033</v>
      </c>
      <c r="E7895">
        <f t="shared" si="47"/>
        <v>39.700000000000003</v>
      </c>
      <c r="F7895" s="2" t="str">
        <f>IF(Table2[[#This Row],[Manual Cat Value]]="",VLOOKUP(Table2[[#This Row],[Description]],'Actuals Lookup'!D:F,3,0),Table2[[#This Row],[Manual Cat Value]])</f>
        <v>Exp - House Maint</v>
      </c>
      <c r="G7895" t="e">
        <f>VLOOKUP(D7895,Lookup!G:H,2,0)</f>
        <v>#N/A</v>
      </c>
      <c r="H7895" s="8" t="s">
        <v>1</v>
      </c>
      <c r="I7895" s="8"/>
      <c r="J7895">
        <v>39.700000000000003</v>
      </c>
      <c r="M7895" t="s">
        <v>2513</v>
      </c>
      <c r="O7895" t="str">
        <f>LEFT(Table2[[#This Row],[Description]],75)</f>
        <v>PAYPAL *HOME DEPOT 402-935-7733 CA</v>
      </c>
    </row>
    <row r="7896" spans="1:15" hidden="1">
      <c r="A7896" s="25">
        <f>VALUE(YEAR(Table2[[#This Row],[Date]])&amp;TEXT(MONTH(Table2[[#This Row],[Date]]),"00"))</f>
        <v>202209</v>
      </c>
      <c r="B7896" s="6">
        <v>44830</v>
      </c>
      <c r="C7896" t="s">
        <v>2265</v>
      </c>
      <c r="D7896" t="s">
        <v>3034</v>
      </c>
      <c r="E7896">
        <f t="shared" si="47"/>
        <v>360.24</v>
      </c>
      <c r="F7896" s="2" t="str">
        <f>IF(Table2[[#This Row],[Manual Cat Value]]="",VLOOKUP(Table2[[#This Row],[Description]],'Actuals Lookup'!D:F,3,0),Table2[[#This Row],[Manual Cat Value]])</f>
        <v>Exp - Target</v>
      </c>
      <c r="G7896" t="e">
        <f>VLOOKUP(D7896,Lookup!G:H,2,0)</f>
        <v>#N/A</v>
      </c>
      <c r="H7896" s="8" t="s">
        <v>30</v>
      </c>
      <c r="I7896" s="8"/>
      <c r="J7896">
        <v>360.24</v>
      </c>
      <c r="M7896" t="s">
        <v>2513</v>
      </c>
      <c r="O7896" t="str">
        <f>LEFT(Table2[[#This Row],[Description]],75)</f>
        <v>Withdrawal ACH TARGET CARD SRVC TYPE: AUTO PYMT ID: 1411721813 CO: TARGET C</v>
      </c>
    </row>
    <row r="7897" spans="1:15" hidden="1">
      <c r="A7897" s="25">
        <f>VALUE(YEAR(Table2[[#This Row],[Date]])&amp;TEXT(MONTH(Table2[[#This Row],[Date]]),"00"))</f>
        <v>202209</v>
      </c>
      <c r="B7897" s="6">
        <v>44830</v>
      </c>
      <c r="C7897" t="s">
        <v>2265</v>
      </c>
      <c r="D7897" t="s">
        <v>3035</v>
      </c>
      <c r="E7897">
        <f t="shared" si="47"/>
        <v>88</v>
      </c>
      <c r="F7897" s="2" t="str">
        <f>IF(Table2[[#This Row],[Manual Cat Value]]="",VLOOKUP(Table2[[#This Row],[Description]],'Actuals Lookup'!D:F,3,0),Table2[[#This Row],[Manual Cat Value]])</f>
        <v>Exp - Shopping</v>
      </c>
      <c r="G7897" t="e">
        <f>VLOOKUP(D7897,Lookup!G:H,2,0)</f>
        <v>#N/A</v>
      </c>
      <c r="H7897" s="8" t="s">
        <v>36</v>
      </c>
      <c r="I7897" s="8"/>
      <c r="J7897">
        <v>88</v>
      </c>
      <c r="M7897" t="s">
        <v>2513</v>
      </c>
      <c r="O7897" t="str">
        <f>LEFT(Table2[[#This Row],[Description]],75)</f>
        <v>Withdrawal ACH VENMO TYPE: PAYMENT ID: 326XXXXXXX CO: VENMO NAME: BRITNEY T</v>
      </c>
    </row>
    <row r="7898" spans="1:15" hidden="1">
      <c r="A7898" s="25">
        <f>VALUE(YEAR(Table2[[#This Row],[Date]])&amp;TEXT(MONTH(Table2[[#This Row],[Date]]),"00"))</f>
        <v>202209</v>
      </c>
      <c r="B7898" s="6">
        <v>44831</v>
      </c>
      <c r="C7898" t="s">
        <v>2262</v>
      </c>
      <c r="D7898" t="s">
        <v>3036</v>
      </c>
      <c r="E7898">
        <f t="shared" si="47"/>
        <v>60.85</v>
      </c>
      <c r="F7898" s="2" t="str">
        <f>IF(Table2[[#This Row],[Manual Cat Value]]="",VLOOKUP(Table2[[#This Row],[Description]],'Actuals Lookup'!D:F,3,0),Table2[[#This Row],[Manual Cat Value]])</f>
        <v>Exp - Entertainment</v>
      </c>
      <c r="G7898" t="e">
        <f>VLOOKUP(D7898,Lookup!G:H,2,0)</f>
        <v>#N/A</v>
      </c>
      <c r="H7898" s="8" t="s">
        <v>39</v>
      </c>
      <c r="I7898" s="8"/>
      <c r="J7898">
        <v>60.85</v>
      </c>
      <c r="M7898" t="s">
        <v>2513</v>
      </c>
      <c r="O7898" t="str">
        <f>LEFT(Table2[[#This Row],[Description]],75)</f>
        <v>MN ZOO ONLINE 952-4319240 MN REF #2471705LX7LM15PNX</v>
      </c>
    </row>
    <row r="7899" spans="1:15" hidden="1">
      <c r="A7899" s="25">
        <f>VALUE(YEAR(Table2[[#This Row],[Date]])&amp;TEXT(MONTH(Table2[[#This Row],[Date]]),"00"))</f>
        <v>202209</v>
      </c>
      <c r="B7899" s="6">
        <v>44831</v>
      </c>
      <c r="C7899" t="s">
        <v>2447</v>
      </c>
      <c r="D7899" t="s">
        <v>3037</v>
      </c>
      <c r="E7899">
        <f t="shared" si="47"/>
        <v>166.21</v>
      </c>
      <c r="F7899" s="2" t="str">
        <f>IF(Table2[[#This Row],[Manual Cat Value]]="",VLOOKUP(Table2[[#This Row],[Description]],'Actuals Lookup'!D:F,3,0),Table2[[#This Row],[Manual Cat Value]])</f>
        <v>Exp - Restaurants</v>
      </c>
      <c r="G7899" t="e">
        <f>VLOOKUP(D7899,Lookup!G:H,2,0)</f>
        <v>#N/A</v>
      </c>
      <c r="H7899" s="8" t="s">
        <v>25</v>
      </c>
      <c r="I7899" s="8"/>
      <c r="J7899">
        <v>166.21</v>
      </c>
      <c r="M7899" t="s">
        <v>2513</v>
      </c>
      <c r="O7899" t="str">
        <f>LEFT(Table2[[#This Row],[Description]],75)</f>
        <v>TST* 401 - YUMI EXCELSIO EXCELSIOR MN</v>
      </c>
    </row>
    <row r="7900" spans="1:15" hidden="1">
      <c r="A7900" s="25">
        <f>VALUE(YEAR(Table2[[#This Row],[Date]])&amp;TEXT(MONTH(Table2[[#This Row],[Date]]),"00"))</f>
        <v>202209</v>
      </c>
      <c r="B7900" s="6">
        <v>44831</v>
      </c>
      <c r="C7900" t="s">
        <v>2265</v>
      </c>
      <c r="D7900" t="s">
        <v>3038</v>
      </c>
      <c r="E7900">
        <f t="shared" si="47"/>
        <v>370</v>
      </c>
      <c r="F7900" s="2" t="str">
        <f>IF(Table2[[#This Row],[Manual Cat Value]]="",VLOOKUP(Table2[[#This Row],[Description]],'Actuals Lookup'!D:F,3,0),Table2[[#This Row],[Manual Cat Value]])</f>
        <v>Exp - Day Care</v>
      </c>
      <c r="G7900" t="e">
        <f>VLOOKUP(D7900,Lookup!G:H,2,0)</f>
        <v>#N/A</v>
      </c>
      <c r="H7900" s="8" t="s">
        <v>19</v>
      </c>
      <c r="I7900" s="8"/>
      <c r="J7900">
        <v>370</v>
      </c>
      <c r="M7900" t="s">
        <v>2513</v>
      </c>
      <c r="O7900" t="str">
        <f>LEFT(Table2[[#This Row],[Description]],75)</f>
        <v xml:space="preserve">Withdrawal ACH MHCHILDCARELLC TYPE: DUES ID: 1824708198 CO: MHCHILDCARELLC </v>
      </c>
    </row>
    <row r="7901" spans="1:15" hidden="1">
      <c r="A7901" s="25">
        <f>VALUE(YEAR(Table2[[#This Row],[Date]])&amp;TEXT(MONTH(Table2[[#This Row],[Date]]),"00"))</f>
        <v>202209</v>
      </c>
      <c r="B7901" s="6">
        <v>44831</v>
      </c>
      <c r="C7901" t="s">
        <v>2265</v>
      </c>
      <c r="D7901" t="s">
        <v>3039</v>
      </c>
      <c r="E7901">
        <f t="shared" si="47"/>
        <v>45.1</v>
      </c>
      <c r="F7901" s="2" t="str">
        <f>IF(Table2[[#This Row],[Manual Cat Value]]="",VLOOKUP(Table2[[#This Row],[Description]],'Actuals Lookup'!D:F,3,0),Table2[[#This Row],[Manual Cat Value]])</f>
        <v>Exp - Shopping</v>
      </c>
      <c r="G7901" t="e">
        <f>VLOOKUP(D7901,Lookup!G:H,2,0)</f>
        <v>#N/A</v>
      </c>
      <c r="H7901" s="8" t="s">
        <v>36</v>
      </c>
      <c r="I7901" s="8"/>
      <c r="J7901">
        <v>45.1</v>
      </c>
      <c r="M7901" t="s">
        <v>2513</v>
      </c>
      <c r="O7901" t="str">
        <f>LEFT(Table2[[#This Row],[Description]],75)</f>
        <v xml:space="preserve">Withdrawal ACH PAYPAL TYPE: INST XFER ID: PAYPALSI77 CO: PAYPAL NAME: JEFF </v>
      </c>
    </row>
    <row r="7902" spans="1:15" hidden="1">
      <c r="A7902" s="25">
        <f>VALUE(YEAR(Table2[[#This Row],[Date]])&amp;TEXT(MONTH(Table2[[#This Row],[Date]]),"00"))</f>
        <v>202209</v>
      </c>
      <c r="B7902" s="6">
        <v>44832</v>
      </c>
      <c r="C7902" t="s">
        <v>2262</v>
      </c>
      <c r="D7902" t="s">
        <v>3040</v>
      </c>
      <c r="E7902">
        <f t="shared" si="47"/>
        <v>75.92</v>
      </c>
      <c r="F7902" s="2" t="str">
        <f>IF(Table2[[#This Row],[Manual Cat Value]]="",VLOOKUP(Table2[[#This Row],[Description]],'Actuals Lookup'!D:F,3,0),Table2[[#This Row],[Manual Cat Value]])</f>
        <v>Exp - Transportation</v>
      </c>
      <c r="G7902" t="e">
        <f>VLOOKUP(D7902,Lookup!G:H,2,0)</f>
        <v>#N/A</v>
      </c>
      <c r="H7902" s="8" t="s">
        <v>22</v>
      </c>
      <c r="I7902" s="8"/>
      <c r="J7902">
        <v>75.92</v>
      </c>
      <c r="M7902" t="s">
        <v>2513</v>
      </c>
      <c r="O7902" t="str">
        <f>LEFT(Table2[[#This Row],[Description]],75)</f>
        <v>KWIK TRIP 40200004028 CHANHASSEN MN REF #2416407LYL3HKBRWB</v>
      </c>
    </row>
    <row r="7903" spans="1:15" hidden="1">
      <c r="A7903" s="25">
        <f>VALUE(YEAR(Table2[[#This Row],[Date]])&amp;TEXT(MONTH(Table2[[#This Row],[Date]]),"00"))</f>
        <v>202209</v>
      </c>
      <c r="B7903" s="6">
        <v>44832</v>
      </c>
      <c r="C7903" t="s">
        <v>2447</v>
      </c>
      <c r="D7903" t="s">
        <v>3041</v>
      </c>
      <c r="E7903">
        <f t="shared" si="47"/>
        <v>54.01</v>
      </c>
      <c r="F7903" s="2" t="str">
        <f>IF(Table2[[#This Row],[Manual Cat Value]]="",VLOOKUP(Table2[[#This Row],[Description]],'Actuals Lookup'!D:F,3,0),Table2[[#This Row],[Manual Cat Value]])</f>
        <v>Exp - Gifts</v>
      </c>
      <c r="G7903" t="e">
        <f>VLOOKUP(D7903,Lookup!G:H,2,0)</f>
        <v>#N/A</v>
      </c>
      <c r="H7903" s="8" t="s">
        <v>44</v>
      </c>
      <c r="I7903" s="8"/>
      <c r="J7903">
        <v>54.01</v>
      </c>
      <c r="M7903" t="s">
        <v>2513</v>
      </c>
      <c r="O7903" t="str">
        <f>LEFT(Table2[[#This Row],[Description]],75)</f>
        <v>PAYPAL *ETSY INC 402-935-7733 CA</v>
      </c>
    </row>
    <row r="7904" spans="1:15" hidden="1">
      <c r="A7904" s="25">
        <f>VALUE(YEAR(Table2[[#This Row],[Date]])&amp;TEXT(MONTH(Table2[[#This Row],[Date]]),"00"))</f>
        <v>202209</v>
      </c>
      <c r="B7904" s="6">
        <v>44832</v>
      </c>
      <c r="C7904" t="s">
        <v>2265</v>
      </c>
      <c r="D7904" t="s">
        <v>3042</v>
      </c>
      <c r="E7904">
        <f t="shared" si="47"/>
        <v>0.99</v>
      </c>
      <c r="F7904" s="2" t="str">
        <f>IF(Table2[[#This Row],[Manual Cat Value]]="",VLOOKUP(Table2[[#This Row],[Description]],'Actuals Lookup'!D:F,3,0),Table2[[#This Row],[Manual Cat Value]])</f>
        <v>Exp - Shopping</v>
      </c>
      <c r="G7904" t="e">
        <f>VLOOKUP(D7904,Lookup!G:H,2,0)</f>
        <v>#N/A</v>
      </c>
      <c r="H7904" s="8" t="s">
        <v>36</v>
      </c>
      <c r="I7904" s="8"/>
      <c r="J7904">
        <v>0.99</v>
      </c>
      <c r="M7904" t="s">
        <v>2513</v>
      </c>
      <c r="O7904" t="str">
        <f>LEFT(Table2[[#This Row],[Description]],75)</f>
        <v xml:space="preserve">Withdrawal ACH PAYPAL TYPE: INST XFER ID: PAYPALSI77 CO: PAYPAL NAME: JEFF </v>
      </c>
    </row>
    <row r="7905" spans="1:15" hidden="1">
      <c r="A7905" s="25">
        <f>VALUE(YEAR(Table2[[#This Row],[Date]])&amp;TEXT(MONTH(Table2[[#This Row],[Date]]),"00"))</f>
        <v>202209</v>
      </c>
      <c r="B7905" s="6">
        <v>44832</v>
      </c>
      <c r="C7905" t="s">
        <v>2265</v>
      </c>
      <c r="D7905" t="s">
        <v>3043</v>
      </c>
      <c r="E7905">
        <f t="shared" si="47"/>
        <v>125</v>
      </c>
      <c r="F7905" s="2" t="str">
        <f>IF(Table2[[#This Row],[Manual Cat Value]]="",VLOOKUP(Table2[[#This Row],[Description]],'Actuals Lookup'!D:F,3,0),Table2[[#This Row],[Manual Cat Value]])</f>
        <v>Exp - Cleaning</v>
      </c>
      <c r="G7905" t="e">
        <f>VLOOKUP(D7905,Lookup!G:H,2,0)</f>
        <v>#N/A</v>
      </c>
      <c r="H7905" s="8" t="s">
        <v>13</v>
      </c>
      <c r="I7905" s="8"/>
      <c r="J7905">
        <v>125</v>
      </c>
      <c r="M7905" t="s">
        <v>2513</v>
      </c>
      <c r="O7905" t="str">
        <f>LEFT(Table2[[#This Row],[Description]],75)</f>
        <v>Withdrawal ACH VENMO TYPE: PAYMENT ID: 326XXXXXXX CO: VENMO NAME: BRITNEY T</v>
      </c>
    </row>
    <row r="7906" spans="1:15" hidden="1">
      <c r="A7906" s="25">
        <f>VALUE(YEAR(Table2[[#This Row],[Date]])&amp;TEXT(MONTH(Table2[[#This Row],[Date]]),"00"))</f>
        <v>202209</v>
      </c>
      <c r="B7906" s="6">
        <v>44833</v>
      </c>
      <c r="C7906" t="s">
        <v>2447</v>
      </c>
      <c r="D7906" t="s">
        <v>459</v>
      </c>
      <c r="E7906">
        <f t="shared" ref="E7906:E7938" si="48">IF(M7906="credit",-1*J7906,J7906)</f>
        <v>-40.01</v>
      </c>
      <c r="F7906" s="2" t="str">
        <f>IF(Table2[[#This Row],[Manual Cat Value]]="",VLOOKUP(Table2[[#This Row],[Description]],'Actuals Lookup'!D:F,3,0),Table2[[#This Row],[Manual Cat Value]])</f>
        <v>Delete</v>
      </c>
      <c r="G7906" t="str">
        <f>VLOOKUP(D7906,Lookup!G:H,2,0)</f>
        <v>Delete</v>
      </c>
      <c r="H7906" s="8" t="s">
        <v>9</v>
      </c>
      <c r="I7906" s="8"/>
      <c r="J7906">
        <v>40.01</v>
      </c>
      <c r="M7906" t="s">
        <v>2621</v>
      </c>
      <c r="O7906" t="str">
        <f>LEFT(Table2[[#This Row],[Description]],75)</f>
        <v>CASHBACK BONUS REDEMPTION PYMT/STMT CRDT</v>
      </c>
    </row>
    <row r="7907" spans="1:15" hidden="1">
      <c r="A7907" s="25">
        <f>VALUE(YEAR(Table2[[#This Row],[Date]])&amp;TEXT(MONTH(Table2[[#This Row],[Date]]),"00"))</f>
        <v>202209</v>
      </c>
      <c r="B7907" s="6">
        <v>44833</v>
      </c>
      <c r="C7907" t="s">
        <v>2265</v>
      </c>
      <c r="D7907" t="s">
        <v>3044</v>
      </c>
      <c r="E7907">
        <f t="shared" si="48"/>
        <v>-3654.36</v>
      </c>
      <c r="F7907" s="2" t="str">
        <f>IF(Table2[[#This Row],[Manual Cat Value]]="",VLOOKUP(Table2[[#This Row],[Description]],'Actuals Lookup'!D:F,3,0),Table2[[#This Row],[Manual Cat Value]])</f>
        <v>Inc - Britney</v>
      </c>
      <c r="G7907" t="e">
        <f>VLOOKUP(D7907,Lookup!G:H,2,0)</f>
        <v>#N/A</v>
      </c>
      <c r="H7907" s="8" t="s">
        <v>65</v>
      </c>
      <c r="I7907" s="8"/>
      <c r="J7907">
        <v>3654.36</v>
      </c>
      <c r="M7907" t="s">
        <v>2621</v>
      </c>
      <c r="O7907" t="str">
        <f>LEFT(Table2[[#This Row],[Description]],75)</f>
        <v>Deposit ACH CARGILL INCORPOR TYPE: DIRECT DEP ID: 9111111101 CO: CARGILL IN</v>
      </c>
    </row>
    <row r="7908" spans="1:15" hidden="1">
      <c r="A7908" s="25">
        <f>VALUE(YEAR(Table2[[#This Row],[Date]])&amp;TEXT(MONTH(Table2[[#This Row],[Date]]),"00"))</f>
        <v>202209</v>
      </c>
      <c r="B7908" s="6">
        <v>44833</v>
      </c>
      <c r="C7908" t="s">
        <v>2265</v>
      </c>
      <c r="D7908" t="s">
        <v>3045</v>
      </c>
      <c r="E7908">
        <f t="shared" si="48"/>
        <v>-3265.43</v>
      </c>
      <c r="F7908" s="2" t="str">
        <f>IF(Table2[[#This Row],[Manual Cat Value]]="",VLOOKUP(Table2[[#This Row],[Description]],'Actuals Lookup'!D:F,3,0),Table2[[#This Row],[Manual Cat Value]])</f>
        <v>Inc - Jeff</v>
      </c>
      <c r="G7908" t="e">
        <f>VLOOKUP(D7908,Lookup!G:H,2,0)</f>
        <v>#N/A</v>
      </c>
      <c r="H7908" s="8" t="s">
        <v>63</v>
      </c>
      <c r="I7908" s="8"/>
      <c r="J7908">
        <v>3265.43</v>
      </c>
      <c r="M7908" t="s">
        <v>2621</v>
      </c>
      <c r="O7908" t="str">
        <f>LEFT(Table2[[#This Row],[Description]],75)</f>
        <v>Deposit ACH TRINET TYPE: PAYROLL ID: 194XXXXXXX CO: TRINET Entry Class Code</v>
      </c>
    </row>
    <row r="7909" spans="1:15" hidden="1">
      <c r="A7909" s="25">
        <f>VALUE(YEAR(Table2[[#This Row],[Date]])&amp;TEXT(MONTH(Table2[[#This Row],[Date]]),"00"))</f>
        <v>202209</v>
      </c>
      <c r="B7909" s="6">
        <v>44833</v>
      </c>
      <c r="C7909" t="s">
        <v>2265</v>
      </c>
      <c r="D7909" t="s">
        <v>3046</v>
      </c>
      <c r="E7909">
        <f t="shared" si="48"/>
        <v>8.09</v>
      </c>
      <c r="F7909" s="2" t="str">
        <f>IF(Table2[[#This Row],[Manual Cat Value]]="",VLOOKUP(Table2[[#This Row],[Description]],'Actuals Lookup'!D:F,3,0),Table2[[#This Row],[Manual Cat Value]])</f>
        <v>Exp - Shopping</v>
      </c>
      <c r="G7909" t="e">
        <f>VLOOKUP(D7909,Lookup!G:H,2,0)</f>
        <v>#N/A</v>
      </c>
      <c r="H7909" s="8" t="s">
        <v>36</v>
      </c>
      <c r="I7909" s="8"/>
      <c r="J7909">
        <v>8.09</v>
      </c>
      <c r="M7909" t="s">
        <v>2513</v>
      </c>
      <c r="O7909" t="str">
        <f>LEFT(Table2[[#This Row],[Description]],75)</f>
        <v xml:space="preserve">Withdrawal ACH PAYPAL TYPE: INST XFER ID: PAYPALSI77 CO: PAYPAL NAME: JEFF </v>
      </c>
    </row>
    <row r="7910" spans="1:15" hidden="1">
      <c r="A7910" s="25">
        <f>VALUE(YEAR(Table2[[#This Row],[Date]])&amp;TEXT(MONTH(Table2[[#This Row],[Date]]),"00"))</f>
        <v>202209</v>
      </c>
      <c r="B7910" s="6">
        <v>44833</v>
      </c>
      <c r="C7910" t="s">
        <v>2265</v>
      </c>
      <c r="D7910" t="s">
        <v>3047</v>
      </c>
      <c r="E7910">
        <f t="shared" si="48"/>
        <v>0.99</v>
      </c>
      <c r="F7910" s="2" t="str">
        <f>IF(Table2[[#This Row],[Manual Cat Value]]="",VLOOKUP(Table2[[#This Row],[Description]],'Actuals Lookup'!D:F,3,0),Table2[[#This Row],[Manual Cat Value]])</f>
        <v>Exp - Shopping</v>
      </c>
      <c r="G7910" t="e">
        <f>VLOOKUP(D7910,Lookup!G:H,2,0)</f>
        <v>#N/A</v>
      </c>
      <c r="H7910" s="8" t="s">
        <v>36</v>
      </c>
      <c r="I7910" s="8"/>
      <c r="J7910">
        <v>0.99</v>
      </c>
      <c r="M7910" t="s">
        <v>2513</v>
      </c>
      <c r="O7910" t="str">
        <f>LEFT(Table2[[#This Row],[Description]],75)</f>
        <v xml:space="preserve">Withdrawal ACH PAYPAL TYPE: INST XFER ID: PAYPALSI77 CO: PAYPAL NAME: JEFF </v>
      </c>
    </row>
    <row r="7911" spans="1:15" hidden="1">
      <c r="A7911" s="25">
        <f>VALUE(YEAR(Table2[[#This Row],[Date]])&amp;TEXT(MONTH(Table2[[#This Row],[Date]]),"00"))</f>
        <v>202209</v>
      </c>
      <c r="B7911" s="6">
        <v>44833</v>
      </c>
      <c r="C7911" t="s">
        <v>2265</v>
      </c>
      <c r="D7911" t="s">
        <v>2640</v>
      </c>
      <c r="E7911">
        <f t="shared" si="48"/>
        <v>2724.96</v>
      </c>
      <c r="F7911" s="2" t="str">
        <f>IF(Table2[[#This Row],[Manual Cat Value]]="",VLOOKUP(Table2[[#This Row],[Description]],'Actuals Lookup'!D:F,3,0),Table2[[#This Row],[Manual Cat Value]])</f>
        <v>Delete</v>
      </c>
      <c r="G7911" t="e">
        <f>VLOOKUP(D7911,Lookup!G:H,2,0)</f>
        <v>#N/A</v>
      </c>
      <c r="H7911" s="8" t="s">
        <v>9</v>
      </c>
      <c r="I7911" s="8"/>
      <c r="J7911">
        <v>2724.96</v>
      </c>
      <c r="M7911" t="s">
        <v>2513</v>
      </c>
      <c r="O7911" t="str">
        <f>LEFT(Table2[[#This Row],[Description]],75)</f>
        <v>Withdrawal Home Banking Pmt to card XXXXXXXXXXXX-9181</v>
      </c>
    </row>
    <row r="7912" spans="1:15" hidden="1">
      <c r="A7912" s="25">
        <f>VALUE(YEAR(Table2[[#This Row],[Date]])&amp;TEXT(MONTH(Table2[[#This Row],[Date]]),"00"))</f>
        <v>202209</v>
      </c>
      <c r="B7912" s="6">
        <v>44833</v>
      </c>
      <c r="C7912" t="s">
        <v>2447</v>
      </c>
      <c r="D7912" t="s">
        <v>997</v>
      </c>
      <c r="E7912">
        <f t="shared" si="48"/>
        <v>-522.91</v>
      </c>
      <c r="F7912" s="2" t="str">
        <f>IF(Table2[[#This Row],[Manual Cat Value]]="",VLOOKUP(Table2[[#This Row],[Description]],'Actuals Lookup'!D:F,3,0),Table2[[#This Row],[Manual Cat Value]])</f>
        <v>Delete</v>
      </c>
      <c r="G7912" t="str">
        <f>VLOOKUP(D7912,Lookup!G:H,2,0)</f>
        <v>Delete</v>
      </c>
      <c r="H7912" s="8" t="s">
        <v>9</v>
      </c>
      <c r="I7912" s="8"/>
      <c r="J7912">
        <v>522.91</v>
      </c>
      <c r="M7912" t="s">
        <v>2621</v>
      </c>
      <c r="O7912" t="str">
        <f>LEFT(Table2[[#This Row],[Description]],75)</f>
        <v>INTERNET PAYMENT - THANK YOU</v>
      </c>
    </row>
    <row r="7913" spans="1:15" hidden="1">
      <c r="A7913" s="25">
        <f>VALUE(YEAR(Table2[[#This Row],[Date]])&amp;TEXT(MONTH(Table2[[#This Row],[Date]]),"00"))</f>
        <v>202209</v>
      </c>
      <c r="B7913" s="6">
        <v>44833</v>
      </c>
      <c r="C7913" t="s">
        <v>2262</v>
      </c>
      <c r="D7913" t="s">
        <v>3048</v>
      </c>
      <c r="E7913">
        <f t="shared" si="48"/>
        <v>-2724.96</v>
      </c>
      <c r="F7913" s="2" t="str">
        <f>IF(Table2[[#This Row],[Manual Cat Value]]="",VLOOKUP(Table2[[#This Row],[Description]],'Actuals Lookup'!D:F,3,0),Table2[[#This Row],[Manual Cat Value]])</f>
        <v>Delete</v>
      </c>
      <c r="G7913" t="e">
        <f>VLOOKUP(D7913,Lookup!G:H,2,0)</f>
        <v>#N/A</v>
      </c>
      <c r="H7913" s="8" t="s">
        <v>9</v>
      </c>
      <c r="I7913" s="8"/>
      <c r="J7913">
        <v>2724.96</v>
      </c>
      <c r="M7913" t="s">
        <v>2621</v>
      </c>
      <c r="O7913" t="str">
        <f>LEFT(Table2[[#This Row],[Description]],75)</f>
        <v>PAYMENT - THANK YOU REF #7473457M100XTMJG4</v>
      </c>
    </row>
    <row r="7914" spans="1:15" hidden="1">
      <c r="A7914" s="25">
        <f>VALUE(YEAR(Table2[[#This Row],[Date]])&amp;TEXT(MONTH(Table2[[#This Row],[Date]]),"00"))</f>
        <v>202209</v>
      </c>
      <c r="B7914" s="6">
        <v>44834</v>
      </c>
      <c r="C7914" t="s">
        <v>2265</v>
      </c>
      <c r="D7914" t="s">
        <v>3049</v>
      </c>
      <c r="E7914">
        <f t="shared" si="48"/>
        <v>-24.76</v>
      </c>
      <c r="F7914" s="2" t="str">
        <f>IF(Table2[[#This Row],[Manual Cat Value]]="",VLOOKUP(Table2[[#This Row],[Description]],'Actuals Lookup'!D:F,3,0),Table2[[#This Row],[Manual Cat Value]])</f>
        <v>Inc - Other</v>
      </c>
      <c r="G7914" t="e">
        <f>VLOOKUP(D7914,Lookup!G:H,2,0)</f>
        <v>#N/A</v>
      </c>
      <c r="H7914" s="8" t="s">
        <v>16</v>
      </c>
      <c r="I7914" s="8"/>
      <c r="J7914">
        <v>24.76</v>
      </c>
      <c r="M7914" t="s">
        <v>2621</v>
      </c>
      <c r="O7914" t="str">
        <f>LEFT(Table2[[#This Row],[Description]],75)</f>
        <v>Deposit Dividend Split Rate Annual Percentage Yield Earned 0.57% from 09/01</v>
      </c>
    </row>
    <row r="7915" spans="1:15" hidden="1">
      <c r="A7915" s="25">
        <f>VALUE(YEAR(Table2[[#This Row],[Date]])&amp;TEXT(MONTH(Table2[[#This Row],[Date]]),"00"))</f>
        <v>202209</v>
      </c>
      <c r="B7915" s="6">
        <v>44834</v>
      </c>
      <c r="C7915" t="s">
        <v>2300</v>
      </c>
      <c r="D7915" t="s">
        <v>3050</v>
      </c>
      <c r="E7915">
        <f t="shared" si="48"/>
        <v>-7.53</v>
      </c>
      <c r="F7915" s="2" t="str">
        <f>IF(Table2[[#This Row],[Manual Cat Value]]="",VLOOKUP(Table2[[#This Row],[Description]],'Actuals Lookup'!D:F,3,0),Table2[[#This Row],[Manual Cat Value]])</f>
        <v>Inc - Other</v>
      </c>
      <c r="G7915" t="e">
        <f>VLOOKUP(D7915,Lookup!G:H,2,0)</f>
        <v>#N/A</v>
      </c>
      <c r="H7915" s="8" t="s">
        <v>16</v>
      </c>
      <c r="I7915" s="8"/>
      <c r="J7915">
        <v>7.53</v>
      </c>
      <c r="M7915" t="s">
        <v>2621</v>
      </c>
      <c r="O7915" t="str">
        <f>LEFT(Table2[[#This Row],[Description]],75)</f>
        <v>Deposit Dividend Split Rate Annual Percentage Yield Earned 1.50% from 09/01</v>
      </c>
    </row>
    <row r="7916" spans="1:15" hidden="1">
      <c r="A7916" s="25">
        <f>VALUE(YEAR(Table2[[#This Row],[Date]])&amp;TEXT(MONTH(Table2[[#This Row],[Date]]),"00"))</f>
        <v>202209</v>
      </c>
      <c r="B7916" s="6">
        <v>44834</v>
      </c>
      <c r="C7916" t="s">
        <v>2262</v>
      </c>
      <c r="D7916" t="s">
        <v>3051</v>
      </c>
      <c r="E7916">
        <f t="shared" si="48"/>
        <v>41</v>
      </c>
      <c r="F7916" s="2" t="str">
        <f>IF(Table2[[#This Row],[Manual Cat Value]]="",VLOOKUP(Table2[[#This Row],[Description]],'Actuals Lookup'!D:F,3,0),Table2[[#This Row],[Manual Cat Value]])</f>
        <v>Exp - Groceries</v>
      </c>
      <c r="G7916" t="e">
        <f>VLOOKUP(D7916,Lookup!G:H,2,0)</f>
        <v>#N/A</v>
      </c>
      <c r="H7916" s="8" t="s">
        <v>27</v>
      </c>
      <c r="I7916" s="8"/>
      <c r="J7916">
        <v>41</v>
      </c>
      <c r="M7916" t="s">
        <v>2513</v>
      </c>
      <c r="O7916" t="str">
        <f>LEFT(Table2[[#This Row],[Description]],75)</f>
        <v>LAKEWINDS - CHANHASSEN CHANHASSEN MN REF #2405523M1RBGPA3NT</v>
      </c>
    </row>
    <row r="7917" spans="1:15" hidden="1">
      <c r="A7917" s="25">
        <f>VALUE(YEAR(Table2[[#This Row],[Date]])&amp;TEXT(MONTH(Table2[[#This Row],[Date]]),"00"))</f>
        <v>202209</v>
      </c>
      <c r="B7917" s="6">
        <v>44834</v>
      </c>
      <c r="C7917" t="s">
        <v>2262</v>
      </c>
      <c r="D7917" t="s">
        <v>3052</v>
      </c>
      <c r="E7917">
        <f t="shared" si="48"/>
        <v>20.63</v>
      </c>
      <c r="F7917" s="2" t="str">
        <f>IF(Table2[[#This Row],[Manual Cat Value]]="",VLOOKUP(Table2[[#This Row],[Description]],'Actuals Lookup'!D:F,3,0),Table2[[#This Row],[Manual Cat Value]])</f>
        <v>Exp - Groceries</v>
      </c>
      <c r="G7917" t="e">
        <f>VLOOKUP(D7917,Lookup!G:H,2,0)</f>
        <v>#N/A</v>
      </c>
      <c r="H7917" s="8" t="s">
        <v>27</v>
      </c>
      <c r="I7917" s="8"/>
      <c r="J7917">
        <v>20.63</v>
      </c>
      <c r="M7917" t="s">
        <v>2513</v>
      </c>
      <c r="O7917" t="str">
        <f>LEFT(Table2[[#This Row],[Description]],75)</f>
        <v>TOTAL WINE AND MORE CHANHASSEN MN REF #2411641M1RBGHN1P6</v>
      </c>
    </row>
    <row r="7918" spans="1:15" hidden="1">
      <c r="A7918" s="25">
        <f>VALUE(YEAR(Table2[[#This Row],[Date]])&amp;TEXT(MONTH(Table2[[#This Row],[Date]]),"00"))</f>
        <v>202209</v>
      </c>
      <c r="B7918" s="6">
        <v>44834</v>
      </c>
      <c r="C7918" t="s">
        <v>2265</v>
      </c>
      <c r="D7918" t="s">
        <v>3053</v>
      </c>
      <c r="E7918">
        <f t="shared" si="48"/>
        <v>522.91</v>
      </c>
      <c r="F7918" s="2" t="str">
        <f>IF(Table2[[#This Row],[Manual Cat Value]]="",VLOOKUP(Table2[[#This Row],[Description]],'Actuals Lookup'!D:F,3,0),Table2[[#This Row],[Manual Cat Value]])</f>
        <v>Delete</v>
      </c>
      <c r="G7918" t="e">
        <f>VLOOKUP(D7918,Lookup!G:H,2,0)</f>
        <v>#N/A</v>
      </c>
      <c r="H7918" s="8" t="s">
        <v>9</v>
      </c>
      <c r="I7918" s="8"/>
      <c r="J7918">
        <v>522.91</v>
      </c>
      <c r="M7918" t="s">
        <v>2513</v>
      </c>
      <c r="O7918" t="str">
        <f>LEFT(Table2[[#This Row],[Description]],75)</f>
        <v>Withdrawal ACH DISCOVER TYPE: E-PAYMENT ID: 2510020270 CO: DISCOVER NAME: T</v>
      </c>
    </row>
    <row r="7919" spans="1:15" ht="30" hidden="1">
      <c r="A7919" s="25">
        <f>VALUE(YEAR(Table2[[#This Row],[Date]])&amp;TEXT(MONTH(Table2[[#This Row],[Date]]),"00"))</f>
        <v>202210</v>
      </c>
      <c r="B7919" s="6">
        <v>44835</v>
      </c>
      <c r="C7919" t="s">
        <v>2447</v>
      </c>
      <c r="D7919" s="7" t="s">
        <v>3054</v>
      </c>
      <c r="E7919">
        <f t="shared" si="48"/>
        <v>5.36</v>
      </c>
      <c r="F7919" s="2" t="str">
        <f>IF(Table2[[#This Row],[Manual Cat Value]]="",VLOOKUP(Table2[[#This Row],[Description]],'Actuals Lookup'!D:F,3,0),Table2[[#This Row],[Manual Cat Value]])</f>
        <v>Exp - Shopping</v>
      </c>
      <c r="G7919" t="e">
        <f>VLOOKUP(D7919,Lookup!G:H,2,0)</f>
        <v>#N/A</v>
      </c>
      <c r="H7919" s="78" t="s">
        <v>36</v>
      </c>
      <c r="I7919" s="78"/>
      <c r="J7919">
        <v>5.36</v>
      </c>
      <c r="M7919" t="s">
        <v>2513</v>
      </c>
      <c r="O7919" t="str">
        <f>LEFT(Table2[[#This Row],[Description]],75)</f>
        <v>AMAZON MUSIC*143Y01AS1 888-802-3080 WA
QRX3X76TFTH</v>
      </c>
    </row>
    <row r="7920" spans="1:15" hidden="1">
      <c r="A7920" s="25">
        <f>VALUE(YEAR(Table2[[#This Row],[Date]])&amp;TEXT(MONTH(Table2[[#This Row],[Date]]),"00"))</f>
        <v>202210</v>
      </c>
      <c r="B7920" s="6">
        <v>44835</v>
      </c>
      <c r="C7920" t="s">
        <v>2447</v>
      </c>
      <c r="D7920" t="s">
        <v>2803</v>
      </c>
      <c r="E7920">
        <f t="shared" si="48"/>
        <v>54.42</v>
      </c>
      <c r="F7920" s="2" t="str">
        <f>IF(Table2[[#This Row],[Manual Cat Value]]="",VLOOKUP(Table2[[#This Row],[Description]],'Actuals Lookup'!D:F,3,0),Table2[[#This Row],[Manual Cat Value]])</f>
        <v>Exp - Groceries</v>
      </c>
      <c r="G7920" t="e">
        <f>VLOOKUP(D7920,Lookup!G:H,2,0)</f>
        <v>#N/A</v>
      </c>
      <c r="H7920" s="8" t="s">
        <v>27</v>
      </c>
      <c r="I7920" s="8"/>
      <c r="J7920">
        <v>54.42</v>
      </c>
      <c r="M7920" t="s">
        <v>2513</v>
      </c>
      <c r="O7920" t="str">
        <f>LEFT(Table2[[#This Row],[Description]],75)</f>
        <v>ARCO GREENWOOD MARKET GREENWOOD MN</v>
      </c>
    </row>
    <row r="7921" spans="1:15" hidden="1">
      <c r="A7921" s="25">
        <f>VALUE(YEAR(Table2[[#This Row],[Date]])&amp;TEXT(MONTH(Table2[[#This Row],[Date]]),"00"))</f>
        <v>202210</v>
      </c>
      <c r="B7921" s="6">
        <v>44835</v>
      </c>
      <c r="C7921" t="s">
        <v>2447</v>
      </c>
      <c r="D7921" t="s">
        <v>3055</v>
      </c>
      <c r="E7921">
        <f t="shared" si="48"/>
        <v>21.24</v>
      </c>
      <c r="F7921" s="2" t="str">
        <f>IF(Table2[[#This Row],[Manual Cat Value]]="",VLOOKUP(Table2[[#This Row],[Description]],'Actuals Lookup'!D:F,3,0),Table2[[#This Row],[Manual Cat Value]])</f>
        <v>Exp - Transportation</v>
      </c>
      <c r="G7921" t="e">
        <f>VLOOKUP(D7921,Lookup!G:H,2,0)</f>
        <v>#N/A</v>
      </c>
      <c r="H7921" s="8" t="s">
        <v>22</v>
      </c>
      <c r="I7921" s="8"/>
      <c r="J7921">
        <v>21.24</v>
      </c>
      <c r="M7921" t="s">
        <v>2513</v>
      </c>
      <c r="O7921" t="str">
        <f>LEFT(Table2[[#This Row],[Description]],75)</f>
        <v>WATERWERKS CAR WASH GOLDEN VALLEYMN</v>
      </c>
    </row>
    <row r="7922" spans="1:15" hidden="1">
      <c r="A7922" s="25">
        <f>VALUE(YEAR(Table2[[#This Row],[Date]])&amp;TEXT(MONTH(Table2[[#This Row],[Date]]),"00"))</f>
        <v>202210</v>
      </c>
      <c r="B7922" s="6">
        <v>44835</v>
      </c>
      <c r="C7922" t="s">
        <v>2265</v>
      </c>
      <c r="D7922" t="s">
        <v>3056</v>
      </c>
      <c r="E7922">
        <f t="shared" si="48"/>
        <v>618.65</v>
      </c>
      <c r="F7922" s="2" t="str">
        <f>IF(Table2[[#This Row],[Manual Cat Value]]="",VLOOKUP(Table2[[#This Row],[Description]],'Actuals Lookup'!D:F,3,0),Table2[[#This Row],[Manual Cat Value]])</f>
        <v>Exp - Car Loan</v>
      </c>
      <c r="G7922" t="e">
        <f>VLOOKUP(D7922,Lookup!G:H,2,0)</f>
        <v>#N/A</v>
      </c>
      <c r="H7922" s="8" t="s">
        <v>10</v>
      </c>
      <c r="I7922" s="8"/>
      <c r="J7922">
        <v>618.65</v>
      </c>
      <c r="M7922" t="s">
        <v>2513</v>
      </c>
      <c r="O7922" t="str">
        <f>LEFT(Table2[[#This Row],[Description]],75)</f>
        <v>Withdrawal Home Banking Transfer To Loan 02 REF # 1059557</v>
      </c>
    </row>
    <row r="7923" spans="1:15" hidden="1">
      <c r="A7923" s="25">
        <f>VALUE(YEAR(Table2[[#This Row],[Date]])&amp;TEXT(MONTH(Table2[[#This Row],[Date]]),"00"))</f>
        <v>202210</v>
      </c>
      <c r="B7923" s="6">
        <v>44835</v>
      </c>
      <c r="C7923" t="s">
        <v>2314</v>
      </c>
      <c r="D7923" t="s">
        <v>3057</v>
      </c>
      <c r="E7923">
        <f t="shared" si="48"/>
        <v>-618.65</v>
      </c>
      <c r="F7923" s="2" t="str">
        <f>IF(Table2[[#This Row],[Manual Cat Value]]="",VLOOKUP(Table2[[#This Row],[Description]],'Actuals Lookup'!D:F,3,0),Table2[[#This Row],[Manual Cat Value]])</f>
        <v>Delete</v>
      </c>
      <c r="G7923" t="e">
        <f>VLOOKUP(D7923,Lookup!G:H,2,0)</f>
        <v>#N/A</v>
      </c>
      <c r="H7923" s="8" t="s">
        <v>9</v>
      </c>
      <c r="I7923" s="8"/>
      <c r="J7923">
        <v>618.65</v>
      </c>
      <c r="M7923" t="s">
        <v>2621</v>
      </c>
      <c r="O7923" t="str">
        <f>LEFT(Table2[[#This Row],[Description]],75)</f>
        <v>Payments Home Banking Transfer From Share 70 REF # 1059557</v>
      </c>
    </row>
    <row r="7924" spans="1:15" hidden="1">
      <c r="A7924" s="25">
        <f>VALUE(YEAR(Table2[[#This Row],[Date]])&amp;TEXT(MONTH(Table2[[#This Row],[Date]]),"00"))</f>
        <v>202210</v>
      </c>
      <c r="B7924" s="6">
        <v>44836</v>
      </c>
      <c r="C7924" t="s">
        <v>2262</v>
      </c>
      <c r="D7924" t="s">
        <v>3058</v>
      </c>
      <c r="E7924">
        <f t="shared" si="48"/>
        <v>72.14</v>
      </c>
      <c r="F7924" s="2" t="str">
        <f>IF(Table2[[#This Row],[Manual Cat Value]]="",VLOOKUP(Table2[[#This Row],[Description]],'Actuals Lookup'!D:F,3,0),Table2[[#This Row],[Manual Cat Value]])</f>
        <v>Exp - Dry Cleaning</v>
      </c>
      <c r="G7924" t="e">
        <f>VLOOKUP(D7924,Lookup!G:H,2,0)</f>
        <v>#N/A</v>
      </c>
      <c r="H7924" s="8" t="s">
        <v>42</v>
      </c>
      <c r="I7924" s="8"/>
      <c r="J7924">
        <v>72.14</v>
      </c>
      <c r="M7924" t="s">
        <v>2513</v>
      </c>
      <c r="O7924" t="str">
        <f>LEFT(Table2[[#This Row],[Description]],75)</f>
        <v>All Seasons Garment Care Excelsior MN REF #2419304M202PEJEMV</v>
      </c>
    </row>
    <row r="7925" spans="1:15" ht="30" hidden="1">
      <c r="A7925" s="25">
        <f>VALUE(YEAR(Table2[[#This Row],[Date]])&amp;TEXT(MONTH(Table2[[#This Row],[Date]]),"00"))</f>
        <v>202210</v>
      </c>
      <c r="B7925" s="6">
        <v>44836</v>
      </c>
      <c r="C7925" t="s">
        <v>2447</v>
      </c>
      <c r="D7925" s="7" t="s">
        <v>3059</v>
      </c>
      <c r="E7925">
        <f t="shared" si="48"/>
        <v>15.12</v>
      </c>
      <c r="F7925" s="2" t="str">
        <f>IF(Table2[[#This Row],[Manual Cat Value]]="",VLOOKUP(Table2[[#This Row],[Description]],'Actuals Lookup'!D:F,3,0),Table2[[#This Row],[Manual Cat Value]])</f>
        <v>Exp - Amazon</v>
      </c>
      <c r="G7925" t="e">
        <f>VLOOKUP(D7925,Lookup!G:H,2,0)</f>
        <v>#N/A</v>
      </c>
      <c r="H7925" s="78" t="s">
        <v>37</v>
      </c>
      <c r="I7925" s="78"/>
      <c r="J7925">
        <v>15.12</v>
      </c>
      <c r="M7925" t="s">
        <v>2513</v>
      </c>
      <c r="O7925" t="str">
        <f>LEFT(Table2[[#This Row],[Description]],75)</f>
        <v>AMAZON.COM*142711AM2 AMZN.COM/BILLWA
74DN9X3VVV5</v>
      </c>
    </row>
    <row r="7926" spans="1:15" ht="30" hidden="1">
      <c r="A7926" s="25">
        <f>VALUE(YEAR(Table2[[#This Row],[Date]])&amp;TEXT(MONTH(Table2[[#This Row],[Date]]),"00"))</f>
        <v>202210</v>
      </c>
      <c r="B7926" s="6">
        <v>44836</v>
      </c>
      <c r="C7926" t="s">
        <v>2447</v>
      </c>
      <c r="D7926" s="7" t="s">
        <v>3060</v>
      </c>
      <c r="E7926">
        <f t="shared" si="48"/>
        <v>600.22</v>
      </c>
      <c r="F7926" s="2" t="str">
        <f>IF(Table2[[#This Row],[Manual Cat Value]]="",VLOOKUP(Table2[[#This Row],[Description]],'Actuals Lookup'!D:F,3,0),Table2[[#This Row],[Manual Cat Value]])</f>
        <v>Exp - Amazon</v>
      </c>
      <c r="G7926" t="e">
        <f>VLOOKUP(D7926,Lookup!G:H,2,0)</f>
        <v>#N/A</v>
      </c>
      <c r="H7926" s="78" t="s">
        <v>37</v>
      </c>
      <c r="I7926" s="78"/>
      <c r="J7926">
        <v>600.22</v>
      </c>
      <c r="M7926" t="s">
        <v>2513</v>
      </c>
      <c r="O7926" t="str">
        <f>LEFT(Table2[[#This Row],[Description]],75)</f>
        <v>AMAZON.COM*145PY9V80 AMZN.COM/BILLWA
3D6AHFQZWP1</v>
      </c>
    </row>
    <row r="7927" spans="1:15" hidden="1">
      <c r="A7927" s="25">
        <f>VALUE(YEAR(Table2[[#This Row],[Date]])&amp;TEXT(MONTH(Table2[[#This Row],[Date]]),"00"))</f>
        <v>202210</v>
      </c>
      <c r="B7927" s="6">
        <v>44836</v>
      </c>
      <c r="C7927" t="s">
        <v>2262</v>
      </c>
      <c r="D7927" t="s">
        <v>3061</v>
      </c>
      <c r="E7927">
        <f t="shared" si="48"/>
        <v>61.69</v>
      </c>
      <c r="F7927" s="2" t="str">
        <f>IF(Table2[[#This Row],[Manual Cat Value]]="",VLOOKUP(Table2[[#This Row],[Description]],'Actuals Lookup'!D:F,3,0),Table2[[#This Row],[Manual Cat Value]])</f>
        <v>Exp - Groceries</v>
      </c>
      <c r="G7927" t="e">
        <f>VLOOKUP(D7927,Lookup!G:H,2,0)</f>
        <v>#N/A</v>
      </c>
      <c r="H7927" s="8" t="s">
        <v>27</v>
      </c>
      <c r="I7927" s="8"/>
      <c r="J7927">
        <v>61.69</v>
      </c>
      <c r="M7927" t="s">
        <v>2513</v>
      </c>
      <c r="O7927" t="str">
        <f>LEFT(Table2[[#This Row],[Description]],75)</f>
        <v>CUB FOODS #1636 SHOREWOOD MN REF #2442733M1M83VFFMZ</v>
      </c>
    </row>
    <row r="7928" spans="1:15" hidden="1">
      <c r="A7928" s="25">
        <f>VALUE(YEAR(Table2[[#This Row],[Date]])&amp;TEXT(MONTH(Table2[[#This Row],[Date]]),"00"))</f>
        <v>202210</v>
      </c>
      <c r="B7928" s="6">
        <v>44836</v>
      </c>
      <c r="C7928" t="s">
        <v>2262</v>
      </c>
      <c r="D7928" t="s">
        <v>3062</v>
      </c>
      <c r="E7928">
        <f t="shared" si="48"/>
        <v>8</v>
      </c>
      <c r="F7928" s="2" t="str">
        <f>IF(Table2[[#This Row],[Manual Cat Value]]="",VLOOKUP(Table2[[#This Row],[Description]],'Actuals Lookup'!D:F,3,0),Table2[[#This Row],[Manual Cat Value]])</f>
        <v>Exp - Shopping</v>
      </c>
      <c r="G7928" t="e">
        <f>VLOOKUP(D7928,Lookup!G:H,2,0)</f>
        <v>#N/A</v>
      </c>
      <c r="H7928" s="8" t="s">
        <v>36</v>
      </c>
      <c r="I7928" s="8"/>
      <c r="J7928">
        <v>8</v>
      </c>
      <c r="M7928" t="s">
        <v>2513</v>
      </c>
      <c r="O7928" t="str">
        <f>LEFT(Table2[[#This Row],[Description]],75)</f>
        <v>D J*WALL-ST-JOURNAL 800-568-7625 MA REF #2469216M2347DXM5B</v>
      </c>
    </row>
    <row r="7929" spans="1:15" hidden="1">
      <c r="A7929" s="25">
        <f>VALUE(YEAR(Table2[[#This Row],[Date]])&amp;TEXT(MONTH(Table2[[#This Row],[Date]]),"00"))</f>
        <v>202210</v>
      </c>
      <c r="B7929" s="6">
        <v>44836</v>
      </c>
      <c r="C7929" t="s">
        <v>2262</v>
      </c>
      <c r="D7929" t="s">
        <v>3063</v>
      </c>
      <c r="E7929">
        <f t="shared" si="48"/>
        <v>31.86</v>
      </c>
      <c r="F7929" s="2" t="str">
        <f>IF(Table2[[#This Row],[Manual Cat Value]]="",VLOOKUP(Table2[[#This Row],[Description]],'Actuals Lookup'!D:F,3,0),Table2[[#This Row],[Manual Cat Value]])</f>
        <v>Exp - Restaurants</v>
      </c>
      <c r="G7929" t="e">
        <f>VLOOKUP(D7929,Lookup!G:H,2,0)</f>
        <v>#N/A</v>
      </c>
      <c r="H7929" s="8" t="s">
        <v>25</v>
      </c>
      <c r="I7929" s="8"/>
      <c r="J7929">
        <v>31.86</v>
      </c>
      <c r="M7929" t="s">
        <v>2513</v>
      </c>
      <c r="O7929" t="str">
        <f>LEFT(Table2[[#This Row],[Description]],75)</f>
        <v>DETELLOS PIZZA AND PASTA CHASKA MN REF #2419304M20009NKX7</v>
      </c>
    </row>
    <row r="7930" spans="1:15" hidden="1">
      <c r="A7930" s="25">
        <f>VALUE(YEAR(Table2[[#This Row],[Date]])&amp;TEXT(MONTH(Table2[[#This Row],[Date]]),"00"))</f>
        <v>202210</v>
      </c>
      <c r="B7930" s="6">
        <v>44836</v>
      </c>
      <c r="C7930" t="s">
        <v>2262</v>
      </c>
      <c r="D7930" t="s">
        <v>3064</v>
      </c>
      <c r="E7930">
        <f t="shared" si="48"/>
        <v>22.58</v>
      </c>
      <c r="F7930" s="2" t="str">
        <f>IF(Table2[[#This Row],[Manual Cat Value]]="",VLOOKUP(Table2[[#This Row],[Description]],'Actuals Lookup'!D:F,3,0),Table2[[#This Row],[Manual Cat Value]])</f>
        <v>Exp - Transportation</v>
      </c>
      <c r="G7930" t="e">
        <f>VLOOKUP(D7930,Lookup!G:H,2,0)</f>
        <v>#N/A</v>
      </c>
      <c r="H7930" s="8" t="s">
        <v>22</v>
      </c>
      <c r="I7930" s="8"/>
      <c r="J7930">
        <v>22.58</v>
      </c>
      <c r="M7930" t="s">
        <v>2513</v>
      </c>
      <c r="O7930" t="str">
        <f>LEFT(Table2[[#This Row],[Description]],75)</f>
        <v>LYFT RIDE THU 2PM 855-865-9553 CA REF #2449215M1LVYNBTP0</v>
      </c>
    </row>
    <row r="7931" spans="1:15" hidden="1">
      <c r="A7931" s="25">
        <f>VALUE(YEAR(Table2[[#This Row],[Date]])&amp;TEXT(MONTH(Table2[[#This Row],[Date]]),"00"))</f>
        <v>202210</v>
      </c>
      <c r="B7931" s="6">
        <v>44836</v>
      </c>
      <c r="C7931" t="s">
        <v>2262</v>
      </c>
      <c r="D7931" t="s">
        <v>3065</v>
      </c>
      <c r="E7931">
        <f t="shared" si="48"/>
        <v>226.61</v>
      </c>
      <c r="F7931" s="2" t="str">
        <f>IF(Table2[[#This Row],[Manual Cat Value]]="",VLOOKUP(Table2[[#This Row],[Description]],'Actuals Lookup'!D:F,3,0),Table2[[#This Row],[Manual Cat Value]])</f>
        <v>Exp - Groceries</v>
      </c>
      <c r="G7931" t="e">
        <f>VLOOKUP(D7931,Lookup!G:H,2,0)</f>
        <v>#N/A</v>
      </c>
      <c r="H7931" s="8" t="s">
        <v>27</v>
      </c>
      <c r="I7931" s="8"/>
      <c r="J7931">
        <v>226.61</v>
      </c>
      <c r="M7931" t="s">
        <v>2513</v>
      </c>
      <c r="O7931" t="str">
        <f>LEFT(Table2[[#This Row],[Description]],75)</f>
        <v>TRADER JOE'S #714 QPS MINNETONKA MN REF #2449398M35HW8HRHG</v>
      </c>
    </row>
    <row r="7932" spans="1:15" ht="30" hidden="1">
      <c r="A7932" s="25">
        <f>VALUE(YEAR(Table2[[#This Row],[Date]])&amp;TEXT(MONTH(Table2[[#This Row],[Date]]),"00"))</f>
        <v>202210</v>
      </c>
      <c r="B7932" s="6">
        <v>44837</v>
      </c>
      <c r="C7932" t="s">
        <v>2447</v>
      </c>
      <c r="D7932" s="7" t="s">
        <v>3066</v>
      </c>
      <c r="E7932">
        <f t="shared" si="48"/>
        <v>26.83</v>
      </c>
      <c r="F7932" s="2" t="str">
        <f>IF(Table2[[#This Row],[Manual Cat Value]]="",VLOOKUP(Table2[[#This Row],[Description]],'Actuals Lookup'!D:F,3,0),Table2[[#This Row],[Manual Cat Value]])</f>
        <v>Exp - Amazon</v>
      </c>
      <c r="G7932" t="e">
        <f>VLOOKUP(D7932,Lookup!G:H,2,0)</f>
        <v>#N/A</v>
      </c>
      <c r="H7932" s="78" t="s">
        <v>37</v>
      </c>
      <c r="I7932" s="78"/>
      <c r="J7932">
        <v>26.83</v>
      </c>
      <c r="M7932" t="s">
        <v>2513</v>
      </c>
      <c r="O7932" t="str">
        <f>LEFT(Table2[[#This Row],[Description]],75)</f>
        <v>AMZN MKTP US*141HK46X0 AMZN.COM/BILLWA
B70Q4O63PLQ</v>
      </c>
    </row>
    <row r="7933" spans="1:15" ht="30" hidden="1">
      <c r="A7933" s="25">
        <f>VALUE(YEAR(Table2[[#This Row],[Date]])&amp;TEXT(MONTH(Table2[[#This Row],[Date]]),"00"))</f>
        <v>202210</v>
      </c>
      <c r="B7933" s="6">
        <v>44837</v>
      </c>
      <c r="C7933" t="s">
        <v>2447</v>
      </c>
      <c r="D7933" s="7" t="s">
        <v>3067</v>
      </c>
      <c r="E7933">
        <f t="shared" si="48"/>
        <v>110.53</v>
      </c>
      <c r="F7933" s="2" t="str">
        <f>IF(Table2[[#This Row],[Manual Cat Value]]="",VLOOKUP(Table2[[#This Row],[Description]],'Actuals Lookup'!D:F,3,0),Table2[[#This Row],[Manual Cat Value]])</f>
        <v>Exp - Amazon</v>
      </c>
      <c r="G7933" t="e">
        <f>VLOOKUP(D7933,Lookup!G:H,2,0)</f>
        <v>#N/A</v>
      </c>
      <c r="H7933" s="78" t="s">
        <v>37</v>
      </c>
      <c r="I7933" s="78"/>
      <c r="J7933">
        <v>110.53</v>
      </c>
      <c r="M7933" t="s">
        <v>2513</v>
      </c>
      <c r="O7933" t="str">
        <f>LEFT(Table2[[#This Row],[Description]],75)</f>
        <v>AMZN MKTP US*142BF9SU0 AMZN.COM/BILLWA
2Q3KAXHWMT0</v>
      </c>
    </row>
    <row r="7934" spans="1:15" hidden="1">
      <c r="A7934" s="25">
        <f>VALUE(YEAR(Table2[[#This Row],[Date]])&amp;TEXT(MONTH(Table2[[#This Row],[Date]]),"00"))</f>
        <v>202210</v>
      </c>
      <c r="B7934" s="6">
        <v>44837</v>
      </c>
      <c r="C7934" t="s">
        <v>2262</v>
      </c>
      <c r="D7934" t="s">
        <v>3068</v>
      </c>
      <c r="E7934">
        <f t="shared" si="48"/>
        <v>18</v>
      </c>
      <c r="F7934" s="2" t="str">
        <f>IF(Table2[[#This Row],[Manual Cat Value]]="",VLOOKUP(Table2[[#This Row],[Description]],'Actuals Lookup'!D:F,3,0),Table2[[#This Row],[Manual Cat Value]])</f>
        <v>Exp - Shopping</v>
      </c>
      <c r="G7934" t="e">
        <f>VLOOKUP(D7934,Lookup!G:H,2,0)</f>
        <v>#N/A</v>
      </c>
      <c r="H7934" s="8" t="s">
        <v>36</v>
      </c>
      <c r="I7934" s="8"/>
      <c r="J7934">
        <v>18</v>
      </c>
      <c r="M7934" t="s">
        <v>2513</v>
      </c>
      <c r="O7934" t="str">
        <f>LEFT(Table2[[#This Row],[Description]],75)</f>
        <v>HBRSUBSCRIPTION 800-988-0886 MA REF #2449215M3MLD7KK0Y</v>
      </c>
    </row>
    <row r="7935" spans="1:15" hidden="1">
      <c r="A7935" s="25">
        <f>VALUE(YEAR(Table2[[#This Row],[Date]])&amp;TEXT(MONTH(Table2[[#This Row],[Date]]),"00"))</f>
        <v>202210</v>
      </c>
      <c r="B7935" s="6">
        <v>44837</v>
      </c>
      <c r="C7935" t="s">
        <v>2262</v>
      </c>
      <c r="D7935" t="s">
        <v>3069</v>
      </c>
      <c r="E7935">
        <f t="shared" si="48"/>
        <v>190.86</v>
      </c>
      <c r="F7935" s="2" t="str">
        <f>IF(Table2[[#This Row],[Manual Cat Value]]="",VLOOKUP(Table2[[#This Row],[Description]],'Actuals Lookup'!D:F,3,0),Table2[[#This Row],[Manual Cat Value]])</f>
        <v>Exp - Healthcare</v>
      </c>
      <c r="G7935" t="e">
        <f>VLOOKUP(D7935,Lookup!G:H,2,0)</f>
        <v>#N/A</v>
      </c>
      <c r="H7935" s="8" t="s">
        <v>47</v>
      </c>
      <c r="I7935" s="8"/>
      <c r="J7935">
        <v>190.86</v>
      </c>
      <c r="M7935" t="s">
        <v>2513</v>
      </c>
      <c r="O7935" t="str">
        <f>LEFT(Table2[[#This Row],[Description]],75)</f>
        <v>MEDEXPRESS URGENT CARE MI888-2496365 WV REF #2475542M37Y0S230R</v>
      </c>
    </row>
    <row r="7936" spans="1:15" hidden="1">
      <c r="A7936" s="25">
        <f>VALUE(YEAR(Table2[[#This Row],[Date]])&amp;TEXT(MONTH(Table2[[#This Row],[Date]]),"00"))</f>
        <v>202210</v>
      </c>
      <c r="B7936" s="6">
        <v>44837</v>
      </c>
      <c r="C7936" t="s">
        <v>2265</v>
      </c>
      <c r="D7936" t="s">
        <v>3070</v>
      </c>
      <c r="E7936">
        <f t="shared" si="48"/>
        <v>300</v>
      </c>
      <c r="F7936" s="2" t="str">
        <f>IF(Table2[[#This Row],[Manual Cat Value]]="",VLOOKUP(Table2[[#This Row],[Description]],'Actuals Lookup'!D:F,3,0),Table2[[#This Row],[Manual Cat Value]])</f>
        <v>Sav - College Savings</v>
      </c>
      <c r="G7936" t="e">
        <f>VLOOKUP(D7936,Lookup!G:H,2,0)</f>
        <v>#N/A</v>
      </c>
      <c r="H7936" s="8" t="s">
        <v>60</v>
      </c>
      <c r="I7936" s="8"/>
      <c r="J7936">
        <v>300</v>
      </c>
      <c r="M7936" t="s">
        <v>2513</v>
      </c>
      <c r="O7936" t="str">
        <f>LEFT(Table2[[#This Row],[Description]],75)</f>
        <v xml:space="preserve">Withdrawal ACH College Savings TYPE: ACH ID: 550895818 CO: College Savings </v>
      </c>
    </row>
    <row r="7937" spans="1:15" hidden="1">
      <c r="A7937" s="25">
        <f>VALUE(YEAR(Table2[[#This Row],[Date]])&amp;TEXT(MONTH(Table2[[#This Row],[Date]]),"00"))</f>
        <v>202210</v>
      </c>
      <c r="B7937" s="6">
        <v>44837</v>
      </c>
      <c r="C7937" t="s">
        <v>2265</v>
      </c>
      <c r="D7937" t="s">
        <v>3071</v>
      </c>
      <c r="E7937">
        <f t="shared" si="48"/>
        <v>28.99</v>
      </c>
      <c r="F7937" s="2" t="str">
        <f>IF(Table2[[#This Row],[Manual Cat Value]]="",VLOOKUP(Table2[[#This Row],[Description]],'Actuals Lookup'!D:F,3,0),Table2[[#This Row],[Manual Cat Value]])</f>
        <v>Delete</v>
      </c>
      <c r="G7937" t="e">
        <f>VLOOKUP(D7937,Lookup!G:H,2,0)</f>
        <v>#N/A</v>
      </c>
      <c r="H7937" s="8" t="s">
        <v>9</v>
      </c>
      <c r="I7937" s="8"/>
      <c r="J7937">
        <v>28.99</v>
      </c>
      <c r="M7937" t="s">
        <v>2513</v>
      </c>
      <c r="O7937" t="str">
        <f>LEFT(Table2[[#This Row],[Description]],75)</f>
        <v xml:space="preserve">Withdrawal ACH PAYPAL TYPE: INST XFER ID: PAYPALSI77 CO: PAYPAL NAME: JEFF </v>
      </c>
    </row>
    <row r="7938" spans="1:15" hidden="1">
      <c r="A7938" s="25">
        <f>VALUE(YEAR(Table2[[#This Row],[Date]])&amp;TEXT(MONTH(Table2[[#This Row],[Date]]),"00"))</f>
        <v>202210</v>
      </c>
      <c r="B7938" s="6">
        <v>44837</v>
      </c>
      <c r="C7938" t="s">
        <v>2710</v>
      </c>
      <c r="D7938" t="s">
        <v>1410</v>
      </c>
      <c r="E7938">
        <f t="shared" si="48"/>
        <v>2606.27</v>
      </c>
      <c r="F7938" s="2" t="str">
        <f>IF(Table2[[#This Row],[Manual Cat Value]]="",VLOOKUP(Table2[[#This Row],[Description]],'Actuals Lookup'!D:F,3,0),Table2[[#This Row],[Manual Cat Value]])</f>
        <v>Delete</v>
      </c>
      <c r="G7938" t="str">
        <f>VLOOKUP(D7938,Lookup!G:H,2,0)</f>
        <v>Delete</v>
      </c>
      <c r="I7938" s="8"/>
      <c r="J7938">
        <v>2606.27</v>
      </c>
      <c r="M7938" t="s">
        <v>2513</v>
      </c>
      <c r="O7938" t="str">
        <f>LEFT(Table2[[#This Row],[Description]],75)</f>
        <v>PAYMENT</v>
      </c>
    </row>
    <row r="7939" spans="1:15" hidden="1">
      <c r="A7939" s="25">
        <f>VALUE(YEAR(Table2[[#This Row],[Date]])&amp;TEXT(MONTH(Table2[[#This Row],[Date]]),"00"))</f>
        <v>202306</v>
      </c>
      <c r="B7939" s="6">
        <v>45106</v>
      </c>
      <c r="C7939" t="s">
        <v>2916</v>
      </c>
      <c r="D7939" t="s">
        <v>3072</v>
      </c>
      <c r="E7939">
        <v>3480</v>
      </c>
      <c r="F7939" s="2" t="str">
        <f>IF(Table2[[#This Row],[Manual Cat Value]]="",VLOOKUP(Table2[[#This Row],[Description]],'Actuals Lookup'!D:F,3,0),Table2[[#This Row],[Manual Cat Value]])</f>
        <v>Delete</v>
      </c>
      <c r="H7939" s="8" t="s">
        <v>9</v>
      </c>
      <c r="I7939" s="8"/>
      <c r="O7939" t="str">
        <f>LEFT(Table2[[#This Row],[Description]],75)</f>
        <v>Draft 2322 Tracer XX0591</v>
      </c>
    </row>
    <row r="7940" spans="1:15" hidden="1">
      <c r="A7940" s="25">
        <f>VALUE(YEAR(Table2[[#This Row],[Date]])&amp;TEXT(MONTH(Table2[[#This Row],[Date]]),"00"))</f>
        <v>202210</v>
      </c>
      <c r="B7940" s="93">
        <v>44838</v>
      </c>
      <c r="C7940" s="97" t="s">
        <v>2265</v>
      </c>
      <c r="D7940" s="87" t="s">
        <v>3073</v>
      </c>
      <c r="E7940">
        <f t="shared" ref="E7940:E7971" si="49">IF(M7940="credit",-1*J7940,J7940)</f>
        <v>11.19</v>
      </c>
      <c r="F7940" s="2" t="str">
        <f>IF(Table2[[#This Row],[Manual Cat Value]]="",VLOOKUP(Table2[[#This Row],[Description]],'Actuals Lookup'!D:F,3,0),Table2[[#This Row],[Manual Cat Value]])</f>
        <v>Exp - Shopping</v>
      </c>
      <c r="G7940" t="e">
        <f>VLOOKUP(D7940,Lookup!G:H,2,0)</f>
        <v>#N/A</v>
      </c>
      <c r="H7940" s="8" t="s">
        <v>36</v>
      </c>
      <c r="I7940" s="95"/>
      <c r="J7940" s="98">
        <v>11.19</v>
      </c>
      <c r="K7940" s="87"/>
      <c r="L7940" s="87"/>
      <c r="M7940" s="87"/>
      <c r="N7940" s="87" t="s">
        <v>3074</v>
      </c>
      <c r="O7940" t="str">
        <f>LEFT(Table2[[#This Row],[Description]],75)</f>
        <v>Deposit ACH PAYPAL TYPE: TRANSFER ID: PAYPALSD11 CO: PAYPAL Entry Class Cod</v>
      </c>
    </row>
    <row r="7941" spans="1:15" hidden="1">
      <c r="A7941" s="25">
        <f>VALUE(YEAR(Table2[[#This Row],[Date]])&amp;TEXT(MONTH(Table2[[#This Row],[Date]]),"00"))</f>
        <v>202210</v>
      </c>
      <c r="B7941" s="93">
        <v>44838</v>
      </c>
      <c r="C7941" s="97" t="s">
        <v>2265</v>
      </c>
      <c r="D7941" s="87" t="s">
        <v>3075</v>
      </c>
      <c r="E7941">
        <f t="shared" si="49"/>
        <v>48</v>
      </c>
      <c r="F7941" s="2" t="str">
        <f>IF(Table2[[#This Row],[Manual Cat Value]]="",VLOOKUP(Table2[[#This Row],[Description]],'Actuals Lookup'!D:F,3,0),Table2[[#This Row],[Manual Cat Value]])</f>
        <v>Exp - Shopping</v>
      </c>
      <c r="G7941" t="e">
        <f>VLOOKUP(D7941,Lookup!G:H,2,0)</f>
        <v>#N/A</v>
      </c>
      <c r="H7941" s="8" t="s">
        <v>36</v>
      </c>
      <c r="I7941" s="95"/>
      <c r="J7941" s="98">
        <v>48</v>
      </c>
      <c r="K7941" s="87"/>
      <c r="L7941" s="87"/>
      <c r="M7941" s="87"/>
      <c r="N7941" s="87" t="s">
        <v>3074</v>
      </c>
      <c r="O7941" t="str">
        <f>LEFT(Table2[[#This Row],[Description]],75)</f>
        <v>Deposit ACH PAYPAL TYPE: TRANSFER ID: PAYPALSD11 CO: PAYPAL Entry Class Cod</v>
      </c>
    </row>
    <row r="7942" spans="1:15" hidden="1">
      <c r="A7942" s="25">
        <f>VALUE(YEAR(Table2[[#This Row],[Date]])&amp;TEXT(MONTH(Table2[[#This Row],[Date]]),"00"))</f>
        <v>202210</v>
      </c>
      <c r="B7942" s="6">
        <v>44838</v>
      </c>
      <c r="C7942" t="s">
        <v>2265</v>
      </c>
      <c r="D7942" t="s">
        <v>3076</v>
      </c>
      <c r="E7942">
        <f t="shared" si="49"/>
        <v>370</v>
      </c>
      <c r="F7942" s="2" t="str">
        <f>IF(Table2[[#This Row],[Manual Cat Value]]="",VLOOKUP(Table2[[#This Row],[Description]],'Actuals Lookup'!D:F,3,0),Table2[[#This Row],[Manual Cat Value]])</f>
        <v>Exp - Day Care</v>
      </c>
      <c r="G7942" t="e">
        <f>VLOOKUP(D7942,Lookup!G:H,2,0)</f>
        <v>#N/A</v>
      </c>
      <c r="H7942" s="8" t="s">
        <v>19</v>
      </c>
      <c r="I7942" s="8"/>
      <c r="J7942">
        <v>370</v>
      </c>
      <c r="M7942" t="s">
        <v>2513</v>
      </c>
      <c r="O7942" t="str">
        <f>LEFT(Table2[[#This Row],[Description]],75)</f>
        <v xml:space="preserve">Withdrawal ACH MHCHILDCARELLC TYPE: DUES ID: 1824708198 CO: MHCHILDCARELLC </v>
      </c>
    </row>
    <row r="7943" spans="1:15" ht="30" hidden="1">
      <c r="A7943" s="25">
        <f>VALUE(YEAR(Table2[[#This Row],[Date]])&amp;TEXT(MONTH(Table2[[#This Row],[Date]]),"00"))</f>
        <v>202210</v>
      </c>
      <c r="B7943" s="6">
        <v>44839</v>
      </c>
      <c r="C7943" t="s">
        <v>2447</v>
      </c>
      <c r="D7943" s="7" t="s">
        <v>3077</v>
      </c>
      <c r="E7943">
        <f t="shared" si="49"/>
        <v>23.61</v>
      </c>
      <c r="F7943" s="2" t="str">
        <f>IF(Table2[[#This Row],[Manual Cat Value]]="",VLOOKUP(Table2[[#This Row],[Description]],'Actuals Lookup'!D:F,3,0),Table2[[#This Row],[Manual Cat Value]])</f>
        <v>Exp - Amazon</v>
      </c>
      <c r="G7943" t="e">
        <f>VLOOKUP(D7943,Lookup!G:H,2,0)</f>
        <v>#N/A</v>
      </c>
      <c r="H7943" s="78" t="s">
        <v>37</v>
      </c>
      <c r="I7943" s="78"/>
      <c r="J7943">
        <v>23.61</v>
      </c>
      <c r="M7943" t="s">
        <v>2513</v>
      </c>
      <c r="O7943" t="str">
        <f>LEFT(Table2[[#This Row],[Description]],75)</f>
        <v>AMZN MKTP US*149ED1UW1 AMZN.COM/BILLWA
6KBQB2VOYKN</v>
      </c>
    </row>
    <row r="7944" spans="1:15" ht="30" hidden="1">
      <c r="A7944" s="25">
        <f>VALUE(YEAR(Table2[[#This Row],[Date]])&amp;TEXT(MONTH(Table2[[#This Row],[Date]]),"00"))</f>
        <v>202210</v>
      </c>
      <c r="B7944" s="6">
        <v>44839</v>
      </c>
      <c r="C7944" t="s">
        <v>2447</v>
      </c>
      <c r="D7944" s="7" t="s">
        <v>3078</v>
      </c>
      <c r="E7944">
        <f t="shared" si="49"/>
        <v>25.39</v>
      </c>
      <c r="F7944" s="2" t="str">
        <f>IF(Table2[[#This Row],[Manual Cat Value]]="",VLOOKUP(Table2[[#This Row],[Description]],'Actuals Lookup'!D:F,3,0),Table2[[#This Row],[Manual Cat Value]])</f>
        <v>Exp - Amazon</v>
      </c>
      <c r="G7944" t="e">
        <f>VLOOKUP(D7944,Lookup!G:H,2,0)</f>
        <v>#N/A</v>
      </c>
      <c r="H7944" s="78" t="s">
        <v>37</v>
      </c>
      <c r="I7944" s="78"/>
      <c r="J7944">
        <v>25.39</v>
      </c>
      <c r="M7944" t="s">
        <v>2513</v>
      </c>
      <c r="O7944" t="str">
        <f>LEFT(Table2[[#This Row],[Description]],75)</f>
        <v>AMZN MKTP US*149H97I21 AMZN.COM/BILLWA
6HWXT52I7KX</v>
      </c>
    </row>
    <row r="7945" spans="1:15" hidden="1">
      <c r="A7945" s="25">
        <f>VALUE(YEAR(Table2[[#This Row],[Date]])&amp;TEXT(MONTH(Table2[[#This Row],[Date]]),"00"))</f>
        <v>202210</v>
      </c>
      <c r="B7945" s="93">
        <v>44839</v>
      </c>
      <c r="C7945" s="97" t="s">
        <v>2262</v>
      </c>
      <c r="D7945" s="87" t="s">
        <v>3079</v>
      </c>
      <c r="E7945">
        <f t="shared" si="49"/>
        <v>11.6</v>
      </c>
      <c r="F7945" s="2" t="str">
        <f>IF(Table2[[#This Row],[Manual Cat Value]]="",VLOOKUP(Table2[[#This Row],[Description]],'Actuals Lookup'!D:F,3,0),Table2[[#This Row],[Manual Cat Value]])</f>
        <v>Exp - Groceries</v>
      </c>
      <c r="G7945" t="e">
        <f>VLOOKUP(D7945,Lookup!G:H,2,0)</f>
        <v>#N/A</v>
      </c>
      <c r="H7945" s="8" t="s">
        <v>27</v>
      </c>
      <c r="I7945" s="95"/>
      <c r="J7945" s="98">
        <v>11.6</v>
      </c>
      <c r="K7945" s="87"/>
      <c r="L7945" s="87"/>
      <c r="M7945" s="87" t="s">
        <v>2535</v>
      </c>
      <c r="O7945" t="str">
        <f>LEFT(Table2[[#This Row],[Description]],75)</f>
        <v>CUB FOODS #1636          SHOREWOOD    MN REF #2442733M5M83KVZTL</v>
      </c>
    </row>
    <row r="7946" spans="1:15" hidden="1">
      <c r="A7946" s="25">
        <f>VALUE(YEAR(Table2[[#This Row],[Date]])&amp;TEXT(MONTH(Table2[[#This Row],[Date]]),"00"))</f>
        <v>202210</v>
      </c>
      <c r="B7946" s="93">
        <v>44839</v>
      </c>
      <c r="C7946" s="97" t="s">
        <v>2265</v>
      </c>
      <c r="D7946" s="87" t="s">
        <v>3080</v>
      </c>
      <c r="E7946">
        <f t="shared" si="49"/>
        <v>206.46</v>
      </c>
      <c r="F7946" s="2" t="str">
        <f>IF(Table2[[#This Row],[Manual Cat Value]]="",VLOOKUP(Table2[[#This Row],[Description]],'Actuals Lookup'!D:F,3,0),Table2[[#This Row],[Manual Cat Value]])</f>
        <v>Delete</v>
      </c>
      <c r="G7946" t="e">
        <f>VLOOKUP(D7946,Lookup!G:H,2,0)</f>
        <v>#N/A</v>
      </c>
      <c r="H7946" s="8" t="s">
        <v>9</v>
      </c>
      <c r="I7946" s="95"/>
      <c r="J7946" s="98">
        <v>206.46</v>
      </c>
      <c r="K7946" s="87"/>
      <c r="L7946" s="87"/>
      <c r="M7946" s="87"/>
      <c r="N7946" s="87" t="s">
        <v>3074</v>
      </c>
      <c r="O7946" t="str">
        <f>LEFT(Table2[[#This Row],[Description]],75)</f>
        <v>Deposit ACH eBay TYPE: PAYOUT ID: 426XXXXXXX CO: eBay Entry Class Code: CCD</v>
      </c>
    </row>
    <row r="7947" spans="1:15" hidden="1">
      <c r="A7947" s="25">
        <f>VALUE(YEAR(Table2[[#This Row],[Date]])&amp;TEXT(MONTH(Table2[[#This Row],[Date]]),"00"))</f>
        <v>202210</v>
      </c>
      <c r="B7947" s="6">
        <v>44839</v>
      </c>
      <c r="C7947" t="s">
        <v>2447</v>
      </c>
      <c r="D7947" t="s">
        <v>2144</v>
      </c>
      <c r="E7947">
        <f t="shared" si="49"/>
        <v>7.59</v>
      </c>
      <c r="F7947" s="2" t="e">
        <f>IF(Table2[[#This Row],[Manual Cat Value]]="",VLOOKUP(Table2[[#This Row],[Description]],'Actuals Lookup'!D:F,3,0),Table2[[#This Row],[Manual Cat Value]])</f>
        <v>#N/A</v>
      </c>
      <c r="G7947" t="str">
        <f>VLOOKUP(D7947,Lookup!G:H,2,0)</f>
        <v>Restaurants</v>
      </c>
      <c r="I7947" s="8"/>
      <c r="J7947">
        <v>7.59</v>
      </c>
      <c r="M7947" t="s">
        <v>2513</v>
      </c>
      <c r="O7947" t="str">
        <f>LEFT(Table2[[#This Row],[Description]],75)</f>
        <v>WAYZATA CAFE WAYZATA MN</v>
      </c>
    </row>
    <row r="7948" spans="1:15" hidden="1">
      <c r="A7948" s="25">
        <f>VALUE(YEAR(Table2[[#This Row],[Date]])&amp;TEXT(MONTH(Table2[[#This Row],[Date]]),"00"))</f>
        <v>202210</v>
      </c>
      <c r="B7948" s="93">
        <v>44839</v>
      </c>
      <c r="C7948" s="97" t="s">
        <v>2265</v>
      </c>
      <c r="D7948" s="87" t="s">
        <v>3081</v>
      </c>
      <c r="E7948">
        <f t="shared" si="49"/>
        <v>66.569999999999993</v>
      </c>
      <c r="F7948" s="2" t="str">
        <f>IF(Table2[[#This Row],[Manual Cat Value]]="",VLOOKUP(Table2[[#This Row],[Description]],'Actuals Lookup'!D:F,3,0),Table2[[#This Row],[Manual Cat Value]])</f>
        <v>Exp - Shopping</v>
      </c>
      <c r="G7948" t="e">
        <f>VLOOKUP(D7948,Lookup!G:H,2,0)</f>
        <v>#N/A</v>
      </c>
      <c r="H7948" s="8" t="s">
        <v>36</v>
      </c>
      <c r="I7948" s="95"/>
      <c r="J7948" s="98">
        <v>66.569999999999993</v>
      </c>
      <c r="K7948" s="87"/>
      <c r="L7948" s="87"/>
      <c r="M7948" s="87"/>
      <c r="N7948" s="87" t="s">
        <v>2535</v>
      </c>
      <c r="O7948" t="str">
        <f>LEFT(Table2[[#This Row],[Description]],75)</f>
        <v xml:space="preserve">Withdrawal ACH PAYPAL TYPE: INST XFER ID: PAYPALSI77 CO: PAYPAL NAME: JEFF </v>
      </c>
    </row>
    <row r="7949" spans="1:15" hidden="1">
      <c r="A7949" s="25">
        <f>VALUE(YEAR(Table2[[#This Row],[Date]])&amp;TEXT(MONTH(Table2[[#This Row],[Date]]),"00"))</f>
        <v>202210</v>
      </c>
      <c r="B7949" s="93">
        <v>44839</v>
      </c>
      <c r="C7949" s="97" t="s">
        <v>2265</v>
      </c>
      <c r="D7949" s="87" t="s">
        <v>3082</v>
      </c>
      <c r="E7949">
        <f t="shared" si="49"/>
        <v>274.63</v>
      </c>
      <c r="F7949" s="2" t="str">
        <f>IF(Table2[[#This Row],[Manual Cat Value]]="",VLOOKUP(Table2[[#This Row],[Description]],'Actuals Lookup'!D:F,3,0),Table2[[#This Row],[Manual Cat Value]])</f>
        <v>Exp - Utilities</v>
      </c>
      <c r="G7949" t="e">
        <f>VLOOKUP(D7949,Lookup!G:H,2,0)</f>
        <v>#N/A</v>
      </c>
      <c r="H7949" s="8" t="s">
        <v>6</v>
      </c>
      <c r="I7949" s="95"/>
      <c r="J7949" s="98">
        <v>274.63</v>
      </c>
      <c r="K7949" s="87"/>
      <c r="L7949" s="87"/>
      <c r="M7949" s="87"/>
      <c r="N7949" s="87" t="s">
        <v>2535</v>
      </c>
      <c r="O7949" t="str">
        <f>LEFT(Table2[[#This Row],[Description]],75)</f>
        <v>Withdrawal ACH XCEL ENERGY-MN TYPE: XCELENERGY ID: 7411967505 CO: XCEL ENER</v>
      </c>
    </row>
    <row r="7950" spans="1:15" hidden="1">
      <c r="A7950" s="25">
        <f>VALUE(YEAR(Table2[[#This Row],[Date]])&amp;TEXT(MONTH(Table2[[#This Row],[Date]]),"00"))</f>
        <v>202210</v>
      </c>
      <c r="B7950" s="93">
        <v>44840</v>
      </c>
      <c r="C7950" s="97" t="s">
        <v>2265</v>
      </c>
      <c r="D7950" s="87" t="s">
        <v>3083</v>
      </c>
      <c r="E7950">
        <f t="shared" si="49"/>
        <v>75</v>
      </c>
      <c r="F7950" s="2" t="str">
        <f>IF(Table2[[#This Row],[Manual Cat Value]]="",VLOOKUP(Table2[[#This Row],[Description]],'Actuals Lookup'!D:F,3,0),Table2[[#This Row],[Manual Cat Value]])</f>
        <v>Delete</v>
      </c>
      <c r="G7950" t="e">
        <f>VLOOKUP(D7950,Lookup!G:H,2,0)</f>
        <v>#N/A</v>
      </c>
      <c r="H7950" s="8" t="s">
        <v>9</v>
      </c>
      <c r="I7950" s="95"/>
      <c r="J7950" s="98">
        <v>75</v>
      </c>
      <c r="K7950" s="87"/>
      <c r="L7950" s="87"/>
      <c r="M7950" s="87"/>
      <c r="N7950" s="87" t="s">
        <v>3074</v>
      </c>
      <c r="O7950" t="str">
        <f>LEFT(Table2[[#This Row],[Description]],75)</f>
        <v>Deposit ACH EMPYREAN SOLUTIO TYPE: 193XXXXXXX ID: 5330903620 CO: EMPYREAN S</v>
      </c>
    </row>
    <row r="7951" spans="1:15" hidden="1">
      <c r="A7951" s="25">
        <f>VALUE(YEAR(Table2[[#This Row],[Date]])&amp;TEXT(MONTH(Table2[[#This Row],[Date]]),"00"))</f>
        <v>202210</v>
      </c>
      <c r="B7951" s="93">
        <v>44840</v>
      </c>
      <c r="C7951" s="97" t="s">
        <v>2265</v>
      </c>
      <c r="D7951" s="87" t="s">
        <v>3084</v>
      </c>
      <c r="E7951">
        <f t="shared" si="49"/>
        <v>28.99</v>
      </c>
      <c r="F7951" s="2" t="str">
        <f>IF(Table2[[#This Row],[Manual Cat Value]]="",VLOOKUP(Table2[[#This Row],[Description]],'Actuals Lookup'!D:F,3,0),Table2[[#This Row],[Manual Cat Value]])</f>
        <v>Exp - Shopping</v>
      </c>
      <c r="G7951" t="e">
        <f>VLOOKUP(D7951,Lookup!G:H,2,0)</f>
        <v>#N/A</v>
      </c>
      <c r="H7951" s="8" t="s">
        <v>36</v>
      </c>
      <c r="I7951" s="95"/>
      <c r="J7951" s="98">
        <v>28.99</v>
      </c>
      <c r="K7951" s="87"/>
      <c r="L7951" s="87"/>
      <c r="M7951" s="87"/>
      <c r="N7951" s="87" t="s">
        <v>3074</v>
      </c>
      <c r="O7951" t="str">
        <f>LEFT(Table2[[#This Row],[Description]],75)</f>
        <v>Deposit ACH PAYPAL TYPE: TRANSFER ID: PAYPALSD11 CO: PAYPAL Entry Class Cod</v>
      </c>
    </row>
    <row r="7952" spans="1:15" hidden="1">
      <c r="A7952" s="25">
        <f>VALUE(YEAR(Table2[[#This Row],[Date]])&amp;TEXT(MONTH(Table2[[#This Row],[Date]]),"00"))</f>
        <v>202210</v>
      </c>
      <c r="B7952" s="6">
        <v>44840</v>
      </c>
      <c r="C7952" t="s">
        <v>2447</v>
      </c>
      <c r="D7952" t="s">
        <v>3085</v>
      </c>
      <c r="E7952">
        <f t="shared" si="49"/>
        <v>62.53</v>
      </c>
      <c r="F7952" s="2" t="str">
        <f>IF(Table2[[#This Row],[Manual Cat Value]]="",VLOOKUP(Table2[[#This Row],[Description]],'Actuals Lookup'!D:F,3,0),Table2[[#This Row],[Manual Cat Value]])</f>
        <v>Exp - Shopping</v>
      </c>
      <c r="G7952" t="e">
        <f>VLOOKUP(D7952,Lookup!G:H,2,0)</f>
        <v>#N/A</v>
      </c>
      <c r="H7952" s="78" t="s">
        <v>36</v>
      </c>
      <c r="I7952" s="8"/>
      <c r="J7952">
        <v>62.53</v>
      </c>
      <c r="M7952" t="s">
        <v>2513</v>
      </c>
      <c r="O7952" t="str">
        <f>LEFT(Table2[[#This Row],[Description]],75)</f>
        <v>PAYPAL *NIKE.COM 402-935-7733 CA</v>
      </c>
    </row>
    <row r="7953" spans="1:15" hidden="1">
      <c r="A7953" s="25">
        <f>VALUE(YEAR(Table2[[#This Row],[Date]])&amp;TEXT(MONTH(Table2[[#This Row],[Date]]),"00"))</f>
        <v>202210</v>
      </c>
      <c r="B7953" s="93">
        <v>44840</v>
      </c>
      <c r="C7953" s="97" t="s">
        <v>2265</v>
      </c>
      <c r="D7953" s="87" t="s">
        <v>3086</v>
      </c>
      <c r="E7953">
        <f t="shared" si="49"/>
        <v>6.47</v>
      </c>
      <c r="F7953" s="2" t="str">
        <f>IF(Table2[[#This Row],[Manual Cat Value]]="",VLOOKUP(Table2[[#This Row],[Description]],'Actuals Lookup'!D:F,3,0),Table2[[#This Row],[Manual Cat Value]])</f>
        <v>Exp - Shopping</v>
      </c>
      <c r="G7953" t="e">
        <f>VLOOKUP(D7953,Lookup!G:H,2,0)</f>
        <v>#N/A</v>
      </c>
      <c r="H7953" s="8" t="s">
        <v>36</v>
      </c>
      <c r="I7953" s="95"/>
      <c r="J7953" s="98">
        <v>6.47</v>
      </c>
      <c r="K7953" s="87"/>
      <c r="L7953" s="87"/>
      <c r="M7953" s="87"/>
      <c r="N7953" s="87" t="s">
        <v>2535</v>
      </c>
      <c r="O7953" t="str">
        <f>LEFT(Table2[[#This Row],[Description]],75)</f>
        <v xml:space="preserve">Withdrawal ACH PAYPAL TYPE: INST XFER ID: PAYPALSI77 CO: PAYPAL NAME: JEFF </v>
      </c>
    </row>
    <row r="7954" spans="1:15" hidden="1">
      <c r="A7954" s="25">
        <f>VALUE(YEAR(Table2[[#This Row],[Date]])&amp;TEXT(MONTH(Table2[[#This Row],[Date]]),"00"))</f>
        <v>202210</v>
      </c>
      <c r="B7954" s="93">
        <v>44841</v>
      </c>
      <c r="C7954" s="97" t="s">
        <v>2262</v>
      </c>
      <c r="D7954" s="87" t="s">
        <v>3087</v>
      </c>
      <c r="E7954">
        <f t="shared" si="49"/>
        <v>193.43</v>
      </c>
      <c r="F7954" s="2" t="str">
        <f>IF(Table2[[#This Row],[Manual Cat Value]]="",VLOOKUP(Table2[[#This Row],[Description]],'Actuals Lookup'!D:F,3,0),Table2[[#This Row],[Manual Cat Value]])</f>
        <v>Exp - Groceries</v>
      </c>
      <c r="G7954" t="e">
        <f>VLOOKUP(D7954,Lookup!G:H,2,0)</f>
        <v>#N/A</v>
      </c>
      <c r="H7954" s="8" t="s">
        <v>27</v>
      </c>
      <c r="I7954" s="95"/>
      <c r="J7954" s="98">
        <v>193.43</v>
      </c>
      <c r="K7954" s="87"/>
      <c r="L7954" s="87"/>
      <c r="M7954" s="87" t="s">
        <v>2535</v>
      </c>
      <c r="O7954" t="str">
        <f>LEFT(Table2[[#This Row],[Description]],75)</f>
        <v>AVO*ADVOCARE INTL        800-542-4800 TX REF #2469216M72Y9WT6JX</v>
      </c>
    </row>
    <row r="7955" spans="1:15" hidden="1">
      <c r="A7955" s="25">
        <f>VALUE(YEAR(Table2[[#This Row],[Date]])&amp;TEXT(MONTH(Table2[[#This Row],[Date]]),"00"))</f>
        <v>202210</v>
      </c>
      <c r="B7955" s="93">
        <v>44858</v>
      </c>
      <c r="C7955" s="97" t="s">
        <v>2265</v>
      </c>
      <c r="D7955" s="87" t="s">
        <v>3088</v>
      </c>
      <c r="E7955">
        <f t="shared" si="49"/>
        <v>38.700000000000003</v>
      </c>
      <c r="F7955" s="2" t="str">
        <f>IF(Table2[[#This Row],[Manual Cat Value]]="",VLOOKUP(Table2[[#This Row],[Description]],'Actuals Lookup'!D:F,3,0),Table2[[#This Row],[Manual Cat Value]])</f>
        <v>Exp - Shopping</v>
      </c>
      <c r="G7955" t="e">
        <f>VLOOKUP(D7955,Lookup!G:H,2,0)</f>
        <v>#N/A</v>
      </c>
      <c r="H7955" s="8" t="s">
        <v>36</v>
      </c>
      <c r="I7955" s="95" t="s">
        <v>2534</v>
      </c>
      <c r="J7955" s="98">
        <v>38.700000000000003</v>
      </c>
      <c r="K7955" s="87"/>
      <c r="L7955" s="87"/>
      <c r="M7955" s="87"/>
      <c r="N7955" s="87" t="s">
        <v>2535</v>
      </c>
      <c r="O7955" t="str">
        <f>LEFT(Table2[[#This Row],[Description]],75)</f>
        <v>Draft 2344 Tracer 990004968</v>
      </c>
    </row>
    <row r="7956" spans="1:15" hidden="1">
      <c r="A7956" s="25">
        <f>VALUE(YEAR(Table2[[#This Row],[Date]])&amp;TEXT(MONTH(Table2[[#This Row],[Date]]),"00"))</f>
        <v>202210</v>
      </c>
      <c r="B7956" s="93">
        <v>44841</v>
      </c>
      <c r="C7956" s="97" t="s">
        <v>2265</v>
      </c>
      <c r="D7956" s="87" t="s">
        <v>3089</v>
      </c>
      <c r="E7956">
        <f t="shared" si="49"/>
        <v>8.49</v>
      </c>
      <c r="F7956" s="2" t="str">
        <f>IF(Table2[[#This Row],[Manual Cat Value]]="",VLOOKUP(Table2[[#This Row],[Description]],'Actuals Lookup'!D:F,3,0),Table2[[#This Row],[Manual Cat Value]])</f>
        <v>Exp - Shopping</v>
      </c>
      <c r="G7956" t="e">
        <f>VLOOKUP(D7956,Lookup!G:H,2,0)</f>
        <v>#N/A</v>
      </c>
      <c r="H7956" s="8" t="s">
        <v>36</v>
      </c>
      <c r="I7956" s="95"/>
      <c r="J7956" s="98">
        <v>8.49</v>
      </c>
      <c r="K7956" s="87"/>
      <c r="L7956" s="87"/>
      <c r="M7956" s="87"/>
      <c r="N7956" s="87" t="s">
        <v>2535</v>
      </c>
      <c r="O7956" t="str">
        <f>LEFT(Table2[[#This Row],[Description]],75)</f>
        <v xml:space="preserve">Withdrawal ACH PAYPAL TYPE: INST XFER ID: PAYPALSI77 CO: PAYPAL NAME: JEFF </v>
      </c>
    </row>
    <row r="7957" spans="1:15" hidden="1">
      <c r="A7957" s="25">
        <f>VALUE(YEAR(Table2[[#This Row],[Date]])&amp;TEXT(MONTH(Table2[[#This Row],[Date]]),"00"))</f>
        <v>202210</v>
      </c>
      <c r="B7957" s="93">
        <v>44841</v>
      </c>
      <c r="C7957" s="97" t="s">
        <v>2265</v>
      </c>
      <c r="D7957" s="87" t="s">
        <v>3090</v>
      </c>
      <c r="E7957">
        <f t="shared" si="49"/>
        <v>9.01</v>
      </c>
      <c r="F7957" s="2" t="str">
        <f>IF(Table2[[#This Row],[Manual Cat Value]]="",VLOOKUP(Table2[[#This Row],[Description]],'Actuals Lookup'!D:F,3,0),Table2[[#This Row],[Manual Cat Value]])</f>
        <v>Exp - Shopping</v>
      </c>
      <c r="G7957" t="e">
        <f>VLOOKUP(D7957,Lookup!G:H,2,0)</f>
        <v>#N/A</v>
      </c>
      <c r="H7957" s="8" t="s">
        <v>36</v>
      </c>
      <c r="I7957" s="95"/>
      <c r="J7957" s="98">
        <v>9.01</v>
      </c>
      <c r="K7957" s="87"/>
      <c r="L7957" s="87"/>
      <c r="M7957" s="87"/>
      <c r="N7957" s="87" t="s">
        <v>2535</v>
      </c>
      <c r="O7957" t="str">
        <f>LEFT(Table2[[#This Row],[Description]],75)</f>
        <v xml:space="preserve">Withdrawal ACH PAYPAL TYPE: INST XFER ID: PAYPALSI77 CO: PAYPAL NAME: JEFF </v>
      </c>
    </row>
    <row r="7958" spans="1:15" hidden="1">
      <c r="A7958" s="25">
        <f>VALUE(YEAR(Table2[[#This Row],[Date]])&amp;TEXT(MONTH(Table2[[#This Row],[Date]]),"00"))</f>
        <v>202210</v>
      </c>
      <c r="B7958" s="93">
        <v>44841</v>
      </c>
      <c r="C7958" s="97" t="s">
        <v>2265</v>
      </c>
      <c r="D7958" s="87" t="s">
        <v>3091</v>
      </c>
      <c r="E7958">
        <f t="shared" si="49"/>
        <v>3.1</v>
      </c>
      <c r="F7958" s="2" t="str">
        <f>IF(Table2[[#This Row],[Manual Cat Value]]="",VLOOKUP(Table2[[#This Row],[Description]],'Actuals Lookup'!D:F,3,0),Table2[[#This Row],[Manual Cat Value]])</f>
        <v>Exp - Shopping</v>
      </c>
      <c r="G7958" t="e">
        <f>VLOOKUP(D7958,Lookup!G:H,2,0)</f>
        <v>#N/A</v>
      </c>
      <c r="H7958" s="8" t="s">
        <v>36</v>
      </c>
      <c r="I7958" s="95"/>
      <c r="J7958" s="98">
        <v>3.1</v>
      </c>
      <c r="K7958" s="87"/>
      <c r="L7958" s="87"/>
      <c r="M7958" s="87"/>
      <c r="N7958" s="87" t="s">
        <v>2535</v>
      </c>
      <c r="O7958" t="str">
        <f>LEFT(Table2[[#This Row],[Description]],75)</f>
        <v xml:space="preserve">Withdrawal ACH PAYPAL TYPE: INST XFER ID: PAYPALSI77 CO: PAYPAL NAME: JEFF </v>
      </c>
    </row>
    <row r="7959" spans="1:15" ht="30" hidden="1">
      <c r="A7959" s="25">
        <f>VALUE(YEAR(Table2[[#This Row],[Date]])&amp;TEXT(MONTH(Table2[[#This Row],[Date]]),"00"))</f>
        <v>202210</v>
      </c>
      <c r="B7959" s="6">
        <v>44842</v>
      </c>
      <c r="C7959" t="s">
        <v>2447</v>
      </c>
      <c r="D7959" s="7" t="s">
        <v>3092</v>
      </c>
      <c r="E7959">
        <f t="shared" si="49"/>
        <v>24.69</v>
      </c>
      <c r="F7959" s="2" t="str">
        <f>IF(Table2[[#This Row],[Manual Cat Value]]="",VLOOKUP(Table2[[#This Row],[Description]],'Actuals Lookup'!D:F,3,0),Table2[[#This Row],[Manual Cat Value]])</f>
        <v>Exp - Amazon</v>
      </c>
      <c r="G7959" t="e">
        <f>VLOOKUP(D7959,Lookup!G:H,2,0)</f>
        <v>#N/A</v>
      </c>
      <c r="H7959" s="78" t="s">
        <v>37</v>
      </c>
      <c r="I7959" s="78"/>
      <c r="J7959">
        <v>24.69</v>
      </c>
      <c r="M7959" t="s">
        <v>2513</v>
      </c>
      <c r="O7959" t="str">
        <f>LEFT(Table2[[#This Row],[Description]],75)</f>
        <v>AMZN MKTP US*1K78E8VI0 AMZN.COM/BILLWA
39XP2K6YQ0V</v>
      </c>
    </row>
    <row r="7960" spans="1:15" hidden="1">
      <c r="A7960" s="25">
        <f>VALUE(YEAR(Table2[[#This Row],[Date]])&amp;TEXT(MONTH(Table2[[#This Row],[Date]]),"00"))</f>
        <v>202210</v>
      </c>
      <c r="B7960" s="6">
        <v>44842</v>
      </c>
      <c r="C7960" t="s">
        <v>2447</v>
      </c>
      <c r="D7960" t="s">
        <v>997</v>
      </c>
      <c r="E7960">
        <f t="shared" si="49"/>
        <v>-944.32</v>
      </c>
      <c r="F7960" s="2" t="str">
        <f>IF(Table2[[#This Row],[Manual Cat Value]]="",VLOOKUP(Table2[[#This Row],[Description]],'Actuals Lookup'!D:F,3,0),Table2[[#This Row],[Manual Cat Value]])</f>
        <v>Delete</v>
      </c>
      <c r="G7960" t="str">
        <f>VLOOKUP(D7960,Lookup!G:H,2,0)</f>
        <v>Delete</v>
      </c>
      <c r="I7960" s="8"/>
      <c r="J7960">
        <v>944.32</v>
      </c>
      <c r="M7960" t="s">
        <v>2621</v>
      </c>
      <c r="O7960" t="str">
        <f>LEFT(Table2[[#This Row],[Description]],75)</f>
        <v>INTERNET PAYMENT - THANK YOU</v>
      </c>
    </row>
    <row r="7961" spans="1:15" ht="30" hidden="1">
      <c r="A7961" s="25">
        <f>VALUE(YEAR(Table2[[#This Row],[Date]])&amp;TEXT(MONTH(Table2[[#This Row],[Date]]),"00"))</f>
        <v>202210</v>
      </c>
      <c r="B7961" s="6">
        <v>44843</v>
      </c>
      <c r="C7961" t="s">
        <v>2447</v>
      </c>
      <c r="D7961" s="7" t="s">
        <v>3093</v>
      </c>
      <c r="E7961">
        <f t="shared" si="49"/>
        <v>13.95</v>
      </c>
      <c r="F7961" s="2" t="str">
        <f>IF(Table2[[#This Row],[Manual Cat Value]]="",VLOOKUP(Table2[[#This Row],[Description]],'Actuals Lookup'!D:F,3,0),Table2[[#This Row],[Manual Cat Value]])</f>
        <v>Exp - Amazon</v>
      </c>
      <c r="G7961" t="e">
        <f>VLOOKUP(D7961,Lookup!G:H,2,0)</f>
        <v>#N/A</v>
      </c>
      <c r="H7961" s="78" t="s">
        <v>37</v>
      </c>
      <c r="I7961" s="78"/>
      <c r="J7961">
        <v>13.95</v>
      </c>
      <c r="M7961" t="s">
        <v>2513</v>
      </c>
      <c r="O7961" t="str">
        <f>LEFT(Table2[[#This Row],[Description]],75)</f>
        <v>AMZN MKTP US*1K0W255Y1 AMZN.COM/BILLWA
65YQ59OTXL7</v>
      </c>
    </row>
    <row r="7962" spans="1:15" hidden="1">
      <c r="A7962" s="25">
        <f>VALUE(YEAR(Table2[[#This Row],[Date]])&amp;TEXT(MONTH(Table2[[#This Row],[Date]]),"00"))</f>
        <v>202210</v>
      </c>
      <c r="B7962" s="6">
        <v>44843</v>
      </c>
      <c r="C7962" t="s">
        <v>2447</v>
      </c>
      <c r="D7962" t="s">
        <v>3094</v>
      </c>
      <c r="E7962">
        <f t="shared" si="49"/>
        <v>20.28</v>
      </c>
      <c r="F7962" s="2" t="str">
        <f>IF(Table2[[#This Row],[Manual Cat Value]]="",VLOOKUP(Table2[[#This Row],[Description]],'Actuals Lookup'!D:F,3,0),Table2[[#This Row],[Manual Cat Value]])</f>
        <v>Exp - Restaurants</v>
      </c>
      <c r="G7962" t="e">
        <f>VLOOKUP(D7962,Lookup!G:H,2,0)</f>
        <v>#N/A</v>
      </c>
      <c r="H7962" s="8" t="s">
        <v>25</v>
      </c>
      <c r="I7962" s="8"/>
      <c r="J7962">
        <v>20.28</v>
      </c>
      <c r="M7962" t="s">
        <v>2513</v>
      </c>
      <c r="O7962" t="str">
        <f>LEFT(Table2[[#This Row],[Description]],75)</f>
        <v>ARAMARK US BNK STD CONC MINNEAPOLIS MN</v>
      </c>
    </row>
    <row r="7963" spans="1:15" hidden="1">
      <c r="A7963" s="25">
        <f>VALUE(YEAR(Table2[[#This Row],[Date]])&amp;TEXT(MONTH(Table2[[#This Row],[Date]]),"00"))</f>
        <v>202210</v>
      </c>
      <c r="B7963" s="6">
        <v>44843</v>
      </c>
      <c r="C7963" t="s">
        <v>2447</v>
      </c>
      <c r="D7963" t="s">
        <v>3094</v>
      </c>
      <c r="E7963">
        <f t="shared" si="49"/>
        <v>34.28</v>
      </c>
      <c r="F7963" s="2" t="str">
        <f>IF(Table2[[#This Row],[Manual Cat Value]]="",VLOOKUP(Table2[[#This Row],[Description]],'Actuals Lookup'!D:F,3,0),Table2[[#This Row],[Manual Cat Value]])</f>
        <v>Exp - Restaurants</v>
      </c>
      <c r="G7963" t="e">
        <f>VLOOKUP(D7963,Lookup!G:H,2,0)</f>
        <v>#N/A</v>
      </c>
      <c r="H7963" s="8" t="s">
        <v>25</v>
      </c>
      <c r="I7963" s="8"/>
      <c r="J7963">
        <v>34.28</v>
      </c>
      <c r="M7963" t="s">
        <v>2513</v>
      </c>
      <c r="O7963" t="str">
        <f>LEFT(Table2[[#This Row],[Description]],75)</f>
        <v>ARAMARK US BNK STD CONC MINNEAPOLIS MN</v>
      </c>
    </row>
    <row r="7964" spans="1:15" hidden="1">
      <c r="A7964" s="25">
        <f>VALUE(YEAR(Table2[[#This Row],[Date]])&amp;TEXT(MONTH(Table2[[#This Row],[Date]]),"00"))</f>
        <v>202210</v>
      </c>
      <c r="B7964" s="93">
        <v>44843</v>
      </c>
      <c r="C7964" s="97" t="s">
        <v>2262</v>
      </c>
      <c r="D7964" s="87" t="s">
        <v>3095</v>
      </c>
      <c r="E7964">
        <f t="shared" si="49"/>
        <v>52.53</v>
      </c>
      <c r="F7964" s="2" t="str">
        <f>IF(Table2[[#This Row],[Manual Cat Value]]="",VLOOKUP(Table2[[#This Row],[Description]],'Actuals Lookup'!D:F,3,0),Table2[[#This Row],[Manual Cat Value]])</f>
        <v>Exp - Groceries</v>
      </c>
      <c r="G7964" t="e">
        <f>VLOOKUP(D7964,Lookup!G:H,2,0)</f>
        <v>#N/A</v>
      </c>
      <c r="H7964" s="8" t="s">
        <v>27</v>
      </c>
      <c r="I7964" s="95"/>
      <c r="J7964" s="98">
        <v>52.53</v>
      </c>
      <c r="K7964" s="87"/>
      <c r="L7964" s="87"/>
      <c r="M7964" s="87" t="s">
        <v>2535</v>
      </c>
      <c r="O7964" t="str">
        <f>LEFT(Table2[[#This Row],[Description]],75)</f>
        <v>LAKESHORE MARKET &amp; MORE  EXCELSIOR    MN REF #2405522M9RDQ88X67</v>
      </c>
    </row>
    <row r="7965" spans="1:15" hidden="1">
      <c r="A7965" s="25">
        <f>VALUE(YEAR(Table2[[#This Row],[Date]])&amp;TEXT(MONTH(Table2[[#This Row],[Date]]),"00"))</f>
        <v>202210</v>
      </c>
      <c r="B7965" s="93">
        <v>44843</v>
      </c>
      <c r="C7965" s="97" t="s">
        <v>2262</v>
      </c>
      <c r="D7965" s="87" t="s">
        <v>3096</v>
      </c>
      <c r="E7965">
        <f t="shared" si="49"/>
        <v>40.96</v>
      </c>
      <c r="F7965" s="2" t="str">
        <f>IF(Table2[[#This Row],[Manual Cat Value]]="",VLOOKUP(Table2[[#This Row],[Description]],'Actuals Lookup'!D:F,3,0),Table2[[#This Row],[Manual Cat Value]])</f>
        <v>Exp - Groceries</v>
      </c>
      <c r="G7965" t="e">
        <f>VLOOKUP(D7965,Lookup!G:H,2,0)</f>
        <v>#N/A</v>
      </c>
      <c r="H7965" s="8" t="s">
        <v>27</v>
      </c>
      <c r="I7965" s="95"/>
      <c r="J7965" s="98">
        <v>40.96</v>
      </c>
      <c r="K7965" s="87"/>
      <c r="L7965" s="87"/>
      <c r="M7965" s="87" t="s">
        <v>2535</v>
      </c>
      <c r="O7965" t="str">
        <f>LEFT(Table2[[#This Row],[Description]],75)</f>
        <v>LAKEWINDS - CHANHASSEN   CHANHASSEN   MN REF #2405523M9RBGRPXF3</v>
      </c>
    </row>
    <row r="7966" spans="1:15" hidden="1">
      <c r="A7966" s="25">
        <f>VALUE(YEAR(Table2[[#This Row],[Date]])&amp;TEXT(MONTH(Table2[[#This Row],[Date]]),"00"))</f>
        <v>202210</v>
      </c>
      <c r="B7966" s="93">
        <v>44843</v>
      </c>
      <c r="C7966" s="97" t="s">
        <v>2262</v>
      </c>
      <c r="D7966" s="87" t="s">
        <v>3097</v>
      </c>
      <c r="E7966">
        <f t="shared" si="49"/>
        <v>47.32</v>
      </c>
      <c r="F7966" s="2" t="str">
        <f>IF(Table2[[#This Row],[Manual Cat Value]]="",VLOOKUP(Table2[[#This Row],[Description]],'Actuals Lookup'!D:F,3,0),Table2[[#This Row],[Manual Cat Value]])</f>
        <v>Exp - Gym</v>
      </c>
      <c r="G7966" t="e">
        <f>VLOOKUP(D7966,Lookup!G:H,2,0)</f>
        <v>#N/A</v>
      </c>
      <c r="H7966" s="8" t="s">
        <v>33</v>
      </c>
      <c r="I7966" s="95"/>
      <c r="J7966" s="98">
        <v>47.32</v>
      </c>
      <c r="K7966" s="87"/>
      <c r="L7966" s="87"/>
      <c r="M7966" s="87" t="s">
        <v>2535</v>
      </c>
      <c r="O7966" t="str">
        <f>LEFT(Table2[[#This Row],[Description]],75)</f>
        <v>PELOTON* MEMBERSHIP      HTTPSWWW.ONEPNY REF #2401134M90011K37Y</v>
      </c>
    </row>
    <row r="7967" spans="1:15" hidden="1">
      <c r="A7967" s="25">
        <f>VALUE(YEAR(Table2[[#This Row],[Date]])&amp;TEXT(MONTH(Table2[[#This Row],[Date]]),"00"))</f>
        <v>202210</v>
      </c>
      <c r="B7967" s="93">
        <v>44843</v>
      </c>
      <c r="C7967" s="97" t="s">
        <v>2262</v>
      </c>
      <c r="D7967" s="87" t="s">
        <v>3098</v>
      </c>
      <c r="E7967">
        <f t="shared" si="49"/>
        <v>67.819999999999993</v>
      </c>
      <c r="F7967" s="2" t="str">
        <f>IF(Table2[[#This Row],[Manual Cat Value]]="",VLOOKUP(Table2[[#This Row],[Description]],'Actuals Lookup'!D:F,3,0),Table2[[#This Row],[Manual Cat Value]])</f>
        <v>Exp - Restaurants</v>
      </c>
      <c r="G7967" t="e">
        <f>VLOOKUP(D7967,Lookup!G:H,2,0)</f>
        <v>#N/A</v>
      </c>
      <c r="H7967" s="8" t="s">
        <v>25</v>
      </c>
      <c r="I7967" s="95"/>
      <c r="J7967" s="98">
        <v>67.819999999999993</v>
      </c>
      <c r="K7967" s="87"/>
      <c r="L7967" s="87"/>
      <c r="M7967" s="87" t="s">
        <v>2535</v>
      </c>
      <c r="O7967" t="str">
        <f>LEFT(Table2[[#This Row],[Description]],75)</f>
        <v>PP*Red Sauce Rebellion   952-2344646  MN REF #2431033M804Z462L3</v>
      </c>
    </row>
    <row r="7968" spans="1:15" hidden="1">
      <c r="A7968" s="25">
        <f>VALUE(YEAR(Table2[[#This Row],[Date]])&amp;TEXT(MONTH(Table2[[#This Row],[Date]]),"00"))</f>
        <v>202210</v>
      </c>
      <c r="B7968" s="93">
        <v>44843</v>
      </c>
      <c r="C7968" s="97" t="s">
        <v>2262</v>
      </c>
      <c r="D7968" s="87" t="s">
        <v>3099</v>
      </c>
      <c r="E7968">
        <f t="shared" si="49"/>
        <v>56.74</v>
      </c>
      <c r="F7968" s="2" t="str">
        <f>IF(Table2[[#This Row],[Manual Cat Value]]="",VLOOKUP(Table2[[#This Row],[Description]],'Actuals Lookup'!D:F,3,0),Table2[[#This Row],[Manual Cat Value]])</f>
        <v>Exp - Restaurants</v>
      </c>
      <c r="G7968" t="e">
        <f>VLOOKUP(D7968,Lookup!G:H,2,0)</f>
        <v>#N/A</v>
      </c>
      <c r="H7968" s="8" t="s">
        <v>25</v>
      </c>
      <c r="I7968" s="95"/>
      <c r="J7968" s="98">
        <v>56.74</v>
      </c>
      <c r="K7968" s="87"/>
      <c r="L7968" s="87"/>
      <c r="M7968" s="87" t="s">
        <v>2535</v>
      </c>
      <c r="O7968" t="str">
        <f>LEFT(Table2[[#This Row],[Description]],75)</f>
        <v>SQ *BRAVIS MODERN STREET gosq.com     MN REF #2469216M92X5AKX9M</v>
      </c>
    </row>
    <row r="7969" spans="1:15" hidden="1">
      <c r="A7969" s="25">
        <f>VALUE(YEAR(Table2[[#This Row],[Date]])&amp;TEXT(MONTH(Table2[[#This Row],[Date]]),"00"))</f>
        <v>202210</v>
      </c>
      <c r="B7969" s="93">
        <v>44844</v>
      </c>
      <c r="C7969" s="97" t="s">
        <v>2262</v>
      </c>
      <c r="D7969" s="87" t="s">
        <v>3100</v>
      </c>
      <c r="E7969">
        <f t="shared" si="49"/>
        <v>26.9</v>
      </c>
      <c r="F7969" s="2" t="str">
        <f>IF(Table2[[#This Row],[Manual Cat Value]]="",VLOOKUP(Table2[[#This Row],[Description]],'Actuals Lookup'!D:F,3,0),Table2[[#This Row],[Manual Cat Value]])</f>
        <v>Exp - Restaurants</v>
      </c>
      <c r="G7969" t="e">
        <f>VLOOKUP(D7969,Lookup!G:H,2,0)</f>
        <v>#N/A</v>
      </c>
      <c r="H7969" s="8" t="s">
        <v>25</v>
      </c>
      <c r="I7969" s="95"/>
      <c r="J7969" s="98">
        <v>26.9</v>
      </c>
      <c r="K7969" s="87"/>
      <c r="L7969" s="87"/>
      <c r="M7969" s="87" t="s">
        <v>2535</v>
      </c>
      <c r="O7969" t="str">
        <f>LEFT(Table2[[#This Row],[Description]],75)</f>
        <v>ARAMARK US BNK STD CONC  MINNEAPOLIS  MN REF #2475542MBMAG6DLRW</v>
      </c>
    </row>
    <row r="7970" spans="1:15" ht="30" hidden="1">
      <c r="A7970" s="25">
        <f>VALUE(YEAR(Table2[[#This Row],[Date]])&amp;TEXT(MONTH(Table2[[#This Row],[Date]]),"00"))</f>
        <v>202210</v>
      </c>
      <c r="B7970" s="6">
        <v>44844</v>
      </c>
      <c r="C7970" t="s">
        <v>2447</v>
      </c>
      <c r="D7970" s="7" t="s">
        <v>3101</v>
      </c>
      <c r="E7970">
        <f t="shared" si="49"/>
        <v>9.4</v>
      </c>
      <c r="F7970" s="2" t="str">
        <f>IF(Table2[[#This Row],[Manual Cat Value]]="",VLOOKUP(Table2[[#This Row],[Description]],'Actuals Lookup'!D:F,3,0),Table2[[#This Row],[Manual Cat Value]])</f>
        <v>Exp - Shopping</v>
      </c>
      <c r="G7970" t="e">
        <f>VLOOKUP(D7970,Lookup!G:H,2,0)</f>
        <v>#N/A</v>
      </c>
      <c r="H7970" s="78" t="s">
        <v>36</v>
      </c>
      <c r="I7970" s="78"/>
      <c r="J7970">
        <v>9.4</v>
      </c>
      <c r="M7970" t="s">
        <v>2513</v>
      </c>
      <c r="O7970" t="str">
        <f>LEFT(Table2[[#This Row],[Description]],75)</f>
        <v>L2G*CARVERCO LIBRARIES CHANHASSEN MN
3837560670</v>
      </c>
    </row>
    <row r="7971" spans="1:15" hidden="1">
      <c r="A7971" s="25">
        <f>VALUE(YEAR(Table2[[#This Row],[Date]])&amp;TEXT(MONTH(Table2[[#This Row],[Date]]),"00"))</f>
        <v>202210</v>
      </c>
      <c r="B7971" s="6">
        <v>44844</v>
      </c>
      <c r="C7971" t="s">
        <v>2447</v>
      </c>
      <c r="D7971" t="s">
        <v>3102</v>
      </c>
      <c r="E7971">
        <f t="shared" si="49"/>
        <v>-179.9</v>
      </c>
      <c r="F7971" s="2" t="str">
        <f>IF(Table2[[#This Row],[Manual Cat Value]]="",VLOOKUP(Table2[[#This Row],[Description]],'Actuals Lookup'!D:F,3,0),Table2[[#This Row],[Manual Cat Value]])</f>
        <v>Exp - Shopping</v>
      </c>
      <c r="G7971" t="e">
        <f>VLOOKUP(D7971,Lookup!G:H,2,0)</f>
        <v>#N/A</v>
      </c>
      <c r="H7971" s="8" t="s">
        <v>36</v>
      </c>
      <c r="I7971" s="8"/>
      <c r="J7971">
        <v>179.9</v>
      </c>
      <c r="M7971" t="s">
        <v>2621</v>
      </c>
      <c r="O7971" t="str">
        <f>LEFT(Table2[[#This Row],[Description]],75)</f>
        <v>PAYPAL *PONCHO 4029357733 CA</v>
      </c>
    </row>
    <row r="7972" spans="1:15" ht="30" hidden="1">
      <c r="A7972" s="25">
        <f>VALUE(YEAR(Table2[[#This Row],[Date]])&amp;TEXT(MONTH(Table2[[#This Row],[Date]]),"00"))</f>
        <v>202210</v>
      </c>
      <c r="B7972" s="6">
        <v>44845</v>
      </c>
      <c r="C7972" t="s">
        <v>2447</v>
      </c>
      <c r="D7972" s="7" t="s">
        <v>3103</v>
      </c>
      <c r="E7972">
        <f t="shared" ref="E7972:E8003" si="50">IF(M7972="credit",-1*J7972,J7972)</f>
        <v>-600.22</v>
      </c>
      <c r="F7972" s="2" t="str">
        <f>IF(Table2[[#This Row],[Manual Cat Value]]="",VLOOKUP(Table2[[#This Row],[Description]],'Actuals Lookup'!D:F,3,0),Table2[[#This Row],[Manual Cat Value]])</f>
        <v>Exp - Amazon</v>
      </c>
      <c r="G7972" t="e">
        <f>VLOOKUP(D7972,Lookup!G:H,2,0)</f>
        <v>#N/A</v>
      </c>
      <c r="H7972" s="78" t="s">
        <v>37</v>
      </c>
      <c r="I7972" s="78"/>
      <c r="J7972">
        <v>600.22</v>
      </c>
      <c r="M7972" t="s">
        <v>2621</v>
      </c>
      <c r="O7972" t="str">
        <f>LEFT(Table2[[#This Row],[Description]],75)</f>
        <v>AMAZON.COM AMZN.COM/BILLWA
9B2QHIFDM2X</v>
      </c>
    </row>
    <row r="7973" spans="1:15" ht="30" hidden="1">
      <c r="A7973" s="25">
        <f>VALUE(YEAR(Table2[[#This Row],[Date]])&amp;TEXT(MONTH(Table2[[#This Row],[Date]]),"00"))</f>
        <v>202210</v>
      </c>
      <c r="B7973" s="6">
        <v>44845</v>
      </c>
      <c r="C7973" t="s">
        <v>2447</v>
      </c>
      <c r="D7973" s="7" t="s">
        <v>3104</v>
      </c>
      <c r="E7973">
        <f t="shared" si="50"/>
        <v>-25.76</v>
      </c>
      <c r="F7973" s="2" t="str">
        <f>IF(Table2[[#This Row],[Manual Cat Value]]="",VLOOKUP(Table2[[#This Row],[Description]],'Actuals Lookup'!D:F,3,0),Table2[[#This Row],[Manual Cat Value]])</f>
        <v>Exp - Amazon</v>
      </c>
      <c r="G7973" t="e">
        <f>VLOOKUP(D7973,Lookup!G:H,2,0)</f>
        <v>#N/A</v>
      </c>
      <c r="H7973" s="78" t="s">
        <v>37</v>
      </c>
      <c r="I7973" s="78"/>
      <c r="J7973">
        <v>25.76</v>
      </c>
      <c r="M7973" t="s">
        <v>2621</v>
      </c>
      <c r="O7973" t="str">
        <f>LEFT(Table2[[#This Row],[Description]],75)</f>
        <v>AMZN MKTP US AMZN.COM/BILLWA
5YD7SCXPEYZ</v>
      </c>
    </row>
    <row r="7974" spans="1:15" ht="30" hidden="1">
      <c r="A7974" s="25">
        <f>VALUE(YEAR(Table2[[#This Row],[Date]])&amp;TEXT(MONTH(Table2[[#This Row],[Date]]),"00"))</f>
        <v>202210</v>
      </c>
      <c r="B7974" s="6">
        <v>44845</v>
      </c>
      <c r="C7974" t="s">
        <v>2447</v>
      </c>
      <c r="D7974" s="7" t="s">
        <v>3105</v>
      </c>
      <c r="E7974">
        <f t="shared" si="50"/>
        <v>-23.39</v>
      </c>
      <c r="F7974" s="2" t="str">
        <f>IF(Table2[[#This Row],[Manual Cat Value]]="",VLOOKUP(Table2[[#This Row],[Description]],'Actuals Lookup'!D:F,3,0),Table2[[#This Row],[Manual Cat Value]])</f>
        <v>Exp - Amazon</v>
      </c>
      <c r="G7974" t="e">
        <f>VLOOKUP(D7974,Lookup!G:H,2,0)</f>
        <v>#N/A</v>
      </c>
      <c r="H7974" s="78" t="s">
        <v>37</v>
      </c>
      <c r="I7974" s="78"/>
      <c r="J7974">
        <v>23.39</v>
      </c>
      <c r="M7974" t="s">
        <v>2621</v>
      </c>
      <c r="O7974" t="str">
        <f>LEFT(Table2[[#This Row],[Description]],75)</f>
        <v>AMZN MKTP US AMZN.COM/BILLWA
62V8WH1IYQS</v>
      </c>
    </row>
    <row r="7975" spans="1:15" ht="30" hidden="1">
      <c r="A7975" s="25">
        <f>VALUE(YEAR(Table2[[#This Row],[Date]])&amp;TEXT(MONTH(Table2[[#This Row],[Date]]),"00"))</f>
        <v>202210</v>
      </c>
      <c r="B7975" s="6">
        <v>44845</v>
      </c>
      <c r="C7975" t="s">
        <v>2447</v>
      </c>
      <c r="D7975" s="7" t="s">
        <v>3106</v>
      </c>
      <c r="E7975">
        <f t="shared" si="50"/>
        <v>-9.65</v>
      </c>
      <c r="F7975" s="2" t="str">
        <f>IF(Table2[[#This Row],[Manual Cat Value]]="",VLOOKUP(Table2[[#This Row],[Description]],'Actuals Lookup'!D:F,3,0),Table2[[#This Row],[Manual Cat Value]])</f>
        <v>Exp - Amazon</v>
      </c>
      <c r="G7975" t="e">
        <f>VLOOKUP(D7975,Lookup!G:H,2,0)</f>
        <v>#N/A</v>
      </c>
      <c r="H7975" s="78" t="s">
        <v>37</v>
      </c>
      <c r="I7975" s="78"/>
      <c r="J7975">
        <v>9.65</v>
      </c>
      <c r="M7975" t="s">
        <v>2621</v>
      </c>
      <c r="O7975" t="str">
        <f>LEFT(Table2[[#This Row],[Description]],75)</f>
        <v>AMZN MKTP US AMZN.COM/BILLWA
Y1RDJVROBG8</v>
      </c>
    </row>
    <row r="7976" spans="1:15" ht="30" hidden="1">
      <c r="A7976" s="25">
        <f>VALUE(YEAR(Table2[[#This Row],[Date]])&amp;TEXT(MONTH(Table2[[#This Row],[Date]]),"00"))</f>
        <v>202210</v>
      </c>
      <c r="B7976" s="6">
        <v>44845</v>
      </c>
      <c r="C7976" t="s">
        <v>2447</v>
      </c>
      <c r="D7976" s="7" t="s">
        <v>3107</v>
      </c>
      <c r="E7976">
        <f t="shared" si="50"/>
        <v>28.98</v>
      </c>
      <c r="F7976" s="2" t="str">
        <f>IF(Table2[[#This Row],[Manual Cat Value]]="",VLOOKUP(Table2[[#This Row],[Description]],'Actuals Lookup'!D:F,3,0),Table2[[#This Row],[Manual Cat Value]])</f>
        <v>Exp - Amazon</v>
      </c>
      <c r="G7976" t="e">
        <f>VLOOKUP(D7976,Lookup!G:H,2,0)</f>
        <v>#N/A</v>
      </c>
      <c r="H7976" s="78" t="s">
        <v>37</v>
      </c>
      <c r="I7976" s="78"/>
      <c r="J7976">
        <v>28.98</v>
      </c>
      <c r="M7976" t="s">
        <v>2513</v>
      </c>
      <c r="O7976" t="str">
        <f>LEFT(Table2[[#This Row],[Description]],75)</f>
        <v>AMZN MKTP US*1K7TM5102 AMZN.COM/BILLWA
P190ATLR9FN</v>
      </c>
    </row>
    <row r="7977" spans="1:15" hidden="1">
      <c r="A7977" s="25">
        <f>VALUE(YEAR(Table2[[#This Row],[Date]])&amp;TEXT(MONTH(Table2[[#This Row],[Date]]),"00"))</f>
        <v>202210</v>
      </c>
      <c r="B7977" s="93">
        <v>44845</v>
      </c>
      <c r="C7977" s="97" t="s">
        <v>2262</v>
      </c>
      <c r="D7977" s="87" t="s">
        <v>3108</v>
      </c>
      <c r="E7977">
        <f t="shared" si="50"/>
        <v>-89.95</v>
      </c>
      <c r="F7977" s="2" t="str">
        <f>IF(Table2[[#This Row],[Manual Cat Value]]="",VLOOKUP(Table2[[#This Row],[Description]],'Actuals Lookup'!D:F,3,0),Table2[[#This Row],[Manual Cat Value]])</f>
        <v>Exp - Shopping</v>
      </c>
      <c r="G7977" t="e">
        <f>VLOOKUP(D7977,Lookup!G:H,2,0)</f>
        <v>#N/A</v>
      </c>
      <c r="H7977" s="8" t="s">
        <v>36</v>
      </c>
      <c r="I7977" s="95"/>
      <c r="J7977" s="98">
        <v>89.95</v>
      </c>
      <c r="K7977" s="87"/>
      <c r="L7977" s="87"/>
      <c r="M7977" s="87" t="s">
        <v>3074</v>
      </c>
      <c r="O7977" t="str">
        <f>LEFT(Table2[[#This Row],[Description]],75)</f>
        <v>SP PONCHO HTTPSPONCHOOU NY        CREDIT REF #2449216MQ000Q21BQ</v>
      </c>
    </row>
    <row r="7978" spans="1:15" hidden="1">
      <c r="A7978" s="25">
        <f>VALUE(YEAR(Table2[[#This Row],[Date]])&amp;TEXT(MONTH(Table2[[#This Row],[Date]]),"00"))</f>
        <v>202210</v>
      </c>
      <c r="B7978" s="93">
        <v>44845</v>
      </c>
      <c r="C7978" s="97" t="s">
        <v>2262</v>
      </c>
      <c r="D7978" s="87" t="s">
        <v>3109</v>
      </c>
      <c r="E7978">
        <f t="shared" si="50"/>
        <v>46.86</v>
      </c>
      <c r="F7978" s="2" t="str">
        <f>IF(Table2[[#This Row],[Manual Cat Value]]="",VLOOKUP(Table2[[#This Row],[Description]],'Actuals Lookup'!D:F,3,0),Table2[[#This Row],[Manual Cat Value]])</f>
        <v>Exp - Restaurants</v>
      </c>
      <c r="G7978" t="e">
        <f>VLOOKUP(D7978,Lookup!G:H,2,0)</f>
        <v>#N/A</v>
      </c>
      <c r="H7978" s="8" t="s">
        <v>25</v>
      </c>
      <c r="I7978" s="95"/>
      <c r="J7978" s="98">
        <v>46.86</v>
      </c>
      <c r="K7978" s="87"/>
      <c r="L7978" s="87"/>
      <c r="M7978" s="87" t="s">
        <v>2535</v>
      </c>
      <c r="O7978" t="str">
        <f>LEFT(Table2[[#This Row],[Description]],75)</f>
        <v>TST* Dukes on 7          612-205-3286 MN REF #2469216MB2Y8NM1HM</v>
      </c>
    </row>
    <row r="7979" spans="1:15" hidden="1">
      <c r="A7979" s="25">
        <f>VALUE(YEAR(Table2[[#This Row],[Date]])&amp;TEXT(MONTH(Table2[[#This Row],[Date]]),"00"))</f>
        <v>202210</v>
      </c>
      <c r="B7979" s="93">
        <v>44845</v>
      </c>
      <c r="C7979" s="97" t="s">
        <v>2265</v>
      </c>
      <c r="D7979" s="87" t="s">
        <v>3110</v>
      </c>
      <c r="E7979">
        <f t="shared" si="50"/>
        <v>14.14</v>
      </c>
      <c r="F7979" s="2" t="str">
        <f>IF(Table2[[#This Row],[Manual Cat Value]]="",VLOOKUP(Table2[[#This Row],[Description]],'Actuals Lookup'!D:F,3,0),Table2[[#This Row],[Manual Cat Value]])</f>
        <v>Exp - Shopping</v>
      </c>
      <c r="G7979" t="e">
        <f>VLOOKUP(D7979,Lookup!G:H,2,0)</f>
        <v>#N/A</v>
      </c>
      <c r="H7979" s="8" t="s">
        <v>36</v>
      </c>
      <c r="I7979" s="95"/>
      <c r="J7979" s="98">
        <v>14.14</v>
      </c>
      <c r="K7979" s="87"/>
      <c r="L7979" s="87"/>
      <c r="M7979" s="87"/>
      <c r="N7979" s="87" t="s">
        <v>2535</v>
      </c>
      <c r="O7979" t="str">
        <f>LEFT(Table2[[#This Row],[Description]],75)</f>
        <v xml:space="preserve">Withdrawal ACH PAYPAL TYPE: INST XFER ID: PAYPALSI77 CO: PAYPAL NAME: JEFF </v>
      </c>
    </row>
    <row r="7980" spans="1:15" hidden="1">
      <c r="A7980" s="25">
        <f>VALUE(YEAR(Table2[[#This Row],[Date]])&amp;TEXT(MONTH(Table2[[#This Row],[Date]]),"00"))</f>
        <v>202210</v>
      </c>
      <c r="B7980" s="93">
        <v>44845</v>
      </c>
      <c r="C7980" s="97" t="s">
        <v>2265</v>
      </c>
      <c r="D7980" s="87" t="s">
        <v>3111</v>
      </c>
      <c r="E7980">
        <f t="shared" si="50"/>
        <v>944.32</v>
      </c>
      <c r="F7980" s="2" t="str">
        <f>IF(Table2[[#This Row],[Manual Cat Value]]="",VLOOKUP(Table2[[#This Row],[Description]],'Actuals Lookup'!D:F,3,0),Table2[[#This Row],[Manual Cat Value]])</f>
        <v>Delete</v>
      </c>
      <c r="G7980" t="e">
        <f>VLOOKUP(D7980,Lookup!G:H,2,0)</f>
        <v>#N/A</v>
      </c>
      <c r="H7980" s="8" t="s">
        <v>9</v>
      </c>
      <c r="I7980" s="95"/>
      <c r="J7980" s="98">
        <v>944.32</v>
      </c>
      <c r="K7980" s="87"/>
      <c r="L7980" s="87"/>
      <c r="M7980" s="87"/>
      <c r="N7980" s="87" t="s">
        <v>2535</v>
      </c>
      <c r="O7980" t="str">
        <f>LEFT(Table2[[#This Row],[Description]],75)</f>
        <v>Withdrawal ACH DISCOVER TYPE: E-PAYMENT ID: 2510020270 CO: DISCOVER NAME: T</v>
      </c>
    </row>
    <row r="7981" spans="1:15" ht="30" hidden="1">
      <c r="A7981" s="25">
        <f>VALUE(YEAR(Table2[[#This Row],[Date]])&amp;TEXT(MONTH(Table2[[#This Row],[Date]]),"00"))</f>
        <v>202210</v>
      </c>
      <c r="B7981" s="6">
        <v>44846</v>
      </c>
      <c r="C7981" t="s">
        <v>2447</v>
      </c>
      <c r="D7981" s="7" t="s">
        <v>3112</v>
      </c>
      <c r="E7981">
        <f t="shared" si="50"/>
        <v>9.65</v>
      </c>
      <c r="F7981" s="2" t="str">
        <f>IF(Table2[[#This Row],[Manual Cat Value]]="",VLOOKUP(Table2[[#This Row],[Description]],'Actuals Lookup'!D:F,3,0),Table2[[#This Row],[Manual Cat Value]])</f>
        <v>Exp - Amazon</v>
      </c>
      <c r="G7981" t="e">
        <f>VLOOKUP(D7981,Lookup!G:H,2,0)</f>
        <v>#N/A</v>
      </c>
      <c r="H7981" s="78" t="s">
        <v>37</v>
      </c>
      <c r="I7981" s="78"/>
      <c r="J7981">
        <v>9.65</v>
      </c>
      <c r="M7981" t="s">
        <v>2513</v>
      </c>
      <c r="O7981" t="str">
        <f>LEFT(Table2[[#This Row],[Description]],75)</f>
        <v>AMZN MKTP US*1K4L14YU1 AMZN.COM/BILLWA
79EUV7ZE2I1</v>
      </c>
    </row>
    <row r="7982" spans="1:15" ht="30" hidden="1">
      <c r="A7982" s="25">
        <f>VALUE(YEAR(Table2[[#This Row],[Date]])&amp;TEXT(MONTH(Table2[[#This Row],[Date]]),"00"))</f>
        <v>202210</v>
      </c>
      <c r="B7982" s="6">
        <v>44846</v>
      </c>
      <c r="C7982" t="s">
        <v>2447</v>
      </c>
      <c r="D7982" s="7" t="s">
        <v>3113</v>
      </c>
      <c r="E7982">
        <f t="shared" si="50"/>
        <v>133.86000000000001</v>
      </c>
      <c r="F7982" s="2" t="str">
        <f>IF(Table2[[#This Row],[Manual Cat Value]]="",VLOOKUP(Table2[[#This Row],[Description]],'Actuals Lookup'!D:F,3,0),Table2[[#This Row],[Manual Cat Value]])</f>
        <v>Exp - Amazon</v>
      </c>
      <c r="G7982" t="e">
        <f>VLOOKUP(D7982,Lookup!G:H,2,0)</f>
        <v>#N/A</v>
      </c>
      <c r="H7982" s="78" t="s">
        <v>37</v>
      </c>
      <c r="I7982" s="78"/>
      <c r="J7982">
        <v>133.86000000000001</v>
      </c>
      <c r="M7982" t="s">
        <v>2513</v>
      </c>
      <c r="O7982" t="str">
        <f>LEFT(Table2[[#This Row],[Description]],75)</f>
        <v>AMZN MKTP US*HT8OU0F41 AMZN.COM/BILLWA
3Y6OTJVE5NQ</v>
      </c>
    </row>
    <row r="7983" spans="1:15" ht="30" hidden="1">
      <c r="A7983" s="25">
        <f>VALUE(YEAR(Table2[[#This Row],[Date]])&amp;TEXT(MONTH(Table2[[#This Row],[Date]]),"00"))</f>
        <v>202210</v>
      </c>
      <c r="B7983" s="6">
        <v>44846</v>
      </c>
      <c r="C7983" t="s">
        <v>2447</v>
      </c>
      <c r="D7983" s="7" t="s">
        <v>3114</v>
      </c>
      <c r="E7983">
        <f t="shared" si="50"/>
        <v>19.28</v>
      </c>
      <c r="F7983" s="2" t="str">
        <f>IF(Table2[[#This Row],[Manual Cat Value]]="",VLOOKUP(Table2[[#This Row],[Description]],'Actuals Lookup'!D:F,3,0),Table2[[#This Row],[Manual Cat Value]])</f>
        <v>Exp - Amazon</v>
      </c>
      <c r="G7983" t="e">
        <f>VLOOKUP(D7983,Lookup!G:H,2,0)</f>
        <v>#N/A</v>
      </c>
      <c r="H7983" s="78" t="s">
        <v>37</v>
      </c>
      <c r="I7983" s="78"/>
      <c r="J7983">
        <v>19.28</v>
      </c>
      <c r="M7983" t="s">
        <v>2513</v>
      </c>
      <c r="O7983" t="str">
        <f>LEFT(Table2[[#This Row],[Description]],75)</f>
        <v>AMZN MKTP US*HT9E07FI1 AMZN.COM/BILLWA
17N95WRPDW2</v>
      </c>
    </row>
    <row r="7984" spans="1:15" ht="30" hidden="1">
      <c r="A7984" s="25">
        <f>VALUE(YEAR(Table2[[#This Row],[Date]])&amp;TEXT(MONTH(Table2[[#This Row],[Date]]),"00"))</f>
        <v>202210</v>
      </c>
      <c r="B7984" s="6">
        <v>44846</v>
      </c>
      <c r="C7984" t="s">
        <v>2447</v>
      </c>
      <c r="D7984" s="7" t="s">
        <v>3115</v>
      </c>
      <c r="E7984">
        <f t="shared" si="50"/>
        <v>21.46</v>
      </c>
      <c r="F7984" s="2" t="str">
        <f>IF(Table2[[#This Row],[Manual Cat Value]]="",VLOOKUP(Table2[[#This Row],[Description]],'Actuals Lookup'!D:F,3,0),Table2[[#This Row],[Manual Cat Value]])</f>
        <v>Exp - Amazon</v>
      </c>
      <c r="G7984" t="e">
        <f>VLOOKUP(D7984,Lookup!G:H,2,0)</f>
        <v>#N/A</v>
      </c>
      <c r="H7984" s="78" t="s">
        <v>37</v>
      </c>
      <c r="I7984" s="78"/>
      <c r="J7984">
        <v>21.46</v>
      </c>
      <c r="M7984" t="s">
        <v>2513</v>
      </c>
      <c r="O7984" t="str">
        <f>LEFT(Table2[[#This Row],[Description]],75)</f>
        <v>AMZN MKTP US*HT9PI73M0 AMZN.COM/BILLWA
4XSEW7GYT0E</v>
      </c>
    </row>
    <row r="7985" spans="1:15" hidden="1">
      <c r="A7985" s="25">
        <f>VALUE(YEAR(Table2[[#This Row],[Date]])&amp;TEXT(MONTH(Table2[[#This Row],[Date]]),"00"))</f>
        <v>202210</v>
      </c>
      <c r="B7985" s="93">
        <v>44846</v>
      </c>
      <c r="C7985" s="97" t="s">
        <v>2265</v>
      </c>
      <c r="D7985" s="87" t="s">
        <v>3116</v>
      </c>
      <c r="E7985">
        <f t="shared" si="50"/>
        <v>143.13</v>
      </c>
      <c r="F7985" s="2" t="str">
        <f>IF(Table2[[#This Row],[Manual Cat Value]]="",VLOOKUP(Table2[[#This Row],[Description]],'Actuals Lookup'!D:F,3,0),Table2[[#This Row],[Manual Cat Value]])</f>
        <v>Delete</v>
      </c>
      <c r="G7985" t="e">
        <f>VLOOKUP(D7985,Lookup!G:H,2,0)</f>
        <v>#N/A</v>
      </c>
      <c r="H7985" s="8" t="s">
        <v>9</v>
      </c>
      <c r="I7985" s="95"/>
      <c r="J7985" s="98">
        <v>143.13</v>
      </c>
      <c r="K7985" s="87"/>
      <c r="L7985" s="87"/>
      <c r="M7985" s="87"/>
      <c r="N7985" s="87" t="s">
        <v>3074</v>
      </c>
      <c r="O7985" t="str">
        <f>LEFT(Table2[[#This Row],[Description]],75)</f>
        <v>Deposit ACH eBay TYPE: PAYOUT ID: 426XXXXXXX CO: eBay Entry Class Code: CCD</v>
      </c>
    </row>
    <row r="7986" spans="1:15" hidden="1">
      <c r="A7986" s="25">
        <f>VALUE(YEAR(Table2[[#This Row],[Date]])&amp;TEXT(MONTH(Table2[[#This Row],[Date]]),"00"))</f>
        <v>202210</v>
      </c>
      <c r="B7986" s="93">
        <v>44846</v>
      </c>
      <c r="C7986" s="97" t="s">
        <v>2262</v>
      </c>
      <c r="D7986" s="87" t="s">
        <v>3117</v>
      </c>
      <c r="E7986">
        <f t="shared" si="50"/>
        <v>15</v>
      </c>
      <c r="F7986" s="2" t="str">
        <f>IF(Table2[[#This Row],[Manual Cat Value]]="",VLOOKUP(Table2[[#This Row],[Description]],'Actuals Lookup'!D:F,3,0),Table2[[#This Row],[Manual Cat Value]])</f>
        <v>Exp - Restaurants</v>
      </c>
      <c r="G7986" t="e">
        <f>VLOOKUP(D7986,Lookup!G:H,2,0)</f>
        <v>#N/A</v>
      </c>
      <c r="H7986" s="8" t="s">
        <v>25</v>
      </c>
      <c r="I7986" s="95"/>
      <c r="J7986" s="98">
        <v>15</v>
      </c>
      <c r="K7986" s="87"/>
      <c r="L7986" s="87"/>
      <c r="M7986" s="87" t="s">
        <v>2535</v>
      </c>
      <c r="O7986" t="str">
        <f>LEFT(Table2[[#This Row],[Description]],75)</f>
        <v>STARBUCKS 800-782-7282   800-782-7282 WA REF #2444500MQ2X8DK4GR</v>
      </c>
    </row>
    <row r="7987" spans="1:15" hidden="1">
      <c r="A7987" s="25">
        <f>VALUE(YEAR(Table2[[#This Row],[Date]])&amp;TEXT(MONTH(Table2[[#This Row],[Date]]),"00"))</f>
        <v>202210</v>
      </c>
      <c r="B7987" s="93">
        <v>44846</v>
      </c>
      <c r="C7987" s="97" t="s">
        <v>2262</v>
      </c>
      <c r="D7987" s="87" t="s">
        <v>3118</v>
      </c>
      <c r="E7987">
        <f t="shared" si="50"/>
        <v>38.43</v>
      </c>
      <c r="F7987" s="2" t="str">
        <f>IF(Table2[[#This Row],[Manual Cat Value]]="",VLOOKUP(Table2[[#This Row],[Description]],'Actuals Lookup'!D:F,3,0),Table2[[#This Row],[Manual Cat Value]])</f>
        <v>Exp - House Maint</v>
      </c>
      <c r="G7987" t="e">
        <f>VLOOKUP(D7987,Lookup!G:H,2,0)</f>
        <v>#N/A</v>
      </c>
      <c r="H7987" s="8" t="s">
        <v>1</v>
      </c>
      <c r="I7987" s="95"/>
      <c r="J7987" s="98">
        <v>38.43</v>
      </c>
      <c r="K7987" s="87"/>
      <c r="L7987" s="87"/>
      <c r="M7987" s="87" t="s">
        <v>2535</v>
      </c>
      <c r="O7987" t="str">
        <f>LEFT(Table2[[#This Row],[Description]],75)</f>
        <v>THE HOME DEPOT #2825     CHASKA       MN REF #2494301MQ09FPZY7Y</v>
      </c>
    </row>
    <row r="7988" spans="1:15" hidden="1">
      <c r="A7988" s="25">
        <f>VALUE(YEAR(Table2[[#This Row],[Date]])&amp;TEXT(MONTH(Table2[[#This Row],[Date]]),"00"))</f>
        <v>202210</v>
      </c>
      <c r="B7988" s="93">
        <v>44846</v>
      </c>
      <c r="C7988" s="97" t="s">
        <v>2265</v>
      </c>
      <c r="D7988" s="87" t="s">
        <v>3119</v>
      </c>
      <c r="E7988">
        <f t="shared" si="50"/>
        <v>315</v>
      </c>
      <c r="F7988" s="2" t="str">
        <f>IF(Table2[[#This Row],[Manual Cat Value]]="",VLOOKUP(Table2[[#This Row],[Description]],'Actuals Lookup'!D:F,3,0),Table2[[#This Row],[Manual Cat Value]])</f>
        <v>Exp - Day Care</v>
      </c>
      <c r="G7988" t="e">
        <f>VLOOKUP(D7988,Lookup!G:H,2,0)</f>
        <v>#N/A</v>
      </c>
      <c r="H7988" s="8" t="s">
        <v>19</v>
      </c>
      <c r="I7988" s="95"/>
      <c r="J7988" s="98">
        <v>315</v>
      </c>
      <c r="K7988" s="87"/>
      <c r="L7988" s="87"/>
      <c r="M7988" s="87"/>
      <c r="N7988" s="87" t="s">
        <v>2535</v>
      </c>
      <c r="O7988" t="str">
        <f>LEFT(Table2[[#This Row],[Description]],75)</f>
        <v xml:space="preserve">Withdrawal ACH MHCHILDCARELLC TYPE: DUES ID: 1824708198 CO: MHCHILDCARELLC </v>
      </c>
    </row>
    <row r="7989" spans="1:15" hidden="1">
      <c r="A7989" s="25">
        <f>VALUE(YEAR(Table2[[#This Row],[Date]])&amp;TEXT(MONTH(Table2[[#This Row],[Date]]),"00"))</f>
        <v>202210</v>
      </c>
      <c r="B7989" s="93">
        <v>44846</v>
      </c>
      <c r="C7989" s="97" t="s">
        <v>2265</v>
      </c>
      <c r="D7989" s="87" t="s">
        <v>3120</v>
      </c>
      <c r="E7989">
        <f t="shared" si="50"/>
        <v>14.14</v>
      </c>
      <c r="F7989" s="2" t="str">
        <f>IF(Table2[[#This Row],[Manual Cat Value]]="",VLOOKUP(Table2[[#This Row],[Description]],'Actuals Lookup'!D:F,3,0),Table2[[#This Row],[Manual Cat Value]])</f>
        <v>Exp - Shopping</v>
      </c>
      <c r="G7989" t="e">
        <f>VLOOKUP(D7989,Lookup!G:H,2,0)</f>
        <v>#N/A</v>
      </c>
      <c r="H7989" s="8" t="s">
        <v>36</v>
      </c>
      <c r="I7989" s="95"/>
      <c r="J7989" s="98">
        <v>14.14</v>
      </c>
      <c r="K7989" s="87"/>
      <c r="L7989" s="87"/>
      <c r="M7989" s="87"/>
      <c r="N7989" s="87" t="s">
        <v>2535</v>
      </c>
      <c r="O7989" t="str">
        <f>LEFT(Table2[[#This Row],[Description]],75)</f>
        <v xml:space="preserve">Withdrawal ACH PAYPAL TYPE: INST XFER ID: PAYPALSI77 CO: PAYPAL NAME: JEFF </v>
      </c>
    </row>
    <row r="7990" spans="1:15" hidden="1">
      <c r="A7990" s="25">
        <f>VALUE(YEAR(Table2[[#This Row],[Date]])&amp;TEXT(MONTH(Table2[[#This Row],[Date]]),"00"))</f>
        <v>202210</v>
      </c>
      <c r="B7990" s="93">
        <v>44847</v>
      </c>
      <c r="C7990" s="97" t="s">
        <v>2262</v>
      </c>
      <c r="D7990" s="87" t="s">
        <v>3121</v>
      </c>
      <c r="E7990">
        <f t="shared" si="50"/>
        <v>45</v>
      </c>
      <c r="F7990" s="2" t="str">
        <f>IF(Table2[[#This Row],[Manual Cat Value]]="",VLOOKUP(Table2[[#This Row],[Description]],'Actuals Lookup'!D:F,3,0),Table2[[#This Row],[Manual Cat Value]])</f>
        <v>Exp - Utilities</v>
      </c>
      <c r="G7990" t="e">
        <f>VLOOKUP(D7990,Lookup!G:H,2,0)</f>
        <v>#N/A</v>
      </c>
      <c r="H7990" s="8" t="s">
        <v>6</v>
      </c>
      <c r="I7990" s="95"/>
      <c r="J7990" s="98">
        <v>45</v>
      </c>
      <c r="K7990" s="87"/>
      <c r="L7990" s="87"/>
      <c r="M7990" s="87" t="s">
        <v>2535</v>
      </c>
      <c r="O7990" t="str">
        <f>LEFT(Table2[[#This Row],[Description]],75)</f>
        <v>CENTURYLINK SIMPLE       800-201-4099 LA REF #2444500MD2XD8JVV3</v>
      </c>
    </row>
    <row r="7991" spans="1:15" hidden="1">
      <c r="A7991" s="25">
        <f>VALUE(YEAR(Table2[[#This Row],[Date]])&amp;TEXT(MONTH(Table2[[#This Row],[Date]]),"00"))</f>
        <v>202210</v>
      </c>
      <c r="B7991" s="93">
        <v>44847</v>
      </c>
      <c r="C7991" s="97" t="s">
        <v>2265</v>
      </c>
      <c r="D7991" s="87" t="s">
        <v>3122</v>
      </c>
      <c r="E7991">
        <f t="shared" si="50"/>
        <v>3654.36</v>
      </c>
      <c r="F7991" s="2" t="str">
        <f>IF(Table2[[#This Row],[Manual Cat Value]]="",VLOOKUP(Table2[[#This Row],[Description]],'Actuals Lookup'!D:F,3,0),Table2[[#This Row],[Manual Cat Value]])</f>
        <v>Inc - Britney</v>
      </c>
      <c r="G7991" t="e">
        <f>VLOOKUP(D7991,Lookup!G:H,2,0)</f>
        <v>#N/A</v>
      </c>
      <c r="H7991" s="8" t="s">
        <v>65</v>
      </c>
      <c r="I7991" s="95"/>
      <c r="J7991" s="98">
        <v>3654.36</v>
      </c>
      <c r="K7991" s="87"/>
      <c r="L7991" s="87"/>
      <c r="M7991" s="87"/>
      <c r="N7991" s="87" t="s">
        <v>3074</v>
      </c>
      <c r="O7991" t="str">
        <f>LEFT(Table2[[#This Row],[Description]],75)</f>
        <v>Deposit ACH CARGILL INCORPOR TYPE: DIRECT DEP ID: 9111111101 CO: CARGILL IN</v>
      </c>
    </row>
    <row r="7992" spans="1:15" hidden="1">
      <c r="A7992" s="25">
        <f>VALUE(YEAR(Table2[[#This Row],[Date]])&amp;TEXT(MONTH(Table2[[#This Row],[Date]]),"00"))</f>
        <v>202210</v>
      </c>
      <c r="B7992" s="93">
        <v>44847</v>
      </c>
      <c r="C7992" s="97" t="s">
        <v>2265</v>
      </c>
      <c r="D7992" s="87" t="s">
        <v>3123</v>
      </c>
      <c r="E7992">
        <f t="shared" si="50"/>
        <v>86.8</v>
      </c>
      <c r="F7992" s="2" t="str">
        <f>IF(Table2[[#This Row],[Manual Cat Value]]="",VLOOKUP(Table2[[#This Row],[Description]],'Actuals Lookup'!D:F,3,0),Table2[[#This Row],[Manual Cat Value]])</f>
        <v>Delete</v>
      </c>
      <c r="G7992" t="e">
        <f>VLOOKUP(D7992,Lookup!G:H,2,0)</f>
        <v>#N/A</v>
      </c>
      <c r="H7992" s="8" t="s">
        <v>9</v>
      </c>
      <c r="I7992" s="95"/>
      <c r="J7992" s="98">
        <v>86.8</v>
      </c>
      <c r="K7992" s="87"/>
      <c r="L7992" s="87"/>
      <c r="M7992" s="87"/>
      <c r="N7992" s="87" t="s">
        <v>3074</v>
      </c>
      <c r="O7992" t="str">
        <f>LEFT(Table2[[#This Row],[Description]],75)</f>
        <v>Deposit ACH eBay TYPE: PAYOUT ID: 426XXXXXXX CO: eBay Entry Class Code: CCD</v>
      </c>
    </row>
    <row r="7993" spans="1:15" hidden="1">
      <c r="A7993" s="25">
        <f>VALUE(YEAR(Table2[[#This Row],[Date]])&amp;TEXT(MONTH(Table2[[#This Row],[Date]]),"00"))</f>
        <v>202210</v>
      </c>
      <c r="B7993" s="93">
        <v>44847</v>
      </c>
      <c r="C7993" s="97" t="s">
        <v>2265</v>
      </c>
      <c r="D7993" s="87" t="s">
        <v>3124</v>
      </c>
      <c r="E7993">
        <f t="shared" si="50"/>
        <v>3265.44</v>
      </c>
      <c r="F7993" s="2" t="str">
        <f>IF(Table2[[#This Row],[Manual Cat Value]]="",VLOOKUP(Table2[[#This Row],[Description]],'Actuals Lookup'!D:F,3,0),Table2[[#This Row],[Manual Cat Value]])</f>
        <v>Inc - Jeff</v>
      </c>
      <c r="G7993" t="e">
        <f>VLOOKUP(D7993,Lookup!G:H,2,0)</f>
        <v>#N/A</v>
      </c>
      <c r="H7993" s="8" t="s">
        <v>63</v>
      </c>
      <c r="I7993" s="95"/>
      <c r="J7993" s="98">
        <v>3265.44</v>
      </c>
      <c r="K7993" s="87"/>
      <c r="L7993" s="87"/>
      <c r="M7993" s="87"/>
      <c r="N7993" s="87" t="s">
        <v>3074</v>
      </c>
      <c r="O7993" t="str">
        <f>LEFT(Table2[[#This Row],[Description]],75)</f>
        <v>Deposit ACH TRINET TYPE: PAYROLL ID: 194XXXXXXX CO: TRINET Entry Class Code</v>
      </c>
    </row>
    <row r="7994" spans="1:15" hidden="1">
      <c r="A7994" s="25">
        <f>VALUE(YEAR(Table2[[#This Row],[Date]])&amp;TEXT(MONTH(Table2[[#This Row],[Date]]),"00"))</f>
        <v>202210</v>
      </c>
      <c r="B7994" s="93">
        <v>44847</v>
      </c>
      <c r="C7994" s="97" t="s">
        <v>2262</v>
      </c>
      <c r="D7994" s="87" t="s">
        <v>3125</v>
      </c>
      <c r="E7994">
        <f t="shared" si="50"/>
        <v>70.569999999999993</v>
      </c>
      <c r="F7994" s="2" t="str">
        <f>IF(Table2[[#This Row],[Manual Cat Value]]="",VLOOKUP(Table2[[#This Row],[Description]],'Actuals Lookup'!D:F,3,0),Table2[[#This Row],[Manual Cat Value]])</f>
        <v>Exp - Restaurants</v>
      </c>
      <c r="G7994" t="e">
        <f>VLOOKUP(D7994,Lookup!G:H,2,0)</f>
        <v>#N/A</v>
      </c>
      <c r="H7994" s="8" t="s">
        <v>25</v>
      </c>
      <c r="I7994" s="95"/>
      <c r="J7994" s="98">
        <v>70.569999999999993</v>
      </c>
      <c r="K7994" s="87"/>
      <c r="L7994" s="87"/>
      <c r="M7994" s="87" t="s">
        <v>2535</v>
      </c>
      <c r="O7994" t="str">
        <f>LEFT(Table2[[#This Row],[Description]],75)</f>
        <v>HAZELWOOD FOOD &amp; DRINK -TEXCELSIOR    MN REF #2401339MD019VAVEH</v>
      </c>
    </row>
    <row r="7995" spans="1:15" hidden="1">
      <c r="A7995" s="25">
        <f>VALUE(YEAR(Table2[[#This Row],[Date]])&amp;TEXT(MONTH(Table2[[#This Row],[Date]]),"00"))</f>
        <v>202210</v>
      </c>
      <c r="B7995" s="93">
        <v>44847</v>
      </c>
      <c r="C7995" s="97" t="s">
        <v>2262</v>
      </c>
      <c r="D7995" s="87" t="s">
        <v>3126</v>
      </c>
      <c r="E7995">
        <f t="shared" si="50"/>
        <v>35.97</v>
      </c>
      <c r="F7995" s="2" t="str">
        <f>IF(Table2[[#This Row],[Manual Cat Value]]="",VLOOKUP(Table2[[#This Row],[Description]],'Actuals Lookup'!D:F,3,0),Table2[[#This Row],[Manual Cat Value]])</f>
        <v>Exp - Groceries</v>
      </c>
      <c r="G7995" t="e">
        <f>VLOOKUP(D7995,Lookup!G:H,2,0)</f>
        <v>#N/A</v>
      </c>
      <c r="H7995" s="8" t="s">
        <v>27</v>
      </c>
      <c r="I7995" s="95"/>
      <c r="J7995" s="98">
        <v>35.97</v>
      </c>
      <c r="K7995" s="87"/>
      <c r="L7995" s="87"/>
      <c r="M7995" s="87" t="s">
        <v>2535</v>
      </c>
      <c r="O7995" t="str">
        <f>LEFT(Table2[[#This Row],[Description]],75)</f>
        <v>LAKEWINDS - CHANHASSEN   CHANHASSEN   MN REF #2405523MERBGRTQX7</v>
      </c>
    </row>
    <row r="7996" spans="1:15" hidden="1">
      <c r="A7996" s="25">
        <f>VALUE(YEAR(Table2[[#This Row],[Date]])&amp;TEXT(MONTH(Table2[[#This Row],[Date]]),"00"))</f>
        <v>202210</v>
      </c>
      <c r="B7996" s="93">
        <v>44847</v>
      </c>
      <c r="C7996" s="97" t="s">
        <v>2262</v>
      </c>
      <c r="D7996" s="87" t="s">
        <v>3127</v>
      </c>
      <c r="E7996" s="58">
        <f t="shared" si="50"/>
        <v>119.35</v>
      </c>
      <c r="F7996" s="2" t="str">
        <f>IF(Table2[[#This Row],[Manual Cat Value]]="",VLOOKUP(Table2[[#This Row],[Description]],'Actuals Lookup'!D:F,3,0),Table2[[#This Row],[Manual Cat Value]])</f>
        <v>Exp - Transportation</v>
      </c>
      <c r="G7996" t="e">
        <f>VLOOKUP(D7996,Lookup!G:H,2,0)</f>
        <v>#N/A</v>
      </c>
      <c r="H7996" s="8" t="s">
        <v>22</v>
      </c>
      <c r="I7996" s="95"/>
      <c r="J7996" s="98">
        <v>119.35</v>
      </c>
      <c r="K7996" s="87"/>
      <c r="L7996" s="87"/>
      <c r="M7996" s="87" t="s">
        <v>2535</v>
      </c>
      <c r="O7996" t="str">
        <f>LEFT(Table2[[#This Row],[Description]],75)</f>
        <v>MOTORWERKS BMW           BLOOMINGTON  MN REF #2443106MEJGA8WF9F</v>
      </c>
    </row>
    <row r="7997" spans="1:15" hidden="1">
      <c r="A7997" s="25">
        <f>VALUE(YEAR(Table2[[#This Row],[Date]])&amp;TEXT(MONTH(Table2[[#This Row],[Date]]),"00"))</f>
        <v>202210</v>
      </c>
      <c r="B7997" s="93">
        <v>44847</v>
      </c>
      <c r="C7997" s="97" t="s">
        <v>2265</v>
      </c>
      <c r="D7997" s="87" t="s">
        <v>2640</v>
      </c>
      <c r="E7997">
        <f t="shared" si="50"/>
        <v>1201.01</v>
      </c>
      <c r="F7997" s="2" t="str">
        <f>IF(Table2[[#This Row],[Manual Cat Value]]="",VLOOKUP(Table2[[#This Row],[Description]],'Actuals Lookup'!D:F,3,0),Table2[[#This Row],[Manual Cat Value]])</f>
        <v>Delete</v>
      </c>
      <c r="G7997" t="e">
        <f>VLOOKUP(D7997,Lookup!G:H,2,0)</f>
        <v>#N/A</v>
      </c>
      <c r="H7997" s="8" t="s">
        <v>9</v>
      </c>
      <c r="I7997" s="95"/>
      <c r="J7997" s="98">
        <v>1201.01</v>
      </c>
      <c r="K7997" s="87"/>
      <c r="L7997" s="87"/>
      <c r="M7997" s="87"/>
      <c r="N7997" s="87" t="s">
        <v>2535</v>
      </c>
      <c r="O7997" t="str">
        <f>LEFT(Table2[[#This Row],[Description]],75)</f>
        <v>Withdrawal Home Banking Pmt to card XXXXXXXXXXXX-9181</v>
      </c>
    </row>
    <row r="7998" spans="1:15" hidden="1">
      <c r="A7998" s="25">
        <f>VALUE(YEAR(Table2[[#This Row],[Date]])&amp;TEXT(MONTH(Table2[[#This Row],[Date]]),"00"))</f>
        <v>202210</v>
      </c>
      <c r="B7998" s="93">
        <v>44847</v>
      </c>
      <c r="C7998" s="97" t="s">
        <v>2262</v>
      </c>
      <c r="D7998" s="87" t="s">
        <v>3128</v>
      </c>
      <c r="E7998">
        <f t="shared" si="50"/>
        <v>-1201.01</v>
      </c>
      <c r="F7998" s="2" t="str">
        <f>IF(Table2[[#This Row],[Manual Cat Value]]="",VLOOKUP(Table2[[#This Row],[Description]],'Actuals Lookup'!D:F,3,0),Table2[[#This Row],[Manual Cat Value]])</f>
        <v>Delete</v>
      </c>
      <c r="G7998" t="e">
        <f>VLOOKUP(D7998,Lookup!G:H,2,0)</f>
        <v>#N/A</v>
      </c>
      <c r="H7998" s="8" t="s">
        <v>9</v>
      </c>
      <c r="I7998" s="95"/>
      <c r="J7998" s="98">
        <v>1201.01</v>
      </c>
      <c r="K7998" s="87"/>
      <c r="L7998" s="87"/>
      <c r="M7998" s="87" t="s">
        <v>3074</v>
      </c>
      <c r="O7998" t="str">
        <f>LEFT(Table2[[#This Row],[Description]],75)</f>
        <v>PAYMENT - THANK YOU REF #7473457MF00XTMJG8</v>
      </c>
    </row>
    <row r="7999" spans="1:15" ht="30" hidden="1">
      <c r="A7999" s="25">
        <f>VALUE(YEAR(Table2[[#This Row],[Date]])&amp;TEXT(MONTH(Table2[[#This Row],[Date]]),"00"))</f>
        <v>202210</v>
      </c>
      <c r="B7999" s="6">
        <v>44848</v>
      </c>
      <c r="C7999" t="s">
        <v>2447</v>
      </c>
      <c r="D7999" s="7" t="s">
        <v>3129</v>
      </c>
      <c r="E7999">
        <f t="shared" si="50"/>
        <v>606.65</v>
      </c>
      <c r="F7999" s="2" t="str">
        <f>IF(Table2[[#This Row],[Manual Cat Value]]="",VLOOKUP(Table2[[#This Row],[Description]],'Actuals Lookup'!D:F,3,0),Table2[[#This Row],[Manual Cat Value]])</f>
        <v>Exp - Amazon</v>
      </c>
      <c r="G7999" t="e">
        <f>VLOOKUP(D7999,Lookup!G:H,2,0)</f>
        <v>#N/A</v>
      </c>
      <c r="H7999" s="78" t="s">
        <v>37</v>
      </c>
      <c r="I7999" s="78"/>
      <c r="J7999">
        <v>606.65</v>
      </c>
      <c r="M7999" t="s">
        <v>2513</v>
      </c>
      <c r="O7999" t="str">
        <f>LEFT(Table2[[#This Row],[Description]],75)</f>
        <v>AMZN MKTP US*HT2W10G51 AMZN.COM/BILLWA
64TWC6O7SWJ</v>
      </c>
    </row>
    <row r="8000" spans="1:15" ht="30" hidden="1">
      <c r="A8000" s="25">
        <f>VALUE(YEAR(Table2[[#This Row],[Date]])&amp;TEXT(MONTH(Table2[[#This Row],[Date]]),"00"))</f>
        <v>202210</v>
      </c>
      <c r="B8000" s="6">
        <v>44848</v>
      </c>
      <c r="C8000" t="s">
        <v>2447</v>
      </c>
      <c r="D8000" s="7" t="s">
        <v>3130</v>
      </c>
      <c r="E8000">
        <f t="shared" si="50"/>
        <v>73.8</v>
      </c>
      <c r="F8000" s="2" t="str">
        <f>IF(Table2[[#This Row],[Manual Cat Value]]="",VLOOKUP(Table2[[#This Row],[Description]],'Actuals Lookup'!D:F,3,0),Table2[[#This Row],[Manual Cat Value]])</f>
        <v>Exp - Amazon</v>
      </c>
      <c r="G8000" t="e">
        <f>VLOOKUP(D8000,Lookup!G:H,2,0)</f>
        <v>#N/A</v>
      </c>
      <c r="H8000" s="78" t="s">
        <v>37</v>
      </c>
      <c r="I8000" s="78"/>
      <c r="J8000">
        <v>73.8</v>
      </c>
      <c r="M8000" t="s">
        <v>2513</v>
      </c>
      <c r="O8000" t="str">
        <f>LEFT(Table2[[#This Row],[Description]],75)</f>
        <v>AMZN MKTP US*HT4GM25B0 AMZN.COM/BILLWA
7KRLS2JM0ZA</v>
      </c>
    </row>
    <row r="8001" spans="1:15" hidden="1">
      <c r="A8001" s="25">
        <f>VALUE(YEAR(Table2[[#This Row],[Date]])&amp;TEXT(MONTH(Table2[[#This Row],[Date]]),"00"))</f>
        <v>202210</v>
      </c>
      <c r="B8001" s="93">
        <v>44848</v>
      </c>
      <c r="C8001" s="97" t="s">
        <v>2265</v>
      </c>
      <c r="D8001" s="87" t="s">
        <v>3131</v>
      </c>
      <c r="E8001">
        <f t="shared" si="50"/>
        <v>335.17</v>
      </c>
      <c r="F8001" s="2" t="str">
        <f>IF(Table2[[#This Row],[Manual Cat Value]]="",VLOOKUP(Table2[[#This Row],[Description]],'Actuals Lookup'!D:F,3,0),Table2[[#This Row],[Manual Cat Value]])</f>
        <v>Exp - Shopping</v>
      </c>
      <c r="G8001" t="e">
        <f>VLOOKUP(D8001,Lookup!G:H,2,0)</f>
        <v>#N/A</v>
      </c>
      <c r="H8001" s="8" t="s">
        <v>36</v>
      </c>
      <c r="I8001" s="95"/>
      <c r="J8001" s="98">
        <v>335.17</v>
      </c>
      <c r="K8001" s="87"/>
      <c r="L8001" s="87"/>
      <c r="M8001" s="87"/>
      <c r="N8001" s="87" t="s">
        <v>2535</v>
      </c>
      <c r="O8001" t="str">
        <f>LEFT(Table2[[#This Row],[Description]],75)</f>
        <v>Withdrawal ACH BARCLAYCARD US TYPE: CREDITCARD ID: 2510407970 CO: BARCLAYCA</v>
      </c>
    </row>
    <row r="8002" spans="1:15" hidden="1">
      <c r="A8002" s="25">
        <f>VALUE(YEAR(Table2[[#This Row],[Date]])&amp;TEXT(MONTH(Table2[[#This Row],[Date]]),"00"))</f>
        <v>202210</v>
      </c>
      <c r="B8002" s="93">
        <v>44848</v>
      </c>
      <c r="C8002" s="97" t="s">
        <v>2265</v>
      </c>
      <c r="D8002" s="87" t="s">
        <v>3132</v>
      </c>
      <c r="E8002">
        <f t="shared" si="50"/>
        <v>58</v>
      </c>
      <c r="F8002" s="2" t="str">
        <f>IF(Table2[[#This Row],[Manual Cat Value]]="",VLOOKUP(Table2[[#This Row],[Description]],'Actuals Lookup'!D:F,3,0),Table2[[#This Row],[Manual Cat Value]])</f>
        <v>Exp - Shopping</v>
      </c>
      <c r="G8002" t="e">
        <f>VLOOKUP(D8002,Lookup!G:H,2,0)</f>
        <v>#N/A</v>
      </c>
      <c r="H8002" s="8" t="s">
        <v>36</v>
      </c>
      <c r="I8002" s="95"/>
      <c r="J8002" s="98">
        <v>58</v>
      </c>
      <c r="K8002" s="87"/>
      <c r="L8002" s="87"/>
      <c r="M8002" s="87"/>
      <c r="N8002" s="87" t="s">
        <v>2535</v>
      </c>
      <c r="O8002" t="str">
        <f>LEFT(Table2[[#This Row],[Description]],75)</f>
        <v xml:space="preserve">Withdrawal ACH PAYPAL TYPE: INST XFER ID: PAYPALSI77 CO: PAYPAL NAME: JEFF </v>
      </c>
    </row>
    <row r="8003" spans="1:15" hidden="1">
      <c r="A8003" s="25">
        <f>VALUE(YEAR(Table2[[#This Row],[Date]])&amp;TEXT(MONTH(Table2[[#This Row],[Date]]),"00"))</f>
        <v>202210</v>
      </c>
      <c r="B8003" s="93">
        <v>44848</v>
      </c>
      <c r="C8003" s="97" t="s">
        <v>2265</v>
      </c>
      <c r="D8003" s="87" t="s">
        <v>3133</v>
      </c>
      <c r="E8003">
        <f t="shared" si="50"/>
        <v>102.48</v>
      </c>
      <c r="F8003" s="2" t="str">
        <f>IF(Table2[[#This Row],[Manual Cat Value]]="",VLOOKUP(Table2[[#This Row],[Description]],'Actuals Lookup'!D:F,3,0),Table2[[#This Row],[Manual Cat Value]])</f>
        <v>Exp - Insurance</v>
      </c>
      <c r="G8003" t="e">
        <f>VLOOKUP(D8003,Lookup!G:H,2,0)</f>
        <v>#N/A</v>
      </c>
      <c r="H8003" s="8" t="s">
        <v>17</v>
      </c>
      <c r="I8003" s="95"/>
      <c r="J8003" s="98">
        <v>102.48</v>
      </c>
      <c r="K8003" s="87"/>
      <c r="L8003" s="87"/>
      <c r="M8003" s="87"/>
      <c r="N8003" s="87" t="s">
        <v>2535</v>
      </c>
      <c r="O8003" t="str">
        <f>LEFT(Table2[[#This Row],[Description]],75)</f>
        <v>Withdrawal ACH AMERICAN FAMILY TYPE: WEBPAYMENT ID: PEBP075965 CO: AMERICAN</v>
      </c>
    </row>
    <row r="8004" spans="1:15" ht="30" hidden="1">
      <c r="A8004" s="25">
        <f>VALUE(YEAR(Table2[[#This Row],[Date]])&amp;TEXT(MONTH(Table2[[#This Row],[Date]]),"00"))</f>
        <v>202210</v>
      </c>
      <c r="B8004" s="6">
        <v>44849</v>
      </c>
      <c r="C8004" t="s">
        <v>2447</v>
      </c>
      <c r="D8004" s="7" t="s">
        <v>3134</v>
      </c>
      <c r="E8004">
        <f t="shared" ref="E8004:E8035" si="51">IF(M8004="credit",-1*J8004,J8004)</f>
        <v>44.09</v>
      </c>
      <c r="F8004" s="2" t="str">
        <f>IF(Table2[[#This Row],[Manual Cat Value]]="",VLOOKUP(Table2[[#This Row],[Description]],'Actuals Lookup'!D:F,3,0),Table2[[#This Row],[Manual Cat Value]])</f>
        <v>Exp - Amazon</v>
      </c>
      <c r="G8004" t="e">
        <f>VLOOKUP(D8004,Lookup!G:H,2,0)</f>
        <v>#N/A</v>
      </c>
      <c r="H8004" s="78" t="s">
        <v>37</v>
      </c>
      <c r="I8004" s="78"/>
      <c r="J8004">
        <v>44.09</v>
      </c>
      <c r="M8004" t="s">
        <v>2513</v>
      </c>
      <c r="O8004" t="str">
        <f>LEFT(Table2[[#This Row],[Description]],75)</f>
        <v>AMZN MKTP US*HT0EY1M41 AMZN.COM/BILLWA
PBSYCHDFMZ4</v>
      </c>
    </row>
    <row r="8005" spans="1:15" hidden="1">
      <c r="A8005" s="25">
        <f>VALUE(YEAR(Table2[[#This Row],[Date]])&amp;TEXT(MONTH(Table2[[#This Row],[Date]]),"00"))</f>
        <v>202210</v>
      </c>
      <c r="B8005" s="6">
        <v>44849</v>
      </c>
      <c r="C8005" t="s">
        <v>2447</v>
      </c>
      <c r="D8005" t="s">
        <v>3135</v>
      </c>
      <c r="E8005">
        <f t="shared" si="51"/>
        <v>51.92</v>
      </c>
      <c r="F8005" s="2" t="str">
        <f>IF(Table2[[#This Row],[Manual Cat Value]]="",VLOOKUP(Table2[[#This Row],[Description]],'Actuals Lookup'!D:F,3,0),Table2[[#This Row],[Manual Cat Value]])</f>
        <v>Exp - Restaurants</v>
      </c>
      <c r="G8005" t="e">
        <f>VLOOKUP(D8005,Lookup!G:H,2,0)</f>
        <v>#N/A</v>
      </c>
      <c r="H8005" s="8" t="s">
        <v>25</v>
      </c>
      <c r="I8005" s="8"/>
      <c r="J8005">
        <v>51.92</v>
      </c>
      <c r="M8005" t="s">
        <v>2513</v>
      </c>
      <c r="O8005" t="str">
        <f>LEFT(Table2[[#This Row],[Description]],75)</f>
        <v>PAT'S TAP MINNEAPOLIS MN</v>
      </c>
    </row>
    <row r="8006" spans="1:15" ht="30" hidden="1">
      <c r="A8006" s="25">
        <f>VALUE(YEAR(Table2[[#This Row],[Date]])&amp;TEXT(MONTH(Table2[[#This Row],[Date]]),"00"))</f>
        <v>202210</v>
      </c>
      <c r="B8006" s="6">
        <v>44850</v>
      </c>
      <c r="C8006" t="s">
        <v>2447</v>
      </c>
      <c r="D8006" s="7" t="s">
        <v>3136</v>
      </c>
      <c r="E8006">
        <f t="shared" si="51"/>
        <v>-24.69</v>
      </c>
      <c r="F8006" s="2" t="str">
        <f>IF(Table2[[#This Row],[Manual Cat Value]]="",VLOOKUP(Table2[[#This Row],[Description]],'Actuals Lookup'!D:F,3,0),Table2[[#This Row],[Manual Cat Value]])</f>
        <v>Exp - Amazon</v>
      </c>
      <c r="G8006" t="e">
        <f>VLOOKUP(D8006,Lookup!G:H,2,0)</f>
        <v>#N/A</v>
      </c>
      <c r="H8006" s="78" t="s">
        <v>37</v>
      </c>
      <c r="I8006" s="78"/>
      <c r="J8006">
        <v>24.69</v>
      </c>
      <c r="M8006" t="s">
        <v>2621</v>
      </c>
      <c r="O8006" t="str">
        <f>LEFT(Table2[[#This Row],[Description]],75)</f>
        <v>AMZN MKTP US AMZN.COM/BILLWA
3DRHYRX6PIZ</v>
      </c>
    </row>
    <row r="8007" spans="1:15" ht="30" hidden="1">
      <c r="A8007" s="25">
        <f>VALUE(YEAR(Table2[[#This Row],[Date]])&amp;TEXT(MONTH(Table2[[#This Row],[Date]]),"00"))</f>
        <v>202210</v>
      </c>
      <c r="B8007" s="6">
        <v>44850</v>
      </c>
      <c r="C8007" t="s">
        <v>2447</v>
      </c>
      <c r="D8007" s="7" t="s">
        <v>3137</v>
      </c>
      <c r="E8007">
        <f t="shared" si="51"/>
        <v>-17.170000000000002</v>
      </c>
      <c r="F8007" s="2" t="str">
        <f>IF(Table2[[#This Row],[Manual Cat Value]]="",VLOOKUP(Table2[[#This Row],[Description]],'Actuals Lookup'!D:F,3,0),Table2[[#This Row],[Manual Cat Value]])</f>
        <v>Exp - Amazon</v>
      </c>
      <c r="G8007" t="e">
        <f>VLOOKUP(D8007,Lookup!G:H,2,0)</f>
        <v>#N/A</v>
      </c>
      <c r="H8007" s="78" t="s">
        <v>37</v>
      </c>
      <c r="I8007" s="78"/>
      <c r="J8007">
        <v>17.170000000000002</v>
      </c>
      <c r="M8007" t="s">
        <v>2621</v>
      </c>
      <c r="O8007" t="str">
        <f>LEFT(Table2[[#This Row],[Description]],75)</f>
        <v>AMZN MKTP US AMZN.COM/BILLWA
5TMT9AMHWVU</v>
      </c>
    </row>
    <row r="8008" spans="1:15" ht="30" hidden="1">
      <c r="A8008" s="25">
        <f>VALUE(YEAR(Table2[[#This Row],[Date]])&amp;TEXT(MONTH(Table2[[#This Row],[Date]]),"00"))</f>
        <v>202210</v>
      </c>
      <c r="B8008" s="6">
        <v>44850</v>
      </c>
      <c r="C8008" t="s">
        <v>2447</v>
      </c>
      <c r="D8008" s="7" t="s">
        <v>3138</v>
      </c>
      <c r="E8008">
        <f t="shared" si="51"/>
        <v>-28.99</v>
      </c>
      <c r="F8008" s="2" t="str">
        <f>IF(Table2[[#This Row],[Manual Cat Value]]="",VLOOKUP(Table2[[#This Row],[Description]],'Actuals Lookup'!D:F,3,0),Table2[[#This Row],[Manual Cat Value]])</f>
        <v>Exp - Amazon</v>
      </c>
      <c r="G8008" t="e">
        <f>VLOOKUP(D8008,Lookup!G:H,2,0)</f>
        <v>#N/A</v>
      </c>
      <c r="H8008" s="78" t="s">
        <v>37</v>
      </c>
      <c r="I8008" s="78"/>
      <c r="J8008">
        <v>28.99</v>
      </c>
      <c r="M8008" t="s">
        <v>2621</v>
      </c>
      <c r="O8008" t="str">
        <f>LEFT(Table2[[#This Row],[Description]],75)</f>
        <v>AMZN MKTP US AMZN.COM/BILLWA
734IPTRTNA1</v>
      </c>
    </row>
    <row r="8009" spans="1:15" hidden="1">
      <c r="A8009" s="25">
        <f>VALUE(YEAR(Table2[[#This Row],[Date]])&amp;TEXT(MONTH(Table2[[#This Row],[Date]]),"00"))</f>
        <v>202210</v>
      </c>
      <c r="B8009" s="93">
        <v>44850</v>
      </c>
      <c r="C8009" s="97" t="s">
        <v>2262</v>
      </c>
      <c r="D8009" s="87" t="s">
        <v>3139</v>
      </c>
      <c r="E8009">
        <f t="shared" si="51"/>
        <v>51</v>
      </c>
      <c r="F8009" s="2" t="str">
        <f>IF(Table2[[#This Row],[Manual Cat Value]]="",VLOOKUP(Table2[[#This Row],[Description]],'Actuals Lookup'!D:F,3,0),Table2[[#This Row],[Manual Cat Value]])</f>
        <v>Exp - Entertainment</v>
      </c>
      <c r="G8009" t="e">
        <f>VLOOKUP(D8009,Lookup!G:H,2,0)</f>
        <v>#N/A</v>
      </c>
      <c r="H8009" s="8" t="s">
        <v>39</v>
      </c>
      <c r="I8009" s="95"/>
      <c r="J8009" s="98">
        <v>51</v>
      </c>
      <c r="K8009" s="87"/>
      <c r="L8009" s="87"/>
      <c r="M8009" s="87" t="s">
        <v>2535</v>
      </c>
      <c r="O8009" t="str">
        <f>LEFT(Table2[[#This Row],[Description]],75)</f>
        <v>COUNTRY CLUB LANES       EXCELSIOR    MN REF #2413829MG60T2JMVN</v>
      </c>
    </row>
    <row r="8010" spans="1:15" hidden="1">
      <c r="A8010" s="25">
        <f>VALUE(YEAR(Table2[[#This Row],[Date]])&amp;TEXT(MONTH(Table2[[#This Row],[Date]]),"00"))</f>
        <v>202210</v>
      </c>
      <c r="B8010" s="93">
        <v>44850</v>
      </c>
      <c r="C8010" s="97" t="s">
        <v>2262</v>
      </c>
      <c r="D8010" s="87" t="s">
        <v>3140</v>
      </c>
      <c r="E8010">
        <f t="shared" si="51"/>
        <v>337.2</v>
      </c>
      <c r="F8010" s="2" t="str">
        <f>IF(Table2[[#This Row],[Manual Cat Value]]="",VLOOKUP(Table2[[#This Row],[Description]],'Actuals Lookup'!D:F,3,0),Table2[[#This Row],[Manual Cat Value]])</f>
        <v>Exp - Travel</v>
      </c>
      <c r="G8010" t="e">
        <f>VLOOKUP(D8010,Lookup!G:H,2,0)</f>
        <v>#N/A</v>
      </c>
      <c r="H8010" s="8" t="s">
        <v>52</v>
      </c>
      <c r="I8010" s="95"/>
      <c r="J8010" s="98">
        <v>337.2</v>
      </c>
      <c r="K8010" s="87"/>
      <c r="L8010" s="87"/>
      <c r="M8010" s="87" t="s">
        <v>2535</v>
      </c>
      <c r="O8010" t="str">
        <f>LEFT(Table2[[#This Row],[Description]],75)</f>
        <v>DELTA AIR   0062343192678DELTA.COM    CA REF #2471705MGTQXWA56M</v>
      </c>
    </row>
    <row r="8011" spans="1:15" hidden="1">
      <c r="A8011" s="25">
        <f>VALUE(YEAR(Table2[[#This Row],[Date]])&amp;TEXT(MONTH(Table2[[#This Row],[Date]]),"00"))</f>
        <v>202210</v>
      </c>
      <c r="B8011" s="93">
        <v>44850</v>
      </c>
      <c r="C8011" s="97" t="s">
        <v>2265</v>
      </c>
      <c r="D8011" s="87" t="s">
        <v>3141</v>
      </c>
      <c r="E8011">
        <f t="shared" si="51"/>
        <v>292.79000000000002</v>
      </c>
      <c r="F8011" s="2" t="str">
        <f>IF(Table2[[#This Row],[Manual Cat Value]]="",VLOOKUP(Table2[[#This Row],[Description]],'Actuals Lookup'!D:F,3,0),Table2[[#This Row],[Manual Cat Value]])</f>
        <v>Delete</v>
      </c>
      <c r="G8011" t="e">
        <f>VLOOKUP(D8011,Lookup!G:H,2,0)</f>
        <v>#N/A</v>
      </c>
      <c r="H8011" s="8" t="s">
        <v>9</v>
      </c>
      <c r="I8011" s="95"/>
      <c r="J8011" s="98">
        <v>292.79000000000002</v>
      </c>
      <c r="K8011" s="87"/>
      <c r="L8011" s="87"/>
      <c r="M8011" s="87"/>
      <c r="N8011" s="87" t="s">
        <v>3074</v>
      </c>
      <c r="O8011" t="str">
        <f>LEFT(Table2[[#This Row],[Description]],75)</f>
        <v>Deposit ACH eBay TYPE: PAYOUT ID: 426XXXXXXX CO: eBay Entry Class Code: CCD</v>
      </c>
    </row>
    <row r="8012" spans="1:15" hidden="1">
      <c r="A8012" s="25">
        <f>VALUE(YEAR(Table2[[#This Row],[Date]])&amp;TEXT(MONTH(Table2[[#This Row],[Date]]),"00"))</f>
        <v>202210</v>
      </c>
      <c r="B8012" s="93">
        <v>44850</v>
      </c>
      <c r="C8012" s="97" t="s">
        <v>2262</v>
      </c>
      <c r="D8012" s="87" t="s">
        <v>3142</v>
      </c>
      <c r="E8012">
        <f t="shared" si="51"/>
        <v>527.99</v>
      </c>
      <c r="F8012" s="2" t="str">
        <f>IF(Table2[[#This Row],[Manual Cat Value]]="",VLOOKUP(Table2[[#This Row],[Description]],'Actuals Lookup'!D:F,3,0),Table2[[#This Row],[Manual Cat Value]])</f>
        <v>Exp - Travel</v>
      </c>
      <c r="G8012" t="e">
        <f>VLOOKUP(D8012,Lookup!G:H,2,0)</f>
        <v>#N/A</v>
      </c>
      <c r="H8012" s="8" t="s">
        <v>52</v>
      </c>
      <c r="I8012" s="95"/>
      <c r="J8012" s="98">
        <v>527.99</v>
      </c>
      <c r="K8012" s="87"/>
      <c r="L8012" s="87"/>
      <c r="M8012" s="87" t="s">
        <v>2535</v>
      </c>
      <c r="O8012" t="str">
        <f>LEFT(Table2[[#This Row],[Description]],75)</f>
        <v>RESERVATION HILTONBOS    8449963737   CA REF #2449215MFLS4BV437</v>
      </c>
    </row>
    <row r="8013" spans="1:15" hidden="1">
      <c r="A8013" s="25">
        <f>VALUE(YEAR(Table2[[#This Row],[Date]])&amp;TEXT(MONTH(Table2[[#This Row],[Date]]),"00"))</f>
        <v>202210</v>
      </c>
      <c r="B8013" s="93">
        <v>44850</v>
      </c>
      <c r="C8013" s="97" t="s">
        <v>2262</v>
      </c>
      <c r="D8013" s="87" t="s">
        <v>3143</v>
      </c>
      <c r="E8013">
        <f t="shared" si="51"/>
        <v>25.12</v>
      </c>
      <c r="F8013" s="2" t="str">
        <f>IF(Table2[[#This Row],[Manual Cat Value]]="",VLOOKUP(Table2[[#This Row],[Description]],'Actuals Lookup'!D:F,3,0),Table2[[#This Row],[Manual Cat Value]])</f>
        <v>Exp - Transportation</v>
      </c>
      <c r="G8013" t="e">
        <f>VLOOKUP(D8013,Lookup!G:H,2,0)</f>
        <v>#N/A</v>
      </c>
      <c r="H8013" s="8" t="s">
        <v>22</v>
      </c>
      <c r="I8013" s="95"/>
      <c r="J8013" s="98">
        <v>25.12</v>
      </c>
      <c r="K8013" s="87"/>
      <c r="L8013" s="87"/>
      <c r="M8013" s="87" t="s">
        <v>2535</v>
      </c>
      <c r="O8013" t="str">
        <f>LEFT(Table2[[#This Row],[Description]],75)</f>
        <v>SPEEDWAY 04232           MINNEAPOLIS  MN REF #2413746MH019J0R46</v>
      </c>
    </row>
    <row r="8014" spans="1:15" hidden="1">
      <c r="A8014" s="25">
        <f>VALUE(YEAR(Table2[[#This Row],[Date]])&amp;TEXT(MONTH(Table2[[#This Row],[Date]]),"00"))</f>
        <v>202210</v>
      </c>
      <c r="B8014" s="93">
        <v>44851</v>
      </c>
      <c r="C8014" s="97" t="s">
        <v>2265</v>
      </c>
      <c r="D8014" s="87" t="s">
        <v>3144</v>
      </c>
      <c r="E8014">
        <f t="shared" si="51"/>
        <v>89.78</v>
      </c>
      <c r="F8014" s="2" t="str">
        <f>IF(Table2[[#This Row],[Manual Cat Value]]="",VLOOKUP(Table2[[#This Row],[Description]],'Actuals Lookup'!D:F,3,0),Table2[[#This Row],[Manual Cat Value]])</f>
        <v>Delete</v>
      </c>
      <c r="G8014" t="e">
        <f>VLOOKUP(D8014,Lookup!G:H,2,0)</f>
        <v>#N/A</v>
      </c>
      <c r="H8014" s="8" t="s">
        <v>9</v>
      </c>
      <c r="I8014" s="95"/>
      <c r="J8014" s="98">
        <v>89.78</v>
      </c>
      <c r="K8014" s="87"/>
      <c r="L8014" s="87"/>
      <c r="M8014" s="87"/>
      <c r="N8014" s="87" t="s">
        <v>3074</v>
      </c>
      <c r="O8014" t="str">
        <f>LEFT(Table2[[#This Row],[Description]],75)</f>
        <v>Deposit ACH eBay TYPE: PAYOUT ID: 426XXXXXXX CO: eBay Entry Class Code: CCD</v>
      </c>
    </row>
    <row r="8015" spans="1:15" hidden="1">
      <c r="A8015" s="25">
        <f>VALUE(YEAR(Table2[[#This Row],[Date]])&amp;TEXT(MONTH(Table2[[#This Row],[Date]]),"00"))</f>
        <v>202210</v>
      </c>
      <c r="B8015" s="93">
        <v>44851</v>
      </c>
      <c r="C8015" s="97" t="s">
        <v>2262</v>
      </c>
      <c r="D8015" s="87" t="s">
        <v>3145</v>
      </c>
      <c r="E8015">
        <f t="shared" si="51"/>
        <v>42.55</v>
      </c>
      <c r="F8015" s="2" t="str">
        <f>IF(Table2[[#This Row],[Manual Cat Value]]="",VLOOKUP(Table2[[#This Row],[Description]],'Actuals Lookup'!D:F,3,0),Table2[[#This Row],[Manual Cat Value]])</f>
        <v>Exp - Groceries</v>
      </c>
      <c r="G8015" t="e">
        <f>VLOOKUP(D8015,Lookup!G:H,2,0)</f>
        <v>#N/A</v>
      </c>
      <c r="H8015" s="8" t="s">
        <v>27</v>
      </c>
      <c r="I8015" s="95"/>
      <c r="J8015" s="98">
        <v>42.55</v>
      </c>
      <c r="K8015" s="87"/>
      <c r="L8015" s="87"/>
      <c r="M8015" s="87" t="s">
        <v>2535</v>
      </c>
      <c r="O8015" t="str">
        <f>LEFT(Table2[[#This Row],[Description]],75)</f>
        <v>LUNDS&amp;BYERLYS HYW7M      MINNETONKA   MN REF #2442733MHM83Q2SZA</v>
      </c>
    </row>
    <row r="8016" spans="1:15" hidden="1">
      <c r="A8016" s="25">
        <f>VALUE(YEAR(Table2[[#This Row],[Date]])&amp;TEXT(MONTH(Table2[[#This Row],[Date]]),"00"))</f>
        <v>202210</v>
      </c>
      <c r="B8016" s="93">
        <v>44851</v>
      </c>
      <c r="C8016" s="97" t="s">
        <v>2262</v>
      </c>
      <c r="D8016" s="87" t="s">
        <v>3146</v>
      </c>
      <c r="E8016">
        <f t="shared" si="51"/>
        <v>8.58</v>
      </c>
      <c r="F8016" s="2" t="str">
        <f>IF(Table2[[#This Row],[Manual Cat Value]]="",VLOOKUP(Table2[[#This Row],[Description]],'Actuals Lookup'!D:F,3,0),Table2[[#This Row],[Manual Cat Value]])</f>
        <v>Exp - Utilities</v>
      </c>
      <c r="G8016" t="e">
        <f>VLOOKUP(D8016,Lookup!G:H,2,0)</f>
        <v>#N/A</v>
      </c>
      <c r="H8016" s="8" t="s">
        <v>6</v>
      </c>
      <c r="I8016" s="95"/>
      <c r="J8016" s="98">
        <v>8.58</v>
      </c>
      <c r="K8016" s="87"/>
      <c r="L8016" s="87"/>
      <c r="M8016" s="87" t="s">
        <v>2535</v>
      </c>
      <c r="O8016" t="str">
        <f>LEFT(Table2[[#This Row],[Description]],75)</f>
        <v>Prime Video*HT4ZJ5U30    888-802-3080 WA REF #2469216MJ334TVTE7</v>
      </c>
    </row>
    <row r="8017" spans="1:15" hidden="1">
      <c r="A8017" s="25">
        <f>VALUE(YEAR(Table2[[#This Row],[Date]])&amp;TEXT(MONTH(Table2[[#This Row],[Date]]),"00"))</f>
        <v>202210</v>
      </c>
      <c r="B8017" s="93">
        <v>44851</v>
      </c>
      <c r="C8017" s="97" t="s">
        <v>2265</v>
      </c>
      <c r="D8017" s="87" t="s">
        <v>3147</v>
      </c>
      <c r="E8017">
        <f t="shared" si="51"/>
        <v>0.31</v>
      </c>
      <c r="F8017" s="2" t="str">
        <f>IF(Table2[[#This Row],[Manual Cat Value]]="",VLOOKUP(Table2[[#This Row],[Description]],'Actuals Lookup'!D:F,3,0),Table2[[#This Row],[Manual Cat Value]])</f>
        <v>Exp - Shopping</v>
      </c>
      <c r="G8017" t="e">
        <f>VLOOKUP(D8017,Lookup!G:H,2,0)</f>
        <v>#N/A</v>
      </c>
      <c r="H8017" s="8" t="s">
        <v>36</v>
      </c>
      <c r="I8017" s="95"/>
      <c r="J8017" s="98">
        <v>0.31</v>
      </c>
      <c r="K8017" s="87"/>
      <c r="L8017" s="87"/>
      <c r="M8017" s="87"/>
      <c r="N8017" s="87" t="s">
        <v>2535</v>
      </c>
      <c r="O8017" t="str">
        <f>LEFT(Table2[[#This Row],[Description]],75)</f>
        <v xml:space="preserve">Withdrawal ACH PAYPAL TYPE: INST XFER ID: PAYPALSI77 CO: PAYPAL NAME: JEFF </v>
      </c>
    </row>
    <row r="8018" spans="1:15" hidden="1">
      <c r="A8018" s="25">
        <f>VALUE(YEAR(Table2[[#This Row],[Date]])&amp;TEXT(MONTH(Table2[[#This Row],[Date]]),"00"))</f>
        <v>202210</v>
      </c>
      <c r="B8018" s="93">
        <v>44851</v>
      </c>
      <c r="C8018" s="97" t="s">
        <v>2265</v>
      </c>
      <c r="D8018" s="87" t="s">
        <v>3148</v>
      </c>
      <c r="E8018">
        <f t="shared" si="51"/>
        <v>29.2</v>
      </c>
      <c r="F8018" s="2" t="str">
        <f>IF(Table2[[#This Row],[Manual Cat Value]]="",VLOOKUP(Table2[[#This Row],[Description]],'Actuals Lookup'!D:F,3,0),Table2[[#This Row],[Manual Cat Value]])</f>
        <v>Delete</v>
      </c>
      <c r="G8018" t="e">
        <f>VLOOKUP(D8018,Lookup!G:H,2,0)</f>
        <v>#N/A</v>
      </c>
      <c r="H8018" s="8" t="s">
        <v>9</v>
      </c>
      <c r="I8018" s="95"/>
      <c r="J8018" s="98">
        <v>29.2</v>
      </c>
      <c r="K8018" s="87"/>
      <c r="L8018" s="87"/>
      <c r="M8018" s="87"/>
      <c r="N8018" s="87" t="s">
        <v>2535</v>
      </c>
      <c r="O8018" t="str">
        <f>LEFT(Table2[[#This Row],[Description]],75)</f>
        <v>Withdrawal ACH AMEX EPAYMENT TYPE: ACH PMT ID: 0005000008 CO: AMEX EPAYMENT</v>
      </c>
    </row>
    <row r="8019" spans="1:15" hidden="1">
      <c r="A8019" s="25">
        <f>VALUE(YEAR(Table2[[#This Row],[Date]])&amp;TEXT(MONTH(Table2[[#This Row],[Date]]),"00"))</f>
        <v>202210</v>
      </c>
      <c r="B8019" s="93">
        <v>44851</v>
      </c>
      <c r="C8019" s="97" t="s">
        <v>2265</v>
      </c>
      <c r="D8019" s="87" t="s">
        <v>3149</v>
      </c>
      <c r="E8019">
        <f t="shared" si="51"/>
        <v>1.5</v>
      </c>
      <c r="F8019" s="2" t="str">
        <f>IF(Table2[[#This Row],[Manual Cat Value]]="",VLOOKUP(Table2[[#This Row],[Description]],'Actuals Lookup'!D:F,3,0),Table2[[#This Row],[Manual Cat Value]])</f>
        <v>Exp - Shopping</v>
      </c>
      <c r="G8019" t="e">
        <f>VLOOKUP(D8019,Lookup!G:H,2,0)</f>
        <v>#N/A</v>
      </c>
      <c r="H8019" s="8" t="s">
        <v>36</v>
      </c>
      <c r="I8019" s="95"/>
      <c r="J8019" s="98">
        <v>1.5</v>
      </c>
      <c r="K8019" s="87"/>
      <c r="L8019" s="87"/>
      <c r="M8019" s="87"/>
      <c r="N8019" s="87" t="s">
        <v>2535</v>
      </c>
      <c r="O8019" t="str">
        <f>LEFT(Table2[[#This Row],[Description]],75)</f>
        <v>Withdrawal ACH NORDSTROM TYPE: PAYMENT ID: 9044022131 CO: NORDSTROM NAME: J</v>
      </c>
    </row>
    <row r="8020" spans="1:15" hidden="1">
      <c r="A8020" s="25">
        <f>VALUE(YEAR(Table2[[#This Row],[Date]])&amp;TEXT(MONTH(Table2[[#This Row],[Date]]),"00"))</f>
        <v>202210</v>
      </c>
      <c r="B8020" s="93">
        <v>44851</v>
      </c>
      <c r="C8020" s="97" t="s">
        <v>2265</v>
      </c>
      <c r="D8020" s="87" t="s">
        <v>3150</v>
      </c>
      <c r="E8020">
        <f t="shared" si="51"/>
        <v>128</v>
      </c>
      <c r="F8020" s="2" t="str">
        <f>IF(Table2[[#This Row],[Manual Cat Value]]="",VLOOKUP(Table2[[#This Row],[Description]],'Actuals Lookup'!D:F,3,0),Table2[[#This Row],[Manual Cat Value]])</f>
        <v>Exp - Shopping</v>
      </c>
      <c r="G8020" t="e">
        <f>VLOOKUP(D8020,Lookup!G:H,2,0)</f>
        <v>#N/A</v>
      </c>
      <c r="H8020" s="8" t="s">
        <v>36</v>
      </c>
      <c r="I8020" s="95"/>
      <c r="J8020" s="98">
        <v>128</v>
      </c>
      <c r="K8020" s="87"/>
      <c r="L8020" s="87"/>
      <c r="M8020" s="87"/>
      <c r="N8020" s="87" t="s">
        <v>2535</v>
      </c>
      <c r="O8020" t="str">
        <f>LEFT(Table2[[#This Row],[Description]],75)</f>
        <v>Withdrawal ACH VENMO TYPE: PAYMENT ID: 326XXXXXXX CO: VENMO NAME: BRITNEY T</v>
      </c>
    </row>
    <row r="8021" spans="1:15" hidden="1">
      <c r="A8021" s="25">
        <f>VALUE(YEAR(Table2[[#This Row],[Date]])&amp;TEXT(MONTH(Table2[[#This Row],[Date]]),"00"))</f>
        <v>202210</v>
      </c>
      <c r="B8021" s="93">
        <v>44852</v>
      </c>
      <c r="C8021" s="97" t="s">
        <v>2262</v>
      </c>
      <c r="D8021" s="87" t="s">
        <v>3151</v>
      </c>
      <c r="E8021">
        <f t="shared" si="51"/>
        <v>103.39</v>
      </c>
      <c r="F8021" s="2" t="str">
        <f>IF(Table2[[#This Row],[Manual Cat Value]]="",VLOOKUP(Table2[[#This Row],[Description]],'Actuals Lookup'!D:F,3,0),Table2[[#This Row],[Manual Cat Value]])</f>
        <v>Exp - Groceries</v>
      </c>
      <c r="G8021" t="e">
        <f>VLOOKUP(D8021,Lookup!G:H,2,0)</f>
        <v>#N/A</v>
      </c>
      <c r="H8021" s="8" t="s">
        <v>27</v>
      </c>
      <c r="I8021" s="95"/>
      <c r="J8021" s="98">
        <v>103.39</v>
      </c>
      <c r="K8021" s="87"/>
      <c r="L8021" s="87"/>
      <c r="M8021" s="87" t="s">
        <v>2535</v>
      </c>
      <c r="O8021" t="str">
        <f>LEFT(Table2[[#This Row],[Description]],75)</f>
        <v>CUB FOODS  1636          952-380-9900 MN REF #2423168MJ2DES5KL1</v>
      </c>
    </row>
    <row r="8022" spans="1:15" hidden="1">
      <c r="A8022" s="25">
        <f>VALUE(YEAR(Table2[[#This Row],[Date]])&amp;TEXT(MONTH(Table2[[#This Row],[Date]]),"00"))</f>
        <v>202210</v>
      </c>
      <c r="B8022" s="93">
        <v>44852</v>
      </c>
      <c r="C8022" s="97" t="s">
        <v>2262</v>
      </c>
      <c r="D8022" s="87" t="s">
        <v>3152</v>
      </c>
      <c r="E8022">
        <f t="shared" si="51"/>
        <v>46.38</v>
      </c>
      <c r="F8022" s="2" t="str">
        <f>IF(Table2[[#This Row],[Manual Cat Value]]="",VLOOKUP(Table2[[#This Row],[Description]],'Actuals Lookup'!D:F,3,0),Table2[[#This Row],[Manual Cat Value]])</f>
        <v>Exp - Restaurants</v>
      </c>
      <c r="G8022" t="e">
        <f>VLOOKUP(D8022,Lookup!G:H,2,0)</f>
        <v>#N/A</v>
      </c>
      <c r="H8022" s="8" t="s">
        <v>25</v>
      </c>
      <c r="I8022" s="95"/>
      <c r="J8022" s="98">
        <v>46.38</v>
      </c>
      <c r="K8022" s="87"/>
      <c r="L8022" s="87"/>
      <c r="M8022" s="87" t="s">
        <v>2535</v>
      </c>
      <c r="O8022" t="str">
        <f>LEFT(Table2[[#This Row],[Description]],75)</f>
        <v>DOMINO'S 1931            EXCELSIOR    MN REF #2444500MJEHXHVYX4</v>
      </c>
    </row>
    <row r="8023" spans="1:15" hidden="1">
      <c r="A8023" s="25">
        <f>VALUE(YEAR(Table2[[#This Row],[Date]])&amp;TEXT(MONTH(Table2[[#This Row],[Date]]),"00"))</f>
        <v>202210</v>
      </c>
      <c r="B8023" s="93">
        <v>44852</v>
      </c>
      <c r="C8023" s="97" t="s">
        <v>2262</v>
      </c>
      <c r="D8023" s="87" t="s">
        <v>3153</v>
      </c>
      <c r="E8023">
        <f t="shared" si="51"/>
        <v>73.75</v>
      </c>
      <c r="F8023" s="2" t="str">
        <f>IF(Table2[[#This Row],[Manual Cat Value]]="",VLOOKUP(Table2[[#This Row],[Description]],'Actuals Lookup'!D:F,3,0),Table2[[#This Row],[Manual Cat Value]])</f>
        <v>Exp - Shopping</v>
      </c>
      <c r="G8023" t="e">
        <f>VLOOKUP(D8023,Lookup!G:H,2,0)</f>
        <v>#N/A</v>
      </c>
      <c r="H8023" s="8" t="s">
        <v>36</v>
      </c>
      <c r="I8023" s="95"/>
      <c r="J8023" s="98">
        <v>73.75</v>
      </c>
      <c r="K8023" s="87"/>
      <c r="L8023" s="87"/>
      <c r="M8023" s="87" t="s">
        <v>2535</v>
      </c>
      <c r="O8023" t="str">
        <f>LEFT(Table2[[#This Row],[Description]],75)</f>
        <v>SP DR. DENNIS GROSS      DRDENNISGROSSNY REF #2401134MJ0012S6DK</v>
      </c>
    </row>
    <row r="8024" spans="1:15" hidden="1">
      <c r="A8024" s="25">
        <f>VALUE(YEAR(Table2[[#This Row],[Date]])&amp;TEXT(MONTH(Table2[[#This Row],[Date]]),"00"))</f>
        <v>202210</v>
      </c>
      <c r="B8024" s="93">
        <v>44852</v>
      </c>
      <c r="C8024" s="97" t="s">
        <v>2262</v>
      </c>
      <c r="D8024" s="87" t="s">
        <v>3154</v>
      </c>
      <c r="E8024">
        <f t="shared" si="51"/>
        <v>20</v>
      </c>
      <c r="F8024" s="2" t="str">
        <f>IF(Table2[[#This Row],[Manual Cat Value]]="",VLOOKUP(Table2[[#This Row],[Description]],'Actuals Lookup'!D:F,3,0),Table2[[#This Row],[Manual Cat Value]])</f>
        <v>Exp - Restaurants</v>
      </c>
      <c r="G8024" t="e">
        <f>VLOOKUP(D8024,Lookup!G:H,2,0)</f>
        <v>#N/A</v>
      </c>
      <c r="H8024" s="8" t="s">
        <v>25</v>
      </c>
      <c r="I8024" s="95"/>
      <c r="J8024" s="98">
        <v>20</v>
      </c>
      <c r="K8024" s="87"/>
      <c r="L8024" s="87"/>
      <c r="M8024" s="87" t="s">
        <v>2535</v>
      </c>
      <c r="O8024" t="str">
        <f>LEFT(Table2[[#This Row],[Description]],75)</f>
        <v>STARBUCKS 800-782-7282   800-782-7282 WA REF #2444500MJ2X8PHAGE</v>
      </c>
    </row>
    <row r="8025" spans="1:15" hidden="1">
      <c r="A8025" s="25">
        <f>VALUE(YEAR(Table2[[#This Row],[Date]])&amp;TEXT(MONTH(Table2[[#This Row],[Date]]),"00"))</f>
        <v>202210</v>
      </c>
      <c r="B8025" s="93">
        <v>44852</v>
      </c>
      <c r="C8025" s="97" t="s">
        <v>2262</v>
      </c>
      <c r="D8025" s="87" t="s">
        <v>3155</v>
      </c>
      <c r="E8025">
        <f t="shared" si="51"/>
        <v>35.69</v>
      </c>
      <c r="F8025" s="2" t="str">
        <f>IF(Table2[[#This Row],[Manual Cat Value]]="",VLOOKUP(Table2[[#This Row],[Description]],'Actuals Lookup'!D:F,3,0),Table2[[#This Row],[Manual Cat Value]])</f>
        <v>Exp - Restaurants</v>
      </c>
      <c r="G8025" t="e">
        <f>VLOOKUP(D8025,Lookup!G:H,2,0)</f>
        <v>#N/A</v>
      </c>
      <c r="H8025" s="8" t="s">
        <v>25</v>
      </c>
      <c r="I8025" s="95"/>
      <c r="J8025" s="98">
        <v>35.69</v>
      </c>
      <c r="K8025" s="87"/>
      <c r="L8025" s="87"/>
      <c r="M8025" s="87" t="s">
        <v>2535</v>
      </c>
      <c r="O8025" t="str">
        <f>LEFT(Table2[[#This Row],[Description]],75)</f>
        <v>TST* Red Cow - 50th St   612-767-4411 MN REF #2469216MJ339S9B5H</v>
      </c>
    </row>
    <row r="8026" spans="1:15" hidden="1">
      <c r="A8026" s="25">
        <f>VALUE(YEAR(Table2[[#This Row],[Date]])&amp;TEXT(MONTH(Table2[[#This Row],[Date]]),"00"))</f>
        <v>202210</v>
      </c>
      <c r="B8026" s="93">
        <v>44852</v>
      </c>
      <c r="C8026" s="97" t="s">
        <v>2265</v>
      </c>
      <c r="D8026" s="87" t="s">
        <v>3156</v>
      </c>
      <c r="E8026">
        <f t="shared" si="51"/>
        <v>315</v>
      </c>
      <c r="F8026" s="2" t="str">
        <f>IF(Table2[[#This Row],[Manual Cat Value]]="",VLOOKUP(Table2[[#This Row],[Description]],'Actuals Lookup'!D:F,3,0),Table2[[#This Row],[Manual Cat Value]])</f>
        <v>Exp - Day Care</v>
      </c>
      <c r="G8026" t="e">
        <f>VLOOKUP(D8026,Lookup!G:H,2,0)</f>
        <v>#N/A</v>
      </c>
      <c r="H8026" s="8" t="s">
        <v>19</v>
      </c>
      <c r="I8026" s="95"/>
      <c r="J8026" s="98">
        <v>315</v>
      </c>
      <c r="K8026" s="87"/>
      <c r="L8026" s="87"/>
      <c r="M8026" s="87"/>
      <c r="N8026" s="87" t="s">
        <v>2535</v>
      </c>
      <c r="O8026" t="str">
        <f>LEFT(Table2[[#This Row],[Description]],75)</f>
        <v xml:space="preserve">Withdrawal ACH MHCHILDCARELLC TYPE: DUES ID: 1824708198 CO: MHCHILDCARELLC </v>
      </c>
    </row>
    <row r="8027" spans="1:15" hidden="1">
      <c r="A8027" s="25">
        <f>VALUE(YEAR(Table2[[#This Row],[Date]])&amp;TEXT(MONTH(Table2[[#This Row],[Date]]),"00"))</f>
        <v>202210</v>
      </c>
      <c r="B8027" s="93">
        <v>44852</v>
      </c>
      <c r="C8027" s="97" t="s">
        <v>2265</v>
      </c>
      <c r="D8027" s="87" t="s">
        <v>3157</v>
      </c>
      <c r="E8027">
        <f t="shared" si="51"/>
        <v>200</v>
      </c>
      <c r="F8027" s="2" t="str">
        <f>IF(Table2[[#This Row],[Manual Cat Value]]="",VLOOKUP(Table2[[#This Row],[Description]],'Actuals Lookup'!D:F,3,0),Table2[[#This Row],[Manual Cat Value]])</f>
        <v>Exp - Shopping</v>
      </c>
      <c r="G8027" t="e">
        <f>VLOOKUP(D8027,Lookup!G:H,2,0)</f>
        <v>#N/A</v>
      </c>
      <c r="H8027" s="8" t="s">
        <v>36</v>
      </c>
      <c r="I8027" s="95"/>
      <c r="J8027" s="98">
        <v>200</v>
      </c>
      <c r="K8027" s="87"/>
      <c r="L8027" s="87"/>
      <c r="M8027" s="87"/>
      <c r="N8027" s="87" t="s">
        <v>2535</v>
      </c>
      <c r="O8027" t="str">
        <f>LEFT(Table2[[#This Row],[Description]],75)</f>
        <v>Withdrawal ACH MN DIR ACH TYPE: CONTRIB ID: 2416007162 CO: MN DIR ACH NAME:</v>
      </c>
    </row>
    <row r="8028" spans="1:15" hidden="1">
      <c r="A8028" s="25">
        <f>VALUE(YEAR(Table2[[#This Row],[Date]])&amp;TEXT(MONTH(Table2[[#This Row],[Date]]),"00"))</f>
        <v>202210</v>
      </c>
      <c r="B8028" s="93">
        <v>44852</v>
      </c>
      <c r="C8028" s="97" t="s">
        <v>2265</v>
      </c>
      <c r="D8028" s="87" t="s">
        <v>3158</v>
      </c>
      <c r="E8028">
        <f t="shared" si="51"/>
        <v>174</v>
      </c>
      <c r="F8028" s="2" t="str">
        <f>IF(Table2[[#This Row],[Manual Cat Value]]="",VLOOKUP(Table2[[#This Row],[Description]],'Actuals Lookup'!D:F,3,0),Table2[[#This Row],[Manual Cat Value]])</f>
        <v>Exp - Healthcare</v>
      </c>
      <c r="G8028" t="e">
        <f>VLOOKUP(D8028,Lookup!G:H,2,0)</f>
        <v>#N/A</v>
      </c>
      <c r="H8028" s="8" t="s">
        <v>47</v>
      </c>
      <c r="I8028" s="95"/>
      <c r="J8028" s="98">
        <v>174</v>
      </c>
      <c r="K8028" s="87"/>
      <c r="L8028" s="87"/>
      <c r="M8028" s="87"/>
      <c r="N8028" s="87" t="s">
        <v>2535</v>
      </c>
      <c r="O8028" t="str">
        <f>LEFT(Table2[[#This Row],[Description]],75)</f>
        <v>Withdrawal ACH Ridgeview Medica TYPE: ONLINE PAY ID: RF00059954 CO: Ridgevi</v>
      </c>
    </row>
    <row r="8029" spans="1:15" ht="30" hidden="1">
      <c r="A8029" s="25">
        <f>VALUE(YEAR(Table2[[#This Row],[Date]])&amp;TEXT(MONTH(Table2[[#This Row],[Date]]),"00"))</f>
        <v>202210</v>
      </c>
      <c r="B8029" s="6">
        <v>44853</v>
      </c>
      <c r="C8029" t="s">
        <v>2447</v>
      </c>
      <c r="D8029" s="7" t="s">
        <v>3159</v>
      </c>
      <c r="E8029">
        <f t="shared" si="51"/>
        <v>41.51</v>
      </c>
      <c r="F8029" s="2" t="str">
        <f>IF(Table2[[#This Row],[Manual Cat Value]]="",VLOOKUP(Table2[[#This Row],[Description]],'Actuals Lookup'!D:F,3,0),Table2[[#This Row],[Manual Cat Value]])</f>
        <v>Exp - Amazon</v>
      </c>
      <c r="G8029" t="e">
        <f>VLOOKUP(D8029,Lookup!G:H,2,0)</f>
        <v>#N/A</v>
      </c>
      <c r="H8029" s="78" t="s">
        <v>37</v>
      </c>
      <c r="I8029" s="78"/>
      <c r="J8029">
        <v>41.51</v>
      </c>
      <c r="M8029" t="s">
        <v>2513</v>
      </c>
      <c r="O8029" t="str">
        <f>LEFT(Table2[[#This Row],[Description]],75)</f>
        <v>AMZN MKTP US*H86NM8TE0 AMZN.COM/BILLWA
3N5VC289HWY</v>
      </c>
    </row>
    <row r="8030" spans="1:15" ht="30" hidden="1">
      <c r="A8030" s="25">
        <f>VALUE(YEAR(Table2[[#This Row],[Date]])&amp;TEXT(MONTH(Table2[[#This Row],[Date]]),"00"))</f>
        <v>202210</v>
      </c>
      <c r="B8030" s="6">
        <v>44854</v>
      </c>
      <c r="C8030" t="s">
        <v>2447</v>
      </c>
      <c r="D8030" s="7" t="s">
        <v>3160</v>
      </c>
      <c r="E8030">
        <f t="shared" si="51"/>
        <v>54.32</v>
      </c>
      <c r="F8030" s="2" t="str">
        <f>IF(Table2[[#This Row],[Manual Cat Value]]="",VLOOKUP(Table2[[#This Row],[Description]],'Actuals Lookup'!D:F,3,0),Table2[[#This Row],[Manual Cat Value]])</f>
        <v>Exp - Amazon</v>
      </c>
      <c r="G8030" t="e">
        <f>VLOOKUP(D8030,Lookup!G:H,2,0)</f>
        <v>#N/A</v>
      </c>
      <c r="H8030" s="78" t="s">
        <v>37</v>
      </c>
      <c r="I8030" s="78"/>
      <c r="J8030">
        <v>54.32</v>
      </c>
      <c r="M8030" t="s">
        <v>2513</v>
      </c>
      <c r="O8030" t="str">
        <f>LEFT(Table2[[#This Row],[Description]],75)</f>
        <v>AMZN MKTP US*H80YD0GF0 AMZN.COM/BILLWA
7AMVK2D2VM8</v>
      </c>
    </row>
    <row r="8031" spans="1:15" hidden="1">
      <c r="A8031" s="25">
        <f>VALUE(YEAR(Table2[[#This Row],[Date]])&amp;TEXT(MONTH(Table2[[#This Row],[Date]]),"00"))</f>
        <v>202210</v>
      </c>
      <c r="B8031" s="93">
        <v>44861</v>
      </c>
      <c r="C8031" s="97" t="s">
        <v>2265</v>
      </c>
      <c r="D8031" s="87" t="s">
        <v>3161</v>
      </c>
      <c r="E8031">
        <f t="shared" si="51"/>
        <v>279.39999999999998</v>
      </c>
      <c r="F8031" s="2" t="str">
        <f>IF(Table2[[#This Row],[Manual Cat Value]]="",VLOOKUP(Table2[[#This Row],[Description]],'Actuals Lookup'!D:F,3,0),Table2[[#This Row],[Manual Cat Value]])</f>
        <v>Exp - Shopping</v>
      </c>
      <c r="G8031" t="e">
        <f>VLOOKUP(D8031,Lookup!G:H,2,0)</f>
        <v>#N/A</v>
      </c>
      <c r="H8031" s="8" t="s">
        <v>36</v>
      </c>
      <c r="I8031" s="95" t="s">
        <v>2534</v>
      </c>
      <c r="J8031" s="98">
        <v>279.39999999999998</v>
      </c>
      <c r="K8031" s="87"/>
      <c r="L8031" s="87"/>
      <c r="M8031" s="87"/>
      <c r="N8031" s="87" t="s">
        <v>2535</v>
      </c>
      <c r="O8031" t="str">
        <f>LEFT(Table2[[#This Row],[Description]],75)</f>
        <v>Draft 2347 Tracer 990000442</v>
      </c>
    </row>
    <row r="8032" spans="1:15" hidden="1">
      <c r="A8032" s="25">
        <f>VALUE(YEAR(Table2[[#This Row],[Date]])&amp;TEXT(MONTH(Table2[[#This Row],[Date]]),"00"))</f>
        <v>202210</v>
      </c>
      <c r="B8032" s="93">
        <v>44854</v>
      </c>
      <c r="C8032" s="97" t="s">
        <v>2262</v>
      </c>
      <c r="D8032" s="87" t="s">
        <v>3162</v>
      </c>
      <c r="E8032">
        <f t="shared" si="51"/>
        <v>52.86</v>
      </c>
      <c r="F8032" s="2" t="str">
        <f>IF(Table2[[#This Row],[Manual Cat Value]]="",VLOOKUP(Table2[[#This Row],[Description]],'Actuals Lookup'!D:F,3,0),Table2[[#This Row],[Manual Cat Value]])</f>
        <v>Exp - Transportation</v>
      </c>
      <c r="G8032" t="e">
        <f>VLOOKUP(D8032,Lookup!G:H,2,0)</f>
        <v>#N/A</v>
      </c>
      <c r="H8032" s="8" t="s">
        <v>22</v>
      </c>
      <c r="I8032" s="95"/>
      <c r="J8032" s="98">
        <v>52.86</v>
      </c>
      <c r="K8032" s="87"/>
      <c r="L8032" s="87"/>
      <c r="M8032" s="87" t="s">
        <v>2535</v>
      </c>
      <c r="O8032" t="str">
        <f>LEFT(Table2[[#This Row],[Description]],75)</f>
        <v>KWIK TRIP  40200004028   CHANHASSEN   MN REF #2416407MLL3HMFNP7</v>
      </c>
    </row>
    <row r="8033" spans="1:15" hidden="1">
      <c r="A8033" s="25">
        <f>VALUE(YEAR(Table2[[#This Row],[Date]])&amp;TEXT(MONTH(Table2[[#This Row],[Date]]),"00"))</f>
        <v>202210</v>
      </c>
      <c r="B8033" s="93">
        <v>44854</v>
      </c>
      <c r="C8033" s="97" t="s">
        <v>2262</v>
      </c>
      <c r="D8033" s="87" t="s">
        <v>3163</v>
      </c>
      <c r="E8033">
        <f t="shared" si="51"/>
        <v>65.540000000000006</v>
      </c>
      <c r="F8033" s="2" t="str">
        <f>IF(Table2[[#This Row],[Manual Cat Value]]="",VLOOKUP(Table2[[#This Row],[Description]],'Actuals Lookup'!D:F,3,0),Table2[[#This Row],[Manual Cat Value]])</f>
        <v>Exp - Transportation</v>
      </c>
      <c r="G8033" t="e">
        <f>VLOOKUP(D8033,Lookup!G:H,2,0)</f>
        <v>#N/A</v>
      </c>
      <c r="H8033" s="8" t="s">
        <v>22</v>
      </c>
      <c r="I8033" s="95"/>
      <c r="J8033" s="98">
        <v>65.540000000000006</v>
      </c>
      <c r="K8033" s="87"/>
      <c r="L8033" s="87"/>
      <c r="M8033" s="87" t="s">
        <v>2535</v>
      </c>
      <c r="O8033" t="str">
        <f>LEFT(Table2[[#This Row],[Description]],75)</f>
        <v>SPEEDWAY 04366           EXCELSIOR    MN REF #2413746MM01D58P4W</v>
      </c>
    </row>
    <row r="8034" spans="1:15" hidden="1">
      <c r="A8034" s="25">
        <f>VALUE(YEAR(Table2[[#This Row],[Date]])&amp;TEXT(MONTH(Table2[[#This Row],[Date]]),"00"))</f>
        <v>202210</v>
      </c>
      <c r="B8034" s="93">
        <v>44854</v>
      </c>
      <c r="C8034" s="97" t="s">
        <v>2262</v>
      </c>
      <c r="D8034" s="87" t="s">
        <v>3164</v>
      </c>
      <c r="E8034">
        <f t="shared" si="51"/>
        <v>31.63</v>
      </c>
      <c r="F8034" s="2" t="str">
        <f>IF(Table2[[#This Row],[Manual Cat Value]]="",VLOOKUP(Table2[[#This Row],[Description]],'Actuals Lookup'!D:F,3,0),Table2[[#This Row],[Manual Cat Value]])</f>
        <v>Exp - Shopping</v>
      </c>
      <c r="G8034" t="e">
        <f>VLOOKUP(D8034,Lookup!G:H,2,0)</f>
        <v>#N/A</v>
      </c>
      <c r="H8034" s="8" t="s">
        <v>36</v>
      </c>
      <c r="I8034" s="95"/>
      <c r="J8034" s="98">
        <v>31.63</v>
      </c>
      <c r="K8034" s="87"/>
      <c r="L8034" s="87"/>
      <c r="M8034" s="87" t="s">
        <v>2535</v>
      </c>
      <c r="O8034" t="str">
        <f>LEFT(Table2[[#This Row],[Description]],75)</f>
        <v>WALGREENS #12434         EXCELSIOR    MN REF #2444500MM00W294JT</v>
      </c>
    </row>
    <row r="8035" spans="1:15" hidden="1">
      <c r="A8035" s="25">
        <f>VALUE(YEAR(Table2[[#This Row],[Date]])&amp;TEXT(MONTH(Table2[[#This Row],[Date]]),"00"))</f>
        <v>202210</v>
      </c>
      <c r="B8035" s="93">
        <v>44855</v>
      </c>
      <c r="C8035" s="97" t="s">
        <v>2262</v>
      </c>
      <c r="D8035" s="87" t="s">
        <v>3165</v>
      </c>
      <c r="E8035">
        <f t="shared" si="51"/>
        <v>11</v>
      </c>
      <c r="F8035" s="2" t="str">
        <f>IF(Table2[[#This Row],[Manual Cat Value]]="",VLOOKUP(Table2[[#This Row],[Description]],'Actuals Lookup'!D:F,3,0),Table2[[#This Row],[Manual Cat Value]])</f>
        <v>Exp - House Maint</v>
      </c>
      <c r="G8035" t="e">
        <f>VLOOKUP(D8035,Lookup!G:H,2,0)</f>
        <v>#N/A</v>
      </c>
      <c r="H8035" s="8" t="s">
        <v>1</v>
      </c>
      <c r="I8035" s="95"/>
      <c r="J8035" s="98">
        <v>11</v>
      </c>
      <c r="K8035" s="87"/>
      <c r="L8035" s="87"/>
      <c r="M8035" s="87" t="s">
        <v>2535</v>
      </c>
      <c r="O8035" t="str">
        <f>LEFT(Table2[[#This Row],[Description]],75)</f>
        <v>BONFES PLUMBING HEATING A651-3326633  MN REF #2427539MMS66E823V</v>
      </c>
    </row>
    <row r="8036" spans="1:15" hidden="1">
      <c r="A8036" s="25">
        <f>VALUE(YEAR(Table2[[#This Row],[Date]])&amp;TEXT(MONTH(Table2[[#This Row],[Date]]),"00"))</f>
        <v>202210</v>
      </c>
      <c r="B8036" s="93">
        <v>44855</v>
      </c>
      <c r="C8036" s="97" t="s">
        <v>2262</v>
      </c>
      <c r="D8036" s="87" t="s">
        <v>3166</v>
      </c>
      <c r="E8036">
        <f t="shared" ref="E8036:E8072" si="52">IF(M8036="credit",-1*J8036,J8036)</f>
        <v>16.73</v>
      </c>
      <c r="F8036" s="2" t="str">
        <f>IF(Table2[[#This Row],[Manual Cat Value]]="",VLOOKUP(Table2[[#This Row],[Description]],'Actuals Lookup'!D:F,3,0),Table2[[#This Row],[Manual Cat Value]])</f>
        <v>Exp - Utilities</v>
      </c>
      <c r="G8036" t="e">
        <f>VLOOKUP(D8036,Lookup!G:H,2,0)</f>
        <v>#N/A</v>
      </c>
      <c r="H8036" s="8" t="s">
        <v>6</v>
      </c>
      <c r="I8036" s="95"/>
      <c r="J8036" s="98">
        <v>16.73</v>
      </c>
      <c r="K8036" s="87"/>
      <c r="L8036" s="87"/>
      <c r="M8036" s="87" t="s">
        <v>2535</v>
      </c>
      <c r="O8036" t="str">
        <f>LEFT(Table2[[#This Row],[Description]],75)</f>
        <v>Netflix.com              866-5797172  CA REF #2490641MM4KVP914L</v>
      </c>
    </row>
    <row r="8037" spans="1:15" hidden="1">
      <c r="A8037" s="25">
        <f>VALUE(YEAR(Table2[[#This Row],[Date]])&amp;TEXT(MONTH(Table2[[#This Row],[Date]]),"00"))</f>
        <v>202210</v>
      </c>
      <c r="B8037" s="93">
        <v>44855</v>
      </c>
      <c r="C8037" s="97" t="s">
        <v>2265</v>
      </c>
      <c r="D8037" s="87" t="s">
        <v>3167</v>
      </c>
      <c r="E8037">
        <f t="shared" si="52"/>
        <v>59.07</v>
      </c>
      <c r="F8037" s="2" t="str">
        <f>IF(Table2[[#This Row],[Manual Cat Value]]="",VLOOKUP(Table2[[#This Row],[Description]],'Actuals Lookup'!D:F,3,0),Table2[[#This Row],[Manual Cat Value]])</f>
        <v>Exp - Utilities</v>
      </c>
      <c r="G8037" t="e">
        <f>VLOOKUP(D8037,Lookup!G:H,2,0)</f>
        <v>#N/A</v>
      </c>
      <c r="H8037" s="8" t="s">
        <v>6</v>
      </c>
      <c r="I8037" s="95"/>
      <c r="J8037" s="98">
        <v>59.07</v>
      </c>
      <c r="K8037" s="87"/>
      <c r="L8037" s="87"/>
      <c r="M8037" s="87"/>
      <c r="N8037" s="87" t="s">
        <v>2535</v>
      </c>
      <c r="O8037" t="str">
        <f>LEFT(Table2[[#This Row],[Description]],75)</f>
        <v xml:space="preserve">Withdrawal ACH CITY OF CHANHASS TYPE: UTIL BILL ID: 1410885331 CO: CITY OF </v>
      </c>
    </row>
    <row r="8038" spans="1:15" hidden="1">
      <c r="A8038" s="25">
        <f>VALUE(YEAR(Table2[[#This Row],[Date]])&amp;TEXT(MONTH(Table2[[#This Row],[Date]]),"00"))</f>
        <v>202210</v>
      </c>
      <c r="B8038" s="93">
        <v>44855</v>
      </c>
      <c r="C8038" s="97" t="s">
        <v>2265</v>
      </c>
      <c r="D8038" s="87" t="s">
        <v>3168</v>
      </c>
      <c r="E8038">
        <f t="shared" si="52"/>
        <v>5.39</v>
      </c>
      <c r="F8038" s="2" t="str">
        <f>IF(Table2[[#This Row],[Manual Cat Value]]="",VLOOKUP(Table2[[#This Row],[Description]],'Actuals Lookup'!D:F,3,0),Table2[[#This Row],[Manual Cat Value]])</f>
        <v>Exp - Shopping</v>
      </c>
      <c r="G8038" t="e">
        <f>VLOOKUP(D8038,Lookup!G:H,2,0)</f>
        <v>#N/A</v>
      </c>
      <c r="H8038" s="8" t="s">
        <v>36</v>
      </c>
      <c r="I8038" s="95"/>
      <c r="J8038" s="98">
        <v>5.39</v>
      </c>
      <c r="K8038" s="87"/>
      <c r="L8038" s="87"/>
      <c r="M8038" s="87"/>
      <c r="N8038" s="87" t="s">
        <v>2535</v>
      </c>
      <c r="O8038" t="str">
        <f>LEFT(Table2[[#This Row],[Description]],75)</f>
        <v xml:space="preserve">Withdrawal ACH PAYPAL TYPE: INST XFER ID: PAYPALSI77 CO: PAYPAL NAME: JEFF </v>
      </c>
    </row>
    <row r="8039" spans="1:15" hidden="1">
      <c r="A8039" s="25">
        <f>VALUE(YEAR(Table2[[#This Row],[Date]])&amp;TEXT(MONTH(Table2[[#This Row],[Date]]),"00"))</f>
        <v>202210</v>
      </c>
      <c r="B8039" s="93">
        <v>44855</v>
      </c>
      <c r="C8039" s="97" t="s">
        <v>2265</v>
      </c>
      <c r="D8039" s="87" t="s">
        <v>3169</v>
      </c>
      <c r="E8039">
        <f t="shared" si="52"/>
        <v>125</v>
      </c>
      <c r="F8039" s="2" t="str">
        <f>IF(Table2[[#This Row],[Manual Cat Value]]="",VLOOKUP(Table2[[#This Row],[Description]],'Actuals Lookup'!D:F,3,0),Table2[[#This Row],[Manual Cat Value]])</f>
        <v>Exp - Shopping</v>
      </c>
      <c r="G8039" t="e">
        <f>VLOOKUP(D8039,Lookup!G:H,2,0)</f>
        <v>#N/A</v>
      </c>
      <c r="H8039" s="8" t="s">
        <v>36</v>
      </c>
      <c r="I8039" s="95"/>
      <c r="J8039" s="98">
        <v>125</v>
      </c>
      <c r="K8039" s="87"/>
      <c r="L8039" s="87"/>
      <c r="M8039" s="87"/>
      <c r="N8039" s="87" t="s">
        <v>2535</v>
      </c>
      <c r="O8039" t="str">
        <f>LEFT(Table2[[#This Row],[Description]],75)</f>
        <v>Withdrawal ACH VENMO TYPE: PAYMENT ID: 326XXXXXXX CO: VENMO NAME: BRITNEY T</v>
      </c>
    </row>
    <row r="8040" spans="1:15" ht="30" hidden="1">
      <c r="A8040" s="25">
        <f>VALUE(YEAR(Table2[[#This Row],[Date]])&amp;TEXT(MONTH(Table2[[#This Row],[Date]]),"00"))</f>
        <v>202210</v>
      </c>
      <c r="B8040" s="6">
        <v>44856</v>
      </c>
      <c r="C8040" t="s">
        <v>2447</v>
      </c>
      <c r="D8040" s="7" t="s">
        <v>3170</v>
      </c>
      <c r="E8040">
        <f t="shared" si="52"/>
        <v>21.46</v>
      </c>
      <c r="F8040" s="2" t="str">
        <f>IF(Table2[[#This Row],[Manual Cat Value]]="",VLOOKUP(Table2[[#This Row],[Description]],'Actuals Lookup'!D:F,3,0),Table2[[#This Row],[Manual Cat Value]])</f>
        <v>Exp - Amazon</v>
      </c>
      <c r="G8040" t="e">
        <f>VLOOKUP(D8040,Lookup!G:H,2,0)</f>
        <v>#N/A</v>
      </c>
      <c r="H8040" s="78" t="s">
        <v>37</v>
      </c>
      <c r="I8040" s="78"/>
      <c r="J8040">
        <v>21.46</v>
      </c>
      <c r="M8040" t="s">
        <v>2513</v>
      </c>
      <c r="O8040" t="str">
        <f>LEFT(Table2[[#This Row],[Description]],75)</f>
        <v>AMZN MKTP US*HT39A9R62 AMZN.COM/BILLWA
2OZS5E3AFEP</v>
      </c>
    </row>
    <row r="8041" spans="1:15" ht="30" hidden="1">
      <c r="A8041" s="25">
        <f>VALUE(YEAR(Table2[[#This Row],[Date]])&amp;TEXT(MONTH(Table2[[#This Row],[Date]]),"00"))</f>
        <v>202210</v>
      </c>
      <c r="B8041" s="6">
        <v>44857</v>
      </c>
      <c r="C8041" t="s">
        <v>2447</v>
      </c>
      <c r="D8041" s="7" t="s">
        <v>3171</v>
      </c>
      <c r="E8041">
        <f t="shared" si="52"/>
        <v>39.89</v>
      </c>
      <c r="F8041" s="2" t="str">
        <f>IF(Table2[[#This Row],[Manual Cat Value]]="",VLOOKUP(Table2[[#This Row],[Description]],'Actuals Lookup'!D:F,3,0),Table2[[#This Row],[Manual Cat Value]])</f>
        <v>Exp - Amazon</v>
      </c>
      <c r="G8041" t="e">
        <f>VLOOKUP(D8041,Lookup!G:H,2,0)</f>
        <v>#N/A</v>
      </c>
      <c r="H8041" s="78" t="s">
        <v>37</v>
      </c>
      <c r="I8041" s="78"/>
      <c r="J8041">
        <v>39.89</v>
      </c>
      <c r="M8041" t="s">
        <v>2513</v>
      </c>
      <c r="O8041" t="str">
        <f>LEFT(Table2[[#This Row],[Description]],75)</f>
        <v>AMZN MKTP US*H80NG8QI1 AMZN.COM/BILLWA
3QGKXROMAWI</v>
      </c>
    </row>
    <row r="8042" spans="1:15" ht="30" hidden="1">
      <c r="A8042" s="25">
        <f>VALUE(YEAR(Table2[[#This Row],[Date]])&amp;TEXT(MONTH(Table2[[#This Row],[Date]]),"00"))</f>
        <v>202210</v>
      </c>
      <c r="B8042" s="6">
        <v>44857</v>
      </c>
      <c r="C8042" t="s">
        <v>2447</v>
      </c>
      <c r="D8042" s="7" t="s">
        <v>3172</v>
      </c>
      <c r="E8042">
        <f t="shared" si="52"/>
        <v>36.5</v>
      </c>
      <c r="F8042" s="2" t="str">
        <f>IF(Table2[[#This Row],[Manual Cat Value]]="",VLOOKUP(Table2[[#This Row],[Description]],'Actuals Lookup'!D:F,3,0),Table2[[#This Row],[Manual Cat Value]])</f>
        <v>Exp - Amazon</v>
      </c>
      <c r="G8042" t="e">
        <f>VLOOKUP(D8042,Lookup!G:H,2,0)</f>
        <v>#N/A</v>
      </c>
      <c r="H8042" s="78" t="s">
        <v>37</v>
      </c>
      <c r="I8042" s="78"/>
      <c r="J8042">
        <v>36.5</v>
      </c>
      <c r="M8042" t="s">
        <v>2513</v>
      </c>
      <c r="O8042" t="str">
        <f>LEFT(Table2[[#This Row],[Description]],75)</f>
        <v>AMZN MKTP US*H84PA2780 AMZN.COM/BILLWA
69V9URG5OJL</v>
      </c>
    </row>
    <row r="8043" spans="1:15" hidden="1">
      <c r="A8043" s="25">
        <f>VALUE(YEAR(Table2[[#This Row],[Date]])&amp;TEXT(MONTH(Table2[[#This Row],[Date]]),"00"))</f>
        <v>202210</v>
      </c>
      <c r="B8043" s="93">
        <v>44857</v>
      </c>
      <c r="C8043" s="97" t="s">
        <v>2262</v>
      </c>
      <c r="D8043" s="87" t="s">
        <v>3173</v>
      </c>
      <c r="E8043">
        <f t="shared" si="52"/>
        <v>82.92</v>
      </c>
      <c r="F8043" s="2" t="str">
        <f>IF(Table2[[#This Row],[Manual Cat Value]]="",VLOOKUP(Table2[[#This Row],[Description]],'Actuals Lookup'!D:F,3,0),Table2[[#This Row],[Manual Cat Value]])</f>
        <v>Exp - Groceries</v>
      </c>
      <c r="G8043" t="e">
        <f>VLOOKUP(D8043,Lookup!G:H,2,0)</f>
        <v>#N/A</v>
      </c>
      <c r="H8043" s="8" t="s">
        <v>27</v>
      </c>
      <c r="I8043" s="95"/>
      <c r="J8043" s="98">
        <v>82.92</v>
      </c>
      <c r="K8043" s="87"/>
      <c r="L8043" s="87"/>
      <c r="M8043" s="87" t="s">
        <v>2535</v>
      </c>
      <c r="O8043" t="str">
        <f>LEFT(Table2[[#This Row],[Description]],75)</f>
        <v>ARBORETUM APPLEHOUSE     CHASKA       MN REF #2413829MP2M7WMM1H</v>
      </c>
    </row>
    <row r="8044" spans="1:15" hidden="1">
      <c r="A8044" s="25">
        <f>VALUE(YEAR(Table2[[#This Row],[Date]])&amp;TEXT(MONTH(Table2[[#This Row],[Date]]),"00"))</f>
        <v>202210</v>
      </c>
      <c r="B8044" s="93">
        <v>44857</v>
      </c>
      <c r="C8044" s="97" t="s">
        <v>2262</v>
      </c>
      <c r="D8044" s="87" t="s">
        <v>3174</v>
      </c>
      <c r="E8044">
        <f t="shared" si="52"/>
        <v>11.69</v>
      </c>
      <c r="F8044" s="2" t="str">
        <f>IF(Table2[[#This Row],[Manual Cat Value]]="",VLOOKUP(Table2[[#This Row],[Description]],'Actuals Lookup'!D:F,3,0),Table2[[#This Row],[Manual Cat Value]])</f>
        <v>Exp - Groceries</v>
      </c>
      <c r="G8044" t="e">
        <f>VLOOKUP(D8044,Lookup!G:H,2,0)</f>
        <v>#N/A</v>
      </c>
      <c r="H8044" s="8" t="s">
        <v>27</v>
      </c>
      <c r="I8044" s="95"/>
      <c r="J8044" s="98">
        <v>11.69</v>
      </c>
      <c r="K8044" s="87"/>
      <c r="L8044" s="87"/>
      <c r="M8044" s="87" t="s">
        <v>2535</v>
      </c>
      <c r="O8044" t="str">
        <f>LEFT(Table2[[#This Row],[Description]],75)</f>
        <v>ARBORETUM APPLEHOUSE     CHASKA       MN REF #2413829MP2M7WMM1T</v>
      </c>
    </row>
    <row r="8045" spans="1:15" hidden="1">
      <c r="A8045" s="25">
        <f>VALUE(YEAR(Table2[[#This Row],[Date]])&amp;TEXT(MONTH(Table2[[#This Row],[Date]]),"00"))</f>
        <v>202210</v>
      </c>
      <c r="B8045" s="93">
        <v>44857</v>
      </c>
      <c r="C8045" s="97" t="s">
        <v>2262</v>
      </c>
      <c r="D8045" s="87" t="s">
        <v>3175</v>
      </c>
      <c r="E8045">
        <f t="shared" si="52"/>
        <v>30.09</v>
      </c>
      <c r="F8045" s="2" t="str">
        <f>IF(Table2[[#This Row],[Manual Cat Value]]="",VLOOKUP(Table2[[#This Row],[Description]],'Actuals Lookup'!D:F,3,0),Table2[[#This Row],[Manual Cat Value]])</f>
        <v>Exp - Groceries</v>
      </c>
      <c r="G8045" t="e">
        <f>VLOOKUP(D8045,Lookup!G:H,2,0)</f>
        <v>#N/A</v>
      </c>
      <c r="H8045" s="8" t="s">
        <v>27</v>
      </c>
      <c r="I8045" s="95"/>
      <c r="J8045" s="98">
        <v>30.09</v>
      </c>
      <c r="K8045" s="87"/>
      <c r="L8045" s="87"/>
      <c r="M8045" s="87" t="s">
        <v>2535</v>
      </c>
      <c r="O8045" t="str">
        <f>LEFT(Table2[[#This Row],[Description]],75)</f>
        <v>CUB FOODS #5704          MINNETONKA   MN REF #2442733MPM83LJADA</v>
      </c>
    </row>
    <row r="8046" spans="1:15" hidden="1">
      <c r="A8046" s="25">
        <f>VALUE(YEAR(Table2[[#This Row],[Date]])&amp;TEXT(MONTH(Table2[[#This Row],[Date]]),"00"))</f>
        <v>202210</v>
      </c>
      <c r="B8046" s="93">
        <v>44857</v>
      </c>
      <c r="C8046" s="97" t="s">
        <v>2265</v>
      </c>
      <c r="D8046" s="87" t="s">
        <v>3176</v>
      </c>
      <c r="E8046">
        <f t="shared" si="52"/>
        <v>67.930000000000007</v>
      </c>
      <c r="F8046" s="2" t="str">
        <f>IF(Table2[[#This Row],[Manual Cat Value]]="",VLOOKUP(Table2[[#This Row],[Description]],'Actuals Lookup'!D:F,3,0),Table2[[#This Row],[Manual Cat Value]])</f>
        <v>Inc - Britney</v>
      </c>
      <c r="G8046" t="e">
        <f>VLOOKUP(D8046,Lookup!G:H,2,0)</f>
        <v>#N/A</v>
      </c>
      <c r="H8046" s="8" t="s">
        <v>65</v>
      </c>
      <c r="I8046" s="95"/>
      <c r="J8046" s="98">
        <v>67.930000000000007</v>
      </c>
      <c r="K8046" s="87"/>
      <c r="L8046" s="87"/>
      <c r="M8046" s="87"/>
      <c r="N8046" s="87" t="s">
        <v>3074</v>
      </c>
      <c r="O8046" t="str">
        <f>LEFT(Table2[[#This Row],[Description]],75)</f>
        <v>Deposit ACH CARGILL INCORPOR TYPE: 004XXXXXXX ID: 2410177680 CO: CARGILL IN</v>
      </c>
    </row>
    <row r="8047" spans="1:15" hidden="1">
      <c r="A8047" s="25">
        <f>VALUE(YEAR(Table2[[#This Row],[Date]])&amp;TEXT(MONTH(Table2[[#This Row],[Date]]),"00"))</f>
        <v>202210</v>
      </c>
      <c r="B8047" s="93">
        <v>44857</v>
      </c>
      <c r="C8047" s="97" t="s">
        <v>2262</v>
      </c>
      <c r="D8047" s="87" t="s">
        <v>3177</v>
      </c>
      <c r="E8047">
        <f t="shared" si="52"/>
        <v>3.23</v>
      </c>
      <c r="F8047" s="2" t="str">
        <f>IF(Table2[[#This Row],[Manual Cat Value]]="",VLOOKUP(Table2[[#This Row],[Description]],'Actuals Lookup'!D:F,3,0),Table2[[#This Row],[Manual Cat Value]])</f>
        <v>Exp - Groceries</v>
      </c>
      <c r="G8047" t="e">
        <f>VLOOKUP(D8047,Lookup!G:H,2,0)</f>
        <v>#N/A</v>
      </c>
      <c r="H8047" s="8" t="s">
        <v>27</v>
      </c>
      <c r="I8047" s="95"/>
      <c r="J8047" s="98">
        <v>3.23</v>
      </c>
      <c r="K8047" s="87"/>
      <c r="L8047" s="87"/>
      <c r="M8047" s="87" t="s">
        <v>2535</v>
      </c>
      <c r="O8047" t="str">
        <f>LEFT(Table2[[#This Row],[Description]],75)</f>
        <v>LAKESHORE MARKET &amp; MORE  EXCELSIOR    MN REF #2405522MRRDQ8F0GE</v>
      </c>
    </row>
    <row r="8048" spans="1:15" hidden="1">
      <c r="A8048" s="25">
        <f>VALUE(YEAR(Table2[[#This Row],[Date]])&amp;TEXT(MONTH(Table2[[#This Row],[Date]]),"00"))</f>
        <v>202210</v>
      </c>
      <c r="B8048" s="93">
        <v>44857</v>
      </c>
      <c r="C8048" s="97" t="s">
        <v>2262</v>
      </c>
      <c r="D8048" s="87" t="s">
        <v>3178</v>
      </c>
      <c r="E8048">
        <f t="shared" si="52"/>
        <v>16.63</v>
      </c>
      <c r="F8048" s="2" t="str">
        <f>IF(Table2[[#This Row],[Manual Cat Value]]="",VLOOKUP(Table2[[#This Row],[Description]],'Actuals Lookup'!D:F,3,0),Table2[[#This Row],[Manual Cat Value]])</f>
        <v>Exp - Transportation</v>
      </c>
      <c r="G8048" t="e">
        <f>VLOOKUP(D8048,Lookup!G:H,2,0)</f>
        <v>#N/A</v>
      </c>
      <c r="H8048" s="8" t="s">
        <v>22</v>
      </c>
      <c r="I8048" s="95"/>
      <c r="J8048" s="98">
        <v>16.63</v>
      </c>
      <c r="K8048" s="87"/>
      <c r="L8048" s="87"/>
      <c r="M8048" s="87" t="s">
        <v>2535</v>
      </c>
      <c r="O8048" t="str">
        <f>LEFT(Table2[[#This Row],[Description]],75)</f>
        <v>LS SOUTH LAKE CYCLE      952-4743179  MN REF #2449216MP001A7HND</v>
      </c>
    </row>
    <row r="8049" spans="1:15" hidden="1">
      <c r="A8049" s="25">
        <f>VALUE(YEAR(Table2[[#This Row],[Date]])&amp;TEXT(MONTH(Table2[[#This Row],[Date]]),"00"))</f>
        <v>202210</v>
      </c>
      <c r="B8049" s="93">
        <v>44857</v>
      </c>
      <c r="C8049" s="97" t="s">
        <v>2262</v>
      </c>
      <c r="D8049" s="87" t="s">
        <v>3179</v>
      </c>
      <c r="E8049">
        <f t="shared" si="52"/>
        <v>25.93</v>
      </c>
      <c r="F8049" s="2" t="str">
        <f>IF(Table2[[#This Row],[Manual Cat Value]]="",VLOOKUP(Table2[[#This Row],[Description]],'Actuals Lookup'!D:F,3,0),Table2[[#This Row],[Manual Cat Value]])</f>
        <v>Exp - Groceries</v>
      </c>
      <c r="G8049" t="e">
        <f>VLOOKUP(D8049,Lookup!G:H,2,0)</f>
        <v>#N/A</v>
      </c>
      <c r="H8049" s="8" t="s">
        <v>27</v>
      </c>
      <c r="I8049" s="95"/>
      <c r="J8049" s="98">
        <v>25.93</v>
      </c>
      <c r="K8049" s="87"/>
      <c r="L8049" s="87"/>
      <c r="M8049" s="87" t="s">
        <v>2535</v>
      </c>
      <c r="O8049" t="str">
        <f>LEFT(Table2[[#This Row],[Description]],75)</f>
        <v>SQ *JES NATURALS         Excelsior    MN REF #2469216MP2XVQPJPP</v>
      </c>
    </row>
    <row r="8050" spans="1:15" hidden="1">
      <c r="A8050" s="25">
        <f>VALUE(YEAR(Table2[[#This Row],[Date]])&amp;TEXT(MONTH(Table2[[#This Row],[Date]]),"00"))</f>
        <v>202210</v>
      </c>
      <c r="B8050" s="93">
        <v>44857</v>
      </c>
      <c r="C8050" s="97" t="s">
        <v>2265</v>
      </c>
      <c r="D8050" s="87" t="s">
        <v>3180</v>
      </c>
      <c r="E8050">
        <f t="shared" si="52"/>
        <v>100</v>
      </c>
      <c r="F8050" s="2" t="str">
        <f>IF(Table2[[#This Row],[Manual Cat Value]]="",VLOOKUP(Table2[[#This Row],[Description]],'Actuals Lookup'!D:F,3,0),Table2[[#This Row],[Manual Cat Value]])</f>
        <v>Delete</v>
      </c>
      <c r="G8050" t="e">
        <f>VLOOKUP(D8050,Lookup!G:H,2,0)</f>
        <v>#N/A</v>
      </c>
      <c r="H8050" s="8" t="s">
        <v>9</v>
      </c>
      <c r="I8050" s="95"/>
      <c r="J8050" s="98">
        <v>100</v>
      </c>
      <c r="K8050" s="87"/>
      <c r="L8050" s="87"/>
      <c r="M8050" s="87"/>
      <c r="N8050" s="87" t="s">
        <v>2535</v>
      </c>
      <c r="O8050" t="str">
        <f>LEFT(Table2[[#This Row],[Description]],75)</f>
        <v>Withdrawal Home Banking Transfer To Share 12 REF # 1372170</v>
      </c>
    </row>
    <row r="8051" spans="1:15" hidden="1">
      <c r="A8051" s="25">
        <f>VALUE(YEAR(Table2[[#This Row],[Date]])&amp;TEXT(MONTH(Table2[[#This Row],[Date]]),"00"))</f>
        <v>202210</v>
      </c>
      <c r="B8051" s="93">
        <v>44858</v>
      </c>
      <c r="C8051" s="97" t="s">
        <v>2262</v>
      </c>
      <c r="D8051" s="87" t="s">
        <v>3181</v>
      </c>
      <c r="E8051">
        <f t="shared" si="52"/>
        <v>107.51</v>
      </c>
      <c r="F8051" s="2" t="str">
        <f>IF(Table2[[#This Row],[Manual Cat Value]]="",VLOOKUP(Table2[[#This Row],[Description]],'Actuals Lookup'!D:F,3,0),Table2[[#This Row],[Manual Cat Value]])</f>
        <v>Exp - Groceries</v>
      </c>
      <c r="G8051" t="e">
        <f>VLOOKUP(D8051,Lookup!G:H,2,0)</f>
        <v>#N/A</v>
      </c>
      <c r="H8051" s="8" t="s">
        <v>27</v>
      </c>
      <c r="I8051" s="95"/>
      <c r="J8051" s="98">
        <v>107.51</v>
      </c>
      <c r="K8051" s="87"/>
      <c r="L8051" s="87"/>
      <c r="M8051" s="87" t="s">
        <v>2535</v>
      </c>
      <c r="O8051" t="str">
        <f>LEFT(Table2[[#This Row],[Description]],75)</f>
        <v>BUDDY BOY FINE BARBEQUE  MINNETRISTA  MN REF #2403724MRS66MFQX1</v>
      </c>
    </row>
    <row r="8052" spans="1:15" hidden="1">
      <c r="A8052" s="25">
        <f>VALUE(YEAR(Table2[[#This Row],[Date]])&amp;TEXT(MONTH(Table2[[#This Row],[Date]]),"00"))</f>
        <v>202210</v>
      </c>
      <c r="B8052" s="93">
        <v>44854</v>
      </c>
      <c r="C8052" s="97" t="s">
        <v>2265</v>
      </c>
      <c r="D8052" s="87" t="s">
        <v>3182</v>
      </c>
      <c r="E8052">
        <f t="shared" si="52"/>
        <v>250</v>
      </c>
      <c r="F8052" s="2" t="str">
        <f>IF(Table2[[#This Row],[Manual Cat Value]]="",VLOOKUP(Table2[[#This Row],[Description]],'Actuals Lookup'!D:F,3,0),Table2[[#This Row],[Manual Cat Value]])</f>
        <v>Exp - Gifts</v>
      </c>
      <c r="G8052" t="e">
        <f>VLOOKUP(D8052,Lookup!G:H,2,0)</f>
        <v>#N/A</v>
      </c>
      <c r="H8052" s="8" t="s">
        <v>44</v>
      </c>
      <c r="I8052" s="95" t="s">
        <v>3183</v>
      </c>
      <c r="J8052" s="98">
        <v>250</v>
      </c>
      <c r="K8052" s="87"/>
      <c r="L8052" s="87"/>
      <c r="M8052" s="87"/>
      <c r="N8052" s="87" t="s">
        <v>2535</v>
      </c>
      <c r="O8052" t="str">
        <f>LEFT(Table2[[#This Row],[Description]],75)</f>
        <v>Draft 2348 Tracer 990001750</v>
      </c>
    </row>
    <row r="8053" spans="1:15" hidden="1">
      <c r="A8053" s="25">
        <f>VALUE(YEAR(Table2[[#This Row],[Date]])&amp;TEXT(MONTH(Table2[[#This Row],[Date]]),"00"))</f>
        <v>202210</v>
      </c>
      <c r="B8053" s="6">
        <v>44858</v>
      </c>
      <c r="C8053" t="s">
        <v>2447</v>
      </c>
      <c r="D8053" t="s">
        <v>3184</v>
      </c>
      <c r="E8053">
        <f t="shared" si="52"/>
        <v>56</v>
      </c>
      <c r="F8053" s="2" t="str">
        <f>IF(Table2[[#This Row],[Manual Cat Value]]="",VLOOKUP(Table2[[#This Row],[Description]],'Actuals Lookup'!D:F,3,0),Table2[[#This Row],[Manual Cat Value]])</f>
        <v>Exp - Shopping</v>
      </c>
      <c r="G8053" t="e">
        <f>VLOOKUP(D8053,Lookup!G:H,2,0)</f>
        <v>#N/A</v>
      </c>
      <c r="H8053" s="8" t="s">
        <v>36</v>
      </c>
      <c r="I8053" s="8"/>
      <c r="J8053">
        <v>56</v>
      </c>
      <c r="M8053" t="s">
        <v>2513</v>
      </c>
      <c r="O8053" t="str">
        <f>LEFT(Table2[[#This Row],[Description]],75)</f>
        <v>PAYPAL *PELOTONINTE 402-935-7733 CA</v>
      </c>
    </row>
    <row r="8054" spans="1:15" hidden="1">
      <c r="A8054" s="25">
        <f>VALUE(YEAR(Table2[[#This Row],[Date]])&amp;TEXT(MONTH(Table2[[#This Row],[Date]]),"00"))</f>
        <v>202210</v>
      </c>
      <c r="B8054" s="93">
        <v>44858</v>
      </c>
      <c r="C8054" s="97" t="s">
        <v>2262</v>
      </c>
      <c r="D8054" s="87" t="s">
        <v>3185</v>
      </c>
      <c r="E8054">
        <f t="shared" si="52"/>
        <v>33.880000000000003</v>
      </c>
      <c r="F8054" s="2" t="str">
        <f>IF(Table2[[#This Row],[Manual Cat Value]]="",VLOOKUP(Table2[[#This Row],[Description]],'Actuals Lookup'!D:F,3,0),Table2[[#This Row],[Manual Cat Value]])</f>
        <v>Exp - Restaurants</v>
      </c>
      <c r="G8054" t="e">
        <f>VLOOKUP(D8054,Lookup!G:H,2,0)</f>
        <v>#N/A</v>
      </c>
      <c r="H8054" s="8" t="s">
        <v>25</v>
      </c>
      <c r="I8054" s="95"/>
      <c r="J8054" s="98">
        <v>33.880000000000003</v>
      </c>
      <c r="K8054" s="87"/>
      <c r="L8054" s="87"/>
      <c r="M8054" s="87" t="s">
        <v>2535</v>
      </c>
      <c r="O8054" t="str">
        <f>LEFT(Table2[[#This Row],[Description]],75)</f>
        <v>TST* Olives Fresh Excels 612-232-4677 MN REF #2469216MR2Y6EFNZ4</v>
      </c>
    </row>
    <row r="8055" spans="1:15" hidden="1">
      <c r="A8055" s="25">
        <f>VALUE(YEAR(Table2[[#This Row],[Date]])&amp;TEXT(MONTH(Table2[[#This Row],[Date]]),"00"))</f>
        <v>202210</v>
      </c>
      <c r="B8055" s="93">
        <v>44858</v>
      </c>
      <c r="C8055" s="97" t="s">
        <v>2265</v>
      </c>
      <c r="D8055" s="87" t="s">
        <v>3186</v>
      </c>
      <c r="E8055">
        <f t="shared" si="52"/>
        <v>18.350000000000001</v>
      </c>
      <c r="F8055" s="2" t="str">
        <f>IF(Table2[[#This Row],[Manual Cat Value]]="",VLOOKUP(Table2[[#This Row],[Description]],'Actuals Lookup'!D:F,3,0),Table2[[#This Row],[Manual Cat Value]])</f>
        <v>Exp - Shopping</v>
      </c>
      <c r="G8055" t="e">
        <f>VLOOKUP(D8055,Lookup!G:H,2,0)</f>
        <v>#N/A</v>
      </c>
      <c r="H8055" s="8" t="s">
        <v>36</v>
      </c>
      <c r="I8055" s="95"/>
      <c r="J8055" s="98">
        <v>18.350000000000001</v>
      </c>
      <c r="K8055" s="87"/>
      <c r="L8055" s="87"/>
      <c r="M8055" s="87"/>
      <c r="N8055" s="87" t="s">
        <v>2535</v>
      </c>
      <c r="O8055" t="str">
        <f>LEFT(Table2[[#This Row],[Description]],75)</f>
        <v xml:space="preserve">Withdrawal ACH PAYPAL TYPE: INST XFER ID: PAYPALSI77 CO: PAYPAL NAME: JEFF </v>
      </c>
    </row>
    <row r="8056" spans="1:15" hidden="1">
      <c r="A8056" s="25">
        <f>VALUE(YEAR(Table2[[#This Row],[Date]])&amp;TEXT(MONTH(Table2[[#This Row],[Date]]),"00"))</f>
        <v>202210</v>
      </c>
      <c r="B8056" s="93">
        <v>44859</v>
      </c>
      <c r="C8056" s="97" t="s">
        <v>2262</v>
      </c>
      <c r="D8056" s="87" t="s">
        <v>3187</v>
      </c>
      <c r="E8056">
        <f t="shared" si="52"/>
        <v>204.35</v>
      </c>
      <c r="F8056" s="2" t="str">
        <f>IF(Table2[[#This Row],[Manual Cat Value]]="",VLOOKUP(Table2[[#This Row],[Description]],'Actuals Lookup'!D:F,3,0),Table2[[#This Row],[Manual Cat Value]])</f>
        <v>Exp - Misc</v>
      </c>
      <c r="G8056" t="e">
        <f>VLOOKUP(D8056,Lookup!G:H,2,0)</f>
        <v>#N/A</v>
      </c>
      <c r="H8056" s="8" t="s">
        <v>46</v>
      </c>
      <c r="I8056" s="95"/>
      <c r="J8056" s="98">
        <v>204.35</v>
      </c>
      <c r="K8056" s="87"/>
      <c r="L8056" s="87"/>
      <c r="M8056" s="87" t="s">
        <v>2535</v>
      </c>
      <c r="O8056" t="str">
        <f>LEFT(Table2[[#This Row],[Description]],75)</f>
        <v>2023 GRANDMAS MARATHON   HTTPSRACEROSTMA REF #2449216MS0006A6KP</v>
      </c>
    </row>
    <row r="8057" spans="1:15" hidden="1">
      <c r="A8057" s="25">
        <f>VALUE(YEAR(Table2[[#This Row],[Date]])&amp;TEXT(MONTH(Table2[[#This Row],[Date]]),"00"))</f>
        <v>202210</v>
      </c>
      <c r="B8057" s="6">
        <v>44859</v>
      </c>
      <c r="C8057" t="s">
        <v>2447</v>
      </c>
      <c r="D8057" t="s">
        <v>459</v>
      </c>
      <c r="E8057">
        <f t="shared" si="52"/>
        <v>-76.52</v>
      </c>
      <c r="F8057" s="2" t="str">
        <f>IF(Table2[[#This Row],[Manual Cat Value]]="",VLOOKUP(Table2[[#This Row],[Description]],'Actuals Lookup'!D:F,3,0),Table2[[#This Row],[Manual Cat Value]])</f>
        <v>Dividend</v>
      </c>
      <c r="G8057" t="str">
        <f>VLOOKUP(D8057,Lookup!G:H,2,0)</f>
        <v>Delete</v>
      </c>
      <c r="I8057" s="8"/>
      <c r="J8057">
        <v>76.52</v>
      </c>
      <c r="M8057" t="s">
        <v>2621</v>
      </c>
      <c r="O8057" t="str">
        <f>LEFT(Table2[[#This Row],[Description]],75)</f>
        <v>CASHBACK BONUS REDEMPTION PYMT/STMT CRDT</v>
      </c>
    </row>
    <row r="8058" spans="1:15" hidden="1">
      <c r="A8058" s="25">
        <f>VALUE(YEAR(Table2[[#This Row],[Date]])&amp;TEXT(MONTH(Table2[[#This Row],[Date]]),"00"))</f>
        <v>202210</v>
      </c>
      <c r="B8058" s="6">
        <v>44859</v>
      </c>
      <c r="C8058" t="s">
        <v>2447</v>
      </c>
      <c r="D8058" t="s">
        <v>3188</v>
      </c>
      <c r="E8058">
        <f t="shared" si="52"/>
        <v>68.05</v>
      </c>
      <c r="F8058" s="2" t="str">
        <f>IF(Table2[[#This Row],[Manual Cat Value]]="",VLOOKUP(Table2[[#This Row],[Description]],'Actuals Lookup'!D:F,3,0),Table2[[#This Row],[Manual Cat Value]])</f>
        <v>Exp - Restaurants</v>
      </c>
      <c r="G8058" t="e">
        <f>VLOOKUP(D8058,Lookup!G:H,2,0)</f>
        <v>#N/A</v>
      </c>
      <c r="H8058" s="8" t="s">
        <v>25</v>
      </c>
      <c r="I8058" s="8"/>
      <c r="J8058">
        <v>68.05</v>
      </c>
      <c r="M8058" t="s">
        <v>2513</v>
      </c>
      <c r="O8058" t="str">
        <f>LEFT(Table2[[#This Row],[Description]],75)</f>
        <v>TST* MACANDA WAYZATA MN</v>
      </c>
    </row>
    <row r="8059" spans="1:15" hidden="1">
      <c r="A8059" s="25">
        <f>VALUE(YEAR(Table2[[#This Row],[Date]])&amp;TEXT(MONTH(Table2[[#This Row],[Date]]),"00"))</f>
        <v>202210</v>
      </c>
      <c r="B8059" s="6">
        <v>44859</v>
      </c>
      <c r="C8059" t="s">
        <v>2447</v>
      </c>
      <c r="D8059" t="s">
        <v>3188</v>
      </c>
      <c r="E8059">
        <f t="shared" si="52"/>
        <v>53.72</v>
      </c>
      <c r="F8059" s="2" t="str">
        <f>IF(Table2[[#This Row],[Manual Cat Value]]="",VLOOKUP(Table2[[#This Row],[Description]],'Actuals Lookup'!D:F,3,0),Table2[[#This Row],[Manual Cat Value]])</f>
        <v>Exp - Restaurants</v>
      </c>
      <c r="G8059" t="e">
        <f>VLOOKUP(D8059,Lookup!G:H,2,0)</f>
        <v>#N/A</v>
      </c>
      <c r="H8059" s="8" t="s">
        <v>25</v>
      </c>
      <c r="I8059" s="8"/>
      <c r="J8059">
        <v>53.72</v>
      </c>
      <c r="M8059" t="s">
        <v>2513</v>
      </c>
      <c r="O8059" t="str">
        <f>LEFT(Table2[[#This Row],[Description]],75)</f>
        <v>TST* MACANDA WAYZATA MN</v>
      </c>
    </row>
    <row r="8060" spans="1:15" hidden="1">
      <c r="A8060" s="25">
        <f>VALUE(YEAR(Table2[[#This Row],[Date]])&amp;TEXT(MONTH(Table2[[#This Row],[Date]]),"00"))</f>
        <v>202210</v>
      </c>
      <c r="B8060" s="93">
        <v>44859</v>
      </c>
      <c r="C8060" s="97" t="s">
        <v>2265</v>
      </c>
      <c r="D8060" s="87" t="s">
        <v>3189</v>
      </c>
      <c r="E8060">
        <f t="shared" si="52"/>
        <v>315</v>
      </c>
      <c r="F8060" s="2" t="str">
        <f>IF(Table2[[#This Row],[Manual Cat Value]]="",VLOOKUP(Table2[[#This Row],[Description]],'Actuals Lookup'!D:F,3,0),Table2[[#This Row],[Manual Cat Value]])</f>
        <v>Exp - Day Care</v>
      </c>
      <c r="G8060" t="e">
        <f>VLOOKUP(D8060,Lookup!G:H,2,0)</f>
        <v>#N/A</v>
      </c>
      <c r="H8060" s="8" t="s">
        <v>19</v>
      </c>
      <c r="I8060" s="95"/>
      <c r="J8060" s="98">
        <v>315</v>
      </c>
      <c r="K8060" s="87"/>
      <c r="L8060" s="87"/>
      <c r="M8060" s="87"/>
      <c r="N8060" s="87" t="s">
        <v>2535</v>
      </c>
      <c r="O8060" t="str">
        <f>LEFT(Table2[[#This Row],[Description]],75)</f>
        <v xml:space="preserve">Withdrawal ACH MHCHILDCARELLC TYPE: DUES ID: 1824708198 CO: MHCHILDCARELLC </v>
      </c>
    </row>
    <row r="8061" spans="1:15" hidden="1">
      <c r="A8061" s="25">
        <f>VALUE(YEAR(Table2[[#This Row],[Date]])&amp;TEXT(MONTH(Table2[[#This Row],[Date]]),"00"))</f>
        <v>202210</v>
      </c>
      <c r="B8061" s="93">
        <v>44859</v>
      </c>
      <c r="C8061" s="97" t="s">
        <v>2265</v>
      </c>
      <c r="D8061" s="87" t="s">
        <v>3190</v>
      </c>
      <c r="E8061">
        <f t="shared" si="52"/>
        <v>174</v>
      </c>
      <c r="F8061" s="2" t="str">
        <f>IF(Table2[[#This Row],[Manual Cat Value]]="",VLOOKUP(Table2[[#This Row],[Description]],'Actuals Lookup'!D:F,3,0),Table2[[#This Row],[Manual Cat Value]])</f>
        <v>Exp - Healthcare</v>
      </c>
      <c r="G8061" t="e">
        <f>VLOOKUP(D8061,Lookup!G:H,2,0)</f>
        <v>#N/A</v>
      </c>
      <c r="H8061" s="8" t="s">
        <v>47</v>
      </c>
      <c r="I8061" s="95"/>
      <c r="J8061" s="98">
        <v>174</v>
      </c>
      <c r="K8061" s="87"/>
      <c r="L8061" s="87"/>
      <c r="M8061" s="87"/>
      <c r="N8061" s="87" t="s">
        <v>2535</v>
      </c>
      <c r="O8061" t="str">
        <f>LEFT(Table2[[#This Row],[Description]],75)</f>
        <v>Withdrawal ACH Ridgeview Medica TYPE: ONLINE PAY ID: RF00059954 CO: Ridgevi</v>
      </c>
    </row>
    <row r="8062" spans="1:15" hidden="1">
      <c r="A8062" s="25">
        <f>VALUE(YEAR(Table2[[#This Row],[Date]])&amp;TEXT(MONTH(Table2[[#This Row],[Date]]),"00"))</f>
        <v>202210</v>
      </c>
      <c r="B8062" s="93">
        <v>44859</v>
      </c>
      <c r="C8062" s="97" t="s">
        <v>2265</v>
      </c>
      <c r="D8062" s="87" t="s">
        <v>3191</v>
      </c>
      <c r="E8062">
        <f t="shared" si="52"/>
        <v>905.52</v>
      </c>
      <c r="F8062" s="2" t="str">
        <f>IF(Table2[[#This Row],[Manual Cat Value]]="",VLOOKUP(Table2[[#This Row],[Description]],'Actuals Lookup'!D:F,3,0),Table2[[#This Row],[Manual Cat Value]])</f>
        <v>Exp - Target</v>
      </c>
      <c r="G8062" t="e">
        <f>VLOOKUP(D8062,Lookup!G:H,2,0)</f>
        <v>#N/A</v>
      </c>
      <c r="H8062" s="8" t="s">
        <v>30</v>
      </c>
      <c r="I8062" s="95"/>
      <c r="J8062" s="98">
        <v>905.52</v>
      </c>
      <c r="K8062" s="87"/>
      <c r="L8062" s="87"/>
      <c r="M8062" s="87"/>
      <c r="N8062" s="87" t="s">
        <v>2535</v>
      </c>
      <c r="O8062" t="str">
        <f>LEFT(Table2[[#This Row],[Description]],75)</f>
        <v>Withdrawal ACH TARGET CARD SRVC TYPE: AUTO PYMT ID: 1411721813 CO: TARGET C</v>
      </c>
    </row>
    <row r="8063" spans="1:15" hidden="1">
      <c r="A8063" s="25">
        <f>VALUE(YEAR(Table2[[#This Row],[Date]])&amp;TEXT(MONTH(Table2[[#This Row],[Date]]),"00"))</f>
        <v>202210</v>
      </c>
      <c r="B8063" s="6">
        <v>44859</v>
      </c>
      <c r="C8063" t="s">
        <v>2447</v>
      </c>
      <c r="D8063" t="s">
        <v>997</v>
      </c>
      <c r="E8063">
        <f t="shared" si="52"/>
        <v>-285.82</v>
      </c>
      <c r="F8063" s="2" t="str">
        <f>IF(Table2[[#This Row],[Manual Cat Value]]="",VLOOKUP(Table2[[#This Row],[Description]],'Actuals Lookup'!D:F,3,0),Table2[[#This Row],[Manual Cat Value]])</f>
        <v>Delete</v>
      </c>
      <c r="G8063" t="str">
        <f>VLOOKUP(D8063,Lookup!G:H,2,0)</f>
        <v>Delete</v>
      </c>
      <c r="I8063" s="8"/>
      <c r="J8063">
        <v>285.82</v>
      </c>
      <c r="M8063" t="s">
        <v>2621</v>
      </c>
      <c r="O8063" t="str">
        <f>LEFT(Table2[[#This Row],[Description]],75)</f>
        <v>INTERNET PAYMENT - THANK YOU</v>
      </c>
    </row>
    <row r="8064" spans="1:15" ht="30" hidden="1">
      <c r="A8064" s="25">
        <f>VALUE(YEAR(Table2[[#This Row],[Date]])&amp;TEXT(MONTH(Table2[[#This Row],[Date]]),"00"))</f>
        <v>202210</v>
      </c>
      <c r="B8064" s="6">
        <v>44860</v>
      </c>
      <c r="C8064" t="s">
        <v>2447</v>
      </c>
      <c r="D8064" s="7" t="s">
        <v>3192</v>
      </c>
      <c r="E8064">
        <f t="shared" si="52"/>
        <v>5.25</v>
      </c>
      <c r="F8064" s="2" t="str">
        <f>IF(Table2[[#This Row],[Manual Cat Value]]="",VLOOKUP(Table2[[#This Row],[Description]],'Actuals Lookup'!D:F,3,0),Table2[[#This Row],[Manual Cat Value]])</f>
        <v>Exp - Amazon</v>
      </c>
      <c r="G8064" t="e">
        <f>VLOOKUP(D8064,Lookup!G:H,2,0)</f>
        <v>#N/A</v>
      </c>
      <c r="H8064" s="78" t="s">
        <v>37</v>
      </c>
      <c r="I8064" s="78"/>
      <c r="J8064">
        <v>5.25</v>
      </c>
      <c r="M8064" t="s">
        <v>2513</v>
      </c>
      <c r="O8064" t="str">
        <f>LEFT(Table2[[#This Row],[Description]],75)</f>
        <v>AMAZON.COM*H07VD9120 AMZN.COM/BILLWA
2L2QC9RADTX</v>
      </c>
    </row>
    <row r="8065" spans="1:15" hidden="1">
      <c r="A8065" s="25">
        <f>VALUE(YEAR(Table2[[#This Row],[Date]])&amp;TEXT(MONTH(Table2[[#This Row],[Date]]),"00"))</f>
        <v>202210</v>
      </c>
      <c r="B8065" s="6">
        <v>44860</v>
      </c>
      <c r="C8065" t="s">
        <v>2447</v>
      </c>
      <c r="D8065" t="s">
        <v>3193</v>
      </c>
      <c r="E8065">
        <f t="shared" si="52"/>
        <v>1.25</v>
      </c>
      <c r="F8065" s="2" t="str">
        <f>IF(Table2[[#This Row],[Manual Cat Value]]="",VLOOKUP(Table2[[#This Row],[Description]],'Actuals Lookup'!D:F,3,0),Table2[[#This Row],[Manual Cat Value]])</f>
        <v>Exp - Transportation</v>
      </c>
      <c r="G8065" t="e">
        <f>VLOOKUP(D8065,Lookup!G:H,2,0)</f>
        <v>#N/A</v>
      </c>
      <c r="H8065" s="8" t="s">
        <v>22</v>
      </c>
      <c r="I8065" s="8"/>
      <c r="J8065">
        <v>1.25</v>
      </c>
      <c r="M8065" t="s">
        <v>2513</v>
      </c>
      <c r="O8065" t="str">
        <f>LEFT(Table2[[#This Row],[Description]],75)</f>
        <v>MPLSMETERSAPP 8090 612-3437275 MN</v>
      </c>
    </row>
    <row r="8066" spans="1:15" hidden="1">
      <c r="A8066" s="25">
        <f>VALUE(YEAR(Table2[[#This Row],[Date]])&amp;TEXT(MONTH(Table2[[#This Row],[Date]]),"00"))</f>
        <v>202210</v>
      </c>
      <c r="B8066" s="6">
        <v>44860</v>
      </c>
      <c r="C8066" t="s">
        <v>2447</v>
      </c>
      <c r="D8066" t="s">
        <v>3193</v>
      </c>
      <c r="E8066">
        <f t="shared" si="52"/>
        <v>4.25</v>
      </c>
      <c r="F8066" s="2" t="str">
        <f>IF(Table2[[#This Row],[Manual Cat Value]]="",VLOOKUP(Table2[[#This Row],[Description]],'Actuals Lookup'!D:F,3,0),Table2[[#This Row],[Manual Cat Value]])</f>
        <v>Exp - Transportation</v>
      </c>
      <c r="G8066" t="e">
        <f>VLOOKUP(D8066,Lookup!G:H,2,0)</f>
        <v>#N/A</v>
      </c>
      <c r="H8066" s="8" t="s">
        <v>22</v>
      </c>
      <c r="I8066" s="8"/>
      <c r="J8066">
        <v>4.25</v>
      </c>
      <c r="M8066" t="s">
        <v>2513</v>
      </c>
      <c r="O8066" t="str">
        <f>LEFT(Table2[[#This Row],[Description]],75)</f>
        <v>MPLSMETERSAPP 8090 612-3437275 MN</v>
      </c>
    </row>
    <row r="8067" spans="1:15" hidden="1">
      <c r="A8067" s="25">
        <f>VALUE(YEAR(Table2[[#This Row],[Date]])&amp;TEXT(MONTH(Table2[[#This Row],[Date]]),"00"))</f>
        <v>202210</v>
      </c>
      <c r="B8067" s="93">
        <v>44860</v>
      </c>
      <c r="C8067" s="97" t="s">
        <v>2262</v>
      </c>
      <c r="D8067" s="87" t="s">
        <v>3194</v>
      </c>
      <c r="E8067">
        <f t="shared" si="52"/>
        <v>10</v>
      </c>
      <c r="F8067" s="2" t="str">
        <f>IF(Table2[[#This Row],[Manual Cat Value]]="",VLOOKUP(Table2[[#This Row],[Description]],'Actuals Lookup'!D:F,3,0),Table2[[#This Row],[Manual Cat Value]])</f>
        <v>Exp - Restaurants</v>
      </c>
      <c r="G8067" t="e">
        <f>VLOOKUP(D8067,Lookup!G:H,2,0)</f>
        <v>#N/A</v>
      </c>
      <c r="H8067" s="8" t="s">
        <v>25</v>
      </c>
      <c r="I8067" s="95"/>
      <c r="J8067" s="98">
        <v>10</v>
      </c>
      <c r="K8067" s="87"/>
      <c r="L8067" s="87"/>
      <c r="M8067" s="87" t="s">
        <v>2535</v>
      </c>
      <c r="O8067" t="str">
        <f>LEFT(Table2[[#This Row],[Description]],75)</f>
        <v>STARBUCKS 800-782-7282   800-782-7282 WA REF #2444500MS2X8WSM3F</v>
      </c>
    </row>
    <row r="8068" spans="1:15" hidden="1">
      <c r="A8068" s="25">
        <f>VALUE(YEAR(Table2[[#This Row],[Date]])&amp;TEXT(MONTH(Table2[[#This Row],[Date]]),"00"))</f>
        <v>202210</v>
      </c>
      <c r="B8068" s="93">
        <v>44860</v>
      </c>
      <c r="C8068" s="97" t="s">
        <v>2265</v>
      </c>
      <c r="D8068" s="87" t="s">
        <v>3195</v>
      </c>
      <c r="E8068">
        <f t="shared" si="52"/>
        <v>285.82</v>
      </c>
      <c r="F8068" s="2" t="str">
        <f>IF(Table2[[#This Row],[Manual Cat Value]]="",VLOOKUP(Table2[[#This Row],[Description]],'Actuals Lookup'!D:F,3,0),Table2[[#This Row],[Manual Cat Value]])</f>
        <v>Delete</v>
      </c>
      <c r="G8068" t="e">
        <f>VLOOKUP(D8068,Lookup!G:H,2,0)</f>
        <v>#N/A</v>
      </c>
      <c r="H8068" s="8" t="s">
        <v>9</v>
      </c>
      <c r="I8068" s="95"/>
      <c r="J8068" s="98">
        <v>285.82</v>
      </c>
      <c r="K8068" s="87"/>
      <c r="L8068" s="87"/>
      <c r="M8068" s="87"/>
      <c r="N8068" s="87" t="s">
        <v>2535</v>
      </c>
      <c r="O8068" t="str">
        <f>LEFT(Table2[[#This Row],[Description]],75)</f>
        <v>Withdrawal ACH DISCOVER TYPE: E-PAYMENT ID: 2510020270 CO: DISCOVER NAME: T</v>
      </c>
    </row>
    <row r="8069" spans="1:15" ht="30" hidden="1">
      <c r="A8069" s="25">
        <f>VALUE(YEAR(Table2[[#This Row],[Date]])&amp;TEXT(MONTH(Table2[[#This Row],[Date]]),"00"))</f>
        <v>202210</v>
      </c>
      <c r="B8069" s="6">
        <v>44861</v>
      </c>
      <c r="C8069" t="s">
        <v>2447</v>
      </c>
      <c r="D8069" s="7" t="s">
        <v>3196</v>
      </c>
      <c r="E8069">
        <f t="shared" si="52"/>
        <v>35.979999999999997</v>
      </c>
      <c r="F8069" s="2" t="str">
        <f>IF(Table2[[#This Row],[Manual Cat Value]]="",VLOOKUP(Table2[[#This Row],[Description]],'Actuals Lookup'!D:F,3,0),Table2[[#This Row],[Manual Cat Value]])</f>
        <v>Exp - Amazon</v>
      </c>
      <c r="G8069" t="e">
        <f>VLOOKUP(D8069,Lookup!G:H,2,0)</f>
        <v>#N/A</v>
      </c>
      <c r="H8069" s="78" t="s">
        <v>37</v>
      </c>
      <c r="I8069" s="78"/>
      <c r="J8069">
        <v>35.979999999999997</v>
      </c>
      <c r="M8069" t="s">
        <v>2513</v>
      </c>
      <c r="O8069" t="str">
        <f>LEFT(Table2[[#This Row],[Description]],75)</f>
        <v>AMZN MKTP US*H017V0J81 AMZN.COM/BILLWA
73L2ADNLMCN</v>
      </c>
    </row>
    <row r="8070" spans="1:15" ht="30" hidden="1">
      <c r="A8070" s="25">
        <f>VALUE(YEAR(Table2[[#This Row],[Date]])&amp;TEXT(MONTH(Table2[[#This Row],[Date]]),"00"))</f>
        <v>202210</v>
      </c>
      <c r="B8070" s="6">
        <v>44861</v>
      </c>
      <c r="C8070" t="s">
        <v>2447</v>
      </c>
      <c r="D8070" s="7" t="s">
        <v>3197</v>
      </c>
      <c r="E8070">
        <f t="shared" si="52"/>
        <v>6.42</v>
      </c>
      <c r="F8070" s="2" t="str">
        <f>IF(Table2[[#This Row],[Manual Cat Value]]="",VLOOKUP(Table2[[#This Row],[Description]],'Actuals Lookup'!D:F,3,0),Table2[[#This Row],[Manual Cat Value]])</f>
        <v>Exp - Amazon</v>
      </c>
      <c r="G8070" t="e">
        <f>VLOOKUP(D8070,Lookup!G:H,2,0)</f>
        <v>#N/A</v>
      </c>
      <c r="H8070" s="78" t="s">
        <v>37</v>
      </c>
      <c r="I8070" s="78"/>
      <c r="J8070">
        <v>6.42</v>
      </c>
      <c r="M8070" t="s">
        <v>2513</v>
      </c>
      <c r="O8070" t="str">
        <f>LEFT(Table2[[#This Row],[Description]],75)</f>
        <v>AMZN MKTP US*H80ZH1612 AMZN.COM/BILLWA
DJKC5O0T4SQ</v>
      </c>
    </row>
    <row r="8071" spans="1:15" hidden="1">
      <c r="A8071" s="25">
        <f>VALUE(YEAR(Table2[[#This Row],[Date]])&amp;TEXT(MONTH(Table2[[#This Row],[Date]]),"00"))</f>
        <v>202210</v>
      </c>
      <c r="B8071" s="93">
        <v>44861</v>
      </c>
      <c r="C8071" s="97" t="s">
        <v>2265</v>
      </c>
      <c r="D8071" s="87" t="s">
        <v>3198</v>
      </c>
      <c r="E8071">
        <f t="shared" si="52"/>
        <v>3654.36</v>
      </c>
      <c r="F8071" s="2" t="str">
        <f>IF(Table2[[#This Row],[Manual Cat Value]]="",VLOOKUP(Table2[[#This Row],[Description]],'Actuals Lookup'!D:F,3,0),Table2[[#This Row],[Manual Cat Value]])</f>
        <v>Inc - Britney</v>
      </c>
      <c r="G8071" t="e">
        <f>VLOOKUP(D8071,Lookup!G:H,2,0)</f>
        <v>#N/A</v>
      </c>
      <c r="H8071" s="8" t="s">
        <v>65</v>
      </c>
      <c r="I8071" s="95"/>
      <c r="J8071" s="98">
        <v>3654.36</v>
      </c>
      <c r="K8071" s="87"/>
      <c r="L8071" s="87"/>
      <c r="M8071" s="87"/>
      <c r="N8071" s="87" t="s">
        <v>3074</v>
      </c>
      <c r="O8071" t="str">
        <f>LEFT(Table2[[#This Row],[Description]],75)</f>
        <v>Deposit ACH CARGILL INCORPOR TYPE: DIRECT DEP ID: 9111111101 CO: CARGILL IN</v>
      </c>
    </row>
    <row r="8072" spans="1:15" hidden="1">
      <c r="A8072" s="25">
        <f>VALUE(YEAR(Table2[[#This Row],[Date]])&amp;TEXT(MONTH(Table2[[#This Row],[Date]]),"00"))</f>
        <v>202210</v>
      </c>
      <c r="B8072" s="93">
        <v>44861</v>
      </c>
      <c r="C8072" s="97" t="s">
        <v>2265</v>
      </c>
      <c r="D8072" s="87" t="s">
        <v>710</v>
      </c>
      <c r="E8072">
        <f t="shared" si="52"/>
        <v>100</v>
      </c>
      <c r="F8072" s="2" t="str">
        <f>IF(Table2[[#This Row],[Manual Cat Value]]="",VLOOKUP(Table2[[#This Row],[Description]],'Actuals Lookup'!D:F,3,0),Table2[[#This Row],[Manual Cat Value]])</f>
        <v>Delete</v>
      </c>
      <c r="G8072" t="str">
        <f>VLOOKUP(D8072,Lookup!G:H,2,0)</f>
        <v>delete</v>
      </c>
      <c r="I8072" s="95"/>
      <c r="J8072" s="98">
        <v>100</v>
      </c>
      <c r="K8072" s="87"/>
      <c r="L8072" s="87"/>
      <c r="M8072" s="87"/>
      <c r="N8072" s="87" t="s">
        <v>3074</v>
      </c>
      <c r="O8072" t="str">
        <f>LEFT(Table2[[#This Row],[Description]],75)</f>
        <v>Deposit by Check Deposit Anywhere check deposit</v>
      </c>
    </row>
    <row r="8073" spans="1:15" hidden="1">
      <c r="A8073">
        <v>202309</v>
      </c>
      <c r="B8073" s="6">
        <v>45188</v>
      </c>
      <c r="C8073" t="s">
        <v>3199</v>
      </c>
      <c r="D8073" t="s">
        <v>3200</v>
      </c>
      <c r="E8073">
        <v>53</v>
      </c>
      <c r="F8073" s="2" t="str">
        <f>IF(Table2[[#This Row],[Manual Cat Value]]="",VLOOKUP(Table2[[#This Row],[Description]],'Actuals Lookup'!D:F,3,0),Table2[[#This Row],[Manual Cat Value]])</f>
        <v>Exp - Shopping</v>
      </c>
      <c r="H8073" s="8" t="s">
        <v>36</v>
      </c>
      <c r="I8073" s="8"/>
      <c r="O8073" t="str">
        <f>LEFT(Table2[[#This Row],[Description]],75)</f>
        <v>Draft 2350 Tracer XX1247</v>
      </c>
    </row>
    <row r="8074" spans="1:15" hidden="1">
      <c r="A8074" s="25">
        <f>VALUE(YEAR(Table2[[#This Row],[Date]])&amp;TEXT(MONTH(Table2[[#This Row],[Date]]),"00"))</f>
        <v>202210</v>
      </c>
      <c r="B8074" s="93">
        <v>44861</v>
      </c>
      <c r="C8074" s="97" t="s">
        <v>2262</v>
      </c>
      <c r="D8074" s="87" t="s">
        <v>3201</v>
      </c>
      <c r="E8074">
        <f t="shared" ref="E8074:E8089" si="53">IF(M8074="credit",-1*J8074,J8074)</f>
        <v>56.04</v>
      </c>
      <c r="F8074" s="2" t="str">
        <f>IF(Table2[[#This Row],[Manual Cat Value]]="",VLOOKUP(Table2[[#This Row],[Description]],'Actuals Lookup'!D:F,3,0),Table2[[#This Row],[Manual Cat Value]])</f>
        <v>Exp - Transportation</v>
      </c>
      <c r="G8074" t="e">
        <f>VLOOKUP(D8074,Lookup!G:H,2,0)</f>
        <v>#N/A</v>
      </c>
      <c r="H8074" s="8" t="s">
        <v>22</v>
      </c>
      <c r="I8074" s="95"/>
      <c r="J8074" s="98">
        <v>56.04</v>
      </c>
      <c r="K8074" s="87"/>
      <c r="L8074" s="87"/>
      <c r="M8074" s="87" t="s">
        <v>2535</v>
      </c>
      <c r="O8074" t="str">
        <f>LEFT(Table2[[#This Row],[Description]],75)</f>
        <v>KWIK TRIP  40200004028   CHANHASSEN   MN REF #2416407MVL3HN4GKV</v>
      </c>
    </row>
    <row r="8075" spans="1:15" hidden="1">
      <c r="A8075" s="25">
        <f>VALUE(YEAR(Table2[[#This Row],[Date]])&amp;TEXT(MONTH(Table2[[#This Row],[Date]]),"00"))</f>
        <v>202210</v>
      </c>
      <c r="B8075" s="6">
        <v>44861</v>
      </c>
      <c r="C8075" t="s">
        <v>2447</v>
      </c>
      <c r="D8075" t="s">
        <v>3202</v>
      </c>
      <c r="E8075">
        <f t="shared" si="53"/>
        <v>99.85</v>
      </c>
      <c r="F8075" s="2" t="str">
        <f>IF(Table2[[#This Row],[Manual Cat Value]]="",VLOOKUP(Table2[[#This Row],[Description]],'Actuals Lookup'!D:F,3,0),Table2[[#This Row],[Manual Cat Value]])</f>
        <v>Exp - Shopping</v>
      </c>
      <c r="G8075" t="e">
        <f>VLOOKUP(D8075,Lookup!G:H,2,0)</f>
        <v>#N/A</v>
      </c>
      <c r="H8075" s="8" t="s">
        <v>36</v>
      </c>
      <c r="I8075" s="8"/>
      <c r="J8075">
        <v>99.85</v>
      </c>
      <c r="M8075" t="s">
        <v>2513</v>
      </c>
      <c r="O8075" t="str">
        <f>LEFT(Table2[[#This Row],[Description]],75)</f>
        <v>PAYPAL *LLBEANINC</v>
      </c>
    </row>
    <row r="8076" spans="1:15" hidden="1">
      <c r="A8076" s="25">
        <f>VALUE(YEAR(Table2[[#This Row],[Date]])&amp;TEXT(MONTH(Table2[[#This Row],[Date]]),"00"))</f>
        <v>202210</v>
      </c>
      <c r="B8076" s="93">
        <v>44861</v>
      </c>
      <c r="C8076" s="97" t="s">
        <v>2265</v>
      </c>
      <c r="D8076" s="87" t="s">
        <v>3203</v>
      </c>
      <c r="E8076">
        <f t="shared" si="53"/>
        <v>10.79</v>
      </c>
      <c r="F8076" s="2" t="str">
        <f>IF(Table2[[#This Row],[Manual Cat Value]]="",VLOOKUP(Table2[[#This Row],[Description]],'Actuals Lookup'!D:F,3,0),Table2[[#This Row],[Manual Cat Value]])</f>
        <v>Exp - Shopping</v>
      </c>
      <c r="G8076" t="e">
        <f>VLOOKUP(D8076,Lookup!G:H,2,0)</f>
        <v>#N/A</v>
      </c>
      <c r="H8076" s="8" t="s">
        <v>36</v>
      </c>
      <c r="I8076" s="95"/>
      <c r="J8076" s="98">
        <v>10.79</v>
      </c>
      <c r="K8076" s="87"/>
      <c r="L8076" s="87"/>
      <c r="M8076" s="87"/>
      <c r="N8076" s="87" t="s">
        <v>2535</v>
      </c>
      <c r="O8076" t="str">
        <f>LEFT(Table2[[#This Row],[Description]],75)</f>
        <v xml:space="preserve">Withdrawal ACH PAYPAL TYPE: INST XFER ID: PAYPALSI77 CO: PAYPAL NAME: JEFF </v>
      </c>
    </row>
    <row r="8077" spans="1:15" hidden="1">
      <c r="A8077" s="25">
        <f>VALUE(YEAR(Table2[[#This Row],[Date]])&amp;TEXT(MONTH(Table2[[#This Row],[Date]]),"00"))</f>
        <v>202210</v>
      </c>
      <c r="B8077" s="93">
        <v>44862</v>
      </c>
      <c r="C8077" s="97" t="s">
        <v>2262</v>
      </c>
      <c r="D8077" s="87" t="s">
        <v>3204</v>
      </c>
      <c r="E8077">
        <f t="shared" si="53"/>
        <v>37.36</v>
      </c>
      <c r="F8077" s="2" t="str">
        <f>IF(Table2[[#This Row],[Manual Cat Value]]="",VLOOKUP(Table2[[#This Row],[Description]],'Actuals Lookup'!D:F,3,0),Table2[[#This Row],[Manual Cat Value]])</f>
        <v>Exp - Groceries</v>
      </c>
      <c r="G8077" t="e">
        <f>VLOOKUP(D8077,Lookup!G:H,2,0)</f>
        <v>#N/A</v>
      </c>
      <c r="H8077" s="8" t="s">
        <v>27</v>
      </c>
      <c r="I8077" s="95"/>
      <c r="J8077" s="98">
        <v>37.36</v>
      </c>
      <c r="K8077" s="87"/>
      <c r="L8077" s="87"/>
      <c r="M8077" s="87" t="s">
        <v>2535</v>
      </c>
      <c r="O8077" t="str">
        <f>LEFT(Table2[[#This Row],[Description]],75)</f>
        <v>LAKEWINDS - CHANHASSEN   CHANHASSEN   MN REF #2405523MXRBGMQ4S2</v>
      </c>
    </row>
    <row r="8078" spans="1:15" hidden="1">
      <c r="A8078" s="25">
        <f>VALUE(YEAR(Table2[[#This Row],[Date]])&amp;TEXT(MONTH(Table2[[#This Row],[Date]]),"00"))</f>
        <v>202210</v>
      </c>
      <c r="B8078" s="93">
        <v>44862</v>
      </c>
      <c r="C8078" s="97" t="s">
        <v>2262</v>
      </c>
      <c r="D8078" s="87" t="s">
        <v>3205</v>
      </c>
      <c r="E8078">
        <f t="shared" si="53"/>
        <v>224.91</v>
      </c>
      <c r="F8078" s="2" t="str">
        <f>IF(Table2[[#This Row],[Manual Cat Value]]="",VLOOKUP(Table2[[#This Row],[Description]],'Actuals Lookup'!D:F,3,0),Table2[[#This Row],[Manual Cat Value]])</f>
        <v>Exp - Restaurants</v>
      </c>
      <c r="G8078" t="e">
        <f>VLOOKUP(D8078,Lookup!G:H,2,0)</f>
        <v>#N/A</v>
      </c>
      <c r="H8078" s="8" t="s">
        <v>25</v>
      </c>
      <c r="I8078" s="95"/>
      <c r="J8078" s="98">
        <v>224.91</v>
      </c>
      <c r="K8078" s="87"/>
      <c r="L8078" s="87"/>
      <c r="M8078" s="87" t="s">
        <v>2535</v>
      </c>
      <c r="O8078" t="str">
        <f>LEFT(Table2[[#This Row],[Description]],75)</f>
        <v>TST* Demi                Minneapolis  MN REF #2469216MW30XDFR0D</v>
      </c>
    </row>
    <row r="8079" spans="1:15" hidden="1">
      <c r="A8079" s="25">
        <f>VALUE(YEAR(Table2[[#This Row],[Date]])&amp;TEXT(MONTH(Table2[[#This Row],[Date]]),"00"))</f>
        <v>202210</v>
      </c>
      <c r="B8079" s="93">
        <v>44862</v>
      </c>
      <c r="C8079" s="97" t="s">
        <v>2265</v>
      </c>
      <c r="D8079" s="87" t="s">
        <v>3206</v>
      </c>
      <c r="E8079">
        <f t="shared" si="53"/>
        <v>0.99</v>
      </c>
      <c r="F8079" s="2" t="str">
        <f>IF(Table2[[#This Row],[Manual Cat Value]]="",VLOOKUP(Table2[[#This Row],[Description]],'Actuals Lookup'!D:F,3,0),Table2[[#This Row],[Manual Cat Value]])</f>
        <v>Exp - Shopping</v>
      </c>
      <c r="G8079" t="e">
        <f>VLOOKUP(D8079,Lookup!G:H,2,0)</f>
        <v>#N/A</v>
      </c>
      <c r="H8079" s="8" t="s">
        <v>36</v>
      </c>
      <c r="I8079" s="95"/>
      <c r="J8079" s="98">
        <v>0.99</v>
      </c>
      <c r="K8079" s="87"/>
      <c r="L8079" s="87"/>
      <c r="M8079" s="87"/>
      <c r="N8079" s="87" t="s">
        <v>2535</v>
      </c>
      <c r="O8079" t="str">
        <f>LEFT(Table2[[#This Row],[Description]],75)</f>
        <v xml:space="preserve">Withdrawal ACH PAYPAL TYPE: INST XFER ID: PAYPALSI77 CO: PAYPAL NAME: JEFF </v>
      </c>
    </row>
    <row r="8080" spans="1:15" hidden="1">
      <c r="A8080" s="25">
        <f>VALUE(YEAR(Table2[[#This Row],[Date]])&amp;TEXT(MONTH(Table2[[#This Row],[Date]]),"00"))</f>
        <v>202210</v>
      </c>
      <c r="B8080" s="6">
        <v>44864</v>
      </c>
      <c r="C8080" t="s">
        <v>2447</v>
      </c>
      <c r="D8080" t="s">
        <v>133</v>
      </c>
      <c r="E8080">
        <f t="shared" si="53"/>
        <v>10.36</v>
      </c>
      <c r="F8080" s="2" t="e">
        <f>IF(Table2[[#This Row],[Manual Cat Value]]="",VLOOKUP(Table2[[#This Row],[Description]],'Actuals Lookup'!D:F,3,0),Table2[[#This Row],[Manual Cat Value]])</f>
        <v>#N/A</v>
      </c>
      <c r="G8080" t="str">
        <f>VLOOKUP(D8080,Lookup!G:H,2,0)</f>
        <v>Amazon</v>
      </c>
      <c r="I8080" s="8"/>
      <c r="J8080">
        <v>10.36</v>
      </c>
      <c r="M8080" t="s">
        <v>2513</v>
      </c>
      <c r="O8080" t="str">
        <f>LEFT(Table2[[#This Row],[Description]],75)</f>
        <v>AMZN Mktp US</v>
      </c>
    </row>
    <row r="8081" spans="1:15" hidden="1">
      <c r="A8081" s="25">
        <f>VALUE(YEAR(Table2[[#This Row],[Date]])&amp;TEXT(MONTH(Table2[[#This Row],[Date]]),"00"))</f>
        <v>202210</v>
      </c>
      <c r="B8081" s="6">
        <v>44864</v>
      </c>
      <c r="C8081" t="s">
        <v>2447</v>
      </c>
      <c r="D8081" t="s">
        <v>133</v>
      </c>
      <c r="E8081">
        <f t="shared" si="53"/>
        <v>10.72</v>
      </c>
      <c r="F8081" s="2" t="e">
        <f>IF(Table2[[#This Row],[Manual Cat Value]]="",VLOOKUP(Table2[[#This Row],[Description]],'Actuals Lookup'!D:F,3,0),Table2[[#This Row],[Manual Cat Value]])</f>
        <v>#N/A</v>
      </c>
      <c r="G8081" t="str">
        <f>VLOOKUP(D8081,Lookup!G:H,2,0)</f>
        <v>Amazon</v>
      </c>
      <c r="I8081" s="8"/>
      <c r="J8081">
        <v>10.72</v>
      </c>
      <c r="M8081" t="s">
        <v>2513</v>
      </c>
      <c r="O8081" t="str">
        <f>LEFT(Table2[[#This Row],[Description]],75)</f>
        <v>AMZN Mktp US</v>
      </c>
    </row>
    <row r="8082" spans="1:15" hidden="1">
      <c r="A8082" s="25">
        <f>VALUE(YEAR(Table2[[#This Row],[Date]])&amp;TEXT(MONTH(Table2[[#This Row],[Date]]),"00"))</f>
        <v>202210</v>
      </c>
      <c r="B8082" s="6">
        <v>44864</v>
      </c>
      <c r="C8082" t="s">
        <v>2447</v>
      </c>
      <c r="D8082" t="s">
        <v>133</v>
      </c>
      <c r="E8082">
        <f t="shared" si="53"/>
        <v>44.53</v>
      </c>
      <c r="F8082" s="2" t="e">
        <f>IF(Table2[[#This Row],[Manual Cat Value]]="",VLOOKUP(Table2[[#This Row],[Description]],'Actuals Lookup'!D:F,3,0),Table2[[#This Row],[Manual Cat Value]])</f>
        <v>#N/A</v>
      </c>
      <c r="G8082" t="str">
        <f>VLOOKUP(D8082,Lookup!G:H,2,0)</f>
        <v>Amazon</v>
      </c>
      <c r="I8082" s="8"/>
      <c r="J8082">
        <v>44.53</v>
      </c>
      <c r="M8082" t="s">
        <v>2513</v>
      </c>
      <c r="O8082" t="str">
        <f>LEFT(Table2[[#This Row],[Description]],75)</f>
        <v>AMZN Mktp US</v>
      </c>
    </row>
    <row r="8083" spans="1:15" hidden="1">
      <c r="A8083" s="25">
        <f>VALUE(YEAR(Table2[[#This Row],[Date]])&amp;TEXT(MONTH(Table2[[#This Row],[Date]]),"00"))</f>
        <v>202210</v>
      </c>
      <c r="B8083" s="93">
        <v>44864</v>
      </c>
      <c r="C8083" s="97" t="s">
        <v>2262</v>
      </c>
      <c r="D8083" s="87" t="s">
        <v>3207</v>
      </c>
      <c r="E8083">
        <f t="shared" si="53"/>
        <v>8</v>
      </c>
      <c r="F8083" s="2" t="str">
        <f>IF(Table2[[#This Row],[Manual Cat Value]]="",VLOOKUP(Table2[[#This Row],[Description]],'Actuals Lookup'!D:F,3,0),Table2[[#This Row],[Manual Cat Value]])</f>
        <v>Exp - Utilities</v>
      </c>
      <c r="G8083" t="e">
        <f>VLOOKUP(D8083,Lookup!G:H,2,0)</f>
        <v>#N/A</v>
      </c>
      <c r="H8083" s="8" t="s">
        <v>6</v>
      </c>
      <c r="I8083" s="95"/>
      <c r="J8083" s="98">
        <v>8</v>
      </c>
      <c r="K8083" s="87"/>
      <c r="L8083" s="87"/>
      <c r="M8083" s="87" t="s">
        <v>2535</v>
      </c>
      <c r="O8083" t="str">
        <f>LEFT(Table2[[#This Row],[Description]],75)</f>
        <v>D J*WALL-ST-JOURNAL      800-568-7625 MA REF #2469216MY32JBYSSE</v>
      </c>
    </row>
    <row r="8084" spans="1:15" hidden="1">
      <c r="A8084" s="25">
        <f>VALUE(YEAR(Table2[[#This Row],[Date]])&amp;TEXT(MONTH(Table2[[#This Row],[Date]]),"00"))</f>
        <v>202210</v>
      </c>
      <c r="B8084" s="93">
        <v>44864</v>
      </c>
      <c r="C8084" s="97" t="s">
        <v>2265</v>
      </c>
      <c r="D8084" s="87" t="s">
        <v>3208</v>
      </c>
      <c r="E8084">
        <f t="shared" si="53"/>
        <v>2922.31</v>
      </c>
      <c r="F8084" s="2" t="str">
        <f>IF(Table2[[#This Row],[Manual Cat Value]]="",VLOOKUP(Table2[[#This Row],[Description]],'Actuals Lookup'!D:F,3,0),Table2[[#This Row],[Manual Cat Value]])</f>
        <v>Inc - Jeff</v>
      </c>
      <c r="G8084" t="e">
        <f>VLOOKUP(D8084,Lookup!G:H,2,0)</f>
        <v>#N/A</v>
      </c>
      <c r="H8084" s="8" t="s">
        <v>63</v>
      </c>
      <c r="I8084" s="95"/>
      <c r="J8084" s="98">
        <v>2922.31</v>
      </c>
      <c r="K8084" s="87"/>
      <c r="L8084" s="87"/>
      <c r="M8084" s="87"/>
      <c r="N8084" s="87" t="s">
        <v>3074</v>
      </c>
      <c r="O8084" t="str">
        <f>LEFT(Table2[[#This Row],[Description]],75)</f>
        <v>Deposit ACH TRINET TYPE: PAYROLL ID: 194XXXXXXX CO: TRINET Entry Class Code</v>
      </c>
    </row>
    <row r="8085" spans="1:15" hidden="1">
      <c r="A8085" s="25">
        <f>VALUE(YEAR(Table2[[#This Row],[Date]])&amp;TEXT(MONTH(Table2[[#This Row],[Date]]),"00"))</f>
        <v>202210</v>
      </c>
      <c r="B8085" s="93">
        <v>44864</v>
      </c>
      <c r="C8085" s="97" t="s">
        <v>2262</v>
      </c>
      <c r="D8085" s="87" t="s">
        <v>3209</v>
      </c>
      <c r="E8085">
        <f t="shared" si="53"/>
        <v>11.8</v>
      </c>
      <c r="F8085" s="2" t="str">
        <f>IF(Table2[[#This Row],[Manual Cat Value]]="",VLOOKUP(Table2[[#This Row],[Description]],'Actuals Lookup'!D:F,3,0),Table2[[#This Row],[Manual Cat Value]])</f>
        <v>Exp - Transportation</v>
      </c>
      <c r="G8085" t="e">
        <f>VLOOKUP(D8085,Lookup!G:H,2,0)</f>
        <v>#N/A</v>
      </c>
      <c r="H8085" s="8" t="s">
        <v>22</v>
      </c>
      <c r="I8085" s="95"/>
      <c r="J8085" s="98">
        <v>11.8</v>
      </c>
      <c r="K8085" s="87"/>
      <c r="L8085" s="87"/>
      <c r="M8085" s="87" t="s">
        <v>2535</v>
      </c>
      <c r="O8085" t="str">
        <f>LEFT(Table2[[#This Row],[Description]],75)</f>
        <v>SPEEDWAY 04551           SAVAGE       MN REF #2413746MZ01A1HT27</v>
      </c>
    </row>
    <row r="8086" spans="1:15" hidden="1">
      <c r="A8086" s="25">
        <f>VALUE(YEAR(Table2[[#This Row],[Date]])&amp;TEXT(MONTH(Table2[[#This Row],[Date]]),"00"))</f>
        <v>202210</v>
      </c>
      <c r="B8086" s="93">
        <v>44864</v>
      </c>
      <c r="C8086" s="97" t="s">
        <v>2262</v>
      </c>
      <c r="D8086" s="87" t="s">
        <v>3210</v>
      </c>
      <c r="E8086">
        <f t="shared" si="53"/>
        <v>29.4</v>
      </c>
      <c r="F8086" s="2" t="str">
        <f>IF(Table2[[#This Row],[Manual Cat Value]]="",VLOOKUP(Table2[[#This Row],[Description]],'Actuals Lookup'!D:F,3,0),Table2[[#This Row],[Manual Cat Value]])</f>
        <v>Exp - Restaurants</v>
      </c>
      <c r="G8086" t="e">
        <f>VLOOKUP(D8086,Lookup!G:H,2,0)</f>
        <v>#N/A</v>
      </c>
      <c r="H8086" s="8" t="s">
        <v>25</v>
      </c>
      <c r="I8086" s="95"/>
      <c r="J8086" s="98">
        <v>29.4</v>
      </c>
      <c r="K8086" s="87"/>
      <c r="L8086" s="87"/>
      <c r="M8086" s="87" t="s">
        <v>2535</v>
      </c>
      <c r="O8086" t="str">
        <f>LEFT(Table2[[#This Row],[Description]],75)</f>
        <v>TST* Nautical Bowls SavagSavage       MN REF #2469216MY32T2QV3X</v>
      </c>
    </row>
    <row r="8087" spans="1:15" hidden="1">
      <c r="A8087" s="25">
        <f>VALUE(YEAR(Table2[[#This Row],[Date]])&amp;TEXT(MONTH(Table2[[#This Row],[Date]]),"00"))</f>
        <v>202210</v>
      </c>
      <c r="B8087" s="6">
        <v>44865</v>
      </c>
      <c r="C8087" t="s">
        <v>2447</v>
      </c>
      <c r="D8087" t="s">
        <v>114</v>
      </c>
      <c r="E8087">
        <f t="shared" si="53"/>
        <v>5.36</v>
      </c>
      <c r="F8087" s="2" t="str">
        <f>IF(Table2[[#This Row],[Manual Cat Value]]="",VLOOKUP(Table2[[#This Row],[Description]],'Actuals Lookup'!D:F,3,0),Table2[[#This Row],[Manual Cat Value]])</f>
        <v>Entertainment</v>
      </c>
      <c r="G8087" t="str">
        <f>VLOOKUP(D8087,Lookup!G:H,2,0)</f>
        <v>Shopping</v>
      </c>
      <c r="I8087" s="8"/>
      <c r="J8087">
        <v>5.36</v>
      </c>
      <c r="M8087" t="s">
        <v>2513</v>
      </c>
      <c r="O8087" t="str">
        <f>LEFT(Table2[[#This Row],[Description]],75)</f>
        <v>Amazon Music</v>
      </c>
    </row>
    <row r="8088" spans="1:15" hidden="1">
      <c r="A8088" s="25">
        <f>VALUE(YEAR(Table2[[#This Row],[Date]])&amp;TEXT(MONTH(Table2[[#This Row],[Date]]),"00"))</f>
        <v>202210</v>
      </c>
      <c r="B8088" s="6">
        <v>44865</v>
      </c>
      <c r="C8088" t="s">
        <v>2447</v>
      </c>
      <c r="D8088" t="s">
        <v>133</v>
      </c>
      <c r="E8088">
        <f t="shared" si="53"/>
        <v>8.99</v>
      </c>
      <c r="F8088" s="2" t="e">
        <f>IF(Table2[[#This Row],[Manual Cat Value]]="",VLOOKUP(Table2[[#This Row],[Description]],'Actuals Lookup'!D:F,3,0),Table2[[#This Row],[Manual Cat Value]])</f>
        <v>#N/A</v>
      </c>
      <c r="G8088" t="str">
        <f>VLOOKUP(D8088,Lookup!G:H,2,0)</f>
        <v>Amazon</v>
      </c>
      <c r="I8088" s="8"/>
      <c r="J8088">
        <v>8.99</v>
      </c>
      <c r="M8088" t="s">
        <v>2513</v>
      </c>
      <c r="O8088" t="str">
        <f>LEFT(Table2[[#This Row],[Description]],75)</f>
        <v>AMZN Mktp US</v>
      </c>
    </row>
    <row r="8089" spans="1:15" ht="30" hidden="1">
      <c r="A8089" s="25">
        <f>VALUE(YEAR(Table2[[#This Row],[Date]])&amp;TEXT(MONTH(Table2[[#This Row],[Date]]),"00"))</f>
        <v>202210</v>
      </c>
      <c r="B8089" s="93">
        <v>44865</v>
      </c>
      <c r="C8089" s="87" t="s">
        <v>2447</v>
      </c>
      <c r="D8089" s="94" t="s">
        <v>3211</v>
      </c>
      <c r="E8089">
        <f t="shared" si="53"/>
        <v>10.36</v>
      </c>
      <c r="F8089" s="2" t="str">
        <f>IF(Table2[[#This Row],[Manual Cat Value]]="",VLOOKUP(Table2[[#This Row],[Description]],'Actuals Lookup'!D:F,3,0),Table2[[#This Row],[Manual Cat Value]])</f>
        <v>Exp - Amazon</v>
      </c>
      <c r="G8089" t="e">
        <f>VLOOKUP(D8089,Lookup!G:H,2,0)</f>
        <v>#N/A</v>
      </c>
      <c r="H8089" s="8" t="s">
        <v>37</v>
      </c>
      <c r="I8089" s="96"/>
      <c r="J8089" s="87">
        <v>10.36</v>
      </c>
      <c r="K8089" s="87"/>
      <c r="L8089" s="87"/>
      <c r="M8089" s="87"/>
      <c r="N8089" s="87" t="s">
        <v>2513</v>
      </c>
      <c r="O8089" t="str">
        <f>LEFT(Table2[[#This Row],[Description]],75)</f>
        <v>AMZN MKTP US*H26AW6C00 AMZN.COM/BILLWA
Z2LB59HU27V</v>
      </c>
    </row>
    <row r="8090" spans="1:15" hidden="1">
      <c r="A8090" s="25">
        <f>VALUE(YEAR(Table2[[#This Row],[Date]])&amp;TEXT(MONTH(Table2[[#This Row],[Date]]),"00"))</f>
        <v>202210</v>
      </c>
      <c r="B8090" s="6">
        <v>44865</v>
      </c>
      <c r="C8090" t="s">
        <v>2281</v>
      </c>
      <c r="D8090" t="s">
        <v>14</v>
      </c>
      <c r="E8090">
        <f>125*2</f>
        <v>250</v>
      </c>
      <c r="F8090" s="2" t="str">
        <f>IF(Table2[[#This Row],[Manual Cat Value]]="",VLOOKUP(Table2[[#This Row],[Description]],'Actuals Lookup'!D:F,3,0),Table2[[#This Row],[Manual Cat Value]])</f>
        <v>Exp - Cleaning</v>
      </c>
      <c r="G8090" t="e">
        <f>VLOOKUP(D8090,Lookup!G:H,2,0)</f>
        <v>#N/A</v>
      </c>
      <c r="H8090" s="8" t="s">
        <v>13</v>
      </c>
      <c r="I8090" s="8"/>
      <c r="J8090">
        <v>250</v>
      </c>
      <c r="O8090" t="str">
        <f>LEFT(Table2[[#This Row],[Description]],75)</f>
        <v>Cleaning</v>
      </c>
    </row>
    <row r="8091" spans="1:15" hidden="1">
      <c r="A8091" s="25">
        <f>VALUE(YEAR(Table2[[#This Row],[Date]])&amp;TEXT(MONTH(Table2[[#This Row],[Date]]),"00"))</f>
        <v>202210</v>
      </c>
      <c r="B8091" s="93">
        <v>44865</v>
      </c>
      <c r="C8091" s="97" t="s">
        <v>2265</v>
      </c>
      <c r="D8091" s="87" t="s">
        <v>3212</v>
      </c>
      <c r="E8091">
        <f t="shared" ref="E8091:E8108" si="54">IF(M8091="credit",-1*J8091,J8091)</f>
        <v>25.57</v>
      </c>
      <c r="F8091" s="2" t="str">
        <f>IF(Table2[[#This Row],[Manual Cat Value]]="",VLOOKUP(Table2[[#This Row],[Description]],'Actuals Lookup'!D:F,3,0),Table2[[#This Row],[Manual Cat Value]])</f>
        <v>Inc - Other</v>
      </c>
      <c r="G8091" t="e">
        <f>VLOOKUP(D8091,Lookup!G:H,2,0)</f>
        <v>#N/A</v>
      </c>
      <c r="H8091" s="8" t="s">
        <v>16</v>
      </c>
      <c r="I8091" s="95"/>
      <c r="J8091" s="98">
        <v>25.57</v>
      </c>
      <c r="K8091" s="87"/>
      <c r="L8091" s="87"/>
      <c r="M8091" s="87"/>
      <c r="N8091" s="87" t="s">
        <v>3074</v>
      </c>
      <c r="O8091" t="str">
        <f>LEFT(Table2[[#This Row],[Description]],75)</f>
        <v>Deposit Dividend Split Rate Annual Percentage Yield Earned 0.59% from 10/01</v>
      </c>
    </row>
    <row r="8092" spans="1:15" hidden="1">
      <c r="A8092" s="25">
        <f>VALUE(YEAR(Table2[[#This Row],[Date]])&amp;TEXT(MONTH(Table2[[#This Row],[Date]]),"00"))</f>
        <v>202210</v>
      </c>
      <c r="B8092" s="93">
        <v>44865</v>
      </c>
      <c r="C8092" s="97" t="s">
        <v>2262</v>
      </c>
      <c r="D8092" s="87" t="s">
        <v>3213</v>
      </c>
      <c r="E8092">
        <f t="shared" si="54"/>
        <v>82.64</v>
      </c>
      <c r="F8092" s="2" t="str">
        <f>IF(Table2[[#This Row],[Manual Cat Value]]="",VLOOKUP(Table2[[#This Row],[Description]],'Actuals Lookup'!D:F,3,0),Table2[[#This Row],[Manual Cat Value]])</f>
        <v>Exp - Groceries</v>
      </c>
      <c r="G8092" t="e">
        <f>VLOOKUP(D8092,Lookup!G:H,2,0)</f>
        <v>#N/A</v>
      </c>
      <c r="H8092" s="8" t="s">
        <v>27</v>
      </c>
      <c r="I8092" s="95"/>
      <c r="J8092" s="98">
        <v>82.64</v>
      </c>
      <c r="K8092" s="87"/>
      <c r="L8092" s="87"/>
      <c r="M8092" s="87" t="s">
        <v>2535</v>
      </c>
      <c r="O8092" t="str">
        <f>LEFT(Table2[[#This Row],[Description]],75)</f>
        <v>LUNDS&amp;BYERLYS CHANH      CHANHASSEN   MN REF #2442733MZM83BTB26</v>
      </c>
    </row>
    <row r="8093" spans="1:15" hidden="1">
      <c r="A8093" s="25">
        <f>VALUE(YEAR(Table2[[#This Row],[Date]])&amp;TEXT(MONTH(Table2[[#This Row],[Date]]),"00"))</f>
        <v>202210</v>
      </c>
      <c r="B8093" s="93">
        <v>44865</v>
      </c>
      <c r="C8093" s="87" t="s">
        <v>2447</v>
      </c>
      <c r="D8093" s="87" t="s">
        <v>3214</v>
      </c>
      <c r="E8093">
        <f t="shared" si="54"/>
        <v>99.85</v>
      </c>
      <c r="F8093" s="2" t="str">
        <f>IF(Table2[[#This Row],[Manual Cat Value]]="",VLOOKUP(Table2[[#This Row],[Description]],'Actuals Lookup'!D:F,3,0),Table2[[#This Row],[Manual Cat Value]])</f>
        <v>Exp - Shopping</v>
      </c>
      <c r="G8093" t="e">
        <f>VLOOKUP(D8093,Lookup!G:H,2,0)</f>
        <v>#N/A</v>
      </c>
      <c r="H8093" s="8" t="s">
        <v>36</v>
      </c>
      <c r="I8093" s="95"/>
      <c r="J8093" s="87">
        <v>99.85</v>
      </c>
      <c r="K8093" s="87"/>
      <c r="L8093" s="87"/>
      <c r="M8093" s="87"/>
      <c r="N8093" s="87" t="s">
        <v>2513</v>
      </c>
      <c r="O8093" t="str">
        <f>LEFT(Table2[[#This Row],[Description]],75)</f>
        <v>PAYPAL *LLBEANINC 402-935-7733 CA</v>
      </c>
    </row>
    <row r="8094" spans="1:15" hidden="1">
      <c r="A8094" s="25">
        <f>VALUE(YEAR(Table2[[#This Row],[Date]])&amp;TEXT(MONTH(Table2[[#This Row],[Date]]),"00"))</f>
        <v>202210</v>
      </c>
      <c r="B8094" s="93">
        <v>44865</v>
      </c>
      <c r="C8094" s="97" t="s">
        <v>2262</v>
      </c>
      <c r="D8094" s="87" t="s">
        <v>3215</v>
      </c>
      <c r="E8094">
        <f t="shared" si="54"/>
        <v>30.05</v>
      </c>
      <c r="F8094" s="2" t="str">
        <f>IF(Table2[[#This Row],[Manual Cat Value]]="",VLOOKUP(Table2[[#This Row],[Description]],'Actuals Lookup'!D:F,3,0),Table2[[#This Row],[Manual Cat Value]])</f>
        <v>Exp - Day Care</v>
      </c>
      <c r="G8094" t="e">
        <f>VLOOKUP(D8094,Lookup!G:H,2,0)</f>
        <v>#N/A</v>
      </c>
      <c r="H8094" s="8" t="s">
        <v>19</v>
      </c>
      <c r="I8094" s="95"/>
      <c r="J8094" s="98">
        <v>30.05</v>
      </c>
      <c r="K8094" s="87"/>
      <c r="L8094" s="87"/>
      <c r="M8094" s="87" t="s">
        <v>2535</v>
      </c>
      <c r="O8094" t="str">
        <f>LEFT(Table2[[#This Row],[Description]],75)</f>
        <v>PRESCHOOL SMILES         187-738-1827 MN REF #2449215MZLY607TY2</v>
      </c>
    </row>
    <row r="8095" spans="1:15" hidden="1">
      <c r="A8095" s="25">
        <f>VALUE(YEAR(Table2[[#This Row],[Date]])&amp;TEXT(MONTH(Table2[[#This Row],[Date]]),"00"))</f>
        <v>202210</v>
      </c>
      <c r="B8095" s="93">
        <v>44865</v>
      </c>
      <c r="C8095" s="97" t="s">
        <v>2262</v>
      </c>
      <c r="D8095" s="87" t="s">
        <v>3216</v>
      </c>
      <c r="E8095">
        <f t="shared" si="54"/>
        <v>60.2</v>
      </c>
      <c r="F8095" s="2" t="str">
        <f>IF(Table2[[#This Row],[Manual Cat Value]]="",VLOOKUP(Table2[[#This Row],[Description]],'Actuals Lookup'!D:F,3,0),Table2[[#This Row],[Manual Cat Value]])</f>
        <v>Exp - House Maint</v>
      </c>
      <c r="G8095" t="e">
        <f>VLOOKUP(D8095,Lookup!G:H,2,0)</f>
        <v>#N/A</v>
      </c>
      <c r="H8095" s="8" t="s">
        <v>1</v>
      </c>
      <c r="I8095" s="95"/>
      <c r="J8095" s="98">
        <v>60.2</v>
      </c>
      <c r="K8095" s="87"/>
      <c r="L8095" s="87"/>
      <c r="M8095" s="87" t="s">
        <v>2535</v>
      </c>
      <c r="O8095" t="str">
        <f>LEFT(Table2[[#This Row],[Description]],75)</f>
        <v>SHOREWOOD TRUE VALUE     EXCELSIOR    MN REF #2480197N0BMD9L0DB</v>
      </c>
    </row>
    <row r="8096" spans="1:15" hidden="1">
      <c r="A8096" s="25">
        <f>VALUE(YEAR(Table2[[#This Row],[Date]])&amp;TEXT(MONTH(Table2[[#This Row],[Date]]),"00"))</f>
        <v>202210</v>
      </c>
      <c r="B8096" s="93">
        <v>44865</v>
      </c>
      <c r="C8096" s="97" t="s">
        <v>2265</v>
      </c>
      <c r="D8096" s="87" t="s">
        <v>3217</v>
      </c>
      <c r="E8096">
        <f t="shared" si="54"/>
        <v>0.99</v>
      </c>
      <c r="F8096" s="2" t="str">
        <f>IF(Table2[[#This Row],[Manual Cat Value]]="",VLOOKUP(Table2[[#This Row],[Description]],'Actuals Lookup'!D:F,3,0),Table2[[#This Row],[Manual Cat Value]])</f>
        <v>Exp - Shopping</v>
      </c>
      <c r="G8096" t="e">
        <f>VLOOKUP(D8096,Lookup!G:H,2,0)</f>
        <v>#N/A</v>
      </c>
      <c r="H8096" s="8" t="s">
        <v>36</v>
      </c>
      <c r="I8096" s="95"/>
      <c r="J8096" s="98">
        <v>0.99</v>
      </c>
      <c r="K8096" s="87"/>
      <c r="L8096" s="87"/>
      <c r="M8096" s="87"/>
      <c r="N8096" s="87" t="s">
        <v>2535</v>
      </c>
      <c r="O8096" t="str">
        <f>LEFT(Table2[[#This Row],[Description]],75)</f>
        <v xml:space="preserve">Withdrawal ACH PAYPAL TYPE: INST XFER ID: PAYPALSI77 CO: PAYPAL NAME: JEFF </v>
      </c>
    </row>
    <row r="8097" spans="1:15" hidden="1">
      <c r="A8097" s="25">
        <f>VALUE(YEAR(Table2[[#This Row],[Date]])&amp;TEXT(MONTH(Table2[[#This Row],[Date]]),"00"))</f>
        <v>202210</v>
      </c>
      <c r="B8097" s="93">
        <v>44865</v>
      </c>
      <c r="C8097" s="97" t="s">
        <v>2265</v>
      </c>
      <c r="D8097" s="87" t="s">
        <v>2640</v>
      </c>
      <c r="E8097">
        <f t="shared" si="54"/>
        <v>2614.04</v>
      </c>
      <c r="F8097" s="2" t="str">
        <f>IF(Table2[[#This Row],[Manual Cat Value]]="",VLOOKUP(Table2[[#This Row],[Description]],'Actuals Lookup'!D:F,3,0),Table2[[#This Row],[Manual Cat Value]])</f>
        <v>Delete</v>
      </c>
      <c r="G8097" t="e">
        <f>VLOOKUP(D8097,Lookup!G:H,2,0)</f>
        <v>#N/A</v>
      </c>
      <c r="H8097" s="8" t="s">
        <v>9</v>
      </c>
      <c r="I8097" s="95"/>
      <c r="J8097" s="98">
        <v>2614.04</v>
      </c>
      <c r="K8097" s="87"/>
      <c r="L8097" s="87"/>
      <c r="M8097" s="87"/>
      <c r="N8097" s="87" t="s">
        <v>2535</v>
      </c>
      <c r="O8097" t="str">
        <f>LEFT(Table2[[#This Row],[Description]],75)</f>
        <v>Withdrawal Home Banking Pmt to card XXXXXXXXXXXX-9181</v>
      </c>
    </row>
    <row r="8098" spans="1:15" hidden="1">
      <c r="A8098" s="25">
        <f>VALUE(YEAR(Table2[[#This Row],[Date]])&amp;TEXT(MONTH(Table2[[#This Row],[Date]]),"00"))</f>
        <v>202210</v>
      </c>
      <c r="B8098" s="93">
        <v>44865</v>
      </c>
      <c r="C8098" s="97" t="s">
        <v>2262</v>
      </c>
      <c r="D8098" s="87" t="s">
        <v>3218</v>
      </c>
      <c r="E8098">
        <f t="shared" si="54"/>
        <v>-2614.04</v>
      </c>
      <c r="F8098" s="2" t="str">
        <f>IF(Table2[[#This Row],[Manual Cat Value]]="",VLOOKUP(Table2[[#This Row],[Description]],'Actuals Lookup'!D:F,3,0),Table2[[#This Row],[Manual Cat Value]])</f>
        <v>Delete</v>
      </c>
      <c r="G8098" t="e">
        <f>VLOOKUP(D8098,Lookup!G:H,2,0)</f>
        <v>#N/A</v>
      </c>
      <c r="H8098" s="8" t="s">
        <v>9</v>
      </c>
      <c r="I8098" s="95"/>
      <c r="J8098" s="98">
        <v>2614.04</v>
      </c>
      <c r="K8098" s="87"/>
      <c r="L8098" s="87"/>
      <c r="M8098" s="87" t="s">
        <v>3074</v>
      </c>
      <c r="O8098" t="str">
        <f>LEFT(Table2[[#This Row],[Description]],75)</f>
        <v>PAYMENT - THANK YOU REF #7473457N100XTMJG6</v>
      </c>
    </row>
    <row r="8099" spans="1:15" hidden="1">
      <c r="A8099" s="25">
        <f>VALUE(YEAR(Table2[[#This Row],[Date]])&amp;TEXT(MONTH(Table2[[#This Row],[Date]]),"00"))</f>
        <v>202210</v>
      </c>
      <c r="B8099" s="93">
        <v>44865</v>
      </c>
      <c r="C8099" s="97" t="s">
        <v>2265</v>
      </c>
      <c r="D8099" s="87" t="s">
        <v>3219</v>
      </c>
      <c r="E8099">
        <f t="shared" si="54"/>
        <v>112</v>
      </c>
      <c r="F8099" s="2" t="str">
        <f>IF(Table2[[#This Row],[Manual Cat Value]]="",VLOOKUP(Table2[[#This Row],[Description]],'Actuals Lookup'!D:F,3,0),Table2[[#This Row],[Manual Cat Value]])</f>
        <v>Exp - Shopping</v>
      </c>
      <c r="G8099" t="e">
        <f>VLOOKUP(D8099,Lookup!G:H,2,0)</f>
        <v>#N/A</v>
      </c>
      <c r="H8099" s="8" t="s">
        <v>36</v>
      </c>
      <c r="I8099" s="95"/>
      <c r="J8099" s="98">
        <v>112</v>
      </c>
      <c r="K8099" s="87"/>
      <c r="L8099" s="87"/>
      <c r="M8099" s="87"/>
      <c r="N8099" s="87" t="s">
        <v>2535</v>
      </c>
      <c r="O8099" t="str">
        <f>LEFT(Table2[[#This Row],[Description]],75)</f>
        <v>Withdrawal ACH VENMO TYPE: PAYMENT ID: 326XXXXXXX CO: VENMO NAME: BRITNEY T</v>
      </c>
    </row>
    <row r="8100" spans="1:15" ht="30" hidden="1">
      <c r="A8100" s="25">
        <f>VALUE(YEAR(Table2[[#This Row],[Date]])&amp;TEXT(MONTH(Table2[[#This Row],[Date]]),"00"))</f>
        <v>202211</v>
      </c>
      <c r="B8100" s="6">
        <v>44866</v>
      </c>
      <c r="C8100" t="s">
        <v>2447</v>
      </c>
      <c r="D8100" s="7" t="s">
        <v>3220</v>
      </c>
      <c r="E8100">
        <f t="shared" si="54"/>
        <v>5.36</v>
      </c>
      <c r="F8100" s="2" t="str">
        <f>IF(Table2[[#This Row],[Manual Cat Value]]="",VLOOKUP(Table2[[#This Row],[Description]],'Actuals Lookup'!D:F,3,0),Table2[[#This Row],[Manual Cat Value]])</f>
        <v>Exp - Amazon</v>
      </c>
      <c r="G8100" t="e">
        <f>VLOOKUP(D8100,Lookup!G:H,2,0)</f>
        <v>#N/A</v>
      </c>
      <c r="H8100" s="8" t="s">
        <v>37</v>
      </c>
      <c r="I8100" s="8"/>
      <c r="J8100">
        <v>5.36</v>
      </c>
      <c r="M8100" t="s">
        <v>2513</v>
      </c>
      <c r="O8100" t="str">
        <f>LEFT(Table2[[#This Row],[Description]],75)</f>
        <v>AMAZON MUSIC*H084I3K71 888-802-3080 WA
37D15L8093J</v>
      </c>
    </row>
    <row r="8101" spans="1:15" ht="30" hidden="1">
      <c r="A8101" s="25">
        <f>VALUE(YEAR(Table2[[#This Row],[Date]])&amp;TEXT(MONTH(Table2[[#This Row],[Date]]),"00"))</f>
        <v>202211</v>
      </c>
      <c r="B8101" s="6">
        <v>44866</v>
      </c>
      <c r="C8101" t="s">
        <v>2447</v>
      </c>
      <c r="D8101" s="7" t="s">
        <v>3221</v>
      </c>
      <c r="E8101">
        <f t="shared" si="54"/>
        <v>35.979999999999997</v>
      </c>
      <c r="F8101" s="2" t="str">
        <f>IF(Table2[[#This Row],[Manual Cat Value]]="",VLOOKUP(Table2[[#This Row],[Description]],'Actuals Lookup'!D:F,3,0),Table2[[#This Row],[Manual Cat Value]])</f>
        <v>Exp - Amazon</v>
      </c>
      <c r="G8101" t="e">
        <f>VLOOKUP(D8101,Lookup!G:H,2,0)</f>
        <v>#N/A</v>
      </c>
      <c r="H8101" s="8" t="s">
        <v>37</v>
      </c>
      <c r="I8101" s="8"/>
      <c r="J8101">
        <v>35.979999999999997</v>
      </c>
      <c r="M8101" t="s">
        <v>2513</v>
      </c>
      <c r="O8101" t="str">
        <f>LEFT(Table2[[#This Row],[Description]],75)</f>
        <v>AMZN MKTP US*H27HT74E0 AMZN.COM/BILLWA
77T8Q73PXZG</v>
      </c>
    </row>
    <row r="8102" spans="1:15" hidden="1">
      <c r="A8102" s="25">
        <f>VALUE(YEAR(Table2[[#This Row],[Date]])&amp;TEXT(MONTH(Table2[[#This Row],[Date]]),"00"))</f>
        <v>202211</v>
      </c>
      <c r="B8102" s="6">
        <v>44866</v>
      </c>
      <c r="C8102" t="s">
        <v>2262</v>
      </c>
      <c r="D8102" t="s">
        <v>3222</v>
      </c>
      <c r="E8102">
        <f t="shared" si="54"/>
        <v>48.13</v>
      </c>
      <c r="F8102" s="2" t="str">
        <f>IF(Table2[[#This Row],[Manual Cat Value]]="",VLOOKUP(Table2[[#This Row],[Description]],'Actuals Lookup'!D:F,3,0),Table2[[#This Row],[Manual Cat Value]])</f>
        <v>Exp - Transportation</v>
      </c>
      <c r="G8102" t="e">
        <f>VLOOKUP(D8102,Lookup!G:H,2,0)</f>
        <v>#N/A</v>
      </c>
      <c r="H8102" s="8" t="s">
        <v>22</v>
      </c>
      <c r="I8102" s="8"/>
      <c r="J8102">
        <v>48.13</v>
      </c>
      <c r="M8102" t="s">
        <v>2513</v>
      </c>
      <c r="O8102" t="str">
        <f>LEFT(Table2[[#This Row],[Description]],75)</f>
        <v>KWIK TRIP 47700004770 ST BONIFACIUSMN REF #2416407N0L3HMR65W</v>
      </c>
    </row>
    <row r="8103" spans="1:15" hidden="1">
      <c r="A8103" s="25">
        <f>VALUE(YEAR(Table2[[#This Row],[Date]])&amp;TEXT(MONTH(Table2[[#This Row],[Date]]),"00"))</f>
        <v>202211</v>
      </c>
      <c r="B8103" s="6">
        <v>44866</v>
      </c>
      <c r="C8103" t="s">
        <v>2262</v>
      </c>
      <c r="D8103" t="s">
        <v>3223</v>
      </c>
      <c r="E8103">
        <f t="shared" si="54"/>
        <v>60.85</v>
      </c>
      <c r="F8103" s="2" t="str">
        <f>IF(Table2[[#This Row],[Manual Cat Value]]="",VLOOKUP(Table2[[#This Row],[Description]],'Actuals Lookup'!D:F,3,0),Table2[[#This Row],[Manual Cat Value]])</f>
        <v>Exp - Groceries</v>
      </c>
      <c r="G8103" t="e">
        <f>VLOOKUP(D8103,Lookup!G:H,2,0)</f>
        <v>#N/A</v>
      </c>
      <c r="H8103" s="8" t="s">
        <v>27</v>
      </c>
      <c r="I8103" s="8"/>
      <c r="J8103">
        <v>60.85</v>
      </c>
      <c r="M8103" t="s">
        <v>2513</v>
      </c>
      <c r="O8103" t="str">
        <f>LEFT(Table2[[#This Row],[Description]],75)</f>
        <v>MACKENTHUN`S MEATS &amp; DELISAINT BONIFACMN REF #2455194N00VYXL04J</v>
      </c>
    </row>
    <row r="8104" spans="1:15" hidden="1">
      <c r="A8104" s="25">
        <f>VALUE(YEAR(Table2[[#This Row],[Date]])&amp;TEXT(MONTH(Table2[[#This Row],[Date]]),"00"))</f>
        <v>202211</v>
      </c>
      <c r="B8104" s="6">
        <v>44866</v>
      </c>
      <c r="C8104" t="s">
        <v>2265</v>
      </c>
      <c r="D8104" t="s">
        <v>3224</v>
      </c>
      <c r="E8104">
        <f t="shared" si="54"/>
        <v>300</v>
      </c>
      <c r="F8104" s="2" t="str">
        <f>IF(Table2[[#This Row],[Manual Cat Value]]="",VLOOKUP(Table2[[#This Row],[Description]],'Actuals Lookup'!D:F,3,0),Table2[[#This Row],[Manual Cat Value]])</f>
        <v>Sav - College Savings</v>
      </c>
      <c r="G8104" t="e">
        <f>VLOOKUP(D8104,Lookup!G:H,2,0)</f>
        <v>#N/A</v>
      </c>
      <c r="H8104" s="8" t="s">
        <v>60</v>
      </c>
      <c r="I8104" s="8"/>
      <c r="J8104">
        <v>300</v>
      </c>
      <c r="M8104" t="s">
        <v>2513</v>
      </c>
      <c r="O8104" t="str">
        <f>LEFT(Table2[[#This Row],[Description]],75)</f>
        <v xml:space="preserve">Withdrawal ACH College Savings TYPE: ACH ID: 550895818 CO: College Savings </v>
      </c>
    </row>
    <row r="8105" spans="1:15" hidden="1">
      <c r="A8105" s="25">
        <f>VALUE(YEAR(Table2[[#This Row],[Date]])&amp;TEXT(MONTH(Table2[[#This Row],[Date]]),"00"))</f>
        <v>202211</v>
      </c>
      <c r="B8105" s="6">
        <v>44866</v>
      </c>
      <c r="C8105" t="s">
        <v>2265</v>
      </c>
      <c r="D8105" t="s">
        <v>3225</v>
      </c>
      <c r="E8105">
        <f t="shared" si="54"/>
        <v>315</v>
      </c>
      <c r="F8105" s="2" t="str">
        <f>IF(Table2[[#This Row],[Manual Cat Value]]="",VLOOKUP(Table2[[#This Row],[Description]],'Actuals Lookup'!D:F,3,0),Table2[[#This Row],[Manual Cat Value]])</f>
        <v>Exp - Day Care</v>
      </c>
      <c r="G8105" t="e">
        <f>VLOOKUP(D8105,Lookup!G:H,2,0)</f>
        <v>#N/A</v>
      </c>
      <c r="H8105" s="8" t="s">
        <v>19</v>
      </c>
      <c r="I8105" s="8"/>
      <c r="J8105">
        <v>315</v>
      </c>
      <c r="M8105" t="s">
        <v>2513</v>
      </c>
      <c r="O8105" t="str">
        <f>LEFT(Table2[[#This Row],[Description]],75)</f>
        <v xml:space="preserve">Withdrawal ACH MHCHILDCARELLC TYPE: DUES ID: 1824708198 CO: MHCHILDCARELLC </v>
      </c>
    </row>
    <row r="8106" spans="1:15" hidden="1">
      <c r="A8106" s="25">
        <f>VALUE(YEAR(Table2[[#This Row],[Date]])&amp;TEXT(MONTH(Table2[[#This Row],[Date]]),"00"))</f>
        <v>202211</v>
      </c>
      <c r="B8106" s="6">
        <v>44866</v>
      </c>
      <c r="C8106" t="s">
        <v>2265</v>
      </c>
      <c r="D8106" t="s">
        <v>3226</v>
      </c>
      <c r="E8106">
        <f t="shared" si="54"/>
        <v>618.65</v>
      </c>
      <c r="F8106" s="2" t="str">
        <f>IF(Table2[[#This Row],[Manual Cat Value]]="",VLOOKUP(Table2[[#This Row],[Description]],'Actuals Lookup'!D:F,3,0),Table2[[#This Row],[Manual Cat Value]])</f>
        <v>Exp - Car Loan</v>
      </c>
      <c r="G8106" t="e">
        <f>VLOOKUP(D8106,Lookup!G:H,2,0)</f>
        <v>#N/A</v>
      </c>
      <c r="H8106" s="8" t="s">
        <v>10</v>
      </c>
      <c r="I8106" s="8"/>
      <c r="J8106">
        <v>618.65</v>
      </c>
      <c r="M8106" t="s">
        <v>2513</v>
      </c>
      <c r="O8106" t="str">
        <f>LEFT(Table2[[#This Row],[Description]],75)</f>
        <v>Withdrawal Home Banking Transfer To Loan 02 REF # 1497826</v>
      </c>
    </row>
    <row r="8107" spans="1:15" hidden="1">
      <c r="A8107" s="25">
        <f>VALUE(YEAR(Table2[[#This Row],[Date]])&amp;TEXT(MONTH(Table2[[#This Row],[Date]]),"00"))</f>
        <v>202211</v>
      </c>
      <c r="B8107" s="6">
        <v>44866</v>
      </c>
      <c r="C8107" t="s">
        <v>2710</v>
      </c>
      <c r="D8107" t="s">
        <v>1410</v>
      </c>
      <c r="E8107">
        <f t="shared" si="54"/>
        <v>2606.27</v>
      </c>
      <c r="F8107" s="2" t="str">
        <f>IF(Table2[[#This Row],[Manual Cat Value]]="",VLOOKUP(Table2[[#This Row],[Description]],'Actuals Lookup'!D:F,3,0),Table2[[#This Row],[Manual Cat Value]])</f>
        <v>Delete</v>
      </c>
      <c r="G8107" t="str">
        <f>VLOOKUP(D8107,Lookup!G:H,2,0)</f>
        <v>Delete</v>
      </c>
      <c r="H8107" s="8" t="s">
        <v>9</v>
      </c>
      <c r="I8107" s="8"/>
      <c r="J8107">
        <v>2606.27</v>
      </c>
      <c r="M8107" t="s">
        <v>2513</v>
      </c>
      <c r="O8107" t="str">
        <f>LEFT(Table2[[#This Row],[Description]],75)</f>
        <v>PAYMENT</v>
      </c>
    </row>
    <row r="8108" spans="1:15" hidden="1">
      <c r="A8108" s="25">
        <f>VALUE(YEAR(Table2[[#This Row],[Date]])&amp;TEXT(MONTH(Table2[[#This Row],[Date]]),"00"))</f>
        <v>202211</v>
      </c>
      <c r="B8108" s="6">
        <v>44866</v>
      </c>
      <c r="C8108" t="s">
        <v>2314</v>
      </c>
      <c r="D8108" t="s">
        <v>3227</v>
      </c>
      <c r="E8108">
        <f t="shared" si="54"/>
        <v>-618.65</v>
      </c>
      <c r="F8108" s="2" t="str">
        <f>IF(Table2[[#This Row],[Manual Cat Value]]="",VLOOKUP(Table2[[#This Row],[Description]],'Actuals Lookup'!D:F,3,0),Table2[[#This Row],[Manual Cat Value]])</f>
        <v>Delete</v>
      </c>
      <c r="G8108" t="e">
        <f>VLOOKUP(D8108,Lookup!G:H,2,0)</f>
        <v>#N/A</v>
      </c>
      <c r="H8108" s="8" t="s">
        <v>9</v>
      </c>
      <c r="I8108" s="8"/>
      <c r="J8108">
        <v>618.65</v>
      </c>
      <c r="M8108" t="s">
        <v>2621</v>
      </c>
      <c r="O8108" t="str">
        <f>LEFT(Table2[[#This Row],[Description]],75)</f>
        <v>Payments Home Banking Transfer From Share 70 REF # 1497826</v>
      </c>
    </row>
    <row r="8109" spans="1:15" hidden="1">
      <c r="A8109">
        <v>202410</v>
      </c>
      <c r="B8109" s="6">
        <v>45586</v>
      </c>
      <c r="C8109" t="s">
        <v>2519</v>
      </c>
      <c r="D8109" t="s">
        <v>3228</v>
      </c>
      <c r="E8109">
        <v>17</v>
      </c>
      <c r="F8109" s="2" t="str">
        <f>IF(Table2[[#This Row],[Manual Cat Value]]="",VLOOKUP(Table2[[#This Row],[Description]],'Actuals Lookup'!D:F,3,0),VLOOKUP(Table2[[#This Row],[Manual Cat Value]],Lookup!A:B,2,0))</f>
        <v>Shopping</v>
      </c>
      <c r="H8109" s="8" t="s">
        <v>36</v>
      </c>
      <c r="I8109" s="8"/>
      <c r="O8109" t="str">
        <f>LEFT(Table2[[#This Row],[Description]],75)</f>
        <v>Draft 2351 Tracer XX3044</v>
      </c>
    </row>
    <row r="8110" spans="1:15" ht="30" hidden="1">
      <c r="A8110" s="25">
        <f>VALUE(YEAR(Table2[[#This Row],[Date]])&amp;TEXT(MONTH(Table2[[#This Row],[Date]]),"00"))</f>
        <v>202211</v>
      </c>
      <c r="B8110" s="6">
        <v>44867</v>
      </c>
      <c r="C8110" t="s">
        <v>2447</v>
      </c>
      <c r="D8110" s="7" t="s">
        <v>3229</v>
      </c>
      <c r="E8110">
        <f t="shared" ref="E8110:E8173" si="55">IF(M8110="credit",-1*J8110,J8110)</f>
        <v>8.58</v>
      </c>
      <c r="F8110" s="2" t="str">
        <f>IF(Table2[[#This Row],[Manual Cat Value]]="",VLOOKUP(Table2[[#This Row],[Description]],'Actuals Lookup'!D:F,3,0),Table2[[#This Row],[Manual Cat Value]])</f>
        <v>Exp - Amazon</v>
      </c>
      <c r="G8110" t="e">
        <f>VLOOKUP(D8110,Lookup!G:H,2,0)</f>
        <v>#N/A</v>
      </c>
      <c r="H8110" s="8" t="s">
        <v>37</v>
      </c>
      <c r="I8110" s="8"/>
      <c r="J8110">
        <v>8.58</v>
      </c>
      <c r="M8110" t="s">
        <v>2513</v>
      </c>
      <c r="O8110" t="str">
        <f>LEFT(Table2[[#This Row],[Description]],75)</f>
        <v>AMAZON.COM*H20SD2N80 AMZN.COM/BILLWA
1K4Z7U6G5EF</v>
      </c>
    </row>
    <row r="8111" spans="1:15" ht="30" hidden="1">
      <c r="A8111" s="25">
        <f>VALUE(YEAR(Table2[[#This Row],[Date]])&amp;TEXT(MONTH(Table2[[#This Row],[Date]]),"00"))</f>
        <v>202211</v>
      </c>
      <c r="B8111" s="6">
        <v>44867</v>
      </c>
      <c r="C8111" t="s">
        <v>2447</v>
      </c>
      <c r="D8111" s="7" t="s">
        <v>3230</v>
      </c>
      <c r="E8111">
        <f t="shared" si="55"/>
        <v>37.979999999999997</v>
      </c>
      <c r="F8111" s="2" t="str">
        <f>IF(Table2[[#This Row],[Manual Cat Value]]="",VLOOKUP(Table2[[#This Row],[Description]],'Actuals Lookup'!D:F,3,0),Table2[[#This Row],[Manual Cat Value]])</f>
        <v>Exp - Amazon</v>
      </c>
      <c r="G8111" t="e">
        <f>VLOOKUP(D8111,Lookup!G:H,2,0)</f>
        <v>#N/A</v>
      </c>
      <c r="H8111" s="8" t="s">
        <v>37</v>
      </c>
      <c r="I8111" s="8"/>
      <c r="J8111">
        <v>37.979999999999997</v>
      </c>
      <c r="M8111" t="s">
        <v>2513</v>
      </c>
      <c r="O8111" t="str">
        <f>LEFT(Table2[[#This Row],[Description]],75)</f>
        <v>AMZN MKTP US*H080520F2 AMZN.COM/BILLWA
1NY2CKBUDQ1</v>
      </c>
    </row>
    <row r="8112" spans="1:15" hidden="1">
      <c r="A8112" s="25">
        <f>VALUE(YEAR(Table2[[#This Row],[Date]])&amp;TEXT(MONTH(Table2[[#This Row],[Date]]),"00"))</f>
        <v>202211</v>
      </c>
      <c r="B8112" s="6">
        <v>44867</v>
      </c>
      <c r="C8112" t="s">
        <v>2262</v>
      </c>
      <c r="D8112" t="s">
        <v>3231</v>
      </c>
      <c r="E8112">
        <f t="shared" si="55"/>
        <v>5.04</v>
      </c>
      <c r="F8112" s="2" t="str">
        <f>IF(Table2[[#This Row],[Manual Cat Value]]="",VLOOKUP(Table2[[#This Row],[Description]],'Actuals Lookup'!D:F,3,0),Table2[[#This Row],[Manual Cat Value]])</f>
        <v>Exp - Restaurants</v>
      </c>
      <c r="G8112" t="e">
        <f>VLOOKUP(D8112,Lookup!G:H,2,0)</f>
        <v>#N/A</v>
      </c>
      <c r="H8112" s="8" t="s">
        <v>25</v>
      </c>
      <c r="I8112" s="8"/>
      <c r="J8112">
        <v>5.04</v>
      </c>
      <c r="M8112" t="s">
        <v>2513</v>
      </c>
      <c r="O8112" t="str">
        <f>LEFT(Table2[[#This Row],[Description]],75)</f>
        <v>CARIBOU COFFEE CO #1164 EXCELSIOR MN REF #2444500N1EJ1P5RQW</v>
      </c>
    </row>
    <row r="8113" spans="1:15" hidden="1">
      <c r="A8113" s="25">
        <f>VALUE(YEAR(Table2[[#This Row],[Date]])&amp;TEXT(MONTH(Table2[[#This Row],[Date]]),"00"))</f>
        <v>202211</v>
      </c>
      <c r="B8113" s="6">
        <v>44867</v>
      </c>
      <c r="C8113" t="s">
        <v>2262</v>
      </c>
      <c r="D8113" t="s">
        <v>3232</v>
      </c>
      <c r="E8113">
        <f t="shared" si="55"/>
        <v>12.99</v>
      </c>
      <c r="F8113" s="2" t="str">
        <f>IF(Table2[[#This Row],[Manual Cat Value]]="",VLOOKUP(Table2[[#This Row],[Description]],'Actuals Lookup'!D:F,3,0),Table2[[#This Row],[Manual Cat Value]])</f>
        <v>Exp - Shopping</v>
      </c>
      <c r="G8113" t="e">
        <f>VLOOKUP(D8113,Lookup!G:H,2,0)</f>
        <v>#N/A</v>
      </c>
      <c r="H8113" s="8" t="s">
        <v>36</v>
      </c>
      <c r="I8113" s="8"/>
      <c r="J8113">
        <v>12.99</v>
      </c>
      <c r="M8113" t="s">
        <v>2513</v>
      </c>
      <c r="O8113" t="str">
        <f>LEFT(Table2[[#This Row],[Description]],75)</f>
        <v>L2G*CARVERCO LIBRARIES 95CHANHASSEN MN REF #2469216N134DB50DB</v>
      </c>
    </row>
    <row r="8114" spans="1:15" ht="30" hidden="1">
      <c r="A8114" s="25">
        <f>VALUE(YEAR(Table2[[#This Row],[Date]])&amp;TEXT(MONTH(Table2[[#This Row],[Date]]),"00"))</f>
        <v>202211</v>
      </c>
      <c r="B8114" s="6">
        <v>44868</v>
      </c>
      <c r="C8114" t="s">
        <v>2447</v>
      </c>
      <c r="D8114" s="7" t="s">
        <v>3233</v>
      </c>
      <c r="E8114">
        <f t="shared" si="55"/>
        <v>-21.46</v>
      </c>
      <c r="F8114" s="2" t="str">
        <f>IF(Table2[[#This Row],[Manual Cat Value]]="",VLOOKUP(Table2[[#This Row],[Description]],'Actuals Lookup'!D:F,3,0),Table2[[#This Row],[Manual Cat Value]])</f>
        <v>Exp - Amazon</v>
      </c>
      <c r="G8114" t="e">
        <f>VLOOKUP(D8114,Lookup!G:H,2,0)</f>
        <v>#N/A</v>
      </c>
      <c r="H8114" s="8" t="s">
        <v>37</v>
      </c>
      <c r="I8114" s="8"/>
      <c r="J8114">
        <v>21.46</v>
      </c>
      <c r="M8114" t="s">
        <v>2621</v>
      </c>
      <c r="O8114" t="str">
        <f>LEFT(Table2[[#This Row],[Description]],75)</f>
        <v>AMZN MKTP US AMZN.COM/BILLWA
27AXUA0PXO9</v>
      </c>
    </row>
    <row r="8115" spans="1:15" ht="30" hidden="1">
      <c r="A8115" s="25">
        <f>VALUE(YEAR(Table2[[#This Row],[Date]])&amp;TEXT(MONTH(Table2[[#This Row],[Date]]),"00"))</f>
        <v>202211</v>
      </c>
      <c r="B8115" s="6">
        <v>44868</v>
      </c>
      <c r="C8115" t="s">
        <v>2447</v>
      </c>
      <c r="D8115" s="7" t="s">
        <v>3234</v>
      </c>
      <c r="E8115">
        <f t="shared" si="55"/>
        <v>-35.979999999999997</v>
      </c>
      <c r="F8115" s="2" t="str">
        <f>IF(Table2[[#This Row],[Manual Cat Value]]="",VLOOKUP(Table2[[#This Row],[Description]],'Actuals Lookup'!D:F,3,0),Table2[[#This Row],[Manual Cat Value]])</f>
        <v>Exp - Amazon</v>
      </c>
      <c r="G8115" t="e">
        <f>VLOOKUP(D8115,Lookup!G:H,2,0)</f>
        <v>#N/A</v>
      </c>
      <c r="H8115" s="8" t="s">
        <v>37</v>
      </c>
      <c r="I8115" s="8"/>
      <c r="J8115">
        <v>35.979999999999997</v>
      </c>
      <c r="M8115" t="s">
        <v>2621</v>
      </c>
      <c r="O8115" t="str">
        <f>LEFT(Table2[[#This Row],[Description]],75)</f>
        <v>AMZN MKTP US AMZN.COM/BILLWA
2DCOLZX1WPR</v>
      </c>
    </row>
    <row r="8116" spans="1:15" ht="30" hidden="1">
      <c r="A8116" s="25">
        <f>VALUE(YEAR(Table2[[#This Row],[Date]])&amp;TEXT(MONTH(Table2[[#This Row],[Date]]),"00"))</f>
        <v>202211</v>
      </c>
      <c r="B8116" s="6">
        <v>44868</v>
      </c>
      <c r="C8116" t="s">
        <v>2447</v>
      </c>
      <c r="D8116" s="7" t="s">
        <v>3235</v>
      </c>
      <c r="E8116">
        <f t="shared" si="55"/>
        <v>-37.979999999999997</v>
      </c>
      <c r="F8116" s="2" t="str">
        <f>IF(Table2[[#This Row],[Manual Cat Value]]="",VLOOKUP(Table2[[#This Row],[Description]],'Actuals Lookup'!D:F,3,0),Table2[[#This Row],[Manual Cat Value]])</f>
        <v>Exp - Amazon</v>
      </c>
      <c r="G8116" t="e">
        <f>VLOOKUP(D8116,Lookup!G:H,2,0)</f>
        <v>#N/A</v>
      </c>
      <c r="H8116" s="8" t="s">
        <v>37</v>
      </c>
      <c r="I8116" s="8"/>
      <c r="J8116">
        <v>37.979999999999997</v>
      </c>
      <c r="M8116" t="s">
        <v>2621</v>
      </c>
      <c r="O8116" t="str">
        <f>LEFT(Table2[[#This Row],[Description]],75)</f>
        <v>AMZN MKTP US AMZN.COM/BILLWA
68R7W8IUX7W</v>
      </c>
    </row>
    <row r="8117" spans="1:15" hidden="1">
      <c r="A8117" s="25">
        <f>VALUE(YEAR(Table2[[#This Row],[Date]])&amp;TEXT(MONTH(Table2[[#This Row],[Date]]),"00"))</f>
        <v>202211</v>
      </c>
      <c r="B8117" s="6">
        <v>44868</v>
      </c>
      <c r="C8117" t="s">
        <v>2265</v>
      </c>
      <c r="D8117" t="s">
        <v>3236</v>
      </c>
      <c r="E8117">
        <f t="shared" si="55"/>
        <v>-116.86</v>
      </c>
      <c r="F8117" s="2" t="str">
        <f>IF(Table2[[#This Row],[Manual Cat Value]]="",VLOOKUP(Table2[[#This Row],[Description]],'Actuals Lookup'!D:F,3,0),Table2[[#This Row],[Manual Cat Value]])</f>
        <v>Inc - Britney</v>
      </c>
      <c r="G8117" t="e">
        <f>VLOOKUP(D8117,Lookup!G:H,2,0)</f>
        <v>#N/A</v>
      </c>
      <c r="H8117" s="8" t="s">
        <v>65</v>
      </c>
      <c r="I8117" s="8"/>
      <c r="J8117">
        <v>116.86</v>
      </c>
      <c r="M8117" t="s">
        <v>2621</v>
      </c>
      <c r="O8117" t="str">
        <f>LEFT(Table2[[#This Row],[Description]],75)</f>
        <v>Deposit ACH CARGILL INCORPOR TYPE: 004XXXXXXX ID: 2410177680 CO: CARGILL IN</v>
      </c>
    </row>
    <row r="8118" spans="1:15" hidden="1">
      <c r="A8118" s="25">
        <f>VALUE(YEAR(Table2[[#This Row],[Date]])&amp;TEXT(MONTH(Table2[[#This Row],[Date]]),"00"))</f>
        <v>202211</v>
      </c>
      <c r="B8118" s="6">
        <v>44868</v>
      </c>
      <c r="C8118" t="s">
        <v>2262</v>
      </c>
      <c r="D8118" t="s">
        <v>3237</v>
      </c>
      <c r="E8118">
        <f t="shared" si="55"/>
        <v>18</v>
      </c>
      <c r="F8118" s="2" t="str">
        <f>IF(Table2[[#This Row],[Manual Cat Value]]="",VLOOKUP(Table2[[#This Row],[Description]],'Actuals Lookup'!D:F,3,0),Table2[[#This Row],[Manual Cat Value]])</f>
        <v>Exp - Utilities</v>
      </c>
      <c r="G8118" t="e">
        <f>VLOOKUP(D8118,Lookup!G:H,2,0)</f>
        <v>#N/A</v>
      </c>
      <c r="H8118" s="8" t="s">
        <v>6</v>
      </c>
      <c r="I8118" s="8"/>
      <c r="J8118">
        <v>18</v>
      </c>
      <c r="M8118" t="s">
        <v>2513</v>
      </c>
      <c r="O8118" t="str">
        <f>LEFT(Table2[[#This Row],[Description]],75)</f>
        <v>HBRSUBSCRIPTION 800-988-0886 MA REF #2449215N2LTX78S7E</v>
      </c>
    </row>
    <row r="8119" spans="1:15" hidden="1">
      <c r="A8119" s="25">
        <f>VALUE(YEAR(Table2[[#This Row],[Date]])&amp;TEXT(MONTH(Table2[[#This Row],[Date]]),"00"))</f>
        <v>202211</v>
      </c>
      <c r="B8119" s="6">
        <v>44868</v>
      </c>
      <c r="C8119" t="s">
        <v>2265</v>
      </c>
      <c r="D8119" t="s">
        <v>3238</v>
      </c>
      <c r="E8119">
        <f t="shared" si="55"/>
        <v>125</v>
      </c>
      <c r="F8119" s="2" t="str">
        <f>IF(Table2[[#This Row],[Manual Cat Value]]="",VLOOKUP(Table2[[#This Row],[Description]],'Actuals Lookup'!D:F,3,0),Table2[[#This Row],[Manual Cat Value]])</f>
        <v>Exp - Shopping</v>
      </c>
      <c r="G8119" t="e">
        <f>VLOOKUP(D8119,Lookup!G:H,2,0)</f>
        <v>#N/A</v>
      </c>
      <c r="H8119" s="8" t="s">
        <v>36</v>
      </c>
      <c r="I8119" s="8"/>
      <c r="J8119">
        <v>125</v>
      </c>
      <c r="M8119" t="s">
        <v>2513</v>
      </c>
      <c r="O8119" t="str">
        <f>LEFT(Table2[[#This Row],[Description]],75)</f>
        <v>Withdrawal ACH VENMO TYPE: PAYMENT ID: 326XXXXXXX CO: VENMO NAME: BRITNEY T</v>
      </c>
    </row>
    <row r="8120" spans="1:15" hidden="1">
      <c r="A8120" s="25">
        <f>VALUE(YEAR(Table2[[#This Row],[Date]])&amp;TEXT(MONTH(Table2[[#This Row],[Date]]),"00"))</f>
        <v>202211</v>
      </c>
      <c r="B8120" s="6">
        <v>44868</v>
      </c>
      <c r="C8120" t="s">
        <v>2265</v>
      </c>
      <c r="D8120" t="s">
        <v>3239</v>
      </c>
      <c r="E8120">
        <f t="shared" si="55"/>
        <v>186.12</v>
      </c>
      <c r="F8120" s="2" t="str">
        <f>IF(Table2[[#This Row],[Manual Cat Value]]="",VLOOKUP(Table2[[#This Row],[Description]],'Actuals Lookup'!D:F,3,0),Table2[[#This Row],[Manual Cat Value]])</f>
        <v>Exp - Utilities</v>
      </c>
      <c r="G8120" t="e">
        <f>VLOOKUP(D8120,Lookup!G:H,2,0)</f>
        <v>#N/A</v>
      </c>
      <c r="H8120" s="8" t="s">
        <v>6</v>
      </c>
      <c r="I8120" s="8"/>
      <c r="J8120">
        <v>186.12</v>
      </c>
      <c r="M8120" t="s">
        <v>2513</v>
      </c>
      <c r="O8120" t="str">
        <f>LEFT(Table2[[#This Row],[Description]],75)</f>
        <v>Withdrawal ACH XCEL ENERGY-MN TYPE: XCELENERGY ID: 7411967505 CO: XCEL ENER</v>
      </c>
    </row>
    <row r="8121" spans="1:15" hidden="1">
      <c r="A8121" s="25">
        <f>VALUE(YEAR(Table2[[#This Row],[Date]])&amp;TEXT(MONTH(Table2[[#This Row],[Date]]),"00"))</f>
        <v>202211</v>
      </c>
      <c r="B8121" s="6">
        <v>44869</v>
      </c>
      <c r="C8121" t="s">
        <v>2262</v>
      </c>
      <c r="D8121" t="s">
        <v>3240</v>
      </c>
      <c r="E8121">
        <f t="shared" si="55"/>
        <v>133.24</v>
      </c>
      <c r="F8121" s="2" t="str">
        <f>IF(Table2[[#This Row],[Manual Cat Value]]="",VLOOKUP(Table2[[#This Row],[Description]],'Actuals Lookup'!D:F,3,0),Table2[[#This Row],[Manual Cat Value]])</f>
        <v>Exp - Shopping</v>
      </c>
      <c r="G8121" t="e">
        <f>VLOOKUP(D8121,Lookup!G:H,2,0)</f>
        <v>#N/A</v>
      </c>
      <c r="H8121" s="8" t="s">
        <v>36</v>
      </c>
      <c r="I8121" s="8"/>
      <c r="J8121">
        <v>133.24</v>
      </c>
      <c r="M8121" t="s">
        <v>2513</v>
      </c>
      <c r="O8121" t="str">
        <f>LEFT(Table2[[#This Row],[Description]],75)</f>
        <v>HM.COM 855-4667467 NY REF #2420429N401BVGD14</v>
      </c>
    </row>
    <row r="8122" spans="1:15" hidden="1">
      <c r="A8122" s="25">
        <f>VALUE(YEAR(Table2[[#This Row],[Date]])&amp;TEXT(MONTH(Table2[[#This Row],[Date]]),"00"))</f>
        <v>202211</v>
      </c>
      <c r="B8122" s="6">
        <v>44869</v>
      </c>
      <c r="C8122" t="s">
        <v>2262</v>
      </c>
      <c r="D8122" t="s">
        <v>3241</v>
      </c>
      <c r="E8122">
        <f t="shared" si="55"/>
        <v>26.06</v>
      </c>
      <c r="F8122" s="2" t="str">
        <f>IF(Table2[[#This Row],[Manual Cat Value]]="",VLOOKUP(Table2[[#This Row],[Description]],'Actuals Lookup'!D:F,3,0),Table2[[#This Row],[Manual Cat Value]])</f>
        <v>Exp - Restaurants</v>
      </c>
      <c r="G8122" t="e">
        <f>VLOOKUP(D8122,Lookup!G:H,2,0)</f>
        <v>#N/A</v>
      </c>
      <c r="H8122" s="8" t="s">
        <v>25</v>
      </c>
      <c r="I8122" s="8"/>
      <c r="J8122">
        <v>26.06</v>
      </c>
      <c r="M8122" t="s">
        <v>2513</v>
      </c>
      <c r="O8122" t="str">
        <f>LEFT(Table2[[#This Row],[Description]],75)</f>
        <v>JIMMY JOHNS - 724 - E- 952-401-4321 MN REF #2426979N3EJ3E7WX5</v>
      </c>
    </row>
    <row r="8123" spans="1:15" ht="30" hidden="1">
      <c r="A8123" s="25">
        <f>VALUE(YEAR(Table2[[#This Row],[Date]])&amp;TEXT(MONTH(Table2[[#This Row],[Date]]),"00"))</f>
        <v>202211</v>
      </c>
      <c r="B8123" s="6">
        <v>44870</v>
      </c>
      <c r="C8123" t="s">
        <v>2447</v>
      </c>
      <c r="D8123" s="7" t="s">
        <v>3242</v>
      </c>
      <c r="E8123">
        <f t="shared" si="55"/>
        <v>23.98</v>
      </c>
      <c r="F8123" s="2" t="str">
        <f>IF(Table2[[#This Row],[Manual Cat Value]]="",VLOOKUP(Table2[[#This Row],[Description]],'Actuals Lookup'!D:F,3,0),Table2[[#This Row],[Manual Cat Value]])</f>
        <v>Exp - Amazon</v>
      </c>
      <c r="G8123" t="e">
        <f>VLOOKUP(D8123,Lookup!G:H,2,0)</f>
        <v>#N/A</v>
      </c>
      <c r="H8123" s="8" t="s">
        <v>37</v>
      </c>
      <c r="I8123" s="8"/>
      <c r="J8123">
        <v>23.98</v>
      </c>
      <c r="M8123" t="s">
        <v>2513</v>
      </c>
      <c r="O8123" t="str">
        <f>LEFT(Table2[[#This Row],[Description]],75)</f>
        <v>AMZN MKTP US*H20SA06F0 AMZN.COM/BILLWA
3ZN1OCZ7WZ7</v>
      </c>
    </row>
    <row r="8124" spans="1:15" ht="30" hidden="1">
      <c r="A8124" s="25">
        <f>VALUE(YEAR(Table2[[#This Row],[Date]])&amp;TEXT(MONTH(Table2[[#This Row],[Date]]),"00"))</f>
        <v>202211</v>
      </c>
      <c r="B8124" s="6">
        <v>44870</v>
      </c>
      <c r="C8124" t="s">
        <v>2447</v>
      </c>
      <c r="D8124" s="7" t="s">
        <v>3243</v>
      </c>
      <c r="E8124">
        <f t="shared" si="55"/>
        <v>66.290000000000006</v>
      </c>
      <c r="F8124" s="2" t="str">
        <f>IF(Table2[[#This Row],[Manual Cat Value]]="",VLOOKUP(Table2[[#This Row],[Description]],'Actuals Lookup'!D:F,3,0),Table2[[#This Row],[Manual Cat Value]])</f>
        <v>Exp - Amazon</v>
      </c>
      <c r="G8124" t="e">
        <f>VLOOKUP(D8124,Lookup!G:H,2,0)</f>
        <v>#N/A</v>
      </c>
      <c r="H8124" s="8" t="s">
        <v>37</v>
      </c>
      <c r="I8124" s="8"/>
      <c r="J8124">
        <v>66.290000000000006</v>
      </c>
      <c r="M8124" t="s">
        <v>2513</v>
      </c>
      <c r="O8124" t="str">
        <f>LEFT(Table2[[#This Row],[Description]],75)</f>
        <v>AMZN MKTP US*H241M0XB1 AMZN.COM/BILLWA
40RJBCW7VG2</v>
      </c>
    </row>
    <row r="8125" spans="1:15" ht="30" hidden="1">
      <c r="A8125" s="25">
        <f>VALUE(YEAR(Table2[[#This Row],[Date]])&amp;TEXT(MONTH(Table2[[#This Row],[Date]]),"00"))</f>
        <v>202211</v>
      </c>
      <c r="B8125" s="6">
        <v>44871</v>
      </c>
      <c r="C8125" t="s">
        <v>2447</v>
      </c>
      <c r="D8125" s="7" t="s">
        <v>3244</v>
      </c>
      <c r="E8125">
        <f t="shared" si="55"/>
        <v>58.83</v>
      </c>
      <c r="F8125" s="2" t="str">
        <f>IF(Table2[[#This Row],[Manual Cat Value]]="",VLOOKUP(Table2[[#This Row],[Description]],'Actuals Lookup'!D:F,3,0),Table2[[#This Row],[Manual Cat Value]])</f>
        <v>Exp - Amazon</v>
      </c>
      <c r="G8125" t="e">
        <f>VLOOKUP(D8125,Lookup!G:H,2,0)</f>
        <v>#N/A</v>
      </c>
      <c r="H8125" s="8" t="s">
        <v>37</v>
      </c>
      <c r="I8125" s="8"/>
      <c r="J8125">
        <v>58.83</v>
      </c>
      <c r="M8125" t="s">
        <v>2513</v>
      </c>
      <c r="O8125" t="str">
        <f>LEFT(Table2[[#This Row],[Description]],75)</f>
        <v>AMAZON.COM*H24MR0U50 AMZN.COM/BILLWA
1OJ04719APA</v>
      </c>
    </row>
    <row r="8126" spans="1:15" hidden="1">
      <c r="A8126" s="25">
        <f>VALUE(YEAR(Table2[[#This Row],[Date]])&amp;TEXT(MONTH(Table2[[#This Row],[Date]]),"00"))</f>
        <v>202211</v>
      </c>
      <c r="B8126" s="6">
        <v>44871</v>
      </c>
      <c r="C8126" t="s">
        <v>2262</v>
      </c>
      <c r="D8126" t="s">
        <v>3245</v>
      </c>
      <c r="E8126">
        <f t="shared" si="55"/>
        <v>1.23</v>
      </c>
      <c r="F8126" s="2" t="str">
        <f>IF(Table2[[#This Row],[Manual Cat Value]]="",VLOOKUP(Table2[[#This Row],[Description]],'Actuals Lookup'!D:F,3,0),Table2[[#This Row],[Manual Cat Value]])</f>
        <v>Exp - Groceries</v>
      </c>
      <c r="G8126" t="e">
        <f>VLOOKUP(D8126,Lookup!G:H,2,0)</f>
        <v>#N/A</v>
      </c>
      <c r="H8126" s="8" t="s">
        <v>27</v>
      </c>
      <c r="I8126" s="8"/>
      <c r="J8126">
        <v>1.23</v>
      </c>
      <c r="M8126" t="s">
        <v>2513</v>
      </c>
      <c r="O8126" t="str">
        <f>LEFT(Table2[[#This Row],[Description]],75)</f>
        <v>CUB FOODS #1636 SHOREWOOD MN REF #2442733N4M83VK58E</v>
      </c>
    </row>
    <row r="8127" spans="1:15" hidden="1">
      <c r="A8127" s="25">
        <f>VALUE(YEAR(Table2[[#This Row],[Date]])&amp;TEXT(MONTH(Table2[[#This Row],[Date]]),"00"))</f>
        <v>202211</v>
      </c>
      <c r="B8127" s="6">
        <v>44871</v>
      </c>
      <c r="C8127" t="s">
        <v>2262</v>
      </c>
      <c r="D8127" t="s">
        <v>3246</v>
      </c>
      <c r="E8127">
        <f t="shared" si="55"/>
        <v>39.979999999999997</v>
      </c>
      <c r="F8127" s="2" t="str">
        <f>IF(Table2[[#This Row],[Manual Cat Value]]="",VLOOKUP(Table2[[#This Row],[Description]],'Actuals Lookup'!D:F,3,0),Table2[[#This Row],[Manual Cat Value]])</f>
        <v>Exp - Groceries</v>
      </c>
      <c r="G8127" t="e">
        <f>VLOOKUP(D8127,Lookup!G:H,2,0)</f>
        <v>#N/A</v>
      </c>
      <c r="H8127" s="8" t="s">
        <v>27</v>
      </c>
      <c r="I8127" s="8"/>
      <c r="J8127">
        <v>39.979999999999997</v>
      </c>
      <c r="M8127" t="s">
        <v>2513</v>
      </c>
      <c r="O8127" t="str">
        <f>LEFT(Table2[[#This Row],[Description]],75)</f>
        <v>CUB FOODS #1636 SHOREWOOD MN REF #2442733N5M83P03MR</v>
      </c>
    </row>
    <row r="8128" spans="1:15" hidden="1">
      <c r="A8128" s="25">
        <f>VALUE(YEAR(Table2[[#This Row],[Date]])&amp;TEXT(MONTH(Table2[[#This Row],[Date]]),"00"))</f>
        <v>202211</v>
      </c>
      <c r="B8128" s="6">
        <v>44871</v>
      </c>
      <c r="C8128" t="s">
        <v>2262</v>
      </c>
      <c r="D8128" t="s">
        <v>3247</v>
      </c>
      <c r="E8128">
        <f t="shared" si="55"/>
        <v>35.869999999999997</v>
      </c>
      <c r="F8128" s="2" t="str">
        <f>IF(Table2[[#This Row],[Manual Cat Value]]="",VLOOKUP(Table2[[#This Row],[Description]],'Actuals Lookup'!D:F,3,0),Table2[[#This Row],[Manual Cat Value]])</f>
        <v>Exp - Transportation</v>
      </c>
      <c r="G8128" t="e">
        <f>VLOOKUP(D8128,Lookup!G:H,2,0)</f>
        <v>#N/A</v>
      </c>
      <c r="H8128" s="8" t="s">
        <v>22</v>
      </c>
      <c r="I8128" s="8"/>
      <c r="J8128">
        <v>35.869999999999997</v>
      </c>
      <c r="M8128" t="s">
        <v>2513</v>
      </c>
      <c r="O8128" t="str">
        <f>LEFT(Table2[[#This Row],[Description]],75)</f>
        <v>SPEEDWAY 04366 EXCELSIOR MN REF #2413746N601AAZ1F9</v>
      </c>
    </row>
    <row r="8129" spans="1:15" hidden="1">
      <c r="A8129" s="25">
        <f>VALUE(YEAR(Table2[[#This Row],[Date]])&amp;TEXT(MONTH(Table2[[#This Row],[Date]]),"00"))</f>
        <v>202211</v>
      </c>
      <c r="B8129" s="6">
        <v>44872</v>
      </c>
      <c r="C8129" t="s">
        <v>2262</v>
      </c>
      <c r="D8129" t="s">
        <v>3248</v>
      </c>
      <c r="E8129">
        <f t="shared" si="55"/>
        <v>21.49</v>
      </c>
      <c r="F8129" s="2" t="str">
        <f>IF(Table2[[#This Row],[Manual Cat Value]]="",VLOOKUP(Table2[[#This Row],[Description]],'Actuals Lookup'!D:F,3,0),Table2[[#This Row],[Manual Cat Value]])</f>
        <v>Exp - Shopping</v>
      </c>
      <c r="G8129" t="e">
        <f>VLOOKUP(D8129,Lookup!G:H,2,0)</f>
        <v>#N/A</v>
      </c>
      <c r="H8129" s="8" t="s">
        <v>36</v>
      </c>
      <c r="I8129" s="8"/>
      <c r="J8129">
        <v>21.49</v>
      </c>
      <c r="M8129" t="s">
        <v>2513</v>
      </c>
      <c r="O8129" t="str">
        <f>LEFT(Table2[[#This Row],[Description]],75)</f>
        <v>BARNES&amp;NOBLE PAPERSOURCE 800-843-2665 NY REF #2413746N70197Q8HX</v>
      </c>
    </row>
    <row r="8130" spans="1:15" hidden="1">
      <c r="A8130" s="25">
        <f>VALUE(YEAR(Table2[[#This Row],[Date]])&amp;TEXT(MONTH(Table2[[#This Row],[Date]]),"00"))</f>
        <v>202211</v>
      </c>
      <c r="B8130" s="6">
        <v>44872</v>
      </c>
      <c r="C8130" t="s">
        <v>2262</v>
      </c>
      <c r="D8130" t="s">
        <v>3249</v>
      </c>
      <c r="E8130">
        <f t="shared" si="55"/>
        <v>99.77</v>
      </c>
      <c r="F8130" s="2" t="str">
        <f>IF(Table2[[#This Row],[Manual Cat Value]]="",VLOOKUP(Table2[[#This Row],[Description]],'Actuals Lookup'!D:F,3,0),Table2[[#This Row],[Manual Cat Value]])</f>
        <v>Exp - Shopping</v>
      </c>
      <c r="G8130" t="e">
        <f>VLOOKUP(D8130,Lookup!G:H,2,0)</f>
        <v>#N/A</v>
      </c>
      <c r="H8130" s="8" t="s">
        <v>36</v>
      </c>
      <c r="I8130" s="8"/>
      <c r="J8130">
        <v>99.77</v>
      </c>
      <c r="M8130" t="s">
        <v>2513</v>
      </c>
      <c r="O8130" t="str">
        <f>LEFT(Table2[[#This Row],[Description]],75)</f>
        <v>CHASKA 952-448-5112 MN REF #2423168N62DD8M50T</v>
      </c>
    </row>
    <row r="8131" spans="1:15" hidden="1">
      <c r="A8131" s="25">
        <f>VALUE(YEAR(Table2[[#This Row],[Date]])&amp;TEXT(MONTH(Table2[[#This Row],[Date]]),"00"))</f>
        <v>202211</v>
      </c>
      <c r="B8131" s="6">
        <v>44872</v>
      </c>
      <c r="C8131" t="s">
        <v>2262</v>
      </c>
      <c r="D8131" t="s">
        <v>3250</v>
      </c>
      <c r="E8131">
        <f t="shared" si="55"/>
        <v>170</v>
      </c>
      <c r="F8131" s="2" t="str">
        <f>IF(Table2[[#This Row],[Manual Cat Value]]="",VLOOKUP(Table2[[#This Row],[Description]],'Actuals Lookup'!D:F,3,0),Table2[[#This Row],[Manual Cat Value]])</f>
        <v>Exp - Entertainment</v>
      </c>
      <c r="G8131" t="e">
        <f>VLOOKUP(D8131,Lookup!G:H,2,0)</f>
        <v>#N/A</v>
      </c>
      <c r="H8131" s="8" t="s">
        <v>39</v>
      </c>
      <c r="I8131" s="8"/>
      <c r="J8131">
        <v>170</v>
      </c>
      <c r="M8131" t="s">
        <v>2513</v>
      </c>
      <c r="O8131" t="str">
        <f>LEFT(Table2[[#This Row],[Description]],75)</f>
        <v>STAGES THEATRE COMPANY 952-979-1108 MN REF #2463269N6EJ46MK7T</v>
      </c>
    </row>
    <row r="8132" spans="1:15" hidden="1">
      <c r="A8132" s="25">
        <f>VALUE(YEAR(Table2[[#This Row],[Date]])&amp;TEXT(MONTH(Table2[[#This Row],[Date]]),"00"))</f>
        <v>202211</v>
      </c>
      <c r="B8132" s="6">
        <v>44872</v>
      </c>
      <c r="C8132" t="s">
        <v>2262</v>
      </c>
      <c r="D8132" t="s">
        <v>3251</v>
      </c>
      <c r="E8132">
        <f t="shared" si="55"/>
        <v>11.79</v>
      </c>
      <c r="F8132" s="2" t="str">
        <f>IF(Table2[[#This Row],[Manual Cat Value]]="",VLOOKUP(Table2[[#This Row],[Description]],'Actuals Lookup'!D:F,3,0),Table2[[#This Row],[Manual Cat Value]])</f>
        <v>Exp - Restaurants</v>
      </c>
      <c r="G8132" t="e">
        <f>VLOOKUP(D8132,Lookup!G:H,2,0)</f>
        <v>#N/A</v>
      </c>
      <c r="H8132" s="8" t="s">
        <v>25</v>
      </c>
      <c r="I8132" s="8"/>
      <c r="J8132">
        <v>11.79</v>
      </c>
      <c r="M8132" t="s">
        <v>2513</v>
      </c>
      <c r="O8132" t="str">
        <f>LEFT(Table2[[#This Row],[Description]],75)</f>
        <v>WENDY S 419 CHANHASSEN MN REF #2444500N62XK3JHBS</v>
      </c>
    </row>
    <row r="8133" spans="1:15" hidden="1">
      <c r="A8133" s="25">
        <f>VALUE(YEAR(Table2[[#This Row],[Date]])&amp;TEXT(MONTH(Table2[[#This Row],[Date]]),"00"))</f>
        <v>202211</v>
      </c>
      <c r="B8133" s="6">
        <v>44872</v>
      </c>
      <c r="C8133" t="s">
        <v>2447</v>
      </c>
      <c r="D8133" t="s">
        <v>997</v>
      </c>
      <c r="E8133">
        <f t="shared" si="55"/>
        <v>-511.91</v>
      </c>
      <c r="F8133" s="2" t="str">
        <f>IF(Table2[[#This Row],[Manual Cat Value]]="",VLOOKUP(Table2[[#This Row],[Description]],'Actuals Lookup'!D:F,3,0),Table2[[#This Row],[Manual Cat Value]])</f>
        <v>Delete</v>
      </c>
      <c r="G8133" t="str">
        <f>VLOOKUP(D8133,Lookup!G:H,2,0)</f>
        <v>Delete</v>
      </c>
      <c r="I8133" s="8"/>
      <c r="J8133">
        <v>511.91</v>
      </c>
      <c r="M8133" t="s">
        <v>2621</v>
      </c>
      <c r="O8133" t="str">
        <f>LEFT(Table2[[#This Row],[Description]],75)</f>
        <v>INTERNET PAYMENT - THANK YOU</v>
      </c>
    </row>
    <row r="8134" spans="1:15" hidden="1">
      <c r="A8134" s="25">
        <f>VALUE(YEAR(Table2[[#This Row],[Date]])&amp;TEXT(MONTH(Table2[[#This Row],[Date]]),"00"))</f>
        <v>202211</v>
      </c>
      <c r="B8134" s="6">
        <v>44872</v>
      </c>
      <c r="C8134" t="s">
        <v>2265</v>
      </c>
      <c r="D8134" t="s">
        <v>3252</v>
      </c>
      <c r="E8134">
        <f t="shared" si="55"/>
        <v>42</v>
      </c>
      <c r="F8134" s="2" t="str">
        <f>IF(Table2[[#This Row],[Manual Cat Value]]="",VLOOKUP(Table2[[#This Row],[Description]],'Actuals Lookup'!D:F,3,0),Table2[[#This Row],[Manual Cat Value]])</f>
        <v>Exp - Shopping</v>
      </c>
      <c r="G8134" t="e">
        <f>VLOOKUP(D8134,Lookup!G:H,2,0)</f>
        <v>#N/A</v>
      </c>
      <c r="H8134" s="8" t="s">
        <v>36</v>
      </c>
      <c r="I8134" s="8"/>
      <c r="J8134">
        <v>42</v>
      </c>
      <c r="M8134" t="s">
        <v>2513</v>
      </c>
      <c r="O8134" t="str">
        <f>LEFT(Table2[[#This Row],[Description]],75)</f>
        <v>Withdrawal ACH VENMO TYPE: PAYMENT ID: 326XXXXXXX CO: VENMO NAME: BRITNEY T</v>
      </c>
    </row>
    <row r="8135" spans="1:15" hidden="1">
      <c r="A8135" s="25">
        <f>VALUE(YEAR(Table2[[#This Row],[Date]])&amp;TEXT(MONTH(Table2[[#This Row],[Date]]),"00"))</f>
        <v>202211</v>
      </c>
      <c r="B8135" s="6">
        <v>44873</v>
      </c>
      <c r="C8135" t="s">
        <v>2262</v>
      </c>
      <c r="D8135" t="s">
        <v>3253</v>
      </c>
      <c r="E8135">
        <f t="shared" si="55"/>
        <v>1.75</v>
      </c>
      <c r="F8135" s="2" t="str">
        <f>IF(Table2[[#This Row],[Manual Cat Value]]="",VLOOKUP(Table2[[#This Row],[Description]],'Actuals Lookup'!D:F,3,0),Table2[[#This Row],[Manual Cat Value]])</f>
        <v>Delete</v>
      </c>
      <c r="G8135" t="e">
        <f>VLOOKUP(D8135,Lookup!G:H,2,0)</f>
        <v>#N/A</v>
      </c>
      <c r="H8135" s="8" t="s">
        <v>9</v>
      </c>
      <c r="I8135" s="8"/>
      <c r="J8135">
        <v>1.75</v>
      </c>
      <c r="M8135" t="s">
        <v>2513</v>
      </c>
      <c r="O8135" t="str">
        <f>LEFT(Table2[[#This Row],[Description]],75)</f>
        <v>CSC SERVICEWORK CHANHASSEN MN REF #2405523N8BM9S54G8</v>
      </c>
    </row>
    <row r="8136" spans="1:15" hidden="1">
      <c r="A8136" s="25">
        <f>VALUE(YEAR(Table2[[#This Row],[Date]])&amp;TEXT(MONTH(Table2[[#This Row],[Date]]),"00"))</f>
        <v>202211</v>
      </c>
      <c r="B8136" s="6">
        <v>44873</v>
      </c>
      <c r="C8136" t="s">
        <v>2262</v>
      </c>
      <c r="D8136" t="s">
        <v>3254</v>
      </c>
      <c r="E8136">
        <f t="shared" si="55"/>
        <v>-19.309999999999999</v>
      </c>
      <c r="F8136" s="2" t="str">
        <f>IF(Table2[[#This Row],[Manual Cat Value]]="",VLOOKUP(Table2[[#This Row],[Description]],'Actuals Lookup'!D:F,3,0),Table2[[#This Row],[Manual Cat Value]])</f>
        <v>Exp - Groceries</v>
      </c>
      <c r="G8136" t="e">
        <f>VLOOKUP(D8136,Lookup!G:H,2,0)</f>
        <v>#N/A</v>
      </c>
      <c r="H8136" s="8" t="s">
        <v>27</v>
      </c>
      <c r="I8136" s="8"/>
      <c r="J8136">
        <v>19.309999999999999</v>
      </c>
      <c r="M8136" t="s">
        <v>2621</v>
      </c>
      <c r="O8136" t="str">
        <f>LEFT(Table2[[#This Row],[Description]],75)</f>
        <v>CUB FOODS SSS CHANHASSEN CREDIT REF #7442733N6M83BVWKY</v>
      </c>
    </row>
    <row r="8137" spans="1:15" hidden="1">
      <c r="A8137" s="25">
        <f>VALUE(YEAR(Table2[[#This Row],[Date]])&amp;TEXT(MONTH(Table2[[#This Row],[Date]]),"00"))</f>
        <v>202211</v>
      </c>
      <c r="B8137" s="6">
        <v>44873</v>
      </c>
      <c r="C8137" t="s">
        <v>2447</v>
      </c>
      <c r="D8137" t="s">
        <v>3255</v>
      </c>
      <c r="E8137">
        <f t="shared" si="55"/>
        <v>3.53</v>
      </c>
      <c r="F8137" s="2" t="str">
        <f>IF(Table2[[#This Row],[Manual Cat Value]]="",VLOOKUP(Table2[[#This Row],[Description]],'Actuals Lookup'!D:F,3,0),Table2[[#This Row],[Manual Cat Value]])</f>
        <v>Exp - Restaurants</v>
      </c>
      <c r="G8137" t="e">
        <f>VLOOKUP(D8137,Lookup!G:H,2,0)</f>
        <v>#N/A</v>
      </c>
      <c r="H8137" s="8" t="s">
        <v>25</v>
      </c>
      <c r="I8137" s="8"/>
      <c r="J8137">
        <v>3.53</v>
      </c>
      <c r="M8137" t="s">
        <v>2513</v>
      </c>
      <c r="O8137" t="str">
        <f>LEFT(Table2[[#This Row],[Description]],75)</f>
        <v>DUNKIN #342230 Q35 BOSTON MA</v>
      </c>
    </row>
    <row r="8138" spans="1:15" hidden="1">
      <c r="A8138" s="25">
        <f>VALUE(YEAR(Table2[[#This Row],[Date]])&amp;TEXT(MONTH(Table2[[#This Row],[Date]]),"00"))</f>
        <v>202211</v>
      </c>
      <c r="B8138" s="6">
        <v>44873</v>
      </c>
      <c r="C8138" t="s">
        <v>2447</v>
      </c>
      <c r="D8138" t="s">
        <v>3256</v>
      </c>
      <c r="E8138">
        <f t="shared" si="55"/>
        <v>3.53</v>
      </c>
      <c r="F8138" s="2" t="str">
        <f>IF(Table2[[#This Row],[Manual Cat Value]]="",VLOOKUP(Table2[[#This Row],[Description]],'Actuals Lookup'!D:F,3,0),Table2[[#This Row],[Manual Cat Value]])</f>
        <v>Exp - Restaurants</v>
      </c>
      <c r="G8138" t="e">
        <f>VLOOKUP(D8138,Lookup!G:H,2,0)</f>
        <v>#N/A</v>
      </c>
      <c r="H8138" s="8" t="s">
        <v>25</v>
      </c>
      <c r="I8138" s="8"/>
      <c r="J8138">
        <v>3.53</v>
      </c>
      <c r="M8138" t="s">
        <v>2513</v>
      </c>
      <c r="O8138" t="str">
        <f>LEFT(Table2[[#This Row],[Description]],75)</f>
        <v>DUNKIN #342231 Q35 BOSTON MA</v>
      </c>
    </row>
    <row r="8139" spans="1:15" hidden="1">
      <c r="A8139" s="25">
        <f>VALUE(YEAR(Table2[[#This Row],[Date]])&amp;TEXT(MONTH(Table2[[#This Row],[Date]]),"00"))</f>
        <v>202211</v>
      </c>
      <c r="B8139" s="6">
        <v>44873</v>
      </c>
      <c r="C8139" t="s">
        <v>2447</v>
      </c>
      <c r="D8139" t="s">
        <v>1259</v>
      </c>
      <c r="E8139">
        <f t="shared" si="55"/>
        <v>3.12</v>
      </c>
      <c r="F8139" s="2" t="e">
        <f>IF(Table2[[#This Row],[Manual Cat Value]]="",VLOOKUP(Table2[[#This Row],[Description]],'Actuals Lookup'!D:F,3,0),Table2[[#This Row],[Manual Cat Value]])</f>
        <v>#N/A</v>
      </c>
      <c r="G8139" t="str">
        <f>VLOOKUP(D8139,Lookup!G:H,2,0)</f>
        <v>Restaurants</v>
      </c>
      <c r="I8139" s="8"/>
      <c r="J8139">
        <v>3.12</v>
      </c>
      <c r="M8139" t="s">
        <v>2513</v>
      </c>
      <c r="O8139" t="str">
        <f>LEFT(Table2[[#This Row],[Description]],75)</f>
        <v>MINNEAPOLIS AIRPORT SAINT PAUL MN</v>
      </c>
    </row>
    <row r="8140" spans="1:15" hidden="1">
      <c r="A8140" s="25">
        <f>VALUE(YEAR(Table2[[#This Row],[Date]])&amp;TEXT(MONTH(Table2[[#This Row],[Date]]),"00"))</f>
        <v>202211</v>
      </c>
      <c r="B8140" s="6">
        <v>44873</v>
      </c>
      <c r="C8140" t="s">
        <v>2262</v>
      </c>
      <c r="D8140" t="s">
        <v>3257</v>
      </c>
      <c r="E8140">
        <f t="shared" si="55"/>
        <v>42.31</v>
      </c>
      <c r="F8140" s="2" t="str">
        <f>IF(Table2[[#This Row],[Manual Cat Value]]="",VLOOKUP(Table2[[#This Row],[Description]],'Actuals Lookup'!D:F,3,0),Table2[[#This Row],[Manual Cat Value]])</f>
        <v>Exp - Transportation</v>
      </c>
      <c r="G8140" t="e">
        <f>VLOOKUP(D8140,Lookup!G:H,2,0)</f>
        <v>#N/A</v>
      </c>
      <c r="H8140" s="8" t="s">
        <v>22</v>
      </c>
      <c r="I8140" s="8"/>
      <c r="J8140">
        <v>42.31</v>
      </c>
      <c r="M8140" t="s">
        <v>2513</v>
      </c>
      <c r="O8140" t="str">
        <f>LEFT(Table2[[#This Row],[Description]],75)</f>
        <v>SPEEDWAY 04366 EXCELSIOR MN REF #2413746N801DE6EQR</v>
      </c>
    </row>
    <row r="8141" spans="1:15" hidden="1">
      <c r="A8141" s="25">
        <f>VALUE(YEAR(Table2[[#This Row],[Date]])&amp;TEXT(MONTH(Table2[[#This Row],[Date]]),"00"))</f>
        <v>202211</v>
      </c>
      <c r="B8141" s="6">
        <v>44873</v>
      </c>
      <c r="C8141" t="s">
        <v>2265</v>
      </c>
      <c r="D8141" t="s">
        <v>3258</v>
      </c>
      <c r="E8141">
        <f t="shared" si="55"/>
        <v>315</v>
      </c>
      <c r="F8141" s="2" t="str">
        <f>IF(Table2[[#This Row],[Manual Cat Value]]="",VLOOKUP(Table2[[#This Row],[Description]],'Actuals Lookup'!D:F,3,0),Table2[[#This Row],[Manual Cat Value]])</f>
        <v>Exp - Day Care</v>
      </c>
      <c r="G8141" t="e">
        <f>VLOOKUP(D8141,Lookup!G:H,2,0)</f>
        <v>#N/A</v>
      </c>
      <c r="H8141" s="8" t="s">
        <v>19</v>
      </c>
      <c r="I8141" s="8"/>
      <c r="J8141">
        <v>315</v>
      </c>
      <c r="M8141" t="s">
        <v>2513</v>
      </c>
      <c r="O8141" t="str">
        <f>LEFT(Table2[[#This Row],[Description]],75)</f>
        <v xml:space="preserve">Withdrawal ACH MHCHILDCARELLC TYPE: DUES ID: 1824708198 CO: MHCHILDCARELLC </v>
      </c>
    </row>
    <row r="8142" spans="1:15" hidden="1">
      <c r="A8142" s="25">
        <f>VALUE(YEAR(Table2[[#This Row],[Date]])&amp;TEXT(MONTH(Table2[[#This Row],[Date]]),"00"))</f>
        <v>202211</v>
      </c>
      <c r="B8142" s="6">
        <v>44873</v>
      </c>
      <c r="C8142" t="s">
        <v>2262</v>
      </c>
      <c r="D8142" t="s">
        <v>3259</v>
      </c>
      <c r="E8142">
        <f t="shared" si="55"/>
        <v>55.02</v>
      </c>
      <c r="F8142" s="2" t="str">
        <f>IF(Table2[[#This Row],[Manual Cat Value]]="",VLOOKUP(Table2[[#This Row],[Description]],'Actuals Lookup'!D:F,3,0),Table2[[#This Row],[Manual Cat Value]])</f>
        <v>Exp - Restaurants</v>
      </c>
      <c r="G8142" t="e">
        <f>VLOOKUP(D8142,Lookup!G:H,2,0)</f>
        <v>#N/A</v>
      </c>
      <c r="H8142" s="8" t="s">
        <v>25</v>
      </c>
      <c r="I8142" s="8"/>
      <c r="J8142">
        <v>55.02</v>
      </c>
      <c r="M8142" t="s">
        <v>2513</v>
      </c>
      <c r="O8142" t="str">
        <f>LEFT(Table2[[#This Row],[Description]],75)</f>
        <v>WPY*FIREBOX REDWOOD CITY MN REF #2469216N72Z8GY7QN</v>
      </c>
    </row>
    <row r="8143" spans="1:15" hidden="1">
      <c r="A8143" s="25">
        <f>VALUE(YEAR(Table2[[#This Row],[Date]])&amp;TEXT(MONTH(Table2[[#This Row],[Date]]),"00"))</f>
        <v>202211</v>
      </c>
      <c r="B8143" s="6">
        <v>44873</v>
      </c>
      <c r="C8143" t="s">
        <v>2265</v>
      </c>
      <c r="D8143" t="s">
        <v>3260</v>
      </c>
      <c r="E8143">
        <f t="shared" si="55"/>
        <v>511.91</v>
      </c>
      <c r="F8143" s="2" t="str">
        <f>IF(Table2[[#This Row],[Manual Cat Value]]="",VLOOKUP(Table2[[#This Row],[Description]],'Actuals Lookup'!D:F,3,0),Table2[[#This Row],[Manual Cat Value]])</f>
        <v>Delete</v>
      </c>
      <c r="G8143" t="e">
        <f>VLOOKUP(D8143,Lookup!G:H,2,0)</f>
        <v>#N/A</v>
      </c>
      <c r="H8143" s="8" t="s">
        <v>9</v>
      </c>
      <c r="I8143" s="8"/>
      <c r="J8143">
        <v>511.91</v>
      </c>
      <c r="M8143" t="s">
        <v>2513</v>
      </c>
      <c r="O8143" t="str">
        <f>LEFT(Table2[[#This Row],[Description]],75)</f>
        <v>Withdrawal ACH DISCOVER TYPE: E-PAYMENT ID: 2510020270 CO: DISCOVER NAME: T</v>
      </c>
    </row>
    <row r="8144" spans="1:15" hidden="1">
      <c r="A8144" s="25">
        <f>VALUE(YEAR(Table2[[#This Row],[Date]])&amp;TEXT(MONTH(Table2[[#This Row],[Date]]),"00"))</f>
        <v>202211</v>
      </c>
      <c r="B8144" s="6">
        <v>44874</v>
      </c>
      <c r="C8144" t="s">
        <v>2265</v>
      </c>
      <c r="D8144" t="s">
        <v>3261</v>
      </c>
      <c r="E8144">
        <f t="shared" si="55"/>
        <v>-3614.36</v>
      </c>
      <c r="F8144" s="2" t="str">
        <f>IF(Table2[[#This Row],[Manual Cat Value]]="",VLOOKUP(Table2[[#This Row],[Description]],'Actuals Lookup'!D:F,3,0),Table2[[#This Row],[Manual Cat Value]])</f>
        <v>Inc - Britney</v>
      </c>
      <c r="G8144" t="e">
        <f>VLOOKUP(D8144,Lookup!G:H,2,0)</f>
        <v>#N/A</v>
      </c>
      <c r="H8144" s="8" t="s">
        <v>65</v>
      </c>
      <c r="I8144" s="8"/>
      <c r="J8144">
        <v>3614.36</v>
      </c>
      <c r="M8144" t="s">
        <v>2621</v>
      </c>
      <c r="O8144" t="str">
        <f>LEFT(Table2[[#This Row],[Description]],75)</f>
        <v>Deposit ACH CARGILL INCORPOR TYPE: DIRECT DEP ID: 9111111101 CO: CARGILL IN</v>
      </c>
    </row>
    <row r="8145" spans="1:15" hidden="1">
      <c r="A8145" s="25">
        <f>VALUE(YEAR(Table2[[#This Row],[Date]])&amp;TEXT(MONTH(Table2[[#This Row],[Date]]),"00"))</f>
        <v>202211</v>
      </c>
      <c r="B8145" s="6">
        <v>44874</v>
      </c>
      <c r="C8145" t="s">
        <v>2447</v>
      </c>
      <c r="D8145" t="s">
        <v>3262</v>
      </c>
      <c r="E8145">
        <f t="shared" si="55"/>
        <v>23.69</v>
      </c>
      <c r="F8145" s="2" t="str">
        <f>IF(Table2[[#This Row],[Manual Cat Value]]="",VLOOKUP(Table2[[#This Row],[Description]],'Actuals Lookup'!D:F,3,0),Table2[[#This Row],[Manual Cat Value]])</f>
        <v>Exp - Shopping</v>
      </c>
      <c r="G8145" t="e">
        <f>VLOOKUP(D8145,Lookup!G:H,2,0)</f>
        <v>#N/A</v>
      </c>
      <c r="H8145" s="8" t="s">
        <v>36</v>
      </c>
      <c r="I8145" s="8"/>
      <c r="J8145">
        <v>23.69</v>
      </c>
      <c r="M8145" t="s">
        <v>2513</v>
      </c>
      <c r="O8145" t="str">
        <f>LEFT(Table2[[#This Row],[Description]],75)</f>
        <v>PAYPAL *JCPENNEY.CO 402-935-7733 CA</v>
      </c>
    </row>
    <row r="8146" spans="1:15" hidden="1">
      <c r="A8146" s="25">
        <f>VALUE(YEAR(Table2[[#This Row],[Date]])&amp;TEXT(MONTH(Table2[[#This Row],[Date]]),"00"))</f>
        <v>202211</v>
      </c>
      <c r="B8146" s="6">
        <v>44874</v>
      </c>
      <c r="C8146" t="s">
        <v>2262</v>
      </c>
      <c r="D8146" t="s">
        <v>3263</v>
      </c>
      <c r="E8146">
        <f t="shared" si="55"/>
        <v>47.25</v>
      </c>
      <c r="F8146" s="2" t="str">
        <f>IF(Table2[[#This Row],[Manual Cat Value]]="",VLOOKUP(Table2[[#This Row],[Description]],'Actuals Lookup'!D:F,3,0),Table2[[#This Row],[Manual Cat Value]])</f>
        <v>Exp - Gym</v>
      </c>
      <c r="G8146" t="e">
        <f>VLOOKUP(D8146,Lookup!G:H,2,0)</f>
        <v>#N/A</v>
      </c>
      <c r="H8146" s="8" t="s">
        <v>33</v>
      </c>
      <c r="I8146" s="8"/>
      <c r="J8146">
        <v>47.25</v>
      </c>
      <c r="M8146" t="s">
        <v>2513</v>
      </c>
      <c r="O8146" t="str">
        <f>LEFT(Table2[[#This Row],[Description]],75)</f>
        <v>PELOTON* MEMBERSHIP HTTPSWWW.ONEPNY REF #2401134N8000X6NH4</v>
      </c>
    </row>
    <row r="8147" spans="1:15" hidden="1">
      <c r="A8147" s="25">
        <f>VALUE(YEAR(Table2[[#This Row],[Date]])&amp;TEXT(MONTH(Table2[[#This Row],[Date]]),"00"))</f>
        <v>202211</v>
      </c>
      <c r="B8147" s="6">
        <v>44874</v>
      </c>
      <c r="C8147" t="s">
        <v>2262</v>
      </c>
      <c r="D8147" t="s">
        <v>3264</v>
      </c>
      <c r="E8147">
        <f t="shared" si="55"/>
        <v>200</v>
      </c>
      <c r="F8147" s="2" t="str">
        <f>IF(Table2[[#This Row],[Manual Cat Value]]="",VLOOKUP(Table2[[#This Row],[Description]],'Actuals Lookup'!D:F,3,0),Table2[[#This Row],[Manual Cat Value]])</f>
        <v>Exp - Day Care</v>
      </c>
      <c r="G8147" t="e">
        <f>VLOOKUP(D8147,Lookup!G:H,2,0)</f>
        <v>#N/A</v>
      </c>
      <c r="H8147" s="8" t="s">
        <v>19</v>
      </c>
      <c r="I8147" s="8"/>
      <c r="J8147">
        <v>200</v>
      </c>
      <c r="M8147" t="s">
        <v>2513</v>
      </c>
      <c r="O8147" t="str">
        <f>LEFT(Table2[[#This Row],[Description]],75)</f>
        <v>RVT*MTKA PUB SCHLS-WEB 952-4015000 MN REF #2490641N84M58868N</v>
      </c>
    </row>
    <row r="8148" spans="1:15" hidden="1">
      <c r="A8148" s="25">
        <f>VALUE(YEAR(Table2[[#This Row],[Date]])&amp;TEXT(MONTH(Table2[[#This Row],[Date]]),"00"))</f>
        <v>202211</v>
      </c>
      <c r="B8148" s="6">
        <v>44874</v>
      </c>
      <c r="C8148" t="s">
        <v>2447</v>
      </c>
      <c r="D8148" t="s">
        <v>3265</v>
      </c>
      <c r="E8148">
        <f t="shared" si="55"/>
        <v>28.33</v>
      </c>
      <c r="F8148" s="2" t="str">
        <f>IF(Table2[[#This Row],[Manual Cat Value]]="",VLOOKUP(Table2[[#This Row],[Description]],'Actuals Lookup'!D:F,3,0),Table2[[#This Row],[Manual Cat Value]])</f>
        <v>Exp - Groceries</v>
      </c>
      <c r="G8148" t="e">
        <f>VLOOKUP(D8148,Lookup!G:H,2,0)</f>
        <v>#N/A</v>
      </c>
      <c r="H8148" s="8" t="s">
        <v>27</v>
      </c>
      <c r="I8148" s="8"/>
      <c r="J8148">
        <v>28.33</v>
      </c>
      <c r="M8148" t="s">
        <v>2513</v>
      </c>
      <c r="O8148" t="str">
        <f>LEFT(Table2[[#This Row],[Description]],75)</f>
        <v>WHOLEFDS WOB 10233 WOBURN MA</v>
      </c>
    </row>
    <row r="8149" spans="1:15" hidden="1">
      <c r="A8149" s="25">
        <f>VALUE(YEAR(Table2[[#This Row],[Date]])&amp;TEXT(MONTH(Table2[[#This Row],[Date]]),"00"))</f>
        <v>202211</v>
      </c>
      <c r="B8149" s="6">
        <v>44875</v>
      </c>
      <c r="C8149" t="s">
        <v>2262</v>
      </c>
      <c r="D8149" t="s">
        <v>3266</v>
      </c>
      <c r="E8149">
        <f t="shared" si="55"/>
        <v>194.68</v>
      </c>
      <c r="F8149" s="2" t="str">
        <f>IF(Table2[[#This Row],[Manual Cat Value]]="",VLOOKUP(Table2[[#This Row],[Description]],'Actuals Lookup'!D:F,3,0),Table2[[#This Row],[Manual Cat Value]])</f>
        <v>Exp - Day Care</v>
      </c>
      <c r="G8149" t="e">
        <f>VLOOKUP(D8149,Lookup!G:H,2,0)</f>
        <v>#N/A</v>
      </c>
      <c r="H8149" s="8" t="s">
        <v>19</v>
      </c>
      <c r="I8149" s="8"/>
      <c r="J8149">
        <v>194.68</v>
      </c>
      <c r="M8149" t="s">
        <v>2513</v>
      </c>
      <c r="O8149" t="str">
        <f>LEFT(Table2[[#This Row],[Description]],75)</f>
        <v>BCS*MINNETONKA COMMUNITY 952-401-6800 MN REF #2413746NA01QVQQNA</v>
      </c>
    </row>
    <row r="8150" spans="1:15" hidden="1">
      <c r="A8150" s="25">
        <f>VALUE(YEAR(Table2[[#This Row],[Date]])&amp;TEXT(MONTH(Table2[[#This Row],[Date]]),"00"))</f>
        <v>202211</v>
      </c>
      <c r="B8150" s="6">
        <v>44875</v>
      </c>
      <c r="C8150" t="s">
        <v>2262</v>
      </c>
      <c r="D8150" t="s">
        <v>3267</v>
      </c>
      <c r="E8150">
        <f t="shared" si="55"/>
        <v>89.77</v>
      </c>
      <c r="F8150" s="2" t="str">
        <f>IF(Table2[[#This Row],[Manual Cat Value]]="",VLOOKUP(Table2[[#This Row],[Description]],'Actuals Lookup'!D:F,3,0),Table2[[#This Row],[Manual Cat Value]])</f>
        <v>Exp - Groceries</v>
      </c>
      <c r="G8150" t="e">
        <f>VLOOKUP(D8150,Lookup!G:H,2,0)</f>
        <v>#N/A</v>
      </c>
      <c r="H8150" s="8" t="s">
        <v>27</v>
      </c>
      <c r="I8150" s="8"/>
      <c r="J8150">
        <v>89.77</v>
      </c>
      <c r="M8150" t="s">
        <v>2513</v>
      </c>
      <c r="O8150" t="str">
        <f>LEFT(Table2[[#This Row],[Description]],75)</f>
        <v>CUB FOODS #1636 SHOREWOOD MN REF #2442733N9M83K58MP</v>
      </c>
    </row>
    <row r="8151" spans="1:15" hidden="1">
      <c r="A8151" s="25">
        <f>VALUE(YEAR(Table2[[#This Row],[Date]])&amp;TEXT(MONTH(Table2[[#This Row],[Date]]),"00"))</f>
        <v>202211</v>
      </c>
      <c r="B8151" s="6">
        <v>44875</v>
      </c>
      <c r="C8151" t="s">
        <v>2262</v>
      </c>
      <c r="D8151" t="s">
        <v>3268</v>
      </c>
      <c r="E8151">
        <f t="shared" si="55"/>
        <v>5.95</v>
      </c>
      <c r="F8151" s="2" t="str">
        <f>IF(Table2[[#This Row],[Manual Cat Value]]="",VLOOKUP(Table2[[#This Row],[Description]],'Actuals Lookup'!D:F,3,0),Table2[[#This Row],[Manual Cat Value]])</f>
        <v>Exp - Groceries</v>
      </c>
      <c r="G8151" t="e">
        <f>VLOOKUP(D8151,Lookup!G:H,2,0)</f>
        <v>#N/A</v>
      </c>
      <c r="H8151" s="8" t="s">
        <v>27</v>
      </c>
      <c r="I8151" s="8"/>
      <c r="J8151">
        <v>5.95</v>
      </c>
      <c r="M8151" t="s">
        <v>2513</v>
      </c>
      <c r="O8151" t="str">
        <f>LEFT(Table2[[#This Row],[Description]],75)</f>
        <v>CUB FOODS #1636 SHOREWOOD MN REF #2442733N9M83K5EW7</v>
      </c>
    </row>
    <row r="8152" spans="1:15" hidden="1">
      <c r="A8152" s="25">
        <f>VALUE(YEAR(Table2[[#This Row],[Date]])&amp;TEXT(MONTH(Table2[[#This Row],[Date]]),"00"))</f>
        <v>202211</v>
      </c>
      <c r="B8152" s="6">
        <v>44876</v>
      </c>
      <c r="C8152" t="s">
        <v>2262</v>
      </c>
      <c r="D8152" t="s">
        <v>3269</v>
      </c>
      <c r="E8152">
        <f t="shared" si="55"/>
        <v>171.31</v>
      </c>
      <c r="F8152" s="2" t="str">
        <f>IF(Table2[[#This Row],[Manual Cat Value]]="",VLOOKUP(Table2[[#This Row],[Description]],'Actuals Lookup'!D:F,3,0),Table2[[#This Row],[Manual Cat Value]])</f>
        <v>Exp - Shopping</v>
      </c>
      <c r="G8152" t="e">
        <f>VLOOKUP(D8152,Lookup!G:H,2,0)</f>
        <v>#N/A</v>
      </c>
      <c r="H8152" s="8" t="s">
        <v>36</v>
      </c>
      <c r="I8152" s="8"/>
      <c r="J8152">
        <v>171.31</v>
      </c>
      <c r="M8152" t="s">
        <v>2513</v>
      </c>
      <c r="O8152" t="str">
        <f>LEFT(Table2[[#This Row],[Description]],75)</f>
        <v>ANNTAYLOR LOFT.COM #61 800-342-5266 CT REF #2443106NA2DALLSBP</v>
      </c>
    </row>
    <row r="8153" spans="1:15" hidden="1">
      <c r="A8153" s="25">
        <f>VALUE(YEAR(Table2[[#This Row],[Date]])&amp;TEXT(MONTH(Table2[[#This Row],[Date]]),"00"))</f>
        <v>202211</v>
      </c>
      <c r="B8153" s="6">
        <v>44876</v>
      </c>
      <c r="C8153" t="s">
        <v>2447</v>
      </c>
      <c r="D8153" t="s">
        <v>3270</v>
      </c>
      <c r="E8153">
        <f t="shared" si="55"/>
        <v>3.21</v>
      </c>
      <c r="F8153" s="2" t="str">
        <f>IF(Table2[[#This Row],[Manual Cat Value]]="",VLOOKUP(Table2[[#This Row],[Description]],'Actuals Lookup'!D:F,3,0),Table2[[#This Row],[Manual Cat Value]])</f>
        <v>Delete</v>
      </c>
      <c r="G8153" t="e">
        <f>VLOOKUP(D8153,Lookup!G:H,2,0)</f>
        <v>#N/A</v>
      </c>
      <c r="H8153" s="8" t="s">
        <v>9</v>
      </c>
      <c r="I8153" s="8"/>
      <c r="J8153">
        <v>3.21</v>
      </c>
      <c r="M8153" t="s">
        <v>2513</v>
      </c>
      <c r="O8153" t="str">
        <f>LEFT(Table2[[#This Row],[Description]],75)</f>
        <v>DELAWARE NORTH LOGAN F&amp;B EAST BOSTON MA</v>
      </c>
    </row>
    <row r="8154" spans="1:15" hidden="1">
      <c r="A8154" s="25">
        <f>VALUE(YEAR(Table2[[#This Row],[Date]])&amp;TEXT(MONTH(Table2[[#This Row],[Date]]),"00"))</f>
        <v>202211</v>
      </c>
      <c r="B8154" s="6">
        <v>44876</v>
      </c>
      <c r="C8154" t="s">
        <v>2447</v>
      </c>
      <c r="D8154" t="s">
        <v>1336</v>
      </c>
      <c r="E8154">
        <f t="shared" si="55"/>
        <v>99</v>
      </c>
      <c r="F8154" s="2" t="e">
        <f>IF(Table2[[#This Row],[Manual Cat Value]]="",VLOOKUP(Table2[[#This Row],[Description]],'Actuals Lookup'!D:F,3,0),Table2[[#This Row],[Manual Cat Value]])</f>
        <v>#N/A</v>
      </c>
      <c r="G8154" t="str">
        <f>VLOOKUP(D8154,Lookup!G:H,2,0)</f>
        <v>Transportation</v>
      </c>
      <c r="I8154" s="8"/>
      <c r="J8154">
        <v>99</v>
      </c>
      <c r="M8154" t="s">
        <v>2513</v>
      </c>
      <c r="O8154" t="str">
        <f>LEFT(Table2[[#This Row],[Description]],75)</f>
        <v>MSP AIRPORT PARKING SAINT PAUL MN</v>
      </c>
    </row>
    <row r="8155" spans="1:15" ht="45" hidden="1">
      <c r="A8155" s="25">
        <f>VALUE(YEAR(Table2[[#This Row],[Date]])&amp;TEXT(MONTH(Table2[[#This Row],[Date]]),"00"))</f>
        <v>202211</v>
      </c>
      <c r="B8155" s="6">
        <v>44877</v>
      </c>
      <c r="C8155" t="s">
        <v>2447</v>
      </c>
      <c r="D8155" s="7" t="s">
        <v>3271</v>
      </c>
      <c r="E8155">
        <f t="shared" si="55"/>
        <v>66.599999999999994</v>
      </c>
      <c r="F8155" s="2" t="str">
        <f>IF(Table2[[#This Row],[Manual Cat Value]]="",VLOOKUP(Table2[[#This Row],[Description]],'Actuals Lookup'!D:F,3,0),Table2[[#This Row],[Manual Cat Value]])</f>
        <v>Exp - Restaurants</v>
      </c>
      <c r="G8155" t="e">
        <f>VLOOKUP(D8155,Lookup!G:H,2,0)</f>
        <v>#N/A</v>
      </c>
      <c r="H8155" s="8" t="s">
        <v>25</v>
      </c>
      <c r="I8155" s="8"/>
      <c r="J8155">
        <v>66.599999999999994</v>
      </c>
      <c r="M8155" t="s">
        <v>2513</v>
      </c>
      <c r="O8155" t="str">
        <f>LEFT(Table2[[#This Row],[Description]],75)</f>
        <v>TST* DUKES ON 7 612-205-3286 MN
APPLE PAY ENDING IN 3050
000174030092900829</v>
      </c>
    </row>
    <row r="8156" spans="1:15" ht="30" hidden="1">
      <c r="A8156" s="25">
        <f>VALUE(YEAR(Table2[[#This Row],[Date]])&amp;TEXT(MONTH(Table2[[#This Row],[Date]]),"00"))</f>
        <v>202211</v>
      </c>
      <c r="B8156" s="6">
        <v>44878</v>
      </c>
      <c r="C8156" t="s">
        <v>2447</v>
      </c>
      <c r="D8156" s="7" t="s">
        <v>3272</v>
      </c>
      <c r="E8156">
        <f t="shared" si="55"/>
        <v>28.28</v>
      </c>
      <c r="F8156" s="2" t="str">
        <f>IF(Table2[[#This Row],[Manual Cat Value]]="",VLOOKUP(Table2[[#This Row],[Description]],'Actuals Lookup'!D:F,3,0),Table2[[#This Row],[Manual Cat Value]])</f>
        <v>Exp - Amazon</v>
      </c>
      <c r="G8156" t="e">
        <f>VLOOKUP(D8156,Lookup!G:H,2,0)</f>
        <v>#N/A</v>
      </c>
      <c r="H8156" s="8" t="s">
        <v>37</v>
      </c>
      <c r="I8156" s="8"/>
      <c r="J8156">
        <v>28.28</v>
      </c>
      <c r="M8156" t="s">
        <v>2513</v>
      </c>
      <c r="O8156" t="str">
        <f>LEFT(Table2[[#This Row],[Description]],75)</f>
        <v>AMAZON.COM*HB0RS5DY1 AMZN.COM/BILLWA
5XMPKKXAYG3</v>
      </c>
    </row>
    <row r="8157" spans="1:15" hidden="1">
      <c r="A8157" s="25">
        <f>VALUE(YEAR(Table2[[#This Row],[Date]])&amp;TEXT(MONTH(Table2[[#This Row],[Date]]),"00"))</f>
        <v>202211</v>
      </c>
      <c r="B8157" s="6">
        <v>44878</v>
      </c>
      <c r="C8157" t="s">
        <v>2262</v>
      </c>
      <c r="D8157" t="s">
        <v>3273</v>
      </c>
      <c r="E8157">
        <f t="shared" si="55"/>
        <v>45</v>
      </c>
      <c r="F8157" s="2" t="str">
        <f>IF(Table2[[#This Row],[Manual Cat Value]]="",VLOOKUP(Table2[[#This Row],[Description]],'Actuals Lookup'!D:F,3,0),Table2[[#This Row],[Manual Cat Value]])</f>
        <v>Exp - Utilities</v>
      </c>
      <c r="G8157" t="e">
        <f>VLOOKUP(D8157,Lookup!G:H,2,0)</f>
        <v>#N/A</v>
      </c>
      <c r="H8157" s="8" t="s">
        <v>6</v>
      </c>
      <c r="I8157" s="8"/>
      <c r="J8157">
        <v>45</v>
      </c>
      <c r="M8157" t="s">
        <v>2513</v>
      </c>
      <c r="O8157" t="str">
        <f>LEFT(Table2[[#This Row],[Description]],75)</f>
        <v>CENTURYLINK SIMPLE 800-201-4099 LA REF #2444500NQ2XFB6RPT</v>
      </c>
    </row>
    <row r="8158" spans="1:15" hidden="1">
      <c r="A8158" s="25">
        <f>VALUE(YEAR(Table2[[#This Row],[Date]])&amp;TEXT(MONTH(Table2[[#This Row],[Date]]),"00"))</f>
        <v>202211</v>
      </c>
      <c r="B8158" s="6">
        <v>44878</v>
      </c>
      <c r="C8158" t="s">
        <v>2265</v>
      </c>
      <c r="D8158" t="s">
        <v>3274</v>
      </c>
      <c r="E8158">
        <f t="shared" si="55"/>
        <v>-2922.31</v>
      </c>
      <c r="F8158" s="2" t="str">
        <f>IF(Table2[[#This Row],[Manual Cat Value]]="",VLOOKUP(Table2[[#This Row],[Description]],'Actuals Lookup'!D:F,3,0),Table2[[#This Row],[Manual Cat Value]])</f>
        <v>Inc - Jeff</v>
      </c>
      <c r="G8158" t="e">
        <f>VLOOKUP(D8158,Lookup!G:H,2,0)</f>
        <v>#N/A</v>
      </c>
      <c r="H8158" s="8" t="s">
        <v>63</v>
      </c>
      <c r="I8158" s="8"/>
      <c r="J8158">
        <v>2922.31</v>
      </c>
      <c r="M8158" t="s">
        <v>2621</v>
      </c>
      <c r="O8158" t="str">
        <f>LEFT(Table2[[#This Row],[Description]],75)</f>
        <v>Deposit ACH TRINET TYPE: PAYROLL ID: 194XXXXXXX CO: TRINET Entry Class Code</v>
      </c>
    </row>
    <row r="8159" spans="1:15" hidden="1">
      <c r="A8159" s="25">
        <f>VALUE(YEAR(Table2[[#This Row],[Date]])&amp;TEXT(MONTH(Table2[[#This Row],[Date]]),"00"))</f>
        <v>202211</v>
      </c>
      <c r="B8159" s="6">
        <v>44878</v>
      </c>
      <c r="C8159" t="s">
        <v>2262</v>
      </c>
      <c r="D8159" t="s">
        <v>3275</v>
      </c>
      <c r="E8159">
        <f t="shared" si="55"/>
        <v>-58.44</v>
      </c>
      <c r="F8159" s="2" t="str">
        <f>IF(Table2[[#This Row],[Manual Cat Value]]="",VLOOKUP(Table2[[#This Row],[Description]],'Actuals Lookup'!D:F,3,0),Table2[[#This Row],[Manual Cat Value]])</f>
        <v>Exp - Shopping</v>
      </c>
      <c r="G8159" t="e">
        <f>VLOOKUP(D8159,Lookup!G:H,2,0)</f>
        <v>#N/A</v>
      </c>
      <c r="H8159" s="8" t="s">
        <v>36</v>
      </c>
      <c r="I8159" s="8"/>
      <c r="J8159">
        <v>58.44</v>
      </c>
      <c r="M8159" t="s">
        <v>2621</v>
      </c>
      <c r="O8159" t="str">
        <f>LEFT(Table2[[#This Row],[Description]],75)</f>
        <v>HM.COM 855-4667 CREDIT REF #7420429ND01GD3GSL</v>
      </c>
    </row>
    <row r="8160" spans="1:15" hidden="1">
      <c r="A8160" s="25">
        <f>VALUE(YEAR(Table2[[#This Row],[Date]])&amp;TEXT(MONTH(Table2[[#This Row],[Date]]),"00"))</f>
        <v>202211</v>
      </c>
      <c r="B8160" s="6">
        <v>44878</v>
      </c>
      <c r="C8160" t="s">
        <v>2262</v>
      </c>
      <c r="D8160" t="s">
        <v>3276</v>
      </c>
      <c r="E8160">
        <f t="shared" si="55"/>
        <v>10</v>
      </c>
      <c r="F8160" s="2" t="str">
        <f>IF(Table2[[#This Row],[Manual Cat Value]]="",VLOOKUP(Table2[[#This Row],[Description]],'Actuals Lookup'!D:F,3,0),Table2[[#This Row],[Manual Cat Value]])</f>
        <v>Exp - Misc</v>
      </c>
      <c r="G8160" t="e">
        <f>VLOOKUP(D8160,Lookup!G:H,2,0)</f>
        <v>#N/A</v>
      </c>
      <c r="H8160" s="8" t="s">
        <v>46</v>
      </c>
      <c r="I8160" s="8"/>
      <c r="J8160">
        <v>10</v>
      </c>
      <c r="M8160" t="s">
        <v>2513</v>
      </c>
      <c r="O8160" t="str">
        <f>LEFT(Table2[[#This Row],[Description]],75)</f>
        <v>IVS VENDING MASSAGE HOPKINS MN REF #2405523NDBLVALY3E</v>
      </c>
    </row>
    <row r="8161" spans="1:15" hidden="1">
      <c r="A8161" s="25">
        <f>VALUE(YEAR(Table2[[#This Row],[Date]])&amp;TEXT(MONTH(Table2[[#This Row],[Date]]),"00"))</f>
        <v>202211</v>
      </c>
      <c r="B8161" s="6">
        <v>44878</v>
      </c>
      <c r="C8161" t="s">
        <v>2262</v>
      </c>
      <c r="D8161" t="s">
        <v>3277</v>
      </c>
      <c r="E8161">
        <f t="shared" si="55"/>
        <v>10</v>
      </c>
      <c r="F8161" s="2" t="str">
        <f>IF(Table2[[#This Row],[Manual Cat Value]]="",VLOOKUP(Table2[[#This Row],[Description]],'Actuals Lookup'!D:F,3,0),Table2[[#This Row],[Manual Cat Value]])</f>
        <v>Exp - Misc</v>
      </c>
      <c r="G8161" t="e">
        <f>VLOOKUP(D8161,Lookup!G:H,2,0)</f>
        <v>#N/A</v>
      </c>
      <c r="H8161" s="8" t="s">
        <v>46</v>
      </c>
      <c r="I8161" s="8"/>
      <c r="J8161">
        <v>10</v>
      </c>
      <c r="M8161" t="s">
        <v>2513</v>
      </c>
      <c r="O8161" t="str">
        <f>LEFT(Table2[[#This Row],[Description]],75)</f>
        <v>IVS VENDING MASSAGE HOPKINS MN REF #2405523NDBLVALYAM</v>
      </c>
    </row>
    <row r="8162" spans="1:15" hidden="1">
      <c r="A8162" s="25">
        <f>VALUE(YEAR(Table2[[#This Row],[Date]])&amp;TEXT(MONTH(Table2[[#This Row],[Date]]),"00"))</f>
        <v>202211</v>
      </c>
      <c r="B8162" s="6">
        <v>44878</v>
      </c>
      <c r="C8162" t="s">
        <v>2262</v>
      </c>
      <c r="D8162" t="s">
        <v>3278</v>
      </c>
      <c r="E8162">
        <f t="shared" si="55"/>
        <v>128</v>
      </c>
      <c r="F8162" s="2" t="str">
        <f>IF(Table2[[#This Row],[Manual Cat Value]]="",VLOOKUP(Table2[[#This Row],[Description]],'Actuals Lookup'!D:F,3,0),Table2[[#This Row],[Manual Cat Value]])</f>
        <v>Exp - Shopping</v>
      </c>
      <c r="G8162" t="e">
        <f>VLOOKUP(D8162,Lookup!G:H,2,0)</f>
        <v>#N/A</v>
      </c>
      <c r="H8162" s="8" t="s">
        <v>36</v>
      </c>
      <c r="I8162" s="8"/>
      <c r="J8162">
        <v>128</v>
      </c>
      <c r="M8162" t="s">
        <v>2513</v>
      </c>
      <c r="O8162" t="str">
        <f>LEFT(Table2[[#This Row],[Description]],75)</f>
        <v>LULULEMON SHOPS@WEST ST LOUIS PARKMN REF #2469216ND335X5GJK</v>
      </c>
    </row>
    <row r="8163" spans="1:15" hidden="1">
      <c r="A8163" s="25">
        <f>VALUE(YEAR(Table2[[#This Row],[Date]])&amp;TEXT(MONTH(Table2[[#This Row],[Date]]),"00"))</f>
        <v>202211</v>
      </c>
      <c r="B8163" s="6">
        <v>44878</v>
      </c>
      <c r="C8163" t="s">
        <v>2262</v>
      </c>
      <c r="D8163" t="s">
        <v>3279</v>
      </c>
      <c r="E8163">
        <f t="shared" si="55"/>
        <v>5.36</v>
      </c>
      <c r="F8163" s="2" t="str">
        <f>IF(Table2[[#This Row],[Manual Cat Value]]="",VLOOKUP(Table2[[#This Row],[Description]],'Actuals Lookup'!D:F,3,0),Table2[[#This Row],[Manual Cat Value]])</f>
        <v>Exp - Utilities</v>
      </c>
      <c r="G8163" t="e">
        <f>VLOOKUP(D8163,Lookup!G:H,2,0)</f>
        <v>#N/A</v>
      </c>
      <c r="H8163" s="8" t="s">
        <v>6</v>
      </c>
      <c r="I8163" s="8"/>
      <c r="J8163">
        <v>5.36</v>
      </c>
      <c r="M8163" t="s">
        <v>2513</v>
      </c>
      <c r="O8163" t="str">
        <f>LEFT(Table2[[#This Row],[Description]],75)</f>
        <v>Prime Video*HB8FP45O1 888-802-3080 WA REF #2469216NQ32VL2797</v>
      </c>
    </row>
    <row r="8164" spans="1:15" ht="30" hidden="1">
      <c r="A8164" s="25">
        <f>VALUE(YEAR(Table2[[#This Row],[Date]])&amp;TEXT(MONTH(Table2[[#This Row],[Date]]),"00"))</f>
        <v>202211</v>
      </c>
      <c r="B8164" s="6">
        <v>44879</v>
      </c>
      <c r="C8164" t="s">
        <v>2447</v>
      </c>
      <c r="D8164" s="7" t="s">
        <v>3280</v>
      </c>
      <c r="E8164">
        <f t="shared" si="55"/>
        <v>-39.89</v>
      </c>
      <c r="F8164" s="2" t="str">
        <f>IF(Table2[[#This Row],[Manual Cat Value]]="",VLOOKUP(Table2[[#This Row],[Description]],'Actuals Lookup'!D:F,3,0),Table2[[#This Row],[Manual Cat Value]])</f>
        <v>Exp - Amazon</v>
      </c>
      <c r="G8164" t="e">
        <f>VLOOKUP(D8164,Lookup!G:H,2,0)</f>
        <v>#N/A</v>
      </c>
      <c r="H8164" s="8" t="s">
        <v>37</v>
      </c>
      <c r="I8164" s="8"/>
      <c r="J8164">
        <v>39.89</v>
      </c>
      <c r="M8164" t="s">
        <v>2621</v>
      </c>
      <c r="O8164" t="str">
        <f>LEFT(Table2[[#This Row],[Description]],75)</f>
        <v>AMZN MKTP US AMZN.COM/BILLWA
4C6HJGFDNAO</v>
      </c>
    </row>
    <row r="8165" spans="1:15" hidden="1">
      <c r="A8165" s="25">
        <f>VALUE(YEAR(Table2[[#This Row],[Date]])&amp;TEXT(MONTH(Table2[[#This Row],[Date]]),"00"))</f>
        <v>202211</v>
      </c>
      <c r="B8165" s="6">
        <v>44879</v>
      </c>
      <c r="C8165" t="s">
        <v>2262</v>
      </c>
      <c r="D8165" t="s">
        <v>3281</v>
      </c>
      <c r="E8165">
        <f t="shared" si="55"/>
        <v>1051.21</v>
      </c>
      <c r="F8165" s="2" t="str">
        <f>IF(Table2[[#This Row],[Manual Cat Value]]="",VLOOKUP(Table2[[#This Row],[Description]],'Actuals Lookup'!D:F,3,0),Table2[[#This Row],[Manual Cat Value]])</f>
        <v>Exp - Gifts</v>
      </c>
      <c r="G8165" t="e">
        <f>VLOOKUP(D8165,Lookup!G:H,2,0)</f>
        <v>#N/A</v>
      </c>
      <c r="H8165" s="8" t="s">
        <v>44</v>
      </c>
      <c r="I8165" s="8"/>
      <c r="J8165">
        <v>1051.21</v>
      </c>
      <c r="M8165" t="s">
        <v>2513</v>
      </c>
      <c r="O8165" t="str">
        <f>LEFT(Table2[[#This Row],[Description]],75)</f>
        <v>BALSAM HILL US 888-552-2572 CA REF #2449215NDMLLMJWDK</v>
      </c>
    </row>
    <row r="8166" spans="1:15" hidden="1">
      <c r="A8166" s="25">
        <f>VALUE(YEAR(Table2[[#This Row],[Date]])&amp;TEXT(MONTH(Table2[[#This Row],[Date]]),"00"))</f>
        <v>202211</v>
      </c>
      <c r="B8166" s="6">
        <v>44879</v>
      </c>
      <c r="C8166" t="s">
        <v>2262</v>
      </c>
      <c r="D8166" t="s">
        <v>3282</v>
      </c>
      <c r="E8166">
        <f t="shared" si="55"/>
        <v>68.5</v>
      </c>
      <c r="F8166" s="2" t="str">
        <f>IF(Table2[[#This Row],[Manual Cat Value]]="",VLOOKUP(Table2[[#This Row],[Description]],'Actuals Lookup'!D:F,3,0),Table2[[#This Row],[Manual Cat Value]])</f>
        <v>Exp - Restaurants</v>
      </c>
      <c r="G8166" t="e">
        <f>VLOOKUP(D8166,Lookup!G:H,2,0)</f>
        <v>#N/A</v>
      </c>
      <c r="H8166" s="8" t="s">
        <v>25</v>
      </c>
      <c r="I8166" s="8"/>
      <c r="J8166">
        <v>68.5</v>
      </c>
      <c r="M8166" t="s">
        <v>2513</v>
      </c>
      <c r="O8166" t="str">
        <f>LEFT(Table2[[#This Row],[Description]],75)</f>
        <v>BIG BOWL RIDGEDALE MINNETONKA MN REF #2443106NE2M8ZYM7R</v>
      </c>
    </row>
    <row r="8167" spans="1:15" hidden="1">
      <c r="A8167" s="25">
        <f>VALUE(YEAR(Table2[[#This Row],[Date]])&amp;TEXT(MONTH(Table2[[#This Row],[Date]]),"00"))</f>
        <v>202211</v>
      </c>
      <c r="B8167" s="6">
        <v>44879</v>
      </c>
      <c r="C8167" t="s">
        <v>2265</v>
      </c>
      <c r="D8167" t="s">
        <v>3283</v>
      </c>
      <c r="E8167">
        <f t="shared" si="55"/>
        <v>-210.9</v>
      </c>
      <c r="F8167" s="2" t="str">
        <f>IF(Table2[[#This Row],[Manual Cat Value]]="",VLOOKUP(Table2[[#This Row],[Description]],'Actuals Lookup'!D:F,3,0),Table2[[#This Row],[Manual Cat Value]])</f>
        <v>Exp - Healthcare</v>
      </c>
      <c r="G8167" t="e">
        <f>VLOOKUP(D8167,Lookup!G:H,2,0)</f>
        <v>#N/A</v>
      </c>
      <c r="H8167" s="8" t="s">
        <v>47</v>
      </c>
      <c r="I8167" s="8"/>
      <c r="J8167">
        <v>210.9</v>
      </c>
      <c r="M8167" t="s">
        <v>2621</v>
      </c>
      <c r="O8167" t="str">
        <f>LEFT(Table2[[#This Row],[Description]],75)</f>
        <v>Deposit ACH connectyourcare TYPE: SVB-CLAIMS ID: E942875288 CO: connectyour</v>
      </c>
    </row>
    <row r="8168" spans="1:15" hidden="1">
      <c r="A8168" s="25">
        <f>VALUE(YEAR(Table2[[#This Row],[Date]])&amp;TEXT(MONTH(Table2[[#This Row],[Date]]),"00"))</f>
        <v>202211</v>
      </c>
      <c r="B8168" s="6">
        <v>44879</v>
      </c>
      <c r="C8168" t="s">
        <v>2262</v>
      </c>
      <c r="D8168" t="s">
        <v>3284</v>
      </c>
      <c r="E8168">
        <f t="shared" si="55"/>
        <v>215.41</v>
      </c>
      <c r="F8168" s="2" t="str">
        <f>IF(Table2[[#This Row],[Manual Cat Value]]="",VLOOKUP(Table2[[#This Row],[Description]],'Actuals Lookup'!D:F,3,0),Table2[[#This Row],[Manual Cat Value]])</f>
        <v>Delete</v>
      </c>
      <c r="G8168" t="e">
        <f>VLOOKUP(D8168,Lookup!G:H,2,0)</f>
        <v>#N/A</v>
      </c>
      <c r="H8168" s="8" t="s">
        <v>9</v>
      </c>
      <c r="I8168" s="8"/>
      <c r="J8168">
        <v>215.41</v>
      </c>
      <c r="M8168" t="s">
        <v>2513</v>
      </c>
      <c r="O8168" t="str">
        <f>LEFT(Table2[[#This Row],[Description]],75)</f>
        <v>HILTON GARDEN INN BOSTON EAST BOSTON MA REF #2427539NDS66LR9LJ</v>
      </c>
    </row>
    <row r="8169" spans="1:15" hidden="1">
      <c r="A8169" s="25">
        <f>VALUE(YEAR(Table2[[#This Row],[Date]])&amp;TEXT(MONTH(Table2[[#This Row],[Date]]),"00"))</f>
        <v>202211</v>
      </c>
      <c r="B8169" s="6">
        <v>44879</v>
      </c>
      <c r="C8169" t="s">
        <v>2262</v>
      </c>
      <c r="D8169" t="s">
        <v>3285</v>
      </c>
      <c r="E8169">
        <f t="shared" si="55"/>
        <v>14.16</v>
      </c>
      <c r="F8169" s="2" t="str">
        <f>IF(Table2[[#This Row],[Manual Cat Value]]="",VLOOKUP(Table2[[#This Row],[Description]],'Actuals Lookup'!D:F,3,0),Table2[[#This Row],[Manual Cat Value]])</f>
        <v>Exp - Restaurants</v>
      </c>
      <c r="G8169" t="e">
        <f>VLOOKUP(D8169,Lookup!G:H,2,0)</f>
        <v>#N/A</v>
      </c>
      <c r="H8169" s="8" t="s">
        <v>25</v>
      </c>
      <c r="I8169" s="8"/>
      <c r="J8169">
        <v>14.16</v>
      </c>
      <c r="M8169" t="s">
        <v>2513</v>
      </c>
      <c r="O8169" t="str">
        <f>LEFT(Table2[[#This Row],[Description]],75)</f>
        <v>WENDY S 402 MINNETONKA MN REF #2444500ND2XKBNMVV</v>
      </c>
    </row>
    <row r="8170" spans="1:15" hidden="1">
      <c r="A8170" s="25">
        <f>VALUE(YEAR(Table2[[#This Row],[Date]])&amp;TEXT(MONTH(Table2[[#This Row],[Date]]),"00"))</f>
        <v>202211</v>
      </c>
      <c r="B8170" s="6">
        <v>44879</v>
      </c>
      <c r="C8170" t="s">
        <v>2265</v>
      </c>
      <c r="D8170" t="s">
        <v>3286</v>
      </c>
      <c r="E8170">
        <f t="shared" si="55"/>
        <v>15.83</v>
      </c>
      <c r="F8170" s="2" t="str">
        <f>IF(Table2[[#This Row],[Manual Cat Value]]="",VLOOKUP(Table2[[#This Row],[Description]],'Actuals Lookup'!D:F,3,0),Table2[[#This Row],[Manual Cat Value]])</f>
        <v>Exp - Shopping</v>
      </c>
      <c r="G8170" t="e">
        <f>VLOOKUP(D8170,Lookup!G:H,2,0)</f>
        <v>#N/A</v>
      </c>
      <c r="H8170" s="8" t="s">
        <v>36</v>
      </c>
      <c r="I8170" s="8"/>
      <c r="J8170">
        <v>15.83</v>
      </c>
      <c r="M8170" t="s">
        <v>2513</v>
      </c>
      <c r="O8170" t="str">
        <f>LEFT(Table2[[#This Row],[Description]],75)</f>
        <v xml:space="preserve">Withdrawal ACH PAYPAL TYPE: INST XFER ID: PAYPALSI77 CO: PAYPAL NAME: JEFF </v>
      </c>
    </row>
    <row r="8171" spans="1:15" hidden="1">
      <c r="A8171" s="25">
        <f>VALUE(YEAR(Table2[[#This Row],[Date]])&amp;TEXT(MONTH(Table2[[#This Row],[Date]]),"00"))</f>
        <v>202211</v>
      </c>
      <c r="B8171" s="6">
        <v>44879</v>
      </c>
      <c r="C8171" t="s">
        <v>2265</v>
      </c>
      <c r="D8171" t="s">
        <v>3287</v>
      </c>
      <c r="E8171">
        <f t="shared" si="55"/>
        <v>102.48</v>
      </c>
      <c r="F8171" s="2" t="str">
        <f>IF(Table2[[#This Row],[Manual Cat Value]]="",VLOOKUP(Table2[[#This Row],[Description]],'Actuals Lookup'!D:F,3,0),Table2[[#This Row],[Manual Cat Value]])</f>
        <v>Exp - Insurance</v>
      </c>
      <c r="G8171" t="e">
        <f>VLOOKUP(D8171,Lookup!G:H,2,0)</f>
        <v>#N/A</v>
      </c>
      <c r="H8171" s="8" t="s">
        <v>17</v>
      </c>
      <c r="I8171" s="8"/>
      <c r="J8171">
        <v>102.48</v>
      </c>
      <c r="M8171" t="s">
        <v>2513</v>
      </c>
      <c r="O8171" t="str">
        <f>LEFT(Table2[[#This Row],[Description]],75)</f>
        <v>Withdrawal ACH AMERICAN FAMILY TYPE: WEBPAYMENT ID: PEBP075965 CO: AMERICAN</v>
      </c>
    </row>
    <row r="8172" spans="1:15" hidden="1">
      <c r="A8172" s="25">
        <f>VALUE(YEAR(Table2[[#This Row],[Date]])&amp;TEXT(MONTH(Table2[[#This Row],[Date]]),"00"))</f>
        <v>202211</v>
      </c>
      <c r="B8172" s="6">
        <v>44880</v>
      </c>
      <c r="C8172" t="s">
        <v>2262</v>
      </c>
      <c r="D8172" t="s">
        <v>3288</v>
      </c>
      <c r="E8172">
        <f t="shared" si="55"/>
        <v>11.38</v>
      </c>
      <c r="F8172" s="2" t="str">
        <f>IF(Table2[[#This Row],[Manual Cat Value]]="",VLOOKUP(Table2[[#This Row],[Description]],'Actuals Lookup'!D:F,3,0),Table2[[#This Row],[Manual Cat Value]])</f>
        <v>Exp - Restaurants</v>
      </c>
      <c r="G8172" t="e">
        <f>VLOOKUP(D8172,Lookup!G:H,2,0)</f>
        <v>#N/A</v>
      </c>
      <c r="H8172" s="8" t="s">
        <v>25</v>
      </c>
      <c r="I8172" s="8"/>
      <c r="J8172">
        <v>11.38</v>
      </c>
      <c r="M8172" t="s">
        <v>2513</v>
      </c>
      <c r="O8172" t="str">
        <f>LEFT(Table2[[#This Row],[Description]],75)</f>
        <v>CHIPOTLE ONLINE CHIPOTLE.COM CA REF #2443106NF2DKJ4VR9</v>
      </c>
    </row>
    <row r="8173" spans="1:15" hidden="1">
      <c r="A8173" s="25">
        <f>VALUE(YEAR(Table2[[#This Row],[Date]])&amp;TEXT(MONTH(Table2[[#This Row],[Date]]),"00"))</f>
        <v>202211</v>
      </c>
      <c r="B8173" s="6">
        <v>44880</v>
      </c>
      <c r="C8173" t="s">
        <v>2262</v>
      </c>
      <c r="D8173" t="s">
        <v>3289</v>
      </c>
      <c r="E8173">
        <f t="shared" si="55"/>
        <v>10.039999999999999</v>
      </c>
      <c r="F8173" s="2" t="str">
        <f>IF(Table2[[#This Row],[Manual Cat Value]]="",VLOOKUP(Table2[[#This Row],[Description]],'Actuals Lookup'!D:F,3,0),Table2[[#This Row],[Manual Cat Value]])</f>
        <v>Exp - Restaurants</v>
      </c>
      <c r="G8173" t="e">
        <f>VLOOKUP(D8173,Lookup!G:H,2,0)</f>
        <v>#N/A</v>
      </c>
      <c r="H8173" s="8" t="s">
        <v>25</v>
      </c>
      <c r="I8173" s="8"/>
      <c r="J8173">
        <v>10.039999999999999</v>
      </c>
      <c r="M8173" t="s">
        <v>2513</v>
      </c>
      <c r="O8173" t="str">
        <f>LEFT(Table2[[#This Row],[Description]],75)</f>
        <v>CHIPOTLE ONLINE CHIPOTLE.COM CA REF #2443106NF2DYKM1PX</v>
      </c>
    </row>
    <row r="8174" spans="1:15" hidden="1">
      <c r="A8174" s="25">
        <f>VALUE(YEAR(Table2[[#This Row],[Date]])&amp;TEXT(MONTH(Table2[[#This Row],[Date]]),"00"))</f>
        <v>202211</v>
      </c>
      <c r="B8174" s="6">
        <v>44880</v>
      </c>
      <c r="C8174" t="s">
        <v>2262</v>
      </c>
      <c r="D8174" t="s">
        <v>3290</v>
      </c>
      <c r="E8174">
        <f t="shared" ref="E8174:E8237" si="56">IF(M8174="credit",-1*J8174,J8174)</f>
        <v>128</v>
      </c>
      <c r="F8174" s="2" t="str">
        <f>IF(Table2[[#This Row],[Manual Cat Value]]="",VLOOKUP(Table2[[#This Row],[Description]],'Actuals Lookup'!D:F,3,0),Table2[[#This Row],[Manual Cat Value]])</f>
        <v>Exp - Shopping</v>
      </c>
      <c r="G8174" t="e">
        <f>VLOOKUP(D8174,Lookup!G:H,2,0)</f>
        <v>#N/A</v>
      </c>
      <c r="H8174" s="8" t="s">
        <v>36</v>
      </c>
      <c r="I8174" s="8"/>
      <c r="J8174">
        <v>128</v>
      </c>
      <c r="M8174" t="s">
        <v>2513</v>
      </c>
      <c r="O8174" t="str">
        <f>LEFT(Table2[[#This Row],[Description]],75)</f>
        <v>LULULEMONCOM* 877-263-9300 CA REF #2469216NE340BLETM</v>
      </c>
    </row>
    <row r="8175" spans="1:15" hidden="1">
      <c r="A8175" s="25">
        <f>VALUE(YEAR(Table2[[#This Row],[Date]])&amp;TEXT(MONTH(Table2[[#This Row],[Date]]),"00"))</f>
        <v>202211</v>
      </c>
      <c r="B8175" s="6">
        <v>44880</v>
      </c>
      <c r="C8175" t="s">
        <v>2265</v>
      </c>
      <c r="D8175" t="s">
        <v>3291</v>
      </c>
      <c r="E8175">
        <f t="shared" si="56"/>
        <v>315</v>
      </c>
      <c r="F8175" s="2" t="str">
        <f>IF(Table2[[#This Row],[Manual Cat Value]]="",VLOOKUP(Table2[[#This Row],[Description]],'Actuals Lookup'!D:F,3,0),Table2[[#This Row],[Manual Cat Value]])</f>
        <v>Exp - Day Care</v>
      </c>
      <c r="G8175" t="e">
        <f>VLOOKUP(D8175,Lookup!G:H,2,0)</f>
        <v>#N/A</v>
      </c>
      <c r="H8175" s="8" t="s">
        <v>19</v>
      </c>
      <c r="I8175" s="8"/>
      <c r="J8175">
        <v>315</v>
      </c>
      <c r="M8175" t="s">
        <v>2513</v>
      </c>
      <c r="O8175" t="str">
        <f>LEFT(Table2[[#This Row],[Description]],75)</f>
        <v xml:space="preserve">Withdrawal ACH MHCHILDCARELLC TYPE: DUES ID: 1824708198 CO: MHCHILDCARELLC </v>
      </c>
    </row>
    <row r="8176" spans="1:15" hidden="1">
      <c r="A8176" s="25">
        <f>VALUE(YEAR(Table2[[#This Row],[Date]])&amp;TEXT(MONTH(Table2[[#This Row],[Date]]),"00"))</f>
        <v>202211</v>
      </c>
      <c r="B8176" s="6">
        <v>44880</v>
      </c>
      <c r="C8176" t="s">
        <v>2265</v>
      </c>
      <c r="D8176" t="s">
        <v>3292</v>
      </c>
      <c r="E8176">
        <f t="shared" si="56"/>
        <v>128</v>
      </c>
      <c r="F8176" s="2" t="str">
        <f>IF(Table2[[#This Row],[Manual Cat Value]]="",VLOOKUP(Table2[[#This Row],[Description]],'Actuals Lookup'!D:F,3,0),Table2[[#This Row],[Manual Cat Value]])</f>
        <v>Exp - Shopping</v>
      </c>
      <c r="G8176" t="e">
        <f>VLOOKUP(D8176,Lookup!G:H,2,0)</f>
        <v>#N/A</v>
      </c>
      <c r="H8176" s="8" t="s">
        <v>36</v>
      </c>
      <c r="I8176" s="8"/>
      <c r="J8176">
        <v>128</v>
      </c>
      <c r="M8176" t="s">
        <v>2513</v>
      </c>
      <c r="O8176" t="str">
        <f>LEFT(Table2[[#This Row],[Description]],75)</f>
        <v xml:space="preserve">Withdrawal ACH PAYPAL TYPE: INST XFER ID: PAYPALSI77 CO: PAYPAL NAME: JEFF </v>
      </c>
    </row>
    <row r="8177" spans="1:15" hidden="1">
      <c r="A8177" s="25">
        <f>VALUE(YEAR(Table2[[#This Row],[Date]])&amp;TEXT(MONTH(Table2[[#This Row],[Date]]),"00"))</f>
        <v>202211</v>
      </c>
      <c r="B8177" s="6">
        <v>44880</v>
      </c>
      <c r="C8177" t="s">
        <v>2265</v>
      </c>
      <c r="D8177" t="s">
        <v>2640</v>
      </c>
      <c r="E8177">
        <f t="shared" si="56"/>
        <v>3135.26</v>
      </c>
      <c r="F8177" s="2" t="str">
        <f>IF(Table2[[#This Row],[Manual Cat Value]]="",VLOOKUP(Table2[[#This Row],[Description]],'Actuals Lookup'!D:F,3,0),Table2[[#This Row],[Manual Cat Value]])</f>
        <v>Delete</v>
      </c>
      <c r="G8177" t="e">
        <f>VLOOKUP(D8177,Lookup!G:H,2,0)</f>
        <v>#N/A</v>
      </c>
      <c r="H8177" s="8" t="s">
        <v>9</v>
      </c>
      <c r="I8177" s="8"/>
      <c r="J8177">
        <v>3135.26</v>
      </c>
      <c r="M8177" t="s">
        <v>2513</v>
      </c>
      <c r="O8177" t="str">
        <f>LEFT(Table2[[#This Row],[Description]],75)</f>
        <v>Withdrawal Home Banking Pmt to card XXXXXXXXXXXX-9181</v>
      </c>
    </row>
    <row r="8178" spans="1:15" hidden="1">
      <c r="A8178" s="25">
        <f>VALUE(YEAR(Table2[[#This Row],[Date]])&amp;TEXT(MONTH(Table2[[#This Row],[Date]]),"00"))</f>
        <v>202211</v>
      </c>
      <c r="B8178" s="6">
        <v>44880</v>
      </c>
      <c r="C8178" t="s">
        <v>2262</v>
      </c>
      <c r="D8178" t="s">
        <v>3293</v>
      </c>
      <c r="E8178">
        <f t="shared" si="56"/>
        <v>-3135.26</v>
      </c>
      <c r="F8178" s="2" t="str">
        <f>IF(Table2[[#This Row],[Manual Cat Value]]="",VLOOKUP(Table2[[#This Row],[Description]],'Actuals Lookup'!D:F,3,0),Table2[[#This Row],[Manual Cat Value]])</f>
        <v>Delete</v>
      </c>
      <c r="G8178" t="e">
        <f>VLOOKUP(D8178,Lookup!G:H,2,0)</f>
        <v>#N/A</v>
      </c>
      <c r="H8178" s="8" t="s">
        <v>9</v>
      </c>
      <c r="I8178" s="8"/>
      <c r="J8178">
        <v>3135.26</v>
      </c>
      <c r="M8178" t="s">
        <v>2621</v>
      </c>
      <c r="O8178" t="str">
        <f>LEFT(Table2[[#This Row],[Description]],75)</f>
        <v>PAYMENT - THANK YOU REF #7473457NG00XTMJG7</v>
      </c>
    </row>
    <row r="8179" spans="1:15" hidden="1">
      <c r="A8179" s="25">
        <f>VALUE(YEAR(Table2[[#This Row],[Date]])&amp;TEXT(MONTH(Table2[[#This Row],[Date]]),"00"))</f>
        <v>202211</v>
      </c>
      <c r="B8179" s="6">
        <v>44881</v>
      </c>
      <c r="C8179" t="s">
        <v>2262</v>
      </c>
      <c r="D8179" t="s">
        <v>3294</v>
      </c>
      <c r="E8179">
        <f t="shared" si="56"/>
        <v>36.81</v>
      </c>
      <c r="F8179" s="2" t="str">
        <f>IF(Table2[[#This Row],[Manual Cat Value]]="",VLOOKUP(Table2[[#This Row],[Description]],'Actuals Lookup'!D:F,3,0),Table2[[#This Row],[Manual Cat Value]])</f>
        <v>Exp - Amazon</v>
      </c>
      <c r="G8179" t="e">
        <f>VLOOKUP(D8179,Lookup!G:H,2,0)</f>
        <v>#N/A</v>
      </c>
      <c r="H8179" s="8" t="s">
        <v>37</v>
      </c>
      <c r="I8179" s="8"/>
      <c r="J8179">
        <v>36.81</v>
      </c>
      <c r="M8179" t="s">
        <v>2513</v>
      </c>
      <c r="O8179" t="str">
        <f>LEFT(Table2[[#This Row],[Description]],75)</f>
        <v>AMAZON.COM*HI9F62JP0 AMZNAMZN.COM/BILLWA REF #2443106NF2DYS0Z1D</v>
      </c>
    </row>
    <row r="8180" spans="1:15" hidden="1">
      <c r="A8180" s="25">
        <f>VALUE(YEAR(Table2[[#This Row],[Date]])&amp;TEXT(MONTH(Table2[[#This Row],[Date]]),"00"))</f>
        <v>202211</v>
      </c>
      <c r="B8180" s="6">
        <v>44881</v>
      </c>
      <c r="C8180" t="s">
        <v>2262</v>
      </c>
      <c r="D8180" t="s">
        <v>3295</v>
      </c>
      <c r="E8180">
        <f t="shared" si="56"/>
        <v>522</v>
      </c>
      <c r="F8180" s="2" t="str">
        <f>IF(Table2[[#This Row],[Manual Cat Value]]="",VLOOKUP(Table2[[#This Row],[Description]],'Actuals Lookup'!D:F,3,0),Table2[[#This Row],[Manual Cat Value]])</f>
        <v>Exp - Day Care</v>
      </c>
      <c r="G8180" t="e">
        <f>VLOOKUP(D8180,Lookup!G:H,2,0)</f>
        <v>#N/A</v>
      </c>
      <c r="H8180" s="8" t="s">
        <v>19</v>
      </c>
      <c r="I8180" s="8"/>
      <c r="J8180">
        <v>522</v>
      </c>
      <c r="M8180" t="s">
        <v>2513</v>
      </c>
      <c r="O8180" t="str">
        <f>LEFT(Table2[[#This Row],[Description]],75)</f>
        <v>FOSS SWIM SCHOOL HTTPSWWW.FOSSMN REF #2401134NF0015R0NY</v>
      </c>
    </row>
    <row r="8181" spans="1:15" ht="30" hidden="1">
      <c r="A8181" s="25">
        <f>VALUE(YEAR(Table2[[#This Row],[Date]])&amp;TEXT(MONTH(Table2[[#This Row],[Date]]),"00"))</f>
        <v>202211</v>
      </c>
      <c r="B8181" s="6">
        <v>44881</v>
      </c>
      <c r="C8181" t="s">
        <v>2447</v>
      </c>
      <c r="D8181" s="7" t="s">
        <v>3296</v>
      </c>
      <c r="E8181">
        <f t="shared" si="56"/>
        <v>13.5</v>
      </c>
      <c r="F8181" s="2" t="str">
        <f>IF(Table2[[#This Row],[Manual Cat Value]]="",VLOOKUP(Table2[[#This Row],[Description]],'Actuals Lookup'!D:F,3,0),Table2[[#This Row],[Manual Cat Value]])</f>
        <v>Exp - Restaurants</v>
      </c>
      <c r="G8181" t="e">
        <f>VLOOKUP(D8181,Lookup!G:H,2,0)</f>
        <v>#N/A</v>
      </c>
      <c r="H8181" s="8" t="s">
        <v>25</v>
      </c>
      <c r="I8181" s="8"/>
      <c r="J8181">
        <v>13.5</v>
      </c>
      <c r="M8181" t="s">
        <v>2513</v>
      </c>
      <c r="O8181" t="str">
        <f>LEFT(Table2[[#This Row],[Description]],75)</f>
        <v>MCDONALD'S F6591 CHANHASSEN MN
APPLE PAY ENDING IN 3050</v>
      </c>
    </row>
    <row r="8182" spans="1:15" hidden="1">
      <c r="A8182" s="25">
        <f>VALUE(YEAR(Table2[[#This Row],[Date]])&amp;TEXT(MONTH(Table2[[#This Row],[Date]]),"00"))</f>
        <v>202211</v>
      </c>
      <c r="B8182" s="6">
        <v>44882</v>
      </c>
      <c r="C8182" t="s">
        <v>2262</v>
      </c>
      <c r="D8182" t="s">
        <v>3297</v>
      </c>
      <c r="E8182">
        <f t="shared" si="56"/>
        <v>105.7</v>
      </c>
      <c r="F8182" s="2" t="str">
        <f>IF(Table2[[#This Row],[Manual Cat Value]]="",VLOOKUP(Table2[[#This Row],[Description]],'Actuals Lookup'!D:F,3,0),Table2[[#This Row],[Manual Cat Value]])</f>
        <v>Exp - Amazon</v>
      </c>
      <c r="G8182" t="e">
        <f>VLOOKUP(D8182,Lookup!G:H,2,0)</f>
        <v>#N/A</v>
      </c>
      <c r="H8182" s="8" t="s">
        <v>37</v>
      </c>
      <c r="I8182" s="8"/>
      <c r="J8182">
        <v>105.7</v>
      </c>
      <c r="M8182" t="s">
        <v>2513</v>
      </c>
      <c r="O8182" t="str">
        <f>LEFT(Table2[[#This Row],[Description]],75)</f>
        <v>AMAZON.COM*HB2XT6252 AMZNAMZN.COM/BILLWA REF #2443106NG2DKAYHVY</v>
      </c>
    </row>
    <row r="8183" spans="1:15" hidden="1">
      <c r="A8183" s="25">
        <f>VALUE(YEAR(Table2[[#This Row],[Date]])&amp;TEXT(MONTH(Table2[[#This Row],[Date]]),"00"))</f>
        <v>202211</v>
      </c>
      <c r="B8183" s="6">
        <v>44882</v>
      </c>
      <c r="C8183" t="s">
        <v>2262</v>
      </c>
      <c r="D8183" t="s">
        <v>3298</v>
      </c>
      <c r="E8183">
        <f t="shared" si="56"/>
        <v>8.58</v>
      </c>
      <c r="F8183" s="2" t="str">
        <f>IF(Table2[[#This Row],[Manual Cat Value]]="",VLOOKUP(Table2[[#This Row],[Description]],'Actuals Lookup'!D:F,3,0),Table2[[#This Row],[Manual Cat Value]])</f>
        <v>Exp - Utilities</v>
      </c>
      <c r="G8183" t="e">
        <f>VLOOKUP(D8183,Lookup!G:H,2,0)</f>
        <v>#N/A</v>
      </c>
      <c r="H8183" s="8" t="s">
        <v>6</v>
      </c>
      <c r="I8183" s="8"/>
      <c r="J8183">
        <v>8.58</v>
      </c>
      <c r="M8183" t="s">
        <v>2513</v>
      </c>
      <c r="O8183" t="str">
        <f>LEFT(Table2[[#This Row],[Description]],75)</f>
        <v>Prime Video*HB4JG6D42 888-802-3080 WA REF #2469216NH35Y654ZJ</v>
      </c>
    </row>
    <row r="8184" spans="1:15" hidden="1">
      <c r="A8184" s="25">
        <f>VALUE(YEAR(Table2[[#This Row],[Date]])&amp;TEXT(MONTH(Table2[[#This Row],[Date]]),"00"))</f>
        <v>202211</v>
      </c>
      <c r="B8184" s="6">
        <v>44882</v>
      </c>
      <c r="C8184" t="s">
        <v>2265</v>
      </c>
      <c r="D8184" t="s">
        <v>3299</v>
      </c>
      <c r="E8184">
        <f t="shared" si="56"/>
        <v>41.99</v>
      </c>
      <c r="F8184" s="2" t="str">
        <f>IF(Table2[[#This Row],[Manual Cat Value]]="",VLOOKUP(Table2[[#This Row],[Description]],'Actuals Lookup'!D:F,3,0),Table2[[#This Row],[Manual Cat Value]])</f>
        <v>Exp - Shopping</v>
      </c>
      <c r="G8184" t="e">
        <f>VLOOKUP(D8184,Lookup!G:H,2,0)</f>
        <v>#N/A</v>
      </c>
      <c r="H8184" s="8" t="s">
        <v>36</v>
      </c>
      <c r="I8184" s="8"/>
      <c r="J8184">
        <v>41.99</v>
      </c>
      <c r="M8184" t="s">
        <v>2513</v>
      </c>
      <c r="O8184" t="str">
        <f>LEFT(Table2[[#This Row],[Description]],75)</f>
        <v xml:space="preserve">Withdrawal ACH PAYPAL TYPE: INST XFER ID: PAYPALSI77 CO: PAYPAL NAME: JEFF </v>
      </c>
    </row>
    <row r="8185" spans="1:15" hidden="1">
      <c r="A8185" s="25">
        <f>VALUE(YEAR(Table2[[#This Row],[Date]])&amp;TEXT(MONTH(Table2[[#This Row],[Date]]),"00"))</f>
        <v>202211</v>
      </c>
      <c r="B8185" s="6">
        <v>44883</v>
      </c>
      <c r="C8185" t="s">
        <v>2265</v>
      </c>
      <c r="D8185" t="s">
        <v>2762</v>
      </c>
      <c r="E8185">
        <f t="shared" si="56"/>
        <v>3</v>
      </c>
      <c r="F8185" s="2" t="str">
        <f>IF(Table2[[#This Row],[Manual Cat Value]]="",VLOOKUP(Table2[[#This Row],[Description]],'Actuals Lookup'!D:F,3,0),Table2[[#This Row],[Manual Cat Value]])</f>
        <v>Delete</v>
      </c>
      <c r="G8185" t="e">
        <f>VLOOKUP(D8185,Lookup!G:H,2,0)</f>
        <v>#N/A</v>
      </c>
      <c r="H8185" s="8" t="s">
        <v>9</v>
      </c>
      <c r="I8185" s="8"/>
      <c r="J8185">
        <v>3</v>
      </c>
      <c r="M8185" t="s">
        <v>2513</v>
      </c>
      <c r="O8185" t="str">
        <f>LEFT(Table2[[#This Row],[Description]],75)</f>
        <v>ATM Fee</v>
      </c>
    </row>
    <row r="8186" spans="1:15" hidden="1">
      <c r="A8186" s="25">
        <f>VALUE(YEAR(Table2[[#This Row],[Date]])&amp;TEXT(MONTH(Table2[[#This Row],[Date]]),"00"))</f>
        <v>202211</v>
      </c>
      <c r="B8186" s="6">
        <v>44883</v>
      </c>
      <c r="C8186" t="s">
        <v>2262</v>
      </c>
      <c r="D8186" t="s">
        <v>3300</v>
      </c>
      <c r="E8186">
        <f t="shared" si="56"/>
        <v>53.95</v>
      </c>
      <c r="F8186" s="2" t="str">
        <f>IF(Table2[[#This Row],[Manual Cat Value]]="",VLOOKUP(Table2[[#This Row],[Description]],'Actuals Lookup'!D:F,3,0),Table2[[#This Row],[Manual Cat Value]])</f>
        <v>Exp - Transportation</v>
      </c>
      <c r="G8186" t="e">
        <f>VLOOKUP(D8186,Lookup!G:H,2,0)</f>
        <v>#N/A</v>
      </c>
      <c r="H8186" s="8" t="s">
        <v>22</v>
      </c>
      <c r="I8186" s="8"/>
      <c r="J8186">
        <v>53.95</v>
      </c>
      <c r="M8186" t="s">
        <v>2513</v>
      </c>
      <c r="O8186" t="str">
        <f>LEFT(Table2[[#This Row],[Description]],75)</f>
        <v>KWIK TRIP 40200004028 CHANHASSEN MN REF #2416407NHL3HES8GQ</v>
      </c>
    </row>
    <row r="8187" spans="1:15" hidden="1">
      <c r="A8187" s="25">
        <f>VALUE(YEAR(Table2[[#This Row],[Date]])&amp;TEXT(MONTH(Table2[[#This Row],[Date]]),"00"))</f>
        <v>202211</v>
      </c>
      <c r="B8187" s="6">
        <v>44883</v>
      </c>
      <c r="C8187" t="s">
        <v>2262</v>
      </c>
      <c r="D8187" t="s">
        <v>3301</v>
      </c>
      <c r="E8187">
        <f t="shared" si="56"/>
        <v>-8.58</v>
      </c>
      <c r="F8187" s="2" t="str">
        <f>IF(Table2[[#This Row],[Manual Cat Value]]="",VLOOKUP(Table2[[#This Row],[Description]],'Actuals Lookup'!D:F,3,0),Table2[[#This Row],[Manual Cat Value]])</f>
        <v>Exp - Utilities</v>
      </c>
      <c r="G8187" t="e">
        <f>VLOOKUP(D8187,Lookup!G:H,2,0)</f>
        <v>#N/A</v>
      </c>
      <c r="H8187" s="8" t="s">
        <v>6</v>
      </c>
      <c r="I8187" s="8"/>
      <c r="J8187">
        <v>8.58</v>
      </c>
      <c r="M8187" t="s">
        <v>2621</v>
      </c>
      <c r="O8187" t="str">
        <f>LEFT(Table2[[#This Row],[Description]],75)</f>
        <v>Prime Video 888-802- CREDIT REF #7469216NH36DEKA0T</v>
      </c>
    </row>
    <row r="8188" spans="1:15" hidden="1">
      <c r="A8188" s="25">
        <f>VALUE(YEAR(Table2[[#This Row],[Date]])&amp;TEXT(MONTH(Table2[[#This Row],[Date]]),"00"))</f>
        <v>202211</v>
      </c>
      <c r="B8188" s="6">
        <v>44883</v>
      </c>
      <c r="C8188" t="s">
        <v>2262</v>
      </c>
      <c r="D8188" t="s">
        <v>3302</v>
      </c>
      <c r="E8188">
        <f t="shared" si="56"/>
        <v>-5.36</v>
      </c>
      <c r="F8188" s="2" t="str">
        <f>IF(Table2[[#This Row],[Manual Cat Value]]="",VLOOKUP(Table2[[#This Row],[Description]],'Actuals Lookup'!D:F,3,0),Table2[[#This Row],[Manual Cat Value]])</f>
        <v>Exp - Utilities</v>
      </c>
      <c r="G8188" t="e">
        <f>VLOOKUP(D8188,Lookup!G:H,2,0)</f>
        <v>#N/A</v>
      </c>
      <c r="H8188" s="8" t="s">
        <v>6</v>
      </c>
      <c r="I8188" s="8"/>
      <c r="J8188">
        <v>5.36</v>
      </c>
      <c r="M8188" t="s">
        <v>2621</v>
      </c>
      <c r="O8188" t="str">
        <f>LEFT(Table2[[#This Row],[Description]],75)</f>
        <v>Prime Video 888-802- CREDIT REF #7469216NH36DVPJP5</v>
      </c>
    </row>
    <row r="8189" spans="1:15" hidden="1">
      <c r="A8189" s="25">
        <f>VALUE(YEAR(Table2[[#This Row],[Date]])&amp;TEXT(MONTH(Table2[[#This Row],[Date]]),"00"))</f>
        <v>202211</v>
      </c>
      <c r="B8189" s="6">
        <v>44883</v>
      </c>
      <c r="C8189" t="s">
        <v>2265</v>
      </c>
      <c r="D8189" t="s">
        <v>3303</v>
      </c>
      <c r="E8189">
        <f t="shared" si="56"/>
        <v>124.88</v>
      </c>
      <c r="F8189" s="2" t="str">
        <f>IF(Table2[[#This Row],[Manual Cat Value]]="",VLOOKUP(Table2[[#This Row],[Description]],'Actuals Lookup'!D:F,3,0),Table2[[#This Row],[Manual Cat Value]])</f>
        <v>Exp - Utilities</v>
      </c>
      <c r="G8189" t="e">
        <f>VLOOKUP(D8189,Lookup!G:H,2,0)</f>
        <v>#N/A</v>
      </c>
      <c r="H8189" s="8" t="s">
        <v>6</v>
      </c>
      <c r="I8189" s="8"/>
      <c r="J8189">
        <v>124.88</v>
      </c>
      <c r="M8189" t="s">
        <v>2513</v>
      </c>
      <c r="O8189" t="str">
        <f>LEFT(Table2[[#This Row],[Description]],75)</f>
        <v xml:space="preserve">Withdrawal ACH CPENERGY MNGCO TYPE: MGC ACH EB ID: 176051140S CO: CPENERGY </v>
      </c>
    </row>
    <row r="8190" spans="1:15" hidden="1">
      <c r="A8190" s="25">
        <f>VALUE(YEAR(Table2[[#This Row],[Date]])&amp;TEXT(MONTH(Table2[[#This Row],[Date]]),"00"))</f>
        <v>202211</v>
      </c>
      <c r="B8190" s="6">
        <v>44883</v>
      </c>
      <c r="C8190" t="s">
        <v>2265</v>
      </c>
      <c r="D8190" t="s">
        <v>3304</v>
      </c>
      <c r="E8190">
        <f t="shared" si="56"/>
        <v>200</v>
      </c>
      <c r="F8190" s="2" t="str">
        <f>IF(Table2[[#This Row],[Manual Cat Value]]="",VLOOKUP(Table2[[#This Row],[Description]],'Actuals Lookup'!D:F,3,0),Table2[[#This Row],[Manual Cat Value]])</f>
        <v>Exp - Day Care</v>
      </c>
      <c r="G8190" t="e">
        <f>VLOOKUP(D8190,Lookup!G:H,2,0)</f>
        <v>#N/A</v>
      </c>
      <c r="H8190" s="8" t="s">
        <v>19</v>
      </c>
      <c r="I8190" s="8"/>
      <c r="J8190">
        <v>200</v>
      </c>
      <c r="M8190" t="s">
        <v>2513</v>
      </c>
      <c r="O8190" t="str">
        <f>LEFT(Table2[[#This Row],[Description]],75)</f>
        <v>Withdrawal ACH MN DIR ACH TYPE: CONTRIB ID: 2416007162 CO: MN DIR ACH NAME:</v>
      </c>
    </row>
    <row r="8191" spans="1:15" hidden="1">
      <c r="A8191" s="25">
        <f>VALUE(YEAR(Table2[[#This Row],[Date]])&amp;TEXT(MONTH(Table2[[#This Row],[Date]]),"00"))</f>
        <v>202211</v>
      </c>
      <c r="B8191" s="6">
        <v>44883</v>
      </c>
      <c r="C8191" t="s">
        <v>2265</v>
      </c>
      <c r="D8191" t="s">
        <v>3305</v>
      </c>
      <c r="E8191">
        <f t="shared" si="56"/>
        <v>21.59</v>
      </c>
      <c r="F8191" s="2" t="str">
        <f>IF(Table2[[#This Row],[Manual Cat Value]]="",VLOOKUP(Table2[[#This Row],[Description]],'Actuals Lookup'!D:F,3,0),Table2[[#This Row],[Manual Cat Value]])</f>
        <v>Exp - Shopping</v>
      </c>
      <c r="G8191" t="e">
        <f>VLOOKUP(D8191,Lookup!G:H,2,0)</f>
        <v>#N/A</v>
      </c>
      <c r="H8191" s="8" t="s">
        <v>36</v>
      </c>
      <c r="I8191" s="8"/>
      <c r="J8191">
        <v>21.59</v>
      </c>
      <c r="M8191" t="s">
        <v>2513</v>
      </c>
      <c r="O8191" t="str">
        <f>LEFT(Table2[[#This Row],[Description]],75)</f>
        <v xml:space="preserve">Withdrawal ACH PAYPAL TYPE: INST XFER ID: PAYPALSI77 CO: PAYPAL NAME: JEFF </v>
      </c>
    </row>
    <row r="8192" spans="1:15" hidden="1">
      <c r="A8192" s="25">
        <f>VALUE(YEAR(Table2[[#This Row],[Date]])&amp;TEXT(MONTH(Table2[[#This Row],[Date]]),"00"))</f>
        <v>202211</v>
      </c>
      <c r="B8192" s="6">
        <v>44883</v>
      </c>
      <c r="C8192" t="s">
        <v>2265</v>
      </c>
      <c r="D8192" t="s">
        <v>3306</v>
      </c>
      <c r="E8192">
        <f t="shared" si="56"/>
        <v>27.69</v>
      </c>
      <c r="F8192" s="2" t="str">
        <f>IF(Table2[[#This Row],[Manual Cat Value]]="",VLOOKUP(Table2[[#This Row],[Description]],'Actuals Lookup'!D:F,3,0),Table2[[#This Row],[Manual Cat Value]])</f>
        <v>Exp - Shopping</v>
      </c>
      <c r="G8192" t="e">
        <f>VLOOKUP(D8192,Lookup!G:H,2,0)</f>
        <v>#N/A</v>
      </c>
      <c r="H8192" s="8" t="s">
        <v>36</v>
      </c>
      <c r="I8192" s="8"/>
      <c r="J8192">
        <v>27.69</v>
      </c>
      <c r="M8192" t="s">
        <v>2513</v>
      </c>
      <c r="O8192" t="str">
        <f>LEFT(Table2[[#This Row],[Description]],75)</f>
        <v xml:space="preserve">Withdrawal ACH PAYPAL TYPE: INST XFER ID: PAYPALSI77 CO: PAYPAL NAME: JEFF </v>
      </c>
    </row>
    <row r="8193" spans="1:15" hidden="1">
      <c r="A8193" s="25">
        <f>VALUE(YEAR(Table2[[#This Row],[Date]])&amp;TEXT(MONTH(Table2[[#This Row],[Date]]),"00"))</f>
        <v>202211</v>
      </c>
      <c r="B8193" s="6">
        <v>44883</v>
      </c>
      <c r="C8193" t="s">
        <v>2265</v>
      </c>
      <c r="D8193" t="s">
        <v>3307</v>
      </c>
      <c r="E8193">
        <f t="shared" si="56"/>
        <v>300</v>
      </c>
      <c r="F8193" s="2" t="str">
        <f>IF(Table2[[#This Row],[Manual Cat Value]]="",VLOOKUP(Table2[[#This Row],[Description]],'Actuals Lookup'!D:F,3,0),Table2[[#This Row],[Manual Cat Value]])</f>
        <v>Delete</v>
      </c>
      <c r="G8193" t="e">
        <f>VLOOKUP(D8193,Lookup!G:H,2,0)</f>
        <v>#N/A</v>
      </c>
      <c r="H8193" s="8" t="s">
        <v>9</v>
      </c>
      <c r="I8193" s="8"/>
      <c r="J8193">
        <v>300</v>
      </c>
      <c r="M8193" t="s">
        <v>2513</v>
      </c>
      <c r="O8193" t="str">
        <f>LEFT(Table2[[#This Row],[Description]],75)</f>
        <v>Withdrawal at ATM #000000359799 455 POND PROMENADE CHANHASSEN MN</v>
      </c>
    </row>
    <row r="8194" spans="1:15" ht="30" hidden="1">
      <c r="A8194" s="25">
        <f>VALUE(YEAR(Table2[[#This Row],[Date]])&amp;TEXT(MONTH(Table2[[#This Row],[Date]]),"00"))</f>
        <v>202211</v>
      </c>
      <c r="B8194" s="6">
        <v>44884</v>
      </c>
      <c r="C8194" t="s">
        <v>2447</v>
      </c>
      <c r="D8194" s="7" t="s">
        <v>3308</v>
      </c>
      <c r="E8194">
        <f t="shared" si="56"/>
        <v>11.8</v>
      </c>
      <c r="F8194" s="2" t="str">
        <f>IF(Table2[[#This Row],[Manual Cat Value]]="",VLOOKUP(Table2[[#This Row],[Description]],'Actuals Lookup'!D:F,3,0),Table2[[#This Row],[Manual Cat Value]])</f>
        <v>Exp - Amazon</v>
      </c>
      <c r="G8194" t="e">
        <f>VLOOKUP(D8194,Lookup!G:H,2,0)</f>
        <v>#N/A</v>
      </c>
      <c r="H8194" s="8" t="s">
        <v>37</v>
      </c>
      <c r="I8194" s="8"/>
      <c r="J8194">
        <v>11.8</v>
      </c>
      <c r="M8194" t="s">
        <v>2513</v>
      </c>
      <c r="O8194" t="str">
        <f>LEFT(Table2[[#This Row],[Description]],75)</f>
        <v>AMZN MKTP US*HI28K1K90 AMZN.COM/BILLWA
58EEP5EMIXR</v>
      </c>
    </row>
    <row r="8195" spans="1:15" hidden="1">
      <c r="A8195" s="25">
        <f>VALUE(YEAR(Table2[[#This Row],[Date]])&amp;TEXT(MONTH(Table2[[#This Row],[Date]]),"00"))</f>
        <v>202211</v>
      </c>
      <c r="B8195" s="6">
        <v>44885</v>
      </c>
      <c r="C8195" t="s">
        <v>2262</v>
      </c>
      <c r="D8195" t="s">
        <v>3309</v>
      </c>
      <c r="E8195">
        <f t="shared" si="56"/>
        <v>577.20000000000005</v>
      </c>
      <c r="F8195" s="2" t="str">
        <f>IF(Table2[[#This Row],[Manual Cat Value]]="",VLOOKUP(Table2[[#This Row],[Description]],'Actuals Lookup'!D:F,3,0),Table2[[#This Row],[Manual Cat Value]])</f>
        <v>Delete</v>
      </c>
      <c r="G8195" t="e">
        <f>VLOOKUP(D8195,Lookup!G:H,2,0)</f>
        <v>#N/A</v>
      </c>
      <c r="H8195" s="8" t="s">
        <v>9</v>
      </c>
      <c r="I8195" s="8"/>
      <c r="J8195">
        <v>577.20000000000005</v>
      </c>
      <c r="M8195" t="s">
        <v>2513</v>
      </c>
      <c r="O8195" t="str">
        <f>LEFT(Table2[[#This Row],[Description]],75)</f>
        <v>DELTA AIR 0062349191324DELTA.COM CA REF #2471705NKTD89P26Y</v>
      </c>
    </row>
    <row r="8196" spans="1:15" hidden="1">
      <c r="A8196" s="25">
        <f>VALUE(YEAR(Table2[[#This Row],[Date]])&amp;TEXT(MONTH(Table2[[#This Row],[Date]]),"00"))</f>
        <v>202211</v>
      </c>
      <c r="B8196" s="6">
        <v>44885</v>
      </c>
      <c r="C8196" t="s">
        <v>2265</v>
      </c>
      <c r="D8196" t="s">
        <v>3310</v>
      </c>
      <c r="E8196">
        <f t="shared" si="56"/>
        <v>-92.41</v>
      </c>
      <c r="F8196" s="2" t="str">
        <f>IF(Table2[[#This Row],[Manual Cat Value]]="",VLOOKUP(Table2[[#This Row],[Description]],'Actuals Lookup'!D:F,3,0),Table2[[#This Row],[Manual Cat Value]])</f>
        <v>Exp - Shopping</v>
      </c>
      <c r="G8196" t="e">
        <f>VLOOKUP(D8196,Lookup!G:H,2,0)</f>
        <v>#N/A</v>
      </c>
      <c r="H8196" s="8" t="s">
        <v>36</v>
      </c>
      <c r="I8196" s="8"/>
      <c r="J8196">
        <v>92.41</v>
      </c>
      <c r="M8196" t="s">
        <v>2621</v>
      </c>
      <c r="O8196" t="str">
        <f>LEFT(Table2[[#This Row],[Description]],75)</f>
        <v>Deposit ACH eBay TYPE: PAYOUT ID: 426XXXXXXX CO: eBay Entry Class Code: CCD</v>
      </c>
    </row>
    <row r="8197" spans="1:15" hidden="1">
      <c r="A8197" s="25">
        <f>VALUE(YEAR(Table2[[#This Row],[Date]])&amp;TEXT(MONTH(Table2[[#This Row],[Date]]),"00"))</f>
        <v>202211</v>
      </c>
      <c r="B8197" s="6">
        <v>44885</v>
      </c>
      <c r="C8197" t="s">
        <v>2262</v>
      </c>
      <c r="D8197" t="s">
        <v>3311</v>
      </c>
      <c r="E8197">
        <f t="shared" si="56"/>
        <v>86.84</v>
      </c>
      <c r="F8197" s="2" t="str">
        <f>IF(Table2[[#This Row],[Manual Cat Value]]="",VLOOKUP(Table2[[#This Row],[Description]],'Actuals Lookup'!D:F,3,0),Table2[[#This Row],[Manual Cat Value]])</f>
        <v>Exp - Groceries</v>
      </c>
      <c r="G8197" t="e">
        <f>VLOOKUP(D8197,Lookup!G:H,2,0)</f>
        <v>#N/A</v>
      </c>
      <c r="H8197" s="8" t="s">
        <v>27</v>
      </c>
      <c r="I8197" s="8"/>
      <c r="J8197">
        <v>86.84</v>
      </c>
      <c r="M8197" t="s">
        <v>2513</v>
      </c>
      <c r="O8197" t="str">
        <f>LEFT(Table2[[#This Row],[Description]],75)</f>
        <v>KOWALSKI'S EXCELSIO EAGAN MN REF #2442733NKLM8PBDJR</v>
      </c>
    </row>
    <row r="8198" spans="1:15" hidden="1">
      <c r="A8198" s="25">
        <f>VALUE(YEAR(Table2[[#This Row],[Date]])&amp;TEXT(MONTH(Table2[[#This Row],[Date]]),"00"))</f>
        <v>202211</v>
      </c>
      <c r="B8198" s="6">
        <v>44885</v>
      </c>
      <c r="C8198" t="s">
        <v>2262</v>
      </c>
      <c r="D8198" t="s">
        <v>3312</v>
      </c>
      <c r="E8198">
        <f t="shared" si="56"/>
        <v>49.19</v>
      </c>
      <c r="F8198" s="2" t="str">
        <f>IF(Table2[[#This Row],[Manual Cat Value]]="",VLOOKUP(Table2[[#This Row],[Description]],'Actuals Lookup'!D:F,3,0),Table2[[#This Row],[Manual Cat Value]])</f>
        <v>Exp - Transportation</v>
      </c>
      <c r="G8198" t="e">
        <f>VLOOKUP(D8198,Lookup!G:H,2,0)</f>
        <v>#N/A</v>
      </c>
      <c r="H8198" s="8" t="s">
        <v>22</v>
      </c>
      <c r="I8198" s="8"/>
      <c r="J8198">
        <v>49.19</v>
      </c>
      <c r="M8198" t="s">
        <v>2513</v>
      </c>
      <c r="O8198" t="str">
        <f>LEFT(Table2[[#This Row],[Description]],75)</f>
        <v>LYFT RIDE THU 2PM 855-865-9553 CA REF #2449215NJMN9T7V6W</v>
      </c>
    </row>
    <row r="8199" spans="1:15" hidden="1">
      <c r="A8199" s="25">
        <f>VALUE(YEAR(Table2[[#This Row],[Date]])&amp;TEXT(MONTH(Table2[[#This Row],[Date]]),"00"))</f>
        <v>202211</v>
      </c>
      <c r="B8199" s="6">
        <v>44885</v>
      </c>
      <c r="C8199" t="s">
        <v>2262</v>
      </c>
      <c r="D8199" t="s">
        <v>3313</v>
      </c>
      <c r="E8199">
        <f t="shared" si="56"/>
        <v>33.24</v>
      </c>
      <c r="F8199" s="2" t="str">
        <f>IF(Table2[[#This Row],[Manual Cat Value]]="",VLOOKUP(Table2[[#This Row],[Description]],'Actuals Lookup'!D:F,3,0),Table2[[#This Row],[Manual Cat Value]])</f>
        <v>Exp - Restaurants</v>
      </c>
      <c r="G8199" t="e">
        <f>VLOOKUP(D8199,Lookup!G:H,2,0)</f>
        <v>#N/A</v>
      </c>
      <c r="H8199" s="8" t="s">
        <v>25</v>
      </c>
      <c r="I8199" s="8"/>
      <c r="J8199">
        <v>33.24</v>
      </c>
      <c r="M8199" t="s">
        <v>2513</v>
      </c>
      <c r="O8199" t="str">
        <f>LEFT(Table2[[#This Row],[Description]],75)</f>
        <v>TST* Olives Fresh Excels 612-232-4677 MN REF #2469216NK2Y4D00JV</v>
      </c>
    </row>
    <row r="8200" spans="1:15" hidden="1">
      <c r="A8200" s="25">
        <f>VALUE(YEAR(Table2[[#This Row],[Date]])&amp;TEXT(MONTH(Table2[[#This Row],[Date]]),"00"))</f>
        <v>202211</v>
      </c>
      <c r="B8200" s="6">
        <v>44886</v>
      </c>
      <c r="C8200" t="s">
        <v>2262</v>
      </c>
      <c r="D8200" t="s">
        <v>3314</v>
      </c>
      <c r="E8200">
        <f t="shared" si="56"/>
        <v>18.829999999999998</v>
      </c>
      <c r="F8200" s="2" t="str">
        <f>IF(Table2[[#This Row],[Manual Cat Value]]="",VLOOKUP(Table2[[#This Row],[Description]],'Actuals Lookup'!D:F,3,0),Table2[[#This Row],[Manual Cat Value]])</f>
        <v>Exp - Target</v>
      </c>
      <c r="G8200" t="e">
        <f>VLOOKUP(D8200,Lookup!G:H,2,0)</f>
        <v>#N/A</v>
      </c>
      <c r="H8200" s="8" t="s">
        <v>30</v>
      </c>
      <c r="I8200" s="8"/>
      <c r="J8200">
        <v>18.829999999999998</v>
      </c>
      <c r="M8200" t="s">
        <v>2513</v>
      </c>
      <c r="O8200" t="str">
        <f>LEFT(Table2[[#This Row],[Description]],75)</f>
        <v>1TARGET CENTER MINNEAPOLIS MN REF #2494300NLW5W9GER3</v>
      </c>
    </row>
    <row r="8201" spans="1:15" hidden="1">
      <c r="A8201" s="25">
        <f>VALUE(YEAR(Table2[[#This Row],[Date]])&amp;TEXT(MONTH(Table2[[#This Row],[Date]]),"00"))</f>
        <v>202211</v>
      </c>
      <c r="B8201" s="6">
        <v>44886</v>
      </c>
      <c r="C8201" t="s">
        <v>2262</v>
      </c>
      <c r="D8201" t="s">
        <v>3315</v>
      </c>
      <c r="E8201">
        <f t="shared" si="56"/>
        <v>11</v>
      </c>
      <c r="F8201" s="2" t="str">
        <f>IF(Table2[[#This Row],[Manual Cat Value]]="",VLOOKUP(Table2[[#This Row],[Description]],'Actuals Lookup'!D:F,3,0),Table2[[#This Row],[Manual Cat Value]])</f>
        <v>Exp - House Maint</v>
      </c>
      <c r="G8201" t="e">
        <f>VLOOKUP(D8201,Lookup!G:H,2,0)</f>
        <v>#N/A</v>
      </c>
      <c r="H8201" s="8" t="s">
        <v>1</v>
      </c>
      <c r="I8201" s="8"/>
      <c r="J8201">
        <v>11</v>
      </c>
      <c r="M8201" t="s">
        <v>2513</v>
      </c>
      <c r="O8201" t="str">
        <f>LEFT(Table2[[#This Row],[Description]],75)</f>
        <v>BONFES PLUMBING HEATING A651-3326633 MN REF #2427539NLS66G0VL5</v>
      </c>
    </row>
    <row r="8202" spans="1:15" hidden="1">
      <c r="A8202" s="25">
        <f>VALUE(YEAR(Table2[[#This Row],[Date]])&amp;TEXT(MONTH(Table2[[#This Row],[Date]]),"00"))</f>
        <v>202211</v>
      </c>
      <c r="B8202" s="6">
        <v>44886</v>
      </c>
      <c r="C8202" t="s">
        <v>2262</v>
      </c>
      <c r="D8202" t="s">
        <v>3316</v>
      </c>
      <c r="E8202">
        <f t="shared" si="56"/>
        <v>10</v>
      </c>
      <c r="F8202" s="2" t="str">
        <f>IF(Table2[[#This Row],[Manual Cat Value]]="",VLOOKUP(Table2[[#This Row],[Description]],'Actuals Lookup'!D:F,3,0),Table2[[#This Row],[Manual Cat Value]])</f>
        <v>Exp - Entertainment</v>
      </c>
      <c r="G8202" t="e">
        <f>VLOOKUP(D8202,Lookup!G:H,2,0)</f>
        <v>#N/A</v>
      </c>
      <c r="H8202" s="8" t="s">
        <v>39</v>
      </c>
      <c r="I8202" s="8"/>
      <c r="J8202">
        <v>10</v>
      </c>
      <c r="M8202" t="s">
        <v>2513</v>
      </c>
      <c r="O8202" t="str">
        <f>LEFT(Table2[[#This Row],[Description]],75)</f>
        <v>COUNTRY CLUB LANES EXCELSIOR MN REF #2413829NL60T2JMV2</v>
      </c>
    </row>
    <row r="8203" spans="1:15" hidden="1">
      <c r="A8203" s="25">
        <f>VALUE(YEAR(Table2[[#This Row],[Date]])&amp;TEXT(MONTH(Table2[[#This Row],[Date]]),"00"))</f>
        <v>202211</v>
      </c>
      <c r="B8203" s="6">
        <v>44886</v>
      </c>
      <c r="C8203" t="s">
        <v>2447</v>
      </c>
      <c r="D8203" t="s">
        <v>3317</v>
      </c>
      <c r="E8203">
        <f t="shared" si="56"/>
        <v>38.56</v>
      </c>
      <c r="F8203" s="2" t="str">
        <f>IF(Table2[[#This Row],[Manual Cat Value]]="",VLOOKUP(Table2[[#This Row],[Description]],'Actuals Lookup'!D:F,3,0),Table2[[#This Row],[Manual Cat Value]])</f>
        <v>Exp - Transportation</v>
      </c>
      <c r="G8203" t="e">
        <f>VLOOKUP(D8203,Lookup!G:H,2,0)</f>
        <v>#N/A</v>
      </c>
      <c r="H8203" s="8" t="s">
        <v>22</v>
      </c>
      <c r="I8203" s="8"/>
      <c r="J8203">
        <v>38.56</v>
      </c>
      <c r="M8203" t="s">
        <v>2513</v>
      </c>
      <c r="O8203" t="str">
        <f>LEFT(Table2[[#This Row],[Description]],75)</f>
        <v>MISTER CAR WASH #606 - ST LOUIS PARKMN</v>
      </c>
    </row>
    <row r="8204" spans="1:15" hidden="1">
      <c r="A8204" s="25">
        <f>VALUE(YEAR(Table2[[#This Row],[Date]])&amp;TEXT(MONTH(Table2[[#This Row],[Date]]),"00"))</f>
        <v>202211</v>
      </c>
      <c r="B8204" s="6">
        <v>44886</v>
      </c>
      <c r="C8204" t="s">
        <v>2262</v>
      </c>
      <c r="D8204" t="s">
        <v>3318</v>
      </c>
      <c r="E8204">
        <f t="shared" si="56"/>
        <v>16.73</v>
      </c>
      <c r="F8204" s="2" t="str">
        <f>IF(Table2[[#This Row],[Manual Cat Value]]="",VLOOKUP(Table2[[#This Row],[Description]],'Actuals Lookup'!D:F,3,0),Table2[[#This Row],[Manual Cat Value]])</f>
        <v>Exp - Utilities</v>
      </c>
      <c r="G8204" t="e">
        <f>VLOOKUP(D8204,Lookup!G:H,2,0)</f>
        <v>#N/A</v>
      </c>
      <c r="H8204" s="8" t="s">
        <v>6</v>
      </c>
      <c r="I8204" s="8"/>
      <c r="J8204">
        <v>16.73</v>
      </c>
      <c r="M8204" t="s">
        <v>2513</v>
      </c>
      <c r="O8204" t="str">
        <f>LEFT(Table2[[#This Row],[Description]],75)</f>
        <v>NETFLIX.COM NETFLIX.COM CA REF #2469216NL2Z3DXQB9</v>
      </c>
    </row>
    <row r="8205" spans="1:15" hidden="1">
      <c r="A8205" s="25">
        <f>VALUE(YEAR(Table2[[#This Row],[Date]])&amp;TEXT(MONTH(Table2[[#This Row],[Date]]),"00"))</f>
        <v>202211</v>
      </c>
      <c r="B8205" s="6">
        <v>44886</v>
      </c>
      <c r="C8205" t="s">
        <v>2262</v>
      </c>
      <c r="D8205" t="s">
        <v>3319</v>
      </c>
      <c r="E8205">
        <f t="shared" si="56"/>
        <v>102.63</v>
      </c>
      <c r="F8205" s="2" t="str">
        <f>IF(Table2[[#This Row],[Manual Cat Value]]="",VLOOKUP(Table2[[#This Row],[Description]],'Actuals Lookup'!D:F,3,0),Table2[[#This Row],[Manual Cat Value]])</f>
        <v>Exp - Transportation</v>
      </c>
      <c r="G8205" t="e">
        <f>VLOOKUP(D8205,Lookup!G:H,2,0)</f>
        <v>#N/A</v>
      </c>
      <c r="H8205" s="8" t="s">
        <v>22</v>
      </c>
      <c r="I8205" s="8"/>
      <c r="J8205">
        <v>102.63</v>
      </c>
      <c r="M8205" t="s">
        <v>2513</v>
      </c>
      <c r="O8205" t="str">
        <f>LEFT(Table2[[#This Row],[Description]],75)</f>
        <v>SPEEDWAY 04095 CHASKA MN REF #2413746NM0186SK0J</v>
      </c>
    </row>
    <row r="8206" spans="1:15" ht="30" hidden="1">
      <c r="A8206" s="25">
        <f>VALUE(YEAR(Table2[[#This Row],[Date]])&amp;TEXT(MONTH(Table2[[#This Row],[Date]]),"00"))</f>
        <v>202211</v>
      </c>
      <c r="B8206" s="6">
        <v>44886</v>
      </c>
      <c r="C8206" t="s">
        <v>2447</v>
      </c>
      <c r="D8206" s="7" t="s">
        <v>3320</v>
      </c>
      <c r="E8206">
        <f t="shared" si="56"/>
        <v>43.18</v>
      </c>
      <c r="F8206" s="2" t="str">
        <f>IF(Table2[[#This Row],[Manual Cat Value]]="",VLOOKUP(Table2[[#This Row],[Description]],'Actuals Lookup'!D:F,3,0),Table2[[#This Row],[Manual Cat Value]])</f>
        <v>Exp - Restaurants</v>
      </c>
      <c r="G8206" t="e">
        <f>VLOOKUP(D8206,Lookup!G:H,2,0)</f>
        <v>#N/A</v>
      </c>
      <c r="H8206" s="8" t="s">
        <v>25</v>
      </c>
      <c r="I8206" s="8"/>
      <c r="J8206">
        <v>43.18</v>
      </c>
      <c r="M8206" t="s">
        <v>2513</v>
      </c>
      <c r="O8206" t="str">
        <f>LEFT(Table2[[#This Row],[Description]],75)</f>
        <v>TST* PUB 819 HOPKINS MN
00003508009419325091AA</v>
      </c>
    </row>
    <row r="8207" spans="1:15" hidden="1">
      <c r="A8207" s="25">
        <f>VALUE(YEAR(Table2[[#This Row],[Date]])&amp;TEXT(MONTH(Table2[[#This Row],[Date]]),"00"))</f>
        <v>202211</v>
      </c>
      <c r="B8207" s="6">
        <v>44886</v>
      </c>
      <c r="C8207" t="s">
        <v>2262</v>
      </c>
      <c r="D8207" t="s">
        <v>3321</v>
      </c>
      <c r="E8207">
        <f t="shared" si="56"/>
        <v>102.96</v>
      </c>
      <c r="F8207" s="2" t="str">
        <f>IF(Table2[[#This Row],[Manual Cat Value]]="",VLOOKUP(Table2[[#This Row],[Description]],'Actuals Lookup'!D:F,3,0),Table2[[#This Row],[Manual Cat Value]])</f>
        <v>Exp - Restaurants</v>
      </c>
      <c r="G8207" t="e">
        <f>VLOOKUP(D8207,Lookup!G:H,2,0)</f>
        <v>#N/A</v>
      </c>
      <c r="H8207" s="8" t="s">
        <v>25</v>
      </c>
      <c r="I8207" s="8"/>
      <c r="J8207">
        <v>102.96</v>
      </c>
      <c r="M8207" t="s">
        <v>2513</v>
      </c>
      <c r="O8207" t="str">
        <f>LEFT(Table2[[#This Row],[Description]],75)</f>
        <v>TST* Red Rabbit - MinneapMinneapolis MN REF #2469216NL2Z1RJ9FG</v>
      </c>
    </row>
    <row r="8208" spans="1:15" hidden="1">
      <c r="A8208" s="25">
        <f>VALUE(YEAR(Table2[[#This Row],[Date]])&amp;TEXT(MONTH(Table2[[#This Row],[Date]]),"00"))</f>
        <v>202211</v>
      </c>
      <c r="B8208" s="6">
        <v>44886</v>
      </c>
      <c r="C8208" t="s">
        <v>2265</v>
      </c>
      <c r="D8208" t="s">
        <v>3322</v>
      </c>
      <c r="E8208">
        <f t="shared" si="56"/>
        <v>59.07</v>
      </c>
      <c r="F8208" s="2" t="str">
        <f>IF(Table2[[#This Row],[Manual Cat Value]]="",VLOOKUP(Table2[[#This Row],[Description]],'Actuals Lookup'!D:F,3,0),Table2[[#This Row],[Manual Cat Value]])</f>
        <v>Exp - Utilities</v>
      </c>
      <c r="G8208" t="e">
        <f>VLOOKUP(D8208,Lookup!G:H,2,0)</f>
        <v>#N/A</v>
      </c>
      <c r="H8208" s="8" t="s">
        <v>6</v>
      </c>
      <c r="I8208" s="8"/>
      <c r="J8208">
        <v>59.07</v>
      </c>
      <c r="M8208" t="s">
        <v>2513</v>
      </c>
      <c r="O8208" t="str">
        <f>LEFT(Table2[[#This Row],[Description]],75)</f>
        <v xml:space="preserve">Withdrawal ACH CITY OF CHANHASS TYPE: UTIL BILL ID: 1410885331 CO: CITY OF </v>
      </c>
    </row>
    <row r="8209" spans="1:15" hidden="1">
      <c r="A8209" s="25">
        <f>VALUE(YEAR(Table2[[#This Row],[Date]])&amp;TEXT(MONTH(Table2[[#This Row],[Date]]),"00"))</f>
        <v>202211</v>
      </c>
      <c r="B8209" s="6">
        <v>44887</v>
      </c>
      <c r="C8209" t="s">
        <v>2262</v>
      </c>
      <c r="D8209" t="s">
        <v>3323</v>
      </c>
      <c r="E8209">
        <f t="shared" si="56"/>
        <v>-20.9</v>
      </c>
      <c r="F8209" s="2" t="str">
        <f>IF(Table2[[#This Row],[Manual Cat Value]]="",VLOOKUP(Table2[[#This Row],[Description]],'Actuals Lookup'!D:F,3,0),Table2[[#This Row],[Manual Cat Value]])</f>
        <v>Exp - Amazon</v>
      </c>
      <c r="G8209" t="e">
        <f>VLOOKUP(D8209,Lookup!G:H,2,0)</f>
        <v>#N/A</v>
      </c>
      <c r="H8209" s="8" t="s">
        <v>37</v>
      </c>
      <c r="I8209" s="8"/>
      <c r="J8209">
        <v>20.9</v>
      </c>
      <c r="M8209" t="s">
        <v>2621</v>
      </c>
      <c r="O8209" t="str">
        <f>LEFT(Table2[[#This Row],[Description]],75)</f>
        <v>AMAZON.COM AMZN.COM/BILL AMZN.COM/BILLWA REF #7443106NM2D9SQVH8</v>
      </c>
    </row>
    <row r="8210" spans="1:15" ht="30" hidden="1">
      <c r="A8210" s="25">
        <f>VALUE(YEAR(Table2[[#This Row],[Date]])&amp;TEXT(MONTH(Table2[[#This Row],[Date]]),"00"))</f>
        <v>202211</v>
      </c>
      <c r="B8210" s="6">
        <v>44887</v>
      </c>
      <c r="C8210" t="s">
        <v>2447</v>
      </c>
      <c r="D8210" s="7" t="s">
        <v>3324</v>
      </c>
      <c r="E8210">
        <f t="shared" si="56"/>
        <v>57.88</v>
      </c>
      <c r="F8210" s="2" t="str">
        <f>IF(Table2[[#This Row],[Manual Cat Value]]="",VLOOKUP(Table2[[#This Row],[Description]],'Actuals Lookup'!D:F,3,0),Table2[[#This Row],[Manual Cat Value]])</f>
        <v>Exp - Amazon</v>
      </c>
      <c r="G8210" t="e">
        <f>VLOOKUP(D8210,Lookup!G:H,2,0)</f>
        <v>#N/A</v>
      </c>
      <c r="H8210" s="8" t="s">
        <v>37</v>
      </c>
      <c r="I8210" s="8"/>
      <c r="J8210">
        <v>57.88</v>
      </c>
      <c r="M8210" t="s">
        <v>2513</v>
      </c>
      <c r="O8210" t="str">
        <f>LEFT(Table2[[#This Row],[Description]],75)</f>
        <v>AMZN MKTP US*HW2656331 AMZN.COM/BILLWA
E1QFNSTXDOJ</v>
      </c>
    </row>
    <row r="8211" spans="1:15" ht="30" hidden="1">
      <c r="A8211" s="25">
        <f>VALUE(YEAR(Table2[[#This Row],[Date]])&amp;TEXT(MONTH(Table2[[#This Row],[Date]]),"00"))</f>
        <v>202211</v>
      </c>
      <c r="B8211" s="6">
        <v>44887</v>
      </c>
      <c r="C8211" t="s">
        <v>2447</v>
      </c>
      <c r="D8211" s="7" t="s">
        <v>3325</v>
      </c>
      <c r="E8211">
        <f t="shared" si="56"/>
        <v>20.98</v>
      </c>
      <c r="F8211" s="2" t="str">
        <f>IF(Table2[[#This Row],[Manual Cat Value]]="",VLOOKUP(Table2[[#This Row],[Description]],'Actuals Lookup'!D:F,3,0),Table2[[#This Row],[Manual Cat Value]])</f>
        <v>Exp - Amazon</v>
      </c>
      <c r="G8211" t="e">
        <f>VLOOKUP(D8211,Lookup!G:H,2,0)</f>
        <v>#N/A</v>
      </c>
      <c r="H8211" s="8" t="s">
        <v>37</v>
      </c>
      <c r="I8211" s="8"/>
      <c r="J8211">
        <v>20.98</v>
      </c>
      <c r="M8211" t="s">
        <v>2513</v>
      </c>
      <c r="O8211" t="str">
        <f>LEFT(Table2[[#This Row],[Description]],75)</f>
        <v>AMZN MKTP US*HW9HO4O61 AMZN.COM/BILLWA
6P2YJNWE12A</v>
      </c>
    </row>
    <row r="8212" spans="1:15" hidden="1">
      <c r="A8212" s="25">
        <f>VALUE(YEAR(Table2[[#This Row],[Date]])&amp;TEXT(MONTH(Table2[[#This Row],[Date]]),"00"))</f>
        <v>202211</v>
      </c>
      <c r="B8212" s="6">
        <v>44887</v>
      </c>
      <c r="C8212" t="s">
        <v>2262</v>
      </c>
      <c r="D8212" t="s">
        <v>3326</v>
      </c>
      <c r="E8212">
        <f t="shared" si="56"/>
        <v>157.4</v>
      </c>
      <c r="F8212" s="2" t="str">
        <f>IF(Table2[[#This Row],[Manual Cat Value]]="",VLOOKUP(Table2[[#This Row],[Description]],'Actuals Lookup'!D:F,3,0),Table2[[#This Row],[Manual Cat Value]])</f>
        <v>Exp - Groceries</v>
      </c>
      <c r="G8212" t="e">
        <f>VLOOKUP(D8212,Lookup!G:H,2,0)</f>
        <v>#N/A</v>
      </c>
      <c r="H8212" s="8" t="s">
        <v>27</v>
      </c>
      <c r="I8212" s="8"/>
      <c r="J8212">
        <v>157.4</v>
      </c>
      <c r="M8212" t="s">
        <v>2513</v>
      </c>
      <c r="O8212" t="str">
        <f>LEFT(Table2[[#This Row],[Description]],75)</f>
        <v>AVO*ADVOCARE INTL 800-542-4800 TX REF #2469216NM2ZNAX05M</v>
      </c>
    </row>
    <row r="8213" spans="1:15" hidden="1">
      <c r="A8213" s="25">
        <f>VALUE(YEAR(Table2[[#This Row],[Date]])&amp;TEXT(MONTH(Table2[[#This Row],[Date]]),"00"))</f>
        <v>202211</v>
      </c>
      <c r="B8213" s="6">
        <v>44887</v>
      </c>
      <c r="C8213" t="s">
        <v>2262</v>
      </c>
      <c r="D8213" t="s">
        <v>3327</v>
      </c>
      <c r="E8213">
        <f t="shared" si="56"/>
        <v>14</v>
      </c>
      <c r="F8213" s="2" t="str">
        <f>IF(Table2[[#This Row],[Manual Cat Value]]="",VLOOKUP(Table2[[#This Row],[Description]],'Actuals Lookup'!D:F,3,0),Table2[[#This Row],[Manual Cat Value]])</f>
        <v>Exp - Transportation</v>
      </c>
      <c r="G8213" t="e">
        <f>VLOOKUP(D8213,Lookup!G:H,2,0)</f>
        <v>#N/A</v>
      </c>
      <c r="H8213" s="8" t="s">
        <v>22</v>
      </c>
      <c r="I8213" s="8"/>
      <c r="J8213">
        <v>14</v>
      </c>
      <c r="M8213" t="s">
        <v>2513</v>
      </c>
      <c r="O8213" t="str">
        <f>LEFT(Table2[[#This Row],[Description]],75)</f>
        <v>B RAMP 8066 MINNEAPOLIS MN REF #2478930NM1W88WYDS</v>
      </c>
    </row>
    <row r="8214" spans="1:15" hidden="1">
      <c r="A8214" s="25">
        <f>VALUE(YEAR(Table2[[#This Row],[Date]])&amp;TEXT(MONTH(Table2[[#This Row],[Date]]),"00"))</f>
        <v>202211</v>
      </c>
      <c r="B8214" s="6">
        <v>44887</v>
      </c>
      <c r="C8214" t="s">
        <v>2447</v>
      </c>
      <c r="D8214" t="s">
        <v>810</v>
      </c>
      <c r="E8214">
        <f t="shared" si="56"/>
        <v>82</v>
      </c>
      <c r="F8214" s="2" t="e">
        <f>IF(Table2[[#This Row],[Manual Cat Value]]="",VLOOKUP(Table2[[#This Row],[Description]],'Actuals Lookup'!D:F,3,0),Table2[[#This Row],[Manual Cat Value]])</f>
        <v>#N/A</v>
      </c>
      <c r="G8214" t="str">
        <f>VLOOKUP(D8214,Lookup!G:H,2,0)</f>
        <v>Shopping</v>
      </c>
      <c r="I8214" s="8"/>
      <c r="J8214">
        <v>82</v>
      </c>
      <c r="M8214" t="s">
        <v>2513</v>
      </c>
      <c r="O8214" t="str">
        <f>LEFT(Table2[[#This Row],[Description]],75)</f>
        <v>ELITE NAILS LLC CHANHASSEN MN</v>
      </c>
    </row>
    <row r="8215" spans="1:15" hidden="1">
      <c r="A8215" s="25">
        <f>VALUE(YEAR(Table2[[#This Row],[Date]])&amp;TEXT(MONTH(Table2[[#This Row],[Date]]),"00"))</f>
        <v>202211</v>
      </c>
      <c r="B8215" s="6">
        <v>44887</v>
      </c>
      <c r="C8215" t="s">
        <v>2262</v>
      </c>
      <c r="D8215" t="s">
        <v>3328</v>
      </c>
      <c r="E8215">
        <f t="shared" si="56"/>
        <v>96.81</v>
      </c>
      <c r="F8215" s="2" t="str">
        <f>IF(Table2[[#This Row],[Manual Cat Value]]="",VLOOKUP(Table2[[#This Row],[Description]],'Actuals Lookup'!D:F,3,0),Table2[[#This Row],[Manual Cat Value]])</f>
        <v>Exp - Shopping</v>
      </c>
      <c r="G8215" t="e">
        <f>VLOOKUP(D8215,Lookup!G:H,2,0)</f>
        <v>#N/A</v>
      </c>
      <c r="H8215" s="8" t="s">
        <v>36</v>
      </c>
      <c r="I8215" s="8"/>
      <c r="J8215">
        <v>96.81</v>
      </c>
      <c r="M8215" t="s">
        <v>2513</v>
      </c>
      <c r="O8215" t="str">
        <f>LEFT(Table2[[#This Row],[Description]],75)</f>
        <v>PRIMP EXCELSIOR EXCELSIOR MN REF #2449398NNBLT5WKSR</v>
      </c>
    </row>
    <row r="8216" spans="1:15" hidden="1">
      <c r="A8216" s="25">
        <f>VALUE(YEAR(Table2[[#This Row],[Date]])&amp;TEXT(MONTH(Table2[[#This Row],[Date]]),"00"))</f>
        <v>202211</v>
      </c>
      <c r="B8216" s="6">
        <v>44887</v>
      </c>
      <c r="C8216" t="s">
        <v>2262</v>
      </c>
      <c r="D8216" t="s">
        <v>3329</v>
      </c>
      <c r="E8216">
        <f t="shared" si="56"/>
        <v>55.41</v>
      </c>
      <c r="F8216" s="2" t="str">
        <f>IF(Table2[[#This Row],[Manual Cat Value]]="",VLOOKUP(Table2[[#This Row],[Description]],'Actuals Lookup'!D:F,3,0),Table2[[#This Row],[Manual Cat Value]])</f>
        <v>Exp - House Maint</v>
      </c>
      <c r="G8216" t="e">
        <f>VLOOKUP(D8216,Lookup!G:H,2,0)</f>
        <v>#N/A</v>
      </c>
      <c r="H8216" s="8" t="s">
        <v>1</v>
      </c>
      <c r="I8216" s="8"/>
      <c r="J8216">
        <v>55.41</v>
      </c>
      <c r="M8216" t="s">
        <v>2513</v>
      </c>
      <c r="O8216" t="str">
        <f>LEFT(Table2[[#This Row],[Description]],75)</f>
        <v>THE HOME DEPOT #2825 CHASKA MN REF #2494301NM09FT2JMB</v>
      </c>
    </row>
    <row r="8217" spans="1:15" hidden="1">
      <c r="A8217" s="25">
        <f>VALUE(YEAR(Table2[[#This Row],[Date]])&amp;TEXT(MONTH(Table2[[#This Row],[Date]]),"00"))</f>
        <v>202211</v>
      </c>
      <c r="B8217" s="6">
        <v>44888</v>
      </c>
      <c r="C8217" t="s">
        <v>2262</v>
      </c>
      <c r="D8217" t="s">
        <v>3330</v>
      </c>
      <c r="E8217">
        <f t="shared" si="56"/>
        <v>45.96</v>
      </c>
      <c r="F8217" s="2" t="str">
        <f>IF(Table2[[#This Row],[Manual Cat Value]]="",VLOOKUP(Table2[[#This Row],[Description]],'Actuals Lookup'!D:F,3,0),Table2[[#This Row],[Manual Cat Value]])</f>
        <v>Exp - Amazon</v>
      </c>
      <c r="G8217" t="e">
        <f>VLOOKUP(D8217,Lookup!G:H,2,0)</f>
        <v>#N/A</v>
      </c>
      <c r="H8217" s="8" t="s">
        <v>37</v>
      </c>
      <c r="I8217" s="8"/>
      <c r="J8217">
        <v>45.96</v>
      </c>
      <c r="M8217" t="s">
        <v>2513</v>
      </c>
      <c r="O8217" t="str">
        <f>LEFT(Table2[[#This Row],[Description]],75)</f>
        <v>AMZN Mktp US*HW6R211O0 Amzn.com/billWA REF #2469216NN30X2XBZG</v>
      </c>
    </row>
    <row r="8218" spans="1:15" hidden="1">
      <c r="A8218" s="25">
        <f>VALUE(YEAR(Table2[[#This Row],[Date]])&amp;TEXT(MONTH(Table2[[#This Row],[Date]]),"00"))</f>
        <v>202211</v>
      </c>
      <c r="B8218" s="6">
        <v>44888</v>
      </c>
      <c r="C8218" t="s">
        <v>2262</v>
      </c>
      <c r="D8218" t="s">
        <v>3331</v>
      </c>
      <c r="E8218">
        <f t="shared" si="56"/>
        <v>95</v>
      </c>
      <c r="F8218" s="2" t="str">
        <f>IF(Table2[[#This Row],[Manual Cat Value]]="",VLOOKUP(Table2[[#This Row],[Description]],'Actuals Lookup'!D:F,3,0),Table2[[#This Row],[Manual Cat Value]])</f>
        <v>Exp - Day Care</v>
      </c>
      <c r="G8218" t="e">
        <f>VLOOKUP(D8218,Lookup!G:H,2,0)</f>
        <v>#N/A</v>
      </c>
      <c r="H8218" s="8" t="s">
        <v>19</v>
      </c>
      <c r="I8218" s="8"/>
      <c r="J8218">
        <v>95</v>
      </c>
      <c r="M8218" t="s">
        <v>2513</v>
      </c>
      <c r="O8218" t="str">
        <f>LEFT(Table2[[#This Row],[Description]],75)</f>
        <v>BCS*MINNETONKA COMMUNITY 952-401-6800 MN REF #2413746NP01KZHP18</v>
      </c>
    </row>
    <row r="8219" spans="1:15" hidden="1">
      <c r="A8219" s="25">
        <f>VALUE(YEAR(Table2[[#This Row],[Date]])&amp;TEXT(MONTH(Table2[[#This Row],[Date]]),"00"))</f>
        <v>202211</v>
      </c>
      <c r="B8219" s="6">
        <v>44888</v>
      </c>
      <c r="C8219" t="s">
        <v>2262</v>
      </c>
      <c r="D8219" t="s">
        <v>3332</v>
      </c>
      <c r="E8219">
        <f t="shared" si="56"/>
        <v>537</v>
      </c>
      <c r="F8219" s="2" t="str">
        <f>IF(Table2[[#This Row],[Manual Cat Value]]="",VLOOKUP(Table2[[#This Row],[Description]],'Actuals Lookup'!D:F,3,0),Table2[[#This Row],[Manual Cat Value]])</f>
        <v>Exp - Day Care</v>
      </c>
      <c r="G8219" t="e">
        <f>VLOOKUP(D8219,Lookup!G:H,2,0)</f>
        <v>#N/A</v>
      </c>
      <c r="H8219" s="8" t="s">
        <v>19</v>
      </c>
      <c r="I8219" s="8"/>
      <c r="J8219">
        <v>537</v>
      </c>
      <c r="M8219" t="s">
        <v>2513</v>
      </c>
      <c r="O8219" t="str">
        <f>LEFT(Table2[[#This Row],[Description]],75)</f>
        <v>BCS*MINNETONKA COMMUNITY 952-401-6800 MN REF #2413746NP01KZHP3V</v>
      </c>
    </row>
    <row r="8220" spans="1:15" hidden="1">
      <c r="A8220" s="25">
        <f>VALUE(YEAR(Table2[[#This Row],[Date]])&amp;TEXT(MONTH(Table2[[#This Row],[Date]]),"00"))</f>
        <v>202211</v>
      </c>
      <c r="B8220" s="6">
        <v>44888</v>
      </c>
      <c r="C8220" t="s">
        <v>2262</v>
      </c>
      <c r="D8220" t="s">
        <v>3333</v>
      </c>
      <c r="E8220">
        <f t="shared" si="56"/>
        <v>419</v>
      </c>
      <c r="F8220" s="2" t="str">
        <f>IF(Table2[[#This Row],[Manual Cat Value]]="",VLOOKUP(Table2[[#This Row],[Description]],'Actuals Lookup'!D:F,3,0),Table2[[#This Row],[Manual Cat Value]])</f>
        <v>Exp - Day Care</v>
      </c>
      <c r="G8220" t="e">
        <f>VLOOKUP(D8220,Lookup!G:H,2,0)</f>
        <v>#N/A</v>
      </c>
      <c r="H8220" s="8" t="s">
        <v>19</v>
      </c>
      <c r="I8220" s="8"/>
      <c r="J8220">
        <v>419</v>
      </c>
      <c r="M8220" t="s">
        <v>2513</v>
      </c>
      <c r="O8220" t="str">
        <f>LEFT(Table2[[#This Row],[Description]],75)</f>
        <v>BCS*MINNETONKA COMMUNITY 952-401-6800 MN REF #2413746NP01KZHP97</v>
      </c>
    </row>
    <row r="8221" spans="1:15" hidden="1">
      <c r="A8221" s="25">
        <f>VALUE(YEAR(Table2[[#This Row],[Date]])&amp;TEXT(MONTH(Table2[[#This Row],[Date]]),"00"))</f>
        <v>202211</v>
      </c>
      <c r="B8221" s="6">
        <v>44888</v>
      </c>
      <c r="C8221" t="s">
        <v>2265</v>
      </c>
      <c r="D8221" t="s">
        <v>3334</v>
      </c>
      <c r="E8221">
        <f t="shared" si="56"/>
        <v>-45.1</v>
      </c>
      <c r="F8221" s="2" t="str">
        <f>IF(Table2[[#This Row],[Manual Cat Value]]="",VLOOKUP(Table2[[#This Row],[Description]],'Actuals Lookup'!D:F,3,0),Table2[[#This Row],[Manual Cat Value]])</f>
        <v>Exp - Shopping</v>
      </c>
      <c r="G8221" t="e">
        <f>VLOOKUP(D8221,Lookup!G:H,2,0)</f>
        <v>#N/A</v>
      </c>
      <c r="H8221" s="8" t="s">
        <v>36</v>
      </c>
      <c r="I8221" s="8"/>
      <c r="J8221">
        <v>45.1</v>
      </c>
      <c r="M8221" t="s">
        <v>2621</v>
      </c>
      <c r="O8221" t="str">
        <f>LEFT(Table2[[#This Row],[Description]],75)</f>
        <v>Deposit ACH PAYPAL TYPE: TRANSFER ID: PAYPALSD11 CO: PAYPAL Entry Class Cod</v>
      </c>
    </row>
    <row r="8222" spans="1:15" hidden="1">
      <c r="A8222" s="25">
        <f>VALUE(YEAR(Table2[[#This Row],[Date]])&amp;TEXT(MONTH(Table2[[#This Row],[Date]]),"00"))</f>
        <v>202211</v>
      </c>
      <c r="B8222" s="6">
        <v>44888</v>
      </c>
      <c r="C8222" t="s">
        <v>2300</v>
      </c>
      <c r="D8222" t="s">
        <v>3335</v>
      </c>
      <c r="E8222">
        <f t="shared" si="56"/>
        <v>-100</v>
      </c>
      <c r="F8222" s="2" t="str">
        <f>IF(Table2[[#This Row],[Manual Cat Value]]="",VLOOKUP(Table2[[#This Row],[Description]],'Actuals Lookup'!D:F,3,0),Table2[[#This Row],[Manual Cat Value]])</f>
        <v>Delete</v>
      </c>
      <c r="G8222" t="e">
        <f>VLOOKUP(D8222,Lookup!G:H,2,0)</f>
        <v>#N/A</v>
      </c>
      <c r="H8222" s="8" t="s">
        <v>9</v>
      </c>
      <c r="I8222" s="8"/>
      <c r="J8222">
        <v>100</v>
      </c>
      <c r="M8222" t="s">
        <v>2621</v>
      </c>
      <c r="O8222" t="str">
        <f>LEFT(Table2[[#This Row],[Description]],75)</f>
        <v>Deposit Home Banking Transfer From Share 70 REF # 1821628</v>
      </c>
    </row>
    <row r="8223" spans="1:15" hidden="1">
      <c r="A8223" s="25">
        <f>VALUE(YEAR(Table2[[#This Row],[Date]])&amp;TEXT(MONTH(Table2[[#This Row],[Date]]),"00"))</f>
        <v>202211</v>
      </c>
      <c r="B8223" s="6">
        <v>44888</v>
      </c>
      <c r="C8223" t="s">
        <v>2262</v>
      </c>
      <c r="D8223" t="s">
        <v>3336</v>
      </c>
      <c r="E8223">
        <f t="shared" si="56"/>
        <v>64.92</v>
      </c>
      <c r="F8223" s="2" t="str">
        <f>IF(Table2[[#This Row],[Manual Cat Value]]="",VLOOKUP(Table2[[#This Row],[Description]],'Actuals Lookup'!D:F,3,0),Table2[[#This Row],[Manual Cat Value]])</f>
        <v>Exp - Groceries</v>
      </c>
      <c r="G8223" t="e">
        <f>VLOOKUP(D8223,Lookup!G:H,2,0)</f>
        <v>#N/A</v>
      </c>
      <c r="H8223" s="8" t="s">
        <v>27</v>
      </c>
      <c r="I8223" s="8"/>
      <c r="J8223">
        <v>64.92</v>
      </c>
      <c r="M8223" t="s">
        <v>2513</v>
      </c>
      <c r="O8223" t="str">
        <f>LEFT(Table2[[#This Row],[Description]],75)</f>
        <v>KOWALSKI'S EXCELSIO EAGAN MN REF #2442733NNLM8KZFMK</v>
      </c>
    </row>
    <row r="8224" spans="1:15" hidden="1">
      <c r="A8224" s="25">
        <f>VALUE(YEAR(Table2[[#This Row],[Date]])&amp;TEXT(MONTH(Table2[[#This Row],[Date]]),"00"))</f>
        <v>202211</v>
      </c>
      <c r="B8224" s="6">
        <v>44888</v>
      </c>
      <c r="C8224" t="s">
        <v>2262</v>
      </c>
      <c r="D8224" t="s">
        <v>3337</v>
      </c>
      <c r="E8224">
        <f t="shared" si="56"/>
        <v>29</v>
      </c>
      <c r="F8224" s="2" t="str">
        <f>IF(Table2[[#This Row],[Manual Cat Value]]="",VLOOKUP(Table2[[#This Row],[Description]],'Actuals Lookup'!D:F,3,0),Table2[[#This Row],[Manual Cat Value]])</f>
        <v>Exp - Groceries</v>
      </c>
      <c r="G8224" t="e">
        <f>VLOOKUP(D8224,Lookup!G:H,2,0)</f>
        <v>#N/A</v>
      </c>
      <c r="H8224" s="8" t="s">
        <v>27</v>
      </c>
      <c r="I8224" s="8"/>
      <c r="J8224">
        <v>29</v>
      </c>
      <c r="M8224" t="s">
        <v>2513</v>
      </c>
      <c r="O8224" t="str">
        <f>LEFT(Table2[[#This Row],[Description]],75)</f>
        <v>LAKEWINDS - CHANHASSEN CHANHASSEN MN REF #2405523NPRBGNX0DK</v>
      </c>
    </row>
    <row r="8225" spans="1:15" hidden="1">
      <c r="A8225" s="25">
        <f>VALUE(YEAR(Table2[[#This Row],[Date]])&amp;TEXT(MONTH(Table2[[#This Row],[Date]]),"00"))</f>
        <v>202211</v>
      </c>
      <c r="B8225" s="6">
        <v>44888</v>
      </c>
      <c r="C8225" t="s">
        <v>2262</v>
      </c>
      <c r="D8225" t="s">
        <v>3338</v>
      </c>
      <c r="E8225">
        <f t="shared" si="56"/>
        <v>44.94</v>
      </c>
      <c r="F8225" s="2" t="str">
        <f>IF(Table2[[#This Row],[Manual Cat Value]]="",VLOOKUP(Table2[[#This Row],[Description]],'Actuals Lookup'!D:F,3,0),Table2[[#This Row],[Manual Cat Value]])</f>
        <v>Exp - Target</v>
      </c>
      <c r="G8225" t="e">
        <f>VLOOKUP(D8225,Lookup!G:H,2,0)</f>
        <v>#N/A</v>
      </c>
      <c r="H8225" s="8" t="s">
        <v>30</v>
      </c>
      <c r="I8225" s="8"/>
      <c r="J8225">
        <v>44.94</v>
      </c>
      <c r="M8225" t="s">
        <v>2513</v>
      </c>
      <c r="O8225" t="str">
        <f>LEFT(Table2[[#This Row],[Description]],75)</f>
        <v>TARGET 00008623 CHANHASSEN MN REF #2416407NN2LRFZQ1F</v>
      </c>
    </row>
    <row r="8226" spans="1:15" hidden="1">
      <c r="A8226" s="25">
        <f>VALUE(YEAR(Table2[[#This Row],[Date]])&amp;TEXT(MONTH(Table2[[#This Row],[Date]]),"00"))</f>
        <v>202211</v>
      </c>
      <c r="B8226" s="6">
        <v>44888</v>
      </c>
      <c r="C8226" t="s">
        <v>2262</v>
      </c>
      <c r="D8226" t="s">
        <v>3339</v>
      </c>
      <c r="E8226">
        <f t="shared" si="56"/>
        <v>45.62</v>
      </c>
      <c r="F8226" s="2" t="str">
        <f>IF(Table2[[#This Row],[Manual Cat Value]]="",VLOOKUP(Table2[[#This Row],[Description]],'Actuals Lookup'!D:F,3,0),Table2[[#This Row],[Manual Cat Value]])</f>
        <v>Exp - Shopping</v>
      </c>
      <c r="G8226" t="e">
        <f>VLOOKUP(D8226,Lookup!G:H,2,0)</f>
        <v>#N/A</v>
      </c>
      <c r="H8226" s="8" t="s">
        <v>36</v>
      </c>
      <c r="I8226" s="8"/>
      <c r="J8226">
        <v>45.62</v>
      </c>
      <c r="M8226" t="s">
        <v>2513</v>
      </c>
      <c r="O8226" t="str">
        <f>LEFT(Table2[[#This Row],[Description]],75)</f>
        <v>WALGREENS #9728 CHANHASSEN MN REF #2444500NP00ZMYEHG</v>
      </c>
    </row>
    <row r="8227" spans="1:15" hidden="1">
      <c r="A8227" s="25">
        <f>VALUE(YEAR(Table2[[#This Row],[Date]])&amp;TEXT(MONTH(Table2[[#This Row],[Date]]),"00"))</f>
        <v>202211</v>
      </c>
      <c r="B8227" s="6">
        <v>44888</v>
      </c>
      <c r="C8227" t="s">
        <v>2265</v>
      </c>
      <c r="D8227" t="s">
        <v>3340</v>
      </c>
      <c r="E8227">
        <f t="shared" si="56"/>
        <v>315</v>
      </c>
      <c r="F8227" s="2" t="str">
        <f>IF(Table2[[#This Row],[Manual Cat Value]]="",VLOOKUP(Table2[[#This Row],[Description]],'Actuals Lookup'!D:F,3,0),Table2[[#This Row],[Manual Cat Value]])</f>
        <v>Exp - Day Care</v>
      </c>
      <c r="G8227" t="e">
        <f>VLOOKUP(D8227,Lookup!G:H,2,0)</f>
        <v>#N/A</v>
      </c>
      <c r="H8227" s="8" t="s">
        <v>19</v>
      </c>
      <c r="I8227" s="8"/>
      <c r="J8227">
        <v>315</v>
      </c>
      <c r="M8227" t="s">
        <v>2513</v>
      </c>
      <c r="O8227" t="str">
        <f>LEFT(Table2[[#This Row],[Description]],75)</f>
        <v xml:space="preserve">Withdrawal ACH MHCHILDCARELLC TYPE: DUES ID: 1824708198 CO: MHCHILDCARELLC </v>
      </c>
    </row>
    <row r="8228" spans="1:15" hidden="1">
      <c r="A8228" s="25">
        <f>VALUE(YEAR(Table2[[#This Row],[Date]])&amp;TEXT(MONTH(Table2[[#This Row],[Date]]),"00"))</f>
        <v>202211</v>
      </c>
      <c r="B8228" s="6">
        <v>44888</v>
      </c>
      <c r="C8228" t="s">
        <v>2265</v>
      </c>
      <c r="D8228" t="s">
        <v>3341</v>
      </c>
      <c r="E8228">
        <f t="shared" si="56"/>
        <v>24.38</v>
      </c>
      <c r="F8228" s="2" t="str">
        <f>IF(Table2[[#This Row],[Manual Cat Value]]="",VLOOKUP(Table2[[#This Row],[Description]],'Actuals Lookup'!D:F,3,0),Table2[[#This Row],[Manual Cat Value]])</f>
        <v>Exp - Shopping</v>
      </c>
      <c r="G8228" t="e">
        <f>VLOOKUP(D8228,Lookup!G:H,2,0)</f>
        <v>#N/A</v>
      </c>
      <c r="H8228" s="8" t="s">
        <v>36</v>
      </c>
      <c r="I8228" s="8"/>
      <c r="J8228">
        <v>24.38</v>
      </c>
      <c r="M8228" t="s">
        <v>2513</v>
      </c>
      <c r="O8228" t="str">
        <f>LEFT(Table2[[#This Row],[Description]],75)</f>
        <v xml:space="preserve">Withdrawal ACH PAYPAL TYPE: INST XFER ID: PAYPALSI77 CO: PAYPAL NAME: JEFF </v>
      </c>
    </row>
    <row r="8229" spans="1:15" hidden="1">
      <c r="A8229" s="25">
        <f>VALUE(YEAR(Table2[[#This Row],[Date]])&amp;TEXT(MONTH(Table2[[#This Row],[Date]]),"00"))</f>
        <v>202211</v>
      </c>
      <c r="B8229" s="6">
        <v>44888</v>
      </c>
      <c r="C8229" t="s">
        <v>2265</v>
      </c>
      <c r="D8229" t="s">
        <v>3342</v>
      </c>
      <c r="E8229">
        <f t="shared" si="56"/>
        <v>100</v>
      </c>
      <c r="F8229" s="2" t="str">
        <f>IF(Table2[[#This Row],[Manual Cat Value]]="",VLOOKUP(Table2[[#This Row],[Description]],'Actuals Lookup'!D:F,3,0),Table2[[#This Row],[Manual Cat Value]])</f>
        <v>Sav - Savings</v>
      </c>
      <c r="G8229" t="e">
        <f>VLOOKUP(D8229,Lookup!G:H,2,0)</f>
        <v>#N/A</v>
      </c>
      <c r="H8229" s="8" t="s">
        <v>58</v>
      </c>
      <c r="I8229" s="8"/>
      <c r="J8229">
        <v>100</v>
      </c>
      <c r="M8229" t="s">
        <v>2513</v>
      </c>
      <c r="O8229" t="str">
        <f>LEFT(Table2[[#This Row],[Description]],75)</f>
        <v>Withdrawal Home Banking Transfer To Share 12 REF # 1821628</v>
      </c>
    </row>
    <row r="8230" spans="1:15" hidden="1">
      <c r="A8230" s="25">
        <f>VALUE(YEAR(Table2[[#This Row],[Date]])&amp;TEXT(MONTH(Table2[[#This Row],[Date]]),"00"))</f>
        <v>202211</v>
      </c>
      <c r="B8230" s="6">
        <v>44889</v>
      </c>
      <c r="C8230" t="s">
        <v>2262</v>
      </c>
      <c r="D8230" t="s">
        <v>3343</v>
      </c>
      <c r="E8230">
        <f t="shared" si="56"/>
        <v>42.39</v>
      </c>
      <c r="F8230" s="2" t="str">
        <f>IF(Table2[[#This Row],[Manual Cat Value]]="",VLOOKUP(Table2[[#This Row],[Description]],'Actuals Lookup'!D:F,3,0),Table2[[#This Row],[Manual Cat Value]])</f>
        <v>Exp - Dry Cleaning</v>
      </c>
      <c r="G8230" t="e">
        <f>VLOOKUP(D8230,Lookup!G:H,2,0)</f>
        <v>#N/A</v>
      </c>
      <c r="H8230" s="8" t="s">
        <v>42</v>
      </c>
      <c r="I8230" s="8"/>
      <c r="J8230">
        <v>42.39</v>
      </c>
      <c r="M8230" t="s">
        <v>2513</v>
      </c>
      <c r="O8230" t="str">
        <f>LEFT(Table2[[#This Row],[Description]],75)</f>
        <v>All Seasons Garment Care Excelsior MN REF #2419304NR02XPW5Q5</v>
      </c>
    </row>
    <row r="8231" spans="1:15" hidden="1">
      <c r="A8231" s="25">
        <f>VALUE(YEAR(Table2[[#This Row],[Date]])&amp;TEXT(MONTH(Table2[[#This Row],[Date]]),"00"))</f>
        <v>202211</v>
      </c>
      <c r="B8231" s="6">
        <v>44889</v>
      </c>
      <c r="C8231" t="s">
        <v>2262</v>
      </c>
      <c r="D8231" t="s">
        <v>3344</v>
      </c>
      <c r="E8231">
        <f t="shared" si="56"/>
        <v>329.22</v>
      </c>
      <c r="F8231" s="2" t="str">
        <f>IF(Table2[[#This Row],[Manual Cat Value]]="",VLOOKUP(Table2[[#This Row],[Description]],'Actuals Lookup'!D:F,3,0),Table2[[#This Row],[Manual Cat Value]])</f>
        <v>Exp - Shopping</v>
      </c>
      <c r="G8231" t="e">
        <f>VLOOKUP(D8231,Lookup!G:H,2,0)</f>
        <v>#N/A</v>
      </c>
      <c r="H8231" s="8" t="s">
        <v>36</v>
      </c>
      <c r="I8231" s="8"/>
      <c r="J8231">
        <v>329.22</v>
      </c>
      <c r="M8231" t="s">
        <v>2513</v>
      </c>
      <c r="O8231" t="str">
        <f>LEFT(Table2[[#This Row],[Description]],75)</f>
        <v>ANNTAYLOR LOFT.COM #61 800-342-5266 CT REF #2443106NP2D9ZET74</v>
      </c>
    </row>
    <row r="8232" spans="1:15" hidden="1">
      <c r="A8232" s="25">
        <f>VALUE(YEAR(Table2[[#This Row],[Date]])&amp;TEXT(MONTH(Table2[[#This Row],[Date]]),"00"))</f>
        <v>202211</v>
      </c>
      <c r="B8232" s="6">
        <v>44889</v>
      </c>
      <c r="C8232" t="s">
        <v>2262</v>
      </c>
      <c r="D8232" t="s">
        <v>3345</v>
      </c>
      <c r="E8232">
        <f t="shared" si="56"/>
        <v>215.07</v>
      </c>
      <c r="F8232" s="2" t="str">
        <f>IF(Table2[[#This Row],[Manual Cat Value]]="",VLOOKUP(Table2[[#This Row],[Description]],'Actuals Lookup'!D:F,3,0),Table2[[#This Row],[Manual Cat Value]])</f>
        <v>Exp - Day Care</v>
      </c>
      <c r="G8232" t="e">
        <f>VLOOKUP(D8232,Lookup!G:H,2,0)</f>
        <v>#N/A</v>
      </c>
      <c r="H8232" s="8" t="s">
        <v>19</v>
      </c>
      <c r="I8232" s="8"/>
      <c r="J8232">
        <v>215.07</v>
      </c>
      <c r="M8232" t="s">
        <v>2513</v>
      </c>
      <c r="O8232" t="str">
        <f>LEFT(Table2[[#This Row],[Description]],75)</f>
        <v>BCS*MINNETONKA COMMUNITY 952-401-6800 MN REF #2413746NR01SKZEAR</v>
      </c>
    </row>
    <row r="8233" spans="1:15" hidden="1">
      <c r="A8233" s="25">
        <f>VALUE(YEAR(Table2[[#This Row],[Date]])&amp;TEXT(MONTH(Table2[[#This Row],[Date]]),"00"))</f>
        <v>202211</v>
      </c>
      <c r="B8233" s="6">
        <v>44889</v>
      </c>
      <c r="C8233" t="s">
        <v>2262</v>
      </c>
      <c r="D8233" t="s">
        <v>3346</v>
      </c>
      <c r="E8233">
        <f t="shared" si="56"/>
        <v>-129</v>
      </c>
      <c r="F8233" s="2" t="str">
        <f>IF(Table2[[#This Row],[Manual Cat Value]]="",VLOOKUP(Table2[[#This Row],[Description]],'Actuals Lookup'!D:F,3,0),Table2[[#This Row],[Manual Cat Value]])</f>
        <v>Exp - Day Care</v>
      </c>
      <c r="G8233" t="e">
        <f>VLOOKUP(D8233,Lookup!G:H,2,0)</f>
        <v>#N/A</v>
      </c>
      <c r="H8233" s="8" t="s">
        <v>19</v>
      </c>
      <c r="I8233" s="8"/>
      <c r="J8233">
        <v>129</v>
      </c>
      <c r="M8233" t="s">
        <v>2621</v>
      </c>
      <c r="O8233" t="str">
        <f>LEFT(Table2[[#This Row],[Description]],75)</f>
        <v>BCS*MINNETONKA COMMUNITY EXCELSIOR MN REF #7413746NP01RMXD0Y</v>
      </c>
    </row>
    <row r="8234" spans="1:15" hidden="1">
      <c r="A8234" s="25">
        <f>VALUE(YEAR(Table2[[#This Row],[Date]])&amp;TEXT(MONTH(Table2[[#This Row],[Date]]),"00"))</f>
        <v>202211</v>
      </c>
      <c r="B8234" s="6">
        <v>44889</v>
      </c>
      <c r="C8234" t="s">
        <v>2265</v>
      </c>
      <c r="D8234" t="s">
        <v>3347</v>
      </c>
      <c r="E8234">
        <f t="shared" si="56"/>
        <v>-3501.24</v>
      </c>
      <c r="F8234" s="2" t="str">
        <f>IF(Table2[[#This Row],[Manual Cat Value]]="",VLOOKUP(Table2[[#This Row],[Description]],'Actuals Lookup'!D:F,3,0),Table2[[#This Row],[Manual Cat Value]])</f>
        <v>Inc - Britney</v>
      </c>
      <c r="G8234" t="e">
        <f>VLOOKUP(D8234,Lookup!G:H,2,0)</f>
        <v>#N/A</v>
      </c>
      <c r="H8234" s="8" t="s">
        <v>65</v>
      </c>
      <c r="I8234" s="8"/>
      <c r="J8234">
        <v>3501.24</v>
      </c>
      <c r="M8234" t="s">
        <v>2621</v>
      </c>
      <c r="O8234" t="str">
        <f>LEFT(Table2[[#This Row],[Description]],75)</f>
        <v>Deposit ACH CARGILL INCORPOR TYPE: DIRECT DEP ID: 9111111101 CO: CARGILL IN</v>
      </c>
    </row>
    <row r="8235" spans="1:15" hidden="1">
      <c r="A8235" s="25">
        <f>VALUE(YEAR(Table2[[#This Row],[Date]])&amp;TEXT(MONTH(Table2[[#This Row],[Date]]),"00"))</f>
        <v>202211</v>
      </c>
      <c r="B8235" s="6">
        <v>44889</v>
      </c>
      <c r="C8235" t="s">
        <v>2265</v>
      </c>
      <c r="D8235" t="s">
        <v>3348</v>
      </c>
      <c r="E8235">
        <f t="shared" si="56"/>
        <v>-1027.6500000000001</v>
      </c>
      <c r="F8235" s="2" t="str">
        <f>IF(Table2[[#This Row],[Manual Cat Value]]="",VLOOKUP(Table2[[#This Row],[Description]],'Actuals Lookup'!D:F,3,0),Table2[[#This Row],[Manual Cat Value]])</f>
        <v>Delete</v>
      </c>
      <c r="G8235" t="e">
        <f>VLOOKUP(D8235,Lookup!G:H,2,0)</f>
        <v>#N/A</v>
      </c>
      <c r="H8235" s="8" t="s">
        <v>9</v>
      </c>
      <c r="I8235" s="8"/>
      <c r="J8235">
        <v>1027.6500000000001</v>
      </c>
      <c r="M8235" t="s">
        <v>2621</v>
      </c>
      <c r="O8235" t="str">
        <f>LEFT(Table2[[#This Row],[Description]],75)</f>
        <v>Deposit ACH EMPYREAN SOLUTIO TYPE: 193XXXXXXX ID: 5330903620 CO: EMPYREAN S</v>
      </c>
    </row>
    <row r="8236" spans="1:15" hidden="1">
      <c r="A8236" s="25">
        <f>VALUE(YEAR(Table2[[#This Row],[Date]])&amp;TEXT(MONTH(Table2[[#This Row],[Date]]),"00"))</f>
        <v>202211</v>
      </c>
      <c r="B8236" s="6">
        <v>44889</v>
      </c>
      <c r="C8236" t="s">
        <v>2262</v>
      </c>
      <c r="D8236" t="s">
        <v>3349</v>
      </c>
      <c r="E8236">
        <f t="shared" si="56"/>
        <v>47.4</v>
      </c>
      <c r="F8236" s="2" t="str">
        <f>IF(Table2[[#This Row],[Manual Cat Value]]="",VLOOKUP(Table2[[#This Row],[Description]],'Actuals Lookup'!D:F,3,0),Table2[[#This Row],[Manual Cat Value]])</f>
        <v>Exp - Misc</v>
      </c>
      <c r="G8236" t="e">
        <f>VLOOKUP(D8236,Lookup!G:H,2,0)</f>
        <v>#N/A</v>
      </c>
      <c r="H8236" s="8" t="s">
        <v>46</v>
      </c>
      <c r="I8236" s="8"/>
      <c r="J8236">
        <v>47.4</v>
      </c>
      <c r="M8236" t="s">
        <v>2513</v>
      </c>
      <c r="O8236" t="str">
        <f>LEFT(Table2[[#This Row],[Description]],75)</f>
        <v>Kids Hair - CH Chanhassen MN REF #2479338NP00XHRVA6</v>
      </c>
    </row>
    <row r="8237" spans="1:15" hidden="1">
      <c r="A8237" s="25">
        <f>VALUE(YEAR(Table2[[#This Row],[Date]])&amp;TEXT(MONTH(Table2[[#This Row],[Date]]),"00"))</f>
        <v>202211</v>
      </c>
      <c r="B8237" s="6">
        <v>44889</v>
      </c>
      <c r="C8237" t="s">
        <v>2262</v>
      </c>
      <c r="D8237" t="s">
        <v>3350</v>
      </c>
      <c r="E8237">
        <f t="shared" si="56"/>
        <v>175.5</v>
      </c>
      <c r="F8237" s="2" t="str">
        <f>IF(Table2[[#This Row],[Manual Cat Value]]="",VLOOKUP(Table2[[#This Row],[Description]],'Actuals Lookup'!D:F,3,0),Table2[[#This Row],[Manual Cat Value]])</f>
        <v>Exp - Shopping</v>
      </c>
      <c r="G8237" t="e">
        <f>VLOOKUP(D8237,Lookup!G:H,2,0)</f>
        <v>#N/A</v>
      </c>
      <c r="H8237" s="8" t="s">
        <v>36</v>
      </c>
      <c r="I8237" s="8"/>
      <c r="J8237">
        <v>175.5</v>
      </c>
      <c r="M8237" t="s">
        <v>2513</v>
      </c>
      <c r="O8237" t="str">
        <f>LEFT(Table2[[#This Row],[Description]],75)</f>
        <v>SP UNRL.CO UNRL.MYSHOPIFMN REF #2449216NP001Q1S4E</v>
      </c>
    </row>
    <row r="8238" spans="1:15" hidden="1">
      <c r="A8238" s="25">
        <f>VALUE(YEAR(Table2[[#This Row],[Date]])&amp;TEXT(MONTH(Table2[[#This Row],[Date]]),"00"))</f>
        <v>202211</v>
      </c>
      <c r="B8238" s="6">
        <v>44889</v>
      </c>
      <c r="C8238" t="s">
        <v>2262</v>
      </c>
      <c r="D8238" t="s">
        <v>3351</v>
      </c>
      <c r="E8238">
        <f t="shared" ref="E8238:E8301" si="57">IF(M8238="credit",-1*J8238,J8238)</f>
        <v>56.48</v>
      </c>
      <c r="F8238" s="2" t="str">
        <f>IF(Table2[[#This Row],[Manual Cat Value]]="",VLOOKUP(Table2[[#This Row],[Description]],'Actuals Lookup'!D:F,3,0),Table2[[#This Row],[Manual Cat Value]])</f>
        <v>Exp - Transportation</v>
      </c>
      <c r="G8238" t="e">
        <f>VLOOKUP(D8238,Lookup!G:H,2,0)</f>
        <v>#N/A</v>
      </c>
      <c r="H8238" s="8" t="s">
        <v>22</v>
      </c>
      <c r="I8238" s="8"/>
      <c r="J8238">
        <v>56.48</v>
      </c>
      <c r="M8238" t="s">
        <v>2513</v>
      </c>
      <c r="O8238" t="str">
        <f>LEFT(Table2[[#This Row],[Description]],75)</f>
        <v>SPEEDWAY 04186 RICHFIELD MN REF #2413746NR0189GSFT</v>
      </c>
    </row>
    <row r="8239" spans="1:15" hidden="1">
      <c r="A8239" s="25">
        <f>VALUE(YEAR(Table2[[#This Row],[Date]])&amp;TEXT(MONTH(Table2[[#This Row],[Date]]),"00"))</f>
        <v>202211</v>
      </c>
      <c r="B8239" s="6">
        <v>44889</v>
      </c>
      <c r="C8239" t="s">
        <v>2262</v>
      </c>
      <c r="D8239" t="s">
        <v>3352</v>
      </c>
      <c r="E8239">
        <f t="shared" si="57"/>
        <v>194.4</v>
      </c>
      <c r="F8239" s="2" t="str">
        <f>IF(Table2[[#This Row],[Manual Cat Value]]="",VLOOKUP(Table2[[#This Row],[Description]],'Actuals Lookup'!D:F,3,0),Table2[[#This Row],[Manual Cat Value]])</f>
        <v>Exp - Shopping</v>
      </c>
      <c r="G8239" t="e">
        <f>VLOOKUP(D8239,Lookup!G:H,2,0)</f>
        <v>#N/A</v>
      </c>
      <c r="H8239" s="8" t="s">
        <v>36</v>
      </c>
      <c r="I8239" s="8"/>
      <c r="J8239">
        <v>194.4</v>
      </c>
      <c r="M8239" t="s">
        <v>2513</v>
      </c>
      <c r="O8239" t="str">
        <f>LEFT(Table2[[#This Row],[Description]],75)</f>
        <v>VINEYARD VINES LLC 800-892-4982 CT REF #2449215NRLW1L5D89</v>
      </c>
    </row>
    <row r="8240" spans="1:15" hidden="1">
      <c r="A8240" s="25">
        <f>VALUE(YEAR(Table2[[#This Row],[Date]])&amp;TEXT(MONTH(Table2[[#This Row],[Date]]),"00"))</f>
        <v>202211</v>
      </c>
      <c r="B8240" s="6">
        <v>44890</v>
      </c>
      <c r="C8240" t="s">
        <v>2447</v>
      </c>
      <c r="D8240" t="s">
        <v>3353</v>
      </c>
      <c r="E8240">
        <f t="shared" si="57"/>
        <v>60.39</v>
      </c>
      <c r="F8240" s="2" t="str">
        <f>IF(Table2[[#This Row],[Manual Cat Value]]="",VLOOKUP(Table2[[#This Row],[Description]],'Actuals Lookup'!D:F,3,0),Table2[[#This Row],[Manual Cat Value]])</f>
        <v>Exp - Restaurants</v>
      </c>
      <c r="G8240" t="e">
        <f>VLOOKUP(D8240,Lookup!G:H,2,0)</f>
        <v>#N/A</v>
      </c>
      <c r="H8240" s="8" t="s">
        <v>25</v>
      </c>
      <c r="I8240" s="8"/>
      <c r="J8240">
        <v>60.39</v>
      </c>
      <c r="M8240" t="s">
        <v>2513</v>
      </c>
      <c r="O8240" t="str">
        <f>LEFT(Table2[[#This Row],[Description]],75)</f>
        <v>CHICKEN N PICKLE OVERLAND PARKKS</v>
      </c>
    </row>
    <row r="8241" spans="1:15" hidden="1">
      <c r="A8241" s="25">
        <f>VALUE(YEAR(Table2[[#This Row],[Date]])&amp;TEXT(MONTH(Table2[[#This Row],[Date]]),"00"))</f>
        <v>202211</v>
      </c>
      <c r="B8241" s="6">
        <v>44890</v>
      </c>
      <c r="C8241" t="s">
        <v>2262</v>
      </c>
      <c r="D8241" t="s">
        <v>3354</v>
      </c>
      <c r="E8241">
        <f t="shared" si="57"/>
        <v>15</v>
      </c>
      <c r="F8241" s="2" t="str">
        <f>IF(Table2[[#This Row],[Manual Cat Value]]="",VLOOKUP(Table2[[#This Row],[Description]],'Actuals Lookup'!D:F,3,0),Table2[[#This Row],[Manual Cat Value]])</f>
        <v>Exp - Restaurants</v>
      </c>
      <c r="G8241" t="e">
        <f>VLOOKUP(D8241,Lookup!G:H,2,0)</f>
        <v>#N/A</v>
      </c>
      <c r="H8241" s="8" t="s">
        <v>25</v>
      </c>
      <c r="I8241" s="8"/>
      <c r="J8241">
        <v>15</v>
      </c>
      <c r="M8241" t="s">
        <v>2513</v>
      </c>
      <c r="O8241" t="str">
        <f>LEFT(Table2[[#This Row],[Description]],75)</f>
        <v>JJ`S POKE EDINA MN REF #2445351NR0VYFTG78</v>
      </c>
    </row>
    <row r="8242" spans="1:15" hidden="1">
      <c r="A8242" s="25">
        <f>VALUE(YEAR(Table2[[#This Row],[Date]])&amp;TEXT(MONTH(Table2[[#This Row],[Date]]),"00"))</f>
        <v>202211</v>
      </c>
      <c r="B8242" s="6">
        <v>44890</v>
      </c>
      <c r="C8242" t="s">
        <v>2262</v>
      </c>
      <c r="D8242" t="s">
        <v>3355</v>
      </c>
      <c r="E8242">
        <f t="shared" si="57"/>
        <v>117.88</v>
      </c>
      <c r="F8242" s="2" t="str">
        <f>IF(Table2[[#This Row],[Manual Cat Value]]="",VLOOKUP(Table2[[#This Row],[Description]],'Actuals Lookup'!D:F,3,0),Table2[[#This Row],[Manual Cat Value]])</f>
        <v>Exp - Restaurants</v>
      </c>
      <c r="G8242" t="e">
        <f>VLOOKUP(D8242,Lookup!G:H,2,0)</f>
        <v>#N/A</v>
      </c>
      <c r="H8242" s="8" t="s">
        <v>25</v>
      </c>
      <c r="I8242" s="8"/>
      <c r="J8242">
        <v>117.88</v>
      </c>
      <c r="M8242" t="s">
        <v>2513</v>
      </c>
      <c r="O8242" t="str">
        <f>LEFT(Table2[[#This Row],[Description]],75)</f>
        <v>MAGGIANOS KANSAS CITY OVERLAND PARKKS REF #2423168NT8AE3HAP3</v>
      </c>
    </row>
    <row r="8243" spans="1:15" hidden="1">
      <c r="A8243" s="25">
        <f>VALUE(YEAR(Table2[[#This Row],[Date]])&amp;TEXT(MONTH(Table2[[#This Row],[Date]]),"00"))</f>
        <v>202211</v>
      </c>
      <c r="B8243" s="6">
        <v>44890</v>
      </c>
      <c r="C8243" t="s">
        <v>2262</v>
      </c>
      <c r="D8243" t="s">
        <v>3356</v>
      </c>
      <c r="E8243">
        <f t="shared" si="57"/>
        <v>20.6</v>
      </c>
      <c r="F8243" s="2" t="str">
        <f>IF(Table2[[#This Row],[Manual Cat Value]]="",VLOOKUP(Table2[[#This Row],[Description]],'Actuals Lookup'!D:F,3,0),Table2[[#This Row],[Manual Cat Value]])</f>
        <v>Exp - Transportation</v>
      </c>
      <c r="G8243" t="e">
        <f>VLOOKUP(D8243,Lookup!G:H,2,0)</f>
        <v>#N/A</v>
      </c>
      <c r="H8243" s="8" t="s">
        <v>22</v>
      </c>
      <c r="I8243" s="8"/>
      <c r="J8243">
        <v>20.6</v>
      </c>
      <c r="M8243" t="s">
        <v>2513</v>
      </c>
      <c r="O8243" t="str">
        <f>LEFT(Table2[[#This Row],[Description]],75)</f>
        <v>TRAIL'S TA TRAVEL CENT ALBERT LEA MN REF #2442733NRLYPPD6B9</v>
      </c>
    </row>
    <row r="8244" spans="1:15" hidden="1">
      <c r="A8244" s="25">
        <f>VALUE(YEAR(Table2[[#This Row],[Date]])&amp;TEXT(MONTH(Table2[[#This Row],[Date]]),"00"))</f>
        <v>202211</v>
      </c>
      <c r="B8244" s="6">
        <v>44890</v>
      </c>
      <c r="C8244" t="s">
        <v>2262</v>
      </c>
      <c r="D8244" t="s">
        <v>3357</v>
      </c>
      <c r="E8244">
        <f t="shared" si="57"/>
        <v>8.4700000000000006</v>
      </c>
      <c r="F8244" s="2" t="str">
        <f>IF(Table2[[#This Row],[Manual Cat Value]]="",VLOOKUP(Table2[[#This Row],[Description]],'Actuals Lookup'!D:F,3,0),Table2[[#This Row],[Manual Cat Value]])</f>
        <v>Exp - Transportation</v>
      </c>
      <c r="G8244" t="e">
        <f>VLOOKUP(D8244,Lookup!G:H,2,0)</f>
        <v>#N/A</v>
      </c>
      <c r="H8244" s="8" t="s">
        <v>22</v>
      </c>
      <c r="I8244" s="8"/>
      <c r="J8244">
        <v>8.4700000000000006</v>
      </c>
      <c r="M8244" t="s">
        <v>2513</v>
      </c>
      <c r="O8244" t="str">
        <f>LEFT(Table2[[#This Row],[Description]],75)</f>
        <v>TRAIL'S TA TRAVEL CENT ALBERT LEA MN REF #2442733NRLYPPD6QK</v>
      </c>
    </row>
    <row r="8245" spans="1:15" hidden="1">
      <c r="A8245" s="25">
        <f>VALUE(YEAR(Table2[[#This Row],[Date]])&amp;TEXT(MONTH(Table2[[#This Row],[Date]]),"00"))</f>
        <v>202211</v>
      </c>
      <c r="B8245" s="6">
        <v>44890</v>
      </c>
      <c r="C8245" t="s">
        <v>2262</v>
      </c>
      <c r="D8245" t="s">
        <v>3358</v>
      </c>
      <c r="E8245">
        <f t="shared" si="57"/>
        <v>13.97</v>
      </c>
      <c r="F8245" s="2" t="str">
        <f>IF(Table2[[#This Row],[Manual Cat Value]]="",VLOOKUP(Table2[[#This Row],[Description]],'Actuals Lookup'!D:F,3,0),Table2[[#This Row],[Manual Cat Value]])</f>
        <v>Exp - Transportation</v>
      </c>
      <c r="G8245" t="e">
        <f>VLOOKUP(D8245,Lookup!G:H,2,0)</f>
        <v>#N/A</v>
      </c>
      <c r="H8245" s="8" t="s">
        <v>22</v>
      </c>
      <c r="I8245" s="8"/>
      <c r="J8245">
        <v>13.97</v>
      </c>
      <c r="M8245" t="s">
        <v>2513</v>
      </c>
      <c r="O8245" t="str">
        <f>LEFT(Table2[[#This Row],[Description]],75)</f>
        <v>TRAIL'S TRAVEL CENT ALBERT LEA MN REF #2442733NRLYPPDD55</v>
      </c>
    </row>
    <row r="8246" spans="1:15" hidden="1">
      <c r="A8246" s="25">
        <f>VALUE(YEAR(Table2[[#This Row],[Date]])&amp;TEXT(MONTH(Table2[[#This Row],[Date]]),"00"))</f>
        <v>202211</v>
      </c>
      <c r="B8246" s="6">
        <v>44890</v>
      </c>
      <c r="C8246" t="s">
        <v>2265</v>
      </c>
      <c r="D8246" t="s">
        <v>3359</v>
      </c>
      <c r="E8246">
        <f t="shared" si="57"/>
        <v>221</v>
      </c>
      <c r="F8246" s="2" t="str">
        <f>IF(Table2[[#This Row],[Manual Cat Value]]="",VLOOKUP(Table2[[#This Row],[Description]],'Actuals Lookup'!D:F,3,0),Table2[[#This Row],[Manual Cat Value]])</f>
        <v>Exp - Shopping</v>
      </c>
      <c r="G8246" t="e">
        <f>VLOOKUP(D8246,Lookup!G:H,2,0)</f>
        <v>#N/A</v>
      </c>
      <c r="H8246" s="8" t="s">
        <v>36</v>
      </c>
      <c r="I8246" s="8"/>
      <c r="J8246">
        <v>221</v>
      </c>
      <c r="M8246" t="s">
        <v>2513</v>
      </c>
      <c r="O8246" t="str">
        <f>LEFT(Table2[[#This Row],[Description]],75)</f>
        <v xml:space="preserve">Withdrawal ACH PAYPAL TYPE: INST XFER ID: PAYPALSI77 CO: PAYPAL NAME: JEFF </v>
      </c>
    </row>
    <row r="8247" spans="1:15" hidden="1">
      <c r="A8247" s="25">
        <f>VALUE(YEAR(Table2[[#This Row],[Date]])&amp;TEXT(MONTH(Table2[[#This Row],[Date]]),"00"))</f>
        <v>202211</v>
      </c>
      <c r="B8247" s="6">
        <v>44890</v>
      </c>
      <c r="C8247" t="s">
        <v>2265</v>
      </c>
      <c r="D8247" t="s">
        <v>3360</v>
      </c>
      <c r="E8247">
        <f t="shared" si="57"/>
        <v>142.71</v>
      </c>
      <c r="F8247" s="2" t="str">
        <f>IF(Table2[[#This Row],[Manual Cat Value]]="",VLOOKUP(Table2[[#This Row],[Description]],'Actuals Lookup'!D:F,3,0),Table2[[#This Row],[Manual Cat Value]])</f>
        <v>Exp - Shopping</v>
      </c>
      <c r="G8247" t="e">
        <f>VLOOKUP(D8247,Lookup!G:H,2,0)</f>
        <v>#N/A</v>
      </c>
      <c r="H8247" s="8" t="s">
        <v>36</v>
      </c>
      <c r="I8247" s="8"/>
      <c r="J8247">
        <v>142.71</v>
      </c>
      <c r="M8247" t="s">
        <v>2513</v>
      </c>
      <c r="O8247" t="str">
        <f>LEFT(Table2[[#This Row],[Description]],75)</f>
        <v xml:space="preserve">Withdrawal ACH PAYPAL TYPE: INST XFER ID: PAYPALSI77 CO: PAYPAL NAME: JEFF </v>
      </c>
    </row>
    <row r="8248" spans="1:15" hidden="1">
      <c r="A8248" s="25">
        <f>VALUE(YEAR(Table2[[#This Row],[Date]])&amp;TEXT(MONTH(Table2[[#This Row],[Date]]),"00"))</f>
        <v>202211</v>
      </c>
      <c r="B8248" s="6">
        <v>44890</v>
      </c>
      <c r="C8248" t="s">
        <v>2265</v>
      </c>
      <c r="D8248" t="s">
        <v>3361</v>
      </c>
      <c r="E8248">
        <f t="shared" si="57"/>
        <v>744.15</v>
      </c>
      <c r="F8248" s="2" t="str">
        <f>IF(Table2[[#This Row],[Manual Cat Value]]="",VLOOKUP(Table2[[#This Row],[Description]],'Actuals Lookup'!D:F,3,0),Table2[[#This Row],[Manual Cat Value]])</f>
        <v>Exp - Target</v>
      </c>
      <c r="G8248" t="e">
        <f>VLOOKUP(D8248,Lookup!G:H,2,0)</f>
        <v>#N/A</v>
      </c>
      <c r="H8248" s="8" t="s">
        <v>30</v>
      </c>
      <c r="I8248" s="8"/>
      <c r="J8248">
        <v>744.15</v>
      </c>
      <c r="M8248" t="s">
        <v>2513</v>
      </c>
      <c r="O8248" t="str">
        <f>LEFT(Table2[[#This Row],[Description]],75)</f>
        <v>Withdrawal ACH TARGET CARD SRVC TYPE: AUTO PYMT ID: 1411721813 CO: TARGET C</v>
      </c>
    </row>
    <row r="8249" spans="1:15" hidden="1">
      <c r="A8249" s="25">
        <f>VALUE(YEAR(Table2[[#This Row],[Date]])&amp;TEXT(MONTH(Table2[[#This Row],[Date]]),"00"))</f>
        <v>202211</v>
      </c>
      <c r="B8249" s="6">
        <v>44890</v>
      </c>
      <c r="C8249" t="s">
        <v>2265</v>
      </c>
      <c r="D8249" t="s">
        <v>3362</v>
      </c>
      <c r="E8249">
        <f t="shared" si="57"/>
        <v>150</v>
      </c>
      <c r="F8249" s="2" t="str">
        <f>IF(Table2[[#This Row],[Manual Cat Value]]="",VLOOKUP(Table2[[#This Row],[Description]],'Actuals Lookup'!D:F,3,0),Table2[[#This Row],[Manual Cat Value]])</f>
        <v>Exp - Shopping</v>
      </c>
      <c r="G8249" t="e">
        <f>VLOOKUP(D8249,Lookup!G:H,2,0)</f>
        <v>#N/A</v>
      </c>
      <c r="H8249" s="8" t="s">
        <v>36</v>
      </c>
      <c r="I8249" s="8"/>
      <c r="J8249">
        <v>150</v>
      </c>
      <c r="M8249" t="s">
        <v>2513</v>
      </c>
      <c r="O8249" t="str">
        <f>LEFT(Table2[[#This Row],[Description]],75)</f>
        <v>Withdrawal ACH VENMO TYPE: PAYMENT ID: 326XXXXXXX CO: VENMO NAME: BRITNEY T</v>
      </c>
    </row>
    <row r="8250" spans="1:15" hidden="1">
      <c r="A8250" s="25">
        <f>VALUE(YEAR(Table2[[#This Row],[Date]])&amp;TEXT(MONTH(Table2[[#This Row],[Date]]),"00"))</f>
        <v>202211</v>
      </c>
      <c r="B8250" s="6">
        <v>44890</v>
      </c>
      <c r="C8250" t="s">
        <v>2265</v>
      </c>
      <c r="D8250" t="s">
        <v>3363</v>
      </c>
      <c r="E8250">
        <f t="shared" si="57"/>
        <v>111.81</v>
      </c>
      <c r="F8250" s="2" t="str">
        <f>IF(Table2[[#This Row],[Manual Cat Value]]="",VLOOKUP(Table2[[#This Row],[Description]],'Actuals Lookup'!D:F,3,0),Table2[[#This Row],[Manual Cat Value]])</f>
        <v>Exp - Shopping</v>
      </c>
      <c r="G8250" t="e">
        <f>VLOOKUP(D8250,Lookup!G:H,2,0)</f>
        <v>#N/A</v>
      </c>
      <c r="H8250" s="8" t="s">
        <v>36</v>
      </c>
      <c r="I8250" s="8"/>
      <c r="J8250">
        <v>111.81</v>
      </c>
      <c r="M8250" t="s">
        <v>2513</v>
      </c>
      <c r="O8250" t="str">
        <f>LEFT(Table2[[#This Row],[Description]],75)</f>
        <v>Withdrawal ACH VENMO TYPE: PAYMENT ID: 326XXXXXXX CO: VENMO NAME: BRITNEY T</v>
      </c>
    </row>
    <row r="8251" spans="1:15" ht="30" hidden="1">
      <c r="A8251" s="25">
        <f>VALUE(YEAR(Table2[[#This Row],[Date]])&amp;TEXT(MONTH(Table2[[#This Row],[Date]]),"00"))</f>
        <v>202211</v>
      </c>
      <c r="B8251" s="6">
        <v>44891</v>
      </c>
      <c r="C8251" t="s">
        <v>2447</v>
      </c>
      <c r="D8251" s="7" t="s">
        <v>3364</v>
      </c>
      <c r="E8251">
        <f t="shared" si="57"/>
        <v>67.64</v>
      </c>
      <c r="F8251" s="2" t="str">
        <f>IF(Table2[[#This Row],[Manual Cat Value]]="",VLOOKUP(Table2[[#This Row],[Description]],'Actuals Lookup'!D:F,3,0),Table2[[#This Row],[Manual Cat Value]])</f>
        <v>Exp - Amazon</v>
      </c>
      <c r="G8251" t="e">
        <f>VLOOKUP(D8251,Lookup!G:H,2,0)</f>
        <v>#N/A</v>
      </c>
      <c r="H8251" s="8" t="s">
        <v>37</v>
      </c>
      <c r="I8251" s="8"/>
      <c r="J8251">
        <v>67.64</v>
      </c>
      <c r="M8251" t="s">
        <v>2513</v>
      </c>
      <c r="O8251" t="str">
        <f>LEFT(Table2[[#This Row],[Description]],75)</f>
        <v>AMZN MKTP US*HW0WU0261 AMZN.COM/BILLWA
1RGHE2D0OFA</v>
      </c>
    </row>
    <row r="8252" spans="1:15" ht="30" hidden="1">
      <c r="A8252" s="25">
        <f>VALUE(YEAR(Table2[[#This Row],[Date]])&amp;TEXT(MONTH(Table2[[#This Row],[Date]]),"00"))</f>
        <v>202211</v>
      </c>
      <c r="B8252" s="6">
        <v>44891</v>
      </c>
      <c r="C8252" t="s">
        <v>2447</v>
      </c>
      <c r="D8252" s="7" t="s">
        <v>3365</v>
      </c>
      <c r="E8252">
        <f t="shared" si="57"/>
        <v>23.07</v>
      </c>
      <c r="F8252" s="2" t="str">
        <f>IF(Table2[[#This Row],[Manual Cat Value]]="",VLOOKUP(Table2[[#This Row],[Description]],'Actuals Lookup'!D:F,3,0),Table2[[#This Row],[Manual Cat Value]])</f>
        <v>Exp - Amazon</v>
      </c>
      <c r="G8252" t="e">
        <f>VLOOKUP(D8252,Lookup!G:H,2,0)</f>
        <v>#N/A</v>
      </c>
      <c r="H8252" s="8" t="s">
        <v>37</v>
      </c>
      <c r="I8252" s="8"/>
      <c r="J8252">
        <v>23.07</v>
      </c>
      <c r="M8252" t="s">
        <v>2513</v>
      </c>
      <c r="O8252" t="str">
        <f>LEFT(Table2[[#This Row],[Description]],75)</f>
        <v>AMZN MKTP US*HW4LP5S11 AMZN.COM/BILLWA
2SQ5SU5PA2L</v>
      </c>
    </row>
    <row r="8253" spans="1:15" hidden="1">
      <c r="A8253" s="25">
        <f>VALUE(YEAR(Table2[[#This Row],[Date]])&amp;TEXT(MONTH(Table2[[#This Row],[Date]]),"00"))</f>
        <v>202211</v>
      </c>
      <c r="B8253" s="6">
        <v>44892</v>
      </c>
      <c r="C8253" t="s">
        <v>2262</v>
      </c>
      <c r="D8253" t="s">
        <v>3366</v>
      </c>
      <c r="E8253">
        <f t="shared" si="57"/>
        <v>9.65</v>
      </c>
      <c r="F8253" s="2" t="str">
        <f>IF(Table2[[#This Row],[Manual Cat Value]]="",VLOOKUP(Table2[[#This Row],[Description]],'Actuals Lookup'!D:F,3,0),Table2[[#This Row],[Manual Cat Value]])</f>
        <v>Exp - Amazon</v>
      </c>
      <c r="G8253" t="e">
        <f>VLOOKUP(D8253,Lookup!G:H,2,0)</f>
        <v>#N/A</v>
      </c>
      <c r="H8253" s="8" t="s">
        <v>37</v>
      </c>
      <c r="I8253" s="8"/>
      <c r="J8253">
        <v>9.65</v>
      </c>
      <c r="M8253" t="s">
        <v>2513</v>
      </c>
      <c r="O8253" t="str">
        <f>LEFT(Table2[[#This Row],[Description]],75)</f>
        <v>AMZN Mktp US*HW11121A2 Amzn.com/billWA REF #2469216NS33EGY3P5</v>
      </c>
    </row>
    <row r="8254" spans="1:15" hidden="1">
      <c r="A8254" s="25">
        <f>VALUE(YEAR(Table2[[#This Row],[Date]])&amp;TEXT(MONTH(Table2[[#This Row],[Date]]),"00"))</f>
        <v>202211</v>
      </c>
      <c r="B8254" s="6">
        <v>44892</v>
      </c>
      <c r="C8254" t="s">
        <v>2262</v>
      </c>
      <c r="D8254" t="s">
        <v>3367</v>
      </c>
      <c r="E8254">
        <f t="shared" si="57"/>
        <v>8</v>
      </c>
      <c r="F8254" s="2" t="str">
        <f>IF(Table2[[#This Row],[Manual Cat Value]]="",VLOOKUP(Table2[[#This Row],[Description]],'Actuals Lookup'!D:F,3,0),Table2[[#This Row],[Manual Cat Value]])</f>
        <v>Exp - Entertainment</v>
      </c>
      <c r="G8254" t="e">
        <f>VLOOKUP(D8254,Lookup!G:H,2,0)</f>
        <v>#N/A</v>
      </c>
      <c r="H8254" s="8" t="s">
        <v>39</v>
      </c>
      <c r="I8254" s="8"/>
      <c r="J8254">
        <v>8</v>
      </c>
      <c r="M8254" t="s">
        <v>2513</v>
      </c>
      <c r="O8254" t="str">
        <f>LEFT(Table2[[#This Row],[Description]],75)</f>
        <v>D J*WALL-ST-JOURNAL 800-568-7625 MA REF #2469216NS33QG6LXH</v>
      </c>
    </row>
    <row r="8255" spans="1:15" hidden="1">
      <c r="A8255" s="25">
        <f>VALUE(YEAR(Table2[[#This Row],[Date]])&amp;TEXT(MONTH(Table2[[#This Row],[Date]]),"00"))</f>
        <v>202211</v>
      </c>
      <c r="B8255" s="6">
        <v>44892</v>
      </c>
      <c r="C8255" t="s">
        <v>2262</v>
      </c>
      <c r="D8255" t="s">
        <v>3368</v>
      </c>
      <c r="E8255">
        <f t="shared" si="57"/>
        <v>227.63</v>
      </c>
      <c r="F8255" s="2" t="str">
        <f>IF(Table2[[#This Row],[Manual Cat Value]]="",VLOOKUP(Table2[[#This Row],[Description]],'Actuals Lookup'!D:F,3,0),Table2[[#This Row],[Manual Cat Value]])</f>
        <v>Exp - Groceries</v>
      </c>
      <c r="G8255" t="e">
        <f>VLOOKUP(D8255,Lookup!G:H,2,0)</f>
        <v>#N/A</v>
      </c>
      <c r="H8255" s="8" t="s">
        <v>27</v>
      </c>
      <c r="I8255" s="8"/>
      <c r="J8255">
        <v>227.63</v>
      </c>
      <c r="M8255" t="s">
        <v>2513</v>
      </c>
      <c r="O8255" t="str">
        <f>LEFT(Table2[[#This Row],[Description]],75)</f>
        <v>HY-VEE OVERLAND PARK 1509OVERLAND PARKKS REF #2413746NS0141Q7RJ</v>
      </c>
    </row>
    <row r="8256" spans="1:15" hidden="1">
      <c r="A8256" s="25">
        <f>VALUE(YEAR(Table2[[#This Row],[Date]])&amp;TEXT(MONTH(Table2[[#This Row],[Date]]),"00"))</f>
        <v>202211</v>
      </c>
      <c r="B8256" s="6">
        <v>44892</v>
      </c>
      <c r="C8256" t="s">
        <v>2262</v>
      </c>
      <c r="D8256" t="s">
        <v>3369</v>
      </c>
      <c r="E8256">
        <f t="shared" si="57"/>
        <v>33.18</v>
      </c>
      <c r="F8256" s="2" t="str">
        <f>IF(Table2[[#This Row],[Manual Cat Value]]="",VLOOKUP(Table2[[#This Row],[Description]],'Actuals Lookup'!D:F,3,0),Table2[[#This Row],[Manual Cat Value]])</f>
        <v>Exp - Shopping</v>
      </c>
      <c r="G8256" t="e">
        <f>VLOOKUP(D8256,Lookup!G:H,2,0)</f>
        <v>#N/A</v>
      </c>
      <c r="H8256" s="8" t="s">
        <v>36</v>
      </c>
      <c r="I8256" s="8"/>
      <c r="J8256">
        <v>33.18</v>
      </c>
      <c r="M8256" t="s">
        <v>2513</v>
      </c>
      <c r="O8256" t="str">
        <f>LEFT(Table2[[#This Row],[Description]],75)</f>
        <v>JCPENNEY 2990 OVERLAND PARKKS REF #2443106NTR7MDW0ZH</v>
      </c>
    </row>
    <row r="8257" spans="1:15" hidden="1">
      <c r="A8257" s="25">
        <f>VALUE(YEAR(Table2[[#This Row],[Date]])&amp;TEXT(MONTH(Table2[[#This Row],[Date]]),"00"))</f>
        <v>202211</v>
      </c>
      <c r="B8257" s="6">
        <v>44892</v>
      </c>
      <c r="C8257" t="s">
        <v>2262</v>
      </c>
      <c r="D8257" t="s">
        <v>3370</v>
      </c>
      <c r="E8257">
        <f t="shared" si="57"/>
        <v>60.6</v>
      </c>
      <c r="F8257" s="2" t="str">
        <f>IF(Table2[[#This Row],[Manual Cat Value]]="",VLOOKUP(Table2[[#This Row],[Description]],'Actuals Lookup'!D:F,3,0),Table2[[#This Row],[Manual Cat Value]])</f>
        <v>Exp - Restaurants</v>
      </c>
      <c r="G8257" t="e">
        <f>VLOOKUP(D8257,Lookup!G:H,2,0)</f>
        <v>#N/A</v>
      </c>
      <c r="H8257" s="8" t="s">
        <v>25</v>
      </c>
      <c r="I8257" s="8"/>
      <c r="J8257">
        <v>60.6</v>
      </c>
      <c r="M8257" t="s">
        <v>2513</v>
      </c>
      <c r="O8257" t="str">
        <f>LEFT(Table2[[#This Row],[Description]],75)</f>
        <v>JOES KANSAS CITY BBQ-LEA olo.com KS REF #2405522NSBLPJQMSQ</v>
      </c>
    </row>
    <row r="8258" spans="1:15" hidden="1">
      <c r="A8258" s="25">
        <f>VALUE(YEAR(Table2[[#This Row],[Date]])&amp;TEXT(MONTH(Table2[[#This Row],[Date]]),"00"))</f>
        <v>202211</v>
      </c>
      <c r="B8258" s="6">
        <v>44892</v>
      </c>
      <c r="C8258" t="s">
        <v>2262</v>
      </c>
      <c r="D8258" t="s">
        <v>3371</v>
      </c>
      <c r="E8258">
        <f t="shared" si="57"/>
        <v>10.28</v>
      </c>
      <c r="F8258" s="2" t="str">
        <f>IF(Table2[[#This Row],[Manual Cat Value]]="",VLOOKUP(Table2[[#This Row],[Description]],'Actuals Lookup'!D:F,3,0),Table2[[#This Row],[Manual Cat Value]])</f>
        <v>Exp - Transportation</v>
      </c>
      <c r="G8258" t="e">
        <f>VLOOKUP(D8258,Lookup!G:H,2,0)</f>
        <v>#N/A</v>
      </c>
      <c r="H8258" s="8" t="s">
        <v>22</v>
      </c>
      <c r="I8258" s="8"/>
      <c r="J8258">
        <v>10.28</v>
      </c>
      <c r="M8258" t="s">
        <v>2513</v>
      </c>
      <c r="O8258" t="str">
        <f>LEFT(Table2[[#This Row],[Description]],75)</f>
        <v>KUM&amp;GO 1113 AMES AMES IA REF #2469216NT32FXWQGV</v>
      </c>
    </row>
    <row r="8259" spans="1:15" hidden="1">
      <c r="A8259" s="25">
        <f>VALUE(YEAR(Table2[[#This Row],[Date]])&amp;TEXT(MONTH(Table2[[#This Row],[Date]]),"00"))</f>
        <v>202211</v>
      </c>
      <c r="B8259" s="6">
        <v>44892</v>
      </c>
      <c r="C8259" t="s">
        <v>2262</v>
      </c>
      <c r="D8259" t="s">
        <v>3372</v>
      </c>
      <c r="E8259">
        <f t="shared" si="57"/>
        <v>46.36</v>
      </c>
      <c r="F8259" s="2" t="str">
        <f>IF(Table2[[#This Row],[Manual Cat Value]]="",VLOOKUP(Table2[[#This Row],[Description]],'Actuals Lookup'!D:F,3,0),Table2[[#This Row],[Manual Cat Value]])</f>
        <v>Exp - Transportation</v>
      </c>
      <c r="G8259" t="e">
        <f>VLOOKUP(D8259,Lookup!G:H,2,0)</f>
        <v>#N/A</v>
      </c>
      <c r="H8259" s="8" t="s">
        <v>22</v>
      </c>
      <c r="I8259" s="8"/>
      <c r="J8259">
        <v>46.36</v>
      </c>
      <c r="M8259" t="s">
        <v>2513</v>
      </c>
      <c r="O8259" t="str">
        <f>LEFT(Table2[[#This Row],[Description]],75)</f>
        <v>QT 204 KANSAS CITY MO REF #2469216NT32JFSNHB</v>
      </c>
    </row>
    <row r="8260" spans="1:15" hidden="1">
      <c r="A8260" s="25">
        <f>VALUE(YEAR(Table2[[#This Row],[Date]])&amp;TEXT(MONTH(Table2[[#This Row],[Date]]),"00"))</f>
        <v>202211</v>
      </c>
      <c r="B8260" s="6">
        <v>44892</v>
      </c>
      <c r="C8260" t="s">
        <v>2262</v>
      </c>
      <c r="D8260" t="s">
        <v>3373</v>
      </c>
      <c r="E8260">
        <f t="shared" si="57"/>
        <v>31</v>
      </c>
      <c r="F8260" s="2" t="str">
        <f>IF(Table2[[#This Row],[Manual Cat Value]]="",VLOOKUP(Table2[[#This Row],[Description]],'Actuals Lookup'!D:F,3,0),Table2[[#This Row],[Manual Cat Value]])</f>
        <v>Exp - Transportation</v>
      </c>
      <c r="G8260" t="e">
        <f>VLOOKUP(D8260,Lookup!G:H,2,0)</f>
        <v>#N/A</v>
      </c>
      <c r="H8260" s="8" t="s">
        <v>22</v>
      </c>
      <c r="I8260" s="8"/>
      <c r="J8260">
        <v>31</v>
      </c>
      <c r="M8260" t="s">
        <v>2513</v>
      </c>
      <c r="O8260" t="str">
        <f>LEFT(Table2[[#This Row],[Description]],75)</f>
        <v>QT 204 KANSAS CITY MO REF #2469216NT32JGDPLE</v>
      </c>
    </row>
    <row r="8261" spans="1:15" hidden="1">
      <c r="A8261" s="25">
        <f>VALUE(YEAR(Table2[[#This Row],[Date]])&amp;TEXT(MONTH(Table2[[#This Row],[Date]]),"00"))</f>
        <v>202211</v>
      </c>
      <c r="B8261" s="6">
        <v>44892</v>
      </c>
      <c r="C8261" t="s">
        <v>2262</v>
      </c>
      <c r="D8261" t="s">
        <v>3374</v>
      </c>
      <c r="E8261">
        <f t="shared" si="57"/>
        <v>78.209999999999994</v>
      </c>
      <c r="F8261" s="2" t="str">
        <f>IF(Table2[[#This Row],[Manual Cat Value]]="",VLOOKUP(Table2[[#This Row],[Description]],'Actuals Lookup'!D:F,3,0),Table2[[#This Row],[Manual Cat Value]])</f>
        <v>Exp - Shopping</v>
      </c>
      <c r="G8261" t="e">
        <f>VLOOKUP(D8261,Lookup!G:H,2,0)</f>
        <v>#N/A</v>
      </c>
      <c r="H8261" s="8" t="s">
        <v>36</v>
      </c>
      <c r="I8261" s="8"/>
      <c r="J8261">
        <v>78.209999999999994</v>
      </c>
      <c r="M8261" t="s">
        <v>2513</v>
      </c>
      <c r="O8261" t="str">
        <f>LEFT(Table2[[#This Row],[Description]],75)</f>
        <v>SP MAVI USA HTTPSMAVIGIYINY REF #2449216NS001PRQQ2</v>
      </c>
    </row>
    <row r="8262" spans="1:15" hidden="1">
      <c r="A8262" s="25">
        <f>VALUE(YEAR(Table2[[#This Row],[Date]])&amp;TEXT(MONTH(Table2[[#This Row],[Date]]),"00"))</f>
        <v>202211</v>
      </c>
      <c r="B8262" s="6">
        <v>44892</v>
      </c>
      <c r="C8262" t="s">
        <v>2262</v>
      </c>
      <c r="D8262" t="s">
        <v>3375</v>
      </c>
      <c r="E8262">
        <f t="shared" si="57"/>
        <v>107.98</v>
      </c>
      <c r="F8262" s="2" t="str">
        <f>IF(Table2[[#This Row],[Manual Cat Value]]="",VLOOKUP(Table2[[#This Row],[Description]],'Actuals Lookup'!D:F,3,0),Table2[[#This Row],[Manual Cat Value]])</f>
        <v>Exp - Gifts</v>
      </c>
      <c r="G8262" t="e">
        <f>VLOOKUP(D8262,Lookup!G:H,2,0)</f>
        <v>#N/A</v>
      </c>
      <c r="H8262" s="8" t="s">
        <v>44</v>
      </c>
      <c r="I8262" s="8"/>
      <c r="J8262">
        <v>107.98</v>
      </c>
      <c r="M8262" t="s">
        <v>2513</v>
      </c>
      <c r="O8262" t="str">
        <f>LEFT(Table2[[#This Row],[Description]],75)</f>
        <v>SP SENDJOESKCBBQ SENDJOESBARBQKS REF #2449216NT000SGK7W</v>
      </c>
    </row>
    <row r="8263" spans="1:15" hidden="1">
      <c r="A8263" s="25">
        <f>VALUE(YEAR(Table2[[#This Row],[Date]])&amp;TEXT(MONTH(Table2[[#This Row],[Date]]),"00"))</f>
        <v>202211</v>
      </c>
      <c r="B8263" s="6">
        <v>44892</v>
      </c>
      <c r="C8263" t="s">
        <v>2262</v>
      </c>
      <c r="D8263" t="s">
        <v>3376</v>
      </c>
      <c r="E8263">
        <f t="shared" si="57"/>
        <v>46.75</v>
      </c>
      <c r="F8263" s="2" t="str">
        <f>IF(Table2[[#This Row],[Manual Cat Value]]="",VLOOKUP(Table2[[#This Row],[Description]],'Actuals Lookup'!D:F,3,0),Table2[[#This Row],[Manual Cat Value]])</f>
        <v>Exp - Shopping</v>
      </c>
      <c r="G8263" t="e">
        <f>VLOOKUP(D8263,Lookup!G:H,2,0)</f>
        <v>#N/A</v>
      </c>
      <c r="H8263" s="8" t="s">
        <v>36</v>
      </c>
      <c r="I8263" s="8"/>
      <c r="J8263">
        <v>46.75</v>
      </c>
      <c r="M8263" t="s">
        <v>2513</v>
      </c>
      <c r="O8263" t="str">
        <f>LEFT(Table2[[#This Row],[Description]],75)</f>
        <v>SP SOTA CLOTHING SPENCEDESIGNSMN REF #2449216NS0017Q96A</v>
      </c>
    </row>
    <row r="8264" spans="1:15" hidden="1">
      <c r="A8264" s="25">
        <f>VALUE(YEAR(Table2[[#This Row],[Date]])&amp;TEXT(MONTH(Table2[[#This Row],[Date]]),"00"))</f>
        <v>202211</v>
      </c>
      <c r="B8264" s="6">
        <v>44893</v>
      </c>
      <c r="C8264" t="s">
        <v>2262</v>
      </c>
      <c r="D8264" t="s">
        <v>3377</v>
      </c>
      <c r="E8264">
        <f t="shared" si="57"/>
        <v>24.99</v>
      </c>
      <c r="F8264" s="2" t="str">
        <f>IF(Table2[[#This Row],[Manual Cat Value]]="",VLOOKUP(Table2[[#This Row],[Description]],'Actuals Lookup'!D:F,3,0),Table2[[#This Row],[Manual Cat Value]])</f>
        <v>Exp - Amazon</v>
      </c>
      <c r="G8264" t="e">
        <f>VLOOKUP(D8264,Lookup!G:H,2,0)</f>
        <v>#N/A</v>
      </c>
      <c r="H8264" s="8" t="s">
        <v>37</v>
      </c>
      <c r="I8264" s="8"/>
      <c r="J8264">
        <v>24.99</v>
      </c>
      <c r="M8264" t="s">
        <v>2513</v>
      </c>
      <c r="O8264" t="str">
        <f>LEFT(Table2[[#This Row],[Description]],75)</f>
        <v>AMZN Mktp US*HW68316W2 Amzn.com/billWA REF #2469216NW34J15NX9</v>
      </c>
    </row>
    <row r="8265" spans="1:15" ht="30" hidden="1">
      <c r="A8265" s="25">
        <f>VALUE(YEAR(Table2[[#This Row],[Date]])&amp;TEXT(MONTH(Table2[[#This Row],[Date]]),"00"))</f>
        <v>202211</v>
      </c>
      <c r="B8265" s="6">
        <v>44893</v>
      </c>
      <c r="C8265" t="s">
        <v>2447</v>
      </c>
      <c r="D8265" s="7" t="s">
        <v>3378</v>
      </c>
      <c r="E8265">
        <f t="shared" si="57"/>
        <v>24.42</v>
      </c>
      <c r="F8265" s="2" t="str">
        <f>IF(Table2[[#This Row],[Manual Cat Value]]="",VLOOKUP(Table2[[#This Row],[Description]],'Actuals Lookup'!D:F,3,0),Table2[[#This Row],[Manual Cat Value]])</f>
        <v>Exp - Amazon</v>
      </c>
      <c r="G8265" t="e">
        <f>VLOOKUP(D8265,Lookup!G:H,2,0)</f>
        <v>#N/A</v>
      </c>
      <c r="H8265" s="8" t="s">
        <v>37</v>
      </c>
      <c r="I8265" s="8"/>
      <c r="J8265">
        <v>24.42</v>
      </c>
      <c r="M8265" t="s">
        <v>2513</v>
      </c>
      <c r="O8265" t="str">
        <f>LEFT(Table2[[#This Row],[Description]],75)</f>
        <v>AMZN MKTP US*HW68K9KO2 AMZN.COM/BILLWA
HYP525HEEVI</v>
      </c>
    </row>
    <row r="8266" spans="1:15" hidden="1">
      <c r="A8266" s="25">
        <f>VALUE(YEAR(Table2[[#This Row],[Date]])&amp;TEXT(MONTH(Table2[[#This Row],[Date]]),"00"))</f>
        <v>202211</v>
      </c>
      <c r="B8266" s="6">
        <v>44893</v>
      </c>
      <c r="C8266" t="s">
        <v>2447</v>
      </c>
      <c r="D8266" t="s">
        <v>3379</v>
      </c>
      <c r="E8266">
        <f t="shared" si="57"/>
        <v>30.61</v>
      </c>
      <c r="F8266" s="2" t="str">
        <f>IF(Table2[[#This Row],[Manual Cat Value]]="",VLOOKUP(Table2[[#This Row],[Description]],'Actuals Lookup'!D:F,3,0),Table2[[#This Row],[Manual Cat Value]])</f>
        <v>Exp - Restaurants</v>
      </c>
      <c r="G8266" t="e">
        <f>VLOOKUP(D8266,Lookup!G:H,2,0)</f>
        <v>#N/A</v>
      </c>
      <c r="H8266" s="8" t="s">
        <v>25</v>
      </c>
      <c r="I8266" s="8"/>
      <c r="J8266">
        <v>30.61</v>
      </c>
      <c r="M8266" t="s">
        <v>2513</v>
      </c>
      <c r="O8266" t="str">
        <f>LEFT(Table2[[#This Row],[Description]],75)</f>
        <v>PAYPAL *DOMINO'S 1931 402-935-2244 CA</v>
      </c>
    </row>
    <row r="8267" spans="1:15" hidden="1">
      <c r="A8267" s="25">
        <f>VALUE(YEAR(Table2[[#This Row],[Date]])&amp;TEXT(MONTH(Table2[[#This Row],[Date]]),"00"))</f>
        <v>202211</v>
      </c>
      <c r="B8267" s="6">
        <v>44893</v>
      </c>
      <c r="C8267" t="s">
        <v>2262</v>
      </c>
      <c r="D8267" t="s">
        <v>3380</v>
      </c>
      <c r="E8267">
        <f t="shared" si="57"/>
        <v>101.98</v>
      </c>
      <c r="F8267" s="2" t="str">
        <f>IF(Table2[[#This Row],[Manual Cat Value]]="",VLOOKUP(Table2[[#This Row],[Description]],'Actuals Lookup'!D:F,3,0),Table2[[#This Row],[Manual Cat Value]])</f>
        <v>Exp - Shopping</v>
      </c>
      <c r="G8267" t="e">
        <f>VLOOKUP(D8267,Lookup!G:H,2,0)</f>
        <v>#N/A</v>
      </c>
      <c r="H8267" s="8" t="s">
        <v>36</v>
      </c>
      <c r="I8267" s="8"/>
      <c r="J8267">
        <v>101.98</v>
      </c>
      <c r="M8267" t="s">
        <v>2513</v>
      </c>
      <c r="O8267" t="str">
        <f>LEFT(Table2[[#This Row],[Description]],75)</f>
        <v>Sorel Footwear US 888-6976735 OR REF #2420429NW00N78A4T</v>
      </c>
    </row>
    <row r="8268" spans="1:15" hidden="1">
      <c r="A8268" s="25">
        <f>VALUE(YEAR(Table2[[#This Row],[Date]])&amp;TEXT(MONTH(Table2[[#This Row],[Date]]),"00"))</f>
        <v>202211</v>
      </c>
      <c r="B8268" s="6">
        <v>44893</v>
      </c>
      <c r="C8268" t="s">
        <v>2265</v>
      </c>
      <c r="D8268" t="s">
        <v>3381</v>
      </c>
      <c r="E8268">
        <f t="shared" si="57"/>
        <v>74.53</v>
      </c>
      <c r="F8268" s="2" t="str">
        <f>IF(Table2[[#This Row],[Manual Cat Value]]="",VLOOKUP(Table2[[#This Row],[Description]],'Actuals Lookup'!D:F,3,0),Table2[[#This Row],[Manual Cat Value]])</f>
        <v>Exp - Shopping</v>
      </c>
      <c r="G8268" t="e">
        <f>VLOOKUP(D8268,Lookup!G:H,2,0)</f>
        <v>#N/A</v>
      </c>
      <c r="H8268" s="8" t="s">
        <v>36</v>
      </c>
      <c r="I8268" s="8"/>
      <c r="J8268">
        <v>74.53</v>
      </c>
      <c r="M8268" t="s">
        <v>2513</v>
      </c>
      <c r="O8268" t="str">
        <f>LEFT(Table2[[#This Row],[Description]],75)</f>
        <v xml:space="preserve">Withdrawal ACH PAYPAL TYPE: INST XFER ID: PAYPALSI77 CO: PAYPAL NAME: JEFF </v>
      </c>
    </row>
    <row r="8269" spans="1:15" hidden="1">
      <c r="A8269" s="25">
        <f>VALUE(YEAR(Table2[[#This Row],[Date]])&amp;TEXT(MONTH(Table2[[#This Row],[Date]]),"00"))</f>
        <v>202211</v>
      </c>
      <c r="B8269" s="6">
        <v>44893</v>
      </c>
      <c r="C8269" t="s">
        <v>2265</v>
      </c>
      <c r="D8269" t="s">
        <v>3382</v>
      </c>
      <c r="E8269">
        <f t="shared" si="57"/>
        <v>0.99</v>
      </c>
      <c r="F8269" s="2" t="str">
        <f>IF(Table2[[#This Row],[Manual Cat Value]]="",VLOOKUP(Table2[[#This Row],[Description]],'Actuals Lookup'!D:F,3,0),Table2[[#This Row],[Manual Cat Value]])</f>
        <v>Exp - Entertainment</v>
      </c>
      <c r="G8269" t="e">
        <f>VLOOKUP(D8269,Lookup!G:H,2,0)</f>
        <v>#N/A</v>
      </c>
      <c r="H8269" s="8" t="s">
        <v>39</v>
      </c>
      <c r="I8269" s="8"/>
      <c r="J8269">
        <v>0.99</v>
      </c>
      <c r="M8269" t="s">
        <v>2513</v>
      </c>
      <c r="O8269" t="str">
        <f>LEFT(Table2[[#This Row],[Description]],75)</f>
        <v xml:space="preserve">Withdrawal ACH PAYPAL TYPE: INST XFER ID: PAYPALSI77 CO: PAYPAL NAME: JEFF </v>
      </c>
    </row>
    <row r="8270" spans="1:15" hidden="1">
      <c r="A8270" s="25">
        <f>VALUE(YEAR(Table2[[#This Row],[Date]])&amp;TEXT(MONTH(Table2[[#This Row],[Date]]),"00"))</f>
        <v>202211</v>
      </c>
      <c r="B8270" s="6">
        <v>44893</v>
      </c>
      <c r="C8270" t="s">
        <v>2265</v>
      </c>
      <c r="D8270" t="s">
        <v>3383</v>
      </c>
      <c r="E8270">
        <f t="shared" si="57"/>
        <v>94.39</v>
      </c>
      <c r="F8270" s="2" t="str">
        <f>IF(Table2[[#This Row],[Manual Cat Value]]="",VLOOKUP(Table2[[#This Row],[Description]],'Actuals Lookup'!D:F,3,0),Table2[[#This Row],[Manual Cat Value]])</f>
        <v>Exp - Shopping</v>
      </c>
      <c r="G8270" t="e">
        <f>VLOOKUP(D8270,Lookup!G:H,2,0)</f>
        <v>#N/A</v>
      </c>
      <c r="H8270" s="8" t="s">
        <v>36</v>
      </c>
      <c r="I8270" s="8"/>
      <c r="J8270">
        <v>94.39</v>
      </c>
      <c r="M8270" t="s">
        <v>2513</v>
      </c>
      <c r="O8270" t="str">
        <f>LEFT(Table2[[#This Row],[Description]],75)</f>
        <v xml:space="preserve">Withdrawal ACH PAYPAL TYPE: INST XFER ID: PAYPALSI77 CO: PAYPAL NAME: JEFF </v>
      </c>
    </row>
    <row r="8271" spans="1:15" hidden="1">
      <c r="A8271" s="25">
        <f>VALUE(YEAR(Table2[[#This Row],[Date]])&amp;TEXT(MONTH(Table2[[#This Row],[Date]]),"00"))</f>
        <v>202211</v>
      </c>
      <c r="B8271" s="6">
        <v>44894</v>
      </c>
      <c r="C8271" t="s">
        <v>2262</v>
      </c>
      <c r="D8271" t="s">
        <v>3384</v>
      </c>
      <c r="E8271">
        <f t="shared" si="57"/>
        <v>-44.9</v>
      </c>
      <c r="F8271" s="2" t="str">
        <f>IF(Table2[[#This Row],[Manual Cat Value]]="",VLOOKUP(Table2[[#This Row],[Description]],'Actuals Lookup'!D:F,3,0),Table2[[#This Row],[Manual Cat Value]])</f>
        <v>Exp - Amazon</v>
      </c>
      <c r="G8271" t="e">
        <f>VLOOKUP(D8271,Lookup!G:H,2,0)</f>
        <v>#N/A</v>
      </c>
      <c r="H8271" s="8" t="s">
        <v>37</v>
      </c>
      <c r="I8271" s="8"/>
      <c r="J8271">
        <v>44.9</v>
      </c>
      <c r="M8271" t="s">
        <v>2621</v>
      </c>
      <c r="O8271" t="str">
        <f>LEFT(Table2[[#This Row],[Description]],75)</f>
        <v>AMAZON.COM AMZN.COM/BILL AMZN.COM/BILLWA REF #7443106NW2D9P975P</v>
      </c>
    </row>
    <row r="8272" spans="1:15" ht="30" hidden="1">
      <c r="A8272" s="25">
        <f>VALUE(YEAR(Table2[[#This Row],[Date]])&amp;TEXT(MONTH(Table2[[#This Row],[Date]]),"00"))</f>
        <v>202211</v>
      </c>
      <c r="B8272" s="6">
        <v>44894</v>
      </c>
      <c r="C8272" t="s">
        <v>2447</v>
      </c>
      <c r="D8272" s="7" t="s">
        <v>3385</v>
      </c>
      <c r="E8272">
        <f t="shared" si="57"/>
        <v>-20.98</v>
      </c>
      <c r="F8272" s="2" t="str">
        <f>IF(Table2[[#This Row],[Manual Cat Value]]="",VLOOKUP(Table2[[#This Row],[Description]],'Actuals Lookup'!D:F,3,0),Table2[[#This Row],[Manual Cat Value]])</f>
        <v>Exp - Amazon</v>
      </c>
      <c r="G8272" t="e">
        <f>VLOOKUP(D8272,Lookup!G:H,2,0)</f>
        <v>#N/A</v>
      </c>
      <c r="H8272" s="8" t="s">
        <v>37</v>
      </c>
      <c r="I8272" s="8"/>
      <c r="J8272">
        <v>20.98</v>
      </c>
      <c r="M8272" t="s">
        <v>2621</v>
      </c>
      <c r="O8272" t="str">
        <f>LEFT(Table2[[#This Row],[Description]],75)</f>
        <v>AMZN MKTP US AMZN.COM/BILLWA
1RP2F7L7TT2</v>
      </c>
    </row>
    <row r="8273" spans="1:15" ht="30" hidden="1">
      <c r="A8273" s="25">
        <f>VALUE(YEAR(Table2[[#This Row],[Date]])&amp;TEXT(MONTH(Table2[[#This Row],[Date]]),"00"))</f>
        <v>202211</v>
      </c>
      <c r="B8273" s="6">
        <v>44894</v>
      </c>
      <c r="C8273" t="s">
        <v>2447</v>
      </c>
      <c r="D8273" s="7" t="s">
        <v>3386</v>
      </c>
      <c r="E8273">
        <f t="shared" si="57"/>
        <v>-27.89</v>
      </c>
      <c r="F8273" s="2" t="str">
        <f>IF(Table2[[#This Row],[Manual Cat Value]]="",VLOOKUP(Table2[[#This Row],[Description]],'Actuals Lookup'!D:F,3,0),Table2[[#This Row],[Manual Cat Value]])</f>
        <v>Exp - Amazon</v>
      </c>
      <c r="G8273" t="e">
        <f>VLOOKUP(D8273,Lookup!G:H,2,0)</f>
        <v>#N/A</v>
      </c>
      <c r="H8273" s="8" t="s">
        <v>37</v>
      </c>
      <c r="I8273" s="8"/>
      <c r="J8273">
        <v>27.89</v>
      </c>
      <c r="M8273" t="s">
        <v>2621</v>
      </c>
      <c r="O8273" t="str">
        <f>LEFT(Table2[[#This Row],[Description]],75)</f>
        <v>AMZN MKTP US AMZN.COM/BILLWA
4KDH6DF3KI8</v>
      </c>
    </row>
    <row r="8274" spans="1:15" ht="30" hidden="1">
      <c r="A8274" s="25">
        <f>VALUE(YEAR(Table2[[#This Row],[Date]])&amp;TEXT(MONTH(Table2[[#This Row],[Date]]),"00"))</f>
        <v>202211</v>
      </c>
      <c r="B8274" s="6">
        <v>44894</v>
      </c>
      <c r="C8274" t="s">
        <v>2447</v>
      </c>
      <c r="D8274" s="7" t="s">
        <v>3387</v>
      </c>
      <c r="E8274">
        <f t="shared" si="57"/>
        <v>-29.99</v>
      </c>
      <c r="F8274" s="2" t="str">
        <f>IF(Table2[[#This Row],[Manual Cat Value]]="",VLOOKUP(Table2[[#This Row],[Description]],'Actuals Lookup'!D:F,3,0),Table2[[#This Row],[Manual Cat Value]])</f>
        <v>Exp - Amazon</v>
      </c>
      <c r="G8274" t="e">
        <f>VLOOKUP(D8274,Lookup!G:H,2,0)</f>
        <v>#N/A</v>
      </c>
      <c r="H8274" s="8" t="s">
        <v>37</v>
      </c>
      <c r="I8274" s="8"/>
      <c r="J8274">
        <v>29.99</v>
      </c>
      <c r="M8274" t="s">
        <v>2621</v>
      </c>
      <c r="O8274" t="str">
        <f>LEFT(Table2[[#This Row],[Description]],75)</f>
        <v>AMZN MKTP US AMZN.COM/BILLWA
A2522MV4EOE</v>
      </c>
    </row>
    <row r="8275" spans="1:15" hidden="1">
      <c r="A8275" s="25">
        <f>VALUE(YEAR(Table2[[#This Row],[Date]])&amp;TEXT(MONTH(Table2[[#This Row],[Date]]),"00"))</f>
        <v>202211</v>
      </c>
      <c r="B8275" s="6">
        <v>44894</v>
      </c>
      <c r="C8275" t="s">
        <v>2262</v>
      </c>
      <c r="D8275" t="s">
        <v>3388</v>
      </c>
      <c r="E8275">
        <f t="shared" si="57"/>
        <v>40</v>
      </c>
      <c r="F8275" s="2" t="str">
        <f>IF(Table2[[#This Row],[Manual Cat Value]]="",VLOOKUP(Table2[[#This Row],[Description]],'Actuals Lookup'!D:F,3,0),Table2[[#This Row],[Manual Cat Value]])</f>
        <v>Exp - Transportation</v>
      </c>
      <c r="G8275" t="e">
        <f>VLOOKUP(D8275,Lookup!G:H,2,0)</f>
        <v>#N/A</v>
      </c>
      <c r="H8275" s="8" t="s">
        <v>22</v>
      </c>
      <c r="I8275" s="8"/>
      <c r="J8275">
        <v>40</v>
      </c>
      <c r="M8275" t="s">
        <v>2513</v>
      </c>
      <c r="O8275" t="str">
        <f>LEFT(Table2[[#This Row],[Description]],75)</f>
        <v>CASEYS #2550 OSCEOLA IA REF #2444500NW8PY02J8H</v>
      </c>
    </row>
    <row r="8276" spans="1:15" hidden="1">
      <c r="A8276" s="25">
        <f>VALUE(YEAR(Table2[[#This Row],[Date]])&amp;TEXT(MONTH(Table2[[#This Row],[Date]]),"00"))</f>
        <v>202211</v>
      </c>
      <c r="B8276" s="6">
        <v>44894</v>
      </c>
      <c r="C8276" t="s">
        <v>2265</v>
      </c>
      <c r="D8276" t="s">
        <v>3389</v>
      </c>
      <c r="E8276">
        <f t="shared" si="57"/>
        <v>-128</v>
      </c>
      <c r="F8276" s="2" t="str">
        <f>IF(Table2[[#This Row],[Manual Cat Value]]="",VLOOKUP(Table2[[#This Row],[Description]],'Actuals Lookup'!D:F,3,0),Table2[[#This Row],[Manual Cat Value]])</f>
        <v>Exp - Shopping</v>
      </c>
      <c r="G8276" t="e">
        <f>VLOOKUP(D8276,Lookup!G:H,2,0)</f>
        <v>#N/A</v>
      </c>
      <c r="H8276" s="8" t="s">
        <v>36</v>
      </c>
      <c r="I8276" s="8"/>
      <c r="J8276">
        <v>128</v>
      </c>
      <c r="M8276" t="s">
        <v>2621</v>
      </c>
      <c r="O8276" t="str">
        <f>LEFT(Table2[[#This Row],[Description]],75)</f>
        <v>Deposit ACH PAYPAL TYPE: TRANSFER ID: PAYPALSD11 CO: PAYPAL Entry Class Cod</v>
      </c>
    </row>
    <row r="8277" spans="1:15" hidden="1">
      <c r="A8277" s="25">
        <f>VALUE(YEAR(Table2[[#This Row],[Date]])&amp;TEXT(MONTH(Table2[[#This Row],[Date]]),"00"))</f>
        <v>202211</v>
      </c>
      <c r="B8277" s="6">
        <v>44894</v>
      </c>
      <c r="C8277" t="s">
        <v>2265</v>
      </c>
      <c r="D8277" t="s">
        <v>3390</v>
      </c>
      <c r="E8277">
        <f t="shared" si="57"/>
        <v>-2922.31</v>
      </c>
      <c r="F8277" s="2" t="str">
        <f>IF(Table2[[#This Row],[Manual Cat Value]]="",VLOOKUP(Table2[[#This Row],[Description]],'Actuals Lookup'!D:F,3,0),Table2[[#This Row],[Manual Cat Value]])</f>
        <v>Inc - Jeff</v>
      </c>
      <c r="G8277" t="e">
        <f>VLOOKUP(D8277,Lookup!G:H,2,0)</f>
        <v>#N/A</v>
      </c>
      <c r="H8277" s="8" t="s">
        <v>63</v>
      </c>
      <c r="I8277" s="8"/>
      <c r="J8277">
        <v>2922.31</v>
      </c>
      <c r="M8277" t="s">
        <v>2621</v>
      </c>
      <c r="O8277" t="str">
        <f>LEFT(Table2[[#This Row],[Description]],75)</f>
        <v>Deposit ACH TRINET TYPE: PAYROLL ID: 194XXXXXXX CO: TRINET Entry Class Code</v>
      </c>
    </row>
    <row r="8278" spans="1:15" hidden="1">
      <c r="A8278" s="25">
        <f>VALUE(YEAR(Table2[[#This Row],[Date]])&amp;TEXT(MONTH(Table2[[#This Row],[Date]]),"00"))</f>
        <v>202211</v>
      </c>
      <c r="B8278" s="6">
        <v>44894</v>
      </c>
      <c r="C8278" t="s">
        <v>2262</v>
      </c>
      <c r="D8278" t="s">
        <v>3391</v>
      </c>
      <c r="E8278">
        <f t="shared" si="57"/>
        <v>386.19</v>
      </c>
      <c r="F8278" s="2" t="str">
        <f>IF(Table2[[#This Row],[Manual Cat Value]]="",VLOOKUP(Table2[[#This Row],[Description]],'Actuals Lookup'!D:F,3,0),Table2[[#This Row],[Manual Cat Value]])</f>
        <v>Exp - Travel</v>
      </c>
      <c r="G8278" t="e">
        <f>VLOOKUP(D8278,Lookup!G:H,2,0)</f>
        <v>#N/A</v>
      </c>
      <c r="H8278" s="8" t="s">
        <v>52</v>
      </c>
      <c r="I8278" s="8"/>
      <c r="J8278">
        <v>386.19</v>
      </c>
      <c r="M8278" t="s">
        <v>2513</v>
      </c>
      <c r="O8278" t="str">
        <f>LEFT(Table2[[#This Row],[Description]],75)</f>
        <v>HAMPTON INN OVERLAND OVERLAND PARKKS REF #2490604NW16PRY0JL</v>
      </c>
    </row>
    <row r="8279" spans="1:15" hidden="1">
      <c r="A8279" s="25">
        <f>VALUE(YEAR(Table2[[#This Row],[Date]])&amp;TEXT(MONTH(Table2[[#This Row],[Date]]),"00"))</f>
        <v>202211</v>
      </c>
      <c r="B8279" s="6">
        <v>44894</v>
      </c>
      <c r="C8279" t="s">
        <v>2262</v>
      </c>
      <c r="D8279" t="s">
        <v>3392</v>
      </c>
      <c r="E8279">
        <f t="shared" si="57"/>
        <v>34.31</v>
      </c>
      <c r="F8279" s="2" t="str">
        <f>IF(Table2[[#This Row],[Manual Cat Value]]="",VLOOKUP(Table2[[#This Row],[Description]],'Actuals Lookup'!D:F,3,0),Table2[[#This Row],[Manual Cat Value]])</f>
        <v>Exp - Transportation</v>
      </c>
      <c r="G8279" t="e">
        <f>VLOOKUP(D8279,Lookup!G:H,2,0)</f>
        <v>#N/A</v>
      </c>
      <c r="H8279" s="8" t="s">
        <v>22</v>
      </c>
      <c r="I8279" s="8"/>
      <c r="J8279">
        <v>34.31</v>
      </c>
      <c r="M8279" t="s">
        <v>2513</v>
      </c>
      <c r="O8279" t="str">
        <f>LEFT(Table2[[#This Row],[Description]],75)</f>
        <v>KUM&amp;GO 0302 CLEAR LA CLEAR LAKE IA REF #2469216NW34NW7JNT</v>
      </c>
    </row>
    <row r="8280" spans="1:15" hidden="1">
      <c r="A8280" s="25">
        <f>VALUE(YEAR(Table2[[#This Row],[Date]])&amp;TEXT(MONTH(Table2[[#This Row],[Date]]),"00"))</f>
        <v>202211</v>
      </c>
      <c r="B8280" s="6">
        <v>44894</v>
      </c>
      <c r="C8280" t="s">
        <v>2447</v>
      </c>
      <c r="D8280" t="s">
        <v>3214</v>
      </c>
      <c r="E8280">
        <f t="shared" si="57"/>
        <v>-23.45</v>
      </c>
      <c r="F8280" s="2" t="str">
        <f>IF(Table2[[#This Row],[Manual Cat Value]]="",VLOOKUP(Table2[[#This Row],[Description]],'Actuals Lookup'!D:F,3,0),Table2[[#This Row],[Manual Cat Value]])</f>
        <v>Exp - Shopping</v>
      </c>
      <c r="G8280" t="e">
        <f>VLOOKUP(D8280,Lookup!G:H,2,0)</f>
        <v>#N/A</v>
      </c>
      <c r="H8280" s="8" t="s">
        <v>36</v>
      </c>
      <c r="I8280" s="8"/>
      <c r="J8280">
        <v>23.45</v>
      </c>
      <c r="M8280" t="s">
        <v>2621</v>
      </c>
      <c r="O8280" t="str">
        <f>LEFT(Table2[[#This Row],[Description]],75)</f>
        <v>PAYPAL *LLBEANINC 402-935-7733 CA</v>
      </c>
    </row>
    <row r="8281" spans="1:15" hidden="1">
      <c r="A8281" s="25">
        <f>VALUE(YEAR(Table2[[#This Row],[Date]])&amp;TEXT(MONTH(Table2[[#This Row],[Date]]),"00"))</f>
        <v>202211</v>
      </c>
      <c r="B8281" s="6">
        <v>44894</v>
      </c>
      <c r="C8281" t="s">
        <v>2262</v>
      </c>
      <c r="D8281" t="s">
        <v>3393</v>
      </c>
      <c r="E8281">
        <f t="shared" si="57"/>
        <v>50.15</v>
      </c>
      <c r="F8281" s="2" t="str">
        <f>IF(Table2[[#This Row],[Manual Cat Value]]="",VLOOKUP(Table2[[#This Row],[Description]],'Actuals Lookup'!D:F,3,0),Table2[[#This Row],[Manual Cat Value]])</f>
        <v>Exp - Restaurants</v>
      </c>
      <c r="G8281" t="e">
        <f>VLOOKUP(D8281,Lookup!G:H,2,0)</f>
        <v>#N/A</v>
      </c>
      <c r="H8281" s="8" t="s">
        <v>25</v>
      </c>
      <c r="I8281" s="8"/>
      <c r="J8281">
        <v>50.15</v>
      </c>
      <c r="M8281" t="s">
        <v>2513</v>
      </c>
      <c r="O8281" t="str">
        <f>LEFT(Table2[[#This Row],[Description]],75)</f>
        <v>TST* Zombie Burger EV Des Moines IA REF #2469216NW34NEL0A7</v>
      </c>
    </row>
    <row r="8282" spans="1:15" hidden="1">
      <c r="A8282" s="25">
        <f>VALUE(YEAR(Table2[[#This Row],[Date]])&amp;TEXT(MONTH(Table2[[#This Row],[Date]]),"00"))</f>
        <v>202211</v>
      </c>
      <c r="B8282" s="6">
        <v>44894</v>
      </c>
      <c r="C8282" t="s">
        <v>2265</v>
      </c>
      <c r="D8282" t="s">
        <v>3394</v>
      </c>
      <c r="E8282">
        <f t="shared" si="57"/>
        <v>315</v>
      </c>
      <c r="F8282" s="2" t="str">
        <f>IF(Table2[[#This Row],[Manual Cat Value]]="",VLOOKUP(Table2[[#This Row],[Description]],'Actuals Lookup'!D:F,3,0),Table2[[#This Row],[Manual Cat Value]])</f>
        <v>Exp - Day Care</v>
      </c>
      <c r="G8282" t="e">
        <f>VLOOKUP(D8282,Lookup!G:H,2,0)</f>
        <v>#N/A</v>
      </c>
      <c r="H8282" s="8" t="s">
        <v>19</v>
      </c>
      <c r="I8282" s="8"/>
      <c r="J8282">
        <v>315</v>
      </c>
      <c r="M8282" t="s">
        <v>2513</v>
      </c>
      <c r="O8282" t="str">
        <f>LEFT(Table2[[#This Row],[Description]],75)</f>
        <v xml:space="preserve">Withdrawal ACH MHCHILDCARELLC TYPE: DUES ID: 1824708198 CO: MHCHILDCARELLC </v>
      </c>
    </row>
    <row r="8283" spans="1:15" hidden="1">
      <c r="A8283" s="25">
        <f>VALUE(YEAR(Table2[[#This Row],[Date]])&amp;TEXT(MONTH(Table2[[#This Row],[Date]]),"00"))</f>
        <v>202211</v>
      </c>
      <c r="B8283" s="6">
        <v>44894</v>
      </c>
      <c r="C8283" t="s">
        <v>2265</v>
      </c>
      <c r="D8283" t="s">
        <v>3395</v>
      </c>
      <c r="E8283">
        <f t="shared" si="57"/>
        <v>33.22</v>
      </c>
      <c r="F8283" s="2" t="str">
        <f>IF(Table2[[#This Row],[Manual Cat Value]]="",VLOOKUP(Table2[[#This Row],[Description]],'Actuals Lookup'!D:F,3,0),Table2[[#This Row],[Manual Cat Value]])</f>
        <v>Exp - Shopping</v>
      </c>
      <c r="G8283" t="e">
        <f>VLOOKUP(D8283,Lookup!G:H,2,0)</f>
        <v>#N/A</v>
      </c>
      <c r="H8283" s="8" t="s">
        <v>36</v>
      </c>
      <c r="I8283" s="8"/>
      <c r="J8283">
        <v>33.22</v>
      </c>
      <c r="M8283" t="s">
        <v>2513</v>
      </c>
      <c r="O8283" t="str">
        <f>LEFT(Table2[[#This Row],[Description]],75)</f>
        <v xml:space="preserve">Withdrawal ACH PAYPAL TYPE: INST XFER ID: PAYPALSI77 CO: PAYPAL NAME: JEFF </v>
      </c>
    </row>
    <row r="8284" spans="1:15" hidden="1">
      <c r="A8284" s="25">
        <f>VALUE(YEAR(Table2[[#This Row],[Date]])&amp;TEXT(MONTH(Table2[[#This Row],[Date]]),"00"))</f>
        <v>202211</v>
      </c>
      <c r="B8284" s="6">
        <v>44894</v>
      </c>
      <c r="C8284" t="s">
        <v>2265</v>
      </c>
      <c r="D8284" t="s">
        <v>3396</v>
      </c>
      <c r="E8284">
        <f t="shared" si="57"/>
        <v>0.99</v>
      </c>
      <c r="F8284" s="2" t="str">
        <f>IF(Table2[[#This Row],[Manual Cat Value]]="",VLOOKUP(Table2[[#This Row],[Description]],'Actuals Lookup'!D:F,3,0),Table2[[#This Row],[Manual Cat Value]])</f>
        <v>Exp - Entertainment</v>
      </c>
      <c r="G8284" t="e">
        <f>VLOOKUP(D8284,Lookup!G:H,2,0)</f>
        <v>#N/A</v>
      </c>
      <c r="H8284" s="8" t="s">
        <v>39</v>
      </c>
      <c r="I8284" s="8"/>
      <c r="J8284">
        <v>0.99</v>
      </c>
      <c r="M8284" t="s">
        <v>2513</v>
      </c>
      <c r="O8284" t="str">
        <f>LEFT(Table2[[#This Row],[Description]],75)</f>
        <v xml:space="preserve">Withdrawal ACH PAYPAL TYPE: INST XFER ID: PAYPALSI77 CO: PAYPAL NAME: JEFF </v>
      </c>
    </row>
    <row r="8285" spans="1:15" hidden="1">
      <c r="A8285" s="25">
        <f>VALUE(YEAR(Table2[[#This Row],[Date]])&amp;TEXT(MONTH(Table2[[#This Row],[Date]]),"00"))</f>
        <v>202211</v>
      </c>
      <c r="B8285" s="6">
        <v>44894</v>
      </c>
      <c r="C8285" t="s">
        <v>2265</v>
      </c>
      <c r="D8285" t="s">
        <v>2640</v>
      </c>
      <c r="E8285">
        <f t="shared" si="57"/>
        <v>5349.29</v>
      </c>
      <c r="F8285" s="2" t="str">
        <f>IF(Table2[[#This Row],[Manual Cat Value]]="",VLOOKUP(Table2[[#This Row],[Description]],'Actuals Lookup'!D:F,3,0),Table2[[#This Row],[Manual Cat Value]])</f>
        <v>Delete</v>
      </c>
      <c r="G8285" t="e">
        <f>VLOOKUP(D8285,Lookup!G:H,2,0)</f>
        <v>#N/A</v>
      </c>
      <c r="H8285" s="8" t="s">
        <v>9</v>
      </c>
      <c r="I8285" s="8"/>
      <c r="J8285">
        <v>5349.29</v>
      </c>
      <c r="M8285" t="s">
        <v>2513</v>
      </c>
      <c r="O8285" t="str">
        <f>LEFT(Table2[[#This Row],[Description]],75)</f>
        <v>Withdrawal Home Banking Pmt to card XXXXXXXXXXXX-9181</v>
      </c>
    </row>
    <row r="8286" spans="1:15" hidden="1">
      <c r="A8286" s="25">
        <f>VALUE(YEAR(Table2[[#This Row],[Date]])&amp;TEXT(MONTH(Table2[[#This Row],[Date]]),"00"))</f>
        <v>202211</v>
      </c>
      <c r="B8286" s="6">
        <v>44894</v>
      </c>
      <c r="C8286" t="s">
        <v>2447</v>
      </c>
      <c r="D8286" t="s">
        <v>997</v>
      </c>
      <c r="E8286">
        <f t="shared" si="57"/>
        <v>-697.23</v>
      </c>
      <c r="F8286" s="2" t="str">
        <f>IF(Table2[[#This Row],[Manual Cat Value]]="",VLOOKUP(Table2[[#This Row],[Description]],'Actuals Lookup'!D:F,3,0),Table2[[#This Row],[Manual Cat Value]])</f>
        <v>Delete</v>
      </c>
      <c r="G8286" t="str">
        <f>VLOOKUP(D8286,Lookup!G:H,2,0)</f>
        <v>Delete</v>
      </c>
      <c r="H8286" s="8" t="s">
        <v>9</v>
      </c>
      <c r="I8286" s="8"/>
      <c r="J8286">
        <v>697.23</v>
      </c>
      <c r="M8286" t="s">
        <v>2621</v>
      </c>
      <c r="O8286" t="str">
        <f>LEFT(Table2[[#This Row],[Description]],75)</f>
        <v>INTERNET PAYMENT - THANK YOU</v>
      </c>
    </row>
    <row r="8287" spans="1:15" hidden="1">
      <c r="A8287" s="25">
        <f>VALUE(YEAR(Table2[[#This Row],[Date]])&amp;TEXT(MONTH(Table2[[#This Row],[Date]]),"00"))</f>
        <v>202211</v>
      </c>
      <c r="B8287" s="6">
        <v>44894</v>
      </c>
      <c r="C8287" t="s">
        <v>2262</v>
      </c>
      <c r="D8287" t="s">
        <v>3397</v>
      </c>
      <c r="E8287">
        <f t="shared" si="57"/>
        <v>-5349.29</v>
      </c>
      <c r="F8287" s="2" t="str">
        <f>IF(Table2[[#This Row],[Manual Cat Value]]="",VLOOKUP(Table2[[#This Row],[Description]],'Actuals Lookup'!D:F,3,0),Table2[[#This Row],[Manual Cat Value]])</f>
        <v>Delete</v>
      </c>
      <c r="G8287" t="e">
        <f>VLOOKUP(D8287,Lookup!G:H,2,0)</f>
        <v>#N/A</v>
      </c>
      <c r="H8287" s="8" t="s">
        <v>9</v>
      </c>
      <c r="I8287" s="8"/>
      <c r="J8287">
        <v>5349.29</v>
      </c>
      <c r="M8287" t="s">
        <v>2621</v>
      </c>
      <c r="O8287" t="str">
        <f>LEFT(Table2[[#This Row],[Description]],75)</f>
        <v>PAYMENT - THANK YOU REF #7473457NY00XTMJG1</v>
      </c>
    </row>
    <row r="8288" spans="1:15" hidden="1">
      <c r="A8288" s="25">
        <f>VALUE(YEAR(Table2[[#This Row],[Date]])&amp;TEXT(MONTH(Table2[[#This Row],[Date]]),"00"))</f>
        <v>202211</v>
      </c>
      <c r="B8288" s="6">
        <v>44895</v>
      </c>
      <c r="C8288" t="s">
        <v>2262</v>
      </c>
      <c r="D8288" t="s">
        <v>3398</v>
      </c>
      <c r="E8288">
        <f t="shared" si="57"/>
        <v>-9.99</v>
      </c>
      <c r="F8288" s="2" t="str">
        <f>IF(Table2[[#This Row],[Manual Cat Value]]="",VLOOKUP(Table2[[#This Row],[Description]],'Actuals Lookup'!D:F,3,0),Table2[[#This Row],[Manual Cat Value]])</f>
        <v>Exp - Amazon</v>
      </c>
      <c r="G8288" t="e">
        <f>VLOOKUP(D8288,Lookup!G:H,2,0)</f>
        <v>#N/A</v>
      </c>
      <c r="H8288" s="8" t="s">
        <v>37</v>
      </c>
      <c r="I8288" s="8"/>
      <c r="J8288">
        <v>9.99</v>
      </c>
      <c r="M8288" t="s">
        <v>2621</v>
      </c>
      <c r="O8288" t="str">
        <f>LEFT(Table2[[#This Row],[Description]],75)</f>
        <v>AMZN Mktp US Amzn.com/billWA REF #7469216NX35JLD8GE</v>
      </c>
    </row>
    <row r="8289" spans="1:15" hidden="1">
      <c r="A8289" s="25">
        <f>VALUE(YEAR(Table2[[#This Row],[Date]])&amp;TEXT(MONTH(Table2[[#This Row],[Date]]),"00"))</f>
        <v>202211</v>
      </c>
      <c r="B8289" s="6">
        <v>44895</v>
      </c>
      <c r="C8289" t="s">
        <v>2262</v>
      </c>
      <c r="D8289" t="s">
        <v>3399</v>
      </c>
      <c r="E8289">
        <f t="shared" si="57"/>
        <v>-12.98</v>
      </c>
      <c r="F8289" s="2" t="str">
        <f>IF(Table2[[#This Row],[Manual Cat Value]]="",VLOOKUP(Table2[[#This Row],[Description]],'Actuals Lookup'!D:F,3,0),Table2[[#This Row],[Manual Cat Value]])</f>
        <v>Exp - Amazon</v>
      </c>
      <c r="G8289" t="e">
        <f>VLOOKUP(D8289,Lookup!G:H,2,0)</f>
        <v>#N/A</v>
      </c>
      <c r="H8289" s="8" t="s">
        <v>37</v>
      </c>
      <c r="I8289" s="8"/>
      <c r="J8289">
        <v>12.98</v>
      </c>
      <c r="M8289" t="s">
        <v>2621</v>
      </c>
      <c r="O8289" t="str">
        <f>LEFT(Table2[[#This Row],[Description]],75)</f>
        <v>AMZN Mktp US Amzn.com/billWA REF #7469216NX35LNYMM8</v>
      </c>
    </row>
    <row r="8290" spans="1:15" hidden="1">
      <c r="A8290" s="25">
        <f>VALUE(YEAR(Table2[[#This Row],[Date]])&amp;TEXT(MONTH(Table2[[#This Row],[Date]]),"00"))</f>
        <v>202211</v>
      </c>
      <c r="B8290" s="6">
        <v>44895</v>
      </c>
      <c r="C8290" t="s">
        <v>2262</v>
      </c>
      <c r="D8290" t="s">
        <v>3400</v>
      </c>
      <c r="E8290">
        <f t="shared" si="57"/>
        <v>283.73</v>
      </c>
      <c r="F8290" s="2" t="str">
        <f>IF(Table2[[#This Row],[Manual Cat Value]]="",VLOOKUP(Table2[[#This Row],[Description]],'Actuals Lookup'!D:F,3,0),Table2[[#This Row],[Manual Cat Value]])</f>
        <v>Exp - Shopping</v>
      </c>
      <c r="G8290" t="e">
        <f>VLOOKUP(D8290,Lookup!G:H,2,0)</f>
        <v>#N/A</v>
      </c>
      <c r="H8290" s="8" t="s">
        <v>36</v>
      </c>
      <c r="I8290" s="8"/>
      <c r="J8290">
        <v>283.73</v>
      </c>
      <c r="M8290" t="s">
        <v>2513</v>
      </c>
      <c r="O8290" t="str">
        <f>LEFT(Table2[[#This Row],[Description]],75)</f>
        <v>ANNTAYLOR LOFT.COM #61 800-342-5266 CT REF #2443106NX2DDL0W30</v>
      </c>
    </row>
    <row r="8291" spans="1:15" hidden="1">
      <c r="A8291" s="25">
        <f>VALUE(YEAR(Table2[[#This Row],[Date]])&amp;TEXT(MONTH(Table2[[#This Row],[Date]]),"00"))</f>
        <v>202211</v>
      </c>
      <c r="B8291" s="6">
        <v>44895</v>
      </c>
      <c r="C8291" t="s">
        <v>2265</v>
      </c>
      <c r="D8291" t="s">
        <v>2889</v>
      </c>
      <c r="E8291">
        <f t="shared" si="57"/>
        <v>0</v>
      </c>
      <c r="F8291" s="2" t="str">
        <f>IF(Table2[[#This Row],[Manual Cat Value]]="",VLOOKUP(Table2[[#This Row],[Description]],'Actuals Lookup'!D:F,3,0),Table2[[#This Row],[Manual Cat Value]])</f>
        <v>Inc - Other</v>
      </c>
      <c r="G8291" t="e">
        <f>VLOOKUP(D8291,Lookup!G:H,2,0)</f>
        <v>#N/A</v>
      </c>
      <c r="H8291" s="8" t="s">
        <v>16</v>
      </c>
      <c r="I8291" s="8"/>
      <c r="J8291">
        <v>0</v>
      </c>
      <c r="M8291" t="s">
        <v>2621</v>
      </c>
      <c r="O8291" t="str">
        <f>LEFT(Table2[[#This Row],[Description]],75)</f>
        <v>ATM Fee Reimbursement</v>
      </c>
    </row>
    <row r="8292" spans="1:15" hidden="1">
      <c r="A8292" s="25">
        <f>VALUE(YEAR(Table2[[#This Row],[Date]])&amp;TEXT(MONTH(Table2[[#This Row],[Date]]),"00"))</f>
        <v>202211</v>
      </c>
      <c r="B8292" s="6">
        <v>44895</v>
      </c>
      <c r="C8292" t="s">
        <v>2262</v>
      </c>
      <c r="D8292" t="s">
        <v>3401</v>
      </c>
      <c r="E8292">
        <f t="shared" si="57"/>
        <v>598.22</v>
      </c>
      <c r="F8292" s="2" t="str">
        <f>IF(Table2[[#This Row],[Manual Cat Value]]="",VLOOKUP(Table2[[#This Row],[Description]],'Actuals Lookup'!D:F,3,0),Table2[[#This Row],[Manual Cat Value]])</f>
        <v>Exp - Travel</v>
      </c>
      <c r="G8292" t="e">
        <f>VLOOKUP(D8292,Lookup!G:H,2,0)</f>
        <v>#N/A</v>
      </c>
      <c r="H8292" s="8" t="s">
        <v>52</v>
      </c>
      <c r="I8292" s="8"/>
      <c r="J8292">
        <v>598.22</v>
      </c>
      <c r="M8292" t="s">
        <v>2513</v>
      </c>
      <c r="O8292" t="str">
        <f>LEFT(Table2[[#This Row],[Description]],75)</f>
        <v>BLUEFIN BAY FAMILY OF TOFTE MN REF #2400097NX31KB4JPF</v>
      </c>
    </row>
    <row r="8293" spans="1:15" hidden="1">
      <c r="A8293" s="25">
        <f>VALUE(YEAR(Table2[[#This Row],[Date]])&amp;TEXT(MONTH(Table2[[#This Row],[Date]]),"00"))</f>
        <v>202211</v>
      </c>
      <c r="B8293" s="6">
        <v>44895</v>
      </c>
      <c r="C8293" t="s">
        <v>2265</v>
      </c>
      <c r="D8293" t="s">
        <v>3402</v>
      </c>
      <c r="E8293">
        <f t="shared" si="57"/>
        <v>-150</v>
      </c>
      <c r="F8293" s="2" t="str">
        <f>IF(Table2[[#This Row],[Manual Cat Value]]="",VLOOKUP(Table2[[#This Row],[Description]],'Actuals Lookup'!D:F,3,0),Table2[[#This Row],[Manual Cat Value]])</f>
        <v>Delete</v>
      </c>
      <c r="G8293" t="e">
        <f>VLOOKUP(D8293,Lookup!G:H,2,0)</f>
        <v>#N/A</v>
      </c>
      <c r="H8293" s="8" t="s">
        <v>9</v>
      </c>
      <c r="I8293" s="8"/>
      <c r="J8293">
        <v>150</v>
      </c>
      <c r="M8293" t="s">
        <v>2621</v>
      </c>
      <c r="O8293" t="str">
        <f>LEFT(Table2[[#This Row],[Description]],75)</f>
        <v>Deposit ACH EMPYREAN SOLUTIO TYPE: 193XXXXXXX ID: 5330903620 CO: EMPYREAN S</v>
      </c>
    </row>
    <row r="8294" spans="1:15" hidden="1">
      <c r="A8294" s="25">
        <f>VALUE(YEAR(Table2[[#This Row],[Date]])&amp;TEXT(MONTH(Table2[[#This Row],[Date]]),"00"))</f>
        <v>202211</v>
      </c>
      <c r="B8294" s="6">
        <v>44895</v>
      </c>
      <c r="C8294" t="s">
        <v>2265</v>
      </c>
      <c r="D8294" t="s">
        <v>2896</v>
      </c>
      <c r="E8294">
        <f t="shared" si="57"/>
        <v>-3</v>
      </c>
      <c r="F8294" s="2" t="str">
        <f>IF(Table2[[#This Row],[Manual Cat Value]]="",VLOOKUP(Table2[[#This Row],[Description]],'Actuals Lookup'!D:F,3,0),Table2[[#This Row],[Manual Cat Value]])</f>
        <v>Inc - Other</v>
      </c>
      <c r="G8294" t="e">
        <f>VLOOKUP(D8294,Lookup!G:H,2,0)</f>
        <v>#N/A</v>
      </c>
      <c r="H8294" s="8" t="s">
        <v>16</v>
      </c>
      <c r="I8294" s="8"/>
      <c r="J8294">
        <v>3</v>
      </c>
      <c r="M8294" t="s">
        <v>2621</v>
      </c>
      <c r="O8294" t="str">
        <f>LEFT(Table2[[#This Row],[Description]],75)</f>
        <v>Deposit ATM FEE REFUND</v>
      </c>
    </row>
    <row r="8295" spans="1:15" hidden="1">
      <c r="A8295" s="25">
        <f>VALUE(YEAR(Table2[[#This Row],[Date]])&amp;TEXT(MONTH(Table2[[#This Row],[Date]]),"00"))</f>
        <v>202211</v>
      </c>
      <c r="B8295" s="6">
        <v>44895</v>
      </c>
      <c r="C8295" t="s">
        <v>2265</v>
      </c>
      <c r="D8295" t="s">
        <v>3403</v>
      </c>
      <c r="E8295">
        <f t="shared" si="57"/>
        <v>-24.74</v>
      </c>
      <c r="F8295" s="2" t="str">
        <f>IF(Table2[[#This Row],[Manual Cat Value]]="",VLOOKUP(Table2[[#This Row],[Description]],'Actuals Lookup'!D:F,3,0),Table2[[#This Row],[Manual Cat Value]])</f>
        <v>Inc - Other</v>
      </c>
      <c r="G8295" t="e">
        <f>VLOOKUP(D8295,Lookup!G:H,2,0)</f>
        <v>#N/A</v>
      </c>
      <c r="H8295" s="8" t="s">
        <v>16</v>
      </c>
      <c r="I8295" s="8"/>
      <c r="J8295">
        <v>24.74</v>
      </c>
      <c r="M8295" t="s">
        <v>2621</v>
      </c>
      <c r="O8295" t="str">
        <f>LEFT(Table2[[#This Row],[Description]],75)</f>
        <v>Deposit Dividend Split Rate Annual Percentage Yield Earned 0.58% from 11/01</v>
      </c>
    </row>
    <row r="8296" spans="1:15" hidden="1">
      <c r="A8296" s="25">
        <f>VALUE(YEAR(Table2[[#This Row],[Date]])&amp;TEXT(MONTH(Table2[[#This Row],[Date]]),"00"))</f>
        <v>202211</v>
      </c>
      <c r="B8296" s="6">
        <v>44895</v>
      </c>
      <c r="C8296" t="s">
        <v>2300</v>
      </c>
      <c r="D8296" t="s">
        <v>3404</v>
      </c>
      <c r="E8296">
        <f t="shared" si="57"/>
        <v>-7.3</v>
      </c>
      <c r="F8296" s="2" t="str">
        <f>IF(Table2[[#This Row],[Manual Cat Value]]="",VLOOKUP(Table2[[#This Row],[Description]],'Actuals Lookup'!D:F,3,0),Table2[[#This Row],[Manual Cat Value]])</f>
        <v>Inc - Other</v>
      </c>
      <c r="G8296" t="e">
        <f>VLOOKUP(D8296,Lookup!G:H,2,0)</f>
        <v>#N/A</v>
      </c>
      <c r="H8296" s="8" t="s">
        <v>16</v>
      </c>
      <c r="I8296" s="8"/>
      <c r="J8296">
        <v>7.3</v>
      </c>
      <c r="M8296" t="s">
        <v>2621</v>
      </c>
      <c r="O8296" t="str">
        <f>LEFT(Table2[[#This Row],[Description]],75)</f>
        <v>Deposit Dividend Split Rate Annual Percentage Yield Earned 1.50% from 11/01</v>
      </c>
    </row>
    <row r="8297" spans="1:15" hidden="1">
      <c r="A8297" s="25">
        <f>VALUE(YEAR(Table2[[#This Row],[Date]])&amp;TEXT(MONTH(Table2[[#This Row],[Date]]),"00"))</f>
        <v>202211</v>
      </c>
      <c r="B8297" s="6">
        <v>44895</v>
      </c>
      <c r="C8297" t="s">
        <v>2447</v>
      </c>
      <c r="D8297" t="s">
        <v>3405</v>
      </c>
      <c r="E8297">
        <f t="shared" si="57"/>
        <v>75</v>
      </c>
      <c r="F8297" s="2" t="str">
        <f>IF(Table2[[#This Row],[Manual Cat Value]]="",VLOOKUP(Table2[[#This Row],[Description]],'Actuals Lookup'!D:F,3,0),Table2[[#This Row],[Manual Cat Value]])</f>
        <v>Exp - Shopping</v>
      </c>
      <c r="G8297" t="e">
        <f>VLOOKUP(D8297,Lookup!G:H,2,0)</f>
        <v>#N/A</v>
      </c>
      <c r="H8297" s="8" t="s">
        <v>36</v>
      </c>
      <c r="I8297" s="8"/>
      <c r="J8297">
        <v>75</v>
      </c>
      <c r="M8297" t="s">
        <v>2513</v>
      </c>
      <c r="O8297" t="str">
        <f>LEFT(Table2[[#This Row],[Description]],75)</f>
        <v>PAYPAL *EDDIE BAUER 402-935-7733 CA</v>
      </c>
    </row>
    <row r="8298" spans="1:15" hidden="1">
      <c r="A8298" s="25">
        <f>VALUE(YEAR(Table2[[#This Row],[Date]])&amp;TEXT(MONTH(Table2[[#This Row],[Date]]),"00"))</f>
        <v>202211</v>
      </c>
      <c r="B8298" s="6">
        <v>44895</v>
      </c>
      <c r="C8298" t="s">
        <v>2262</v>
      </c>
      <c r="D8298" t="s">
        <v>3406</v>
      </c>
      <c r="E8298">
        <f t="shared" si="57"/>
        <v>48.29</v>
      </c>
      <c r="F8298" s="2" t="str">
        <f>IF(Table2[[#This Row],[Manual Cat Value]]="",VLOOKUP(Table2[[#This Row],[Description]],'Actuals Lookup'!D:F,3,0),Table2[[#This Row],[Manual Cat Value]])</f>
        <v>Exp - Target</v>
      </c>
      <c r="G8298" t="e">
        <f>VLOOKUP(D8298,Lookup!G:H,2,0)</f>
        <v>#N/A</v>
      </c>
      <c r="H8298" s="8" t="s">
        <v>30</v>
      </c>
      <c r="I8298" s="8"/>
      <c r="J8298">
        <v>48.29</v>
      </c>
      <c r="M8298" t="s">
        <v>2513</v>
      </c>
      <c r="O8298" t="str">
        <f>LEFT(Table2[[#This Row],[Description]],75)</f>
        <v>TARGET 00008623 CHANHASSEN MN REF #2416407NX2LR7YN7V</v>
      </c>
    </row>
    <row r="8299" spans="1:15" hidden="1">
      <c r="A8299" s="25">
        <f>VALUE(YEAR(Table2[[#This Row],[Date]])&amp;TEXT(MONTH(Table2[[#This Row],[Date]]),"00"))</f>
        <v>202211</v>
      </c>
      <c r="B8299" s="6">
        <v>44895</v>
      </c>
      <c r="C8299" t="s">
        <v>2265</v>
      </c>
      <c r="D8299" t="s">
        <v>3407</v>
      </c>
      <c r="E8299">
        <f t="shared" si="57"/>
        <v>168.35</v>
      </c>
      <c r="F8299" s="2" t="str">
        <f>IF(Table2[[#This Row],[Manual Cat Value]]="",VLOOKUP(Table2[[#This Row],[Description]],'Actuals Lookup'!D:F,3,0),Table2[[#This Row],[Manual Cat Value]])</f>
        <v>Exp - Utilities</v>
      </c>
      <c r="G8299" t="e">
        <f>VLOOKUP(D8299,Lookup!G:H,2,0)</f>
        <v>#N/A</v>
      </c>
      <c r="H8299" s="8" t="s">
        <v>6</v>
      </c>
      <c r="I8299" s="8"/>
      <c r="J8299">
        <v>168.35</v>
      </c>
      <c r="M8299" t="s">
        <v>2513</v>
      </c>
      <c r="O8299" t="str">
        <f>LEFT(Table2[[#This Row],[Description]],75)</f>
        <v>Withdrawal ACH WASTE MANAGEMENT TYPE: INTERNET ID: 9049038216 CO: WASTE MAN</v>
      </c>
    </row>
    <row r="8300" spans="1:15" hidden="1">
      <c r="A8300" s="25">
        <f>VALUE(YEAR(Table2[[#This Row],[Date]])&amp;TEXT(MONTH(Table2[[#This Row],[Date]]),"00"))</f>
        <v>202211</v>
      </c>
      <c r="B8300" s="6">
        <v>44895</v>
      </c>
      <c r="C8300" t="s">
        <v>2265</v>
      </c>
      <c r="D8300" t="s">
        <v>3408</v>
      </c>
      <c r="E8300">
        <f t="shared" si="57"/>
        <v>697.23</v>
      </c>
      <c r="F8300" s="2" t="str">
        <f>IF(Table2[[#This Row],[Manual Cat Value]]="",VLOOKUP(Table2[[#This Row],[Description]],'Actuals Lookup'!D:F,3,0),Table2[[#This Row],[Manual Cat Value]])</f>
        <v>Delete</v>
      </c>
      <c r="G8300" t="e">
        <f>VLOOKUP(D8300,Lookup!G:H,2,0)</f>
        <v>#N/A</v>
      </c>
      <c r="H8300" s="8" t="s">
        <v>9</v>
      </c>
      <c r="I8300" s="8"/>
      <c r="J8300">
        <v>697.23</v>
      </c>
      <c r="M8300" t="s">
        <v>2513</v>
      </c>
      <c r="O8300" t="str">
        <f>LEFT(Table2[[#This Row],[Description]],75)</f>
        <v>Withdrawal ACH DISCOVER TYPE: E-PAYMENT ID: 2510020270 CO: DISCOVER NAME: T</v>
      </c>
    </row>
    <row r="8301" spans="1:15" ht="30" hidden="1">
      <c r="A8301" s="25">
        <f>VALUE(YEAR(Table2[[#This Row],[Date]])&amp;TEXT(MONTH(Table2[[#This Row],[Date]]),"00"))</f>
        <v>202212</v>
      </c>
      <c r="B8301" s="6">
        <v>44896</v>
      </c>
      <c r="C8301" t="s">
        <v>2447</v>
      </c>
      <c r="D8301" s="7" t="s">
        <v>3409</v>
      </c>
      <c r="E8301">
        <f t="shared" si="57"/>
        <v>5.36</v>
      </c>
      <c r="F8301" s="2" t="str">
        <f>IF(Table2[[#This Row],[Manual Cat Value]]="",VLOOKUP(Table2[[#This Row],[Description]],'Actuals Lookup'!D:F,3,0),Table2[[#This Row],[Manual Cat Value]])</f>
        <v>Exp - Entertainment</v>
      </c>
      <c r="G8301" t="e">
        <f>VLOOKUP(D8301,Lookup!G:H,2,0)</f>
        <v>#N/A</v>
      </c>
      <c r="H8301" s="78" t="s">
        <v>39</v>
      </c>
      <c r="I8301" s="78"/>
      <c r="J8301">
        <v>5.36</v>
      </c>
      <c r="M8301" t="s">
        <v>2513</v>
      </c>
      <c r="O8301" t="str">
        <f>LEFT(Table2[[#This Row],[Description]],75)</f>
        <v>AMAZON MUSIC*4O2665TA3 888-802-3080 WA
2PN2CPFJMG5</v>
      </c>
    </row>
    <row r="8302" spans="1:15" ht="30" hidden="1">
      <c r="A8302" s="25">
        <f>VALUE(YEAR(Table2[[#This Row],[Date]])&amp;TEXT(MONTH(Table2[[#This Row],[Date]]),"00"))</f>
        <v>202212</v>
      </c>
      <c r="B8302" s="6">
        <v>44896</v>
      </c>
      <c r="C8302" t="s">
        <v>2447</v>
      </c>
      <c r="D8302" s="7" t="s">
        <v>3410</v>
      </c>
      <c r="E8302">
        <f t="shared" ref="E8302:E8310" si="58">IF(M8302="credit",-1*J8302,J8302)</f>
        <v>22.48</v>
      </c>
      <c r="F8302" s="2" t="str">
        <f>IF(Table2[[#This Row],[Manual Cat Value]]="",VLOOKUP(Table2[[#This Row],[Description]],'Actuals Lookup'!D:F,3,0),Table2[[#This Row],[Manual Cat Value]])</f>
        <v>Exp - Amazon</v>
      </c>
      <c r="G8302" t="e">
        <f>VLOOKUP(D8302,Lookup!G:H,2,0)</f>
        <v>#N/A</v>
      </c>
      <c r="H8302" s="78" t="s">
        <v>37</v>
      </c>
      <c r="I8302" s="78"/>
      <c r="J8302">
        <v>22.48</v>
      </c>
      <c r="M8302" t="s">
        <v>2513</v>
      </c>
      <c r="O8302" t="str">
        <f>LEFT(Table2[[#This Row],[Description]],75)</f>
        <v>AMZN MKTP US*JT2JV42Z3 AMZN.COM/BILLWA
6XWJA8JZ3U6</v>
      </c>
    </row>
    <row r="8303" spans="1:15" hidden="1">
      <c r="A8303" s="25">
        <f>VALUE(YEAR(Table2[[#This Row],[Date]])&amp;TEXT(MONTH(Table2[[#This Row],[Date]]),"00"))</f>
        <v>202212</v>
      </c>
      <c r="B8303" s="6">
        <v>44896</v>
      </c>
      <c r="C8303" t="s">
        <v>2265</v>
      </c>
      <c r="D8303" t="s">
        <v>3411</v>
      </c>
      <c r="E8303">
        <f t="shared" si="58"/>
        <v>-101.74</v>
      </c>
      <c r="F8303" s="2" t="str">
        <f>IF(Table2[[#This Row],[Manual Cat Value]]="",VLOOKUP(Table2[[#This Row],[Description]],'Actuals Lookup'!D:F,3,0),Table2[[#This Row],[Manual Cat Value]])</f>
        <v>Inc - Britney</v>
      </c>
      <c r="G8303" t="e">
        <f>VLOOKUP(D8303,Lookup!G:H,2,0)</f>
        <v>#N/A</v>
      </c>
      <c r="H8303" s="8" t="s">
        <v>65</v>
      </c>
      <c r="I8303" s="8"/>
      <c r="J8303">
        <v>101.74</v>
      </c>
      <c r="M8303" t="s">
        <v>2621</v>
      </c>
      <c r="O8303" t="str">
        <f>LEFT(Table2[[#This Row],[Description]],75)</f>
        <v>Deposit ACH CARGILL INCORPOR TYPE: 005XXXXXXX ID: 2410177680 CO: CARGILL IN</v>
      </c>
    </row>
    <row r="8304" spans="1:15" hidden="1">
      <c r="A8304" s="25">
        <f>VALUE(YEAR(Table2[[#This Row],[Date]])&amp;TEXT(MONTH(Table2[[#This Row],[Date]]),"00"))</f>
        <v>202212</v>
      </c>
      <c r="B8304" s="6">
        <v>44896</v>
      </c>
      <c r="C8304" t="s">
        <v>2262</v>
      </c>
      <c r="D8304" t="s">
        <v>3412</v>
      </c>
      <c r="E8304">
        <f t="shared" si="58"/>
        <v>91</v>
      </c>
      <c r="F8304" s="2" t="str">
        <f>IF(Table2[[#This Row],[Manual Cat Value]]="",VLOOKUP(Table2[[#This Row],[Description]],'Actuals Lookup'!D:F,3,0),Table2[[#This Row],[Manual Cat Value]])</f>
        <v>Exp - Entertainment</v>
      </c>
      <c r="G8304" t="e">
        <f>VLOOKUP(D8304,Lookup!G:H,2,0)</f>
        <v>#N/A</v>
      </c>
      <c r="H8304" s="8" t="s">
        <v>39</v>
      </c>
      <c r="I8304" s="8"/>
      <c r="J8304">
        <v>91</v>
      </c>
      <c r="M8304" t="s">
        <v>2513</v>
      </c>
      <c r="O8304" t="str">
        <f>LEFT(Table2[[#This Row],[Description]],75)</f>
        <v>ORDWAY CENTER FOR THE PERSAINT PAUL MN REF #2471705NZ4ES7H0YL</v>
      </c>
    </row>
    <row r="8305" spans="1:15" hidden="1">
      <c r="A8305" s="25">
        <f>VALUE(YEAR(Table2[[#This Row],[Date]])&amp;TEXT(MONTH(Table2[[#This Row],[Date]]),"00"))</f>
        <v>202212</v>
      </c>
      <c r="B8305" s="6">
        <v>44896</v>
      </c>
      <c r="C8305" t="s">
        <v>2447</v>
      </c>
      <c r="D8305" t="s">
        <v>3405</v>
      </c>
      <c r="E8305">
        <f t="shared" si="58"/>
        <v>37.5</v>
      </c>
      <c r="F8305" s="2" t="str">
        <f>IF(Table2[[#This Row],[Manual Cat Value]]="",VLOOKUP(Table2[[#This Row],[Description]],'Actuals Lookup'!D:F,3,0),Table2[[#This Row],[Manual Cat Value]])</f>
        <v>Exp - Shopping</v>
      </c>
      <c r="G8305" t="e">
        <f>VLOOKUP(D8305,Lookup!G:H,2,0)</f>
        <v>#N/A</v>
      </c>
      <c r="H8305" s="8" t="s">
        <v>36</v>
      </c>
      <c r="I8305" s="8"/>
      <c r="J8305">
        <v>37.5</v>
      </c>
      <c r="M8305" t="s">
        <v>2513</v>
      </c>
      <c r="O8305" t="str">
        <f>LEFT(Table2[[#This Row],[Description]],75)</f>
        <v>PAYPAL *EDDIE BAUER 402-935-7733 CA</v>
      </c>
    </row>
    <row r="8306" spans="1:15" hidden="1">
      <c r="A8306" s="25">
        <f>VALUE(YEAR(Table2[[#This Row],[Date]])&amp;TEXT(MONTH(Table2[[#This Row],[Date]]),"00"))</f>
        <v>202212</v>
      </c>
      <c r="B8306" s="6">
        <v>44896</v>
      </c>
      <c r="C8306" t="s">
        <v>2262</v>
      </c>
      <c r="D8306" t="s">
        <v>3413</v>
      </c>
      <c r="E8306">
        <f t="shared" si="58"/>
        <v>46.38</v>
      </c>
      <c r="F8306" s="2" t="str">
        <f>IF(Table2[[#This Row],[Manual Cat Value]]="",VLOOKUP(Table2[[#This Row],[Description]],'Actuals Lookup'!D:F,3,0),Table2[[#This Row],[Manual Cat Value]])</f>
        <v>Exp - Transportation</v>
      </c>
      <c r="G8306" t="e">
        <f>VLOOKUP(D8306,Lookup!G:H,2,0)</f>
        <v>#N/A</v>
      </c>
      <c r="H8306" s="8" t="s">
        <v>22</v>
      </c>
      <c r="I8306" s="8"/>
      <c r="J8306">
        <v>46.38</v>
      </c>
      <c r="M8306" t="s">
        <v>2513</v>
      </c>
      <c r="O8306" t="str">
        <f>LEFT(Table2[[#This Row],[Description]],75)</f>
        <v>SPEEDWAY 04366 EXCELSIOR MN REF #2413746NZ010KX8ST</v>
      </c>
    </row>
    <row r="8307" spans="1:15" hidden="1">
      <c r="A8307" s="25">
        <f>VALUE(YEAR(Table2[[#This Row],[Date]])&amp;TEXT(MONTH(Table2[[#This Row],[Date]]),"00"))</f>
        <v>202212</v>
      </c>
      <c r="B8307" s="6">
        <v>44896</v>
      </c>
      <c r="C8307" t="s">
        <v>2265</v>
      </c>
      <c r="D8307" t="s">
        <v>3414</v>
      </c>
      <c r="E8307">
        <f t="shared" si="58"/>
        <v>300</v>
      </c>
      <c r="F8307" s="2" t="str">
        <f>IF(Table2[[#This Row],[Manual Cat Value]]="",VLOOKUP(Table2[[#This Row],[Description]],'Actuals Lookup'!D:F,3,0),Table2[[#This Row],[Manual Cat Value]])</f>
        <v>Sav - College Savings</v>
      </c>
      <c r="G8307" t="e">
        <f>VLOOKUP(D8307,Lookup!G:H,2,0)</f>
        <v>#N/A</v>
      </c>
      <c r="H8307" s="8" t="s">
        <v>60</v>
      </c>
      <c r="I8307" s="8"/>
      <c r="J8307">
        <v>300</v>
      </c>
      <c r="M8307" t="s">
        <v>2513</v>
      </c>
      <c r="O8307" t="str">
        <f>LEFT(Table2[[#This Row],[Description]],75)</f>
        <v xml:space="preserve">Withdrawal ACH College Savings TYPE: ACH ID: 550895818 CO: College Savings </v>
      </c>
    </row>
    <row r="8308" spans="1:15" hidden="1">
      <c r="A8308" s="25">
        <f>VALUE(YEAR(Table2[[#This Row],[Date]])&amp;TEXT(MONTH(Table2[[#This Row],[Date]]),"00"))</f>
        <v>202212</v>
      </c>
      <c r="B8308" s="6">
        <v>44896</v>
      </c>
      <c r="C8308" t="s">
        <v>2265</v>
      </c>
      <c r="D8308" t="s">
        <v>3415</v>
      </c>
      <c r="E8308">
        <f t="shared" si="58"/>
        <v>618.65</v>
      </c>
      <c r="F8308" s="2" t="str">
        <f>IF(Table2[[#This Row],[Manual Cat Value]]="",VLOOKUP(Table2[[#This Row],[Description]],'Actuals Lookup'!D:F,3,0),Table2[[#This Row],[Manual Cat Value]])</f>
        <v>Exp - Car Loan</v>
      </c>
      <c r="G8308" t="e">
        <f>VLOOKUP(D8308,Lookup!G:H,2,0)</f>
        <v>#N/A</v>
      </c>
      <c r="H8308" s="8" t="s">
        <v>10</v>
      </c>
      <c r="I8308" s="8"/>
      <c r="J8308">
        <v>618.65</v>
      </c>
      <c r="M8308" t="s">
        <v>2513</v>
      </c>
      <c r="O8308" t="str">
        <f>LEFT(Table2[[#This Row],[Description]],75)</f>
        <v>Withdrawal Home Banking Transfer To Loan 02 REF # 1940599</v>
      </c>
    </row>
    <row r="8309" spans="1:15" hidden="1">
      <c r="A8309" s="25">
        <f>VALUE(YEAR(Table2[[#This Row],[Date]])&amp;TEXT(MONTH(Table2[[#This Row],[Date]]),"00"))</f>
        <v>202212</v>
      </c>
      <c r="B8309" s="6">
        <v>44896</v>
      </c>
      <c r="C8309" t="s">
        <v>2710</v>
      </c>
      <c r="D8309" t="s">
        <v>1410</v>
      </c>
      <c r="E8309">
        <f t="shared" si="58"/>
        <v>2606.27</v>
      </c>
      <c r="F8309" s="2" t="str">
        <f>IF(Table2[[#This Row],[Manual Cat Value]]="",VLOOKUP(Table2[[#This Row],[Description]],'Actuals Lookup'!D:F,3,0),Table2[[#This Row],[Manual Cat Value]])</f>
        <v>Delete</v>
      </c>
      <c r="G8309" t="str">
        <f>VLOOKUP(D8309,Lookup!G:H,2,0)</f>
        <v>Delete</v>
      </c>
      <c r="H8309" s="8" t="s">
        <v>9</v>
      </c>
      <c r="I8309" s="8"/>
      <c r="J8309">
        <v>2606.27</v>
      </c>
      <c r="M8309" t="s">
        <v>2513</v>
      </c>
      <c r="O8309" t="str">
        <f>LEFT(Table2[[#This Row],[Description]],75)</f>
        <v>PAYMENT</v>
      </c>
    </row>
    <row r="8310" spans="1:15" hidden="1">
      <c r="A8310" s="25">
        <f>VALUE(YEAR(Table2[[#This Row],[Date]])&amp;TEXT(MONTH(Table2[[#This Row],[Date]]),"00"))</f>
        <v>202212</v>
      </c>
      <c r="B8310" s="6">
        <v>44896</v>
      </c>
      <c r="C8310" t="s">
        <v>2314</v>
      </c>
      <c r="D8310" t="s">
        <v>3416</v>
      </c>
      <c r="E8310">
        <f t="shared" si="58"/>
        <v>-618.65</v>
      </c>
      <c r="F8310" s="2" t="str">
        <f>IF(Table2[[#This Row],[Manual Cat Value]]="",VLOOKUP(Table2[[#This Row],[Description]],'Actuals Lookup'!D:F,3,0),Table2[[#This Row],[Manual Cat Value]])</f>
        <v>Delete</v>
      </c>
      <c r="G8310" t="e">
        <f>VLOOKUP(D8310,Lookup!G:H,2,0)</f>
        <v>#N/A</v>
      </c>
      <c r="H8310" s="8" t="s">
        <v>9</v>
      </c>
      <c r="I8310" s="8"/>
      <c r="J8310">
        <v>618.65</v>
      </c>
      <c r="M8310" t="s">
        <v>2621</v>
      </c>
      <c r="O8310" t="str">
        <f>LEFT(Table2[[#This Row],[Description]],75)</f>
        <v>Payments Home Banking Transfer From Share 70 REF # 1940599</v>
      </c>
    </row>
    <row r="8311" spans="1:15" hidden="1">
      <c r="A8311">
        <v>202410</v>
      </c>
      <c r="B8311" s="6">
        <v>45586</v>
      </c>
      <c r="C8311" t="s">
        <v>2519</v>
      </c>
      <c r="D8311" t="s">
        <v>3417</v>
      </c>
      <c r="E8311">
        <v>35</v>
      </c>
      <c r="F8311" s="2" t="str">
        <f>IF(Table2[[#This Row],[Manual Cat Value]]="",VLOOKUP(Table2[[#This Row],[Description]],'Actuals Lookup'!D:F,3,0),VLOOKUP(Table2[[#This Row],[Manual Cat Value]],Lookup!A:B,2,0))</f>
        <v>Shopping</v>
      </c>
      <c r="H8311" s="8" t="s">
        <v>36</v>
      </c>
      <c r="I8311" s="8"/>
      <c r="O8311" t="str">
        <f>LEFT(Table2[[#This Row],[Description]],75)</f>
        <v>Draft 2352 Tracer XX3043</v>
      </c>
    </row>
    <row r="8312" spans="1:15" ht="30" hidden="1">
      <c r="A8312" s="25">
        <f>VALUE(YEAR(Table2[[#This Row],[Date]])&amp;TEXT(MONTH(Table2[[#This Row],[Date]]),"00"))</f>
        <v>202212</v>
      </c>
      <c r="B8312" s="6">
        <v>44897</v>
      </c>
      <c r="C8312" t="s">
        <v>2447</v>
      </c>
      <c r="D8312" s="7" t="s">
        <v>3418</v>
      </c>
      <c r="E8312">
        <f t="shared" ref="E8312:E8343" si="59">IF(M8312="credit",-1*J8312,J8312)</f>
        <v>17.16</v>
      </c>
      <c r="F8312" s="2" t="str">
        <f>IF(Table2[[#This Row],[Manual Cat Value]]="",VLOOKUP(Table2[[#This Row],[Description]],'Actuals Lookup'!D:F,3,0),Table2[[#This Row],[Manual Cat Value]])</f>
        <v>Exp - Amazon</v>
      </c>
      <c r="G8312" t="e">
        <f>VLOOKUP(D8312,Lookup!G:H,2,0)</f>
        <v>#N/A</v>
      </c>
      <c r="H8312" s="78" t="s">
        <v>37</v>
      </c>
      <c r="I8312" s="78"/>
      <c r="J8312">
        <v>17.16</v>
      </c>
      <c r="M8312" t="s">
        <v>2513</v>
      </c>
      <c r="O8312" t="str">
        <f>LEFT(Table2[[#This Row],[Description]],75)</f>
        <v>AMAZON.COM*T96FH3OH3 AMZN.COM/BILLWA
59HSQXQ7KP9</v>
      </c>
    </row>
    <row r="8313" spans="1:15" hidden="1">
      <c r="A8313" s="25">
        <f>VALUE(YEAR(Table2[[#This Row],[Date]])&amp;TEXT(MONTH(Table2[[#This Row],[Date]]),"00"))</f>
        <v>202212</v>
      </c>
      <c r="B8313" s="6">
        <v>44897</v>
      </c>
      <c r="C8313" t="s">
        <v>2262</v>
      </c>
      <c r="D8313" t="s">
        <v>3419</v>
      </c>
      <c r="E8313">
        <f t="shared" si="59"/>
        <v>105.59</v>
      </c>
      <c r="F8313" s="2" t="str">
        <f>IF(Table2[[#This Row],[Manual Cat Value]]="",VLOOKUP(Table2[[#This Row],[Description]],'Actuals Lookup'!D:F,3,0),Table2[[#This Row],[Manual Cat Value]])</f>
        <v>Exp - Groceries</v>
      </c>
      <c r="G8313" t="e">
        <f>VLOOKUP(D8313,Lookup!G:H,2,0)</f>
        <v>#N/A</v>
      </c>
      <c r="H8313" s="8" t="s">
        <v>27</v>
      </c>
      <c r="I8313" s="8"/>
      <c r="J8313">
        <v>105.59</v>
      </c>
      <c r="M8313" t="s">
        <v>2513</v>
      </c>
      <c r="O8313" t="str">
        <f>LEFT(Table2[[#This Row],[Description]],75)</f>
        <v>CUB FOODS CHANHASSEN MN REF #2442733NZM83KBXG4</v>
      </c>
    </row>
    <row r="8314" spans="1:15" hidden="1">
      <c r="A8314" s="25">
        <f>VALUE(YEAR(Table2[[#This Row],[Date]])&amp;TEXT(MONTH(Table2[[#This Row],[Date]]),"00"))</f>
        <v>202212</v>
      </c>
      <c r="B8314" s="6">
        <v>44897</v>
      </c>
      <c r="C8314" t="s">
        <v>2262</v>
      </c>
      <c r="D8314" t="s">
        <v>3420</v>
      </c>
      <c r="E8314">
        <f t="shared" si="59"/>
        <v>65.569999999999993</v>
      </c>
      <c r="F8314" s="2" t="str">
        <f>IF(Table2[[#This Row],[Manual Cat Value]]="",VLOOKUP(Table2[[#This Row],[Description]],'Actuals Lookup'!D:F,3,0),Table2[[#This Row],[Manual Cat Value]])</f>
        <v>Exp - Groceries</v>
      </c>
      <c r="G8314" t="e">
        <f>VLOOKUP(D8314,Lookup!G:H,2,0)</f>
        <v>#N/A</v>
      </c>
      <c r="H8314" s="8" t="s">
        <v>27</v>
      </c>
      <c r="I8314" s="8"/>
      <c r="J8314">
        <v>65.569999999999993</v>
      </c>
      <c r="M8314" t="s">
        <v>2513</v>
      </c>
      <c r="O8314" t="str">
        <f>LEFT(Table2[[#This Row],[Description]],75)</f>
        <v>LUNDS&amp;BYERLYS CHANH CHANHASSEN MN REF #2442733NZM83KWYMA</v>
      </c>
    </row>
    <row r="8315" spans="1:15" hidden="1">
      <c r="A8315" s="25">
        <f>VALUE(YEAR(Table2[[#This Row],[Date]])&amp;TEXT(MONTH(Table2[[#This Row],[Date]]),"00"))</f>
        <v>202212</v>
      </c>
      <c r="B8315" s="6">
        <v>44897</v>
      </c>
      <c r="C8315" t="s">
        <v>2447</v>
      </c>
      <c r="D8315" t="s">
        <v>3262</v>
      </c>
      <c r="E8315">
        <f t="shared" si="59"/>
        <v>-7.74</v>
      </c>
      <c r="F8315" s="2" t="str">
        <f>IF(Table2[[#This Row],[Manual Cat Value]]="",VLOOKUP(Table2[[#This Row],[Description]],'Actuals Lookup'!D:F,3,0),Table2[[#This Row],[Manual Cat Value]])</f>
        <v>Exp - Shopping</v>
      </c>
      <c r="G8315" t="e">
        <f>VLOOKUP(D8315,Lookup!G:H,2,0)</f>
        <v>#N/A</v>
      </c>
      <c r="H8315" s="8" t="s">
        <v>36</v>
      </c>
      <c r="I8315" s="8"/>
      <c r="J8315">
        <v>7.74</v>
      </c>
      <c r="M8315" t="s">
        <v>2621</v>
      </c>
      <c r="O8315" t="str">
        <f>LEFT(Table2[[#This Row],[Description]],75)</f>
        <v>PAYPAL *JCPENNEY.CO 402-935-7733 CA</v>
      </c>
    </row>
    <row r="8316" spans="1:15" hidden="1">
      <c r="A8316" s="25">
        <f>VALUE(YEAR(Table2[[#This Row],[Date]])&amp;TEXT(MONTH(Table2[[#This Row],[Date]]),"00"))</f>
        <v>202212</v>
      </c>
      <c r="B8316" s="6">
        <v>44897</v>
      </c>
      <c r="C8316" t="s">
        <v>2262</v>
      </c>
      <c r="D8316" t="s">
        <v>3421</v>
      </c>
      <c r="E8316">
        <f t="shared" si="59"/>
        <v>189.58</v>
      </c>
      <c r="F8316" s="2" t="str">
        <f>IF(Table2[[#This Row],[Manual Cat Value]]="",VLOOKUP(Table2[[#This Row],[Description]],'Actuals Lookup'!D:F,3,0),Table2[[#This Row],[Manual Cat Value]])</f>
        <v>Exp - Entertainment</v>
      </c>
      <c r="G8316" t="e">
        <f>VLOOKUP(D8316,Lookup!G:H,2,0)</f>
        <v>#N/A</v>
      </c>
      <c r="H8316" s="8" t="s">
        <v>39</v>
      </c>
      <c r="I8316" s="8"/>
      <c r="J8316">
        <v>189.58</v>
      </c>
      <c r="M8316" t="s">
        <v>2513</v>
      </c>
      <c r="O8316" t="str">
        <f>LEFT(Table2[[#This Row],[Description]],75)</f>
        <v>TM *PAW PATROL LIVE HE 800-653-8000 CA REF #2469216NZ2XSZVA36</v>
      </c>
    </row>
    <row r="8317" spans="1:15" hidden="1">
      <c r="A8317" s="25">
        <f>VALUE(YEAR(Table2[[#This Row],[Date]])&amp;TEXT(MONTH(Table2[[#This Row],[Date]]),"00"))</f>
        <v>202212</v>
      </c>
      <c r="B8317" s="6">
        <v>44897</v>
      </c>
      <c r="C8317" t="s">
        <v>2262</v>
      </c>
      <c r="D8317" t="s">
        <v>3422</v>
      </c>
      <c r="E8317">
        <f t="shared" si="59"/>
        <v>60</v>
      </c>
      <c r="F8317" s="2" t="str">
        <f>IF(Table2[[#This Row],[Manual Cat Value]]="",VLOOKUP(Table2[[#This Row],[Description]],'Actuals Lookup'!D:F,3,0),Table2[[#This Row],[Manual Cat Value]])</f>
        <v>Exp - Misc</v>
      </c>
      <c r="G8317" t="e">
        <f>VLOOKUP(D8317,Lookup!G:H,2,0)</f>
        <v>#N/A</v>
      </c>
      <c r="H8317" s="8" t="s">
        <v>46</v>
      </c>
      <c r="I8317" s="8"/>
      <c r="J8317">
        <v>60</v>
      </c>
      <c r="M8317" t="s">
        <v>2513</v>
      </c>
      <c r="O8317" t="str">
        <f>LEFT(Table2[[#This Row],[Description]],75)</f>
        <v>USPS PO 2616400317 CHANHASSEN MN REF #2413746P0012D56EF</v>
      </c>
    </row>
    <row r="8318" spans="1:15" hidden="1">
      <c r="A8318" s="25">
        <f>VALUE(YEAR(Table2[[#This Row],[Date]])&amp;TEXT(MONTH(Table2[[#This Row],[Date]]),"00"))</f>
        <v>202212</v>
      </c>
      <c r="B8318" s="6">
        <v>44899</v>
      </c>
      <c r="C8318" t="s">
        <v>2262</v>
      </c>
      <c r="D8318" t="s">
        <v>3423</v>
      </c>
      <c r="E8318">
        <f t="shared" si="59"/>
        <v>643.17999999999995</v>
      </c>
      <c r="F8318" s="2" t="str">
        <f>IF(Table2[[#This Row],[Manual Cat Value]]="",VLOOKUP(Table2[[#This Row],[Description]],'Actuals Lookup'!D:F,3,0),Table2[[#This Row],[Manual Cat Value]])</f>
        <v>Exp - Shopping</v>
      </c>
      <c r="G8318" t="e">
        <f>VLOOKUP(D8318,Lookup!G:H,2,0)</f>
        <v>#N/A</v>
      </c>
      <c r="H8318" s="8" t="s">
        <v>36</v>
      </c>
      <c r="I8318" s="8"/>
      <c r="J8318">
        <v>643.17999999999995</v>
      </c>
      <c r="M8318" t="s">
        <v>2513</v>
      </c>
      <c r="O8318" t="str">
        <f>LEFT(Table2[[#This Row],[Description]],75)</f>
        <v>AMAZON.COM*4O8Y52KK3 AMZNAMZN.COM/BILLWA REF #2443106P02DK8JFRK</v>
      </c>
    </row>
    <row r="8319" spans="1:15" ht="30" hidden="1">
      <c r="A8319" s="25">
        <f>VALUE(YEAR(Table2[[#This Row],[Date]])&amp;TEXT(MONTH(Table2[[#This Row],[Date]]),"00"))</f>
        <v>202212</v>
      </c>
      <c r="B8319" s="6">
        <v>44899</v>
      </c>
      <c r="C8319" t="s">
        <v>2447</v>
      </c>
      <c r="D8319" s="7" t="s">
        <v>3424</v>
      </c>
      <c r="E8319">
        <f t="shared" si="59"/>
        <v>6.87</v>
      </c>
      <c r="F8319" s="2" t="str">
        <f>IF(Table2[[#This Row],[Manual Cat Value]]="",VLOOKUP(Table2[[#This Row],[Description]],'Actuals Lookup'!D:F,3,0),Table2[[#This Row],[Manual Cat Value]])</f>
        <v>Exp - Amazon</v>
      </c>
      <c r="G8319" t="e">
        <f>VLOOKUP(D8319,Lookup!G:H,2,0)</f>
        <v>#N/A</v>
      </c>
      <c r="H8319" s="78" t="s">
        <v>37</v>
      </c>
      <c r="I8319" s="78"/>
      <c r="J8319">
        <v>6.87</v>
      </c>
      <c r="M8319" t="s">
        <v>2513</v>
      </c>
      <c r="O8319" t="str">
        <f>LEFT(Table2[[#This Row],[Description]],75)</f>
        <v>AMZN MKTP US*0F0807XI3 AMZN.COM/BILLWA
921W57VCN7A</v>
      </c>
    </row>
    <row r="8320" spans="1:15" hidden="1">
      <c r="A8320" s="25">
        <f>VALUE(YEAR(Table2[[#This Row],[Date]])&amp;TEXT(MONTH(Table2[[#This Row],[Date]]),"00"))</f>
        <v>202212</v>
      </c>
      <c r="B8320" s="6">
        <v>44899</v>
      </c>
      <c r="C8320" t="s">
        <v>2262</v>
      </c>
      <c r="D8320" t="s">
        <v>3425</v>
      </c>
      <c r="E8320">
        <f t="shared" si="59"/>
        <v>6.72</v>
      </c>
      <c r="F8320" s="2" t="str">
        <f>IF(Table2[[#This Row],[Manual Cat Value]]="",VLOOKUP(Table2[[#This Row],[Description]],'Actuals Lookup'!D:F,3,0),Table2[[#This Row],[Manual Cat Value]])</f>
        <v>Exp - Restaurants</v>
      </c>
      <c r="G8320" t="e">
        <f>VLOOKUP(D8320,Lookup!G:H,2,0)</f>
        <v>#N/A</v>
      </c>
      <c r="H8320" s="8" t="s">
        <v>25</v>
      </c>
      <c r="I8320" s="8"/>
      <c r="J8320">
        <v>6.72</v>
      </c>
      <c r="M8320" t="s">
        <v>2513</v>
      </c>
      <c r="O8320" t="str">
        <f>LEFT(Table2[[#This Row],[Description]],75)</f>
        <v>CARIBOU COFFEE CO #116 CHANHASSEN MN REF #2444500P0EHZ6715F</v>
      </c>
    </row>
    <row r="8321" spans="1:15" hidden="1">
      <c r="A8321" s="25">
        <f>VALUE(YEAR(Table2[[#This Row],[Date]])&amp;TEXT(MONTH(Table2[[#This Row],[Date]]),"00"))</f>
        <v>202212</v>
      </c>
      <c r="B8321" s="6">
        <v>44899</v>
      </c>
      <c r="C8321" t="s">
        <v>2262</v>
      </c>
      <c r="D8321" t="s">
        <v>3426</v>
      </c>
      <c r="E8321">
        <f t="shared" si="59"/>
        <v>84.15</v>
      </c>
      <c r="F8321" s="2" t="str">
        <f>IF(Table2[[#This Row],[Manual Cat Value]]="",VLOOKUP(Table2[[#This Row],[Description]],'Actuals Lookup'!D:F,3,0),Table2[[#This Row],[Manual Cat Value]])</f>
        <v>Exp - Entertainment</v>
      </c>
      <c r="G8321" t="e">
        <f>VLOOKUP(D8321,Lookup!G:H,2,0)</f>
        <v>#N/A</v>
      </c>
      <c r="H8321" s="8" t="s">
        <v>39</v>
      </c>
      <c r="I8321" s="8"/>
      <c r="J8321">
        <v>84.15</v>
      </c>
      <c r="M8321" t="s">
        <v>2513</v>
      </c>
      <c r="O8321" t="str">
        <f>LEFT(Table2[[#This Row],[Description]],75)</f>
        <v>COUNTRY CLUB LANES EXCELSIOR MN REF #2413829P160T2JMPB</v>
      </c>
    </row>
    <row r="8322" spans="1:15" hidden="1">
      <c r="A8322" s="25">
        <f>VALUE(YEAR(Table2[[#This Row],[Date]])&amp;TEXT(MONTH(Table2[[#This Row],[Date]]),"00"))</f>
        <v>202212</v>
      </c>
      <c r="B8322" s="6">
        <v>44899</v>
      </c>
      <c r="C8322" t="s">
        <v>2262</v>
      </c>
      <c r="D8322" t="s">
        <v>3427</v>
      </c>
      <c r="E8322">
        <f t="shared" si="59"/>
        <v>4.49</v>
      </c>
      <c r="F8322" s="2" t="str">
        <f>IF(Table2[[#This Row],[Manual Cat Value]]="",VLOOKUP(Table2[[#This Row],[Description]],'Actuals Lookup'!D:F,3,0),Table2[[#This Row],[Manual Cat Value]])</f>
        <v>Exp - Groceries</v>
      </c>
      <c r="G8322" t="e">
        <f>VLOOKUP(D8322,Lookup!G:H,2,0)</f>
        <v>#N/A</v>
      </c>
      <c r="H8322" s="8" t="s">
        <v>27</v>
      </c>
      <c r="I8322" s="8"/>
      <c r="J8322">
        <v>4.49</v>
      </c>
      <c r="M8322" t="s">
        <v>2513</v>
      </c>
      <c r="O8322" t="str">
        <f>LEFT(Table2[[#This Row],[Description]],75)</f>
        <v>CUB FOODS #1636 SHOREWOOD MN REF #2442733P0M83SLKJH</v>
      </c>
    </row>
    <row r="8323" spans="1:15" hidden="1">
      <c r="A8323" s="25">
        <f>VALUE(YEAR(Table2[[#This Row],[Date]])&amp;TEXT(MONTH(Table2[[#This Row],[Date]]),"00"))</f>
        <v>202212</v>
      </c>
      <c r="B8323" s="6">
        <v>44899</v>
      </c>
      <c r="C8323" t="s">
        <v>2265</v>
      </c>
      <c r="D8323" t="s">
        <v>3428</v>
      </c>
      <c r="E8323">
        <f t="shared" si="59"/>
        <v>-20.21</v>
      </c>
      <c r="F8323" s="2" t="str">
        <f>IF(Table2[[#This Row],[Manual Cat Value]]="",VLOOKUP(Table2[[#This Row],[Description]],'Actuals Lookup'!D:F,3,0),Table2[[#This Row],[Manual Cat Value]])</f>
        <v>Exp - Shopping</v>
      </c>
      <c r="G8323" t="e">
        <f>VLOOKUP(D8323,Lookup!G:H,2,0)</f>
        <v>#N/A</v>
      </c>
      <c r="H8323" s="8" t="s">
        <v>36</v>
      </c>
      <c r="I8323" s="8"/>
      <c r="J8323">
        <v>20.21</v>
      </c>
      <c r="M8323" t="s">
        <v>2621</v>
      </c>
      <c r="O8323" t="str">
        <f>LEFT(Table2[[#This Row],[Description]],75)</f>
        <v>Deposit ACH PAYPAL TYPE: TRANSFER ID: PAYPALSD11 CO: PAYPAL Entry Class Cod</v>
      </c>
    </row>
    <row r="8324" spans="1:15" hidden="1">
      <c r="A8324" s="25">
        <f>VALUE(YEAR(Table2[[#This Row],[Date]])&amp;TEXT(MONTH(Table2[[#This Row],[Date]]),"00"))</f>
        <v>202212</v>
      </c>
      <c r="B8324" s="6">
        <v>44899</v>
      </c>
      <c r="C8324" t="s">
        <v>2262</v>
      </c>
      <c r="D8324" t="s">
        <v>3429</v>
      </c>
      <c r="E8324">
        <f t="shared" si="59"/>
        <v>58</v>
      </c>
      <c r="F8324" s="2" t="str">
        <f>IF(Table2[[#This Row],[Manual Cat Value]]="",VLOOKUP(Table2[[#This Row],[Description]],'Actuals Lookup'!D:F,3,0),Table2[[#This Row],[Manual Cat Value]])</f>
        <v>Exp - Shopping</v>
      </c>
      <c r="G8324" t="e">
        <f>VLOOKUP(D8324,Lookup!G:H,2,0)</f>
        <v>#N/A</v>
      </c>
      <c r="H8324" s="8" t="s">
        <v>36</v>
      </c>
      <c r="I8324" s="8"/>
      <c r="J8324">
        <v>58</v>
      </c>
      <c r="M8324" t="s">
        <v>2513</v>
      </c>
      <c r="O8324" t="str">
        <f>LEFT(Table2[[#This Row],[Description]],75)</f>
        <v>EVEREVE - 60 HOPKINS MN REF #2426979P1EJ9HSVYN</v>
      </c>
    </row>
    <row r="8325" spans="1:15" hidden="1">
      <c r="A8325" s="25">
        <f>VALUE(YEAR(Table2[[#This Row],[Date]])&amp;TEXT(MONTH(Table2[[#This Row],[Date]]),"00"))</f>
        <v>202212</v>
      </c>
      <c r="B8325" s="6">
        <v>44899</v>
      </c>
      <c r="C8325" t="s">
        <v>2262</v>
      </c>
      <c r="D8325" t="s">
        <v>3430</v>
      </c>
      <c r="E8325">
        <f t="shared" si="59"/>
        <v>20</v>
      </c>
      <c r="F8325" s="2" t="str">
        <f>IF(Table2[[#This Row],[Manual Cat Value]]="",VLOOKUP(Table2[[#This Row],[Description]],'Actuals Lookup'!D:F,3,0),Table2[[#This Row],[Manual Cat Value]])</f>
        <v>Exp - Utilities</v>
      </c>
      <c r="G8325" t="e">
        <f>VLOOKUP(D8325,Lookup!G:H,2,0)</f>
        <v>#N/A</v>
      </c>
      <c r="H8325" s="8" t="s">
        <v>6</v>
      </c>
      <c r="I8325" s="8"/>
      <c r="J8325">
        <v>20</v>
      </c>
      <c r="M8325" t="s">
        <v>2513</v>
      </c>
      <c r="O8325" t="str">
        <f>LEFT(Table2[[#This Row],[Description]],75)</f>
        <v>HBRSUBSCRIPTION 800-988-0886 MA REF #2449215P0LW6RZN9L</v>
      </c>
    </row>
    <row r="8326" spans="1:15" hidden="1">
      <c r="A8326" s="25">
        <f>VALUE(YEAR(Table2[[#This Row],[Date]])&amp;TEXT(MONTH(Table2[[#This Row],[Date]]),"00"))</f>
        <v>202212</v>
      </c>
      <c r="B8326" s="6">
        <v>44899</v>
      </c>
      <c r="C8326" t="s">
        <v>2262</v>
      </c>
      <c r="D8326" t="s">
        <v>3431</v>
      </c>
      <c r="E8326">
        <f t="shared" si="59"/>
        <v>-578.47</v>
      </c>
      <c r="F8326" s="2" t="str">
        <f>IF(Table2[[#This Row],[Manual Cat Value]]="",VLOOKUP(Table2[[#This Row],[Description]],'Actuals Lookup'!D:F,3,0),Table2[[#This Row],[Manual Cat Value]])</f>
        <v>Exp - Shopping</v>
      </c>
      <c r="G8326" t="e">
        <f>VLOOKUP(D8326,Lookup!G:H,2,0)</f>
        <v>#N/A</v>
      </c>
      <c r="H8326" s="8" t="s">
        <v>36</v>
      </c>
      <c r="I8326" s="8"/>
      <c r="J8326">
        <v>578.47</v>
      </c>
      <c r="M8326" t="s">
        <v>2621</v>
      </c>
      <c r="O8326" t="str">
        <f>LEFT(Table2[[#This Row],[Description]],75)</f>
        <v>LOFT 1598 RIDGEDALE CENT MINNETONKA MN REF #7443106P1LHGE6LVA</v>
      </c>
    </row>
    <row r="8327" spans="1:15" hidden="1">
      <c r="A8327" s="25">
        <f>VALUE(YEAR(Table2[[#This Row],[Date]])&amp;TEXT(MONTH(Table2[[#This Row],[Date]]),"00"))</f>
        <v>202212</v>
      </c>
      <c r="B8327" s="6">
        <v>44899</v>
      </c>
      <c r="C8327" t="s">
        <v>2262</v>
      </c>
      <c r="D8327" t="s">
        <v>3432</v>
      </c>
      <c r="E8327">
        <f t="shared" si="59"/>
        <v>40.729999999999997</v>
      </c>
      <c r="F8327" s="2" t="str">
        <f>IF(Table2[[#This Row],[Manual Cat Value]]="",VLOOKUP(Table2[[#This Row],[Description]],'Actuals Lookup'!D:F,3,0),Table2[[#This Row],[Manual Cat Value]])</f>
        <v>Exp - Restaurants</v>
      </c>
      <c r="G8327" t="e">
        <f>VLOOKUP(D8327,Lookup!G:H,2,0)</f>
        <v>#N/A</v>
      </c>
      <c r="H8327" s="8" t="s">
        <v>25</v>
      </c>
      <c r="I8327" s="8"/>
      <c r="J8327">
        <v>40.729999999999997</v>
      </c>
      <c r="M8327" t="s">
        <v>2513</v>
      </c>
      <c r="O8327" t="str">
        <f>LEFT(Table2[[#This Row],[Description]],75)</f>
        <v>MAYNARDS R* MAYNARDS E MAYNARDSEXCELMN REF #2449216P2000543KR</v>
      </c>
    </row>
    <row r="8328" spans="1:15" hidden="1">
      <c r="A8328" s="25">
        <f>VALUE(YEAR(Table2[[#This Row],[Date]])&amp;TEXT(MONTH(Table2[[#This Row],[Date]]),"00"))</f>
        <v>202212</v>
      </c>
      <c r="B8328" s="6">
        <v>44899</v>
      </c>
      <c r="C8328" t="s">
        <v>2447</v>
      </c>
      <c r="D8328" t="s">
        <v>2962</v>
      </c>
      <c r="E8328">
        <f t="shared" si="59"/>
        <v>268.8</v>
      </c>
      <c r="F8328" s="2" t="str">
        <f>IF(Table2[[#This Row],[Manual Cat Value]]="",VLOOKUP(Table2[[#This Row],[Description]],'Actuals Lookup'!D:F,3,0),Table2[[#This Row],[Manual Cat Value]])</f>
        <v>Exp - Shopping</v>
      </c>
      <c r="G8328" t="e">
        <f>VLOOKUP(D8328,Lookup!G:H,2,0)</f>
        <v>#N/A</v>
      </c>
      <c r="H8328" s="8" t="s">
        <v>36</v>
      </c>
      <c r="I8328" s="8"/>
      <c r="J8328">
        <v>268.8</v>
      </c>
      <c r="M8328" t="s">
        <v>2513</v>
      </c>
      <c r="O8328" t="str">
        <f>LEFT(Table2[[#This Row],[Description]],75)</f>
        <v>PAYPAL *FREE FLY 402-935-7733 CA</v>
      </c>
    </row>
    <row r="8329" spans="1:15" hidden="1">
      <c r="A8329" s="25">
        <f>VALUE(YEAR(Table2[[#This Row],[Date]])&amp;TEXT(MONTH(Table2[[#This Row],[Date]]),"00"))</f>
        <v>202212</v>
      </c>
      <c r="B8329" s="6">
        <v>44899</v>
      </c>
      <c r="C8329" t="s">
        <v>2262</v>
      </c>
      <c r="D8329" t="s">
        <v>3433</v>
      </c>
      <c r="E8329">
        <f t="shared" si="59"/>
        <v>197.23</v>
      </c>
      <c r="F8329" s="2" t="str">
        <f>IF(Table2[[#This Row],[Manual Cat Value]]="",VLOOKUP(Table2[[#This Row],[Description]],'Actuals Lookup'!D:F,3,0),Table2[[#This Row],[Manual Cat Value]])</f>
        <v>Exp - Shopping</v>
      </c>
      <c r="G8329" t="e">
        <f>VLOOKUP(D8329,Lookup!G:H,2,0)</f>
        <v>#N/A</v>
      </c>
      <c r="H8329" s="8" t="s">
        <v>36</v>
      </c>
      <c r="I8329" s="8"/>
      <c r="J8329">
        <v>197.23</v>
      </c>
      <c r="M8329" t="s">
        <v>2513</v>
      </c>
      <c r="O8329" t="str">
        <f>LEFT(Table2[[#This Row],[Description]],75)</f>
        <v>SHUTTERFLY, INC. 650-610-5200 CA REF #2449215P0LW5M7KAX</v>
      </c>
    </row>
    <row r="8330" spans="1:15" ht="30" hidden="1">
      <c r="A8330" s="25">
        <f>VALUE(YEAR(Table2[[#This Row],[Date]])&amp;TEXT(MONTH(Table2[[#This Row],[Date]]),"00"))</f>
        <v>202212</v>
      </c>
      <c r="B8330" s="6">
        <v>44900</v>
      </c>
      <c r="C8330" t="s">
        <v>2447</v>
      </c>
      <c r="D8330" s="7" t="s">
        <v>3434</v>
      </c>
      <c r="E8330">
        <f t="shared" si="59"/>
        <v>39.880000000000003</v>
      </c>
      <c r="F8330" s="2" t="str">
        <f>IF(Table2[[#This Row],[Manual Cat Value]]="",VLOOKUP(Table2[[#This Row],[Description]],'Actuals Lookup'!D:F,3,0),Table2[[#This Row],[Manual Cat Value]])</f>
        <v>Exp - Amazon</v>
      </c>
      <c r="G8330" t="e">
        <f>VLOOKUP(D8330,Lookup!G:H,2,0)</f>
        <v>#N/A</v>
      </c>
      <c r="H8330" s="78" t="s">
        <v>37</v>
      </c>
      <c r="I8330" s="78"/>
      <c r="J8330">
        <v>39.880000000000003</v>
      </c>
      <c r="M8330" t="s">
        <v>2513</v>
      </c>
      <c r="O8330" t="str">
        <f>LEFT(Table2[[#This Row],[Description]],75)</f>
        <v>AMZN MKTP US*S71FT9V33 AMZN.COM/BILLWA
ALAYA7Q4FN2</v>
      </c>
    </row>
    <row r="8331" spans="1:15" hidden="1">
      <c r="A8331" s="25">
        <f>VALUE(YEAR(Table2[[#This Row],[Date]])&amp;TEXT(MONTH(Table2[[#This Row],[Date]]),"00"))</f>
        <v>202212</v>
      </c>
      <c r="B8331" s="6">
        <v>44900</v>
      </c>
      <c r="C8331" t="s">
        <v>2262</v>
      </c>
      <c r="D8331" t="s">
        <v>3435</v>
      </c>
      <c r="E8331">
        <f t="shared" si="59"/>
        <v>19.28</v>
      </c>
      <c r="F8331" s="2" t="str">
        <f>IF(Table2[[#This Row],[Manual Cat Value]]="",VLOOKUP(Table2[[#This Row],[Description]],'Actuals Lookup'!D:F,3,0),Table2[[#This Row],[Manual Cat Value]])</f>
        <v>Exp - Target</v>
      </c>
      <c r="G8331" t="e">
        <f>VLOOKUP(D8331,Lookup!G:H,2,0)</f>
        <v>#N/A</v>
      </c>
      <c r="H8331" s="8" t="s">
        <v>30</v>
      </c>
      <c r="I8331" s="8"/>
      <c r="J8331">
        <v>19.28</v>
      </c>
      <c r="M8331" t="s">
        <v>2513</v>
      </c>
      <c r="O8331" t="str">
        <f>LEFT(Table2[[#This Row],[Description]],75)</f>
        <v>TARGET 00008623 CHANHASSEN MN REF #2416407P22LRFX6Z4</v>
      </c>
    </row>
    <row r="8332" spans="1:15" hidden="1">
      <c r="A8332" s="25">
        <f>VALUE(YEAR(Table2[[#This Row],[Date]])&amp;TEXT(MONTH(Table2[[#This Row],[Date]]),"00"))</f>
        <v>202212</v>
      </c>
      <c r="B8332" s="6">
        <v>44901</v>
      </c>
      <c r="C8332" t="s">
        <v>2262</v>
      </c>
      <c r="D8332" t="s">
        <v>3436</v>
      </c>
      <c r="E8332">
        <f t="shared" si="59"/>
        <v>27.52</v>
      </c>
      <c r="F8332" s="2" t="str">
        <f>IF(Table2[[#This Row],[Manual Cat Value]]="",VLOOKUP(Table2[[#This Row],[Description]],'Actuals Lookup'!D:F,3,0),Table2[[#This Row],[Manual Cat Value]])</f>
        <v>Exp - Shopping</v>
      </c>
      <c r="G8332" t="e">
        <f>VLOOKUP(D8332,Lookup!G:H,2,0)</f>
        <v>#N/A</v>
      </c>
      <c r="H8332" s="8" t="s">
        <v>36</v>
      </c>
      <c r="I8332" s="8"/>
      <c r="J8332">
        <v>27.52</v>
      </c>
      <c r="M8332" t="s">
        <v>2513</v>
      </c>
      <c r="O8332" t="str">
        <f>LEFT(Table2[[#This Row],[Description]],75)</f>
        <v>SHUTTERFLY, INC. 650-610-5200 CA REF #2449215P4LR3FGF3J</v>
      </c>
    </row>
    <row r="8333" spans="1:15" hidden="1">
      <c r="A8333" s="25">
        <f>VALUE(YEAR(Table2[[#This Row],[Date]])&amp;TEXT(MONTH(Table2[[#This Row],[Date]]),"00"))</f>
        <v>202212</v>
      </c>
      <c r="B8333" s="6">
        <v>44901</v>
      </c>
      <c r="C8333" t="s">
        <v>2262</v>
      </c>
      <c r="D8333" t="s">
        <v>3437</v>
      </c>
      <c r="E8333">
        <f t="shared" si="59"/>
        <v>108.82</v>
      </c>
      <c r="F8333" s="2" t="str">
        <f>IF(Table2[[#This Row],[Manual Cat Value]]="",VLOOKUP(Table2[[#This Row],[Description]],'Actuals Lookup'!D:F,3,0),Table2[[#This Row],[Manual Cat Value]])</f>
        <v>Exp - Restaurants</v>
      </c>
      <c r="G8333" t="e">
        <f>VLOOKUP(D8333,Lookup!G:H,2,0)</f>
        <v>#N/A</v>
      </c>
      <c r="H8333" s="8" t="s">
        <v>25</v>
      </c>
      <c r="I8333" s="8"/>
      <c r="J8333">
        <v>108.82</v>
      </c>
      <c r="M8333" t="s">
        <v>2513</v>
      </c>
      <c r="O8333" t="str">
        <f>LEFT(Table2[[#This Row],[Description]],75)</f>
        <v>TST* Pub 819 Hopkins MN REF #2469216P32Y9EWASH</v>
      </c>
    </row>
    <row r="8334" spans="1:15" hidden="1">
      <c r="A8334" s="25">
        <f>VALUE(YEAR(Table2[[#This Row],[Date]])&amp;TEXT(MONTH(Table2[[#This Row],[Date]]),"00"))</f>
        <v>202212</v>
      </c>
      <c r="B8334" s="6">
        <v>44901</v>
      </c>
      <c r="C8334" t="s">
        <v>2265</v>
      </c>
      <c r="D8334" t="s">
        <v>3438</v>
      </c>
      <c r="E8334">
        <f t="shared" si="59"/>
        <v>100</v>
      </c>
      <c r="F8334" s="2" t="str">
        <f>IF(Table2[[#This Row],[Manual Cat Value]]="",VLOOKUP(Table2[[#This Row],[Description]],'Actuals Lookup'!D:F,3,0),Table2[[#This Row],[Manual Cat Value]])</f>
        <v>Delete</v>
      </c>
      <c r="G8334" t="e">
        <f>VLOOKUP(D8334,Lookup!G:H,2,0)</f>
        <v>#N/A</v>
      </c>
      <c r="H8334" s="8" t="s">
        <v>9</v>
      </c>
      <c r="I8334" s="8"/>
      <c r="J8334">
        <v>100</v>
      </c>
      <c r="M8334" t="s">
        <v>2513</v>
      </c>
      <c r="O8334" t="str">
        <f>LEFT(Table2[[#This Row],[Description]],75)</f>
        <v xml:space="preserve">Withdrawal ACH Coinbase.com TYPE: RUJZ4A7V ID: 1455293997 CO: Coinbase.com </v>
      </c>
    </row>
    <row r="8335" spans="1:15" hidden="1">
      <c r="A8335" s="25">
        <f>VALUE(YEAR(Table2[[#This Row],[Date]])&amp;TEXT(MONTH(Table2[[#This Row],[Date]]),"00"))</f>
        <v>202212</v>
      </c>
      <c r="B8335" s="6">
        <v>44901</v>
      </c>
      <c r="C8335" t="s">
        <v>2265</v>
      </c>
      <c r="D8335" t="s">
        <v>3439</v>
      </c>
      <c r="E8335">
        <f t="shared" si="59"/>
        <v>315</v>
      </c>
      <c r="F8335" s="2" t="str">
        <f>IF(Table2[[#This Row],[Manual Cat Value]]="",VLOOKUP(Table2[[#This Row],[Description]],'Actuals Lookup'!D:F,3,0),Table2[[#This Row],[Manual Cat Value]])</f>
        <v>Exp - Day Care</v>
      </c>
      <c r="G8335" t="e">
        <f>VLOOKUP(D8335,Lookup!G:H,2,0)</f>
        <v>#N/A</v>
      </c>
      <c r="H8335" s="8" t="s">
        <v>19</v>
      </c>
      <c r="I8335" s="8"/>
      <c r="J8335">
        <v>315</v>
      </c>
      <c r="M8335" t="s">
        <v>2513</v>
      </c>
      <c r="O8335" t="str">
        <f>LEFT(Table2[[#This Row],[Description]],75)</f>
        <v xml:space="preserve">Withdrawal ACH MHCHILDCARELLC TYPE: DUES ID: 1824708198 CO: MHCHILDCARELLC </v>
      </c>
    </row>
    <row r="8336" spans="1:15" hidden="1">
      <c r="A8336" s="25">
        <f>VALUE(YEAR(Table2[[#This Row],[Date]])&amp;TEXT(MONTH(Table2[[#This Row],[Date]]),"00"))</f>
        <v>202212</v>
      </c>
      <c r="B8336" s="6">
        <v>44901</v>
      </c>
      <c r="C8336" t="s">
        <v>2265</v>
      </c>
      <c r="D8336" t="s">
        <v>3440</v>
      </c>
      <c r="E8336">
        <f t="shared" si="59"/>
        <v>141.49</v>
      </c>
      <c r="F8336" s="2" t="str">
        <f>IF(Table2[[#This Row],[Manual Cat Value]]="",VLOOKUP(Table2[[#This Row],[Description]],'Actuals Lookup'!D:F,3,0),Table2[[#This Row],[Manual Cat Value]])</f>
        <v>Exp - Utilities</v>
      </c>
      <c r="G8336" t="e">
        <f>VLOOKUP(D8336,Lookup!G:H,2,0)</f>
        <v>#N/A</v>
      </c>
      <c r="H8336" s="78" t="s">
        <v>6</v>
      </c>
      <c r="I8336" s="8"/>
      <c r="J8336">
        <v>141.49</v>
      </c>
      <c r="M8336" t="s">
        <v>2513</v>
      </c>
      <c r="O8336" t="str">
        <f>LEFT(Table2[[#This Row],[Description]],75)</f>
        <v>Withdrawal ACH XCEL ENERGY-MN TYPE: XCELENERGY ID: 7411967505 CO: XCEL ENER</v>
      </c>
    </row>
    <row r="8337" spans="1:15" ht="30" hidden="1">
      <c r="A8337" s="25">
        <f>VALUE(YEAR(Table2[[#This Row],[Date]])&amp;TEXT(MONTH(Table2[[#This Row],[Date]]),"00"))</f>
        <v>202212</v>
      </c>
      <c r="B8337" s="6">
        <v>44902</v>
      </c>
      <c r="C8337" t="s">
        <v>2447</v>
      </c>
      <c r="D8337" s="7" t="s">
        <v>3441</v>
      </c>
      <c r="E8337">
        <f t="shared" si="59"/>
        <v>79.86</v>
      </c>
      <c r="F8337" s="2" t="str">
        <f>IF(Table2[[#This Row],[Manual Cat Value]]="",VLOOKUP(Table2[[#This Row],[Description]],'Actuals Lookup'!D:F,3,0),Table2[[#This Row],[Manual Cat Value]])</f>
        <v>Exp - Amazon</v>
      </c>
      <c r="G8337" t="e">
        <f>VLOOKUP(D8337,Lookup!G:H,2,0)</f>
        <v>#N/A</v>
      </c>
      <c r="H8337" s="78" t="s">
        <v>37</v>
      </c>
      <c r="I8337" s="78"/>
      <c r="J8337">
        <v>79.86</v>
      </c>
      <c r="M8337" t="s">
        <v>2513</v>
      </c>
      <c r="O8337" t="str">
        <f>LEFT(Table2[[#This Row],[Description]],75)</f>
        <v>AMZN MKTP US*UT19U6AO3 AMZN.COM/BILLWA
33YRBS4JKJJ</v>
      </c>
    </row>
    <row r="8338" spans="1:15" hidden="1">
      <c r="A8338" s="25">
        <f>VALUE(YEAR(Table2[[#This Row],[Date]])&amp;TEXT(MONTH(Table2[[#This Row],[Date]]),"00"))</f>
        <v>202212</v>
      </c>
      <c r="B8338" s="6">
        <v>44902</v>
      </c>
      <c r="C8338" t="s">
        <v>2262</v>
      </c>
      <c r="D8338" t="s">
        <v>3442</v>
      </c>
      <c r="E8338">
        <f t="shared" si="59"/>
        <v>109</v>
      </c>
      <c r="F8338" s="2" t="str">
        <f>IF(Table2[[#This Row],[Manual Cat Value]]="",VLOOKUP(Table2[[#This Row],[Description]],'Actuals Lookup'!D:F,3,0),Table2[[#This Row],[Manual Cat Value]])</f>
        <v>Exp - Shopping</v>
      </c>
      <c r="G8338" t="e">
        <f>VLOOKUP(D8338,Lookup!G:H,2,0)</f>
        <v>#N/A</v>
      </c>
      <c r="H8338" s="78" t="s">
        <v>36</v>
      </c>
      <c r="I8338" s="8"/>
      <c r="J8338">
        <v>109</v>
      </c>
      <c r="M8338" t="s">
        <v>2513</v>
      </c>
      <c r="O8338" t="str">
        <f>LEFT(Table2[[#This Row],[Description]],75)</f>
        <v>THE NORMAL BRAND THENORMALBRANMO REF #2449216P40015ZQTM</v>
      </c>
    </row>
    <row r="8339" spans="1:15" ht="30" hidden="1">
      <c r="A8339" s="25">
        <f>VALUE(YEAR(Table2[[#This Row],[Date]])&amp;TEXT(MONTH(Table2[[#This Row],[Date]]),"00"))</f>
        <v>202212</v>
      </c>
      <c r="B8339" s="6">
        <v>44903</v>
      </c>
      <c r="C8339" t="s">
        <v>2447</v>
      </c>
      <c r="D8339" s="7" t="s">
        <v>3443</v>
      </c>
      <c r="E8339">
        <f t="shared" si="59"/>
        <v>47.19</v>
      </c>
      <c r="F8339" s="2" t="str">
        <f>IF(Table2[[#This Row],[Manual Cat Value]]="",VLOOKUP(Table2[[#This Row],[Description]],'Actuals Lookup'!D:F,3,0),Table2[[#This Row],[Manual Cat Value]])</f>
        <v>Exp - Amazon</v>
      </c>
      <c r="G8339" t="e">
        <f>VLOOKUP(D8339,Lookup!G:H,2,0)</f>
        <v>#N/A</v>
      </c>
      <c r="H8339" s="78" t="s">
        <v>37</v>
      </c>
      <c r="I8339" s="78"/>
      <c r="J8339">
        <v>47.19</v>
      </c>
      <c r="M8339" t="s">
        <v>2513</v>
      </c>
      <c r="O8339" t="str">
        <f>LEFT(Table2[[#This Row],[Description]],75)</f>
        <v>AMZN MKTP US*1U9W93F23 AMZN.COM/BILLWA
5BOGRJJPR0D</v>
      </c>
    </row>
    <row r="8340" spans="1:15" ht="30" hidden="1">
      <c r="A8340" s="25">
        <f>VALUE(YEAR(Table2[[#This Row],[Date]])&amp;TEXT(MONTH(Table2[[#This Row],[Date]]),"00"))</f>
        <v>202212</v>
      </c>
      <c r="B8340" s="6">
        <v>44903</v>
      </c>
      <c r="C8340" t="s">
        <v>2447</v>
      </c>
      <c r="D8340" s="7" t="s">
        <v>3444</v>
      </c>
      <c r="E8340">
        <f t="shared" si="59"/>
        <v>51.49</v>
      </c>
      <c r="F8340" s="2" t="str">
        <f>IF(Table2[[#This Row],[Manual Cat Value]]="",VLOOKUP(Table2[[#This Row],[Description]],'Actuals Lookup'!D:F,3,0),Table2[[#This Row],[Manual Cat Value]])</f>
        <v>Exp - Amazon</v>
      </c>
      <c r="G8340" t="e">
        <f>VLOOKUP(D8340,Lookup!G:H,2,0)</f>
        <v>#N/A</v>
      </c>
      <c r="H8340" s="78" t="s">
        <v>37</v>
      </c>
      <c r="I8340" s="78"/>
      <c r="J8340">
        <v>51.49</v>
      </c>
      <c r="M8340" t="s">
        <v>2513</v>
      </c>
      <c r="O8340" t="str">
        <f>LEFT(Table2[[#This Row],[Description]],75)</f>
        <v>AMZN MKTP US*J54GF2LV3 AMZN.COM/BILLWA
6OT1T4QO7YE</v>
      </c>
    </row>
    <row r="8341" spans="1:15" ht="30" hidden="1">
      <c r="A8341" s="25">
        <f>VALUE(YEAR(Table2[[#This Row],[Date]])&amp;TEXT(MONTH(Table2[[#This Row],[Date]]),"00"))</f>
        <v>202212</v>
      </c>
      <c r="B8341" s="6">
        <v>44903</v>
      </c>
      <c r="C8341" t="s">
        <v>2447</v>
      </c>
      <c r="D8341" s="7" t="s">
        <v>3445</v>
      </c>
      <c r="E8341">
        <f t="shared" si="59"/>
        <v>34.99</v>
      </c>
      <c r="F8341" s="2" t="str">
        <f>IF(Table2[[#This Row],[Manual Cat Value]]="",VLOOKUP(Table2[[#This Row],[Description]],'Actuals Lookup'!D:F,3,0),Table2[[#This Row],[Manual Cat Value]])</f>
        <v>Exp - Amazon</v>
      </c>
      <c r="G8341" t="e">
        <f>VLOOKUP(D8341,Lookup!G:H,2,0)</f>
        <v>#N/A</v>
      </c>
      <c r="H8341" s="78" t="s">
        <v>37</v>
      </c>
      <c r="I8341" s="78"/>
      <c r="J8341">
        <v>34.99</v>
      </c>
      <c r="M8341" t="s">
        <v>2513</v>
      </c>
      <c r="O8341" t="str">
        <f>LEFT(Table2[[#This Row],[Description]],75)</f>
        <v>AMZN MKTP US*SO6C98SQ3 AMZN.COM/BILLWA
5GAGSZONNUS</v>
      </c>
    </row>
    <row r="8342" spans="1:15" ht="30" hidden="1">
      <c r="A8342" s="25">
        <f>VALUE(YEAR(Table2[[#This Row],[Date]])&amp;TEXT(MONTH(Table2[[#This Row],[Date]]),"00"))</f>
        <v>202212</v>
      </c>
      <c r="B8342" s="6">
        <v>44903</v>
      </c>
      <c r="C8342" t="s">
        <v>2447</v>
      </c>
      <c r="D8342" s="7" t="s">
        <v>3446</v>
      </c>
      <c r="E8342">
        <f t="shared" si="59"/>
        <v>11.81</v>
      </c>
      <c r="F8342" s="2" t="str">
        <f>IF(Table2[[#This Row],[Manual Cat Value]]="",VLOOKUP(Table2[[#This Row],[Description]],'Actuals Lookup'!D:F,3,0),Table2[[#This Row],[Manual Cat Value]])</f>
        <v>Exp - Amazon</v>
      </c>
      <c r="G8342" t="e">
        <f>VLOOKUP(D8342,Lookup!G:H,2,0)</f>
        <v>#N/A</v>
      </c>
      <c r="H8342" s="78" t="s">
        <v>37</v>
      </c>
      <c r="I8342" s="78"/>
      <c r="J8342">
        <v>11.81</v>
      </c>
      <c r="M8342" t="s">
        <v>2513</v>
      </c>
      <c r="O8342" t="str">
        <f>LEFT(Table2[[#This Row],[Description]],75)</f>
        <v>AMZN MKTP US*W64EH7LE3 AMZN.COM/BILLWA
JTVCHD5ET6F</v>
      </c>
    </row>
    <row r="8343" spans="1:15" hidden="1">
      <c r="A8343" s="25">
        <f>VALUE(YEAR(Table2[[#This Row],[Date]])&amp;TEXT(MONTH(Table2[[#This Row],[Date]]),"00"))</f>
        <v>202212</v>
      </c>
      <c r="B8343" s="6">
        <v>44903</v>
      </c>
      <c r="C8343" t="s">
        <v>2265</v>
      </c>
      <c r="D8343" t="s">
        <v>3447</v>
      </c>
      <c r="E8343">
        <f t="shared" si="59"/>
        <v>-3611.81</v>
      </c>
      <c r="F8343" s="2" t="str">
        <f>IF(Table2[[#This Row],[Manual Cat Value]]="",VLOOKUP(Table2[[#This Row],[Description]],'Actuals Lookup'!D:F,3,0),Table2[[#This Row],[Manual Cat Value]])</f>
        <v>Inc - Britney</v>
      </c>
      <c r="G8343" t="e">
        <f>VLOOKUP(D8343,Lookup!G:H,2,0)</f>
        <v>#N/A</v>
      </c>
      <c r="H8343" s="8" t="s">
        <v>65</v>
      </c>
      <c r="I8343" s="8"/>
      <c r="J8343">
        <v>3611.81</v>
      </c>
      <c r="M8343" t="s">
        <v>2621</v>
      </c>
      <c r="O8343" t="str">
        <f>LEFT(Table2[[#This Row],[Description]],75)</f>
        <v>Deposit ACH CARGILL INCORPOR TYPE: DIRECT DEP ID: 9111111101 CO: CARGILL IN</v>
      </c>
    </row>
    <row r="8344" spans="1:15" hidden="1">
      <c r="A8344" s="25">
        <f>VALUE(YEAR(Table2[[#This Row],[Date]])&amp;TEXT(MONTH(Table2[[#This Row],[Date]]),"00"))</f>
        <v>202212</v>
      </c>
      <c r="B8344" s="6">
        <v>44903</v>
      </c>
      <c r="C8344" t="s">
        <v>2262</v>
      </c>
      <c r="D8344" t="s">
        <v>3448</v>
      </c>
      <c r="E8344">
        <f t="shared" ref="E8344:E8375" si="60">IF(M8344="credit",-1*J8344,J8344)</f>
        <v>40.090000000000003</v>
      </c>
      <c r="F8344" s="2" t="str">
        <f>IF(Table2[[#This Row],[Manual Cat Value]]="",VLOOKUP(Table2[[#This Row],[Description]],'Actuals Lookup'!D:F,3,0),Table2[[#This Row],[Manual Cat Value]])</f>
        <v>Exp - Transportation</v>
      </c>
      <c r="G8344" t="e">
        <f>VLOOKUP(D8344,Lookup!G:H,2,0)</f>
        <v>#N/A</v>
      </c>
      <c r="H8344" s="8" t="s">
        <v>22</v>
      </c>
      <c r="I8344" s="8"/>
      <c r="J8344">
        <v>40.090000000000003</v>
      </c>
      <c r="M8344" t="s">
        <v>2513</v>
      </c>
      <c r="O8344" t="str">
        <f>LEFT(Table2[[#This Row],[Description]],75)</f>
        <v>KWIK TRIP 40200004028 CHANHASSEN MN REF #2416407P5L3HGPBVB</v>
      </c>
    </row>
    <row r="8345" spans="1:15" hidden="1">
      <c r="A8345" s="25">
        <f>VALUE(YEAR(Table2[[#This Row],[Date]])&amp;TEXT(MONTH(Table2[[#This Row],[Date]]),"00"))</f>
        <v>202212</v>
      </c>
      <c r="B8345" s="6">
        <v>44903</v>
      </c>
      <c r="C8345" t="s">
        <v>2262</v>
      </c>
      <c r="D8345" t="s">
        <v>3449</v>
      </c>
      <c r="E8345">
        <f t="shared" si="60"/>
        <v>10</v>
      </c>
      <c r="F8345" s="2" t="str">
        <f>IF(Table2[[#This Row],[Manual Cat Value]]="",VLOOKUP(Table2[[#This Row],[Description]],'Actuals Lookup'!D:F,3,0),Table2[[#This Row],[Manual Cat Value]])</f>
        <v>Exp - Transportation</v>
      </c>
      <c r="G8345" t="e">
        <f>VLOOKUP(D8345,Lookup!G:H,2,0)</f>
        <v>#N/A</v>
      </c>
      <c r="H8345" s="8" t="s">
        <v>22</v>
      </c>
      <c r="I8345" s="8"/>
      <c r="J8345">
        <v>10</v>
      </c>
      <c r="M8345" t="s">
        <v>2513</v>
      </c>
      <c r="O8345" t="str">
        <f>LEFT(Table2[[#This Row],[Description]],75)</f>
        <v>KWIK TRIP 40200004028 CHANHASSEN MN REF #2416407P5L3L9LD65</v>
      </c>
    </row>
    <row r="8346" spans="1:15" hidden="1">
      <c r="A8346" s="25">
        <f>VALUE(YEAR(Table2[[#This Row],[Date]])&amp;TEXT(MONTH(Table2[[#This Row],[Date]]),"00"))</f>
        <v>202212</v>
      </c>
      <c r="B8346" s="6">
        <v>44903</v>
      </c>
      <c r="C8346" t="s">
        <v>2262</v>
      </c>
      <c r="D8346" t="s">
        <v>3450</v>
      </c>
      <c r="E8346">
        <f t="shared" si="60"/>
        <v>25</v>
      </c>
      <c r="F8346" s="2" t="str">
        <f>IF(Table2[[#This Row],[Manual Cat Value]]="",VLOOKUP(Table2[[#This Row],[Description]],'Actuals Lookup'!D:F,3,0),Table2[[#This Row],[Manual Cat Value]])</f>
        <v>Exp - Shopping</v>
      </c>
      <c r="G8346" t="e">
        <f>VLOOKUP(D8346,Lookup!G:H,2,0)</f>
        <v>#N/A</v>
      </c>
      <c r="H8346" s="8" t="s">
        <v>36</v>
      </c>
      <c r="I8346" s="8"/>
      <c r="J8346">
        <v>25</v>
      </c>
      <c r="M8346" t="s">
        <v>2513</v>
      </c>
      <c r="O8346" t="str">
        <f>LEFT(Table2[[#This Row],[Description]],75)</f>
        <v>SCHOOL PICTURES WWW.STRAWBRIDNC REF #2449216P60001AYLA</v>
      </c>
    </row>
    <row r="8347" spans="1:15" hidden="1">
      <c r="A8347" s="25">
        <f>VALUE(YEAR(Table2[[#This Row],[Date]])&amp;TEXT(MONTH(Table2[[#This Row],[Date]]),"00"))</f>
        <v>202212</v>
      </c>
      <c r="B8347" s="6">
        <v>44903</v>
      </c>
      <c r="C8347" t="s">
        <v>2265</v>
      </c>
      <c r="D8347" t="s">
        <v>3451</v>
      </c>
      <c r="E8347">
        <f t="shared" si="60"/>
        <v>89.5</v>
      </c>
      <c r="F8347" s="2" t="str">
        <f>IF(Table2[[#This Row],[Manual Cat Value]]="",VLOOKUP(Table2[[#This Row],[Description]],'Actuals Lookup'!D:F,3,0),Table2[[#This Row],[Manual Cat Value]])</f>
        <v>Exp - Shopping</v>
      </c>
      <c r="G8347" t="e">
        <f>VLOOKUP(D8347,Lookup!G:H,2,0)</f>
        <v>#N/A</v>
      </c>
      <c r="H8347" s="78" t="s">
        <v>36</v>
      </c>
      <c r="I8347" s="8"/>
      <c r="J8347">
        <v>89.5</v>
      </c>
      <c r="M8347" t="s">
        <v>2513</v>
      </c>
      <c r="O8347" t="str">
        <f>LEFT(Table2[[#This Row],[Description]],75)</f>
        <v xml:space="preserve">Withdrawal ACH PAYPAL TYPE: INST XFER ID: PAYPALSI77 CO: PAYPAL NAME: JEFF </v>
      </c>
    </row>
    <row r="8348" spans="1:15" hidden="1">
      <c r="A8348" s="25">
        <f>VALUE(YEAR(Table2[[#This Row],[Date]])&amp;TEXT(MONTH(Table2[[#This Row],[Date]]),"00"))</f>
        <v>202212</v>
      </c>
      <c r="B8348" s="6">
        <v>44904</v>
      </c>
      <c r="C8348" t="s">
        <v>2262</v>
      </c>
      <c r="D8348" t="s">
        <v>3452</v>
      </c>
      <c r="E8348">
        <f t="shared" si="60"/>
        <v>23.95</v>
      </c>
      <c r="F8348" s="2" t="str">
        <f>IF(Table2[[#This Row],[Manual Cat Value]]="",VLOOKUP(Table2[[#This Row],[Description]],'Actuals Lookup'!D:F,3,0),Table2[[#This Row],[Manual Cat Value]])</f>
        <v>Exp - Dry Cleaning</v>
      </c>
      <c r="G8348" t="e">
        <f>VLOOKUP(D8348,Lookup!G:H,2,0)</f>
        <v>#N/A</v>
      </c>
      <c r="H8348" s="8" t="s">
        <v>42</v>
      </c>
      <c r="I8348" s="8"/>
      <c r="J8348">
        <v>23.95</v>
      </c>
      <c r="M8348" t="s">
        <v>2513</v>
      </c>
      <c r="O8348" t="str">
        <f>LEFT(Table2[[#This Row],[Description]],75)</f>
        <v>All Seasons Garment Care Excelsior MN REF #2419304P702ZAF769</v>
      </c>
    </row>
    <row r="8349" spans="1:15" ht="30" hidden="1">
      <c r="A8349" s="25">
        <f>VALUE(YEAR(Table2[[#This Row],[Date]])&amp;TEXT(MONTH(Table2[[#This Row],[Date]]),"00"))</f>
        <v>202212</v>
      </c>
      <c r="B8349" s="6">
        <v>44904</v>
      </c>
      <c r="C8349" t="s">
        <v>2447</v>
      </c>
      <c r="D8349" s="7" t="s">
        <v>3453</v>
      </c>
      <c r="E8349">
        <f t="shared" si="60"/>
        <v>45</v>
      </c>
      <c r="F8349" s="2" t="str">
        <f>IF(Table2[[#This Row],[Manual Cat Value]]="",VLOOKUP(Table2[[#This Row],[Description]],'Actuals Lookup'!D:F,3,0),Table2[[#This Row],[Manual Cat Value]])</f>
        <v>Exp - Amazon</v>
      </c>
      <c r="G8349" t="e">
        <f>VLOOKUP(D8349,Lookup!G:H,2,0)</f>
        <v>#N/A</v>
      </c>
      <c r="H8349" s="78" t="s">
        <v>37</v>
      </c>
      <c r="I8349" s="78"/>
      <c r="J8349">
        <v>45</v>
      </c>
      <c r="M8349" t="s">
        <v>2513</v>
      </c>
      <c r="O8349" t="str">
        <f>LEFT(Table2[[#This Row],[Description]],75)</f>
        <v>AMZN MKTP US*887HN7G53 AMZN.COM/BILLWA
PD64VRQK10G</v>
      </c>
    </row>
    <row r="8350" spans="1:15" hidden="1">
      <c r="A8350" s="25">
        <f>VALUE(YEAR(Table2[[#This Row],[Date]])&amp;TEXT(MONTH(Table2[[#This Row],[Date]]),"00"))</f>
        <v>202212</v>
      </c>
      <c r="B8350" s="6">
        <v>44904</v>
      </c>
      <c r="C8350" t="s">
        <v>2262</v>
      </c>
      <c r="D8350" t="s">
        <v>3454</v>
      </c>
      <c r="E8350">
        <f t="shared" si="60"/>
        <v>41.93</v>
      </c>
      <c r="F8350" s="2" t="str">
        <f>IF(Table2[[#This Row],[Manual Cat Value]]="",VLOOKUP(Table2[[#This Row],[Description]],'Actuals Lookup'!D:F,3,0),Table2[[#This Row],[Manual Cat Value]])</f>
        <v>Exp - Transportation</v>
      </c>
      <c r="G8350" t="e">
        <f>VLOOKUP(D8350,Lookup!G:H,2,0)</f>
        <v>#N/A</v>
      </c>
      <c r="H8350" s="8" t="s">
        <v>22</v>
      </c>
      <c r="I8350" s="8"/>
      <c r="J8350">
        <v>41.93</v>
      </c>
      <c r="M8350" t="s">
        <v>2513</v>
      </c>
      <c r="O8350" t="str">
        <f>LEFT(Table2[[#This Row],[Description]],75)</f>
        <v>LYFT RIDE WED 7PM 855-865-9553 CA REF #2449215P6LRQPDSMP</v>
      </c>
    </row>
    <row r="8351" spans="1:15" hidden="1">
      <c r="A8351" s="25">
        <f>VALUE(YEAR(Table2[[#This Row],[Date]])&amp;TEXT(MONTH(Table2[[#This Row],[Date]]),"00"))</f>
        <v>202212</v>
      </c>
      <c r="B8351" s="6">
        <v>44904</v>
      </c>
      <c r="C8351" t="s">
        <v>2262</v>
      </c>
      <c r="D8351" t="s">
        <v>3455</v>
      </c>
      <c r="E8351">
        <f t="shared" si="60"/>
        <v>47.25</v>
      </c>
      <c r="F8351" s="2" t="str">
        <f>IF(Table2[[#This Row],[Manual Cat Value]]="",VLOOKUP(Table2[[#This Row],[Description]],'Actuals Lookup'!D:F,3,0),Table2[[#This Row],[Manual Cat Value]])</f>
        <v>Exp - Gym</v>
      </c>
      <c r="G8351" t="e">
        <f>VLOOKUP(D8351,Lookup!G:H,2,0)</f>
        <v>#N/A</v>
      </c>
      <c r="H8351" s="8" t="s">
        <v>33</v>
      </c>
      <c r="I8351" s="8"/>
      <c r="J8351">
        <v>47.25</v>
      </c>
      <c r="M8351" t="s">
        <v>2513</v>
      </c>
      <c r="O8351" t="str">
        <f>LEFT(Table2[[#This Row],[Description]],75)</f>
        <v>PELOTON* MEMBERSHIP HTTPSWWW.ONEPNY REF #2401134P600133VG2</v>
      </c>
    </row>
    <row r="8352" spans="1:15" hidden="1">
      <c r="A8352" s="25">
        <f>VALUE(YEAR(Table2[[#This Row],[Date]])&amp;TEXT(MONTH(Table2[[#This Row],[Date]]),"00"))</f>
        <v>202212</v>
      </c>
      <c r="B8352" s="6">
        <v>44904</v>
      </c>
      <c r="C8352" t="s">
        <v>2262</v>
      </c>
      <c r="D8352" t="s">
        <v>3456</v>
      </c>
      <c r="E8352">
        <f t="shared" si="60"/>
        <v>223.51</v>
      </c>
      <c r="F8352" s="2" t="str">
        <f>IF(Table2[[#This Row],[Manual Cat Value]]="",VLOOKUP(Table2[[#This Row],[Description]],'Actuals Lookup'!D:F,3,0),Table2[[#This Row],[Manual Cat Value]])</f>
        <v>Exp - Healthcare</v>
      </c>
      <c r="G8352" t="e">
        <f>VLOOKUP(D8352,Lookup!G:H,2,0)</f>
        <v>#N/A</v>
      </c>
      <c r="H8352" s="8" t="s">
        <v>47</v>
      </c>
      <c r="I8352" s="8"/>
      <c r="J8352">
        <v>223.51</v>
      </c>
      <c r="M8352" t="s">
        <v>2513</v>
      </c>
      <c r="O8352" t="str">
        <f>LEFT(Table2[[#This Row],[Description]],75)</f>
        <v>RIDGEVIEW MEDICAL CENTER WACONIA MN REF #2480197P610J8RKYH</v>
      </c>
    </row>
    <row r="8353" spans="1:15" hidden="1">
      <c r="A8353" s="25">
        <f>VALUE(YEAR(Table2[[#This Row],[Date]])&amp;TEXT(MONTH(Table2[[#This Row],[Date]]),"00"))</f>
        <v>202212</v>
      </c>
      <c r="B8353" s="6">
        <v>44904</v>
      </c>
      <c r="C8353" t="s">
        <v>2262</v>
      </c>
      <c r="D8353" t="s">
        <v>3457</v>
      </c>
      <c r="E8353">
        <f t="shared" si="60"/>
        <v>7</v>
      </c>
      <c r="F8353" s="2" t="str">
        <f>IF(Table2[[#This Row],[Manual Cat Value]]="",VLOOKUP(Table2[[#This Row],[Description]],'Actuals Lookup'!D:F,3,0),Table2[[#This Row],[Manual Cat Value]])</f>
        <v>Exp - Entertainment</v>
      </c>
      <c r="G8353" t="e">
        <f>VLOOKUP(D8353,Lookup!G:H,2,0)</f>
        <v>#N/A</v>
      </c>
      <c r="H8353" s="8" t="s">
        <v>39</v>
      </c>
      <c r="I8353" s="8"/>
      <c r="J8353">
        <v>7</v>
      </c>
      <c r="M8353" t="s">
        <v>2513</v>
      </c>
      <c r="O8353" t="str">
        <f>LEFT(Table2[[#This Row],[Description]],75)</f>
        <v>U OF M-EVENTS ARB CHASKA MN REF #2413829P72MQEJMQQ</v>
      </c>
    </row>
    <row r="8354" spans="1:15" hidden="1">
      <c r="A8354" s="25">
        <f>VALUE(YEAR(Table2[[#This Row],[Date]])&amp;TEXT(MONTH(Table2[[#This Row],[Date]]),"00"))</f>
        <v>202212</v>
      </c>
      <c r="B8354" s="6">
        <v>44904</v>
      </c>
      <c r="C8354" t="s">
        <v>2265</v>
      </c>
      <c r="D8354" t="s">
        <v>3458</v>
      </c>
      <c r="E8354">
        <f t="shared" si="60"/>
        <v>130.12</v>
      </c>
      <c r="F8354" s="2" t="str">
        <f>IF(Table2[[#This Row],[Manual Cat Value]]="",VLOOKUP(Table2[[#This Row],[Description]],'Actuals Lookup'!D:F,3,0),Table2[[#This Row],[Manual Cat Value]])</f>
        <v>Exp - Utilities</v>
      </c>
      <c r="G8354" t="e">
        <f>VLOOKUP(D8354,Lookup!G:H,2,0)</f>
        <v>#N/A</v>
      </c>
      <c r="H8354" s="8" t="s">
        <v>6</v>
      </c>
      <c r="I8354" s="8"/>
      <c r="J8354">
        <v>130.12</v>
      </c>
      <c r="M8354" t="s">
        <v>2513</v>
      </c>
      <c r="O8354" t="str">
        <f>LEFT(Table2[[#This Row],[Description]],75)</f>
        <v xml:space="preserve">Withdrawal ACH CPENERGY MNGCO TYPE: MGC ACH EB ID: 176051140S CO: CPENERGY </v>
      </c>
    </row>
    <row r="8355" spans="1:15" hidden="1">
      <c r="A8355" s="25">
        <f>VALUE(YEAR(Table2[[#This Row],[Date]])&amp;TEXT(MONTH(Table2[[#This Row],[Date]]),"00"))</f>
        <v>202212</v>
      </c>
      <c r="B8355" s="6">
        <v>44904</v>
      </c>
      <c r="C8355" t="s">
        <v>2265</v>
      </c>
      <c r="D8355" t="s">
        <v>3459</v>
      </c>
      <c r="E8355">
        <f t="shared" si="60"/>
        <v>208.87</v>
      </c>
      <c r="F8355" s="2" t="str">
        <f>IF(Table2[[#This Row],[Manual Cat Value]]="",VLOOKUP(Table2[[#This Row],[Description]],'Actuals Lookup'!D:F,3,0),Table2[[#This Row],[Manual Cat Value]])</f>
        <v>Exp - Shopping</v>
      </c>
      <c r="G8355" t="e">
        <f>VLOOKUP(D8355,Lookup!G:H,2,0)</f>
        <v>#N/A</v>
      </c>
      <c r="H8355" s="8" t="s">
        <v>36</v>
      </c>
      <c r="I8355" s="8"/>
      <c r="J8355">
        <v>208.87</v>
      </c>
      <c r="M8355" t="s">
        <v>2513</v>
      </c>
      <c r="O8355" t="str">
        <f>LEFT(Table2[[#This Row],[Description]],75)</f>
        <v>Withdrawal ACH NORDSTROM TYPE: PAYMENT ID: 9044022131 CO: NORDSTROM NAME: J</v>
      </c>
    </row>
    <row r="8356" spans="1:15" ht="30" hidden="1">
      <c r="A8356" s="25">
        <f>VALUE(YEAR(Table2[[#This Row],[Date]])&amp;TEXT(MONTH(Table2[[#This Row],[Date]]),"00"))</f>
        <v>202212</v>
      </c>
      <c r="B8356" s="6">
        <v>44905</v>
      </c>
      <c r="C8356" t="s">
        <v>2447</v>
      </c>
      <c r="D8356" s="7" t="s">
        <v>3460</v>
      </c>
      <c r="E8356">
        <f t="shared" si="60"/>
        <v>81.97</v>
      </c>
      <c r="F8356" s="2" t="str">
        <f>IF(Table2[[#This Row],[Manual Cat Value]]="",VLOOKUP(Table2[[#This Row],[Description]],'Actuals Lookup'!D:F,3,0),Table2[[#This Row],[Manual Cat Value]])</f>
        <v>Exp - Amazon</v>
      </c>
      <c r="G8356" t="e">
        <f>VLOOKUP(D8356,Lookup!G:H,2,0)</f>
        <v>#N/A</v>
      </c>
      <c r="H8356" s="78" t="s">
        <v>37</v>
      </c>
      <c r="I8356" s="78"/>
      <c r="J8356">
        <v>81.97</v>
      </c>
      <c r="M8356" t="s">
        <v>2513</v>
      </c>
      <c r="O8356" t="str">
        <f>LEFT(Table2[[#This Row],[Description]],75)</f>
        <v>AMZN MKTP US*RD6OK2PY3 AMZN.COM/BILLWA
1V07F8CECZ8</v>
      </c>
    </row>
    <row r="8357" spans="1:15" hidden="1">
      <c r="A8357" s="25">
        <f>VALUE(YEAR(Table2[[#This Row],[Date]])&amp;TEXT(MONTH(Table2[[#This Row],[Date]]),"00"))</f>
        <v>202212</v>
      </c>
      <c r="B8357" s="6">
        <v>44905</v>
      </c>
      <c r="C8357" t="s">
        <v>2447</v>
      </c>
      <c r="D8357" t="s">
        <v>997</v>
      </c>
      <c r="E8357">
        <f t="shared" si="60"/>
        <v>-643.37</v>
      </c>
      <c r="F8357" s="2" t="str">
        <f>IF(Table2[[#This Row],[Manual Cat Value]]="",VLOOKUP(Table2[[#This Row],[Description]],'Actuals Lookup'!D:F,3,0),Table2[[#This Row],[Manual Cat Value]])</f>
        <v>Delete</v>
      </c>
      <c r="G8357" t="str">
        <f>VLOOKUP(D8357,Lookup!G:H,2,0)</f>
        <v>Delete</v>
      </c>
      <c r="I8357" s="8"/>
      <c r="J8357">
        <v>643.37</v>
      </c>
      <c r="M8357" t="s">
        <v>2621</v>
      </c>
      <c r="O8357" t="str">
        <f>LEFT(Table2[[#This Row],[Description]],75)</f>
        <v>INTERNET PAYMENT - THANK YOU</v>
      </c>
    </row>
    <row r="8358" spans="1:15" hidden="1">
      <c r="A8358" s="25">
        <f>VALUE(YEAR(Table2[[#This Row],[Date]])&amp;TEXT(MONTH(Table2[[#This Row],[Date]]),"00"))</f>
        <v>202212</v>
      </c>
      <c r="B8358" s="6">
        <v>44906</v>
      </c>
      <c r="C8358" t="s">
        <v>2262</v>
      </c>
      <c r="D8358" t="s">
        <v>3461</v>
      </c>
      <c r="E8358">
        <f t="shared" si="60"/>
        <v>31.52</v>
      </c>
      <c r="F8358" s="2" t="str">
        <f>IF(Table2[[#This Row],[Manual Cat Value]]="",VLOOKUP(Table2[[#This Row],[Description]],'Actuals Lookup'!D:F,3,0),Table2[[#This Row],[Manual Cat Value]])</f>
        <v>Exp - Groceries</v>
      </c>
      <c r="G8358" t="e">
        <f>VLOOKUP(D8358,Lookup!G:H,2,0)</f>
        <v>#N/A</v>
      </c>
      <c r="H8358" s="8" t="s">
        <v>27</v>
      </c>
      <c r="I8358" s="8"/>
      <c r="J8358">
        <v>31.52</v>
      </c>
      <c r="M8358" t="s">
        <v>2513</v>
      </c>
      <c r="O8358" t="str">
        <f>LEFT(Table2[[#This Row],[Description]],75)</f>
        <v>HY-VEE EAGAN 1165 EAGAN MN REF #2413746P90109SMDP</v>
      </c>
    </row>
    <row r="8359" spans="1:15" hidden="1">
      <c r="A8359" s="25">
        <f>VALUE(YEAR(Table2[[#This Row],[Date]])&amp;TEXT(MONTH(Table2[[#This Row],[Date]]),"00"))</f>
        <v>202212</v>
      </c>
      <c r="B8359" s="6">
        <v>44906</v>
      </c>
      <c r="C8359" t="s">
        <v>2262</v>
      </c>
      <c r="D8359" t="s">
        <v>3462</v>
      </c>
      <c r="E8359">
        <f t="shared" si="60"/>
        <v>29</v>
      </c>
      <c r="F8359" s="2" t="str">
        <f>IF(Table2[[#This Row],[Manual Cat Value]]="",VLOOKUP(Table2[[#This Row],[Description]],'Actuals Lookup'!D:F,3,0),Table2[[#This Row],[Manual Cat Value]])</f>
        <v>Exp - Misc</v>
      </c>
      <c r="G8359" t="e">
        <f>VLOOKUP(D8359,Lookup!G:H,2,0)</f>
        <v>#N/A</v>
      </c>
      <c r="H8359" s="8" t="s">
        <v>46</v>
      </c>
      <c r="I8359" s="8"/>
      <c r="J8359">
        <v>29</v>
      </c>
      <c r="M8359" t="s">
        <v>2513</v>
      </c>
      <c r="O8359" t="str">
        <f>LEFT(Table2[[#This Row],[Description]],75)</f>
        <v>Kids Hair - CH Chanhassen MN REF #2479338P70277MT96</v>
      </c>
    </row>
    <row r="8360" spans="1:15" hidden="1">
      <c r="A8360" s="25">
        <f>VALUE(YEAR(Table2[[#This Row],[Date]])&amp;TEXT(MONTH(Table2[[#This Row],[Date]]),"00"))</f>
        <v>202212</v>
      </c>
      <c r="B8360" s="6">
        <v>44906</v>
      </c>
      <c r="C8360" t="s">
        <v>2262</v>
      </c>
      <c r="D8360" t="s">
        <v>3463</v>
      </c>
      <c r="E8360">
        <f t="shared" si="60"/>
        <v>88.88</v>
      </c>
      <c r="F8360" s="2" t="str">
        <f>IF(Table2[[#This Row],[Manual Cat Value]]="",VLOOKUP(Table2[[#This Row],[Description]],'Actuals Lookup'!D:F,3,0),Table2[[#This Row],[Manual Cat Value]])</f>
        <v>Exp - Shopping</v>
      </c>
      <c r="G8360" t="e">
        <f>VLOOKUP(D8360,Lookup!G:H,2,0)</f>
        <v>#N/A</v>
      </c>
      <c r="H8360" s="8" t="s">
        <v>36</v>
      </c>
      <c r="I8360" s="8"/>
      <c r="J8360">
        <v>88.88</v>
      </c>
      <c r="M8360" t="s">
        <v>2513</v>
      </c>
      <c r="O8360" t="str">
        <f>LEFT(Table2[[#This Row],[Description]],75)</f>
        <v>SP SOTA CLOTHING 195-23814230 MN REF #2449216P8001FNY5H</v>
      </c>
    </row>
    <row r="8361" spans="1:15" hidden="1">
      <c r="A8361" s="25">
        <f>VALUE(YEAR(Table2[[#This Row],[Date]])&amp;TEXT(MONTH(Table2[[#This Row],[Date]]),"00"))</f>
        <v>202212</v>
      </c>
      <c r="B8361" s="6">
        <v>44906</v>
      </c>
      <c r="C8361" t="s">
        <v>2262</v>
      </c>
      <c r="D8361" t="s">
        <v>3464</v>
      </c>
      <c r="E8361">
        <f t="shared" si="60"/>
        <v>73.16</v>
      </c>
      <c r="F8361" s="2" t="str">
        <f>IF(Table2[[#This Row],[Manual Cat Value]]="",VLOOKUP(Table2[[#This Row],[Description]],'Actuals Lookup'!D:F,3,0),Table2[[#This Row],[Manual Cat Value]])</f>
        <v>Exp - Restaurants</v>
      </c>
      <c r="G8361" t="e">
        <f>VLOOKUP(D8361,Lookup!G:H,2,0)</f>
        <v>#N/A</v>
      </c>
      <c r="H8361" s="8" t="s">
        <v>25</v>
      </c>
      <c r="I8361" s="8"/>
      <c r="J8361">
        <v>73.16</v>
      </c>
      <c r="M8361" t="s">
        <v>2513</v>
      </c>
      <c r="O8361" t="str">
        <f>LEFT(Table2[[#This Row],[Description]],75)</f>
        <v>SQ *FORGE AND FOUNDRY DISStillwater MN REF #2469216P832PX615Y</v>
      </c>
    </row>
    <row r="8362" spans="1:15" hidden="1">
      <c r="A8362" s="25">
        <f>VALUE(YEAR(Table2[[#This Row],[Date]])&amp;TEXT(MONTH(Table2[[#This Row],[Date]]),"00"))</f>
        <v>202212</v>
      </c>
      <c r="B8362" s="6">
        <v>44906</v>
      </c>
      <c r="C8362" t="s">
        <v>2262</v>
      </c>
      <c r="D8362" t="s">
        <v>3465</v>
      </c>
      <c r="E8362">
        <f t="shared" si="60"/>
        <v>125</v>
      </c>
      <c r="F8362" s="2" t="str">
        <f>IF(Table2[[#This Row],[Manual Cat Value]]="",VLOOKUP(Table2[[#This Row],[Description]],'Actuals Lookup'!D:F,3,0),Table2[[#This Row],[Manual Cat Value]])</f>
        <v>Exp - Shopping</v>
      </c>
      <c r="G8362" t="e">
        <f>VLOOKUP(D8362,Lookup!G:H,2,0)</f>
        <v>#N/A</v>
      </c>
      <c r="H8362" s="8" t="s">
        <v>36</v>
      </c>
      <c r="I8362" s="8"/>
      <c r="J8362">
        <v>125</v>
      </c>
      <c r="M8362" t="s">
        <v>2513</v>
      </c>
      <c r="O8362" t="str">
        <f>LEFT(Table2[[#This Row],[Description]],75)</f>
        <v>SQ *WHATNOT ON MAIN Stillwater MN REF #2469216P832L75LYF</v>
      </c>
    </row>
    <row r="8363" spans="1:15" hidden="1">
      <c r="A8363" s="25">
        <f>VALUE(YEAR(Table2[[#This Row],[Date]])&amp;TEXT(MONTH(Table2[[#This Row],[Date]]),"00"))</f>
        <v>202212</v>
      </c>
      <c r="B8363" s="6">
        <v>44906</v>
      </c>
      <c r="C8363" t="s">
        <v>2262</v>
      </c>
      <c r="D8363" t="s">
        <v>3466</v>
      </c>
      <c r="E8363">
        <f t="shared" si="60"/>
        <v>51.3</v>
      </c>
      <c r="F8363" s="2" t="str">
        <f>IF(Table2[[#This Row],[Manual Cat Value]]="",VLOOKUP(Table2[[#This Row],[Description]],'Actuals Lookup'!D:F,3,0),Table2[[#This Row],[Manual Cat Value]])</f>
        <v>Exp - Shopping</v>
      </c>
      <c r="G8363" t="e">
        <f>VLOOKUP(D8363,Lookup!G:H,2,0)</f>
        <v>#N/A</v>
      </c>
      <c r="H8363" s="8" t="s">
        <v>36</v>
      </c>
      <c r="I8363" s="8"/>
      <c r="J8363">
        <v>51.3</v>
      </c>
      <c r="M8363" t="s">
        <v>2513</v>
      </c>
      <c r="O8363" t="str">
        <f>LEFT(Table2[[#This Row],[Description]],75)</f>
        <v>SQ *WHATNOT ON MAIN Stillwater MN REF #2469216P832L7FY70</v>
      </c>
    </row>
    <row r="8364" spans="1:15" hidden="1">
      <c r="A8364" s="25">
        <f>VALUE(YEAR(Table2[[#This Row],[Date]])&amp;TEXT(MONTH(Table2[[#This Row],[Date]]),"00"))</f>
        <v>202212</v>
      </c>
      <c r="B8364" s="6">
        <v>44906</v>
      </c>
      <c r="C8364" t="s">
        <v>2262</v>
      </c>
      <c r="D8364" t="s">
        <v>3467</v>
      </c>
      <c r="E8364">
        <f t="shared" si="60"/>
        <v>58.76</v>
      </c>
      <c r="F8364" s="2" t="str">
        <f>IF(Table2[[#This Row],[Manual Cat Value]]="",VLOOKUP(Table2[[#This Row],[Description]],'Actuals Lookup'!D:F,3,0),Table2[[#This Row],[Manual Cat Value]])</f>
        <v>Exp - Groceries</v>
      </c>
      <c r="G8364" t="e">
        <f>VLOOKUP(D8364,Lookup!G:H,2,0)</f>
        <v>#N/A</v>
      </c>
      <c r="H8364" s="8" t="s">
        <v>27</v>
      </c>
      <c r="I8364" s="8"/>
      <c r="J8364">
        <v>58.76</v>
      </c>
      <c r="M8364" t="s">
        <v>2513</v>
      </c>
      <c r="O8364" t="str">
        <f>LEFT(Table2[[#This Row],[Description]],75)</f>
        <v>TOTAL WINE AND MORE CHANHASSEN MN REF #2411641P8RBGJ6QS4</v>
      </c>
    </row>
    <row r="8365" spans="1:15" hidden="1">
      <c r="A8365" s="25">
        <f>VALUE(YEAR(Table2[[#This Row],[Date]])&amp;TEXT(MONTH(Table2[[#This Row],[Date]]),"00"))</f>
        <v>202212</v>
      </c>
      <c r="B8365" s="6">
        <v>44907</v>
      </c>
      <c r="C8365" t="s">
        <v>2262</v>
      </c>
      <c r="D8365" t="s">
        <v>3468</v>
      </c>
      <c r="E8365">
        <f t="shared" si="60"/>
        <v>22.45</v>
      </c>
      <c r="F8365" s="2" t="str">
        <f>IF(Table2[[#This Row],[Manual Cat Value]]="",VLOOKUP(Table2[[#This Row],[Description]],'Actuals Lookup'!D:F,3,0),Table2[[#This Row],[Manual Cat Value]])</f>
        <v>Exp - Groceries</v>
      </c>
      <c r="G8365" t="e">
        <f>VLOOKUP(D8365,Lookup!G:H,2,0)</f>
        <v>#N/A</v>
      </c>
      <c r="H8365" s="8" t="s">
        <v>27</v>
      </c>
      <c r="I8365" s="8"/>
      <c r="J8365">
        <v>22.45</v>
      </c>
      <c r="M8365" t="s">
        <v>2513</v>
      </c>
      <c r="O8365" t="str">
        <f>LEFT(Table2[[#This Row],[Description]],75)</f>
        <v>CHASKA CUB FOODS CHASKA MN REF #2442733P9LYPVBENP</v>
      </c>
    </row>
    <row r="8366" spans="1:15" hidden="1">
      <c r="A8366" s="25">
        <f>VALUE(YEAR(Table2[[#This Row],[Date]])&amp;TEXT(MONTH(Table2[[#This Row],[Date]]),"00"))</f>
        <v>202212</v>
      </c>
      <c r="B8366" s="6">
        <v>44907</v>
      </c>
      <c r="C8366" t="s">
        <v>2262</v>
      </c>
      <c r="D8366" t="s">
        <v>3469</v>
      </c>
      <c r="E8366">
        <f t="shared" si="60"/>
        <v>245.16</v>
      </c>
      <c r="F8366" s="2" t="str">
        <f>IF(Table2[[#This Row],[Manual Cat Value]]="",VLOOKUP(Table2[[#This Row],[Description]],'Actuals Lookup'!D:F,3,0),Table2[[#This Row],[Manual Cat Value]])</f>
        <v>Exp - Restaurants</v>
      </c>
      <c r="G8366" t="e">
        <f>VLOOKUP(D8366,Lookup!G:H,2,0)</f>
        <v>#N/A</v>
      </c>
      <c r="H8366" s="8" t="s">
        <v>25</v>
      </c>
      <c r="I8366" s="8"/>
      <c r="J8366">
        <v>245.16</v>
      </c>
      <c r="M8366" t="s">
        <v>2513</v>
      </c>
      <c r="O8366" t="str">
        <f>LEFT(Table2[[#This Row],[Description]],75)</f>
        <v>LORA F&amp;B STILLWATER MN REF #2434285P90FWW3YFY</v>
      </c>
    </row>
    <row r="8367" spans="1:15" hidden="1">
      <c r="A8367" s="25">
        <f>VALUE(YEAR(Table2[[#This Row],[Date]])&amp;TEXT(MONTH(Table2[[#This Row],[Date]]),"00"))</f>
        <v>202212</v>
      </c>
      <c r="B8367" s="6">
        <v>44907</v>
      </c>
      <c r="C8367" t="s">
        <v>2262</v>
      </c>
      <c r="D8367" t="s">
        <v>3470</v>
      </c>
      <c r="E8367">
        <f t="shared" si="60"/>
        <v>17.25</v>
      </c>
      <c r="F8367" s="2" t="str">
        <f>IF(Table2[[#This Row],[Manual Cat Value]]="",VLOOKUP(Table2[[#This Row],[Description]],'Actuals Lookup'!D:F,3,0),Table2[[#This Row],[Manual Cat Value]])</f>
        <v>Exp - Restaurants</v>
      </c>
      <c r="G8367" t="e">
        <f>VLOOKUP(D8367,Lookup!G:H,2,0)</f>
        <v>#N/A</v>
      </c>
      <c r="H8367" s="8" t="s">
        <v>25</v>
      </c>
      <c r="I8367" s="8"/>
      <c r="J8367">
        <v>17.25</v>
      </c>
      <c r="M8367" t="s">
        <v>2513</v>
      </c>
      <c r="O8367" t="str">
        <f>LEFT(Table2[[#This Row],[Description]],75)</f>
        <v>RIVER SIREN BREWING CO STILLWATER MN REF #2427539P9S66GZ10Q</v>
      </c>
    </row>
    <row r="8368" spans="1:15" hidden="1">
      <c r="A8368" s="25">
        <f>VALUE(YEAR(Table2[[#This Row],[Date]])&amp;TEXT(MONTH(Table2[[#This Row],[Date]]),"00"))</f>
        <v>202212</v>
      </c>
      <c r="B8368" s="6">
        <v>44907</v>
      </c>
      <c r="C8368" t="s">
        <v>2262</v>
      </c>
      <c r="D8368" t="s">
        <v>3471</v>
      </c>
      <c r="E8368">
        <f t="shared" si="60"/>
        <v>49.34</v>
      </c>
      <c r="F8368" s="2" t="str">
        <f>IF(Table2[[#This Row],[Manual Cat Value]]="",VLOOKUP(Table2[[#This Row],[Description]],'Actuals Lookup'!D:F,3,0),Table2[[#This Row],[Manual Cat Value]])</f>
        <v>Exp - Transportation</v>
      </c>
      <c r="G8368" t="e">
        <f>VLOOKUP(D8368,Lookup!G:H,2,0)</f>
        <v>#N/A</v>
      </c>
      <c r="H8368" s="8" t="s">
        <v>22</v>
      </c>
      <c r="I8368" s="8"/>
      <c r="J8368">
        <v>49.34</v>
      </c>
      <c r="M8368" t="s">
        <v>2513</v>
      </c>
      <c r="O8368" t="str">
        <f>LEFT(Table2[[#This Row],[Description]],75)</f>
        <v>SPEEDWAY 04095 CHASKA MN REF #2413746PA019SD6GJ</v>
      </c>
    </row>
    <row r="8369" spans="1:15" hidden="1">
      <c r="A8369" s="25">
        <f>VALUE(YEAR(Table2[[#This Row],[Date]])&amp;TEXT(MONTH(Table2[[#This Row],[Date]]),"00"))</f>
        <v>202212</v>
      </c>
      <c r="B8369" s="6">
        <v>44907</v>
      </c>
      <c r="C8369" t="s">
        <v>2262</v>
      </c>
      <c r="D8369" t="s">
        <v>3472</v>
      </c>
      <c r="E8369">
        <f t="shared" si="60"/>
        <v>55.15</v>
      </c>
      <c r="F8369" s="2" t="str">
        <f>IF(Table2[[#This Row],[Manual Cat Value]]="",VLOOKUP(Table2[[#This Row],[Description]],'Actuals Lookup'!D:F,3,0),Table2[[#This Row],[Manual Cat Value]])</f>
        <v>Exp - Restaurants</v>
      </c>
      <c r="G8369" t="e">
        <f>VLOOKUP(D8369,Lookup!G:H,2,0)</f>
        <v>#N/A</v>
      </c>
      <c r="H8369" s="8" t="s">
        <v>25</v>
      </c>
      <c r="I8369" s="8"/>
      <c r="J8369">
        <v>55.15</v>
      </c>
      <c r="M8369" t="s">
        <v>2513</v>
      </c>
      <c r="O8369" t="str">
        <f>LEFT(Table2[[#This Row],[Description]],75)</f>
        <v>THE VELVETEEN 651-2807715 MN REF #2410085P9S66FVQM6</v>
      </c>
    </row>
    <row r="8370" spans="1:15" hidden="1">
      <c r="A8370" s="25">
        <f>VALUE(YEAR(Table2[[#This Row],[Date]])&amp;TEXT(MONTH(Table2[[#This Row],[Date]]),"00"))</f>
        <v>202212</v>
      </c>
      <c r="B8370" s="6">
        <v>44907</v>
      </c>
      <c r="C8370" t="s">
        <v>2262</v>
      </c>
      <c r="D8370" t="s">
        <v>3473</v>
      </c>
      <c r="E8370">
        <f t="shared" si="60"/>
        <v>4.53</v>
      </c>
      <c r="F8370" s="2" t="str">
        <f>IF(Table2[[#This Row],[Manual Cat Value]]="",VLOOKUP(Table2[[#This Row],[Description]],'Actuals Lookup'!D:F,3,0),Table2[[#This Row],[Manual Cat Value]])</f>
        <v>Exp - Transportation</v>
      </c>
      <c r="G8370" t="e">
        <f>VLOOKUP(D8370,Lookup!G:H,2,0)</f>
        <v>#N/A</v>
      </c>
      <c r="H8370" s="8" t="s">
        <v>22</v>
      </c>
      <c r="I8370" s="8"/>
      <c r="J8370">
        <v>4.53</v>
      </c>
      <c r="M8370" t="s">
        <v>2513</v>
      </c>
      <c r="O8370" t="str">
        <f>LEFT(Table2[[#This Row],[Description]],75)</f>
        <v>TO GO AMOCO STILLWATER MN REF #2419304PA000G6TM6</v>
      </c>
    </row>
    <row r="8371" spans="1:15" hidden="1">
      <c r="A8371" s="25">
        <f>VALUE(YEAR(Table2[[#This Row],[Date]])&amp;TEXT(MONTH(Table2[[#This Row],[Date]]),"00"))</f>
        <v>202212</v>
      </c>
      <c r="B8371" s="6">
        <v>44907</v>
      </c>
      <c r="C8371" t="s">
        <v>2262</v>
      </c>
      <c r="D8371" t="s">
        <v>3474</v>
      </c>
      <c r="E8371">
        <f t="shared" si="60"/>
        <v>44.98</v>
      </c>
      <c r="F8371" s="2" t="str">
        <f>IF(Table2[[#This Row],[Manual Cat Value]]="",VLOOKUP(Table2[[#This Row],[Description]],'Actuals Lookup'!D:F,3,0),Table2[[#This Row],[Manual Cat Value]])</f>
        <v>Exp - Restaurants</v>
      </c>
      <c r="G8371" t="e">
        <f>VLOOKUP(D8371,Lookup!G:H,2,0)</f>
        <v>#N/A</v>
      </c>
      <c r="H8371" s="8" t="s">
        <v>25</v>
      </c>
      <c r="I8371" s="8"/>
      <c r="J8371">
        <v>44.98</v>
      </c>
      <c r="M8371" t="s">
        <v>2513</v>
      </c>
      <c r="O8371" t="str">
        <f>LEFT(Table2[[#This Row],[Description]],75)</f>
        <v>UBER EATS HELP.UBER.COMCA REF #2449215PAML05PHL9</v>
      </c>
    </row>
    <row r="8372" spans="1:15" hidden="1">
      <c r="A8372" s="25">
        <f>VALUE(YEAR(Table2[[#This Row],[Date]])&amp;TEXT(MONTH(Table2[[#This Row],[Date]]),"00"))</f>
        <v>202212</v>
      </c>
      <c r="B8372" s="6">
        <v>44907</v>
      </c>
      <c r="C8372" t="s">
        <v>2265</v>
      </c>
      <c r="D8372" t="s">
        <v>2640</v>
      </c>
      <c r="E8372">
        <f t="shared" si="60"/>
        <v>3548.14</v>
      </c>
      <c r="F8372" s="2" t="str">
        <f>IF(Table2[[#This Row],[Manual Cat Value]]="",VLOOKUP(Table2[[#This Row],[Description]],'Actuals Lookup'!D:F,3,0),Table2[[#This Row],[Manual Cat Value]])</f>
        <v>Delete</v>
      </c>
      <c r="G8372" t="e">
        <f>VLOOKUP(D8372,Lookup!G:H,2,0)</f>
        <v>#N/A</v>
      </c>
      <c r="H8372" s="8" t="s">
        <v>9</v>
      </c>
      <c r="I8372" s="8"/>
      <c r="J8372">
        <v>3548.14</v>
      </c>
      <c r="M8372" t="s">
        <v>2513</v>
      </c>
      <c r="O8372" t="str">
        <f>LEFT(Table2[[#This Row],[Description]],75)</f>
        <v>Withdrawal Home Banking Pmt to card XXXXXXXXXXXX-9181</v>
      </c>
    </row>
    <row r="8373" spans="1:15" hidden="1">
      <c r="A8373" s="25">
        <f>VALUE(YEAR(Table2[[#This Row],[Date]])&amp;TEXT(MONTH(Table2[[#This Row],[Date]]),"00"))</f>
        <v>202212</v>
      </c>
      <c r="B8373" s="6">
        <v>44907</v>
      </c>
      <c r="C8373" t="s">
        <v>2262</v>
      </c>
      <c r="D8373" t="s">
        <v>3475</v>
      </c>
      <c r="E8373">
        <f t="shared" si="60"/>
        <v>-3548.14</v>
      </c>
      <c r="F8373" s="2" t="str">
        <f>IF(Table2[[#This Row],[Manual Cat Value]]="",VLOOKUP(Table2[[#This Row],[Description]],'Actuals Lookup'!D:F,3,0),Table2[[#This Row],[Manual Cat Value]])</f>
        <v>Delete</v>
      </c>
      <c r="G8373" t="e">
        <f>VLOOKUP(D8373,Lookup!G:H,2,0)</f>
        <v>#N/A</v>
      </c>
      <c r="H8373" s="8" t="s">
        <v>9</v>
      </c>
      <c r="I8373" s="8"/>
      <c r="J8373">
        <v>3548.14</v>
      </c>
      <c r="M8373" t="s">
        <v>2621</v>
      </c>
      <c r="O8373" t="str">
        <f>LEFT(Table2[[#This Row],[Description]],75)</f>
        <v>PAYMENT - THANK YOU REF #7473457PB00XTMJG6</v>
      </c>
    </row>
    <row r="8374" spans="1:15" hidden="1">
      <c r="A8374" s="25">
        <f>VALUE(YEAR(Table2[[#This Row],[Date]])&amp;TEXT(MONTH(Table2[[#This Row],[Date]]),"00"))</f>
        <v>202212</v>
      </c>
      <c r="B8374" s="6">
        <v>44907</v>
      </c>
      <c r="C8374" t="s">
        <v>2265</v>
      </c>
      <c r="D8374" t="s">
        <v>3476</v>
      </c>
      <c r="E8374">
        <f t="shared" si="60"/>
        <v>643.37</v>
      </c>
      <c r="F8374" s="2" t="str">
        <f>IF(Table2[[#This Row],[Manual Cat Value]]="",VLOOKUP(Table2[[#This Row],[Description]],'Actuals Lookup'!D:F,3,0),Table2[[#This Row],[Manual Cat Value]])</f>
        <v>Delete</v>
      </c>
      <c r="G8374" t="e">
        <f>VLOOKUP(D8374,Lookup!G:H,2,0)</f>
        <v>#N/A</v>
      </c>
      <c r="H8374" s="8" t="s">
        <v>9</v>
      </c>
      <c r="I8374" s="8"/>
      <c r="J8374">
        <v>643.37</v>
      </c>
      <c r="M8374" t="s">
        <v>2513</v>
      </c>
      <c r="O8374" t="str">
        <f>LEFT(Table2[[#This Row],[Description]],75)</f>
        <v>Withdrawal ACH DISCOVER TYPE: E-PAYMENT ID: 2510020270 CO: DISCOVER NAME: T</v>
      </c>
    </row>
    <row r="8375" spans="1:15" hidden="1">
      <c r="A8375" s="25">
        <f>VALUE(YEAR(Table2[[#This Row],[Date]])&amp;TEXT(MONTH(Table2[[#This Row],[Date]]),"00"))</f>
        <v>202212</v>
      </c>
      <c r="B8375" s="6">
        <v>44908</v>
      </c>
      <c r="C8375" t="s">
        <v>2262</v>
      </c>
      <c r="D8375" t="s">
        <v>3477</v>
      </c>
      <c r="E8375">
        <f t="shared" si="60"/>
        <v>47.77</v>
      </c>
      <c r="F8375" s="2" t="str">
        <f>IF(Table2[[#This Row],[Manual Cat Value]]="",VLOOKUP(Table2[[#This Row],[Description]],'Actuals Lookup'!D:F,3,0),Table2[[#This Row],[Manual Cat Value]])</f>
        <v>Exp - Restaurants</v>
      </c>
      <c r="G8375" t="e">
        <f>VLOOKUP(D8375,Lookup!G:H,2,0)</f>
        <v>#N/A</v>
      </c>
      <c r="H8375" s="8" t="s">
        <v>25</v>
      </c>
      <c r="I8375" s="8"/>
      <c r="J8375">
        <v>47.77</v>
      </c>
      <c r="M8375" t="s">
        <v>2513</v>
      </c>
      <c r="O8375" t="str">
        <f>LEFT(Table2[[#This Row],[Description]],75)</f>
        <v>BRICK &amp; BOURBON- STILLWATSTILLWATER MN REF #2455193PA0GRWQ7D0</v>
      </c>
    </row>
    <row r="8376" spans="1:15" hidden="1">
      <c r="A8376" s="25">
        <f>VALUE(YEAR(Table2[[#This Row],[Date]])&amp;TEXT(MONTH(Table2[[#This Row],[Date]]),"00"))</f>
        <v>202212</v>
      </c>
      <c r="B8376" s="6">
        <v>44908</v>
      </c>
      <c r="C8376" t="s">
        <v>2262</v>
      </c>
      <c r="D8376" t="s">
        <v>3478</v>
      </c>
      <c r="E8376">
        <f t="shared" ref="E8376:E8391" si="61">IF(M8376="credit",-1*J8376,J8376)</f>
        <v>45</v>
      </c>
      <c r="F8376" s="2" t="str">
        <f>IF(Table2[[#This Row],[Manual Cat Value]]="",VLOOKUP(Table2[[#This Row],[Description]],'Actuals Lookup'!D:F,3,0),Table2[[#This Row],[Manual Cat Value]])</f>
        <v>Exp - Utilities</v>
      </c>
      <c r="G8376" t="e">
        <f>VLOOKUP(D8376,Lookup!G:H,2,0)</f>
        <v>#N/A</v>
      </c>
      <c r="H8376" s="8" t="s">
        <v>6</v>
      </c>
      <c r="I8376" s="8"/>
      <c r="J8376">
        <v>45</v>
      </c>
      <c r="M8376" t="s">
        <v>2513</v>
      </c>
      <c r="O8376" t="str">
        <f>LEFT(Table2[[#This Row],[Description]],75)</f>
        <v>CENTURYLINK LUMEN 800-244-1111 LA REF #2469216PA344RXB26</v>
      </c>
    </row>
    <row r="8377" spans="1:15" hidden="1">
      <c r="A8377" s="25">
        <f>VALUE(YEAR(Table2[[#This Row],[Date]])&amp;TEXT(MONTH(Table2[[#This Row],[Date]]),"00"))</f>
        <v>202212</v>
      </c>
      <c r="B8377" s="6">
        <v>44908</v>
      </c>
      <c r="C8377" t="s">
        <v>2262</v>
      </c>
      <c r="D8377" t="s">
        <v>3479</v>
      </c>
      <c r="E8377">
        <f t="shared" si="61"/>
        <v>605.96</v>
      </c>
      <c r="F8377" s="2" t="str">
        <f>IF(Table2[[#This Row],[Manual Cat Value]]="",VLOOKUP(Table2[[#This Row],[Description]],'Actuals Lookup'!D:F,3,0),Table2[[#This Row],[Manual Cat Value]])</f>
        <v>Exp - Travel</v>
      </c>
      <c r="G8377" t="e">
        <f>VLOOKUP(D8377,Lookup!G:H,2,0)</f>
        <v>#N/A</v>
      </c>
      <c r="H8377" s="8" t="s">
        <v>52</v>
      </c>
      <c r="I8377" s="8"/>
      <c r="J8377">
        <v>605.96</v>
      </c>
      <c r="M8377" t="s">
        <v>2513</v>
      </c>
      <c r="O8377" t="str">
        <f>LEFT(Table2[[#This Row],[Description]],75)</f>
        <v>Hotel Crosby 651-9677100 MN REF #2401339PA01AHWX2D</v>
      </c>
    </row>
    <row r="8378" spans="1:15" hidden="1">
      <c r="A8378" s="25">
        <f>VALUE(YEAR(Table2[[#This Row],[Date]])&amp;TEXT(MONTH(Table2[[#This Row],[Date]]),"00"))</f>
        <v>202212</v>
      </c>
      <c r="B8378" s="6">
        <v>44908</v>
      </c>
      <c r="C8378" t="s">
        <v>2262</v>
      </c>
      <c r="D8378" t="s">
        <v>3480</v>
      </c>
      <c r="E8378">
        <f t="shared" si="61"/>
        <v>20.73</v>
      </c>
      <c r="F8378" s="2" t="str">
        <f>IF(Table2[[#This Row],[Manual Cat Value]]="",VLOOKUP(Table2[[#This Row],[Description]],'Actuals Lookup'!D:F,3,0),Table2[[#This Row],[Manual Cat Value]])</f>
        <v>Exp - Target</v>
      </c>
      <c r="G8378" t="e">
        <f>VLOOKUP(D8378,Lookup!G:H,2,0)</f>
        <v>#N/A</v>
      </c>
      <c r="H8378" s="8" t="s">
        <v>30</v>
      </c>
      <c r="I8378" s="8"/>
      <c r="J8378">
        <v>20.73</v>
      </c>
      <c r="M8378" t="s">
        <v>2513</v>
      </c>
      <c r="O8378" t="str">
        <f>LEFT(Table2[[#This Row],[Description]],75)</f>
        <v>TARGET 00008623 CHANHASSEN MN REF #2416407PA2LRFPD4X</v>
      </c>
    </row>
    <row r="8379" spans="1:15" hidden="1">
      <c r="A8379" s="25">
        <f>VALUE(YEAR(Table2[[#This Row],[Date]])&amp;TEXT(MONTH(Table2[[#This Row],[Date]]),"00"))</f>
        <v>202212</v>
      </c>
      <c r="B8379" s="6">
        <v>44908</v>
      </c>
      <c r="C8379" t="s">
        <v>2265</v>
      </c>
      <c r="D8379" t="s">
        <v>3481</v>
      </c>
      <c r="E8379">
        <f t="shared" si="61"/>
        <v>376.83</v>
      </c>
      <c r="F8379" s="2" t="str">
        <f>IF(Table2[[#This Row],[Manual Cat Value]]="",VLOOKUP(Table2[[#This Row],[Description]],'Actuals Lookup'!D:F,3,0),Table2[[#This Row],[Manual Cat Value]])</f>
        <v>Exp - Shopping</v>
      </c>
      <c r="G8379" t="e">
        <f>VLOOKUP(D8379,Lookup!G:H,2,0)</f>
        <v>#N/A</v>
      </c>
      <c r="H8379" s="8" t="s">
        <v>36</v>
      </c>
      <c r="I8379" s="8"/>
      <c r="J8379">
        <v>376.83</v>
      </c>
      <c r="M8379" t="s">
        <v>2513</v>
      </c>
      <c r="O8379" t="str">
        <f>LEFT(Table2[[#This Row],[Description]],75)</f>
        <v>Withdrawal ACH BARCLAYCARD US TYPE: CREDITCARD ID: 2510407970 CO: BARCLAYCA</v>
      </c>
    </row>
    <row r="8380" spans="1:15" hidden="1">
      <c r="A8380" s="25">
        <f>VALUE(YEAR(Table2[[#This Row],[Date]])&amp;TEXT(MONTH(Table2[[#This Row],[Date]]),"00"))</f>
        <v>202212</v>
      </c>
      <c r="B8380" s="6">
        <v>44908</v>
      </c>
      <c r="C8380" t="s">
        <v>2265</v>
      </c>
      <c r="D8380" t="s">
        <v>3482</v>
      </c>
      <c r="E8380">
        <f t="shared" si="61"/>
        <v>315</v>
      </c>
      <c r="F8380" s="2" t="str">
        <f>IF(Table2[[#This Row],[Manual Cat Value]]="",VLOOKUP(Table2[[#This Row],[Description]],'Actuals Lookup'!D:F,3,0),Table2[[#This Row],[Manual Cat Value]])</f>
        <v>Exp - Day Care</v>
      </c>
      <c r="G8380" t="e">
        <f>VLOOKUP(D8380,Lookup!G:H,2,0)</f>
        <v>#N/A</v>
      </c>
      <c r="H8380" s="8" t="s">
        <v>19</v>
      </c>
      <c r="I8380" s="8"/>
      <c r="J8380">
        <v>315</v>
      </c>
      <c r="M8380" t="s">
        <v>2513</v>
      </c>
      <c r="O8380" t="str">
        <f>LEFT(Table2[[#This Row],[Description]],75)</f>
        <v xml:space="preserve">Withdrawal ACH MHCHILDCARELLC TYPE: DUES ID: 1824708198 CO: MHCHILDCARELLC </v>
      </c>
    </row>
    <row r="8381" spans="1:15" ht="30" hidden="1">
      <c r="A8381" s="25">
        <f>VALUE(YEAR(Table2[[#This Row],[Date]])&amp;TEXT(MONTH(Table2[[#This Row],[Date]]),"00"))</f>
        <v>202212</v>
      </c>
      <c r="B8381" s="6">
        <v>44909</v>
      </c>
      <c r="C8381" t="s">
        <v>2447</v>
      </c>
      <c r="D8381" s="7" t="s">
        <v>3483</v>
      </c>
      <c r="E8381">
        <f t="shared" si="61"/>
        <v>29.99</v>
      </c>
      <c r="F8381" s="2" t="str">
        <f>IF(Table2[[#This Row],[Manual Cat Value]]="",VLOOKUP(Table2[[#This Row],[Description]],'Actuals Lookup'!D:F,3,0),Table2[[#This Row],[Manual Cat Value]])</f>
        <v>Exp - Amazon</v>
      </c>
      <c r="G8381" t="e">
        <f>VLOOKUP(D8381,Lookup!G:H,2,0)</f>
        <v>#N/A</v>
      </c>
      <c r="H8381" s="78" t="s">
        <v>37</v>
      </c>
      <c r="I8381" s="78"/>
      <c r="J8381">
        <v>29.99</v>
      </c>
      <c r="M8381" t="s">
        <v>2513</v>
      </c>
      <c r="O8381" t="str">
        <f>LEFT(Table2[[#This Row],[Description]],75)</f>
        <v>AMZN MKTP US*P651B6RW3 AMZN.COM/BILLWA
5T8X7MSDAMN</v>
      </c>
    </row>
    <row r="8382" spans="1:15" hidden="1">
      <c r="A8382" s="25">
        <f>VALUE(YEAR(Table2[[#This Row],[Date]])&amp;TEXT(MONTH(Table2[[#This Row],[Date]]),"00"))</f>
        <v>202212</v>
      </c>
      <c r="B8382" s="6">
        <v>44909</v>
      </c>
      <c r="C8382" t="s">
        <v>2262</v>
      </c>
      <c r="D8382" t="s">
        <v>3484</v>
      </c>
      <c r="E8382">
        <f t="shared" si="61"/>
        <v>37.840000000000003</v>
      </c>
      <c r="F8382" s="2" t="str">
        <f>IF(Table2[[#This Row],[Manual Cat Value]]="",VLOOKUP(Table2[[#This Row],[Description]],'Actuals Lookup'!D:F,3,0),Table2[[#This Row],[Manual Cat Value]])</f>
        <v>Exp - Groceries</v>
      </c>
      <c r="G8382" t="e">
        <f>VLOOKUP(D8382,Lookup!G:H,2,0)</f>
        <v>#N/A</v>
      </c>
      <c r="H8382" s="8" t="s">
        <v>27</v>
      </c>
      <c r="I8382" s="8"/>
      <c r="J8382">
        <v>37.840000000000003</v>
      </c>
      <c r="M8382" t="s">
        <v>2513</v>
      </c>
      <c r="O8382" t="str">
        <f>LEFT(Table2[[#This Row],[Description]],75)</f>
        <v>CUB FOODS 1636 952-380-9900 MN REF #2423168PB2DG0A6L0</v>
      </c>
    </row>
    <row r="8383" spans="1:15" hidden="1">
      <c r="A8383" s="25">
        <f>VALUE(YEAR(Table2[[#This Row],[Date]])&amp;TEXT(MONTH(Table2[[#This Row],[Date]]),"00"))</f>
        <v>202212</v>
      </c>
      <c r="B8383" s="6">
        <v>44909</v>
      </c>
      <c r="C8383" t="s">
        <v>2265</v>
      </c>
      <c r="D8383" t="s">
        <v>3485</v>
      </c>
      <c r="E8383">
        <f t="shared" si="61"/>
        <v>-2922.31</v>
      </c>
      <c r="F8383" s="2" t="str">
        <f>IF(Table2[[#This Row],[Manual Cat Value]]="",VLOOKUP(Table2[[#This Row],[Description]],'Actuals Lookup'!D:F,3,0),Table2[[#This Row],[Manual Cat Value]])</f>
        <v>Inc - Jeff</v>
      </c>
      <c r="G8383" t="e">
        <f>VLOOKUP(D8383,Lookup!G:H,2,0)</f>
        <v>#N/A</v>
      </c>
      <c r="H8383" s="8" t="s">
        <v>63</v>
      </c>
      <c r="I8383" s="8"/>
      <c r="J8383">
        <v>2922.31</v>
      </c>
      <c r="M8383" t="s">
        <v>2621</v>
      </c>
      <c r="O8383" t="str">
        <f>LEFT(Table2[[#This Row],[Description]],75)</f>
        <v>Deposit ACH TRINET TYPE: PAYROLL ID: 194XXXXXXX CO: TRINET Entry Class Code</v>
      </c>
    </row>
    <row r="8384" spans="1:15" hidden="1">
      <c r="A8384" s="25">
        <f>VALUE(YEAR(Table2[[#This Row],[Date]])&amp;TEXT(MONTH(Table2[[#This Row],[Date]]),"00"))</f>
        <v>202212</v>
      </c>
      <c r="B8384" s="6">
        <v>44909</v>
      </c>
      <c r="C8384" t="s">
        <v>2447</v>
      </c>
      <c r="D8384" t="s">
        <v>3486</v>
      </c>
      <c r="E8384">
        <f t="shared" si="61"/>
        <v>27.58</v>
      </c>
      <c r="F8384" s="2" t="str">
        <f>IF(Table2[[#This Row],[Manual Cat Value]]="",VLOOKUP(Table2[[#This Row],[Description]],'Actuals Lookup'!D:F,3,0),Table2[[#This Row],[Manual Cat Value]])</f>
        <v>Exp - Shopping</v>
      </c>
      <c r="G8384" t="e">
        <f>VLOOKUP(D8384,Lookup!G:H,2,0)</f>
        <v>#N/A</v>
      </c>
      <c r="H8384" s="8" t="s">
        <v>36</v>
      </c>
      <c r="I8384" s="8"/>
      <c r="J8384">
        <v>27.58</v>
      </c>
      <c r="M8384" t="s">
        <v>2513</v>
      </c>
      <c r="O8384" t="str">
        <f>LEFT(Table2[[#This Row],[Description]],75)</f>
        <v>HOBBY-LOBBY #686 BLOOMINGTON MN</v>
      </c>
    </row>
    <row r="8385" spans="1:15" hidden="1">
      <c r="A8385" s="25">
        <f>VALUE(YEAR(Table2[[#This Row],[Date]])&amp;TEXT(MONTH(Table2[[#This Row],[Date]]),"00"))</f>
        <v>202212</v>
      </c>
      <c r="B8385" s="6">
        <v>44909</v>
      </c>
      <c r="C8385" t="s">
        <v>2262</v>
      </c>
      <c r="D8385" t="s">
        <v>3487</v>
      </c>
      <c r="E8385">
        <f t="shared" si="61"/>
        <v>89.03</v>
      </c>
      <c r="F8385" s="2" t="str">
        <f>IF(Table2[[#This Row],[Manual Cat Value]]="",VLOOKUP(Table2[[#This Row],[Description]],'Actuals Lookup'!D:F,3,0),Table2[[#This Row],[Manual Cat Value]])</f>
        <v>Exp - Misc</v>
      </c>
      <c r="G8385" t="e">
        <f>VLOOKUP(D8385,Lookup!G:H,2,0)</f>
        <v>#N/A</v>
      </c>
      <c r="H8385" s="8" t="s">
        <v>46</v>
      </c>
      <c r="I8385" s="8"/>
      <c r="J8385">
        <v>89.03</v>
      </c>
      <c r="M8385" t="s">
        <v>2513</v>
      </c>
      <c r="O8385" t="str">
        <f>LEFT(Table2[[#This Row],[Description]],75)</f>
        <v>SQ *GOGLOW Edina MN REF #2469216PB34TNZX2L</v>
      </c>
    </row>
    <row r="8386" spans="1:15" hidden="1">
      <c r="A8386" s="25">
        <f>VALUE(YEAR(Table2[[#This Row],[Date]])&amp;TEXT(MONTH(Table2[[#This Row],[Date]]),"00"))</f>
        <v>202212</v>
      </c>
      <c r="B8386" s="6">
        <v>44909</v>
      </c>
      <c r="C8386" t="s">
        <v>2265</v>
      </c>
      <c r="D8386" t="s">
        <v>3488</v>
      </c>
      <c r="E8386">
        <f t="shared" si="61"/>
        <v>414.32</v>
      </c>
      <c r="F8386" s="2" t="str">
        <f>IF(Table2[[#This Row],[Manual Cat Value]]="",VLOOKUP(Table2[[#This Row],[Description]],'Actuals Lookup'!D:F,3,0),Table2[[#This Row],[Manual Cat Value]])</f>
        <v>Exp - Healthcare</v>
      </c>
      <c r="G8386" t="e">
        <f>VLOOKUP(D8386,Lookup!G:H,2,0)</f>
        <v>#N/A</v>
      </c>
      <c r="H8386" s="8" t="s">
        <v>47</v>
      </c>
      <c r="I8386" s="8"/>
      <c r="J8386">
        <v>414.32</v>
      </c>
      <c r="M8386" t="s">
        <v>2513</v>
      </c>
      <c r="O8386" t="str">
        <f>LEFT(Table2[[#This Row],[Description]],75)</f>
        <v>Withdrawal ACH Ridgeview Medica TYPE: ONLINE PAY ID: RF00059954 CO: Ridgevi</v>
      </c>
    </row>
    <row r="8387" spans="1:15" hidden="1">
      <c r="A8387" s="25">
        <f>VALUE(YEAR(Table2[[#This Row],[Date]])&amp;TEXT(MONTH(Table2[[#This Row],[Date]]),"00"))</f>
        <v>202212</v>
      </c>
      <c r="B8387" s="6">
        <v>44909</v>
      </c>
      <c r="C8387" t="s">
        <v>2265</v>
      </c>
      <c r="D8387" t="s">
        <v>3489</v>
      </c>
      <c r="E8387">
        <f t="shared" si="61"/>
        <v>54.95</v>
      </c>
      <c r="F8387" s="2" t="str">
        <f>IF(Table2[[#This Row],[Manual Cat Value]]="",VLOOKUP(Table2[[#This Row],[Description]],'Actuals Lookup'!D:F,3,0),Table2[[#This Row],[Manual Cat Value]])</f>
        <v>Exp - Insurance</v>
      </c>
      <c r="G8387" t="e">
        <f>VLOOKUP(D8387,Lookup!G:H,2,0)</f>
        <v>#N/A</v>
      </c>
      <c r="H8387" s="8" t="s">
        <v>17</v>
      </c>
      <c r="I8387" s="8"/>
      <c r="J8387">
        <v>54.95</v>
      </c>
      <c r="M8387" t="s">
        <v>2513</v>
      </c>
      <c r="O8387" t="str">
        <f>LEFT(Table2[[#This Row],[Description]],75)</f>
        <v>Withdrawal ACH AMERICAN FAMILY TYPE: WEBPAYMENT ID: PEBP075965 CO: AMERICAN</v>
      </c>
    </row>
    <row r="8388" spans="1:15" hidden="1">
      <c r="A8388" s="25">
        <f>VALUE(YEAR(Table2[[#This Row],[Date]])&amp;TEXT(MONTH(Table2[[#This Row],[Date]]),"00"))</f>
        <v>202212</v>
      </c>
      <c r="B8388" s="6">
        <v>44910</v>
      </c>
      <c r="C8388" t="s">
        <v>2265</v>
      </c>
      <c r="D8388" t="s">
        <v>3490</v>
      </c>
      <c r="E8388">
        <f t="shared" si="61"/>
        <v>-75</v>
      </c>
      <c r="F8388" s="2" t="str">
        <f>IF(Table2[[#This Row],[Manual Cat Value]]="",VLOOKUP(Table2[[#This Row],[Description]],'Actuals Lookup'!D:F,3,0),Table2[[#This Row],[Manual Cat Value]])</f>
        <v>Inc - Britney</v>
      </c>
      <c r="G8388" t="e">
        <f>VLOOKUP(D8388,Lookup!G:H,2,0)</f>
        <v>#N/A</v>
      </c>
      <c r="H8388" s="8" t="s">
        <v>65</v>
      </c>
      <c r="I8388" s="8"/>
      <c r="J8388">
        <v>75</v>
      </c>
      <c r="M8388" t="s">
        <v>2621</v>
      </c>
      <c r="O8388" t="str">
        <f>LEFT(Table2[[#This Row],[Description]],75)</f>
        <v>Deposit ACH CARGILL INCORPOR TYPE: 005XXXXXXX ID: 2410177680 CO: CARGILL IN</v>
      </c>
    </row>
    <row r="8389" spans="1:15" hidden="1">
      <c r="A8389" s="25">
        <f>VALUE(YEAR(Table2[[#This Row],[Date]])&amp;TEXT(MONTH(Table2[[#This Row],[Date]]),"00"))</f>
        <v>202212</v>
      </c>
      <c r="B8389" s="6">
        <v>44910</v>
      </c>
      <c r="C8389" t="s">
        <v>2262</v>
      </c>
      <c r="D8389" t="s">
        <v>3491</v>
      </c>
      <c r="E8389">
        <f t="shared" si="61"/>
        <v>15.26</v>
      </c>
      <c r="F8389" s="2" t="str">
        <f>IF(Table2[[#This Row],[Manual Cat Value]]="",VLOOKUP(Table2[[#This Row],[Description]],'Actuals Lookup'!D:F,3,0),Table2[[#This Row],[Manual Cat Value]])</f>
        <v>Exp - Restaurants</v>
      </c>
      <c r="G8389" t="e">
        <f>VLOOKUP(D8389,Lookup!G:H,2,0)</f>
        <v>#N/A</v>
      </c>
      <c r="H8389" s="8" t="s">
        <v>25</v>
      </c>
      <c r="I8389" s="8"/>
      <c r="J8389">
        <v>15.26</v>
      </c>
      <c r="M8389" t="s">
        <v>2513</v>
      </c>
      <c r="O8389" t="str">
        <f>LEFT(Table2[[#This Row],[Description]],75)</f>
        <v>JJ`S POKE EDINA MN REF #2445351PQ0VYERFFZ</v>
      </c>
    </row>
    <row r="8390" spans="1:15" hidden="1">
      <c r="A8390" s="25">
        <f>VALUE(YEAR(Table2[[#This Row],[Date]])&amp;TEXT(MONTH(Table2[[#This Row],[Date]]),"00"))</f>
        <v>202212</v>
      </c>
      <c r="B8390" s="6">
        <v>44910</v>
      </c>
      <c r="C8390" t="s">
        <v>2262</v>
      </c>
      <c r="D8390" t="s">
        <v>3492</v>
      </c>
      <c r="E8390">
        <f t="shared" si="61"/>
        <v>64.290000000000006</v>
      </c>
      <c r="F8390" s="2" t="str">
        <f>IF(Table2[[#This Row],[Manual Cat Value]]="",VLOOKUP(Table2[[#This Row],[Description]],'Actuals Lookup'!D:F,3,0),Table2[[#This Row],[Manual Cat Value]])</f>
        <v>Exp - Restaurants</v>
      </c>
      <c r="G8390" t="e">
        <f>VLOOKUP(D8390,Lookup!G:H,2,0)</f>
        <v>#N/A</v>
      </c>
      <c r="H8390" s="8" t="s">
        <v>25</v>
      </c>
      <c r="I8390" s="8"/>
      <c r="J8390">
        <v>64.290000000000006</v>
      </c>
      <c r="M8390" t="s">
        <v>2513</v>
      </c>
      <c r="O8390" t="str">
        <f>LEFT(Table2[[#This Row],[Description]],75)</f>
        <v>JORDAN SUPPER CLUB JORDAN MN REF #2480197PQ8AL28SLT</v>
      </c>
    </row>
    <row r="8391" spans="1:15" hidden="1">
      <c r="A8391" s="25">
        <f>VALUE(YEAR(Table2[[#This Row],[Date]])&amp;TEXT(MONTH(Table2[[#This Row],[Date]]),"00"))</f>
        <v>202212</v>
      </c>
      <c r="B8391" s="6">
        <v>44910</v>
      </c>
      <c r="C8391" t="s">
        <v>2262</v>
      </c>
      <c r="D8391" t="s">
        <v>3493</v>
      </c>
      <c r="E8391">
        <f t="shared" si="61"/>
        <v>-70.209999999999994</v>
      </c>
      <c r="F8391" s="2" t="str">
        <f>IF(Table2[[#This Row],[Manual Cat Value]]="",VLOOKUP(Table2[[#This Row],[Description]],'Actuals Lookup'!D:F,3,0),Table2[[#This Row],[Manual Cat Value]])</f>
        <v>Exp - Shopping</v>
      </c>
      <c r="G8391" t="e">
        <f>VLOOKUP(D8391,Lookup!G:H,2,0)</f>
        <v>#N/A</v>
      </c>
      <c r="H8391" s="8" t="s">
        <v>36</v>
      </c>
      <c r="I8391" s="8"/>
      <c r="J8391">
        <v>70.209999999999994</v>
      </c>
      <c r="M8391" t="s">
        <v>2621</v>
      </c>
      <c r="O8391" t="str">
        <f>LEFT(Table2[[#This Row],[Description]],75)</f>
        <v>SP MAVI USA HTTPSMAVIGIYI NY CREDIT REF #2449216PQ000HTR55</v>
      </c>
    </row>
    <row r="8392" spans="1:15" hidden="1">
      <c r="A8392">
        <v>202412</v>
      </c>
      <c r="B8392" s="6">
        <v>45653</v>
      </c>
      <c r="C8392" t="s">
        <v>2519</v>
      </c>
      <c r="D8392" t="s">
        <v>3494</v>
      </c>
      <c r="E8392">
        <v>150</v>
      </c>
      <c r="F8392" s="2" t="str">
        <f>IF(Table2[[#This Row],[Manual Cat Value]]="",VLOOKUP(Table2[[#This Row],[Description]],'Actuals Lookup'!D:F,3,0),VLOOKUP(Table2[[#This Row],[Manual Cat Value]],Lookup!A:B,2,0))</f>
        <v>Shopping</v>
      </c>
      <c r="H8392" s="8" t="s">
        <v>36</v>
      </c>
      <c r="I8392" s="8" t="s">
        <v>3495</v>
      </c>
      <c r="O8392" t="str">
        <f>LEFT(Table2[[#This Row],[Description]],75)</f>
        <v>Draft 2355 Tracer XX1844</v>
      </c>
    </row>
    <row r="8393" spans="1:15" hidden="1">
      <c r="A8393" s="25">
        <f>VALUE(YEAR(Table2[[#This Row],[Date]])&amp;TEXT(MONTH(Table2[[#This Row],[Date]]),"00"))</f>
        <v>202212</v>
      </c>
      <c r="B8393" s="6">
        <v>44911</v>
      </c>
      <c r="C8393" t="s">
        <v>2447</v>
      </c>
      <c r="D8393" t="s">
        <v>3405</v>
      </c>
      <c r="E8393">
        <f t="shared" ref="E8393:E8424" si="62">IF(M8393="credit",-1*J8393,J8393)</f>
        <v>-68</v>
      </c>
      <c r="F8393" s="2" t="str">
        <f>IF(Table2[[#This Row],[Manual Cat Value]]="",VLOOKUP(Table2[[#This Row],[Description]],'Actuals Lookup'!D:F,3,0),Table2[[#This Row],[Manual Cat Value]])</f>
        <v>Exp - Shopping</v>
      </c>
      <c r="G8393" t="e">
        <f>VLOOKUP(D8393,Lookup!G:H,2,0)</f>
        <v>#N/A</v>
      </c>
      <c r="H8393" s="8" t="s">
        <v>36</v>
      </c>
      <c r="I8393" s="8"/>
      <c r="J8393">
        <v>68</v>
      </c>
      <c r="M8393" t="s">
        <v>2621</v>
      </c>
      <c r="O8393" t="str">
        <f>LEFT(Table2[[#This Row],[Description]],75)</f>
        <v>PAYPAL *EDDIE BAUER 402-935-7733 CA</v>
      </c>
    </row>
    <row r="8394" spans="1:15" hidden="1">
      <c r="A8394" s="25">
        <f>VALUE(YEAR(Table2[[#This Row],[Date]])&amp;TEXT(MONTH(Table2[[#This Row],[Date]]),"00"))</f>
        <v>202212</v>
      </c>
      <c r="B8394" s="6">
        <v>44911</v>
      </c>
      <c r="C8394" t="s">
        <v>2447</v>
      </c>
      <c r="D8394" t="s">
        <v>3405</v>
      </c>
      <c r="E8394">
        <f t="shared" si="62"/>
        <v>-30.5</v>
      </c>
      <c r="F8394" s="2" t="str">
        <f>IF(Table2[[#This Row],[Manual Cat Value]]="",VLOOKUP(Table2[[#This Row],[Description]],'Actuals Lookup'!D:F,3,0),Table2[[#This Row],[Manual Cat Value]])</f>
        <v>Exp - Shopping</v>
      </c>
      <c r="G8394" t="e">
        <f>VLOOKUP(D8394,Lookup!G:H,2,0)</f>
        <v>#N/A</v>
      </c>
      <c r="H8394" s="8" t="s">
        <v>36</v>
      </c>
      <c r="I8394" s="8"/>
      <c r="J8394">
        <v>30.5</v>
      </c>
      <c r="M8394" t="s">
        <v>2621</v>
      </c>
      <c r="O8394" t="str">
        <f>LEFT(Table2[[#This Row],[Description]],75)</f>
        <v>PAYPAL *EDDIE BAUER 402-935-7733 CA</v>
      </c>
    </row>
    <row r="8395" spans="1:15" ht="30" hidden="1">
      <c r="A8395" s="25">
        <f>VALUE(YEAR(Table2[[#This Row],[Date]])&amp;TEXT(MONTH(Table2[[#This Row],[Date]]),"00"))</f>
        <v>202212</v>
      </c>
      <c r="B8395" s="6">
        <v>44912</v>
      </c>
      <c r="C8395" t="s">
        <v>2447</v>
      </c>
      <c r="D8395" s="7" t="s">
        <v>3496</v>
      </c>
      <c r="E8395">
        <f t="shared" si="62"/>
        <v>33.21</v>
      </c>
      <c r="F8395" s="2" t="str">
        <f>IF(Table2[[#This Row],[Manual Cat Value]]="",VLOOKUP(Table2[[#This Row],[Description]],'Actuals Lookup'!D:F,3,0),Table2[[#This Row],[Manual Cat Value]])</f>
        <v>Exp - Amazon</v>
      </c>
      <c r="G8395" t="e">
        <f>VLOOKUP(D8395,Lookup!G:H,2,0)</f>
        <v>#N/A</v>
      </c>
      <c r="H8395" s="78" t="s">
        <v>37</v>
      </c>
      <c r="I8395" s="78"/>
      <c r="J8395">
        <v>33.21</v>
      </c>
      <c r="M8395" t="s">
        <v>2513</v>
      </c>
      <c r="O8395" t="str">
        <f>LEFT(Table2[[#This Row],[Description]],75)</f>
        <v>AMZN MKTP US*PD80C60B3 AMZN.COM/BILLWA
YCXVYJZZ95D</v>
      </c>
    </row>
    <row r="8396" spans="1:15" hidden="1">
      <c r="A8396" s="25">
        <f>VALUE(YEAR(Table2[[#This Row],[Date]])&amp;TEXT(MONTH(Table2[[#This Row],[Date]]),"00"))</f>
        <v>202212</v>
      </c>
      <c r="B8396" s="6">
        <v>44913</v>
      </c>
      <c r="C8396" t="s">
        <v>2262</v>
      </c>
      <c r="D8396" t="s">
        <v>3497</v>
      </c>
      <c r="E8396">
        <f t="shared" si="62"/>
        <v>22.46</v>
      </c>
      <c r="F8396" s="2" t="str">
        <f>IF(Table2[[#This Row],[Manual Cat Value]]="",VLOOKUP(Table2[[#This Row],[Description]],'Actuals Lookup'!D:F,3,0),Table2[[#This Row],[Manual Cat Value]])</f>
        <v>Exp - Dry Cleaning</v>
      </c>
      <c r="G8396" t="e">
        <f>VLOOKUP(D8396,Lookup!G:H,2,0)</f>
        <v>#N/A</v>
      </c>
      <c r="H8396" s="8" t="s">
        <v>42</v>
      </c>
      <c r="I8396" s="8"/>
      <c r="J8396">
        <v>22.46</v>
      </c>
      <c r="M8396" t="s">
        <v>2513</v>
      </c>
      <c r="O8396" t="str">
        <f>LEFT(Table2[[#This Row],[Description]],75)</f>
        <v>All Seasons Garment Care Excelsior MN REF #2419304PG030D79NB</v>
      </c>
    </row>
    <row r="8397" spans="1:15" hidden="1">
      <c r="A8397" s="25">
        <f>VALUE(YEAR(Table2[[#This Row],[Date]])&amp;TEXT(MONTH(Table2[[#This Row],[Date]]),"00"))</f>
        <v>202212</v>
      </c>
      <c r="B8397" s="6">
        <v>44913</v>
      </c>
      <c r="C8397" t="s">
        <v>2262</v>
      </c>
      <c r="D8397" t="s">
        <v>3498</v>
      </c>
      <c r="E8397">
        <f t="shared" si="62"/>
        <v>73.98</v>
      </c>
      <c r="F8397" s="2" t="str">
        <f>IF(Table2[[#This Row],[Manual Cat Value]]="",VLOOKUP(Table2[[#This Row],[Description]],'Actuals Lookup'!D:F,3,0),Table2[[#This Row],[Manual Cat Value]])</f>
        <v>Exp - Restaurants</v>
      </c>
      <c r="G8397" t="e">
        <f>VLOOKUP(D8397,Lookup!G:H,2,0)</f>
        <v>#N/A</v>
      </c>
      <c r="H8397" s="8" t="s">
        <v>25</v>
      </c>
      <c r="I8397" s="8"/>
      <c r="J8397">
        <v>73.98</v>
      </c>
      <c r="M8397" t="s">
        <v>2513</v>
      </c>
      <c r="O8397" t="str">
        <f>LEFT(Table2[[#This Row],[Description]],75)</f>
        <v>KAISUSHI MINNETONKA KAISUSHIGRILLMN REF #2449216PG0002M2WW</v>
      </c>
    </row>
    <row r="8398" spans="1:15" ht="30" hidden="1">
      <c r="A8398" s="25">
        <f>VALUE(YEAR(Table2[[#This Row],[Date]])&amp;TEXT(MONTH(Table2[[#This Row],[Date]]),"00"))</f>
        <v>202212</v>
      </c>
      <c r="B8398" s="6">
        <v>44913</v>
      </c>
      <c r="C8398" t="s">
        <v>2447</v>
      </c>
      <c r="D8398" s="7" t="s">
        <v>3499</v>
      </c>
      <c r="E8398">
        <f t="shared" si="62"/>
        <v>35</v>
      </c>
      <c r="F8398" s="2" t="str">
        <f>IF(Table2[[#This Row],[Manual Cat Value]]="",VLOOKUP(Table2[[#This Row],[Description]],'Actuals Lookup'!D:F,3,0),Table2[[#This Row],[Manual Cat Value]])</f>
        <v>Exp - Transportation</v>
      </c>
      <c r="G8398" t="e">
        <f>VLOOKUP(D8398,Lookup!G:H,2,0)</f>
        <v>#N/A</v>
      </c>
      <c r="H8398" s="78" t="s">
        <v>22</v>
      </c>
      <c r="I8398" s="78"/>
      <c r="J8398">
        <v>35</v>
      </c>
      <c r="M8398" t="s">
        <v>2513</v>
      </c>
      <c r="O8398" t="str">
        <f>LEFT(Table2[[#This Row],[Description]],75)</f>
        <v>MARATHON PETRO14456 MINNETONKA MN
APPLE PAY ENDING IN 3050</v>
      </c>
    </row>
    <row r="8399" spans="1:15" hidden="1">
      <c r="A8399" s="25">
        <f>VALUE(YEAR(Table2[[#This Row],[Date]])&amp;TEXT(MONTH(Table2[[#This Row],[Date]]),"00"))</f>
        <v>202212</v>
      </c>
      <c r="B8399" s="6">
        <v>44913</v>
      </c>
      <c r="C8399" t="s">
        <v>2262</v>
      </c>
      <c r="D8399" t="s">
        <v>3500</v>
      </c>
      <c r="E8399">
        <f t="shared" si="62"/>
        <v>12.9</v>
      </c>
      <c r="F8399" s="2" t="str">
        <f>IF(Table2[[#This Row],[Manual Cat Value]]="",VLOOKUP(Table2[[#This Row],[Description]],'Actuals Lookup'!D:F,3,0),Table2[[#This Row],[Manual Cat Value]])</f>
        <v>Exp - House Maint</v>
      </c>
      <c r="G8399" t="e">
        <f>VLOOKUP(D8399,Lookup!G:H,2,0)</f>
        <v>#N/A</v>
      </c>
      <c r="H8399" s="8" t="s">
        <v>1</v>
      </c>
      <c r="I8399" s="8"/>
      <c r="J8399">
        <v>12.9</v>
      </c>
      <c r="M8399" t="s">
        <v>2513</v>
      </c>
      <c r="O8399" t="str">
        <f>LEFT(Table2[[#This Row],[Description]],75)</f>
        <v>SHOREWOOD TRUE VALUE EXCELSIOR MN REF #2480197PGBMDQFJ4S</v>
      </c>
    </row>
    <row r="8400" spans="1:15" hidden="1">
      <c r="A8400" s="25">
        <f>VALUE(YEAR(Table2[[#This Row],[Date]])&amp;TEXT(MONTH(Table2[[#This Row],[Date]]),"00"))</f>
        <v>202212</v>
      </c>
      <c r="B8400" s="6">
        <v>44913</v>
      </c>
      <c r="C8400" t="s">
        <v>2262</v>
      </c>
      <c r="D8400" t="s">
        <v>3501</v>
      </c>
      <c r="E8400">
        <f t="shared" si="62"/>
        <v>18.04</v>
      </c>
      <c r="F8400" s="2" t="str">
        <f>IF(Table2[[#This Row],[Manual Cat Value]]="",VLOOKUP(Table2[[#This Row],[Description]],'Actuals Lookup'!D:F,3,0),Table2[[#This Row],[Manual Cat Value]])</f>
        <v>Exp - Restaurants</v>
      </c>
      <c r="G8400" t="e">
        <f>VLOOKUP(D8400,Lookup!G:H,2,0)</f>
        <v>#N/A</v>
      </c>
      <c r="H8400" s="8" t="s">
        <v>25</v>
      </c>
      <c r="I8400" s="8"/>
      <c r="J8400">
        <v>18.04</v>
      </c>
      <c r="M8400" t="s">
        <v>2513</v>
      </c>
      <c r="O8400" t="str">
        <f>LEFT(Table2[[#This Row],[Description]],75)</f>
        <v>SQ *ENKI BREWING COMPANY Victoria MN REF #2469216PF2Y78FWYB</v>
      </c>
    </row>
    <row r="8401" spans="1:15" hidden="1">
      <c r="A8401" s="25">
        <f>VALUE(YEAR(Table2[[#This Row],[Date]])&amp;TEXT(MONTH(Table2[[#This Row],[Date]]),"00"))</f>
        <v>202212</v>
      </c>
      <c r="B8401" s="6">
        <v>44913</v>
      </c>
      <c r="C8401" t="s">
        <v>2262</v>
      </c>
      <c r="D8401" t="s">
        <v>3502</v>
      </c>
      <c r="E8401">
        <f t="shared" si="62"/>
        <v>27.72</v>
      </c>
      <c r="F8401" s="2" t="str">
        <f>IF(Table2[[#This Row],[Manual Cat Value]]="",VLOOKUP(Table2[[#This Row],[Description]],'Actuals Lookup'!D:F,3,0),Table2[[#This Row],[Manual Cat Value]])</f>
        <v>Exp - Restaurants</v>
      </c>
      <c r="G8401" t="e">
        <f>VLOOKUP(D8401,Lookup!G:H,2,0)</f>
        <v>#N/A</v>
      </c>
      <c r="H8401" s="8" t="s">
        <v>25</v>
      </c>
      <c r="I8401" s="8"/>
      <c r="J8401">
        <v>27.72</v>
      </c>
      <c r="M8401" t="s">
        <v>2513</v>
      </c>
      <c r="O8401" t="str">
        <f>LEFT(Table2[[#This Row],[Description]],75)</f>
        <v>Vics Bar and Grill Victoria MN REF #2419304PF030BXZ1T</v>
      </c>
    </row>
    <row r="8402" spans="1:15" ht="30" hidden="1">
      <c r="A8402" s="25">
        <f>VALUE(YEAR(Table2[[#This Row],[Date]])&amp;TEXT(MONTH(Table2[[#This Row],[Date]]),"00"))</f>
        <v>202212</v>
      </c>
      <c r="B8402" s="6">
        <v>44914</v>
      </c>
      <c r="C8402" t="s">
        <v>2447</v>
      </c>
      <c r="D8402" s="7" t="s">
        <v>3503</v>
      </c>
      <c r="E8402">
        <f t="shared" si="62"/>
        <v>6.88</v>
      </c>
      <c r="F8402" s="2" t="str">
        <f>IF(Table2[[#This Row],[Manual Cat Value]]="",VLOOKUP(Table2[[#This Row],[Description]],'Actuals Lookup'!D:F,3,0),Table2[[#This Row],[Manual Cat Value]])</f>
        <v>Exp - Amazon</v>
      </c>
      <c r="G8402" t="e">
        <f>VLOOKUP(D8402,Lookup!G:H,2,0)</f>
        <v>#N/A</v>
      </c>
      <c r="H8402" s="78" t="s">
        <v>37</v>
      </c>
      <c r="I8402" s="78"/>
      <c r="J8402">
        <v>6.88</v>
      </c>
      <c r="M8402" t="s">
        <v>2513</v>
      </c>
      <c r="O8402" t="str">
        <f>LEFT(Table2[[#This Row],[Description]],75)</f>
        <v>AMZN MKTP US*9C0Q50EZ3 AMZN.COM/BILLWA
4F9QPMUHZAA</v>
      </c>
    </row>
    <row r="8403" spans="1:15" ht="30" hidden="1">
      <c r="A8403" s="25">
        <f>VALUE(YEAR(Table2[[#This Row],[Date]])&amp;TEXT(MONTH(Table2[[#This Row],[Date]]),"00"))</f>
        <v>202212</v>
      </c>
      <c r="B8403" s="6">
        <v>44914</v>
      </c>
      <c r="C8403" t="s">
        <v>2447</v>
      </c>
      <c r="D8403" s="7" t="s">
        <v>3504</v>
      </c>
      <c r="E8403">
        <f t="shared" si="62"/>
        <v>10.73</v>
      </c>
      <c r="F8403" s="2" t="str">
        <f>IF(Table2[[#This Row],[Manual Cat Value]]="",VLOOKUP(Table2[[#This Row],[Description]],'Actuals Lookup'!D:F,3,0),Table2[[#This Row],[Manual Cat Value]])</f>
        <v>Exp - Entertainment</v>
      </c>
      <c r="G8403" t="e">
        <f>VLOOKUP(D8403,Lookup!G:H,2,0)</f>
        <v>#N/A</v>
      </c>
      <c r="H8403" s="78" t="s">
        <v>39</v>
      </c>
      <c r="I8403" s="78"/>
      <c r="J8403">
        <v>10.73</v>
      </c>
      <c r="M8403" t="s">
        <v>2513</v>
      </c>
      <c r="O8403" t="str">
        <f>LEFT(Table2[[#This Row],[Description]],75)</f>
        <v>PRIME VIDEO *3L6ZF81F3 888-802-3080 WA
273DHTO646R</v>
      </c>
    </row>
    <row r="8404" spans="1:15" hidden="1">
      <c r="A8404" s="25">
        <f>VALUE(YEAR(Table2[[#This Row],[Date]])&amp;TEXT(MONTH(Table2[[#This Row],[Date]]),"00"))</f>
        <v>202212</v>
      </c>
      <c r="B8404" s="6">
        <v>44914</v>
      </c>
      <c r="C8404" t="s">
        <v>2447</v>
      </c>
      <c r="D8404" t="s">
        <v>2157</v>
      </c>
      <c r="E8404">
        <f t="shared" si="62"/>
        <v>65.28</v>
      </c>
      <c r="F8404" s="2" t="e">
        <f>IF(Table2[[#This Row],[Manual Cat Value]]="",VLOOKUP(Table2[[#This Row],[Description]],'Actuals Lookup'!D:F,3,0),Table2[[#This Row],[Manual Cat Value]])</f>
        <v>#N/A</v>
      </c>
      <c r="G8404" t="str">
        <f>VLOOKUP(D8404,Lookup!G:H,2,0)</f>
        <v>Restaurants</v>
      </c>
      <c r="I8404" s="8"/>
      <c r="J8404">
        <v>65.28</v>
      </c>
      <c r="M8404" t="s">
        <v>2513</v>
      </c>
      <c r="O8404" t="str">
        <f>LEFT(Table2[[#This Row],[Description]],75)</f>
        <v>WINCHESTER AND RYE VICTORIA MN</v>
      </c>
    </row>
    <row r="8405" spans="1:15" hidden="1">
      <c r="A8405" s="25">
        <f>VALUE(YEAR(Table2[[#This Row],[Date]])&amp;TEXT(MONTH(Table2[[#This Row],[Date]]),"00"))</f>
        <v>202212</v>
      </c>
      <c r="B8405" s="6">
        <v>44914</v>
      </c>
      <c r="C8405" t="s">
        <v>2265</v>
      </c>
      <c r="D8405" t="s">
        <v>3505</v>
      </c>
      <c r="E8405">
        <f t="shared" si="62"/>
        <v>200</v>
      </c>
      <c r="F8405" s="2" t="str">
        <f>IF(Table2[[#This Row],[Manual Cat Value]]="",VLOOKUP(Table2[[#This Row],[Description]],'Actuals Lookup'!D:F,3,0),Table2[[#This Row],[Manual Cat Value]])</f>
        <v>Exp - Day Care</v>
      </c>
      <c r="G8405" t="e">
        <f>VLOOKUP(D8405,Lookup!G:H,2,0)</f>
        <v>#N/A</v>
      </c>
      <c r="H8405" s="8" t="s">
        <v>19</v>
      </c>
      <c r="I8405" s="8"/>
      <c r="J8405">
        <v>200</v>
      </c>
      <c r="M8405" t="s">
        <v>2513</v>
      </c>
      <c r="O8405" t="str">
        <f>LEFT(Table2[[#This Row],[Description]],75)</f>
        <v>Withdrawal ACH MN DIR ACH TYPE: CONTRIB ID: 2416007162 CO: MN DIR ACH NAME:</v>
      </c>
    </row>
    <row r="8406" spans="1:15" hidden="1">
      <c r="A8406" s="25">
        <f>VALUE(YEAR(Table2[[#This Row],[Date]])&amp;TEXT(MONTH(Table2[[#This Row],[Date]]),"00"))</f>
        <v>202212</v>
      </c>
      <c r="B8406" s="6">
        <v>44915</v>
      </c>
      <c r="C8406" t="s">
        <v>2262</v>
      </c>
      <c r="D8406" t="s">
        <v>3506</v>
      </c>
      <c r="E8406">
        <f t="shared" si="62"/>
        <v>84.62</v>
      </c>
      <c r="F8406" s="2" t="str">
        <f>IF(Table2[[#This Row],[Manual Cat Value]]="",VLOOKUP(Table2[[#This Row],[Description]],'Actuals Lookup'!D:F,3,0),Table2[[#This Row],[Manual Cat Value]])</f>
        <v>Delete</v>
      </c>
      <c r="G8406" t="e">
        <f>VLOOKUP(D8406,Lookup!G:H,2,0)</f>
        <v>#N/A</v>
      </c>
      <c r="H8406" s="8" t="s">
        <v>9</v>
      </c>
      <c r="I8406" s="8"/>
      <c r="J8406">
        <v>84.62</v>
      </c>
      <c r="M8406" t="s">
        <v>2513</v>
      </c>
      <c r="O8406" t="str">
        <f>LEFT(Table2[[#This Row],[Description]],75)</f>
        <v>Alden and Harlow Cambridge MA REF #2434285PH0GRV01AD</v>
      </c>
    </row>
    <row r="8407" spans="1:15" hidden="1">
      <c r="A8407" s="25">
        <f>VALUE(YEAR(Table2[[#This Row],[Date]])&amp;TEXT(MONTH(Table2[[#This Row],[Date]]),"00"))</f>
        <v>202212</v>
      </c>
      <c r="B8407" s="6">
        <v>44915</v>
      </c>
      <c r="C8407" t="s">
        <v>2262</v>
      </c>
      <c r="D8407" t="s">
        <v>3507</v>
      </c>
      <c r="E8407">
        <f t="shared" si="62"/>
        <v>183.81</v>
      </c>
      <c r="F8407" s="2" t="str">
        <f>IF(Table2[[#This Row],[Manual Cat Value]]="",VLOOKUP(Table2[[#This Row],[Description]],'Actuals Lookup'!D:F,3,0),Table2[[#This Row],[Manual Cat Value]])</f>
        <v>Exp - Groceries</v>
      </c>
      <c r="G8407" t="e">
        <f>VLOOKUP(D8407,Lookup!G:H,2,0)</f>
        <v>#N/A</v>
      </c>
      <c r="H8407" s="8" t="s">
        <v>27</v>
      </c>
      <c r="I8407" s="8"/>
      <c r="J8407">
        <v>183.81</v>
      </c>
      <c r="M8407" t="s">
        <v>2513</v>
      </c>
      <c r="O8407" t="str">
        <f>LEFT(Table2[[#This Row],[Description]],75)</f>
        <v>AVO*ADVOCARE INTL 800-542-4800 TX REF #2469216PH2ZZWT226</v>
      </c>
    </row>
    <row r="8408" spans="1:15" hidden="1">
      <c r="A8408" s="25">
        <f>VALUE(YEAR(Table2[[#This Row],[Date]])&amp;TEXT(MONTH(Table2[[#This Row],[Date]]),"00"))</f>
        <v>202212</v>
      </c>
      <c r="B8408" s="6">
        <v>44915</v>
      </c>
      <c r="C8408" t="s">
        <v>2262</v>
      </c>
      <c r="D8408" t="s">
        <v>3508</v>
      </c>
      <c r="E8408">
        <f t="shared" si="62"/>
        <v>46.1</v>
      </c>
      <c r="F8408" s="2" t="str">
        <f>IF(Table2[[#This Row],[Manual Cat Value]]="",VLOOKUP(Table2[[#This Row],[Description]],'Actuals Lookup'!D:F,3,0),Table2[[#This Row],[Manual Cat Value]])</f>
        <v>Delete</v>
      </c>
      <c r="G8408" t="e">
        <f>VLOOKUP(D8408,Lookup!G:H,2,0)</f>
        <v>#N/A</v>
      </c>
      <c r="H8408" s="8" t="s">
        <v>9</v>
      </c>
      <c r="I8408" s="8"/>
      <c r="J8408">
        <v>46.1</v>
      </c>
      <c r="M8408" t="s">
        <v>2513</v>
      </c>
      <c r="O8408" t="str">
        <f>LEFT(Table2[[#This Row],[Description]],75)</f>
        <v>BOS TAXI 1278 BOSTON MA REF #2416407PH2LQY3LBJ</v>
      </c>
    </row>
    <row r="8409" spans="1:15" hidden="1">
      <c r="A8409" s="25">
        <f>VALUE(YEAR(Table2[[#This Row],[Date]])&amp;TEXT(MONTH(Table2[[#This Row],[Date]]),"00"))</f>
        <v>202212</v>
      </c>
      <c r="B8409" s="6">
        <v>44915</v>
      </c>
      <c r="C8409" t="s">
        <v>2447</v>
      </c>
      <c r="D8409" t="s">
        <v>3509</v>
      </c>
      <c r="E8409">
        <f t="shared" si="62"/>
        <v>86.18</v>
      </c>
      <c r="F8409" s="2" t="str">
        <f>IF(Table2[[#This Row],[Manual Cat Value]]="",VLOOKUP(Table2[[#This Row],[Description]],'Actuals Lookup'!D:F,3,0),Table2[[#This Row],[Manual Cat Value]])</f>
        <v>Exp - Groceries</v>
      </c>
      <c r="G8409" t="e">
        <f>VLOOKUP(D8409,Lookup!G:H,2,0)</f>
        <v>#N/A</v>
      </c>
      <c r="H8409" s="8" t="s">
        <v>27</v>
      </c>
      <c r="I8409" s="8"/>
      <c r="J8409">
        <v>86.18</v>
      </c>
      <c r="M8409" t="s">
        <v>2513</v>
      </c>
      <c r="O8409" t="str">
        <f>LEFT(Table2[[#This Row],[Description]],75)</f>
        <v>MACKENTHUN S MEATS &amp; DEL SAINT BONIFACMN</v>
      </c>
    </row>
    <row r="8410" spans="1:15" hidden="1">
      <c r="A8410" s="25">
        <f>VALUE(YEAR(Table2[[#This Row],[Date]])&amp;TEXT(MONTH(Table2[[#This Row],[Date]]),"00"))</f>
        <v>202212</v>
      </c>
      <c r="B8410" s="6">
        <v>44915</v>
      </c>
      <c r="C8410" t="s">
        <v>2262</v>
      </c>
      <c r="D8410" t="s">
        <v>3510</v>
      </c>
      <c r="E8410">
        <f t="shared" si="62"/>
        <v>-197.23</v>
      </c>
      <c r="F8410" s="2" t="str">
        <f>IF(Table2[[#This Row],[Manual Cat Value]]="",VLOOKUP(Table2[[#This Row],[Description]],'Actuals Lookup'!D:F,3,0),Table2[[#This Row],[Manual Cat Value]])</f>
        <v>Exp - Shopping</v>
      </c>
      <c r="G8410" t="e">
        <f>VLOOKUP(D8410,Lookup!G:H,2,0)</f>
        <v>#N/A</v>
      </c>
      <c r="H8410" s="8" t="s">
        <v>36</v>
      </c>
      <c r="I8410" s="8"/>
      <c r="J8410">
        <v>197.23</v>
      </c>
      <c r="M8410" t="s">
        <v>2621</v>
      </c>
      <c r="O8410" t="str">
        <f>LEFT(Table2[[#This Row],[Description]],75)</f>
        <v>SHUTTERFLY, INC. 650-610-5200 CA REF #7449215PJMN17EN5B</v>
      </c>
    </row>
    <row r="8411" spans="1:15" hidden="1">
      <c r="A8411" s="25">
        <f>VALUE(YEAR(Table2[[#This Row],[Date]])&amp;TEXT(MONTH(Table2[[#This Row],[Date]]),"00"))</f>
        <v>202212</v>
      </c>
      <c r="B8411" s="6">
        <v>44915</v>
      </c>
      <c r="C8411" t="s">
        <v>2262</v>
      </c>
      <c r="D8411" t="s">
        <v>3511</v>
      </c>
      <c r="E8411">
        <f t="shared" si="62"/>
        <v>35.24</v>
      </c>
      <c r="F8411" s="2" t="str">
        <f>IF(Table2[[#This Row],[Manual Cat Value]]="",VLOOKUP(Table2[[#This Row],[Description]],'Actuals Lookup'!D:F,3,0),Table2[[#This Row],[Manual Cat Value]])</f>
        <v>Exp - Groceries</v>
      </c>
      <c r="G8411" t="e">
        <f>VLOOKUP(D8411,Lookup!G:H,2,0)</f>
        <v>#N/A</v>
      </c>
      <c r="H8411" s="8" t="s">
        <v>27</v>
      </c>
      <c r="I8411" s="8"/>
      <c r="J8411">
        <v>35.24</v>
      </c>
      <c r="M8411" t="s">
        <v>2513</v>
      </c>
      <c r="O8411" t="str">
        <f>LEFT(Table2[[#This Row],[Description]],75)</f>
        <v>SQ *LORD HOBO BREWING WOBWoburn MA REF #2469216PJ30ME5XNR</v>
      </c>
    </row>
    <row r="8412" spans="1:15" hidden="1">
      <c r="A8412" s="25">
        <f>VALUE(YEAR(Table2[[#This Row],[Date]])&amp;TEXT(MONTH(Table2[[#This Row],[Date]]),"00"))</f>
        <v>202212</v>
      </c>
      <c r="B8412" s="6">
        <v>44915</v>
      </c>
      <c r="C8412" t="s">
        <v>2262</v>
      </c>
      <c r="D8412" t="s">
        <v>3512</v>
      </c>
      <c r="E8412">
        <f t="shared" si="62"/>
        <v>30.1</v>
      </c>
      <c r="F8412" s="2" t="str">
        <f>IF(Table2[[#This Row],[Manual Cat Value]]="",VLOOKUP(Table2[[#This Row],[Description]],'Actuals Lookup'!D:F,3,0),Table2[[#This Row],[Manual Cat Value]])</f>
        <v>Delete</v>
      </c>
      <c r="G8412" t="e">
        <f>VLOOKUP(D8412,Lookup!G:H,2,0)</f>
        <v>#N/A</v>
      </c>
      <c r="H8412" s="8" t="s">
        <v>9</v>
      </c>
      <c r="I8412" s="8"/>
      <c r="J8412">
        <v>30.1</v>
      </c>
      <c r="M8412" t="s">
        <v>2513</v>
      </c>
      <c r="O8412" t="str">
        <f>LEFT(Table2[[#This Row],[Description]],75)</f>
        <v>UBER TRIP HELP.UBER.COMCA REF #2449215PHML3T2QZX</v>
      </c>
    </row>
    <row r="8413" spans="1:15" hidden="1">
      <c r="A8413" s="25">
        <f>VALUE(YEAR(Table2[[#This Row],[Date]])&amp;TEXT(MONTH(Table2[[#This Row],[Date]]),"00"))</f>
        <v>202212</v>
      </c>
      <c r="B8413" s="6">
        <v>44915</v>
      </c>
      <c r="C8413" t="s">
        <v>2262</v>
      </c>
      <c r="D8413" t="s">
        <v>3513</v>
      </c>
      <c r="E8413">
        <f t="shared" si="62"/>
        <v>2.2799999999999998</v>
      </c>
      <c r="F8413" s="2" t="str">
        <f>IF(Table2[[#This Row],[Manual Cat Value]]="",VLOOKUP(Table2[[#This Row],[Description]],'Actuals Lookup'!D:F,3,0),Table2[[#This Row],[Manual Cat Value]])</f>
        <v>Exp - Groceries</v>
      </c>
      <c r="G8413" t="e">
        <f>VLOOKUP(D8413,Lookup!G:H,2,0)</f>
        <v>#N/A</v>
      </c>
      <c r="H8413" s="8" t="s">
        <v>27</v>
      </c>
      <c r="I8413" s="8"/>
      <c r="J8413">
        <v>2.2799999999999998</v>
      </c>
      <c r="M8413" t="s">
        <v>2513</v>
      </c>
      <c r="O8413" t="str">
        <f>LEFT(Table2[[#This Row],[Description]],75)</f>
        <v>WHOLESOME FRESH MA CAMBRIDGE MA REF #2425138PH0VZBLK2H</v>
      </c>
    </row>
    <row r="8414" spans="1:15" hidden="1">
      <c r="A8414" s="25">
        <f>VALUE(YEAR(Table2[[#This Row],[Date]])&amp;TEXT(MONTH(Table2[[#This Row],[Date]]),"00"))</f>
        <v>202212</v>
      </c>
      <c r="B8414" s="6">
        <v>44915</v>
      </c>
      <c r="C8414" t="s">
        <v>2265</v>
      </c>
      <c r="D8414" t="s">
        <v>3514</v>
      </c>
      <c r="E8414">
        <f t="shared" si="62"/>
        <v>315</v>
      </c>
      <c r="F8414" s="2" t="str">
        <f>IF(Table2[[#This Row],[Manual Cat Value]]="",VLOOKUP(Table2[[#This Row],[Description]],'Actuals Lookup'!D:F,3,0),Table2[[#This Row],[Manual Cat Value]])</f>
        <v>Exp - Day Care</v>
      </c>
      <c r="G8414" t="e">
        <f>VLOOKUP(D8414,Lookup!G:H,2,0)</f>
        <v>#N/A</v>
      </c>
      <c r="H8414" s="8" t="s">
        <v>19</v>
      </c>
      <c r="I8414" s="8"/>
      <c r="J8414">
        <v>315</v>
      </c>
      <c r="M8414" t="s">
        <v>2513</v>
      </c>
      <c r="O8414" t="str">
        <f>LEFT(Table2[[#This Row],[Description]],75)</f>
        <v xml:space="preserve">Withdrawal ACH MHCHILDCARELLC TYPE: DUES ID: 1824708198 CO: MHCHILDCARELLC </v>
      </c>
    </row>
    <row r="8415" spans="1:15" hidden="1">
      <c r="A8415" s="25">
        <f>VALUE(YEAR(Table2[[#This Row],[Date]])&amp;TEXT(MONTH(Table2[[#This Row],[Date]]),"00"))</f>
        <v>202212</v>
      </c>
      <c r="B8415" s="6">
        <v>44916</v>
      </c>
      <c r="C8415" t="s">
        <v>2262</v>
      </c>
      <c r="D8415" t="s">
        <v>3515</v>
      </c>
      <c r="E8415">
        <f t="shared" si="62"/>
        <v>10.73</v>
      </c>
      <c r="F8415" s="2" t="str">
        <f>IF(Table2[[#This Row],[Manual Cat Value]]="",VLOOKUP(Table2[[#This Row],[Description]],'Actuals Lookup'!D:F,3,0),Table2[[#This Row],[Manual Cat Value]])</f>
        <v>Exp - Amazon</v>
      </c>
      <c r="G8415" t="e">
        <f>VLOOKUP(D8415,Lookup!G:H,2,0)</f>
        <v>#N/A</v>
      </c>
      <c r="H8415" s="8" t="s">
        <v>37</v>
      </c>
      <c r="I8415" s="8"/>
      <c r="J8415">
        <v>10.73</v>
      </c>
      <c r="M8415" t="s">
        <v>2513</v>
      </c>
      <c r="O8415" t="str">
        <f>LEFT(Table2[[#This Row],[Description]],75)</f>
        <v>AMZN Mktp US*FQ8TX70W3 Amzn.com/billWA REF #2469216PJ317PD1KT</v>
      </c>
    </row>
    <row r="8416" spans="1:15" hidden="1">
      <c r="A8416" s="25">
        <f>VALUE(YEAR(Table2[[#This Row],[Date]])&amp;TEXT(MONTH(Table2[[#This Row],[Date]]),"00"))</f>
        <v>202212</v>
      </c>
      <c r="B8416" s="6">
        <v>44916</v>
      </c>
      <c r="C8416" t="s">
        <v>2262</v>
      </c>
      <c r="D8416" t="s">
        <v>3516</v>
      </c>
      <c r="E8416">
        <f t="shared" si="62"/>
        <v>76.05</v>
      </c>
      <c r="F8416" s="2" t="str">
        <f>IF(Table2[[#This Row],[Manual Cat Value]]="",VLOOKUP(Table2[[#This Row],[Description]],'Actuals Lookup'!D:F,3,0),Table2[[#This Row],[Manual Cat Value]])</f>
        <v>Exp - Amazon</v>
      </c>
      <c r="G8416" t="e">
        <f>VLOOKUP(D8416,Lookup!G:H,2,0)</f>
        <v>#N/A</v>
      </c>
      <c r="H8416" s="8" t="s">
        <v>37</v>
      </c>
      <c r="I8416" s="8"/>
      <c r="J8416">
        <v>76.05</v>
      </c>
      <c r="M8416" t="s">
        <v>2513</v>
      </c>
      <c r="O8416" t="str">
        <f>LEFT(Table2[[#This Row],[Description]],75)</f>
        <v>AMZN Mktp US*HA8JE17N0 Amzn.com/billWA REF #2469216PJ317G9EFK</v>
      </c>
    </row>
    <row r="8417" spans="1:15" ht="30" hidden="1">
      <c r="A8417" s="25">
        <f>VALUE(YEAR(Table2[[#This Row],[Date]])&amp;TEXT(MONTH(Table2[[#This Row],[Date]]),"00"))</f>
        <v>202212</v>
      </c>
      <c r="B8417" s="6">
        <v>44916</v>
      </c>
      <c r="C8417" t="s">
        <v>2447</v>
      </c>
      <c r="D8417" s="7" t="s">
        <v>3517</v>
      </c>
      <c r="E8417">
        <f t="shared" si="62"/>
        <v>8.8800000000000008</v>
      </c>
      <c r="F8417" s="2" t="str">
        <f>IF(Table2[[#This Row],[Manual Cat Value]]="",VLOOKUP(Table2[[#This Row],[Description]],'Actuals Lookup'!D:F,3,0),Table2[[#This Row],[Manual Cat Value]])</f>
        <v>Exp - Amazon</v>
      </c>
      <c r="G8417" t="e">
        <f>VLOOKUP(D8417,Lookup!G:H,2,0)</f>
        <v>#N/A</v>
      </c>
      <c r="H8417" s="78" t="s">
        <v>37</v>
      </c>
      <c r="I8417" s="78"/>
      <c r="J8417">
        <v>8.8800000000000008</v>
      </c>
      <c r="M8417" t="s">
        <v>2513</v>
      </c>
      <c r="O8417" t="str">
        <f>LEFT(Table2[[#This Row],[Description]],75)</f>
        <v>AMZN MKTP US*JE53Z3I53 AMZN.COM/BILLWA
XDKZWBWA423</v>
      </c>
    </row>
    <row r="8418" spans="1:15" hidden="1">
      <c r="A8418" s="25">
        <f>VALUE(YEAR(Table2[[#This Row],[Date]])&amp;TEXT(MONTH(Table2[[#This Row],[Date]]),"00"))</f>
        <v>202212</v>
      </c>
      <c r="B8418" s="6">
        <v>44916</v>
      </c>
      <c r="C8418" t="s">
        <v>2262</v>
      </c>
      <c r="D8418" t="s">
        <v>3518</v>
      </c>
      <c r="E8418">
        <f t="shared" si="62"/>
        <v>11</v>
      </c>
      <c r="F8418" s="2" t="str">
        <f>IF(Table2[[#This Row],[Manual Cat Value]]="",VLOOKUP(Table2[[#This Row],[Description]],'Actuals Lookup'!D:F,3,0),Table2[[#This Row],[Manual Cat Value]])</f>
        <v>Exp - Utilities</v>
      </c>
      <c r="G8418" t="e">
        <f>VLOOKUP(D8418,Lookup!G:H,2,0)</f>
        <v>#N/A</v>
      </c>
      <c r="H8418" s="8" t="s">
        <v>6</v>
      </c>
      <c r="I8418" s="8"/>
      <c r="J8418">
        <v>11</v>
      </c>
      <c r="M8418" t="s">
        <v>2513</v>
      </c>
      <c r="O8418" t="str">
        <f>LEFT(Table2[[#This Row],[Description]],75)</f>
        <v>BONFES PLUMBING HEATING A651-3326633 MN REF #2427539PJS66GY727</v>
      </c>
    </row>
    <row r="8419" spans="1:15" hidden="1">
      <c r="A8419" s="25">
        <f>VALUE(YEAR(Table2[[#This Row],[Date]])&amp;TEXT(MONTH(Table2[[#This Row],[Date]]),"00"))</f>
        <v>202212</v>
      </c>
      <c r="B8419" s="6">
        <v>44916</v>
      </c>
      <c r="C8419" t="s">
        <v>2262</v>
      </c>
      <c r="D8419" t="s">
        <v>3519</v>
      </c>
      <c r="E8419">
        <f t="shared" si="62"/>
        <v>26.13</v>
      </c>
      <c r="F8419" s="2" t="str">
        <f>IF(Table2[[#This Row],[Manual Cat Value]]="",VLOOKUP(Table2[[#This Row],[Description]],'Actuals Lookup'!D:F,3,0),Table2[[#This Row],[Manual Cat Value]])</f>
        <v>Exp - Groceries</v>
      </c>
      <c r="G8419" t="e">
        <f>VLOOKUP(D8419,Lookup!G:H,2,0)</f>
        <v>#N/A</v>
      </c>
      <c r="H8419" s="8" t="s">
        <v>27</v>
      </c>
      <c r="I8419" s="8"/>
      <c r="J8419">
        <v>26.13</v>
      </c>
      <c r="M8419" t="s">
        <v>2513</v>
      </c>
      <c r="O8419" t="str">
        <f>LEFT(Table2[[#This Row],[Description]],75)</f>
        <v>CUB FOODS CHANHASSEN MN REF #2442733PJM83JY80B</v>
      </c>
    </row>
    <row r="8420" spans="1:15" hidden="1">
      <c r="A8420" s="25">
        <f>VALUE(YEAR(Table2[[#This Row],[Date]])&amp;TEXT(MONTH(Table2[[#This Row],[Date]]),"00"))</f>
        <v>202212</v>
      </c>
      <c r="B8420" s="6">
        <v>44916</v>
      </c>
      <c r="C8420" t="s">
        <v>2262</v>
      </c>
      <c r="D8420" t="s">
        <v>3520</v>
      </c>
      <c r="E8420">
        <f t="shared" si="62"/>
        <v>16.73</v>
      </c>
      <c r="F8420" s="2" t="str">
        <f>IF(Table2[[#This Row],[Manual Cat Value]]="",VLOOKUP(Table2[[#This Row],[Description]],'Actuals Lookup'!D:F,3,0),Table2[[#This Row],[Manual Cat Value]])</f>
        <v>Exp - Utilities</v>
      </c>
      <c r="G8420" t="e">
        <f>VLOOKUP(D8420,Lookup!G:H,2,0)</f>
        <v>#N/A</v>
      </c>
      <c r="H8420" s="8" t="s">
        <v>6</v>
      </c>
      <c r="I8420" s="8"/>
      <c r="J8420">
        <v>16.73</v>
      </c>
      <c r="M8420" t="s">
        <v>2513</v>
      </c>
      <c r="O8420" t="str">
        <f>LEFT(Table2[[#This Row],[Description]],75)</f>
        <v>Netflix.com 866-5797172 CA REF #2490641PJ4R1ND4PN</v>
      </c>
    </row>
    <row r="8421" spans="1:15" hidden="1">
      <c r="A8421" s="25">
        <f>VALUE(YEAR(Table2[[#This Row],[Date]])&amp;TEXT(MONTH(Table2[[#This Row],[Date]]),"00"))</f>
        <v>202212</v>
      </c>
      <c r="B8421" s="6">
        <v>44916</v>
      </c>
      <c r="C8421" t="s">
        <v>2262</v>
      </c>
      <c r="D8421" t="s">
        <v>3521</v>
      </c>
      <c r="E8421">
        <f t="shared" si="62"/>
        <v>144.24</v>
      </c>
      <c r="F8421" s="2" t="str">
        <f>IF(Table2[[#This Row],[Manual Cat Value]]="",VLOOKUP(Table2[[#This Row],[Description]],'Actuals Lookup'!D:F,3,0),Table2[[#This Row],[Manual Cat Value]])</f>
        <v>Exp - Gifts</v>
      </c>
      <c r="G8421" t="e">
        <f>VLOOKUP(D8421,Lookup!G:H,2,0)</f>
        <v>#N/A</v>
      </c>
      <c r="H8421" s="8" t="s">
        <v>44</v>
      </c>
      <c r="I8421" s="8"/>
      <c r="J8421">
        <v>144.24</v>
      </c>
      <c r="M8421" t="s">
        <v>2513</v>
      </c>
      <c r="O8421" t="str">
        <f>LEFT(Table2[[#This Row],[Description]],75)</f>
        <v>SP KEVINS OUTDOORS HTTPSKEVINSCAGA REF #2449216PJ001A2Z5H</v>
      </c>
    </row>
    <row r="8422" spans="1:15" hidden="1">
      <c r="A8422" s="25">
        <f>VALUE(YEAR(Table2[[#This Row],[Date]])&amp;TEXT(MONTH(Table2[[#This Row],[Date]]),"00"))</f>
        <v>202212</v>
      </c>
      <c r="B8422" s="6">
        <v>44916</v>
      </c>
      <c r="C8422" t="s">
        <v>2265</v>
      </c>
      <c r="D8422" t="s">
        <v>3522</v>
      </c>
      <c r="E8422">
        <f t="shared" si="62"/>
        <v>62.64</v>
      </c>
      <c r="F8422" s="2" t="str">
        <f>IF(Table2[[#This Row],[Manual Cat Value]]="",VLOOKUP(Table2[[#This Row],[Description]],'Actuals Lookup'!D:F,3,0),Table2[[#This Row],[Manual Cat Value]])</f>
        <v>Exp - Utilities</v>
      </c>
      <c r="G8422" t="e">
        <f>VLOOKUP(D8422,Lookup!G:H,2,0)</f>
        <v>#N/A</v>
      </c>
      <c r="H8422" s="8" t="s">
        <v>6</v>
      </c>
      <c r="I8422" s="8"/>
      <c r="J8422">
        <v>62.64</v>
      </c>
      <c r="M8422" t="s">
        <v>2513</v>
      </c>
      <c r="O8422" t="str">
        <f>LEFT(Table2[[#This Row],[Description]],75)</f>
        <v xml:space="preserve">Withdrawal ACH CITY OF CHANHASS TYPE: UTIL BILL ID: 1410885331 CO: CITY OF </v>
      </c>
    </row>
    <row r="8423" spans="1:15" ht="30" hidden="1">
      <c r="A8423" s="25">
        <f>VALUE(YEAR(Table2[[#This Row],[Date]])&amp;TEXT(MONTH(Table2[[#This Row],[Date]]),"00"))</f>
        <v>202212</v>
      </c>
      <c r="B8423" s="6">
        <v>44917</v>
      </c>
      <c r="C8423" t="s">
        <v>2447</v>
      </c>
      <c r="D8423" s="7" t="s">
        <v>3523</v>
      </c>
      <c r="E8423">
        <f t="shared" si="62"/>
        <v>-588.23</v>
      </c>
      <c r="F8423" s="2" t="str">
        <f>IF(Table2[[#This Row],[Manual Cat Value]]="",VLOOKUP(Table2[[#This Row],[Description]],'Actuals Lookup'!D:F,3,0),Table2[[#This Row],[Manual Cat Value]])</f>
        <v>Exp - Shopping</v>
      </c>
      <c r="G8423" t="e">
        <f>VLOOKUP(D8423,Lookup!G:H,2,0)</f>
        <v>#N/A</v>
      </c>
      <c r="H8423" s="78" t="s">
        <v>36</v>
      </c>
      <c r="I8423" s="78"/>
      <c r="J8423">
        <v>588.23</v>
      </c>
      <c r="M8423" t="s">
        <v>2621</v>
      </c>
      <c r="O8423" t="str">
        <f>LEFT(Table2[[#This Row],[Description]],75)</f>
        <v>AMZN MKTP US AMZN.COM/BILLWA
28OY7N5GSAK</v>
      </c>
    </row>
    <row r="8424" spans="1:15" hidden="1">
      <c r="A8424" s="25">
        <f>VALUE(YEAR(Table2[[#This Row],[Date]])&amp;TEXT(MONTH(Table2[[#This Row],[Date]]),"00"))</f>
        <v>202212</v>
      </c>
      <c r="B8424" s="6">
        <v>44917</v>
      </c>
      <c r="C8424" t="s">
        <v>2262</v>
      </c>
      <c r="D8424" t="s">
        <v>3524</v>
      </c>
      <c r="E8424">
        <f t="shared" si="62"/>
        <v>123.12</v>
      </c>
      <c r="F8424" s="2" t="str">
        <f>IF(Table2[[#This Row],[Manual Cat Value]]="",VLOOKUP(Table2[[#This Row],[Description]],'Actuals Lookup'!D:F,3,0),Table2[[#This Row],[Manual Cat Value]])</f>
        <v>Exp - Day Care</v>
      </c>
      <c r="G8424" t="e">
        <f>VLOOKUP(D8424,Lookup!G:H,2,0)</f>
        <v>#N/A</v>
      </c>
      <c r="H8424" s="8" t="s">
        <v>19</v>
      </c>
      <c r="I8424" s="8"/>
      <c r="J8424">
        <v>123.12</v>
      </c>
      <c r="M8424" t="s">
        <v>2513</v>
      </c>
      <c r="O8424" t="str">
        <f>LEFT(Table2[[#This Row],[Description]],75)</f>
        <v>BCS*MINNETONKA COMMUNITY 952-401-6800 MN REF #2413746PL01VBM74V</v>
      </c>
    </row>
    <row r="8425" spans="1:15" hidden="1">
      <c r="A8425" s="25">
        <f>VALUE(YEAR(Table2[[#This Row],[Date]])&amp;TEXT(MONTH(Table2[[#This Row],[Date]]),"00"))</f>
        <v>202212</v>
      </c>
      <c r="B8425" s="6">
        <v>44917</v>
      </c>
      <c r="C8425" t="s">
        <v>2262</v>
      </c>
      <c r="D8425" t="s">
        <v>3525</v>
      </c>
      <c r="E8425">
        <f t="shared" ref="E8425:E8456" si="63">IF(M8425="credit",-1*J8425,J8425)</f>
        <v>186.94</v>
      </c>
      <c r="F8425" s="2" t="str">
        <f>IF(Table2[[#This Row],[Manual Cat Value]]="",VLOOKUP(Table2[[#This Row],[Description]],'Actuals Lookup'!D:F,3,0),Table2[[#This Row],[Manual Cat Value]])</f>
        <v>Exp - Groceries</v>
      </c>
      <c r="G8425" t="e">
        <f>VLOOKUP(D8425,Lookup!G:H,2,0)</f>
        <v>#N/A</v>
      </c>
      <c r="H8425" s="8" t="s">
        <v>27</v>
      </c>
      <c r="I8425" s="8"/>
      <c r="J8425">
        <v>186.94</v>
      </c>
      <c r="M8425" t="s">
        <v>2513</v>
      </c>
      <c r="O8425" t="str">
        <f>LEFT(Table2[[#This Row],[Description]],75)</f>
        <v>CUB FOODS 01644 952-934-1010 MN REF #2423168PK2DDXHWQ2</v>
      </c>
    </row>
    <row r="8426" spans="1:15" hidden="1">
      <c r="A8426" s="25">
        <f>VALUE(YEAR(Table2[[#This Row],[Date]])&amp;TEXT(MONTH(Table2[[#This Row],[Date]]),"00"))</f>
        <v>202212</v>
      </c>
      <c r="B8426" s="6">
        <v>44917</v>
      </c>
      <c r="C8426" t="s">
        <v>2265</v>
      </c>
      <c r="D8426" t="s">
        <v>3526</v>
      </c>
      <c r="E8426">
        <f t="shared" si="63"/>
        <v>-3602.57</v>
      </c>
      <c r="F8426" s="2" t="str">
        <f>IF(Table2[[#This Row],[Manual Cat Value]]="",VLOOKUP(Table2[[#This Row],[Description]],'Actuals Lookup'!D:F,3,0),Table2[[#This Row],[Manual Cat Value]])</f>
        <v>Inc - Britney</v>
      </c>
      <c r="G8426" t="e">
        <f>VLOOKUP(D8426,Lookup!G:H,2,0)</f>
        <v>#N/A</v>
      </c>
      <c r="H8426" s="8" t="s">
        <v>65</v>
      </c>
      <c r="I8426" s="8"/>
      <c r="J8426">
        <v>3602.57</v>
      </c>
      <c r="M8426" t="s">
        <v>2621</v>
      </c>
      <c r="O8426" t="str">
        <f>LEFT(Table2[[#This Row],[Description]],75)</f>
        <v>Deposit ACH CARGILL INCORPOR TYPE: DIRECT DEP ID: 9111111101 CO: CARGILL IN</v>
      </c>
    </row>
    <row r="8427" spans="1:15" hidden="1">
      <c r="A8427" s="25">
        <f>VALUE(YEAR(Table2[[#This Row],[Date]])&amp;TEXT(MONTH(Table2[[#This Row],[Date]]),"00"))</f>
        <v>202212</v>
      </c>
      <c r="B8427" s="6">
        <v>44917</v>
      </c>
      <c r="C8427" t="s">
        <v>2262</v>
      </c>
      <c r="D8427" t="s">
        <v>3527</v>
      </c>
      <c r="E8427">
        <f t="shared" si="63"/>
        <v>3.53</v>
      </c>
      <c r="F8427" s="2" t="str">
        <f>IF(Table2[[#This Row],[Manual Cat Value]]="",VLOOKUP(Table2[[#This Row],[Description]],'Actuals Lookup'!D:F,3,0),Table2[[#This Row],[Manual Cat Value]])</f>
        <v>Exp - Restaurants</v>
      </c>
      <c r="G8427" t="e">
        <f>VLOOKUP(D8427,Lookup!G:H,2,0)</f>
        <v>#N/A</v>
      </c>
      <c r="H8427" s="8" t="s">
        <v>25</v>
      </c>
      <c r="I8427" s="8"/>
      <c r="J8427">
        <v>3.53</v>
      </c>
      <c r="M8427" t="s">
        <v>2513</v>
      </c>
      <c r="O8427" t="str">
        <f>LEFT(Table2[[#This Row],[Description]],75)</f>
        <v>DUNKIN #308352 Q35 BOSTON MA REF #2494300PLRQEBK8VK</v>
      </c>
    </row>
    <row r="8428" spans="1:15" hidden="1">
      <c r="A8428" s="25">
        <f>VALUE(YEAR(Table2[[#This Row],[Date]])&amp;TEXT(MONTH(Table2[[#This Row],[Date]]),"00"))</f>
        <v>202212</v>
      </c>
      <c r="B8428" s="6">
        <v>44917</v>
      </c>
      <c r="C8428" t="s">
        <v>2262</v>
      </c>
      <c r="D8428" t="s">
        <v>3528</v>
      </c>
      <c r="E8428">
        <f t="shared" si="63"/>
        <v>98</v>
      </c>
      <c r="F8428" s="2" t="str">
        <f>IF(Table2[[#This Row],[Manual Cat Value]]="",VLOOKUP(Table2[[#This Row],[Description]],'Actuals Lookup'!D:F,3,0),Table2[[#This Row],[Manual Cat Value]])</f>
        <v>Exp - Shopping</v>
      </c>
      <c r="G8428" t="e">
        <f>VLOOKUP(D8428,Lookup!G:H,2,0)</f>
        <v>#N/A</v>
      </c>
      <c r="H8428" s="8" t="s">
        <v>36</v>
      </c>
      <c r="I8428" s="8"/>
      <c r="J8428">
        <v>98</v>
      </c>
      <c r="M8428" t="s">
        <v>2513</v>
      </c>
      <c r="O8428" t="str">
        <f>LEFT(Table2[[#This Row],[Description]],75)</f>
        <v>LULULEMONCOM* 877-263-9300 CA REF #2469216PK31JZQLA6</v>
      </c>
    </row>
    <row r="8429" spans="1:15" hidden="1">
      <c r="A8429" s="25">
        <f>VALUE(YEAR(Table2[[#This Row],[Date]])&amp;TEXT(MONTH(Table2[[#This Row],[Date]]),"00"))</f>
        <v>202212</v>
      </c>
      <c r="B8429" s="6">
        <v>44917</v>
      </c>
      <c r="C8429" t="s">
        <v>2262</v>
      </c>
      <c r="D8429" t="s">
        <v>3529</v>
      </c>
      <c r="E8429">
        <f t="shared" si="63"/>
        <v>39.35</v>
      </c>
      <c r="F8429" s="2" t="str">
        <f>IF(Table2[[#This Row],[Manual Cat Value]]="",VLOOKUP(Table2[[#This Row],[Description]],'Actuals Lookup'!D:F,3,0),Table2[[#This Row],[Manual Cat Value]])</f>
        <v>Delete</v>
      </c>
      <c r="G8429" t="e">
        <f>VLOOKUP(D8429,Lookup!G:H,2,0)</f>
        <v>#N/A</v>
      </c>
      <c r="H8429" s="8" t="s">
        <v>9</v>
      </c>
      <c r="I8429" s="8"/>
      <c r="J8429">
        <v>39.35</v>
      </c>
      <c r="M8429" t="s">
        <v>2513</v>
      </c>
      <c r="O8429" t="str">
        <f>LEFT(Table2[[#This Row],[Description]],75)</f>
        <v>UBER TRIP HELP.UBER.COMCA REF #2449215PKLS95JPME</v>
      </c>
    </row>
    <row r="8430" spans="1:15" hidden="1">
      <c r="A8430" s="25">
        <f>VALUE(YEAR(Table2[[#This Row],[Date]])&amp;TEXT(MONTH(Table2[[#This Row],[Date]]),"00"))</f>
        <v>202212</v>
      </c>
      <c r="B8430" s="6">
        <v>44918</v>
      </c>
      <c r="C8430" t="s">
        <v>2300</v>
      </c>
      <c r="D8430" t="s">
        <v>3530</v>
      </c>
      <c r="E8430">
        <f t="shared" si="63"/>
        <v>-100</v>
      </c>
      <c r="F8430" s="2" t="str">
        <f>IF(Table2[[#This Row],[Manual Cat Value]]="",VLOOKUP(Table2[[#This Row],[Description]],'Actuals Lookup'!D:F,3,0),Table2[[#This Row],[Manual Cat Value]])</f>
        <v>Delete</v>
      </c>
      <c r="G8430" t="e">
        <f>VLOOKUP(D8430,Lookup!G:H,2,0)</f>
        <v>#N/A</v>
      </c>
      <c r="H8430" s="8" t="s">
        <v>9</v>
      </c>
      <c r="I8430" s="8"/>
      <c r="J8430">
        <v>100</v>
      </c>
      <c r="M8430" t="s">
        <v>2621</v>
      </c>
      <c r="O8430" t="str">
        <f>LEFT(Table2[[#This Row],[Description]],75)</f>
        <v>Deposit Home Banking Transfer From Share 70 REF # 2283752</v>
      </c>
    </row>
    <row r="8431" spans="1:15" hidden="1">
      <c r="A8431" s="25">
        <f>VALUE(YEAR(Table2[[#This Row],[Date]])&amp;TEXT(MONTH(Table2[[#This Row],[Date]]),"00"))</f>
        <v>202212</v>
      </c>
      <c r="B8431" s="6">
        <v>44918</v>
      </c>
      <c r="C8431" t="s">
        <v>2262</v>
      </c>
      <c r="D8431" t="s">
        <v>3531</v>
      </c>
      <c r="E8431">
        <f t="shared" si="63"/>
        <v>523.86</v>
      </c>
      <c r="F8431" s="2" t="str">
        <f>IF(Table2[[#This Row],[Manual Cat Value]]="",VLOOKUP(Table2[[#This Row],[Description]],'Actuals Lookup'!D:F,3,0),Table2[[#This Row],[Manual Cat Value]])</f>
        <v>Delete</v>
      </c>
      <c r="G8431" t="e">
        <f>VLOOKUP(D8431,Lookup!G:H,2,0)</f>
        <v>#N/A</v>
      </c>
      <c r="H8431" s="8" t="s">
        <v>9</v>
      </c>
      <c r="I8431" s="8"/>
      <c r="J8431">
        <v>523.86</v>
      </c>
      <c r="M8431" t="s">
        <v>2513</v>
      </c>
      <c r="O8431" t="str">
        <f>LEFT(Table2[[#This Row],[Description]],75)</f>
        <v>HILTON BOSTON WOBURN WOBURN MA REF #2405523PL11H4DMQR</v>
      </c>
    </row>
    <row r="8432" spans="1:15" hidden="1">
      <c r="A8432" s="25">
        <f>VALUE(YEAR(Table2[[#This Row],[Date]])&amp;TEXT(MONTH(Table2[[#This Row],[Date]]),"00"))</f>
        <v>202212</v>
      </c>
      <c r="B8432" s="6">
        <v>44918</v>
      </c>
      <c r="C8432" t="s">
        <v>2262</v>
      </c>
      <c r="D8432" t="s">
        <v>3532</v>
      </c>
      <c r="E8432">
        <f t="shared" si="63"/>
        <v>84</v>
      </c>
      <c r="F8432" s="2" t="str">
        <f>IF(Table2[[#This Row],[Manual Cat Value]]="",VLOOKUP(Table2[[#This Row],[Description]],'Actuals Lookup'!D:F,3,0),Table2[[#This Row],[Manual Cat Value]])</f>
        <v>Delete</v>
      </c>
      <c r="G8432" t="e">
        <f>VLOOKUP(D8432,Lookup!G:H,2,0)</f>
        <v>#N/A</v>
      </c>
      <c r="H8432" s="8" t="s">
        <v>9</v>
      </c>
      <c r="I8432" s="8"/>
      <c r="J8432">
        <v>84</v>
      </c>
      <c r="M8432" t="s">
        <v>2513</v>
      </c>
      <c r="O8432" t="str">
        <f>LEFT(Table2[[#This Row],[Description]],75)</f>
        <v>MSP AIRPORT PARKING SAINT PAUL MN REF #2403454PL02G8D8RG</v>
      </c>
    </row>
    <row r="8433" spans="1:15" hidden="1">
      <c r="A8433" s="25">
        <f>VALUE(YEAR(Table2[[#This Row],[Date]])&amp;TEXT(MONTH(Table2[[#This Row],[Date]]),"00"))</f>
        <v>202212</v>
      </c>
      <c r="B8433" s="6">
        <v>44918</v>
      </c>
      <c r="C8433" t="s">
        <v>2262</v>
      </c>
      <c r="D8433" t="s">
        <v>3533</v>
      </c>
      <c r="E8433">
        <f t="shared" si="63"/>
        <v>138.5</v>
      </c>
      <c r="F8433" s="2" t="str">
        <f>IF(Table2[[#This Row],[Manual Cat Value]]="",VLOOKUP(Table2[[#This Row],[Description]],'Actuals Lookup'!D:F,3,0),Table2[[#This Row],[Manual Cat Value]])</f>
        <v>Exp - Groceries</v>
      </c>
      <c r="G8433" t="e">
        <f>VLOOKUP(D8433,Lookup!G:H,2,0)</f>
        <v>#N/A</v>
      </c>
      <c r="H8433" s="8" t="s">
        <v>27</v>
      </c>
      <c r="I8433" s="8"/>
      <c r="J8433">
        <v>138.5</v>
      </c>
      <c r="M8433" t="s">
        <v>2513</v>
      </c>
      <c r="O8433" t="str">
        <f>LEFT(Table2[[#This Row],[Description]],75)</f>
        <v>NESPRESSO USA 888-637-7737 NY REF #2469216PL32VB572R</v>
      </c>
    </row>
    <row r="8434" spans="1:15" hidden="1">
      <c r="A8434" s="25">
        <f>VALUE(YEAR(Table2[[#This Row],[Date]])&amp;TEXT(MONTH(Table2[[#This Row],[Date]]),"00"))</f>
        <v>202212</v>
      </c>
      <c r="B8434" s="6">
        <v>44918</v>
      </c>
      <c r="C8434" t="s">
        <v>2265</v>
      </c>
      <c r="D8434" t="s">
        <v>3534</v>
      </c>
      <c r="E8434">
        <f t="shared" si="63"/>
        <v>200</v>
      </c>
      <c r="F8434" s="2" t="str">
        <f>IF(Table2[[#This Row],[Manual Cat Value]]="",VLOOKUP(Table2[[#This Row],[Description]],'Actuals Lookup'!D:F,3,0),Table2[[#This Row],[Manual Cat Value]])</f>
        <v>Delete</v>
      </c>
      <c r="G8434" t="e">
        <f>VLOOKUP(D8434,Lookup!G:H,2,0)</f>
        <v>#N/A</v>
      </c>
      <c r="H8434" s="8" t="s">
        <v>9</v>
      </c>
      <c r="I8434" s="8"/>
      <c r="J8434">
        <v>200</v>
      </c>
      <c r="M8434" t="s">
        <v>2513</v>
      </c>
      <c r="O8434" t="str">
        <f>LEFT(Table2[[#This Row],[Description]],75)</f>
        <v>Withdrawal at ATM #000000002027 Wells Fargo Bank XXXXXXX Hwy 7 Chanhassen M</v>
      </c>
    </row>
    <row r="8435" spans="1:15" hidden="1">
      <c r="A8435" s="25">
        <f>VALUE(YEAR(Table2[[#This Row],[Date]])&amp;TEXT(MONTH(Table2[[#This Row],[Date]]),"00"))</f>
        <v>202212</v>
      </c>
      <c r="B8435" s="6">
        <v>44918</v>
      </c>
      <c r="C8435" t="s">
        <v>2265</v>
      </c>
      <c r="D8435" t="s">
        <v>3535</v>
      </c>
      <c r="E8435">
        <f t="shared" si="63"/>
        <v>100</v>
      </c>
      <c r="F8435" s="2" t="str">
        <f>IF(Table2[[#This Row],[Manual Cat Value]]="",VLOOKUP(Table2[[#This Row],[Description]],'Actuals Lookup'!D:F,3,0),Table2[[#This Row],[Manual Cat Value]])</f>
        <v>Delete</v>
      </c>
      <c r="G8435" t="e">
        <f>VLOOKUP(D8435,Lookup!G:H,2,0)</f>
        <v>#N/A</v>
      </c>
      <c r="H8435" s="8" t="s">
        <v>9</v>
      </c>
      <c r="I8435" s="8"/>
      <c r="J8435">
        <v>100</v>
      </c>
      <c r="M8435" t="s">
        <v>2513</v>
      </c>
      <c r="O8435" t="str">
        <f>LEFT(Table2[[#This Row],[Description]],75)</f>
        <v>Withdrawal Home Banking Transfer To Share 12 REF # 2283752</v>
      </c>
    </row>
    <row r="8436" spans="1:15" hidden="1">
      <c r="A8436" s="25">
        <f>VALUE(YEAR(Table2[[#This Row],[Date]])&amp;TEXT(MONTH(Table2[[#This Row],[Date]]),"00"))</f>
        <v>202212</v>
      </c>
      <c r="B8436" s="6">
        <v>44920</v>
      </c>
      <c r="C8436" t="s">
        <v>2262</v>
      </c>
      <c r="D8436" t="s">
        <v>3536</v>
      </c>
      <c r="E8436">
        <f t="shared" si="63"/>
        <v>18.440000000000001</v>
      </c>
      <c r="F8436" s="2" t="str">
        <f>IF(Table2[[#This Row],[Manual Cat Value]]="",VLOOKUP(Table2[[#This Row],[Description]],'Actuals Lookup'!D:F,3,0),Table2[[#This Row],[Manual Cat Value]])</f>
        <v>Exp - Dry Cleaning</v>
      </c>
      <c r="G8436" t="e">
        <f>VLOOKUP(D8436,Lookup!G:H,2,0)</f>
        <v>#N/A</v>
      </c>
      <c r="H8436" s="8" t="s">
        <v>42</v>
      </c>
      <c r="I8436" s="8"/>
      <c r="J8436">
        <v>18.440000000000001</v>
      </c>
      <c r="M8436" t="s">
        <v>2513</v>
      </c>
      <c r="O8436" t="str">
        <f>LEFT(Table2[[#This Row],[Description]],75)</f>
        <v>All Seasons Garment Care Excelsior MN REF #2419304PN031412GS</v>
      </c>
    </row>
    <row r="8437" spans="1:15" hidden="1">
      <c r="A8437" s="25">
        <f>VALUE(YEAR(Table2[[#This Row],[Date]])&amp;TEXT(MONTH(Table2[[#This Row],[Date]]),"00"))</f>
        <v>202212</v>
      </c>
      <c r="B8437" s="6">
        <v>44920</v>
      </c>
      <c r="C8437" t="s">
        <v>2262</v>
      </c>
      <c r="D8437" t="s">
        <v>3537</v>
      </c>
      <c r="E8437">
        <f t="shared" si="63"/>
        <v>516</v>
      </c>
      <c r="F8437" s="2" t="str">
        <f>IF(Table2[[#This Row],[Manual Cat Value]]="",VLOOKUP(Table2[[#This Row],[Description]],'Actuals Lookup'!D:F,3,0),Table2[[#This Row],[Manual Cat Value]])</f>
        <v>Delete</v>
      </c>
      <c r="G8437" t="e">
        <f>VLOOKUP(D8437,Lookup!G:H,2,0)</f>
        <v>#N/A</v>
      </c>
      <c r="H8437" s="8" t="s">
        <v>9</v>
      </c>
      <c r="I8437" s="8"/>
      <c r="J8437">
        <v>516</v>
      </c>
      <c r="M8437" t="s">
        <v>2513</v>
      </c>
      <c r="O8437" t="str">
        <f>LEFT(Table2[[#This Row],[Description]],75)</f>
        <v>ALLEGNT AIR,FHZ 702-5058888 NV REF #2400097PM64DBGAQS</v>
      </c>
    </row>
    <row r="8438" spans="1:15" hidden="1">
      <c r="A8438" s="25">
        <f>VALUE(YEAR(Table2[[#This Row],[Date]])&amp;TEXT(MONTH(Table2[[#This Row],[Date]]),"00"))</f>
        <v>202212</v>
      </c>
      <c r="B8438" s="6">
        <v>44920</v>
      </c>
      <c r="C8438" t="s">
        <v>2262</v>
      </c>
      <c r="D8438" t="s">
        <v>3538</v>
      </c>
      <c r="E8438">
        <f t="shared" si="63"/>
        <v>-446.7</v>
      </c>
      <c r="F8438" s="2" t="str">
        <f>IF(Table2[[#This Row],[Manual Cat Value]]="",VLOOKUP(Table2[[#This Row],[Description]],'Actuals Lookup'!D:F,3,0),Table2[[#This Row],[Manual Cat Value]])</f>
        <v>Delete</v>
      </c>
      <c r="G8438" t="e">
        <f>VLOOKUP(D8438,Lookup!G:H,2,0)</f>
        <v>#N/A</v>
      </c>
      <c r="H8438" s="8" t="s">
        <v>9</v>
      </c>
      <c r="I8438" s="8"/>
      <c r="J8438">
        <v>446.7</v>
      </c>
      <c r="M8438" t="s">
        <v>2621</v>
      </c>
      <c r="O8438" t="str">
        <f>LEFT(Table2[[#This Row],[Description]],75)</f>
        <v>AMERICAN AI 0012337602985800-433-7300 TX REF #7471705PNTDJRNP7T</v>
      </c>
    </row>
    <row r="8439" spans="1:15" hidden="1">
      <c r="A8439" s="25">
        <f>VALUE(YEAR(Table2[[#This Row],[Date]])&amp;TEXT(MONTH(Table2[[#This Row],[Date]]),"00"))</f>
        <v>202212</v>
      </c>
      <c r="B8439" s="6">
        <v>44920</v>
      </c>
      <c r="C8439" t="s">
        <v>2262</v>
      </c>
      <c r="D8439" t="s">
        <v>3539</v>
      </c>
      <c r="E8439">
        <f t="shared" si="63"/>
        <v>-446.7</v>
      </c>
      <c r="F8439" s="2" t="str">
        <f>IF(Table2[[#This Row],[Manual Cat Value]]="",VLOOKUP(Table2[[#This Row],[Description]],'Actuals Lookup'!D:F,3,0),Table2[[#This Row],[Manual Cat Value]])</f>
        <v>Delete</v>
      </c>
      <c r="G8439" t="e">
        <f>VLOOKUP(D8439,Lookup!G:H,2,0)</f>
        <v>#N/A</v>
      </c>
      <c r="H8439" s="8" t="s">
        <v>9</v>
      </c>
      <c r="I8439" s="8"/>
      <c r="J8439">
        <v>446.7</v>
      </c>
      <c r="M8439" t="s">
        <v>2621</v>
      </c>
      <c r="O8439" t="str">
        <f>LEFT(Table2[[#This Row],[Description]],75)</f>
        <v>AMERICAN AI 0012337602986800-433-7300 TX REF #7471705PNTDJRNP81</v>
      </c>
    </row>
    <row r="8440" spans="1:15" hidden="1">
      <c r="A8440" s="25">
        <f>VALUE(YEAR(Table2[[#This Row],[Date]])&amp;TEXT(MONTH(Table2[[#This Row],[Date]]),"00"))</f>
        <v>202212</v>
      </c>
      <c r="B8440" s="6">
        <v>44920</v>
      </c>
      <c r="C8440" t="s">
        <v>2262</v>
      </c>
      <c r="D8440" t="s">
        <v>3540</v>
      </c>
      <c r="E8440">
        <f t="shared" si="63"/>
        <v>-446.7</v>
      </c>
      <c r="F8440" s="2" t="str">
        <f>IF(Table2[[#This Row],[Manual Cat Value]]="",VLOOKUP(Table2[[#This Row],[Description]],'Actuals Lookup'!D:F,3,0),Table2[[#This Row],[Manual Cat Value]])</f>
        <v>Delete</v>
      </c>
      <c r="G8440" t="e">
        <f>VLOOKUP(D8440,Lookup!G:H,2,0)</f>
        <v>#N/A</v>
      </c>
      <c r="H8440" s="8" t="s">
        <v>9</v>
      </c>
      <c r="I8440" s="8"/>
      <c r="J8440">
        <v>446.7</v>
      </c>
      <c r="M8440" t="s">
        <v>2621</v>
      </c>
      <c r="O8440" t="str">
        <f>LEFT(Table2[[#This Row],[Description]],75)</f>
        <v>AMERICAN AI 0012337602987800-433-7300 TX REF #7471705PNTDJRNP89</v>
      </c>
    </row>
    <row r="8441" spans="1:15" hidden="1">
      <c r="A8441" s="25">
        <f>VALUE(YEAR(Table2[[#This Row],[Date]])&amp;TEXT(MONTH(Table2[[#This Row],[Date]]),"00"))</f>
        <v>202212</v>
      </c>
      <c r="B8441" s="6">
        <v>44920</v>
      </c>
      <c r="C8441" t="s">
        <v>2262</v>
      </c>
      <c r="D8441" t="s">
        <v>3541</v>
      </c>
      <c r="E8441">
        <f t="shared" si="63"/>
        <v>-446.7</v>
      </c>
      <c r="F8441" s="2" t="str">
        <f>IF(Table2[[#This Row],[Manual Cat Value]]="",VLOOKUP(Table2[[#This Row],[Description]],'Actuals Lookup'!D:F,3,0),Table2[[#This Row],[Manual Cat Value]])</f>
        <v>Delete</v>
      </c>
      <c r="G8441" t="e">
        <f>VLOOKUP(D8441,Lookup!G:H,2,0)</f>
        <v>#N/A</v>
      </c>
      <c r="H8441" s="8" t="s">
        <v>9</v>
      </c>
      <c r="I8441" s="8"/>
      <c r="J8441">
        <v>446.7</v>
      </c>
      <c r="M8441" t="s">
        <v>2621</v>
      </c>
      <c r="O8441" t="str">
        <f>LEFT(Table2[[#This Row],[Description]],75)</f>
        <v>AMERICAN AI 0012337602988800-433-7300 TX REF #7471705PNTDJRNP8H</v>
      </c>
    </row>
    <row r="8442" spans="1:15" hidden="1">
      <c r="A8442" s="25">
        <f>VALUE(YEAR(Table2[[#This Row],[Date]])&amp;TEXT(MONTH(Table2[[#This Row],[Date]]),"00"))</f>
        <v>202212</v>
      </c>
      <c r="B8442" s="6">
        <v>44920</v>
      </c>
      <c r="C8442" t="s">
        <v>2262</v>
      </c>
      <c r="D8442" t="s">
        <v>3542</v>
      </c>
      <c r="E8442">
        <f t="shared" si="63"/>
        <v>27.55</v>
      </c>
      <c r="F8442" s="2" t="str">
        <f>IF(Table2[[#This Row],[Manual Cat Value]]="",VLOOKUP(Table2[[#This Row],[Description]],'Actuals Lookup'!D:F,3,0),Table2[[#This Row],[Manual Cat Value]])</f>
        <v>Exp - Groceries</v>
      </c>
      <c r="G8442" t="e">
        <f>VLOOKUP(D8442,Lookup!G:H,2,0)</f>
        <v>#N/A</v>
      </c>
      <c r="H8442" s="8" t="s">
        <v>27</v>
      </c>
      <c r="I8442" s="8"/>
      <c r="J8442">
        <v>27.55</v>
      </c>
      <c r="M8442" t="s">
        <v>2513</v>
      </c>
      <c r="O8442" t="str">
        <f>LEFT(Table2[[#This Row],[Description]],75)</f>
        <v>CUB FOODS 01644 952-934-1010 MN REF #2423168PN2DERB3MT</v>
      </c>
    </row>
    <row r="8443" spans="1:15" hidden="1">
      <c r="A8443" s="25">
        <f>VALUE(YEAR(Table2[[#This Row],[Date]])&amp;TEXT(MONTH(Table2[[#This Row],[Date]]),"00"))</f>
        <v>202212</v>
      </c>
      <c r="B8443" s="6">
        <v>44920</v>
      </c>
      <c r="C8443" t="s">
        <v>2262</v>
      </c>
      <c r="D8443" t="s">
        <v>3543</v>
      </c>
      <c r="E8443">
        <f t="shared" si="63"/>
        <v>47.11</v>
      </c>
      <c r="F8443" s="2" t="str">
        <f>IF(Table2[[#This Row],[Manual Cat Value]]="",VLOOKUP(Table2[[#This Row],[Description]],'Actuals Lookup'!D:F,3,0),Table2[[#This Row],[Manual Cat Value]])</f>
        <v>Exp - Restaurants</v>
      </c>
      <c r="G8443" t="e">
        <f>VLOOKUP(D8443,Lookup!G:H,2,0)</f>
        <v>#N/A</v>
      </c>
      <c r="H8443" s="8" t="s">
        <v>25</v>
      </c>
      <c r="I8443" s="8"/>
      <c r="J8443">
        <v>47.11</v>
      </c>
      <c r="M8443" t="s">
        <v>2513</v>
      </c>
      <c r="O8443" t="str">
        <f>LEFT(Table2[[#This Row],[Description]],75)</f>
        <v>CUB FOODS 01644 CUB.COM MN REF #2423168PN2D9PH1AA</v>
      </c>
    </row>
    <row r="8444" spans="1:15" hidden="1">
      <c r="A8444" s="25">
        <f>VALUE(YEAR(Table2[[#This Row],[Date]])&amp;TEXT(MONTH(Table2[[#This Row],[Date]]),"00"))</f>
        <v>202212</v>
      </c>
      <c r="B8444" s="6">
        <v>44920</v>
      </c>
      <c r="C8444" t="s">
        <v>2262</v>
      </c>
      <c r="D8444" t="s">
        <v>3544</v>
      </c>
      <c r="E8444">
        <f t="shared" si="63"/>
        <v>8</v>
      </c>
      <c r="F8444" s="2" t="str">
        <f>IF(Table2[[#This Row],[Manual Cat Value]]="",VLOOKUP(Table2[[#This Row],[Description]],'Actuals Lookup'!D:F,3,0),Table2[[#This Row],[Manual Cat Value]])</f>
        <v>Exp - Utilities</v>
      </c>
      <c r="G8444" t="e">
        <f>VLOOKUP(D8444,Lookup!G:H,2,0)</f>
        <v>#N/A</v>
      </c>
      <c r="H8444" s="8" t="s">
        <v>6</v>
      </c>
      <c r="I8444" s="8"/>
      <c r="J8444">
        <v>8</v>
      </c>
      <c r="M8444" t="s">
        <v>2513</v>
      </c>
      <c r="O8444" t="str">
        <f>LEFT(Table2[[#This Row],[Description]],75)</f>
        <v>D J*WALL-ST-JOURNAL 800-568-7625 MA REF #2469216PN342FNSVX</v>
      </c>
    </row>
    <row r="8445" spans="1:15" hidden="1">
      <c r="A8445" s="25">
        <f>VALUE(YEAR(Table2[[#This Row],[Date]])&amp;TEXT(MONTH(Table2[[#This Row],[Date]]),"00"))</f>
        <v>202212</v>
      </c>
      <c r="B8445" s="6">
        <v>44920</v>
      </c>
      <c r="C8445" t="s">
        <v>2262</v>
      </c>
      <c r="D8445" t="s">
        <v>3545</v>
      </c>
      <c r="E8445">
        <f t="shared" si="63"/>
        <v>5.6</v>
      </c>
      <c r="F8445" s="2" t="str">
        <f>IF(Table2[[#This Row],[Manual Cat Value]]="",VLOOKUP(Table2[[#This Row],[Description]],'Actuals Lookup'!D:F,3,0),Table2[[#This Row],[Manual Cat Value]])</f>
        <v>Exp - Travel</v>
      </c>
      <c r="G8445" t="e">
        <f>VLOOKUP(D8445,Lookup!G:H,2,0)</f>
        <v>#N/A</v>
      </c>
      <c r="H8445" s="8" t="s">
        <v>52</v>
      </c>
      <c r="I8445" s="8"/>
      <c r="J8445">
        <v>5.6</v>
      </c>
      <c r="M8445" t="s">
        <v>2513</v>
      </c>
      <c r="O8445" t="str">
        <f>LEFT(Table2[[#This Row],[Description]],75)</f>
        <v>DELTA AIR 0062167901070CINCINNATI OH REF #2471705PNTDJR07BT</v>
      </c>
    </row>
    <row r="8446" spans="1:15" hidden="1">
      <c r="A8446" s="25">
        <f>VALUE(YEAR(Table2[[#This Row],[Date]])&amp;TEXT(MONTH(Table2[[#This Row],[Date]]),"00"))</f>
        <v>202212</v>
      </c>
      <c r="B8446" s="6">
        <v>44920</v>
      </c>
      <c r="C8446" t="s">
        <v>2262</v>
      </c>
      <c r="D8446" t="s">
        <v>3546</v>
      </c>
      <c r="E8446">
        <f t="shared" si="63"/>
        <v>5.6</v>
      </c>
      <c r="F8446" s="2" t="str">
        <f>IF(Table2[[#This Row],[Manual Cat Value]]="",VLOOKUP(Table2[[#This Row],[Description]],'Actuals Lookup'!D:F,3,0),Table2[[#This Row],[Manual Cat Value]])</f>
        <v>Exp - Travel</v>
      </c>
      <c r="G8446" t="e">
        <f>VLOOKUP(D8446,Lookup!G:H,2,0)</f>
        <v>#N/A</v>
      </c>
      <c r="H8446" s="8" t="s">
        <v>52</v>
      </c>
      <c r="I8446" s="8"/>
      <c r="J8446">
        <v>5.6</v>
      </c>
      <c r="M8446" t="s">
        <v>2513</v>
      </c>
      <c r="O8446" t="str">
        <f>LEFT(Table2[[#This Row],[Description]],75)</f>
        <v>DELTA AIR 0062167901071CINCINNATI OH REF #2471705PNTDJR07Q1</v>
      </c>
    </row>
    <row r="8447" spans="1:15" hidden="1">
      <c r="A8447" s="25">
        <f>VALUE(YEAR(Table2[[#This Row],[Date]])&amp;TEXT(MONTH(Table2[[#This Row],[Date]]),"00"))</f>
        <v>202212</v>
      </c>
      <c r="B8447" s="6">
        <v>44920</v>
      </c>
      <c r="C8447" t="s">
        <v>2262</v>
      </c>
      <c r="D8447" t="s">
        <v>3547</v>
      </c>
      <c r="E8447">
        <f t="shared" si="63"/>
        <v>22.94</v>
      </c>
      <c r="F8447" s="2" t="str">
        <f>IF(Table2[[#This Row],[Manual Cat Value]]="",VLOOKUP(Table2[[#This Row],[Description]],'Actuals Lookup'!D:F,3,0),Table2[[#This Row],[Manual Cat Value]])</f>
        <v>Exp - Restaurants</v>
      </c>
      <c r="G8447" t="e">
        <f>VLOOKUP(D8447,Lookup!G:H,2,0)</f>
        <v>#N/A</v>
      </c>
      <c r="H8447" s="8" t="s">
        <v>25</v>
      </c>
      <c r="I8447" s="8"/>
      <c r="J8447">
        <v>22.94</v>
      </c>
      <c r="M8447" t="s">
        <v>2513</v>
      </c>
      <c r="O8447" t="str">
        <f>LEFT(Table2[[#This Row],[Description]],75)</f>
        <v>LIONS TAP EDEN PRAIRIE MN REF #2426979PM8PYP3DKV</v>
      </c>
    </row>
    <row r="8448" spans="1:15" ht="30" hidden="1">
      <c r="A8448" s="25">
        <f>VALUE(YEAR(Table2[[#This Row],[Date]])&amp;TEXT(MONTH(Table2[[#This Row],[Date]]),"00"))</f>
        <v>202212</v>
      </c>
      <c r="B8448" s="6">
        <v>44920</v>
      </c>
      <c r="C8448" t="s">
        <v>2447</v>
      </c>
      <c r="D8448" s="7" t="s">
        <v>3548</v>
      </c>
      <c r="E8448">
        <f t="shared" si="63"/>
        <v>10.73</v>
      </c>
      <c r="F8448" s="2" t="str">
        <f>IF(Table2[[#This Row],[Manual Cat Value]]="",VLOOKUP(Table2[[#This Row],[Description]],'Actuals Lookup'!D:F,3,0),Table2[[#This Row],[Manual Cat Value]])</f>
        <v>Exp - Entertainment</v>
      </c>
      <c r="G8448" t="e">
        <f>VLOOKUP(D8448,Lookup!G:H,2,0)</f>
        <v>#N/A</v>
      </c>
      <c r="H8448" s="78" t="s">
        <v>39</v>
      </c>
      <c r="I8448" s="78"/>
      <c r="J8448">
        <v>10.73</v>
      </c>
      <c r="M8448" t="s">
        <v>2513</v>
      </c>
      <c r="O8448" t="str">
        <f>LEFT(Table2[[#This Row],[Description]],75)</f>
        <v>PRIME VIDEO *HO8FV1QR0 888-802-3080 WA
696YKU1S2YK</v>
      </c>
    </row>
    <row r="8449" spans="1:15" hidden="1">
      <c r="A8449" s="25">
        <f>VALUE(YEAR(Table2[[#This Row],[Date]])&amp;TEXT(MONTH(Table2[[#This Row],[Date]]),"00"))</f>
        <v>202212</v>
      </c>
      <c r="B8449" s="6">
        <v>44920</v>
      </c>
      <c r="C8449" t="s">
        <v>2262</v>
      </c>
      <c r="D8449" t="s">
        <v>3549</v>
      </c>
      <c r="E8449">
        <f t="shared" si="63"/>
        <v>112.29</v>
      </c>
      <c r="F8449" s="2" t="str">
        <f>IF(Table2[[#This Row],[Manual Cat Value]]="",VLOOKUP(Table2[[#This Row],[Description]],'Actuals Lookup'!D:F,3,0),Table2[[#This Row],[Manual Cat Value]])</f>
        <v>Exp - Groceries</v>
      </c>
      <c r="G8449" t="e">
        <f>VLOOKUP(D8449,Lookup!G:H,2,0)</f>
        <v>#N/A</v>
      </c>
      <c r="H8449" s="8" t="s">
        <v>27</v>
      </c>
      <c r="I8449" s="8" t="s">
        <v>3550</v>
      </c>
      <c r="J8449">
        <v>112.29</v>
      </c>
      <c r="M8449" t="s">
        <v>2513</v>
      </c>
      <c r="O8449" t="str">
        <f>LEFT(Table2[[#This Row],[Description]],75)</f>
        <v>TW&amp;M 1606 DIGITAL https://www.fMN REF #2411641PNBMDFB37Q</v>
      </c>
    </row>
    <row r="8450" spans="1:15" hidden="1">
      <c r="A8450" s="25">
        <f>VALUE(YEAR(Table2[[#This Row],[Date]])&amp;TEXT(MONTH(Table2[[#This Row],[Date]]),"00"))</f>
        <v>202212</v>
      </c>
      <c r="B8450" s="6">
        <v>44921</v>
      </c>
      <c r="C8450" t="s">
        <v>2262</v>
      </c>
      <c r="D8450" t="s">
        <v>3551</v>
      </c>
      <c r="E8450">
        <f t="shared" si="63"/>
        <v>71.98</v>
      </c>
      <c r="F8450" s="2" t="str">
        <f>IF(Table2[[#This Row],[Manual Cat Value]]="",VLOOKUP(Table2[[#This Row],[Description]],'Actuals Lookup'!D:F,3,0),Table2[[#This Row],[Manual Cat Value]])</f>
        <v>Exp - Shopping</v>
      </c>
      <c r="G8450" t="e">
        <f>VLOOKUP(D8450,Lookup!G:H,2,0)</f>
        <v>#N/A</v>
      </c>
      <c r="H8450" s="8" t="s">
        <v>36</v>
      </c>
      <c r="I8450" s="8"/>
      <c r="J8450">
        <v>71.98</v>
      </c>
      <c r="M8450" t="s">
        <v>2513</v>
      </c>
      <c r="O8450" t="str">
        <f>LEFT(Table2[[#This Row],[Description]],75)</f>
        <v>Evereve 877-2906262 MN REF #2490641PP4RQHH1SZ</v>
      </c>
    </row>
    <row r="8451" spans="1:15" hidden="1">
      <c r="A8451" s="25">
        <f>VALUE(YEAR(Table2[[#This Row],[Date]])&amp;TEXT(MONTH(Table2[[#This Row],[Date]]),"00"))</f>
        <v>202212</v>
      </c>
      <c r="B8451" s="6">
        <v>44921</v>
      </c>
      <c r="C8451" t="s">
        <v>2262</v>
      </c>
      <c r="D8451" t="s">
        <v>3552</v>
      </c>
      <c r="E8451">
        <f t="shared" si="63"/>
        <v>33.85</v>
      </c>
      <c r="F8451" s="2" t="str">
        <f>IF(Table2[[#This Row],[Manual Cat Value]]="",VLOOKUP(Table2[[#This Row],[Description]],'Actuals Lookup'!D:F,3,0),Table2[[#This Row],[Manual Cat Value]])</f>
        <v>Exp - Transportation</v>
      </c>
      <c r="G8451" t="e">
        <f>VLOOKUP(D8451,Lookup!G:H,2,0)</f>
        <v>#N/A</v>
      </c>
      <c r="H8451" s="78" t="s">
        <v>22</v>
      </c>
      <c r="I8451" s="8"/>
      <c r="J8451">
        <v>33.85</v>
      </c>
      <c r="M8451" t="s">
        <v>2513</v>
      </c>
      <c r="O8451" t="str">
        <f>LEFT(Table2[[#This Row],[Description]],75)</f>
        <v>KWIK TRIP 88600008862 CHASKA MN REF #2416407PPL3HJES90</v>
      </c>
    </row>
    <row r="8452" spans="1:15" hidden="1">
      <c r="A8452" s="25">
        <f>VALUE(YEAR(Table2[[#This Row],[Date]])&amp;TEXT(MONTH(Table2[[#This Row],[Date]]),"00"))</f>
        <v>202212</v>
      </c>
      <c r="B8452" s="6">
        <v>44921</v>
      </c>
      <c r="C8452" t="s">
        <v>2262</v>
      </c>
      <c r="D8452" t="s">
        <v>3553</v>
      </c>
      <c r="E8452">
        <f t="shared" si="63"/>
        <v>56.94</v>
      </c>
      <c r="F8452" s="2" t="str">
        <f>IF(Table2[[#This Row],[Manual Cat Value]]="",VLOOKUP(Table2[[#This Row],[Description]],'Actuals Lookup'!D:F,3,0),Table2[[#This Row],[Manual Cat Value]])</f>
        <v>Exp - Shopping</v>
      </c>
      <c r="G8452" t="e">
        <f>VLOOKUP(D8452,Lookup!G:H,2,0)</f>
        <v>#N/A</v>
      </c>
      <c r="H8452" s="8" t="s">
        <v>36</v>
      </c>
      <c r="I8452" s="8"/>
      <c r="J8452">
        <v>56.94</v>
      </c>
      <c r="M8452" t="s">
        <v>2513</v>
      </c>
      <c r="O8452" t="str">
        <f>LEFT(Table2[[#This Row],[Description]],75)</f>
        <v>SAKS 212-320-4700 NY REF #2469216PP34ED0M1T</v>
      </c>
    </row>
    <row r="8453" spans="1:15" ht="30" hidden="1">
      <c r="A8453" s="25">
        <f>VALUE(YEAR(Table2[[#This Row],[Date]])&amp;TEXT(MONTH(Table2[[#This Row],[Date]]),"00"))</f>
        <v>202212</v>
      </c>
      <c r="B8453" s="6">
        <v>44922</v>
      </c>
      <c r="C8453" t="s">
        <v>2447</v>
      </c>
      <c r="D8453" s="7" t="s">
        <v>3554</v>
      </c>
      <c r="E8453">
        <f t="shared" si="63"/>
        <v>12.14</v>
      </c>
      <c r="F8453" s="2" t="str">
        <f>IF(Table2[[#This Row],[Manual Cat Value]]="",VLOOKUP(Table2[[#This Row],[Description]],'Actuals Lookup'!D:F,3,0),Table2[[#This Row],[Manual Cat Value]])</f>
        <v>Exp - Amazon</v>
      </c>
      <c r="G8453" t="e">
        <f>VLOOKUP(D8453,Lookup!G:H,2,0)</f>
        <v>#N/A</v>
      </c>
      <c r="H8453" s="78" t="s">
        <v>37</v>
      </c>
      <c r="I8453" s="78"/>
      <c r="J8453">
        <v>12.14</v>
      </c>
      <c r="M8453" t="s">
        <v>2513</v>
      </c>
      <c r="O8453" t="str">
        <f>LEFT(Table2[[#This Row],[Description]],75)</f>
        <v>AMAZON.COM*J58V94W23 AMZN.COM/BILLWA
7442TB4P6SE</v>
      </c>
    </row>
    <row r="8454" spans="1:15" ht="30" hidden="1">
      <c r="A8454" s="25">
        <f>VALUE(YEAR(Table2[[#This Row],[Date]])&amp;TEXT(MONTH(Table2[[#This Row],[Date]]),"00"))</f>
        <v>202212</v>
      </c>
      <c r="B8454" s="6">
        <v>44922</v>
      </c>
      <c r="C8454" t="s">
        <v>2447</v>
      </c>
      <c r="D8454" s="7" t="s">
        <v>3555</v>
      </c>
      <c r="E8454">
        <f t="shared" si="63"/>
        <v>16.100000000000001</v>
      </c>
      <c r="F8454" s="2" t="str">
        <f>IF(Table2[[#This Row],[Manual Cat Value]]="",VLOOKUP(Table2[[#This Row],[Description]],'Actuals Lookup'!D:F,3,0),Table2[[#This Row],[Manual Cat Value]])</f>
        <v>Exp - Amazon</v>
      </c>
      <c r="G8454" t="e">
        <f>VLOOKUP(D8454,Lookup!G:H,2,0)</f>
        <v>#N/A</v>
      </c>
      <c r="H8454" s="78" t="s">
        <v>37</v>
      </c>
      <c r="I8454" s="78"/>
      <c r="J8454">
        <v>16.100000000000001</v>
      </c>
      <c r="M8454" t="s">
        <v>2513</v>
      </c>
      <c r="O8454" t="str">
        <f>LEFT(Table2[[#This Row],[Description]],75)</f>
        <v>AMZN MKTP US*F39X675O3 AMZN.COM/BILLWA
7IHOGZ8NNJ7</v>
      </c>
    </row>
    <row r="8455" spans="1:15" hidden="1">
      <c r="A8455" s="25">
        <f>VALUE(YEAR(Table2[[#This Row],[Date]])&amp;TEXT(MONTH(Table2[[#This Row],[Date]]),"00"))</f>
        <v>202212</v>
      </c>
      <c r="B8455" s="6">
        <v>44922</v>
      </c>
      <c r="C8455" t="s">
        <v>2262</v>
      </c>
      <c r="D8455" t="s">
        <v>3556</v>
      </c>
      <c r="E8455">
        <f t="shared" si="63"/>
        <v>25.99</v>
      </c>
      <c r="F8455" s="2" t="str">
        <f>IF(Table2[[#This Row],[Manual Cat Value]]="",VLOOKUP(Table2[[#This Row],[Description]],'Actuals Lookup'!D:F,3,0),Table2[[#This Row],[Manual Cat Value]])</f>
        <v>Exp - Amazon</v>
      </c>
      <c r="G8455" t="e">
        <f>VLOOKUP(D8455,Lookup!G:H,2,0)</f>
        <v>#N/A</v>
      </c>
      <c r="H8455" s="8" t="s">
        <v>37</v>
      </c>
      <c r="I8455" s="8"/>
      <c r="J8455">
        <v>25.99</v>
      </c>
      <c r="M8455" t="s">
        <v>2513</v>
      </c>
      <c r="O8455" t="str">
        <f>LEFT(Table2[[#This Row],[Description]],75)</f>
        <v>AMZN Mktp US*LK3UX1DU3 Amzn.com/billWA REF #2469216PR34XN619V</v>
      </c>
    </row>
    <row r="8456" spans="1:15" hidden="1">
      <c r="A8456" s="25">
        <f>VALUE(YEAR(Table2[[#This Row],[Date]])&amp;TEXT(MONTH(Table2[[#This Row],[Date]]),"00"))</f>
        <v>202212</v>
      </c>
      <c r="B8456" s="6">
        <v>44922</v>
      </c>
      <c r="C8456" t="s">
        <v>2265</v>
      </c>
      <c r="D8456" t="s">
        <v>3557</v>
      </c>
      <c r="E8456">
        <f t="shared" si="63"/>
        <v>765.37</v>
      </c>
      <c r="F8456" s="2" t="str">
        <f>IF(Table2[[#This Row],[Manual Cat Value]]="",VLOOKUP(Table2[[#This Row],[Description]],'Actuals Lookup'!D:F,3,0),Table2[[#This Row],[Manual Cat Value]])</f>
        <v>Exp - Target</v>
      </c>
      <c r="G8456" t="e">
        <f>VLOOKUP(D8456,Lookup!G:H,2,0)</f>
        <v>#N/A</v>
      </c>
      <c r="H8456" s="8" t="s">
        <v>30</v>
      </c>
      <c r="I8456" s="8"/>
      <c r="J8456">
        <v>765.37</v>
      </c>
      <c r="M8456" t="s">
        <v>2513</v>
      </c>
      <c r="O8456" t="str">
        <f>LEFT(Table2[[#This Row],[Description]],75)</f>
        <v>Withdrawal ACH TARGET CARD SRVC TYPE: AUTO PYMT ID: 1411721813 CO: TARGET C</v>
      </c>
    </row>
    <row r="8457" spans="1:15" hidden="1">
      <c r="A8457" s="25">
        <f>VALUE(YEAR(Table2[[#This Row],[Date]])&amp;TEXT(MONTH(Table2[[#This Row],[Date]]),"00"))</f>
        <v>202212</v>
      </c>
      <c r="B8457" s="6">
        <v>44922</v>
      </c>
      <c r="C8457" t="s">
        <v>2265</v>
      </c>
      <c r="D8457" t="s">
        <v>2640</v>
      </c>
      <c r="E8457">
        <f t="shared" ref="E8457:E8488" si="64">IF(M8457="credit",-1*J8457,J8457)</f>
        <v>2256.23</v>
      </c>
      <c r="F8457" s="2" t="str">
        <f>IF(Table2[[#This Row],[Manual Cat Value]]="",VLOOKUP(Table2[[#This Row],[Description]],'Actuals Lookup'!D:F,3,0),Table2[[#This Row],[Manual Cat Value]])</f>
        <v>Delete</v>
      </c>
      <c r="G8457" t="e">
        <f>VLOOKUP(D8457,Lookup!G:H,2,0)</f>
        <v>#N/A</v>
      </c>
      <c r="H8457" s="8" t="s">
        <v>9</v>
      </c>
      <c r="I8457" s="8"/>
      <c r="J8457">
        <v>2256.23</v>
      </c>
      <c r="M8457" t="s">
        <v>2513</v>
      </c>
      <c r="O8457" t="str">
        <f>LEFT(Table2[[#This Row],[Description]],75)</f>
        <v>Withdrawal Home Banking Pmt to card XXXXXXXXXXXX-9181</v>
      </c>
    </row>
    <row r="8458" spans="1:15" hidden="1">
      <c r="A8458" s="25">
        <f>VALUE(YEAR(Table2[[#This Row],[Date]])&amp;TEXT(MONTH(Table2[[#This Row],[Date]]),"00"))</f>
        <v>202212</v>
      </c>
      <c r="B8458" s="6">
        <v>44922</v>
      </c>
      <c r="C8458" t="s">
        <v>2262</v>
      </c>
      <c r="D8458" t="s">
        <v>3558</v>
      </c>
      <c r="E8458">
        <f t="shared" si="64"/>
        <v>-2256.23</v>
      </c>
      <c r="F8458" s="2" t="str">
        <f>IF(Table2[[#This Row],[Manual Cat Value]]="",VLOOKUP(Table2[[#This Row],[Description]],'Actuals Lookup'!D:F,3,0),Table2[[#This Row],[Manual Cat Value]])</f>
        <v>Delete</v>
      </c>
      <c r="G8458" t="e">
        <f>VLOOKUP(D8458,Lookup!G:H,2,0)</f>
        <v>#N/A</v>
      </c>
      <c r="H8458" s="8" t="s">
        <v>9</v>
      </c>
      <c r="I8458" s="8"/>
      <c r="J8458">
        <v>2256.23</v>
      </c>
      <c r="M8458" t="s">
        <v>2621</v>
      </c>
      <c r="O8458" t="str">
        <f>LEFT(Table2[[#This Row],[Description]],75)</f>
        <v>PAYMENT - THANK YOU REF #7473457PS00XTMJG6</v>
      </c>
    </row>
    <row r="8459" spans="1:15" hidden="1">
      <c r="A8459" s="25">
        <f>VALUE(YEAR(Table2[[#This Row],[Date]])&amp;TEXT(MONTH(Table2[[#This Row],[Date]]),"00"))</f>
        <v>202212</v>
      </c>
      <c r="B8459" s="6">
        <v>44923</v>
      </c>
      <c r="C8459" t="s">
        <v>2262</v>
      </c>
      <c r="D8459" t="s">
        <v>3559</v>
      </c>
      <c r="E8459">
        <f t="shared" si="64"/>
        <v>39.28</v>
      </c>
      <c r="F8459" s="2" t="str">
        <f>IF(Table2[[#This Row],[Manual Cat Value]]="",VLOOKUP(Table2[[#This Row],[Description]],'Actuals Lookup'!D:F,3,0),Table2[[#This Row],[Manual Cat Value]])</f>
        <v>Exp - Restaurants</v>
      </c>
      <c r="G8459" t="e">
        <f>VLOOKUP(D8459,Lookup!G:H,2,0)</f>
        <v>#N/A</v>
      </c>
      <c r="H8459" s="8" t="s">
        <v>25</v>
      </c>
      <c r="I8459" s="8"/>
      <c r="J8459">
        <v>39.28</v>
      </c>
      <c r="M8459" t="s">
        <v>2513</v>
      </c>
      <c r="O8459" t="str">
        <f>LEFT(Table2[[#This Row],[Description]],75)</f>
        <v>JERSEY MIKES ONLINE ORDE 732-223-4044 NJ REF #2473309PT2E026H4Z</v>
      </c>
    </row>
    <row r="8460" spans="1:15" hidden="1">
      <c r="A8460" s="25">
        <f>VALUE(YEAR(Table2[[#This Row],[Date]])&amp;TEXT(MONTH(Table2[[#This Row],[Date]]),"00"))</f>
        <v>202212</v>
      </c>
      <c r="B8460" s="6">
        <v>44923</v>
      </c>
      <c r="C8460" t="s">
        <v>2447</v>
      </c>
      <c r="D8460" t="s">
        <v>2942</v>
      </c>
      <c r="E8460">
        <f t="shared" si="64"/>
        <v>24.62</v>
      </c>
      <c r="F8460" s="2" t="str">
        <f>IF(Table2[[#This Row],[Manual Cat Value]]="",VLOOKUP(Table2[[#This Row],[Description]],'Actuals Lookup'!D:F,3,0),Table2[[#This Row],[Manual Cat Value]])</f>
        <v>Exp - Restaurants</v>
      </c>
      <c r="G8460" t="e">
        <f>VLOOKUP(D8460,Lookup!G:H,2,0)</f>
        <v>#N/A</v>
      </c>
      <c r="H8460" s="8" t="s">
        <v>25</v>
      </c>
      <c r="I8460" s="8"/>
      <c r="J8460">
        <v>24.62</v>
      </c>
      <c r="M8460" t="s">
        <v>2513</v>
      </c>
      <c r="O8460" t="str">
        <f>LEFT(Table2[[#This Row],[Description]],75)</f>
        <v>PAPA MURPHY'S MN035 OLO 952-294-4646 MN</v>
      </c>
    </row>
    <row r="8461" spans="1:15" hidden="1">
      <c r="A8461" s="25">
        <f>VALUE(YEAR(Table2[[#This Row],[Date]])&amp;TEXT(MONTH(Table2[[#This Row],[Date]]),"00"))</f>
        <v>202212</v>
      </c>
      <c r="B8461" s="6">
        <v>44923</v>
      </c>
      <c r="C8461" t="s">
        <v>2265</v>
      </c>
      <c r="D8461" t="s">
        <v>3560</v>
      </c>
      <c r="E8461">
        <f t="shared" si="64"/>
        <v>315</v>
      </c>
      <c r="F8461" s="2" t="str">
        <f>IF(Table2[[#This Row],[Manual Cat Value]]="",VLOOKUP(Table2[[#This Row],[Description]],'Actuals Lookup'!D:F,3,0),Table2[[#This Row],[Manual Cat Value]])</f>
        <v>Exp - Day Care</v>
      </c>
      <c r="G8461" t="e">
        <f>VLOOKUP(D8461,Lookup!G:H,2,0)</f>
        <v>#N/A</v>
      </c>
      <c r="H8461" s="8" t="s">
        <v>19</v>
      </c>
      <c r="I8461" s="8"/>
      <c r="J8461">
        <v>315</v>
      </c>
      <c r="M8461" t="s">
        <v>2513</v>
      </c>
      <c r="O8461" t="str">
        <f>LEFT(Table2[[#This Row],[Description]],75)</f>
        <v xml:space="preserve">Withdrawal ACH MHCHILDCARELLC TYPE: DUES ID: 1824708198 CO: MHCHILDCARELLC </v>
      </c>
    </row>
    <row r="8462" spans="1:15" hidden="1">
      <c r="A8462" s="25">
        <f>VALUE(YEAR(Table2[[#This Row],[Date]])&amp;TEXT(MONTH(Table2[[#This Row],[Date]]),"00"))</f>
        <v>202212</v>
      </c>
      <c r="B8462" s="6">
        <v>44923</v>
      </c>
      <c r="C8462" t="s">
        <v>2265</v>
      </c>
      <c r="D8462" t="s">
        <v>3561</v>
      </c>
      <c r="E8462">
        <f t="shared" si="64"/>
        <v>0.99</v>
      </c>
      <c r="F8462" s="2" t="str">
        <f>IF(Table2[[#This Row],[Manual Cat Value]]="",VLOOKUP(Table2[[#This Row],[Description]],'Actuals Lookup'!D:F,3,0),Table2[[#This Row],[Manual Cat Value]])</f>
        <v>Exp - Shopping</v>
      </c>
      <c r="G8462" t="e">
        <f>VLOOKUP(D8462,Lookup!G:H,2,0)</f>
        <v>#N/A</v>
      </c>
      <c r="H8462" s="8" t="s">
        <v>36</v>
      </c>
      <c r="I8462" s="8"/>
      <c r="J8462">
        <v>0.99</v>
      </c>
      <c r="M8462" t="s">
        <v>2513</v>
      </c>
      <c r="O8462" t="str">
        <f>LEFT(Table2[[#This Row],[Description]],75)</f>
        <v xml:space="preserve">Withdrawal ACH PAYPAL TYPE: INST XFER ID: PAYPALSI77 CO: PAYPAL NAME: JEFF </v>
      </c>
    </row>
    <row r="8463" spans="1:15" hidden="1">
      <c r="A8463" s="25">
        <f>VALUE(YEAR(Table2[[#This Row],[Date]])&amp;TEXT(MONTH(Table2[[#This Row],[Date]]),"00"))</f>
        <v>202212</v>
      </c>
      <c r="B8463" s="6">
        <v>44923</v>
      </c>
      <c r="C8463" t="s">
        <v>2265</v>
      </c>
      <c r="D8463" t="s">
        <v>3562</v>
      </c>
      <c r="E8463">
        <f t="shared" si="64"/>
        <v>111.81</v>
      </c>
      <c r="F8463" s="2" t="str">
        <f>IF(Table2[[#This Row],[Manual Cat Value]]="",VLOOKUP(Table2[[#This Row],[Description]],'Actuals Lookup'!D:F,3,0),Table2[[#This Row],[Manual Cat Value]])</f>
        <v>Exp - Shopping</v>
      </c>
      <c r="G8463" t="e">
        <f>VLOOKUP(D8463,Lookup!G:H,2,0)</f>
        <v>#N/A</v>
      </c>
      <c r="H8463" s="8" t="s">
        <v>36</v>
      </c>
      <c r="I8463" s="8"/>
      <c r="J8463">
        <v>111.81</v>
      </c>
      <c r="M8463" t="s">
        <v>2513</v>
      </c>
      <c r="O8463" t="str">
        <f>LEFT(Table2[[#This Row],[Description]],75)</f>
        <v>Withdrawal ACH VENMO TYPE: PAYMENT ID: 326XXXXXXX CO: VENMO NAME: BRITNEY T</v>
      </c>
    </row>
    <row r="8464" spans="1:15" hidden="1">
      <c r="A8464" s="25">
        <f>VALUE(YEAR(Table2[[#This Row],[Date]])&amp;TEXT(MONTH(Table2[[#This Row],[Date]]),"00"))</f>
        <v>202212</v>
      </c>
      <c r="B8464" s="6">
        <v>44924</v>
      </c>
      <c r="C8464" t="s">
        <v>2262</v>
      </c>
      <c r="D8464" t="s">
        <v>3563</v>
      </c>
      <c r="E8464">
        <f t="shared" si="64"/>
        <v>21.99</v>
      </c>
      <c r="F8464" s="2" t="str">
        <f>IF(Table2[[#This Row],[Manual Cat Value]]="",VLOOKUP(Table2[[#This Row],[Description]],'Actuals Lookup'!D:F,3,0),Table2[[#This Row],[Manual Cat Value]])</f>
        <v>Exp - Amazon</v>
      </c>
      <c r="G8464" t="e">
        <f>VLOOKUP(D8464,Lookup!G:H,2,0)</f>
        <v>#N/A</v>
      </c>
      <c r="H8464" s="8" t="s">
        <v>37</v>
      </c>
      <c r="I8464" s="8"/>
      <c r="J8464">
        <v>21.99</v>
      </c>
      <c r="M8464" t="s">
        <v>2513</v>
      </c>
      <c r="O8464" t="str">
        <f>LEFT(Table2[[#This Row],[Description]],75)</f>
        <v>AMZN Mktp US*N980R3OU3 Amzn.com/billWA REF #2469216PS2X5QM659</v>
      </c>
    </row>
    <row r="8465" spans="1:15" hidden="1">
      <c r="A8465" s="25">
        <f>VALUE(YEAR(Table2[[#This Row],[Date]])&amp;TEXT(MONTH(Table2[[#This Row],[Date]]),"00"))</f>
        <v>202212</v>
      </c>
      <c r="B8465" s="6">
        <v>44924</v>
      </c>
      <c r="C8465" t="s">
        <v>2262</v>
      </c>
      <c r="D8465" t="s">
        <v>3564</v>
      </c>
      <c r="E8465">
        <f t="shared" si="64"/>
        <v>94.12</v>
      </c>
      <c r="F8465" s="2" t="str">
        <f>IF(Table2[[#This Row],[Manual Cat Value]]="",VLOOKUP(Table2[[#This Row],[Description]],'Actuals Lookup'!D:F,3,0),Table2[[#This Row],[Manual Cat Value]])</f>
        <v>Exp - Amazon</v>
      </c>
      <c r="G8465" t="e">
        <f>VLOOKUP(D8465,Lookup!G:H,2,0)</f>
        <v>#N/A</v>
      </c>
      <c r="H8465" s="8" t="s">
        <v>37</v>
      </c>
      <c r="I8465" s="8"/>
      <c r="J8465">
        <v>94.12</v>
      </c>
      <c r="M8465" t="s">
        <v>2513</v>
      </c>
      <c r="O8465" t="str">
        <f>LEFT(Table2[[#This Row],[Description]],75)</f>
        <v>AMZN Mktp US*XO0CO0XD3 Amzn.com/billWA REF #2469216PS2X55AK03</v>
      </c>
    </row>
    <row r="8466" spans="1:15" hidden="1">
      <c r="A8466" s="25">
        <f>VALUE(YEAR(Table2[[#This Row],[Date]])&amp;TEXT(MONTH(Table2[[#This Row],[Date]]),"00"))</f>
        <v>202212</v>
      </c>
      <c r="B8466" s="6">
        <v>44924</v>
      </c>
      <c r="C8466" t="s">
        <v>2262</v>
      </c>
      <c r="D8466" t="s">
        <v>3565</v>
      </c>
      <c r="E8466">
        <f t="shared" si="64"/>
        <v>5.05</v>
      </c>
      <c r="F8466" s="2" t="str">
        <f>IF(Table2[[#This Row],[Manual Cat Value]]="",VLOOKUP(Table2[[#This Row],[Description]],'Actuals Lookup'!D:F,3,0),Table2[[#This Row],[Manual Cat Value]])</f>
        <v>Exp - Groceries</v>
      </c>
      <c r="G8466" t="e">
        <f>VLOOKUP(D8466,Lookup!G:H,2,0)</f>
        <v>#N/A</v>
      </c>
      <c r="H8466" s="8" t="s">
        <v>27</v>
      </c>
      <c r="I8466" s="8"/>
      <c r="J8466">
        <v>5.05</v>
      </c>
      <c r="M8466" t="s">
        <v>2513</v>
      </c>
      <c r="O8466" t="str">
        <f>LEFT(Table2[[#This Row],[Description]],75)</f>
        <v>CUB FOODS CHANHASSEN MN REF #2442733PSM83Q35BM</v>
      </c>
    </row>
    <row r="8467" spans="1:15" hidden="1">
      <c r="A8467" s="25">
        <f>VALUE(YEAR(Table2[[#This Row],[Date]])&amp;TEXT(MONTH(Table2[[#This Row],[Date]]),"00"))</f>
        <v>202212</v>
      </c>
      <c r="B8467" s="6">
        <v>44924</v>
      </c>
      <c r="C8467" t="s">
        <v>2265</v>
      </c>
      <c r="D8467" t="s">
        <v>3566</v>
      </c>
      <c r="E8467">
        <f t="shared" si="64"/>
        <v>-2922.32</v>
      </c>
      <c r="F8467" s="2" t="str">
        <f>IF(Table2[[#This Row],[Manual Cat Value]]="",VLOOKUP(Table2[[#This Row],[Description]],'Actuals Lookup'!D:F,3,0),Table2[[#This Row],[Manual Cat Value]])</f>
        <v>Inc - Jeff</v>
      </c>
      <c r="G8467" t="e">
        <f>VLOOKUP(D8467,Lookup!G:H,2,0)</f>
        <v>#N/A</v>
      </c>
      <c r="H8467" s="8" t="s">
        <v>63</v>
      </c>
      <c r="I8467" s="8"/>
      <c r="J8467">
        <v>2922.32</v>
      </c>
      <c r="M8467" t="s">
        <v>2621</v>
      </c>
      <c r="O8467" t="str">
        <f>LEFT(Table2[[#This Row],[Description]],75)</f>
        <v>Deposit ACH TRINET TYPE: PAYROLL ID: 194XXXXXXX CO: TRINET Entry Class Code</v>
      </c>
    </row>
    <row r="8468" spans="1:15" hidden="1">
      <c r="A8468" s="25">
        <f>VALUE(YEAR(Table2[[#This Row],[Date]])&amp;TEXT(MONTH(Table2[[#This Row],[Date]]),"00"))</f>
        <v>202212</v>
      </c>
      <c r="B8468" s="6">
        <v>44924</v>
      </c>
      <c r="C8468" t="s">
        <v>2447</v>
      </c>
      <c r="D8468" t="s">
        <v>3567</v>
      </c>
      <c r="E8468">
        <f t="shared" si="64"/>
        <v>92.09</v>
      </c>
      <c r="F8468" s="2" t="str">
        <f>IF(Table2[[#This Row],[Manual Cat Value]]="",VLOOKUP(Table2[[#This Row],[Description]],'Actuals Lookup'!D:F,3,0),Table2[[#This Row],[Manual Cat Value]])</f>
        <v>Exp - Transportation</v>
      </c>
      <c r="G8468" t="e">
        <f>VLOOKUP(D8468,Lookup!G:H,2,0)</f>
        <v>#N/A</v>
      </c>
      <c r="H8468" s="8" t="s">
        <v>22</v>
      </c>
      <c r="I8468" s="8"/>
      <c r="J8468">
        <v>92.09</v>
      </c>
      <c r="M8468" t="s">
        <v>2513</v>
      </c>
      <c r="O8468" t="str">
        <f>LEFT(Table2[[#This Row],[Description]],75)</f>
        <v>RUDY LUTHER TOYOTA GOLDEN VALLEYMN</v>
      </c>
    </row>
    <row r="8469" spans="1:15" hidden="1">
      <c r="A8469" s="25">
        <f>VALUE(YEAR(Table2[[#This Row],[Date]])&amp;TEXT(MONTH(Table2[[#This Row],[Date]]),"00"))</f>
        <v>202212</v>
      </c>
      <c r="B8469" s="6">
        <v>44924</v>
      </c>
      <c r="C8469" t="s">
        <v>2265</v>
      </c>
      <c r="D8469" t="s">
        <v>3568</v>
      </c>
      <c r="E8469">
        <f t="shared" si="64"/>
        <v>0.99</v>
      </c>
      <c r="F8469" s="2" t="str">
        <f>IF(Table2[[#This Row],[Manual Cat Value]]="",VLOOKUP(Table2[[#This Row],[Description]],'Actuals Lookup'!D:F,3,0),Table2[[#This Row],[Manual Cat Value]])</f>
        <v>Exp - Shopping</v>
      </c>
      <c r="G8469" t="e">
        <f>VLOOKUP(D8469,Lookup!G:H,2,0)</f>
        <v>#N/A</v>
      </c>
      <c r="H8469" s="8" t="s">
        <v>36</v>
      </c>
      <c r="I8469" s="8"/>
      <c r="J8469">
        <v>0.99</v>
      </c>
      <c r="M8469" t="s">
        <v>2513</v>
      </c>
      <c r="O8469" t="str">
        <f>LEFT(Table2[[#This Row],[Description]],75)</f>
        <v xml:space="preserve">Withdrawal ACH PAYPAL TYPE: INST XFER ID: PAYPALSI77 CO: PAYPAL NAME: JEFF </v>
      </c>
    </row>
    <row r="8470" spans="1:15" hidden="1">
      <c r="A8470" s="25">
        <f>VALUE(YEAR(Table2[[#This Row],[Date]])&amp;TEXT(MONTH(Table2[[#This Row],[Date]]),"00"))</f>
        <v>202212</v>
      </c>
      <c r="B8470" s="6">
        <v>44924</v>
      </c>
      <c r="C8470" t="s">
        <v>2265</v>
      </c>
      <c r="D8470" t="s">
        <v>3569</v>
      </c>
      <c r="E8470">
        <f t="shared" si="64"/>
        <v>125</v>
      </c>
      <c r="F8470" s="2" t="str">
        <f>IF(Table2[[#This Row],[Manual Cat Value]]="",VLOOKUP(Table2[[#This Row],[Description]],'Actuals Lookup'!D:F,3,0),Table2[[#This Row],[Manual Cat Value]])</f>
        <v>Exp - Shopping</v>
      </c>
      <c r="G8470" t="e">
        <f>VLOOKUP(D8470,Lookup!G:H,2,0)</f>
        <v>#N/A</v>
      </c>
      <c r="H8470" s="8" t="s">
        <v>36</v>
      </c>
      <c r="I8470" s="8"/>
      <c r="J8470">
        <v>125</v>
      </c>
      <c r="M8470" t="s">
        <v>2513</v>
      </c>
      <c r="O8470" t="str">
        <f>LEFT(Table2[[#This Row],[Description]],75)</f>
        <v>Withdrawal ACH VENMO TYPE: PAYMENT ID: 326XXXXXXX CO: VENMO NAME: BRITNEY T</v>
      </c>
    </row>
    <row r="8471" spans="1:15" hidden="1">
      <c r="A8471" s="25">
        <f>VALUE(YEAR(Table2[[#This Row],[Date]])&amp;TEXT(MONTH(Table2[[#This Row],[Date]]),"00"))</f>
        <v>202212</v>
      </c>
      <c r="B8471" s="6">
        <v>44925</v>
      </c>
      <c r="C8471" t="s">
        <v>2262</v>
      </c>
      <c r="D8471" t="s">
        <v>3570</v>
      </c>
      <c r="E8471">
        <f t="shared" si="64"/>
        <v>157.19</v>
      </c>
      <c r="F8471" s="2" t="str">
        <f>IF(Table2[[#This Row],[Manual Cat Value]]="",VLOOKUP(Table2[[#This Row],[Description]],'Actuals Lookup'!D:F,3,0),Table2[[#This Row],[Manual Cat Value]])</f>
        <v>Exp - Shopping</v>
      </c>
      <c r="G8471" t="e">
        <f>VLOOKUP(D8471,Lookup!G:H,2,0)</f>
        <v>#N/A</v>
      </c>
      <c r="H8471" s="8" t="s">
        <v>36</v>
      </c>
      <c r="I8471" s="8"/>
      <c r="J8471">
        <v>157.19</v>
      </c>
      <c r="M8471" t="s">
        <v>2513</v>
      </c>
      <c r="O8471" t="str">
        <f>LEFT(Table2[[#This Row],[Description]],75)</f>
        <v>ANNTAYLOR.COM #611 800-342-5266 CT REF #2443106PV2DAJSEZQ</v>
      </c>
    </row>
    <row r="8472" spans="1:15" hidden="1">
      <c r="A8472" s="25">
        <f>VALUE(YEAR(Table2[[#This Row],[Date]])&amp;TEXT(MONTH(Table2[[#This Row],[Date]]),"00"))</f>
        <v>202212</v>
      </c>
      <c r="B8472" s="93">
        <v>44925</v>
      </c>
      <c r="C8472" t="s">
        <v>2262</v>
      </c>
      <c r="D8472" s="87" t="s">
        <v>3571</v>
      </c>
      <c r="E8472">
        <f t="shared" si="64"/>
        <v>52.49</v>
      </c>
      <c r="F8472" s="2" t="str">
        <f>IF(Table2[[#This Row],[Manual Cat Value]]="",VLOOKUP(Table2[[#This Row],[Description]],'Actuals Lookup'!D:F,3,0),Table2[[#This Row],[Manual Cat Value]])</f>
        <v>Exp - Entertainment</v>
      </c>
      <c r="G8472" t="e">
        <f>VLOOKUP(D8472,Lookup!G:H,2,0)</f>
        <v>#N/A</v>
      </c>
      <c r="H8472" s="8" t="s">
        <v>39</v>
      </c>
      <c r="I8472" s="95"/>
      <c r="J8472" s="87">
        <v>52.49</v>
      </c>
      <c r="K8472" s="87"/>
      <c r="L8472" s="87"/>
      <c r="M8472" s="87" t="s">
        <v>2535</v>
      </c>
      <c r="O8472" t="str">
        <f>LEFT(Table2[[#This Row],[Description]],75)</f>
        <v xml:space="preserve">BUCK HILL WEBSITE 952-4357174 MN </v>
      </c>
    </row>
    <row r="8473" spans="1:15" hidden="1">
      <c r="A8473" s="25">
        <f>VALUE(YEAR(Table2[[#This Row],[Date]])&amp;TEXT(MONTH(Table2[[#This Row],[Date]]),"00"))</f>
        <v>202212</v>
      </c>
      <c r="B8473" s="6">
        <v>44925</v>
      </c>
      <c r="C8473" t="s">
        <v>2262</v>
      </c>
      <c r="D8473" t="s">
        <v>3572</v>
      </c>
      <c r="E8473">
        <f t="shared" si="64"/>
        <v>52.49</v>
      </c>
      <c r="F8473" s="2" t="str">
        <f>IF(Table2[[#This Row],[Manual Cat Value]]="",VLOOKUP(Table2[[#This Row],[Description]],'Actuals Lookup'!D:F,3,0),Table2[[#This Row],[Manual Cat Value]])</f>
        <v>Exp - Entertainment</v>
      </c>
      <c r="G8473" t="e">
        <f>VLOOKUP(D8473,Lookup!G:H,2,0)</f>
        <v>#N/A</v>
      </c>
      <c r="H8473" s="8" t="s">
        <v>39</v>
      </c>
      <c r="I8473" s="8"/>
      <c r="J8473">
        <v>52.49</v>
      </c>
      <c r="M8473" t="s">
        <v>2513</v>
      </c>
      <c r="O8473" t="str">
        <f>LEFT(Table2[[#This Row],[Description]],75)</f>
        <v>BUCK HILL WEBSITE REF #030081</v>
      </c>
    </row>
    <row r="8474" spans="1:15" hidden="1">
      <c r="A8474" s="25">
        <f>VALUE(YEAR(Table2[[#This Row],[Date]])&amp;TEXT(MONTH(Table2[[#This Row],[Date]]),"00"))</f>
        <v>202212</v>
      </c>
      <c r="B8474" s="93">
        <v>44925</v>
      </c>
      <c r="C8474" t="s">
        <v>2262</v>
      </c>
      <c r="D8474" s="87" t="s">
        <v>3573</v>
      </c>
      <c r="E8474">
        <f t="shared" si="64"/>
        <v>352.2</v>
      </c>
      <c r="F8474" s="2" t="str">
        <f>IF(Table2[[#This Row],[Manual Cat Value]]="",VLOOKUP(Table2[[#This Row],[Description]],'Actuals Lookup'!D:F,3,0),Table2[[#This Row],[Manual Cat Value]])</f>
        <v>Exp - Travel</v>
      </c>
      <c r="G8474" t="e">
        <f>VLOOKUP(D8474,Lookup!G:H,2,0)</f>
        <v>#N/A</v>
      </c>
      <c r="H8474" s="8" t="s">
        <v>52</v>
      </c>
      <c r="I8474" s="95"/>
      <c r="J8474" s="87">
        <v>352.2</v>
      </c>
      <c r="K8474" s="87"/>
      <c r="L8474" s="87"/>
      <c r="M8474" s="87" t="s">
        <v>2535</v>
      </c>
      <c r="O8474" t="str">
        <f>LEFT(Table2[[#This Row],[Description]],75)</f>
        <v xml:space="preserve">DELTA AIR 0062355800572 DELTA.COM CA </v>
      </c>
    </row>
    <row r="8475" spans="1:15" hidden="1">
      <c r="A8475" s="25">
        <f>VALUE(YEAR(Table2[[#This Row],[Date]])&amp;TEXT(MONTH(Table2[[#This Row],[Date]]),"00"))</f>
        <v>202212</v>
      </c>
      <c r="B8475" s="6">
        <v>44925</v>
      </c>
      <c r="C8475" t="s">
        <v>2447</v>
      </c>
      <c r="D8475" t="s">
        <v>3574</v>
      </c>
      <c r="E8475">
        <f t="shared" si="64"/>
        <v>96.91</v>
      </c>
      <c r="F8475" s="2" t="str">
        <f>IF(Table2[[#This Row],[Manual Cat Value]]="",VLOOKUP(Table2[[#This Row],[Description]],'Actuals Lookup'!D:F,3,0),Table2[[#This Row],[Manual Cat Value]])</f>
        <v>Exp - Restaurants</v>
      </c>
      <c r="G8475" t="e">
        <f>VLOOKUP(D8475,Lookup!G:H,2,0)</f>
        <v>#N/A</v>
      </c>
      <c r="H8475" s="8" t="s">
        <v>25</v>
      </c>
      <c r="I8475" s="8"/>
      <c r="J8475">
        <v>96.91</v>
      </c>
      <c r="M8475" t="s">
        <v>2513</v>
      </c>
      <c r="O8475" t="str">
        <f>LEFT(Table2[[#This Row],[Description]],75)</f>
        <v>INEFFABLE BREWING COMP</v>
      </c>
    </row>
    <row r="8476" spans="1:15" hidden="1">
      <c r="A8476" s="25">
        <f>VALUE(YEAR(Table2[[#This Row],[Date]])&amp;TEXT(MONTH(Table2[[#This Row],[Date]]),"00"))</f>
        <v>202212</v>
      </c>
      <c r="B8476" s="6">
        <v>44925</v>
      </c>
      <c r="C8476" t="s">
        <v>2447</v>
      </c>
      <c r="D8476" t="s">
        <v>3575</v>
      </c>
      <c r="E8476">
        <f t="shared" si="64"/>
        <v>-134.4</v>
      </c>
      <c r="F8476" s="2" t="str">
        <f>IF(Table2[[#This Row],[Manual Cat Value]]="",VLOOKUP(Table2[[#This Row],[Description]],'Actuals Lookup'!D:F,3,0),Table2[[#This Row],[Manual Cat Value]])</f>
        <v>Exp - Shopping</v>
      </c>
      <c r="G8476" t="e">
        <f>VLOOKUP(D8476,Lookup!G:H,2,0)</f>
        <v>#N/A</v>
      </c>
      <c r="H8476" s="8" t="s">
        <v>36</v>
      </c>
      <c r="I8476" s="8"/>
      <c r="J8476">
        <v>134.4</v>
      </c>
      <c r="M8476" t="s">
        <v>2621</v>
      </c>
      <c r="O8476" t="str">
        <f>LEFT(Table2[[#This Row],[Description]],75)</f>
        <v>PAYPAL *FREE FLY</v>
      </c>
    </row>
    <row r="8477" spans="1:15" hidden="1">
      <c r="A8477" s="25">
        <f>VALUE(YEAR(Table2[[#This Row],[Date]])&amp;TEXT(MONTH(Table2[[#This Row],[Date]]),"00"))</f>
        <v>202212</v>
      </c>
      <c r="B8477" s="6">
        <v>44925</v>
      </c>
      <c r="C8477" t="s">
        <v>2262</v>
      </c>
      <c r="D8477" t="s">
        <v>3576</v>
      </c>
      <c r="E8477">
        <f t="shared" si="64"/>
        <v>6.82</v>
      </c>
      <c r="F8477" s="2" t="str">
        <f>IF(Table2[[#This Row],[Manual Cat Value]]="",VLOOKUP(Table2[[#This Row],[Description]],'Actuals Lookup'!D:F,3,0),Table2[[#This Row],[Manual Cat Value]])</f>
        <v>Exp - Healthcare</v>
      </c>
      <c r="G8477" t="e">
        <f>VLOOKUP(D8477,Lookup!G:H,2,0)</f>
        <v>#N/A</v>
      </c>
      <c r="H8477" s="8" t="s">
        <v>47</v>
      </c>
      <c r="I8477" s="8"/>
      <c r="J8477">
        <v>6.82</v>
      </c>
      <c r="M8477" t="s">
        <v>2513</v>
      </c>
      <c r="O8477" t="str">
        <f>LEFT(Table2[[#This Row],[Description]],75)</f>
        <v>RIDGEVIEW MEDICAL CENT REF #030115</v>
      </c>
    </row>
    <row r="8478" spans="1:15" hidden="1">
      <c r="A8478" s="25">
        <f>VALUE(YEAR(Table2[[#This Row],[Date]])&amp;TEXT(MONTH(Table2[[#This Row],[Date]]),"00"))</f>
        <v>202212</v>
      </c>
      <c r="B8478" s="6">
        <v>44925</v>
      </c>
      <c r="C8478" t="s">
        <v>2265</v>
      </c>
      <c r="D8478" t="s">
        <v>3577</v>
      </c>
      <c r="E8478">
        <f t="shared" si="64"/>
        <v>70.81</v>
      </c>
      <c r="F8478" s="2" t="str">
        <f>IF(Table2[[#This Row],[Manual Cat Value]]="",VLOOKUP(Table2[[#This Row],[Description]],'Actuals Lookup'!D:F,3,0),Table2[[#This Row],[Manual Cat Value]])</f>
        <v>Exp - Shopping</v>
      </c>
      <c r="G8478" t="e">
        <f>VLOOKUP(D8478,Lookup!G:H,2,0)</f>
        <v>#N/A</v>
      </c>
      <c r="H8478" s="8" t="s">
        <v>36</v>
      </c>
      <c r="I8478" s="8"/>
      <c r="J8478">
        <v>70.81</v>
      </c>
      <c r="M8478" t="s">
        <v>2513</v>
      </c>
      <c r="O8478" t="str">
        <f>LEFT(Table2[[#This Row],[Description]],75)</f>
        <v xml:space="preserve">Withdrawal ACH PAYPAL TYPE: INST XFER ID: PAYPALSI77 CO: PAYPAL NAME: JEFF </v>
      </c>
    </row>
    <row r="8479" spans="1:15" hidden="1">
      <c r="A8479" s="25">
        <f>VALUE(YEAR(Table2[[#This Row],[Date]])&amp;TEXT(MONTH(Table2[[#This Row],[Date]]),"00"))</f>
        <v>202212</v>
      </c>
      <c r="B8479" s="6">
        <v>44926</v>
      </c>
      <c r="C8479" t="s">
        <v>2447</v>
      </c>
      <c r="D8479" t="s">
        <v>114</v>
      </c>
      <c r="E8479">
        <f t="shared" si="64"/>
        <v>5.36</v>
      </c>
      <c r="F8479" s="2" t="str">
        <f>IF(Table2[[#This Row],[Manual Cat Value]]="",VLOOKUP(Table2[[#This Row],[Description]],'Actuals Lookup'!D:F,3,0),Table2[[#This Row],[Manual Cat Value]])</f>
        <v>Entertainment</v>
      </c>
      <c r="G8479" t="str">
        <f>VLOOKUP(D8479,Lookup!G:H,2,0)</f>
        <v>Shopping</v>
      </c>
      <c r="I8479" s="8"/>
      <c r="J8479">
        <v>5.36</v>
      </c>
      <c r="M8479" t="s">
        <v>2513</v>
      </c>
      <c r="O8479" t="str">
        <f>LEFT(Table2[[#This Row],[Description]],75)</f>
        <v>Amazon Music</v>
      </c>
    </row>
    <row r="8480" spans="1:15" hidden="1">
      <c r="A8480" s="25">
        <f>VALUE(YEAR(Table2[[#This Row],[Date]])&amp;TEXT(MONTH(Table2[[#This Row],[Date]]),"00"))</f>
        <v>202212</v>
      </c>
      <c r="B8480" s="6">
        <v>44926</v>
      </c>
      <c r="C8480" t="s">
        <v>2447</v>
      </c>
      <c r="D8480" t="s">
        <v>133</v>
      </c>
      <c r="E8480">
        <f t="shared" si="64"/>
        <v>32.200000000000003</v>
      </c>
      <c r="F8480" s="2" t="e">
        <f>IF(Table2[[#This Row],[Manual Cat Value]]="",VLOOKUP(Table2[[#This Row],[Description]],'Actuals Lookup'!D:F,3,0),Table2[[#This Row],[Manual Cat Value]])</f>
        <v>#N/A</v>
      </c>
      <c r="G8480" t="str">
        <f>VLOOKUP(D8480,Lookup!G:H,2,0)</f>
        <v>Amazon</v>
      </c>
      <c r="I8480" s="8"/>
      <c r="J8480">
        <v>32.200000000000003</v>
      </c>
      <c r="M8480" t="s">
        <v>2513</v>
      </c>
      <c r="O8480" t="str">
        <f>LEFT(Table2[[#This Row],[Description]],75)</f>
        <v>AMZN Mktp US</v>
      </c>
    </row>
    <row r="8481" spans="1:15" hidden="1">
      <c r="A8481" s="25">
        <f>VALUE(YEAR(Table2[[#This Row],[Date]])&amp;TEXT(MONTH(Table2[[#This Row],[Date]]),"00"))</f>
        <v>202212</v>
      </c>
      <c r="B8481" s="6">
        <v>44926</v>
      </c>
      <c r="C8481" t="s">
        <v>2262</v>
      </c>
      <c r="D8481" t="s">
        <v>3578</v>
      </c>
      <c r="E8481">
        <f t="shared" si="64"/>
        <v>-30.99</v>
      </c>
      <c r="F8481" s="2" t="str">
        <f>IF(Table2[[#This Row],[Manual Cat Value]]="",VLOOKUP(Table2[[#This Row],[Description]],'Actuals Lookup'!D:F,3,0),Table2[[#This Row],[Manual Cat Value]])</f>
        <v>Exp - Amazon</v>
      </c>
      <c r="G8481" t="e">
        <f>VLOOKUP(D8481,Lookup!G:H,2,0)</f>
        <v>#N/A</v>
      </c>
      <c r="H8481" s="8" t="s">
        <v>37</v>
      </c>
      <c r="I8481" s="8"/>
      <c r="J8481">
        <v>30.99</v>
      </c>
      <c r="M8481" t="s">
        <v>2621</v>
      </c>
      <c r="O8481" t="str">
        <f>LEFT(Table2[[#This Row],[Description]],75)</f>
        <v>AMZN Mktp US Amzn.com/billWA REF #7469216PW2YW12XL9</v>
      </c>
    </row>
    <row r="8482" spans="1:15" hidden="1">
      <c r="A8482" s="25">
        <f>VALUE(YEAR(Table2[[#This Row],[Date]])&amp;TEXT(MONTH(Table2[[#This Row],[Date]]),"00"))</f>
        <v>202212</v>
      </c>
      <c r="B8482" s="6">
        <v>44926</v>
      </c>
      <c r="C8482" t="s">
        <v>2262</v>
      </c>
      <c r="D8482" t="s">
        <v>3579</v>
      </c>
      <c r="E8482">
        <f t="shared" si="64"/>
        <v>-30.59</v>
      </c>
      <c r="F8482" s="2" t="str">
        <f>IF(Table2[[#This Row],[Manual Cat Value]]="",VLOOKUP(Table2[[#This Row],[Description]],'Actuals Lookup'!D:F,3,0),Table2[[#This Row],[Manual Cat Value]])</f>
        <v>Exp - Amazon</v>
      </c>
      <c r="G8482" t="e">
        <f>VLOOKUP(D8482,Lookup!G:H,2,0)</f>
        <v>#N/A</v>
      </c>
      <c r="H8482" s="8" t="s">
        <v>37</v>
      </c>
      <c r="I8482" s="8"/>
      <c r="J8482">
        <v>30.59</v>
      </c>
      <c r="M8482" t="s">
        <v>2621</v>
      </c>
      <c r="O8482" t="str">
        <f>LEFT(Table2[[#This Row],[Description]],75)</f>
        <v>AMZN Mktp US Amzn.com/billWA REF #7469216PX2YYAVHVP</v>
      </c>
    </row>
    <row r="8483" spans="1:15" hidden="1">
      <c r="A8483" s="25">
        <f>VALUE(YEAR(Table2[[#This Row],[Date]])&amp;TEXT(MONTH(Table2[[#This Row],[Date]]),"00"))</f>
        <v>202212</v>
      </c>
      <c r="B8483" s="6">
        <v>44926</v>
      </c>
      <c r="C8483" t="s">
        <v>2262</v>
      </c>
      <c r="D8483" t="s">
        <v>3580</v>
      </c>
      <c r="E8483">
        <f t="shared" si="64"/>
        <v>-32.54</v>
      </c>
      <c r="F8483" s="2" t="str">
        <f>IF(Table2[[#This Row],[Manual Cat Value]]="",VLOOKUP(Table2[[#This Row],[Description]],'Actuals Lookup'!D:F,3,0),Table2[[#This Row],[Manual Cat Value]])</f>
        <v>Exp - Amazon</v>
      </c>
      <c r="G8483" t="e">
        <f>VLOOKUP(D8483,Lookup!G:H,2,0)</f>
        <v>#N/A</v>
      </c>
      <c r="H8483" s="8" t="s">
        <v>37</v>
      </c>
      <c r="I8483" s="8"/>
      <c r="J8483">
        <v>32.54</v>
      </c>
      <c r="M8483" t="s">
        <v>2621</v>
      </c>
      <c r="O8483" t="str">
        <f>LEFT(Table2[[#This Row],[Description]],75)</f>
        <v>AMZN Mktp US Amzn.com/billWA REF #7469216PX2YYSPZBW</v>
      </c>
    </row>
    <row r="8484" spans="1:15" hidden="1">
      <c r="A8484" s="25">
        <f>VALUE(YEAR(Table2[[#This Row],[Date]])&amp;TEXT(MONTH(Table2[[#This Row],[Date]]),"00"))</f>
        <v>202212</v>
      </c>
      <c r="B8484" s="6">
        <v>44926</v>
      </c>
      <c r="C8484" t="s">
        <v>2262</v>
      </c>
      <c r="D8484" t="s">
        <v>3581</v>
      </c>
      <c r="E8484">
        <f t="shared" si="64"/>
        <v>9.65</v>
      </c>
      <c r="F8484" s="2" t="str">
        <f>IF(Table2[[#This Row],[Manual Cat Value]]="",VLOOKUP(Table2[[#This Row],[Description]],'Actuals Lookup'!D:F,3,0),Table2[[#This Row],[Manual Cat Value]])</f>
        <v>Exp - Amazon</v>
      </c>
      <c r="G8484" t="e">
        <f>VLOOKUP(D8484,Lookup!G:H,2,0)</f>
        <v>#N/A</v>
      </c>
      <c r="H8484" s="8" t="s">
        <v>37</v>
      </c>
      <c r="I8484" s="8"/>
      <c r="J8484">
        <v>9.65</v>
      </c>
      <c r="M8484" t="s">
        <v>2513</v>
      </c>
      <c r="O8484" t="str">
        <f>LEFT(Table2[[#This Row],[Description]],75)</f>
        <v>AMZN Mktp US*FE0Q01QM3 Amzn.com/billWA REF #2469216PX2YWATYQ3</v>
      </c>
    </row>
    <row r="8485" spans="1:15" hidden="1">
      <c r="A8485" s="25">
        <f>VALUE(YEAR(Table2[[#This Row],[Date]])&amp;TEXT(MONTH(Table2[[#This Row],[Date]]),"00"))</f>
        <v>202212</v>
      </c>
      <c r="B8485" s="6">
        <v>44926</v>
      </c>
      <c r="C8485" t="s">
        <v>2447</v>
      </c>
      <c r="D8485" t="s">
        <v>3582</v>
      </c>
      <c r="E8485">
        <f t="shared" si="64"/>
        <v>11.58</v>
      </c>
      <c r="F8485" s="2" t="str">
        <f>IF(Table2[[#This Row],[Manual Cat Value]]="",VLOOKUP(Table2[[#This Row],[Description]],'Actuals Lookup'!D:F,3,0),Table2[[#This Row],[Manual Cat Value]])</f>
        <v>Exp - Restaurants</v>
      </c>
      <c r="G8485" t="e">
        <f>VLOOKUP(D8485,Lookup!G:H,2,0)</f>
        <v>#N/A</v>
      </c>
      <c r="H8485" s="8" t="s">
        <v>25</v>
      </c>
      <c r="I8485" s="8"/>
      <c r="J8485">
        <v>11.58</v>
      </c>
      <c r="M8485" t="s">
        <v>2513</v>
      </c>
      <c r="O8485" t="str">
        <f>LEFT(Table2[[#This Row],[Description]],75)</f>
        <v>CARIBOU COFFEE CO #130</v>
      </c>
    </row>
    <row r="8486" spans="1:15" hidden="1">
      <c r="A8486" s="25">
        <f>VALUE(YEAR(Table2[[#This Row],[Date]])&amp;TEXT(MONTH(Table2[[#This Row],[Date]]),"00"))</f>
        <v>202212</v>
      </c>
      <c r="B8486" s="6">
        <v>44926</v>
      </c>
      <c r="C8486" t="s">
        <v>2262</v>
      </c>
      <c r="D8486" t="s">
        <v>3583</v>
      </c>
      <c r="E8486">
        <f t="shared" si="64"/>
        <v>194</v>
      </c>
      <c r="F8486" s="2" t="str">
        <f>IF(Table2[[#This Row],[Manual Cat Value]]="",VLOOKUP(Table2[[#This Row],[Description]],'Actuals Lookup'!D:F,3,0),Table2[[#This Row],[Manual Cat Value]])</f>
        <v>Exp - Groceries</v>
      </c>
      <c r="G8486" t="e">
        <f>VLOOKUP(D8486,Lookup!G:H,2,0)</f>
        <v>#N/A</v>
      </c>
      <c r="H8486" s="8" t="s">
        <v>27</v>
      </c>
      <c r="I8486" s="8"/>
      <c r="J8486">
        <v>194</v>
      </c>
      <c r="M8486" t="s">
        <v>2513</v>
      </c>
      <c r="O8486" t="str">
        <f>LEFT(Table2[[#This Row],[Description]],75)</f>
        <v>COOLER CLEANSE 212-531-3111 NY REF #2480197PW8B2XJT0V</v>
      </c>
    </row>
    <row r="8487" spans="1:15" hidden="1">
      <c r="A8487" s="25">
        <f>VALUE(YEAR(Table2[[#This Row],[Date]])&amp;TEXT(MONTH(Table2[[#This Row],[Date]]),"00"))</f>
        <v>202212</v>
      </c>
      <c r="B8487" s="6">
        <v>44926</v>
      </c>
      <c r="C8487" t="s">
        <v>2262</v>
      </c>
      <c r="D8487" t="s">
        <v>3584</v>
      </c>
      <c r="E8487">
        <f t="shared" si="64"/>
        <v>63.97</v>
      </c>
      <c r="F8487" s="2" t="str">
        <f>IF(Table2[[#This Row],[Manual Cat Value]]="",VLOOKUP(Table2[[#This Row],[Description]],'Actuals Lookup'!D:F,3,0),Table2[[#This Row],[Manual Cat Value]])</f>
        <v>Exp - Groceries</v>
      </c>
      <c r="G8487" t="e">
        <f>VLOOKUP(D8487,Lookup!G:H,2,0)</f>
        <v>#N/A</v>
      </c>
      <c r="H8487" s="8" t="s">
        <v>27</v>
      </c>
      <c r="I8487" s="8"/>
      <c r="J8487">
        <v>63.97</v>
      </c>
      <c r="M8487" t="s">
        <v>2513</v>
      </c>
      <c r="O8487" t="str">
        <f>LEFT(Table2[[#This Row],[Description]],75)</f>
        <v>CUB FOODS 01644 952-934-1010 MN REF #2423168PW2DF1WQM1</v>
      </c>
    </row>
    <row r="8488" spans="1:15" hidden="1">
      <c r="A8488" s="25">
        <f>VALUE(YEAR(Table2[[#This Row],[Date]])&amp;TEXT(MONTH(Table2[[#This Row],[Date]]),"00"))</f>
        <v>202212</v>
      </c>
      <c r="B8488" s="6">
        <v>44926</v>
      </c>
      <c r="C8488" t="s">
        <v>2265</v>
      </c>
      <c r="D8488" t="s">
        <v>3585</v>
      </c>
      <c r="E8488">
        <f t="shared" si="64"/>
        <v>-25.49</v>
      </c>
      <c r="F8488" s="2" t="str">
        <f>IF(Table2[[#This Row],[Manual Cat Value]]="",VLOOKUP(Table2[[#This Row],[Description]],'Actuals Lookup'!D:F,3,0),Table2[[#This Row],[Manual Cat Value]])</f>
        <v>Inc - Other</v>
      </c>
      <c r="G8488" t="e">
        <f>VLOOKUP(D8488,Lookup!G:H,2,0)</f>
        <v>#N/A</v>
      </c>
      <c r="H8488" s="8" t="s">
        <v>16</v>
      </c>
      <c r="I8488" s="8"/>
      <c r="J8488">
        <v>25.49</v>
      </c>
      <c r="M8488" t="s">
        <v>2621</v>
      </c>
      <c r="O8488" t="str">
        <f>LEFT(Table2[[#This Row],[Description]],75)</f>
        <v>Deposit Dividend Split Rate Annual Percentage Yield Earned 0.71% from 12/01</v>
      </c>
    </row>
    <row r="8489" spans="1:15" hidden="1">
      <c r="A8489" s="25">
        <f>VALUE(YEAR(Table2[[#This Row],[Date]])&amp;TEXT(MONTH(Table2[[#This Row],[Date]]),"00"))</f>
        <v>202212</v>
      </c>
      <c r="B8489" s="6">
        <v>44926</v>
      </c>
      <c r="C8489" t="s">
        <v>2300</v>
      </c>
      <c r="D8489" t="s">
        <v>3586</v>
      </c>
      <c r="E8489">
        <f t="shared" ref="E8489:E8524" si="65">IF(M8489="credit",-1*J8489,J8489)</f>
        <v>-10.220000000000001</v>
      </c>
      <c r="F8489" s="2" t="str">
        <f>IF(Table2[[#This Row],[Manual Cat Value]]="",VLOOKUP(Table2[[#This Row],[Description]],'Actuals Lookup'!D:F,3,0),Table2[[#This Row],[Manual Cat Value]])</f>
        <v>Inc - Dividend</v>
      </c>
      <c r="G8489" t="e">
        <f>VLOOKUP(D8489,Lookup!G:H,2,0)</f>
        <v>#N/A</v>
      </c>
      <c r="H8489" s="8" t="s">
        <v>68</v>
      </c>
      <c r="I8489" s="8"/>
      <c r="J8489">
        <v>10.220000000000001</v>
      </c>
      <c r="M8489" t="s">
        <v>2621</v>
      </c>
      <c r="O8489" t="str">
        <f>LEFT(Table2[[#This Row],[Description]],75)</f>
        <v>Deposit Dividend Split Rate Annual Percentage Yield Earned 2.00% from 12/01</v>
      </c>
    </row>
    <row r="8490" spans="1:15" hidden="1">
      <c r="A8490" s="25">
        <f>VALUE(YEAR(Table2[[#This Row],[Date]])&amp;TEXT(MONTH(Table2[[#This Row],[Date]]),"00"))</f>
        <v>202212</v>
      </c>
      <c r="B8490" s="6">
        <v>44926</v>
      </c>
      <c r="C8490" t="s">
        <v>2262</v>
      </c>
      <c r="D8490" t="s">
        <v>3587</v>
      </c>
      <c r="E8490">
        <f t="shared" si="65"/>
        <v>43.15</v>
      </c>
      <c r="F8490" s="2" t="str">
        <f>IF(Table2[[#This Row],[Manual Cat Value]]="",VLOOKUP(Table2[[#This Row],[Description]],'Actuals Lookup'!D:F,3,0),Table2[[#This Row],[Manual Cat Value]])</f>
        <v>Exp - Restaurants</v>
      </c>
      <c r="G8490" t="e">
        <f>VLOOKUP(D8490,Lookup!G:H,2,0)</f>
        <v>#N/A</v>
      </c>
      <c r="H8490" s="8" t="s">
        <v>25</v>
      </c>
      <c r="I8490" s="8"/>
      <c r="J8490">
        <v>43.15</v>
      </c>
      <c r="M8490" t="s">
        <v>2513</v>
      </c>
      <c r="O8490" t="str">
        <f>LEFT(Table2[[#This Row],[Description]],75)</f>
        <v>DOORDASH*REVIVAL WWW.DOORDASH.CA REF #2401134PW000FJFHL</v>
      </c>
    </row>
    <row r="8491" spans="1:15" hidden="1">
      <c r="A8491" s="25">
        <f>VALUE(YEAR(Table2[[#This Row],[Date]])&amp;TEXT(MONTH(Table2[[#This Row],[Date]]),"00"))</f>
        <v>202212</v>
      </c>
      <c r="B8491" s="6">
        <v>44926</v>
      </c>
      <c r="C8491" t="s">
        <v>2262</v>
      </c>
      <c r="D8491" t="s">
        <v>3588</v>
      </c>
      <c r="E8491">
        <f t="shared" si="65"/>
        <v>91.4</v>
      </c>
      <c r="F8491" s="2" t="str">
        <f>IF(Table2[[#This Row],[Manual Cat Value]]="",VLOOKUP(Table2[[#This Row],[Description]],'Actuals Lookup'!D:F,3,0),Table2[[#This Row],[Manual Cat Value]])</f>
        <v>Exp - Entertainment</v>
      </c>
      <c r="G8491" t="e">
        <f>VLOOKUP(D8491,Lookup!G:H,2,0)</f>
        <v>#N/A</v>
      </c>
      <c r="H8491" s="8" t="s">
        <v>39</v>
      </c>
      <c r="I8491" s="8"/>
      <c r="J8491">
        <v>91.4</v>
      </c>
      <c r="M8491" t="s">
        <v>2513</v>
      </c>
      <c r="O8491" t="str">
        <f>LEFT(Table2[[#This Row],[Description]],75)</f>
        <v>EB 2023 KLONDIKE SLED 8014137200 CA REF #2449215PWMLGV1TDX</v>
      </c>
    </row>
    <row r="8492" spans="1:15" hidden="1">
      <c r="A8492" s="25">
        <f>VALUE(YEAR(Table2[[#This Row],[Date]])&amp;TEXT(MONTH(Table2[[#This Row],[Date]]),"00"))</f>
        <v>202212</v>
      </c>
      <c r="B8492" s="6">
        <v>44926</v>
      </c>
      <c r="C8492" t="s">
        <v>2447</v>
      </c>
      <c r="D8492" t="s">
        <v>3589</v>
      </c>
      <c r="E8492">
        <f t="shared" si="65"/>
        <v>1</v>
      </c>
      <c r="F8492" s="2" t="str">
        <f>IF(Table2[[#This Row],[Manual Cat Value]]="",VLOOKUP(Table2[[#This Row],[Description]],'Actuals Lookup'!D:F,3,0),Table2[[#This Row],[Manual Cat Value]])</f>
        <v>Exp - Transportation</v>
      </c>
      <c r="G8492" t="e">
        <f>VLOOKUP(D8492,Lookup!G:H,2,0)</f>
        <v>#N/A</v>
      </c>
      <c r="H8492" s="8" t="s">
        <v>22</v>
      </c>
      <c r="I8492" s="8"/>
      <c r="J8492">
        <v>1</v>
      </c>
      <c r="M8492" t="s">
        <v>2513</v>
      </c>
      <c r="O8492" t="str">
        <f>LEFT(Table2[[#This Row],[Description]],75)</f>
        <v>HOLIDAY STATIONS 0360</v>
      </c>
    </row>
    <row r="8493" spans="1:15" hidden="1">
      <c r="A8493" s="25">
        <f>VALUE(YEAR(Table2[[#This Row],[Date]])&amp;TEXT(MONTH(Table2[[#This Row],[Date]]),"00"))</f>
        <v>202212</v>
      </c>
      <c r="B8493" s="6">
        <v>44926</v>
      </c>
      <c r="C8493" t="s">
        <v>2262</v>
      </c>
      <c r="D8493" t="s">
        <v>3590</v>
      </c>
      <c r="E8493">
        <f t="shared" si="65"/>
        <v>-25</v>
      </c>
      <c r="F8493" s="2" t="str">
        <f>IF(Table2[[#This Row],[Manual Cat Value]]="",VLOOKUP(Table2[[#This Row],[Description]],'Actuals Lookup'!D:F,3,0),Table2[[#This Row],[Manual Cat Value]])</f>
        <v>Exp - Travel</v>
      </c>
      <c r="G8493" t="e">
        <f>VLOOKUP(D8493,Lookup!G:H,2,0)</f>
        <v>#N/A</v>
      </c>
      <c r="H8493" s="8" t="s">
        <v>52</v>
      </c>
      <c r="I8493" s="8"/>
      <c r="J8493">
        <v>25</v>
      </c>
      <c r="M8493" t="s">
        <v>2621</v>
      </c>
      <c r="O8493" t="str">
        <f>LEFT(Table2[[#This Row],[Description]],75)</f>
        <v>HOME2 SUITES EDEN PRAIRIE REF #031953</v>
      </c>
    </row>
    <row r="8494" spans="1:15" hidden="1">
      <c r="A8494" s="25">
        <f>VALUE(YEAR(Table2[[#This Row],[Date]])&amp;TEXT(MONTH(Table2[[#This Row],[Date]]),"00"))</f>
        <v>202212</v>
      </c>
      <c r="B8494" s="6">
        <v>44926</v>
      </c>
      <c r="C8494" t="s">
        <v>2262</v>
      </c>
      <c r="D8494" t="s">
        <v>3591</v>
      </c>
      <c r="E8494">
        <f t="shared" si="65"/>
        <v>11</v>
      </c>
      <c r="F8494" s="2" t="str">
        <f>IF(Table2[[#This Row],[Manual Cat Value]]="",VLOOKUP(Table2[[#This Row],[Description]],'Actuals Lookup'!D:F,3,0),Table2[[#This Row],[Manual Cat Value]])</f>
        <v>Exp - Transportation</v>
      </c>
      <c r="G8494" t="e">
        <f>VLOOKUP(D8494,Lookup!G:H,2,0)</f>
        <v>#N/A</v>
      </c>
      <c r="H8494" s="8" t="s">
        <v>22</v>
      </c>
      <c r="I8494" s="8"/>
      <c r="J8494">
        <v>11</v>
      </c>
      <c r="M8494" t="s">
        <v>2513</v>
      </c>
      <c r="O8494" t="str">
        <f>LEFT(Table2[[#This Row],[Description]],75)</f>
        <v>IMPARK00200118U ST. PAUL MN REF #2469216PW2YDAWS65</v>
      </c>
    </row>
    <row r="8495" spans="1:15" hidden="1">
      <c r="A8495" s="25">
        <f>VALUE(YEAR(Table2[[#This Row],[Date]])&amp;TEXT(MONTH(Table2[[#This Row],[Date]]),"00"))</f>
        <v>202212</v>
      </c>
      <c r="B8495" s="6">
        <v>44926</v>
      </c>
      <c r="C8495" t="s">
        <v>2262</v>
      </c>
      <c r="D8495" t="s">
        <v>3592</v>
      </c>
      <c r="E8495">
        <f t="shared" si="65"/>
        <v>249</v>
      </c>
      <c r="F8495" s="2" t="str">
        <f>IF(Table2[[#This Row],[Manual Cat Value]]="",VLOOKUP(Table2[[#This Row],[Description]],'Actuals Lookup'!D:F,3,0),Table2[[#This Row],[Manual Cat Value]])</f>
        <v>Exp - Shopping</v>
      </c>
      <c r="G8495" t="e">
        <f>VLOOKUP(D8495,Lookup!G:H,2,0)</f>
        <v>#N/A</v>
      </c>
      <c r="H8495" s="8" t="s">
        <v>36</v>
      </c>
      <c r="I8495" s="8"/>
      <c r="J8495">
        <v>249</v>
      </c>
      <c r="M8495" t="s">
        <v>2513</v>
      </c>
      <c r="O8495" t="str">
        <f>LEFT(Table2[[#This Row],[Description]],75)</f>
        <v>LULULEMONCOM* 877-263-9300 CA REF #2469216PW2YB6KMM1</v>
      </c>
    </row>
    <row r="8496" spans="1:15" hidden="1">
      <c r="A8496" s="25">
        <f>VALUE(YEAR(Table2[[#This Row],[Date]])&amp;TEXT(MONTH(Table2[[#This Row],[Date]]),"00"))</f>
        <v>202212</v>
      </c>
      <c r="B8496" s="6">
        <v>44926</v>
      </c>
      <c r="C8496" t="s">
        <v>2262</v>
      </c>
      <c r="D8496" t="s">
        <v>3593</v>
      </c>
      <c r="E8496">
        <f t="shared" si="65"/>
        <v>57.01</v>
      </c>
      <c r="F8496" s="2" t="str">
        <f>IF(Table2[[#This Row],[Manual Cat Value]]="",VLOOKUP(Table2[[#This Row],[Description]],'Actuals Lookup'!D:F,3,0),Table2[[#This Row],[Manual Cat Value]])</f>
        <v>Exp - Restaurants</v>
      </c>
      <c r="G8496" t="e">
        <f>VLOOKUP(D8496,Lookup!G:H,2,0)</f>
        <v>#N/A</v>
      </c>
      <c r="H8496" s="8" t="s">
        <v>25</v>
      </c>
      <c r="I8496" s="8"/>
      <c r="J8496">
        <v>57.01</v>
      </c>
      <c r="M8496" t="s">
        <v>2535</v>
      </c>
      <c r="O8496" t="str">
        <f>LEFT(Table2[[#This Row],[Description]],75)</f>
        <v>PIZZA LUCE VI INC REF #031800</v>
      </c>
    </row>
    <row r="8497" spans="1:15" hidden="1">
      <c r="A8497" s="25">
        <f>VALUE(YEAR(Table2[[#This Row],[Date]])&amp;TEXT(MONTH(Table2[[#This Row],[Date]]),"00"))</f>
        <v>202212</v>
      </c>
      <c r="B8497" s="93">
        <v>44926</v>
      </c>
      <c r="C8497" t="s">
        <v>2262</v>
      </c>
      <c r="D8497" s="87" t="s">
        <v>3594</v>
      </c>
      <c r="E8497">
        <f t="shared" si="65"/>
        <v>6.82</v>
      </c>
      <c r="F8497" s="2" t="str">
        <f>IF(Table2[[#This Row],[Manual Cat Value]]="",VLOOKUP(Table2[[#This Row],[Description]],'Actuals Lookup'!D:F,3,0),Table2[[#This Row],[Manual Cat Value]])</f>
        <v>Exp - Healthcare</v>
      </c>
      <c r="G8497" t="e">
        <f>VLOOKUP(D8497,Lookup!G:H,2,0)</f>
        <v>#N/A</v>
      </c>
      <c r="H8497" s="8" t="s">
        <v>47</v>
      </c>
      <c r="I8497" s="95"/>
      <c r="J8497" s="87">
        <v>6.82</v>
      </c>
      <c r="K8497" s="87"/>
      <c r="L8497" s="87"/>
      <c r="M8497" s="87" t="s">
        <v>2535</v>
      </c>
      <c r="O8497" t="str">
        <f>LEFT(Table2[[#This Row],[Description]],75)</f>
        <v xml:space="preserve">RIDGEVIEW MEDICAL CENTER WACONIA MN </v>
      </c>
    </row>
    <row r="8498" spans="1:15" hidden="1">
      <c r="A8498" s="25">
        <f>VALUE(YEAR(Table2[[#This Row],[Date]])&amp;TEXT(MONTH(Table2[[#This Row],[Date]]),"00"))</f>
        <v>202212</v>
      </c>
      <c r="B8498" s="6">
        <v>44926</v>
      </c>
      <c r="C8498" t="s">
        <v>2262</v>
      </c>
      <c r="D8498" t="s">
        <v>3595</v>
      </c>
      <c r="E8498">
        <f t="shared" si="65"/>
        <v>79.900000000000006</v>
      </c>
      <c r="F8498" s="2" t="str">
        <f>IF(Table2[[#This Row],[Manual Cat Value]]="",VLOOKUP(Table2[[#This Row],[Description]],'Actuals Lookup'!D:F,3,0),Table2[[#This Row],[Manual Cat Value]])</f>
        <v>Exp - House Maint</v>
      </c>
      <c r="G8498" t="e">
        <f>VLOOKUP(D8498,Lookup!G:H,2,0)</f>
        <v>#N/A</v>
      </c>
      <c r="H8498" s="8" t="s">
        <v>1</v>
      </c>
      <c r="I8498" s="8"/>
      <c r="J8498">
        <v>79.900000000000006</v>
      </c>
      <c r="M8498" t="s">
        <v>2513</v>
      </c>
      <c r="O8498" t="str">
        <f>LEFT(Table2[[#This Row],[Description]],75)</f>
        <v>TAP PLASTICS, INC. 888-8277330 CA REF #2427539PWS66FPZS0</v>
      </c>
    </row>
    <row r="8499" spans="1:15" hidden="1">
      <c r="A8499" s="25">
        <f>VALUE(YEAR(Table2[[#This Row],[Date]])&amp;TEXT(MONTH(Table2[[#This Row],[Date]]),"00"))</f>
        <v>202212</v>
      </c>
      <c r="B8499" s="93">
        <v>44926</v>
      </c>
      <c r="C8499" t="s">
        <v>2262</v>
      </c>
      <c r="D8499" s="87" t="s">
        <v>3596</v>
      </c>
      <c r="E8499">
        <f t="shared" si="65"/>
        <v>17.7</v>
      </c>
      <c r="F8499" s="2" t="str">
        <f>IF(Table2[[#This Row],[Manual Cat Value]]="",VLOOKUP(Table2[[#This Row],[Description]],'Actuals Lookup'!D:F,3,0),Table2[[#This Row],[Manual Cat Value]])</f>
        <v>Exp - House Maint</v>
      </c>
      <c r="G8499" t="e">
        <f>VLOOKUP(D8499,Lookup!G:H,2,0)</f>
        <v>#N/A</v>
      </c>
      <c r="H8499" s="8" t="s">
        <v>1</v>
      </c>
      <c r="I8499" s="95"/>
      <c r="J8499" s="87">
        <v>17.7</v>
      </c>
      <c r="K8499" s="87"/>
      <c r="L8499" s="87"/>
      <c r="M8499" s="87" t="s">
        <v>2535</v>
      </c>
      <c r="O8499" t="str">
        <f>LEFT(Table2[[#This Row],[Description]],75)</f>
        <v xml:space="preserve">THE HOME DEPOT #2812 EDEN PRAIRIE MN </v>
      </c>
    </row>
    <row r="8500" spans="1:15" hidden="1">
      <c r="A8500" s="25">
        <f>VALUE(YEAR(Table2[[#This Row],[Date]])&amp;TEXT(MONTH(Table2[[#This Row],[Date]]),"00"))</f>
        <v>202212</v>
      </c>
      <c r="B8500" s="6">
        <v>44926</v>
      </c>
      <c r="C8500" t="s">
        <v>2262</v>
      </c>
      <c r="D8500" t="s">
        <v>3597</v>
      </c>
      <c r="E8500">
        <f t="shared" si="65"/>
        <v>17.7</v>
      </c>
      <c r="F8500" s="2" t="str">
        <f>IF(Table2[[#This Row],[Manual Cat Value]]="",VLOOKUP(Table2[[#This Row],[Description]],'Actuals Lookup'!D:F,3,0),Table2[[#This Row],[Manual Cat Value]])</f>
        <v>Exp - House Maint</v>
      </c>
      <c r="G8500" t="e">
        <f>VLOOKUP(D8500,Lookup!G:H,2,0)</f>
        <v>#N/A</v>
      </c>
      <c r="H8500" s="8" t="s">
        <v>1</v>
      </c>
      <c r="I8500" s="8"/>
      <c r="J8500">
        <v>17.7</v>
      </c>
      <c r="M8500" t="s">
        <v>2535</v>
      </c>
      <c r="O8500" t="str">
        <f>LEFT(Table2[[#This Row],[Description]],75)</f>
        <v>THE HOME DEPOT #2812 REF #031514</v>
      </c>
    </row>
    <row r="8501" spans="1:15" hidden="1">
      <c r="A8501" s="25">
        <f>VALUE(YEAR(Table2[[#This Row],[Date]])&amp;TEXT(MONTH(Table2[[#This Row],[Date]]),"00"))</f>
        <v>202212</v>
      </c>
      <c r="B8501" s="93">
        <v>44926</v>
      </c>
      <c r="C8501" t="s">
        <v>2262</v>
      </c>
      <c r="D8501" s="87" t="s">
        <v>3598</v>
      </c>
      <c r="E8501">
        <f t="shared" si="65"/>
        <v>21.46</v>
      </c>
      <c r="F8501" s="2" t="str">
        <f>IF(Table2[[#This Row],[Manual Cat Value]]="",VLOOKUP(Table2[[#This Row],[Description]],'Actuals Lookup'!D:F,3,0),Table2[[#This Row],[Manual Cat Value]])</f>
        <v>Exp - Shopping</v>
      </c>
      <c r="G8501" t="e">
        <f>VLOOKUP(D8501,Lookup!G:H,2,0)</f>
        <v>#N/A</v>
      </c>
      <c r="H8501" s="8" t="s">
        <v>36</v>
      </c>
      <c r="I8501" s="95"/>
      <c r="J8501" s="87">
        <v>21.46</v>
      </c>
      <c r="K8501" s="87"/>
      <c r="L8501" s="87"/>
      <c r="M8501" s="87" t="s">
        <v>2535</v>
      </c>
      <c r="O8501" t="str">
        <f>LEFT(Table2[[#This Row],[Description]],75)</f>
        <v xml:space="preserve">WILLIAMS SONOMA 6137 MINNETONKA MN </v>
      </c>
    </row>
    <row r="8502" spans="1:15" hidden="1">
      <c r="A8502" s="25">
        <f>VALUE(YEAR(Table2[[#This Row],[Date]])&amp;TEXT(MONTH(Table2[[#This Row],[Date]]),"00"))</f>
        <v>202212</v>
      </c>
      <c r="B8502" s="6">
        <v>44926</v>
      </c>
      <c r="C8502" t="s">
        <v>2262</v>
      </c>
      <c r="D8502" t="s">
        <v>3599</v>
      </c>
      <c r="E8502">
        <f t="shared" si="65"/>
        <v>21.46</v>
      </c>
      <c r="F8502" s="2" t="str">
        <f>IF(Table2[[#This Row],[Manual Cat Value]]="",VLOOKUP(Table2[[#This Row],[Description]],'Actuals Lookup'!D:F,3,0),Table2[[#This Row],[Manual Cat Value]])</f>
        <v>Exp - Shopping</v>
      </c>
      <c r="G8502" t="e">
        <f>VLOOKUP(D8502,Lookup!G:H,2,0)</f>
        <v>#N/A</v>
      </c>
      <c r="H8502" s="8" t="s">
        <v>36</v>
      </c>
      <c r="I8502" s="8"/>
      <c r="J8502">
        <v>21.46</v>
      </c>
      <c r="M8502" t="s">
        <v>2513</v>
      </c>
      <c r="O8502" t="str">
        <f>LEFT(Table2[[#This Row],[Description]],75)</f>
        <v>WILLIAMS SONOMA 6137 REF #031783</v>
      </c>
    </row>
    <row r="8503" spans="1:15" ht="30" hidden="1">
      <c r="A8503" s="25">
        <f>VALUE(YEAR(Table2[[#This Row],[Date]])&amp;TEXT(MONTH(Table2[[#This Row],[Date]]),"00"))</f>
        <v>202301</v>
      </c>
      <c r="B8503" s="6">
        <v>44927</v>
      </c>
      <c r="C8503" t="s">
        <v>2447</v>
      </c>
      <c r="D8503" s="7" t="s">
        <v>3600</v>
      </c>
      <c r="E8503">
        <f t="shared" si="65"/>
        <v>5.36</v>
      </c>
      <c r="F8503" s="2" t="str">
        <f>IF(Table2[[#This Row],[Manual Cat Value]]="",VLOOKUP(Table2[[#This Row],[Description]],'Actuals Lookup'!D:F,3,0),Table2[[#This Row],[Manual Cat Value]])</f>
        <v>Exp - Amazon</v>
      </c>
      <c r="G8503" t="e">
        <f>VLOOKUP(D8503,Lookup!G:H,2,0)</f>
        <v>#N/A</v>
      </c>
      <c r="H8503" s="8" t="s">
        <v>37</v>
      </c>
      <c r="I8503" s="78"/>
      <c r="J8503">
        <v>5.36</v>
      </c>
      <c r="M8503" t="s">
        <v>2513</v>
      </c>
      <c r="O8503" t="str">
        <f>LEFT(Table2[[#This Row],[Description]],75)</f>
        <v>AMAZON MUSIC*H06YQ2L23 888-802-3080 WA
2SZOGVT1ISL</v>
      </c>
    </row>
    <row r="8504" spans="1:15" hidden="1">
      <c r="A8504" s="25">
        <f>VALUE(YEAR(Table2[[#This Row],[Date]])&amp;TEXT(MONTH(Table2[[#This Row],[Date]]),"00"))</f>
        <v>202301</v>
      </c>
      <c r="B8504" s="6">
        <v>44927</v>
      </c>
      <c r="C8504" t="s">
        <v>2262</v>
      </c>
      <c r="D8504" t="s">
        <v>3601</v>
      </c>
      <c r="E8504">
        <f t="shared" si="65"/>
        <v>-6.43</v>
      </c>
      <c r="F8504" s="2" t="str">
        <f>IF(Table2[[#This Row],[Manual Cat Value]]="",VLOOKUP(Table2[[#This Row],[Description]],'Actuals Lookup'!D:F,3,0),Table2[[#This Row],[Manual Cat Value]])</f>
        <v>Exp - Restaurants</v>
      </c>
      <c r="G8504" t="e">
        <f>VLOOKUP(D8504,Lookup!G:H,2,0)</f>
        <v>#N/A</v>
      </c>
      <c r="H8504" s="8" t="s">
        <v>25</v>
      </c>
      <c r="I8504" s="8"/>
      <c r="J8504">
        <v>6.43</v>
      </c>
      <c r="M8504" t="s">
        <v>2621</v>
      </c>
      <c r="O8504" t="str">
        <f>LEFT(Table2[[#This Row],[Description]],75)</f>
        <v>CARIBOU COFFEE CO #116 REF #001280</v>
      </c>
    </row>
    <row r="8505" spans="1:15" hidden="1">
      <c r="A8505" s="25">
        <f>VALUE(YEAR(Table2[[#This Row],[Date]])&amp;TEXT(MONTH(Table2[[#This Row],[Date]]),"00"))</f>
        <v>202301</v>
      </c>
      <c r="B8505" s="6">
        <v>44927</v>
      </c>
      <c r="C8505" t="s">
        <v>2262</v>
      </c>
      <c r="D8505" t="s">
        <v>3590</v>
      </c>
      <c r="E8505">
        <f t="shared" si="65"/>
        <v>-25</v>
      </c>
      <c r="F8505" s="2" t="str">
        <f>IF(Table2[[#This Row],[Manual Cat Value]]="",VLOOKUP(Table2[[#This Row],[Description]],'Actuals Lookup'!D:F,3,0),Table2[[#This Row],[Manual Cat Value]])</f>
        <v>Exp - Travel</v>
      </c>
      <c r="G8505" t="e">
        <f>VLOOKUP(D8505,Lookup!G:H,2,0)</f>
        <v>#N/A</v>
      </c>
      <c r="H8505" s="8" t="s">
        <v>52</v>
      </c>
      <c r="I8505" s="8"/>
      <c r="J8505">
        <v>25</v>
      </c>
      <c r="M8505" t="s">
        <v>2621</v>
      </c>
      <c r="O8505" t="str">
        <f>LEFT(Table2[[#This Row],[Description]],75)</f>
        <v>HOME2 SUITES EDEN PRAIRIE REF #031953</v>
      </c>
    </row>
    <row r="8506" spans="1:15" hidden="1">
      <c r="A8506" s="25">
        <f>VALUE(YEAR(Table2[[#This Row],[Date]])&amp;TEXT(MONTH(Table2[[#This Row],[Date]]),"00"))</f>
        <v>202301</v>
      </c>
      <c r="B8506" s="6">
        <v>44927</v>
      </c>
      <c r="C8506" t="s">
        <v>2447</v>
      </c>
      <c r="D8506" t="s">
        <v>3602</v>
      </c>
      <c r="E8506">
        <f t="shared" si="65"/>
        <v>194.66</v>
      </c>
      <c r="F8506" s="2" t="str">
        <f>IF(Table2[[#This Row],[Manual Cat Value]]="",VLOOKUP(Table2[[#This Row],[Description]],'Actuals Lookup'!D:F,3,0),Table2[[#This Row],[Manual Cat Value]])</f>
        <v>Exp - Groceries</v>
      </c>
      <c r="G8506" t="e">
        <f>VLOOKUP(D8506,Lookup!G:H,2,0)</f>
        <v>#N/A</v>
      </c>
      <c r="H8506" s="8" t="s">
        <v>27</v>
      </c>
      <c r="I8506" s="8"/>
      <c r="J8506">
        <v>194.66</v>
      </c>
      <c r="M8506" t="s">
        <v>2513</v>
      </c>
      <c r="O8506" t="str">
        <f>LEFT(Table2[[#This Row],[Description]],75)</f>
        <v>LUNDS&amp;BYERLYS CHANHAS CHANHASSEN MN</v>
      </c>
    </row>
    <row r="8507" spans="1:15" hidden="1">
      <c r="A8507" s="25">
        <f>VALUE(YEAR(Table2[[#This Row],[Date]])&amp;TEXT(MONTH(Table2[[#This Row],[Date]]),"00"))</f>
        <v>202301</v>
      </c>
      <c r="B8507" s="93">
        <v>44927</v>
      </c>
      <c r="C8507" t="s">
        <v>2262</v>
      </c>
      <c r="D8507" s="87" t="s">
        <v>3603</v>
      </c>
      <c r="E8507">
        <f t="shared" si="65"/>
        <v>57.01</v>
      </c>
      <c r="F8507" s="2" t="str">
        <f>IF(Table2[[#This Row],[Manual Cat Value]]="",VLOOKUP(Table2[[#This Row],[Description]],'Actuals Lookup'!D:F,3,0),Table2[[#This Row],[Manual Cat Value]])</f>
        <v>Exp - Restaurants</v>
      </c>
      <c r="G8507" t="e">
        <f>VLOOKUP(D8507,Lookup!G:H,2,0)</f>
        <v>#N/A</v>
      </c>
      <c r="H8507" s="8" t="s">
        <v>25</v>
      </c>
      <c r="I8507" s="95"/>
      <c r="J8507" s="87">
        <v>57.01</v>
      </c>
      <c r="K8507" s="87"/>
      <c r="L8507" s="87"/>
      <c r="M8507" s="87" t="s">
        <v>2535</v>
      </c>
      <c r="O8507" t="str">
        <f>LEFT(Table2[[#This Row],[Description]],75)</f>
        <v xml:space="preserve">PIZZA LUCE VI INC 952-767-0854 MN </v>
      </c>
    </row>
    <row r="8508" spans="1:15" hidden="1">
      <c r="A8508" s="25">
        <f>VALUE(YEAR(Table2[[#This Row],[Date]])&amp;TEXT(MONTH(Table2[[#This Row],[Date]]),"00"))</f>
        <v>202301</v>
      </c>
      <c r="B8508" s="6">
        <v>44927</v>
      </c>
      <c r="C8508" t="s">
        <v>2265</v>
      </c>
      <c r="D8508" t="s">
        <v>3415</v>
      </c>
      <c r="E8508">
        <f t="shared" si="65"/>
        <v>618.65</v>
      </c>
      <c r="F8508" s="2" t="str">
        <f>IF(Table2[[#This Row],[Manual Cat Value]]="",VLOOKUP(Table2[[#This Row],[Description]],'Actuals Lookup'!D:F,3,0),Table2[[#This Row],[Manual Cat Value]])</f>
        <v>Exp - Car Loan</v>
      </c>
      <c r="G8508" t="e">
        <f>VLOOKUP(D8508,Lookup!G:H,2,0)</f>
        <v>#N/A</v>
      </c>
      <c r="H8508" s="8" t="s">
        <v>10</v>
      </c>
      <c r="I8508" s="8"/>
      <c r="J8508">
        <v>618.65</v>
      </c>
      <c r="M8508" t="s">
        <v>2513</v>
      </c>
      <c r="O8508" t="str">
        <f>LEFT(Table2[[#This Row],[Description]],75)</f>
        <v>Withdrawal Home Banking Transfer To Loan 02 REF # 1940599</v>
      </c>
    </row>
    <row r="8509" spans="1:15" hidden="1">
      <c r="A8509" s="25">
        <f>VALUE(YEAR(Table2[[#This Row],[Date]])&amp;TEXT(MONTH(Table2[[#This Row],[Date]]),"00"))</f>
        <v>202301</v>
      </c>
      <c r="B8509" s="6">
        <v>44927</v>
      </c>
      <c r="C8509" t="s">
        <v>2265</v>
      </c>
      <c r="D8509" t="s">
        <v>3604</v>
      </c>
      <c r="E8509">
        <f t="shared" si="65"/>
        <v>618.65</v>
      </c>
      <c r="F8509" s="2" t="str">
        <f>IF(Table2[[#This Row],[Manual Cat Value]]="",VLOOKUP(Table2[[#This Row],[Description]],'Actuals Lookup'!D:F,3,0),Table2[[#This Row],[Manual Cat Value]])</f>
        <v>Delete</v>
      </c>
      <c r="G8509" t="e">
        <f>VLOOKUP(D8509,Lookup!G:H,2,0)</f>
        <v>#N/A</v>
      </c>
      <c r="H8509" s="8" t="s">
        <v>9</v>
      </c>
      <c r="I8509" s="8"/>
      <c r="J8509">
        <v>618.65</v>
      </c>
      <c r="M8509" t="s">
        <v>2513</v>
      </c>
      <c r="O8509" t="str">
        <f>LEFT(Table2[[#This Row],[Description]],75)</f>
        <v>Withdrawal Home Banking Transfer To Loan 02 REF # 2402682</v>
      </c>
    </row>
    <row r="8510" spans="1:15" hidden="1">
      <c r="A8510" s="25">
        <f>VALUE(YEAR(Table2[[#This Row],[Date]])&amp;TEXT(MONTH(Table2[[#This Row],[Date]]),"00"))</f>
        <v>202301</v>
      </c>
      <c r="B8510" s="6">
        <v>44927</v>
      </c>
      <c r="C8510" t="s">
        <v>2314</v>
      </c>
      <c r="D8510" t="s">
        <v>3605</v>
      </c>
      <c r="E8510">
        <f t="shared" si="65"/>
        <v>-618.65</v>
      </c>
      <c r="F8510" s="2" t="str">
        <f>IF(Table2[[#This Row],[Manual Cat Value]]="",VLOOKUP(Table2[[#This Row],[Description]],'Actuals Lookup'!D:F,3,0),Table2[[#This Row],[Manual Cat Value]])</f>
        <v>Delete</v>
      </c>
      <c r="G8510" t="e">
        <f>VLOOKUP(D8510,Lookup!G:H,2,0)</f>
        <v>#N/A</v>
      </c>
      <c r="H8510" s="8" t="s">
        <v>9</v>
      </c>
      <c r="I8510" s="8"/>
      <c r="J8510">
        <v>618.65</v>
      </c>
      <c r="M8510" t="s">
        <v>2621</v>
      </c>
      <c r="O8510" t="str">
        <f>LEFT(Table2[[#This Row],[Description]],75)</f>
        <v>Payments Home Banking Transfer From Share 70 REF # 2402682</v>
      </c>
    </row>
    <row r="8511" spans="1:15" hidden="1">
      <c r="A8511" s="25">
        <f>VALUE(YEAR(Table2[[#This Row],[Date]])&amp;TEXT(MONTH(Table2[[#This Row],[Date]]),"00"))</f>
        <v>202301</v>
      </c>
      <c r="B8511" s="93">
        <v>44928</v>
      </c>
      <c r="C8511" t="s">
        <v>2262</v>
      </c>
      <c r="D8511" s="87" t="s">
        <v>3606</v>
      </c>
      <c r="E8511">
        <f t="shared" si="65"/>
        <v>15.66</v>
      </c>
      <c r="F8511" s="2" t="str">
        <f>IF(Table2[[#This Row],[Manual Cat Value]]="",VLOOKUP(Table2[[#This Row],[Description]],'Actuals Lookup'!D:F,3,0),Table2[[#This Row],[Manual Cat Value]])</f>
        <v>Exp - Restaurants</v>
      </c>
      <c r="G8511" t="e">
        <f>VLOOKUP(D8511,Lookup!G:H,2,0)</f>
        <v>#N/A</v>
      </c>
      <c r="H8511" s="8" t="s">
        <v>25</v>
      </c>
      <c r="I8511" s="95"/>
      <c r="J8511" s="87">
        <v>15.66</v>
      </c>
      <c r="K8511" s="87"/>
      <c r="L8511" s="87"/>
      <c r="M8511" s="87" t="s">
        <v>2535</v>
      </c>
      <c r="O8511" t="str">
        <f>LEFT(Table2[[#This Row],[Description]],75)</f>
        <v xml:space="preserve">CUB FOODS #1636 SHOREWOOD MN </v>
      </c>
    </row>
    <row r="8512" spans="1:15" hidden="1">
      <c r="A8512" s="25">
        <f>VALUE(YEAR(Table2[[#This Row],[Date]])&amp;TEXT(MONTH(Table2[[#This Row],[Date]]),"00"))</f>
        <v>202301</v>
      </c>
      <c r="B8512" s="93">
        <v>44928</v>
      </c>
      <c r="C8512" t="s">
        <v>2262</v>
      </c>
      <c r="D8512" s="87" t="s">
        <v>3607</v>
      </c>
      <c r="E8512">
        <f t="shared" si="65"/>
        <v>20</v>
      </c>
      <c r="F8512" s="2" t="str">
        <f>IF(Table2[[#This Row],[Manual Cat Value]]="",VLOOKUP(Table2[[#This Row],[Description]],'Actuals Lookup'!D:F,3,0),Table2[[#This Row],[Manual Cat Value]])</f>
        <v>Exp - Utilities</v>
      </c>
      <c r="G8512" t="e">
        <f>VLOOKUP(D8512,Lookup!G:H,2,0)</f>
        <v>#N/A</v>
      </c>
      <c r="H8512" s="8" t="s">
        <v>6</v>
      </c>
      <c r="I8512" s="95"/>
      <c r="J8512" s="87">
        <v>20</v>
      </c>
      <c r="K8512" s="87"/>
      <c r="L8512" s="87"/>
      <c r="M8512" s="87" t="s">
        <v>2535</v>
      </c>
      <c r="O8512" t="str">
        <f>LEFT(Table2[[#This Row],[Description]],75)</f>
        <v xml:space="preserve">HBRSUBSCRIPTION 800-988-0886 MA </v>
      </c>
    </row>
    <row r="8513" spans="1:16" hidden="1">
      <c r="A8513" s="25">
        <f>VALUE(YEAR(Table2[[#This Row],[Date]])&amp;TEXT(MONTH(Table2[[#This Row],[Date]]),"00"))</f>
        <v>202301</v>
      </c>
      <c r="B8513" s="93">
        <v>44928</v>
      </c>
      <c r="C8513" t="s">
        <v>2262</v>
      </c>
      <c r="D8513" s="87" t="s">
        <v>3608</v>
      </c>
      <c r="E8513">
        <f t="shared" si="65"/>
        <v>84.2</v>
      </c>
      <c r="F8513" s="2" t="str">
        <f>IF(Table2[[#This Row],[Manual Cat Value]]="",VLOOKUP(Table2[[#This Row],[Description]],'Actuals Lookup'!D:F,3,0),Table2[[#This Row],[Manual Cat Value]])</f>
        <v>Exp - Entertainment</v>
      </c>
      <c r="G8513" t="e">
        <f>VLOOKUP(D8513,Lookup!G:H,2,0)</f>
        <v>#N/A</v>
      </c>
      <c r="H8513" s="8" t="s">
        <v>39</v>
      </c>
      <c r="I8513" s="95"/>
      <c r="J8513" s="87">
        <v>84.2</v>
      </c>
      <c r="K8513" s="87"/>
      <c r="L8513" s="87"/>
      <c r="M8513" s="87" t="s">
        <v>2535</v>
      </c>
      <c r="O8513" t="str">
        <f>LEFT(Table2[[#This Row],[Description]],75)</f>
        <v xml:space="preserve">SP MINNESOTA ICE MAZE MINNESOTAICEM MN </v>
      </c>
    </row>
    <row r="8514" spans="1:16" ht="30" hidden="1">
      <c r="A8514" s="25">
        <f>VALUE(YEAR(Table2[[#This Row],[Date]])&amp;TEXT(MONTH(Table2[[#This Row],[Date]]),"00"))</f>
        <v>202301</v>
      </c>
      <c r="B8514" s="6">
        <v>44929</v>
      </c>
      <c r="C8514" t="s">
        <v>2447</v>
      </c>
      <c r="D8514" s="7" t="s">
        <v>3609</v>
      </c>
      <c r="E8514">
        <f t="shared" si="65"/>
        <v>32.200000000000003</v>
      </c>
      <c r="F8514" s="2" t="str">
        <f>IF(Table2[[#This Row],[Manual Cat Value]]="",VLOOKUP(Table2[[#This Row],[Description]],'Actuals Lookup'!D:F,3,0),Table2[[#This Row],[Manual Cat Value]])</f>
        <v>Exp - Amazon</v>
      </c>
      <c r="G8514" t="e">
        <f>VLOOKUP(D8514,Lookup!G:H,2,0)</f>
        <v>#N/A</v>
      </c>
      <c r="H8514" s="8" t="s">
        <v>37</v>
      </c>
      <c r="I8514" s="78"/>
      <c r="J8514">
        <v>32.200000000000003</v>
      </c>
      <c r="M8514" t="s">
        <v>2513</v>
      </c>
      <c r="O8514" t="str">
        <f>LEFT(Table2[[#This Row],[Description]],75)</f>
        <v>AMZN MKTP US*7B5D40OE3 AMZN.COM/BILLWA
73FWI3OC7KE</v>
      </c>
    </row>
    <row r="8515" spans="1:16" hidden="1">
      <c r="A8515" s="25">
        <f>VALUE(YEAR(Table2[[#This Row],[Date]])&amp;TEXT(MONTH(Table2[[#This Row],[Date]]),"00"))</f>
        <v>202301</v>
      </c>
      <c r="B8515" s="93">
        <v>44929</v>
      </c>
      <c r="C8515" t="s">
        <v>2262</v>
      </c>
      <c r="D8515" s="87" t="s">
        <v>3606</v>
      </c>
      <c r="E8515">
        <f t="shared" si="65"/>
        <v>48.05</v>
      </c>
      <c r="F8515" s="2" t="str">
        <f>IF(Table2[[#This Row],[Manual Cat Value]]="",VLOOKUP(Table2[[#This Row],[Description]],'Actuals Lookup'!D:F,3,0),Table2[[#This Row],[Manual Cat Value]])</f>
        <v>Exp - Groceries</v>
      </c>
      <c r="G8515" t="e">
        <f>VLOOKUP(D8515,Lookup!G:H,2,0)</f>
        <v>#N/A</v>
      </c>
      <c r="H8515" s="8" t="s">
        <v>27</v>
      </c>
      <c r="I8515" s="95"/>
      <c r="J8515" s="87">
        <v>48.05</v>
      </c>
      <c r="K8515" s="87"/>
      <c r="L8515" s="87"/>
      <c r="M8515" s="87" t="s">
        <v>2535</v>
      </c>
      <c r="O8515" t="str">
        <f>LEFT(Table2[[#This Row],[Description]],75)</f>
        <v xml:space="preserve">CUB FOODS #1636 SHOREWOOD MN </v>
      </c>
    </row>
    <row r="8516" spans="1:16" hidden="1">
      <c r="A8516" s="25">
        <f>VALUE(YEAR(Table2[[#This Row],[Date]])&amp;TEXT(MONTH(Table2[[#This Row],[Date]]),"00"))</f>
        <v>202301</v>
      </c>
      <c r="B8516" s="93">
        <v>44929</v>
      </c>
      <c r="C8516" t="s">
        <v>2262</v>
      </c>
      <c r="D8516" s="87" t="s">
        <v>3606</v>
      </c>
      <c r="E8516">
        <f t="shared" si="65"/>
        <v>13.4</v>
      </c>
      <c r="F8516" s="2" t="str">
        <f>IF(Table2[[#This Row],[Manual Cat Value]]="",VLOOKUP(Table2[[#This Row],[Description]],'Actuals Lookup'!D:F,3,0),Table2[[#This Row],[Manual Cat Value]])</f>
        <v>Exp - Groceries</v>
      </c>
      <c r="G8516" t="e">
        <f>VLOOKUP(D8516,Lookup!G:H,2,0)</f>
        <v>#N/A</v>
      </c>
      <c r="H8516" s="8" t="s">
        <v>27</v>
      </c>
      <c r="I8516" s="95"/>
      <c r="J8516" s="87">
        <v>13.4</v>
      </c>
      <c r="K8516" s="87"/>
      <c r="L8516" s="87"/>
      <c r="M8516" s="87" t="s">
        <v>2535</v>
      </c>
      <c r="O8516" t="str">
        <f>LEFT(Table2[[#This Row],[Description]],75)</f>
        <v xml:space="preserve">CUB FOODS #1636 SHOREWOOD MN </v>
      </c>
    </row>
    <row r="8517" spans="1:16" hidden="1">
      <c r="A8517" s="25">
        <f>VALUE(YEAR(Table2[[#This Row],[Date]])&amp;TEXT(MONTH(Table2[[#This Row],[Date]]),"00"))</f>
        <v>202301</v>
      </c>
      <c r="B8517" s="6">
        <v>44929</v>
      </c>
      <c r="C8517" t="s">
        <v>2265</v>
      </c>
      <c r="D8517" t="s">
        <v>3610</v>
      </c>
      <c r="E8517">
        <f t="shared" si="65"/>
        <v>-24.79</v>
      </c>
      <c r="F8517" s="2" t="str">
        <f>IF(Table2[[#This Row],[Manual Cat Value]]="",VLOOKUP(Table2[[#This Row],[Description]],'Actuals Lookup'!D:F,3,0),Table2[[#This Row],[Manual Cat Value]])</f>
        <v>Inc - Dividend</v>
      </c>
      <c r="G8517" t="e">
        <f>VLOOKUP(D8517,Lookup!G:H,2,0)</f>
        <v>#N/A</v>
      </c>
      <c r="H8517" s="8" t="s">
        <v>68</v>
      </c>
      <c r="I8517" s="8"/>
      <c r="J8517">
        <v>24.79</v>
      </c>
      <c r="M8517" t="s">
        <v>2621</v>
      </c>
      <c r="O8517" t="str">
        <f>LEFT(Table2[[#This Row],[Description]],75)</f>
        <v>Deposit Adjustment Dividend Dec Div Correct</v>
      </c>
    </row>
    <row r="8518" spans="1:16" hidden="1">
      <c r="A8518" s="25">
        <f>VALUE(YEAR(Table2[[#This Row],[Date]])&amp;TEXT(MONTH(Table2[[#This Row],[Date]]),"00"))</f>
        <v>202301</v>
      </c>
      <c r="B8518" s="6">
        <v>44929</v>
      </c>
      <c r="C8518" t="s">
        <v>2710</v>
      </c>
      <c r="D8518" t="s">
        <v>3611</v>
      </c>
      <c r="E8518">
        <f t="shared" si="65"/>
        <v>4219</v>
      </c>
      <c r="F8518" s="2" t="str">
        <f>IF(Table2[[#This Row],[Manual Cat Value]]="",VLOOKUP(Table2[[#This Row],[Description]],'Actuals Lookup'!D:F,3,0),Table2[[#This Row],[Manual Cat Value]])</f>
        <v>Delete</v>
      </c>
      <c r="G8518" t="e">
        <f>VLOOKUP(D8518,Lookup!G:H,2,0)</f>
        <v>#N/A</v>
      </c>
      <c r="H8518" s="8" t="s">
        <v>9</v>
      </c>
      <c r="I8518" s="8"/>
      <c r="J8518">
        <v>4219</v>
      </c>
      <c r="M8518" t="s">
        <v>2513</v>
      </c>
      <c r="O8518" t="str">
        <f>LEFT(Table2[[#This Row],[Description]],75)</f>
        <v>Hazard Insurance Disbursement (Primary Policy)</v>
      </c>
    </row>
    <row r="8519" spans="1:16" hidden="1">
      <c r="A8519" s="25">
        <f>VALUE(YEAR(Table2[[#This Row],[Date]])&amp;TEXT(MONTH(Table2[[#This Row],[Date]]),"00"))</f>
        <v>202301</v>
      </c>
      <c r="B8519" s="93">
        <v>44929</v>
      </c>
      <c r="C8519" t="s">
        <v>2262</v>
      </c>
      <c r="D8519" s="87" t="s">
        <v>3612</v>
      </c>
      <c r="E8519">
        <f t="shared" si="65"/>
        <v>75</v>
      </c>
      <c r="F8519" s="2" t="str">
        <f>IF(Table2[[#This Row],[Manual Cat Value]]="",VLOOKUP(Table2[[#This Row],[Description]],'Actuals Lookup'!D:F,3,0),Table2[[#This Row],[Manual Cat Value]])</f>
        <v>Exp - Shopping</v>
      </c>
      <c r="G8519" t="e">
        <f>VLOOKUP(D8519,Lookup!G:H,2,0)</f>
        <v>#N/A</v>
      </c>
      <c r="H8519" s="8" t="s">
        <v>36</v>
      </c>
      <c r="I8519" s="95"/>
      <c r="J8519" s="87">
        <v>75</v>
      </c>
      <c r="K8519" s="87"/>
      <c r="L8519" s="87"/>
      <c r="M8519" s="87" t="s">
        <v>2535</v>
      </c>
      <c r="O8519" t="str">
        <f>LEFT(Table2[[#This Row],[Description]],75)</f>
        <v xml:space="preserve">SP DR. DENNIS GROSS DRDENNISGROSS NY </v>
      </c>
    </row>
    <row r="8520" spans="1:16" hidden="1">
      <c r="A8520" s="25">
        <f>VALUE(YEAR(Table2[[#This Row],[Date]])&amp;TEXT(MONTH(Table2[[#This Row],[Date]]),"00"))</f>
        <v>202301</v>
      </c>
      <c r="B8520" s="93">
        <v>44929</v>
      </c>
      <c r="C8520" t="s">
        <v>2262</v>
      </c>
      <c r="D8520" s="87" t="s">
        <v>3613</v>
      </c>
      <c r="E8520">
        <f t="shared" si="65"/>
        <v>63.36</v>
      </c>
      <c r="F8520" s="2" t="str">
        <f>IF(Table2[[#This Row],[Manual Cat Value]]="",VLOOKUP(Table2[[#This Row],[Description]],'Actuals Lookup'!D:F,3,0),Table2[[#This Row],[Manual Cat Value]])</f>
        <v>Exp - Groceries</v>
      </c>
      <c r="G8520" t="e">
        <f>VLOOKUP(D8520,Lookup!G:H,2,0)</f>
        <v>#N/A</v>
      </c>
      <c r="H8520" s="8" t="s">
        <v>27</v>
      </c>
      <c r="I8520" s="95"/>
      <c r="J8520" s="87">
        <v>63.36</v>
      </c>
      <c r="K8520" s="87"/>
      <c r="L8520" s="87"/>
      <c r="M8520" s="87" t="s">
        <v>2535</v>
      </c>
      <c r="O8520" t="str">
        <f>LEFT(Table2[[#This Row],[Description]],75)</f>
        <v xml:space="preserve">WALGREENS #11690 WACONIA MN </v>
      </c>
    </row>
    <row r="8521" spans="1:16" hidden="1">
      <c r="A8521" s="25">
        <f>VALUE(YEAR(Table2[[#This Row],[Date]])&amp;TEXT(MONTH(Table2[[#This Row],[Date]]),"00"))</f>
        <v>202301</v>
      </c>
      <c r="B8521" s="6">
        <v>44929</v>
      </c>
      <c r="C8521" t="s">
        <v>2265</v>
      </c>
      <c r="D8521" t="s">
        <v>3614</v>
      </c>
      <c r="E8521">
        <f t="shared" si="65"/>
        <v>300</v>
      </c>
      <c r="F8521" s="2" t="str">
        <f>IF(Table2[[#This Row],[Manual Cat Value]]="",VLOOKUP(Table2[[#This Row],[Description]],'Actuals Lookup'!D:F,3,0),Table2[[#This Row],[Manual Cat Value]])</f>
        <v>Delete</v>
      </c>
      <c r="G8521" t="e">
        <f>VLOOKUP(D8521,Lookup!G:H,2,0)</f>
        <v>#N/A</v>
      </c>
      <c r="H8521" s="8" t="s">
        <v>9</v>
      </c>
      <c r="I8521" s="8"/>
      <c r="J8521">
        <v>300</v>
      </c>
      <c r="M8521" t="s">
        <v>2513</v>
      </c>
      <c r="O8521" t="str">
        <f>LEFT(Table2[[#This Row],[Description]],75)</f>
        <v xml:space="preserve">Withdrawal ACH College Savings TYPE: ACH ID: 550895818 CO: College Savings </v>
      </c>
    </row>
    <row r="8522" spans="1:16" hidden="1">
      <c r="A8522" s="25">
        <f>VALUE(YEAR(Table2[[#This Row],[Date]])&amp;TEXT(MONTH(Table2[[#This Row],[Date]]),"00"))</f>
        <v>202301</v>
      </c>
      <c r="B8522" s="6">
        <v>44929</v>
      </c>
      <c r="C8522" t="s">
        <v>2265</v>
      </c>
      <c r="D8522" t="s">
        <v>3615</v>
      </c>
      <c r="E8522">
        <f t="shared" si="65"/>
        <v>58</v>
      </c>
      <c r="F8522" s="2" t="str">
        <f>IF(Table2[[#This Row],[Manual Cat Value]]="",VLOOKUP(Table2[[#This Row],[Description]],'Actuals Lookup'!D:F,3,0),Table2[[#This Row],[Manual Cat Value]])</f>
        <v>Exp - Shopping</v>
      </c>
      <c r="G8522" t="e">
        <f>VLOOKUP(D8522,Lookup!G:H,2,0)</f>
        <v>#N/A</v>
      </c>
      <c r="H8522" s="8" t="s">
        <v>36</v>
      </c>
      <c r="I8522" s="8"/>
      <c r="J8522">
        <v>58</v>
      </c>
      <c r="M8522" t="s">
        <v>2513</v>
      </c>
      <c r="O8522" t="str">
        <f>LEFT(Table2[[#This Row],[Description]],75)</f>
        <v xml:space="preserve">Withdrawal ACH PAYPAL TYPE: INST XFER ID: PAYPALSI77 CO: PAYPAL NAME: JEFF </v>
      </c>
    </row>
    <row r="8523" spans="1:16" hidden="1">
      <c r="A8523" s="25">
        <f>VALUE(YEAR(Table2[[#This Row],[Date]])&amp;TEXT(MONTH(Table2[[#This Row],[Date]]),"00"))</f>
        <v>202301</v>
      </c>
      <c r="B8523" s="6">
        <v>44929</v>
      </c>
      <c r="C8523" t="s">
        <v>2710</v>
      </c>
      <c r="D8523" t="s">
        <v>1410</v>
      </c>
      <c r="E8523">
        <f t="shared" si="65"/>
        <v>2606.27</v>
      </c>
      <c r="F8523" s="2" t="str">
        <f>IF(Table2[[#This Row],[Manual Cat Value]]="",VLOOKUP(Table2[[#This Row],[Description]],'Actuals Lookup'!D:F,3,0),Table2[[#This Row],[Manual Cat Value]])</f>
        <v>Delete</v>
      </c>
      <c r="G8523" t="str">
        <f>VLOOKUP(D8523,Lookup!G:H,2,0)</f>
        <v>Delete</v>
      </c>
      <c r="H8523" s="8" t="s">
        <v>9</v>
      </c>
      <c r="I8523" s="8"/>
      <c r="J8523">
        <v>2606.27</v>
      </c>
      <c r="M8523" t="s">
        <v>2513</v>
      </c>
      <c r="O8523" t="str">
        <f>LEFT(Table2[[#This Row],[Description]],75)</f>
        <v>PAYMENT</v>
      </c>
    </row>
    <row r="8524" spans="1:16" hidden="1">
      <c r="A8524" s="25">
        <f>VALUE(YEAR(Table2[[#This Row],[Date]])&amp;TEXT(MONTH(Table2[[#This Row],[Date]]),"00"))</f>
        <v>202301</v>
      </c>
      <c r="B8524" s="6">
        <v>44929</v>
      </c>
      <c r="C8524" t="s">
        <v>2265</v>
      </c>
      <c r="D8524" t="s">
        <v>3616</v>
      </c>
      <c r="E8524">
        <f t="shared" si="65"/>
        <v>55</v>
      </c>
      <c r="F8524" s="2" t="str">
        <f>IF(Table2[[#This Row],[Manual Cat Value]]="",VLOOKUP(Table2[[#This Row],[Description]],'Actuals Lookup'!D:F,3,0),Table2[[#This Row],[Manual Cat Value]])</f>
        <v>Exp - Shopping</v>
      </c>
      <c r="G8524" t="e">
        <f>VLOOKUP(D8524,Lookup!G:H,2,0)</f>
        <v>#N/A</v>
      </c>
      <c r="H8524" s="8" t="s">
        <v>36</v>
      </c>
      <c r="I8524" s="8"/>
      <c r="J8524">
        <v>55</v>
      </c>
      <c r="M8524" t="s">
        <v>2513</v>
      </c>
      <c r="O8524" t="str">
        <f>LEFT(Table2[[#This Row],[Description]],75)</f>
        <v>Withdrawal ACH VENMO TYPE: PAYMENT ID: 326XXXXXXX CO: VENMO NAME: BRITNEY T</v>
      </c>
    </row>
    <row r="8525" spans="1:16" hidden="1">
      <c r="A8525" s="2">
        <v>201909</v>
      </c>
      <c r="B8525" s="3">
        <v>43727</v>
      </c>
      <c r="C8525" s="2" t="s">
        <v>64</v>
      </c>
      <c r="D8525" s="2" t="s">
        <v>1386</v>
      </c>
      <c r="E8525" s="2">
        <v>95.54</v>
      </c>
      <c r="F8525" s="2" t="s">
        <v>9</v>
      </c>
      <c r="J8525" s="2">
        <v>95.54</v>
      </c>
      <c r="K8525" s="2" t="b">
        <v>0</v>
      </c>
      <c r="L8525" s="2"/>
      <c r="M8525" s="2"/>
      <c r="N8525" s="4" t="s">
        <v>2259</v>
      </c>
      <c r="O8525" s="4" t="str">
        <f>LEFT(Table2[[#This Row],[Description]],75)</f>
        <v>OVERDRAFT TO INVESTOR CHECKING -5184</v>
      </c>
      <c r="P8525" s="2"/>
    </row>
    <row r="8526" spans="1:16" hidden="1">
      <c r="A8526" s="25">
        <f>VALUE(YEAR(Table2[[#This Row],[Date]])&amp;TEXT(MONTH(Table2[[#This Row],[Date]]),"00"))</f>
        <v>202301</v>
      </c>
      <c r="B8526" s="6">
        <v>44930</v>
      </c>
      <c r="C8526" t="s">
        <v>2265</v>
      </c>
      <c r="D8526" t="s">
        <v>3617</v>
      </c>
      <c r="E8526">
        <f t="shared" ref="E8526:E8557" si="66">IF(M8526="credit",-1*J8526,J8526)</f>
        <v>330</v>
      </c>
      <c r="F8526" s="2" t="str">
        <f>IF(Table2[[#This Row],[Manual Cat Value]]="",VLOOKUP(Table2[[#This Row],[Description]],'Actuals Lookup'!D:F,3,0),Table2[[#This Row],[Manual Cat Value]])</f>
        <v>Exp - Day Care</v>
      </c>
      <c r="G8526" t="e">
        <f>VLOOKUP(D8526,Lookup!G:H,2,0)</f>
        <v>#N/A</v>
      </c>
      <c r="H8526" s="8" t="s">
        <v>19</v>
      </c>
      <c r="I8526" s="8"/>
      <c r="J8526">
        <v>330</v>
      </c>
      <c r="M8526" t="s">
        <v>2513</v>
      </c>
      <c r="O8526" t="str">
        <f>LEFT(Table2[[#This Row],[Description]],75)</f>
        <v xml:space="preserve">Withdrawal ACH MHCHILDCARELLC TYPE: DUES ID: 1824708198 CO: MHCHILDCARELLC </v>
      </c>
    </row>
    <row r="8527" spans="1:16" hidden="1">
      <c r="A8527" s="25">
        <f>VALUE(YEAR(Table2[[#This Row],[Date]])&amp;TEXT(MONTH(Table2[[#This Row],[Date]]),"00"))</f>
        <v>202301</v>
      </c>
      <c r="B8527" s="6">
        <v>44930</v>
      </c>
      <c r="C8527" t="s">
        <v>2265</v>
      </c>
      <c r="D8527" t="s">
        <v>2640</v>
      </c>
      <c r="E8527">
        <f t="shared" si="66"/>
        <v>1626.54</v>
      </c>
      <c r="F8527" s="2" t="str">
        <f>IF(Table2[[#This Row],[Manual Cat Value]]="",VLOOKUP(Table2[[#This Row],[Description]],'Actuals Lookup'!D:F,3,0),Table2[[#This Row],[Manual Cat Value]])</f>
        <v>Delete</v>
      </c>
      <c r="G8527" t="e">
        <f>VLOOKUP(D8527,Lookup!G:H,2,0)</f>
        <v>#N/A</v>
      </c>
      <c r="H8527" s="8" t="s">
        <v>9</v>
      </c>
      <c r="I8527" s="8"/>
      <c r="J8527">
        <v>1626.54</v>
      </c>
      <c r="M8527" t="s">
        <v>2513</v>
      </c>
      <c r="O8527" t="str">
        <f>LEFT(Table2[[#This Row],[Description]],75)</f>
        <v>Withdrawal Home Banking Pmt to card XXXXXXXXXXXX-9181</v>
      </c>
    </row>
    <row r="8528" spans="1:16" hidden="1">
      <c r="A8528" s="25">
        <f>VALUE(YEAR(Table2[[#This Row],[Date]])&amp;TEXT(MONTH(Table2[[#This Row],[Date]]),"00"))</f>
        <v>202301</v>
      </c>
      <c r="B8528" s="93">
        <v>44930</v>
      </c>
      <c r="C8528" t="s">
        <v>2262</v>
      </c>
      <c r="D8528" s="87" t="s">
        <v>3618</v>
      </c>
      <c r="E8528">
        <f t="shared" si="66"/>
        <v>-1626.54</v>
      </c>
      <c r="F8528" s="2" t="str">
        <f>IF(Table2[[#This Row],[Manual Cat Value]]="",VLOOKUP(Table2[[#This Row],[Description]],'Actuals Lookup'!D:F,3,0),Table2[[#This Row],[Manual Cat Value]])</f>
        <v>Delete</v>
      </c>
      <c r="G8528" t="e">
        <f>VLOOKUP(D8528,Lookup!G:H,2,0)</f>
        <v>#N/A</v>
      </c>
      <c r="H8528" s="8" t="s">
        <v>9</v>
      </c>
      <c r="I8528" s="95"/>
      <c r="J8528" s="87">
        <v>1626.54</v>
      </c>
      <c r="K8528" s="87"/>
      <c r="L8528" s="87"/>
      <c r="M8528" s="87" t="s">
        <v>3074</v>
      </c>
      <c r="O8528" t="str">
        <f>LEFT(Table2[[#This Row],[Description]],75)</f>
        <v xml:space="preserve">PAYMENT - THANK YOU </v>
      </c>
    </row>
    <row r="8529" spans="1:15" ht="30" hidden="1">
      <c r="A8529" s="25">
        <f>VALUE(YEAR(Table2[[#This Row],[Date]])&amp;TEXT(MONTH(Table2[[#This Row],[Date]]),"00"))</f>
        <v>202301</v>
      </c>
      <c r="B8529" s="6">
        <v>44931</v>
      </c>
      <c r="C8529" t="s">
        <v>2447</v>
      </c>
      <c r="D8529" s="7" t="s">
        <v>3619</v>
      </c>
      <c r="E8529">
        <f t="shared" si="66"/>
        <v>12.98</v>
      </c>
      <c r="F8529" s="2" t="str">
        <f>IF(Table2[[#This Row],[Manual Cat Value]]="",VLOOKUP(Table2[[#This Row],[Description]],'Actuals Lookup'!D:F,3,0),Table2[[#This Row],[Manual Cat Value]])</f>
        <v>Exp - Amazon</v>
      </c>
      <c r="G8529" t="e">
        <f>VLOOKUP(D8529,Lookup!G:H,2,0)</f>
        <v>#N/A</v>
      </c>
      <c r="H8529" s="8" t="s">
        <v>37</v>
      </c>
      <c r="I8529" s="78"/>
      <c r="J8529">
        <v>12.98</v>
      </c>
      <c r="M8529" t="s">
        <v>2513</v>
      </c>
      <c r="O8529" t="str">
        <f>LEFT(Table2[[#This Row],[Description]],75)</f>
        <v>AMZN MKTP US*3B1CX1AO3 AMZN.COM/BILLWA
RBSNL6JW8EI</v>
      </c>
    </row>
    <row r="8530" spans="1:15" hidden="1">
      <c r="A8530" s="25">
        <f>VALUE(YEAR(Table2[[#This Row],[Date]])&amp;TEXT(MONTH(Table2[[#This Row],[Date]]),"00"))</f>
        <v>202301</v>
      </c>
      <c r="B8530" s="93">
        <v>44931</v>
      </c>
      <c r="C8530" t="s">
        <v>2262</v>
      </c>
      <c r="D8530" s="87" t="s">
        <v>3606</v>
      </c>
      <c r="E8530">
        <f t="shared" si="66"/>
        <v>157.38999999999999</v>
      </c>
      <c r="F8530" s="2" t="str">
        <f>IF(Table2[[#This Row],[Manual Cat Value]]="",VLOOKUP(Table2[[#This Row],[Description]],'Actuals Lookup'!D:F,3,0),Table2[[#This Row],[Manual Cat Value]])</f>
        <v>Exp - Groceries</v>
      </c>
      <c r="G8530" t="e">
        <f>VLOOKUP(D8530,Lookup!G:H,2,0)</f>
        <v>#N/A</v>
      </c>
      <c r="H8530" s="8" t="s">
        <v>27</v>
      </c>
      <c r="I8530" s="95"/>
      <c r="J8530" s="87">
        <v>157.38999999999999</v>
      </c>
      <c r="K8530" s="87"/>
      <c r="L8530" s="87"/>
      <c r="M8530" s="87" t="s">
        <v>2535</v>
      </c>
      <c r="O8530" t="str">
        <f>LEFT(Table2[[#This Row],[Description]],75)</f>
        <v xml:space="preserve">CUB FOODS #1636 SHOREWOOD MN </v>
      </c>
    </row>
    <row r="8531" spans="1:15" hidden="1">
      <c r="A8531" s="25">
        <f>VALUE(YEAR(Table2[[#This Row],[Date]])&amp;TEXT(MONTH(Table2[[#This Row],[Date]]),"00"))</f>
        <v>202301</v>
      </c>
      <c r="B8531" s="93">
        <v>44931</v>
      </c>
      <c r="C8531" t="s">
        <v>2262</v>
      </c>
      <c r="D8531" s="87" t="s">
        <v>3606</v>
      </c>
      <c r="E8531">
        <f t="shared" si="66"/>
        <v>0.86</v>
      </c>
      <c r="F8531" s="2" t="str">
        <f>IF(Table2[[#This Row],[Manual Cat Value]]="",VLOOKUP(Table2[[#This Row],[Description]],'Actuals Lookup'!D:F,3,0),Table2[[#This Row],[Manual Cat Value]])</f>
        <v>Exp - Groceries</v>
      </c>
      <c r="G8531" t="e">
        <f>VLOOKUP(D8531,Lookup!G:H,2,0)</f>
        <v>#N/A</v>
      </c>
      <c r="H8531" s="8" t="s">
        <v>27</v>
      </c>
      <c r="I8531" s="95"/>
      <c r="J8531" s="87">
        <v>0.86</v>
      </c>
      <c r="K8531" s="87"/>
      <c r="L8531" s="87"/>
      <c r="M8531" s="87" t="s">
        <v>2535</v>
      </c>
      <c r="O8531" t="str">
        <f>LEFT(Table2[[#This Row],[Description]],75)</f>
        <v xml:space="preserve">CUB FOODS #1636 SHOREWOOD MN </v>
      </c>
    </row>
    <row r="8532" spans="1:15" hidden="1">
      <c r="A8532" s="25">
        <f>VALUE(YEAR(Table2[[#This Row],[Date]])&amp;TEXT(MONTH(Table2[[#This Row],[Date]]),"00"))</f>
        <v>202301</v>
      </c>
      <c r="B8532" s="6">
        <v>44931</v>
      </c>
      <c r="C8532" t="s">
        <v>2265</v>
      </c>
      <c r="D8532" t="s">
        <v>3620</v>
      </c>
      <c r="E8532">
        <f t="shared" si="66"/>
        <v>-2453.23</v>
      </c>
      <c r="F8532" s="2" t="str">
        <f>IF(Table2[[#This Row],[Manual Cat Value]]="",VLOOKUP(Table2[[#This Row],[Description]],'Actuals Lookup'!D:F,3,0),Table2[[#This Row],[Manual Cat Value]])</f>
        <v>Inc - Britney</v>
      </c>
      <c r="G8532" t="e">
        <f>VLOOKUP(D8532,Lookup!G:H,2,0)</f>
        <v>#N/A</v>
      </c>
      <c r="H8532" s="8" t="s">
        <v>65</v>
      </c>
      <c r="I8532" s="8"/>
      <c r="J8532">
        <v>2453.23</v>
      </c>
      <c r="M8532" t="s">
        <v>2621</v>
      </c>
      <c r="O8532" t="str">
        <f>LEFT(Table2[[#This Row],[Description]],75)</f>
        <v>Deposit ACH CARGILL INCORPOR TYPE: DIRECT DEP ID: 9111111101 CO: CARGILL IN</v>
      </c>
    </row>
    <row r="8533" spans="1:15" hidden="1">
      <c r="A8533" s="25">
        <f>VALUE(YEAR(Table2[[#This Row],[Date]])&amp;TEXT(MONTH(Table2[[#This Row],[Date]]),"00"))</f>
        <v>202301</v>
      </c>
      <c r="B8533" s="6">
        <v>44931</v>
      </c>
      <c r="C8533" t="s">
        <v>2265</v>
      </c>
      <c r="D8533" t="s">
        <v>3621</v>
      </c>
      <c r="E8533">
        <f t="shared" si="66"/>
        <v>-694.2</v>
      </c>
      <c r="F8533" s="2" t="str">
        <f>IF(Table2[[#This Row],[Manual Cat Value]]="",VLOOKUP(Table2[[#This Row],[Description]],'Actuals Lookup'!D:F,3,0),Table2[[#This Row],[Manual Cat Value]])</f>
        <v>Delete</v>
      </c>
      <c r="G8533" t="e">
        <f>VLOOKUP(D8533,Lookup!G:H,2,0)</f>
        <v>#N/A</v>
      </c>
      <c r="H8533" s="8" t="s">
        <v>9</v>
      </c>
      <c r="I8533" s="8"/>
      <c r="J8533">
        <v>694.2</v>
      </c>
      <c r="M8533" t="s">
        <v>2621</v>
      </c>
      <c r="O8533" t="str">
        <f>LEFT(Table2[[#This Row],[Description]],75)</f>
        <v>Deposit ACH connectyourcare TYPE: SVB-CLAIMS ID: E942875288 CO: connectyour</v>
      </c>
    </row>
    <row r="8534" spans="1:15" hidden="1">
      <c r="A8534" s="25">
        <f>VALUE(YEAR(Table2[[#This Row],[Date]])&amp;TEXT(MONTH(Table2[[#This Row],[Date]]),"00"))</f>
        <v>202301</v>
      </c>
      <c r="B8534" s="6">
        <v>44931</v>
      </c>
      <c r="C8534" t="s">
        <v>2265</v>
      </c>
      <c r="D8534" t="s">
        <v>3622</v>
      </c>
      <c r="E8534">
        <f t="shared" si="66"/>
        <v>-7.4</v>
      </c>
      <c r="F8534" s="2" t="str">
        <f>IF(Table2[[#This Row],[Manual Cat Value]]="",VLOOKUP(Table2[[#This Row],[Description]],'Actuals Lookup'!D:F,3,0),Table2[[#This Row],[Manual Cat Value]])</f>
        <v>Exp - Shopping</v>
      </c>
      <c r="G8534" t="e">
        <f>VLOOKUP(D8534,Lookup!G:H,2,0)</f>
        <v>#N/A</v>
      </c>
      <c r="H8534" s="8" t="s">
        <v>36</v>
      </c>
      <c r="I8534" s="8"/>
      <c r="J8534">
        <v>7.4</v>
      </c>
      <c r="M8534" t="s">
        <v>2621</v>
      </c>
      <c r="O8534" t="str">
        <f>LEFT(Table2[[#This Row],[Description]],75)</f>
        <v>Deposit ACH PAYPAL TYPE: TRANSFER ID: PAYPALSD11 CO: PAYPAL Entry Class Cod</v>
      </c>
    </row>
    <row r="8535" spans="1:15" hidden="1">
      <c r="A8535" s="25">
        <f>VALUE(YEAR(Table2[[#This Row],[Date]])&amp;TEXT(MONTH(Table2[[#This Row],[Date]]),"00"))</f>
        <v>202301</v>
      </c>
      <c r="B8535" s="93">
        <v>44931</v>
      </c>
      <c r="C8535" t="s">
        <v>2262</v>
      </c>
      <c r="D8535" s="87" t="s">
        <v>3623</v>
      </c>
      <c r="E8535">
        <f t="shared" si="66"/>
        <v>22.36</v>
      </c>
      <c r="F8535" s="2" t="str">
        <f>IF(Table2[[#This Row],[Manual Cat Value]]="",VLOOKUP(Table2[[#This Row],[Description]],'Actuals Lookup'!D:F,3,0),Table2[[#This Row],[Manual Cat Value]])</f>
        <v>Exp - Transportation</v>
      </c>
      <c r="G8535" t="e">
        <f>VLOOKUP(D8535,Lookup!G:H,2,0)</f>
        <v>#N/A</v>
      </c>
      <c r="H8535" s="8" t="s">
        <v>22</v>
      </c>
      <c r="I8535" s="95"/>
      <c r="J8535" s="87">
        <v>22.36</v>
      </c>
      <c r="K8535" s="87"/>
      <c r="L8535" s="87"/>
      <c r="M8535" s="87" t="s">
        <v>2535</v>
      </c>
      <c r="O8535" t="str">
        <f>LEFT(Table2[[#This Row],[Description]],75)</f>
        <v xml:space="preserve">KWIK TRIP 40200004028 CHANHASSEN MN </v>
      </c>
    </row>
    <row r="8536" spans="1:15" hidden="1">
      <c r="A8536" s="25">
        <f>VALUE(YEAR(Table2[[#This Row],[Date]])&amp;TEXT(MONTH(Table2[[#This Row],[Date]]),"00"))</f>
        <v>202301</v>
      </c>
      <c r="B8536" s="93">
        <v>44931</v>
      </c>
      <c r="C8536" t="s">
        <v>2262</v>
      </c>
      <c r="D8536" s="87" t="s">
        <v>3623</v>
      </c>
      <c r="E8536">
        <f t="shared" si="66"/>
        <v>5.29</v>
      </c>
      <c r="F8536" s="2" t="str">
        <f>IF(Table2[[#This Row],[Manual Cat Value]]="",VLOOKUP(Table2[[#This Row],[Description]],'Actuals Lookup'!D:F,3,0),Table2[[#This Row],[Manual Cat Value]])</f>
        <v>Exp - Transportation</v>
      </c>
      <c r="G8536" t="e">
        <f>VLOOKUP(D8536,Lookup!G:H,2,0)</f>
        <v>#N/A</v>
      </c>
      <c r="H8536" s="8" t="s">
        <v>22</v>
      </c>
      <c r="I8536" s="95"/>
      <c r="J8536" s="87">
        <v>5.29</v>
      </c>
      <c r="K8536" s="87"/>
      <c r="L8536" s="87"/>
      <c r="M8536" s="87" t="s">
        <v>2535</v>
      </c>
      <c r="O8536" t="str">
        <f>LEFT(Table2[[#This Row],[Description]],75)</f>
        <v xml:space="preserve">KWIK TRIP 40200004028 CHANHASSEN MN </v>
      </c>
    </row>
    <row r="8537" spans="1:15" hidden="1">
      <c r="A8537" s="25">
        <f>VALUE(YEAR(Table2[[#This Row],[Date]])&amp;TEXT(MONTH(Table2[[#This Row],[Date]]),"00"))</f>
        <v>202301</v>
      </c>
      <c r="B8537" s="93">
        <v>44931</v>
      </c>
      <c r="C8537" t="s">
        <v>2262</v>
      </c>
      <c r="D8537" s="87" t="s">
        <v>3624</v>
      </c>
      <c r="E8537">
        <f t="shared" si="66"/>
        <v>-64.8</v>
      </c>
      <c r="F8537" s="2" t="str">
        <f>IF(Table2[[#This Row],[Manual Cat Value]]="",VLOOKUP(Table2[[#This Row],[Description]],'Actuals Lookup'!D:F,3,0),Table2[[#This Row],[Manual Cat Value]])</f>
        <v>Exp - Shopping</v>
      </c>
      <c r="G8537" t="e">
        <f>VLOOKUP(D8537,Lookup!G:H,2,0)</f>
        <v>#N/A</v>
      </c>
      <c r="H8537" s="8" t="s">
        <v>36</v>
      </c>
      <c r="I8537" s="95"/>
      <c r="J8537" s="87">
        <v>64.8</v>
      </c>
      <c r="K8537" s="87"/>
      <c r="L8537" s="87"/>
      <c r="M8537" s="87" t="s">
        <v>3074</v>
      </c>
      <c r="O8537" t="str">
        <f>LEFT(Table2[[#This Row],[Description]],75)</f>
        <v xml:space="preserve">VINEYARD VINES LLC 800-892- CREDIT </v>
      </c>
    </row>
    <row r="8538" spans="1:15" hidden="1">
      <c r="A8538" s="25">
        <f>VALUE(YEAR(Table2[[#This Row],[Date]])&amp;TEXT(MONTH(Table2[[#This Row],[Date]]),"00"))</f>
        <v>202301</v>
      </c>
      <c r="B8538" s="93">
        <v>44932</v>
      </c>
      <c r="C8538" t="s">
        <v>2262</v>
      </c>
      <c r="D8538" s="87" t="s">
        <v>3625</v>
      </c>
      <c r="E8538">
        <f t="shared" si="66"/>
        <v>-21.99</v>
      </c>
      <c r="F8538" s="2" t="str">
        <f>IF(Table2[[#This Row],[Manual Cat Value]]="",VLOOKUP(Table2[[#This Row],[Description]],'Actuals Lookup'!D:F,3,0),Table2[[#This Row],[Manual Cat Value]])</f>
        <v>Exp - Amazon</v>
      </c>
      <c r="G8538" t="e">
        <f>VLOOKUP(D8538,Lookup!G:H,2,0)</f>
        <v>#N/A</v>
      </c>
      <c r="H8538" s="8" t="s">
        <v>37</v>
      </c>
      <c r="I8538" s="95"/>
      <c r="J8538" s="87">
        <v>21.99</v>
      </c>
      <c r="K8538" s="87"/>
      <c r="L8538" s="87"/>
      <c r="M8538" s="87" t="s">
        <v>3074</v>
      </c>
      <c r="O8538" t="str">
        <f>LEFT(Table2[[#This Row],[Description]],75)</f>
        <v xml:space="preserve">AMZN Mktp US Amzn.com/bill WA CREDIT </v>
      </c>
    </row>
    <row r="8539" spans="1:15" hidden="1">
      <c r="A8539" s="25">
        <f>VALUE(YEAR(Table2[[#This Row],[Date]])&amp;TEXT(MONTH(Table2[[#This Row],[Date]]),"00"))</f>
        <v>202301</v>
      </c>
      <c r="B8539" s="93">
        <v>44932</v>
      </c>
      <c r="C8539" t="s">
        <v>2262</v>
      </c>
      <c r="D8539" s="87" t="s">
        <v>3625</v>
      </c>
      <c r="E8539">
        <f t="shared" si="66"/>
        <v>-25.99</v>
      </c>
      <c r="F8539" s="2" t="str">
        <f>IF(Table2[[#This Row],[Manual Cat Value]]="",VLOOKUP(Table2[[#This Row],[Description]],'Actuals Lookup'!D:F,3,0),Table2[[#This Row],[Manual Cat Value]])</f>
        <v>Exp - Amazon</v>
      </c>
      <c r="G8539" t="e">
        <f>VLOOKUP(D8539,Lookup!G:H,2,0)</f>
        <v>#N/A</v>
      </c>
      <c r="H8539" s="8" t="s">
        <v>37</v>
      </c>
      <c r="I8539" s="95"/>
      <c r="J8539" s="87">
        <v>25.99</v>
      </c>
      <c r="K8539" s="87"/>
      <c r="L8539" s="87"/>
      <c r="M8539" s="87" t="s">
        <v>3074</v>
      </c>
      <c r="O8539" t="str">
        <f>LEFT(Table2[[#This Row],[Description]],75)</f>
        <v xml:space="preserve">AMZN Mktp US Amzn.com/bill WA CREDIT </v>
      </c>
    </row>
    <row r="8540" spans="1:15" hidden="1">
      <c r="A8540" s="25">
        <f>VALUE(YEAR(Table2[[#This Row],[Date]])&amp;TEXT(MONTH(Table2[[#This Row],[Date]]),"00"))</f>
        <v>202301</v>
      </c>
      <c r="B8540" s="93">
        <v>44932</v>
      </c>
      <c r="C8540" t="s">
        <v>2262</v>
      </c>
      <c r="D8540" s="87" t="s">
        <v>3626</v>
      </c>
      <c r="E8540">
        <f t="shared" si="66"/>
        <v>55.15</v>
      </c>
      <c r="F8540" s="2" t="str">
        <f>IF(Table2[[#This Row],[Manual Cat Value]]="",VLOOKUP(Table2[[#This Row],[Description]],'Actuals Lookup'!D:F,3,0),Table2[[#This Row],[Manual Cat Value]])</f>
        <v>Exp - Amazon</v>
      </c>
      <c r="G8540" t="e">
        <f>VLOOKUP(D8540,Lookup!G:H,2,0)</f>
        <v>#N/A</v>
      </c>
      <c r="H8540" s="8" t="s">
        <v>37</v>
      </c>
      <c r="I8540" s="95"/>
      <c r="J8540" s="87">
        <v>55.15</v>
      </c>
      <c r="K8540" s="87"/>
      <c r="L8540" s="87"/>
      <c r="M8540" s="87" t="s">
        <v>2535</v>
      </c>
      <c r="O8540" t="str">
        <f>LEFT(Table2[[#This Row],[Description]],75)</f>
        <v xml:space="preserve">AMZN Mktp US*9494O9PR3 Amzn.com/bill WA </v>
      </c>
    </row>
    <row r="8541" spans="1:15" hidden="1">
      <c r="A8541" s="25">
        <f>VALUE(YEAR(Table2[[#This Row],[Date]])&amp;TEXT(MONTH(Table2[[#This Row],[Date]]),"00"))</f>
        <v>202301</v>
      </c>
      <c r="B8541" s="6">
        <v>44932</v>
      </c>
      <c r="C8541" t="s">
        <v>2265</v>
      </c>
      <c r="D8541" t="s">
        <v>3627</v>
      </c>
      <c r="E8541">
        <f t="shared" si="66"/>
        <v>-6150</v>
      </c>
      <c r="F8541" s="2" t="str">
        <f>IF(Table2[[#This Row],[Manual Cat Value]]="",VLOOKUP(Table2[[#This Row],[Description]],'Actuals Lookup'!D:F,3,0),Table2[[#This Row],[Manual Cat Value]])</f>
        <v>Delete</v>
      </c>
      <c r="G8541" t="e">
        <f>VLOOKUP(D8541,Lookup!G:H,2,0)</f>
        <v>#N/A</v>
      </c>
      <c r="H8541" s="8" t="s">
        <v>9</v>
      </c>
      <c r="I8541" s="8"/>
      <c r="J8541">
        <v>6150</v>
      </c>
      <c r="M8541" t="s">
        <v>2621</v>
      </c>
      <c r="O8541" t="str">
        <f>LEFT(Table2[[#This Row],[Description]],75)</f>
        <v>Deposit Home Banking Transfer From Share 12 REF # 2507049</v>
      </c>
    </row>
    <row r="8542" spans="1:15" hidden="1">
      <c r="A8542" s="25">
        <f>VALUE(YEAR(Table2[[#This Row],[Date]])&amp;TEXT(MONTH(Table2[[#This Row],[Date]]),"00"))</f>
        <v>202301</v>
      </c>
      <c r="B8542" s="93">
        <v>44932</v>
      </c>
      <c r="C8542" t="s">
        <v>2262</v>
      </c>
      <c r="D8542" s="87" t="s">
        <v>3628</v>
      </c>
      <c r="E8542">
        <f t="shared" si="66"/>
        <v>48</v>
      </c>
      <c r="F8542" s="2" t="str">
        <f>IF(Table2[[#This Row],[Manual Cat Value]]="",VLOOKUP(Table2[[#This Row],[Description]],'Actuals Lookup'!D:F,3,0),Table2[[#This Row],[Manual Cat Value]])</f>
        <v>Exp - Shopping</v>
      </c>
      <c r="G8542" t="e">
        <f>VLOOKUP(D8542,Lookup!G:H,2,0)</f>
        <v>#N/A</v>
      </c>
      <c r="H8542" s="8" t="s">
        <v>36</v>
      </c>
      <c r="I8542" s="95"/>
      <c r="J8542" s="87">
        <v>48</v>
      </c>
      <c r="K8542" s="87"/>
      <c r="L8542" s="87"/>
      <c r="M8542" s="87" t="s">
        <v>2535</v>
      </c>
      <c r="O8542" t="str">
        <f>LEFT(Table2[[#This Row],[Description]],75)</f>
        <v xml:space="preserve">ELITE NAILS LLC CHANHASSEN MN </v>
      </c>
    </row>
    <row r="8543" spans="1:15" hidden="1">
      <c r="A8543" s="25">
        <f>VALUE(YEAR(Table2[[#This Row],[Date]])&amp;TEXT(MONTH(Table2[[#This Row],[Date]]),"00"))</f>
        <v>202301</v>
      </c>
      <c r="B8543" s="93">
        <v>44932</v>
      </c>
      <c r="C8543" t="s">
        <v>2262</v>
      </c>
      <c r="D8543" s="87" t="s">
        <v>3629</v>
      </c>
      <c r="E8543">
        <f t="shared" si="66"/>
        <v>9.6</v>
      </c>
      <c r="F8543" s="2" t="str">
        <f>IF(Table2[[#This Row],[Manual Cat Value]]="",VLOOKUP(Table2[[#This Row],[Description]],'Actuals Lookup'!D:F,3,0),Table2[[#This Row],[Manual Cat Value]])</f>
        <v>Exp - Restaurants</v>
      </c>
      <c r="G8543" t="e">
        <f>VLOOKUP(D8543,Lookup!G:H,2,0)</f>
        <v>#N/A</v>
      </c>
      <c r="H8543" s="8" t="s">
        <v>25</v>
      </c>
      <c r="I8543" s="95"/>
      <c r="J8543" s="87">
        <v>9.6</v>
      </c>
      <c r="K8543" s="87"/>
      <c r="L8543" s="87"/>
      <c r="M8543" s="87" t="s">
        <v>2535</v>
      </c>
      <c r="O8543" t="str">
        <f>LEFT(Table2[[#This Row],[Description]],75)</f>
        <v xml:space="preserve">TST* Nautical Bowls - Ede Eden Prairie MN </v>
      </c>
    </row>
    <row r="8544" spans="1:15" hidden="1">
      <c r="A8544" s="25">
        <f>VALUE(YEAR(Table2[[#This Row],[Date]])&amp;TEXT(MONTH(Table2[[#This Row],[Date]]),"00"))</f>
        <v>202301</v>
      </c>
      <c r="B8544" s="93">
        <v>44932</v>
      </c>
      <c r="C8544" t="s">
        <v>2262</v>
      </c>
      <c r="D8544" s="87" t="s">
        <v>3630</v>
      </c>
      <c r="E8544">
        <f t="shared" si="66"/>
        <v>96.58</v>
      </c>
      <c r="F8544" s="2" t="str">
        <f>IF(Table2[[#This Row],[Manual Cat Value]]="",VLOOKUP(Table2[[#This Row],[Description]],'Actuals Lookup'!D:F,3,0),Table2[[#This Row],[Manual Cat Value]])</f>
        <v>Exp - Shopping</v>
      </c>
      <c r="G8544" t="e">
        <f>VLOOKUP(D8544,Lookup!G:H,2,0)</f>
        <v>#N/A</v>
      </c>
      <c r="H8544" s="8" t="s">
        <v>36</v>
      </c>
      <c r="I8544" s="95"/>
      <c r="J8544" s="87">
        <v>96.58</v>
      </c>
      <c r="K8544" s="87"/>
      <c r="L8544" s="87"/>
      <c r="M8544" s="87" t="s">
        <v>2535</v>
      </c>
      <c r="O8544" t="str">
        <f>LEFT(Table2[[#This Row],[Description]],75)</f>
        <v xml:space="preserve">WILLIAMS-SONOMA.COM 800-541-1262 CA </v>
      </c>
    </row>
    <row r="8545" spans="1:15" hidden="1">
      <c r="A8545" s="25">
        <f>VALUE(YEAR(Table2[[#This Row],[Date]])&amp;TEXT(MONTH(Table2[[#This Row],[Date]]),"00"))</f>
        <v>202301</v>
      </c>
      <c r="B8545" s="6">
        <v>44932</v>
      </c>
      <c r="C8545" t="s">
        <v>2300</v>
      </c>
      <c r="D8545" t="s">
        <v>3631</v>
      </c>
      <c r="E8545">
        <f t="shared" si="66"/>
        <v>6150</v>
      </c>
      <c r="F8545" s="2" t="str">
        <f>IF(Table2[[#This Row],[Manual Cat Value]]="",VLOOKUP(Table2[[#This Row],[Description]],'Actuals Lookup'!D:F,3,0),Table2[[#This Row],[Manual Cat Value]])</f>
        <v>Delete</v>
      </c>
      <c r="G8545" t="e">
        <f>VLOOKUP(D8545,Lookup!G:H,2,0)</f>
        <v>#N/A</v>
      </c>
      <c r="H8545" s="8" t="s">
        <v>9</v>
      </c>
      <c r="I8545" s="8"/>
      <c r="J8545">
        <v>6150</v>
      </c>
      <c r="M8545" t="s">
        <v>2513</v>
      </c>
      <c r="O8545" t="str">
        <f>LEFT(Table2[[#This Row],[Description]],75)</f>
        <v>Withdrawal Home Banking Transfer To Share 70 REF # 2507049</v>
      </c>
    </row>
    <row r="8546" spans="1:15" hidden="1">
      <c r="A8546" s="25">
        <f>VALUE(YEAR(Table2[[#This Row],[Date]])&amp;TEXT(MONTH(Table2[[#This Row],[Date]]),"00"))</f>
        <v>202301</v>
      </c>
      <c r="B8546" s="6">
        <v>44932</v>
      </c>
      <c r="C8546" t="s">
        <v>2265</v>
      </c>
      <c r="D8546" t="s">
        <v>3632</v>
      </c>
      <c r="E8546">
        <f t="shared" si="66"/>
        <v>151.6</v>
      </c>
      <c r="F8546" s="2" t="str">
        <f>IF(Table2[[#This Row],[Manual Cat Value]]="",VLOOKUP(Table2[[#This Row],[Description]],'Actuals Lookup'!D:F,3,0),Table2[[#This Row],[Manual Cat Value]])</f>
        <v>Exp - Utilities</v>
      </c>
      <c r="G8546" t="e">
        <f>VLOOKUP(D8546,Lookup!G:H,2,0)</f>
        <v>#N/A</v>
      </c>
      <c r="H8546" s="8" t="s">
        <v>6</v>
      </c>
      <c r="I8546" s="8"/>
      <c r="J8546">
        <v>151.6</v>
      </c>
      <c r="M8546" t="s">
        <v>2513</v>
      </c>
      <c r="O8546" t="str">
        <f>LEFT(Table2[[#This Row],[Description]],75)</f>
        <v>Withdrawal ACH XCEL ENERGY-MN TYPE: XCELENERGY ID: 7411967505 CO: XCEL ENER</v>
      </c>
    </row>
    <row r="8547" spans="1:15" hidden="1">
      <c r="A8547" s="25">
        <f>VALUE(YEAR(Table2[[#This Row],[Date]])&amp;TEXT(MONTH(Table2[[#This Row],[Date]]),"00"))</f>
        <v>202301</v>
      </c>
      <c r="B8547" s="93">
        <v>44933</v>
      </c>
      <c r="C8547" t="s">
        <v>2262</v>
      </c>
      <c r="D8547" s="87" t="s">
        <v>3633</v>
      </c>
      <c r="E8547">
        <f t="shared" si="66"/>
        <v>13.17</v>
      </c>
      <c r="F8547" s="2" t="str">
        <f>IF(Table2[[#This Row],[Manual Cat Value]]="",VLOOKUP(Table2[[#This Row],[Description]],'Actuals Lookup'!D:F,3,0),Table2[[#This Row],[Manual Cat Value]])</f>
        <v>Exp - Shopping</v>
      </c>
      <c r="G8547" t="e">
        <f>VLOOKUP(D8547,Lookup!G:H,2,0)</f>
        <v>#N/A</v>
      </c>
      <c r="H8547" s="8" t="s">
        <v>36</v>
      </c>
      <c r="I8547" s="95"/>
      <c r="J8547" s="87">
        <v>13.17</v>
      </c>
      <c r="K8547" s="87"/>
      <c r="L8547" s="87"/>
      <c r="M8547" s="87" t="s">
        <v>2535</v>
      </c>
      <c r="O8547" t="str">
        <f>LEFT(Table2[[#This Row],[Description]],75)</f>
        <v xml:space="preserve">1 FEDEX 393182848998 MEMPHIS TN </v>
      </c>
    </row>
    <row r="8548" spans="1:15" hidden="1">
      <c r="A8548" s="25">
        <f>VALUE(YEAR(Table2[[#This Row],[Date]])&amp;TEXT(MONTH(Table2[[#This Row],[Date]]),"00"))</f>
        <v>202301</v>
      </c>
      <c r="B8548" s="93">
        <v>44933</v>
      </c>
      <c r="C8548" t="s">
        <v>2262</v>
      </c>
      <c r="D8548" s="87" t="s">
        <v>3634</v>
      </c>
      <c r="E8548">
        <f t="shared" si="66"/>
        <v>149.25</v>
      </c>
      <c r="F8548" s="2" t="str">
        <f>IF(Table2[[#This Row],[Manual Cat Value]]="",VLOOKUP(Table2[[#This Row],[Description]],'Actuals Lookup'!D:F,3,0),Table2[[#This Row],[Manual Cat Value]])</f>
        <v>Exp - Amazon</v>
      </c>
      <c r="G8548" t="e">
        <f>VLOOKUP(D8548,Lookup!G:H,2,0)</f>
        <v>#N/A</v>
      </c>
      <c r="H8548" s="8" t="s">
        <v>37</v>
      </c>
      <c r="I8548" s="95"/>
      <c r="J8548" s="87">
        <v>149.25</v>
      </c>
      <c r="K8548" s="87"/>
      <c r="L8548" s="87"/>
      <c r="M8548" s="87" t="s">
        <v>2535</v>
      </c>
      <c r="O8548" t="str">
        <f>LEFT(Table2[[#This Row],[Description]],75)</f>
        <v xml:space="preserve">Amazon Prime*AY4DK0A13 Amzn.com/bill WA </v>
      </c>
    </row>
    <row r="8549" spans="1:15" ht="30" hidden="1">
      <c r="A8549" s="25">
        <f>VALUE(YEAR(Table2[[#This Row],[Date]])&amp;TEXT(MONTH(Table2[[#This Row],[Date]]),"00"))</f>
        <v>202301</v>
      </c>
      <c r="B8549" s="6">
        <v>44933</v>
      </c>
      <c r="C8549" t="s">
        <v>2447</v>
      </c>
      <c r="D8549" s="7" t="s">
        <v>3635</v>
      </c>
      <c r="E8549">
        <f t="shared" si="66"/>
        <v>67.62</v>
      </c>
      <c r="F8549" s="2" t="str">
        <f>IF(Table2[[#This Row],[Manual Cat Value]]="",VLOOKUP(Table2[[#This Row],[Description]],'Actuals Lookup'!D:F,3,0),Table2[[#This Row],[Manual Cat Value]])</f>
        <v>Exp - Amazon</v>
      </c>
      <c r="G8549" t="e">
        <f>VLOOKUP(D8549,Lookup!G:H,2,0)</f>
        <v>#N/A</v>
      </c>
      <c r="H8549" s="8" t="s">
        <v>37</v>
      </c>
      <c r="I8549" s="78"/>
      <c r="J8549">
        <v>67.62</v>
      </c>
      <c r="M8549" t="s">
        <v>2513</v>
      </c>
      <c r="O8549" t="str">
        <f>LEFT(Table2[[#This Row],[Description]],75)</f>
        <v>AMAZON.COM*5W3784XS3 AMZN.COM/BILLWA
QTZ0HRQE5SF</v>
      </c>
    </row>
    <row r="8550" spans="1:15" ht="30" hidden="1">
      <c r="A8550" s="25">
        <f>VALUE(YEAR(Table2[[#This Row],[Date]])&amp;TEXT(MONTH(Table2[[#This Row],[Date]]),"00"))</f>
        <v>202301</v>
      </c>
      <c r="B8550" s="6">
        <v>44933</v>
      </c>
      <c r="C8550" t="s">
        <v>2447</v>
      </c>
      <c r="D8550" s="7" t="s">
        <v>3636</v>
      </c>
      <c r="E8550">
        <f t="shared" si="66"/>
        <v>59.98</v>
      </c>
      <c r="F8550" s="2" t="str">
        <f>IF(Table2[[#This Row],[Manual Cat Value]]="",VLOOKUP(Table2[[#This Row],[Description]],'Actuals Lookup'!D:F,3,0),Table2[[#This Row],[Manual Cat Value]])</f>
        <v>Exp - Amazon</v>
      </c>
      <c r="G8550" t="e">
        <f>VLOOKUP(D8550,Lookup!G:H,2,0)</f>
        <v>#N/A</v>
      </c>
      <c r="H8550" s="8" t="s">
        <v>37</v>
      </c>
      <c r="I8550" s="78"/>
      <c r="J8550">
        <v>59.98</v>
      </c>
      <c r="M8550" t="s">
        <v>2513</v>
      </c>
      <c r="O8550" t="str">
        <f>LEFT(Table2[[#This Row],[Description]],75)</f>
        <v>AMZN MKTP US*AI38Z2223 AMZN.COM/BILLWA
6A8KHTZRMB2</v>
      </c>
    </row>
    <row r="8551" spans="1:15" hidden="1">
      <c r="A8551" s="25">
        <f>VALUE(YEAR(Table2[[#This Row],[Date]])&amp;TEXT(MONTH(Table2[[#This Row],[Date]]),"00"))</f>
        <v>202301</v>
      </c>
      <c r="B8551" s="93">
        <v>44933</v>
      </c>
      <c r="C8551" t="s">
        <v>2262</v>
      </c>
      <c r="D8551" s="87" t="s">
        <v>3637</v>
      </c>
      <c r="E8551">
        <f t="shared" si="66"/>
        <v>-47.99</v>
      </c>
      <c r="F8551" s="2" t="str">
        <f>IF(Table2[[#This Row],[Manual Cat Value]]="",VLOOKUP(Table2[[#This Row],[Description]],'Actuals Lookup'!D:F,3,0),Table2[[#This Row],[Manual Cat Value]])</f>
        <v>Exp - Shopping</v>
      </c>
      <c r="G8551" t="e">
        <f>VLOOKUP(D8551,Lookup!G:H,2,0)</f>
        <v>#N/A</v>
      </c>
      <c r="H8551" s="8" t="s">
        <v>36</v>
      </c>
      <c r="I8551" s="95"/>
      <c r="J8551" s="87">
        <v>47.99</v>
      </c>
      <c r="K8551" s="87"/>
      <c r="L8551" s="87"/>
      <c r="M8551" s="87" t="s">
        <v>3074</v>
      </c>
      <c r="O8551" t="str">
        <f>LEFT(Table2[[#This Row],[Description]],75)</f>
        <v xml:space="preserve">EVEREVE - 15 EDEN PRAIRIE MN CREDIT </v>
      </c>
    </row>
    <row r="8552" spans="1:15" hidden="1">
      <c r="A8552" s="25">
        <f>VALUE(YEAR(Table2[[#This Row],[Date]])&amp;TEXT(MONTH(Table2[[#This Row],[Date]]),"00"))</f>
        <v>202301</v>
      </c>
      <c r="B8552" s="93">
        <v>44933</v>
      </c>
      <c r="C8552" t="s">
        <v>2262</v>
      </c>
      <c r="D8552" s="87" t="s">
        <v>3638</v>
      </c>
      <c r="E8552">
        <f t="shared" si="66"/>
        <v>2.4500000000000002</v>
      </c>
      <c r="F8552" s="2" t="str">
        <f>IF(Table2[[#This Row],[Manual Cat Value]]="",VLOOKUP(Table2[[#This Row],[Description]],'Actuals Lookup'!D:F,3,0),Table2[[#This Row],[Manual Cat Value]])</f>
        <v>Exp - Restaurants</v>
      </c>
      <c r="G8552" t="e">
        <f>VLOOKUP(D8552,Lookup!G:H,2,0)</f>
        <v>#N/A</v>
      </c>
      <c r="H8552" s="8" t="s">
        <v>25</v>
      </c>
      <c r="I8552" s="95"/>
      <c r="J8552" s="87">
        <v>2.4500000000000002</v>
      </c>
      <c r="K8552" s="87"/>
      <c r="L8552" s="87"/>
      <c r="M8552" s="87" t="s">
        <v>2535</v>
      </c>
      <c r="O8552" t="str">
        <f>LEFT(Table2[[#This Row],[Description]],75)</f>
        <v xml:space="preserve">MCDONALD'S F29004 EAGAN MN </v>
      </c>
    </row>
    <row r="8553" spans="1:15" hidden="1">
      <c r="A8553" s="25">
        <f>VALUE(YEAR(Table2[[#This Row],[Date]])&amp;TEXT(MONTH(Table2[[#This Row],[Date]]),"00"))</f>
        <v>202301</v>
      </c>
      <c r="B8553" s="93">
        <v>44933</v>
      </c>
      <c r="C8553" t="s">
        <v>2262</v>
      </c>
      <c r="D8553" s="87" t="s">
        <v>3638</v>
      </c>
      <c r="E8553">
        <f t="shared" si="66"/>
        <v>10.26</v>
      </c>
      <c r="F8553" s="2" t="str">
        <f>IF(Table2[[#This Row],[Manual Cat Value]]="",VLOOKUP(Table2[[#This Row],[Description]],'Actuals Lookup'!D:F,3,0),Table2[[#This Row],[Manual Cat Value]])</f>
        <v>Exp - Restaurants</v>
      </c>
      <c r="G8553" t="e">
        <f>VLOOKUP(D8553,Lookup!G:H,2,0)</f>
        <v>#N/A</v>
      </c>
      <c r="H8553" s="8" t="s">
        <v>25</v>
      </c>
      <c r="I8553" s="95"/>
      <c r="J8553" s="87">
        <v>10.26</v>
      </c>
      <c r="K8553" s="87"/>
      <c r="L8553" s="87"/>
      <c r="M8553" s="87" t="s">
        <v>2535</v>
      </c>
      <c r="O8553" t="str">
        <f>LEFT(Table2[[#This Row],[Description]],75)</f>
        <v xml:space="preserve">MCDONALD'S F29004 EAGAN MN </v>
      </c>
    </row>
    <row r="8554" spans="1:15" hidden="1">
      <c r="A8554" s="25">
        <f>VALUE(YEAR(Table2[[#This Row],[Date]])&amp;TEXT(MONTH(Table2[[#This Row],[Date]]),"00"))</f>
        <v>202301</v>
      </c>
      <c r="B8554" s="6">
        <v>44934</v>
      </c>
      <c r="C8554" t="s">
        <v>2265</v>
      </c>
      <c r="D8554" t="s">
        <v>3639</v>
      </c>
      <c r="E8554">
        <f t="shared" si="66"/>
        <v>-13.96</v>
      </c>
      <c r="F8554" s="2" t="str">
        <f>IF(Table2[[#This Row],[Manual Cat Value]]="",VLOOKUP(Table2[[#This Row],[Description]],'Actuals Lookup'!D:F,3,0),Table2[[#This Row],[Manual Cat Value]])</f>
        <v>Exp - Shopping</v>
      </c>
      <c r="G8554" t="e">
        <f>VLOOKUP(D8554,Lookup!G:H,2,0)</f>
        <v>#N/A</v>
      </c>
      <c r="H8554" s="8" t="s">
        <v>36</v>
      </c>
      <c r="I8554" s="8"/>
      <c r="J8554">
        <v>13.96</v>
      </c>
      <c r="M8554" t="s">
        <v>2621</v>
      </c>
      <c r="O8554" t="str">
        <f>LEFT(Table2[[#This Row],[Description]],75)</f>
        <v>Deposit ACH PAYPAL TYPE: TRANSFER ID: PAYPALSD11 CO: PAYPAL Entry Class Cod</v>
      </c>
    </row>
    <row r="8555" spans="1:15" hidden="1">
      <c r="A8555" s="25">
        <f>VALUE(YEAR(Table2[[#This Row],[Date]])&amp;TEXT(MONTH(Table2[[#This Row],[Date]]),"00"))</f>
        <v>202301</v>
      </c>
      <c r="B8555" s="93">
        <v>44934</v>
      </c>
      <c r="C8555" t="s">
        <v>2262</v>
      </c>
      <c r="D8555" s="87" t="s">
        <v>3640</v>
      </c>
      <c r="E8555">
        <f t="shared" si="66"/>
        <v>47.25</v>
      </c>
      <c r="F8555" s="2" t="str">
        <f>IF(Table2[[#This Row],[Manual Cat Value]]="",VLOOKUP(Table2[[#This Row],[Description]],'Actuals Lookup'!D:F,3,0),Table2[[#This Row],[Manual Cat Value]])</f>
        <v>Exp - Gym</v>
      </c>
      <c r="G8555" t="e">
        <f>VLOOKUP(D8555,Lookup!G:H,2,0)</f>
        <v>#N/A</v>
      </c>
      <c r="H8555" s="8" t="s">
        <v>33</v>
      </c>
      <c r="I8555" s="95"/>
      <c r="J8555" s="87">
        <v>47.25</v>
      </c>
      <c r="K8555" s="87"/>
      <c r="L8555" s="87"/>
      <c r="M8555" s="87" t="s">
        <v>2535</v>
      </c>
      <c r="O8555" t="str">
        <f>LEFT(Table2[[#This Row],[Description]],75)</f>
        <v xml:space="preserve">PELOTON* MEMBERSHIP HTTPSWWW.ONEP NY </v>
      </c>
    </row>
    <row r="8556" spans="1:15" hidden="1">
      <c r="A8556" s="25">
        <f>VALUE(YEAR(Table2[[#This Row],[Date]])&amp;TEXT(MONTH(Table2[[#This Row],[Date]]),"00"))</f>
        <v>202301</v>
      </c>
      <c r="B8556" s="93">
        <v>44934</v>
      </c>
      <c r="C8556" t="s">
        <v>2262</v>
      </c>
      <c r="D8556" s="87" t="s">
        <v>3641</v>
      </c>
      <c r="E8556">
        <f t="shared" si="66"/>
        <v>156.06</v>
      </c>
      <c r="F8556" s="2" t="str">
        <f>IF(Table2[[#This Row],[Manual Cat Value]]="",VLOOKUP(Table2[[#This Row],[Description]],'Actuals Lookup'!D:F,3,0),Table2[[#This Row],[Manual Cat Value]])</f>
        <v>Exp - Healthcare</v>
      </c>
      <c r="G8556" t="e">
        <f>VLOOKUP(D8556,Lookup!G:H,2,0)</f>
        <v>#N/A</v>
      </c>
      <c r="H8556" s="8" t="s">
        <v>47</v>
      </c>
      <c r="I8556" s="95"/>
      <c r="J8556" s="87">
        <v>156.06</v>
      </c>
      <c r="K8556" s="87"/>
      <c r="L8556" s="87"/>
      <c r="M8556" s="87" t="s">
        <v>2535</v>
      </c>
      <c r="O8556" t="str">
        <f>LEFT(Table2[[#This Row],[Description]],75)</f>
        <v xml:space="preserve">SOUTH LAKE PEDIATRICS 952-401-8300 MN </v>
      </c>
    </row>
    <row r="8557" spans="1:15" ht="30" hidden="1">
      <c r="A8557" s="25">
        <f>VALUE(YEAR(Table2[[#This Row],[Date]])&amp;TEXT(MONTH(Table2[[#This Row],[Date]]),"00"))</f>
        <v>202301</v>
      </c>
      <c r="B8557" s="6">
        <v>44935</v>
      </c>
      <c r="C8557" t="s">
        <v>2447</v>
      </c>
      <c r="D8557" s="7" t="s">
        <v>3642</v>
      </c>
      <c r="E8557">
        <f t="shared" si="66"/>
        <v>16.100000000000001</v>
      </c>
      <c r="F8557" s="2" t="str">
        <f>IF(Table2[[#This Row],[Manual Cat Value]]="",VLOOKUP(Table2[[#This Row],[Description]],'Actuals Lookup'!D:F,3,0),Table2[[#This Row],[Manual Cat Value]])</f>
        <v>Exp - Amazon</v>
      </c>
      <c r="G8557" t="e">
        <f>VLOOKUP(D8557,Lookup!G:H,2,0)</f>
        <v>#N/A</v>
      </c>
      <c r="H8557" s="8" t="s">
        <v>37</v>
      </c>
      <c r="I8557" s="78"/>
      <c r="J8557">
        <v>16.100000000000001</v>
      </c>
      <c r="M8557" t="s">
        <v>2513</v>
      </c>
      <c r="O8557" t="str">
        <f>LEFT(Table2[[#This Row],[Description]],75)</f>
        <v>AMZN MKTP US*3S2M22PK3 AMZN.COM/BILLWA
3SCEF0PBKAY</v>
      </c>
    </row>
    <row r="8558" spans="1:15" ht="30" hidden="1">
      <c r="A8558" s="25">
        <f>VALUE(YEAR(Table2[[#This Row],[Date]])&amp;TEXT(MONTH(Table2[[#This Row],[Date]]),"00"))</f>
        <v>202301</v>
      </c>
      <c r="B8558" s="6">
        <v>44935</v>
      </c>
      <c r="C8558" t="s">
        <v>2447</v>
      </c>
      <c r="D8558" s="7" t="s">
        <v>3643</v>
      </c>
      <c r="E8558">
        <f t="shared" ref="E8558:E8589" si="67">IF(M8558="credit",-1*J8558,J8558)</f>
        <v>21.46</v>
      </c>
      <c r="F8558" s="2" t="str">
        <f>IF(Table2[[#This Row],[Manual Cat Value]]="",VLOOKUP(Table2[[#This Row],[Description]],'Actuals Lookup'!D:F,3,0),Table2[[#This Row],[Manual Cat Value]])</f>
        <v>Exp - Amazon</v>
      </c>
      <c r="G8558" t="e">
        <f>VLOOKUP(D8558,Lookup!G:H,2,0)</f>
        <v>#N/A</v>
      </c>
      <c r="H8558" s="8" t="s">
        <v>37</v>
      </c>
      <c r="I8558" s="78"/>
      <c r="J8558">
        <v>21.46</v>
      </c>
      <c r="M8558" t="s">
        <v>2513</v>
      </c>
      <c r="O8558" t="str">
        <f>LEFT(Table2[[#This Row],[Description]],75)</f>
        <v>AMZN MKTP US*TS7KY0QQ3 AMZN.COM/BILLWA
1LQ9UQ0COWA</v>
      </c>
    </row>
    <row r="8559" spans="1:15" hidden="1">
      <c r="A8559" s="25">
        <f>VALUE(YEAR(Table2[[#This Row],[Date]])&amp;TEXT(MONTH(Table2[[#This Row],[Date]]),"00"))</f>
        <v>202301</v>
      </c>
      <c r="B8559" s="6">
        <v>44935</v>
      </c>
      <c r="C8559" t="s">
        <v>2265</v>
      </c>
      <c r="D8559" t="s">
        <v>3644</v>
      </c>
      <c r="E8559">
        <f t="shared" si="67"/>
        <v>-156.91999999999999</v>
      </c>
      <c r="F8559" s="2" t="str">
        <f>IF(Table2[[#This Row],[Manual Cat Value]]="",VLOOKUP(Table2[[#This Row],[Description]],'Actuals Lookup'!D:F,3,0),Table2[[#This Row],[Manual Cat Value]])</f>
        <v>Delete</v>
      </c>
      <c r="G8559" t="e">
        <f>VLOOKUP(D8559,Lookup!G:H,2,0)</f>
        <v>#N/A</v>
      </c>
      <c r="H8559" s="8" t="s">
        <v>9</v>
      </c>
      <c r="I8559" s="8"/>
      <c r="J8559">
        <v>156.91999999999999</v>
      </c>
      <c r="M8559" t="s">
        <v>2621</v>
      </c>
      <c r="O8559" t="str">
        <f>LEFT(Table2[[#This Row],[Description]],75)</f>
        <v>Deposit ACH connectyourcare TYPE: SVB-CLAIMS ID: E942875288 CO: connectyour</v>
      </c>
    </row>
    <row r="8560" spans="1:15" hidden="1">
      <c r="A8560" s="25">
        <f>VALUE(YEAR(Table2[[#This Row],[Date]])&amp;TEXT(MONTH(Table2[[#This Row],[Date]]),"00"))</f>
        <v>202301</v>
      </c>
      <c r="B8560" s="93">
        <v>44935</v>
      </c>
      <c r="C8560" t="s">
        <v>2262</v>
      </c>
      <c r="D8560" s="87" t="s">
        <v>3645</v>
      </c>
      <c r="E8560">
        <f t="shared" si="67"/>
        <v>13.5</v>
      </c>
      <c r="F8560" s="2" t="str">
        <f>IF(Table2[[#This Row],[Manual Cat Value]]="",VLOOKUP(Table2[[#This Row],[Description]],'Actuals Lookup'!D:F,3,0),Table2[[#This Row],[Manual Cat Value]])</f>
        <v>Exp - Shopping</v>
      </c>
      <c r="G8560" t="e">
        <f>VLOOKUP(D8560,Lookup!G:H,2,0)</f>
        <v>#N/A</v>
      </c>
      <c r="H8560" s="8" t="s">
        <v>36</v>
      </c>
      <c r="I8560" s="95"/>
      <c r="J8560" s="87">
        <v>13.5</v>
      </c>
      <c r="K8560" s="87"/>
      <c r="L8560" s="87"/>
      <c r="M8560" s="87" t="s">
        <v>2535</v>
      </c>
      <c r="O8560" t="str">
        <f>LEFT(Table2[[#This Row],[Description]],75)</f>
        <v xml:space="preserve">FEDEX 393182952055 MEMPHIS TN </v>
      </c>
    </row>
    <row r="8561" spans="1:15" ht="30" hidden="1">
      <c r="A8561" s="25">
        <f>VALUE(YEAR(Table2[[#This Row],[Date]])&amp;TEXT(MONTH(Table2[[#This Row],[Date]]),"00"))</f>
        <v>202301</v>
      </c>
      <c r="B8561" s="6">
        <v>44935</v>
      </c>
      <c r="C8561" t="s">
        <v>2447</v>
      </c>
      <c r="D8561" s="7" t="s">
        <v>3646</v>
      </c>
      <c r="E8561">
        <f t="shared" si="67"/>
        <v>38.9</v>
      </c>
      <c r="F8561" s="2" t="str">
        <f>IF(Table2[[#This Row],[Manual Cat Value]]="",VLOOKUP(Table2[[#This Row],[Description]],'Actuals Lookup'!D:F,3,0),Table2[[#This Row],[Manual Cat Value]])</f>
        <v>Exp - Groceries</v>
      </c>
      <c r="G8561" t="e">
        <f>VLOOKUP(D8561,Lookup!G:H,2,0)</f>
        <v>#N/A</v>
      </c>
      <c r="H8561" s="8" t="s">
        <v>27</v>
      </c>
      <c r="I8561" s="78"/>
      <c r="J8561">
        <v>38.9</v>
      </c>
      <c r="M8561" t="s">
        <v>2513</v>
      </c>
      <c r="O8561" t="str">
        <f>LEFT(Table2[[#This Row],[Description]],75)</f>
        <v>LAKEWINDS - CHANHASSEN CHANHASSEN MN
APPLE PAY ENDING IN 8856</v>
      </c>
    </row>
    <row r="8562" spans="1:15" hidden="1">
      <c r="A8562" s="25">
        <f>VALUE(YEAR(Table2[[#This Row],[Date]])&amp;TEXT(MONTH(Table2[[#This Row],[Date]]),"00"))</f>
        <v>202301</v>
      </c>
      <c r="B8562" s="6">
        <v>44935</v>
      </c>
      <c r="C8562" t="s">
        <v>2265</v>
      </c>
      <c r="D8562" t="s">
        <v>3647</v>
      </c>
      <c r="E8562">
        <f t="shared" si="67"/>
        <v>25.94</v>
      </c>
      <c r="F8562" s="2" t="str">
        <f>IF(Table2[[#This Row],[Manual Cat Value]]="",VLOOKUP(Table2[[#This Row],[Description]],'Actuals Lookup'!D:F,3,0),Table2[[#This Row],[Manual Cat Value]])</f>
        <v>Exp - Shopping</v>
      </c>
      <c r="G8562" t="e">
        <f>VLOOKUP(D8562,Lookup!G:H,2,0)</f>
        <v>#N/A</v>
      </c>
      <c r="H8562" s="8" t="s">
        <v>36</v>
      </c>
      <c r="I8562" s="8"/>
      <c r="J8562">
        <v>25.94</v>
      </c>
      <c r="M8562" t="s">
        <v>2513</v>
      </c>
      <c r="O8562" t="str">
        <f>LEFT(Table2[[#This Row],[Description]],75)</f>
        <v xml:space="preserve">Withdrawal ACH PAYPAL TYPE: INST XFER ID: PAYPALSI77 CO: PAYPAL NAME: JEFF </v>
      </c>
    </row>
    <row r="8563" spans="1:15" hidden="1">
      <c r="A8563" s="25">
        <f>VALUE(YEAR(Table2[[#This Row],[Date]])&amp;TEXT(MONTH(Table2[[#This Row],[Date]]),"00"))</f>
        <v>202301</v>
      </c>
      <c r="B8563" s="93">
        <v>44936</v>
      </c>
      <c r="C8563" t="s">
        <v>2262</v>
      </c>
      <c r="D8563" s="87" t="s">
        <v>3648</v>
      </c>
      <c r="E8563">
        <f t="shared" si="67"/>
        <v>-116.54</v>
      </c>
      <c r="F8563" s="2" t="str">
        <f>IF(Table2[[#This Row],[Manual Cat Value]]="",VLOOKUP(Table2[[#This Row],[Description]],'Actuals Lookup'!D:F,3,0),Table2[[#This Row],[Manual Cat Value]])</f>
        <v>Exp - Shopping</v>
      </c>
      <c r="G8563" t="e">
        <f>VLOOKUP(D8563,Lookup!G:H,2,0)</f>
        <v>#N/A</v>
      </c>
      <c r="H8563" s="8" t="s">
        <v>36</v>
      </c>
      <c r="I8563" s="95"/>
      <c r="J8563" s="87">
        <v>116.54</v>
      </c>
      <c r="K8563" s="87"/>
      <c r="L8563" s="87"/>
      <c r="M8563" s="87" t="s">
        <v>3074</v>
      </c>
      <c r="O8563" t="str">
        <f>LEFT(Table2[[#This Row],[Description]],75)</f>
        <v xml:space="preserve">ANNTAYLOR.COM #611 800-342- CREDIT </v>
      </c>
    </row>
    <row r="8564" spans="1:15" ht="30" hidden="1">
      <c r="A8564" s="25">
        <f>VALUE(YEAR(Table2[[#This Row],[Date]])&amp;TEXT(MONTH(Table2[[#This Row],[Date]]),"00"))</f>
        <v>202301</v>
      </c>
      <c r="B8564" s="6">
        <v>44936</v>
      </c>
      <c r="C8564" t="s">
        <v>2447</v>
      </c>
      <c r="D8564" s="7" t="s">
        <v>3649</v>
      </c>
      <c r="E8564">
        <f t="shared" si="67"/>
        <v>45.2</v>
      </c>
      <c r="F8564" s="2" t="str">
        <f>IF(Table2[[#This Row],[Manual Cat Value]]="",VLOOKUP(Table2[[#This Row],[Description]],'Actuals Lookup'!D:F,3,0),Table2[[#This Row],[Manual Cat Value]])</f>
        <v>Exp - Groceries</v>
      </c>
      <c r="G8564" t="e">
        <f>VLOOKUP(D8564,Lookup!G:H,2,0)</f>
        <v>#N/A</v>
      </c>
      <c r="H8564" s="8" t="s">
        <v>27</v>
      </c>
      <c r="I8564" s="78"/>
      <c r="J8564">
        <v>45.2</v>
      </c>
      <c r="M8564" t="s">
        <v>2513</v>
      </c>
      <c r="O8564" t="str">
        <f>LEFT(Table2[[#This Row],[Description]],75)</f>
        <v>CUB FOODS #1636 SHOREWOOD MN
APPLE PAY ENDING IN 8856</v>
      </c>
    </row>
    <row r="8565" spans="1:15" ht="30" hidden="1">
      <c r="A8565" s="25">
        <f>VALUE(YEAR(Table2[[#This Row],[Date]])&amp;TEXT(MONTH(Table2[[#This Row],[Date]]),"00"))</f>
        <v>202301</v>
      </c>
      <c r="B8565" s="6">
        <v>44936</v>
      </c>
      <c r="C8565" t="s">
        <v>2447</v>
      </c>
      <c r="D8565" s="7" t="s">
        <v>3650</v>
      </c>
      <c r="E8565">
        <f t="shared" si="67"/>
        <v>75.849999999999994</v>
      </c>
      <c r="F8565" s="2" t="str">
        <f>IF(Table2[[#This Row],[Manual Cat Value]]="",VLOOKUP(Table2[[#This Row],[Description]],'Actuals Lookup'!D:F,3,0),Table2[[#This Row],[Manual Cat Value]])</f>
        <v>Exp - Groceries</v>
      </c>
      <c r="G8565" t="e">
        <f>VLOOKUP(D8565,Lookup!G:H,2,0)</f>
        <v>#N/A</v>
      </c>
      <c r="H8565" s="8" t="s">
        <v>27</v>
      </c>
      <c r="I8565" s="78"/>
      <c r="J8565">
        <v>75.849999999999994</v>
      </c>
      <c r="M8565" t="s">
        <v>2513</v>
      </c>
      <c r="O8565" t="str">
        <f>LEFT(Table2[[#This Row],[Description]],75)</f>
        <v>CUB FOODS 01644 952-934-1010 MN
APPLE PAY ENDING IN 8856</v>
      </c>
    </row>
    <row r="8566" spans="1:15" hidden="1">
      <c r="A8566" s="25">
        <f>VALUE(YEAR(Table2[[#This Row],[Date]])&amp;TEXT(MONTH(Table2[[#This Row],[Date]]),"00"))</f>
        <v>202301</v>
      </c>
      <c r="B8566" s="6">
        <v>44936</v>
      </c>
      <c r="C8566" t="s">
        <v>2265</v>
      </c>
      <c r="D8566" t="s">
        <v>3651</v>
      </c>
      <c r="E8566">
        <f t="shared" si="67"/>
        <v>-27.68</v>
      </c>
      <c r="F8566" s="2" t="str">
        <f>IF(Table2[[#This Row],[Manual Cat Value]]="",VLOOKUP(Table2[[#This Row],[Description]],'Actuals Lookup'!D:F,3,0),Table2[[#This Row],[Manual Cat Value]])</f>
        <v>Delete</v>
      </c>
      <c r="G8566" t="e">
        <f>VLOOKUP(D8566,Lookup!G:H,2,0)</f>
        <v>#N/A</v>
      </c>
      <c r="H8566" s="8" t="s">
        <v>9</v>
      </c>
      <c r="I8566" s="8"/>
      <c r="J8566">
        <v>27.68</v>
      </c>
      <c r="M8566" t="s">
        <v>2621</v>
      </c>
      <c r="O8566" t="str">
        <f>LEFT(Table2[[#This Row],[Description]],75)</f>
        <v>Deposit ACH connectyourcare TYPE: SVB-CLAIMS ID: E942875288 CO: connectyour</v>
      </c>
    </row>
    <row r="8567" spans="1:15" hidden="1">
      <c r="A8567" s="25">
        <f>VALUE(YEAR(Table2[[#This Row],[Date]])&amp;TEXT(MONTH(Table2[[#This Row],[Date]]),"00"))</f>
        <v>202301</v>
      </c>
      <c r="B8567" s="6">
        <v>44936</v>
      </c>
      <c r="C8567" t="s">
        <v>2305</v>
      </c>
      <c r="D8567" t="s">
        <v>710</v>
      </c>
      <c r="E8567">
        <f t="shared" si="67"/>
        <v>-400</v>
      </c>
      <c r="F8567" s="2" t="str">
        <f>IF(Table2[[#This Row],[Manual Cat Value]]="",VLOOKUP(Table2[[#This Row],[Description]],'Actuals Lookup'!D:F,3,0),Table2[[#This Row],[Manual Cat Value]])</f>
        <v>Delete</v>
      </c>
      <c r="G8567" t="str">
        <f>VLOOKUP(D8567,Lookup!G:H,2,0)</f>
        <v>delete</v>
      </c>
      <c r="H8567" s="8" t="s">
        <v>9</v>
      </c>
      <c r="I8567" s="8"/>
      <c r="J8567">
        <v>400</v>
      </c>
      <c r="M8567" t="s">
        <v>2621</v>
      </c>
      <c r="O8567" t="str">
        <f>LEFT(Table2[[#This Row],[Description]],75)</f>
        <v>Deposit by Check Deposit Anywhere check deposit</v>
      </c>
    </row>
    <row r="8568" spans="1:15" hidden="1">
      <c r="A8568" s="25">
        <f>VALUE(YEAR(Table2[[#This Row],[Date]])&amp;TEXT(MONTH(Table2[[#This Row],[Date]]),"00"))</f>
        <v>202301</v>
      </c>
      <c r="B8568" s="93">
        <v>44936</v>
      </c>
      <c r="C8568" t="s">
        <v>2262</v>
      </c>
      <c r="D8568" s="87" t="s">
        <v>3652</v>
      </c>
      <c r="E8568">
        <f t="shared" si="67"/>
        <v>1.82</v>
      </c>
      <c r="F8568" s="2" t="str">
        <f>IF(Table2[[#This Row],[Manual Cat Value]]="",VLOOKUP(Table2[[#This Row],[Description]],'Actuals Lookup'!D:F,3,0),Table2[[#This Row],[Manual Cat Value]])</f>
        <v>Exp - Restaurants</v>
      </c>
      <c r="G8568" t="e">
        <f>VLOOKUP(D8568,Lookup!G:H,2,0)</f>
        <v>#N/A</v>
      </c>
      <c r="H8568" s="8" t="s">
        <v>25</v>
      </c>
      <c r="I8568" s="95"/>
      <c r="J8568" s="87">
        <v>1.82</v>
      </c>
      <c r="K8568" s="87"/>
      <c r="L8568" s="87"/>
      <c r="M8568" s="87" t="s">
        <v>2535</v>
      </c>
      <c r="O8568" t="str">
        <f>LEFT(Table2[[#This Row],[Description]],75)</f>
        <v xml:space="preserve">FOUR SEASONS CAFE MAPLE GROVE MN </v>
      </c>
    </row>
    <row r="8569" spans="1:15" hidden="1">
      <c r="A8569" s="25">
        <f>VALUE(YEAR(Table2[[#This Row],[Date]])&amp;TEXT(MONTH(Table2[[#This Row],[Date]]),"00"))</f>
        <v>202301</v>
      </c>
      <c r="B8569" s="93">
        <v>44936</v>
      </c>
      <c r="C8569" t="s">
        <v>2262</v>
      </c>
      <c r="D8569" s="87" t="s">
        <v>3653</v>
      </c>
      <c r="E8569">
        <f t="shared" si="67"/>
        <v>4.72</v>
      </c>
      <c r="F8569" s="2" t="str">
        <f>IF(Table2[[#This Row],[Manual Cat Value]]="",VLOOKUP(Table2[[#This Row],[Description]],'Actuals Lookup'!D:F,3,0),Table2[[#This Row],[Manual Cat Value]])</f>
        <v>Exp - Restaurants</v>
      </c>
      <c r="G8569" t="e">
        <f>VLOOKUP(D8569,Lookup!G:H,2,0)</f>
        <v>#N/A</v>
      </c>
      <c r="H8569" s="8" t="s">
        <v>25</v>
      </c>
      <c r="I8569" s="95"/>
      <c r="J8569" s="87">
        <v>4.72</v>
      </c>
      <c r="K8569" s="87"/>
      <c r="L8569" s="87"/>
      <c r="M8569" s="87" t="s">
        <v>2535</v>
      </c>
      <c r="O8569" t="str">
        <f>LEFT(Table2[[#This Row],[Description]],75)</f>
        <v xml:space="preserve">JIMMY JOHNS - 1184 - ECOM763-416-0301 MN </v>
      </c>
    </row>
    <row r="8570" spans="1:15" hidden="1">
      <c r="A8570" s="25">
        <f>VALUE(YEAR(Table2[[#This Row],[Date]])&amp;TEXT(MONTH(Table2[[#This Row],[Date]]),"00"))</f>
        <v>202301</v>
      </c>
      <c r="B8570" s="93">
        <v>44936</v>
      </c>
      <c r="C8570" t="s">
        <v>2262</v>
      </c>
      <c r="D8570" s="87" t="s">
        <v>3654</v>
      </c>
      <c r="E8570">
        <f t="shared" si="67"/>
        <v>13.33</v>
      </c>
      <c r="F8570" s="2" t="str">
        <f>IF(Table2[[#This Row],[Manual Cat Value]]="",VLOOKUP(Table2[[#This Row],[Description]],'Actuals Lookup'!D:F,3,0),Table2[[#This Row],[Manual Cat Value]])</f>
        <v>Exp - Entertainment</v>
      </c>
      <c r="G8570" t="e">
        <f>VLOOKUP(D8570,Lookup!G:H,2,0)</f>
        <v>#N/A</v>
      </c>
      <c r="H8570" s="8" t="s">
        <v>39</v>
      </c>
      <c r="I8570" s="95"/>
      <c r="J8570" s="87">
        <v>13.33</v>
      </c>
      <c r="K8570" s="87"/>
      <c r="L8570" s="87"/>
      <c r="M8570" s="87" t="s">
        <v>2535</v>
      </c>
      <c r="O8570" t="str">
        <f>LEFT(Table2[[#This Row],[Description]],75)</f>
        <v xml:space="preserve">PARTY CITY 1152 MAPLE GROVE MN </v>
      </c>
    </row>
    <row r="8571" spans="1:15" hidden="1">
      <c r="A8571" s="25">
        <f>VALUE(YEAR(Table2[[#This Row],[Date]])&amp;TEXT(MONTH(Table2[[#This Row],[Date]]),"00"))</f>
        <v>202301</v>
      </c>
      <c r="B8571" s="6">
        <v>44936</v>
      </c>
      <c r="C8571" t="s">
        <v>2265</v>
      </c>
      <c r="D8571" t="s">
        <v>3655</v>
      </c>
      <c r="E8571">
        <f t="shared" si="67"/>
        <v>6150</v>
      </c>
      <c r="F8571" s="2" t="str">
        <f>IF(Table2[[#This Row],[Manual Cat Value]]="",VLOOKUP(Table2[[#This Row],[Description]],'Actuals Lookup'!D:F,3,0),Table2[[#This Row],[Manual Cat Value]])</f>
        <v>Delete</v>
      </c>
      <c r="G8571" t="e">
        <f>VLOOKUP(D8571,Lookup!G:H,2,0)</f>
        <v>#N/A</v>
      </c>
      <c r="H8571" s="8" t="s">
        <v>9</v>
      </c>
      <c r="I8571" s="8"/>
      <c r="J8571">
        <v>6150</v>
      </c>
      <c r="M8571" t="s">
        <v>2513</v>
      </c>
      <c r="O8571" t="str">
        <f>LEFT(Table2[[#This Row],[Description]],75)</f>
        <v>Withdrawal ACH DISCOVER BANK TYPE: ETRANSFER ID: 3770527921 CO: DISCOVER BA</v>
      </c>
    </row>
    <row r="8572" spans="1:15" hidden="1">
      <c r="A8572" s="25">
        <f>VALUE(YEAR(Table2[[#This Row],[Date]])&amp;TEXT(MONTH(Table2[[#This Row],[Date]]),"00"))</f>
        <v>202301</v>
      </c>
      <c r="B8572" s="93">
        <v>44937</v>
      </c>
      <c r="C8572" t="s">
        <v>2262</v>
      </c>
      <c r="D8572" s="87" t="s">
        <v>3656</v>
      </c>
      <c r="E8572">
        <f t="shared" si="67"/>
        <v>820</v>
      </c>
      <c r="F8572" s="2" t="str">
        <f>IF(Table2[[#This Row],[Manual Cat Value]]="",VLOOKUP(Table2[[#This Row],[Description]],'Actuals Lookup'!D:F,3,0),Table2[[#This Row],[Manual Cat Value]])</f>
        <v>Exp - Day Care</v>
      </c>
      <c r="G8572" t="e">
        <f>VLOOKUP(D8572,Lookup!G:H,2,0)</f>
        <v>#N/A</v>
      </c>
      <c r="H8572" s="8" t="s">
        <v>19</v>
      </c>
      <c r="I8572" s="95"/>
      <c r="J8572" s="87">
        <v>820</v>
      </c>
      <c r="K8572" s="87"/>
      <c r="L8572" s="87"/>
      <c r="M8572" s="87" t="s">
        <v>2535</v>
      </c>
      <c r="O8572" t="str">
        <f>LEFT(Table2[[#This Row],[Description]],75)</f>
        <v xml:space="preserve">ACT*Camp Fire MN 800-6634991 TX </v>
      </c>
    </row>
    <row r="8573" spans="1:15" ht="30" hidden="1">
      <c r="A8573" s="25">
        <f>VALUE(YEAR(Table2[[#This Row],[Date]])&amp;TEXT(MONTH(Table2[[#This Row],[Date]]),"00"))</f>
        <v>202301</v>
      </c>
      <c r="B8573" s="6">
        <v>44937</v>
      </c>
      <c r="C8573" t="s">
        <v>2447</v>
      </c>
      <c r="D8573" s="7" t="s">
        <v>3657</v>
      </c>
      <c r="E8573">
        <f t="shared" si="67"/>
        <v>47.98</v>
      </c>
      <c r="F8573" s="2" t="str">
        <f>IF(Table2[[#This Row],[Manual Cat Value]]="",VLOOKUP(Table2[[#This Row],[Description]],'Actuals Lookup'!D:F,3,0),Table2[[#This Row],[Manual Cat Value]])</f>
        <v>Exp - Amazon</v>
      </c>
      <c r="G8573" t="e">
        <f>VLOOKUP(D8573,Lookup!G:H,2,0)</f>
        <v>#N/A</v>
      </c>
      <c r="H8573" s="8" t="s">
        <v>37</v>
      </c>
      <c r="I8573" s="78"/>
      <c r="J8573">
        <v>47.98</v>
      </c>
      <c r="M8573" t="s">
        <v>2513</v>
      </c>
      <c r="O8573" t="str">
        <f>LEFT(Table2[[#This Row],[Description]],75)</f>
        <v>AMZN MKTP US*4G9GJ1P33 AMZN.COM/BILLWA
2SH9LSN5F32</v>
      </c>
    </row>
    <row r="8574" spans="1:15" hidden="1">
      <c r="A8574" s="25">
        <f>VALUE(YEAR(Table2[[#This Row],[Date]])&amp;TEXT(MONTH(Table2[[#This Row],[Date]]),"00"))</f>
        <v>202301</v>
      </c>
      <c r="B8574" s="6">
        <v>44937</v>
      </c>
      <c r="C8574" t="s">
        <v>2265</v>
      </c>
      <c r="D8574" t="s">
        <v>3658</v>
      </c>
      <c r="E8574">
        <f t="shared" si="67"/>
        <v>-455</v>
      </c>
      <c r="F8574" s="2" t="str">
        <f>IF(Table2[[#This Row],[Manual Cat Value]]="",VLOOKUP(Table2[[#This Row],[Description]],'Actuals Lookup'!D:F,3,0),Table2[[#This Row],[Manual Cat Value]])</f>
        <v>Delete</v>
      </c>
      <c r="G8574" t="e">
        <f>VLOOKUP(D8574,Lookup!G:H,2,0)</f>
        <v>#N/A</v>
      </c>
      <c r="H8574" s="8" t="s">
        <v>9</v>
      </c>
      <c r="I8574" s="8"/>
      <c r="J8574">
        <v>455</v>
      </c>
      <c r="M8574" t="s">
        <v>2621</v>
      </c>
      <c r="O8574" t="str">
        <f>LEFT(Table2[[#This Row],[Description]],75)</f>
        <v>Deposit Home Banking Transfer From Share 01 REF # 2558556</v>
      </c>
    </row>
    <row r="8575" spans="1:15" hidden="1">
      <c r="A8575" s="25">
        <f>VALUE(YEAR(Table2[[#This Row],[Date]])&amp;TEXT(MONTH(Table2[[#This Row],[Date]]),"00"))</f>
        <v>202301</v>
      </c>
      <c r="B8575" s="93">
        <v>44937</v>
      </c>
      <c r="C8575" t="s">
        <v>2262</v>
      </c>
      <c r="D8575" s="87" t="s">
        <v>3659</v>
      </c>
      <c r="E8575">
        <f t="shared" si="67"/>
        <v>100</v>
      </c>
      <c r="F8575" s="2" t="str">
        <f>IF(Table2[[#This Row],[Manual Cat Value]]="",VLOOKUP(Table2[[#This Row],[Description]],'Actuals Lookup'!D:F,3,0),Table2[[#This Row],[Manual Cat Value]])</f>
        <v>Exp - Day Care</v>
      </c>
      <c r="G8575" t="e">
        <f>VLOOKUP(D8575,Lookup!G:H,2,0)</f>
        <v>#N/A</v>
      </c>
      <c r="H8575" s="8" t="s">
        <v>19</v>
      </c>
      <c r="I8575" s="95"/>
      <c r="J8575" s="87">
        <v>100</v>
      </c>
      <c r="K8575" s="87"/>
      <c r="L8575" s="87"/>
      <c r="M8575" s="87" t="s">
        <v>2535</v>
      </c>
      <c r="O8575" t="str">
        <f>LEFT(Table2[[#This Row],[Description]],75)</f>
        <v xml:space="preserve">RVT*MTKA PUB SCHLS-WEB 952-4015000 MN </v>
      </c>
    </row>
    <row r="8576" spans="1:15" hidden="1">
      <c r="A8576" s="25">
        <f>VALUE(YEAR(Table2[[#This Row],[Date]])&amp;TEXT(MONTH(Table2[[#This Row],[Date]]),"00"))</f>
        <v>202301</v>
      </c>
      <c r="B8576" s="6">
        <v>44937</v>
      </c>
      <c r="C8576" t="s">
        <v>2447</v>
      </c>
      <c r="D8576" t="s">
        <v>3660</v>
      </c>
      <c r="E8576">
        <f t="shared" si="67"/>
        <v>66.510000000000005</v>
      </c>
      <c r="F8576" s="2" t="str">
        <f>IF(Table2[[#This Row],[Manual Cat Value]]="",VLOOKUP(Table2[[#This Row],[Description]],'Actuals Lookup'!D:F,3,0),Table2[[#This Row],[Manual Cat Value]])</f>
        <v>Exp - Transportation</v>
      </c>
      <c r="G8576" t="e">
        <f>VLOOKUP(D8576,Lookup!G:H,2,0)</f>
        <v>#N/A</v>
      </c>
      <c r="H8576" s="8" t="s">
        <v>22</v>
      </c>
      <c r="I8576" s="8"/>
      <c r="J8576">
        <v>66.510000000000005</v>
      </c>
      <c r="M8576" t="s">
        <v>2513</v>
      </c>
      <c r="O8576" t="str">
        <f>LEFT(Table2[[#This Row],[Description]],75)</f>
        <v>SPEEDWAY 04095 CHASKA MN</v>
      </c>
    </row>
    <row r="8577" spans="1:15" hidden="1">
      <c r="A8577" s="25">
        <f>VALUE(YEAR(Table2[[#This Row],[Date]])&amp;TEXT(MONTH(Table2[[#This Row],[Date]]),"00"))</f>
        <v>202301</v>
      </c>
      <c r="B8577" s="93">
        <v>44937</v>
      </c>
      <c r="C8577" t="s">
        <v>2262</v>
      </c>
      <c r="D8577" s="87" t="s">
        <v>3661</v>
      </c>
      <c r="E8577">
        <f t="shared" si="67"/>
        <v>44.48</v>
      </c>
      <c r="F8577" s="2" t="str">
        <f>IF(Table2[[#This Row],[Manual Cat Value]]="",VLOOKUP(Table2[[#This Row],[Description]],'Actuals Lookup'!D:F,3,0),Table2[[#This Row],[Manual Cat Value]])</f>
        <v>Exp - Transportation</v>
      </c>
      <c r="G8577" t="e">
        <f>VLOOKUP(D8577,Lookup!G:H,2,0)</f>
        <v>#N/A</v>
      </c>
      <c r="H8577" s="8" t="s">
        <v>22</v>
      </c>
      <c r="I8577" s="95"/>
      <c r="J8577" s="87">
        <v>44.48</v>
      </c>
      <c r="K8577" s="87"/>
      <c r="L8577" s="87"/>
      <c r="M8577" s="87" t="s">
        <v>2535</v>
      </c>
      <c r="O8577" t="str">
        <f>LEFT(Table2[[#This Row],[Description]],75)</f>
        <v xml:space="preserve">SPEEDWAY 04366 EXCELSIOR MN </v>
      </c>
    </row>
    <row r="8578" spans="1:15" hidden="1">
      <c r="A8578" s="25">
        <f>VALUE(YEAR(Table2[[#This Row],[Date]])&amp;TEXT(MONTH(Table2[[#This Row],[Date]]),"00"))</f>
        <v>202301</v>
      </c>
      <c r="B8578" s="6">
        <v>44937</v>
      </c>
      <c r="C8578" t="s">
        <v>2447</v>
      </c>
      <c r="D8578" t="s">
        <v>1850</v>
      </c>
      <c r="E8578">
        <f t="shared" si="67"/>
        <v>6.42</v>
      </c>
      <c r="F8578" s="2" t="str">
        <f>IF(Table2[[#This Row],[Manual Cat Value]]="",VLOOKUP(Table2[[#This Row],[Description]],'Actuals Lookup'!D:F,3,0),Table2[[#This Row],[Manual Cat Value]])</f>
        <v>House Maintenance</v>
      </c>
      <c r="G8578" t="str">
        <f>VLOOKUP(D8578,Lookup!G:H,2,0)</f>
        <v>House Maintenance</v>
      </c>
      <c r="I8578" s="8"/>
      <c r="J8578">
        <v>6.42</v>
      </c>
      <c r="M8578" t="s">
        <v>2513</v>
      </c>
      <c r="O8578" t="str">
        <f>LEFT(Table2[[#This Row],[Description]],75)</f>
        <v>THE HOME DEPOT #2825 CHASKA MN</v>
      </c>
    </row>
    <row r="8579" spans="1:15" hidden="1">
      <c r="A8579" s="25">
        <f>VALUE(YEAR(Table2[[#This Row],[Date]])&amp;TEXT(MONTH(Table2[[#This Row],[Date]]),"00"))</f>
        <v>202301</v>
      </c>
      <c r="B8579" s="6">
        <v>44937</v>
      </c>
      <c r="C8579" t="s">
        <v>2265</v>
      </c>
      <c r="D8579" t="s">
        <v>3662</v>
      </c>
      <c r="E8579">
        <f t="shared" si="67"/>
        <v>330</v>
      </c>
      <c r="F8579" s="2" t="str">
        <f>IF(Table2[[#This Row],[Manual Cat Value]]="",VLOOKUP(Table2[[#This Row],[Description]],'Actuals Lookup'!D:F,3,0),Table2[[#This Row],[Manual Cat Value]])</f>
        <v>Exp - Day Care</v>
      </c>
      <c r="G8579" t="e">
        <f>VLOOKUP(D8579,Lookup!G:H,2,0)</f>
        <v>#N/A</v>
      </c>
      <c r="H8579" s="8" t="s">
        <v>19</v>
      </c>
      <c r="I8579" s="8"/>
      <c r="J8579">
        <v>330</v>
      </c>
      <c r="M8579" t="s">
        <v>2513</v>
      </c>
      <c r="O8579" t="str">
        <f>LEFT(Table2[[#This Row],[Description]],75)</f>
        <v xml:space="preserve">Withdrawal ACH MHCHILDCARELLC TYPE: DUES ID: 1824708198 CO: MHCHILDCARELLC </v>
      </c>
    </row>
    <row r="8580" spans="1:15" hidden="1">
      <c r="A8580" s="25">
        <f>VALUE(YEAR(Table2[[#This Row],[Date]])&amp;TEXT(MONTH(Table2[[#This Row],[Date]]),"00"))</f>
        <v>202301</v>
      </c>
      <c r="B8580" s="6">
        <v>44937</v>
      </c>
      <c r="C8580" t="s">
        <v>2265</v>
      </c>
      <c r="D8580" t="s">
        <v>3663</v>
      </c>
      <c r="E8580">
        <f t="shared" si="67"/>
        <v>200</v>
      </c>
      <c r="F8580" s="2" t="str">
        <f>IF(Table2[[#This Row],[Manual Cat Value]]="",VLOOKUP(Table2[[#This Row],[Description]],'Actuals Lookup'!D:F,3,0),Table2[[#This Row],[Manual Cat Value]])</f>
        <v>Delete</v>
      </c>
      <c r="G8580" t="e">
        <f>VLOOKUP(D8580,Lookup!G:H,2,0)</f>
        <v>#N/A</v>
      </c>
      <c r="H8580" s="8" t="s">
        <v>9</v>
      </c>
      <c r="I8580" s="8"/>
      <c r="J8580">
        <v>200</v>
      </c>
      <c r="M8580" t="s">
        <v>2513</v>
      </c>
      <c r="O8580" t="str">
        <f>LEFT(Table2[[#This Row],[Description]],75)</f>
        <v>Withdrawal at ATM #000000005157 Wells Fargo Bank XXXXXXX 82nd St Chaska MN</v>
      </c>
    </row>
    <row r="8581" spans="1:15" hidden="1">
      <c r="A8581" s="25">
        <f>VALUE(YEAR(Table2[[#This Row],[Date]])&amp;TEXT(MONTH(Table2[[#This Row],[Date]]),"00"))</f>
        <v>202301</v>
      </c>
      <c r="B8581" s="6">
        <v>44937</v>
      </c>
      <c r="C8581" t="s">
        <v>2305</v>
      </c>
      <c r="D8581" t="s">
        <v>3664</v>
      </c>
      <c r="E8581">
        <f t="shared" si="67"/>
        <v>455</v>
      </c>
      <c r="F8581" s="2" t="str">
        <f>IF(Table2[[#This Row],[Manual Cat Value]]="",VLOOKUP(Table2[[#This Row],[Description]],'Actuals Lookup'!D:F,3,0),Table2[[#This Row],[Manual Cat Value]])</f>
        <v>Delete</v>
      </c>
      <c r="G8581" t="e">
        <f>VLOOKUP(D8581,Lookup!G:H,2,0)</f>
        <v>#N/A</v>
      </c>
      <c r="H8581" s="8" t="s">
        <v>9</v>
      </c>
      <c r="I8581" s="8"/>
      <c r="J8581">
        <v>455</v>
      </c>
      <c r="M8581" t="s">
        <v>2513</v>
      </c>
      <c r="O8581" t="str">
        <f>LEFT(Table2[[#This Row],[Description]],75)</f>
        <v>Withdrawal Home Banking Transfer To Share 70 REF # 2558556</v>
      </c>
    </row>
    <row r="8582" spans="1:15" hidden="1">
      <c r="A8582" s="25">
        <f>VALUE(YEAR(Table2[[#This Row],[Date]])&amp;TEXT(MONTH(Table2[[#This Row],[Date]]),"00"))</f>
        <v>202301</v>
      </c>
      <c r="B8582" s="93">
        <v>44938</v>
      </c>
      <c r="C8582" t="s">
        <v>2262</v>
      </c>
      <c r="D8582" s="87" t="s">
        <v>3665</v>
      </c>
      <c r="E8582">
        <f t="shared" si="67"/>
        <v>45</v>
      </c>
      <c r="F8582" s="2" t="str">
        <f>IF(Table2[[#This Row],[Manual Cat Value]]="",VLOOKUP(Table2[[#This Row],[Description]],'Actuals Lookup'!D:F,3,0),Table2[[#This Row],[Manual Cat Value]])</f>
        <v>Exp - Utilities</v>
      </c>
      <c r="G8582" t="e">
        <f>VLOOKUP(D8582,Lookup!G:H,2,0)</f>
        <v>#N/A</v>
      </c>
      <c r="H8582" s="8" t="s">
        <v>6</v>
      </c>
      <c r="I8582" s="95"/>
      <c r="J8582" s="87">
        <v>45</v>
      </c>
      <c r="K8582" s="87"/>
      <c r="L8582" s="87"/>
      <c r="M8582" s="87" t="s">
        <v>2535</v>
      </c>
      <c r="O8582" t="str">
        <f>LEFT(Table2[[#This Row],[Description]],75)</f>
        <v xml:space="preserve">CENTURYLINK LUMEN 800-244-1111 LA </v>
      </c>
    </row>
    <row r="8583" spans="1:15" hidden="1">
      <c r="A8583" s="25">
        <f>VALUE(YEAR(Table2[[#This Row],[Date]])&amp;TEXT(MONTH(Table2[[#This Row],[Date]]),"00"))</f>
        <v>202301</v>
      </c>
      <c r="B8583" s="6">
        <v>44938</v>
      </c>
      <c r="C8583" t="s">
        <v>2265</v>
      </c>
      <c r="D8583" t="s">
        <v>3666</v>
      </c>
      <c r="E8583">
        <f t="shared" si="67"/>
        <v>-2922.79</v>
      </c>
      <c r="F8583" s="2" t="str">
        <f>IF(Table2[[#This Row],[Manual Cat Value]]="",VLOOKUP(Table2[[#This Row],[Description]],'Actuals Lookup'!D:F,3,0),Table2[[#This Row],[Manual Cat Value]])</f>
        <v>Inc - Jeff</v>
      </c>
      <c r="G8583" t="e">
        <f>VLOOKUP(D8583,Lookup!G:H,2,0)</f>
        <v>#N/A</v>
      </c>
      <c r="H8583" s="8" t="s">
        <v>63</v>
      </c>
      <c r="I8583" s="8"/>
      <c r="J8583">
        <v>2922.79</v>
      </c>
      <c r="M8583" t="s">
        <v>2621</v>
      </c>
      <c r="O8583" t="str">
        <f>LEFT(Table2[[#This Row],[Description]],75)</f>
        <v>Deposit ACH TRINET TYPE: PAYROLL ID: 194XXXXXXX CO: TRINET Entry Class Code</v>
      </c>
    </row>
    <row r="8584" spans="1:15" hidden="1">
      <c r="A8584" s="25">
        <f>VALUE(YEAR(Table2[[#This Row],[Date]])&amp;TEXT(MONTH(Table2[[#This Row],[Date]]),"00"))</f>
        <v>202301</v>
      </c>
      <c r="B8584" s="93">
        <v>44939</v>
      </c>
      <c r="C8584" t="s">
        <v>2262</v>
      </c>
      <c r="D8584" s="87" t="s">
        <v>3667</v>
      </c>
      <c r="E8584">
        <f t="shared" si="67"/>
        <v>-52.79</v>
      </c>
      <c r="F8584" s="2" t="str">
        <f>IF(Table2[[#This Row],[Manual Cat Value]]="",VLOOKUP(Table2[[#This Row],[Description]],'Actuals Lookup'!D:F,3,0),Table2[[#This Row],[Manual Cat Value]])</f>
        <v>Exp - Shopping</v>
      </c>
      <c r="G8584" t="e">
        <f>VLOOKUP(D8584,Lookup!G:H,2,0)</f>
        <v>#N/A</v>
      </c>
      <c r="H8584" s="8" t="s">
        <v>36</v>
      </c>
      <c r="I8584" s="95"/>
      <c r="J8584" s="87">
        <v>52.79</v>
      </c>
      <c r="K8584" s="87"/>
      <c r="L8584" s="87"/>
      <c r="M8584" s="87" t="s">
        <v>3074</v>
      </c>
      <c r="O8584" t="str">
        <f>LEFT(Table2[[#This Row],[Description]],75)</f>
        <v xml:space="preserve">VINEYARD VINES LLC 800-892-4982 CT </v>
      </c>
    </row>
    <row r="8585" spans="1:15" hidden="1">
      <c r="A8585" s="25">
        <f>VALUE(YEAR(Table2[[#This Row],[Date]])&amp;TEXT(MONTH(Table2[[#This Row],[Date]]),"00"))</f>
        <v>202301</v>
      </c>
      <c r="B8585" s="93">
        <v>44939</v>
      </c>
      <c r="C8585" t="s">
        <v>2262</v>
      </c>
      <c r="D8585" s="87" t="s">
        <v>3667</v>
      </c>
      <c r="E8585">
        <f t="shared" si="67"/>
        <v>-95.39</v>
      </c>
      <c r="F8585" s="2" t="str">
        <f>IF(Table2[[#This Row],[Manual Cat Value]]="",VLOOKUP(Table2[[#This Row],[Description]],'Actuals Lookup'!D:F,3,0),Table2[[#This Row],[Manual Cat Value]])</f>
        <v>Exp - Shopping</v>
      </c>
      <c r="G8585" t="e">
        <f>VLOOKUP(D8585,Lookup!G:H,2,0)</f>
        <v>#N/A</v>
      </c>
      <c r="H8585" s="8" t="s">
        <v>36</v>
      </c>
      <c r="I8585" s="95"/>
      <c r="J8585" s="87">
        <v>95.39</v>
      </c>
      <c r="K8585" s="87"/>
      <c r="L8585" s="87"/>
      <c r="M8585" s="87" t="s">
        <v>3074</v>
      </c>
      <c r="O8585" t="str">
        <f>LEFT(Table2[[#This Row],[Description]],75)</f>
        <v xml:space="preserve">VINEYARD VINES LLC 800-892-4982 CT </v>
      </c>
    </row>
    <row r="8586" spans="1:15" hidden="1">
      <c r="A8586" s="25">
        <f>VALUE(YEAR(Table2[[#This Row],[Date]])&amp;TEXT(MONTH(Table2[[#This Row],[Date]]),"00"))</f>
        <v>202301</v>
      </c>
      <c r="B8586" s="6">
        <v>44939</v>
      </c>
      <c r="C8586" t="s">
        <v>2265</v>
      </c>
      <c r="D8586" t="s">
        <v>3668</v>
      </c>
      <c r="E8586">
        <f t="shared" si="67"/>
        <v>100</v>
      </c>
      <c r="F8586" s="2" t="str">
        <f>IF(Table2[[#This Row],[Manual Cat Value]]="",VLOOKUP(Table2[[#This Row],[Description]],'Actuals Lookup'!D:F,3,0),Table2[[#This Row],[Manual Cat Value]])</f>
        <v>Delete</v>
      </c>
      <c r="G8586" t="e">
        <f>VLOOKUP(D8586,Lookup!G:H,2,0)</f>
        <v>#N/A</v>
      </c>
      <c r="H8586" s="8" t="s">
        <v>9</v>
      </c>
      <c r="I8586" s="8"/>
      <c r="J8586">
        <v>100</v>
      </c>
      <c r="M8586" t="s">
        <v>2513</v>
      </c>
      <c r="O8586" t="str">
        <f>LEFT(Table2[[#This Row],[Description]],75)</f>
        <v xml:space="preserve">Withdrawal ACH Coinbase.com TYPE: PRBYKY68 ID: 1455293997 CO: Coinbase.com </v>
      </c>
    </row>
    <row r="8587" spans="1:15" ht="30" hidden="1">
      <c r="A8587" s="25">
        <f>VALUE(YEAR(Table2[[#This Row],[Date]])&amp;TEXT(MONTH(Table2[[#This Row],[Date]]),"00"))</f>
        <v>202301</v>
      </c>
      <c r="B8587" s="6">
        <v>44940</v>
      </c>
      <c r="C8587" t="s">
        <v>2447</v>
      </c>
      <c r="D8587" s="7" t="s">
        <v>3669</v>
      </c>
      <c r="E8587">
        <f t="shared" si="67"/>
        <v>-31.99</v>
      </c>
      <c r="F8587" s="2" t="str">
        <f>IF(Table2[[#This Row],[Manual Cat Value]]="",VLOOKUP(Table2[[#This Row],[Description]],'Actuals Lookup'!D:F,3,0),Table2[[#This Row],[Manual Cat Value]])</f>
        <v>Exp - Amazon</v>
      </c>
      <c r="G8587" t="e">
        <f>VLOOKUP(D8587,Lookup!G:H,2,0)</f>
        <v>#N/A</v>
      </c>
      <c r="H8587" s="8" t="s">
        <v>37</v>
      </c>
      <c r="I8587" s="78"/>
      <c r="J8587">
        <v>31.99</v>
      </c>
      <c r="M8587" t="s">
        <v>2621</v>
      </c>
      <c r="O8587" t="str">
        <f>LEFT(Table2[[#This Row],[Description]],75)</f>
        <v>AMZN MKTP US AMZN.COM/BILLWA
1G8RTLYNFRP</v>
      </c>
    </row>
    <row r="8588" spans="1:15" ht="30" hidden="1">
      <c r="A8588" s="25">
        <f>VALUE(YEAR(Table2[[#This Row],[Date]])&amp;TEXT(MONTH(Table2[[#This Row],[Date]]),"00"))</f>
        <v>202301</v>
      </c>
      <c r="B8588" s="6">
        <v>44940</v>
      </c>
      <c r="C8588" t="s">
        <v>2447</v>
      </c>
      <c r="D8588" s="7" t="s">
        <v>3670</v>
      </c>
      <c r="E8588">
        <f t="shared" si="67"/>
        <v>-27.99</v>
      </c>
      <c r="F8588" s="2" t="str">
        <f>IF(Table2[[#This Row],[Manual Cat Value]]="",VLOOKUP(Table2[[#This Row],[Description]],'Actuals Lookup'!D:F,3,0),Table2[[#This Row],[Manual Cat Value]])</f>
        <v>Exp - Amazon</v>
      </c>
      <c r="G8588" t="e">
        <f>VLOOKUP(D8588,Lookup!G:H,2,0)</f>
        <v>#N/A</v>
      </c>
      <c r="H8588" s="8" t="s">
        <v>37</v>
      </c>
      <c r="I8588" s="78"/>
      <c r="J8588">
        <v>27.99</v>
      </c>
      <c r="M8588" t="s">
        <v>2621</v>
      </c>
      <c r="O8588" t="str">
        <f>LEFT(Table2[[#This Row],[Description]],75)</f>
        <v>AMZN MKTP US AMZN.COM/BILLWA
73YZXHKSHUV</v>
      </c>
    </row>
    <row r="8589" spans="1:15" hidden="1">
      <c r="A8589" s="25">
        <f>VALUE(YEAR(Table2[[#This Row],[Date]])&amp;TEXT(MONTH(Table2[[#This Row],[Date]]),"00"))</f>
        <v>202301</v>
      </c>
      <c r="B8589" s="93">
        <v>44940</v>
      </c>
      <c r="C8589" t="s">
        <v>2262</v>
      </c>
      <c r="D8589" s="87" t="s">
        <v>3671</v>
      </c>
      <c r="E8589">
        <f t="shared" si="67"/>
        <v>146.19999999999999</v>
      </c>
      <c r="F8589" s="2" t="str">
        <f>IF(Table2[[#This Row],[Manual Cat Value]]="",VLOOKUP(Table2[[#This Row],[Description]],'Actuals Lookup'!D:F,3,0),Table2[[#This Row],[Manual Cat Value]])</f>
        <v>Exp - Shopping</v>
      </c>
      <c r="G8589" t="e">
        <f>VLOOKUP(D8589,Lookup!G:H,2,0)</f>
        <v>#N/A</v>
      </c>
      <c r="H8589" s="8" t="s">
        <v>36</v>
      </c>
      <c r="I8589" s="95"/>
      <c r="J8589" s="87">
        <v>146.19999999999999</v>
      </c>
      <c r="K8589" s="87"/>
      <c r="L8589" s="87"/>
      <c r="M8589" s="87" t="s">
        <v>2535</v>
      </c>
      <c r="O8589" t="str">
        <f>LEFT(Table2[[#This Row],[Description]],75)</f>
        <v xml:space="preserve">BACHMAN'S INC.- EDEN PRA EDEN PRAIRIE MN </v>
      </c>
    </row>
    <row r="8590" spans="1:15" hidden="1">
      <c r="A8590" s="25">
        <f>VALUE(YEAR(Table2[[#This Row],[Date]])&amp;TEXT(MONTH(Table2[[#This Row],[Date]]),"00"))</f>
        <v>202301</v>
      </c>
      <c r="B8590" s="93">
        <v>44940</v>
      </c>
      <c r="C8590" t="s">
        <v>2262</v>
      </c>
      <c r="D8590" s="87" t="s">
        <v>3672</v>
      </c>
      <c r="E8590">
        <f t="shared" ref="E8590:E8621" si="68">IF(M8590="credit",-1*J8590,J8590)</f>
        <v>2903.18</v>
      </c>
      <c r="F8590" s="2" t="str">
        <f>IF(Table2[[#This Row],[Manual Cat Value]]="",VLOOKUP(Table2[[#This Row],[Description]],'Actuals Lookup'!D:F,3,0),Table2[[#This Row],[Manual Cat Value]])</f>
        <v>Exp - Shopping</v>
      </c>
      <c r="G8590" t="e">
        <f>VLOOKUP(D8590,Lookup!G:H,2,0)</f>
        <v>#N/A</v>
      </c>
      <c r="H8590" s="8" t="s">
        <v>36</v>
      </c>
      <c r="I8590" s="95"/>
      <c r="J8590" s="87">
        <v>2903.18</v>
      </c>
      <c r="K8590" s="87"/>
      <c r="L8590" s="87"/>
      <c r="M8590" s="87" t="s">
        <v>2535</v>
      </c>
      <c r="O8590" t="str">
        <f>LEFT(Table2[[#This Row],[Description]],75)</f>
        <v xml:space="preserve">JEWELRY WORKS 763-5935758 MN </v>
      </c>
    </row>
    <row r="8591" spans="1:15" hidden="1">
      <c r="A8591" s="25">
        <f>VALUE(YEAR(Table2[[#This Row],[Date]])&amp;TEXT(MONTH(Table2[[#This Row],[Date]]),"00"))</f>
        <v>202301</v>
      </c>
      <c r="B8591" s="93">
        <v>44940</v>
      </c>
      <c r="C8591" t="s">
        <v>2262</v>
      </c>
      <c r="D8591" s="87" t="s">
        <v>3673</v>
      </c>
      <c r="E8591">
        <f t="shared" si="68"/>
        <v>36.56</v>
      </c>
      <c r="F8591" s="2" t="str">
        <f>IF(Table2[[#This Row],[Manual Cat Value]]="",VLOOKUP(Table2[[#This Row],[Description]],'Actuals Lookup'!D:F,3,0),Table2[[#This Row],[Manual Cat Value]])</f>
        <v>Exp - Transportation</v>
      </c>
      <c r="G8591" t="e">
        <f>VLOOKUP(D8591,Lookup!G:H,2,0)</f>
        <v>#N/A</v>
      </c>
      <c r="H8591" s="8" t="s">
        <v>22</v>
      </c>
      <c r="I8591" s="95"/>
      <c r="J8591" s="87">
        <v>36.56</v>
      </c>
      <c r="K8591" s="87"/>
      <c r="L8591" s="87"/>
      <c r="M8591" s="87" t="s">
        <v>2535</v>
      </c>
      <c r="O8591" t="str">
        <f>LEFT(Table2[[#This Row],[Description]],75)</f>
        <v xml:space="preserve">MISTER CAR WASH #606 - ST LOUIS PARK MN </v>
      </c>
    </row>
    <row r="8592" spans="1:15" hidden="1">
      <c r="A8592" s="25">
        <f>VALUE(YEAR(Table2[[#This Row],[Date]])&amp;TEXT(MONTH(Table2[[#This Row],[Date]]),"00"))</f>
        <v>202301</v>
      </c>
      <c r="B8592" s="93">
        <v>44940</v>
      </c>
      <c r="C8592" t="s">
        <v>2262</v>
      </c>
      <c r="D8592" s="87" t="s">
        <v>3674</v>
      </c>
      <c r="E8592">
        <f t="shared" si="68"/>
        <v>7.51</v>
      </c>
      <c r="F8592" s="2" t="str">
        <f>IF(Table2[[#This Row],[Manual Cat Value]]="",VLOOKUP(Table2[[#This Row],[Description]],'Actuals Lookup'!D:F,3,0),Table2[[#This Row],[Manual Cat Value]])</f>
        <v>Exp - Entertainment</v>
      </c>
      <c r="G8592" t="e">
        <f>VLOOKUP(D8592,Lookup!G:H,2,0)</f>
        <v>#N/A</v>
      </c>
      <c r="H8592" s="8" t="s">
        <v>39</v>
      </c>
      <c r="I8592" s="95"/>
      <c r="J8592" s="87">
        <v>7.51</v>
      </c>
      <c r="K8592" s="87"/>
      <c r="L8592" s="87"/>
      <c r="M8592" s="87" t="s">
        <v>2535</v>
      </c>
      <c r="O8592" t="str">
        <f>LEFT(Table2[[#This Row],[Description]],75)</f>
        <v xml:space="preserve">Prime Video*0034Y1XV3 888-802-3080 WA </v>
      </c>
    </row>
    <row r="8593" spans="1:15" hidden="1">
      <c r="A8593" s="25">
        <f>VALUE(YEAR(Table2[[#This Row],[Date]])&amp;TEXT(MONTH(Table2[[#This Row],[Date]]),"00"))</f>
        <v>202301</v>
      </c>
      <c r="B8593" s="93">
        <v>44940</v>
      </c>
      <c r="C8593" t="s">
        <v>2262</v>
      </c>
      <c r="D8593" s="87" t="s">
        <v>3675</v>
      </c>
      <c r="E8593">
        <f t="shared" si="68"/>
        <v>57.85</v>
      </c>
      <c r="F8593" s="2" t="str">
        <f>IF(Table2[[#This Row],[Manual Cat Value]]="",VLOOKUP(Table2[[#This Row],[Description]],'Actuals Lookup'!D:F,3,0),Table2[[#This Row],[Manual Cat Value]])</f>
        <v>Exp - Restaurants</v>
      </c>
      <c r="G8593" t="e">
        <f>VLOOKUP(D8593,Lookup!G:H,2,0)</f>
        <v>#N/A</v>
      </c>
      <c r="H8593" s="8" t="s">
        <v>25</v>
      </c>
      <c r="I8593" s="95"/>
      <c r="J8593" s="87">
        <v>57.85</v>
      </c>
      <c r="K8593" s="87"/>
      <c r="L8593" s="87"/>
      <c r="M8593" s="87" t="s">
        <v>2535</v>
      </c>
      <c r="O8593" t="str">
        <f>LEFT(Table2[[#This Row],[Description]],75)</f>
        <v xml:space="preserve">STORE*BIG BOWL WWW.DOORDASH. CA </v>
      </c>
    </row>
    <row r="8594" spans="1:15" hidden="1">
      <c r="A8594" s="25">
        <f>VALUE(YEAR(Table2[[#This Row],[Date]])&amp;TEXT(MONTH(Table2[[#This Row],[Date]]),"00"))</f>
        <v>202301</v>
      </c>
      <c r="B8594" s="93">
        <v>44940</v>
      </c>
      <c r="C8594" t="s">
        <v>2262</v>
      </c>
      <c r="D8594" s="87" t="s">
        <v>3676</v>
      </c>
      <c r="E8594">
        <f t="shared" si="68"/>
        <v>9.09</v>
      </c>
      <c r="F8594" s="2" t="str">
        <f>IF(Table2[[#This Row],[Manual Cat Value]]="",VLOOKUP(Table2[[#This Row],[Description]],'Actuals Lookup'!D:F,3,0),Table2[[#This Row],[Manual Cat Value]])</f>
        <v>Exp - House Maint</v>
      </c>
      <c r="G8594" t="e">
        <f>VLOOKUP(D8594,Lookup!G:H,2,0)</f>
        <v>#N/A</v>
      </c>
      <c r="H8594" s="8" t="s">
        <v>1</v>
      </c>
      <c r="I8594" s="95"/>
      <c r="J8594" s="87">
        <v>9.09</v>
      </c>
      <c r="K8594" s="87"/>
      <c r="L8594" s="87"/>
      <c r="M8594" s="87" t="s">
        <v>2535</v>
      </c>
      <c r="O8594" t="str">
        <f>LEFT(Table2[[#This Row],[Description]],75)</f>
        <v xml:space="preserve">THE HOME DEPOT #2825 CHASKA MN </v>
      </c>
    </row>
    <row r="8595" spans="1:15" ht="30" hidden="1">
      <c r="A8595" s="25">
        <f>VALUE(YEAR(Table2[[#This Row],[Date]])&amp;TEXT(MONTH(Table2[[#This Row],[Date]]),"00"))</f>
        <v>202301</v>
      </c>
      <c r="B8595" s="6">
        <v>44940</v>
      </c>
      <c r="C8595" t="s">
        <v>2447</v>
      </c>
      <c r="D8595" s="7" t="s">
        <v>3677</v>
      </c>
      <c r="E8595">
        <f t="shared" si="68"/>
        <v>184.59</v>
      </c>
      <c r="F8595" s="2" t="str">
        <f>IF(Table2[[#This Row],[Manual Cat Value]]="",VLOOKUP(Table2[[#This Row],[Description]],'Actuals Lookup'!D:F,3,0),Table2[[#This Row],[Manual Cat Value]])</f>
        <v>Exp - Groceries</v>
      </c>
      <c r="G8595" t="e">
        <f>VLOOKUP(D8595,Lookup!G:H,2,0)</f>
        <v>#N/A</v>
      </c>
      <c r="H8595" s="8" t="s">
        <v>27</v>
      </c>
      <c r="I8595" s="78"/>
      <c r="J8595">
        <v>184.59</v>
      </c>
      <c r="M8595" t="s">
        <v>2513</v>
      </c>
      <c r="O8595" t="str">
        <f>LEFT(Table2[[#This Row],[Description]],75)</f>
        <v>TRADER JOE'S #710 QPS ST LOUIS PARKMN
APPLE PAY ENDING IN 8856</v>
      </c>
    </row>
    <row r="8596" spans="1:15" ht="30" hidden="1">
      <c r="A8596" s="25">
        <f>VALUE(YEAR(Table2[[#This Row],[Date]])&amp;TEXT(MONTH(Table2[[#This Row],[Date]]),"00"))</f>
        <v>202301</v>
      </c>
      <c r="B8596" s="6">
        <v>44941</v>
      </c>
      <c r="C8596" t="s">
        <v>2447</v>
      </c>
      <c r="D8596" s="7" t="s">
        <v>3678</v>
      </c>
      <c r="E8596">
        <f t="shared" si="68"/>
        <v>6.41</v>
      </c>
      <c r="F8596" s="2" t="str">
        <f>IF(Table2[[#This Row],[Manual Cat Value]]="",VLOOKUP(Table2[[#This Row],[Description]],'Actuals Lookup'!D:F,3,0),Table2[[#This Row],[Manual Cat Value]])</f>
        <v>Exp - Amazon</v>
      </c>
      <c r="G8596" t="e">
        <f>VLOOKUP(D8596,Lookup!G:H,2,0)</f>
        <v>#N/A</v>
      </c>
      <c r="H8596" s="8" t="s">
        <v>37</v>
      </c>
      <c r="I8596" s="78"/>
      <c r="J8596">
        <v>6.41</v>
      </c>
      <c r="M8596" t="s">
        <v>2513</v>
      </c>
      <c r="O8596" t="str">
        <f>LEFT(Table2[[#This Row],[Description]],75)</f>
        <v>AMZN MKTP US*XS34L57H3 AMZN.COM/BILLWA
5ZSJT07FCKO</v>
      </c>
    </row>
    <row r="8597" spans="1:15" hidden="1">
      <c r="A8597" s="25">
        <f>VALUE(YEAR(Table2[[#This Row],[Date]])&amp;TEXT(MONTH(Table2[[#This Row],[Date]]),"00"))</f>
        <v>202301</v>
      </c>
      <c r="B8597" s="93">
        <v>44941</v>
      </c>
      <c r="C8597" t="s">
        <v>2262</v>
      </c>
      <c r="D8597" s="87" t="s">
        <v>3679</v>
      </c>
      <c r="E8597">
        <f t="shared" si="68"/>
        <v>267.36</v>
      </c>
      <c r="F8597" s="2" t="str">
        <f>IF(Table2[[#This Row],[Manual Cat Value]]="",VLOOKUP(Table2[[#This Row],[Description]],'Actuals Lookup'!D:F,3,0),Table2[[#This Row],[Manual Cat Value]])</f>
        <v>Exp - Shopping</v>
      </c>
      <c r="G8597" t="e">
        <f>VLOOKUP(D8597,Lookup!G:H,2,0)</f>
        <v>#N/A</v>
      </c>
      <c r="H8597" s="8" t="s">
        <v>36</v>
      </c>
      <c r="I8597" s="95"/>
      <c r="J8597" s="87">
        <v>267.36</v>
      </c>
      <c r="K8597" s="87"/>
      <c r="L8597" s="87"/>
      <c r="M8597" s="87" t="s">
        <v>2535</v>
      </c>
      <c r="O8597" t="str">
        <f>LEFT(Table2[[#This Row],[Description]],75)</f>
        <v xml:space="preserve">APPLE.COM/US 800-676-2775 CA </v>
      </c>
    </row>
    <row r="8598" spans="1:15" hidden="1">
      <c r="A8598" s="25">
        <f>VALUE(YEAR(Table2[[#This Row],[Date]])&amp;TEXT(MONTH(Table2[[#This Row],[Date]]),"00"))</f>
        <v>202301</v>
      </c>
      <c r="B8598" s="93">
        <v>44941</v>
      </c>
      <c r="C8598" t="s">
        <v>2262</v>
      </c>
      <c r="D8598" s="87" t="s">
        <v>3606</v>
      </c>
      <c r="E8598">
        <f t="shared" si="68"/>
        <v>61.9</v>
      </c>
      <c r="F8598" s="2" t="str">
        <f>IF(Table2[[#This Row],[Manual Cat Value]]="",VLOOKUP(Table2[[#This Row],[Description]],'Actuals Lookup'!D:F,3,0),Table2[[#This Row],[Manual Cat Value]])</f>
        <v>Exp - Groceries</v>
      </c>
      <c r="G8598" t="e">
        <f>VLOOKUP(D8598,Lookup!G:H,2,0)</f>
        <v>#N/A</v>
      </c>
      <c r="H8598" s="8" t="s">
        <v>27</v>
      </c>
      <c r="I8598" s="95"/>
      <c r="J8598" s="87">
        <v>61.9</v>
      </c>
      <c r="K8598" s="87"/>
      <c r="L8598" s="87"/>
      <c r="M8598" s="87" t="s">
        <v>2535</v>
      </c>
      <c r="O8598" t="str">
        <f>LEFT(Table2[[#This Row],[Description]],75)</f>
        <v xml:space="preserve">CUB FOODS #1636 SHOREWOOD MN </v>
      </c>
    </row>
    <row r="8599" spans="1:15" hidden="1">
      <c r="A8599" s="25">
        <f>VALUE(YEAR(Table2[[#This Row],[Date]])&amp;TEXT(MONTH(Table2[[#This Row],[Date]]),"00"))</f>
        <v>202301</v>
      </c>
      <c r="B8599" s="93">
        <v>44941</v>
      </c>
      <c r="C8599" t="s">
        <v>2262</v>
      </c>
      <c r="D8599" s="87" t="s">
        <v>3680</v>
      </c>
      <c r="E8599">
        <f t="shared" si="68"/>
        <v>54</v>
      </c>
      <c r="F8599" s="2" t="str">
        <f>IF(Table2[[#This Row],[Manual Cat Value]]="",VLOOKUP(Table2[[#This Row],[Description]],'Actuals Lookup'!D:F,3,0),Table2[[#This Row],[Manual Cat Value]])</f>
        <v>Exp - Misc</v>
      </c>
      <c r="G8599" t="e">
        <f>VLOOKUP(D8599,Lookup!G:H,2,0)</f>
        <v>#N/A</v>
      </c>
      <c r="H8599" s="8" t="s">
        <v>46</v>
      </c>
      <c r="I8599" s="95"/>
      <c r="J8599" s="87">
        <v>54</v>
      </c>
      <c r="K8599" s="87"/>
      <c r="L8599" s="87"/>
      <c r="M8599" s="87" t="s">
        <v>2535</v>
      </c>
      <c r="O8599" t="str">
        <f>LEFT(Table2[[#This Row],[Description]],75)</f>
        <v xml:space="preserve">Kids Hair - CH Chanhassen MN </v>
      </c>
    </row>
    <row r="8600" spans="1:15" hidden="1">
      <c r="A8600" s="25">
        <f>VALUE(YEAR(Table2[[#This Row],[Date]])&amp;TEXT(MONTH(Table2[[#This Row],[Date]]),"00"))</f>
        <v>202301</v>
      </c>
      <c r="B8600" s="93">
        <v>44941</v>
      </c>
      <c r="C8600" t="s">
        <v>2262</v>
      </c>
      <c r="D8600" s="87" t="s">
        <v>3681</v>
      </c>
      <c r="E8600">
        <f t="shared" si="68"/>
        <v>7.3</v>
      </c>
      <c r="F8600" s="2" t="str">
        <f>IF(Table2[[#This Row],[Manual Cat Value]]="",VLOOKUP(Table2[[#This Row],[Description]],'Actuals Lookup'!D:F,3,0),Table2[[#This Row],[Manual Cat Value]])</f>
        <v>Exp - House Maint</v>
      </c>
      <c r="G8600" t="e">
        <f>VLOOKUP(D8600,Lookup!G:H,2,0)</f>
        <v>#N/A</v>
      </c>
      <c r="H8600" s="8" t="s">
        <v>1</v>
      </c>
      <c r="I8600" s="95"/>
      <c r="J8600" s="87">
        <v>7.3</v>
      </c>
      <c r="K8600" s="87"/>
      <c r="L8600" s="87"/>
      <c r="M8600" s="87" t="s">
        <v>2535</v>
      </c>
      <c r="O8600" t="str">
        <f>LEFT(Table2[[#This Row],[Description]],75)</f>
        <v xml:space="preserve">SHOREWOOD TRUE VALUE EXCELSIOR MN </v>
      </c>
    </row>
    <row r="8601" spans="1:15" ht="30" hidden="1">
      <c r="A8601" s="25">
        <f>VALUE(YEAR(Table2[[#This Row],[Date]])&amp;TEXT(MONTH(Table2[[#This Row],[Date]]),"00"))</f>
        <v>202301</v>
      </c>
      <c r="B8601" s="6">
        <v>44942</v>
      </c>
      <c r="C8601" t="s">
        <v>2447</v>
      </c>
      <c r="D8601" s="7" t="s">
        <v>3682</v>
      </c>
      <c r="E8601">
        <f t="shared" si="68"/>
        <v>19.12</v>
      </c>
      <c r="F8601" s="2" t="str">
        <f>IF(Table2[[#This Row],[Manual Cat Value]]="",VLOOKUP(Table2[[#This Row],[Description]],'Actuals Lookup'!D:F,3,0),Table2[[#This Row],[Manual Cat Value]])</f>
        <v>Exp - Amazon</v>
      </c>
      <c r="G8601" t="e">
        <f>VLOOKUP(D8601,Lookup!G:H,2,0)</f>
        <v>#N/A</v>
      </c>
      <c r="H8601" s="8" t="s">
        <v>37</v>
      </c>
      <c r="I8601" s="78"/>
      <c r="J8601">
        <v>19.12</v>
      </c>
      <c r="M8601" t="s">
        <v>2513</v>
      </c>
      <c r="O8601" t="str">
        <f>LEFT(Table2[[#This Row],[Description]],75)</f>
        <v>AMZN MKTP US*BS1O01G93 AMZN.COM/BILLWA
19LS1L9AV4M</v>
      </c>
    </row>
    <row r="8602" spans="1:15" hidden="1">
      <c r="A8602" s="25">
        <f>VALUE(YEAR(Table2[[#This Row],[Date]])&amp;TEXT(MONTH(Table2[[#This Row],[Date]]),"00"))</f>
        <v>202301</v>
      </c>
      <c r="B8602" s="93">
        <v>44942</v>
      </c>
      <c r="C8602" t="s">
        <v>2262</v>
      </c>
      <c r="D8602" s="87" t="s">
        <v>3683</v>
      </c>
      <c r="E8602">
        <f t="shared" si="68"/>
        <v>9</v>
      </c>
      <c r="F8602" s="2" t="str">
        <f>IF(Table2[[#This Row],[Manual Cat Value]]="",VLOOKUP(Table2[[#This Row],[Description]],'Actuals Lookup'!D:F,3,0),Table2[[#This Row],[Manual Cat Value]])</f>
        <v>Exp - Utilities</v>
      </c>
      <c r="G8602" t="e">
        <f>VLOOKUP(D8602,Lookup!G:H,2,0)</f>
        <v>#N/A</v>
      </c>
      <c r="H8602" s="8" t="s">
        <v>6</v>
      </c>
      <c r="I8602" s="95"/>
      <c r="J8602" s="87">
        <v>9</v>
      </c>
      <c r="K8602" s="87"/>
      <c r="L8602" s="87"/>
      <c r="M8602" s="87" t="s">
        <v>2535</v>
      </c>
      <c r="O8602" t="str">
        <f>LEFT(Table2[[#This Row],[Description]],75)</f>
        <v xml:space="preserve">CITY OF EDINA MN EDINB EDINA MN </v>
      </c>
    </row>
    <row r="8603" spans="1:15" hidden="1">
      <c r="A8603" s="25">
        <f>VALUE(YEAR(Table2[[#This Row],[Date]])&amp;TEXT(MONTH(Table2[[#This Row],[Date]]),"00"))</f>
        <v>202301</v>
      </c>
      <c r="B8603" s="93">
        <v>44942</v>
      </c>
      <c r="C8603" t="s">
        <v>2262</v>
      </c>
      <c r="D8603" s="87" t="s">
        <v>3606</v>
      </c>
      <c r="E8603">
        <f t="shared" si="68"/>
        <v>11.98</v>
      </c>
      <c r="F8603" s="2" t="str">
        <f>IF(Table2[[#This Row],[Manual Cat Value]]="",VLOOKUP(Table2[[#This Row],[Description]],'Actuals Lookup'!D:F,3,0),Table2[[#This Row],[Manual Cat Value]])</f>
        <v>Exp - Groceries</v>
      </c>
      <c r="G8603" t="e">
        <f>VLOOKUP(D8603,Lookup!G:H,2,0)</f>
        <v>#N/A</v>
      </c>
      <c r="H8603" s="8" t="s">
        <v>27</v>
      </c>
      <c r="I8603" s="95"/>
      <c r="J8603" s="87">
        <v>11.98</v>
      </c>
      <c r="K8603" s="87"/>
      <c r="L8603" s="87"/>
      <c r="M8603" s="87" t="s">
        <v>2535</v>
      </c>
      <c r="O8603" t="str">
        <f>LEFT(Table2[[#This Row],[Description]],75)</f>
        <v xml:space="preserve">CUB FOODS #1636 SHOREWOOD MN </v>
      </c>
    </row>
    <row r="8604" spans="1:15" hidden="1">
      <c r="A8604" s="25">
        <f>VALUE(YEAR(Table2[[#This Row],[Date]])&amp;TEXT(MONTH(Table2[[#This Row],[Date]]),"00"))</f>
        <v>202301</v>
      </c>
      <c r="B8604" s="93">
        <v>44942</v>
      </c>
      <c r="C8604" t="s">
        <v>2262</v>
      </c>
      <c r="D8604" s="87" t="s">
        <v>3684</v>
      </c>
      <c r="E8604">
        <f t="shared" si="68"/>
        <v>27.34</v>
      </c>
      <c r="F8604" s="2" t="str">
        <f>IF(Table2[[#This Row],[Manual Cat Value]]="",VLOOKUP(Table2[[#This Row],[Description]],'Actuals Lookup'!D:F,3,0),Table2[[#This Row],[Manual Cat Value]])</f>
        <v>Exp - Restaurants</v>
      </c>
      <c r="G8604" t="e">
        <f>VLOOKUP(D8604,Lookup!G:H,2,0)</f>
        <v>#N/A</v>
      </c>
      <c r="H8604" s="8" t="s">
        <v>25</v>
      </c>
      <c r="I8604" s="95"/>
      <c r="J8604" s="87">
        <v>27.34</v>
      </c>
      <c r="K8604" s="87"/>
      <c r="L8604" s="87"/>
      <c r="M8604" s="87" t="s">
        <v>2535</v>
      </c>
      <c r="O8604" t="str">
        <f>LEFT(Table2[[#This Row],[Description]],75)</f>
        <v xml:space="preserve">TAVERN 23 EDINA MN </v>
      </c>
    </row>
    <row r="8605" spans="1:15" hidden="1">
      <c r="A8605" s="25">
        <f>VALUE(YEAR(Table2[[#This Row],[Date]])&amp;TEXT(MONTH(Table2[[#This Row],[Date]]),"00"))</f>
        <v>202301</v>
      </c>
      <c r="B8605" s="93">
        <v>44942</v>
      </c>
      <c r="C8605" t="s">
        <v>2262</v>
      </c>
      <c r="D8605" s="87" t="s">
        <v>3685</v>
      </c>
      <c r="E8605">
        <f t="shared" si="68"/>
        <v>129</v>
      </c>
      <c r="F8605" s="2" t="str">
        <f>IF(Table2[[#This Row],[Manual Cat Value]]="",VLOOKUP(Table2[[#This Row],[Description]],'Actuals Lookup'!D:F,3,0),Table2[[#This Row],[Manual Cat Value]])</f>
        <v>Exp - Shopping</v>
      </c>
      <c r="G8605" t="e">
        <f>VLOOKUP(D8605,Lookup!G:H,2,0)</f>
        <v>#N/A</v>
      </c>
      <c r="H8605" s="8" t="s">
        <v>36</v>
      </c>
      <c r="I8605" s="95"/>
      <c r="J8605" s="87">
        <v>129</v>
      </c>
      <c r="K8605" s="87"/>
      <c r="L8605" s="87"/>
      <c r="M8605" s="87" t="s">
        <v>2535</v>
      </c>
      <c r="O8605" t="str">
        <f>LEFT(Table2[[#This Row],[Description]],75)</f>
        <v xml:space="preserve">THE LAKES RUNNING CO. EXCELSIOR MN </v>
      </c>
    </row>
    <row r="8606" spans="1:15" hidden="1">
      <c r="A8606" s="25">
        <f>VALUE(YEAR(Table2[[#This Row],[Date]])&amp;TEXT(MONTH(Table2[[#This Row],[Date]]),"00"))</f>
        <v>202301</v>
      </c>
      <c r="B8606" s="93">
        <v>44942</v>
      </c>
      <c r="C8606" t="s">
        <v>2262</v>
      </c>
      <c r="D8606" s="87" t="s">
        <v>3686</v>
      </c>
      <c r="E8606">
        <f t="shared" si="68"/>
        <v>8.99</v>
      </c>
      <c r="F8606" s="2" t="str">
        <f>IF(Table2[[#This Row],[Manual Cat Value]]="",VLOOKUP(Table2[[#This Row],[Description]],'Actuals Lookup'!D:F,3,0),Table2[[#This Row],[Manual Cat Value]])</f>
        <v>Exp - Restaurants</v>
      </c>
      <c r="G8606" t="e">
        <f>VLOOKUP(D8606,Lookup!G:H,2,0)</f>
        <v>#N/A</v>
      </c>
      <c r="H8606" s="8" t="s">
        <v>25</v>
      </c>
      <c r="I8606" s="95"/>
      <c r="J8606" s="87">
        <v>8.99</v>
      </c>
      <c r="K8606" s="87"/>
      <c r="L8606" s="87"/>
      <c r="M8606" s="87" t="s">
        <v>2535</v>
      </c>
      <c r="O8606" t="str">
        <f>LEFT(Table2[[#This Row],[Description]],75)</f>
        <v xml:space="preserve">WENDY S 419 CHANHASSEN MN </v>
      </c>
    </row>
    <row r="8607" spans="1:15" hidden="1">
      <c r="A8607" s="25">
        <f>VALUE(YEAR(Table2[[#This Row],[Date]])&amp;TEXT(MONTH(Table2[[#This Row],[Date]]),"00"))</f>
        <v>202301</v>
      </c>
      <c r="B8607" s="6">
        <v>44942</v>
      </c>
      <c r="C8607" t="s">
        <v>2265</v>
      </c>
      <c r="D8607" t="s">
        <v>2640</v>
      </c>
      <c r="E8607">
        <f t="shared" si="68"/>
        <v>2402.6799999999998</v>
      </c>
      <c r="F8607" s="2" t="str">
        <f>IF(Table2[[#This Row],[Manual Cat Value]]="",VLOOKUP(Table2[[#This Row],[Description]],'Actuals Lookup'!D:F,3,0),Table2[[#This Row],[Manual Cat Value]])</f>
        <v>Delete</v>
      </c>
      <c r="G8607" t="e">
        <f>VLOOKUP(D8607,Lookup!G:H,2,0)</f>
        <v>#N/A</v>
      </c>
      <c r="H8607" s="8" t="s">
        <v>9</v>
      </c>
      <c r="I8607" s="8"/>
      <c r="J8607">
        <v>2402.6799999999998</v>
      </c>
      <c r="M8607" t="s">
        <v>2513</v>
      </c>
      <c r="O8607" t="str">
        <f>LEFT(Table2[[#This Row],[Description]],75)</f>
        <v>Withdrawal Home Banking Pmt to card XXXXXXXXXXXX-9181</v>
      </c>
    </row>
    <row r="8608" spans="1:15" hidden="1">
      <c r="A8608" s="25">
        <f>VALUE(YEAR(Table2[[#This Row],[Date]])&amp;TEXT(MONTH(Table2[[#This Row],[Date]]),"00"))</f>
        <v>202301</v>
      </c>
      <c r="B8608" s="93">
        <v>44942</v>
      </c>
      <c r="C8608" t="s">
        <v>2262</v>
      </c>
      <c r="D8608" s="87" t="s">
        <v>3618</v>
      </c>
      <c r="E8608">
        <f t="shared" si="68"/>
        <v>-2402.6799999999998</v>
      </c>
      <c r="F8608" s="2" t="str">
        <f>IF(Table2[[#This Row],[Manual Cat Value]]="",VLOOKUP(Table2[[#This Row],[Description]],'Actuals Lookup'!D:F,3,0),Table2[[#This Row],[Manual Cat Value]])</f>
        <v>Delete</v>
      </c>
      <c r="G8608" t="e">
        <f>VLOOKUP(D8608,Lookup!G:H,2,0)</f>
        <v>#N/A</v>
      </c>
      <c r="H8608" s="8" t="s">
        <v>9</v>
      </c>
      <c r="I8608" s="95"/>
      <c r="J8608" s="87">
        <v>2402.6799999999998</v>
      </c>
      <c r="K8608" s="87"/>
      <c r="L8608" s="87"/>
      <c r="M8608" s="87" t="s">
        <v>3074</v>
      </c>
      <c r="O8608" t="str">
        <f>LEFT(Table2[[#This Row],[Description]],75)</f>
        <v xml:space="preserve">PAYMENT - THANK YOU </v>
      </c>
    </row>
    <row r="8609" spans="1:15" ht="30" hidden="1">
      <c r="A8609" s="25">
        <f>VALUE(YEAR(Table2[[#This Row],[Date]])&amp;TEXT(MONTH(Table2[[#This Row],[Date]]),"00"))</f>
        <v>202301</v>
      </c>
      <c r="B8609" s="6">
        <v>44943</v>
      </c>
      <c r="C8609" t="s">
        <v>2447</v>
      </c>
      <c r="D8609" s="7" t="s">
        <v>3687</v>
      </c>
      <c r="E8609">
        <f t="shared" si="68"/>
        <v>36.51</v>
      </c>
      <c r="F8609" s="2" t="str">
        <f>IF(Table2[[#This Row],[Manual Cat Value]]="",VLOOKUP(Table2[[#This Row],[Description]],'Actuals Lookup'!D:F,3,0),Table2[[#This Row],[Manual Cat Value]])</f>
        <v>Exp - Amazon</v>
      </c>
      <c r="G8609" t="e">
        <f>VLOOKUP(D8609,Lookup!G:H,2,0)</f>
        <v>#N/A</v>
      </c>
      <c r="H8609" s="8" t="s">
        <v>37</v>
      </c>
      <c r="I8609" s="78"/>
      <c r="J8609">
        <v>36.51</v>
      </c>
      <c r="M8609" t="s">
        <v>2513</v>
      </c>
      <c r="O8609" t="str">
        <f>LEFT(Table2[[#This Row],[Description]],75)</f>
        <v>AMAZON.COM*M19494OQ3 AMZN.COM/BILLWA
4RWSKFQM5SK</v>
      </c>
    </row>
    <row r="8610" spans="1:15" ht="30" hidden="1">
      <c r="A8610" s="25">
        <f>VALUE(YEAR(Table2[[#This Row],[Date]])&amp;TEXT(MONTH(Table2[[#This Row],[Date]]),"00"))</f>
        <v>202301</v>
      </c>
      <c r="B8610" s="6">
        <v>44943</v>
      </c>
      <c r="C8610" t="s">
        <v>2447</v>
      </c>
      <c r="D8610" s="7" t="s">
        <v>3688</v>
      </c>
      <c r="E8610">
        <f t="shared" si="68"/>
        <v>40.79</v>
      </c>
      <c r="F8610" s="2" t="str">
        <f>IF(Table2[[#This Row],[Manual Cat Value]]="",VLOOKUP(Table2[[#This Row],[Description]],'Actuals Lookup'!D:F,3,0),Table2[[#This Row],[Manual Cat Value]])</f>
        <v>Exp - Amazon</v>
      </c>
      <c r="G8610" t="e">
        <f>VLOOKUP(D8610,Lookup!G:H,2,0)</f>
        <v>#N/A</v>
      </c>
      <c r="H8610" s="8" t="s">
        <v>37</v>
      </c>
      <c r="I8610" s="78"/>
      <c r="J8610">
        <v>40.79</v>
      </c>
      <c r="M8610" t="s">
        <v>2513</v>
      </c>
      <c r="O8610" t="str">
        <f>LEFT(Table2[[#This Row],[Description]],75)</f>
        <v>AMZN MKTP US*1B6S92DO3 AMZN.COM/BILLWA
338G6EUOOZ3</v>
      </c>
    </row>
    <row r="8611" spans="1:15" ht="30" hidden="1">
      <c r="A8611" s="25">
        <f>VALUE(YEAR(Table2[[#This Row],[Date]])&amp;TEXT(MONTH(Table2[[#This Row],[Date]]),"00"))</f>
        <v>202301</v>
      </c>
      <c r="B8611" s="6">
        <v>44943</v>
      </c>
      <c r="C8611" t="s">
        <v>2447</v>
      </c>
      <c r="D8611" s="7" t="s">
        <v>3689</v>
      </c>
      <c r="E8611">
        <f t="shared" si="68"/>
        <v>21.99</v>
      </c>
      <c r="F8611" s="2" t="str">
        <f>IF(Table2[[#This Row],[Manual Cat Value]]="",VLOOKUP(Table2[[#This Row],[Description]],'Actuals Lookup'!D:F,3,0),Table2[[#This Row],[Manual Cat Value]])</f>
        <v>Exp - Amazon</v>
      </c>
      <c r="G8611" t="e">
        <f>VLOOKUP(D8611,Lookup!G:H,2,0)</f>
        <v>#N/A</v>
      </c>
      <c r="H8611" s="8" t="s">
        <v>37</v>
      </c>
      <c r="I8611" s="78"/>
      <c r="J8611">
        <v>21.99</v>
      </c>
      <c r="M8611" t="s">
        <v>2513</v>
      </c>
      <c r="O8611" t="str">
        <f>LEFT(Table2[[#This Row],[Description]],75)</f>
        <v>AMZN MKTP US*BU9U19CO3 AMZN.COM/BILLWA
1A35MT8BTW8</v>
      </c>
    </row>
    <row r="8612" spans="1:15" ht="30" hidden="1">
      <c r="A8612" s="25">
        <f>VALUE(YEAR(Table2[[#This Row],[Date]])&amp;TEXT(MONTH(Table2[[#This Row],[Date]]),"00"))</f>
        <v>202301</v>
      </c>
      <c r="B8612" s="6">
        <v>44943</v>
      </c>
      <c r="C8612" t="s">
        <v>2447</v>
      </c>
      <c r="D8612" s="7" t="s">
        <v>3690</v>
      </c>
      <c r="E8612">
        <f t="shared" si="68"/>
        <v>33.29</v>
      </c>
      <c r="F8612" s="2" t="str">
        <f>IF(Table2[[#This Row],[Manual Cat Value]]="",VLOOKUP(Table2[[#This Row],[Description]],'Actuals Lookup'!D:F,3,0),Table2[[#This Row],[Manual Cat Value]])</f>
        <v>Exp - Amazon</v>
      </c>
      <c r="G8612" t="e">
        <f>VLOOKUP(D8612,Lookup!G:H,2,0)</f>
        <v>#N/A</v>
      </c>
      <c r="H8612" s="8" t="s">
        <v>37</v>
      </c>
      <c r="I8612" s="78"/>
      <c r="J8612">
        <v>33.29</v>
      </c>
      <c r="M8612" t="s">
        <v>2513</v>
      </c>
      <c r="O8612" t="str">
        <f>LEFT(Table2[[#This Row],[Description]],75)</f>
        <v>AMZN MKTP US*CH0L15WA3 AMZN.COM/BILLWA
7B13T54FYKR</v>
      </c>
    </row>
    <row r="8613" spans="1:15" hidden="1">
      <c r="A8613" s="25">
        <f>VALUE(YEAR(Table2[[#This Row],[Date]])&amp;TEXT(MONTH(Table2[[#This Row],[Date]]),"00"))</f>
        <v>202301</v>
      </c>
      <c r="B8613" s="6">
        <v>44943</v>
      </c>
      <c r="C8613" t="s">
        <v>2447</v>
      </c>
      <c r="D8613" t="s">
        <v>459</v>
      </c>
      <c r="E8613">
        <f t="shared" si="68"/>
        <v>-14.84</v>
      </c>
      <c r="F8613" s="2" t="str">
        <f>IF(Table2[[#This Row],[Manual Cat Value]]="",VLOOKUP(Table2[[#This Row],[Description]],'Actuals Lookup'!D:F,3,0),Table2[[#This Row],[Manual Cat Value]])</f>
        <v>Inc - Dividend</v>
      </c>
      <c r="G8613" t="str">
        <f>VLOOKUP(D8613,Lookup!G:H,2,0)</f>
        <v>Delete</v>
      </c>
      <c r="H8613" s="8" t="s">
        <v>68</v>
      </c>
      <c r="I8613" s="8"/>
      <c r="J8613">
        <v>14.84</v>
      </c>
      <c r="M8613" t="s">
        <v>2621</v>
      </c>
      <c r="O8613" t="str">
        <f>LEFT(Table2[[#This Row],[Description]],75)</f>
        <v>CASHBACK BONUS REDEMPTION PYMT/STMT CRDT</v>
      </c>
    </row>
    <row r="8614" spans="1:15" hidden="1">
      <c r="A8614" s="25">
        <f>VALUE(YEAR(Table2[[#This Row],[Date]])&amp;TEXT(MONTH(Table2[[#This Row],[Date]]),"00"))</f>
        <v>202301</v>
      </c>
      <c r="B8614" s="6">
        <v>44943</v>
      </c>
      <c r="C8614" t="s">
        <v>2447</v>
      </c>
      <c r="D8614" t="s">
        <v>997</v>
      </c>
      <c r="E8614">
        <f t="shared" si="68"/>
        <v>-572.97</v>
      </c>
      <c r="F8614" s="2" t="str">
        <f>IF(Table2[[#This Row],[Manual Cat Value]]="",VLOOKUP(Table2[[#This Row],[Description]],'Actuals Lookup'!D:F,3,0),Table2[[#This Row],[Manual Cat Value]])</f>
        <v>Delete</v>
      </c>
      <c r="G8614" t="str">
        <f>VLOOKUP(D8614,Lookup!G:H,2,0)</f>
        <v>Delete</v>
      </c>
      <c r="H8614" s="8" t="s">
        <v>9</v>
      </c>
      <c r="I8614" s="8"/>
      <c r="J8614">
        <v>572.97</v>
      </c>
      <c r="M8614" t="s">
        <v>2621</v>
      </c>
      <c r="O8614" t="str">
        <f>LEFT(Table2[[#This Row],[Description]],75)</f>
        <v>INTERNET PAYMENT - THANK YOU</v>
      </c>
    </row>
    <row r="8615" spans="1:15" hidden="1">
      <c r="A8615" s="25">
        <f>VALUE(YEAR(Table2[[#This Row],[Date]])&amp;TEXT(MONTH(Table2[[#This Row],[Date]]),"00"))</f>
        <v>202301</v>
      </c>
      <c r="B8615" s="6">
        <v>44943</v>
      </c>
      <c r="C8615" t="s">
        <v>2265</v>
      </c>
      <c r="D8615" t="s">
        <v>3691</v>
      </c>
      <c r="E8615">
        <f t="shared" si="68"/>
        <v>90.4</v>
      </c>
      <c r="F8615" s="2" t="str">
        <f>IF(Table2[[#This Row],[Manual Cat Value]]="",VLOOKUP(Table2[[#This Row],[Description]],'Actuals Lookup'!D:F,3,0),Table2[[#This Row],[Manual Cat Value]])</f>
        <v>Exp - Insurance</v>
      </c>
      <c r="G8615" t="e">
        <f>VLOOKUP(D8615,Lookup!G:H,2,0)</f>
        <v>#N/A</v>
      </c>
      <c r="H8615" s="8" t="s">
        <v>17</v>
      </c>
      <c r="I8615" s="8"/>
      <c r="J8615">
        <v>90.4</v>
      </c>
      <c r="M8615" t="s">
        <v>2513</v>
      </c>
      <c r="O8615" t="str">
        <f>LEFT(Table2[[#This Row],[Description]],75)</f>
        <v>Withdrawal ACH AMERICAN FAMILY TYPE: WEBPAYMENT ID: PEBP075965 CO: AMERICAN</v>
      </c>
    </row>
    <row r="8616" spans="1:15" hidden="1">
      <c r="A8616" s="25">
        <f>VALUE(YEAR(Table2[[#This Row],[Date]])&amp;TEXT(MONTH(Table2[[#This Row],[Date]]),"00"))</f>
        <v>202301</v>
      </c>
      <c r="B8616" s="6">
        <v>44943</v>
      </c>
      <c r="C8616" t="s">
        <v>2265</v>
      </c>
      <c r="D8616" t="s">
        <v>3692</v>
      </c>
      <c r="E8616">
        <f t="shared" si="68"/>
        <v>351.62</v>
      </c>
      <c r="F8616" s="2" t="str">
        <f>IF(Table2[[#This Row],[Manual Cat Value]]="",VLOOKUP(Table2[[#This Row],[Description]],'Actuals Lookup'!D:F,3,0),Table2[[#This Row],[Manual Cat Value]])</f>
        <v>Exp - Insurance</v>
      </c>
      <c r="G8616" t="e">
        <f>VLOOKUP(D8616,Lookup!G:H,2,0)</f>
        <v>#N/A</v>
      </c>
      <c r="H8616" s="8" t="s">
        <v>17</v>
      </c>
      <c r="I8616" s="8"/>
      <c r="J8616">
        <v>351.62</v>
      </c>
      <c r="M8616" t="s">
        <v>2513</v>
      </c>
      <c r="O8616" t="str">
        <f>LEFT(Table2[[#This Row],[Description]],75)</f>
        <v>Withdrawal ACH AMERICAN FAMILY TYPE: WEBPAYMENT ID: PEBP075965 CO: AMERICAN</v>
      </c>
    </row>
    <row r="8617" spans="1:15" hidden="1">
      <c r="A8617" s="25">
        <f>VALUE(YEAR(Table2[[#This Row],[Date]])&amp;TEXT(MONTH(Table2[[#This Row],[Date]]),"00"))</f>
        <v>202301</v>
      </c>
      <c r="B8617" s="93">
        <v>44944</v>
      </c>
      <c r="C8617" t="s">
        <v>2262</v>
      </c>
      <c r="D8617" s="87" t="s">
        <v>3693</v>
      </c>
      <c r="E8617">
        <f t="shared" si="68"/>
        <v>7.08</v>
      </c>
      <c r="F8617" s="2" t="str">
        <f>IF(Table2[[#This Row],[Manual Cat Value]]="",VLOOKUP(Table2[[#This Row],[Description]],'Actuals Lookup'!D:F,3,0),Table2[[#This Row],[Manual Cat Value]])</f>
        <v>Exp - Amazon</v>
      </c>
      <c r="G8617" t="e">
        <f>VLOOKUP(D8617,Lookup!G:H,2,0)</f>
        <v>#N/A</v>
      </c>
      <c r="H8617" s="8" t="s">
        <v>37</v>
      </c>
      <c r="I8617" s="95"/>
      <c r="J8617" s="87">
        <v>7.08</v>
      </c>
      <c r="K8617" s="87"/>
      <c r="L8617" s="87"/>
      <c r="M8617" s="87" t="s">
        <v>2535</v>
      </c>
      <c r="O8617" t="str">
        <f>LEFT(Table2[[#This Row],[Description]],75)</f>
        <v xml:space="preserve">AMZN Mktp US*3N66V9GD3 Amzn.com/bill WA </v>
      </c>
    </row>
    <row r="8618" spans="1:15" ht="30" hidden="1">
      <c r="A8618" s="25">
        <f>VALUE(YEAR(Table2[[#This Row],[Date]])&amp;TEXT(MONTH(Table2[[#This Row],[Date]]),"00"))</f>
        <v>202301</v>
      </c>
      <c r="B8618" s="6">
        <v>44944</v>
      </c>
      <c r="C8618" t="s">
        <v>2447</v>
      </c>
      <c r="D8618" s="7" t="s">
        <v>3694</v>
      </c>
      <c r="E8618">
        <f t="shared" si="68"/>
        <v>21.46</v>
      </c>
      <c r="F8618" s="2" t="str">
        <f>IF(Table2[[#This Row],[Manual Cat Value]]="",VLOOKUP(Table2[[#This Row],[Description]],'Actuals Lookup'!D:F,3,0),Table2[[#This Row],[Manual Cat Value]])</f>
        <v>Exp - Amazon</v>
      </c>
      <c r="G8618" t="e">
        <f>VLOOKUP(D8618,Lookup!G:H,2,0)</f>
        <v>#N/A</v>
      </c>
      <c r="H8618" s="8" t="s">
        <v>37</v>
      </c>
      <c r="I8618" s="78"/>
      <c r="J8618">
        <v>21.46</v>
      </c>
      <c r="M8618" t="s">
        <v>2513</v>
      </c>
      <c r="O8618" t="str">
        <f>LEFT(Table2[[#This Row],[Description]],75)</f>
        <v>AMZN MKTP US*LT38G3HV3 AMZN.COM/BILLWA
204QOU9K41I</v>
      </c>
    </row>
    <row r="8619" spans="1:15" hidden="1">
      <c r="A8619" s="25">
        <f>VALUE(YEAR(Table2[[#This Row],[Date]])&amp;TEXT(MONTH(Table2[[#This Row],[Date]]),"00"))</f>
        <v>202301</v>
      </c>
      <c r="B8619" s="93">
        <v>44944</v>
      </c>
      <c r="C8619" t="s">
        <v>2262</v>
      </c>
      <c r="D8619" s="87" t="s">
        <v>3695</v>
      </c>
      <c r="E8619">
        <f t="shared" si="68"/>
        <v>149.97999999999999</v>
      </c>
      <c r="F8619" s="2" t="str">
        <f>IF(Table2[[#This Row],[Manual Cat Value]]="",VLOOKUP(Table2[[#This Row],[Description]],'Actuals Lookup'!D:F,3,0),Table2[[#This Row],[Manual Cat Value]])</f>
        <v>Exp - Shopping</v>
      </c>
      <c r="G8619" t="e">
        <f>VLOOKUP(D8619,Lookup!G:H,2,0)</f>
        <v>#N/A</v>
      </c>
      <c r="H8619" s="8" t="s">
        <v>36</v>
      </c>
      <c r="I8619" s="95"/>
      <c r="J8619" s="87">
        <v>149.97999999999999</v>
      </c>
      <c r="K8619" s="87"/>
      <c r="L8619" s="87"/>
      <c r="M8619" s="87" t="s">
        <v>2535</v>
      </c>
      <c r="O8619" t="str">
        <f>LEFT(Table2[[#This Row],[Description]],75)</f>
        <v xml:space="preserve">DicksSportingGoods.com Coraopolis PA </v>
      </c>
    </row>
    <row r="8620" spans="1:15" hidden="1">
      <c r="A8620" s="25">
        <f>VALUE(YEAR(Table2[[#This Row],[Date]])&amp;TEXT(MONTH(Table2[[#This Row],[Date]]),"00"))</f>
        <v>202301</v>
      </c>
      <c r="B8620" s="93">
        <v>44944</v>
      </c>
      <c r="C8620" t="s">
        <v>2262</v>
      </c>
      <c r="D8620" s="87" t="s">
        <v>3641</v>
      </c>
      <c r="E8620">
        <f t="shared" si="68"/>
        <v>156.06</v>
      </c>
      <c r="F8620" s="2" t="str">
        <f>IF(Table2[[#This Row],[Manual Cat Value]]="",VLOOKUP(Table2[[#This Row],[Description]],'Actuals Lookup'!D:F,3,0),Table2[[#This Row],[Manual Cat Value]])</f>
        <v>Exp - Healthcare</v>
      </c>
      <c r="G8620" t="e">
        <f>VLOOKUP(D8620,Lookup!G:H,2,0)</f>
        <v>#N/A</v>
      </c>
      <c r="H8620" s="8" t="s">
        <v>47</v>
      </c>
      <c r="I8620" s="95"/>
      <c r="J8620" s="87">
        <v>156.06</v>
      </c>
      <c r="K8620" s="87"/>
      <c r="L8620" s="87"/>
      <c r="M8620" s="87" t="s">
        <v>2535</v>
      </c>
      <c r="O8620" t="str">
        <f>LEFT(Table2[[#This Row],[Description]],75)</f>
        <v xml:space="preserve">SOUTH LAKE PEDIATRICS 952-401-8300 MN </v>
      </c>
    </row>
    <row r="8621" spans="1:15" hidden="1">
      <c r="A8621" s="25">
        <f>VALUE(YEAR(Table2[[#This Row],[Date]])&amp;TEXT(MONTH(Table2[[#This Row],[Date]]),"00"))</f>
        <v>202301</v>
      </c>
      <c r="B8621" s="6">
        <v>44944</v>
      </c>
      <c r="C8621" t="s">
        <v>2265</v>
      </c>
      <c r="D8621" t="s">
        <v>3696</v>
      </c>
      <c r="E8621">
        <f t="shared" si="68"/>
        <v>330</v>
      </c>
      <c r="F8621" s="2" t="str">
        <f>IF(Table2[[#This Row],[Manual Cat Value]]="",VLOOKUP(Table2[[#This Row],[Description]],'Actuals Lookup'!D:F,3,0),Table2[[#This Row],[Manual Cat Value]])</f>
        <v>Exp - Day Care</v>
      </c>
      <c r="G8621" t="e">
        <f>VLOOKUP(D8621,Lookup!G:H,2,0)</f>
        <v>#N/A</v>
      </c>
      <c r="H8621" s="8" t="s">
        <v>19</v>
      </c>
      <c r="I8621" s="8"/>
      <c r="J8621">
        <v>330</v>
      </c>
      <c r="M8621" t="s">
        <v>2513</v>
      </c>
      <c r="O8621" t="str">
        <f>LEFT(Table2[[#This Row],[Description]],75)</f>
        <v xml:space="preserve">Withdrawal ACH MHCHILDCARELLC TYPE: DUES ID: 1824708198 CO: MHCHILDCARELLC </v>
      </c>
    </row>
    <row r="8622" spans="1:15" hidden="1">
      <c r="A8622" s="25">
        <f>VALUE(YEAR(Table2[[#This Row],[Date]])&amp;TEXT(MONTH(Table2[[#This Row],[Date]]),"00"))</f>
        <v>202301</v>
      </c>
      <c r="B8622" s="6">
        <v>44944</v>
      </c>
      <c r="C8622" t="s">
        <v>2265</v>
      </c>
      <c r="D8622" t="s">
        <v>3697</v>
      </c>
      <c r="E8622">
        <f t="shared" ref="E8622:E8653" si="69">IF(M8622="credit",-1*J8622,J8622)</f>
        <v>200</v>
      </c>
      <c r="F8622" s="2" t="str">
        <f>IF(Table2[[#This Row],[Manual Cat Value]]="",VLOOKUP(Table2[[#This Row],[Description]],'Actuals Lookup'!D:F,3,0),Table2[[#This Row],[Manual Cat Value]])</f>
        <v>Exp - Day Care</v>
      </c>
      <c r="G8622" t="e">
        <f>VLOOKUP(D8622,Lookup!G:H,2,0)</f>
        <v>#N/A</v>
      </c>
      <c r="H8622" s="8" t="s">
        <v>19</v>
      </c>
      <c r="I8622" s="8"/>
      <c r="J8622">
        <v>200</v>
      </c>
      <c r="M8622" t="s">
        <v>2513</v>
      </c>
      <c r="O8622" t="str">
        <f>LEFT(Table2[[#This Row],[Description]],75)</f>
        <v>Withdrawal ACH MN DIR ACH TYPE: CONTRIB ID: 2416007162 CO: MN DIR ACH NAME:</v>
      </c>
    </row>
    <row r="8623" spans="1:15" hidden="1">
      <c r="A8623" s="25">
        <f>VALUE(YEAR(Table2[[#This Row],[Date]])&amp;TEXT(MONTH(Table2[[#This Row],[Date]]),"00"))</f>
        <v>202301</v>
      </c>
      <c r="B8623" s="6">
        <v>44944</v>
      </c>
      <c r="C8623" t="s">
        <v>2265</v>
      </c>
      <c r="D8623" t="s">
        <v>3698</v>
      </c>
      <c r="E8623">
        <f t="shared" si="69"/>
        <v>572.97</v>
      </c>
      <c r="F8623" s="2" t="str">
        <f>IF(Table2[[#This Row],[Manual Cat Value]]="",VLOOKUP(Table2[[#This Row],[Description]],'Actuals Lookup'!D:F,3,0),Table2[[#This Row],[Manual Cat Value]])</f>
        <v>Delete</v>
      </c>
      <c r="G8623" t="e">
        <f>VLOOKUP(D8623,Lookup!G:H,2,0)</f>
        <v>#N/A</v>
      </c>
      <c r="H8623" s="8" t="s">
        <v>9</v>
      </c>
      <c r="I8623" s="8"/>
      <c r="J8623">
        <v>572.97</v>
      </c>
      <c r="M8623" t="s">
        <v>2513</v>
      </c>
      <c r="O8623" t="str">
        <f>LEFT(Table2[[#This Row],[Description]],75)</f>
        <v>Withdrawal ACH DISCOVER TYPE: E-PAYMENT ID: 2510020270 CO: DISCOVER NAME: T</v>
      </c>
    </row>
    <row r="8624" spans="1:15" hidden="1">
      <c r="A8624" s="25">
        <f>VALUE(YEAR(Table2[[#This Row],[Date]])&amp;TEXT(MONTH(Table2[[#This Row],[Date]]),"00"))</f>
        <v>202301</v>
      </c>
      <c r="B8624" s="93">
        <v>44945</v>
      </c>
      <c r="C8624" t="s">
        <v>2262</v>
      </c>
      <c r="D8624" s="87" t="s">
        <v>3699</v>
      </c>
      <c r="E8624">
        <f t="shared" si="69"/>
        <v>22.53</v>
      </c>
      <c r="F8624" s="2" t="str">
        <f>IF(Table2[[#This Row],[Manual Cat Value]]="",VLOOKUP(Table2[[#This Row],[Description]],'Actuals Lookup'!D:F,3,0),Table2[[#This Row],[Manual Cat Value]])</f>
        <v>Exp - Amazon</v>
      </c>
      <c r="G8624" t="e">
        <f>VLOOKUP(D8624,Lookup!G:H,2,0)</f>
        <v>#N/A</v>
      </c>
      <c r="H8624" s="8" t="s">
        <v>37</v>
      </c>
      <c r="I8624" s="95"/>
      <c r="J8624" s="87">
        <v>22.53</v>
      </c>
      <c r="K8624" s="87"/>
      <c r="L8624" s="87"/>
      <c r="M8624" s="87" t="s">
        <v>2535</v>
      </c>
      <c r="O8624" t="str">
        <f>LEFT(Table2[[#This Row],[Description]],75)</f>
        <v xml:space="preserve">AMZN Mktp US*GZ7RZ8QX3 Amzn.com/bill WA </v>
      </c>
    </row>
    <row r="8625" spans="1:15" ht="30" hidden="1">
      <c r="A8625" s="25">
        <f>VALUE(YEAR(Table2[[#This Row],[Date]])&amp;TEXT(MONTH(Table2[[#This Row],[Date]]),"00"))</f>
        <v>202301</v>
      </c>
      <c r="B8625" s="6">
        <v>44945</v>
      </c>
      <c r="C8625" t="s">
        <v>2447</v>
      </c>
      <c r="D8625" s="7" t="s">
        <v>3649</v>
      </c>
      <c r="E8625">
        <f t="shared" si="69"/>
        <v>67.27</v>
      </c>
      <c r="F8625" s="2" t="str">
        <f>IF(Table2[[#This Row],[Manual Cat Value]]="",VLOOKUP(Table2[[#This Row],[Description]],'Actuals Lookup'!D:F,3,0),Table2[[#This Row],[Manual Cat Value]])</f>
        <v>Exp - Groceries</v>
      </c>
      <c r="G8625" t="e">
        <f>VLOOKUP(D8625,Lookup!G:H,2,0)</f>
        <v>#N/A</v>
      </c>
      <c r="H8625" s="8" t="s">
        <v>27</v>
      </c>
      <c r="I8625" s="78"/>
      <c r="J8625">
        <v>67.27</v>
      </c>
      <c r="M8625" t="s">
        <v>2513</v>
      </c>
      <c r="O8625" t="str">
        <f>LEFT(Table2[[#This Row],[Description]],75)</f>
        <v>CUB FOODS #1636 SHOREWOOD MN
APPLE PAY ENDING IN 8856</v>
      </c>
    </row>
    <row r="8626" spans="1:15" hidden="1">
      <c r="A8626" s="25">
        <f>VALUE(YEAR(Table2[[#This Row],[Date]])&amp;TEXT(MONTH(Table2[[#This Row],[Date]]),"00"))</f>
        <v>202301</v>
      </c>
      <c r="B8626" s="6">
        <v>44945</v>
      </c>
      <c r="C8626" t="s">
        <v>2265</v>
      </c>
      <c r="D8626" t="s">
        <v>3700</v>
      </c>
      <c r="E8626">
        <f t="shared" si="69"/>
        <v>-2453.2199999999998</v>
      </c>
      <c r="F8626" s="2" t="str">
        <f>IF(Table2[[#This Row],[Manual Cat Value]]="",VLOOKUP(Table2[[#This Row],[Description]],'Actuals Lookup'!D:F,3,0),Table2[[#This Row],[Manual Cat Value]])</f>
        <v>Inc - Britney</v>
      </c>
      <c r="G8626" t="e">
        <f>VLOOKUP(D8626,Lookup!G:H,2,0)</f>
        <v>#N/A</v>
      </c>
      <c r="H8626" s="8" t="s">
        <v>65</v>
      </c>
      <c r="I8626" s="8"/>
      <c r="J8626">
        <v>2453.2199999999998</v>
      </c>
      <c r="M8626" t="s">
        <v>2621</v>
      </c>
      <c r="O8626" t="str">
        <f>LEFT(Table2[[#This Row],[Description]],75)</f>
        <v>Deposit ACH CARGILL INCORPOR TYPE: DIRECT DEP ID: 9111111101 CO: CARGILL IN</v>
      </c>
    </row>
    <row r="8627" spans="1:15" hidden="1">
      <c r="A8627" s="25">
        <f>VALUE(YEAR(Table2[[#This Row],[Date]])&amp;TEXT(MONTH(Table2[[#This Row],[Date]]),"00"))</f>
        <v>202301</v>
      </c>
      <c r="B8627" s="93">
        <v>44946</v>
      </c>
      <c r="C8627" t="s">
        <v>2262</v>
      </c>
      <c r="D8627" s="87" t="s">
        <v>3701</v>
      </c>
      <c r="E8627">
        <f t="shared" si="69"/>
        <v>149.97999999999999</v>
      </c>
      <c r="F8627" s="2" t="str">
        <f>IF(Table2[[#This Row],[Manual Cat Value]]="",VLOOKUP(Table2[[#This Row],[Description]],'Actuals Lookup'!D:F,3,0),Table2[[#This Row],[Manual Cat Value]])</f>
        <v>Exp - Shopping</v>
      </c>
      <c r="G8627" t="e">
        <f>VLOOKUP(D8627,Lookup!G:H,2,0)</f>
        <v>#N/A</v>
      </c>
      <c r="H8627" s="8" t="s">
        <v>36</v>
      </c>
      <c r="I8627" s="95"/>
      <c r="J8627" s="87">
        <v>149.97999999999999</v>
      </c>
      <c r="K8627" s="87"/>
      <c r="L8627" s="87"/>
      <c r="M8627" s="87" t="s">
        <v>2535</v>
      </c>
      <c r="O8627" t="str">
        <f>LEFT(Table2[[#This Row],[Description]],75)</f>
        <v>DICK'S CLOTHING&amp;SPORTING RICHFIELD    MN REF #74941350LN4RRBAXF</v>
      </c>
    </row>
    <row r="8628" spans="1:15" hidden="1">
      <c r="A8628" s="25">
        <f>VALUE(YEAR(Table2[[#This Row],[Date]])&amp;TEXT(MONTH(Table2[[#This Row],[Date]]),"00"))</f>
        <v>202301</v>
      </c>
      <c r="B8628" s="93">
        <v>44946</v>
      </c>
      <c r="C8628" t="s">
        <v>2262</v>
      </c>
      <c r="D8628" s="87" t="s">
        <v>3702</v>
      </c>
      <c r="E8628">
        <f t="shared" si="69"/>
        <v>53</v>
      </c>
      <c r="F8628" s="2" t="str">
        <f>IF(Table2[[#This Row],[Manual Cat Value]]="",VLOOKUP(Table2[[#This Row],[Description]],'Actuals Lookup'!D:F,3,0),Table2[[#This Row],[Manual Cat Value]])</f>
        <v>Exp - Shopping</v>
      </c>
      <c r="G8628" t="e">
        <f>VLOOKUP(D8628,Lookup!G:H,2,0)</f>
        <v>#N/A</v>
      </c>
      <c r="H8628" s="8" t="s">
        <v>36</v>
      </c>
      <c r="I8628" s="95"/>
      <c r="J8628" s="87">
        <v>53</v>
      </c>
      <c r="K8628" s="87"/>
      <c r="L8628" s="87"/>
      <c r="M8628" s="87" t="s">
        <v>2535</v>
      </c>
      <c r="O8628" t="str">
        <f>LEFT(Table2[[#This Row],[Description]],75)</f>
        <v>ELITE NAILS LLC          CHANHASSEN   MN REF #24717050L3FYEZFXQ</v>
      </c>
    </row>
    <row r="8629" spans="1:15" hidden="1">
      <c r="A8629" s="25">
        <f>VALUE(YEAR(Table2[[#This Row],[Date]])&amp;TEXT(MONTH(Table2[[#This Row],[Date]]),"00"))</f>
        <v>202301</v>
      </c>
      <c r="B8629" s="93">
        <v>44946</v>
      </c>
      <c r="C8629" t="s">
        <v>2262</v>
      </c>
      <c r="D8629" s="87" t="s">
        <v>3703</v>
      </c>
      <c r="E8629">
        <f t="shared" si="69"/>
        <v>36.159999999999997</v>
      </c>
      <c r="F8629" s="2" t="str">
        <f>IF(Table2[[#This Row],[Manual Cat Value]]="",VLOOKUP(Table2[[#This Row],[Description]],'Actuals Lookup'!D:F,3,0),Table2[[#This Row],[Manual Cat Value]])</f>
        <v>Exp - Restaurants</v>
      </c>
      <c r="G8629" t="e">
        <f>VLOOKUP(D8629,Lookup!G:H,2,0)</f>
        <v>#N/A</v>
      </c>
      <c r="H8629" s="8" t="s">
        <v>25</v>
      </c>
      <c r="I8629" s="95"/>
      <c r="J8629" s="87">
        <v>36.159999999999997</v>
      </c>
      <c r="K8629" s="87"/>
      <c r="L8629" s="87"/>
      <c r="M8629" s="87" t="s">
        <v>2535</v>
      </c>
      <c r="O8629" t="str">
        <f>LEFT(Table2[[#This Row],[Description]],75)</f>
        <v>KAI'S SUSHI &amp; GRILL      CHANHASSEN   MN REF #24239000KS66QTNQ2</v>
      </c>
    </row>
    <row r="8630" spans="1:15" hidden="1">
      <c r="A8630" s="25">
        <f>VALUE(YEAR(Table2[[#This Row],[Date]])&amp;TEXT(MONTH(Table2[[#This Row],[Date]]),"00"))</f>
        <v>202301</v>
      </c>
      <c r="B8630" s="93">
        <v>44946</v>
      </c>
      <c r="C8630" t="s">
        <v>2262</v>
      </c>
      <c r="D8630" s="87" t="s">
        <v>3704</v>
      </c>
      <c r="E8630">
        <f t="shared" si="69"/>
        <v>56.94</v>
      </c>
      <c r="F8630" s="2" t="str">
        <f>IF(Table2[[#This Row],[Manual Cat Value]]="",VLOOKUP(Table2[[#This Row],[Description]],'Actuals Lookup'!D:F,3,0),Table2[[#This Row],[Manual Cat Value]])</f>
        <v>Exp - Shopping</v>
      </c>
      <c r="G8630" t="e">
        <f>VLOOKUP(D8630,Lookup!G:H,2,0)</f>
        <v>#N/A</v>
      </c>
      <c r="H8630" s="8" t="s">
        <v>36</v>
      </c>
      <c r="I8630" s="95"/>
      <c r="J8630" s="87">
        <v>56.94</v>
      </c>
      <c r="K8630" s="87"/>
      <c r="L8630" s="87"/>
      <c r="M8630" s="87" t="s">
        <v>2535</v>
      </c>
      <c r="O8630" t="str">
        <f>LEFT(Table2[[#This Row],[Description]],75)</f>
        <v>SAKS                     212-320-4700 NY REF #74692160K32KP1MJH</v>
      </c>
    </row>
    <row r="8631" spans="1:15" hidden="1">
      <c r="A8631" s="25">
        <f>VALUE(YEAR(Table2[[#This Row],[Date]])&amp;TEXT(MONTH(Table2[[#This Row],[Date]]),"00"))</f>
        <v>202301</v>
      </c>
      <c r="B8631" s="6">
        <v>44946</v>
      </c>
      <c r="C8631" t="s">
        <v>2265</v>
      </c>
      <c r="D8631" t="s">
        <v>2640</v>
      </c>
      <c r="E8631">
        <f t="shared" si="69"/>
        <v>3557.43</v>
      </c>
      <c r="F8631" s="2" t="str">
        <f>IF(Table2[[#This Row],[Manual Cat Value]]="",VLOOKUP(Table2[[#This Row],[Description]],'Actuals Lookup'!D:F,3,0),Table2[[#This Row],[Manual Cat Value]])</f>
        <v>Delete</v>
      </c>
      <c r="G8631" t="e">
        <f>VLOOKUP(D8631,Lookup!G:H,2,0)</f>
        <v>#N/A</v>
      </c>
      <c r="H8631" s="8" t="s">
        <v>9</v>
      </c>
      <c r="I8631" s="8"/>
      <c r="J8631">
        <v>3557.43</v>
      </c>
      <c r="M8631" t="s">
        <v>2513</v>
      </c>
      <c r="O8631" t="str">
        <f>LEFT(Table2[[#This Row],[Description]],75)</f>
        <v>Withdrawal Home Banking Pmt to card XXXXXXXXXXXX-9181</v>
      </c>
    </row>
    <row r="8632" spans="1:15" hidden="1">
      <c r="A8632" s="25">
        <f>VALUE(YEAR(Table2[[#This Row],[Date]])&amp;TEXT(MONTH(Table2[[#This Row],[Date]]),"00"))</f>
        <v>202301</v>
      </c>
      <c r="B8632" s="93">
        <v>44946</v>
      </c>
      <c r="C8632" t="s">
        <v>2262</v>
      </c>
      <c r="D8632" s="87" t="s">
        <v>3705</v>
      </c>
      <c r="E8632">
        <f t="shared" si="69"/>
        <v>3557.43</v>
      </c>
      <c r="F8632" s="2" t="str">
        <f>IF(Table2[[#This Row],[Manual Cat Value]]="",VLOOKUP(Table2[[#This Row],[Description]],'Actuals Lookup'!D:F,3,0),Table2[[#This Row],[Manual Cat Value]])</f>
        <v>Delete</v>
      </c>
      <c r="G8632" t="e">
        <f>VLOOKUP(D8632,Lookup!G:H,2,0)</f>
        <v>#N/A</v>
      </c>
      <c r="H8632" s="8" t="s">
        <v>9</v>
      </c>
      <c r="I8632" s="95"/>
      <c r="J8632" s="87">
        <v>3557.43</v>
      </c>
      <c r="K8632" s="87"/>
      <c r="L8632" s="87"/>
      <c r="M8632" s="87" t="s">
        <v>2535</v>
      </c>
      <c r="O8632" t="str">
        <f>LEFT(Table2[[#This Row],[Description]],75)</f>
        <v>PAYMENT - THANK YOU REF #74734570N00XTMJG6</v>
      </c>
    </row>
    <row r="8633" spans="1:15" hidden="1">
      <c r="A8633" s="25">
        <f>VALUE(YEAR(Table2[[#This Row],[Date]])&amp;TEXT(MONTH(Table2[[#This Row],[Date]]),"00"))</f>
        <v>202301</v>
      </c>
      <c r="B8633" s="6">
        <v>44946</v>
      </c>
      <c r="C8633" t="s">
        <v>2265</v>
      </c>
      <c r="D8633" t="s">
        <v>3706</v>
      </c>
      <c r="E8633">
        <f t="shared" si="69"/>
        <v>125</v>
      </c>
      <c r="F8633" s="2" t="str">
        <f>IF(Table2[[#This Row],[Manual Cat Value]]="",VLOOKUP(Table2[[#This Row],[Description]],'Actuals Lookup'!D:F,3,0),Table2[[#This Row],[Manual Cat Value]])</f>
        <v>Exp - Shopping</v>
      </c>
      <c r="G8633" t="e">
        <f>VLOOKUP(D8633,Lookup!G:H,2,0)</f>
        <v>#N/A</v>
      </c>
      <c r="H8633" s="8" t="s">
        <v>36</v>
      </c>
      <c r="I8633" s="8"/>
      <c r="J8633">
        <v>125</v>
      </c>
      <c r="M8633" t="s">
        <v>2513</v>
      </c>
      <c r="O8633" t="str">
        <f>LEFT(Table2[[#This Row],[Description]],75)</f>
        <v>Withdrawal ACH VENMO TYPE: PAYMENT ID: 326XXXXXXX CO: VENMO NAME: BRITNEY T</v>
      </c>
    </row>
    <row r="8634" spans="1:15" hidden="1">
      <c r="A8634" s="25">
        <f>VALUE(YEAR(Table2[[#This Row],[Date]])&amp;TEXT(MONTH(Table2[[#This Row],[Date]]),"00"))</f>
        <v>202301</v>
      </c>
      <c r="B8634" s="93">
        <v>44948</v>
      </c>
      <c r="C8634" t="s">
        <v>2262</v>
      </c>
      <c r="D8634" s="87" t="s">
        <v>3707</v>
      </c>
      <c r="E8634">
        <f t="shared" si="69"/>
        <v>11</v>
      </c>
      <c r="F8634" s="2" t="str">
        <f>IF(Table2[[#This Row],[Manual Cat Value]]="",VLOOKUP(Table2[[#This Row],[Description]],'Actuals Lookup'!D:F,3,0),Table2[[#This Row],[Manual Cat Value]])</f>
        <v>Exp - House Maint</v>
      </c>
      <c r="G8634" t="e">
        <f>VLOOKUP(D8634,Lookup!G:H,2,0)</f>
        <v>#N/A</v>
      </c>
      <c r="H8634" s="8" t="s">
        <v>1</v>
      </c>
      <c r="I8634" s="95"/>
      <c r="J8634" s="87">
        <v>11</v>
      </c>
      <c r="K8634" s="87"/>
      <c r="L8634" s="87"/>
      <c r="M8634" s="87" t="s">
        <v>2535</v>
      </c>
      <c r="O8634" t="str">
        <f>LEFT(Table2[[#This Row],[Description]],75)</f>
        <v>BONFES PLUMBING HEATING A651-3326633  MN REF #24275390LS66HMKE6</v>
      </c>
    </row>
    <row r="8635" spans="1:15" hidden="1">
      <c r="A8635" s="25">
        <f>VALUE(YEAR(Table2[[#This Row],[Date]])&amp;TEXT(MONTH(Table2[[#This Row],[Date]]),"00"))</f>
        <v>202301</v>
      </c>
      <c r="B8635" s="93">
        <v>44948</v>
      </c>
      <c r="C8635" t="s">
        <v>2262</v>
      </c>
      <c r="D8635" s="87" t="s">
        <v>3708</v>
      </c>
      <c r="E8635">
        <f t="shared" si="69"/>
        <v>8</v>
      </c>
      <c r="F8635" s="2" t="str">
        <f>IF(Table2[[#This Row],[Manual Cat Value]]="",VLOOKUP(Table2[[#This Row],[Description]],'Actuals Lookup'!D:F,3,0),Table2[[#This Row],[Manual Cat Value]])</f>
        <v>Exp - Utilities</v>
      </c>
      <c r="G8635" t="e">
        <f>VLOOKUP(D8635,Lookup!G:H,2,0)</f>
        <v>#N/A</v>
      </c>
      <c r="H8635" s="8" t="s">
        <v>6</v>
      </c>
      <c r="I8635" s="95"/>
      <c r="J8635" s="87">
        <v>8</v>
      </c>
      <c r="K8635" s="87"/>
      <c r="L8635" s="87"/>
      <c r="M8635" s="87" t="s">
        <v>2535</v>
      </c>
      <c r="O8635" t="str">
        <f>LEFT(Table2[[#This Row],[Description]],75)</f>
        <v>D J*WALL-ST-JOURNAL      800-568-7625 MA REF #24692160M34407S6E</v>
      </c>
    </row>
    <row r="8636" spans="1:15" hidden="1">
      <c r="A8636" s="25">
        <f>VALUE(YEAR(Table2[[#This Row],[Date]])&amp;TEXT(MONTH(Table2[[#This Row],[Date]]),"00"))</f>
        <v>202301</v>
      </c>
      <c r="B8636" s="93">
        <v>44948</v>
      </c>
      <c r="C8636" t="s">
        <v>2262</v>
      </c>
      <c r="D8636" s="87" t="s">
        <v>3709</v>
      </c>
      <c r="E8636">
        <f t="shared" si="69"/>
        <v>43.68</v>
      </c>
      <c r="F8636" s="2" t="str">
        <f>IF(Table2[[#This Row],[Manual Cat Value]]="",VLOOKUP(Table2[[#This Row],[Description]],'Actuals Lookup'!D:F,3,0),Table2[[#This Row],[Manual Cat Value]])</f>
        <v>Exp - Transportation</v>
      </c>
      <c r="G8636" t="e">
        <f>VLOOKUP(D8636,Lookup!G:H,2,0)</f>
        <v>#N/A</v>
      </c>
      <c r="H8636" s="8" t="s">
        <v>22</v>
      </c>
      <c r="I8636" s="95"/>
      <c r="J8636" s="87">
        <v>43.68</v>
      </c>
      <c r="K8636" s="87"/>
      <c r="L8636" s="87"/>
      <c r="M8636" s="87" t="s">
        <v>2535</v>
      </c>
      <c r="O8636" t="str">
        <f>LEFT(Table2[[#This Row],[Description]],75)</f>
        <v>KWIK TRIP  40200004028   CHANHASSEN   MN REF #24164070LL3HLYJ59</v>
      </c>
    </row>
    <row r="8637" spans="1:15" hidden="1">
      <c r="A8637" s="25">
        <f>VALUE(YEAR(Table2[[#This Row],[Date]])&amp;TEXT(MONTH(Table2[[#This Row],[Date]]),"00"))</f>
        <v>202301</v>
      </c>
      <c r="B8637" s="93">
        <v>44948</v>
      </c>
      <c r="C8637" t="s">
        <v>2262</v>
      </c>
      <c r="D8637" s="87" t="s">
        <v>3710</v>
      </c>
      <c r="E8637">
        <f t="shared" si="69"/>
        <v>71.790000000000006</v>
      </c>
      <c r="F8637" s="2" t="str">
        <f>IF(Table2[[#This Row],[Manual Cat Value]]="",VLOOKUP(Table2[[#This Row],[Description]],'Actuals Lookup'!D:F,3,0),Table2[[#This Row],[Manual Cat Value]])</f>
        <v>Exp - Restaurants</v>
      </c>
      <c r="G8637" t="e">
        <f>VLOOKUP(D8637,Lookup!G:H,2,0)</f>
        <v>#N/A</v>
      </c>
      <c r="H8637" s="8" t="s">
        <v>25</v>
      </c>
      <c r="I8637" s="95"/>
      <c r="J8637" s="87">
        <v>71.790000000000006</v>
      </c>
      <c r="K8637" s="87"/>
      <c r="L8637" s="87"/>
      <c r="M8637" s="87" t="s">
        <v>2535</v>
      </c>
      <c r="O8637" t="str">
        <f>LEFT(Table2[[#This Row],[Description]],75)</f>
        <v>MAYNARD'S EXCELSIOR      EXCELSIOR    MN REF #24801970L61NH9AF9</v>
      </c>
    </row>
    <row r="8638" spans="1:15" hidden="1">
      <c r="A8638" s="25">
        <f>VALUE(YEAR(Table2[[#This Row],[Date]])&amp;TEXT(MONTH(Table2[[#This Row],[Date]]),"00"))</f>
        <v>202301</v>
      </c>
      <c r="B8638" s="93">
        <v>44948</v>
      </c>
      <c r="C8638" t="s">
        <v>2262</v>
      </c>
      <c r="D8638" s="87" t="s">
        <v>3711</v>
      </c>
      <c r="E8638">
        <f t="shared" si="69"/>
        <v>16.73</v>
      </c>
      <c r="F8638" s="2" t="str">
        <f>IF(Table2[[#This Row],[Manual Cat Value]]="",VLOOKUP(Table2[[#This Row],[Description]],'Actuals Lookup'!D:F,3,0),Table2[[#This Row],[Manual Cat Value]])</f>
        <v>Exp - Utilities</v>
      </c>
      <c r="G8638" t="e">
        <f>VLOOKUP(D8638,Lookup!G:H,2,0)</f>
        <v>#N/A</v>
      </c>
      <c r="H8638" s="8" t="s">
        <v>6</v>
      </c>
      <c r="I8638" s="95"/>
      <c r="J8638" s="87">
        <v>16.73</v>
      </c>
      <c r="K8638" s="87"/>
      <c r="L8638" s="87"/>
      <c r="M8638" s="87" t="s">
        <v>2535</v>
      </c>
      <c r="O8638" t="str">
        <f>LEFT(Table2[[#This Row],[Description]],75)</f>
        <v>Netflix.com              866-5797172  CA REF #24906410L4S41Z8YS</v>
      </c>
    </row>
    <row r="8639" spans="1:15" hidden="1">
      <c r="A8639" s="25">
        <f>VALUE(YEAR(Table2[[#This Row],[Date]])&amp;TEXT(MONTH(Table2[[#This Row],[Date]]),"00"))</f>
        <v>202301</v>
      </c>
      <c r="B8639" s="93">
        <v>44948</v>
      </c>
      <c r="C8639" t="s">
        <v>2262</v>
      </c>
      <c r="D8639" s="87" t="s">
        <v>3712</v>
      </c>
      <c r="E8639">
        <f t="shared" si="69"/>
        <v>-156.06</v>
      </c>
      <c r="F8639" s="2" t="str">
        <f>IF(Table2[[#This Row],[Manual Cat Value]]="",VLOOKUP(Table2[[#This Row],[Description]],'Actuals Lookup'!D:F,3,0),Table2[[#This Row],[Manual Cat Value]])</f>
        <v>Exp - Healthcare</v>
      </c>
      <c r="G8639" t="e">
        <f>VLOOKUP(D8639,Lookup!G:H,2,0)</f>
        <v>#N/A</v>
      </c>
      <c r="H8639" s="8" t="s">
        <v>47</v>
      </c>
      <c r="I8639" s="95"/>
      <c r="J8639" s="87">
        <v>156.06</v>
      </c>
      <c r="K8639" s="87"/>
      <c r="L8639" s="87"/>
      <c r="M8639" s="87" t="s">
        <v>3074</v>
      </c>
      <c r="O8639" t="str">
        <f>LEFT(Table2[[#This Row],[Description]],75)</f>
        <v>SOUTH LAKE PEDIATRICS    MINNETONKA   MN REF #74137460L01DK3LW6</v>
      </c>
    </row>
    <row r="8640" spans="1:15" hidden="1">
      <c r="A8640" s="25">
        <f>VALUE(YEAR(Table2[[#This Row],[Date]])&amp;TEXT(MONTH(Table2[[#This Row],[Date]]),"00"))</f>
        <v>202301</v>
      </c>
      <c r="B8640" s="93">
        <v>44949</v>
      </c>
      <c r="C8640" t="s">
        <v>2262</v>
      </c>
      <c r="D8640" s="87" t="s">
        <v>3713</v>
      </c>
      <c r="E8640">
        <f t="shared" si="69"/>
        <v>40.79</v>
      </c>
      <c r="F8640" s="2" t="str">
        <f>IF(Table2[[#This Row],[Manual Cat Value]]="",VLOOKUP(Table2[[#This Row],[Description]],'Actuals Lookup'!D:F,3,0),Table2[[#This Row],[Manual Cat Value]])</f>
        <v>Exp - Restaurants</v>
      </c>
      <c r="G8640" t="e">
        <f>VLOOKUP(D8640,Lookup!G:H,2,0)</f>
        <v>#N/A</v>
      </c>
      <c r="H8640" s="8" t="s">
        <v>25</v>
      </c>
      <c r="I8640" s="95"/>
      <c r="J8640" s="87">
        <v>40.79</v>
      </c>
      <c r="K8640" s="87"/>
      <c r="L8640" s="87"/>
      <c r="M8640" s="87" t="s">
        <v>2535</v>
      </c>
      <c r="O8640" t="str">
        <f>LEFT(Table2[[#This Row],[Description]],75)</f>
        <v>LULUS PIZZERIA II        EXCELSIOR    MN REF #24013390N029X8JDR</v>
      </c>
    </row>
    <row r="8641" spans="1:15" hidden="1">
      <c r="A8641" s="25">
        <f>VALUE(YEAR(Table2[[#This Row],[Date]])&amp;TEXT(MONTH(Table2[[#This Row],[Date]]),"00"))</f>
        <v>202301</v>
      </c>
      <c r="B8641" s="6">
        <v>44949</v>
      </c>
      <c r="C8641" t="s">
        <v>2265</v>
      </c>
      <c r="D8641" t="s">
        <v>3714</v>
      </c>
      <c r="E8641">
        <f t="shared" si="69"/>
        <v>55.5</v>
      </c>
      <c r="F8641" s="2" t="str">
        <f>IF(Table2[[#This Row],[Manual Cat Value]]="",VLOOKUP(Table2[[#This Row],[Description]],'Actuals Lookup'!D:F,3,0),Table2[[#This Row],[Manual Cat Value]])</f>
        <v>Exp - Utilities</v>
      </c>
      <c r="G8641" t="e">
        <f>VLOOKUP(D8641,Lookup!G:H,2,0)</f>
        <v>#N/A</v>
      </c>
      <c r="H8641" s="8" t="s">
        <v>6</v>
      </c>
      <c r="I8641" s="8"/>
      <c r="J8641">
        <v>55.5</v>
      </c>
      <c r="M8641" t="s">
        <v>2513</v>
      </c>
      <c r="O8641" t="str">
        <f>LEFT(Table2[[#This Row],[Description]],75)</f>
        <v xml:space="preserve">Withdrawal ACH CITY OF CHANHASS TYPE: UTIL BILL ID: 1410885331 CO: CITY OF </v>
      </c>
    </row>
    <row r="8642" spans="1:15" hidden="1">
      <c r="A8642" s="25">
        <f>VALUE(YEAR(Table2[[#This Row],[Date]])&amp;TEXT(MONTH(Table2[[#This Row],[Date]]),"00"))</f>
        <v>202301</v>
      </c>
      <c r="B8642" s="6">
        <v>44949</v>
      </c>
      <c r="C8642" t="s">
        <v>2265</v>
      </c>
      <c r="D8642" t="s">
        <v>3715</v>
      </c>
      <c r="E8642">
        <f t="shared" si="69"/>
        <v>165</v>
      </c>
      <c r="F8642" s="2" t="str">
        <f>IF(Table2[[#This Row],[Manual Cat Value]]="",VLOOKUP(Table2[[#This Row],[Description]],'Actuals Lookup'!D:F,3,0),Table2[[#This Row],[Manual Cat Value]])</f>
        <v>Exp - Shopping</v>
      </c>
      <c r="G8642" t="e">
        <f>VLOOKUP(D8642,Lookup!G:H,2,0)</f>
        <v>#N/A</v>
      </c>
      <c r="H8642" s="8" t="s">
        <v>36</v>
      </c>
      <c r="I8642" s="8"/>
      <c r="J8642">
        <v>165</v>
      </c>
      <c r="M8642" t="s">
        <v>2513</v>
      </c>
      <c r="O8642" t="str">
        <f>LEFT(Table2[[#This Row],[Description]],75)</f>
        <v>Withdrawal ACH VENMO TYPE: PAYMENT ID: 326XXXXXXX CO: VENMO NAME: BRITNEY T</v>
      </c>
    </row>
    <row r="8643" spans="1:15" hidden="1">
      <c r="A8643" s="25">
        <f>VALUE(YEAR(Table2[[#This Row],[Date]])&amp;TEXT(MONTH(Table2[[#This Row],[Date]]),"00"))</f>
        <v>202301</v>
      </c>
      <c r="B8643" s="93">
        <v>44950</v>
      </c>
      <c r="C8643" t="s">
        <v>2262</v>
      </c>
      <c r="D8643" s="87" t="s">
        <v>3716</v>
      </c>
      <c r="E8643">
        <f t="shared" si="69"/>
        <v>52.49</v>
      </c>
      <c r="F8643" s="2" t="str">
        <f>IF(Table2[[#This Row],[Manual Cat Value]]="",VLOOKUP(Table2[[#This Row],[Description]],'Actuals Lookup'!D:F,3,0),Table2[[#This Row],[Manual Cat Value]])</f>
        <v>Exp - Entertainment</v>
      </c>
      <c r="G8643" t="e">
        <f>VLOOKUP(D8643,Lookup!G:H,2,0)</f>
        <v>#N/A</v>
      </c>
      <c r="H8643" s="8" t="s">
        <v>39</v>
      </c>
      <c r="I8643" s="95"/>
      <c r="J8643" s="87">
        <v>52.49</v>
      </c>
      <c r="K8643" s="87"/>
      <c r="L8643" s="87"/>
      <c r="M8643" s="87" t="s">
        <v>2535</v>
      </c>
      <c r="O8643" t="str">
        <f>LEFT(Table2[[#This Row],[Description]],75)</f>
        <v>BUCK HILL WEBSITE        952-4357174  MN REF #24013390P02QF5MHY</v>
      </c>
    </row>
    <row r="8644" spans="1:15" hidden="1">
      <c r="A8644" s="25">
        <f>VALUE(YEAR(Table2[[#This Row],[Date]])&amp;TEXT(MONTH(Table2[[#This Row],[Date]]),"00"))</f>
        <v>202301</v>
      </c>
      <c r="B8644" s="93">
        <v>44950</v>
      </c>
      <c r="C8644" t="s">
        <v>2262</v>
      </c>
      <c r="D8644" s="87" t="s">
        <v>3717</v>
      </c>
      <c r="E8644">
        <f t="shared" si="69"/>
        <v>1.99</v>
      </c>
      <c r="F8644" s="2" t="str">
        <f>IF(Table2[[#This Row],[Manual Cat Value]]="",VLOOKUP(Table2[[#This Row],[Description]],'Actuals Lookup'!D:F,3,0),Table2[[#This Row],[Manual Cat Value]])</f>
        <v>Exp - Day Care</v>
      </c>
      <c r="G8644" t="e">
        <f>VLOOKUP(D8644,Lookup!G:H,2,0)</f>
        <v>#N/A</v>
      </c>
      <c r="H8644" s="8" t="s">
        <v>19</v>
      </c>
      <c r="I8644" s="95"/>
      <c r="J8644" s="87">
        <v>1.99</v>
      </c>
      <c r="K8644" s="87"/>
      <c r="L8644" s="87"/>
      <c r="M8644" s="87" t="s">
        <v>2535</v>
      </c>
      <c r="O8644" t="str">
        <f>LEFT(Table2[[#This Row],[Description]],75)</f>
        <v>SAWYER* BOOKING FEE      HTTPSWWW.HISANY REF #24492160P0016BX7P</v>
      </c>
    </row>
    <row r="8645" spans="1:15" hidden="1">
      <c r="A8645" s="25">
        <f>VALUE(YEAR(Table2[[#This Row],[Date]])&amp;TEXT(MONTH(Table2[[#This Row],[Date]]),"00"))</f>
        <v>202301</v>
      </c>
      <c r="B8645" s="93">
        <v>44950</v>
      </c>
      <c r="C8645" t="s">
        <v>2262</v>
      </c>
      <c r="D8645" s="87" t="s">
        <v>3718</v>
      </c>
      <c r="E8645">
        <f t="shared" si="69"/>
        <v>210</v>
      </c>
      <c r="F8645" s="2" t="str">
        <f>IF(Table2[[#This Row],[Manual Cat Value]]="",VLOOKUP(Table2[[#This Row],[Description]],'Actuals Lookup'!D:F,3,0),Table2[[#This Row],[Manual Cat Value]])</f>
        <v>Exp - Day Care</v>
      </c>
      <c r="G8645" t="e">
        <f>VLOOKUP(D8645,Lookup!G:H,2,0)</f>
        <v>#N/A</v>
      </c>
      <c r="H8645" s="8" t="s">
        <v>19</v>
      </c>
      <c r="I8645" s="95"/>
      <c r="J8645" s="87">
        <v>210</v>
      </c>
      <c r="K8645" s="87"/>
      <c r="L8645" s="87"/>
      <c r="M8645" s="87" t="s">
        <v>2535</v>
      </c>
      <c r="O8645" t="str">
        <f>LEFT(Table2[[#This Row],[Description]],75)</f>
        <v>SAWYER* LASENDASPANIS    LASENDASPANISNY REF #24492160P00165BM7</v>
      </c>
    </row>
    <row r="8646" spans="1:15" hidden="1">
      <c r="A8646" s="25">
        <f>VALUE(YEAR(Table2[[#This Row],[Date]])&amp;TEXT(MONTH(Table2[[#This Row],[Date]]),"00"))</f>
        <v>202301</v>
      </c>
      <c r="B8646" s="6">
        <v>44950</v>
      </c>
      <c r="C8646" t="s">
        <v>2265</v>
      </c>
      <c r="D8646" t="s">
        <v>3719</v>
      </c>
      <c r="E8646">
        <f t="shared" si="69"/>
        <v>330</v>
      </c>
      <c r="F8646" s="2" t="str">
        <f>IF(Table2[[#This Row],[Manual Cat Value]]="",VLOOKUP(Table2[[#This Row],[Description]],'Actuals Lookup'!D:F,3,0),Table2[[#This Row],[Manual Cat Value]])</f>
        <v>Exp - Day Care</v>
      </c>
      <c r="G8646" t="e">
        <f>VLOOKUP(D8646,Lookup!G:H,2,0)</f>
        <v>#N/A</v>
      </c>
      <c r="H8646" s="8" t="s">
        <v>19</v>
      </c>
      <c r="I8646" s="8"/>
      <c r="J8646">
        <v>330</v>
      </c>
      <c r="M8646" t="s">
        <v>2513</v>
      </c>
      <c r="O8646" t="str">
        <f>LEFT(Table2[[#This Row],[Description]],75)</f>
        <v xml:space="preserve">Withdrawal ACH MHCHILDCARELLC TYPE: DUES ID: 1824708198 CO: MHCHILDCARELLC </v>
      </c>
    </row>
    <row r="8647" spans="1:15" ht="30" hidden="1">
      <c r="A8647" s="25">
        <f>VALUE(YEAR(Table2[[#This Row],[Date]])&amp;TEXT(MONTH(Table2[[#This Row],[Date]]),"00"))</f>
        <v>202301</v>
      </c>
      <c r="B8647" s="6">
        <v>44951</v>
      </c>
      <c r="C8647" t="s">
        <v>2447</v>
      </c>
      <c r="D8647" s="7" t="s">
        <v>3720</v>
      </c>
      <c r="E8647">
        <f t="shared" si="69"/>
        <v>-21.99</v>
      </c>
      <c r="F8647" s="2" t="str">
        <f>IF(Table2[[#This Row],[Manual Cat Value]]="",VLOOKUP(Table2[[#This Row],[Description]],'Actuals Lookup'!D:F,3,0),Table2[[#This Row],[Manual Cat Value]])</f>
        <v>Exp - Amazon</v>
      </c>
      <c r="G8647" t="e">
        <f>VLOOKUP(D8647,Lookup!G:H,2,0)</f>
        <v>#N/A</v>
      </c>
      <c r="H8647" s="8" t="s">
        <v>37</v>
      </c>
      <c r="I8647" s="78"/>
      <c r="J8647">
        <v>21.99</v>
      </c>
      <c r="M8647" t="s">
        <v>2621</v>
      </c>
      <c r="O8647" t="str">
        <f>LEFT(Table2[[#This Row],[Description]],75)</f>
        <v>AMZN MKTP US AMZN.COM/BILLWA
4JN4NP89E56</v>
      </c>
    </row>
    <row r="8648" spans="1:15" ht="30" hidden="1">
      <c r="A8648" s="25">
        <f>VALUE(YEAR(Table2[[#This Row],[Date]])&amp;TEXT(MONTH(Table2[[#This Row],[Date]]),"00"))</f>
        <v>202301</v>
      </c>
      <c r="B8648" s="6">
        <v>44951</v>
      </c>
      <c r="C8648" t="s">
        <v>2447</v>
      </c>
      <c r="D8648" s="7" t="s">
        <v>3721</v>
      </c>
      <c r="E8648">
        <f t="shared" si="69"/>
        <v>21.99</v>
      </c>
      <c r="F8648" s="2" t="str">
        <f>IF(Table2[[#This Row],[Manual Cat Value]]="",VLOOKUP(Table2[[#This Row],[Description]],'Actuals Lookup'!D:F,3,0),Table2[[#This Row],[Manual Cat Value]])</f>
        <v>Exp - Amazon</v>
      </c>
      <c r="G8648" t="e">
        <f>VLOOKUP(D8648,Lookup!G:H,2,0)</f>
        <v>#N/A</v>
      </c>
      <c r="H8648" s="8" t="s">
        <v>37</v>
      </c>
      <c r="I8648" s="78"/>
      <c r="J8648">
        <v>21.99</v>
      </c>
      <c r="M8648" t="s">
        <v>2513</v>
      </c>
      <c r="O8648" t="str">
        <f>LEFT(Table2[[#This Row],[Description]],75)</f>
        <v>AMZN MKTP US*687QO5SQ3 AMZN.COM/BILLWA
58XV0OAILTL</v>
      </c>
    </row>
    <row r="8649" spans="1:15" ht="30" hidden="1">
      <c r="A8649" s="25">
        <f>VALUE(YEAR(Table2[[#This Row],[Date]])&amp;TEXT(MONTH(Table2[[#This Row],[Date]]),"00"))</f>
        <v>202301</v>
      </c>
      <c r="B8649" s="6">
        <v>44951</v>
      </c>
      <c r="C8649" t="s">
        <v>2447</v>
      </c>
      <c r="D8649" s="7" t="s">
        <v>3722</v>
      </c>
      <c r="E8649">
        <f t="shared" si="69"/>
        <v>13.95</v>
      </c>
      <c r="F8649" s="2" t="str">
        <f>IF(Table2[[#This Row],[Manual Cat Value]]="",VLOOKUP(Table2[[#This Row],[Description]],'Actuals Lookup'!D:F,3,0),Table2[[#This Row],[Manual Cat Value]])</f>
        <v>Exp - Amazon</v>
      </c>
      <c r="G8649" t="e">
        <f>VLOOKUP(D8649,Lookup!G:H,2,0)</f>
        <v>#N/A</v>
      </c>
      <c r="H8649" s="8" t="s">
        <v>37</v>
      </c>
      <c r="I8649" s="78"/>
      <c r="J8649">
        <v>13.95</v>
      </c>
      <c r="M8649" t="s">
        <v>2513</v>
      </c>
      <c r="O8649" t="str">
        <f>LEFT(Table2[[#This Row],[Description]],75)</f>
        <v>AMZN MKTP US*GM0LL4MZ3 AMZN.COM/BILLWA
TJV29QR2ONT</v>
      </c>
    </row>
    <row r="8650" spans="1:15" ht="30" hidden="1">
      <c r="A8650" s="25">
        <f>VALUE(YEAR(Table2[[#This Row],[Date]])&amp;TEXT(MONTH(Table2[[#This Row],[Date]]),"00"))</f>
        <v>202301</v>
      </c>
      <c r="B8650" s="6">
        <v>44951</v>
      </c>
      <c r="C8650" t="s">
        <v>2447</v>
      </c>
      <c r="D8650" s="7" t="s">
        <v>3723</v>
      </c>
      <c r="E8650">
        <f t="shared" si="69"/>
        <v>183.05</v>
      </c>
      <c r="F8650" s="2" t="str">
        <f>IF(Table2[[#This Row],[Manual Cat Value]]="",VLOOKUP(Table2[[#This Row],[Description]],'Actuals Lookup'!D:F,3,0),Table2[[#This Row],[Manual Cat Value]])</f>
        <v>Exp - Amazon</v>
      </c>
      <c r="G8650" t="e">
        <f>VLOOKUP(D8650,Lookup!G:H,2,0)</f>
        <v>#N/A</v>
      </c>
      <c r="H8650" s="8" t="s">
        <v>37</v>
      </c>
      <c r="I8650" s="78"/>
      <c r="J8650">
        <v>183.05</v>
      </c>
      <c r="M8650" t="s">
        <v>2513</v>
      </c>
      <c r="O8650" t="str">
        <f>LEFT(Table2[[#This Row],[Description]],75)</f>
        <v>AMZN MKTP US*ZU4LP6Z13 AMZN.COM/BILLWA
6SY3IF4FMJI</v>
      </c>
    </row>
    <row r="8651" spans="1:15" hidden="1">
      <c r="A8651" s="25">
        <f>VALUE(YEAR(Table2[[#This Row],[Date]])&amp;TEXT(MONTH(Table2[[#This Row],[Date]]),"00"))</f>
        <v>202301</v>
      </c>
      <c r="B8651" s="6">
        <v>44951</v>
      </c>
      <c r="C8651" t="s">
        <v>2447</v>
      </c>
      <c r="D8651" t="s">
        <v>3724</v>
      </c>
      <c r="E8651">
        <f t="shared" si="69"/>
        <v>24.43</v>
      </c>
      <c r="F8651" s="2" t="str">
        <f>IF(Table2[[#This Row],[Manual Cat Value]]="",VLOOKUP(Table2[[#This Row],[Description]],'Actuals Lookup'!D:F,3,0),Table2[[#This Row],[Manual Cat Value]])</f>
        <v>Exp - Restaurants</v>
      </c>
      <c r="G8651" t="e">
        <f>VLOOKUP(D8651,Lookup!G:H,2,0)</f>
        <v>#N/A</v>
      </c>
      <c r="H8651" s="8" t="s">
        <v>25</v>
      </c>
      <c r="I8651" s="8"/>
      <c r="J8651">
        <v>24.43</v>
      </c>
      <c r="M8651" t="s">
        <v>2513</v>
      </c>
      <c r="O8651" t="str">
        <f>LEFT(Table2[[#This Row],[Description]],75)</f>
        <v>COV WAYZATA WAYZATA MN</v>
      </c>
    </row>
    <row r="8652" spans="1:15" hidden="1">
      <c r="A8652" s="25">
        <f>VALUE(YEAR(Table2[[#This Row],[Date]])&amp;TEXT(MONTH(Table2[[#This Row],[Date]]),"00"))</f>
        <v>202301</v>
      </c>
      <c r="B8652" s="6">
        <v>44951</v>
      </c>
      <c r="C8652" t="s">
        <v>2265</v>
      </c>
      <c r="D8652" t="s">
        <v>3725</v>
      </c>
      <c r="E8652">
        <f t="shared" si="69"/>
        <v>36.5</v>
      </c>
      <c r="F8652" s="2" t="str">
        <f>IF(Table2[[#This Row],[Manual Cat Value]]="",VLOOKUP(Table2[[#This Row],[Description]],'Actuals Lookup'!D:F,3,0),Table2[[#This Row],[Manual Cat Value]])</f>
        <v>Exp - Shopping</v>
      </c>
      <c r="G8652" t="e">
        <f>VLOOKUP(D8652,Lookup!G:H,2,0)</f>
        <v>#N/A</v>
      </c>
      <c r="H8652" s="8" t="s">
        <v>36</v>
      </c>
      <c r="I8652" s="8"/>
      <c r="J8652">
        <v>36.5</v>
      </c>
      <c r="M8652" t="s">
        <v>2513</v>
      </c>
      <c r="O8652" t="str">
        <f>LEFT(Table2[[#This Row],[Description]],75)</f>
        <v xml:space="preserve">Withdrawal ACH PAYPAL TYPE: INST XFER ID: PAYPALSI77 CO: PAYPAL NAME: JEFF </v>
      </c>
    </row>
    <row r="8653" spans="1:15" hidden="1">
      <c r="A8653" s="25">
        <f>VALUE(YEAR(Table2[[#This Row],[Date]])&amp;TEXT(MONTH(Table2[[#This Row],[Date]]),"00"))</f>
        <v>202301</v>
      </c>
      <c r="B8653" s="6">
        <v>44951</v>
      </c>
      <c r="C8653" t="s">
        <v>2265</v>
      </c>
      <c r="D8653" t="s">
        <v>3726</v>
      </c>
      <c r="E8653">
        <f t="shared" si="69"/>
        <v>1310.3499999999999</v>
      </c>
      <c r="F8653" s="2" t="str">
        <f>IF(Table2[[#This Row],[Manual Cat Value]]="",VLOOKUP(Table2[[#This Row],[Description]],'Actuals Lookup'!D:F,3,0),Table2[[#This Row],[Manual Cat Value]])</f>
        <v>Exp - Target</v>
      </c>
      <c r="G8653" t="e">
        <f>VLOOKUP(D8653,Lookup!G:H,2,0)</f>
        <v>#N/A</v>
      </c>
      <c r="H8653" s="8" t="s">
        <v>30</v>
      </c>
      <c r="I8653" s="8"/>
      <c r="J8653">
        <v>1310.3499999999999</v>
      </c>
      <c r="M8653" t="s">
        <v>2513</v>
      </c>
      <c r="O8653" t="str">
        <f>LEFT(Table2[[#This Row],[Description]],75)</f>
        <v>Withdrawal ACH TARGET CARD SRVC TYPE: AUTO PYMT ID: 1411721813 CO: TARGET C</v>
      </c>
    </row>
    <row r="8654" spans="1:15" hidden="1">
      <c r="A8654" s="25">
        <f>VALUE(YEAR(Table2[[#This Row],[Date]])&amp;TEXT(MONTH(Table2[[#This Row],[Date]]),"00"))</f>
        <v>202301</v>
      </c>
      <c r="B8654" s="93">
        <v>44952</v>
      </c>
      <c r="C8654" t="s">
        <v>2262</v>
      </c>
      <c r="D8654" s="87" t="s">
        <v>3727</v>
      </c>
      <c r="E8654">
        <f t="shared" ref="E8654:E8685" si="70">IF(M8654="credit",-1*J8654,J8654)</f>
        <v>-9.65</v>
      </c>
      <c r="F8654" s="2" t="str">
        <f>IF(Table2[[#This Row],[Manual Cat Value]]="",VLOOKUP(Table2[[#This Row],[Description]],'Actuals Lookup'!D:F,3,0),Table2[[#This Row],[Manual Cat Value]])</f>
        <v>Exp - Amazon</v>
      </c>
      <c r="G8654" t="e">
        <f>VLOOKUP(D8654,Lookup!G:H,2,0)</f>
        <v>#N/A</v>
      </c>
      <c r="H8654" s="8" t="s">
        <v>37</v>
      </c>
      <c r="I8654" s="95"/>
      <c r="J8654" s="87">
        <v>9.65</v>
      </c>
      <c r="K8654" s="87"/>
      <c r="L8654" s="87"/>
      <c r="M8654" s="87" t="s">
        <v>3074</v>
      </c>
      <c r="O8654" t="str">
        <f>LEFT(Table2[[#This Row],[Description]],75)</f>
        <v>AMZN Mktp US             Amzn.com/billWA REF #74692160T2XHPPVXT</v>
      </c>
    </row>
    <row r="8655" spans="1:15" hidden="1">
      <c r="A8655" s="25">
        <f>VALUE(YEAR(Table2[[#This Row],[Date]])&amp;TEXT(MONTH(Table2[[#This Row],[Date]]),"00"))</f>
        <v>202301</v>
      </c>
      <c r="B8655" s="93">
        <v>44952</v>
      </c>
      <c r="C8655" t="s">
        <v>2262</v>
      </c>
      <c r="D8655" s="87" t="s">
        <v>3728</v>
      </c>
      <c r="E8655">
        <f t="shared" si="70"/>
        <v>-22.53</v>
      </c>
      <c r="F8655" s="2" t="str">
        <f>IF(Table2[[#This Row],[Manual Cat Value]]="",VLOOKUP(Table2[[#This Row],[Description]],'Actuals Lookup'!D:F,3,0),Table2[[#This Row],[Manual Cat Value]])</f>
        <v>Exp - Amazon</v>
      </c>
      <c r="G8655" t="e">
        <f>VLOOKUP(D8655,Lookup!G:H,2,0)</f>
        <v>#N/A</v>
      </c>
      <c r="H8655" s="8" t="s">
        <v>37</v>
      </c>
      <c r="I8655" s="95"/>
      <c r="J8655" s="87">
        <v>22.53</v>
      </c>
      <c r="K8655" s="87"/>
      <c r="L8655" s="87"/>
      <c r="M8655" s="87" t="s">
        <v>3074</v>
      </c>
      <c r="O8655" t="str">
        <f>LEFT(Table2[[#This Row],[Description]],75)</f>
        <v>AMZN Mktp US             Amzn.com/billWA REF #74692160T2XHTS6E1</v>
      </c>
    </row>
    <row r="8656" spans="1:15" ht="30" hidden="1">
      <c r="A8656" s="25">
        <f>VALUE(YEAR(Table2[[#This Row],[Date]])&amp;TEXT(MONTH(Table2[[#This Row],[Date]]),"00"))</f>
        <v>202301</v>
      </c>
      <c r="B8656" s="6">
        <v>44952</v>
      </c>
      <c r="C8656" t="s">
        <v>2447</v>
      </c>
      <c r="D8656" s="7" t="s">
        <v>3729</v>
      </c>
      <c r="E8656">
        <f t="shared" si="70"/>
        <v>103.41</v>
      </c>
      <c r="F8656" s="2" t="str">
        <f>IF(Table2[[#This Row],[Manual Cat Value]]="",VLOOKUP(Table2[[#This Row],[Description]],'Actuals Lookup'!D:F,3,0),Table2[[#This Row],[Manual Cat Value]])</f>
        <v>Exp - Amazon</v>
      </c>
      <c r="G8656" t="e">
        <f>VLOOKUP(D8656,Lookup!G:H,2,0)</f>
        <v>#N/A</v>
      </c>
      <c r="H8656" s="8" t="s">
        <v>37</v>
      </c>
      <c r="I8656" s="78"/>
      <c r="J8656">
        <v>103.41</v>
      </c>
      <c r="M8656" t="s">
        <v>2513</v>
      </c>
      <c r="O8656" t="str">
        <f>LEFT(Table2[[#This Row],[Description]],75)</f>
        <v>AMZN MKTP US*HA1374FV3 AMZN.COM/BILLWA
5PMTQQQJJUL</v>
      </c>
    </row>
    <row r="8657" spans="1:15" hidden="1">
      <c r="A8657" s="25">
        <f>VALUE(YEAR(Table2[[#This Row],[Date]])&amp;TEXT(MONTH(Table2[[#This Row],[Date]]),"00"))</f>
        <v>202301</v>
      </c>
      <c r="B8657" s="93">
        <v>44952</v>
      </c>
      <c r="C8657" t="s">
        <v>2262</v>
      </c>
      <c r="D8657" s="87" t="s">
        <v>3730</v>
      </c>
      <c r="E8657">
        <f t="shared" si="70"/>
        <v>45.23</v>
      </c>
      <c r="F8657" s="2" t="str">
        <f>IF(Table2[[#This Row],[Manual Cat Value]]="",VLOOKUP(Table2[[#This Row],[Description]],'Actuals Lookup'!D:F,3,0),Table2[[#This Row],[Manual Cat Value]])</f>
        <v>Exp - Restaurants</v>
      </c>
      <c r="G8657" t="e">
        <f>VLOOKUP(D8657,Lookup!G:H,2,0)</f>
        <v>#N/A</v>
      </c>
      <c r="H8657" s="8" t="s">
        <v>25</v>
      </c>
      <c r="I8657" s="95"/>
      <c r="J8657" s="87">
        <v>45.23</v>
      </c>
      <c r="K8657" s="87"/>
      <c r="L8657" s="87"/>
      <c r="M8657" s="87" t="s">
        <v>2535</v>
      </c>
      <c r="O8657" t="str">
        <f>LEFT(Table2[[#This Row],[Description]],75)</f>
        <v>LIONS TAP                952-9345299  MN REF #24000970TA6DSYQTM</v>
      </c>
    </row>
    <row r="8658" spans="1:15" ht="30" hidden="1">
      <c r="A8658" s="25">
        <f>VALUE(YEAR(Table2[[#This Row],[Date]])&amp;TEXT(MONTH(Table2[[#This Row],[Date]]),"00"))</f>
        <v>202301</v>
      </c>
      <c r="B8658" s="6">
        <v>44952</v>
      </c>
      <c r="C8658" t="s">
        <v>2447</v>
      </c>
      <c r="D8658" s="7" t="s">
        <v>3731</v>
      </c>
      <c r="E8658">
        <f t="shared" si="70"/>
        <v>5.1100000000000003</v>
      </c>
      <c r="F8658" s="2" t="str">
        <f>IF(Table2[[#This Row],[Manual Cat Value]]="",VLOOKUP(Table2[[#This Row],[Description]],'Actuals Lookup'!D:F,3,0),Table2[[#This Row],[Manual Cat Value]])</f>
        <v>Exp - Restaurants</v>
      </c>
      <c r="G8658" t="e">
        <f>VLOOKUP(D8658,Lookup!G:H,2,0)</f>
        <v>#N/A</v>
      </c>
      <c r="H8658" s="8" t="s">
        <v>25</v>
      </c>
      <c r="I8658" s="78"/>
      <c r="J8658">
        <v>5.1100000000000003</v>
      </c>
      <c r="M8658" t="s">
        <v>2513</v>
      </c>
      <c r="O8658" t="str">
        <f>LEFT(Table2[[#This Row],[Description]],75)</f>
        <v>WAYZATA CAFE WAYZATA MN
APPLE PAY ENDING IN 8856</v>
      </c>
    </row>
    <row r="8659" spans="1:15" hidden="1">
      <c r="A8659" s="25">
        <f>VALUE(YEAR(Table2[[#This Row],[Date]])&amp;TEXT(MONTH(Table2[[#This Row],[Date]]),"00"))</f>
        <v>202301</v>
      </c>
      <c r="B8659" s="93">
        <v>44952</v>
      </c>
      <c r="C8659" t="s">
        <v>2262</v>
      </c>
      <c r="D8659" s="87" t="s">
        <v>3732</v>
      </c>
      <c r="E8659">
        <f t="shared" si="70"/>
        <v>5.25</v>
      </c>
      <c r="F8659" s="2" t="str">
        <f>IF(Table2[[#This Row],[Manual Cat Value]]="",VLOOKUP(Table2[[#This Row],[Description]],'Actuals Lookup'!D:F,3,0),Table2[[#This Row],[Manual Cat Value]])</f>
        <v>Exp - Restaurants</v>
      </c>
      <c r="G8659" t="e">
        <f>VLOOKUP(D8659,Lookup!G:H,2,0)</f>
        <v>#N/A</v>
      </c>
      <c r="H8659" s="8" t="s">
        <v>25</v>
      </c>
      <c r="I8659" s="95"/>
      <c r="J8659" s="87">
        <v>5.25</v>
      </c>
      <c r="K8659" s="87"/>
      <c r="L8659" s="87"/>
      <c r="M8659" s="87" t="s">
        <v>2535</v>
      </c>
      <c r="O8659" t="str">
        <f>LEFT(Table2[[#This Row],[Description]],75)</f>
        <v>WAYZATA COFFEE           WAYZATA      MN REF #24943000SW6BHR854</v>
      </c>
    </row>
    <row r="8660" spans="1:15" hidden="1">
      <c r="A8660" s="25">
        <f>VALUE(YEAR(Table2[[#This Row],[Date]])&amp;TEXT(MONTH(Table2[[#This Row],[Date]]),"00"))</f>
        <v>202301</v>
      </c>
      <c r="B8660" s="6">
        <v>44952</v>
      </c>
      <c r="C8660" t="s">
        <v>2265</v>
      </c>
      <c r="D8660" t="s">
        <v>3733</v>
      </c>
      <c r="E8660">
        <f t="shared" si="70"/>
        <v>500</v>
      </c>
      <c r="F8660" s="2" t="str">
        <f>IF(Table2[[#This Row],[Manual Cat Value]]="",VLOOKUP(Table2[[#This Row],[Description]],'Actuals Lookup'!D:F,3,0),Table2[[#This Row],[Manual Cat Value]])</f>
        <v>Delete</v>
      </c>
      <c r="G8660" t="e">
        <f>VLOOKUP(D8660,Lookup!G:H,2,0)</f>
        <v>#N/A</v>
      </c>
      <c r="H8660" s="8" t="s">
        <v>9</v>
      </c>
      <c r="I8660" s="8"/>
      <c r="J8660">
        <v>500</v>
      </c>
      <c r="M8660" t="s">
        <v>2513</v>
      </c>
      <c r="O8660" t="str">
        <f>LEFT(Table2[[#This Row],[Description]],75)</f>
        <v>Withdrawal ACH DISCOVER BANK TYPE: NET/MOBILE ID: 4510020271 CO: DISCOVER B</v>
      </c>
    </row>
    <row r="8661" spans="1:15" ht="30" hidden="1">
      <c r="A8661" s="25">
        <f>VALUE(YEAR(Table2[[#This Row],[Date]])&amp;TEXT(MONTH(Table2[[#This Row],[Date]]),"00"))</f>
        <v>202301</v>
      </c>
      <c r="B8661" s="6">
        <v>44953</v>
      </c>
      <c r="C8661" t="s">
        <v>2447</v>
      </c>
      <c r="D8661" s="7" t="s">
        <v>3734</v>
      </c>
      <c r="E8661">
        <f t="shared" si="70"/>
        <v>6.97</v>
      </c>
      <c r="F8661" s="2" t="str">
        <f>IF(Table2[[#This Row],[Manual Cat Value]]="",VLOOKUP(Table2[[#This Row],[Description]],'Actuals Lookup'!D:F,3,0),Table2[[#This Row],[Manual Cat Value]])</f>
        <v>Exp - Amazon</v>
      </c>
      <c r="G8661" t="e">
        <f>VLOOKUP(D8661,Lookup!G:H,2,0)</f>
        <v>#N/A</v>
      </c>
      <c r="H8661" s="8" t="s">
        <v>37</v>
      </c>
      <c r="I8661" s="78"/>
      <c r="J8661">
        <v>6.97</v>
      </c>
      <c r="M8661" t="s">
        <v>2513</v>
      </c>
      <c r="O8661" t="str">
        <f>LEFT(Table2[[#This Row],[Description]],75)</f>
        <v>AMZN MKTP US*NB6RW3VZ3 AMZN.COM/BILLWA
4XP3GBJ71Y1</v>
      </c>
    </row>
    <row r="8662" spans="1:15" hidden="1">
      <c r="A8662" s="25">
        <f>VALUE(YEAR(Table2[[#This Row],[Date]])&amp;TEXT(MONTH(Table2[[#This Row],[Date]]),"00"))</f>
        <v>202301</v>
      </c>
      <c r="B8662" s="93">
        <v>44953</v>
      </c>
      <c r="C8662" t="s">
        <v>2262</v>
      </c>
      <c r="D8662" s="87" t="s">
        <v>3735</v>
      </c>
      <c r="E8662">
        <f t="shared" si="70"/>
        <v>49.88</v>
      </c>
      <c r="F8662" s="2" t="str">
        <f>IF(Table2[[#This Row],[Manual Cat Value]]="",VLOOKUP(Table2[[#This Row],[Description]],'Actuals Lookup'!D:F,3,0),Table2[[#This Row],[Manual Cat Value]])</f>
        <v>Exp - Transportation</v>
      </c>
      <c r="G8662" t="e">
        <f>VLOOKUP(D8662,Lookup!G:H,2,0)</f>
        <v>#N/A</v>
      </c>
      <c r="H8662" s="8" t="s">
        <v>22</v>
      </c>
      <c r="I8662" s="95"/>
      <c r="J8662" s="87">
        <v>49.88</v>
      </c>
      <c r="K8662" s="87"/>
      <c r="L8662" s="87"/>
      <c r="M8662" s="87" t="s">
        <v>2535</v>
      </c>
      <c r="O8662" t="str">
        <f>LEFT(Table2[[#This Row],[Description]],75)</f>
        <v>KWIK TRIP  40200004028   CHANHASSEN   MN REF #24164070SL3HMFM5R</v>
      </c>
    </row>
    <row r="8663" spans="1:15" hidden="1">
      <c r="A8663" s="25">
        <f>VALUE(YEAR(Table2[[#This Row],[Date]])&amp;TEXT(MONTH(Table2[[#This Row],[Date]]),"00"))</f>
        <v>202301</v>
      </c>
      <c r="B8663" s="93">
        <v>44953</v>
      </c>
      <c r="C8663" t="s">
        <v>2262</v>
      </c>
      <c r="D8663" s="87" t="s">
        <v>3736</v>
      </c>
      <c r="E8663">
        <f t="shared" si="70"/>
        <v>9.42</v>
      </c>
      <c r="F8663" s="2" t="str">
        <f>IF(Table2[[#This Row],[Manual Cat Value]]="",VLOOKUP(Table2[[#This Row],[Description]],'Actuals Lookup'!D:F,3,0),Table2[[#This Row],[Manual Cat Value]])</f>
        <v>Exp - Restaurants</v>
      </c>
      <c r="G8663" t="e">
        <f>VLOOKUP(D8663,Lookup!G:H,2,0)</f>
        <v>#N/A</v>
      </c>
      <c r="H8663" s="8" t="s">
        <v>25</v>
      </c>
      <c r="I8663" s="95"/>
      <c r="J8663" s="87">
        <v>9.42</v>
      </c>
      <c r="K8663" s="87"/>
      <c r="L8663" s="87"/>
      <c r="M8663" s="87" t="s">
        <v>2535</v>
      </c>
      <c r="O8663" t="str">
        <f>LEFT(Table2[[#This Row],[Description]],75)</f>
        <v>WAYZATA COFFEE           WAYZATA      MN REF #24943000VW5H57LZK</v>
      </c>
    </row>
    <row r="8664" spans="1:15" ht="30" hidden="1">
      <c r="A8664" s="25">
        <f>VALUE(YEAR(Table2[[#This Row],[Date]])&amp;TEXT(MONTH(Table2[[#This Row],[Date]]),"00"))</f>
        <v>202301</v>
      </c>
      <c r="B8664" s="6">
        <v>44954</v>
      </c>
      <c r="C8664" t="s">
        <v>2447</v>
      </c>
      <c r="D8664" s="7" t="s">
        <v>3737</v>
      </c>
      <c r="E8664">
        <f t="shared" si="70"/>
        <v>19.32</v>
      </c>
      <c r="F8664" s="2" t="str">
        <f>IF(Table2[[#This Row],[Manual Cat Value]]="",VLOOKUP(Table2[[#This Row],[Description]],'Actuals Lookup'!D:F,3,0),Table2[[#This Row],[Manual Cat Value]])</f>
        <v>Exp - Amazon</v>
      </c>
      <c r="G8664" t="e">
        <f>VLOOKUP(D8664,Lookup!G:H,2,0)</f>
        <v>#N/A</v>
      </c>
      <c r="H8664" s="8" t="s">
        <v>37</v>
      </c>
      <c r="I8664" s="78"/>
      <c r="J8664">
        <v>19.32</v>
      </c>
      <c r="M8664" t="s">
        <v>2513</v>
      </c>
      <c r="O8664" t="str">
        <f>LEFT(Table2[[#This Row],[Description]],75)</f>
        <v>AMZN MKTP US*2O1RF8973 AMZN.COM/BILLWA
1AIKYAAJ5TG</v>
      </c>
    </row>
    <row r="8665" spans="1:15" hidden="1">
      <c r="A8665" s="25">
        <f>VALUE(YEAR(Table2[[#This Row],[Date]])&amp;TEXT(MONTH(Table2[[#This Row],[Date]]),"00"))</f>
        <v>202301</v>
      </c>
      <c r="B8665" s="6">
        <v>44954</v>
      </c>
      <c r="C8665" t="s">
        <v>2447</v>
      </c>
      <c r="D8665" t="s">
        <v>459</v>
      </c>
      <c r="E8665">
        <f t="shared" si="70"/>
        <v>-35.299999999999997</v>
      </c>
      <c r="F8665" s="2" t="str">
        <f>IF(Table2[[#This Row],[Manual Cat Value]]="",VLOOKUP(Table2[[#This Row],[Description]],'Actuals Lookup'!D:F,3,0),Table2[[#This Row],[Manual Cat Value]])</f>
        <v>Dividend</v>
      </c>
      <c r="G8665" t="str">
        <f>VLOOKUP(D8665,Lookup!G:H,2,0)</f>
        <v>Delete</v>
      </c>
      <c r="I8665" s="8"/>
      <c r="J8665">
        <v>35.299999999999997</v>
      </c>
      <c r="M8665" t="s">
        <v>2621</v>
      </c>
      <c r="O8665" t="str">
        <f>LEFT(Table2[[#This Row],[Description]],75)</f>
        <v>CASHBACK BONUS REDEMPTION PYMT/STMT CRDT</v>
      </c>
    </row>
    <row r="8666" spans="1:15" ht="30" hidden="1">
      <c r="A8666" s="25">
        <f>VALUE(YEAR(Table2[[#This Row],[Date]])&amp;TEXT(MONTH(Table2[[#This Row],[Date]]),"00"))</f>
        <v>202301</v>
      </c>
      <c r="B8666" s="6">
        <v>44954</v>
      </c>
      <c r="C8666" t="s">
        <v>2447</v>
      </c>
      <c r="D8666" s="7" t="s">
        <v>3738</v>
      </c>
      <c r="E8666">
        <f t="shared" si="70"/>
        <v>43.17</v>
      </c>
      <c r="F8666" s="2" t="str">
        <f>IF(Table2[[#This Row],[Manual Cat Value]]="",VLOOKUP(Table2[[#This Row],[Description]],'Actuals Lookup'!D:F,3,0),Table2[[#This Row],[Manual Cat Value]])</f>
        <v>Exp - Groceries</v>
      </c>
      <c r="G8666" t="e">
        <f>VLOOKUP(D8666,Lookup!G:H,2,0)</f>
        <v>#N/A</v>
      </c>
      <c r="H8666" s="8" t="s">
        <v>27</v>
      </c>
      <c r="I8666" s="78"/>
      <c r="J8666">
        <v>43.17</v>
      </c>
      <c r="M8666" t="s">
        <v>2513</v>
      </c>
      <c r="O8666" t="str">
        <f>LEFT(Table2[[#This Row],[Description]],75)</f>
        <v>KOWALSKI'S EXCELSIOR MAR EXCELSIOR MN
APPLE PAY ENDING IN 8856</v>
      </c>
    </row>
    <row r="8667" spans="1:15" hidden="1">
      <c r="A8667" s="25">
        <f>VALUE(YEAR(Table2[[#This Row],[Date]])&amp;TEXT(MONTH(Table2[[#This Row],[Date]]),"00"))</f>
        <v>202301</v>
      </c>
      <c r="B8667" s="6">
        <v>44954</v>
      </c>
      <c r="C8667" t="s">
        <v>2447</v>
      </c>
      <c r="D8667" t="s">
        <v>997</v>
      </c>
      <c r="E8667">
        <f t="shared" si="70"/>
        <v>-535.08000000000004</v>
      </c>
      <c r="F8667" s="2" t="str">
        <f>IF(Table2[[#This Row],[Manual Cat Value]]="",VLOOKUP(Table2[[#This Row],[Description]],'Actuals Lookup'!D:F,3,0),Table2[[#This Row],[Manual Cat Value]])</f>
        <v>Delete</v>
      </c>
      <c r="G8667" t="str">
        <f>VLOOKUP(D8667,Lookup!G:H,2,0)</f>
        <v>Delete</v>
      </c>
      <c r="H8667" s="8" t="s">
        <v>9</v>
      </c>
      <c r="I8667" s="8"/>
      <c r="J8667">
        <v>535.08000000000004</v>
      </c>
      <c r="M8667" t="s">
        <v>2621</v>
      </c>
      <c r="O8667" t="str">
        <f>LEFT(Table2[[#This Row],[Description]],75)</f>
        <v>INTERNET PAYMENT - THANK YOU</v>
      </c>
    </row>
    <row r="8668" spans="1:15" hidden="1">
      <c r="A8668" s="25">
        <f>VALUE(YEAR(Table2[[#This Row],[Date]])&amp;TEXT(MONTH(Table2[[#This Row],[Date]]),"00"))</f>
        <v>202301</v>
      </c>
      <c r="B8668" s="6">
        <v>44955</v>
      </c>
      <c r="C8668" t="s">
        <v>2265</v>
      </c>
      <c r="D8668" t="s">
        <v>3739</v>
      </c>
      <c r="E8668">
        <f t="shared" si="70"/>
        <v>-2922.8</v>
      </c>
      <c r="F8668" s="2" t="str">
        <f>IF(Table2[[#This Row],[Manual Cat Value]]="",VLOOKUP(Table2[[#This Row],[Description]],'Actuals Lookup'!D:F,3,0),Table2[[#This Row],[Manual Cat Value]])</f>
        <v>Inc - Jeff</v>
      </c>
      <c r="G8668" t="e">
        <f>VLOOKUP(D8668,Lookup!G:H,2,0)</f>
        <v>#N/A</v>
      </c>
      <c r="H8668" s="8" t="s">
        <v>63</v>
      </c>
      <c r="I8668" s="8"/>
      <c r="J8668">
        <v>2922.8</v>
      </c>
      <c r="M8668" t="s">
        <v>2621</v>
      </c>
      <c r="O8668" t="str">
        <f>LEFT(Table2[[#This Row],[Description]],75)</f>
        <v>Deposit ACH TRINET TYPE: PAYROLL ID: 194XXXXXXX CO: TRINET Entry Class Code</v>
      </c>
    </row>
    <row r="8669" spans="1:15" hidden="1">
      <c r="A8669" s="25">
        <f>VALUE(YEAR(Table2[[#This Row],[Date]])&amp;TEXT(MONTH(Table2[[#This Row],[Date]]),"00"))</f>
        <v>202301</v>
      </c>
      <c r="B8669" s="93">
        <v>44955</v>
      </c>
      <c r="C8669" t="s">
        <v>2262</v>
      </c>
      <c r="D8669" s="87" t="s">
        <v>3740</v>
      </c>
      <c r="E8669">
        <f t="shared" si="70"/>
        <v>27.43</v>
      </c>
      <c r="F8669" s="2" t="str">
        <f>IF(Table2[[#This Row],[Manual Cat Value]]="",VLOOKUP(Table2[[#This Row],[Description]],'Actuals Lookup'!D:F,3,0),Table2[[#This Row],[Manual Cat Value]])</f>
        <v>Exp - Restaurants</v>
      </c>
      <c r="G8669" t="e">
        <f>VLOOKUP(D8669,Lookup!G:H,2,0)</f>
        <v>#N/A</v>
      </c>
      <c r="H8669" s="8" t="s">
        <v>25</v>
      </c>
      <c r="I8669" s="95"/>
      <c r="J8669" s="87">
        <v>27.43</v>
      </c>
      <c r="K8669" s="87"/>
      <c r="L8669" s="87"/>
      <c r="M8669" s="87" t="s">
        <v>2535</v>
      </c>
      <c r="O8669" t="str">
        <f>LEFT(Table2[[#This Row],[Description]],75)</f>
        <v>DOMINO'S 1931            EXCELSIOR    MN REF #24445000WEJ0BS8AE</v>
      </c>
    </row>
    <row r="8670" spans="1:15" hidden="1">
      <c r="A8670" s="25">
        <f>VALUE(YEAR(Table2[[#This Row],[Date]])&amp;TEXT(MONTH(Table2[[#This Row],[Date]]),"00"))</f>
        <v>202301</v>
      </c>
      <c r="B8670" s="93">
        <v>44955</v>
      </c>
      <c r="C8670" t="s">
        <v>2262</v>
      </c>
      <c r="D8670" s="87" t="s">
        <v>3741</v>
      </c>
      <c r="E8670">
        <f t="shared" si="70"/>
        <v>82.68</v>
      </c>
      <c r="F8670" s="2" t="str">
        <f>IF(Table2[[#This Row],[Manual Cat Value]]="",VLOOKUP(Table2[[#This Row],[Description]],'Actuals Lookup'!D:F,3,0),Table2[[#This Row],[Manual Cat Value]])</f>
        <v>Exp - Restaurants</v>
      </c>
      <c r="G8670" t="e">
        <f>VLOOKUP(D8670,Lookup!G:H,2,0)</f>
        <v>#N/A</v>
      </c>
      <c r="H8670" s="8" t="s">
        <v>25</v>
      </c>
      <c r="I8670" s="95"/>
      <c r="J8670" s="87">
        <v>82.68</v>
      </c>
      <c r="K8670" s="87"/>
      <c r="L8670" s="87"/>
      <c r="M8670" s="87" t="s">
        <v>2535</v>
      </c>
      <c r="O8670" t="str">
        <f>LEFT(Table2[[#This Row],[Description]],75)</f>
        <v>TST* Revival - St. Louis St Louis ParkMN REF #24692160X2X4T5S2P</v>
      </c>
    </row>
    <row r="8671" spans="1:15" ht="30" hidden="1">
      <c r="A8671" s="25">
        <f>VALUE(YEAR(Table2[[#This Row],[Date]])&amp;TEXT(MONTH(Table2[[#This Row],[Date]]),"00"))</f>
        <v>202301</v>
      </c>
      <c r="B8671" s="6">
        <v>44956</v>
      </c>
      <c r="C8671" t="s">
        <v>2447</v>
      </c>
      <c r="D8671" s="7" t="s">
        <v>3742</v>
      </c>
      <c r="E8671">
        <f t="shared" si="70"/>
        <v>24.64</v>
      </c>
      <c r="F8671" s="2" t="str">
        <f>IF(Table2[[#This Row],[Manual Cat Value]]="",VLOOKUP(Table2[[#This Row],[Description]],'Actuals Lookup'!D:F,3,0),Table2[[#This Row],[Manual Cat Value]])</f>
        <v>Exp - Amazon</v>
      </c>
      <c r="G8671" t="e">
        <f>VLOOKUP(D8671,Lookup!G:H,2,0)</f>
        <v>#N/A</v>
      </c>
      <c r="H8671" s="8" t="s">
        <v>37</v>
      </c>
      <c r="I8671" s="78"/>
      <c r="J8671">
        <v>24.64</v>
      </c>
      <c r="M8671" t="s">
        <v>2513</v>
      </c>
      <c r="O8671" t="str">
        <f>LEFT(Table2[[#This Row],[Description]],75)</f>
        <v>AMZN MKTP US*N33V53WK3 AMZN.COM/BILLWA
1JR3HY5EU7E</v>
      </c>
    </row>
    <row r="8672" spans="1:15" ht="30" hidden="1">
      <c r="A8672" s="25">
        <f>VALUE(YEAR(Table2[[#This Row],[Date]])&amp;TEXT(MONTH(Table2[[#This Row],[Date]]),"00"))</f>
        <v>202301</v>
      </c>
      <c r="B8672" s="6">
        <v>44956</v>
      </c>
      <c r="C8672" t="s">
        <v>2447</v>
      </c>
      <c r="D8672" s="7" t="s">
        <v>3743</v>
      </c>
      <c r="E8672">
        <f t="shared" si="70"/>
        <v>6.58</v>
      </c>
      <c r="F8672" s="2" t="str">
        <f>IF(Table2[[#This Row],[Manual Cat Value]]="",VLOOKUP(Table2[[#This Row],[Description]],'Actuals Lookup'!D:F,3,0),Table2[[#This Row],[Manual Cat Value]])</f>
        <v>Exp - Amazon</v>
      </c>
      <c r="G8672" t="e">
        <f>VLOOKUP(D8672,Lookup!G:H,2,0)</f>
        <v>#N/A</v>
      </c>
      <c r="H8672" s="8" t="s">
        <v>37</v>
      </c>
      <c r="I8672" s="78"/>
      <c r="J8672">
        <v>6.58</v>
      </c>
      <c r="M8672" t="s">
        <v>2513</v>
      </c>
      <c r="O8672" t="str">
        <f>LEFT(Table2[[#This Row],[Description]],75)</f>
        <v>AMZN MKTP US*PR6Z75NG3 AMZN.COM/BILLWA
6JIC3YDA5KA</v>
      </c>
    </row>
    <row r="8673" spans="1:15" ht="30" hidden="1">
      <c r="A8673" s="25">
        <f>VALUE(YEAR(Table2[[#This Row],[Date]])&amp;TEXT(MONTH(Table2[[#This Row],[Date]]),"00"))</f>
        <v>202301</v>
      </c>
      <c r="B8673" s="6">
        <v>44956</v>
      </c>
      <c r="C8673" t="s">
        <v>2447</v>
      </c>
      <c r="D8673" s="7" t="s">
        <v>3744</v>
      </c>
      <c r="E8673">
        <f t="shared" si="70"/>
        <v>18.64</v>
      </c>
      <c r="F8673" s="2" t="str">
        <f>IF(Table2[[#This Row],[Manual Cat Value]]="",VLOOKUP(Table2[[#This Row],[Description]],'Actuals Lookup'!D:F,3,0),Table2[[#This Row],[Manual Cat Value]])</f>
        <v>Exp - Amazon</v>
      </c>
      <c r="G8673" t="e">
        <f>VLOOKUP(D8673,Lookup!G:H,2,0)</f>
        <v>#N/A</v>
      </c>
      <c r="H8673" s="8" t="s">
        <v>37</v>
      </c>
      <c r="I8673" s="78"/>
      <c r="J8673">
        <v>18.64</v>
      </c>
      <c r="M8673" t="s">
        <v>2513</v>
      </c>
      <c r="O8673" t="str">
        <f>LEFT(Table2[[#This Row],[Description]],75)</f>
        <v>AMZN MKTP US*VQ1WG8LI3 AMZN.COM/BILLWA
78YUGC9GJQS</v>
      </c>
    </row>
    <row r="8674" spans="1:15" hidden="1">
      <c r="A8674" s="25">
        <f>VALUE(YEAR(Table2[[#This Row],[Date]])&amp;TEXT(MONTH(Table2[[#This Row],[Date]]),"00"))</f>
        <v>202301</v>
      </c>
      <c r="B8674" s="93">
        <v>44956</v>
      </c>
      <c r="C8674" t="s">
        <v>2262</v>
      </c>
      <c r="D8674" s="87" t="s">
        <v>3745</v>
      </c>
      <c r="E8674">
        <f t="shared" si="70"/>
        <v>58.5</v>
      </c>
      <c r="F8674" s="2" t="str">
        <f>IF(Table2[[#This Row],[Manual Cat Value]]="",VLOOKUP(Table2[[#This Row],[Description]],'Actuals Lookup'!D:F,3,0),Table2[[#This Row],[Manual Cat Value]])</f>
        <v>Exp - Shopping</v>
      </c>
      <c r="G8674" t="e">
        <f>VLOOKUP(D8674,Lookup!G:H,2,0)</f>
        <v>#N/A</v>
      </c>
      <c r="H8674" s="8" t="s">
        <v>36</v>
      </c>
      <c r="I8674" s="95"/>
      <c r="J8674" s="87">
        <v>58.5</v>
      </c>
      <c r="K8674" s="87"/>
      <c r="L8674" s="87"/>
      <c r="M8674" s="87" t="s">
        <v>2535</v>
      </c>
      <c r="O8674" t="str">
        <f>LEFT(Table2[[#This Row],[Description]],75)</f>
        <v>PRIMP EXCELSIOR          EXCELSIOR    MN REF #24493980YBLRZ6ZXA</v>
      </c>
    </row>
    <row r="8675" spans="1:15" hidden="1">
      <c r="A8675" s="25">
        <f>VALUE(YEAR(Table2[[#This Row],[Date]])&amp;TEXT(MONTH(Table2[[#This Row],[Date]]),"00"))</f>
        <v>202301</v>
      </c>
      <c r="B8675" s="93">
        <v>44956</v>
      </c>
      <c r="C8675" t="s">
        <v>2262</v>
      </c>
      <c r="D8675" s="87" t="s">
        <v>3746</v>
      </c>
      <c r="E8675">
        <f t="shared" si="70"/>
        <v>24.31</v>
      </c>
      <c r="F8675" s="2" t="str">
        <f>IF(Table2[[#This Row],[Manual Cat Value]]="",VLOOKUP(Table2[[#This Row],[Description]],'Actuals Lookup'!D:F,3,0),Table2[[#This Row],[Manual Cat Value]])</f>
        <v>Exp - Shopping</v>
      </c>
      <c r="G8675" t="e">
        <f>VLOOKUP(D8675,Lookup!G:H,2,0)</f>
        <v>#N/A</v>
      </c>
      <c r="H8675" s="8" t="s">
        <v>36</v>
      </c>
      <c r="I8675" s="95"/>
      <c r="J8675" s="87">
        <v>24.31</v>
      </c>
      <c r="K8675" s="87"/>
      <c r="L8675" s="87"/>
      <c r="M8675" s="87" t="s">
        <v>2535</v>
      </c>
      <c r="O8675" t="str">
        <f>LEFT(Table2[[#This Row],[Description]],75)</f>
        <v>PRIMP EXCELSIOR          EXCELSIOR    MN REF #24493980YBLRZ6ZXV</v>
      </c>
    </row>
    <row r="8676" spans="1:15" hidden="1">
      <c r="A8676" s="25">
        <f>VALUE(YEAR(Table2[[#This Row],[Date]])&amp;TEXT(MONTH(Table2[[#This Row],[Date]]),"00"))</f>
        <v>202301</v>
      </c>
      <c r="B8676" s="93">
        <v>44956</v>
      </c>
      <c r="C8676" t="s">
        <v>2262</v>
      </c>
      <c r="D8676" s="87" t="s">
        <v>3747</v>
      </c>
      <c r="E8676">
        <f t="shared" si="70"/>
        <v>150</v>
      </c>
      <c r="F8676" s="2" t="str">
        <f>IF(Table2[[#This Row],[Manual Cat Value]]="",VLOOKUP(Table2[[#This Row],[Description]],'Actuals Lookup'!D:F,3,0),Table2[[#This Row],[Manual Cat Value]])</f>
        <v>Exp - Day Care</v>
      </c>
      <c r="G8676" t="e">
        <f>VLOOKUP(D8676,Lookup!G:H,2,0)</f>
        <v>#N/A</v>
      </c>
      <c r="H8676" s="8" t="s">
        <v>19</v>
      </c>
      <c r="I8676" s="95"/>
      <c r="J8676" s="87">
        <v>150</v>
      </c>
      <c r="K8676" s="87"/>
      <c r="L8676" s="87"/>
      <c r="M8676" s="87" t="s">
        <v>2535</v>
      </c>
      <c r="O8676" t="str">
        <f>LEFT(Table2[[#This Row],[Description]],75)</f>
        <v>TONKA TD CLUB            MINNETONKAFOOMN REF #24492160X000PZ352</v>
      </c>
    </row>
    <row r="8677" spans="1:15" hidden="1">
      <c r="A8677" s="25">
        <f>VALUE(YEAR(Table2[[#This Row],[Date]])&amp;TEXT(MONTH(Table2[[#This Row],[Date]]),"00"))</f>
        <v>202301</v>
      </c>
      <c r="B8677" s="93">
        <v>44956</v>
      </c>
      <c r="C8677" t="s">
        <v>2262</v>
      </c>
      <c r="D8677" s="87" t="s">
        <v>3748</v>
      </c>
      <c r="E8677">
        <f t="shared" si="70"/>
        <v>27.09</v>
      </c>
      <c r="F8677" s="2" t="str">
        <f>IF(Table2[[#This Row],[Manual Cat Value]]="",VLOOKUP(Table2[[#This Row],[Description]],'Actuals Lookup'!D:F,3,0),Table2[[#This Row],[Manual Cat Value]])</f>
        <v>Exp - Restaurants</v>
      </c>
      <c r="G8677" t="e">
        <f>VLOOKUP(D8677,Lookup!G:H,2,0)</f>
        <v>#N/A</v>
      </c>
      <c r="H8677" s="8" t="s">
        <v>25</v>
      </c>
      <c r="I8677" s="95"/>
      <c r="J8677" s="87">
        <v>27.09</v>
      </c>
      <c r="K8677" s="87"/>
      <c r="L8677" s="87"/>
      <c r="M8677" s="87" t="s">
        <v>2535</v>
      </c>
      <c r="O8677" t="str">
        <f>LEFT(Table2[[#This Row],[Description]],75)</f>
        <v>TST* FAT PANTS BREWING COEDEN PRAIRIE MN REF #24137460XEJGB522X</v>
      </c>
    </row>
    <row r="8678" spans="1:15" hidden="1">
      <c r="A8678" s="25">
        <f>VALUE(YEAR(Table2[[#This Row],[Date]])&amp;TEXT(MONTH(Table2[[#This Row],[Date]]),"00"))</f>
        <v>202301</v>
      </c>
      <c r="B8678" s="6">
        <v>44956</v>
      </c>
      <c r="C8678" t="s">
        <v>2265</v>
      </c>
      <c r="D8678" t="s">
        <v>3749</v>
      </c>
      <c r="E8678">
        <f t="shared" si="70"/>
        <v>0.99</v>
      </c>
      <c r="F8678" s="2" t="str">
        <f>IF(Table2[[#This Row],[Manual Cat Value]]="",VLOOKUP(Table2[[#This Row],[Description]],'Actuals Lookup'!D:F,3,0),Table2[[#This Row],[Manual Cat Value]])</f>
        <v>Exp - Shopping</v>
      </c>
      <c r="G8678" t="e">
        <f>VLOOKUP(D8678,Lookup!G:H,2,0)</f>
        <v>#N/A</v>
      </c>
      <c r="H8678" s="8" t="s">
        <v>36</v>
      </c>
      <c r="I8678" s="8"/>
      <c r="J8678">
        <v>0.99</v>
      </c>
      <c r="M8678" t="s">
        <v>2513</v>
      </c>
      <c r="O8678" t="str">
        <f>LEFT(Table2[[#This Row],[Description]],75)</f>
        <v xml:space="preserve">Withdrawal ACH PAYPAL TYPE: INST XFER ID: PAYPALSI77 CO: PAYPAL NAME: JEFF </v>
      </c>
    </row>
    <row r="8679" spans="1:15" hidden="1">
      <c r="A8679" s="25">
        <f>VALUE(YEAR(Table2[[#This Row],[Date]])&amp;TEXT(MONTH(Table2[[#This Row],[Date]]),"00"))</f>
        <v>202301</v>
      </c>
      <c r="B8679" s="6">
        <v>44956</v>
      </c>
      <c r="C8679" t="s">
        <v>2265</v>
      </c>
      <c r="D8679" t="s">
        <v>3750</v>
      </c>
      <c r="E8679">
        <f t="shared" si="70"/>
        <v>0.99</v>
      </c>
      <c r="F8679" s="2" t="str">
        <f>IF(Table2[[#This Row],[Manual Cat Value]]="",VLOOKUP(Table2[[#This Row],[Description]],'Actuals Lookup'!D:F,3,0),Table2[[#This Row],[Manual Cat Value]])</f>
        <v>Exp - Shopping</v>
      </c>
      <c r="G8679" t="e">
        <f>VLOOKUP(D8679,Lookup!G:H,2,0)</f>
        <v>#N/A</v>
      </c>
      <c r="H8679" s="8" t="s">
        <v>36</v>
      </c>
      <c r="I8679" s="8"/>
      <c r="J8679">
        <v>0.99</v>
      </c>
      <c r="M8679" t="s">
        <v>2513</v>
      </c>
      <c r="O8679" t="str">
        <f>LEFT(Table2[[#This Row],[Description]],75)</f>
        <v xml:space="preserve">Withdrawal ACH PAYPAL TYPE: INST XFER ID: PAYPALSI77 CO: PAYPAL NAME: JEFF </v>
      </c>
    </row>
    <row r="8680" spans="1:15" hidden="1">
      <c r="A8680" s="25">
        <f>VALUE(YEAR(Table2[[#This Row],[Date]])&amp;TEXT(MONTH(Table2[[#This Row],[Date]]),"00"))</f>
        <v>202301</v>
      </c>
      <c r="B8680" s="6">
        <v>44956</v>
      </c>
      <c r="C8680" t="s">
        <v>2265</v>
      </c>
      <c r="D8680" t="s">
        <v>3751</v>
      </c>
      <c r="E8680">
        <f t="shared" si="70"/>
        <v>535.08000000000004</v>
      </c>
      <c r="F8680" s="2" t="str">
        <f>IF(Table2[[#This Row],[Manual Cat Value]]="",VLOOKUP(Table2[[#This Row],[Description]],'Actuals Lookup'!D:F,3,0),Table2[[#This Row],[Manual Cat Value]])</f>
        <v>Delete</v>
      </c>
      <c r="G8680" t="e">
        <f>VLOOKUP(D8680,Lookup!G:H,2,0)</f>
        <v>#N/A</v>
      </c>
      <c r="H8680" s="8" t="s">
        <v>9</v>
      </c>
      <c r="I8680" s="8"/>
      <c r="J8680">
        <v>535.08000000000004</v>
      </c>
      <c r="M8680" t="s">
        <v>2513</v>
      </c>
      <c r="O8680" t="str">
        <f>LEFT(Table2[[#This Row],[Description]],75)</f>
        <v>Withdrawal ACH DISCOVER TYPE: E-PAYMENT ID: 2510020270 CO: DISCOVER NAME: T</v>
      </c>
    </row>
    <row r="8681" spans="1:15" ht="30" hidden="1">
      <c r="A8681" s="25">
        <f>VALUE(YEAR(Table2[[#This Row],[Date]])&amp;TEXT(MONTH(Table2[[#This Row],[Date]]),"00"))</f>
        <v>202301</v>
      </c>
      <c r="B8681" s="6">
        <v>44957</v>
      </c>
      <c r="C8681" t="s">
        <v>2447</v>
      </c>
      <c r="D8681" s="7" t="s">
        <v>3752</v>
      </c>
      <c r="E8681">
        <f t="shared" si="70"/>
        <v>-31.01</v>
      </c>
      <c r="F8681" s="2" t="str">
        <f>IF(Table2[[#This Row],[Manual Cat Value]]="",VLOOKUP(Table2[[#This Row],[Description]],'Actuals Lookup'!D:F,3,0),Table2[[#This Row],[Manual Cat Value]])</f>
        <v>Exp - Amazon</v>
      </c>
      <c r="G8681" t="e">
        <f>VLOOKUP(D8681,Lookup!G:H,2,0)</f>
        <v>#N/A</v>
      </c>
      <c r="H8681" s="8" t="s">
        <v>37</v>
      </c>
      <c r="I8681" s="78"/>
      <c r="J8681">
        <v>31.01</v>
      </c>
      <c r="M8681" t="s">
        <v>2621</v>
      </c>
      <c r="O8681" t="str">
        <f>LEFT(Table2[[#This Row],[Description]],75)</f>
        <v>AMZN MKTP US AMZN.COM/BILLWA
1EE9XHQPN0R</v>
      </c>
    </row>
    <row r="8682" spans="1:15" ht="30" hidden="1">
      <c r="A8682" s="25">
        <f>VALUE(YEAR(Table2[[#This Row],[Date]])&amp;TEXT(MONTH(Table2[[#This Row],[Date]]),"00"))</f>
        <v>202301</v>
      </c>
      <c r="B8682" s="6">
        <v>44957</v>
      </c>
      <c r="C8682" t="s">
        <v>2447</v>
      </c>
      <c r="D8682" s="7" t="s">
        <v>3753</v>
      </c>
      <c r="E8682">
        <f t="shared" si="70"/>
        <v>-25.99</v>
      </c>
      <c r="F8682" s="2" t="str">
        <f>IF(Table2[[#This Row],[Manual Cat Value]]="",VLOOKUP(Table2[[#This Row],[Description]],'Actuals Lookup'!D:F,3,0),Table2[[#This Row],[Manual Cat Value]])</f>
        <v>Exp - Amazon</v>
      </c>
      <c r="G8682" t="e">
        <f>VLOOKUP(D8682,Lookup!G:H,2,0)</f>
        <v>#N/A</v>
      </c>
      <c r="H8682" s="8" t="s">
        <v>37</v>
      </c>
      <c r="I8682" s="78"/>
      <c r="J8682">
        <v>25.99</v>
      </c>
      <c r="M8682" t="s">
        <v>2621</v>
      </c>
      <c r="O8682" t="str">
        <f>LEFT(Table2[[#This Row],[Description]],75)</f>
        <v>AMZN MKTP US AMZN.COM/BILLWA
72C7ESB3TOD</v>
      </c>
    </row>
    <row r="8683" spans="1:15" ht="30" hidden="1">
      <c r="A8683" s="25">
        <f>VALUE(YEAR(Table2[[#This Row],[Date]])&amp;TEXT(MONTH(Table2[[#This Row],[Date]]),"00"))</f>
        <v>202301</v>
      </c>
      <c r="B8683" s="6">
        <v>44957</v>
      </c>
      <c r="C8683" t="s">
        <v>2447</v>
      </c>
      <c r="D8683" s="7" t="s">
        <v>3754</v>
      </c>
      <c r="E8683">
        <f t="shared" si="70"/>
        <v>-13.95</v>
      </c>
      <c r="F8683" s="2" t="str">
        <f>IF(Table2[[#This Row],[Manual Cat Value]]="",VLOOKUP(Table2[[#This Row],[Description]],'Actuals Lookup'!D:F,3,0),Table2[[#This Row],[Manual Cat Value]])</f>
        <v>Exp - Amazon</v>
      </c>
      <c r="G8683" t="e">
        <f>VLOOKUP(D8683,Lookup!G:H,2,0)</f>
        <v>#N/A</v>
      </c>
      <c r="H8683" s="8" t="s">
        <v>37</v>
      </c>
      <c r="I8683" s="78"/>
      <c r="J8683">
        <v>13.95</v>
      </c>
      <c r="M8683" t="s">
        <v>2621</v>
      </c>
      <c r="O8683" t="str">
        <f>LEFT(Table2[[#This Row],[Description]],75)</f>
        <v>AMZN MKTP US AMZN.COM/BILLWA
WAN2UAWAF28</v>
      </c>
    </row>
    <row r="8684" spans="1:15" ht="30" hidden="1">
      <c r="A8684" s="25">
        <f>VALUE(YEAR(Table2[[#This Row],[Date]])&amp;TEXT(MONTH(Table2[[#This Row],[Date]]),"00"))</f>
        <v>202301</v>
      </c>
      <c r="B8684" s="6">
        <v>44957</v>
      </c>
      <c r="C8684" t="s">
        <v>2447</v>
      </c>
      <c r="D8684" s="7" t="s">
        <v>3755</v>
      </c>
      <c r="E8684">
        <f t="shared" si="70"/>
        <v>1.46</v>
      </c>
      <c r="F8684" s="2" t="str">
        <f>IF(Table2[[#This Row],[Manual Cat Value]]="",VLOOKUP(Table2[[#This Row],[Description]],'Actuals Lookup'!D:F,3,0),Table2[[#This Row],[Manual Cat Value]])</f>
        <v>Exp - Amazon</v>
      </c>
      <c r="G8684" t="e">
        <f>VLOOKUP(D8684,Lookup!G:H,2,0)</f>
        <v>#N/A</v>
      </c>
      <c r="H8684" s="8" t="s">
        <v>37</v>
      </c>
      <c r="I8684" s="78"/>
      <c r="J8684">
        <v>1.46</v>
      </c>
      <c r="M8684" t="s">
        <v>2513</v>
      </c>
      <c r="O8684" t="str">
        <f>LEFT(Table2[[#This Row],[Description]],75)</f>
        <v>AMZN MKTP US*IM1FC5R13 AMZN.COM/BILLWA
4MCNHJTXMDN</v>
      </c>
    </row>
    <row r="8685" spans="1:15" ht="30" hidden="1">
      <c r="A8685" s="25">
        <f>VALUE(YEAR(Table2[[#This Row],[Date]])&amp;TEXT(MONTH(Table2[[#This Row],[Date]]),"00"))</f>
        <v>202301</v>
      </c>
      <c r="B8685" s="6">
        <v>44957</v>
      </c>
      <c r="C8685" t="s">
        <v>2447</v>
      </c>
      <c r="D8685" s="7" t="s">
        <v>3756</v>
      </c>
      <c r="E8685">
        <f t="shared" si="70"/>
        <v>12.87</v>
      </c>
      <c r="F8685" s="2" t="str">
        <f>IF(Table2[[#This Row],[Manual Cat Value]]="",VLOOKUP(Table2[[#This Row],[Description]],'Actuals Lookup'!D:F,3,0),Table2[[#This Row],[Manual Cat Value]])</f>
        <v>Exp - Amazon</v>
      </c>
      <c r="G8685" t="e">
        <f>VLOOKUP(D8685,Lookup!G:H,2,0)</f>
        <v>#N/A</v>
      </c>
      <c r="H8685" s="8" t="s">
        <v>37</v>
      </c>
      <c r="I8685" s="78"/>
      <c r="J8685">
        <v>12.87</v>
      </c>
      <c r="M8685" t="s">
        <v>2513</v>
      </c>
      <c r="O8685" t="str">
        <f>LEFT(Table2[[#This Row],[Description]],75)</f>
        <v>AMZN MKTP US*W60YM1F03 AMZN.COM/BILLWA
16PD1IU91L8</v>
      </c>
    </row>
    <row r="8686" spans="1:15" ht="30" hidden="1">
      <c r="A8686" s="25">
        <f>VALUE(YEAR(Table2[[#This Row],[Date]])&amp;TEXT(MONTH(Table2[[#This Row],[Date]]),"00"))</f>
        <v>202301</v>
      </c>
      <c r="B8686" s="6">
        <v>44957</v>
      </c>
      <c r="C8686" t="s">
        <v>2447</v>
      </c>
      <c r="D8686" s="7" t="s">
        <v>3757</v>
      </c>
      <c r="E8686">
        <f t="shared" ref="E8686:E8695" si="71">IF(M8686="credit",-1*J8686,J8686)</f>
        <v>24.69</v>
      </c>
      <c r="F8686" s="2" t="str">
        <f>IF(Table2[[#This Row],[Manual Cat Value]]="",VLOOKUP(Table2[[#This Row],[Description]],'Actuals Lookup'!D:F,3,0),Table2[[#This Row],[Manual Cat Value]])</f>
        <v>Exp - Amazon</v>
      </c>
      <c r="G8686" t="e">
        <f>VLOOKUP(D8686,Lookup!G:H,2,0)</f>
        <v>#N/A</v>
      </c>
      <c r="H8686" s="8" t="s">
        <v>37</v>
      </c>
      <c r="I8686" s="78"/>
      <c r="J8686">
        <v>24.69</v>
      </c>
      <c r="M8686" t="s">
        <v>2513</v>
      </c>
      <c r="O8686" t="str">
        <f>LEFT(Table2[[#This Row],[Description]],75)</f>
        <v>AMZN MKTP US*WE9AR4IV3 AMZN.COM/BILLWA
2QPTTBS91GI</v>
      </c>
    </row>
    <row r="8687" spans="1:15" ht="30" hidden="1">
      <c r="A8687" s="25">
        <f>VALUE(YEAR(Table2[[#This Row],[Date]])&amp;TEXT(MONTH(Table2[[#This Row],[Date]]),"00"))</f>
        <v>202301</v>
      </c>
      <c r="B8687" s="6">
        <v>44957</v>
      </c>
      <c r="C8687" t="s">
        <v>2447</v>
      </c>
      <c r="D8687" s="7" t="s">
        <v>3758</v>
      </c>
      <c r="E8687">
        <f t="shared" si="71"/>
        <v>51.14</v>
      </c>
      <c r="F8687" s="2" t="str">
        <f>IF(Table2[[#This Row],[Manual Cat Value]]="",VLOOKUP(Table2[[#This Row],[Description]],'Actuals Lookup'!D:F,3,0),Table2[[#This Row],[Manual Cat Value]])</f>
        <v>Exp - Amazon</v>
      </c>
      <c r="G8687" t="e">
        <f>VLOOKUP(D8687,Lookup!G:H,2,0)</f>
        <v>#N/A</v>
      </c>
      <c r="H8687" s="8" t="s">
        <v>37</v>
      </c>
      <c r="I8687" s="78"/>
      <c r="J8687">
        <v>51.14</v>
      </c>
      <c r="M8687" t="s">
        <v>2513</v>
      </c>
      <c r="O8687" t="str">
        <f>LEFT(Table2[[#This Row],[Description]],75)</f>
        <v>AMZN MKTP US*YX1EK7943 AMZN.COM/BILLWA
3BV8ATO209J</v>
      </c>
    </row>
    <row r="8688" spans="1:15" hidden="1">
      <c r="A8688" s="25">
        <f>VALUE(YEAR(Table2[[#This Row],[Date]])&amp;TEXT(MONTH(Table2[[#This Row],[Date]]),"00"))</f>
        <v>202301</v>
      </c>
      <c r="B8688" s="6">
        <v>44957</v>
      </c>
      <c r="C8688" t="s">
        <v>2265</v>
      </c>
      <c r="D8688" t="s">
        <v>3759</v>
      </c>
      <c r="E8688">
        <f t="shared" si="71"/>
        <v>-4076.82</v>
      </c>
      <c r="F8688" s="2" t="str">
        <f>IF(Table2[[#This Row],[Manual Cat Value]]="",VLOOKUP(Table2[[#This Row],[Description]],'Actuals Lookup'!D:F,3,0),Table2[[#This Row],[Manual Cat Value]])</f>
        <v>Delete</v>
      </c>
      <c r="G8688" t="e">
        <f>VLOOKUP(D8688,Lookup!G:H,2,0)</f>
        <v>#N/A</v>
      </c>
      <c r="H8688" s="8" t="s">
        <v>9</v>
      </c>
      <c r="I8688" s="8"/>
      <c r="J8688">
        <v>4076.82</v>
      </c>
      <c r="M8688" t="s">
        <v>2621</v>
      </c>
      <c r="O8688" t="str">
        <f>LEFT(Table2[[#This Row],[Description]],75)</f>
        <v>Deposit ACH connectyourcare TYPE: SVB-CLAIMS ID: E942875288 CO: connectyour</v>
      </c>
    </row>
    <row r="8689" spans="1:15" hidden="1">
      <c r="A8689" s="25">
        <f>VALUE(YEAR(Table2[[#This Row],[Date]])&amp;TEXT(MONTH(Table2[[#This Row],[Date]]),"00"))</f>
        <v>202301</v>
      </c>
      <c r="B8689" s="6">
        <v>44957</v>
      </c>
      <c r="C8689" t="s">
        <v>2300</v>
      </c>
      <c r="D8689" t="s">
        <v>3760</v>
      </c>
      <c r="E8689">
        <f t="shared" si="71"/>
        <v>-0.01</v>
      </c>
      <c r="F8689" s="2" t="str">
        <f>IF(Table2[[#This Row],[Manual Cat Value]]="",VLOOKUP(Table2[[#This Row],[Description]],'Actuals Lookup'!D:F,3,0),Table2[[#This Row],[Manual Cat Value]])</f>
        <v>Delete</v>
      </c>
      <c r="G8689" t="e">
        <f>VLOOKUP(D8689,Lookup!G:H,2,0)</f>
        <v>#N/A</v>
      </c>
      <c r="H8689" s="8" t="s">
        <v>9</v>
      </c>
      <c r="I8689" s="8"/>
      <c r="J8689">
        <v>0.01</v>
      </c>
      <c r="M8689" t="s">
        <v>2621</v>
      </c>
      <c r="O8689" t="str">
        <f>LEFT(Table2[[#This Row],[Description]],75)</f>
        <v xml:space="preserve">Deposit Dividend 0.010% Annual Percentage Yield Earned 0.01% from 01/01/23 </v>
      </c>
    </row>
    <row r="8690" spans="1:15" hidden="1">
      <c r="A8690" s="25">
        <f>VALUE(YEAR(Table2[[#This Row],[Date]])&amp;TEXT(MONTH(Table2[[#This Row],[Date]]),"00"))</f>
        <v>202301</v>
      </c>
      <c r="B8690" s="6">
        <v>44957</v>
      </c>
      <c r="C8690" t="s">
        <v>2265</v>
      </c>
      <c r="D8690" t="s">
        <v>3761</v>
      </c>
      <c r="E8690">
        <f t="shared" si="71"/>
        <v>-50.23</v>
      </c>
      <c r="F8690" s="2" t="str">
        <f>IF(Table2[[#This Row],[Manual Cat Value]]="",VLOOKUP(Table2[[#This Row],[Description]],'Actuals Lookup'!D:F,3,0),Table2[[#This Row],[Manual Cat Value]])</f>
        <v>Delete</v>
      </c>
      <c r="G8690" t="e">
        <f>VLOOKUP(D8690,Lookup!G:H,2,0)</f>
        <v>#N/A</v>
      </c>
      <c r="H8690" s="8" t="s">
        <v>9</v>
      </c>
      <c r="I8690" s="8"/>
      <c r="J8690">
        <v>50.23</v>
      </c>
      <c r="M8690" t="s">
        <v>2621</v>
      </c>
      <c r="O8690" t="str">
        <f>LEFT(Table2[[#This Row],[Description]],75)</f>
        <v>Deposit Dividend Split Rate Annual Percentage Yield Earned 1.63% from 01/01</v>
      </c>
    </row>
    <row r="8691" spans="1:15" hidden="1">
      <c r="A8691" s="25">
        <f>VALUE(YEAR(Table2[[#This Row],[Date]])&amp;TEXT(MONTH(Table2[[#This Row],[Date]]),"00"))</f>
        <v>202301</v>
      </c>
      <c r="B8691" s="93">
        <v>44957</v>
      </c>
      <c r="C8691" t="s">
        <v>2262</v>
      </c>
      <c r="D8691" s="87" t="s">
        <v>3762</v>
      </c>
      <c r="E8691">
        <f t="shared" si="71"/>
        <v>3.43</v>
      </c>
      <c r="F8691" s="2" t="str">
        <f>IF(Table2[[#This Row],[Manual Cat Value]]="",VLOOKUP(Table2[[#This Row],[Description]],'Actuals Lookup'!D:F,3,0),Table2[[#This Row],[Manual Cat Value]])</f>
        <v>Exp - Restaurants</v>
      </c>
      <c r="G8691" t="e">
        <f>VLOOKUP(D8691,Lookup!G:H,2,0)</f>
        <v>#N/A</v>
      </c>
      <c r="H8691" s="8" t="s">
        <v>25</v>
      </c>
      <c r="I8691" s="95"/>
      <c r="J8691" s="87">
        <v>3.43</v>
      </c>
      <c r="K8691" s="87"/>
      <c r="L8691" s="87"/>
      <c r="M8691" s="87" t="s">
        <v>2535</v>
      </c>
      <c r="O8691" t="str">
        <f>LEFT(Table2[[#This Row],[Description]],75)</f>
        <v>DUNKIN #355310 Q35       MINNETRISTA  MN REF #24943000ZRQEB9K31</v>
      </c>
    </row>
    <row r="8692" spans="1:15" hidden="1">
      <c r="A8692" s="25">
        <f>VALUE(YEAR(Table2[[#This Row],[Date]])&amp;TEXT(MONTH(Table2[[#This Row],[Date]]),"00"))</f>
        <v>202301</v>
      </c>
      <c r="B8692" s="93">
        <v>44957</v>
      </c>
      <c r="C8692" t="s">
        <v>2262</v>
      </c>
      <c r="D8692" s="87" t="s">
        <v>3763</v>
      </c>
      <c r="E8692">
        <f t="shared" si="71"/>
        <v>41</v>
      </c>
      <c r="F8692" s="2" t="str">
        <f>IF(Table2[[#This Row],[Manual Cat Value]]="",VLOOKUP(Table2[[#This Row],[Description]],'Actuals Lookup'!D:F,3,0),Table2[[#This Row],[Manual Cat Value]])</f>
        <v>Exp - Restaurants</v>
      </c>
      <c r="G8692" t="e">
        <f>VLOOKUP(D8692,Lookup!G:H,2,0)</f>
        <v>#N/A</v>
      </c>
      <c r="H8692" s="8" t="s">
        <v>25</v>
      </c>
      <c r="I8692" s="95"/>
      <c r="J8692" s="87">
        <v>41</v>
      </c>
      <c r="K8692" s="87"/>
      <c r="L8692" s="87"/>
      <c r="M8692" s="87" t="s">
        <v>2535</v>
      </c>
      <c r="O8692" t="str">
        <f>LEFT(Table2[[#This Row],[Description]],75)</f>
        <v>HAZELWOOD FOOD &amp; DRINK -TEXCELSIOR    MN REF #24013390Y033T1KMY</v>
      </c>
    </row>
    <row r="8693" spans="1:15" hidden="1">
      <c r="A8693" s="25">
        <f>VALUE(YEAR(Table2[[#This Row],[Date]])&amp;TEXT(MONTH(Table2[[#This Row],[Date]]),"00"))</f>
        <v>202301</v>
      </c>
      <c r="B8693" s="93">
        <v>44957</v>
      </c>
      <c r="C8693" t="s">
        <v>2262</v>
      </c>
      <c r="D8693" s="87" t="s">
        <v>3764</v>
      </c>
      <c r="E8693">
        <f t="shared" si="71"/>
        <v>28.38</v>
      </c>
      <c r="F8693" s="2" t="str">
        <f>IF(Table2[[#This Row],[Manual Cat Value]]="",VLOOKUP(Table2[[#This Row],[Description]],'Actuals Lookup'!D:F,3,0),Table2[[#This Row],[Manual Cat Value]])</f>
        <v>Delete</v>
      </c>
      <c r="G8693" t="e">
        <f>VLOOKUP(D8693,Lookup!G:H,2,0)</f>
        <v>#N/A</v>
      </c>
      <c r="H8693" s="8" t="s">
        <v>9</v>
      </c>
      <c r="I8693" s="95"/>
      <c r="J8693" s="87">
        <v>28.38</v>
      </c>
      <c r="K8693" s="87"/>
      <c r="L8693" s="87"/>
      <c r="M8693" s="87" t="s">
        <v>2535</v>
      </c>
      <c r="O8693" t="str">
        <f>LEFT(Table2[[#This Row],[Description]],75)</f>
        <v>JOE  THE JUICE NEW YORK  784-1913065  NY REF #24204290Y01FN8SAA</v>
      </c>
    </row>
    <row r="8694" spans="1:15" hidden="1">
      <c r="A8694" s="25">
        <f>VALUE(YEAR(Table2[[#This Row],[Date]])&amp;TEXT(MONTH(Table2[[#This Row],[Date]]),"00"))</f>
        <v>202301</v>
      </c>
      <c r="B8694" s="93">
        <v>44957</v>
      </c>
      <c r="C8694" t="s">
        <v>2262</v>
      </c>
      <c r="D8694" s="87" t="s">
        <v>3765</v>
      </c>
      <c r="E8694">
        <f t="shared" si="71"/>
        <v>258.11</v>
      </c>
      <c r="F8694" s="2" t="str">
        <f>IF(Table2[[#This Row],[Manual Cat Value]]="",VLOOKUP(Table2[[#This Row],[Description]],'Actuals Lookup'!D:F,3,0),Table2[[#This Row],[Manual Cat Value]])</f>
        <v>Exp - Shopping</v>
      </c>
      <c r="G8694" t="e">
        <f>VLOOKUP(D8694,Lookup!G:H,2,0)</f>
        <v>#N/A</v>
      </c>
      <c r="H8694" s="8" t="s">
        <v>36</v>
      </c>
      <c r="I8694" s="95"/>
      <c r="J8694" s="87">
        <v>258.11</v>
      </c>
      <c r="K8694" s="87"/>
      <c r="L8694" s="87"/>
      <c r="M8694" s="87" t="s">
        <v>2535</v>
      </c>
      <c r="O8694" t="str">
        <f>LEFT(Table2[[#This Row],[Description]],75)</f>
        <v>Patagonia                Cambridge    MA REF #24204290Y020SY0QP</v>
      </c>
    </row>
    <row r="8695" spans="1:15" hidden="1">
      <c r="A8695" s="25">
        <f>VALUE(YEAR(Table2[[#This Row],[Date]])&amp;TEXT(MONTH(Table2[[#This Row],[Date]]),"00"))</f>
        <v>202301</v>
      </c>
      <c r="B8695" s="93">
        <v>44957</v>
      </c>
      <c r="C8695" t="s">
        <v>2262</v>
      </c>
      <c r="D8695" s="87" t="s">
        <v>3766</v>
      </c>
      <c r="E8695">
        <f t="shared" si="71"/>
        <v>14.21</v>
      </c>
      <c r="F8695" s="2" t="str">
        <f>IF(Table2[[#This Row],[Manual Cat Value]]="",VLOOKUP(Table2[[#This Row],[Description]],'Actuals Lookup'!D:F,3,0),Table2[[#This Row],[Manual Cat Value]])</f>
        <v>Exp - Transportation</v>
      </c>
      <c r="G8695" t="e">
        <f>VLOOKUP(D8695,Lookup!G:H,2,0)</f>
        <v>#N/A</v>
      </c>
      <c r="H8695" s="8" t="s">
        <v>22</v>
      </c>
      <c r="I8695" s="95"/>
      <c r="J8695" s="87">
        <v>14.21</v>
      </c>
      <c r="K8695" s="87"/>
      <c r="L8695" s="87"/>
      <c r="M8695" s="87" t="s">
        <v>2535</v>
      </c>
      <c r="O8695" t="str">
        <f>LEFT(Table2[[#This Row],[Description]],75)</f>
        <v>UBER   TRIP              HELP.UBER.COMCA REF #24492150ZLXSK873A</v>
      </c>
    </row>
    <row r="8696" spans="1:15" hidden="1">
      <c r="A8696" s="25">
        <f>VALUE(YEAR(Table2[[#This Row],[Date]])&amp;TEXT(MONTH(Table2[[#This Row],[Date]]),"00"))</f>
        <v>202302</v>
      </c>
      <c r="B8696" s="6">
        <v>44958</v>
      </c>
      <c r="C8696" t="s">
        <v>2447</v>
      </c>
      <c r="D8696" t="s">
        <v>3767</v>
      </c>
      <c r="E8696">
        <v>5.36</v>
      </c>
      <c r="F8696" s="2" t="str">
        <f>IF(Table2[[#This Row],[Manual Cat Value]]="",VLOOKUP(Table2[[#This Row],[Description]],'Actuals Lookup'!D:F,3,0),Table2[[#This Row],[Manual Cat Value]])</f>
        <v>Exp - Amazon</v>
      </c>
      <c r="G8696" t="e">
        <f>VLOOKUP(D8696,Lookup!G:H,2,0)</f>
        <v>#N/A</v>
      </c>
      <c r="H8696" s="8" t="s">
        <v>37</v>
      </c>
      <c r="I8696" s="8"/>
      <c r="J8696">
        <v>5.36</v>
      </c>
      <c r="M8696" t="s">
        <v>2535</v>
      </c>
      <c r="O8696" t="str">
        <f>LEFT(Table2[[#This Row],[Description]],75)</f>
        <v>AMAZON MUSIC*UH8WH6AE3 888-802-3080 WA3VNK4N4QF3J</v>
      </c>
    </row>
    <row r="8697" spans="1:15" hidden="1">
      <c r="A8697" s="25">
        <f>VALUE(YEAR(Table2[[#This Row],[Date]])&amp;TEXT(MONTH(Table2[[#This Row],[Date]]),"00"))</f>
        <v>202302</v>
      </c>
      <c r="B8697" s="6">
        <v>44958</v>
      </c>
      <c r="C8697" t="s">
        <v>2447</v>
      </c>
      <c r="D8697" t="s">
        <v>3768</v>
      </c>
      <c r="E8697">
        <v>-20.86</v>
      </c>
      <c r="F8697" s="2" t="str">
        <f>IF(Table2[[#This Row],[Manual Cat Value]]="",VLOOKUP(Table2[[#This Row],[Description]],'Actuals Lookup'!D:F,3,0),Table2[[#This Row],[Manual Cat Value]])</f>
        <v>Exp - Amazon</v>
      </c>
      <c r="G8697" t="e">
        <f>VLOOKUP(D8697,Lookup!G:H,2,0)</f>
        <v>#N/A</v>
      </c>
      <c r="H8697" s="8" t="s">
        <v>37</v>
      </c>
      <c r="I8697" s="8"/>
      <c r="J8697">
        <v>20.86</v>
      </c>
      <c r="M8697" t="s">
        <v>3074</v>
      </c>
      <c r="O8697" t="str">
        <f>LEFT(Table2[[#This Row],[Description]],75)</f>
        <v>AMZN MKTP US AMZN.COM/BILLWA2JTWSFJ3B8Z</v>
      </c>
    </row>
    <row r="8698" spans="1:15" hidden="1">
      <c r="A8698" s="25">
        <f>VALUE(YEAR(Table2[[#This Row],[Date]])&amp;TEXT(MONTH(Table2[[#This Row],[Date]]),"00"))</f>
        <v>202302</v>
      </c>
      <c r="B8698" s="6">
        <v>44958</v>
      </c>
      <c r="C8698" t="s">
        <v>2447</v>
      </c>
      <c r="D8698" t="s">
        <v>3769</v>
      </c>
      <c r="E8698">
        <v>-25.99</v>
      </c>
      <c r="F8698" s="2" t="str">
        <f>IF(Table2[[#This Row],[Manual Cat Value]]="",VLOOKUP(Table2[[#This Row],[Description]],'Actuals Lookup'!D:F,3,0),Table2[[#This Row],[Manual Cat Value]])</f>
        <v>Exp - Amazon</v>
      </c>
      <c r="G8698" t="e">
        <f>VLOOKUP(D8698,Lookup!G:H,2,0)</f>
        <v>#N/A</v>
      </c>
      <c r="H8698" s="8" t="s">
        <v>37</v>
      </c>
      <c r="I8698" s="8"/>
      <c r="J8698">
        <v>25.99</v>
      </c>
      <c r="M8698" t="s">
        <v>3074</v>
      </c>
      <c r="O8698" t="str">
        <f>LEFT(Table2[[#This Row],[Description]],75)</f>
        <v>AMZN MKTP US AMZN.COM/BILLWA3BCK8M1HCA2</v>
      </c>
    </row>
    <row r="8699" spans="1:15" hidden="1">
      <c r="A8699" s="25">
        <f>VALUE(YEAR(Table2[[#This Row],[Date]])&amp;TEXT(MONTH(Table2[[#This Row],[Date]]),"00"))</f>
        <v>202302</v>
      </c>
      <c r="B8699" s="6">
        <v>44958</v>
      </c>
      <c r="C8699" t="s">
        <v>2447</v>
      </c>
      <c r="D8699" t="s">
        <v>3770</v>
      </c>
      <c r="E8699">
        <v>-35.99</v>
      </c>
      <c r="F8699" s="2" t="str">
        <f>IF(Table2[[#This Row],[Manual Cat Value]]="",VLOOKUP(Table2[[#This Row],[Description]],'Actuals Lookup'!D:F,3,0),Table2[[#This Row],[Manual Cat Value]])</f>
        <v>Exp - Amazon</v>
      </c>
      <c r="G8699" t="e">
        <f>VLOOKUP(D8699,Lookup!G:H,2,0)</f>
        <v>#N/A</v>
      </c>
      <c r="H8699" s="8" t="s">
        <v>37</v>
      </c>
      <c r="I8699" s="8"/>
      <c r="J8699">
        <v>35.99</v>
      </c>
      <c r="M8699" t="s">
        <v>3074</v>
      </c>
      <c r="O8699" t="str">
        <f>LEFT(Table2[[#This Row],[Description]],75)</f>
        <v>AMZN MKTP US AMZN.COM/BILLWA58MQ6RH0RKI</v>
      </c>
    </row>
    <row r="8700" spans="1:15" hidden="1">
      <c r="A8700" s="25">
        <f>VALUE(YEAR(Table2[[#This Row],[Date]])&amp;TEXT(MONTH(Table2[[#This Row],[Date]]),"00"))</f>
        <v>202302</v>
      </c>
      <c r="B8700" s="6">
        <v>44958</v>
      </c>
      <c r="C8700" t="s">
        <v>2447</v>
      </c>
      <c r="D8700" t="s">
        <v>3771</v>
      </c>
      <c r="E8700">
        <v>-18.239999999999998</v>
      </c>
      <c r="F8700" s="2" t="str">
        <f>IF(Table2[[#This Row],[Manual Cat Value]]="",VLOOKUP(Table2[[#This Row],[Description]],'Actuals Lookup'!D:F,3,0),Table2[[#This Row],[Manual Cat Value]])</f>
        <v>Exp - Amazon</v>
      </c>
      <c r="G8700" t="e">
        <f>VLOOKUP(D8700,Lookup!G:H,2,0)</f>
        <v>#N/A</v>
      </c>
      <c r="H8700" s="8" t="s">
        <v>37</v>
      </c>
      <c r="I8700" s="8"/>
      <c r="J8700">
        <v>18.239999999999998</v>
      </c>
      <c r="M8700" t="s">
        <v>3074</v>
      </c>
      <c r="O8700" t="str">
        <f>LEFT(Table2[[#This Row],[Description]],75)</f>
        <v>AMZN MKTP US AMZN.COM/BILLWAW2ZPVKZH8SL</v>
      </c>
    </row>
    <row r="8701" spans="1:15" hidden="1">
      <c r="A8701" s="25">
        <f>VALUE(YEAR(Table2[[#This Row],[Date]])&amp;TEXT(MONTH(Table2[[#This Row],[Date]]),"00"))</f>
        <v>202302</v>
      </c>
      <c r="B8701" s="6">
        <v>44958</v>
      </c>
      <c r="C8701" t="s">
        <v>2447</v>
      </c>
      <c r="D8701" t="s">
        <v>3772</v>
      </c>
      <c r="E8701">
        <v>65.98</v>
      </c>
      <c r="F8701" s="2" t="str">
        <f>IF(Table2[[#This Row],[Manual Cat Value]]="",VLOOKUP(Table2[[#This Row],[Description]],'Actuals Lookup'!D:F,3,0),Table2[[#This Row],[Manual Cat Value]])</f>
        <v>Exp - Amazon</v>
      </c>
      <c r="G8701" t="e">
        <f>VLOOKUP(D8701,Lookup!G:H,2,0)</f>
        <v>#N/A</v>
      </c>
      <c r="H8701" s="8" t="s">
        <v>37</v>
      </c>
      <c r="I8701" s="8"/>
      <c r="J8701">
        <v>65.98</v>
      </c>
      <c r="M8701" t="s">
        <v>2535</v>
      </c>
      <c r="O8701" t="str">
        <f>LEFT(Table2[[#This Row],[Description]],75)</f>
        <v>AMZN MKTP US*P519D96P3 AMZN.COM/BILLWA1Z9KGQJ7VS7</v>
      </c>
    </row>
    <row r="8702" spans="1:15" hidden="1">
      <c r="A8702" s="25">
        <f>VALUE(YEAR(Table2[[#This Row],[Date]])&amp;TEXT(MONTH(Table2[[#This Row],[Date]]),"00"))</f>
        <v>202302</v>
      </c>
      <c r="B8702" s="93">
        <v>44958</v>
      </c>
      <c r="C8702" s="119" t="s">
        <v>2262</v>
      </c>
      <c r="D8702" t="s">
        <v>14</v>
      </c>
      <c r="E8702">
        <f>125*2</f>
        <v>250</v>
      </c>
      <c r="F8702" s="2" t="str">
        <f>IF(Table2[[#This Row],[Manual Cat Value]]="",VLOOKUP(Table2[[#This Row],[Description]],'Actuals Lookup'!D:F,3,0),Table2[[#This Row],[Manual Cat Value]])</f>
        <v>Exp - Cleaning</v>
      </c>
      <c r="G8702" t="e">
        <f>VLOOKUP(D8702,Lookup!G:H,2,0)</f>
        <v>#N/A</v>
      </c>
      <c r="H8702" s="8" t="s">
        <v>13</v>
      </c>
      <c r="I8702" s="8"/>
      <c r="O8702" t="str">
        <f>LEFT(Table2[[#This Row],[Description]],75)</f>
        <v>Cleaning</v>
      </c>
    </row>
    <row r="8703" spans="1:15" hidden="1">
      <c r="A8703" s="25">
        <f>VALUE(YEAR(Table2[[#This Row],[Date]])&amp;TEXT(MONTH(Table2[[#This Row],[Date]]),"00"))</f>
        <v>202302</v>
      </c>
      <c r="B8703" s="93">
        <v>44958</v>
      </c>
      <c r="C8703" s="119" t="s">
        <v>2262</v>
      </c>
      <c r="D8703" s="87" t="s">
        <v>3773</v>
      </c>
      <c r="E8703" s="87">
        <v>40.85</v>
      </c>
      <c r="F8703" s="2" t="str">
        <f>IF(Table2[[#This Row],[Manual Cat Value]]="",VLOOKUP(Table2[[#This Row],[Description]],'Actuals Lookup'!D:F,3,0),Table2[[#This Row],[Manual Cat Value]])</f>
        <v>Delete</v>
      </c>
      <c r="G8703" t="e">
        <f>VLOOKUP(D8703,Lookup!G:H,2,0)</f>
        <v>#N/A</v>
      </c>
      <c r="H8703" s="8" t="s">
        <v>9</v>
      </c>
      <c r="I8703" s="95"/>
      <c r="J8703" s="118">
        <v>-40.85</v>
      </c>
      <c r="K8703" s="87"/>
      <c r="L8703" s="87"/>
      <c r="M8703" s="87" t="s">
        <v>2535</v>
      </c>
      <c r="O8703" t="str">
        <f>LEFT(Table2[[#This Row],[Description]],75)</f>
        <v>CREATIVE MOBIL10510014   BOSTON       MA REF #24164070Z2L8MQJ0X</v>
      </c>
    </row>
    <row r="8704" spans="1:15" hidden="1">
      <c r="A8704" s="25">
        <f>VALUE(YEAR(Table2[[#This Row],[Date]])&amp;TEXT(MONTH(Table2[[#This Row],[Date]]),"00"))</f>
        <v>202302</v>
      </c>
      <c r="B8704" s="93">
        <v>44958</v>
      </c>
      <c r="C8704" s="119" t="s">
        <v>2262</v>
      </c>
      <c r="D8704" s="87" t="s">
        <v>3774</v>
      </c>
      <c r="E8704" s="87">
        <v>135.75</v>
      </c>
      <c r="F8704" s="2" t="str">
        <f>IF(Table2[[#This Row],[Manual Cat Value]]="",VLOOKUP(Table2[[#This Row],[Description]],'Actuals Lookup'!D:F,3,0),Table2[[#This Row],[Manual Cat Value]])</f>
        <v>Exp - Healthcare</v>
      </c>
      <c r="G8704" t="e">
        <f>VLOOKUP(D8704,Lookup!G:H,2,0)</f>
        <v>#N/A</v>
      </c>
      <c r="H8704" s="8" t="s">
        <v>47</v>
      </c>
      <c r="I8704" s="95"/>
      <c r="J8704" s="118">
        <v>-135.75</v>
      </c>
      <c r="K8704" s="87"/>
      <c r="L8704" s="87"/>
      <c r="M8704" s="87" t="s">
        <v>2535</v>
      </c>
      <c r="O8704" t="str">
        <f>LEFT(Table2[[#This Row],[Description]],75)</f>
        <v>RIDGEVIEW MEDICAL CENTER WACONIA      MN REF #24801970Z1010P73W</v>
      </c>
    </row>
    <row r="8705" spans="1:16" hidden="1">
      <c r="A8705" s="25">
        <f>VALUE(YEAR(Table2[[#This Row],[Date]])&amp;TEXT(MONTH(Table2[[#This Row],[Date]]),"00"))</f>
        <v>202302</v>
      </c>
      <c r="B8705" s="93">
        <v>44958</v>
      </c>
      <c r="C8705" s="119" t="s">
        <v>2262</v>
      </c>
      <c r="D8705" s="87" t="s">
        <v>3775</v>
      </c>
      <c r="E8705" s="87">
        <v>3881.07</v>
      </c>
      <c r="F8705" s="2" t="str">
        <f>IF(Table2[[#This Row],[Manual Cat Value]]="",VLOOKUP(Table2[[#This Row],[Description]],'Actuals Lookup'!D:F,3,0),Table2[[#This Row],[Manual Cat Value]])</f>
        <v>Exp - Healthcare</v>
      </c>
      <c r="G8705" t="e">
        <f>VLOOKUP(D8705,Lookup!G:H,2,0)</f>
        <v>#N/A</v>
      </c>
      <c r="H8705" s="8" t="s">
        <v>47</v>
      </c>
      <c r="I8705" s="95"/>
      <c r="J8705" s="118">
        <v>-3881.07</v>
      </c>
      <c r="K8705" s="87"/>
      <c r="L8705" s="87"/>
      <c r="M8705" s="87" t="s">
        <v>2535</v>
      </c>
      <c r="O8705" t="str">
        <f>LEFT(Table2[[#This Row],[Description]],75)</f>
        <v>RIDGEVIEW MEDICAL CENTER WACONIA      MN REF #24801970Z1010R41M</v>
      </c>
    </row>
    <row r="8706" spans="1:16" hidden="1">
      <c r="A8706" s="25">
        <f>VALUE(YEAR(Table2[[#This Row],[Date]])&amp;TEXT(MONTH(Table2[[#This Row],[Date]]),"00"))</f>
        <v>202302</v>
      </c>
      <c r="B8706" s="93">
        <v>44958</v>
      </c>
      <c r="C8706" s="119" t="s">
        <v>2262</v>
      </c>
      <c r="D8706" s="87" t="s">
        <v>3776</v>
      </c>
      <c r="E8706" s="87">
        <v>60</v>
      </c>
      <c r="F8706" s="2" t="str">
        <f>IF(Table2[[#This Row],[Manual Cat Value]]="",VLOOKUP(Table2[[#This Row],[Description]],'Actuals Lookup'!D:F,3,0),Table2[[#This Row],[Manual Cat Value]])</f>
        <v>Exp - Healthcare</v>
      </c>
      <c r="G8706" t="e">
        <f>VLOOKUP(D8706,Lookup!G:H,2,0)</f>
        <v>#N/A</v>
      </c>
      <c r="H8706" s="8" t="s">
        <v>47</v>
      </c>
      <c r="I8706" s="95"/>
      <c r="J8706" s="118">
        <v>-60</v>
      </c>
      <c r="K8706" s="87"/>
      <c r="L8706" s="87"/>
      <c r="M8706" s="87" t="s">
        <v>2535</v>
      </c>
      <c r="O8706" t="str">
        <f>LEFT(Table2[[#This Row],[Description]],75)</f>
        <v>RIDGEVIEW MEDICAL CENTER WACONIA      MN REF #24801970Z1010RNN6</v>
      </c>
    </row>
    <row r="8707" spans="1:16" hidden="1">
      <c r="A8707" s="25">
        <f>VALUE(YEAR(Table2[[#This Row],[Date]])&amp;TEXT(MONTH(Table2[[#This Row],[Date]]),"00"))</f>
        <v>202302</v>
      </c>
      <c r="B8707" s="93">
        <v>44958</v>
      </c>
      <c r="C8707" s="119" t="s">
        <v>2262</v>
      </c>
      <c r="D8707" s="87" t="s">
        <v>3777</v>
      </c>
      <c r="E8707" s="87">
        <v>21.97</v>
      </c>
      <c r="F8707" s="2" t="str">
        <f>IF(Table2[[#This Row],[Manual Cat Value]]="",VLOOKUP(Table2[[#This Row],[Description]],'Actuals Lookup'!D:F,3,0),Table2[[#This Row],[Manual Cat Value]])</f>
        <v>Delete</v>
      </c>
      <c r="G8707" t="e">
        <f>VLOOKUP(D8707,Lookup!G:H,2,0)</f>
        <v>#N/A</v>
      </c>
      <c r="H8707" s="8" t="s">
        <v>9</v>
      </c>
      <c r="I8707" s="95"/>
      <c r="J8707" s="118">
        <v>-21.97</v>
      </c>
      <c r="K8707" s="87"/>
      <c r="L8707" s="87"/>
      <c r="M8707" s="87" t="s">
        <v>2535</v>
      </c>
      <c r="O8707" t="str">
        <f>LEFT(Table2[[#This Row],[Description]],75)</f>
        <v>UBER   TRIP              HELP.UBER.COMCA REF #24492150ZLR9F4145</v>
      </c>
    </row>
    <row r="8708" spans="1:16" hidden="1">
      <c r="A8708" s="25">
        <f>VALUE(YEAR(Table2[[#This Row],[Date]])&amp;TEXT(MONTH(Table2[[#This Row],[Date]]),"00"))</f>
        <v>202302</v>
      </c>
      <c r="B8708" s="93">
        <v>44958</v>
      </c>
      <c r="C8708" s="119" t="s">
        <v>2262</v>
      </c>
      <c r="D8708" s="87" t="s">
        <v>3778</v>
      </c>
      <c r="E8708" s="87">
        <v>18.54</v>
      </c>
      <c r="F8708" s="2" t="str">
        <f>IF(Table2[[#This Row],[Manual Cat Value]]="",VLOOKUP(Table2[[#This Row],[Description]],'Actuals Lookup'!D:F,3,0),Table2[[#This Row],[Manual Cat Value]])</f>
        <v>Delete</v>
      </c>
      <c r="G8708" t="e">
        <f>VLOOKUP(D8708,Lookup!G:H,2,0)</f>
        <v>#N/A</v>
      </c>
      <c r="H8708" s="8" t="s">
        <v>9</v>
      </c>
      <c r="I8708" s="95"/>
      <c r="J8708" s="118">
        <v>-18.54</v>
      </c>
      <c r="K8708" s="87"/>
      <c r="L8708" s="87"/>
      <c r="M8708" s="87" t="s">
        <v>2535</v>
      </c>
      <c r="O8708" t="str">
        <f>LEFT(Table2[[#This Row],[Description]],75)</f>
        <v>UBER* TRIP               WWW.UBER.COM CA REF #24492160Z00177BQ0</v>
      </c>
    </row>
    <row r="8709" spans="1:16" hidden="1">
      <c r="A8709" s="25">
        <f>VALUE(YEAR(Table2[[#This Row],[Date]])&amp;TEXT(MONTH(Table2[[#This Row],[Date]]),"00"))</f>
        <v>202302</v>
      </c>
      <c r="B8709" s="93">
        <v>44958</v>
      </c>
      <c r="C8709" s="119" t="s">
        <v>2262</v>
      </c>
      <c r="D8709" s="87" t="s">
        <v>3779</v>
      </c>
      <c r="E8709" s="87">
        <v>15</v>
      </c>
      <c r="F8709" s="2" t="str">
        <f>IF(Table2[[#This Row],[Manual Cat Value]]="",VLOOKUP(Table2[[#This Row],[Description]],'Actuals Lookup'!D:F,3,0),Table2[[#This Row],[Manual Cat Value]])</f>
        <v>Exp - Day Care</v>
      </c>
      <c r="G8709" t="e">
        <f>VLOOKUP(D8709,Lookup!G:H,2,0)</f>
        <v>#N/A</v>
      </c>
      <c r="H8709" s="8" t="s">
        <v>19</v>
      </c>
      <c r="I8709" s="95"/>
      <c r="J8709" s="118">
        <v>-15</v>
      </c>
      <c r="K8709" s="87"/>
      <c r="L8709" s="87"/>
      <c r="M8709" s="87" t="s">
        <v>2535</v>
      </c>
      <c r="O8709" t="str">
        <f>LEFT(Table2[[#This Row],[Description]],75)</f>
        <v>US LACROSSE INC         410-235-6882 MD REF #24492150ZMN4PAGKG</v>
      </c>
    </row>
    <row r="8710" spans="1:16" hidden="1">
      <c r="A8710" s="25">
        <f>VALUE(YEAR(Table2[[#This Row],[Date]])&amp;TEXT(MONTH(Table2[[#This Row],[Date]]),"00"))</f>
        <v>202302</v>
      </c>
      <c r="B8710" s="93">
        <v>44958</v>
      </c>
      <c r="C8710" s="119" t="s">
        <v>2262</v>
      </c>
      <c r="D8710" s="87" t="s">
        <v>3780</v>
      </c>
      <c r="E8710" s="87">
        <v>52.79</v>
      </c>
      <c r="F8710" s="2" t="str">
        <f>IF(Table2[[#This Row],[Manual Cat Value]]="",VLOOKUP(Table2[[#This Row],[Description]],'Actuals Lookup'!D:F,3,0),Table2[[#This Row],[Manual Cat Value]])</f>
        <v>Exp - Shopping</v>
      </c>
      <c r="G8710" t="e">
        <f>VLOOKUP(D8710,Lookup!G:H,2,0)</f>
        <v>#N/A</v>
      </c>
      <c r="H8710" s="8" t="s">
        <v>36</v>
      </c>
      <c r="I8710" s="95"/>
      <c r="J8710" s="98">
        <v>52.79</v>
      </c>
      <c r="K8710" s="87"/>
      <c r="L8710" s="87"/>
      <c r="M8710" s="87" t="s">
        <v>3074</v>
      </c>
      <c r="O8710" t="str">
        <f>LEFT(Table2[[#This Row],[Description]],75)</f>
        <v>VINEYARD VINES LLC       800-892- CREDIT REF #74492150ZMN45VW77</v>
      </c>
    </row>
    <row r="8711" spans="1:16" hidden="1">
      <c r="A8711" s="25">
        <f>VALUE(YEAR(Table2[[#This Row],[Date]])&amp;TEXT(MONTH(Table2[[#This Row],[Date]]),"00"))</f>
        <v>202302</v>
      </c>
      <c r="B8711" s="93">
        <v>44958</v>
      </c>
      <c r="C8711" s="119" t="s">
        <v>2262</v>
      </c>
      <c r="D8711" s="87" t="s">
        <v>3781</v>
      </c>
      <c r="E8711" s="87">
        <v>49.8</v>
      </c>
      <c r="F8711" s="2" t="str">
        <f>IF(Table2[[#This Row],[Manual Cat Value]]="",VLOOKUP(Table2[[#This Row],[Description]],'Actuals Lookup'!D:F,3,0),Table2[[#This Row],[Manual Cat Value]])</f>
        <v>Exp - Shopping</v>
      </c>
      <c r="G8711" t="e">
        <f>VLOOKUP(D8711,Lookup!G:H,2,0)</f>
        <v>#N/A</v>
      </c>
      <c r="H8711" s="8" t="s">
        <v>36</v>
      </c>
      <c r="I8711" s="95"/>
      <c r="J8711" s="98">
        <v>49.8</v>
      </c>
      <c r="K8711" s="87"/>
      <c r="L8711" s="87"/>
      <c r="M8711" s="87" t="s">
        <v>3074</v>
      </c>
      <c r="O8711" t="str">
        <f>LEFT(Table2[[#This Row],[Description]],75)</f>
        <v>VINEYARD VINES LLC       800-892- CREDIT REF #74492150ZMN45VYNE</v>
      </c>
    </row>
    <row r="8712" spans="1:16" hidden="1">
      <c r="A8712" s="25">
        <f>VALUE(YEAR(Table2[[#This Row],[Date]])&amp;TEXT(MONTH(Table2[[#This Row],[Date]]),"00"))</f>
        <v>202302</v>
      </c>
      <c r="B8712" s="93">
        <v>44958</v>
      </c>
      <c r="C8712" s="97" t="s">
        <v>2265</v>
      </c>
      <c r="D8712" s="87" t="s">
        <v>3782</v>
      </c>
      <c r="E8712" s="87">
        <v>300</v>
      </c>
      <c r="F8712" s="2" t="str">
        <f>IF(Table2[[#This Row],[Manual Cat Value]]="",VLOOKUP(Table2[[#This Row],[Description]],'Actuals Lookup'!D:F,3,0),Table2[[#This Row],[Manual Cat Value]])</f>
        <v>Sav - College Savings</v>
      </c>
      <c r="G8712" t="e">
        <f>VLOOKUP(D8712,Lookup!G:H,2,0)</f>
        <v>#N/A</v>
      </c>
      <c r="H8712" s="8" t="s">
        <v>60</v>
      </c>
      <c r="I8712" s="95"/>
      <c r="J8712" s="118">
        <v>-300</v>
      </c>
      <c r="K8712" s="87"/>
      <c r="L8712" s="87"/>
      <c r="M8712" s="87" t="s">
        <v>2535</v>
      </c>
      <c r="O8712" t="str">
        <f>LEFT(Table2[[#This Row],[Description]],75)</f>
        <v xml:space="preserve">Withdrawal ACH College Savings TYPE: ACH ID: 550895818 CO: College Savings </v>
      </c>
    </row>
    <row r="8713" spans="1:16" hidden="1">
      <c r="A8713" s="25">
        <f>VALUE(YEAR(Table2[[#This Row],[Date]])&amp;TEXT(MONTH(Table2[[#This Row],[Date]]),"00"))</f>
        <v>202302</v>
      </c>
      <c r="B8713" s="93">
        <v>44958</v>
      </c>
      <c r="C8713" s="97" t="s">
        <v>2265</v>
      </c>
      <c r="D8713" s="87" t="s">
        <v>3783</v>
      </c>
      <c r="E8713" s="87">
        <v>330</v>
      </c>
      <c r="F8713" s="2" t="str">
        <f>IF(Table2[[#This Row],[Manual Cat Value]]="",VLOOKUP(Table2[[#This Row],[Description]],'Actuals Lookup'!D:F,3,0),Table2[[#This Row],[Manual Cat Value]])</f>
        <v>Exp - Day Care</v>
      </c>
      <c r="G8713" t="e">
        <f>VLOOKUP(D8713,Lookup!G:H,2,0)</f>
        <v>#N/A</v>
      </c>
      <c r="H8713" s="8" t="s">
        <v>19</v>
      </c>
      <c r="I8713" s="95"/>
      <c r="J8713" s="118">
        <v>-330</v>
      </c>
      <c r="K8713" s="87"/>
      <c r="L8713" s="87"/>
      <c r="M8713" s="87" t="s">
        <v>2535</v>
      </c>
      <c r="O8713" t="str">
        <f>LEFT(Table2[[#This Row],[Description]],75)</f>
        <v xml:space="preserve">Withdrawal ACH MHCHILDCARELLC TYPE: DUES ID: 1824708198 CO: MHCHILDCARELLC </v>
      </c>
    </row>
    <row r="8714" spans="1:16" hidden="1">
      <c r="A8714" s="25">
        <f>VALUE(YEAR(Table2[[#This Row],[Date]])&amp;TEXT(MONTH(Table2[[#This Row],[Date]]),"00"))</f>
        <v>202302</v>
      </c>
      <c r="B8714" s="93">
        <v>44958</v>
      </c>
      <c r="C8714" s="97" t="s">
        <v>2265</v>
      </c>
      <c r="D8714" s="87" t="s">
        <v>3784</v>
      </c>
      <c r="E8714" s="87">
        <v>618.65</v>
      </c>
      <c r="F8714" s="2" t="str">
        <f>IF(Table2[[#This Row],[Manual Cat Value]]="",VLOOKUP(Table2[[#This Row],[Description]],'Actuals Lookup'!D:F,3,0),Table2[[#This Row],[Manual Cat Value]])</f>
        <v>Exp - Car Loan</v>
      </c>
      <c r="G8714" t="e">
        <f>VLOOKUP(D8714,Lookup!G:H,2,0)</f>
        <v>#N/A</v>
      </c>
      <c r="H8714" s="8" t="s">
        <v>10</v>
      </c>
      <c r="I8714" s="95"/>
      <c r="J8714" s="118">
        <v>-618.65</v>
      </c>
      <c r="K8714" s="87"/>
      <c r="L8714" s="87"/>
      <c r="M8714" s="87" t="s">
        <v>2535</v>
      </c>
      <c r="O8714" t="str">
        <f>LEFT(Table2[[#This Row],[Description]],75)</f>
        <v>Withdrawal Home Banking Transfer To Loan 02 REF # 2863242</v>
      </c>
    </row>
    <row r="8715" spans="1:16" hidden="1">
      <c r="A8715" s="2">
        <v>201909</v>
      </c>
      <c r="B8715" s="3">
        <v>43727</v>
      </c>
      <c r="C8715" s="2" t="s">
        <v>2317</v>
      </c>
      <c r="D8715" s="2" t="s">
        <v>1386</v>
      </c>
      <c r="E8715" s="2">
        <v>95.54</v>
      </c>
      <c r="F8715" s="2" t="s">
        <v>9</v>
      </c>
      <c r="J8715" s="2">
        <v>95.54</v>
      </c>
      <c r="K8715" s="2" t="b">
        <v>0</v>
      </c>
      <c r="L8715" s="2"/>
      <c r="M8715" s="2"/>
      <c r="N8715" s="4" t="s">
        <v>2259</v>
      </c>
      <c r="O8715" s="4" t="str">
        <f>LEFT(Table2[[#This Row],[Description]],75)</f>
        <v>OVERDRAFT TO INVESTOR CHECKING -5184</v>
      </c>
      <c r="P8715" s="2"/>
    </row>
    <row r="8716" spans="1:16" hidden="1">
      <c r="A8716" s="25">
        <f>VALUE(YEAR(Table2[[#This Row],[Date]])&amp;TEXT(MONTH(Table2[[#This Row],[Date]]),"00"))</f>
        <v>202302</v>
      </c>
      <c r="B8716" s="93">
        <v>44959</v>
      </c>
      <c r="C8716" s="97" t="s">
        <v>2265</v>
      </c>
      <c r="D8716" s="87" t="s">
        <v>3785</v>
      </c>
      <c r="E8716" s="87">
        <v>75</v>
      </c>
      <c r="F8716" s="2" t="str">
        <f>IF(Table2[[#This Row],[Manual Cat Value]]="",VLOOKUP(Table2[[#This Row],[Description]],'Actuals Lookup'!D:F,3,0),Table2[[#This Row],[Manual Cat Value]])</f>
        <v>Inc - Britney</v>
      </c>
      <c r="G8716" t="e">
        <f>VLOOKUP(D8716,Lookup!G:H,2,0)</f>
        <v>#N/A</v>
      </c>
      <c r="H8716" s="8" t="s">
        <v>65</v>
      </c>
      <c r="I8716" s="95"/>
      <c r="J8716" s="98">
        <v>75</v>
      </c>
      <c r="K8716" s="87"/>
      <c r="L8716" s="87"/>
      <c r="M8716" s="87" t="s">
        <v>3074</v>
      </c>
      <c r="O8716" t="str">
        <f>LEFT(Table2[[#This Row],[Description]],75)</f>
        <v>Deposit ACH CARGILL INCORPOR TYPE: 005XXXXXXX ID: 2410177680 CO: CARGILL IN</v>
      </c>
    </row>
    <row r="8717" spans="1:16" hidden="1">
      <c r="A8717" s="25">
        <f>VALUE(YEAR(Table2[[#This Row],[Date]])&amp;TEXT(MONTH(Table2[[#This Row],[Date]]),"00"))</f>
        <v>202302</v>
      </c>
      <c r="B8717" s="93">
        <v>44959</v>
      </c>
      <c r="C8717" s="97" t="s">
        <v>2265</v>
      </c>
      <c r="D8717" s="87" t="s">
        <v>3786</v>
      </c>
      <c r="E8717" s="87">
        <v>2465</v>
      </c>
      <c r="F8717" s="2" t="str">
        <f>IF(Table2[[#This Row],[Manual Cat Value]]="",VLOOKUP(Table2[[#This Row],[Description]],'Actuals Lookup'!D:F,3,0),Table2[[#This Row],[Manual Cat Value]])</f>
        <v>Inc - Britney</v>
      </c>
      <c r="G8717" t="e">
        <f>VLOOKUP(D8717,Lookup!G:H,2,0)</f>
        <v>#N/A</v>
      </c>
      <c r="H8717" s="8" t="s">
        <v>65</v>
      </c>
      <c r="I8717" s="95"/>
      <c r="J8717" s="98">
        <v>2465</v>
      </c>
      <c r="K8717" s="87"/>
      <c r="L8717" s="87"/>
      <c r="M8717" s="87" t="s">
        <v>3074</v>
      </c>
      <c r="O8717" t="str">
        <f>LEFT(Table2[[#This Row],[Description]],75)</f>
        <v>Deposit ACH CARGILL INCORPOR TYPE: DIRECT DEP ID: 9111111101 CO: CARGILL IN</v>
      </c>
    </row>
    <row r="8718" spans="1:16" hidden="1">
      <c r="A8718" s="25">
        <f>VALUE(YEAR(Table2[[#This Row],[Date]])&amp;TEXT(MONTH(Table2[[#This Row],[Date]]),"00"))</f>
        <v>202302</v>
      </c>
      <c r="B8718" s="93">
        <v>44959</v>
      </c>
      <c r="C8718" s="119" t="s">
        <v>2262</v>
      </c>
      <c r="D8718" s="87" t="s">
        <v>3787</v>
      </c>
      <c r="E8718" s="87">
        <v>59.98</v>
      </c>
      <c r="F8718" s="2" t="str">
        <f>IF(Table2[[#This Row],[Manual Cat Value]]="",VLOOKUP(Table2[[#This Row],[Description]],'Actuals Lookup'!D:F,3,0),Table2[[#This Row],[Manual Cat Value]])</f>
        <v>Exp - Gifts</v>
      </c>
      <c r="G8718" t="e">
        <f>VLOOKUP(D8718,Lookup!G:H,2,0)</f>
        <v>#N/A</v>
      </c>
      <c r="H8718" s="8" t="s">
        <v>44</v>
      </c>
      <c r="I8718" s="95"/>
      <c r="J8718" s="118">
        <v>-59.98</v>
      </c>
      <c r="K8718" s="87"/>
      <c r="L8718" s="87"/>
      <c r="M8718" s="87" t="s">
        <v>2535</v>
      </c>
      <c r="O8718" t="str">
        <f>LEFT(Table2[[#This Row],[Description]],75)</f>
        <v>EB GRAZE 4 GOOD 2023     8014137200   CA REF #244921511MLEZK61E</v>
      </c>
    </row>
    <row r="8719" spans="1:16" hidden="1">
      <c r="A8719" s="25">
        <f>VALUE(YEAR(Table2[[#This Row],[Date]])&amp;TEXT(MONTH(Table2[[#This Row],[Date]]),"00"))</f>
        <v>202302</v>
      </c>
      <c r="B8719" s="93">
        <v>44959</v>
      </c>
      <c r="C8719" s="119" t="s">
        <v>2262</v>
      </c>
      <c r="D8719" s="87" t="s">
        <v>3788</v>
      </c>
      <c r="E8719" s="87">
        <v>185.01</v>
      </c>
      <c r="F8719" s="2" t="str">
        <f>IF(Table2[[#This Row],[Manual Cat Value]]="",VLOOKUP(Table2[[#This Row],[Description]],'Actuals Lookup'!D:F,3,0),Table2[[#This Row],[Manual Cat Value]])</f>
        <v>Delete</v>
      </c>
      <c r="G8719" t="e">
        <f>VLOOKUP(D8719,Lookup!G:H,2,0)</f>
        <v>#N/A</v>
      </c>
      <c r="H8719" s="8" t="s">
        <v>9</v>
      </c>
      <c r="I8719" s="95"/>
      <c r="J8719" s="118">
        <v>-185.01</v>
      </c>
      <c r="K8719" s="87"/>
      <c r="L8719" s="87"/>
      <c r="M8719" s="87" t="s">
        <v>2535</v>
      </c>
      <c r="O8719" t="str">
        <f>LEFT(Table2[[#This Row],[Description]],75)</f>
        <v>HILTON BOSTON WOBURN     WOBURN       MA REF #24055231011H4FGV3</v>
      </c>
    </row>
    <row r="8720" spans="1:16" hidden="1">
      <c r="A8720" s="25">
        <f>VALUE(YEAR(Table2[[#This Row],[Date]])&amp;TEXT(MONTH(Table2[[#This Row],[Date]]),"00"))</f>
        <v>202302</v>
      </c>
      <c r="B8720" s="93">
        <v>44959</v>
      </c>
      <c r="C8720" s="119" t="s">
        <v>2262</v>
      </c>
      <c r="D8720" s="87" t="s">
        <v>3789</v>
      </c>
      <c r="E8720" s="87">
        <v>396.68</v>
      </c>
      <c r="F8720" s="2" t="str">
        <f>IF(Table2[[#This Row],[Manual Cat Value]]="",VLOOKUP(Table2[[#This Row],[Description]],'Actuals Lookup'!D:F,3,0),Table2[[#This Row],[Manual Cat Value]])</f>
        <v>Delete</v>
      </c>
      <c r="G8720" t="e">
        <f>VLOOKUP(D8720,Lookup!G:H,2,0)</f>
        <v>#N/A</v>
      </c>
      <c r="H8720" s="8" t="s">
        <v>9</v>
      </c>
      <c r="I8720" s="95"/>
      <c r="J8720" s="118">
        <v>-396.68</v>
      </c>
      <c r="K8720" s="87"/>
      <c r="L8720" s="87"/>
      <c r="M8720" s="87" t="s">
        <v>2535</v>
      </c>
      <c r="O8720" t="str">
        <f>LEFT(Table2[[#This Row],[Description]],75)</f>
        <v>LSF HARBORSIDE           BOSTON       MA REF #24055231060MPVRDA</v>
      </c>
    </row>
    <row r="8721" spans="1:15" hidden="1">
      <c r="A8721" s="25">
        <f>VALUE(YEAR(Table2[[#This Row],[Date]])&amp;TEXT(MONTH(Table2[[#This Row],[Date]]),"00"))</f>
        <v>202302</v>
      </c>
      <c r="B8721" s="93">
        <v>44959</v>
      </c>
      <c r="C8721" s="119" t="s">
        <v>2262</v>
      </c>
      <c r="D8721" s="87" t="s">
        <v>3790</v>
      </c>
      <c r="E8721" s="87">
        <v>45.99</v>
      </c>
      <c r="F8721" s="2" t="str">
        <f>IF(Table2[[#This Row],[Manual Cat Value]]="",VLOOKUP(Table2[[#This Row],[Description]],'Actuals Lookup'!D:F,3,0),Table2[[#This Row],[Manual Cat Value]])</f>
        <v>Delete</v>
      </c>
      <c r="G8721" t="e">
        <f>VLOOKUP(D8721,Lookup!G:H,2,0)</f>
        <v>#N/A</v>
      </c>
      <c r="H8721" s="8" t="s">
        <v>9</v>
      </c>
      <c r="I8721" s="95"/>
      <c r="J8721" s="118">
        <v>-45.99</v>
      </c>
      <c r="K8721" s="87"/>
      <c r="L8721" s="87"/>
      <c r="M8721" s="87" t="s">
        <v>2535</v>
      </c>
      <c r="O8721" t="str">
        <f>LEFT(Table2[[#This Row],[Description]],75)</f>
        <v>UBER   TRIP              HELP.UBER.COMCA REF #244921510MLBDK9VS</v>
      </c>
    </row>
    <row r="8722" spans="1:15" hidden="1">
      <c r="A8722" s="25">
        <f>VALUE(YEAR(Table2[[#This Row],[Date]])&amp;TEXT(MONTH(Table2[[#This Row],[Date]]),"00"))</f>
        <v>202302</v>
      </c>
      <c r="B8722" s="93">
        <v>44959</v>
      </c>
      <c r="C8722" s="119" t="s">
        <v>2262</v>
      </c>
      <c r="D8722" s="87" t="s">
        <v>3791</v>
      </c>
      <c r="E8722" s="87">
        <v>6.89</v>
      </c>
      <c r="F8722" s="2" t="str">
        <f>IF(Table2[[#This Row],[Manual Cat Value]]="",VLOOKUP(Table2[[#This Row],[Description]],'Actuals Lookup'!D:F,3,0),Table2[[#This Row],[Manual Cat Value]])</f>
        <v>Exp - Transportation</v>
      </c>
      <c r="G8722" t="e">
        <f>VLOOKUP(D8722,Lookup!G:H,2,0)</f>
        <v>#N/A</v>
      </c>
      <c r="H8722" s="8" t="s">
        <v>22</v>
      </c>
      <c r="I8722" s="95"/>
      <c r="J8722" s="118">
        <v>-6.89</v>
      </c>
      <c r="K8722" s="87"/>
      <c r="L8722" s="87"/>
      <c r="M8722" s="87" t="s">
        <v>2535</v>
      </c>
      <c r="O8722" t="str">
        <f>LEFT(Table2[[#This Row],[Description]],75)</f>
        <v>UBER   TRIP              HELP.UBER.COMCA REF #244921510MN7R941N</v>
      </c>
    </row>
    <row r="8723" spans="1:15" hidden="1">
      <c r="A8723" s="25">
        <f>VALUE(YEAR(Table2[[#This Row],[Date]])&amp;TEXT(MONTH(Table2[[#This Row],[Date]]),"00"))</f>
        <v>202302</v>
      </c>
      <c r="B8723" s="93">
        <v>44959</v>
      </c>
      <c r="C8723" s="97" t="s">
        <v>2265</v>
      </c>
      <c r="D8723" s="87" t="s">
        <v>2640</v>
      </c>
      <c r="E8723" s="87">
        <v>5045.9799999999996</v>
      </c>
      <c r="F8723" s="2" t="str">
        <f>IF(Table2[[#This Row],[Manual Cat Value]]="",VLOOKUP(Table2[[#This Row],[Description]],'Actuals Lookup'!D:F,3,0),Table2[[#This Row],[Manual Cat Value]])</f>
        <v>Delete</v>
      </c>
      <c r="G8723" t="e">
        <f>VLOOKUP(D8723,Lookup!G:H,2,0)</f>
        <v>#N/A</v>
      </c>
      <c r="H8723" s="8" t="s">
        <v>9</v>
      </c>
      <c r="I8723" s="95"/>
      <c r="J8723" s="118">
        <v>-5045.9799999999996</v>
      </c>
      <c r="K8723" s="87"/>
      <c r="L8723" s="87"/>
      <c r="M8723" s="87" t="s">
        <v>2535</v>
      </c>
      <c r="O8723" t="str">
        <f>LEFT(Table2[[#This Row],[Description]],75)</f>
        <v>Withdrawal Home Banking Pmt to card XXXXXXXXXXXX-9181</v>
      </c>
    </row>
    <row r="8724" spans="1:15" hidden="1">
      <c r="A8724" s="25">
        <f>VALUE(YEAR(Table2[[#This Row],[Date]])&amp;TEXT(MONTH(Table2[[#This Row],[Date]]),"00"))</f>
        <v>202302</v>
      </c>
      <c r="B8724" s="93">
        <v>44959</v>
      </c>
      <c r="C8724" s="119" t="s">
        <v>2262</v>
      </c>
      <c r="D8724" s="87" t="s">
        <v>3792</v>
      </c>
      <c r="E8724" s="87">
        <v>5045.9799999999996</v>
      </c>
      <c r="F8724" s="2" t="str">
        <f>IF(Table2[[#This Row],[Manual Cat Value]]="",VLOOKUP(Table2[[#This Row],[Description]],'Actuals Lookup'!D:F,3,0),Table2[[#This Row],[Manual Cat Value]])</f>
        <v>Delete</v>
      </c>
      <c r="G8724" t="e">
        <f>VLOOKUP(D8724,Lookup!G:H,2,0)</f>
        <v>#N/A</v>
      </c>
      <c r="H8724" s="8" t="s">
        <v>9</v>
      </c>
      <c r="I8724" s="95"/>
      <c r="J8724" s="98">
        <v>5045.9799999999996</v>
      </c>
      <c r="K8724" s="87"/>
      <c r="L8724" s="87"/>
      <c r="M8724" s="87" t="s">
        <v>3074</v>
      </c>
      <c r="O8724" t="str">
        <f>LEFT(Table2[[#This Row],[Description]],75)</f>
        <v>PAYMENT - THANK YOU REF #74734571200XTMJG2</v>
      </c>
    </row>
    <row r="8725" spans="1:15" hidden="1">
      <c r="A8725" s="25">
        <f>VALUE(YEAR(Table2[[#This Row],[Date]])&amp;TEXT(MONTH(Table2[[#This Row],[Date]]),"00"))</f>
        <v>202302</v>
      </c>
      <c r="B8725" s="93">
        <v>44959</v>
      </c>
      <c r="C8725" s="97" t="s">
        <v>2265</v>
      </c>
      <c r="D8725" s="87" t="s">
        <v>3793</v>
      </c>
      <c r="E8725" s="87">
        <v>136</v>
      </c>
      <c r="F8725" s="2" t="str">
        <f>IF(Table2[[#This Row],[Manual Cat Value]]="",VLOOKUP(Table2[[#This Row],[Description]],'Actuals Lookup'!D:F,3,0),Table2[[#This Row],[Manual Cat Value]])</f>
        <v>Exp - Shopping</v>
      </c>
      <c r="G8725" t="e">
        <f>VLOOKUP(D8725,Lookup!G:H,2,0)</f>
        <v>#N/A</v>
      </c>
      <c r="H8725" s="8" t="s">
        <v>36</v>
      </c>
      <c r="I8725" s="95"/>
      <c r="J8725" s="118">
        <v>-136</v>
      </c>
      <c r="K8725" s="87"/>
      <c r="L8725" s="87"/>
      <c r="M8725" s="87" t="s">
        <v>2535</v>
      </c>
      <c r="O8725" t="str">
        <f>LEFT(Table2[[#This Row],[Description]],75)</f>
        <v>Withdrawal ACH VENMO TYPE: PAYMENT ID: 326XXXXXXX CO: VENMO NAME: BRITNEY T</v>
      </c>
    </row>
    <row r="8726" spans="1:15" hidden="1">
      <c r="A8726" s="25">
        <f>VALUE(YEAR(Table2[[#This Row],[Date]])&amp;TEXT(MONTH(Table2[[#This Row],[Date]]),"00"))</f>
        <v>202302</v>
      </c>
      <c r="B8726" s="93">
        <v>44959</v>
      </c>
      <c r="C8726" s="97" t="s">
        <v>2265</v>
      </c>
      <c r="D8726" s="87" t="s">
        <v>3794</v>
      </c>
      <c r="E8726" s="87">
        <v>125</v>
      </c>
      <c r="F8726" s="2" t="str">
        <f>IF(Table2[[#This Row],[Manual Cat Value]]="",VLOOKUP(Table2[[#This Row],[Description]],'Actuals Lookup'!D:F,3,0),Table2[[#This Row],[Manual Cat Value]])</f>
        <v>Exp - Shopping</v>
      </c>
      <c r="G8726" t="e">
        <f>VLOOKUP(D8726,Lookup!G:H,2,0)</f>
        <v>#N/A</v>
      </c>
      <c r="H8726" s="8" t="s">
        <v>36</v>
      </c>
      <c r="I8726" s="95"/>
      <c r="J8726" s="118">
        <v>-125</v>
      </c>
      <c r="K8726" s="87"/>
      <c r="L8726" s="87"/>
      <c r="M8726" s="87" t="s">
        <v>2535</v>
      </c>
      <c r="O8726" t="str">
        <f>LEFT(Table2[[#This Row],[Description]],75)</f>
        <v>Withdrawal ACH VENMO TYPE: PAYMENT ID: 326XXXXXXX CO: VENMO NAME: BRITNEY T</v>
      </c>
    </row>
    <row r="8727" spans="1:15" hidden="1">
      <c r="A8727" s="25">
        <f>VALUE(YEAR(Table2[[#This Row],[Date]])&amp;TEXT(MONTH(Table2[[#This Row],[Date]]),"00"))</f>
        <v>202302</v>
      </c>
      <c r="B8727" s="93">
        <v>44960</v>
      </c>
      <c r="C8727" s="119" t="s">
        <v>2262</v>
      </c>
      <c r="D8727" s="87" t="s">
        <v>3795</v>
      </c>
      <c r="E8727" s="87">
        <v>20</v>
      </c>
      <c r="F8727" s="2" t="str">
        <f>IF(Table2[[#This Row],[Manual Cat Value]]="",VLOOKUP(Table2[[#This Row],[Description]],'Actuals Lookup'!D:F,3,0),Table2[[#This Row],[Manual Cat Value]])</f>
        <v>Exp - Utilities</v>
      </c>
      <c r="G8727" t="e">
        <f>VLOOKUP(D8727,Lookup!G:H,2,0)</f>
        <v>#N/A</v>
      </c>
      <c r="H8727" s="8" t="s">
        <v>6</v>
      </c>
      <c r="I8727" s="95"/>
      <c r="J8727" s="118">
        <v>-20</v>
      </c>
      <c r="K8727" s="87"/>
      <c r="L8727" s="87"/>
      <c r="M8727" s="87" t="s">
        <v>2535</v>
      </c>
      <c r="O8727" t="str">
        <f>LEFT(Table2[[#This Row],[Description]],75)</f>
        <v>HBRSUBSCRIPTION          800-988-0886 MA REF #244921511LRJ0EJG1</v>
      </c>
    </row>
    <row r="8728" spans="1:15" hidden="1">
      <c r="A8728" s="25">
        <f>VALUE(YEAR(Table2[[#This Row],[Date]])&amp;TEXT(MONTH(Table2[[#This Row],[Date]]),"00"))</f>
        <v>202302</v>
      </c>
      <c r="B8728" s="93">
        <v>44960</v>
      </c>
      <c r="C8728" s="119" t="s">
        <v>2262</v>
      </c>
      <c r="D8728" s="87" t="s">
        <v>3796</v>
      </c>
      <c r="E8728" s="87">
        <v>48.24</v>
      </c>
      <c r="F8728" s="2" t="str">
        <f>IF(Table2[[#This Row],[Manual Cat Value]]="",VLOOKUP(Table2[[#This Row],[Description]],'Actuals Lookup'!D:F,3,0),Table2[[#This Row],[Manual Cat Value]])</f>
        <v>Delete</v>
      </c>
      <c r="G8728" t="e">
        <f>VLOOKUP(D8728,Lookup!G:H,2,0)</f>
        <v>#N/A</v>
      </c>
      <c r="H8728" s="8" t="s">
        <v>9</v>
      </c>
      <c r="I8728" s="95"/>
      <c r="J8728" s="118">
        <v>-48.24</v>
      </c>
      <c r="K8728" s="87"/>
      <c r="L8728" s="87"/>
      <c r="M8728" s="87" t="s">
        <v>2535</v>
      </c>
      <c r="O8728" t="str">
        <f>LEFT(Table2[[#This Row],[Description]],75)</f>
        <v>Just Eat                 London       GB REF #7498750120116BBN7</v>
      </c>
    </row>
    <row r="8729" spans="1:15" hidden="1">
      <c r="A8729" s="25">
        <f>VALUE(YEAR(Table2[[#This Row],[Date]])&amp;TEXT(MONTH(Table2[[#This Row],[Date]]),"00"))</f>
        <v>202302</v>
      </c>
      <c r="B8729" s="93">
        <v>44960</v>
      </c>
      <c r="C8729" s="119" t="s">
        <v>2262</v>
      </c>
      <c r="D8729" s="87" t="s">
        <v>3797</v>
      </c>
      <c r="E8729" s="87">
        <v>10.73</v>
      </c>
      <c r="F8729" s="2" t="str">
        <f>IF(Table2[[#This Row],[Manual Cat Value]]="",VLOOKUP(Table2[[#This Row],[Description]],'Actuals Lookup'!D:F,3,0),Table2[[#This Row],[Manual Cat Value]])</f>
        <v>Exp - Restaurants</v>
      </c>
      <c r="G8729" t="e">
        <f>VLOOKUP(D8729,Lookup!G:H,2,0)</f>
        <v>#N/A</v>
      </c>
      <c r="H8729" s="8" t="s">
        <v>25</v>
      </c>
      <c r="I8729" s="95"/>
      <c r="J8729" s="118">
        <v>-10.73</v>
      </c>
      <c r="K8729" s="87"/>
      <c r="L8729" s="87"/>
      <c r="M8729" s="87" t="s">
        <v>2535</v>
      </c>
      <c r="O8729" t="str">
        <f>LEFT(Table2[[#This Row],[Description]],75)</f>
        <v>LIFE TIME CAFE 151Q48    868-284-0048 MN REF #2469216112ZY1JS3Z</v>
      </c>
    </row>
    <row r="8730" spans="1:15" hidden="1">
      <c r="A8730" s="25">
        <f>VALUE(YEAR(Table2[[#This Row],[Date]])&amp;TEXT(MONTH(Table2[[#This Row],[Date]]),"00"))</f>
        <v>202302</v>
      </c>
      <c r="B8730" s="6">
        <v>44960</v>
      </c>
      <c r="C8730" t="s">
        <v>2447</v>
      </c>
      <c r="D8730" t="s">
        <v>3798</v>
      </c>
      <c r="E8730">
        <v>55.3</v>
      </c>
      <c r="F8730" s="2" t="str">
        <f>IF(Table2[[#This Row],[Manual Cat Value]]="",VLOOKUP(Table2[[#This Row],[Description]],'Actuals Lookup'!D:F,3,0),Table2[[#This Row],[Manual Cat Value]])</f>
        <v>Exp - Restaurants</v>
      </c>
      <c r="G8730" t="e">
        <f>VLOOKUP(D8730,Lookup!G:H,2,0)</f>
        <v>#N/A</v>
      </c>
      <c r="H8730" s="8" t="s">
        <v>25</v>
      </c>
      <c r="I8730" s="8"/>
      <c r="J8730">
        <v>55.3</v>
      </c>
      <c r="M8730" t="s">
        <v>2535</v>
      </c>
      <c r="O8730" t="str">
        <f>LEFT(Table2[[#This Row],[Description]],75)</f>
        <v>MAYNARD'S EXCELSIOR EXCELSIOR MN</v>
      </c>
    </row>
    <row r="8731" spans="1:15" hidden="1">
      <c r="A8731" s="25">
        <f>VALUE(YEAR(Table2[[#This Row],[Date]])&amp;TEXT(MONTH(Table2[[#This Row],[Date]]),"00"))</f>
        <v>202302</v>
      </c>
      <c r="B8731" s="93">
        <v>44960</v>
      </c>
      <c r="C8731" s="119" t="s">
        <v>2262</v>
      </c>
      <c r="D8731" s="87" t="s">
        <v>3799</v>
      </c>
      <c r="E8731" s="87">
        <v>4840</v>
      </c>
      <c r="F8731" s="2" t="str">
        <f>IF(Table2[[#This Row],[Manual Cat Value]]="",VLOOKUP(Table2[[#This Row],[Description]],'Actuals Lookup'!D:F,3,0),Table2[[#This Row],[Manual Cat Value]])</f>
        <v>Exp - Travel</v>
      </c>
      <c r="G8731" t="e">
        <f>VLOOKUP(D8731,Lookup!G:H,2,0)</f>
        <v>#N/A</v>
      </c>
      <c r="H8731" s="8" t="s">
        <v>52</v>
      </c>
      <c r="I8731" s="95"/>
      <c r="J8731" s="118">
        <v>-4840</v>
      </c>
      <c r="K8731" s="87"/>
      <c r="L8731" s="87"/>
      <c r="M8731" s="87" t="s">
        <v>2535</v>
      </c>
      <c r="O8731" t="str">
        <f>LEFT(Table2[[#This Row],[Description]],75)</f>
        <v>PALENQUE HOTEL           ACCOUNTING@ISPB REF #7461219110YSVZN5K</v>
      </c>
    </row>
    <row r="8732" spans="1:15" hidden="1">
      <c r="A8732" s="25">
        <f>VALUE(YEAR(Table2[[#This Row],[Date]])&amp;TEXT(MONTH(Table2[[#This Row],[Date]]),"00"))</f>
        <v>202302</v>
      </c>
      <c r="B8732" s="6">
        <v>44960</v>
      </c>
      <c r="C8732" t="s">
        <v>2447</v>
      </c>
      <c r="D8732" t="s">
        <v>3800</v>
      </c>
      <c r="E8732">
        <v>170.53</v>
      </c>
      <c r="F8732" s="2" t="str">
        <f>IF(Table2[[#This Row],[Manual Cat Value]]="",VLOOKUP(Table2[[#This Row],[Description]],'Actuals Lookup'!D:F,3,0),Table2[[#This Row],[Manual Cat Value]])</f>
        <v>Exp - House Maint</v>
      </c>
      <c r="G8732" t="e">
        <f>VLOOKUP(D8732,Lookup!G:H,2,0)</f>
        <v>#N/A</v>
      </c>
      <c r="H8732" s="8" t="s">
        <v>1</v>
      </c>
      <c r="I8732" s="8"/>
      <c r="J8732">
        <v>170.53</v>
      </c>
      <c r="M8732" t="s">
        <v>2535</v>
      </c>
      <c r="O8732" t="str">
        <f>LEFT(Table2[[#This Row],[Description]],75)</f>
        <v>PRAIRIE LAWN AND GARDEN, EDEN PRAIRIE MN</v>
      </c>
    </row>
    <row r="8733" spans="1:15" hidden="1">
      <c r="A8733" s="25">
        <f>VALUE(YEAR(Table2[[#This Row],[Date]])&amp;TEXT(MONTH(Table2[[#This Row],[Date]]),"00"))</f>
        <v>202302</v>
      </c>
      <c r="B8733" s="93">
        <v>44960</v>
      </c>
      <c r="C8733" s="97" t="s">
        <v>2265</v>
      </c>
      <c r="D8733" s="87" t="s">
        <v>3801</v>
      </c>
      <c r="E8733" s="87">
        <v>1330.99</v>
      </c>
      <c r="F8733" s="2" t="str">
        <f>IF(Table2[[#This Row],[Manual Cat Value]]="",VLOOKUP(Table2[[#This Row],[Description]],'Actuals Lookup'!D:F,3,0),Table2[[#This Row],[Manual Cat Value]])</f>
        <v>Exp - Travel</v>
      </c>
      <c r="G8733" t="e">
        <f>VLOOKUP(D8733,Lookup!G:H,2,0)</f>
        <v>#N/A</v>
      </c>
      <c r="H8733" s="8" t="s">
        <v>52</v>
      </c>
      <c r="I8733" s="95"/>
      <c r="J8733" s="118">
        <v>-1330.99</v>
      </c>
      <c r="K8733" s="87"/>
      <c r="L8733" s="87"/>
      <c r="M8733" s="87" t="s">
        <v>2535</v>
      </c>
      <c r="O8733" t="str">
        <f>LEFT(Table2[[#This Row],[Description]],75)</f>
        <v>Withdrawal ACH VENMO TYPE: PAYMENT ID: 326XXXXXXX CO: VENMO NAME: BRITNEY T</v>
      </c>
    </row>
    <row r="8734" spans="1:15" hidden="1">
      <c r="A8734" s="25">
        <f>VALUE(YEAR(Table2[[#This Row],[Date]])&amp;TEXT(MONTH(Table2[[#This Row],[Date]]),"00"))</f>
        <v>202302</v>
      </c>
      <c r="B8734" s="6">
        <v>44961</v>
      </c>
      <c r="C8734" t="s">
        <v>2447</v>
      </c>
      <c r="D8734" t="s">
        <v>3802</v>
      </c>
      <c r="E8734">
        <v>1.49</v>
      </c>
      <c r="F8734" s="2" t="str">
        <f>IF(Table2[[#This Row],[Manual Cat Value]]="",VLOOKUP(Table2[[#This Row],[Description]],'Actuals Lookup'!D:F,3,0),Table2[[#This Row],[Manual Cat Value]])</f>
        <v>Exp - Restaurants</v>
      </c>
      <c r="G8734" t="e">
        <f>VLOOKUP(D8734,Lookup!G:H,2,0)</f>
        <v>#N/A</v>
      </c>
      <c r="H8734" s="8" t="s">
        <v>25</v>
      </c>
      <c r="I8734" s="8"/>
      <c r="J8734">
        <v>1.49</v>
      </c>
      <c r="M8734" t="s">
        <v>2535</v>
      </c>
      <c r="O8734" t="str">
        <f>LEFT(Table2[[#This Row],[Description]],75)</f>
        <v>KOWALSKI'S EXCELSIOR MAR EXCELSIOR MNAPPLE PAY ENDING IN 8856</v>
      </c>
    </row>
    <row r="8735" spans="1:15" hidden="1">
      <c r="A8735" s="25">
        <f>VALUE(YEAR(Table2[[#This Row],[Date]])&amp;TEXT(MONTH(Table2[[#This Row],[Date]]),"00"))</f>
        <v>202302</v>
      </c>
      <c r="B8735" s="6">
        <v>44961</v>
      </c>
      <c r="C8735" t="s">
        <v>2447</v>
      </c>
      <c r="D8735" t="s">
        <v>3803</v>
      </c>
      <c r="E8735">
        <v>0.79</v>
      </c>
      <c r="F8735" s="2" t="str">
        <f>IF(Table2[[#This Row],[Manual Cat Value]]="",VLOOKUP(Table2[[#This Row],[Description]],'Actuals Lookup'!D:F,3,0),Table2[[#This Row],[Manual Cat Value]])</f>
        <v>Exp - Amazon</v>
      </c>
      <c r="G8735" t="e">
        <f>VLOOKUP(D8735,Lookup!G:H,2,0)</f>
        <v>#N/A</v>
      </c>
      <c r="H8735" s="8" t="s">
        <v>37</v>
      </c>
      <c r="I8735" s="8"/>
      <c r="J8735">
        <v>0.79</v>
      </c>
      <c r="M8735" t="s">
        <v>2535</v>
      </c>
      <c r="O8735" t="str">
        <f>LEFT(Table2[[#This Row],[Description]],75)</f>
        <v>PRIME VIDEO *DR48P45L3 888-802-3080 WA25P789SXL2R</v>
      </c>
    </row>
    <row r="8736" spans="1:15" hidden="1">
      <c r="A8736" s="25">
        <f>VALUE(YEAR(Table2[[#This Row],[Date]])&amp;TEXT(MONTH(Table2[[#This Row],[Date]]),"00"))</f>
        <v>202302</v>
      </c>
      <c r="B8736" s="6">
        <v>44961</v>
      </c>
      <c r="C8736" t="s">
        <v>2447</v>
      </c>
      <c r="D8736" t="s">
        <v>3804</v>
      </c>
      <c r="E8736">
        <v>37.4</v>
      </c>
      <c r="F8736" s="2" t="str">
        <f>IF(Table2[[#This Row],[Manual Cat Value]]="",VLOOKUP(Table2[[#This Row],[Description]],'Actuals Lookup'!D:F,3,0),Table2[[#This Row],[Manual Cat Value]])</f>
        <v>Exp - Groceries</v>
      </c>
      <c r="G8736" t="e">
        <f>VLOOKUP(D8736,Lookup!G:H,2,0)</f>
        <v>#N/A</v>
      </c>
      <c r="H8736" s="8" t="s">
        <v>27</v>
      </c>
      <c r="I8736" s="8"/>
      <c r="J8736">
        <v>37.4</v>
      </c>
      <c r="M8736" t="s">
        <v>2535</v>
      </c>
      <c r="O8736" t="str">
        <f>LEFT(Table2[[#This Row],[Description]],75)</f>
        <v>TOTAL WINE AND MORE MINNETONKA MN</v>
      </c>
    </row>
    <row r="8737" spans="1:15" hidden="1">
      <c r="A8737" s="25">
        <f>VALUE(YEAR(Table2[[#This Row],[Date]])&amp;TEXT(MONTH(Table2[[#This Row],[Date]]),"00"))</f>
        <v>202302</v>
      </c>
      <c r="B8737" s="6">
        <v>44961</v>
      </c>
      <c r="C8737" t="s">
        <v>2447</v>
      </c>
      <c r="D8737" t="s">
        <v>3805</v>
      </c>
      <c r="E8737">
        <v>36.119999999999997</v>
      </c>
      <c r="F8737" s="2" t="str">
        <f>IF(Table2[[#This Row],[Manual Cat Value]]="",VLOOKUP(Table2[[#This Row],[Description]],'Actuals Lookup'!D:F,3,0),Table2[[#This Row],[Manual Cat Value]])</f>
        <v>Exp - Restaurants</v>
      </c>
      <c r="G8737" t="e">
        <f>VLOOKUP(D8737,Lookup!G:H,2,0)</f>
        <v>#N/A</v>
      </c>
      <c r="H8737" s="8" t="s">
        <v>25</v>
      </c>
      <c r="I8737" s="8"/>
      <c r="J8737">
        <v>36.119999999999997</v>
      </c>
      <c r="M8737" t="s">
        <v>2535</v>
      </c>
      <c r="O8737" t="str">
        <f>LEFT(Table2[[#This Row],[Description]],75)</f>
        <v>TST* DUKES ON 7 612-205-3286 MNAPPLE PAY ENDING IN 885600017403010268983968</v>
      </c>
    </row>
    <row r="8738" spans="1:15" hidden="1">
      <c r="A8738" s="25">
        <f>VALUE(YEAR(Table2[[#This Row],[Date]])&amp;TEXT(MONTH(Table2[[#This Row],[Date]]),"00"))</f>
        <v>202302</v>
      </c>
      <c r="B8738" s="93">
        <v>44962</v>
      </c>
      <c r="C8738" s="119" t="s">
        <v>2262</v>
      </c>
      <c r="D8738" s="87" t="s">
        <v>3806</v>
      </c>
      <c r="E8738" s="87">
        <v>3557.43</v>
      </c>
      <c r="F8738" s="2" t="str">
        <f>IF(Table2[[#This Row],[Manual Cat Value]]="",VLOOKUP(Table2[[#This Row],[Description]],'Actuals Lookup'!D:F,3,0),Table2[[#This Row],[Manual Cat Value]])</f>
        <v>Delete</v>
      </c>
      <c r="G8738" t="e">
        <f>VLOOKUP(D8738,Lookup!G:H,2,0)</f>
        <v>#N/A</v>
      </c>
      <c r="H8738" s="8" t="s">
        <v>9</v>
      </c>
      <c r="I8738" s="95"/>
      <c r="J8738" s="118">
        <v>-3557.43</v>
      </c>
      <c r="K8738" s="87"/>
      <c r="L8738" s="87"/>
      <c r="M8738" s="87" t="s">
        <v>2535</v>
      </c>
      <c r="O8738" t="str">
        <f>LEFT(Table2[[#This Row],[Description]],75)</f>
        <v>BALANCE TRANSFER FOR ACCT ENDING IN 9181 REF #00000000000ATNEWA</v>
      </c>
    </row>
    <row r="8739" spans="1:15" hidden="1">
      <c r="A8739" s="25">
        <f>VALUE(YEAR(Table2[[#This Row],[Date]])&amp;TEXT(MONTH(Table2[[#This Row],[Date]]),"00"))</f>
        <v>202302</v>
      </c>
      <c r="B8739" s="6">
        <v>44962</v>
      </c>
      <c r="C8739" t="s">
        <v>2447</v>
      </c>
      <c r="D8739" t="s">
        <v>3807</v>
      </c>
      <c r="E8739">
        <v>45.7</v>
      </c>
      <c r="F8739" s="2" t="str">
        <f>IF(Table2[[#This Row],[Manual Cat Value]]="",VLOOKUP(Table2[[#This Row],[Description]],'Actuals Lookup'!D:F,3,0),Table2[[#This Row],[Manual Cat Value]])</f>
        <v>Exp - Restaurants</v>
      </c>
      <c r="G8739" t="e">
        <f>VLOOKUP(D8739,Lookup!G:H,2,0)</f>
        <v>#N/A</v>
      </c>
      <c r="H8739" s="8" t="s">
        <v>25</v>
      </c>
      <c r="I8739" s="8"/>
      <c r="J8739">
        <v>45.7</v>
      </c>
      <c r="M8739" t="s">
        <v>2535</v>
      </c>
      <c r="O8739" t="str">
        <f>LEFT(Table2[[#This Row],[Description]],75)</f>
        <v>SQ *WINGMAN MATT LLC GOSQ.COM MN0002305843017010247113</v>
      </c>
    </row>
    <row r="8740" spans="1:15" hidden="1">
      <c r="A8740" s="25">
        <f>VALUE(YEAR(Table2[[#This Row],[Date]])&amp;TEXT(MONTH(Table2[[#This Row],[Date]]),"00"))</f>
        <v>202302</v>
      </c>
      <c r="B8740" s="93">
        <v>44963</v>
      </c>
      <c r="C8740" s="119" t="s">
        <v>2262</v>
      </c>
      <c r="D8740" s="87" t="s">
        <v>3808</v>
      </c>
      <c r="E8740" s="87">
        <v>149.25</v>
      </c>
      <c r="F8740" s="2" t="str">
        <f>IF(Table2[[#This Row],[Manual Cat Value]]="",VLOOKUP(Table2[[#This Row],[Description]],'Actuals Lookup'!D:F,3,0),Table2[[#This Row],[Manual Cat Value]])</f>
        <v>Exp - Amazon</v>
      </c>
      <c r="G8740" t="e">
        <f>VLOOKUP(D8740,Lookup!G:H,2,0)</f>
        <v>#N/A</v>
      </c>
      <c r="H8740" s="8" t="s">
        <v>37</v>
      </c>
      <c r="I8740" s="95"/>
      <c r="J8740" s="118">
        <v>-149.25</v>
      </c>
      <c r="K8740" s="87"/>
      <c r="L8740" s="87"/>
      <c r="M8740" s="87" t="s">
        <v>2535</v>
      </c>
      <c r="O8740" t="str">
        <f>LEFT(Table2[[#This Row],[Description]],75)</f>
        <v>Amazon Prime*F84NX9293   Amzn.com/billWA REF #&amp;F56620015000IXFRL</v>
      </c>
    </row>
    <row r="8741" spans="1:15" hidden="1">
      <c r="A8741" s="25">
        <f>VALUE(YEAR(Table2[[#This Row],[Date]])&amp;TEXT(MONTH(Table2[[#This Row],[Date]]),"00"))</f>
        <v>202302</v>
      </c>
      <c r="B8741" s="6">
        <v>44963</v>
      </c>
      <c r="C8741" t="s">
        <v>2447</v>
      </c>
      <c r="D8741" t="s">
        <v>3809</v>
      </c>
      <c r="E8741">
        <v>12.83</v>
      </c>
      <c r="F8741" s="2" t="str">
        <f>IF(Table2[[#This Row],[Manual Cat Value]]="",VLOOKUP(Table2[[#This Row],[Description]],'Actuals Lookup'!D:F,3,0),Table2[[#This Row],[Manual Cat Value]])</f>
        <v>Exp - Amazon</v>
      </c>
      <c r="G8741" t="e">
        <f>VLOOKUP(D8741,Lookup!G:H,2,0)</f>
        <v>#N/A</v>
      </c>
      <c r="H8741" s="8" t="s">
        <v>37</v>
      </c>
      <c r="I8741" s="8"/>
      <c r="J8741">
        <v>12.83</v>
      </c>
      <c r="M8741" t="s">
        <v>2535</v>
      </c>
      <c r="O8741" t="str">
        <f>LEFT(Table2[[#This Row],[Description]],75)</f>
        <v>AMZN MKTP US*DB57A2BP3 AMZN.COM/BILLWA1SWTN6Z4X0J</v>
      </c>
    </row>
    <row r="8742" spans="1:15" hidden="1">
      <c r="A8742" s="25">
        <f>VALUE(YEAR(Table2[[#This Row],[Date]])&amp;TEXT(MONTH(Table2[[#This Row],[Date]]),"00"))</f>
        <v>202302</v>
      </c>
      <c r="B8742" s="93">
        <v>44963</v>
      </c>
      <c r="C8742" s="97" t="s">
        <v>2265</v>
      </c>
      <c r="D8742" s="87" t="s">
        <v>3810</v>
      </c>
      <c r="E8742" s="87">
        <v>333</v>
      </c>
      <c r="F8742" s="2" t="str">
        <f>IF(Table2[[#This Row],[Manual Cat Value]]="",VLOOKUP(Table2[[#This Row],[Description]],'Actuals Lookup'!D:F,3,0),Table2[[#This Row],[Manual Cat Value]])</f>
        <v>Inc - Other</v>
      </c>
      <c r="G8742" t="e">
        <f>VLOOKUP(D8742,Lookup!G:H,2,0)</f>
        <v>#N/A</v>
      </c>
      <c r="H8742" s="8" t="s">
        <v>16</v>
      </c>
      <c r="I8742" s="95"/>
      <c r="J8742" s="98">
        <v>333</v>
      </c>
      <c r="K8742" s="87"/>
      <c r="L8742" s="87"/>
      <c r="M8742" s="87" t="s">
        <v>3074</v>
      </c>
      <c r="O8742" t="str">
        <f>LEFT(Table2[[#This Row],[Description]],75)</f>
        <v xml:space="preserve">Deposit ACH VENMO TYPE: CASHOUT ID: 526XXXXXXX CO: VENMO Entry Class Code: </v>
      </c>
    </row>
    <row r="8743" spans="1:15" hidden="1">
      <c r="A8743" s="25">
        <f>VALUE(YEAR(Table2[[#This Row],[Date]])&amp;TEXT(MONTH(Table2[[#This Row],[Date]]),"00"))</f>
        <v>202302</v>
      </c>
      <c r="B8743" s="93">
        <v>44963</v>
      </c>
      <c r="C8743" s="119" t="s">
        <v>2262</v>
      </c>
      <c r="D8743" s="87" t="s">
        <v>3811</v>
      </c>
      <c r="E8743" s="87">
        <v>129</v>
      </c>
      <c r="F8743" s="2" t="str">
        <f>IF(Table2[[#This Row],[Manual Cat Value]]="",VLOOKUP(Table2[[#This Row],[Description]],'Actuals Lookup'!D:F,3,0),Table2[[#This Row],[Manual Cat Value]])</f>
        <v>Delete</v>
      </c>
      <c r="G8743" t="e">
        <f>VLOOKUP(D8743,Lookup!G:H,2,0)</f>
        <v>#N/A</v>
      </c>
      <c r="H8743" s="8" t="s">
        <v>9</v>
      </c>
      <c r="I8743" s="95"/>
      <c r="J8743" s="118">
        <v>-129</v>
      </c>
      <c r="K8743" s="87"/>
      <c r="L8743" s="87"/>
      <c r="M8743" s="87" t="s">
        <v>2535</v>
      </c>
      <c r="O8743" t="str">
        <f>LEFT(Table2[[#This Row],[Description]],75)</f>
        <v>MSP AIRPORT PARKING      SAINT PAUL   MN REF #&amp;F56620015000IXFRL</v>
      </c>
    </row>
    <row r="8744" spans="1:15" hidden="1">
      <c r="A8744" s="25">
        <f>VALUE(YEAR(Table2[[#This Row],[Date]])&amp;TEXT(MONTH(Table2[[#This Row],[Date]]),"00"))</f>
        <v>202302</v>
      </c>
      <c r="B8744" s="93">
        <v>44963</v>
      </c>
      <c r="C8744" s="119" t="s">
        <v>2262</v>
      </c>
      <c r="D8744" s="87" t="s">
        <v>3812</v>
      </c>
      <c r="E8744" s="87">
        <v>695.22</v>
      </c>
      <c r="F8744" s="2" t="str">
        <f>IF(Table2[[#This Row],[Manual Cat Value]]="",VLOOKUP(Table2[[#This Row],[Description]],'Actuals Lookup'!D:F,3,0),Table2[[#This Row],[Manual Cat Value]])</f>
        <v>Delete</v>
      </c>
      <c r="G8744" t="e">
        <f>VLOOKUP(D8744,Lookup!G:H,2,0)</f>
        <v>#N/A</v>
      </c>
      <c r="H8744" s="8" t="s">
        <v>9</v>
      </c>
      <c r="I8744" s="95"/>
      <c r="J8744" s="118">
        <v>-695.22</v>
      </c>
      <c r="K8744" s="87"/>
      <c r="L8744" s="87"/>
      <c r="M8744" s="87" t="s">
        <v>2535</v>
      </c>
      <c r="O8744" t="str">
        <f>LEFT(Table2[[#This Row],[Description]],75)</f>
        <v>RENAISSANCE HTLS WATER   BOSTON       MA REF #&amp;F56620015000IXFRL</v>
      </c>
    </row>
    <row r="8745" spans="1:15" hidden="1">
      <c r="A8745" s="25">
        <f>VALUE(YEAR(Table2[[#This Row],[Date]])&amp;TEXT(MONTH(Table2[[#This Row],[Date]]),"00"))</f>
        <v>202302</v>
      </c>
      <c r="B8745" s="93">
        <v>44963</v>
      </c>
      <c r="C8745" s="119" t="s">
        <v>2262</v>
      </c>
      <c r="D8745" s="87" t="s">
        <v>3813</v>
      </c>
      <c r="E8745" s="87">
        <v>95.25</v>
      </c>
      <c r="F8745" s="2" t="str">
        <f>IF(Table2[[#This Row],[Manual Cat Value]]="",VLOOKUP(Table2[[#This Row],[Description]],'Actuals Lookup'!D:F,3,0),Table2[[#This Row],[Manual Cat Value]])</f>
        <v>Exp - Gifts</v>
      </c>
      <c r="G8745" t="e">
        <f>VLOOKUP(D8745,Lookup!G:H,2,0)</f>
        <v>#N/A</v>
      </c>
      <c r="H8745" s="8" t="s">
        <v>44</v>
      </c>
      <c r="I8745" s="95"/>
      <c r="J8745" s="118">
        <v>-95.25</v>
      </c>
      <c r="K8745" s="87"/>
      <c r="L8745" s="87"/>
      <c r="M8745" s="87" t="s">
        <v>2535</v>
      </c>
      <c r="O8745" t="str">
        <f>LEFT(Table2[[#This Row],[Description]],75)</f>
        <v>THE ORVIS COMPANY INC    800-635-7635 VT REF #&amp;F56620015000IXFRL</v>
      </c>
    </row>
    <row r="8746" spans="1:15" hidden="1">
      <c r="A8746" s="25">
        <f>VALUE(YEAR(Table2[[#This Row],[Date]])&amp;TEXT(MONTH(Table2[[#This Row],[Date]]),"00"))</f>
        <v>202302</v>
      </c>
      <c r="B8746" s="93">
        <v>44963</v>
      </c>
      <c r="C8746" s="97" t="s">
        <v>2265</v>
      </c>
      <c r="D8746" s="87" t="s">
        <v>3814</v>
      </c>
      <c r="E8746" s="87">
        <v>47.94</v>
      </c>
      <c r="F8746" s="2" t="str">
        <f>IF(Table2[[#This Row],[Manual Cat Value]]="",VLOOKUP(Table2[[#This Row],[Description]],'Actuals Lookup'!D:F,3,0),Table2[[#This Row],[Manual Cat Value]])</f>
        <v>Exp - Transportation</v>
      </c>
      <c r="G8746" t="e">
        <f>VLOOKUP(D8746,Lookup!G:H,2,0)</f>
        <v>#N/A</v>
      </c>
      <c r="H8746" s="8" t="s">
        <v>22</v>
      </c>
      <c r="I8746" s="95"/>
      <c r="J8746" s="118">
        <v>-47.94</v>
      </c>
      <c r="K8746" s="87"/>
      <c r="L8746" s="87"/>
      <c r="M8746" s="87" t="s">
        <v>2535</v>
      </c>
      <c r="O8746" t="str">
        <f>LEFT(Table2[[#This Row],[Description]],75)</f>
        <v>Withdrawal Debit Card EDEN PRARIE FOOD AND GAS EDEN PRARIE MN Date 02/05/23</v>
      </c>
    </row>
    <row r="8747" spans="1:15" hidden="1">
      <c r="A8747" s="25">
        <f>VALUE(YEAR(Table2[[#This Row],[Date]])&amp;TEXT(MONTH(Table2[[#This Row],[Date]]),"00"))</f>
        <v>202302</v>
      </c>
      <c r="B8747" s="93">
        <v>44963</v>
      </c>
      <c r="C8747" s="97" t="s">
        <v>2265</v>
      </c>
      <c r="D8747" s="87" t="s">
        <v>3815</v>
      </c>
      <c r="E8747" s="87">
        <v>5613.52</v>
      </c>
      <c r="F8747" s="2" t="str">
        <f>IF(Table2[[#This Row],[Manual Cat Value]]="",VLOOKUP(Table2[[#This Row],[Description]],'Actuals Lookup'!D:F,3,0),Table2[[#This Row],[Manual Cat Value]])</f>
        <v>Delete</v>
      </c>
      <c r="G8747" t="e">
        <f>VLOOKUP(D8747,Lookup!G:H,2,0)</f>
        <v>#N/A</v>
      </c>
      <c r="H8747" s="8" t="s">
        <v>9</v>
      </c>
      <c r="I8747" s="95"/>
      <c r="J8747" s="118">
        <v>-5613.52</v>
      </c>
      <c r="K8747" s="87"/>
      <c r="L8747" s="87"/>
      <c r="M8747" s="87" t="s">
        <v>2535</v>
      </c>
      <c r="O8747" t="str">
        <f>LEFT(Table2[[#This Row],[Description]],75)</f>
        <v>Withdrawal Home Banking Pmt to card XXXXXXXXXXXX-5913</v>
      </c>
    </row>
    <row r="8748" spans="1:15" hidden="1">
      <c r="A8748" s="25">
        <f>VALUE(YEAR(Table2[[#This Row],[Date]])&amp;TEXT(MONTH(Table2[[#This Row],[Date]]),"00"))</f>
        <v>202302</v>
      </c>
      <c r="B8748" s="93">
        <v>44963</v>
      </c>
      <c r="C8748" s="119" t="s">
        <v>2262</v>
      </c>
      <c r="D8748" s="87" t="s">
        <v>3816</v>
      </c>
      <c r="E8748" s="87">
        <v>5613.52</v>
      </c>
      <c r="F8748" s="2" t="str">
        <f>IF(Table2[[#This Row],[Manual Cat Value]]="",VLOOKUP(Table2[[#This Row],[Description]],'Actuals Lookup'!D:F,3,0),Table2[[#This Row],[Manual Cat Value]])</f>
        <v>Delete</v>
      </c>
      <c r="G8748" t="e">
        <f>VLOOKUP(D8748,Lookup!G:H,2,0)</f>
        <v>#N/A</v>
      </c>
      <c r="H8748" s="8" t="s">
        <v>9</v>
      </c>
      <c r="I8748" s="95"/>
      <c r="J8748" s="98">
        <v>5613.52</v>
      </c>
      <c r="K8748" s="87"/>
      <c r="L8748" s="87"/>
      <c r="M8748" s="87" t="s">
        <v>3074</v>
      </c>
      <c r="O8748" t="str">
        <f>LEFT(Table2[[#This Row],[Description]],75)</f>
        <v>PAYMENT - THANK YOU REF #74734571600XTMJG8</v>
      </c>
    </row>
    <row r="8749" spans="1:15" hidden="1">
      <c r="A8749" s="25">
        <f>VALUE(YEAR(Table2[[#This Row],[Date]])&amp;TEXT(MONTH(Table2[[#This Row],[Date]]),"00"))</f>
        <v>202302</v>
      </c>
      <c r="B8749" s="93">
        <v>44963</v>
      </c>
      <c r="C8749" s="97" t="s">
        <v>2265</v>
      </c>
      <c r="D8749" s="87" t="s">
        <v>3817</v>
      </c>
      <c r="E8749" s="87">
        <v>315.69</v>
      </c>
      <c r="F8749" s="2" t="str">
        <f>IF(Table2[[#This Row],[Manual Cat Value]]="",VLOOKUP(Table2[[#This Row],[Description]],'Actuals Lookup'!D:F,3,0),Table2[[#This Row],[Manual Cat Value]])</f>
        <v>Exp - Travel</v>
      </c>
      <c r="G8749" t="e">
        <f>VLOOKUP(D8749,Lookup!G:H,2,0)</f>
        <v>#N/A</v>
      </c>
      <c r="H8749" s="8" t="s">
        <v>52</v>
      </c>
      <c r="I8749" s="95"/>
      <c r="J8749" s="118">
        <v>-315.69</v>
      </c>
      <c r="K8749" s="87"/>
      <c r="L8749" s="87"/>
      <c r="M8749" s="87" t="s">
        <v>2535</v>
      </c>
      <c r="O8749" t="str">
        <f>LEFT(Table2[[#This Row],[Description]],75)</f>
        <v>Withdrawal ACH VENMO TYPE: PAYMENT ID: 326XXXXXXX CO: VENMO NAME: BRITNEY T</v>
      </c>
    </row>
    <row r="8750" spans="1:15" hidden="1">
      <c r="A8750" s="25">
        <f>VALUE(YEAR(Table2[[#This Row],[Date]])&amp;TEXT(MONTH(Table2[[#This Row],[Date]]),"00"))</f>
        <v>202302</v>
      </c>
      <c r="B8750" s="6">
        <v>44964</v>
      </c>
      <c r="C8750" t="s">
        <v>2447</v>
      </c>
      <c r="D8750" t="s">
        <v>3818</v>
      </c>
      <c r="E8750">
        <v>27.91</v>
      </c>
      <c r="F8750" s="2" t="str">
        <f>IF(Table2[[#This Row],[Manual Cat Value]]="",VLOOKUP(Table2[[#This Row],[Description]],'Actuals Lookup'!D:F,3,0),Table2[[#This Row],[Manual Cat Value]])</f>
        <v>Exp - Amazon</v>
      </c>
      <c r="G8750" t="e">
        <f>VLOOKUP(D8750,Lookup!G:H,2,0)</f>
        <v>#N/A</v>
      </c>
      <c r="H8750" s="8" t="s">
        <v>37</v>
      </c>
      <c r="I8750" s="8"/>
      <c r="J8750">
        <v>27.91</v>
      </c>
      <c r="M8750" t="s">
        <v>2535</v>
      </c>
      <c r="O8750" t="str">
        <f>LEFT(Table2[[#This Row],[Description]],75)</f>
        <v>AMAZON.COM*H91BY6UQ0 AMZN.COM/BILLWA5U0WPJ38M9G</v>
      </c>
    </row>
    <row r="8751" spans="1:15" hidden="1">
      <c r="A8751" s="25">
        <f>VALUE(YEAR(Table2[[#This Row],[Date]])&amp;TEXT(MONTH(Table2[[#This Row],[Date]]),"00"))</f>
        <v>202302</v>
      </c>
      <c r="B8751" s="6">
        <v>44964</v>
      </c>
      <c r="C8751" t="s">
        <v>2447</v>
      </c>
      <c r="D8751" t="s">
        <v>3819</v>
      </c>
      <c r="E8751">
        <v>59.54</v>
      </c>
      <c r="F8751" s="2" t="str">
        <f>IF(Table2[[#This Row],[Manual Cat Value]]="",VLOOKUP(Table2[[#This Row],[Description]],'Actuals Lookup'!D:F,3,0),Table2[[#This Row],[Manual Cat Value]])</f>
        <v>Exp - Amazon</v>
      </c>
      <c r="G8751" t="e">
        <f>VLOOKUP(D8751,Lookup!G:H,2,0)</f>
        <v>#N/A</v>
      </c>
      <c r="H8751" s="8" t="s">
        <v>37</v>
      </c>
      <c r="I8751" s="8"/>
      <c r="J8751">
        <v>59.54</v>
      </c>
      <c r="M8751" t="s">
        <v>2535</v>
      </c>
      <c r="O8751" t="str">
        <f>LEFT(Table2[[#This Row],[Description]],75)</f>
        <v>AMZN MKTP US*D39K169E3 AMZN.COM/BILLWA78T7FO417U3</v>
      </c>
    </row>
    <row r="8752" spans="1:15" hidden="1">
      <c r="A8752" s="25">
        <f>VALUE(YEAR(Table2[[#This Row],[Date]])&amp;TEXT(MONTH(Table2[[#This Row],[Date]]),"00"))</f>
        <v>202302</v>
      </c>
      <c r="B8752" s="6">
        <v>44964</v>
      </c>
      <c r="C8752" t="s">
        <v>2447</v>
      </c>
      <c r="D8752" t="s">
        <v>3820</v>
      </c>
      <c r="E8752">
        <v>16.100000000000001</v>
      </c>
      <c r="F8752" s="2" t="str">
        <f>IF(Table2[[#This Row],[Manual Cat Value]]="",VLOOKUP(Table2[[#This Row],[Description]],'Actuals Lookup'!D:F,3,0),Table2[[#This Row],[Manual Cat Value]])</f>
        <v>Exp - Amazon</v>
      </c>
      <c r="G8752" t="e">
        <f>VLOOKUP(D8752,Lookup!G:H,2,0)</f>
        <v>#N/A</v>
      </c>
      <c r="H8752" s="8" t="s">
        <v>37</v>
      </c>
      <c r="I8752" s="8"/>
      <c r="J8752">
        <v>16.100000000000001</v>
      </c>
      <c r="M8752" t="s">
        <v>2535</v>
      </c>
      <c r="O8752" t="str">
        <f>LEFT(Table2[[#This Row],[Description]],75)</f>
        <v>AMZN MKTP US*WG8SZ68D3 AMZN.COM/BILLWA5KUY9GPF9G0</v>
      </c>
    </row>
    <row r="8753" spans="1:15" hidden="1">
      <c r="A8753" s="25">
        <f>VALUE(YEAR(Table2[[#This Row],[Date]])&amp;TEXT(MONTH(Table2[[#This Row],[Date]]),"00"))</f>
        <v>202302</v>
      </c>
      <c r="B8753" s="6">
        <v>44964</v>
      </c>
      <c r="C8753" t="s">
        <v>2447</v>
      </c>
      <c r="D8753" t="s">
        <v>3821</v>
      </c>
      <c r="E8753">
        <v>94.98</v>
      </c>
      <c r="F8753" s="2" t="str">
        <f>IF(Table2[[#This Row],[Manual Cat Value]]="",VLOOKUP(Table2[[#This Row],[Description]],'Actuals Lookup'!D:F,3,0),Table2[[#This Row],[Manual Cat Value]])</f>
        <v>Exp - Amazon</v>
      </c>
      <c r="G8753" t="e">
        <f>VLOOKUP(D8753,Lookup!G:H,2,0)</f>
        <v>#N/A</v>
      </c>
      <c r="H8753" s="8" t="s">
        <v>37</v>
      </c>
      <c r="I8753" s="8"/>
      <c r="J8753">
        <v>94.98</v>
      </c>
      <c r="M8753" t="s">
        <v>2535</v>
      </c>
      <c r="O8753" t="str">
        <f>LEFT(Table2[[#This Row],[Description]],75)</f>
        <v>AMZN MKTP US*Y69LQ24V3 AMZN.COM/BILLWA3X6HUKFB7VN</v>
      </c>
    </row>
    <row r="8754" spans="1:15" hidden="1">
      <c r="A8754" s="25">
        <f>VALUE(YEAR(Table2[[#This Row],[Date]])&amp;TEXT(MONTH(Table2[[#This Row],[Date]]),"00"))</f>
        <v>202302</v>
      </c>
      <c r="B8754" s="6">
        <v>44964</v>
      </c>
      <c r="C8754" t="s">
        <v>2447</v>
      </c>
      <c r="D8754" t="s">
        <v>3822</v>
      </c>
      <c r="E8754">
        <v>80.34</v>
      </c>
      <c r="F8754" s="2" t="str">
        <f>IF(Table2[[#This Row],[Manual Cat Value]]="",VLOOKUP(Table2[[#This Row],[Description]],'Actuals Lookup'!D:F,3,0),Table2[[#This Row],[Manual Cat Value]])</f>
        <v>Exp - Healthcare</v>
      </c>
      <c r="G8754" t="e">
        <f>VLOOKUP(D8754,Lookup!G:H,2,0)</f>
        <v>#N/A</v>
      </c>
      <c r="H8754" s="8" t="s">
        <v>47</v>
      </c>
      <c r="I8754" s="8"/>
      <c r="J8754">
        <v>80.34</v>
      </c>
      <c r="M8754" t="s">
        <v>2535</v>
      </c>
      <c r="O8754" t="str">
        <f>LEFT(Table2[[#This Row],[Description]],75)</f>
        <v>RIDGEVIEW MEDICAL CENTER 7635593779 MN</v>
      </c>
    </row>
    <row r="8755" spans="1:15" hidden="1">
      <c r="A8755" s="25">
        <f>VALUE(YEAR(Table2[[#This Row],[Date]])&amp;TEXT(MONTH(Table2[[#This Row],[Date]]),"00"))</f>
        <v>202302</v>
      </c>
      <c r="B8755" s="6">
        <v>44964</v>
      </c>
      <c r="C8755" t="s">
        <v>2447</v>
      </c>
      <c r="D8755" t="s">
        <v>3823</v>
      </c>
      <c r="E8755">
        <v>16.21</v>
      </c>
      <c r="F8755" s="2" t="str">
        <f>IF(Table2[[#This Row],[Manual Cat Value]]="",VLOOKUP(Table2[[#This Row],[Description]],'Actuals Lookup'!D:F,3,0),Table2[[#This Row],[Manual Cat Value]])</f>
        <v>Exp - Shopping</v>
      </c>
      <c r="G8755" t="e">
        <f>VLOOKUP(D8755,Lookup!G:H,2,0)</f>
        <v>#N/A</v>
      </c>
      <c r="H8755" s="8" t="s">
        <v>36</v>
      </c>
      <c r="I8755" s="8"/>
      <c r="J8755">
        <v>16.21</v>
      </c>
      <c r="M8755" t="s">
        <v>2535</v>
      </c>
      <c r="O8755" t="str">
        <f>LEFT(Table2[[#This Row],[Description]],75)</f>
        <v>SP GRAYHOMELIFESTYLE 9524749150 MN</v>
      </c>
    </row>
    <row r="8756" spans="1:15" hidden="1">
      <c r="A8756" s="25">
        <f>VALUE(YEAR(Table2[[#This Row],[Date]])&amp;TEXT(MONTH(Table2[[#This Row],[Date]]),"00"))</f>
        <v>202302</v>
      </c>
      <c r="B8756" s="6">
        <v>44964</v>
      </c>
      <c r="C8756" t="s">
        <v>2447</v>
      </c>
      <c r="D8756" t="s">
        <v>3824</v>
      </c>
      <c r="E8756">
        <v>29</v>
      </c>
      <c r="F8756" s="2" t="str">
        <f>IF(Table2[[#This Row],[Manual Cat Value]]="",VLOOKUP(Table2[[#This Row],[Description]],'Actuals Lookup'!D:F,3,0),Table2[[#This Row],[Manual Cat Value]])</f>
        <v>Exp - Shopping</v>
      </c>
      <c r="G8756" t="e">
        <f>VLOOKUP(D8756,Lookup!G:H,2,0)</f>
        <v>#N/A</v>
      </c>
      <c r="H8756" s="8" t="s">
        <v>36</v>
      </c>
      <c r="I8756" s="8"/>
      <c r="J8756">
        <v>29</v>
      </c>
      <c r="M8756" t="s">
        <v>2535</v>
      </c>
      <c r="O8756" t="str">
        <f>LEFT(Table2[[#This Row],[Description]],75)</f>
        <v>SP OOH LA LA LLC 9524741743 MN</v>
      </c>
    </row>
    <row r="8757" spans="1:15" hidden="1">
      <c r="A8757" s="25">
        <f>VALUE(YEAR(Table2[[#This Row],[Date]])&amp;TEXT(MONTH(Table2[[#This Row],[Date]]),"00"))</f>
        <v>202302</v>
      </c>
      <c r="B8757" s="93">
        <v>44964</v>
      </c>
      <c r="C8757" s="97" t="s">
        <v>2265</v>
      </c>
      <c r="D8757" s="87" t="s">
        <v>3825</v>
      </c>
      <c r="E8757" s="87">
        <v>330</v>
      </c>
      <c r="F8757" s="2" t="str">
        <f>IF(Table2[[#This Row],[Manual Cat Value]]="",VLOOKUP(Table2[[#This Row],[Description]],'Actuals Lookup'!D:F,3,0),Table2[[#This Row],[Manual Cat Value]])</f>
        <v>Exp - Day Care</v>
      </c>
      <c r="G8757" t="e">
        <f>VLOOKUP(D8757,Lookup!G:H,2,0)</f>
        <v>#N/A</v>
      </c>
      <c r="H8757" s="8" t="s">
        <v>19</v>
      </c>
      <c r="I8757" s="95"/>
      <c r="J8757" s="118">
        <v>-330</v>
      </c>
      <c r="K8757" s="87"/>
      <c r="L8757" s="87"/>
      <c r="M8757" s="87" t="s">
        <v>2535</v>
      </c>
      <c r="O8757" t="str">
        <f>LEFT(Table2[[#This Row],[Description]],75)</f>
        <v xml:space="preserve">Withdrawal ACH MHCHILDCARELLC TYPE: DUES ID: 1824708198 CO: MHCHILDCARELLC </v>
      </c>
    </row>
    <row r="8758" spans="1:15" hidden="1">
      <c r="A8758" s="25">
        <f>VALUE(YEAR(Table2[[#This Row],[Date]])&amp;TEXT(MONTH(Table2[[#This Row],[Date]]),"00"))</f>
        <v>202302</v>
      </c>
      <c r="B8758" s="93">
        <v>44964</v>
      </c>
      <c r="C8758" s="97" t="s">
        <v>2265</v>
      </c>
      <c r="D8758" s="87" t="s">
        <v>3826</v>
      </c>
      <c r="E8758" s="87">
        <v>181.86</v>
      </c>
      <c r="F8758" s="2" t="str">
        <f>IF(Table2[[#This Row],[Manual Cat Value]]="",VLOOKUP(Table2[[#This Row],[Description]],'Actuals Lookup'!D:F,3,0),Table2[[#This Row],[Manual Cat Value]])</f>
        <v>Exp - Utilities</v>
      </c>
      <c r="G8758" t="e">
        <f>VLOOKUP(D8758,Lookup!G:H,2,0)</f>
        <v>#N/A</v>
      </c>
      <c r="H8758" s="8" t="s">
        <v>6</v>
      </c>
      <c r="I8758" s="95"/>
      <c r="J8758" s="118">
        <v>-181.86</v>
      </c>
      <c r="K8758" s="87"/>
      <c r="L8758" s="87"/>
      <c r="M8758" s="87" t="s">
        <v>2535</v>
      </c>
      <c r="O8758" t="str">
        <f>LEFT(Table2[[#This Row],[Description]],75)</f>
        <v>Withdrawal ACH WASTE MANAGEMENT TYPE: INTERNET ID: 9049038216 CO: WASTE MAN</v>
      </c>
    </row>
    <row r="8759" spans="1:15" hidden="1">
      <c r="A8759" s="25">
        <f>VALUE(YEAR(Table2[[#This Row],[Date]])&amp;TEXT(MONTH(Table2[[#This Row],[Date]]),"00"))</f>
        <v>202302</v>
      </c>
      <c r="B8759" s="6">
        <v>44965</v>
      </c>
      <c r="C8759" t="s">
        <v>2447</v>
      </c>
      <c r="D8759" t="s">
        <v>3827</v>
      </c>
      <c r="E8759">
        <v>-24.69</v>
      </c>
      <c r="F8759" s="2" t="str">
        <f>IF(Table2[[#This Row],[Manual Cat Value]]="",VLOOKUP(Table2[[#This Row],[Description]],'Actuals Lookup'!D:F,3,0),Table2[[#This Row],[Manual Cat Value]])</f>
        <v>Exp - Amazon</v>
      </c>
      <c r="G8759" t="e">
        <f>VLOOKUP(D8759,Lookup!G:H,2,0)</f>
        <v>#N/A</v>
      </c>
      <c r="H8759" s="8" t="s">
        <v>37</v>
      </c>
      <c r="I8759" s="8"/>
      <c r="J8759">
        <v>24.69</v>
      </c>
      <c r="M8759" t="s">
        <v>3074</v>
      </c>
      <c r="O8759" t="str">
        <f>LEFT(Table2[[#This Row],[Description]],75)</f>
        <v>AMZN MKTP US AMZN.COM/BILLWA4LJ8060YIPU</v>
      </c>
    </row>
    <row r="8760" spans="1:15" hidden="1">
      <c r="A8760" s="25">
        <f>VALUE(YEAR(Table2[[#This Row],[Date]])&amp;TEXT(MONTH(Table2[[#This Row],[Date]]),"00"))</f>
        <v>202302</v>
      </c>
      <c r="B8760" s="6">
        <v>44965</v>
      </c>
      <c r="C8760" t="s">
        <v>2447</v>
      </c>
      <c r="D8760" t="s">
        <v>3828</v>
      </c>
      <c r="E8760">
        <v>-18.64</v>
      </c>
      <c r="F8760" s="2" t="str">
        <f>IF(Table2[[#This Row],[Manual Cat Value]]="",VLOOKUP(Table2[[#This Row],[Description]],'Actuals Lookup'!D:F,3,0),Table2[[#This Row],[Manual Cat Value]])</f>
        <v>Exp - Amazon</v>
      </c>
      <c r="G8760" t="e">
        <f>VLOOKUP(D8760,Lookup!G:H,2,0)</f>
        <v>#N/A</v>
      </c>
      <c r="H8760" s="8" t="s">
        <v>37</v>
      </c>
      <c r="I8760" s="8"/>
      <c r="J8760">
        <v>18.64</v>
      </c>
      <c r="M8760" t="s">
        <v>3074</v>
      </c>
      <c r="O8760" t="str">
        <f>LEFT(Table2[[#This Row],[Description]],75)</f>
        <v>AMZN MKTP US AMZN.COM/BILLWA5IKI7V2WJT6</v>
      </c>
    </row>
    <row r="8761" spans="1:15" hidden="1">
      <c r="A8761" s="25">
        <f>VALUE(YEAR(Table2[[#This Row],[Date]])&amp;TEXT(MONTH(Table2[[#This Row],[Date]]),"00"))</f>
        <v>202302</v>
      </c>
      <c r="B8761" s="6">
        <v>44965</v>
      </c>
      <c r="C8761" t="s">
        <v>2447</v>
      </c>
      <c r="D8761" t="s">
        <v>3829</v>
      </c>
      <c r="E8761">
        <v>-13.15</v>
      </c>
      <c r="F8761" s="2" t="str">
        <f>IF(Table2[[#This Row],[Manual Cat Value]]="",VLOOKUP(Table2[[#This Row],[Description]],'Actuals Lookup'!D:F,3,0),Table2[[#This Row],[Manual Cat Value]])</f>
        <v>Exp - Amazon</v>
      </c>
      <c r="G8761" t="e">
        <f>VLOOKUP(D8761,Lookup!G:H,2,0)</f>
        <v>#N/A</v>
      </c>
      <c r="H8761" s="8" t="s">
        <v>37</v>
      </c>
      <c r="I8761" s="8"/>
      <c r="J8761">
        <v>13.15</v>
      </c>
      <c r="M8761" t="s">
        <v>3074</v>
      </c>
      <c r="O8761" t="str">
        <f>LEFT(Table2[[#This Row],[Description]],75)</f>
        <v>AMZN MKTP US AMZN.COM/BILLWA6AZBHD6C6M4</v>
      </c>
    </row>
    <row r="8762" spans="1:15" hidden="1">
      <c r="A8762" s="25">
        <f>VALUE(YEAR(Table2[[#This Row],[Date]])&amp;TEXT(MONTH(Table2[[#This Row],[Date]]),"00"))</f>
        <v>202302</v>
      </c>
      <c r="B8762" s="6">
        <v>44965</v>
      </c>
      <c r="C8762" t="s">
        <v>2447</v>
      </c>
      <c r="D8762" t="s">
        <v>3830</v>
      </c>
      <c r="E8762">
        <v>-29.99</v>
      </c>
      <c r="F8762" s="2" t="str">
        <f>IF(Table2[[#This Row],[Manual Cat Value]]="",VLOOKUP(Table2[[#This Row],[Description]],'Actuals Lookup'!D:F,3,0),Table2[[#This Row],[Manual Cat Value]])</f>
        <v>Exp - Amazon</v>
      </c>
      <c r="G8762" t="e">
        <f>VLOOKUP(D8762,Lookup!G:H,2,0)</f>
        <v>#N/A</v>
      </c>
      <c r="H8762" s="8" t="s">
        <v>37</v>
      </c>
      <c r="I8762" s="8"/>
      <c r="J8762">
        <v>29.99</v>
      </c>
      <c r="M8762" t="s">
        <v>3074</v>
      </c>
      <c r="O8762" t="str">
        <f>LEFT(Table2[[#This Row],[Description]],75)</f>
        <v>AMZN MKTP US AMZN.COM/BILLWA6ET8X85GH7T</v>
      </c>
    </row>
    <row r="8763" spans="1:15" hidden="1">
      <c r="A8763" s="25">
        <f>VALUE(YEAR(Table2[[#This Row],[Date]])&amp;TEXT(MONTH(Table2[[#This Row],[Date]]),"00"))</f>
        <v>202302</v>
      </c>
      <c r="B8763" s="6">
        <v>44965</v>
      </c>
      <c r="C8763" t="s">
        <v>2447</v>
      </c>
      <c r="D8763" t="s">
        <v>3831</v>
      </c>
      <c r="E8763">
        <v>-29.99</v>
      </c>
      <c r="F8763" s="2" t="str">
        <f>IF(Table2[[#This Row],[Manual Cat Value]]="",VLOOKUP(Table2[[#This Row],[Description]],'Actuals Lookup'!D:F,3,0),Table2[[#This Row],[Manual Cat Value]])</f>
        <v>Exp - Amazon</v>
      </c>
      <c r="G8763" t="e">
        <f>VLOOKUP(D8763,Lookup!G:H,2,0)</f>
        <v>#N/A</v>
      </c>
      <c r="H8763" s="8" t="s">
        <v>37</v>
      </c>
      <c r="I8763" s="8"/>
      <c r="J8763">
        <v>29.99</v>
      </c>
      <c r="M8763" t="s">
        <v>3074</v>
      </c>
      <c r="O8763" t="str">
        <f>LEFT(Table2[[#This Row],[Description]],75)</f>
        <v>AMZN MKTP US AMZN.COM/BILLWA6LAEYA10HQX</v>
      </c>
    </row>
    <row r="8764" spans="1:15" hidden="1">
      <c r="A8764" s="25">
        <f>VALUE(YEAR(Table2[[#This Row],[Date]])&amp;TEXT(MONTH(Table2[[#This Row],[Date]]),"00"))</f>
        <v>202302</v>
      </c>
      <c r="B8764" s="6">
        <v>44965</v>
      </c>
      <c r="C8764" t="s">
        <v>2447</v>
      </c>
      <c r="D8764" t="s">
        <v>3832</v>
      </c>
      <c r="E8764">
        <v>-35.99</v>
      </c>
      <c r="F8764" s="2" t="str">
        <f>IF(Table2[[#This Row],[Manual Cat Value]]="",VLOOKUP(Table2[[#This Row],[Description]],'Actuals Lookup'!D:F,3,0),Table2[[#This Row],[Manual Cat Value]])</f>
        <v>Exp - Amazon</v>
      </c>
      <c r="G8764" t="e">
        <f>VLOOKUP(D8764,Lookup!G:H,2,0)</f>
        <v>#N/A</v>
      </c>
      <c r="H8764" s="8" t="s">
        <v>37</v>
      </c>
      <c r="I8764" s="8"/>
      <c r="J8764">
        <v>35.99</v>
      </c>
      <c r="M8764" t="s">
        <v>3074</v>
      </c>
      <c r="O8764" t="str">
        <f>LEFT(Table2[[#This Row],[Description]],75)</f>
        <v>AMZN MKTP US AMZN.COM/BILLWAZ6F8GH8H22I</v>
      </c>
    </row>
    <row r="8765" spans="1:15" hidden="1">
      <c r="A8765" s="25">
        <f>VALUE(YEAR(Table2[[#This Row],[Date]])&amp;TEXT(MONTH(Table2[[#This Row],[Date]]),"00"))</f>
        <v>202302</v>
      </c>
      <c r="B8765" s="6">
        <v>44965</v>
      </c>
      <c r="C8765" t="s">
        <v>2447</v>
      </c>
      <c r="D8765" t="s">
        <v>3833</v>
      </c>
      <c r="E8765">
        <v>11.8</v>
      </c>
      <c r="F8765" s="2" t="str">
        <f>IF(Table2[[#This Row],[Manual Cat Value]]="",VLOOKUP(Table2[[#This Row],[Description]],'Actuals Lookup'!D:F,3,0),Table2[[#This Row],[Manual Cat Value]])</f>
        <v>Exp - Amazon</v>
      </c>
      <c r="G8765" t="e">
        <f>VLOOKUP(D8765,Lookup!G:H,2,0)</f>
        <v>#N/A</v>
      </c>
      <c r="H8765" s="8" t="s">
        <v>37</v>
      </c>
      <c r="I8765" s="8"/>
      <c r="J8765">
        <v>11.8</v>
      </c>
      <c r="M8765" t="s">
        <v>2535</v>
      </c>
      <c r="O8765" t="str">
        <f>LEFT(Table2[[#This Row],[Description]],75)</f>
        <v>AMZN MKTP US*1R9TR70S3 AMZN.COM/BILLWA37C4E9C06B5</v>
      </c>
    </row>
    <row r="8766" spans="1:15" hidden="1">
      <c r="A8766" s="25">
        <f>VALUE(YEAR(Table2[[#This Row],[Date]])&amp;TEXT(MONTH(Table2[[#This Row],[Date]]),"00"))</f>
        <v>202302</v>
      </c>
      <c r="B8766" s="6">
        <v>44965</v>
      </c>
      <c r="C8766" t="s">
        <v>2447</v>
      </c>
      <c r="D8766" t="s">
        <v>3834</v>
      </c>
      <c r="E8766">
        <v>33.26</v>
      </c>
      <c r="F8766" s="2" t="str">
        <f>IF(Table2[[#This Row],[Manual Cat Value]]="",VLOOKUP(Table2[[#This Row],[Description]],'Actuals Lookup'!D:F,3,0),Table2[[#This Row],[Manual Cat Value]])</f>
        <v>Exp - Amazon</v>
      </c>
      <c r="G8766" t="e">
        <f>VLOOKUP(D8766,Lookup!G:H,2,0)</f>
        <v>#N/A</v>
      </c>
      <c r="H8766" s="8" t="s">
        <v>37</v>
      </c>
      <c r="I8766" s="8"/>
      <c r="J8766">
        <v>33.26</v>
      </c>
      <c r="M8766" t="s">
        <v>2535</v>
      </c>
      <c r="O8766" t="str">
        <f>LEFT(Table2[[#This Row],[Description]],75)</f>
        <v>AMZN MKTP US*H93C09Y40 AMZN.COM/BILLWA6Z40N5XM5MR</v>
      </c>
    </row>
    <row r="8767" spans="1:15" hidden="1">
      <c r="A8767" s="25">
        <f>VALUE(YEAR(Table2[[#This Row],[Date]])&amp;TEXT(MONTH(Table2[[#This Row],[Date]]),"00"))</f>
        <v>202302</v>
      </c>
      <c r="B8767" s="6">
        <v>44965</v>
      </c>
      <c r="C8767" t="s">
        <v>2447</v>
      </c>
      <c r="D8767" t="s">
        <v>3835</v>
      </c>
      <c r="E8767">
        <v>21.99</v>
      </c>
      <c r="F8767" s="2" t="str">
        <f>IF(Table2[[#This Row],[Manual Cat Value]]="",VLOOKUP(Table2[[#This Row],[Description]],'Actuals Lookup'!D:F,3,0),Table2[[#This Row],[Manual Cat Value]])</f>
        <v>Exp - Amazon</v>
      </c>
      <c r="G8767" t="e">
        <f>VLOOKUP(D8767,Lookup!G:H,2,0)</f>
        <v>#N/A</v>
      </c>
      <c r="H8767" s="8" t="s">
        <v>37</v>
      </c>
      <c r="I8767" s="8"/>
      <c r="J8767">
        <v>21.99</v>
      </c>
      <c r="M8767" t="s">
        <v>2535</v>
      </c>
      <c r="O8767" t="str">
        <f>LEFT(Table2[[#This Row],[Description]],75)</f>
        <v>AMZN MKTP US*I28F73K13 AMZN.COM/BILLWA4VRUZWH4U70</v>
      </c>
    </row>
    <row r="8768" spans="1:15" hidden="1">
      <c r="A8768" s="25">
        <f>VALUE(YEAR(Table2[[#This Row],[Date]])&amp;TEXT(MONTH(Table2[[#This Row],[Date]]),"00"))</f>
        <v>202302</v>
      </c>
      <c r="B8768" s="93">
        <v>44965</v>
      </c>
      <c r="C8768" s="97" t="s">
        <v>2265</v>
      </c>
      <c r="D8768" s="87" t="s">
        <v>3836</v>
      </c>
      <c r="E8768" s="87">
        <v>80.34</v>
      </c>
      <c r="F8768" s="2" t="str">
        <f>IF(Table2[[#This Row],[Manual Cat Value]]="",VLOOKUP(Table2[[#This Row],[Description]],'Actuals Lookup'!D:F,3,0),Table2[[#This Row],[Manual Cat Value]])</f>
        <v>Exp - Healthcare</v>
      </c>
      <c r="G8768" t="e">
        <f>VLOOKUP(D8768,Lookup!G:H,2,0)</f>
        <v>#N/A</v>
      </c>
      <c r="H8768" s="8" t="s">
        <v>47</v>
      </c>
      <c r="I8768" s="95"/>
      <c r="J8768" s="98">
        <v>80.34</v>
      </c>
      <c r="K8768" s="87"/>
      <c r="L8768" s="87"/>
      <c r="M8768" s="87" t="s">
        <v>3074</v>
      </c>
      <c r="O8768" t="str">
        <f>LEFT(Table2[[#This Row],[Description]],75)</f>
        <v>Deposit ACH connectyourcare TYPE: SVB-CLAIMS ID: E942875288 CO: connectyour</v>
      </c>
    </row>
    <row r="8769" spans="1:15" hidden="1">
      <c r="A8769" s="25">
        <f>VALUE(YEAR(Table2[[#This Row],[Date]])&amp;TEXT(MONTH(Table2[[#This Row],[Date]]),"00"))</f>
        <v>202302</v>
      </c>
      <c r="B8769" s="6">
        <v>44965</v>
      </c>
      <c r="C8769" t="s">
        <v>2447</v>
      </c>
      <c r="D8769" t="s">
        <v>3837</v>
      </c>
      <c r="E8769">
        <v>69.92</v>
      </c>
      <c r="F8769" s="2" t="str">
        <f>IF(Table2[[#This Row],[Manual Cat Value]]="",VLOOKUP(Table2[[#This Row],[Description]],'Actuals Lookup'!D:F,3,0),Table2[[#This Row],[Manual Cat Value]])</f>
        <v>Exp - Restaurants</v>
      </c>
      <c r="G8769" t="e">
        <f>VLOOKUP(D8769,Lookup!G:H,2,0)</f>
        <v>#N/A</v>
      </c>
      <c r="H8769" s="8" t="s">
        <v>25</v>
      </c>
      <c r="I8769" s="8"/>
      <c r="J8769">
        <v>69.92</v>
      </c>
      <c r="M8769" t="s">
        <v>2535</v>
      </c>
      <c r="O8769" t="str">
        <f>LEFT(Table2[[#This Row],[Description]],75)</f>
        <v>SQ *WINGMAN MATT LLC GOSQ.COM MN0002305843017023918588</v>
      </c>
    </row>
    <row r="8770" spans="1:15" hidden="1">
      <c r="A8770" s="25">
        <f>VALUE(YEAR(Table2[[#This Row],[Date]])&amp;TEXT(MONTH(Table2[[#This Row],[Date]]),"00"))</f>
        <v>202302</v>
      </c>
      <c r="B8770" s="93">
        <v>44965</v>
      </c>
      <c r="C8770" s="97" t="s">
        <v>2265</v>
      </c>
      <c r="D8770" s="87" t="s">
        <v>3838</v>
      </c>
      <c r="E8770" s="87">
        <v>492.07</v>
      </c>
      <c r="F8770" s="2" t="str">
        <f>IF(Table2[[#This Row],[Manual Cat Value]]="",VLOOKUP(Table2[[#This Row],[Description]],'Actuals Lookup'!D:F,3,0),Table2[[#This Row],[Manual Cat Value]])</f>
        <v>Exp - Utilities</v>
      </c>
      <c r="G8770" t="e">
        <f>VLOOKUP(D8770,Lookup!G:H,2,0)</f>
        <v>#N/A</v>
      </c>
      <c r="H8770" s="8" t="s">
        <v>6</v>
      </c>
      <c r="I8770" s="95"/>
      <c r="J8770" s="118">
        <v>-492.07</v>
      </c>
      <c r="K8770" s="87"/>
      <c r="L8770" s="87"/>
      <c r="M8770" s="87" t="s">
        <v>2535</v>
      </c>
      <c r="O8770" t="str">
        <f>LEFT(Table2[[#This Row],[Description]],75)</f>
        <v xml:space="preserve">Withdrawal ACH CPENERGY MNGCO TYPE: MGC ACH EB ID: 176051140S CO: CPENERGY </v>
      </c>
    </row>
    <row r="8771" spans="1:15" hidden="1">
      <c r="A8771" s="25">
        <f>VALUE(YEAR(Table2[[#This Row],[Date]])&amp;TEXT(MONTH(Table2[[#This Row],[Date]]),"00"))</f>
        <v>202302</v>
      </c>
      <c r="B8771" s="93">
        <v>44965</v>
      </c>
      <c r="C8771" s="97" t="s">
        <v>2265</v>
      </c>
      <c r="D8771" s="87" t="s">
        <v>3839</v>
      </c>
      <c r="E8771" s="87">
        <v>14.03</v>
      </c>
      <c r="F8771" s="2" t="str">
        <f>IF(Table2[[#This Row],[Manual Cat Value]]="",VLOOKUP(Table2[[#This Row],[Description]],'Actuals Lookup'!D:F,3,0),Table2[[#This Row],[Manual Cat Value]])</f>
        <v>Exp - Shopping</v>
      </c>
      <c r="G8771" t="e">
        <f>VLOOKUP(D8771,Lookup!G:H,2,0)</f>
        <v>#N/A</v>
      </c>
      <c r="H8771" s="8" t="s">
        <v>36</v>
      </c>
      <c r="I8771" s="95"/>
      <c r="J8771" s="118">
        <v>-14.03</v>
      </c>
      <c r="K8771" s="87"/>
      <c r="L8771" s="87"/>
      <c r="M8771" s="87" t="s">
        <v>2535</v>
      </c>
      <c r="O8771" t="str">
        <f>LEFT(Table2[[#This Row],[Description]],75)</f>
        <v xml:space="preserve">Withdrawal ACH PAYPAL TYPE: INST XFER ID: PAYPALSI77 CO: PAYPAL NAME: JEFF </v>
      </c>
    </row>
    <row r="8772" spans="1:15" hidden="1">
      <c r="A8772" s="25">
        <f>VALUE(YEAR(Table2[[#This Row],[Date]])&amp;TEXT(MONTH(Table2[[#This Row],[Date]]),"00"))</f>
        <v>202302</v>
      </c>
      <c r="B8772" s="93">
        <v>44965</v>
      </c>
      <c r="C8772" s="97" t="s">
        <v>2265</v>
      </c>
      <c r="D8772" s="87" t="s">
        <v>3815</v>
      </c>
      <c r="E8772" s="87">
        <v>1068.72</v>
      </c>
      <c r="F8772" s="2" t="str">
        <f>IF(Table2[[#This Row],[Manual Cat Value]]="",VLOOKUP(Table2[[#This Row],[Description]],'Actuals Lookup'!D:F,3,0),Table2[[#This Row],[Manual Cat Value]])</f>
        <v>Delete</v>
      </c>
      <c r="G8772" t="e">
        <f>VLOOKUP(D8772,Lookup!G:H,2,0)</f>
        <v>#N/A</v>
      </c>
      <c r="H8772" s="8" t="s">
        <v>9</v>
      </c>
      <c r="I8772" s="95"/>
      <c r="J8772" s="118">
        <v>-1068.72</v>
      </c>
      <c r="K8772" s="87"/>
      <c r="L8772" s="87"/>
      <c r="M8772" s="87" t="s">
        <v>2535</v>
      </c>
      <c r="O8772" t="str">
        <f>LEFT(Table2[[#This Row],[Description]],75)</f>
        <v>Withdrawal Home Banking Pmt to card XXXXXXXXXXXX-5913</v>
      </c>
    </row>
    <row r="8773" spans="1:15" hidden="1">
      <c r="A8773" s="25">
        <f>VALUE(YEAR(Table2[[#This Row],[Date]])&amp;TEXT(MONTH(Table2[[#This Row],[Date]]),"00"))</f>
        <v>202302</v>
      </c>
      <c r="B8773" s="93">
        <v>44965</v>
      </c>
      <c r="C8773" s="119" t="s">
        <v>2262</v>
      </c>
      <c r="D8773" s="87" t="s">
        <v>3840</v>
      </c>
      <c r="E8773" s="87">
        <v>1068.72</v>
      </c>
      <c r="F8773" s="2" t="str">
        <f>IF(Table2[[#This Row],[Manual Cat Value]]="",VLOOKUP(Table2[[#This Row],[Description]],'Actuals Lookup'!D:F,3,0),Table2[[#This Row],[Manual Cat Value]])</f>
        <v>Delete</v>
      </c>
      <c r="G8773" t="e">
        <f>VLOOKUP(D8773,Lookup!G:H,2,0)</f>
        <v>#N/A</v>
      </c>
      <c r="H8773" s="8" t="s">
        <v>9</v>
      </c>
      <c r="I8773" s="95"/>
      <c r="J8773" s="98">
        <v>1068.72</v>
      </c>
      <c r="K8773" s="87"/>
      <c r="L8773" s="87"/>
      <c r="M8773" s="87" t="s">
        <v>3074</v>
      </c>
      <c r="O8773" t="str">
        <f>LEFT(Table2[[#This Row],[Description]],75)</f>
        <v>PAYMENT - THANK YOU REF #74734571800XTMJG4</v>
      </c>
    </row>
    <row r="8774" spans="1:15" hidden="1">
      <c r="A8774" s="25">
        <f>VALUE(YEAR(Table2[[#This Row],[Date]])&amp;TEXT(MONTH(Table2[[#This Row],[Date]]),"00"))</f>
        <v>202302</v>
      </c>
      <c r="B8774" s="93">
        <v>44965</v>
      </c>
      <c r="C8774" s="97" t="s">
        <v>2265</v>
      </c>
      <c r="D8774" s="87" t="s">
        <v>3841</v>
      </c>
      <c r="E8774" s="87">
        <v>111.81</v>
      </c>
      <c r="F8774" s="2" t="str">
        <f>IF(Table2[[#This Row],[Manual Cat Value]]="",VLOOKUP(Table2[[#This Row],[Description]],'Actuals Lookup'!D:F,3,0),Table2[[#This Row],[Manual Cat Value]])</f>
        <v>Exp - Shopping</v>
      </c>
      <c r="G8774" t="e">
        <f>VLOOKUP(D8774,Lookup!G:H,2,0)</f>
        <v>#N/A</v>
      </c>
      <c r="H8774" s="8" t="s">
        <v>36</v>
      </c>
      <c r="I8774" s="95"/>
      <c r="J8774" s="118">
        <v>-111.81</v>
      </c>
      <c r="K8774" s="87"/>
      <c r="L8774" s="87"/>
      <c r="M8774" s="87" t="s">
        <v>2535</v>
      </c>
      <c r="O8774" t="str">
        <f>LEFT(Table2[[#This Row],[Description]],75)</f>
        <v>Withdrawal ACH VENMO TYPE: PAYMENT ID: 326XXXXXXX CO: VENMO NAME: BRITNEY T</v>
      </c>
    </row>
    <row r="8775" spans="1:15" hidden="1">
      <c r="A8775" s="25">
        <f>VALUE(YEAR(Table2[[#This Row],[Date]])&amp;TEXT(MONTH(Table2[[#This Row],[Date]]),"00"))</f>
        <v>202302</v>
      </c>
      <c r="B8775" s="93">
        <v>44965</v>
      </c>
      <c r="C8775" s="97" t="s">
        <v>2265</v>
      </c>
      <c r="D8775" s="87" t="s">
        <v>3842</v>
      </c>
      <c r="E8775" s="87">
        <v>153.55000000000001</v>
      </c>
      <c r="F8775" s="2" t="str">
        <f>IF(Table2[[#This Row],[Manual Cat Value]]="",VLOOKUP(Table2[[#This Row],[Description]],'Actuals Lookup'!D:F,3,0),Table2[[#This Row],[Manual Cat Value]])</f>
        <v>Exp - Utilities</v>
      </c>
      <c r="G8775" t="e">
        <f>VLOOKUP(D8775,Lookup!G:H,2,0)</f>
        <v>#N/A</v>
      </c>
      <c r="H8775" s="8" t="s">
        <v>6</v>
      </c>
      <c r="I8775" s="95"/>
      <c r="J8775" s="118">
        <v>-153.55000000000001</v>
      </c>
      <c r="K8775" s="87"/>
      <c r="L8775" s="87"/>
      <c r="M8775" s="87" t="s">
        <v>2535</v>
      </c>
      <c r="O8775" t="str">
        <f>LEFT(Table2[[#This Row],[Description]],75)</f>
        <v>Withdrawal ACH XCEL ENERGY-MN TYPE: XCELENERGY ID: 7411967505 CO: XCEL ENER</v>
      </c>
    </row>
    <row r="8776" spans="1:15" hidden="1">
      <c r="A8776" s="25">
        <f>VALUE(YEAR(Table2[[#This Row],[Date]])&amp;TEXT(MONTH(Table2[[#This Row],[Date]]),"00"))</f>
        <v>202302</v>
      </c>
      <c r="B8776" s="6">
        <v>44966</v>
      </c>
      <c r="C8776" t="s">
        <v>2447</v>
      </c>
      <c r="D8776" t="s">
        <v>3843</v>
      </c>
      <c r="E8776">
        <v>25</v>
      </c>
      <c r="F8776" s="2" t="str">
        <f>IF(Table2[[#This Row],[Manual Cat Value]]="",VLOOKUP(Table2[[#This Row],[Description]],'Actuals Lookup'!D:F,3,0),Table2[[#This Row],[Manual Cat Value]])</f>
        <v>Exp - Dry Cleaning</v>
      </c>
      <c r="G8776" t="e">
        <f>VLOOKUP(D8776,Lookup!G:H,2,0)</f>
        <v>#N/A</v>
      </c>
      <c r="H8776" s="8" t="s">
        <v>42</v>
      </c>
      <c r="I8776" s="8"/>
      <c r="J8776">
        <v>25</v>
      </c>
      <c r="M8776" t="s">
        <v>2535</v>
      </c>
      <c r="O8776" t="str">
        <f>LEFT(Table2[[#This Row],[Description]],75)</f>
        <v>LANDRY MGT LOYALTY 800-394-3839 TX</v>
      </c>
    </row>
    <row r="8777" spans="1:15" hidden="1">
      <c r="A8777" s="25">
        <f>VALUE(YEAR(Table2[[#This Row],[Date]])&amp;TEXT(MONTH(Table2[[#This Row],[Date]]),"00"))</f>
        <v>202302</v>
      </c>
      <c r="B8777" s="6">
        <v>44967</v>
      </c>
      <c r="C8777" t="s">
        <v>2447</v>
      </c>
      <c r="D8777" t="s">
        <v>3844</v>
      </c>
      <c r="E8777">
        <v>178.37</v>
      </c>
      <c r="F8777" s="2" t="str">
        <f>IF(Table2[[#This Row],[Manual Cat Value]]="",VLOOKUP(Table2[[#This Row],[Description]],'Actuals Lookup'!D:F,3,0),Table2[[#This Row],[Manual Cat Value]])</f>
        <v>Exp - Groceries</v>
      </c>
      <c r="G8777" t="e">
        <f>VLOOKUP(D8777,Lookup!G:H,2,0)</f>
        <v>#N/A</v>
      </c>
      <c r="H8777" s="8" t="s">
        <v>27</v>
      </c>
      <c r="I8777" s="8"/>
      <c r="J8777">
        <v>178.37</v>
      </c>
      <c r="M8777" t="s">
        <v>2535</v>
      </c>
      <c r="O8777" t="str">
        <f>LEFT(Table2[[#This Row],[Description]],75)</f>
        <v>AVO*ADVOCARE INTL 800-542-4800 TXAPPLE PAY ENDING IN 885691048590TDWTIBGQ</v>
      </c>
    </row>
    <row r="8778" spans="1:15" hidden="1">
      <c r="A8778" s="25">
        <f>VALUE(YEAR(Table2[[#This Row],[Date]])&amp;TEXT(MONTH(Table2[[#This Row],[Date]]),"00"))</f>
        <v>202302</v>
      </c>
      <c r="B8778" s="6">
        <v>44967</v>
      </c>
      <c r="C8778" t="s">
        <v>2447</v>
      </c>
      <c r="D8778" t="s">
        <v>3845</v>
      </c>
      <c r="E8778">
        <v>38.89</v>
      </c>
      <c r="F8778" s="2" t="str">
        <f>IF(Table2[[#This Row],[Manual Cat Value]]="",VLOOKUP(Table2[[#This Row],[Description]],'Actuals Lookup'!D:F,3,0),Table2[[#This Row],[Manual Cat Value]])</f>
        <v>Exp - Groceries</v>
      </c>
      <c r="G8778" t="e">
        <f>VLOOKUP(D8778,Lookup!G:H,2,0)</f>
        <v>#N/A</v>
      </c>
      <c r="H8778" s="8" t="s">
        <v>27</v>
      </c>
      <c r="I8778" s="8"/>
      <c r="J8778">
        <v>38.89</v>
      </c>
      <c r="M8778" t="s">
        <v>2535</v>
      </c>
      <c r="O8778" t="str">
        <f>LEFT(Table2[[#This Row],[Description]],75)</f>
        <v>CUB FOODS 01644 952-934-1010 MNAPPLE PAY ENDING IN 8856</v>
      </c>
    </row>
    <row r="8779" spans="1:15" hidden="1">
      <c r="A8779" s="25">
        <f>VALUE(YEAR(Table2[[#This Row],[Date]])&amp;TEXT(MONTH(Table2[[#This Row],[Date]]),"00"))</f>
        <v>202302</v>
      </c>
      <c r="B8779" s="93">
        <v>44967</v>
      </c>
      <c r="C8779" s="119" t="s">
        <v>2262</v>
      </c>
      <c r="D8779" s="87" t="s">
        <v>3846</v>
      </c>
      <c r="E8779" s="87">
        <v>47.25</v>
      </c>
      <c r="F8779" s="2" t="str">
        <f>IF(Table2[[#This Row],[Manual Cat Value]]="",VLOOKUP(Table2[[#This Row],[Description]],'Actuals Lookup'!D:F,3,0),Table2[[#This Row],[Manual Cat Value]])</f>
        <v>Exp - Gym</v>
      </c>
      <c r="G8779" t="e">
        <f>VLOOKUP(D8779,Lookup!G:H,2,0)</f>
        <v>#N/A</v>
      </c>
      <c r="H8779" s="8" t="s">
        <v>33</v>
      </c>
      <c r="I8779" s="95"/>
      <c r="J8779" s="118">
        <v>-47.25</v>
      </c>
      <c r="K8779" s="87"/>
      <c r="L8779" s="87"/>
      <c r="M8779" s="87" t="s">
        <v>2535</v>
      </c>
      <c r="O8779" t="str">
        <f>LEFT(Table2[[#This Row],[Description]],75)</f>
        <v>PELOTON* MEMBERSHIP      HTTPSWWW.ONEPNY REF #2401134190002AK24</v>
      </c>
    </row>
    <row r="8780" spans="1:15" hidden="1">
      <c r="A8780" s="25">
        <f>VALUE(YEAR(Table2[[#This Row],[Date]])&amp;TEXT(MONTH(Table2[[#This Row],[Date]]),"00"))</f>
        <v>202302</v>
      </c>
      <c r="B8780" s="93">
        <v>44969</v>
      </c>
      <c r="C8780" s="119" t="s">
        <v>2262</v>
      </c>
      <c r="D8780" s="87" t="s">
        <v>3847</v>
      </c>
      <c r="E8780" s="87">
        <v>55.92</v>
      </c>
      <c r="F8780" s="2" t="str">
        <f>IF(Table2[[#This Row],[Manual Cat Value]]="",VLOOKUP(Table2[[#This Row],[Description]],'Actuals Lookup'!D:F,3,0),Table2[[#This Row],[Manual Cat Value]])</f>
        <v>Exp - Restaurants</v>
      </c>
      <c r="G8780" t="e">
        <f>VLOOKUP(D8780,Lookup!G:H,2,0)</f>
        <v>#N/A</v>
      </c>
      <c r="H8780" s="8" t="s">
        <v>25</v>
      </c>
      <c r="I8780" s="95"/>
      <c r="J8780" s="118">
        <v>-55.92</v>
      </c>
      <c r="K8780" s="87"/>
      <c r="L8780" s="87"/>
      <c r="M8780" s="87" t="s">
        <v>2535</v>
      </c>
      <c r="O8780" t="str">
        <f>LEFT(Table2[[#This Row],[Description]],75)</f>
        <v>BUDDY BOY FINE BARBEQUE  877-8144102  MN REF #240372419S66EW80F</v>
      </c>
    </row>
    <row r="8781" spans="1:15" hidden="1">
      <c r="A8781" s="25">
        <f>VALUE(YEAR(Table2[[#This Row],[Date]])&amp;TEXT(MONTH(Table2[[#This Row],[Date]]),"00"))</f>
        <v>202302</v>
      </c>
      <c r="B8781" s="93">
        <v>44969</v>
      </c>
      <c r="C8781" s="119" t="s">
        <v>2262</v>
      </c>
      <c r="D8781" s="87" t="s">
        <v>3848</v>
      </c>
      <c r="E8781" s="87">
        <v>19</v>
      </c>
      <c r="F8781" s="2" t="str">
        <f>IF(Table2[[#This Row],[Manual Cat Value]]="",VLOOKUP(Table2[[#This Row],[Description]],'Actuals Lookup'!D:F,3,0),Table2[[#This Row],[Manual Cat Value]])</f>
        <v>Exp - Entertainment</v>
      </c>
      <c r="G8781" t="e">
        <f>VLOOKUP(D8781,Lookup!G:H,2,0)</f>
        <v>#N/A</v>
      </c>
      <c r="H8781" s="8" t="s">
        <v>39</v>
      </c>
      <c r="I8781" s="95"/>
      <c r="J8781" s="118">
        <v>-19</v>
      </c>
      <c r="K8781" s="87"/>
      <c r="L8781" s="87"/>
      <c r="M8781" s="87" t="s">
        <v>2535</v>
      </c>
      <c r="O8781" t="str">
        <f>LEFT(Table2[[#This Row],[Description]],75)</f>
        <v>ELITE NAILS LLC          CHANHASSEN   MN REF #2471705198550H9T0</v>
      </c>
    </row>
    <row r="8782" spans="1:15" hidden="1">
      <c r="A8782" s="25">
        <f>VALUE(YEAR(Table2[[#This Row],[Date]])&amp;TEXT(MONTH(Table2[[#This Row],[Date]]),"00"))</f>
        <v>202302</v>
      </c>
      <c r="B8782" s="93">
        <v>44969</v>
      </c>
      <c r="C8782" s="119" t="s">
        <v>2262</v>
      </c>
      <c r="D8782" s="87" t="s">
        <v>3849</v>
      </c>
      <c r="E8782" s="87">
        <v>42.22</v>
      </c>
      <c r="F8782" s="2" t="str">
        <f>IF(Table2[[#This Row],[Manual Cat Value]]="",VLOOKUP(Table2[[#This Row],[Description]],'Actuals Lookup'!D:F,3,0),Table2[[#This Row],[Manual Cat Value]])</f>
        <v>Exp - Groceries</v>
      </c>
      <c r="G8782" t="e">
        <f>VLOOKUP(D8782,Lookup!G:H,2,0)</f>
        <v>#N/A</v>
      </c>
      <c r="H8782" s="8" t="s">
        <v>27</v>
      </c>
      <c r="I8782" s="95"/>
      <c r="J8782" s="118">
        <v>-42.22</v>
      </c>
      <c r="K8782" s="87"/>
      <c r="L8782" s="87"/>
      <c r="M8782" s="87" t="s">
        <v>2535</v>
      </c>
      <c r="O8782" t="str">
        <f>LEFT(Table2[[#This Row],[Description]],75)</f>
        <v>LAKEWINDS - CHANHASSEN   CHANHASSEN   MN REF #24055231ARBGRK1KP</v>
      </c>
    </row>
    <row r="8783" spans="1:15" hidden="1">
      <c r="A8783" s="25">
        <f>VALUE(YEAR(Table2[[#This Row],[Date]])&amp;TEXT(MONTH(Table2[[#This Row],[Date]]),"00"))</f>
        <v>202302</v>
      </c>
      <c r="B8783" s="93">
        <v>44969</v>
      </c>
      <c r="C8783" s="119" t="s">
        <v>2262</v>
      </c>
      <c r="D8783" s="87" t="s">
        <v>3850</v>
      </c>
      <c r="E8783" s="87">
        <v>104.5</v>
      </c>
      <c r="F8783" s="2" t="str">
        <f>IF(Table2[[#This Row],[Manual Cat Value]]="",VLOOKUP(Table2[[#This Row],[Description]],'Actuals Lookup'!D:F,3,0),Table2[[#This Row],[Manual Cat Value]])</f>
        <v>Exp - Day Care</v>
      </c>
      <c r="G8783" t="e">
        <f>VLOOKUP(D8783,Lookup!G:H,2,0)</f>
        <v>#N/A</v>
      </c>
      <c r="H8783" s="8" t="s">
        <v>19</v>
      </c>
      <c r="I8783" s="95"/>
      <c r="J8783" s="118">
        <v>-104.5</v>
      </c>
      <c r="K8783" s="87"/>
      <c r="L8783" s="87"/>
      <c r="M8783" s="87" t="s">
        <v>2535</v>
      </c>
      <c r="O8783" t="str">
        <f>LEFT(Table2[[#This Row],[Description]],75)</f>
        <v>MTKA YOUTH LAX           WWW.MTKALAX.OMN REF #2449216190013WT0Z</v>
      </c>
    </row>
    <row r="8784" spans="1:15" hidden="1">
      <c r="A8784" s="25">
        <f>VALUE(YEAR(Table2[[#This Row],[Date]])&amp;TEXT(MONTH(Table2[[#This Row],[Date]]),"00"))</f>
        <v>202302</v>
      </c>
      <c r="B8784" s="93">
        <v>44969</v>
      </c>
      <c r="C8784" s="119" t="s">
        <v>2262</v>
      </c>
      <c r="D8784" s="87" t="s">
        <v>3851</v>
      </c>
      <c r="E8784" s="87">
        <v>19.11</v>
      </c>
      <c r="F8784" s="2" t="str">
        <f>IF(Table2[[#This Row],[Manual Cat Value]]="",VLOOKUP(Table2[[#This Row],[Description]],'Actuals Lookup'!D:F,3,0),Table2[[#This Row],[Manual Cat Value]])</f>
        <v>Exp - Gifts</v>
      </c>
      <c r="G8784" t="e">
        <f>VLOOKUP(D8784,Lookup!G:H,2,0)</f>
        <v>#N/A</v>
      </c>
      <c r="H8784" s="8" t="s">
        <v>44</v>
      </c>
      <c r="I8784" s="95"/>
      <c r="J8784" s="118">
        <v>-19.11</v>
      </c>
      <c r="K8784" s="87"/>
      <c r="L8784" s="87"/>
      <c r="M8784" s="87" t="s">
        <v>2535</v>
      </c>
      <c r="O8784" t="str">
        <f>LEFT(Table2[[#This Row],[Description]],75)</f>
        <v>PARTY CITY BOPIS         800-727-8924 NJ REF #24692161A35WJ6EX8</v>
      </c>
    </row>
    <row r="8785" spans="1:15" hidden="1">
      <c r="A8785" s="25">
        <f>VALUE(YEAR(Table2[[#This Row],[Date]])&amp;TEXT(MONTH(Table2[[#This Row],[Date]]),"00"))</f>
        <v>202302</v>
      </c>
      <c r="B8785" s="93">
        <v>44969</v>
      </c>
      <c r="C8785" s="119" t="s">
        <v>2262</v>
      </c>
      <c r="D8785" s="87" t="s">
        <v>3852</v>
      </c>
      <c r="E8785" s="87">
        <v>46.48</v>
      </c>
      <c r="F8785" s="2" t="str">
        <f>IF(Table2[[#This Row],[Manual Cat Value]]="",VLOOKUP(Table2[[#This Row],[Description]],'Actuals Lookup'!D:F,3,0),Table2[[#This Row],[Manual Cat Value]])</f>
        <v>Exp - Transportation</v>
      </c>
      <c r="G8785" t="e">
        <f>VLOOKUP(D8785,Lookup!G:H,2,0)</f>
        <v>#N/A</v>
      </c>
      <c r="H8785" s="8" t="s">
        <v>22</v>
      </c>
      <c r="I8785" s="95"/>
      <c r="J8785" s="118">
        <v>-46.48</v>
      </c>
      <c r="K8785" s="87"/>
      <c r="L8785" s="87"/>
      <c r="M8785" s="87" t="s">
        <v>2535</v>
      </c>
      <c r="O8785" t="str">
        <f>LEFT(Table2[[#This Row],[Description]],75)</f>
        <v>SPEEDWAY 04159           EDEN PRAIRIE MN REF #24137461B01B9V29J</v>
      </c>
    </row>
    <row r="8786" spans="1:15" hidden="1">
      <c r="A8786" s="25">
        <f>VALUE(YEAR(Table2[[#This Row],[Date]])&amp;TEXT(MONTH(Table2[[#This Row],[Date]]),"00"))</f>
        <v>202302</v>
      </c>
      <c r="B8786" s="93">
        <v>44969</v>
      </c>
      <c r="C8786" s="119" t="s">
        <v>2262</v>
      </c>
      <c r="D8786" s="87" t="s">
        <v>3853</v>
      </c>
      <c r="E8786" s="87">
        <v>29.14</v>
      </c>
      <c r="F8786" s="2" t="str">
        <f>IF(Table2[[#This Row],[Manual Cat Value]]="",VLOOKUP(Table2[[#This Row],[Description]],'Actuals Lookup'!D:F,3,0),Table2[[#This Row],[Manual Cat Value]])</f>
        <v>Exp - Restaurants</v>
      </c>
      <c r="G8786" t="e">
        <f>VLOOKUP(D8786,Lookup!G:H,2,0)</f>
        <v>#N/A</v>
      </c>
      <c r="H8786" s="8" t="s">
        <v>25</v>
      </c>
      <c r="I8786" s="95"/>
      <c r="J8786" s="118">
        <v>-29.14</v>
      </c>
      <c r="K8786" s="87"/>
      <c r="L8786" s="87"/>
      <c r="M8786" s="87" t="s">
        <v>2535</v>
      </c>
      <c r="O8786" t="str">
        <f>LEFT(Table2[[#This Row],[Description]],75)</f>
        <v>SQ *MAYNARDS             Shorewood    MN REF #24692161A368X4KS7</v>
      </c>
    </row>
    <row r="8787" spans="1:15" hidden="1">
      <c r="A8787" s="25">
        <f>VALUE(YEAR(Table2[[#This Row],[Date]])&amp;TEXT(MONTH(Table2[[#This Row],[Date]]),"00"))</f>
        <v>202302</v>
      </c>
      <c r="B8787" s="6">
        <v>44970</v>
      </c>
      <c r="C8787" t="s">
        <v>2447</v>
      </c>
      <c r="D8787" t="s">
        <v>3854</v>
      </c>
      <c r="E8787">
        <v>86.96</v>
      </c>
      <c r="F8787" s="2" t="str">
        <f>IF(Table2[[#This Row],[Manual Cat Value]]="",VLOOKUP(Table2[[#This Row],[Description]],'Actuals Lookup'!D:F,3,0),Table2[[#This Row],[Manual Cat Value]])</f>
        <v>Exp - Amazon</v>
      </c>
      <c r="G8787" t="e">
        <f>VLOOKUP(D8787,Lookup!G:H,2,0)</f>
        <v>#N/A</v>
      </c>
      <c r="H8787" s="8" t="s">
        <v>37</v>
      </c>
      <c r="I8787" s="8"/>
      <c r="J8787">
        <v>86.96</v>
      </c>
      <c r="M8787" t="s">
        <v>2535</v>
      </c>
      <c r="O8787" t="str">
        <f>LEFT(Table2[[#This Row],[Description]],75)</f>
        <v>AMZN MKTP US*H91XZ1RI2 AMZN.COM/BILLWA3B2X6EIBGCY</v>
      </c>
    </row>
    <row r="8788" spans="1:15" hidden="1">
      <c r="A8788" s="25">
        <f>VALUE(YEAR(Table2[[#This Row],[Date]])&amp;TEXT(MONTH(Table2[[#This Row],[Date]]),"00"))</f>
        <v>202302</v>
      </c>
      <c r="B8788" s="6">
        <v>44970</v>
      </c>
      <c r="C8788" t="s">
        <v>2447</v>
      </c>
      <c r="D8788" t="s">
        <v>3855</v>
      </c>
      <c r="E8788">
        <v>5</v>
      </c>
      <c r="F8788" s="2" t="str">
        <f>IF(Table2[[#This Row],[Manual Cat Value]]="",VLOOKUP(Table2[[#This Row],[Description]],'Actuals Lookup'!D:F,3,0),Table2[[#This Row],[Manual Cat Value]])</f>
        <v>Exp - Restaurants</v>
      </c>
      <c r="G8788" t="e">
        <f>VLOOKUP(D8788,Lookup!G:H,2,0)</f>
        <v>#N/A</v>
      </c>
      <c r="H8788" s="8" t="s">
        <v>25</v>
      </c>
      <c r="I8788" s="8"/>
      <c r="J8788">
        <v>5</v>
      </c>
      <c r="M8788" t="s">
        <v>2535</v>
      </c>
      <c r="O8788" t="str">
        <f>LEFT(Table2[[#This Row],[Description]],75)</f>
        <v>CASHSTAR STARBUCKS GFT 877-850-1977 MEAPPLE PAY ENDING IN 8856744563969DVTN</v>
      </c>
    </row>
    <row r="8789" spans="1:15" hidden="1">
      <c r="A8789" s="25">
        <f>VALUE(YEAR(Table2[[#This Row],[Date]])&amp;TEXT(MONTH(Table2[[#This Row],[Date]]),"00"))</f>
        <v>202302</v>
      </c>
      <c r="B8789" s="93">
        <v>44970</v>
      </c>
      <c r="C8789" s="119" t="s">
        <v>2262</v>
      </c>
      <c r="D8789" s="87" t="s">
        <v>3856</v>
      </c>
      <c r="E8789" s="87">
        <v>36.47</v>
      </c>
      <c r="F8789" s="2" t="str">
        <f>IF(Table2[[#This Row],[Manual Cat Value]]="",VLOOKUP(Table2[[#This Row],[Description]],'Actuals Lookup'!D:F,3,0),Table2[[#This Row],[Manual Cat Value]])</f>
        <v>Exp - Shopping</v>
      </c>
      <c r="G8789" t="e">
        <f>VLOOKUP(D8789,Lookup!G:H,2,0)</f>
        <v>#N/A</v>
      </c>
      <c r="H8789" s="8" t="s">
        <v>36</v>
      </c>
      <c r="I8789" s="95"/>
      <c r="J8789" s="118">
        <v>-36.47</v>
      </c>
      <c r="K8789" s="87"/>
      <c r="L8789" s="87"/>
      <c r="M8789" s="87" t="s">
        <v>2535</v>
      </c>
      <c r="O8789" t="str">
        <f>LEFT(Table2[[#This Row],[Description]],75)</f>
        <v>MALL OF AMERICA          BLOOMINGTON  MN REF #24692161B2XE17ASD</v>
      </c>
    </row>
    <row r="8790" spans="1:15" hidden="1">
      <c r="A8790" s="25">
        <f>VALUE(YEAR(Table2[[#This Row],[Date]])&amp;TEXT(MONTH(Table2[[#This Row],[Date]]),"00"))</f>
        <v>202302</v>
      </c>
      <c r="B8790" s="93">
        <v>44970</v>
      </c>
      <c r="C8790" s="119" t="s">
        <v>2262</v>
      </c>
      <c r="D8790" s="87" t="s">
        <v>3857</v>
      </c>
      <c r="E8790" s="87">
        <v>48.24</v>
      </c>
      <c r="F8790" s="2" t="str">
        <f>IF(Table2[[#This Row],[Manual Cat Value]]="",VLOOKUP(Table2[[#This Row],[Description]],'Actuals Lookup'!D:F,3,0),Table2[[#This Row],[Manual Cat Value]])</f>
        <v>Delete</v>
      </c>
      <c r="G8790" t="e">
        <f>VLOOKUP(D8790,Lookup!G:H,2,0)</f>
        <v>#N/A</v>
      </c>
      <c r="H8790" s="8" t="s">
        <v>9</v>
      </c>
      <c r="I8790" s="95"/>
      <c r="J8790" s="98">
        <v>48.24</v>
      </c>
      <c r="K8790" s="87"/>
      <c r="L8790" s="87"/>
      <c r="M8790" s="87" t="s">
        <v>3074</v>
      </c>
      <c r="O8790" t="str">
        <f>LEFT(Table2[[#This Row],[Description]],75)</f>
        <v>SECURITY ADJUSTMENT (SD) REF #F5662001C000SD4F9</v>
      </c>
    </row>
    <row r="8791" spans="1:15" hidden="1">
      <c r="A8791" s="25">
        <f>VALUE(YEAR(Table2[[#This Row],[Date]])&amp;TEXT(MONTH(Table2[[#This Row],[Date]]),"00"))</f>
        <v>202302</v>
      </c>
      <c r="B8791" s="6">
        <v>44970</v>
      </c>
      <c r="C8791" t="s">
        <v>2447</v>
      </c>
      <c r="D8791" t="s">
        <v>997</v>
      </c>
      <c r="E8791">
        <v>-1019.81</v>
      </c>
      <c r="F8791" s="2" t="str">
        <f>IF(Table2[[#This Row],[Manual Cat Value]]="",VLOOKUP(Table2[[#This Row],[Description]],'Actuals Lookup'!D:F,3,0),Table2[[#This Row],[Manual Cat Value]])</f>
        <v>Delete</v>
      </c>
      <c r="G8791" t="str">
        <f>VLOOKUP(D8791,Lookup!G:H,2,0)</f>
        <v>Delete</v>
      </c>
      <c r="H8791" s="8" t="s">
        <v>9</v>
      </c>
      <c r="I8791" s="8"/>
      <c r="J8791">
        <v>1019.81</v>
      </c>
      <c r="M8791" t="s">
        <v>3074</v>
      </c>
      <c r="O8791" t="str">
        <f>LEFT(Table2[[#This Row],[Description]],75)</f>
        <v>INTERNET PAYMENT - THANK YOU</v>
      </c>
    </row>
    <row r="8792" spans="1:15" hidden="1">
      <c r="A8792" s="25">
        <f>VALUE(YEAR(Table2[[#This Row],[Date]])&amp;TEXT(MONTH(Table2[[#This Row],[Date]]),"00"))</f>
        <v>202302</v>
      </c>
      <c r="B8792" s="93">
        <v>44971</v>
      </c>
      <c r="C8792" s="97" t="s">
        <v>2265</v>
      </c>
      <c r="D8792" s="87" t="s">
        <v>3858</v>
      </c>
      <c r="E8792" s="87">
        <v>2922.78</v>
      </c>
      <c r="F8792" s="2" t="str">
        <f>IF(Table2[[#This Row],[Manual Cat Value]]="",VLOOKUP(Table2[[#This Row],[Description]],'Actuals Lookup'!D:F,3,0),Table2[[#This Row],[Manual Cat Value]])</f>
        <v>Inc - Jeff</v>
      </c>
      <c r="G8792" t="e">
        <f>VLOOKUP(D8792,Lookup!G:H,2,0)</f>
        <v>#N/A</v>
      </c>
      <c r="H8792" s="8" t="s">
        <v>63</v>
      </c>
      <c r="I8792" s="95"/>
      <c r="J8792" s="98">
        <v>2922.78</v>
      </c>
      <c r="K8792" s="87"/>
      <c r="L8792" s="87"/>
      <c r="M8792" s="87" t="s">
        <v>3074</v>
      </c>
      <c r="O8792" t="str">
        <f>LEFT(Table2[[#This Row],[Description]],75)</f>
        <v>Deposit ACH TRINET TYPE: PAYROLL ID: 194XXXXXXX CO: TRINET Entry Class Code</v>
      </c>
    </row>
    <row r="8793" spans="1:15" hidden="1">
      <c r="A8793" s="25">
        <f>VALUE(YEAR(Table2[[#This Row],[Date]])&amp;TEXT(MONTH(Table2[[#This Row],[Date]]),"00"))</f>
        <v>202302</v>
      </c>
      <c r="B8793" s="6">
        <v>44971</v>
      </c>
      <c r="C8793" t="s">
        <v>2447</v>
      </c>
      <c r="D8793" t="s">
        <v>3859</v>
      </c>
      <c r="E8793">
        <v>17.989999999999998</v>
      </c>
      <c r="F8793" s="2" t="str">
        <f>IF(Table2[[#This Row],[Manual Cat Value]]="",VLOOKUP(Table2[[#This Row],[Description]],'Actuals Lookup'!D:F,3,0),Table2[[#This Row],[Manual Cat Value]])</f>
        <v>Exp - Restaurants</v>
      </c>
      <c r="G8793" t="e">
        <f>VLOOKUP(D8793,Lookup!G:H,2,0)</f>
        <v>#N/A</v>
      </c>
      <c r="H8793" s="8" t="s">
        <v>25</v>
      </c>
      <c r="I8793" s="8"/>
      <c r="J8793">
        <v>17.989999999999998</v>
      </c>
      <c r="M8793" t="s">
        <v>2535</v>
      </c>
      <c r="O8793" t="str">
        <f>LEFT(Table2[[#This Row],[Description]],75)</f>
        <v>JIMMY JOHNS -923 - ECO CHANHASSEN MNAPPLE PAY ENDING IN 8856</v>
      </c>
    </row>
    <row r="8794" spans="1:15" hidden="1">
      <c r="A8794" s="25">
        <f>VALUE(YEAR(Table2[[#This Row],[Date]])&amp;TEXT(MONTH(Table2[[#This Row],[Date]]),"00"))</f>
        <v>202302</v>
      </c>
      <c r="B8794" s="93">
        <v>44971</v>
      </c>
      <c r="C8794" s="119" t="s">
        <v>2262</v>
      </c>
      <c r="D8794" s="87" t="s">
        <v>3860</v>
      </c>
      <c r="E8794" s="87">
        <v>115.4</v>
      </c>
      <c r="F8794" s="2" t="str">
        <f>IF(Table2[[#This Row],[Manual Cat Value]]="",VLOOKUP(Table2[[#This Row],[Description]],'Actuals Lookup'!D:F,3,0),Table2[[#This Row],[Manual Cat Value]])</f>
        <v>Exp - Healthcare</v>
      </c>
      <c r="G8794" t="e">
        <f>VLOOKUP(D8794,Lookup!G:H,2,0)</f>
        <v>#N/A</v>
      </c>
      <c r="H8794" s="8" t="s">
        <v>47</v>
      </c>
      <c r="I8794" s="95"/>
      <c r="J8794" s="118">
        <v>-115.4</v>
      </c>
      <c r="K8794" s="87"/>
      <c r="L8794" s="87"/>
      <c r="M8794" s="87" t="s">
        <v>2535</v>
      </c>
      <c r="O8794" t="str">
        <f>LEFT(Table2[[#This Row],[Description]],75)</f>
        <v>METROPOLITAN ANESTHESIA  763-559-3779 MN REF #24801971QTQEBPQGM</v>
      </c>
    </row>
    <row r="8795" spans="1:15" hidden="1">
      <c r="A8795" s="25">
        <f>VALUE(YEAR(Table2[[#This Row],[Date]])&amp;TEXT(MONTH(Table2[[#This Row],[Date]]),"00"))</f>
        <v>202302</v>
      </c>
      <c r="B8795" s="93">
        <v>44971</v>
      </c>
      <c r="C8795" s="97" t="s">
        <v>2265</v>
      </c>
      <c r="D8795" s="87" t="s">
        <v>3861</v>
      </c>
      <c r="E8795" s="87">
        <v>330</v>
      </c>
      <c r="F8795" s="2" t="str">
        <f>IF(Table2[[#This Row],[Manual Cat Value]]="",VLOOKUP(Table2[[#This Row],[Description]],'Actuals Lookup'!D:F,3,0),Table2[[#This Row],[Manual Cat Value]])</f>
        <v>Exp - Day Care</v>
      </c>
      <c r="G8795" t="e">
        <f>VLOOKUP(D8795,Lookup!G:H,2,0)</f>
        <v>#N/A</v>
      </c>
      <c r="H8795" s="8" t="s">
        <v>19</v>
      </c>
      <c r="I8795" s="95"/>
      <c r="J8795" s="118">
        <v>-330</v>
      </c>
      <c r="K8795" s="87"/>
      <c r="L8795" s="87"/>
      <c r="M8795" s="87" t="s">
        <v>2535</v>
      </c>
      <c r="O8795" t="str">
        <f>LEFT(Table2[[#This Row],[Description]],75)</f>
        <v xml:space="preserve">Withdrawal ACH MHCHILDCARELLC TYPE: DUES ID: 1824708198 CO: MHCHILDCARELLC </v>
      </c>
    </row>
    <row r="8796" spans="1:15" hidden="1">
      <c r="A8796" s="25">
        <f>VALUE(YEAR(Table2[[#This Row],[Date]])&amp;TEXT(MONTH(Table2[[#This Row],[Date]]),"00"))</f>
        <v>202302</v>
      </c>
      <c r="B8796" s="93">
        <v>44971</v>
      </c>
      <c r="C8796" s="97" t="s">
        <v>2265</v>
      </c>
      <c r="D8796" s="87" t="s">
        <v>3862</v>
      </c>
      <c r="E8796" s="87">
        <v>90.4</v>
      </c>
      <c r="F8796" s="2" t="str">
        <f>IF(Table2[[#This Row],[Manual Cat Value]]="",VLOOKUP(Table2[[#This Row],[Description]],'Actuals Lookup'!D:F,3,0),Table2[[#This Row],[Manual Cat Value]])</f>
        <v>Exp - Insurance</v>
      </c>
      <c r="G8796" t="e">
        <f>VLOOKUP(D8796,Lookup!G:H,2,0)</f>
        <v>#N/A</v>
      </c>
      <c r="H8796" s="8" t="s">
        <v>17</v>
      </c>
      <c r="I8796" s="95"/>
      <c r="J8796" s="118">
        <v>-90.4</v>
      </c>
      <c r="K8796" s="87"/>
      <c r="L8796" s="87"/>
      <c r="M8796" s="87" t="s">
        <v>2535</v>
      </c>
      <c r="O8796" t="str">
        <f>LEFT(Table2[[#This Row],[Description]],75)</f>
        <v>Withdrawal ACH AMERICAN FAMILY TYPE: WEBPAYMENT ID: PEBP075965 CO: AMERICAN</v>
      </c>
    </row>
    <row r="8797" spans="1:15" hidden="1">
      <c r="A8797" s="25">
        <f>VALUE(YEAR(Table2[[#This Row],[Date]])&amp;TEXT(MONTH(Table2[[#This Row],[Date]]),"00"))</f>
        <v>202302</v>
      </c>
      <c r="B8797" s="93">
        <v>44971</v>
      </c>
      <c r="C8797" s="97" t="s">
        <v>2265</v>
      </c>
      <c r="D8797" s="87" t="s">
        <v>3863</v>
      </c>
      <c r="E8797" s="87">
        <v>1019.81</v>
      </c>
      <c r="F8797" s="2" t="str">
        <f>IF(Table2[[#This Row],[Manual Cat Value]]="",VLOOKUP(Table2[[#This Row],[Description]],'Actuals Lookup'!D:F,3,0),Table2[[#This Row],[Manual Cat Value]])</f>
        <v>Delete</v>
      </c>
      <c r="G8797" t="e">
        <f>VLOOKUP(D8797,Lookup!G:H,2,0)</f>
        <v>#N/A</v>
      </c>
      <c r="H8797" s="8" t="s">
        <v>9</v>
      </c>
      <c r="I8797" s="95"/>
      <c r="J8797" s="118">
        <v>-1019.81</v>
      </c>
      <c r="K8797" s="87"/>
      <c r="L8797" s="87"/>
      <c r="M8797" s="87" t="s">
        <v>2535</v>
      </c>
      <c r="O8797" t="str">
        <f>LEFT(Table2[[#This Row],[Description]],75)</f>
        <v>Withdrawal ACH DISCOVER TYPE: E-PAYMENT ID: 2510020270 CO: DISCOVER NAME: T</v>
      </c>
    </row>
    <row r="8798" spans="1:15" hidden="1">
      <c r="A8798" s="25">
        <f>VALUE(YEAR(Table2[[#This Row],[Date]])&amp;TEXT(MONTH(Table2[[#This Row],[Date]]),"00"))</f>
        <v>202302</v>
      </c>
      <c r="B8798" s="6">
        <v>44972</v>
      </c>
      <c r="C8798" t="s">
        <v>2447</v>
      </c>
      <c r="D8798" t="s">
        <v>3864</v>
      </c>
      <c r="E8798">
        <v>-14.87</v>
      </c>
      <c r="F8798" s="2" t="str">
        <f>IF(Table2[[#This Row],[Manual Cat Value]]="",VLOOKUP(Table2[[#This Row],[Description]],'Actuals Lookup'!D:F,3,0),Table2[[#This Row],[Manual Cat Value]])</f>
        <v>Exp - Amazon</v>
      </c>
      <c r="G8798" t="e">
        <f>VLOOKUP(D8798,Lookup!G:H,2,0)</f>
        <v>#N/A</v>
      </c>
      <c r="H8798" s="8" t="s">
        <v>37</v>
      </c>
      <c r="I8798" s="8"/>
      <c r="J8798">
        <v>14.87</v>
      </c>
      <c r="M8798" t="s">
        <v>3074</v>
      </c>
      <c r="O8798" t="str">
        <f>LEFT(Table2[[#This Row],[Description]],75)</f>
        <v>AMZN MKTP US AMZN.COM/BILLWA6NRM1LXT3NE</v>
      </c>
    </row>
    <row r="8799" spans="1:15" hidden="1">
      <c r="A8799" s="25">
        <f>VALUE(YEAR(Table2[[#This Row],[Date]])&amp;TEXT(MONTH(Table2[[#This Row],[Date]]),"00"))</f>
        <v>202302</v>
      </c>
      <c r="B8799" s="93">
        <v>44972</v>
      </c>
      <c r="C8799" s="119" t="s">
        <v>2262</v>
      </c>
      <c r="D8799" s="87" t="s">
        <v>3865</v>
      </c>
      <c r="E8799" s="87">
        <v>45</v>
      </c>
      <c r="F8799" s="2" t="str">
        <f>IF(Table2[[#This Row],[Manual Cat Value]]="",VLOOKUP(Table2[[#This Row],[Description]],'Actuals Lookup'!D:F,3,0),Table2[[#This Row],[Manual Cat Value]])</f>
        <v>Exp - Utilities</v>
      </c>
      <c r="G8799" t="e">
        <f>VLOOKUP(D8799,Lookup!G:H,2,0)</f>
        <v>#N/A</v>
      </c>
      <c r="H8799" s="8" t="s">
        <v>6</v>
      </c>
      <c r="I8799" s="95"/>
      <c r="J8799" s="118">
        <v>-45</v>
      </c>
      <c r="K8799" s="87"/>
      <c r="L8799" s="87"/>
      <c r="M8799" s="87" t="s">
        <v>2535</v>
      </c>
      <c r="O8799" t="str">
        <f>LEFT(Table2[[#This Row],[Description]],75)</f>
        <v>CENTURYLINK LUMEN        800-244-1111 LA REF #24692161D2Z4F5VY8</v>
      </c>
    </row>
    <row r="8800" spans="1:15" hidden="1">
      <c r="A8800" s="25">
        <f>VALUE(YEAR(Table2[[#This Row],[Date]])&amp;TEXT(MONTH(Table2[[#This Row],[Date]]),"00"))</f>
        <v>202302</v>
      </c>
      <c r="B8800" s="93">
        <v>44972</v>
      </c>
      <c r="C8800" s="97" t="s">
        <v>2265</v>
      </c>
      <c r="D8800" s="87" t="s">
        <v>3866</v>
      </c>
      <c r="E8800" s="87">
        <v>31.5</v>
      </c>
      <c r="F8800" s="2" t="str">
        <f>IF(Table2[[#This Row],[Manual Cat Value]]="",VLOOKUP(Table2[[#This Row],[Description]],'Actuals Lookup'!D:F,3,0),Table2[[#This Row],[Manual Cat Value]])</f>
        <v>Exp - Shopping</v>
      </c>
      <c r="G8800" t="e">
        <f>VLOOKUP(D8800,Lookup!G:H,2,0)</f>
        <v>#N/A</v>
      </c>
      <c r="H8800" s="8" t="s">
        <v>36</v>
      </c>
      <c r="I8800" s="95"/>
      <c r="J8800" s="98">
        <v>31.5</v>
      </c>
      <c r="K8800" s="87"/>
      <c r="L8800" s="87"/>
      <c r="M8800" s="87" t="s">
        <v>3074</v>
      </c>
      <c r="O8800" t="str">
        <f>LEFT(Table2[[#This Row],[Description]],75)</f>
        <v>Deposit ACH PAYPAL TYPE: TRANSFER ID: PAYPALSD11 CO: PAYPAL Entry Class Cod</v>
      </c>
    </row>
    <row r="8801" spans="1:15" hidden="1">
      <c r="A8801" s="25">
        <f>VALUE(YEAR(Table2[[#This Row],[Date]])&amp;TEXT(MONTH(Table2[[#This Row],[Date]]),"00"))</f>
        <v>202302</v>
      </c>
      <c r="B8801" s="93">
        <v>44972</v>
      </c>
      <c r="C8801" s="119" t="s">
        <v>2262</v>
      </c>
      <c r="D8801" s="87" t="s">
        <v>3867</v>
      </c>
      <c r="E8801" s="87">
        <v>46.67</v>
      </c>
      <c r="F8801" s="2" t="str">
        <f>IF(Table2[[#This Row],[Manual Cat Value]]="",VLOOKUP(Table2[[#This Row],[Description]],'Actuals Lookup'!D:F,3,0),Table2[[#This Row],[Manual Cat Value]])</f>
        <v>Exp - Restaurants</v>
      </c>
      <c r="G8801" t="e">
        <f>VLOOKUP(D8801,Lookup!G:H,2,0)</f>
        <v>#N/A</v>
      </c>
      <c r="H8801" s="8" t="s">
        <v>25</v>
      </c>
      <c r="I8801" s="95"/>
      <c r="J8801" s="118">
        <v>-46.67</v>
      </c>
      <c r="K8801" s="87"/>
      <c r="L8801" s="87"/>
      <c r="M8801" s="87" t="s">
        <v>2535</v>
      </c>
      <c r="O8801" t="str">
        <f>LEFT(Table2[[#This Row],[Description]],75)</f>
        <v>Rey Azteca Mexican RestauChanhassen   MN REF #24193041E036NZ04Z</v>
      </c>
    </row>
    <row r="8802" spans="1:15" hidden="1">
      <c r="A8802" s="25">
        <f>VALUE(YEAR(Table2[[#This Row],[Date]])&amp;TEXT(MONTH(Table2[[#This Row],[Date]]),"00"))</f>
        <v>202302</v>
      </c>
      <c r="B8802" s="6">
        <v>44973</v>
      </c>
      <c r="C8802" t="s">
        <v>2447</v>
      </c>
      <c r="D8802" t="s">
        <v>3868</v>
      </c>
      <c r="E8802">
        <v>300.56</v>
      </c>
      <c r="F8802" s="2" t="str">
        <f>IF(Table2[[#This Row],[Manual Cat Value]]="",VLOOKUP(Table2[[#This Row],[Description]],'Actuals Lookup'!D:F,3,0),Table2[[#This Row],[Manual Cat Value]])</f>
        <v>Exp - Restaurants</v>
      </c>
      <c r="G8802" t="e">
        <f>VLOOKUP(D8802,Lookup!G:H,2,0)</f>
        <v>#N/A</v>
      </c>
      <c r="H8802" s="8" t="s">
        <v>25</v>
      </c>
      <c r="I8802" s="8"/>
      <c r="J8802">
        <v>300.56</v>
      </c>
      <c r="M8802" t="s">
        <v>2535</v>
      </c>
      <c r="O8802" t="str">
        <f>LEFT(Table2[[#This Row],[Description]],75)</f>
        <v>BLUEFIN GRILLE TOFTE MN</v>
      </c>
    </row>
    <row r="8803" spans="1:15" hidden="1">
      <c r="A8803" s="25">
        <f>VALUE(YEAR(Table2[[#This Row],[Date]])&amp;TEXT(MONTH(Table2[[#This Row],[Date]]),"00"))</f>
        <v>202302</v>
      </c>
      <c r="B8803" s="93">
        <v>44973</v>
      </c>
      <c r="C8803" s="97" t="s">
        <v>2265</v>
      </c>
      <c r="D8803" s="87" t="s">
        <v>3869</v>
      </c>
      <c r="E8803" s="87">
        <v>91.74</v>
      </c>
      <c r="F8803" s="2" t="str">
        <f>IF(Table2[[#This Row],[Manual Cat Value]]="",VLOOKUP(Table2[[#This Row],[Description]],'Actuals Lookup'!D:F,3,0),Table2[[#This Row],[Manual Cat Value]])</f>
        <v>Inc - Britney</v>
      </c>
      <c r="G8803" t="e">
        <f>VLOOKUP(D8803,Lookup!G:H,2,0)</f>
        <v>#N/A</v>
      </c>
      <c r="H8803" s="8" t="s">
        <v>65</v>
      </c>
      <c r="I8803" s="95"/>
      <c r="J8803" s="98">
        <v>91.74</v>
      </c>
      <c r="K8803" s="87"/>
      <c r="L8803" s="87"/>
      <c r="M8803" s="87" t="s">
        <v>3074</v>
      </c>
      <c r="O8803" t="str">
        <f>LEFT(Table2[[#This Row],[Description]],75)</f>
        <v>Deposit ACH CARGILL INCORPOR TYPE: 005XXXXXXX ID: 2410177680 CO: CARGILL IN</v>
      </c>
    </row>
    <row r="8804" spans="1:15" hidden="1">
      <c r="A8804" s="25">
        <f>VALUE(YEAR(Table2[[#This Row],[Date]])&amp;TEXT(MONTH(Table2[[#This Row],[Date]]),"00"))</f>
        <v>202302</v>
      </c>
      <c r="B8804" s="93">
        <v>44973</v>
      </c>
      <c r="C8804" s="97" t="s">
        <v>2265</v>
      </c>
      <c r="D8804" s="87" t="s">
        <v>3870</v>
      </c>
      <c r="E8804" s="87">
        <v>2434.23</v>
      </c>
      <c r="F8804" s="2" t="str">
        <f>IF(Table2[[#This Row],[Manual Cat Value]]="",VLOOKUP(Table2[[#This Row],[Description]],'Actuals Lookup'!D:F,3,0),Table2[[#This Row],[Manual Cat Value]])</f>
        <v>Inc - Britney</v>
      </c>
      <c r="G8804" t="e">
        <f>VLOOKUP(D8804,Lookup!G:H,2,0)</f>
        <v>#N/A</v>
      </c>
      <c r="H8804" s="8" t="s">
        <v>65</v>
      </c>
      <c r="I8804" s="95"/>
      <c r="J8804" s="98">
        <v>2434.23</v>
      </c>
      <c r="K8804" s="87"/>
      <c r="L8804" s="87"/>
      <c r="M8804" s="87" t="s">
        <v>3074</v>
      </c>
      <c r="O8804" t="str">
        <f>LEFT(Table2[[#This Row],[Description]],75)</f>
        <v>Deposit ACH CARGILL INCORPOR TYPE: DIRECT DEP ID: 9111111101 CO: CARGILL IN</v>
      </c>
    </row>
    <row r="8805" spans="1:15" hidden="1">
      <c r="A8805" s="25">
        <f>VALUE(YEAR(Table2[[#This Row],[Date]])&amp;TEXT(MONTH(Table2[[#This Row],[Date]]),"00"))</f>
        <v>202302</v>
      </c>
      <c r="B8805" s="93">
        <v>44973</v>
      </c>
      <c r="C8805" s="97" t="s">
        <v>2265</v>
      </c>
      <c r="D8805" s="87" t="s">
        <v>3871</v>
      </c>
      <c r="E8805" s="87">
        <v>1990.12</v>
      </c>
      <c r="F8805" s="2" t="str">
        <f>IF(Table2[[#This Row],[Manual Cat Value]]="",VLOOKUP(Table2[[#This Row],[Description]],'Actuals Lookup'!D:F,3,0),Table2[[#This Row],[Manual Cat Value]])</f>
        <v>Delete</v>
      </c>
      <c r="G8805" t="e">
        <f>VLOOKUP(D8805,Lookup!G:H,2,0)</f>
        <v>#N/A</v>
      </c>
      <c r="H8805" s="8" t="s">
        <v>9</v>
      </c>
      <c r="I8805" s="95"/>
      <c r="J8805" s="98">
        <v>1990.12</v>
      </c>
      <c r="K8805" s="87"/>
      <c r="L8805" s="87"/>
      <c r="M8805" s="87" t="s">
        <v>3074</v>
      </c>
      <c r="O8805" t="str">
        <f>LEFT(Table2[[#This Row],[Description]],75)</f>
        <v>Deposit ACH EMPYREAN SOLUTIO TYPE: 193XXXXXXX ID: 5330903620 CO: EMPYREAN S</v>
      </c>
    </row>
    <row r="8806" spans="1:15" hidden="1">
      <c r="A8806" s="25">
        <f>VALUE(YEAR(Table2[[#This Row],[Date]])&amp;TEXT(MONTH(Table2[[#This Row],[Date]]),"00"))</f>
        <v>202302</v>
      </c>
      <c r="B8806" s="93">
        <v>44973</v>
      </c>
      <c r="C8806" s="119" t="s">
        <v>2262</v>
      </c>
      <c r="D8806" s="87" t="s">
        <v>3872</v>
      </c>
      <c r="E8806" s="87">
        <v>34.25</v>
      </c>
      <c r="F8806" s="2" t="str">
        <f>IF(Table2[[#This Row],[Manual Cat Value]]="",VLOOKUP(Table2[[#This Row],[Description]],'Actuals Lookup'!D:F,3,0),Table2[[#This Row],[Manual Cat Value]])</f>
        <v>Exp - Groceries</v>
      </c>
      <c r="G8806" t="e">
        <f>VLOOKUP(D8806,Lookup!G:H,2,0)</f>
        <v>#N/A</v>
      </c>
      <c r="H8806" s="8" t="s">
        <v>27</v>
      </c>
      <c r="I8806" s="95"/>
      <c r="J8806" s="118">
        <v>-34.25</v>
      </c>
      <c r="K8806" s="87"/>
      <c r="L8806" s="87"/>
      <c r="M8806" s="87" t="s">
        <v>2535</v>
      </c>
      <c r="O8806" t="str">
        <f>LEFT(Table2[[#This Row],[Description]],75)</f>
        <v>HASKELLS EXCELSIOR       952-4740935  MN REF #24540451F01MLVLXK</v>
      </c>
    </row>
    <row r="8807" spans="1:15" hidden="1">
      <c r="A8807" s="25">
        <f>VALUE(YEAR(Table2[[#This Row],[Date]])&amp;TEXT(MONTH(Table2[[#This Row],[Date]]),"00"))</f>
        <v>202302</v>
      </c>
      <c r="B8807" s="93">
        <v>44973</v>
      </c>
      <c r="C8807" s="119" t="s">
        <v>2262</v>
      </c>
      <c r="D8807" s="87" t="s">
        <v>3873</v>
      </c>
      <c r="E8807" s="87">
        <v>109.06</v>
      </c>
      <c r="F8807" s="2" t="str">
        <f>IF(Table2[[#This Row],[Manual Cat Value]]="",VLOOKUP(Table2[[#This Row],[Description]],'Actuals Lookup'!D:F,3,0),Table2[[#This Row],[Manual Cat Value]])</f>
        <v>Exp - Groceries</v>
      </c>
      <c r="G8807" t="e">
        <f>VLOOKUP(D8807,Lookup!G:H,2,0)</f>
        <v>#N/A</v>
      </c>
      <c r="H8807" s="8" t="s">
        <v>27</v>
      </c>
      <c r="I8807" s="95"/>
      <c r="J8807" s="118">
        <v>-109.06</v>
      </c>
      <c r="K8807" s="87"/>
      <c r="L8807" s="87"/>
      <c r="M8807" s="87" t="s">
        <v>2535</v>
      </c>
      <c r="O8807" t="str">
        <f>LEFT(Table2[[#This Row],[Description]],75)</f>
        <v>LUNDS&amp;BYERLYS CHANH      CHANHASSEN   MN REF #24427331EM83FXF7N</v>
      </c>
    </row>
    <row r="8808" spans="1:15" hidden="1">
      <c r="A8808" s="25">
        <f>VALUE(YEAR(Table2[[#This Row],[Date]])&amp;TEXT(MONTH(Table2[[#This Row],[Date]]),"00"))</f>
        <v>202302</v>
      </c>
      <c r="B8808" s="93">
        <v>44973</v>
      </c>
      <c r="C8808" s="119" t="s">
        <v>2262</v>
      </c>
      <c r="D8808" s="87" t="s">
        <v>3874</v>
      </c>
      <c r="E8808" s="87">
        <v>37.799999999999997</v>
      </c>
      <c r="F8808" s="2" t="str">
        <f>IF(Table2[[#This Row],[Manual Cat Value]]="",VLOOKUP(Table2[[#This Row],[Description]],'Actuals Lookup'!D:F,3,0),Table2[[#This Row],[Manual Cat Value]])</f>
        <v>Exp - Transportation</v>
      </c>
      <c r="G8808" t="e">
        <f>VLOOKUP(D8808,Lookup!G:H,2,0)</f>
        <v>#N/A</v>
      </c>
      <c r="H8808" s="8" t="s">
        <v>22</v>
      </c>
      <c r="I8808" s="95"/>
      <c r="J8808" s="118">
        <v>-37.799999999999997</v>
      </c>
      <c r="K8808" s="87"/>
      <c r="L8808" s="87"/>
      <c r="M8808" s="87" t="s">
        <v>2535</v>
      </c>
      <c r="O8808" t="str">
        <f>LEFT(Table2[[#This Row],[Description]],75)</f>
        <v>SPEEDWAY 04095           CHASKA       MN REF #24137461F01BH7GVN</v>
      </c>
    </row>
    <row r="8809" spans="1:15" hidden="1">
      <c r="A8809" s="25">
        <f>VALUE(YEAR(Table2[[#This Row],[Date]])&amp;TEXT(MONTH(Table2[[#This Row],[Date]]),"00"))</f>
        <v>202302</v>
      </c>
      <c r="B8809" s="93">
        <v>44973</v>
      </c>
      <c r="C8809" s="119" t="s">
        <v>2262</v>
      </c>
      <c r="D8809" s="87" t="s">
        <v>3875</v>
      </c>
      <c r="E8809" s="87">
        <v>12</v>
      </c>
      <c r="F8809" s="2" t="str">
        <f>IF(Table2[[#This Row],[Manual Cat Value]]="",VLOOKUP(Table2[[#This Row],[Description]],'Actuals Lookup'!D:F,3,0),Table2[[#This Row],[Manual Cat Value]])</f>
        <v>Exp - Transportation</v>
      </c>
      <c r="G8809" t="e">
        <f>VLOOKUP(D8809,Lookup!G:H,2,0)</f>
        <v>#N/A</v>
      </c>
      <c r="H8809" s="8" t="s">
        <v>22</v>
      </c>
      <c r="I8809" s="95"/>
      <c r="J8809" s="118">
        <v>-12</v>
      </c>
      <c r="K8809" s="87"/>
      <c r="L8809" s="87"/>
      <c r="M8809" s="87" t="s">
        <v>2535</v>
      </c>
      <c r="O8809" t="str">
        <f>LEFT(Table2[[#This Row],[Description]],75)</f>
        <v>SPEEDWAY 04095           CHASKA       MN REF #24137461F01BH7H1Q</v>
      </c>
    </row>
    <row r="8810" spans="1:15" hidden="1">
      <c r="A8810" s="25">
        <f>VALUE(YEAR(Table2[[#This Row],[Date]])&amp;TEXT(MONTH(Table2[[#This Row],[Date]]),"00"))</f>
        <v>202302</v>
      </c>
      <c r="B8810" s="93">
        <v>44973</v>
      </c>
      <c r="C8810" s="119" t="s">
        <v>2262</v>
      </c>
      <c r="D8810" s="87" t="s">
        <v>3876</v>
      </c>
      <c r="E8810" s="87">
        <v>7.89</v>
      </c>
      <c r="F8810" s="2" t="str">
        <f>IF(Table2[[#This Row],[Manual Cat Value]]="",VLOOKUP(Table2[[#This Row],[Description]],'Actuals Lookup'!D:F,3,0),Table2[[#This Row],[Manual Cat Value]])</f>
        <v>Exp - Restaurants</v>
      </c>
      <c r="G8810" t="e">
        <f>VLOOKUP(D8810,Lookup!G:H,2,0)</f>
        <v>#N/A</v>
      </c>
      <c r="H8810" s="8" t="s">
        <v>25</v>
      </c>
      <c r="I8810" s="95"/>
      <c r="J8810" s="118">
        <v>-7.89</v>
      </c>
      <c r="K8810" s="87"/>
      <c r="L8810" s="87"/>
      <c r="M8810" s="87" t="s">
        <v>2535</v>
      </c>
      <c r="O8810" t="str">
        <f>LEFT(Table2[[#This Row],[Description]],75)</f>
        <v>WAYZATA CAFE             WAYZATA      MN REF #24943001FW5ZKA94V</v>
      </c>
    </row>
    <row r="8811" spans="1:15" hidden="1">
      <c r="A8811" s="25">
        <f>VALUE(YEAR(Table2[[#This Row],[Date]])&amp;TEXT(MONTH(Table2[[#This Row],[Date]]),"00"))</f>
        <v>202302</v>
      </c>
      <c r="B8811" s="93">
        <v>44974</v>
      </c>
      <c r="C8811" s="119" t="s">
        <v>2262</v>
      </c>
      <c r="D8811" s="87" t="s">
        <v>3877</v>
      </c>
      <c r="E8811" s="87">
        <v>696</v>
      </c>
      <c r="F8811" s="2" t="str">
        <f>IF(Table2[[#This Row],[Manual Cat Value]]="",VLOOKUP(Table2[[#This Row],[Description]],'Actuals Lookup'!D:F,3,0),Table2[[#This Row],[Manual Cat Value]])</f>
        <v>Exp - Day Care</v>
      </c>
      <c r="G8811" t="e">
        <f>VLOOKUP(D8811,Lookup!G:H,2,0)</f>
        <v>#N/A</v>
      </c>
      <c r="H8811" s="8" t="s">
        <v>19</v>
      </c>
      <c r="I8811" s="95"/>
      <c r="J8811" s="118">
        <v>-696</v>
      </c>
      <c r="K8811" s="87"/>
      <c r="L8811" s="87"/>
      <c r="M8811" s="87" t="s">
        <v>2535</v>
      </c>
      <c r="O8811" t="str">
        <f>LEFT(Table2[[#This Row],[Description]],75)</f>
        <v>FOSS SWIM SCHOOL         HTTPSWWW.FOSSMN REF #24011341F001B9K5J</v>
      </c>
    </row>
    <row r="8812" spans="1:15" hidden="1">
      <c r="A8812" s="25">
        <f>VALUE(YEAR(Table2[[#This Row],[Date]])&amp;TEXT(MONTH(Table2[[#This Row],[Date]]),"00"))</f>
        <v>202302</v>
      </c>
      <c r="B8812" s="93">
        <v>44974</v>
      </c>
      <c r="C8812" s="119" t="s">
        <v>2262</v>
      </c>
      <c r="D8812" s="87" t="s">
        <v>3878</v>
      </c>
      <c r="E8812" s="87">
        <v>414.52</v>
      </c>
      <c r="F8812" s="2" t="str">
        <f>IF(Table2[[#This Row],[Manual Cat Value]]="",VLOOKUP(Table2[[#This Row],[Description]],'Actuals Lookup'!D:F,3,0),Table2[[#This Row],[Manual Cat Value]])</f>
        <v>Exp - Travel</v>
      </c>
      <c r="G8812" t="e">
        <f>VLOOKUP(D8812,Lookup!G:H,2,0)</f>
        <v>#N/A</v>
      </c>
      <c r="H8812" s="8" t="s">
        <v>52</v>
      </c>
      <c r="I8812" s="95"/>
      <c r="J8812" s="118">
        <v>-414.52</v>
      </c>
      <c r="K8812" s="87"/>
      <c r="L8812" s="87"/>
      <c r="M8812" s="87" t="s">
        <v>2535</v>
      </c>
      <c r="O8812" t="str">
        <f>LEFT(Table2[[#This Row],[Description]],75)</f>
        <v>LUTSEN MOUNTAINS         999-9999999  MN REF #24325451FS66FL7QS</v>
      </c>
    </row>
    <row r="8813" spans="1:15" hidden="1">
      <c r="A8813" s="25">
        <f>VALUE(YEAR(Table2[[#This Row],[Date]])&amp;TEXT(MONTH(Table2[[#This Row],[Date]]),"00"))</f>
        <v>202302</v>
      </c>
      <c r="B8813" s="93">
        <v>44974</v>
      </c>
      <c r="C8813" s="119" t="s">
        <v>2262</v>
      </c>
      <c r="D8813" s="87" t="s">
        <v>3879</v>
      </c>
      <c r="E8813" s="87">
        <v>23.34</v>
      </c>
      <c r="F8813" s="2" t="str">
        <f>IF(Table2[[#This Row],[Manual Cat Value]]="",VLOOKUP(Table2[[#This Row],[Description]],'Actuals Lookup'!D:F,3,0),Table2[[#This Row],[Manual Cat Value]])</f>
        <v>Exp - Groceries</v>
      </c>
      <c r="G8813" t="e">
        <f>VLOOKUP(D8813,Lookup!G:H,2,0)</f>
        <v>#N/A</v>
      </c>
      <c r="H8813" s="8" t="s">
        <v>27</v>
      </c>
      <c r="I8813" s="95"/>
      <c r="J8813" s="118">
        <v>-23.34</v>
      </c>
      <c r="K8813" s="87"/>
      <c r="L8813" s="87"/>
      <c r="M8813" s="87" t="s">
        <v>2535</v>
      </c>
      <c r="O8813" t="str">
        <f>LEFT(Table2[[#This Row],[Description]],75)</f>
        <v>SUPER ONE FOODS          DULUTH       MN REF #24427331FLYRNX1FW</v>
      </c>
    </row>
    <row r="8814" spans="1:15" hidden="1">
      <c r="A8814" s="25">
        <f>VALUE(YEAR(Table2[[#This Row],[Date]])&amp;TEXT(MONTH(Table2[[#This Row],[Date]]),"00"))</f>
        <v>202302</v>
      </c>
      <c r="B8814" s="93">
        <v>44974</v>
      </c>
      <c r="C8814" s="119" t="s">
        <v>2262</v>
      </c>
      <c r="D8814" s="87" t="s">
        <v>3880</v>
      </c>
      <c r="E8814" s="87">
        <v>59.88</v>
      </c>
      <c r="F8814" s="2" t="str">
        <f>IF(Table2[[#This Row],[Manual Cat Value]]="",VLOOKUP(Table2[[#This Row],[Description]],'Actuals Lookup'!D:F,3,0),Table2[[#This Row],[Manual Cat Value]])</f>
        <v>Exp - Groceries</v>
      </c>
      <c r="G8814" t="e">
        <f>VLOOKUP(D8814,Lookup!G:H,2,0)</f>
        <v>#N/A</v>
      </c>
      <c r="H8814" s="8" t="s">
        <v>27</v>
      </c>
      <c r="I8814" s="95"/>
      <c r="J8814" s="118">
        <v>-59.88</v>
      </c>
      <c r="K8814" s="87"/>
      <c r="L8814" s="87"/>
      <c r="M8814" s="87" t="s">
        <v>2535</v>
      </c>
      <c r="O8814" t="str">
        <f>LEFT(Table2[[#This Row],[Description]],75)</f>
        <v>SUPER ONE LIQUOR   SSS   DULUTH       MN REF #24427331FLYRNRX7A</v>
      </c>
    </row>
    <row r="8815" spans="1:15" hidden="1">
      <c r="A8815" s="25">
        <f>VALUE(YEAR(Table2[[#This Row],[Date]])&amp;TEXT(MONTH(Table2[[#This Row],[Date]]),"00"))</f>
        <v>202302</v>
      </c>
      <c r="B8815" s="93">
        <v>44976</v>
      </c>
      <c r="C8815" s="119" t="s">
        <v>2262</v>
      </c>
      <c r="D8815" s="87" t="s">
        <v>3881</v>
      </c>
      <c r="E8815" s="87">
        <v>50</v>
      </c>
      <c r="F8815" s="2" t="str">
        <f>IF(Table2[[#This Row],[Manual Cat Value]]="",VLOOKUP(Table2[[#This Row],[Description]],'Actuals Lookup'!D:F,3,0),Table2[[#This Row],[Manual Cat Value]])</f>
        <v>Exp - Day Care</v>
      </c>
      <c r="G8815" t="e">
        <f>VLOOKUP(D8815,Lookup!G:H,2,0)</f>
        <v>#N/A</v>
      </c>
      <c r="H8815" s="8" t="s">
        <v>19</v>
      </c>
      <c r="I8815" s="95"/>
      <c r="J8815" s="118">
        <v>-50</v>
      </c>
      <c r="K8815" s="87"/>
      <c r="L8815" s="87"/>
      <c r="M8815" s="87" t="s">
        <v>2535</v>
      </c>
      <c r="O8815" t="str">
        <f>LEFT(Table2[[#This Row],[Description]],75)</f>
        <v>BCS*MINNETONKA COMMUNITY 952-401-6800 MN REF #24137461H01FP3JVZ</v>
      </c>
    </row>
    <row r="8816" spans="1:15" hidden="1">
      <c r="A8816" s="25">
        <f>VALUE(YEAR(Table2[[#This Row],[Date]])&amp;TEXT(MONTH(Table2[[#This Row],[Date]]),"00"))</f>
        <v>202302</v>
      </c>
      <c r="B8816" s="93">
        <v>44976</v>
      </c>
      <c r="C8816" s="119" t="s">
        <v>2262</v>
      </c>
      <c r="D8816" s="87" t="s">
        <v>3882</v>
      </c>
      <c r="E8816" s="87">
        <v>45</v>
      </c>
      <c r="F8816" s="2" t="str">
        <f>IF(Table2[[#This Row],[Manual Cat Value]]="",VLOOKUP(Table2[[#This Row],[Description]],'Actuals Lookup'!D:F,3,0),Table2[[#This Row],[Manual Cat Value]])</f>
        <v>Exp - Restaurants</v>
      </c>
      <c r="G8816" t="e">
        <f>VLOOKUP(D8816,Lookup!G:H,2,0)</f>
        <v>#N/A</v>
      </c>
      <c r="H8816" s="8" t="s">
        <v>25</v>
      </c>
      <c r="I8816" s="95"/>
      <c r="J8816" s="118">
        <v>-45</v>
      </c>
      <c r="K8816" s="87"/>
      <c r="L8816" s="87"/>
      <c r="M8816" s="87" t="s">
        <v>2535</v>
      </c>
      <c r="O8816" t="str">
        <f>LEFT(Table2[[#This Row],[Description]],75)</f>
        <v>ELMCC* EXCELSIOR CHAMB   HTTPSWWW.EXCEMN REF #24492161H0016W18Q</v>
      </c>
    </row>
    <row r="8817" spans="1:15" hidden="1">
      <c r="A8817" s="25">
        <f>VALUE(YEAR(Table2[[#This Row],[Date]])&amp;TEXT(MONTH(Table2[[#This Row],[Date]]),"00"))</f>
        <v>202302</v>
      </c>
      <c r="B8817" s="93">
        <v>44976</v>
      </c>
      <c r="C8817" s="119" t="s">
        <v>2262</v>
      </c>
      <c r="D8817" s="87" t="s">
        <v>3883</v>
      </c>
      <c r="E8817" s="87">
        <v>54.13</v>
      </c>
      <c r="F8817" s="2" t="str">
        <f>IF(Table2[[#This Row],[Manual Cat Value]]="",VLOOKUP(Table2[[#This Row],[Description]],'Actuals Lookup'!D:F,3,0),Table2[[#This Row],[Manual Cat Value]])</f>
        <v>Exp - Shopping</v>
      </c>
      <c r="G8817" t="e">
        <f>VLOOKUP(D8817,Lookup!G:H,2,0)</f>
        <v>#N/A</v>
      </c>
      <c r="H8817" s="8" t="s">
        <v>36</v>
      </c>
      <c r="I8817" s="95"/>
      <c r="J8817" s="118">
        <v>-54.13</v>
      </c>
      <c r="K8817" s="87"/>
      <c r="L8817" s="87"/>
      <c r="M8817" s="87" t="s">
        <v>2535</v>
      </c>
      <c r="O8817" t="str">
        <f>LEFT(Table2[[#This Row],[Description]],75)</f>
        <v>MOUNTAIN SHOPS INC      LUTSEN       MN REF #24275391GS66HF7E9</v>
      </c>
    </row>
    <row r="8818" spans="1:15" hidden="1">
      <c r="A8818" s="25">
        <f>VALUE(YEAR(Table2[[#This Row],[Date]])&amp;TEXT(MONTH(Table2[[#This Row],[Date]]),"00"))</f>
        <v>202302</v>
      </c>
      <c r="B8818" s="93">
        <v>44976</v>
      </c>
      <c r="C8818" s="119" t="s">
        <v>2262</v>
      </c>
      <c r="D8818" s="87" t="s">
        <v>3884</v>
      </c>
      <c r="E8818" s="87">
        <v>97.53</v>
      </c>
      <c r="F8818" s="2" t="str">
        <f>IF(Table2[[#This Row],[Manual Cat Value]]="",VLOOKUP(Table2[[#This Row],[Description]],'Actuals Lookup'!D:F,3,0),Table2[[#This Row],[Manual Cat Value]])</f>
        <v>Exp - Shopping</v>
      </c>
      <c r="G8818" t="e">
        <f>VLOOKUP(D8818,Lookup!G:H,2,0)</f>
        <v>#N/A</v>
      </c>
      <c r="H8818" s="8" t="s">
        <v>36</v>
      </c>
      <c r="I8818" s="95"/>
      <c r="J8818" s="118">
        <v>-97.53</v>
      </c>
      <c r="K8818" s="87"/>
      <c r="L8818" s="87"/>
      <c r="M8818" s="87" t="s">
        <v>2535</v>
      </c>
      <c r="O8818" t="str">
        <f>LEFT(Table2[[#This Row],[Description]],75)</f>
        <v>MOUNTAIN SHOPS INC      LUTSEN       MN REF #24275391GS66HF7ES</v>
      </c>
    </row>
    <row r="8819" spans="1:15" hidden="1">
      <c r="A8819" s="25">
        <f>VALUE(YEAR(Table2[[#This Row],[Date]])&amp;TEXT(MONTH(Table2[[#This Row],[Date]]),"00"))</f>
        <v>202302</v>
      </c>
      <c r="B8819" s="93">
        <v>44976</v>
      </c>
      <c r="C8819" s="119" t="s">
        <v>2262</v>
      </c>
      <c r="D8819" s="87" t="s">
        <v>3885</v>
      </c>
      <c r="E8819" s="87">
        <v>27</v>
      </c>
      <c r="F8819" s="2" t="str">
        <f>IF(Table2[[#This Row],[Manual Cat Value]]="",VLOOKUP(Table2[[#This Row],[Description]],'Actuals Lookup'!D:F,3,0),Table2[[#This Row],[Manual Cat Value]])</f>
        <v>Exp - Restaurants</v>
      </c>
      <c r="G8819" t="e">
        <f>VLOOKUP(D8819,Lookup!G:H,2,0)</f>
        <v>#N/A</v>
      </c>
      <c r="H8819" s="8" t="s">
        <v>25</v>
      </c>
      <c r="I8819" s="95"/>
      <c r="J8819" s="118">
        <v>-27</v>
      </c>
      <c r="K8819" s="87"/>
      <c r="L8819" s="87"/>
      <c r="M8819" s="87" t="s">
        <v>2535</v>
      </c>
      <c r="O8819" t="str">
        <f>LEFT(Table2[[#This Row],[Description]],75)</f>
        <v>TST* CASTLE DANGER BREWERTWO HARBORS  MN REF #24137461GEJ934E3T</v>
      </c>
    </row>
    <row r="8820" spans="1:15" hidden="1">
      <c r="A8820" s="25">
        <f>VALUE(YEAR(Table2[[#This Row],[Date]])&amp;TEXT(MONTH(Table2[[#This Row],[Date]]),"00"))</f>
        <v>202302</v>
      </c>
      <c r="B8820" s="93">
        <v>44977</v>
      </c>
      <c r="C8820" s="119" t="s">
        <v>2262</v>
      </c>
      <c r="D8820" s="87" t="s">
        <v>3886</v>
      </c>
      <c r="E8820" s="87">
        <v>2001.92</v>
      </c>
      <c r="F8820" s="2" t="str">
        <f>IF(Table2[[#This Row],[Manual Cat Value]]="",VLOOKUP(Table2[[#This Row],[Description]],'Actuals Lookup'!D:F,3,0),Table2[[#This Row],[Manual Cat Value]])</f>
        <v>Exp - Travel</v>
      </c>
      <c r="G8820" t="e">
        <f>VLOOKUP(D8820,Lookup!G:H,2,0)</f>
        <v>#N/A</v>
      </c>
      <c r="H8820" s="8" t="s">
        <v>52</v>
      </c>
      <c r="I8820" s="95"/>
      <c r="J8820" s="118">
        <v>-2001.92</v>
      </c>
      <c r="K8820" s="87"/>
      <c r="L8820" s="87"/>
      <c r="M8820" s="87" t="s">
        <v>2535</v>
      </c>
      <c r="O8820" t="str">
        <f>LEFT(Table2[[#This Row],[Description]],75)</f>
        <v>BLUEFIN BAY FAMILY OF    TOFTE        MN REF #24000971JD9KPXWM6</v>
      </c>
    </row>
    <row r="8821" spans="1:15" hidden="1">
      <c r="A8821" s="25">
        <f>VALUE(YEAR(Table2[[#This Row],[Date]])&amp;TEXT(MONTH(Table2[[#This Row],[Date]]),"00"))</f>
        <v>202302</v>
      </c>
      <c r="B8821" s="93">
        <v>44977</v>
      </c>
      <c r="C8821" s="119" t="s">
        <v>2262</v>
      </c>
      <c r="D8821" s="87" t="s">
        <v>3887</v>
      </c>
      <c r="E8821" s="87">
        <v>21.85</v>
      </c>
      <c r="F8821" s="2" t="str">
        <f>IF(Table2[[#This Row],[Manual Cat Value]]="",VLOOKUP(Table2[[#This Row],[Description]],'Actuals Lookup'!D:F,3,0),Table2[[#This Row],[Manual Cat Value]])</f>
        <v>Exp - Restaurants</v>
      </c>
      <c r="G8821" t="e">
        <f>VLOOKUP(D8821,Lookup!G:H,2,0)</f>
        <v>#N/A</v>
      </c>
      <c r="H8821" s="8" t="s">
        <v>25</v>
      </c>
      <c r="I8821" s="95"/>
      <c r="J8821" s="118">
        <v>-21.85</v>
      </c>
      <c r="K8821" s="87"/>
      <c r="L8821" s="87"/>
      <c r="M8821" s="87" t="s">
        <v>2535</v>
      </c>
      <c r="O8821" t="str">
        <f>LEFT(Table2[[#This Row],[Description]],75)</f>
        <v>PAPA CHARLIES RSTRNT     LUTSEN       MN REF #24325451JS66KPBB0</v>
      </c>
    </row>
    <row r="8822" spans="1:15" hidden="1">
      <c r="A8822" s="25">
        <f>VALUE(YEAR(Table2[[#This Row],[Date]])&amp;TEXT(MONTH(Table2[[#This Row],[Date]]),"00"))</f>
        <v>202302</v>
      </c>
      <c r="B8822" s="93">
        <v>44977</v>
      </c>
      <c r="C8822" s="119" t="s">
        <v>2262</v>
      </c>
      <c r="D8822" s="87" t="s">
        <v>3888</v>
      </c>
      <c r="E8822" s="87">
        <v>43.2</v>
      </c>
      <c r="F8822" s="2" t="str">
        <f>IF(Table2[[#This Row],[Manual Cat Value]]="",VLOOKUP(Table2[[#This Row],[Description]],'Actuals Lookup'!D:F,3,0),Table2[[#This Row],[Manual Cat Value]])</f>
        <v>Exp - Restaurants</v>
      </c>
      <c r="G8822" t="e">
        <f>VLOOKUP(D8822,Lookup!G:H,2,0)</f>
        <v>#N/A</v>
      </c>
      <c r="H8822" s="8" t="s">
        <v>25</v>
      </c>
      <c r="I8822" s="95"/>
      <c r="J8822" s="118">
        <v>-43.2</v>
      </c>
      <c r="K8822" s="87"/>
      <c r="L8822" s="87"/>
      <c r="M8822" s="87" t="s">
        <v>2535</v>
      </c>
      <c r="O8822" t="str">
        <f>LEFT(Table2[[#This Row],[Description]],75)</f>
        <v>ROSIES CAFE LUTSEN       LUTSEN       MN REF #24325451JS66G010S</v>
      </c>
    </row>
    <row r="8823" spans="1:15" hidden="1">
      <c r="A8823" s="25">
        <f>VALUE(YEAR(Table2[[#This Row],[Date]])&amp;TEXT(MONTH(Table2[[#This Row],[Date]]),"00"))</f>
        <v>202302</v>
      </c>
      <c r="B8823" s="93">
        <v>44977</v>
      </c>
      <c r="C8823" s="119" t="s">
        <v>2262</v>
      </c>
      <c r="D8823" s="87" t="s">
        <v>3889</v>
      </c>
      <c r="E8823" s="87">
        <v>7</v>
      </c>
      <c r="F8823" s="2" t="str">
        <f>IF(Table2[[#This Row],[Manual Cat Value]]="",VLOOKUP(Table2[[#This Row],[Description]],'Actuals Lookup'!D:F,3,0),Table2[[#This Row],[Manual Cat Value]])</f>
        <v>Exp - Restaurants</v>
      </c>
      <c r="G8823" t="e">
        <f>VLOOKUP(D8823,Lookup!G:H,2,0)</f>
        <v>#N/A</v>
      </c>
      <c r="H8823" s="8" t="s">
        <v>25</v>
      </c>
      <c r="I8823" s="95"/>
      <c r="J8823" s="118">
        <v>-7</v>
      </c>
      <c r="K8823" s="87"/>
      <c r="L8823" s="87"/>
      <c r="M8823" s="87" t="s">
        <v>2535</v>
      </c>
      <c r="O8823" t="str">
        <f>LEFT(Table2[[#This Row],[Description]],75)</f>
        <v>ROSIES CAFE LUTSEN       LUTSEN       MN REF #24325451JS66G0GQF</v>
      </c>
    </row>
    <row r="8824" spans="1:15" hidden="1">
      <c r="A8824" s="25">
        <f>VALUE(YEAR(Table2[[#This Row],[Date]])&amp;TEXT(MONTH(Table2[[#This Row],[Date]]),"00"))</f>
        <v>202302</v>
      </c>
      <c r="B8824" s="93">
        <v>44977</v>
      </c>
      <c r="C8824" s="119" t="s">
        <v>2262</v>
      </c>
      <c r="D8824" s="87" t="s">
        <v>3890</v>
      </c>
      <c r="E8824" s="87">
        <v>42.21</v>
      </c>
      <c r="F8824" s="2" t="str">
        <f>IF(Table2[[#This Row],[Manual Cat Value]]="",VLOOKUP(Table2[[#This Row],[Description]],'Actuals Lookup'!D:F,3,0),Table2[[#This Row],[Manual Cat Value]])</f>
        <v>Exp - Restaurants</v>
      </c>
      <c r="G8824" t="e">
        <f>VLOOKUP(D8824,Lookup!G:H,2,0)</f>
        <v>#N/A</v>
      </c>
      <c r="H8824" s="8" t="s">
        <v>25</v>
      </c>
      <c r="I8824" s="95"/>
      <c r="J8824" s="118">
        <v>-42.21</v>
      </c>
      <c r="K8824" s="87"/>
      <c r="L8824" s="87"/>
      <c r="M8824" s="87" t="s">
        <v>2535</v>
      </c>
      <c r="O8824" t="str">
        <f>LEFT(Table2[[#This Row],[Description]],75)</f>
        <v>SUMMIT CHALET            LUTSEN       MN REF #24325451JS66KYG2A</v>
      </c>
    </row>
    <row r="8825" spans="1:15" hidden="1">
      <c r="A8825" s="25">
        <f>VALUE(YEAR(Table2[[#This Row],[Date]])&amp;TEXT(MONTH(Table2[[#This Row],[Date]]),"00"))</f>
        <v>202302</v>
      </c>
      <c r="B8825" s="93">
        <v>44977</v>
      </c>
      <c r="C8825" s="97" t="s">
        <v>2265</v>
      </c>
      <c r="D8825" s="87" t="s">
        <v>3891</v>
      </c>
      <c r="E8825" s="87">
        <v>205</v>
      </c>
      <c r="F8825" s="2" t="str">
        <f>IF(Table2[[#This Row],[Manual Cat Value]]="",VLOOKUP(Table2[[#This Row],[Description]],'Actuals Lookup'!D:F,3,0),Table2[[#This Row],[Manual Cat Value]])</f>
        <v>Delete</v>
      </c>
      <c r="G8825" t="e">
        <f>VLOOKUP(D8825,Lookup!G:H,2,0)</f>
        <v>#N/A</v>
      </c>
      <c r="H8825" s="8" t="s">
        <v>9</v>
      </c>
      <c r="I8825" s="95"/>
      <c r="J8825" s="118">
        <v>-205</v>
      </c>
      <c r="K8825" s="87"/>
      <c r="L8825" s="87"/>
      <c r="M8825" s="87" t="s">
        <v>2535</v>
      </c>
      <c r="O8825" t="str">
        <f>LEFT(Table2[[#This Row],[Description]],75)</f>
        <v>Withdrawal at ATM #000000002589 BMO HARRIS BANK NA 761 WEST 78TH STREET CHA</v>
      </c>
    </row>
    <row r="8826" spans="1:15" hidden="1">
      <c r="A8826" s="25">
        <f>VALUE(YEAR(Table2[[#This Row],[Date]])&amp;TEXT(MONTH(Table2[[#This Row],[Date]]),"00"))</f>
        <v>202302</v>
      </c>
      <c r="B8826" s="93">
        <v>44978</v>
      </c>
      <c r="C8826" s="119" t="s">
        <v>2262</v>
      </c>
      <c r="D8826" s="87" t="s">
        <v>3892</v>
      </c>
      <c r="E8826" s="87">
        <v>47.02</v>
      </c>
      <c r="F8826" s="2" t="str">
        <f>IF(Table2[[#This Row],[Manual Cat Value]]="",VLOOKUP(Table2[[#This Row],[Description]],'Actuals Lookup'!D:F,3,0),Table2[[#This Row],[Manual Cat Value]])</f>
        <v>Exp - Transportation</v>
      </c>
      <c r="G8826" t="e">
        <f>VLOOKUP(D8826,Lookup!G:H,2,0)</f>
        <v>#N/A</v>
      </c>
      <c r="H8826" s="8" t="s">
        <v>22</v>
      </c>
      <c r="I8826" s="95"/>
      <c r="J8826" s="118">
        <v>-47.02</v>
      </c>
      <c r="K8826" s="87"/>
      <c r="L8826" s="87"/>
      <c r="M8826" s="87" t="s">
        <v>2535</v>
      </c>
      <c r="O8826" t="str">
        <f>LEFT(Table2[[#This Row],[Description]],75)</f>
        <v>KWIK TRIP  44100004416   SHAKOPEE     MN REF #24164071KL3HEG6WS</v>
      </c>
    </row>
    <row r="8827" spans="1:15" hidden="1">
      <c r="A8827" s="25">
        <f>VALUE(YEAR(Table2[[#This Row],[Date]])&amp;TEXT(MONTH(Table2[[#This Row],[Date]]),"00"))</f>
        <v>202302</v>
      </c>
      <c r="B8827" s="93">
        <v>44978</v>
      </c>
      <c r="C8827" s="119" t="s">
        <v>2262</v>
      </c>
      <c r="D8827" s="87" t="s">
        <v>3893</v>
      </c>
      <c r="E8827" s="87">
        <v>256</v>
      </c>
      <c r="F8827" s="2" t="str">
        <f>IF(Table2[[#This Row],[Manual Cat Value]]="",VLOOKUP(Table2[[#This Row],[Description]],'Actuals Lookup'!D:F,3,0),Table2[[#This Row],[Manual Cat Value]])</f>
        <v>Exp - Shopping</v>
      </c>
      <c r="G8827" t="e">
        <f>VLOOKUP(D8827,Lookup!G:H,2,0)</f>
        <v>#N/A</v>
      </c>
      <c r="H8827" s="8" t="s">
        <v>36</v>
      </c>
      <c r="I8827" s="95"/>
      <c r="J8827" s="118">
        <v>-256</v>
      </c>
      <c r="K8827" s="87"/>
      <c r="L8827" s="87"/>
      <c r="M8827" s="87" t="s">
        <v>2535</v>
      </c>
      <c r="O8827" t="str">
        <f>LEFT(Table2[[#This Row],[Description]],75)</f>
        <v>SP FAHERTY               FAHERTY.MYSHONY REF #24492161K000SZBLK</v>
      </c>
    </row>
    <row r="8828" spans="1:15" hidden="1">
      <c r="A8828" s="25">
        <f>VALUE(YEAR(Table2[[#This Row],[Date]])&amp;TEXT(MONTH(Table2[[#This Row],[Date]]),"00"))</f>
        <v>202302</v>
      </c>
      <c r="B8828" s="93">
        <v>44978</v>
      </c>
      <c r="C8828" s="119" t="s">
        <v>2262</v>
      </c>
      <c r="D8828" s="87" t="s">
        <v>3894</v>
      </c>
      <c r="E8828" s="87">
        <v>13.62</v>
      </c>
      <c r="F8828" s="2" t="str">
        <f>IF(Table2[[#This Row],[Manual Cat Value]]="",VLOOKUP(Table2[[#This Row],[Description]],'Actuals Lookup'!D:F,3,0),Table2[[#This Row],[Manual Cat Value]])</f>
        <v>Exp - Restaurants</v>
      </c>
      <c r="G8828" t="e">
        <f>VLOOKUP(D8828,Lookup!G:H,2,0)</f>
        <v>#N/A</v>
      </c>
      <c r="H8828" s="8" t="s">
        <v>25</v>
      </c>
      <c r="I8828" s="95"/>
      <c r="J8828" s="118">
        <v>-13.62</v>
      </c>
      <c r="K8828" s="87"/>
      <c r="L8828" s="87"/>
      <c r="M8828" s="87" t="s">
        <v>2535</v>
      </c>
      <c r="O8828" t="str">
        <f>LEFT(Table2[[#This Row],[Description]],75)</f>
        <v>TST* CANAL PARK BREWING CDULUTH       MN REF #24137461KEJD0SASH</v>
      </c>
    </row>
    <row r="8829" spans="1:15" hidden="1">
      <c r="A8829" s="25">
        <f>VALUE(YEAR(Table2[[#This Row],[Date]])&amp;TEXT(MONTH(Table2[[#This Row],[Date]]),"00"))</f>
        <v>202302</v>
      </c>
      <c r="B8829" s="93">
        <v>44978</v>
      </c>
      <c r="C8829" s="119" t="s">
        <v>2262</v>
      </c>
      <c r="D8829" s="87" t="s">
        <v>3895</v>
      </c>
      <c r="E8829" s="87">
        <v>30</v>
      </c>
      <c r="F8829" s="2" t="str">
        <f>IF(Table2[[#This Row],[Manual Cat Value]]="",VLOOKUP(Table2[[#This Row],[Description]],'Actuals Lookup'!D:F,3,0),Table2[[#This Row],[Manual Cat Value]])</f>
        <v>Exp - Healthcare</v>
      </c>
      <c r="G8829" t="e">
        <f>VLOOKUP(D8829,Lookup!G:H,2,0)</f>
        <v>#N/A</v>
      </c>
      <c r="H8829" s="8" t="s">
        <v>47</v>
      </c>
      <c r="I8829" s="95"/>
      <c r="J8829" s="118">
        <v>-30</v>
      </c>
      <c r="K8829" s="87"/>
      <c r="L8829" s="87"/>
      <c r="M8829" s="87" t="s">
        <v>2535</v>
      </c>
      <c r="O8829" t="str">
        <f>LEFT(Table2[[#This Row],[Description]],75)</f>
        <v>TWEET PEDIATRIC DENTIS   CHANHASSEN   MN REF #24071051KVAMDT6YQ</v>
      </c>
    </row>
    <row r="8830" spans="1:15" hidden="1">
      <c r="A8830" s="25">
        <f>VALUE(YEAR(Table2[[#This Row],[Date]])&amp;TEXT(MONTH(Table2[[#This Row],[Date]]),"00"))</f>
        <v>202302</v>
      </c>
      <c r="B8830" s="93">
        <v>44978</v>
      </c>
      <c r="C8830" s="97" t="s">
        <v>2265</v>
      </c>
      <c r="D8830" s="87" t="s">
        <v>3896</v>
      </c>
      <c r="E8830" s="87">
        <v>53.43</v>
      </c>
      <c r="F8830" s="2" t="str">
        <f>IF(Table2[[#This Row],[Manual Cat Value]]="",VLOOKUP(Table2[[#This Row],[Description]],'Actuals Lookup'!D:F,3,0),Table2[[#This Row],[Manual Cat Value]])</f>
        <v>Exp - Shopping</v>
      </c>
      <c r="G8830" t="e">
        <f>VLOOKUP(D8830,Lookup!G:H,2,0)</f>
        <v>#N/A</v>
      </c>
      <c r="H8830" s="8" t="s">
        <v>36</v>
      </c>
      <c r="I8830" s="95"/>
      <c r="J8830" s="118">
        <v>-53.43</v>
      </c>
      <c r="K8830" s="87"/>
      <c r="L8830" s="87"/>
      <c r="M8830" s="87" t="s">
        <v>2535</v>
      </c>
      <c r="O8830" t="str">
        <f>LEFT(Table2[[#This Row],[Description]],75)</f>
        <v>Withdrawal ACH BARCLAYCARD US TYPE: CREDITCARD ID: 2510407970 CO: BARCLAYCA</v>
      </c>
    </row>
    <row r="8831" spans="1:15" hidden="1">
      <c r="A8831" s="25">
        <f>VALUE(YEAR(Table2[[#This Row],[Date]])&amp;TEXT(MONTH(Table2[[#This Row],[Date]]),"00"))</f>
        <v>202302</v>
      </c>
      <c r="B8831" s="93">
        <v>44978</v>
      </c>
      <c r="C8831" s="97" t="s">
        <v>2265</v>
      </c>
      <c r="D8831" s="87" t="s">
        <v>3897</v>
      </c>
      <c r="E8831" s="87">
        <v>70.349999999999994</v>
      </c>
      <c r="F8831" s="2" t="str">
        <f>IF(Table2[[#This Row],[Manual Cat Value]]="",VLOOKUP(Table2[[#This Row],[Description]],'Actuals Lookup'!D:F,3,0),Table2[[#This Row],[Manual Cat Value]])</f>
        <v>Exp - Utilities</v>
      </c>
      <c r="G8831" t="e">
        <f>VLOOKUP(D8831,Lookup!G:H,2,0)</f>
        <v>#N/A</v>
      </c>
      <c r="H8831" s="8" t="s">
        <v>6</v>
      </c>
      <c r="I8831" s="95"/>
      <c r="J8831" s="118">
        <v>-70.349999999999994</v>
      </c>
      <c r="K8831" s="87"/>
      <c r="L8831" s="87"/>
      <c r="M8831" s="87" t="s">
        <v>2535</v>
      </c>
      <c r="O8831" t="str">
        <f>LEFT(Table2[[#This Row],[Description]],75)</f>
        <v xml:space="preserve">Withdrawal ACH CITY OF CHANHASS TYPE: UTIL BILL ID: 1410885331 CO: CITY OF </v>
      </c>
    </row>
    <row r="8832" spans="1:15" hidden="1">
      <c r="A8832" s="25">
        <f>VALUE(YEAR(Table2[[#This Row],[Date]])&amp;TEXT(MONTH(Table2[[#This Row],[Date]]),"00"))</f>
        <v>202302</v>
      </c>
      <c r="B8832" s="93">
        <v>44978</v>
      </c>
      <c r="C8832" s="97" t="s">
        <v>2265</v>
      </c>
      <c r="D8832" s="87" t="s">
        <v>3898</v>
      </c>
      <c r="E8832" s="87">
        <v>100</v>
      </c>
      <c r="F8832" s="2" t="str">
        <f>IF(Table2[[#This Row],[Manual Cat Value]]="",VLOOKUP(Table2[[#This Row],[Description]],'Actuals Lookup'!D:F,3,0),Table2[[#This Row],[Manual Cat Value]])</f>
        <v>Delete</v>
      </c>
      <c r="G8832" t="e">
        <f>VLOOKUP(D8832,Lookup!G:H,2,0)</f>
        <v>#N/A</v>
      </c>
      <c r="H8832" s="8" t="s">
        <v>9</v>
      </c>
      <c r="I8832" s="95"/>
      <c r="J8832" s="118">
        <v>-100</v>
      </c>
      <c r="K8832" s="87"/>
      <c r="L8832" s="87"/>
      <c r="M8832" s="87" t="s">
        <v>2535</v>
      </c>
      <c r="O8832" t="str">
        <f>LEFT(Table2[[#This Row],[Description]],75)</f>
        <v xml:space="preserve">Withdrawal ACH Coinbase.com TYPE: UMPR9WKS ID: 1455293997 CO: Coinbase.com </v>
      </c>
    </row>
    <row r="8833" spans="1:15" hidden="1">
      <c r="A8833" s="25">
        <f>VALUE(YEAR(Table2[[#This Row],[Date]])&amp;TEXT(MONTH(Table2[[#This Row],[Date]]),"00"))</f>
        <v>202302</v>
      </c>
      <c r="B8833" s="93">
        <v>44978</v>
      </c>
      <c r="C8833" s="97" t="s">
        <v>2265</v>
      </c>
      <c r="D8833" s="87" t="s">
        <v>3899</v>
      </c>
      <c r="E8833" s="87">
        <v>500</v>
      </c>
      <c r="F8833" s="2" t="str">
        <f>IF(Table2[[#This Row],[Manual Cat Value]]="",VLOOKUP(Table2[[#This Row],[Description]],'Actuals Lookup'!D:F,3,0),Table2[[#This Row],[Manual Cat Value]])</f>
        <v>Sav - College Savings</v>
      </c>
      <c r="G8833" t="e">
        <f>VLOOKUP(D8833,Lookup!G:H,2,0)</f>
        <v>#N/A</v>
      </c>
      <c r="H8833" s="8" t="s">
        <v>60</v>
      </c>
      <c r="I8833" s="95"/>
      <c r="J8833" s="118">
        <v>-500</v>
      </c>
      <c r="K8833" s="87"/>
      <c r="L8833" s="87"/>
      <c r="M8833" s="87" t="s">
        <v>2535</v>
      </c>
      <c r="O8833" t="str">
        <f>LEFT(Table2[[#This Row],[Description]],75)</f>
        <v>Withdrawal ACH MN DIR ACH TYPE: CONTRIB ID: 2416007162 CO: MN DIR ACH NAME:</v>
      </c>
    </row>
    <row r="8834" spans="1:15" hidden="1">
      <c r="A8834" s="25">
        <f>VALUE(YEAR(Table2[[#This Row],[Date]])&amp;TEXT(MONTH(Table2[[#This Row],[Date]]),"00"))</f>
        <v>202302</v>
      </c>
      <c r="B8834" s="93">
        <v>44978</v>
      </c>
      <c r="C8834" s="97" t="s">
        <v>2265</v>
      </c>
      <c r="D8834" s="87" t="s">
        <v>3900</v>
      </c>
      <c r="E8834" s="87">
        <v>18.350000000000001</v>
      </c>
      <c r="F8834" s="2" t="str">
        <f>IF(Table2[[#This Row],[Manual Cat Value]]="",VLOOKUP(Table2[[#This Row],[Description]],'Actuals Lookup'!D:F,3,0),Table2[[#This Row],[Manual Cat Value]])</f>
        <v>Exp - Shopping</v>
      </c>
      <c r="G8834" t="e">
        <f>VLOOKUP(D8834,Lookup!G:H,2,0)</f>
        <v>#N/A</v>
      </c>
      <c r="H8834" s="8" t="s">
        <v>36</v>
      </c>
      <c r="I8834" s="95"/>
      <c r="J8834" s="118">
        <v>-18.350000000000001</v>
      </c>
      <c r="K8834" s="87"/>
      <c r="L8834" s="87"/>
      <c r="M8834" s="87" t="s">
        <v>2535</v>
      </c>
      <c r="O8834" t="str">
        <f>LEFT(Table2[[#This Row],[Description]],75)</f>
        <v xml:space="preserve">Withdrawal ACH PAYPAL TYPE: INST XFER ID: PAYPALSI77 CO: PAYPAL NAME: JEFF </v>
      </c>
    </row>
    <row r="8835" spans="1:15" hidden="1">
      <c r="A8835" s="25">
        <f>VALUE(YEAR(Table2[[#This Row],[Date]])&amp;TEXT(MONTH(Table2[[#This Row],[Date]]),"00"))</f>
        <v>202302</v>
      </c>
      <c r="B8835" s="93">
        <v>44978</v>
      </c>
      <c r="C8835" s="97" t="s">
        <v>2265</v>
      </c>
      <c r="D8835" s="87" t="s">
        <v>3901</v>
      </c>
      <c r="E8835" s="87">
        <v>403.57</v>
      </c>
      <c r="F8835" s="2" t="str">
        <f>IF(Table2[[#This Row],[Manual Cat Value]]="",VLOOKUP(Table2[[#This Row],[Description]],'Actuals Lookup'!D:F,3,0),Table2[[#This Row],[Manual Cat Value]])</f>
        <v>Exp - Shopping</v>
      </c>
      <c r="G8835" t="e">
        <f>VLOOKUP(D8835,Lookup!G:H,2,0)</f>
        <v>#N/A</v>
      </c>
      <c r="H8835" s="8" t="s">
        <v>36</v>
      </c>
      <c r="I8835" s="95"/>
      <c r="J8835" s="118">
        <v>-403.57</v>
      </c>
      <c r="K8835" s="87"/>
      <c r="L8835" s="87"/>
      <c r="M8835" s="87" t="s">
        <v>2535</v>
      </c>
      <c r="O8835" t="str">
        <f>LEFT(Table2[[#This Row],[Description]],75)</f>
        <v>Withdrawal ACH NORDSTROM TYPE: PAYMENT ID: 9044022131 CO: NORDSTROM NAME: J</v>
      </c>
    </row>
    <row r="8836" spans="1:15" hidden="1">
      <c r="A8836" s="25">
        <f>VALUE(YEAR(Table2[[#This Row],[Date]])&amp;TEXT(MONTH(Table2[[#This Row],[Date]]),"00"))</f>
        <v>202302</v>
      </c>
      <c r="B8836" s="6">
        <v>44979</v>
      </c>
      <c r="C8836" t="s">
        <v>2447</v>
      </c>
      <c r="D8836" t="s">
        <v>3902</v>
      </c>
      <c r="E8836">
        <v>14.99</v>
      </c>
      <c r="F8836" s="2" t="str">
        <f>IF(Table2[[#This Row],[Manual Cat Value]]="",VLOOKUP(Table2[[#This Row],[Description]],'Actuals Lookup'!D:F,3,0),Table2[[#This Row],[Manual Cat Value]])</f>
        <v>Exp - Amazon</v>
      </c>
      <c r="G8836" t="e">
        <f>VLOOKUP(D8836,Lookup!G:H,2,0)</f>
        <v>#N/A</v>
      </c>
      <c r="H8836" s="8" t="s">
        <v>37</v>
      </c>
      <c r="I8836" s="8"/>
      <c r="J8836">
        <v>14.99</v>
      </c>
      <c r="M8836" t="s">
        <v>2535</v>
      </c>
      <c r="O8836" t="str">
        <f>LEFT(Table2[[#This Row],[Description]],75)</f>
        <v>AMAZON.COM*HP2C95WZ0 AMZN.COM/BILLWA2KIE06S2P10</v>
      </c>
    </row>
    <row r="8837" spans="1:15" hidden="1">
      <c r="A8837" s="25">
        <f>VALUE(YEAR(Table2[[#This Row],[Date]])&amp;TEXT(MONTH(Table2[[#This Row],[Date]]),"00"))</f>
        <v>202302</v>
      </c>
      <c r="B8837" s="93">
        <v>44979</v>
      </c>
      <c r="C8837" s="119" t="s">
        <v>2262</v>
      </c>
      <c r="D8837" s="87" t="s">
        <v>3903</v>
      </c>
      <c r="E8837" s="87">
        <v>8</v>
      </c>
      <c r="F8837" s="2" t="str">
        <f>IF(Table2[[#This Row],[Manual Cat Value]]="",VLOOKUP(Table2[[#This Row],[Description]],'Actuals Lookup'!D:F,3,0),Table2[[#This Row],[Manual Cat Value]])</f>
        <v>Exp - Utilities</v>
      </c>
      <c r="G8837" t="e">
        <f>VLOOKUP(D8837,Lookup!G:H,2,0)</f>
        <v>#N/A</v>
      </c>
      <c r="H8837" s="8" t="s">
        <v>6</v>
      </c>
      <c r="I8837" s="95"/>
      <c r="J8837" s="118">
        <v>-8</v>
      </c>
      <c r="K8837" s="87"/>
      <c r="L8837" s="87"/>
      <c r="M8837" s="87" t="s">
        <v>2535</v>
      </c>
      <c r="O8837" t="str">
        <f>LEFT(Table2[[#This Row],[Description]],75)</f>
        <v>D J*WALL-ST-JOURNAL      800-568-7625 MA REF #24692161M340MYX14</v>
      </c>
    </row>
    <row r="8838" spans="1:15" hidden="1">
      <c r="A8838" s="25">
        <f>VALUE(YEAR(Table2[[#This Row],[Date]])&amp;TEXT(MONTH(Table2[[#This Row],[Date]]),"00"))</f>
        <v>202302</v>
      </c>
      <c r="B8838" s="93">
        <v>44979</v>
      </c>
      <c r="C8838" s="97" t="s">
        <v>2265</v>
      </c>
      <c r="D8838" s="87" t="s">
        <v>3904</v>
      </c>
      <c r="E8838" s="87">
        <v>38.19</v>
      </c>
      <c r="F8838" s="2" t="str">
        <f>IF(Table2[[#This Row],[Manual Cat Value]]="",VLOOKUP(Table2[[#This Row],[Description]],'Actuals Lookup'!D:F,3,0),Table2[[#This Row],[Manual Cat Value]])</f>
        <v>Exp - Healthcare</v>
      </c>
      <c r="G8838" t="e">
        <f>VLOOKUP(D8838,Lookup!G:H,2,0)</f>
        <v>#N/A</v>
      </c>
      <c r="H8838" s="8" t="s">
        <v>47</v>
      </c>
      <c r="I8838" s="95"/>
      <c r="J8838" s="98">
        <v>38.19</v>
      </c>
      <c r="K8838" s="87"/>
      <c r="L8838" s="87"/>
      <c r="M8838" s="87" t="s">
        <v>3074</v>
      </c>
      <c r="O8838" t="str">
        <f>LEFT(Table2[[#This Row],[Description]],75)</f>
        <v>Deposit ACH connectyourcare TYPE: SVB-CLAIMS ID: E942875288 CO: connectyour</v>
      </c>
    </row>
    <row r="8839" spans="1:15" hidden="1">
      <c r="A8839" s="25">
        <f>VALUE(YEAR(Table2[[#This Row],[Date]])&amp;TEXT(MONTH(Table2[[#This Row],[Date]]),"00"))</f>
        <v>202302</v>
      </c>
      <c r="B8839" s="93">
        <v>44979</v>
      </c>
      <c r="C8839" s="97" t="s">
        <v>2265</v>
      </c>
      <c r="D8839" s="87" t="s">
        <v>3905</v>
      </c>
      <c r="E8839" s="87">
        <v>330</v>
      </c>
      <c r="F8839" s="2" t="str">
        <f>IF(Table2[[#This Row],[Manual Cat Value]]="",VLOOKUP(Table2[[#This Row],[Description]],'Actuals Lookup'!D:F,3,0),Table2[[#This Row],[Manual Cat Value]])</f>
        <v>Exp - Day Care</v>
      </c>
      <c r="G8839" t="e">
        <f>VLOOKUP(D8839,Lookup!G:H,2,0)</f>
        <v>#N/A</v>
      </c>
      <c r="H8839" s="8" t="s">
        <v>19</v>
      </c>
      <c r="I8839" s="95"/>
      <c r="J8839" s="118">
        <v>-330</v>
      </c>
      <c r="K8839" s="87"/>
      <c r="L8839" s="87"/>
      <c r="M8839" s="87" t="s">
        <v>2535</v>
      </c>
      <c r="O8839" t="str">
        <f>LEFT(Table2[[#This Row],[Description]],75)</f>
        <v xml:space="preserve">Withdrawal ACH MHCHILDCARELLC TYPE: DUES ID: 1824708198 CO: MHCHILDCARELLC </v>
      </c>
    </row>
    <row r="8840" spans="1:15" hidden="1">
      <c r="A8840" s="25">
        <f>VALUE(YEAR(Table2[[#This Row],[Date]])&amp;TEXT(MONTH(Table2[[#This Row],[Date]]),"00"))</f>
        <v>202302</v>
      </c>
      <c r="B8840" s="93">
        <v>44980</v>
      </c>
      <c r="C8840" s="119" t="s">
        <v>2262</v>
      </c>
      <c r="D8840" s="87" t="s">
        <v>3906</v>
      </c>
      <c r="E8840" s="87">
        <v>57.57</v>
      </c>
      <c r="F8840" s="2" t="str">
        <f>IF(Table2[[#This Row],[Manual Cat Value]]="",VLOOKUP(Table2[[#This Row],[Description]],'Actuals Lookup'!D:F,3,0),Table2[[#This Row],[Manual Cat Value]])</f>
        <v>Exp - Amazon</v>
      </c>
      <c r="G8840" t="e">
        <f>VLOOKUP(D8840,Lookup!G:H,2,0)</f>
        <v>#N/A</v>
      </c>
      <c r="H8840" s="8" t="s">
        <v>37</v>
      </c>
      <c r="I8840" s="95"/>
      <c r="J8840" s="118">
        <v>-57.57</v>
      </c>
      <c r="K8840" s="87"/>
      <c r="L8840" s="87"/>
      <c r="M8840" s="87" t="s">
        <v>2535</v>
      </c>
      <c r="O8840" t="str">
        <f>LEFT(Table2[[#This Row],[Description]],75)</f>
        <v>AMZN Mktp US*HP3N741B2   Amzn.com/billWA REF #24692161M34ABJEW5</v>
      </c>
    </row>
    <row r="8841" spans="1:15" hidden="1">
      <c r="A8841" s="25">
        <f>VALUE(YEAR(Table2[[#This Row],[Date]])&amp;TEXT(MONTH(Table2[[#This Row],[Date]]),"00"))</f>
        <v>202302</v>
      </c>
      <c r="B8841" s="93">
        <v>44980</v>
      </c>
      <c r="C8841" s="119" t="s">
        <v>2262</v>
      </c>
      <c r="D8841" s="87" t="s">
        <v>3907</v>
      </c>
      <c r="E8841" s="87">
        <v>16.73</v>
      </c>
      <c r="F8841" s="2" t="str">
        <f>IF(Table2[[#This Row],[Manual Cat Value]]="",VLOOKUP(Table2[[#This Row],[Description]],'Actuals Lookup'!D:F,3,0),Table2[[#This Row],[Manual Cat Value]])</f>
        <v>Exp - Utilities</v>
      </c>
      <c r="G8841" t="e">
        <f>VLOOKUP(D8841,Lookup!G:H,2,0)</f>
        <v>#N/A</v>
      </c>
      <c r="H8841" s="8" t="s">
        <v>6</v>
      </c>
      <c r="I8841" s="95"/>
      <c r="J8841" s="118">
        <v>-16.73</v>
      </c>
      <c r="K8841" s="87"/>
      <c r="L8841" s="87"/>
      <c r="M8841" s="87" t="s">
        <v>2535</v>
      </c>
      <c r="O8841" t="str">
        <f>LEFT(Table2[[#This Row],[Description]],75)</f>
        <v>Netflix.com              866-5797172  CA REF #24906411M4WBE992V</v>
      </c>
    </row>
    <row r="8842" spans="1:15" hidden="1">
      <c r="A8842" s="25">
        <f>VALUE(YEAR(Table2[[#This Row],[Date]])&amp;TEXT(MONTH(Table2[[#This Row],[Date]]),"00"))</f>
        <v>202302</v>
      </c>
      <c r="B8842" s="93">
        <v>44980</v>
      </c>
      <c r="C8842" s="119" t="s">
        <v>2262</v>
      </c>
      <c r="D8842" s="87" t="s">
        <v>3908</v>
      </c>
      <c r="E8842" s="87">
        <v>76.599999999999994</v>
      </c>
      <c r="F8842" s="2" t="str">
        <f>IF(Table2[[#This Row],[Manual Cat Value]]="",VLOOKUP(Table2[[#This Row],[Description]],'Actuals Lookup'!D:F,3,0),Table2[[#This Row],[Manual Cat Value]])</f>
        <v>Exp - Shopping</v>
      </c>
      <c r="G8842" t="e">
        <f>VLOOKUP(D8842,Lookup!G:H,2,0)</f>
        <v>#N/A</v>
      </c>
      <c r="H8842" s="8" t="s">
        <v>36</v>
      </c>
      <c r="I8842" s="95"/>
      <c r="J8842" s="118">
        <v>-76.599999999999994</v>
      </c>
      <c r="K8842" s="87"/>
      <c r="L8842" s="87"/>
      <c r="M8842" s="87" t="s">
        <v>2535</v>
      </c>
      <c r="O8842" t="str">
        <f>LEFT(Table2[[#This Row],[Description]],75)</f>
        <v>SP MAVI USA              HTTPSMAVIGIYINY REF #24492161M000ZK3E1</v>
      </c>
    </row>
    <row r="8843" spans="1:15" hidden="1">
      <c r="A8843" s="25">
        <f>VALUE(YEAR(Table2[[#This Row],[Date]])&amp;TEXT(MONTH(Table2[[#This Row],[Date]]),"00"))</f>
        <v>202302</v>
      </c>
      <c r="B8843" s="93">
        <v>44981</v>
      </c>
      <c r="C8843" s="119" t="s">
        <v>2262</v>
      </c>
      <c r="D8843" s="87" t="s">
        <v>3909</v>
      </c>
      <c r="E8843" s="87">
        <v>128</v>
      </c>
      <c r="F8843" s="2" t="str">
        <f>IF(Table2[[#This Row],[Manual Cat Value]]="",VLOOKUP(Table2[[#This Row],[Description]],'Actuals Lookup'!D:F,3,0),Table2[[#This Row],[Manual Cat Value]])</f>
        <v>Exp - Shopping</v>
      </c>
      <c r="G8843" t="e">
        <f>VLOOKUP(D8843,Lookup!G:H,2,0)</f>
        <v>#N/A</v>
      </c>
      <c r="H8843" s="8" t="s">
        <v>36</v>
      </c>
      <c r="I8843" s="95"/>
      <c r="J8843" s="118">
        <v>-128</v>
      </c>
      <c r="K8843" s="87"/>
      <c r="L8843" s="87"/>
      <c r="M8843" s="87" t="s">
        <v>2535</v>
      </c>
      <c r="O8843" t="str">
        <f>LEFT(Table2[[#This Row],[Description]],75)</f>
        <v>LULULEMONCOM*            877-263-9300 CA REF #24692161N34PDXQJ9</v>
      </c>
    </row>
    <row r="8844" spans="1:15" hidden="1">
      <c r="A8844" s="25">
        <f>VALUE(YEAR(Table2[[#This Row],[Date]])&amp;TEXT(MONTH(Table2[[#This Row],[Date]]),"00"))</f>
        <v>202302</v>
      </c>
      <c r="B8844" s="93">
        <v>44981</v>
      </c>
      <c r="C8844" s="119" t="s">
        <v>2262</v>
      </c>
      <c r="D8844" s="87" t="s">
        <v>3910</v>
      </c>
      <c r="E8844" s="87">
        <v>95.83</v>
      </c>
      <c r="F8844" s="2" t="str">
        <f>IF(Table2[[#This Row],[Manual Cat Value]]="",VLOOKUP(Table2[[#This Row],[Description]],'Actuals Lookup'!D:F,3,0),Table2[[#This Row],[Manual Cat Value]])</f>
        <v>Exp - Travel</v>
      </c>
      <c r="G8844" t="e">
        <f>VLOOKUP(D8844,Lookup!G:H,2,0)</f>
        <v>#N/A</v>
      </c>
      <c r="H8844" s="8" t="s">
        <v>52</v>
      </c>
      <c r="I8844" s="95"/>
      <c r="J8844" s="118">
        <v>-95.83</v>
      </c>
      <c r="K8844" s="87"/>
      <c r="L8844" s="87"/>
      <c r="M8844" s="87" t="s">
        <v>2535</v>
      </c>
      <c r="O8844" t="str">
        <f>LEFT(Table2[[#This Row],[Description]],75)</f>
        <v>PARK N FLY RESERVATIONS  goo.gl/gVdePhGA REF #24210731P2MA55Q8R</v>
      </c>
    </row>
    <row r="8845" spans="1:15" hidden="1">
      <c r="A8845" s="25">
        <f>VALUE(YEAR(Table2[[#This Row],[Date]])&amp;TEXT(MONTH(Table2[[#This Row],[Date]]),"00"))</f>
        <v>202302</v>
      </c>
      <c r="B8845" s="93">
        <v>44981</v>
      </c>
      <c r="C8845" s="119" t="s">
        <v>2262</v>
      </c>
      <c r="D8845" s="87" t="s">
        <v>3911</v>
      </c>
      <c r="E8845" s="87">
        <v>4.78</v>
      </c>
      <c r="F8845" s="2" t="str">
        <f>IF(Table2[[#This Row],[Manual Cat Value]]="",VLOOKUP(Table2[[#This Row],[Description]],'Actuals Lookup'!D:F,3,0),Table2[[#This Row],[Manual Cat Value]])</f>
        <v>Exp - Misc</v>
      </c>
      <c r="G8845" t="e">
        <f>VLOOKUP(D8845,Lookup!G:H,2,0)</f>
        <v>#N/A</v>
      </c>
      <c r="H8845" s="8" t="s">
        <v>46</v>
      </c>
      <c r="I8845" s="95"/>
      <c r="J8845" s="118">
        <v>-4.78</v>
      </c>
      <c r="K8845" s="87"/>
      <c r="L8845" s="87"/>
      <c r="M8845" s="87" t="s">
        <v>2535</v>
      </c>
      <c r="O8845" t="str">
        <f>LEFT(Table2[[#This Row],[Description]],75)</f>
        <v>USPS PO 2616400317       CHANHASSEN   MN REF #24137461P00YGHV0S</v>
      </c>
    </row>
    <row r="8846" spans="1:15" hidden="1">
      <c r="A8846" s="25">
        <f>VALUE(YEAR(Table2[[#This Row],[Date]])&amp;TEXT(MONTH(Table2[[#This Row],[Date]]),"00"))</f>
        <v>202302</v>
      </c>
      <c r="B8846" s="93">
        <v>44983</v>
      </c>
      <c r="C8846" s="119" t="s">
        <v>2262</v>
      </c>
      <c r="D8846" s="87" t="s">
        <v>3912</v>
      </c>
      <c r="E8846" s="87">
        <v>56.9</v>
      </c>
      <c r="F8846" s="2" t="str">
        <f>IF(Table2[[#This Row],[Manual Cat Value]]="",VLOOKUP(Table2[[#This Row],[Description]],'Actuals Lookup'!D:F,3,0),Table2[[#This Row],[Manual Cat Value]])</f>
        <v>Exp - Amazon</v>
      </c>
      <c r="G8846" t="e">
        <f>VLOOKUP(D8846,Lookup!G:H,2,0)</f>
        <v>#N/A</v>
      </c>
      <c r="H8846" s="8" t="s">
        <v>37</v>
      </c>
      <c r="I8846" s="95"/>
      <c r="J8846" s="118">
        <v>-56.9</v>
      </c>
      <c r="K8846" s="87"/>
      <c r="L8846" s="87"/>
      <c r="M8846" s="87" t="s">
        <v>2535</v>
      </c>
      <c r="O8846" t="str">
        <f>LEFT(Table2[[#This Row],[Description]],75)</f>
        <v>AMZN MKTP US*HP8YI8R11 AMAMZN.COM/BILLWA REF #24431061R2E03N4GG</v>
      </c>
    </row>
    <row r="8847" spans="1:15" hidden="1">
      <c r="A8847" s="25">
        <f>VALUE(YEAR(Table2[[#This Row],[Date]])&amp;TEXT(MONTH(Table2[[#This Row],[Date]]),"00"))</f>
        <v>202302</v>
      </c>
      <c r="B8847" s="93">
        <v>44983</v>
      </c>
      <c r="C8847" s="97" t="s">
        <v>2265</v>
      </c>
      <c r="D8847" s="87" t="s">
        <v>3913</v>
      </c>
      <c r="E8847" s="87">
        <v>3402.84</v>
      </c>
      <c r="F8847" s="2" t="str">
        <f>IF(Table2[[#This Row],[Manual Cat Value]]="",VLOOKUP(Table2[[#This Row],[Description]],'Actuals Lookup'!D:F,3,0),Table2[[#This Row],[Manual Cat Value]])</f>
        <v>Inc - Jeff</v>
      </c>
      <c r="G8847" t="e">
        <f>VLOOKUP(D8847,Lookup!G:H,2,0)</f>
        <v>#N/A</v>
      </c>
      <c r="H8847" s="8" t="s">
        <v>63</v>
      </c>
      <c r="I8847" s="95"/>
      <c r="J8847" s="98">
        <v>3402.84</v>
      </c>
      <c r="K8847" s="87"/>
      <c r="L8847" s="87"/>
      <c r="M8847" s="87" t="s">
        <v>3074</v>
      </c>
      <c r="O8847" t="str">
        <f>LEFT(Table2[[#This Row],[Description]],75)</f>
        <v>Deposit ACH TRINET TYPE: PAYROLL ID: 194XXXXXXX CO: TRINET Entry Class Code</v>
      </c>
    </row>
    <row r="8848" spans="1:15" hidden="1">
      <c r="A8848" s="25">
        <f>VALUE(YEAR(Table2[[#This Row],[Date]])&amp;TEXT(MONTH(Table2[[#This Row],[Date]]),"00"))</f>
        <v>202302</v>
      </c>
      <c r="B8848" s="93">
        <v>44983</v>
      </c>
      <c r="C8848" s="119" t="s">
        <v>2262</v>
      </c>
      <c r="D8848" s="87" t="s">
        <v>3914</v>
      </c>
      <c r="E8848" s="87">
        <v>27</v>
      </c>
      <c r="F8848" s="2" t="str">
        <f>IF(Table2[[#This Row],[Manual Cat Value]]="",VLOOKUP(Table2[[#This Row],[Description]],'Actuals Lookup'!D:F,3,0),Table2[[#This Row],[Manual Cat Value]])</f>
        <v>Exp - Day Care</v>
      </c>
      <c r="G8848" t="e">
        <f>VLOOKUP(D8848,Lookup!G:H,2,0)</f>
        <v>#N/A</v>
      </c>
      <c r="H8848" s="8" t="s">
        <v>19</v>
      </c>
      <c r="I8848" s="95"/>
      <c r="J8848" s="118">
        <v>-27</v>
      </c>
      <c r="K8848" s="87"/>
      <c r="L8848" s="87"/>
      <c r="M8848" s="87" t="s">
        <v>2535</v>
      </c>
      <c r="O8848" t="str">
        <f>LEFT(Table2[[#This Row],[Description]],75)</f>
        <v>Kids Hair - CH           Chanhassen   MN REF #24793381P023W1W6J</v>
      </c>
    </row>
    <row r="8849" spans="1:15" hidden="1">
      <c r="A8849" s="25">
        <f>VALUE(YEAR(Table2[[#This Row],[Date]])&amp;TEXT(MONTH(Table2[[#This Row],[Date]]),"00"))</f>
        <v>202302</v>
      </c>
      <c r="B8849" s="93">
        <v>44983</v>
      </c>
      <c r="C8849" s="119" t="s">
        <v>2262</v>
      </c>
      <c r="D8849" s="87" t="s">
        <v>3915</v>
      </c>
      <c r="E8849" s="87">
        <v>42.55</v>
      </c>
      <c r="F8849" s="2" t="str">
        <f>IF(Table2[[#This Row],[Manual Cat Value]]="",VLOOKUP(Table2[[#This Row],[Description]],'Actuals Lookup'!D:F,3,0),Table2[[#This Row],[Manual Cat Value]])</f>
        <v>Exp - Groceries</v>
      </c>
      <c r="G8849" t="e">
        <f>VLOOKUP(D8849,Lookup!G:H,2,0)</f>
        <v>#N/A</v>
      </c>
      <c r="H8849" s="8" t="s">
        <v>27</v>
      </c>
      <c r="I8849" s="95"/>
      <c r="J8849" s="118">
        <v>-42.55</v>
      </c>
      <c r="K8849" s="87"/>
      <c r="L8849" s="87"/>
      <c r="M8849" s="87" t="s">
        <v>2535</v>
      </c>
      <c r="O8849" t="str">
        <f>LEFT(Table2[[#This Row],[Description]],75)</f>
        <v>LUNDS&amp;BYERLYS CHANH      CHANHASSEN   MN REF #24427331PM83TW4JP</v>
      </c>
    </row>
    <row r="8850" spans="1:15" hidden="1">
      <c r="A8850" s="25">
        <f>VALUE(YEAR(Table2[[#This Row],[Date]])&amp;TEXT(MONTH(Table2[[#This Row],[Date]]),"00"))</f>
        <v>202302</v>
      </c>
      <c r="B8850" s="93">
        <v>44983</v>
      </c>
      <c r="C8850" s="119" t="s">
        <v>2262</v>
      </c>
      <c r="D8850" s="87" t="s">
        <v>3916</v>
      </c>
      <c r="E8850" s="87">
        <v>84.31</v>
      </c>
      <c r="F8850" s="2" t="str">
        <f>IF(Table2[[#This Row],[Manual Cat Value]]="",VLOOKUP(Table2[[#This Row],[Description]],'Actuals Lookup'!D:F,3,0),Table2[[#This Row],[Manual Cat Value]])</f>
        <v>Exp - Groceries</v>
      </c>
      <c r="G8850" t="e">
        <f>VLOOKUP(D8850,Lookup!G:H,2,0)</f>
        <v>#N/A</v>
      </c>
      <c r="H8850" s="8" t="s">
        <v>27</v>
      </c>
      <c r="I8850" s="95"/>
      <c r="J8850" s="118">
        <v>-84.31</v>
      </c>
      <c r="K8850" s="87"/>
      <c r="L8850" s="87"/>
      <c r="M8850" s="87" t="s">
        <v>2535</v>
      </c>
      <c r="O8850" t="str">
        <f>LEFT(Table2[[#This Row],[Description]],75)</f>
        <v>MAYNARDS R* MAYNARDS E   MAYNARDSEXCELMN REF #24492161T00013D5R</v>
      </c>
    </row>
    <row r="8851" spans="1:15" hidden="1">
      <c r="A8851" s="25">
        <f>VALUE(YEAR(Table2[[#This Row],[Date]])&amp;TEXT(MONTH(Table2[[#This Row],[Date]]),"00"))</f>
        <v>202302</v>
      </c>
      <c r="B8851" s="93">
        <v>44983</v>
      </c>
      <c r="C8851" s="119" t="s">
        <v>2262</v>
      </c>
      <c r="D8851" s="87" t="s">
        <v>3917</v>
      </c>
      <c r="E8851" s="87">
        <v>175.03</v>
      </c>
      <c r="F8851" s="2" t="str">
        <f>IF(Table2[[#This Row],[Manual Cat Value]]="",VLOOKUP(Table2[[#This Row],[Description]],'Actuals Lookup'!D:F,3,0),Table2[[#This Row],[Manual Cat Value]])</f>
        <v>Exp - Entertainment</v>
      </c>
      <c r="G8851" t="e">
        <f>VLOOKUP(D8851,Lookup!G:H,2,0)</f>
        <v>#N/A</v>
      </c>
      <c r="H8851" s="8" t="s">
        <v>39</v>
      </c>
      <c r="I8851" s="95"/>
      <c r="J8851" s="118">
        <v>-175.03</v>
      </c>
      <c r="K8851" s="87"/>
      <c r="L8851" s="87"/>
      <c r="M8851" s="87" t="s">
        <v>2535</v>
      </c>
      <c r="O8851" t="str">
        <f>LEFT(Table2[[#This Row],[Description]],75)</f>
        <v>VAIL PASS SALES 0374     888-838-0495 CO REF #24610431P03R3QRQX</v>
      </c>
    </row>
    <row r="8852" spans="1:15" hidden="1">
      <c r="A8852" s="25">
        <f>VALUE(YEAR(Table2[[#This Row],[Date]])&amp;TEXT(MONTH(Table2[[#This Row],[Date]]),"00"))</f>
        <v>202302</v>
      </c>
      <c r="B8852" s="93">
        <v>44984</v>
      </c>
      <c r="C8852" s="119" t="s">
        <v>2262</v>
      </c>
      <c r="D8852" s="87" t="s">
        <v>3918</v>
      </c>
      <c r="E8852" s="87">
        <v>11.34</v>
      </c>
      <c r="F8852" s="2" t="str">
        <f>IF(Table2[[#This Row],[Manual Cat Value]]="",VLOOKUP(Table2[[#This Row],[Description]],'Actuals Lookup'!D:F,3,0),Table2[[#This Row],[Manual Cat Value]])</f>
        <v>Exp - Entertainment</v>
      </c>
      <c r="G8852" t="e">
        <f>VLOOKUP(D8852,Lookup!G:H,2,0)</f>
        <v>#N/A</v>
      </c>
      <c r="H8852" s="8" t="s">
        <v>39</v>
      </c>
      <c r="I8852" s="95"/>
      <c r="J8852" s="118">
        <v>-11.34</v>
      </c>
      <c r="K8852" s="87"/>
      <c r="L8852" s="87"/>
      <c r="M8852" s="87" t="s">
        <v>2535</v>
      </c>
      <c r="O8852" t="str">
        <f>LEFT(Table2[[#This Row],[Description]],75)</f>
        <v>AFTON ALPS F&amp;B           HASTINGS     MN REF #24431061TW69PGR37</v>
      </c>
    </row>
    <row r="8853" spans="1:15" hidden="1">
      <c r="A8853" s="25">
        <f>VALUE(YEAR(Table2[[#This Row],[Date]])&amp;TEXT(MONTH(Table2[[#This Row],[Date]]),"00"))</f>
        <v>202302</v>
      </c>
      <c r="B8853" s="93">
        <v>44984</v>
      </c>
      <c r="C8853" s="119" t="s">
        <v>2262</v>
      </c>
      <c r="D8853" s="87" t="s">
        <v>3919</v>
      </c>
      <c r="E8853" s="87">
        <v>22.88</v>
      </c>
      <c r="F8853" s="2" t="str">
        <f>IF(Table2[[#This Row],[Manual Cat Value]]="",VLOOKUP(Table2[[#This Row],[Description]],'Actuals Lookup'!D:F,3,0),Table2[[#This Row],[Manual Cat Value]])</f>
        <v>Exp - Entertainment</v>
      </c>
      <c r="G8853" t="e">
        <f>VLOOKUP(D8853,Lookup!G:H,2,0)</f>
        <v>#N/A</v>
      </c>
      <c r="H8853" s="8" t="s">
        <v>39</v>
      </c>
      <c r="I8853" s="95"/>
      <c r="J8853" s="118">
        <v>-22.88</v>
      </c>
      <c r="K8853" s="87"/>
      <c r="L8853" s="87"/>
      <c r="M8853" s="87" t="s">
        <v>2535</v>
      </c>
      <c r="O8853" t="str">
        <f>LEFT(Table2[[#This Row],[Description]],75)</f>
        <v>AFTON ALPS F&amp;B           HASTINGS     MN REF #24431061TW6A9MD3M</v>
      </c>
    </row>
    <row r="8854" spans="1:15" hidden="1">
      <c r="A8854" s="25">
        <f>VALUE(YEAR(Table2[[#This Row],[Date]])&amp;TEXT(MONTH(Table2[[#This Row],[Date]]),"00"))</f>
        <v>202302</v>
      </c>
      <c r="B8854" s="93">
        <v>44984</v>
      </c>
      <c r="C8854" s="119" t="s">
        <v>2262</v>
      </c>
      <c r="D8854" s="87" t="s">
        <v>3920</v>
      </c>
      <c r="E8854" s="87">
        <v>76.36</v>
      </c>
      <c r="F8854" s="2" t="str">
        <f>IF(Table2[[#This Row],[Manual Cat Value]]="",VLOOKUP(Table2[[#This Row],[Description]],'Actuals Lookup'!D:F,3,0),Table2[[#This Row],[Manual Cat Value]])</f>
        <v>Exp - Amazon</v>
      </c>
      <c r="G8854" t="e">
        <f>VLOOKUP(D8854,Lookup!G:H,2,0)</f>
        <v>#N/A</v>
      </c>
      <c r="H8854" s="8" t="s">
        <v>37</v>
      </c>
      <c r="I8854" s="95"/>
      <c r="J8854" s="118">
        <v>-76.36</v>
      </c>
      <c r="K8854" s="87"/>
      <c r="L8854" s="87"/>
      <c r="M8854" s="87" t="s">
        <v>2535</v>
      </c>
      <c r="O8854" t="str">
        <f>LEFT(Table2[[#This Row],[Description]],75)</f>
        <v>AMZN Mktp US*HD93F2C41   Amzn.com/billWA REF #24692161T2XTBKHY9</v>
      </c>
    </row>
    <row r="8855" spans="1:15" hidden="1">
      <c r="A8855" s="25">
        <f>VALUE(YEAR(Table2[[#This Row],[Date]])&amp;TEXT(MONTH(Table2[[#This Row],[Date]]),"00"))</f>
        <v>202302</v>
      </c>
      <c r="B8855" s="93">
        <v>44984</v>
      </c>
      <c r="C8855" s="119" t="s">
        <v>2262</v>
      </c>
      <c r="D8855" s="87" t="s">
        <v>3921</v>
      </c>
      <c r="E8855" s="87">
        <v>97.65</v>
      </c>
      <c r="F8855" s="2" t="str">
        <f>IF(Table2[[#This Row],[Manual Cat Value]]="",VLOOKUP(Table2[[#This Row],[Description]],'Actuals Lookup'!D:F,3,0),Table2[[#This Row],[Manual Cat Value]])</f>
        <v>Exp - Groceries</v>
      </c>
      <c r="G8855" t="e">
        <f>VLOOKUP(D8855,Lookup!G:H,2,0)</f>
        <v>#N/A</v>
      </c>
      <c r="H8855" s="8" t="s">
        <v>27</v>
      </c>
      <c r="I8855" s="95"/>
      <c r="J8855" s="118">
        <v>-97.65</v>
      </c>
      <c r="K8855" s="87"/>
      <c r="L8855" s="87"/>
      <c r="M8855" s="87" t="s">
        <v>2535</v>
      </c>
      <c r="O8855" t="str">
        <f>LEFT(Table2[[#This Row],[Description]],75)</f>
        <v>CUB FOODS                CHANHASSEN   MN REF #24427331TM83B998B</v>
      </c>
    </row>
    <row r="8856" spans="1:15" hidden="1">
      <c r="A8856" s="25">
        <f>VALUE(YEAR(Table2[[#This Row],[Date]])&amp;TEXT(MONTH(Table2[[#This Row],[Date]]),"00"))</f>
        <v>202302</v>
      </c>
      <c r="B8856" s="93">
        <v>44984</v>
      </c>
      <c r="C8856" s="119" t="s">
        <v>2262</v>
      </c>
      <c r="D8856" s="87" t="s">
        <v>3922</v>
      </c>
      <c r="E8856" s="87">
        <v>256</v>
      </c>
      <c r="F8856" s="2" t="str">
        <f>IF(Table2[[#This Row],[Manual Cat Value]]="",VLOOKUP(Table2[[#This Row],[Description]],'Actuals Lookup'!D:F,3,0),Table2[[#This Row],[Manual Cat Value]])</f>
        <v>Exp - Shopping</v>
      </c>
      <c r="G8856" t="e">
        <f>VLOOKUP(D8856,Lookup!G:H,2,0)</f>
        <v>#N/A</v>
      </c>
      <c r="H8856" s="8" t="s">
        <v>36</v>
      </c>
      <c r="I8856" s="95"/>
      <c r="J8856" s="118">
        <v>-256</v>
      </c>
      <c r="K8856" s="87"/>
      <c r="L8856" s="87"/>
      <c r="M8856" s="87" t="s">
        <v>2535</v>
      </c>
      <c r="O8856" t="str">
        <f>LEFT(Table2[[#This Row],[Description]],75)</f>
        <v>SP FAHERTY               FAHERTY.MYSHONY REF #24492161S0000VJ6V</v>
      </c>
    </row>
    <row r="8857" spans="1:15" hidden="1">
      <c r="A8857" s="25">
        <f>VALUE(YEAR(Table2[[#This Row],[Date]])&amp;TEXT(MONTH(Table2[[#This Row],[Date]]),"00"))</f>
        <v>202302</v>
      </c>
      <c r="B8857" s="93">
        <v>44984</v>
      </c>
      <c r="C8857" s="119" t="s">
        <v>2262</v>
      </c>
      <c r="D8857" s="87" t="s">
        <v>3923</v>
      </c>
      <c r="E8857" s="87">
        <v>90.2</v>
      </c>
      <c r="F8857" s="2" t="str">
        <f>IF(Table2[[#This Row],[Manual Cat Value]]="",VLOOKUP(Table2[[#This Row],[Description]],'Actuals Lookup'!D:F,3,0),Table2[[#This Row],[Manual Cat Value]])</f>
        <v>Delete</v>
      </c>
      <c r="G8857" t="e">
        <f>VLOOKUP(D8857,Lookup!G:H,2,0)</f>
        <v>#N/A</v>
      </c>
      <c r="H8857" s="8" t="s">
        <v>9</v>
      </c>
      <c r="I8857" s="95"/>
      <c r="J8857" s="118">
        <v>-90.2</v>
      </c>
      <c r="K8857" s="87"/>
      <c r="L8857" s="87"/>
      <c r="M8857" s="87" t="s">
        <v>2535</v>
      </c>
      <c r="O8857" t="str">
        <f>LEFT(Table2[[#This Row],[Description]],75)</f>
        <v>VAIL PASS SALES 0374     888-838-0495 CO REF #24610431T03R69175</v>
      </c>
    </row>
    <row r="8858" spans="1:15" hidden="1">
      <c r="A8858" s="25">
        <f>VALUE(YEAR(Table2[[#This Row],[Date]])&amp;TEXT(MONTH(Table2[[#This Row],[Date]]),"00"))</f>
        <v>202302</v>
      </c>
      <c r="B8858" s="93">
        <v>44984</v>
      </c>
      <c r="C8858" s="97" t="s">
        <v>2265</v>
      </c>
      <c r="D8858" s="87" t="s">
        <v>3924</v>
      </c>
      <c r="E8858" s="87">
        <v>630.07000000000005</v>
      </c>
      <c r="F8858" s="2" t="str">
        <f>IF(Table2[[#This Row],[Manual Cat Value]]="",VLOOKUP(Table2[[#This Row],[Description]],'Actuals Lookup'!D:F,3,0),Table2[[#This Row],[Manual Cat Value]])</f>
        <v>Exp - Target</v>
      </c>
      <c r="G8858" t="e">
        <f>VLOOKUP(D8858,Lookup!G:H,2,0)</f>
        <v>#N/A</v>
      </c>
      <c r="H8858" s="8" t="s">
        <v>30</v>
      </c>
      <c r="I8858" s="95"/>
      <c r="J8858" s="118">
        <v>-630.07000000000005</v>
      </c>
      <c r="K8858" s="87"/>
      <c r="L8858" s="87"/>
      <c r="M8858" s="87" t="s">
        <v>2535</v>
      </c>
      <c r="O8858" t="str">
        <f>LEFT(Table2[[#This Row],[Description]],75)</f>
        <v>Withdrawal ACH TARGET CARD SRVC TYPE: AUTO PYMT ID: 1411721813 CO: TARGET C</v>
      </c>
    </row>
    <row r="8859" spans="1:15" hidden="1">
      <c r="A8859" s="25">
        <f>VALUE(YEAR(Table2[[#This Row],[Date]])&amp;TEXT(MONTH(Table2[[#This Row],[Date]]),"00"))</f>
        <v>202302</v>
      </c>
      <c r="B8859" s="93">
        <v>44985</v>
      </c>
      <c r="C8859" s="97" t="s">
        <v>2265</v>
      </c>
      <c r="D8859" s="87" t="s">
        <v>2896</v>
      </c>
      <c r="E8859" s="87">
        <v>5</v>
      </c>
      <c r="F8859" s="2" t="str">
        <f>IF(Table2[[#This Row],[Manual Cat Value]]="",VLOOKUP(Table2[[#This Row],[Description]],'Actuals Lookup'!D:F,3,0),Table2[[#This Row],[Manual Cat Value]])</f>
        <v>Inc - Other</v>
      </c>
      <c r="G8859" t="e">
        <f>VLOOKUP(D8859,Lookup!G:H,2,0)</f>
        <v>#N/A</v>
      </c>
      <c r="H8859" s="8" t="s">
        <v>16</v>
      </c>
      <c r="I8859" s="95"/>
      <c r="J8859" s="98">
        <v>5</v>
      </c>
      <c r="K8859" s="87"/>
      <c r="L8859" s="87"/>
      <c r="M8859" s="87" t="s">
        <v>3074</v>
      </c>
      <c r="O8859" t="str">
        <f>LEFT(Table2[[#This Row],[Description]],75)</f>
        <v>Deposit ATM FEE REFUND</v>
      </c>
    </row>
    <row r="8860" spans="1:15" hidden="1">
      <c r="A8860" s="25">
        <f>VALUE(YEAR(Table2[[#This Row],[Date]])&amp;TEXT(MONTH(Table2[[#This Row],[Date]]),"00"))</f>
        <v>202302</v>
      </c>
      <c r="B8860" s="93">
        <v>44985</v>
      </c>
      <c r="C8860" s="97" t="s">
        <v>2265</v>
      </c>
      <c r="D8860" s="87" t="s">
        <v>3925</v>
      </c>
      <c r="E8860" s="87">
        <v>45.29</v>
      </c>
      <c r="F8860" s="2" t="str">
        <f>IF(Table2[[#This Row],[Manual Cat Value]]="",VLOOKUP(Table2[[#This Row],[Description]],'Actuals Lookup'!D:F,3,0),Table2[[#This Row],[Manual Cat Value]])</f>
        <v>Inc - Other</v>
      </c>
      <c r="G8860" t="e">
        <f>VLOOKUP(D8860,Lookup!G:H,2,0)</f>
        <v>#N/A</v>
      </c>
      <c r="H8860" s="8" t="s">
        <v>16</v>
      </c>
      <c r="I8860" s="95"/>
      <c r="J8860" s="98">
        <v>45.29</v>
      </c>
      <c r="K8860" s="87"/>
      <c r="L8860" s="87"/>
      <c r="M8860" s="87" t="s">
        <v>3074</v>
      </c>
      <c r="O8860" t="str">
        <f>LEFT(Table2[[#This Row],[Description]],75)</f>
        <v>Deposit Dividend Split Rate Annual Percentage Yield Earned 2.22% from 02/01</v>
      </c>
    </row>
    <row r="8861" spans="1:15" hidden="1">
      <c r="A8861" s="25">
        <f>VALUE(YEAR(Table2[[#This Row],[Date]])&amp;TEXT(MONTH(Table2[[#This Row],[Date]]),"00"))</f>
        <v>202302</v>
      </c>
      <c r="B8861" s="93">
        <v>44985</v>
      </c>
      <c r="C8861" s="119" t="s">
        <v>2262</v>
      </c>
      <c r="D8861" s="87" t="s">
        <v>3926</v>
      </c>
      <c r="E8861" s="87">
        <v>40.479999999999997</v>
      </c>
      <c r="F8861" s="2" t="str">
        <f>IF(Table2[[#This Row],[Manual Cat Value]]="",VLOOKUP(Table2[[#This Row],[Description]],'Actuals Lookup'!D:F,3,0),Table2[[#This Row],[Manual Cat Value]])</f>
        <v>Exp - Transportation</v>
      </c>
      <c r="G8861" t="e">
        <f>VLOOKUP(D8861,Lookup!G:H,2,0)</f>
        <v>#N/A</v>
      </c>
      <c r="H8861" s="8" t="s">
        <v>22</v>
      </c>
      <c r="I8861" s="95"/>
      <c r="J8861" s="118">
        <v>-40.479999999999997</v>
      </c>
      <c r="K8861" s="87"/>
      <c r="L8861" s="87"/>
      <c r="M8861" s="87" t="s">
        <v>2535</v>
      </c>
      <c r="O8861" t="str">
        <f>LEFT(Table2[[#This Row],[Description]],75)</f>
        <v>KWIK TRIP  40200004028   CHANHASSEN   MN REF #24164071SL3HF3EKF</v>
      </c>
    </row>
    <row r="8862" spans="1:15" hidden="1">
      <c r="A8862" s="25">
        <f>VALUE(YEAR(Table2[[#This Row],[Date]])&amp;TEXT(MONTH(Table2[[#This Row],[Date]]),"00"))</f>
        <v>202302</v>
      </c>
      <c r="B8862" s="93">
        <v>44985</v>
      </c>
      <c r="C8862" s="119" t="s">
        <v>2262</v>
      </c>
      <c r="D8862" s="87" t="s">
        <v>3927</v>
      </c>
      <c r="E8862" s="87">
        <v>256</v>
      </c>
      <c r="F8862" s="2" t="str">
        <f>IF(Table2[[#This Row],[Manual Cat Value]]="",VLOOKUP(Table2[[#This Row],[Description]],'Actuals Lookup'!D:F,3,0),Table2[[#This Row],[Manual Cat Value]])</f>
        <v>Exp - Shopping</v>
      </c>
      <c r="G8862" t="e">
        <f>VLOOKUP(D8862,Lookup!G:H,2,0)</f>
        <v>#N/A</v>
      </c>
      <c r="H8862" s="8" t="s">
        <v>36</v>
      </c>
      <c r="I8862" s="95"/>
      <c r="J8862" s="98">
        <v>256</v>
      </c>
      <c r="K8862" s="87"/>
      <c r="L8862" s="87"/>
      <c r="M8862" s="87" t="s">
        <v>3074</v>
      </c>
      <c r="O8862" t="str">
        <f>LEFT(Table2[[#This Row],[Description]],75)</f>
        <v>SP FAHERTY               FAHERTY.MYSHONY REF #24492161S000FDPAF</v>
      </c>
    </row>
    <row r="8863" spans="1:15" hidden="1">
      <c r="A8863" s="25">
        <f>VALUE(YEAR(Table2[[#This Row],[Date]])&amp;TEXT(MONTH(Table2[[#This Row],[Date]]),"00"))</f>
        <v>202302</v>
      </c>
      <c r="B8863" s="93">
        <v>44985</v>
      </c>
      <c r="C8863" s="119" t="s">
        <v>2262</v>
      </c>
      <c r="D8863" s="87" t="s">
        <v>3928</v>
      </c>
      <c r="E8863" s="87">
        <v>2</v>
      </c>
      <c r="F8863" s="2" t="str">
        <f>IF(Table2[[#This Row],[Manual Cat Value]]="",VLOOKUP(Table2[[#This Row],[Description]],'Actuals Lookup'!D:F,3,0),Table2[[#This Row],[Manual Cat Value]])</f>
        <v>Exp - Groceries</v>
      </c>
      <c r="G8863" t="e">
        <f>VLOOKUP(D8863,Lookup!G:H,2,0)</f>
        <v>#N/A</v>
      </c>
      <c r="H8863" s="8" t="s">
        <v>27</v>
      </c>
      <c r="I8863" s="95"/>
      <c r="J8863" s="118">
        <v>-2</v>
      </c>
      <c r="K8863" s="87"/>
      <c r="L8863" s="87"/>
      <c r="M8863" s="87" t="s">
        <v>2535</v>
      </c>
      <c r="O8863" t="str">
        <f>LEFT(Table2[[#This Row],[Description]],75)</f>
        <v>TRADING POST             760-6996800  CA REF #24000971SEBDPWD18</v>
      </c>
    </row>
    <row r="8864" spans="1:15" hidden="1">
      <c r="A8864" s="25">
        <f>VALUE(YEAR(Table2[[#This Row],[Date]])&amp;TEXT(MONTH(Table2[[#This Row],[Date]]),"00"))</f>
        <v>202302</v>
      </c>
      <c r="B8864" s="93">
        <v>44985</v>
      </c>
      <c r="C8864" s="97" t="s">
        <v>2265</v>
      </c>
      <c r="D8864" s="87" t="s">
        <v>3929</v>
      </c>
      <c r="E8864" s="87">
        <v>330</v>
      </c>
      <c r="F8864" s="2" t="str">
        <f>IF(Table2[[#This Row],[Manual Cat Value]]="",VLOOKUP(Table2[[#This Row],[Description]],'Actuals Lookup'!D:F,3,0),Table2[[#This Row],[Manual Cat Value]])</f>
        <v>Exp - Day Care</v>
      </c>
      <c r="G8864" t="e">
        <f>VLOOKUP(D8864,Lookup!G:H,2,0)</f>
        <v>#N/A</v>
      </c>
      <c r="H8864" s="8" t="s">
        <v>19</v>
      </c>
      <c r="I8864" s="95"/>
      <c r="J8864" s="118">
        <v>-330</v>
      </c>
      <c r="K8864" s="87"/>
      <c r="L8864" s="87"/>
      <c r="M8864" s="87" t="s">
        <v>2535</v>
      </c>
      <c r="O8864" t="str">
        <f>LEFT(Table2[[#This Row],[Description]],75)</f>
        <v xml:space="preserve">Withdrawal ACH MHCHILDCARELLC TYPE: DUES ID: 1824708198 CO: MHCHILDCARELLC </v>
      </c>
    </row>
    <row r="8865" spans="1:15" hidden="1">
      <c r="A8865" s="25">
        <f>VALUE(YEAR(Table2[[#This Row],[Date]])&amp;TEXT(MONTH(Table2[[#This Row],[Date]]),"00"))</f>
        <v>202302</v>
      </c>
      <c r="B8865" s="93">
        <v>44985</v>
      </c>
      <c r="C8865" s="97" t="s">
        <v>2265</v>
      </c>
      <c r="D8865" s="87" t="s">
        <v>3930</v>
      </c>
      <c r="E8865" s="87">
        <v>0.99</v>
      </c>
      <c r="F8865" s="2" t="str">
        <f>IF(Table2[[#This Row],[Manual Cat Value]]="",VLOOKUP(Table2[[#This Row],[Description]],'Actuals Lookup'!D:F,3,0),Table2[[#This Row],[Manual Cat Value]])</f>
        <v>Exp - Shopping</v>
      </c>
      <c r="G8865" t="e">
        <f>VLOOKUP(D8865,Lookup!G:H,2,0)</f>
        <v>#N/A</v>
      </c>
      <c r="H8865" s="8" t="s">
        <v>36</v>
      </c>
      <c r="I8865" s="95"/>
      <c r="J8865" s="118">
        <v>-0.99</v>
      </c>
      <c r="K8865" s="87"/>
      <c r="L8865" s="87"/>
      <c r="M8865" s="87" t="s">
        <v>2535</v>
      </c>
      <c r="O8865" t="str">
        <f>LEFT(Table2[[#This Row],[Description]],75)</f>
        <v xml:space="preserve">Withdrawal ACH PAYPAL TYPE: INST XFER ID: PAYPALSI77 CO: PAYPAL NAME: JEFF </v>
      </c>
    </row>
    <row r="8866" spans="1:15" hidden="1">
      <c r="A8866" s="25">
        <f>VALUE(YEAR(Table2[[#This Row],[Date]])&amp;TEXT(MONTH(Table2[[#This Row],[Date]]),"00"))</f>
        <v>202302</v>
      </c>
      <c r="B8866" s="93">
        <v>44985</v>
      </c>
      <c r="C8866" s="97" t="s">
        <v>2265</v>
      </c>
      <c r="D8866" s="87" t="s">
        <v>3931</v>
      </c>
      <c r="E8866" s="87">
        <v>0.99</v>
      </c>
      <c r="F8866" s="2" t="str">
        <f>IF(Table2[[#This Row],[Manual Cat Value]]="",VLOOKUP(Table2[[#This Row],[Description]],'Actuals Lookup'!D:F,3,0),Table2[[#This Row],[Manual Cat Value]])</f>
        <v>Exp - Shopping</v>
      </c>
      <c r="G8866" t="e">
        <f>VLOOKUP(D8866,Lookup!G:H,2,0)</f>
        <v>#N/A</v>
      </c>
      <c r="H8866" s="8" t="s">
        <v>36</v>
      </c>
      <c r="I8866" s="95"/>
      <c r="J8866" s="118">
        <v>-0.99</v>
      </c>
      <c r="K8866" s="87"/>
      <c r="L8866" s="87"/>
      <c r="M8866" s="87" t="s">
        <v>2535</v>
      </c>
      <c r="O8866" t="str">
        <f>LEFT(Table2[[#This Row],[Description]],75)</f>
        <v xml:space="preserve">Withdrawal ACH PAYPAL TYPE: INST XFER ID: PAYPALSI77 CO: PAYPAL NAME: JEFF </v>
      </c>
    </row>
    <row r="8867" spans="1:15" hidden="1">
      <c r="A8867" s="25">
        <f>VALUE(YEAR(Table2[[#This Row],[Date]])&amp;TEXT(MONTH(Table2[[#This Row],[Date]]),"00"))</f>
        <v>202303</v>
      </c>
      <c r="B8867" s="93">
        <v>44986</v>
      </c>
      <c r="C8867" s="87" t="s">
        <v>3932</v>
      </c>
      <c r="D8867" s="87" t="s">
        <v>38</v>
      </c>
      <c r="E8867" s="87">
        <v>121.8</v>
      </c>
      <c r="F8867" s="2" t="str">
        <f>IF(Table2[[#This Row],[Manual Cat Value]]="",VLOOKUP(Table2[[#This Row],[Description]],'Actuals Lookup'!D:F,3,0),Table2[[#This Row],[Manual Cat Value]])</f>
        <v>Amazon</v>
      </c>
      <c r="G8867" s="87" t="s">
        <v>38</v>
      </c>
      <c r="I8867" s="8"/>
      <c r="O8867" t="str">
        <f>LEFT(Table2[[#This Row],[Description]],75)</f>
        <v>Amazon</v>
      </c>
    </row>
    <row r="8868" spans="1:15" hidden="1">
      <c r="A8868" s="25">
        <f>VALUE(YEAR(Table2[[#This Row],[Date]])&amp;TEXT(MONTH(Table2[[#This Row],[Date]]),"00"))</f>
        <v>202303</v>
      </c>
      <c r="B8868" s="93">
        <v>44986</v>
      </c>
      <c r="C8868" s="87" t="s">
        <v>3933</v>
      </c>
      <c r="D8868" s="87" t="s">
        <v>254</v>
      </c>
      <c r="E8868" s="87">
        <v>2606.27</v>
      </c>
      <c r="F8868" s="2" t="str">
        <f>IF(Table2[[#This Row],[Manual Cat Value]]="",VLOOKUP(Table2[[#This Row],[Description]],'Actuals Lookup'!D:F,3,0),Table2[[#This Row],[Manual Cat Value]])</f>
        <v>Rent</v>
      </c>
      <c r="G8868" s="87" t="s">
        <v>5</v>
      </c>
      <c r="I8868" s="8"/>
      <c r="O8868" t="str">
        <f>LEFT(Table2[[#This Row],[Description]],75)</f>
        <v>Baxter Credit Union</v>
      </c>
    </row>
    <row r="8869" spans="1:15" hidden="1">
      <c r="A8869" s="25">
        <f>VALUE(YEAR(Table2[[#This Row],[Date]])&amp;TEXT(MONTH(Table2[[#This Row],[Date]]),"00"))</f>
        <v>202303</v>
      </c>
      <c r="B8869" s="6">
        <v>44986</v>
      </c>
      <c r="C8869" t="s">
        <v>2281</v>
      </c>
      <c r="D8869" t="s">
        <v>3934</v>
      </c>
      <c r="E8869">
        <f>125*2</f>
        <v>250</v>
      </c>
      <c r="F8869" s="2" t="str">
        <f>IF(Table2[[#This Row],[Manual Cat Value]]="",VLOOKUP(Table2[[#This Row],[Description]],'Actuals Lookup'!D:F,3,0),Table2[[#This Row],[Manual Cat Value]])</f>
        <v>Exp - Cleaning</v>
      </c>
      <c r="H8869" s="8" t="s">
        <v>13</v>
      </c>
      <c r="I8869" s="8"/>
      <c r="O8869" t="str">
        <f>LEFT(Table2[[#This Row],[Description]],75)</f>
        <v>Cash for cleaning</v>
      </c>
    </row>
    <row r="8870" spans="1:15" hidden="1">
      <c r="A8870" s="25">
        <f>VALUE(YEAR(Table2[[#This Row],[Date]])&amp;TEXT(MONTH(Table2[[#This Row],[Date]]),"00"))</f>
        <v>202303</v>
      </c>
      <c r="B8870" s="93">
        <v>44986</v>
      </c>
      <c r="C8870" s="87" t="s">
        <v>3933</v>
      </c>
      <c r="D8870" s="87" t="s">
        <v>3935</v>
      </c>
      <c r="E8870" s="87">
        <v>500</v>
      </c>
      <c r="F8870" s="2" t="str">
        <f>IF(Table2[[#This Row],[Manual Cat Value]]="",VLOOKUP(Table2[[#This Row],[Description]],'Actuals Lookup'!D:F,3,0),Table2[[#This Row],[Manual Cat Value]])</f>
        <v>Savings</v>
      </c>
      <c r="G8870" s="87" t="s">
        <v>59</v>
      </c>
      <c r="I8870" s="8"/>
      <c r="O8870" t="str">
        <f>LEFT(Table2[[#This Row],[Description]],75)</f>
        <v xml:space="preserve">Withdrawal Ach College Savings Type: Ach Id: Xxxxx5818 Co: College Savings </v>
      </c>
    </row>
    <row r="8871" spans="1:15" hidden="1">
      <c r="A8871" s="25">
        <f>VALUE(YEAR(Table2[[#This Row],[Date]])&amp;TEXT(MONTH(Table2[[#This Row],[Date]]),"00"))</f>
        <v>202303</v>
      </c>
      <c r="B8871" s="93">
        <v>44986</v>
      </c>
      <c r="C8871" s="87" t="s">
        <v>3933</v>
      </c>
      <c r="D8871" s="87" t="s">
        <v>3936</v>
      </c>
      <c r="E8871" s="87">
        <v>5804.35</v>
      </c>
      <c r="F8871" s="2" t="str">
        <f>IF(Table2[[#This Row],[Manual Cat Value]]="",VLOOKUP(Table2[[#This Row],[Description]],'Actuals Lookup'!D:F,3,0),Table2[[#This Row],[Manual Cat Value]])</f>
        <v>Delete</v>
      </c>
      <c r="G8871" s="87" t="s">
        <v>8</v>
      </c>
      <c r="I8871" s="8"/>
      <c r="O8871" t="str">
        <f>LEFT(Table2[[#This Row],[Description]],75)</f>
        <v>Withdrawal Home Banking Pmt To Card Xxxxxxxxxxxx-5913</v>
      </c>
    </row>
    <row r="8872" spans="1:15" hidden="1">
      <c r="A8872" s="25">
        <f>VALUE(YEAR(Table2[[#This Row],[Date]])&amp;TEXT(MONTH(Table2[[#This Row],[Date]]),"00"))</f>
        <v>202303</v>
      </c>
      <c r="B8872" s="93">
        <v>44986</v>
      </c>
      <c r="C8872" s="87" t="s">
        <v>3933</v>
      </c>
      <c r="D8872" s="87" t="s">
        <v>3937</v>
      </c>
      <c r="E8872" s="87">
        <v>618.65</v>
      </c>
      <c r="F8872" s="2" t="str">
        <f>IF(Table2[[#This Row],[Manual Cat Value]]="",VLOOKUP(Table2[[#This Row],[Description]],'Actuals Lookup'!D:F,3,0),Table2[[#This Row],[Manual Cat Value]])</f>
        <v>Car Loan</v>
      </c>
      <c r="G8872" s="87" t="s">
        <v>11</v>
      </c>
      <c r="I8872" s="8"/>
      <c r="O8872" t="str">
        <f>LEFT(Table2[[#This Row],[Description]],75)</f>
        <v>Withdrawal Home Banking Transfer To Loan 02 Ref # Xxx3857</v>
      </c>
    </row>
    <row r="8873" spans="1:15" hidden="1">
      <c r="A8873" s="25">
        <f>VALUE(YEAR(Table2[[#This Row],[Date]])&amp;TEXT(MONTH(Table2[[#This Row],[Date]]),"00"))</f>
        <v>202303</v>
      </c>
      <c r="B8873" s="93">
        <v>44986</v>
      </c>
      <c r="C8873" s="87" t="s">
        <v>3938</v>
      </c>
      <c r="D8873" s="87" t="s">
        <v>3939</v>
      </c>
      <c r="E8873" s="87">
        <v>-5804.35</v>
      </c>
      <c r="F8873" s="2" t="str">
        <f>IF(Table2[[#This Row],[Manual Cat Value]]="",VLOOKUP(Table2[[#This Row],[Description]],'Actuals Lookup'!D:F,3,0),Table2[[#This Row],[Manual Cat Value]])</f>
        <v>Delete</v>
      </c>
      <c r="G8873" s="87" t="s">
        <v>8</v>
      </c>
      <c r="I8873" s="8"/>
      <c r="O8873" t="str">
        <f>LEFT(Table2[[#This Row],[Description]],75)</f>
        <v>Payment - Thank You Ref #xxxx4571x00xtmjg8</v>
      </c>
    </row>
    <row r="8874" spans="1:15" hidden="1">
      <c r="A8874" s="25">
        <f>VALUE(YEAR(Table2[[#This Row],[Date]])&amp;TEXT(MONTH(Table2[[#This Row],[Date]]),"00"))</f>
        <v>202303</v>
      </c>
      <c r="B8874" s="93">
        <v>44987</v>
      </c>
      <c r="C8874" s="87" t="s">
        <v>3938</v>
      </c>
      <c r="D8874" s="87" t="s">
        <v>3940</v>
      </c>
      <c r="E8874" s="87">
        <v>74</v>
      </c>
      <c r="F8874" s="2" t="str">
        <f>IF(Table2[[#This Row],[Manual Cat Value]]="",VLOOKUP(Table2[[#This Row],[Description]],'Actuals Lookup'!D:F,3,0),Table2[[#This Row],[Manual Cat Value]])</f>
        <v>Utilities</v>
      </c>
      <c r="G8874" s="87" t="s">
        <v>7</v>
      </c>
      <c r="I8874" s="8"/>
      <c r="O8874" t="str">
        <f>LEFT(Table2[[#This Row],[Description]],75)</f>
        <v>Act*city Of Chanhassen Xxx-xxx1400 Mn Ref #xxxx3391w002mffs3</v>
      </c>
    </row>
    <row r="8875" spans="1:15" hidden="1">
      <c r="A8875" s="25">
        <f>VALUE(YEAR(Table2[[#This Row],[Date]])&amp;TEXT(MONTH(Table2[[#This Row],[Date]]),"00"))</f>
        <v>202303</v>
      </c>
      <c r="B8875" s="93">
        <v>44987</v>
      </c>
      <c r="C8875" s="87" t="s">
        <v>3938</v>
      </c>
      <c r="D8875" s="87" t="s">
        <v>3941</v>
      </c>
      <c r="E8875" s="87">
        <v>74</v>
      </c>
      <c r="F8875" s="2" t="str">
        <f>IF(Table2[[#This Row],[Manual Cat Value]]="",VLOOKUP(Table2[[#This Row],[Description]],'Actuals Lookup'!D:F,3,0),Table2[[#This Row],[Manual Cat Value]])</f>
        <v>Utilities</v>
      </c>
      <c r="G8875" s="87" t="s">
        <v>7</v>
      </c>
      <c r="I8875" s="8"/>
      <c r="O8875" t="str">
        <f>LEFT(Table2[[#This Row],[Description]],75)</f>
        <v>Act*city Of Chanhassen Xxx-xxx1400 Mn Ref #xxxx3391w002mfhmq</v>
      </c>
    </row>
    <row r="8876" spans="1:15" hidden="1">
      <c r="A8876" s="25">
        <f>VALUE(YEAR(Table2[[#This Row],[Date]])&amp;TEXT(MONTH(Table2[[#This Row],[Date]]),"00"))</f>
        <v>202303</v>
      </c>
      <c r="B8876" s="93">
        <v>44987</v>
      </c>
      <c r="C8876" s="87" t="s">
        <v>3938</v>
      </c>
      <c r="D8876" s="87" t="s">
        <v>114</v>
      </c>
      <c r="E8876" s="87">
        <v>5.36</v>
      </c>
      <c r="F8876" s="2" t="str">
        <f>IF(Table2[[#This Row],[Manual Cat Value]]="",VLOOKUP(Table2[[#This Row],[Description]],'Actuals Lookup'!D:F,3,0),Table2[[#This Row],[Manual Cat Value]])</f>
        <v>Entertainment</v>
      </c>
      <c r="G8876" s="87" t="s">
        <v>40</v>
      </c>
      <c r="I8876" s="8"/>
      <c r="O8876" t="str">
        <f>LEFT(Table2[[#This Row],[Description]],75)</f>
        <v>Amazon Music</v>
      </c>
    </row>
    <row r="8877" spans="1:15" hidden="1">
      <c r="A8877" s="25">
        <f>VALUE(YEAR(Table2[[#This Row],[Date]])&amp;TEXT(MONTH(Table2[[#This Row],[Date]]),"00"))</f>
        <v>202303</v>
      </c>
      <c r="B8877" s="93">
        <v>44987</v>
      </c>
      <c r="C8877" s="87" t="s">
        <v>3933</v>
      </c>
      <c r="D8877" s="87" t="s">
        <v>3942</v>
      </c>
      <c r="E8877" s="87">
        <v>-2434.23</v>
      </c>
      <c r="F8877" s="2" t="str">
        <f>IF(Table2[[#This Row],[Manual Cat Value]]="",VLOOKUP(Table2[[#This Row],[Description]],'Actuals Lookup'!D:F,3,0),Table2[[#This Row],[Manual Cat Value]])</f>
        <v>Delete</v>
      </c>
      <c r="G8877" s="87" t="s">
        <v>12</v>
      </c>
      <c r="I8877" s="8"/>
      <c r="O8877" t="str">
        <f>LEFT(Table2[[#This Row],[Description]],75)</f>
        <v>Cargill Inc</v>
      </c>
    </row>
    <row r="8878" spans="1:15" hidden="1">
      <c r="A8878" s="25">
        <f>VALUE(YEAR(Table2[[#This Row],[Date]])&amp;TEXT(MONTH(Table2[[#This Row],[Date]]),"00"))</f>
        <v>202303</v>
      </c>
      <c r="B8878" s="93">
        <v>44987</v>
      </c>
      <c r="C8878" s="87" t="s">
        <v>3938</v>
      </c>
      <c r="D8878" s="87" t="s">
        <v>3943</v>
      </c>
      <c r="E8878" s="87">
        <v>5.55</v>
      </c>
      <c r="F8878" s="2" t="str">
        <f>IF(Table2[[#This Row],[Manual Cat Value]]="",VLOOKUP(Table2[[#This Row],[Description]],'Actuals Lookup'!D:F,3,0),Table2[[#This Row],[Manual Cat Value]])</f>
        <v>Shopping</v>
      </c>
      <c r="G8878" s="87" t="s">
        <v>21</v>
      </c>
      <c r="I8878" s="8"/>
      <c r="O8878" t="str">
        <f>LEFT(Table2[[#This Row],[Description]],75)</f>
        <v>Fedex</v>
      </c>
    </row>
    <row r="8879" spans="1:15" hidden="1">
      <c r="A8879" s="25">
        <f>VALUE(YEAR(Table2[[#This Row],[Date]])&amp;TEXT(MONTH(Table2[[#This Row],[Date]]),"00"))</f>
        <v>202303</v>
      </c>
      <c r="B8879" s="93">
        <v>44987</v>
      </c>
      <c r="C8879" s="87" t="s">
        <v>3938</v>
      </c>
      <c r="D8879" s="87" t="s">
        <v>1159</v>
      </c>
      <c r="E8879" s="87">
        <v>128</v>
      </c>
      <c r="F8879" s="2" t="str">
        <f>IF(Table2[[#This Row],[Manual Cat Value]]="",VLOOKUP(Table2[[#This Row],[Description]],'Actuals Lookup'!D:F,3,0),Table2[[#This Row],[Manual Cat Value]])</f>
        <v>Shopping</v>
      </c>
      <c r="G8879" s="87" t="s">
        <v>21</v>
      </c>
      <c r="I8879" s="8"/>
      <c r="O8879" t="str">
        <f>LEFT(Table2[[#This Row],[Description]],75)</f>
        <v>Lululemon Athletica</v>
      </c>
    </row>
    <row r="8880" spans="1:15" hidden="1">
      <c r="A8880" s="25">
        <f>VALUE(YEAR(Table2[[#This Row],[Date]])&amp;TEXT(MONTH(Table2[[#This Row],[Date]]),"00"))</f>
        <v>202303</v>
      </c>
      <c r="B8880" s="93">
        <v>44988</v>
      </c>
      <c r="C8880" s="87" t="s">
        <v>3938</v>
      </c>
      <c r="D8880" s="87" t="s">
        <v>3944</v>
      </c>
      <c r="E8880" s="87">
        <v>3.36</v>
      </c>
      <c r="F8880" s="2" t="str">
        <f>IF(Table2[[#This Row],[Manual Cat Value]]="",VLOOKUP(Table2[[#This Row],[Description]],'Actuals Lookup'!D:F,3,0),Table2[[#This Row],[Manual Cat Value]])</f>
        <v>Travel</v>
      </c>
      <c r="G8880" s="87" t="s">
        <v>43</v>
      </c>
      <c r="I8880" s="8"/>
      <c r="O8880" t="str">
        <f>LEFT(Table2[[#This Row],[Description]],75)</f>
        <v>Minneapolis-saint Paul International Airport</v>
      </c>
    </row>
    <row r="8881" spans="1:15" hidden="1">
      <c r="A8881" s="25">
        <f>VALUE(YEAR(Table2[[#This Row],[Date]])&amp;TEXT(MONTH(Table2[[#This Row],[Date]]),"00"))</f>
        <v>202303</v>
      </c>
      <c r="B8881" s="93">
        <v>44988</v>
      </c>
      <c r="C8881" s="87" t="s">
        <v>3938</v>
      </c>
      <c r="D8881" s="87" t="s">
        <v>3945</v>
      </c>
      <c r="E8881" s="87">
        <v>26.02</v>
      </c>
      <c r="F8881" s="2" t="str">
        <f>IF(Table2[[#This Row],[Manual Cat Value]]="",VLOOKUP(Table2[[#This Row],[Description]],'Actuals Lookup'!D:F,3,0),Table2[[#This Row],[Manual Cat Value]])</f>
        <v>Restaurants</v>
      </c>
      <c r="G8881" s="87" t="s">
        <v>26</v>
      </c>
      <c r="I8881" s="8"/>
      <c r="O8881" t="str">
        <f>LEFT(Table2[[#This Row],[Description]],75)</f>
        <v>Raw And Juicy</v>
      </c>
    </row>
    <row r="8882" spans="1:15" hidden="1">
      <c r="A8882" s="25">
        <f>VALUE(YEAR(Table2[[#This Row],[Date]])&amp;TEXT(MONTH(Table2[[#This Row],[Date]]),"00"))</f>
        <v>202303</v>
      </c>
      <c r="B8882" s="93">
        <v>44990</v>
      </c>
      <c r="C8882" s="87" t="s">
        <v>3938</v>
      </c>
      <c r="D8882" s="87" t="s">
        <v>3946</v>
      </c>
      <c r="E8882" s="87">
        <v>80.599999999999994</v>
      </c>
      <c r="F8882" s="2" t="str">
        <f>IF(Table2[[#This Row],[Manual Cat Value]]="",VLOOKUP(Table2[[#This Row],[Description]],'Actuals Lookup'!D:F,3,0),Table2[[#This Row],[Manual Cat Value]])</f>
        <v>Restaurants</v>
      </c>
      <c r="G8882" s="87" t="s">
        <v>26</v>
      </c>
      <c r="I8882" s="8"/>
      <c r="O8882" t="str">
        <f>LEFT(Table2[[#This Row],[Description]],75)</f>
        <v>Atl Sweetwater Bar &amp; G Xxx-xxx8810 Ga Ref #xxxx0971yevl4ps1t</v>
      </c>
    </row>
    <row r="8883" spans="1:15" hidden="1">
      <c r="A8883" s="25">
        <f>VALUE(YEAR(Table2[[#This Row],[Date]])&amp;TEXT(MONTH(Table2[[#This Row],[Date]]),"00"))</f>
        <v>202303</v>
      </c>
      <c r="B8883" s="93">
        <v>44990</v>
      </c>
      <c r="C8883" s="87" t="s">
        <v>3938</v>
      </c>
      <c r="D8883" s="87" t="s">
        <v>3947</v>
      </c>
      <c r="E8883" s="87">
        <v>127.44</v>
      </c>
      <c r="F8883" s="2" t="str">
        <f>IF(Table2[[#This Row],[Manual Cat Value]]="",VLOOKUP(Table2[[#This Row],[Description]],'Actuals Lookup'!D:F,3,0),Table2[[#This Row],[Manual Cat Value]])</f>
        <v>Shopping</v>
      </c>
      <c r="G8883" s="87" t="s">
        <v>21</v>
      </c>
      <c r="I8883" s="8"/>
      <c r="O8883" t="str">
        <f>LEFT(Table2[[#This Row],[Description]],75)</f>
        <v>Faherty Brand</v>
      </c>
    </row>
    <row r="8884" spans="1:15" hidden="1">
      <c r="A8884" s="25">
        <f>VALUE(YEAR(Table2[[#This Row],[Date]])&amp;TEXT(MONTH(Table2[[#This Row],[Date]]),"00"))</f>
        <v>202303</v>
      </c>
      <c r="B8884" s="93">
        <v>44990</v>
      </c>
      <c r="C8884" s="87" t="s">
        <v>3938</v>
      </c>
      <c r="D8884" s="87" t="s">
        <v>3948</v>
      </c>
      <c r="E8884" s="87">
        <v>34.450000000000003</v>
      </c>
      <c r="F8884" s="2" t="str">
        <f>IF(Table2[[#This Row],[Manual Cat Value]]="",VLOOKUP(Table2[[#This Row],[Description]],'Actuals Lookup'!D:F,3,0),Table2[[#This Row],[Manual Cat Value]])</f>
        <v>Restaurants</v>
      </c>
      <c r="G8884" s="87" t="s">
        <v>26</v>
      </c>
      <c r="I8884" s="8"/>
      <c r="O8884" t="str">
        <f>LEFT(Table2[[#This Row],[Description]],75)</f>
        <v>Georges At Alys Beach Rosemary Beacfl Ref #xxxx3391z00qf3nhd</v>
      </c>
    </row>
    <row r="8885" spans="1:15" hidden="1">
      <c r="A8885" s="25">
        <f>VALUE(YEAR(Table2[[#This Row],[Date]])&amp;TEXT(MONTH(Table2[[#This Row],[Date]]),"00"))</f>
        <v>202303</v>
      </c>
      <c r="B8885" s="93">
        <v>44990</v>
      </c>
      <c r="C8885" s="87" t="s">
        <v>3938</v>
      </c>
      <c r="D8885" s="87" t="s">
        <v>3949</v>
      </c>
      <c r="E8885" s="87">
        <v>20.23</v>
      </c>
      <c r="F8885" s="2" t="str">
        <f>IF(Table2[[#This Row],[Manual Cat Value]]="",VLOOKUP(Table2[[#This Row],[Description]],'Actuals Lookup'!D:F,3,0),Table2[[#This Row],[Manual Cat Value]])</f>
        <v>Restaurants</v>
      </c>
      <c r="G8885" s="87" t="s">
        <v>26</v>
      </c>
      <c r="I8885" s="8"/>
      <c r="O8885" t="str">
        <f>LEFT(Table2[[#This Row],[Description]],75)</f>
        <v>Georges At Alys Beach Rosemary Beacfl Ref #xxxx3391z00qf3p2f</v>
      </c>
    </row>
    <row r="8886" spans="1:15" hidden="1">
      <c r="A8886" s="25">
        <f>VALUE(YEAR(Table2[[#This Row],[Date]])&amp;TEXT(MONTH(Table2[[#This Row],[Date]]),"00"))</f>
        <v>202303</v>
      </c>
      <c r="B8886" s="93">
        <v>44990</v>
      </c>
      <c r="C8886" s="87" t="s">
        <v>3938</v>
      </c>
      <c r="D8886" s="87" t="s">
        <v>3950</v>
      </c>
      <c r="E8886" s="87">
        <v>-83.3</v>
      </c>
      <c r="F8886" s="2" t="str">
        <f>IF(Table2[[#This Row],[Manual Cat Value]]="",VLOOKUP(Table2[[#This Row],[Description]],'Actuals Lookup'!D:F,3,0),Table2[[#This Row],[Manual Cat Value]])</f>
        <v>Shopping</v>
      </c>
      <c r="G8886" s="87" t="s">
        <v>21</v>
      </c>
      <c r="I8886" s="8"/>
      <c r="O8886" t="str">
        <f>LEFT(Table2[[#This Row],[Description]],75)</f>
        <v>Orvis</v>
      </c>
    </row>
    <row r="8887" spans="1:15" hidden="1">
      <c r="A8887" s="25">
        <f>VALUE(YEAR(Table2[[#This Row],[Date]])&amp;TEXT(MONTH(Table2[[#This Row],[Date]]),"00"))</f>
        <v>202303</v>
      </c>
      <c r="B8887" s="93">
        <v>44990</v>
      </c>
      <c r="C8887" s="87" t="s">
        <v>3938</v>
      </c>
      <c r="D8887" s="87" t="s">
        <v>3951</v>
      </c>
      <c r="E8887" s="87">
        <v>10.27</v>
      </c>
      <c r="F8887" s="2" t="str">
        <f>IF(Table2[[#This Row],[Manual Cat Value]]="",VLOOKUP(Table2[[#This Row],[Description]],'Actuals Lookup'!D:F,3,0),Table2[[#This Row],[Manual Cat Value]])</f>
        <v>Restaurants</v>
      </c>
      <c r="G8887" s="87" t="s">
        <v>26</v>
      </c>
      <c r="I8887" s="8"/>
      <c r="O8887" t="str">
        <f>LEFT(Table2[[#This Row],[Description]],75)</f>
        <v>Playa Bowls</v>
      </c>
    </row>
    <row r="8888" spans="1:15" hidden="1">
      <c r="A8888" s="25">
        <f>VALUE(YEAR(Table2[[#This Row],[Date]])&amp;TEXT(MONTH(Table2[[#This Row],[Date]]),"00"))</f>
        <v>202303</v>
      </c>
      <c r="B8888" s="93">
        <v>44990</v>
      </c>
      <c r="C8888" s="87" t="s">
        <v>3938</v>
      </c>
      <c r="D8888" s="87" t="s">
        <v>3951</v>
      </c>
      <c r="E8888" s="87">
        <v>35.619999999999997</v>
      </c>
      <c r="F8888" s="2" t="str">
        <f>IF(Table2[[#This Row],[Manual Cat Value]]="",VLOOKUP(Table2[[#This Row],[Description]],'Actuals Lookup'!D:F,3,0),Table2[[#This Row],[Manual Cat Value]])</f>
        <v>Restaurants</v>
      </c>
      <c r="G8888" s="87" t="s">
        <v>26</v>
      </c>
      <c r="I8888" s="8"/>
      <c r="O8888" t="str">
        <f>LEFT(Table2[[#This Row],[Description]],75)</f>
        <v>Playa Bowls</v>
      </c>
    </row>
    <row r="8889" spans="1:15" hidden="1">
      <c r="A8889" s="25">
        <f>VALUE(YEAR(Table2[[#This Row],[Date]])&amp;TEXT(MONTH(Table2[[#This Row],[Date]]),"00"))</f>
        <v>202303</v>
      </c>
      <c r="B8889" s="93">
        <v>44990</v>
      </c>
      <c r="C8889" s="87" t="s">
        <v>3938</v>
      </c>
      <c r="D8889" s="87" t="s">
        <v>3945</v>
      </c>
      <c r="E8889" s="87">
        <v>49.2</v>
      </c>
      <c r="F8889" s="2" t="str">
        <f>IF(Table2[[#This Row],[Manual Cat Value]]="",VLOOKUP(Table2[[#This Row],[Description]],'Actuals Lookup'!D:F,3,0),Table2[[#This Row],[Manual Cat Value]])</f>
        <v>Restaurants</v>
      </c>
      <c r="G8889" s="87" t="s">
        <v>26</v>
      </c>
      <c r="I8889" s="8"/>
      <c r="O8889" t="str">
        <f>LEFT(Table2[[#This Row],[Description]],75)</f>
        <v>Raw And Juicy</v>
      </c>
    </row>
    <row r="8890" spans="1:15" hidden="1">
      <c r="A8890" s="25">
        <f>VALUE(YEAR(Table2[[#This Row],[Date]])&amp;TEXT(MONTH(Table2[[#This Row],[Date]]),"00"))</f>
        <v>202303</v>
      </c>
      <c r="B8890" s="93">
        <v>44990</v>
      </c>
      <c r="C8890" s="87" t="s">
        <v>3938</v>
      </c>
      <c r="D8890" s="87" t="s">
        <v>3952</v>
      </c>
      <c r="E8890" s="87">
        <v>-68.599999999999994</v>
      </c>
      <c r="F8890" s="2" t="str">
        <f>IF(Table2[[#This Row],[Manual Cat Value]]="",VLOOKUP(Table2[[#This Row],[Description]],'Actuals Lookup'!D:F,3,0),Table2[[#This Row],[Manual Cat Value]])</f>
        <v>Shopping</v>
      </c>
      <c r="G8890" s="87" t="s">
        <v>21</v>
      </c>
      <c r="I8890" s="8"/>
      <c r="O8890" t="str">
        <f>LEFT(Table2[[#This Row],[Description]],75)</f>
        <v>Sp Mavi Usa Httpsmavigiyiny Ref #xxxx2161y000grtm6</v>
      </c>
    </row>
    <row r="8891" spans="1:15" hidden="1">
      <c r="A8891" s="25">
        <f>VALUE(YEAR(Table2[[#This Row],[Date]])&amp;TEXT(MONTH(Table2[[#This Row],[Date]]),"00"))</f>
        <v>202303</v>
      </c>
      <c r="B8891" s="93">
        <v>44990</v>
      </c>
      <c r="C8891" s="87" t="s">
        <v>3938</v>
      </c>
      <c r="D8891" s="87" t="s">
        <v>3953</v>
      </c>
      <c r="E8891" s="87">
        <v>9.07</v>
      </c>
      <c r="F8891" s="2" t="str">
        <f>IF(Table2[[#This Row],[Manual Cat Value]]="",VLOOKUP(Table2[[#This Row],[Description]],'Actuals Lookup'!D:F,3,0),Table2[[#This Row],[Manual Cat Value]])</f>
        <v>Restaurants</v>
      </c>
      <c r="G8891" s="87" t="s">
        <v>26</v>
      </c>
      <c r="I8891" s="8"/>
      <c r="O8891" t="str">
        <f>LEFT(Table2[[#This Row],[Description]],75)</f>
        <v>Sq *charlies Cafe At Rosesanta Rosa Befl Ref #xxxx2161y31he3t89</v>
      </c>
    </row>
    <row r="8892" spans="1:15" hidden="1">
      <c r="A8892" s="25">
        <f>VALUE(YEAR(Table2[[#This Row],[Date]])&amp;TEXT(MONTH(Table2[[#This Row],[Date]]),"00"))</f>
        <v>202303</v>
      </c>
      <c r="B8892" s="93">
        <v>44991</v>
      </c>
      <c r="C8892" s="87" t="s">
        <v>3938</v>
      </c>
      <c r="D8892" s="87" t="s">
        <v>3954</v>
      </c>
      <c r="E8892" s="87">
        <v>31.46</v>
      </c>
      <c r="F8892" s="2" t="str">
        <f>IF(Table2[[#This Row],[Manual Cat Value]]="",VLOOKUP(Table2[[#This Row],[Description]],'Actuals Lookup'!D:F,3,0),Table2[[#This Row],[Manual Cat Value]])</f>
        <v>Restaurants</v>
      </c>
      <c r="G8892" s="87" t="s">
        <v>26</v>
      </c>
      <c r="I8892" s="8"/>
      <c r="O8892" t="str">
        <f>LEFT(Table2[[#This Row],[Description]],75)</f>
        <v>Beach &amp; Brew On 30a Seacrest Fl Ref #xxxxxx3200fv7k9lq</v>
      </c>
    </row>
    <row r="8893" spans="1:15" hidden="1">
      <c r="A8893" s="25">
        <f>VALUE(YEAR(Table2[[#This Row],[Date]])&amp;TEXT(MONTH(Table2[[#This Row],[Date]]),"00"))</f>
        <v>202303</v>
      </c>
      <c r="B8893" s="93">
        <v>44991</v>
      </c>
      <c r="C8893" s="87" t="s">
        <v>3938</v>
      </c>
      <c r="D8893" s="87" t="s">
        <v>3955</v>
      </c>
      <c r="E8893" s="87">
        <v>27.15</v>
      </c>
      <c r="F8893" s="2" t="str">
        <f>IF(Table2[[#This Row],[Manual Cat Value]]="",VLOOKUP(Table2[[#This Row],[Description]],'Actuals Lookup'!D:F,3,0),Table2[[#This Row],[Manual Cat Value]])</f>
        <v>Restaurants</v>
      </c>
      <c r="G8893" s="87" t="s">
        <v>26</v>
      </c>
      <c r="I8893" s="8"/>
      <c r="O8893" t="str">
        <f>LEFT(Table2[[#This Row],[Description]],75)</f>
        <v>Pescado Seafood Grill Rosemary Beacfl Ref #xxxxx1020s66hqllv</v>
      </c>
    </row>
    <row r="8894" spans="1:15" hidden="1">
      <c r="A8894" s="25">
        <f>VALUE(YEAR(Table2[[#This Row],[Date]])&amp;TEXT(MONTH(Table2[[#This Row],[Date]]),"00"))</f>
        <v>202303</v>
      </c>
      <c r="B8894" s="93">
        <v>44991</v>
      </c>
      <c r="C8894" s="87" t="s">
        <v>3938</v>
      </c>
      <c r="D8894" s="87" t="s">
        <v>3945</v>
      </c>
      <c r="E8894" s="87">
        <v>38.840000000000003</v>
      </c>
      <c r="F8894" s="2" t="str">
        <f>IF(Table2[[#This Row],[Manual Cat Value]]="",VLOOKUP(Table2[[#This Row],[Description]],'Actuals Lookup'!D:F,3,0),Table2[[#This Row],[Manual Cat Value]])</f>
        <v>Restaurants</v>
      </c>
      <c r="G8894" s="87" t="s">
        <v>26</v>
      </c>
      <c r="I8894" s="8"/>
      <c r="O8894" t="str">
        <f>LEFT(Table2[[#This Row],[Description]],75)</f>
        <v>Raw And Juicy</v>
      </c>
    </row>
    <row r="8895" spans="1:15" hidden="1">
      <c r="A8895" s="25">
        <f>VALUE(YEAR(Table2[[#This Row],[Date]])&amp;TEXT(MONTH(Table2[[#This Row],[Date]]),"00"))</f>
        <v>202303</v>
      </c>
      <c r="B8895" s="93">
        <v>44991</v>
      </c>
      <c r="C8895" s="87" t="s">
        <v>3938</v>
      </c>
      <c r="D8895" s="87" t="s">
        <v>3956</v>
      </c>
      <c r="E8895" s="87">
        <v>78.88</v>
      </c>
      <c r="F8895" s="2" t="str">
        <f>IF(Table2[[#This Row],[Manual Cat Value]]="",VLOOKUP(Table2[[#This Row],[Description]],'Actuals Lookup'!D:F,3,0),Table2[[#This Row],[Manual Cat Value]])</f>
        <v>Restaurants</v>
      </c>
      <c r="G8895" s="87" t="s">
        <v>26</v>
      </c>
      <c r="I8895" s="8"/>
      <c r="O8895" t="str">
        <f>LEFT(Table2[[#This Row],[Description]],75)</f>
        <v>Restaurant Paradis</v>
      </c>
    </row>
    <row r="8896" spans="1:15" hidden="1">
      <c r="A8896" s="25">
        <f>VALUE(YEAR(Table2[[#This Row],[Date]])&amp;TEXT(MONTH(Table2[[#This Row],[Date]]),"00"))</f>
        <v>202303</v>
      </c>
      <c r="B8896" s="93">
        <v>44991</v>
      </c>
      <c r="C8896" s="87" t="s">
        <v>3938</v>
      </c>
      <c r="D8896" s="87" t="s">
        <v>3957</v>
      </c>
      <c r="E8896" s="87">
        <v>16.91</v>
      </c>
      <c r="F8896" s="2" t="str">
        <f>IF(Table2[[#This Row],[Manual Cat Value]]="",VLOOKUP(Table2[[#This Row],[Description]],'Actuals Lookup'!D:F,3,0),Table2[[#This Row],[Manual Cat Value]])</f>
        <v>Restaurants</v>
      </c>
      <c r="G8896" s="87" t="s">
        <v>26</v>
      </c>
      <c r="I8896" s="8"/>
      <c r="O8896" t="str">
        <f>LEFT(Table2[[#This Row],[Description]],75)</f>
        <v>Seacrest Sundries</v>
      </c>
    </row>
    <row r="8897" spans="1:15" hidden="1">
      <c r="A8897" s="25">
        <f>VALUE(YEAR(Table2[[#This Row],[Date]])&amp;TEXT(MONTH(Table2[[#This Row],[Date]]),"00"))</f>
        <v>202303</v>
      </c>
      <c r="B8897" s="93">
        <v>44991</v>
      </c>
      <c r="C8897" s="87" t="s">
        <v>3938</v>
      </c>
      <c r="D8897" s="87" t="s">
        <v>3958</v>
      </c>
      <c r="E8897" s="87">
        <v>8.56</v>
      </c>
      <c r="F8897" s="2" t="str">
        <f>IF(Table2[[#This Row],[Manual Cat Value]]="",VLOOKUP(Table2[[#This Row],[Description]],'Actuals Lookup'!D:F,3,0),Table2[[#This Row],[Manual Cat Value]])</f>
        <v>Restaurants</v>
      </c>
      <c r="G8897" s="87" t="s">
        <v>26</v>
      </c>
      <c r="I8897" s="8"/>
      <c r="O8897" t="str">
        <f>LEFT(Table2[[#This Row],[Description]],75)</f>
        <v>Smallcakes 30a Inlet Beach Fl Ref #xxxxx9821bmbk8fm3</v>
      </c>
    </row>
    <row r="8898" spans="1:15" hidden="1">
      <c r="A8898" s="25">
        <f>VALUE(YEAR(Table2[[#This Row],[Date]])&amp;TEXT(MONTH(Table2[[#This Row],[Date]]),"00"))</f>
        <v>202303</v>
      </c>
      <c r="B8898" s="93">
        <v>44991</v>
      </c>
      <c r="C8898" s="87" t="s">
        <v>3938</v>
      </c>
      <c r="D8898" s="87" t="s">
        <v>3959</v>
      </c>
      <c r="E8898" s="87">
        <v>42.77</v>
      </c>
      <c r="F8898" s="2" t="str">
        <f>IF(Table2[[#This Row],[Manual Cat Value]]="",VLOOKUP(Table2[[#This Row],[Description]],'Actuals Lookup'!D:F,3,0),Table2[[#This Row],[Manual Cat Value]])</f>
        <v>Shopping</v>
      </c>
      <c r="G8898" s="87" t="s">
        <v>21</v>
      </c>
      <c r="I8898" s="8"/>
      <c r="O8898" t="str">
        <f>LEFT(Table2[[#This Row],[Description]],75)</f>
        <v>Surf Style</v>
      </c>
    </row>
    <row r="8899" spans="1:15" hidden="1">
      <c r="A8899" s="25">
        <f>VALUE(YEAR(Table2[[#This Row],[Date]])&amp;TEXT(MONTH(Table2[[#This Row],[Date]]),"00"))</f>
        <v>202303</v>
      </c>
      <c r="B8899" s="93">
        <v>44991</v>
      </c>
      <c r="C8899" s="87" t="s">
        <v>3938</v>
      </c>
      <c r="D8899" s="87" t="s">
        <v>3960</v>
      </c>
      <c r="E8899" s="87">
        <v>18.45</v>
      </c>
      <c r="F8899" s="2" t="str">
        <f>IF(Table2[[#This Row],[Manual Cat Value]]="",VLOOKUP(Table2[[#This Row],[Description]],'Actuals Lookup'!D:F,3,0),Table2[[#This Row],[Manual Cat Value]])</f>
        <v>Restaurants</v>
      </c>
      <c r="G8899" s="87" t="s">
        <v>26</v>
      </c>
      <c r="I8899" s="8"/>
      <c r="O8899" t="str">
        <f>LEFT(Table2[[#This Row],[Description]],75)</f>
        <v>Tst* Third Cup Rosemary Beacfl Ref #xxxxx4620ejqqajde</v>
      </c>
    </row>
    <row r="8900" spans="1:15" hidden="1">
      <c r="A8900" s="25">
        <f>VALUE(YEAR(Table2[[#This Row],[Date]])&amp;TEXT(MONTH(Table2[[#This Row],[Date]]),"00"))</f>
        <v>202303</v>
      </c>
      <c r="B8900" s="93">
        <v>44991</v>
      </c>
      <c r="C8900" s="87" t="s">
        <v>3933</v>
      </c>
      <c r="D8900" s="87" t="s">
        <v>2109</v>
      </c>
      <c r="E8900" s="87">
        <v>2</v>
      </c>
      <c r="F8900" s="2" t="str">
        <f>IF(Table2[[#This Row],[Manual Cat Value]]="",VLOOKUP(Table2[[#This Row],[Description]],'Actuals Lookup'!D:F,3,0),Table2[[#This Row],[Manual Cat Value]])</f>
        <v>Shopping</v>
      </c>
      <c r="G8900" s="87" t="s">
        <v>21</v>
      </c>
      <c r="I8900" s="8"/>
      <c r="O8900" t="str">
        <f>LEFT(Table2[[#This Row],[Description]],75)</f>
        <v>Venmo</v>
      </c>
    </row>
    <row r="8901" spans="1:15" hidden="1">
      <c r="A8901" s="25">
        <f>VALUE(YEAR(Table2[[#This Row],[Date]])&amp;TEXT(MONTH(Table2[[#This Row],[Date]]),"00"))</f>
        <v>202303</v>
      </c>
      <c r="B8901" s="93">
        <v>44991</v>
      </c>
      <c r="C8901" s="87" t="s">
        <v>3938</v>
      </c>
      <c r="D8901" s="87" t="s">
        <v>3961</v>
      </c>
      <c r="E8901" s="87">
        <v>25.94</v>
      </c>
      <c r="F8901" s="2" t="str">
        <f>IF(Table2[[#This Row],[Manual Cat Value]]="",VLOOKUP(Table2[[#This Row],[Description]],'Actuals Lookup'!D:F,3,0),Table2[[#This Row],[Manual Cat Value]])</f>
        <v>Shopping</v>
      </c>
      <c r="G8901" s="87" t="s">
        <v>21</v>
      </c>
      <c r="I8901" s="8"/>
      <c r="O8901" t="str">
        <f>LEFT(Table2[[#This Row],[Description]],75)</f>
        <v>Yd</v>
      </c>
    </row>
    <row r="8902" spans="1:15" hidden="1">
      <c r="A8902" s="25">
        <f>VALUE(YEAR(Table2[[#This Row],[Date]])&amp;TEXT(MONTH(Table2[[#This Row],[Date]]),"00"))</f>
        <v>202303</v>
      </c>
      <c r="B8902" s="93">
        <v>44992</v>
      </c>
      <c r="C8902" s="87" t="s">
        <v>3938</v>
      </c>
      <c r="D8902" s="87" t="s">
        <v>3962</v>
      </c>
      <c r="E8902" s="87">
        <v>48.11</v>
      </c>
      <c r="F8902" s="2" t="str">
        <f>IF(Table2[[#This Row],[Manual Cat Value]]="",VLOOKUP(Table2[[#This Row],[Description]],'Actuals Lookup'!D:F,3,0),Table2[[#This Row],[Manual Cat Value]])</f>
        <v>Restaurants</v>
      </c>
      <c r="G8902" s="87" t="s">
        <v>26</v>
      </c>
      <c r="I8902" s="8"/>
      <c r="O8902" t="str">
        <f>LEFT(Table2[[#This Row],[Description]],75)</f>
        <v>Crabby Steves Inlet Beach Fl Ref #xxxxx9721f7xl9jtm</v>
      </c>
    </row>
    <row r="8903" spans="1:15" hidden="1">
      <c r="A8903" s="25">
        <f>VALUE(YEAR(Table2[[#This Row],[Date]])&amp;TEXT(MONTH(Table2[[#This Row],[Date]]),"00"))</f>
        <v>202303</v>
      </c>
      <c r="B8903" s="93">
        <v>44992</v>
      </c>
      <c r="C8903" s="87" t="s">
        <v>3938</v>
      </c>
      <c r="D8903" s="87" t="s">
        <v>3963</v>
      </c>
      <c r="E8903" s="87">
        <v>108.88</v>
      </c>
      <c r="F8903" s="2" t="str">
        <f>IF(Table2[[#This Row],[Manual Cat Value]]="",VLOOKUP(Table2[[#This Row],[Description]],'Actuals Lookup'!D:F,3,0),Table2[[#This Row],[Manual Cat Value]])</f>
        <v>Restaurants</v>
      </c>
      <c r="G8903" s="87" t="s">
        <v>26</v>
      </c>
      <c r="I8903" s="8"/>
      <c r="O8903" t="str">
        <f>LEFT(Table2[[#This Row],[Description]],75)</f>
        <v>Crabby Steves Inlet Beach Fl Ref #xxxxx9721f7xl9k15</v>
      </c>
    </row>
    <row r="8904" spans="1:15" hidden="1">
      <c r="A8904" s="25">
        <f>VALUE(YEAR(Table2[[#This Row],[Date]])&amp;TEXT(MONTH(Table2[[#This Row],[Date]]),"00"))</f>
        <v>202303</v>
      </c>
      <c r="B8904" s="93">
        <v>44992</v>
      </c>
      <c r="C8904" s="87" t="s">
        <v>3938</v>
      </c>
      <c r="D8904" s="87" t="s">
        <v>3964</v>
      </c>
      <c r="E8904" s="87">
        <v>10.69</v>
      </c>
      <c r="F8904" s="2" t="str">
        <f>IF(Table2[[#This Row],[Manual Cat Value]]="",VLOOKUP(Table2[[#This Row],[Description]],'Actuals Lookup'!D:F,3,0),Table2[[#This Row],[Manual Cat Value]])</f>
        <v>Shopping</v>
      </c>
      <c r="G8904" s="87" t="s">
        <v>21</v>
      </c>
      <c r="I8904" s="8"/>
      <c r="O8904" t="str">
        <f>LEFT(Table2[[#This Row],[Description]],75)</f>
        <v>Sq *gifts Accessories &amp; Inlet Beach Fl Ref #xxxxxxx2133p9bm66</v>
      </c>
    </row>
    <row r="8905" spans="1:15" hidden="1">
      <c r="A8905" s="25">
        <f>VALUE(YEAR(Table2[[#This Row],[Date]])&amp;TEXT(MONTH(Table2[[#This Row],[Date]]),"00"))</f>
        <v>202303</v>
      </c>
      <c r="B8905" s="93">
        <v>44992</v>
      </c>
      <c r="C8905" s="87" t="s">
        <v>3938</v>
      </c>
      <c r="D8905" s="87" t="s">
        <v>3959</v>
      </c>
      <c r="E8905" s="87">
        <v>163.65</v>
      </c>
      <c r="F8905" s="2" t="str">
        <f>IF(Table2[[#This Row],[Manual Cat Value]]="",VLOOKUP(Table2[[#This Row],[Description]],'Actuals Lookup'!D:F,3,0),Table2[[#This Row],[Manual Cat Value]])</f>
        <v>Shopping</v>
      </c>
      <c r="G8905" s="87" t="s">
        <v>21</v>
      </c>
      <c r="I8905" s="8"/>
      <c r="O8905" t="str">
        <f>LEFT(Table2[[#This Row],[Description]],75)</f>
        <v>Surf Style</v>
      </c>
    </row>
    <row r="8906" spans="1:15" hidden="1">
      <c r="A8906" s="25">
        <f>VALUE(YEAR(Table2[[#This Row],[Date]])&amp;TEXT(MONTH(Table2[[#This Row],[Date]]),"00"))</f>
        <v>202303</v>
      </c>
      <c r="B8906" s="93">
        <v>44992</v>
      </c>
      <c r="C8906" s="87" t="s">
        <v>3933</v>
      </c>
      <c r="D8906" s="87" t="s">
        <v>2109</v>
      </c>
      <c r="E8906" s="87">
        <v>25</v>
      </c>
      <c r="F8906" s="2" t="str">
        <f>IF(Table2[[#This Row],[Manual Cat Value]]="",VLOOKUP(Table2[[#This Row],[Description]],'Actuals Lookup'!D:F,3,0),Table2[[#This Row],[Manual Cat Value]])</f>
        <v>Shopping</v>
      </c>
      <c r="G8906" s="87" t="s">
        <v>21</v>
      </c>
      <c r="I8906" s="8"/>
      <c r="O8906" t="str">
        <f>LEFT(Table2[[#This Row],[Description]],75)</f>
        <v>Venmo</v>
      </c>
    </row>
    <row r="8907" spans="1:15" hidden="1">
      <c r="A8907" s="25">
        <f>VALUE(YEAR(Table2[[#This Row],[Date]])&amp;TEXT(MONTH(Table2[[#This Row],[Date]]),"00"))</f>
        <v>202303</v>
      </c>
      <c r="B8907" s="93">
        <v>44992</v>
      </c>
      <c r="C8907" s="87" t="s">
        <v>3933</v>
      </c>
      <c r="D8907" s="87" t="s">
        <v>2109</v>
      </c>
      <c r="E8907" s="87">
        <v>19</v>
      </c>
      <c r="F8907" s="2" t="str">
        <f>IF(Table2[[#This Row],[Manual Cat Value]]="",VLOOKUP(Table2[[#This Row],[Description]],'Actuals Lookup'!D:F,3,0),Table2[[#This Row],[Manual Cat Value]])</f>
        <v>Shopping</v>
      </c>
      <c r="G8907" s="87" t="s">
        <v>21</v>
      </c>
      <c r="I8907" s="8"/>
      <c r="O8907" t="str">
        <f>LEFT(Table2[[#This Row],[Description]],75)</f>
        <v>Venmo</v>
      </c>
    </row>
    <row r="8908" spans="1:15" hidden="1">
      <c r="A8908" s="25">
        <f>VALUE(YEAR(Table2[[#This Row],[Date]])&amp;TEXT(MONTH(Table2[[#This Row],[Date]]),"00"))</f>
        <v>202303</v>
      </c>
      <c r="B8908" s="93">
        <v>44992</v>
      </c>
      <c r="C8908" s="87" t="s">
        <v>3933</v>
      </c>
      <c r="D8908" s="87" t="s">
        <v>2109</v>
      </c>
      <c r="E8908" s="87">
        <v>125</v>
      </c>
      <c r="F8908" s="2" t="str">
        <f>IF(Table2[[#This Row],[Manual Cat Value]]="",VLOOKUP(Table2[[#This Row],[Description]],'Actuals Lookup'!D:F,3,0),Table2[[#This Row],[Manual Cat Value]])</f>
        <v>Shopping</v>
      </c>
      <c r="G8908" s="87" t="s">
        <v>21</v>
      </c>
      <c r="I8908" s="8"/>
      <c r="O8908" t="str">
        <f>LEFT(Table2[[#This Row],[Description]],75)</f>
        <v>Venmo</v>
      </c>
    </row>
    <row r="8909" spans="1:15" hidden="1">
      <c r="A8909" s="25">
        <f>VALUE(YEAR(Table2[[#This Row],[Date]])&amp;TEXT(MONTH(Table2[[#This Row],[Date]]),"00"))</f>
        <v>202303</v>
      </c>
      <c r="B8909" s="93">
        <v>44992</v>
      </c>
      <c r="C8909" s="87" t="s">
        <v>3933</v>
      </c>
      <c r="D8909" s="87" t="s">
        <v>3965</v>
      </c>
      <c r="E8909" s="87">
        <v>330</v>
      </c>
      <c r="F8909" s="2" t="str">
        <f>IF(Table2[[#This Row],[Manual Cat Value]]="",VLOOKUP(Table2[[#This Row],[Description]],'Actuals Lookup'!D:F,3,0),Table2[[#This Row],[Manual Cat Value]])</f>
        <v>Day Care</v>
      </c>
      <c r="G8909" s="87" t="s">
        <v>20</v>
      </c>
      <c r="I8909" s="8"/>
      <c r="O8909" t="str">
        <f>LEFT(Table2[[#This Row],[Description]],75)</f>
        <v xml:space="preserve">Withdrawal Ach Mhchildcarellc Type: Dues Id: Xxxxxx8198 Co: Mhchildcarellc </v>
      </c>
    </row>
    <row r="8910" spans="1:15" hidden="1">
      <c r="A8910" s="25">
        <f>VALUE(YEAR(Table2[[#This Row],[Date]])&amp;TEXT(MONTH(Table2[[#This Row],[Date]]),"00"))</f>
        <v>202303</v>
      </c>
      <c r="B8910" s="93">
        <v>44993</v>
      </c>
      <c r="C8910" s="87" t="s">
        <v>3938</v>
      </c>
      <c r="D8910" s="87" t="s">
        <v>3966</v>
      </c>
      <c r="E8910" s="87">
        <v>9.59</v>
      </c>
      <c r="F8910" s="2" t="str">
        <f>IF(Table2[[#This Row],[Manual Cat Value]]="",VLOOKUP(Table2[[#This Row],[Description]],'Actuals Lookup'!D:F,3,0),Table2[[#This Row],[Manual Cat Value]])</f>
        <v>Transportation</v>
      </c>
      <c r="G8910" s="87" t="s">
        <v>23</v>
      </c>
      <c r="I8910" s="8"/>
      <c r="O8910" t="str">
        <f>LEFT(Table2[[#This Row],[Description]],75)</f>
        <v>Cefco</v>
      </c>
    </row>
    <row r="8911" spans="1:15" hidden="1">
      <c r="A8911" s="25">
        <f>VALUE(YEAR(Table2[[#This Row],[Date]])&amp;TEXT(MONTH(Table2[[#This Row],[Date]]),"00"))</f>
        <v>202303</v>
      </c>
      <c r="B8911" s="93">
        <v>44993</v>
      </c>
      <c r="C8911" s="87" t="s">
        <v>3938</v>
      </c>
      <c r="D8911" s="87" t="s">
        <v>3967</v>
      </c>
      <c r="E8911" s="87">
        <v>33.049999999999997</v>
      </c>
      <c r="F8911" s="2" t="str">
        <f>IF(Table2[[#This Row],[Manual Cat Value]]="",VLOOKUP(Table2[[#This Row],[Description]],'Actuals Lookup'!D:F,3,0),Table2[[#This Row],[Manual Cat Value]])</f>
        <v>Restaurants</v>
      </c>
      <c r="G8911" s="87" t="s">
        <v>26</v>
      </c>
      <c r="I8911" s="8"/>
      <c r="O8911" t="str">
        <f>LEFT(Table2[[#This Row],[Description]],75)</f>
        <v>Chick-fil-a</v>
      </c>
    </row>
    <row r="8912" spans="1:15" hidden="1">
      <c r="A8912" s="25">
        <f>VALUE(YEAR(Table2[[#This Row],[Date]])&amp;TEXT(MONTH(Table2[[#This Row],[Date]]),"00"))</f>
        <v>202303</v>
      </c>
      <c r="B8912" s="93">
        <v>44993</v>
      </c>
      <c r="C8912" s="87" t="s">
        <v>3938</v>
      </c>
      <c r="D8912" s="87" t="s">
        <v>3968</v>
      </c>
      <c r="E8912" s="87">
        <v>59.61</v>
      </c>
      <c r="F8912" s="2" t="str">
        <f>IF(Table2[[#This Row],[Manual Cat Value]]="",VLOOKUP(Table2[[#This Row],[Description]],'Actuals Lookup'!D:F,3,0),Table2[[#This Row],[Manual Cat Value]])</f>
        <v>Restaurants</v>
      </c>
      <c r="G8912" s="87" t="s">
        <v>26</v>
      </c>
      <c r="I8912" s="8"/>
      <c r="O8912" t="str">
        <f>LEFT(Table2[[#This Row],[Description]],75)</f>
        <v>La Cocina</v>
      </c>
    </row>
    <row r="8913" spans="1:15" hidden="1">
      <c r="A8913" s="25">
        <f>VALUE(YEAR(Table2[[#This Row],[Date]])&amp;TEXT(MONTH(Table2[[#This Row],[Date]]),"00"))</f>
        <v>202303</v>
      </c>
      <c r="B8913" s="93">
        <v>44993</v>
      </c>
      <c r="C8913" s="87" t="s">
        <v>3938</v>
      </c>
      <c r="D8913" s="87" t="s">
        <v>3969</v>
      </c>
      <c r="E8913" s="87">
        <v>272.52999999999997</v>
      </c>
      <c r="F8913" s="2" t="str">
        <f>IF(Table2[[#This Row],[Manual Cat Value]]="",VLOOKUP(Table2[[#This Row],[Description]],'Actuals Lookup'!D:F,3,0),Table2[[#This Row],[Manual Cat Value]])</f>
        <v>Travel</v>
      </c>
      <c r="G8913" s="87" t="s">
        <v>43</v>
      </c>
      <c r="I8913" s="8"/>
      <c r="O8913" t="str">
        <f>LEFT(Table2[[#This Row],[Description]],75)</f>
        <v>The Hertz Corporation</v>
      </c>
    </row>
    <row r="8914" spans="1:15" hidden="1">
      <c r="A8914" s="25">
        <f>VALUE(YEAR(Table2[[#This Row],[Date]])&amp;TEXT(MONTH(Table2[[#This Row],[Date]]),"00"))</f>
        <v>202303</v>
      </c>
      <c r="B8914" s="93">
        <v>44993</v>
      </c>
      <c r="C8914" s="87" t="s">
        <v>3938</v>
      </c>
      <c r="D8914" s="87" t="s">
        <v>3970</v>
      </c>
      <c r="E8914" s="87">
        <v>8.98</v>
      </c>
      <c r="F8914" s="2" t="str">
        <f>IF(Table2[[#This Row],[Manual Cat Value]]="",VLOOKUP(Table2[[#This Row],[Description]],'Actuals Lookup'!D:F,3,0),Table2[[#This Row],[Manual Cat Value]])</f>
        <v>Restaurants</v>
      </c>
      <c r="G8914" s="87" t="s">
        <v>26</v>
      </c>
      <c r="I8914" s="8"/>
      <c r="O8914" t="str">
        <f>LEFT(Table2[[#This Row],[Description]],75)</f>
        <v>Tst* Third Cup Rosemary Beacfl Ref #xxxxx4622ejbmm8rz</v>
      </c>
    </row>
    <row r="8915" spans="1:15" hidden="1">
      <c r="A8915" s="25">
        <f>VALUE(YEAR(Table2[[#This Row],[Date]])&amp;TEXT(MONTH(Table2[[#This Row],[Date]]),"00"))</f>
        <v>202303</v>
      </c>
      <c r="B8915" s="93">
        <v>44993</v>
      </c>
      <c r="C8915" s="87" t="s">
        <v>3938</v>
      </c>
      <c r="D8915" s="87" t="s">
        <v>3971</v>
      </c>
      <c r="E8915" s="87">
        <v>4.43</v>
      </c>
      <c r="F8915" s="2" t="str">
        <f>IF(Table2[[#This Row],[Manual Cat Value]]="",VLOOKUP(Table2[[#This Row],[Description]],'Actuals Lookup'!D:F,3,0),Table2[[#This Row],[Manual Cat Value]])</f>
        <v>Restaurants</v>
      </c>
      <c r="G8915" s="87" t="s">
        <v>26</v>
      </c>
      <c r="I8915" s="8"/>
      <c r="O8915" t="str">
        <f>LEFT(Table2[[#This Row],[Description]],75)</f>
        <v>Tst* Third Cup Rosemary Beacfl Ref #xxxxx4622ejbmm8vh</v>
      </c>
    </row>
    <row r="8916" spans="1:15" hidden="1">
      <c r="A8916" s="25">
        <f>VALUE(YEAR(Table2[[#This Row],[Date]])&amp;TEXT(MONTH(Table2[[#This Row],[Date]]),"00"))</f>
        <v>202303</v>
      </c>
      <c r="B8916" s="93">
        <v>44994</v>
      </c>
      <c r="C8916" s="87" t="s">
        <v>3938</v>
      </c>
      <c r="D8916" s="87" t="s">
        <v>38</v>
      </c>
      <c r="E8916" s="87">
        <v>31.14</v>
      </c>
      <c r="F8916" s="2" t="str">
        <f>IF(Table2[[#This Row],[Manual Cat Value]]="",VLOOKUP(Table2[[#This Row],[Description]],'Actuals Lookup'!D:F,3,0),Table2[[#This Row],[Manual Cat Value]])</f>
        <v>Amazon</v>
      </c>
      <c r="G8916" s="87" t="s">
        <v>38</v>
      </c>
      <c r="I8916" s="8"/>
      <c r="O8916" t="str">
        <f>LEFT(Table2[[#This Row],[Description]],75)</f>
        <v>Amazon</v>
      </c>
    </row>
    <row r="8917" spans="1:15" hidden="1">
      <c r="A8917" s="25">
        <f>VALUE(YEAR(Table2[[#This Row],[Date]])&amp;TEXT(MONTH(Table2[[#This Row],[Date]]),"00"))</f>
        <v>202303</v>
      </c>
      <c r="B8917" s="93">
        <v>44994</v>
      </c>
      <c r="C8917" s="87" t="s">
        <v>3938</v>
      </c>
      <c r="D8917" s="87" t="s">
        <v>3972</v>
      </c>
      <c r="E8917" s="87">
        <v>210.59</v>
      </c>
      <c r="F8917" s="2" t="str">
        <f>IF(Table2[[#This Row],[Manual Cat Value]]="",VLOOKUP(Table2[[#This Row],[Description]],'Actuals Lookup'!D:F,3,0),Table2[[#This Row],[Manual Cat Value]])</f>
        <v>Utilities</v>
      </c>
      <c r="G8917" s="87" t="s">
        <v>7</v>
      </c>
      <c r="I8917" s="8"/>
      <c r="O8917" t="str">
        <f>LEFT(Table2[[#This Row],[Description]],75)</f>
        <v>Centerpoint Energy</v>
      </c>
    </row>
    <row r="8918" spans="1:15" hidden="1">
      <c r="A8918" s="25">
        <f>VALUE(YEAR(Table2[[#This Row],[Date]])&amp;TEXT(MONTH(Table2[[#This Row],[Date]]),"00"))</f>
        <v>202303</v>
      </c>
      <c r="B8918" s="93">
        <v>44994</v>
      </c>
      <c r="C8918" s="87" t="s">
        <v>3938</v>
      </c>
      <c r="D8918" s="87" t="s">
        <v>3973</v>
      </c>
      <c r="E8918" s="87">
        <v>50</v>
      </c>
      <c r="F8918" s="2" t="str">
        <f>IF(Table2[[#This Row],[Manual Cat Value]]="",VLOOKUP(Table2[[#This Row],[Description]],'Actuals Lookup'!D:F,3,0),Table2[[#This Row],[Manual Cat Value]])</f>
        <v>Day Care</v>
      </c>
      <c r="G8918" s="87" t="s">
        <v>20</v>
      </c>
      <c r="I8918" s="8"/>
      <c r="O8918" t="str">
        <f>LEFT(Table2[[#This Row],[Description]],75)</f>
        <v>Minnetonka Public Schools</v>
      </c>
    </row>
    <row r="8919" spans="1:15" hidden="1">
      <c r="A8919" s="25">
        <f>VALUE(YEAR(Table2[[#This Row],[Date]])&amp;TEXT(MONTH(Table2[[#This Row],[Date]]),"00"))</f>
        <v>202303</v>
      </c>
      <c r="B8919" s="93">
        <v>44994</v>
      </c>
      <c r="C8919" s="87" t="s">
        <v>3938</v>
      </c>
      <c r="D8919" s="87" t="s">
        <v>1353</v>
      </c>
      <c r="E8919" s="87">
        <v>45.63</v>
      </c>
      <c r="F8919" s="2" t="str">
        <f>IF(Table2[[#This Row],[Manual Cat Value]]="",VLOOKUP(Table2[[#This Row],[Description]],'Actuals Lookup'!D:F,3,0),Table2[[#This Row],[Manual Cat Value]])</f>
        <v>Restaurants</v>
      </c>
      <c r="G8919" s="87" t="s">
        <v>26</v>
      </c>
      <c r="I8919" s="8"/>
      <c r="O8919" t="str">
        <f>LEFT(Table2[[#This Row],[Description]],75)</f>
        <v>Noodles &amp; Company</v>
      </c>
    </row>
    <row r="8920" spans="1:15" hidden="1">
      <c r="A8920" s="25">
        <f>VALUE(YEAR(Table2[[#This Row],[Date]])&amp;TEXT(MONTH(Table2[[#This Row],[Date]]),"00"))</f>
        <v>202303</v>
      </c>
      <c r="B8920" s="93">
        <v>44994</v>
      </c>
      <c r="C8920" s="87" t="s">
        <v>3938</v>
      </c>
      <c r="D8920" s="87" t="s">
        <v>1477</v>
      </c>
      <c r="E8920" s="87">
        <v>47.25</v>
      </c>
      <c r="F8920" s="2" t="str">
        <f>IF(Table2[[#This Row],[Manual Cat Value]]="",VLOOKUP(Table2[[#This Row],[Description]],'Actuals Lookup'!D:F,3,0),Table2[[#This Row],[Manual Cat Value]])</f>
        <v>Gym</v>
      </c>
      <c r="G8920" s="87" t="s">
        <v>34</v>
      </c>
      <c r="I8920" s="8"/>
      <c r="O8920" t="str">
        <f>LEFT(Table2[[#This Row],[Description]],75)</f>
        <v>Peloton Cycles</v>
      </c>
    </row>
    <row r="8921" spans="1:15" hidden="1">
      <c r="A8921" s="25">
        <f>VALUE(YEAR(Table2[[#This Row],[Date]])&amp;TEXT(MONTH(Table2[[#This Row],[Date]]),"00"))</f>
        <v>202303</v>
      </c>
      <c r="B8921" s="93">
        <v>44995</v>
      </c>
      <c r="C8921" s="87" t="s">
        <v>3938</v>
      </c>
      <c r="D8921" s="87" t="s">
        <v>3974</v>
      </c>
      <c r="E8921" s="87">
        <v>10.99</v>
      </c>
      <c r="F8921" s="2" t="str">
        <f>IF(Table2[[#This Row],[Manual Cat Value]]="",VLOOKUP(Table2[[#This Row],[Description]],'Actuals Lookup'!D:F,3,0),Table2[[#This Row],[Manual Cat Value]])</f>
        <v>Travel</v>
      </c>
      <c r="G8921" s="87" t="s">
        <v>43</v>
      </c>
      <c r="I8921" s="8"/>
      <c r="O8921" t="str">
        <f>LEFT(Table2[[#This Row],[Description]],75)</f>
        <v>Allegiant Air</v>
      </c>
    </row>
    <row r="8922" spans="1:15" hidden="1">
      <c r="A8922" s="25">
        <f>VALUE(YEAR(Table2[[#This Row],[Date]])&amp;TEXT(MONTH(Table2[[#This Row],[Date]]),"00"))</f>
        <v>202303</v>
      </c>
      <c r="B8922" s="93">
        <v>44995</v>
      </c>
      <c r="C8922" s="87" t="s">
        <v>3938</v>
      </c>
      <c r="D8922" s="87" t="s">
        <v>703</v>
      </c>
      <c r="E8922" s="87">
        <v>527.79999999999995</v>
      </c>
      <c r="F8922" s="2" t="str">
        <f>IF(Table2[[#This Row],[Manual Cat Value]]="",VLOOKUP(Table2[[#This Row],[Description]],'Actuals Lookup'!D:F,3,0),Table2[[#This Row],[Manual Cat Value]])</f>
        <v>Delete</v>
      </c>
      <c r="G8922" s="87" t="s">
        <v>67</v>
      </c>
      <c r="I8922" s="8"/>
      <c r="O8922" t="str">
        <f>LEFT(Table2[[#This Row],[Description]],75)</f>
        <v>Delta Air Lines</v>
      </c>
    </row>
    <row r="8923" spans="1:15" hidden="1">
      <c r="A8923" s="25">
        <f>VALUE(YEAR(Table2[[#This Row],[Date]])&amp;TEXT(MONTH(Table2[[#This Row],[Date]]),"00"))</f>
        <v>202303</v>
      </c>
      <c r="B8923" s="93">
        <v>44995</v>
      </c>
      <c r="C8923" s="87" t="s">
        <v>3938</v>
      </c>
      <c r="D8923" s="87" t="s">
        <v>1408</v>
      </c>
      <c r="E8923" s="87">
        <v>129</v>
      </c>
      <c r="F8923" s="2" t="str">
        <f>IF(Table2[[#This Row],[Manual Cat Value]]="",VLOOKUP(Table2[[#This Row],[Description]],'Actuals Lookup'!D:F,3,0),Table2[[#This Row],[Manual Cat Value]])</f>
        <v>Shopping</v>
      </c>
      <c r="G8923" s="87" t="s">
        <v>21</v>
      </c>
      <c r="I8923" s="8"/>
      <c r="O8923" t="str">
        <f>LEFT(Table2[[#This Row],[Description]],75)</f>
        <v>Patagonia</v>
      </c>
    </row>
    <row r="8924" spans="1:15" hidden="1">
      <c r="A8924" s="25">
        <f>VALUE(YEAR(Table2[[#This Row],[Date]])&amp;TEXT(MONTH(Table2[[#This Row],[Date]]),"00"))</f>
        <v>202303</v>
      </c>
      <c r="B8924" s="93">
        <v>44996</v>
      </c>
      <c r="C8924" s="87" t="s">
        <v>3932</v>
      </c>
      <c r="D8924" s="87" t="s">
        <v>684</v>
      </c>
      <c r="E8924" s="87">
        <v>62.88</v>
      </c>
      <c r="F8924" s="2" t="str">
        <f>IF(Table2[[#This Row],[Manual Cat Value]]="",VLOOKUP(Table2[[#This Row],[Description]],'Actuals Lookup'!D:F,3,0),Table2[[#This Row],[Manual Cat Value]])</f>
        <v>Groceries</v>
      </c>
      <c r="G8924" s="87" t="s">
        <v>28</v>
      </c>
      <c r="I8924" s="8"/>
      <c r="O8924" t="str">
        <f>LEFT(Table2[[#This Row],[Description]],75)</f>
        <v>Cub Foods</v>
      </c>
    </row>
    <row r="8925" spans="1:15" hidden="1">
      <c r="A8925" s="25">
        <f>VALUE(YEAR(Table2[[#This Row],[Date]])&amp;TEXT(MONTH(Table2[[#This Row],[Date]]),"00"))</f>
        <v>202303</v>
      </c>
      <c r="B8925" s="93">
        <v>44997</v>
      </c>
      <c r="C8925" s="87" t="s">
        <v>3938</v>
      </c>
      <c r="D8925" s="87" t="s">
        <v>3975</v>
      </c>
      <c r="E8925" s="87">
        <v>11.32</v>
      </c>
      <c r="F8925" s="2" t="str">
        <f>IF(Table2[[#This Row],[Manual Cat Value]]="",VLOOKUP(Table2[[#This Row],[Description]],'Actuals Lookup'!D:F,3,0),Table2[[#This Row],[Manual Cat Value]])</f>
        <v>Dry Cleaning</v>
      </c>
      <c r="G8925" s="87" t="s">
        <v>41</v>
      </c>
      <c r="I8925" s="8"/>
      <c r="O8925" t="str">
        <f>LEFT(Table2[[#This Row],[Description]],75)</f>
        <v>All Seasons Garment Care Excelsior Mn Ref #xxxxxxxx6039g9fjt</v>
      </c>
    </row>
    <row r="8926" spans="1:15" hidden="1">
      <c r="A8926" s="25">
        <f>VALUE(YEAR(Table2[[#This Row],[Date]])&amp;TEXT(MONTH(Table2[[#This Row],[Date]]),"00"))</f>
        <v>202303</v>
      </c>
      <c r="B8926" s="93">
        <v>44997</v>
      </c>
      <c r="C8926" s="87" t="s">
        <v>3938</v>
      </c>
      <c r="D8926" s="87" t="s">
        <v>3976</v>
      </c>
      <c r="E8926" s="87">
        <v>7</v>
      </c>
      <c r="F8926" s="2" t="str">
        <f>IF(Table2[[#This Row],[Manual Cat Value]]="",VLOOKUP(Table2[[#This Row],[Description]],'Actuals Lookup'!D:F,3,0),Table2[[#This Row],[Manual Cat Value]])</f>
        <v>Travel</v>
      </c>
      <c r="G8926" s="87" t="s">
        <v>43</v>
      </c>
      <c r="I8926" s="8"/>
      <c r="O8926" t="str">
        <f>LEFT(Table2[[#This Row],[Description]],75)</f>
        <v>Allied Parking-nordic Minneapolis Mn Ref #xxxxxxx2536qbprgg</v>
      </c>
    </row>
    <row r="8927" spans="1:15" hidden="1">
      <c r="A8927" s="25">
        <f>VALUE(YEAR(Table2[[#This Row],[Date]])&amp;TEXT(MONTH(Table2[[#This Row],[Date]]),"00"))</f>
        <v>202303</v>
      </c>
      <c r="B8927" s="93">
        <v>44997</v>
      </c>
      <c r="C8927" s="87" t="s">
        <v>3938</v>
      </c>
      <c r="D8927" s="87" t="s">
        <v>38</v>
      </c>
      <c r="E8927" s="87">
        <v>292.89999999999998</v>
      </c>
      <c r="F8927" s="2" t="str">
        <f>IF(Table2[[#This Row],[Manual Cat Value]]="",VLOOKUP(Table2[[#This Row],[Description]],'Actuals Lookup'!D:F,3,0),Table2[[#This Row],[Manual Cat Value]])</f>
        <v>Amazon</v>
      </c>
      <c r="G8927" s="87" t="s">
        <v>38</v>
      </c>
      <c r="I8927" s="8"/>
      <c r="O8927" t="str">
        <f>LEFT(Table2[[#This Row],[Description]],75)</f>
        <v>Amazon</v>
      </c>
    </row>
    <row r="8928" spans="1:15" hidden="1">
      <c r="A8928" s="25">
        <f>VALUE(YEAR(Table2[[#This Row],[Date]])&amp;TEXT(MONTH(Table2[[#This Row],[Date]]),"00"))</f>
        <v>202303</v>
      </c>
      <c r="B8928" s="93">
        <v>44997</v>
      </c>
      <c r="C8928" s="87" t="s">
        <v>3938</v>
      </c>
      <c r="D8928" s="87" t="s">
        <v>3977</v>
      </c>
      <c r="E8928" s="87">
        <v>42.39</v>
      </c>
      <c r="F8928" s="2" t="str">
        <f>IF(Table2[[#This Row],[Manual Cat Value]]="",VLOOKUP(Table2[[#This Row],[Description]],'Actuals Lookup'!D:F,3,0),Table2[[#This Row],[Manual Cat Value]])</f>
        <v>Restaurants</v>
      </c>
      <c r="G8928" s="87" t="s">
        <v>26</v>
      </c>
      <c r="I8928" s="8"/>
      <c r="O8928" t="str">
        <f>LEFT(Table2[[#This Row],[Description]],75)</f>
        <v>Iron Tap</v>
      </c>
    </row>
    <row r="8929" spans="1:15" hidden="1">
      <c r="A8929" s="25">
        <f>VALUE(YEAR(Table2[[#This Row],[Date]])&amp;TEXT(MONTH(Table2[[#This Row],[Date]]),"00"))</f>
        <v>202303</v>
      </c>
      <c r="B8929" s="93">
        <v>44997</v>
      </c>
      <c r="C8929" s="87" t="s">
        <v>3938</v>
      </c>
      <c r="D8929" s="87" t="s">
        <v>3978</v>
      </c>
      <c r="E8929" s="87">
        <v>101.38</v>
      </c>
      <c r="F8929" s="2" t="str">
        <f>IF(Table2[[#This Row],[Manual Cat Value]]="",VLOOKUP(Table2[[#This Row],[Description]],'Actuals Lookup'!D:F,3,0),Table2[[#This Row],[Manual Cat Value]])</f>
        <v>Travel</v>
      </c>
      <c r="G8929" s="87" t="s">
        <v>43</v>
      </c>
      <c r="I8929" s="8"/>
      <c r="O8929" t="str">
        <f>LEFT(Table2[[#This Row],[Description]],75)</f>
        <v>Park 'n Fly</v>
      </c>
    </row>
    <row r="8930" spans="1:15" hidden="1">
      <c r="A8930" s="25">
        <f>VALUE(YEAR(Table2[[#This Row],[Date]])&amp;TEXT(MONTH(Table2[[#This Row],[Date]]),"00"))</f>
        <v>202303</v>
      </c>
      <c r="B8930" s="93">
        <v>44997</v>
      </c>
      <c r="C8930" s="87" t="s">
        <v>3938</v>
      </c>
      <c r="D8930" s="87" t="s">
        <v>1778</v>
      </c>
      <c r="E8930" s="87">
        <v>108.54</v>
      </c>
      <c r="F8930" s="2" t="str">
        <f>IF(Table2[[#This Row],[Manual Cat Value]]="",VLOOKUP(Table2[[#This Row],[Description]],'Actuals Lookup'!D:F,3,0),Table2[[#This Row],[Manual Cat Value]])</f>
        <v>Restaurants</v>
      </c>
      <c r="G8930" s="87" t="s">
        <v>26</v>
      </c>
      <c r="I8930" s="8"/>
      <c r="O8930" t="str">
        <f>LEFT(Table2[[#This Row],[Description]],75)</f>
        <v>Station Pizzeria</v>
      </c>
    </row>
    <row r="8931" spans="1:15" hidden="1">
      <c r="A8931" s="25">
        <f>VALUE(YEAR(Table2[[#This Row],[Date]])&amp;TEXT(MONTH(Table2[[#This Row],[Date]]),"00"))</f>
        <v>202303</v>
      </c>
      <c r="B8931" s="93">
        <v>44997</v>
      </c>
      <c r="C8931" s="87" t="s">
        <v>3938</v>
      </c>
      <c r="D8931" s="87" t="s">
        <v>3979</v>
      </c>
      <c r="E8931" s="87">
        <v>26.7</v>
      </c>
      <c r="F8931" s="2" t="str">
        <f>IF(Table2[[#This Row],[Manual Cat Value]]="",VLOOKUP(Table2[[#This Row],[Description]],'Actuals Lookup'!D:F,3,0),Table2[[#This Row],[Manual Cat Value]])</f>
        <v>Restaurants</v>
      </c>
      <c r="G8931" s="87" t="s">
        <v>26</v>
      </c>
      <c r="I8931" s="8"/>
      <c r="O8931" t="str">
        <f>LEFT(Table2[[#This Row],[Description]],75)</f>
        <v>Thr3 Jack Minneapolis Mn Ref #xxxxxxxx5600w6d7b</v>
      </c>
    </row>
    <row r="8932" spans="1:15" hidden="1">
      <c r="A8932" s="25">
        <f>VALUE(YEAR(Table2[[#This Row],[Date]])&amp;TEXT(MONTH(Table2[[#This Row],[Date]]),"00"))</f>
        <v>202303</v>
      </c>
      <c r="B8932" s="93">
        <v>44998</v>
      </c>
      <c r="C8932" s="87" t="s">
        <v>3938</v>
      </c>
      <c r="D8932" s="87" t="s">
        <v>3980</v>
      </c>
      <c r="E8932" s="87">
        <v>25</v>
      </c>
      <c r="F8932" s="2" t="str">
        <f>IF(Table2[[#This Row],[Manual Cat Value]]="",VLOOKUP(Table2[[#This Row],[Description]],'Actuals Lookup'!D:F,3,0),Table2[[#This Row],[Manual Cat Value]])</f>
        <v>Entertainment</v>
      </c>
      <c r="G8932" s="87" t="s">
        <v>40</v>
      </c>
      <c r="I8932" s="8"/>
      <c r="O8932" t="str">
        <f>LEFT(Table2[[#This Row],[Description]],75)</f>
        <v>Act Cityof Waconia Waconia Mn Ref #xxxxxx6272yf017vf</v>
      </c>
    </row>
    <row r="8933" spans="1:15" hidden="1">
      <c r="A8933" s="25">
        <f>VALUE(YEAR(Table2[[#This Row],[Date]])&amp;TEXT(MONTH(Table2[[#This Row],[Date]]),"00"))</f>
        <v>202303</v>
      </c>
      <c r="B8933" s="93">
        <v>44998</v>
      </c>
      <c r="C8933" s="87" t="s">
        <v>3933</v>
      </c>
      <c r="D8933" s="87" t="s">
        <v>130</v>
      </c>
      <c r="E8933" s="87">
        <v>10.73</v>
      </c>
      <c r="F8933" s="2" t="str">
        <f>IF(Table2[[#This Row],[Manual Cat Value]]="",VLOOKUP(Table2[[#This Row],[Description]],'Actuals Lookup'!D:F,3,0),Table2[[#This Row],[Manual Cat Value]])</f>
        <v>Delete</v>
      </c>
      <c r="G8933" s="87" t="s">
        <v>8</v>
      </c>
      <c r="I8933" s="8"/>
      <c r="O8933" t="str">
        <f>LEFT(Table2[[#This Row],[Description]],75)</f>
        <v>American Express</v>
      </c>
    </row>
    <row r="8934" spans="1:15" hidden="1">
      <c r="A8934" s="25">
        <f>VALUE(YEAR(Table2[[#This Row],[Date]])&amp;TEXT(MONTH(Table2[[#This Row],[Date]]),"00"))</f>
        <v>202303</v>
      </c>
      <c r="B8934" s="93">
        <v>44998</v>
      </c>
      <c r="C8934" s="87" t="s">
        <v>3938</v>
      </c>
      <c r="D8934" s="87" t="s">
        <v>3981</v>
      </c>
      <c r="E8934" s="87">
        <v>146</v>
      </c>
      <c r="F8934" s="2" t="str">
        <f>IF(Table2[[#This Row],[Manual Cat Value]]="",VLOOKUP(Table2[[#This Row],[Description]],'Actuals Lookup'!D:F,3,0),Table2[[#This Row],[Manual Cat Value]])</f>
        <v>Restaurants</v>
      </c>
      <c r="G8934" s="87" t="s">
        <v>26</v>
      </c>
      <c r="I8934" s="8"/>
      <c r="O8934" t="str">
        <f>LEFT(Table2[[#This Row],[Description]],75)</f>
        <v>Blvd *face Foundrie Waywayzata Mn Ref #xxxxx0027ej34e5bm</v>
      </c>
    </row>
    <row r="8935" spans="1:15" hidden="1">
      <c r="A8935" s="25">
        <f>VALUE(YEAR(Table2[[#This Row],[Date]])&amp;TEXT(MONTH(Table2[[#This Row],[Date]]),"00"))</f>
        <v>202303</v>
      </c>
      <c r="B8935" s="93">
        <v>44998</v>
      </c>
      <c r="C8935" s="87" t="s">
        <v>3938</v>
      </c>
      <c r="D8935" s="87" t="s">
        <v>3982</v>
      </c>
      <c r="E8935" s="87">
        <v>204.4</v>
      </c>
      <c r="F8935" s="2" t="str">
        <f>IF(Table2[[#This Row],[Manual Cat Value]]="",VLOOKUP(Table2[[#This Row],[Description]],'Actuals Lookup'!D:F,3,0),Table2[[#This Row],[Manual Cat Value]])</f>
        <v>Restaurants</v>
      </c>
      <c r="G8935" s="87" t="s">
        <v>26</v>
      </c>
      <c r="I8935" s="8"/>
      <c r="O8935" t="str">
        <f>LEFT(Table2[[#This Row],[Description]],75)</f>
        <v>Blvd *face Foundrie Waywayzata Mn Ref #xxxxx0027ej34e5dy</v>
      </c>
    </row>
    <row r="8936" spans="1:15" hidden="1">
      <c r="A8936" s="25">
        <f>VALUE(YEAR(Table2[[#This Row],[Date]])&amp;TEXT(MONTH(Table2[[#This Row],[Date]]),"00"))</f>
        <v>202303</v>
      </c>
      <c r="B8936" s="93">
        <v>44998</v>
      </c>
      <c r="C8936" s="87" t="s">
        <v>3938</v>
      </c>
      <c r="D8936" s="87" t="s">
        <v>3983</v>
      </c>
      <c r="E8936" s="87">
        <v>8.15</v>
      </c>
      <c r="F8936" s="2" t="str">
        <f>IF(Table2[[#This Row],[Manual Cat Value]]="",VLOOKUP(Table2[[#This Row],[Description]],'Actuals Lookup'!D:F,3,0),Table2[[#This Row],[Manual Cat Value]])</f>
        <v>Groceries</v>
      </c>
      <c r="G8936" s="87" t="s">
        <v>28</v>
      </c>
      <c r="I8936" s="8"/>
      <c r="O8936" t="str">
        <f>LEFT(Table2[[#This Row],[Description]],75)</f>
        <v>Brookies Fish Market Saint Louis Pmn Ref #xxxxxx9272xkjpqs0</v>
      </c>
    </row>
    <row r="8937" spans="1:15" hidden="1">
      <c r="A8937" s="25">
        <f>VALUE(YEAR(Table2[[#This Row],[Date]])&amp;TEXT(MONTH(Table2[[#This Row],[Date]]),"00"))</f>
        <v>202303</v>
      </c>
      <c r="B8937" s="93">
        <v>44998</v>
      </c>
      <c r="C8937" s="87" t="s">
        <v>3938</v>
      </c>
      <c r="D8937" s="87" t="s">
        <v>3984</v>
      </c>
      <c r="E8937" s="87">
        <v>45</v>
      </c>
      <c r="F8937" s="2" t="str">
        <f>IF(Table2[[#This Row],[Manual Cat Value]]="",VLOOKUP(Table2[[#This Row],[Description]],'Actuals Lookup'!D:F,3,0),Table2[[#This Row],[Manual Cat Value]])</f>
        <v>Utilities</v>
      </c>
      <c r="G8937" s="87" t="s">
        <v>7</v>
      </c>
      <c r="I8937" s="8"/>
      <c r="O8937" t="str">
        <f>LEFT(Table2[[#This Row],[Description]],75)</f>
        <v>Centurylink</v>
      </c>
    </row>
    <row r="8938" spans="1:15" hidden="1">
      <c r="A8938" s="25">
        <f>VALUE(YEAR(Table2[[#This Row],[Date]])&amp;TEXT(MONTH(Table2[[#This Row],[Date]]),"00"))</f>
        <v>202303</v>
      </c>
      <c r="B8938" s="93">
        <v>44998</v>
      </c>
      <c r="C8938" s="87" t="s">
        <v>3938</v>
      </c>
      <c r="D8938" s="87" t="s">
        <v>3985</v>
      </c>
      <c r="E8938" s="87">
        <v>156</v>
      </c>
      <c r="F8938" s="2" t="str">
        <f>IF(Table2[[#This Row],[Manual Cat Value]]="",VLOOKUP(Table2[[#This Row],[Description]],'Actuals Lookup'!D:F,3,0),Table2[[#This Row],[Manual Cat Value]])</f>
        <v>Shopping</v>
      </c>
      <c r="G8938" s="87" t="s">
        <v>21</v>
      </c>
      <c r="I8938" s="8"/>
      <c r="O8938" t="str">
        <f>LEFT(Table2[[#This Row],[Description]],75)</f>
        <v>Sp Faherty Faherty.myshony Ref #xxxxxxxxx0008hq0x</v>
      </c>
    </row>
    <row r="8939" spans="1:15" hidden="1">
      <c r="A8939" s="25">
        <f>VALUE(YEAR(Table2[[#This Row],[Date]])&amp;TEXT(MONTH(Table2[[#This Row],[Date]]),"00"))</f>
        <v>202303</v>
      </c>
      <c r="B8939" s="93">
        <v>44998</v>
      </c>
      <c r="C8939" s="87" t="s">
        <v>3938</v>
      </c>
      <c r="D8939" s="87" t="s">
        <v>3986</v>
      </c>
      <c r="E8939" s="87">
        <v>18.739999999999998</v>
      </c>
      <c r="F8939" s="2" t="str">
        <f>IF(Table2[[#This Row],[Manual Cat Value]]="",VLOOKUP(Table2[[#This Row],[Description]],'Actuals Lookup'!D:F,3,0),Table2[[#This Row],[Manual Cat Value]])</f>
        <v>Restaurants</v>
      </c>
      <c r="G8939" s="87" t="s">
        <v>26</v>
      </c>
      <c r="I8939" s="8"/>
      <c r="O8939" t="str">
        <f>LEFT(Table2[[#This Row],[Description]],75)</f>
        <v>Tst* The Grocers Table Wayzata Mn Ref #xxxxxx6272yed9m3d</v>
      </c>
    </row>
    <row r="8940" spans="1:15" hidden="1">
      <c r="A8940" s="25">
        <f>VALUE(YEAR(Table2[[#This Row],[Date]])&amp;TEXT(MONTH(Table2[[#This Row],[Date]]),"00"))</f>
        <v>202303</v>
      </c>
      <c r="B8940" s="93">
        <v>44998</v>
      </c>
      <c r="C8940" s="87" t="s">
        <v>3933</v>
      </c>
      <c r="D8940" s="87" t="s">
        <v>2109</v>
      </c>
      <c r="E8940" s="87">
        <v>111.81</v>
      </c>
      <c r="F8940" s="2" t="str">
        <f>IF(Table2[[#This Row],[Manual Cat Value]]="",VLOOKUP(Table2[[#This Row],[Description]],'Actuals Lookup'!D:F,3,0),Table2[[#This Row],[Manual Cat Value]])</f>
        <v>Shopping</v>
      </c>
      <c r="G8940" s="87" t="s">
        <v>21</v>
      </c>
      <c r="I8940" s="8"/>
      <c r="O8940" t="str">
        <f>LEFT(Table2[[#This Row],[Description]],75)</f>
        <v>Venmo</v>
      </c>
    </row>
    <row r="8941" spans="1:15" hidden="1">
      <c r="A8941" s="25">
        <f>VALUE(YEAR(Table2[[#This Row],[Date]])&amp;TEXT(MONTH(Table2[[#This Row],[Date]]),"00"))</f>
        <v>202303</v>
      </c>
      <c r="B8941" s="93">
        <v>44998</v>
      </c>
      <c r="C8941" s="87" t="s">
        <v>3933</v>
      </c>
      <c r="D8941" s="87" t="s">
        <v>2221</v>
      </c>
      <c r="E8941" s="87">
        <v>149.46</v>
      </c>
      <c r="F8941" s="2" t="str">
        <f>IF(Table2[[#This Row],[Manual Cat Value]]="",VLOOKUP(Table2[[#This Row],[Description]],'Actuals Lookup'!D:F,3,0),Table2[[#This Row],[Manual Cat Value]])</f>
        <v>Utilities</v>
      </c>
      <c r="G8941" s="87" t="s">
        <v>7</v>
      </c>
      <c r="I8941" s="8"/>
      <c r="O8941" t="str">
        <f>LEFT(Table2[[#This Row],[Description]],75)</f>
        <v>Xcel Energy</v>
      </c>
    </row>
    <row r="8942" spans="1:15" hidden="1">
      <c r="A8942" s="25">
        <f>VALUE(YEAR(Table2[[#This Row],[Date]])&amp;TEXT(MONTH(Table2[[#This Row],[Date]]),"00"))</f>
        <v>202303</v>
      </c>
      <c r="B8942" s="93">
        <v>44999</v>
      </c>
      <c r="C8942" s="87" t="s">
        <v>3938</v>
      </c>
      <c r="D8942" s="87" t="s">
        <v>113</v>
      </c>
      <c r="E8942" s="87">
        <v>-39.99</v>
      </c>
      <c r="F8942" s="2" t="str">
        <f>IF(Table2[[#This Row],[Manual Cat Value]]="",VLOOKUP(Table2[[#This Row],[Description]],'Actuals Lookup'!D:F,3,0),Table2[[#This Row],[Manual Cat Value]])</f>
        <v>Amazon</v>
      </c>
      <c r="G8942" s="87" t="s">
        <v>38</v>
      </c>
      <c r="I8942" s="8"/>
      <c r="O8942" t="str">
        <f>LEFT(Table2[[#This Row],[Description]],75)</f>
        <v>Amazon Marketplace</v>
      </c>
    </row>
    <row r="8943" spans="1:15" hidden="1">
      <c r="A8943" s="25">
        <f>VALUE(YEAR(Table2[[#This Row],[Date]])&amp;TEXT(MONTH(Table2[[#This Row],[Date]]),"00"))</f>
        <v>202303</v>
      </c>
      <c r="B8943" s="93">
        <v>44999</v>
      </c>
      <c r="C8943" s="87" t="s">
        <v>3938</v>
      </c>
      <c r="D8943" s="87" t="s">
        <v>113</v>
      </c>
      <c r="E8943" s="87">
        <v>-63.34</v>
      </c>
      <c r="F8943" s="2" t="str">
        <f>IF(Table2[[#This Row],[Manual Cat Value]]="",VLOOKUP(Table2[[#This Row],[Description]],'Actuals Lookup'!D:F,3,0),Table2[[#This Row],[Manual Cat Value]])</f>
        <v>Amazon</v>
      </c>
      <c r="G8943" s="87" t="s">
        <v>38</v>
      </c>
      <c r="I8943" s="8"/>
      <c r="O8943" t="str">
        <f>LEFT(Table2[[#This Row],[Description]],75)</f>
        <v>Amazon Marketplace</v>
      </c>
    </row>
    <row r="8944" spans="1:15" hidden="1">
      <c r="A8944" s="25">
        <f>VALUE(YEAR(Table2[[#This Row],[Date]])&amp;TEXT(MONTH(Table2[[#This Row],[Date]]),"00"))</f>
        <v>202303</v>
      </c>
      <c r="B8944" s="93">
        <v>44999</v>
      </c>
      <c r="C8944" s="87" t="s">
        <v>3938</v>
      </c>
      <c r="D8944" s="87" t="s">
        <v>113</v>
      </c>
      <c r="E8944" s="87">
        <v>-56.9</v>
      </c>
      <c r="F8944" s="2" t="str">
        <f>IF(Table2[[#This Row],[Manual Cat Value]]="",VLOOKUP(Table2[[#This Row],[Description]],'Actuals Lookup'!D:F,3,0),Table2[[#This Row],[Manual Cat Value]])</f>
        <v>Amazon</v>
      </c>
      <c r="G8944" s="87" t="s">
        <v>38</v>
      </c>
      <c r="I8944" s="8"/>
      <c r="O8944" t="str">
        <f>LEFT(Table2[[#This Row],[Description]],75)</f>
        <v>Amazon Marketplace</v>
      </c>
    </row>
    <row r="8945" spans="1:15" hidden="1">
      <c r="A8945" s="25">
        <f>VALUE(YEAR(Table2[[#This Row],[Date]])&amp;TEXT(MONTH(Table2[[#This Row],[Date]]),"00"))</f>
        <v>202303</v>
      </c>
      <c r="B8945" s="93">
        <v>44999</v>
      </c>
      <c r="C8945" s="87" t="s">
        <v>3938</v>
      </c>
      <c r="D8945" s="87" t="s">
        <v>113</v>
      </c>
      <c r="E8945" s="87">
        <v>-32.99</v>
      </c>
      <c r="F8945" s="2" t="str">
        <f>IF(Table2[[#This Row],[Manual Cat Value]]="",VLOOKUP(Table2[[#This Row],[Description]],'Actuals Lookup'!D:F,3,0),Table2[[#This Row],[Manual Cat Value]])</f>
        <v>Amazon</v>
      </c>
      <c r="G8945" s="87" t="s">
        <v>38</v>
      </c>
      <c r="I8945" s="8"/>
      <c r="O8945" t="str">
        <f>LEFT(Table2[[#This Row],[Description]],75)</f>
        <v>Amazon Marketplace</v>
      </c>
    </row>
    <row r="8946" spans="1:15" hidden="1">
      <c r="A8946" s="25">
        <f>VALUE(YEAR(Table2[[#This Row],[Date]])&amp;TEXT(MONTH(Table2[[#This Row],[Date]]),"00"))</f>
        <v>202303</v>
      </c>
      <c r="B8946" s="93">
        <v>44999</v>
      </c>
      <c r="C8946" s="87" t="s">
        <v>3938</v>
      </c>
      <c r="D8946" s="87" t="s">
        <v>113</v>
      </c>
      <c r="E8946" s="87">
        <v>-55.96</v>
      </c>
      <c r="F8946" s="2" t="str">
        <f>IF(Table2[[#This Row],[Manual Cat Value]]="",VLOOKUP(Table2[[#This Row],[Description]],'Actuals Lookup'!D:F,3,0),Table2[[#This Row],[Manual Cat Value]])</f>
        <v>Amazon</v>
      </c>
      <c r="G8946" s="87" t="s">
        <v>38</v>
      </c>
      <c r="I8946" s="8"/>
      <c r="O8946" t="str">
        <f>LEFT(Table2[[#This Row],[Description]],75)</f>
        <v>Amazon Marketplace</v>
      </c>
    </row>
    <row r="8947" spans="1:15" hidden="1">
      <c r="A8947" s="25">
        <f>VALUE(YEAR(Table2[[#This Row],[Date]])&amp;TEXT(MONTH(Table2[[#This Row],[Date]]),"00"))</f>
        <v>202303</v>
      </c>
      <c r="B8947" s="93">
        <v>44999</v>
      </c>
      <c r="C8947" s="87" t="s">
        <v>3938</v>
      </c>
      <c r="D8947" s="87" t="s">
        <v>113</v>
      </c>
      <c r="E8947" s="87">
        <v>-28.78</v>
      </c>
      <c r="F8947" s="2" t="str">
        <f>IF(Table2[[#This Row],[Manual Cat Value]]="",VLOOKUP(Table2[[#This Row],[Description]],'Actuals Lookup'!D:F,3,0),Table2[[#This Row],[Manual Cat Value]])</f>
        <v>Amazon</v>
      </c>
      <c r="G8947" s="87" t="s">
        <v>38</v>
      </c>
      <c r="I8947" s="8"/>
      <c r="O8947" t="str">
        <f>LEFT(Table2[[#This Row],[Description]],75)</f>
        <v>Amazon Marketplace</v>
      </c>
    </row>
    <row r="8948" spans="1:15" hidden="1">
      <c r="A8948" s="25">
        <f>VALUE(YEAR(Table2[[#This Row],[Date]])&amp;TEXT(MONTH(Table2[[#This Row],[Date]]),"00"))</f>
        <v>202303</v>
      </c>
      <c r="B8948" s="93">
        <v>44999</v>
      </c>
      <c r="C8948" s="87" t="s">
        <v>3933</v>
      </c>
      <c r="D8948" s="87" t="s">
        <v>131</v>
      </c>
      <c r="E8948" s="87">
        <v>90.39</v>
      </c>
      <c r="F8948" s="2" t="str">
        <f>IF(Table2[[#This Row],[Manual Cat Value]]="",VLOOKUP(Table2[[#This Row],[Description]],'Actuals Lookup'!D:F,3,0),Table2[[#This Row],[Manual Cat Value]])</f>
        <v>Exp - Insurance</v>
      </c>
      <c r="G8948" s="87" t="s">
        <v>7</v>
      </c>
      <c r="H8948" s="8" t="s">
        <v>17</v>
      </c>
      <c r="I8948" s="8"/>
      <c r="O8948" t="str">
        <f>LEFT(Table2[[#This Row],[Description]],75)</f>
        <v>American Family Insurance</v>
      </c>
    </row>
    <row r="8949" spans="1:15" hidden="1">
      <c r="A8949" s="25">
        <f>VALUE(YEAR(Table2[[#This Row],[Date]])&amp;TEXT(MONTH(Table2[[#This Row],[Date]]),"00"))</f>
        <v>202303</v>
      </c>
      <c r="B8949" s="93">
        <v>44999</v>
      </c>
      <c r="C8949" s="87" t="s">
        <v>3938</v>
      </c>
      <c r="D8949" s="87" t="s">
        <v>545</v>
      </c>
      <c r="E8949" s="87">
        <v>31.51</v>
      </c>
      <c r="F8949" s="2" t="str">
        <f>IF(Table2[[#This Row],[Manual Cat Value]]="",VLOOKUP(Table2[[#This Row],[Description]],'Actuals Lookup'!D:F,3,0),Table2[[#This Row],[Manual Cat Value]])</f>
        <v>Restaurants</v>
      </c>
      <c r="G8949" s="87" t="s">
        <v>26</v>
      </c>
      <c r="I8949" s="8"/>
      <c r="O8949" t="str">
        <f>LEFT(Table2[[#This Row],[Description]],75)</f>
        <v>Chipotle Mexican Grill</v>
      </c>
    </row>
    <row r="8950" spans="1:15" hidden="1">
      <c r="A8950" s="25">
        <f>VALUE(YEAR(Table2[[#This Row],[Date]])&amp;TEXT(MONTH(Table2[[#This Row],[Date]]),"00"))</f>
        <v>202303</v>
      </c>
      <c r="B8950" s="93">
        <v>44999</v>
      </c>
      <c r="C8950" s="87" t="s">
        <v>3933</v>
      </c>
      <c r="D8950" s="87" t="s">
        <v>3987</v>
      </c>
      <c r="E8950" s="87">
        <v>-8733.2800000000007</v>
      </c>
      <c r="F8950" s="2" t="str">
        <f>IF(Table2[[#This Row],[Manual Cat Value]]="",VLOOKUP(Table2[[#This Row],[Description]],'Actuals Lookup'!D:F,3,0),Table2[[#This Row],[Manual Cat Value]])</f>
        <v>Inc - Other</v>
      </c>
      <c r="G8950" s="87" t="s">
        <v>24</v>
      </c>
      <c r="I8950" s="8"/>
      <c r="O8950" t="str">
        <f>LEFT(Table2[[#This Row],[Description]],75)</f>
        <v>Trinet</v>
      </c>
    </row>
    <row r="8951" spans="1:15" hidden="1">
      <c r="A8951" s="25">
        <f>VALUE(YEAR(Table2[[#This Row],[Date]])&amp;TEXT(MONTH(Table2[[#This Row],[Date]]),"00"))</f>
        <v>202303</v>
      </c>
      <c r="B8951" s="93">
        <v>44999</v>
      </c>
      <c r="C8951" s="87" t="s">
        <v>3933</v>
      </c>
      <c r="D8951" s="87" t="s">
        <v>3936</v>
      </c>
      <c r="E8951" s="87">
        <v>3785.67</v>
      </c>
      <c r="F8951" s="2" t="str">
        <f>IF(Table2[[#This Row],[Manual Cat Value]]="",VLOOKUP(Table2[[#This Row],[Description]],'Actuals Lookup'!D:F,3,0),Table2[[#This Row],[Manual Cat Value]])</f>
        <v>Delete</v>
      </c>
      <c r="G8951" s="87" t="s">
        <v>8</v>
      </c>
      <c r="I8951" s="8"/>
      <c r="O8951" t="str">
        <f>LEFT(Table2[[#This Row],[Description]],75)</f>
        <v>Withdrawal Home Banking Pmt To Card Xxxxxxxxxxxx-5913</v>
      </c>
    </row>
    <row r="8952" spans="1:15" hidden="1">
      <c r="A8952" s="25">
        <f>VALUE(YEAR(Table2[[#This Row],[Date]])&amp;TEXT(MONTH(Table2[[#This Row],[Date]]),"00"))</f>
        <v>202303</v>
      </c>
      <c r="B8952" s="93">
        <v>44999</v>
      </c>
      <c r="C8952" s="87" t="s">
        <v>3932</v>
      </c>
      <c r="D8952" s="87" t="s">
        <v>3988</v>
      </c>
      <c r="E8952" s="87">
        <v>-557.91999999999996</v>
      </c>
      <c r="F8952" s="2" t="str">
        <f>IF(Table2[[#This Row],[Manual Cat Value]]="",VLOOKUP(Table2[[#This Row],[Description]],'Actuals Lookup'!D:F,3,0),Table2[[#This Row],[Manual Cat Value]])</f>
        <v>Delete</v>
      </c>
      <c r="G8952" s="87" t="s">
        <v>8</v>
      </c>
      <c r="I8952" s="8"/>
      <c r="O8952" t="str">
        <f>LEFT(Table2[[#This Row],[Description]],75)</f>
        <v>Internet Payment - Thank You</v>
      </c>
    </row>
    <row r="8953" spans="1:15" hidden="1">
      <c r="A8953" s="25">
        <f>VALUE(YEAR(Table2[[#This Row],[Date]])&amp;TEXT(MONTH(Table2[[#This Row],[Date]]),"00"))</f>
        <v>202303</v>
      </c>
      <c r="B8953" s="93">
        <v>44999</v>
      </c>
      <c r="C8953" s="87" t="s">
        <v>3938</v>
      </c>
      <c r="D8953" s="87" t="s">
        <v>3989</v>
      </c>
      <c r="E8953" s="87">
        <v>-3785.67</v>
      </c>
      <c r="F8953" s="2" t="str">
        <f>IF(Table2[[#This Row],[Manual Cat Value]]="",VLOOKUP(Table2[[#This Row],[Description]],'Actuals Lookup'!D:F,3,0),Table2[[#This Row],[Manual Cat Value]])</f>
        <v>Delete</v>
      </c>
      <c r="G8953" s="87" t="s">
        <v>8</v>
      </c>
      <c r="I8953" s="8"/>
      <c r="O8953" t="str">
        <f>LEFT(Table2[[#This Row],[Description]],75)</f>
        <v>Payment - Thank You Ref #xxxx4572a00xtmjg3</v>
      </c>
    </row>
    <row r="8954" spans="1:15" hidden="1">
      <c r="A8954" s="25">
        <f>VALUE(YEAR(Table2[[#This Row],[Date]])&amp;TEXT(MONTH(Table2[[#This Row],[Date]]),"00"))</f>
        <v>202303</v>
      </c>
      <c r="B8954" s="93">
        <v>45000</v>
      </c>
      <c r="C8954" s="87" t="s">
        <v>3938</v>
      </c>
      <c r="D8954" s="87" t="s">
        <v>38</v>
      </c>
      <c r="E8954" s="87">
        <v>14.16</v>
      </c>
      <c r="F8954" s="2" t="str">
        <f>IF(Table2[[#This Row],[Manual Cat Value]]="",VLOOKUP(Table2[[#This Row],[Description]],'Actuals Lookup'!D:F,3,0),Table2[[#This Row],[Manual Cat Value]])</f>
        <v>Amazon</v>
      </c>
      <c r="G8954" s="87" t="s">
        <v>38</v>
      </c>
      <c r="I8954" s="8"/>
      <c r="O8954" t="str">
        <f>LEFT(Table2[[#This Row],[Description]],75)</f>
        <v>Amazon</v>
      </c>
    </row>
    <row r="8955" spans="1:15" hidden="1">
      <c r="A8955" s="25">
        <f>VALUE(YEAR(Table2[[#This Row],[Date]])&amp;TEXT(MONTH(Table2[[#This Row],[Date]]),"00"))</f>
        <v>202303</v>
      </c>
      <c r="B8955" s="93">
        <v>45000</v>
      </c>
      <c r="C8955" s="87" t="s">
        <v>3932</v>
      </c>
      <c r="D8955" s="87" t="s">
        <v>38</v>
      </c>
      <c r="E8955" s="87">
        <v>19.28</v>
      </c>
      <c r="F8955" s="2" t="str">
        <f>IF(Table2[[#This Row],[Manual Cat Value]]="",VLOOKUP(Table2[[#This Row],[Description]],'Actuals Lookup'!D:F,3,0),Table2[[#This Row],[Manual Cat Value]])</f>
        <v>Amazon</v>
      </c>
      <c r="G8955" s="87" t="s">
        <v>38</v>
      </c>
      <c r="I8955" s="8"/>
      <c r="O8955" t="str">
        <f>LEFT(Table2[[#This Row],[Description]],75)</f>
        <v>Amazon</v>
      </c>
    </row>
    <row r="8956" spans="1:15" hidden="1">
      <c r="A8956" s="25">
        <f>VALUE(YEAR(Table2[[#This Row],[Date]])&amp;TEXT(MONTH(Table2[[#This Row],[Date]]),"00"))</f>
        <v>202303</v>
      </c>
      <c r="B8956" s="93">
        <v>45000</v>
      </c>
      <c r="C8956" s="87" t="s">
        <v>3933</v>
      </c>
      <c r="D8956" s="87" t="s">
        <v>3990</v>
      </c>
      <c r="E8956" s="87">
        <v>65.900000000000006</v>
      </c>
      <c r="F8956" s="2" t="str">
        <f>IF(Table2[[#This Row],[Manual Cat Value]]="",VLOOKUP(Table2[[#This Row],[Description]],'Actuals Lookup'!D:F,3,0),Table2[[#This Row],[Manual Cat Value]])</f>
        <v>Shopping</v>
      </c>
      <c r="G8956" s="87" t="s">
        <v>21</v>
      </c>
      <c r="I8956" s="8"/>
      <c r="O8956" t="str">
        <f>LEFT(Table2[[#This Row],[Description]],75)</f>
        <v>Barclaycard Us</v>
      </c>
    </row>
    <row r="8957" spans="1:15" hidden="1">
      <c r="A8957" s="25">
        <f>VALUE(YEAR(Table2[[#This Row],[Date]])&amp;TEXT(MONTH(Table2[[#This Row],[Date]]),"00"))</f>
        <v>202303</v>
      </c>
      <c r="B8957" s="93">
        <v>45000</v>
      </c>
      <c r="C8957" s="87" t="s">
        <v>3933</v>
      </c>
      <c r="D8957" s="87" t="s">
        <v>3991</v>
      </c>
      <c r="E8957" s="87">
        <v>557.91999999999996</v>
      </c>
      <c r="F8957" s="2" t="str">
        <f>IF(Table2[[#This Row],[Manual Cat Value]]="",VLOOKUP(Table2[[#This Row],[Description]],'Actuals Lookup'!D:F,3,0),Table2[[#This Row],[Manual Cat Value]])</f>
        <v>Delete</v>
      </c>
      <c r="G8957" s="87" t="s">
        <v>8</v>
      </c>
      <c r="I8957" s="8"/>
      <c r="O8957" t="str">
        <f>LEFT(Table2[[#This Row],[Description]],75)</f>
        <v>Discover Bank</v>
      </c>
    </row>
    <row r="8958" spans="1:15" hidden="1">
      <c r="A8958" s="25">
        <f>VALUE(YEAR(Table2[[#This Row],[Date]])&amp;TEXT(MONTH(Table2[[#This Row],[Date]]),"00"))</f>
        <v>202303</v>
      </c>
      <c r="B8958" s="93">
        <v>45000</v>
      </c>
      <c r="C8958" s="87" t="s">
        <v>3938</v>
      </c>
      <c r="D8958" s="87" t="s">
        <v>1083</v>
      </c>
      <c r="E8958" s="87">
        <v>51.32</v>
      </c>
      <c r="F8958" s="2" t="str">
        <f>IF(Table2[[#This Row],[Manual Cat Value]]="",VLOOKUP(Table2[[#This Row],[Description]],'Actuals Lookup'!D:F,3,0),Table2[[#This Row],[Manual Cat Value]])</f>
        <v>Transportation</v>
      </c>
      <c r="G8958" s="87" t="s">
        <v>23</v>
      </c>
      <c r="I8958" s="8"/>
      <c r="O8958" t="str">
        <f>LEFT(Table2[[#This Row],[Description]],75)</f>
        <v>Kwik Trip</v>
      </c>
    </row>
    <row r="8959" spans="1:15" hidden="1">
      <c r="A8959" s="25">
        <f>VALUE(YEAR(Table2[[#This Row],[Date]])&amp;TEXT(MONTH(Table2[[#This Row],[Date]]),"00"))</f>
        <v>202303</v>
      </c>
      <c r="B8959" s="93">
        <v>45000</v>
      </c>
      <c r="C8959" s="87" t="s">
        <v>3933</v>
      </c>
      <c r="D8959" s="87" t="s">
        <v>1355</v>
      </c>
      <c r="E8959" s="87">
        <v>96</v>
      </c>
      <c r="F8959" s="2" t="str">
        <f>IF(Table2[[#This Row],[Manual Cat Value]]="",VLOOKUP(Table2[[#This Row],[Description]],'Actuals Lookup'!D:F,3,0),Table2[[#This Row],[Manual Cat Value]])</f>
        <v>Shopping</v>
      </c>
      <c r="G8959" s="87" t="s">
        <v>21</v>
      </c>
      <c r="I8959" s="8"/>
      <c r="O8959" t="str">
        <f>LEFT(Table2[[#This Row],[Description]],75)</f>
        <v>Nordstrom</v>
      </c>
    </row>
    <row r="8960" spans="1:15" hidden="1">
      <c r="A8960" s="25">
        <f>VALUE(YEAR(Table2[[#This Row],[Date]])&amp;TEXT(MONTH(Table2[[#This Row],[Date]]),"00"))</f>
        <v>202303</v>
      </c>
      <c r="B8960" s="93">
        <v>45000</v>
      </c>
      <c r="C8960" s="87" t="s">
        <v>3932</v>
      </c>
      <c r="D8960" s="87" t="s">
        <v>3992</v>
      </c>
      <c r="E8960" s="87">
        <v>34.43</v>
      </c>
      <c r="F8960" s="2" t="str">
        <f>IF(Table2[[#This Row],[Manual Cat Value]]="",VLOOKUP(Table2[[#This Row],[Description]],'Actuals Lookup'!D:F,3,0),Table2[[#This Row],[Manual Cat Value]])</f>
        <v>Shopping</v>
      </c>
      <c r="G8960" s="87" t="s">
        <v>21</v>
      </c>
      <c r="I8960" s="8"/>
      <c r="O8960" t="str">
        <f>LEFT(Table2[[#This Row],[Description]],75)</f>
        <v>Paypal</v>
      </c>
    </row>
    <row r="8961" spans="1:15" hidden="1">
      <c r="A8961" s="25">
        <f>VALUE(YEAR(Table2[[#This Row],[Date]])&amp;TEXT(MONTH(Table2[[#This Row],[Date]]),"00"))</f>
        <v>202303</v>
      </c>
      <c r="B8961" s="93">
        <v>45000</v>
      </c>
      <c r="C8961" s="87" t="s">
        <v>3933</v>
      </c>
      <c r="D8961" s="87" t="s">
        <v>2109</v>
      </c>
      <c r="E8961" s="87">
        <v>20</v>
      </c>
      <c r="F8961" s="2" t="str">
        <f>IF(Table2[[#This Row],[Manual Cat Value]]="",VLOOKUP(Table2[[#This Row],[Description]],'Actuals Lookup'!D:F,3,0),Table2[[#This Row],[Manual Cat Value]])</f>
        <v>Shopping</v>
      </c>
      <c r="G8961" s="87" t="s">
        <v>21</v>
      </c>
      <c r="I8961" s="8"/>
      <c r="O8961" t="str">
        <f>LEFT(Table2[[#This Row],[Description]],75)</f>
        <v>Venmo</v>
      </c>
    </row>
    <row r="8962" spans="1:15" hidden="1">
      <c r="A8962" s="25">
        <f>VALUE(YEAR(Table2[[#This Row],[Date]])&amp;TEXT(MONTH(Table2[[#This Row],[Date]]),"00"))</f>
        <v>202303</v>
      </c>
      <c r="B8962" s="93">
        <v>45000</v>
      </c>
      <c r="C8962" s="87" t="s">
        <v>3933</v>
      </c>
      <c r="D8962" s="87" t="s">
        <v>2109</v>
      </c>
      <c r="E8962" s="87">
        <v>20</v>
      </c>
      <c r="F8962" s="2" t="str">
        <f>IF(Table2[[#This Row],[Manual Cat Value]]="",VLOOKUP(Table2[[#This Row],[Description]],'Actuals Lookup'!D:F,3,0),Table2[[#This Row],[Manual Cat Value]])</f>
        <v>Shopping</v>
      </c>
      <c r="G8962" s="87" t="s">
        <v>40</v>
      </c>
      <c r="I8962" s="8"/>
      <c r="O8962" t="str">
        <f>LEFT(Table2[[#This Row],[Description]],75)</f>
        <v>Venmo</v>
      </c>
    </row>
    <row r="8963" spans="1:15" hidden="1">
      <c r="A8963" s="25">
        <f>VALUE(YEAR(Table2[[#This Row],[Date]])&amp;TEXT(MONTH(Table2[[#This Row],[Date]]),"00"))</f>
        <v>202303</v>
      </c>
      <c r="B8963" s="93">
        <v>45000</v>
      </c>
      <c r="C8963" s="87" t="s">
        <v>3933</v>
      </c>
      <c r="D8963" s="87" t="s">
        <v>2109</v>
      </c>
      <c r="E8963" s="87">
        <v>20</v>
      </c>
      <c r="F8963" s="2" t="str">
        <f>IF(Table2[[#This Row],[Manual Cat Value]]="",VLOOKUP(Table2[[#This Row],[Description]],'Actuals Lookup'!D:F,3,0),Table2[[#This Row],[Manual Cat Value]])</f>
        <v>Shopping</v>
      </c>
      <c r="G8963" s="87" t="s">
        <v>40</v>
      </c>
      <c r="I8963" s="8"/>
      <c r="O8963" t="str">
        <f>LEFT(Table2[[#This Row],[Description]],75)</f>
        <v>Venmo</v>
      </c>
    </row>
    <row r="8964" spans="1:15" hidden="1">
      <c r="A8964" s="25">
        <f>VALUE(YEAR(Table2[[#This Row],[Date]])&amp;TEXT(MONTH(Table2[[#This Row],[Date]]),"00"))</f>
        <v>202303</v>
      </c>
      <c r="B8964" s="93">
        <v>45000</v>
      </c>
      <c r="C8964" s="87" t="s">
        <v>3933</v>
      </c>
      <c r="D8964" s="87" t="s">
        <v>2109</v>
      </c>
      <c r="E8964" s="87">
        <v>335.03</v>
      </c>
      <c r="F8964" s="2" t="str">
        <f>IF(Table2[[#This Row],[Manual Cat Value]]="",VLOOKUP(Table2[[#This Row],[Description]],'Actuals Lookup'!D:F,3,0),Table2[[#This Row],[Manual Cat Value]])</f>
        <v>Shopping</v>
      </c>
      <c r="G8964" s="87" t="s">
        <v>21</v>
      </c>
      <c r="I8964" s="8"/>
      <c r="O8964" t="str">
        <f>LEFT(Table2[[#This Row],[Description]],75)</f>
        <v>Venmo</v>
      </c>
    </row>
    <row r="8965" spans="1:15" hidden="1">
      <c r="A8965" s="25">
        <f>VALUE(YEAR(Table2[[#This Row],[Date]])&amp;TEXT(MONTH(Table2[[#This Row],[Date]]),"00"))</f>
        <v>202303</v>
      </c>
      <c r="B8965" s="93">
        <v>45000</v>
      </c>
      <c r="C8965" s="87" t="s">
        <v>3933</v>
      </c>
      <c r="D8965" s="87" t="s">
        <v>3993</v>
      </c>
      <c r="E8965" s="87">
        <v>330</v>
      </c>
      <c r="F8965" s="2" t="str">
        <f>IF(Table2[[#This Row],[Manual Cat Value]]="",VLOOKUP(Table2[[#This Row],[Description]],'Actuals Lookup'!D:F,3,0),Table2[[#This Row],[Manual Cat Value]])</f>
        <v>Day Care</v>
      </c>
      <c r="G8965" s="87" t="s">
        <v>20</v>
      </c>
      <c r="I8965" s="8"/>
      <c r="O8965" t="str">
        <f>LEFT(Table2[[#This Row],[Description]],75)</f>
        <v xml:space="preserve">Withdrawal Ach Mhchildcarellc Type: Dues Id: Xxxxxx8198 Co: Mhchildcarellc </v>
      </c>
    </row>
    <row r="8966" spans="1:15" hidden="1">
      <c r="A8966" s="25">
        <f>VALUE(YEAR(Table2[[#This Row],[Date]])&amp;TEXT(MONTH(Table2[[#This Row],[Date]]),"00"))</f>
        <v>202303</v>
      </c>
      <c r="B8966" s="93">
        <v>45001</v>
      </c>
      <c r="C8966" s="87" t="s">
        <v>3938</v>
      </c>
      <c r="D8966" s="87" t="s">
        <v>38</v>
      </c>
      <c r="E8966" s="87">
        <v>32.99</v>
      </c>
      <c r="F8966" s="2" t="str">
        <f>IF(Table2[[#This Row],[Manual Cat Value]]="",VLOOKUP(Table2[[#This Row],[Description]],'Actuals Lookup'!D:F,3,0),Table2[[#This Row],[Manual Cat Value]])</f>
        <v>Amazon</v>
      </c>
      <c r="G8966" s="87" t="s">
        <v>38</v>
      </c>
      <c r="I8966" s="8"/>
      <c r="O8966" t="str">
        <f>LEFT(Table2[[#This Row],[Description]],75)</f>
        <v>Amazon</v>
      </c>
    </row>
    <row r="8967" spans="1:15" hidden="1">
      <c r="A8967" s="25">
        <f>VALUE(YEAR(Table2[[#This Row],[Date]])&amp;TEXT(MONTH(Table2[[#This Row],[Date]]),"00"))</f>
        <v>202303</v>
      </c>
      <c r="B8967" s="93">
        <v>45001</v>
      </c>
      <c r="C8967" s="87" t="s">
        <v>3938</v>
      </c>
      <c r="D8967" s="87" t="s">
        <v>38</v>
      </c>
      <c r="E8967" s="87">
        <v>44.99</v>
      </c>
      <c r="F8967" s="2" t="str">
        <f>IF(Table2[[#This Row],[Manual Cat Value]]="",VLOOKUP(Table2[[#This Row],[Description]],'Actuals Lookup'!D:F,3,0),Table2[[#This Row],[Manual Cat Value]])</f>
        <v>Amazon</v>
      </c>
      <c r="G8967" s="87" t="s">
        <v>38</v>
      </c>
      <c r="I8967" s="8"/>
      <c r="O8967" t="str">
        <f>LEFT(Table2[[#This Row],[Description]],75)</f>
        <v>Amazon</v>
      </c>
    </row>
    <row r="8968" spans="1:15" hidden="1">
      <c r="A8968" s="25">
        <f>VALUE(YEAR(Table2[[#This Row],[Date]])&amp;TEXT(MONTH(Table2[[#This Row],[Date]]),"00"))</f>
        <v>202303</v>
      </c>
      <c r="B8968" s="93">
        <v>45001</v>
      </c>
      <c r="C8968" s="87" t="s">
        <v>3932</v>
      </c>
      <c r="D8968" s="87" t="s">
        <v>38</v>
      </c>
      <c r="E8968" s="87">
        <v>4.5999999999999996</v>
      </c>
      <c r="F8968" s="2" t="str">
        <f>IF(Table2[[#This Row],[Manual Cat Value]]="",VLOOKUP(Table2[[#This Row],[Description]],'Actuals Lookup'!D:F,3,0),Table2[[#This Row],[Manual Cat Value]])</f>
        <v>Amazon</v>
      </c>
      <c r="G8968" s="87" t="s">
        <v>38</v>
      </c>
      <c r="I8968" s="8"/>
      <c r="O8968" t="str">
        <f>LEFT(Table2[[#This Row],[Description]],75)</f>
        <v>Amazon</v>
      </c>
    </row>
    <row r="8969" spans="1:15" hidden="1">
      <c r="A8969" s="25">
        <f>VALUE(YEAR(Table2[[#This Row],[Date]])&amp;TEXT(MONTH(Table2[[#This Row],[Date]]),"00"))</f>
        <v>202303</v>
      </c>
      <c r="B8969" s="93">
        <v>45001</v>
      </c>
      <c r="C8969" s="87" t="s">
        <v>3932</v>
      </c>
      <c r="D8969" s="87" t="s">
        <v>3994</v>
      </c>
      <c r="E8969" s="87">
        <v>19.32</v>
      </c>
      <c r="F8969" s="2" t="str">
        <f>IF(Table2[[#This Row],[Manual Cat Value]]="",VLOOKUP(Table2[[#This Row],[Description]],'Actuals Lookup'!D:F,3,0),Table2[[#This Row],[Manual Cat Value]])</f>
        <v>Amazon</v>
      </c>
      <c r="G8969" s="87" t="s">
        <v>38</v>
      </c>
      <c r="I8969" s="8"/>
      <c r="O8969" t="str">
        <f>LEFT(Table2[[#This Row],[Description]],75)</f>
        <v>Amazon Digital Services</v>
      </c>
    </row>
    <row r="8970" spans="1:15" hidden="1">
      <c r="A8970" s="25">
        <f>VALUE(YEAR(Table2[[#This Row],[Date]])&amp;TEXT(MONTH(Table2[[#This Row],[Date]]),"00"))</f>
        <v>202303</v>
      </c>
      <c r="B8970" s="93">
        <v>45001</v>
      </c>
      <c r="C8970" s="87" t="s">
        <v>3933</v>
      </c>
      <c r="D8970" s="87" t="s">
        <v>3942</v>
      </c>
      <c r="E8970" s="87">
        <v>-2434.2199999999998</v>
      </c>
      <c r="F8970" s="2" t="str">
        <f>IF(Table2[[#This Row],[Manual Cat Value]]="",VLOOKUP(Table2[[#This Row],[Description]],'Actuals Lookup'!D:F,3,0),Table2[[#This Row],[Manual Cat Value]])</f>
        <v>Delete</v>
      </c>
      <c r="G8970" s="87" t="s">
        <v>12</v>
      </c>
      <c r="I8970" s="8"/>
      <c r="O8970" t="str">
        <f>LEFT(Table2[[#This Row],[Description]],75)</f>
        <v>Cargill Inc</v>
      </c>
    </row>
    <row r="8971" spans="1:15" hidden="1">
      <c r="A8971" s="25">
        <f>VALUE(YEAR(Table2[[#This Row],[Date]])&amp;TEXT(MONTH(Table2[[#This Row],[Date]]),"00"))</f>
        <v>202303</v>
      </c>
      <c r="B8971" s="93">
        <v>45001</v>
      </c>
      <c r="C8971" s="87" t="s">
        <v>3933</v>
      </c>
      <c r="D8971" s="87" t="s">
        <v>3995</v>
      </c>
      <c r="E8971" s="87">
        <v>100</v>
      </c>
      <c r="F8971" s="2" t="str">
        <f>IF(Table2[[#This Row],[Manual Cat Value]]="",VLOOKUP(Table2[[#This Row],[Description]],'Actuals Lookup'!D:F,3,0),Table2[[#This Row],[Manual Cat Value]])</f>
        <v>Delete</v>
      </c>
      <c r="G8971" s="87" t="s">
        <v>62</v>
      </c>
      <c r="I8971" s="8"/>
      <c r="O8971" t="str">
        <f>LEFT(Table2[[#This Row],[Description]],75)</f>
        <v>Coinbase</v>
      </c>
    </row>
    <row r="8972" spans="1:15" hidden="1">
      <c r="A8972" s="25">
        <f>VALUE(YEAR(Table2[[#This Row],[Date]])&amp;TEXT(MONTH(Table2[[#This Row],[Date]]),"00"))</f>
        <v>202303</v>
      </c>
      <c r="B8972" s="93">
        <v>45001</v>
      </c>
      <c r="C8972" s="87" t="s">
        <v>3932</v>
      </c>
      <c r="D8972" s="87" t="s">
        <v>1014</v>
      </c>
      <c r="E8972" s="87">
        <v>25.7</v>
      </c>
      <c r="F8972" s="2" t="str">
        <f>IF(Table2[[#This Row],[Manual Cat Value]]="",VLOOKUP(Table2[[#This Row],[Description]],'Actuals Lookup'!D:F,3,0),Table2[[#This Row],[Manual Cat Value]])</f>
        <v>Restaurants</v>
      </c>
      <c r="G8972" s="87" t="s">
        <v>26</v>
      </c>
      <c r="I8972" s="8"/>
      <c r="O8972" t="str">
        <f>LEFT(Table2[[#This Row],[Description]],75)</f>
        <v>Jimmy John's</v>
      </c>
    </row>
    <row r="8973" spans="1:15" hidden="1">
      <c r="A8973" s="25">
        <f>VALUE(YEAR(Table2[[#This Row],[Date]])&amp;TEXT(MONTH(Table2[[#This Row],[Date]]),"00"))</f>
        <v>202303</v>
      </c>
      <c r="B8973" s="93">
        <v>45001</v>
      </c>
      <c r="C8973" s="87" t="s">
        <v>3938</v>
      </c>
      <c r="D8973" s="87" t="s">
        <v>1849</v>
      </c>
      <c r="E8973" s="87">
        <v>75.33</v>
      </c>
      <c r="F8973" s="2" t="str">
        <f>IF(Table2[[#This Row],[Manual Cat Value]]="",VLOOKUP(Table2[[#This Row],[Description]],'Actuals Lookup'!D:F,3,0),Table2[[#This Row],[Manual Cat Value]])</f>
        <v>House Maintenance</v>
      </c>
      <c r="G8973" s="87" t="s">
        <v>2</v>
      </c>
      <c r="I8973" s="8"/>
      <c r="O8973" t="str">
        <f>LEFT(Table2[[#This Row],[Description]],75)</f>
        <v>The Home Depot</v>
      </c>
    </row>
    <row r="8974" spans="1:15" hidden="1">
      <c r="A8974" s="25">
        <f>VALUE(YEAR(Table2[[#This Row],[Date]])&amp;TEXT(MONTH(Table2[[#This Row],[Date]]),"00"))</f>
        <v>202303</v>
      </c>
      <c r="B8974" s="93">
        <v>45002</v>
      </c>
      <c r="C8974" s="87" t="s">
        <v>3938</v>
      </c>
      <c r="D8974" s="87" t="s">
        <v>38</v>
      </c>
      <c r="E8974" s="87">
        <v>54.08</v>
      </c>
      <c r="F8974" s="2" t="str">
        <f>IF(Table2[[#This Row],[Manual Cat Value]]="",VLOOKUP(Table2[[#This Row],[Description]],'Actuals Lookup'!D:F,3,0),Table2[[#This Row],[Manual Cat Value]])</f>
        <v>Amazon</v>
      </c>
      <c r="G8974" s="87" t="s">
        <v>38</v>
      </c>
      <c r="I8974" s="8"/>
      <c r="O8974" t="str">
        <f>LEFT(Table2[[#This Row],[Description]],75)</f>
        <v>Amazon</v>
      </c>
    </row>
    <row r="8975" spans="1:15" hidden="1">
      <c r="A8975" s="25">
        <f>VALUE(YEAR(Table2[[#This Row],[Date]])&amp;TEXT(MONTH(Table2[[#This Row],[Date]]),"00"))</f>
        <v>202303</v>
      </c>
      <c r="B8975" s="93">
        <v>45002</v>
      </c>
      <c r="C8975" s="87" t="s">
        <v>3938</v>
      </c>
      <c r="D8975" s="87" t="s">
        <v>1159</v>
      </c>
      <c r="E8975" s="87">
        <v>-128</v>
      </c>
      <c r="F8975" s="2" t="str">
        <f>IF(Table2[[#This Row],[Manual Cat Value]]="",VLOOKUP(Table2[[#This Row],[Description]],'Actuals Lookup'!D:F,3,0),Table2[[#This Row],[Manual Cat Value]])</f>
        <v>Shopping</v>
      </c>
      <c r="G8975" s="87" t="s">
        <v>21</v>
      </c>
      <c r="I8975" s="8"/>
      <c r="O8975" t="str">
        <f>LEFT(Table2[[#This Row],[Description]],75)</f>
        <v>Lululemon Athletica</v>
      </c>
    </row>
    <row r="8976" spans="1:15" hidden="1">
      <c r="A8976" s="25">
        <f>VALUE(YEAR(Table2[[#This Row],[Date]])&amp;TEXT(MONTH(Table2[[#This Row],[Date]]),"00"))</f>
        <v>202303</v>
      </c>
      <c r="B8976" s="93">
        <v>45002</v>
      </c>
      <c r="C8976" s="87" t="s">
        <v>3933</v>
      </c>
      <c r="D8976" s="87" t="s">
        <v>2109</v>
      </c>
      <c r="E8976" s="87">
        <v>30</v>
      </c>
      <c r="F8976" s="2" t="str">
        <f>IF(Table2[[#This Row],[Manual Cat Value]]="",VLOOKUP(Table2[[#This Row],[Description]],'Actuals Lookup'!D:F,3,0),Table2[[#This Row],[Manual Cat Value]])</f>
        <v>Shopping</v>
      </c>
      <c r="G8976" s="87" t="s">
        <v>21</v>
      </c>
      <c r="I8976" s="8"/>
      <c r="O8976" t="str">
        <f>LEFT(Table2[[#This Row],[Description]],75)</f>
        <v>Venmo</v>
      </c>
    </row>
    <row r="8977" spans="1:15" hidden="1">
      <c r="A8977" s="25">
        <f>VALUE(YEAR(Table2[[#This Row],[Date]])&amp;TEXT(MONTH(Table2[[#This Row],[Date]]),"00"))</f>
        <v>202303</v>
      </c>
      <c r="B8977" s="93">
        <v>45002</v>
      </c>
      <c r="C8977" s="87" t="s">
        <v>3933</v>
      </c>
      <c r="D8977" s="87" t="s">
        <v>2109</v>
      </c>
      <c r="E8977" s="87">
        <v>125</v>
      </c>
      <c r="F8977" s="2" t="str">
        <f>IF(Table2[[#This Row],[Manual Cat Value]]="",VLOOKUP(Table2[[#This Row],[Description]],'Actuals Lookup'!D:F,3,0),Table2[[#This Row],[Manual Cat Value]])</f>
        <v>Shopping</v>
      </c>
      <c r="G8977" s="87" t="s">
        <v>21</v>
      </c>
      <c r="I8977" s="8"/>
      <c r="O8977" t="str">
        <f>LEFT(Table2[[#This Row],[Description]],75)</f>
        <v>Venmo</v>
      </c>
    </row>
    <row r="8978" spans="1:15" hidden="1">
      <c r="A8978" s="25">
        <f>VALUE(YEAR(Table2[[#This Row],[Date]])&amp;TEXT(MONTH(Table2[[#This Row],[Date]]),"00"))</f>
        <v>202303</v>
      </c>
      <c r="B8978" s="93">
        <v>45004</v>
      </c>
      <c r="C8978" s="87" t="s">
        <v>3938</v>
      </c>
      <c r="D8978" s="87" t="s">
        <v>38</v>
      </c>
      <c r="E8978" s="87">
        <v>37.1</v>
      </c>
      <c r="F8978" s="2" t="str">
        <f>IF(Table2[[#This Row],[Manual Cat Value]]="",VLOOKUP(Table2[[#This Row],[Description]],'Actuals Lookup'!D:F,3,0),Table2[[#This Row],[Manual Cat Value]])</f>
        <v>Amazon</v>
      </c>
      <c r="G8978" s="87" t="s">
        <v>38</v>
      </c>
      <c r="I8978" s="8"/>
      <c r="O8978" t="str">
        <f>LEFT(Table2[[#This Row],[Description]],75)</f>
        <v>Amazon</v>
      </c>
    </row>
    <row r="8979" spans="1:15" hidden="1">
      <c r="A8979" s="25">
        <f>VALUE(YEAR(Table2[[#This Row],[Date]])&amp;TEXT(MONTH(Table2[[#This Row],[Date]]),"00"))</f>
        <v>202303</v>
      </c>
      <c r="B8979" s="93">
        <v>45004</v>
      </c>
      <c r="C8979" s="87" t="s">
        <v>3938</v>
      </c>
      <c r="D8979" s="87" t="s">
        <v>38</v>
      </c>
      <c r="E8979" s="87">
        <v>18.989999999999998</v>
      </c>
      <c r="F8979" s="2" t="str">
        <f>IF(Table2[[#This Row],[Manual Cat Value]]="",VLOOKUP(Table2[[#This Row],[Description]],'Actuals Lookup'!D:F,3,0),Table2[[#This Row],[Manual Cat Value]])</f>
        <v>Amazon</v>
      </c>
      <c r="G8979" s="87" t="s">
        <v>38</v>
      </c>
      <c r="I8979" s="8"/>
      <c r="O8979" t="str">
        <f>LEFT(Table2[[#This Row],[Description]],75)</f>
        <v>Amazon</v>
      </c>
    </row>
    <row r="8980" spans="1:15" hidden="1">
      <c r="A8980" s="25">
        <f>VALUE(YEAR(Table2[[#This Row],[Date]])&amp;TEXT(MONTH(Table2[[#This Row],[Date]]),"00"))</f>
        <v>202303</v>
      </c>
      <c r="B8980" s="93">
        <v>45004</v>
      </c>
      <c r="C8980" s="87" t="s">
        <v>3938</v>
      </c>
      <c r="D8980" s="87" t="s">
        <v>38</v>
      </c>
      <c r="E8980" s="87">
        <v>29.99</v>
      </c>
      <c r="F8980" s="2" t="str">
        <f>IF(Table2[[#This Row],[Manual Cat Value]]="",VLOOKUP(Table2[[#This Row],[Description]],'Actuals Lookup'!D:F,3,0),Table2[[#This Row],[Manual Cat Value]])</f>
        <v>Amazon</v>
      </c>
      <c r="G8980" s="87" t="s">
        <v>38</v>
      </c>
      <c r="I8980" s="8"/>
      <c r="O8980" t="str">
        <f>LEFT(Table2[[#This Row],[Description]],75)</f>
        <v>Amazon</v>
      </c>
    </row>
    <row r="8981" spans="1:15" hidden="1">
      <c r="A8981" s="25">
        <f>VALUE(YEAR(Table2[[#This Row],[Date]])&amp;TEXT(MONTH(Table2[[#This Row],[Date]]),"00"))</f>
        <v>202303</v>
      </c>
      <c r="B8981" s="93">
        <v>45004</v>
      </c>
      <c r="C8981" s="87" t="s">
        <v>3938</v>
      </c>
      <c r="D8981" s="87" t="s">
        <v>113</v>
      </c>
      <c r="E8981" s="87">
        <v>-14.16</v>
      </c>
      <c r="F8981" s="2" t="str">
        <f>IF(Table2[[#This Row],[Manual Cat Value]]="",VLOOKUP(Table2[[#This Row],[Description]],'Actuals Lookup'!D:F,3,0),Table2[[#This Row],[Manual Cat Value]])</f>
        <v>Amazon</v>
      </c>
      <c r="G8981" s="87" t="s">
        <v>38</v>
      </c>
      <c r="I8981" s="8"/>
      <c r="O8981" t="str">
        <f>LEFT(Table2[[#This Row],[Description]],75)</f>
        <v>Amazon Marketplace</v>
      </c>
    </row>
    <row r="8982" spans="1:15" hidden="1">
      <c r="A8982" s="25">
        <f>VALUE(YEAR(Table2[[#This Row],[Date]])&amp;TEXT(MONTH(Table2[[#This Row],[Date]]),"00"))</f>
        <v>202303</v>
      </c>
      <c r="B8982" s="93">
        <v>45004</v>
      </c>
      <c r="C8982" s="87" t="s">
        <v>3938</v>
      </c>
      <c r="D8982" s="87" t="s">
        <v>113</v>
      </c>
      <c r="E8982" s="87">
        <v>-40.99</v>
      </c>
      <c r="F8982" s="2" t="str">
        <f>IF(Table2[[#This Row],[Manual Cat Value]]="",VLOOKUP(Table2[[#This Row],[Description]],'Actuals Lookup'!D:F,3,0),Table2[[#This Row],[Manual Cat Value]])</f>
        <v>Amazon</v>
      </c>
      <c r="G8982" s="87" t="s">
        <v>38</v>
      </c>
      <c r="I8982" s="8"/>
      <c r="O8982" t="str">
        <f>LEFT(Table2[[#This Row],[Description]],75)</f>
        <v>Amazon Marketplace</v>
      </c>
    </row>
    <row r="8983" spans="1:15" hidden="1">
      <c r="A8983" s="25">
        <f>VALUE(YEAR(Table2[[#This Row],[Date]])&amp;TEXT(MONTH(Table2[[#This Row],[Date]]),"00"))</f>
        <v>202303</v>
      </c>
      <c r="B8983" s="93">
        <v>45004</v>
      </c>
      <c r="C8983" s="87" t="s">
        <v>3933</v>
      </c>
      <c r="D8983" s="87" t="s">
        <v>3996</v>
      </c>
      <c r="E8983" s="87">
        <v>-121.87</v>
      </c>
      <c r="F8983" s="2" t="str">
        <f>IF(Table2[[#This Row],[Manual Cat Value]]="",VLOOKUP(Table2[[#This Row],[Description]],'Actuals Lookup'!D:F,3,0),Table2[[#This Row],[Manual Cat Value]])</f>
        <v>Delete</v>
      </c>
      <c r="G8983" s="87" t="s">
        <v>12</v>
      </c>
      <c r="I8983" s="8"/>
      <c r="O8983" t="str">
        <f>LEFT(Table2[[#This Row],[Description]],75)</f>
        <v>Cargill</v>
      </c>
    </row>
    <row r="8984" spans="1:15" hidden="1">
      <c r="A8984" s="25">
        <f>VALUE(YEAR(Table2[[#This Row],[Date]])&amp;TEXT(MONTH(Table2[[#This Row],[Date]]),"00"))</f>
        <v>202303</v>
      </c>
      <c r="B8984" s="93">
        <v>45004</v>
      </c>
      <c r="C8984" s="87" t="s">
        <v>3938</v>
      </c>
      <c r="D8984" s="87" t="s">
        <v>3997</v>
      </c>
      <c r="E8984" s="87">
        <v>588</v>
      </c>
      <c r="F8984" s="2" t="str">
        <f>IF(Table2[[#This Row],[Manual Cat Value]]="",VLOOKUP(Table2[[#This Row],[Description]],'Actuals Lookup'!D:F,3,0),Table2[[#This Row],[Manual Cat Value]])</f>
        <v>Shopping</v>
      </c>
      <c r="G8984" s="87" t="s">
        <v>21</v>
      </c>
      <c r="I8984" s="8"/>
      <c r="O8984" t="str">
        <f>LEFT(Table2[[#This Row],[Description]],75)</f>
        <v>Jaxen Grey - Ridgedale Minnetonka Mn Ref #xxxx9792dejf4xxda</v>
      </c>
    </row>
    <row r="8985" spans="1:15" hidden="1">
      <c r="A8985" s="25">
        <f>VALUE(YEAR(Table2[[#This Row],[Date]])&amp;TEXT(MONTH(Table2[[#This Row],[Date]]),"00"))</f>
        <v>202303</v>
      </c>
      <c r="B8985" s="93">
        <v>45004</v>
      </c>
      <c r="C8985" s="87" t="s">
        <v>3938</v>
      </c>
      <c r="D8985" s="87" t="s">
        <v>3998</v>
      </c>
      <c r="E8985" s="87">
        <v>32.99</v>
      </c>
      <c r="F8985" s="2" t="str">
        <f>IF(Table2[[#This Row],[Manual Cat Value]]="",VLOOKUP(Table2[[#This Row],[Description]],'Actuals Lookup'!D:F,3,0),Table2[[#This Row],[Manual Cat Value]])</f>
        <v>Groceries</v>
      </c>
      <c r="G8985" s="87" t="s">
        <v>28</v>
      </c>
      <c r="I8985" s="8"/>
      <c r="O8985" t="str">
        <f>LEFT(Table2[[#This Row],[Description]],75)</f>
        <v>Mgm Liquor Warehouse</v>
      </c>
    </row>
    <row r="8986" spans="1:15" hidden="1">
      <c r="A8986" s="25">
        <f>VALUE(YEAR(Table2[[#This Row],[Date]])&amp;TEXT(MONTH(Table2[[#This Row],[Date]]),"00"))</f>
        <v>202303</v>
      </c>
      <c r="B8986" s="93">
        <v>45004</v>
      </c>
      <c r="C8986" s="87" t="s">
        <v>3938</v>
      </c>
      <c r="D8986" s="87" t="s">
        <v>3999</v>
      </c>
      <c r="E8986" s="87">
        <v>-58</v>
      </c>
      <c r="F8986" s="2" t="str">
        <f>IF(Table2[[#This Row],[Manual Cat Value]]="",VLOOKUP(Table2[[#This Row],[Description]],'Actuals Lookup'!D:F,3,0),Table2[[#This Row],[Manual Cat Value]])</f>
        <v>Shopping</v>
      </c>
      <c r="G8986" s="87" t="s">
        <v>21</v>
      </c>
      <c r="I8986" s="8"/>
      <c r="O8986" t="str">
        <f>LEFT(Table2[[#This Row],[Description]],75)</f>
        <v>Sp Faherty Faherty.myshony Ref #xxxx2162q000hn5e1</v>
      </c>
    </row>
    <row r="8987" spans="1:15" hidden="1">
      <c r="A8987" s="25">
        <f>VALUE(YEAR(Table2[[#This Row],[Date]])&amp;TEXT(MONTH(Table2[[#This Row],[Date]]),"00"))</f>
        <v>202303</v>
      </c>
      <c r="B8987" s="93">
        <v>45004</v>
      </c>
      <c r="C8987" s="87" t="s">
        <v>3938</v>
      </c>
      <c r="D8987" s="87" t="s">
        <v>1925</v>
      </c>
      <c r="E8987" s="87">
        <v>9.8800000000000008</v>
      </c>
      <c r="F8987" s="2" t="str">
        <f>IF(Table2[[#This Row],[Manual Cat Value]]="",VLOOKUP(Table2[[#This Row],[Description]],'Actuals Lookup'!D:F,3,0),Table2[[#This Row],[Manual Cat Value]])</f>
        <v>Groceries</v>
      </c>
      <c r="G8987" s="87" t="s">
        <v>28</v>
      </c>
      <c r="I8987" s="8"/>
      <c r="O8987" t="str">
        <f>LEFT(Table2[[#This Row],[Description]],75)</f>
        <v>Total Wine &amp; More</v>
      </c>
    </row>
    <row r="8988" spans="1:15" hidden="1">
      <c r="A8988" s="25">
        <f>VALUE(YEAR(Table2[[#This Row],[Date]])&amp;TEXT(MONTH(Table2[[#This Row],[Date]]),"00"))</f>
        <v>202303</v>
      </c>
      <c r="B8988" s="93">
        <v>45005</v>
      </c>
      <c r="C8988" s="87" t="s">
        <v>3938</v>
      </c>
      <c r="D8988" s="87" t="s">
        <v>38</v>
      </c>
      <c r="E8988" s="87">
        <v>34.99</v>
      </c>
      <c r="F8988" s="2" t="str">
        <f>IF(Table2[[#This Row],[Manual Cat Value]]="",VLOOKUP(Table2[[#This Row],[Description]],'Actuals Lookup'!D:F,3,0),Table2[[#This Row],[Manual Cat Value]])</f>
        <v>Amazon</v>
      </c>
      <c r="G8988" s="87" t="s">
        <v>38</v>
      </c>
      <c r="I8988" s="8"/>
      <c r="O8988" t="str">
        <f>LEFT(Table2[[#This Row],[Description]],75)</f>
        <v>Amazon</v>
      </c>
    </row>
    <row r="8989" spans="1:15" hidden="1">
      <c r="A8989" s="25">
        <f>VALUE(YEAR(Table2[[#This Row],[Date]])&amp;TEXT(MONTH(Table2[[#This Row],[Date]]),"00"))</f>
        <v>202303</v>
      </c>
      <c r="B8989" s="93">
        <v>45005</v>
      </c>
      <c r="C8989" s="87" t="s">
        <v>3938</v>
      </c>
      <c r="D8989" s="87" t="s">
        <v>38</v>
      </c>
      <c r="E8989" s="87">
        <v>19.989999999999998</v>
      </c>
      <c r="F8989" s="2" t="str">
        <f>IF(Table2[[#This Row],[Manual Cat Value]]="",VLOOKUP(Table2[[#This Row],[Description]],'Actuals Lookup'!D:F,3,0),Table2[[#This Row],[Manual Cat Value]])</f>
        <v>Amazon</v>
      </c>
      <c r="G8989" s="87" t="s">
        <v>38</v>
      </c>
      <c r="I8989" s="8"/>
      <c r="O8989" t="str">
        <f>LEFT(Table2[[#This Row],[Description]],75)</f>
        <v>Amazon</v>
      </c>
    </row>
    <row r="8990" spans="1:15" hidden="1">
      <c r="A8990" s="25">
        <f>VALUE(YEAR(Table2[[#This Row],[Date]])&amp;TEXT(MONTH(Table2[[#This Row],[Date]]),"00"))</f>
        <v>202303</v>
      </c>
      <c r="B8990" s="93">
        <v>45005</v>
      </c>
      <c r="C8990" s="87" t="s">
        <v>3938</v>
      </c>
      <c r="D8990" s="87" t="s">
        <v>4000</v>
      </c>
      <c r="E8990" s="87">
        <v>33.049999999999997</v>
      </c>
      <c r="F8990" s="2" t="str">
        <f>IF(Table2[[#This Row],[Manual Cat Value]]="",VLOOKUP(Table2[[#This Row],[Description]],'Actuals Lookup'!D:F,3,0),Table2[[#This Row],[Manual Cat Value]])</f>
        <v>Restaurants</v>
      </c>
      <c r="G8990" s="87" t="s">
        <v>26</v>
      </c>
      <c r="I8990" s="8"/>
      <c r="O8990" t="str">
        <f>LEFT(Table2[[#This Row],[Description]],75)</f>
        <v>Buddy Boy Bbq Minnetrista Mn Ref #xxxx9992es66df1zp</v>
      </c>
    </row>
    <row r="8991" spans="1:15" hidden="1">
      <c r="A8991" s="25">
        <f>VALUE(YEAR(Table2[[#This Row],[Date]])&amp;TEXT(MONTH(Table2[[#This Row],[Date]]),"00"))</f>
        <v>202303</v>
      </c>
      <c r="B8991" s="93">
        <v>45005</v>
      </c>
      <c r="C8991" s="87" t="s">
        <v>3933</v>
      </c>
      <c r="D8991" s="87" t="s">
        <v>2109</v>
      </c>
      <c r="E8991" s="87">
        <v>38</v>
      </c>
      <c r="F8991" s="2" t="str">
        <f>IF(Table2[[#This Row],[Manual Cat Value]]="",VLOOKUP(Table2[[#This Row],[Description]],'Actuals Lookup'!D:F,3,0),Table2[[#This Row],[Manual Cat Value]])</f>
        <v>Shopping</v>
      </c>
      <c r="G8991" s="87" t="s">
        <v>21</v>
      </c>
      <c r="I8991" s="8"/>
      <c r="O8991" t="str">
        <f>LEFT(Table2[[#This Row],[Description]],75)</f>
        <v>Venmo</v>
      </c>
    </row>
    <row r="8992" spans="1:15" hidden="1">
      <c r="A8992" s="25">
        <f>VALUE(YEAR(Table2[[#This Row],[Date]])&amp;TEXT(MONTH(Table2[[#This Row],[Date]]),"00"))</f>
        <v>202303</v>
      </c>
      <c r="B8992" s="93">
        <v>45005</v>
      </c>
      <c r="C8992" s="87" t="s">
        <v>3933</v>
      </c>
      <c r="D8992" s="87" t="s">
        <v>4001</v>
      </c>
      <c r="E8992" s="87">
        <v>500</v>
      </c>
      <c r="F8992" s="2" t="str">
        <f>IF(Table2[[#This Row],[Manual Cat Value]]="",VLOOKUP(Table2[[#This Row],[Description]],'Actuals Lookup'!D:F,3,0),Table2[[#This Row],[Manual Cat Value]])</f>
        <v>Savings</v>
      </c>
      <c r="G8992" s="87" t="s">
        <v>59</v>
      </c>
      <c r="I8992" s="8"/>
      <c r="O8992" t="str">
        <f>LEFT(Table2[[#This Row],[Description]],75)</f>
        <v>Withdrawal Ach Mn Dir Ach Type: Contrib Id: Xxxxxx7162 Co: Mn Dir Ach Name:</v>
      </c>
    </row>
    <row r="8993" spans="1:15" hidden="1">
      <c r="A8993" s="25">
        <f>VALUE(YEAR(Table2[[#This Row],[Date]])&amp;TEXT(MONTH(Table2[[#This Row],[Date]]),"00"))</f>
        <v>202303</v>
      </c>
      <c r="B8993" s="93">
        <v>45006</v>
      </c>
      <c r="C8993" s="87" t="s">
        <v>3938</v>
      </c>
      <c r="D8993" s="87" t="s">
        <v>1350</v>
      </c>
      <c r="E8993" s="87">
        <v>16.73</v>
      </c>
      <c r="F8993" s="2" t="str">
        <f>IF(Table2[[#This Row],[Manual Cat Value]]="",VLOOKUP(Table2[[#This Row],[Description]],'Actuals Lookup'!D:F,3,0),Table2[[#This Row],[Manual Cat Value]])</f>
        <v>Utilities</v>
      </c>
      <c r="G8993" s="87" t="s">
        <v>7</v>
      </c>
      <c r="I8993" s="8"/>
      <c r="O8993" t="str">
        <f>LEFT(Table2[[#This Row],[Description]],75)</f>
        <v>Netflix</v>
      </c>
    </row>
    <row r="8994" spans="1:15" hidden="1">
      <c r="A8994" s="25">
        <f>VALUE(YEAR(Table2[[#This Row],[Date]])&amp;TEXT(MONTH(Table2[[#This Row],[Date]]),"00"))</f>
        <v>202303</v>
      </c>
      <c r="B8994" s="93">
        <v>45006</v>
      </c>
      <c r="C8994" s="87" t="s">
        <v>3938</v>
      </c>
      <c r="D8994" s="87" t="s">
        <v>4002</v>
      </c>
      <c r="E8994" s="87">
        <v>8</v>
      </c>
      <c r="F8994" s="2" t="str">
        <f>IF(Table2[[#This Row],[Manual Cat Value]]="",VLOOKUP(Table2[[#This Row],[Description]],'Actuals Lookup'!D:F,3,0),Table2[[#This Row],[Manual Cat Value]])</f>
        <v>Utilities</v>
      </c>
      <c r="G8994" s="87" t="s">
        <v>7</v>
      </c>
      <c r="I8994" s="8"/>
      <c r="O8994" t="str">
        <f>LEFT(Table2[[#This Row],[Description]],75)</f>
        <v>Wall Street Journal</v>
      </c>
    </row>
    <row r="8995" spans="1:15" hidden="1">
      <c r="A8995" s="25">
        <f>VALUE(YEAR(Table2[[#This Row],[Date]])&amp;TEXT(MONTH(Table2[[#This Row],[Date]]),"00"))</f>
        <v>202303</v>
      </c>
      <c r="B8995" s="93">
        <v>45006</v>
      </c>
      <c r="C8995" s="87" t="s">
        <v>3933</v>
      </c>
      <c r="D8995" s="87" t="s">
        <v>4003</v>
      </c>
      <c r="E8995" s="87">
        <v>80.58</v>
      </c>
      <c r="F8995" s="2" t="str">
        <f>IF(Table2[[#This Row],[Manual Cat Value]]="",VLOOKUP(Table2[[#This Row],[Description]],'Actuals Lookup'!D:F,3,0),Table2[[#This Row],[Manual Cat Value]])</f>
        <v>Utilities</v>
      </c>
      <c r="G8995" s="87" t="s">
        <v>7</v>
      </c>
      <c r="I8995" s="8"/>
      <c r="O8995" t="str">
        <f>LEFT(Table2[[#This Row],[Description]],75)</f>
        <v xml:space="preserve">Withdrawal Ach City Of Chanhass Type: Util Bill Id: Xxxxxx5331 Co: City Of </v>
      </c>
    </row>
    <row r="8996" spans="1:15" hidden="1">
      <c r="A8996" s="25">
        <f>VALUE(YEAR(Table2[[#This Row],[Date]])&amp;TEXT(MONTH(Table2[[#This Row],[Date]]),"00"))</f>
        <v>202303</v>
      </c>
      <c r="B8996" s="93">
        <v>45006</v>
      </c>
      <c r="C8996" s="87" t="s">
        <v>3933</v>
      </c>
      <c r="D8996" s="87" t="s">
        <v>4004</v>
      </c>
      <c r="E8996" s="87">
        <v>330</v>
      </c>
      <c r="F8996" s="2" t="str">
        <f>IF(Table2[[#This Row],[Manual Cat Value]]="",VLOOKUP(Table2[[#This Row],[Description]],'Actuals Lookup'!D:F,3,0),Table2[[#This Row],[Manual Cat Value]])</f>
        <v>Day Care</v>
      </c>
      <c r="G8996" s="87" t="s">
        <v>20</v>
      </c>
      <c r="I8996" s="8"/>
      <c r="O8996" t="str">
        <f>LEFT(Table2[[#This Row],[Description]],75)</f>
        <v xml:space="preserve">Withdrawal Ach Mhchildcarellc Type: Dues Id: Xxxxxx8198 Co: Mhchildcarellc </v>
      </c>
    </row>
    <row r="8997" spans="1:15" hidden="1">
      <c r="A8997" s="25">
        <f>VALUE(YEAR(Table2[[#This Row],[Date]])&amp;TEXT(MONTH(Table2[[#This Row],[Date]]),"00"))</f>
        <v>202303</v>
      </c>
      <c r="B8997" s="93">
        <v>45007</v>
      </c>
      <c r="C8997" s="87" t="s">
        <v>3938</v>
      </c>
      <c r="D8997" s="87" t="s">
        <v>38</v>
      </c>
      <c r="E8997" s="87">
        <v>51.06</v>
      </c>
      <c r="F8997" s="2" t="str">
        <f>IF(Table2[[#This Row],[Manual Cat Value]]="",VLOOKUP(Table2[[#This Row],[Description]],'Actuals Lookup'!D:F,3,0),Table2[[#This Row],[Manual Cat Value]])</f>
        <v>Amazon</v>
      </c>
      <c r="G8997" s="87" t="s">
        <v>38</v>
      </c>
      <c r="I8997" s="8"/>
      <c r="O8997" t="str">
        <f>LEFT(Table2[[#This Row],[Description]],75)</f>
        <v>Amazon</v>
      </c>
    </row>
    <row r="8998" spans="1:15" hidden="1">
      <c r="A8998" s="25">
        <f>VALUE(YEAR(Table2[[#This Row],[Date]])&amp;TEXT(MONTH(Table2[[#This Row],[Date]]),"00"))</f>
        <v>202303</v>
      </c>
      <c r="B8998" s="93">
        <v>45007</v>
      </c>
      <c r="C8998" s="87" t="s">
        <v>3938</v>
      </c>
      <c r="D8998" s="87" t="s">
        <v>4005</v>
      </c>
      <c r="E8998" s="87">
        <v>22</v>
      </c>
      <c r="F8998" s="2" t="str">
        <f>IF(Table2[[#This Row],[Manual Cat Value]]="",VLOOKUP(Table2[[#This Row],[Description]],'Actuals Lookup'!D:F,3,0),Table2[[#This Row],[Manual Cat Value]])</f>
        <v>House Maintenance</v>
      </c>
      <c r="G8998" s="87" t="s">
        <v>2</v>
      </c>
      <c r="I8998" s="8"/>
      <c r="O8998" t="str">
        <f>LEFT(Table2[[#This Row],[Description]],75)</f>
        <v>Bonfes Plumbing Heating Axxx-xxx6633 Mn Ref #xxxx5392gs66j2x1v</v>
      </c>
    </row>
    <row r="8999" spans="1:15" hidden="1">
      <c r="A8999" s="25">
        <f>VALUE(YEAR(Table2[[#This Row],[Date]])&amp;TEXT(MONTH(Table2[[#This Row],[Date]]),"00"))</f>
        <v>202303</v>
      </c>
      <c r="B8999" s="93">
        <v>45007</v>
      </c>
      <c r="C8999" s="87" t="s">
        <v>4006</v>
      </c>
      <c r="D8999" s="87" t="s">
        <v>703</v>
      </c>
      <c r="E8999" s="87">
        <v>734.6</v>
      </c>
      <c r="F8999" s="2" t="str">
        <f>IF(Table2[[#This Row],[Manual Cat Value]]="",VLOOKUP(Table2[[#This Row],[Description]],'Actuals Lookup'!D:F,3,0),Table2[[#This Row],[Manual Cat Value]])</f>
        <v>Delete</v>
      </c>
      <c r="G8999" s="87" t="s">
        <v>43</v>
      </c>
      <c r="I8999" s="8"/>
      <c r="O8999" t="str">
        <f>LEFT(Table2[[#This Row],[Description]],75)</f>
        <v>Delta Air Lines</v>
      </c>
    </row>
    <row r="9000" spans="1:15" hidden="1">
      <c r="A9000" s="25">
        <f>VALUE(YEAR(Table2[[#This Row],[Date]])&amp;TEXT(MONTH(Table2[[#This Row],[Date]]),"00"))</f>
        <v>202303</v>
      </c>
      <c r="B9000" s="93">
        <v>45007</v>
      </c>
      <c r="C9000" s="87" t="s">
        <v>4006</v>
      </c>
      <c r="D9000" s="87" t="s">
        <v>703</v>
      </c>
      <c r="E9000" s="87">
        <v>734.6</v>
      </c>
      <c r="F9000" s="2" t="str">
        <f>IF(Table2[[#This Row],[Manual Cat Value]]="",VLOOKUP(Table2[[#This Row],[Description]],'Actuals Lookup'!D:F,3,0),Table2[[#This Row],[Manual Cat Value]])</f>
        <v>Delete</v>
      </c>
      <c r="G9000" s="87" t="s">
        <v>43</v>
      </c>
      <c r="I9000" s="8"/>
      <c r="O9000" t="str">
        <f>LEFT(Table2[[#This Row],[Description]],75)</f>
        <v>Delta Air Lines</v>
      </c>
    </row>
    <row r="9001" spans="1:15" hidden="1">
      <c r="A9001" s="25">
        <f>VALUE(YEAR(Table2[[#This Row],[Date]])&amp;TEXT(MONTH(Table2[[#This Row],[Date]]),"00"))</f>
        <v>202303</v>
      </c>
      <c r="B9001" s="93">
        <v>45007</v>
      </c>
      <c r="C9001" s="87" t="s">
        <v>4006</v>
      </c>
      <c r="D9001" s="87" t="s">
        <v>703</v>
      </c>
      <c r="E9001" s="87">
        <v>734.6</v>
      </c>
      <c r="F9001" s="2" t="str">
        <f>IF(Table2[[#This Row],[Manual Cat Value]]="",VLOOKUP(Table2[[#This Row],[Description]],'Actuals Lookup'!D:F,3,0),Table2[[#This Row],[Manual Cat Value]])</f>
        <v>Delete</v>
      </c>
      <c r="G9001" s="87" t="s">
        <v>43</v>
      </c>
      <c r="I9001" s="8"/>
      <c r="O9001" t="str">
        <f>LEFT(Table2[[#This Row],[Description]],75)</f>
        <v>Delta Air Lines</v>
      </c>
    </row>
    <row r="9002" spans="1:15" hidden="1">
      <c r="A9002" s="25">
        <f>VALUE(YEAR(Table2[[#This Row],[Date]])&amp;TEXT(MONTH(Table2[[#This Row],[Date]]),"00"))</f>
        <v>202303</v>
      </c>
      <c r="B9002" s="93">
        <v>45007</v>
      </c>
      <c r="C9002" s="87" t="s">
        <v>4006</v>
      </c>
      <c r="D9002" s="87" t="s">
        <v>703</v>
      </c>
      <c r="E9002" s="87">
        <v>734.6</v>
      </c>
      <c r="F9002" s="2" t="str">
        <f>IF(Table2[[#This Row],[Manual Cat Value]]="",VLOOKUP(Table2[[#This Row],[Description]],'Actuals Lookup'!D:F,3,0),Table2[[#This Row],[Manual Cat Value]])</f>
        <v>Delete</v>
      </c>
      <c r="G9002" s="87" t="s">
        <v>43</v>
      </c>
      <c r="I9002" s="8"/>
      <c r="O9002" t="str">
        <f>LEFT(Table2[[#This Row],[Description]],75)</f>
        <v>Delta Air Lines</v>
      </c>
    </row>
    <row r="9003" spans="1:15" hidden="1">
      <c r="A9003" s="25">
        <f>VALUE(YEAR(Table2[[#This Row],[Date]])&amp;TEXT(MONTH(Table2[[#This Row],[Date]]),"00"))</f>
        <v>202303</v>
      </c>
      <c r="B9003" s="93">
        <v>45007</v>
      </c>
      <c r="C9003" s="87" t="s">
        <v>3938</v>
      </c>
      <c r="D9003" s="87" t="s">
        <v>4007</v>
      </c>
      <c r="E9003" s="87">
        <v>98</v>
      </c>
      <c r="F9003" s="2" t="str">
        <f>IF(Table2[[#This Row],[Manual Cat Value]]="",VLOOKUP(Table2[[#This Row],[Description]],'Actuals Lookup'!D:F,3,0),Table2[[#This Row],[Manual Cat Value]])</f>
        <v>Shopping</v>
      </c>
      <c r="G9003" s="87" t="s">
        <v>21</v>
      </c>
      <c r="I9003" s="8"/>
      <c r="O9003" t="str">
        <f>LEFT(Table2[[#This Row],[Description]],75)</f>
        <v>Sp Normal Brand Llc Thenormalbranmo Ref #xxxx2162g000r27gj</v>
      </c>
    </row>
    <row r="9004" spans="1:15" hidden="1">
      <c r="A9004" s="25">
        <f>VALUE(YEAR(Table2[[#This Row],[Date]])&amp;TEXT(MONTH(Table2[[#This Row],[Date]]),"00"))</f>
        <v>202303</v>
      </c>
      <c r="B9004" s="93">
        <v>45008</v>
      </c>
      <c r="C9004" s="87" t="s">
        <v>3938</v>
      </c>
      <c r="D9004" s="87" t="s">
        <v>38</v>
      </c>
      <c r="E9004" s="87">
        <v>16.989999999999998</v>
      </c>
      <c r="F9004" s="2" t="str">
        <f>IF(Table2[[#This Row],[Manual Cat Value]]="",VLOOKUP(Table2[[#This Row],[Description]],'Actuals Lookup'!D:F,3,0),Table2[[#This Row],[Manual Cat Value]])</f>
        <v>Amazon</v>
      </c>
      <c r="G9004" s="87" t="s">
        <v>38</v>
      </c>
      <c r="I9004" s="8"/>
      <c r="O9004" t="str">
        <f>LEFT(Table2[[#This Row],[Description]],75)</f>
        <v>Amazon</v>
      </c>
    </row>
    <row r="9005" spans="1:15" hidden="1">
      <c r="A9005" s="25">
        <f>VALUE(YEAR(Table2[[#This Row],[Date]])&amp;TEXT(MONTH(Table2[[#This Row],[Date]]),"00"))</f>
        <v>202303</v>
      </c>
      <c r="B9005" s="93">
        <v>45008</v>
      </c>
      <c r="C9005" s="87" t="s">
        <v>3938</v>
      </c>
      <c r="D9005" s="87" t="s">
        <v>38</v>
      </c>
      <c r="E9005" s="87">
        <v>9.65</v>
      </c>
      <c r="F9005" s="2" t="str">
        <f>IF(Table2[[#This Row],[Manual Cat Value]]="",VLOOKUP(Table2[[#This Row],[Description]],'Actuals Lookup'!D:F,3,0),Table2[[#This Row],[Manual Cat Value]])</f>
        <v>Amazon</v>
      </c>
      <c r="G9005" s="87" t="s">
        <v>38</v>
      </c>
      <c r="I9005" s="8"/>
      <c r="O9005" t="str">
        <f>LEFT(Table2[[#This Row],[Description]],75)</f>
        <v>Amazon</v>
      </c>
    </row>
    <row r="9006" spans="1:15" hidden="1">
      <c r="A9006" s="25">
        <f>VALUE(YEAR(Table2[[#This Row],[Date]])&amp;TEXT(MONTH(Table2[[#This Row],[Date]]),"00"))</f>
        <v>202303</v>
      </c>
      <c r="B9006" s="93">
        <v>45008</v>
      </c>
      <c r="C9006" s="87" t="s">
        <v>3933</v>
      </c>
      <c r="D9006" s="87" t="s">
        <v>254</v>
      </c>
      <c r="E9006" s="87">
        <v>-1014.84</v>
      </c>
      <c r="F9006" s="2" t="str">
        <f>IF(Table2[[#This Row],[Manual Cat Value]]="",VLOOKUP(Table2[[#This Row],[Description]],'Actuals Lookup'!D:F,3,0),Table2[[#This Row],[Manual Cat Value]])</f>
        <v>Rent</v>
      </c>
      <c r="G9006" s="87" t="s">
        <v>55</v>
      </c>
      <c r="I9006" s="8"/>
      <c r="O9006" t="str">
        <f>LEFT(Table2[[#This Row],[Description]],75)</f>
        <v>Baxter Credit Union</v>
      </c>
    </row>
    <row r="9007" spans="1:15" hidden="1">
      <c r="A9007" s="25">
        <f>VALUE(YEAR(Table2[[#This Row],[Date]])&amp;TEXT(MONTH(Table2[[#This Row],[Date]]),"00"))</f>
        <v>202303</v>
      </c>
      <c r="B9007" s="93">
        <v>45009</v>
      </c>
      <c r="C9007" s="87" t="s">
        <v>3938</v>
      </c>
      <c r="D9007" s="87" t="s">
        <v>38</v>
      </c>
      <c r="E9007" s="87">
        <v>17.989999999999998</v>
      </c>
      <c r="F9007" s="2" t="str">
        <f>IF(Table2[[#This Row],[Manual Cat Value]]="",VLOOKUP(Table2[[#This Row],[Description]],'Actuals Lookup'!D:F,3,0),Table2[[#This Row],[Manual Cat Value]])</f>
        <v>Amazon</v>
      </c>
      <c r="G9007" s="87" t="s">
        <v>38</v>
      </c>
      <c r="I9007" s="8"/>
      <c r="O9007" t="str">
        <f>LEFT(Table2[[#This Row],[Description]],75)</f>
        <v>Amazon</v>
      </c>
    </row>
    <row r="9008" spans="1:15" hidden="1">
      <c r="A9008" s="25">
        <f>VALUE(YEAR(Table2[[#This Row],[Date]])&amp;TEXT(MONTH(Table2[[#This Row],[Date]]),"00"))</f>
        <v>202303</v>
      </c>
      <c r="B9008" s="93">
        <v>45009</v>
      </c>
      <c r="C9008" s="87" t="s">
        <v>3938</v>
      </c>
      <c r="D9008" s="87" t="s">
        <v>113</v>
      </c>
      <c r="E9008" s="87">
        <v>-17.09</v>
      </c>
      <c r="F9008" s="2" t="str">
        <f>IF(Table2[[#This Row],[Manual Cat Value]]="",VLOOKUP(Table2[[#This Row],[Description]],'Actuals Lookup'!D:F,3,0),Table2[[#This Row],[Manual Cat Value]])</f>
        <v>Amazon</v>
      </c>
      <c r="G9008" s="87" t="s">
        <v>38</v>
      </c>
      <c r="I9008" s="8"/>
      <c r="O9008" t="str">
        <f>LEFT(Table2[[#This Row],[Description]],75)</f>
        <v>Amazon Marketplace</v>
      </c>
    </row>
    <row r="9009" spans="1:15" hidden="1">
      <c r="A9009" s="25">
        <f>VALUE(YEAR(Table2[[#This Row],[Date]])&amp;TEXT(MONTH(Table2[[#This Row],[Date]]),"00"))</f>
        <v>202303</v>
      </c>
      <c r="B9009" s="93">
        <v>45009</v>
      </c>
      <c r="C9009" s="87" t="s">
        <v>3938</v>
      </c>
      <c r="D9009" s="87" t="s">
        <v>113</v>
      </c>
      <c r="E9009" s="87">
        <v>-44.99</v>
      </c>
      <c r="F9009" s="2" t="str">
        <f>IF(Table2[[#This Row],[Manual Cat Value]]="",VLOOKUP(Table2[[#This Row],[Description]],'Actuals Lookup'!D:F,3,0),Table2[[#This Row],[Manual Cat Value]])</f>
        <v>Amazon</v>
      </c>
      <c r="G9009" s="87" t="s">
        <v>38</v>
      </c>
      <c r="I9009" s="8"/>
      <c r="O9009" t="str">
        <f>LEFT(Table2[[#This Row],[Description]],75)</f>
        <v>Amazon Marketplace</v>
      </c>
    </row>
    <row r="9010" spans="1:15" hidden="1">
      <c r="A9010" s="25">
        <f>VALUE(YEAR(Table2[[#This Row],[Date]])&amp;TEXT(MONTH(Table2[[#This Row],[Date]]),"00"))</f>
        <v>202303</v>
      </c>
      <c r="B9010" s="93">
        <v>45009</v>
      </c>
      <c r="C9010" s="87" t="s">
        <v>3938</v>
      </c>
      <c r="D9010" s="87" t="s">
        <v>113</v>
      </c>
      <c r="E9010" s="87">
        <v>-18.989999999999998</v>
      </c>
      <c r="F9010" s="2" t="str">
        <f>IF(Table2[[#This Row],[Manual Cat Value]]="",VLOOKUP(Table2[[#This Row],[Description]],'Actuals Lookup'!D:F,3,0),Table2[[#This Row],[Manual Cat Value]])</f>
        <v>Amazon</v>
      </c>
      <c r="G9010" s="87" t="s">
        <v>38</v>
      </c>
      <c r="I9010" s="8"/>
      <c r="O9010" t="str">
        <f>LEFT(Table2[[#This Row],[Description]],75)</f>
        <v>Amazon Marketplace</v>
      </c>
    </row>
    <row r="9011" spans="1:15" hidden="1">
      <c r="A9011" s="25">
        <f>VALUE(YEAR(Table2[[#This Row],[Date]])&amp;TEXT(MONTH(Table2[[#This Row],[Date]]),"00"))</f>
        <v>202303</v>
      </c>
      <c r="B9011" s="93">
        <v>45009</v>
      </c>
      <c r="C9011" s="87" t="s">
        <v>3938</v>
      </c>
      <c r="D9011" s="87" t="s">
        <v>113</v>
      </c>
      <c r="E9011" s="87">
        <v>-23.98</v>
      </c>
      <c r="F9011" s="2" t="str">
        <f>IF(Table2[[#This Row],[Manual Cat Value]]="",VLOOKUP(Table2[[#This Row],[Description]],'Actuals Lookup'!D:F,3,0),Table2[[#This Row],[Manual Cat Value]])</f>
        <v>Amazon</v>
      </c>
      <c r="G9011" s="87" t="s">
        <v>38</v>
      </c>
      <c r="I9011" s="8"/>
      <c r="O9011" t="str">
        <f>LEFT(Table2[[#This Row],[Description]],75)</f>
        <v>Amazon Marketplace</v>
      </c>
    </row>
    <row r="9012" spans="1:15" hidden="1">
      <c r="A9012" s="25">
        <f>VALUE(YEAR(Table2[[#This Row],[Date]])&amp;TEXT(MONTH(Table2[[#This Row],[Date]]),"00"))</f>
        <v>202303</v>
      </c>
      <c r="B9012" s="93">
        <v>45009</v>
      </c>
      <c r="C9012" s="87" t="s">
        <v>3938</v>
      </c>
      <c r="D9012" s="87" t="s">
        <v>113</v>
      </c>
      <c r="E9012" s="87">
        <v>-36.99</v>
      </c>
      <c r="F9012" s="2" t="str">
        <f>IF(Table2[[#This Row],[Manual Cat Value]]="",VLOOKUP(Table2[[#This Row],[Description]],'Actuals Lookup'!D:F,3,0),Table2[[#This Row],[Manual Cat Value]])</f>
        <v>Amazon</v>
      </c>
      <c r="G9012" s="87" t="s">
        <v>38</v>
      </c>
      <c r="I9012" s="8"/>
      <c r="O9012" t="str">
        <f>LEFT(Table2[[#This Row],[Description]],75)</f>
        <v>Amazon Marketplace</v>
      </c>
    </row>
    <row r="9013" spans="1:15" hidden="1">
      <c r="A9013" s="25">
        <f>VALUE(YEAR(Table2[[#This Row],[Date]])&amp;TEXT(MONTH(Table2[[#This Row],[Date]]),"00"))</f>
        <v>202303</v>
      </c>
      <c r="B9013" s="93">
        <v>45009</v>
      </c>
      <c r="C9013" s="87" t="s">
        <v>3938</v>
      </c>
      <c r="D9013" s="87" t="s">
        <v>113</v>
      </c>
      <c r="E9013" s="87">
        <v>-34.99</v>
      </c>
      <c r="F9013" s="2" t="str">
        <f>IF(Table2[[#This Row],[Manual Cat Value]]="",VLOOKUP(Table2[[#This Row],[Description]],'Actuals Lookup'!D:F,3,0),Table2[[#This Row],[Manual Cat Value]])</f>
        <v>Amazon</v>
      </c>
      <c r="G9013" s="87" t="s">
        <v>38</v>
      </c>
      <c r="I9013" s="8"/>
      <c r="O9013" t="str">
        <f>LEFT(Table2[[#This Row],[Description]],75)</f>
        <v>Amazon Marketplace</v>
      </c>
    </row>
    <row r="9014" spans="1:15" hidden="1">
      <c r="A9014" s="25">
        <f>VALUE(YEAR(Table2[[#This Row],[Date]])&amp;TEXT(MONTH(Table2[[#This Row],[Date]]),"00"))</f>
        <v>202303</v>
      </c>
      <c r="B9014" s="93">
        <v>45009</v>
      </c>
      <c r="C9014" s="87" t="s">
        <v>3938</v>
      </c>
      <c r="D9014" s="87" t="s">
        <v>113</v>
      </c>
      <c r="E9014" s="87">
        <v>-29.99</v>
      </c>
      <c r="F9014" s="2" t="str">
        <f>IF(Table2[[#This Row],[Manual Cat Value]]="",VLOOKUP(Table2[[#This Row],[Description]],'Actuals Lookup'!D:F,3,0),Table2[[#This Row],[Manual Cat Value]])</f>
        <v>Amazon</v>
      </c>
      <c r="G9014" s="87" t="s">
        <v>38</v>
      </c>
      <c r="I9014" s="8"/>
      <c r="O9014" t="str">
        <f>LEFT(Table2[[#This Row],[Description]],75)</f>
        <v>Amazon Marketplace</v>
      </c>
    </row>
    <row r="9015" spans="1:15" hidden="1">
      <c r="A9015" s="25">
        <f>VALUE(YEAR(Table2[[#This Row],[Date]])&amp;TEXT(MONTH(Table2[[#This Row],[Date]]),"00"))</f>
        <v>202303</v>
      </c>
      <c r="B9015" s="93">
        <v>45009</v>
      </c>
      <c r="C9015" s="87" t="s">
        <v>3938</v>
      </c>
      <c r="D9015" s="87" t="s">
        <v>113</v>
      </c>
      <c r="E9015" s="87">
        <v>-19.989999999999998</v>
      </c>
      <c r="F9015" s="2" t="str">
        <f>IF(Table2[[#This Row],[Manual Cat Value]]="",VLOOKUP(Table2[[#This Row],[Description]],'Actuals Lookup'!D:F,3,0),Table2[[#This Row],[Manual Cat Value]])</f>
        <v>Amazon</v>
      </c>
      <c r="G9015" s="87" t="s">
        <v>38</v>
      </c>
      <c r="I9015" s="8"/>
      <c r="O9015" t="str">
        <f>LEFT(Table2[[#This Row],[Description]],75)</f>
        <v>Amazon Marketplace</v>
      </c>
    </row>
    <row r="9016" spans="1:15" hidden="1">
      <c r="A9016" s="25">
        <f>VALUE(YEAR(Table2[[#This Row],[Date]])&amp;TEXT(MONTH(Table2[[#This Row],[Date]]),"00"))</f>
        <v>202303</v>
      </c>
      <c r="B9016" s="93">
        <v>45009</v>
      </c>
      <c r="C9016" s="87" t="s">
        <v>4006</v>
      </c>
      <c r="D9016" s="87" t="s">
        <v>4008</v>
      </c>
      <c r="E9016" s="87">
        <v>13.29</v>
      </c>
      <c r="F9016" s="2" t="str">
        <f>IF(Table2[[#This Row],[Manual Cat Value]]="",VLOOKUP(Table2[[#This Row],[Description]],'Actuals Lookup'!D:F,3,0),Table2[[#This Row],[Manual Cat Value]])</f>
        <v>Groceries</v>
      </c>
      <c r="G9016" s="87" t="s">
        <v>28</v>
      </c>
      <c r="I9016" s="8"/>
      <c r="O9016" t="str">
        <f>LEFT(Table2[[#This Row],[Description]],75)</f>
        <v>Asian Mart</v>
      </c>
    </row>
    <row r="9017" spans="1:15" hidden="1">
      <c r="A9017" s="25">
        <f>VALUE(YEAR(Table2[[#This Row],[Date]])&amp;TEXT(MONTH(Table2[[#This Row],[Date]]),"00"))</f>
        <v>202303</v>
      </c>
      <c r="B9017" s="93">
        <v>45009</v>
      </c>
      <c r="C9017" s="87" t="s">
        <v>3933</v>
      </c>
      <c r="D9017" s="87" t="s">
        <v>3991</v>
      </c>
      <c r="E9017" s="87">
        <v>500</v>
      </c>
      <c r="F9017" s="2" t="str">
        <f>IF(Table2[[#This Row],[Manual Cat Value]]="",VLOOKUP(Table2[[#This Row],[Description]],'Actuals Lookup'!D:F,3,0),Table2[[#This Row],[Manual Cat Value]])</f>
        <v>Delete</v>
      </c>
      <c r="G9017" s="87" t="s">
        <v>32</v>
      </c>
      <c r="I9017" s="8"/>
      <c r="O9017" t="str">
        <f>LEFT(Table2[[#This Row],[Description]],75)</f>
        <v>Discover Bank</v>
      </c>
    </row>
    <row r="9018" spans="1:15" hidden="1">
      <c r="A9018" s="25">
        <f>VALUE(YEAR(Table2[[#This Row],[Date]])&amp;TEXT(MONTH(Table2[[#This Row],[Date]]),"00"))</f>
        <v>202303</v>
      </c>
      <c r="B9018" s="93">
        <v>45009</v>
      </c>
      <c r="C9018" s="87" t="s">
        <v>3938</v>
      </c>
      <c r="D9018" s="87" t="s">
        <v>854</v>
      </c>
      <c r="E9018" s="87">
        <v>75.95</v>
      </c>
      <c r="F9018" s="2" t="str">
        <f>IF(Table2[[#This Row],[Manual Cat Value]]="",VLOOKUP(Table2[[#This Row],[Description]],'Actuals Lookup'!D:F,3,0),Table2[[#This Row],[Manual Cat Value]])</f>
        <v>Shopping</v>
      </c>
      <c r="G9018" s="87" t="s">
        <v>21</v>
      </c>
      <c r="I9018" s="8"/>
      <c r="O9018" t="str">
        <f>LEFT(Table2[[#This Row],[Description]],75)</f>
        <v>Free Fly Apparel</v>
      </c>
    </row>
    <row r="9019" spans="1:15" hidden="1">
      <c r="A9019" s="25">
        <f>VALUE(YEAR(Table2[[#This Row],[Date]])&amp;TEXT(MONTH(Table2[[#This Row],[Date]]),"00"))</f>
        <v>202303</v>
      </c>
      <c r="B9019" s="93">
        <v>45009</v>
      </c>
      <c r="C9019" s="87" t="s">
        <v>3938</v>
      </c>
      <c r="D9019" s="87" t="s">
        <v>1083</v>
      </c>
      <c r="E9019" s="87">
        <v>50.11</v>
      </c>
      <c r="F9019" s="2" t="str">
        <f>IF(Table2[[#This Row],[Manual Cat Value]]="",VLOOKUP(Table2[[#This Row],[Description]],'Actuals Lookup'!D:F,3,0),Table2[[#This Row],[Manual Cat Value]])</f>
        <v>Transportation</v>
      </c>
      <c r="G9019" s="87" t="s">
        <v>23</v>
      </c>
      <c r="I9019" s="8"/>
      <c r="O9019" t="str">
        <f>LEFT(Table2[[#This Row],[Description]],75)</f>
        <v>Kwik Trip</v>
      </c>
    </row>
    <row r="9020" spans="1:15" hidden="1">
      <c r="A9020" s="25">
        <f>VALUE(YEAR(Table2[[#This Row],[Date]])&amp;TEXT(MONTH(Table2[[#This Row],[Date]]),"00"))</f>
        <v>202303</v>
      </c>
      <c r="B9020" s="93">
        <v>45009</v>
      </c>
      <c r="C9020" s="87" t="s">
        <v>3938</v>
      </c>
      <c r="D9020" s="87" t="s">
        <v>1275</v>
      </c>
      <c r="E9020" s="87">
        <v>38.56</v>
      </c>
      <c r="F9020" s="2" t="str">
        <f>IF(Table2[[#This Row],[Manual Cat Value]]="",VLOOKUP(Table2[[#This Row],[Description]],'Actuals Lookup'!D:F,3,0),Table2[[#This Row],[Manual Cat Value]])</f>
        <v>Transportation</v>
      </c>
      <c r="G9020" s="87" t="s">
        <v>23</v>
      </c>
      <c r="I9020" s="8"/>
      <c r="O9020" t="str">
        <f>LEFT(Table2[[#This Row],[Description]],75)</f>
        <v>Mister Car Wash</v>
      </c>
    </row>
    <row r="9021" spans="1:15" hidden="1">
      <c r="A9021" s="25">
        <f>VALUE(YEAR(Table2[[#This Row],[Date]])&amp;TEXT(MONTH(Table2[[#This Row],[Date]]),"00"))</f>
        <v>202303</v>
      </c>
      <c r="B9021" s="93">
        <v>45009</v>
      </c>
      <c r="C9021" s="87" t="s">
        <v>4006</v>
      </c>
      <c r="D9021" s="87" t="s">
        <v>4009</v>
      </c>
      <c r="E9021" s="87">
        <v>29.43</v>
      </c>
      <c r="F9021" s="2" t="str">
        <f>IF(Table2[[#This Row],[Manual Cat Value]]="",VLOOKUP(Table2[[#This Row],[Description]],'Actuals Lookup'!D:F,3,0),Table2[[#This Row],[Manual Cat Value]])</f>
        <v>Restaurants</v>
      </c>
      <c r="G9021" s="87" t="s">
        <v>26</v>
      </c>
      <c r="I9021" s="8"/>
      <c r="O9021" t="str">
        <f>LEFT(Table2[[#This Row],[Description]],75)</f>
        <v>Pei Wei Asian Diner</v>
      </c>
    </row>
    <row r="9022" spans="1:15" hidden="1">
      <c r="A9022" s="25">
        <f>VALUE(YEAR(Table2[[#This Row],[Date]])&amp;TEXT(MONTH(Table2[[#This Row],[Date]]),"00"))</f>
        <v>202303</v>
      </c>
      <c r="B9022" s="93">
        <v>45009</v>
      </c>
      <c r="C9022" s="87" t="s">
        <v>3938</v>
      </c>
      <c r="D9022" s="87" t="s">
        <v>1929</v>
      </c>
      <c r="E9022" s="87">
        <v>168.39</v>
      </c>
      <c r="F9022" s="2" t="str">
        <f>IF(Table2[[#This Row],[Manual Cat Value]]="",VLOOKUP(Table2[[#This Row],[Description]],'Actuals Lookup'!D:F,3,0),Table2[[#This Row],[Manual Cat Value]])</f>
        <v>Transportation</v>
      </c>
      <c r="G9022" s="87" t="s">
        <v>23</v>
      </c>
      <c r="I9022" s="8"/>
      <c r="O9022" t="str">
        <f>LEFT(Table2[[#This Row],[Description]],75)</f>
        <v>Toyota</v>
      </c>
    </row>
    <row r="9023" spans="1:15" hidden="1">
      <c r="A9023" s="25">
        <f>VALUE(YEAR(Table2[[#This Row],[Date]])&amp;TEXT(MONTH(Table2[[#This Row],[Date]]),"00"))</f>
        <v>202303</v>
      </c>
      <c r="B9023" s="93">
        <v>45009</v>
      </c>
      <c r="C9023" s="87" t="s">
        <v>3933</v>
      </c>
      <c r="D9023" s="87" t="s">
        <v>2109</v>
      </c>
      <c r="E9023" s="87">
        <v>92.5</v>
      </c>
      <c r="F9023" s="2" t="str">
        <f>IF(Table2[[#This Row],[Manual Cat Value]]="",VLOOKUP(Table2[[#This Row],[Description]],'Actuals Lookup'!D:F,3,0),Table2[[#This Row],[Manual Cat Value]])</f>
        <v>Shopping</v>
      </c>
      <c r="G9023" s="87" t="s">
        <v>21</v>
      </c>
      <c r="I9023" s="8"/>
      <c r="O9023" t="str">
        <f>LEFT(Table2[[#This Row],[Description]],75)</f>
        <v>Venmo</v>
      </c>
    </row>
    <row r="9024" spans="1:15" hidden="1">
      <c r="A9024" s="25">
        <f>VALUE(YEAR(Table2[[#This Row],[Date]])&amp;TEXT(MONTH(Table2[[#This Row],[Date]]),"00"))</f>
        <v>202303</v>
      </c>
      <c r="B9024" s="93">
        <v>45011</v>
      </c>
      <c r="C9024" s="87" t="s">
        <v>3938</v>
      </c>
      <c r="D9024" s="87" t="s">
        <v>4010</v>
      </c>
      <c r="E9024" s="87">
        <v>111.82</v>
      </c>
      <c r="F9024" s="2" t="str">
        <f>IF(Table2[[#This Row],[Manual Cat Value]]="",VLOOKUP(Table2[[#This Row],[Description]],'Actuals Lookup'!D:F,3,0),Table2[[#This Row],[Manual Cat Value]])</f>
        <v>Exp - Utilities</v>
      </c>
      <c r="G9024" s="87" t="s">
        <v>51</v>
      </c>
      <c r="H9024" s="8" t="s">
        <v>6</v>
      </c>
      <c r="I9024" s="8"/>
      <c r="O9024" t="str">
        <f>LEFT(Table2[[#This Row],[Description]],75)</f>
        <v>At&amp;t</v>
      </c>
    </row>
    <row r="9025" spans="1:15" hidden="1">
      <c r="A9025" s="25">
        <f>VALUE(YEAR(Table2[[#This Row],[Date]])&amp;TEXT(MONTH(Table2[[#This Row],[Date]]),"00"))</f>
        <v>202303</v>
      </c>
      <c r="B9025" s="93">
        <v>45011</v>
      </c>
      <c r="C9025" s="87" t="s">
        <v>3938</v>
      </c>
      <c r="D9025" s="87" t="s">
        <v>4010</v>
      </c>
      <c r="E9025" s="87">
        <v>82.83</v>
      </c>
      <c r="F9025" s="2" t="str">
        <f>IF(Table2[[#This Row],[Manual Cat Value]]="",VLOOKUP(Table2[[#This Row],[Description]],'Actuals Lookup'!D:F,3,0),Table2[[#This Row],[Manual Cat Value]])</f>
        <v>Exp - Utilities</v>
      </c>
      <c r="G9025" s="87" t="s">
        <v>51</v>
      </c>
      <c r="H9025" s="8" t="s">
        <v>6</v>
      </c>
      <c r="I9025" s="8"/>
      <c r="O9025" t="str">
        <f>LEFT(Table2[[#This Row],[Description]],75)</f>
        <v>At&amp;t</v>
      </c>
    </row>
    <row r="9026" spans="1:15" hidden="1">
      <c r="A9026" s="25">
        <f>VALUE(YEAR(Table2[[#This Row],[Date]])&amp;TEXT(MONTH(Table2[[#This Row],[Date]]),"00"))</f>
        <v>202303</v>
      </c>
      <c r="B9026" s="93">
        <v>45011</v>
      </c>
      <c r="C9026" s="87" t="s">
        <v>3938</v>
      </c>
      <c r="D9026" s="87" t="s">
        <v>1159</v>
      </c>
      <c r="E9026" s="87">
        <v>-128</v>
      </c>
      <c r="F9026" s="2" t="str">
        <f>IF(Table2[[#This Row],[Manual Cat Value]]="",VLOOKUP(Table2[[#This Row],[Description]],'Actuals Lookup'!D:F,3,0),Table2[[#This Row],[Manual Cat Value]])</f>
        <v>Shopping</v>
      </c>
      <c r="G9026" s="87" t="s">
        <v>21</v>
      </c>
      <c r="I9026" s="8"/>
      <c r="O9026" t="str">
        <f>LEFT(Table2[[#This Row],[Description]],75)</f>
        <v>Lululemon Athletica</v>
      </c>
    </row>
    <row r="9027" spans="1:15" hidden="1">
      <c r="A9027" s="25">
        <f>VALUE(YEAR(Table2[[#This Row],[Date]])&amp;TEXT(MONTH(Table2[[#This Row],[Date]]),"00"))</f>
        <v>202303</v>
      </c>
      <c r="B9027" s="93">
        <v>45011</v>
      </c>
      <c r="C9027" s="87" t="s">
        <v>4006</v>
      </c>
      <c r="D9027" s="87" t="s">
        <v>4011</v>
      </c>
      <c r="E9027" s="87">
        <v>112.18</v>
      </c>
      <c r="F9027" s="2" t="str">
        <f>IF(Table2[[#This Row],[Manual Cat Value]]="",VLOOKUP(Table2[[#This Row],[Description]],'Actuals Lookup'!D:F,3,0),Table2[[#This Row],[Manual Cat Value]])</f>
        <v>Restaurants</v>
      </c>
      <c r="G9027" s="87" t="s">
        <v>26</v>
      </c>
      <c r="I9027" s="8"/>
      <c r="O9027" t="str">
        <f>LEFT(Table2[[#This Row],[Description]],75)</f>
        <v>Tst* Red Wagon Pizzaminneapolis Xxxxxxx3086 Restaurant</v>
      </c>
    </row>
    <row r="9028" spans="1:15" hidden="1">
      <c r="A9028" s="25">
        <f>VALUE(YEAR(Table2[[#This Row],[Date]])&amp;TEXT(MONTH(Table2[[#This Row],[Date]]),"00"))</f>
        <v>202303</v>
      </c>
      <c r="B9028" s="93">
        <v>45011</v>
      </c>
      <c r="C9028" s="87" t="s">
        <v>4006</v>
      </c>
      <c r="D9028" s="87" t="s">
        <v>4012</v>
      </c>
      <c r="E9028" s="87">
        <v>-2938.4</v>
      </c>
      <c r="F9028" s="2" t="str">
        <f>IF(Table2[[#This Row],[Manual Cat Value]]="",VLOOKUP(Table2[[#This Row],[Description]],'Actuals Lookup'!D:F,3,0),Table2[[#This Row],[Manual Cat Value]])</f>
        <v>Delete</v>
      </c>
      <c r="G9028" s="87" t="s">
        <v>32</v>
      </c>
      <c r="I9028" s="8"/>
      <c r="O9028" t="str">
        <f>LEFT(Table2[[#This Row],[Description]],75)</f>
        <v>Online Payment - Thank You</v>
      </c>
    </row>
    <row r="9029" spans="1:15" hidden="1">
      <c r="A9029" s="25">
        <f>VALUE(YEAR(Table2[[#This Row],[Date]])&amp;TEXT(MONTH(Table2[[#This Row],[Date]]),"00"))</f>
        <v>202303</v>
      </c>
      <c r="B9029" s="93">
        <v>45012</v>
      </c>
      <c r="C9029" s="87" t="s">
        <v>3932</v>
      </c>
      <c r="D9029" s="87" t="s">
        <v>38</v>
      </c>
      <c r="E9029" s="87">
        <v>10.69</v>
      </c>
      <c r="F9029" s="2" t="str">
        <f>IF(Table2[[#This Row],[Manual Cat Value]]="",VLOOKUP(Table2[[#This Row],[Description]],'Actuals Lookup'!D:F,3,0),Table2[[#This Row],[Manual Cat Value]])</f>
        <v>Amazon</v>
      </c>
      <c r="G9029" s="87" t="s">
        <v>38</v>
      </c>
      <c r="I9029" s="8"/>
      <c r="O9029" t="str">
        <f>LEFT(Table2[[#This Row],[Description]],75)</f>
        <v>Amazon</v>
      </c>
    </row>
    <row r="9030" spans="1:15" hidden="1">
      <c r="A9030" s="25">
        <f>VALUE(YEAR(Table2[[#This Row],[Date]])&amp;TEXT(MONTH(Table2[[#This Row],[Date]]),"00"))</f>
        <v>202303</v>
      </c>
      <c r="B9030" s="93">
        <v>45012</v>
      </c>
      <c r="C9030" s="87" t="s">
        <v>3933</v>
      </c>
      <c r="D9030" s="87" t="s">
        <v>130</v>
      </c>
      <c r="E9030" s="87">
        <v>2938.4</v>
      </c>
      <c r="F9030" s="2" t="str">
        <f>IF(Table2[[#This Row],[Manual Cat Value]]="",VLOOKUP(Table2[[#This Row],[Description]],'Actuals Lookup'!D:F,3,0),Table2[[#This Row],[Manual Cat Value]])</f>
        <v>Delete</v>
      </c>
      <c r="G9030" s="87" t="s">
        <v>32</v>
      </c>
      <c r="I9030" s="8"/>
      <c r="O9030" t="str">
        <f>LEFT(Table2[[#This Row],[Description]],75)</f>
        <v>American Express</v>
      </c>
    </row>
    <row r="9031" spans="1:15" hidden="1">
      <c r="A9031" s="25">
        <f>VALUE(YEAR(Table2[[#This Row],[Date]])&amp;TEXT(MONTH(Table2[[#This Row],[Date]]),"00"))</f>
        <v>202303</v>
      </c>
      <c r="B9031" s="93">
        <v>45012</v>
      </c>
      <c r="C9031" s="87" t="s">
        <v>3938</v>
      </c>
      <c r="D9031" s="87" t="s">
        <v>161</v>
      </c>
      <c r="E9031" s="87">
        <v>293.44</v>
      </c>
      <c r="F9031" s="2" t="str">
        <f>IF(Table2[[#This Row],[Manual Cat Value]]="",VLOOKUP(Table2[[#This Row],[Description]],'Actuals Lookup'!D:F,3,0),Table2[[#This Row],[Manual Cat Value]])</f>
        <v>Shopping</v>
      </c>
      <c r="G9031" s="87" t="s">
        <v>21</v>
      </c>
      <c r="I9031" s="8"/>
      <c r="O9031" t="str">
        <f>LEFT(Table2[[#This Row],[Description]],75)</f>
        <v>Anthropologie</v>
      </c>
    </row>
    <row r="9032" spans="1:15" hidden="1">
      <c r="A9032" s="25">
        <f>VALUE(YEAR(Table2[[#This Row],[Date]])&amp;TEXT(MONTH(Table2[[#This Row],[Date]]),"00"))</f>
        <v>202303</v>
      </c>
      <c r="B9032" s="93">
        <v>45012</v>
      </c>
      <c r="C9032" s="87" t="s">
        <v>4006</v>
      </c>
      <c r="D9032" s="87" t="s">
        <v>681</v>
      </c>
      <c r="E9032" s="87">
        <v>30.98</v>
      </c>
      <c r="F9032" s="2" t="str">
        <f>IF(Table2[[#This Row],[Manual Cat Value]]="",VLOOKUP(Table2[[#This Row],[Description]],'Actuals Lookup'!D:F,3,0),Table2[[#This Row],[Manual Cat Value]])</f>
        <v>Restaurants</v>
      </c>
      <c r="G9032" s="87" t="s">
        <v>26</v>
      </c>
      <c r="I9032" s="8"/>
      <c r="O9032" t="str">
        <f>LEFT(Table2[[#This Row],[Description]],75)</f>
        <v>Crisp &amp; Green</v>
      </c>
    </row>
    <row r="9033" spans="1:15" hidden="1">
      <c r="A9033" s="25">
        <f>VALUE(YEAR(Table2[[#This Row],[Date]])&amp;TEXT(MONTH(Table2[[#This Row],[Date]]),"00"))</f>
        <v>202303</v>
      </c>
      <c r="B9033" s="93">
        <v>45012</v>
      </c>
      <c r="C9033" s="87" t="s">
        <v>3933</v>
      </c>
      <c r="D9033" s="87" t="s">
        <v>3991</v>
      </c>
      <c r="E9033" s="87">
        <v>500</v>
      </c>
      <c r="F9033" s="2" t="str">
        <f>IF(Table2[[#This Row],[Manual Cat Value]]="",VLOOKUP(Table2[[#This Row],[Description]],'Actuals Lookup'!D:F,3,0),Table2[[#This Row],[Manual Cat Value]])</f>
        <v>Delete</v>
      </c>
      <c r="G9033" s="87" t="s">
        <v>32</v>
      </c>
      <c r="I9033" s="8"/>
      <c r="O9033" t="str">
        <f>LEFT(Table2[[#This Row],[Description]],75)</f>
        <v>Discover Bank</v>
      </c>
    </row>
    <row r="9034" spans="1:15" hidden="1">
      <c r="A9034" s="25">
        <f>VALUE(YEAR(Table2[[#This Row],[Date]])&amp;TEXT(MONTH(Table2[[#This Row],[Date]]),"00"))</f>
        <v>202303</v>
      </c>
      <c r="B9034" s="93">
        <v>45012</v>
      </c>
      <c r="C9034" s="87" t="s">
        <v>4006</v>
      </c>
      <c r="D9034" s="87" t="s">
        <v>1014</v>
      </c>
      <c r="E9034" s="87">
        <v>15.56</v>
      </c>
      <c r="F9034" s="2" t="str">
        <f>IF(Table2[[#This Row],[Manual Cat Value]]="",VLOOKUP(Table2[[#This Row],[Description]],'Actuals Lookup'!D:F,3,0),Table2[[#This Row],[Manual Cat Value]])</f>
        <v>Restaurants</v>
      </c>
      <c r="G9034" s="87" t="s">
        <v>26</v>
      </c>
      <c r="I9034" s="8"/>
      <c r="O9034" t="str">
        <f>LEFT(Table2[[#This Row],[Description]],75)</f>
        <v>Jimmy John's</v>
      </c>
    </row>
    <row r="9035" spans="1:15" hidden="1">
      <c r="A9035" s="25">
        <f>VALUE(YEAR(Table2[[#This Row],[Date]])&amp;TEXT(MONTH(Table2[[#This Row],[Date]]),"00"))</f>
        <v>202303</v>
      </c>
      <c r="B9035" s="93">
        <v>45012</v>
      </c>
      <c r="C9035" s="87" t="s">
        <v>3933</v>
      </c>
      <c r="D9035" s="87" t="s">
        <v>31</v>
      </c>
      <c r="E9035" s="87">
        <v>678.28</v>
      </c>
      <c r="F9035" s="2" t="str">
        <f>IF(Table2[[#This Row],[Manual Cat Value]]="",VLOOKUP(Table2[[#This Row],[Description]],'Actuals Lookup'!D:F,3,0),Table2[[#This Row],[Manual Cat Value]])</f>
        <v>Exp - Target</v>
      </c>
      <c r="G9035" s="87" t="s">
        <v>8</v>
      </c>
      <c r="H9035" s="8" t="s">
        <v>30</v>
      </c>
      <c r="I9035" s="8"/>
      <c r="O9035" t="str">
        <f>LEFT(Table2[[#This Row],[Description]],75)</f>
        <v>Target</v>
      </c>
    </row>
    <row r="9036" spans="1:15" hidden="1">
      <c r="A9036" s="25">
        <f>VALUE(YEAR(Table2[[#This Row],[Date]])&amp;TEXT(MONTH(Table2[[#This Row],[Date]]),"00"))</f>
        <v>202303</v>
      </c>
      <c r="B9036" s="93">
        <v>45012</v>
      </c>
      <c r="C9036" s="87" t="s">
        <v>3938</v>
      </c>
      <c r="D9036" s="87" t="s">
        <v>1849</v>
      </c>
      <c r="E9036" s="87">
        <v>-5.62</v>
      </c>
      <c r="F9036" s="2" t="str">
        <f>IF(Table2[[#This Row],[Manual Cat Value]]="",VLOOKUP(Table2[[#This Row],[Description]],'Actuals Lookup'!D:F,3,0),Table2[[#This Row],[Manual Cat Value]])</f>
        <v>House Maintenance</v>
      </c>
      <c r="G9036" s="87" t="s">
        <v>2</v>
      </c>
      <c r="I9036" s="8"/>
      <c r="O9036" t="str">
        <f>LEFT(Table2[[#This Row],[Description]],75)</f>
        <v>The Home Depot</v>
      </c>
    </row>
    <row r="9037" spans="1:15" hidden="1">
      <c r="A9037" s="25">
        <f>VALUE(YEAR(Table2[[#This Row],[Date]])&amp;TEXT(MONTH(Table2[[#This Row],[Date]]),"00"))</f>
        <v>202303</v>
      </c>
      <c r="B9037" s="93">
        <v>45012</v>
      </c>
      <c r="C9037" s="87" t="s">
        <v>3938</v>
      </c>
      <c r="D9037" s="87" t="s">
        <v>4013</v>
      </c>
      <c r="E9037" s="87">
        <v>44.31</v>
      </c>
      <c r="F9037" s="2" t="str">
        <f>IF(Table2[[#This Row],[Manual Cat Value]]="",VLOOKUP(Table2[[#This Row],[Description]],'Actuals Lookup'!D:F,3,0),Table2[[#This Row],[Manual Cat Value]])</f>
        <v>Restaurants</v>
      </c>
      <c r="G9037" s="87" t="s">
        <v>26</v>
      </c>
      <c r="I9037" s="8"/>
      <c r="O9037" t="str">
        <f>LEFT(Table2[[#This Row],[Description]],75)</f>
        <v>Tst* Blvd Minnetonka Mn Ref #xxxx7462m2xx6wdqt</v>
      </c>
    </row>
    <row r="9038" spans="1:15" hidden="1">
      <c r="A9038" s="25">
        <f>VALUE(YEAR(Table2[[#This Row],[Date]])&amp;TEXT(MONTH(Table2[[#This Row],[Date]]),"00"))</f>
        <v>202303</v>
      </c>
      <c r="B9038" s="93">
        <v>45013</v>
      </c>
      <c r="C9038" s="87" t="s">
        <v>3938</v>
      </c>
      <c r="D9038" s="87" t="s">
        <v>38</v>
      </c>
      <c r="E9038" s="87">
        <v>25.99</v>
      </c>
      <c r="F9038" s="2" t="str">
        <f>IF(Table2[[#This Row],[Manual Cat Value]]="",VLOOKUP(Table2[[#This Row],[Description]],'Actuals Lookup'!D:F,3,0),Table2[[#This Row],[Manual Cat Value]])</f>
        <v>Amazon</v>
      </c>
      <c r="G9038" s="87" t="s">
        <v>41</v>
      </c>
      <c r="I9038" s="8"/>
      <c r="O9038" t="str">
        <f>LEFT(Table2[[#This Row],[Description]],75)</f>
        <v>Amazon</v>
      </c>
    </row>
    <row r="9039" spans="1:15" hidden="1">
      <c r="A9039" s="25">
        <f>VALUE(YEAR(Table2[[#This Row],[Date]])&amp;TEXT(MONTH(Table2[[#This Row],[Date]]),"00"))</f>
        <v>202303</v>
      </c>
      <c r="B9039" s="93">
        <v>45013</v>
      </c>
      <c r="C9039" s="87" t="s">
        <v>3938</v>
      </c>
      <c r="D9039" s="87" t="s">
        <v>113</v>
      </c>
      <c r="E9039" s="87">
        <v>-17.989999999999998</v>
      </c>
      <c r="F9039" s="2" t="str">
        <f>IF(Table2[[#This Row],[Manual Cat Value]]="",VLOOKUP(Table2[[#This Row],[Description]],'Actuals Lookup'!D:F,3,0),Table2[[#This Row],[Manual Cat Value]])</f>
        <v>Amazon</v>
      </c>
      <c r="G9039" s="87" t="s">
        <v>41</v>
      </c>
      <c r="I9039" s="8"/>
      <c r="O9039" t="str">
        <f>LEFT(Table2[[#This Row],[Description]],75)</f>
        <v>Amazon Marketplace</v>
      </c>
    </row>
    <row r="9040" spans="1:15" hidden="1">
      <c r="A9040" s="25">
        <f>VALUE(YEAR(Table2[[#This Row],[Date]])&amp;TEXT(MONTH(Table2[[#This Row],[Date]]),"00"))</f>
        <v>202303</v>
      </c>
      <c r="B9040" s="93">
        <v>45013</v>
      </c>
      <c r="C9040" s="87" t="s">
        <v>4006</v>
      </c>
      <c r="D9040" s="87" t="s">
        <v>4014</v>
      </c>
      <c r="E9040" s="87">
        <v>964.92</v>
      </c>
      <c r="F9040" s="2" t="str">
        <f>IF(Table2[[#This Row],[Manual Cat Value]]="",VLOOKUP(Table2[[#This Row],[Description]],'Actuals Lookup'!D:F,3,0),Table2[[#This Row],[Manual Cat Value]])</f>
        <v>Travel</v>
      </c>
      <c r="G9040" s="87" t="s">
        <v>43</v>
      </c>
      <c r="I9040" s="8"/>
      <c r="O9040" t="str">
        <f>LEFT(Table2[[#This Row],[Description]],75)</f>
        <v>Hyatt</v>
      </c>
    </row>
    <row r="9041" spans="1:15" hidden="1">
      <c r="A9041" s="25">
        <f>VALUE(YEAR(Table2[[#This Row],[Date]])&amp;TEXT(MONTH(Table2[[#This Row],[Date]]),"00"))</f>
        <v>202303</v>
      </c>
      <c r="B9041" s="93">
        <v>45013</v>
      </c>
      <c r="C9041" s="87" t="s">
        <v>3933</v>
      </c>
      <c r="D9041" s="87" t="s">
        <v>3992</v>
      </c>
      <c r="E9041" s="87">
        <v>77.459999999999994</v>
      </c>
      <c r="F9041" s="2" t="str">
        <f>IF(Table2[[#This Row],[Manual Cat Value]]="",VLOOKUP(Table2[[#This Row],[Description]],'Actuals Lookup'!D:F,3,0),Table2[[#This Row],[Manual Cat Value]])</f>
        <v>Shopping</v>
      </c>
      <c r="G9041" s="87" t="s">
        <v>21</v>
      </c>
      <c r="I9041" s="8"/>
      <c r="O9041" t="str">
        <f>LEFT(Table2[[#This Row],[Description]],75)</f>
        <v>Paypal</v>
      </c>
    </row>
    <row r="9042" spans="1:15" hidden="1">
      <c r="A9042" s="25">
        <f>VALUE(YEAR(Table2[[#This Row],[Date]])&amp;TEXT(MONTH(Table2[[#This Row],[Date]]),"00"))</f>
        <v>202303</v>
      </c>
      <c r="B9042" s="93">
        <v>45013</v>
      </c>
      <c r="C9042" s="87" t="s">
        <v>3933</v>
      </c>
      <c r="D9042" s="87" t="s">
        <v>3992</v>
      </c>
      <c r="E9042" s="87">
        <v>0.99</v>
      </c>
      <c r="F9042" s="2" t="str">
        <f>IF(Table2[[#This Row],[Manual Cat Value]]="",VLOOKUP(Table2[[#This Row],[Description]],'Actuals Lookup'!D:F,3,0),Table2[[#This Row],[Manual Cat Value]])</f>
        <v>Shopping</v>
      </c>
      <c r="G9042" s="87" t="s">
        <v>21</v>
      </c>
      <c r="I9042" s="8"/>
      <c r="O9042" t="str">
        <f>LEFT(Table2[[#This Row],[Description]],75)</f>
        <v>Paypal</v>
      </c>
    </row>
    <row r="9043" spans="1:15" hidden="1">
      <c r="A9043" s="25">
        <f>VALUE(YEAR(Table2[[#This Row],[Date]])&amp;TEXT(MONTH(Table2[[#This Row],[Date]]),"00"))</f>
        <v>202303</v>
      </c>
      <c r="B9043" s="93">
        <v>45013</v>
      </c>
      <c r="C9043" s="87" t="s">
        <v>3933</v>
      </c>
      <c r="D9043" s="87" t="s">
        <v>4015</v>
      </c>
      <c r="E9043" s="87">
        <v>330</v>
      </c>
      <c r="F9043" s="2" t="str">
        <f>IF(Table2[[#This Row],[Manual Cat Value]]="",VLOOKUP(Table2[[#This Row],[Description]],'Actuals Lookup'!D:F,3,0),Table2[[#This Row],[Manual Cat Value]])</f>
        <v>Day Care</v>
      </c>
      <c r="G9043" s="87" t="s">
        <v>20</v>
      </c>
      <c r="I9043" s="8"/>
      <c r="O9043" t="str">
        <f>LEFT(Table2[[#This Row],[Description]],75)</f>
        <v xml:space="preserve">Withdrawal Ach Mhchildcarellc Type: Dues Id: Xxxxxx8198 Co: Mhchildcarellc </v>
      </c>
    </row>
    <row r="9044" spans="1:15" hidden="1">
      <c r="A9044" s="25">
        <f>VALUE(YEAR(Table2[[#This Row],[Date]])&amp;TEXT(MONTH(Table2[[#This Row],[Date]]),"00"))</f>
        <v>202303</v>
      </c>
      <c r="B9044" s="93">
        <v>45014</v>
      </c>
      <c r="C9044" s="87" t="s">
        <v>3932</v>
      </c>
      <c r="D9044" s="87" t="s">
        <v>38</v>
      </c>
      <c r="E9044" s="87">
        <v>28.99</v>
      </c>
      <c r="F9044" s="2" t="str">
        <f>IF(Table2[[#This Row],[Manual Cat Value]]="",VLOOKUP(Table2[[#This Row],[Description]],'Actuals Lookup'!D:F,3,0),Table2[[#This Row],[Manual Cat Value]])</f>
        <v>Amazon</v>
      </c>
      <c r="G9044" s="87" t="s">
        <v>41</v>
      </c>
      <c r="I9044" s="8"/>
      <c r="O9044" t="str">
        <f>LEFT(Table2[[#This Row],[Description]],75)</f>
        <v>Amazon</v>
      </c>
    </row>
    <row r="9045" spans="1:15" hidden="1">
      <c r="A9045" s="25">
        <f>VALUE(YEAR(Table2[[#This Row],[Date]])&amp;TEXT(MONTH(Table2[[#This Row],[Date]]),"00"))</f>
        <v>202303</v>
      </c>
      <c r="B9045" s="93">
        <v>45014</v>
      </c>
      <c r="C9045" s="87" t="s">
        <v>3933</v>
      </c>
      <c r="D9045" s="87" t="s">
        <v>3990</v>
      </c>
      <c r="E9045" s="87">
        <v>60.18</v>
      </c>
      <c r="F9045" s="2" t="str">
        <f>IF(Table2[[#This Row],[Manual Cat Value]]="",VLOOKUP(Table2[[#This Row],[Description]],'Actuals Lookup'!D:F,3,0),Table2[[#This Row],[Manual Cat Value]])</f>
        <v>Shopping</v>
      </c>
      <c r="G9045" s="87" t="s">
        <v>21</v>
      </c>
      <c r="I9045" s="8"/>
      <c r="O9045" t="str">
        <f>LEFT(Table2[[#This Row],[Description]],75)</f>
        <v>Barclaycard Us</v>
      </c>
    </row>
    <row r="9046" spans="1:15" hidden="1">
      <c r="A9046" s="25">
        <f>VALUE(YEAR(Table2[[#This Row],[Date]])&amp;TEXT(MONTH(Table2[[#This Row],[Date]]),"00"))</f>
        <v>202303</v>
      </c>
      <c r="B9046" s="93">
        <v>45014</v>
      </c>
      <c r="C9046" s="87" t="s">
        <v>4006</v>
      </c>
      <c r="D9046" s="87" t="s">
        <v>4016</v>
      </c>
      <c r="E9046" s="87">
        <v>15.35</v>
      </c>
      <c r="F9046" s="2" t="str">
        <f>IF(Table2[[#This Row],[Manual Cat Value]]="",VLOOKUP(Table2[[#This Row],[Description]],'Actuals Lookup'!D:F,3,0),Table2[[#This Row],[Manual Cat Value]])</f>
        <v>Restaurants</v>
      </c>
      <c r="G9046" s="87" t="s">
        <v>26</v>
      </c>
      <c r="I9046" s="8"/>
      <c r="O9046" t="str">
        <f>LEFT(Table2[[#This Row],[Description]],75)</f>
        <v>Jj S Poke Edina Mn Xxxxxxxxxxxxxx-xxx-3780</v>
      </c>
    </row>
    <row r="9047" spans="1:15" hidden="1">
      <c r="A9047" s="25">
        <f>VALUE(YEAR(Table2[[#This Row],[Date]])&amp;TEXT(MONTH(Table2[[#This Row],[Date]]),"00"))</f>
        <v>202303</v>
      </c>
      <c r="B9047" s="93">
        <v>45014</v>
      </c>
      <c r="C9047" s="87" t="s">
        <v>3932</v>
      </c>
      <c r="D9047" s="87" t="s">
        <v>4017</v>
      </c>
      <c r="E9047" s="87">
        <v>58.49</v>
      </c>
      <c r="F9047" s="2" t="str">
        <f>IF(Table2[[#This Row],[Manual Cat Value]]="",VLOOKUP(Table2[[#This Row],[Description]],'Actuals Lookup'!D:F,3,0),Table2[[#This Row],[Manual Cat Value]])</f>
        <v>Groceries</v>
      </c>
      <c r="G9047" s="87" t="s">
        <v>28</v>
      </c>
      <c r="I9047" s="8"/>
      <c r="O9047" t="str">
        <f>LEFT(Table2[[#This Row],[Description]],75)</f>
        <v>Lunds &amp; Byerlys</v>
      </c>
    </row>
    <row r="9048" spans="1:15" hidden="1">
      <c r="A9048" s="25">
        <f>VALUE(YEAR(Table2[[#This Row],[Date]])&amp;TEXT(MONTH(Table2[[#This Row],[Date]]),"00"))</f>
        <v>202303</v>
      </c>
      <c r="B9048" s="93">
        <v>45014</v>
      </c>
      <c r="C9048" s="87" t="s">
        <v>3933</v>
      </c>
      <c r="D9048" s="87" t="s">
        <v>3992</v>
      </c>
      <c r="E9048" s="87">
        <v>0.99</v>
      </c>
      <c r="F9048" s="2" t="str">
        <f>IF(Table2[[#This Row],[Manual Cat Value]]="",VLOOKUP(Table2[[#This Row],[Description]],'Actuals Lookup'!D:F,3,0),Table2[[#This Row],[Manual Cat Value]])</f>
        <v>Shopping</v>
      </c>
      <c r="G9048" s="87" t="s">
        <v>21</v>
      </c>
      <c r="I9048" s="8"/>
      <c r="O9048" t="str">
        <f>LEFT(Table2[[#This Row],[Description]],75)</f>
        <v>Paypal</v>
      </c>
    </row>
    <row r="9049" spans="1:15" hidden="1">
      <c r="A9049" s="25">
        <f>VALUE(YEAR(Table2[[#This Row],[Date]])&amp;TEXT(MONTH(Table2[[#This Row],[Date]]),"00"))</f>
        <v>202303</v>
      </c>
      <c r="B9049" s="93">
        <v>45014</v>
      </c>
      <c r="C9049" s="87" t="s">
        <v>4006</v>
      </c>
      <c r="D9049" s="87" t="s">
        <v>4018</v>
      </c>
      <c r="E9049" s="87">
        <v>19.18</v>
      </c>
      <c r="F9049" s="2" t="str">
        <f>IF(Table2[[#This Row],[Manual Cat Value]]="",VLOOKUP(Table2[[#This Row],[Description]],'Actuals Lookup'!D:F,3,0),Table2[[#This Row],[Manual Cat Value]])</f>
        <v>Restaurants</v>
      </c>
      <c r="G9049" s="87" t="s">
        <v>26</v>
      </c>
      <c r="I9049" s="8"/>
      <c r="O9049" t="str">
        <f>LEFT(Table2[[#This Row],[Description]],75)</f>
        <v>Tst* Nautical Bowls Victoria Mn Xxxxxxxxxxx Xxxxxx1039</v>
      </c>
    </row>
    <row r="9050" spans="1:15" hidden="1">
      <c r="A9050" s="25">
        <f>VALUE(YEAR(Table2[[#This Row],[Date]])&amp;TEXT(MONTH(Table2[[#This Row],[Date]]),"00"))</f>
        <v>202303</v>
      </c>
      <c r="B9050" s="93">
        <v>45015</v>
      </c>
      <c r="C9050" s="87" t="s">
        <v>3933</v>
      </c>
      <c r="D9050" s="87" t="s">
        <v>3942</v>
      </c>
      <c r="E9050" s="87">
        <v>-2434.23</v>
      </c>
      <c r="F9050" s="2" t="str">
        <f>IF(Table2[[#This Row],[Manual Cat Value]]="",VLOOKUP(Table2[[#This Row],[Description]],'Actuals Lookup'!D:F,3,0),Table2[[#This Row],[Manual Cat Value]])</f>
        <v>Delete</v>
      </c>
      <c r="G9050" s="87" t="s">
        <v>12</v>
      </c>
      <c r="I9050" s="8"/>
      <c r="O9050" t="str">
        <f>LEFT(Table2[[#This Row],[Description]],75)</f>
        <v>Cargill Inc</v>
      </c>
    </row>
    <row r="9051" spans="1:15" hidden="1">
      <c r="A9051" s="25">
        <f>VALUE(YEAR(Table2[[#This Row],[Date]])&amp;TEXT(MONTH(Table2[[#This Row],[Date]]),"00"))</f>
        <v>202303</v>
      </c>
      <c r="B9051" s="93">
        <v>45015</v>
      </c>
      <c r="C9051" s="87" t="s">
        <v>4006</v>
      </c>
      <c r="D9051" s="87" t="s">
        <v>4019</v>
      </c>
      <c r="E9051" s="87">
        <v>38.619999999999997</v>
      </c>
      <c r="F9051" s="2" t="str">
        <f>IF(Table2[[#This Row],[Manual Cat Value]]="",VLOOKUP(Table2[[#This Row],[Description]],'Actuals Lookup'!D:F,3,0),Table2[[#This Row],[Manual Cat Value]])</f>
        <v>Exp - Restaurants</v>
      </c>
      <c r="G9051" s="87" t="s">
        <v>35</v>
      </c>
      <c r="H9051" s="8" t="s">
        <v>25</v>
      </c>
      <c r="I9051" s="8"/>
      <c r="O9051" t="str">
        <f>LEFT(Table2[[#This Row],[Description]],75)</f>
        <v>Maynards R* Maynardsexcelsior Mn Nt_ncd07phz +xxxxxxx2469</v>
      </c>
    </row>
    <row r="9052" spans="1:15" hidden="1">
      <c r="A9052" s="25">
        <f>VALUE(YEAR(Table2[[#This Row],[Date]])&amp;TEXT(MONTH(Table2[[#This Row],[Date]]),"00"))</f>
        <v>202303</v>
      </c>
      <c r="B9052" s="93">
        <v>45015</v>
      </c>
      <c r="C9052" s="87" t="s">
        <v>3933</v>
      </c>
      <c r="D9052" s="87" t="s">
        <v>1355</v>
      </c>
      <c r="E9052" s="87">
        <v>453.8</v>
      </c>
      <c r="F9052" s="2" t="str">
        <f>IF(Table2[[#This Row],[Manual Cat Value]]="",VLOOKUP(Table2[[#This Row],[Description]],'Actuals Lookup'!D:F,3,0),Table2[[#This Row],[Manual Cat Value]])</f>
        <v>Shopping</v>
      </c>
      <c r="G9052" s="87" t="s">
        <v>21</v>
      </c>
      <c r="I9052" s="8"/>
      <c r="O9052" t="str">
        <f>LEFT(Table2[[#This Row],[Description]],75)</f>
        <v>Nordstrom</v>
      </c>
    </row>
    <row r="9053" spans="1:15" hidden="1">
      <c r="A9053" s="25">
        <f>VALUE(YEAR(Table2[[#This Row],[Date]])&amp;TEXT(MONTH(Table2[[#This Row],[Date]]),"00"))</f>
        <v>202303</v>
      </c>
      <c r="B9053" s="93">
        <v>45015</v>
      </c>
      <c r="C9053" s="87" t="s">
        <v>3933</v>
      </c>
      <c r="D9053" s="87" t="s">
        <v>3987</v>
      </c>
      <c r="E9053" s="87">
        <v>-3171.34</v>
      </c>
      <c r="F9053" s="2" t="str">
        <f>IF(Table2[[#This Row],[Manual Cat Value]]="",VLOOKUP(Table2[[#This Row],[Description]],'Actuals Lookup'!D:F,3,0),Table2[[#This Row],[Manual Cat Value]])</f>
        <v>Inc - Other</v>
      </c>
      <c r="G9053" s="87" t="s">
        <v>24</v>
      </c>
      <c r="I9053" s="8"/>
      <c r="O9053" t="str">
        <f>LEFT(Table2[[#This Row],[Description]],75)</f>
        <v>Trinet</v>
      </c>
    </row>
    <row r="9054" spans="1:15" hidden="1">
      <c r="A9054" s="25">
        <f>VALUE(YEAR(Table2[[#This Row],[Date]])&amp;TEXT(MONTH(Table2[[#This Row],[Date]]),"00"))</f>
        <v>202303</v>
      </c>
      <c r="B9054" s="93">
        <v>45015</v>
      </c>
      <c r="C9054" s="87" t="s">
        <v>3933</v>
      </c>
      <c r="D9054" s="87" t="s">
        <v>2109</v>
      </c>
      <c r="E9054" s="87">
        <v>215</v>
      </c>
      <c r="F9054" s="2" t="str">
        <f>IF(Table2[[#This Row],[Manual Cat Value]]="",VLOOKUP(Table2[[#This Row],[Description]],'Actuals Lookup'!D:F,3,0),Table2[[#This Row],[Manual Cat Value]])</f>
        <v>Shopping</v>
      </c>
      <c r="G9054" s="87" t="s">
        <v>21</v>
      </c>
      <c r="I9054" s="8"/>
      <c r="O9054" t="str">
        <f>LEFT(Table2[[#This Row],[Description]],75)</f>
        <v>Venmo</v>
      </c>
    </row>
    <row r="9055" spans="1:15" hidden="1">
      <c r="A9055" s="25">
        <f>VALUE(YEAR(Table2[[#This Row],[Date]])&amp;TEXT(MONTH(Table2[[#This Row],[Date]]),"00"))</f>
        <v>202303</v>
      </c>
      <c r="B9055" s="93">
        <v>45015</v>
      </c>
      <c r="C9055" s="87" t="s">
        <v>3933</v>
      </c>
      <c r="D9055" s="87" t="s">
        <v>4020</v>
      </c>
      <c r="E9055" s="87">
        <v>104</v>
      </c>
      <c r="F9055" s="2" t="str">
        <f>IF(Table2[[#This Row],[Manual Cat Value]]="",VLOOKUP(Table2[[#This Row],[Description]],'Actuals Lookup'!D:F,3,0),Table2[[#This Row],[Manual Cat Value]])</f>
        <v>Misc</v>
      </c>
      <c r="G9055" s="87" t="s">
        <v>29</v>
      </c>
      <c r="I9055" s="8"/>
      <c r="O9055" t="str">
        <f>LEFT(Table2[[#This Row],[Description]],75)</f>
        <v>Withdrawal At Atm #xxxxxxxxxxxx 435 Water St Excelsior Mn</v>
      </c>
    </row>
    <row r="9056" spans="1:15" hidden="1">
      <c r="A9056" s="25">
        <f>VALUE(YEAR(Table2[[#This Row],[Date]])&amp;TEXT(MONTH(Table2[[#This Row],[Date]]),"00"))</f>
        <v>202303</v>
      </c>
      <c r="B9056" s="93">
        <v>45015</v>
      </c>
      <c r="C9056" s="87" t="s">
        <v>3933</v>
      </c>
      <c r="D9056" s="87" t="s">
        <v>3936</v>
      </c>
      <c r="E9056" s="87">
        <v>1343.45</v>
      </c>
      <c r="F9056" s="2" t="str">
        <f>IF(Table2[[#This Row],[Manual Cat Value]]="",VLOOKUP(Table2[[#This Row],[Description]],'Actuals Lookup'!D:F,3,0),Table2[[#This Row],[Manual Cat Value]])</f>
        <v>Delete</v>
      </c>
      <c r="G9056" s="87" t="s">
        <v>8</v>
      </c>
      <c r="I9056" s="8"/>
      <c r="O9056" t="str">
        <f>LEFT(Table2[[#This Row],[Description]],75)</f>
        <v>Withdrawal Home Banking Pmt To Card Xxxxxxxxxxxx-5913</v>
      </c>
    </row>
    <row r="9057" spans="1:15" hidden="1">
      <c r="A9057" s="25">
        <f>VALUE(YEAR(Table2[[#This Row],[Date]])&amp;TEXT(MONTH(Table2[[#This Row],[Date]]),"00"))</f>
        <v>202303</v>
      </c>
      <c r="B9057" s="93">
        <v>45015</v>
      </c>
      <c r="C9057" s="87" t="s">
        <v>4006</v>
      </c>
      <c r="D9057" s="87" t="s">
        <v>4012</v>
      </c>
      <c r="E9057" s="87">
        <v>-1185.54</v>
      </c>
      <c r="F9057" s="2" t="str">
        <f>IF(Table2[[#This Row],[Manual Cat Value]]="",VLOOKUP(Table2[[#This Row],[Description]],'Actuals Lookup'!D:F,3,0),Table2[[#This Row],[Manual Cat Value]])</f>
        <v>Delete</v>
      </c>
      <c r="G9057" s="87" t="s">
        <v>32</v>
      </c>
      <c r="I9057" s="8"/>
      <c r="O9057" t="str">
        <f>LEFT(Table2[[#This Row],[Description]],75)</f>
        <v>Online Payment - Thank You</v>
      </c>
    </row>
    <row r="9058" spans="1:15" hidden="1">
      <c r="A9058" s="25">
        <f>VALUE(YEAR(Table2[[#This Row],[Date]])&amp;TEXT(MONTH(Table2[[#This Row],[Date]]),"00"))</f>
        <v>202303</v>
      </c>
      <c r="B9058" s="93">
        <v>45016</v>
      </c>
      <c r="C9058" s="87" t="s">
        <v>3933</v>
      </c>
      <c r="D9058" s="87" t="s">
        <v>130</v>
      </c>
      <c r="E9058" s="87">
        <v>1185.54</v>
      </c>
      <c r="F9058" s="2" t="str">
        <f>IF(Table2[[#This Row],[Manual Cat Value]]="",VLOOKUP(Table2[[#This Row],[Description]],'Actuals Lookup'!D:F,3,0),Table2[[#This Row],[Manual Cat Value]])</f>
        <v>Delete</v>
      </c>
      <c r="G9058" s="87" t="s">
        <v>8</v>
      </c>
      <c r="I9058" s="8"/>
      <c r="O9058" t="str">
        <f>LEFT(Table2[[#This Row],[Description]],75)</f>
        <v>American Express</v>
      </c>
    </row>
    <row r="9059" spans="1:15" hidden="1">
      <c r="A9059" s="25">
        <f>VALUE(YEAR(Table2[[#This Row],[Date]])&amp;TEXT(MONTH(Table2[[#This Row],[Date]]),"00"))</f>
        <v>202303</v>
      </c>
      <c r="B9059" s="93">
        <v>45016</v>
      </c>
      <c r="C9059" s="87" t="s">
        <v>3933</v>
      </c>
      <c r="D9059" s="87" t="s">
        <v>4021</v>
      </c>
      <c r="E9059" s="87">
        <v>-4</v>
      </c>
      <c r="F9059" s="2" t="str">
        <f>IF(Table2[[#This Row],[Manual Cat Value]]="",VLOOKUP(Table2[[#This Row],[Description]],'Actuals Lookup'!D:F,3,0),Table2[[#This Row],[Manual Cat Value]])</f>
        <v>Inc - Other</v>
      </c>
      <c r="G9059" s="87" t="s">
        <v>9</v>
      </c>
      <c r="I9059" s="8"/>
      <c r="O9059" t="str">
        <f>LEFT(Table2[[#This Row],[Description]],75)</f>
        <v>Deposit Atm Fee Refund</v>
      </c>
    </row>
    <row r="9060" spans="1:15" hidden="1">
      <c r="A9060" s="25">
        <f>VALUE(YEAR(Table2[[#This Row],[Date]])&amp;TEXT(MONTH(Table2[[#This Row],[Date]]),"00"))</f>
        <v>202303</v>
      </c>
      <c r="B9060" s="93">
        <v>45016</v>
      </c>
      <c r="C9060" s="87" t="s">
        <v>3933</v>
      </c>
      <c r="D9060" s="87" t="s">
        <v>4022</v>
      </c>
      <c r="E9060" s="87">
        <v>-50.13</v>
      </c>
      <c r="F9060" s="2" t="str">
        <f>IF(Table2[[#This Row],[Manual Cat Value]]="",VLOOKUP(Table2[[#This Row],[Description]],'Actuals Lookup'!D:F,3,0),Table2[[#This Row],[Manual Cat Value]])</f>
        <v>Inc - Other</v>
      </c>
      <c r="G9060" s="87" t="s">
        <v>15</v>
      </c>
      <c r="I9060" s="8"/>
      <c r="O9060" t="str">
        <f>LEFT(Table2[[#This Row],[Description]],75)</f>
        <v>Deposit Dividend Split Rate Annual Percentage Yield Earned 2.46% From 03/01</v>
      </c>
    </row>
    <row r="9061" spans="1:15" hidden="1">
      <c r="A9061" s="25">
        <f>VALUE(YEAR(Table2[[#This Row],[Date]])&amp;TEXT(MONTH(Table2[[#This Row],[Date]]),"00"))</f>
        <v>202303</v>
      </c>
      <c r="B9061" s="93">
        <v>45016</v>
      </c>
      <c r="C9061" s="87" t="s">
        <v>3933</v>
      </c>
      <c r="D9061" s="87" t="s">
        <v>3991</v>
      </c>
      <c r="E9061" s="87">
        <v>-11500</v>
      </c>
      <c r="F9061" s="2" t="str">
        <f>IF(Table2[[#This Row],[Manual Cat Value]]="",VLOOKUP(Table2[[#This Row],[Description]],'Actuals Lookup'!D:F,3,0),Table2[[#This Row],[Manual Cat Value]])</f>
        <v>Delete</v>
      </c>
      <c r="G9061" s="87" t="s">
        <v>12</v>
      </c>
      <c r="I9061" s="8"/>
      <c r="O9061" t="str">
        <f>LEFT(Table2[[#This Row],[Description]],75)</f>
        <v>Discover Bank</v>
      </c>
    </row>
    <row r="9062" spans="1:15" hidden="1">
      <c r="A9062" s="25">
        <f>VALUE(YEAR(Table2[[#This Row],[Date]])&amp;TEXT(MONTH(Table2[[#This Row],[Date]]),"00"))</f>
        <v>202304</v>
      </c>
      <c r="B9062" s="6">
        <v>45017</v>
      </c>
      <c r="D9062" t="s">
        <v>14</v>
      </c>
      <c r="E9062">
        <f>125*2</f>
        <v>250</v>
      </c>
      <c r="F9062" s="2" t="str">
        <f>IF(Table2[[#This Row],[Manual Cat Value]]="",VLOOKUP(Table2[[#This Row],[Description]],'Actuals Lookup'!D:F,3,0),Table2[[#This Row],[Manual Cat Value]])</f>
        <v>Exp - Cleaning</v>
      </c>
      <c r="H9062" s="8" t="s">
        <v>13</v>
      </c>
      <c r="I9062" s="8"/>
      <c r="O9062" t="str">
        <f>LEFT(Table2[[#This Row],[Description]],75)</f>
        <v>Cleaning</v>
      </c>
    </row>
    <row r="9063" spans="1:15" hidden="1">
      <c r="A9063" s="25">
        <f>VALUE(YEAR(Table2[[#This Row],[Date]])&amp;TEXT(MONTH(Table2[[#This Row],[Date]]),"00"))</f>
        <v>202304</v>
      </c>
      <c r="B9063" s="6">
        <v>45017</v>
      </c>
      <c r="C9063" t="s">
        <v>4006</v>
      </c>
      <c r="D9063" t="s">
        <v>4023</v>
      </c>
      <c r="E9063" s="53">
        <v>45.41</v>
      </c>
      <c r="F9063" s="2" t="str">
        <f>IF(Table2[[#This Row],[Manual Cat Value]]="",VLOOKUP(Table2[[#This Row],[Description]],'Actuals Lookup'!D:F,3,0),Table2[[#This Row],[Manual Cat Value]])</f>
        <v>Restaurants</v>
      </c>
      <c r="G9063" t="s">
        <v>26</v>
      </c>
      <c r="I9063" s="8"/>
      <c r="O9063" t="str">
        <f>LEFT(Table2[[#This Row],[Description]],75)</f>
        <v>Food Truck Alley Saint Paul Mn 03xkdpv5d3e Xxxxxx0055</v>
      </c>
    </row>
    <row r="9064" spans="1:15" hidden="1">
      <c r="A9064" s="25">
        <f>VALUE(YEAR(Table2[[#This Row],[Date]])&amp;TEXT(MONTH(Table2[[#This Row],[Date]]),"00"))</f>
        <v>202304</v>
      </c>
      <c r="B9064" s="6">
        <v>45017</v>
      </c>
      <c r="C9064" t="s">
        <v>4006</v>
      </c>
      <c r="D9064" t="s">
        <v>4023</v>
      </c>
      <c r="E9064">
        <v>-45.41</v>
      </c>
      <c r="F9064" s="2" t="str">
        <f>IF(Table2[[#This Row],[Manual Cat Value]]="",VLOOKUP(Table2[[#This Row],[Description]],'Actuals Lookup'!D:F,3,0),Table2[[#This Row],[Manual Cat Value]])</f>
        <v>Restaurants</v>
      </c>
      <c r="G9064" t="s">
        <v>26</v>
      </c>
      <c r="I9064" s="8"/>
      <c r="O9064" t="str">
        <f>LEFT(Table2[[#This Row],[Description]],75)</f>
        <v>Food Truck Alley Saint Paul Mn 03xkdpv5d3e Xxxxxx0055</v>
      </c>
    </row>
    <row r="9065" spans="1:15" hidden="1">
      <c r="A9065" s="25">
        <f>VALUE(YEAR(Table2[[#This Row],[Date]])&amp;TEXT(MONTH(Table2[[#This Row],[Date]]),"00"))</f>
        <v>202304</v>
      </c>
      <c r="B9065" s="6">
        <v>45017</v>
      </c>
      <c r="C9065" t="s">
        <v>3932</v>
      </c>
      <c r="D9065" t="s">
        <v>4024</v>
      </c>
      <c r="E9065" s="53">
        <v>267.01</v>
      </c>
      <c r="F9065" s="2" t="str">
        <f>IF(Table2[[#This Row],[Manual Cat Value]]="",VLOOKUP(Table2[[#This Row],[Description]],'Actuals Lookup'!D:F,3,0),Table2[[#This Row],[Manual Cat Value]])</f>
        <v>Groceries</v>
      </c>
      <c r="G9065" t="s">
        <v>28</v>
      </c>
      <c r="I9065" s="8"/>
      <c r="O9065" t="str">
        <f>LEFT(Table2[[#This Row],[Description]],75)</f>
        <v>Publix</v>
      </c>
    </row>
    <row r="9066" spans="1:15" hidden="1">
      <c r="A9066" s="25">
        <f>VALUE(YEAR(Table2[[#This Row],[Date]])&amp;TEXT(MONTH(Table2[[#This Row],[Date]]),"00"))</f>
        <v>202304</v>
      </c>
      <c r="B9066" s="6">
        <v>45017</v>
      </c>
      <c r="C9066" t="s">
        <v>3932</v>
      </c>
      <c r="D9066" t="s">
        <v>4024</v>
      </c>
      <c r="E9066">
        <v>-267.01</v>
      </c>
      <c r="F9066" s="2" t="str">
        <f>IF(Table2[[#This Row],[Manual Cat Value]]="",VLOOKUP(Table2[[#This Row],[Description]],'Actuals Lookup'!D:F,3,0),Table2[[#This Row],[Manual Cat Value]])</f>
        <v>Groceries</v>
      </c>
      <c r="G9066" t="s">
        <v>28</v>
      </c>
      <c r="I9066" s="8"/>
      <c r="O9066" t="str">
        <f>LEFT(Table2[[#This Row],[Description]],75)</f>
        <v>Publix</v>
      </c>
    </row>
    <row r="9067" spans="1:15" hidden="1">
      <c r="A9067" s="25">
        <f>VALUE(YEAR(Table2[[#This Row],[Date]])&amp;TEXT(MONTH(Table2[[#This Row],[Date]]),"00"))</f>
        <v>202304</v>
      </c>
      <c r="B9067" s="6">
        <v>45017</v>
      </c>
      <c r="C9067" t="s">
        <v>4006</v>
      </c>
      <c r="D9067" t="s">
        <v>4025</v>
      </c>
      <c r="E9067" s="53">
        <v>41.5</v>
      </c>
      <c r="F9067" s="2" t="str">
        <f>IF(Table2[[#This Row],[Manual Cat Value]]="",VLOOKUP(Table2[[#This Row],[Description]],'Actuals Lookup'!D:F,3,0),Table2[[#This Row],[Manual Cat Value]])</f>
        <v>Restaurants</v>
      </c>
      <c r="G9067" t="s">
        <v>26</v>
      </c>
      <c r="I9067" s="8"/>
      <c r="O9067" t="str">
        <f>LEFT(Table2[[#This Row],[Description]],75)</f>
        <v>Smokin R's Bbq Naples Fl Rqdp9hw5zii Squareup.com/receipts</v>
      </c>
    </row>
    <row r="9068" spans="1:15" hidden="1">
      <c r="A9068" s="25">
        <f>VALUE(YEAR(Table2[[#This Row],[Date]])&amp;TEXT(MONTH(Table2[[#This Row],[Date]]),"00"))</f>
        <v>202304</v>
      </c>
      <c r="B9068" s="6">
        <v>45017</v>
      </c>
      <c r="C9068" t="s">
        <v>4006</v>
      </c>
      <c r="D9068" t="s">
        <v>4025</v>
      </c>
      <c r="E9068">
        <v>-41.5</v>
      </c>
      <c r="F9068" s="2" t="str">
        <f>IF(Table2[[#This Row],[Manual Cat Value]]="",VLOOKUP(Table2[[#This Row],[Description]],'Actuals Lookup'!D:F,3,0),Table2[[#This Row],[Manual Cat Value]])</f>
        <v>Restaurants</v>
      </c>
      <c r="G9068" t="s">
        <v>26</v>
      </c>
      <c r="I9068" s="8"/>
      <c r="O9068" t="str">
        <f>LEFT(Table2[[#This Row],[Description]],75)</f>
        <v>Smokin R's Bbq Naples Fl Rqdp9hw5zii Squareup.com/receipts</v>
      </c>
    </row>
    <row r="9069" spans="1:15" hidden="1">
      <c r="A9069" s="25">
        <f>VALUE(YEAR(Table2[[#This Row],[Date]])&amp;TEXT(MONTH(Table2[[#This Row],[Date]]),"00"))</f>
        <v>202304</v>
      </c>
      <c r="B9069" s="6">
        <v>45017</v>
      </c>
      <c r="C9069" t="s">
        <v>4026</v>
      </c>
      <c r="D9069" t="s">
        <v>4027</v>
      </c>
      <c r="E9069" s="53">
        <v>618.65</v>
      </c>
      <c r="F9069" s="2" t="str">
        <f>IF(Table2[[#This Row],[Manual Cat Value]]="",VLOOKUP(Table2[[#This Row],[Description]],'Actuals Lookup'!D:F,3,0),Table2[[#This Row],[Manual Cat Value]])</f>
        <v>Exp - Car Loan</v>
      </c>
      <c r="H9069" s="8" t="s">
        <v>10</v>
      </c>
      <c r="I9069" s="8"/>
      <c r="O9069" t="str">
        <f>LEFT(Table2[[#This Row],[Description]],75)</f>
        <v>Withdrawal Home Banking Transfer To Loan 02 REF # 3832345</v>
      </c>
    </row>
    <row r="9070" spans="1:15" hidden="1">
      <c r="A9070" s="25">
        <f>VALUE(YEAR(Table2[[#This Row],[Date]])&amp;TEXT(MONTH(Table2[[#This Row],[Date]]),"00"))</f>
        <v>202304</v>
      </c>
      <c r="B9070" s="6">
        <v>45018</v>
      </c>
      <c r="C9070" t="s">
        <v>4028</v>
      </c>
      <c r="D9070" t="s">
        <v>4029</v>
      </c>
      <c r="E9070" s="53">
        <v>5.36</v>
      </c>
      <c r="F9070" s="2" t="str">
        <f>IF(Table2[[#This Row],[Manual Cat Value]]="",VLOOKUP(Table2[[#This Row],[Description]],'Actuals Lookup'!D:F,3,0),Table2[[#This Row],[Manual Cat Value]])</f>
        <v>Exp - Shopping</v>
      </c>
      <c r="H9070" s="8" t="s">
        <v>36</v>
      </c>
      <c r="I9070" s="8"/>
      <c r="O9070" t="str">
        <f>LEFT(Table2[[#This Row],[Description]],75)</f>
        <v>Amazon Music*HY9257YF0   888-802-3080 WA REF #24692162V302TS4ZQ</v>
      </c>
    </row>
    <row r="9071" spans="1:15" hidden="1">
      <c r="A9071" s="25">
        <f>VALUE(YEAR(Table2[[#This Row],[Date]])&amp;TEXT(MONTH(Table2[[#This Row],[Date]]),"00"))</f>
        <v>202304</v>
      </c>
      <c r="B9071" s="6">
        <v>45018</v>
      </c>
      <c r="C9071" t="s">
        <v>4030</v>
      </c>
      <c r="D9071" t="s">
        <v>4031</v>
      </c>
      <c r="E9071" s="53">
        <v>15.96</v>
      </c>
      <c r="F9071" s="2" t="str">
        <f>IF(Table2[[#This Row],[Manual Cat Value]]="",VLOOKUP(Table2[[#This Row],[Description]],'Actuals Lookup'!D:F,3,0),Table2[[#This Row],[Manual Cat Value]])</f>
        <v>Exp - Amazon</v>
      </c>
      <c r="H9071" s="8" t="s">
        <v>37</v>
      </c>
      <c r="I9071" s="8"/>
      <c r="O9071" t="str">
        <f>LEFT(Table2[[#This Row],[Description]],75)</f>
        <v>AMZN Mktp US*HS8HE9CE0   Amzn.com/billWA REF #24692162V305QQLWQ</v>
      </c>
    </row>
    <row r="9072" spans="1:15" hidden="1">
      <c r="A9072" s="25">
        <f>VALUE(YEAR(Table2[[#This Row],[Date]])&amp;TEXT(MONTH(Table2[[#This Row],[Date]]),"00"))</f>
        <v>202304</v>
      </c>
      <c r="B9072" s="6">
        <v>45018</v>
      </c>
      <c r="C9072" t="s">
        <v>4006</v>
      </c>
      <c r="D9072" t="s">
        <v>4032</v>
      </c>
      <c r="E9072" s="53">
        <v>15.85</v>
      </c>
      <c r="F9072" s="2" t="str">
        <f>IF(Table2[[#This Row],[Manual Cat Value]]="",VLOOKUP(Table2[[#This Row],[Description]],'Actuals Lookup'!D:F,3,0),Table2[[#This Row],[Manual Cat Value]])</f>
        <v>Restaurants</v>
      </c>
      <c r="G9072" t="s">
        <v>26</v>
      </c>
      <c r="I9072" s="8"/>
      <c r="O9072" t="str">
        <f>LEFT(Table2[[#This Row],[Description]],75)</f>
        <v>Mcdonald's</v>
      </c>
    </row>
    <row r="9073" spans="1:16" hidden="1">
      <c r="A9073" s="25">
        <f>VALUE(YEAR(Table2[[#This Row],[Date]])&amp;TEXT(MONTH(Table2[[#This Row],[Date]]),"00"))</f>
        <v>202304</v>
      </c>
      <c r="B9073" s="6">
        <v>45018</v>
      </c>
      <c r="C9073" t="s">
        <v>4006</v>
      </c>
      <c r="D9073" t="s">
        <v>4032</v>
      </c>
      <c r="E9073">
        <v>-15.85</v>
      </c>
      <c r="F9073" s="2" t="str">
        <f>IF(Table2[[#This Row],[Manual Cat Value]]="",VLOOKUP(Table2[[#This Row],[Description]],'Actuals Lookup'!D:F,3,0),Table2[[#This Row],[Manual Cat Value]])</f>
        <v>Restaurants</v>
      </c>
      <c r="G9073" t="s">
        <v>26</v>
      </c>
      <c r="I9073" s="8"/>
      <c r="O9073" t="str">
        <f>LEFT(Table2[[#This Row],[Description]],75)</f>
        <v>Mcdonald's</v>
      </c>
    </row>
    <row r="9074" spans="1:16" hidden="1">
      <c r="A9074" s="25">
        <f>VALUE(YEAR(Table2[[#This Row],[Date]])&amp;TEXT(MONTH(Table2[[#This Row],[Date]]),"00"))</f>
        <v>202304</v>
      </c>
      <c r="B9074" s="6">
        <v>45018</v>
      </c>
      <c r="C9074" t="s">
        <v>4033</v>
      </c>
      <c r="D9074" t="s">
        <v>4034</v>
      </c>
      <c r="E9074" s="53">
        <v>-89</v>
      </c>
      <c r="F9074" s="2" t="str">
        <f>IF(Table2[[#This Row],[Manual Cat Value]]="",VLOOKUP(Table2[[#This Row],[Description]],'Actuals Lookup'!D:F,3,0),Table2[[#This Row],[Manual Cat Value]])</f>
        <v>Exp - Entertainment</v>
      </c>
      <c r="H9074" s="8" t="s">
        <v>39</v>
      </c>
      <c r="I9074" s="8"/>
      <c r="O9074" t="str">
        <f>LEFT(Table2[[#This Row],[Description]],75)</f>
        <v>SP NORMAL BRAND LLC THENORMALBRAN CREDIT REF #24492162S000H2HSP</v>
      </c>
    </row>
    <row r="9075" spans="1:16" hidden="1">
      <c r="A9075" s="25">
        <f>VALUE(YEAR(Table2[[#This Row],[Date]])&amp;TEXT(MONTH(Table2[[#This Row],[Date]]),"00"))</f>
        <v>202304</v>
      </c>
      <c r="B9075" s="6">
        <v>45019</v>
      </c>
      <c r="C9075" t="s">
        <v>4006</v>
      </c>
      <c r="D9075" t="s">
        <v>4035</v>
      </c>
      <c r="E9075" s="53">
        <v>73.36</v>
      </c>
      <c r="F9075" s="2" t="str">
        <f>IF(Table2[[#This Row],[Manual Cat Value]]="",VLOOKUP(Table2[[#This Row],[Description]],'Actuals Lookup'!D:F,3,0),Table2[[#This Row],[Manual Cat Value]])</f>
        <v>Restaurants</v>
      </c>
      <c r="G9075" t="s">
        <v>26</v>
      </c>
      <c r="I9075" s="8"/>
      <c r="O9075" t="str">
        <f>LEFT(Table2[[#This Row],[Description]],75)</f>
        <v>Ruby Tuesday</v>
      </c>
    </row>
    <row r="9076" spans="1:16" hidden="1">
      <c r="A9076" s="25">
        <f>VALUE(YEAR(Table2[[#This Row],[Date]])&amp;TEXT(MONTH(Table2[[#This Row],[Date]]),"00"))</f>
        <v>202304</v>
      </c>
      <c r="B9076" s="6">
        <v>45019</v>
      </c>
      <c r="C9076" t="s">
        <v>4006</v>
      </c>
      <c r="D9076" t="s">
        <v>4035</v>
      </c>
      <c r="E9076">
        <v>-73.36</v>
      </c>
      <c r="F9076" s="2" t="str">
        <f>IF(Table2[[#This Row],[Manual Cat Value]]="",VLOOKUP(Table2[[#This Row],[Description]],'Actuals Lookup'!D:F,3,0),Table2[[#This Row],[Manual Cat Value]])</f>
        <v>Restaurants</v>
      </c>
      <c r="G9076" t="s">
        <v>26</v>
      </c>
      <c r="I9076" s="8"/>
      <c r="O9076" t="str">
        <f>LEFT(Table2[[#This Row],[Description]],75)</f>
        <v>Ruby Tuesday</v>
      </c>
    </row>
    <row r="9077" spans="1:16" hidden="1">
      <c r="A9077" s="25">
        <f>VALUE(YEAR(Table2[[#This Row],[Date]])&amp;TEXT(MONTH(Table2[[#This Row],[Date]]),"00"))</f>
        <v>202304</v>
      </c>
      <c r="B9077" s="6">
        <v>45019</v>
      </c>
      <c r="C9077" t="s">
        <v>4036</v>
      </c>
      <c r="D9077" t="s">
        <v>4037</v>
      </c>
      <c r="E9077" s="53">
        <v>500</v>
      </c>
      <c r="F9077" s="2" t="str">
        <f>IF(Table2[[#This Row],[Manual Cat Value]]="",VLOOKUP(Table2[[#This Row],[Description]],'Actuals Lookup'!D:F,3,0),Table2[[#This Row],[Manual Cat Value]])</f>
        <v>Sav - College Savings</v>
      </c>
      <c r="H9077" s="8" t="s">
        <v>60</v>
      </c>
      <c r="I9077" s="8"/>
      <c r="O9077" t="str">
        <f>LEFT(Table2[[#This Row],[Description]],75)</f>
        <v xml:space="preserve">Withdrawal ACH College Savings TYPE: ACH ID: 550895818 CO: College Savings </v>
      </c>
    </row>
    <row r="9078" spans="1:16" hidden="1">
      <c r="A9078" s="2">
        <v>201909</v>
      </c>
      <c r="B9078" s="3">
        <v>43731</v>
      </c>
      <c r="C9078" s="2" t="s">
        <v>64</v>
      </c>
      <c r="D9078" s="2" t="s">
        <v>1386</v>
      </c>
      <c r="E9078" s="2">
        <v>614.66999999999996</v>
      </c>
      <c r="F9078" s="2" t="s">
        <v>9</v>
      </c>
      <c r="J9078" s="2">
        <v>614.66999999999996</v>
      </c>
      <c r="K9078" s="2" t="b">
        <v>0</v>
      </c>
      <c r="L9078" s="2"/>
      <c r="M9078" s="2"/>
      <c r="N9078" s="4" t="s">
        <v>2259</v>
      </c>
      <c r="O9078" s="4" t="str">
        <f>LEFT(Table2[[#This Row],[Description]],75)</f>
        <v>OVERDRAFT TO INVESTOR CHECKING -5184</v>
      </c>
      <c r="P9078" s="2"/>
    </row>
    <row r="9079" spans="1:16" hidden="1">
      <c r="A9079" s="25">
        <f>VALUE(YEAR(Table2[[#This Row],[Date]])&amp;TEXT(MONTH(Table2[[#This Row],[Date]]),"00"))</f>
        <v>202304</v>
      </c>
      <c r="B9079" s="6">
        <v>45020</v>
      </c>
      <c r="C9079" t="s">
        <v>4038</v>
      </c>
      <c r="D9079" t="s">
        <v>4039</v>
      </c>
      <c r="E9079" s="53">
        <v>75.27</v>
      </c>
      <c r="F9079" s="2" t="str">
        <f>IF(Table2[[#This Row],[Manual Cat Value]]="",VLOOKUP(Table2[[#This Row],[Description]],'Actuals Lookup'!D:F,3,0),Table2[[#This Row],[Manual Cat Value]])</f>
        <v>Exp - Travel</v>
      </c>
      <c r="H9079" s="8" t="s">
        <v>52</v>
      </c>
      <c r="I9079" s="8"/>
      <c r="O9079" t="str">
        <f>LEFT(Table2[[#This Row],[Description]],75)</f>
        <v>SEAGULLCOVE LODGE        CHIRIQUI     PB REF #74505922X5KXEP17F</v>
      </c>
    </row>
    <row r="9080" spans="1:16" hidden="1">
      <c r="A9080" s="25">
        <f>VALUE(YEAR(Table2[[#This Row],[Date]])&amp;TEXT(MONTH(Table2[[#This Row],[Date]]),"00"))</f>
        <v>202304</v>
      </c>
      <c r="B9080" s="6">
        <v>45021</v>
      </c>
      <c r="C9080" t="s">
        <v>4040</v>
      </c>
      <c r="D9080" t="s">
        <v>4041</v>
      </c>
      <c r="E9080" s="53">
        <v>42.5</v>
      </c>
      <c r="F9080" s="2" t="str">
        <f>IF(Table2[[#This Row],[Manual Cat Value]]="",VLOOKUP(Table2[[#This Row],[Description]],'Actuals Lookup'!D:F,3,0),Table2[[#This Row],[Manual Cat Value]])</f>
        <v>Exp - Transportation</v>
      </c>
      <c r="H9080" s="8" t="s">
        <v>22</v>
      </c>
      <c r="I9080" s="8"/>
      <c r="O9080" t="str">
        <f>LEFT(Table2[[#This Row],[Description]],75)</f>
        <v>MINI SUPER DIYEAN        DAVID        PB REF #74345522X0SSKGHT7</v>
      </c>
    </row>
    <row r="9081" spans="1:16" hidden="1">
      <c r="A9081" s="25">
        <f>VALUE(YEAR(Table2[[#This Row],[Date]])&amp;TEXT(MONTH(Table2[[#This Row],[Date]]),"00"))</f>
        <v>202304</v>
      </c>
      <c r="B9081" s="6">
        <v>45021</v>
      </c>
      <c r="C9081" t="s">
        <v>4042</v>
      </c>
      <c r="D9081" t="s">
        <v>4043</v>
      </c>
      <c r="E9081" s="53">
        <v>198</v>
      </c>
      <c r="F9081" s="2" t="str">
        <f>IF(Table2[[#This Row],[Manual Cat Value]]="",VLOOKUP(Table2[[#This Row],[Description]],'Actuals Lookup'!D:F,3,0),Table2[[#This Row],[Manual Cat Value]])</f>
        <v>Exp - Travel</v>
      </c>
      <c r="H9081" s="8" t="s">
        <v>52</v>
      </c>
      <c r="I9081" s="8"/>
      <c r="O9081" t="str">
        <f>LEFT(Table2[[#This Row],[Description]],75)</f>
        <v>SEAGULLCOVE LODGE        CHIRIQUI     PB REF #74505922Y5353H7JE</v>
      </c>
    </row>
    <row r="9082" spans="1:16" hidden="1">
      <c r="A9082" s="25">
        <f>VALUE(YEAR(Table2[[#This Row],[Date]])&amp;TEXT(MONTH(Table2[[#This Row],[Date]]),"00"))</f>
        <v>202304</v>
      </c>
      <c r="B9082" s="6">
        <v>45022</v>
      </c>
      <c r="C9082" t="s">
        <v>4044</v>
      </c>
      <c r="D9082" t="s">
        <v>4045</v>
      </c>
      <c r="E9082" s="53">
        <v>-602.79999999999995</v>
      </c>
      <c r="F9082" s="2" t="str">
        <f>IF(Table2[[#This Row],[Manual Cat Value]]="",VLOOKUP(Table2[[#This Row],[Description]],'Actuals Lookup'!D:F,3,0),Table2[[#This Row],[Manual Cat Value]])</f>
        <v>Delete</v>
      </c>
      <c r="H9082" s="8" t="s">
        <v>9</v>
      </c>
      <c r="I9082" s="8"/>
      <c r="O9082" t="str">
        <f>LEFT(Table2[[#This Row],[Description]],75)</f>
        <v>Deposit ACH EMPYREAN SOLUTIO TYPE: 193XXXXXXX ID: 5330903620 CO: EMPYREAN S</v>
      </c>
    </row>
    <row r="9083" spans="1:16" hidden="1">
      <c r="A9083" s="25">
        <f>VALUE(YEAR(Table2[[#This Row],[Date]])&amp;TEXT(MONTH(Table2[[#This Row],[Date]]),"00"))</f>
        <v>202304</v>
      </c>
      <c r="B9083" s="6">
        <v>45023</v>
      </c>
      <c r="C9083" t="s">
        <v>4006</v>
      </c>
      <c r="D9083" t="s">
        <v>4046</v>
      </c>
      <c r="E9083" s="53">
        <v>1171.8900000000001</v>
      </c>
      <c r="F9083" s="2" t="str">
        <f>IF(Table2[[#This Row],[Manual Cat Value]]="",VLOOKUP(Table2[[#This Row],[Description]],'Actuals Lookup'!D:F,3,0),Table2[[#This Row],[Manual Cat Value]])</f>
        <v>Travel</v>
      </c>
      <c r="G9083" t="s">
        <v>43</v>
      </c>
      <c r="I9083" s="8"/>
      <c r="O9083" t="str">
        <f>LEFT(Table2[[#This Row],[Description]],75)</f>
        <v>Palenque Hotel Chiriqu Ch Lodging</v>
      </c>
    </row>
    <row r="9084" spans="1:16" hidden="1">
      <c r="A9084" s="25">
        <f>VALUE(YEAR(Table2[[#This Row],[Date]])&amp;TEXT(MONTH(Table2[[#This Row],[Date]]),"00"))</f>
        <v>202304</v>
      </c>
      <c r="B9084" s="6">
        <v>45023</v>
      </c>
      <c r="C9084" t="s">
        <v>4006</v>
      </c>
      <c r="D9084" t="s">
        <v>4046</v>
      </c>
      <c r="E9084">
        <v>-1171.8900000000001</v>
      </c>
      <c r="F9084" s="2" t="str">
        <f>IF(Table2[[#This Row],[Manual Cat Value]]="",VLOOKUP(Table2[[#This Row],[Description]],'Actuals Lookup'!D:F,3,0),Table2[[#This Row],[Manual Cat Value]])</f>
        <v>Travel</v>
      </c>
      <c r="G9084" t="s">
        <v>43</v>
      </c>
      <c r="I9084" s="8"/>
      <c r="O9084" t="str">
        <f>LEFT(Table2[[#This Row],[Description]],75)</f>
        <v>Palenque Hotel Chiriqu Ch Lodging</v>
      </c>
    </row>
    <row r="9085" spans="1:16" hidden="1">
      <c r="A9085" s="25">
        <f>VALUE(YEAR(Table2[[#This Row],[Date]])&amp;TEXT(MONTH(Table2[[#This Row],[Date]]),"00"))</f>
        <v>202304</v>
      </c>
      <c r="B9085" s="6">
        <v>45025</v>
      </c>
      <c r="C9085" t="s">
        <v>4047</v>
      </c>
      <c r="D9085" t="s">
        <v>4048</v>
      </c>
      <c r="E9085" s="53">
        <v>36</v>
      </c>
      <c r="F9085" s="2" t="str">
        <f>IF(Table2[[#This Row],[Manual Cat Value]]="",VLOOKUP(Table2[[#This Row],[Description]],'Actuals Lookup'!D:F,3,0),Table2[[#This Row],[Manual Cat Value]])</f>
        <v>Exp - Restaurants</v>
      </c>
      <c r="H9085" s="8" t="s">
        <v>25</v>
      </c>
      <c r="I9085" s="8"/>
      <c r="O9085" t="str">
        <f>LEFT(Table2[[#This Row],[Description]],75)</f>
        <v>DFA TOCUMEN C2 39        TOCUMEN      PB REF #7421956320628NPZ1</v>
      </c>
    </row>
    <row r="9086" spans="1:16" hidden="1">
      <c r="A9086" s="25">
        <f>VALUE(YEAR(Table2[[#This Row],[Date]])&amp;TEXT(MONTH(Table2[[#This Row],[Date]]),"00"))</f>
        <v>202304</v>
      </c>
      <c r="B9086" s="6">
        <v>45025</v>
      </c>
      <c r="C9086" t="s">
        <v>4049</v>
      </c>
      <c r="D9086" t="s">
        <v>4050</v>
      </c>
      <c r="E9086" s="53">
        <v>34.75</v>
      </c>
      <c r="F9086" s="2" t="str">
        <f>IF(Table2[[#This Row],[Manual Cat Value]]="",VLOOKUP(Table2[[#This Row],[Description]],'Actuals Lookup'!D:F,3,0),Table2[[#This Row],[Manual Cat Value]])</f>
        <v>Exp - Restaurants</v>
      </c>
      <c r="H9086" s="8" t="s">
        <v>25</v>
      </c>
      <c r="I9086" s="8"/>
      <c r="O9086" t="str">
        <f>LEFT(Table2[[#This Row],[Description]],75)</f>
        <v>KOTOWA COFFEE HOUSE-DA   CHIRIQUI     PB REF #7450592327TNFL481</v>
      </c>
    </row>
    <row r="9087" spans="1:16" hidden="1">
      <c r="A9087" s="25">
        <f>VALUE(YEAR(Table2[[#This Row],[Date]])&amp;TEXT(MONTH(Table2[[#This Row],[Date]]),"00"))</f>
        <v>202304</v>
      </c>
      <c r="B9087" s="6">
        <v>45025</v>
      </c>
      <c r="C9087" t="s">
        <v>4051</v>
      </c>
      <c r="D9087" t="s">
        <v>4052</v>
      </c>
      <c r="E9087" s="53">
        <v>47.25</v>
      </c>
      <c r="F9087" s="2" t="str">
        <f>IF(Table2[[#This Row],[Manual Cat Value]]="",VLOOKUP(Table2[[#This Row],[Description]],'Actuals Lookup'!D:F,3,0),Table2[[#This Row],[Manual Cat Value]])</f>
        <v>Exp - Gym</v>
      </c>
      <c r="H9087" s="8" t="s">
        <v>33</v>
      </c>
      <c r="I9087" s="8"/>
      <c r="O9087" t="str">
        <f>LEFT(Table2[[#This Row],[Description]],75)</f>
        <v>PELOTON* MEMBERSHIP      HTTPSWWW.ONEPNY REF #240113432000YL3FG</v>
      </c>
    </row>
    <row r="9088" spans="1:16" hidden="1">
      <c r="A9088" s="25">
        <f>VALUE(YEAR(Table2[[#This Row],[Date]])&amp;TEXT(MONTH(Table2[[#This Row],[Date]]),"00"))</f>
        <v>202304</v>
      </c>
      <c r="B9088" s="6">
        <v>45025</v>
      </c>
      <c r="C9088" t="s">
        <v>4053</v>
      </c>
      <c r="D9088" t="s">
        <v>4054</v>
      </c>
      <c r="E9088" s="53">
        <v>33.42</v>
      </c>
      <c r="F9088" s="2" t="str">
        <f>IF(Table2[[#This Row],[Manual Cat Value]]="",VLOOKUP(Table2[[#This Row],[Description]],'Actuals Lookup'!D:F,3,0),Table2[[#This Row],[Manual Cat Value]])</f>
        <v>Exp - Transportation</v>
      </c>
      <c r="H9088" s="8" t="s">
        <v>22</v>
      </c>
      <c r="I9088" s="8"/>
      <c r="O9088" t="str">
        <f>LEFT(Table2[[#This Row],[Description]],75)</f>
        <v>SUNSHINE #43             MIAMI        FL REF #240032232MWBEWPA0</v>
      </c>
    </row>
    <row r="9089" spans="1:15" hidden="1">
      <c r="A9089" s="25">
        <f>VALUE(YEAR(Table2[[#This Row],[Date]])&amp;TEXT(MONTH(Table2[[#This Row],[Date]]),"00"))</f>
        <v>202304</v>
      </c>
      <c r="B9089" s="6">
        <v>45025</v>
      </c>
      <c r="C9089" t="s">
        <v>4055</v>
      </c>
      <c r="D9089" t="s">
        <v>4056</v>
      </c>
      <c r="E9089" s="53">
        <v>8.67</v>
      </c>
      <c r="F9089" s="2" t="str">
        <f>IF(Table2[[#This Row],[Manual Cat Value]]="",VLOOKUP(Table2[[#This Row],[Description]],'Actuals Lookup'!D:F,3,0),Table2[[#This Row],[Manual Cat Value]])</f>
        <v>Exp - Transportation</v>
      </c>
      <c r="H9089" s="8" t="s">
        <v>22</v>
      </c>
      <c r="I9089" s="8"/>
      <c r="O9089" t="str">
        <f>LEFT(Table2[[#This Row],[Description]],75)</f>
        <v>SUNSHINE #43             MIAMI        FL REF #240032232MWBEWPAG</v>
      </c>
    </row>
    <row r="9090" spans="1:15" hidden="1">
      <c r="A9090" s="25">
        <f>VALUE(YEAR(Table2[[#This Row],[Date]])&amp;TEXT(MONTH(Table2[[#This Row],[Date]]),"00"))</f>
        <v>202304</v>
      </c>
      <c r="B9090" s="6">
        <v>45027</v>
      </c>
      <c r="C9090" t="s">
        <v>4057</v>
      </c>
      <c r="D9090" t="s">
        <v>4058</v>
      </c>
      <c r="E9090" s="53">
        <v>54.28</v>
      </c>
      <c r="F9090" s="2" t="str">
        <f>IF(Table2[[#This Row],[Manual Cat Value]]="",VLOOKUP(Table2[[#This Row],[Description]],'Actuals Lookup'!D:F,3,0),Table2[[#This Row],[Manual Cat Value]])</f>
        <v>Exp - Transportation</v>
      </c>
      <c r="H9090" s="8" t="s">
        <v>22</v>
      </c>
      <c r="I9090" s="8"/>
      <c r="O9090" t="str">
        <f>LEFT(Table2[[#This Row],[Description]],75)</f>
        <v>7-ELEVEN 33973           FT MYERS     FL REF #24034543400YQVFJR</v>
      </c>
    </row>
    <row r="9091" spans="1:15" hidden="1">
      <c r="A9091" s="25">
        <f>VALUE(YEAR(Table2[[#This Row],[Date]])&amp;TEXT(MONTH(Table2[[#This Row],[Date]]),"00"))</f>
        <v>202304</v>
      </c>
      <c r="B9091" s="6">
        <v>45027</v>
      </c>
      <c r="C9091" t="s">
        <v>4059</v>
      </c>
      <c r="D9091" t="s">
        <v>4060</v>
      </c>
      <c r="E9091" s="53">
        <v>-1601</v>
      </c>
      <c r="F9091" s="2" t="str">
        <f>IF(Table2[[#This Row],[Manual Cat Value]]="",VLOOKUP(Table2[[#This Row],[Description]],'Actuals Lookup'!D:F,3,0),Table2[[#This Row],[Manual Cat Value]])</f>
        <v>Delete</v>
      </c>
      <c r="H9091" s="8" t="s">
        <v>9</v>
      </c>
      <c r="I9091" s="8"/>
      <c r="O9091" t="str">
        <f>LEFT(Table2[[#This Row],[Description]],75)</f>
        <v>Deposit ACH DISCOVER BANK TYPE: PREARRANGE ID: 7510020271 CO: DISCOVER BANK</v>
      </c>
    </row>
    <row r="9092" spans="1:15" hidden="1">
      <c r="A9092" s="25">
        <f>VALUE(YEAR(Table2[[#This Row],[Date]])&amp;TEXT(MONTH(Table2[[#This Row],[Date]]),"00"))</f>
        <v>202304</v>
      </c>
      <c r="B9092" s="6">
        <v>45027</v>
      </c>
      <c r="C9092" t="s">
        <v>4006</v>
      </c>
      <c r="D9092" t="s">
        <v>4061</v>
      </c>
      <c r="E9092" s="53">
        <v>1.78</v>
      </c>
      <c r="F9092" s="2" t="str">
        <f>IF(Table2[[#This Row],[Manual Cat Value]]="",VLOOKUP(Table2[[#This Row],[Description]],'Actuals Lookup'!D:F,3,0),Table2[[#This Row],[Manual Cat Value]])</f>
        <v>Restaurants</v>
      </c>
      <c r="G9092" t="s">
        <v>26</v>
      </c>
      <c r="I9092" s="8"/>
      <c r="O9092" t="str">
        <f>LEFT(Table2[[#This Row],[Description]],75)</f>
        <v>Grubhub.com</v>
      </c>
    </row>
    <row r="9093" spans="1:15" hidden="1">
      <c r="A9093" s="25">
        <f>VALUE(YEAR(Table2[[#This Row],[Date]])&amp;TEXT(MONTH(Table2[[#This Row],[Date]]),"00"))</f>
        <v>202304</v>
      </c>
      <c r="B9093" s="6">
        <v>45027</v>
      </c>
      <c r="C9093" t="s">
        <v>4006</v>
      </c>
      <c r="D9093" t="s">
        <v>4061</v>
      </c>
      <c r="E9093">
        <v>-1.78</v>
      </c>
      <c r="F9093" s="2" t="str">
        <f>IF(Table2[[#This Row],[Manual Cat Value]]="",VLOOKUP(Table2[[#This Row],[Description]],'Actuals Lookup'!D:F,3,0),Table2[[#This Row],[Manual Cat Value]])</f>
        <v>Restaurants</v>
      </c>
      <c r="G9093" t="s">
        <v>26</v>
      </c>
      <c r="I9093" s="8"/>
      <c r="O9093" t="str">
        <f>LEFT(Table2[[#This Row],[Description]],75)</f>
        <v>Grubhub.com</v>
      </c>
    </row>
    <row r="9094" spans="1:15" hidden="1">
      <c r="A9094" s="25">
        <f>VALUE(YEAR(Table2[[#This Row],[Date]])&amp;TEXT(MONTH(Table2[[#This Row],[Date]]),"00"))</f>
        <v>202304</v>
      </c>
      <c r="B9094" s="6">
        <v>45027</v>
      </c>
      <c r="C9094" t="s">
        <v>4006</v>
      </c>
      <c r="D9094" t="s">
        <v>1707</v>
      </c>
      <c r="E9094" s="53">
        <v>52.82</v>
      </c>
      <c r="F9094" s="2" t="str">
        <f>IF(Table2[[#This Row],[Manual Cat Value]]="",VLOOKUP(Table2[[#This Row],[Description]],'Actuals Lookup'!D:F,3,0),Table2[[#This Row],[Manual Cat Value]])</f>
        <v>Transportation</v>
      </c>
      <c r="G9094" t="s">
        <v>23</v>
      </c>
      <c r="I9094" s="8"/>
      <c r="O9094" t="str">
        <f>LEFT(Table2[[#This Row],[Description]],75)</f>
        <v>Speedway</v>
      </c>
    </row>
    <row r="9095" spans="1:15" hidden="1">
      <c r="A9095" s="25">
        <f>VALUE(YEAR(Table2[[#This Row],[Date]])&amp;TEXT(MONTH(Table2[[#This Row],[Date]]),"00"))</f>
        <v>202304</v>
      </c>
      <c r="B9095" s="6">
        <v>45027</v>
      </c>
      <c r="C9095" t="s">
        <v>4006</v>
      </c>
      <c r="D9095" t="s">
        <v>1707</v>
      </c>
      <c r="E9095">
        <v>-52.82</v>
      </c>
      <c r="F9095" s="2" t="str">
        <f>IF(Table2[[#This Row],[Manual Cat Value]]="",VLOOKUP(Table2[[#This Row],[Description]],'Actuals Lookup'!D:F,3,0),Table2[[#This Row],[Manual Cat Value]])</f>
        <v>Transportation</v>
      </c>
      <c r="G9095" t="s">
        <v>23</v>
      </c>
      <c r="I9095" s="8"/>
      <c r="O9095" t="str">
        <f>LEFT(Table2[[#This Row],[Description]],75)</f>
        <v>Speedway</v>
      </c>
    </row>
    <row r="9096" spans="1:15" hidden="1">
      <c r="A9096" s="25">
        <f>VALUE(YEAR(Table2[[#This Row],[Date]])&amp;TEXT(MONTH(Table2[[#This Row],[Date]]),"00"))</f>
        <v>202304</v>
      </c>
      <c r="B9096" s="6">
        <v>45027</v>
      </c>
      <c r="C9096" t="s">
        <v>4062</v>
      </c>
      <c r="D9096" t="s">
        <v>4063</v>
      </c>
      <c r="E9096" s="53">
        <v>116.21</v>
      </c>
      <c r="F9096" s="2" t="str">
        <f>IF(Table2[[#This Row],[Manual Cat Value]]="",VLOOKUP(Table2[[#This Row],[Description]],'Actuals Lookup'!D:F,3,0),Table2[[#This Row],[Manual Cat Value]])</f>
        <v>Exp - Utilities</v>
      </c>
      <c r="H9096" s="8" t="s">
        <v>6</v>
      </c>
      <c r="I9096" s="8"/>
      <c r="O9096" t="str">
        <f>LEFT(Table2[[#This Row],[Description]],75)</f>
        <v>Withdrawal ACH XCEL ENERGY-MN TYPE: XCELENERGY ID: 7411967505 CO: XCEL ENER</v>
      </c>
    </row>
    <row r="9097" spans="1:15" hidden="1">
      <c r="A9097" s="25">
        <f>VALUE(YEAR(Table2[[#This Row],[Date]])&amp;TEXT(MONTH(Table2[[#This Row],[Date]]),"00"))</f>
        <v>202304</v>
      </c>
      <c r="B9097" s="6">
        <v>45028</v>
      </c>
      <c r="C9097" t="s">
        <v>3932</v>
      </c>
      <c r="D9097" t="s">
        <v>103</v>
      </c>
      <c r="E9097" s="53">
        <v>192.93</v>
      </c>
      <c r="F9097" s="2" t="str">
        <f>IF(Table2[[#This Row],[Manual Cat Value]]="",VLOOKUP(Table2[[#This Row],[Description]],'Actuals Lookup'!D:F,3,0),Table2[[#This Row],[Manual Cat Value]])</f>
        <v>Healthcare</v>
      </c>
      <c r="G9097" t="s">
        <v>48</v>
      </c>
      <c r="I9097" s="8"/>
      <c r="O9097" t="str">
        <f>LEFT(Table2[[#This Row],[Description]],75)</f>
        <v>Advocare</v>
      </c>
    </row>
    <row r="9098" spans="1:15" hidden="1">
      <c r="A9098" s="25">
        <f>VALUE(YEAR(Table2[[#This Row],[Date]])&amp;TEXT(MONTH(Table2[[#This Row],[Date]]),"00"))</f>
        <v>202304</v>
      </c>
      <c r="B9098" s="6">
        <v>45028</v>
      </c>
      <c r="C9098" t="s">
        <v>3932</v>
      </c>
      <c r="D9098" t="s">
        <v>103</v>
      </c>
      <c r="E9098">
        <v>-192.93</v>
      </c>
      <c r="F9098" s="2" t="str">
        <f>IF(Table2[[#This Row],[Manual Cat Value]]="",VLOOKUP(Table2[[#This Row],[Description]],'Actuals Lookup'!D:F,3,0),Table2[[#This Row],[Manual Cat Value]])</f>
        <v>Healthcare</v>
      </c>
      <c r="G9098" t="s">
        <v>48</v>
      </c>
      <c r="I9098" s="8"/>
      <c r="O9098" t="str">
        <f>LEFT(Table2[[#This Row],[Description]],75)</f>
        <v>Advocare</v>
      </c>
    </row>
    <row r="9099" spans="1:15" hidden="1">
      <c r="A9099" s="25">
        <f>VALUE(YEAR(Table2[[#This Row],[Date]])&amp;TEXT(MONTH(Table2[[#This Row],[Date]]),"00"))</f>
        <v>202304</v>
      </c>
      <c r="B9099" s="6">
        <v>45028</v>
      </c>
      <c r="C9099" t="s">
        <v>4064</v>
      </c>
      <c r="D9099" t="s">
        <v>4065</v>
      </c>
      <c r="E9099" s="53">
        <v>148</v>
      </c>
      <c r="F9099" s="2" t="str">
        <f>IF(Table2[[#This Row],[Manual Cat Value]]="",VLOOKUP(Table2[[#This Row],[Description]],'Actuals Lookup'!D:F,3,0),Table2[[#This Row],[Manual Cat Value]])</f>
        <v>Exp - Misc</v>
      </c>
      <c r="H9099" s="8" t="s">
        <v>46</v>
      </c>
      <c r="I9099" s="8"/>
      <c r="O9099" t="str">
        <f>LEFT(Table2[[#This Row],[Description]],75)</f>
        <v>INTUIT *TURBOTAX         CL.INTUIT.COMCA REF #2469216352Y3MR9KX</v>
      </c>
    </row>
    <row r="9100" spans="1:15" hidden="1">
      <c r="A9100" s="25">
        <f>VALUE(YEAR(Table2[[#This Row],[Date]])&amp;TEXT(MONTH(Table2[[#This Row],[Date]]),"00"))</f>
        <v>202304</v>
      </c>
      <c r="B9100" s="6">
        <v>45028</v>
      </c>
      <c r="C9100" t="s">
        <v>2519</v>
      </c>
      <c r="D9100" t="s">
        <v>4066</v>
      </c>
      <c r="E9100" s="53">
        <v>330</v>
      </c>
      <c r="F9100" s="2" t="str">
        <f>IF(Table2[[#This Row],[Manual Cat Value]]="",VLOOKUP(Table2[[#This Row],[Description]],'Actuals Lookup'!D:F,3,0),Table2[[#This Row],[Manual Cat Value]])</f>
        <v>Exp - Day Care</v>
      </c>
      <c r="H9100" s="8" t="s">
        <v>19</v>
      </c>
      <c r="I9100" s="8"/>
      <c r="O9100" t="str">
        <f>LEFT(Table2[[#This Row],[Description]],75)</f>
        <v xml:space="preserve">Withdrawal ACH MHCHILDCARELLC TYPE: DUES ID: 1824708198 CO: MHCHILDCARELLC </v>
      </c>
    </row>
    <row r="9101" spans="1:15" hidden="1">
      <c r="A9101" s="25">
        <f>VALUE(YEAR(Table2[[#This Row],[Date]])&amp;TEXT(MONTH(Table2[[#This Row],[Date]]),"00"))</f>
        <v>202304</v>
      </c>
      <c r="B9101" s="6">
        <v>45029</v>
      </c>
      <c r="C9101" t="s">
        <v>4067</v>
      </c>
      <c r="D9101" t="s">
        <v>4068</v>
      </c>
      <c r="E9101" s="53">
        <v>45</v>
      </c>
      <c r="F9101" s="2" t="str">
        <f>IF(Table2[[#This Row],[Manual Cat Value]]="",VLOOKUP(Table2[[#This Row],[Description]],'Actuals Lookup'!D:F,3,0),Table2[[#This Row],[Manual Cat Value]])</f>
        <v>Exp - Utilities</v>
      </c>
      <c r="H9101" s="8" t="s">
        <v>6</v>
      </c>
      <c r="I9101" s="8"/>
      <c r="O9101" t="str">
        <f>LEFT(Table2[[#This Row],[Description]],75)</f>
        <v>CENTURYLINK LUMEN        800-244-1111 LA REF #2469216362Z6G4MQ4</v>
      </c>
    </row>
    <row r="9102" spans="1:15" hidden="1">
      <c r="A9102" s="25">
        <f>VALUE(YEAR(Table2[[#This Row],[Date]])&amp;TEXT(MONTH(Table2[[#This Row],[Date]]),"00"))</f>
        <v>202304</v>
      </c>
      <c r="B9102" s="6">
        <v>45029</v>
      </c>
      <c r="C9102" t="s">
        <v>4069</v>
      </c>
      <c r="D9102" t="s">
        <v>4070</v>
      </c>
      <c r="E9102" s="53">
        <v>-2484.2199999999998</v>
      </c>
      <c r="F9102" s="2" t="str">
        <f>IF(Table2[[#This Row],[Manual Cat Value]]="",VLOOKUP(Table2[[#This Row],[Description]],'Actuals Lookup'!D:F,3,0),Table2[[#This Row],[Manual Cat Value]])</f>
        <v>Inc - Britney</v>
      </c>
      <c r="H9102" s="8" t="s">
        <v>65</v>
      </c>
      <c r="I9102" s="8"/>
      <c r="O9102" t="str">
        <f>LEFT(Table2[[#This Row],[Description]],75)</f>
        <v>Deposit ACH CARGILL INCORPOR TYPE: DIRECT DEP ID: 9111111101 CO: CARGILL IN</v>
      </c>
    </row>
    <row r="9103" spans="1:15" hidden="1">
      <c r="A9103" s="25">
        <f>VALUE(YEAR(Table2[[#This Row],[Date]])&amp;TEXT(MONTH(Table2[[#This Row],[Date]]),"00"))</f>
        <v>202304</v>
      </c>
      <c r="B9103" s="6">
        <v>45029</v>
      </c>
      <c r="C9103" t="s">
        <v>4071</v>
      </c>
      <c r="D9103" t="s">
        <v>4072</v>
      </c>
      <c r="E9103" s="53">
        <v>-3180.72</v>
      </c>
      <c r="F9103" s="2" t="str">
        <f>IF(Table2[[#This Row],[Manual Cat Value]]="",VLOOKUP(Table2[[#This Row],[Description]],'Actuals Lookup'!D:F,3,0),Table2[[#This Row],[Manual Cat Value]])</f>
        <v>Inc - Jeff</v>
      </c>
      <c r="H9103" s="8" t="s">
        <v>63</v>
      </c>
      <c r="I9103" s="8"/>
      <c r="O9103" t="str">
        <f>LEFT(Table2[[#This Row],[Description]],75)</f>
        <v>Deposit ACH TRINET TYPE: PAYROLL ID: 194XXXXXXX CO: TRINET Entry Class Code</v>
      </c>
    </row>
    <row r="9104" spans="1:15" hidden="1">
      <c r="A9104" s="25">
        <f>VALUE(YEAR(Table2[[#This Row],[Date]])&amp;TEXT(MONTH(Table2[[#This Row],[Date]]),"00"))</f>
        <v>202304</v>
      </c>
      <c r="B9104" s="6">
        <v>45029</v>
      </c>
      <c r="C9104" t="s">
        <v>4073</v>
      </c>
      <c r="D9104" t="s">
        <v>4074</v>
      </c>
      <c r="E9104" s="53">
        <v>52.25</v>
      </c>
      <c r="F9104" s="2" t="str">
        <f>IF(Table2[[#This Row],[Manual Cat Value]]="",VLOOKUP(Table2[[#This Row],[Description]],'Actuals Lookup'!D:F,3,0),Table2[[#This Row],[Manual Cat Value]])</f>
        <v>Exp - House Maint</v>
      </c>
      <c r="H9104" s="8" t="s">
        <v>1</v>
      </c>
      <c r="I9104" s="8"/>
      <c r="O9104" t="str">
        <f>LEFT(Table2[[#This Row],[Description]],75)</f>
        <v>HOMEDEPOT.COM            800-430-3376 GA REF #24943013609FJFEHB</v>
      </c>
    </row>
    <row r="9105" spans="1:15" hidden="1">
      <c r="A9105" s="25">
        <f>VALUE(YEAR(Table2[[#This Row],[Date]])&amp;TEXT(MONTH(Table2[[#This Row],[Date]]),"00"))</f>
        <v>202304</v>
      </c>
      <c r="B9105" s="6">
        <v>45029</v>
      </c>
      <c r="C9105" t="s">
        <v>4075</v>
      </c>
      <c r="D9105" t="s">
        <v>4076</v>
      </c>
      <c r="E9105" s="53">
        <v>42.59</v>
      </c>
      <c r="F9105" s="2" t="str">
        <f>IF(Table2[[#This Row],[Manual Cat Value]]="",VLOOKUP(Table2[[#This Row],[Description]],'Actuals Lookup'!D:F,3,0),Table2[[#This Row],[Manual Cat Value]])</f>
        <v>Exp - House Maint</v>
      </c>
      <c r="H9105" s="8" t="s">
        <v>1</v>
      </c>
      <c r="I9105" s="8"/>
      <c r="O9105" t="str">
        <f>LEFT(Table2[[#This Row],[Description]],75)</f>
        <v>HOMEDEPOT.COM            800-430-3376 GA REF #24943013609FL44N2</v>
      </c>
    </row>
    <row r="9106" spans="1:15" hidden="1">
      <c r="A9106" s="25">
        <f>VALUE(YEAR(Table2[[#This Row],[Date]])&amp;TEXT(MONTH(Table2[[#This Row],[Date]]),"00"))</f>
        <v>202304</v>
      </c>
      <c r="B9106" s="6">
        <v>45029</v>
      </c>
      <c r="C9106" t="s">
        <v>4077</v>
      </c>
      <c r="D9106" t="s">
        <v>4078</v>
      </c>
      <c r="E9106" s="53">
        <v>3424</v>
      </c>
      <c r="F9106" s="2" t="str">
        <f>IF(Table2[[#This Row],[Manual Cat Value]]="",VLOOKUP(Table2[[#This Row],[Description]],'Actuals Lookup'!D:F,3,0),Table2[[#This Row],[Manual Cat Value]])</f>
        <v>Delete</v>
      </c>
      <c r="H9106" s="8" t="s">
        <v>9</v>
      </c>
      <c r="I9106" s="8"/>
      <c r="O9106" t="str">
        <f>LEFT(Table2[[#This Row],[Description]],75)</f>
        <v>Withdrawal ACH MN DEPT OF REVEN TYPE: MN Rev pay ID: X416007162 CO: MN DEPT</v>
      </c>
    </row>
    <row r="9107" spans="1:15" hidden="1">
      <c r="A9107" s="25">
        <f>VALUE(YEAR(Table2[[#This Row],[Date]])&amp;TEXT(MONTH(Table2[[#This Row],[Date]]),"00"))</f>
        <v>202304</v>
      </c>
      <c r="B9107" s="6">
        <v>45030</v>
      </c>
      <c r="C9107" t="s">
        <v>3932</v>
      </c>
      <c r="D9107" t="s">
        <v>4079</v>
      </c>
      <c r="E9107" s="53">
        <v>-8.48</v>
      </c>
      <c r="F9107" s="2" t="str">
        <f>IF(Table2[[#This Row],[Manual Cat Value]]="",VLOOKUP(Table2[[#This Row],[Description]],'Actuals Lookup'!D:F,3,0),Table2[[#This Row],[Manual Cat Value]])</f>
        <v>Dividend</v>
      </c>
      <c r="G9107" t="s">
        <v>55</v>
      </c>
      <c r="I9107" s="8"/>
      <c r="O9107" t="str">
        <f>LEFT(Table2[[#This Row],[Description]],75)</f>
        <v>Cashback Bonus Redemption Pymt/stmt Crdt</v>
      </c>
    </row>
    <row r="9108" spans="1:15" hidden="1">
      <c r="A9108" s="25">
        <f>VALUE(YEAR(Table2[[#This Row],[Date]])&amp;TEXT(MONTH(Table2[[#This Row],[Date]]),"00"))</f>
        <v>202304</v>
      </c>
      <c r="B9108" s="6">
        <v>45030</v>
      </c>
      <c r="C9108" t="s">
        <v>3932</v>
      </c>
      <c r="D9108" t="s">
        <v>4079</v>
      </c>
      <c r="E9108">
        <v>8.48</v>
      </c>
      <c r="F9108" s="2" t="str">
        <f>IF(Table2[[#This Row],[Manual Cat Value]]="",VLOOKUP(Table2[[#This Row],[Description]],'Actuals Lookup'!D:F,3,0),Table2[[#This Row],[Manual Cat Value]])</f>
        <v>Dividend</v>
      </c>
      <c r="G9108" t="s">
        <v>55</v>
      </c>
      <c r="I9108" s="8"/>
      <c r="O9108" t="str">
        <f>LEFT(Table2[[#This Row],[Description]],75)</f>
        <v>Cashback Bonus Redemption Pymt/stmt Crdt</v>
      </c>
    </row>
    <row r="9109" spans="1:15" hidden="1">
      <c r="A9109" s="25">
        <f>VALUE(YEAR(Table2[[#This Row],[Date]])&amp;TEXT(MONTH(Table2[[#This Row],[Date]]),"00"))</f>
        <v>202304</v>
      </c>
      <c r="B9109" s="6">
        <v>45030</v>
      </c>
      <c r="C9109" t="s">
        <v>4006</v>
      </c>
      <c r="D9109" t="s">
        <v>4080</v>
      </c>
      <c r="E9109" s="53">
        <v>63.32</v>
      </c>
      <c r="F9109" s="2" t="str">
        <f>IF(Table2[[#This Row],[Manual Cat Value]]="",VLOOKUP(Table2[[#This Row],[Description]],'Actuals Lookup'!D:F,3,0),Table2[[#This Row],[Manual Cat Value]])</f>
        <v>Groceries</v>
      </c>
      <c r="G9109" t="s">
        <v>28</v>
      </c>
      <c r="I9109" s="8"/>
      <c r="O9109" t="str">
        <f>LEFT(Table2[[#This Row],[Description]],75)</f>
        <v>Lakewinds Food Co-op</v>
      </c>
    </row>
    <row r="9110" spans="1:15" hidden="1">
      <c r="A9110" s="25">
        <f>VALUE(YEAR(Table2[[#This Row],[Date]])&amp;TEXT(MONTH(Table2[[#This Row],[Date]]),"00"))</f>
        <v>202304</v>
      </c>
      <c r="B9110" s="6">
        <v>45030</v>
      </c>
      <c r="C9110" t="s">
        <v>4006</v>
      </c>
      <c r="D9110" t="s">
        <v>4080</v>
      </c>
      <c r="E9110">
        <v>-63.32</v>
      </c>
      <c r="F9110" s="2" t="str">
        <f>IF(Table2[[#This Row],[Manual Cat Value]]="",VLOOKUP(Table2[[#This Row],[Description]],'Actuals Lookup'!D:F,3,0),Table2[[#This Row],[Manual Cat Value]])</f>
        <v>Groceries</v>
      </c>
      <c r="G9110" t="s">
        <v>28</v>
      </c>
      <c r="I9110" s="8"/>
      <c r="O9110" t="str">
        <f>LEFT(Table2[[#This Row],[Description]],75)</f>
        <v>Lakewinds Food Co-op</v>
      </c>
    </row>
    <row r="9111" spans="1:15" hidden="1">
      <c r="A9111" s="25">
        <f>VALUE(YEAR(Table2[[#This Row],[Date]])&amp;TEXT(MONTH(Table2[[#This Row],[Date]]),"00"))</f>
        <v>202304</v>
      </c>
      <c r="B9111" s="6">
        <v>45030</v>
      </c>
      <c r="C9111" t="s">
        <v>4081</v>
      </c>
      <c r="D9111" t="s">
        <v>4082</v>
      </c>
      <c r="E9111" s="53">
        <v>140.52000000000001</v>
      </c>
      <c r="F9111" s="2" t="str">
        <f>IF(Table2[[#This Row],[Manual Cat Value]]="",VLOOKUP(Table2[[#This Row],[Description]],'Actuals Lookup'!D:F,3,0),Table2[[#This Row],[Manual Cat Value]])</f>
        <v>Exp - Utilities</v>
      </c>
      <c r="H9111" s="8" t="s">
        <v>6</v>
      </c>
      <c r="I9111" s="8"/>
      <c r="O9111" t="str">
        <f>LEFT(Table2[[#This Row],[Description]],75)</f>
        <v xml:space="preserve">Withdrawal ACH CPENERGY MNGCO TYPE: MGC ACH EB ID: 176051140S CO: CPENERGY </v>
      </c>
    </row>
    <row r="9112" spans="1:15" hidden="1">
      <c r="A9112" s="25">
        <f>VALUE(YEAR(Table2[[#This Row],[Date]])&amp;TEXT(MONTH(Table2[[#This Row],[Date]]),"00"))</f>
        <v>202304</v>
      </c>
      <c r="B9112" s="6">
        <v>45030</v>
      </c>
      <c r="C9112" t="s">
        <v>3932</v>
      </c>
      <c r="D9112" t="s">
        <v>3988</v>
      </c>
      <c r="E9112" s="53">
        <v>-652.96</v>
      </c>
      <c r="F9112" s="2" t="str">
        <f>IF(Table2[[#This Row],[Manual Cat Value]]="",VLOOKUP(Table2[[#This Row],[Description]],'Actuals Lookup'!D:F,3,0),Table2[[#This Row],[Manual Cat Value]])</f>
        <v>Delete</v>
      </c>
      <c r="G9112" t="s">
        <v>8</v>
      </c>
      <c r="I9112" s="8"/>
      <c r="O9112" t="str">
        <f>LEFT(Table2[[#This Row],[Description]],75)</f>
        <v>Internet Payment - Thank You</v>
      </c>
    </row>
    <row r="9113" spans="1:15" hidden="1">
      <c r="A9113" s="25">
        <f>VALUE(YEAR(Table2[[#This Row],[Date]])&amp;TEXT(MONTH(Table2[[#This Row],[Date]]),"00"))</f>
        <v>202304</v>
      </c>
      <c r="B9113" s="6">
        <v>45030</v>
      </c>
      <c r="C9113" t="s">
        <v>3932</v>
      </c>
      <c r="D9113" t="s">
        <v>3988</v>
      </c>
      <c r="E9113">
        <v>652.96</v>
      </c>
      <c r="F9113" s="2" t="str">
        <f>IF(Table2[[#This Row],[Manual Cat Value]]="",VLOOKUP(Table2[[#This Row],[Description]],'Actuals Lookup'!D:F,3,0),Table2[[#This Row],[Manual Cat Value]])</f>
        <v>Delete</v>
      </c>
      <c r="G9113" t="s">
        <v>8</v>
      </c>
      <c r="I9113" s="8"/>
      <c r="O9113" t="str">
        <f>LEFT(Table2[[#This Row],[Description]],75)</f>
        <v>Internet Payment - Thank You</v>
      </c>
    </row>
    <row r="9114" spans="1:15" hidden="1">
      <c r="A9114" s="25">
        <f>VALUE(YEAR(Table2[[#This Row],[Date]])&amp;TEXT(MONTH(Table2[[#This Row],[Date]]),"00"))</f>
        <v>202304</v>
      </c>
      <c r="B9114" s="6">
        <v>45030</v>
      </c>
      <c r="C9114" t="s">
        <v>4083</v>
      </c>
      <c r="D9114" t="s">
        <v>4084</v>
      </c>
      <c r="E9114" s="53">
        <v>90.39</v>
      </c>
      <c r="F9114" s="2" t="str">
        <f>IF(Table2[[#This Row],[Manual Cat Value]]="",VLOOKUP(Table2[[#This Row],[Description]],'Actuals Lookup'!D:F,3,0),Table2[[#This Row],[Manual Cat Value]])</f>
        <v>Exp - Insurance</v>
      </c>
      <c r="H9114" s="8" t="s">
        <v>17</v>
      </c>
      <c r="I9114" s="8"/>
      <c r="O9114" t="str">
        <f>LEFT(Table2[[#This Row],[Description]],75)</f>
        <v>Withdrawal ACH AMERICAN FAMILY TYPE: WEBPAYMENT ID: PEBP075965 CO: AMERICAN</v>
      </c>
    </row>
    <row r="9115" spans="1:15" hidden="1">
      <c r="A9115" s="25">
        <f>VALUE(YEAR(Table2[[#This Row],[Date]])&amp;TEXT(MONTH(Table2[[#This Row],[Date]]),"00"))</f>
        <v>202304</v>
      </c>
      <c r="B9115" s="6">
        <v>45031</v>
      </c>
      <c r="C9115" t="s">
        <v>4006</v>
      </c>
      <c r="D9115" t="s">
        <v>4085</v>
      </c>
      <c r="E9115" s="53">
        <v>50</v>
      </c>
      <c r="F9115" s="2" t="str">
        <f>IF(Table2[[#This Row],[Manual Cat Value]]="",VLOOKUP(Table2[[#This Row],[Description]],'Actuals Lookup'!D:F,3,0),Table2[[#This Row],[Manual Cat Value]])</f>
        <v>Travel</v>
      </c>
      <c r="G9115" t="s">
        <v>43</v>
      </c>
      <c r="I9115" s="8"/>
      <c r="O9115" t="str">
        <f>LEFT(Table2[[#This Row],[Description]],75)</f>
        <v>Creede Snowshoe Lodgcreede Co Xxxxxxxxxxxxxx-xxx-2315</v>
      </c>
    </row>
    <row r="9116" spans="1:15" hidden="1">
      <c r="A9116" s="25">
        <f>VALUE(YEAR(Table2[[#This Row],[Date]])&amp;TEXT(MONTH(Table2[[#This Row],[Date]]),"00"))</f>
        <v>202304</v>
      </c>
      <c r="B9116" s="6">
        <v>45031</v>
      </c>
      <c r="C9116" t="s">
        <v>4006</v>
      </c>
      <c r="D9116" t="s">
        <v>4085</v>
      </c>
      <c r="E9116">
        <v>-50</v>
      </c>
      <c r="F9116" s="2" t="str">
        <f>IF(Table2[[#This Row],[Manual Cat Value]]="",VLOOKUP(Table2[[#This Row],[Description]],'Actuals Lookup'!D:F,3,0),Table2[[#This Row],[Manual Cat Value]])</f>
        <v>Travel</v>
      </c>
      <c r="G9116" t="s">
        <v>43</v>
      </c>
      <c r="I9116" s="8"/>
      <c r="O9116" t="str">
        <f>LEFT(Table2[[#This Row],[Description]],75)</f>
        <v>Creede Snowshoe Lodgcreede Co Xxxxxxxxxxxxxx-xxx-2315</v>
      </c>
    </row>
    <row r="9117" spans="1:15" hidden="1">
      <c r="A9117" s="25">
        <f>VALUE(YEAR(Table2[[#This Row],[Date]])&amp;TEXT(MONTH(Table2[[#This Row],[Date]]),"00"))</f>
        <v>202304</v>
      </c>
      <c r="B9117" s="6">
        <v>45031</v>
      </c>
      <c r="C9117" t="s">
        <v>4006</v>
      </c>
      <c r="D9117" t="s">
        <v>4086</v>
      </c>
      <c r="E9117" s="53">
        <v>71.739999999999995</v>
      </c>
      <c r="F9117" s="2" t="str">
        <f>IF(Table2[[#This Row],[Manual Cat Value]]="",VLOOKUP(Table2[[#This Row],[Description]],'Actuals Lookup'!D:F,3,0),Table2[[#This Row],[Manual Cat Value]])</f>
        <v>Restaurants</v>
      </c>
      <c r="G9117" t="s">
        <v>26</v>
      </c>
      <c r="I9117" s="8"/>
      <c r="O9117" t="str">
        <f>LEFT(Table2[[#This Row],[Description]],75)</f>
        <v>Red Rabbit</v>
      </c>
    </row>
    <row r="9118" spans="1:15" hidden="1">
      <c r="A9118" s="25">
        <f>VALUE(YEAR(Table2[[#This Row],[Date]])&amp;TEXT(MONTH(Table2[[#This Row],[Date]]),"00"))</f>
        <v>202304</v>
      </c>
      <c r="B9118" s="6">
        <v>45031</v>
      </c>
      <c r="C9118" t="s">
        <v>4006</v>
      </c>
      <c r="D9118" t="s">
        <v>4086</v>
      </c>
      <c r="E9118">
        <v>-71.739999999999995</v>
      </c>
      <c r="F9118" s="2" t="str">
        <f>IF(Table2[[#This Row],[Manual Cat Value]]="",VLOOKUP(Table2[[#This Row],[Description]],'Actuals Lookup'!D:F,3,0),Table2[[#This Row],[Manual Cat Value]])</f>
        <v>Restaurants</v>
      </c>
      <c r="G9118" t="s">
        <v>26</v>
      </c>
      <c r="I9118" s="8"/>
      <c r="O9118" t="str">
        <f>LEFT(Table2[[#This Row],[Description]],75)</f>
        <v>Red Rabbit</v>
      </c>
    </row>
    <row r="9119" spans="1:15" hidden="1">
      <c r="A9119" s="25">
        <f>VALUE(YEAR(Table2[[#This Row],[Date]])&amp;TEXT(MONTH(Table2[[#This Row],[Date]]),"00"))</f>
        <v>202304</v>
      </c>
      <c r="B9119" s="6">
        <v>45031</v>
      </c>
      <c r="C9119" t="s">
        <v>4006</v>
      </c>
      <c r="D9119" t="s">
        <v>4087</v>
      </c>
      <c r="E9119" s="53">
        <v>20.63</v>
      </c>
      <c r="F9119" s="2" t="str">
        <f>IF(Table2[[#This Row],[Manual Cat Value]]="",VLOOKUP(Table2[[#This Row],[Description]],'Actuals Lookup'!D:F,3,0),Table2[[#This Row],[Manual Cat Value]])</f>
        <v>Restaurants</v>
      </c>
      <c r="G9119" t="s">
        <v>26</v>
      </c>
      <c r="I9119" s="8"/>
      <c r="O9119" t="str">
        <f>LEFT(Table2[[#This Row],[Description]],75)</f>
        <v>The Monte Carlo 5455minneapolis Xxxxxxx3106 Dleegervais@gmail.com</v>
      </c>
    </row>
    <row r="9120" spans="1:15" hidden="1">
      <c r="A9120" s="25">
        <f>VALUE(YEAR(Table2[[#This Row],[Date]])&amp;TEXT(MONTH(Table2[[#This Row],[Date]]),"00"))</f>
        <v>202304</v>
      </c>
      <c r="B9120" s="6">
        <v>45031</v>
      </c>
      <c r="C9120" t="s">
        <v>4006</v>
      </c>
      <c r="D9120" t="s">
        <v>4087</v>
      </c>
      <c r="E9120">
        <v>-20.63</v>
      </c>
      <c r="F9120" s="2" t="str">
        <f>IF(Table2[[#This Row],[Manual Cat Value]]="",VLOOKUP(Table2[[#This Row],[Description]],'Actuals Lookup'!D:F,3,0),Table2[[#This Row],[Manual Cat Value]])</f>
        <v>Restaurants</v>
      </c>
      <c r="G9120" t="s">
        <v>26</v>
      </c>
      <c r="I9120" s="8"/>
      <c r="O9120" t="str">
        <f>LEFT(Table2[[#This Row],[Description]],75)</f>
        <v>The Monte Carlo 5455minneapolis Xxxxxxx3106 Dleegervais@gmail.com</v>
      </c>
    </row>
    <row r="9121" spans="1:15" hidden="1">
      <c r="A9121" s="25">
        <f>VALUE(YEAR(Table2[[#This Row],[Date]])&amp;TEXT(MONTH(Table2[[#This Row],[Date]]),"00"))</f>
        <v>202304</v>
      </c>
      <c r="B9121" s="6">
        <v>45031</v>
      </c>
      <c r="C9121" t="s">
        <v>4006</v>
      </c>
      <c r="D9121" t="s">
        <v>4088</v>
      </c>
      <c r="E9121" s="53">
        <v>44.56</v>
      </c>
      <c r="F9121" s="2" t="str">
        <f>IF(Table2[[#This Row],[Manual Cat Value]]="",VLOOKUP(Table2[[#This Row],[Description]],'Actuals Lookup'!D:F,3,0),Table2[[#This Row],[Manual Cat Value]])</f>
        <v>Restaurants</v>
      </c>
      <c r="G9121" t="s">
        <v>26</v>
      </c>
      <c r="I9121" s="8"/>
      <c r="O9121" t="str">
        <f>LEFT(Table2[[#This Row],[Description]],75)</f>
        <v>Willy Mccoys Chaska Chaska Mn Xxxxxxx3106 Bar/nightclub</v>
      </c>
    </row>
    <row r="9122" spans="1:15" hidden="1">
      <c r="A9122" s="25">
        <f>VALUE(YEAR(Table2[[#This Row],[Date]])&amp;TEXT(MONTH(Table2[[#This Row],[Date]]),"00"))</f>
        <v>202304</v>
      </c>
      <c r="B9122" s="6">
        <v>45031</v>
      </c>
      <c r="C9122" t="s">
        <v>4006</v>
      </c>
      <c r="D9122" t="s">
        <v>4088</v>
      </c>
      <c r="E9122">
        <v>-44.56</v>
      </c>
      <c r="F9122" s="2" t="str">
        <f>IF(Table2[[#This Row],[Manual Cat Value]]="",VLOOKUP(Table2[[#This Row],[Description]],'Actuals Lookup'!D:F,3,0),Table2[[#This Row],[Manual Cat Value]])</f>
        <v>Restaurants</v>
      </c>
      <c r="G9122" t="s">
        <v>26</v>
      </c>
      <c r="I9122" s="8"/>
      <c r="O9122" t="str">
        <f>LEFT(Table2[[#This Row],[Description]],75)</f>
        <v>Willy Mccoys Chaska Chaska Mn Xxxxxxx3106 Bar/nightclub</v>
      </c>
    </row>
    <row r="9123" spans="1:15" hidden="1">
      <c r="A9123" s="25">
        <f>VALUE(YEAR(Table2[[#This Row],[Date]])&amp;TEXT(MONTH(Table2[[#This Row],[Date]]),"00"))</f>
        <v>202304</v>
      </c>
      <c r="B9123" s="6">
        <v>45032</v>
      </c>
      <c r="C9123" t="s">
        <v>4089</v>
      </c>
      <c r="D9123" t="s">
        <v>4090</v>
      </c>
      <c r="E9123" s="53">
        <v>100.98</v>
      </c>
      <c r="F9123" s="2" t="str">
        <f>IF(Table2[[#This Row],[Manual Cat Value]]="",VLOOKUP(Table2[[#This Row],[Description]],'Actuals Lookup'!D:F,3,0),Table2[[#This Row],[Manual Cat Value]])</f>
        <v>Exp - Amazon</v>
      </c>
      <c r="H9123" s="8" t="s">
        <v>37</v>
      </c>
      <c r="I9123" s="8"/>
      <c r="O9123" t="str">
        <f>LEFT(Table2[[#This Row],[Description]],75)</f>
        <v>AMZN Mktp US*HJ5KY2862   Amzn.com/billWA REF #24692163930VZRM1K</v>
      </c>
    </row>
    <row r="9124" spans="1:15" hidden="1">
      <c r="A9124" s="25">
        <f>VALUE(YEAR(Table2[[#This Row],[Date]])&amp;TEXT(MONTH(Table2[[#This Row],[Date]]),"00"))</f>
        <v>202304</v>
      </c>
      <c r="B9124" s="6">
        <v>45032</v>
      </c>
      <c r="C9124" t="s">
        <v>4091</v>
      </c>
      <c r="D9124" t="s">
        <v>4092</v>
      </c>
      <c r="E9124" s="53">
        <v>83.96</v>
      </c>
      <c r="F9124" s="2" t="str">
        <f>IF(Table2[[#This Row],[Manual Cat Value]]="",VLOOKUP(Table2[[#This Row],[Description]],'Actuals Lookup'!D:F,3,0),Table2[[#This Row],[Manual Cat Value]])</f>
        <v>Exp - Groceries</v>
      </c>
      <c r="H9124" s="8" t="s">
        <v>27</v>
      </c>
      <c r="I9124" s="8"/>
      <c r="O9124" t="str">
        <f>LEFT(Table2[[#This Row],[Description]],75)</f>
        <v>CUB FOODS 01644          952-934-1010 MN REF #2423168382DDXJ2VM</v>
      </c>
    </row>
    <row r="9125" spans="1:15" hidden="1">
      <c r="A9125" s="25">
        <f>VALUE(YEAR(Table2[[#This Row],[Date]])&amp;TEXT(MONTH(Table2[[#This Row],[Date]]),"00"))</f>
        <v>202304</v>
      </c>
      <c r="B9125" s="6">
        <v>45032</v>
      </c>
      <c r="C9125" t="s">
        <v>4006</v>
      </c>
      <c r="D9125" t="s">
        <v>703</v>
      </c>
      <c r="E9125" s="53">
        <v>132</v>
      </c>
      <c r="F9125" s="2" t="str">
        <f>IF(Table2[[#This Row],[Manual Cat Value]]="",VLOOKUP(Table2[[#This Row],[Description]],'Actuals Lookup'!D:F,3,0),Table2[[#This Row],[Manual Cat Value]])</f>
        <v>Delete</v>
      </c>
      <c r="G9125" t="s">
        <v>43</v>
      </c>
      <c r="I9125" s="8"/>
      <c r="O9125" t="str">
        <f>LEFT(Table2[[#This Row],[Description]],75)</f>
        <v>Delta Air Lines</v>
      </c>
    </row>
    <row r="9126" spans="1:15" hidden="1">
      <c r="A9126" s="25">
        <f>VALUE(YEAR(Table2[[#This Row],[Date]])&amp;TEXT(MONTH(Table2[[#This Row],[Date]]),"00"))</f>
        <v>202304</v>
      </c>
      <c r="B9126" s="6">
        <v>45032</v>
      </c>
      <c r="C9126" t="s">
        <v>4006</v>
      </c>
      <c r="D9126" t="s">
        <v>703</v>
      </c>
      <c r="E9126">
        <v>-132</v>
      </c>
      <c r="F9126" s="2" t="str">
        <f>IF(Table2[[#This Row],[Manual Cat Value]]="",VLOOKUP(Table2[[#This Row],[Description]],'Actuals Lookup'!D:F,3,0),Table2[[#This Row],[Manual Cat Value]])</f>
        <v>Delete</v>
      </c>
      <c r="G9126" t="s">
        <v>43</v>
      </c>
      <c r="I9126" s="8"/>
      <c r="O9126" t="str">
        <f>LEFT(Table2[[#This Row],[Description]],75)</f>
        <v>Delta Air Lines</v>
      </c>
    </row>
    <row r="9127" spans="1:15" hidden="1">
      <c r="A9127" s="25">
        <f>VALUE(YEAR(Table2[[#This Row],[Date]])&amp;TEXT(MONTH(Table2[[#This Row],[Date]]),"00"))</f>
        <v>202304</v>
      </c>
      <c r="B9127" s="6">
        <v>45032</v>
      </c>
      <c r="C9127" t="s">
        <v>4006</v>
      </c>
      <c r="D9127" t="s">
        <v>4093</v>
      </c>
      <c r="E9127" s="53">
        <v>55.46</v>
      </c>
      <c r="F9127" s="2" t="str">
        <f>IF(Table2[[#This Row],[Manual Cat Value]]="",VLOOKUP(Table2[[#This Row],[Description]],'Actuals Lookup'!D:F,3,0),Table2[[#This Row],[Manual Cat Value]])</f>
        <v>Groceries</v>
      </c>
      <c r="G9127" t="s">
        <v>28</v>
      </c>
      <c r="I9127" s="8"/>
      <c r="O9127" t="str">
        <f>LEFT(Table2[[#This Row],[Description]],75)</f>
        <v>Kowalski's Market</v>
      </c>
    </row>
    <row r="9128" spans="1:15" hidden="1">
      <c r="A9128" s="25">
        <f>VALUE(YEAR(Table2[[#This Row],[Date]])&amp;TEXT(MONTH(Table2[[#This Row],[Date]]),"00"))</f>
        <v>202304</v>
      </c>
      <c r="B9128" s="6">
        <v>45032</v>
      </c>
      <c r="C9128" t="s">
        <v>4006</v>
      </c>
      <c r="D9128" t="s">
        <v>4093</v>
      </c>
      <c r="E9128">
        <v>-55.46</v>
      </c>
      <c r="F9128" s="2" t="str">
        <f>IF(Table2[[#This Row],[Manual Cat Value]]="",VLOOKUP(Table2[[#This Row],[Description]],'Actuals Lookup'!D:F,3,0),Table2[[#This Row],[Manual Cat Value]])</f>
        <v>Groceries</v>
      </c>
      <c r="G9128" t="s">
        <v>28</v>
      </c>
      <c r="I9128" s="8"/>
      <c r="O9128" t="str">
        <f>LEFT(Table2[[#This Row],[Description]],75)</f>
        <v>Kowalski's Market</v>
      </c>
    </row>
    <row r="9129" spans="1:15" hidden="1">
      <c r="A9129" s="25">
        <f>VALUE(YEAR(Table2[[#This Row],[Date]])&amp;TEXT(MONTH(Table2[[#This Row],[Date]]),"00"))</f>
        <v>202304</v>
      </c>
      <c r="B9129" s="6">
        <v>45032</v>
      </c>
      <c r="C9129" t="s">
        <v>4094</v>
      </c>
      <c r="D9129" t="s">
        <v>4095</v>
      </c>
      <c r="E9129" s="53">
        <v>23.6</v>
      </c>
      <c r="F9129" s="2" t="str">
        <f>IF(Table2[[#This Row],[Manual Cat Value]]="",VLOOKUP(Table2[[#This Row],[Description]],'Actuals Lookup'!D:F,3,0),Table2[[#This Row],[Manual Cat Value]])</f>
        <v>Exp - Day Care</v>
      </c>
      <c r="H9129" s="8" t="s">
        <v>19</v>
      </c>
      <c r="I9129" s="8"/>
      <c r="O9129" t="str">
        <f>LEFT(Table2[[#This Row],[Description]],75)</f>
        <v>Scholastic Inc.         800-724-6527 NY REF #240095839HEXNL08H</v>
      </c>
    </row>
    <row r="9130" spans="1:15" hidden="1">
      <c r="A9130" s="25">
        <f>VALUE(YEAR(Table2[[#This Row],[Date]])&amp;TEXT(MONTH(Table2[[#This Row],[Date]]),"00"))</f>
        <v>202304</v>
      </c>
      <c r="B9130" s="6">
        <v>45032</v>
      </c>
      <c r="C9130" t="s">
        <v>4096</v>
      </c>
      <c r="D9130" t="s">
        <v>4097</v>
      </c>
      <c r="E9130" s="53">
        <v>-68</v>
      </c>
      <c r="F9130" s="2" t="str">
        <f>IF(Table2[[#This Row],[Manual Cat Value]]="",VLOOKUP(Table2[[#This Row],[Description]],'Actuals Lookup'!D:F,3,0),Table2[[#This Row],[Manual Cat Value]])</f>
        <v>Exp - Shopping</v>
      </c>
      <c r="H9130" s="8" t="s">
        <v>36</v>
      </c>
      <c r="I9130" s="8"/>
      <c r="O9130" t="str">
        <f>LEFT(Table2[[#This Row],[Description]],75)</f>
        <v>SP FREEFLYAPPAREL HTTPSFREEFLYA S CREDIT REF #2449216390003V9SR</v>
      </c>
    </row>
    <row r="9131" spans="1:15" hidden="1">
      <c r="A9131" s="25">
        <f>VALUE(YEAR(Table2[[#This Row],[Date]])&amp;TEXT(MONTH(Table2[[#This Row],[Date]]),"00"))</f>
        <v>202304</v>
      </c>
      <c r="B9131" s="6">
        <v>45033</v>
      </c>
      <c r="C9131" t="s">
        <v>4098</v>
      </c>
      <c r="D9131" t="s">
        <v>4099</v>
      </c>
      <c r="E9131" s="53">
        <v>-75.7</v>
      </c>
      <c r="F9131" s="2" t="str">
        <f>IF(Table2[[#This Row],[Manual Cat Value]]="",VLOOKUP(Table2[[#This Row],[Description]],'Actuals Lookup'!D:F,3,0),Table2[[#This Row],[Manual Cat Value]])</f>
        <v>Exp - Shopping</v>
      </c>
      <c r="H9131" s="8" t="s">
        <v>36</v>
      </c>
      <c r="I9131" s="8"/>
      <c r="O9131" t="str">
        <f>LEFT(Table2[[#This Row],[Description]],75)</f>
        <v>ANTHROPOLOGIE # 534 SAINT LOUIS P CREDIT REF #7444500392XN1VNBM</v>
      </c>
    </row>
    <row r="9132" spans="1:15" hidden="1">
      <c r="A9132" s="25">
        <f>VALUE(YEAR(Table2[[#This Row],[Date]])&amp;TEXT(MONTH(Table2[[#This Row],[Date]]),"00"))</f>
        <v>202304</v>
      </c>
      <c r="B9132" s="6">
        <v>45033</v>
      </c>
      <c r="C9132" t="s">
        <v>4100</v>
      </c>
      <c r="D9132" t="s">
        <v>4101</v>
      </c>
      <c r="E9132" s="53">
        <v>89.04</v>
      </c>
      <c r="F9132" s="2" t="str">
        <f>IF(Table2[[#This Row],[Manual Cat Value]]="",VLOOKUP(Table2[[#This Row],[Description]],'Actuals Lookup'!D:F,3,0),Table2[[#This Row],[Manual Cat Value]])</f>
        <v>Exp - Entertainment</v>
      </c>
      <c r="H9132" s="8" t="s">
        <v>39</v>
      </c>
      <c r="I9132" s="8"/>
      <c r="O9132" t="str">
        <f>LEFT(Table2[[#This Row],[Description]],75)</f>
        <v>EB EXCELSIOR BLOODY M    8014137200   CA REF #24492153ALVXRRDDL</v>
      </c>
    </row>
    <row r="9133" spans="1:15" hidden="1">
      <c r="A9133" s="25">
        <f>VALUE(YEAR(Table2[[#This Row],[Date]])&amp;TEXT(MONTH(Table2[[#This Row],[Date]]),"00"))</f>
        <v>202304</v>
      </c>
      <c r="B9133" s="6">
        <v>45033</v>
      </c>
      <c r="C9133" t="s">
        <v>3932</v>
      </c>
      <c r="D9133" t="s">
        <v>808</v>
      </c>
      <c r="E9133" s="53">
        <v>29</v>
      </c>
      <c r="F9133" s="2" t="str">
        <f>IF(Table2[[#This Row],[Manual Cat Value]]="",VLOOKUP(Table2[[#This Row],[Description]],'Actuals Lookup'!D:F,3,0),Table2[[#This Row],[Manual Cat Value]])</f>
        <v>Misc</v>
      </c>
      <c r="G9133" t="s">
        <v>29</v>
      </c>
      <c r="I9133" s="8"/>
      <c r="O9133" t="str">
        <f>LEFT(Table2[[#This Row],[Description]],75)</f>
        <v>Elite Nails</v>
      </c>
    </row>
    <row r="9134" spans="1:15" hidden="1">
      <c r="A9134" s="25">
        <f>VALUE(YEAR(Table2[[#This Row],[Date]])&amp;TEXT(MONTH(Table2[[#This Row],[Date]]),"00"))</f>
        <v>202304</v>
      </c>
      <c r="B9134" s="6">
        <v>45033</v>
      </c>
      <c r="C9134" t="s">
        <v>3932</v>
      </c>
      <c r="D9134" t="s">
        <v>808</v>
      </c>
      <c r="E9134">
        <v>-29</v>
      </c>
      <c r="F9134" s="2" t="str">
        <f>IF(Table2[[#This Row],[Manual Cat Value]]="",VLOOKUP(Table2[[#This Row],[Description]],'Actuals Lookup'!D:F,3,0),Table2[[#This Row],[Manual Cat Value]])</f>
        <v>Misc</v>
      </c>
      <c r="G9134" t="s">
        <v>29</v>
      </c>
      <c r="I9134" s="8"/>
      <c r="O9134" t="str">
        <f>LEFT(Table2[[#This Row],[Description]],75)</f>
        <v>Elite Nails</v>
      </c>
    </row>
    <row r="9135" spans="1:15" hidden="1">
      <c r="A9135" s="25">
        <f>VALUE(YEAR(Table2[[#This Row],[Date]])&amp;TEXT(MONTH(Table2[[#This Row],[Date]]),"00"))</f>
        <v>202304</v>
      </c>
      <c r="B9135" s="6">
        <v>45033</v>
      </c>
      <c r="C9135" t="s">
        <v>4102</v>
      </c>
      <c r="D9135" t="s">
        <v>4103</v>
      </c>
      <c r="E9135" s="53">
        <v>4.75</v>
      </c>
      <c r="F9135" s="2" t="str">
        <f>IF(Table2[[#This Row],[Manual Cat Value]]="",VLOOKUP(Table2[[#This Row],[Description]],'Actuals Lookup'!D:F,3,0),Table2[[#This Row],[Manual Cat Value]])</f>
        <v>Exp - Shopping</v>
      </c>
      <c r="H9135" s="8" t="s">
        <v>36</v>
      </c>
      <c r="I9135" s="8"/>
      <c r="O9135" t="str">
        <f>LEFT(Table2[[#This Row],[Description]],75)</f>
        <v xml:space="preserve">Withdrawal ACH PAYPAL TYPE: INST XFER ID: PAYPALSI77 CO: PAYPAL NAME: JEFF </v>
      </c>
    </row>
    <row r="9136" spans="1:15" hidden="1">
      <c r="A9136" s="25">
        <f>VALUE(YEAR(Table2[[#This Row],[Date]])&amp;TEXT(MONTH(Table2[[#This Row],[Date]]),"00"))</f>
        <v>202304</v>
      </c>
      <c r="B9136" s="6">
        <v>45033</v>
      </c>
      <c r="C9136" t="s">
        <v>4104</v>
      </c>
      <c r="D9136" t="s">
        <v>4105</v>
      </c>
      <c r="E9136" s="53">
        <v>3.25</v>
      </c>
      <c r="F9136" s="2" t="str">
        <f>IF(Table2[[#This Row],[Manual Cat Value]]="",VLOOKUP(Table2[[#This Row],[Description]],'Actuals Lookup'!D:F,3,0),Table2[[#This Row],[Manual Cat Value]])</f>
        <v>Exp - Shopping</v>
      </c>
      <c r="H9136" s="8" t="s">
        <v>36</v>
      </c>
      <c r="I9136" s="8"/>
      <c r="O9136" t="str">
        <f>LEFT(Table2[[#This Row],[Description]],75)</f>
        <v xml:space="preserve">Withdrawal ACH PAYPAL TYPE: INST XFER ID: PAYPALSI77 CO: PAYPAL NAME: JEFF </v>
      </c>
    </row>
    <row r="9137" spans="1:15" hidden="1">
      <c r="A9137" s="25">
        <f>VALUE(YEAR(Table2[[#This Row],[Date]])&amp;TEXT(MONTH(Table2[[#This Row],[Date]]),"00"))</f>
        <v>202304</v>
      </c>
      <c r="B9137" s="6">
        <v>45033</v>
      </c>
      <c r="C9137" t="s">
        <v>4106</v>
      </c>
      <c r="D9137" t="s">
        <v>4107</v>
      </c>
      <c r="E9137" s="53">
        <v>1.75</v>
      </c>
      <c r="F9137" s="2" t="str">
        <f>IF(Table2[[#This Row],[Manual Cat Value]]="",VLOOKUP(Table2[[#This Row],[Description]],'Actuals Lookup'!D:F,3,0),Table2[[#This Row],[Manual Cat Value]])</f>
        <v>Exp - Shopping</v>
      </c>
      <c r="H9137" s="8" t="s">
        <v>36</v>
      </c>
      <c r="I9137" s="8"/>
      <c r="O9137" t="str">
        <f>LEFT(Table2[[#This Row],[Description]],75)</f>
        <v xml:space="preserve">Withdrawal ACH PAYPAL TYPE: INST XFER ID: PAYPALSI77 CO: PAYPAL NAME: JEFF </v>
      </c>
    </row>
    <row r="9138" spans="1:15" hidden="1">
      <c r="A9138" s="25">
        <f>VALUE(YEAR(Table2[[#This Row],[Date]])&amp;TEXT(MONTH(Table2[[#This Row],[Date]]),"00"))</f>
        <v>202304</v>
      </c>
      <c r="B9138" s="6">
        <v>45033</v>
      </c>
      <c r="C9138" t="s">
        <v>4108</v>
      </c>
      <c r="D9138" t="s">
        <v>4109</v>
      </c>
      <c r="E9138" s="53">
        <v>1.75</v>
      </c>
      <c r="F9138" s="2" t="str">
        <f>IF(Table2[[#This Row],[Manual Cat Value]]="",VLOOKUP(Table2[[#This Row],[Description]],'Actuals Lookup'!D:F,3,0),Table2[[#This Row],[Manual Cat Value]])</f>
        <v>Exp - Shopping</v>
      </c>
      <c r="H9138" s="8" t="s">
        <v>36</v>
      </c>
      <c r="I9138" s="8"/>
      <c r="O9138" t="str">
        <f>LEFT(Table2[[#This Row],[Description]],75)</f>
        <v xml:space="preserve">Withdrawal ACH PAYPAL TYPE: INST XFER ID: PAYPALSI77 CO: PAYPAL NAME: JEFF </v>
      </c>
    </row>
    <row r="9139" spans="1:15" hidden="1">
      <c r="A9139" s="25">
        <f>VALUE(YEAR(Table2[[#This Row],[Date]])&amp;TEXT(MONTH(Table2[[#This Row],[Date]]),"00"))</f>
        <v>202304</v>
      </c>
      <c r="B9139" s="6">
        <v>45033</v>
      </c>
      <c r="C9139" t="s">
        <v>4110</v>
      </c>
      <c r="D9139" t="s">
        <v>4111</v>
      </c>
      <c r="E9139" s="53">
        <v>652.96</v>
      </c>
      <c r="F9139" s="2" t="str">
        <f>IF(Table2[[#This Row],[Manual Cat Value]]="",VLOOKUP(Table2[[#This Row],[Description]],'Actuals Lookup'!D:F,3,0),Table2[[#This Row],[Manual Cat Value]])</f>
        <v>Delete</v>
      </c>
      <c r="H9139" s="8" t="s">
        <v>9</v>
      </c>
      <c r="I9139" s="8"/>
      <c r="O9139" t="str">
        <f>LEFT(Table2[[#This Row],[Description]],75)</f>
        <v>Withdrawal ACH DISCOVER TYPE: E-PAYMENT ID: 2510020270 CO: DISCOVER NAME: T</v>
      </c>
    </row>
    <row r="9140" spans="1:15" hidden="1">
      <c r="A9140" s="25">
        <f>VALUE(YEAR(Table2[[#This Row],[Date]])&amp;TEXT(MONTH(Table2[[#This Row],[Date]]),"00"))</f>
        <v>202304</v>
      </c>
      <c r="B9140" s="6">
        <v>45034</v>
      </c>
      <c r="C9140" t="s">
        <v>3932</v>
      </c>
      <c r="D9140" t="s">
        <v>103</v>
      </c>
      <c r="E9140" s="53">
        <v>139.38</v>
      </c>
      <c r="F9140" s="2" t="str">
        <f>IF(Table2[[#This Row],[Manual Cat Value]]="",VLOOKUP(Table2[[#This Row],[Description]],'Actuals Lookup'!D:F,3,0),Table2[[#This Row],[Manual Cat Value]])</f>
        <v>Healthcare</v>
      </c>
      <c r="G9140" t="s">
        <v>28</v>
      </c>
      <c r="I9140" s="8"/>
      <c r="O9140" t="str">
        <f>LEFT(Table2[[#This Row],[Description]],75)</f>
        <v>Advocare</v>
      </c>
    </row>
    <row r="9141" spans="1:15" hidden="1">
      <c r="A9141" s="25">
        <f>VALUE(YEAR(Table2[[#This Row],[Date]])&amp;TEXT(MONTH(Table2[[#This Row],[Date]]),"00"))</f>
        <v>202304</v>
      </c>
      <c r="B9141" s="6">
        <v>45034</v>
      </c>
      <c r="C9141" t="s">
        <v>3932</v>
      </c>
      <c r="D9141" t="s">
        <v>103</v>
      </c>
      <c r="E9141">
        <v>-139.38</v>
      </c>
      <c r="F9141" s="2" t="str">
        <f>IF(Table2[[#This Row],[Manual Cat Value]]="",VLOOKUP(Table2[[#This Row],[Description]],'Actuals Lookup'!D:F,3,0),Table2[[#This Row],[Manual Cat Value]])</f>
        <v>Healthcare</v>
      </c>
      <c r="G9141" t="s">
        <v>28</v>
      </c>
      <c r="I9141" s="8"/>
      <c r="O9141" t="str">
        <f>LEFT(Table2[[#This Row],[Description]],75)</f>
        <v>Advocare</v>
      </c>
    </row>
    <row r="9142" spans="1:15" hidden="1">
      <c r="A9142" s="25">
        <f>VALUE(YEAR(Table2[[#This Row],[Date]])&amp;TEXT(MONTH(Table2[[#This Row],[Date]]),"00"))</f>
        <v>202304</v>
      </c>
      <c r="B9142" s="6">
        <v>45034</v>
      </c>
      <c r="C9142" t="s">
        <v>4112</v>
      </c>
      <c r="D9142" t="s">
        <v>4113</v>
      </c>
      <c r="E9142" s="53">
        <v>9.77</v>
      </c>
      <c r="F9142" s="2" t="str">
        <f>IF(Table2[[#This Row],[Manual Cat Value]]="",VLOOKUP(Table2[[#This Row],[Description]],'Actuals Lookup'!D:F,3,0),Table2[[#This Row],[Manual Cat Value]])</f>
        <v>Exp - Amazon</v>
      </c>
      <c r="H9142" s="8" t="s">
        <v>37</v>
      </c>
      <c r="I9142" s="8"/>
      <c r="O9142" t="str">
        <f>LEFT(Table2[[#This Row],[Description]],75)</f>
        <v>Amazon.com*HV9SI41Y0     Amzn.com/billWA REF #24692163B32FYGY23</v>
      </c>
    </row>
    <row r="9143" spans="1:15" hidden="1">
      <c r="A9143" s="25">
        <f>VALUE(YEAR(Table2[[#This Row],[Date]])&amp;TEXT(MONTH(Table2[[#This Row],[Date]]),"00"))</f>
        <v>202304</v>
      </c>
      <c r="B9143" s="6">
        <v>45034</v>
      </c>
      <c r="C9143" t="s">
        <v>4114</v>
      </c>
      <c r="D9143" t="s">
        <v>4115</v>
      </c>
      <c r="E9143" s="53">
        <v>-161.15</v>
      </c>
      <c r="F9143" s="2" t="str">
        <f>IF(Table2[[#This Row],[Manual Cat Value]]="",VLOOKUP(Table2[[#This Row],[Description]],'Actuals Lookup'!D:F,3,0),Table2[[#This Row],[Manual Cat Value]])</f>
        <v>Exp - Healthcare</v>
      </c>
      <c r="H9143" s="8" t="s">
        <v>47</v>
      </c>
      <c r="I9143" s="8"/>
      <c r="O9143" t="str">
        <f>LEFT(Table2[[#This Row],[Description]],75)</f>
        <v>Deposit ACH CONNECTYOURCARE TYPE: OPTUMCLAIM ID: 7261274092 CO: CONNECTYOUR</v>
      </c>
    </row>
    <row r="9144" spans="1:15" hidden="1">
      <c r="A9144" s="25">
        <f>VALUE(YEAR(Table2[[#This Row],[Date]])&amp;TEXT(MONTH(Table2[[#This Row],[Date]]),"00"))</f>
        <v>202304</v>
      </c>
      <c r="B9144" s="6">
        <v>45034</v>
      </c>
      <c r="C9144" t="s">
        <v>4116</v>
      </c>
      <c r="D9144" t="s">
        <v>4117</v>
      </c>
      <c r="E9144" s="53">
        <v>-3636.35</v>
      </c>
      <c r="F9144" s="2" t="str">
        <f>IF(Table2[[#This Row],[Manual Cat Value]]="",VLOOKUP(Table2[[#This Row],[Description]],'Actuals Lookup'!D:F,3,0),Table2[[#This Row],[Manual Cat Value]])</f>
        <v>Inc - Other</v>
      </c>
      <c r="H9144" s="8" t="s">
        <v>16</v>
      </c>
      <c r="I9144" s="8"/>
      <c r="O9144" t="str">
        <f>LEFT(Table2[[#This Row],[Description]],75)</f>
        <v>Deposit ACH MBI TYPE: SETL ID: 138XXXXXXX CO: MBI Entry Class Code: PPD ACH</v>
      </c>
    </row>
    <row r="9145" spans="1:15" hidden="1">
      <c r="A9145" s="25">
        <f>VALUE(YEAR(Table2[[#This Row],[Date]])&amp;TEXT(MONTH(Table2[[#This Row],[Date]]),"00"))</f>
        <v>202304</v>
      </c>
      <c r="B9145" s="6">
        <v>45034</v>
      </c>
      <c r="C9145" t="s">
        <v>4118</v>
      </c>
      <c r="D9145" t="s">
        <v>4119</v>
      </c>
      <c r="E9145" s="53">
        <v>500</v>
      </c>
      <c r="F9145" s="2" t="str">
        <f>IF(Table2[[#This Row],[Manual Cat Value]]="",VLOOKUP(Table2[[#This Row],[Description]],'Actuals Lookup'!D:F,3,0),Table2[[#This Row],[Manual Cat Value]])</f>
        <v>Delete</v>
      </c>
      <c r="H9145" s="8" t="s">
        <v>9</v>
      </c>
      <c r="I9145" s="8"/>
      <c r="O9145" t="str">
        <f>LEFT(Table2[[#This Row],[Description]],75)</f>
        <v>Withdrawal ACH MN DIR ACH TYPE: CONTRIB ID: 2416007162 CO: MN DIR ACH NAME:</v>
      </c>
    </row>
    <row r="9146" spans="1:15" hidden="1">
      <c r="A9146" s="25">
        <f>VALUE(YEAR(Table2[[#This Row],[Date]])&amp;TEXT(MONTH(Table2[[#This Row],[Date]]),"00"))</f>
        <v>202304</v>
      </c>
      <c r="B9146" s="6">
        <v>45034</v>
      </c>
      <c r="C9146" t="s">
        <v>4120</v>
      </c>
      <c r="D9146" t="s">
        <v>3815</v>
      </c>
      <c r="E9146" s="53">
        <v>1306.32</v>
      </c>
      <c r="F9146" s="2" t="str">
        <f>IF(Table2[[#This Row],[Manual Cat Value]]="",VLOOKUP(Table2[[#This Row],[Description]],'Actuals Lookup'!D:F,3,0),Table2[[#This Row],[Manual Cat Value]])</f>
        <v>Delete</v>
      </c>
      <c r="H9146" s="8" t="s">
        <v>9</v>
      </c>
      <c r="I9146" s="8"/>
      <c r="O9146" t="str">
        <f>LEFT(Table2[[#This Row],[Description]],75)</f>
        <v>Withdrawal Home Banking Pmt to card XXXXXXXXXXXX-5913</v>
      </c>
    </row>
    <row r="9147" spans="1:15" hidden="1">
      <c r="A9147" s="25">
        <f>VALUE(YEAR(Table2[[#This Row],[Date]])&amp;TEXT(MONTH(Table2[[#This Row],[Date]]),"00"))</f>
        <v>202304</v>
      </c>
      <c r="B9147" s="6">
        <v>45034</v>
      </c>
      <c r="C9147" t="s">
        <v>4121</v>
      </c>
      <c r="D9147" t="s">
        <v>4122</v>
      </c>
      <c r="E9147" s="53">
        <v>8</v>
      </c>
      <c r="F9147" s="2" t="str">
        <f>IF(Table2[[#This Row],[Manual Cat Value]]="",VLOOKUP(Table2[[#This Row],[Description]],'Actuals Lookup'!D:F,3,0),Table2[[#This Row],[Manual Cat Value]])</f>
        <v>Exp - Utilities</v>
      </c>
      <c r="H9147" s="8" t="s">
        <v>6</v>
      </c>
      <c r="I9147" s="8"/>
      <c r="O9147" t="str">
        <f>LEFT(Table2[[#This Row],[Description]],75)</f>
        <v>WSJ/BARRONS SUBSCRIPTI   800-568-7625 NJ REF #24692163Q338HVEBA</v>
      </c>
    </row>
    <row r="9148" spans="1:15" hidden="1">
      <c r="A9148" s="25">
        <f>VALUE(YEAR(Table2[[#This Row],[Date]])&amp;TEXT(MONTH(Table2[[#This Row],[Date]]),"00"))</f>
        <v>202304</v>
      </c>
      <c r="B9148" s="6">
        <v>45034</v>
      </c>
      <c r="C9148" t="s">
        <v>4006</v>
      </c>
      <c r="D9148" t="s">
        <v>4012</v>
      </c>
      <c r="E9148" s="53">
        <v>-1838.83</v>
      </c>
      <c r="F9148" s="2" t="str">
        <f>IF(Table2[[#This Row],[Manual Cat Value]]="",VLOOKUP(Table2[[#This Row],[Description]],'Actuals Lookup'!D:F,3,0),Table2[[#This Row],[Manual Cat Value]])</f>
        <v>Delete</v>
      </c>
      <c r="G9148" t="s">
        <v>9</v>
      </c>
      <c r="I9148" s="8"/>
      <c r="O9148" t="str">
        <f>LEFT(Table2[[#This Row],[Description]],75)</f>
        <v>Online Payment - Thank You</v>
      </c>
    </row>
    <row r="9149" spans="1:15" hidden="1">
      <c r="A9149" s="25">
        <f>VALUE(YEAR(Table2[[#This Row],[Date]])&amp;TEXT(MONTH(Table2[[#This Row],[Date]]),"00"))</f>
        <v>202304</v>
      </c>
      <c r="B9149" s="6">
        <v>45034</v>
      </c>
      <c r="C9149" t="s">
        <v>4006</v>
      </c>
      <c r="D9149" t="s">
        <v>4012</v>
      </c>
      <c r="E9149">
        <v>1838.83</v>
      </c>
      <c r="F9149" s="2" t="str">
        <f>IF(Table2[[#This Row],[Manual Cat Value]]="",VLOOKUP(Table2[[#This Row],[Description]],'Actuals Lookup'!D:F,3,0),Table2[[#This Row],[Manual Cat Value]])</f>
        <v>Delete</v>
      </c>
      <c r="G9149" t="s">
        <v>9</v>
      </c>
      <c r="I9149" s="8"/>
      <c r="O9149" t="str">
        <f>LEFT(Table2[[#This Row],[Description]],75)</f>
        <v>Online Payment - Thank You</v>
      </c>
    </row>
    <row r="9150" spans="1:15" hidden="1">
      <c r="A9150" s="25">
        <f>VALUE(YEAR(Table2[[#This Row],[Date]])&amp;TEXT(MONTH(Table2[[#This Row],[Date]]),"00"))</f>
        <v>202304</v>
      </c>
      <c r="B9150" s="6">
        <v>45034</v>
      </c>
      <c r="C9150" t="s">
        <v>4123</v>
      </c>
      <c r="D9150" t="s">
        <v>4124</v>
      </c>
      <c r="E9150" s="53">
        <v>-1306.32</v>
      </c>
      <c r="F9150" s="2" t="str">
        <f>IF(Table2[[#This Row],[Manual Cat Value]]="",VLOOKUP(Table2[[#This Row],[Description]],'Actuals Lookup'!D:F,3,0),Table2[[#This Row],[Manual Cat Value]])</f>
        <v>Delete</v>
      </c>
      <c r="H9150" s="8" t="s">
        <v>9</v>
      </c>
      <c r="I9150" s="8"/>
      <c r="O9150" t="str">
        <f>LEFT(Table2[[#This Row],[Description]],75)</f>
        <v>PAYMENT - THANK YOU REF #74734573D00XTMJG2</v>
      </c>
    </row>
    <row r="9151" spans="1:15" hidden="1">
      <c r="A9151" s="25">
        <f>VALUE(YEAR(Table2[[#This Row],[Date]])&amp;TEXT(MONTH(Table2[[#This Row],[Date]]),"00"))</f>
        <v>202304</v>
      </c>
      <c r="B9151" s="6">
        <v>45035</v>
      </c>
      <c r="C9151" t="s">
        <v>4125</v>
      </c>
      <c r="D9151" t="s">
        <v>4126</v>
      </c>
      <c r="E9151" s="53">
        <v>22.64</v>
      </c>
      <c r="F9151" s="2" t="str">
        <f>IF(Table2[[#This Row],[Manual Cat Value]]="",VLOOKUP(Table2[[#This Row],[Description]],'Actuals Lookup'!D:F,3,0),Table2[[#This Row],[Manual Cat Value]])</f>
        <v>Exp - Dry Cleaning</v>
      </c>
      <c r="H9151" s="8" t="s">
        <v>42</v>
      </c>
      <c r="I9151" s="8"/>
      <c r="O9151" t="str">
        <f>LEFT(Table2[[#This Row],[Description]],75)</f>
        <v>All Seasons Garment Care Excelsior    MN REF #24193043D03EABZD4</v>
      </c>
    </row>
    <row r="9152" spans="1:15" hidden="1">
      <c r="A9152" s="25">
        <f>VALUE(YEAR(Table2[[#This Row],[Date]])&amp;TEXT(MONTH(Table2[[#This Row],[Date]]),"00"))</f>
        <v>202304</v>
      </c>
      <c r="B9152" s="6">
        <v>45035</v>
      </c>
      <c r="C9152" t="s">
        <v>3932</v>
      </c>
      <c r="D9152" t="s">
        <v>38</v>
      </c>
      <c r="E9152" s="53">
        <v>45.61</v>
      </c>
      <c r="F9152" s="2" t="str">
        <f>IF(Table2[[#This Row],[Manual Cat Value]]="",VLOOKUP(Table2[[#This Row],[Description]],'Actuals Lookup'!D:F,3,0),Table2[[#This Row],[Manual Cat Value]])</f>
        <v>Amazon</v>
      </c>
      <c r="G9152" t="s">
        <v>41</v>
      </c>
      <c r="I9152" s="8"/>
      <c r="O9152" t="str">
        <f>LEFT(Table2[[#This Row],[Description]],75)</f>
        <v>Amazon</v>
      </c>
    </row>
    <row r="9153" spans="1:15" hidden="1">
      <c r="A9153" s="25">
        <f>VALUE(YEAR(Table2[[#This Row],[Date]])&amp;TEXT(MONTH(Table2[[#This Row],[Date]]),"00"))</f>
        <v>202304</v>
      </c>
      <c r="B9153" s="6">
        <v>45035</v>
      </c>
      <c r="C9153" t="s">
        <v>3932</v>
      </c>
      <c r="D9153" t="s">
        <v>38</v>
      </c>
      <c r="E9153">
        <v>-45.61</v>
      </c>
      <c r="F9153" s="2" t="str">
        <f>IF(Table2[[#This Row],[Manual Cat Value]]="",VLOOKUP(Table2[[#This Row],[Description]],'Actuals Lookup'!D:F,3,0),Table2[[#This Row],[Manual Cat Value]])</f>
        <v>Amazon</v>
      </c>
      <c r="G9153" t="s">
        <v>41</v>
      </c>
      <c r="I9153" s="8"/>
      <c r="O9153" t="str">
        <f>LEFT(Table2[[#This Row],[Description]],75)</f>
        <v>Amazon</v>
      </c>
    </row>
    <row r="9154" spans="1:15" hidden="1">
      <c r="A9154" s="25">
        <f>VALUE(YEAR(Table2[[#This Row],[Date]])&amp;TEXT(MONTH(Table2[[#This Row],[Date]]),"00"))</f>
        <v>202304</v>
      </c>
      <c r="B9154" s="6">
        <v>45035</v>
      </c>
      <c r="C9154" t="s">
        <v>4127</v>
      </c>
      <c r="D9154" t="s">
        <v>4128</v>
      </c>
      <c r="E9154" s="53">
        <v>18.2</v>
      </c>
      <c r="F9154" s="2" t="str">
        <f>IF(Table2[[#This Row],[Manual Cat Value]]="",VLOOKUP(Table2[[#This Row],[Description]],'Actuals Lookup'!D:F,3,0),Table2[[#This Row],[Manual Cat Value]])</f>
        <v>Exp - Amazon</v>
      </c>
      <c r="H9154" s="8" t="s">
        <v>37</v>
      </c>
      <c r="I9154" s="8"/>
      <c r="O9154" t="str">
        <f>LEFT(Table2[[#This Row],[Description]],75)</f>
        <v>AMZN Mktp US*HV4NL2GY1   Amzn.com/billWA REF #24692163D33ZWMV18</v>
      </c>
    </row>
    <row r="9155" spans="1:15" hidden="1">
      <c r="A9155" s="25">
        <f>VALUE(YEAR(Table2[[#This Row],[Date]])&amp;TEXT(MONTH(Table2[[#This Row],[Date]]),"00"))</f>
        <v>202304</v>
      </c>
      <c r="B9155" s="6">
        <v>45035</v>
      </c>
      <c r="C9155" t="s">
        <v>4129</v>
      </c>
      <c r="D9155" t="s">
        <v>4130</v>
      </c>
      <c r="E9155" s="53">
        <v>-98</v>
      </c>
      <c r="F9155" s="2" t="str">
        <f>IF(Table2[[#This Row],[Manual Cat Value]]="",VLOOKUP(Table2[[#This Row],[Description]],'Actuals Lookup'!D:F,3,0),Table2[[#This Row],[Manual Cat Value]])</f>
        <v>Exp - Shopping</v>
      </c>
      <c r="H9155" s="8" t="s">
        <v>36</v>
      </c>
      <c r="I9155" s="8"/>
      <c r="O9155" t="str">
        <f>LEFT(Table2[[#This Row],[Description]],75)</f>
        <v>SP FAHERTY               FAHERTY.MYSHONY REF #24492163D0002YGNM</v>
      </c>
    </row>
    <row r="9156" spans="1:15" hidden="1">
      <c r="A9156" s="25">
        <f>VALUE(YEAR(Table2[[#This Row],[Date]])&amp;TEXT(MONTH(Table2[[#This Row],[Date]]),"00"))</f>
        <v>202304</v>
      </c>
      <c r="B9156" s="6">
        <v>45035</v>
      </c>
      <c r="C9156" t="s">
        <v>4131</v>
      </c>
      <c r="D9156" t="s">
        <v>4132</v>
      </c>
      <c r="E9156" s="53">
        <v>330</v>
      </c>
      <c r="F9156" s="2" t="str">
        <f>IF(Table2[[#This Row],[Manual Cat Value]]="",VLOOKUP(Table2[[#This Row],[Description]],'Actuals Lookup'!D:F,3,0),Table2[[#This Row],[Manual Cat Value]])</f>
        <v>Exp - Day Care</v>
      </c>
      <c r="H9156" s="8" t="s">
        <v>19</v>
      </c>
      <c r="I9156" s="8"/>
      <c r="O9156" t="str">
        <f>LEFT(Table2[[#This Row],[Description]],75)</f>
        <v xml:space="preserve">Withdrawal ACH MHCHILDCARELLC TYPE: DUES ID: 1824708198 CO: MHCHILDCARELLC </v>
      </c>
    </row>
    <row r="9157" spans="1:15" hidden="1">
      <c r="A9157" s="25">
        <f>VALUE(YEAR(Table2[[#This Row],[Date]])&amp;TEXT(MONTH(Table2[[#This Row],[Date]]),"00"))</f>
        <v>202304</v>
      </c>
      <c r="B9157" s="6">
        <v>45035</v>
      </c>
      <c r="C9157" t="s">
        <v>4133</v>
      </c>
      <c r="D9157" t="s">
        <v>4134</v>
      </c>
      <c r="E9157" s="53">
        <v>1838.83</v>
      </c>
      <c r="F9157" s="2" t="str">
        <f>IF(Table2[[#This Row],[Manual Cat Value]]="",VLOOKUP(Table2[[#This Row],[Description]],'Actuals Lookup'!D:F,3,0),Table2[[#This Row],[Manual Cat Value]])</f>
        <v>Delete</v>
      </c>
      <c r="H9157" s="8" t="s">
        <v>9</v>
      </c>
      <c r="I9157" s="8"/>
      <c r="O9157" t="str">
        <f>LEFT(Table2[[#This Row],[Description]],75)</f>
        <v>Withdrawal ACH AMEX EPAYMENT TYPE: ACH PMT ID: 0005000008 CO: AMEX EPAYMENT</v>
      </c>
    </row>
    <row r="9158" spans="1:15" hidden="1">
      <c r="A9158" s="25">
        <f>VALUE(YEAR(Table2[[#This Row],[Date]])&amp;TEXT(MONTH(Table2[[#This Row],[Date]]),"00"))</f>
        <v>202304</v>
      </c>
      <c r="B9158" s="6">
        <v>45036</v>
      </c>
      <c r="C9158" t="s">
        <v>4135</v>
      </c>
      <c r="D9158" t="s">
        <v>4136</v>
      </c>
      <c r="E9158" s="53">
        <v>20.69</v>
      </c>
      <c r="F9158" s="2" t="str">
        <f>IF(Table2[[#This Row],[Manual Cat Value]]="",VLOOKUP(Table2[[#This Row],[Description]],'Actuals Lookup'!D:F,3,0),Table2[[#This Row],[Manual Cat Value]])</f>
        <v>Exp - Amazon</v>
      </c>
      <c r="H9158" s="8" t="s">
        <v>37</v>
      </c>
      <c r="I9158" s="8"/>
      <c r="O9158" t="str">
        <f>LEFT(Table2[[#This Row],[Description]],75)</f>
        <v>AMZN Mktp US*HV3DP5MF1   Amzn.com/billWA REF #24692163D34Q0H8VS</v>
      </c>
    </row>
    <row r="9159" spans="1:15" hidden="1">
      <c r="A9159" s="25">
        <f>VALUE(YEAR(Table2[[#This Row],[Date]])&amp;TEXT(MONTH(Table2[[#This Row],[Date]]),"00"))</f>
        <v>202304</v>
      </c>
      <c r="B9159" s="6">
        <v>45036</v>
      </c>
      <c r="C9159" t="s">
        <v>4137</v>
      </c>
      <c r="D9159" t="s">
        <v>4138</v>
      </c>
      <c r="E9159" s="53">
        <v>22.38</v>
      </c>
      <c r="F9159" s="2" t="str">
        <f>IF(Table2[[#This Row],[Manual Cat Value]]="",VLOOKUP(Table2[[#This Row],[Description]],'Actuals Lookup'!D:F,3,0),Table2[[#This Row],[Manual Cat Value]])</f>
        <v>Exp - Amazon</v>
      </c>
      <c r="H9159" s="8" t="s">
        <v>37</v>
      </c>
      <c r="I9159" s="8"/>
      <c r="O9159" t="str">
        <f>LEFT(Table2[[#This Row],[Description]],75)</f>
        <v>AMZN MKTP US*HV42G46I0 AMAMZN.COM/BILLWA REF #24431063D2DYH8B0W</v>
      </c>
    </row>
    <row r="9160" spans="1:15" hidden="1">
      <c r="A9160" s="25">
        <f>VALUE(YEAR(Table2[[#This Row],[Date]])&amp;TEXT(MONTH(Table2[[#This Row],[Date]]),"00"))</f>
        <v>202304</v>
      </c>
      <c r="B9160" s="6">
        <v>45036</v>
      </c>
      <c r="C9160" t="s">
        <v>4139</v>
      </c>
      <c r="D9160" t="s">
        <v>4140</v>
      </c>
      <c r="E9160" s="53">
        <v>2.67</v>
      </c>
      <c r="F9160" s="2" t="str">
        <f>IF(Table2[[#This Row],[Manual Cat Value]]="",VLOOKUP(Table2[[#This Row],[Description]],'Actuals Lookup'!D:F,3,0),Table2[[#This Row],[Manual Cat Value]])</f>
        <v>Exp - Shopping</v>
      </c>
      <c r="H9160" s="8" t="s">
        <v>36</v>
      </c>
      <c r="I9160" s="8"/>
      <c r="O9160" t="str">
        <f>LEFT(Table2[[#This Row],[Description]],75)</f>
        <v xml:space="preserve">Withdrawal ACH PAYPAL TYPE: INST XFER ID: PAYPALSI77 CO: PAYPAL NAME: JEFF </v>
      </c>
    </row>
    <row r="9161" spans="1:15" hidden="1">
      <c r="A9161" s="25">
        <f>VALUE(YEAR(Table2[[#This Row],[Date]])&amp;TEXT(MONTH(Table2[[#This Row],[Date]]),"00"))</f>
        <v>202304</v>
      </c>
      <c r="B9161" s="6">
        <v>45037</v>
      </c>
      <c r="C9161" t="s">
        <v>4141</v>
      </c>
      <c r="D9161" t="s">
        <v>4142</v>
      </c>
      <c r="E9161" s="53">
        <v>74.63</v>
      </c>
      <c r="F9161" s="2" t="str">
        <f>IF(Table2[[#This Row],[Manual Cat Value]]="",VLOOKUP(Table2[[#This Row],[Description]],'Actuals Lookup'!D:F,3,0),Table2[[#This Row],[Manual Cat Value]])</f>
        <v>Exp - Amazon</v>
      </c>
      <c r="H9161" s="8" t="s">
        <v>37</v>
      </c>
      <c r="I9161" s="8"/>
      <c r="O9161" t="str">
        <f>LEFT(Table2[[#This Row],[Description]],75)</f>
        <v>AMAZON.COM*HF41A9C50 AMZNAMZN.COM/BILLWA REF #24431063F2DK9F0G7</v>
      </c>
    </row>
    <row r="9162" spans="1:15" hidden="1">
      <c r="A9162" s="25">
        <f>VALUE(YEAR(Table2[[#This Row],[Date]])&amp;TEXT(MONTH(Table2[[#This Row],[Date]]),"00"))</f>
        <v>202304</v>
      </c>
      <c r="B9162" s="6">
        <v>45037</v>
      </c>
      <c r="C9162" t="s">
        <v>4143</v>
      </c>
      <c r="D9162" t="s">
        <v>4144</v>
      </c>
      <c r="E9162" s="53">
        <v>11</v>
      </c>
      <c r="F9162" s="2" t="str">
        <f>IF(Table2[[#This Row],[Manual Cat Value]]="",VLOOKUP(Table2[[#This Row],[Description]],'Actuals Lookup'!D:F,3,0),Table2[[#This Row],[Manual Cat Value]])</f>
        <v>Exp - Utilities</v>
      </c>
      <c r="H9162" s="8" t="s">
        <v>6</v>
      </c>
      <c r="I9162" s="8"/>
      <c r="O9162" t="str">
        <f>LEFT(Table2[[#This Row],[Description]],75)</f>
        <v>BONFES PLUMBING HEATING A651-3326633  MN REF #24275393ES66HFEZZ</v>
      </c>
    </row>
    <row r="9163" spans="1:15" hidden="1">
      <c r="A9163" s="25">
        <f>VALUE(YEAR(Table2[[#This Row],[Date]])&amp;TEXT(MONTH(Table2[[#This Row],[Date]]),"00"))</f>
        <v>202304</v>
      </c>
      <c r="B9163" s="6">
        <v>45037</v>
      </c>
      <c r="C9163" t="s">
        <v>4145</v>
      </c>
      <c r="D9163" t="s">
        <v>4146</v>
      </c>
      <c r="E9163" s="53">
        <v>54.03</v>
      </c>
      <c r="F9163" s="2" t="str">
        <f>IF(Table2[[#This Row],[Manual Cat Value]]="",VLOOKUP(Table2[[#This Row],[Description]],'Actuals Lookup'!D:F,3,0),Table2[[#This Row],[Manual Cat Value]])</f>
        <v>Exp - Transportation</v>
      </c>
      <c r="H9163" s="8" t="s">
        <v>22</v>
      </c>
      <c r="I9163" s="8"/>
      <c r="O9163" t="str">
        <f>LEFT(Table2[[#This Row],[Description]],75)</f>
        <v>BP#1370200CHANHASSEN BP  CHANHASSEN   MN REF #24122543FMLWZ2SPE</v>
      </c>
    </row>
    <row r="9164" spans="1:15" hidden="1">
      <c r="A9164" s="25">
        <f>VALUE(YEAR(Table2[[#This Row],[Date]])&amp;TEXT(MONTH(Table2[[#This Row],[Date]]),"00"))</f>
        <v>202304</v>
      </c>
      <c r="B9164" s="6">
        <v>45037</v>
      </c>
      <c r="C9164" t="s">
        <v>4006</v>
      </c>
      <c r="D9164" t="s">
        <v>4147</v>
      </c>
      <c r="E9164" s="53">
        <v>250</v>
      </c>
      <c r="F9164" s="2" t="str">
        <f>IF(Table2[[#This Row],[Manual Cat Value]]="",VLOOKUP(Table2[[#This Row],[Description]],'Actuals Lookup'!D:F,3,0),Table2[[#This Row],[Manual Cat Value]])</f>
        <v>Misc</v>
      </c>
      <c r="G9164" t="s">
        <v>29</v>
      </c>
      <c r="I9164" s="8"/>
      <c r="O9164" t="str">
        <f>LEFT(Table2[[#This Row],[Description]],75)</f>
        <v>Membership Fee</v>
      </c>
    </row>
    <row r="9165" spans="1:15" hidden="1">
      <c r="A9165" s="25">
        <f>VALUE(YEAR(Table2[[#This Row],[Date]])&amp;TEXT(MONTH(Table2[[#This Row],[Date]]),"00"))</f>
        <v>202304</v>
      </c>
      <c r="B9165" s="6">
        <v>45037</v>
      </c>
      <c r="C9165" t="s">
        <v>4006</v>
      </c>
      <c r="D9165" t="s">
        <v>4147</v>
      </c>
      <c r="E9165">
        <v>-250</v>
      </c>
      <c r="F9165" s="2" t="str">
        <f>IF(Table2[[#This Row],[Manual Cat Value]]="",VLOOKUP(Table2[[#This Row],[Description]],'Actuals Lookup'!D:F,3,0),Table2[[#This Row],[Manual Cat Value]])</f>
        <v>Misc</v>
      </c>
      <c r="G9165" t="s">
        <v>29</v>
      </c>
      <c r="I9165" s="8"/>
      <c r="O9165" t="str">
        <f>LEFT(Table2[[#This Row],[Description]],75)</f>
        <v>Membership Fee</v>
      </c>
    </row>
    <row r="9166" spans="1:15" hidden="1">
      <c r="A9166" s="25">
        <f>VALUE(YEAR(Table2[[#This Row],[Date]])&amp;TEXT(MONTH(Table2[[#This Row],[Date]]),"00"))</f>
        <v>202304</v>
      </c>
      <c r="B9166" s="6">
        <v>45037</v>
      </c>
      <c r="C9166" t="s">
        <v>4148</v>
      </c>
      <c r="D9166" t="s">
        <v>4149</v>
      </c>
      <c r="E9166" s="53">
        <v>16.73</v>
      </c>
      <c r="F9166" s="2" t="str">
        <f>IF(Table2[[#This Row],[Manual Cat Value]]="",VLOOKUP(Table2[[#This Row],[Description]],'Actuals Lookup'!D:F,3,0),Table2[[#This Row],[Manual Cat Value]])</f>
        <v>Exp - Utilities</v>
      </c>
      <c r="H9166" s="8" t="s">
        <v>6</v>
      </c>
      <c r="I9166" s="8"/>
      <c r="O9166" t="str">
        <f>LEFT(Table2[[#This Row],[Description]],75)</f>
        <v>NETFLIX.COM              NETFLIX.COM  CA REF #24692163E34WTS5SH</v>
      </c>
    </row>
    <row r="9167" spans="1:15" hidden="1">
      <c r="A9167" s="25">
        <f>VALUE(YEAR(Table2[[#This Row],[Date]])&amp;TEXT(MONTH(Table2[[#This Row],[Date]]),"00"))</f>
        <v>202304</v>
      </c>
      <c r="B9167" s="6">
        <v>45037</v>
      </c>
      <c r="C9167" t="s">
        <v>4150</v>
      </c>
      <c r="D9167" t="s">
        <v>4151</v>
      </c>
      <c r="E9167" s="53">
        <v>83</v>
      </c>
      <c r="F9167" s="2" t="str">
        <f>IF(Table2[[#This Row],[Manual Cat Value]]="",VLOOKUP(Table2[[#This Row],[Description]],'Actuals Lookup'!D:F,3,0),Table2[[#This Row],[Manual Cat Value]])</f>
        <v>Exp - Shopping</v>
      </c>
      <c r="H9167" s="8" t="s">
        <v>36</v>
      </c>
      <c r="I9167" s="8"/>
      <c r="O9167" t="str">
        <f>LEFT(Table2[[#This Row],[Description]],75)</f>
        <v>SP UNRL.CO               UNRL.MYSHOPIFMN REF #24492163E000W4FFS</v>
      </c>
    </row>
    <row r="9168" spans="1:15" hidden="1">
      <c r="A9168" s="25">
        <f>VALUE(YEAR(Table2[[#This Row],[Date]])&amp;TEXT(MONTH(Table2[[#This Row],[Date]]),"00"))</f>
        <v>202304</v>
      </c>
      <c r="B9168" s="6">
        <v>45037</v>
      </c>
      <c r="C9168" t="s">
        <v>4152</v>
      </c>
      <c r="D9168" t="s">
        <v>4153</v>
      </c>
      <c r="E9168" s="53">
        <v>116.42</v>
      </c>
      <c r="F9168" s="2" t="str">
        <f>IF(Table2[[#This Row],[Manual Cat Value]]="",VLOOKUP(Table2[[#This Row],[Description]],'Actuals Lookup'!D:F,3,0),Table2[[#This Row],[Manual Cat Value]])</f>
        <v>Exp - Target</v>
      </c>
      <c r="H9168" s="8" t="s">
        <v>30</v>
      </c>
      <c r="I9168" s="8"/>
      <c r="O9168" t="str">
        <f>LEFT(Table2[[#This Row],[Description]],75)</f>
        <v>TARGET        00008623   CHANHASSEN   MN REF #24164073E2LR7RLVG</v>
      </c>
    </row>
    <row r="9169" spans="1:15" hidden="1">
      <c r="A9169" s="25">
        <f>VALUE(YEAR(Table2[[#This Row],[Date]])&amp;TEXT(MONTH(Table2[[#This Row],[Date]]),"00"))</f>
        <v>202304</v>
      </c>
      <c r="B9169" s="6">
        <v>45037</v>
      </c>
      <c r="C9169" t="s">
        <v>4154</v>
      </c>
      <c r="D9169" t="s">
        <v>4155</v>
      </c>
      <c r="E9169" s="53">
        <v>51.21</v>
      </c>
      <c r="F9169" s="2" t="str">
        <f>IF(Table2[[#This Row],[Manual Cat Value]]="",VLOOKUP(Table2[[#This Row],[Description]],'Actuals Lookup'!D:F,3,0),Table2[[#This Row],[Manual Cat Value]])</f>
        <v>Exp - Utilities</v>
      </c>
      <c r="H9169" s="8" t="s">
        <v>6</v>
      </c>
      <c r="I9169" s="8"/>
      <c r="O9169" t="str">
        <f>LEFT(Table2[[#This Row],[Description]],75)</f>
        <v xml:space="preserve">Withdrawal ACH CITY OF CHANHASS TYPE: UTIL BILL ID: 1410885331 CO: CITY OF </v>
      </c>
    </row>
    <row r="9170" spans="1:15" hidden="1">
      <c r="A9170" s="25">
        <f>VALUE(YEAR(Table2[[#This Row],[Date]])&amp;TEXT(MONTH(Table2[[#This Row],[Date]]),"00"))</f>
        <v>202304</v>
      </c>
      <c r="B9170" s="6">
        <v>45038</v>
      </c>
      <c r="C9170" t="s">
        <v>4006</v>
      </c>
      <c r="D9170" t="s">
        <v>1396</v>
      </c>
      <c r="E9170" s="53">
        <v>24.49</v>
      </c>
      <c r="F9170" s="2" t="str">
        <f>IF(Table2[[#This Row],[Manual Cat Value]]="",VLOOKUP(Table2[[#This Row],[Description]],'Actuals Lookup'!D:F,3,0),Table2[[#This Row],[Manual Cat Value]])</f>
        <v>Restaurants</v>
      </c>
      <c r="G9170" t="s">
        <v>26</v>
      </c>
      <c r="I9170" s="8"/>
      <c r="O9170" t="str">
        <f>LEFT(Table2[[#This Row],[Description]],75)</f>
        <v>Papa Murphy's</v>
      </c>
    </row>
    <row r="9171" spans="1:15" hidden="1">
      <c r="A9171" s="25">
        <f>VALUE(YEAR(Table2[[#This Row],[Date]])&amp;TEXT(MONTH(Table2[[#This Row],[Date]]),"00"))</f>
        <v>202304</v>
      </c>
      <c r="B9171" s="6">
        <v>45038</v>
      </c>
      <c r="C9171" t="s">
        <v>4006</v>
      </c>
      <c r="D9171" t="s">
        <v>1396</v>
      </c>
      <c r="E9171">
        <v>-24.49</v>
      </c>
      <c r="F9171" s="2" t="str">
        <f>IF(Table2[[#This Row],[Manual Cat Value]]="",VLOOKUP(Table2[[#This Row],[Description]],'Actuals Lookup'!D:F,3,0),Table2[[#This Row],[Manual Cat Value]])</f>
        <v>Restaurants</v>
      </c>
      <c r="G9171" t="s">
        <v>26</v>
      </c>
      <c r="I9171" s="8"/>
      <c r="O9171" t="str">
        <f>LEFT(Table2[[#This Row],[Description]],75)</f>
        <v>Papa Murphy's</v>
      </c>
    </row>
    <row r="9172" spans="1:15" hidden="1">
      <c r="A9172" s="25">
        <f>VALUE(YEAR(Table2[[#This Row],[Date]])&amp;TEXT(MONTH(Table2[[#This Row],[Date]]),"00"))</f>
        <v>202304</v>
      </c>
      <c r="B9172" s="6">
        <v>45039</v>
      </c>
      <c r="C9172" t="s">
        <v>4156</v>
      </c>
      <c r="D9172" t="s">
        <v>4157</v>
      </c>
      <c r="E9172" s="53">
        <v>47.62</v>
      </c>
      <c r="F9172" s="2" t="str">
        <f>IF(Table2[[#This Row],[Manual Cat Value]]="",VLOOKUP(Table2[[#This Row],[Description]],'Actuals Lookup'!D:F,3,0),Table2[[#This Row],[Manual Cat Value]])</f>
        <v>Exp - Dry Cleaning</v>
      </c>
      <c r="H9172" s="8" t="s">
        <v>42</v>
      </c>
      <c r="I9172" s="8"/>
      <c r="O9172" t="str">
        <f>LEFT(Table2[[#This Row],[Description]],75)</f>
        <v>All Seasons Garment Care Excelsior    MN REF #24193043G03ETDWFG</v>
      </c>
    </row>
    <row r="9173" spans="1:15" hidden="1">
      <c r="A9173" s="25">
        <f>VALUE(YEAR(Table2[[#This Row],[Date]])&amp;TEXT(MONTH(Table2[[#This Row],[Date]]),"00"))</f>
        <v>202304</v>
      </c>
      <c r="B9173" s="6">
        <v>45039</v>
      </c>
      <c r="C9173" t="s">
        <v>3932</v>
      </c>
      <c r="D9173" t="s">
        <v>38</v>
      </c>
      <c r="E9173" s="53">
        <v>4.28</v>
      </c>
      <c r="F9173" s="2" t="str">
        <f>IF(Table2[[#This Row],[Manual Cat Value]]="",VLOOKUP(Table2[[#This Row],[Description]],'Actuals Lookup'!D:F,3,0),Table2[[#This Row],[Manual Cat Value]])</f>
        <v>Amazon</v>
      </c>
      <c r="G9173" t="s">
        <v>41</v>
      </c>
      <c r="I9173" s="8"/>
      <c r="O9173" t="str">
        <f>LEFT(Table2[[#This Row],[Description]],75)</f>
        <v>Amazon</v>
      </c>
    </row>
    <row r="9174" spans="1:15" hidden="1">
      <c r="A9174" s="25">
        <f>VALUE(YEAR(Table2[[#This Row],[Date]])&amp;TEXT(MONTH(Table2[[#This Row],[Date]]),"00"))</f>
        <v>202304</v>
      </c>
      <c r="B9174" s="6">
        <v>45039</v>
      </c>
      <c r="C9174" t="s">
        <v>3932</v>
      </c>
      <c r="D9174" t="s">
        <v>38</v>
      </c>
      <c r="E9174">
        <v>-4.28</v>
      </c>
      <c r="F9174" s="2" t="str">
        <f>IF(Table2[[#This Row],[Manual Cat Value]]="",VLOOKUP(Table2[[#This Row],[Description]],'Actuals Lookup'!D:F,3,0),Table2[[#This Row],[Manual Cat Value]])</f>
        <v>Amazon</v>
      </c>
      <c r="G9174" t="s">
        <v>41</v>
      </c>
      <c r="I9174" s="8"/>
      <c r="O9174" t="str">
        <f>LEFT(Table2[[#This Row],[Description]],75)</f>
        <v>Amazon</v>
      </c>
    </row>
    <row r="9175" spans="1:15" hidden="1">
      <c r="A9175" s="25">
        <f>VALUE(YEAR(Table2[[#This Row],[Date]])&amp;TEXT(MONTH(Table2[[#This Row],[Date]]),"00"))</f>
        <v>202304</v>
      </c>
      <c r="B9175" s="6">
        <v>45039</v>
      </c>
      <c r="C9175" t="s">
        <v>4158</v>
      </c>
      <c r="D9175" t="s">
        <v>4159</v>
      </c>
      <c r="E9175" s="53">
        <v>17.940000000000001</v>
      </c>
      <c r="F9175" s="2" t="str">
        <f>IF(Table2[[#This Row],[Manual Cat Value]]="",VLOOKUP(Table2[[#This Row],[Description]],'Actuals Lookup'!D:F,3,0),Table2[[#This Row],[Manual Cat Value]])</f>
        <v>Exp - Entertainment</v>
      </c>
      <c r="H9175" s="8" t="s">
        <v>39</v>
      </c>
      <c r="I9175" s="8"/>
      <c r="O9175" t="str">
        <f>LEFT(Table2[[#This Row],[Description]],75)</f>
        <v>AMC 0650 EDEN PRAIRIE    EDEN PRAIRIE MN REF #24431063H0HA9DBS1</v>
      </c>
    </row>
    <row r="9176" spans="1:15" hidden="1">
      <c r="A9176" s="25">
        <f>VALUE(YEAR(Table2[[#This Row],[Date]])&amp;TEXT(MONTH(Table2[[#This Row],[Date]]),"00"))</f>
        <v>202304</v>
      </c>
      <c r="B9176" s="6">
        <v>45039</v>
      </c>
      <c r="C9176" t="s">
        <v>4160</v>
      </c>
      <c r="D9176" t="s">
        <v>4161</v>
      </c>
      <c r="E9176" s="53">
        <v>64.47</v>
      </c>
      <c r="F9176" s="2" t="str">
        <f>IF(Table2[[#This Row],[Manual Cat Value]]="",VLOOKUP(Table2[[#This Row],[Description]],'Actuals Lookup'!D:F,3,0),Table2[[#This Row],[Manual Cat Value]])</f>
        <v>Exp - Entertainment</v>
      </c>
      <c r="H9176" s="8" t="s">
        <v>39</v>
      </c>
      <c r="I9176" s="8"/>
      <c r="O9176" t="str">
        <f>LEFT(Table2[[#This Row],[Description]],75)</f>
        <v>AMC 0650 EDEN PRAIRIE    EDEN PRAIRIE MN REF #24431063H0HAEET4A</v>
      </c>
    </row>
    <row r="9177" spans="1:15" hidden="1">
      <c r="A9177" s="25">
        <f>VALUE(YEAR(Table2[[#This Row],[Date]])&amp;TEXT(MONTH(Table2[[#This Row],[Date]]),"00"))</f>
        <v>202304</v>
      </c>
      <c r="B9177" s="6">
        <v>45039</v>
      </c>
      <c r="C9177" t="s">
        <v>4162</v>
      </c>
      <c r="D9177" t="s">
        <v>4163</v>
      </c>
      <c r="E9177" s="53">
        <v>-1823</v>
      </c>
      <c r="F9177" s="2" t="str">
        <f>IF(Table2[[#This Row],[Manual Cat Value]]="",VLOOKUP(Table2[[#This Row],[Description]],'Actuals Lookup'!D:F,3,0),Table2[[#This Row],[Manual Cat Value]])</f>
        <v>Inc - Other</v>
      </c>
      <c r="H9177" s="8" t="s">
        <v>16</v>
      </c>
      <c r="I9177" s="8"/>
      <c r="O9177" t="str">
        <f>LEFT(Table2[[#This Row],[Description]],75)</f>
        <v>Deposit ACH IRS  TREAS 310 TYPE: TAX REF ID: 9111736946 CO: IRS TREAS 310 E</v>
      </c>
    </row>
    <row r="9178" spans="1:15" hidden="1">
      <c r="A9178" s="25">
        <f>VALUE(YEAR(Table2[[#This Row],[Date]])&amp;TEXT(MONTH(Table2[[#This Row],[Date]]),"00"))</f>
        <v>202304</v>
      </c>
      <c r="B9178" s="6">
        <v>45039</v>
      </c>
      <c r="C9178" t="s">
        <v>4164</v>
      </c>
      <c r="D9178" t="s">
        <v>4165</v>
      </c>
      <c r="E9178" s="53">
        <v>9.99</v>
      </c>
      <c r="F9178" s="2" t="str">
        <f>IF(Table2[[#This Row],[Manual Cat Value]]="",VLOOKUP(Table2[[#This Row],[Description]],'Actuals Lookup'!D:F,3,0),Table2[[#This Row],[Manual Cat Value]])</f>
        <v>Exp - Restaurants</v>
      </c>
      <c r="H9178" s="8" t="s">
        <v>25</v>
      </c>
      <c r="I9178" s="8"/>
      <c r="O9178" t="str">
        <f>LEFT(Table2[[#This Row],[Description]],75)</f>
        <v>LEEANN CHIN 0163 EDEN PRA952-7462200  MN REF #24540453G01MM2MJ6</v>
      </c>
    </row>
    <row r="9179" spans="1:15" hidden="1">
      <c r="A9179" s="25">
        <f>VALUE(YEAR(Table2[[#This Row],[Date]])&amp;TEXT(MONTH(Table2[[#This Row],[Date]]),"00"))</f>
        <v>202304</v>
      </c>
      <c r="B9179" s="6">
        <v>45039</v>
      </c>
      <c r="C9179" t="s">
        <v>4006</v>
      </c>
      <c r="D9179" t="s">
        <v>4166</v>
      </c>
      <c r="E9179" s="53">
        <v>145.69999999999999</v>
      </c>
      <c r="F9179" s="2" t="str">
        <f>IF(Table2[[#This Row],[Manual Cat Value]]="",VLOOKUP(Table2[[#This Row],[Description]],'Actuals Lookup'!D:F,3,0),Table2[[#This Row],[Manual Cat Value]])</f>
        <v>Restaurants</v>
      </c>
      <c r="G9179" t="s">
        <v>26</v>
      </c>
      <c r="I9179" s="8"/>
      <c r="O9179" t="str">
        <f>LEFT(Table2[[#This Row],[Description]],75)</f>
        <v>Pau Hana</v>
      </c>
    </row>
    <row r="9180" spans="1:15" hidden="1">
      <c r="A9180" s="25">
        <f>VALUE(YEAR(Table2[[#This Row],[Date]])&amp;TEXT(MONTH(Table2[[#This Row],[Date]]),"00"))</f>
        <v>202304</v>
      </c>
      <c r="B9180" s="6">
        <v>45039</v>
      </c>
      <c r="C9180" t="s">
        <v>4006</v>
      </c>
      <c r="D9180" t="s">
        <v>4166</v>
      </c>
      <c r="E9180">
        <v>-145.69999999999999</v>
      </c>
      <c r="F9180" s="2" t="str">
        <f>IF(Table2[[#This Row],[Manual Cat Value]]="",VLOOKUP(Table2[[#This Row],[Description]],'Actuals Lookup'!D:F,3,0),Table2[[#This Row],[Manual Cat Value]])</f>
        <v>Restaurants</v>
      </c>
      <c r="G9180" t="s">
        <v>26</v>
      </c>
      <c r="I9180" s="8"/>
      <c r="O9180" t="str">
        <f>LEFT(Table2[[#This Row],[Description]],75)</f>
        <v>Pau Hana</v>
      </c>
    </row>
    <row r="9181" spans="1:15" hidden="1">
      <c r="A9181" s="25">
        <f>VALUE(YEAR(Table2[[#This Row],[Date]])&amp;TEXT(MONTH(Table2[[#This Row],[Date]]),"00"))</f>
        <v>202304</v>
      </c>
      <c r="B9181" s="6">
        <v>45039</v>
      </c>
      <c r="C9181" t="s">
        <v>4167</v>
      </c>
      <c r="D9181" t="s">
        <v>4168</v>
      </c>
      <c r="E9181" s="53">
        <v>50</v>
      </c>
      <c r="F9181" s="2" t="str">
        <f>IF(Table2[[#This Row],[Manual Cat Value]]="",VLOOKUP(Table2[[#This Row],[Description]],'Actuals Lookup'!D:F,3,0),Table2[[#This Row],[Manual Cat Value]])</f>
        <v>Exp - Shopping</v>
      </c>
      <c r="H9181" s="8" t="s">
        <v>36</v>
      </c>
      <c r="I9181" s="8"/>
      <c r="O9181" t="str">
        <f>LEFT(Table2[[#This Row],[Description]],75)</f>
        <v>RVT*MTKA PUB SCHLS-WEB   952-4015000  MN REF #24906413F50QFVT07</v>
      </c>
    </row>
    <row r="9182" spans="1:15" hidden="1">
      <c r="A9182" s="25">
        <f>VALUE(YEAR(Table2[[#This Row],[Date]])&amp;TEXT(MONTH(Table2[[#This Row],[Date]]),"00"))</f>
        <v>202304</v>
      </c>
      <c r="B9182" s="6">
        <v>45039</v>
      </c>
      <c r="C9182" t="s">
        <v>4169</v>
      </c>
      <c r="D9182" t="s">
        <v>4170</v>
      </c>
      <c r="E9182" s="53">
        <v>59.29</v>
      </c>
      <c r="F9182" s="2" t="str">
        <f>IF(Table2[[#This Row],[Manual Cat Value]]="",VLOOKUP(Table2[[#This Row],[Description]],'Actuals Lookup'!D:F,3,0),Table2[[#This Row],[Manual Cat Value]])</f>
        <v>Exp - Groceries</v>
      </c>
      <c r="H9182" s="8" t="s">
        <v>27</v>
      </c>
      <c r="I9182" s="8"/>
      <c r="O9182" t="str">
        <f>LEFT(Table2[[#This Row],[Description]],75)</f>
        <v>TOTALWINE 1606 DIGITAL   https://www.fMN REF #24116413HBMD9KZLY</v>
      </c>
    </row>
    <row r="9183" spans="1:15" hidden="1">
      <c r="A9183" s="25">
        <f>VALUE(YEAR(Table2[[#This Row],[Date]])&amp;TEXT(MONTH(Table2[[#This Row],[Date]]),"00"))</f>
        <v>202304</v>
      </c>
      <c r="B9183" s="6">
        <v>45040</v>
      </c>
      <c r="C9183" t="s">
        <v>4006</v>
      </c>
      <c r="D9183" t="s">
        <v>4171</v>
      </c>
      <c r="E9183" s="53">
        <v>26.92</v>
      </c>
      <c r="F9183" s="2" t="str">
        <f>IF(Table2[[#This Row],[Manual Cat Value]]="",VLOOKUP(Table2[[#This Row],[Description]],'Actuals Lookup'!D:F,3,0),Table2[[#This Row],[Manual Cat Value]])</f>
        <v>Restaurants</v>
      </c>
      <c r="G9183" t="s">
        <v>26</v>
      </c>
      <c r="I9183" s="8"/>
      <c r="O9183" t="str">
        <f>LEFT(Table2[[#This Row],[Description]],75)</f>
        <v>Xxxxx00 - Republic Bst. Paul Mn Restaurant</v>
      </c>
    </row>
    <row r="9184" spans="1:15" hidden="1">
      <c r="A9184" s="25">
        <f>VALUE(YEAR(Table2[[#This Row],[Date]])&amp;TEXT(MONTH(Table2[[#This Row],[Date]]),"00"))</f>
        <v>202304</v>
      </c>
      <c r="B9184" s="6">
        <v>45040</v>
      </c>
      <c r="C9184" t="s">
        <v>4006</v>
      </c>
      <c r="D9184" t="s">
        <v>4171</v>
      </c>
      <c r="E9184">
        <v>-26.92</v>
      </c>
      <c r="F9184" s="2" t="str">
        <f>IF(Table2[[#This Row],[Manual Cat Value]]="",VLOOKUP(Table2[[#This Row],[Description]],'Actuals Lookup'!D:F,3,0),Table2[[#This Row],[Manual Cat Value]])</f>
        <v>Restaurants</v>
      </c>
      <c r="G9184" t="s">
        <v>26</v>
      </c>
      <c r="I9184" s="8"/>
      <c r="O9184" t="str">
        <f>LEFT(Table2[[#This Row],[Description]],75)</f>
        <v>Xxxxx00 - Republic Bst. Paul Mn Restaurant</v>
      </c>
    </row>
    <row r="9185" spans="1:15" hidden="1">
      <c r="A9185" s="25">
        <f>VALUE(YEAR(Table2[[#This Row],[Date]])&amp;TEXT(MONTH(Table2[[#This Row],[Date]]),"00"))</f>
        <v>202304</v>
      </c>
      <c r="B9185" s="6">
        <v>45041</v>
      </c>
      <c r="C9185" t="s">
        <v>4172</v>
      </c>
      <c r="D9185" t="s">
        <v>4173</v>
      </c>
      <c r="E9185" s="53">
        <v>136.5</v>
      </c>
      <c r="F9185" s="2" t="str">
        <f>IF(Table2[[#This Row],[Manual Cat Value]]="",VLOOKUP(Table2[[#This Row],[Description]],'Actuals Lookup'!D:F,3,0),Table2[[#This Row],[Manual Cat Value]])</f>
        <v>Exp - Shopping</v>
      </c>
      <c r="H9185" s="8" t="s">
        <v>36</v>
      </c>
      <c r="I9185" s="8"/>
      <c r="O9185" t="str">
        <f>LEFT(Table2[[#This Row],[Description]],75)</f>
        <v>ADIDAS US ONLINE STORE   800-9829337  OR REF #24443463J50JJ7X4N</v>
      </c>
    </row>
    <row r="9186" spans="1:15" hidden="1">
      <c r="A9186" s="25">
        <f>VALUE(YEAR(Table2[[#This Row],[Date]])&amp;TEXT(MONTH(Table2[[#This Row],[Date]]),"00"))</f>
        <v>202304</v>
      </c>
      <c r="B9186" s="6">
        <v>45041</v>
      </c>
      <c r="C9186" t="s">
        <v>4174</v>
      </c>
      <c r="D9186" t="s">
        <v>4175</v>
      </c>
      <c r="E9186" s="53">
        <v>19.600000000000001</v>
      </c>
      <c r="F9186" s="2" t="str">
        <f>IF(Table2[[#This Row],[Manual Cat Value]]="",VLOOKUP(Table2[[#This Row],[Description]],'Actuals Lookup'!D:F,3,0),Table2[[#This Row],[Manual Cat Value]])</f>
        <v>Exp - Shopping</v>
      </c>
      <c r="H9186" s="8" t="s">
        <v>36</v>
      </c>
      <c r="I9186" s="8"/>
      <c r="O9186" t="str">
        <f>LEFT(Table2[[#This Row],[Description]],75)</f>
        <v>ADIDAS US ONLINE STORE   800-9829337  OR REF #24443463J50JYY22J</v>
      </c>
    </row>
    <row r="9187" spans="1:15" hidden="1">
      <c r="A9187" s="25">
        <f>VALUE(YEAR(Table2[[#This Row],[Date]])&amp;TEXT(MONTH(Table2[[#This Row],[Date]]),"00"))</f>
        <v>202304</v>
      </c>
      <c r="B9187" s="6">
        <v>45041</v>
      </c>
      <c r="C9187" t="s">
        <v>4176</v>
      </c>
      <c r="D9187" t="s">
        <v>4177</v>
      </c>
      <c r="E9187" s="53">
        <v>96.63</v>
      </c>
      <c r="F9187" s="2" t="str">
        <f>IF(Table2[[#This Row],[Manual Cat Value]]="",VLOOKUP(Table2[[#This Row],[Description]],'Actuals Lookup'!D:F,3,0),Table2[[#This Row],[Manual Cat Value]])</f>
        <v>Exp - Amazon</v>
      </c>
      <c r="H9187" s="8" t="s">
        <v>37</v>
      </c>
      <c r="I9187" s="8"/>
      <c r="O9187" t="str">
        <f>LEFT(Table2[[#This Row],[Description]],75)</f>
        <v>AMZN Mktp US*HF1HG0JP1   Amzn.com/billWA REF #24692163J2YL7VW6Y</v>
      </c>
    </row>
    <row r="9188" spans="1:15" hidden="1">
      <c r="A9188" s="25">
        <f>VALUE(YEAR(Table2[[#This Row],[Date]])&amp;TEXT(MONTH(Table2[[#This Row],[Date]]),"00"))</f>
        <v>202304</v>
      </c>
      <c r="B9188" s="6">
        <v>45041</v>
      </c>
      <c r="C9188" t="s">
        <v>4178</v>
      </c>
      <c r="D9188" t="s">
        <v>4179</v>
      </c>
      <c r="E9188" s="53">
        <v>50.8</v>
      </c>
      <c r="F9188" s="2" t="str">
        <f>IF(Table2[[#This Row],[Manual Cat Value]]="",VLOOKUP(Table2[[#This Row],[Description]],'Actuals Lookup'!D:F,3,0),Table2[[#This Row],[Manual Cat Value]])</f>
        <v>Exp - Amazon</v>
      </c>
      <c r="H9188" s="8" t="s">
        <v>37</v>
      </c>
      <c r="I9188" s="8"/>
      <c r="O9188" t="str">
        <f>LEFT(Table2[[#This Row],[Description]],75)</f>
        <v>AMZN Mktp US*HF9K58XS0   Amzn.com/billWA REF #24692163J2YQXS3BQ</v>
      </c>
    </row>
    <row r="9189" spans="1:15" hidden="1">
      <c r="A9189" s="25">
        <f>VALUE(YEAR(Table2[[#This Row],[Date]])&amp;TEXT(MONTH(Table2[[#This Row],[Date]]),"00"))</f>
        <v>202304</v>
      </c>
      <c r="B9189" s="6">
        <v>45041</v>
      </c>
      <c r="C9189" t="s">
        <v>4180</v>
      </c>
      <c r="D9189" t="s">
        <v>4181</v>
      </c>
      <c r="E9189" s="53">
        <v>60.8</v>
      </c>
      <c r="F9189" s="2" t="str">
        <f>IF(Table2[[#This Row],[Manual Cat Value]]="",VLOOKUP(Table2[[#This Row],[Description]],'Actuals Lookup'!D:F,3,0),Table2[[#This Row],[Manual Cat Value]])</f>
        <v>Exp - Shopping</v>
      </c>
      <c r="H9189" s="8" t="s">
        <v>36</v>
      </c>
      <c r="I9189" s="8"/>
      <c r="O9189" t="str">
        <f>LEFT(Table2[[#This Row],[Description]],75)</f>
        <v>BELK.COM                 866-235-5443 NC REF #24445003KHEWXX9ZN</v>
      </c>
    </row>
    <row r="9190" spans="1:15" hidden="1">
      <c r="A9190" s="25">
        <f>VALUE(YEAR(Table2[[#This Row],[Date]])&amp;TEXT(MONTH(Table2[[#This Row],[Date]]),"00"))</f>
        <v>202304</v>
      </c>
      <c r="B9190" s="6">
        <v>45041</v>
      </c>
      <c r="C9190" t="s">
        <v>4182</v>
      </c>
      <c r="D9190" t="s">
        <v>4183</v>
      </c>
      <c r="E9190" s="53">
        <v>500</v>
      </c>
      <c r="F9190" s="2" t="str">
        <f>IF(Table2[[#This Row],[Manual Cat Value]]="",VLOOKUP(Table2[[#This Row],[Description]],'Actuals Lookup'!D:F,3,0),Table2[[#This Row],[Manual Cat Value]])</f>
        <v>Delete</v>
      </c>
      <c r="H9190" s="8" t="s">
        <v>9</v>
      </c>
      <c r="I9190" s="8"/>
      <c r="O9190" t="str">
        <f>LEFT(Table2[[#This Row],[Description]],75)</f>
        <v>Withdrawal ACH DISCOVER BANK TYPE: NET/MOBILE ID: 4510020271 CO: DISCOVER B</v>
      </c>
    </row>
    <row r="9191" spans="1:15" hidden="1">
      <c r="A9191" s="25">
        <f>VALUE(YEAR(Table2[[#This Row],[Date]])&amp;TEXT(MONTH(Table2[[#This Row],[Date]]),"00"))</f>
        <v>202304</v>
      </c>
      <c r="B9191" s="6">
        <v>45041</v>
      </c>
      <c r="C9191" t="s">
        <v>4184</v>
      </c>
      <c r="D9191" t="s">
        <v>4185</v>
      </c>
      <c r="E9191" s="53">
        <v>512.04999999999995</v>
      </c>
      <c r="F9191" s="2" t="str">
        <f>IF(Table2[[#This Row],[Manual Cat Value]]="",VLOOKUP(Table2[[#This Row],[Description]],'Actuals Lookup'!D:F,3,0),Table2[[#This Row],[Manual Cat Value]])</f>
        <v>Exp - Target</v>
      </c>
      <c r="H9191" s="8" t="s">
        <v>30</v>
      </c>
      <c r="I9191" s="8"/>
      <c r="O9191" t="str">
        <f>LEFT(Table2[[#This Row],[Description]],75)</f>
        <v>Withdrawal ACH TARGET CARD SRVC TYPE: AUTO PYMT ID: 1411721813 CO: TARGET C</v>
      </c>
    </row>
    <row r="9192" spans="1:15" hidden="1">
      <c r="A9192" s="25">
        <f>VALUE(YEAR(Table2[[#This Row],[Date]])&amp;TEXT(MONTH(Table2[[#This Row],[Date]]),"00"))</f>
        <v>202304</v>
      </c>
      <c r="B9192" s="6">
        <v>45042</v>
      </c>
      <c r="C9192" t="s">
        <v>4186</v>
      </c>
      <c r="D9192" t="s">
        <v>4187</v>
      </c>
      <c r="E9192" s="53">
        <v>36.99</v>
      </c>
      <c r="F9192" s="2" t="str">
        <f>IF(Table2[[#This Row],[Manual Cat Value]]="",VLOOKUP(Table2[[#This Row],[Description]],'Actuals Lookup'!D:F,3,0),Table2[[#This Row],[Manual Cat Value]])</f>
        <v>Exp - Amazon</v>
      </c>
      <c r="H9192" s="8" t="s">
        <v>37</v>
      </c>
      <c r="I9192" s="8"/>
      <c r="O9192" t="str">
        <f>LEFT(Table2[[#This Row],[Description]],75)</f>
        <v>AMZN Mktp US*HF0AW8T42   Amzn.com/billWA REF #24692163K2Z6969ZA</v>
      </c>
    </row>
    <row r="9193" spans="1:15" hidden="1">
      <c r="A9193" s="25">
        <f>VALUE(YEAR(Table2[[#This Row],[Date]])&amp;TEXT(MONTH(Table2[[#This Row],[Date]]),"00"))</f>
        <v>202304</v>
      </c>
      <c r="B9193" s="6">
        <v>45042</v>
      </c>
      <c r="C9193" t="s">
        <v>4188</v>
      </c>
      <c r="D9193" t="s">
        <v>4189</v>
      </c>
      <c r="E9193" s="53">
        <v>73.89</v>
      </c>
      <c r="F9193" s="2" t="str">
        <f>IF(Table2[[#This Row],[Manual Cat Value]]="",VLOOKUP(Table2[[#This Row],[Description]],'Actuals Lookup'!D:F,3,0),Table2[[#This Row],[Manual Cat Value]])</f>
        <v>Exp - Amazon</v>
      </c>
      <c r="H9193" s="8" t="s">
        <v>37</v>
      </c>
      <c r="I9193" s="8"/>
      <c r="O9193" t="str">
        <f>LEFT(Table2[[#This Row],[Description]],75)</f>
        <v>AMZN MKTP US*HF3ZD92M0 AMAMZN.COM/BILLWA REF #24431063K2DKYN7E3</v>
      </c>
    </row>
    <row r="9194" spans="1:15" hidden="1">
      <c r="A9194" s="25">
        <f>VALUE(YEAR(Table2[[#This Row],[Date]])&amp;TEXT(MONTH(Table2[[#This Row],[Date]]),"00"))</f>
        <v>202304</v>
      </c>
      <c r="B9194" s="6">
        <v>45042</v>
      </c>
      <c r="C9194" t="s">
        <v>4190</v>
      </c>
      <c r="D9194" t="s">
        <v>4191</v>
      </c>
      <c r="E9194" s="53">
        <v>65</v>
      </c>
      <c r="F9194" s="2" t="str">
        <f>IF(Table2[[#This Row],[Manual Cat Value]]="",VLOOKUP(Table2[[#This Row],[Description]],'Actuals Lookup'!D:F,3,0),Table2[[#This Row],[Manual Cat Value]])</f>
        <v>Exp - Amazon</v>
      </c>
      <c r="H9194" s="8" t="s">
        <v>37</v>
      </c>
      <c r="I9194" s="8"/>
      <c r="O9194" t="str">
        <f>LEFT(Table2[[#This Row],[Description]],75)</f>
        <v>AMZN Mktp US*HF5E18V61   Amzn.com/billWA REF #24692163K2ZHEL74L</v>
      </c>
    </row>
    <row r="9195" spans="1:15" hidden="1">
      <c r="A9195" s="25">
        <f>VALUE(YEAR(Table2[[#This Row],[Date]])&amp;TEXT(MONTH(Table2[[#This Row],[Date]]),"00"))</f>
        <v>202304</v>
      </c>
      <c r="B9195" s="6">
        <v>45042</v>
      </c>
      <c r="C9195" t="s">
        <v>4192</v>
      </c>
      <c r="D9195" t="s">
        <v>4193</v>
      </c>
      <c r="E9195" s="53">
        <v>14.79</v>
      </c>
      <c r="F9195" s="2" t="str">
        <f>IF(Table2[[#This Row],[Manual Cat Value]]="",VLOOKUP(Table2[[#This Row],[Description]],'Actuals Lookup'!D:F,3,0),Table2[[#This Row],[Manual Cat Value]])</f>
        <v>Exp - Amazon</v>
      </c>
      <c r="H9195" s="8" t="s">
        <v>37</v>
      </c>
      <c r="I9195" s="8"/>
      <c r="O9195" t="str">
        <f>LEFT(Table2[[#This Row],[Description]],75)</f>
        <v>AMZN Mktp US*HF9DP3T22   Amzn.com/billWA REF #24692163K2Z7B6Q20</v>
      </c>
    </row>
    <row r="9196" spans="1:15" hidden="1">
      <c r="A9196" s="25">
        <f>VALUE(YEAR(Table2[[#This Row],[Date]])&amp;TEXT(MONTH(Table2[[#This Row],[Date]]),"00"))</f>
        <v>202304</v>
      </c>
      <c r="B9196" s="6">
        <v>45042</v>
      </c>
      <c r="C9196" t="s">
        <v>4194</v>
      </c>
      <c r="D9196" t="s">
        <v>4195</v>
      </c>
      <c r="E9196" s="53">
        <v>36.909999999999997</v>
      </c>
      <c r="F9196" s="2" t="str">
        <f>IF(Table2[[#This Row],[Manual Cat Value]]="",VLOOKUP(Table2[[#This Row],[Description]],'Actuals Lookup'!D:F,3,0),Table2[[#This Row],[Manual Cat Value]])</f>
        <v>Exp - Amazon</v>
      </c>
      <c r="H9196" s="8" t="s">
        <v>37</v>
      </c>
      <c r="I9196" s="8"/>
      <c r="O9196" t="str">
        <f>LEFT(Table2[[#This Row],[Description]],75)</f>
        <v>AMZN Mktp US*HF9ZW0PT1   Amzn.com/billWA REF #24692163K2Z7Q10HY</v>
      </c>
    </row>
    <row r="9197" spans="1:15" hidden="1">
      <c r="A9197" s="25">
        <f>VALUE(YEAR(Table2[[#This Row],[Date]])&amp;TEXT(MONTH(Table2[[#This Row],[Date]]),"00"))</f>
        <v>202304</v>
      </c>
      <c r="B9197" s="6">
        <v>45042</v>
      </c>
      <c r="C9197" t="s">
        <v>4196</v>
      </c>
      <c r="D9197" t="s">
        <v>4197</v>
      </c>
      <c r="E9197" s="53">
        <v>56.52</v>
      </c>
      <c r="F9197" s="2" t="str">
        <f>IF(Table2[[#This Row],[Manual Cat Value]]="",VLOOKUP(Table2[[#This Row],[Description]],'Actuals Lookup'!D:F,3,0),Table2[[#This Row],[Manual Cat Value]])</f>
        <v>Delete</v>
      </c>
      <c r="H9197" s="8" t="s">
        <v>9</v>
      </c>
      <c r="I9197" s="8"/>
      <c r="O9197" t="str">
        <f>LEFT(Table2[[#This Row],[Description]],75)</f>
        <v>SQ *LORD HOBO BREWING WOBWoburn       MA REF #24692163L2ZRBP60R</v>
      </c>
    </row>
    <row r="9198" spans="1:15" hidden="1">
      <c r="A9198" s="25">
        <f>VALUE(YEAR(Table2[[#This Row],[Date]])&amp;TEXT(MONTH(Table2[[#This Row],[Date]]),"00"))</f>
        <v>202304</v>
      </c>
      <c r="B9198" s="6">
        <v>45042</v>
      </c>
      <c r="C9198" t="s">
        <v>4198</v>
      </c>
      <c r="D9198" t="s">
        <v>4199</v>
      </c>
      <c r="E9198" s="53">
        <v>330</v>
      </c>
      <c r="F9198" s="2" t="str">
        <f>IF(Table2[[#This Row],[Manual Cat Value]]="",VLOOKUP(Table2[[#This Row],[Description]],'Actuals Lookup'!D:F,3,0),Table2[[#This Row],[Manual Cat Value]])</f>
        <v>Exp - Day Care</v>
      </c>
      <c r="H9198" s="8" t="s">
        <v>19</v>
      </c>
      <c r="I9198" s="8"/>
      <c r="O9198" t="str">
        <f>LEFT(Table2[[#This Row],[Description]],75)</f>
        <v xml:space="preserve">Withdrawal ACH MHCHILDCARELLC TYPE: DUES ID: 1824708198 CO: MHCHILDCARELLC </v>
      </c>
    </row>
    <row r="9199" spans="1:15" hidden="1">
      <c r="A9199" s="25">
        <f>VALUE(YEAR(Table2[[#This Row],[Date]])&amp;TEXT(MONTH(Table2[[#This Row],[Date]]),"00"))</f>
        <v>202304</v>
      </c>
      <c r="B9199" s="6">
        <v>45042</v>
      </c>
      <c r="C9199" t="s">
        <v>4200</v>
      </c>
      <c r="D9199" t="s">
        <v>4201</v>
      </c>
      <c r="E9199" s="53">
        <v>30</v>
      </c>
      <c r="F9199" s="2" t="str">
        <f>IF(Table2[[#This Row],[Manual Cat Value]]="",VLOOKUP(Table2[[#This Row],[Description]],'Actuals Lookup'!D:F,3,0),Table2[[#This Row],[Manual Cat Value]])</f>
        <v>Exp - Shopping</v>
      </c>
      <c r="H9199" s="8" t="s">
        <v>36</v>
      </c>
      <c r="I9199" s="8"/>
      <c r="O9199" t="str">
        <f>LEFT(Table2[[#This Row],[Description]],75)</f>
        <v>Withdrawal ACH VENMO TYPE: PAYMENT ID: 326XXXXXXX CO: VENMO NAME: BRITNEY T</v>
      </c>
    </row>
    <row r="9200" spans="1:15" hidden="1">
      <c r="A9200" s="25">
        <f>VALUE(YEAR(Table2[[#This Row],[Date]])&amp;TEXT(MONTH(Table2[[#This Row],[Date]]),"00"))</f>
        <v>202304</v>
      </c>
      <c r="B9200" s="6">
        <v>45043</v>
      </c>
      <c r="C9200" t="s">
        <v>4006</v>
      </c>
      <c r="D9200" t="s">
        <v>701</v>
      </c>
      <c r="E9200" s="53">
        <v>15.88</v>
      </c>
      <c r="F9200" s="2" t="str">
        <f>IF(Table2[[#This Row],[Manual Cat Value]]="",VLOOKUP(Table2[[#This Row],[Description]],'Actuals Lookup'!D:F,3,0),Table2[[#This Row],[Manual Cat Value]])</f>
        <v>Restaurants</v>
      </c>
      <c r="G9200" t="s">
        <v>26</v>
      </c>
      <c r="I9200" s="8"/>
      <c r="O9200" t="str">
        <f>LEFT(Table2[[#This Row],[Description]],75)</f>
        <v>Delaware North</v>
      </c>
    </row>
    <row r="9201" spans="1:15" hidden="1">
      <c r="A9201" s="25">
        <f>VALUE(YEAR(Table2[[#This Row],[Date]])&amp;TEXT(MONTH(Table2[[#This Row],[Date]]),"00"))</f>
        <v>202304</v>
      </c>
      <c r="B9201" s="6">
        <v>45043</v>
      </c>
      <c r="C9201" t="s">
        <v>4006</v>
      </c>
      <c r="D9201" t="s">
        <v>701</v>
      </c>
      <c r="E9201">
        <v>-15.88</v>
      </c>
      <c r="F9201" s="2" t="str">
        <f>IF(Table2[[#This Row],[Manual Cat Value]]="",VLOOKUP(Table2[[#This Row],[Description]],'Actuals Lookup'!D:F,3,0),Table2[[#This Row],[Manual Cat Value]])</f>
        <v>Restaurants</v>
      </c>
      <c r="G9201" t="s">
        <v>26</v>
      </c>
      <c r="I9201" s="8"/>
      <c r="O9201" t="str">
        <f>LEFT(Table2[[#This Row],[Description]],75)</f>
        <v>Delaware North</v>
      </c>
    </row>
    <row r="9202" spans="1:15" hidden="1">
      <c r="A9202" s="25">
        <f>VALUE(YEAR(Table2[[#This Row],[Date]])&amp;TEXT(MONTH(Table2[[#This Row],[Date]]),"00"))</f>
        <v>202304</v>
      </c>
      <c r="B9202" s="6">
        <v>45043</v>
      </c>
      <c r="C9202" t="s">
        <v>4202</v>
      </c>
      <c r="D9202" t="s">
        <v>4203</v>
      </c>
      <c r="E9202" s="53">
        <v>-2434.23</v>
      </c>
      <c r="F9202" s="2" t="str">
        <f>IF(Table2[[#This Row],[Manual Cat Value]]="",VLOOKUP(Table2[[#This Row],[Description]],'Actuals Lookup'!D:F,3,0),Table2[[#This Row],[Manual Cat Value]])</f>
        <v>Inc - Britney</v>
      </c>
      <c r="H9202" s="8" t="s">
        <v>65</v>
      </c>
      <c r="I9202" s="8"/>
      <c r="O9202" t="str">
        <f>LEFT(Table2[[#This Row],[Description]],75)</f>
        <v>Deposit ACH CARGILL INCORPOR TYPE: DIRECT DEP ID: 9111111101 CO: CARGILL IN</v>
      </c>
    </row>
    <row r="9203" spans="1:15" hidden="1">
      <c r="A9203" s="25">
        <f>VALUE(YEAR(Table2[[#This Row],[Date]])&amp;TEXT(MONTH(Table2[[#This Row],[Date]]),"00"))</f>
        <v>202304</v>
      </c>
      <c r="B9203" s="6">
        <v>45043</v>
      </c>
      <c r="C9203" t="s">
        <v>4204</v>
      </c>
      <c r="D9203" t="s">
        <v>4205</v>
      </c>
      <c r="E9203" s="53">
        <v>-3180.73</v>
      </c>
      <c r="F9203" s="2" t="str">
        <f>IF(Table2[[#This Row],[Manual Cat Value]]="",VLOOKUP(Table2[[#This Row],[Description]],'Actuals Lookup'!D:F,3,0),Table2[[#This Row],[Manual Cat Value]])</f>
        <v>Inc - Jeff</v>
      </c>
      <c r="H9203" s="8" t="s">
        <v>63</v>
      </c>
      <c r="I9203" s="8"/>
      <c r="O9203" t="str">
        <f>LEFT(Table2[[#This Row],[Description]],75)</f>
        <v>Deposit ACH TRINET TYPE: PAYROLL ID: 194XXXXXXX CO: TRINET Entry Class Code</v>
      </c>
    </row>
    <row r="9204" spans="1:15" hidden="1">
      <c r="A9204" s="25">
        <f>VALUE(YEAR(Table2[[#This Row],[Date]])&amp;TEXT(MONTH(Table2[[#This Row],[Date]]),"00"))</f>
        <v>202304</v>
      </c>
      <c r="B9204" s="6">
        <v>45043</v>
      </c>
      <c r="C9204" t="s">
        <v>4006</v>
      </c>
      <c r="D9204" t="s">
        <v>4206</v>
      </c>
      <c r="E9204" s="53">
        <v>16</v>
      </c>
      <c r="F9204" s="2" t="str">
        <f>IF(Table2[[#This Row],[Manual Cat Value]]="",VLOOKUP(Table2[[#This Row],[Description]],'Actuals Lookup'!D:F,3,0),Table2[[#This Row],[Manual Cat Value]])</f>
        <v>Travel</v>
      </c>
      <c r="G9204" t="s">
        <v>43</v>
      </c>
      <c r="I9204" s="8"/>
      <c r="O9204" t="str">
        <f>LEFT(Table2[[#This Row],[Description]],75)</f>
        <v>Ramp B</v>
      </c>
    </row>
    <row r="9205" spans="1:15" hidden="1">
      <c r="A9205" s="25">
        <f>VALUE(YEAR(Table2[[#This Row],[Date]])&amp;TEXT(MONTH(Table2[[#This Row],[Date]]),"00"))</f>
        <v>202304</v>
      </c>
      <c r="B9205" s="6">
        <v>45043</v>
      </c>
      <c r="C9205" t="s">
        <v>4006</v>
      </c>
      <c r="D9205" t="s">
        <v>4206</v>
      </c>
      <c r="E9205">
        <v>-16</v>
      </c>
      <c r="F9205" s="2" t="str">
        <f>IF(Table2[[#This Row],[Manual Cat Value]]="",VLOOKUP(Table2[[#This Row],[Description]],'Actuals Lookup'!D:F,3,0),Table2[[#This Row],[Manual Cat Value]])</f>
        <v>Travel</v>
      </c>
      <c r="G9205" t="s">
        <v>43</v>
      </c>
      <c r="I9205" s="8"/>
      <c r="O9205" t="str">
        <f>LEFT(Table2[[#This Row],[Description]],75)</f>
        <v>Ramp B</v>
      </c>
    </row>
    <row r="9206" spans="1:15" hidden="1">
      <c r="A9206" s="25">
        <f>VALUE(YEAR(Table2[[#This Row],[Date]])&amp;TEXT(MONTH(Table2[[#This Row],[Date]]),"00"))</f>
        <v>202304</v>
      </c>
      <c r="B9206" s="6">
        <v>45044</v>
      </c>
      <c r="C9206" t="s">
        <v>4207</v>
      </c>
      <c r="D9206" t="s">
        <v>4208</v>
      </c>
      <c r="E9206" s="53">
        <v>209.14</v>
      </c>
      <c r="F9206" s="2" t="str">
        <f>IF(Table2[[#This Row],[Manual Cat Value]]="",VLOOKUP(Table2[[#This Row],[Description]],'Actuals Lookup'!D:F,3,0),Table2[[#This Row],[Manual Cat Value]])</f>
        <v>Delete</v>
      </c>
      <c r="H9206" s="8" t="s">
        <v>9</v>
      </c>
      <c r="I9206" s="8"/>
      <c r="O9206" t="str">
        <f>LEFT(Table2[[#This Row],[Description]],75)</f>
        <v>NATIONAL CAR RENTAL      BOSTON       MA REF #24164073M1PYKBYJ0</v>
      </c>
    </row>
    <row r="9207" spans="1:15" hidden="1">
      <c r="A9207" s="25">
        <f>VALUE(YEAR(Table2[[#This Row],[Date]])&amp;TEXT(MONTH(Table2[[#This Row],[Date]]),"00"))</f>
        <v>202304</v>
      </c>
      <c r="B9207" s="6">
        <v>45044</v>
      </c>
      <c r="C9207" t="s">
        <v>4006</v>
      </c>
      <c r="D9207" t="s">
        <v>4209</v>
      </c>
      <c r="E9207" s="53">
        <v>182.49</v>
      </c>
      <c r="F9207" s="2" t="str">
        <f>IF(Table2[[#This Row],[Manual Cat Value]]="",VLOOKUP(Table2[[#This Row],[Description]],'Actuals Lookup'!D:F,3,0),Table2[[#This Row],[Manual Cat Value]])</f>
        <v>Restaurants</v>
      </c>
      <c r="G9207" t="s">
        <v>26</v>
      </c>
      <c r="I9207" s="8"/>
      <c r="O9207" t="str">
        <f>LEFT(Table2[[#This Row],[Description]],75)</f>
        <v>Tst* Martina 0xx3538minneapolis Xxxxxxx3119 Restaurant</v>
      </c>
    </row>
    <row r="9208" spans="1:15" hidden="1">
      <c r="A9208" s="25">
        <f>VALUE(YEAR(Table2[[#This Row],[Date]])&amp;TEXT(MONTH(Table2[[#This Row],[Date]]),"00"))</f>
        <v>202304</v>
      </c>
      <c r="B9208" s="6">
        <v>45044</v>
      </c>
      <c r="C9208" t="s">
        <v>4006</v>
      </c>
      <c r="D9208" t="s">
        <v>4209</v>
      </c>
      <c r="E9208">
        <v>-182.49</v>
      </c>
      <c r="F9208" s="2" t="str">
        <f>IF(Table2[[#This Row],[Manual Cat Value]]="",VLOOKUP(Table2[[#This Row],[Description]],'Actuals Lookup'!D:F,3,0),Table2[[#This Row],[Manual Cat Value]])</f>
        <v>Restaurants</v>
      </c>
      <c r="G9208" t="s">
        <v>26</v>
      </c>
      <c r="I9208" s="8"/>
      <c r="O9208" t="str">
        <f>LEFT(Table2[[#This Row],[Description]],75)</f>
        <v>Tst* Martina 0xx3538minneapolis Xxxxxxx3119 Restaurant</v>
      </c>
    </row>
    <row r="9209" spans="1:15" hidden="1">
      <c r="A9209" s="25">
        <f>VALUE(YEAR(Table2[[#This Row],[Date]])&amp;TEXT(MONTH(Table2[[#This Row],[Date]]),"00"))</f>
        <v>202304</v>
      </c>
      <c r="B9209" s="6">
        <v>45044</v>
      </c>
      <c r="C9209" t="s">
        <v>4210</v>
      </c>
      <c r="D9209" t="s">
        <v>4211</v>
      </c>
      <c r="E9209" s="53">
        <v>0.99</v>
      </c>
      <c r="F9209" s="2" t="str">
        <f>IF(Table2[[#This Row],[Manual Cat Value]]="",VLOOKUP(Table2[[#This Row],[Description]],'Actuals Lookup'!D:F,3,0),Table2[[#This Row],[Manual Cat Value]])</f>
        <v>Exp - Shopping</v>
      </c>
      <c r="H9209" s="8" t="s">
        <v>36</v>
      </c>
      <c r="I9209" s="8"/>
      <c r="O9209" t="str">
        <f>LEFT(Table2[[#This Row],[Description]],75)</f>
        <v xml:space="preserve">Withdrawal ACH PAYPAL TYPE: INST XFER ID: PAYPALSI77 CO: PAYPAL NAME: JEFF </v>
      </c>
    </row>
    <row r="9210" spans="1:15" hidden="1">
      <c r="A9210" s="25">
        <f>VALUE(YEAR(Table2[[#This Row],[Date]])&amp;TEXT(MONTH(Table2[[#This Row],[Date]]),"00"))</f>
        <v>202304</v>
      </c>
      <c r="B9210" s="6">
        <v>45044</v>
      </c>
      <c r="C9210" t="s">
        <v>4212</v>
      </c>
      <c r="D9210" t="s">
        <v>4213</v>
      </c>
      <c r="E9210" s="53">
        <v>125</v>
      </c>
      <c r="F9210" s="2" t="str">
        <f>IF(Table2[[#This Row],[Manual Cat Value]]="",VLOOKUP(Table2[[#This Row],[Description]],'Actuals Lookup'!D:F,3,0),Table2[[#This Row],[Manual Cat Value]])</f>
        <v>Exp - Shopping</v>
      </c>
      <c r="H9210" s="8" t="s">
        <v>36</v>
      </c>
      <c r="I9210" s="8"/>
      <c r="O9210" t="str">
        <f>LEFT(Table2[[#This Row],[Description]],75)</f>
        <v>Withdrawal ACH VENMO TYPE: PAYMENT ID: 326XXXXXXX CO: VENMO NAME: BRITNEY T</v>
      </c>
    </row>
    <row r="9211" spans="1:15" hidden="1">
      <c r="A9211" s="25">
        <f>VALUE(YEAR(Table2[[#This Row],[Date]])&amp;TEXT(MONTH(Table2[[#This Row],[Date]]),"00"))</f>
        <v>202304</v>
      </c>
      <c r="B9211" s="6">
        <v>45045</v>
      </c>
      <c r="C9211" t="s">
        <v>4006</v>
      </c>
      <c r="D9211" t="s">
        <v>703</v>
      </c>
      <c r="E9211" s="53">
        <v>1914.85</v>
      </c>
      <c r="F9211" s="2" t="str">
        <f>IF(Table2[[#This Row],[Manual Cat Value]]="",VLOOKUP(Table2[[#This Row],[Description]],'Actuals Lookup'!D:F,3,0),Table2[[#This Row],[Manual Cat Value]])</f>
        <v>Delete</v>
      </c>
      <c r="G9211" t="s">
        <v>67</v>
      </c>
      <c r="I9211" s="8"/>
      <c r="O9211" t="str">
        <f>LEFT(Table2[[#This Row],[Description]],75)</f>
        <v>Delta Air Lines</v>
      </c>
    </row>
    <row r="9212" spans="1:15" hidden="1">
      <c r="A9212" s="25">
        <f>VALUE(YEAR(Table2[[#This Row],[Date]])&amp;TEXT(MONTH(Table2[[#This Row],[Date]]),"00"))</f>
        <v>202304</v>
      </c>
      <c r="B9212" s="6">
        <v>45045</v>
      </c>
      <c r="C9212" t="s">
        <v>4006</v>
      </c>
      <c r="D9212" t="s">
        <v>703</v>
      </c>
      <c r="E9212">
        <v>-1914.85</v>
      </c>
      <c r="F9212" s="2" t="str">
        <f>IF(Table2[[#This Row],[Manual Cat Value]]="",VLOOKUP(Table2[[#This Row],[Description]],'Actuals Lookup'!D:F,3,0),Table2[[#This Row],[Manual Cat Value]])</f>
        <v>Delete</v>
      </c>
      <c r="G9212" t="s">
        <v>67</v>
      </c>
      <c r="I9212" s="8"/>
      <c r="O9212" t="str">
        <f>LEFT(Table2[[#This Row],[Description]],75)</f>
        <v>Delta Air Lines</v>
      </c>
    </row>
    <row r="9213" spans="1:15" hidden="1">
      <c r="A9213" s="25">
        <f>VALUE(YEAR(Table2[[#This Row],[Date]])&amp;TEXT(MONTH(Table2[[#This Row],[Date]]),"00"))</f>
        <v>202304</v>
      </c>
      <c r="B9213" s="6">
        <v>45045</v>
      </c>
      <c r="C9213" t="s">
        <v>4006</v>
      </c>
      <c r="D9213" t="s">
        <v>4214</v>
      </c>
      <c r="E9213" s="53">
        <v>80.33</v>
      </c>
      <c r="F9213" s="2" t="str">
        <f>IF(Table2[[#This Row],[Manual Cat Value]]="",VLOOKUP(Table2[[#This Row],[Description]],'Actuals Lookup'!D:F,3,0),Table2[[#This Row],[Manual Cat Value]])</f>
        <v>Restaurants</v>
      </c>
      <c r="G9213" t="s">
        <v>26</v>
      </c>
      <c r="I9213" s="8"/>
      <c r="O9213" t="str">
        <f>LEFT(Table2[[#This Row],[Description]],75)</f>
        <v>Snuffy's Malt Shop</v>
      </c>
    </row>
    <row r="9214" spans="1:15" hidden="1">
      <c r="A9214" s="25">
        <f>VALUE(YEAR(Table2[[#This Row],[Date]])&amp;TEXT(MONTH(Table2[[#This Row],[Date]]),"00"))</f>
        <v>202304</v>
      </c>
      <c r="B9214" s="6">
        <v>45045</v>
      </c>
      <c r="C9214" t="s">
        <v>4006</v>
      </c>
      <c r="D9214" t="s">
        <v>4214</v>
      </c>
      <c r="E9214">
        <v>-80.33</v>
      </c>
      <c r="F9214" s="2" t="str">
        <f>IF(Table2[[#This Row],[Manual Cat Value]]="",VLOOKUP(Table2[[#This Row],[Description]],'Actuals Lookup'!D:F,3,0),Table2[[#This Row],[Manual Cat Value]])</f>
        <v>Restaurants</v>
      </c>
      <c r="G9214" t="s">
        <v>26</v>
      </c>
      <c r="I9214" s="8"/>
      <c r="O9214" t="str">
        <f>LEFT(Table2[[#This Row],[Description]],75)</f>
        <v>Snuffy's Malt Shop</v>
      </c>
    </row>
    <row r="9215" spans="1:15" hidden="1">
      <c r="A9215" s="25">
        <f>VALUE(YEAR(Table2[[#This Row],[Date]])&amp;TEXT(MONTH(Table2[[#This Row],[Date]]),"00"))</f>
        <v>202304</v>
      </c>
      <c r="B9215" s="6">
        <v>45046</v>
      </c>
      <c r="C9215" t="s">
        <v>3932</v>
      </c>
      <c r="D9215" t="s">
        <v>38</v>
      </c>
      <c r="E9215" s="53">
        <v>29.26</v>
      </c>
      <c r="F9215" s="2" t="str">
        <f>IF(Table2[[#This Row],[Manual Cat Value]]="",VLOOKUP(Table2[[#This Row],[Description]],'Actuals Lookup'!D:F,3,0),Table2[[#This Row],[Manual Cat Value]])</f>
        <v>Amazon</v>
      </c>
      <c r="G9215" t="s">
        <v>38</v>
      </c>
      <c r="I9215" s="8"/>
      <c r="O9215" t="str">
        <f>LEFT(Table2[[#This Row],[Description]],75)</f>
        <v>Amazon</v>
      </c>
    </row>
    <row r="9216" spans="1:15" hidden="1">
      <c r="A9216" s="25">
        <f>VALUE(YEAR(Table2[[#This Row],[Date]])&amp;TEXT(MONTH(Table2[[#This Row],[Date]]),"00"))</f>
        <v>202304</v>
      </c>
      <c r="B9216" s="6">
        <v>45046</v>
      </c>
      <c r="C9216" t="s">
        <v>3932</v>
      </c>
      <c r="D9216" t="s">
        <v>38</v>
      </c>
      <c r="E9216">
        <v>-29.26</v>
      </c>
      <c r="F9216" s="2" t="str">
        <f>IF(Table2[[#This Row],[Manual Cat Value]]="",VLOOKUP(Table2[[#This Row],[Description]],'Actuals Lookup'!D:F,3,0),Table2[[#This Row],[Manual Cat Value]])</f>
        <v>Amazon</v>
      </c>
      <c r="G9216" t="s">
        <v>38</v>
      </c>
      <c r="I9216" s="8"/>
      <c r="O9216" t="str">
        <f>LEFT(Table2[[#This Row],[Description]],75)</f>
        <v>Amazon</v>
      </c>
    </row>
    <row r="9217" spans="1:15" hidden="1">
      <c r="A9217" s="25">
        <f>VALUE(YEAR(Table2[[#This Row],[Date]])&amp;TEXT(MONTH(Table2[[#This Row],[Date]]),"00"))</f>
        <v>202304</v>
      </c>
      <c r="B9217" s="6">
        <v>45046</v>
      </c>
      <c r="C9217" t="s">
        <v>4006</v>
      </c>
      <c r="D9217" t="s">
        <v>4215</v>
      </c>
      <c r="E9217" s="53">
        <v>29.03</v>
      </c>
      <c r="F9217" s="2" t="str">
        <f>IF(Table2[[#This Row],[Manual Cat Value]]="",VLOOKUP(Table2[[#This Row],[Description]],'Actuals Lookup'!D:F,3,0),Table2[[#This Row],[Manual Cat Value]])</f>
        <v>Restaurants</v>
      </c>
      <c r="G9217" t="s">
        <v>26</v>
      </c>
      <c r="I9217" s="8"/>
      <c r="O9217" t="str">
        <f>LEFT(Table2[[#This Row],[Description]],75)</f>
        <v>Delaware North Companies Sports Services</v>
      </c>
    </row>
    <row r="9218" spans="1:15" hidden="1">
      <c r="A9218" s="25">
        <f>VALUE(YEAR(Table2[[#This Row],[Date]])&amp;TEXT(MONTH(Table2[[#This Row],[Date]]),"00"))</f>
        <v>202304</v>
      </c>
      <c r="B9218" s="6">
        <v>45046</v>
      </c>
      <c r="C9218" t="s">
        <v>4006</v>
      </c>
      <c r="D9218" t="s">
        <v>4215</v>
      </c>
      <c r="E9218">
        <v>-29.03</v>
      </c>
      <c r="F9218" s="2" t="str">
        <f>IF(Table2[[#This Row],[Manual Cat Value]]="",VLOOKUP(Table2[[#This Row],[Description]],'Actuals Lookup'!D:F,3,0),Table2[[#This Row],[Manual Cat Value]])</f>
        <v>Restaurants</v>
      </c>
      <c r="G9218" t="s">
        <v>26</v>
      </c>
      <c r="I9218" s="8"/>
      <c r="O9218" t="str">
        <f>LEFT(Table2[[#This Row],[Description]],75)</f>
        <v>Delaware North Companies Sports Services</v>
      </c>
    </row>
    <row r="9219" spans="1:15" hidden="1">
      <c r="A9219" s="25">
        <f>VALUE(YEAR(Table2[[#This Row],[Date]])&amp;TEXT(MONTH(Table2[[#This Row],[Date]]),"00"))</f>
        <v>202304</v>
      </c>
      <c r="B9219" s="6">
        <v>45046</v>
      </c>
      <c r="C9219" t="s">
        <v>4216</v>
      </c>
      <c r="D9219" t="s">
        <v>4217</v>
      </c>
      <c r="E9219" s="53">
        <v>3.21</v>
      </c>
      <c r="F9219" s="2" t="str">
        <f>IF(Table2[[#This Row],[Manual Cat Value]]="",VLOOKUP(Table2[[#This Row],[Description]],'Actuals Lookup'!D:F,3,0),Table2[[#This Row],[Manual Cat Value]])</f>
        <v>Delete</v>
      </c>
      <c r="H9219" s="8" t="s">
        <v>9</v>
      </c>
      <c r="I9219" s="8"/>
      <c r="O9219" t="str">
        <f>LEFT(Table2[[#This Row],[Description]],75)</f>
        <v>DELAWARE NORTH LOGAN F&amp;B EAST BOSTON  MA REF #24431063PW5T2H3R0</v>
      </c>
    </row>
    <row r="9220" spans="1:15" hidden="1">
      <c r="A9220" s="25">
        <f>VALUE(YEAR(Table2[[#This Row],[Date]])&amp;TEXT(MONTH(Table2[[#This Row],[Date]]),"00"))</f>
        <v>202304</v>
      </c>
      <c r="B9220" s="6">
        <v>45046</v>
      </c>
      <c r="C9220" t="s">
        <v>4218</v>
      </c>
      <c r="D9220" t="s">
        <v>4219</v>
      </c>
      <c r="E9220" s="53">
        <v>7.92</v>
      </c>
      <c r="F9220" s="2" t="str">
        <f>IF(Table2[[#This Row],[Manual Cat Value]]="",VLOOKUP(Table2[[#This Row],[Description]],'Actuals Lookup'!D:F,3,0),Table2[[#This Row],[Manual Cat Value]])</f>
        <v>Delete</v>
      </c>
      <c r="H9220" s="8" t="s">
        <v>9</v>
      </c>
      <c r="I9220" s="8"/>
      <c r="O9220" t="str">
        <f>LEFT(Table2[[#This Row],[Description]],75)</f>
        <v>DELAWARE NORTH LOGAN F&amp;B EAST BOSTON  MA REF #24431063PW5T8K4F5</v>
      </c>
    </row>
    <row r="9221" spans="1:15" hidden="1">
      <c r="A9221" s="25">
        <f>VALUE(YEAR(Table2[[#This Row],[Date]])&amp;TEXT(MONTH(Table2[[#This Row],[Date]]),"00"))</f>
        <v>202304</v>
      </c>
      <c r="B9221" s="6">
        <v>45046</v>
      </c>
      <c r="C9221" t="s">
        <v>3933</v>
      </c>
      <c r="D9221" t="s">
        <v>4220</v>
      </c>
      <c r="E9221" s="53">
        <v>-48.6</v>
      </c>
      <c r="F9221" s="2" t="str">
        <f>IF(Table2[[#This Row],[Manual Cat Value]]="",VLOOKUP(Table2[[#This Row],[Description]],'Actuals Lookup'!D:F,3,0),Table2[[#This Row],[Manual Cat Value]])</f>
        <v>Inc - Other</v>
      </c>
      <c r="H9221" s="8" t="s">
        <v>16</v>
      </c>
      <c r="I9221" s="8"/>
      <c r="O9221" t="str">
        <f>LEFT(Table2[[#This Row],[Description]],75)</f>
        <v>Deposit Dividend Split Rate Annual Percentage Yield Earned 1.68% from 04/01</v>
      </c>
    </row>
    <row r="9222" spans="1:15" hidden="1">
      <c r="A9222" s="25">
        <f>VALUE(YEAR(Table2[[#This Row],[Date]])&amp;TEXT(MONTH(Table2[[#This Row],[Date]]),"00"))</f>
        <v>202304</v>
      </c>
      <c r="B9222" s="6">
        <v>45046</v>
      </c>
      <c r="C9222" t="s">
        <v>4221</v>
      </c>
      <c r="D9222" t="s">
        <v>4222</v>
      </c>
      <c r="E9222" s="53">
        <v>687.04</v>
      </c>
      <c r="F9222" s="2" t="str">
        <f>IF(Table2[[#This Row],[Manual Cat Value]]="",VLOOKUP(Table2[[#This Row],[Description]],'Actuals Lookup'!D:F,3,0),Table2[[#This Row],[Manual Cat Value]])</f>
        <v>Delete</v>
      </c>
      <c r="H9222" s="8" t="s">
        <v>9</v>
      </c>
      <c r="I9222" s="8"/>
      <c r="O9222" t="str">
        <f>LEFT(Table2[[#This Row],[Description]],75)</f>
        <v>HILTON BOSTON WOBURN     WOBURN       MA REF #24055233N11H4HA65</v>
      </c>
    </row>
    <row r="9223" spans="1:15" hidden="1">
      <c r="A9223" s="25">
        <f>VALUE(YEAR(Table2[[#This Row],[Date]])&amp;TEXT(MONTH(Table2[[#This Row],[Date]]),"00"))</f>
        <v>202304</v>
      </c>
      <c r="B9223" s="6">
        <v>45046</v>
      </c>
      <c r="C9223" t="s">
        <v>4223</v>
      </c>
      <c r="D9223" t="s">
        <v>4224</v>
      </c>
      <c r="E9223" s="53">
        <v>55.83</v>
      </c>
      <c r="F9223" s="2" t="str">
        <f>IF(Table2[[#This Row],[Manual Cat Value]]="",VLOOKUP(Table2[[#This Row],[Description]],'Actuals Lookup'!D:F,3,0),Table2[[#This Row],[Manual Cat Value]])</f>
        <v>Exp - Transportation</v>
      </c>
      <c r="H9223" s="8" t="s">
        <v>22</v>
      </c>
      <c r="I9223" s="8"/>
      <c r="O9223" t="str">
        <f>LEFT(Table2[[#This Row],[Description]],75)</f>
        <v>KWIK TRIP  40200004028   CHANHASSEN   MN REF #24164073PL3HDZZS0</v>
      </c>
    </row>
    <row r="9224" spans="1:15" hidden="1">
      <c r="A9224" s="25">
        <f>VALUE(YEAR(Table2[[#This Row],[Date]])&amp;TEXT(MONTH(Table2[[#This Row],[Date]]),"00"))</f>
        <v>202304</v>
      </c>
      <c r="B9224" s="6">
        <v>45046</v>
      </c>
      <c r="C9224" t="s">
        <v>4225</v>
      </c>
      <c r="D9224" t="s">
        <v>4226</v>
      </c>
      <c r="E9224" s="53">
        <v>126</v>
      </c>
      <c r="F9224" s="2" t="str">
        <f>IF(Table2[[#This Row],[Manual Cat Value]]="",VLOOKUP(Table2[[#This Row],[Description]],'Actuals Lookup'!D:F,3,0),Table2[[#This Row],[Manual Cat Value]])</f>
        <v>Delete</v>
      </c>
      <c r="H9224" s="8" t="s">
        <v>9</v>
      </c>
      <c r="I9224" s="8"/>
      <c r="O9224" t="str">
        <f>LEFT(Table2[[#This Row],[Description]],75)</f>
        <v>MSP AIRPORT PARKING      SAINT PAUL   MN REF #24034543P02Z0B6VY</v>
      </c>
    </row>
    <row r="9225" spans="1:15" hidden="1">
      <c r="A9225" s="25">
        <f>VALUE(YEAR(Table2[[#This Row],[Date]])&amp;TEXT(MONTH(Table2[[#This Row],[Date]]),"00"))</f>
        <v>202304</v>
      </c>
      <c r="B9225" s="6">
        <v>45046</v>
      </c>
      <c r="C9225" t="s">
        <v>4227</v>
      </c>
      <c r="D9225" t="s">
        <v>4228</v>
      </c>
      <c r="E9225" s="53">
        <v>567.28</v>
      </c>
      <c r="F9225" s="2" t="str">
        <f>IF(Table2[[#This Row],[Manual Cat Value]]="",VLOOKUP(Table2[[#This Row],[Description]],'Actuals Lookup'!D:F,3,0),Table2[[#This Row],[Manual Cat Value]])</f>
        <v>Exp - Shopping</v>
      </c>
      <c r="H9225" s="8" t="s">
        <v>36</v>
      </c>
      <c r="I9225" s="8"/>
      <c r="O9225" t="str">
        <f>LEFT(Table2[[#This Row],[Description]],75)</f>
        <v>SCHEELS EDEN PRAIRIE     EDEN PRAIRIE MN REF #24138293PP6Q3TLRN</v>
      </c>
    </row>
    <row r="9226" spans="1:15" hidden="1">
      <c r="A9226" s="25">
        <f>VALUE(YEAR(Table2[[#This Row],[Date]])&amp;TEXT(MONTH(Table2[[#This Row],[Date]]),"00"))</f>
        <v>202304</v>
      </c>
      <c r="B9226" s="6">
        <v>45046</v>
      </c>
      <c r="C9226" t="s">
        <v>4229</v>
      </c>
      <c r="D9226" t="s">
        <v>4230</v>
      </c>
      <c r="E9226" s="53">
        <v>11.63</v>
      </c>
      <c r="F9226" s="2" t="str">
        <f>IF(Table2[[#This Row],[Manual Cat Value]]="",VLOOKUP(Table2[[#This Row],[Description]],'Actuals Lookup'!D:F,3,0),Table2[[#This Row],[Manual Cat Value]])</f>
        <v>Exp - Transportation</v>
      </c>
      <c r="H9226" s="8" t="s">
        <v>22</v>
      </c>
      <c r="I9226" s="8"/>
      <c r="O9226" t="str">
        <f>LEFT(Table2[[#This Row],[Description]],75)</f>
        <v>SHELL OIL 12630255003    BOSTON       MA REF #24316053NFYHHVR6E</v>
      </c>
    </row>
    <row r="9227" spans="1:15" hidden="1">
      <c r="A9227" s="25">
        <f>VALUE(YEAR(Table2[[#This Row],[Date]])&amp;TEXT(MONTH(Table2[[#This Row],[Date]]),"00"))</f>
        <v>202304</v>
      </c>
      <c r="B9227" s="6">
        <v>45046</v>
      </c>
      <c r="C9227" t="s">
        <v>4231</v>
      </c>
      <c r="D9227" t="s">
        <v>4232</v>
      </c>
      <c r="E9227" s="53">
        <v>110</v>
      </c>
      <c r="F9227" s="2" t="str">
        <f>IF(Table2[[#This Row],[Manual Cat Value]]="",VLOOKUP(Table2[[#This Row],[Description]],'Actuals Lookup'!D:F,3,0),Table2[[#This Row],[Manual Cat Value]])</f>
        <v>Exp - Shopping</v>
      </c>
      <c r="H9227" s="8" t="s">
        <v>36</v>
      </c>
      <c r="I9227" s="8"/>
      <c r="O9227" t="str">
        <f>LEFT(Table2[[#This Row],[Description]],75)</f>
        <v>SP ALLBIRDS              HTTPSWWW.ALLBCA REF #24492163N000SE5ER</v>
      </c>
    </row>
    <row r="9228" spans="1:15" hidden="1">
      <c r="A9228" s="25">
        <f>VALUE(YEAR(Table2[[#This Row],[Date]])&amp;TEXT(MONTH(Table2[[#This Row],[Date]]),"00"))</f>
        <v>202304</v>
      </c>
      <c r="B9228" s="6">
        <v>45046</v>
      </c>
      <c r="C9228" t="s">
        <v>4233</v>
      </c>
      <c r="D9228" t="s">
        <v>4234</v>
      </c>
      <c r="E9228" s="53">
        <v>236.8</v>
      </c>
      <c r="F9228" s="2" t="str">
        <f>IF(Table2[[#This Row],[Manual Cat Value]]="",VLOOKUP(Table2[[#This Row],[Description]],'Actuals Lookup'!D:F,3,0),Table2[[#This Row],[Manual Cat Value]])</f>
        <v>Exp - Shopping</v>
      </c>
      <c r="H9228" s="8" t="s">
        <v>36</v>
      </c>
      <c r="I9228" s="8"/>
      <c r="O9228" t="str">
        <f>LEFT(Table2[[#This Row],[Description]],75)</f>
        <v>SP FREEFLYAPPAREL        HTTPSFREEFLYASC REF #24492163N000SYM41</v>
      </c>
    </row>
    <row r="9229" spans="1:15" hidden="1">
      <c r="A9229" s="25">
        <f>VALUE(YEAR(Table2[[#This Row],[Date]])&amp;TEXT(MONTH(Table2[[#This Row],[Date]]),"00"))</f>
        <v>202304</v>
      </c>
      <c r="B9229" s="6">
        <v>45046</v>
      </c>
      <c r="C9229" t="s">
        <v>4235</v>
      </c>
      <c r="D9229" t="s">
        <v>4236</v>
      </c>
      <c r="E9229" s="53">
        <v>60</v>
      </c>
      <c r="F9229" s="2" t="str">
        <f>IF(Table2[[#This Row],[Manual Cat Value]]="",VLOOKUP(Table2[[#This Row],[Description]],'Actuals Lookup'!D:F,3,0),Table2[[#This Row],[Manual Cat Value]])</f>
        <v>Exp - Shopping</v>
      </c>
      <c r="H9229" s="8" t="s">
        <v>36</v>
      </c>
      <c r="I9229" s="8"/>
      <c r="O9229" t="str">
        <f>LEFT(Table2[[#This Row],[Description]],75)</f>
        <v>SP NATHAN                HTTPSUSBNS.MYCA REF #24492163P001BH1NE</v>
      </c>
    </row>
    <row r="9230" spans="1:15" hidden="1">
      <c r="A9230" s="25">
        <f>VALUE(YEAR(Table2[[#This Row],[Date]])&amp;TEXT(MONTH(Table2[[#This Row],[Date]]),"00"))</f>
        <v>202304</v>
      </c>
      <c r="B9230" s="6">
        <v>45046</v>
      </c>
      <c r="C9230" t="s">
        <v>4237</v>
      </c>
      <c r="D9230" t="s">
        <v>4238</v>
      </c>
      <c r="E9230" s="53">
        <v>17.12</v>
      </c>
      <c r="F9230" s="2" t="str">
        <f>IF(Table2[[#This Row],[Manual Cat Value]]="",VLOOKUP(Table2[[#This Row],[Description]],'Actuals Lookup'!D:F,3,0),Table2[[#This Row],[Manual Cat Value]])</f>
        <v>Delete</v>
      </c>
      <c r="H9230" s="8" t="s">
        <v>9</v>
      </c>
      <c r="I9230" s="8"/>
      <c r="O9230" t="str">
        <f>LEFT(Table2[[#This Row],[Description]],75)</f>
        <v>TST* BERKSHIRE FARM MARKEBOSTON       MA REF #24137463N8R4GRSMH</v>
      </c>
    </row>
    <row r="9231" spans="1:15" hidden="1">
      <c r="A9231" s="25">
        <f>VALUE(YEAR(Table2[[#This Row],[Date]])&amp;TEXT(MONTH(Table2[[#This Row],[Date]]),"00"))</f>
        <v>202304</v>
      </c>
      <c r="B9231" s="6">
        <v>45046</v>
      </c>
      <c r="C9231" t="s">
        <v>4239</v>
      </c>
      <c r="D9231" t="s">
        <v>3815</v>
      </c>
      <c r="E9231" s="53">
        <v>1466.37</v>
      </c>
      <c r="F9231" s="2" t="str">
        <f>IF(Table2[[#This Row],[Manual Cat Value]]="",VLOOKUP(Table2[[#This Row],[Description]],'Actuals Lookup'!D:F,3,0),Table2[[#This Row],[Manual Cat Value]])</f>
        <v>Delete</v>
      </c>
      <c r="H9231" s="8" t="s">
        <v>9</v>
      </c>
      <c r="I9231" s="8"/>
      <c r="O9231" t="str">
        <f>LEFT(Table2[[#This Row],[Description]],75)</f>
        <v>Withdrawal Home Banking Pmt to card XXXXXXXXXXXX-5913</v>
      </c>
    </row>
    <row r="9232" spans="1:15" hidden="1">
      <c r="A9232" s="25">
        <f>VALUE(YEAR(Table2[[#This Row],[Date]])&amp;TEXT(MONTH(Table2[[#This Row],[Date]]),"00"))</f>
        <v>202304</v>
      </c>
      <c r="B9232" s="6">
        <v>45046</v>
      </c>
      <c r="C9232" t="s">
        <v>4006</v>
      </c>
      <c r="D9232" t="s">
        <v>4240</v>
      </c>
      <c r="E9232" s="53">
        <v>-2631.79</v>
      </c>
      <c r="F9232" s="2" t="str">
        <f>IF(Table2[[#This Row],[Manual Cat Value]]="",VLOOKUP(Table2[[#This Row],[Description]],'Actuals Lookup'!D:F,3,0),Table2[[#This Row],[Manual Cat Value]])</f>
        <v>Delete</v>
      </c>
      <c r="G9232" t="s">
        <v>9</v>
      </c>
      <c r="I9232" s="8"/>
      <c r="O9232" t="str">
        <f>LEFT(Table2[[#This Row],[Description]],75)</f>
        <v>Mobile Payment - Thank You</v>
      </c>
    </row>
    <row r="9233" spans="1:15" hidden="1">
      <c r="A9233" s="25">
        <f>VALUE(YEAR(Table2[[#This Row],[Date]])&amp;TEXT(MONTH(Table2[[#This Row],[Date]]),"00"))</f>
        <v>202304</v>
      </c>
      <c r="B9233" s="6">
        <v>45046</v>
      </c>
      <c r="C9233" t="s">
        <v>4006</v>
      </c>
      <c r="D9233" t="s">
        <v>4240</v>
      </c>
      <c r="E9233">
        <v>2631.79</v>
      </c>
      <c r="F9233" s="2" t="str">
        <f>IF(Table2[[#This Row],[Manual Cat Value]]="",VLOOKUP(Table2[[#This Row],[Description]],'Actuals Lookup'!D:F,3,0),Table2[[#This Row],[Manual Cat Value]])</f>
        <v>Delete</v>
      </c>
      <c r="G9233" t="s">
        <v>9</v>
      </c>
      <c r="I9233" s="8"/>
      <c r="O9233" t="str">
        <f>LEFT(Table2[[#This Row],[Description]],75)</f>
        <v>Mobile Payment - Thank You</v>
      </c>
    </row>
    <row r="9234" spans="1:15" hidden="1">
      <c r="A9234" s="25">
        <f>VALUE(YEAR(Table2[[#This Row],[Date]])&amp;TEXT(MONTH(Table2[[#This Row],[Date]]),"00"))</f>
        <v>202304</v>
      </c>
      <c r="B9234" s="6">
        <v>45046</v>
      </c>
      <c r="C9234" t="s">
        <v>3938</v>
      </c>
      <c r="D9234" t="s">
        <v>4241</v>
      </c>
      <c r="E9234" s="53">
        <v>-1466.37</v>
      </c>
      <c r="F9234" s="2" t="str">
        <f>IF(Table2[[#This Row],[Manual Cat Value]]="",VLOOKUP(Table2[[#This Row],[Description]],'Actuals Lookup'!D:F,3,0),Table2[[#This Row],[Manual Cat Value]])</f>
        <v>Delete</v>
      </c>
      <c r="H9234" s="8" t="s">
        <v>9</v>
      </c>
      <c r="I9234" s="8"/>
      <c r="O9234" t="str">
        <f>LEFT(Table2[[#This Row],[Description]],75)</f>
        <v>PAYMENT - THANK YOU REF #74734573T00XTMJG6</v>
      </c>
    </row>
    <row r="9235" spans="1:15" hidden="1">
      <c r="A9235" s="25">
        <f>VALUE(YEAR(Table2[[#This Row],[Date]])&amp;TEXT(MONTH(Table2[[#This Row],[Date]]),"00"))</f>
        <v>202305</v>
      </c>
      <c r="B9235" s="6">
        <v>45047</v>
      </c>
      <c r="C9235" t="s">
        <v>4242</v>
      </c>
      <c r="D9235" t="s">
        <v>4243</v>
      </c>
      <c r="E9235">
        <v>5.36</v>
      </c>
      <c r="F9235" s="2" t="str">
        <f>IF(Table2[[#This Row],[Manual Cat Value]]="",VLOOKUP(Table2[[#This Row],[Description]],'Actuals Lookup'!D:F,3,0),Table2[[#This Row],[Manual Cat Value]])</f>
        <v>Exp - Shopping</v>
      </c>
      <c r="H9235" s="8" t="s">
        <v>36</v>
      </c>
      <c r="I9235" s="8"/>
      <c r="O9235" t="str">
        <f>LEFT(Table2[[#This Row],[Description]],75)</f>
        <v>Amazon Music*HM8LW6HK0   888-802-3080 WA REF #24692163T33F2Y01J</v>
      </c>
    </row>
    <row r="9236" spans="1:15" hidden="1">
      <c r="A9236" s="25">
        <f>VALUE(YEAR(Table2[[#This Row],[Date]])&amp;TEXT(MONTH(Table2[[#This Row],[Date]]),"00"))</f>
        <v>202305</v>
      </c>
      <c r="B9236" s="6">
        <v>45047</v>
      </c>
      <c r="C9236" t="s">
        <v>4244</v>
      </c>
      <c r="D9236" t="s">
        <v>4245</v>
      </c>
      <c r="E9236">
        <v>-37.99</v>
      </c>
      <c r="F9236" s="2" t="str">
        <f>IF(Table2[[#This Row],[Manual Cat Value]]="",VLOOKUP(Table2[[#This Row],[Description]],'Actuals Lookup'!D:F,3,0),Table2[[#This Row],[Manual Cat Value]])</f>
        <v>Exp - Amazon</v>
      </c>
      <c r="H9236" s="8" t="s">
        <v>37</v>
      </c>
      <c r="I9236" s="8"/>
      <c r="O9236" t="str">
        <f>LEFT(Table2[[#This Row],[Description]],75)</f>
        <v>AMZN MKTP US AMZN.COM/BIL AMZN.CO CREDIT REF #74431063T2D9NZ4L0</v>
      </c>
    </row>
    <row r="9237" spans="1:15" hidden="1">
      <c r="A9237" s="25">
        <f>VALUE(YEAR(Table2[[#This Row],[Date]])&amp;TEXT(MONTH(Table2[[#This Row],[Date]]),"00"))</f>
        <v>202305</v>
      </c>
      <c r="B9237" s="6">
        <v>45047</v>
      </c>
      <c r="C9237" t="s">
        <v>4246</v>
      </c>
      <c r="D9237" t="s">
        <v>4247</v>
      </c>
      <c r="E9237">
        <v>-65</v>
      </c>
      <c r="F9237" s="2" t="str">
        <f>IF(Table2[[#This Row],[Manual Cat Value]]="",VLOOKUP(Table2[[#This Row],[Description]],'Actuals Lookup'!D:F,3,0),Table2[[#This Row],[Manual Cat Value]])</f>
        <v>Exp - Amazon</v>
      </c>
      <c r="H9237" s="8" t="s">
        <v>37</v>
      </c>
      <c r="I9237" s="8"/>
      <c r="O9237" t="str">
        <f>LEFT(Table2[[#This Row],[Description]],75)</f>
        <v>AMZN Mktp US Amzn.com/bill WA     CREDIT REF #74692163R338VNR39</v>
      </c>
    </row>
    <row r="9238" spans="1:15" hidden="1">
      <c r="A9238" s="25">
        <f>VALUE(YEAR(Table2[[#This Row],[Date]])&amp;TEXT(MONTH(Table2[[#This Row],[Date]]),"00"))</f>
        <v>202305</v>
      </c>
      <c r="B9238" s="6">
        <v>45047</v>
      </c>
      <c r="C9238" t="s">
        <v>4248</v>
      </c>
      <c r="D9238" t="s">
        <v>4249</v>
      </c>
      <c r="E9238">
        <v>-21.46</v>
      </c>
      <c r="F9238" s="2" t="str">
        <f>IF(Table2[[#This Row],[Manual Cat Value]]="",VLOOKUP(Table2[[#This Row],[Description]],'Actuals Lookup'!D:F,3,0),Table2[[#This Row],[Manual Cat Value]])</f>
        <v>Exp - Amazon</v>
      </c>
      <c r="H9238" s="8" t="s">
        <v>37</v>
      </c>
      <c r="I9238" s="8"/>
      <c r="O9238" t="str">
        <f>LEFT(Table2[[#This Row],[Description]],75)</f>
        <v>AMZN Mktp US Amzn.com/bill WA     CREDIT REF #74692163R33BLXJ28</v>
      </c>
    </row>
    <row r="9239" spans="1:15" hidden="1">
      <c r="A9239" s="25">
        <f>VALUE(YEAR(Table2[[#This Row],[Date]])&amp;TEXT(MONTH(Table2[[#This Row],[Date]]),"00"))</f>
        <v>202305</v>
      </c>
      <c r="B9239" s="6">
        <v>45047</v>
      </c>
      <c r="C9239" t="s">
        <v>4250</v>
      </c>
      <c r="D9239" t="s">
        <v>4251</v>
      </c>
      <c r="E9239">
        <v>-50.8</v>
      </c>
      <c r="F9239" s="2" t="str">
        <f>IF(Table2[[#This Row],[Manual Cat Value]]="",VLOOKUP(Table2[[#This Row],[Description]],'Actuals Lookup'!D:F,3,0),Table2[[#This Row],[Manual Cat Value]])</f>
        <v>Exp - Amazon</v>
      </c>
      <c r="H9239" s="8" t="s">
        <v>37</v>
      </c>
      <c r="I9239" s="8"/>
      <c r="O9239" t="str">
        <f>LEFT(Table2[[#This Row],[Description]],75)</f>
        <v>AMZN Mktp US Amzn.com/bill WA     CREDIT REF #74692163R33BP5HXH</v>
      </c>
    </row>
    <row r="9240" spans="1:15" hidden="1">
      <c r="A9240" s="25">
        <f>VALUE(YEAR(Table2[[#This Row],[Date]])&amp;TEXT(MONTH(Table2[[#This Row],[Date]]),"00"))</f>
        <v>202305</v>
      </c>
      <c r="B9240" s="6">
        <v>45047</v>
      </c>
      <c r="C9240" t="s">
        <v>4252</v>
      </c>
      <c r="D9240" t="s">
        <v>4253</v>
      </c>
      <c r="E9240">
        <v>77.98</v>
      </c>
      <c r="F9240" s="2" t="str">
        <f>IF(Table2[[#This Row],[Manual Cat Value]]="",VLOOKUP(Table2[[#This Row],[Description]],'Actuals Lookup'!D:F,3,0),Table2[[#This Row],[Manual Cat Value]])</f>
        <v>Exp - Amazon</v>
      </c>
      <c r="H9240" s="8" t="s">
        <v>37</v>
      </c>
      <c r="I9240" s="8"/>
      <c r="O9240" t="str">
        <f>LEFT(Table2[[#This Row],[Description]],75)</f>
        <v>AMZN Mktp US*HM40K3AB2   Amzn.com/billWA REF #24692163T33HK4QV6</v>
      </c>
    </row>
    <row r="9241" spans="1:15" hidden="1">
      <c r="A9241" s="25">
        <f>VALUE(YEAR(Table2[[#This Row],[Date]])&amp;TEXT(MONTH(Table2[[#This Row],[Date]]),"00"))</f>
        <v>202305</v>
      </c>
      <c r="B9241" s="6">
        <v>45047</v>
      </c>
      <c r="D9241" t="s">
        <v>14</v>
      </c>
      <c r="E9241">
        <f>125*2</f>
        <v>250</v>
      </c>
      <c r="F9241" s="2" t="str">
        <f>IF(Table2[[#This Row],[Manual Cat Value]]="",VLOOKUP(Table2[[#This Row],[Description]],'Actuals Lookup'!D:F,3,0),Table2[[#This Row],[Manual Cat Value]])</f>
        <v>Exp - Cleaning</v>
      </c>
      <c r="H9241" s="8" t="s">
        <v>13</v>
      </c>
      <c r="I9241" s="8"/>
      <c r="O9241" t="str">
        <f>LEFT(Table2[[#This Row],[Description]],75)</f>
        <v>Cleaning</v>
      </c>
    </row>
    <row r="9242" spans="1:15" hidden="1">
      <c r="A9242" s="25">
        <f>VALUE(YEAR(Table2[[#This Row],[Date]])&amp;TEXT(MONTH(Table2[[#This Row],[Date]]),"00"))</f>
        <v>202305</v>
      </c>
      <c r="B9242" s="6">
        <v>45047</v>
      </c>
      <c r="C9242" t="s">
        <v>4254</v>
      </c>
      <c r="D9242" t="s">
        <v>4255</v>
      </c>
      <c r="E9242">
        <v>301.14999999999998</v>
      </c>
      <c r="F9242" s="2" t="str">
        <f>IF(Table2[[#This Row],[Manual Cat Value]]="",VLOOKUP(Table2[[#This Row],[Description]],'Actuals Lookup'!D:F,3,0),Table2[[#This Row],[Manual Cat Value]])</f>
        <v>Delete</v>
      </c>
      <c r="H9242" s="8" t="s">
        <v>9</v>
      </c>
      <c r="I9242" s="8"/>
      <c r="O9242" t="str">
        <f>LEFT(Table2[[#This Row],[Description]],75)</f>
        <v>HILTON GARDEN INN BOSTON EAST BOSTON  MA REF #24275393RS66HS55Z</v>
      </c>
    </row>
    <row r="9243" spans="1:15" hidden="1">
      <c r="A9243" s="25">
        <f>VALUE(YEAR(Table2[[#This Row],[Date]])&amp;TEXT(MONTH(Table2[[#This Row],[Date]]),"00"))</f>
        <v>202305</v>
      </c>
      <c r="B9243" s="6">
        <v>45047</v>
      </c>
      <c r="C9243" t="s">
        <v>4256</v>
      </c>
      <c r="D9243" t="s">
        <v>4257</v>
      </c>
      <c r="E9243">
        <v>392</v>
      </c>
      <c r="F9243" s="2" t="str">
        <f>IF(Table2[[#This Row],[Manual Cat Value]]="",VLOOKUP(Table2[[#This Row],[Description]],'Actuals Lookup'!D:F,3,0),Table2[[#This Row],[Manual Cat Value]])</f>
        <v>Exp - Shopping</v>
      </c>
      <c r="H9243" s="8" t="s">
        <v>36</v>
      </c>
      <c r="I9243" s="8"/>
      <c r="O9243" t="str">
        <f>LEFT(Table2[[#This Row],[Description]],75)</f>
        <v>JAXON GREY               MINNEAPOLIS  MN REF #24269793R2XTA5RDS</v>
      </c>
    </row>
    <row r="9244" spans="1:15" hidden="1">
      <c r="A9244" s="25">
        <f>VALUE(YEAR(Table2[[#This Row],[Date]])&amp;TEXT(MONTH(Table2[[#This Row],[Date]]),"00"))</f>
        <v>202305</v>
      </c>
      <c r="B9244" s="6">
        <v>45047</v>
      </c>
      <c r="C9244" t="s">
        <v>4258</v>
      </c>
      <c r="D9244" t="s">
        <v>4259</v>
      </c>
      <c r="E9244">
        <v>-54</v>
      </c>
      <c r="F9244" s="2" t="str">
        <f>IF(Table2[[#This Row],[Manual Cat Value]]="",VLOOKUP(Table2[[#This Row],[Description]],'Actuals Lookup'!D:F,3,0),Table2[[#This Row],[Manual Cat Value]])</f>
        <v>Exp - Shopping</v>
      </c>
      <c r="H9244" s="8" t="s">
        <v>36</v>
      </c>
      <c r="I9244" s="8"/>
      <c r="O9244" t="str">
        <f>LEFT(Table2[[#This Row],[Description]],75)</f>
        <v>SCHEELS EDEN PRAIRIE EDEN PRAIRIE CREDIT REF #74138293TP6Q5W11J</v>
      </c>
    </row>
    <row r="9245" spans="1:15" hidden="1">
      <c r="A9245" s="25">
        <f>VALUE(YEAR(Table2[[#This Row],[Date]])&amp;TEXT(MONTH(Table2[[#This Row],[Date]]),"00"))</f>
        <v>202305</v>
      </c>
      <c r="B9245" s="6">
        <v>45047</v>
      </c>
      <c r="C9245" t="s">
        <v>4260</v>
      </c>
      <c r="D9245" t="s">
        <v>1955</v>
      </c>
      <c r="E9245" s="53">
        <v>6.47</v>
      </c>
      <c r="F9245" s="2" t="str">
        <f>IF(Table2[[#This Row],[Manual Cat Value]]="",VLOOKUP(Table2[[#This Row],[Description]],'Actuals Lookup'!D:F,3,0),Table2[[#This Row],[Manual Cat Value]])</f>
        <v>Exp - Shopping</v>
      </c>
      <c r="H9245" s="8" t="s">
        <v>36</v>
      </c>
      <c r="I9245" s="8"/>
      <c r="O9245" t="str">
        <f>LEFT(Table2[[#This Row],[Description]],75)</f>
        <v>Transfer to PayPal</v>
      </c>
    </row>
    <row r="9246" spans="1:15" hidden="1">
      <c r="A9246" s="25">
        <f>VALUE(YEAR(Table2[[#This Row],[Date]])&amp;TEXT(MONTH(Table2[[#This Row],[Date]]),"00"))</f>
        <v>202305</v>
      </c>
      <c r="B9246" s="6">
        <v>45047</v>
      </c>
      <c r="C9246" t="s">
        <v>4261</v>
      </c>
      <c r="D9246" t="s">
        <v>1958</v>
      </c>
      <c r="E9246" s="53">
        <v>35</v>
      </c>
      <c r="F9246" s="2" t="str">
        <f>IF(Table2[[#This Row],[Manual Cat Value]]="",VLOOKUP(Table2[[#This Row],[Description]],'Actuals Lookup'!D:F,3,0),Table2[[#This Row],[Manual Cat Value]])</f>
        <v>Exp - Shopping</v>
      </c>
      <c r="H9246" s="8" t="s">
        <v>36</v>
      </c>
      <c r="I9246" s="8"/>
      <c r="O9246" t="str">
        <f>LEFT(Table2[[#This Row],[Description]],75)</f>
        <v>Transfer to Venmo</v>
      </c>
    </row>
    <row r="9247" spans="1:15" hidden="1">
      <c r="A9247" s="25">
        <f>VALUE(YEAR(Table2[[#This Row],[Date]])&amp;TEXT(MONTH(Table2[[#This Row],[Date]]),"00"))</f>
        <v>202305</v>
      </c>
      <c r="B9247" s="6">
        <v>45047</v>
      </c>
      <c r="C9247" t="s">
        <v>4262</v>
      </c>
      <c r="D9247" t="s">
        <v>4263</v>
      </c>
      <c r="E9247">
        <v>58.81</v>
      </c>
      <c r="F9247" s="2" t="str">
        <f>IF(Table2[[#This Row],[Manual Cat Value]]="",VLOOKUP(Table2[[#This Row],[Description]],'Actuals Lookup'!D:F,3,0),Table2[[#This Row],[Manual Cat Value]])</f>
        <v>Exp - Restaurants</v>
      </c>
      <c r="H9247" s="8" t="s">
        <v>25</v>
      </c>
      <c r="I9247" s="8"/>
      <c r="O9247" t="str">
        <f>LEFT(Table2[[#This Row],[Description]],75)</f>
        <v>TST* Red Cow - 1st Ave   612-238-0050 MN REF #24692163R32YMJV0G</v>
      </c>
    </row>
    <row r="9248" spans="1:15" hidden="1">
      <c r="A9248" s="25">
        <f>VALUE(YEAR(Table2[[#This Row],[Date]])&amp;TEXT(MONTH(Table2[[#This Row],[Date]]),"00"))</f>
        <v>202305</v>
      </c>
      <c r="B9248" s="6">
        <v>45047</v>
      </c>
      <c r="C9248" t="s">
        <v>4264</v>
      </c>
      <c r="D9248" t="s">
        <v>4265</v>
      </c>
      <c r="E9248" s="53">
        <v>500</v>
      </c>
      <c r="F9248" s="2" t="str">
        <f>IF(Table2[[#This Row],[Manual Cat Value]]="",VLOOKUP(Table2[[#This Row],[Description]],'Actuals Lookup'!D:F,3,0),Table2[[#This Row],[Manual Cat Value]])</f>
        <v>Delete</v>
      </c>
      <c r="H9248" s="8" t="s">
        <v>9</v>
      </c>
      <c r="I9248" s="8"/>
      <c r="O9248" t="str">
        <f>LEFT(Table2[[#This Row],[Description]],75)</f>
        <v>Withdrawal ACH College Savings TYPE: ACH ID: XX5818 CO: College Savings Ent</v>
      </c>
    </row>
    <row r="9249" spans="1:15" hidden="1">
      <c r="A9249" s="25">
        <f>VALUE(YEAR(Table2[[#This Row],[Date]])&amp;TEXT(MONTH(Table2[[#This Row],[Date]]),"00"))</f>
        <v>202305</v>
      </c>
      <c r="B9249" s="6">
        <v>45047</v>
      </c>
      <c r="C9249" t="s">
        <v>4266</v>
      </c>
      <c r="D9249" t="s">
        <v>4267</v>
      </c>
      <c r="E9249" s="53">
        <v>618.65</v>
      </c>
      <c r="F9249" s="2" t="str">
        <f>IF(Table2[[#This Row],[Manual Cat Value]]="",VLOOKUP(Table2[[#This Row],[Description]],'Actuals Lookup'!D:F,3,0),Table2[[#This Row],[Manual Cat Value]])</f>
        <v>Exp - Car Loan</v>
      </c>
      <c r="H9249" s="8" t="s">
        <v>10</v>
      </c>
      <c r="I9249" s="8"/>
      <c r="O9249" t="str">
        <f>LEFT(Table2[[#This Row],[Description]],75)</f>
        <v>Withdrawal Home Banking Transfer To Loan 02 REF # XX4306</v>
      </c>
    </row>
    <row r="9250" spans="1:15" hidden="1">
      <c r="A9250" s="25">
        <f>VALUE(YEAR(Table2[[#This Row],[Date]])&amp;TEXT(MONTH(Table2[[#This Row],[Date]]),"00"))</f>
        <v>202305</v>
      </c>
      <c r="B9250" s="6">
        <v>45047</v>
      </c>
      <c r="C9250" t="s">
        <v>4268</v>
      </c>
      <c r="D9250" t="s">
        <v>1458</v>
      </c>
      <c r="E9250" s="53">
        <v>2631.79</v>
      </c>
      <c r="F9250" s="2" t="str">
        <f>IF(Table2[[#This Row],[Manual Cat Value]]="",VLOOKUP(Table2[[#This Row],[Description]],'Actuals Lookup'!D:F,3,0),Table2[[#This Row],[Manual Cat Value]])</f>
        <v>Delete</v>
      </c>
      <c r="H9250" s="8" t="s">
        <v>9</v>
      </c>
      <c r="I9250" s="8"/>
      <c r="O9250" t="str">
        <f>LEFT(Table2[[#This Row],[Description]],75)</f>
        <v>Payment to American Express</v>
      </c>
    </row>
    <row r="9251" spans="1:15" hidden="1">
      <c r="A9251" s="25">
        <f>VALUE(YEAR(Table2[[#This Row],[Date]])&amp;TEXT(MONTH(Table2[[#This Row],[Date]]),"00"))</f>
        <v>202305</v>
      </c>
      <c r="B9251" s="6">
        <v>45047</v>
      </c>
      <c r="C9251" t="s">
        <v>4269</v>
      </c>
      <c r="D9251" t="s">
        <v>1460</v>
      </c>
      <c r="E9251" s="53">
        <v>2606.27</v>
      </c>
      <c r="F9251" s="2" t="str">
        <f>IF(Table2[[#This Row],[Manual Cat Value]]="",VLOOKUP(Table2[[#This Row],[Description]],'Actuals Lookup'!D:F,3,0),Table2[[#This Row],[Manual Cat Value]])</f>
        <v>Exp - Rent</v>
      </c>
      <c r="H9251" s="8" t="s">
        <v>4</v>
      </c>
      <c r="I9251" s="8"/>
      <c r="O9251" t="str">
        <f>LEFT(Table2[[#This Row],[Description]],75)</f>
        <v>Payment to Baxter Credit Union</v>
      </c>
    </row>
    <row r="9252" spans="1:15" hidden="1">
      <c r="A9252" s="25">
        <f>VALUE(YEAR(Table2[[#This Row],[Date]])&amp;TEXT(MONTH(Table2[[#This Row],[Date]]),"00"))</f>
        <v>202305</v>
      </c>
      <c r="B9252" s="6">
        <v>45048</v>
      </c>
      <c r="C9252" t="s">
        <v>4270</v>
      </c>
      <c r="D9252" t="s">
        <v>4271</v>
      </c>
      <c r="E9252">
        <v>82.64</v>
      </c>
      <c r="F9252" s="2" t="str">
        <f>IF(Table2[[#This Row],[Manual Cat Value]]="",VLOOKUP(Table2[[#This Row],[Description]],'Actuals Lookup'!D:F,3,0),Table2[[#This Row],[Manual Cat Value]])</f>
        <v>Exp - Amazon</v>
      </c>
      <c r="H9252" s="8" t="s">
        <v>37</v>
      </c>
      <c r="I9252" s="8"/>
      <c r="O9252" t="str">
        <f>LEFT(Table2[[#This Row],[Description]],75)</f>
        <v>AMZN Mktp US*HM5QO4GT2   Amzn.com/billWA REF #24692163S346Y5WE6</v>
      </c>
    </row>
    <row r="9253" spans="1:15" hidden="1">
      <c r="A9253" s="25">
        <f>VALUE(YEAR(Table2[[#This Row],[Date]])&amp;TEXT(MONTH(Table2[[#This Row],[Date]]),"00"))</f>
        <v>202305</v>
      </c>
      <c r="B9253" s="6">
        <v>45048</v>
      </c>
      <c r="C9253" t="s">
        <v>4272</v>
      </c>
      <c r="D9253" t="s">
        <v>4273</v>
      </c>
      <c r="E9253">
        <v>68</v>
      </c>
      <c r="F9253" s="2" t="str">
        <f>IF(Table2[[#This Row],[Manual Cat Value]]="",VLOOKUP(Table2[[#This Row],[Description]],'Actuals Lookup'!D:F,3,0),Table2[[#This Row],[Manual Cat Value]])</f>
        <v>Exp - Shopping</v>
      </c>
      <c r="H9253" s="8" t="s">
        <v>36</v>
      </c>
      <c r="I9253" s="8"/>
      <c r="O9253" t="str">
        <f>LEFT(Table2[[#This Row],[Description]],75)</f>
        <v>JAXON GREY-EDINA         EDINA        MN REF #24269793TEJ80KFGX</v>
      </c>
    </row>
    <row r="9254" spans="1:15" hidden="1">
      <c r="A9254" s="25">
        <f>VALUE(YEAR(Table2[[#This Row],[Date]])&amp;TEXT(MONTH(Table2[[#This Row],[Date]]),"00"))</f>
        <v>202305</v>
      </c>
      <c r="B9254" s="6">
        <v>45048</v>
      </c>
      <c r="C9254" t="s">
        <v>4274</v>
      </c>
      <c r="D9254" t="s">
        <v>4275</v>
      </c>
      <c r="E9254">
        <v>74</v>
      </c>
      <c r="F9254" s="2" t="str">
        <f>IF(Table2[[#This Row],[Manual Cat Value]]="",VLOOKUP(Table2[[#This Row],[Description]],'Actuals Lookup'!D:F,3,0),Table2[[#This Row],[Manual Cat Value]])</f>
        <v>Exp - Shopping</v>
      </c>
      <c r="H9254" s="8" t="s">
        <v>36</v>
      </c>
      <c r="I9254" s="8"/>
      <c r="O9254" t="str">
        <f>LEFT(Table2[[#This Row],[Description]],75)</f>
        <v>SP VUORI CLOTHING        HTTPSVUORICLOCA REF #24492163T001SHTZW</v>
      </c>
    </row>
    <row r="9255" spans="1:15" hidden="1">
      <c r="A9255" s="25">
        <f>VALUE(YEAR(Table2[[#This Row],[Date]])&amp;TEXT(MONTH(Table2[[#This Row],[Date]]),"00"))</f>
        <v>202305</v>
      </c>
      <c r="B9255" s="6">
        <v>45048</v>
      </c>
      <c r="C9255" t="s">
        <v>4276</v>
      </c>
      <c r="D9255" t="s">
        <v>1958</v>
      </c>
      <c r="E9255" s="53">
        <v>171.45</v>
      </c>
      <c r="F9255" s="2" t="str">
        <f>IF(Table2[[#This Row],[Manual Cat Value]]="",VLOOKUP(Table2[[#This Row],[Description]],'Actuals Lookup'!D:F,3,0),Table2[[#This Row],[Manual Cat Value]])</f>
        <v>Exp - Shopping</v>
      </c>
      <c r="H9255" s="8" t="s">
        <v>36</v>
      </c>
      <c r="I9255" s="8"/>
      <c r="O9255" t="str">
        <f>LEFT(Table2[[#This Row],[Description]],75)</f>
        <v>Transfer to Venmo</v>
      </c>
    </row>
    <row r="9256" spans="1:15" hidden="1">
      <c r="A9256" s="25">
        <f>VALUE(YEAR(Table2[[#This Row],[Date]])&amp;TEXT(MONTH(Table2[[#This Row],[Date]]),"00"))</f>
        <v>202305</v>
      </c>
      <c r="B9256" s="6">
        <v>45048</v>
      </c>
      <c r="C9256" t="s">
        <v>4277</v>
      </c>
      <c r="D9256" t="s">
        <v>1464</v>
      </c>
      <c r="E9256" s="53">
        <v>218.27</v>
      </c>
      <c r="F9256" s="2" t="str">
        <f>IF(Table2[[#This Row],[Manual Cat Value]]="",VLOOKUP(Table2[[#This Row],[Description]],'Actuals Lookup'!D:F,3,0),Table2[[#This Row],[Manual Cat Value]])</f>
        <v>Delete</v>
      </c>
      <c r="H9256" s="8" t="s">
        <v>9</v>
      </c>
      <c r="I9256" s="8"/>
      <c r="O9256" t="str">
        <f>LEFT(Table2[[#This Row],[Description]],75)</f>
        <v>Payment to Discover Bank</v>
      </c>
    </row>
    <row r="9257" spans="1:15" hidden="1">
      <c r="A9257" s="25">
        <f>VALUE(YEAR(Table2[[#This Row],[Date]])&amp;TEXT(MONTH(Table2[[#This Row],[Date]]),"00"))</f>
        <v>202305</v>
      </c>
      <c r="B9257" s="6">
        <v>45049</v>
      </c>
      <c r="C9257" t="s">
        <v>4278</v>
      </c>
      <c r="D9257" t="s">
        <v>4279</v>
      </c>
      <c r="E9257">
        <v>-47.6</v>
      </c>
      <c r="F9257" s="2" t="str">
        <f>IF(Table2[[#This Row],[Manual Cat Value]]="",VLOOKUP(Table2[[#This Row],[Description]],'Actuals Lookup'!D:F,3,0),Table2[[#This Row],[Manual Cat Value]])</f>
        <v>Exp - Shopping</v>
      </c>
      <c r="H9257" s="8" t="s">
        <v>36</v>
      </c>
      <c r="I9257" s="8"/>
      <c r="O9257" t="str">
        <f>LEFT(Table2[[#This Row],[Description]],75)</f>
        <v>ADIDAS US ONLINE STORE   800-9829 CREDIT REF #74443463S5174WWKH</v>
      </c>
    </row>
    <row r="9258" spans="1:15" hidden="1">
      <c r="A9258" s="25">
        <f>VALUE(YEAR(Table2[[#This Row],[Date]])&amp;TEXT(MONTH(Table2[[#This Row],[Date]]),"00"))</f>
        <v>202305</v>
      </c>
      <c r="B9258" s="6">
        <v>45049</v>
      </c>
      <c r="C9258" t="s">
        <v>4280</v>
      </c>
      <c r="D9258" t="s">
        <v>4281</v>
      </c>
      <c r="E9258">
        <v>42.54</v>
      </c>
      <c r="F9258" s="2" t="str">
        <f>IF(Table2[[#This Row],[Manual Cat Value]]="",VLOOKUP(Table2[[#This Row],[Description]],'Actuals Lookup'!D:F,3,0),Table2[[#This Row],[Manual Cat Value]])</f>
        <v>Exp - Amazon</v>
      </c>
      <c r="H9258" s="8" t="s">
        <v>37</v>
      </c>
      <c r="I9258" s="8"/>
      <c r="O9258" t="str">
        <f>LEFT(Table2[[#This Row],[Description]],75)</f>
        <v>AMZN Mktp US*HM8FA15M1   Amzn.com/billWA REF #24692163S34KEE08P</v>
      </c>
    </row>
    <row r="9259" spans="1:15" hidden="1">
      <c r="A9259" s="25">
        <f>VALUE(YEAR(Table2[[#This Row],[Date]])&amp;TEXT(MONTH(Table2[[#This Row],[Date]]),"00"))</f>
        <v>202305</v>
      </c>
      <c r="B9259" s="6">
        <v>45049</v>
      </c>
      <c r="C9259" t="s">
        <v>4282</v>
      </c>
      <c r="D9259" t="s">
        <v>4283</v>
      </c>
      <c r="E9259" s="53">
        <v>-130.02000000000001</v>
      </c>
      <c r="F9259" s="2" t="str">
        <f>IF(Table2[[#This Row],[Manual Cat Value]]="",VLOOKUP(Table2[[#This Row],[Description]],'Actuals Lookup'!D:F,3,0),Table2[[#This Row],[Manual Cat Value]])</f>
        <v>Inc - Britney</v>
      </c>
      <c r="H9259" s="8" t="s">
        <v>65</v>
      </c>
      <c r="I9259" s="8"/>
      <c r="O9259" t="str">
        <f>LEFT(Table2[[#This Row],[Description]],75)</f>
        <v>Cargill Deposit</v>
      </c>
    </row>
    <row r="9260" spans="1:15" hidden="1">
      <c r="A9260" s="25">
        <f>VALUE(YEAR(Table2[[#This Row],[Date]])&amp;TEXT(MONTH(Table2[[#This Row],[Date]]),"00"))</f>
        <v>202305</v>
      </c>
      <c r="B9260" s="6">
        <v>45049</v>
      </c>
      <c r="C9260" t="s">
        <v>4284</v>
      </c>
      <c r="D9260" t="s">
        <v>4285</v>
      </c>
      <c r="E9260">
        <v>6.58</v>
      </c>
      <c r="F9260" s="2" t="str">
        <f>IF(Table2[[#This Row],[Manual Cat Value]]="",VLOOKUP(Table2[[#This Row],[Description]],'Actuals Lookup'!D:F,3,0),Table2[[#This Row],[Manual Cat Value]])</f>
        <v>Exp - Restaurants</v>
      </c>
      <c r="H9260" s="8" t="s">
        <v>25</v>
      </c>
      <c r="I9260" s="8"/>
      <c r="O9260" t="str">
        <f>LEFT(Table2[[#This Row],[Description]],75)</f>
        <v>WAYZATA CAFE             WAYZATA      MN REF #24943003VW6AZPZN2</v>
      </c>
    </row>
    <row r="9261" spans="1:15" hidden="1">
      <c r="A9261" s="25">
        <f>VALUE(YEAR(Table2[[#This Row],[Date]])&amp;TEXT(MONTH(Table2[[#This Row],[Date]]),"00"))</f>
        <v>202305</v>
      </c>
      <c r="B9261" s="6">
        <v>45049</v>
      </c>
      <c r="C9261" t="s">
        <v>4286</v>
      </c>
      <c r="D9261" t="s">
        <v>4287</v>
      </c>
      <c r="E9261" s="53">
        <v>330</v>
      </c>
      <c r="F9261" s="2" t="str">
        <f>IF(Table2[[#This Row],[Manual Cat Value]]="",VLOOKUP(Table2[[#This Row],[Description]],'Actuals Lookup'!D:F,3,0),Table2[[#This Row],[Manual Cat Value]])</f>
        <v>Exp - Day Care</v>
      </c>
      <c r="H9261" s="8" t="s">
        <v>19</v>
      </c>
      <c r="I9261" s="8"/>
      <c r="O9261" t="str">
        <f>LEFT(Table2[[#This Row],[Description]],75)</f>
        <v>Withdrawal ACH MHCHILDCARELLC TYPE: DUES ID: XX8198 CO: MHCHILDCARELLC Entr</v>
      </c>
    </row>
    <row r="9262" spans="1:15" hidden="1">
      <c r="A9262" s="25">
        <f>VALUE(YEAR(Table2[[#This Row],[Date]])&amp;TEXT(MONTH(Table2[[#This Row],[Date]]),"00"))</f>
        <v>202305</v>
      </c>
      <c r="B9262" s="6">
        <v>45051</v>
      </c>
      <c r="C9262" t="s">
        <v>4288</v>
      </c>
      <c r="D9262" t="s">
        <v>4289</v>
      </c>
      <c r="E9262">
        <v>98.1</v>
      </c>
      <c r="F9262" s="2" t="str">
        <f>IF(Table2[[#This Row],[Manual Cat Value]]="",VLOOKUP(Table2[[#This Row],[Description]],'Actuals Lookup'!D:F,3,0),Table2[[#This Row],[Manual Cat Value]])</f>
        <v>Exp - Groceries</v>
      </c>
      <c r="H9262" s="8" t="s">
        <v>27</v>
      </c>
      <c r="I9262" s="8"/>
      <c r="O9262" t="str">
        <f>LEFT(Table2[[#This Row],[Description]],75)</f>
        <v>CUB FOODS 01644          952-934-1010 MN REF #24231683W2DG09YMP</v>
      </c>
    </row>
    <row r="9263" spans="1:15" hidden="1">
      <c r="A9263" s="25">
        <f>VALUE(YEAR(Table2[[#This Row],[Date]])&amp;TEXT(MONTH(Table2[[#This Row],[Date]]),"00"))</f>
        <v>202305</v>
      </c>
      <c r="B9263" s="6">
        <v>45051</v>
      </c>
      <c r="C9263" t="s">
        <v>4290</v>
      </c>
      <c r="D9263" t="s">
        <v>4291</v>
      </c>
      <c r="E9263">
        <v>75.23</v>
      </c>
      <c r="F9263" s="2" t="str">
        <f>IF(Table2[[#This Row],[Manual Cat Value]]="",VLOOKUP(Table2[[#This Row],[Description]],'Actuals Lookup'!D:F,3,0),Table2[[#This Row],[Manual Cat Value]])</f>
        <v>Exp - Groceries</v>
      </c>
      <c r="H9263" s="8" t="s">
        <v>27</v>
      </c>
      <c r="I9263" s="8"/>
      <c r="O9263" t="str">
        <f>LEFT(Table2[[#This Row],[Description]],75)</f>
        <v>TOTALWINE 1606 DIGITAL   https://www.fMN REF #24116413XBMDDE1S5</v>
      </c>
    </row>
    <row r="9264" spans="1:15" hidden="1">
      <c r="A9264" s="25">
        <f>VALUE(YEAR(Table2[[#This Row],[Date]])&amp;TEXT(MONTH(Table2[[#This Row],[Date]]),"00"))</f>
        <v>202305</v>
      </c>
      <c r="B9264" s="6">
        <v>45051</v>
      </c>
      <c r="C9264" t="s">
        <v>4292</v>
      </c>
      <c r="D9264" t="s">
        <v>4293</v>
      </c>
      <c r="E9264" s="53">
        <v>2715.04</v>
      </c>
      <c r="F9264" s="2" t="str">
        <f>IF(Table2[[#This Row],[Manual Cat Value]]="",VLOOKUP(Table2[[#This Row],[Description]],'Actuals Lookup'!D:F,3,0),Table2[[#This Row],[Manual Cat Value]])</f>
        <v>Delete</v>
      </c>
      <c r="H9264" s="8" t="s">
        <v>9</v>
      </c>
      <c r="I9264" s="8"/>
      <c r="O9264" t="str">
        <f>LEFT(Table2[[#This Row],[Description]],75)</f>
        <v>Withdrawal Home Banking Pmt to card XX5913</v>
      </c>
    </row>
    <row r="9265" spans="1:15" hidden="1">
      <c r="A9265" s="25">
        <f>VALUE(YEAR(Table2[[#This Row],[Date]])&amp;TEXT(MONTH(Table2[[#This Row],[Date]]),"00"))</f>
        <v>202305</v>
      </c>
      <c r="B9265" s="6">
        <v>45051</v>
      </c>
      <c r="C9265" t="s">
        <v>4294</v>
      </c>
      <c r="D9265" t="s">
        <v>4295</v>
      </c>
      <c r="E9265">
        <v>-2715.04</v>
      </c>
      <c r="F9265" s="2" t="str">
        <f>IF(Table2[[#This Row],[Manual Cat Value]]="",VLOOKUP(Table2[[#This Row],[Description]],'Actuals Lookup'!D:F,3,0),Table2[[#This Row],[Manual Cat Value]])</f>
        <v>Delete</v>
      </c>
      <c r="H9265" s="8" t="s">
        <v>9</v>
      </c>
      <c r="I9265" s="8"/>
      <c r="O9265" t="str">
        <f>LEFT(Table2[[#This Row],[Description]],75)</f>
        <v>PAYMENT - THANK YOU REF #74734573Z00XTMJG0</v>
      </c>
    </row>
    <row r="9266" spans="1:15" hidden="1">
      <c r="A9266" s="25">
        <f>VALUE(YEAR(Table2[[#This Row],[Date]])&amp;TEXT(MONTH(Table2[[#This Row],[Date]]),"00"))</f>
        <v>202305</v>
      </c>
      <c r="B9266" s="6">
        <v>45053</v>
      </c>
      <c r="C9266" t="s">
        <v>4296</v>
      </c>
      <c r="D9266" t="s">
        <v>4297</v>
      </c>
      <c r="E9266">
        <v>-36.99</v>
      </c>
      <c r="F9266" s="2" t="str">
        <f>IF(Table2[[#This Row],[Manual Cat Value]]="",VLOOKUP(Table2[[#This Row],[Description]],'Actuals Lookup'!D:F,3,0),Table2[[#This Row],[Manual Cat Value]])</f>
        <v>Exp - Amazon</v>
      </c>
      <c r="H9266" s="8" t="s">
        <v>37</v>
      </c>
      <c r="I9266" s="8"/>
      <c r="O9266" t="str">
        <f>LEFT(Table2[[#This Row],[Description]],75)</f>
        <v>AMZN Mktp US Amzn.com/bill WA     CREDIT REF #74692163X2XMJSV21</v>
      </c>
    </row>
    <row r="9267" spans="1:15" hidden="1">
      <c r="A9267" s="25">
        <f>VALUE(YEAR(Table2[[#This Row],[Date]])&amp;TEXT(MONTH(Table2[[#This Row],[Date]]),"00"))</f>
        <v>202305</v>
      </c>
      <c r="B9267" s="6">
        <v>45053</v>
      </c>
      <c r="C9267" t="s">
        <v>4298</v>
      </c>
      <c r="D9267" t="s">
        <v>4299</v>
      </c>
      <c r="E9267">
        <v>-25.99</v>
      </c>
      <c r="F9267" s="2" t="str">
        <f>IF(Table2[[#This Row],[Manual Cat Value]]="",VLOOKUP(Table2[[#This Row],[Description]],'Actuals Lookup'!D:F,3,0),Table2[[#This Row],[Manual Cat Value]])</f>
        <v>Exp - Amazon</v>
      </c>
      <c r="H9267" s="8" t="s">
        <v>37</v>
      </c>
      <c r="I9267" s="8"/>
      <c r="O9267" t="str">
        <f>LEFT(Table2[[#This Row],[Description]],75)</f>
        <v>AMZN Mktp US Amzn.com/bill WA     CREDIT REF #74692163X2XN91H5R</v>
      </c>
    </row>
    <row r="9268" spans="1:15" hidden="1">
      <c r="A9268" s="25">
        <f>VALUE(YEAR(Table2[[#This Row],[Date]])&amp;TEXT(MONTH(Table2[[#This Row],[Date]]),"00"))</f>
        <v>202305</v>
      </c>
      <c r="B9268" s="6">
        <v>45053</v>
      </c>
      <c r="C9268" t="s">
        <v>4300</v>
      </c>
      <c r="D9268" t="s">
        <v>4301</v>
      </c>
      <c r="E9268">
        <v>-89.99</v>
      </c>
      <c r="F9268" s="2" t="str">
        <f>IF(Table2[[#This Row],[Manual Cat Value]]="",VLOOKUP(Table2[[#This Row],[Description]],'Actuals Lookup'!D:F,3,0),Table2[[#This Row],[Manual Cat Value]])</f>
        <v>Exp - Amazon</v>
      </c>
      <c r="H9268" s="8" t="s">
        <v>37</v>
      </c>
      <c r="I9268" s="8"/>
      <c r="O9268" t="str">
        <f>LEFT(Table2[[#This Row],[Description]],75)</f>
        <v>AMZN Mktp US Amzn.com/bill WA     CREDIT REF #74692163X2XN924R0</v>
      </c>
    </row>
    <row r="9269" spans="1:15" hidden="1">
      <c r="A9269" s="25">
        <f>VALUE(YEAR(Table2[[#This Row],[Date]])&amp;TEXT(MONTH(Table2[[#This Row],[Date]]),"00"))</f>
        <v>202305</v>
      </c>
      <c r="B9269" s="6">
        <v>45053</v>
      </c>
      <c r="C9269" t="s">
        <v>4302</v>
      </c>
      <c r="D9269" t="s">
        <v>4303</v>
      </c>
      <c r="E9269">
        <v>-8.1999999999999993</v>
      </c>
      <c r="F9269" s="2" t="str">
        <f>IF(Table2[[#This Row],[Manual Cat Value]]="",VLOOKUP(Table2[[#This Row],[Description]],'Actuals Lookup'!D:F,3,0),Table2[[#This Row],[Manual Cat Value]])</f>
        <v>Exp - Amazon</v>
      </c>
      <c r="H9269" s="8" t="s">
        <v>37</v>
      </c>
      <c r="I9269" s="8"/>
      <c r="O9269" t="str">
        <f>LEFT(Table2[[#This Row],[Description]],75)</f>
        <v>AMZN Mktp US Amzn.com/bill WA     CREDIT REF #74692163X2XNF05GE</v>
      </c>
    </row>
    <row r="9270" spans="1:15" hidden="1">
      <c r="A9270" s="25">
        <f>VALUE(YEAR(Table2[[#This Row],[Date]])&amp;TEXT(MONTH(Table2[[#This Row],[Date]]),"00"))</f>
        <v>202305</v>
      </c>
      <c r="B9270" s="6">
        <v>45053</v>
      </c>
      <c r="C9270" t="s">
        <v>4304</v>
      </c>
      <c r="D9270" t="s">
        <v>4305</v>
      </c>
      <c r="E9270">
        <v>9.9499999999999993</v>
      </c>
      <c r="F9270" s="2" t="str">
        <f>IF(Table2[[#This Row],[Manual Cat Value]]="",VLOOKUP(Table2[[#This Row],[Description]],'Actuals Lookup'!D:F,3,0),Table2[[#This Row],[Manual Cat Value]])</f>
        <v>Exp - Shopping</v>
      </c>
      <c r="H9270" s="8" t="s">
        <v>36</v>
      </c>
      <c r="I9270" s="8"/>
      <c r="O9270" t="str">
        <f>LEFT(Table2[[#This Row],[Description]],75)</f>
        <v>ANTHROPOLOGIE #427       MINNEAPOLIS  MN REF #24445003Y2XAN7662</v>
      </c>
    </row>
    <row r="9271" spans="1:15" hidden="1">
      <c r="A9271" s="25">
        <f>VALUE(YEAR(Table2[[#This Row],[Date]])&amp;TEXT(MONTH(Table2[[#This Row],[Date]]),"00"))</f>
        <v>202305</v>
      </c>
      <c r="B9271" s="6">
        <v>45053</v>
      </c>
      <c r="C9271" t="s">
        <v>4306</v>
      </c>
      <c r="D9271" t="s">
        <v>4307</v>
      </c>
      <c r="E9271">
        <v>40.86</v>
      </c>
      <c r="F9271" s="2" t="str">
        <f>IF(Table2[[#This Row],[Manual Cat Value]]="",VLOOKUP(Table2[[#This Row],[Description]],'Actuals Lookup'!D:F,3,0),Table2[[#This Row],[Manual Cat Value]])</f>
        <v>Exp - Shopping</v>
      </c>
      <c r="H9271" s="8" t="s">
        <v>36</v>
      </c>
      <c r="I9271" s="8"/>
      <c r="O9271" t="str">
        <f>LEFT(Table2[[#This Row],[Description]],75)</f>
        <v>EVEREVE - 8              WAYZATA      MN REF #24269793XEJ5MZTPG</v>
      </c>
    </row>
    <row r="9272" spans="1:15" hidden="1">
      <c r="A9272" s="25">
        <f>VALUE(YEAR(Table2[[#This Row],[Date]])&amp;TEXT(MONTH(Table2[[#This Row],[Date]]),"00"))</f>
        <v>202305</v>
      </c>
      <c r="B9272" s="6">
        <v>45053</v>
      </c>
      <c r="C9272" t="s">
        <v>4308</v>
      </c>
      <c r="D9272" t="s">
        <v>4309</v>
      </c>
      <c r="E9272">
        <v>49.79</v>
      </c>
      <c r="F9272" s="2" t="str">
        <f>IF(Table2[[#This Row],[Manual Cat Value]]="",VLOOKUP(Table2[[#This Row],[Description]],'Actuals Lookup'!D:F,3,0),Table2[[#This Row],[Manual Cat Value]])</f>
        <v>Exp - Transportation</v>
      </c>
      <c r="H9272" s="8" t="s">
        <v>22</v>
      </c>
      <c r="I9272" s="8"/>
      <c r="O9272" t="str">
        <f>LEFT(Table2[[#This Row],[Description]],75)</f>
        <v>KWIK TRIP  40200004028   CHANHASSEN   MN REF #24164073YL3HELAS1</v>
      </c>
    </row>
    <row r="9273" spans="1:15" hidden="1">
      <c r="A9273" s="25">
        <f>VALUE(YEAR(Table2[[#This Row],[Date]])&amp;TEXT(MONTH(Table2[[#This Row],[Date]]),"00"))</f>
        <v>202305</v>
      </c>
      <c r="B9273" s="6">
        <v>45053</v>
      </c>
      <c r="C9273" t="s">
        <v>4310</v>
      </c>
      <c r="D9273" t="s">
        <v>4311</v>
      </c>
      <c r="E9273">
        <v>2.79</v>
      </c>
      <c r="F9273" s="2" t="str">
        <f>IF(Table2[[#This Row],[Manual Cat Value]]="",VLOOKUP(Table2[[#This Row],[Description]],'Actuals Lookup'!D:F,3,0),Table2[[#This Row],[Manual Cat Value]])</f>
        <v>Exp - Transportation</v>
      </c>
      <c r="H9273" s="8" t="s">
        <v>22</v>
      </c>
      <c r="I9273" s="8"/>
      <c r="O9273" t="str">
        <f>LEFT(Table2[[#This Row],[Description]],75)</f>
        <v>KWIK TRIP  40200004028   CHANHASSEN   MN REF #24164073YL3HELAWD</v>
      </c>
    </row>
    <row r="9274" spans="1:15" hidden="1">
      <c r="A9274" s="25">
        <f>VALUE(YEAR(Table2[[#This Row],[Date]])&amp;TEXT(MONTH(Table2[[#This Row],[Date]]),"00"))</f>
        <v>202305</v>
      </c>
      <c r="B9274" s="6">
        <v>45053</v>
      </c>
      <c r="C9274" t="s">
        <v>4312</v>
      </c>
      <c r="D9274" t="s">
        <v>4313</v>
      </c>
      <c r="E9274">
        <v>15</v>
      </c>
      <c r="F9274" s="2" t="str">
        <f>IF(Table2[[#This Row],[Manual Cat Value]]="",VLOOKUP(Table2[[#This Row],[Description]],'Actuals Lookup'!D:F,3,0),Table2[[#This Row],[Manual Cat Value]])</f>
        <v>Delete</v>
      </c>
      <c r="H9274" s="8" t="s">
        <v>9</v>
      </c>
      <c r="I9274" s="8"/>
      <c r="O9274" t="str">
        <f>LEFT(Table2[[#This Row],[Description]],75)</f>
        <v>RENTAL TOLL236588087     877-860-1283 MA REF #24430993X2E047398</v>
      </c>
    </row>
    <row r="9275" spans="1:15" hidden="1">
      <c r="A9275" s="25">
        <f>VALUE(YEAR(Table2[[#This Row],[Date]])&amp;TEXT(MONTH(Table2[[#This Row],[Date]]),"00"))</f>
        <v>202305</v>
      </c>
      <c r="B9275" s="6">
        <v>45054</v>
      </c>
      <c r="C9275" t="s">
        <v>4314</v>
      </c>
      <c r="D9275" t="s">
        <v>4315</v>
      </c>
      <c r="E9275">
        <v>2</v>
      </c>
      <c r="F9275" s="2" t="str">
        <f>IF(Table2[[#This Row],[Manual Cat Value]]="",VLOOKUP(Table2[[#This Row],[Description]],'Actuals Lookup'!D:F,3,0),Table2[[#This Row],[Manual Cat Value]])</f>
        <v>Delete</v>
      </c>
      <c r="H9275" s="8" t="s">
        <v>9</v>
      </c>
      <c r="I9275" s="8"/>
      <c r="O9275" t="str">
        <f>LEFT(Table2[[#This Row],[Description]],75)</f>
        <v>CSC SERVICEWORK          CHASKA       MN REF #240552340BLMNA231</v>
      </c>
    </row>
    <row r="9276" spans="1:15" hidden="1">
      <c r="A9276" s="25">
        <f>VALUE(YEAR(Table2[[#This Row],[Date]])&amp;TEXT(MONTH(Table2[[#This Row],[Date]]),"00"))</f>
        <v>202305</v>
      </c>
      <c r="B9276" s="6">
        <v>45054</v>
      </c>
      <c r="C9276" t="s">
        <v>4033</v>
      </c>
      <c r="D9276" t="s">
        <v>4316</v>
      </c>
      <c r="E9276">
        <v>270.92</v>
      </c>
      <c r="F9276" s="2" t="str">
        <f>IF(Table2[[#This Row],[Manual Cat Value]]="",VLOOKUP(Table2[[#This Row],[Description]],'Actuals Lookup'!D:F,3,0),Table2[[#This Row],[Manual Cat Value]])</f>
        <v>Exp - House Maint</v>
      </c>
      <c r="H9276" s="8" t="s">
        <v>1</v>
      </c>
      <c r="I9276" s="8"/>
      <c r="O9276" t="str">
        <f>LEFT(Table2[[#This Row],[Description]],75)</f>
        <v>SHOREWOOD TRUE VALUE     EXCELSIOR    MN REF #248019740BMDDE20K</v>
      </c>
    </row>
    <row r="9277" spans="1:15" hidden="1">
      <c r="A9277" s="25">
        <f>VALUE(YEAR(Table2[[#This Row],[Date]])&amp;TEXT(MONTH(Table2[[#This Row],[Date]]),"00"))</f>
        <v>202305</v>
      </c>
      <c r="B9277" s="6">
        <v>45054</v>
      </c>
      <c r="C9277" t="s">
        <v>4317</v>
      </c>
      <c r="D9277" t="s">
        <v>4318</v>
      </c>
      <c r="E9277">
        <v>61.88</v>
      </c>
      <c r="F9277" s="2" t="str">
        <f>IF(Table2[[#This Row],[Manual Cat Value]]="",VLOOKUP(Table2[[#This Row],[Description]],'Actuals Lookup'!D:F,3,0),Table2[[#This Row],[Manual Cat Value]])</f>
        <v>Exp - Transportation</v>
      </c>
      <c r="H9277" s="8" t="s">
        <v>22</v>
      </c>
      <c r="I9277" s="8"/>
      <c r="O9277" t="str">
        <f>LEFT(Table2[[#This Row],[Description]],75)</f>
        <v>SPEEDWAY 04095           CHASKA       MN REF #241374640019YN5TV</v>
      </c>
    </row>
    <row r="9278" spans="1:15" hidden="1">
      <c r="A9278" s="25">
        <f>VALUE(YEAR(Table2[[#This Row],[Date]])&amp;TEXT(MONTH(Table2[[#This Row],[Date]]),"00"))</f>
        <v>202305</v>
      </c>
      <c r="B9278" s="6">
        <v>45054</v>
      </c>
      <c r="C9278" t="s">
        <v>4319</v>
      </c>
      <c r="D9278" t="s">
        <v>4320</v>
      </c>
      <c r="E9278">
        <v>10</v>
      </c>
      <c r="F9278" s="2" t="str">
        <f>IF(Table2[[#This Row],[Manual Cat Value]]="",VLOOKUP(Table2[[#This Row],[Description]],'Actuals Lookup'!D:F,3,0),Table2[[#This Row],[Manual Cat Value]])</f>
        <v>Exp - Transportation</v>
      </c>
      <c r="H9278" s="8" t="s">
        <v>22</v>
      </c>
      <c r="I9278" s="8"/>
      <c r="O9278" t="str">
        <f>LEFT(Table2[[#This Row],[Description]],75)</f>
        <v>SPEEDWAY 04095           CHASKA       MN REF #241374640019YN5WE</v>
      </c>
    </row>
    <row r="9279" spans="1:15" hidden="1">
      <c r="A9279" s="25">
        <f>VALUE(YEAR(Table2[[#This Row],[Date]])&amp;TEXT(MONTH(Table2[[#This Row],[Date]]),"00"))</f>
        <v>202305</v>
      </c>
      <c r="B9279" s="6">
        <v>45054</v>
      </c>
      <c r="C9279" t="s">
        <v>4321</v>
      </c>
      <c r="D9279" t="s">
        <v>1470</v>
      </c>
      <c r="E9279" s="53">
        <v>112.94</v>
      </c>
      <c r="F9279" s="2" t="str">
        <f>IF(Table2[[#This Row],[Manual Cat Value]]="",VLOOKUP(Table2[[#This Row],[Description]],'Actuals Lookup'!D:F,3,0),Table2[[#This Row],[Manual Cat Value]])</f>
        <v>Exp - Utilities</v>
      </c>
      <c r="H9279" s="8" t="s">
        <v>6</v>
      </c>
      <c r="I9279" s="8"/>
      <c r="O9279" t="str">
        <f>LEFT(Table2[[#This Row],[Description]],75)</f>
        <v>Payment to Xcel Energy</v>
      </c>
    </row>
    <row r="9280" spans="1:15" hidden="1">
      <c r="A9280" s="25">
        <f>VALUE(YEAR(Table2[[#This Row],[Date]])&amp;TEXT(MONTH(Table2[[#This Row],[Date]]),"00"))</f>
        <v>202305</v>
      </c>
      <c r="B9280" s="6">
        <v>45055</v>
      </c>
      <c r="C9280" t="s">
        <v>4028</v>
      </c>
      <c r="D9280" t="s">
        <v>4322</v>
      </c>
      <c r="E9280">
        <v>47.25</v>
      </c>
      <c r="F9280" s="2" t="str">
        <f>IF(Table2[[#This Row],[Manual Cat Value]]="",VLOOKUP(Table2[[#This Row],[Description]],'Actuals Lookup'!D:F,3,0),Table2[[#This Row],[Manual Cat Value]])</f>
        <v>Exp - Gym</v>
      </c>
      <c r="H9280" s="8" t="s">
        <v>33</v>
      </c>
      <c r="I9280" s="8"/>
      <c r="O9280" t="str">
        <f>LEFT(Table2[[#This Row],[Description]],75)</f>
        <v>PELOTON* MEMBERSHIP      HTTPSWWW.ONEPNY REF #240113440000YV7YM</v>
      </c>
    </row>
    <row r="9281" spans="1:15" hidden="1">
      <c r="A9281" s="25">
        <f>VALUE(YEAR(Table2[[#This Row],[Date]])&amp;TEXT(MONTH(Table2[[#This Row],[Date]]),"00"))</f>
        <v>202305</v>
      </c>
      <c r="B9281" s="6">
        <v>45055</v>
      </c>
      <c r="C9281" t="s">
        <v>4030</v>
      </c>
      <c r="D9281" t="s">
        <v>4323</v>
      </c>
      <c r="E9281">
        <v>109.75</v>
      </c>
      <c r="F9281" s="2" t="str">
        <f>IF(Table2[[#This Row],[Manual Cat Value]]="",VLOOKUP(Table2[[#This Row],[Description]],'Actuals Lookup'!D:F,3,0),Table2[[#This Row],[Manual Cat Value]])</f>
        <v>Exp - Target</v>
      </c>
      <c r="H9281" s="8" t="s">
        <v>30</v>
      </c>
      <c r="I9281" s="8"/>
      <c r="O9281" t="str">
        <f>LEFT(Table2[[#This Row],[Description]],75)</f>
        <v>TARGET        00008623   CHANHASSEN   MN REF #2416407402LRFMJKZ</v>
      </c>
    </row>
    <row r="9282" spans="1:15" hidden="1">
      <c r="A9282" s="25">
        <f>VALUE(YEAR(Table2[[#This Row],[Date]])&amp;TEXT(MONTH(Table2[[#This Row],[Date]]),"00"))</f>
        <v>202305</v>
      </c>
      <c r="B9282" s="6">
        <v>45055</v>
      </c>
      <c r="C9282" t="s">
        <v>4038</v>
      </c>
      <c r="D9282" t="s">
        <v>4324</v>
      </c>
      <c r="E9282">
        <v>20.51</v>
      </c>
      <c r="F9282" s="2" t="str">
        <f>IF(Table2[[#This Row],[Manual Cat Value]]="",VLOOKUP(Table2[[#This Row],[Description]],'Actuals Lookup'!D:F,3,0),Table2[[#This Row],[Manual Cat Value]])</f>
        <v>Exp - Restaurants</v>
      </c>
      <c r="H9282" s="8" t="s">
        <v>25</v>
      </c>
      <c r="I9282" s="8"/>
      <c r="O9282" t="str">
        <f>LEFT(Table2[[#This Row],[Description]],75)</f>
        <v>THE SUBURBAN EXCELSIOR   ST LOUIS PARKMN REF #2434285400FVHE2YN</v>
      </c>
    </row>
    <row r="9283" spans="1:15" hidden="1">
      <c r="A9283" s="25">
        <f>VALUE(YEAR(Table2[[#This Row],[Date]])&amp;TEXT(MONTH(Table2[[#This Row],[Date]]),"00"))</f>
        <v>202305</v>
      </c>
      <c r="B9283" s="6">
        <v>45055</v>
      </c>
      <c r="C9283" t="s">
        <v>4325</v>
      </c>
      <c r="D9283" t="s">
        <v>4326</v>
      </c>
      <c r="E9283" s="53">
        <v>330</v>
      </c>
      <c r="F9283" s="2" t="str">
        <f>IF(Table2[[#This Row],[Manual Cat Value]]="",VLOOKUP(Table2[[#This Row],[Description]],'Actuals Lookup'!D:F,3,0),Table2[[#This Row],[Manual Cat Value]])</f>
        <v>Exp - Day Care</v>
      </c>
      <c r="H9283" s="8" t="s">
        <v>19</v>
      </c>
      <c r="I9283" s="8"/>
      <c r="O9283" t="str">
        <f>LEFT(Table2[[#This Row],[Description]],75)</f>
        <v>Withdrawal ACH MHCHILDCARELLC TYPE: DUES ID: XX8198 CO: MHCHILDCARELLC Entr</v>
      </c>
    </row>
    <row r="9284" spans="1:15" hidden="1">
      <c r="A9284" s="25">
        <f>VALUE(YEAR(Table2[[#This Row],[Date]])&amp;TEXT(MONTH(Table2[[#This Row],[Date]]),"00"))</f>
        <v>202305</v>
      </c>
      <c r="B9284" s="6">
        <v>45055</v>
      </c>
      <c r="C9284" t="s">
        <v>4327</v>
      </c>
      <c r="D9284" t="s">
        <v>1461</v>
      </c>
      <c r="E9284" s="53">
        <v>84.64</v>
      </c>
      <c r="F9284" s="2" t="str">
        <f>IF(Table2[[#This Row],[Manual Cat Value]]="",VLOOKUP(Table2[[#This Row],[Description]],'Actuals Lookup'!D:F,3,0),Table2[[#This Row],[Manual Cat Value]])</f>
        <v>Delete</v>
      </c>
      <c r="H9284" s="8" t="s">
        <v>9</v>
      </c>
      <c r="I9284" s="8"/>
      <c r="O9284" t="str">
        <f>LEFT(Table2[[#This Row],[Description]],75)</f>
        <v>Payment to CenterPoint Energy</v>
      </c>
    </row>
    <row r="9285" spans="1:15" hidden="1">
      <c r="A9285" s="25">
        <f>VALUE(YEAR(Table2[[#This Row],[Date]])&amp;TEXT(MONTH(Table2[[#This Row],[Date]]),"00"))</f>
        <v>202305</v>
      </c>
      <c r="B9285" s="6">
        <v>45055</v>
      </c>
      <c r="C9285" t="s">
        <v>4328</v>
      </c>
      <c r="D9285" t="s">
        <v>1469</v>
      </c>
      <c r="E9285" s="53">
        <v>177.67</v>
      </c>
      <c r="F9285" s="2" t="str">
        <f>IF(Table2[[#This Row],[Manual Cat Value]]="",VLOOKUP(Table2[[#This Row],[Description]],'Actuals Lookup'!D:F,3,0),Table2[[#This Row],[Manual Cat Value]])</f>
        <v>Exp - Utilities</v>
      </c>
      <c r="H9285" s="8" t="s">
        <v>6</v>
      </c>
      <c r="I9285" s="8"/>
      <c r="O9285" t="str">
        <f>LEFT(Table2[[#This Row],[Description]],75)</f>
        <v>Payment to Waste management</v>
      </c>
    </row>
    <row r="9286" spans="1:15" hidden="1">
      <c r="A9286" s="25">
        <f>VALUE(YEAR(Table2[[#This Row],[Date]])&amp;TEXT(MONTH(Table2[[#This Row],[Date]]),"00"))</f>
        <v>202305</v>
      </c>
      <c r="B9286" s="6">
        <v>45057</v>
      </c>
      <c r="C9286" t="s">
        <v>4040</v>
      </c>
      <c r="D9286" t="s">
        <v>4329</v>
      </c>
      <c r="E9286">
        <v>32.049999999999997</v>
      </c>
      <c r="F9286" s="2" t="str">
        <f>IF(Table2[[#This Row],[Manual Cat Value]]="",VLOOKUP(Table2[[#This Row],[Description]],'Actuals Lookup'!D:F,3,0),Table2[[#This Row],[Manual Cat Value]])</f>
        <v>Exp - Amazon</v>
      </c>
      <c r="H9286" s="8" t="s">
        <v>37</v>
      </c>
      <c r="I9286" s="8"/>
      <c r="O9286" t="str">
        <f>LEFT(Table2[[#This Row],[Description]],75)</f>
        <v>AMAZON.COM*LG2UQ40Q3 AMZNAMZN.COM/BILLWA REF #2443106422DKZAJEQ</v>
      </c>
    </row>
    <row r="9287" spans="1:15" hidden="1">
      <c r="A9287" s="25">
        <f>VALUE(YEAR(Table2[[#This Row],[Date]])&amp;TEXT(MONTH(Table2[[#This Row],[Date]]),"00"))</f>
        <v>202305</v>
      </c>
      <c r="B9287" s="6">
        <v>45057</v>
      </c>
      <c r="C9287" t="s">
        <v>4330</v>
      </c>
      <c r="D9287" t="s">
        <v>404</v>
      </c>
      <c r="E9287" s="53">
        <v>-2465</v>
      </c>
      <c r="F9287" s="2" t="str">
        <f>IF(Table2[[#This Row],[Manual Cat Value]]="",VLOOKUP(Table2[[#This Row],[Description]],'Actuals Lookup'!D:F,3,0),Table2[[#This Row],[Manual Cat Value]])</f>
        <v>Inc - Britney</v>
      </c>
      <c r="H9287" s="8" t="s">
        <v>65</v>
      </c>
      <c r="I9287" s="8"/>
      <c r="O9287" t="str">
        <f>LEFT(Table2[[#This Row],[Description]],75)</f>
        <v>Cargill Inc Deposit</v>
      </c>
    </row>
    <row r="9288" spans="1:15" hidden="1">
      <c r="A9288" s="25">
        <f>VALUE(YEAR(Table2[[#This Row],[Date]])&amp;TEXT(MONTH(Table2[[#This Row],[Date]]),"00"))</f>
        <v>202305</v>
      </c>
      <c r="B9288" s="6">
        <v>45057</v>
      </c>
      <c r="C9288" t="s">
        <v>4042</v>
      </c>
      <c r="D9288" t="s">
        <v>4331</v>
      </c>
      <c r="E9288">
        <v>149.29</v>
      </c>
      <c r="F9288" s="2" t="str">
        <f>IF(Table2[[#This Row],[Manual Cat Value]]="",VLOOKUP(Table2[[#This Row],[Description]],'Actuals Lookup'!D:F,3,0),Table2[[#This Row],[Manual Cat Value]])</f>
        <v>Exp - House Maint</v>
      </c>
      <c r="H9288" s="8" t="s">
        <v>1</v>
      </c>
      <c r="I9288" s="8"/>
      <c r="O9288" t="str">
        <f>LEFT(Table2[[#This Row],[Description]],75)</f>
        <v>MIDWEST AQUA CARE        952-403-6879 MN REF #248019742M4FLPRP5</v>
      </c>
    </row>
    <row r="9289" spans="1:15" hidden="1">
      <c r="A9289" s="25">
        <f>VALUE(YEAR(Table2[[#This Row],[Date]])&amp;TEXT(MONTH(Table2[[#This Row],[Date]]),"00"))</f>
        <v>202305</v>
      </c>
      <c r="B9289" s="6">
        <v>45057</v>
      </c>
      <c r="C9289" t="s">
        <v>4332</v>
      </c>
      <c r="D9289" t="s">
        <v>1955</v>
      </c>
      <c r="E9289" s="53">
        <v>6.47</v>
      </c>
      <c r="F9289" s="2" t="str">
        <f>IF(Table2[[#This Row],[Manual Cat Value]]="",VLOOKUP(Table2[[#This Row],[Description]],'Actuals Lookup'!D:F,3,0),Table2[[#This Row],[Manual Cat Value]])</f>
        <v>Exp - Shopping</v>
      </c>
      <c r="H9289" s="8" t="s">
        <v>36</v>
      </c>
      <c r="I9289" s="8"/>
      <c r="O9289" t="str">
        <f>LEFT(Table2[[#This Row],[Description]],75)</f>
        <v>Transfer to PayPal</v>
      </c>
    </row>
    <row r="9290" spans="1:15" hidden="1">
      <c r="A9290" s="25">
        <f>VALUE(YEAR(Table2[[#This Row],[Date]])&amp;TEXT(MONTH(Table2[[#This Row],[Date]]),"00"))</f>
        <v>202305</v>
      </c>
      <c r="B9290" s="6">
        <v>45057</v>
      </c>
      <c r="C9290" t="s">
        <v>4333</v>
      </c>
      <c r="D9290" t="s">
        <v>1958</v>
      </c>
      <c r="E9290" s="53">
        <v>125</v>
      </c>
      <c r="F9290" s="2" t="str">
        <f>IF(Table2[[#This Row],[Manual Cat Value]]="",VLOOKUP(Table2[[#This Row],[Description]],'Actuals Lookup'!D:F,3,0),Table2[[#This Row],[Manual Cat Value]])</f>
        <v>Exp - Shopping</v>
      </c>
      <c r="H9290" s="8" t="s">
        <v>36</v>
      </c>
      <c r="I9290" s="8"/>
      <c r="O9290" t="str">
        <f>LEFT(Table2[[#This Row],[Description]],75)</f>
        <v>Transfer to Venmo</v>
      </c>
    </row>
    <row r="9291" spans="1:15" hidden="1">
      <c r="A9291" s="25">
        <f>VALUE(YEAR(Table2[[#This Row],[Date]])&amp;TEXT(MONTH(Table2[[#This Row],[Date]]),"00"))</f>
        <v>202305</v>
      </c>
      <c r="B9291" s="6">
        <v>45058</v>
      </c>
      <c r="C9291" t="s">
        <v>4055</v>
      </c>
      <c r="D9291" t="s">
        <v>4334</v>
      </c>
      <c r="E9291">
        <v>5.99</v>
      </c>
      <c r="F9291" s="2" t="str">
        <f>IF(Table2[[#This Row],[Manual Cat Value]]="",VLOOKUP(Table2[[#This Row],[Description]],'Actuals Lookup'!D:F,3,0),Table2[[#This Row],[Manual Cat Value]])</f>
        <v>Exp - Entertainment</v>
      </c>
      <c r="H9291" s="8" t="s">
        <v>39</v>
      </c>
      <c r="I9291" s="8"/>
      <c r="O9291" t="str">
        <f>LEFT(Table2[[#This Row],[Description]],75)</f>
        <v>Hallmark Movies Now      844-4465669  CA REF #24906414351SMKPKP</v>
      </c>
    </row>
    <row r="9292" spans="1:15" hidden="1">
      <c r="A9292" s="25">
        <f>VALUE(YEAR(Table2[[#This Row],[Date]])&amp;TEXT(MONTH(Table2[[#This Row],[Date]]),"00"))</f>
        <v>202305</v>
      </c>
      <c r="B9292" s="6">
        <v>45058</v>
      </c>
      <c r="C9292" t="s">
        <v>4053</v>
      </c>
      <c r="D9292" t="s">
        <v>4335</v>
      </c>
      <c r="E9292">
        <v>60</v>
      </c>
      <c r="F9292" s="2" t="str">
        <f>IF(Table2[[#This Row],[Manual Cat Value]]="",VLOOKUP(Table2[[#This Row],[Description]],'Actuals Lookup'!D:F,3,0),Table2[[#This Row],[Manual Cat Value]])</f>
        <v>Exp - Shopping</v>
      </c>
      <c r="H9292" s="8" t="s">
        <v>36</v>
      </c>
      <c r="I9292" s="8"/>
      <c r="O9292" t="str">
        <f>LEFT(Table2[[#This Row],[Description]],75)</f>
        <v>TOMMY BAHAMA ECOMM       866-986-8282 WA REF #2469216433280076Q</v>
      </c>
    </row>
    <row r="9293" spans="1:15" hidden="1">
      <c r="A9293" s="25">
        <f>VALUE(YEAR(Table2[[#This Row],[Date]])&amp;TEXT(MONTH(Table2[[#This Row],[Date]]),"00"))</f>
        <v>202305</v>
      </c>
      <c r="B9293" s="6">
        <v>45058</v>
      </c>
      <c r="C9293" t="s">
        <v>4336</v>
      </c>
      <c r="D9293" t="s">
        <v>1955</v>
      </c>
      <c r="E9293" s="53">
        <v>6.47</v>
      </c>
      <c r="F9293" s="2" t="str">
        <f>IF(Table2[[#This Row],[Manual Cat Value]]="",VLOOKUP(Table2[[#This Row],[Description]],'Actuals Lookup'!D:F,3,0),Table2[[#This Row],[Manual Cat Value]])</f>
        <v>Exp - Shopping</v>
      </c>
      <c r="H9293" s="8" t="s">
        <v>36</v>
      </c>
      <c r="I9293" s="8"/>
      <c r="O9293" t="str">
        <f>LEFT(Table2[[#This Row],[Description]],75)</f>
        <v>Transfer to PayPal</v>
      </c>
    </row>
    <row r="9294" spans="1:15" hidden="1">
      <c r="A9294" s="25">
        <f>VALUE(YEAR(Table2[[#This Row],[Date]])&amp;TEXT(MONTH(Table2[[#This Row],[Date]]),"00"))</f>
        <v>202305</v>
      </c>
      <c r="B9294" s="6">
        <v>45058</v>
      </c>
      <c r="C9294" t="s">
        <v>4337</v>
      </c>
      <c r="D9294" t="s">
        <v>4293</v>
      </c>
      <c r="E9294" s="53">
        <v>834.2</v>
      </c>
      <c r="F9294" s="2" t="str">
        <f>IF(Table2[[#This Row],[Manual Cat Value]]="",VLOOKUP(Table2[[#This Row],[Description]],'Actuals Lookup'!D:F,3,0),Table2[[#This Row],[Manual Cat Value]])</f>
        <v>Delete</v>
      </c>
      <c r="H9294" s="8" t="s">
        <v>9</v>
      </c>
      <c r="I9294" s="8"/>
      <c r="O9294" t="str">
        <f>LEFT(Table2[[#This Row],[Description]],75)</f>
        <v>Withdrawal Home Banking Pmt to card XX5913</v>
      </c>
    </row>
    <row r="9295" spans="1:15" hidden="1">
      <c r="A9295" s="25">
        <f>VALUE(YEAR(Table2[[#This Row],[Date]])&amp;TEXT(MONTH(Table2[[#This Row],[Date]]),"00"))</f>
        <v>202305</v>
      </c>
      <c r="B9295" s="6">
        <v>45058</v>
      </c>
      <c r="C9295" t="s">
        <v>4051</v>
      </c>
      <c r="D9295" t="s">
        <v>4338</v>
      </c>
      <c r="E9295">
        <v>-834.2</v>
      </c>
      <c r="F9295" s="2" t="str">
        <f>IF(Table2[[#This Row],[Manual Cat Value]]="",VLOOKUP(Table2[[#This Row],[Description]],'Actuals Lookup'!D:F,3,0),Table2[[#This Row],[Manual Cat Value]])</f>
        <v>Delete</v>
      </c>
      <c r="H9295" s="8" t="s">
        <v>9</v>
      </c>
      <c r="I9295" s="8"/>
      <c r="O9295" t="str">
        <f>LEFT(Table2[[#This Row],[Description]],75)</f>
        <v>PAYMENT - THANK YOU REF #74734574600XTMJG1</v>
      </c>
    </row>
    <row r="9296" spans="1:15" hidden="1">
      <c r="A9296" s="25">
        <f>VALUE(YEAR(Table2[[#This Row],[Date]])&amp;TEXT(MONTH(Table2[[#This Row],[Date]]),"00"))</f>
        <v>202305</v>
      </c>
      <c r="B9296" s="6">
        <v>45060</v>
      </c>
      <c r="C9296" t="s">
        <v>4073</v>
      </c>
      <c r="D9296" t="s">
        <v>4339</v>
      </c>
      <c r="E9296">
        <v>-15.45</v>
      </c>
      <c r="F9296" s="2" t="str">
        <f>IF(Table2[[#This Row],[Manual Cat Value]]="",VLOOKUP(Table2[[#This Row],[Description]],'Actuals Lookup'!D:F,3,0),Table2[[#This Row],[Manual Cat Value]])</f>
        <v>Exp - Amazon</v>
      </c>
      <c r="H9296" s="8" t="s">
        <v>37</v>
      </c>
      <c r="I9296" s="8"/>
      <c r="O9296" t="str">
        <f>LEFT(Table2[[#This Row],[Description]],75)</f>
        <v>AMZN Mktp US Amzn.com/bill WA     CREDIT REF #74692164633VFL0E3</v>
      </c>
    </row>
    <row r="9297" spans="1:15" hidden="1">
      <c r="A9297" s="25">
        <f>VALUE(YEAR(Table2[[#This Row],[Date]])&amp;TEXT(MONTH(Table2[[#This Row],[Date]]),"00"))</f>
        <v>202305</v>
      </c>
      <c r="B9297" s="6">
        <v>45060</v>
      </c>
      <c r="C9297" t="s">
        <v>4067</v>
      </c>
      <c r="D9297" t="s">
        <v>4340</v>
      </c>
      <c r="E9297">
        <v>45</v>
      </c>
      <c r="F9297" s="2" t="str">
        <f>IF(Table2[[#This Row],[Manual Cat Value]]="",VLOOKUP(Table2[[#This Row],[Description]],'Actuals Lookup'!D:F,3,0),Table2[[#This Row],[Manual Cat Value]])</f>
        <v>Exp - Utilities</v>
      </c>
      <c r="H9297" s="8" t="s">
        <v>6</v>
      </c>
      <c r="I9297" s="8"/>
      <c r="O9297" t="str">
        <f>LEFT(Table2[[#This Row],[Description]],75)</f>
        <v>CENTURYLINK LUMEN        800-244-1111 LA REF #24692164432WE8MQ2</v>
      </c>
    </row>
    <row r="9298" spans="1:15" hidden="1">
      <c r="A9298" s="25">
        <f>VALUE(YEAR(Table2[[#This Row],[Date]])&amp;TEXT(MONTH(Table2[[#This Row],[Date]]),"00"))</f>
        <v>202305</v>
      </c>
      <c r="B9298" s="6">
        <v>45060</v>
      </c>
      <c r="C9298" t="s">
        <v>4049</v>
      </c>
      <c r="D9298" t="s">
        <v>4341</v>
      </c>
      <c r="E9298">
        <v>30.26</v>
      </c>
      <c r="F9298" s="2" t="str">
        <f>IF(Table2[[#This Row],[Manual Cat Value]]="",VLOOKUP(Table2[[#This Row],[Description]],'Actuals Lookup'!D:F,3,0),Table2[[#This Row],[Manual Cat Value]])</f>
        <v>Exp - Shopping</v>
      </c>
      <c r="H9298" s="8" t="s">
        <v>36</v>
      </c>
      <c r="I9298" s="8"/>
      <c r="O9298" t="str">
        <f>LEFT(Table2[[#This Row],[Description]],75)</f>
        <v>OFFICEMAX/DEPOT 6641     CHANHASSEN   MN REF #2413746455SGL01PY</v>
      </c>
    </row>
    <row r="9299" spans="1:15" hidden="1">
      <c r="A9299" s="25">
        <f>VALUE(YEAR(Table2[[#This Row],[Date]])&amp;TEXT(MONTH(Table2[[#This Row],[Date]]),"00"))</f>
        <v>202305</v>
      </c>
      <c r="B9299" s="6">
        <v>45060</v>
      </c>
      <c r="C9299" t="s">
        <v>4342</v>
      </c>
      <c r="D9299" t="s">
        <v>4343</v>
      </c>
      <c r="E9299" s="53">
        <v>-3180.71</v>
      </c>
      <c r="F9299" s="2" t="str">
        <f>IF(Table2[[#This Row],[Manual Cat Value]]="",VLOOKUP(Table2[[#This Row],[Description]],'Actuals Lookup'!D:F,3,0),Table2[[#This Row],[Manual Cat Value]])</f>
        <v>Inc - Jeff</v>
      </c>
      <c r="H9299" s="8" t="s">
        <v>63</v>
      </c>
      <c r="I9299" s="8"/>
      <c r="O9299" t="str">
        <f>LEFT(Table2[[#This Row],[Description]],75)</f>
        <v>Salary/Regular Income from TriNet</v>
      </c>
    </row>
    <row r="9300" spans="1:15" hidden="1">
      <c r="A9300" s="25">
        <f>VALUE(YEAR(Table2[[#This Row],[Date]])&amp;TEXT(MONTH(Table2[[#This Row],[Date]]),"00"))</f>
        <v>202305</v>
      </c>
      <c r="B9300" s="6">
        <v>45060</v>
      </c>
      <c r="C9300" t="s">
        <v>4047</v>
      </c>
      <c r="D9300" t="s">
        <v>4344</v>
      </c>
      <c r="E9300">
        <v>267.8</v>
      </c>
      <c r="F9300" s="2" t="str">
        <f>IF(Table2[[#This Row],[Manual Cat Value]]="",VLOOKUP(Table2[[#This Row],[Description]],'Actuals Lookup'!D:F,3,0),Table2[[#This Row],[Manual Cat Value]])</f>
        <v>Exp - Restaurants</v>
      </c>
      <c r="H9300" s="8" t="s">
        <v>25</v>
      </c>
      <c r="I9300" s="8"/>
      <c r="O9300" t="str">
        <f>LEFT(Table2[[#This Row],[Description]],75)</f>
        <v>SUNCTRYAIR  N3SCFF       MINNEAPOLIS  MN REF #240552345LQFGXKYV</v>
      </c>
    </row>
    <row r="9301" spans="1:15" hidden="1">
      <c r="A9301" s="25">
        <f>VALUE(YEAR(Table2[[#This Row],[Date]])&amp;TEXT(MONTH(Table2[[#This Row],[Date]]),"00"))</f>
        <v>202305</v>
      </c>
      <c r="B9301" s="6">
        <v>45060</v>
      </c>
      <c r="C9301" t="s">
        <v>4057</v>
      </c>
      <c r="D9301" t="s">
        <v>4345</v>
      </c>
      <c r="E9301">
        <v>12.5</v>
      </c>
      <c r="F9301" s="2" t="str">
        <f>IF(Table2[[#This Row],[Manual Cat Value]]="",VLOOKUP(Table2[[#This Row],[Description]],'Actuals Lookup'!D:F,3,0),Table2[[#This Row],[Manual Cat Value]])</f>
        <v>Exp - Restaurants</v>
      </c>
      <c r="H9301" s="8" t="s">
        <v>25</v>
      </c>
      <c r="I9301" s="8"/>
      <c r="O9301" t="str">
        <f>LEFT(Table2[[#This Row],[Description]],75)</f>
        <v>TST* HACKAMORE BREWING COCHANHASSEN   MN REF #241374645EJTHB6JA</v>
      </c>
    </row>
    <row r="9302" spans="1:15" hidden="1">
      <c r="A9302" s="25">
        <f>VALUE(YEAR(Table2[[#This Row],[Date]])&amp;TEXT(MONTH(Table2[[#This Row],[Date]]),"00"))</f>
        <v>202305</v>
      </c>
      <c r="B9302" s="6">
        <v>45060</v>
      </c>
      <c r="C9302" t="s">
        <v>4064</v>
      </c>
      <c r="D9302" t="s">
        <v>4346</v>
      </c>
      <c r="E9302">
        <v>12.5</v>
      </c>
      <c r="F9302" s="2" t="str">
        <f>IF(Table2[[#This Row],[Manual Cat Value]]="",VLOOKUP(Table2[[#This Row],[Description]],'Actuals Lookup'!D:F,3,0),Table2[[#This Row],[Manual Cat Value]])</f>
        <v>Exp - Restaurants</v>
      </c>
      <c r="H9302" s="8" t="s">
        <v>25</v>
      </c>
      <c r="I9302" s="8"/>
      <c r="O9302" t="str">
        <f>LEFT(Table2[[#This Row],[Description]],75)</f>
        <v>TST* HACKAMORE BREWING COCHANHASSEN   MN REF #241374645EJTHB6LY</v>
      </c>
    </row>
    <row r="9303" spans="1:15" hidden="1">
      <c r="A9303" s="25">
        <f>VALUE(YEAR(Table2[[#This Row],[Date]])&amp;TEXT(MONTH(Table2[[#This Row],[Date]]),"00"))</f>
        <v>202305</v>
      </c>
      <c r="B9303" s="6">
        <v>45061</v>
      </c>
      <c r="C9303" t="s">
        <v>4091</v>
      </c>
      <c r="D9303" t="s">
        <v>4347</v>
      </c>
      <c r="E9303">
        <v>217.8</v>
      </c>
      <c r="F9303" s="2" t="str">
        <f>IF(Table2[[#This Row],[Manual Cat Value]]="",VLOOKUP(Table2[[#This Row],[Description]],'Actuals Lookup'!D:F,3,0),Table2[[#This Row],[Manual Cat Value]])</f>
        <v>Exp - Restaurants</v>
      </c>
      <c r="H9303" s="8" t="s">
        <v>25</v>
      </c>
      <c r="I9303" s="8"/>
      <c r="O9303" t="str">
        <f>LEFT(Table2[[#This Row],[Description]],75)</f>
        <v>BLVD   *FACE FOUNDRIE WAYWAYZATA      MN REF #244450046EHY328VX</v>
      </c>
    </row>
    <row r="9304" spans="1:15" hidden="1">
      <c r="A9304" s="25">
        <f>VALUE(YEAR(Table2[[#This Row],[Date]])&amp;TEXT(MONTH(Table2[[#This Row],[Date]]),"00"))</f>
        <v>202305</v>
      </c>
      <c r="B9304" s="6">
        <v>45061</v>
      </c>
      <c r="C9304" t="s">
        <v>4075</v>
      </c>
      <c r="D9304" t="s">
        <v>4348</v>
      </c>
      <c r="E9304">
        <v>63</v>
      </c>
      <c r="F9304" s="2" t="str">
        <f>IF(Table2[[#This Row],[Manual Cat Value]]="",VLOOKUP(Table2[[#This Row],[Description]],'Actuals Lookup'!D:F,3,0),Table2[[#This Row],[Manual Cat Value]])</f>
        <v>Exp - Shopping</v>
      </c>
      <c r="H9304" s="8" t="s">
        <v>36</v>
      </c>
      <c r="I9304" s="8"/>
      <c r="O9304" t="str">
        <f>LEFT(Table2[[#This Row],[Description]],75)</f>
        <v>EVEREVE - 8              WAYZATA      MN REF #2426979462XN2A8MT</v>
      </c>
    </row>
    <row r="9305" spans="1:15" hidden="1">
      <c r="A9305" s="25">
        <f>VALUE(YEAR(Table2[[#This Row],[Date]])&amp;TEXT(MONTH(Table2[[#This Row],[Date]]),"00"))</f>
        <v>202305</v>
      </c>
      <c r="B9305" s="6">
        <v>45061</v>
      </c>
      <c r="C9305" t="s">
        <v>4094</v>
      </c>
      <c r="D9305" t="s">
        <v>4349</v>
      </c>
      <c r="E9305">
        <v>686</v>
      </c>
      <c r="F9305" s="2" t="str">
        <f>IF(Table2[[#This Row],[Manual Cat Value]]="",VLOOKUP(Table2[[#This Row],[Description]],'Actuals Lookup'!D:F,3,0),Table2[[#This Row],[Manual Cat Value]])</f>
        <v>Exp - Shopping</v>
      </c>
      <c r="H9305" s="8" t="s">
        <v>36</v>
      </c>
      <c r="I9305" s="8"/>
      <c r="O9305" t="str">
        <f>LEFT(Table2[[#This Row],[Description]],75)</f>
        <v>EVEREVE - 8              WAYZATA      MN REF #2426979462XN2A8R3</v>
      </c>
    </row>
    <row r="9306" spans="1:15" hidden="1">
      <c r="A9306" s="25">
        <f>VALUE(YEAR(Table2[[#This Row],[Date]])&amp;TEXT(MONTH(Table2[[#This Row],[Date]]),"00"))</f>
        <v>202305</v>
      </c>
      <c r="B9306" s="6">
        <v>45061</v>
      </c>
      <c r="C9306" t="s">
        <v>4350</v>
      </c>
      <c r="D9306" t="s">
        <v>1955</v>
      </c>
      <c r="E9306" s="53">
        <v>43.2</v>
      </c>
      <c r="F9306" s="2" t="str">
        <f>IF(Table2[[#This Row],[Manual Cat Value]]="",VLOOKUP(Table2[[#This Row],[Description]],'Actuals Lookup'!D:F,3,0),Table2[[#This Row],[Manual Cat Value]])</f>
        <v>Exp - Shopping</v>
      </c>
      <c r="H9306" s="8" t="s">
        <v>36</v>
      </c>
      <c r="I9306" s="8"/>
      <c r="O9306" t="str">
        <f>LEFT(Table2[[#This Row],[Description]],75)</f>
        <v>Transfer to PayPal</v>
      </c>
    </row>
    <row r="9307" spans="1:15" hidden="1">
      <c r="A9307" s="25">
        <f>VALUE(YEAR(Table2[[#This Row],[Date]])&amp;TEXT(MONTH(Table2[[#This Row],[Date]]),"00"))</f>
        <v>202305</v>
      </c>
      <c r="B9307" s="6">
        <v>45061</v>
      </c>
      <c r="C9307" t="s">
        <v>4351</v>
      </c>
      <c r="D9307" t="s">
        <v>1958</v>
      </c>
      <c r="E9307" s="53">
        <v>30</v>
      </c>
      <c r="F9307" s="2" t="str">
        <f>IF(Table2[[#This Row],[Manual Cat Value]]="",VLOOKUP(Table2[[#This Row],[Description]],'Actuals Lookup'!D:F,3,0),Table2[[#This Row],[Manual Cat Value]])</f>
        <v>Exp - Shopping</v>
      </c>
      <c r="H9307" s="8" t="s">
        <v>36</v>
      </c>
      <c r="I9307" s="8"/>
      <c r="O9307" t="str">
        <f>LEFT(Table2[[#This Row],[Description]],75)</f>
        <v>Transfer to Venmo</v>
      </c>
    </row>
    <row r="9308" spans="1:15" hidden="1">
      <c r="A9308" s="25">
        <f>VALUE(YEAR(Table2[[#This Row],[Date]])&amp;TEXT(MONTH(Table2[[#This Row],[Date]]),"00"))</f>
        <v>202305</v>
      </c>
      <c r="B9308" s="6">
        <v>45061</v>
      </c>
      <c r="C9308" t="s">
        <v>4352</v>
      </c>
      <c r="D9308" t="s">
        <v>1958</v>
      </c>
      <c r="E9308" s="53">
        <v>105</v>
      </c>
      <c r="F9308" s="2" t="str">
        <f>IF(Table2[[#This Row],[Manual Cat Value]]="",VLOOKUP(Table2[[#This Row],[Description]],'Actuals Lookup'!D:F,3,0),Table2[[#This Row],[Manual Cat Value]])</f>
        <v>Exp - Shopping</v>
      </c>
      <c r="H9308" s="8" t="s">
        <v>36</v>
      </c>
      <c r="I9308" s="8"/>
      <c r="O9308" t="str">
        <f>LEFT(Table2[[#This Row],[Description]],75)</f>
        <v>Transfer to Venmo</v>
      </c>
    </row>
    <row r="9309" spans="1:15" hidden="1">
      <c r="A9309" s="25">
        <f>VALUE(YEAR(Table2[[#This Row],[Date]])&amp;TEXT(MONTH(Table2[[#This Row],[Date]]),"00"))</f>
        <v>202305</v>
      </c>
      <c r="B9309" s="6">
        <v>45061</v>
      </c>
      <c r="C9309" t="s">
        <v>4089</v>
      </c>
      <c r="D9309" t="s">
        <v>4353</v>
      </c>
      <c r="E9309">
        <v>65.81</v>
      </c>
      <c r="F9309" s="2" t="str">
        <f>IF(Table2[[#This Row],[Manual Cat Value]]="",VLOOKUP(Table2[[#This Row],[Description]],'Actuals Lookup'!D:F,3,0),Table2[[#This Row],[Manual Cat Value]])</f>
        <v>Exp - Restaurants</v>
      </c>
      <c r="H9309" s="8" t="s">
        <v>25</v>
      </c>
      <c r="I9309" s="8"/>
      <c r="O9309" t="str">
        <f>LEFT(Table2[[#This Row],[Description]],75)</f>
        <v>TST* The Grocers Table  Wayzata      MN REF #246921646343QBB9J</v>
      </c>
    </row>
    <row r="9310" spans="1:15" hidden="1">
      <c r="A9310" s="25">
        <f>VALUE(YEAR(Table2[[#This Row],[Date]])&amp;TEXT(MONTH(Table2[[#This Row],[Date]]),"00"))</f>
        <v>202305</v>
      </c>
      <c r="B9310" s="6">
        <v>45061</v>
      </c>
      <c r="C9310" t="s">
        <v>4096</v>
      </c>
      <c r="D9310" t="s">
        <v>4354</v>
      </c>
      <c r="E9310">
        <v>42.74</v>
      </c>
      <c r="F9310" s="2" t="str">
        <f>IF(Table2[[#This Row],[Manual Cat Value]]="",VLOOKUP(Table2[[#This Row],[Description]],'Actuals Lookup'!D:F,3,0),Table2[[#This Row],[Manual Cat Value]])</f>
        <v>Delete</v>
      </c>
      <c r="H9310" s="8" t="s">
        <v>9</v>
      </c>
      <c r="I9310" s="8"/>
      <c r="O9310" t="str">
        <f>LEFT(Table2[[#This Row],[Description]],75)</f>
        <v>UBER   TRIP              HELP.UBER.COMCA REF #244921547LRNM4B2M</v>
      </c>
    </row>
    <row r="9311" spans="1:15" hidden="1">
      <c r="A9311" s="25">
        <f>VALUE(YEAR(Table2[[#This Row],[Date]])&amp;TEXT(MONTH(Table2[[#This Row],[Date]]),"00"))</f>
        <v>202305</v>
      </c>
      <c r="B9311" s="6">
        <v>45061</v>
      </c>
      <c r="C9311" t="s">
        <v>4355</v>
      </c>
      <c r="D9311" t="s">
        <v>4356</v>
      </c>
      <c r="E9311" s="53">
        <v>90.39</v>
      </c>
      <c r="F9311" s="2" t="str">
        <f>IF(Table2[[#This Row],[Manual Cat Value]]="",VLOOKUP(Table2[[#This Row],[Description]],'Actuals Lookup'!D:F,3,0),Table2[[#This Row],[Manual Cat Value]])</f>
        <v>Exp - Insurance</v>
      </c>
      <c r="H9311" s="8" t="s">
        <v>17</v>
      </c>
      <c r="I9311" s="8"/>
      <c r="O9311" t="str">
        <f>LEFT(Table2[[#This Row],[Description]],75)</f>
        <v>Payment to American Family Insurance</v>
      </c>
    </row>
    <row r="9312" spans="1:15" hidden="1">
      <c r="A9312" s="25">
        <f>VALUE(YEAR(Table2[[#This Row],[Date]])&amp;TEXT(MONTH(Table2[[#This Row],[Date]]),"00"))</f>
        <v>202305</v>
      </c>
      <c r="B9312" s="6">
        <v>45062</v>
      </c>
      <c r="C9312" t="s">
        <v>4121</v>
      </c>
      <c r="D9312" t="s">
        <v>4357</v>
      </c>
      <c r="E9312">
        <v>6.6</v>
      </c>
      <c r="F9312" s="2" t="str">
        <f>IF(Table2[[#This Row],[Manual Cat Value]]="",VLOOKUP(Table2[[#This Row],[Description]],'Actuals Lookup'!D:F,3,0),Table2[[#This Row],[Manual Cat Value]])</f>
        <v>Delete</v>
      </c>
      <c r="H9312" s="8" t="s">
        <v>9</v>
      </c>
      <c r="I9312" s="8"/>
      <c r="O9312" t="str">
        <f>LEFT(Table2[[#This Row],[Description]],75)</f>
        <v>HMS Host International   Amsterdam    NL REF #7498750476H9MQT3S</v>
      </c>
    </row>
    <row r="9313" spans="1:15" hidden="1">
      <c r="A9313" s="25">
        <f>VALUE(YEAR(Table2[[#This Row],[Date]])&amp;TEXT(MONTH(Table2[[#This Row],[Date]]),"00"))</f>
        <v>202305</v>
      </c>
      <c r="B9313" s="6">
        <v>45062</v>
      </c>
      <c r="C9313" t="s">
        <v>4100</v>
      </c>
      <c r="D9313" t="s">
        <v>4358</v>
      </c>
      <c r="E9313">
        <v>42.23</v>
      </c>
      <c r="F9313" s="2" t="str">
        <f>IF(Table2[[#This Row],[Manual Cat Value]]="",VLOOKUP(Table2[[#This Row],[Description]],'Actuals Lookup'!D:F,3,0),Table2[[#This Row],[Manual Cat Value]])</f>
        <v>Exp - Entertainment</v>
      </c>
      <c r="H9313" s="8" t="s">
        <v>39</v>
      </c>
      <c r="I9313" s="8"/>
      <c r="O9313" t="str">
        <f>LEFT(Table2[[#This Row],[Description]],75)</f>
        <v>RAO MNHUNTFISH VEHICLE   SAINT PAUL   MN REF #24692164734RFXJSP</v>
      </c>
    </row>
    <row r="9314" spans="1:15" hidden="1">
      <c r="A9314" s="25">
        <f>VALUE(YEAR(Table2[[#This Row],[Date]])&amp;TEXT(MONTH(Table2[[#This Row],[Date]]),"00"))</f>
        <v>202305</v>
      </c>
      <c r="B9314" s="6">
        <v>45062</v>
      </c>
      <c r="C9314" t="s">
        <v>4112</v>
      </c>
      <c r="D9314" t="s">
        <v>4359</v>
      </c>
      <c r="E9314">
        <v>34.15</v>
      </c>
      <c r="F9314" s="2" t="str">
        <f>IF(Table2[[#This Row],[Manual Cat Value]]="",VLOOKUP(Table2[[#This Row],[Description]],'Actuals Lookup'!D:F,3,0),Table2[[#This Row],[Manual Cat Value]])</f>
        <v>Exp - Restaurants</v>
      </c>
      <c r="H9314" s="8" t="s">
        <v>25</v>
      </c>
      <c r="I9314" s="8"/>
      <c r="O9314" t="str">
        <f>LEFT(Table2[[#This Row],[Description]],75)</f>
        <v>Shop 138 /NL+ /FineFood LSchiphol AirpNL REF #7459579471SHKDH3Z</v>
      </c>
    </row>
    <row r="9315" spans="1:15" hidden="1">
      <c r="A9315" s="25">
        <f>VALUE(YEAR(Table2[[#This Row],[Date]])&amp;TEXT(MONTH(Table2[[#This Row],[Date]]),"00"))</f>
        <v>202305</v>
      </c>
      <c r="B9315" s="6">
        <v>45062</v>
      </c>
      <c r="C9315" t="s">
        <v>4360</v>
      </c>
      <c r="D9315" t="s">
        <v>1934</v>
      </c>
      <c r="E9315" s="53">
        <v>-6.47</v>
      </c>
      <c r="F9315" s="2" t="str">
        <f>IF(Table2[[#This Row],[Manual Cat Value]]="",VLOOKUP(Table2[[#This Row],[Description]],'Actuals Lookup'!D:F,3,0),Table2[[#This Row],[Manual Cat Value]])</f>
        <v>Exp - Shopping</v>
      </c>
      <c r="H9315" s="8" t="s">
        <v>36</v>
      </c>
      <c r="I9315" s="8"/>
      <c r="O9315" t="str">
        <f>LEFT(Table2[[#This Row],[Description]],75)</f>
        <v>Transfer from PayPal</v>
      </c>
    </row>
    <row r="9316" spans="1:15" hidden="1">
      <c r="A9316" s="25">
        <f>VALUE(YEAR(Table2[[#This Row],[Date]])&amp;TEXT(MONTH(Table2[[#This Row],[Date]]),"00"))</f>
        <v>202305</v>
      </c>
      <c r="B9316" s="6">
        <v>45062</v>
      </c>
      <c r="C9316" t="s">
        <v>4098</v>
      </c>
      <c r="D9316" t="s">
        <v>4361</v>
      </c>
      <c r="E9316">
        <v>8</v>
      </c>
      <c r="F9316" s="2" t="str">
        <f>IF(Table2[[#This Row],[Manual Cat Value]]="",VLOOKUP(Table2[[#This Row],[Description]],'Actuals Lookup'!D:F,3,0),Table2[[#This Row],[Manual Cat Value]])</f>
        <v>Exp - Utilities</v>
      </c>
      <c r="H9316" s="8" t="s">
        <v>6</v>
      </c>
      <c r="I9316" s="8"/>
      <c r="O9316" t="str">
        <f>LEFT(Table2[[#This Row],[Description]],75)</f>
        <v>WSJ/BARRONS SUBSCRIPTI   800-568-7625 NJ REF #24692164835A1E9QS</v>
      </c>
    </row>
    <row r="9317" spans="1:15" hidden="1">
      <c r="A9317" s="25">
        <f>VALUE(YEAR(Table2[[#This Row],[Date]])&amp;TEXT(MONTH(Table2[[#This Row],[Date]]),"00"))</f>
        <v>202305</v>
      </c>
      <c r="B9317" s="6">
        <v>45063</v>
      </c>
      <c r="C9317" t="s">
        <v>4123</v>
      </c>
      <c r="D9317" t="s">
        <v>4362</v>
      </c>
      <c r="E9317">
        <v>17.170000000000002</v>
      </c>
      <c r="F9317" s="2" t="str">
        <f>IF(Table2[[#This Row],[Manual Cat Value]]="",VLOOKUP(Table2[[#This Row],[Description]],'Actuals Lookup'!D:F,3,0),Table2[[#This Row],[Manual Cat Value]])</f>
        <v>Exp - Amazon</v>
      </c>
      <c r="H9317" s="8" t="s">
        <v>37</v>
      </c>
      <c r="I9317" s="8"/>
      <c r="O9317" t="str">
        <f>LEFT(Table2[[#This Row],[Description]],75)</f>
        <v>AMZN Mktp US*2H2KH4JY3   Amzn.com/billWA REF #24692164835RP0855</v>
      </c>
    </row>
    <row r="9318" spans="1:15" hidden="1">
      <c r="A9318" s="25">
        <f>VALUE(YEAR(Table2[[#This Row],[Date]])&amp;TEXT(MONTH(Table2[[#This Row],[Date]]),"00"))</f>
        <v>202305</v>
      </c>
      <c r="B9318" s="6">
        <v>45063</v>
      </c>
      <c r="C9318" t="s">
        <v>4363</v>
      </c>
      <c r="D9318" t="s">
        <v>4364</v>
      </c>
      <c r="E9318" s="53">
        <v>-3334.58</v>
      </c>
      <c r="F9318" s="2" t="str">
        <f>IF(Table2[[#This Row],[Manual Cat Value]]="",VLOOKUP(Table2[[#This Row],[Description]],'Actuals Lookup'!D:F,3,0),Table2[[#This Row],[Manual Cat Value]])</f>
        <v>Inc - Jeff</v>
      </c>
      <c r="H9318" s="8" t="s">
        <v>63</v>
      </c>
      <c r="I9318" s="8"/>
      <c r="O9318" t="str">
        <f>LEFT(Table2[[#This Row],[Description]],75)</f>
        <v>Deposit ACH EMPYREAN SOLUTIO TYPE: XX9000 ID: XX3620 CO: EMPYREAN SOLUTIO E</v>
      </c>
    </row>
    <row r="9319" spans="1:15" hidden="1">
      <c r="A9319" s="25">
        <f>VALUE(YEAR(Table2[[#This Row],[Date]])&amp;TEXT(MONTH(Table2[[#This Row],[Date]]),"00"))</f>
        <v>202305</v>
      </c>
      <c r="B9319" s="6">
        <v>45063</v>
      </c>
      <c r="C9319" t="s">
        <v>4127</v>
      </c>
      <c r="D9319" t="s">
        <v>4365</v>
      </c>
      <c r="E9319">
        <v>-35.799999999999997</v>
      </c>
      <c r="F9319" s="2" t="str">
        <f>IF(Table2[[#This Row],[Manual Cat Value]]="",VLOOKUP(Table2[[#This Row],[Description]],'Actuals Lookup'!D:F,3,0),Table2[[#This Row],[Manual Cat Value]])</f>
        <v>Exp - Shopping</v>
      </c>
      <c r="H9319" s="8" t="s">
        <v>36</v>
      </c>
      <c r="I9319" s="8"/>
      <c r="O9319" t="str">
        <f>LEFT(Table2[[#This Row],[Description]],75)</f>
        <v>EVEREVE - 8 WAYZATA  MN           CREDIT REF #742697947EJFBZ5NB</v>
      </c>
    </row>
    <row r="9320" spans="1:15" hidden="1">
      <c r="A9320" s="25">
        <f>VALUE(YEAR(Table2[[#This Row],[Date]])&amp;TEXT(MONTH(Table2[[#This Row],[Date]]),"00"))</f>
        <v>202305</v>
      </c>
      <c r="B9320" s="6">
        <v>45063</v>
      </c>
      <c r="C9320" t="s">
        <v>4125</v>
      </c>
      <c r="D9320" t="s">
        <v>4366</v>
      </c>
      <c r="E9320">
        <v>46.5</v>
      </c>
      <c r="F9320" s="2" t="str">
        <f>IF(Table2[[#This Row],[Manual Cat Value]]="",VLOOKUP(Table2[[#This Row],[Description]],'Actuals Lookup'!D:F,3,0),Table2[[#This Row],[Manual Cat Value]])</f>
        <v>Exp - Day Care</v>
      </c>
      <c r="H9320" s="8" t="s">
        <v>19</v>
      </c>
      <c r="I9320" s="8"/>
      <c r="O9320" t="str">
        <f>LEFT(Table2[[#This Row],[Description]],75)</f>
        <v>RVT*MTKA PUB SCHLS-WEB   952-4015000  MN REF #2490641485244S1A0</v>
      </c>
    </row>
    <row r="9321" spans="1:15" hidden="1">
      <c r="A9321" s="25">
        <f>VALUE(YEAR(Table2[[#This Row],[Date]])&amp;TEXT(MONTH(Table2[[#This Row],[Date]]),"00"))</f>
        <v>202305</v>
      </c>
      <c r="B9321" s="6">
        <v>45063</v>
      </c>
      <c r="C9321" t="s">
        <v>4129</v>
      </c>
      <c r="D9321" t="s">
        <v>4367</v>
      </c>
      <c r="E9321">
        <v>12.84</v>
      </c>
      <c r="F9321" s="2" t="str">
        <f>IF(Table2[[#This Row],[Manual Cat Value]]="",VLOOKUP(Table2[[#This Row],[Description]],'Actuals Lookup'!D:F,3,0),Table2[[#This Row],[Manual Cat Value]])</f>
        <v>Exp - Utilities</v>
      </c>
      <c r="H9321" s="8" t="s">
        <v>6</v>
      </c>
      <c r="I9321" s="8"/>
      <c r="O9321" t="str">
        <f>LEFT(Table2[[#This Row],[Description]],75)</f>
        <v>THE HOME DEPOT #2825     CHASKA       MN REF #24943014809FY88RX</v>
      </c>
    </row>
    <row r="9322" spans="1:15" hidden="1">
      <c r="A9322" s="25">
        <f>VALUE(YEAR(Table2[[#This Row],[Date]])&amp;TEXT(MONTH(Table2[[#This Row],[Date]]),"00"))</f>
        <v>202305</v>
      </c>
      <c r="B9322" s="6">
        <v>45063</v>
      </c>
      <c r="C9322" t="s">
        <v>4368</v>
      </c>
      <c r="D9322" t="s">
        <v>1955</v>
      </c>
      <c r="E9322" s="53">
        <v>12.95</v>
      </c>
      <c r="F9322" s="2" t="str">
        <f>IF(Table2[[#This Row],[Manual Cat Value]]="",VLOOKUP(Table2[[#This Row],[Description]],'Actuals Lookup'!D:F,3,0),Table2[[#This Row],[Manual Cat Value]])</f>
        <v>Exp - Shopping</v>
      </c>
      <c r="H9322" s="8" t="s">
        <v>36</v>
      </c>
      <c r="I9322" s="8"/>
      <c r="O9322" t="str">
        <f>LEFT(Table2[[#This Row],[Description]],75)</f>
        <v>Transfer to PayPal</v>
      </c>
    </row>
    <row r="9323" spans="1:15" hidden="1">
      <c r="A9323" s="25">
        <f>VALUE(YEAR(Table2[[#This Row],[Date]])&amp;TEXT(MONTH(Table2[[#This Row],[Date]]),"00"))</f>
        <v>202305</v>
      </c>
      <c r="B9323" s="6">
        <v>45063</v>
      </c>
      <c r="C9323" t="s">
        <v>4369</v>
      </c>
      <c r="D9323" t="s">
        <v>1958</v>
      </c>
      <c r="E9323" s="53">
        <v>30</v>
      </c>
      <c r="F9323" s="2" t="str">
        <f>IF(Table2[[#This Row],[Manual Cat Value]]="",VLOOKUP(Table2[[#This Row],[Description]],'Actuals Lookup'!D:F,3,0),Table2[[#This Row],[Manual Cat Value]])</f>
        <v>Exp - Shopping</v>
      </c>
      <c r="H9323" s="8" t="s">
        <v>36</v>
      </c>
      <c r="I9323" s="8"/>
      <c r="O9323" t="str">
        <f>LEFT(Table2[[#This Row],[Description]],75)</f>
        <v>Transfer to Venmo</v>
      </c>
    </row>
    <row r="9324" spans="1:15" hidden="1">
      <c r="A9324" s="25">
        <f>VALUE(YEAR(Table2[[#This Row],[Date]])&amp;TEXT(MONTH(Table2[[#This Row],[Date]]),"00"))</f>
        <v>202305</v>
      </c>
      <c r="B9324" s="6">
        <v>45063</v>
      </c>
      <c r="C9324" t="s">
        <v>4370</v>
      </c>
      <c r="D9324" t="s">
        <v>1458</v>
      </c>
      <c r="E9324" s="53">
        <v>1315.63</v>
      </c>
      <c r="F9324" s="2" t="str">
        <f>IF(Table2[[#This Row],[Manual Cat Value]]="",VLOOKUP(Table2[[#This Row],[Description]],'Actuals Lookup'!D:F,3,0),Table2[[#This Row],[Manual Cat Value]])</f>
        <v>Delete</v>
      </c>
      <c r="H9324" s="8" t="s">
        <v>9</v>
      </c>
      <c r="I9324" s="8"/>
      <c r="O9324" t="str">
        <f>LEFT(Table2[[#This Row],[Description]],75)</f>
        <v>Payment to American Express</v>
      </c>
    </row>
    <row r="9325" spans="1:15" hidden="1">
      <c r="A9325" s="25">
        <f>VALUE(YEAR(Table2[[#This Row],[Date]])&amp;TEXT(MONTH(Table2[[#This Row],[Date]]),"00"))</f>
        <v>202305</v>
      </c>
      <c r="B9325" s="6">
        <v>45063</v>
      </c>
      <c r="C9325" t="s">
        <v>4371</v>
      </c>
      <c r="D9325" t="s">
        <v>1464</v>
      </c>
      <c r="E9325" s="53">
        <v>369.12</v>
      </c>
      <c r="F9325" s="2" t="str">
        <f>IF(Table2[[#This Row],[Manual Cat Value]]="",VLOOKUP(Table2[[#This Row],[Description]],'Actuals Lookup'!D:F,3,0),Table2[[#This Row],[Manual Cat Value]])</f>
        <v>Delete</v>
      </c>
      <c r="H9325" s="8" t="s">
        <v>9</v>
      </c>
      <c r="I9325" s="8"/>
      <c r="O9325" t="str">
        <f>LEFT(Table2[[#This Row],[Description]],75)</f>
        <v>Payment to Discover Bank</v>
      </c>
    </row>
    <row r="9326" spans="1:15" hidden="1">
      <c r="A9326" s="25">
        <f>VALUE(YEAR(Table2[[#This Row],[Date]])&amp;TEXT(MONTH(Table2[[#This Row],[Date]]),"00"))</f>
        <v>202305</v>
      </c>
      <c r="B9326" s="6">
        <v>45064</v>
      </c>
      <c r="C9326" t="s">
        <v>2712</v>
      </c>
      <c r="D9326" t="s">
        <v>4283</v>
      </c>
      <c r="E9326" s="53">
        <v>-156.22</v>
      </c>
      <c r="F9326" s="2" t="str">
        <f>IF(Table2[[#This Row],[Manual Cat Value]]="",VLOOKUP(Table2[[#This Row],[Description]],'Actuals Lookup'!D:F,3,0),Table2[[#This Row],[Manual Cat Value]])</f>
        <v>Inc - Britney</v>
      </c>
      <c r="H9326" s="8" t="s">
        <v>65</v>
      </c>
      <c r="I9326" s="8"/>
      <c r="O9326" t="str">
        <f>LEFT(Table2[[#This Row],[Description]],75)</f>
        <v>Cargill Deposit</v>
      </c>
    </row>
    <row r="9327" spans="1:15" hidden="1">
      <c r="A9327" s="25">
        <f>VALUE(YEAR(Table2[[#This Row],[Date]])&amp;TEXT(MONTH(Table2[[#This Row],[Date]]),"00"))</f>
        <v>202305</v>
      </c>
      <c r="B9327" s="6">
        <v>45064</v>
      </c>
      <c r="C9327" t="s">
        <v>4145</v>
      </c>
      <c r="D9327" t="s">
        <v>4372</v>
      </c>
      <c r="E9327">
        <v>16.36</v>
      </c>
      <c r="F9327" s="2" t="str">
        <f>IF(Table2[[#This Row],[Manual Cat Value]]="",VLOOKUP(Table2[[#This Row],[Description]],'Actuals Lookup'!D:F,3,0),Table2[[#This Row],[Manual Cat Value]])</f>
        <v>Delete</v>
      </c>
      <c r="H9327" s="8" t="s">
        <v>9</v>
      </c>
      <c r="I9327" s="8"/>
      <c r="O9327" t="str">
        <f>LEFT(Table2[[#This Row],[Description]],75)</f>
        <v>ECOS MARINA MARKET       CORK         IE REF #74007464A62B2NRB5</v>
      </c>
    </row>
    <row r="9328" spans="1:15" hidden="1">
      <c r="A9328" s="25">
        <f>VALUE(YEAR(Table2[[#This Row],[Date]])&amp;TEXT(MONTH(Table2[[#This Row],[Date]]),"00"))</f>
        <v>202305</v>
      </c>
      <c r="B9328" s="6">
        <v>45064</v>
      </c>
      <c r="C9328" t="s">
        <v>4135</v>
      </c>
      <c r="D9328" t="s">
        <v>4373</v>
      </c>
      <c r="E9328">
        <v>63.86</v>
      </c>
      <c r="F9328" s="2" t="str">
        <f>IF(Table2[[#This Row],[Manual Cat Value]]="",VLOOKUP(Table2[[#This Row],[Description]],'Actuals Lookup'!D:F,3,0),Table2[[#This Row],[Manual Cat Value]])</f>
        <v>Exp - Gifts</v>
      </c>
      <c r="H9328" s="8" t="s">
        <v>44</v>
      </c>
      <c r="I9328" s="8"/>
      <c r="O9328" t="str">
        <f>LEFT(Table2[[#This Row],[Description]],75)</f>
        <v>EDIBLE ARRANGEMENTS      ATLANTA      GA REF #24943004A2DZD3KRX</v>
      </c>
    </row>
    <row r="9329" spans="1:15" hidden="1">
      <c r="A9329" s="25">
        <f>VALUE(YEAR(Table2[[#This Row],[Date]])&amp;TEXT(MONTH(Table2[[#This Row],[Date]]),"00"))</f>
        <v>202305</v>
      </c>
      <c r="B9329" s="6">
        <v>45064</v>
      </c>
      <c r="C9329" t="s">
        <v>4137</v>
      </c>
      <c r="D9329" t="s">
        <v>4374</v>
      </c>
      <c r="E9329">
        <v>10.14</v>
      </c>
      <c r="F9329" s="2" t="str">
        <f>IF(Table2[[#This Row],[Manual Cat Value]]="",VLOOKUP(Table2[[#This Row],[Description]],'Actuals Lookup'!D:F,3,0),Table2[[#This Row],[Manual Cat Value]])</f>
        <v>Delete</v>
      </c>
      <c r="H9329" s="8" t="s">
        <v>9</v>
      </c>
      <c r="I9329" s="8"/>
      <c r="O9329" t="str">
        <f>LEFT(Table2[[#This Row],[Description]],75)</f>
        <v>Fly Coffee               Cork         IE REF #243474349001Y4DDL</v>
      </c>
    </row>
    <row r="9330" spans="1:15" hidden="1">
      <c r="A9330" s="25">
        <f>VALUE(YEAR(Table2[[#This Row],[Date]])&amp;TEXT(MONTH(Table2[[#This Row],[Date]]),"00"))</f>
        <v>202305</v>
      </c>
      <c r="B9330" s="6">
        <v>45064</v>
      </c>
      <c r="C9330" t="s">
        <v>4375</v>
      </c>
      <c r="D9330" t="s">
        <v>4376</v>
      </c>
      <c r="E9330" s="53">
        <v>500</v>
      </c>
      <c r="F9330" s="2" t="str">
        <f>IF(Table2[[#This Row],[Manual Cat Value]]="",VLOOKUP(Table2[[#This Row],[Description]],'Actuals Lookup'!D:F,3,0),Table2[[#This Row],[Manual Cat Value]])</f>
        <v>Delete</v>
      </c>
      <c r="H9330" s="8" t="s">
        <v>9</v>
      </c>
      <c r="I9330" s="8"/>
      <c r="O9330" t="str">
        <f>LEFT(Table2[[#This Row],[Description]],75)</f>
        <v>Withdrawal ACH MN DIR ACH TYPE: CONTRIB ID: XX7162 CO: MN DIR ACH NAME: XX2</v>
      </c>
    </row>
    <row r="9331" spans="1:15" hidden="1">
      <c r="A9331" s="25">
        <f>VALUE(YEAR(Table2[[#This Row],[Date]])&amp;TEXT(MONTH(Table2[[#This Row],[Date]]),"00"))</f>
        <v>202305</v>
      </c>
      <c r="B9331" s="6">
        <v>45065</v>
      </c>
      <c r="C9331" t="s">
        <v>4152</v>
      </c>
      <c r="D9331" t="s">
        <v>4377</v>
      </c>
      <c r="E9331">
        <v>21.05</v>
      </c>
      <c r="F9331" s="2" t="str">
        <f>IF(Table2[[#This Row],[Manual Cat Value]]="",VLOOKUP(Table2[[#This Row],[Description]],'Actuals Lookup'!D:F,3,0),Table2[[#This Row],[Manual Cat Value]])</f>
        <v>Delete</v>
      </c>
      <c r="H9331" s="8" t="s">
        <v>9</v>
      </c>
      <c r="I9331" s="8"/>
      <c r="O9331" t="str">
        <f>LEFT(Table2[[#This Row],[Description]],75)</f>
        <v>Fly Coffee               Cork         IE REF #24347434A001W8XPH</v>
      </c>
    </row>
    <row r="9332" spans="1:15" hidden="1">
      <c r="A9332" s="25">
        <f>VALUE(YEAR(Table2[[#This Row],[Date]])&amp;TEXT(MONTH(Table2[[#This Row],[Date]]),"00"))</f>
        <v>202305</v>
      </c>
      <c r="B9332" s="6">
        <v>45065</v>
      </c>
      <c r="C9332" t="s">
        <v>4141</v>
      </c>
      <c r="D9332" t="s">
        <v>4378</v>
      </c>
      <c r="E9332">
        <v>84.22</v>
      </c>
      <c r="F9332" s="2" t="str">
        <f>IF(Table2[[#This Row],[Manual Cat Value]]="",VLOOKUP(Table2[[#This Row],[Description]],'Actuals Lookup'!D:F,3,0),Table2[[#This Row],[Manual Cat Value]])</f>
        <v>Exp - Shopping</v>
      </c>
      <c r="H9332" s="8" t="s">
        <v>36</v>
      </c>
      <c r="I9332" s="8"/>
      <c r="O9332" t="str">
        <f>LEFT(Table2[[#This Row],[Description]],75)</f>
        <v>PERSONALIZATION MALL     630-910-6000 IL REF #24692164B2Y5EPARN</v>
      </c>
    </row>
    <row r="9333" spans="1:15" hidden="1">
      <c r="A9333" s="25">
        <f>VALUE(YEAR(Table2[[#This Row],[Date]])&amp;TEXT(MONTH(Table2[[#This Row],[Date]]),"00"))</f>
        <v>202305</v>
      </c>
      <c r="B9333" s="6">
        <v>45065</v>
      </c>
      <c r="C9333" t="s">
        <v>4143</v>
      </c>
      <c r="D9333" t="s">
        <v>4379</v>
      </c>
      <c r="E9333">
        <v>66.81</v>
      </c>
      <c r="F9333" s="2" t="str">
        <f>IF(Table2[[#This Row],[Manual Cat Value]]="",VLOOKUP(Table2[[#This Row],[Description]],'Actuals Lookup'!D:F,3,0),Table2[[#This Row],[Manual Cat Value]])</f>
        <v>Exp - Shopping</v>
      </c>
      <c r="H9333" s="8" t="s">
        <v>36</v>
      </c>
      <c r="I9333" s="8"/>
      <c r="O9333" t="str">
        <f>LEFT(Table2[[#This Row],[Description]],75)</f>
        <v>SHUTTERFLY INC.         650-610-5200 CA REF #24492154AMN3T4R8F</v>
      </c>
    </row>
    <row r="9334" spans="1:15" hidden="1">
      <c r="A9334" s="25">
        <f>VALUE(YEAR(Table2[[#This Row],[Date]])&amp;TEXT(MONTH(Table2[[#This Row],[Date]]),"00"))</f>
        <v>202305</v>
      </c>
      <c r="B9334" s="6">
        <v>45065</v>
      </c>
      <c r="C9334" t="s">
        <v>4380</v>
      </c>
      <c r="D9334" t="s">
        <v>1955</v>
      </c>
      <c r="E9334" s="53">
        <v>2.99</v>
      </c>
      <c r="F9334" s="2" t="str">
        <f>IF(Table2[[#This Row],[Manual Cat Value]]="",VLOOKUP(Table2[[#This Row],[Description]],'Actuals Lookup'!D:F,3,0),Table2[[#This Row],[Manual Cat Value]])</f>
        <v>Exp - Shopping</v>
      </c>
      <c r="H9334" s="8" t="s">
        <v>36</v>
      </c>
      <c r="I9334" s="8"/>
      <c r="O9334" t="str">
        <f>LEFT(Table2[[#This Row],[Description]],75)</f>
        <v>Transfer to PayPal</v>
      </c>
    </row>
    <row r="9335" spans="1:15" hidden="1">
      <c r="A9335" s="25">
        <f>VALUE(YEAR(Table2[[#This Row],[Date]])&amp;TEXT(MONTH(Table2[[#This Row],[Date]]),"00"))</f>
        <v>202305</v>
      </c>
      <c r="B9335" s="6">
        <v>45065</v>
      </c>
      <c r="C9335" t="s">
        <v>4381</v>
      </c>
      <c r="D9335" t="s">
        <v>1958</v>
      </c>
      <c r="E9335" s="53">
        <v>550</v>
      </c>
      <c r="F9335" s="2" t="str">
        <f>IF(Table2[[#This Row],[Manual Cat Value]]="",VLOOKUP(Table2[[#This Row],[Description]],'Actuals Lookup'!D:F,3,0),Table2[[#This Row],[Manual Cat Value]])</f>
        <v>Exp - Shopping</v>
      </c>
      <c r="H9335" s="8" t="s">
        <v>36</v>
      </c>
      <c r="I9335" s="8"/>
      <c r="O9335" t="str">
        <f>LEFT(Table2[[#This Row],[Description]],75)</f>
        <v>Transfer to Venmo</v>
      </c>
    </row>
    <row r="9336" spans="1:15" hidden="1">
      <c r="A9336" s="25">
        <f>VALUE(YEAR(Table2[[#This Row],[Date]])&amp;TEXT(MONTH(Table2[[#This Row],[Date]]),"00"))</f>
        <v>202305</v>
      </c>
      <c r="B9336" s="6">
        <v>45065</v>
      </c>
      <c r="C9336" t="s">
        <v>4382</v>
      </c>
      <c r="D9336" t="s">
        <v>4383</v>
      </c>
      <c r="E9336" s="53">
        <v>330</v>
      </c>
      <c r="F9336" s="2" t="str">
        <f>IF(Table2[[#This Row],[Manual Cat Value]]="",VLOOKUP(Table2[[#This Row],[Description]],'Actuals Lookup'!D:F,3,0),Table2[[#This Row],[Manual Cat Value]])</f>
        <v>Exp - Day Care</v>
      </c>
      <c r="H9336" s="8" t="s">
        <v>19</v>
      </c>
      <c r="I9336" s="8"/>
      <c r="O9336" t="str">
        <f>LEFT(Table2[[#This Row],[Description]],75)</f>
        <v>Withdrawal ACH MHCHILDCARELLC TYPE: DUES ID: XX8198 CO: MHCHILDCARELLC Entr</v>
      </c>
    </row>
    <row r="9337" spans="1:15" hidden="1">
      <c r="A9337" s="25">
        <f>VALUE(YEAR(Table2[[#This Row],[Date]])&amp;TEXT(MONTH(Table2[[#This Row],[Date]]),"00"))</f>
        <v>202305</v>
      </c>
      <c r="B9337" s="6">
        <v>45065</v>
      </c>
      <c r="C9337" t="s">
        <v>4150</v>
      </c>
      <c r="D9337" t="s">
        <v>4384</v>
      </c>
      <c r="E9337">
        <v>259.75</v>
      </c>
      <c r="F9337" s="2" t="str">
        <f>IF(Table2[[#This Row],[Manual Cat Value]]="",VLOOKUP(Table2[[#This Row],[Description]],'Actuals Lookup'!D:F,3,0),Table2[[#This Row],[Manual Cat Value]])</f>
        <v>Exp - Gifts</v>
      </c>
      <c r="H9337" s="8" t="s">
        <v>44</v>
      </c>
      <c r="I9337" s="8"/>
      <c r="O9337" t="str">
        <f>LEFT(Table2[[#This Row],[Description]],75)</f>
        <v>TWINS MOBILE PAYMENT     800-352-0212 CA REF #24733094AHGTW1L4P</v>
      </c>
    </row>
    <row r="9338" spans="1:15" hidden="1">
      <c r="A9338" s="25">
        <f>VALUE(YEAR(Table2[[#This Row],[Date]])&amp;TEXT(MONTH(Table2[[#This Row],[Date]]),"00"))</f>
        <v>202305</v>
      </c>
      <c r="B9338" s="6">
        <v>45067</v>
      </c>
      <c r="C9338" t="s">
        <v>4156</v>
      </c>
      <c r="D9338" t="s">
        <v>4385</v>
      </c>
      <c r="E9338">
        <v>31.8</v>
      </c>
      <c r="F9338" s="2" t="str">
        <f>IF(Table2[[#This Row],[Manual Cat Value]]="",VLOOKUP(Table2[[#This Row],[Description]],'Actuals Lookup'!D:F,3,0),Table2[[#This Row],[Manual Cat Value]])</f>
        <v>Exp - Amazon</v>
      </c>
      <c r="H9338" s="8" t="s">
        <v>37</v>
      </c>
      <c r="I9338" s="8"/>
      <c r="O9338" t="str">
        <f>LEFT(Table2[[#This Row],[Description]],75)</f>
        <v>AMAZON.COM*WR7842693 AMZNAMZN.COM/BILLWA REF #24431064Q2DYMWMKX</v>
      </c>
    </row>
    <row r="9339" spans="1:15" hidden="1">
      <c r="A9339" s="25">
        <f>VALUE(YEAR(Table2[[#This Row],[Date]])&amp;TEXT(MONTH(Table2[[#This Row],[Date]]),"00"))</f>
        <v>202305</v>
      </c>
      <c r="B9339" s="6">
        <v>45067</v>
      </c>
      <c r="C9339" t="s">
        <v>4167</v>
      </c>
      <c r="D9339" t="s">
        <v>4386</v>
      </c>
      <c r="E9339">
        <v>23.64</v>
      </c>
      <c r="F9339" s="2" t="str">
        <f>IF(Table2[[#This Row],[Manual Cat Value]]="",VLOOKUP(Table2[[#This Row],[Description]],'Actuals Lookup'!D:F,3,0),Table2[[#This Row],[Manual Cat Value]])</f>
        <v>Exp - Groceries</v>
      </c>
      <c r="H9339" s="8" t="s">
        <v>27</v>
      </c>
      <c r="I9339" s="8"/>
      <c r="O9339" t="str">
        <f>LEFT(Table2[[#This Row],[Description]],75)</f>
        <v>COSTCO WHSE #0783        EDEN PRAIRIE MN REF #24943004DS4AHG2MT</v>
      </c>
    </row>
    <row r="9340" spans="1:15" hidden="1">
      <c r="A9340" s="25">
        <f>VALUE(YEAR(Table2[[#This Row],[Date]])&amp;TEXT(MONTH(Table2[[#This Row],[Date]]),"00"))</f>
        <v>202305</v>
      </c>
      <c r="B9340" s="6">
        <v>45067</v>
      </c>
      <c r="C9340" t="s">
        <v>4174</v>
      </c>
      <c r="D9340" t="s">
        <v>4387</v>
      </c>
      <c r="E9340">
        <v>-322.2</v>
      </c>
      <c r="F9340" s="2" t="str">
        <f>IF(Table2[[#This Row],[Manual Cat Value]]="",VLOOKUP(Table2[[#This Row],[Description]],'Actuals Lookup'!D:F,3,0),Table2[[#This Row],[Manual Cat Value]])</f>
        <v>Exp - Shopping</v>
      </c>
      <c r="H9340" s="8" t="s">
        <v>36</v>
      </c>
      <c r="I9340" s="8"/>
      <c r="O9340" t="str">
        <f>LEFT(Table2[[#This Row],[Description]],75)</f>
        <v>EVEREVE - 60             HOPKINS      MN REF #74269794B2XKVSHNB</v>
      </c>
    </row>
    <row r="9341" spans="1:15" hidden="1">
      <c r="A9341" s="25">
        <f>VALUE(YEAR(Table2[[#This Row],[Date]])&amp;TEXT(MONTH(Table2[[#This Row],[Date]]),"00"))</f>
        <v>202305</v>
      </c>
      <c r="B9341" s="6">
        <v>45067</v>
      </c>
      <c r="C9341" t="s">
        <v>4180</v>
      </c>
      <c r="D9341" t="s">
        <v>4388</v>
      </c>
      <c r="E9341">
        <v>-63</v>
      </c>
      <c r="F9341" s="2" t="str">
        <f>IF(Table2[[#This Row],[Manual Cat Value]]="",VLOOKUP(Table2[[#This Row],[Description]],'Actuals Lookup'!D:F,3,0),Table2[[#This Row],[Manual Cat Value]])</f>
        <v>Exp - Shopping</v>
      </c>
      <c r="H9341" s="8" t="s">
        <v>36</v>
      </c>
      <c r="I9341" s="8"/>
      <c r="O9341" t="str">
        <f>LEFT(Table2[[#This Row],[Description]],75)</f>
        <v>EVEREVE - 60             HOPKINS      MN REF #74269794B2XKVT3KN</v>
      </c>
    </row>
    <row r="9342" spans="1:15" hidden="1">
      <c r="A9342" s="25">
        <f>VALUE(YEAR(Table2[[#This Row],[Date]])&amp;TEXT(MONTH(Table2[[#This Row],[Date]]),"00"))</f>
        <v>202305</v>
      </c>
      <c r="B9342" s="6">
        <v>45067</v>
      </c>
      <c r="C9342" t="s">
        <v>4164</v>
      </c>
      <c r="D9342" t="s">
        <v>4389</v>
      </c>
      <c r="E9342">
        <v>26</v>
      </c>
      <c r="F9342" s="2" t="str">
        <f>IF(Table2[[#This Row],[Manual Cat Value]]="",VLOOKUP(Table2[[#This Row],[Description]],'Actuals Lookup'!D:F,3,0),Table2[[#This Row],[Manual Cat Value]])</f>
        <v>Exp - Day Care</v>
      </c>
      <c r="H9342" s="8" t="s">
        <v>19</v>
      </c>
      <c r="I9342" s="8"/>
      <c r="O9342" t="str">
        <f>LEFT(Table2[[#This Row],[Description]],75)</f>
        <v>Kids Hair - MT           Minnetonka   MN REF #24793384Q01Q0GG5D</v>
      </c>
    </row>
    <row r="9343" spans="1:15" hidden="1">
      <c r="A9343" s="25">
        <f>VALUE(YEAR(Table2[[#This Row],[Date]])&amp;TEXT(MONTH(Table2[[#This Row],[Date]]),"00"))</f>
        <v>202305</v>
      </c>
      <c r="B9343" s="6">
        <v>45067</v>
      </c>
      <c r="C9343" t="s">
        <v>4169</v>
      </c>
      <c r="D9343" t="s">
        <v>4390</v>
      </c>
      <c r="E9343">
        <v>48.71</v>
      </c>
      <c r="F9343" s="2" t="str">
        <f>IF(Table2[[#This Row],[Manual Cat Value]]="",VLOOKUP(Table2[[#This Row],[Description]],'Actuals Lookup'!D:F,3,0),Table2[[#This Row],[Manual Cat Value]])</f>
        <v>Exp - Transportation</v>
      </c>
      <c r="H9343" s="8" t="s">
        <v>22</v>
      </c>
      <c r="I9343" s="8"/>
      <c r="O9343" t="str">
        <f>LEFT(Table2[[#This Row],[Description]],75)</f>
        <v>KWIK TRIP  40200004028   CHANHASSEN   MN REF #24164074BL3HFSD27</v>
      </c>
    </row>
    <row r="9344" spans="1:15" hidden="1">
      <c r="A9344" s="25">
        <f>VALUE(YEAR(Table2[[#This Row],[Date]])&amp;TEXT(MONTH(Table2[[#This Row],[Date]]),"00"))</f>
        <v>202305</v>
      </c>
      <c r="B9344" s="6">
        <v>45067</v>
      </c>
      <c r="C9344" t="s">
        <v>4148</v>
      </c>
      <c r="D9344" t="s">
        <v>4391</v>
      </c>
      <c r="E9344">
        <v>16.73</v>
      </c>
      <c r="F9344" s="2" t="str">
        <f>IF(Table2[[#This Row],[Manual Cat Value]]="",VLOOKUP(Table2[[#This Row],[Description]],'Actuals Lookup'!D:F,3,0),Table2[[#This Row],[Manual Cat Value]])</f>
        <v>Exp - Utilities</v>
      </c>
      <c r="H9344" s="8" t="s">
        <v>6</v>
      </c>
      <c r="I9344" s="8"/>
      <c r="O9344" t="str">
        <f>LEFT(Table2[[#This Row],[Description]],75)</f>
        <v>Netflix                  1 8445052993 CA REF #24002844Q00F97ZZ2</v>
      </c>
    </row>
    <row r="9345" spans="1:15" hidden="1">
      <c r="A9345" s="25">
        <f>VALUE(YEAR(Table2[[#This Row],[Date]])&amp;TEXT(MONTH(Table2[[#This Row],[Date]]),"00"))</f>
        <v>202305</v>
      </c>
      <c r="B9345" s="6">
        <v>45067</v>
      </c>
      <c r="C9345" t="s">
        <v>4158</v>
      </c>
      <c r="D9345" t="s">
        <v>4392</v>
      </c>
      <c r="E9345">
        <v>85.04</v>
      </c>
      <c r="F9345" s="2" t="str">
        <f>IF(Table2[[#This Row],[Manual Cat Value]]="",VLOOKUP(Table2[[#This Row],[Description]],'Actuals Lookup'!D:F,3,0),Table2[[#This Row],[Manual Cat Value]])</f>
        <v>Delete</v>
      </c>
      <c r="H9345" s="8" t="s">
        <v>9</v>
      </c>
      <c r="I9345" s="8"/>
      <c r="O9345" t="str">
        <f>LEFT(Table2[[#This Row],[Description]],75)</f>
        <v>SQ *SAMUEL RASTA TAXI SERExcelsior    MN REF #24692164B2YNANY5X</v>
      </c>
    </row>
    <row r="9346" spans="1:15" hidden="1">
      <c r="A9346" s="25">
        <f>VALUE(YEAR(Table2[[#This Row],[Date]])&amp;TEXT(MONTH(Table2[[#This Row],[Date]]),"00"))</f>
        <v>202305</v>
      </c>
      <c r="B9346" s="6">
        <v>45067</v>
      </c>
      <c r="C9346" t="s">
        <v>4176</v>
      </c>
      <c r="D9346" t="s">
        <v>4393</v>
      </c>
      <c r="E9346">
        <v>21.48</v>
      </c>
      <c r="F9346" s="2" t="str">
        <f>IF(Table2[[#This Row],[Manual Cat Value]]="",VLOOKUP(Table2[[#This Row],[Description]],'Actuals Lookup'!D:F,3,0),Table2[[#This Row],[Manual Cat Value]])</f>
        <v>Delete</v>
      </c>
      <c r="H9346" s="8" t="s">
        <v>9</v>
      </c>
      <c r="I9346" s="8"/>
      <c r="O9346" t="str">
        <f>LEFT(Table2[[#This Row],[Description]],75)</f>
        <v>SUMUP  *IMRAN TAXI       CORK         IE REF #74878364B999BZP68</v>
      </c>
    </row>
    <row r="9347" spans="1:15" hidden="1">
      <c r="A9347" s="25">
        <f>VALUE(YEAR(Table2[[#This Row],[Date]])&amp;TEXT(MONTH(Table2[[#This Row],[Date]]),"00"))</f>
        <v>202305</v>
      </c>
      <c r="B9347" s="6">
        <v>45067</v>
      </c>
      <c r="C9347" t="s">
        <v>4172</v>
      </c>
      <c r="D9347" t="s">
        <v>4394</v>
      </c>
      <c r="E9347">
        <v>13.02</v>
      </c>
      <c r="F9347" s="2" t="str">
        <f>IF(Table2[[#This Row],[Manual Cat Value]]="",VLOOKUP(Table2[[#This Row],[Description]],'Actuals Lookup'!D:F,3,0),Table2[[#This Row],[Manual Cat Value]])</f>
        <v>Delete</v>
      </c>
      <c r="H9347" s="8" t="s">
        <v>9</v>
      </c>
      <c r="I9347" s="8"/>
      <c r="O9347" t="str">
        <f>LEFT(Table2[[#This Row],[Description]],75)</f>
        <v>THE LOOP CORK            CORK         IE REF #74143614Q02HDYYGV</v>
      </c>
    </row>
    <row r="9348" spans="1:15" hidden="1">
      <c r="A9348" s="25">
        <f>VALUE(YEAR(Table2[[#This Row],[Date]])&amp;TEXT(MONTH(Table2[[#This Row],[Date]]),"00"))</f>
        <v>202305</v>
      </c>
      <c r="B9348" s="6">
        <v>45067</v>
      </c>
      <c r="C9348" t="s">
        <v>4160</v>
      </c>
      <c r="D9348" t="s">
        <v>4395</v>
      </c>
      <c r="E9348">
        <v>47.19</v>
      </c>
      <c r="F9348" s="2" t="str">
        <f>IF(Table2[[#This Row],[Manual Cat Value]]="",VLOOKUP(Table2[[#This Row],[Description]],'Actuals Lookup'!D:F,3,0),Table2[[#This Row],[Manual Cat Value]])</f>
        <v>Exp - Restaurants</v>
      </c>
      <c r="H9348" s="8" t="s">
        <v>25</v>
      </c>
      <c r="I9348" s="8"/>
      <c r="O9348" t="str">
        <f>LEFT(Table2[[#This Row],[Description]],75)</f>
        <v>TST* Dukes on 7          612-205-3286 MN REF #24692164Q2YZ785H4</v>
      </c>
    </row>
    <row r="9349" spans="1:15" hidden="1">
      <c r="A9349" s="25">
        <f>VALUE(YEAR(Table2[[#This Row],[Date]])&amp;TEXT(MONTH(Table2[[#This Row],[Date]]),"00"))</f>
        <v>202305</v>
      </c>
      <c r="B9349" s="6">
        <v>45068</v>
      </c>
      <c r="C9349" t="s">
        <v>4178</v>
      </c>
      <c r="D9349" t="s">
        <v>4396</v>
      </c>
      <c r="E9349">
        <v>11</v>
      </c>
      <c r="F9349" s="2" t="str">
        <f>IF(Table2[[#This Row],[Manual Cat Value]]="",VLOOKUP(Table2[[#This Row],[Description]],'Actuals Lookup'!D:F,3,0),Table2[[#This Row],[Manual Cat Value]])</f>
        <v>Exp - Utilities</v>
      </c>
      <c r="H9349" s="8" t="s">
        <v>6</v>
      </c>
      <c r="I9349" s="8"/>
      <c r="O9349" t="str">
        <f>LEFT(Table2[[#This Row],[Description]],75)</f>
        <v>BONFES PLUMBING HEATING A651-3326633  MN REF #24275394DS66HPJS9</v>
      </c>
    </row>
    <row r="9350" spans="1:15" hidden="1">
      <c r="A9350" s="25">
        <f>VALUE(YEAR(Table2[[#This Row],[Date]])&amp;TEXT(MONTH(Table2[[#This Row],[Date]]),"00"))</f>
        <v>202305</v>
      </c>
      <c r="B9350" s="6">
        <v>45068</v>
      </c>
      <c r="C9350" t="s">
        <v>4188</v>
      </c>
      <c r="D9350" t="s">
        <v>4397</v>
      </c>
      <c r="E9350">
        <v>31.99</v>
      </c>
      <c r="F9350" s="2" t="str">
        <f>IF(Table2[[#This Row],[Manual Cat Value]]="",VLOOKUP(Table2[[#This Row],[Description]],'Actuals Lookup'!D:F,3,0),Table2[[#This Row],[Manual Cat Value]])</f>
        <v>Exp - Shopping</v>
      </c>
      <c r="H9350" s="8" t="s">
        <v>36</v>
      </c>
      <c r="I9350" s="8"/>
      <c r="O9350" t="str">
        <f>LEFT(Table2[[#This Row],[Description]],75)</f>
        <v>SCHEELS ALL SPORTS       701-356-8264 ND REF #24493984EBM9M9FZ8</v>
      </c>
    </row>
    <row r="9351" spans="1:15" hidden="1">
      <c r="A9351" s="25">
        <f>VALUE(YEAR(Table2[[#This Row],[Date]])&amp;TEXT(MONTH(Table2[[#This Row],[Date]]),"00"))</f>
        <v>202305</v>
      </c>
      <c r="B9351" s="6">
        <v>45068</v>
      </c>
      <c r="C9351" t="s">
        <v>4186</v>
      </c>
      <c r="D9351" t="s">
        <v>4398</v>
      </c>
      <c r="E9351">
        <v>48.24</v>
      </c>
      <c r="F9351" s="2" t="str">
        <f>IF(Table2[[#This Row],[Manual Cat Value]]="",VLOOKUP(Table2[[#This Row],[Description]],'Actuals Lookup'!D:F,3,0),Table2[[#This Row],[Manual Cat Value]])</f>
        <v>Exp - House Maint</v>
      </c>
      <c r="H9351" s="8" t="s">
        <v>1</v>
      </c>
      <c r="I9351" s="8"/>
      <c r="O9351" t="str">
        <f>LEFT(Table2[[#This Row],[Description]],75)</f>
        <v>SHOREWOOD TRUE VALUE     EXCELSIOR    MN REF #24801974EBMDAJG6V</v>
      </c>
    </row>
    <row r="9352" spans="1:15" hidden="1">
      <c r="A9352" s="25">
        <f>VALUE(YEAR(Table2[[#This Row],[Date]])&amp;TEXT(MONTH(Table2[[#This Row],[Date]]),"00"))</f>
        <v>202305</v>
      </c>
      <c r="B9352" s="6">
        <v>45068</v>
      </c>
      <c r="C9352" t="s">
        <v>4192</v>
      </c>
      <c r="D9352" t="s">
        <v>4399</v>
      </c>
      <c r="E9352">
        <v>21.46</v>
      </c>
      <c r="F9352" s="2" t="str">
        <f>IF(Table2[[#This Row],[Manual Cat Value]]="",VLOOKUP(Table2[[#This Row],[Description]],'Actuals Lookup'!D:F,3,0),Table2[[#This Row],[Manual Cat Value]])</f>
        <v>Exp - House Maint</v>
      </c>
      <c r="H9352" s="8" t="s">
        <v>1</v>
      </c>
      <c r="I9352" s="8"/>
      <c r="O9352" t="str">
        <f>LEFT(Table2[[#This Row],[Description]],75)</f>
        <v>SHOREWOOD TRUE VALUE     EXCELSIOR    MN REF #24801974EBMDAJHTM</v>
      </c>
    </row>
    <row r="9353" spans="1:15" hidden="1">
      <c r="A9353" s="25">
        <f>VALUE(YEAR(Table2[[#This Row],[Date]])&amp;TEXT(MONTH(Table2[[#This Row],[Date]]),"00"))</f>
        <v>202305</v>
      </c>
      <c r="B9353" s="6">
        <v>45068</v>
      </c>
      <c r="C9353" t="s">
        <v>4400</v>
      </c>
      <c r="D9353" t="s">
        <v>1958</v>
      </c>
      <c r="E9353" s="53">
        <v>57.9</v>
      </c>
      <c r="F9353" s="2" t="str">
        <f>IF(Table2[[#This Row],[Manual Cat Value]]="",VLOOKUP(Table2[[#This Row],[Description]],'Actuals Lookup'!D:F,3,0),Table2[[#This Row],[Manual Cat Value]])</f>
        <v>Exp - Shopping</v>
      </c>
      <c r="H9353" s="8" t="s">
        <v>36</v>
      </c>
      <c r="I9353" s="8"/>
      <c r="O9353" t="str">
        <f>LEFT(Table2[[#This Row],[Description]],75)</f>
        <v>Transfer to Venmo</v>
      </c>
    </row>
    <row r="9354" spans="1:15" hidden="1">
      <c r="A9354" s="25">
        <f>VALUE(YEAR(Table2[[#This Row],[Date]])&amp;TEXT(MONTH(Table2[[#This Row],[Date]]),"00"))</f>
        <v>202305</v>
      </c>
      <c r="B9354" s="6">
        <v>45068</v>
      </c>
      <c r="C9354" t="s">
        <v>3199</v>
      </c>
      <c r="D9354" t="s">
        <v>4401</v>
      </c>
      <c r="E9354" s="53">
        <v>51.21</v>
      </c>
      <c r="F9354" s="2" t="str">
        <f>IF(Table2[[#This Row],[Manual Cat Value]]="",VLOOKUP(Table2[[#This Row],[Description]],'Actuals Lookup'!D:F,3,0),Table2[[#This Row],[Manual Cat Value]])</f>
        <v>Delete</v>
      </c>
      <c r="H9354" s="8" t="s">
        <v>9</v>
      </c>
      <c r="I9354" s="8"/>
      <c r="O9354" t="str">
        <f>LEFT(Table2[[#This Row],[Description]],75)</f>
        <v>Withdrawal ACH CITY OF CHANHASS TYPE: UTIL BILL ID: XX5331 CO: CITY OF CHAN</v>
      </c>
    </row>
    <row r="9355" spans="1:15" hidden="1">
      <c r="A9355" s="25">
        <f>VALUE(YEAR(Table2[[#This Row],[Date]])&amp;TEXT(MONTH(Table2[[#This Row],[Date]]),"00"))</f>
        <v>202305</v>
      </c>
      <c r="B9355" s="6">
        <v>45069</v>
      </c>
      <c r="C9355" t="s">
        <v>4194</v>
      </c>
      <c r="D9355" t="s">
        <v>4402</v>
      </c>
      <c r="E9355">
        <v>136</v>
      </c>
      <c r="F9355" s="2" t="str">
        <f>IF(Table2[[#This Row],[Manual Cat Value]]="",VLOOKUP(Table2[[#This Row],[Description]],'Actuals Lookup'!D:F,3,0),Table2[[#This Row],[Manual Cat Value]])</f>
        <v>Exp - Shopping</v>
      </c>
      <c r="H9355" s="8" t="s">
        <v>36</v>
      </c>
      <c r="I9355" s="8"/>
      <c r="O9355" t="str">
        <f>LEFT(Table2[[#This Row],[Description]],75)</f>
        <v>SP VUORI CLOTHING        HTTPSVUORICLOCA REF #24492164E0015A2BA</v>
      </c>
    </row>
    <row r="9356" spans="1:15" hidden="1">
      <c r="A9356" s="25">
        <f>VALUE(YEAR(Table2[[#This Row],[Date]])&amp;TEXT(MONTH(Table2[[#This Row],[Date]]),"00"))</f>
        <v>202305</v>
      </c>
      <c r="B9356" s="6">
        <v>45069</v>
      </c>
      <c r="C9356" t="s">
        <v>4403</v>
      </c>
      <c r="D9356" t="s">
        <v>4404</v>
      </c>
      <c r="E9356" s="53">
        <v>1200</v>
      </c>
      <c r="F9356" s="2" t="str">
        <f>IF(Table2[[#This Row],[Manual Cat Value]]="",VLOOKUP(Table2[[#This Row],[Description]],'Actuals Lookup'!D:F,3,0),Table2[[#This Row],[Manual Cat Value]])</f>
        <v>Delete</v>
      </c>
      <c r="H9356" s="8" t="s">
        <v>9</v>
      </c>
      <c r="I9356" s="8"/>
      <c r="O9356" t="str">
        <f>LEFT(Table2[[#This Row],[Description]],75)</f>
        <v>Transfer to Discover Bank</v>
      </c>
    </row>
    <row r="9357" spans="1:15" hidden="1">
      <c r="A9357" s="25">
        <f>VALUE(YEAR(Table2[[#This Row],[Date]])&amp;TEXT(MONTH(Table2[[#This Row],[Date]]),"00"))</f>
        <v>202305</v>
      </c>
      <c r="B9357" s="6">
        <v>45070</v>
      </c>
      <c r="C9357" t="s">
        <v>4405</v>
      </c>
      <c r="D9357" t="s">
        <v>1958</v>
      </c>
      <c r="E9357" s="53">
        <v>42.5</v>
      </c>
      <c r="F9357" s="2" t="str">
        <f>IF(Table2[[#This Row],[Manual Cat Value]]="",VLOOKUP(Table2[[#This Row],[Description]],'Actuals Lookup'!D:F,3,0),Table2[[#This Row],[Manual Cat Value]])</f>
        <v>Exp - Shopping</v>
      </c>
      <c r="H9357" s="8" t="s">
        <v>36</v>
      </c>
      <c r="I9357" s="8"/>
      <c r="O9357" t="str">
        <f>LEFT(Table2[[#This Row],[Description]],75)</f>
        <v>Transfer to Venmo</v>
      </c>
    </row>
    <row r="9358" spans="1:15" hidden="1">
      <c r="A9358" s="25">
        <f>VALUE(YEAR(Table2[[#This Row],[Date]])&amp;TEXT(MONTH(Table2[[#This Row],[Date]]),"00"))</f>
        <v>202305</v>
      </c>
      <c r="B9358" s="6">
        <v>45070</v>
      </c>
      <c r="C9358" t="s">
        <v>4406</v>
      </c>
      <c r="D9358" t="s">
        <v>4407</v>
      </c>
      <c r="E9358" s="53">
        <v>330</v>
      </c>
      <c r="F9358" s="2" t="str">
        <f>IF(Table2[[#This Row],[Manual Cat Value]]="",VLOOKUP(Table2[[#This Row],[Description]],'Actuals Lookup'!D:F,3,0),Table2[[#This Row],[Manual Cat Value]])</f>
        <v>Exp - Day Care</v>
      </c>
      <c r="H9358" s="8" t="s">
        <v>19</v>
      </c>
      <c r="I9358" s="8"/>
      <c r="O9358" t="str">
        <f>LEFT(Table2[[#This Row],[Description]],75)</f>
        <v>Withdrawal ACH MHCHILDCARELLC TYPE: DUES ID: XX8198 CO: MHCHILDCARELLC Entr</v>
      </c>
    </row>
    <row r="9359" spans="1:15" hidden="1">
      <c r="A9359" s="25">
        <f>VALUE(YEAR(Table2[[#This Row],[Date]])&amp;TEXT(MONTH(Table2[[#This Row],[Date]]),"00"))</f>
        <v>202305</v>
      </c>
      <c r="B9359" s="6">
        <v>45071</v>
      </c>
      <c r="C9359" t="s">
        <v>4408</v>
      </c>
      <c r="D9359" t="s">
        <v>404</v>
      </c>
      <c r="E9359" s="53">
        <v>-2434.23</v>
      </c>
      <c r="F9359" s="2" t="str">
        <f>IF(Table2[[#This Row],[Manual Cat Value]]="",VLOOKUP(Table2[[#This Row],[Description]],'Actuals Lookup'!D:F,3,0),Table2[[#This Row],[Manual Cat Value]])</f>
        <v>Inc - Britney</v>
      </c>
      <c r="H9359" s="8" t="s">
        <v>65</v>
      </c>
      <c r="I9359" s="8"/>
      <c r="O9359" t="str">
        <f>LEFT(Table2[[#This Row],[Description]],75)</f>
        <v>Cargill Inc Deposit</v>
      </c>
    </row>
    <row r="9360" spans="1:15" hidden="1">
      <c r="A9360" s="25">
        <f>VALUE(YEAR(Table2[[#This Row],[Date]])&amp;TEXT(MONTH(Table2[[#This Row],[Date]]),"00"))</f>
        <v>202305</v>
      </c>
      <c r="B9360" s="6">
        <v>45071</v>
      </c>
      <c r="C9360" t="s">
        <v>4207</v>
      </c>
      <c r="D9360" t="s">
        <v>4409</v>
      </c>
      <c r="E9360">
        <v>9.92</v>
      </c>
      <c r="F9360" s="2" t="str">
        <f>IF(Table2[[#This Row],[Manual Cat Value]]="",VLOOKUP(Table2[[#This Row],[Description]],'Actuals Lookup'!D:F,3,0),Table2[[#This Row],[Manual Cat Value]])</f>
        <v>Exp - Restaurants</v>
      </c>
      <c r="H9360" s="8" t="s">
        <v>25</v>
      </c>
      <c r="I9360" s="8"/>
      <c r="O9360" t="str">
        <f>LEFT(Table2[[#This Row],[Description]],75)</f>
        <v>FREEZIAC                 EDEN PRAIRIE MN REF #24493984H2M6Y4Y19</v>
      </c>
    </row>
    <row r="9361" spans="1:15" hidden="1">
      <c r="A9361" s="25">
        <f>VALUE(YEAR(Table2[[#This Row],[Date]])&amp;TEXT(MONTH(Table2[[#This Row],[Date]]),"00"))</f>
        <v>202305</v>
      </c>
      <c r="B9361" s="6">
        <v>45071</v>
      </c>
      <c r="C9361" t="s">
        <v>4190</v>
      </c>
      <c r="D9361" t="s">
        <v>4410</v>
      </c>
      <c r="E9361">
        <v>33.590000000000003</v>
      </c>
      <c r="F9361" s="2" t="str">
        <f>IF(Table2[[#This Row],[Manual Cat Value]]="",VLOOKUP(Table2[[#This Row],[Description]],'Actuals Lookup'!D:F,3,0),Table2[[#This Row],[Manual Cat Value]])</f>
        <v>Exp - Groceries</v>
      </c>
      <c r="H9361" s="8" t="s">
        <v>27</v>
      </c>
      <c r="I9361" s="8"/>
      <c r="O9361" t="str">
        <f>LEFT(Table2[[#This Row],[Description]],75)</f>
        <v>LUNDS&amp;BYERLYS CHANH      CHANHASSEN   MN REF #24427334GMHE1SBWZ</v>
      </c>
    </row>
    <row r="9362" spans="1:15" hidden="1">
      <c r="A9362" s="25">
        <f>VALUE(YEAR(Table2[[#This Row],[Date]])&amp;TEXT(MONTH(Table2[[#This Row],[Date]]),"00"))</f>
        <v>202305</v>
      </c>
      <c r="B9362" s="6">
        <v>45071</v>
      </c>
      <c r="C9362" t="s">
        <v>4196</v>
      </c>
      <c r="D9362" t="s">
        <v>4411</v>
      </c>
      <c r="E9362" s="58">
        <v>420.92</v>
      </c>
      <c r="F9362" s="2" t="str">
        <f>IF(Table2[[#This Row],[Manual Cat Value]]="",VLOOKUP(Table2[[#This Row],[Description]],'Actuals Lookup'!D:F,3,0),Table2[[#This Row],[Manual Cat Value]])</f>
        <v>Exp - Transportation</v>
      </c>
      <c r="H9362" s="8" t="s">
        <v>22</v>
      </c>
      <c r="I9362" s="8"/>
      <c r="O9362" t="str">
        <f>LEFT(Table2[[#This Row],[Description]],75)</f>
        <v>MOTORWERKS BMW           888-866-0115 MN REF #24431064HJGA8WQ88</v>
      </c>
    </row>
    <row r="9363" spans="1:15" hidden="1">
      <c r="A9363" s="25">
        <f>VALUE(YEAR(Table2[[#This Row],[Date]])&amp;TEXT(MONTH(Table2[[#This Row],[Date]]),"00"))</f>
        <v>202305</v>
      </c>
      <c r="B9363" s="6">
        <v>45071</v>
      </c>
      <c r="C9363" t="s">
        <v>4412</v>
      </c>
      <c r="D9363" t="s">
        <v>4404</v>
      </c>
      <c r="E9363" s="53">
        <v>500</v>
      </c>
      <c r="F9363" s="2" t="str">
        <f>IF(Table2[[#This Row],[Manual Cat Value]]="",VLOOKUP(Table2[[#This Row],[Description]],'Actuals Lookup'!D:F,3,0),Table2[[#This Row],[Manual Cat Value]])</f>
        <v>Delete</v>
      </c>
      <c r="H9363" s="8" t="s">
        <v>9</v>
      </c>
      <c r="I9363" s="8"/>
      <c r="O9363" t="str">
        <f>LEFT(Table2[[#This Row],[Description]],75)</f>
        <v>Transfer to Discover Bank</v>
      </c>
    </row>
    <row r="9364" spans="1:15" hidden="1">
      <c r="A9364" s="25">
        <f>VALUE(YEAR(Table2[[#This Row],[Date]])&amp;TEXT(MONTH(Table2[[#This Row],[Date]]),"00"))</f>
        <v>202305</v>
      </c>
      <c r="B9364" s="6">
        <v>45071</v>
      </c>
      <c r="C9364" t="s">
        <v>4413</v>
      </c>
      <c r="D9364" t="s">
        <v>1958</v>
      </c>
      <c r="E9364" s="53">
        <v>125</v>
      </c>
      <c r="F9364" s="2" t="str">
        <f>IF(Table2[[#This Row],[Manual Cat Value]]="",VLOOKUP(Table2[[#This Row],[Description]],'Actuals Lookup'!D:F,3,0),Table2[[#This Row],[Manual Cat Value]])</f>
        <v>Exp - Shopping</v>
      </c>
      <c r="H9364" s="8" t="s">
        <v>36</v>
      </c>
      <c r="I9364" s="8"/>
      <c r="O9364" t="str">
        <f>LEFT(Table2[[#This Row],[Description]],75)</f>
        <v>Transfer to Venmo</v>
      </c>
    </row>
    <row r="9365" spans="1:15" hidden="1">
      <c r="A9365" s="25">
        <f>VALUE(YEAR(Table2[[#This Row],[Date]])&amp;TEXT(MONTH(Table2[[#This Row],[Date]]),"00"))</f>
        <v>202305</v>
      </c>
      <c r="B9365" s="6">
        <v>45071</v>
      </c>
      <c r="C9365" t="s">
        <v>4414</v>
      </c>
      <c r="D9365" t="s">
        <v>4415</v>
      </c>
      <c r="E9365" s="53">
        <v>475.58</v>
      </c>
      <c r="F9365" s="2" t="str">
        <f>IF(Table2[[#This Row],[Manual Cat Value]]="",VLOOKUP(Table2[[#This Row],[Description]],'Actuals Lookup'!D:F,3,0),Table2[[#This Row],[Manual Cat Value]])</f>
        <v>Exp - Target</v>
      </c>
      <c r="H9365" s="8" t="s">
        <v>30</v>
      </c>
      <c r="I9365" s="8"/>
      <c r="O9365" t="str">
        <f>LEFT(Table2[[#This Row],[Description]],75)</f>
        <v>Payment to Jeffrey B</v>
      </c>
    </row>
    <row r="9366" spans="1:15" hidden="1">
      <c r="A9366" s="25">
        <f>VALUE(YEAR(Table2[[#This Row],[Date]])&amp;TEXT(MONTH(Table2[[#This Row],[Date]]),"00"))</f>
        <v>202305</v>
      </c>
      <c r="B9366" s="6">
        <v>45072</v>
      </c>
      <c r="C9366" t="s">
        <v>4221</v>
      </c>
      <c r="D9366" t="s">
        <v>4416</v>
      </c>
      <c r="E9366">
        <v>3.32</v>
      </c>
      <c r="F9366" s="2" t="str">
        <f>IF(Table2[[#This Row],[Manual Cat Value]]="",VLOOKUP(Table2[[#This Row],[Description]],'Actuals Lookup'!D:F,3,0),Table2[[#This Row],[Manual Cat Value]])</f>
        <v>Exp - Restaurants</v>
      </c>
      <c r="H9366" s="8" t="s">
        <v>25</v>
      </c>
      <c r="I9366" s="8"/>
      <c r="O9366" t="str">
        <f>LEFT(Table2[[#This Row],[Description]],75)</f>
        <v>CARIBOU COFFEE CO #116   CHANHASSEN   MN REF #24445004HEJ40YEW1</v>
      </c>
    </row>
    <row r="9367" spans="1:15" hidden="1">
      <c r="A9367" s="25">
        <f>VALUE(YEAR(Table2[[#This Row],[Date]])&amp;TEXT(MONTH(Table2[[#This Row],[Date]]),"00"))</f>
        <v>202305</v>
      </c>
      <c r="B9367" s="6">
        <v>45072</v>
      </c>
      <c r="C9367" t="s">
        <v>4227</v>
      </c>
      <c r="D9367" t="s">
        <v>4417</v>
      </c>
      <c r="E9367">
        <v>31.91</v>
      </c>
      <c r="F9367" s="2" t="str">
        <f>IF(Table2[[#This Row],[Manual Cat Value]]="",VLOOKUP(Table2[[#This Row],[Description]],'Actuals Lookup'!D:F,3,0),Table2[[#This Row],[Manual Cat Value]])</f>
        <v>Exp - Gifts</v>
      </c>
      <c r="H9367" s="8" t="s">
        <v>44</v>
      </c>
      <c r="I9367" s="8"/>
      <c r="O9367" t="str">
        <f>LEFT(Table2[[#This Row],[Description]],75)</f>
        <v>Penzeys Spices           800-7417787  WI REF #24793384H0026RNRY</v>
      </c>
    </row>
    <row r="9368" spans="1:15" hidden="1">
      <c r="A9368" s="25">
        <f>VALUE(YEAR(Table2[[#This Row],[Date]])&amp;TEXT(MONTH(Table2[[#This Row],[Date]]),"00"))</f>
        <v>202305</v>
      </c>
      <c r="B9368" s="6">
        <v>45072</v>
      </c>
      <c r="C9368" t="s">
        <v>4237</v>
      </c>
      <c r="D9368" t="s">
        <v>4418</v>
      </c>
      <c r="E9368">
        <v>126</v>
      </c>
      <c r="F9368" s="2" t="str">
        <f>IF(Table2[[#This Row],[Manual Cat Value]]="",VLOOKUP(Table2[[#This Row],[Description]],'Actuals Lookup'!D:F,3,0),Table2[[#This Row],[Manual Cat Value]])</f>
        <v>Exp - Shopping</v>
      </c>
      <c r="H9368" s="8" t="s">
        <v>36</v>
      </c>
      <c r="I9368" s="8"/>
      <c r="O9368" t="str">
        <f>LEFT(Table2[[#This Row],[Description]],75)</f>
        <v>SP VUORI CLOTHING        HTTPSVUORICLOCA REF #24492164H001BWVAV</v>
      </c>
    </row>
    <row r="9369" spans="1:15" hidden="1">
      <c r="A9369" s="25">
        <f>VALUE(YEAR(Table2[[#This Row],[Date]])&amp;TEXT(MONTH(Table2[[#This Row],[Date]]),"00"))</f>
        <v>202305</v>
      </c>
      <c r="B9369" s="6">
        <v>45072</v>
      </c>
      <c r="C9369" t="s">
        <v>4225</v>
      </c>
      <c r="D9369" t="s">
        <v>4419</v>
      </c>
      <c r="E9369">
        <v>74.62</v>
      </c>
      <c r="F9369" s="2" t="str">
        <f>IF(Table2[[#This Row],[Manual Cat Value]]="",VLOOKUP(Table2[[#This Row],[Description]],'Actuals Lookup'!D:F,3,0),Table2[[#This Row],[Manual Cat Value]])</f>
        <v>Exp - Groceries</v>
      </c>
      <c r="H9369" s="8" t="s">
        <v>27</v>
      </c>
      <c r="I9369" s="8"/>
      <c r="O9369" t="str">
        <f>LEFT(Table2[[#This Row],[Description]],75)</f>
        <v>TOTALWINE 1606 DIGITAL   https://www.fMN REF #24116414JBMDFB3ZZ</v>
      </c>
    </row>
    <row r="9370" spans="1:15" hidden="1">
      <c r="A9370" s="25">
        <f>VALUE(YEAR(Table2[[#This Row],[Date]])&amp;TEXT(MONTH(Table2[[#This Row],[Date]]),"00"))</f>
        <v>202305</v>
      </c>
      <c r="B9370" s="6">
        <v>45072</v>
      </c>
      <c r="C9370" t="s">
        <v>4420</v>
      </c>
      <c r="D9370" t="s">
        <v>4293</v>
      </c>
      <c r="E9370" s="53">
        <v>2789.36</v>
      </c>
      <c r="F9370" s="2" t="str">
        <f>IF(Table2[[#This Row],[Manual Cat Value]]="",VLOOKUP(Table2[[#This Row],[Description]],'Actuals Lookup'!D:F,3,0),Table2[[#This Row],[Manual Cat Value]])</f>
        <v>Delete</v>
      </c>
      <c r="H9370" s="8" t="s">
        <v>9</v>
      </c>
      <c r="I9370" s="8"/>
      <c r="O9370" t="str">
        <f>LEFT(Table2[[#This Row],[Description]],75)</f>
        <v>Withdrawal Home Banking Pmt to card XX5913</v>
      </c>
    </row>
    <row r="9371" spans="1:15" hidden="1">
      <c r="A9371" s="25">
        <f>VALUE(YEAR(Table2[[#This Row],[Date]])&amp;TEXT(MONTH(Table2[[#This Row],[Date]]),"00"))</f>
        <v>202305</v>
      </c>
      <c r="B9371" s="6">
        <v>45072</v>
      </c>
      <c r="C9371" t="s">
        <v>4223</v>
      </c>
      <c r="D9371" t="s">
        <v>4421</v>
      </c>
      <c r="E9371">
        <v>-2789.36</v>
      </c>
      <c r="F9371" s="2" t="str">
        <f>IF(Table2[[#This Row],[Manual Cat Value]]="",VLOOKUP(Table2[[#This Row],[Description]],'Actuals Lookup'!D:F,3,0),Table2[[#This Row],[Manual Cat Value]])</f>
        <v>Delete</v>
      </c>
      <c r="H9371" s="8" t="s">
        <v>9</v>
      </c>
      <c r="I9371" s="8"/>
      <c r="O9371" t="str">
        <f>LEFT(Table2[[#This Row],[Description]],75)</f>
        <v>PAYMENT - THANK YOU REF #74734574L00XTMJG5</v>
      </c>
    </row>
    <row r="9372" spans="1:15" hidden="1">
      <c r="A9372" s="25">
        <f>VALUE(YEAR(Table2[[#This Row],[Date]])&amp;TEXT(MONTH(Table2[[#This Row],[Date]]),"00"))</f>
        <v>202305</v>
      </c>
      <c r="B9372" s="6">
        <v>45074</v>
      </c>
      <c r="C9372" t="s">
        <v>4233</v>
      </c>
      <c r="D9372" t="s">
        <v>4422</v>
      </c>
      <c r="E9372">
        <v>65</v>
      </c>
      <c r="F9372" s="2" t="str">
        <f>IF(Table2[[#This Row],[Manual Cat Value]]="",VLOOKUP(Table2[[#This Row],[Description]],'Actuals Lookup'!D:F,3,0),Table2[[#This Row],[Manual Cat Value]])</f>
        <v>Exp - Entertainment</v>
      </c>
      <c r="H9372" s="8" t="s">
        <v>39</v>
      </c>
      <c r="I9372" s="8"/>
      <c r="O9372" t="str">
        <f>LEFT(Table2[[#This Row],[Description]],75)</f>
        <v>DNR E PAY WIN ACS        608-2662621  WI REF #24717054K4NQBZQBH</v>
      </c>
    </row>
    <row r="9373" spans="1:15" hidden="1">
      <c r="A9373" s="25">
        <f>VALUE(YEAR(Table2[[#This Row],[Date]])&amp;TEXT(MONTH(Table2[[#This Row],[Date]]),"00"))</f>
        <v>202305</v>
      </c>
      <c r="B9373" s="6">
        <v>45074</v>
      </c>
      <c r="C9373" t="s">
        <v>4231</v>
      </c>
      <c r="D9373" t="s">
        <v>4423</v>
      </c>
      <c r="E9373">
        <v>1.3</v>
      </c>
      <c r="F9373" s="2" t="str">
        <f>IF(Table2[[#This Row],[Manual Cat Value]]="",VLOOKUP(Table2[[#This Row],[Description]],'Actuals Lookup'!D:F,3,0),Table2[[#This Row],[Manual Cat Value]])</f>
        <v>Exp - Entertainment</v>
      </c>
      <c r="H9373" s="8" t="s">
        <v>39</v>
      </c>
      <c r="I9373" s="8"/>
      <c r="O9373" t="str">
        <f>LEFT(Table2[[#This Row],[Description]],75)</f>
        <v>DNR EPAY WIN ACS SERV FEE608-2662621  WI REF #24717054K4NQBWPRR</v>
      </c>
    </row>
    <row r="9374" spans="1:15" hidden="1">
      <c r="A9374" s="25">
        <f>VALUE(YEAR(Table2[[#This Row],[Date]])&amp;TEXT(MONTH(Table2[[#This Row],[Date]]),"00"))</f>
        <v>202305</v>
      </c>
      <c r="B9374" s="6">
        <v>45074</v>
      </c>
      <c r="C9374" t="s">
        <v>4235</v>
      </c>
      <c r="D9374" t="s">
        <v>4424</v>
      </c>
      <c r="E9374">
        <v>47</v>
      </c>
      <c r="F9374" s="2" t="str">
        <f>IF(Table2[[#This Row],[Manual Cat Value]]="",VLOOKUP(Table2[[#This Row],[Description]],'Actuals Lookup'!D:F,3,0),Table2[[#This Row],[Manual Cat Value]])</f>
        <v>Exp - Shopping</v>
      </c>
      <c r="H9374" s="8" t="s">
        <v>36</v>
      </c>
      <c r="I9374" s="8"/>
      <c r="O9374" t="str">
        <f>LEFT(Table2[[#This Row],[Description]],75)</f>
        <v>ELITE NAILS LLC          CHANHASSEN   MN REF #24717054KM97GJVRV</v>
      </c>
    </row>
    <row r="9375" spans="1:15" hidden="1">
      <c r="A9375" s="25">
        <f>VALUE(YEAR(Table2[[#This Row],[Date]])&amp;TEXT(MONTH(Table2[[#This Row],[Date]]),"00"))</f>
        <v>202305</v>
      </c>
      <c r="B9375" s="6">
        <v>45074</v>
      </c>
      <c r="C9375" t="s">
        <v>4229</v>
      </c>
      <c r="D9375" t="s">
        <v>4425</v>
      </c>
      <c r="E9375">
        <v>161.06</v>
      </c>
      <c r="F9375" s="2" t="str">
        <f>IF(Table2[[#This Row],[Manual Cat Value]]="",VLOOKUP(Table2[[#This Row],[Description]],'Actuals Lookup'!D:F,3,0),Table2[[#This Row],[Manual Cat Value]])</f>
        <v>Exp - House Maint</v>
      </c>
      <c r="H9375" s="8" t="s">
        <v>1</v>
      </c>
      <c r="I9375" s="8"/>
      <c r="O9375" t="str">
        <f>LEFT(Table2[[#This Row],[Description]],75)</f>
        <v>PLUNKETTS PEST CONTROL   MINNEAPOLIS  MN REF #24013394J02WB3Z32</v>
      </c>
    </row>
    <row r="9376" spans="1:15" hidden="1">
      <c r="A9376" s="25">
        <f>VALUE(YEAR(Table2[[#This Row],[Date]])&amp;TEXT(MONTH(Table2[[#This Row],[Date]]),"00"))</f>
        <v>202305</v>
      </c>
      <c r="B9376" s="6">
        <v>45074</v>
      </c>
      <c r="C9376" t="s">
        <v>3938</v>
      </c>
      <c r="D9376" t="s">
        <v>4426</v>
      </c>
      <c r="E9376">
        <v>12.46</v>
      </c>
      <c r="F9376" s="2" t="str">
        <f>IF(Table2[[#This Row],[Manual Cat Value]]="",VLOOKUP(Table2[[#This Row],[Description]],'Actuals Lookup'!D:F,3,0),Table2[[#This Row],[Manual Cat Value]])</f>
        <v>Exp - House Maint</v>
      </c>
      <c r="H9376" s="8" t="s">
        <v>1</v>
      </c>
      <c r="I9376" s="8"/>
      <c r="O9376" t="str">
        <f>LEFT(Table2[[#This Row],[Description]],75)</f>
        <v>SHOREWOOD TRUE VALUE     EXCELSIOR    MN REF #24801974KBMDFB446</v>
      </c>
    </row>
    <row r="9377" spans="1:15" hidden="1">
      <c r="A9377" s="25">
        <f>VALUE(YEAR(Table2[[#This Row],[Date]])&amp;TEXT(MONTH(Table2[[#This Row],[Date]]),"00"))</f>
        <v>202305</v>
      </c>
      <c r="B9377" s="6">
        <v>45074</v>
      </c>
      <c r="C9377" t="s">
        <v>4216</v>
      </c>
      <c r="D9377" t="s">
        <v>4427</v>
      </c>
      <c r="E9377">
        <v>102</v>
      </c>
      <c r="F9377" s="2" t="str">
        <f>IF(Table2[[#This Row],[Manual Cat Value]]="",VLOOKUP(Table2[[#This Row],[Description]],'Actuals Lookup'!D:F,3,0),Table2[[#This Row],[Manual Cat Value]])</f>
        <v>Exp - Shopping</v>
      </c>
      <c r="H9377" s="8" t="s">
        <v>36</v>
      </c>
      <c r="I9377" s="8"/>
      <c r="O9377" t="str">
        <f>LEFT(Table2[[#This Row],[Description]],75)</f>
        <v>SP FAIR HARBOR           HTTPSFAIRHARBNY REF #24492164L00034XFJ</v>
      </c>
    </row>
    <row r="9378" spans="1:15" hidden="1">
      <c r="A9378" s="25">
        <f>VALUE(YEAR(Table2[[#This Row],[Date]])&amp;TEXT(MONTH(Table2[[#This Row],[Date]]),"00"))</f>
        <v>202305</v>
      </c>
      <c r="B9378" s="6">
        <v>45074</v>
      </c>
      <c r="C9378" t="s">
        <v>4218</v>
      </c>
      <c r="D9378" t="s">
        <v>4428</v>
      </c>
      <c r="E9378">
        <v>14.21</v>
      </c>
      <c r="F9378" s="2" t="str">
        <f>IF(Table2[[#This Row],[Manual Cat Value]]="",VLOOKUP(Table2[[#This Row],[Description]],'Actuals Lookup'!D:F,3,0),Table2[[#This Row],[Manual Cat Value]])</f>
        <v>Exp - Restaurants</v>
      </c>
      <c r="H9378" s="8" t="s">
        <v>25</v>
      </c>
      <c r="I9378" s="8"/>
      <c r="O9378" t="str">
        <f>LEFT(Table2[[#This Row],[Description]],75)</f>
        <v>SQ *BALSAM LAKE BREWERY ABalsam Lake  WI REF #24692164K31YE9NW5</v>
      </c>
    </row>
    <row r="9379" spans="1:15" hidden="1">
      <c r="A9379" s="25">
        <f>VALUE(YEAR(Table2[[#This Row],[Date]])&amp;TEXT(MONTH(Table2[[#This Row],[Date]]),"00"))</f>
        <v>202305</v>
      </c>
      <c r="B9379" s="6">
        <v>45075</v>
      </c>
      <c r="C9379" t="s">
        <v>4026</v>
      </c>
      <c r="D9379" t="s">
        <v>4343</v>
      </c>
      <c r="E9379" s="53">
        <v>-3180.72</v>
      </c>
      <c r="F9379" s="2" t="str">
        <f>IF(Table2[[#This Row],[Manual Cat Value]]="",VLOOKUP(Table2[[#This Row],[Description]],'Actuals Lookup'!D:F,3,0),Table2[[#This Row],[Manual Cat Value]])</f>
        <v>Inc - Jeff</v>
      </c>
      <c r="H9379" s="8" t="s">
        <v>63</v>
      </c>
      <c r="I9379" s="8"/>
      <c r="O9379" t="str">
        <f>LEFT(Table2[[#This Row],[Description]],75)</f>
        <v>Salary/Regular Income from TriNet</v>
      </c>
    </row>
    <row r="9380" spans="1:15" hidden="1">
      <c r="A9380" s="25">
        <f>VALUE(YEAR(Table2[[#This Row],[Date]])&amp;TEXT(MONTH(Table2[[#This Row],[Date]]),"00"))</f>
        <v>202305</v>
      </c>
      <c r="B9380" s="6">
        <v>45076</v>
      </c>
      <c r="C9380" t="s">
        <v>4036</v>
      </c>
      <c r="D9380" t="s">
        <v>1955</v>
      </c>
      <c r="E9380" s="53">
        <v>0.99</v>
      </c>
      <c r="F9380" s="2" t="str">
        <f>IF(Table2[[#This Row],[Manual Cat Value]]="",VLOOKUP(Table2[[#This Row],[Description]],'Actuals Lookup'!D:F,3,0),Table2[[#This Row],[Manual Cat Value]])</f>
        <v>Exp - Shopping</v>
      </c>
      <c r="H9380" s="8" t="s">
        <v>36</v>
      </c>
      <c r="I9380" s="8"/>
      <c r="O9380" t="str">
        <f>LEFT(Table2[[#This Row],[Description]],75)</f>
        <v>Transfer to PayPal</v>
      </c>
    </row>
    <row r="9381" spans="1:15" hidden="1">
      <c r="A9381" s="25">
        <f>VALUE(YEAR(Table2[[#This Row],[Date]])&amp;TEXT(MONTH(Table2[[#This Row],[Date]]),"00"))</f>
        <v>202305</v>
      </c>
      <c r="B9381" s="6">
        <v>45076</v>
      </c>
      <c r="C9381" t="s">
        <v>4429</v>
      </c>
      <c r="D9381" t="s">
        <v>1958</v>
      </c>
      <c r="E9381" s="53">
        <v>32</v>
      </c>
      <c r="F9381" s="2" t="str">
        <f>IF(Table2[[#This Row],[Manual Cat Value]]="",VLOOKUP(Table2[[#This Row],[Description]],'Actuals Lookup'!D:F,3,0),Table2[[#This Row],[Manual Cat Value]])</f>
        <v>Exp - Shopping</v>
      </c>
      <c r="H9381" s="8" t="s">
        <v>36</v>
      </c>
      <c r="I9381" s="8"/>
      <c r="O9381" t="str">
        <f>LEFT(Table2[[#This Row],[Description]],75)</f>
        <v>Transfer to Venmo</v>
      </c>
    </row>
    <row r="9382" spans="1:15" hidden="1">
      <c r="A9382" s="25">
        <f>VALUE(YEAR(Table2[[#This Row],[Date]])&amp;TEXT(MONTH(Table2[[#This Row],[Date]]),"00"))</f>
        <v>202305</v>
      </c>
      <c r="B9382" s="6">
        <v>45076</v>
      </c>
      <c r="C9382" t="s">
        <v>4062</v>
      </c>
      <c r="D9382" t="s">
        <v>1458</v>
      </c>
      <c r="E9382" s="53">
        <v>1304.5</v>
      </c>
      <c r="F9382" s="2" t="str">
        <f>IF(Table2[[#This Row],[Manual Cat Value]]="",VLOOKUP(Table2[[#This Row],[Description]],'Actuals Lookup'!D:F,3,0),Table2[[#This Row],[Manual Cat Value]])</f>
        <v>Delete</v>
      </c>
      <c r="H9382" s="8" t="s">
        <v>9</v>
      </c>
      <c r="I9382" s="8"/>
      <c r="O9382" t="str">
        <f>LEFT(Table2[[#This Row],[Description]],75)</f>
        <v>Payment to American Express</v>
      </c>
    </row>
    <row r="9383" spans="1:15" hidden="1">
      <c r="A9383" s="25">
        <f>VALUE(YEAR(Table2[[#This Row],[Date]])&amp;TEXT(MONTH(Table2[[#This Row],[Date]]),"00"))</f>
        <v>202305</v>
      </c>
      <c r="B9383" s="6">
        <v>45076</v>
      </c>
      <c r="C9383" t="s">
        <v>4044</v>
      </c>
      <c r="D9383" t="s">
        <v>1464</v>
      </c>
      <c r="E9383" s="53">
        <v>42.94</v>
      </c>
      <c r="F9383" s="2" t="str">
        <f>IF(Table2[[#This Row],[Manual Cat Value]]="",VLOOKUP(Table2[[#This Row],[Description]],'Actuals Lookup'!D:F,3,0),Table2[[#This Row],[Manual Cat Value]])</f>
        <v>Delete</v>
      </c>
      <c r="H9383" s="8" t="s">
        <v>9</v>
      </c>
      <c r="I9383" s="8"/>
      <c r="O9383" t="str">
        <f>LEFT(Table2[[#This Row],[Description]],75)</f>
        <v>Payment to Discover Bank</v>
      </c>
    </row>
    <row r="9384" spans="1:15" hidden="1">
      <c r="A9384" s="25">
        <f>VALUE(YEAR(Table2[[#This Row],[Date]])&amp;TEXT(MONTH(Table2[[#This Row],[Date]]),"00"))</f>
        <v>202305</v>
      </c>
      <c r="B9384" s="6">
        <v>45077</v>
      </c>
      <c r="C9384" t="s">
        <v>2519</v>
      </c>
      <c r="D9384" t="s">
        <v>4430</v>
      </c>
      <c r="E9384" s="53">
        <v>-50.19</v>
      </c>
      <c r="F9384" s="2" t="str">
        <f>IF(Table2[[#This Row],[Manual Cat Value]]="",VLOOKUP(Table2[[#This Row],[Description]],'Actuals Lookup'!D:F,3,0),Table2[[#This Row],[Manual Cat Value]])</f>
        <v>Inc - Other</v>
      </c>
      <c r="H9384" s="8" t="s">
        <v>16</v>
      </c>
      <c r="I9384" s="8"/>
      <c r="O9384" t="str">
        <f>LEFT(Table2[[#This Row],[Description]],75)</f>
        <v>Deposit Dividend Split Rate Annual Percentage Yield Earned 1.86% from 05/01</v>
      </c>
    </row>
    <row r="9385" spans="1:15" hidden="1">
      <c r="A9385" s="25">
        <f>VALUE(YEAR(Table2[[#This Row],[Date]])&amp;TEXT(MONTH(Table2[[#This Row],[Date]]),"00"))</f>
        <v>202305</v>
      </c>
      <c r="B9385" s="6">
        <v>45077</v>
      </c>
      <c r="C9385" t="s">
        <v>4059</v>
      </c>
      <c r="D9385" t="s">
        <v>4431</v>
      </c>
      <c r="E9385" s="53">
        <v>330</v>
      </c>
      <c r="F9385" s="2" t="str">
        <f>IF(Table2[[#This Row],[Manual Cat Value]]="",VLOOKUP(Table2[[#This Row],[Description]],'Actuals Lookup'!D:F,3,0),Table2[[#This Row],[Manual Cat Value]])</f>
        <v>Exp - Day Care</v>
      </c>
      <c r="H9385" s="8" t="s">
        <v>19</v>
      </c>
      <c r="I9385" s="8"/>
      <c r="O9385" t="str">
        <f>LEFT(Table2[[#This Row],[Description]],75)</f>
        <v>Withdrawal ACH MHCHILDCARELLC TYPE: DUES ID: XX8198 CO: MHCHILDCARELLC Entr</v>
      </c>
    </row>
    <row r="9386" spans="1:15" hidden="1">
      <c r="A9386" s="25">
        <f>VALUE(YEAR(Table2[[#This Row],[Date]])&amp;TEXT(MONTH(Table2[[#This Row],[Date]]),"00"))</f>
        <v>202306</v>
      </c>
      <c r="B9386" s="6">
        <v>45078</v>
      </c>
      <c r="C9386" t="s">
        <v>2916</v>
      </c>
      <c r="D9386" t="s">
        <v>4432</v>
      </c>
      <c r="E9386">
        <v>5.36</v>
      </c>
      <c r="F9386" s="2" t="str">
        <f>IF(Table2[[#This Row],[Manual Cat Value]]="",VLOOKUP(Table2[[#This Row],[Description]],'Actuals Lookup'!D:F,3,0),Table2[[#This Row],[Manual Cat Value]])</f>
        <v>Exp - Amazon</v>
      </c>
      <c r="H9386" s="8" t="s">
        <v>37</v>
      </c>
      <c r="I9386" s="8"/>
      <c r="O9386" t="str">
        <f>LEFT(Table2[[#This Row],[Description]],75)</f>
        <v>Amazon Music*WB3KC8313   888-802-3080 WA REF #24692164R34VYRZHX</v>
      </c>
    </row>
    <row r="9387" spans="1:15" hidden="1">
      <c r="A9387" s="25">
        <f>VALUE(YEAR(Table2[[#This Row],[Date]])&amp;TEXT(MONTH(Table2[[#This Row],[Date]]),"00"))</f>
        <v>202306</v>
      </c>
      <c r="B9387" s="6">
        <v>45078</v>
      </c>
      <c r="C9387" t="s">
        <v>2916</v>
      </c>
      <c r="D9387" t="s">
        <v>4433</v>
      </c>
      <c r="E9387">
        <v>29.62</v>
      </c>
      <c r="F9387" s="2" t="str">
        <f>IF(Table2[[#This Row],[Manual Cat Value]]="",VLOOKUP(Table2[[#This Row],[Description]],'Actuals Lookup'!D:F,3,0),Table2[[#This Row],[Manual Cat Value]])</f>
        <v>Exp - Gifts</v>
      </c>
      <c r="H9387" s="8" t="s">
        <v>44</v>
      </c>
      <c r="I9387" s="8"/>
      <c r="O9387" t="str">
        <f>LEFT(Table2[[#This Row],[Description]],75)</f>
        <v>THE BBQ DEPOT            187-798-3045 FL REF #24492154PMN3L527W</v>
      </c>
    </row>
    <row r="9388" spans="1:15" hidden="1">
      <c r="A9388" s="25">
        <f>VALUE(YEAR(Table2[[#This Row],[Date]])&amp;TEXT(MONTH(Table2[[#This Row],[Date]]),"00"))</f>
        <v>202306</v>
      </c>
      <c r="B9388" s="6">
        <v>45078</v>
      </c>
      <c r="C9388" t="s">
        <v>2916</v>
      </c>
      <c r="D9388" t="s">
        <v>4434</v>
      </c>
      <c r="E9388">
        <v>60</v>
      </c>
      <c r="F9388" s="2" t="str">
        <f>IF(Table2[[#This Row],[Manual Cat Value]]="",VLOOKUP(Table2[[#This Row],[Description]],'Actuals Lookup'!D:F,3,0),Table2[[#This Row],[Manual Cat Value]])</f>
        <v>Exp - Shopping</v>
      </c>
      <c r="H9388" s="8" t="s">
        <v>36</v>
      </c>
      <c r="I9388" s="8"/>
      <c r="O9388" t="str">
        <f>LEFT(Table2[[#This Row],[Description]],75)</f>
        <v>TOMMY BAHAMA ECOMM       866-986-8282 WA REF #24692164P34RVGGDB</v>
      </c>
    </row>
    <row r="9389" spans="1:15" hidden="1">
      <c r="A9389" s="25">
        <f>VALUE(YEAR(Table2[[#This Row],[Date]])&amp;TEXT(MONTH(Table2[[#This Row],[Date]]),"00"))</f>
        <v>202306</v>
      </c>
      <c r="B9389" s="6">
        <v>45078</v>
      </c>
      <c r="C9389" t="s">
        <v>2916</v>
      </c>
      <c r="D9389" t="s">
        <v>4435</v>
      </c>
      <c r="E9389">
        <v>60</v>
      </c>
      <c r="F9389" s="2" t="str">
        <f>IF(Table2[[#This Row],[Manual Cat Value]]="",VLOOKUP(Table2[[#This Row],[Description]],'Actuals Lookup'!D:F,3,0),Table2[[#This Row],[Manual Cat Value]])</f>
        <v>Exp - Shopping</v>
      </c>
      <c r="H9389" s="8" t="s">
        <v>36</v>
      </c>
      <c r="I9389" s="8"/>
      <c r="O9389" t="str">
        <f>LEFT(Table2[[#This Row],[Description]],75)</f>
        <v>TOMMY BAHAMA ECOMM       866-986-8282 WA REF #24692164P34RVGV7V</v>
      </c>
    </row>
    <row r="9390" spans="1:15" hidden="1">
      <c r="A9390" s="25">
        <f>VALUE(YEAR(Table2[[#This Row],[Date]])&amp;TEXT(MONTH(Table2[[#This Row],[Date]]),"00"))</f>
        <v>202306</v>
      </c>
      <c r="B9390" s="6">
        <v>45078</v>
      </c>
      <c r="C9390" t="s">
        <v>2916</v>
      </c>
      <c r="D9390" t="s">
        <v>1958</v>
      </c>
      <c r="E9390">
        <v>63.36</v>
      </c>
      <c r="F9390" s="2" t="str">
        <f>IF(Table2[[#This Row],[Manual Cat Value]]="",VLOOKUP(Table2[[#This Row],[Description]],'Actuals Lookup'!D:F,3,0),Table2[[#This Row],[Manual Cat Value]])</f>
        <v>Exp - Shopping</v>
      </c>
      <c r="H9390" s="8" t="s">
        <v>36</v>
      </c>
      <c r="I9390" s="8"/>
      <c r="O9390" t="str">
        <f>LEFT(Table2[[#This Row],[Description]],75)</f>
        <v>Transfer to Venmo</v>
      </c>
    </row>
    <row r="9391" spans="1:15" hidden="1">
      <c r="A9391" s="25">
        <f>VALUE(YEAR(Table2[[#This Row],[Date]])&amp;TEXT(MONTH(Table2[[#This Row],[Date]]),"00"))</f>
        <v>202306</v>
      </c>
      <c r="B9391" s="6">
        <v>45078</v>
      </c>
      <c r="C9391" t="s">
        <v>2916</v>
      </c>
      <c r="D9391" t="s">
        <v>4436</v>
      </c>
      <c r="E9391">
        <v>6.12</v>
      </c>
      <c r="F9391" s="2" t="str">
        <f>IF(Table2[[#This Row],[Manual Cat Value]]="",VLOOKUP(Table2[[#This Row],[Description]],'Actuals Lookup'!D:F,3,0),Table2[[#This Row],[Manual Cat Value]])</f>
        <v>Exp - Restaurants</v>
      </c>
      <c r="H9391" s="8" t="s">
        <v>25</v>
      </c>
      <c r="I9391" s="8"/>
      <c r="O9391" t="str">
        <f>LEFT(Table2[[#This Row],[Description]],75)</f>
        <v>WAYZATA CAFE             WAYZATA      MN REF #24943004RW6QYNP8B</v>
      </c>
    </row>
    <row r="9392" spans="1:15" hidden="1">
      <c r="A9392" s="25">
        <f>VALUE(YEAR(Table2[[#This Row],[Date]])&amp;TEXT(MONTH(Table2[[#This Row],[Date]]),"00"))</f>
        <v>202306</v>
      </c>
      <c r="B9392" s="6">
        <v>45078</v>
      </c>
      <c r="C9392" t="s">
        <v>2916</v>
      </c>
      <c r="D9392" t="s">
        <v>4437</v>
      </c>
      <c r="E9392">
        <v>500</v>
      </c>
      <c r="F9392" s="2" t="str">
        <f>IF(Table2[[#This Row],[Manual Cat Value]]="",VLOOKUP(Table2[[#This Row],[Description]],'Actuals Lookup'!D:F,3,0),Table2[[#This Row],[Manual Cat Value]])</f>
        <v>Sav - College Savings</v>
      </c>
      <c r="H9392" s="8" t="s">
        <v>60</v>
      </c>
      <c r="I9392" s="8"/>
      <c r="O9392" t="str">
        <f>LEFT(Table2[[#This Row],[Description]],75)</f>
        <v>Withdrawal ACH College Savings TYPE: ACH ID: XX5818 CO: College Savings Ent</v>
      </c>
    </row>
    <row r="9393" spans="1:15" hidden="1">
      <c r="A9393" s="25">
        <f>VALUE(YEAR(Table2[[#This Row],[Date]])&amp;TEXT(MONTH(Table2[[#This Row],[Date]]),"00"))</f>
        <v>202306</v>
      </c>
      <c r="B9393" s="6">
        <v>45078</v>
      </c>
      <c r="C9393" t="s">
        <v>2916</v>
      </c>
      <c r="D9393" t="s">
        <v>4438</v>
      </c>
      <c r="E9393">
        <v>618.65</v>
      </c>
      <c r="F9393" s="2" t="str">
        <f>IF(Table2[[#This Row],[Manual Cat Value]]="",VLOOKUP(Table2[[#This Row],[Description]],'Actuals Lookup'!D:F,3,0),Table2[[#This Row],[Manual Cat Value]])</f>
        <v>Exp - Car Loan</v>
      </c>
      <c r="H9393" s="8" t="s">
        <v>10</v>
      </c>
      <c r="I9393" s="8"/>
      <c r="O9393" t="str">
        <f>LEFT(Table2[[#This Row],[Description]],75)</f>
        <v>Withdrawal Home Banking Transfer To Loan 02 REF # XX7410</v>
      </c>
    </row>
    <row r="9394" spans="1:15" hidden="1">
      <c r="A9394" s="25">
        <f>VALUE(YEAR(Table2[[#This Row],[Date]])&amp;TEXT(MONTH(Table2[[#This Row],[Date]]),"00"))</f>
        <v>202306</v>
      </c>
      <c r="B9394" s="6">
        <v>45078</v>
      </c>
      <c r="C9394" t="s">
        <v>2916</v>
      </c>
      <c r="D9394" t="s">
        <v>1460</v>
      </c>
      <c r="E9394">
        <v>2606.27</v>
      </c>
      <c r="F9394" s="2" t="str">
        <f>IF(Table2[[#This Row],[Manual Cat Value]]="",VLOOKUP(Table2[[#This Row],[Description]],'Actuals Lookup'!D:F,3,0),Table2[[#This Row],[Manual Cat Value]])</f>
        <v>Exp - Rent</v>
      </c>
      <c r="H9394" s="8" t="s">
        <v>4</v>
      </c>
      <c r="I9394" s="8"/>
      <c r="O9394" t="str">
        <f>LEFT(Table2[[#This Row],[Description]],75)</f>
        <v>Payment to Baxter Credit Union</v>
      </c>
    </row>
    <row r="9395" spans="1:15" hidden="1">
      <c r="A9395" s="25">
        <f>VALUE(YEAR(Table2[[#This Row],[Date]])&amp;TEXT(MONTH(Table2[[#This Row],[Date]]),"00"))</f>
        <v>202306</v>
      </c>
      <c r="B9395" s="6">
        <v>45079</v>
      </c>
      <c r="C9395" t="s">
        <v>2916</v>
      </c>
      <c r="D9395" t="s">
        <v>4439</v>
      </c>
      <c r="E9395">
        <v>-1142.3900000000001</v>
      </c>
      <c r="F9395" s="2" t="str">
        <f>IF(Table2[[#This Row],[Manual Cat Value]]="",VLOOKUP(Table2[[#This Row],[Description]],'Actuals Lookup'!D:F,3,0),Table2[[#This Row],[Manual Cat Value]])</f>
        <v>Inc - Jeff</v>
      </c>
      <c r="H9395" s="8" t="s">
        <v>63</v>
      </c>
      <c r="I9395" s="8"/>
      <c r="O9395" t="str">
        <f>LEFT(Table2[[#This Row],[Description]],75)</f>
        <v>Deposit ACH EMPYREAN SOLUTIO TYPE: XX9000 ID: XX3620 CO: EMPYREAN SOLUTIO E</v>
      </c>
    </row>
    <row r="9396" spans="1:15" hidden="1">
      <c r="A9396">
        <v>202306</v>
      </c>
      <c r="B9396" s="6">
        <v>45079</v>
      </c>
      <c r="C9396" t="s">
        <v>4006</v>
      </c>
      <c r="D9396" t="s">
        <v>4440</v>
      </c>
      <c r="E9396">
        <v>131.63999999999999</v>
      </c>
      <c r="F9396" s="2" t="str">
        <f>IF(Table2[[#This Row],[Manual Cat Value]]="",VLOOKUP(Table2[[#This Row],[Description]],'Actuals Lookup'!D:F,3,0),Table2[[#This Row],[Manual Cat Value]])</f>
        <v>Groceries</v>
      </c>
      <c r="G9396" t="s">
        <v>28</v>
      </c>
      <c r="I9396" s="8"/>
      <c r="O9396" t="str">
        <f>LEFT(Table2[[#This Row],[Description]],75)</f>
        <v>Mackenthun's Fine Fowaconia Mn Xxxxxxxxx Xxxxxx2512</v>
      </c>
    </row>
    <row r="9397" spans="1:15" hidden="1">
      <c r="A9397" s="25">
        <f>VALUE(YEAR(Table2[[#This Row],[Date]])&amp;TEXT(MONTH(Table2[[#This Row],[Date]]),"00"))</f>
        <v>202306</v>
      </c>
      <c r="B9397" s="6">
        <v>45079</v>
      </c>
      <c r="C9397" t="s">
        <v>2916</v>
      </c>
      <c r="D9397" t="s">
        <v>4441</v>
      </c>
      <c r="E9397">
        <v>212.4</v>
      </c>
      <c r="F9397" s="2" t="str">
        <f>IF(Table2[[#This Row],[Manual Cat Value]]="",VLOOKUP(Table2[[#This Row],[Description]],'Actuals Lookup'!D:F,3,0),Table2[[#This Row],[Manual Cat Value]])</f>
        <v>Exp - Shopping</v>
      </c>
      <c r="H9397" s="8" t="s">
        <v>36</v>
      </c>
      <c r="I9397" s="8"/>
      <c r="O9397" t="str">
        <f>LEFT(Table2[[#This Row],[Description]],75)</f>
        <v>SAM EDELMAN              888-889-9609 MO REF #24492154RMN85SP6F</v>
      </c>
    </row>
    <row r="9398" spans="1:15" hidden="1">
      <c r="A9398">
        <v>202306</v>
      </c>
      <c r="B9398" s="6">
        <v>45080</v>
      </c>
      <c r="C9398" t="s">
        <v>4006</v>
      </c>
      <c r="D9398" t="s">
        <v>4442</v>
      </c>
      <c r="E9398">
        <v>372.42</v>
      </c>
      <c r="F9398" s="2" t="str">
        <f>IF(Table2[[#This Row],[Manual Cat Value]]="",VLOOKUP(Table2[[#This Row],[Description]],'Actuals Lookup'!D:F,3,0),Table2[[#This Row],[Manual Cat Value]])</f>
        <v>Restaurants</v>
      </c>
      <c r="G9398" t="s">
        <v>26</v>
      </c>
      <c r="I9398" s="8"/>
      <c r="O9398" t="str">
        <f>LEFT(Table2[[#This Row],[Description]],75)</f>
        <v>Osaka Eden Prairie 0eden Prairi Xxxxxxxx Xxx-xxx-6949</v>
      </c>
    </row>
    <row r="9399" spans="1:15" hidden="1">
      <c r="A9399">
        <v>202306</v>
      </c>
      <c r="B9399" s="6">
        <v>45080</v>
      </c>
      <c r="C9399" t="s">
        <v>3932</v>
      </c>
      <c r="D9399" t="s">
        <v>4443</v>
      </c>
      <c r="E9399">
        <v>11.83</v>
      </c>
      <c r="F9399" s="2" t="str">
        <f>IF(Table2[[#This Row],[Manual Cat Value]]="",VLOOKUP(Table2[[#This Row],[Description]],'Actuals Lookup'!D:F,3,0),Table2[[#This Row],[Manual Cat Value]])</f>
        <v>Exp - Transportation</v>
      </c>
      <c r="G9399" t="s">
        <v>35</v>
      </c>
      <c r="H9399" s="8" t="s">
        <v>22</v>
      </c>
      <c r="I9399" s="8"/>
      <c r="O9399" t="str">
        <f>LEFT(Table2[[#This Row],[Description]],75)</f>
        <v>Youngstedts Excelsior Excelsior Mn</v>
      </c>
    </row>
    <row r="9400" spans="1:15" hidden="1">
      <c r="A9400">
        <v>202306</v>
      </c>
      <c r="B9400" s="6">
        <v>45081</v>
      </c>
      <c r="C9400" t="s">
        <v>4006</v>
      </c>
      <c r="D9400" t="s">
        <v>701</v>
      </c>
      <c r="E9400">
        <v>7.93</v>
      </c>
      <c r="F9400" s="2" t="str">
        <f>IF(Table2[[#This Row],[Manual Cat Value]]="",VLOOKUP(Table2[[#This Row],[Description]],'Actuals Lookup'!D:F,3,0),Table2[[#This Row],[Manual Cat Value]])</f>
        <v>Delete</v>
      </c>
      <c r="G9400" t="s">
        <v>62</v>
      </c>
      <c r="H9400" s="8" t="s">
        <v>9</v>
      </c>
      <c r="I9400" s="8"/>
      <c r="O9400" t="str">
        <f>LEFT(Table2[[#This Row],[Description]],75)</f>
        <v>Delaware North</v>
      </c>
    </row>
    <row r="9401" spans="1:15" hidden="1">
      <c r="A9401">
        <v>202306</v>
      </c>
      <c r="B9401" s="6">
        <v>45081</v>
      </c>
      <c r="C9401" t="s">
        <v>4006</v>
      </c>
      <c r="D9401" t="s">
        <v>701</v>
      </c>
      <c r="E9401">
        <v>15.85</v>
      </c>
      <c r="F9401" s="2" t="str">
        <f>IF(Table2[[#This Row],[Manual Cat Value]]="",VLOOKUP(Table2[[#This Row],[Description]],'Actuals Lookup'!D:F,3,0),Table2[[#This Row],[Manual Cat Value]])</f>
        <v>Delete</v>
      </c>
      <c r="G9401" t="s">
        <v>62</v>
      </c>
      <c r="H9401" s="8" t="s">
        <v>9</v>
      </c>
      <c r="I9401" s="8"/>
      <c r="O9401" t="str">
        <f>LEFT(Table2[[#This Row],[Description]],75)</f>
        <v>Delaware North</v>
      </c>
    </row>
    <row r="9402" spans="1:15" hidden="1">
      <c r="A9402" s="25">
        <f>VALUE(YEAR(Table2[[#This Row],[Date]])&amp;TEXT(MONTH(Table2[[#This Row],[Date]]),"00"))</f>
        <v>202306</v>
      </c>
      <c r="B9402" s="6">
        <v>45081</v>
      </c>
      <c r="C9402" t="s">
        <v>2916</v>
      </c>
      <c r="D9402" t="s">
        <v>4444</v>
      </c>
      <c r="E9402">
        <v>35</v>
      </c>
      <c r="F9402" s="2" t="str">
        <f>IF(Table2[[#This Row],[Manual Cat Value]]="",VLOOKUP(Table2[[#This Row],[Description]],'Actuals Lookup'!D:F,3,0),Table2[[#This Row],[Manual Cat Value]])</f>
        <v>Exp - Shopping</v>
      </c>
      <c r="H9402" s="8" t="s">
        <v>36</v>
      </c>
      <c r="I9402" s="8"/>
      <c r="O9402" t="str">
        <f>LEFT(Table2[[#This Row],[Description]],75)</f>
        <v>DNCSS MN TWINS RETAIL    MINNEAPOLIS  MN REF #24692164S2XEG34KD</v>
      </c>
    </row>
    <row r="9403" spans="1:15" hidden="1">
      <c r="A9403" s="25">
        <f>VALUE(YEAR(Table2[[#This Row],[Date]])&amp;TEXT(MONTH(Table2[[#This Row],[Date]]),"00"))</f>
        <v>202306</v>
      </c>
      <c r="B9403" s="6">
        <v>45081</v>
      </c>
      <c r="C9403" t="s">
        <v>2916</v>
      </c>
      <c r="D9403" t="s">
        <v>4445</v>
      </c>
      <c r="E9403">
        <v>62.73</v>
      </c>
      <c r="F9403" s="2" t="str">
        <f>IF(Table2[[#This Row],[Manual Cat Value]]="",VLOOKUP(Table2[[#This Row],[Description]],'Actuals Lookup'!D:F,3,0),Table2[[#This Row],[Manual Cat Value]])</f>
        <v>Exp - Transportation</v>
      </c>
      <c r="H9403" s="8" t="s">
        <v>22</v>
      </c>
      <c r="I9403" s="8"/>
      <c r="O9403" t="str">
        <f>LEFT(Table2[[#This Row],[Description]],75)</f>
        <v>HOLIDAY STATIONS 0217    EDINA        MN REF #24941664TRQEBJ488</v>
      </c>
    </row>
    <row r="9404" spans="1:15" hidden="1">
      <c r="A9404" s="25">
        <f>VALUE(YEAR(Table2[[#This Row],[Date]])&amp;TEXT(MONTH(Table2[[#This Row],[Date]]),"00"))</f>
        <v>202306</v>
      </c>
      <c r="B9404" s="6">
        <v>45081</v>
      </c>
      <c r="C9404" t="s">
        <v>2916</v>
      </c>
      <c r="D9404" t="s">
        <v>4446</v>
      </c>
      <c r="E9404">
        <v>25</v>
      </c>
      <c r="F9404" s="2" t="str">
        <f>IF(Table2[[#This Row],[Manual Cat Value]]="",VLOOKUP(Table2[[#This Row],[Description]],'Actuals Lookup'!D:F,3,0),Table2[[#This Row],[Manual Cat Value]])</f>
        <v>Exp - Transportation</v>
      </c>
      <c r="H9404" s="8" t="s">
        <v>22</v>
      </c>
      <c r="I9404" s="8"/>
      <c r="O9404" t="str">
        <f>LEFT(Table2[[#This Row],[Description]],75)</f>
        <v>INTERSTATE PARKING COMPA MILWAUKEE    WI REF #24801974S8AN3A57A</v>
      </c>
    </row>
    <row r="9405" spans="1:15" hidden="1">
      <c r="A9405" s="25">
        <f>VALUE(YEAR(Table2[[#This Row],[Date]])&amp;TEXT(MONTH(Table2[[#This Row],[Date]]),"00"))</f>
        <v>202306</v>
      </c>
      <c r="B9405" s="6">
        <v>45081</v>
      </c>
      <c r="C9405" t="s">
        <v>2916</v>
      </c>
      <c r="D9405" t="s">
        <v>4447</v>
      </c>
      <c r="E9405">
        <v>161.05000000000001</v>
      </c>
      <c r="F9405" s="2" t="str">
        <f>IF(Table2[[#This Row],[Manual Cat Value]]="",VLOOKUP(Table2[[#This Row],[Description]],'Actuals Lookup'!D:F,3,0),Table2[[#This Row],[Manual Cat Value]])</f>
        <v>Exp - Shopping</v>
      </c>
      <c r="H9405" s="8" t="s">
        <v>36</v>
      </c>
      <c r="I9405" s="8"/>
      <c r="O9405" t="str">
        <f>LEFT(Table2[[#This Row],[Description]],75)</f>
        <v>OFFICE DEPOT #1090       800-463-3768 MN REF #24137464S2XLNWMS8</v>
      </c>
    </row>
    <row r="9406" spans="1:15" hidden="1">
      <c r="A9406" s="25">
        <f>VALUE(YEAR(Table2[[#This Row],[Date]])&amp;TEXT(MONTH(Table2[[#This Row],[Date]]),"00"))</f>
        <v>202306</v>
      </c>
      <c r="B9406" s="6">
        <v>45081</v>
      </c>
      <c r="C9406" t="s">
        <v>2916</v>
      </c>
      <c r="D9406" t="s">
        <v>4448</v>
      </c>
      <c r="E9406">
        <v>11.17</v>
      </c>
      <c r="F9406" s="2" t="str">
        <f>IF(Table2[[#This Row],[Manual Cat Value]]="",VLOOKUP(Table2[[#This Row],[Description]],'Actuals Lookup'!D:F,3,0),Table2[[#This Row],[Manual Cat Value]])</f>
        <v>Exp - Entertainment</v>
      </c>
      <c r="H9406" s="8" t="s">
        <v>39</v>
      </c>
      <c r="I9406" s="8"/>
      <c r="O9406" t="str">
        <f>LEFT(Table2[[#This Row],[Description]],75)</f>
        <v>PARTY CITY 1150          CHANHASSEN   MN REF #24692164S2XDR2TSQ</v>
      </c>
    </row>
    <row r="9407" spans="1:15" hidden="1">
      <c r="A9407" s="25">
        <f>VALUE(YEAR(Table2[[#This Row],[Date]])&amp;TEXT(MONTH(Table2[[#This Row],[Date]]),"00"))</f>
        <v>202306</v>
      </c>
      <c r="B9407" s="6">
        <v>45081</v>
      </c>
      <c r="C9407" t="s">
        <v>2916</v>
      </c>
      <c r="D9407" t="s">
        <v>4449</v>
      </c>
      <c r="E9407">
        <v>3.85</v>
      </c>
      <c r="F9407" s="2" t="str">
        <f>IF(Table2[[#This Row],[Manual Cat Value]]="",VLOOKUP(Table2[[#This Row],[Description]],'Actuals Lookup'!D:F,3,0),Table2[[#This Row],[Manual Cat Value]])</f>
        <v>Exp - Transportation</v>
      </c>
      <c r="H9407" s="8" t="s">
        <v>22</v>
      </c>
      <c r="I9407" s="8"/>
      <c r="O9407" t="str">
        <f>LEFT(Table2[[#This Row],[Description]],75)</f>
        <v>PREMIUM PARKING          HTTPSWWW.PREMLA REF #24011344S001EYRTB</v>
      </c>
    </row>
    <row r="9408" spans="1:15" hidden="1">
      <c r="A9408">
        <v>202306</v>
      </c>
      <c r="B9408" s="6">
        <v>45081</v>
      </c>
      <c r="C9408" t="s">
        <v>4006</v>
      </c>
      <c r="D9408" t="s">
        <v>4206</v>
      </c>
      <c r="E9408">
        <v>16</v>
      </c>
      <c r="F9408" s="2" t="str">
        <f>IF(Table2[[#This Row],[Manual Cat Value]]="",VLOOKUP(Table2[[#This Row],[Description]],'Actuals Lookup'!D:F,3,0),Table2[[#This Row],[Manual Cat Value]])</f>
        <v>Travel</v>
      </c>
      <c r="G9408" t="s">
        <v>43</v>
      </c>
      <c r="I9408" s="8"/>
      <c r="O9408" t="str">
        <f>LEFT(Table2[[#This Row],[Description]],75)</f>
        <v>Ramp B</v>
      </c>
    </row>
    <row r="9409" spans="1:15" hidden="1">
      <c r="A9409">
        <v>202306</v>
      </c>
      <c r="B9409" s="6">
        <v>45081</v>
      </c>
      <c r="C9409" t="s">
        <v>4006</v>
      </c>
      <c r="D9409" t="s">
        <v>1707</v>
      </c>
      <c r="E9409">
        <v>15.45</v>
      </c>
      <c r="F9409" s="2" t="str">
        <f>IF(Table2[[#This Row],[Manual Cat Value]]="",VLOOKUP(Table2[[#This Row],[Description]],'Actuals Lookup'!D:F,3,0),Table2[[#This Row],[Manual Cat Value]])</f>
        <v>Transportation</v>
      </c>
      <c r="G9409" t="s">
        <v>23</v>
      </c>
      <c r="I9409" s="8"/>
      <c r="O9409" t="str">
        <f>LEFT(Table2[[#This Row],[Description]],75)</f>
        <v>Speedway</v>
      </c>
    </row>
    <row r="9410" spans="1:15" hidden="1">
      <c r="A9410" s="25">
        <f>VALUE(YEAR(Table2[[#This Row],[Date]])&amp;TEXT(MONTH(Table2[[#This Row],[Date]]),"00"))</f>
        <v>202306</v>
      </c>
      <c r="B9410" s="6">
        <v>45081</v>
      </c>
      <c r="C9410" t="s">
        <v>2916</v>
      </c>
      <c r="D9410" t="s">
        <v>4450</v>
      </c>
      <c r="E9410">
        <v>-60</v>
      </c>
      <c r="F9410" s="2" t="str">
        <f>IF(Table2[[#This Row],[Manual Cat Value]]="",VLOOKUP(Table2[[#This Row],[Description]],'Actuals Lookup'!D:F,3,0),Table2[[#This Row],[Manual Cat Value]])</f>
        <v>Exp - Shopping</v>
      </c>
      <c r="H9410" s="8" t="s">
        <v>36</v>
      </c>
      <c r="I9410" s="8"/>
      <c r="O9410" t="str">
        <f>LEFT(Table2[[#This Row],[Description]],75)</f>
        <v>TOMMY BAHAMA ECOMM       866-986- CREDIT REF #74692164S2X917A7D</v>
      </c>
    </row>
    <row r="9411" spans="1:15" hidden="1">
      <c r="A9411">
        <v>202306</v>
      </c>
      <c r="B9411" s="6">
        <v>45082</v>
      </c>
      <c r="C9411" t="s">
        <v>3932</v>
      </c>
      <c r="D9411" t="s">
        <v>38</v>
      </c>
      <c r="E9411">
        <v>6.42</v>
      </c>
      <c r="F9411" s="2" t="str">
        <f>IF(Table2[[#This Row],[Manual Cat Value]]="",VLOOKUP(Table2[[#This Row],[Description]],'Actuals Lookup'!D:F,3,0),Table2[[#This Row],[Manual Cat Value]])</f>
        <v>Exp - Amazon</v>
      </c>
      <c r="G9411" t="s">
        <v>41</v>
      </c>
      <c r="H9411" s="8" t="s">
        <v>37</v>
      </c>
      <c r="I9411" s="8"/>
      <c r="O9411" t="str">
        <f>LEFT(Table2[[#This Row],[Description]],75)</f>
        <v>Amazon</v>
      </c>
    </row>
    <row r="9412" spans="1:15" hidden="1">
      <c r="A9412">
        <v>202306</v>
      </c>
      <c r="B9412" s="6">
        <v>45082</v>
      </c>
      <c r="C9412" t="s">
        <v>4006</v>
      </c>
      <c r="D9412" t="s">
        <v>684</v>
      </c>
      <c r="E9412">
        <v>36.619999999999997</v>
      </c>
      <c r="F9412" s="2" t="str">
        <f>IF(Table2[[#This Row],[Manual Cat Value]]="",VLOOKUP(Table2[[#This Row],[Description]],'Actuals Lookup'!D:F,3,0),Table2[[#This Row],[Manual Cat Value]])</f>
        <v>Groceries</v>
      </c>
      <c r="G9412" t="s">
        <v>28</v>
      </c>
      <c r="I9412" s="8"/>
      <c r="O9412" t="str">
        <f>LEFT(Table2[[#This Row],[Description]],75)</f>
        <v>Cub Foods</v>
      </c>
    </row>
    <row r="9413" spans="1:15" hidden="1">
      <c r="A9413">
        <v>202306</v>
      </c>
      <c r="B9413" s="6">
        <v>45082</v>
      </c>
      <c r="C9413" t="s">
        <v>4006</v>
      </c>
      <c r="D9413" t="s">
        <v>690</v>
      </c>
      <c r="E9413">
        <v>12.64</v>
      </c>
      <c r="F9413" s="2" t="str">
        <f>IF(Table2[[#This Row],[Manual Cat Value]]="",VLOOKUP(Table2[[#This Row],[Description]],'Actuals Lookup'!D:F,3,0),Table2[[#This Row],[Manual Cat Value]])</f>
        <v>Restaurants</v>
      </c>
      <c r="G9413" t="s">
        <v>26</v>
      </c>
      <c r="I9413" s="8"/>
      <c r="O9413" t="str">
        <f>LEFT(Table2[[#This Row],[Description]],75)</f>
        <v>Culver's</v>
      </c>
    </row>
    <row r="9414" spans="1:15" hidden="1">
      <c r="A9414" s="25">
        <f>VALUE(YEAR(Table2[[#This Row],[Date]])&amp;TEXT(MONTH(Table2[[#This Row],[Date]]),"00"))</f>
        <v>202306</v>
      </c>
      <c r="B9414" s="6">
        <v>45083</v>
      </c>
      <c r="C9414" t="s">
        <v>2916</v>
      </c>
      <c r="D9414" t="s">
        <v>4451</v>
      </c>
      <c r="E9414">
        <v>63.01</v>
      </c>
      <c r="F9414" s="2" t="str">
        <f>IF(Table2[[#This Row],[Manual Cat Value]]="",VLOOKUP(Table2[[#This Row],[Description]],'Actuals Lookup'!D:F,3,0),Table2[[#This Row],[Manual Cat Value]])</f>
        <v>Exp - Shopping</v>
      </c>
      <c r="H9414" s="8" t="s">
        <v>36</v>
      </c>
      <c r="I9414" s="8"/>
      <c r="O9414" t="str">
        <f>LEFT(Table2[[#This Row],[Description]],75)</f>
        <v>535 - MADE IN KC @ MCI   LAS VEGAS    NV REF #24692164X2ZDGPGSX</v>
      </c>
    </row>
    <row r="9415" spans="1:15" hidden="1">
      <c r="A9415" s="25">
        <f>VALUE(YEAR(Table2[[#This Row],[Date]])&amp;TEXT(MONTH(Table2[[#This Row],[Date]]),"00"))</f>
        <v>202306</v>
      </c>
      <c r="B9415" s="6">
        <v>45083</v>
      </c>
      <c r="C9415" t="s">
        <v>2916</v>
      </c>
      <c r="D9415" t="s">
        <v>4452</v>
      </c>
      <c r="E9415">
        <v>16</v>
      </c>
      <c r="F9415" s="2" t="str">
        <f>IF(Table2[[#This Row],[Manual Cat Value]]="",VLOOKUP(Table2[[#This Row],[Description]],'Actuals Lookup'!D:F,3,0),Table2[[#This Row],[Manual Cat Value]])</f>
        <v>Exp - Entertainment</v>
      </c>
      <c r="H9415" s="8" t="s">
        <v>39</v>
      </c>
      <c r="I9415" s="8"/>
      <c r="O9415" t="str">
        <f>LEFT(Table2[[#This Row],[Description]],75)</f>
        <v>B RAMP 8066              MINNEAPOLIS  MN REF #24789304WSPGF3HP7</v>
      </c>
    </row>
    <row r="9416" spans="1:15" hidden="1">
      <c r="A9416" s="25">
        <f>VALUE(YEAR(Table2[[#This Row],[Date]])&amp;TEXT(MONTH(Table2[[#This Row],[Date]]),"00"))</f>
        <v>202306</v>
      </c>
      <c r="B9416" s="6">
        <v>45083</v>
      </c>
      <c r="C9416" t="s">
        <v>2916</v>
      </c>
      <c r="D9416" t="s">
        <v>4453</v>
      </c>
      <c r="E9416">
        <v>100</v>
      </c>
      <c r="F9416" s="2" t="str">
        <f>IF(Table2[[#This Row],[Manual Cat Value]]="",VLOOKUP(Table2[[#This Row],[Description]],'Actuals Lookup'!D:F,3,0),Table2[[#This Row],[Manual Cat Value]])</f>
        <v>Sav - College Savings</v>
      </c>
      <c r="H9416" s="8" t="s">
        <v>60</v>
      </c>
      <c r="I9416" s="8"/>
      <c r="O9416" t="str">
        <f>LEFT(Table2[[#This Row],[Description]],75)</f>
        <v>Withdrawal ACH College Savings TYPE: ACH ID: XX5818 CO: College Savings NAM</v>
      </c>
    </row>
    <row r="9417" spans="1:15" hidden="1">
      <c r="A9417" s="25">
        <f>VALUE(YEAR(Table2[[#This Row],[Date]])&amp;TEXT(MONTH(Table2[[#This Row],[Date]]),"00"))</f>
        <v>202306</v>
      </c>
      <c r="B9417" s="6">
        <v>45083</v>
      </c>
      <c r="C9417" t="s">
        <v>2916</v>
      </c>
      <c r="D9417" t="s">
        <v>4454</v>
      </c>
      <c r="E9417">
        <v>330</v>
      </c>
      <c r="F9417" s="2" t="str">
        <f>IF(Table2[[#This Row],[Manual Cat Value]]="",VLOOKUP(Table2[[#This Row],[Description]],'Actuals Lookup'!D:F,3,0),Table2[[#This Row],[Manual Cat Value]])</f>
        <v>Exp - Day Care</v>
      </c>
      <c r="H9417" s="8" t="s">
        <v>19</v>
      </c>
      <c r="I9417" s="8"/>
      <c r="O9417" t="str">
        <f>LEFT(Table2[[#This Row],[Description]],75)</f>
        <v>Withdrawal ACH MHCHILDCARELLC TYPE: DUES ID: XX8198 CO: MHCHILDCARELLC Entr</v>
      </c>
    </row>
    <row r="9418" spans="1:15" hidden="1">
      <c r="A9418" s="25">
        <f>VALUE(YEAR(Table2[[#This Row],[Date]])&amp;TEXT(MONTH(Table2[[#This Row],[Date]]),"00"))</f>
        <v>202306</v>
      </c>
      <c r="B9418" s="6">
        <v>45084</v>
      </c>
      <c r="C9418" t="s">
        <v>2916</v>
      </c>
      <c r="D9418" t="s">
        <v>4455</v>
      </c>
      <c r="E9418">
        <v>208.62</v>
      </c>
      <c r="F9418" s="2" t="str">
        <f>IF(Table2[[#This Row],[Manual Cat Value]]="",VLOOKUP(Table2[[#This Row],[Description]],'Actuals Lookup'!D:F,3,0),Table2[[#This Row],[Manual Cat Value]])</f>
        <v>Exp - Groceries</v>
      </c>
      <c r="H9418" s="8" t="s">
        <v>27</v>
      </c>
      <c r="I9418" s="8"/>
      <c r="O9418" t="str">
        <f>LEFT(Table2[[#This Row],[Description]],75)</f>
        <v>COSTCO WHSE #0783        EDEN PRAIRIE MN REF #24943004YS4AHF1PT</v>
      </c>
    </row>
    <row r="9419" spans="1:15" hidden="1">
      <c r="A9419" s="25">
        <f>VALUE(YEAR(Table2[[#This Row],[Date]])&amp;TEXT(MONTH(Table2[[#This Row],[Date]]),"00"))</f>
        <v>202306</v>
      </c>
      <c r="B9419" s="6">
        <v>45084</v>
      </c>
      <c r="C9419" t="s">
        <v>2916</v>
      </c>
      <c r="D9419" t="s">
        <v>4456</v>
      </c>
      <c r="E9419">
        <v>193.22</v>
      </c>
      <c r="F9419" s="2" t="str">
        <f>IF(Table2[[#This Row],[Manual Cat Value]]="",VLOOKUP(Table2[[#This Row],[Description]],'Actuals Lookup'!D:F,3,0),Table2[[#This Row],[Manual Cat Value]])</f>
        <v>Exp - Shopping</v>
      </c>
      <c r="H9419" s="8" t="s">
        <v>36</v>
      </c>
      <c r="I9419" s="8"/>
      <c r="O9419" t="str">
        <f>LEFT(Table2[[#This Row],[Description]],75)</f>
        <v>SP HELINOX               HTTPSHELINOXFCA REF #24492164X000RVNW7</v>
      </c>
    </row>
    <row r="9420" spans="1:15" hidden="1">
      <c r="A9420" s="25">
        <f>VALUE(YEAR(Table2[[#This Row],[Date]])&amp;TEXT(MONTH(Table2[[#This Row],[Date]]),"00"))</f>
        <v>202306</v>
      </c>
      <c r="B9420" s="6">
        <v>45084</v>
      </c>
      <c r="C9420" t="s">
        <v>2916</v>
      </c>
      <c r="D9420" t="s">
        <v>4457</v>
      </c>
      <c r="E9420">
        <v>550.11</v>
      </c>
      <c r="F9420" s="2" t="str">
        <f>IF(Table2[[#This Row],[Manual Cat Value]]="",VLOOKUP(Table2[[#This Row],[Description]],'Actuals Lookup'!D:F,3,0),Table2[[#This Row],[Manual Cat Value]])</f>
        <v>Exp - Travel</v>
      </c>
      <c r="H9420" s="8" t="s">
        <v>52</v>
      </c>
      <c r="I9420" s="8"/>
      <c r="O9420" t="str">
        <f>LEFT(Table2[[#This Row],[Description]],75)</f>
        <v>US BOAT AND RECREATION   SPRING PARK  MN REF #24416064XS66E1BTJ</v>
      </c>
    </row>
    <row r="9421" spans="1:15" hidden="1">
      <c r="A9421" s="25">
        <f>VALUE(YEAR(Table2[[#This Row],[Date]])&amp;TEXT(MONTH(Table2[[#This Row],[Date]]),"00"))</f>
        <v>202306</v>
      </c>
      <c r="B9421" s="6">
        <v>45084</v>
      </c>
      <c r="C9421" t="s">
        <v>2916</v>
      </c>
      <c r="D9421" t="s">
        <v>1470</v>
      </c>
      <c r="E9421">
        <v>137.22999999999999</v>
      </c>
      <c r="F9421" s="2" t="str">
        <f>IF(Table2[[#This Row],[Manual Cat Value]]="",VLOOKUP(Table2[[#This Row],[Description]],'Actuals Lookup'!D:F,3,0),Table2[[#This Row],[Manual Cat Value]])</f>
        <v>Exp - Utilities</v>
      </c>
      <c r="H9421" s="8" t="s">
        <v>6</v>
      </c>
      <c r="I9421" s="8"/>
      <c r="O9421" t="str">
        <f>LEFT(Table2[[#This Row],[Description]],75)</f>
        <v>Payment to Xcel Energy</v>
      </c>
    </row>
    <row r="9422" spans="1:15" hidden="1">
      <c r="A9422">
        <v>202306</v>
      </c>
      <c r="B9422" s="6">
        <v>45085</v>
      </c>
      <c r="C9422" t="s">
        <v>3932</v>
      </c>
      <c r="D9422" t="s">
        <v>38</v>
      </c>
      <c r="E9422">
        <v>11.8</v>
      </c>
      <c r="F9422" s="2" t="str">
        <f>IF(Table2[[#This Row],[Manual Cat Value]]="",VLOOKUP(Table2[[#This Row],[Description]],'Actuals Lookup'!D:F,3,0),Table2[[#This Row],[Manual Cat Value]])</f>
        <v>Exp - Amazon</v>
      </c>
      <c r="G9422" t="s">
        <v>41</v>
      </c>
      <c r="H9422" s="8" t="s">
        <v>37</v>
      </c>
      <c r="I9422" s="8"/>
      <c r="O9422" t="str">
        <f>LEFT(Table2[[#This Row],[Description]],75)</f>
        <v>Amazon</v>
      </c>
    </row>
    <row r="9423" spans="1:15" hidden="1">
      <c r="A9423">
        <v>202306</v>
      </c>
      <c r="B9423" s="6">
        <v>45085</v>
      </c>
      <c r="C9423" t="s">
        <v>3932</v>
      </c>
      <c r="D9423" t="s">
        <v>38</v>
      </c>
      <c r="E9423">
        <v>35.76</v>
      </c>
      <c r="F9423" s="2" t="str">
        <f>IF(Table2[[#This Row],[Manual Cat Value]]="",VLOOKUP(Table2[[#This Row],[Description]],'Actuals Lookup'!D:F,3,0),Table2[[#This Row],[Manual Cat Value]])</f>
        <v>Exp - Amazon</v>
      </c>
      <c r="G9423" t="s">
        <v>41</v>
      </c>
      <c r="H9423" s="8" t="s">
        <v>37</v>
      </c>
      <c r="I9423" s="8"/>
      <c r="O9423" t="str">
        <f>LEFT(Table2[[#This Row],[Description]],75)</f>
        <v>Amazon</v>
      </c>
    </row>
    <row r="9424" spans="1:15" hidden="1">
      <c r="A9424">
        <v>202306</v>
      </c>
      <c r="B9424" s="6">
        <v>45085</v>
      </c>
      <c r="C9424" t="s">
        <v>3932</v>
      </c>
      <c r="D9424" t="s">
        <v>38</v>
      </c>
      <c r="E9424">
        <v>42.94</v>
      </c>
      <c r="F9424" s="2" t="str">
        <f>IF(Table2[[#This Row],[Manual Cat Value]]="",VLOOKUP(Table2[[#This Row],[Description]],'Actuals Lookup'!D:F,3,0),Table2[[#This Row],[Manual Cat Value]])</f>
        <v>Exp - Amazon</v>
      </c>
      <c r="G9424" t="s">
        <v>41</v>
      </c>
      <c r="H9424" s="8" t="s">
        <v>37</v>
      </c>
      <c r="I9424" s="8"/>
      <c r="O9424" t="str">
        <f>LEFT(Table2[[#This Row],[Description]],75)</f>
        <v>Amazon</v>
      </c>
    </row>
    <row r="9425" spans="1:15" hidden="1">
      <c r="A9425" s="25">
        <f>VALUE(YEAR(Table2[[#This Row],[Date]])&amp;TEXT(MONTH(Table2[[#This Row],[Date]]),"00"))</f>
        <v>202306</v>
      </c>
      <c r="B9425" s="6">
        <v>45085</v>
      </c>
      <c r="C9425" t="s">
        <v>2916</v>
      </c>
      <c r="D9425" t="s">
        <v>404</v>
      </c>
      <c r="E9425">
        <v>-2434.2199999999998</v>
      </c>
      <c r="F9425" s="2" t="str">
        <f>IF(Table2[[#This Row],[Manual Cat Value]]="",VLOOKUP(Table2[[#This Row],[Description]],'Actuals Lookup'!D:F,3,0),Table2[[#This Row],[Manual Cat Value]])</f>
        <v>Inc - Britney</v>
      </c>
      <c r="H9425" s="8" t="s">
        <v>65</v>
      </c>
      <c r="I9425" s="8"/>
      <c r="O9425" t="str">
        <f>LEFT(Table2[[#This Row],[Description]],75)</f>
        <v>Cargill Inc Deposit</v>
      </c>
    </row>
    <row r="9426" spans="1:15" hidden="1">
      <c r="A9426" s="25">
        <f>VALUE(YEAR(Table2[[#This Row],[Date]])&amp;TEXT(MONTH(Table2[[#This Row],[Date]]),"00"))</f>
        <v>202306</v>
      </c>
      <c r="B9426" s="6">
        <v>45085</v>
      </c>
      <c r="C9426" t="s">
        <v>2916</v>
      </c>
      <c r="D9426" t="s">
        <v>1958</v>
      </c>
      <c r="E9426">
        <v>59.67</v>
      </c>
      <c r="F9426" s="2" t="str">
        <f>IF(Table2[[#This Row],[Manual Cat Value]]="",VLOOKUP(Table2[[#This Row],[Description]],'Actuals Lookup'!D:F,3,0),Table2[[#This Row],[Manual Cat Value]])</f>
        <v>Exp - Shopping</v>
      </c>
      <c r="H9426" s="8" t="s">
        <v>36</v>
      </c>
      <c r="I9426" s="8"/>
      <c r="O9426" t="str">
        <f>LEFT(Table2[[#This Row],[Description]],75)</f>
        <v>Transfer to Venmo</v>
      </c>
    </row>
    <row r="9427" spans="1:15" hidden="1">
      <c r="A9427" s="25">
        <f>VALUE(YEAR(Table2[[#This Row],[Date]])&amp;TEXT(MONTH(Table2[[#This Row],[Date]]),"00"))</f>
        <v>202306</v>
      </c>
      <c r="B9427" s="6">
        <v>45085</v>
      </c>
      <c r="C9427" t="s">
        <v>2916</v>
      </c>
      <c r="D9427" t="s">
        <v>1958</v>
      </c>
      <c r="E9427">
        <v>20</v>
      </c>
      <c r="F9427" s="2" t="str">
        <f>IF(Table2[[#This Row],[Manual Cat Value]]="",VLOOKUP(Table2[[#This Row],[Description]],'Actuals Lookup'!D:F,3,0),Table2[[#This Row],[Manual Cat Value]])</f>
        <v>Exp - Shopping</v>
      </c>
      <c r="H9427" s="8" t="s">
        <v>36</v>
      </c>
      <c r="I9427" s="8"/>
      <c r="O9427" t="str">
        <f>LEFT(Table2[[#This Row],[Description]],75)</f>
        <v>Transfer to Venmo</v>
      </c>
    </row>
    <row r="9428" spans="1:15" hidden="1">
      <c r="A9428">
        <v>202306</v>
      </c>
      <c r="B9428" s="6">
        <v>45086</v>
      </c>
      <c r="C9428" t="s">
        <v>4006</v>
      </c>
      <c r="D9428" t="s">
        <v>4458</v>
      </c>
      <c r="E9428">
        <v>33.71</v>
      </c>
      <c r="F9428" s="2" t="str">
        <f>IF(Table2[[#This Row],[Manual Cat Value]]="",VLOOKUP(Table2[[#This Row],[Description]],'Actuals Lookup'!D:F,3,0),Table2[[#This Row],[Manual Cat Value]])</f>
        <v>Restaurants</v>
      </c>
      <c r="G9428" t="s">
        <v>26</v>
      </c>
      <c r="I9428" s="8"/>
      <c r="O9428" t="str">
        <f>LEFT(Table2[[#This Row],[Description]],75)</f>
        <v>Birchs On The Lake 0long Lake Mn Xxxxxxx3160 Restaurant</v>
      </c>
    </row>
    <row r="9429" spans="1:15" hidden="1">
      <c r="A9429">
        <v>202306</v>
      </c>
      <c r="B9429" s="6">
        <v>45086</v>
      </c>
      <c r="C9429" t="s">
        <v>4006</v>
      </c>
      <c r="D9429" t="s">
        <v>4458</v>
      </c>
      <c r="E9429">
        <v>84.62</v>
      </c>
      <c r="F9429" s="2" t="str">
        <f>IF(Table2[[#This Row],[Manual Cat Value]]="",VLOOKUP(Table2[[#This Row],[Description]],'Actuals Lookup'!D:F,3,0),Table2[[#This Row],[Manual Cat Value]])</f>
        <v>Restaurants</v>
      </c>
      <c r="G9429" t="s">
        <v>26</v>
      </c>
      <c r="I9429" s="8"/>
      <c r="O9429" t="str">
        <f>LEFT(Table2[[#This Row],[Description]],75)</f>
        <v>Birchs On The Lake 0long Lake Mn Xxxxxxx3160 Restaurant</v>
      </c>
    </row>
    <row r="9430" spans="1:15" hidden="1">
      <c r="A9430" s="25">
        <f>VALUE(YEAR(Table2[[#This Row],[Date]])&amp;TEXT(MONTH(Table2[[#This Row],[Date]]),"00"))</f>
        <v>202306</v>
      </c>
      <c r="B9430" s="6">
        <v>45086</v>
      </c>
      <c r="C9430" t="s">
        <v>2916</v>
      </c>
      <c r="D9430" t="s">
        <v>4459</v>
      </c>
      <c r="E9430">
        <v>-130</v>
      </c>
      <c r="F9430" s="2" t="str">
        <f>IF(Table2[[#This Row],[Manual Cat Value]]="",VLOOKUP(Table2[[#This Row],[Description]],'Actuals Lookup'!D:F,3,0),Table2[[#This Row],[Manual Cat Value]])</f>
        <v>Exp - Shopping</v>
      </c>
      <c r="H9430" s="8" t="s">
        <v>36</v>
      </c>
      <c r="I9430" s="8"/>
      <c r="O9430" t="str">
        <f>LEFT(Table2[[#This Row],[Description]],75)</f>
        <v>EVEREVE - 15 EDEN PRAIRIE  MN     CREDIT REF #74269794YEJERSSX4</v>
      </c>
    </row>
    <row r="9431" spans="1:15" hidden="1">
      <c r="A9431" s="25">
        <f>VALUE(YEAR(Table2[[#This Row],[Date]])&amp;TEXT(MONTH(Table2[[#This Row],[Date]]),"00"))</f>
        <v>202306</v>
      </c>
      <c r="B9431" s="6">
        <v>45086</v>
      </c>
      <c r="C9431" t="s">
        <v>2916</v>
      </c>
      <c r="D9431" t="s">
        <v>4460</v>
      </c>
      <c r="E9431">
        <v>47.25</v>
      </c>
      <c r="F9431" s="2" t="str">
        <f>IF(Table2[[#This Row],[Manual Cat Value]]="",VLOOKUP(Table2[[#This Row],[Description]],'Actuals Lookup'!D:F,3,0),Table2[[#This Row],[Manual Cat Value]])</f>
        <v>Exp - Gym</v>
      </c>
      <c r="H9431" s="8" t="s">
        <v>33</v>
      </c>
      <c r="I9431" s="8"/>
      <c r="O9431" t="str">
        <f>LEFT(Table2[[#This Row],[Description]],75)</f>
        <v>PELOTON* MEMBERSHIP      HTTPSWWW.ONEPNY REF #24011344Z0012XQVX</v>
      </c>
    </row>
    <row r="9432" spans="1:15" hidden="1">
      <c r="A9432" s="25">
        <f>VALUE(YEAR(Table2[[#This Row],[Date]])&amp;TEXT(MONTH(Table2[[#This Row],[Date]]),"00"))</f>
        <v>202306</v>
      </c>
      <c r="B9432" s="6">
        <v>45086</v>
      </c>
      <c r="C9432" t="s">
        <v>2916</v>
      </c>
      <c r="D9432" t="s">
        <v>1958</v>
      </c>
      <c r="E9432">
        <v>125</v>
      </c>
      <c r="F9432" s="2" t="str">
        <f>IF(Table2[[#This Row],[Manual Cat Value]]="",VLOOKUP(Table2[[#This Row],[Description]],'Actuals Lookup'!D:F,3,0),Table2[[#This Row],[Manual Cat Value]])</f>
        <v>Exp - Shopping</v>
      </c>
      <c r="H9432" s="8" t="s">
        <v>36</v>
      </c>
      <c r="I9432" s="8"/>
      <c r="O9432" t="str">
        <f>LEFT(Table2[[#This Row],[Description]],75)</f>
        <v>Transfer to Venmo</v>
      </c>
    </row>
    <row r="9433" spans="1:15" hidden="1">
      <c r="A9433">
        <v>202306</v>
      </c>
      <c r="B9433" s="6">
        <v>45087</v>
      </c>
      <c r="C9433" t="s">
        <v>4006</v>
      </c>
      <c r="D9433" t="s">
        <v>4461</v>
      </c>
      <c r="E9433">
        <v>33.229999999999997</v>
      </c>
      <c r="F9433" s="2" t="str">
        <f>IF(Table2[[#This Row],[Manual Cat Value]]="",VLOOKUP(Table2[[#This Row],[Description]],'Actuals Lookup'!D:F,3,0),Table2[[#This Row],[Manual Cat Value]])</f>
        <v>Restaurants</v>
      </c>
      <c r="G9433" t="s">
        <v>26</v>
      </c>
      <c r="I9433" s="8"/>
      <c r="O9433" t="str">
        <f>LEFT(Table2[[#This Row],[Description]],75)</f>
        <v>Lulus Fashion Lounge</v>
      </c>
    </row>
    <row r="9434" spans="1:15" hidden="1">
      <c r="A9434">
        <v>202306</v>
      </c>
      <c r="B9434" s="6">
        <v>45087</v>
      </c>
      <c r="C9434" t="s">
        <v>4006</v>
      </c>
      <c r="D9434" t="s">
        <v>1707</v>
      </c>
      <c r="E9434">
        <v>54.02</v>
      </c>
      <c r="F9434" s="2" t="str">
        <f>IF(Table2[[#This Row],[Manual Cat Value]]="",VLOOKUP(Table2[[#This Row],[Description]],'Actuals Lookup'!D:F,3,0),Table2[[#This Row],[Manual Cat Value]])</f>
        <v>Transportation</v>
      </c>
      <c r="G9434" t="s">
        <v>23</v>
      </c>
      <c r="I9434" s="8"/>
      <c r="O9434" t="str">
        <f>LEFT(Table2[[#This Row],[Description]],75)</f>
        <v>Speedway</v>
      </c>
    </row>
    <row r="9435" spans="1:15" hidden="1">
      <c r="A9435">
        <v>202306</v>
      </c>
      <c r="B9435" s="6">
        <v>45088</v>
      </c>
      <c r="C9435" t="s">
        <v>4006</v>
      </c>
      <c r="D9435" t="s">
        <v>4462</v>
      </c>
      <c r="E9435">
        <v>101.58</v>
      </c>
      <c r="F9435" s="2" t="str">
        <f>IF(Table2[[#This Row],[Manual Cat Value]]="",VLOOKUP(Table2[[#This Row],[Description]],'Actuals Lookup'!D:F,3,0),Table2[[#This Row],[Manual Cat Value]])</f>
        <v>Restaurants</v>
      </c>
      <c r="G9435" t="s">
        <v>26</v>
      </c>
      <c r="I9435" s="8"/>
      <c r="O9435" t="str">
        <f>LEFT(Table2[[#This Row],[Description]],75)</f>
        <v>Brick &amp; Bourbon Edeneden Prairi Xxxxxxxxxxx Xxxxxx4279</v>
      </c>
    </row>
    <row r="9436" spans="1:15" hidden="1">
      <c r="A9436" s="25">
        <f>VALUE(YEAR(Table2[[#This Row],[Date]])&amp;TEXT(MONTH(Table2[[#This Row],[Date]]),"00"))</f>
        <v>202306</v>
      </c>
      <c r="B9436" s="6">
        <v>45088</v>
      </c>
      <c r="C9436" t="s">
        <v>2916</v>
      </c>
      <c r="D9436" t="s">
        <v>4463</v>
      </c>
      <c r="E9436">
        <v>128</v>
      </c>
      <c r="F9436" s="2" t="str">
        <f>IF(Table2[[#This Row],[Manual Cat Value]]="",VLOOKUP(Table2[[#This Row],[Description]],'Actuals Lookup'!D:F,3,0),Table2[[#This Row],[Manual Cat Value]])</f>
        <v>Exp - Shopping</v>
      </c>
      <c r="H9436" s="8" t="s">
        <v>36</v>
      </c>
      <c r="I9436" s="8"/>
      <c r="O9436" t="str">
        <f>LEFT(Table2[[#This Row],[Description]],75)</f>
        <v>LULULEMONCOM*            877-263-9300 CA REF #24692165031NH8023</v>
      </c>
    </row>
    <row r="9437" spans="1:15" hidden="1">
      <c r="A9437">
        <v>202306</v>
      </c>
      <c r="B9437" s="6">
        <v>45089</v>
      </c>
      <c r="C9437" t="s">
        <v>3932</v>
      </c>
      <c r="D9437" t="s">
        <v>38</v>
      </c>
      <c r="E9437">
        <v>26.42</v>
      </c>
      <c r="F9437" s="2" t="str">
        <f>IF(Table2[[#This Row],[Manual Cat Value]]="",VLOOKUP(Table2[[#This Row],[Description]],'Actuals Lookup'!D:F,3,0),Table2[[#This Row],[Manual Cat Value]])</f>
        <v>Exp - Amazon</v>
      </c>
      <c r="G9437" t="s">
        <v>38</v>
      </c>
      <c r="H9437" s="8" t="s">
        <v>37</v>
      </c>
      <c r="I9437" s="8"/>
      <c r="O9437" t="str">
        <f>LEFT(Table2[[#This Row],[Description]],75)</f>
        <v>Amazon</v>
      </c>
    </row>
    <row r="9438" spans="1:15" hidden="1">
      <c r="A9438">
        <v>202306</v>
      </c>
      <c r="B9438" s="6">
        <v>45089</v>
      </c>
      <c r="C9438" t="s">
        <v>4006</v>
      </c>
      <c r="D9438" t="s">
        <v>4464</v>
      </c>
      <c r="E9438">
        <v>8.7899999999999991</v>
      </c>
      <c r="F9438" s="2" t="str">
        <f>IF(Table2[[#This Row],[Manual Cat Value]]="",VLOOKUP(Table2[[#This Row],[Description]],'Actuals Lookup'!D:F,3,0),Table2[[#This Row],[Manual Cat Value]])</f>
        <v>Delete</v>
      </c>
      <c r="G9438" t="s">
        <v>26</v>
      </c>
      <c r="H9438" s="8" t="s">
        <v>9</v>
      </c>
      <c r="I9438" s="8"/>
      <c r="O9438" t="str">
        <f>LEFT(Table2[[#This Row],[Description]],75)</f>
        <v>Aplpay Wayzata Coffewayzata Mn E0f3e261a93e0f3e261axxxxxxxxx5391</v>
      </c>
    </row>
    <row r="9439" spans="1:15" hidden="1">
      <c r="A9439" s="25">
        <f>VALUE(YEAR(Table2[[#This Row],[Date]])&amp;TEXT(MONTH(Table2[[#This Row],[Date]]),"00"))</f>
        <v>202306</v>
      </c>
      <c r="B9439" s="6">
        <v>45089</v>
      </c>
      <c r="C9439" t="s">
        <v>2916</v>
      </c>
      <c r="D9439" t="s">
        <v>4465</v>
      </c>
      <c r="E9439">
        <v>188.12</v>
      </c>
      <c r="F9439" s="2" t="str">
        <f>IF(Table2[[#This Row],[Manual Cat Value]]="",VLOOKUP(Table2[[#This Row],[Description]],'Actuals Lookup'!D:F,3,0),Table2[[#This Row],[Manual Cat Value]])</f>
        <v>Exp - Groceries</v>
      </c>
      <c r="H9439" s="8" t="s">
        <v>27</v>
      </c>
      <c r="I9439" s="8"/>
      <c r="O9439" t="str">
        <f>LEFT(Table2[[#This Row],[Description]],75)</f>
        <v>COSTCO WHSE #0783        EDEN PRAIRIE MN REF #249430053S4AHER42</v>
      </c>
    </row>
    <row r="9440" spans="1:15" hidden="1">
      <c r="A9440" s="25">
        <f>VALUE(YEAR(Table2[[#This Row],[Date]])&amp;TEXT(MONTH(Table2[[#This Row],[Date]]),"00"))</f>
        <v>202306</v>
      </c>
      <c r="B9440" s="6">
        <v>45089</v>
      </c>
      <c r="C9440" t="s">
        <v>2916</v>
      </c>
      <c r="D9440" t="s">
        <v>4466</v>
      </c>
      <c r="E9440">
        <v>5.99</v>
      </c>
      <c r="F9440" s="2" t="str">
        <f>IF(Table2[[#This Row],[Manual Cat Value]]="",VLOOKUP(Table2[[#This Row],[Description]],'Actuals Lookup'!D:F,3,0),Table2[[#This Row],[Manual Cat Value]])</f>
        <v>Exp - Entertainment</v>
      </c>
      <c r="H9440" s="8" t="s">
        <v>39</v>
      </c>
      <c r="I9440" s="8"/>
      <c r="O9440" t="str">
        <f>LEFT(Table2[[#This Row],[Description]],75)</f>
        <v>Hallmark Movies Now      844-4465669  CA REF #24906415253WB2PYL</v>
      </c>
    </row>
    <row r="9441" spans="1:15" hidden="1">
      <c r="A9441" s="25">
        <f>VALUE(YEAR(Table2[[#This Row],[Date]])&amp;TEXT(MONTH(Table2[[#This Row],[Date]]),"00"))</f>
        <v>202306</v>
      </c>
      <c r="B9441" s="6">
        <v>45089</v>
      </c>
      <c r="C9441" t="s">
        <v>2916</v>
      </c>
      <c r="D9441" t="s">
        <v>4467</v>
      </c>
      <c r="E9441">
        <v>51.01</v>
      </c>
      <c r="F9441" s="2" t="str">
        <f>IF(Table2[[#This Row],[Manual Cat Value]]="",VLOOKUP(Table2[[#This Row],[Description]],'Actuals Lookup'!D:F,3,0),Table2[[#This Row],[Manual Cat Value]])</f>
        <v>Exp - Travel</v>
      </c>
      <c r="H9441" s="8" t="s">
        <v>52</v>
      </c>
      <c r="I9441" s="8"/>
      <c r="O9441" t="str">
        <f>LEFT(Table2[[#This Row],[Description]],75)</f>
        <v>THREE RIVERS WEB         763-559-6772 MN REF #248019752TQ5TWZ06</v>
      </c>
    </row>
    <row r="9442" spans="1:15" hidden="1">
      <c r="A9442">
        <v>202306</v>
      </c>
      <c r="B9442" s="6">
        <v>45089</v>
      </c>
      <c r="C9442" t="s">
        <v>4006</v>
      </c>
      <c r="D9442" t="s">
        <v>1931</v>
      </c>
      <c r="E9442">
        <v>30.42</v>
      </c>
      <c r="F9442" s="2" t="str">
        <f>IF(Table2[[#This Row],[Manual Cat Value]]="",VLOOKUP(Table2[[#This Row],[Description]],'Actuals Lookup'!D:F,3,0),Table2[[#This Row],[Manual Cat Value]])</f>
        <v>Exp - Groceries</v>
      </c>
      <c r="G9442" t="s">
        <v>28</v>
      </c>
      <c r="H9442" s="8" t="s">
        <v>27</v>
      </c>
      <c r="I9442" s="8"/>
      <c r="O9442" t="str">
        <f>LEFT(Table2[[#This Row],[Description]],75)</f>
        <v>Trader Joe's</v>
      </c>
    </row>
    <row r="9443" spans="1:15" hidden="1">
      <c r="A9443" s="25">
        <f>VALUE(YEAR(Table2[[#This Row],[Date]])&amp;TEXT(MONTH(Table2[[#This Row],[Date]]),"00"))</f>
        <v>202306</v>
      </c>
      <c r="B9443" s="6">
        <v>45090</v>
      </c>
      <c r="C9443" t="s">
        <v>2916</v>
      </c>
      <c r="D9443" t="s">
        <v>4468</v>
      </c>
      <c r="E9443">
        <v>560.57000000000005</v>
      </c>
      <c r="F9443" s="2" t="str">
        <f>IF(Table2[[#This Row],[Manual Cat Value]]="",VLOOKUP(Table2[[#This Row],[Description]],'Actuals Lookup'!D:F,3,0),Table2[[#This Row],[Manual Cat Value]])</f>
        <v>Exp - Travel</v>
      </c>
      <c r="H9443" s="8" t="s">
        <v>52</v>
      </c>
      <c r="I9443" s="8"/>
      <c r="O9443" t="str">
        <f>LEFT(Table2[[#This Row],[Description]],75)</f>
        <v>BLUEFIN BAY FAMILY OF    TOFTE        MN REF #240009753VMN4NPWZ</v>
      </c>
    </row>
    <row r="9444" spans="1:15" hidden="1">
      <c r="A9444" s="25">
        <f>VALUE(YEAR(Table2[[#This Row],[Date]])&amp;TEXT(MONTH(Table2[[#This Row],[Date]]),"00"))</f>
        <v>202306</v>
      </c>
      <c r="B9444" s="6">
        <v>45090</v>
      </c>
      <c r="C9444" t="s">
        <v>2916</v>
      </c>
      <c r="D9444" t="s">
        <v>4469</v>
      </c>
      <c r="E9444">
        <v>45</v>
      </c>
      <c r="F9444" s="2" t="str">
        <f>IF(Table2[[#This Row],[Manual Cat Value]]="",VLOOKUP(Table2[[#This Row],[Description]],'Actuals Lookup'!D:F,3,0),Table2[[#This Row],[Manual Cat Value]])</f>
        <v>Exp - Utilities</v>
      </c>
      <c r="H9444" s="8" t="s">
        <v>6</v>
      </c>
      <c r="I9444" s="8"/>
      <c r="O9444" t="str">
        <f>LEFT(Table2[[#This Row],[Description]],75)</f>
        <v>CENTURYLINK LUMEN        800-244-1111 LA REF #24692165334DEY802</v>
      </c>
    </row>
    <row r="9445" spans="1:15" hidden="1">
      <c r="A9445" s="25">
        <f>VALUE(YEAR(Table2[[#This Row],[Date]])&amp;TEXT(MONTH(Table2[[#This Row],[Date]]),"00"))</f>
        <v>202306</v>
      </c>
      <c r="B9445" s="6">
        <v>45090</v>
      </c>
      <c r="C9445" t="s">
        <v>2916</v>
      </c>
      <c r="D9445" t="s">
        <v>4470</v>
      </c>
      <c r="E9445">
        <v>-67.14</v>
      </c>
      <c r="F9445" s="2" t="str">
        <f>IF(Table2[[#This Row],[Manual Cat Value]]="",VLOOKUP(Table2[[#This Row],[Description]],'Actuals Lookup'!D:F,3,0),Table2[[#This Row],[Manual Cat Value]])</f>
        <v>Delete</v>
      </c>
      <c r="H9445" s="8" t="s">
        <v>9</v>
      </c>
      <c r="I9445" s="8"/>
      <c r="O9445" t="str">
        <f>LEFT(Table2[[#This Row],[Description]],75)</f>
        <v>Connectyourcare Deposit</v>
      </c>
    </row>
    <row r="9446" spans="1:15" hidden="1">
      <c r="A9446" s="25">
        <f>VALUE(YEAR(Table2[[#This Row],[Date]])&amp;TEXT(MONTH(Table2[[#This Row],[Date]]),"00"))</f>
        <v>202306</v>
      </c>
      <c r="B9446" s="6">
        <v>45090</v>
      </c>
      <c r="C9446" t="s">
        <v>2916</v>
      </c>
      <c r="D9446" t="s">
        <v>4471</v>
      </c>
      <c r="E9446">
        <v>258.05</v>
      </c>
      <c r="F9446" s="2" t="str">
        <f>IF(Table2[[#This Row],[Manual Cat Value]]="",VLOOKUP(Table2[[#This Row],[Description]],'Actuals Lookup'!D:F,3,0),Table2[[#This Row],[Manual Cat Value]])</f>
        <v>Exp - Groceries</v>
      </c>
      <c r="H9446" s="8" t="s">
        <v>27</v>
      </c>
      <c r="I9446" s="8"/>
      <c r="O9446" t="str">
        <f>LEFT(Table2[[#This Row],[Description]],75)</f>
        <v>COSTCO WHSE #0377        SAINT LOUIS PMN REF #249430054S4AFK8T4</v>
      </c>
    </row>
    <row r="9447" spans="1:15" hidden="1">
      <c r="A9447" s="25">
        <f>VALUE(YEAR(Table2[[#This Row],[Date]])&amp;TEXT(MONTH(Table2[[#This Row],[Date]]),"00"))</f>
        <v>202306</v>
      </c>
      <c r="B9447" s="6">
        <v>45090</v>
      </c>
      <c r="C9447" t="s">
        <v>2916</v>
      </c>
      <c r="D9447" t="s">
        <v>4472</v>
      </c>
      <c r="E9447">
        <v>80.930000000000007</v>
      </c>
      <c r="F9447" s="2" t="str">
        <f>IF(Table2[[#This Row],[Manual Cat Value]]="",VLOOKUP(Table2[[#This Row],[Description]],'Actuals Lookup'!D:F,3,0),Table2[[#This Row],[Manual Cat Value]])</f>
        <v>Exp - Groceries</v>
      </c>
      <c r="H9447" s="8" t="s">
        <v>27</v>
      </c>
      <c r="I9447" s="8"/>
      <c r="O9447" t="str">
        <f>LEFT(Table2[[#This Row],[Description]],75)</f>
        <v>COSTCO WHSE #0377        SAINT LOUIS PMN REF #249430054S4AGG71K</v>
      </c>
    </row>
    <row r="9448" spans="1:15" hidden="1">
      <c r="A9448" s="25">
        <f>VALUE(YEAR(Table2[[#This Row],[Date]])&amp;TEXT(MONTH(Table2[[#This Row],[Date]]),"00"))</f>
        <v>202306</v>
      </c>
      <c r="B9448" s="6">
        <v>45090</v>
      </c>
      <c r="C9448" t="s">
        <v>2916</v>
      </c>
      <c r="D9448" t="s">
        <v>4473</v>
      </c>
      <c r="E9448">
        <v>52.96</v>
      </c>
      <c r="F9448" s="2" t="str">
        <f>IF(Table2[[#This Row],[Manual Cat Value]]="",VLOOKUP(Table2[[#This Row],[Description]],'Actuals Lookup'!D:F,3,0),Table2[[#This Row],[Manual Cat Value]])</f>
        <v>Exp - Healthcare</v>
      </c>
      <c r="H9448" s="8" t="s">
        <v>47</v>
      </c>
      <c r="I9448" s="8"/>
      <c r="O9448" t="str">
        <f>LEFT(Table2[[#This Row],[Description]],75)</f>
        <v>MEDEXPRESS URGENT CARE MI877-2160458  WV REF #2475542537WZEPPPW</v>
      </c>
    </row>
    <row r="9449" spans="1:15" hidden="1">
      <c r="A9449" s="25">
        <f>VALUE(YEAR(Table2[[#This Row],[Date]])&amp;TEXT(MONTH(Table2[[#This Row],[Date]]),"00"))</f>
        <v>202306</v>
      </c>
      <c r="B9449" s="6">
        <v>45090</v>
      </c>
      <c r="C9449" t="s">
        <v>2916</v>
      </c>
      <c r="D9449" t="s">
        <v>1955</v>
      </c>
      <c r="E9449">
        <v>6.47</v>
      </c>
      <c r="F9449" s="2" t="str">
        <f>IF(Table2[[#This Row],[Manual Cat Value]]="",VLOOKUP(Table2[[#This Row],[Description]],'Actuals Lookup'!D:F,3,0),Table2[[#This Row],[Manual Cat Value]])</f>
        <v>Exp - Shopping</v>
      </c>
      <c r="H9449" s="8" t="s">
        <v>36</v>
      </c>
      <c r="I9449" s="8"/>
      <c r="O9449" t="str">
        <f>LEFT(Table2[[#This Row],[Description]],75)</f>
        <v>Transfer to PayPal</v>
      </c>
    </row>
    <row r="9450" spans="1:15" hidden="1">
      <c r="A9450" s="25">
        <f>VALUE(YEAR(Table2[[#This Row],[Date]])&amp;TEXT(MONTH(Table2[[#This Row],[Date]]),"00"))</f>
        <v>202306</v>
      </c>
      <c r="B9450" s="6">
        <v>45090</v>
      </c>
      <c r="C9450" t="s">
        <v>2916</v>
      </c>
      <c r="D9450" t="s">
        <v>1958</v>
      </c>
      <c r="E9450">
        <v>147.38</v>
      </c>
      <c r="F9450" s="2" t="str">
        <f>IF(Table2[[#This Row],[Manual Cat Value]]="",VLOOKUP(Table2[[#This Row],[Description]],'Actuals Lookup'!D:F,3,0),Table2[[#This Row],[Manual Cat Value]])</f>
        <v>Exp - Shopping</v>
      </c>
      <c r="H9450" s="8" t="s">
        <v>36</v>
      </c>
      <c r="I9450" s="8"/>
      <c r="O9450" t="str">
        <f>LEFT(Table2[[#This Row],[Description]],75)</f>
        <v>Transfer to Venmo</v>
      </c>
    </row>
    <row r="9451" spans="1:15" hidden="1">
      <c r="A9451" s="25">
        <f>VALUE(YEAR(Table2[[#This Row],[Date]])&amp;TEXT(MONTH(Table2[[#This Row],[Date]]),"00"))</f>
        <v>202306</v>
      </c>
      <c r="B9451" s="6">
        <v>45090</v>
      </c>
      <c r="C9451" t="s">
        <v>2916</v>
      </c>
      <c r="D9451" t="s">
        <v>4474</v>
      </c>
      <c r="E9451">
        <v>265</v>
      </c>
      <c r="F9451" s="2" t="str">
        <f>IF(Table2[[#This Row],[Manual Cat Value]]="",VLOOKUP(Table2[[#This Row],[Description]],'Actuals Lookup'!D:F,3,0),Table2[[#This Row],[Manual Cat Value]])</f>
        <v>Exp - Day Care</v>
      </c>
      <c r="H9451" s="8" t="s">
        <v>19</v>
      </c>
      <c r="I9451" s="8"/>
      <c r="O9451" t="str">
        <f>LEFT(Table2[[#This Row],[Description]],75)</f>
        <v>Withdrawal ACH MHCHILDCARELLC TYPE: DUES ID: XX8198 CO: MHCHILDCARELLC Entr</v>
      </c>
    </row>
    <row r="9452" spans="1:15" hidden="1">
      <c r="A9452" s="25">
        <f>VALUE(YEAR(Table2[[#This Row],[Date]])&amp;TEXT(MONTH(Table2[[#This Row],[Date]]),"00"))</f>
        <v>202306</v>
      </c>
      <c r="B9452" s="6">
        <v>45090</v>
      </c>
      <c r="C9452" t="s">
        <v>2916</v>
      </c>
      <c r="D9452" t="s">
        <v>4293</v>
      </c>
      <c r="E9452">
        <v>2572.5100000000002</v>
      </c>
      <c r="F9452" s="2" t="str">
        <f>IF(Table2[[#This Row],[Manual Cat Value]]="",VLOOKUP(Table2[[#This Row],[Description]],'Actuals Lookup'!D:F,3,0),Table2[[#This Row],[Manual Cat Value]])</f>
        <v>Delete</v>
      </c>
      <c r="H9452" s="8" t="s">
        <v>9</v>
      </c>
      <c r="I9452" s="8"/>
      <c r="O9452" t="str">
        <f>LEFT(Table2[[#This Row],[Description]],75)</f>
        <v>Withdrawal Home Banking Pmt to card XX5913</v>
      </c>
    </row>
    <row r="9453" spans="1:15" hidden="1">
      <c r="A9453" s="25">
        <f>VALUE(YEAR(Table2[[#This Row],[Date]])&amp;TEXT(MONTH(Table2[[#This Row],[Date]]),"00"))</f>
        <v>202306</v>
      </c>
      <c r="B9453" s="6">
        <v>45090</v>
      </c>
      <c r="C9453" t="s">
        <v>2916</v>
      </c>
      <c r="D9453" t="s">
        <v>4475</v>
      </c>
      <c r="E9453">
        <v>8</v>
      </c>
      <c r="F9453" s="2" t="str">
        <f>IF(Table2[[#This Row],[Manual Cat Value]]="",VLOOKUP(Table2[[#This Row],[Description]],'Actuals Lookup'!D:F,3,0),Table2[[#This Row],[Manual Cat Value]])</f>
        <v>Exp - Utilities</v>
      </c>
      <c r="H9453" s="8" t="s">
        <v>6</v>
      </c>
      <c r="I9453" s="8"/>
      <c r="O9453" t="str">
        <f>LEFT(Table2[[#This Row],[Description]],75)</f>
        <v>WSJ/BARRONS SUBSCRIPTI   800-568-7625 NJ REF #24692165434L7GKL7</v>
      </c>
    </row>
    <row r="9454" spans="1:15" hidden="1">
      <c r="A9454" s="25">
        <f>VALUE(YEAR(Table2[[#This Row],[Date]])&amp;TEXT(MONTH(Table2[[#This Row],[Date]]),"00"))</f>
        <v>202306</v>
      </c>
      <c r="B9454" s="6">
        <v>45090</v>
      </c>
      <c r="C9454" t="s">
        <v>2916</v>
      </c>
      <c r="D9454" t="s">
        <v>4476</v>
      </c>
      <c r="E9454">
        <v>-2572.5100000000002</v>
      </c>
      <c r="F9454" s="2" t="str">
        <f>IF(Table2[[#This Row],[Manual Cat Value]]="",VLOOKUP(Table2[[#This Row],[Description]],'Actuals Lookup'!D:F,3,0),Table2[[#This Row],[Manual Cat Value]])</f>
        <v>Delete</v>
      </c>
      <c r="H9454" s="8" t="s">
        <v>9</v>
      </c>
      <c r="I9454" s="8"/>
      <c r="O9454" t="str">
        <f>LEFT(Table2[[#This Row],[Description]],75)</f>
        <v>PAYMENT - THANK YOU REF #74734575500XTMJG3</v>
      </c>
    </row>
    <row r="9455" spans="1:15" hidden="1">
      <c r="A9455" s="25">
        <f>VALUE(YEAR(Table2[[#This Row],[Date]])&amp;TEXT(MONTH(Table2[[#This Row],[Date]]),"00"))</f>
        <v>202306</v>
      </c>
      <c r="B9455" s="6">
        <v>45091</v>
      </c>
      <c r="C9455" t="s">
        <v>2916</v>
      </c>
      <c r="D9455" t="s">
        <v>4477</v>
      </c>
      <c r="E9455">
        <v>260.26</v>
      </c>
      <c r="F9455" s="2" t="str">
        <f>IF(Table2[[#This Row],[Manual Cat Value]]="",VLOOKUP(Table2[[#This Row],[Description]],'Actuals Lookup'!D:F,3,0),Table2[[#This Row],[Manual Cat Value]])</f>
        <v>Exp - Amazon</v>
      </c>
      <c r="H9455" s="8" t="s">
        <v>37</v>
      </c>
      <c r="I9455" s="8"/>
      <c r="O9455" t="str">
        <f>LEFT(Table2[[#This Row],[Description]],75)</f>
        <v>AMZN Mktp US*UE33Y2R23   Amzn.com/billWA REF #24692165434YAL9WM</v>
      </c>
    </row>
    <row r="9456" spans="1:15" hidden="1">
      <c r="A9456" s="25">
        <f>VALUE(YEAR(Table2[[#This Row],[Date]])&amp;TEXT(MONTH(Table2[[#This Row],[Date]]),"00"))</f>
        <v>202306</v>
      </c>
      <c r="B9456" s="6">
        <v>45091</v>
      </c>
      <c r="C9456" t="s">
        <v>2916</v>
      </c>
      <c r="D9456" t="s">
        <v>4283</v>
      </c>
      <c r="E9456">
        <v>-114.72</v>
      </c>
      <c r="F9456" s="2" t="str">
        <f>IF(Table2[[#This Row],[Manual Cat Value]]="",VLOOKUP(Table2[[#This Row],[Description]],'Actuals Lookup'!D:F,3,0),Table2[[#This Row],[Manual Cat Value]])</f>
        <v>Inc - Britney</v>
      </c>
      <c r="H9456" s="8" t="s">
        <v>65</v>
      </c>
      <c r="I9456" s="8"/>
      <c r="O9456" t="str">
        <f>LEFT(Table2[[#This Row],[Description]],75)</f>
        <v>Cargill Deposit</v>
      </c>
    </row>
    <row r="9457" spans="1:15" hidden="1">
      <c r="A9457" s="25">
        <f>VALUE(YEAR(Table2[[#This Row],[Date]])&amp;TEXT(MONTH(Table2[[#This Row],[Date]]),"00"))</f>
        <v>202306</v>
      </c>
      <c r="B9457" s="6">
        <v>45091</v>
      </c>
      <c r="C9457" t="s">
        <v>2916</v>
      </c>
      <c r="D9457" t="s">
        <v>4343</v>
      </c>
      <c r="E9457">
        <v>-3180.72</v>
      </c>
      <c r="F9457" s="2" t="str">
        <f>IF(Table2[[#This Row],[Manual Cat Value]]="",VLOOKUP(Table2[[#This Row],[Description]],'Actuals Lookup'!D:F,3,0),Table2[[#This Row],[Manual Cat Value]])</f>
        <v>Inc - Jeff</v>
      </c>
      <c r="H9457" s="8" t="s">
        <v>63</v>
      </c>
      <c r="I9457" s="8"/>
      <c r="O9457" t="str">
        <f>LEFT(Table2[[#This Row],[Description]],75)</f>
        <v>Salary/Regular Income from TriNet</v>
      </c>
    </row>
    <row r="9458" spans="1:15" hidden="1">
      <c r="A9458" s="25">
        <f>VALUE(YEAR(Table2[[#This Row],[Date]])&amp;TEXT(MONTH(Table2[[#This Row],[Date]]),"00"))</f>
        <v>202306</v>
      </c>
      <c r="B9458" s="6">
        <v>45091</v>
      </c>
      <c r="C9458" t="s">
        <v>2916</v>
      </c>
      <c r="D9458" t="s">
        <v>4478</v>
      </c>
      <c r="E9458">
        <v>108.95</v>
      </c>
      <c r="F9458" s="2" t="str">
        <f>IF(Table2[[#This Row],[Manual Cat Value]]="",VLOOKUP(Table2[[#This Row],[Description]],'Actuals Lookup'!D:F,3,0),Table2[[#This Row],[Manual Cat Value]])</f>
        <v>Exp - Shopping</v>
      </c>
      <c r="H9458" s="8" t="s">
        <v>36</v>
      </c>
      <c r="I9458" s="8"/>
      <c r="O9458" t="str">
        <f>LEFT(Table2[[#This Row],[Description]],75)</f>
        <v>SP *KUIU                 WWW.KUIU.COM CA REF #240113455000378JW</v>
      </c>
    </row>
    <row r="9459" spans="1:15" hidden="1">
      <c r="A9459" s="25">
        <f>VALUE(YEAR(Table2[[#This Row],[Date]])&amp;TEXT(MONTH(Table2[[#This Row],[Date]]),"00"))</f>
        <v>202306</v>
      </c>
      <c r="B9459" s="6">
        <v>45091</v>
      </c>
      <c r="C9459" t="s">
        <v>2916</v>
      </c>
      <c r="D9459" t="s">
        <v>1958</v>
      </c>
      <c r="E9459">
        <v>20</v>
      </c>
      <c r="F9459" s="2" t="str">
        <f>IF(Table2[[#This Row],[Manual Cat Value]]="",VLOOKUP(Table2[[#This Row],[Description]],'Actuals Lookup'!D:F,3,0),Table2[[#This Row],[Manual Cat Value]])</f>
        <v>Exp - Shopping</v>
      </c>
      <c r="H9459" s="8" t="s">
        <v>36</v>
      </c>
      <c r="I9459" s="8"/>
      <c r="O9459" t="str">
        <f>LEFT(Table2[[#This Row],[Description]],75)</f>
        <v>Transfer to Venmo</v>
      </c>
    </row>
    <row r="9460" spans="1:15" hidden="1">
      <c r="A9460" s="25">
        <f>VALUE(YEAR(Table2[[#This Row],[Date]])&amp;TEXT(MONTH(Table2[[#This Row],[Date]]),"00"))</f>
        <v>202306</v>
      </c>
      <c r="B9460" s="6">
        <v>45091</v>
      </c>
      <c r="C9460" t="s">
        <v>2916</v>
      </c>
      <c r="D9460" t="s">
        <v>1958</v>
      </c>
      <c r="E9460">
        <v>20</v>
      </c>
      <c r="F9460" s="2" t="str">
        <f>IF(Table2[[#This Row],[Manual Cat Value]]="",VLOOKUP(Table2[[#This Row],[Description]],'Actuals Lookup'!D:F,3,0),Table2[[#This Row],[Manual Cat Value]])</f>
        <v>Exp - Shopping</v>
      </c>
      <c r="H9460" s="8" t="s">
        <v>36</v>
      </c>
      <c r="I9460" s="8"/>
      <c r="O9460" t="str">
        <f>LEFT(Table2[[#This Row],[Description]],75)</f>
        <v>Transfer to Venmo</v>
      </c>
    </row>
    <row r="9461" spans="1:15" hidden="1">
      <c r="A9461" s="25">
        <f>VALUE(YEAR(Table2[[#This Row],[Date]])&amp;TEXT(MONTH(Table2[[#This Row],[Date]]),"00"))</f>
        <v>202306</v>
      </c>
      <c r="B9461" s="6">
        <v>45091</v>
      </c>
      <c r="C9461" t="s">
        <v>2916</v>
      </c>
      <c r="D9461" t="s">
        <v>1958</v>
      </c>
      <c r="E9461">
        <v>20</v>
      </c>
      <c r="F9461" s="2" t="str">
        <f>IF(Table2[[#This Row],[Manual Cat Value]]="",VLOOKUP(Table2[[#This Row],[Description]],'Actuals Lookup'!D:F,3,0),Table2[[#This Row],[Manual Cat Value]])</f>
        <v>Exp - Shopping</v>
      </c>
      <c r="H9461" s="8" t="s">
        <v>36</v>
      </c>
      <c r="I9461" s="8"/>
      <c r="O9461" t="str">
        <f>LEFT(Table2[[#This Row],[Description]],75)</f>
        <v>Transfer to Venmo</v>
      </c>
    </row>
    <row r="9462" spans="1:15" hidden="1">
      <c r="A9462" s="25">
        <f>VALUE(YEAR(Table2[[#This Row],[Date]])&amp;TEXT(MONTH(Table2[[#This Row],[Date]]),"00"))</f>
        <v>202306</v>
      </c>
      <c r="B9462" s="6">
        <v>45091</v>
      </c>
      <c r="C9462" t="s">
        <v>2916</v>
      </c>
      <c r="D9462" t="s">
        <v>4356</v>
      </c>
      <c r="E9462">
        <v>116.77</v>
      </c>
      <c r="F9462" s="2" t="str">
        <f>IF(Table2[[#This Row],[Manual Cat Value]]="",VLOOKUP(Table2[[#This Row],[Description]],'Actuals Lookup'!D:F,3,0),Table2[[#This Row],[Manual Cat Value]])</f>
        <v>Exp - Insurance</v>
      </c>
      <c r="H9462" s="8" t="s">
        <v>17</v>
      </c>
      <c r="I9462" s="8"/>
      <c r="O9462" t="str">
        <f>LEFT(Table2[[#This Row],[Description]],75)</f>
        <v>Payment to American Family Insurance</v>
      </c>
    </row>
    <row r="9463" spans="1:15" hidden="1">
      <c r="A9463" s="25">
        <f>VALUE(YEAR(Table2[[#This Row],[Date]])&amp;TEXT(MONTH(Table2[[#This Row],[Date]]),"00"))</f>
        <v>202306</v>
      </c>
      <c r="B9463" s="6">
        <v>45092</v>
      </c>
      <c r="C9463" t="s">
        <v>2916</v>
      </c>
      <c r="D9463" t="s">
        <v>4479</v>
      </c>
      <c r="E9463">
        <v>62.16</v>
      </c>
      <c r="F9463" s="2" t="str">
        <f>IF(Table2[[#This Row],[Manual Cat Value]]="",VLOOKUP(Table2[[#This Row],[Description]],'Actuals Lookup'!D:F,3,0),Table2[[#This Row],[Manual Cat Value]])</f>
        <v>Exp - Groceries</v>
      </c>
      <c r="H9463" s="8" t="s">
        <v>27</v>
      </c>
      <c r="I9463" s="8"/>
      <c r="O9463" t="str">
        <f>LEFT(Table2[[#This Row],[Description]],75)</f>
        <v>LUNDS&amp;BYERLYS CHANH      CHANHASSEN   MN REF #244273355MHE0QZMT</v>
      </c>
    </row>
    <row r="9464" spans="1:15" hidden="1">
      <c r="A9464">
        <v>202306</v>
      </c>
      <c r="B9464" s="6">
        <v>45093</v>
      </c>
      <c r="C9464" t="s">
        <v>3932</v>
      </c>
      <c r="D9464" t="s">
        <v>4480</v>
      </c>
      <c r="E9464">
        <v>15</v>
      </c>
      <c r="F9464" s="2" t="str">
        <f>IF(Table2[[#This Row],[Manual Cat Value]]="",VLOOKUP(Table2[[#This Row],[Description]],'Actuals Lookup'!D:F,3,0),Table2[[#This Row],[Manual Cat Value]])</f>
        <v>Restaurants</v>
      </c>
      <c r="G9464" t="s">
        <v>26</v>
      </c>
      <c r="I9464" s="8"/>
      <c r="O9464" t="str">
        <f>LEFT(Table2[[#This Row],[Description]],75)</f>
        <v>Bird* Preload Xxxxxx2442 Ca Apple Pay Ending In 3050</v>
      </c>
    </row>
    <row r="9465" spans="1:15" hidden="1">
      <c r="A9465">
        <v>202306</v>
      </c>
      <c r="B9465" s="6">
        <v>45093</v>
      </c>
      <c r="C9465" t="s">
        <v>4006</v>
      </c>
      <c r="D9465" t="s">
        <v>1014</v>
      </c>
      <c r="E9465">
        <v>19.350000000000001</v>
      </c>
      <c r="F9465" s="2" t="str">
        <f>IF(Table2[[#This Row],[Manual Cat Value]]="",VLOOKUP(Table2[[#This Row],[Description]],'Actuals Lookup'!D:F,3,0),Table2[[#This Row],[Manual Cat Value]])</f>
        <v>Restaurants</v>
      </c>
      <c r="G9465" t="s">
        <v>26</v>
      </c>
      <c r="I9465" s="8"/>
      <c r="O9465" t="str">
        <f>LEFT(Table2[[#This Row],[Description]],75)</f>
        <v>Jimmy John's</v>
      </c>
    </row>
    <row r="9466" spans="1:15" hidden="1">
      <c r="A9466" s="25">
        <f>VALUE(YEAR(Table2[[#This Row],[Date]])&amp;TEXT(MONTH(Table2[[#This Row],[Date]]),"00"))</f>
        <v>202306</v>
      </c>
      <c r="B9466" s="6">
        <v>45093</v>
      </c>
      <c r="C9466" t="s">
        <v>2916</v>
      </c>
      <c r="D9466" t="s">
        <v>4481</v>
      </c>
      <c r="E9466">
        <v>-126</v>
      </c>
      <c r="F9466" s="2" t="str">
        <f>IF(Table2[[#This Row],[Manual Cat Value]]="",VLOOKUP(Table2[[#This Row],[Description]],'Actuals Lookup'!D:F,3,0),Table2[[#This Row],[Manual Cat Value]])</f>
        <v>Exp - Shopping</v>
      </c>
      <c r="H9466" s="8" t="s">
        <v>36</v>
      </c>
      <c r="I9466" s="8"/>
      <c r="O9466" t="str">
        <f>LEFT(Table2[[#This Row],[Description]],75)</f>
        <v>SP VUORI CLOTHING HTTPSVUORICLO C CREDIT REF #244921656000H3JVH</v>
      </c>
    </row>
    <row r="9467" spans="1:15" hidden="1">
      <c r="A9467">
        <v>202306</v>
      </c>
      <c r="B9467" s="6">
        <v>45095</v>
      </c>
      <c r="C9467" t="s">
        <v>4006</v>
      </c>
      <c r="D9467" t="s">
        <v>4482</v>
      </c>
      <c r="E9467">
        <v>34.92</v>
      </c>
      <c r="F9467" s="2" t="str">
        <f>IF(Table2[[#This Row],[Manual Cat Value]]="",VLOOKUP(Table2[[#This Row],[Description]],'Actuals Lookup'!D:F,3,0),Table2[[#This Row],[Manual Cat Value]])</f>
        <v>Delete</v>
      </c>
      <c r="G9467" t="s">
        <v>62</v>
      </c>
      <c r="H9467" s="8" t="s">
        <v>9</v>
      </c>
      <c r="I9467" s="8"/>
      <c r="O9467" t="str">
        <f>LEFT(Table2[[#This Row],[Description]],75)</f>
        <v>Aplpay Tofte Generaltofte Mn Xxxxxxxxx Xxxxxx7288</v>
      </c>
    </row>
    <row r="9468" spans="1:15" hidden="1">
      <c r="A9468" s="25">
        <f>VALUE(YEAR(Table2[[#This Row],[Date]])&amp;TEXT(MONTH(Table2[[#This Row],[Date]]),"00"))</f>
        <v>202306</v>
      </c>
      <c r="B9468" s="6">
        <v>45095</v>
      </c>
      <c r="C9468" t="s">
        <v>2916</v>
      </c>
      <c r="D9468" t="s">
        <v>4483</v>
      </c>
      <c r="E9468">
        <v>4.62</v>
      </c>
      <c r="F9468" s="2" t="str">
        <f>IF(Table2[[#This Row],[Manual Cat Value]]="",VLOOKUP(Table2[[#This Row],[Description]],'Actuals Lookup'!D:F,3,0),Table2[[#This Row],[Manual Cat Value]])</f>
        <v>Exp - Travel</v>
      </c>
      <c r="H9468" s="8" t="s">
        <v>52</v>
      </c>
      <c r="I9468" s="8"/>
      <c r="O9468" t="str">
        <f>LEFT(Table2[[#This Row],[Description]],75)</f>
        <v>BIRD* RIDE               HTTPSBIRD.CO CA REF #244921658001FA8DB</v>
      </c>
    </row>
    <row r="9469" spans="1:15" hidden="1">
      <c r="A9469">
        <v>202306</v>
      </c>
      <c r="B9469" s="6">
        <v>45095</v>
      </c>
      <c r="C9469" t="s">
        <v>4006</v>
      </c>
      <c r="D9469" t="s">
        <v>453</v>
      </c>
      <c r="E9469">
        <v>21.63</v>
      </c>
      <c r="F9469" s="2" t="str">
        <f>IF(Table2[[#This Row],[Manual Cat Value]]="",VLOOKUP(Table2[[#This Row],[Description]],'Actuals Lookup'!D:F,3,0),Table2[[#This Row],[Manual Cat Value]])</f>
        <v>Restaurants</v>
      </c>
      <c r="G9469" t="s">
        <v>26</v>
      </c>
      <c r="I9469" s="8"/>
      <c r="O9469" t="str">
        <f>LEFT(Table2[[#This Row],[Description]],75)</f>
        <v>Caribou Coffee</v>
      </c>
    </row>
    <row r="9470" spans="1:15" hidden="1">
      <c r="A9470">
        <v>202306</v>
      </c>
      <c r="B9470" s="6">
        <v>45095</v>
      </c>
      <c r="C9470" t="s">
        <v>4006</v>
      </c>
      <c r="D9470" t="s">
        <v>453</v>
      </c>
      <c r="E9470">
        <v>4.87</v>
      </c>
      <c r="F9470" s="2" t="str">
        <f>IF(Table2[[#This Row],[Manual Cat Value]]="",VLOOKUP(Table2[[#This Row],[Description]],'Actuals Lookup'!D:F,3,0),Table2[[#This Row],[Manual Cat Value]])</f>
        <v>Restaurants</v>
      </c>
      <c r="G9470" t="s">
        <v>26</v>
      </c>
      <c r="I9470" s="8"/>
      <c r="O9470" t="str">
        <f>LEFT(Table2[[#This Row],[Description]],75)</f>
        <v>Caribou Coffee</v>
      </c>
    </row>
    <row r="9471" spans="1:15" hidden="1">
      <c r="A9471" s="25">
        <f>VALUE(YEAR(Table2[[#This Row],[Date]])&amp;TEXT(MONTH(Table2[[#This Row],[Date]]),"00"))</f>
        <v>202306</v>
      </c>
      <c r="B9471" s="6">
        <v>45095</v>
      </c>
      <c r="C9471" t="s">
        <v>2916</v>
      </c>
      <c r="D9471" t="s">
        <v>4484</v>
      </c>
      <c r="E9471">
        <v>18.59</v>
      </c>
      <c r="F9471" s="2" t="str">
        <f>IF(Table2[[#This Row],[Manual Cat Value]]="",VLOOKUP(Table2[[#This Row],[Description]],'Actuals Lookup'!D:F,3,0),Table2[[#This Row],[Manual Cat Value]])</f>
        <v>Exp - Shopping</v>
      </c>
      <c r="H9471" s="8" t="s">
        <v>36</v>
      </c>
      <c r="I9471" s="8"/>
      <c r="O9471" t="str">
        <f>LEFT(Table2[[#This Row],[Description]],75)</f>
        <v>FEDEX399634221815        MEMPHIS      TN REF #241640757MJDP11X6</v>
      </c>
    </row>
    <row r="9472" spans="1:15" hidden="1">
      <c r="A9472">
        <v>202306</v>
      </c>
      <c r="B9472" s="6">
        <v>45095</v>
      </c>
      <c r="C9472" t="s">
        <v>4006</v>
      </c>
      <c r="D9472" t="s">
        <v>4485</v>
      </c>
      <c r="E9472">
        <v>914.98</v>
      </c>
      <c r="F9472" s="2" t="str">
        <f>IF(Table2[[#This Row],[Manual Cat Value]]="",VLOOKUP(Table2[[#This Row],[Description]],'Actuals Lookup'!D:F,3,0),Table2[[#This Row],[Manual Cat Value]])</f>
        <v>Travel</v>
      </c>
      <c r="G9472" t="s">
        <v>43</v>
      </c>
      <c r="I9472" s="8"/>
      <c r="O9472" t="str">
        <f>LEFT(Table2[[#This Row],[Description]],75)</f>
        <v>Fitgers Inn 0xxx7002duluth Mn Xxxxxx8489 John@fitgers.com</v>
      </c>
    </row>
    <row r="9473" spans="1:15" hidden="1">
      <c r="A9473" s="25">
        <f>VALUE(YEAR(Table2[[#This Row],[Date]])&amp;TEXT(MONTH(Table2[[#This Row],[Date]]),"00"))</f>
        <v>202306</v>
      </c>
      <c r="B9473" s="6">
        <v>45095</v>
      </c>
      <c r="C9473" t="s">
        <v>2916</v>
      </c>
      <c r="D9473" t="s">
        <v>4486</v>
      </c>
      <c r="E9473">
        <v>63.5</v>
      </c>
      <c r="F9473" s="2" t="str">
        <f>IF(Table2[[#This Row],[Manual Cat Value]]="",VLOOKUP(Table2[[#This Row],[Description]],'Actuals Lookup'!D:F,3,0),Table2[[#This Row],[Manual Cat Value]])</f>
        <v>Exp - Shopping</v>
      </c>
      <c r="H9473" s="8" t="s">
        <v>36</v>
      </c>
      <c r="I9473" s="8"/>
      <c r="O9473" t="str">
        <f>LEFT(Table2[[#This Row],[Description]],75)</f>
        <v>IN *TRAILFITTERS         DULUTH       MN REF #2469216582YYQXS4Z</v>
      </c>
    </row>
    <row r="9474" spans="1:15" hidden="1">
      <c r="A9474">
        <v>202306</v>
      </c>
      <c r="B9474" s="6">
        <v>45095</v>
      </c>
      <c r="C9474" t="s">
        <v>4006</v>
      </c>
      <c r="D9474" t="s">
        <v>4487</v>
      </c>
      <c r="E9474">
        <v>5.88</v>
      </c>
      <c r="F9474" s="2" t="str">
        <f>IF(Table2[[#This Row],[Manual Cat Value]]="",VLOOKUP(Table2[[#This Row],[Description]],'Actuals Lookup'!D:F,3,0),Table2[[#This Row],[Manual Cat Value]])</f>
        <v>Entertainment</v>
      </c>
      <c r="G9474" t="s">
        <v>40</v>
      </c>
      <c r="I9474" s="8"/>
      <c r="O9474" t="str">
        <f>LEFT(Table2[[#This Row],[Description]],75)</f>
        <v>Jv Investments Llc 0two Harbors Xxxxxxx3170 Bar/nightclub</v>
      </c>
    </row>
    <row r="9475" spans="1:15" hidden="1">
      <c r="A9475" s="25">
        <f>VALUE(YEAR(Table2[[#This Row],[Date]])&amp;TEXT(MONTH(Table2[[#This Row],[Date]]),"00"))</f>
        <v>202306</v>
      </c>
      <c r="B9475" s="6">
        <v>45095</v>
      </c>
      <c r="C9475" t="s">
        <v>2916</v>
      </c>
      <c r="D9475" t="s">
        <v>4488</v>
      </c>
      <c r="E9475">
        <v>38.869999999999997</v>
      </c>
      <c r="F9475" s="2" t="str">
        <f>IF(Table2[[#This Row],[Manual Cat Value]]="",VLOOKUP(Table2[[#This Row],[Description]],'Actuals Lookup'!D:F,3,0),Table2[[#This Row],[Manual Cat Value]])</f>
        <v>Exp - Transportation</v>
      </c>
      <c r="H9475" s="8" t="s">
        <v>22</v>
      </c>
      <c r="I9475" s="8"/>
      <c r="O9475" t="str">
        <f>LEFT(Table2[[#This Row],[Description]],75)</f>
        <v>KWIK TRIP  57100005710   CARLTON      MN REF #241640758L3HFTA71</v>
      </c>
    </row>
    <row r="9476" spans="1:15" hidden="1">
      <c r="A9476" s="25">
        <f>VALUE(YEAR(Table2[[#This Row],[Date]])&amp;TEXT(MONTH(Table2[[#This Row],[Date]]),"00"))</f>
        <v>202306</v>
      </c>
      <c r="B9476" s="6">
        <v>45095</v>
      </c>
      <c r="C9476" t="s">
        <v>2916</v>
      </c>
      <c r="D9476" t="s">
        <v>4489</v>
      </c>
      <c r="E9476">
        <v>4.1900000000000004</v>
      </c>
      <c r="F9476" s="2" t="str">
        <f>IF(Table2[[#This Row],[Manual Cat Value]]="",VLOOKUP(Table2[[#This Row],[Description]],'Actuals Lookup'!D:F,3,0),Table2[[#This Row],[Manual Cat Value]])</f>
        <v>Exp - Transportation</v>
      </c>
      <c r="H9476" s="8" t="s">
        <v>22</v>
      </c>
      <c r="I9476" s="8"/>
      <c r="O9476" t="str">
        <f>LEFT(Table2[[#This Row],[Description]],75)</f>
        <v>KWIK TRIP  57100005710   CARLTON      MN REF #241640758L3HFTAM9</v>
      </c>
    </row>
    <row r="9477" spans="1:15" hidden="1">
      <c r="A9477">
        <v>202306</v>
      </c>
      <c r="B9477" s="6">
        <v>45095</v>
      </c>
      <c r="C9477" t="s">
        <v>4006</v>
      </c>
      <c r="D9477" t="s">
        <v>4490</v>
      </c>
      <c r="E9477">
        <v>42.42</v>
      </c>
      <c r="F9477" s="2" t="str">
        <f>IF(Table2[[#This Row],[Manual Cat Value]]="",VLOOKUP(Table2[[#This Row],[Description]],'Actuals Lookup'!D:F,3,0),Table2[[#This Row],[Manual Cat Value]])</f>
        <v>Restaurants</v>
      </c>
      <c r="G9477" t="s">
        <v>26</v>
      </c>
      <c r="I9477" s="8"/>
      <c r="O9477" t="str">
        <f>LEFT(Table2[[#This Row],[Description]],75)</f>
        <v>Lou?s Fish House Two Harbors Mn 3p3khmbbt9o Squareup.com/receipts</v>
      </c>
    </row>
    <row r="9478" spans="1:15" hidden="1">
      <c r="A9478">
        <v>202306</v>
      </c>
      <c r="B9478" s="6">
        <v>45095</v>
      </c>
      <c r="C9478" t="s">
        <v>4006</v>
      </c>
      <c r="D9478" t="s">
        <v>4491</v>
      </c>
      <c r="E9478">
        <v>56.52</v>
      </c>
      <c r="F9478" s="2" t="str">
        <f>IF(Table2[[#This Row],[Manual Cat Value]]="",VLOOKUP(Table2[[#This Row],[Description]],'Actuals Lookup'!D:F,3,0),Table2[[#This Row],[Manual Cat Value]])</f>
        <v>Restaurants</v>
      </c>
      <c r="G9478" t="s">
        <v>26</v>
      </c>
      <c r="I9478" s="8"/>
      <c r="O9478" t="str">
        <f>LEFT(Table2[[#This Row],[Description]],75)</f>
        <v>Northshore Pizza &amp; Ctwo Harbors 54ck3tc8lbk Squareup.com/receipts</v>
      </c>
    </row>
    <row r="9479" spans="1:15" hidden="1">
      <c r="A9479" s="25">
        <f>VALUE(YEAR(Table2[[#This Row],[Date]])&amp;TEXT(MONTH(Table2[[#This Row],[Date]]),"00"))</f>
        <v>202306</v>
      </c>
      <c r="B9479" s="6">
        <v>45095</v>
      </c>
      <c r="C9479" t="s">
        <v>2916</v>
      </c>
      <c r="D9479" t="s">
        <v>4492</v>
      </c>
      <c r="E9479">
        <v>44.45</v>
      </c>
      <c r="F9479" s="2" t="str">
        <f>IF(Table2[[#This Row],[Manual Cat Value]]="",VLOOKUP(Table2[[#This Row],[Description]],'Actuals Lookup'!D:F,3,0),Table2[[#This Row],[Manual Cat Value]])</f>
        <v>Exp - Entertainment</v>
      </c>
      <c r="H9479" s="8" t="s">
        <v>39</v>
      </c>
      <c r="I9479" s="8"/>
      <c r="O9479" t="str">
        <f>LEFT(Table2[[#This Row],[Description]],75)</f>
        <v>SQ *GRANDMA'S MARATHON   Duluth       MN REF #2469216572Y6R3S11</v>
      </c>
    </row>
    <row r="9480" spans="1:15" hidden="1">
      <c r="A9480" s="25">
        <f>VALUE(YEAR(Table2[[#This Row],[Date]])&amp;TEXT(MONTH(Table2[[#This Row],[Date]]),"00"))</f>
        <v>202306</v>
      </c>
      <c r="B9480" s="6">
        <v>45095</v>
      </c>
      <c r="C9480" t="s">
        <v>2916</v>
      </c>
      <c r="D9480" t="s">
        <v>4493</v>
      </c>
      <c r="E9480">
        <v>9.99</v>
      </c>
      <c r="F9480" s="2" t="str">
        <f>IF(Table2[[#This Row],[Manual Cat Value]]="",VLOOKUP(Table2[[#This Row],[Description]],'Actuals Lookup'!D:F,3,0),Table2[[#This Row],[Manual Cat Value]])</f>
        <v>Exp - Shopping</v>
      </c>
      <c r="H9480" s="8" t="s">
        <v>36</v>
      </c>
      <c r="I9480" s="8"/>
      <c r="O9480" t="str">
        <f>LEFT(Table2[[#This Row],[Description]],75)</f>
        <v>UPS*1Z8717Y40324239195   800-811-1648 GA REF #2469216582YFQ3M0H</v>
      </c>
    </row>
    <row r="9481" spans="1:15" hidden="1">
      <c r="A9481" s="25">
        <f>VALUE(YEAR(Table2[[#This Row],[Date]])&amp;TEXT(MONTH(Table2[[#This Row],[Date]]),"00"))</f>
        <v>202306</v>
      </c>
      <c r="B9481" s="6">
        <v>45095</v>
      </c>
      <c r="C9481" t="s">
        <v>2916</v>
      </c>
      <c r="D9481" t="s">
        <v>4494</v>
      </c>
      <c r="E9481">
        <v>32.97</v>
      </c>
      <c r="F9481" s="2" t="str">
        <f>IF(Table2[[#This Row],[Manual Cat Value]]="",VLOOKUP(Table2[[#This Row],[Description]],'Actuals Lookup'!D:F,3,0),Table2[[#This Row],[Manual Cat Value]])</f>
        <v>Exp - Shopping</v>
      </c>
      <c r="H9481" s="8" t="s">
        <v>36</v>
      </c>
      <c r="I9481" s="8"/>
      <c r="O9481" t="str">
        <f>LEFT(Table2[[#This Row],[Description]],75)</f>
        <v>WALGREENS #13877         DULUTH       MN REF #24445005800XZVQ42</v>
      </c>
    </row>
    <row r="9482" spans="1:15" hidden="1">
      <c r="A9482">
        <v>202306</v>
      </c>
      <c r="B9482" s="6">
        <v>45095</v>
      </c>
      <c r="C9482" t="s">
        <v>4006</v>
      </c>
      <c r="D9482" t="s">
        <v>4240</v>
      </c>
      <c r="E9482">
        <v>-1720.89</v>
      </c>
      <c r="F9482" s="2" t="str">
        <f>IF(Table2[[#This Row],[Manual Cat Value]]="",VLOOKUP(Table2[[#This Row],[Description]],'Actuals Lookup'!D:F,3,0),Table2[[#This Row],[Manual Cat Value]])</f>
        <v>Delete</v>
      </c>
      <c r="G9482" t="s">
        <v>9</v>
      </c>
      <c r="I9482" s="8"/>
      <c r="O9482" t="str">
        <f>LEFT(Table2[[#This Row],[Description]],75)</f>
        <v>Mobile Payment - Thank You</v>
      </c>
    </row>
    <row r="9483" spans="1:15" hidden="1">
      <c r="A9483" s="25">
        <f>VALUE(YEAR(Table2[[#This Row],[Date]])&amp;TEXT(MONTH(Table2[[#This Row],[Date]]),"00"))</f>
        <v>202306</v>
      </c>
      <c r="B9483" s="6">
        <v>45096</v>
      </c>
      <c r="C9483" t="s">
        <v>2916</v>
      </c>
      <c r="D9483" t="s">
        <v>4495</v>
      </c>
      <c r="E9483">
        <v>4.34</v>
      </c>
      <c r="F9483" s="2" t="str">
        <f>IF(Table2[[#This Row],[Manual Cat Value]]="",VLOOKUP(Table2[[#This Row],[Description]],'Actuals Lookup'!D:F,3,0),Table2[[#This Row],[Manual Cat Value]])</f>
        <v>Exp - Groceries</v>
      </c>
      <c r="H9483" s="8" t="s">
        <v>27</v>
      </c>
      <c r="I9483" s="8"/>
      <c r="O9483" t="str">
        <f>LEFT(Table2[[#This Row],[Description]],75)</f>
        <v>EH 3RD ST PHARMACY       DULUTH       MN REF #244921559PXN2H1HH</v>
      </c>
    </row>
    <row r="9484" spans="1:15" hidden="1">
      <c r="A9484">
        <v>202306</v>
      </c>
      <c r="B9484" s="6">
        <v>45096</v>
      </c>
      <c r="C9484" t="s">
        <v>4006</v>
      </c>
      <c r="D9484" t="s">
        <v>4496</v>
      </c>
      <c r="E9484">
        <v>31.34</v>
      </c>
      <c r="F9484" s="2" t="str">
        <f>IF(Table2[[#This Row],[Manual Cat Value]]="",VLOOKUP(Table2[[#This Row],[Description]],'Actuals Lookup'!D:F,3,0),Table2[[#This Row],[Manual Cat Value]])</f>
        <v>Groceries</v>
      </c>
      <c r="G9484" t="s">
        <v>28</v>
      </c>
      <c r="I9484" s="8"/>
      <c r="O9484" t="str">
        <f>LEFT(Table2[[#This Row],[Description]],75)</f>
        <v>Lock Port Marketplaclutsen Mn Xxxxxxx3170 Lockport@boreal.org</v>
      </c>
    </row>
    <row r="9485" spans="1:15" hidden="1">
      <c r="A9485">
        <v>202306</v>
      </c>
      <c r="B9485" s="6">
        <v>45096</v>
      </c>
      <c r="C9485" t="s">
        <v>4006</v>
      </c>
      <c r="D9485" t="s">
        <v>1165</v>
      </c>
      <c r="E9485">
        <v>127.54</v>
      </c>
      <c r="F9485" s="2" t="str">
        <f>IF(Table2[[#This Row],[Manual Cat Value]]="",VLOOKUP(Table2[[#This Row],[Description]],'Actuals Lookup'!D:F,3,0),Table2[[#This Row],[Manual Cat Value]])</f>
        <v>Travel</v>
      </c>
      <c r="G9485" t="s">
        <v>43</v>
      </c>
      <c r="I9485" s="8"/>
      <c r="O9485" t="str">
        <f>LEFT(Table2[[#This Row],[Description]],75)</f>
        <v>Lutsen Mountains</v>
      </c>
    </row>
    <row r="9486" spans="1:15" hidden="1">
      <c r="A9486">
        <v>202306</v>
      </c>
      <c r="B9486" s="6">
        <v>45096</v>
      </c>
      <c r="C9486" t="s">
        <v>4006</v>
      </c>
      <c r="D9486" t="s">
        <v>4497</v>
      </c>
      <c r="E9486">
        <v>23.66</v>
      </c>
      <c r="F9486" s="2" t="str">
        <f>IF(Table2[[#This Row],[Manual Cat Value]]="",VLOOKUP(Table2[[#This Row],[Description]],'Actuals Lookup'!D:F,3,0),Table2[[#This Row],[Manual Cat Value]])</f>
        <v>Restaurants</v>
      </c>
      <c r="G9486" t="s">
        <v>26</v>
      </c>
      <c r="I9486" s="8"/>
      <c r="O9486" t="str">
        <f>LEFT(Table2[[#This Row],[Description]],75)</f>
        <v>The Creamery</v>
      </c>
    </row>
    <row r="9487" spans="1:15" hidden="1">
      <c r="A9487" s="25">
        <f>VALUE(YEAR(Table2[[#This Row],[Date]])&amp;TEXT(MONTH(Table2[[#This Row],[Date]]),"00"))</f>
        <v>202306</v>
      </c>
      <c r="B9487" s="6">
        <v>45096</v>
      </c>
      <c r="C9487" t="s">
        <v>2916</v>
      </c>
      <c r="D9487" t="s">
        <v>4498</v>
      </c>
      <c r="E9487">
        <v>27.58</v>
      </c>
      <c r="F9487" s="2" t="str">
        <f>IF(Table2[[#This Row],[Manual Cat Value]]="",VLOOKUP(Table2[[#This Row],[Description]],'Actuals Lookup'!D:F,3,0),Table2[[#This Row],[Manual Cat Value]])</f>
        <v>Exp - Shopping</v>
      </c>
      <c r="H9487" s="8" t="s">
        <v>36</v>
      </c>
      <c r="I9487" s="8"/>
      <c r="O9487" t="str">
        <f>LEFT(Table2[[#This Row],[Description]],75)</f>
        <v>TOFTE GENERAL STORE      TOFTE        MN REF #244273359MHDWWJT0</v>
      </c>
    </row>
    <row r="9488" spans="1:15" hidden="1">
      <c r="A9488" s="25">
        <f>VALUE(YEAR(Table2[[#This Row],[Date]])&amp;TEXT(MONTH(Table2[[#This Row],[Date]]),"00"))</f>
        <v>202306</v>
      </c>
      <c r="B9488" s="6">
        <v>45097</v>
      </c>
      <c r="C9488" t="s">
        <v>2916</v>
      </c>
      <c r="D9488" t="s">
        <v>4499</v>
      </c>
      <c r="E9488">
        <v>21.46</v>
      </c>
      <c r="F9488" s="2" t="str">
        <f>IF(Table2[[#This Row],[Manual Cat Value]]="",VLOOKUP(Table2[[#This Row],[Description]],'Actuals Lookup'!D:F,3,0),Table2[[#This Row],[Manual Cat Value]])</f>
        <v>Exp - Amazon</v>
      </c>
      <c r="H9488" s="8" t="s">
        <v>37</v>
      </c>
      <c r="I9488" s="8"/>
      <c r="O9488" t="str">
        <f>LEFT(Table2[[#This Row],[Description]],75)</f>
        <v>AMZN Mktp US*RG02E1213   Amzn.com/billWA REF #24692165A30Q84GEG</v>
      </c>
    </row>
    <row r="9489" spans="1:16" hidden="1">
      <c r="A9489" s="25">
        <f>VALUE(YEAR(Table2[[#This Row],[Date]])&amp;TEXT(MONTH(Table2[[#This Row],[Date]]),"00"))</f>
        <v>202306</v>
      </c>
      <c r="B9489" s="6">
        <v>45097</v>
      </c>
      <c r="C9489" t="s">
        <v>2916</v>
      </c>
      <c r="D9489" t="s">
        <v>4500</v>
      </c>
      <c r="E9489">
        <v>560.57000000000005</v>
      </c>
      <c r="F9489" s="2" t="str">
        <f>IF(Table2[[#This Row],[Manual Cat Value]]="",VLOOKUP(Table2[[#This Row],[Description]],'Actuals Lookup'!D:F,3,0),Table2[[#This Row],[Manual Cat Value]])</f>
        <v>Exp - Travel</v>
      </c>
      <c r="H9489" s="8" t="s">
        <v>52</v>
      </c>
      <c r="I9489" s="8"/>
      <c r="O9489" t="str">
        <f>LEFT(Table2[[#This Row],[Description]],75)</f>
        <v>BLUEFIN BAY FAMILY OF    TOFTE        MN REF #24000975AWGAMQLRN</v>
      </c>
    </row>
    <row r="9490" spans="1:16" hidden="1">
      <c r="A9490" s="25">
        <f>VALUE(YEAR(Table2[[#This Row],[Date]])&amp;TEXT(MONTH(Table2[[#This Row],[Date]]),"00"))</f>
        <v>202306</v>
      </c>
      <c r="B9490" s="6">
        <v>45097</v>
      </c>
      <c r="C9490" t="s">
        <v>2916</v>
      </c>
      <c r="D9490" t="s">
        <v>4501</v>
      </c>
      <c r="E9490">
        <v>11.81</v>
      </c>
      <c r="F9490" s="2" t="str">
        <f>IF(Table2[[#This Row],[Manual Cat Value]]="",VLOOKUP(Table2[[#This Row],[Description]],'Actuals Lookup'!D:F,3,0),Table2[[#This Row],[Manual Cat Value]])</f>
        <v>Exp - Groceries</v>
      </c>
      <c r="H9490" s="8" t="s">
        <v>27</v>
      </c>
      <c r="I9490" s="8"/>
      <c r="O9490" t="str">
        <f>LEFT(Table2[[#This Row],[Description]],75)</f>
        <v>COHO CAFE                218-6636275  MN REF #24000975AWK6T3Y69</v>
      </c>
    </row>
    <row r="9491" spans="1:16" hidden="1">
      <c r="A9491">
        <v>202306</v>
      </c>
      <c r="B9491" s="6">
        <v>45097</v>
      </c>
      <c r="C9491" t="s">
        <v>4006</v>
      </c>
      <c r="D9491" t="s">
        <v>692</v>
      </c>
      <c r="E9491">
        <v>4.07</v>
      </c>
      <c r="F9491" s="2" t="str">
        <f>IF(Table2[[#This Row],[Manual Cat Value]]="",VLOOKUP(Table2[[#This Row],[Description]],'Actuals Lookup'!D:F,3,0),Table2[[#This Row],[Manual Cat Value]])</f>
        <v>Restaurants</v>
      </c>
      <c r="G9491" t="s">
        <v>26</v>
      </c>
      <c r="I9491" s="8"/>
      <c r="O9491" t="str">
        <f>LEFT(Table2[[#This Row],[Description]],75)</f>
        <v>Dairy Queen</v>
      </c>
    </row>
    <row r="9492" spans="1:16" hidden="1">
      <c r="A9492">
        <v>202306</v>
      </c>
      <c r="B9492" s="6">
        <v>45097</v>
      </c>
      <c r="C9492" t="s">
        <v>4006</v>
      </c>
      <c r="D9492" t="s">
        <v>692</v>
      </c>
      <c r="E9492">
        <v>28.53</v>
      </c>
      <c r="F9492" s="2" t="str">
        <f>IF(Table2[[#This Row],[Manual Cat Value]]="",VLOOKUP(Table2[[#This Row],[Description]],'Actuals Lookup'!D:F,3,0),Table2[[#This Row],[Manual Cat Value]])</f>
        <v>Restaurants</v>
      </c>
      <c r="G9492" t="s">
        <v>26</v>
      </c>
      <c r="I9492" s="8"/>
      <c r="O9492" t="str">
        <f>LEFT(Table2[[#This Row],[Description]],75)</f>
        <v>Dairy Queen</v>
      </c>
    </row>
    <row r="9493" spans="1:16" hidden="1">
      <c r="A9493">
        <v>202306</v>
      </c>
      <c r="B9493" s="6">
        <v>45097</v>
      </c>
      <c r="C9493" t="s">
        <v>3932</v>
      </c>
      <c r="D9493" t="s">
        <v>692</v>
      </c>
      <c r="E9493">
        <v>18.86</v>
      </c>
      <c r="F9493" s="2" t="str">
        <f>IF(Table2[[#This Row],[Manual Cat Value]]="",VLOOKUP(Table2[[#This Row],[Description]],'Actuals Lookup'!D:F,3,0),Table2[[#This Row],[Manual Cat Value]])</f>
        <v>Restaurants</v>
      </c>
      <c r="G9493" t="s">
        <v>26</v>
      </c>
      <c r="I9493" s="8"/>
      <c r="O9493" t="str">
        <f>LEFT(Table2[[#This Row],[Description]],75)</f>
        <v>Dairy Queen</v>
      </c>
    </row>
    <row r="9494" spans="1:16" hidden="1">
      <c r="A9494" s="2">
        <v>201909</v>
      </c>
      <c r="B9494" s="3">
        <v>43731</v>
      </c>
      <c r="C9494" s="2" t="s">
        <v>2317</v>
      </c>
      <c r="D9494" s="2" t="s">
        <v>1386</v>
      </c>
      <c r="E9494" s="2">
        <v>614.66999999999996</v>
      </c>
      <c r="F9494" s="2" t="s">
        <v>9</v>
      </c>
      <c r="J9494" s="2">
        <v>614.66999999999996</v>
      </c>
      <c r="K9494" s="2" t="b">
        <v>0</v>
      </c>
      <c r="L9494" s="2"/>
      <c r="M9494" s="2"/>
      <c r="N9494" s="4" t="s">
        <v>2259</v>
      </c>
      <c r="O9494" s="4" t="str">
        <f>LEFT(Table2[[#This Row],[Description]],75)</f>
        <v>OVERDRAFT TO INVESTOR CHECKING -5184</v>
      </c>
      <c r="P9494" s="2"/>
    </row>
    <row r="9495" spans="1:16" hidden="1">
      <c r="A9495" s="25">
        <f>VALUE(YEAR(Table2[[#This Row],[Date]])&amp;TEXT(MONTH(Table2[[#This Row],[Date]]),"00"))</f>
        <v>202306</v>
      </c>
      <c r="B9495" s="6">
        <v>45097</v>
      </c>
      <c r="C9495" t="s">
        <v>2916</v>
      </c>
      <c r="D9495" t="s">
        <v>4502</v>
      </c>
      <c r="E9495">
        <v>10.69</v>
      </c>
      <c r="F9495" s="2" t="str">
        <f>IF(Table2[[#This Row],[Manual Cat Value]]="",VLOOKUP(Table2[[#This Row],[Description]],'Actuals Lookup'!D:F,3,0),Table2[[#This Row],[Manual Cat Value]])</f>
        <v>Exp - Transportation</v>
      </c>
      <c r="H9495" s="8" t="s">
        <v>22</v>
      </c>
      <c r="I9495" s="8"/>
      <c r="O9495" t="str">
        <f>LEFT(Table2[[#This Row],[Description]],75)</f>
        <v>HOLIDAY STATIONS 3516    GRAND MARAIS MN REF #24941665ARQEB5QTK</v>
      </c>
    </row>
    <row r="9496" spans="1:16" hidden="1">
      <c r="A9496">
        <v>202306</v>
      </c>
      <c r="B9496" s="6">
        <v>45097</v>
      </c>
      <c r="C9496" t="s">
        <v>4006</v>
      </c>
      <c r="D9496" t="s">
        <v>945</v>
      </c>
      <c r="E9496">
        <v>35.33</v>
      </c>
      <c r="F9496" s="2" t="str">
        <f>IF(Table2[[#This Row],[Manual Cat Value]]="",VLOOKUP(Table2[[#This Row],[Description]],'Actuals Lookup'!D:F,3,0),Table2[[#This Row],[Manual Cat Value]])</f>
        <v>Groceries</v>
      </c>
      <c r="G9496" t="s">
        <v>28</v>
      </c>
      <c r="I9496" s="8"/>
      <c r="O9496" t="str">
        <f>LEFT(Table2[[#This Row],[Description]],75)</f>
        <v>Holiday Stationstores</v>
      </c>
    </row>
    <row r="9497" spans="1:16" hidden="1">
      <c r="A9497">
        <v>202306</v>
      </c>
      <c r="B9497" s="6">
        <v>45097</v>
      </c>
      <c r="C9497" t="s">
        <v>4006</v>
      </c>
      <c r="D9497" t="s">
        <v>4503</v>
      </c>
      <c r="E9497">
        <v>77.78</v>
      </c>
      <c r="F9497" s="2" t="str">
        <f>IF(Table2[[#This Row],[Manual Cat Value]]="",VLOOKUP(Table2[[#This Row],[Description]],'Actuals Lookup'!D:F,3,0),Table2[[#This Row],[Manual Cat Value]])</f>
        <v>Restaurants</v>
      </c>
      <c r="G9497" t="s">
        <v>26</v>
      </c>
      <c r="I9497" s="8"/>
      <c r="O9497" t="str">
        <f>LEFT(Table2[[#This Row],[Description]],75)</f>
        <v>Lou?s Fish House Two Harbors Mn Xszoxvlqxtr Squareup.com/receipts</v>
      </c>
    </row>
    <row r="9498" spans="1:16" hidden="1">
      <c r="A9498">
        <v>202306</v>
      </c>
      <c r="B9498" s="6">
        <v>45097</v>
      </c>
      <c r="C9498" t="s">
        <v>3932</v>
      </c>
      <c r="D9498" t="s">
        <v>1267</v>
      </c>
      <c r="E9498">
        <v>76.11</v>
      </c>
      <c r="F9498" s="2" t="str">
        <f>IF(Table2[[#This Row],[Manual Cat Value]]="",VLOOKUP(Table2[[#This Row],[Description]],'Actuals Lookup'!D:F,3,0),Table2[[#This Row],[Manual Cat Value]])</f>
        <v>Entertainment</v>
      </c>
      <c r="G9498" t="s">
        <v>40</v>
      </c>
      <c r="I9498" s="8"/>
      <c r="O9498" t="str">
        <f>LEFT(Table2[[#This Row],[Description]],75)</f>
        <v>Minnesota State Parks</v>
      </c>
    </row>
    <row r="9499" spans="1:16" hidden="1">
      <c r="A9499" s="25">
        <f>VALUE(YEAR(Table2[[#This Row],[Date]])&amp;TEXT(MONTH(Table2[[#This Row],[Date]]),"00"))</f>
        <v>202306</v>
      </c>
      <c r="B9499" s="6">
        <v>45097</v>
      </c>
      <c r="C9499" t="s">
        <v>2916</v>
      </c>
      <c r="D9499" t="s">
        <v>4504</v>
      </c>
      <c r="E9499">
        <v>44</v>
      </c>
      <c r="F9499" s="2" t="str">
        <f>IF(Table2[[#This Row],[Manual Cat Value]]="",VLOOKUP(Table2[[#This Row],[Description]],'Actuals Lookup'!D:F,3,0),Table2[[#This Row],[Manual Cat Value]])</f>
        <v>Exp - Shopping</v>
      </c>
      <c r="H9499" s="8" t="s">
        <v>36</v>
      </c>
      <c r="I9499" s="8"/>
      <c r="O9499" t="str">
        <f>LEFT(Table2[[#This Row],[Description]],75)</f>
        <v>MOUNTAIN SHOPS INC      LUTSEN       MN REF #24275395AS66HMAV9</v>
      </c>
    </row>
    <row r="9500" spans="1:16" hidden="1">
      <c r="A9500" s="25">
        <f>VALUE(YEAR(Table2[[#This Row],[Date]])&amp;TEXT(MONTH(Table2[[#This Row],[Date]]),"00"))</f>
        <v>202306</v>
      </c>
      <c r="B9500" s="6">
        <v>45097</v>
      </c>
      <c r="C9500" t="s">
        <v>2916</v>
      </c>
      <c r="D9500" t="s">
        <v>1955</v>
      </c>
      <c r="E9500">
        <v>2.99</v>
      </c>
      <c r="F9500" s="2" t="str">
        <f>IF(Table2[[#This Row],[Manual Cat Value]]="",VLOOKUP(Table2[[#This Row],[Description]],'Actuals Lookup'!D:F,3,0),Table2[[#This Row],[Manual Cat Value]])</f>
        <v>Exp - Shopping</v>
      </c>
      <c r="H9500" s="8" t="s">
        <v>36</v>
      </c>
      <c r="I9500" s="8"/>
      <c r="O9500" t="str">
        <f>LEFT(Table2[[#This Row],[Description]],75)</f>
        <v>Transfer to PayPal</v>
      </c>
    </row>
    <row r="9501" spans="1:16" hidden="1">
      <c r="A9501" s="25">
        <f>VALUE(YEAR(Table2[[#This Row],[Date]])&amp;TEXT(MONTH(Table2[[#This Row],[Date]]),"00"))</f>
        <v>202306</v>
      </c>
      <c r="B9501" s="6">
        <v>45097</v>
      </c>
      <c r="C9501" t="s">
        <v>2916</v>
      </c>
      <c r="D9501" t="s">
        <v>4505</v>
      </c>
      <c r="E9501">
        <v>500</v>
      </c>
      <c r="F9501" s="2" t="str">
        <f>IF(Table2[[#This Row],[Manual Cat Value]]="",VLOOKUP(Table2[[#This Row],[Description]],'Actuals Lookup'!D:F,3,0),Table2[[#This Row],[Manual Cat Value]])</f>
        <v>Exp - Day Care</v>
      </c>
      <c r="H9501" s="8" t="s">
        <v>19</v>
      </c>
      <c r="I9501" s="8"/>
      <c r="O9501" t="str">
        <f>LEFT(Table2[[#This Row],[Description]],75)</f>
        <v>Withdrawal ACH MN DIR ACH TYPE: CONTRIB ID: XX7162 CO: MN DIR ACH NAME: XX2</v>
      </c>
    </row>
    <row r="9502" spans="1:16" hidden="1">
      <c r="A9502" s="25">
        <f>VALUE(YEAR(Table2[[#This Row],[Date]])&amp;TEXT(MONTH(Table2[[#This Row],[Date]]),"00"))</f>
        <v>202306</v>
      </c>
      <c r="B9502" s="6">
        <v>45097</v>
      </c>
      <c r="C9502" t="s">
        <v>2916</v>
      </c>
      <c r="D9502" t="s">
        <v>1458</v>
      </c>
      <c r="E9502">
        <v>1720.89</v>
      </c>
      <c r="F9502" s="2" t="str">
        <f>IF(Table2[[#This Row],[Manual Cat Value]]="",VLOOKUP(Table2[[#This Row],[Description]],'Actuals Lookup'!D:F,3,0),Table2[[#This Row],[Manual Cat Value]])</f>
        <v>Delete</v>
      </c>
      <c r="H9502" s="8" t="s">
        <v>9</v>
      </c>
      <c r="I9502" s="8"/>
      <c r="O9502" t="str">
        <f>LEFT(Table2[[#This Row],[Description]],75)</f>
        <v>Payment to American Express</v>
      </c>
    </row>
    <row r="9503" spans="1:16" hidden="1">
      <c r="A9503" s="25">
        <f>VALUE(YEAR(Table2[[#This Row],[Date]])&amp;TEXT(MONTH(Table2[[#This Row],[Date]]),"00"))</f>
        <v>202306</v>
      </c>
      <c r="B9503" s="6">
        <v>45098</v>
      </c>
      <c r="C9503" t="s">
        <v>2916</v>
      </c>
      <c r="D9503" t="s">
        <v>4506</v>
      </c>
      <c r="E9503">
        <v>-21.46</v>
      </c>
      <c r="F9503" s="2" t="str">
        <f>IF(Table2[[#This Row],[Manual Cat Value]]="",VLOOKUP(Table2[[#This Row],[Description]],'Actuals Lookup'!D:F,3,0),Table2[[#This Row],[Manual Cat Value]])</f>
        <v>Exp - Amazon</v>
      </c>
      <c r="H9503" s="8" t="s">
        <v>37</v>
      </c>
      <c r="I9503" s="8"/>
      <c r="O9503" t="str">
        <f>LEFT(Table2[[#This Row],[Description]],75)</f>
        <v>AMZ*Momok                AMZN.COM/BILLWA REF #74692165B30RAKRM9</v>
      </c>
    </row>
    <row r="9504" spans="1:16" hidden="1">
      <c r="A9504" s="25">
        <f>VALUE(YEAR(Table2[[#This Row],[Date]])&amp;TEXT(MONTH(Table2[[#This Row],[Date]]),"00"))</f>
        <v>202306</v>
      </c>
      <c r="B9504" s="6">
        <v>45098</v>
      </c>
      <c r="C9504" t="s">
        <v>2916</v>
      </c>
      <c r="D9504" t="s">
        <v>4507</v>
      </c>
      <c r="E9504">
        <v>11</v>
      </c>
      <c r="F9504" s="2" t="str">
        <f>IF(Table2[[#This Row],[Manual Cat Value]]="",VLOOKUP(Table2[[#This Row],[Description]],'Actuals Lookup'!D:F,3,0),Table2[[#This Row],[Manual Cat Value]])</f>
        <v>Exp - Utilities</v>
      </c>
      <c r="H9504" s="8" t="s">
        <v>6</v>
      </c>
      <c r="I9504" s="8"/>
      <c r="O9504" t="str">
        <f>LEFT(Table2[[#This Row],[Description]],75)</f>
        <v>BONFES PLUMBING HEATING A651-3326633  MN REF #24275395BS66K1R3P</v>
      </c>
    </row>
    <row r="9505" spans="1:15" hidden="1">
      <c r="A9505" s="25">
        <f>VALUE(YEAR(Table2[[#This Row],[Date]])&amp;TEXT(MONTH(Table2[[#This Row],[Date]]),"00"))</f>
        <v>202306</v>
      </c>
      <c r="B9505" s="6">
        <v>45098</v>
      </c>
      <c r="C9505" t="s">
        <v>2916</v>
      </c>
      <c r="D9505" t="s">
        <v>4508</v>
      </c>
      <c r="E9505">
        <v>8.2899999999999991</v>
      </c>
      <c r="F9505" s="2" t="str">
        <f>IF(Table2[[#This Row],[Manual Cat Value]]="",VLOOKUP(Table2[[#This Row],[Description]],'Actuals Lookup'!D:F,3,0),Table2[[#This Row],[Manual Cat Value]])</f>
        <v>Exp - Groceries</v>
      </c>
      <c r="H9505" s="8" t="s">
        <v>27</v>
      </c>
      <c r="I9505" s="8"/>
      <c r="O9505" t="str">
        <f>LEFT(Table2[[#This Row],[Description]],75)</f>
        <v>COHO CAFE                218-6636275  MN REF #24000975BWPQWNNK7</v>
      </c>
    </row>
    <row r="9506" spans="1:15" hidden="1">
      <c r="A9506" s="25">
        <f>VALUE(YEAR(Table2[[#This Row],[Date]])&amp;TEXT(MONTH(Table2[[#This Row],[Date]]),"00"))</f>
        <v>202306</v>
      </c>
      <c r="B9506" s="6">
        <v>45098</v>
      </c>
      <c r="C9506" t="s">
        <v>2916</v>
      </c>
      <c r="D9506" t="s">
        <v>4509</v>
      </c>
      <c r="E9506">
        <v>44.73</v>
      </c>
      <c r="F9506" s="2" t="str">
        <f>IF(Table2[[#This Row],[Manual Cat Value]]="",VLOOKUP(Table2[[#This Row],[Description]],'Actuals Lookup'!D:F,3,0),Table2[[#This Row],[Manual Cat Value]])</f>
        <v>Exp - Groceries</v>
      </c>
      <c r="H9506" s="8" t="s">
        <v>27</v>
      </c>
      <c r="I9506" s="8"/>
      <c r="O9506" t="str">
        <f>LEFT(Table2[[#This Row],[Description]],75)</f>
        <v>COHO CAFE                218-6636275  MN REF #24000975BWPQWNNLR</v>
      </c>
    </row>
    <row r="9507" spans="1:15" hidden="1">
      <c r="A9507">
        <v>202306</v>
      </c>
      <c r="B9507" s="6">
        <v>45098</v>
      </c>
      <c r="C9507" t="s">
        <v>4006</v>
      </c>
      <c r="D9507" t="s">
        <v>1014</v>
      </c>
      <c r="E9507">
        <v>34.33</v>
      </c>
      <c r="F9507" s="2" t="str">
        <f>IF(Table2[[#This Row],[Manual Cat Value]]="",VLOOKUP(Table2[[#This Row],[Description]],'Actuals Lookup'!D:F,3,0),Table2[[#This Row],[Manual Cat Value]])</f>
        <v>Restaurants</v>
      </c>
      <c r="G9507" t="s">
        <v>26</v>
      </c>
      <c r="I9507" s="8"/>
      <c r="O9507" t="str">
        <f>LEFT(Table2[[#This Row],[Description]],75)</f>
        <v>Jimmy John's</v>
      </c>
    </row>
    <row r="9508" spans="1:15" hidden="1">
      <c r="A9508" s="25">
        <f>VALUE(YEAR(Table2[[#This Row],[Date]])&amp;TEXT(MONTH(Table2[[#This Row],[Date]]),"00"))</f>
        <v>202306</v>
      </c>
      <c r="B9508" s="6">
        <v>45098</v>
      </c>
      <c r="C9508" t="s">
        <v>2916</v>
      </c>
      <c r="D9508" t="s">
        <v>4510</v>
      </c>
      <c r="E9508">
        <v>16.73</v>
      </c>
      <c r="F9508" s="2" t="str">
        <f>IF(Table2[[#This Row],[Manual Cat Value]]="",VLOOKUP(Table2[[#This Row],[Description]],'Actuals Lookup'!D:F,3,0),Table2[[#This Row],[Manual Cat Value]])</f>
        <v>Exp - Utilities</v>
      </c>
      <c r="H9508" s="8" t="s">
        <v>6</v>
      </c>
      <c r="I9508" s="8"/>
      <c r="O9508" t="str">
        <f>LEFT(Table2[[#This Row],[Description]],75)</f>
        <v>Netflix.com              866-5797172  CA REF #24906415B54E10R10</v>
      </c>
    </row>
    <row r="9509" spans="1:15" hidden="1">
      <c r="A9509" s="25">
        <f>VALUE(YEAR(Table2[[#This Row],[Date]])&amp;TEXT(MONTH(Table2[[#This Row],[Date]]),"00"))</f>
        <v>202306</v>
      </c>
      <c r="B9509" s="6">
        <v>45098</v>
      </c>
      <c r="C9509" t="s">
        <v>2916</v>
      </c>
      <c r="D9509" t="s">
        <v>4511</v>
      </c>
      <c r="E9509">
        <v>25.98</v>
      </c>
      <c r="F9509" s="2" t="str">
        <f>IF(Table2[[#This Row],[Manual Cat Value]]="",VLOOKUP(Table2[[#This Row],[Description]],'Actuals Lookup'!D:F,3,0),Table2[[#This Row],[Manual Cat Value]])</f>
        <v>Exp - Restaurants</v>
      </c>
      <c r="H9509" s="8" t="s">
        <v>25</v>
      </c>
      <c r="I9509" s="8"/>
      <c r="O9509" t="str">
        <f>LEFT(Table2[[#This Row],[Description]],75)</f>
        <v>SUMMIT CHALET            LUTSEN       MN REF #24325455BS66GYVRJ</v>
      </c>
    </row>
    <row r="9510" spans="1:15" hidden="1">
      <c r="A9510" s="25">
        <f>VALUE(YEAR(Table2[[#This Row],[Date]])&amp;TEXT(MONTH(Table2[[#This Row],[Date]]),"00"))</f>
        <v>202306</v>
      </c>
      <c r="B9510" s="6">
        <v>45098</v>
      </c>
      <c r="C9510" t="s">
        <v>2916</v>
      </c>
      <c r="D9510" t="s">
        <v>1958</v>
      </c>
      <c r="E9510">
        <v>154.63</v>
      </c>
      <c r="F9510" s="2" t="str">
        <f>IF(Table2[[#This Row],[Manual Cat Value]]="",VLOOKUP(Table2[[#This Row],[Description]],'Actuals Lookup'!D:F,3,0),Table2[[#This Row],[Manual Cat Value]])</f>
        <v>Exp - Shopping</v>
      </c>
      <c r="H9510" s="8" t="s">
        <v>36</v>
      </c>
      <c r="I9510" s="8"/>
      <c r="O9510" t="str">
        <f>LEFT(Table2[[#This Row],[Description]],75)</f>
        <v>Transfer to Venmo</v>
      </c>
    </row>
    <row r="9511" spans="1:15" hidden="1">
      <c r="A9511" s="25">
        <f>VALUE(YEAR(Table2[[#This Row],[Date]])&amp;TEXT(MONTH(Table2[[#This Row],[Date]]),"00"))</f>
        <v>202306</v>
      </c>
      <c r="B9511" s="6">
        <v>45098</v>
      </c>
      <c r="C9511" t="s">
        <v>2916</v>
      </c>
      <c r="D9511" t="s">
        <v>4512</v>
      </c>
      <c r="E9511">
        <v>70.349999999999994</v>
      </c>
      <c r="F9511" s="2" t="str">
        <f>IF(Table2[[#This Row],[Manual Cat Value]]="",VLOOKUP(Table2[[#This Row],[Description]],'Actuals Lookup'!D:F,3,0),Table2[[#This Row],[Manual Cat Value]])</f>
        <v>Exp - Utilities</v>
      </c>
      <c r="H9511" s="8" t="s">
        <v>6</v>
      </c>
      <c r="I9511" s="8"/>
      <c r="O9511" t="str">
        <f>LEFT(Table2[[#This Row],[Description]],75)</f>
        <v>Withdrawal ACH CITY OF CHANHASS TYPE: UTIL BILL ID: XX5331 CO: CITY OF CHAN</v>
      </c>
    </row>
    <row r="9512" spans="1:15" hidden="1">
      <c r="A9512" s="25">
        <f>VALUE(YEAR(Table2[[#This Row],[Date]])&amp;TEXT(MONTH(Table2[[#This Row],[Date]]),"00"))</f>
        <v>202306</v>
      </c>
      <c r="B9512" s="6">
        <v>45098</v>
      </c>
      <c r="C9512" t="s">
        <v>2916</v>
      </c>
      <c r="D9512" t="s">
        <v>4513</v>
      </c>
      <c r="E9512">
        <v>200</v>
      </c>
      <c r="F9512" s="2" t="str">
        <f>IF(Table2[[#This Row],[Manual Cat Value]]="",VLOOKUP(Table2[[#This Row],[Description]],'Actuals Lookup'!D:F,3,0),Table2[[#This Row],[Manual Cat Value]])</f>
        <v>Exp - Day Care</v>
      </c>
      <c r="H9512" s="8" t="s">
        <v>19</v>
      </c>
      <c r="I9512" s="8"/>
      <c r="O9512" t="str">
        <f>LEFT(Table2[[#This Row],[Description]],75)</f>
        <v>Withdrawal ACH MHCHILDCARELLC TYPE: DUES ID: XX8198 CO: MHCHILDCARELLC Entr</v>
      </c>
    </row>
    <row r="9513" spans="1:15" hidden="1">
      <c r="A9513" s="25">
        <f>VALUE(YEAR(Table2[[#This Row],[Date]])&amp;TEXT(MONTH(Table2[[#This Row],[Date]]),"00"))</f>
        <v>202306</v>
      </c>
      <c r="B9513" s="6">
        <v>45099</v>
      </c>
      <c r="C9513" t="s">
        <v>2916</v>
      </c>
      <c r="D9513" t="s">
        <v>404</v>
      </c>
      <c r="E9513">
        <v>-2434.23</v>
      </c>
      <c r="F9513" s="2" t="str">
        <f>IF(Table2[[#This Row],[Manual Cat Value]]="",VLOOKUP(Table2[[#This Row],[Description]],'Actuals Lookup'!D:F,3,0),Table2[[#This Row],[Manual Cat Value]])</f>
        <v>Inc - Britney</v>
      </c>
      <c r="H9513" s="8" t="s">
        <v>65</v>
      </c>
      <c r="I9513" s="8"/>
      <c r="O9513" t="str">
        <f>LEFT(Table2[[#This Row],[Description]],75)</f>
        <v>Cargill Inc Deposit</v>
      </c>
    </row>
    <row r="9514" spans="1:15" hidden="1">
      <c r="A9514" s="25">
        <f>VALUE(YEAR(Table2[[#This Row],[Date]])&amp;TEXT(MONTH(Table2[[#This Row],[Date]]),"00"))</f>
        <v>202306</v>
      </c>
      <c r="B9514" s="6">
        <v>45099</v>
      </c>
      <c r="C9514" t="s">
        <v>2916</v>
      </c>
      <c r="D9514" t="s">
        <v>4514</v>
      </c>
      <c r="E9514">
        <v>5.66</v>
      </c>
      <c r="F9514" s="2" t="str">
        <f>IF(Table2[[#This Row],[Manual Cat Value]]="",VLOOKUP(Table2[[#This Row],[Description]],'Actuals Lookup'!D:F,3,0),Table2[[#This Row],[Manual Cat Value]])</f>
        <v>Exp - Groceries</v>
      </c>
      <c r="H9514" s="8" t="s">
        <v>27</v>
      </c>
      <c r="I9514" s="8"/>
      <c r="O9514" t="str">
        <f>LEFT(Table2[[#This Row],[Description]],75)</f>
        <v>CUB FOODS #1636          SHOREWOOD    MN REF #24427335QM83LG41N</v>
      </c>
    </row>
    <row r="9515" spans="1:15" hidden="1">
      <c r="A9515">
        <v>202306</v>
      </c>
      <c r="B9515" s="6">
        <v>45099</v>
      </c>
      <c r="C9515" t="s">
        <v>4006</v>
      </c>
      <c r="D9515" t="s">
        <v>4515</v>
      </c>
      <c r="E9515">
        <v>37.01</v>
      </c>
      <c r="F9515" s="2" t="str">
        <f>IF(Table2[[#This Row],[Manual Cat Value]]="",VLOOKUP(Table2[[#This Row],[Description]],'Actuals Lookup'!D:F,3,0),Table2[[#This Row],[Manual Cat Value]])</f>
        <v>Restaurants</v>
      </c>
      <c r="G9515" t="s">
        <v>26</v>
      </c>
      <c r="I9515" s="8"/>
      <c r="O9515" t="str">
        <f>LEFT(Table2[[#This Row],[Description]],75)</f>
        <v>Kai's Sushi &amp; Grill Chanhassen Xxxxxxx3173 Kaisushimn@gmail.com</v>
      </c>
    </row>
    <row r="9516" spans="1:15" hidden="1">
      <c r="A9516">
        <v>202306</v>
      </c>
      <c r="B9516" s="6">
        <v>45099</v>
      </c>
      <c r="C9516" t="s">
        <v>4006</v>
      </c>
      <c r="D9516" t="s">
        <v>4017</v>
      </c>
      <c r="E9516">
        <v>94.59</v>
      </c>
      <c r="F9516" s="2" t="str">
        <f>IF(Table2[[#This Row],[Manual Cat Value]]="",VLOOKUP(Table2[[#This Row],[Description]],'Actuals Lookup'!D:F,3,0),Table2[[#This Row],[Manual Cat Value]])</f>
        <v>Groceries</v>
      </c>
      <c r="G9516" t="s">
        <v>28</v>
      </c>
      <c r="I9516" s="8"/>
      <c r="O9516" t="str">
        <f>LEFT(Table2[[#This Row],[Description]],75)</f>
        <v>Lunds &amp; Byerlys</v>
      </c>
    </row>
    <row r="9517" spans="1:15" hidden="1">
      <c r="A9517" s="25">
        <f>VALUE(YEAR(Table2[[#This Row],[Date]])&amp;TEXT(MONTH(Table2[[#This Row],[Date]]),"00"))</f>
        <v>202306</v>
      </c>
      <c r="B9517" s="6">
        <v>45099</v>
      </c>
      <c r="C9517" t="s">
        <v>2916</v>
      </c>
      <c r="D9517" t="s">
        <v>4516</v>
      </c>
      <c r="E9517">
        <v>10.74</v>
      </c>
      <c r="F9517" s="2" t="str">
        <f>IF(Table2[[#This Row],[Manual Cat Value]]="",VLOOKUP(Table2[[#This Row],[Description]],'Actuals Lookup'!D:F,3,0),Table2[[#This Row],[Manual Cat Value]])</f>
        <v>Exp - Restaurants</v>
      </c>
      <c r="H9517" s="8" t="s">
        <v>25</v>
      </c>
      <c r="I9517" s="8"/>
      <c r="O9517" t="str">
        <f>LEFT(Table2[[#This Row],[Description]],75)</f>
        <v>MCW 1602-MINNETONKA      MINNETONKA   MN REF #24071055QVAM27WHR</v>
      </c>
    </row>
    <row r="9518" spans="1:15" hidden="1">
      <c r="A9518" s="25">
        <f>VALUE(YEAR(Table2[[#This Row],[Date]])&amp;TEXT(MONTH(Table2[[#This Row],[Date]]),"00"))</f>
        <v>202306</v>
      </c>
      <c r="B9518" s="6">
        <v>45099</v>
      </c>
      <c r="C9518" t="s">
        <v>2916</v>
      </c>
      <c r="D9518" t="s">
        <v>4517</v>
      </c>
      <c r="E9518">
        <v>5.34</v>
      </c>
      <c r="F9518" s="2" t="str">
        <f>IF(Table2[[#This Row],[Manual Cat Value]]="",VLOOKUP(Table2[[#This Row],[Description]],'Actuals Lookup'!D:F,3,0),Table2[[#This Row],[Manual Cat Value]])</f>
        <v>Exp - Entertainment</v>
      </c>
      <c r="H9518" s="8" t="s">
        <v>39</v>
      </c>
      <c r="I9518" s="8"/>
      <c r="O9518" t="str">
        <f>LEFT(Table2[[#This Row],[Description]],75)</f>
        <v>MINNESOTA STATE PARKS    SAINT PAUL   MN REF #24717055Q4ZXSX3NA</v>
      </c>
    </row>
    <row r="9519" spans="1:15" hidden="1">
      <c r="A9519" s="25">
        <f>VALUE(YEAR(Table2[[#This Row],[Date]])&amp;TEXT(MONTH(Table2[[#This Row],[Date]]),"00"))</f>
        <v>202306</v>
      </c>
      <c r="B9519" s="6">
        <v>45099</v>
      </c>
      <c r="C9519" t="s">
        <v>2916</v>
      </c>
      <c r="D9519" t="s">
        <v>4518</v>
      </c>
      <c r="E9519">
        <v>-106.2</v>
      </c>
      <c r="F9519" s="2" t="str">
        <f>IF(Table2[[#This Row],[Manual Cat Value]]="",VLOOKUP(Table2[[#This Row],[Description]],'Actuals Lookup'!D:F,3,0),Table2[[#This Row],[Manual Cat Value]])</f>
        <v>Exp - Shopping</v>
      </c>
      <c r="H9519" s="8" t="s">
        <v>36</v>
      </c>
      <c r="I9519" s="8"/>
      <c r="O9519" t="str">
        <f>LEFT(Table2[[#This Row],[Description]],75)</f>
        <v>SAM EDELMAN              8888899609   MO REF #74492155QLRF7XMEP</v>
      </c>
    </row>
    <row r="9520" spans="1:15" hidden="1">
      <c r="A9520" s="25">
        <f>VALUE(YEAR(Table2[[#This Row],[Date]])&amp;TEXT(MONTH(Table2[[#This Row],[Date]]),"00"))</f>
        <v>202306</v>
      </c>
      <c r="B9520" s="6">
        <v>45099</v>
      </c>
      <c r="C9520" t="s">
        <v>2916</v>
      </c>
      <c r="D9520" t="s">
        <v>4519</v>
      </c>
      <c r="E9520">
        <v>64.5</v>
      </c>
      <c r="F9520" s="2" t="str">
        <f>IF(Table2[[#This Row],[Manual Cat Value]]="",VLOOKUP(Table2[[#This Row],[Description]],'Actuals Lookup'!D:F,3,0),Table2[[#This Row],[Manual Cat Value]])</f>
        <v>Exp - Entertainment</v>
      </c>
      <c r="H9520" s="8" t="s">
        <v>39</v>
      </c>
      <c r="I9520" s="8"/>
      <c r="O9520" t="str">
        <f>LEFT(Table2[[#This Row],[Description]],75)</f>
        <v>TOP GOLF BAY RESERVATION 800-453-0660 TX REF #24431065QLQQ2AE5E</v>
      </c>
    </row>
    <row r="9521" spans="1:15" hidden="1">
      <c r="A9521" s="25">
        <f>VALUE(YEAR(Table2[[#This Row],[Date]])&amp;TEXT(MONTH(Table2[[#This Row],[Date]]),"00"))</f>
        <v>202306</v>
      </c>
      <c r="B9521" s="6">
        <v>45100</v>
      </c>
      <c r="C9521" t="s">
        <v>2916</v>
      </c>
      <c r="D9521" t="s">
        <v>4520</v>
      </c>
      <c r="E9521">
        <v>125.07</v>
      </c>
      <c r="F9521" s="2" t="str">
        <f>IF(Table2[[#This Row],[Manual Cat Value]]="",VLOOKUP(Table2[[#This Row],[Description]],'Actuals Lookup'!D:F,3,0),Table2[[#This Row],[Manual Cat Value]])</f>
        <v>Exp - Travel</v>
      </c>
      <c r="H9521" s="8" t="s">
        <v>52</v>
      </c>
      <c r="I9521" s="8"/>
      <c r="O9521" t="str">
        <f>LEFT(Table2[[#This Row],[Description]],75)</f>
        <v>BLUEFIN BAY FAMILY OF    TOFTE        MN REF #24000975DWXSJDT7E</v>
      </c>
    </row>
    <row r="9522" spans="1:15" hidden="1">
      <c r="A9522" s="25">
        <f>VALUE(YEAR(Table2[[#This Row],[Date]])&amp;TEXT(MONTH(Table2[[#This Row],[Date]]),"00"))</f>
        <v>202306</v>
      </c>
      <c r="B9522" s="6">
        <v>45100</v>
      </c>
      <c r="C9522" t="s">
        <v>2916</v>
      </c>
      <c r="D9522" t="s">
        <v>4521</v>
      </c>
      <c r="E9522">
        <v>451.5</v>
      </c>
      <c r="F9522" s="2" t="str">
        <f>IF(Table2[[#This Row],[Manual Cat Value]]="",VLOOKUP(Table2[[#This Row],[Description]],'Actuals Lookup'!D:F,3,0),Table2[[#This Row],[Manual Cat Value]])</f>
        <v>Exp - Shopping</v>
      </c>
      <c r="H9522" s="8" t="s">
        <v>36</v>
      </c>
      <c r="I9522" s="8"/>
      <c r="O9522" t="str">
        <f>LEFT(Table2[[#This Row],[Description]],75)</f>
        <v>LULUS.COM                HTTPSWWW.LULUCA REF #24011345D000NG75X</v>
      </c>
    </row>
    <row r="9523" spans="1:15" hidden="1">
      <c r="A9523" s="25">
        <f>VALUE(YEAR(Table2[[#This Row],[Date]])&amp;TEXT(MONTH(Table2[[#This Row],[Date]]),"00"))</f>
        <v>202306</v>
      </c>
      <c r="B9523" s="6">
        <v>45100</v>
      </c>
      <c r="C9523" t="s">
        <v>2916</v>
      </c>
      <c r="D9523" t="s">
        <v>4522</v>
      </c>
      <c r="E9523">
        <v>130</v>
      </c>
      <c r="F9523" s="2" t="str">
        <f>IF(Table2[[#This Row],[Manual Cat Value]]="",VLOOKUP(Table2[[#This Row],[Description]],'Actuals Lookup'!D:F,3,0),Table2[[#This Row],[Manual Cat Value]])</f>
        <v>Exp - Shopping</v>
      </c>
      <c r="H9523" s="8" t="s">
        <v>36</v>
      </c>
      <c r="I9523" s="8"/>
      <c r="O9523" t="str">
        <f>LEFT(Table2[[#This Row],[Description]],75)</f>
        <v>NORTHFACE VF OUTDOOR     888-863-1968 WI REF #24692165D3240YM6P</v>
      </c>
    </row>
    <row r="9524" spans="1:15" hidden="1">
      <c r="A9524" s="25">
        <f>VALUE(YEAR(Table2[[#This Row],[Date]])&amp;TEXT(MONTH(Table2[[#This Row],[Date]]),"00"))</f>
        <v>202306</v>
      </c>
      <c r="B9524" s="6">
        <v>45100</v>
      </c>
      <c r="C9524" t="s">
        <v>2916</v>
      </c>
      <c r="D9524" t="s">
        <v>4523</v>
      </c>
      <c r="E9524">
        <v>56.87</v>
      </c>
      <c r="F9524" s="2" t="str">
        <f>IF(Table2[[#This Row],[Manual Cat Value]]="",VLOOKUP(Table2[[#This Row],[Description]],'Actuals Lookup'!D:F,3,0),Table2[[#This Row],[Manual Cat Value]])</f>
        <v>Exp - Shopping</v>
      </c>
      <c r="H9524" s="8" t="s">
        <v>36</v>
      </c>
      <c r="I9524" s="8"/>
      <c r="O9524" t="str">
        <f>LEFT(Table2[[#This Row],[Description]],75)</f>
        <v>Payment to Barclaycard US</v>
      </c>
    </row>
    <row r="9525" spans="1:15" hidden="1">
      <c r="A9525">
        <v>202306</v>
      </c>
      <c r="B9525" s="6">
        <v>45101</v>
      </c>
      <c r="C9525" t="s">
        <v>4006</v>
      </c>
      <c r="D9525" t="s">
        <v>4524</v>
      </c>
      <c r="E9525">
        <v>15.81</v>
      </c>
      <c r="F9525" s="2" t="str">
        <f>IF(Table2[[#This Row],[Manual Cat Value]]="",VLOOKUP(Table2[[#This Row],[Description]],'Actuals Lookup'!D:F,3,0),Table2[[#This Row],[Manual Cat Value]])</f>
        <v>Restaurants</v>
      </c>
      <c r="G9525" t="s">
        <v>26</v>
      </c>
      <c r="I9525" s="8"/>
      <c r="O9525" t="str">
        <f>LEFT(Table2[[#This Row],[Description]],75)</f>
        <v>Balsam Lake Brewery Balsam Lake Lbjtvgfxumv Squareup.com/receipts</v>
      </c>
    </row>
    <row r="9526" spans="1:15" hidden="1">
      <c r="A9526">
        <v>202306</v>
      </c>
      <c r="B9526" s="6">
        <v>45101</v>
      </c>
      <c r="C9526" t="s">
        <v>4006</v>
      </c>
      <c r="D9526" t="s">
        <v>4525</v>
      </c>
      <c r="E9526">
        <v>106.94</v>
      </c>
      <c r="F9526" s="2" t="str">
        <f>IF(Table2[[#This Row],[Manual Cat Value]]="",VLOOKUP(Table2[[#This Row],[Description]],'Actuals Lookup'!D:F,3,0),Table2[[#This Row],[Manual Cat Value]])</f>
        <v>Exp - Restaurants</v>
      </c>
      <c r="G9526" t="s">
        <v>26</v>
      </c>
      <c r="H9526" s="8" t="s">
        <v>25</v>
      </c>
      <c r="I9526" s="8"/>
      <c r="O9526" t="str">
        <f>LEFT(Table2[[#This Row],[Description]],75)</f>
        <v>Kj's New North 40390balsam Lake Xxxxxxx3176 Kjsnewnorth@gmail.com</v>
      </c>
    </row>
    <row r="9527" spans="1:15" hidden="1">
      <c r="A9527" s="25">
        <f>VALUE(YEAR(Table2[[#This Row],[Date]])&amp;TEXT(MONTH(Table2[[#This Row],[Date]]),"00"))</f>
        <v>202306</v>
      </c>
      <c r="B9527" s="6">
        <v>45102</v>
      </c>
      <c r="C9527" t="s">
        <v>2916</v>
      </c>
      <c r="D9527" t="s">
        <v>4526</v>
      </c>
      <c r="E9527">
        <v>268</v>
      </c>
      <c r="F9527" s="2" t="str">
        <f>IF(Table2[[#This Row],[Manual Cat Value]]="",VLOOKUP(Table2[[#This Row],[Description]],'Actuals Lookup'!D:F,3,0),Table2[[#This Row],[Manual Cat Value]])</f>
        <v>Exp - Shopping</v>
      </c>
      <c r="H9527" s="8" t="s">
        <v>36</v>
      </c>
      <c r="I9527" s="8"/>
      <c r="O9527" t="str">
        <f>LEFT(Table2[[#This Row],[Description]],75)</f>
        <v>ANTHROPOLOGIE.COM        800-309-2500 PA REF #24445005E2X9KSMD6</v>
      </c>
    </row>
    <row r="9528" spans="1:15" hidden="1">
      <c r="A9528" s="25">
        <f>VALUE(YEAR(Table2[[#This Row],[Date]])&amp;TEXT(MONTH(Table2[[#This Row],[Date]]),"00"))</f>
        <v>202306</v>
      </c>
      <c r="B9528" s="6">
        <v>45102</v>
      </c>
      <c r="C9528" t="s">
        <v>2916</v>
      </c>
      <c r="D9528" t="s">
        <v>4527</v>
      </c>
      <c r="E9528">
        <v>238</v>
      </c>
      <c r="F9528" s="2" t="str">
        <f>IF(Table2[[#This Row],[Manual Cat Value]]="",VLOOKUP(Table2[[#This Row],[Description]],'Actuals Lookup'!D:F,3,0),Table2[[#This Row],[Manual Cat Value]])</f>
        <v>Exp - Day Care</v>
      </c>
      <c r="H9528" s="8" t="s">
        <v>19</v>
      </c>
      <c r="I9528" s="8"/>
      <c r="O9528" t="str">
        <f>LEFT(Table2[[#This Row],[Description]],75)</f>
        <v>BCS*MINNETONKA COMMUNITY 952-401-6800 MN REF #24137465F01GKY342</v>
      </c>
    </row>
    <row r="9529" spans="1:15" hidden="1">
      <c r="A9529" s="25">
        <f>VALUE(YEAR(Table2[[#This Row],[Date]])&amp;TEXT(MONTH(Table2[[#This Row],[Date]]),"00"))</f>
        <v>202306</v>
      </c>
      <c r="B9529" s="6">
        <v>45102</v>
      </c>
      <c r="C9529" t="s">
        <v>2916</v>
      </c>
      <c r="D9529" t="s">
        <v>4528</v>
      </c>
      <c r="E9529">
        <v>26.3</v>
      </c>
      <c r="F9529" s="2" t="str">
        <f>IF(Table2[[#This Row],[Manual Cat Value]]="",VLOOKUP(Table2[[#This Row],[Description]],'Actuals Lookup'!D:F,3,0),Table2[[#This Row],[Manual Cat Value]])</f>
        <v>Exp - Travel</v>
      </c>
      <c r="H9529" s="8" t="s">
        <v>52</v>
      </c>
      <c r="I9529" s="8"/>
      <c r="O9529" t="str">
        <f>LEFT(Table2[[#This Row],[Description]],75)</f>
        <v>BLUEFIN BAY FAMILY OF    TOFTE        MN REF #24000975EX0L4HRQ6</v>
      </c>
    </row>
    <row r="9530" spans="1:15" hidden="1">
      <c r="A9530">
        <v>202306</v>
      </c>
      <c r="B9530" s="6">
        <v>45102</v>
      </c>
      <c r="C9530" t="s">
        <v>4006</v>
      </c>
      <c r="D9530" t="s">
        <v>4529</v>
      </c>
      <c r="E9530">
        <v>110.74</v>
      </c>
      <c r="F9530" s="2" t="str">
        <f>IF(Table2[[#This Row],[Manual Cat Value]]="",VLOOKUP(Table2[[#This Row],[Description]],'Actuals Lookup'!D:F,3,0),Table2[[#This Row],[Manual Cat Value]])</f>
        <v>Groceries</v>
      </c>
      <c r="G9530" t="s">
        <v>28</v>
      </c>
      <c r="I9530" s="8"/>
      <c r="O9530" t="str">
        <f>LEFT(Table2[[#This Row],[Description]],75)</f>
        <v>Marketplace Foods</v>
      </c>
    </row>
    <row r="9531" spans="1:15" hidden="1">
      <c r="A9531" s="25">
        <f>VALUE(YEAR(Table2[[#This Row],[Date]])&amp;TEXT(MONTH(Table2[[#This Row],[Date]]),"00"))</f>
        <v>202306</v>
      </c>
      <c r="B9531" s="6">
        <v>45102</v>
      </c>
      <c r="C9531" t="s">
        <v>2916</v>
      </c>
      <c r="D9531" t="s">
        <v>4530</v>
      </c>
      <c r="E9531">
        <v>-193.22</v>
      </c>
      <c r="F9531" s="2" t="str">
        <f>IF(Table2[[#This Row],[Manual Cat Value]]="",VLOOKUP(Table2[[#This Row],[Description]],'Actuals Lookup'!D:F,3,0),Table2[[#This Row],[Manual Cat Value]])</f>
        <v>Exp - Shopping</v>
      </c>
      <c r="H9531" s="8" t="s">
        <v>36</v>
      </c>
      <c r="I9531" s="8"/>
      <c r="O9531" t="str">
        <f>LEFT(Table2[[#This Row],[Description]],75)</f>
        <v>SP HELINOX               HTTPSHELINOXFCA REF #24492165F000AXYX5</v>
      </c>
    </row>
    <row r="9532" spans="1:15" hidden="1">
      <c r="A9532" s="25">
        <f>VALUE(YEAR(Table2[[#This Row],[Date]])&amp;TEXT(MONTH(Table2[[#This Row],[Date]]),"00"))</f>
        <v>202306</v>
      </c>
      <c r="B9532" s="6">
        <v>45102</v>
      </c>
      <c r="C9532" t="s">
        <v>2916</v>
      </c>
      <c r="D9532" t="s">
        <v>4531</v>
      </c>
      <c r="E9532">
        <v>7</v>
      </c>
      <c r="F9532" s="2" t="str">
        <f>IF(Table2[[#This Row],[Manual Cat Value]]="",VLOOKUP(Table2[[#This Row],[Description]],'Actuals Lookup'!D:F,3,0),Table2[[#This Row],[Manual Cat Value]])</f>
        <v>Exp - Restaurants</v>
      </c>
      <c r="H9532" s="8" t="s">
        <v>25</v>
      </c>
      <c r="I9532" s="8"/>
      <c r="O9532" t="str">
        <f>LEFT(Table2[[#This Row],[Description]],75)</f>
        <v>TST* BACK CHANNEL BREWINGSPRING PARK  MN REF #24137465FEJFXXHF2</v>
      </c>
    </row>
    <row r="9533" spans="1:15" hidden="1">
      <c r="A9533">
        <v>202306</v>
      </c>
      <c r="B9533" s="6">
        <v>45103</v>
      </c>
      <c r="C9533" t="s">
        <v>3932</v>
      </c>
      <c r="D9533" t="s">
        <v>38</v>
      </c>
      <c r="E9533">
        <v>6.97</v>
      </c>
      <c r="F9533" s="2" t="str">
        <f>IF(Table2[[#This Row],[Manual Cat Value]]="",VLOOKUP(Table2[[#This Row],[Description]],'Actuals Lookup'!D:F,3,0),Table2[[#This Row],[Manual Cat Value]])</f>
        <v>Exp - Amazon</v>
      </c>
      <c r="G9533" t="s">
        <v>41</v>
      </c>
      <c r="H9533" s="8" t="s">
        <v>37</v>
      </c>
      <c r="I9533" s="8"/>
      <c r="O9533" t="str">
        <f>LEFT(Table2[[#This Row],[Description]],75)</f>
        <v>Amazon</v>
      </c>
    </row>
    <row r="9534" spans="1:15" hidden="1">
      <c r="A9534" s="25">
        <f>VALUE(YEAR(Table2[[#This Row],[Date]])&amp;TEXT(MONTH(Table2[[#This Row],[Date]]),"00"))</f>
        <v>202306</v>
      </c>
      <c r="B9534" s="6">
        <v>45103</v>
      </c>
      <c r="C9534" t="s">
        <v>2916</v>
      </c>
      <c r="D9534" t="s">
        <v>4532</v>
      </c>
      <c r="E9534">
        <v>360.34</v>
      </c>
      <c r="F9534" s="2" t="str">
        <f>IF(Table2[[#This Row],[Manual Cat Value]]="",VLOOKUP(Table2[[#This Row],[Description]],'Actuals Lookup'!D:F,3,0),Table2[[#This Row],[Manual Cat Value]])</f>
        <v>Exp - Groceries</v>
      </c>
      <c r="H9534" s="8" t="s">
        <v>27</v>
      </c>
      <c r="I9534" s="8"/>
      <c r="O9534" t="str">
        <f>LEFT(Table2[[#This Row],[Description]],75)</f>
        <v>COSTCO WHSE #0377        SAINT LOUIS PMN REF #24943005HS4AFJNDP</v>
      </c>
    </row>
    <row r="9535" spans="1:15" hidden="1">
      <c r="A9535">
        <v>202306</v>
      </c>
      <c r="B9535" s="6">
        <v>45103</v>
      </c>
      <c r="C9535" t="s">
        <v>4006</v>
      </c>
      <c r="D9535" t="s">
        <v>1353</v>
      </c>
      <c r="E9535">
        <v>26.24</v>
      </c>
      <c r="F9535" s="2" t="str">
        <f>IF(Table2[[#This Row],[Manual Cat Value]]="",VLOOKUP(Table2[[#This Row],[Description]],'Actuals Lookup'!D:F,3,0),Table2[[#This Row],[Manual Cat Value]])</f>
        <v>Restaurants</v>
      </c>
      <c r="G9535" t="s">
        <v>26</v>
      </c>
      <c r="I9535" s="8"/>
      <c r="O9535" t="str">
        <f>LEFT(Table2[[#This Row],[Description]],75)</f>
        <v>Noodles &amp; Company</v>
      </c>
    </row>
    <row r="9536" spans="1:15" hidden="1">
      <c r="A9536" s="25">
        <f>VALUE(YEAR(Table2[[#This Row],[Date]])&amp;TEXT(MONTH(Table2[[#This Row],[Date]]),"00"))</f>
        <v>202306</v>
      </c>
      <c r="B9536" s="6">
        <v>45103</v>
      </c>
      <c r="C9536" t="s">
        <v>2916</v>
      </c>
      <c r="D9536" t="s">
        <v>1355</v>
      </c>
      <c r="E9536">
        <v>50</v>
      </c>
      <c r="F9536" s="2" t="str">
        <f>IF(Table2[[#This Row],[Manual Cat Value]]="",VLOOKUP(Table2[[#This Row],[Description]],'Actuals Lookup'!D:F,3,0),Table2[[#This Row],[Manual Cat Value]])</f>
        <v>Exp - Shopping</v>
      </c>
      <c r="H9536" s="8" t="s">
        <v>36</v>
      </c>
      <c r="I9536" s="8"/>
      <c r="O9536" t="str">
        <f>LEFT(Table2[[#This Row],[Description]],75)</f>
        <v>Nordstrom</v>
      </c>
    </row>
    <row r="9537" spans="1:15" hidden="1">
      <c r="A9537">
        <v>202306</v>
      </c>
      <c r="B9537" s="6">
        <v>45103</v>
      </c>
      <c r="C9537" t="s">
        <v>4006</v>
      </c>
      <c r="D9537" t="s">
        <v>1922</v>
      </c>
      <c r="E9537">
        <v>65.97</v>
      </c>
      <c r="F9537" s="2" t="str">
        <f>IF(Table2[[#This Row],[Manual Cat Value]]="",VLOOKUP(Table2[[#This Row],[Description]],'Actuals Lookup'!D:F,3,0),Table2[[#This Row],[Manual Cat Value]])</f>
        <v>Entertainment</v>
      </c>
      <c r="G9537" t="s">
        <v>40</v>
      </c>
      <c r="I9537" s="8"/>
      <c r="O9537" t="str">
        <f>LEFT(Table2[[#This Row],[Description]],75)</f>
        <v>Topgolf</v>
      </c>
    </row>
    <row r="9538" spans="1:15" hidden="1">
      <c r="A9538" s="25">
        <f>VALUE(YEAR(Table2[[#This Row],[Date]])&amp;TEXT(MONTH(Table2[[#This Row],[Date]]),"00"))</f>
        <v>202306</v>
      </c>
      <c r="B9538" s="6">
        <v>45103</v>
      </c>
      <c r="C9538" t="s">
        <v>2916</v>
      </c>
      <c r="D9538" t="s">
        <v>4404</v>
      </c>
      <c r="E9538">
        <v>500</v>
      </c>
      <c r="F9538" s="2" t="str">
        <f>IF(Table2[[#This Row],[Manual Cat Value]]="",VLOOKUP(Table2[[#This Row],[Description]],'Actuals Lookup'!D:F,3,0),Table2[[#This Row],[Manual Cat Value]])</f>
        <v>Delete</v>
      </c>
      <c r="H9538" s="8" t="s">
        <v>9</v>
      </c>
      <c r="I9538" s="8"/>
      <c r="O9538" t="str">
        <f>LEFT(Table2[[#This Row],[Description]],75)</f>
        <v>Transfer to Discover Bank</v>
      </c>
    </row>
    <row r="9539" spans="1:15" hidden="1">
      <c r="A9539" s="25">
        <f>VALUE(YEAR(Table2[[#This Row],[Date]])&amp;TEXT(MONTH(Table2[[#This Row],[Date]]),"00"))</f>
        <v>202306</v>
      </c>
      <c r="B9539" s="6">
        <v>45103</v>
      </c>
      <c r="C9539" t="s">
        <v>2916</v>
      </c>
      <c r="D9539" t="s">
        <v>4415</v>
      </c>
      <c r="E9539">
        <v>738.03</v>
      </c>
      <c r="F9539" s="2" t="str">
        <f>IF(Table2[[#This Row],[Manual Cat Value]]="",VLOOKUP(Table2[[#This Row],[Description]],'Actuals Lookup'!D:F,3,0),Table2[[#This Row],[Manual Cat Value]])</f>
        <v>Exp - Target</v>
      </c>
      <c r="H9539" s="8" t="s">
        <v>30</v>
      </c>
      <c r="I9539" s="8"/>
      <c r="O9539" t="str">
        <f>LEFT(Table2[[#This Row],[Description]],75)</f>
        <v>Payment to Jeffrey B</v>
      </c>
    </row>
    <row r="9540" spans="1:15" hidden="1">
      <c r="A9540" s="25">
        <f>VALUE(YEAR(Table2[[#This Row],[Date]])&amp;TEXT(MONTH(Table2[[#This Row],[Date]]),"00"))</f>
        <v>202306</v>
      </c>
      <c r="B9540" s="6">
        <v>45104</v>
      </c>
      <c r="C9540" t="s">
        <v>2916</v>
      </c>
      <c r="D9540" t="s">
        <v>4533</v>
      </c>
      <c r="E9540">
        <v>51.8</v>
      </c>
      <c r="F9540" s="2" t="str">
        <f>IF(Table2[[#This Row],[Manual Cat Value]]="",VLOOKUP(Table2[[#This Row],[Description]],'Actuals Lookup'!D:F,3,0),Table2[[#This Row],[Manual Cat Value]])</f>
        <v>Exp - Amazon</v>
      </c>
      <c r="H9540" s="8" t="s">
        <v>37</v>
      </c>
      <c r="I9540" s="8"/>
      <c r="O9540" t="str">
        <f>LEFT(Table2[[#This Row],[Description]],75)</f>
        <v>AMZN Mktp US*0T99M02D3   Amzn.com/billWA REF #24692165H358WA546</v>
      </c>
    </row>
    <row r="9541" spans="1:15" hidden="1">
      <c r="A9541" s="25">
        <f>VALUE(YEAR(Table2[[#This Row],[Date]])&amp;TEXT(MONTH(Table2[[#This Row],[Date]]),"00"))</f>
        <v>202306</v>
      </c>
      <c r="B9541" s="6">
        <v>45104</v>
      </c>
      <c r="C9541" t="s">
        <v>2916</v>
      </c>
      <c r="D9541" t="s">
        <v>4534</v>
      </c>
      <c r="E9541">
        <v>74.959999999999994</v>
      </c>
      <c r="F9541" s="2" t="str">
        <f>IF(Table2[[#This Row],[Manual Cat Value]]="",VLOOKUP(Table2[[#This Row],[Description]],'Actuals Lookup'!D:F,3,0),Table2[[#This Row],[Manual Cat Value]])</f>
        <v>Exp - Amazon</v>
      </c>
      <c r="H9541" s="8" t="s">
        <v>37</v>
      </c>
      <c r="I9541" s="8"/>
      <c r="O9541" t="str">
        <f>LEFT(Table2[[#This Row],[Description]],75)</f>
        <v>AMZN Mktp US*8069415T3   Amzn.com/billWA REF #24692165H355432MT</v>
      </c>
    </row>
    <row r="9542" spans="1:15" hidden="1">
      <c r="A9542" s="25">
        <f>VALUE(YEAR(Table2[[#This Row],[Date]])&amp;TEXT(MONTH(Table2[[#This Row],[Date]]),"00"))</f>
        <v>202306</v>
      </c>
      <c r="B9542" s="6">
        <v>45104</v>
      </c>
      <c r="C9542" t="s">
        <v>2916</v>
      </c>
      <c r="D9542" t="s">
        <v>4535</v>
      </c>
      <c r="E9542">
        <v>21.99</v>
      </c>
      <c r="F9542" s="2" t="str">
        <f>IF(Table2[[#This Row],[Manual Cat Value]]="",VLOOKUP(Table2[[#This Row],[Description]],'Actuals Lookup'!D:F,3,0),Table2[[#This Row],[Manual Cat Value]])</f>
        <v>Exp - Amazon</v>
      </c>
      <c r="H9542" s="8" t="s">
        <v>37</v>
      </c>
      <c r="I9542" s="8"/>
      <c r="O9542" t="str">
        <f>LEFT(Table2[[#This Row],[Description]],75)</f>
        <v>AMZN Mktp US*X61QH5I83   Amzn.com/billWA REF #24692165H35H0HHX4</v>
      </c>
    </row>
    <row r="9543" spans="1:15" hidden="1">
      <c r="A9543" s="25">
        <f>VALUE(YEAR(Table2[[#This Row],[Date]])&amp;TEXT(MONTH(Table2[[#This Row],[Date]]),"00"))</f>
        <v>202306</v>
      </c>
      <c r="B9543" s="6">
        <v>45104</v>
      </c>
      <c r="C9543" t="s">
        <v>2916</v>
      </c>
      <c r="D9543" t="s">
        <v>4536</v>
      </c>
      <c r="E9543">
        <v>129.07</v>
      </c>
      <c r="F9543" s="2" t="str">
        <f>IF(Table2[[#This Row],[Manual Cat Value]]="",VLOOKUP(Table2[[#This Row],[Description]],'Actuals Lookup'!D:F,3,0),Table2[[#This Row],[Manual Cat Value]])</f>
        <v>Exp - Groceries</v>
      </c>
      <c r="H9543" s="8" t="s">
        <v>27</v>
      </c>
      <c r="I9543" s="8"/>
      <c r="O9543" t="str">
        <f>LEFT(Table2[[#This Row],[Description]],75)</f>
        <v>AVO*ADVOCARE INTL        800-542-4800 TX REF #24692165H354J8YT5</v>
      </c>
    </row>
    <row r="9544" spans="1:15" hidden="1">
      <c r="A9544" s="25">
        <f>VALUE(YEAR(Table2[[#This Row],[Date]])&amp;TEXT(MONTH(Table2[[#This Row],[Date]]),"00"))</f>
        <v>202306</v>
      </c>
      <c r="B9544" s="6">
        <v>45104</v>
      </c>
      <c r="C9544" t="s">
        <v>2916</v>
      </c>
      <c r="D9544" t="s">
        <v>4470</v>
      </c>
      <c r="E9544">
        <v>-29.8</v>
      </c>
      <c r="F9544" s="2" t="str">
        <f>IF(Table2[[#This Row],[Manual Cat Value]]="",VLOOKUP(Table2[[#This Row],[Description]],'Actuals Lookup'!D:F,3,0),Table2[[#This Row],[Manual Cat Value]])</f>
        <v>Delete</v>
      </c>
      <c r="H9544" s="8" t="s">
        <v>9</v>
      </c>
      <c r="I9544" s="8"/>
      <c r="O9544" t="str">
        <f>LEFT(Table2[[#This Row],[Description]],75)</f>
        <v>Connectyourcare Deposit</v>
      </c>
    </row>
    <row r="9545" spans="1:15" hidden="1">
      <c r="A9545" s="25">
        <f>VALUE(YEAR(Table2[[#This Row],[Date]])&amp;TEXT(MONTH(Table2[[#This Row],[Date]]),"00"))</f>
        <v>202306</v>
      </c>
      <c r="B9545" s="6">
        <v>45104</v>
      </c>
      <c r="C9545" t="s">
        <v>2916</v>
      </c>
      <c r="D9545" t="s">
        <v>4537</v>
      </c>
      <c r="E9545">
        <v>52</v>
      </c>
      <c r="F9545" s="2" t="str">
        <f>IF(Table2[[#This Row],[Manual Cat Value]]="",VLOOKUP(Table2[[#This Row],[Description]],'Actuals Lookup'!D:F,3,0),Table2[[#This Row],[Manual Cat Value]])</f>
        <v>Exp - Day Care</v>
      </c>
      <c r="H9545" s="8" t="s">
        <v>19</v>
      </c>
      <c r="I9545" s="8"/>
      <c r="O9545" t="str">
        <f>LEFT(Table2[[#This Row],[Description]],75)</f>
        <v>Kids Hair - CH           Chanhassen   MN REF #24793385H7VBVXA2R</v>
      </c>
    </row>
    <row r="9546" spans="1:15" hidden="1">
      <c r="A9546" s="25">
        <f>VALUE(YEAR(Table2[[#This Row],[Date]])&amp;TEXT(MONTH(Table2[[#This Row],[Date]]),"00"))</f>
        <v>202306</v>
      </c>
      <c r="B9546" s="6">
        <v>45104</v>
      </c>
      <c r="C9546" t="s">
        <v>2916</v>
      </c>
      <c r="D9546" t="s">
        <v>4538</v>
      </c>
      <c r="E9546" s="58">
        <v>1609.45</v>
      </c>
      <c r="F9546" s="2" t="str">
        <f>IF(Table2[[#This Row],[Manual Cat Value]]="",VLOOKUP(Table2[[#This Row],[Description]],'Actuals Lookup'!D:F,3,0),Table2[[#This Row],[Manual Cat Value]])</f>
        <v>Exp - Transportation</v>
      </c>
      <c r="H9546" s="8" t="s">
        <v>22</v>
      </c>
      <c r="I9546" s="8"/>
      <c r="O9546" t="str">
        <f>LEFT(Table2[[#This Row],[Description]],75)</f>
        <v>MOTORWERKS BMW           BLOOMINGTON  MN REF #24431065JJGA8W9DH</v>
      </c>
    </row>
    <row r="9547" spans="1:15" hidden="1">
      <c r="A9547" s="25">
        <f>VALUE(YEAR(Table2[[#This Row],[Date]])&amp;TEXT(MONTH(Table2[[#This Row],[Date]]),"00"))</f>
        <v>202306</v>
      </c>
      <c r="B9547" s="6">
        <v>45105</v>
      </c>
      <c r="C9547" t="s">
        <v>2916</v>
      </c>
      <c r="D9547" t="s">
        <v>4539</v>
      </c>
      <c r="E9547">
        <v>144.69999999999999</v>
      </c>
      <c r="F9547" s="2" t="str">
        <f>IF(Table2[[#This Row],[Manual Cat Value]]="",VLOOKUP(Table2[[#This Row],[Description]],'Actuals Lookup'!D:F,3,0),Table2[[#This Row],[Manual Cat Value]])</f>
        <v>Exp - Amazon</v>
      </c>
      <c r="H9547" s="8" t="s">
        <v>37</v>
      </c>
      <c r="I9547" s="8"/>
      <c r="O9547" t="str">
        <f>LEFT(Table2[[#This Row],[Description]],75)</f>
        <v>AMZN Mktp US*PS81G1WP3   Amzn.com/billWA REF #24692165J3622FMPZ</v>
      </c>
    </row>
    <row r="9548" spans="1:15" hidden="1">
      <c r="A9548">
        <v>202306</v>
      </c>
      <c r="B9548" s="6">
        <v>45105</v>
      </c>
      <c r="C9548" t="s">
        <v>4006</v>
      </c>
      <c r="D9548" t="s">
        <v>4540</v>
      </c>
      <c r="E9548">
        <v>70.8</v>
      </c>
      <c r="F9548" s="2" t="str">
        <f>IF(Table2[[#This Row],[Manual Cat Value]]="",VLOOKUP(Table2[[#This Row],[Description]],'Actuals Lookup'!D:F,3,0),Table2[[#This Row],[Manual Cat Value]])</f>
        <v>Restaurants</v>
      </c>
      <c r="G9548" t="s">
        <v>26</v>
      </c>
      <c r="I9548" s="8"/>
      <c r="O9548" t="str">
        <f>LEFT(Table2[[#This Row],[Description]],75)</f>
        <v>Five Star Food Mart</v>
      </c>
    </row>
    <row r="9549" spans="1:15" hidden="1">
      <c r="A9549">
        <v>202306</v>
      </c>
      <c r="B9549" s="6">
        <v>45105</v>
      </c>
      <c r="C9549" t="s">
        <v>4006</v>
      </c>
      <c r="D9549" t="s">
        <v>4541</v>
      </c>
      <c r="E9549">
        <v>27.81</v>
      </c>
      <c r="F9549" s="2" t="str">
        <f>IF(Table2[[#This Row],[Manual Cat Value]]="",VLOOKUP(Table2[[#This Row],[Description]],'Actuals Lookup'!D:F,3,0),Table2[[#This Row],[Manual Cat Value]])</f>
        <v>Restaurants</v>
      </c>
      <c r="G9549" t="s">
        <v>26</v>
      </c>
      <c r="I9549" s="8"/>
      <c r="O9549" t="str">
        <f>LEFT(Table2[[#This Row],[Description]],75)</f>
        <v>Jj-pcg Msp Venture Lsaint Paul ######josd8 Restaurant</v>
      </c>
    </row>
    <row r="9550" spans="1:15" hidden="1">
      <c r="A9550" s="25">
        <f>VALUE(YEAR(Table2[[#This Row],[Date]])&amp;TEXT(MONTH(Table2[[#This Row],[Date]]),"00"))</f>
        <v>202306</v>
      </c>
      <c r="B9550" s="6">
        <v>45105</v>
      </c>
      <c r="C9550" t="s">
        <v>2916</v>
      </c>
      <c r="D9550" t="s">
        <v>4542</v>
      </c>
      <c r="E9550">
        <v>274</v>
      </c>
      <c r="F9550" s="2" t="str">
        <f>IF(Table2[[#This Row],[Manual Cat Value]]="",VLOOKUP(Table2[[#This Row],[Description]],'Actuals Lookup'!D:F,3,0),Table2[[#This Row],[Manual Cat Value]])</f>
        <v>Exp - Shopping</v>
      </c>
      <c r="H9550" s="8" t="s">
        <v>36</v>
      </c>
      <c r="I9550" s="8"/>
      <c r="O9550" t="str">
        <f>LEFT(Table2[[#This Row],[Description]],75)</f>
        <v>REI #15 BLOOMINGTON      BLOOMINGTON  MN REF #24692165J35YB6X0B</v>
      </c>
    </row>
    <row r="9551" spans="1:15" hidden="1">
      <c r="A9551">
        <v>202306</v>
      </c>
      <c r="B9551" s="6">
        <v>45105</v>
      </c>
      <c r="C9551" t="s">
        <v>4006</v>
      </c>
      <c r="D9551" t="s">
        <v>4543</v>
      </c>
      <c r="E9551">
        <v>36</v>
      </c>
      <c r="F9551" s="2" t="str">
        <f>IF(Table2[[#This Row],[Manual Cat Value]]="",VLOOKUP(Table2[[#This Row],[Description]],'Actuals Lookup'!D:F,3,0),Table2[[#This Row],[Manual Cat Value]])</f>
        <v>Delete</v>
      </c>
      <c r="G9551" t="s">
        <v>62</v>
      </c>
      <c r="I9551" s="8"/>
      <c r="O9551" t="str">
        <f>LEFT(Table2[[#This Row],[Description]],75)</f>
        <v>Sumup</v>
      </c>
    </row>
    <row r="9552" spans="1:15" hidden="1">
      <c r="A9552" s="25">
        <f>VALUE(YEAR(Table2[[#This Row],[Date]])&amp;TEXT(MONTH(Table2[[#This Row],[Date]]),"00"))</f>
        <v>202306</v>
      </c>
      <c r="B9552" s="6">
        <v>45105</v>
      </c>
      <c r="C9552" t="s">
        <v>2916</v>
      </c>
      <c r="D9552" t="s">
        <v>1955</v>
      </c>
      <c r="E9552">
        <v>0.99</v>
      </c>
      <c r="F9552" s="2" t="str">
        <f>IF(Table2[[#This Row],[Manual Cat Value]]="",VLOOKUP(Table2[[#This Row],[Description]],'Actuals Lookup'!D:F,3,0),Table2[[#This Row],[Manual Cat Value]])</f>
        <v>Exp - Shopping</v>
      </c>
      <c r="H9552" s="8" t="s">
        <v>36</v>
      </c>
      <c r="I9552" s="8"/>
      <c r="O9552" t="str">
        <f>LEFT(Table2[[#This Row],[Description]],75)</f>
        <v>Transfer to PayPal</v>
      </c>
    </row>
    <row r="9553" spans="1:16" hidden="1">
      <c r="A9553" s="25">
        <f>VALUE(YEAR(Table2[[#This Row],[Date]])&amp;TEXT(MONTH(Table2[[#This Row],[Date]]),"00"))</f>
        <v>202306</v>
      </c>
      <c r="B9553" s="6">
        <v>45105</v>
      </c>
      <c r="C9553" t="s">
        <v>2916</v>
      </c>
      <c r="D9553" t="s">
        <v>4544</v>
      </c>
      <c r="E9553">
        <v>10.41</v>
      </c>
      <c r="F9553" s="2" t="str">
        <f>IF(Table2[[#This Row],[Manual Cat Value]]="",VLOOKUP(Table2[[#This Row],[Description]],'Actuals Lookup'!D:F,3,0),Table2[[#This Row],[Manual Cat Value]])</f>
        <v>Exp - Restaurants</v>
      </c>
      <c r="H9553" s="8" t="s">
        <v>25</v>
      </c>
      <c r="I9553" s="8"/>
      <c r="O9553" t="str">
        <f>LEFT(Table2[[#This Row],[Description]],75)</f>
        <v>WAYZATA CAFE             WAYZATA      MN REF #24943005KW6QN1RNE</v>
      </c>
    </row>
    <row r="9554" spans="1:16" hidden="1">
      <c r="A9554">
        <v>202306</v>
      </c>
      <c r="B9554" s="6">
        <v>45105</v>
      </c>
      <c r="C9554" t="s">
        <v>4006</v>
      </c>
      <c r="D9554" t="s">
        <v>4545</v>
      </c>
      <c r="E9554">
        <v>20.03</v>
      </c>
      <c r="F9554" s="2" t="str">
        <f>IF(Table2[[#This Row],[Manual Cat Value]]="",VLOOKUP(Table2[[#This Row],[Description]],'Actuals Lookup'!D:F,3,0),Table2[[#This Row],[Manual Cat Value]])</f>
        <v>Restaurants</v>
      </c>
      <c r="G9554" t="s">
        <v>26</v>
      </c>
      <c r="I9554" s="8"/>
      <c r="O9554" t="str">
        <f>LEFT(Table2[[#This Row],[Description]],75)</f>
        <v>X0099 Cava 5th And Bnashville Tn 2238 Restaurant</v>
      </c>
    </row>
    <row r="9555" spans="1:16" hidden="1">
      <c r="A9555">
        <v>202306</v>
      </c>
      <c r="B9555" s="6">
        <v>45106</v>
      </c>
      <c r="C9555" t="s">
        <v>3932</v>
      </c>
      <c r="D9555" t="s">
        <v>38</v>
      </c>
      <c r="E9555">
        <v>85.52</v>
      </c>
      <c r="F9555" s="2" t="str">
        <f>IF(Table2[[#This Row],[Manual Cat Value]]="",VLOOKUP(Table2[[#This Row],[Description]],'Actuals Lookup'!D:F,3,0),Table2[[#This Row],[Manual Cat Value]])</f>
        <v>Exp - Amazon</v>
      </c>
      <c r="G9555" t="s">
        <v>41</v>
      </c>
      <c r="H9555" s="8" t="s">
        <v>37</v>
      </c>
      <c r="I9555" s="8"/>
      <c r="O9555" t="str">
        <f>LEFT(Table2[[#This Row],[Description]],75)</f>
        <v>Amazon</v>
      </c>
    </row>
    <row r="9556" spans="1:16" hidden="1">
      <c r="A9556">
        <v>202306</v>
      </c>
      <c r="B9556" s="6">
        <v>45106</v>
      </c>
      <c r="C9556" t="s">
        <v>3932</v>
      </c>
      <c r="D9556" t="s">
        <v>38</v>
      </c>
      <c r="E9556">
        <v>118.62</v>
      </c>
      <c r="F9556" s="2" t="str">
        <f>IF(Table2[[#This Row],[Manual Cat Value]]="",VLOOKUP(Table2[[#This Row],[Description]],'Actuals Lookup'!D:F,3,0),Table2[[#This Row],[Manual Cat Value]])</f>
        <v>Exp - Amazon</v>
      </c>
      <c r="G9556" t="s">
        <v>41</v>
      </c>
      <c r="H9556" s="8" t="s">
        <v>37</v>
      </c>
      <c r="I9556" s="8"/>
      <c r="O9556" t="str">
        <f>LEFT(Table2[[#This Row],[Description]],75)</f>
        <v>Amazon</v>
      </c>
    </row>
    <row r="9557" spans="1:16" hidden="1">
      <c r="A9557">
        <v>202306</v>
      </c>
      <c r="B9557" s="6">
        <v>45106</v>
      </c>
      <c r="C9557" t="s">
        <v>3932</v>
      </c>
      <c r="D9557" t="s">
        <v>38</v>
      </c>
      <c r="E9557">
        <v>56.02</v>
      </c>
      <c r="F9557" s="2" t="str">
        <f>IF(Table2[[#This Row],[Manual Cat Value]]="",VLOOKUP(Table2[[#This Row],[Description]],'Actuals Lookup'!D:F,3,0),Table2[[#This Row],[Manual Cat Value]])</f>
        <v>Exp - Amazon</v>
      </c>
      <c r="G9557" t="s">
        <v>38</v>
      </c>
      <c r="H9557" s="8" t="s">
        <v>37</v>
      </c>
      <c r="I9557" s="8"/>
      <c r="O9557" t="str">
        <f>LEFT(Table2[[#This Row],[Description]],75)</f>
        <v>Amazon</v>
      </c>
    </row>
    <row r="9558" spans="1:16" hidden="1">
      <c r="A9558" s="25">
        <f>VALUE(YEAR(Table2[[#This Row],[Date]])&amp;TEXT(MONTH(Table2[[#This Row],[Date]]),"00"))</f>
        <v>202306</v>
      </c>
      <c r="B9558" s="6">
        <v>45106</v>
      </c>
      <c r="C9558" t="s">
        <v>2916</v>
      </c>
      <c r="D9558" t="s">
        <v>4546</v>
      </c>
      <c r="E9558">
        <v>-9.36</v>
      </c>
      <c r="F9558" s="2" t="str">
        <f>IF(Table2[[#This Row],[Manual Cat Value]]="",VLOOKUP(Table2[[#This Row],[Description]],'Actuals Lookup'!D:F,3,0),Table2[[#This Row],[Manual Cat Value]])</f>
        <v>Delete</v>
      </c>
      <c r="H9558" s="8" t="s">
        <v>9</v>
      </c>
      <c r="I9558" s="8"/>
      <c r="O9558" t="str">
        <f>LEFT(Table2[[#This Row],[Description]],75)</f>
        <v>Dividend Solar</v>
      </c>
    </row>
    <row r="9559" spans="1:16" hidden="1">
      <c r="A9559" s="2">
        <v>201909</v>
      </c>
      <c r="B9559" s="3">
        <v>43727</v>
      </c>
      <c r="C9559" s="2" t="s">
        <v>2274</v>
      </c>
      <c r="D9559" s="2" t="s">
        <v>1387</v>
      </c>
      <c r="E9559" s="2">
        <v>-95.54</v>
      </c>
      <c r="F9559" s="2" t="s">
        <v>9</v>
      </c>
      <c r="J9559" s="2">
        <v>95.54</v>
      </c>
      <c r="K9559" s="2" t="b">
        <v>0</v>
      </c>
      <c r="L9559" s="2"/>
      <c r="M9559" s="2"/>
      <c r="N9559" s="2" t="s">
        <v>2264</v>
      </c>
      <c r="O9559" s="2" t="str">
        <f>LEFT(Table2[[#This Row],[Description]],75)</f>
        <v>Overdraft Transfer from Brokerage -5308</v>
      </c>
      <c r="P9559" s="2"/>
    </row>
    <row r="9560" spans="1:16" hidden="1">
      <c r="A9560">
        <v>202306</v>
      </c>
      <c r="B9560" s="6">
        <v>45106</v>
      </c>
      <c r="C9560" t="s">
        <v>4006</v>
      </c>
      <c r="D9560" t="s">
        <v>4547</v>
      </c>
      <c r="E9560">
        <v>312.82</v>
      </c>
      <c r="F9560" s="2" t="str">
        <f>IF(Table2[[#This Row],[Manual Cat Value]]="",VLOOKUP(Table2[[#This Row],[Description]],'Actuals Lookup'!D:F,3,0),Table2[[#This Row],[Manual Cat Value]])</f>
        <v>Delete</v>
      </c>
      <c r="G9560" t="s">
        <v>43</v>
      </c>
      <c r="H9560" s="8" t="s">
        <v>9</v>
      </c>
      <c r="I9560" s="8"/>
      <c r="O9560" t="str">
        <f>LEFT(Table2[[#This Row],[Description]],75)</f>
        <v>Hilton Hotels &amp; Resorts</v>
      </c>
    </row>
    <row r="9561" spans="1:16" hidden="1">
      <c r="A9561">
        <v>202306</v>
      </c>
      <c r="B9561" s="6">
        <v>45106</v>
      </c>
      <c r="C9561" t="s">
        <v>4006</v>
      </c>
      <c r="D9561" t="s">
        <v>4547</v>
      </c>
      <c r="E9561">
        <v>4.79</v>
      </c>
      <c r="F9561" s="2" t="str">
        <f>IF(Table2[[#This Row],[Manual Cat Value]]="",VLOOKUP(Table2[[#This Row],[Description]],'Actuals Lookup'!D:F,3,0),Table2[[#This Row],[Manual Cat Value]])</f>
        <v>Delete</v>
      </c>
      <c r="G9561" t="s">
        <v>43</v>
      </c>
      <c r="H9561" s="8" t="s">
        <v>9</v>
      </c>
      <c r="I9561" s="8"/>
      <c r="O9561" t="str">
        <f>LEFT(Table2[[#This Row],[Description]],75)</f>
        <v>Hilton Hotels &amp; Resorts</v>
      </c>
    </row>
    <row r="9562" spans="1:16" hidden="1">
      <c r="A9562" s="25">
        <f>VALUE(YEAR(Table2[[#This Row],[Date]])&amp;TEXT(MONTH(Table2[[#This Row],[Date]]),"00"))</f>
        <v>202306</v>
      </c>
      <c r="B9562" s="6">
        <v>45106</v>
      </c>
      <c r="C9562" t="s">
        <v>2916</v>
      </c>
      <c r="D9562" t="s">
        <v>4548</v>
      </c>
      <c r="E9562">
        <v>217.41</v>
      </c>
      <c r="F9562" s="2" t="str">
        <f>IF(Table2[[#This Row],[Manual Cat Value]]="",VLOOKUP(Table2[[#This Row],[Description]],'Actuals Lookup'!D:F,3,0),Table2[[#This Row],[Manual Cat Value]])</f>
        <v>Exp - Shopping</v>
      </c>
      <c r="H9562" s="8" t="s">
        <v>36</v>
      </c>
      <c r="I9562" s="8"/>
      <c r="O9562" t="str">
        <f>LEFT(Table2[[#This Row],[Description]],75)</f>
        <v>Patagonia-Nashville      Nashville    TN REF #24204295K061LZB39</v>
      </c>
    </row>
    <row r="9563" spans="1:16" hidden="1">
      <c r="A9563" s="25">
        <f>VALUE(YEAR(Table2[[#This Row],[Date]])&amp;TEXT(MONTH(Table2[[#This Row],[Date]]),"00"))</f>
        <v>202306</v>
      </c>
      <c r="B9563" s="6">
        <v>45106</v>
      </c>
      <c r="C9563" t="s">
        <v>2916</v>
      </c>
      <c r="D9563" t="s">
        <v>4343</v>
      </c>
      <c r="E9563">
        <v>-3180.72</v>
      </c>
      <c r="F9563" s="2" t="str">
        <f>IF(Table2[[#This Row],[Manual Cat Value]]="",VLOOKUP(Table2[[#This Row],[Description]],'Actuals Lookup'!D:F,3,0),Table2[[#This Row],[Manual Cat Value]])</f>
        <v>Inc - Jeff</v>
      </c>
      <c r="H9563" s="8" t="s">
        <v>63</v>
      </c>
      <c r="I9563" s="8"/>
      <c r="O9563" t="str">
        <f>LEFT(Table2[[#This Row],[Description]],75)</f>
        <v>Salary/Regular Income from TriNet</v>
      </c>
    </row>
    <row r="9564" spans="1:16" hidden="1">
      <c r="A9564" s="25">
        <f>VALUE(YEAR(Table2[[#This Row],[Date]])&amp;TEXT(MONTH(Table2[[#This Row],[Date]]),"00"))</f>
        <v>202306</v>
      </c>
      <c r="B9564" s="6">
        <v>45106</v>
      </c>
      <c r="C9564" t="s">
        <v>2916</v>
      </c>
      <c r="D9564" t="s">
        <v>4549</v>
      </c>
      <c r="E9564">
        <v>49.16</v>
      </c>
      <c r="F9564" s="2" t="str">
        <f>IF(Table2[[#This Row],[Manual Cat Value]]="",VLOOKUP(Table2[[#This Row],[Description]],'Actuals Lookup'!D:F,3,0),Table2[[#This Row],[Manual Cat Value]])</f>
        <v>Exp - Shopping</v>
      </c>
      <c r="H9564" s="8" t="s">
        <v>36</v>
      </c>
      <c r="I9564" s="8"/>
      <c r="O9564" t="str">
        <f>LEFT(Table2[[#This Row],[Description]],75)</f>
        <v>SP NORMAL BRAND LLC      186-69276999 MO REF #24492165K001BRFY6</v>
      </c>
    </row>
    <row r="9565" spans="1:16" hidden="1">
      <c r="A9565">
        <v>202306</v>
      </c>
      <c r="B9565" s="6">
        <v>45106</v>
      </c>
      <c r="C9565" t="s">
        <v>4006</v>
      </c>
      <c r="D9565" t="s">
        <v>4550</v>
      </c>
      <c r="E9565">
        <v>55.75</v>
      </c>
      <c r="F9565" s="2" t="str">
        <f>IF(Table2[[#This Row],[Manual Cat Value]]="",VLOOKUP(Table2[[#This Row],[Description]],'Actuals Lookup'!D:F,3,0),Table2[[#This Row],[Manual Cat Value]])</f>
        <v>Restaurants</v>
      </c>
      <c r="G9565" t="s">
        <v>26</v>
      </c>
      <c r="I9565" s="8"/>
      <c r="O9565" t="str">
        <f>LEFT(Table2[[#This Row],[Description]],75)</f>
        <v>Tst* Maynards - Outsexcelsior Mn Xxxxxxx3012 Restaurant</v>
      </c>
    </row>
    <row r="9566" spans="1:16" hidden="1">
      <c r="A9566">
        <v>202306</v>
      </c>
      <c r="B9566" s="6">
        <v>45106</v>
      </c>
      <c r="C9566" t="s">
        <v>4006</v>
      </c>
      <c r="D9566" t="s">
        <v>4551</v>
      </c>
      <c r="E9566">
        <v>35.06</v>
      </c>
      <c r="F9566" s="2" t="str">
        <f>IF(Table2[[#This Row],[Manual Cat Value]]="",VLOOKUP(Table2[[#This Row],[Description]],'Actuals Lookup'!D:F,3,0),Table2[[#This Row],[Manual Cat Value]])</f>
        <v>Restaurants</v>
      </c>
      <c r="G9566" t="s">
        <v>26</v>
      </c>
      <c r="I9566" s="8"/>
      <c r="O9566" t="str">
        <f>LEFT(Table2[[#This Row],[Description]],75)</f>
        <v>Tst* Rosalia 0xx3741minneapolis Xxxxxxx3181 Restaurant</v>
      </c>
    </row>
    <row r="9567" spans="1:16" hidden="1">
      <c r="A9567">
        <v>202306</v>
      </c>
      <c r="B9567" s="6">
        <v>45106</v>
      </c>
      <c r="C9567" t="s">
        <v>4006</v>
      </c>
      <c r="D9567" t="s">
        <v>4552</v>
      </c>
      <c r="E9567">
        <v>104.78</v>
      </c>
      <c r="F9567" s="2" t="str">
        <f>IF(Table2[[#This Row],[Manual Cat Value]]="",VLOOKUP(Table2[[#This Row],[Description]],'Actuals Lookup'!D:F,3,0),Table2[[#This Row],[Manual Cat Value]])</f>
        <v>Delete</v>
      </c>
      <c r="G9567" t="s">
        <v>26</v>
      </c>
      <c r="H9567" s="8" t="s">
        <v>9</v>
      </c>
      <c r="I9567" s="8"/>
      <c r="O9567" t="str">
        <f>LEFT(Table2[[#This Row],[Description]],75)</f>
        <v>Tst* The Hampton Socnashville Tn Xxxxxxx6012 Restaurant</v>
      </c>
    </row>
    <row r="9568" spans="1:16" hidden="1">
      <c r="A9568" s="25">
        <f>VALUE(YEAR(Table2[[#This Row],[Date]])&amp;TEXT(MONTH(Table2[[#This Row],[Date]]),"00"))</f>
        <v>202306</v>
      </c>
      <c r="B9568" s="6">
        <v>45106</v>
      </c>
      <c r="C9568" t="s">
        <v>2916</v>
      </c>
      <c r="D9568" t="s">
        <v>4553</v>
      </c>
      <c r="E9568">
        <v>265</v>
      </c>
      <c r="F9568" s="2" t="str">
        <f>IF(Table2[[#This Row],[Manual Cat Value]]="",VLOOKUP(Table2[[#This Row],[Description]],'Actuals Lookup'!D:F,3,0),Table2[[#This Row],[Manual Cat Value]])</f>
        <v>Exp - Day Care</v>
      </c>
      <c r="H9568" s="8" t="s">
        <v>19</v>
      </c>
      <c r="I9568" s="8"/>
      <c r="O9568" t="str">
        <f>LEFT(Table2[[#This Row],[Description]],75)</f>
        <v>Withdrawal ACH MHCHILDCARELLC TYPE: DUES ID: XX8198 CO: MHCHILDCARELLC Entr</v>
      </c>
    </row>
    <row r="9569" spans="1:15" hidden="1">
      <c r="A9569">
        <v>202306</v>
      </c>
      <c r="B9569" s="6">
        <v>45107</v>
      </c>
      <c r="C9569" t="s">
        <v>3932</v>
      </c>
      <c r="D9569" t="s">
        <v>38</v>
      </c>
      <c r="E9569">
        <v>37.65</v>
      </c>
      <c r="F9569" s="2" t="str">
        <f>IF(Table2[[#This Row],[Manual Cat Value]]="",VLOOKUP(Table2[[#This Row],[Description]],'Actuals Lookup'!D:F,3,0),Table2[[#This Row],[Manual Cat Value]])</f>
        <v>Exp - Amazon</v>
      </c>
      <c r="G9569" t="s">
        <v>41</v>
      </c>
      <c r="H9569" s="8" t="s">
        <v>37</v>
      </c>
      <c r="I9569" s="8"/>
      <c r="O9569" t="str">
        <f>LEFT(Table2[[#This Row],[Description]],75)</f>
        <v>Amazon</v>
      </c>
    </row>
    <row r="9570" spans="1:15" hidden="1">
      <c r="A9570">
        <v>202306</v>
      </c>
      <c r="B9570" s="6">
        <v>45107</v>
      </c>
      <c r="C9570" t="s">
        <v>3932</v>
      </c>
      <c r="D9570" t="s">
        <v>3994</v>
      </c>
      <c r="E9570">
        <v>3.21</v>
      </c>
      <c r="F9570" s="2" t="str">
        <f>IF(Table2[[#This Row],[Manual Cat Value]]="",VLOOKUP(Table2[[#This Row],[Description]],'Actuals Lookup'!D:F,3,0),Table2[[#This Row],[Manual Cat Value]])</f>
        <v>Amazon</v>
      </c>
      <c r="G9570" t="s">
        <v>40</v>
      </c>
      <c r="I9570" s="8"/>
      <c r="O9570" t="str">
        <f>LEFT(Table2[[#This Row],[Description]],75)</f>
        <v>Amazon Digital Services</v>
      </c>
    </row>
    <row r="9571" spans="1:15" hidden="1">
      <c r="A9571">
        <v>202306</v>
      </c>
      <c r="B9571" s="6">
        <v>45107</v>
      </c>
      <c r="C9571" t="s">
        <v>3932</v>
      </c>
      <c r="D9571" t="s">
        <v>3994</v>
      </c>
      <c r="E9571">
        <v>3.2</v>
      </c>
      <c r="F9571" s="2" t="str">
        <f>IF(Table2[[#This Row],[Manual Cat Value]]="",VLOOKUP(Table2[[#This Row],[Description]],'Actuals Lookup'!D:F,3,0),Table2[[#This Row],[Manual Cat Value]])</f>
        <v>Amazon</v>
      </c>
      <c r="G9571" t="s">
        <v>40</v>
      </c>
      <c r="I9571" s="8"/>
      <c r="O9571" t="str">
        <f>LEFT(Table2[[#This Row],[Description]],75)</f>
        <v>Amazon Digital Services</v>
      </c>
    </row>
    <row r="9572" spans="1:15" hidden="1">
      <c r="A9572" s="25">
        <f>VALUE(YEAR(Table2[[#This Row],[Date]])&amp;TEXT(MONTH(Table2[[#This Row],[Date]]),"00"))</f>
        <v>202306</v>
      </c>
      <c r="B9572" s="6">
        <v>45107</v>
      </c>
      <c r="C9572" t="s">
        <v>2916</v>
      </c>
      <c r="D9572" t="s">
        <v>4554</v>
      </c>
      <c r="E9572">
        <v>-48.56</v>
      </c>
      <c r="F9572" s="2" t="str">
        <f>IF(Table2[[#This Row],[Manual Cat Value]]="",VLOOKUP(Table2[[#This Row],[Description]],'Actuals Lookup'!D:F,3,0),Table2[[#This Row],[Manual Cat Value]])</f>
        <v>Inc - Other</v>
      </c>
      <c r="H9572" s="8" t="s">
        <v>16</v>
      </c>
      <c r="I9572" s="8"/>
      <c r="O9572" t="str">
        <f>LEFT(Table2[[#This Row],[Description]],75)</f>
        <v>Deposit Dividend Split Rate Annual Percentage Yield Earned 1.98% from 06/01</v>
      </c>
    </row>
    <row r="9573" spans="1:15" hidden="1">
      <c r="A9573">
        <v>202306</v>
      </c>
      <c r="B9573" s="6">
        <v>45107</v>
      </c>
      <c r="C9573" t="s">
        <v>4006</v>
      </c>
      <c r="D9573" t="s">
        <v>4555</v>
      </c>
      <c r="E9573">
        <v>20.57</v>
      </c>
      <c r="F9573" s="2" t="str">
        <f>IF(Table2[[#This Row],[Manual Cat Value]]="",VLOOKUP(Table2[[#This Row],[Description]],'Actuals Lookup'!D:F,3,0),Table2[[#This Row],[Manual Cat Value]])</f>
        <v>Restaurants</v>
      </c>
      <c r="G9573" t="s">
        <v>26</v>
      </c>
      <c r="I9573" s="8"/>
      <c r="O9573" t="str">
        <f>LEFT(Table2[[#This Row],[Description]],75)</f>
        <v>Docs Pub And Eatery Balsam Lake Xxxxxxx3182 Kevinjamesx2667@gmail</v>
      </c>
    </row>
    <row r="9574" spans="1:15" hidden="1">
      <c r="A9574">
        <v>202306</v>
      </c>
      <c r="B9574" s="6">
        <v>45107</v>
      </c>
      <c r="C9574" t="s">
        <v>4006</v>
      </c>
      <c r="D9574" t="s">
        <v>916</v>
      </c>
      <c r="E9574">
        <v>277.95</v>
      </c>
      <c r="F9574" s="2" t="str">
        <f>IF(Table2[[#This Row],[Manual Cat Value]]="",VLOOKUP(Table2[[#This Row],[Description]],'Actuals Lookup'!D:F,3,0),Table2[[#This Row],[Manual Cat Value]])</f>
        <v>Delete</v>
      </c>
      <c r="G9574" t="s">
        <v>43</v>
      </c>
      <c r="H9574" s="8" t="s">
        <v>9</v>
      </c>
      <c r="I9574" s="8"/>
      <c r="O9574" t="str">
        <f>LEFT(Table2[[#This Row],[Description]],75)</f>
        <v>Hampton Inn</v>
      </c>
    </row>
    <row r="9575" spans="1:15" hidden="1">
      <c r="A9575">
        <v>202306</v>
      </c>
      <c r="B9575" s="6">
        <v>45107</v>
      </c>
      <c r="C9575" t="s">
        <v>4006</v>
      </c>
      <c r="D9575" t="s">
        <v>4556</v>
      </c>
      <c r="E9575">
        <v>3.82</v>
      </c>
      <c r="F9575" s="2" t="str">
        <f>IF(Table2[[#This Row],[Manual Cat Value]]="",VLOOKUP(Table2[[#This Row],[Description]],'Actuals Lookup'!D:F,3,0),Table2[[#This Row],[Manual Cat Value]])</f>
        <v>Restaurants</v>
      </c>
      <c r="G9575" t="s">
        <v>26</v>
      </c>
      <c r="I9575" s="8"/>
      <c r="O9575" t="str">
        <f>LEFT(Table2[[#This Row],[Description]],75)</f>
        <v>Kijiji Coffee - B04 Nashville Tn Xxxxxxx3183 Usfc1 X7214</v>
      </c>
    </row>
    <row r="9576" spans="1:15" hidden="1">
      <c r="A9576" s="25">
        <f>VALUE(YEAR(Table2[[#This Row],[Date]])&amp;TEXT(MONTH(Table2[[#This Row],[Date]]),"00"))</f>
        <v>202306</v>
      </c>
      <c r="B9576" s="6">
        <v>45107</v>
      </c>
      <c r="C9576" t="s">
        <v>2916</v>
      </c>
      <c r="D9576" t="s">
        <v>4557</v>
      </c>
      <c r="E9576">
        <v>5.91</v>
      </c>
      <c r="F9576" s="2" t="str">
        <f>IF(Table2[[#This Row],[Manual Cat Value]]="",VLOOKUP(Table2[[#This Row],[Description]],'Actuals Lookup'!D:F,3,0),Table2[[#This Row],[Manual Cat Value]])</f>
        <v>Exp - Shopping</v>
      </c>
      <c r="H9576" s="8" t="s">
        <v>36</v>
      </c>
      <c r="I9576" s="8"/>
      <c r="O9576" t="str">
        <f>LEFT(Table2[[#This Row],[Description]],75)</f>
        <v>SHOREWOOD TRUE VALUE     EXCELSIOR    MN REF #24801975MBMDBH28K</v>
      </c>
    </row>
    <row r="9577" spans="1:15" hidden="1">
      <c r="A9577" s="25">
        <f>VALUE(YEAR(Table2[[#This Row],[Date]])&amp;TEXT(MONTH(Table2[[#This Row],[Date]]),"00"))</f>
        <v>202306</v>
      </c>
      <c r="B9577" s="6">
        <v>45107</v>
      </c>
      <c r="C9577" t="s">
        <v>2916</v>
      </c>
      <c r="D9577" t="s">
        <v>1958</v>
      </c>
      <c r="E9577">
        <v>57.47</v>
      </c>
      <c r="F9577" s="2" t="str">
        <f>IF(Table2[[#This Row],[Manual Cat Value]]="",VLOOKUP(Table2[[#This Row],[Description]],'Actuals Lookup'!D:F,3,0),Table2[[#This Row],[Manual Cat Value]])</f>
        <v>Exp - Shopping</v>
      </c>
      <c r="H9577" s="8" t="s">
        <v>36</v>
      </c>
      <c r="I9577" s="8"/>
      <c r="O9577" t="str">
        <f>LEFT(Table2[[#This Row],[Description]],75)</f>
        <v>Transfer to Venmo</v>
      </c>
    </row>
    <row r="9578" spans="1:15" hidden="1">
      <c r="A9578">
        <v>202306</v>
      </c>
      <c r="B9578" s="6">
        <v>45107</v>
      </c>
      <c r="C9578" t="s">
        <v>4006</v>
      </c>
      <c r="D9578" t="s">
        <v>4558</v>
      </c>
      <c r="E9578">
        <v>44.42</v>
      </c>
      <c r="F9578" s="2" t="str">
        <f>IF(Table2[[#This Row],[Manual Cat Value]]="",VLOOKUP(Table2[[#This Row],[Description]],'Actuals Lookup'!D:F,3,0),Table2[[#This Row],[Manual Cat Value]])</f>
        <v>Delete</v>
      </c>
      <c r="G9578" t="s">
        <v>26</v>
      </c>
      <c r="H9578" s="8" t="s">
        <v>9</v>
      </c>
      <c r="I9578" s="8"/>
      <c r="O9578" t="str">
        <f>LEFT(Table2[[#This Row],[Description]],75)</f>
        <v>Tst* City Tap - Nashnashville Tn Hfnsyoboj00 Xxxxxx4015</v>
      </c>
    </row>
    <row r="9579" spans="1:15" hidden="1">
      <c r="A9579">
        <v>202306</v>
      </c>
      <c r="B9579" s="6">
        <v>45107</v>
      </c>
      <c r="C9579" t="s">
        <v>4006</v>
      </c>
      <c r="D9579" t="s">
        <v>4559</v>
      </c>
      <c r="E9579">
        <v>28.42</v>
      </c>
      <c r="F9579" s="2" t="str">
        <f>IF(Table2[[#This Row],[Manual Cat Value]]="",VLOOKUP(Table2[[#This Row],[Description]],'Actuals Lookup'!D:F,3,0),Table2[[#This Row],[Manual Cat Value]])</f>
        <v>Restaurants</v>
      </c>
      <c r="G9579" t="s">
        <v>26</v>
      </c>
      <c r="I9579" s="8"/>
      <c r="O9579" t="str">
        <f>LEFT(Table2[[#This Row],[Description]],75)</f>
        <v>Viv's Kitchen &amp; Catebalsam Lake Xxxxxxxx Xxx-xxx-3848</v>
      </c>
    </row>
    <row r="9580" spans="1:15" hidden="1">
      <c r="A9580" s="25">
        <f>VALUE(YEAR(Table2[[#This Row],[Date]])&amp;TEXT(MONTH(Table2[[#This Row],[Date]]),"00"))</f>
        <v>202306</v>
      </c>
      <c r="B9580" s="6">
        <v>45107</v>
      </c>
      <c r="C9580" t="s">
        <v>2916</v>
      </c>
      <c r="D9580" t="s">
        <v>4560</v>
      </c>
      <c r="E9580">
        <v>203.95</v>
      </c>
      <c r="F9580" s="2" t="str">
        <f>IF(Table2[[#This Row],[Manual Cat Value]]="",VLOOKUP(Table2[[#This Row],[Description]],'Actuals Lookup'!D:F,3,0),Table2[[#This Row],[Manual Cat Value]])</f>
        <v>Delete</v>
      </c>
      <c r="H9580" s="8" t="s">
        <v>9</v>
      </c>
      <c r="I9580" s="8"/>
      <c r="O9580" t="str">
        <f>LEFT(Table2[[#This Row],[Description]],75)</f>
        <v>Withdrawal at ATM #XX1726 DOCS PUB AND-XX9502 305 MAIN ST. BALSAM LAKE WI</v>
      </c>
    </row>
    <row r="9581" spans="1:15" hidden="1">
      <c r="A9581" s="25">
        <f>VALUE(YEAR(Table2[[#This Row],[Date]])&amp;TEXT(MONTH(Table2[[#This Row],[Date]]),"00"))</f>
        <v>202306</v>
      </c>
      <c r="B9581" s="6">
        <v>45107</v>
      </c>
      <c r="C9581" t="s">
        <v>2916</v>
      </c>
      <c r="D9581" t="s">
        <v>4293</v>
      </c>
      <c r="E9581">
        <v>6321.76</v>
      </c>
      <c r="F9581" s="2" t="str">
        <f>IF(Table2[[#This Row],[Manual Cat Value]]="",VLOOKUP(Table2[[#This Row],[Description]],'Actuals Lookup'!D:F,3,0),Table2[[#This Row],[Manual Cat Value]])</f>
        <v>Delete</v>
      </c>
      <c r="H9581" s="8" t="s">
        <v>9</v>
      </c>
      <c r="I9581" s="8"/>
      <c r="O9581" t="str">
        <f>LEFT(Table2[[#This Row],[Description]],75)</f>
        <v>Withdrawal Home Banking Pmt to card XX5913</v>
      </c>
    </row>
    <row r="9582" spans="1:15" hidden="1">
      <c r="A9582">
        <v>202306</v>
      </c>
      <c r="B9582" s="6">
        <v>45107</v>
      </c>
      <c r="C9582" t="s">
        <v>3932</v>
      </c>
      <c r="D9582" t="s">
        <v>3988</v>
      </c>
      <c r="E9582">
        <v>-366.15</v>
      </c>
      <c r="F9582" s="2" t="str">
        <f>IF(Table2[[#This Row],[Manual Cat Value]]="",VLOOKUP(Table2[[#This Row],[Description]],'Actuals Lookup'!D:F,3,0),Table2[[#This Row],[Manual Cat Value]])</f>
        <v>Delete</v>
      </c>
      <c r="G9582" t="s">
        <v>8</v>
      </c>
      <c r="H9582" s="8" t="s">
        <v>9</v>
      </c>
      <c r="I9582" s="8"/>
      <c r="O9582" t="str">
        <f>LEFT(Table2[[#This Row],[Description]],75)</f>
        <v>Internet Payment - Thank You</v>
      </c>
    </row>
    <row r="9583" spans="1:15" hidden="1">
      <c r="A9583">
        <v>202306</v>
      </c>
      <c r="B9583" s="6">
        <v>45107</v>
      </c>
      <c r="C9583" t="s">
        <v>4006</v>
      </c>
      <c r="D9583" t="s">
        <v>4240</v>
      </c>
      <c r="E9583">
        <v>-1948.26</v>
      </c>
      <c r="F9583" s="2" t="str">
        <f>IF(Table2[[#This Row],[Manual Cat Value]]="",VLOOKUP(Table2[[#This Row],[Description]],'Actuals Lookup'!D:F,3,0),Table2[[#This Row],[Manual Cat Value]])</f>
        <v>Delete</v>
      </c>
      <c r="G9583" t="s">
        <v>9</v>
      </c>
      <c r="I9583" s="8"/>
      <c r="O9583" t="str">
        <f>LEFT(Table2[[#This Row],[Description]],75)</f>
        <v>Mobile Payment - Thank You</v>
      </c>
    </row>
    <row r="9584" spans="1:15" hidden="1">
      <c r="A9584" s="25">
        <f>VALUE(YEAR(Table2[[#This Row],[Date]])&amp;TEXT(MONTH(Table2[[#This Row],[Date]]),"00"))</f>
        <v>202306</v>
      </c>
      <c r="B9584" s="6">
        <v>45107</v>
      </c>
      <c r="C9584" t="s">
        <v>2916</v>
      </c>
      <c r="D9584" t="s">
        <v>4561</v>
      </c>
      <c r="E9584">
        <v>-6321.76</v>
      </c>
      <c r="F9584" s="2" t="str">
        <f>IF(Table2[[#This Row],[Manual Cat Value]]="",VLOOKUP(Table2[[#This Row],[Description]],'Actuals Lookup'!D:F,3,0),Table2[[#This Row],[Manual Cat Value]])</f>
        <v>Delete</v>
      </c>
      <c r="H9584" s="8" t="s">
        <v>9</v>
      </c>
      <c r="I9584" s="8"/>
      <c r="O9584" t="str">
        <f>LEFT(Table2[[#This Row],[Description]],75)</f>
        <v>PAYMENT - THANK YOU REF #74734575P00XTMJG1</v>
      </c>
    </row>
    <row r="9585" spans="1:15" hidden="1">
      <c r="A9585">
        <v>202307</v>
      </c>
      <c r="B9585" s="6">
        <v>45108</v>
      </c>
      <c r="C9585" t="s">
        <v>4006</v>
      </c>
      <c r="D9585" t="s">
        <v>703</v>
      </c>
      <c r="E9585">
        <v>368.8</v>
      </c>
      <c r="F9585" s="2" t="str">
        <f>IF(Table2[[#This Row],[Manual Cat Value]]="",VLOOKUP(Table2[[#This Row],[Description]],'Actuals Lookup'!D:F,3,0),Table2[[#This Row],[Manual Cat Value]])</f>
        <v>Exp - Travel</v>
      </c>
      <c r="G9585" t="s">
        <v>67</v>
      </c>
      <c r="H9585" s="8" t="s">
        <v>52</v>
      </c>
      <c r="I9585" s="8"/>
      <c r="O9585" t="str">
        <f>LEFT(Table2[[#This Row],[Description]],75)</f>
        <v>Delta Air Lines</v>
      </c>
    </row>
    <row r="9586" spans="1:15" hidden="1">
      <c r="A9586">
        <v>202307</v>
      </c>
      <c r="B9586" s="6">
        <v>45108</v>
      </c>
      <c r="C9586" t="s">
        <v>4006</v>
      </c>
      <c r="D9586" t="s">
        <v>4562</v>
      </c>
      <c r="E9586">
        <v>72.47</v>
      </c>
      <c r="F9586" s="2" t="str">
        <f>IF(Table2[[#This Row],[Manual Cat Value]]="",VLOOKUP(Table2[[#This Row],[Description]],'Actuals Lookup'!D:F,3,0),Table2[[#This Row],[Manual Cat Value]])</f>
        <v>Restaurants</v>
      </c>
      <c r="G9586" t="s">
        <v>26</v>
      </c>
      <c r="I9586" s="8"/>
      <c r="O9586" t="str">
        <f>LEFT(Table2[[#This Row],[Description]],75)</f>
        <v>Thirsty Otter Tavernbalsam Lake Xxxxxxxxxxxxxxxxxxxxx X4810</v>
      </c>
    </row>
    <row r="9587" spans="1:15" hidden="1">
      <c r="A9587">
        <v>202307</v>
      </c>
      <c r="B9587" s="6">
        <v>45108</v>
      </c>
      <c r="C9587" t="s">
        <v>2916</v>
      </c>
      <c r="D9587" t="s">
        <v>4563</v>
      </c>
      <c r="E9587">
        <v>618.65</v>
      </c>
      <c r="F9587" s="2" t="str">
        <f>IF(Table2[[#This Row],[Manual Cat Value]]="",VLOOKUP(Table2[[#This Row],[Description]],'Actuals Lookup'!D:F,3,0),Table2[[#This Row],[Manual Cat Value]])</f>
        <v>Exp - Car Loan</v>
      </c>
      <c r="H9587" s="8" t="s">
        <v>10</v>
      </c>
      <c r="I9587" s="8"/>
      <c r="O9587" t="str">
        <f>LEFT(Table2[[#This Row],[Description]],75)</f>
        <v>Withdrawal Home Banking Transfer To Loan 02 REF # XX7561</v>
      </c>
    </row>
    <row r="9588" spans="1:15" hidden="1">
      <c r="A9588">
        <v>202307</v>
      </c>
      <c r="B9588" s="6">
        <v>45109</v>
      </c>
      <c r="C9588" t="s">
        <v>4564</v>
      </c>
      <c r="D9588" t="s">
        <v>4565</v>
      </c>
      <c r="E9588">
        <v>5.36</v>
      </c>
      <c r="F9588" s="2" t="str">
        <f>IF(Table2[[#This Row],[Manual Cat Value]]="",VLOOKUP(Table2[[#This Row],[Description]],'Actuals Lookup'!D:F,3,0),Table2[[#This Row],[Manual Cat Value]])</f>
        <v>Exp - Amazon</v>
      </c>
      <c r="H9588" s="8" t="s">
        <v>37</v>
      </c>
      <c r="I9588" s="8"/>
      <c r="O9588" t="str">
        <f>LEFT(Table2[[#This Row],[Description]],75)</f>
        <v>Amazon Music*8M39L5R93   888-802-3080 WA REF #24692165N2ZF1EQD3</v>
      </c>
    </row>
    <row r="9589" spans="1:15" hidden="1">
      <c r="A9589">
        <v>202307</v>
      </c>
      <c r="B9589" s="6">
        <v>45109</v>
      </c>
      <c r="C9589" t="s">
        <v>4566</v>
      </c>
      <c r="D9589" t="s">
        <v>4567</v>
      </c>
      <c r="E9589">
        <v>-268</v>
      </c>
      <c r="F9589" s="2" t="str">
        <f>IF(Table2[[#This Row],[Manual Cat Value]]="",VLOOKUP(Table2[[#This Row],[Description]],'Actuals Lookup'!D:F,3,0),Table2[[#This Row],[Manual Cat Value]])</f>
        <v>Exp - Amazon</v>
      </c>
      <c r="H9589" s="8" t="s">
        <v>37</v>
      </c>
      <c r="I9589" s="8"/>
      <c r="O9589" t="str">
        <f>LEFT(Table2[[#This Row],[Description]],75)</f>
        <v>ANTHROPOLOGIE.COM PHILADELPHIA  P CREDIT REF #74445005M2XJJNG0T</v>
      </c>
    </row>
    <row r="9590" spans="1:15" hidden="1">
      <c r="A9590">
        <v>202307</v>
      </c>
      <c r="B9590" s="6">
        <v>45109</v>
      </c>
      <c r="C9590" t="s">
        <v>4568</v>
      </c>
      <c r="D9590" t="s">
        <v>4569</v>
      </c>
      <c r="E9590">
        <v>-128</v>
      </c>
      <c r="F9590" s="2" t="str">
        <f>IF(Table2[[#This Row],[Manual Cat Value]]="",VLOOKUP(Table2[[#This Row],[Description]],'Actuals Lookup'!D:F,3,0),Table2[[#This Row],[Manual Cat Value]])</f>
        <v>Exp - Shopping</v>
      </c>
      <c r="H9590" s="8" t="s">
        <v>36</v>
      </c>
      <c r="I9590" s="8"/>
      <c r="O9590" t="str">
        <f>LEFT(Table2[[#This Row],[Description]],75)</f>
        <v>LULULEMONCOM*            877-263- CREDIT REF #74692165M2YS81G1V</v>
      </c>
    </row>
    <row r="9591" spans="1:15" hidden="1">
      <c r="A9591">
        <v>202307</v>
      </c>
      <c r="B9591" s="6">
        <v>45109</v>
      </c>
      <c r="C9591" t="s">
        <v>4570</v>
      </c>
      <c r="D9591" t="s">
        <v>4571</v>
      </c>
      <c r="E9591">
        <v>11.34</v>
      </c>
      <c r="F9591" s="2" t="str">
        <f>IF(Table2[[#This Row],[Manual Cat Value]]="",VLOOKUP(Table2[[#This Row],[Description]],'Actuals Lookup'!D:F,3,0),Table2[[#This Row],[Manual Cat Value]])</f>
        <v>Exp - Shopping</v>
      </c>
      <c r="H9591" s="8" t="s">
        <v>36</v>
      </c>
      <c r="I9591" s="8"/>
      <c r="O9591" t="str">
        <f>LEFT(Table2[[#This Row],[Description]],75)</f>
        <v>PAPERSOURCE -4605        EDINA        MN REF #24137465M2XHVJ2D3</v>
      </c>
    </row>
    <row r="9592" spans="1:15" hidden="1">
      <c r="A9592">
        <v>202307</v>
      </c>
      <c r="B9592" s="6">
        <v>45109</v>
      </c>
      <c r="C9592" t="s">
        <v>4572</v>
      </c>
      <c r="D9592" t="s">
        <v>4573</v>
      </c>
      <c r="E9592">
        <v>41.25</v>
      </c>
      <c r="F9592" s="2" t="str">
        <f>IF(Table2[[#This Row],[Manual Cat Value]]="",VLOOKUP(Table2[[#This Row],[Description]],'Actuals Lookup'!D:F,3,0),Table2[[#This Row],[Manual Cat Value]])</f>
        <v>Exp - Transportation</v>
      </c>
      <c r="H9592" s="8" t="s">
        <v>22</v>
      </c>
      <c r="I9592" s="8"/>
      <c r="O9592" t="str">
        <f>LEFT(Table2[[#This Row],[Description]],75)</f>
        <v>UBER   TRIP              HELP.UBER.COMCA REF #24492155MLYBLVKF4</v>
      </c>
    </row>
    <row r="9593" spans="1:15" hidden="1">
      <c r="A9593">
        <v>202307</v>
      </c>
      <c r="B9593" s="6">
        <v>45110</v>
      </c>
      <c r="C9593" t="s">
        <v>4006</v>
      </c>
      <c r="D9593" t="s">
        <v>4574</v>
      </c>
      <c r="E9593">
        <v>24.74</v>
      </c>
      <c r="F9593" s="2" t="str">
        <f>IF(Table2[[#This Row],[Manual Cat Value]]="",VLOOKUP(Table2[[#This Row],[Description]],'Actuals Lookup'!D:F,3,0),Table2[[#This Row],[Manual Cat Value]])</f>
        <v>Exp - Restaurants</v>
      </c>
      <c r="G9593" t="s">
        <v>21</v>
      </c>
      <c r="H9593" s="8" t="s">
        <v>25</v>
      </c>
      <c r="I9593" s="8"/>
      <c r="O9593" t="str">
        <f>LEFT(Table2[[#This Row],[Description]],75)</f>
        <v>Aplpay Hopsack Llc Balsam Lake Looxr4awd2w Squareup.com/receipts</v>
      </c>
    </row>
    <row r="9594" spans="1:15" hidden="1">
      <c r="A9594">
        <v>202307</v>
      </c>
      <c r="B9594" s="6">
        <v>45110</v>
      </c>
      <c r="C9594" t="s">
        <v>4575</v>
      </c>
      <c r="D9594" t="s">
        <v>4576</v>
      </c>
      <c r="E9594">
        <v>9.31</v>
      </c>
      <c r="F9594" s="2" t="str">
        <f>IF(Table2[[#This Row],[Manual Cat Value]]="",VLOOKUP(Table2[[#This Row],[Description]],'Actuals Lookup'!D:F,3,0),Table2[[#This Row],[Manual Cat Value]])</f>
        <v>Exp - Groceries</v>
      </c>
      <c r="H9594" s="8" t="s">
        <v>27</v>
      </c>
      <c r="I9594" s="8"/>
      <c r="O9594" t="str">
        <f>LEFT(Table2[[#This Row],[Description]],75)</f>
        <v>THE HIGHWAY 46 STORE     BALSAM LAKE  WI REF #24034545P005XS33B</v>
      </c>
    </row>
    <row r="9595" spans="1:15" hidden="1">
      <c r="A9595">
        <v>202307</v>
      </c>
      <c r="B9595" s="6">
        <v>45110</v>
      </c>
      <c r="C9595" t="s">
        <v>2916</v>
      </c>
      <c r="D9595" t="s">
        <v>4577</v>
      </c>
      <c r="E9595">
        <v>500</v>
      </c>
      <c r="F9595" s="2" t="str">
        <f>IF(Table2[[#This Row],[Manual Cat Value]]="",VLOOKUP(Table2[[#This Row],[Description]],'Actuals Lookup'!D:F,3,0),Table2[[#This Row],[Manual Cat Value]])</f>
        <v>Sav - College Savings</v>
      </c>
      <c r="H9595" s="8" t="s">
        <v>60</v>
      </c>
      <c r="I9595" s="8"/>
      <c r="O9595" t="str">
        <f>LEFT(Table2[[#This Row],[Description]],75)</f>
        <v>Withdrawal ACH College Savings TYPE: ACH ID: XX5818 CO: College Savings Ent</v>
      </c>
    </row>
    <row r="9596" spans="1:15" hidden="1">
      <c r="A9596">
        <v>202307</v>
      </c>
      <c r="B9596" s="6">
        <v>45110</v>
      </c>
      <c r="C9596" t="s">
        <v>2916</v>
      </c>
      <c r="D9596" t="s">
        <v>1458</v>
      </c>
      <c r="E9596">
        <v>1948.26</v>
      </c>
      <c r="F9596" s="2" t="str">
        <f>IF(Table2[[#This Row],[Manual Cat Value]]="",VLOOKUP(Table2[[#This Row],[Description]],'Actuals Lookup'!D:F,3,0),Table2[[#This Row],[Manual Cat Value]])</f>
        <v>Delete</v>
      </c>
      <c r="H9596" s="8" t="s">
        <v>9</v>
      </c>
      <c r="I9596" s="8"/>
      <c r="O9596" t="str">
        <f>LEFT(Table2[[#This Row],[Description]],75)</f>
        <v>Payment to American Express</v>
      </c>
    </row>
    <row r="9597" spans="1:15" hidden="1">
      <c r="A9597">
        <v>202307</v>
      </c>
      <c r="B9597" s="6">
        <v>45110</v>
      </c>
      <c r="C9597" t="s">
        <v>2916</v>
      </c>
      <c r="D9597" t="s">
        <v>1460</v>
      </c>
      <c r="E9597">
        <v>2606.27</v>
      </c>
      <c r="F9597" s="2" t="str">
        <f>IF(Table2[[#This Row],[Manual Cat Value]]="",VLOOKUP(Table2[[#This Row],[Description]],'Actuals Lookup'!D:F,3,0),Table2[[#This Row],[Manual Cat Value]])</f>
        <v>Exp - Rent</v>
      </c>
      <c r="H9597" s="8" t="s">
        <v>4</v>
      </c>
      <c r="I9597" s="8"/>
      <c r="O9597" t="str">
        <f>LEFT(Table2[[#This Row],[Description]],75)</f>
        <v>Payment to Baxter Credit Union</v>
      </c>
    </row>
    <row r="9598" spans="1:15" hidden="1">
      <c r="A9598">
        <v>202307</v>
      </c>
      <c r="B9598" s="6">
        <v>45110</v>
      </c>
      <c r="C9598" t="s">
        <v>2916</v>
      </c>
      <c r="D9598" t="s">
        <v>1464</v>
      </c>
      <c r="E9598">
        <v>366.15</v>
      </c>
      <c r="F9598" s="2" t="str">
        <f>IF(Table2[[#This Row],[Manual Cat Value]]="",VLOOKUP(Table2[[#This Row],[Description]],'Actuals Lookup'!D:F,3,0),Table2[[#This Row],[Manual Cat Value]])</f>
        <v>Delete</v>
      </c>
      <c r="H9598" s="8" t="s">
        <v>9</v>
      </c>
      <c r="I9598" s="8"/>
      <c r="O9598" t="str">
        <f>LEFT(Table2[[#This Row],[Description]],75)</f>
        <v>Payment to Discover Bank</v>
      </c>
    </row>
    <row r="9599" spans="1:15" hidden="1">
      <c r="A9599">
        <v>202307</v>
      </c>
      <c r="B9599" s="6">
        <v>45112</v>
      </c>
      <c r="C9599" t="s">
        <v>3932</v>
      </c>
      <c r="D9599" t="s">
        <v>38</v>
      </c>
      <c r="E9599">
        <v>29.25</v>
      </c>
      <c r="F9599" s="2" t="str">
        <f>IF(Table2[[#This Row],[Manual Cat Value]]="",VLOOKUP(Table2[[#This Row],[Description]],'Actuals Lookup'!D:F,3,0),Table2[[#This Row],[Manual Cat Value]])</f>
        <v>Amazon</v>
      </c>
      <c r="G9599" t="s">
        <v>38</v>
      </c>
      <c r="I9599" s="8"/>
      <c r="O9599" t="str">
        <f>LEFT(Table2[[#This Row],[Description]],75)</f>
        <v>Amazon</v>
      </c>
    </row>
    <row r="9600" spans="1:15" hidden="1">
      <c r="A9600">
        <v>202307</v>
      </c>
      <c r="B9600" s="6">
        <v>45112</v>
      </c>
      <c r="C9600" t="s">
        <v>3932</v>
      </c>
      <c r="D9600" t="s">
        <v>38</v>
      </c>
      <c r="E9600">
        <v>48.86</v>
      </c>
      <c r="F9600" s="2" t="str">
        <f>IF(Table2[[#This Row],[Manual Cat Value]]="",VLOOKUP(Table2[[#This Row],[Description]],'Actuals Lookup'!D:F,3,0),Table2[[#This Row],[Manual Cat Value]])</f>
        <v>Amazon</v>
      </c>
      <c r="G9600" t="s">
        <v>41</v>
      </c>
      <c r="I9600" s="8"/>
      <c r="O9600" t="str">
        <f>LEFT(Table2[[#This Row],[Description]],75)</f>
        <v>Amazon</v>
      </c>
    </row>
    <row r="9601" spans="1:15" hidden="1">
      <c r="A9601">
        <v>202307</v>
      </c>
      <c r="B9601" s="6">
        <v>45112</v>
      </c>
      <c r="C9601" t="s">
        <v>4578</v>
      </c>
      <c r="D9601" t="s">
        <v>4579</v>
      </c>
      <c r="E9601">
        <v>143.79</v>
      </c>
      <c r="F9601" s="2" t="str">
        <f>IF(Table2[[#This Row],[Manual Cat Value]]="",VLOOKUP(Table2[[#This Row],[Description]],'Actuals Lookup'!D:F,3,0),Table2[[#This Row],[Manual Cat Value]])</f>
        <v>Exp - Amazon</v>
      </c>
      <c r="H9601" s="8" t="s">
        <v>37</v>
      </c>
      <c r="I9601" s="8"/>
      <c r="O9601" t="str">
        <f>LEFT(Table2[[#This Row],[Description]],75)</f>
        <v>AMZN Mktp US*GO5J70LS3   Amzn.com/billWA REF #24692165T31ZFYQY9</v>
      </c>
    </row>
    <row r="9602" spans="1:15" hidden="1">
      <c r="A9602">
        <v>202307</v>
      </c>
      <c r="B9602" s="6">
        <v>45112</v>
      </c>
      <c r="C9602" t="s">
        <v>4580</v>
      </c>
      <c r="D9602" t="s">
        <v>4581</v>
      </c>
      <c r="E9602">
        <v>-91.5</v>
      </c>
      <c r="F9602" s="2" t="str">
        <f>IF(Table2[[#This Row],[Manual Cat Value]]="",VLOOKUP(Table2[[#This Row],[Description]],'Actuals Lookup'!D:F,3,0),Table2[[#This Row],[Manual Cat Value]])</f>
        <v>Exp - Shopping</v>
      </c>
      <c r="H9602" s="8" t="s">
        <v>36</v>
      </c>
      <c r="I9602" s="8"/>
      <c r="O9602" t="str">
        <f>LEFT(Table2[[#This Row],[Description]],75)</f>
        <v>SP *KUIU WWW.KUIU.COM  CA         CREDIT REF #24011345S0002SGN5</v>
      </c>
    </row>
    <row r="9603" spans="1:15" hidden="1">
      <c r="A9603">
        <v>202307</v>
      </c>
      <c r="B9603" s="6">
        <v>45112</v>
      </c>
      <c r="C9603" t="s">
        <v>4582</v>
      </c>
      <c r="D9603" t="s">
        <v>4583</v>
      </c>
      <c r="E9603">
        <v>60</v>
      </c>
      <c r="F9603" s="2" t="str">
        <f>IF(Table2[[#This Row],[Manual Cat Value]]="",VLOOKUP(Table2[[#This Row],[Description]],'Actuals Lookup'!D:F,3,0),Table2[[#This Row],[Manual Cat Value]])</f>
        <v>Exp - Shopping</v>
      </c>
      <c r="H9603" s="8" t="s">
        <v>36</v>
      </c>
      <c r="I9603" s="8"/>
      <c r="O9603" t="str">
        <f>LEFT(Table2[[#This Row],[Description]],75)</f>
        <v>SP VUORI CLOTHING        HTTPSVUORICLOCA REF #24492165S000655EJ</v>
      </c>
    </row>
    <row r="9604" spans="1:15" hidden="1">
      <c r="A9604">
        <v>202307</v>
      </c>
      <c r="B9604" s="6">
        <v>45112</v>
      </c>
      <c r="C9604" t="s">
        <v>4584</v>
      </c>
      <c r="D9604" t="s">
        <v>4585</v>
      </c>
      <c r="E9604">
        <v>140.07</v>
      </c>
      <c r="F9604" s="2" t="str">
        <f>IF(Table2[[#This Row],[Manual Cat Value]]="",VLOOKUP(Table2[[#This Row],[Description]],'Actuals Lookup'!D:F,3,0),Table2[[#This Row],[Manual Cat Value]])</f>
        <v>Exp - Groceries</v>
      </c>
      <c r="H9604" s="8" t="s">
        <v>27</v>
      </c>
      <c r="I9604" s="8"/>
      <c r="O9604" t="str">
        <f>LEFT(Table2[[#This Row],[Description]],75)</f>
        <v>WAYNE'S FOODS PLUS       LUCK         WI REF #24427335TLYRB36LY</v>
      </c>
    </row>
    <row r="9605" spans="1:15" hidden="1">
      <c r="A9605">
        <v>202307</v>
      </c>
      <c r="B9605" s="6">
        <v>45113</v>
      </c>
      <c r="C9605" t="s">
        <v>4586</v>
      </c>
      <c r="D9605" t="s">
        <v>4587</v>
      </c>
      <c r="E9605">
        <v>161.01</v>
      </c>
      <c r="F9605" s="2" t="str">
        <f>IF(Table2[[#This Row],[Manual Cat Value]]="",VLOOKUP(Table2[[#This Row],[Description]],'Actuals Lookup'!D:F,3,0),Table2[[#This Row],[Manual Cat Value]])</f>
        <v>Exp - Shopping</v>
      </c>
      <c r="H9605" s="8" t="s">
        <v>36</v>
      </c>
      <c r="I9605" s="8"/>
      <c r="O9605" t="str">
        <f>LEFT(Table2[[#This Row],[Description]],75)</f>
        <v>BCY*BACKCOUNTRY.COM      800-409-4502 UT REF #24692165S32ZYH7WF</v>
      </c>
    </row>
    <row r="9606" spans="1:15" hidden="1">
      <c r="A9606">
        <v>202307</v>
      </c>
      <c r="B9606" s="6">
        <v>45113</v>
      </c>
      <c r="C9606" t="s">
        <v>4588</v>
      </c>
      <c r="D9606" t="s">
        <v>4589</v>
      </c>
      <c r="E9606">
        <v>59.62</v>
      </c>
      <c r="F9606" s="2" t="str">
        <f>IF(Table2[[#This Row],[Manual Cat Value]]="",VLOOKUP(Table2[[#This Row],[Description]],'Actuals Lookup'!D:F,3,0),Table2[[#This Row],[Manual Cat Value]])</f>
        <v>Exp - Transportation</v>
      </c>
      <c r="H9606" s="8" t="s">
        <v>22</v>
      </c>
      <c r="I9606" s="8"/>
      <c r="O9606" t="str">
        <f>LEFT(Table2[[#This Row],[Description]],75)</f>
        <v>CENEX CONSUMER09917204   LUCK         WI REF #24164075SKXYMMH1K</v>
      </c>
    </row>
    <row r="9607" spans="1:15" hidden="1">
      <c r="A9607">
        <v>202307</v>
      </c>
      <c r="B9607" s="6">
        <v>45113</v>
      </c>
      <c r="C9607" t="s">
        <v>4590</v>
      </c>
      <c r="D9607" t="s">
        <v>4591</v>
      </c>
      <c r="E9607">
        <v>1.89</v>
      </c>
      <c r="F9607" s="2" t="str">
        <f>IF(Table2[[#This Row],[Manual Cat Value]]="",VLOOKUP(Table2[[#This Row],[Description]],'Actuals Lookup'!D:F,3,0),Table2[[#This Row],[Manual Cat Value]])</f>
        <v>Exp - Transportation</v>
      </c>
      <c r="H9607" s="8" t="s">
        <v>22</v>
      </c>
      <c r="I9607" s="8"/>
      <c r="O9607" t="str">
        <f>LEFT(Table2[[#This Row],[Description]],75)</f>
        <v>CENEX CONSUMER09917204   LUCK         WI REF #24164075SKXYMMH2L</v>
      </c>
    </row>
    <row r="9608" spans="1:15" hidden="1">
      <c r="A9608">
        <v>202307</v>
      </c>
      <c r="B9608" s="6">
        <v>45113</v>
      </c>
      <c r="C9608" t="s">
        <v>4592</v>
      </c>
      <c r="D9608" t="s">
        <v>4593</v>
      </c>
      <c r="E9608">
        <v>92.72</v>
      </c>
      <c r="F9608" s="2" t="str">
        <f>IF(Table2[[#This Row],[Manual Cat Value]]="",VLOOKUP(Table2[[#This Row],[Description]],'Actuals Lookup'!D:F,3,0),Table2[[#This Row],[Manual Cat Value]])</f>
        <v>Exp - Shopping</v>
      </c>
      <c r="H9608" s="8" t="s">
        <v>36</v>
      </c>
      <c r="I9608" s="8"/>
      <c r="O9608" t="str">
        <f>LEFT(Table2[[#This Row],[Description]],75)</f>
        <v>THE PAMPERED CHEF LTD    888-687-2433 IL REF #24492155SLY4343DE</v>
      </c>
    </row>
    <row r="9609" spans="1:15" hidden="1">
      <c r="A9609">
        <v>202307</v>
      </c>
      <c r="B9609" s="6">
        <v>45113</v>
      </c>
      <c r="C9609" t="s">
        <v>2916</v>
      </c>
      <c r="D9609" t="s">
        <v>1958</v>
      </c>
      <c r="E9609">
        <v>125</v>
      </c>
      <c r="F9609" s="2" t="str">
        <f>IF(Table2[[#This Row],[Manual Cat Value]]="",VLOOKUP(Table2[[#This Row],[Description]],'Actuals Lookup'!D:F,3,0),Table2[[#This Row],[Manual Cat Value]])</f>
        <v>Exp - Shopping</v>
      </c>
      <c r="H9609" s="8" t="s">
        <v>36</v>
      </c>
      <c r="I9609" s="8"/>
      <c r="O9609" t="str">
        <f>LEFT(Table2[[#This Row],[Description]],75)</f>
        <v>Transfer to Venmo</v>
      </c>
    </row>
    <row r="9610" spans="1:15" hidden="1">
      <c r="A9610">
        <v>202307</v>
      </c>
      <c r="B9610" s="6">
        <v>45113</v>
      </c>
      <c r="C9610" t="s">
        <v>2916</v>
      </c>
      <c r="D9610" t="s">
        <v>4594</v>
      </c>
      <c r="E9610">
        <v>330</v>
      </c>
      <c r="F9610" s="2" t="str">
        <f>IF(Table2[[#This Row],[Manual Cat Value]]="",VLOOKUP(Table2[[#This Row],[Description]],'Actuals Lookup'!D:F,3,0),Table2[[#This Row],[Manual Cat Value]])</f>
        <v>Exp - Day Care</v>
      </c>
      <c r="H9610" s="8" t="s">
        <v>19</v>
      </c>
      <c r="I9610" s="8"/>
      <c r="O9610" t="str">
        <f>LEFT(Table2[[#This Row],[Description]],75)</f>
        <v>Withdrawal ACH MHCHILDCARELLC TYPE: DUES ID: XX8198 CO: MHCHILDCARELLC Entr</v>
      </c>
    </row>
    <row r="9611" spans="1:15" hidden="1">
      <c r="A9611">
        <v>202307</v>
      </c>
      <c r="B9611" s="6">
        <v>45114</v>
      </c>
      <c r="C9611" t="s">
        <v>2916</v>
      </c>
      <c r="D9611" t="s">
        <v>404</v>
      </c>
      <c r="E9611">
        <v>-2434.23</v>
      </c>
      <c r="F9611" s="2" t="str">
        <f>IF(Table2[[#This Row],[Manual Cat Value]]="",VLOOKUP(Table2[[#This Row],[Description]],'Actuals Lookup'!D:F,3,0),Table2[[#This Row],[Manual Cat Value]])</f>
        <v>Inc - Britney</v>
      </c>
      <c r="H9611" s="8" t="s">
        <v>65</v>
      </c>
      <c r="I9611" s="8"/>
      <c r="O9611" t="str">
        <f>LEFT(Table2[[#This Row],[Description]],75)</f>
        <v>Cargill Inc Deposit</v>
      </c>
    </row>
    <row r="9612" spans="1:15" hidden="1">
      <c r="A9612">
        <v>202307</v>
      </c>
      <c r="B9612" s="6">
        <v>45114</v>
      </c>
      <c r="C9612" t="s">
        <v>4006</v>
      </c>
      <c r="D9612" t="s">
        <v>684</v>
      </c>
      <c r="E9612">
        <v>128.58000000000001</v>
      </c>
      <c r="F9612" s="2" t="str">
        <f>IF(Table2[[#This Row],[Manual Cat Value]]="",VLOOKUP(Table2[[#This Row],[Description]],'Actuals Lookup'!D:F,3,0),Table2[[#This Row],[Manual Cat Value]])</f>
        <v>Groceries</v>
      </c>
      <c r="G9612" t="s">
        <v>28</v>
      </c>
      <c r="I9612" s="8"/>
      <c r="O9612" t="str">
        <f>LEFT(Table2[[#This Row],[Description]],75)</f>
        <v>Cub Foods</v>
      </c>
    </row>
    <row r="9613" spans="1:15" hidden="1">
      <c r="A9613">
        <v>202307</v>
      </c>
      <c r="B9613" s="6">
        <v>45114</v>
      </c>
      <c r="C9613" t="s">
        <v>2916</v>
      </c>
      <c r="D9613" t="s">
        <v>4595</v>
      </c>
      <c r="E9613">
        <v>-1201.23</v>
      </c>
      <c r="F9613" s="2" t="str">
        <f>IF(Table2[[#This Row],[Manual Cat Value]]="",VLOOKUP(Table2[[#This Row],[Description]],'Actuals Lookup'!D:F,3,0),Table2[[#This Row],[Manual Cat Value]])</f>
        <v>Inc - Jeff</v>
      </c>
      <c r="H9613" s="8" t="s">
        <v>63</v>
      </c>
      <c r="I9613" s="8"/>
      <c r="O9613" t="str">
        <f>LEFT(Table2[[#This Row],[Description]],75)</f>
        <v>Deposit ACH EMPYREAN SOLUTIO TYPE: XX9000 ID: XX3620 CO: EMPYREAN SOLUTIO E</v>
      </c>
    </row>
    <row r="9614" spans="1:15" hidden="1">
      <c r="A9614">
        <v>202307</v>
      </c>
      <c r="B9614" s="6">
        <v>45114</v>
      </c>
      <c r="C9614" t="s">
        <v>4596</v>
      </c>
      <c r="D9614" t="s">
        <v>4597</v>
      </c>
      <c r="E9614">
        <v>-340</v>
      </c>
      <c r="F9614" s="2" t="str">
        <f>IF(Table2[[#This Row],[Manual Cat Value]]="",VLOOKUP(Table2[[#This Row],[Description]],'Actuals Lookup'!D:F,3,0),Table2[[#This Row],[Manual Cat Value]])</f>
        <v>Exp - Shopping</v>
      </c>
      <c r="H9614" s="8" t="s">
        <v>36</v>
      </c>
      <c r="I9614" s="8"/>
      <c r="O9614" t="str">
        <f>LEFT(Table2[[#This Row],[Description]],75)</f>
        <v>LULUS.COM HTTPSWWW.LULU CA        CREDIT REF #24011345W000AF5KA</v>
      </c>
    </row>
    <row r="9615" spans="1:15" hidden="1">
      <c r="A9615">
        <v>202307</v>
      </c>
      <c r="B9615" s="6">
        <v>45114</v>
      </c>
      <c r="C9615" t="s">
        <v>4006</v>
      </c>
      <c r="D9615" t="s">
        <v>4598</v>
      </c>
      <c r="E9615">
        <v>234.92</v>
      </c>
      <c r="F9615" s="2" t="str">
        <f>IF(Table2[[#This Row],[Manual Cat Value]]="",VLOOKUP(Table2[[#This Row],[Description]],'Actuals Lookup'!D:F,3,0),Table2[[#This Row],[Manual Cat Value]])</f>
        <v>Restaurants</v>
      </c>
      <c r="G9615" t="s">
        <v>26</v>
      </c>
      <c r="I9615" s="8"/>
      <c r="O9615" t="str">
        <f>LEFT(Table2[[#This Row],[Description]],75)</f>
        <v>Tst* Z&amp;h 301 Water Lexcelsior Mn Xxxxxxxxxxx Xxxxxx8003</v>
      </c>
    </row>
    <row r="9616" spans="1:15" hidden="1">
      <c r="A9616">
        <v>202307</v>
      </c>
      <c r="B9616" s="6">
        <v>45115</v>
      </c>
      <c r="C9616" t="s">
        <v>3932</v>
      </c>
      <c r="D9616" t="s">
        <v>38</v>
      </c>
      <c r="E9616">
        <v>10.73</v>
      </c>
      <c r="F9616" s="2" t="str">
        <f>IF(Table2[[#This Row],[Manual Cat Value]]="",VLOOKUP(Table2[[#This Row],[Description]],'Actuals Lookup'!D:F,3,0),Table2[[#This Row],[Manual Cat Value]])</f>
        <v>Amazon</v>
      </c>
      <c r="G9616" t="s">
        <v>41</v>
      </c>
      <c r="I9616" s="8"/>
      <c r="O9616" t="str">
        <f>LEFT(Table2[[#This Row],[Description]],75)</f>
        <v>Amazon</v>
      </c>
    </row>
    <row r="9617" spans="1:15" hidden="1">
      <c r="A9617">
        <v>202307</v>
      </c>
      <c r="B9617" s="6">
        <v>45116</v>
      </c>
      <c r="C9617" t="s">
        <v>4599</v>
      </c>
      <c r="D9617" t="s">
        <v>4600</v>
      </c>
      <c r="E9617">
        <v>12.87</v>
      </c>
      <c r="F9617" s="2" t="str">
        <f>IF(Table2[[#This Row],[Manual Cat Value]]="",VLOOKUP(Table2[[#This Row],[Description]],'Actuals Lookup'!D:F,3,0),Table2[[#This Row],[Manual Cat Value]])</f>
        <v>Exp - Amazon</v>
      </c>
      <c r="H9617" s="8" t="s">
        <v>37</v>
      </c>
      <c r="I9617" s="8"/>
      <c r="O9617" t="str">
        <f>LEFT(Table2[[#This Row],[Description]],75)</f>
        <v>AMZN MKTP US*JO1LF7BY3 AMAMZN.COM/BILLWA REF #24431065W2DZMAVVG</v>
      </c>
    </row>
    <row r="9618" spans="1:15" hidden="1">
      <c r="A9618">
        <v>202307</v>
      </c>
      <c r="B9618" s="6">
        <v>45116</v>
      </c>
      <c r="C9618" t="s">
        <v>4006</v>
      </c>
      <c r="D9618" t="s">
        <v>785</v>
      </c>
      <c r="E9618">
        <v>52.82</v>
      </c>
      <c r="F9618" s="2" t="str">
        <f>IF(Table2[[#This Row],[Manual Cat Value]]="",VLOOKUP(Table2[[#This Row],[Description]],'Actuals Lookup'!D:F,3,0),Table2[[#This Row],[Manual Cat Value]])</f>
        <v>Exp - Restaurants</v>
      </c>
      <c r="G9618" t="s">
        <v>26</v>
      </c>
      <c r="H9618" s="8" t="s">
        <v>25</v>
      </c>
      <c r="I9618" s="8"/>
      <c r="O9618" t="str">
        <f>LEFT(Table2[[#This Row],[Description]],75)</f>
        <v>Domino's Pizza</v>
      </c>
    </row>
    <row r="9619" spans="1:15" hidden="1">
      <c r="A9619">
        <v>202307</v>
      </c>
      <c r="B9619" s="6">
        <v>45116</v>
      </c>
      <c r="C9619" t="s">
        <v>4601</v>
      </c>
      <c r="D9619" t="s">
        <v>4602</v>
      </c>
      <c r="E9619">
        <v>28.98</v>
      </c>
      <c r="F9619" s="2" t="str">
        <f>IF(Table2[[#This Row],[Manual Cat Value]]="",VLOOKUP(Table2[[#This Row],[Description]],'Actuals Lookup'!D:F,3,0),Table2[[#This Row],[Manual Cat Value]])</f>
        <v>Exp - Transportation</v>
      </c>
      <c r="H9619" s="8" t="s">
        <v>22</v>
      </c>
      <c r="I9619" s="8"/>
      <c r="O9619" t="str">
        <f>LEFT(Table2[[#This Row],[Description]],75)</f>
        <v>HOLIDAY STATIONS 0246    SHAKOPEE     MN REF #24941665WRQEB2NVH</v>
      </c>
    </row>
    <row r="9620" spans="1:15" hidden="1">
      <c r="A9620">
        <v>202307</v>
      </c>
      <c r="B9620" s="6">
        <v>45116</v>
      </c>
      <c r="C9620" t="s">
        <v>4603</v>
      </c>
      <c r="D9620" t="s">
        <v>4604</v>
      </c>
      <c r="E9620">
        <v>47.25</v>
      </c>
      <c r="F9620" s="2" t="str">
        <f>IF(Table2[[#This Row],[Manual Cat Value]]="",VLOOKUP(Table2[[#This Row],[Description]],'Actuals Lookup'!D:F,3,0),Table2[[#This Row],[Manual Cat Value]])</f>
        <v>Exp - Gym</v>
      </c>
      <c r="H9620" s="8" t="s">
        <v>33</v>
      </c>
      <c r="I9620" s="8"/>
      <c r="O9620" t="str">
        <f>LEFT(Table2[[#This Row],[Description]],75)</f>
        <v>PELOTON* MEMBERSHIP      HTTPSWWW.ONEPNY REF #24011345X0010L7W7</v>
      </c>
    </row>
    <row r="9621" spans="1:15" hidden="1">
      <c r="A9621">
        <v>202307</v>
      </c>
      <c r="B9621" s="6">
        <v>45117</v>
      </c>
      <c r="C9621" t="s">
        <v>4605</v>
      </c>
      <c r="D9621" t="s">
        <v>4606</v>
      </c>
      <c r="E9621">
        <v>48.54</v>
      </c>
      <c r="F9621" s="2" t="str">
        <f>IF(Table2[[#This Row],[Manual Cat Value]]="",VLOOKUP(Table2[[#This Row],[Description]],'Actuals Lookup'!D:F,3,0),Table2[[#This Row],[Manual Cat Value]])</f>
        <v>Exp - Groceries</v>
      </c>
      <c r="H9621" s="8" t="s">
        <v>27</v>
      </c>
      <c r="I9621" s="8"/>
      <c r="O9621" t="str">
        <f>LEFT(Table2[[#This Row],[Description]],75)</f>
        <v>LUNDS&amp;BYERLYS CHANH      CHANHASSEN   MN REF #24427335YMHDPWR8M</v>
      </c>
    </row>
    <row r="9622" spans="1:15" hidden="1">
      <c r="A9622">
        <v>202307</v>
      </c>
      <c r="B9622" s="6">
        <v>45117</v>
      </c>
      <c r="C9622" t="s">
        <v>4607</v>
      </c>
      <c r="D9622" t="s">
        <v>4608</v>
      </c>
      <c r="E9622">
        <v>60.4</v>
      </c>
      <c r="F9622" s="2" t="str">
        <f>IF(Table2[[#This Row],[Manual Cat Value]]="",VLOOKUP(Table2[[#This Row],[Description]],'Actuals Lookup'!D:F,3,0),Table2[[#This Row],[Manual Cat Value]])</f>
        <v>Exp - Groceries</v>
      </c>
      <c r="H9622" s="8" t="s">
        <v>27</v>
      </c>
      <c r="I9622" s="8"/>
      <c r="O9622" t="str">
        <f>LEFT(Table2[[#This Row],[Description]],75)</f>
        <v>LUNDS&amp;BYERLYS CHANH      CHANHASSEN   MN REF #24427335YMHDPWTGA</v>
      </c>
    </row>
    <row r="9623" spans="1:15" hidden="1">
      <c r="A9623">
        <v>202307</v>
      </c>
      <c r="B9623" s="6">
        <v>45117</v>
      </c>
      <c r="C9623" t="s">
        <v>4609</v>
      </c>
      <c r="D9623" t="s">
        <v>4610</v>
      </c>
      <c r="E9623">
        <v>70.86</v>
      </c>
      <c r="F9623" s="2" t="str">
        <f>IF(Table2[[#This Row],[Manual Cat Value]]="",VLOOKUP(Table2[[#This Row],[Description]],'Actuals Lookup'!D:F,3,0),Table2[[#This Row],[Manual Cat Value]])</f>
        <v>Exp - Target</v>
      </c>
      <c r="H9623" s="8" t="s">
        <v>30</v>
      </c>
      <c r="I9623" s="8"/>
      <c r="O9623" t="str">
        <f>LEFT(Table2[[#This Row],[Description]],75)</f>
        <v>TARGET        00008623   CHANHASSEN   MN REF #24164075Y2LRFWP4Z</v>
      </c>
    </row>
    <row r="9624" spans="1:15" hidden="1">
      <c r="A9624">
        <v>202307</v>
      </c>
      <c r="B9624" s="6">
        <v>45118</v>
      </c>
      <c r="C9624" t="s">
        <v>4611</v>
      </c>
      <c r="D9624" t="s">
        <v>4612</v>
      </c>
      <c r="E9624">
        <v>74.92</v>
      </c>
      <c r="F9624" s="2" t="str">
        <f>IF(Table2[[#This Row],[Manual Cat Value]]="",VLOOKUP(Table2[[#This Row],[Description]],'Actuals Lookup'!D:F,3,0),Table2[[#This Row],[Manual Cat Value]])</f>
        <v>Exp - Amazon</v>
      </c>
      <c r="H9624" s="8" t="s">
        <v>37</v>
      </c>
      <c r="I9624" s="8"/>
      <c r="O9624" t="str">
        <f>LEFT(Table2[[#This Row],[Description]],75)</f>
        <v>AMZN MKTP US*BF86C1403 AMAMZN.COM/BILLWA REF #24431065Z2DKX55FE</v>
      </c>
    </row>
    <row r="9625" spans="1:15" hidden="1">
      <c r="A9625">
        <v>202307</v>
      </c>
      <c r="B9625" s="6">
        <v>45118</v>
      </c>
      <c r="C9625" t="s">
        <v>4006</v>
      </c>
      <c r="D9625" t="s">
        <v>4613</v>
      </c>
      <c r="E9625">
        <v>748</v>
      </c>
      <c r="F9625" s="2" t="str">
        <f>IF(Table2[[#This Row],[Manual Cat Value]]="",VLOOKUP(Table2[[#This Row],[Description]],'Actuals Lookup'!D:F,3,0),Table2[[#This Row],[Manual Cat Value]])</f>
        <v>Exp - Shopping</v>
      </c>
      <c r="G9625" t="s">
        <v>35</v>
      </c>
      <c r="H9625" s="8" t="s">
        <v>36</v>
      </c>
      <c r="I9625" s="8"/>
      <c r="O9625" t="str">
        <f>LEFT(Table2[[#This Row],[Description]],75)</f>
        <v>Jaxon Grey 0xxxx0001minneapolis Xxxxxxxxxxx Xxxxxx9388</v>
      </c>
    </row>
    <row r="9626" spans="1:15" hidden="1">
      <c r="A9626">
        <v>202307</v>
      </c>
      <c r="B9626" s="6">
        <v>45118</v>
      </c>
      <c r="C9626" t="s">
        <v>2916</v>
      </c>
      <c r="D9626" t="s">
        <v>4614</v>
      </c>
      <c r="E9626">
        <v>265</v>
      </c>
      <c r="F9626" s="2" t="str">
        <f>IF(Table2[[#This Row],[Manual Cat Value]]="",VLOOKUP(Table2[[#This Row],[Description]],'Actuals Lookup'!D:F,3,0),Table2[[#This Row],[Manual Cat Value]])</f>
        <v>Exp - Day Care</v>
      </c>
      <c r="H9626" s="8" t="s">
        <v>19</v>
      </c>
      <c r="I9626" s="8"/>
      <c r="O9626" t="str">
        <f>LEFT(Table2[[#This Row],[Description]],75)</f>
        <v>Withdrawal ACH MHCHILDCARELLC TYPE: DUES ID: XX8198 CO: MHCHILDCARELLC Entr</v>
      </c>
    </row>
    <row r="9627" spans="1:15" hidden="1">
      <c r="A9627">
        <v>202307</v>
      </c>
      <c r="B9627" s="6">
        <v>45118</v>
      </c>
      <c r="C9627" t="s">
        <v>4615</v>
      </c>
      <c r="D9627" t="s">
        <v>4616</v>
      </c>
      <c r="E9627">
        <v>8</v>
      </c>
      <c r="F9627" s="2" t="str">
        <f>IF(Table2[[#This Row],[Manual Cat Value]]="",VLOOKUP(Table2[[#This Row],[Description]],'Actuals Lookup'!D:F,3,0),Table2[[#This Row],[Manual Cat Value]])</f>
        <v>Exp - Utilities</v>
      </c>
      <c r="H9627" s="8" t="s">
        <v>6</v>
      </c>
      <c r="I9627" s="8"/>
      <c r="O9627" t="str">
        <f>LEFT(Table2[[#This Row],[Description]],75)</f>
        <v>WSJ/BARRONS SUBSCRIPTI   800-568-7625 NJ REF #2469216602XLVN2LR</v>
      </c>
    </row>
    <row r="9628" spans="1:15" hidden="1">
      <c r="A9628">
        <v>202307</v>
      </c>
      <c r="B9628" s="6">
        <v>45119</v>
      </c>
      <c r="C9628" t="s">
        <v>2916</v>
      </c>
      <c r="D9628" t="s">
        <v>4470</v>
      </c>
      <c r="E9628">
        <v>-141.88999999999999</v>
      </c>
      <c r="F9628" s="2" t="str">
        <f>IF(Table2[[#This Row],[Manual Cat Value]]="",VLOOKUP(Table2[[#This Row],[Description]],'Actuals Lookup'!D:F,3,0),Table2[[#This Row],[Manual Cat Value]])</f>
        <v>Exp - Healthcare</v>
      </c>
      <c r="H9628" s="8" t="s">
        <v>47</v>
      </c>
      <c r="I9628" s="8"/>
      <c r="O9628" t="str">
        <f>LEFT(Table2[[#This Row],[Description]],75)</f>
        <v>Connectyourcare Deposit</v>
      </c>
    </row>
    <row r="9629" spans="1:15" hidden="1">
      <c r="A9629">
        <v>202307</v>
      </c>
      <c r="B9629" s="6">
        <v>45119</v>
      </c>
      <c r="C9629" t="s">
        <v>4006</v>
      </c>
      <c r="D9629" t="s">
        <v>703</v>
      </c>
      <c r="E9629">
        <v>582.79999999999995</v>
      </c>
      <c r="F9629" s="2" t="str">
        <f>IF(Table2[[#This Row],[Manual Cat Value]]="",VLOOKUP(Table2[[#This Row],[Description]],'Actuals Lookup'!D:F,3,0),Table2[[#This Row],[Manual Cat Value]])</f>
        <v>Delete</v>
      </c>
      <c r="G9629" t="s">
        <v>67</v>
      </c>
      <c r="I9629" s="8" t="s">
        <v>4617</v>
      </c>
      <c r="O9629" t="str">
        <f>LEFT(Table2[[#This Row],[Description]],75)</f>
        <v>Delta Air Lines</v>
      </c>
    </row>
    <row r="9630" spans="1:15" hidden="1">
      <c r="A9630">
        <v>202307</v>
      </c>
      <c r="B9630" s="6">
        <v>45119</v>
      </c>
      <c r="C9630" t="s">
        <v>4618</v>
      </c>
      <c r="D9630" t="s">
        <v>4619</v>
      </c>
      <c r="E9630">
        <v>55</v>
      </c>
      <c r="F9630" s="2" t="str">
        <f>IF(Table2[[#This Row],[Manual Cat Value]]="",VLOOKUP(Table2[[#This Row],[Description]],'Actuals Lookup'!D:F,3,0),Table2[[#This Row],[Manual Cat Value]])</f>
        <v>Exp - Shopping</v>
      </c>
      <c r="H9630" s="8" t="s">
        <v>36</v>
      </c>
      <c r="I9630" s="8"/>
      <c r="O9630" t="str">
        <f>LEFT(Table2[[#This Row],[Description]],75)</f>
        <v>EVEREVE - 60             HOPKINS      MN REF #242697960EJ3HNWTF</v>
      </c>
    </row>
    <row r="9631" spans="1:15" hidden="1">
      <c r="A9631">
        <v>202307</v>
      </c>
      <c r="B9631" s="6">
        <v>45119</v>
      </c>
      <c r="C9631" t="s">
        <v>4620</v>
      </c>
      <c r="D9631" t="s">
        <v>4621</v>
      </c>
      <c r="E9631">
        <v>5.99</v>
      </c>
      <c r="F9631" s="2" t="str">
        <f>IF(Table2[[#This Row],[Manual Cat Value]]="",VLOOKUP(Table2[[#This Row],[Description]],'Actuals Lookup'!D:F,3,0),Table2[[#This Row],[Manual Cat Value]])</f>
        <v>Exp - Shopping</v>
      </c>
      <c r="H9631" s="8" t="s">
        <v>36</v>
      </c>
      <c r="I9631" s="8"/>
      <c r="O9631" t="str">
        <f>LEFT(Table2[[#This Row],[Description]],75)</f>
        <v>Hallmark Movies Now      844-4465669  CA REF #24906416055X4VLBM</v>
      </c>
    </row>
    <row r="9632" spans="1:15" hidden="1">
      <c r="A9632">
        <v>202307</v>
      </c>
      <c r="B9632" s="6">
        <v>45119</v>
      </c>
      <c r="C9632" t="s">
        <v>4622</v>
      </c>
      <c r="D9632" t="s">
        <v>4623</v>
      </c>
      <c r="E9632">
        <v>4.08</v>
      </c>
      <c r="F9632" s="2" t="str">
        <f>IF(Table2[[#This Row],[Manual Cat Value]]="",VLOOKUP(Table2[[#This Row],[Description]],'Actuals Lookup'!D:F,3,0),Table2[[#This Row],[Manual Cat Value]])</f>
        <v>Exp - Shopping</v>
      </c>
      <c r="H9632" s="8" t="s">
        <v>36</v>
      </c>
      <c r="I9632" s="8"/>
      <c r="O9632" t="str">
        <f>LEFT(Table2[[#This Row],[Description]],75)</f>
        <v>PARTY CITY 1150          CHANHASSEN   MN REF #2469216602XSP9W21</v>
      </c>
    </row>
    <row r="9633" spans="1:15" hidden="1">
      <c r="A9633">
        <v>202307</v>
      </c>
      <c r="B9633" s="6">
        <v>45119</v>
      </c>
      <c r="C9633" t="s">
        <v>4006</v>
      </c>
      <c r="D9633" t="s">
        <v>1925</v>
      </c>
      <c r="E9633">
        <v>41.73</v>
      </c>
      <c r="F9633" s="2" t="str">
        <f>IF(Table2[[#This Row],[Manual Cat Value]]="",VLOOKUP(Table2[[#This Row],[Description]],'Actuals Lookup'!D:F,3,0),Table2[[#This Row],[Manual Cat Value]])</f>
        <v>Groceries</v>
      </c>
      <c r="G9633" t="s">
        <v>28</v>
      </c>
      <c r="I9633" s="8"/>
      <c r="O9633" t="str">
        <f>LEFT(Table2[[#This Row],[Description]],75)</f>
        <v>Total Wine &amp; More</v>
      </c>
    </row>
    <row r="9634" spans="1:15" hidden="1">
      <c r="A9634">
        <v>202307</v>
      </c>
      <c r="B9634" s="6">
        <v>45119</v>
      </c>
      <c r="C9634" t="s">
        <v>4624</v>
      </c>
      <c r="D9634" t="s">
        <v>4625</v>
      </c>
      <c r="E9634">
        <v>141.88999999999999</v>
      </c>
      <c r="F9634" s="2" t="str">
        <f>IF(Table2[[#This Row],[Manual Cat Value]]="",VLOOKUP(Table2[[#This Row],[Description]],'Actuals Lookup'!D:F,3,0),Table2[[#This Row],[Manual Cat Value]])</f>
        <v>Exp - Healthcare</v>
      </c>
      <c r="H9634" s="8" t="s">
        <v>47</v>
      </c>
      <c r="I9634" s="8"/>
      <c r="O9634" t="str">
        <f>LEFT(Table2[[#This Row],[Description]],75)</f>
        <v>EH MYHEALTH PAYMENTS     800-985-4675 MN REF #244921560PXN3JG8T</v>
      </c>
    </row>
    <row r="9635" spans="1:15" hidden="1">
      <c r="A9635">
        <v>202307</v>
      </c>
      <c r="B9635" s="6">
        <v>45119</v>
      </c>
      <c r="C9635" t="s">
        <v>2916</v>
      </c>
      <c r="D9635" t="s">
        <v>1470</v>
      </c>
      <c r="E9635">
        <v>201.25</v>
      </c>
      <c r="F9635" s="2" t="str">
        <f>IF(Table2[[#This Row],[Manual Cat Value]]="",VLOOKUP(Table2[[#This Row],[Description]],'Actuals Lookup'!D:F,3,0),Table2[[#This Row],[Manual Cat Value]])</f>
        <v>Exp - Utilities</v>
      </c>
      <c r="H9635" s="8" t="s">
        <v>6</v>
      </c>
      <c r="I9635" s="8"/>
      <c r="O9635" t="str">
        <f>LEFT(Table2[[#This Row],[Description]],75)</f>
        <v>Payment to Xcel Energy</v>
      </c>
    </row>
    <row r="9636" spans="1:15" hidden="1">
      <c r="A9636">
        <v>202307</v>
      </c>
      <c r="B9636" s="6">
        <v>45120</v>
      </c>
      <c r="C9636" t="s">
        <v>4626</v>
      </c>
      <c r="D9636" t="s">
        <v>4627</v>
      </c>
      <c r="E9636">
        <v>-31.33</v>
      </c>
      <c r="F9636" s="2" t="str">
        <f>IF(Table2[[#This Row],[Manual Cat Value]]="",VLOOKUP(Table2[[#This Row],[Description]],'Actuals Lookup'!D:F,3,0),Table2[[#This Row],[Manual Cat Value]])</f>
        <v>Exp - Amazon</v>
      </c>
      <c r="H9636" s="8" t="s">
        <v>37</v>
      </c>
      <c r="I9636" s="8"/>
      <c r="O9636" t="str">
        <f>LEFT(Table2[[#This Row],[Description]],75)</f>
        <v>AMZN Mktp US Amzn.com/bill WA     CREDIT REF #7469216622Z9AK9V4</v>
      </c>
    </row>
    <row r="9637" spans="1:15" hidden="1">
      <c r="A9637">
        <v>202307</v>
      </c>
      <c r="B9637" s="6">
        <v>45120</v>
      </c>
      <c r="C9637" t="s">
        <v>4628</v>
      </c>
      <c r="D9637" t="s">
        <v>4629</v>
      </c>
      <c r="E9637">
        <v>-14.99</v>
      </c>
      <c r="F9637" s="2" t="str">
        <f>IF(Table2[[#This Row],[Manual Cat Value]]="",VLOOKUP(Table2[[#This Row],[Description]],'Actuals Lookup'!D:F,3,0),Table2[[#This Row],[Manual Cat Value]])</f>
        <v>Exp - Amazon</v>
      </c>
      <c r="H9637" s="8" t="s">
        <v>37</v>
      </c>
      <c r="I9637" s="8"/>
      <c r="O9637" t="str">
        <f>LEFT(Table2[[#This Row],[Description]],75)</f>
        <v>AMZN Mktp US Amzn.com/bill WA     CREDIT REF #7469216622ZA7XJ97</v>
      </c>
    </row>
    <row r="9638" spans="1:15" hidden="1">
      <c r="A9638">
        <v>202307</v>
      </c>
      <c r="B9638" s="6">
        <v>45120</v>
      </c>
      <c r="C9638" t="s">
        <v>4630</v>
      </c>
      <c r="D9638" t="s">
        <v>4631</v>
      </c>
      <c r="E9638">
        <v>-32.979999999999997</v>
      </c>
      <c r="F9638" s="2" t="str">
        <f>IF(Table2[[#This Row],[Manual Cat Value]]="",VLOOKUP(Table2[[#This Row],[Description]],'Actuals Lookup'!D:F,3,0),Table2[[#This Row],[Manual Cat Value]])</f>
        <v>Exp - Amazon</v>
      </c>
      <c r="H9638" s="8" t="s">
        <v>37</v>
      </c>
      <c r="I9638" s="8"/>
      <c r="O9638" t="str">
        <f>LEFT(Table2[[#This Row],[Description]],75)</f>
        <v>AMZN Mktp US Amzn.com/bill WA     CREDIT REF #7469216622ZA8ALBD</v>
      </c>
    </row>
    <row r="9639" spans="1:15" hidden="1">
      <c r="A9639">
        <v>202307</v>
      </c>
      <c r="B9639" s="6">
        <v>45120</v>
      </c>
      <c r="C9639" t="s">
        <v>4632</v>
      </c>
      <c r="D9639" t="s">
        <v>4633</v>
      </c>
      <c r="E9639">
        <v>-21.99</v>
      </c>
      <c r="F9639" s="2" t="str">
        <f>IF(Table2[[#This Row],[Manual Cat Value]]="",VLOOKUP(Table2[[#This Row],[Description]],'Actuals Lookup'!D:F,3,0),Table2[[#This Row],[Manual Cat Value]])</f>
        <v>Exp - Amazon</v>
      </c>
      <c r="H9639" s="8" t="s">
        <v>37</v>
      </c>
      <c r="I9639" s="8"/>
      <c r="O9639" t="str">
        <f>LEFT(Table2[[#This Row],[Description]],75)</f>
        <v>AMZN Mktp US Amzn.com/bill WA     CREDIT REF #7469216622ZAJVHHV</v>
      </c>
    </row>
    <row r="9640" spans="1:15" hidden="1">
      <c r="A9640">
        <v>202307</v>
      </c>
      <c r="B9640" s="6">
        <v>45120</v>
      </c>
      <c r="C9640" t="s">
        <v>4634</v>
      </c>
      <c r="D9640" t="s">
        <v>4635</v>
      </c>
      <c r="E9640">
        <v>-31.33</v>
      </c>
      <c r="F9640" s="2" t="str">
        <f>IF(Table2[[#This Row],[Manual Cat Value]]="",VLOOKUP(Table2[[#This Row],[Description]],'Actuals Lookup'!D:F,3,0),Table2[[#This Row],[Manual Cat Value]])</f>
        <v>Exp - Amazon</v>
      </c>
      <c r="H9640" s="8" t="s">
        <v>37</v>
      </c>
      <c r="I9640" s="8"/>
      <c r="O9640" t="str">
        <f>LEFT(Table2[[#This Row],[Description]],75)</f>
        <v>AMZN Mktp US Amzn.com/bill WA     CREDIT REF #7469216622ZAKFZ0H</v>
      </c>
    </row>
    <row r="9641" spans="1:15" hidden="1">
      <c r="A9641">
        <v>202307</v>
      </c>
      <c r="B9641" s="6">
        <v>45120</v>
      </c>
      <c r="C9641" t="s">
        <v>4636</v>
      </c>
      <c r="D9641" t="s">
        <v>4637</v>
      </c>
      <c r="E9641">
        <v>-17.170000000000002</v>
      </c>
      <c r="F9641" s="2" t="str">
        <f>IF(Table2[[#This Row],[Manual Cat Value]]="",VLOOKUP(Table2[[#This Row],[Description]],'Actuals Lookup'!D:F,3,0),Table2[[#This Row],[Manual Cat Value]])</f>
        <v>Exp - Amazon</v>
      </c>
      <c r="H9641" s="8" t="s">
        <v>37</v>
      </c>
      <c r="I9641" s="8"/>
      <c r="O9641" t="str">
        <f>LEFT(Table2[[#This Row],[Description]],75)</f>
        <v>AMZN Mktp US Amzn.com/bill WA     CREDIT REF #7469216622ZAKG70R</v>
      </c>
    </row>
    <row r="9642" spans="1:15" hidden="1">
      <c r="A9642">
        <v>202307</v>
      </c>
      <c r="B9642" s="6">
        <v>45120</v>
      </c>
      <c r="C9642" t="s">
        <v>4638</v>
      </c>
      <c r="D9642" t="s">
        <v>4639</v>
      </c>
      <c r="E9642">
        <v>-39.99</v>
      </c>
      <c r="F9642" s="2" t="str">
        <f>IF(Table2[[#This Row],[Manual Cat Value]]="",VLOOKUP(Table2[[#This Row],[Description]],'Actuals Lookup'!D:F,3,0),Table2[[#This Row],[Manual Cat Value]])</f>
        <v>Exp - Amazon</v>
      </c>
      <c r="H9642" s="8" t="s">
        <v>37</v>
      </c>
      <c r="I9642" s="8"/>
      <c r="O9642" t="str">
        <f>LEFT(Table2[[#This Row],[Description]],75)</f>
        <v>AMZN Mktp US Amzn.com/bill WA     CREDIT REF #7469216622ZBRTV47</v>
      </c>
    </row>
    <row r="9643" spans="1:15" hidden="1">
      <c r="A9643">
        <v>202307</v>
      </c>
      <c r="B9643" s="6">
        <v>45120</v>
      </c>
      <c r="C9643" t="s">
        <v>4640</v>
      </c>
      <c r="D9643" t="s">
        <v>4641</v>
      </c>
      <c r="E9643">
        <v>45</v>
      </c>
      <c r="F9643" s="2" t="str">
        <f>IF(Table2[[#This Row],[Manual Cat Value]]="",VLOOKUP(Table2[[#This Row],[Description]],'Actuals Lookup'!D:F,3,0),Table2[[#This Row],[Manual Cat Value]])</f>
        <v>Exp - Utilities</v>
      </c>
      <c r="H9643" s="8" t="s">
        <v>6</v>
      </c>
      <c r="I9643" s="8"/>
      <c r="O9643" t="str">
        <f>LEFT(Table2[[#This Row],[Description]],75)</f>
        <v>CENTURYLINK LUMEN        800-244-1111 LA REF #2469216612Z1WSG37</v>
      </c>
    </row>
    <row r="9644" spans="1:15" hidden="1">
      <c r="A9644">
        <v>202307</v>
      </c>
      <c r="B9644" s="6">
        <v>45120</v>
      </c>
      <c r="C9644" t="s">
        <v>2916</v>
      </c>
      <c r="D9644" t="s">
        <v>4642</v>
      </c>
      <c r="E9644">
        <v>64.25</v>
      </c>
      <c r="F9644" s="2" t="str">
        <f>IF(Table2[[#This Row],[Manual Cat Value]]="",VLOOKUP(Table2[[#This Row],[Description]],'Actuals Lookup'!D:F,3,0),Table2[[#This Row],[Manual Cat Value]])</f>
        <v>Exp - Travel</v>
      </c>
      <c r="H9644" s="8" t="s">
        <v>52</v>
      </c>
      <c r="I9644" s="8"/>
      <c r="O9644" t="str">
        <f>LEFT(Table2[[#This Row],[Description]],75)</f>
        <v>Colorado Department of Motor Vehicles</v>
      </c>
    </row>
    <row r="9645" spans="1:15" hidden="1">
      <c r="A9645">
        <v>202307</v>
      </c>
      <c r="B9645" s="6">
        <v>45120</v>
      </c>
      <c r="C9645" t="s">
        <v>4006</v>
      </c>
      <c r="D9645" t="s">
        <v>4085</v>
      </c>
      <c r="E9645">
        <v>116.14</v>
      </c>
      <c r="F9645" s="2" t="str">
        <f>IF(Table2[[#This Row],[Manual Cat Value]]="",VLOOKUP(Table2[[#This Row],[Description]],'Actuals Lookup'!D:F,3,0),Table2[[#This Row],[Manual Cat Value]])</f>
        <v>Exp - Travel</v>
      </c>
      <c r="G9645" t="s">
        <v>21</v>
      </c>
      <c r="H9645" s="8" t="s">
        <v>52</v>
      </c>
      <c r="I9645" s="8"/>
      <c r="O9645" t="str">
        <f>LEFT(Table2[[#This Row],[Description]],75)</f>
        <v>Creede Snowshoe Lodgcreede Co Xxxxxxxxxxxxxx-xxx-2315</v>
      </c>
    </row>
    <row r="9646" spans="1:15" hidden="1">
      <c r="A9646">
        <v>202307</v>
      </c>
      <c r="B9646" s="6">
        <v>45120</v>
      </c>
      <c r="C9646" t="s">
        <v>2916</v>
      </c>
      <c r="D9646" t="s">
        <v>4343</v>
      </c>
      <c r="E9646">
        <v>-3342.8</v>
      </c>
      <c r="F9646" s="2" t="str">
        <f>IF(Table2[[#This Row],[Manual Cat Value]]="",VLOOKUP(Table2[[#This Row],[Description]],'Actuals Lookup'!D:F,3,0),Table2[[#This Row],[Manual Cat Value]])</f>
        <v>Inc - Jeff</v>
      </c>
      <c r="H9646" s="8" t="s">
        <v>63</v>
      </c>
      <c r="I9646" s="8"/>
      <c r="O9646" t="str">
        <f>LEFT(Table2[[#This Row],[Description]],75)</f>
        <v>Salary/Regular Income from TriNet</v>
      </c>
    </row>
    <row r="9647" spans="1:15" hidden="1">
      <c r="A9647">
        <v>202307</v>
      </c>
      <c r="B9647" s="6">
        <v>45120</v>
      </c>
      <c r="C9647" t="s">
        <v>4006</v>
      </c>
      <c r="D9647" t="s">
        <v>4643</v>
      </c>
      <c r="E9647">
        <v>7</v>
      </c>
      <c r="F9647" s="2" t="str">
        <f>IF(Table2[[#This Row],[Manual Cat Value]]="",VLOOKUP(Table2[[#This Row],[Description]],'Actuals Lookup'!D:F,3,0),Table2[[#This Row],[Manual Cat Value]])</f>
        <v>Restaurants</v>
      </c>
      <c r="G9647" t="s">
        <v>26</v>
      </c>
      <c r="I9647" s="8"/>
      <c r="O9647" t="str">
        <f>LEFT(Table2[[#This Row],[Description]],75)</f>
        <v>The Social</v>
      </c>
    </row>
    <row r="9648" spans="1:15" hidden="1">
      <c r="A9648">
        <v>202307</v>
      </c>
      <c r="B9648" s="6">
        <v>45120</v>
      </c>
      <c r="C9648" t="s">
        <v>2916</v>
      </c>
      <c r="D9648" t="s">
        <v>1955</v>
      </c>
      <c r="E9648">
        <v>6.47</v>
      </c>
      <c r="F9648" s="2" t="str">
        <f>IF(Table2[[#This Row],[Manual Cat Value]]="",VLOOKUP(Table2[[#This Row],[Description]],'Actuals Lookup'!D:F,3,0),Table2[[#This Row],[Manual Cat Value]])</f>
        <v>Exp - Shopping</v>
      </c>
      <c r="H9648" s="8" t="s">
        <v>36</v>
      </c>
      <c r="I9648" s="8"/>
      <c r="O9648" t="str">
        <f>LEFT(Table2[[#This Row],[Description]],75)</f>
        <v>Transfer to PayPal</v>
      </c>
    </row>
    <row r="9649" spans="1:15" hidden="1">
      <c r="A9649">
        <v>202307</v>
      </c>
      <c r="B9649" s="6">
        <v>45120</v>
      </c>
      <c r="C9649" t="s">
        <v>2916</v>
      </c>
      <c r="D9649" t="s">
        <v>1958</v>
      </c>
      <c r="E9649">
        <v>45</v>
      </c>
      <c r="F9649" s="2" t="str">
        <f>IF(Table2[[#This Row],[Manual Cat Value]]="",VLOOKUP(Table2[[#This Row],[Description]],'Actuals Lookup'!D:F,3,0),Table2[[#This Row],[Manual Cat Value]])</f>
        <v>Exp - Shopping</v>
      </c>
      <c r="H9649" s="8" t="s">
        <v>36</v>
      </c>
      <c r="I9649" s="8"/>
      <c r="O9649" t="str">
        <f>LEFT(Table2[[#This Row],[Description]],75)</f>
        <v>Transfer to Venmo</v>
      </c>
    </row>
    <row r="9650" spans="1:15" hidden="1">
      <c r="A9650">
        <v>202307</v>
      </c>
      <c r="B9650" s="6">
        <v>45120</v>
      </c>
      <c r="C9650" t="s">
        <v>2916</v>
      </c>
      <c r="D9650" t="s">
        <v>1958</v>
      </c>
      <c r="E9650">
        <v>60.89</v>
      </c>
      <c r="F9650" s="2" t="str">
        <f>IF(Table2[[#This Row],[Manual Cat Value]]="",VLOOKUP(Table2[[#This Row],[Description]],'Actuals Lookup'!D:F,3,0),Table2[[#This Row],[Manual Cat Value]])</f>
        <v>Exp - Shopping</v>
      </c>
      <c r="H9650" s="8" t="s">
        <v>36</v>
      </c>
      <c r="I9650" s="8"/>
      <c r="O9650" t="str">
        <f>LEFT(Table2[[#This Row],[Description]],75)</f>
        <v>Transfer to Venmo</v>
      </c>
    </row>
    <row r="9651" spans="1:15" hidden="1">
      <c r="A9651">
        <v>202307</v>
      </c>
      <c r="B9651" s="6">
        <v>45121</v>
      </c>
      <c r="C9651" t="s">
        <v>4286</v>
      </c>
      <c r="D9651" t="s">
        <v>4644</v>
      </c>
      <c r="E9651">
        <v>-18.98</v>
      </c>
      <c r="F9651" s="2" t="str">
        <f>IF(Table2[[#This Row],[Manual Cat Value]]="",VLOOKUP(Table2[[#This Row],[Description]],'Actuals Lookup'!D:F,3,0),Table2[[#This Row],[Manual Cat Value]])</f>
        <v>Exp - Amazon</v>
      </c>
      <c r="H9651" s="8" t="s">
        <v>37</v>
      </c>
      <c r="I9651" s="8"/>
      <c r="O9651" t="str">
        <f>LEFT(Table2[[#This Row],[Description]],75)</f>
        <v>AMZN Mktp US Amzn.com/bill WA     CREDIT REF #7469216622ZQEMM4T</v>
      </c>
    </row>
    <row r="9652" spans="1:15" hidden="1">
      <c r="A9652">
        <v>202307</v>
      </c>
      <c r="B9652" s="6">
        <v>45121</v>
      </c>
      <c r="C9652" t="s">
        <v>4006</v>
      </c>
      <c r="D9652" t="s">
        <v>4645</v>
      </c>
      <c r="E9652">
        <v>7.61</v>
      </c>
      <c r="F9652" s="2" t="str">
        <f>IF(Table2[[#This Row],[Manual Cat Value]]="",VLOOKUP(Table2[[#This Row],[Description]],'Actuals Lookup'!D:F,3,0),Table2[[#This Row],[Manual Cat Value]])</f>
        <v>Restaurants</v>
      </c>
      <c r="G9652" t="s">
        <v>26</v>
      </c>
      <c r="I9652" s="8"/>
      <c r="O9652" t="str">
        <f>LEFT(Table2[[#This Row],[Description]],75)</f>
        <v>Aplpay Opie's Llc Creede Co Zukivd88glw Squareup.com/receipts</v>
      </c>
    </row>
    <row r="9653" spans="1:15" hidden="1">
      <c r="A9653">
        <v>202307</v>
      </c>
      <c r="B9653" s="6">
        <v>45121</v>
      </c>
      <c r="C9653" t="s">
        <v>4260</v>
      </c>
      <c r="D9653" t="s">
        <v>4646</v>
      </c>
      <c r="E9653">
        <v>30.05</v>
      </c>
      <c r="F9653" s="2" t="str">
        <f>IF(Table2[[#This Row],[Manual Cat Value]]="",VLOOKUP(Table2[[#This Row],[Description]],'Actuals Lookup'!D:F,3,0),Table2[[#This Row],[Manual Cat Value]])</f>
        <v>Exp - Transportation</v>
      </c>
      <c r="H9653" s="8" t="s">
        <v>22</v>
      </c>
      <c r="I9653" s="8"/>
      <c r="O9653" t="str">
        <f>LEFT(Table2[[#This Row],[Description]],75)</f>
        <v>CONOCO - ALTA CONVENIENCESAGUACHE     CO REF #24034546201AL3X9E</v>
      </c>
    </row>
    <row r="9654" spans="1:15" hidden="1">
      <c r="A9654">
        <v>202307</v>
      </c>
      <c r="B9654" s="6">
        <v>45121</v>
      </c>
      <c r="C9654" t="s">
        <v>4261</v>
      </c>
      <c r="D9654" t="s">
        <v>4647</v>
      </c>
      <c r="E9654">
        <v>4.9800000000000004</v>
      </c>
      <c r="F9654" s="2" t="str">
        <f>IF(Table2[[#This Row],[Manual Cat Value]]="",VLOOKUP(Table2[[#This Row],[Description]],'Actuals Lookup'!D:F,3,0),Table2[[#This Row],[Manual Cat Value]])</f>
        <v>Exp - Transportation</v>
      </c>
      <c r="H9654" s="8" t="s">
        <v>22</v>
      </c>
      <c r="I9654" s="8"/>
      <c r="O9654" t="str">
        <f>LEFT(Table2[[#This Row],[Description]],75)</f>
        <v>CONOCO - ALTA CONVENIENCESAGUACHE     CO REF #24034546201AL3X9Y</v>
      </c>
    </row>
    <row r="9655" spans="1:15" hidden="1">
      <c r="A9655">
        <v>202307</v>
      </c>
      <c r="B9655" s="6">
        <v>45121</v>
      </c>
      <c r="C9655" t="s">
        <v>4276</v>
      </c>
      <c r="D9655" t="s">
        <v>4648</v>
      </c>
      <c r="E9655">
        <v>40.89</v>
      </c>
      <c r="F9655" s="2" t="str">
        <f>IF(Table2[[#This Row],[Manual Cat Value]]="",VLOOKUP(Table2[[#This Row],[Description]],'Actuals Lookup'!D:F,3,0),Table2[[#This Row],[Manual Cat Value]])</f>
        <v>Exp - Transportation</v>
      </c>
      <c r="H9655" s="8" t="s">
        <v>22</v>
      </c>
      <c r="I9655" s="8"/>
      <c r="O9655" t="str">
        <f>LEFT(Table2[[#This Row],[Description]],75)</f>
        <v>COSTCO GAS #1087         BURNSVILLE   MN REF #249430063S4FVNQHR</v>
      </c>
    </row>
    <row r="9656" spans="1:15" hidden="1">
      <c r="A9656">
        <v>202307</v>
      </c>
      <c r="B9656" s="6">
        <v>45121</v>
      </c>
      <c r="C9656" t="s">
        <v>4266</v>
      </c>
      <c r="D9656" t="s">
        <v>4649</v>
      </c>
      <c r="E9656">
        <v>218.7</v>
      </c>
      <c r="F9656" s="2" t="str">
        <f>IF(Table2[[#This Row],[Manual Cat Value]]="",VLOOKUP(Table2[[#This Row],[Description]],'Actuals Lookup'!D:F,3,0),Table2[[#This Row],[Manual Cat Value]])</f>
        <v>Exp - Groceries</v>
      </c>
      <c r="H9656" s="8" t="s">
        <v>27</v>
      </c>
      <c r="I9656" s="8"/>
      <c r="O9656" t="str">
        <f>LEFT(Table2[[#This Row],[Description]],75)</f>
        <v>COSTCO WHSE #1087        BURNSVILLE   MN REF #249430063S4AFJJT4</v>
      </c>
    </row>
    <row r="9657" spans="1:15" hidden="1">
      <c r="A9657">
        <v>202307</v>
      </c>
      <c r="B9657" s="6">
        <v>45121</v>
      </c>
      <c r="C9657" t="s">
        <v>4264</v>
      </c>
      <c r="D9657" t="s">
        <v>4650</v>
      </c>
      <c r="E9657">
        <v>72</v>
      </c>
      <c r="F9657" s="2" t="str">
        <f>IF(Table2[[#This Row],[Manual Cat Value]]="",VLOOKUP(Table2[[#This Row],[Description]],'Actuals Lookup'!D:F,3,0),Table2[[#This Row],[Manual Cat Value]])</f>
        <v>Exp - Restaurants</v>
      </c>
      <c r="H9657" s="8" t="s">
        <v>25</v>
      </c>
      <c r="I9657" s="8"/>
      <c r="O9657" t="str">
        <f>LEFT(Table2[[#This Row],[Description]],75)</f>
        <v>FIVE STAR HOSPITALITY    SPRING PARK  MN REF #241164163BMDZHWEQ</v>
      </c>
    </row>
    <row r="9658" spans="1:15" hidden="1">
      <c r="A9658">
        <v>202307</v>
      </c>
      <c r="B9658" s="6">
        <v>45121</v>
      </c>
      <c r="C9658" t="s">
        <v>4269</v>
      </c>
      <c r="D9658" t="s">
        <v>4651</v>
      </c>
      <c r="E9658">
        <v>67.62</v>
      </c>
      <c r="F9658" s="2" t="str">
        <f>IF(Table2[[#This Row],[Manual Cat Value]]="",VLOOKUP(Table2[[#This Row],[Description]],'Actuals Lookup'!D:F,3,0),Table2[[#This Row],[Manual Cat Value]])</f>
        <v>Exp - Shopping</v>
      </c>
      <c r="H9658" s="8" t="s">
        <v>36</v>
      </c>
      <c r="I9658" s="8"/>
      <c r="O9658" t="str">
        <f>LEFT(Table2[[#This Row],[Description]],75)</f>
        <v>LS RAMBLE HOUSE LLC      171-96582482 CO REF #24492166200154HBB</v>
      </c>
    </row>
    <row r="9659" spans="1:15" hidden="1">
      <c r="A9659">
        <v>202307</v>
      </c>
      <c r="B9659" s="6">
        <v>45121</v>
      </c>
      <c r="C9659" t="s">
        <v>4006</v>
      </c>
      <c r="D9659" t="s">
        <v>4032</v>
      </c>
      <c r="E9659">
        <v>10.5</v>
      </c>
      <c r="F9659" s="2" t="str">
        <f>IF(Table2[[#This Row],[Manual Cat Value]]="",VLOOKUP(Table2[[#This Row],[Description]],'Actuals Lookup'!D:F,3,0),Table2[[#This Row],[Manual Cat Value]])</f>
        <v>Restaurants</v>
      </c>
      <c r="G9659" t="s">
        <v>26</v>
      </c>
      <c r="I9659" s="8"/>
      <c r="O9659" t="str">
        <f>LEFT(Table2[[#This Row],[Description]],75)</f>
        <v>Mcdonald's</v>
      </c>
    </row>
    <row r="9660" spans="1:15" hidden="1">
      <c r="A9660">
        <v>202307</v>
      </c>
      <c r="B9660" s="6">
        <v>45121</v>
      </c>
      <c r="C9660" t="s">
        <v>4277</v>
      </c>
      <c r="D9660" t="s">
        <v>4652</v>
      </c>
      <c r="E9660">
        <v>-130</v>
      </c>
      <c r="F9660" s="2" t="str">
        <f>IF(Table2[[#This Row],[Manual Cat Value]]="",VLOOKUP(Table2[[#This Row],[Description]],'Actuals Lookup'!D:F,3,0),Table2[[#This Row],[Manual Cat Value]])</f>
        <v>Exp - Shopping</v>
      </c>
      <c r="H9660" s="8" t="s">
        <v>36</v>
      </c>
      <c r="I9660" s="8"/>
      <c r="O9660" t="str">
        <f>LEFT(Table2[[#This Row],[Description]],75)</f>
        <v>NORTHFACE VF OUTDOOR     888-863- CREDIT REF #7469216622ZEFATPN</v>
      </c>
    </row>
    <row r="9661" spans="1:15" hidden="1">
      <c r="A9661">
        <v>202307</v>
      </c>
      <c r="B9661" s="6">
        <v>45121</v>
      </c>
      <c r="C9661" t="s">
        <v>4268</v>
      </c>
      <c r="D9661" t="s">
        <v>4653</v>
      </c>
      <c r="E9661">
        <v>35.549999999999997</v>
      </c>
      <c r="F9661" s="2" t="str">
        <f>IF(Table2[[#This Row],[Manual Cat Value]]="",VLOOKUP(Table2[[#This Row],[Description]],'Actuals Lookup'!D:F,3,0),Table2[[#This Row],[Manual Cat Value]])</f>
        <v>Exp - Restaurants</v>
      </c>
      <c r="H9661" s="8" t="s">
        <v>25</v>
      </c>
      <c r="I9661" s="8"/>
      <c r="O9661" t="str">
        <f>LEFT(Table2[[#This Row],[Description]],75)</f>
        <v>SQ *SOUP POT             gosq.com     CO REF #2469216622ZTRSP33</v>
      </c>
    </row>
    <row r="9662" spans="1:15" hidden="1">
      <c r="A9662">
        <v>202307</v>
      </c>
      <c r="B9662" s="6">
        <v>45121</v>
      </c>
      <c r="C9662" t="s">
        <v>2916</v>
      </c>
      <c r="D9662" t="s">
        <v>1958</v>
      </c>
      <c r="E9662">
        <v>42</v>
      </c>
      <c r="F9662" s="2" t="str">
        <f>IF(Table2[[#This Row],[Manual Cat Value]]="",VLOOKUP(Table2[[#This Row],[Description]],'Actuals Lookup'!D:F,3,0),Table2[[#This Row],[Manual Cat Value]])</f>
        <v>Exp - Shopping</v>
      </c>
      <c r="H9662" s="8" t="s">
        <v>36</v>
      </c>
      <c r="I9662" s="8"/>
      <c r="O9662" t="str">
        <f>LEFT(Table2[[#This Row],[Description]],75)</f>
        <v>Transfer to Venmo</v>
      </c>
    </row>
    <row r="9663" spans="1:15" hidden="1">
      <c r="A9663">
        <v>202307</v>
      </c>
      <c r="B9663" s="6">
        <v>45121</v>
      </c>
      <c r="C9663" t="s">
        <v>2916</v>
      </c>
      <c r="D9663" t="s">
        <v>1958</v>
      </c>
      <c r="E9663">
        <v>342</v>
      </c>
      <c r="F9663" s="2" t="str">
        <f>IF(Table2[[#This Row],[Manual Cat Value]]="",VLOOKUP(Table2[[#This Row],[Description]],'Actuals Lookup'!D:F,3,0),Table2[[#This Row],[Manual Cat Value]])</f>
        <v>Exp - Shopping</v>
      </c>
      <c r="H9663" s="8" t="s">
        <v>36</v>
      </c>
      <c r="I9663" s="8"/>
      <c r="O9663" t="str">
        <f>LEFT(Table2[[#This Row],[Description]],75)</f>
        <v>Transfer to Venmo</v>
      </c>
    </row>
    <row r="9664" spans="1:15" hidden="1">
      <c r="A9664">
        <v>202307</v>
      </c>
      <c r="B9664" s="6">
        <v>45121</v>
      </c>
      <c r="C9664" t="s">
        <v>2916</v>
      </c>
      <c r="D9664" t="s">
        <v>4356</v>
      </c>
      <c r="E9664">
        <v>116.77</v>
      </c>
      <c r="F9664" s="2" t="str">
        <f>IF(Table2[[#This Row],[Manual Cat Value]]="",VLOOKUP(Table2[[#This Row],[Description]],'Actuals Lookup'!D:F,3,0),Table2[[#This Row],[Manual Cat Value]])</f>
        <v>Exp - Insurance</v>
      </c>
      <c r="H9664" s="8" t="s">
        <v>17</v>
      </c>
      <c r="I9664" s="8"/>
      <c r="O9664" t="str">
        <f>LEFT(Table2[[#This Row],[Description]],75)</f>
        <v>Payment to American Family Insurance</v>
      </c>
    </row>
    <row r="9665" spans="1:15" hidden="1">
      <c r="A9665">
        <v>202307</v>
      </c>
      <c r="B9665" s="6">
        <v>45123</v>
      </c>
      <c r="C9665" t="s">
        <v>4321</v>
      </c>
      <c r="D9665" t="s">
        <v>4654</v>
      </c>
      <c r="E9665">
        <v>7.15</v>
      </c>
      <c r="F9665" s="2" t="str">
        <f>IF(Table2[[#This Row],[Manual Cat Value]]="",VLOOKUP(Table2[[#This Row],[Description]],'Actuals Lookup'!D:F,3,0),Table2[[#This Row],[Manual Cat Value]])</f>
        <v>Exp - Groceries</v>
      </c>
      <c r="H9665" s="8" t="s">
        <v>27</v>
      </c>
      <c r="I9665" s="8"/>
      <c r="O9665" t="str">
        <f>LEFT(Table2[[#This Row],[Description]],75)</f>
        <v>MSP AIRP PEOPLES ORGANIC SAINT PAUL   MN REF #247554263504MHKWZ</v>
      </c>
    </row>
    <row r="9666" spans="1:15" hidden="1">
      <c r="A9666">
        <v>202307</v>
      </c>
      <c r="B9666" s="6">
        <v>45123</v>
      </c>
      <c r="C9666" t="s">
        <v>4292</v>
      </c>
      <c r="D9666" t="s">
        <v>4655</v>
      </c>
      <c r="E9666">
        <v>45.51</v>
      </c>
      <c r="F9666" s="2" t="str">
        <f>IF(Table2[[#This Row],[Manual Cat Value]]="",VLOOKUP(Table2[[#This Row],[Description]],'Actuals Lookup'!D:F,3,0),Table2[[#This Row],[Manual Cat Value]])</f>
        <v>Exp - Travel</v>
      </c>
      <c r="H9666" s="8" t="s">
        <v>52</v>
      </c>
      <c r="I9666" s="8"/>
      <c r="O9666" t="str">
        <f>LEFT(Table2[[#This Row],[Description]],75)</f>
        <v>RAOCOPARKS&amp;WILDLIFE CO   888-572-7237 TX REF #2469216632XJ5DGZQ</v>
      </c>
    </row>
    <row r="9667" spans="1:15" hidden="1">
      <c r="A9667">
        <v>202307</v>
      </c>
      <c r="B9667" s="6">
        <v>45123</v>
      </c>
      <c r="C9667" t="s">
        <v>4282</v>
      </c>
      <c r="D9667" t="s">
        <v>4656</v>
      </c>
      <c r="E9667">
        <v>8.93</v>
      </c>
      <c r="F9667" s="2" t="str">
        <f>IF(Table2[[#This Row],[Manual Cat Value]]="",VLOOKUP(Table2[[#This Row],[Description]],'Actuals Lookup'!D:F,3,0),Table2[[#This Row],[Manual Cat Value]])</f>
        <v>Exp - Groceries</v>
      </c>
      <c r="H9667" s="8" t="s">
        <v>27</v>
      </c>
      <c r="I9667" s="8"/>
      <c r="O9667" t="str">
        <f>LEFT(Table2[[#This Row],[Description]],75)</f>
        <v>SAFEWAY #2792            CONIFER      CO REF #242316863RBGJBFJK</v>
      </c>
    </row>
    <row r="9668" spans="1:15" hidden="1">
      <c r="A9668">
        <v>202307</v>
      </c>
      <c r="B9668" s="6">
        <v>45124</v>
      </c>
      <c r="C9668" t="s">
        <v>4327</v>
      </c>
      <c r="D9668" t="s">
        <v>4657</v>
      </c>
      <c r="E9668">
        <v>45.93</v>
      </c>
      <c r="F9668" s="2" t="str">
        <f>IF(Table2[[#This Row],[Manual Cat Value]]="",VLOOKUP(Table2[[#This Row],[Description]],'Actuals Lookup'!D:F,3,0),Table2[[#This Row],[Manual Cat Value]])</f>
        <v>Exp - Amazon</v>
      </c>
      <c r="H9668" s="8" t="s">
        <v>37</v>
      </c>
      <c r="I9668" s="8"/>
      <c r="O9668" t="str">
        <f>LEFT(Table2[[#This Row],[Description]],75)</f>
        <v>AMAZON.COM*3N14098Z3 AMZNAMZN.COM/BILLWA REF #2443106662DKQHRN8</v>
      </c>
    </row>
    <row r="9669" spans="1:15" hidden="1">
      <c r="A9669">
        <v>202307</v>
      </c>
      <c r="B9669" s="6">
        <v>45125</v>
      </c>
      <c r="C9669" t="s">
        <v>4006</v>
      </c>
      <c r="D9669" t="s">
        <v>4658</v>
      </c>
      <c r="E9669">
        <v>189.85</v>
      </c>
      <c r="F9669" s="2" t="str">
        <f>IF(Table2[[#This Row],[Manual Cat Value]]="",VLOOKUP(Table2[[#This Row],[Description]],'Actuals Lookup'!D:F,3,0),Table2[[#This Row],[Manual Cat Value]])</f>
        <v>Restaurants</v>
      </c>
      <c r="G9669" t="s">
        <v>26</v>
      </c>
      <c r="I9669" s="8"/>
      <c r="O9669" t="str">
        <f>LEFT(Table2[[#This Row],[Description]],75)</f>
        <v>Eduardo's Mexican Grmonte Vista Xxxxxxxxxxx Xxxxxx6999</v>
      </c>
    </row>
    <row r="9670" spans="1:15" hidden="1">
      <c r="A9670">
        <v>202307</v>
      </c>
      <c r="B9670" s="6">
        <v>45125</v>
      </c>
      <c r="C9670" t="s">
        <v>2916</v>
      </c>
      <c r="D9670" t="s">
        <v>4659</v>
      </c>
      <c r="E9670">
        <v>500</v>
      </c>
      <c r="F9670" s="2" t="str">
        <f>IF(Table2[[#This Row],[Manual Cat Value]]="",VLOOKUP(Table2[[#This Row],[Description]],'Actuals Lookup'!D:F,3,0),Table2[[#This Row],[Manual Cat Value]])</f>
        <v>Exp - Day Care</v>
      </c>
      <c r="H9670" s="8" t="s">
        <v>19</v>
      </c>
      <c r="I9670" s="8"/>
      <c r="O9670" t="str">
        <f>LEFT(Table2[[#This Row],[Description]],75)</f>
        <v>Withdrawal ACH MN DIR ACH TYPE: CONTRIB ID: XX7162 CO: MN DIR ACH NAME: XX2</v>
      </c>
    </row>
    <row r="9671" spans="1:15" hidden="1">
      <c r="A9671">
        <v>202307</v>
      </c>
      <c r="B9671" s="6">
        <v>45126</v>
      </c>
      <c r="C9671" t="s">
        <v>4325</v>
      </c>
      <c r="D9671" t="s">
        <v>4660</v>
      </c>
      <c r="E9671">
        <v>951</v>
      </c>
      <c r="F9671" s="2" t="str">
        <f>IF(Table2[[#This Row],[Manual Cat Value]]="",VLOOKUP(Table2[[#This Row],[Description]],'Actuals Lookup'!D:F,3,0),Table2[[#This Row],[Manual Cat Value]])</f>
        <v>Exp - Day Care</v>
      </c>
      <c r="H9671" s="8" t="s">
        <v>19</v>
      </c>
      <c r="I9671" s="8"/>
      <c r="O9671" t="str">
        <f>LEFT(Table2[[#This Row],[Description]],75)</f>
        <v>BCS*MINNETONKA COMMUNITY 952-401-6800 MN REF #24137466801E8S29W</v>
      </c>
    </row>
    <row r="9672" spans="1:15" hidden="1">
      <c r="A9672">
        <v>202307</v>
      </c>
      <c r="B9672" s="6">
        <v>45126</v>
      </c>
      <c r="C9672" t="s">
        <v>4006</v>
      </c>
      <c r="D9672" t="s">
        <v>288</v>
      </c>
      <c r="E9672">
        <v>161.24</v>
      </c>
      <c r="F9672" s="2" t="str">
        <f>IF(Table2[[#This Row],[Manual Cat Value]]="",VLOOKUP(Table2[[#This Row],[Description]],'Actuals Lookup'!D:F,3,0),Table2[[#This Row],[Manual Cat Value]])</f>
        <v>Travel</v>
      </c>
      <c r="G9672" t="s">
        <v>43</v>
      </c>
      <c r="I9672" s="8"/>
      <c r="O9672" t="str">
        <f>LEFT(Table2[[#This Row],[Description]],75)</f>
        <v>Best Western</v>
      </c>
    </row>
    <row r="9673" spans="1:15" hidden="1">
      <c r="A9673">
        <v>202307</v>
      </c>
      <c r="B9673" s="6">
        <v>45126</v>
      </c>
      <c r="C9673" t="s">
        <v>4006</v>
      </c>
      <c r="D9673" t="s">
        <v>4661</v>
      </c>
      <c r="E9673">
        <v>12.42</v>
      </c>
      <c r="F9673" s="2" t="str">
        <f>IF(Table2[[#This Row],[Manual Cat Value]]="",VLOOKUP(Table2[[#This Row],[Description]],'Actuals Lookup'!D:F,3,0),Table2[[#This Row],[Manual Cat Value]])</f>
        <v>Restaurants</v>
      </c>
      <c r="G9673" t="s">
        <v>26</v>
      </c>
      <c r="I9673" s="8"/>
      <c r="O9673" t="str">
        <f>LEFT(Table2[[#This Row],[Description]],75)</f>
        <v>Denver International Airport</v>
      </c>
    </row>
    <row r="9674" spans="1:15" hidden="1">
      <c r="A9674">
        <v>202307</v>
      </c>
      <c r="B9674" s="6">
        <v>45126</v>
      </c>
      <c r="C9674" t="s">
        <v>4006</v>
      </c>
      <c r="D9674" t="s">
        <v>4661</v>
      </c>
      <c r="E9674">
        <v>21.75</v>
      </c>
      <c r="F9674" s="2" t="str">
        <f>IF(Table2[[#This Row],[Manual Cat Value]]="",VLOOKUP(Table2[[#This Row],[Description]],'Actuals Lookup'!D:F,3,0),Table2[[#This Row],[Manual Cat Value]])</f>
        <v>Restaurants</v>
      </c>
      <c r="G9674" t="s">
        <v>43</v>
      </c>
      <c r="I9674" s="8"/>
      <c r="O9674" t="str">
        <f>LEFT(Table2[[#This Row],[Description]],75)</f>
        <v>Denver International Airport</v>
      </c>
    </row>
    <row r="9675" spans="1:15" hidden="1">
      <c r="A9675">
        <v>202307</v>
      </c>
      <c r="B9675" s="6">
        <v>45126</v>
      </c>
      <c r="C9675" t="s">
        <v>4328</v>
      </c>
      <c r="D9675" t="s">
        <v>4662</v>
      </c>
      <c r="E9675">
        <v>-59.5</v>
      </c>
      <c r="F9675" s="2" t="str">
        <f>IF(Table2[[#This Row],[Manual Cat Value]]="",VLOOKUP(Table2[[#This Row],[Description]],'Actuals Lookup'!D:F,3,0),Table2[[#This Row],[Manual Cat Value]])</f>
        <v>Exp - Shopping</v>
      </c>
      <c r="H9675" s="8" t="s">
        <v>36</v>
      </c>
      <c r="I9675" s="8"/>
      <c r="O9675" t="str">
        <f>LEFT(Table2[[#This Row],[Description]],75)</f>
        <v>LULUS.COM HTTPSWWW.LULU CA        CREDIT REF #2401134680002BHB5</v>
      </c>
    </row>
    <row r="9676" spans="1:15" hidden="1">
      <c r="A9676">
        <v>202307</v>
      </c>
      <c r="B9676" s="6">
        <v>45126</v>
      </c>
      <c r="C9676" t="s">
        <v>4006</v>
      </c>
      <c r="D9676" t="s">
        <v>4663</v>
      </c>
      <c r="E9676">
        <v>79.73</v>
      </c>
      <c r="F9676" s="2" t="str">
        <f>IF(Table2[[#This Row],[Manual Cat Value]]="",VLOOKUP(Table2[[#This Row],[Description]],'Actuals Lookup'!D:F,3,0),Table2[[#This Row],[Manual Cat Value]])</f>
        <v>Restaurants</v>
      </c>
      <c r="G9676" t="s">
        <v>26</v>
      </c>
      <c r="I9676" s="8"/>
      <c r="O9676" t="str">
        <f>LEFT(Table2[[#This Row],[Description]],75)</f>
        <v>Red Cow</v>
      </c>
    </row>
    <row r="9677" spans="1:15" hidden="1">
      <c r="A9677">
        <v>202307</v>
      </c>
      <c r="B9677" s="6">
        <v>45126</v>
      </c>
      <c r="C9677" t="s">
        <v>2916</v>
      </c>
      <c r="D9677" t="s">
        <v>1955</v>
      </c>
      <c r="E9677">
        <v>2.99</v>
      </c>
      <c r="F9677" s="2" t="str">
        <f>IF(Table2[[#This Row],[Manual Cat Value]]="",VLOOKUP(Table2[[#This Row],[Description]],'Actuals Lookup'!D:F,3,0),Table2[[#This Row],[Manual Cat Value]])</f>
        <v>Exp - Shopping</v>
      </c>
      <c r="H9677" s="8" t="s">
        <v>36</v>
      </c>
      <c r="I9677" s="8"/>
      <c r="O9677" t="str">
        <f>LEFT(Table2[[#This Row],[Description]],75)</f>
        <v>Transfer to PayPal</v>
      </c>
    </row>
    <row r="9678" spans="1:15" hidden="1">
      <c r="A9678">
        <v>202307</v>
      </c>
      <c r="B9678" s="6">
        <v>45126</v>
      </c>
      <c r="C9678" t="s">
        <v>2916</v>
      </c>
      <c r="D9678" t="s">
        <v>1958</v>
      </c>
      <c r="E9678">
        <v>30</v>
      </c>
      <c r="F9678" s="2" t="str">
        <f>IF(Table2[[#This Row],[Manual Cat Value]]="",VLOOKUP(Table2[[#This Row],[Description]],'Actuals Lookup'!D:F,3,0),Table2[[#This Row],[Manual Cat Value]])</f>
        <v>Exp - Shopping</v>
      </c>
      <c r="H9678" s="8" t="s">
        <v>36</v>
      </c>
      <c r="I9678" s="8"/>
      <c r="O9678" t="str">
        <f>LEFT(Table2[[#This Row],[Description]],75)</f>
        <v>Transfer to Venmo</v>
      </c>
    </row>
    <row r="9679" spans="1:15" hidden="1">
      <c r="A9679">
        <v>202307</v>
      </c>
      <c r="B9679" s="6">
        <v>45127</v>
      </c>
      <c r="C9679" t="s">
        <v>3932</v>
      </c>
      <c r="D9679" t="s">
        <v>38</v>
      </c>
      <c r="E9679">
        <v>10.73</v>
      </c>
      <c r="F9679" s="2" t="str">
        <f>IF(Table2[[#This Row],[Manual Cat Value]]="",VLOOKUP(Table2[[#This Row],[Description]],'Actuals Lookup'!D:F,3,0),Table2[[#This Row],[Manual Cat Value]])</f>
        <v>Amazon</v>
      </c>
      <c r="G9679" t="s">
        <v>41</v>
      </c>
      <c r="I9679" s="8"/>
      <c r="O9679" t="str">
        <f>LEFT(Table2[[#This Row],[Description]],75)</f>
        <v>Amazon</v>
      </c>
    </row>
    <row r="9680" spans="1:15" hidden="1">
      <c r="A9680">
        <v>202307</v>
      </c>
      <c r="B9680" s="6">
        <v>45127</v>
      </c>
      <c r="C9680" t="s">
        <v>3932</v>
      </c>
      <c r="D9680" t="s">
        <v>38</v>
      </c>
      <c r="E9680">
        <v>23.07</v>
      </c>
      <c r="F9680" s="2" t="str">
        <f>IF(Table2[[#This Row],[Manual Cat Value]]="",VLOOKUP(Table2[[#This Row],[Description]],'Actuals Lookup'!D:F,3,0),Table2[[#This Row],[Manual Cat Value]])</f>
        <v>Amazon</v>
      </c>
      <c r="G9680" t="s">
        <v>41</v>
      </c>
      <c r="I9680" s="8"/>
      <c r="O9680" t="str">
        <f>LEFT(Table2[[#This Row],[Description]],75)</f>
        <v>Amazon</v>
      </c>
    </row>
    <row r="9681" spans="1:15" hidden="1">
      <c r="A9681">
        <v>202307</v>
      </c>
      <c r="B9681" s="6">
        <v>45127</v>
      </c>
      <c r="C9681" t="s">
        <v>2916</v>
      </c>
      <c r="D9681" t="s">
        <v>404</v>
      </c>
      <c r="E9681">
        <v>-2434.2199999999998</v>
      </c>
      <c r="F9681" s="2" t="str">
        <f>IF(Table2[[#This Row],[Manual Cat Value]]="",VLOOKUP(Table2[[#This Row],[Description]],'Actuals Lookup'!D:F,3,0),Table2[[#This Row],[Manual Cat Value]])</f>
        <v>Inc - Britney</v>
      </c>
      <c r="H9681" s="8" t="s">
        <v>65</v>
      </c>
      <c r="I9681" s="8"/>
      <c r="O9681" t="str">
        <f>LEFT(Table2[[#This Row],[Description]],75)</f>
        <v>Cargill Inc Deposit</v>
      </c>
    </row>
    <row r="9682" spans="1:15" hidden="1">
      <c r="A9682">
        <v>202307</v>
      </c>
      <c r="B9682" s="6">
        <v>45127</v>
      </c>
      <c r="C9682" t="s">
        <v>4332</v>
      </c>
      <c r="D9682" t="s">
        <v>4664</v>
      </c>
      <c r="E9682">
        <v>52</v>
      </c>
      <c r="F9682" s="2" t="str">
        <f>IF(Table2[[#This Row],[Manual Cat Value]]="",VLOOKUP(Table2[[#This Row],[Description]],'Actuals Lookup'!D:F,3,0),Table2[[#This Row],[Manual Cat Value]])</f>
        <v>Exp - Gifts</v>
      </c>
      <c r="H9682" s="8" t="s">
        <v>44</v>
      </c>
      <c r="I9682" s="8"/>
      <c r="O9682" t="str">
        <f>LEFT(Table2[[#This Row],[Description]],75)</f>
        <v>Donate *OutrunALD2021    888-3851360  NJ REF #24204296802DMR29B</v>
      </c>
    </row>
    <row r="9683" spans="1:15" hidden="1">
      <c r="A9683">
        <v>202307</v>
      </c>
      <c r="B9683" s="6">
        <v>45127</v>
      </c>
      <c r="C9683" t="s">
        <v>4006</v>
      </c>
      <c r="D9683" t="s">
        <v>4665</v>
      </c>
      <c r="E9683">
        <v>74.36</v>
      </c>
      <c r="F9683" s="2" t="str">
        <f>IF(Table2[[#This Row],[Manual Cat Value]]="",VLOOKUP(Table2[[#This Row],[Description]],'Actuals Lookup'!D:F,3,0),Table2[[#This Row],[Manual Cat Value]])</f>
        <v>Restaurants</v>
      </c>
      <c r="G9683" t="s">
        <v>26</v>
      </c>
      <c r="I9683" s="8"/>
      <c r="O9683" t="str">
        <f>LEFT(Table2[[#This Row],[Description]],75)</f>
        <v>Kona Grill</v>
      </c>
    </row>
    <row r="9684" spans="1:15" hidden="1">
      <c r="A9684">
        <v>202307</v>
      </c>
      <c r="B9684" s="6">
        <v>45127</v>
      </c>
      <c r="C9684" t="s">
        <v>4333</v>
      </c>
      <c r="D9684" t="s">
        <v>4666</v>
      </c>
      <c r="E9684">
        <v>4.25</v>
      </c>
      <c r="F9684" s="2" t="str">
        <f>IF(Table2[[#This Row],[Manual Cat Value]]="",VLOOKUP(Table2[[#This Row],[Description]],'Actuals Lookup'!D:F,3,0),Table2[[#This Row],[Manual Cat Value]])</f>
        <v>Exp - Restaurants</v>
      </c>
      <c r="H9684" s="8" t="s">
        <v>25</v>
      </c>
      <c r="I9684" s="8"/>
      <c r="O9684" t="str">
        <f>LEFT(Table2[[#This Row],[Description]],75)</f>
        <v>ONSTREET 8090            612-3437275  MN REF #2478930683TE7XVPG</v>
      </c>
    </row>
    <row r="9685" spans="1:15" hidden="1">
      <c r="A9685">
        <v>202307</v>
      </c>
      <c r="B9685" s="6">
        <v>45127</v>
      </c>
      <c r="C9685" t="s">
        <v>4006</v>
      </c>
      <c r="D9685" t="s">
        <v>4667</v>
      </c>
      <c r="E9685">
        <v>70</v>
      </c>
      <c r="F9685" s="2" t="str">
        <f>IF(Table2[[#This Row],[Manual Cat Value]]="",VLOOKUP(Table2[[#This Row],[Description]],'Actuals Lookup'!D:F,3,0),Table2[[#This Row],[Manual Cat Value]])</f>
        <v>Exp - Shopping</v>
      </c>
      <c r="G9685" t="s">
        <v>43</v>
      </c>
      <c r="H9685" s="8" t="s">
        <v>36</v>
      </c>
      <c r="I9685" s="8"/>
      <c r="O9685" t="str">
        <f>LEFT(Table2[[#This Row],[Description]],75)</f>
        <v>Precheck</v>
      </c>
    </row>
    <row r="9686" spans="1:15" hidden="1">
      <c r="A9686">
        <v>202307</v>
      </c>
      <c r="B9686" s="6">
        <v>45127</v>
      </c>
      <c r="C9686" t="s">
        <v>2916</v>
      </c>
      <c r="D9686" t="s">
        <v>1958</v>
      </c>
      <c r="E9686">
        <v>125</v>
      </c>
      <c r="F9686" s="2" t="str">
        <f>IF(Table2[[#This Row],[Manual Cat Value]]="",VLOOKUP(Table2[[#This Row],[Description]],'Actuals Lookup'!D:F,3,0),Table2[[#This Row],[Manual Cat Value]])</f>
        <v>Exp - Shopping</v>
      </c>
      <c r="H9686" s="8" t="s">
        <v>36</v>
      </c>
      <c r="I9686" s="8"/>
      <c r="O9686" t="str">
        <f>LEFT(Table2[[#This Row],[Description]],75)</f>
        <v>Transfer to Venmo</v>
      </c>
    </row>
    <row r="9687" spans="1:15" hidden="1">
      <c r="A9687">
        <v>202307</v>
      </c>
      <c r="B9687" s="6">
        <v>45127</v>
      </c>
      <c r="C9687" t="s">
        <v>4006</v>
      </c>
      <c r="D9687" t="s">
        <v>4012</v>
      </c>
      <c r="E9687">
        <v>-3411.32</v>
      </c>
      <c r="F9687" s="2" t="str">
        <f>IF(Table2[[#This Row],[Manual Cat Value]]="",VLOOKUP(Table2[[#This Row],[Description]],'Actuals Lookup'!D:F,3,0),Table2[[#This Row],[Manual Cat Value]])</f>
        <v>Delete</v>
      </c>
      <c r="G9687" t="s">
        <v>9</v>
      </c>
      <c r="I9687" s="8"/>
      <c r="O9687" t="str">
        <f>LEFT(Table2[[#This Row],[Description]],75)</f>
        <v>Online Payment - Thank You</v>
      </c>
    </row>
    <row r="9688" spans="1:15" hidden="1">
      <c r="A9688">
        <v>202307</v>
      </c>
      <c r="B9688" s="6">
        <v>45128</v>
      </c>
      <c r="C9688" t="s">
        <v>4330</v>
      </c>
      <c r="D9688" t="s">
        <v>4668</v>
      </c>
      <c r="E9688">
        <v>11</v>
      </c>
      <c r="F9688" s="2" t="str">
        <f>IF(Table2[[#This Row],[Manual Cat Value]]="",VLOOKUP(Table2[[#This Row],[Description]],'Actuals Lookup'!D:F,3,0),Table2[[#This Row],[Manual Cat Value]])</f>
        <v>Exp - Utilities</v>
      </c>
      <c r="H9688" s="8" t="s">
        <v>6</v>
      </c>
      <c r="I9688" s="8"/>
      <c r="O9688" t="str">
        <f>LEFT(Table2[[#This Row],[Description]],75)</f>
        <v>BONFES PLUMBING HEATING A651-3326633  MN REF #242753969S66KTQHV</v>
      </c>
    </row>
    <row r="9689" spans="1:15" hidden="1">
      <c r="A9689">
        <v>202307</v>
      </c>
      <c r="B9689" s="6">
        <v>45128</v>
      </c>
      <c r="C9689" t="s">
        <v>4336</v>
      </c>
      <c r="D9689" t="s">
        <v>4669</v>
      </c>
      <c r="E9689">
        <v>16.73</v>
      </c>
      <c r="F9689" s="2" t="str">
        <f>IF(Table2[[#This Row],[Manual Cat Value]]="",VLOOKUP(Table2[[#This Row],[Description]],'Actuals Lookup'!D:F,3,0),Table2[[#This Row],[Manual Cat Value]])</f>
        <v>Exp - Utilities</v>
      </c>
      <c r="H9689" s="8" t="s">
        <v>6</v>
      </c>
      <c r="I9689" s="8"/>
      <c r="O9689" t="str">
        <f>LEFT(Table2[[#This Row],[Description]],75)</f>
        <v>Netflix.com              866-5797172  CA REF #24906416956ES5JY9</v>
      </c>
    </row>
    <row r="9690" spans="1:15" hidden="1">
      <c r="A9690">
        <v>202307</v>
      </c>
      <c r="B9690" s="6">
        <v>45128</v>
      </c>
      <c r="C9690" t="s">
        <v>2916</v>
      </c>
      <c r="D9690" t="s">
        <v>4670</v>
      </c>
      <c r="E9690">
        <v>77.849999999999994</v>
      </c>
      <c r="F9690" s="2" t="str">
        <f>IF(Table2[[#This Row],[Manual Cat Value]]="",VLOOKUP(Table2[[#This Row],[Description]],'Actuals Lookup'!D:F,3,0),Table2[[#This Row],[Manual Cat Value]])</f>
        <v>Exp - Utilities</v>
      </c>
      <c r="H9690" s="8" t="s">
        <v>6</v>
      </c>
      <c r="I9690" s="8"/>
      <c r="O9690" t="str">
        <f>LEFT(Table2[[#This Row],[Description]],75)</f>
        <v>Withdrawal ACH CITY OF CHANHASS TYPE: UTIL BILL ID: XX5331 CO: CITY OF CHAN</v>
      </c>
    </row>
    <row r="9691" spans="1:15" hidden="1">
      <c r="A9691">
        <v>202307</v>
      </c>
      <c r="B9691" s="6">
        <v>45128</v>
      </c>
      <c r="C9691" t="s">
        <v>2916</v>
      </c>
      <c r="D9691" t="s">
        <v>4293</v>
      </c>
      <c r="E9691">
        <v>1638.6</v>
      </c>
      <c r="F9691" s="2" t="str">
        <f>IF(Table2[[#This Row],[Manual Cat Value]]="",VLOOKUP(Table2[[#This Row],[Description]],'Actuals Lookup'!D:F,3,0),Table2[[#This Row],[Manual Cat Value]])</f>
        <v>Delete</v>
      </c>
      <c r="H9691" s="8" t="s">
        <v>9</v>
      </c>
      <c r="I9691" s="8"/>
      <c r="O9691" t="str">
        <f>LEFT(Table2[[#This Row],[Description]],75)</f>
        <v>Withdrawal Home Banking Pmt to card XX5913</v>
      </c>
    </row>
    <row r="9692" spans="1:15" hidden="1">
      <c r="A9692">
        <v>202307</v>
      </c>
      <c r="B9692" s="6">
        <v>45128</v>
      </c>
      <c r="C9692" t="s">
        <v>4337</v>
      </c>
      <c r="D9692" t="s">
        <v>4671</v>
      </c>
      <c r="E9692">
        <v>-1638.6</v>
      </c>
      <c r="F9692" s="2" t="str">
        <f>IF(Table2[[#This Row],[Manual Cat Value]]="",VLOOKUP(Table2[[#This Row],[Description]],'Actuals Lookup'!D:F,3,0),Table2[[#This Row],[Manual Cat Value]])</f>
        <v>Delete</v>
      </c>
      <c r="H9692" s="8" t="s">
        <v>9</v>
      </c>
      <c r="I9692" s="8"/>
      <c r="O9692" t="str">
        <f>LEFT(Table2[[#This Row],[Description]],75)</f>
        <v>PAYMENT - THANK YOU REF #74734576Q00XTMJG6</v>
      </c>
    </row>
    <row r="9693" spans="1:15" hidden="1">
      <c r="A9693">
        <v>202307</v>
      </c>
      <c r="B9693" s="6">
        <v>45128</v>
      </c>
      <c r="C9693" t="s">
        <v>2916</v>
      </c>
      <c r="D9693" t="s">
        <v>1458</v>
      </c>
      <c r="E9693">
        <v>3411.32</v>
      </c>
      <c r="F9693" s="2" t="str">
        <f>IF(Table2[[#This Row],[Manual Cat Value]]="",VLOOKUP(Table2[[#This Row],[Description]],'Actuals Lookup'!D:F,3,0),Table2[[#This Row],[Manual Cat Value]])</f>
        <v>Delete</v>
      </c>
      <c r="H9693" s="8" t="s">
        <v>9</v>
      </c>
      <c r="I9693" s="8"/>
      <c r="O9693" t="str">
        <f>LEFT(Table2[[#This Row],[Description]],75)</f>
        <v>Payment to American Express</v>
      </c>
    </row>
    <row r="9694" spans="1:15" hidden="1">
      <c r="A9694">
        <v>202307</v>
      </c>
      <c r="B9694" s="6">
        <v>45129</v>
      </c>
      <c r="C9694" t="s">
        <v>3932</v>
      </c>
      <c r="D9694" t="s">
        <v>4079</v>
      </c>
      <c r="E9694">
        <v>-8.6</v>
      </c>
      <c r="F9694" s="2" t="str">
        <f>IF(Table2[[#This Row],[Manual Cat Value]]="",VLOOKUP(Table2[[#This Row],[Description]],'Actuals Lookup'!D:F,3,0),Table2[[#This Row],[Manual Cat Value]])</f>
        <v>Dividend</v>
      </c>
      <c r="G9694" t="s">
        <v>55</v>
      </c>
      <c r="I9694" s="8"/>
      <c r="O9694" t="str">
        <f>LEFT(Table2[[#This Row],[Description]],75)</f>
        <v>Cashback Bonus Redemption Pymt/stmt Crdt</v>
      </c>
    </row>
    <row r="9695" spans="1:15" hidden="1">
      <c r="A9695">
        <v>202307</v>
      </c>
      <c r="B9695" s="6">
        <v>45129</v>
      </c>
      <c r="C9695" t="s">
        <v>4006</v>
      </c>
      <c r="D9695" t="s">
        <v>4672</v>
      </c>
      <c r="E9695">
        <v>16.86</v>
      </c>
      <c r="F9695" s="2" t="str">
        <f>IF(Table2[[#This Row],[Manual Cat Value]]="",VLOOKUP(Table2[[#This Row],[Description]],'Actuals Lookup'!D:F,3,0),Table2[[#This Row],[Manual Cat Value]])</f>
        <v>Groceries</v>
      </c>
      <c r="G9695" t="s">
        <v>28</v>
      </c>
      <c r="I9695" s="8"/>
      <c r="O9695" t="str">
        <f>LEFT(Table2[[#This Row],[Description]],75)</f>
        <v>Wayne's Food Plus</v>
      </c>
    </row>
    <row r="9696" spans="1:15" hidden="1">
      <c r="A9696">
        <v>202307</v>
      </c>
      <c r="B9696" s="6">
        <v>45129</v>
      </c>
      <c r="C9696" t="s">
        <v>3932</v>
      </c>
      <c r="D9696" t="s">
        <v>3988</v>
      </c>
      <c r="E9696">
        <v>-384.46</v>
      </c>
      <c r="F9696" s="2" t="str">
        <f>IF(Table2[[#This Row],[Manual Cat Value]]="",VLOOKUP(Table2[[#This Row],[Description]],'Actuals Lookup'!D:F,3,0),Table2[[#This Row],[Manual Cat Value]])</f>
        <v>Delete</v>
      </c>
      <c r="G9696" t="s">
        <v>8</v>
      </c>
      <c r="I9696" s="8"/>
      <c r="O9696" t="str">
        <f>LEFT(Table2[[#This Row],[Description]],75)</f>
        <v>Internet Payment - Thank You</v>
      </c>
    </row>
    <row r="9697" spans="1:15" hidden="1">
      <c r="A9697">
        <v>202307</v>
      </c>
      <c r="B9697" s="6">
        <v>45130</v>
      </c>
      <c r="C9697" t="s">
        <v>4351</v>
      </c>
      <c r="D9697" t="s">
        <v>4673</v>
      </c>
      <c r="E9697">
        <v>476</v>
      </c>
      <c r="F9697" s="2" t="str">
        <f>IF(Table2[[#This Row],[Manual Cat Value]]="",VLOOKUP(Table2[[#This Row],[Description]],'Actuals Lookup'!D:F,3,0),Table2[[#This Row],[Manual Cat Value]])</f>
        <v>Exp - Day Care</v>
      </c>
      <c r="H9697" s="8" t="s">
        <v>19</v>
      </c>
      <c r="I9697" s="8"/>
      <c r="O9697" t="str">
        <f>LEFT(Table2[[#This Row],[Description]],75)</f>
        <v>BCS*MINNETONKA COMMUNITY 952-401-6800 MN REF #24137466B01HBE5V5</v>
      </c>
    </row>
    <row r="9698" spans="1:15" hidden="1">
      <c r="A9698">
        <v>202307</v>
      </c>
      <c r="B9698" s="6">
        <v>45130</v>
      </c>
      <c r="C9698" t="s">
        <v>4350</v>
      </c>
      <c r="D9698" t="s">
        <v>4674</v>
      </c>
      <c r="E9698">
        <v>44.29</v>
      </c>
      <c r="F9698" s="2" t="str">
        <f>IF(Table2[[#This Row],[Manual Cat Value]]="",VLOOKUP(Table2[[#This Row],[Description]],'Actuals Lookup'!D:F,3,0),Table2[[#This Row],[Manual Cat Value]])</f>
        <v>Exp - Transportation</v>
      </c>
      <c r="H9698" s="8" t="s">
        <v>22</v>
      </c>
      <c r="I9698" s="8"/>
      <c r="O9698" t="str">
        <f>LEFT(Table2[[#This Row],[Description]],75)</f>
        <v>KWIK TRIP  49200004929   CHANHASSEN   MN REF #24164076BL3HN06B3</v>
      </c>
    </row>
    <row r="9699" spans="1:15" hidden="1">
      <c r="A9699">
        <v>202307</v>
      </c>
      <c r="B9699" s="6">
        <v>45130</v>
      </c>
      <c r="C9699" t="s">
        <v>4355</v>
      </c>
      <c r="D9699" t="s">
        <v>4675</v>
      </c>
      <c r="E9699">
        <v>5.37</v>
      </c>
      <c r="F9699" s="2" t="str">
        <f>IF(Table2[[#This Row],[Manual Cat Value]]="",VLOOKUP(Table2[[#This Row],[Description]],'Actuals Lookup'!D:F,3,0),Table2[[#This Row],[Manual Cat Value]])</f>
        <v>Exp - Transportation</v>
      </c>
      <c r="H9699" s="8" t="s">
        <v>22</v>
      </c>
      <c r="I9699" s="8"/>
      <c r="O9699" t="str">
        <f>LEFT(Table2[[#This Row],[Description]],75)</f>
        <v>KWIK TRIP  49200004929   CHANHASSEN   MN REF #24164076BL3HN06E6</v>
      </c>
    </row>
    <row r="9700" spans="1:15" hidden="1">
      <c r="A9700">
        <v>202307</v>
      </c>
      <c r="B9700" s="6">
        <v>45130</v>
      </c>
      <c r="C9700" t="s">
        <v>4342</v>
      </c>
      <c r="D9700" t="s">
        <v>4676</v>
      </c>
      <c r="E9700">
        <v>35.47</v>
      </c>
      <c r="F9700" s="2" t="str">
        <f>IF(Table2[[#This Row],[Manual Cat Value]]="",VLOOKUP(Table2[[#This Row],[Description]],'Actuals Lookup'!D:F,3,0),Table2[[#This Row],[Manual Cat Value]])</f>
        <v>Exp - Day Care</v>
      </c>
      <c r="H9700" s="8" t="s">
        <v>19</v>
      </c>
      <c r="I9700" s="8"/>
      <c r="O9700" t="str">
        <f>LEFT(Table2[[#This Row],[Description]],75)</f>
        <v>MCW 1602-MINNETONKA      952-3778113  MN REF #24071056AVAMFWTK7</v>
      </c>
    </row>
    <row r="9701" spans="1:15" hidden="1">
      <c r="A9701">
        <v>202307</v>
      </c>
      <c r="B9701" s="6">
        <v>45131</v>
      </c>
      <c r="C9701" t="s">
        <v>4360</v>
      </c>
      <c r="D9701" t="s">
        <v>4677</v>
      </c>
      <c r="E9701">
        <v>20.38</v>
      </c>
      <c r="F9701" s="2" t="str">
        <f>IF(Table2[[#This Row],[Manual Cat Value]]="",VLOOKUP(Table2[[#This Row],[Description]],'Actuals Lookup'!D:F,3,0),Table2[[#This Row],[Manual Cat Value]])</f>
        <v>Exp - Amazon</v>
      </c>
      <c r="H9701" s="8" t="s">
        <v>37</v>
      </c>
      <c r="I9701" s="8"/>
      <c r="O9701" t="str">
        <f>LEFT(Table2[[#This Row],[Description]],75)</f>
        <v>AMZN Mktp US*H81KG1C33   Amzn.com/billWA REF #24692166Q34NNGXS9</v>
      </c>
    </row>
    <row r="9702" spans="1:15" hidden="1">
      <c r="A9702">
        <v>202307</v>
      </c>
      <c r="B9702" s="6">
        <v>45131</v>
      </c>
      <c r="C9702" t="s">
        <v>4368</v>
      </c>
      <c r="D9702" t="s">
        <v>4678</v>
      </c>
      <c r="E9702">
        <v>135.87</v>
      </c>
      <c r="F9702" s="2" t="str">
        <f>IF(Table2[[#This Row],[Manual Cat Value]]="",VLOOKUP(Table2[[#This Row],[Description]],'Actuals Lookup'!D:F,3,0),Table2[[#This Row],[Manual Cat Value]])</f>
        <v>Exp - Amazon</v>
      </c>
      <c r="H9702" s="8" t="s">
        <v>37</v>
      </c>
      <c r="I9702" s="8"/>
      <c r="O9702" t="str">
        <f>LEFT(Table2[[#This Row],[Description]],75)</f>
        <v>AMZN Mktp US*HS2GJ1HU3   Amzn.com/billWA REF #24692166Q352X7DSP</v>
      </c>
    </row>
    <row r="9703" spans="1:15" hidden="1">
      <c r="A9703">
        <v>202307</v>
      </c>
      <c r="B9703" s="6">
        <v>45131</v>
      </c>
      <c r="C9703" t="s">
        <v>4363</v>
      </c>
      <c r="D9703" t="s">
        <v>4679</v>
      </c>
      <c r="E9703">
        <v>33.979999999999997</v>
      </c>
      <c r="F9703" s="2" t="str">
        <f>IF(Table2[[#This Row],[Manual Cat Value]]="",VLOOKUP(Table2[[#This Row],[Description]],'Actuals Lookup'!D:F,3,0),Table2[[#This Row],[Manual Cat Value]])</f>
        <v>Exp - Amazon</v>
      </c>
      <c r="H9703" s="8" t="s">
        <v>37</v>
      </c>
      <c r="I9703" s="8"/>
      <c r="O9703" t="str">
        <f>LEFT(Table2[[#This Row],[Description]],75)</f>
        <v>AMZN Mktp US*K70S63PB3   Amzn.com/billWA REF #24692166Q34VAP9Y7</v>
      </c>
    </row>
    <row r="9704" spans="1:15" hidden="1">
      <c r="A9704">
        <v>202307</v>
      </c>
      <c r="B9704" s="6">
        <v>45131</v>
      </c>
      <c r="C9704" t="s">
        <v>4369</v>
      </c>
      <c r="D9704" t="s">
        <v>4680</v>
      </c>
      <c r="E9704">
        <v>17.170000000000002</v>
      </c>
      <c r="F9704" s="2" t="str">
        <f>IF(Table2[[#This Row],[Manual Cat Value]]="",VLOOKUP(Table2[[#This Row],[Description]],'Actuals Lookup'!D:F,3,0),Table2[[#This Row],[Manual Cat Value]])</f>
        <v>Exp - Amazon</v>
      </c>
      <c r="H9704" s="8" t="s">
        <v>37</v>
      </c>
      <c r="I9704" s="8"/>
      <c r="O9704" t="str">
        <f>LEFT(Table2[[#This Row],[Description]],75)</f>
        <v>AMZN Mktp US*TQ5730KU3   Amzn.com/billWA REF #24692166Q352ZQBQP</v>
      </c>
    </row>
    <row r="9705" spans="1:15" hidden="1">
      <c r="A9705">
        <v>202307</v>
      </c>
      <c r="B9705" s="6">
        <v>45131</v>
      </c>
      <c r="C9705" t="s">
        <v>4352</v>
      </c>
      <c r="D9705" t="s">
        <v>4681</v>
      </c>
      <c r="E9705">
        <v>11.26</v>
      </c>
      <c r="F9705" s="2" t="str">
        <f>IF(Table2[[#This Row],[Manual Cat Value]]="",VLOOKUP(Table2[[#This Row],[Description]],'Actuals Lookup'!D:F,3,0),Table2[[#This Row],[Manual Cat Value]])</f>
        <v>Exp - Amazon</v>
      </c>
      <c r="H9705" s="8" t="s">
        <v>37</v>
      </c>
      <c r="I9705" s="8"/>
      <c r="O9705" t="str">
        <f>LEFT(Table2[[#This Row],[Description]],75)</f>
        <v>AMZN Mktp US*YT52T8BN3   Amzn.com/billWA REF #24692166Q34NFRTHX</v>
      </c>
    </row>
    <row r="9706" spans="1:15" hidden="1">
      <c r="A9706">
        <v>202307</v>
      </c>
      <c r="B9706" s="6">
        <v>45131</v>
      </c>
      <c r="C9706" t="s">
        <v>4006</v>
      </c>
      <c r="D9706" t="s">
        <v>4017</v>
      </c>
      <c r="E9706">
        <v>59.5</v>
      </c>
      <c r="F9706" s="2" t="str">
        <f>IF(Table2[[#This Row],[Manual Cat Value]]="",VLOOKUP(Table2[[#This Row],[Description]],'Actuals Lookup'!D:F,3,0),Table2[[#This Row],[Manual Cat Value]])</f>
        <v>Groceries</v>
      </c>
      <c r="G9706" t="s">
        <v>28</v>
      </c>
      <c r="I9706" s="8"/>
      <c r="O9706" t="str">
        <f>LEFT(Table2[[#This Row],[Description]],75)</f>
        <v>Lunds &amp; Byerlys</v>
      </c>
    </row>
    <row r="9707" spans="1:15" hidden="1">
      <c r="A9707">
        <v>202307</v>
      </c>
      <c r="B9707" s="6">
        <v>45131</v>
      </c>
      <c r="C9707" t="s">
        <v>4006</v>
      </c>
      <c r="D9707" t="s">
        <v>1925</v>
      </c>
      <c r="E9707">
        <v>147.13999999999999</v>
      </c>
      <c r="F9707" s="2" t="str">
        <f>IF(Table2[[#This Row],[Manual Cat Value]]="",VLOOKUP(Table2[[#This Row],[Description]],'Actuals Lookup'!D:F,3,0),Table2[[#This Row],[Manual Cat Value]])</f>
        <v>Groceries</v>
      </c>
      <c r="G9707" t="s">
        <v>28</v>
      </c>
      <c r="I9707" s="8"/>
      <c r="O9707" t="str">
        <f>LEFT(Table2[[#This Row],[Description]],75)</f>
        <v>Total Wine &amp; More</v>
      </c>
    </row>
    <row r="9708" spans="1:15" hidden="1">
      <c r="A9708">
        <v>202307</v>
      </c>
      <c r="B9708" s="6">
        <v>45131</v>
      </c>
      <c r="C9708" t="s">
        <v>2916</v>
      </c>
      <c r="D9708" t="s">
        <v>1955</v>
      </c>
      <c r="E9708">
        <v>177</v>
      </c>
      <c r="F9708" s="2" t="str">
        <f>IF(Table2[[#This Row],[Manual Cat Value]]="",VLOOKUP(Table2[[#This Row],[Description]],'Actuals Lookup'!D:F,3,0),Table2[[#This Row],[Manual Cat Value]])</f>
        <v>Exp - Shopping</v>
      </c>
      <c r="H9708" s="8" t="s">
        <v>36</v>
      </c>
      <c r="I9708" s="8"/>
      <c r="O9708" t="str">
        <f>LEFT(Table2[[#This Row],[Description]],75)</f>
        <v>Transfer to PayPal</v>
      </c>
    </row>
    <row r="9709" spans="1:15" hidden="1">
      <c r="A9709">
        <v>202307</v>
      </c>
      <c r="B9709" s="6">
        <v>45131</v>
      </c>
      <c r="C9709" t="s">
        <v>2916</v>
      </c>
      <c r="D9709" t="s">
        <v>1958</v>
      </c>
      <c r="E9709">
        <v>100</v>
      </c>
      <c r="F9709" s="2" t="str">
        <f>IF(Table2[[#This Row],[Manual Cat Value]]="",VLOOKUP(Table2[[#This Row],[Description]],'Actuals Lookup'!D:F,3,0),Table2[[#This Row],[Manual Cat Value]])</f>
        <v>Exp - Shopping</v>
      </c>
      <c r="H9709" s="8" t="s">
        <v>36</v>
      </c>
      <c r="I9709" s="8"/>
      <c r="O9709" t="str">
        <f>LEFT(Table2[[#This Row],[Description]],75)</f>
        <v>Transfer to Venmo</v>
      </c>
    </row>
    <row r="9710" spans="1:15" hidden="1">
      <c r="A9710">
        <v>202307</v>
      </c>
      <c r="B9710" s="6">
        <v>45131</v>
      </c>
      <c r="C9710" t="s">
        <v>2916</v>
      </c>
      <c r="D9710" t="s">
        <v>1464</v>
      </c>
      <c r="E9710">
        <v>384.46</v>
      </c>
      <c r="F9710" s="2" t="str">
        <f>IF(Table2[[#This Row],[Manual Cat Value]]="",VLOOKUP(Table2[[#This Row],[Description]],'Actuals Lookup'!D:F,3,0),Table2[[#This Row],[Manual Cat Value]])</f>
        <v>Delete</v>
      </c>
      <c r="H9710" s="8" t="s">
        <v>9</v>
      </c>
      <c r="I9710" s="8"/>
      <c r="O9710" t="str">
        <f>LEFT(Table2[[#This Row],[Description]],75)</f>
        <v>Payment to Discover Bank</v>
      </c>
    </row>
    <row r="9711" spans="1:15" hidden="1">
      <c r="A9711">
        <v>202307</v>
      </c>
      <c r="B9711" s="6">
        <v>45132</v>
      </c>
      <c r="C9711" t="s">
        <v>3932</v>
      </c>
      <c r="D9711" t="s">
        <v>113</v>
      </c>
      <c r="E9711">
        <v>-118.62</v>
      </c>
      <c r="F9711" s="2" t="str">
        <f>IF(Table2[[#This Row],[Manual Cat Value]]="",VLOOKUP(Table2[[#This Row],[Description]],'Actuals Lookup'!D:F,3,0),Table2[[#This Row],[Manual Cat Value]])</f>
        <v>Amazon</v>
      </c>
      <c r="G9711" t="s">
        <v>41</v>
      </c>
      <c r="I9711" s="8"/>
      <c r="O9711" t="str">
        <f>LEFT(Table2[[#This Row],[Description]],75)</f>
        <v>Amazon Marketplace</v>
      </c>
    </row>
    <row r="9712" spans="1:15" hidden="1">
      <c r="A9712">
        <v>202307</v>
      </c>
      <c r="B9712" s="6">
        <v>45132</v>
      </c>
      <c r="C9712" t="s">
        <v>4371</v>
      </c>
      <c r="D9712" t="s">
        <v>4682</v>
      </c>
      <c r="E9712">
        <v>32.619999999999997</v>
      </c>
      <c r="F9712" s="2" t="str">
        <f>IF(Table2[[#This Row],[Manual Cat Value]]="",VLOOKUP(Table2[[#This Row],[Description]],'Actuals Lookup'!D:F,3,0),Table2[[#This Row],[Manual Cat Value]])</f>
        <v>Exp - Groceries</v>
      </c>
      <c r="H9712" s="8" t="s">
        <v>27</v>
      </c>
      <c r="I9712" s="8"/>
      <c r="O9712" t="str">
        <f>LEFT(Table2[[#This Row],[Description]],75)</f>
        <v>KOWALSKI'S MARKET        EDEN PRAIRIE MN REF #24427336DLM7RFYJ6</v>
      </c>
    </row>
    <row r="9713" spans="1:15" hidden="1">
      <c r="A9713">
        <v>202307</v>
      </c>
      <c r="B9713" s="6">
        <v>45132</v>
      </c>
      <c r="C9713" t="s">
        <v>4375</v>
      </c>
      <c r="D9713" t="s">
        <v>4683</v>
      </c>
      <c r="E9713">
        <v>17.010000000000002</v>
      </c>
      <c r="F9713" s="2" t="str">
        <f>IF(Table2[[#This Row],[Manual Cat Value]]="",VLOOKUP(Table2[[#This Row],[Description]],'Actuals Lookup'!D:F,3,0),Table2[[#This Row],[Manual Cat Value]])</f>
        <v>Exp - Shopping</v>
      </c>
      <c r="H9713" s="8" t="s">
        <v>36</v>
      </c>
      <c r="I9713" s="8"/>
      <c r="O9713" t="str">
        <f>LEFT(Table2[[#This Row],[Description]],75)</f>
        <v>SHOREWOOD TRUE VALUE     EXCELSIOR    MN REF #24801976EBMD9KZHJ</v>
      </c>
    </row>
    <row r="9714" spans="1:15" hidden="1">
      <c r="A9714">
        <v>202307</v>
      </c>
      <c r="B9714" s="6">
        <v>45132</v>
      </c>
      <c r="C9714" t="s">
        <v>4006</v>
      </c>
      <c r="D9714" t="s">
        <v>1929</v>
      </c>
      <c r="E9714">
        <v>84.02</v>
      </c>
      <c r="F9714" s="2" t="str">
        <f>IF(Table2[[#This Row],[Manual Cat Value]]="",VLOOKUP(Table2[[#This Row],[Description]],'Actuals Lookup'!D:F,3,0),Table2[[#This Row],[Manual Cat Value]])</f>
        <v>Transportation</v>
      </c>
      <c r="G9714" t="s">
        <v>23</v>
      </c>
      <c r="I9714" s="8"/>
      <c r="O9714" t="str">
        <f>LEFT(Table2[[#This Row],[Description]],75)</f>
        <v>Toyota</v>
      </c>
    </row>
    <row r="9715" spans="1:15" hidden="1">
      <c r="A9715">
        <v>202307</v>
      </c>
      <c r="B9715" s="6">
        <v>45132</v>
      </c>
      <c r="C9715" t="s">
        <v>2916</v>
      </c>
      <c r="D9715" t="s">
        <v>4404</v>
      </c>
      <c r="E9715">
        <v>500</v>
      </c>
      <c r="F9715" s="2" t="str">
        <f>IF(Table2[[#This Row],[Manual Cat Value]]="",VLOOKUP(Table2[[#This Row],[Description]],'Actuals Lookup'!D:F,3,0),Table2[[#This Row],[Manual Cat Value]])</f>
        <v>Sav - Savings</v>
      </c>
      <c r="H9715" s="8" t="s">
        <v>58</v>
      </c>
      <c r="I9715" s="8"/>
      <c r="O9715" t="str">
        <f>LEFT(Table2[[#This Row],[Description]],75)</f>
        <v>Transfer to Discover Bank</v>
      </c>
    </row>
    <row r="9716" spans="1:15" hidden="1">
      <c r="A9716">
        <v>202307</v>
      </c>
      <c r="B9716" s="6">
        <v>45132</v>
      </c>
      <c r="C9716" t="s">
        <v>4006</v>
      </c>
      <c r="D9716" t="s">
        <v>4684</v>
      </c>
      <c r="E9716">
        <v>-70</v>
      </c>
      <c r="F9716" s="2" t="str">
        <f>IF(Table2[[#This Row],[Manual Cat Value]]="",VLOOKUP(Table2[[#This Row],[Description]],'Actuals Lookup'!D:F,3,0),Table2[[#This Row],[Manual Cat Value]])</f>
        <v>Inc - Other</v>
      </c>
      <c r="G9716" t="s">
        <v>9</v>
      </c>
      <c r="H9716" s="8" t="s">
        <v>16</v>
      </c>
      <c r="I9716" s="8"/>
      <c r="O9716" t="str">
        <f>LEFT(Table2[[#This Row],[Description]],75)</f>
        <v>Tsa Global Entry Fee Credit</v>
      </c>
    </row>
    <row r="9717" spans="1:15" hidden="1">
      <c r="A9717">
        <v>202307</v>
      </c>
      <c r="B9717" s="6">
        <v>45132</v>
      </c>
      <c r="C9717" t="s">
        <v>4370</v>
      </c>
      <c r="D9717" t="s">
        <v>4685</v>
      </c>
      <c r="E9717">
        <v>16.96</v>
      </c>
      <c r="F9717" s="2" t="str">
        <f>IF(Table2[[#This Row],[Manual Cat Value]]="",VLOOKUP(Table2[[#This Row],[Description]],'Actuals Lookup'!D:F,3,0),Table2[[#This Row],[Manual Cat Value]])</f>
        <v>Exp - Transportation</v>
      </c>
      <c r="H9717" s="8" t="s">
        <v>22</v>
      </c>
      <c r="I9717" s="8"/>
      <c r="O9717" t="str">
        <f>LEFT(Table2[[#This Row],[Description]],75)</f>
        <v>UBER   TRIP              HELP.UBER.COMCA REF #24492156DLY1N0EGB</v>
      </c>
    </row>
    <row r="9718" spans="1:15" hidden="1">
      <c r="A9718">
        <v>202307</v>
      </c>
      <c r="B9718" s="6">
        <v>45132</v>
      </c>
      <c r="C9718" t="s">
        <v>2916</v>
      </c>
      <c r="D9718" t="s">
        <v>4686</v>
      </c>
      <c r="E9718">
        <v>530</v>
      </c>
      <c r="F9718" s="2" t="str">
        <f>IF(Table2[[#This Row],[Manual Cat Value]]="",VLOOKUP(Table2[[#This Row],[Description]],'Actuals Lookup'!D:F,3,0),Table2[[#This Row],[Manual Cat Value]])</f>
        <v>Exp - Day Care</v>
      </c>
      <c r="H9718" s="8" t="s">
        <v>19</v>
      </c>
      <c r="I9718" s="8"/>
      <c r="O9718" t="str">
        <f>LEFT(Table2[[#This Row],[Description]],75)</f>
        <v>Withdrawal ACH MHCHILDCARELLC TYPE: DUES ID: XX8198 CO: MHCHILDCARELLC Entr</v>
      </c>
    </row>
    <row r="9719" spans="1:15" hidden="1">
      <c r="A9719">
        <v>202307</v>
      </c>
      <c r="B9719" s="6">
        <v>45132</v>
      </c>
      <c r="C9719" t="s">
        <v>2916</v>
      </c>
      <c r="D9719" t="s">
        <v>4415</v>
      </c>
      <c r="E9719">
        <v>665.76</v>
      </c>
      <c r="F9719" s="2" t="str">
        <f>IF(Table2[[#This Row],[Manual Cat Value]]="",VLOOKUP(Table2[[#This Row],[Description]],'Actuals Lookup'!D:F,3,0),Table2[[#This Row],[Manual Cat Value]])</f>
        <v>Delete</v>
      </c>
      <c r="H9719" s="8" t="s">
        <v>9</v>
      </c>
      <c r="I9719" s="8"/>
      <c r="O9719" t="str">
        <f>LEFT(Table2[[#This Row],[Description]],75)</f>
        <v>Payment to Jeffrey B</v>
      </c>
    </row>
    <row r="9720" spans="1:15" hidden="1">
      <c r="A9720">
        <v>202307</v>
      </c>
      <c r="B9720" s="6">
        <v>45133</v>
      </c>
      <c r="C9720" t="s">
        <v>3932</v>
      </c>
      <c r="D9720" t="s">
        <v>38</v>
      </c>
      <c r="E9720">
        <v>32.15</v>
      </c>
      <c r="F9720" s="2" t="str">
        <f>IF(Table2[[#This Row],[Manual Cat Value]]="",VLOOKUP(Table2[[#This Row],[Description]],'Actuals Lookup'!D:F,3,0),Table2[[#This Row],[Manual Cat Value]])</f>
        <v>Amazon</v>
      </c>
      <c r="G9720" t="s">
        <v>38</v>
      </c>
      <c r="I9720" s="8"/>
      <c r="O9720" t="str">
        <f>LEFT(Table2[[#This Row],[Description]],75)</f>
        <v>Amazon</v>
      </c>
    </row>
    <row r="9721" spans="1:15" hidden="1">
      <c r="A9721">
        <v>202307</v>
      </c>
      <c r="B9721" s="6">
        <v>45133</v>
      </c>
      <c r="C9721" t="s">
        <v>2712</v>
      </c>
      <c r="D9721" t="s">
        <v>4687</v>
      </c>
      <c r="E9721">
        <v>23.99</v>
      </c>
      <c r="F9721" s="2" t="str">
        <f>IF(Table2[[#This Row],[Manual Cat Value]]="",VLOOKUP(Table2[[#This Row],[Description]],'Actuals Lookup'!D:F,3,0),Table2[[#This Row],[Manual Cat Value]])</f>
        <v>Exp - Amazon</v>
      </c>
      <c r="H9721" s="8" t="s">
        <v>37</v>
      </c>
      <c r="I9721" s="8"/>
      <c r="O9721" t="str">
        <f>LEFT(Table2[[#This Row],[Description]],75)</f>
        <v>AMZN Mktp US*8948X1PZ3   Amzn.com/billWA REF #24692166E36QAX18T</v>
      </c>
    </row>
    <row r="9722" spans="1:15" hidden="1">
      <c r="A9722">
        <v>202307</v>
      </c>
      <c r="B9722" s="6">
        <v>45133</v>
      </c>
      <c r="C9722" t="s">
        <v>4382</v>
      </c>
      <c r="D9722" t="s">
        <v>4688</v>
      </c>
      <c r="E9722">
        <v>544.63</v>
      </c>
      <c r="F9722" s="2" t="str">
        <f>IF(Table2[[#This Row],[Manual Cat Value]]="",VLOOKUP(Table2[[#This Row],[Description]],'Actuals Lookup'!D:F,3,0),Table2[[#This Row],[Manual Cat Value]])</f>
        <v>Exp - Groceries</v>
      </c>
      <c r="H9722" s="8" t="s">
        <v>27</v>
      </c>
      <c r="I9722" s="8"/>
      <c r="O9722" t="str">
        <f>LEFT(Table2[[#This Row],[Description]],75)</f>
        <v>COSTCO WHSE #0377        SAINT LOUIS PMN REF #24943006FS4AFK60M</v>
      </c>
    </row>
    <row r="9723" spans="1:15" hidden="1">
      <c r="A9723">
        <v>202307</v>
      </c>
      <c r="B9723" s="6">
        <v>45133</v>
      </c>
      <c r="C9723" t="s">
        <v>4381</v>
      </c>
      <c r="D9723" t="s">
        <v>4689</v>
      </c>
      <c r="E9723">
        <v>39.03</v>
      </c>
      <c r="F9723" s="2" t="str">
        <f>IF(Table2[[#This Row],[Manual Cat Value]]="",VLOOKUP(Table2[[#This Row],[Description]],'Actuals Lookup'!D:F,3,0),Table2[[#This Row],[Manual Cat Value]])</f>
        <v>Exp - Groceries</v>
      </c>
      <c r="H9723" s="8" t="s">
        <v>27</v>
      </c>
      <c r="I9723" s="8"/>
      <c r="O9723" t="str">
        <f>LEFT(Table2[[#This Row],[Description]],75)</f>
        <v>COSTCO WHSE #0377        SAINT LOUIS PMN REF #24943006FS4AGGT18</v>
      </c>
    </row>
    <row r="9724" spans="1:15" hidden="1">
      <c r="A9724">
        <v>202307</v>
      </c>
      <c r="B9724" s="6">
        <v>45133</v>
      </c>
      <c r="C9724" t="s">
        <v>4380</v>
      </c>
      <c r="D9724" t="s">
        <v>4690</v>
      </c>
      <c r="E9724">
        <v>57.5</v>
      </c>
      <c r="F9724" s="2" t="str">
        <f>IF(Table2[[#This Row],[Manual Cat Value]]="",VLOOKUP(Table2[[#This Row],[Description]],'Actuals Lookup'!D:F,3,0),Table2[[#This Row],[Manual Cat Value]])</f>
        <v>Exp - Transportation</v>
      </c>
      <c r="H9724" s="8" t="s">
        <v>22</v>
      </c>
      <c r="I9724" s="8"/>
      <c r="O9724" t="str">
        <f>LEFT(Table2[[#This Row],[Description]],75)</f>
        <v>HOLIDAY STATIONS 0012    SHOREWOOD    MN REF #24941666ERQEBQ5QV</v>
      </c>
    </row>
    <row r="9725" spans="1:15" hidden="1">
      <c r="A9725">
        <v>202307</v>
      </c>
      <c r="B9725" s="6">
        <v>45133</v>
      </c>
      <c r="C9725" t="s">
        <v>2916</v>
      </c>
      <c r="D9725" t="s">
        <v>1958</v>
      </c>
      <c r="E9725">
        <v>125</v>
      </c>
      <c r="F9725" s="2" t="str">
        <f>IF(Table2[[#This Row],[Manual Cat Value]]="",VLOOKUP(Table2[[#This Row],[Description]],'Actuals Lookup'!D:F,3,0),Table2[[#This Row],[Manual Cat Value]])</f>
        <v>Exp - Shopping</v>
      </c>
      <c r="H9725" s="8" t="s">
        <v>36</v>
      </c>
      <c r="I9725" s="8"/>
      <c r="O9725" t="str">
        <f>LEFT(Table2[[#This Row],[Description]],75)</f>
        <v>Transfer to Venmo</v>
      </c>
    </row>
    <row r="9726" spans="1:15" hidden="1">
      <c r="A9726">
        <v>202307</v>
      </c>
      <c r="B9726" s="6">
        <v>45133</v>
      </c>
      <c r="C9726" t="s">
        <v>2916</v>
      </c>
      <c r="D9726" t="s">
        <v>1958</v>
      </c>
      <c r="E9726">
        <v>125</v>
      </c>
      <c r="F9726" s="2" t="str">
        <f>IF(Table2[[#This Row],[Manual Cat Value]]="",VLOOKUP(Table2[[#This Row],[Description]],'Actuals Lookup'!D:F,3,0),Table2[[#This Row],[Manual Cat Value]])</f>
        <v>Exp - Shopping</v>
      </c>
      <c r="H9726" s="8" t="s">
        <v>36</v>
      </c>
      <c r="I9726" s="8"/>
      <c r="O9726" t="str">
        <f>LEFT(Table2[[#This Row],[Description]],75)</f>
        <v>Transfer to Venmo</v>
      </c>
    </row>
    <row r="9727" spans="1:15" hidden="1">
      <c r="A9727">
        <v>202307</v>
      </c>
      <c r="B9727" s="6">
        <v>45134</v>
      </c>
      <c r="C9727" t="s">
        <v>4403</v>
      </c>
      <c r="D9727" t="s">
        <v>4691</v>
      </c>
      <c r="E9727">
        <v>58.98</v>
      </c>
      <c r="F9727" s="2" t="str">
        <f>IF(Table2[[#This Row],[Manual Cat Value]]="",VLOOKUP(Table2[[#This Row],[Description]],'Actuals Lookup'!D:F,3,0),Table2[[#This Row],[Manual Cat Value]])</f>
        <v>Exp - Amazon</v>
      </c>
      <c r="H9727" s="8" t="s">
        <v>37</v>
      </c>
      <c r="I9727" s="8"/>
      <c r="O9727" t="str">
        <f>LEFT(Table2[[#This Row],[Description]],75)</f>
        <v>AMZN Mktp US*T62F67D40   Amzn.com/billWA REF #24692166F2XJ40JGE</v>
      </c>
    </row>
    <row r="9728" spans="1:15" hidden="1">
      <c r="A9728">
        <v>202307</v>
      </c>
      <c r="B9728" s="6">
        <v>45134</v>
      </c>
      <c r="C9728" t="s">
        <v>4405</v>
      </c>
      <c r="D9728" t="s">
        <v>4692</v>
      </c>
      <c r="E9728">
        <v>26.81</v>
      </c>
      <c r="F9728" s="2" t="str">
        <f>IF(Table2[[#This Row],[Manual Cat Value]]="",VLOOKUP(Table2[[#This Row],[Description]],'Actuals Lookup'!D:F,3,0),Table2[[#This Row],[Manual Cat Value]])</f>
        <v>Exp - Amazon</v>
      </c>
      <c r="H9728" s="8" t="s">
        <v>37</v>
      </c>
      <c r="I9728" s="8"/>
      <c r="O9728" t="str">
        <f>LEFT(Table2[[#This Row],[Description]],75)</f>
        <v>AMZN Mktp US*T664Q42R0   Amzn.com/billWA REF #24692166F2XY7F7T0</v>
      </c>
    </row>
    <row r="9729" spans="1:15" hidden="1">
      <c r="A9729">
        <v>202307</v>
      </c>
      <c r="B9729" s="6">
        <v>45134</v>
      </c>
      <c r="C9729" t="s">
        <v>2916</v>
      </c>
      <c r="D9729" t="s">
        <v>404</v>
      </c>
      <c r="E9729">
        <v>-60362.77</v>
      </c>
      <c r="F9729" s="2" t="str">
        <f>IF(Table2[[#This Row],[Manual Cat Value]]="",VLOOKUP(Table2[[#This Row],[Description]],'Actuals Lookup'!D:F,3,0),Table2[[#This Row],[Manual Cat Value]])</f>
        <v>Inc - Britney</v>
      </c>
      <c r="H9729" s="8" t="s">
        <v>65</v>
      </c>
      <c r="I9729" s="8"/>
      <c r="O9729" t="str">
        <f>LEFT(Table2[[#This Row],[Description]],75)</f>
        <v>Cargill Inc Deposit</v>
      </c>
    </row>
    <row r="9730" spans="1:15" hidden="1">
      <c r="A9730">
        <v>202307</v>
      </c>
      <c r="B9730" s="6">
        <v>45134</v>
      </c>
      <c r="C9730" t="s">
        <v>4400</v>
      </c>
      <c r="D9730" t="s">
        <v>4693</v>
      </c>
      <c r="E9730">
        <v>24.35</v>
      </c>
      <c r="F9730" s="2" t="str">
        <f>IF(Table2[[#This Row],[Manual Cat Value]]="",VLOOKUP(Table2[[#This Row],[Description]],'Actuals Lookup'!D:F,3,0),Table2[[#This Row],[Manual Cat Value]])</f>
        <v>Exp - Groceries</v>
      </c>
      <c r="H9730" s="8" t="s">
        <v>27</v>
      </c>
      <c r="I9730" s="8"/>
      <c r="O9730" t="str">
        <f>LEFT(Table2[[#This Row],[Description]],75)</f>
        <v>LUNDS&amp;BYERLYS CHANH      CHANHASSEN   MN REF #24427336FMHE012M1</v>
      </c>
    </row>
    <row r="9731" spans="1:15" hidden="1">
      <c r="A9731">
        <v>202307</v>
      </c>
      <c r="B9731" s="6">
        <v>45134</v>
      </c>
      <c r="C9731" t="s">
        <v>3199</v>
      </c>
      <c r="D9731" t="s">
        <v>4694</v>
      </c>
      <c r="E9731">
        <v>10.74</v>
      </c>
      <c r="F9731" s="2" t="str">
        <f>IF(Table2[[#This Row],[Manual Cat Value]]="",VLOOKUP(Table2[[#This Row],[Description]],'Actuals Lookup'!D:F,3,0),Table2[[#This Row],[Manual Cat Value]])</f>
        <v>Exp - Day Care</v>
      </c>
      <c r="H9731" s="8" t="s">
        <v>19</v>
      </c>
      <c r="I9731" s="8"/>
      <c r="O9731" t="str">
        <f>LEFT(Table2[[#This Row],[Description]],75)</f>
        <v>MCW 1602-MINNETONKA      952-3778113  MN REF #24071056FVAMQPWL8</v>
      </c>
    </row>
    <row r="9732" spans="1:15" hidden="1">
      <c r="A9732">
        <v>202307</v>
      </c>
      <c r="B9732" s="6">
        <v>45134</v>
      </c>
      <c r="C9732" t="s">
        <v>2916</v>
      </c>
      <c r="D9732" t="s">
        <v>1958</v>
      </c>
      <c r="E9732">
        <v>40.28</v>
      </c>
      <c r="F9732" s="2" t="str">
        <f>IF(Table2[[#This Row],[Manual Cat Value]]="",VLOOKUP(Table2[[#This Row],[Description]],'Actuals Lookup'!D:F,3,0),Table2[[#This Row],[Manual Cat Value]])</f>
        <v>Exp - Shopping</v>
      </c>
      <c r="H9732" s="8" t="s">
        <v>36</v>
      </c>
      <c r="I9732" s="8"/>
      <c r="O9732" t="str">
        <f>LEFT(Table2[[#This Row],[Description]],75)</f>
        <v>Transfer to Venmo</v>
      </c>
    </row>
    <row r="9733" spans="1:15" hidden="1">
      <c r="A9733">
        <v>202307</v>
      </c>
      <c r="B9733" s="6">
        <v>45134</v>
      </c>
      <c r="C9733" t="s">
        <v>4006</v>
      </c>
      <c r="D9733" t="s">
        <v>4695</v>
      </c>
      <c r="E9733">
        <v>100</v>
      </c>
      <c r="F9733" s="2" t="str">
        <f>IF(Table2[[#This Row],[Manual Cat Value]]="",VLOOKUP(Table2[[#This Row],[Description]],'Actuals Lookup'!D:F,3,0),Table2[[#This Row],[Manual Cat Value]])</f>
        <v>Travel</v>
      </c>
      <c r="G9733" t="s">
        <v>43</v>
      </c>
      <c r="I9733" s="8"/>
      <c r="O9733" t="str">
        <f>LEFT(Table2[[#This Row],[Description]],75)</f>
        <v>Us Customs And Border Protection</v>
      </c>
    </row>
    <row r="9734" spans="1:15" hidden="1">
      <c r="A9734">
        <v>202307</v>
      </c>
      <c r="B9734" s="6">
        <v>45135</v>
      </c>
      <c r="C9734" t="s">
        <v>4412</v>
      </c>
      <c r="D9734" t="s">
        <v>4696</v>
      </c>
      <c r="E9734">
        <v>-45.93</v>
      </c>
      <c r="F9734" s="2" t="str">
        <f>IF(Table2[[#This Row],[Manual Cat Value]]="",VLOOKUP(Table2[[#This Row],[Description]],'Actuals Lookup'!D:F,3,0),Table2[[#This Row],[Manual Cat Value]])</f>
        <v>Exp - Amazon</v>
      </c>
      <c r="H9734" s="8" t="s">
        <v>37</v>
      </c>
      <c r="I9734" s="8"/>
      <c r="O9734" t="str">
        <f>LEFT(Table2[[#This Row],[Description]],75)</f>
        <v>AMAZON.COM AMZN.COM/BILL AMZN.COM/BILLWA REF #74431066G2D9K50WA</v>
      </c>
    </row>
    <row r="9735" spans="1:15" hidden="1">
      <c r="A9735">
        <v>202307</v>
      </c>
      <c r="B9735" s="6">
        <v>45135</v>
      </c>
      <c r="C9735" t="s">
        <v>4420</v>
      </c>
      <c r="D9735" t="s">
        <v>4697</v>
      </c>
      <c r="E9735">
        <v>-33.979999999999997</v>
      </c>
      <c r="F9735" s="2" t="str">
        <f>IF(Table2[[#This Row],[Manual Cat Value]]="",VLOOKUP(Table2[[#This Row],[Description]],'Actuals Lookup'!D:F,3,0),Table2[[#This Row],[Manual Cat Value]])</f>
        <v>Exp - Amazon</v>
      </c>
      <c r="H9735" s="8" t="s">
        <v>37</v>
      </c>
      <c r="I9735" s="8"/>
      <c r="O9735" t="str">
        <f>LEFT(Table2[[#This Row],[Description]],75)</f>
        <v>AMZN Mktp US             Amzn.com/billWA REF #74692166G2YN5RWWD</v>
      </c>
    </row>
    <row r="9736" spans="1:15" hidden="1">
      <c r="A9736">
        <v>202307</v>
      </c>
      <c r="B9736" s="6">
        <v>45135</v>
      </c>
      <c r="C9736" t="s">
        <v>4026</v>
      </c>
      <c r="D9736" t="s">
        <v>4698</v>
      </c>
      <c r="E9736">
        <v>-28</v>
      </c>
      <c r="F9736" s="2" t="str">
        <f>IF(Table2[[#This Row],[Manual Cat Value]]="",VLOOKUP(Table2[[#This Row],[Description]],'Actuals Lookup'!D:F,3,0),Table2[[#This Row],[Manual Cat Value]])</f>
        <v>Exp - Amazon</v>
      </c>
      <c r="H9736" s="8" t="s">
        <v>37</v>
      </c>
      <c r="I9736" s="8"/>
      <c r="O9736" t="str">
        <f>LEFT(Table2[[#This Row],[Description]],75)</f>
        <v>AMZN Mktp US             Amzn.com/billWA REF #74692166G2YNWX1JX</v>
      </c>
    </row>
    <row r="9737" spans="1:15" hidden="1">
      <c r="A9737">
        <v>202307</v>
      </c>
      <c r="B9737" s="6">
        <v>45135</v>
      </c>
      <c r="C9737" t="s">
        <v>4036</v>
      </c>
      <c r="D9737" t="s">
        <v>4699</v>
      </c>
      <c r="E9737">
        <v>-16.91</v>
      </c>
      <c r="F9737" s="2" t="str">
        <f>IF(Table2[[#This Row],[Manual Cat Value]]="",VLOOKUP(Table2[[#This Row],[Description]],'Actuals Lookup'!D:F,3,0),Table2[[#This Row],[Manual Cat Value]])</f>
        <v>Exp - Amazon</v>
      </c>
      <c r="H9737" s="8" t="s">
        <v>37</v>
      </c>
      <c r="I9737" s="8"/>
      <c r="O9737" t="str">
        <f>LEFT(Table2[[#This Row],[Description]],75)</f>
        <v>AMZN Mktp US             Amzn.com/billWA REF #74692166G2YRWFBNS</v>
      </c>
    </row>
    <row r="9738" spans="1:15" hidden="1">
      <c r="A9738">
        <v>202307</v>
      </c>
      <c r="B9738" s="6">
        <v>45135</v>
      </c>
      <c r="C9738" t="s">
        <v>4408</v>
      </c>
      <c r="D9738" t="s">
        <v>4700</v>
      </c>
      <c r="E9738">
        <v>-29.99</v>
      </c>
      <c r="F9738" s="2" t="str">
        <f>IF(Table2[[#This Row],[Manual Cat Value]]="",VLOOKUP(Table2[[#This Row],[Description]],'Actuals Lookup'!D:F,3,0),Table2[[#This Row],[Manual Cat Value]])</f>
        <v>Exp - Amazon</v>
      </c>
      <c r="H9738" s="8" t="s">
        <v>37</v>
      </c>
      <c r="I9738" s="8"/>
      <c r="O9738" t="str">
        <f>LEFT(Table2[[#This Row],[Description]],75)</f>
        <v>AMZN MKTP US AMZN.COM/BILAMZN.COM/BILLWA REF #74431066G2D9NMK8A</v>
      </c>
    </row>
    <row r="9739" spans="1:15" hidden="1">
      <c r="A9739">
        <v>202307</v>
      </c>
      <c r="B9739" s="6">
        <v>45135</v>
      </c>
      <c r="C9739" t="s">
        <v>4414</v>
      </c>
      <c r="D9739" t="s">
        <v>4701</v>
      </c>
      <c r="E9739">
        <v>71.97</v>
      </c>
      <c r="F9739" s="2" t="str">
        <f>IF(Table2[[#This Row],[Manual Cat Value]]="",VLOOKUP(Table2[[#This Row],[Description]],'Actuals Lookup'!D:F,3,0),Table2[[#This Row],[Manual Cat Value]])</f>
        <v>Exp - Amazon</v>
      </c>
      <c r="H9739" s="8" t="s">
        <v>37</v>
      </c>
      <c r="I9739" s="8"/>
      <c r="O9739" t="str">
        <f>LEFT(Table2[[#This Row],[Description]],75)</f>
        <v>AMZN Mktp US*T60H26R20   Amzn.com/billWA REF #24692166H2YV1VEJ0</v>
      </c>
    </row>
    <row r="9740" spans="1:15" hidden="1">
      <c r="A9740">
        <v>202307</v>
      </c>
      <c r="B9740" s="6">
        <v>45135</v>
      </c>
      <c r="C9740" t="s">
        <v>4413</v>
      </c>
      <c r="D9740" t="s">
        <v>4702</v>
      </c>
      <c r="E9740">
        <v>28.96</v>
      </c>
      <c r="F9740" s="2" t="str">
        <f>IF(Table2[[#This Row],[Manual Cat Value]]="",VLOOKUP(Table2[[#This Row],[Description]],'Actuals Lookup'!D:F,3,0),Table2[[#This Row],[Manual Cat Value]])</f>
        <v>Exp - Amazon</v>
      </c>
      <c r="H9740" s="8" t="s">
        <v>37</v>
      </c>
      <c r="I9740" s="8"/>
      <c r="O9740" t="str">
        <f>LEFT(Table2[[#This Row],[Description]],75)</f>
        <v>AMZN Mktp US*T66DN7DX1   Amzn.com/billWA REF #24692166G2YB5QR2Z</v>
      </c>
    </row>
    <row r="9741" spans="1:15" hidden="1">
      <c r="A9741">
        <v>202307</v>
      </c>
      <c r="B9741" s="6">
        <v>45135</v>
      </c>
      <c r="C9741" t="s">
        <v>4406</v>
      </c>
      <c r="D9741" t="s">
        <v>4703</v>
      </c>
      <c r="E9741">
        <v>14.02</v>
      </c>
      <c r="F9741" s="2" t="str">
        <f>IF(Table2[[#This Row],[Manual Cat Value]]="",VLOOKUP(Table2[[#This Row],[Description]],'Actuals Lookup'!D:F,3,0),Table2[[#This Row],[Manual Cat Value]])</f>
        <v>Exp - Groceries</v>
      </c>
      <c r="H9741" s="8" t="s">
        <v>27</v>
      </c>
      <c r="I9741" s="8"/>
      <c r="O9741" t="str">
        <f>LEFT(Table2[[#This Row],[Description]],75)</f>
        <v>KOWALSKI'S EXCELSIO      EAGAN        MN REF #24427336GLM8M52X5</v>
      </c>
    </row>
    <row r="9742" spans="1:15" hidden="1">
      <c r="A9742">
        <v>202307</v>
      </c>
      <c r="B9742" s="6">
        <v>45135</v>
      </c>
      <c r="C9742" t="s">
        <v>4006</v>
      </c>
      <c r="D9742" t="s">
        <v>4093</v>
      </c>
      <c r="E9742">
        <v>20.97</v>
      </c>
      <c r="F9742" s="2" t="str">
        <f>IF(Table2[[#This Row],[Manual Cat Value]]="",VLOOKUP(Table2[[#This Row],[Description]],'Actuals Lookup'!D:F,3,0),Table2[[#This Row],[Manual Cat Value]])</f>
        <v>Groceries</v>
      </c>
      <c r="G9742" t="s">
        <v>28</v>
      </c>
      <c r="I9742" s="8"/>
      <c r="O9742" t="str">
        <f>LEFT(Table2[[#This Row],[Description]],75)</f>
        <v>Kowalski's Market</v>
      </c>
    </row>
    <row r="9743" spans="1:15" hidden="1">
      <c r="A9743">
        <v>202307</v>
      </c>
      <c r="B9743" s="6">
        <v>45135</v>
      </c>
      <c r="C9743" t="s">
        <v>4006</v>
      </c>
      <c r="D9743" t="s">
        <v>4093</v>
      </c>
      <c r="E9743">
        <v>27.56</v>
      </c>
      <c r="F9743" s="2" t="str">
        <f>IF(Table2[[#This Row],[Manual Cat Value]]="",VLOOKUP(Table2[[#This Row],[Description]],'Actuals Lookup'!D:F,3,0),Table2[[#This Row],[Manual Cat Value]])</f>
        <v>Groceries</v>
      </c>
      <c r="G9743" t="s">
        <v>28</v>
      </c>
      <c r="I9743" s="8"/>
      <c r="O9743" t="str">
        <f>LEFT(Table2[[#This Row],[Description]],75)</f>
        <v>Kowalski's Market</v>
      </c>
    </row>
    <row r="9744" spans="1:15" hidden="1">
      <c r="A9744">
        <v>202307</v>
      </c>
      <c r="B9744" s="6">
        <v>45135</v>
      </c>
      <c r="C9744" t="s">
        <v>4006</v>
      </c>
      <c r="D9744" t="s">
        <v>1380</v>
      </c>
      <c r="E9744">
        <v>75.930000000000007</v>
      </c>
      <c r="F9744" s="2" t="str">
        <f>IF(Table2[[#This Row],[Manual Cat Value]]="",VLOOKUP(Table2[[#This Row],[Description]],'Actuals Lookup'!D:F,3,0),Table2[[#This Row],[Manual Cat Value]])</f>
        <v>Restaurants</v>
      </c>
      <c r="G9744" t="s">
        <v>26</v>
      </c>
      <c r="I9744" s="8"/>
      <c r="O9744" t="str">
        <f>LEFT(Table2[[#This Row],[Description]],75)</f>
        <v>Olives</v>
      </c>
    </row>
    <row r="9745" spans="1:15" hidden="1">
      <c r="A9745">
        <v>202307</v>
      </c>
      <c r="B9745" s="6">
        <v>45135</v>
      </c>
      <c r="C9745" t="s">
        <v>2916</v>
      </c>
      <c r="D9745" t="s">
        <v>1955</v>
      </c>
      <c r="E9745">
        <v>0.99</v>
      </c>
      <c r="F9745" s="2" t="str">
        <f>IF(Table2[[#This Row],[Manual Cat Value]]="",VLOOKUP(Table2[[#This Row],[Description]],'Actuals Lookup'!D:F,3,0),Table2[[#This Row],[Manual Cat Value]])</f>
        <v>Exp - Shopping</v>
      </c>
      <c r="H9745" s="8" t="s">
        <v>36</v>
      </c>
      <c r="I9745" s="8"/>
      <c r="O9745" t="str">
        <f>LEFT(Table2[[#This Row],[Description]],75)</f>
        <v>Transfer to PayPal</v>
      </c>
    </row>
    <row r="9746" spans="1:15" hidden="1">
      <c r="A9746">
        <v>202307</v>
      </c>
      <c r="B9746" s="6">
        <v>45135</v>
      </c>
      <c r="C9746" t="s">
        <v>2916</v>
      </c>
      <c r="D9746" t="s">
        <v>4293</v>
      </c>
      <c r="E9746">
        <v>1638.6</v>
      </c>
      <c r="F9746" s="2" t="str">
        <f>IF(Table2[[#This Row],[Manual Cat Value]]="",VLOOKUP(Table2[[#This Row],[Description]],'Actuals Lookup'!D:F,3,0),Table2[[#This Row],[Manual Cat Value]])</f>
        <v>Delete</v>
      </c>
      <c r="H9746" s="8" t="s">
        <v>9</v>
      </c>
      <c r="I9746" s="8"/>
      <c r="O9746" t="str">
        <f>LEFT(Table2[[#This Row],[Description]],75)</f>
        <v>Withdrawal Home Banking Pmt to card XX5913</v>
      </c>
    </row>
    <row r="9747" spans="1:15" hidden="1">
      <c r="A9747">
        <v>202307</v>
      </c>
      <c r="B9747" s="6">
        <v>45135</v>
      </c>
      <c r="C9747" t="s">
        <v>4429</v>
      </c>
      <c r="D9747" t="s">
        <v>4704</v>
      </c>
      <c r="E9747">
        <v>-1638.6</v>
      </c>
      <c r="F9747" s="2" t="str">
        <f>IF(Table2[[#This Row],[Manual Cat Value]]="",VLOOKUP(Table2[[#This Row],[Description]],'Actuals Lookup'!D:F,3,0),Table2[[#This Row],[Manual Cat Value]])</f>
        <v>Delete</v>
      </c>
      <c r="H9747" s="8" t="s">
        <v>9</v>
      </c>
      <c r="I9747" s="8"/>
      <c r="O9747" t="str">
        <f>LEFT(Table2[[#This Row],[Description]],75)</f>
        <v>PAYMENT - THANK YOU REF #74734576K00XTMJG7</v>
      </c>
    </row>
    <row r="9748" spans="1:15" hidden="1">
      <c r="A9748">
        <v>202307</v>
      </c>
      <c r="B9748" s="6">
        <v>45136</v>
      </c>
      <c r="C9748" t="s">
        <v>4006</v>
      </c>
      <c r="D9748" t="s">
        <v>4705</v>
      </c>
      <c r="E9748">
        <v>37.85</v>
      </c>
      <c r="F9748" s="2" t="str">
        <f>IF(Table2[[#This Row],[Manual Cat Value]]="",VLOOKUP(Table2[[#This Row],[Description]],'Actuals Lookup'!D:F,3,0),Table2[[#This Row],[Manual Cat Value]])</f>
        <v>Groceries</v>
      </c>
      <c r="G9748" t="s">
        <v>28</v>
      </c>
      <c r="I9748" s="8"/>
      <c r="O9748" t="str">
        <f>LEFT(Table2[[#This Row],[Description]],75)</f>
        <v>Casey's General Stores</v>
      </c>
    </row>
    <row r="9749" spans="1:15" hidden="1">
      <c r="A9749">
        <v>202307</v>
      </c>
      <c r="B9749" s="6">
        <v>45136</v>
      </c>
      <c r="C9749" t="s">
        <v>4006</v>
      </c>
      <c r="D9749" t="s">
        <v>703</v>
      </c>
      <c r="E9749">
        <v>1835.05</v>
      </c>
      <c r="F9749" s="2" t="str">
        <f>IF(Table2[[#This Row],[Manual Cat Value]]="",VLOOKUP(Table2[[#This Row],[Description]],'Actuals Lookup'!D:F,3,0),Table2[[#This Row],[Manual Cat Value]])</f>
        <v>Delete</v>
      </c>
      <c r="G9749" t="s">
        <v>67</v>
      </c>
      <c r="I9749" s="8" t="s">
        <v>4706</v>
      </c>
      <c r="O9749" t="str">
        <f>LEFT(Table2[[#This Row],[Description]],75)</f>
        <v>Delta Air Lines</v>
      </c>
    </row>
    <row r="9750" spans="1:15" hidden="1">
      <c r="A9750">
        <v>202307</v>
      </c>
      <c r="B9750" s="6">
        <v>45137</v>
      </c>
      <c r="C9750" t="s">
        <v>3932</v>
      </c>
      <c r="D9750" t="s">
        <v>38</v>
      </c>
      <c r="E9750">
        <v>18.239999999999998</v>
      </c>
      <c r="F9750" s="2" t="str">
        <f>IF(Table2[[#This Row],[Manual Cat Value]]="",VLOOKUP(Table2[[#This Row],[Description]],'Actuals Lookup'!D:F,3,0),Table2[[#This Row],[Manual Cat Value]])</f>
        <v>Amazon</v>
      </c>
      <c r="G9750" t="s">
        <v>41</v>
      </c>
      <c r="I9750" s="8"/>
      <c r="O9750" t="str">
        <f>LEFT(Table2[[#This Row],[Description]],75)</f>
        <v>Amazon</v>
      </c>
    </row>
    <row r="9751" spans="1:15" hidden="1">
      <c r="A9751">
        <v>202307</v>
      </c>
      <c r="B9751" s="6">
        <v>45137</v>
      </c>
      <c r="C9751" t="s">
        <v>4059</v>
      </c>
      <c r="D9751" t="s">
        <v>4707</v>
      </c>
      <c r="E9751">
        <v>7.18</v>
      </c>
      <c r="F9751" s="2" t="str">
        <f>IF(Table2[[#This Row],[Manual Cat Value]]="",VLOOKUP(Table2[[#This Row],[Description]],'Actuals Lookup'!D:F,3,0),Table2[[#This Row],[Manual Cat Value]])</f>
        <v>Exp - Amazon</v>
      </c>
      <c r="H9751" s="8" t="s">
        <v>37</v>
      </c>
      <c r="I9751" s="8"/>
      <c r="O9751" t="str">
        <f>LEFT(Table2[[#This Row],[Description]],75)</f>
        <v>AMZN Mktp US*TH0QH0480   Amzn.com/billWA REF #24692166H2ZK9VJ5M</v>
      </c>
    </row>
    <row r="9752" spans="1:15" hidden="1">
      <c r="A9752">
        <v>202307</v>
      </c>
      <c r="B9752" s="6">
        <v>45137</v>
      </c>
      <c r="C9752" t="s">
        <v>4006</v>
      </c>
      <c r="D9752" t="s">
        <v>318</v>
      </c>
      <c r="E9752">
        <v>46.75</v>
      </c>
      <c r="F9752" s="2" t="str">
        <f>IF(Table2[[#This Row],[Manual Cat Value]]="",VLOOKUP(Table2[[#This Row],[Description]],'Actuals Lookup'!D:F,3,0),Table2[[#This Row],[Manual Cat Value]])</f>
        <v>Restaurants</v>
      </c>
      <c r="G9752" t="s">
        <v>26</v>
      </c>
      <c r="I9752" s="8"/>
      <c r="O9752" t="str">
        <f>LEFT(Table2[[#This Row],[Description]],75)</f>
        <v>Brewery</v>
      </c>
    </row>
    <row r="9753" spans="1:15" hidden="1">
      <c r="A9753">
        <v>202307</v>
      </c>
      <c r="B9753" s="6">
        <v>45137</v>
      </c>
      <c r="C9753" t="s">
        <v>2519</v>
      </c>
      <c r="D9753" t="s">
        <v>4708</v>
      </c>
      <c r="E9753">
        <v>6.29</v>
      </c>
      <c r="F9753" s="2" t="str">
        <f>IF(Table2[[#This Row],[Manual Cat Value]]="",VLOOKUP(Table2[[#This Row],[Description]],'Actuals Lookup'!D:F,3,0),Table2[[#This Row],[Manual Cat Value]])</f>
        <v>Exp - Transportation</v>
      </c>
      <c r="H9753" s="8" t="s">
        <v>22</v>
      </c>
      <c r="I9753" s="8"/>
      <c r="O9753" t="str">
        <f>LEFT(Table2[[#This Row],[Description]],75)</f>
        <v>HOLIDAY STATIONS 0419    SAINT CROIX FWI REF #24941666JRQEB4V8M</v>
      </c>
    </row>
    <row r="9754" spans="1:15" hidden="1">
      <c r="A9754">
        <v>202307</v>
      </c>
      <c r="B9754" s="6">
        <v>45137</v>
      </c>
      <c r="C9754" t="s">
        <v>4044</v>
      </c>
      <c r="D9754" t="s">
        <v>4709</v>
      </c>
      <c r="E9754">
        <v>78</v>
      </c>
      <c r="F9754" s="2" t="str">
        <f>IF(Table2[[#This Row],[Manual Cat Value]]="",VLOOKUP(Table2[[#This Row],[Description]],'Actuals Lookup'!D:F,3,0),Table2[[#This Row],[Manual Cat Value]])</f>
        <v>Exp - Shopping</v>
      </c>
      <c r="H9754" s="8" t="s">
        <v>36</v>
      </c>
      <c r="I9754" s="8"/>
      <c r="O9754" t="str">
        <f>LEFT(Table2[[#This Row],[Description]],75)</f>
        <v>nuuly.com                844-446-8859 PA REF #24445006JHEWPXVW2</v>
      </c>
    </row>
    <row r="9755" spans="1:15" hidden="1">
      <c r="A9755">
        <v>202307</v>
      </c>
      <c r="B9755" s="6">
        <v>45137</v>
      </c>
      <c r="C9755" t="s">
        <v>2916</v>
      </c>
      <c r="D9755" t="s">
        <v>4343</v>
      </c>
      <c r="E9755">
        <v>-3342.8</v>
      </c>
      <c r="F9755" s="2" t="str">
        <f>IF(Table2[[#This Row],[Manual Cat Value]]="",VLOOKUP(Table2[[#This Row],[Description]],'Actuals Lookup'!D:F,3,0),Table2[[#This Row],[Manual Cat Value]])</f>
        <v>Inc - Jeff</v>
      </c>
      <c r="H9755" s="8" t="s">
        <v>63</v>
      </c>
      <c r="I9755" s="8"/>
      <c r="O9755" t="str">
        <f>LEFT(Table2[[#This Row],[Description]],75)</f>
        <v>Salary/Regular Income from TriNet</v>
      </c>
    </row>
    <row r="9756" spans="1:15" hidden="1">
      <c r="A9756">
        <v>202307</v>
      </c>
      <c r="B9756" s="6">
        <v>45137</v>
      </c>
      <c r="C9756" t="s">
        <v>4062</v>
      </c>
      <c r="D9756" t="s">
        <v>4710</v>
      </c>
      <c r="E9756">
        <v>10.73</v>
      </c>
      <c r="F9756" s="2" t="str">
        <f>IF(Table2[[#This Row],[Manual Cat Value]]="",VLOOKUP(Table2[[#This Row],[Description]],'Actuals Lookup'!D:F,3,0),Table2[[#This Row],[Manual Cat Value]])</f>
        <v>Exp - Entertainment</v>
      </c>
      <c r="H9756" s="8" t="s">
        <v>39</v>
      </c>
      <c r="I9756" s="8"/>
      <c r="O9756" t="str">
        <f>LEFT(Table2[[#This Row],[Description]],75)</f>
        <v>SP JACKBOX GAMES         HTTPSSHOP.JACIL REF #24492166J000AKDQF</v>
      </c>
    </row>
    <row r="9757" spans="1:15" hidden="1">
      <c r="A9757">
        <v>202307</v>
      </c>
      <c r="B9757" s="6">
        <v>45138</v>
      </c>
      <c r="C9757" t="s">
        <v>4006</v>
      </c>
      <c r="D9757" t="s">
        <v>4711</v>
      </c>
      <c r="E9757">
        <v>8.1199999999999992</v>
      </c>
      <c r="F9757" s="2" t="str">
        <f>IF(Table2[[#This Row],[Manual Cat Value]]="",VLOOKUP(Table2[[#This Row],[Description]],'Actuals Lookup'!D:F,3,0),Table2[[#This Row],[Manual Cat Value]])</f>
        <v>Exp - Restaurants</v>
      </c>
      <c r="G9757" t="s">
        <v>35</v>
      </c>
      <c r="H9757" s="8" t="s">
        <v>25</v>
      </c>
      <c r="I9757" s="8"/>
      <c r="O9757" t="str">
        <f>LEFT(Table2[[#This Row],[Description]],75)</f>
        <v>Aplpay Hopsack Llc Balsam Lake Bsryivqtff1 Squareup.com/receipts</v>
      </c>
    </row>
    <row r="9758" spans="1:15" hidden="1">
      <c r="A9758">
        <v>202307</v>
      </c>
      <c r="B9758" s="6">
        <v>45138</v>
      </c>
      <c r="C9758" t="s">
        <v>4712</v>
      </c>
      <c r="D9758" t="s">
        <v>14</v>
      </c>
      <c r="E9758">
        <f>125*2</f>
        <v>250</v>
      </c>
      <c r="F9758" s="2" t="str">
        <f>IF(Table2[[#This Row],[Manual Cat Value]]="",VLOOKUP(Table2[[#This Row],[Description]],'Actuals Lookup'!D:F,3,0),Table2[[#This Row],[Manual Cat Value]])</f>
        <v>Exp - Cleaning</v>
      </c>
      <c r="H9758" s="8" t="s">
        <v>13</v>
      </c>
      <c r="I9758" s="8"/>
      <c r="O9758" t="str">
        <f>LEFT(Table2[[#This Row],[Description]],75)</f>
        <v>Cleaning</v>
      </c>
    </row>
    <row r="9759" spans="1:15" hidden="1">
      <c r="A9759">
        <v>202307</v>
      </c>
      <c r="B9759" s="6">
        <v>45138</v>
      </c>
      <c r="C9759" t="s">
        <v>2916</v>
      </c>
      <c r="D9759" t="s">
        <v>2896</v>
      </c>
      <c r="E9759">
        <v>-3.95</v>
      </c>
      <c r="F9759" s="2" t="str">
        <f>IF(Table2[[#This Row],[Manual Cat Value]]="",VLOOKUP(Table2[[#This Row],[Description]],'Actuals Lookup'!D:F,3,0),Table2[[#This Row],[Manual Cat Value]])</f>
        <v>Inc - Other</v>
      </c>
      <c r="H9759" s="8" t="s">
        <v>16</v>
      </c>
      <c r="I9759" s="8"/>
      <c r="O9759" t="str">
        <f>LEFT(Table2[[#This Row],[Description]],75)</f>
        <v>Deposit ATM FEE REFUND</v>
      </c>
    </row>
    <row r="9760" spans="1:15" hidden="1">
      <c r="A9760">
        <v>202307</v>
      </c>
      <c r="B9760" s="6">
        <v>45138</v>
      </c>
      <c r="C9760" t="s">
        <v>2916</v>
      </c>
      <c r="D9760" t="s">
        <v>4713</v>
      </c>
      <c r="E9760">
        <v>-50.17</v>
      </c>
      <c r="F9760" s="2" t="str">
        <f>IF(Table2[[#This Row],[Manual Cat Value]]="",VLOOKUP(Table2[[#This Row],[Description]],'Actuals Lookup'!D:F,3,0),Table2[[#This Row],[Manual Cat Value]])</f>
        <v>Inc - Other</v>
      </c>
      <c r="H9760" s="8" t="s">
        <v>16</v>
      </c>
      <c r="I9760" s="8"/>
      <c r="O9760" t="str">
        <f>LEFT(Table2[[#This Row],[Description]],75)</f>
        <v>Deposit Dividend Split Rate Annual Percentage Yield Earned 2.05% from 07/01</v>
      </c>
    </row>
    <row r="9761" spans="1:15" hidden="1">
      <c r="A9761">
        <v>202308</v>
      </c>
      <c r="B9761" s="6">
        <v>45139</v>
      </c>
      <c r="C9761" t="s">
        <v>3932</v>
      </c>
      <c r="D9761" t="s">
        <v>38</v>
      </c>
      <c r="E9761">
        <v>21.42</v>
      </c>
      <c r="F9761" s="2" t="str">
        <f>IF(Table2[[#This Row],[Manual Cat Value]]="",VLOOKUP(Table2[[#This Row],[Description]],'Actuals Lookup'!D:F,3,0),Table2[[#This Row],[Manual Cat Value]])</f>
        <v>Exp - Amazon</v>
      </c>
      <c r="G9761" t="s">
        <v>41</v>
      </c>
      <c r="H9761" s="8" t="s">
        <v>37</v>
      </c>
      <c r="I9761" s="8"/>
      <c r="O9761" t="str">
        <f>LEFT(Table2[[#This Row],[Description]],75)</f>
        <v>Amazon</v>
      </c>
    </row>
    <row r="9762" spans="1:15" hidden="1">
      <c r="A9762">
        <v>202308</v>
      </c>
      <c r="B9762" s="6">
        <v>45139</v>
      </c>
      <c r="C9762" t="s">
        <v>4607</v>
      </c>
      <c r="D9762" t="s">
        <v>4714</v>
      </c>
      <c r="E9762">
        <v>5.36</v>
      </c>
      <c r="F9762" s="2" t="str">
        <f>IF(Table2[[#This Row],[Manual Cat Value]]="",VLOOKUP(Table2[[#This Row],[Description]],'Actuals Lookup'!D:F,3,0),Table2[[#This Row],[Manual Cat Value]])</f>
        <v>Exp - Amazon</v>
      </c>
      <c r="H9762" s="8" t="s">
        <v>37</v>
      </c>
      <c r="I9762" s="8"/>
      <c r="O9762" t="str">
        <f>LEFT(Table2[[#This Row],[Description]],75)</f>
        <v>Amazon Music*TH8P79M70   888-802-3080 WA REF #24692166M31V96E4D</v>
      </c>
    </row>
    <row r="9763" spans="1:15" hidden="1">
      <c r="A9763">
        <v>202308</v>
      </c>
      <c r="B9763" s="6">
        <v>45139</v>
      </c>
      <c r="C9763" t="s">
        <v>4611</v>
      </c>
      <c r="D9763" t="s">
        <v>4715</v>
      </c>
      <c r="E9763">
        <v>40</v>
      </c>
      <c r="F9763" s="2" t="str">
        <f>IF(Table2[[#This Row],[Manual Cat Value]]="",VLOOKUP(Table2[[#This Row],[Description]],'Actuals Lookup'!D:F,3,0),Table2[[#This Row],[Manual Cat Value]])</f>
        <v>Exp - Entertainment</v>
      </c>
      <c r="H9763" s="8" t="s">
        <v>39</v>
      </c>
      <c r="I9763" s="8"/>
      <c r="O9763" t="str">
        <f>LEFT(Table2[[#This Row],[Description]],75)</f>
        <v>ELITE NAILS LLC          CHANHASSEN   MN REF #24717056M3V1YD83P</v>
      </c>
    </row>
    <row r="9764" spans="1:15" hidden="1">
      <c r="A9764">
        <v>202308</v>
      </c>
      <c r="B9764" s="6">
        <v>45139</v>
      </c>
      <c r="C9764" t="s">
        <v>4006</v>
      </c>
      <c r="D9764" t="s">
        <v>31</v>
      </c>
      <c r="E9764">
        <v>102.55</v>
      </c>
      <c r="F9764" s="2" t="str">
        <f>IF(Table2[[#This Row],[Manual Cat Value]]="",VLOOKUP(Table2[[#This Row],[Description]],'Actuals Lookup'!D:F,3,0),Table2[[#This Row],[Manual Cat Value]])</f>
        <v>Exp - Target</v>
      </c>
      <c r="G9764" t="s">
        <v>31</v>
      </c>
      <c r="H9764" s="8" t="s">
        <v>30</v>
      </c>
      <c r="I9764" s="8"/>
      <c r="O9764" t="str">
        <f>LEFT(Table2[[#This Row],[Description]],75)</f>
        <v>Target</v>
      </c>
    </row>
    <row r="9765" spans="1:15" hidden="1">
      <c r="A9765">
        <v>202308</v>
      </c>
      <c r="B9765" s="6">
        <v>45139</v>
      </c>
      <c r="C9765" t="s">
        <v>4332</v>
      </c>
      <c r="D9765" t="s">
        <v>4716</v>
      </c>
      <c r="E9765">
        <v>500</v>
      </c>
      <c r="F9765" s="2" t="str">
        <f>IF(Table2[[#This Row],[Manual Cat Value]]="",VLOOKUP(Table2[[#This Row],[Description]],'Actuals Lookup'!D:F,3,0),Table2[[#This Row],[Manual Cat Value]])</f>
        <v>Delete</v>
      </c>
      <c r="H9765" s="8" t="s">
        <v>9</v>
      </c>
      <c r="I9765" s="8"/>
      <c r="O9765" t="str">
        <f>LEFT(Table2[[#This Row],[Description]],75)</f>
        <v>Transfer to College Station</v>
      </c>
    </row>
    <row r="9766" spans="1:15" hidden="1">
      <c r="A9766">
        <v>202308</v>
      </c>
      <c r="B9766" s="6">
        <v>45139</v>
      </c>
      <c r="C9766" t="s">
        <v>4325</v>
      </c>
      <c r="D9766" t="s">
        <v>4717</v>
      </c>
      <c r="E9766">
        <v>265</v>
      </c>
      <c r="F9766" s="2" t="str">
        <f>IF(Table2[[#This Row],[Manual Cat Value]]="",VLOOKUP(Table2[[#This Row],[Description]],'Actuals Lookup'!D:F,3,0),Table2[[#This Row],[Manual Cat Value]])</f>
        <v>Exp - Day Care</v>
      </c>
      <c r="H9766" s="8" t="s">
        <v>19</v>
      </c>
      <c r="I9766" s="8"/>
      <c r="O9766" t="str">
        <f>LEFT(Table2[[#This Row],[Description]],75)</f>
        <v>Withdrawal ACH MHCHILDCARELLC TYPE: DUES ID: XX8198 CO: MHCHILDCARELLC Entr</v>
      </c>
    </row>
    <row r="9767" spans="1:15" hidden="1">
      <c r="A9767">
        <v>202308</v>
      </c>
      <c r="B9767" s="6">
        <v>45139</v>
      </c>
      <c r="C9767" t="s">
        <v>4328</v>
      </c>
      <c r="D9767" t="s">
        <v>4718</v>
      </c>
      <c r="E9767">
        <v>618.65</v>
      </c>
      <c r="F9767" s="2" t="str">
        <f>IF(Table2[[#This Row],[Manual Cat Value]]="",VLOOKUP(Table2[[#This Row],[Description]],'Actuals Lookup'!D:F,3,0),Table2[[#This Row],[Manual Cat Value]])</f>
        <v>Exp - Car Loan</v>
      </c>
      <c r="H9767" s="8" t="s">
        <v>10</v>
      </c>
      <c r="I9767" s="8"/>
      <c r="O9767" t="str">
        <f>LEFT(Table2[[#This Row],[Description]],75)</f>
        <v>Withdrawal Home Banking Transfer To Loan 02 REF # XX2243</v>
      </c>
    </row>
    <row r="9768" spans="1:15" hidden="1">
      <c r="A9768">
        <v>202308</v>
      </c>
      <c r="B9768" s="6">
        <v>45139</v>
      </c>
      <c r="C9768" t="s">
        <v>4333</v>
      </c>
      <c r="D9768" t="s">
        <v>1460</v>
      </c>
      <c r="E9768">
        <v>2606.27</v>
      </c>
      <c r="F9768" s="2" t="str">
        <f>IF(Table2[[#This Row],[Manual Cat Value]]="",VLOOKUP(Table2[[#This Row],[Description]],'Actuals Lookup'!D:F,3,0),Table2[[#This Row],[Manual Cat Value]])</f>
        <v>Exp - Rent</v>
      </c>
      <c r="H9768" s="8" t="s">
        <v>4</v>
      </c>
      <c r="I9768" s="8"/>
      <c r="O9768" t="str">
        <f>LEFT(Table2[[#This Row],[Description]],75)</f>
        <v>Payment to Baxter Credit Union</v>
      </c>
    </row>
    <row r="9769" spans="1:15" hidden="1">
      <c r="A9769">
        <v>202308</v>
      </c>
      <c r="B9769" s="6">
        <v>45140</v>
      </c>
      <c r="C9769" t="s">
        <v>4618</v>
      </c>
      <c r="D9769" t="s">
        <v>4719</v>
      </c>
      <c r="E9769">
        <v>-154.02000000000001</v>
      </c>
      <c r="F9769" s="2" t="str">
        <f>IF(Table2[[#This Row],[Manual Cat Value]]="",VLOOKUP(Table2[[#This Row],[Description]],'Actuals Lookup'!D:F,3,0),Table2[[#This Row],[Manual Cat Value]])</f>
        <v>Exp - Shopping</v>
      </c>
      <c r="H9769" s="8" t="s">
        <v>36</v>
      </c>
      <c r="I9769" s="8"/>
      <c r="O9769" t="str">
        <f>LEFT(Table2[[#This Row],[Description]],75)</f>
        <v>BCY*BACKCOUNTRY.COM      800-409- CREDIT REF #74692166M32G39RAV</v>
      </c>
    </row>
    <row r="9770" spans="1:15" hidden="1">
      <c r="A9770">
        <v>202308</v>
      </c>
      <c r="B9770" s="6">
        <v>45140</v>
      </c>
      <c r="C9770" t="s">
        <v>4615</v>
      </c>
      <c r="D9770" t="s">
        <v>4720</v>
      </c>
      <c r="E9770">
        <v>37.840000000000003</v>
      </c>
      <c r="F9770" s="2" t="str">
        <f>IF(Table2[[#This Row],[Manual Cat Value]]="",VLOOKUP(Table2[[#This Row],[Description]],'Actuals Lookup'!D:F,3,0),Table2[[#This Row],[Manual Cat Value]])</f>
        <v>Exp - Groceries</v>
      </c>
      <c r="H9770" s="8" t="s">
        <v>27</v>
      </c>
      <c r="I9770" s="8"/>
      <c r="O9770" t="str">
        <f>LEFT(Table2[[#This Row],[Description]],75)</f>
        <v>COMPANY STORE            WAYZATA      MN REF #24943006NW5TTMGPD</v>
      </c>
    </row>
    <row r="9771" spans="1:15" hidden="1">
      <c r="A9771">
        <v>202308</v>
      </c>
      <c r="B9771" s="6">
        <v>45140</v>
      </c>
      <c r="C9771" t="s">
        <v>4006</v>
      </c>
      <c r="D9771" t="s">
        <v>4721</v>
      </c>
      <c r="E9771">
        <v>-216</v>
      </c>
      <c r="F9771" s="2" t="str">
        <f>IF(Table2[[#This Row],[Manual Cat Value]]="",VLOOKUP(Table2[[#This Row],[Description]],'Actuals Lookup'!D:F,3,0),Table2[[#This Row],[Manual Cat Value]])</f>
        <v>Exp - Shopping</v>
      </c>
      <c r="G9771" t="s">
        <v>4722</v>
      </c>
      <c r="H9771" s="8" t="s">
        <v>36</v>
      </c>
      <c r="I9771" s="8"/>
      <c r="O9771" t="str">
        <f>LEFT(Table2[[#This Row],[Description]],75)</f>
        <v>Jaxen Grey - Ridgedaminnetonka Xxxxxxxxxxx Xxxxxx8672</v>
      </c>
    </row>
    <row r="9772" spans="1:15" hidden="1">
      <c r="A9772">
        <v>202308</v>
      </c>
      <c r="B9772" s="6">
        <v>45140</v>
      </c>
      <c r="C9772" t="s">
        <v>4330</v>
      </c>
      <c r="D9772" t="s">
        <v>4404</v>
      </c>
      <c r="E9772">
        <v>40000</v>
      </c>
      <c r="F9772" s="2" t="str">
        <f>IF(Table2[[#This Row],[Manual Cat Value]]="",VLOOKUP(Table2[[#This Row],[Description]],'Actuals Lookup'!D:F,3,0),Table2[[#This Row],[Manual Cat Value]])</f>
        <v>Delete</v>
      </c>
      <c r="H9772" s="8" t="s">
        <v>9</v>
      </c>
      <c r="I9772" s="8"/>
      <c r="O9772" t="str">
        <f>LEFT(Table2[[#This Row],[Description]],75)</f>
        <v>Transfer to Discover Bank</v>
      </c>
    </row>
    <row r="9773" spans="1:15" hidden="1">
      <c r="A9773">
        <v>202308</v>
      </c>
      <c r="B9773" s="6">
        <v>45140</v>
      </c>
      <c r="C9773" t="s">
        <v>4006</v>
      </c>
      <c r="D9773" t="s">
        <v>4723</v>
      </c>
      <c r="E9773">
        <v>127.78</v>
      </c>
      <c r="F9773" s="2" t="str">
        <f>IF(Table2[[#This Row],[Manual Cat Value]]="",VLOOKUP(Table2[[#This Row],[Description]],'Actuals Lookup'!D:F,3,0),Table2[[#This Row],[Manual Cat Value]])</f>
        <v>Exp - Shopping</v>
      </c>
      <c r="G9773" t="s">
        <v>26</v>
      </c>
      <c r="H9773" s="8" t="s">
        <v>36</v>
      </c>
      <c r="I9773" s="8"/>
      <c r="O9773" t="str">
        <f>LEFT(Table2[[#This Row],[Description]],75)</f>
        <v>Tst* Lost Bay Llc 00excelsior Mn Xxxxxxx3215 Restaurant</v>
      </c>
    </row>
    <row r="9774" spans="1:15" hidden="1">
      <c r="A9774">
        <v>202308</v>
      </c>
      <c r="B9774" s="6">
        <v>45141</v>
      </c>
      <c r="C9774" t="s">
        <v>4622</v>
      </c>
      <c r="D9774" t="s">
        <v>4724</v>
      </c>
      <c r="E9774">
        <v>24.99</v>
      </c>
      <c r="F9774" s="2" t="str">
        <f>IF(Table2[[#This Row],[Manual Cat Value]]="",VLOOKUP(Table2[[#This Row],[Description]],'Actuals Lookup'!D:F,3,0),Table2[[#This Row],[Manual Cat Value]])</f>
        <v>Exp - Amazon</v>
      </c>
      <c r="H9774" s="8" t="s">
        <v>37</v>
      </c>
      <c r="I9774" s="8"/>
      <c r="O9774" t="str">
        <f>LEFT(Table2[[#This Row],[Description]],75)</f>
        <v>AMZN Mktp US*TH0ZS5IQ2   Amzn.com/billWA REF #24692166N331JD3FY</v>
      </c>
    </row>
    <row r="9775" spans="1:15" hidden="1">
      <c r="A9775">
        <v>202308</v>
      </c>
      <c r="B9775" s="6">
        <v>45141</v>
      </c>
      <c r="C9775" t="s">
        <v>4620</v>
      </c>
      <c r="D9775" t="s">
        <v>4725</v>
      </c>
      <c r="E9775">
        <v>10.19</v>
      </c>
      <c r="F9775" s="2" t="str">
        <f>IF(Table2[[#This Row],[Manual Cat Value]]="",VLOOKUP(Table2[[#This Row],[Description]],'Actuals Lookup'!D:F,3,0),Table2[[#This Row],[Manual Cat Value]])</f>
        <v>Exp - Amazon</v>
      </c>
      <c r="H9775" s="8" t="s">
        <v>37</v>
      </c>
      <c r="I9775" s="8"/>
      <c r="O9775" t="str">
        <f>LEFT(Table2[[#This Row],[Description]],75)</f>
        <v>AMZN Mktp US*TH8A86BG1   Amzn.com/billWA REF #24692166N336BYVTA</v>
      </c>
    </row>
    <row r="9776" spans="1:15" hidden="1">
      <c r="A9776">
        <v>202308</v>
      </c>
      <c r="B9776" s="6">
        <v>45141</v>
      </c>
      <c r="C9776" t="s">
        <v>4006</v>
      </c>
      <c r="D9776" t="s">
        <v>4726</v>
      </c>
      <c r="E9776">
        <v>766.62</v>
      </c>
      <c r="F9776" s="2" t="str">
        <f>IF(Table2[[#This Row],[Manual Cat Value]]="",VLOOKUP(Table2[[#This Row],[Description]],'Actuals Lookup'!D:F,3,0),Table2[[#This Row],[Manual Cat Value]])</f>
        <v>Exp - Transportation</v>
      </c>
      <c r="G9776" t="s">
        <v>23</v>
      </c>
      <c r="H9776" s="8" t="s">
        <v>22</v>
      </c>
      <c r="I9776" s="8"/>
      <c r="O9776" t="str">
        <f>LEFT(Table2[[#This Row],[Description]],75)</f>
        <v>Bmw</v>
      </c>
    </row>
    <row r="9777" spans="1:15" hidden="1">
      <c r="A9777">
        <v>202308</v>
      </c>
      <c r="B9777" s="6">
        <v>45141</v>
      </c>
      <c r="C9777" t="s">
        <v>4336</v>
      </c>
      <c r="D9777" t="s">
        <v>404</v>
      </c>
      <c r="E9777">
        <v>-3524.05</v>
      </c>
      <c r="F9777" s="2" t="str">
        <f>IF(Table2[[#This Row],[Manual Cat Value]]="",VLOOKUP(Table2[[#This Row],[Description]],'Actuals Lookup'!D:F,3,0),Table2[[#This Row],[Manual Cat Value]])</f>
        <v>Inc - Britney</v>
      </c>
      <c r="H9777" s="8" t="s">
        <v>65</v>
      </c>
      <c r="I9777" s="8"/>
      <c r="O9777" t="str">
        <f>LEFT(Table2[[#This Row],[Description]],75)</f>
        <v>Cargill Inc Deposit</v>
      </c>
    </row>
    <row r="9778" spans="1:15" hidden="1">
      <c r="A9778">
        <v>202308</v>
      </c>
      <c r="B9778" s="6">
        <v>45141</v>
      </c>
      <c r="C9778" t="s">
        <v>4006</v>
      </c>
      <c r="D9778" t="s">
        <v>4727</v>
      </c>
      <c r="E9778">
        <v>15.55</v>
      </c>
      <c r="F9778" s="2" t="str">
        <f>IF(Table2[[#This Row],[Manual Cat Value]]="",VLOOKUP(Table2[[#This Row],[Description]],'Actuals Lookup'!D:F,3,0),Table2[[#This Row],[Manual Cat Value]])</f>
        <v>Exp - Restaurants</v>
      </c>
      <c r="G9778" t="s">
        <v>26</v>
      </c>
      <c r="H9778" s="8" t="s">
        <v>25</v>
      </c>
      <c r="I9778" s="8"/>
      <c r="O9778" t="str">
        <f>LEFT(Table2[[#This Row],[Description]],75)</f>
        <v>Centro</v>
      </c>
    </row>
    <row r="9779" spans="1:15" hidden="1">
      <c r="A9779">
        <v>202308</v>
      </c>
      <c r="B9779" s="6">
        <v>45141</v>
      </c>
      <c r="C9779" t="s">
        <v>4006</v>
      </c>
      <c r="D9779" t="s">
        <v>545</v>
      </c>
      <c r="E9779">
        <v>17.309999999999999</v>
      </c>
      <c r="F9779" s="2" t="str">
        <f>IF(Table2[[#This Row],[Manual Cat Value]]="",VLOOKUP(Table2[[#This Row],[Description]],'Actuals Lookup'!D:F,3,0),Table2[[#This Row],[Manual Cat Value]])</f>
        <v>Exp - Restaurants</v>
      </c>
      <c r="G9779" t="s">
        <v>26</v>
      </c>
      <c r="H9779" s="8" t="s">
        <v>25</v>
      </c>
      <c r="I9779" s="8"/>
      <c r="O9779" t="str">
        <f>LEFT(Table2[[#This Row],[Description]],75)</f>
        <v>Chipotle Mexican Grill</v>
      </c>
    </row>
    <row r="9780" spans="1:15" hidden="1">
      <c r="A9780">
        <v>202308</v>
      </c>
      <c r="B9780" s="6">
        <v>45141</v>
      </c>
      <c r="C9780" t="s">
        <v>4624</v>
      </c>
      <c r="D9780" t="s">
        <v>4728</v>
      </c>
      <c r="E9780">
        <v>892.5</v>
      </c>
      <c r="F9780" s="2" t="str">
        <f>IF(Table2[[#This Row],[Manual Cat Value]]="",VLOOKUP(Table2[[#This Row],[Description]],'Actuals Lookup'!D:F,3,0),Table2[[#This Row],[Manual Cat Value]])</f>
        <v>Exp - Day Care</v>
      </c>
      <c r="H9780" s="8" t="s">
        <v>19</v>
      </c>
      <c r="I9780" s="8"/>
      <c r="O9780" t="str">
        <f>LEFT(Table2[[#This Row],[Description]],75)</f>
        <v>FOSS SWIM SCHOOL         HTTPSWWW.FOSSMN REF #24011346N001ENNZ9</v>
      </c>
    </row>
    <row r="9781" spans="1:15" hidden="1">
      <c r="A9781">
        <v>202308</v>
      </c>
      <c r="B9781" s="6">
        <v>45141</v>
      </c>
      <c r="C9781" t="s">
        <v>4006</v>
      </c>
      <c r="D9781" t="s">
        <v>1849</v>
      </c>
      <c r="E9781">
        <v>40</v>
      </c>
      <c r="F9781" s="2" t="str">
        <f>IF(Table2[[#This Row],[Manual Cat Value]]="",VLOOKUP(Table2[[#This Row],[Description]],'Actuals Lookup'!D:F,3,0),Table2[[#This Row],[Manual Cat Value]])</f>
        <v>House Maintenance</v>
      </c>
      <c r="G9781" t="s">
        <v>2</v>
      </c>
      <c r="I9781" s="8"/>
      <c r="O9781" t="str">
        <f>LEFT(Table2[[#This Row],[Description]],75)</f>
        <v>The Home Depot</v>
      </c>
    </row>
    <row r="9782" spans="1:15" hidden="1">
      <c r="A9782">
        <v>202308</v>
      </c>
      <c r="B9782" s="6">
        <v>45142</v>
      </c>
      <c r="C9782" t="s">
        <v>4006</v>
      </c>
      <c r="D9782" t="s">
        <v>4729</v>
      </c>
      <c r="E9782">
        <v>21.14</v>
      </c>
      <c r="F9782" s="2" t="str">
        <f>IF(Table2[[#This Row],[Manual Cat Value]]="",VLOOKUP(Table2[[#This Row],[Description]],'Actuals Lookup'!D:F,3,0),Table2[[#This Row],[Manual Cat Value]])</f>
        <v>Exp - Restaurants</v>
      </c>
      <c r="G9782" t="s">
        <v>28</v>
      </c>
      <c r="H9782" s="8" t="s">
        <v>25</v>
      </c>
      <c r="I9782" s="8"/>
      <c r="O9782" t="str">
        <f>LEFT(Table2[[#This Row],[Description]],75)</f>
        <v>Aplpay Pay*www.pryesminneapolis Xxxxxxx3216 Accounting@pryesbrewi</v>
      </c>
    </row>
    <row r="9783" spans="1:15" hidden="1">
      <c r="A9783">
        <v>202308</v>
      </c>
      <c r="B9783" s="6">
        <v>45142</v>
      </c>
      <c r="C9783" t="s">
        <v>4006</v>
      </c>
      <c r="D9783" t="s">
        <v>453</v>
      </c>
      <c r="E9783">
        <v>20.57</v>
      </c>
      <c r="F9783" s="2" t="str">
        <f>IF(Table2[[#This Row],[Manual Cat Value]]="",VLOOKUP(Table2[[#This Row],[Description]],'Actuals Lookup'!D:F,3,0),Table2[[#This Row],[Manual Cat Value]])</f>
        <v>Exp - Restaurants</v>
      </c>
      <c r="G9783" t="s">
        <v>26</v>
      </c>
      <c r="H9783" s="8" t="s">
        <v>25</v>
      </c>
      <c r="I9783" s="8"/>
      <c r="O9783" t="str">
        <f>LEFT(Table2[[#This Row],[Description]],75)</f>
        <v>Caribou Coffee</v>
      </c>
    </row>
    <row r="9784" spans="1:15" hidden="1">
      <c r="A9784">
        <v>202308</v>
      </c>
      <c r="B9784" s="6">
        <v>45142</v>
      </c>
      <c r="C9784" t="s">
        <v>4006</v>
      </c>
      <c r="D9784" t="s">
        <v>1014</v>
      </c>
      <c r="E9784">
        <v>10.199999999999999</v>
      </c>
      <c r="F9784" s="2" t="str">
        <f>IF(Table2[[#This Row],[Manual Cat Value]]="",VLOOKUP(Table2[[#This Row],[Description]],'Actuals Lookup'!D:F,3,0),Table2[[#This Row],[Manual Cat Value]])</f>
        <v>Restaurants</v>
      </c>
      <c r="G9784" t="s">
        <v>26</v>
      </c>
      <c r="I9784" s="8"/>
      <c r="O9784" t="str">
        <f>LEFT(Table2[[#This Row],[Description]],75)</f>
        <v>Jimmy John's</v>
      </c>
    </row>
    <row r="9785" spans="1:15" hidden="1">
      <c r="A9785">
        <v>202308</v>
      </c>
      <c r="B9785" s="6">
        <v>45142</v>
      </c>
      <c r="C9785" t="s">
        <v>4006</v>
      </c>
      <c r="D9785" t="s">
        <v>1707</v>
      </c>
      <c r="E9785">
        <v>61.33</v>
      </c>
      <c r="F9785" s="2" t="str">
        <f>IF(Table2[[#This Row],[Manual Cat Value]]="",VLOOKUP(Table2[[#This Row],[Description]],'Actuals Lookup'!D:F,3,0),Table2[[#This Row],[Manual Cat Value]])</f>
        <v>Transportation</v>
      </c>
      <c r="G9785" t="s">
        <v>23</v>
      </c>
      <c r="I9785" s="8"/>
      <c r="O9785" t="str">
        <f>LEFT(Table2[[#This Row],[Description]],75)</f>
        <v>Speedway</v>
      </c>
    </row>
    <row r="9786" spans="1:15" hidden="1">
      <c r="A9786">
        <v>202308</v>
      </c>
      <c r="B9786" s="6">
        <v>45142</v>
      </c>
      <c r="C9786" t="s">
        <v>4006</v>
      </c>
      <c r="D9786" t="s">
        <v>4730</v>
      </c>
      <c r="E9786">
        <v>73.94</v>
      </c>
      <c r="F9786" s="2" t="str">
        <f>IF(Table2[[#This Row],[Manual Cat Value]]="",VLOOKUP(Table2[[#This Row],[Description]],'Actuals Lookup'!D:F,3,0),Table2[[#This Row],[Manual Cat Value]])</f>
        <v>Restaurants</v>
      </c>
      <c r="G9786" t="s">
        <v>26</v>
      </c>
      <c r="I9786" s="8"/>
      <c r="O9786" t="str">
        <f>LEFT(Table2[[#This Row],[Description]],75)</f>
        <v>Vivir Minneapolis Mn Xaup6m8njol Squareup.com/receipts</v>
      </c>
    </row>
    <row r="9787" spans="1:15" hidden="1">
      <c r="A9787">
        <v>202308</v>
      </c>
      <c r="B9787" s="6">
        <v>45143</v>
      </c>
      <c r="C9787" t="s">
        <v>4006</v>
      </c>
      <c r="D9787" t="s">
        <v>4731</v>
      </c>
      <c r="E9787">
        <v>4.99</v>
      </c>
      <c r="F9787" s="2" t="str">
        <f>IF(Table2[[#This Row],[Manual Cat Value]]="",VLOOKUP(Table2[[#This Row],[Description]],'Actuals Lookup'!D:F,3,0),Table2[[#This Row],[Manual Cat Value]])</f>
        <v>Exp - Transportation</v>
      </c>
      <c r="G9787" t="s">
        <v>11</v>
      </c>
      <c r="H9787" s="8" t="s">
        <v>22</v>
      </c>
      <c r="I9787" s="8"/>
      <c r="O9787" t="str">
        <f>LEFT(Table2[[#This Row],[Description]],75)</f>
        <v>Arco</v>
      </c>
    </row>
    <row r="9788" spans="1:15" hidden="1">
      <c r="A9788">
        <v>202308</v>
      </c>
      <c r="B9788" s="6">
        <v>45143</v>
      </c>
      <c r="C9788" t="s">
        <v>4006</v>
      </c>
      <c r="D9788" t="s">
        <v>4731</v>
      </c>
      <c r="E9788">
        <v>57.44</v>
      </c>
      <c r="F9788" s="2" t="str">
        <f>IF(Table2[[#This Row],[Manual Cat Value]]="",VLOOKUP(Table2[[#This Row],[Description]],'Actuals Lookup'!D:F,3,0),Table2[[#This Row],[Manual Cat Value]])</f>
        <v>Exp - Transportation</v>
      </c>
      <c r="G9788" t="s">
        <v>11</v>
      </c>
      <c r="H9788" s="8" t="s">
        <v>22</v>
      </c>
      <c r="I9788" s="8"/>
      <c r="O9788" t="str">
        <f>LEFT(Table2[[#This Row],[Description]],75)</f>
        <v>Arco</v>
      </c>
    </row>
    <row r="9789" spans="1:15" hidden="1">
      <c r="A9789">
        <v>202308</v>
      </c>
      <c r="B9789" s="6">
        <v>45143</v>
      </c>
      <c r="C9789" t="s">
        <v>4006</v>
      </c>
      <c r="D9789" t="s">
        <v>684</v>
      </c>
      <c r="E9789">
        <v>38.090000000000003</v>
      </c>
      <c r="F9789" s="2" t="str">
        <f>IF(Table2[[#This Row],[Manual Cat Value]]="",VLOOKUP(Table2[[#This Row],[Description]],'Actuals Lookup'!D:F,3,0),Table2[[#This Row],[Manual Cat Value]])</f>
        <v>Groceries</v>
      </c>
      <c r="G9789" t="s">
        <v>28</v>
      </c>
      <c r="I9789" s="8"/>
      <c r="O9789" t="str">
        <f>LEFT(Table2[[#This Row],[Description]],75)</f>
        <v>Cub Foods</v>
      </c>
    </row>
    <row r="9790" spans="1:15" hidden="1">
      <c r="A9790">
        <v>202308</v>
      </c>
      <c r="B9790" s="6">
        <v>45144</v>
      </c>
      <c r="C9790" t="s">
        <v>4006</v>
      </c>
      <c r="D9790" t="s">
        <v>103</v>
      </c>
      <c r="E9790">
        <v>307.47000000000003</v>
      </c>
      <c r="F9790" s="2" t="str">
        <f>IF(Table2[[#This Row],[Manual Cat Value]]="",VLOOKUP(Table2[[#This Row],[Description]],'Actuals Lookup'!D:F,3,0),Table2[[#This Row],[Manual Cat Value]])</f>
        <v>Healthcare</v>
      </c>
      <c r="G9790" t="s">
        <v>28</v>
      </c>
      <c r="I9790" s="8"/>
      <c r="O9790" t="str">
        <f>LEFT(Table2[[#This Row],[Description]],75)</f>
        <v>Advocare</v>
      </c>
    </row>
    <row r="9791" spans="1:15" hidden="1">
      <c r="A9791">
        <v>202308</v>
      </c>
      <c r="B9791" s="6">
        <v>45144</v>
      </c>
      <c r="C9791" t="s">
        <v>4626</v>
      </c>
      <c r="D9791" t="s">
        <v>4732</v>
      </c>
      <c r="E9791">
        <v>18.77</v>
      </c>
      <c r="F9791" s="2" t="str">
        <f>IF(Table2[[#This Row],[Manual Cat Value]]="",VLOOKUP(Table2[[#This Row],[Description]],'Actuals Lookup'!D:F,3,0),Table2[[#This Row],[Manual Cat Value]])</f>
        <v>Exp - Entertainment</v>
      </c>
      <c r="H9791" s="8" t="s">
        <v>39</v>
      </c>
      <c r="I9791" s="8"/>
      <c r="O9791" t="str">
        <f>LEFT(Table2[[#This Row],[Description]],75)</f>
        <v>AMC 0705 SOUTHDALE 16    EDINA        MN REF #24431066S0HD0QJRL</v>
      </c>
    </row>
    <row r="9792" spans="1:15" hidden="1">
      <c r="A9792">
        <v>202308</v>
      </c>
      <c r="B9792" s="6">
        <v>45144</v>
      </c>
      <c r="C9792" t="s">
        <v>4006</v>
      </c>
      <c r="D9792" t="s">
        <v>453</v>
      </c>
      <c r="E9792">
        <v>23.31</v>
      </c>
      <c r="F9792" s="2" t="str">
        <f>IF(Table2[[#This Row],[Manual Cat Value]]="",VLOOKUP(Table2[[#This Row],[Description]],'Actuals Lookup'!D:F,3,0),Table2[[#This Row],[Manual Cat Value]])</f>
        <v>Exp - Restaurants</v>
      </c>
      <c r="G9792" t="s">
        <v>26</v>
      </c>
      <c r="H9792" s="8" t="s">
        <v>25</v>
      </c>
      <c r="I9792" s="8"/>
      <c r="O9792" t="str">
        <f>LEFT(Table2[[#This Row],[Description]],75)</f>
        <v>Caribou Coffee</v>
      </c>
    </row>
    <row r="9793" spans="1:15" hidden="1">
      <c r="A9793">
        <v>202308</v>
      </c>
      <c r="B9793" s="6">
        <v>45144</v>
      </c>
      <c r="C9793" t="s">
        <v>4640</v>
      </c>
      <c r="D9793" t="s">
        <v>4733</v>
      </c>
      <c r="E9793">
        <v>17.61</v>
      </c>
      <c r="F9793" s="2" t="str">
        <f>IF(Table2[[#This Row],[Manual Cat Value]]="",VLOOKUP(Table2[[#This Row],[Description]],'Actuals Lookup'!D:F,3,0),Table2[[#This Row],[Manual Cat Value]])</f>
        <v>Exp - Transportation</v>
      </c>
      <c r="H9793" s="8" t="s">
        <v>22</v>
      </c>
      <c r="I9793" s="8"/>
      <c r="O9793" t="str">
        <f>LEFT(Table2[[#This Row],[Description]],75)</f>
        <v>LYFT   *RIDE FRI 9PM     LYFT.COM     CA REF #24011346T0010PZXA</v>
      </c>
    </row>
    <row r="9794" spans="1:15" hidden="1">
      <c r="A9794">
        <v>202308</v>
      </c>
      <c r="B9794" s="6">
        <v>45144</v>
      </c>
      <c r="C9794" t="s">
        <v>4630</v>
      </c>
      <c r="D9794" t="s">
        <v>4734</v>
      </c>
      <c r="E9794">
        <v>93.96</v>
      </c>
      <c r="F9794" s="2" t="str">
        <f>IF(Table2[[#This Row],[Manual Cat Value]]="",VLOOKUP(Table2[[#This Row],[Description]],'Actuals Lookup'!D:F,3,0),Table2[[#This Row],[Manual Cat Value]])</f>
        <v>Exp - Shopping</v>
      </c>
      <c r="H9794" s="8" t="s">
        <v>36</v>
      </c>
      <c r="I9794" s="8"/>
      <c r="O9794" t="str">
        <f>LEFT(Table2[[#This Row],[Description]],75)</f>
        <v>SHUTTERFLY INC.         650-610-5200 CA REF #24492156RLXWM2PFN</v>
      </c>
    </row>
    <row r="9795" spans="1:15" hidden="1">
      <c r="A9795">
        <v>202308</v>
      </c>
      <c r="B9795" s="6">
        <v>45144</v>
      </c>
      <c r="C9795" t="s">
        <v>4636</v>
      </c>
      <c r="D9795" t="s">
        <v>4735</v>
      </c>
      <c r="E9795">
        <v>15.37</v>
      </c>
      <c r="F9795" s="2" t="str">
        <f>IF(Table2[[#This Row],[Manual Cat Value]]="",VLOOKUP(Table2[[#This Row],[Description]],'Actuals Lookup'!D:F,3,0),Table2[[#This Row],[Manual Cat Value]])</f>
        <v>Exp - Restaurants</v>
      </c>
      <c r="H9795" s="8" t="s">
        <v>25</v>
      </c>
      <c r="I9795" s="8"/>
      <c r="O9795" t="str">
        <f>LEFT(Table2[[#This Row],[Description]],75)</f>
        <v>SQ *RUBY'S ROOST VICTORIAVictoria     MN REF #24692166T35GNG1GV</v>
      </c>
    </row>
    <row r="9796" spans="1:15" hidden="1">
      <c r="A9796">
        <v>202308</v>
      </c>
      <c r="B9796" s="6">
        <v>45144</v>
      </c>
      <c r="C9796" t="s">
        <v>4632</v>
      </c>
      <c r="D9796" t="s">
        <v>4736</v>
      </c>
      <c r="E9796">
        <v>227.95</v>
      </c>
      <c r="F9796" s="2" t="str">
        <f>IF(Table2[[#This Row],[Manual Cat Value]]="",VLOOKUP(Table2[[#This Row],[Description]],'Actuals Lookup'!D:F,3,0),Table2[[#This Row],[Manual Cat Value]])</f>
        <v>Exp - Shopping</v>
      </c>
      <c r="H9796" s="8" t="s">
        <v>36</v>
      </c>
      <c r="I9796" s="8"/>
      <c r="O9796" t="str">
        <f>LEFT(Table2[[#This Row],[Description]],75)</f>
        <v>THEGROOMSMANSUIT         HTTPSSTORE.SUNY REF #24492166R001AJPAJ</v>
      </c>
    </row>
    <row r="9797" spans="1:15" hidden="1">
      <c r="A9797">
        <v>202308</v>
      </c>
      <c r="B9797" s="6">
        <v>45144</v>
      </c>
      <c r="C9797" t="s">
        <v>4006</v>
      </c>
      <c r="D9797" t="s">
        <v>1925</v>
      </c>
      <c r="E9797">
        <v>105.97</v>
      </c>
      <c r="F9797" s="2" t="str">
        <f>IF(Table2[[#This Row],[Manual Cat Value]]="",VLOOKUP(Table2[[#This Row],[Description]],'Actuals Lookup'!D:F,3,0),Table2[[#This Row],[Manual Cat Value]])</f>
        <v>Groceries</v>
      </c>
      <c r="G9797" t="s">
        <v>28</v>
      </c>
      <c r="I9797" s="8"/>
      <c r="O9797" t="str">
        <f>LEFT(Table2[[#This Row],[Description]],75)</f>
        <v>Total Wine &amp; More</v>
      </c>
    </row>
    <row r="9798" spans="1:15" hidden="1">
      <c r="A9798">
        <v>202308</v>
      </c>
      <c r="B9798" s="6">
        <v>45144</v>
      </c>
      <c r="C9798" t="s">
        <v>4634</v>
      </c>
      <c r="D9798" t="s">
        <v>4737</v>
      </c>
      <c r="E9798">
        <v>9</v>
      </c>
      <c r="F9798" s="2" t="str">
        <f>IF(Table2[[#This Row],[Manual Cat Value]]="",VLOOKUP(Table2[[#This Row],[Description]],'Actuals Lookup'!D:F,3,0),Table2[[#This Row],[Manual Cat Value]])</f>
        <v>Exp - Restaurants</v>
      </c>
      <c r="H9798" s="8" t="s">
        <v>25</v>
      </c>
      <c r="I9798" s="8"/>
      <c r="O9798" t="str">
        <f>LEFT(Table2[[#This Row],[Description]],75)</f>
        <v>TST* Indeed Brewing CompaMinneapolis  MN REF #24692166R34EJW07T</v>
      </c>
    </row>
    <row r="9799" spans="1:15" hidden="1">
      <c r="A9799">
        <v>202308</v>
      </c>
      <c r="B9799" s="6">
        <v>45144</v>
      </c>
      <c r="C9799" t="s">
        <v>4628</v>
      </c>
      <c r="D9799" t="s">
        <v>4738</v>
      </c>
      <c r="E9799">
        <v>31.94</v>
      </c>
      <c r="F9799" s="2" t="str">
        <f>IF(Table2[[#This Row],[Manual Cat Value]]="",VLOOKUP(Table2[[#This Row],[Description]],'Actuals Lookup'!D:F,3,0),Table2[[#This Row],[Manual Cat Value]])</f>
        <v>Delete</v>
      </c>
      <c r="H9799" s="8" t="s">
        <v>9</v>
      </c>
      <c r="I9799" s="8"/>
      <c r="O9799" t="str">
        <f>LEFT(Table2[[#This Row],[Description]],75)</f>
        <v>UBER   TRIP              HELP.UBER.COMCA REF #24492156RLR70SYE1</v>
      </c>
    </row>
    <row r="9800" spans="1:15" hidden="1">
      <c r="A9800">
        <v>202308</v>
      </c>
      <c r="B9800" s="6">
        <v>45145</v>
      </c>
      <c r="C9800" t="s">
        <v>3932</v>
      </c>
      <c r="D9800" t="s">
        <v>38</v>
      </c>
      <c r="E9800">
        <v>19.27</v>
      </c>
      <c r="F9800" s="2" t="str">
        <f>IF(Table2[[#This Row],[Manual Cat Value]]="",VLOOKUP(Table2[[#This Row],[Description]],'Actuals Lookup'!D:F,3,0),Table2[[#This Row],[Manual Cat Value]])</f>
        <v>Exp - Amazon</v>
      </c>
      <c r="G9800" t="s">
        <v>41</v>
      </c>
      <c r="H9800" s="8" t="s">
        <v>37</v>
      </c>
      <c r="I9800" s="8"/>
      <c r="O9800" t="str">
        <f>LEFT(Table2[[#This Row],[Description]],75)</f>
        <v>Amazon</v>
      </c>
    </row>
    <row r="9801" spans="1:15" hidden="1">
      <c r="A9801">
        <v>202308</v>
      </c>
      <c r="B9801" s="6">
        <v>45145</v>
      </c>
      <c r="C9801" t="s">
        <v>4006</v>
      </c>
      <c r="D9801" t="s">
        <v>4739</v>
      </c>
      <c r="E9801">
        <v>59.85</v>
      </c>
      <c r="F9801" s="2" t="str">
        <f>IF(Table2[[#This Row],[Manual Cat Value]]="",VLOOKUP(Table2[[#This Row],[Description]],'Actuals Lookup'!D:F,3,0),Table2[[#This Row],[Manual Cat Value]])</f>
        <v>Exp - Groceries</v>
      </c>
      <c r="G9801" t="s">
        <v>26</v>
      </c>
      <c r="H9801" s="8" t="s">
        <v>27</v>
      </c>
      <c r="I9801" s="8"/>
      <c r="O9801" t="str">
        <f>LEFT(Table2[[#This Row],[Description]],75)</f>
        <v>Catering By Kowalskisaint Paul Xxxxxxxxxxx Xxxxxx6870</v>
      </c>
    </row>
    <row r="9802" spans="1:15" hidden="1">
      <c r="A9802">
        <v>202308</v>
      </c>
      <c r="B9802" s="6">
        <v>45145</v>
      </c>
      <c r="C9802" t="s">
        <v>4006</v>
      </c>
      <c r="D9802" t="s">
        <v>1925</v>
      </c>
      <c r="E9802">
        <v>60.4</v>
      </c>
      <c r="F9802" s="2" t="str">
        <f>IF(Table2[[#This Row],[Manual Cat Value]]="",VLOOKUP(Table2[[#This Row],[Description]],'Actuals Lookup'!D:F,3,0),Table2[[#This Row],[Manual Cat Value]])</f>
        <v>Groceries</v>
      </c>
      <c r="G9802" t="s">
        <v>28</v>
      </c>
      <c r="I9802" s="8"/>
      <c r="O9802" t="str">
        <f>LEFT(Table2[[#This Row],[Description]],75)</f>
        <v>Total Wine &amp; More</v>
      </c>
    </row>
    <row r="9803" spans="1:15" hidden="1">
      <c r="A9803">
        <v>202308</v>
      </c>
      <c r="B9803" s="6">
        <v>45146</v>
      </c>
      <c r="C9803" t="s">
        <v>3932</v>
      </c>
      <c r="D9803" t="s">
        <v>38</v>
      </c>
      <c r="E9803">
        <v>139.58000000000001</v>
      </c>
      <c r="F9803" s="2" t="str">
        <f>IF(Table2[[#This Row],[Manual Cat Value]]="",VLOOKUP(Table2[[#This Row],[Description]],'Actuals Lookup'!D:F,3,0),Table2[[#This Row],[Manual Cat Value]])</f>
        <v>Exp - Amazon</v>
      </c>
      <c r="G9803" t="s">
        <v>38</v>
      </c>
      <c r="H9803" s="8" t="s">
        <v>37</v>
      </c>
      <c r="I9803" s="8"/>
      <c r="O9803" t="str">
        <f>LEFT(Table2[[#This Row],[Description]],75)</f>
        <v>Amazon</v>
      </c>
    </row>
    <row r="9804" spans="1:15" hidden="1">
      <c r="A9804">
        <v>202308</v>
      </c>
      <c r="B9804" s="6">
        <v>45146</v>
      </c>
      <c r="C9804" t="s">
        <v>4264</v>
      </c>
      <c r="D9804" t="s">
        <v>4740</v>
      </c>
      <c r="E9804">
        <v>13.42</v>
      </c>
      <c r="F9804" s="2" t="str">
        <f>IF(Table2[[#This Row],[Manual Cat Value]]="",VLOOKUP(Table2[[#This Row],[Description]],'Actuals Lookup'!D:F,3,0),Table2[[#This Row],[Manual Cat Value]])</f>
        <v>Exp - Amazon</v>
      </c>
      <c r="H9804" s="8" t="s">
        <v>37</v>
      </c>
      <c r="I9804" s="8"/>
      <c r="O9804" t="str">
        <f>LEFT(Table2[[#This Row],[Description]],75)</f>
        <v>AMZN Mktp US*TA2BB6B72   Amzn.com/billWA REF #24692166V2XQLTJW9</v>
      </c>
    </row>
    <row r="9805" spans="1:15" hidden="1">
      <c r="A9805">
        <v>202308</v>
      </c>
      <c r="B9805" s="6">
        <v>45146</v>
      </c>
      <c r="C9805" t="s">
        <v>4260</v>
      </c>
      <c r="D9805" t="s">
        <v>4741</v>
      </c>
      <c r="E9805">
        <v>37.56</v>
      </c>
      <c r="F9805" s="2" t="str">
        <f>IF(Table2[[#This Row],[Manual Cat Value]]="",VLOOKUP(Table2[[#This Row],[Description]],'Actuals Lookup'!D:F,3,0),Table2[[#This Row],[Manual Cat Value]])</f>
        <v>Exp - Amazon</v>
      </c>
      <c r="H9805" s="8" t="s">
        <v>37</v>
      </c>
      <c r="I9805" s="8"/>
      <c r="O9805" t="str">
        <f>LEFT(Table2[[#This Row],[Description]],75)</f>
        <v>AMZN MKTP US*TA2OU81W1 AMAMZN.COM/BILLWA REF #24431066V2DKX5SK4</v>
      </c>
    </row>
    <row r="9806" spans="1:15" hidden="1">
      <c r="A9806">
        <v>202308</v>
      </c>
      <c r="B9806" s="6">
        <v>45146</v>
      </c>
      <c r="C9806" t="s">
        <v>4269</v>
      </c>
      <c r="D9806" t="s">
        <v>4742</v>
      </c>
      <c r="E9806">
        <v>11.8</v>
      </c>
      <c r="F9806" s="2" t="str">
        <f>IF(Table2[[#This Row],[Manual Cat Value]]="",VLOOKUP(Table2[[#This Row],[Description]],'Actuals Lookup'!D:F,3,0),Table2[[#This Row],[Manual Cat Value]])</f>
        <v>Exp - Amazon</v>
      </c>
      <c r="H9806" s="8" t="s">
        <v>37</v>
      </c>
      <c r="I9806" s="8"/>
      <c r="O9806" t="str">
        <f>LEFT(Table2[[#This Row],[Description]],75)</f>
        <v>AMZN Mktp US*TA35S4BL2   Amzn.com/billWA REF #24692166V2XQXB275</v>
      </c>
    </row>
    <row r="9807" spans="1:15" hidden="1">
      <c r="A9807">
        <v>202308</v>
      </c>
      <c r="B9807" s="6">
        <v>45146</v>
      </c>
      <c r="C9807" t="s">
        <v>4261</v>
      </c>
      <c r="D9807" t="s">
        <v>4743</v>
      </c>
      <c r="E9807">
        <v>36.99</v>
      </c>
      <c r="F9807" s="2" t="str">
        <f>IF(Table2[[#This Row],[Manual Cat Value]]="",VLOOKUP(Table2[[#This Row],[Description]],'Actuals Lookup'!D:F,3,0),Table2[[#This Row],[Manual Cat Value]])</f>
        <v>Exp - Amazon</v>
      </c>
      <c r="H9807" s="8" t="s">
        <v>37</v>
      </c>
      <c r="I9807" s="8"/>
      <c r="O9807" t="str">
        <f>LEFT(Table2[[#This Row],[Description]],75)</f>
        <v>AMZN Mktp US*TA3PM4AA1   Amzn.com/billWA REF #24692166V2XHJPD09</v>
      </c>
    </row>
    <row r="9808" spans="1:15" hidden="1">
      <c r="A9808">
        <v>202308</v>
      </c>
      <c r="B9808" s="6">
        <v>45146</v>
      </c>
      <c r="C9808" t="s">
        <v>4006</v>
      </c>
      <c r="D9808" t="s">
        <v>4744</v>
      </c>
      <c r="E9808">
        <v>27</v>
      </c>
      <c r="F9808" s="2" t="str">
        <f>IF(Table2[[#This Row],[Manual Cat Value]]="",VLOOKUP(Table2[[#This Row],[Description]],'Actuals Lookup'!D:F,3,0),Table2[[#This Row],[Manual Cat Value]])</f>
        <v>Exp - Day Care</v>
      </c>
      <c r="G9808" t="s">
        <v>4745</v>
      </c>
      <c r="H9808" s="8" t="s">
        <v>19</v>
      </c>
      <c r="I9808" s="8"/>
      <c r="O9808" t="str">
        <f>LEFT(Table2[[#This Row],[Description]],75)</f>
        <v>Kids' Hair Llc Edina Mn ######kdzyt Medical Service</v>
      </c>
    </row>
    <row r="9809" spans="1:15" hidden="1">
      <c r="A9809">
        <v>202308</v>
      </c>
      <c r="B9809" s="6">
        <v>45146</v>
      </c>
      <c r="C9809" t="s">
        <v>4638</v>
      </c>
      <c r="D9809" t="s">
        <v>4746</v>
      </c>
      <c r="E9809">
        <v>8.09</v>
      </c>
      <c r="F9809" s="2" t="str">
        <f>IF(Table2[[#This Row],[Manual Cat Value]]="",VLOOKUP(Table2[[#This Row],[Description]],'Actuals Lookup'!D:F,3,0),Table2[[#This Row],[Manual Cat Value]])</f>
        <v>Exp - Transportation</v>
      </c>
      <c r="H9809" s="8" t="s">
        <v>22</v>
      </c>
      <c r="I9809" s="8"/>
      <c r="O9809" t="str">
        <f>LEFT(Table2[[#This Row],[Description]],75)</f>
        <v>KWIK TRIP  40200004028   CHANHASSEN   MN REF #24164076VL3HE26E6</v>
      </c>
    </row>
    <row r="9810" spans="1:15" hidden="1">
      <c r="A9810">
        <v>202308</v>
      </c>
      <c r="B9810" s="6">
        <v>45146</v>
      </c>
      <c r="C9810" t="s">
        <v>4006</v>
      </c>
      <c r="D9810" t="s">
        <v>1353</v>
      </c>
      <c r="E9810">
        <v>36.24</v>
      </c>
      <c r="F9810" s="2" t="str">
        <f>IF(Table2[[#This Row],[Manual Cat Value]]="",VLOOKUP(Table2[[#This Row],[Description]],'Actuals Lookup'!D:F,3,0),Table2[[#This Row],[Manual Cat Value]])</f>
        <v>Exp - Restaurants</v>
      </c>
      <c r="G9810" t="s">
        <v>26</v>
      </c>
      <c r="H9810" s="8" t="s">
        <v>25</v>
      </c>
      <c r="I9810" s="8"/>
      <c r="O9810" t="str">
        <f>LEFT(Table2[[#This Row],[Description]],75)</f>
        <v>Noodles &amp; Company</v>
      </c>
    </row>
    <row r="9811" spans="1:15" hidden="1">
      <c r="A9811">
        <v>202308</v>
      </c>
      <c r="B9811" s="6">
        <v>45146</v>
      </c>
      <c r="C9811" t="s">
        <v>4006</v>
      </c>
      <c r="D9811" t="s">
        <v>4747</v>
      </c>
      <c r="E9811">
        <v>22.44</v>
      </c>
      <c r="F9811" s="2" t="str">
        <f>IF(Table2[[#This Row],[Manual Cat Value]]="",VLOOKUP(Table2[[#This Row],[Description]],'Actuals Lookup'!D:F,3,0),Table2[[#This Row],[Manual Cat Value]])</f>
        <v>Restaurants</v>
      </c>
      <c r="G9811" t="s">
        <v>26</v>
      </c>
      <c r="I9811" s="8"/>
      <c r="O9811" t="str">
        <f>LEFT(Table2[[#This Row],[Description]],75)</f>
        <v>Tst* Revival Food Trminneapolis Xxxxxxx3221 Restaurant</v>
      </c>
    </row>
    <row r="9812" spans="1:15" hidden="1">
      <c r="A9812">
        <v>202308</v>
      </c>
      <c r="B9812" s="6">
        <v>45146</v>
      </c>
      <c r="C9812" t="s">
        <v>4342</v>
      </c>
      <c r="D9812" t="s">
        <v>4748</v>
      </c>
      <c r="E9812">
        <v>265</v>
      </c>
      <c r="F9812" s="2" t="str">
        <f>IF(Table2[[#This Row],[Manual Cat Value]]="",VLOOKUP(Table2[[#This Row],[Description]],'Actuals Lookup'!D:F,3,0),Table2[[#This Row],[Manual Cat Value]])</f>
        <v>Exp - Day Care</v>
      </c>
      <c r="H9812" s="8" t="s">
        <v>19</v>
      </c>
      <c r="I9812" s="8"/>
      <c r="O9812" t="str">
        <f>LEFT(Table2[[#This Row],[Description]],75)</f>
        <v>Withdrawal ACH MHCHILDCARELLC TYPE: DUES ID: XX8198 CO: MHCHILDCARELLC Entr</v>
      </c>
    </row>
    <row r="9813" spans="1:15" hidden="1">
      <c r="A9813">
        <v>202308</v>
      </c>
      <c r="B9813" s="6">
        <v>45146</v>
      </c>
      <c r="C9813" t="s">
        <v>4268</v>
      </c>
      <c r="D9813" t="s">
        <v>4749</v>
      </c>
      <c r="E9813">
        <v>38.99</v>
      </c>
      <c r="F9813" s="2" t="str">
        <f>IF(Table2[[#This Row],[Manual Cat Value]]="",VLOOKUP(Table2[[#This Row],[Description]],'Actuals Lookup'!D:F,3,0),Table2[[#This Row],[Manual Cat Value]])</f>
        <v>Exp - Utilities</v>
      </c>
      <c r="H9813" s="8" t="s">
        <v>6</v>
      </c>
      <c r="I9813" s="8"/>
      <c r="O9813" t="str">
        <f>LEFT(Table2[[#This Row],[Description]],75)</f>
        <v>WSJ/BARRONS SUBSCRIPTI   800-568-7625 NJ REF #24692166W2XZW9X1G</v>
      </c>
    </row>
    <row r="9814" spans="1:15" hidden="1">
      <c r="A9814">
        <v>202308</v>
      </c>
      <c r="B9814" s="6">
        <v>45146</v>
      </c>
      <c r="C9814" t="s">
        <v>4337</v>
      </c>
      <c r="D9814" t="s">
        <v>1469</v>
      </c>
      <c r="E9814">
        <v>174.78</v>
      </c>
      <c r="F9814" s="2" t="str">
        <f>IF(Table2[[#This Row],[Manual Cat Value]]="",VLOOKUP(Table2[[#This Row],[Description]],'Actuals Lookup'!D:F,3,0),Table2[[#This Row],[Manual Cat Value]])</f>
        <v>Exp - Utilities</v>
      </c>
      <c r="H9814" s="8" t="s">
        <v>6</v>
      </c>
      <c r="I9814" s="8"/>
      <c r="O9814" t="str">
        <f>LEFT(Table2[[#This Row],[Description]],75)</f>
        <v>Payment to Waste management</v>
      </c>
    </row>
    <row r="9815" spans="1:15" hidden="1">
      <c r="A9815">
        <v>202308</v>
      </c>
      <c r="B9815" s="6">
        <v>45147</v>
      </c>
      <c r="C9815" t="s">
        <v>4276</v>
      </c>
      <c r="D9815" t="s">
        <v>4750</v>
      </c>
      <c r="E9815">
        <v>12</v>
      </c>
      <c r="F9815" s="2" t="str">
        <f>IF(Table2[[#This Row],[Manual Cat Value]]="",VLOOKUP(Table2[[#This Row],[Description]],'Actuals Lookup'!D:F,3,0),Table2[[#This Row],[Manual Cat Value]])</f>
        <v>Exp - Entertainment</v>
      </c>
      <c r="H9815" s="8" t="s">
        <v>39</v>
      </c>
      <c r="I9815" s="8"/>
      <c r="O9815" t="str">
        <f>LEFT(Table2[[#This Row],[Description]],75)</f>
        <v>CHASKA TOWN COURSE       CHASKA       MN REF #24750766WS66L7JEN</v>
      </c>
    </row>
    <row r="9816" spans="1:15" hidden="1">
      <c r="A9816">
        <v>202308</v>
      </c>
      <c r="B9816" s="6">
        <v>45147</v>
      </c>
      <c r="C9816" t="s">
        <v>4006</v>
      </c>
      <c r="D9816" t="s">
        <v>4017</v>
      </c>
      <c r="E9816">
        <v>49.98</v>
      </c>
      <c r="F9816" s="2" t="str">
        <f>IF(Table2[[#This Row],[Manual Cat Value]]="",VLOOKUP(Table2[[#This Row],[Description]],'Actuals Lookup'!D:F,3,0),Table2[[#This Row],[Manual Cat Value]])</f>
        <v>Groceries</v>
      </c>
      <c r="G9816" t="s">
        <v>28</v>
      </c>
      <c r="I9816" s="8"/>
      <c r="O9816" t="str">
        <f>LEFT(Table2[[#This Row],[Description]],75)</f>
        <v>Lunds &amp; Byerlys</v>
      </c>
    </row>
    <row r="9817" spans="1:15" hidden="1">
      <c r="A9817">
        <v>202308</v>
      </c>
      <c r="B9817" s="6">
        <v>45147</v>
      </c>
      <c r="C9817" t="s">
        <v>4266</v>
      </c>
      <c r="D9817" t="s">
        <v>4751</v>
      </c>
      <c r="E9817">
        <v>47.25</v>
      </c>
      <c r="F9817" s="2" t="str">
        <f>IF(Table2[[#This Row],[Manual Cat Value]]="",VLOOKUP(Table2[[#This Row],[Description]],'Actuals Lookup'!D:F,3,0),Table2[[#This Row],[Manual Cat Value]])</f>
        <v>Exp - Gym</v>
      </c>
      <c r="H9817" s="8" t="s">
        <v>33</v>
      </c>
      <c r="I9817" s="8"/>
      <c r="O9817" t="str">
        <f>LEFT(Table2[[#This Row],[Description]],75)</f>
        <v>PELOTON* MEMBERSHIP      HTTPSWWW.ONEPNY REF #24011346W000Z2PRX</v>
      </c>
    </row>
    <row r="9818" spans="1:15" hidden="1">
      <c r="A9818">
        <v>202308</v>
      </c>
      <c r="B9818" s="6">
        <v>45147</v>
      </c>
      <c r="C9818" t="s">
        <v>4006</v>
      </c>
      <c r="D9818" t="s">
        <v>31</v>
      </c>
      <c r="E9818">
        <v>47.74</v>
      </c>
      <c r="F9818" s="2" t="str">
        <f>IF(Table2[[#This Row],[Manual Cat Value]]="",VLOOKUP(Table2[[#This Row],[Description]],'Actuals Lookup'!D:F,3,0),Table2[[#This Row],[Manual Cat Value]])</f>
        <v>Exp - Target</v>
      </c>
      <c r="G9818" t="s">
        <v>31</v>
      </c>
      <c r="H9818" s="8" t="s">
        <v>30</v>
      </c>
      <c r="I9818" s="8"/>
      <c r="O9818" t="str">
        <f>LEFT(Table2[[#This Row],[Description]],75)</f>
        <v>Target</v>
      </c>
    </row>
    <row r="9819" spans="1:15" hidden="1">
      <c r="A9819">
        <v>202308</v>
      </c>
      <c r="B9819" s="6">
        <v>45147</v>
      </c>
      <c r="C9819" t="s">
        <v>4277</v>
      </c>
      <c r="D9819" t="s">
        <v>4752</v>
      </c>
      <c r="E9819">
        <v>6.18</v>
      </c>
      <c r="F9819" s="2" t="str">
        <f>IF(Table2[[#This Row],[Manual Cat Value]]="",VLOOKUP(Table2[[#This Row],[Description]],'Actuals Lookup'!D:F,3,0),Table2[[#This Row],[Manual Cat Value]])</f>
        <v>Exp - House Maint</v>
      </c>
      <c r="H9819" s="8" t="s">
        <v>1</v>
      </c>
      <c r="I9819" s="8"/>
      <c r="O9819" t="str">
        <f>LEFT(Table2[[#This Row],[Description]],75)</f>
        <v>THE HOME DEPOT #2806     ST LOUIS PARKMN REF #24943016W09FPG3A6</v>
      </c>
    </row>
    <row r="9820" spans="1:15" hidden="1">
      <c r="A9820">
        <v>202308</v>
      </c>
      <c r="B9820" s="6">
        <v>45147</v>
      </c>
      <c r="C9820" t="s">
        <v>4351</v>
      </c>
      <c r="D9820" t="s">
        <v>1461</v>
      </c>
      <c r="E9820">
        <v>116.84</v>
      </c>
      <c r="F9820" s="2" t="str">
        <f>IF(Table2[[#This Row],[Manual Cat Value]]="",VLOOKUP(Table2[[#This Row],[Description]],'Actuals Lookup'!D:F,3,0),Table2[[#This Row],[Manual Cat Value]])</f>
        <v>Exp - Utilities</v>
      </c>
      <c r="H9820" s="8" t="s">
        <v>6</v>
      </c>
      <c r="I9820" s="8"/>
      <c r="O9820" t="str">
        <f>LEFT(Table2[[#This Row],[Description]],75)</f>
        <v>Payment to CenterPoint Energy</v>
      </c>
    </row>
    <row r="9821" spans="1:15" hidden="1">
      <c r="A9821">
        <v>202308</v>
      </c>
      <c r="B9821" s="6">
        <v>45147</v>
      </c>
      <c r="C9821" t="s">
        <v>4350</v>
      </c>
      <c r="D9821" t="s">
        <v>1470</v>
      </c>
      <c r="E9821">
        <v>193.55</v>
      </c>
      <c r="F9821" s="2" t="str">
        <f>IF(Table2[[#This Row],[Manual Cat Value]]="",VLOOKUP(Table2[[#This Row],[Description]],'Actuals Lookup'!D:F,3,0),Table2[[#This Row],[Manual Cat Value]])</f>
        <v>Exp - Utilities</v>
      </c>
      <c r="H9821" s="8" t="s">
        <v>6</v>
      </c>
      <c r="I9821" s="8"/>
      <c r="O9821" t="str">
        <f>LEFT(Table2[[#This Row],[Description]],75)</f>
        <v>Payment to Xcel Energy</v>
      </c>
    </row>
    <row r="9822" spans="1:15" hidden="1">
      <c r="A9822">
        <v>202308</v>
      </c>
      <c r="B9822" s="6">
        <v>45148</v>
      </c>
      <c r="C9822" t="s">
        <v>4292</v>
      </c>
      <c r="D9822" t="s">
        <v>4753</v>
      </c>
      <c r="E9822">
        <v>33.54</v>
      </c>
      <c r="F9822" s="2" t="str">
        <f>IF(Table2[[#This Row],[Manual Cat Value]]="",VLOOKUP(Table2[[#This Row],[Description]],'Actuals Lookup'!D:F,3,0),Table2[[#This Row],[Manual Cat Value]])</f>
        <v>Exp - Transportation</v>
      </c>
      <c r="H9822" s="8" t="s">
        <v>22</v>
      </c>
      <c r="I9822" s="8"/>
      <c r="O9822" t="str">
        <f>LEFT(Table2[[#This Row],[Description]],75)</f>
        <v>COSTCO GAS #0377         SAINT LOUIS PMN REF #24943006YS4QJT877</v>
      </c>
    </row>
    <row r="9823" spans="1:15" hidden="1">
      <c r="A9823">
        <v>202308</v>
      </c>
      <c r="B9823" s="6">
        <v>45148</v>
      </c>
      <c r="C9823" t="s">
        <v>4282</v>
      </c>
      <c r="D9823" t="s">
        <v>4754</v>
      </c>
      <c r="E9823">
        <v>130</v>
      </c>
      <c r="F9823" s="2" t="str">
        <f>IF(Table2[[#This Row],[Manual Cat Value]]="",VLOOKUP(Table2[[#This Row],[Description]],'Actuals Lookup'!D:F,3,0),Table2[[#This Row],[Manual Cat Value]])</f>
        <v>Exp - Shopping</v>
      </c>
      <c r="H9823" s="8" t="s">
        <v>36</v>
      </c>
      <c r="I9823" s="8"/>
      <c r="O9823" t="str">
        <f>LEFT(Table2[[#This Row],[Description]],75)</f>
        <v>HALSEY44* #33614         HALSEY44.COM CA REF #24492166X0014NSSK</v>
      </c>
    </row>
    <row r="9824" spans="1:15" hidden="1">
      <c r="A9824">
        <v>202308</v>
      </c>
      <c r="B9824" s="6">
        <v>45148</v>
      </c>
      <c r="C9824" t="s">
        <v>4286</v>
      </c>
      <c r="D9824" t="s">
        <v>4755</v>
      </c>
      <c r="E9824">
        <v>123.36</v>
      </c>
      <c r="F9824" s="2" t="str">
        <f>IF(Table2[[#This Row],[Manual Cat Value]]="",VLOOKUP(Table2[[#This Row],[Description]],'Actuals Lookup'!D:F,3,0),Table2[[#This Row],[Manual Cat Value]])</f>
        <v>Exp - Restaurants</v>
      </c>
      <c r="H9824" s="8" t="s">
        <v>25</v>
      </c>
      <c r="I9824" s="8"/>
      <c r="O9824" t="str">
        <f>LEFT(Table2[[#This Row],[Description]],75)</f>
        <v>NA'S THAI CAFE           CHANHASSEN   MN REF #24055226X60ZHX75X</v>
      </c>
    </row>
    <row r="9825" spans="1:15" hidden="1">
      <c r="A9825">
        <v>202308</v>
      </c>
      <c r="B9825" s="6">
        <v>45148</v>
      </c>
      <c r="C9825" t="s">
        <v>4006</v>
      </c>
      <c r="D9825" t="s">
        <v>1925</v>
      </c>
      <c r="E9825">
        <v>51.6</v>
      </c>
      <c r="F9825" s="2" t="str">
        <f>IF(Table2[[#This Row],[Manual Cat Value]]="",VLOOKUP(Table2[[#This Row],[Description]],'Actuals Lookup'!D:F,3,0),Table2[[#This Row],[Manual Cat Value]])</f>
        <v>Groceries</v>
      </c>
      <c r="G9825" t="s">
        <v>28</v>
      </c>
      <c r="I9825" s="8"/>
      <c r="O9825" t="str">
        <f>LEFT(Table2[[#This Row],[Description]],75)</f>
        <v>Total Wine &amp; More</v>
      </c>
    </row>
    <row r="9826" spans="1:15" hidden="1">
      <c r="A9826">
        <v>202308</v>
      </c>
      <c r="B9826" s="6">
        <v>45149</v>
      </c>
      <c r="C9826" t="s">
        <v>4006</v>
      </c>
      <c r="D9826" t="s">
        <v>4756</v>
      </c>
      <c r="E9826">
        <v>3.46</v>
      </c>
      <c r="F9826" s="2" t="str">
        <f>IF(Table2[[#This Row],[Manual Cat Value]]="",VLOOKUP(Table2[[#This Row],[Description]],'Actuals Lookup'!D:F,3,0),Table2[[#This Row],[Manual Cat Value]])</f>
        <v>Exp - Transportation</v>
      </c>
      <c r="G9826" t="s">
        <v>26</v>
      </c>
      <c r="H9826" s="8" t="s">
        <v>22</v>
      </c>
      <c r="I9826" s="8"/>
      <c r="O9826" t="str">
        <f>LEFT(Table2[[#This Row],[Description]],75)</f>
        <v>Aroma</v>
      </c>
    </row>
    <row r="9827" spans="1:15" hidden="1">
      <c r="A9827">
        <v>202308</v>
      </c>
      <c r="B9827" s="6">
        <v>45149</v>
      </c>
      <c r="C9827" t="s">
        <v>4327</v>
      </c>
      <c r="D9827" t="s">
        <v>4757</v>
      </c>
      <c r="E9827">
        <v>3.75</v>
      </c>
      <c r="F9827" s="2" t="str">
        <f>IF(Table2[[#This Row],[Manual Cat Value]]="",VLOOKUP(Table2[[#This Row],[Description]],'Actuals Lookup'!D:F,3,0),Table2[[#This Row],[Manual Cat Value]])</f>
        <v>Exp - Groceries</v>
      </c>
      <c r="H9827" s="8" t="s">
        <v>27</v>
      </c>
      <c r="I9827" s="8"/>
      <c r="O9827" t="str">
        <f>LEFT(Table2[[#This Row],[Description]],75)</f>
        <v>CARGILL STORE            WAYZATA      MN REF #24943006YRLQ5EJZ7</v>
      </c>
    </row>
    <row r="9828" spans="1:15" hidden="1">
      <c r="A9828">
        <v>202308</v>
      </c>
      <c r="B9828" s="6">
        <v>45149</v>
      </c>
      <c r="C9828" t="s">
        <v>4328</v>
      </c>
      <c r="D9828" t="s">
        <v>4758</v>
      </c>
      <c r="E9828">
        <v>122.46</v>
      </c>
      <c r="F9828" s="2" t="str">
        <f>IF(Table2[[#This Row],[Manual Cat Value]]="",VLOOKUP(Table2[[#This Row],[Description]],'Actuals Lookup'!D:F,3,0),Table2[[#This Row],[Manual Cat Value]])</f>
        <v>Exp - Groceries</v>
      </c>
      <c r="H9828" s="8" t="s">
        <v>27</v>
      </c>
      <c r="I9828" s="8"/>
      <c r="O9828" t="str">
        <f>LEFT(Table2[[#This Row],[Description]],75)</f>
        <v>COSTCO WHSE #0783        EDEN PRAIRIE MN REF #24943006ZS4AFHLTQ</v>
      </c>
    </row>
    <row r="9829" spans="1:15" hidden="1">
      <c r="A9829">
        <v>202308</v>
      </c>
      <c r="B9829" s="6">
        <v>45149</v>
      </c>
      <c r="C9829" t="s">
        <v>4006</v>
      </c>
      <c r="D9829" t="s">
        <v>684</v>
      </c>
      <c r="E9829">
        <v>43.61</v>
      </c>
      <c r="F9829" s="2" t="str">
        <f>IF(Table2[[#This Row],[Manual Cat Value]]="",VLOOKUP(Table2[[#This Row],[Description]],'Actuals Lookup'!D:F,3,0),Table2[[#This Row],[Manual Cat Value]])</f>
        <v>Groceries</v>
      </c>
      <c r="G9829" t="s">
        <v>28</v>
      </c>
      <c r="I9829" s="8"/>
      <c r="O9829" t="str">
        <f>LEFT(Table2[[#This Row],[Description]],75)</f>
        <v>Cub Foods</v>
      </c>
    </row>
    <row r="9830" spans="1:15" hidden="1">
      <c r="A9830">
        <v>202308</v>
      </c>
      <c r="B9830" s="6">
        <v>45149</v>
      </c>
      <c r="C9830" t="s">
        <v>4006</v>
      </c>
      <c r="D9830" t="s">
        <v>4093</v>
      </c>
      <c r="E9830">
        <v>7.13</v>
      </c>
      <c r="F9830" s="2" t="str">
        <f>IF(Table2[[#This Row],[Manual Cat Value]]="",VLOOKUP(Table2[[#This Row],[Description]],'Actuals Lookup'!D:F,3,0),Table2[[#This Row],[Manual Cat Value]])</f>
        <v>Groceries</v>
      </c>
      <c r="G9830" t="s">
        <v>28</v>
      </c>
      <c r="I9830" s="8"/>
      <c r="O9830" t="str">
        <f>LEFT(Table2[[#This Row],[Description]],75)</f>
        <v>Kowalski's Market</v>
      </c>
    </row>
    <row r="9831" spans="1:15" hidden="1">
      <c r="A9831">
        <v>202308</v>
      </c>
      <c r="B9831" s="6">
        <v>45149</v>
      </c>
      <c r="C9831" t="s">
        <v>4006</v>
      </c>
      <c r="D9831" t="s">
        <v>1277</v>
      </c>
      <c r="E9831">
        <v>49.61</v>
      </c>
      <c r="F9831" s="2" t="str">
        <f>IF(Table2[[#This Row],[Manual Cat Value]]="",VLOOKUP(Table2[[#This Row],[Description]],'Actuals Lookup'!D:F,3,0),Table2[[#This Row],[Manual Cat Value]])</f>
        <v>Restaurants</v>
      </c>
      <c r="G9831" t="s">
        <v>26</v>
      </c>
      <c r="I9831" s="8"/>
      <c r="O9831" t="str">
        <f>LEFT(Table2[[#This Row],[Description]],75)</f>
        <v>Miyabi</v>
      </c>
    </row>
    <row r="9832" spans="1:15" hidden="1">
      <c r="A9832">
        <v>202308</v>
      </c>
      <c r="B9832" s="6">
        <v>45149</v>
      </c>
      <c r="C9832" t="s">
        <v>4006</v>
      </c>
      <c r="D9832" t="s">
        <v>4759</v>
      </c>
      <c r="E9832">
        <v>57.98</v>
      </c>
      <c r="F9832" s="2" t="str">
        <f>IF(Table2[[#This Row],[Manual Cat Value]]="",VLOOKUP(Table2[[#This Row],[Description]],'Actuals Lookup'!D:F,3,0),Table2[[#This Row],[Manual Cat Value]])</f>
        <v>Utilities</v>
      </c>
      <c r="G9832" t="s">
        <v>11</v>
      </c>
      <c r="I9832" s="8"/>
      <c r="O9832" t="str">
        <f>LEFT(Table2[[#This Row],[Description]],75)</f>
        <v>N 4543 State Hwy 22 Shawano Wi Xxxxxxxxxxx Xxxxxx4454</v>
      </c>
    </row>
    <row r="9833" spans="1:15" hidden="1">
      <c r="A9833">
        <v>202308</v>
      </c>
      <c r="B9833" s="6">
        <v>45149</v>
      </c>
      <c r="C9833" t="s">
        <v>4321</v>
      </c>
      <c r="D9833" t="s">
        <v>4760</v>
      </c>
      <c r="E9833">
        <v>25.36</v>
      </c>
      <c r="F9833" s="2" t="str">
        <f>IF(Table2[[#This Row],[Manual Cat Value]]="",VLOOKUP(Table2[[#This Row],[Description]],'Actuals Lookup'!D:F,3,0),Table2[[#This Row],[Manual Cat Value]])</f>
        <v>Exp - Utilities</v>
      </c>
      <c r="H9833" s="8" t="s">
        <v>6</v>
      </c>
      <c r="I9833" s="8"/>
      <c r="O9833" t="str">
        <f>LEFT(Table2[[#This Row],[Description]],75)</f>
        <v>Netflix                  1 8445052993 CA REF #24002846Y00FSZAWK</v>
      </c>
    </row>
    <row r="9834" spans="1:15" hidden="1">
      <c r="A9834">
        <v>202308</v>
      </c>
      <c r="B9834" s="6">
        <v>45149</v>
      </c>
      <c r="C9834" t="s">
        <v>4325</v>
      </c>
      <c r="D9834" t="s">
        <v>4761</v>
      </c>
      <c r="E9834">
        <v>-57.68</v>
      </c>
      <c r="F9834" s="2" t="str">
        <f>IF(Table2[[#This Row],[Manual Cat Value]]="",VLOOKUP(Table2[[#This Row],[Description]],'Actuals Lookup'!D:F,3,0),Table2[[#This Row],[Manual Cat Value]])</f>
        <v>Exp - Shopping</v>
      </c>
      <c r="H9834" s="8" t="s">
        <v>36</v>
      </c>
      <c r="I9834" s="8"/>
      <c r="O9834" t="str">
        <f>LEFT(Table2[[#This Row],[Description]],75)</f>
        <v>SHUTTERFLY INC.         650-610- CREDIT REF #74492156YLXRP9S68</v>
      </c>
    </row>
    <row r="9835" spans="1:15" hidden="1">
      <c r="A9835">
        <v>202308</v>
      </c>
      <c r="B9835" s="6">
        <v>45149</v>
      </c>
      <c r="C9835" t="s">
        <v>4006</v>
      </c>
      <c r="D9835" t="s">
        <v>4762</v>
      </c>
      <c r="E9835">
        <v>28</v>
      </c>
      <c r="F9835" s="2" t="str">
        <f>IF(Table2[[#This Row],[Manual Cat Value]]="",VLOOKUP(Table2[[#This Row],[Description]],'Actuals Lookup'!D:F,3,0),Table2[[#This Row],[Manual Cat Value]])</f>
        <v>Exp - Entertainment</v>
      </c>
      <c r="G9835" t="s">
        <v>11</v>
      </c>
      <c r="H9835" s="8" t="s">
        <v>39</v>
      </c>
      <c r="I9835" s="8"/>
      <c r="O9835" t="str">
        <f>LEFT(Table2[[#This Row],[Description]],75)</f>
        <v>Thornberry Creek</v>
      </c>
    </row>
    <row r="9836" spans="1:15" hidden="1">
      <c r="A9836">
        <v>202308</v>
      </c>
      <c r="B9836" s="6">
        <v>45149</v>
      </c>
      <c r="C9836" t="s">
        <v>4006</v>
      </c>
      <c r="D9836" t="s">
        <v>4762</v>
      </c>
      <c r="E9836">
        <v>48</v>
      </c>
      <c r="F9836" s="2" t="str">
        <f>IF(Table2[[#This Row],[Manual Cat Value]]="",VLOOKUP(Table2[[#This Row],[Description]],'Actuals Lookup'!D:F,3,0),Table2[[#This Row],[Manual Cat Value]])</f>
        <v>Exp - Entertainment</v>
      </c>
      <c r="G9836" t="s">
        <v>11</v>
      </c>
      <c r="H9836" s="8" t="s">
        <v>39</v>
      </c>
      <c r="I9836" s="8"/>
      <c r="O9836" t="str">
        <f>LEFT(Table2[[#This Row],[Description]],75)</f>
        <v>Thornberry Creek</v>
      </c>
    </row>
    <row r="9837" spans="1:15" hidden="1">
      <c r="A9837">
        <v>202308</v>
      </c>
      <c r="B9837" s="6">
        <v>45149</v>
      </c>
      <c r="C9837" t="s">
        <v>4355</v>
      </c>
      <c r="D9837" t="s">
        <v>1958</v>
      </c>
      <c r="E9837">
        <v>125</v>
      </c>
      <c r="F9837" s="2" t="str">
        <f>IF(Table2[[#This Row],[Manual Cat Value]]="",VLOOKUP(Table2[[#This Row],[Description]],'Actuals Lookup'!D:F,3,0),Table2[[#This Row],[Manual Cat Value]])</f>
        <v>Exp - Shopping</v>
      </c>
      <c r="H9837" s="8" t="s">
        <v>36</v>
      </c>
      <c r="I9837" s="8"/>
      <c r="O9837" t="str">
        <f>LEFT(Table2[[#This Row],[Description]],75)</f>
        <v>Transfer to Venmo</v>
      </c>
    </row>
    <row r="9838" spans="1:15" hidden="1">
      <c r="A9838">
        <v>202308</v>
      </c>
      <c r="B9838" s="6">
        <v>45149</v>
      </c>
      <c r="C9838" t="s">
        <v>4006</v>
      </c>
      <c r="D9838" t="s">
        <v>4763</v>
      </c>
      <c r="E9838">
        <v>23.83</v>
      </c>
      <c r="F9838" s="2" t="str">
        <f>IF(Table2[[#This Row],[Manual Cat Value]]="",VLOOKUP(Table2[[#This Row],[Description]],'Actuals Lookup'!D:F,3,0),Table2[[#This Row],[Manual Cat Value]])</f>
        <v>Restaurants</v>
      </c>
      <c r="G9838" t="s">
        <v>26</v>
      </c>
      <c r="I9838" s="8"/>
      <c r="O9838" t="str">
        <f>LEFT(Table2[[#This Row],[Description]],75)</f>
        <v>Tst* Stubborn Brotheshawano Wi Xxxxxxx3224 Restaurant</v>
      </c>
    </row>
    <row r="9839" spans="1:15" hidden="1">
      <c r="A9839">
        <v>202308</v>
      </c>
      <c r="B9839" s="6">
        <v>45150</v>
      </c>
      <c r="C9839" t="s">
        <v>4006</v>
      </c>
      <c r="D9839" t="s">
        <v>684</v>
      </c>
      <c r="E9839">
        <v>68.62</v>
      </c>
      <c r="F9839" s="2" t="str">
        <f>IF(Table2[[#This Row],[Manual Cat Value]]="",VLOOKUP(Table2[[#This Row],[Description]],'Actuals Lookup'!D:F,3,0),Table2[[#This Row],[Manual Cat Value]])</f>
        <v>Groceries</v>
      </c>
      <c r="G9839" t="s">
        <v>28</v>
      </c>
      <c r="I9839" s="8"/>
      <c r="O9839" t="str">
        <f>LEFT(Table2[[#This Row],[Description]],75)</f>
        <v>Cub Foods</v>
      </c>
    </row>
    <row r="9840" spans="1:15" hidden="1">
      <c r="A9840">
        <v>202308</v>
      </c>
      <c r="B9840" s="6">
        <v>45151</v>
      </c>
      <c r="C9840" t="s">
        <v>4006</v>
      </c>
      <c r="D9840" t="s">
        <v>4764</v>
      </c>
      <c r="E9840">
        <v>23.67</v>
      </c>
      <c r="F9840" s="2" t="str">
        <f>IF(Table2[[#This Row],[Manual Cat Value]]="",VLOOKUP(Table2[[#This Row],[Description]],'Actuals Lookup'!D:F,3,0),Table2[[#This Row],[Manual Cat Value]])</f>
        <v>Exp - Transportation</v>
      </c>
      <c r="G9840" t="s">
        <v>35</v>
      </c>
      <c r="H9840" s="8" t="s">
        <v>22</v>
      </c>
      <c r="I9840" s="8"/>
      <c r="O9840" t="str">
        <f>LEFT(Table2[[#This Row],[Description]],75)</f>
        <v>Bp#xxx1176r-store 44hatley Wi Xxxxxxxx Xxx-xxx-3860</v>
      </c>
    </row>
    <row r="9841" spans="1:15" hidden="1">
      <c r="A9841">
        <v>202308</v>
      </c>
      <c r="B9841" s="6">
        <v>45151</v>
      </c>
      <c r="C9841" t="s">
        <v>4006</v>
      </c>
      <c r="D9841" t="s">
        <v>4765</v>
      </c>
      <c r="E9841">
        <v>5.68</v>
      </c>
      <c r="F9841" s="2" t="str">
        <f>IF(Table2[[#This Row],[Manual Cat Value]]="",VLOOKUP(Table2[[#This Row],[Description]],'Actuals Lookup'!D:F,3,0),Table2[[#This Row],[Manual Cat Value]])</f>
        <v>Exp - Transportation</v>
      </c>
      <c r="G9841" t="s">
        <v>35</v>
      </c>
      <c r="H9841" s="8" t="s">
        <v>22</v>
      </c>
      <c r="I9841" s="8"/>
      <c r="O9841" t="str">
        <f>LEFT(Table2[[#This Row],[Description]],75)</f>
        <v>Bp#xxx1176r-store 44hatley Wi Xxxxxxxx Xxxxxxxx X4440</v>
      </c>
    </row>
    <row r="9842" spans="1:15" hidden="1">
      <c r="A9842">
        <v>202308</v>
      </c>
      <c r="B9842" s="6">
        <v>45151</v>
      </c>
      <c r="C9842" t="s">
        <v>4333</v>
      </c>
      <c r="D9842" t="s">
        <v>4766</v>
      </c>
      <c r="E9842">
        <v>45</v>
      </c>
      <c r="F9842" s="2" t="str">
        <f>IF(Table2[[#This Row],[Manual Cat Value]]="",VLOOKUP(Table2[[#This Row],[Description]],'Actuals Lookup'!D:F,3,0),Table2[[#This Row],[Manual Cat Value]])</f>
        <v>Exp - Utilities</v>
      </c>
      <c r="H9842" s="8" t="s">
        <v>6</v>
      </c>
      <c r="I9842" s="8"/>
      <c r="O9842" t="str">
        <f>LEFT(Table2[[#This Row],[Description]],75)</f>
        <v>CENTURYLINK LUMEN        800-244-1111 LA REF #24692167031BLQV6D</v>
      </c>
    </row>
    <row r="9843" spans="1:15" hidden="1">
      <c r="A9843">
        <v>202308</v>
      </c>
      <c r="B9843" s="6">
        <v>45151</v>
      </c>
      <c r="C9843" t="s">
        <v>4330</v>
      </c>
      <c r="D9843" t="s">
        <v>4767</v>
      </c>
      <c r="E9843">
        <v>5.99</v>
      </c>
      <c r="F9843" s="2" t="str">
        <f>IF(Table2[[#This Row],[Manual Cat Value]]="",VLOOKUP(Table2[[#This Row],[Description]],'Actuals Lookup'!D:F,3,0),Table2[[#This Row],[Manual Cat Value]])</f>
        <v>Exp - Entertainment</v>
      </c>
      <c r="H9843" s="8" t="s">
        <v>39</v>
      </c>
      <c r="I9843" s="8"/>
      <c r="O9843" t="str">
        <f>LEFT(Table2[[#This Row],[Description]],75)</f>
        <v>Hallmark Movies Now      844-4465669  CA REF #24906416Z57YJRNZG</v>
      </c>
    </row>
    <row r="9844" spans="1:15" hidden="1">
      <c r="A9844">
        <v>202308</v>
      </c>
      <c r="B9844" s="6">
        <v>45151</v>
      </c>
      <c r="C9844" t="s">
        <v>4006</v>
      </c>
      <c r="D9844" t="s">
        <v>4768</v>
      </c>
      <c r="E9844">
        <v>36.92</v>
      </c>
      <c r="F9844" s="2" t="str">
        <f>IF(Table2[[#This Row],[Manual Cat Value]]="",VLOOKUP(Table2[[#This Row],[Description]],'Actuals Lookup'!D:F,3,0),Table2[[#This Row],[Manual Cat Value]])</f>
        <v>Exp - Restaurants</v>
      </c>
      <c r="G9844" t="s">
        <v>4769</v>
      </c>
      <c r="H9844" s="8" t="s">
        <v>25</v>
      </c>
      <c r="I9844" s="8"/>
      <c r="O9844" t="str">
        <f>LEFT(Table2[[#This Row],[Description]],75)</f>
        <v>Hazelwood Food And Dexcelsior Mn Xxxxxxx3226 Office@hazellewoodgri</v>
      </c>
    </row>
    <row r="9845" spans="1:15" hidden="1">
      <c r="A9845">
        <v>202308</v>
      </c>
      <c r="B9845" s="6">
        <v>45151</v>
      </c>
      <c r="C9845" t="s">
        <v>4352</v>
      </c>
      <c r="D9845" t="s">
        <v>4343</v>
      </c>
      <c r="E9845">
        <v>-3342.8</v>
      </c>
      <c r="F9845" s="2" t="str">
        <f>IF(Table2[[#This Row],[Manual Cat Value]]="",VLOOKUP(Table2[[#This Row],[Description]],'Actuals Lookup'!D:F,3,0),Table2[[#This Row],[Manual Cat Value]])</f>
        <v>Inc - Jeff</v>
      </c>
      <c r="H9845" s="8" t="s">
        <v>63</v>
      </c>
      <c r="I9845" s="8"/>
      <c r="O9845" t="str">
        <f>LEFT(Table2[[#This Row],[Description]],75)</f>
        <v>Salary/Regular Income from TriNet</v>
      </c>
    </row>
    <row r="9846" spans="1:15" hidden="1">
      <c r="A9846">
        <v>202308</v>
      </c>
      <c r="B9846" s="6">
        <v>45151</v>
      </c>
      <c r="C9846" t="s">
        <v>4332</v>
      </c>
      <c r="D9846" t="s">
        <v>4770</v>
      </c>
      <c r="E9846">
        <v>19.440000000000001</v>
      </c>
      <c r="F9846" s="2" t="str">
        <f>IF(Table2[[#This Row],[Manual Cat Value]]="",VLOOKUP(Table2[[#This Row],[Description]],'Actuals Lookup'!D:F,3,0),Table2[[#This Row],[Manual Cat Value]])</f>
        <v>Exp - Healthcare</v>
      </c>
      <c r="H9846" s="8" t="s">
        <v>47</v>
      </c>
      <c r="I9846" s="8"/>
      <c r="O9846" t="str">
        <f>LEFT(Table2[[#This Row],[Description]],75)</f>
        <v>SOUTH LAKE PEDIATRICS    952-401-8300 MN REF #24137467001FLGBGH</v>
      </c>
    </row>
    <row r="9847" spans="1:15" hidden="1">
      <c r="A9847">
        <v>202308</v>
      </c>
      <c r="B9847" s="6">
        <v>45152</v>
      </c>
      <c r="C9847" t="s">
        <v>4368</v>
      </c>
      <c r="D9847" t="s">
        <v>4470</v>
      </c>
      <c r="E9847">
        <v>-61.97</v>
      </c>
      <c r="F9847" s="2" t="str">
        <f>IF(Table2[[#This Row],[Manual Cat Value]]="",VLOOKUP(Table2[[#This Row],[Description]],'Actuals Lookup'!D:F,3,0),Table2[[#This Row],[Manual Cat Value]])</f>
        <v>Inc - Jeff</v>
      </c>
      <c r="H9847" s="8" t="s">
        <v>63</v>
      </c>
      <c r="I9847" s="8"/>
      <c r="O9847" t="str">
        <f>LEFT(Table2[[#This Row],[Description]],75)</f>
        <v>Connectyourcare Deposit</v>
      </c>
    </row>
    <row r="9848" spans="1:15" hidden="1">
      <c r="A9848">
        <v>202308</v>
      </c>
      <c r="B9848" s="6">
        <v>45152</v>
      </c>
      <c r="C9848" t="s">
        <v>4337</v>
      </c>
      <c r="D9848" t="s">
        <v>4771</v>
      </c>
      <c r="E9848">
        <v>35.950000000000003</v>
      </c>
      <c r="F9848" s="2" t="str">
        <f>IF(Table2[[#This Row],[Manual Cat Value]]="",VLOOKUP(Table2[[#This Row],[Description]],'Actuals Lookup'!D:F,3,0),Table2[[#This Row],[Manual Cat Value]])</f>
        <v>Exp - House</v>
      </c>
      <c r="H9848" s="8" t="s">
        <v>49</v>
      </c>
      <c r="I9848" s="8"/>
      <c r="O9848" t="str">
        <f>LEFT(Table2[[#This Row],[Description]],75)</f>
        <v>MEDEXPRESS URGENT CARE MI877-2160458  WV REF #24755427186VTHWXV</v>
      </c>
    </row>
    <row r="9849" spans="1:15" hidden="1">
      <c r="A9849">
        <v>202308</v>
      </c>
      <c r="B9849" s="6">
        <v>45152</v>
      </c>
      <c r="C9849" t="s">
        <v>4336</v>
      </c>
      <c r="D9849" t="s">
        <v>4772</v>
      </c>
      <c r="E9849">
        <v>11.76</v>
      </c>
      <c r="F9849" s="2" t="str">
        <f>IF(Table2[[#This Row],[Manual Cat Value]]="",VLOOKUP(Table2[[#This Row],[Description]],'Actuals Lookup'!D:F,3,0),Table2[[#This Row],[Manual Cat Value]])</f>
        <v>Delete</v>
      </c>
      <c r="H9849" s="8" t="s">
        <v>9</v>
      </c>
      <c r="I9849" s="8"/>
      <c r="O9849" t="str">
        <f>LEFT(Table2[[#This Row],[Description]],75)</f>
        <v>UBER   TRIP              HELP.UBER.COMCA REF #244921571LWQLRYAB</v>
      </c>
    </row>
    <row r="9850" spans="1:15" hidden="1">
      <c r="A9850">
        <v>202308</v>
      </c>
      <c r="B9850" s="6">
        <v>45152</v>
      </c>
      <c r="C9850" t="s">
        <v>4363</v>
      </c>
      <c r="D9850" t="s">
        <v>4293</v>
      </c>
      <c r="E9850">
        <v>2075.09</v>
      </c>
      <c r="F9850" s="2" t="str">
        <f>IF(Table2[[#This Row],[Manual Cat Value]]="",VLOOKUP(Table2[[#This Row],[Description]],'Actuals Lookup'!D:F,3,0),Table2[[#This Row],[Manual Cat Value]])</f>
        <v>Delete</v>
      </c>
      <c r="H9850" s="8" t="s">
        <v>9</v>
      </c>
      <c r="I9850" s="8"/>
      <c r="O9850" t="str">
        <f>LEFT(Table2[[#This Row],[Description]],75)</f>
        <v>Withdrawal Home Banking Pmt to card XX5913</v>
      </c>
    </row>
    <row r="9851" spans="1:15" hidden="1">
      <c r="A9851">
        <v>202308</v>
      </c>
      <c r="B9851" s="6">
        <v>45152</v>
      </c>
      <c r="C9851" t="s">
        <v>4006</v>
      </c>
      <c r="D9851" t="s">
        <v>4012</v>
      </c>
      <c r="E9851">
        <v>-5262.85</v>
      </c>
      <c r="F9851" s="2" t="str">
        <f>IF(Table2[[#This Row],[Manual Cat Value]]="",VLOOKUP(Table2[[#This Row],[Description]],'Actuals Lookup'!D:F,3,0),Table2[[#This Row],[Manual Cat Value]])</f>
        <v>Delete</v>
      </c>
      <c r="G9851" t="s">
        <v>9</v>
      </c>
      <c r="H9851" s="8" t="s">
        <v>9</v>
      </c>
      <c r="I9851" s="8"/>
      <c r="O9851" t="str">
        <f>LEFT(Table2[[#This Row],[Description]],75)</f>
        <v>Online Payment - Thank You</v>
      </c>
    </row>
    <row r="9852" spans="1:15" hidden="1">
      <c r="A9852">
        <v>202308</v>
      </c>
      <c r="B9852" s="6">
        <v>45152</v>
      </c>
      <c r="C9852" t="s">
        <v>4342</v>
      </c>
      <c r="D9852" t="s">
        <v>4773</v>
      </c>
      <c r="E9852">
        <v>-2075.09</v>
      </c>
      <c r="F9852" s="2" t="str">
        <f>IF(Table2[[#This Row],[Manual Cat Value]]="",VLOOKUP(Table2[[#This Row],[Description]],'Actuals Lookup'!D:F,3,0),Table2[[#This Row],[Manual Cat Value]])</f>
        <v>Delete</v>
      </c>
      <c r="H9852" s="8" t="s">
        <v>9</v>
      </c>
      <c r="I9852" s="8"/>
      <c r="O9852" t="str">
        <f>LEFT(Table2[[#This Row],[Description]],75)</f>
        <v>PAYMENT - THANK YOU REF #74734577300XTMJG9</v>
      </c>
    </row>
    <row r="9853" spans="1:15" hidden="1">
      <c r="A9853">
        <v>202308</v>
      </c>
      <c r="B9853" s="6">
        <v>45152</v>
      </c>
      <c r="C9853" t="s">
        <v>4360</v>
      </c>
      <c r="D9853" t="s">
        <v>4356</v>
      </c>
      <c r="E9853">
        <v>116.77</v>
      </c>
      <c r="F9853" s="2" t="str">
        <f>IF(Table2[[#This Row],[Manual Cat Value]]="",VLOOKUP(Table2[[#This Row],[Description]],'Actuals Lookup'!D:F,3,0),Table2[[#This Row],[Manual Cat Value]])</f>
        <v>Exp - Insurance</v>
      </c>
      <c r="H9853" s="8" t="s">
        <v>17</v>
      </c>
      <c r="I9853" s="8"/>
      <c r="O9853" t="str">
        <f>LEFT(Table2[[#This Row],[Description]],75)</f>
        <v>Payment to American Family Insurance</v>
      </c>
    </row>
    <row r="9854" spans="1:15" hidden="1">
      <c r="A9854">
        <v>202308</v>
      </c>
      <c r="B9854" s="6">
        <v>45153</v>
      </c>
      <c r="C9854" t="s">
        <v>3932</v>
      </c>
      <c r="D9854" t="s">
        <v>38</v>
      </c>
      <c r="E9854">
        <v>15.02</v>
      </c>
      <c r="F9854" s="2" t="str">
        <f>IF(Table2[[#This Row],[Manual Cat Value]]="",VLOOKUP(Table2[[#This Row],[Description]],'Actuals Lookup'!D:F,3,0),Table2[[#This Row],[Manual Cat Value]])</f>
        <v>Exp - Amazon</v>
      </c>
      <c r="G9854" t="s">
        <v>41</v>
      </c>
      <c r="H9854" s="8" t="s">
        <v>37</v>
      </c>
      <c r="I9854" s="8"/>
      <c r="O9854" t="str">
        <f>LEFT(Table2[[#This Row],[Description]],75)</f>
        <v>Amazon</v>
      </c>
    </row>
    <row r="9855" spans="1:15" hidden="1">
      <c r="A9855">
        <v>202308</v>
      </c>
      <c r="B9855" s="6">
        <v>45153</v>
      </c>
      <c r="C9855" t="s">
        <v>4369</v>
      </c>
      <c r="D9855" t="s">
        <v>4774</v>
      </c>
      <c r="E9855">
        <v>265</v>
      </c>
      <c r="F9855" s="2" t="str">
        <f>IF(Table2[[#This Row],[Manual Cat Value]]="",VLOOKUP(Table2[[#This Row],[Description]],'Actuals Lookup'!D:F,3,0),Table2[[#This Row],[Manual Cat Value]])</f>
        <v>Exp - Day Care</v>
      </c>
      <c r="H9855" s="8" t="s">
        <v>19</v>
      </c>
      <c r="I9855" s="8"/>
      <c r="O9855" t="str">
        <f>LEFT(Table2[[#This Row],[Description]],75)</f>
        <v>Withdrawal ACH MHCHILDCARELLC TYPE: DUES ID: XX8198 CO: MHCHILDCARELLC Entr</v>
      </c>
    </row>
    <row r="9856" spans="1:15" hidden="1">
      <c r="A9856">
        <v>202308</v>
      </c>
      <c r="B9856" s="6">
        <v>45153</v>
      </c>
      <c r="C9856" t="s">
        <v>4371</v>
      </c>
      <c r="D9856" t="s">
        <v>1458</v>
      </c>
      <c r="E9856">
        <v>5262.85</v>
      </c>
      <c r="F9856" s="2" t="str">
        <f>IF(Table2[[#This Row],[Manual Cat Value]]="",VLOOKUP(Table2[[#This Row],[Description]],'Actuals Lookup'!D:F,3,0),Table2[[#This Row],[Manual Cat Value]])</f>
        <v>Delete</v>
      </c>
      <c r="H9856" s="8" t="s">
        <v>9</v>
      </c>
      <c r="I9856" s="8"/>
      <c r="O9856" t="str">
        <f>LEFT(Table2[[#This Row],[Description]],75)</f>
        <v>Payment to American Express</v>
      </c>
    </row>
    <row r="9857" spans="1:15" hidden="1">
      <c r="A9857">
        <v>202308</v>
      </c>
      <c r="B9857" s="6">
        <v>45154</v>
      </c>
      <c r="C9857" t="s">
        <v>3932</v>
      </c>
      <c r="D9857" t="s">
        <v>38</v>
      </c>
      <c r="E9857">
        <v>32.200000000000003</v>
      </c>
      <c r="F9857" s="2" t="str">
        <f>IF(Table2[[#This Row],[Manual Cat Value]]="",VLOOKUP(Table2[[#This Row],[Description]],'Actuals Lookup'!D:F,3,0),Table2[[#This Row],[Manual Cat Value]])</f>
        <v>Exp - Amazon</v>
      </c>
      <c r="G9857" t="s">
        <v>41</v>
      </c>
      <c r="H9857" s="8" t="s">
        <v>37</v>
      </c>
      <c r="I9857" s="8"/>
      <c r="O9857" t="str">
        <f>LEFT(Table2[[#This Row],[Description]],75)</f>
        <v>Amazon</v>
      </c>
    </row>
    <row r="9858" spans="1:15" hidden="1">
      <c r="A9858">
        <v>202308</v>
      </c>
      <c r="B9858" s="6">
        <v>45154</v>
      </c>
      <c r="C9858" t="s">
        <v>4351</v>
      </c>
      <c r="D9858" t="s">
        <v>4775</v>
      </c>
      <c r="E9858">
        <v>7.74</v>
      </c>
      <c r="F9858" s="2" t="str">
        <f>IF(Table2[[#This Row],[Manual Cat Value]]="",VLOOKUP(Table2[[#This Row],[Description]],'Actuals Lookup'!D:F,3,0),Table2[[#This Row],[Manual Cat Value]])</f>
        <v>Exp - Restaurants</v>
      </c>
      <c r="H9858" s="8" t="s">
        <v>25</v>
      </c>
      <c r="I9858" s="8"/>
      <c r="O9858" t="str">
        <f>LEFT(Table2[[#This Row],[Description]],75)</f>
        <v>WAYZATA CAFE             WAYZATA      MN REF #249430074W5XJE6EK</v>
      </c>
    </row>
    <row r="9859" spans="1:15" hidden="1">
      <c r="A9859">
        <v>202308</v>
      </c>
      <c r="B9859" s="6">
        <v>45154</v>
      </c>
      <c r="C9859" t="s">
        <v>4370</v>
      </c>
      <c r="D9859" t="s">
        <v>4776</v>
      </c>
      <c r="E9859">
        <v>205</v>
      </c>
      <c r="F9859" s="2" t="e">
        <f>IF(Table2[[#This Row],[Manual Cat Value]]="",VLOOKUP(Table2[[#This Row],[Description]],'Actuals Lookup'!D:F,3,0),Table2[[#This Row],[Manual Cat Value]])</f>
        <v>#N/A</v>
      </c>
      <c r="I9859" s="8"/>
      <c r="O9859" t="str">
        <f>LEFT(Table2[[#This Row],[Description]],75)</f>
        <v>Withdrawal ACH NORTHERN STAR EV TYPE: SES:XX0330 ID: XX3620 CO: NORTHERN ST</v>
      </c>
    </row>
    <row r="9860" spans="1:15" hidden="1">
      <c r="A9860">
        <v>202308</v>
      </c>
      <c r="B9860" s="6">
        <v>45155</v>
      </c>
      <c r="C9860" t="s">
        <v>2712</v>
      </c>
      <c r="D9860" t="s">
        <v>404</v>
      </c>
      <c r="E9860">
        <v>-3630.74</v>
      </c>
      <c r="F9860" s="2" t="str">
        <f>IF(Table2[[#This Row],[Manual Cat Value]]="",VLOOKUP(Table2[[#This Row],[Description]],'Actuals Lookup'!D:F,3,0),Table2[[#This Row],[Manual Cat Value]])</f>
        <v>Inc - Britney</v>
      </c>
      <c r="H9860" s="8" t="s">
        <v>65</v>
      </c>
      <c r="I9860" s="8"/>
      <c r="O9860" t="str">
        <f>LEFT(Table2[[#This Row],[Description]],75)</f>
        <v>Cargill Inc Deposit</v>
      </c>
    </row>
    <row r="9861" spans="1:15" hidden="1">
      <c r="A9861">
        <v>202308</v>
      </c>
      <c r="B9861" s="6">
        <v>45155</v>
      </c>
      <c r="C9861" t="s">
        <v>4375</v>
      </c>
      <c r="D9861" t="s">
        <v>4777</v>
      </c>
      <c r="E9861">
        <v>-2417.85</v>
      </c>
      <c r="F9861" s="2" t="str">
        <f>IF(Table2[[#This Row],[Manual Cat Value]]="",VLOOKUP(Table2[[#This Row],[Description]],'Actuals Lookup'!D:F,3,0),Table2[[#This Row],[Manual Cat Value]])</f>
        <v>Inc - Jeff</v>
      </c>
      <c r="H9861" s="8" t="s">
        <v>63</v>
      </c>
      <c r="I9861" s="8"/>
      <c r="O9861" t="str">
        <f>LEFT(Table2[[#This Row],[Description]],75)</f>
        <v>Deposit ACH EMPYREAN SOLUTIO TYPE: XX9000 ID: XX3620 CO: EMPYREAN SOLUTIO E</v>
      </c>
    </row>
    <row r="9862" spans="1:15" hidden="1">
      <c r="A9862">
        <v>202308</v>
      </c>
      <c r="B9862" s="6">
        <v>45155</v>
      </c>
      <c r="C9862" t="s">
        <v>4006</v>
      </c>
      <c r="D9862" t="s">
        <v>4778</v>
      </c>
      <c r="E9862">
        <v>39.159999999999997</v>
      </c>
      <c r="F9862" s="2" t="str">
        <f>IF(Table2[[#This Row],[Manual Cat Value]]="",VLOOKUP(Table2[[#This Row],[Description]],'Actuals Lookup'!D:F,3,0),Table2[[#This Row],[Manual Cat Value]])</f>
        <v>Exp - Restaurants</v>
      </c>
      <c r="G9862" t="s">
        <v>26</v>
      </c>
      <c r="H9862" s="8" t="s">
        <v>25</v>
      </c>
      <c r="I9862" s="8"/>
      <c r="O9862" t="str">
        <f>LEFT(Table2[[#This Row],[Description]],75)</f>
        <v>Sumo &amp; Smoh Chaska Mn V2oux13jscj Squareup.com/receipts</v>
      </c>
    </row>
    <row r="9863" spans="1:15" hidden="1">
      <c r="A9863">
        <v>202308</v>
      </c>
      <c r="B9863" s="6">
        <v>45156</v>
      </c>
      <c r="C9863" t="s">
        <v>3932</v>
      </c>
      <c r="D9863" t="s">
        <v>4779</v>
      </c>
      <c r="E9863">
        <v>-33.799999999999997</v>
      </c>
      <c r="F9863" s="2" t="str">
        <f>IF(Table2[[#This Row],[Manual Cat Value]]="",VLOOKUP(Table2[[#This Row],[Description]],'Actuals Lookup'!D:F,3,0),Table2[[#This Row],[Manual Cat Value]])</f>
        <v>Delete</v>
      </c>
      <c r="G9863" t="s">
        <v>8</v>
      </c>
      <c r="H9863" s="8" t="s">
        <v>9</v>
      </c>
      <c r="I9863" s="8"/>
      <c r="O9863" t="str">
        <f>LEFT(Table2[[#This Row],[Description]],75)</f>
        <v>Directpay Full Balance</v>
      </c>
    </row>
    <row r="9864" spans="1:15" hidden="1">
      <c r="A9864">
        <v>202308</v>
      </c>
      <c r="B9864" s="6">
        <v>45156</v>
      </c>
      <c r="C9864" t="s">
        <v>4006</v>
      </c>
      <c r="D9864" t="s">
        <v>4780</v>
      </c>
      <c r="E9864">
        <v>14.96</v>
      </c>
      <c r="F9864" s="2" t="str">
        <f>IF(Table2[[#This Row],[Manual Cat Value]]="",VLOOKUP(Table2[[#This Row],[Description]],'Actuals Lookup'!D:F,3,0),Table2[[#This Row],[Manual Cat Value]])</f>
        <v>Entertainment</v>
      </c>
      <c r="G9864" t="s">
        <v>40</v>
      </c>
      <c r="I9864" s="8"/>
      <c r="O9864" t="str">
        <f>LEFT(Table2[[#This Row],[Description]],75)</f>
        <v>Go Concessions 0000 Oakdale Mn Xxxxxxxx Xxx-xxx-9138</v>
      </c>
    </row>
    <row r="9865" spans="1:15" hidden="1">
      <c r="A9865">
        <v>202308</v>
      </c>
      <c r="B9865" s="6">
        <v>45156</v>
      </c>
      <c r="C9865" t="s">
        <v>4006</v>
      </c>
      <c r="D9865" t="s">
        <v>945</v>
      </c>
      <c r="E9865">
        <v>56.25</v>
      </c>
      <c r="F9865" s="2" t="str">
        <f>IF(Table2[[#This Row],[Manual Cat Value]]="",VLOOKUP(Table2[[#This Row],[Description]],'Actuals Lookup'!D:F,3,0),Table2[[#This Row],[Manual Cat Value]])</f>
        <v>Groceries</v>
      </c>
      <c r="G9865" t="s">
        <v>28</v>
      </c>
      <c r="I9865" s="8"/>
      <c r="O9865" t="str">
        <f>LEFT(Table2[[#This Row],[Description]],75)</f>
        <v>Holiday Stationstores</v>
      </c>
    </row>
    <row r="9866" spans="1:15" hidden="1">
      <c r="A9866">
        <v>202308</v>
      </c>
      <c r="B9866" s="6">
        <v>45156</v>
      </c>
      <c r="C9866" t="s">
        <v>4380</v>
      </c>
      <c r="D9866" t="s">
        <v>4781</v>
      </c>
      <c r="E9866">
        <v>650</v>
      </c>
      <c r="F9866" s="2" t="str">
        <f>IF(Table2[[#This Row],[Manual Cat Value]]="",VLOOKUP(Table2[[#This Row],[Description]],'Actuals Lookup'!D:F,3,0),Table2[[#This Row],[Manual Cat Value]])</f>
        <v>Exp - Day Care</v>
      </c>
      <c r="H9866" s="8" t="s">
        <v>19</v>
      </c>
      <c r="I9866" s="8"/>
      <c r="O9866" t="str">
        <f>LEFT(Table2[[#This Row],[Description]],75)</f>
        <v>Withdrawal ACH MN DIR ACH TYPE: CONTRIB ID: XX7162 CO: MN DIR ACH NAME: XX2</v>
      </c>
    </row>
    <row r="9867" spans="1:15" hidden="1">
      <c r="A9867">
        <v>202308</v>
      </c>
      <c r="B9867" s="6">
        <v>45158</v>
      </c>
      <c r="C9867" t="s">
        <v>4350</v>
      </c>
      <c r="D9867" t="s">
        <v>4782</v>
      </c>
      <c r="E9867">
        <v>178.5</v>
      </c>
      <c r="F9867" s="2" t="str">
        <f>IF(Table2[[#This Row],[Manual Cat Value]]="",VLOOKUP(Table2[[#This Row],[Description]],'Actuals Lookup'!D:F,3,0),Table2[[#This Row],[Manual Cat Value]])</f>
        <v>Exp - Day Care</v>
      </c>
      <c r="H9867" s="8" t="s">
        <v>19</v>
      </c>
      <c r="I9867" s="8"/>
      <c r="O9867" t="str">
        <f>LEFT(Table2[[#This Row],[Description]],75)</f>
        <v>BCS*MINNETONKA COMMUNITY 952-401-6800 MN REF #24137467701FF7NF1</v>
      </c>
    </row>
    <row r="9868" spans="1:15" hidden="1">
      <c r="A9868">
        <v>202308</v>
      </c>
      <c r="B9868" s="6">
        <v>45158</v>
      </c>
      <c r="C9868" t="s">
        <v>4006</v>
      </c>
      <c r="D9868" t="s">
        <v>4783</v>
      </c>
      <c r="E9868">
        <v>116.2</v>
      </c>
      <c r="F9868" s="2" t="str">
        <f>IF(Table2[[#This Row],[Manual Cat Value]]="",VLOOKUP(Table2[[#This Row],[Description]],'Actuals Lookup'!D:F,3,0),Table2[[#This Row],[Manual Cat Value]])</f>
        <v>Exp - Restaurants</v>
      </c>
      <c r="G9868" t="s">
        <v>26</v>
      </c>
      <c r="H9868" s="8" t="s">
        <v>25</v>
      </c>
      <c r="I9868" s="8"/>
      <c r="O9868" t="str">
        <f>LEFT(Table2[[#This Row],[Description]],75)</f>
        <v>Tst* Maynards - Outsexcelsior Mn Xxxxxxx3013 Restaurant</v>
      </c>
    </row>
    <row r="9869" spans="1:15" hidden="1">
      <c r="A9869">
        <v>202308</v>
      </c>
      <c r="B9869" s="6">
        <v>45159</v>
      </c>
      <c r="C9869" t="s">
        <v>4355</v>
      </c>
      <c r="D9869" t="s">
        <v>4784</v>
      </c>
      <c r="E9869">
        <v>11</v>
      </c>
      <c r="F9869" s="2" t="str">
        <f>IF(Table2[[#This Row],[Manual Cat Value]]="",VLOOKUP(Table2[[#This Row],[Description]],'Actuals Lookup'!D:F,3,0),Table2[[#This Row],[Manual Cat Value]])</f>
        <v>Exp - Utilities</v>
      </c>
      <c r="H9869" s="8" t="s">
        <v>6</v>
      </c>
      <c r="I9869" s="8"/>
      <c r="O9869" t="str">
        <f>LEFT(Table2[[#This Row],[Description]],75)</f>
        <v>BONFES PLUMBING HEATING A651-3326633  MN REF #242753978S66L4SKD</v>
      </c>
    </row>
    <row r="9870" spans="1:15" hidden="1">
      <c r="A9870">
        <v>202308</v>
      </c>
      <c r="B9870" s="6">
        <v>45159</v>
      </c>
      <c r="C9870" t="s">
        <v>4006</v>
      </c>
      <c r="D9870" t="s">
        <v>453</v>
      </c>
      <c r="E9870">
        <v>12.24</v>
      </c>
      <c r="F9870" s="2" t="str">
        <f>IF(Table2[[#This Row],[Manual Cat Value]]="",VLOOKUP(Table2[[#This Row],[Description]],'Actuals Lookup'!D:F,3,0),Table2[[#This Row],[Manual Cat Value]])</f>
        <v>Exp - Restaurants</v>
      </c>
      <c r="G9870" t="s">
        <v>26</v>
      </c>
      <c r="H9870" s="8" t="s">
        <v>25</v>
      </c>
      <c r="I9870" s="8"/>
      <c r="O9870" t="str">
        <f>LEFT(Table2[[#This Row],[Description]],75)</f>
        <v>Caribou Coffee</v>
      </c>
    </row>
    <row r="9871" spans="1:15" hidden="1">
      <c r="A9871">
        <v>202308</v>
      </c>
      <c r="B9871" s="6">
        <v>45159</v>
      </c>
      <c r="C9871" t="s">
        <v>4400</v>
      </c>
      <c r="D9871" t="s">
        <v>4785</v>
      </c>
      <c r="E9871">
        <v>-3000</v>
      </c>
      <c r="F9871" s="2" t="str">
        <f>IF(Table2[[#This Row],[Manual Cat Value]]="",VLOOKUP(Table2[[#This Row],[Description]],'Actuals Lookup'!D:F,3,0),Table2[[#This Row],[Manual Cat Value]])</f>
        <v>Delete</v>
      </c>
      <c r="H9871" s="8" t="s">
        <v>9</v>
      </c>
      <c r="I9871" s="8"/>
      <c r="O9871" t="str">
        <f>LEFT(Table2[[#This Row],[Description]],75)</f>
        <v>Deposit Home Banking Transfer From Share 01 REF # XX2129</v>
      </c>
    </row>
    <row r="9872" spans="1:15" hidden="1">
      <c r="A9872">
        <v>202308</v>
      </c>
      <c r="B9872" s="6">
        <v>45159</v>
      </c>
      <c r="C9872" t="s">
        <v>4006</v>
      </c>
      <c r="D9872" t="s">
        <v>4786</v>
      </c>
      <c r="E9872">
        <v>518</v>
      </c>
      <c r="F9872" s="2" t="str">
        <f>IF(Table2[[#This Row],[Manual Cat Value]]="",VLOOKUP(Table2[[#This Row],[Description]],'Actuals Lookup'!D:F,3,0),Table2[[#This Row],[Manual Cat Value]])</f>
        <v>Entertainment</v>
      </c>
      <c r="G9872" t="s">
        <v>40</v>
      </c>
      <c r="I9872" s="8"/>
      <c r="O9872" t="str">
        <f>LEFT(Table2[[#This Row],[Description]],75)</f>
        <v>Ku Ticket Office 023lawrence Ks Xxxxxxxx Xxxxxxxxxx X5331</v>
      </c>
    </row>
    <row r="9873" spans="1:15" hidden="1">
      <c r="A9873">
        <v>202308</v>
      </c>
      <c r="B9873" s="6">
        <v>45159</v>
      </c>
      <c r="C9873" t="s">
        <v>4006</v>
      </c>
      <c r="D9873" t="s">
        <v>1083</v>
      </c>
      <c r="E9873">
        <v>69.39</v>
      </c>
      <c r="F9873" s="2" t="str">
        <f>IF(Table2[[#This Row],[Manual Cat Value]]="",VLOOKUP(Table2[[#This Row],[Description]],'Actuals Lookup'!D:F,3,0),Table2[[#This Row],[Manual Cat Value]])</f>
        <v>Transportation</v>
      </c>
      <c r="G9873" t="s">
        <v>23</v>
      </c>
      <c r="I9873" s="8"/>
      <c r="O9873" t="str">
        <f>LEFT(Table2[[#This Row],[Description]],75)</f>
        <v>Kwik Trip</v>
      </c>
    </row>
    <row r="9874" spans="1:15" hidden="1">
      <c r="A9874">
        <v>202308</v>
      </c>
      <c r="B9874" s="6">
        <v>45159</v>
      </c>
      <c r="C9874" t="s">
        <v>4006</v>
      </c>
      <c r="D9874" t="s">
        <v>1356</v>
      </c>
      <c r="E9874">
        <v>123.38</v>
      </c>
      <c r="F9874" s="2" t="str">
        <f>IF(Table2[[#This Row],[Manual Cat Value]]="",VLOOKUP(Table2[[#This Row],[Description]],'Actuals Lookup'!D:F,3,0),Table2[[#This Row],[Manual Cat Value]])</f>
        <v>Restaurants</v>
      </c>
      <c r="G9874" t="s">
        <v>26</v>
      </c>
      <c r="I9874" s="8"/>
      <c r="O9874" t="str">
        <f>LEFT(Table2[[#This Row],[Description]],75)</f>
        <v>North Coop</v>
      </c>
    </row>
    <row r="9875" spans="1:15" hidden="1">
      <c r="A9875">
        <v>202308</v>
      </c>
      <c r="B9875" s="6">
        <v>45159</v>
      </c>
      <c r="C9875" t="s">
        <v>4382</v>
      </c>
      <c r="D9875" t="s">
        <v>1955</v>
      </c>
      <c r="E9875">
        <v>2.99</v>
      </c>
      <c r="F9875" s="2" t="str">
        <f>IF(Table2[[#This Row],[Manual Cat Value]]="",VLOOKUP(Table2[[#This Row],[Description]],'Actuals Lookup'!D:F,3,0),Table2[[#This Row],[Manual Cat Value]])</f>
        <v>Exp - Shopping</v>
      </c>
      <c r="H9875" s="8" t="s">
        <v>36</v>
      </c>
      <c r="I9875" s="8"/>
      <c r="O9875" t="str">
        <f>LEFT(Table2[[#This Row],[Description]],75)</f>
        <v>Transfer to PayPal</v>
      </c>
    </row>
    <row r="9876" spans="1:15" hidden="1">
      <c r="A9876">
        <v>202308</v>
      </c>
      <c r="B9876" s="6">
        <v>45159</v>
      </c>
      <c r="C9876" t="s">
        <v>3199</v>
      </c>
      <c r="D9876" t="s">
        <v>4787</v>
      </c>
      <c r="E9876">
        <v>89.8</v>
      </c>
      <c r="F9876" s="2" t="str">
        <f>IF(Table2[[#This Row],[Manual Cat Value]]="",VLOOKUP(Table2[[#This Row],[Description]],'Actuals Lookup'!D:F,3,0),Table2[[#This Row],[Manual Cat Value]])</f>
        <v>Exp - Utilities</v>
      </c>
      <c r="H9876" s="8" t="s">
        <v>6</v>
      </c>
      <c r="I9876" s="8"/>
      <c r="O9876" t="str">
        <f>LEFT(Table2[[#This Row],[Description]],75)</f>
        <v>Withdrawal ACH CITY OF CHANHASS TYPE: UTIL BILL ID: XX5331 CO: CITY OF CHAN</v>
      </c>
    </row>
    <row r="9877" spans="1:15" hidden="1">
      <c r="A9877">
        <v>202308</v>
      </c>
      <c r="B9877" s="6">
        <v>45159</v>
      </c>
      <c r="C9877" t="s">
        <v>4381</v>
      </c>
      <c r="D9877" t="s">
        <v>1464</v>
      </c>
      <c r="E9877">
        <v>33.799999999999997</v>
      </c>
      <c r="F9877" s="2" t="str">
        <f>IF(Table2[[#This Row],[Manual Cat Value]]="",VLOOKUP(Table2[[#This Row],[Description]],'Actuals Lookup'!D:F,3,0),Table2[[#This Row],[Manual Cat Value]])</f>
        <v>Delete</v>
      </c>
      <c r="H9877" s="8" t="s">
        <v>9</v>
      </c>
      <c r="I9877" s="8"/>
      <c r="O9877" t="str">
        <f>LEFT(Table2[[#This Row],[Description]],75)</f>
        <v>Payment to Discover Bank</v>
      </c>
    </row>
    <row r="9878" spans="1:15" hidden="1">
      <c r="A9878">
        <v>202308</v>
      </c>
      <c r="B9878" s="6">
        <v>45160</v>
      </c>
      <c r="C9878" t="s">
        <v>4006</v>
      </c>
      <c r="D9878" t="s">
        <v>4788</v>
      </c>
      <c r="E9878">
        <v>47.65</v>
      </c>
      <c r="F9878" s="2" t="str">
        <f>IF(Table2[[#This Row],[Manual Cat Value]]="",VLOOKUP(Table2[[#This Row],[Description]],'Actuals Lookup'!D:F,3,0),Table2[[#This Row],[Manual Cat Value]])</f>
        <v>Exp - Entertainment</v>
      </c>
      <c r="G9878" t="s">
        <v>35</v>
      </c>
      <c r="H9878" s="8" t="s">
        <v>39</v>
      </c>
      <c r="I9878" s="8"/>
      <c r="O9878" t="str">
        <f>LEFT(Table2[[#This Row],[Description]],75)</f>
        <v>Aplpay Bt*i See Me! Plymouth Mn Eh941vj2 Xxxxxxxxxx X6208</v>
      </c>
    </row>
    <row r="9879" spans="1:15" hidden="1">
      <c r="A9879">
        <v>202308</v>
      </c>
      <c r="B9879" s="6">
        <v>45160</v>
      </c>
      <c r="C9879" t="s">
        <v>4352</v>
      </c>
      <c r="D9879" t="s">
        <v>4789</v>
      </c>
      <c r="E9879">
        <v>35.47</v>
      </c>
      <c r="F9879" s="2" t="str">
        <f>IF(Table2[[#This Row],[Manual Cat Value]]="",VLOOKUP(Table2[[#This Row],[Description]],'Actuals Lookup'!D:F,3,0),Table2[[#This Row],[Manual Cat Value]])</f>
        <v>Exp - Day Care</v>
      </c>
      <c r="H9879" s="8" t="s">
        <v>19</v>
      </c>
      <c r="I9879" s="8"/>
      <c r="O9879" t="str">
        <f>LEFT(Table2[[#This Row],[Description]],75)</f>
        <v>MCW 1602-MINNETONKA      952-3778113  MN REF #240710579VAL42YYF</v>
      </c>
    </row>
    <row r="9880" spans="1:15" hidden="1">
      <c r="A9880">
        <v>202308</v>
      </c>
      <c r="B9880" s="6">
        <v>45160</v>
      </c>
      <c r="C9880" t="s">
        <v>4403</v>
      </c>
      <c r="D9880" t="s">
        <v>4790</v>
      </c>
      <c r="E9880">
        <v>265</v>
      </c>
      <c r="F9880" s="2" t="str">
        <f>IF(Table2[[#This Row],[Manual Cat Value]]="",VLOOKUP(Table2[[#This Row],[Description]],'Actuals Lookup'!D:F,3,0),Table2[[#This Row],[Manual Cat Value]])</f>
        <v>Exp - Day Care</v>
      </c>
      <c r="H9880" s="8" t="s">
        <v>19</v>
      </c>
      <c r="I9880" s="8"/>
      <c r="O9880" t="str">
        <f>LEFT(Table2[[#This Row],[Description]],75)</f>
        <v>Withdrawal ACH MHCHILDCARELLC TYPE: DUES ID: XX8198 CO: MHCHILDCARELLC Entr</v>
      </c>
    </row>
    <row r="9881" spans="1:15" hidden="1">
      <c r="A9881">
        <v>202308</v>
      </c>
      <c r="B9881" s="6">
        <v>45161</v>
      </c>
      <c r="C9881" t="s">
        <v>4006</v>
      </c>
      <c r="D9881" t="s">
        <v>4791</v>
      </c>
      <c r="E9881">
        <v>240.42</v>
      </c>
      <c r="F9881" s="2" t="str">
        <f>IF(Table2[[#This Row],[Manual Cat Value]]="",VLOOKUP(Table2[[#This Row],[Description]],'Actuals Lookup'!D:F,3,0),Table2[[#This Row],[Manual Cat Value]])</f>
        <v>Shopping</v>
      </c>
      <c r="G9881" t="s">
        <v>21</v>
      </c>
      <c r="I9881" s="8"/>
      <c r="O9881" t="str">
        <f>LEFT(Table2[[#This Row],[Description]],75)</f>
        <v>Rally Stores Inc</v>
      </c>
    </row>
    <row r="9882" spans="1:15" hidden="1">
      <c r="A9882">
        <v>202308</v>
      </c>
      <c r="B9882" s="6">
        <v>45161</v>
      </c>
      <c r="C9882" t="s">
        <v>4360</v>
      </c>
      <c r="D9882" t="s">
        <v>4792</v>
      </c>
      <c r="E9882">
        <v>115.95</v>
      </c>
      <c r="F9882" s="2" t="str">
        <f>IF(Table2[[#This Row],[Manual Cat Value]]="",VLOOKUP(Table2[[#This Row],[Description]],'Actuals Lookup'!D:F,3,0),Table2[[#This Row],[Manual Cat Value]])</f>
        <v>Exp - Shopping</v>
      </c>
      <c r="H9882" s="8" t="s">
        <v>36</v>
      </c>
      <c r="I9882" s="8"/>
      <c r="O9882" t="str">
        <f>LEFT(Table2[[#This Row],[Description]],75)</f>
        <v>SP FREEFLYAPPAREL        HTTPSFREEFLYASC REF #24492167A00141WDJ</v>
      </c>
    </row>
    <row r="9883" spans="1:15" hidden="1">
      <c r="A9883">
        <v>202308</v>
      </c>
      <c r="B9883" s="6">
        <v>45161</v>
      </c>
      <c r="C9883" t="s">
        <v>4363</v>
      </c>
      <c r="D9883" t="s">
        <v>4793</v>
      </c>
      <c r="E9883">
        <v>146</v>
      </c>
      <c r="F9883" s="2" t="str">
        <f>IF(Table2[[#This Row],[Manual Cat Value]]="",VLOOKUP(Table2[[#This Row],[Description]],'Actuals Lookup'!D:F,3,0),Table2[[#This Row],[Manual Cat Value]])</f>
        <v>Exp - Shopping</v>
      </c>
      <c r="H9883" s="8" t="s">
        <v>36</v>
      </c>
      <c r="I9883" s="8"/>
      <c r="O9883" t="str">
        <f>LEFT(Table2[[#This Row],[Description]],75)</f>
        <v>SP VUORI CLOTHING        HTTPSVUORICLOCA REF #24492167A0017VFNE</v>
      </c>
    </row>
    <row r="9884" spans="1:15" hidden="1">
      <c r="A9884">
        <v>202308</v>
      </c>
      <c r="B9884" s="6">
        <v>45162</v>
      </c>
      <c r="C9884" t="s">
        <v>4368</v>
      </c>
      <c r="D9884" t="s">
        <v>4794</v>
      </c>
      <c r="E9884">
        <v>78.98</v>
      </c>
      <c r="F9884" s="2" t="str">
        <f>IF(Table2[[#This Row],[Manual Cat Value]]="",VLOOKUP(Table2[[#This Row],[Description]],'Actuals Lookup'!D:F,3,0),Table2[[#This Row],[Manual Cat Value]])</f>
        <v>Exp - Amazon</v>
      </c>
      <c r="H9884" s="8" t="s">
        <v>37</v>
      </c>
      <c r="I9884" s="8"/>
      <c r="O9884" t="str">
        <f>LEFT(Table2[[#This Row],[Description]],75)</f>
        <v>AMZN MKTP US*T31IY9C62 AMAMZN.COM/BILLWA REF #24431067B2DK81XQT</v>
      </c>
    </row>
    <row r="9885" spans="1:15" hidden="1">
      <c r="A9885">
        <v>202308</v>
      </c>
      <c r="B9885" s="6">
        <v>45163</v>
      </c>
      <c r="C9885" t="s">
        <v>4369</v>
      </c>
      <c r="D9885" t="s">
        <v>4795</v>
      </c>
      <c r="E9885">
        <v>17.170000000000002</v>
      </c>
      <c r="F9885" s="2" t="str">
        <f>IF(Table2[[#This Row],[Manual Cat Value]]="",VLOOKUP(Table2[[#This Row],[Description]],'Actuals Lookup'!D:F,3,0),Table2[[#This Row],[Manual Cat Value]])</f>
        <v>Exp - Amazon</v>
      </c>
      <c r="H9885" s="8" t="s">
        <v>37</v>
      </c>
      <c r="I9885" s="8"/>
      <c r="O9885" t="str">
        <f>LEFT(Table2[[#This Row],[Description]],75)</f>
        <v>AMZN MKTP US*T33WS33B2 AMAMZN.COM/BILLWA REF #24431067D2DK348L3</v>
      </c>
    </row>
    <row r="9886" spans="1:15" hidden="1">
      <c r="A9886">
        <v>202308</v>
      </c>
      <c r="B9886" s="6">
        <v>45163</v>
      </c>
      <c r="C9886" t="s">
        <v>4413</v>
      </c>
      <c r="D9886" t="s">
        <v>1355</v>
      </c>
      <c r="E9886">
        <v>466.57</v>
      </c>
      <c r="F9886" s="2" t="str">
        <f>IF(Table2[[#This Row],[Manual Cat Value]]="",VLOOKUP(Table2[[#This Row],[Description]],'Actuals Lookup'!D:F,3,0),Table2[[#This Row],[Manual Cat Value]])</f>
        <v>Exp - Shopping</v>
      </c>
      <c r="H9886" s="8" t="s">
        <v>36</v>
      </c>
      <c r="I9886" s="8"/>
      <c r="O9886" t="str">
        <f>LEFT(Table2[[#This Row],[Description]],75)</f>
        <v>Nordstrom</v>
      </c>
    </row>
    <row r="9887" spans="1:15" hidden="1">
      <c r="A9887">
        <v>202308</v>
      </c>
      <c r="B9887" s="6">
        <v>45163</v>
      </c>
      <c r="C9887" t="s">
        <v>4412</v>
      </c>
      <c r="D9887" t="s">
        <v>4404</v>
      </c>
      <c r="E9887">
        <v>500</v>
      </c>
      <c r="F9887" s="2" t="str">
        <f>IF(Table2[[#This Row],[Manual Cat Value]]="",VLOOKUP(Table2[[#This Row],[Description]],'Actuals Lookup'!D:F,3,0),Table2[[#This Row],[Manual Cat Value]])</f>
        <v>Delete</v>
      </c>
      <c r="H9887" s="8" t="s">
        <v>9</v>
      </c>
      <c r="I9887" s="8"/>
      <c r="O9887" t="str">
        <f>LEFT(Table2[[#This Row],[Description]],75)</f>
        <v>Transfer to Discover Bank</v>
      </c>
    </row>
    <row r="9888" spans="1:15" hidden="1">
      <c r="A9888">
        <v>202308</v>
      </c>
      <c r="B9888" s="6">
        <v>45163</v>
      </c>
      <c r="C9888" t="s">
        <v>4406</v>
      </c>
      <c r="D9888" t="s">
        <v>1958</v>
      </c>
      <c r="E9888">
        <v>100</v>
      </c>
      <c r="F9888" s="2" t="str">
        <f>IF(Table2[[#This Row],[Manual Cat Value]]="",VLOOKUP(Table2[[#This Row],[Description]],'Actuals Lookup'!D:F,3,0),Table2[[#This Row],[Manual Cat Value]])</f>
        <v>Exp - Shopping</v>
      </c>
      <c r="H9888" s="8" t="s">
        <v>36</v>
      </c>
      <c r="I9888" s="8"/>
      <c r="O9888" t="str">
        <f>LEFT(Table2[[#This Row],[Description]],75)</f>
        <v>Transfer to Venmo</v>
      </c>
    </row>
    <row r="9889" spans="1:15" hidden="1">
      <c r="A9889">
        <v>202308</v>
      </c>
      <c r="B9889" s="6">
        <v>45163</v>
      </c>
      <c r="C9889" t="s">
        <v>4006</v>
      </c>
      <c r="D9889" t="s">
        <v>4796</v>
      </c>
      <c r="E9889">
        <v>30.03</v>
      </c>
      <c r="F9889" s="2" t="str">
        <f>IF(Table2[[#This Row],[Manual Cat Value]]="",VLOOKUP(Table2[[#This Row],[Description]],'Actuals Lookup'!D:F,3,0),Table2[[#This Row],[Manual Cat Value]])</f>
        <v>Restaurants</v>
      </c>
      <c r="G9889" t="s">
        <v>26</v>
      </c>
      <c r="I9889" s="8"/>
      <c r="O9889" t="str">
        <f>LEFT(Table2[[#This Row],[Description]],75)</f>
        <v>Tst* Parlour Food Trminneapolis Xxxxxxx4013 Restaurant</v>
      </c>
    </row>
    <row r="9890" spans="1:15" hidden="1">
      <c r="A9890">
        <v>202308</v>
      </c>
      <c r="B9890" s="6">
        <v>45163</v>
      </c>
      <c r="C9890" t="s">
        <v>4405</v>
      </c>
      <c r="D9890" t="s">
        <v>4523</v>
      </c>
      <c r="E9890">
        <v>67.03</v>
      </c>
      <c r="F9890" s="2" t="str">
        <f>IF(Table2[[#This Row],[Manual Cat Value]]="",VLOOKUP(Table2[[#This Row],[Description]],'Actuals Lookup'!D:F,3,0),Table2[[#This Row],[Manual Cat Value]])</f>
        <v>Exp - Shopping</v>
      </c>
      <c r="H9890" s="8" t="s">
        <v>36</v>
      </c>
      <c r="I9890" s="8"/>
      <c r="O9890" t="str">
        <f>LEFT(Table2[[#This Row],[Description]],75)</f>
        <v>Payment to Barclaycard US</v>
      </c>
    </row>
    <row r="9891" spans="1:15" hidden="1">
      <c r="A9891">
        <v>202308</v>
      </c>
      <c r="B9891" s="6">
        <v>45163</v>
      </c>
      <c r="C9891" t="s">
        <v>4414</v>
      </c>
      <c r="D9891" t="s">
        <v>4415</v>
      </c>
      <c r="E9891">
        <v>479.24</v>
      </c>
      <c r="F9891" s="2" t="str">
        <f>IF(Table2[[#This Row],[Manual Cat Value]]="",VLOOKUP(Table2[[#This Row],[Description]],'Actuals Lookup'!D:F,3,0),Table2[[#This Row],[Manual Cat Value]])</f>
        <v>Delete</v>
      </c>
      <c r="H9891" s="8" t="s">
        <v>9</v>
      </c>
      <c r="I9891" s="8"/>
      <c r="O9891" t="str">
        <f>LEFT(Table2[[#This Row],[Description]],75)</f>
        <v>Payment to Jeffrey B</v>
      </c>
    </row>
    <row r="9892" spans="1:15" hidden="1">
      <c r="A9892">
        <v>202308</v>
      </c>
      <c r="B9892" s="6">
        <v>45164</v>
      </c>
      <c r="C9892" t="s">
        <v>3932</v>
      </c>
      <c r="D9892" t="s">
        <v>38</v>
      </c>
      <c r="E9892">
        <v>158.25</v>
      </c>
      <c r="F9892" s="2" t="str">
        <f>IF(Table2[[#This Row],[Manual Cat Value]]="",VLOOKUP(Table2[[#This Row],[Description]],'Actuals Lookup'!D:F,3,0),Table2[[#This Row],[Manual Cat Value]])</f>
        <v>Exp - Amazon</v>
      </c>
      <c r="G9892" t="s">
        <v>41</v>
      </c>
      <c r="H9892" s="8" t="s">
        <v>37</v>
      </c>
      <c r="I9892" s="8"/>
      <c r="O9892" t="str">
        <f>LEFT(Table2[[#This Row],[Description]],75)</f>
        <v>Amazon</v>
      </c>
    </row>
    <row r="9893" spans="1:15" hidden="1">
      <c r="A9893">
        <v>202308</v>
      </c>
      <c r="B9893" s="6">
        <v>45164</v>
      </c>
      <c r="C9893" t="s">
        <v>4006</v>
      </c>
      <c r="D9893" t="s">
        <v>4797</v>
      </c>
      <c r="E9893">
        <v>37.69</v>
      </c>
      <c r="F9893" s="2" t="str">
        <f>IF(Table2[[#This Row],[Manual Cat Value]]="",VLOOKUP(Table2[[#This Row],[Description]],'Actuals Lookup'!D:F,3,0),Table2[[#This Row],[Manual Cat Value]])</f>
        <v>Exp - Shopping</v>
      </c>
      <c r="G9893" t="s">
        <v>26</v>
      </c>
      <c r="H9893" s="8" t="s">
        <v>36</v>
      </c>
      <c r="I9893" s="8"/>
      <c r="O9893" t="str">
        <f>LEFT(Table2[[#This Row],[Description]],75)</f>
        <v>Aplpay Slice*luluspinew York Ci Nt_owykz5jl +xxxxxxx9928</v>
      </c>
    </row>
    <row r="9894" spans="1:15" hidden="1">
      <c r="A9894">
        <v>202308</v>
      </c>
      <c r="B9894" s="6">
        <v>45164</v>
      </c>
      <c r="C9894" t="s">
        <v>4006</v>
      </c>
      <c r="D9894" t="s">
        <v>4798</v>
      </c>
      <c r="E9894">
        <v>34</v>
      </c>
      <c r="F9894" s="2" t="str">
        <f>IF(Table2[[#This Row],[Manual Cat Value]]="",VLOOKUP(Table2[[#This Row],[Description]],'Actuals Lookup'!D:F,3,0),Table2[[#This Row],[Manual Cat Value]])</f>
        <v>Exp - Entertainment</v>
      </c>
      <c r="G9894" t="s">
        <v>40</v>
      </c>
      <c r="H9894" s="8" t="s">
        <v>39</v>
      </c>
      <c r="I9894" s="8"/>
      <c r="O9894" t="str">
        <f>LEFT(Table2[[#This Row],[Description]],75)</f>
        <v>Minnesota State Fair</v>
      </c>
    </row>
    <row r="9895" spans="1:15" hidden="1">
      <c r="A9895">
        <v>202308</v>
      </c>
      <c r="B9895" s="6">
        <v>45165</v>
      </c>
      <c r="C9895" t="s">
        <v>4400</v>
      </c>
      <c r="D9895" t="s">
        <v>4799</v>
      </c>
      <c r="E9895">
        <v>-13.42</v>
      </c>
      <c r="F9895" s="2" t="str">
        <f>IF(Table2[[#This Row],[Manual Cat Value]]="",VLOOKUP(Table2[[#This Row],[Description]],'Actuals Lookup'!D:F,3,0),Table2[[#This Row],[Manual Cat Value]])</f>
        <v>Exp - Amazon</v>
      </c>
      <c r="H9895" s="8" t="s">
        <v>37</v>
      </c>
      <c r="I9895" s="8"/>
      <c r="O9895" t="str">
        <f>LEFT(Table2[[#This Row],[Description]],75)</f>
        <v>AMZN Mktp US             Amzn.com/billWA REF #74692167D3212YHBA</v>
      </c>
    </row>
    <row r="9896" spans="1:15" hidden="1">
      <c r="A9896">
        <v>202308</v>
      </c>
      <c r="B9896" s="6">
        <v>45165</v>
      </c>
      <c r="C9896" t="s">
        <v>4403</v>
      </c>
      <c r="D9896" t="s">
        <v>4800</v>
      </c>
      <c r="E9896">
        <v>-17.989999999999998</v>
      </c>
      <c r="F9896" s="2" t="str">
        <f>IF(Table2[[#This Row],[Manual Cat Value]]="",VLOOKUP(Table2[[#This Row],[Description]],'Actuals Lookup'!D:F,3,0),Table2[[#This Row],[Manual Cat Value]])</f>
        <v>Exp - Amazon</v>
      </c>
      <c r="H9896" s="8" t="s">
        <v>37</v>
      </c>
      <c r="I9896" s="8"/>
      <c r="O9896" t="str">
        <f>LEFT(Table2[[#This Row],[Description]],75)</f>
        <v>AMZN Mktp US             Amzn.com/billWA REF #74692167D3216ZPRF</v>
      </c>
    </row>
    <row r="9897" spans="1:15" hidden="1">
      <c r="A9897">
        <v>202308</v>
      </c>
      <c r="B9897" s="6">
        <v>45165</v>
      </c>
      <c r="C9897" t="s">
        <v>4405</v>
      </c>
      <c r="D9897" t="s">
        <v>4801</v>
      </c>
      <c r="E9897">
        <v>-36.99</v>
      </c>
      <c r="F9897" s="2" t="str">
        <f>IF(Table2[[#This Row],[Manual Cat Value]]="",VLOOKUP(Table2[[#This Row],[Description]],'Actuals Lookup'!D:F,3,0),Table2[[#This Row],[Manual Cat Value]])</f>
        <v>Exp - Amazon</v>
      </c>
      <c r="H9897" s="8" t="s">
        <v>37</v>
      </c>
      <c r="I9897" s="8"/>
      <c r="O9897" t="str">
        <f>LEFT(Table2[[#This Row],[Description]],75)</f>
        <v>AMZN Mktp US             Amzn.com/billWA REF #74692167D321B08GH</v>
      </c>
    </row>
    <row r="9898" spans="1:15" hidden="1">
      <c r="A9898">
        <v>202308</v>
      </c>
      <c r="B9898" s="6">
        <v>45165</v>
      </c>
      <c r="C9898" t="s">
        <v>4406</v>
      </c>
      <c r="D9898" t="s">
        <v>4802</v>
      </c>
      <c r="E9898">
        <v>-7.18</v>
      </c>
      <c r="F9898" s="2" t="str">
        <f>IF(Table2[[#This Row],[Manual Cat Value]]="",VLOOKUP(Table2[[#This Row],[Description]],'Actuals Lookup'!D:F,3,0),Table2[[#This Row],[Manual Cat Value]])</f>
        <v>Exp - Amazon</v>
      </c>
      <c r="H9898" s="8" t="s">
        <v>37</v>
      </c>
      <c r="I9898" s="8"/>
      <c r="O9898" t="str">
        <f>LEFT(Table2[[#This Row],[Description]],75)</f>
        <v>AMZN Mktp US             Amzn.com/billWA REF #74692167D321B89T0</v>
      </c>
    </row>
    <row r="9899" spans="1:15" hidden="1">
      <c r="A9899">
        <v>202308</v>
      </c>
      <c r="B9899" s="6">
        <v>45165</v>
      </c>
      <c r="C9899" t="s">
        <v>4413</v>
      </c>
      <c r="D9899" t="s">
        <v>4803</v>
      </c>
      <c r="E9899">
        <v>-10.19</v>
      </c>
      <c r="F9899" s="2" t="str">
        <f>IF(Table2[[#This Row],[Manual Cat Value]]="",VLOOKUP(Table2[[#This Row],[Description]],'Actuals Lookup'!D:F,3,0),Table2[[#This Row],[Manual Cat Value]])</f>
        <v>Exp - Amazon</v>
      </c>
      <c r="H9899" s="8" t="s">
        <v>37</v>
      </c>
      <c r="I9899" s="8"/>
      <c r="O9899" t="str">
        <f>LEFT(Table2[[#This Row],[Description]],75)</f>
        <v>AMZN Mktp US             Amzn.com/billWA REF #74692167D321DT2YA</v>
      </c>
    </row>
    <row r="9900" spans="1:15" hidden="1">
      <c r="A9900">
        <v>202308</v>
      </c>
      <c r="B9900" s="6">
        <v>45165</v>
      </c>
      <c r="C9900" t="s">
        <v>4414</v>
      </c>
      <c r="D9900" t="s">
        <v>4804</v>
      </c>
      <c r="E9900">
        <v>-13.99</v>
      </c>
      <c r="F9900" s="2" t="str">
        <f>IF(Table2[[#This Row],[Manual Cat Value]]="",VLOOKUP(Table2[[#This Row],[Description]],'Actuals Lookup'!D:F,3,0),Table2[[#This Row],[Manual Cat Value]])</f>
        <v>Exp - Amazon</v>
      </c>
      <c r="H9900" s="8" t="s">
        <v>37</v>
      </c>
      <c r="I9900" s="8"/>
      <c r="O9900" t="str">
        <f>LEFT(Table2[[#This Row],[Description]],75)</f>
        <v>AMZN Mktp US             Amzn.com/billWA REF #74692167D321DYWHW</v>
      </c>
    </row>
    <row r="9901" spans="1:15" hidden="1">
      <c r="A9901">
        <v>202308</v>
      </c>
      <c r="B9901" s="6">
        <v>45165</v>
      </c>
      <c r="C9901" t="s">
        <v>4412</v>
      </c>
      <c r="D9901" t="s">
        <v>4805</v>
      </c>
      <c r="E9901">
        <v>-24.99</v>
      </c>
      <c r="F9901" s="2" t="str">
        <f>IF(Table2[[#This Row],[Manual Cat Value]]="",VLOOKUP(Table2[[#This Row],[Description]],'Actuals Lookup'!D:F,3,0),Table2[[#This Row],[Manual Cat Value]])</f>
        <v>Exp - Amazon</v>
      </c>
      <c r="H9901" s="8" t="s">
        <v>37</v>
      </c>
      <c r="I9901" s="8"/>
      <c r="O9901" t="str">
        <f>LEFT(Table2[[#This Row],[Description]],75)</f>
        <v>AMZN Mktp US             Amzn.com/billWA REF #74692167D321F0JA5</v>
      </c>
    </row>
    <row r="9902" spans="1:15" hidden="1">
      <c r="A9902">
        <v>202308</v>
      </c>
      <c r="B9902" s="6">
        <v>45165</v>
      </c>
      <c r="C9902" t="s">
        <v>4380</v>
      </c>
      <c r="D9902" t="s">
        <v>4806</v>
      </c>
      <c r="E9902">
        <v>50.49</v>
      </c>
      <c r="F9902" s="2" t="str">
        <f>IF(Table2[[#This Row],[Manual Cat Value]]="",VLOOKUP(Table2[[#This Row],[Description]],'Actuals Lookup'!D:F,3,0),Table2[[#This Row],[Manual Cat Value]])</f>
        <v>Exp - Amazon</v>
      </c>
      <c r="H9902" s="8" t="s">
        <v>37</v>
      </c>
      <c r="I9902" s="8"/>
      <c r="O9902" t="str">
        <f>LEFT(Table2[[#This Row],[Description]],75)</f>
        <v>AMZN Mktp US*T31TY2P12   Amzn.com/billWA REF #24692167E32N7NSRK</v>
      </c>
    </row>
    <row r="9903" spans="1:15" hidden="1">
      <c r="A9903">
        <v>202308</v>
      </c>
      <c r="B9903" s="6">
        <v>45165</v>
      </c>
      <c r="C9903" t="s">
        <v>4381</v>
      </c>
      <c r="D9903" t="s">
        <v>4807</v>
      </c>
      <c r="E9903">
        <v>38.49</v>
      </c>
      <c r="F9903" s="2" t="str">
        <f>IF(Table2[[#This Row],[Manual Cat Value]]="",VLOOKUP(Table2[[#This Row],[Description]],'Actuals Lookup'!D:F,3,0),Table2[[#This Row],[Manual Cat Value]])</f>
        <v>Exp - Amazon</v>
      </c>
      <c r="H9903" s="8" t="s">
        <v>37</v>
      </c>
      <c r="I9903" s="8"/>
      <c r="O9903" t="str">
        <f>LEFT(Table2[[#This Row],[Description]],75)</f>
        <v>AMZN Mktp US*T35H04F91   Amzn.com/billWA REF #24692167E32PFVJ78</v>
      </c>
    </row>
    <row r="9904" spans="1:15" hidden="1">
      <c r="A9904">
        <v>202308</v>
      </c>
      <c r="B9904" s="6">
        <v>45165</v>
      </c>
      <c r="C9904" t="s">
        <v>4408</v>
      </c>
      <c r="D9904" t="s">
        <v>4283</v>
      </c>
      <c r="E9904">
        <v>-210.26</v>
      </c>
      <c r="F9904" s="2" t="str">
        <f>IF(Table2[[#This Row],[Manual Cat Value]]="",VLOOKUP(Table2[[#This Row],[Description]],'Actuals Lookup'!D:F,3,0),Table2[[#This Row],[Manual Cat Value]])</f>
        <v>Inc - Britney</v>
      </c>
      <c r="H9904" s="8" t="s">
        <v>65</v>
      </c>
      <c r="I9904" s="8"/>
      <c r="O9904" t="str">
        <f>LEFT(Table2[[#This Row],[Description]],75)</f>
        <v>Cargill Deposit</v>
      </c>
    </row>
    <row r="9905" spans="1:15" hidden="1">
      <c r="A9905">
        <v>202308</v>
      </c>
      <c r="B9905" s="6">
        <v>45165</v>
      </c>
      <c r="C9905" t="s">
        <v>4371</v>
      </c>
      <c r="D9905" t="s">
        <v>4808</v>
      </c>
      <c r="E9905">
        <v>3.22</v>
      </c>
      <c r="F9905" s="2" t="str">
        <f>IF(Table2[[#This Row],[Manual Cat Value]]="",VLOOKUP(Table2[[#This Row],[Description]],'Actuals Lookup'!D:F,3,0),Table2[[#This Row],[Manual Cat Value]])</f>
        <v>Exp - Transportation</v>
      </c>
      <c r="H9905" s="8" t="s">
        <v>22</v>
      </c>
      <c r="I9905" s="8"/>
      <c r="O9905" t="str">
        <f>LEFT(Table2[[#This Row],[Description]],75)</f>
        <v>MARATHON PETRO14456      MINNETONKA   MN REF #24034547E02NV9W1F</v>
      </c>
    </row>
    <row r="9906" spans="1:15" hidden="1">
      <c r="A9906">
        <v>202308</v>
      </c>
      <c r="B9906" s="6">
        <v>45165</v>
      </c>
      <c r="C9906" t="s">
        <v>2712</v>
      </c>
      <c r="D9906" t="s">
        <v>4809</v>
      </c>
      <c r="E9906">
        <v>35.47</v>
      </c>
      <c r="F9906" s="2" t="str">
        <f>IF(Table2[[#This Row],[Manual Cat Value]]="",VLOOKUP(Table2[[#This Row],[Description]],'Actuals Lookup'!D:F,3,0),Table2[[#This Row],[Manual Cat Value]])</f>
        <v>Exp - Day Care</v>
      </c>
      <c r="H9906" s="8" t="s">
        <v>19</v>
      </c>
      <c r="I9906" s="8"/>
      <c r="O9906" t="str">
        <f>LEFT(Table2[[#This Row],[Description]],75)</f>
        <v>MCW 1602-MINNETONKA      952-3778113  MN REF #24071057EVALAPLZ5</v>
      </c>
    </row>
    <row r="9907" spans="1:15" hidden="1">
      <c r="A9907">
        <v>202308</v>
      </c>
      <c r="B9907" s="6">
        <v>45165</v>
      </c>
      <c r="C9907" t="s">
        <v>4006</v>
      </c>
      <c r="D9907" t="s">
        <v>4810</v>
      </c>
      <c r="E9907">
        <v>89.78</v>
      </c>
      <c r="F9907" s="2" t="str">
        <f>IF(Table2[[#This Row],[Manual Cat Value]]="",VLOOKUP(Table2[[#This Row],[Description]],'Actuals Lookup'!D:F,3,0),Table2[[#This Row],[Manual Cat Value]])</f>
        <v>Exp - Shopping</v>
      </c>
      <c r="G9907" t="s">
        <v>41</v>
      </c>
      <c r="H9907" s="8" t="s">
        <v>36</v>
      </c>
      <c r="I9907" s="8"/>
      <c r="O9907" t="str">
        <f>LEFT(Table2[[#This Row],[Description]],75)</f>
        <v>Mills Fleet Farm</v>
      </c>
    </row>
    <row r="9908" spans="1:15" hidden="1">
      <c r="A9908">
        <v>202308</v>
      </c>
      <c r="B9908" s="6">
        <v>45165</v>
      </c>
      <c r="C9908" t="s">
        <v>4370</v>
      </c>
      <c r="D9908" t="s">
        <v>4811</v>
      </c>
      <c r="E9908">
        <v>57.03</v>
      </c>
      <c r="F9908" s="2" t="str">
        <f>IF(Table2[[#This Row],[Manual Cat Value]]="",VLOOKUP(Table2[[#This Row],[Description]],'Actuals Lookup'!D:F,3,0),Table2[[#This Row],[Manual Cat Value]])</f>
        <v>Exp - Restaurants</v>
      </c>
      <c r="H9908" s="8" t="s">
        <v>25</v>
      </c>
      <c r="I9908" s="8"/>
      <c r="O9908" t="str">
        <f>LEFT(Table2[[#This Row],[Description]],75)</f>
        <v>NA'S THAI CAFE           CHANHASSEN   MN REF #24055227E60ZJ9E05</v>
      </c>
    </row>
    <row r="9909" spans="1:15" hidden="1">
      <c r="A9909">
        <v>202308</v>
      </c>
      <c r="B9909" s="6">
        <v>45165</v>
      </c>
      <c r="C9909" t="s">
        <v>3199</v>
      </c>
      <c r="D9909" t="s">
        <v>4812</v>
      </c>
      <c r="E9909">
        <v>16.100000000000001</v>
      </c>
      <c r="F9909" s="2" t="str">
        <f>IF(Table2[[#This Row],[Manual Cat Value]]="",VLOOKUP(Table2[[#This Row],[Description]],'Actuals Lookup'!D:F,3,0),Table2[[#This Row],[Manual Cat Value]])</f>
        <v>Exp - Restaurants</v>
      </c>
      <c r="H9909" s="8" t="s">
        <v>25</v>
      </c>
      <c r="I9909" s="8"/>
      <c r="O9909" t="str">
        <f>LEFT(Table2[[#This Row],[Description]],75)</f>
        <v>SQ *BRIM                 Saint Paul   MN REF #24692167E32RP4SD8</v>
      </c>
    </row>
    <row r="9910" spans="1:15" hidden="1">
      <c r="A9910">
        <v>202308</v>
      </c>
      <c r="B9910" s="6">
        <v>45165</v>
      </c>
      <c r="C9910" t="s">
        <v>4382</v>
      </c>
      <c r="D9910" t="s">
        <v>4813</v>
      </c>
      <c r="E9910">
        <v>12</v>
      </c>
      <c r="F9910" s="2" t="str">
        <f>IF(Table2[[#This Row],[Manual Cat Value]]="",VLOOKUP(Table2[[#This Row],[Description]],'Actuals Lookup'!D:F,3,0),Table2[[#This Row],[Manual Cat Value]])</f>
        <v>Exp - Restaurants</v>
      </c>
      <c r="H9910" s="8" t="s">
        <v>25</v>
      </c>
      <c r="I9910" s="8"/>
      <c r="O9910" t="str">
        <f>LEFT(Table2[[#This Row],[Description]],75)</f>
        <v>SQ *UNION HMONG KITCHEN ASaint Paul   MN REF #24692167E32NM5A6V</v>
      </c>
    </row>
    <row r="9911" spans="1:15" hidden="1">
      <c r="A9911">
        <v>202308</v>
      </c>
      <c r="B9911" s="6">
        <v>45165</v>
      </c>
      <c r="C9911" t="s">
        <v>4375</v>
      </c>
      <c r="D9911" t="s">
        <v>4814</v>
      </c>
      <c r="E9911">
        <v>19.61</v>
      </c>
      <c r="F9911" s="2" t="str">
        <f>IF(Table2[[#This Row],[Manual Cat Value]]="",VLOOKUP(Table2[[#This Row],[Description]],'Actuals Lookup'!D:F,3,0),Table2[[#This Row],[Manual Cat Value]])</f>
        <v>Exp - Restaurants</v>
      </c>
      <c r="H9911" s="8" t="s">
        <v>25</v>
      </c>
      <c r="I9911" s="8"/>
      <c r="O9911" t="str">
        <f>LEFT(Table2[[#This Row],[Description]],75)</f>
        <v>SWEET MARTHA'S COOKIE TH ST PAUL      MN REF #24055227FBMA8BDFL</v>
      </c>
    </row>
    <row r="9912" spans="1:15" hidden="1">
      <c r="A9912">
        <v>202308</v>
      </c>
      <c r="B9912" s="6">
        <v>45166</v>
      </c>
      <c r="C9912" t="s">
        <v>3932</v>
      </c>
      <c r="D9912" t="s">
        <v>38</v>
      </c>
      <c r="E9912">
        <v>31.99</v>
      </c>
      <c r="F9912" s="2" t="str">
        <f>IF(Table2[[#This Row],[Manual Cat Value]]="",VLOOKUP(Table2[[#This Row],[Description]],'Actuals Lookup'!D:F,3,0),Table2[[#This Row],[Manual Cat Value]])</f>
        <v>Exp - Amazon</v>
      </c>
      <c r="G9912" t="s">
        <v>38</v>
      </c>
      <c r="H9912" s="8" t="s">
        <v>37</v>
      </c>
      <c r="I9912" s="8"/>
      <c r="O9912" t="str">
        <f>LEFT(Table2[[#This Row],[Description]],75)</f>
        <v>Amazon</v>
      </c>
    </row>
    <row r="9913" spans="1:15" hidden="1">
      <c r="A9913">
        <v>202308</v>
      </c>
      <c r="B9913" s="6">
        <v>45166</v>
      </c>
      <c r="C9913" t="s">
        <v>4036</v>
      </c>
      <c r="D9913" t="s">
        <v>4815</v>
      </c>
      <c r="E9913">
        <v>11.8</v>
      </c>
      <c r="F9913" s="2" t="str">
        <f>IF(Table2[[#This Row],[Manual Cat Value]]="",VLOOKUP(Table2[[#This Row],[Description]],'Actuals Lookup'!D:F,3,0),Table2[[#This Row],[Manual Cat Value]])</f>
        <v>Exp - Amazon</v>
      </c>
      <c r="H9913" s="8" t="s">
        <v>37</v>
      </c>
      <c r="I9913" s="8"/>
      <c r="O9913" t="str">
        <f>LEFT(Table2[[#This Row],[Description]],75)</f>
        <v>AMAZON.COM*T30IJ4471 AMZNAMZN.COM/BILLWA REF #24431067F2DK8R3ZH</v>
      </c>
    </row>
    <row r="9914" spans="1:15" hidden="1">
      <c r="A9914">
        <v>202308</v>
      </c>
      <c r="B9914" s="6">
        <v>45166</v>
      </c>
      <c r="C9914" t="s">
        <v>4026</v>
      </c>
      <c r="D9914" t="s">
        <v>4816</v>
      </c>
      <c r="E9914">
        <v>26.98</v>
      </c>
      <c r="F9914" s="2" t="str">
        <f>IF(Table2[[#This Row],[Manual Cat Value]]="",VLOOKUP(Table2[[#This Row],[Description]],'Actuals Lookup'!D:F,3,0),Table2[[#This Row],[Manual Cat Value]])</f>
        <v>Exp - Groceries</v>
      </c>
      <c r="H9914" s="8" t="s">
        <v>27</v>
      </c>
      <c r="I9914" s="8"/>
      <c r="O9914" t="str">
        <f>LEFT(Table2[[#This Row],[Description]],75)</f>
        <v>ARBORETUM APPLEHOUSE     CHASKA       MN REF #24138297G2M81E2AW</v>
      </c>
    </row>
    <row r="9915" spans="1:15" hidden="1">
      <c r="A9915">
        <v>202308</v>
      </c>
      <c r="B9915" s="6">
        <v>45166</v>
      </c>
      <c r="C9915" t="s">
        <v>4026</v>
      </c>
      <c r="D9915" t="s">
        <v>4642</v>
      </c>
      <c r="E9915">
        <v>219.25</v>
      </c>
      <c r="F9915" s="2" t="str">
        <f>IF(Table2[[#This Row],[Manual Cat Value]]="",VLOOKUP(Table2[[#This Row],[Description]],'Actuals Lookup'!D:F,3,0),Table2[[#This Row],[Manual Cat Value]])</f>
        <v>Exp - Transportation</v>
      </c>
      <c r="H9915" s="8" t="s">
        <v>22</v>
      </c>
      <c r="I9915" s="8"/>
      <c r="O9915" t="str">
        <f>LEFT(Table2[[#This Row],[Description]],75)</f>
        <v>Colorado Department of Motor Vehicles</v>
      </c>
    </row>
    <row r="9916" spans="1:15" hidden="1">
      <c r="A9916">
        <v>202308</v>
      </c>
      <c r="B9916" s="6">
        <v>45166</v>
      </c>
      <c r="C9916" t="s">
        <v>4006</v>
      </c>
      <c r="D9916" t="s">
        <v>1083</v>
      </c>
      <c r="E9916">
        <v>56.62</v>
      </c>
      <c r="F9916" s="2" t="str">
        <f>IF(Table2[[#This Row],[Manual Cat Value]]="",VLOOKUP(Table2[[#This Row],[Description]],'Actuals Lookup'!D:F,3,0),Table2[[#This Row],[Manual Cat Value]])</f>
        <v>Transportation</v>
      </c>
      <c r="G9916" t="s">
        <v>23</v>
      </c>
      <c r="I9916" s="8"/>
      <c r="O9916" t="str">
        <f>LEFT(Table2[[#This Row],[Description]],75)</f>
        <v>Kwik Trip</v>
      </c>
    </row>
    <row r="9917" spans="1:15" hidden="1">
      <c r="A9917">
        <v>202308</v>
      </c>
      <c r="B9917" s="6">
        <v>45166</v>
      </c>
      <c r="C9917" t="s">
        <v>4006</v>
      </c>
      <c r="D9917" t="s">
        <v>4817</v>
      </c>
      <c r="E9917">
        <v>69.33</v>
      </c>
      <c r="F9917" s="2" t="str">
        <f>IF(Table2[[#This Row],[Manual Cat Value]]="",VLOOKUP(Table2[[#This Row],[Description]],'Actuals Lookup'!D:F,3,0),Table2[[#This Row],[Manual Cat Value]])</f>
        <v>Entertainment</v>
      </c>
      <c r="G9917" t="s">
        <v>40</v>
      </c>
      <c r="I9917" s="8"/>
      <c r="O9917" t="str">
        <f>LEFT(Table2[[#This Row],[Description]],75)</f>
        <v>Ls Bluff Creek Golf Chaska Mn Nt_ox8lg0sk Xxxxxx5685</v>
      </c>
    </row>
    <row r="9918" spans="1:15" hidden="1">
      <c r="A9918">
        <v>202308</v>
      </c>
      <c r="B9918" s="6">
        <v>45166</v>
      </c>
      <c r="C9918" t="s">
        <v>4420</v>
      </c>
      <c r="D9918" t="s">
        <v>4818</v>
      </c>
      <c r="E9918">
        <v>1.5</v>
      </c>
      <c r="F9918" s="2" t="str">
        <f>IF(Table2[[#This Row],[Manual Cat Value]]="",VLOOKUP(Table2[[#This Row],[Description]],'Actuals Lookup'!D:F,3,0),Table2[[#This Row],[Manual Cat Value]])</f>
        <v>Exp - Transportation</v>
      </c>
      <c r="H9918" s="8" t="s">
        <v>22</v>
      </c>
      <c r="I9918" s="8"/>
      <c r="O9918" t="str">
        <f>LEFT(Table2[[#This Row],[Description]],75)</f>
        <v>LYFT   *INCREASE TIP     LYFT.COM     CA REF #24011347G0004YPS1</v>
      </c>
    </row>
    <row r="9919" spans="1:15" hidden="1">
      <c r="A9919">
        <v>202308</v>
      </c>
      <c r="B9919" s="6">
        <v>45166</v>
      </c>
      <c r="C9919" t="s">
        <v>4408</v>
      </c>
      <c r="D9919" t="s">
        <v>4819</v>
      </c>
      <c r="E9919">
        <v>7.99</v>
      </c>
      <c r="F9919" s="2" t="str">
        <f>IF(Table2[[#This Row],[Manual Cat Value]]="",VLOOKUP(Table2[[#This Row],[Description]],'Actuals Lookup'!D:F,3,0),Table2[[#This Row],[Manual Cat Value]])</f>
        <v>Exp - Transportation</v>
      </c>
      <c r="H9919" s="8" t="s">
        <v>22</v>
      </c>
      <c r="I9919" s="8"/>
      <c r="O9919" t="str">
        <f>LEFT(Table2[[#This Row],[Description]],75)</f>
        <v>LYFT   *RIDE SAT 11AM    LYFT.COM     CA REF #24011347F0010P90D</v>
      </c>
    </row>
    <row r="9920" spans="1:15" hidden="1">
      <c r="A9920">
        <v>202308</v>
      </c>
      <c r="B9920" s="6">
        <v>45166</v>
      </c>
      <c r="C9920" t="s">
        <v>4429</v>
      </c>
      <c r="D9920" t="s">
        <v>4820</v>
      </c>
      <c r="E9920">
        <v>97.98</v>
      </c>
      <c r="F9920" s="2" t="str">
        <f>IF(Table2[[#This Row],[Manual Cat Value]]="",VLOOKUP(Table2[[#This Row],[Description]],'Actuals Lookup'!D:F,3,0),Table2[[#This Row],[Manual Cat Value]])</f>
        <v>Exp - Shopping</v>
      </c>
      <c r="H9920" s="8" t="s">
        <v>36</v>
      </c>
      <c r="I9920" s="8"/>
      <c r="O9920" t="str">
        <f>LEFT(Table2[[#This Row],[Description]],75)</f>
        <v>RALLY HOUSE              800-381-9177 KS REF #24492157FMLTFASQG</v>
      </c>
    </row>
    <row r="9921" spans="1:15" hidden="1">
      <c r="A9921">
        <v>202308</v>
      </c>
      <c r="B9921" s="6">
        <v>45166</v>
      </c>
      <c r="C9921" t="s">
        <v>4044</v>
      </c>
      <c r="D9921" t="s">
        <v>4821</v>
      </c>
      <c r="E9921">
        <v>14.71</v>
      </c>
      <c r="F9921" s="2" t="str">
        <f>IF(Table2[[#This Row],[Manual Cat Value]]="",VLOOKUP(Table2[[#This Row],[Description]],'Actuals Lookup'!D:F,3,0),Table2[[#This Row],[Manual Cat Value]])</f>
        <v>Exp - Restaurants</v>
      </c>
      <c r="H9921" s="8" t="s">
        <v>25</v>
      </c>
      <c r="I9921" s="8"/>
      <c r="O9921" t="str">
        <f>LEFT(Table2[[#This Row],[Description]],75)</f>
        <v>SQ *RUBY'S ROOST VICTORIAVictoria     MN REF #24692167F339PT1N7</v>
      </c>
    </row>
    <row r="9922" spans="1:15" hidden="1">
      <c r="A9922">
        <v>202308</v>
      </c>
      <c r="B9922" s="6">
        <v>45166</v>
      </c>
      <c r="C9922" t="s">
        <v>4420</v>
      </c>
      <c r="D9922" t="s">
        <v>1955</v>
      </c>
      <c r="E9922">
        <v>0.99</v>
      </c>
      <c r="F9922" s="2" t="str">
        <f>IF(Table2[[#This Row],[Manual Cat Value]]="",VLOOKUP(Table2[[#This Row],[Description]],'Actuals Lookup'!D:F,3,0),Table2[[#This Row],[Manual Cat Value]])</f>
        <v>Delete</v>
      </c>
      <c r="H9922" s="8" t="s">
        <v>9</v>
      </c>
      <c r="I9922" s="8"/>
      <c r="O9922" t="str">
        <f>LEFT(Table2[[#This Row],[Description]],75)</f>
        <v>Transfer to PayPal</v>
      </c>
    </row>
    <row r="9923" spans="1:15" hidden="1">
      <c r="A9923">
        <v>202308</v>
      </c>
      <c r="B9923" s="6">
        <v>45167</v>
      </c>
      <c r="C9923" t="s">
        <v>3932</v>
      </c>
      <c r="D9923" t="s">
        <v>38</v>
      </c>
      <c r="E9923">
        <v>80.14</v>
      </c>
      <c r="F9923" s="2" t="str">
        <f>IF(Table2[[#This Row],[Manual Cat Value]]="",VLOOKUP(Table2[[#This Row],[Description]],'Actuals Lookup'!D:F,3,0),Table2[[#This Row],[Manual Cat Value]])</f>
        <v>Exp - Amazon</v>
      </c>
      <c r="G9923" t="s">
        <v>38</v>
      </c>
      <c r="H9923" s="8" t="s">
        <v>37</v>
      </c>
      <c r="I9923" s="8"/>
      <c r="O9923" t="str">
        <f>LEFT(Table2[[#This Row],[Description]],75)</f>
        <v>Amazon</v>
      </c>
    </row>
    <row r="9924" spans="1:15" hidden="1">
      <c r="A9924">
        <v>202308</v>
      </c>
      <c r="B9924" s="6">
        <v>45167</v>
      </c>
      <c r="C9924" t="s">
        <v>4006</v>
      </c>
      <c r="D9924" t="s">
        <v>4822</v>
      </c>
      <c r="E9924">
        <v>40.9</v>
      </c>
      <c r="F9924" s="2" t="str">
        <f>IF(Table2[[#This Row],[Manual Cat Value]]="",VLOOKUP(Table2[[#This Row],[Description]],'Actuals Lookup'!D:F,3,0),Table2[[#This Row],[Manual Cat Value]])</f>
        <v>Exp - Transportation</v>
      </c>
      <c r="G9924" t="s">
        <v>62</v>
      </c>
      <c r="H9924" s="8" t="s">
        <v>22</v>
      </c>
      <c r="I9924" s="8"/>
      <c r="O9924" t="str">
        <f>LEFT(Table2[[#This Row],[Description]],75)</f>
        <v>Creative Mobilxx0014boston Ma Xxxxxxxxx Xxx-xxx0000</v>
      </c>
    </row>
    <row r="9925" spans="1:15" hidden="1">
      <c r="A9925">
        <v>202308</v>
      </c>
      <c r="B9925" s="6">
        <v>45167</v>
      </c>
      <c r="C9925" t="s">
        <v>4006</v>
      </c>
      <c r="D9925" t="s">
        <v>4017</v>
      </c>
      <c r="E9925">
        <v>84.63</v>
      </c>
      <c r="F9925" s="2" t="str">
        <f>IF(Table2[[#This Row],[Manual Cat Value]]="",VLOOKUP(Table2[[#This Row],[Description]],'Actuals Lookup'!D:F,3,0),Table2[[#This Row],[Manual Cat Value]])</f>
        <v>Groceries</v>
      </c>
      <c r="G9925" t="s">
        <v>28</v>
      </c>
      <c r="I9925" s="8"/>
      <c r="O9925" t="str">
        <f>LEFT(Table2[[#This Row],[Description]],75)</f>
        <v>Lunds &amp; Byerlys</v>
      </c>
    </row>
    <row r="9926" spans="1:15" hidden="1">
      <c r="A9926">
        <v>202308</v>
      </c>
      <c r="B9926" s="6">
        <v>45167</v>
      </c>
      <c r="C9926" t="s">
        <v>4006</v>
      </c>
      <c r="D9926" t="s">
        <v>4035</v>
      </c>
      <c r="E9926">
        <v>3.36</v>
      </c>
      <c r="F9926" s="2" t="str">
        <f>IF(Table2[[#This Row],[Manual Cat Value]]="",VLOOKUP(Table2[[#This Row],[Description]],'Actuals Lookup'!D:F,3,0),Table2[[#This Row],[Manual Cat Value]])</f>
        <v>Restaurants</v>
      </c>
      <c r="G9926" t="s">
        <v>26</v>
      </c>
      <c r="I9926" s="8"/>
      <c r="O9926" t="str">
        <f>LEFT(Table2[[#This Row],[Description]],75)</f>
        <v>Ruby Tuesday</v>
      </c>
    </row>
    <row r="9927" spans="1:15" hidden="1">
      <c r="A9927">
        <v>202308</v>
      </c>
      <c r="B9927" s="6">
        <v>45167</v>
      </c>
      <c r="C9927" t="s">
        <v>4036</v>
      </c>
      <c r="D9927" t="s">
        <v>4823</v>
      </c>
      <c r="E9927">
        <v>265</v>
      </c>
      <c r="F9927" s="2" t="str">
        <f>IF(Table2[[#This Row],[Manual Cat Value]]="",VLOOKUP(Table2[[#This Row],[Description]],'Actuals Lookup'!D:F,3,0),Table2[[#This Row],[Manual Cat Value]])</f>
        <v>Exp - Day Care</v>
      </c>
      <c r="H9927" s="8" t="s">
        <v>19</v>
      </c>
      <c r="I9927" s="8"/>
      <c r="O9927" t="str">
        <f>LEFT(Table2[[#This Row],[Description]],75)</f>
        <v>Withdrawal ACH MHCHILDCARELLC TYPE: DUES ID: XX8198 CO: MHCHILDCARELLC Entr</v>
      </c>
    </row>
    <row r="9928" spans="1:15" hidden="1">
      <c r="A9928">
        <v>202308</v>
      </c>
      <c r="B9928" s="6">
        <v>45168</v>
      </c>
      <c r="C9928" t="s">
        <v>4429</v>
      </c>
      <c r="D9928" t="s">
        <v>4343</v>
      </c>
      <c r="E9928">
        <v>-3342.79</v>
      </c>
      <c r="F9928" s="2" t="str">
        <f>IF(Table2[[#This Row],[Manual Cat Value]]="",VLOOKUP(Table2[[#This Row],[Description]],'Actuals Lookup'!D:F,3,0),Table2[[#This Row],[Manual Cat Value]])</f>
        <v>Inc - Jeff</v>
      </c>
      <c r="H9928" s="8" t="s">
        <v>63</v>
      </c>
      <c r="I9928" s="8"/>
      <c r="O9928" t="str">
        <f>LEFT(Table2[[#This Row],[Description]],75)</f>
        <v>Salary/Regular Income from TriNet</v>
      </c>
    </row>
    <row r="9929" spans="1:15" hidden="1">
      <c r="A9929">
        <v>202308</v>
      </c>
      <c r="B9929" s="6">
        <v>45168</v>
      </c>
      <c r="C9929" t="s">
        <v>4006</v>
      </c>
      <c r="D9929" t="s">
        <v>4824</v>
      </c>
      <c r="E9929">
        <v>28.47</v>
      </c>
      <c r="F9929" s="2" t="str">
        <f>IF(Table2[[#This Row],[Manual Cat Value]]="",VLOOKUP(Table2[[#This Row],[Description]],'Actuals Lookup'!D:F,3,0),Table2[[#This Row],[Manual Cat Value]])</f>
        <v>Restaurants</v>
      </c>
      <c r="G9929" t="s">
        <v>26</v>
      </c>
      <c r="I9929" s="8"/>
      <c r="O9929" t="str">
        <f>LEFT(Table2[[#This Row],[Description]],75)</f>
        <v>Temazcal</v>
      </c>
    </row>
    <row r="9930" spans="1:15" hidden="1">
      <c r="A9930">
        <v>202308</v>
      </c>
      <c r="B9930" s="6">
        <v>45169</v>
      </c>
      <c r="C9930" t="s">
        <v>4062</v>
      </c>
      <c r="D9930" t="s">
        <v>4825</v>
      </c>
      <c r="E9930">
        <v>27.76</v>
      </c>
      <c r="F9930" s="2" t="str">
        <f>IF(Table2[[#This Row],[Manual Cat Value]]="",VLOOKUP(Table2[[#This Row],[Description]],'Actuals Lookup'!D:F,3,0),Table2[[#This Row],[Manual Cat Value]])</f>
        <v>Exp - Amazon</v>
      </c>
      <c r="H9930" s="8" t="s">
        <v>37</v>
      </c>
      <c r="I9930" s="8"/>
      <c r="O9930" t="str">
        <f>LEFT(Table2[[#This Row],[Description]],75)</f>
        <v>AMZN Mktp US*T32K49M11   Amzn.com/billWA REF #24692167J358ZH5YL</v>
      </c>
    </row>
    <row r="9931" spans="1:15" hidden="1">
      <c r="A9931">
        <v>202308</v>
      </c>
      <c r="B9931" s="6">
        <v>45169</v>
      </c>
      <c r="C9931" t="s">
        <v>4059</v>
      </c>
      <c r="D9931" t="s">
        <v>4826</v>
      </c>
      <c r="E9931">
        <v>71.81</v>
      </c>
      <c r="F9931" s="2" t="str">
        <f>IF(Table2[[#This Row],[Manual Cat Value]]="",VLOOKUP(Table2[[#This Row],[Description]],'Actuals Lookup'!D:F,3,0),Table2[[#This Row],[Manual Cat Value]])</f>
        <v>Exp - Amazon</v>
      </c>
      <c r="H9931" s="8" t="s">
        <v>37</v>
      </c>
      <c r="I9931" s="8"/>
      <c r="O9931" t="str">
        <f>LEFT(Table2[[#This Row],[Description]],75)</f>
        <v>AMZN Mktp US*T39N71W62   Amzn.com/billWA REF #24692167J35HZN2LF</v>
      </c>
    </row>
    <row r="9932" spans="1:15" hidden="1">
      <c r="A9932">
        <v>202308</v>
      </c>
      <c r="B9932" s="6">
        <v>45169</v>
      </c>
      <c r="C9932" t="s">
        <v>4059</v>
      </c>
      <c r="D9932" t="s">
        <v>404</v>
      </c>
      <c r="E9932">
        <v>-3611.22</v>
      </c>
      <c r="F9932" s="2" t="str">
        <f>IF(Table2[[#This Row],[Manual Cat Value]]="",VLOOKUP(Table2[[#This Row],[Description]],'Actuals Lookup'!D:F,3,0),Table2[[#This Row],[Manual Cat Value]])</f>
        <v>Inc - Britney</v>
      </c>
      <c r="H9932" s="8" t="s">
        <v>65</v>
      </c>
      <c r="I9932" s="8"/>
      <c r="O9932" t="str">
        <f>LEFT(Table2[[#This Row],[Description]],75)</f>
        <v>Cargill Inc Deposit</v>
      </c>
    </row>
    <row r="9933" spans="1:15" hidden="1">
      <c r="A9933">
        <v>202308</v>
      </c>
      <c r="B9933" s="6">
        <v>45169</v>
      </c>
      <c r="C9933" t="s">
        <v>2519</v>
      </c>
      <c r="D9933" t="s">
        <v>4827</v>
      </c>
      <c r="E9933">
        <v>49.52</v>
      </c>
      <c r="F9933" s="2" t="str">
        <f>IF(Table2[[#This Row],[Manual Cat Value]]="",VLOOKUP(Table2[[#This Row],[Description]],'Actuals Lookup'!D:F,3,0),Table2[[#This Row],[Manual Cat Value]])</f>
        <v>Exp - Transportation</v>
      </c>
      <c r="H9933" s="8" t="s">
        <v>22</v>
      </c>
      <c r="I9933" s="8"/>
      <c r="O9933" t="str">
        <f>LEFT(Table2[[#This Row],[Description]],75)</f>
        <v>COSTCO GAS #0783         EDEN PRAIRIE MN REF #24943007KS4BZPJ8V</v>
      </c>
    </row>
    <row r="9934" spans="1:15" hidden="1">
      <c r="A9934">
        <v>202308</v>
      </c>
      <c r="B9934" s="6">
        <v>45169</v>
      </c>
      <c r="C9934" t="s">
        <v>2519</v>
      </c>
      <c r="D9934" t="s">
        <v>4828</v>
      </c>
      <c r="E9934">
        <v>-50.25</v>
      </c>
      <c r="F9934" s="2" t="str">
        <f>IF(Table2[[#This Row],[Manual Cat Value]]="",VLOOKUP(Table2[[#This Row],[Description]],'Actuals Lookup'!D:F,3,0),Table2[[#This Row],[Manual Cat Value]])</f>
        <v>Inc - Other</v>
      </c>
      <c r="H9934" s="8" t="s">
        <v>16</v>
      </c>
      <c r="I9934" s="8"/>
      <c r="O9934" t="str">
        <f>LEFT(Table2[[#This Row],[Description]],75)</f>
        <v>Deposit Dividend Split Rate Annual Percentage Yield Earned 1.51% from 08/01</v>
      </c>
    </row>
    <row r="9935" spans="1:15" hidden="1">
      <c r="A9935">
        <v>202308</v>
      </c>
      <c r="B9935" s="6">
        <v>45169</v>
      </c>
      <c r="C9935" t="s">
        <v>4006</v>
      </c>
      <c r="D9935" t="s">
        <v>4547</v>
      </c>
      <c r="E9935">
        <v>228.78</v>
      </c>
      <c r="F9935" s="2" t="str">
        <f>IF(Table2[[#This Row],[Manual Cat Value]]="",VLOOKUP(Table2[[#This Row],[Description]],'Actuals Lookup'!D:F,3,0),Table2[[#This Row],[Manual Cat Value]])</f>
        <v>Delete</v>
      </c>
      <c r="G9935" t="s">
        <v>43</v>
      </c>
      <c r="H9935" s="8" t="s">
        <v>9</v>
      </c>
      <c r="I9935" s="8"/>
      <c r="O9935" t="str">
        <f>LEFT(Table2[[#This Row],[Description]],75)</f>
        <v>Hilton Hotels &amp; Resorts</v>
      </c>
    </row>
    <row r="9936" spans="1:15" hidden="1">
      <c r="A9936">
        <v>202308</v>
      </c>
      <c r="B9936" s="6">
        <v>45169</v>
      </c>
      <c r="C9936" t="s">
        <v>4006</v>
      </c>
      <c r="D9936" t="s">
        <v>4829</v>
      </c>
      <c r="E9936">
        <v>90</v>
      </c>
      <c r="F9936" s="2" t="str">
        <f>IF(Table2[[#This Row],[Manual Cat Value]]="",VLOOKUP(Table2[[#This Row],[Description]],'Actuals Lookup'!D:F,3,0),Table2[[#This Row],[Manual Cat Value]])</f>
        <v>Delete</v>
      </c>
      <c r="G9936" t="s">
        <v>43</v>
      </c>
      <c r="H9936" s="8" t="s">
        <v>9</v>
      </c>
      <c r="I9936" s="8"/>
      <c r="O9936" t="str">
        <f>LEFT(Table2[[#This Row],[Description]],75)</f>
        <v>Msp Airport Parking</v>
      </c>
    </row>
    <row r="9937" spans="1:15" hidden="1">
      <c r="A9937">
        <v>202308</v>
      </c>
      <c r="B9937" s="6">
        <v>45169</v>
      </c>
      <c r="C9937" t="s">
        <v>4062</v>
      </c>
      <c r="D9937" t="s">
        <v>1958</v>
      </c>
      <c r="E9937">
        <v>409.89</v>
      </c>
      <c r="F9937" s="2" t="str">
        <f>IF(Table2[[#This Row],[Manual Cat Value]]="",VLOOKUP(Table2[[#This Row],[Description]],'Actuals Lookup'!D:F,3,0),Table2[[#This Row],[Manual Cat Value]])</f>
        <v>Exp - Shopping</v>
      </c>
      <c r="H9937" s="8" t="s">
        <v>36</v>
      </c>
      <c r="I9937" s="8"/>
      <c r="O9937" t="str">
        <f>LEFT(Table2[[#This Row],[Description]],75)</f>
        <v>Transfer to Venmo</v>
      </c>
    </row>
    <row r="9938" spans="1:15" hidden="1">
      <c r="A9938">
        <v>202308</v>
      </c>
      <c r="B9938" s="6">
        <v>45169</v>
      </c>
      <c r="C9938" t="s">
        <v>4044</v>
      </c>
      <c r="D9938" t="s">
        <v>1958</v>
      </c>
      <c r="E9938">
        <v>88.89</v>
      </c>
      <c r="F9938" s="2" t="str">
        <f>IF(Table2[[#This Row],[Manual Cat Value]]="",VLOOKUP(Table2[[#This Row],[Description]],'Actuals Lookup'!D:F,3,0),Table2[[#This Row],[Manual Cat Value]])</f>
        <v>Exp - Shopping</v>
      </c>
      <c r="H9938" s="8" t="s">
        <v>36</v>
      </c>
      <c r="I9938" s="8"/>
      <c r="O9938" t="str">
        <f>LEFT(Table2[[#This Row],[Description]],75)</f>
        <v>Transfer to Venmo</v>
      </c>
    </row>
    <row r="9939" spans="1:15" hidden="1">
      <c r="A9939">
        <v>202308</v>
      </c>
      <c r="B9939" s="6">
        <v>45169</v>
      </c>
      <c r="C9939" t="s">
        <v>4006</v>
      </c>
      <c r="D9939" t="s">
        <v>4830</v>
      </c>
      <c r="E9939">
        <v>31.75</v>
      </c>
      <c r="F9939" s="2" t="str">
        <f>IF(Table2[[#This Row],[Manual Cat Value]]="",VLOOKUP(Table2[[#This Row],[Description]],'Actuals Lookup'!D:F,3,0),Table2[[#This Row],[Manual Cat Value]])</f>
        <v>Delete</v>
      </c>
      <c r="G9939" t="s">
        <v>26</v>
      </c>
      <c r="H9939" s="8" t="s">
        <v>9</v>
      </c>
      <c r="I9939" s="8"/>
      <c r="O9939" t="str">
        <f>LEFT(Table2[[#This Row],[Description]],75)</f>
        <v>Tst* Harpoon Tap Rooboston Ma Xxxxxxx3244 Bar/nightclub</v>
      </c>
    </row>
    <row r="9940" spans="1:15" hidden="1">
      <c r="A9940">
        <v>202309</v>
      </c>
      <c r="B9940" s="6">
        <v>45170</v>
      </c>
      <c r="C9940" t="s">
        <v>4006</v>
      </c>
      <c r="D9940" t="s">
        <v>4831</v>
      </c>
      <c r="E9940">
        <v>243.39</v>
      </c>
      <c r="F9940" s="2" t="str">
        <f>IF(Table2[[#This Row],[Manual Cat Value]]="",VLOOKUP(Table2[[#This Row],[Description]],'Actuals Lookup'!D:F,3,0),Table2[[#This Row],[Manual Cat Value]])</f>
        <v>Delete</v>
      </c>
      <c r="G9940" t="s">
        <v>43</v>
      </c>
      <c r="H9940" s="8" t="s">
        <v>9</v>
      </c>
      <c r="I9940" s="8"/>
      <c r="O9940" t="str">
        <f>LEFT(Table2[[#This Row],[Description]],75)</f>
        <v>Aloft Hotels</v>
      </c>
    </row>
    <row r="9941" spans="1:15" hidden="1">
      <c r="A9941">
        <v>202309</v>
      </c>
      <c r="B9941" s="6">
        <v>45170</v>
      </c>
      <c r="C9941" t="s">
        <v>4033</v>
      </c>
      <c r="D9941" t="s">
        <v>114</v>
      </c>
      <c r="E9941">
        <v>5.36</v>
      </c>
      <c r="F9941" s="2" t="str">
        <f>IF(Table2[[#This Row],[Manual Cat Value]]="",VLOOKUP(Table2[[#This Row],[Description]],'Actuals Lookup'!D:F,3,0),Table2[[#This Row],[Manual Cat Value]])</f>
        <v>Exp - Amazon</v>
      </c>
      <c r="H9941" s="8" t="s">
        <v>37</v>
      </c>
      <c r="I9941" s="8"/>
      <c r="O9941" t="str">
        <f>LEFT(Table2[[#This Row],[Description]],75)</f>
        <v>Amazon Music</v>
      </c>
    </row>
    <row r="9942" spans="1:15" hidden="1">
      <c r="A9942">
        <v>202309</v>
      </c>
      <c r="B9942" s="6">
        <v>45170</v>
      </c>
      <c r="C9942" t="s">
        <v>4328</v>
      </c>
      <c r="D9942" t="s">
        <v>4716</v>
      </c>
      <c r="E9942">
        <v>650</v>
      </c>
      <c r="F9942" s="2" t="str">
        <f>IF(Table2[[#This Row],[Manual Cat Value]]="",VLOOKUP(Table2[[#This Row],[Description]],'Actuals Lookup'!D:F,3,0),Table2[[#This Row],[Manual Cat Value]])</f>
        <v>Sav - College Savings</v>
      </c>
      <c r="H9942" s="8" t="s">
        <v>60</v>
      </c>
      <c r="I9942" s="8"/>
      <c r="O9942" t="str">
        <f>LEFT(Table2[[#This Row],[Description]],75)</f>
        <v>Transfer to College Station</v>
      </c>
    </row>
    <row r="9943" spans="1:15" hidden="1">
      <c r="A9943">
        <v>202309</v>
      </c>
      <c r="B9943" s="6">
        <v>45170</v>
      </c>
      <c r="C9943" t="s">
        <v>4332</v>
      </c>
      <c r="D9943" t="s">
        <v>4832</v>
      </c>
      <c r="E9943">
        <v>618.65</v>
      </c>
      <c r="F9943" s="2" t="str">
        <f>IF(Table2[[#This Row],[Manual Cat Value]]="",VLOOKUP(Table2[[#This Row],[Description]],'Actuals Lookup'!D:F,3,0),Table2[[#This Row],[Manual Cat Value]])</f>
        <v>Exp - Car Loan</v>
      </c>
      <c r="H9943" s="8" t="s">
        <v>10</v>
      </c>
      <c r="I9943" s="8"/>
      <c r="O9943" t="str">
        <f>LEFT(Table2[[#This Row],[Description]],75)</f>
        <v>Withdrawal Home Banking Transfer To Loan 02 REF # XX4955</v>
      </c>
    </row>
    <row r="9944" spans="1:15" hidden="1">
      <c r="A9944">
        <v>202309</v>
      </c>
      <c r="B9944" s="6">
        <v>45170</v>
      </c>
      <c r="C9944" t="s">
        <v>4325</v>
      </c>
      <c r="D9944" t="s">
        <v>1460</v>
      </c>
      <c r="E9944">
        <v>2741.74</v>
      </c>
      <c r="F9944" s="2" t="str">
        <f>IF(Table2[[#This Row],[Manual Cat Value]]="",VLOOKUP(Table2[[#This Row],[Description]],'Actuals Lookup'!D:F,3,0),Table2[[#This Row],[Manual Cat Value]])</f>
        <v>Exp - Rent</v>
      </c>
      <c r="H9944" s="8" t="s">
        <v>4</v>
      </c>
      <c r="I9944" s="8"/>
      <c r="O9944" t="str">
        <f>LEFT(Table2[[#This Row],[Description]],75)</f>
        <v>Payment to Baxter Credit Union</v>
      </c>
    </row>
    <row r="9945" spans="1:15" hidden="1">
      <c r="A9945">
        <v>202309</v>
      </c>
      <c r="B9945" s="6">
        <v>45171</v>
      </c>
      <c r="C9945" t="s">
        <v>4006</v>
      </c>
      <c r="D9945" t="s">
        <v>4833</v>
      </c>
      <c r="E9945">
        <v>5.58</v>
      </c>
      <c r="F9945" s="2" t="str">
        <f>IF(Table2[[#This Row],[Manual Cat Value]]="",VLOOKUP(Table2[[#This Row],[Description]],'Actuals Lookup'!D:F,3,0),Table2[[#This Row],[Manual Cat Value]])</f>
        <v>Restaurants</v>
      </c>
      <c r="G9945" t="s">
        <v>26</v>
      </c>
      <c r="I9945" s="8"/>
      <c r="O9945" t="str">
        <f>LEFT(Table2[[#This Row],[Description]],75)</f>
        <v>Aplpay Balsam Lake Bbalsam Lake De4odi9gipv Squareup.com/receipts</v>
      </c>
    </row>
    <row r="9946" spans="1:15" hidden="1">
      <c r="A9946">
        <v>202309</v>
      </c>
      <c r="B9946" s="6">
        <v>45171</v>
      </c>
      <c r="C9946" t="s">
        <v>4006</v>
      </c>
      <c r="D9946" t="s">
        <v>4834</v>
      </c>
      <c r="E9946">
        <v>12.08</v>
      </c>
      <c r="F9946" s="2" t="str">
        <f>IF(Table2[[#This Row],[Manual Cat Value]]="",VLOOKUP(Table2[[#This Row],[Description]],'Actuals Lookup'!D:F,3,0),Table2[[#This Row],[Manual Cat Value]])</f>
        <v>Shopping</v>
      </c>
      <c r="G9946" t="s">
        <v>21</v>
      </c>
      <c r="I9946" s="8"/>
      <c r="O9946" t="str">
        <f>LEFT(Table2[[#This Row],[Description]],75)</f>
        <v>Aplpay Hopsack Llc Balsam Lake 3tlpuvlf2vf Squareup.com/receipts</v>
      </c>
    </row>
    <row r="9947" spans="1:15" hidden="1">
      <c r="A9947">
        <v>202309</v>
      </c>
      <c r="B9947" s="6">
        <v>45171</v>
      </c>
      <c r="C9947" t="s">
        <v>4006</v>
      </c>
      <c r="D9947" t="s">
        <v>4835</v>
      </c>
      <c r="E9947">
        <v>247.13</v>
      </c>
      <c r="F9947" s="2" t="str">
        <f>IF(Table2[[#This Row],[Manual Cat Value]]="",VLOOKUP(Table2[[#This Row],[Description]],'Actuals Lookup'!D:F,3,0),Table2[[#This Row],[Manual Cat Value]])</f>
        <v>Exp - Shopping</v>
      </c>
      <c r="G9947" t="s">
        <v>4745</v>
      </c>
      <c r="H9947" s="8" t="s">
        <v>36</v>
      </c>
      <c r="I9947" s="8"/>
      <c r="O9947" t="str">
        <f>LEFT(Table2[[#This Row],[Description]],75)</f>
        <v>Aplpay Hopsack Llc Balsam Lake L0byc4nwh7d Squareup.com/receipts</v>
      </c>
    </row>
    <row r="9948" spans="1:15" hidden="1">
      <c r="A9948">
        <v>202309</v>
      </c>
      <c r="B9948" s="6">
        <v>45171</v>
      </c>
      <c r="C9948" t="s">
        <v>4006</v>
      </c>
      <c r="D9948" t="s">
        <v>4836</v>
      </c>
      <c r="E9948">
        <v>5.65</v>
      </c>
      <c r="F9948" s="2" t="str">
        <f>IF(Table2[[#This Row],[Manual Cat Value]]="",VLOOKUP(Table2[[#This Row],[Description]],'Actuals Lookup'!D:F,3,0),Table2[[#This Row],[Manual Cat Value]])</f>
        <v>Restaurants</v>
      </c>
      <c r="G9948" t="s">
        <v>26</v>
      </c>
      <c r="I9948" s="8"/>
      <c r="O9948" t="str">
        <f>LEFT(Table2[[#This Row],[Description]],75)</f>
        <v>Kj's New North 40390balsam Lake Xxxxxxx3246 Kjsnewnorth@gmail.com</v>
      </c>
    </row>
    <row r="9949" spans="1:15" hidden="1">
      <c r="A9949">
        <v>202309</v>
      </c>
      <c r="B9949" s="6">
        <v>45172</v>
      </c>
      <c r="C9949" t="s">
        <v>3932</v>
      </c>
      <c r="D9949" t="s">
        <v>38</v>
      </c>
      <c r="E9949">
        <v>55.23</v>
      </c>
      <c r="F9949" s="2" t="str">
        <f>IF(Table2[[#This Row],[Manual Cat Value]]="",VLOOKUP(Table2[[#This Row],[Description]],'Actuals Lookup'!D:F,3,0),Table2[[#This Row],[Manual Cat Value]])</f>
        <v>Exp - Amazon</v>
      </c>
      <c r="G9949" t="s">
        <v>38</v>
      </c>
      <c r="H9949" s="8" t="s">
        <v>37</v>
      </c>
      <c r="I9949" s="8"/>
      <c r="O9949" t="str">
        <f>LEFT(Table2[[#This Row],[Description]],75)</f>
        <v>Amazon</v>
      </c>
    </row>
    <row r="9950" spans="1:15" hidden="1">
      <c r="A9950">
        <v>202309</v>
      </c>
      <c r="B9950" s="6">
        <v>45172</v>
      </c>
      <c r="C9950" t="s">
        <v>4006</v>
      </c>
      <c r="D9950" t="s">
        <v>4837</v>
      </c>
      <c r="E9950">
        <v>60.79</v>
      </c>
      <c r="F9950" s="2" t="str">
        <f>IF(Table2[[#This Row],[Manual Cat Value]]="",VLOOKUP(Table2[[#This Row],[Description]],'Actuals Lookup'!D:F,3,0),Table2[[#This Row],[Manual Cat Value]])</f>
        <v>Entertainment</v>
      </c>
      <c r="G9950" t="s">
        <v>40</v>
      </c>
      <c r="I9950" s="8"/>
      <c r="O9950" t="str">
        <f>LEFT(Table2[[#This Row],[Description]],75)</f>
        <v>Balsam Lake</v>
      </c>
    </row>
    <row r="9951" spans="1:15" hidden="1">
      <c r="A9951">
        <v>202309</v>
      </c>
      <c r="B9951" s="6">
        <v>45172</v>
      </c>
      <c r="C9951" t="s">
        <v>4006</v>
      </c>
      <c r="D9951" t="s">
        <v>4838</v>
      </c>
      <c r="E9951">
        <v>26.47</v>
      </c>
      <c r="F9951" s="2" t="str">
        <f>IF(Table2[[#This Row],[Manual Cat Value]]="",VLOOKUP(Table2[[#This Row],[Description]],'Actuals Lookup'!D:F,3,0),Table2[[#This Row],[Manual Cat Value]])</f>
        <v>Groceries</v>
      </c>
      <c r="G9951" t="s">
        <v>28</v>
      </c>
      <c r="I9951" s="8"/>
      <c r="O9951" t="str">
        <f>LEFT(Table2[[#This Row],[Description]],75)</f>
        <v>Wayne's Foods Plus 0luck Wi</v>
      </c>
    </row>
    <row r="9952" spans="1:15" hidden="1">
      <c r="A9952">
        <v>202309</v>
      </c>
      <c r="B9952" s="6">
        <v>45172</v>
      </c>
      <c r="C9952" t="s">
        <v>4006</v>
      </c>
      <c r="D9952" t="s">
        <v>4838</v>
      </c>
      <c r="E9952">
        <v>94.31</v>
      </c>
      <c r="F9952" s="2" t="str">
        <f>IF(Table2[[#This Row],[Manual Cat Value]]="",VLOOKUP(Table2[[#This Row],[Description]],'Actuals Lookup'!D:F,3,0),Table2[[#This Row],[Manual Cat Value]])</f>
        <v>Groceries</v>
      </c>
      <c r="G9952" t="s">
        <v>28</v>
      </c>
      <c r="I9952" s="8"/>
      <c r="O9952" t="str">
        <f>LEFT(Table2[[#This Row],[Description]],75)</f>
        <v>Wayne's Foods Plus 0luck Wi</v>
      </c>
    </row>
    <row r="9953" spans="1:15" hidden="1">
      <c r="A9953">
        <v>202309</v>
      </c>
      <c r="B9953" s="6">
        <v>45173</v>
      </c>
      <c r="C9953" t="s">
        <v>4006</v>
      </c>
      <c r="D9953" t="s">
        <v>1083</v>
      </c>
      <c r="E9953">
        <v>1.98</v>
      </c>
      <c r="F9953" s="2" t="str">
        <f>IF(Table2[[#This Row],[Manual Cat Value]]="",VLOOKUP(Table2[[#This Row],[Description]],'Actuals Lookup'!D:F,3,0),Table2[[#This Row],[Manual Cat Value]])</f>
        <v>Transportation</v>
      </c>
      <c r="G9953" t="s">
        <v>23</v>
      </c>
      <c r="I9953" s="8"/>
      <c r="O9953" t="str">
        <f>LEFT(Table2[[#This Row],[Description]],75)</f>
        <v>Kwik Trip</v>
      </c>
    </row>
    <row r="9954" spans="1:15" hidden="1">
      <c r="A9954">
        <v>202309</v>
      </c>
      <c r="B9954" s="6">
        <v>45173</v>
      </c>
      <c r="C9954" t="s">
        <v>4006</v>
      </c>
      <c r="D9954" t="s">
        <v>1083</v>
      </c>
      <c r="E9954">
        <v>48.12</v>
      </c>
      <c r="F9954" s="2" t="str">
        <f>IF(Table2[[#This Row],[Manual Cat Value]]="",VLOOKUP(Table2[[#This Row],[Description]],'Actuals Lookup'!D:F,3,0),Table2[[#This Row],[Manual Cat Value]])</f>
        <v>Transportation</v>
      </c>
      <c r="G9954" t="s">
        <v>23</v>
      </c>
      <c r="I9954" s="8"/>
      <c r="O9954" t="str">
        <f>LEFT(Table2[[#This Row],[Description]],75)</f>
        <v>Kwik Trip</v>
      </c>
    </row>
    <row r="9955" spans="1:15" hidden="1">
      <c r="A9955">
        <v>202309</v>
      </c>
      <c r="B9955" s="6">
        <v>45173</v>
      </c>
      <c r="C9955" t="s">
        <v>4006</v>
      </c>
      <c r="D9955" t="s">
        <v>4839</v>
      </c>
      <c r="E9955">
        <v>26.35</v>
      </c>
      <c r="F9955" s="2" t="str">
        <f>IF(Table2[[#This Row],[Manual Cat Value]]="",VLOOKUP(Table2[[#This Row],[Description]],'Actuals Lookup'!D:F,3,0),Table2[[#This Row],[Manual Cat Value]])</f>
        <v>Exp - House Maint</v>
      </c>
      <c r="G9955" t="s">
        <v>4840</v>
      </c>
      <c r="H9955" s="8" t="s">
        <v>1</v>
      </c>
      <c r="I9955" s="8"/>
      <c r="O9955" t="str">
        <f>LEFT(Table2[[#This Row],[Description]],75)</f>
        <v>Menards</v>
      </c>
    </row>
    <row r="9956" spans="1:15" hidden="1">
      <c r="A9956">
        <v>202309</v>
      </c>
      <c r="B9956" s="6">
        <v>45174</v>
      </c>
      <c r="C9956" t="s">
        <v>4006</v>
      </c>
      <c r="D9956" t="s">
        <v>4841</v>
      </c>
      <c r="E9956">
        <v>27.9</v>
      </c>
      <c r="F9956" s="2" t="str">
        <f>IF(Table2[[#This Row],[Manual Cat Value]]="",VLOOKUP(Table2[[#This Row],[Description]],'Actuals Lookup'!D:F,3,0),Table2[[#This Row],[Manual Cat Value]])</f>
        <v>Entertainment</v>
      </c>
      <c r="G9956" t="s">
        <v>40</v>
      </c>
      <c r="I9956" s="8"/>
      <c r="O9956" t="str">
        <f>LEFT(Table2[[#This Row],[Description]],75)</f>
        <v>Arboretum</v>
      </c>
    </row>
    <row r="9957" spans="1:15" hidden="1">
      <c r="A9957">
        <v>202309</v>
      </c>
      <c r="B9957" s="6">
        <v>45174</v>
      </c>
      <c r="C9957" t="s">
        <v>4006</v>
      </c>
      <c r="D9957" t="s">
        <v>1014</v>
      </c>
      <c r="E9957">
        <v>27.01</v>
      </c>
      <c r="F9957" s="2" t="str">
        <f>IF(Table2[[#This Row],[Manual Cat Value]]="",VLOOKUP(Table2[[#This Row],[Description]],'Actuals Lookup'!D:F,3,0),Table2[[#This Row],[Manual Cat Value]])</f>
        <v>Restaurants</v>
      </c>
      <c r="G9957" t="s">
        <v>26</v>
      </c>
      <c r="I9957" s="8"/>
      <c r="O9957" t="str">
        <f>LEFT(Table2[[#This Row],[Description]],75)</f>
        <v>Jimmy John's</v>
      </c>
    </row>
    <row r="9958" spans="1:15" hidden="1">
      <c r="A9958">
        <v>202309</v>
      </c>
      <c r="B9958" s="6">
        <v>45174</v>
      </c>
      <c r="C9958" t="s">
        <v>4006</v>
      </c>
      <c r="D9958" t="s">
        <v>1356</v>
      </c>
      <c r="E9958">
        <v>55.6</v>
      </c>
      <c r="F9958" s="2" t="str">
        <f>IF(Table2[[#This Row],[Manual Cat Value]]="",VLOOKUP(Table2[[#This Row],[Description]],'Actuals Lookup'!D:F,3,0),Table2[[#This Row],[Manual Cat Value]])</f>
        <v>Exp - Restaurants</v>
      </c>
      <c r="G9958" t="s">
        <v>26</v>
      </c>
      <c r="H9958" s="8" t="s">
        <v>25</v>
      </c>
      <c r="I9958" s="8"/>
      <c r="O9958" t="str">
        <f>LEFT(Table2[[#This Row],[Description]],75)</f>
        <v>North Coop</v>
      </c>
    </row>
    <row r="9959" spans="1:15" hidden="1">
      <c r="A9959">
        <v>202309</v>
      </c>
      <c r="B9959" s="6">
        <v>45174</v>
      </c>
      <c r="C9959" t="s">
        <v>4006</v>
      </c>
      <c r="D9959" t="s">
        <v>31</v>
      </c>
      <c r="E9959">
        <v>23.23</v>
      </c>
      <c r="F9959" s="2" t="str">
        <f>IF(Table2[[#This Row],[Manual Cat Value]]="",VLOOKUP(Table2[[#This Row],[Description]],'Actuals Lookup'!D:F,3,0),Table2[[#This Row],[Manual Cat Value]])</f>
        <v>Exp - Target</v>
      </c>
      <c r="G9959" t="s">
        <v>31</v>
      </c>
      <c r="H9959" s="8" t="s">
        <v>30</v>
      </c>
      <c r="I9959" s="8"/>
      <c r="O9959" t="str">
        <f>LEFT(Table2[[#This Row],[Description]],75)</f>
        <v>Target</v>
      </c>
    </row>
    <row r="9960" spans="1:15" hidden="1">
      <c r="A9960">
        <v>202309</v>
      </c>
      <c r="B9960" s="6">
        <v>45174</v>
      </c>
      <c r="C9960" t="s">
        <v>4333</v>
      </c>
      <c r="D9960" t="s">
        <v>1955</v>
      </c>
      <c r="E9960">
        <v>52.45</v>
      </c>
      <c r="F9960" s="2" t="str">
        <f>IF(Table2[[#This Row],[Manual Cat Value]]="",VLOOKUP(Table2[[#This Row],[Description]],'Actuals Lookup'!D:F,3,0),Table2[[#This Row],[Manual Cat Value]])</f>
        <v>Exp - Shopping</v>
      </c>
      <c r="H9960" s="8" t="s">
        <v>36</v>
      </c>
      <c r="I9960" s="8"/>
      <c r="O9960" t="str">
        <f>LEFT(Table2[[#This Row],[Description]],75)</f>
        <v>Transfer to PayPal</v>
      </c>
    </row>
    <row r="9961" spans="1:15" hidden="1">
      <c r="A9961">
        <v>202309</v>
      </c>
      <c r="B9961" s="6">
        <v>45174</v>
      </c>
      <c r="C9961" t="s">
        <v>4330</v>
      </c>
      <c r="D9961" t="s">
        <v>1958</v>
      </c>
      <c r="E9961">
        <v>1598</v>
      </c>
      <c r="F9961" s="2" t="str">
        <f>IF(Table2[[#This Row],[Manual Cat Value]]="",VLOOKUP(Table2[[#This Row],[Description]],'Actuals Lookup'!D:F,3,0),Table2[[#This Row],[Manual Cat Value]])</f>
        <v>Exp - Travel</v>
      </c>
      <c r="H9961" s="8" t="s">
        <v>52</v>
      </c>
      <c r="I9961" s="8" t="s">
        <v>4842</v>
      </c>
      <c r="O9961" t="str">
        <f>LEFT(Table2[[#This Row],[Description]],75)</f>
        <v>Transfer to Venmo</v>
      </c>
    </row>
    <row r="9962" spans="1:15" hidden="1">
      <c r="A9962">
        <v>202309</v>
      </c>
      <c r="B9962" s="6">
        <v>45174</v>
      </c>
      <c r="C9962" t="s">
        <v>4028</v>
      </c>
      <c r="D9962" t="s">
        <v>4002</v>
      </c>
      <c r="E9962">
        <v>38.99</v>
      </c>
      <c r="F9962" s="2" t="str">
        <f>IF(Table2[[#This Row],[Manual Cat Value]]="",VLOOKUP(Table2[[#This Row],[Description]],'Actuals Lookup'!D:F,3,0),Table2[[#This Row],[Manual Cat Value]])</f>
        <v>Exp - Utilities</v>
      </c>
      <c r="H9962" s="8" t="s">
        <v>6</v>
      </c>
      <c r="I9962" s="8"/>
      <c r="O9962" t="str">
        <f>LEFT(Table2[[#This Row],[Description]],75)</f>
        <v>Wall Street Journal</v>
      </c>
    </row>
    <row r="9963" spans="1:15" hidden="1">
      <c r="A9963">
        <v>202309</v>
      </c>
      <c r="B9963" s="6">
        <v>45175</v>
      </c>
      <c r="C9963" t="s">
        <v>4006</v>
      </c>
      <c r="D9963" t="s">
        <v>703</v>
      </c>
      <c r="E9963">
        <v>792.8</v>
      </c>
      <c r="F9963" s="2" t="str">
        <f>IF(Table2[[#This Row],[Manual Cat Value]]="",VLOOKUP(Table2[[#This Row],[Description]],'Actuals Lookup'!D:F,3,0),Table2[[#This Row],[Manual Cat Value]])</f>
        <v>Delete</v>
      </c>
      <c r="G9963" t="s">
        <v>67</v>
      </c>
      <c r="H9963" s="8" t="s">
        <v>9</v>
      </c>
      <c r="I9963" s="8"/>
      <c r="O9963" t="str">
        <f>LEFT(Table2[[#This Row],[Description]],75)</f>
        <v>Delta Air Lines</v>
      </c>
    </row>
    <row r="9964" spans="1:15" hidden="1">
      <c r="A9964">
        <v>202309</v>
      </c>
      <c r="B9964" s="6">
        <v>45175</v>
      </c>
      <c r="C9964" t="s">
        <v>4006</v>
      </c>
      <c r="D9964" t="s">
        <v>703</v>
      </c>
      <c r="E9964">
        <v>792.8</v>
      </c>
      <c r="F9964" s="2" t="str">
        <f>IF(Table2[[#This Row],[Manual Cat Value]]="",VLOOKUP(Table2[[#This Row],[Description]],'Actuals Lookup'!D:F,3,0),Table2[[#This Row],[Manual Cat Value]])</f>
        <v>Delete</v>
      </c>
      <c r="G9964" t="s">
        <v>67</v>
      </c>
      <c r="H9964" s="8" t="s">
        <v>9</v>
      </c>
      <c r="I9964" s="8"/>
      <c r="O9964" t="str">
        <f>LEFT(Table2[[#This Row],[Description]],75)</f>
        <v>Delta Air Lines</v>
      </c>
    </row>
    <row r="9965" spans="1:15" hidden="1">
      <c r="A9965">
        <v>202309</v>
      </c>
      <c r="B9965" s="6">
        <v>45175</v>
      </c>
      <c r="C9965" t="s">
        <v>4006</v>
      </c>
      <c r="D9965" t="s">
        <v>703</v>
      </c>
      <c r="E9965">
        <v>792.8</v>
      </c>
      <c r="F9965" s="2" t="str">
        <f>IF(Table2[[#This Row],[Manual Cat Value]]="",VLOOKUP(Table2[[#This Row],[Description]],'Actuals Lookup'!D:F,3,0),Table2[[#This Row],[Manual Cat Value]])</f>
        <v>Delete</v>
      </c>
      <c r="G9965" t="s">
        <v>67</v>
      </c>
      <c r="H9965" s="8" t="s">
        <v>9</v>
      </c>
      <c r="I9965" s="8"/>
      <c r="O9965" t="str">
        <f>LEFT(Table2[[#This Row],[Description]],75)</f>
        <v>Delta Air Lines</v>
      </c>
    </row>
    <row r="9966" spans="1:15" hidden="1">
      <c r="A9966">
        <v>202309</v>
      </c>
      <c r="B9966" s="6">
        <v>45175</v>
      </c>
      <c r="C9966" t="s">
        <v>4006</v>
      </c>
      <c r="D9966" t="s">
        <v>703</v>
      </c>
      <c r="E9966">
        <v>792.8</v>
      </c>
      <c r="F9966" s="2" t="str">
        <f>IF(Table2[[#This Row],[Manual Cat Value]]="",VLOOKUP(Table2[[#This Row],[Description]],'Actuals Lookup'!D:F,3,0),Table2[[#This Row],[Manual Cat Value]])</f>
        <v>Delete</v>
      </c>
      <c r="G9966" t="s">
        <v>67</v>
      </c>
      <c r="H9966" s="8" t="s">
        <v>9</v>
      </c>
      <c r="I9966" s="8"/>
      <c r="O9966" t="str">
        <f>LEFT(Table2[[#This Row],[Description]],75)</f>
        <v>Delta Air Lines</v>
      </c>
    </row>
    <row r="9967" spans="1:15" hidden="1">
      <c r="A9967">
        <v>202309</v>
      </c>
      <c r="B9967" s="6">
        <v>45175</v>
      </c>
      <c r="C9967" t="s">
        <v>4030</v>
      </c>
      <c r="D9967" t="s">
        <v>808</v>
      </c>
      <c r="E9967">
        <v>42</v>
      </c>
      <c r="F9967" s="2" t="str">
        <f>IF(Table2[[#This Row],[Manual Cat Value]]="",VLOOKUP(Table2[[#This Row],[Description]],'Actuals Lookup'!D:F,3,0),Table2[[#This Row],[Manual Cat Value]])</f>
        <v>Exp - Shopping</v>
      </c>
      <c r="H9967" s="8" t="s">
        <v>36</v>
      </c>
      <c r="I9967" s="8"/>
      <c r="O9967" t="str">
        <f>LEFT(Table2[[#This Row],[Description]],75)</f>
        <v>Elite Nails</v>
      </c>
    </row>
    <row r="9968" spans="1:15" hidden="1">
      <c r="A9968">
        <v>202309</v>
      </c>
      <c r="B9968" s="6">
        <v>45175</v>
      </c>
      <c r="C9968" t="s">
        <v>4038</v>
      </c>
      <c r="D9968" t="s">
        <v>1068</v>
      </c>
      <c r="E9968">
        <v>27</v>
      </c>
      <c r="F9968" s="2" t="str">
        <f>IF(Table2[[#This Row],[Manual Cat Value]]="",VLOOKUP(Table2[[#This Row],[Description]],'Actuals Lookup'!D:F,3,0),Table2[[#This Row],[Manual Cat Value]])</f>
        <v>Exp - Misc</v>
      </c>
      <c r="H9968" s="8" t="s">
        <v>46</v>
      </c>
      <c r="I9968" s="8"/>
      <c r="O9968" t="str">
        <f>LEFT(Table2[[#This Row],[Description]],75)</f>
        <v>Kids Hair</v>
      </c>
    </row>
    <row r="9969" spans="1:15" hidden="1">
      <c r="A9969">
        <v>202309</v>
      </c>
      <c r="B9969" s="6">
        <v>45175</v>
      </c>
      <c r="C9969" t="s">
        <v>4336</v>
      </c>
      <c r="D9969" t="s">
        <v>1955</v>
      </c>
      <c r="E9969">
        <v>44.97</v>
      </c>
      <c r="F9969" s="2" t="str">
        <f>IF(Table2[[#This Row],[Manual Cat Value]]="",VLOOKUP(Table2[[#This Row],[Description]],'Actuals Lookup'!D:F,3,0),Table2[[#This Row],[Manual Cat Value]])</f>
        <v>Exp - Shopping</v>
      </c>
      <c r="H9969" s="8" t="s">
        <v>36</v>
      </c>
      <c r="I9969" s="8"/>
      <c r="O9969" t="str">
        <f>LEFT(Table2[[#This Row],[Description]],75)</f>
        <v>Transfer to PayPal</v>
      </c>
    </row>
    <row r="9970" spans="1:15" hidden="1">
      <c r="A9970">
        <v>202309</v>
      </c>
      <c r="B9970" s="6">
        <v>45175</v>
      </c>
      <c r="C9970" t="s">
        <v>4342</v>
      </c>
      <c r="D9970" t="s">
        <v>4843</v>
      </c>
      <c r="E9970">
        <v>330</v>
      </c>
      <c r="F9970" s="2" t="str">
        <f>IF(Table2[[#This Row],[Manual Cat Value]]="",VLOOKUP(Table2[[#This Row],[Description]],'Actuals Lookup'!D:F,3,0),Table2[[#This Row],[Manual Cat Value]])</f>
        <v>Exp - Day Care</v>
      </c>
      <c r="H9970" s="8" t="s">
        <v>19</v>
      </c>
      <c r="I9970" s="8"/>
      <c r="O9970" t="str">
        <f>LEFT(Table2[[#This Row],[Description]],75)</f>
        <v>Withdrawal ACH MHCHILDCARELLC TYPE: DUES ID: XX8198 CO: MHCHILDCARELLC Entr</v>
      </c>
    </row>
    <row r="9971" spans="1:15" hidden="1">
      <c r="A9971">
        <v>202309</v>
      </c>
      <c r="B9971" s="6">
        <v>45175</v>
      </c>
      <c r="C9971" t="s">
        <v>4337</v>
      </c>
      <c r="D9971" t="s">
        <v>1470</v>
      </c>
      <c r="E9971">
        <v>248.17</v>
      </c>
      <c r="F9971" s="2" t="str">
        <f>IF(Table2[[#This Row],[Manual Cat Value]]="",VLOOKUP(Table2[[#This Row],[Description]],'Actuals Lookup'!D:F,3,0),Table2[[#This Row],[Manual Cat Value]])</f>
        <v>Exp - Utilities</v>
      </c>
      <c r="H9971" s="8" t="s">
        <v>6</v>
      </c>
      <c r="I9971" s="8"/>
      <c r="O9971" t="str">
        <f>LEFT(Table2[[#This Row],[Description]],75)</f>
        <v>Payment to Xcel Energy</v>
      </c>
    </row>
    <row r="9972" spans="1:15" hidden="1">
      <c r="A9972">
        <v>202309</v>
      </c>
      <c r="B9972" s="6">
        <v>45176</v>
      </c>
      <c r="C9972" t="s">
        <v>4040</v>
      </c>
      <c r="D9972" t="s">
        <v>4844</v>
      </c>
      <c r="E9972">
        <v>22.52</v>
      </c>
      <c r="F9972" s="2" t="str">
        <f>IF(Table2[[#This Row],[Manual Cat Value]]="",VLOOKUP(Table2[[#This Row],[Description]],'Actuals Lookup'!D:F,3,0),Table2[[#This Row],[Manual Cat Value]])</f>
        <v>Exp - Shopping</v>
      </c>
      <c r="H9972" s="8" t="s">
        <v>36</v>
      </c>
      <c r="I9972" s="8"/>
      <c r="O9972" t="str">
        <f>LEFT(Table2[[#This Row],[Description]],75)</f>
        <v>Jo-Ann Stores</v>
      </c>
    </row>
    <row r="9973" spans="1:15" hidden="1">
      <c r="A9973">
        <v>202309</v>
      </c>
      <c r="B9973" s="6">
        <v>45177</v>
      </c>
      <c r="C9973" t="s">
        <v>4006</v>
      </c>
      <c r="D9973" t="s">
        <v>4845</v>
      </c>
      <c r="E9973">
        <v>-71.989999999999995</v>
      </c>
      <c r="F9973" s="2" t="str">
        <f>IF(Table2[[#This Row],[Manual Cat Value]]="",VLOOKUP(Table2[[#This Row],[Description]],'Actuals Lookup'!D:F,3,0),Table2[[#This Row],[Manual Cat Value]])</f>
        <v>Exp - Entertainment</v>
      </c>
      <c r="G9973" t="s">
        <v>4722</v>
      </c>
      <c r="H9973" s="8" t="s">
        <v>39</v>
      </c>
      <c r="I9973" s="8"/>
      <c r="O9973" t="str">
        <f>LEFT(Table2[[#This Row],[Description]],75)</f>
        <v>Aplpay Bt*rally Houslenexa Ks</v>
      </c>
    </row>
    <row r="9974" spans="1:15" hidden="1">
      <c r="A9974">
        <v>202309</v>
      </c>
      <c r="B9974" s="6">
        <v>45177</v>
      </c>
      <c r="C9974" t="s">
        <v>4006</v>
      </c>
      <c r="D9974" t="s">
        <v>4846</v>
      </c>
      <c r="E9974">
        <v>35.659999999999997</v>
      </c>
      <c r="F9974" s="2" t="str">
        <f>IF(Table2[[#This Row],[Manual Cat Value]]="",VLOOKUP(Table2[[#This Row],[Description]],'Actuals Lookup'!D:F,3,0),Table2[[#This Row],[Manual Cat Value]])</f>
        <v>Exp - Shopping</v>
      </c>
      <c r="G9974" t="s">
        <v>35</v>
      </c>
      <c r="H9974" s="8" t="s">
        <v>36</v>
      </c>
      <c r="I9974" s="8"/>
      <c r="O9974" t="str">
        <f>LEFT(Table2[[#This Row],[Description]],75)</f>
        <v>Aplpay Kansas Univerlawrence Ks</v>
      </c>
    </row>
    <row r="9975" spans="1:15" hidden="1">
      <c r="A9975">
        <v>202309</v>
      </c>
      <c r="B9975" s="6">
        <v>45177</v>
      </c>
      <c r="C9975" t="s">
        <v>4006</v>
      </c>
      <c r="D9975" t="s">
        <v>4847</v>
      </c>
      <c r="E9975">
        <v>34.58</v>
      </c>
      <c r="F9975" s="2" t="str">
        <f>IF(Table2[[#This Row],[Manual Cat Value]]="",VLOOKUP(Table2[[#This Row],[Description]],'Actuals Lookup'!D:F,3,0),Table2[[#This Row],[Manual Cat Value]])</f>
        <v>Exp - Shopping</v>
      </c>
      <c r="G9975" t="s">
        <v>35</v>
      </c>
      <c r="H9975" s="8" t="s">
        <v>36</v>
      </c>
      <c r="I9975" s="8"/>
      <c r="O9975" t="str">
        <f>LEFT(Table2[[#This Row],[Description]],75)</f>
        <v>Fevogm - New York 52new York Ny</v>
      </c>
    </row>
    <row r="9976" spans="1:15" hidden="1">
      <c r="A9976">
        <v>202309</v>
      </c>
      <c r="B9976" s="6">
        <v>45177</v>
      </c>
      <c r="C9976" t="s">
        <v>4006</v>
      </c>
      <c r="D9976" t="s">
        <v>4848</v>
      </c>
      <c r="E9976">
        <v>20.69</v>
      </c>
      <c r="F9976" s="2" t="str">
        <f>IF(Table2[[#This Row],[Manual Cat Value]]="",VLOOKUP(Table2[[#This Row],[Description]],'Actuals Lookup'!D:F,3,0),Table2[[#This Row],[Manual Cat Value]])</f>
        <v>Exp - Groceries</v>
      </c>
      <c r="G9976" t="s">
        <v>28</v>
      </c>
      <c r="H9976" s="8" t="s">
        <v>27</v>
      </c>
      <c r="I9976" s="8"/>
      <c r="O9976" t="str">
        <f>LEFT(Table2[[#This Row],[Description]],75)</f>
        <v>Jayhawk Food Mart</v>
      </c>
    </row>
    <row r="9977" spans="1:15" hidden="1">
      <c r="A9977">
        <v>202309</v>
      </c>
      <c r="B9977" s="6">
        <v>45177</v>
      </c>
      <c r="C9977" t="s">
        <v>4006</v>
      </c>
      <c r="D9977" t="s">
        <v>4849</v>
      </c>
      <c r="E9977">
        <v>43.29</v>
      </c>
      <c r="F9977" s="2" t="str">
        <f>IF(Table2[[#This Row],[Manual Cat Value]]="",VLOOKUP(Table2[[#This Row],[Description]],'Actuals Lookup'!D:F,3,0),Table2[[#This Row],[Manual Cat Value]])</f>
        <v>Restaurants</v>
      </c>
      <c r="G9977" t="s">
        <v>26</v>
      </c>
      <c r="I9977" s="8"/>
      <c r="O9977" t="str">
        <f>LEFT(Table2[[#This Row],[Description]],75)</f>
        <v>Jeffersons</v>
      </c>
    </row>
    <row r="9978" spans="1:15" hidden="1">
      <c r="A9978">
        <v>202309</v>
      </c>
      <c r="B9978" s="6">
        <v>45177</v>
      </c>
      <c r="C9978" t="s">
        <v>4006</v>
      </c>
      <c r="D9978" t="s">
        <v>4850</v>
      </c>
      <c r="E9978">
        <v>22</v>
      </c>
      <c r="F9978" s="2" t="str">
        <f>IF(Table2[[#This Row],[Manual Cat Value]]="",VLOOKUP(Table2[[#This Row],[Description]],'Actuals Lookup'!D:F,3,0),Table2[[#This Row],[Manual Cat Value]])</f>
        <v>Exp - Shopping</v>
      </c>
      <c r="G9978" t="s">
        <v>62</v>
      </c>
      <c r="H9978" s="8" t="s">
        <v>36</v>
      </c>
      <c r="I9978" s="8"/>
      <c r="O9978" t="str">
        <f>LEFT(Table2[[#This Row],[Description]],75)</f>
        <v>Kansas Univ Flex 000lawrence Ks</v>
      </c>
    </row>
    <row r="9979" spans="1:15" hidden="1">
      <c r="A9979">
        <v>202309</v>
      </c>
      <c r="B9979" s="6">
        <v>45177</v>
      </c>
      <c r="C9979" t="s">
        <v>4006</v>
      </c>
      <c r="D9979" t="s">
        <v>4850</v>
      </c>
      <c r="E9979">
        <v>15.3</v>
      </c>
      <c r="F9979" s="2" t="str">
        <f>IF(Table2[[#This Row],[Manual Cat Value]]="",VLOOKUP(Table2[[#This Row],[Description]],'Actuals Lookup'!D:F,3,0),Table2[[#This Row],[Manual Cat Value]])</f>
        <v>Exp - Shopping</v>
      </c>
      <c r="G9979" t="s">
        <v>62</v>
      </c>
      <c r="H9979" s="8" t="s">
        <v>36</v>
      </c>
      <c r="I9979" s="8"/>
      <c r="O9979" t="str">
        <f>LEFT(Table2[[#This Row],[Description]],75)</f>
        <v>Kansas Univ Flex 000lawrence Ks</v>
      </c>
    </row>
    <row r="9980" spans="1:15" hidden="1">
      <c r="A9980">
        <v>202309</v>
      </c>
      <c r="B9980" s="6">
        <v>45177</v>
      </c>
      <c r="C9980" t="s">
        <v>4006</v>
      </c>
      <c r="D9980" t="s">
        <v>3978</v>
      </c>
      <c r="E9980">
        <v>36.64</v>
      </c>
      <c r="F9980" s="2" t="str">
        <f>IF(Table2[[#This Row],[Manual Cat Value]]="",VLOOKUP(Table2[[#This Row],[Description]],'Actuals Lookup'!D:F,3,0),Table2[[#This Row],[Manual Cat Value]])</f>
        <v>Travel</v>
      </c>
      <c r="G9980" t="s">
        <v>43</v>
      </c>
      <c r="I9980" s="8"/>
      <c r="O9980" t="str">
        <f>LEFT(Table2[[#This Row],[Description]],75)</f>
        <v>Park 'n Fly</v>
      </c>
    </row>
    <row r="9981" spans="1:15" hidden="1">
      <c r="A9981">
        <v>202309</v>
      </c>
      <c r="B9981" s="6">
        <v>45177</v>
      </c>
      <c r="C9981" t="s">
        <v>4006</v>
      </c>
      <c r="D9981" t="s">
        <v>4851</v>
      </c>
      <c r="E9981">
        <v>32.72</v>
      </c>
      <c r="F9981" s="2" t="str">
        <f>IF(Table2[[#This Row],[Manual Cat Value]]="",VLOOKUP(Table2[[#This Row],[Description]],'Actuals Lookup'!D:F,3,0),Table2[[#This Row],[Manual Cat Value]])</f>
        <v>Exp - Restaurants</v>
      </c>
      <c r="G9981" t="s">
        <v>26</v>
      </c>
      <c r="H9981" s="8" t="s">
        <v>25</v>
      </c>
      <c r="I9981" s="8"/>
      <c r="O9981" t="str">
        <f>LEFT(Table2[[#This Row],[Description]],75)</f>
        <v>The Burger</v>
      </c>
    </row>
    <row r="9982" spans="1:15" hidden="1">
      <c r="A9982">
        <v>202309</v>
      </c>
      <c r="B9982" s="6">
        <v>45177</v>
      </c>
      <c r="C9982" t="s">
        <v>4006</v>
      </c>
      <c r="D9982" t="s">
        <v>4852</v>
      </c>
      <c r="E9982">
        <v>13.99</v>
      </c>
      <c r="F9982" s="2" t="str">
        <f>IF(Table2[[#This Row],[Manual Cat Value]]="",VLOOKUP(Table2[[#This Row],[Description]],'Actuals Lookup'!D:F,3,0),Table2[[#This Row],[Manual Cat Value]])</f>
        <v>Travel</v>
      </c>
      <c r="G9982" t="s">
        <v>43</v>
      </c>
      <c r="I9982" s="8"/>
      <c r="O9982" t="str">
        <f>LEFT(Table2[[#This Row],[Description]],75)</f>
        <v>The Oread Hotel</v>
      </c>
    </row>
    <row r="9983" spans="1:15" hidden="1">
      <c r="A9983">
        <v>202309</v>
      </c>
      <c r="B9983" s="6">
        <v>45177</v>
      </c>
      <c r="C9983" t="s">
        <v>4351</v>
      </c>
      <c r="D9983" t="s">
        <v>1958</v>
      </c>
      <c r="E9983">
        <v>1064.2</v>
      </c>
      <c r="F9983" s="2" t="str">
        <f>IF(Table2[[#This Row],[Manual Cat Value]]="",VLOOKUP(Table2[[#This Row],[Description]],'Actuals Lookup'!D:F,3,0),Table2[[#This Row],[Manual Cat Value]])</f>
        <v>Exp - Travel</v>
      </c>
      <c r="H9983" s="8" t="s">
        <v>52</v>
      </c>
      <c r="I9983" s="8" t="s">
        <v>4853</v>
      </c>
      <c r="O9983" t="str">
        <f>LEFT(Table2[[#This Row],[Description]],75)</f>
        <v>Transfer to Venmo</v>
      </c>
    </row>
    <row r="9984" spans="1:15" hidden="1">
      <c r="A9984">
        <v>202309</v>
      </c>
      <c r="B9984" s="6">
        <v>45177</v>
      </c>
      <c r="C9984" t="s">
        <v>4350</v>
      </c>
      <c r="D9984" t="s">
        <v>4854</v>
      </c>
      <c r="E9984">
        <v>204</v>
      </c>
      <c r="F9984" s="2" t="str">
        <f>IF(Table2[[#This Row],[Manual Cat Value]]="",VLOOKUP(Table2[[#This Row],[Description]],'Actuals Lookup'!D:F,3,0),Table2[[#This Row],[Manual Cat Value]])</f>
        <v>Exp - Travel</v>
      </c>
      <c r="H9984" s="8" t="s">
        <v>52</v>
      </c>
      <c r="I9984" s="8"/>
      <c r="O9984" t="str">
        <f>LEFT(Table2[[#This Row],[Description]],75)</f>
        <v>Withdrawal at ATM #XX8640 THE OREAD HO-XX1195 1200 OREAD AVENUE LAWRENCE KS</v>
      </c>
    </row>
    <row r="9985" spans="1:15" hidden="1">
      <c r="A9985">
        <v>202309</v>
      </c>
      <c r="B9985" s="6">
        <v>45178</v>
      </c>
      <c r="C9985" t="s">
        <v>4006</v>
      </c>
      <c r="D9985" t="s">
        <v>4855</v>
      </c>
      <c r="E9985">
        <v>17.649999999999999</v>
      </c>
      <c r="F9985" s="2" t="str">
        <f>IF(Table2[[#This Row],[Manual Cat Value]]="",VLOOKUP(Table2[[#This Row],[Description]],'Actuals Lookup'!D:F,3,0),Table2[[#This Row],[Manual Cat Value]])</f>
        <v>Restaurants</v>
      </c>
      <c r="G9985" t="s">
        <v>26</v>
      </c>
      <c r="I9985" s="8"/>
      <c r="O9985" t="str">
        <f>LEFT(Table2[[#This Row],[Description]],75)</f>
        <v>Aplpay Tst* Papa Kenlawrence Ks</v>
      </c>
    </row>
    <row r="9986" spans="1:15" hidden="1">
      <c r="A9986">
        <v>202309</v>
      </c>
      <c r="B9986" s="6">
        <v>45178</v>
      </c>
      <c r="C9986" t="s">
        <v>4006</v>
      </c>
      <c r="D9986" t="s">
        <v>4856</v>
      </c>
      <c r="E9986">
        <v>56.62</v>
      </c>
      <c r="F9986" s="2" t="str">
        <f>IF(Table2[[#This Row],[Manual Cat Value]]="",VLOOKUP(Table2[[#This Row],[Description]],'Actuals Lookup'!D:F,3,0),Table2[[#This Row],[Manual Cat Value]])</f>
        <v>Exp - Restaurants</v>
      </c>
      <c r="G9986" t="s">
        <v>26</v>
      </c>
      <c r="H9986" s="8" t="s">
        <v>25</v>
      </c>
      <c r="I9986" s="8"/>
      <c r="O9986" t="str">
        <f>LEFT(Table2[[#This Row],[Description]],75)</f>
        <v>The Burger Stand</v>
      </c>
    </row>
    <row r="9987" spans="1:15" hidden="1">
      <c r="A9987">
        <v>202309</v>
      </c>
      <c r="B9987" s="6">
        <v>45178</v>
      </c>
      <c r="C9987" t="s">
        <v>4006</v>
      </c>
      <c r="D9987" t="s">
        <v>4857</v>
      </c>
      <c r="E9987">
        <v>14</v>
      </c>
      <c r="F9987" s="2" t="str">
        <f>IF(Table2[[#This Row],[Manual Cat Value]]="",VLOOKUP(Table2[[#This Row],[Description]],'Actuals Lookup'!D:F,3,0),Table2[[#This Row],[Manual Cat Value]])</f>
        <v>Restaurants</v>
      </c>
      <c r="G9987" t="s">
        <v>26</v>
      </c>
      <c r="I9987" s="8"/>
      <c r="O9987" t="str">
        <f>LEFT(Table2[[#This Row],[Description]],75)</f>
        <v>The Hawk 6xxxxxx0448lawrence Ks</v>
      </c>
    </row>
    <row r="9988" spans="1:15" hidden="1">
      <c r="A9988">
        <v>202309</v>
      </c>
      <c r="B9988" s="6">
        <v>45178</v>
      </c>
      <c r="C9988" t="s">
        <v>4006</v>
      </c>
      <c r="D9988" t="s">
        <v>4858</v>
      </c>
      <c r="E9988">
        <v>18</v>
      </c>
      <c r="F9988" s="2" t="str">
        <f>IF(Table2[[#This Row],[Manual Cat Value]]="",VLOOKUP(Table2[[#This Row],[Description]],'Actuals Lookup'!D:F,3,0),Table2[[#This Row],[Manual Cat Value]])</f>
        <v>Restaurants</v>
      </c>
      <c r="G9988" t="s">
        <v>26</v>
      </c>
      <c r="I9988" s="8"/>
      <c r="O9988" t="str">
        <f>LEFT(Table2[[#This Row],[Description]],75)</f>
        <v>The Sandbar &amp; Kitchen</v>
      </c>
    </row>
    <row r="9989" spans="1:15" hidden="1">
      <c r="A9989">
        <v>202309</v>
      </c>
      <c r="B9989" s="6">
        <v>45178</v>
      </c>
      <c r="C9989" t="s">
        <v>4006</v>
      </c>
      <c r="D9989" t="s">
        <v>4859</v>
      </c>
      <c r="E9989">
        <v>36.06</v>
      </c>
      <c r="F9989" s="2" t="str">
        <f>IF(Table2[[#This Row],[Manual Cat Value]]="",VLOOKUP(Table2[[#This Row],[Description]],'Actuals Lookup'!D:F,3,0),Table2[[#This Row],[Manual Cat Value]])</f>
        <v>Restaurants</v>
      </c>
      <c r="G9989" t="s">
        <v>26</v>
      </c>
      <c r="I9989" s="8"/>
      <c r="O9989" t="str">
        <f>LEFT(Table2[[#This Row],[Description]],75)</f>
        <v>Tst* Black Stag Brewlawrence Ks</v>
      </c>
    </row>
    <row r="9990" spans="1:15" hidden="1">
      <c r="A9990">
        <v>202309</v>
      </c>
      <c r="B9990" s="6">
        <v>45179</v>
      </c>
      <c r="C9990" t="s">
        <v>4006</v>
      </c>
      <c r="D9990" t="s">
        <v>4860</v>
      </c>
      <c r="E9990">
        <v>60.32</v>
      </c>
      <c r="F9990" s="2" t="str">
        <f>IF(Table2[[#This Row],[Manual Cat Value]]="",VLOOKUP(Table2[[#This Row],[Description]],'Actuals Lookup'!D:F,3,0),Table2[[#This Row],[Manual Cat Value]])</f>
        <v>Exp - Shopping</v>
      </c>
      <c r="G9990" t="s">
        <v>35</v>
      </c>
      <c r="H9990" s="8" t="s">
        <v>36</v>
      </c>
      <c r="I9990" s="8"/>
      <c r="O9990" t="str">
        <f>LEFT(Table2[[#This Row],[Description]],75)</f>
        <v>Aplpay X35 - Made Inlas Vegas Nv</v>
      </c>
    </row>
    <row r="9991" spans="1:15" hidden="1">
      <c r="A9991">
        <v>202309</v>
      </c>
      <c r="B9991" s="6">
        <v>45179</v>
      </c>
      <c r="C9991" t="s">
        <v>4053</v>
      </c>
      <c r="D9991" t="s">
        <v>4861</v>
      </c>
      <c r="E9991">
        <v>20</v>
      </c>
      <c r="F9991" s="2" t="str">
        <f>IF(Table2[[#This Row],[Manual Cat Value]]="",VLOOKUP(Table2[[#This Row],[Description]],'Actuals Lookup'!D:F,3,0),Table2[[#This Row],[Manual Cat Value]])</f>
        <v>Exp - Shopping</v>
      </c>
      <c r="H9991" s="8" t="s">
        <v>36</v>
      </c>
      <c r="I9991" s="8"/>
      <c r="O9991" t="str">
        <f>LEFT(Table2[[#This Row],[Description]],75)</f>
        <v>BLVD *GOGLOW EDINA EDINA MN REF #XX5007VEHY45EE8</v>
      </c>
    </row>
    <row r="9992" spans="1:15" hidden="1">
      <c r="A9992">
        <v>202309</v>
      </c>
      <c r="B9992" s="6">
        <v>45179</v>
      </c>
      <c r="C9992" t="s">
        <v>4006</v>
      </c>
      <c r="D9992" t="s">
        <v>4862</v>
      </c>
      <c r="E9992">
        <v>7.28</v>
      </c>
      <c r="F9992" s="2" t="str">
        <f>IF(Table2[[#This Row],[Manual Cat Value]]="",VLOOKUP(Table2[[#This Row],[Description]],'Actuals Lookup'!D:F,3,0),Table2[[#This Row],[Manual Cat Value]])</f>
        <v>Restaurants</v>
      </c>
      <c r="G9992" t="s">
        <v>26</v>
      </c>
      <c r="I9992" s="8"/>
      <c r="O9992" t="str">
        <f>LEFT(Table2[[#This Row],[Description]],75)</f>
        <v>Cinnabon</v>
      </c>
    </row>
    <row r="9993" spans="1:15" hidden="1">
      <c r="A9993">
        <v>202309</v>
      </c>
      <c r="B9993" s="6">
        <v>45179</v>
      </c>
      <c r="C9993" t="s">
        <v>4006</v>
      </c>
      <c r="D9993" t="s">
        <v>553</v>
      </c>
      <c r="E9993">
        <v>10.08</v>
      </c>
      <c r="F9993" s="2" t="str">
        <f>IF(Table2[[#This Row],[Manual Cat Value]]="",VLOOKUP(Table2[[#This Row],[Description]],'Actuals Lookup'!D:F,3,0),Table2[[#This Row],[Manual Cat Value]])</f>
        <v>Exp - Transportation</v>
      </c>
      <c r="G9993" t="s">
        <v>28</v>
      </c>
      <c r="H9993" s="8" t="s">
        <v>22</v>
      </c>
      <c r="I9993" s="8"/>
      <c r="O9993" t="str">
        <f>LEFT(Table2[[#This Row],[Description]],75)</f>
        <v>Circle K</v>
      </c>
    </row>
    <row r="9994" spans="1:15" hidden="1">
      <c r="A9994">
        <v>202309</v>
      </c>
      <c r="B9994" s="6">
        <v>45179</v>
      </c>
      <c r="C9994" t="s">
        <v>4006</v>
      </c>
      <c r="D9994" t="s">
        <v>945</v>
      </c>
      <c r="E9994">
        <v>59.88</v>
      </c>
      <c r="F9994" s="2" t="str">
        <f>IF(Table2[[#This Row],[Manual Cat Value]]="",VLOOKUP(Table2[[#This Row],[Description]],'Actuals Lookup'!D:F,3,0),Table2[[#This Row],[Manual Cat Value]])</f>
        <v>Exp - Transportation</v>
      </c>
      <c r="G9994" t="s">
        <v>28</v>
      </c>
      <c r="H9994" s="8" t="s">
        <v>22</v>
      </c>
      <c r="I9994" s="8"/>
      <c r="O9994" t="str">
        <f>LEFT(Table2[[#This Row],[Description]],75)</f>
        <v>Holiday Stationstores</v>
      </c>
    </row>
    <row r="9995" spans="1:15" hidden="1">
      <c r="A9995">
        <v>202309</v>
      </c>
      <c r="B9995" s="6">
        <v>45179</v>
      </c>
      <c r="C9995" t="s">
        <v>4006</v>
      </c>
      <c r="D9995" t="s">
        <v>4863</v>
      </c>
      <c r="E9995">
        <v>68.08</v>
      </c>
      <c r="F9995" s="2" t="str">
        <f>IF(Table2[[#This Row],[Manual Cat Value]]="",VLOOKUP(Table2[[#This Row],[Description]],'Actuals Lookup'!D:F,3,0),Table2[[#This Row],[Manual Cat Value]])</f>
        <v>Restaurants</v>
      </c>
      <c r="G9995" t="s">
        <v>26</v>
      </c>
      <c r="I9995" s="8"/>
      <c r="O9995" t="str">
        <f>LEFT(Table2[[#This Row],[Description]],75)</f>
        <v>Merchants Pub And Pllawrence Ks</v>
      </c>
    </row>
    <row r="9996" spans="1:15" hidden="1">
      <c r="A9996">
        <v>202309</v>
      </c>
      <c r="B9996" s="6">
        <v>45179</v>
      </c>
      <c r="C9996" t="s">
        <v>4006</v>
      </c>
      <c r="D9996" t="s">
        <v>4864</v>
      </c>
      <c r="E9996">
        <v>114.1</v>
      </c>
      <c r="F9996" s="2" t="str">
        <f>IF(Table2[[#This Row],[Manual Cat Value]]="",VLOOKUP(Table2[[#This Row],[Description]],'Actuals Lookup'!D:F,3,0),Table2[[#This Row],[Manual Cat Value]])</f>
        <v>Exp - Travel</v>
      </c>
      <c r="G9996" t="s">
        <v>43</v>
      </c>
      <c r="H9996" s="8" t="s">
        <v>52</v>
      </c>
      <c r="I9996" s="8"/>
      <c r="O9996" t="str">
        <f>LEFT(Table2[[#This Row],[Description]],75)</f>
        <v>National Car Rental</v>
      </c>
    </row>
    <row r="9997" spans="1:15" hidden="1">
      <c r="A9997">
        <v>202309</v>
      </c>
      <c r="B9997" s="6">
        <v>45179</v>
      </c>
      <c r="C9997" t="s">
        <v>4006</v>
      </c>
      <c r="D9997" t="s">
        <v>3978</v>
      </c>
      <c r="E9997">
        <v>18.27</v>
      </c>
      <c r="F9997" s="2" t="str">
        <f>IF(Table2[[#This Row],[Manual Cat Value]]="",VLOOKUP(Table2[[#This Row],[Description]],'Actuals Lookup'!D:F,3,0),Table2[[#This Row],[Manual Cat Value]])</f>
        <v>Travel</v>
      </c>
      <c r="G9997" t="s">
        <v>43</v>
      </c>
      <c r="I9997" s="8"/>
      <c r="O9997" t="str">
        <f>LEFT(Table2[[#This Row],[Description]],75)</f>
        <v>Park 'n Fly</v>
      </c>
    </row>
    <row r="9998" spans="1:15" hidden="1">
      <c r="A9998">
        <v>202309</v>
      </c>
      <c r="B9998" s="6">
        <v>45179</v>
      </c>
      <c r="C9998" t="s">
        <v>4047</v>
      </c>
      <c r="D9998" t="s">
        <v>4865</v>
      </c>
      <c r="E9998">
        <v>2.1</v>
      </c>
      <c r="F9998" s="2" t="str">
        <f>IF(Table2[[#This Row],[Manual Cat Value]]="",VLOOKUP(Table2[[#This Row],[Description]],'Actuals Lookup'!D:F,3,0),Table2[[#This Row],[Manual Cat Value]])</f>
        <v>Exp - Travel</v>
      </c>
      <c r="H9998" s="8" t="s">
        <v>52</v>
      </c>
      <c r="I9998" s="8"/>
      <c r="O9998" t="str">
        <f>LEFT(Table2[[#This Row],[Description]],75)</f>
        <v>ParkMobile</v>
      </c>
    </row>
    <row r="9999" spans="1:15" hidden="1">
      <c r="A9999">
        <v>202309</v>
      </c>
      <c r="B9999" s="6">
        <v>45179</v>
      </c>
      <c r="C9999" t="s">
        <v>4051</v>
      </c>
      <c r="D9999" t="s">
        <v>4865</v>
      </c>
      <c r="E9999">
        <v>1.6</v>
      </c>
      <c r="F9999" s="2" t="str">
        <f>IF(Table2[[#This Row],[Manual Cat Value]]="",VLOOKUP(Table2[[#This Row],[Description]],'Actuals Lookup'!D:F,3,0),Table2[[#This Row],[Manual Cat Value]])</f>
        <v>Exp - Travel</v>
      </c>
      <c r="H9999" s="8" t="s">
        <v>52</v>
      </c>
      <c r="I9999" s="8"/>
      <c r="O9999" t="str">
        <f>LEFT(Table2[[#This Row],[Description]],75)</f>
        <v>ParkMobile</v>
      </c>
    </row>
    <row r="10000" spans="1:15" hidden="1">
      <c r="A10000">
        <v>202309</v>
      </c>
      <c r="B10000" s="6">
        <v>45179</v>
      </c>
      <c r="C10000" t="s">
        <v>4042</v>
      </c>
      <c r="D10000" t="s">
        <v>1477</v>
      </c>
      <c r="E10000">
        <v>47.25</v>
      </c>
      <c r="F10000" s="2" t="str">
        <f>IF(Table2[[#This Row],[Manual Cat Value]]="",VLOOKUP(Table2[[#This Row],[Description]],'Actuals Lookup'!D:F,3,0),Table2[[#This Row],[Manual Cat Value]])</f>
        <v>Exp - Gym</v>
      </c>
      <c r="H10000" s="8" t="s">
        <v>33</v>
      </c>
      <c r="I10000" s="8"/>
      <c r="O10000" t="str">
        <f>LEFT(Table2[[#This Row],[Description]],75)</f>
        <v>Peloton Cycles</v>
      </c>
    </row>
    <row r="10001" spans="1:15" hidden="1">
      <c r="A10001">
        <v>202309</v>
      </c>
      <c r="B10001" s="6">
        <v>45179</v>
      </c>
      <c r="C10001" t="s">
        <v>4049</v>
      </c>
      <c r="D10001" t="s">
        <v>4866</v>
      </c>
      <c r="E10001">
        <v>37.590000000000003</v>
      </c>
      <c r="F10001" s="2" t="str">
        <f>IF(Table2[[#This Row],[Manual Cat Value]]="",VLOOKUP(Table2[[#This Row],[Description]],'Actuals Lookup'!D:F,3,0),Table2[[#This Row],[Manual Cat Value]])</f>
        <v>Exp - Shopping</v>
      </c>
      <c r="H10001" s="8" t="s">
        <v>36</v>
      </c>
      <c r="I10001" s="8"/>
      <c r="O10001" t="str">
        <f>LEFT(Table2[[#This Row],[Description]],75)</f>
        <v>Rally House</v>
      </c>
    </row>
    <row r="10002" spans="1:15" hidden="1">
      <c r="A10002">
        <v>202309</v>
      </c>
      <c r="B10002" s="6">
        <v>45179</v>
      </c>
      <c r="C10002" t="s">
        <v>4055</v>
      </c>
      <c r="D10002" t="s">
        <v>2078</v>
      </c>
      <c r="E10002">
        <v>7.9</v>
      </c>
      <c r="F10002" s="2" t="str">
        <f>IF(Table2[[#This Row],[Manual Cat Value]]="",VLOOKUP(Table2[[#This Row],[Description]],'Actuals Lookup'!D:F,3,0),Table2[[#This Row],[Manual Cat Value]])</f>
        <v>Exp - Transportation</v>
      </c>
      <c r="H10002" s="8" t="s">
        <v>22</v>
      </c>
      <c r="I10002" s="8"/>
      <c r="O10002" t="str">
        <f>LEFT(Table2[[#This Row],[Description]],75)</f>
        <v>Uber</v>
      </c>
    </row>
    <row r="10003" spans="1:15" hidden="1">
      <c r="A10003">
        <v>202309</v>
      </c>
      <c r="B10003" s="6">
        <v>45180</v>
      </c>
      <c r="C10003" t="s">
        <v>4064</v>
      </c>
      <c r="D10003" t="s">
        <v>38</v>
      </c>
      <c r="E10003">
        <v>36.590000000000003</v>
      </c>
      <c r="F10003" s="2" t="str">
        <f>IF(Table2[[#This Row],[Manual Cat Value]]="",VLOOKUP(Table2[[#This Row],[Description]],'Actuals Lookup'!D:F,3,0),Table2[[#This Row],[Manual Cat Value]])</f>
        <v>Exp - Amazon</v>
      </c>
      <c r="H10003" s="8" t="s">
        <v>37</v>
      </c>
      <c r="I10003" s="8"/>
      <c r="O10003" t="str">
        <f>LEFT(Table2[[#This Row],[Description]],75)</f>
        <v>Amazon</v>
      </c>
    </row>
    <row r="10004" spans="1:15" hidden="1">
      <c r="A10004">
        <v>202309</v>
      </c>
      <c r="B10004" s="6">
        <v>45180</v>
      </c>
      <c r="C10004" t="s">
        <v>4006</v>
      </c>
      <c r="D10004" t="s">
        <v>681</v>
      </c>
      <c r="E10004">
        <v>50.57</v>
      </c>
      <c r="F10004" s="2" t="str">
        <f>IF(Table2[[#This Row],[Manual Cat Value]]="",VLOOKUP(Table2[[#This Row],[Description]],'Actuals Lookup'!D:F,3,0),Table2[[#This Row],[Manual Cat Value]])</f>
        <v>Restaurants</v>
      </c>
      <c r="G10004" t="s">
        <v>26</v>
      </c>
      <c r="I10004" s="8"/>
      <c r="O10004" t="str">
        <f>LEFT(Table2[[#This Row],[Description]],75)</f>
        <v>Crisp &amp; Green</v>
      </c>
    </row>
    <row r="10005" spans="1:15" hidden="1">
      <c r="A10005">
        <v>202309</v>
      </c>
      <c r="B10005" s="6">
        <v>45180</v>
      </c>
      <c r="C10005" t="s">
        <v>4057</v>
      </c>
      <c r="D10005" t="s">
        <v>1350</v>
      </c>
      <c r="E10005">
        <v>25.36</v>
      </c>
      <c r="F10005" s="2" t="str">
        <f>IF(Table2[[#This Row],[Manual Cat Value]]="",VLOOKUP(Table2[[#This Row],[Description]],'Actuals Lookup'!D:F,3,0),Table2[[#This Row],[Manual Cat Value]])</f>
        <v>Exp - Utilities</v>
      </c>
      <c r="H10005" s="8" t="s">
        <v>6</v>
      </c>
      <c r="I10005" s="8"/>
      <c r="O10005" t="str">
        <f>LEFT(Table2[[#This Row],[Description]],75)</f>
        <v>Netflix</v>
      </c>
    </row>
    <row r="10006" spans="1:15" hidden="1">
      <c r="A10006">
        <v>202309</v>
      </c>
      <c r="B10006" s="6">
        <v>45180</v>
      </c>
      <c r="C10006" t="s">
        <v>4006</v>
      </c>
      <c r="D10006" t="s">
        <v>4852</v>
      </c>
      <c r="E10006">
        <v>509.4</v>
      </c>
      <c r="F10006" s="2" t="str">
        <f>IF(Table2[[#This Row],[Manual Cat Value]]="",VLOOKUP(Table2[[#This Row],[Description]],'Actuals Lookup'!D:F,3,0),Table2[[#This Row],[Manual Cat Value]])</f>
        <v>Travel</v>
      </c>
      <c r="G10006" t="s">
        <v>43</v>
      </c>
      <c r="I10006" s="8"/>
      <c r="O10006" t="str">
        <f>LEFT(Table2[[#This Row],[Description]],75)</f>
        <v>The Oread Hotel</v>
      </c>
    </row>
    <row r="10007" spans="1:15" hidden="1">
      <c r="A10007">
        <v>202309</v>
      </c>
      <c r="B10007" s="6">
        <v>45181</v>
      </c>
      <c r="C10007" t="s">
        <v>4006</v>
      </c>
      <c r="D10007" t="s">
        <v>4867</v>
      </c>
      <c r="E10007">
        <v>66.180000000000007</v>
      </c>
      <c r="F10007" s="2" t="str">
        <f>IF(Table2[[#This Row],[Manual Cat Value]]="",VLOOKUP(Table2[[#This Row],[Description]],'Actuals Lookup'!D:F,3,0),Table2[[#This Row],[Manual Cat Value]])</f>
        <v>Delete</v>
      </c>
      <c r="G10007" t="s">
        <v>43</v>
      </c>
      <c r="H10007" s="8" t="s">
        <v>9</v>
      </c>
      <c r="I10007" s="8"/>
      <c r="O10007" t="str">
        <f>LEFT(Table2[[#This Row],[Description]],75)</f>
        <v>Aaa Taxi</v>
      </c>
    </row>
    <row r="10008" spans="1:15" hidden="1">
      <c r="A10008">
        <v>202309</v>
      </c>
      <c r="B10008" s="6">
        <v>45181</v>
      </c>
      <c r="C10008" t="s">
        <v>4067</v>
      </c>
      <c r="D10008" t="s">
        <v>38</v>
      </c>
      <c r="E10008">
        <v>10.73</v>
      </c>
      <c r="F10008" s="2" t="str">
        <f>IF(Table2[[#This Row],[Manual Cat Value]]="",VLOOKUP(Table2[[#This Row],[Description]],'Actuals Lookup'!D:F,3,0),Table2[[#This Row],[Manual Cat Value]])</f>
        <v>Exp - Amazon</v>
      </c>
      <c r="H10008" s="8" t="s">
        <v>37</v>
      </c>
      <c r="I10008" s="8"/>
      <c r="O10008" t="str">
        <f>LEFT(Table2[[#This Row],[Description]],75)</f>
        <v>Amazon</v>
      </c>
    </row>
    <row r="10009" spans="1:15" hidden="1">
      <c r="A10009">
        <v>202309</v>
      </c>
      <c r="B10009" s="6">
        <v>45181</v>
      </c>
      <c r="C10009" t="s">
        <v>3932</v>
      </c>
      <c r="D10009" t="s">
        <v>38</v>
      </c>
      <c r="E10009">
        <v>13.92</v>
      </c>
      <c r="F10009" s="2" t="str">
        <f>IF(Table2[[#This Row],[Manual Cat Value]]="",VLOOKUP(Table2[[#This Row],[Description]],'Actuals Lookup'!D:F,3,0),Table2[[#This Row],[Manual Cat Value]])</f>
        <v>Exp - Amazon</v>
      </c>
      <c r="G10009" t="s">
        <v>38</v>
      </c>
      <c r="H10009" s="8" t="s">
        <v>37</v>
      </c>
      <c r="I10009" s="8"/>
      <c r="O10009" t="str">
        <f>LEFT(Table2[[#This Row],[Description]],75)</f>
        <v>Amazon</v>
      </c>
    </row>
    <row r="10010" spans="1:15" hidden="1">
      <c r="A10010">
        <v>202309</v>
      </c>
      <c r="B10010" s="6">
        <v>45181</v>
      </c>
      <c r="C10010" t="s">
        <v>4073</v>
      </c>
      <c r="D10010" t="s">
        <v>4868</v>
      </c>
      <c r="E10010">
        <v>5.99</v>
      </c>
      <c r="F10010" s="2" t="str">
        <f>IF(Table2[[#This Row],[Manual Cat Value]]="",VLOOKUP(Table2[[#This Row],[Description]],'Actuals Lookup'!D:F,3,0),Table2[[#This Row],[Manual Cat Value]])</f>
        <v>Exp - Entertainment</v>
      </c>
      <c r="H10010" s="8" t="s">
        <v>39</v>
      </c>
      <c r="I10010" s="8"/>
      <c r="O10010" t="str">
        <f>LEFT(Table2[[#This Row],[Description]],75)</f>
        <v>Hallmark Movies Now</v>
      </c>
    </row>
    <row r="10011" spans="1:15" hidden="1">
      <c r="A10011">
        <v>202309</v>
      </c>
      <c r="B10011" s="6">
        <v>45181</v>
      </c>
      <c r="C10011" t="s">
        <v>4355</v>
      </c>
      <c r="D10011" t="s">
        <v>1955</v>
      </c>
      <c r="E10011">
        <v>51.74</v>
      </c>
      <c r="F10011" s="2" t="str">
        <f>IF(Table2[[#This Row],[Manual Cat Value]]="",VLOOKUP(Table2[[#This Row],[Description]],'Actuals Lookup'!D:F,3,0),Table2[[#This Row],[Manual Cat Value]])</f>
        <v>Exp - Shopping</v>
      </c>
      <c r="H10011" s="8" t="s">
        <v>36</v>
      </c>
      <c r="I10011" s="8"/>
      <c r="O10011" t="str">
        <f>LEFT(Table2[[#This Row],[Description]],75)</f>
        <v>Transfer to PayPal</v>
      </c>
    </row>
    <row r="10012" spans="1:15" hidden="1">
      <c r="A10012">
        <v>202309</v>
      </c>
      <c r="B10012" s="6">
        <v>45182</v>
      </c>
      <c r="C10012" t="s">
        <v>4006</v>
      </c>
      <c r="D10012" t="s">
        <v>4869</v>
      </c>
      <c r="E10012">
        <v>80.5</v>
      </c>
      <c r="F10012" s="2" t="str">
        <f>IF(Table2[[#This Row],[Manual Cat Value]]="",VLOOKUP(Table2[[#This Row],[Description]],'Actuals Lookup'!D:F,3,0),Table2[[#This Row],[Manual Cat Value]])</f>
        <v>Entertainment</v>
      </c>
      <c r="G10012" t="s">
        <v>40</v>
      </c>
      <c r="I10012" s="8"/>
      <c r="O10012" t="str">
        <f>LEFT(Table2[[#This Row],[Description]],75)</f>
        <v>Aplpay Runsignup*sigmoorestown Nj</v>
      </c>
    </row>
    <row r="10013" spans="1:15" hidden="1">
      <c r="A10013">
        <v>202309</v>
      </c>
      <c r="B10013" s="6">
        <v>45182</v>
      </c>
      <c r="C10013" t="s">
        <v>4006</v>
      </c>
      <c r="D10013" t="s">
        <v>4870</v>
      </c>
      <c r="E10013">
        <v>9.9600000000000009</v>
      </c>
      <c r="F10013" s="2" t="str">
        <f>IF(Table2[[#This Row],[Manual Cat Value]]="",VLOOKUP(Table2[[#This Row],[Description]],'Actuals Lookup'!D:F,3,0),Table2[[#This Row],[Manual Cat Value]])</f>
        <v>Restaurants</v>
      </c>
      <c r="G10013" t="s">
        <v>26</v>
      </c>
      <c r="I10013" s="8"/>
      <c r="O10013" t="str">
        <f>LEFT(Table2[[#This Row],[Description]],75)</f>
        <v>Aplpay Wayzata Cafe Wayzata Mn</v>
      </c>
    </row>
    <row r="10014" spans="1:15" hidden="1">
      <c r="A10014">
        <v>202309</v>
      </c>
      <c r="B10014" s="6">
        <v>45182</v>
      </c>
      <c r="C10014" t="s">
        <v>4352</v>
      </c>
      <c r="D10014" t="s">
        <v>4871</v>
      </c>
      <c r="E10014">
        <v>330</v>
      </c>
      <c r="F10014" s="2" t="str">
        <f>IF(Table2[[#This Row],[Manual Cat Value]]="",VLOOKUP(Table2[[#This Row],[Description]],'Actuals Lookup'!D:F,3,0),Table2[[#This Row],[Manual Cat Value]])</f>
        <v>Exp - Day Care</v>
      </c>
      <c r="H10014" s="8" t="s">
        <v>19</v>
      </c>
      <c r="I10014" s="8"/>
      <c r="O10014" t="str">
        <f>LEFT(Table2[[#This Row],[Description]],75)</f>
        <v>Withdrawal ACH MHCHILDCARELLC TYPE: DUES ID: XX8198 CO: MHCHILDCARELLC Entr</v>
      </c>
    </row>
    <row r="10015" spans="1:15" hidden="1">
      <c r="A10015">
        <v>202309</v>
      </c>
      <c r="B10015" s="6">
        <v>45182</v>
      </c>
      <c r="C10015" t="s">
        <v>4075</v>
      </c>
      <c r="D10015" t="s">
        <v>1462</v>
      </c>
      <c r="E10015">
        <v>45</v>
      </c>
      <c r="F10015" s="2" t="str">
        <f>IF(Table2[[#This Row],[Manual Cat Value]]="",VLOOKUP(Table2[[#This Row],[Description]],'Actuals Lookup'!D:F,3,0),Table2[[#This Row],[Manual Cat Value]])</f>
        <v>Exp - Utilities</v>
      </c>
      <c r="H10015" s="8" t="s">
        <v>6</v>
      </c>
      <c r="I10015" s="8"/>
      <c r="O10015" t="str">
        <f>LEFT(Table2[[#This Row],[Description]],75)</f>
        <v>Payment to CenturyLink</v>
      </c>
    </row>
    <row r="10016" spans="1:15" hidden="1">
      <c r="A10016">
        <v>202309</v>
      </c>
      <c r="B10016" s="6">
        <v>45183</v>
      </c>
      <c r="C10016" t="s">
        <v>4369</v>
      </c>
      <c r="D10016" t="s">
        <v>404</v>
      </c>
      <c r="E10016">
        <v>-3594.81</v>
      </c>
      <c r="F10016" s="2" t="str">
        <f>IF(Table2[[#This Row],[Manual Cat Value]]="",VLOOKUP(Table2[[#This Row],[Description]],'Actuals Lookup'!D:F,3,0),Table2[[#This Row],[Manual Cat Value]])</f>
        <v>Inc - Britney</v>
      </c>
      <c r="H10016" s="8" t="s">
        <v>65</v>
      </c>
      <c r="I10016" s="8"/>
      <c r="O10016" t="str">
        <f>LEFT(Table2[[#This Row],[Description]],75)</f>
        <v>Cargill Inc Deposit</v>
      </c>
    </row>
    <row r="10017" spans="1:15" hidden="1">
      <c r="A10017">
        <v>202309</v>
      </c>
      <c r="B10017" s="6">
        <v>45183</v>
      </c>
      <c r="C10017" t="s">
        <v>4363</v>
      </c>
      <c r="D10017" t="s">
        <v>4872</v>
      </c>
      <c r="E10017">
        <v>-658.29</v>
      </c>
      <c r="F10017" s="2" t="str">
        <f>IF(Table2[[#This Row],[Manual Cat Value]]="",VLOOKUP(Table2[[#This Row],[Description]],'Actuals Lookup'!D:F,3,0),Table2[[#This Row],[Manual Cat Value]])</f>
        <v>Delete</v>
      </c>
      <c r="H10017" s="8" t="s">
        <v>9</v>
      </c>
      <c r="I10017" s="8"/>
      <c r="O10017" t="str">
        <f>LEFT(Table2[[#This Row],[Description]],75)</f>
        <v>Deposit ACH EMPYREAN SOLUTIO TYPE: XX9000 ID: XX3620 CO: EMPYREAN SOLUTIO E</v>
      </c>
    </row>
    <row r="10018" spans="1:15" hidden="1">
      <c r="A10018">
        <v>202309</v>
      </c>
      <c r="B10018" s="6">
        <v>45183</v>
      </c>
      <c r="C10018" t="s">
        <v>4006</v>
      </c>
      <c r="D10018" t="s">
        <v>4873</v>
      </c>
      <c r="E10018">
        <v>61.68</v>
      </c>
      <c r="F10018" s="2" t="str">
        <f>IF(Table2[[#This Row],[Manual Cat Value]]="",VLOOKUP(Table2[[#This Row],[Description]],'Actuals Lookup'!D:F,3,0),Table2[[#This Row],[Manual Cat Value]])</f>
        <v>Exp - Restaurants</v>
      </c>
      <c r="G10018" t="s">
        <v>43</v>
      </c>
      <c r="H10018" s="8" t="s">
        <v>25</v>
      </c>
      <c r="I10018" s="8"/>
      <c r="O10018" t="str">
        <f>LEFT(Table2[[#This Row],[Description]],75)</f>
        <v>Fairmont Hotel</v>
      </c>
    </row>
    <row r="10019" spans="1:15" hidden="1">
      <c r="A10019">
        <v>202309</v>
      </c>
      <c r="B10019" s="6">
        <v>45183</v>
      </c>
      <c r="C10019" t="s">
        <v>4006</v>
      </c>
      <c r="D10019" t="s">
        <v>4873</v>
      </c>
      <c r="E10019">
        <v>1232.99</v>
      </c>
      <c r="F10019" s="2" t="str">
        <f>IF(Table2[[#This Row],[Manual Cat Value]]="",VLOOKUP(Table2[[#This Row],[Description]],'Actuals Lookup'!D:F,3,0),Table2[[#This Row],[Manual Cat Value]])</f>
        <v>Delete</v>
      </c>
      <c r="G10019" t="s">
        <v>43</v>
      </c>
      <c r="H10019" s="8" t="s">
        <v>9</v>
      </c>
      <c r="I10019" s="8"/>
      <c r="O10019" t="str">
        <f>LEFT(Table2[[#This Row],[Description]],75)</f>
        <v>Fairmont Hotel</v>
      </c>
    </row>
    <row r="10020" spans="1:15" hidden="1">
      <c r="A10020">
        <v>202309</v>
      </c>
      <c r="B10020" s="6">
        <v>45183</v>
      </c>
      <c r="C10020" t="s">
        <v>4006</v>
      </c>
      <c r="D10020" t="s">
        <v>4829</v>
      </c>
      <c r="E10020">
        <v>90</v>
      </c>
      <c r="F10020" s="2" t="str">
        <f>IF(Table2[[#This Row],[Manual Cat Value]]="",VLOOKUP(Table2[[#This Row],[Description]],'Actuals Lookup'!D:F,3,0),Table2[[#This Row],[Manual Cat Value]])</f>
        <v>Delete</v>
      </c>
      <c r="G10020" t="s">
        <v>43</v>
      </c>
      <c r="H10020" s="8" t="s">
        <v>9</v>
      </c>
      <c r="I10020" s="8"/>
      <c r="O10020" t="str">
        <f>LEFT(Table2[[#This Row],[Description]],75)</f>
        <v>Msp Airport Parking</v>
      </c>
    </row>
    <row r="10021" spans="1:15" hidden="1">
      <c r="A10021">
        <v>202309</v>
      </c>
      <c r="B10021" s="6">
        <v>45183</v>
      </c>
      <c r="C10021" t="s">
        <v>4006</v>
      </c>
      <c r="D10021" t="s">
        <v>4874</v>
      </c>
      <c r="E10021">
        <v>41.54</v>
      </c>
      <c r="F10021" s="2" t="str">
        <f>IF(Table2[[#This Row],[Manual Cat Value]]="",VLOOKUP(Table2[[#This Row],[Description]],'Actuals Lookup'!D:F,3,0),Table2[[#This Row],[Manual Cat Value]])</f>
        <v>Exp - Restaurants</v>
      </c>
      <c r="G10021" t="s">
        <v>28</v>
      </c>
      <c r="H10021" s="8" t="s">
        <v>25</v>
      </c>
      <c r="I10021" s="8"/>
      <c r="O10021" t="str">
        <f>LEFT(Table2[[#This Row],[Description]],75)</f>
        <v>Msp Pod1 Shoyu Markephiladelphia Pa</v>
      </c>
    </row>
    <row r="10022" spans="1:15" hidden="1">
      <c r="A10022">
        <v>202309</v>
      </c>
      <c r="B10022" s="6">
        <v>45183</v>
      </c>
      <c r="C10022" t="s">
        <v>4360</v>
      </c>
      <c r="D10022" t="s">
        <v>4343</v>
      </c>
      <c r="E10022">
        <v>-3342.81</v>
      </c>
      <c r="F10022" s="2" t="str">
        <f>IF(Table2[[#This Row],[Manual Cat Value]]="",VLOOKUP(Table2[[#This Row],[Description]],'Actuals Lookup'!D:F,3,0),Table2[[#This Row],[Manual Cat Value]])</f>
        <v>Inc - Jeff</v>
      </c>
      <c r="H10022" s="8" t="s">
        <v>63</v>
      </c>
      <c r="I10022" s="8"/>
      <c r="O10022" t="str">
        <f>LEFT(Table2[[#This Row],[Description]],75)</f>
        <v>Salary/Regular Income from TriNet</v>
      </c>
    </row>
    <row r="10023" spans="1:15" hidden="1">
      <c r="A10023">
        <v>202309</v>
      </c>
      <c r="B10023" s="6">
        <v>45183</v>
      </c>
      <c r="C10023" t="s">
        <v>4006</v>
      </c>
      <c r="D10023" t="s">
        <v>1773</v>
      </c>
      <c r="E10023">
        <v>13.93</v>
      </c>
      <c r="F10023" s="2" t="str">
        <f>IF(Table2[[#This Row],[Manual Cat Value]]="",VLOOKUP(Table2[[#This Row],[Description]],'Actuals Lookup'!D:F,3,0),Table2[[#This Row],[Manual Cat Value]])</f>
        <v>Restaurants</v>
      </c>
      <c r="G10023" t="s">
        <v>26</v>
      </c>
      <c r="I10023" s="8"/>
      <c r="O10023" t="str">
        <f>LEFT(Table2[[#This Row],[Description]],75)</f>
        <v>Starbucks</v>
      </c>
    </row>
    <row r="10024" spans="1:15" hidden="1">
      <c r="A10024">
        <v>202309</v>
      </c>
      <c r="B10024" s="6">
        <v>45183</v>
      </c>
      <c r="C10024" t="s">
        <v>4371</v>
      </c>
      <c r="D10024" t="s">
        <v>4293</v>
      </c>
      <c r="E10024">
        <v>1432.21</v>
      </c>
      <c r="F10024" s="2" t="str">
        <f>IF(Table2[[#This Row],[Manual Cat Value]]="",VLOOKUP(Table2[[#This Row],[Description]],'Actuals Lookup'!D:F,3,0),Table2[[#This Row],[Manual Cat Value]])</f>
        <v>Delete</v>
      </c>
      <c r="H10024" s="8" t="s">
        <v>9</v>
      </c>
      <c r="I10024" s="8"/>
      <c r="O10024" t="str">
        <f>LEFT(Table2[[#This Row],[Description]],75)</f>
        <v>Withdrawal Home Banking Pmt to card XX5913</v>
      </c>
    </row>
    <row r="10025" spans="1:15" hidden="1">
      <c r="A10025">
        <v>202309</v>
      </c>
      <c r="B10025" s="6">
        <v>45183</v>
      </c>
      <c r="C10025" t="s">
        <v>4094</v>
      </c>
      <c r="D10025" t="s">
        <v>673</v>
      </c>
      <c r="E10025">
        <v>-1432.21</v>
      </c>
      <c r="F10025" s="2" t="str">
        <f>IF(Table2[[#This Row],[Manual Cat Value]]="",VLOOKUP(Table2[[#This Row],[Description]],'Actuals Lookup'!D:F,3,0),Table2[[#This Row],[Manual Cat Value]])</f>
        <v>Delete</v>
      </c>
      <c r="H10025" s="8" t="s">
        <v>9</v>
      </c>
      <c r="I10025" s="8"/>
      <c r="O10025" t="str">
        <f>LEFT(Table2[[#This Row],[Description]],75)</f>
        <v>Credit Card Payment Received</v>
      </c>
    </row>
    <row r="10026" spans="1:15" hidden="1">
      <c r="A10026">
        <v>202309</v>
      </c>
      <c r="B10026" s="6">
        <v>45183</v>
      </c>
      <c r="C10026" t="s">
        <v>4368</v>
      </c>
      <c r="D10026" t="s">
        <v>4356</v>
      </c>
      <c r="E10026">
        <v>116.77</v>
      </c>
      <c r="F10026" s="2" t="str">
        <f>IF(Table2[[#This Row],[Manual Cat Value]]="",VLOOKUP(Table2[[#This Row],[Description]],'Actuals Lookup'!D:F,3,0),Table2[[#This Row],[Manual Cat Value]])</f>
        <v>Exp - Insurance</v>
      </c>
      <c r="H10026" s="8" t="s">
        <v>17</v>
      </c>
      <c r="I10026" s="8"/>
      <c r="O10026" t="str">
        <f>LEFT(Table2[[#This Row],[Description]],75)</f>
        <v>Payment to American Family Insurance</v>
      </c>
    </row>
    <row r="10027" spans="1:15" hidden="1">
      <c r="A10027">
        <v>202309</v>
      </c>
      <c r="B10027" s="6">
        <v>45184</v>
      </c>
      <c r="C10027" t="s">
        <v>4096</v>
      </c>
      <c r="D10027" t="s">
        <v>38</v>
      </c>
      <c r="E10027">
        <v>36.99</v>
      </c>
      <c r="F10027" s="2" t="str">
        <f>IF(Table2[[#This Row],[Manual Cat Value]]="",VLOOKUP(Table2[[#This Row],[Description]],'Actuals Lookup'!D:F,3,0),Table2[[#This Row],[Manual Cat Value]])</f>
        <v>Exp - Amazon</v>
      </c>
      <c r="H10027" s="8" t="s">
        <v>37</v>
      </c>
      <c r="I10027" s="8"/>
      <c r="O10027" t="str">
        <f>LEFT(Table2[[#This Row],[Description]],75)</f>
        <v>Amazon</v>
      </c>
    </row>
    <row r="10028" spans="1:15" hidden="1">
      <c r="A10028">
        <v>202309</v>
      </c>
      <c r="B10028" s="6">
        <v>45184</v>
      </c>
      <c r="C10028" t="s">
        <v>4006</v>
      </c>
      <c r="D10028" t="s">
        <v>4875</v>
      </c>
      <c r="E10028">
        <v>32.729999999999997</v>
      </c>
      <c r="F10028" s="2" t="str">
        <f>IF(Table2[[#This Row],[Manual Cat Value]]="",VLOOKUP(Table2[[#This Row],[Description]],'Actuals Lookup'!D:F,3,0),Table2[[#This Row],[Manual Cat Value]])</f>
        <v>Exp - Entertainment</v>
      </c>
      <c r="G10028" t="s">
        <v>35</v>
      </c>
      <c r="H10028" s="8" t="s">
        <v>39</v>
      </c>
      <c r="I10028" s="8"/>
      <c r="O10028" t="str">
        <f>LEFT(Table2[[#This Row],[Description]],75)</f>
        <v>Aplpay Bt*i See Me! Plymouth Mn</v>
      </c>
    </row>
    <row r="10029" spans="1:15" hidden="1">
      <c r="A10029">
        <v>202309</v>
      </c>
      <c r="B10029" s="6">
        <v>45184</v>
      </c>
      <c r="C10029" t="s">
        <v>4006</v>
      </c>
      <c r="D10029" t="s">
        <v>4876</v>
      </c>
      <c r="E10029">
        <v>92.6</v>
      </c>
      <c r="F10029" s="2" t="str">
        <f>IF(Table2[[#This Row],[Manual Cat Value]]="",VLOOKUP(Table2[[#This Row],[Description]],'Actuals Lookup'!D:F,3,0),Table2[[#This Row],[Manual Cat Value]])</f>
        <v>Groceries</v>
      </c>
      <c r="G10029" t="s">
        <v>28</v>
      </c>
      <c r="I10029" s="8"/>
      <c r="O10029" t="str">
        <f>LEFT(Table2[[#This Row],[Description]],75)</f>
        <v>Aplpay Lunds&amp;byerlyschanhassen Mn</v>
      </c>
    </row>
    <row r="10030" spans="1:15" hidden="1">
      <c r="A10030">
        <v>202309</v>
      </c>
      <c r="B10030" s="6">
        <v>45184</v>
      </c>
      <c r="C10030" t="s">
        <v>4006</v>
      </c>
      <c r="D10030" t="s">
        <v>4873</v>
      </c>
      <c r="E10030">
        <v>84.28</v>
      </c>
      <c r="F10030" s="2" t="str">
        <f>IF(Table2[[#This Row],[Manual Cat Value]]="",VLOOKUP(Table2[[#This Row],[Description]],'Actuals Lookup'!D:F,3,0),Table2[[#This Row],[Manual Cat Value]])</f>
        <v>Exp - Shopping</v>
      </c>
      <c r="G10030" t="s">
        <v>43</v>
      </c>
      <c r="H10030" s="8" t="s">
        <v>36</v>
      </c>
      <c r="I10030" s="8"/>
      <c r="O10030" t="str">
        <f>LEFT(Table2[[#This Row],[Description]],75)</f>
        <v>Fairmont Hotel</v>
      </c>
    </row>
    <row r="10031" spans="1:15" hidden="1">
      <c r="A10031">
        <v>202309</v>
      </c>
      <c r="B10031" s="6">
        <v>45184</v>
      </c>
      <c r="C10031" t="s">
        <v>4006</v>
      </c>
      <c r="D10031" t="s">
        <v>4877</v>
      </c>
      <c r="E10031">
        <v>428.6</v>
      </c>
      <c r="F10031" s="2" t="str">
        <f>IF(Table2[[#This Row],[Manual Cat Value]]="",VLOOKUP(Table2[[#This Row],[Description]],'Actuals Lookup'!D:F,3,0),Table2[[#This Row],[Manual Cat Value]])</f>
        <v>Entertainment</v>
      </c>
      <c r="G10031" t="s">
        <v>40</v>
      </c>
      <c r="I10031" s="8"/>
      <c r="O10031" t="str">
        <f>LEFT(Table2[[#This Row],[Description]],75)</f>
        <v>U Of M Ticket/eventsminneapolis Mn</v>
      </c>
    </row>
    <row r="10032" spans="1:15" hidden="1">
      <c r="A10032">
        <v>202309</v>
      </c>
      <c r="B10032" s="6">
        <v>45184</v>
      </c>
      <c r="C10032" t="s">
        <v>4091</v>
      </c>
      <c r="D10032" t="s">
        <v>2078</v>
      </c>
      <c r="E10032">
        <v>43.94</v>
      </c>
      <c r="F10032" s="2" t="str">
        <f>IF(Table2[[#This Row],[Manual Cat Value]]="",VLOOKUP(Table2[[#This Row],[Description]],'Actuals Lookup'!D:F,3,0),Table2[[#This Row],[Manual Cat Value]])</f>
        <v>Exp - Transportation</v>
      </c>
      <c r="H10032" s="8" t="s">
        <v>22</v>
      </c>
      <c r="I10032" s="8"/>
      <c r="O10032" t="str">
        <f>LEFT(Table2[[#This Row],[Description]],75)</f>
        <v>Uber</v>
      </c>
    </row>
    <row r="10033" spans="1:15" hidden="1">
      <c r="A10033">
        <v>202309</v>
      </c>
      <c r="B10033" s="6">
        <v>45185</v>
      </c>
      <c r="C10033" t="s">
        <v>4006</v>
      </c>
      <c r="D10033" t="s">
        <v>4878</v>
      </c>
      <c r="E10033">
        <v>182.79</v>
      </c>
      <c r="F10033" s="2" t="str">
        <f>IF(Table2[[#This Row],[Manual Cat Value]]="",VLOOKUP(Table2[[#This Row],[Description]],'Actuals Lookup'!D:F,3,0),Table2[[#This Row],[Manual Cat Value]])</f>
        <v>Exp - House Maint</v>
      </c>
      <c r="G10033" t="s">
        <v>4840</v>
      </c>
      <c r="H10033" s="8" t="s">
        <v>1</v>
      </c>
      <c r="I10033" s="8"/>
      <c r="O10033" t="str">
        <f>LEFT(Table2[[#This Row],[Description]],75)</f>
        <v>Aplpay Shorewood Truexcelsior Mn</v>
      </c>
    </row>
    <row r="10034" spans="1:15" hidden="1">
      <c r="A10034">
        <v>202309</v>
      </c>
      <c r="B10034" s="6">
        <v>45185</v>
      </c>
      <c r="C10034" t="s">
        <v>4006</v>
      </c>
      <c r="D10034" t="s">
        <v>1083</v>
      </c>
      <c r="E10034">
        <v>54.67</v>
      </c>
      <c r="F10034" s="2" t="str">
        <f>IF(Table2[[#This Row],[Manual Cat Value]]="",VLOOKUP(Table2[[#This Row],[Description]],'Actuals Lookup'!D:F,3,0),Table2[[#This Row],[Manual Cat Value]])</f>
        <v>Transportation</v>
      </c>
      <c r="G10034" t="s">
        <v>23</v>
      </c>
      <c r="I10034" s="8"/>
      <c r="O10034" t="str">
        <f>LEFT(Table2[[#This Row],[Description]],75)</f>
        <v>Kwik Trip</v>
      </c>
    </row>
    <row r="10035" spans="1:15" hidden="1">
      <c r="A10035">
        <v>202309</v>
      </c>
      <c r="B10035" s="6">
        <v>45185</v>
      </c>
      <c r="C10035" t="s">
        <v>4006</v>
      </c>
      <c r="D10035" t="s">
        <v>4879</v>
      </c>
      <c r="E10035">
        <v>29</v>
      </c>
      <c r="F10035" s="2" t="str">
        <f>IF(Table2[[#This Row],[Manual Cat Value]]="",VLOOKUP(Table2[[#This Row],[Description]],'Actuals Lookup'!D:F,3,0),Table2[[#This Row],[Manual Cat Value]])</f>
        <v>Exp - Misc</v>
      </c>
      <c r="G10035" t="s">
        <v>9</v>
      </c>
      <c r="H10035" s="8" t="s">
        <v>46</v>
      </c>
      <c r="I10035" s="8"/>
      <c r="O10035" t="str">
        <f>LEFT(Table2[[#This Row],[Description]],75)</f>
        <v>Late Fee</v>
      </c>
    </row>
    <row r="10036" spans="1:15" hidden="1">
      <c r="A10036">
        <v>202309</v>
      </c>
      <c r="B10036" s="6">
        <v>45186</v>
      </c>
      <c r="C10036" t="s">
        <v>4089</v>
      </c>
      <c r="D10036" t="s">
        <v>38</v>
      </c>
      <c r="E10036">
        <v>65.98</v>
      </c>
      <c r="F10036" s="2" t="str">
        <f>IF(Table2[[#This Row],[Manual Cat Value]]="",VLOOKUP(Table2[[#This Row],[Description]],'Actuals Lookup'!D:F,3,0),Table2[[#This Row],[Manual Cat Value]])</f>
        <v>Exp - Amazon</v>
      </c>
      <c r="H10036" s="8" t="s">
        <v>37</v>
      </c>
      <c r="I10036" s="8"/>
      <c r="O10036" t="str">
        <f>LEFT(Table2[[#This Row],[Description]],75)</f>
        <v>Amazon</v>
      </c>
    </row>
    <row r="10037" spans="1:15" hidden="1">
      <c r="A10037">
        <v>202309</v>
      </c>
      <c r="B10037" s="6">
        <v>45186</v>
      </c>
      <c r="C10037" t="s">
        <v>4006</v>
      </c>
      <c r="D10037" t="s">
        <v>4880</v>
      </c>
      <c r="E10037">
        <v>20</v>
      </c>
      <c r="F10037" s="2" t="str">
        <f>IF(Table2[[#This Row],[Manual Cat Value]]="",VLOOKUP(Table2[[#This Row],[Description]],'Actuals Lookup'!D:F,3,0),Table2[[#This Row],[Manual Cat Value]])</f>
        <v>Entertainment</v>
      </c>
      <c r="G10037" t="s">
        <v>40</v>
      </c>
      <c r="I10037" s="8"/>
      <c r="O10037" t="str">
        <f>LEFT(Table2[[#This Row],[Description]],75)</f>
        <v>Deer Run Golf Club</v>
      </c>
    </row>
    <row r="10038" spans="1:15" hidden="1">
      <c r="A10038">
        <v>202309</v>
      </c>
      <c r="B10038" s="6">
        <v>45186</v>
      </c>
      <c r="C10038" t="s">
        <v>4006</v>
      </c>
      <c r="D10038" t="s">
        <v>4540</v>
      </c>
      <c r="E10038">
        <v>63</v>
      </c>
      <c r="F10038" s="2" t="str">
        <f>IF(Table2[[#This Row],[Manual Cat Value]]="",VLOOKUP(Table2[[#This Row],[Description]],'Actuals Lookup'!D:F,3,0),Table2[[#This Row],[Manual Cat Value]])</f>
        <v>Restaurants</v>
      </c>
      <c r="G10038" t="s">
        <v>26</v>
      </c>
      <c r="I10038" s="8"/>
      <c r="O10038" t="str">
        <f>LEFT(Table2[[#This Row],[Description]],75)</f>
        <v>Five Star Food Mart</v>
      </c>
    </row>
    <row r="10039" spans="1:15" hidden="1">
      <c r="A10039">
        <v>202309</v>
      </c>
      <c r="B10039" s="6">
        <v>45186</v>
      </c>
      <c r="C10039" t="s">
        <v>4112</v>
      </c>
      <c r="D10039" t="s">
        <v>4881</v>
      </c>
      <c r="E10039">
        <v>12</v>
      </c>
      <c r="F10039" s="2" t="str">
        <f>IF(Table2[[#This Row],[Manual Cat Value]]="",VLOOKUP(Table2[[#This Row],[Description]],'Actuals Lookup'!D:F,3,0),Table2[[#This Row],[Manual Cat Value]])</f>
        <v>Exp - Restaurants</v>
      </c>
      <c r="H10039" s="8" t="s">
        <v>25</v>
      </c>
      <c r="I10039" s="8"/>
      <c r="O10039" t="str">
        <f>LEFT(Table2[[#This Row],[Description]],75)</f>
        <v>Green Gourmet</v>
      </c>
    </row>
    <row r="10040" spans="1:15" hidden="1">
      <c r="A10040">
        <v>202309</v>
      </c>
      <c r="B10040" s="6">
        <v>45186</v>
      </c>
      <c r="C10040" t="s">
        <v>4100</v>
      </c>
      <c r="D10040" t="s">
        <v>4882</v>
      </c>
      <c r="E10040">
        <v>15</v>
      </c>
      <c r="F10040" s="2" t="str">
        <f>IF(Table2[[#This Row],[Manual Cat Value]]="",VLOOKUP(Table2[[#This Row],[Description]],'Actuals Lookup'!D:F,3,0),Table2[[#This Row],[Manual Cat Value]])</f>
        <v>Exp - Entertainment</v>
      </c>
      <c r="H10040" s="8" t="s">
        <v>39</v>
      </c>
      <c r="I10040" s="8"/>
      <c r="O10040" t="str">
        <f>LEFT(Table2[[#This Row],[Description]],75)</f>
        <v>SQ *ARCADE HIGHWAY LLC Excelsior MN REF #XX8336Dx5570</v>
      </c>
    </row>
    <row r="10041" spans="1:15" hidden="1">
      <c r="A10041">
        <v>202309</v>
      </c>
      <c r="B10041" s="6">
        <v>45186</v>
      </c>
      <c r="C10041" t="s">
        <v>4098</v>
      </c>
      <c r="D10041" t="s">
        <v>4883</v>
      </c>
      <c r="E10041">
        <v>9</v>
      </c>
      <c r="F10041" s="2" t="str">
        <f>IF(Table2[[#This Row],[Manual Cat Value]]="",VLOOKUP(Table2[[#This Row],[Description]],'Actuals Lookup'!D:F,3,0),Table2[[#This Row],[Manual Cat Value]])</f>
        <v>Exp - Restaurants</v>
      </c>
      <c r="H10041" s="8" t="s">
        <v>25</v>
      </c>
      <c r="I10041" s="8"/>
      <c r="O10041" t="str">
        <f>LEFT(Table2[[#This Row],[Description]],75)</f>
        <v>SQ *NORTH STAR DONUTS Wayzata MN REF #XX8336DN5F8X</v>
      </c>
    </row>
    <row r="10042" spans="1:15" hidden="1">
      <c r="A10042">
        <v>202309</v>
      </c>
      <c r="B10042" s="6">
        <v>45186</v>
      </c>
      <c r="C10042" t="s">
        <v>4006</v>
      </c>
      <c r="D10042" t="s">
        <v>4884</v>
      </c>
      <c r="E10042">
        <v>147.19</v>
      </c>
      <c r="F10042" s="2" t="str">
        <f>IF(Table2[[#This Row],[Manual Cat Value]]="",VLOOKUP(Table2[[#This Row],[Description]],'Actuals Lookup'!D:F,3,0),Table2[[#This Row],[Manual Cat Value]])</f>
        <v>Shopping</v>
      </c>
      <c r="G10042" t="s">
        <v>21</v>
      </c>
      <c r="I10042" s="8"/>
      <c r="O10042" t="str">
        <f>LEFT(Table2[[#This Row],[Description]],75)</f>
        <v>The Fletcher School</v>
      </c>
    </row>
    <row r="10043" spans="1:15" hidden="1">
      <c r="A10043">
        <v>202309</v>
      </c>
      <c r="B10043" s="6">
        <v>45187</v>
      </c>
      <c r="C10043" t="s">
        <v>4006</v>
      </c>
      <c r="D10043" t="s">
        <v>103</v>
      </c>
      <c r="E10043">
        <v>148.76</v>
      </c>
      <c r="F10043" s="2" t="str">
        <f>IF(Table2[[#This Row],[Manual Cat Value]]="",VLOOKUP(Table2[[#This Row],[Description]],'Actuals Lookup'!D:F,3,0),Table2[[#This Row],[Manual Cat Value]])</f>
        <v>Healthcare</v>
      </c>
      <c r="G10043" t="s">
        <v>28</v>
      </c>
      <c r="I10043" s="8"/>
      <c r="O10043" t="str">
        <f>LEFT(Table2[[#This Row],[Description]],75)</f>
        <v>Advocare</v>
      </c>
    </row>
    <row r="10044" spans="1:15" hidden="1">
      <c r="A10044">
        <v>202309</v>
      </c>
      <c r="B10044" s="6">
        <v>45187</v>
      </c>
      <c r="C10044" t="s">
        <v>4152</v>
      </c>
      <c r="D10044" t="s">
        <v>113</v>
      </c>
      <c r="E10044">
        <v>-26.79</v>
      </c>
      <c r="F10044" s="2" t="str">
        <f>IF(Table2[[#This Row],[Manual Cat Value]]="",VLOOKUP(Table2[[#This Row],[Description]],'Actuals Lookup'!D:F,3,0),Table2[[#This Row],[Manual Cat Value]])</f>
        <v>Exp - Amazon</v>
      </c>
      <c r="H10044" s="8" t="s">
        <v>37</v>
      </c>
      <c r="I10044" s="8"/>
      <c r="O10044" t="str">
        <f>LEFT(Table2[[#This Row],[Description]],75)</f>
        <v>Amazon Marketplace</v>
      </c>
    </row>
    <row r="10045" spans="1:15" hidden="1">
      <c r="A10045">
        <v>202309</v>
      </c>
      <c r="B10045" s="6">
        <v>45187</v>
      </c>
      <c r="C10045" t="s">
        <v>4145</v>
      </c>
      <c r="D10045" t="s">
        <v>113</v>
      </c>
      <c r="E10045">
        <v>-29.57</v>
      </c>
      <c r="F10045" s="2" t="str">
        <f>IF(Table2[[#This Row],[Manual Cat Value]]="",VLOOKUP(Table2[[#This Row],[Description]],'Actuals Lookup'!D:F,3,0),Table2[[#This Row],[Manual Cat Value]])</f>
        <v>Exp - Amazon</v>
      </c>
      <c r="H10045" s="8" t="s">
        <v>37</v>
      </c>
      <c r="I10045" s="8"/>
      <c r="O10045" t="str">
        <f>LEFT(Table2[[#This Row],[Description]],75)</f>
        <v>Amazon Marketplace</v>
      </c>
    </row>
    <row r="10046" spans="1:15" hidden="1">
      <c r="A10046">
        <v>202309</v>
      </c>
      <c r="B10046" s="6">
        <v>45187</v>
      </c>
      <c r="C10046" t="s">
        <v>4135</v>
      </c>
      <c r="D10046" t="s">
        <v>113</v>
      </c>
      <c r="E10046">
        <v>-36.99</v>
      </c>
      <c r="F10046" s="2" t="str">
        <f>IF(Table2[[#This Row],[Manual Cat Value]]="",VLOOKUP(Table2[[#This Row],[Description]],'Actuals Lookup'!D:F,3,0),Table2[[#This Row],[Manual Cat Value]])</f>
        <v>Exp - Amazon</v>
      </c>
      <c r="H10046" s="8" t="s">
        <v>37</v>
      </c>
      <c r="I10046" s="8"/>
      <c r="O10046" t="str">
        <f>LEFT(Table2[[#This Row],[Description]],75)</f>
        <v>Amazon Marketplace</v>
      </c>
    </row>
    <row r="10047" spans="1:15" hidden="1">
      <c r="A10047">
        <v>202309</v>
      </c>
      <c r="B10047" s="6">
        <v>45187</v>
      </c>
      <c r="C10047" t="s">
        <v>4137</v>
      </c>
      <c r="D10047" t="s">
        <v>113</v>
      </c>
      <c r="E10047">
        <v>-36.590000000000003</v>
      </c>
      <c r="F10047" s="2" t="str">
        <f>IF(Table2[[#This Row],[Manual Cat Value]]="",VLOOKUP(Table2[[#This Row],[Description]],'Actuals Lookup'!D:F,3,0),Table2[[#This Row],[Manual Cat Value]])</f>
        <v>Exp - Amazon</v>
      </c>
      <c r="H10047" s="8" t="s">
        <v>37</v>
      </c>
      <c r="I10047" s="8"/>
      <c r="O10047" t="str">
        <f>LEFT(Table2[[#This Row],[Description]],75)</f>
        <v>Amazon Marketplace</v>
      </c>
    </row>
    <row r="10048" spans="1:15" hidden="1">
      <c r="A10048">
        <v>202309</v>
      </c>
      <c r="B10048" s="6">
        <v>45187</v>
      </c>
      <c r="C10048" t="s">
        <v>4127</v>
      </c>
      <c r="D10048" t="s">
        <v>113</v>
      </c>
      <c r="E10048">
        <v>-15.45</v>
      </c>
      <c r="F10048" s="2" t="str">
        <f>IF(Table2[[#This Row],[Manual Cat Value]]="",VLOOKUP(Table2[[#This Row],[Description]],'Actuals Lookup'!D:F,3,0),Table2[[#This Row],[Manual Cat Value]])</f>
        <v>Exp - Amazon</v>
      </c>
      <c r="H10048" s="8" t="s">
        <v>37</v>
      </c>
      <c r="I10048" s="8"/>
      <c r="O10048" t="str">
        <f>LEFT(Table2[[#This Row],[Description]],75)</f>
        <v>Amazon Marketplace</v>
      </c>
    </row>
    <row r="10049" spans="1:15" hidden="1">
      <c r="A10049">
        <v>202309</v>
      </c>
      <c r="B10049" s="6">
        <v>45187</v>
      </c>
      <c r="C10049" t="s">
        <v>4129</v>
      </c>
      <c r="D10049" t="s">
        <v>113</v>
      </c>
      <c r="E10049">
        <v>-38.49</v>
      </c>
      <c r="F10049" s="2" t="str">
        <f>IF(Table2[[#This Row],[Manual Cat Value]]="",VLOOKUP(Table2[[#This Row],[Description]],'Actuals Lookup'!D:F,3,0),Table2[[#This Row],[Manual Cat Value]])</f>
        <v>Exp - Amazon</v>
      </c>
      <c r="H10049" s="8" t="s">
        <v>37</v>
      </c>
      <c r="I10049" s="8"/>
      <c r="O10049" t="str">
        <f>LEFT(Table2[[#This Row],[Description]],75)</f>
        <v>Amazon Marketplace</v>
      </c>
    </row>
    <row r="10050" spans="1:15" hidden="1">
      <c r="A10050">
        <v>202309</v>
      </c>
      <c r="B10050" s="6">
        <v>45187</v>
      </c>
      <c r="C10050" t="s">
        <v>4125</v>
      </c>
      <c r="D10050" t="s">
        <v>113</v>
      </c>
      <c r="E10050">
        <v>-44.99</v>
      </c>
      <c r="F10050" s="2" t="str">
        <f>IF(Table2[[#This Row],[Manual Cat Value]]="",VLOOKUP(Table2[[#This Row],[Description]],'Actuals Lookup'!D:F,3,0),Table2[[#This Row],[Manual Cat Value]])</f>
        <v>Exp - Amazon</v>
      </c>
      <c r="H10050" s="8" t="s">
        <v>37</v>
      </c>
      <c r="I10050" s="8"/>
      <c r="O10050" t="str">
        <f>LEFT(Table2[[#This Row],[Description]],75)</f>
        <v>Amazon Marketplace</v>
      </c>
    </row>
    <row r="10051" spans="1:15" hidden="1">
      <c r="A10051">
        <v>202309</v>
      </c>
      <c r="B10051" s="6">
        <v>45187</v>
      </c>
      <c r="C10051" t="s">
        <v>4380</v>
      </c>
      <c r="D10051" t="s">
        <v>4283</v>
      </c>
      <c r="E10051">
        <v>-75</v>
      </c>
      <c r="F10051" s="2" t="str">
        <f>IF(Table2[[#This Row],[Manual Cat Value]]="",VLOOKUP(Table2[[#This Row],[Description]],'Actuals Lookup'!D:F,3,0),Table2[[#This Row],[Manual Cat Value]])</f>
        <v>Inc - Britney</v>
      </c>
      <c r="H10051" s="8" t="s">
        <v>65</v>
      </c>
      <c r="I10051" s="8"/>
      <c r="O10051" t="str">
        <f>LEFT(Table2[[#This Row],[Description]],75)</f>
        <v>Cargill Deposit</v>
      </c>
    </row>
    <row r="10052" spans="1:15" hidden="1">
      <c r="A10052">
        <v>202309</v>
      </c>
      <c r="B10052" s="6">
        <v>45187</v>
      </c>
      <c r="C10052" t="s">
        <v>4006</v>
      </c>
      <c r="D10052" t="s">
        <v>4885</v>
      </c>
      <c r="E10052">
        <v>957.5</v>
      </c>
      <c r="F10052" s="2" t="str">
        <f>IF(Table2[[#This Row],[Manual Cat Value]]="",VLOOKUP(Table2[[#This Row],[Description]],'Actuals Lookup'!D:F,3,0),Table2[[#This Row],[Manual Cat Value]])</f>
        <v>Delete</v>
      </c>
      <c r="G10052" t="s">
        <v>43</v>
      </c>
      <c r="H10052" s="8" t="s">
        <v>9</v>
      </c>
      <c r="I10052" s="8"/>
      <c r="O10052" t="str">
        <f>LEFT(Table2[[#This Row],[Description]],75)</f>
        <v>Clayton Hotel Cork Ecork City</v>
      </c>
    </row>
    <row r="10053" spans="1:15" hidden="1">
      <c r="A10053">
        <v>202309</v>
      </c>
      <c r="B10053" s="6">
        <v>45187</v>
      </c>
      <c r="C10053" t="s">
        <v>4006</v>
      </c>
      <c r="D10053" t="s">
        <v>4886</v>
      </c>
      <c r="E10053">
        <v>16.02</v>
      </c>
      <c r="F10053" s="2" t="str">
        <f>IF(Table2[[#This Row],[Manual Cat Value]]="",VLOOKUP(Table2[[#This Row],[Description]],'Actuals Lookup'!D:F,3,0),Table2[[#This Row],[Manual Cat Value]])</f>
        <v>Delete</v>
      </c>
      <c r="G10053" t="s">
        <v>43</v>
      </c>
      <c r="H10053" s="8" t="s">
        <v>9</v>
      </c>
      <c r="I10053" s="8"/>
      <c r="O10053" t="str">
        <f>LEFT(Table2[[#This Row],[Description]],75)</f>
        <v>Clayton Hotel Cork Fcork</v>
      </c>
    </row>
    <row r="10054" spans="1:15" hidden="1">
      <c r="A10054">
        <v>202309</v>
      </c>
      <c r="B10054" s="6">
        <v>45187</v>
      </c>
      <c r="C10054" t="s">
        <v>4121</v>
      </c>
      <c r="D10054" t="s">
        <v>648</v>
      </c>
      <c r="E10054">
        <v>172.77</v>
      </c>
      <c r="F10054" s="2" t="str">
        <f>IF(Table2[[#This Row],[Manual Cat Value]]="",VLOOKUP(Table2[[#This Row],[Description]],'Actuals Lookup'!D:F,3,0),Table2[[#This Row],[Manual Cat Value]])</f>
        <v>Exp - Groceries</v>
      </c>
      <c r="H10054" s="8" t="s">
        <v>27</v>
      </c>
      <c r="I10054" s="8"/>
      <c r="O10054" t="str">
        <f>LEFT(Table2[[#This Row],[Description]],75)</f>
        <v>Costco</v>
      </c>
    </row>
    <row r="10055" spans="1:15" hidden="1">
      <c r="A10055">
        <v>202309</v>
      </c>
      <c r="B10055" s="6">
        <v>45187</v>
      </c>
      <c r="C10055" t="s">
        <v>4123</v>
      </c>
      <c r="D10055" t="s">
        <v>4887</v>
      </c>
      <c r="E10055">
        <v>48.94</v>
      </c>
      <c r="F10055" s="2" t="str">
        <f>IF(Table2[[#This Row],[Manual Cat Value]]="",VLOOKUP(Table2[[#This Row],[Description]],'Actuals Lookup'!D:F,3,0),Table2[[#This Row],[Manual Cat Value]])</f>
        <v>Exp - Groceries</v>
      </c>
      <c r="H10055" s="8" t="s">
        <v>27</v>
      </c>
      <c r="I10055" s="8"/>
      <c r="O10055" t="str">
        <f>LEFT(Table2[[#This Row],[Description]],75)</f>
        <v>Costco Gas Stations</v>
      </c>
    </row>
    <row r="10056" spans="1:15" hidden="1">
      <c r="A10056">
        <v>202309</v>
      </c>
      <c r="B10056" s="6">
        <v>45187</v>
      </c>
      <c r="C10056" t="s">
        <v>3932</v>
      </c>
      <c r="D10056" t="s">
        <v>4779</v>
      </c>
      <c r="E10056">
        <v>-159.26</v>
      </c>
      <c r="F10056" s="2" t="str">
        <f>IF(Table2[[#This Row],[Manual Cat Value]]="",VLOOKUP(Table2[[#This Row],[Description]],'Actuals Lookup'!D:F,3,0),Table2[[#This Row],[Manual Cat Value]])</f>
        <v>Delete</v>
      </c>
      <c r="G10056" t="s">
        <v>8</v>
      </c>
      <c r="H10056" s="8" t="s">
        <v>9</v>
      </c>
      <c r="I10056" s="8"/>
      <c r="O10056" t="str">
        <f>LEFT(Table2[[#This Row],[Description]],75)</f>
        <v>Directpay Full Balance</v>
      </c>
    </row>
    <row r="10057" spans="1:15" hidden="1">
      <c r="A10057">
        <v>202309</v>
      </c>
      <c r="B10057" s="6">
        <v>45187</v>
      </c>
      <c r="C10057" t="s">
        <v>4006</v>
      </c>
      <c r="D10057" t="s">
        <v>4888</v>
      </c>
      <c r="E10057">
        <v>12.4</v>
      </c>
      <c r="F10057" s="2" t="str">
        <f>IF(Table2[[#This Row],[Manual Cat Value]]="",VLOOKUP(Table2[[#This Row],[Description]],'Actuals Lookup'!D:F,3,0),Table2[[#This Row],[Manual Cat Value]])</f>
        <v>Exp - Restaurants</v>
      </c>
      <c r="G10057" t="s">
        <v>26</v>
      </c>
      <c r="H10057" s="8" t="s">
        <v>25</v>
      </c>
      <c r="I10057" s="8"/>
      <c r="O10057" t="str">
        <f>LEFT(Table2[[#This Row],[Description]],75)</f>
        <v>Hmshost</v>
      </c>
    </row>
    <row r="10058" spans="1:15" hidden="1">
      <c r="A10058">
        <v>202309</v>
      </c>
      <c r="B10058" s="6">
        <v>45187</v>
      </c>
      <c r="C10058" t="s">
        <v>4375</v>
      </c>
      <c r="D10058" t="s">
        <v>1955</v>
      </c>
      <c r="E10058">
        <v>59.97</v>
      </c>
      <c r="F10058" s="2" t="str">
        <f>IF(Table2[[#This Row],[Manual Cat Value]]="",VLOOKUP(Table2[[#This Row],[Description]],'Actuals Lookup'!D:F,3,0),Table2[[#This Row],[Manual Cat Value]])</f>
        <v>Exp - Shopping</v>
      </c>
      <c r="H10058" s="8" t="s">
        <v>36</v>
      </c>
      <c r="I10058" s="8"/>
      <c r="O10058" t="str">
        <f>LEFT(Table2[[#This Row],[Description]],75)</f>
        <v>Transfer to PayPal</v>
      </c>
    </row>
    <row r="10059" spans="1:15" hidden="1">
      <c r="A10059">
        <v>202309</v>
      </c>
      <c r="B10059" s="6">
        <v>45187</v>
      </c>
      <c r="C10059" t="s">
        <v>4370</v>
      </c>
      <c r="D10059" t="s">
        <v>1955</v>
      </c>
      <c r="E10059">
        <v>7.79</v>
      </c>
      <c r="F10059" s="2" t="str">
        <f>IF(Table2[[#This Row],[Manual Cat Value]]="",VLOOKUP(Table2[[#This Row],[Description]],'Actuals Lookup'!D:F,3,0),Table2[[#This Row],[Manual Cat Value]])</f>
        <v>Exp - Shopping</v>
      </c>
      <c r="H10059" s="8" t="s">
        <v>36</v>
      </c>
      <c r="I10059" s="8"/>
      <c r="O10059" t="str">
        <f>LEFT(Table2[[#This Row],[Description]],75)</f>
        <v>Transfer to PayPal</v>
      </c>
    </row>
    <row r="10060" spans="1:15" hidden="1">
      <c r="A10060">
        <v>202309</v>
      </c>
      <c r="B10060" s="6">
        <v>45187</v>
      </c>
      <c r="C10060" t="s">
        <v>2712</v>
      </c>
      <c r="D10060" t="s">
        <v>4889</v>
      </c>
      <c r="E10060">
        <v>650</v>
      </c>
      <c r="F10060" s="2" t="str">
        <f>IF(Table2[[#This Row],[Manual Cat Value]]="",VLOOKUP(Table2[[#This Row],[Description]],'Actuals Lookup'!D:F,3,0),Table2[[#This Row],[Manual Cat Value]])</f>
        <v>Sav - College Savings</v>
      </c>
      <c r="H10060" s="8" t="s">
        <v>60</v>
      </c>
      <c r="I10060" s="8"/>
      <c r="O10060" t="str">
        <f>LEFT(Table2[[#This Row],[Description]],75)</f>
        <v>Withdrawal ACH MN DIR ACH TYPE: CONTRIB ID: XX7162 CO: MN DIR ACH NAME: XX2</v>
      </c>
    </row>
    <row r="10061" spans="1:15" hidden="1">
      <c r="A10061">
        <v>202309</v>
      </c>
      <c r="B10061" s="6">
        <v>45187</v>
      </c>
      <c r="C10061" t="s">
        <v>4006</v>
      </c>
      <c r="D10061" t="s">
        <v>4012</v>
      </c>
      <c r="E10061">
        <v>-9950.69</v>
      </c>
      <c r="F10061" s="2" t="str">
        <f>IF(Table2[[#This Row],[Manual Cat Value]]="",VLOOKUP(Table2[[#This Row],[Description]],'Actuals Lookup'!D:F,3,0),Table2[[#This Row],[Manual Cat Value]])</f>
        <v>Delete</v>
      </c>
      <c r="G10061" t="s">
        <v>9</v>
      </c>
      <c r="I10061" s="8"/>
      <c r="O10061" t="str">
        <f>LEFT(Table2[[#This Row],[Description]],75)</f>
        <v>Online Payment - Thank You</v>
      </c>
    </row>
    <row r="10062" spans="1:15" hidden="1">
      <c r="A10062">
        <v>202309</v>
      </c>
      <c r="B10062" s="6">
        <v>45188</v>
      </c>
      <c r="C10062" t="s">
        <v>4143</v>
      </c>
      <c r="D10062" t="s">
        <v>38</v>
      </c>
      <c r="E10062">
        <v>47.35</v>
      </c>
      <c r="F10062" s="2" t="str">
        <f>IF(Table2[[#This Row],[Manual Cat Value]]="",VLOOKUP(Table2[[#This Row],[Description]],'Actuals Lookup'!D:F,3,0),Table2[[#This Row],[Manual Cat Value]])</f>
        <v>Exp - Amazon</v>
      </c>
      <c r="H10062" s="8" t="s">
        <v>37</v>
      </c>
      <c r="I10062" s="8"/>
      <c r="O10062" t="str">
        <f>LEFT(Table2[[#This Row],[Description]],75)</f>
        <v>Amazon</v>
      </c>
    </row>
    <row r="10063" spans="1:15" hidden="1">
      <c r="A10063">
        <v>202309</v>
      </c>
      <c r="B10063" s="6">
        <v>45188</v>
      </c>
      <c r="C10063" t="s">
        <v>3932</v>
      </c>
      <c r="D10063" t="s">
        <v>3994</v>
      </c>
      <c r="E10063">
        <v>1.06</v>
      </c>
      <c r="F10063" s="2" t="str">
        <f>IF(Table2[[#This Row],[Manual Cat Value]]="",VLOOKUP(Table2[[#This Row],[Description]],'Actuals Lookup'!D:F,3,0),Table2[[#This Row],[Manual Cat Value]])</f>
        <v>Exp - Amazon</v>
      </c>
      <c r="G10063" t="s">
        <v>40</v>
      </c>
      <c r="H10063" s="8" t="s">
        <v>37</v>
      </c>
      <c r="I10063" s="8"/>
      <c r="O10063" t="str">
        <f>LEFT(Table2[[#This Row],[Description]],75)</f>
        <v>Amazon Digital Services</v>
      </c>
    </row>
    <row r="10064" spans="1:15" hidden="1">
      <c r="A10064">
        <v>202309</v>
      </c>
      <c r="B10064" s="6">
        <v>45188</v>
      </c>
      <c r="C10064" t="s">
        <v>4006</v>
      </c>
      <c r="D10064" t="s">
        <v>4890</v>
      </c>
      <c r="E10064">
        <v>1437.36</v>
      </c>
      <c r="F10064" s="2" t="str">
        <f>IF(Table2[[#This Row],[Manual Cat Value]]="",VLOOKUP(Table2[[#This Row],[Description]],'Actuals Lookup'!D:F,3,0),Table2[[#This Row],[Manual Cat Value]])</f>
        <v>Exp - Travel</v>
      </c>
      <c r="G10064" t="s">
        <v>26</v>
      </c>
      <c r="H10064" s="8" t="s">
        <v>52</v>
      </c>
      <c r="I10064" s="8" t="s">
        <v>4891</v>
      </c>
      <c r="O10064" t="str">
        <f>LEFT(Table2[[#This Row],[Description]],75)</f>
        <v>Aplpay Fh* Jack Hartlihue Hi</v>
      </c>
    </row>
    <row r="10065" spans="1:16" hidden="1">
      <c r="A10065">
        <v>202309</v>
      </c>
      <c r="B10065" s="6">
        <v>45188</v>
      </c>
      <c r="C10065" t="s">
        <v>4006</v>
      </c>
      <c r="D10065" t="s">
        <v>4892</v>
      </c>
      <c r="E10065">
        <v>32.479999999999997</v>
      </c>
      <c r="F10065" s="2" t="str">
        <f>IF(Table2[[#This Row],[Manual Cat Value]]="",VLOOKUP(Table2[[#This Row],[Description]],'Actuals Lookup'!D:F,3,0),Table2[[#This Row],[Manual Cat Value]])</f>
        <v>Restaurants</v>
      </c>
      <c r="G10065" t="s">
        <v>26</v>
      </c>
      <c r="I10065" s="8"/>
      <c r="O10065" t="str">
        <f>LEFT(Table2[[#This Row],[Description]],75)</f>
        <v>Aplpay Order.noodlesbroomfield Co</v>
      </c>
    </row>
    <row r="10066" spans="1:16" hidden="1">
      <c r="A10066">
        <v>202309</v>
      </c>
      <c r="B10066" s="6">
        <v>45188</v>
      </c>
      <c r="C10066" t="s">
        <v>4006</v>
      </c>
      <c r="D10066" t="s">
        <v>4893</v>
      </c>
      <c r="E10066">
        <v>10.68</v>
      </c>
      <c r="F10066" s="2" t="e">
        <f>IF(Table2[[#This Row],[Manual Cat Value]]="",VLOOKUP(Table2[[#This Row],[Description]],'Actuals Lookup'!D:F,3,0),Table2[[#This Row],[Manual Cat Value]])</f>
        <v>#N/A</v>
      </c>
      <c r="G10066" t="s">
        <v>45</v>
      </c>
      <c r="I10066" s="8"/>
      <c r="O10066" t="str">
        <f>LEFT(Table2[[#This Row],[Description]],75)</f>
        <v>Carrolls Irish Giftscork</v>
      </c>
    </row>
    <row r="10067" spans="1:16" hidden="1">
      <c r="A10067" s="2">
        <v>201909</v>
      </c>
      <c r="B10067" s="3">
        <v>43729</v>
      </c>
      <c r="C10067" s="2" t="s">
        <v>2274</v>
      </c>
      <c r="D10067" s="2" t="s">
        <v>1387</v>
      </c>
      <c r="E10067" s="2">
        <v>-614.66999999999996</v>
      </c>
      <c r="F10067" s="2" t="s">
        <v>9</v>
      </c>
      <c r="J10067" s="2">
        <v>614.66999999999996</v>
      </c>
      <c r="K10067" s="2" t="b">
        <v>0</v>
      </c>
      <c r="L10067" s="2"/>
      <c r="M10067" s="2"/>
      <c r="N10067" s="2" t="s">
        <v>2264</v>
      </c>
      <c r="O10067" s="2" t="str">
        <f>LEFT(Table2[[#This Row],[Description]],75)</f>
        <v>Overdraft Transfer from Brokerage -5308</v>
      </c>
      <c r="P10067" s="2"/>
    </row>
    <row r="10068" spans="1:16" hidden="1">
      <c r="A10068">
        <v>202309</v>
      </c>
      <c r="B10068" s="6">
        <v>45188</v>
      </c>
      <c r="C10068" t="s">
        <v>4150</v>
      </c>
      <c r="D10068" t="s">
        <v>4894</v>
      </c>
      <c r="E10068">
        <v>3.53</v>
      </c>
      <c r="F10068" s="2" t="str">
        <f>IF(Table2[[#This Row],[Manual Cat Value]]="",VLOOKUP(Table2[[#This Row],[Description]],'Actuals Lookup'!D:F,3,0),Table2[[#This Row],[Manual Cat Value]])</f>
        <v>Exp - Restaurants</v>
      </c>
      <c r="H10068" s="8" t="s">
        <v>25</v>
      </c>
      <c r="I10068" s="8"/>
      <c r="O10068" t="str">
        <f>LEFT(Table2[[#This Row],[Description]],75)</f>
        <v>HMSHost</v>
      </c>
    </row>
    <row r="10069" spans="1:16" hidden="1">
      <c r="A10069">
        <v>202309</v>
      </c>
      <c r="B10069" s="6">
        <v>45188</v>
      </c>
      <c r="C10069" t="s">
        <v>4141</v>
      </c>
      <c r="D10069" t="s">
        <v>4895</v>
      </c>
      <c r="E10069">
        <v>29.93</v>
      </c>
      <c r="F10069" s="2" t="str">
        <f>IF(Table2[[#This Row],[Manual Cat Value]]="",VLOOKUP(Table2[[#This Row],[Description]],'Actuals Lookup'!D:F,3,0),Table2[[#This Row],[Manual Cat Value]])</f>
        <v>Delete</v>
      </c>
      <c r="H10069" s="8" t="s">
        <v>9</v>
      </c>
      <c r="I10069" s="8"/>
      <c r="O10069" t="str">
        <f>LEFT(Table2[[#This Row],[Description]],75)</f>
        <v>PV CAB 01 MIDLETON IE REF #XX6866HMS4ATR</v>
      </c>
    </row>
    <row r="10070" spans="1:16" hidden="1">
      <c r="A10070">
        <v>202309</v>
      </c>
      <c r="B10070" s="6">
        <v>45188</v>
      </c>
      <c r="C10070" t="s">
        <v>4400</v>
      </c>
      <c r="D10070" t="s">
        <v>4896</v>
      </c>
      <c r="E10070">
        <v>-3173.88</v>
      </c>
      <c r="F10070" s="2" t="str">
        <f>IF(Table2[[#This Row],[Manual Cat Value]]="",VLOOKUP(Table2[[#This Row],[Description]],'Actuals Lookup'!D:F,3,0),Table2[[#This Row],[Manual Cat Value]])</f>
        <v>Delete</v>
      </c>
      <c r="H10070" s="8" t="s">
        <v>9</v>
      </c>
      <c r="I10070" s="8"/>
      <c r="O10070" t="str">
        <f>LEFT(Table2[[#This Row],[Description]],75)</f>
        <v>Transfer from Venmo</v>
      </c>
    </row>
    <row r="10071" spans="1:16" hidden="1">
      <c r="A10071">
        <v>202309</v>
      </c>
      <c r="B10071" s="6">
        <v>45188</v>
      </c>
      <c r="C10071" t="s">
        <v>4382</v>
      </c>
      <c r="D10071" t="s">
        <v>1955</v>
      </c>
      <c r="E10071">
        <v>2.99</v>
      </c>
      <c r="F10071" s="2" t="str">
        <f>IF(Table2[[#This Row],[Manual Cat Value]]="",VLOOKUP(Table2[[#This Row],[Description]],'Actuals Lookup'!D:F,3,0),Table2[[#This Row],[Manual Cat Value]])</f>
        <v>Exp - Shopping</v>
      </c>
      <c r="H10071" s="8" t="s">
        <v>36</v>
      </c>
      <c r="I10071" s="8"/>
      <c r="O10071" t="str">
        <f>LEFT(Table2[[#This Row],[Description]],75)</f>
        <v>Transfer to PayPal</v>
      </c>
    </row>
    <row r="10072" spans="1:16" hidden="1">
      <c r="A10072">
        <v>202309</v>
      </c>
      <c r="B10072" s="6">
        <v>45188</v>
      </c>
      <c r="C10072" t="s">
        <v>4381</v>
      </c>
      <c r="D10072" t="s">
        <v>1464</v>
      </c>
      <c r="E10072">
        <v>159.26</v>
      </c>
      <c r="F10072" s="2" t="str">
        <f>IF(Table2[[#This Row],[Manual Cat Value]]="",VLOOKUP(Table2[[#This Row],[Description]],'Actuals Lookup'!D:F,3,0),Table2[[#This Row],[Manual Cat Value]])</f>
        <v>Delete</v>
      </c>
      <c r="H10072" s="8" t="s">
        <v>9</v>
      </c>
      <c r="I10072" s="8"/>
      <c r="O10072" t="str">
        <f>LEFT(Table2[[#This Row],[Description]],75)</f>
        <v>Payment to Discover Bank</v>
      </c>
    </row>
    <row r="10073" spans="1:16" hidden="1">
      <c r="A10073">
        <v>202309</v>
      </c>
      <c r="B10073" s="6">
        <v>45189</v>
      </c>
      <c r="C10073" t="s">
        <v>4160</v>
      </c>
      <c r="D10073" t="s">
        <v>4897</v>
      </c>
      <c r="E10073">
        <v>45.27</v>
      </c>
      <c r="F10073" s="2" t="str">
        <f>IF(Table2[[#This Row],[Manual Cat Value]]="",VLOOKUP(Table2[[#This Row],[Description]],'Actuals Lookup'!D:F,3,0),Table2[[#This Row],[Manual Cat Value]])</f>
        <v>Delete</v>
      </c>
      <c r="H10073" s="8" t="s">
        <v>9</v>
      </c>
      <c r="I10073" s="8"/>
      <c r="O10073" t="str">
        <f>LEFT(Table2[[#This Row],[Description]],75)</f>
        <v>5 POINTS DELI AND CAFE CORK CITY IE REF #XX8700T1T2E2</v>
      </c>
    </row>
    <row r="10074" spans="1:16" hidden="1">
      <c r="A10074">
        <v>202309</v>
      </c>
      <c r="B10074" s="6">
        <v>45189</v>
      </c>
      <c r="C10074" t="s">
        <v>4167</v>
      </c>
      <c r="D10074" t="s">
        <v>4898</v>
      </c>
      <c r="E10074">
        <v>45.48</v>
      </c>
      <c r="F10074" s="2" t="str">
        <f>IF(Table2[[#This Row],[Manual Cat Value]]="",VLOOKUP(Table2[[#This Row],[Description]],'Actuals Lookup'!D:F,3,0),Table2[[#This Row],[Manual Cat Value]])</f>
        <v>Delete</v>
      </c>
      <c r="H10074" s="8" t="s">
        <v>9</v>
      </c>
      <c r="I10074" s="8"/>
      <c r="O10074" t="str">
        <f>LEFT(Table2[[#This Row],[Description]],75)</f>
        <v>Burnt Pizza</v>
      </c>
    </row>
    <row r="10075" spans="1:16" hidden="1">
      <c r="A10075">
        <v>202309</v>
      </c>
      <c r="B10075" s="6">
        <v>45189</v>
      </c>
      <c r="C10075" t="s">
        <v>4169</v>
      </c>
      <c r="D10075" t="s">
        <v>4899</v>
      </c>
      <c r="E10075">
        <v>0.49</v>
      </c>
      <c r="F10075" s="2" t="str">
        <f>IF(Table2[[#This Row],[Manual Cat Value]]="",VLOOKUP(Table2[[#This Row],[Description]],'Actuals Lookup'!D:F,3,0),Table2[[#This Row],[Manual Cat Value]])</f>
        <v>Exp - Utilities</v>
      </c>
      <c r="H10075" s="8" t="s">
        <v>6</v>
      </c>
      <c r="I10075" s="8"/>
      <c r="O10075" t="str">
        <f>LEFT(Table2[[#This Row],[Description]],75)</f>
        <v>Google Cloud Storage</v>
      </c>
    </row>
    <row r="10076" spans="1:16" hidden="1">
      <c r="A10076">
        <v>202309</v>
      </c>
      <c r="B10076" s="6">
        <v>45189</v>
      </c>
      <c r="C10076" t="s">
        <v>4158</v>
      </c>
      <c r="D10076" t="s">
        <v>4900</v>
      </c>
      <c r="E10076">
        <v>-0.7</v>
      </c>
      <c r="F10076" s="2" t="str">
        <f>IF(Table2[[#This Row],[Manual Cat Value]]="",VLOOKUP(Table2[[#This Row],[Description]],'Actuals Lookup'!D:F,3,0),Table2[[#This Row],[Manual Cat Value]])</f>
        <v>Exp - Day Care</v>
      </c>
      <c r="H10076" s="8" t="s">
        <v>19</v>
      </c>
      <c r="I10076" s="8"/>
      <c r="O10076" t="str">
        <f>LEFT(Table2[[#This Row],[Description]],75)</f>
        <v>MCW 1602-MINNETONKA XX8113 MN REF #XX0586VALFABJS</v>
      </c>
    </row>
    <row r="10077" spans="1:16" hidden="1">
      <c r="A10077">
        <v>202309</v>
      </c>
      <c r="B10077" s="6">
        <v>45189</v>
      </c>
      <c r="C10077" t="s">
        <v>4148</v>
      </c>
      <c r="D10077" t="s">
        <v>1353</v>
      </c>
      <c r="E10077">
        <v>3.76</v>
      </c>
      <c r="F10077" s="2" t="str">
        <f>IF(Table2[[#This Row],[Manual Cat Value]]="",VLOOKUP(Table2[[#This Row],[Description]],'Actuals Lookup'!D:F,3,0),Table2[[#This Row],[Manual Cat Value]])</f>
        <v>Exp - Restaurants</v>
      </c>
      <c r="H10077" s="8" t="s">
        <v>25</v>
      </c>
      <c r="I10077" s="8"/>
      <c r="O10077" t="str">
        <f>LEFT(Table2[[#This Row],[Description]],75)</f>
        <v>Noodles &amp; Company</v>
      </c>
    </row>
    <row r="10078" spans="1:16" hidden="1">
      <c r="A10078">
        <v>202309</v>
      </c>
      <c r="B10078" s="6">
        <v>45189</v>
      </c>
      <c r="C10078" t="s">
        <v>4156</v>
      </c>
      <c r="D10078" t="s">
        <v>4901</v>
      </c>
      <c r="E10078">
        <v>7.48</v>
      </c>
      <c r="F10078" s="2" t="str">
        <f>IF(Table2[[#This Row],[Manual Cat Value]]="",VLOOKUP(Table2[[#This Row],[Description]],'Actuals Lookup'!D:F,3,0),Table2[[#This Row],[Manual Cat Value]])</f>
        <v>Exp - Restaurants</v>
      </c>
      <c r="H10078" s="8" t="s">
        <v>25</v>
      </c>
      <c r="I10078" s="8"/>
      <c r="O10078" t="str">
        <f>LEFT(Table2[[#This Row],[Description]],75)</f>
        <v>WAYZATA CAFE WAYZATA MN REF #XX0087W65VEY2N</v>
      </c>
    </row>
    <row r="10079" spans="1:16" hidden="1">
      <c r="A10079">
        <v>202309</v>
      </c>
      <c r="B10079" s="6">
        <v>45189</v>
      </c>
      <c r="C10079" t="s">
        <v>4164</v>
      </c>
      <c r="D10079" t="s">
        <v>4902</v>
      </c>
      <c r="E10079">
        <v>3.9</v>
      </c>
      <c r="F10079" s="2" t="str">
        <f>IF(Table2[[#This Row],[Manual Cat Value]]="",VLOOKUP(Table2[[#This Row],[Description]],'Actuals Lookup'!D:F,3,0),Table2[[#This Row],[Manual Cat Value]])</f>
        <v>Exp - Shopping</v>
      </c>
      <c r="H10079" s="8" t="s">
        <v>36</v>
      </c>
      <c r="I10079" s="8"/>
      <c r="O10079" t="str">
        <f>LEFT(Table2[[#This Row],[Description]],75)</f>
        <v>Whsmith</v>
      </c>
    </row>
    <row r="10080" spans="1:16" hidden="1">
      <c r="A10080">
        <v>202309</v>
      </c>
      <c r="B10080" s="6">
        <v>45189</v>
      </c>
      <c r="C10080" t="s">
        <v>4403</v>
      </c>
      <c r="D10080" t="s">
        <v>4903</v>
      </c>
      <c r="E10080">
        <v>330</v>
      </c>
      <c r="F10080" s="2" t="str">
        <f>IF(Table2[[#This Row],[Manual Cat Value]]="",VLOOKUP(Table2[[#This Row],[Description]],'Actuals Lookup'!D:F,3,0),Table2[[#This Row],[Manual Cat Value]])</f>
        <v>Exp - Day Care</v>
      </c>
      <c r="H10080" s="8" t="s">
        <v>19</v>
      </c>
      <c r="I10080" s="8"/>
      <c r="O10080" t="str">
        <f>LEFT(Table2[[#This Row],[Description]],75)</f>
        <v>Withdrawal ACH MHCHILDCARELLC TYPE: DUES ID: XX8198 CO: MHCHILDCARELLC Entr</v>
      </c>
    </row>
    <row r="10081" spans="1:15" hidden="1">
      <c r="A10081">
        <v>202309</v>
      </c>
      <c r="B10081" s="6">
        <v>45189</v>
      </c>
      <c r="C10081" t="s">
        <v>4405</v>
      </c>
      <c r="D10081" t="s">
        <v>1458</v>
      </c>
      <c r="E10081">
        <v>9950.69</v>
      </c>
      <c r="F10081" s="2" t="str">
        <f>IF(Table2[[#This Row],[Manual Cat Value]]="",VLOOKUP(Table2[[#This Row],[Description]],'Actuals Lookup'!D:F,3,0),Table2[[#This Row],[Manual Cat Value]])</f>
        <v>Delete</v>
      </c>
      <c r="H10081" s="8" t="s">
        <v>9</v>
      </c>
      <c r="I10081" s="8"/>
      <c r="O10081" t="str">
        <f>LEFT(Table2[[#This Row],[Description]],75)</f>
        <v>Payment to American Express</v>
      </c>
    </row>
    <row r="10082" spans="1:15" hidden="1">
      <c r="A10082">
        <v>202309</v>
      </c>
      <c r="B10082" s="6">
        <v>45190</v>
      </c>
      <c r="C10082" t="s">
        <v>4172</v>
      </c>
      <c r="D10082" t="s">
        <v>4904</v>
      </c>
      <c r="E10082">
        <v>11</v>
      </c>
      <c r="F10082" s="2" t="str">
        <f>IF(Table2[[#This Row],[Manual Cat Value]]="",VLOOKUP(Table2[[#This Row],[Description]],'Actuals Lookup'!D:F,3,0),Table2[[#This Row],[Manual Cat Value]])</f>
        <v>Exp - House Maint</v>
      </c>
      <c r="H10082" s="8" t="s">
        <v>1</v>
      </c>
      <c r="I10082" s="8"/>
      <c r="O10082" t="str">
        <f>LEFT(Table2[[#This Row],[Description]],75)</f>
        <v>BONFES PLUMBING HEATING AXX6633 MN REF #XX3987S66LD87X</v>
      </c>
    </row>
    <row r="10083" spans="1:15" hidden="1">
      <c r="A10083">
        <v>202309</v>
      </c>
      <c r="B10083" s="6">
        <v>45190</v>
      </c>
      <c r="C10083" t="s">
        <v>4176</v>
      </c>
      <c r="D10083" t="s">
        <v>4905</v>
      </c>
      <c r="E10083">
        <v>13.61</v>
      </c>
      <c r="F10083" s="2" t="str">
        <f>IF(Table2[[#This Row],[Manual Cat Value]]="",VLOOKUP(Table2[[#This Row],[Description]],'Actuals Lookup'!D:F,3,0),Table2[[#This Row],[Manual Cat Value]])</f>
        <v>Exp - Restaurants</v>
      </c>
      <c r="H10083" s="8" t="s">
        <v>25</v>
      </c>
      <c r="I10083" s="8"/>
      <c r="O10083" t="str">
        <f>LEFT(Table2[[#This Row],[Description]],75)</f>
        <v>Gallagher's Steakhouse Inc</v>
      </c>
    </row>
    <row r="10084" spans="1:15" hidden="1">
      <c r="A10084">
        <v>202309</v>
      </c>
      <c r="B10084" s="6">
        <v>45190</v>
      </c>
      <c r="C10084" t="s">
        <v>4006</v>
      </c>
      <c r="D10084" t="s">
        <v>4906</v>
      </c>
      <c r="E10084">
        <v>75.239999999999995</v>
      </c>
      <c r="F10084" s="2" t="str">
        <f>IF(Table2[[#This Row],[Manual Cat Value]]="",VLOOKUP(Table2[[#This Row],[Description]],'Actuals Lookup'!D:F,3,0),Table2[[#This Row],[Manual Cat Value]])</f>
        <v>Exp - Misc</v>
      </c>
      <c r="G10084" t="s">
        <v>9</v>
      </c>
      <c r="H10084" s="8" t="s">
        <v>46</v>
      </c>
      <c r="I10084" s="8"/>
      <c r="O10084" t="str">
        <f>LEFT(Table2[[#This Row],[Description]],75)</f>
        <v>Interest Charge On Purchases</v>
      </c>
    </row>
    <row r="10085" spans="1:15" hidden="1">
      <c r="A10085">
        <v>202309</v>
      </c>
      <c r="B10085" s="6">
        <v>45190</v>
      </c>
      <c r="C10085" t="s">
        <v>4188</v>
      </c>
      <c r="D10085" t="s">
        <v>4907</v>
      </c>
      <c r="E10085">
        <v>17.690000000000001</v>
      </c>
      <c r="F10085" s="2" t="str">
        <f>IF(Table2[[#This Row],[Manual Cat Value]]="",VLOOKUP(Table2[[#This Row],[Description]],'Actuals Lookup'!D:F,3,0),Table2[[#This Row],[Manual Cat Value]])</f>
        <v>Delete</v>
      </c>
      <c r="H10085" s="8" t="s">
        <v>9</v>
      </c>
      <c r="I10085" s="8"/>
      <c r="O10085" t="str">
        <f>LEFT(Table2[[#This Row],[Description]],75)</f>
        <v>NUA ASADOR CORK IE REF #XX6988SRS5G50J</v>
      </c>
    </row>
    <row r="10086" spans="1:15" hidden="1">
      <c r="A10086">
        <v>202309</v>
      </c>
      <c r="B10086" s="6">
        <v>45190</v>
      </c>
      <c r="C10086" t="s">
        <v>4178</v>
      </c>
      <c r="D10086" t="s">
        <v>4908</v>
      </c>
      <c r="E10086">
        <v>13.72</v>
      </c>
      <c r="F10086" s="2" t="str">
        <f>IF(Table2[[#This Row],[Manual Cat Value]]="",VLOOKUP(Table2[[#This Row],[Description]],'Actuals Lookup'!D:F,3,0),Table2[[#This Row],[Manual Cat Value]])</f>
        <v>Delete</v>
      </c>
      <c r="H10086" s="8" t="s">
        <v>9</v>
      </c>
      <c r="I10086" s="8"/>
      <c r="O10086" t="str">
        <f>LEFT(Table2[[#This Row],[Description]],75)</f>
        <v>SON OF A BUN CORK IE REF #XX6687HH7YWT9M</v>
      </c>
    </row>
    <row r="10087" spans="1:15" hidden="1">
      <c r="A10087">
        <v>202309</v>
      </c>
      <c r="B10087" s="6">
        <v>45190</v>
      </c>
      <c r="C10087" t="s">
        <v>4174</v>
      </c>
      <c r="D10087" t="s">
        <v>4909</v>
      </c>
      <c r="E10087">
        <v>10.61</v>
      </c>
      <c r="F10087" s="2" t="str">
        <f>IF(Table2[[#This Row],[Manual Cat Value]]="",VLOOKUP(Table2[[#This Row],[Description]],'Actuals Lookup'!D:F,3,0),Table2[[#This Row],[Manual Cat Value]])</f>
        <v>Exp - Groceries</v>
      </c>
      <c r="H10087" s="8" t="s">
        <v>27</v>
      </c>
      <c r="I10087" s="8"/>
      <c r="O10087" t="str">
        <f>LEFT(Table2[[#This Row],[Description]],75)</f>
        <v>UNITY SHOP CORK IE REF #XX8802EZ7KE7</v>
      </c>
    </row>
    <row r="10088" spans="1:15" hidden="1">
      <c r="A10088">
        <v>202309</v>
      </c>
      <c r="B10088" s="6">
        <v>45190</v>
      </c>
      <c r="C10088" t="s">
        <v>4180</v>
      </c>
      <c r="D10088" t="s">
        <v>4910</v>
      </c>
      <c r="E10088">
        <v>21.44</v>
      </c>
      <c r="F10088" s="2" t="str">
        <f>IF(Table2[[#This Row],[Manual Cat Value]]="",VLOOKUP(Table2[[#This Row],[Description]],'Actuals Lookup'!D:F,3,0),Table2[[#This Row],[Manual Cat Value]])</f>
        <v>Exp - Groceries</v>
      </c>
      <c r="H10088" s="8" t="s">
        <v>27</v>
      </c>
      <c r="I10088" s="8"/>
      <c r="O10088" t="str">
        <f>LEFT(Table2[[#This Row],[Description]],75)</f>
        <v>UNITY SHOP CORK IE REF #XX8802EZ7KEF</v>
      </c>
    </row>
    <row r="10089" spans="1:15" hidden="1">
      <c r="A10089">
        <v>202309</v>
      </c>
      <c r="B10089" s="6">
        <v>45190</v>
      </c>
      <c r="C10089" t="s">
        <v>4406</v>
      </c>
      <c r="D10089" t="s">
        <v>4911</v>
      </c>
      <c r="E10089">
        <v>85.35</v>
      </c>
      <c r="F10089" s="2" t="str">
        <f>IF(Table2[[#This Row],[Manual Cat Value]]="",VLOOKUP(Table2[[#This Row],[Description]],'Actuals Lookup'!D:F,3,0),Table2[[#This Row],[Manual Cat Value]])</f>
        <v>Exp - Utilities</v>
      </c>
      <c r="H10089" s="8" t="s">
        <v>6</v>
      </c>
      <c r="I10089" s="8"/>
      <c r="O10089" t="str">
        <f>LEFT(Table2[[#This Row],[Description]],75)</f>
        <v>Withdrawal ACH CITY OF CHANHASS TYPE: UTIL BILL ID: XX5331 CO: CITY OF CHAN</v>
      </c>
    </row>
    <row r="10090" spans="1:15" hidden="1">
      <c r="A10090">
        <v>202309</v>
      </c>
      <c r="B10090" s="6">
        <v>45191</v>
      </c>
      <c r="C10090" t="s">
        <v>4006</v>
      </c>
      <c r="D10090" t="s">
        <v>4540</v>
      </c>
      <c r="E10090">
        <v>63</v>
      </c>
      <c r="F10090" s="2" t="str">
        <f>IF(Table2[[#This Row],[Manual Cat Value]]="",VLOOKUP(Table2[[#This Row],[Description]],'Actuals Lookup'!D:F,3,0),Table2[[#This Row],[Manual Cat Value]])</f>
        <v>Restaurants</v>
      </c>
      <c r="G10090" t="s">
        <v>26</v>
      </c>
      <c r="I10090" s="8"/>
      <c r="O10090" t="str">
        <f>LEFT(Table2[[#This Row],[Description]],75)</f>
        <v>Five Star Food Mart</v>
      </c>
    </row>
    <row r="10091" spans="1:15" hidden="1">
      <c r="A10091">
        <v>202309</v>
      </c>
      <c r="B10091" s="6">
        <v>45191</v>
      </c>
      <c r="C10091" t="s">
        <v>4186</v>
      </c>
      <c r="D10091" t="s">
        <v>4912</v>
      </c>
      <c r="E10091">
        <v>24.72</v>
      </c>
      <c r="F10091" s="2" t="str">
        <f>IF(Table2[[#This Row],[Manual Cat Value]]="",VLOOKUP(Table2[[#This Row],[Description]],'Actuals Lookup'!D:F,3,0),Table2[[#This Row],[Manual Cat Value]])</f>
        <v>Exp - Day Care</v>
      </c>
      <c r="H10091" s="8" t="s">
        <v>19</v>
      </c>
      <c r="I10091" s="8"/>
      <c r="O10091" t="str">
        <f>LEFT(Table2[[#This Row],[Description]],75)</f>
        <v>MCW 1602-MINNETONKA XX8113 MN REF #XX0588VAMR9214</v>
      </c>
    </row>
    <row r="10092" spans="1:15" hidden="1">
      <c r="A10092">
        <v>202309</v>
      </c>
      <c r="B10092" s="6">
        <v>45191</v>
      </c>
      <c r="C10092" t="s">
        <v>4006</v>
      </c>
      <c r="D10092" t="s">
        <v>1356</v>
      </c>
      <c r="E10092">
        <v>112.94</v>
      </c>
      <c r="F10092" s="2" t="str">
        <f>IF(Table2[[#This Row],[Manual Cat Value]]="",VLOOKUP(Table2[[#This Row],[Description]],'Actuals Lookup'!D:F,3,0),Table2[[#This Row],[Manual Cat Value]])</f>
        <v>Exp - Restaurants</v>
      </c>
      <c r="G10092" t="s">
        <v>26</v>
      </c>
      <c r="H10092" s="8" t="s">
        <v>25</v>
      </c>
      <c r="I10092" s="8"/>
      <c r="O10092" t="str">
        <f>LEFT(Table2[[#This Row],[Description]],75)</f>
        <v>North Coop</v>
      </c>
    </row>
    <row r="10093" spans="1:15" hidden="1">
      <c r="A10093">
        <v>202309</v>
      </c>
      <c r="B10093" s="6">
        <v>45191</v>
      </c>
      <c r="C10093" t="s">
        <v>4192</v>
      </c>
      <c r="D10093" t="s">
        <v>1773</v>
      </c>
      <c r="E10093">
        <v>3.76</v>
      </c>
      <c r="F10093" s="2" t="str">
        <f>IF(Table2[[#This Row],[Manual Cat Value]]="",VLOOKUP(Table2[[#This Row],[Description]],'Actuals Lookup'!D:F,3,0),Table2[[#This Row],[Manual Cat Value]])</f>
        <v>Exp - Restaurants</v>
      </c>
      <c r="H10093" s="8" t="s">
        <v>25</v>
      </c>
      <c r="I10093" s="8"/>
      <c r="O10093" t="str">
        <f>LEFT(Table2[[#This Row],[Description]],75)</f>
        <v>Starbucks</v>
      </c>
    </row>
    <row r="10094" spans="1:15" hidden="1">
      <c r="A10094">
        <v>202309</v>
      </c>
      <c r="B10094" s="6">
        <v>45191</v>
      </c>
      <c r="C10094" t="s">
        <v>4194</v>
      </c>
      <c r="D10094" t="s">
        <v>4913</v>
      </c>
      <c r="E10094">
        <v>25.61</v>
      </c>
      <c r="F10094" s="2" t="str">
        <f>IF(Table2[[#This Row],[Manual Cat Value]]="",VLOOKUP(Table2[[#This Row],[Description]],'Actuals Lookup'!D:F,3,0),Table2[[#This Row],[Manual Cat Value]])</f>
        <v>Exp - Restaurants</v>
      </c>
      <c r="H10094" s="8" t="s">
        <v>25</v>
      </c>
      <c r="I10094" s="8"/>
      <c r="O10094" t="str">
        <f>LEFT(Table2[[#This Row],[Description]],75)</f>
        <v>THOMPSONS CORK IE REF #XX6989SRS50TLT</v>
      </c>
    </row>
    <row r="10095" spans="1:15" hidden="1">
      <c r="A10095">
        <v>202309</v>
      </c>
      <c r="B10095" s="6">
        <v>45191</v>
      </c>
      <c r="C10095" t="s">
        <v>4190</v>
      </c>
      <c r="D10095" t="s">
        <v>4914</v>
      </c>
      <c r="E10095">
        <v>24.54</v>
      </c>
      <c r="F10095" s="2" t="str">
        <f>IF(Table2[[#This Row],[Manual Cat Value]]="",VLOOKUP(Table2[[#This Row],[Description]],'Actuals Lookup'!D:F,3,0),Table2[[#This Row],[Manual Cat Value]])</f>
        <v>Delete</v>
      </c>
      <c r="H10095" s="8" t="s">
        <v>9</v>
      </c>
      <c r="I10095" s="8"/>
      <c r="O10095" t="str">
        <f>LEFT(Table2[[#This Row],[Description]],75)</f>
        <v>THOMPSONS CORK IE REF #XX6989SRS51NG6</v>
      </c>
    </row>
    <row r="10096" spans="1:15" hidden="1">
      <c r="A10096">
        <v>202309</v>
      </c>
      <c r="B10096" s="6">
        <v>45191</v>
      </c>
      <c r="C10096" t="s">
        <v>4413</v>
      </c>
      <c r="D10096" t="s">
        <v>1958</v>
      </c>
      <c r="E10096">
        <v>125</v>
      </c>
      <c r="F10096" s="2" t="str">
        <f>IF(Table2[[#This Row],[Manual Cat Value]]="",VLOOKUP(Table2[[#This Row],[Description]],'Actuals Lookup'!D:F,3,0),Table2[[#This Row],[Manual Cat Value]])</f>
        <v>Exp - Shopping</v>
      </c>
      <c r="H10096" s="8" t="s">
        <v>36</v>
      </c>
      <c r="I10096" s="8"/>
      <c r="O10096" t="str">
        <f>LEFT(Table2[[#This Row],[Description]],75)</f>
        <v>Transfer to Venmo</v>
      </c>
    </row>
    <row r="10097" spans="1:15" hidden="1">
      <c r="A10097">
        <v>202309</v>
      </c>
      <c r="B10097" s="6">
        <v>45191</v>
      </c>
      <c r="C10097" t="s">
        <v>4006</v>
      </c>
      <c r="D10097" t="s">
        <v>2149</v>
      </c>
      <c r="E10097">
        <v>13.08</v>
      </c>
      <c r="F10097" s="2" t="str">
        <f>IF(Table2[[#This Row],[Manual Cat Value]]="",VLOOKUP(Table2[[#This Row],[Description]],'Actuals Lookup'!D:F,3,0),Table2[[#This Row],[Manual Cat Value]])</f>
        <v>Restaurants</v>
      </c>
      <c r="G10097" t="s">
        <v>26</v>
      </c>
      <c r="I10097" s="8"/>
      <c r="O10097" t="str">
        <f>LEFT(Table2[[#This Row],[Description]],75)</f>
        <v>Wendy's</v>
      </c>
    </row>
    <row r="10098" spans="1:15" hidden="1">
      <c r="A10098">
        <v>202309</v>
      </c>
      <c r="B10098" s="6">
        <v>45192</v>
      </c>
      <c r="C10098" t="s">
        <v>4006</v>
      </c>
      <c r="D10098" t="s">
        <v>161</v>
      </c>
      <c r="E10098">
        <v>145.5</v>
      </c>
      <c r="F10098" s="2" t="str">
        <f>IF(Table2[[#This Row],[Manual Cat Value]]="",VLOOKUP(Table2[[#This Row],[Description]],'Actuals Lookup'!D:F,3,0),Table2[[#This Row],[Manual Cat Value]])</f>
        <v>Shopping</v>
      </c>
      <c r="G10098" t="s">
        <v>21</v>
      </c>
      <c r="I10098" s="8"/>
      <c r="O10098" t="str">
        <f>LEFT(Table2[[#This Row],[Description]],75)</f>
        <v>Anthropologie</v>
      </c>
    </row>
    <row r="10099" spans="1:15" hidden="1">
      <c r="A10099">
        <v>202309</v>
      </c>
      <c r="B10099" s="6">
        <v>45192</v>
      </c>
      <c r="C10099" t="s">
        <v>4006</v>
      </c>
      <c r="D10099" t="s">
        <v>4915</v>
      </c>
      <c r="E10099">
        <v>59.43</v>
      </c>
      <c r="F10099" s="2" t="str">
        <f>IF(Table2[[#This Row],[Manual Cat Value]]="",VLOOKUP(Table2[[#This Row],[Description]],'Actuals Lookup'!D:F,3,0),Table2[[#This Row],[Manual Cat Value]])</f>
        <v>Restaurants</v>
      </c>
      <c r="G10099" t="s">
        <v>26</v>
      </c>
      <c r="I10099" s="8"/>
      <c r="O10099" t="str">
        <f>LEFT(Table2[[#This Row],[Description]],75)</f>
        <v>Aplpay Tst* Boludo 0minneapolis Mn</v>
      </c>
    </row>
    <row r="10100" spans="1:15" hidden="1">
      <c r="A10100">
        <v>202309</v>
      </c>
      <c r="B10100" s="6">
        <v>45192</v>
      </c>
      <c r="C10100" t="s">
        <v>4006</v>
      </c>
      <c r="D10100" t="s">
        <v>4916</v>
      </c>
      <c r="E10100">
        <v>2.16</v>
      </c>
      <c r="F10100" s="2" t="str">
        <f>IF(Table2[[#This Row],[Manual Cat Value]]="",VLOOKUP(Table2[[#This Row],[Description]],'Actuals Lookup'!D:F,3,0),Table2[[#This Row],[Manual Cat Value]])</f>
        <v>Restaurants</v>
      </c>
      <c r="G10100" t="s">
        <v>26</v>
      </c>
      <c r="I10100" s="8"/>
      <c r="O10100" t="str">
        <f>LEFT(Table2[[#This Row],[Description]],75)</f>
        <v>Excelsior Brewing Coexcelsior Mn</v>
      </c>
    </row>
    <row r="10101" spans="1:15" hidden="1">
      <c r="A10101">
        <v>202309</v>
      </c>
      <c r="B10101" s="6">
        <v>45192</v>
      </c>
      <c r="C10101" t="s">
        <v>4006</v>
      </c>
      <c r="D10101" t="s">
        <v>4917</v>
      </c>
      <c r="E10101">
        <v>161.91</v>
      </c>
      <c r="F10101" s="2" t="str">
        <f>IF(Table2[[#This Row],[Manual Cat Value]]="",VLOOKUP(Table2[[#This Row],[Description]],'Actuals Lookup'!D:F,3,0),Table2[[#This Row],[Manual Cat Value]])</f>
        <v>Groceries</v>
      </c>
      <c r="G10101" t="s">
        <v>28</v>
      </c>
      <c r="I10101" s="8"/>
      <c r="O10101" t="str">
        <f>LEFT(Table2[[#This Row],[Description]],75)</f>
        <v>Hazelwood Food And Dexcelsior Mn</v>
      </c>
    </row>
    <row r="10102" spans="1:15" hidden="1">
      <c r="A10102">
        <v>202309</v>
      </c>
      <c r="B10102" s="6">
        <v>45192</v>
      </c>
      <c r="C10102" t="s">
        <v>4006</v>
      </c>
      <c r="D10102" t="s">
        <v>4918</v>
      </c>
      <c r="E10102">
        <v>130.05000000000001</v>
      </c>
      <c r="F10102" s="2" t="str">
        <f>IF(Table2[[#This Row],[Manual Cat Value]]="",VLOOKUP(Table2[[#This Row],[Description]],'Actuals Lookup'!D:F,3,0),Table2[[#This Row],[Manual Cat Value]])</f>
        <v>Exp - Shopping</v>
      </c>
      <c r="G10102" t="s">
        <v>21</v>
      </c>
      <c r="H10102" s="8" t="s">
        <v>36</v>
      </c>
      <c r="I10102" s="8"/>
      <c r="O10102" t="str">
        <f>LEFT(Table2[[#This Row],[Description]],75)</f>
        <v>Sp Normal Brand Cor Saint Louis Mo</v>
      </c>
    </row>
    <row r="10103" spans="1:15" hidden="1">
      <c r="A10103">
        <v>202309</v>
      </c>
      <c r="B10103" s="6">
        <v>45192</v>
      </c>
      <c r="C10103" t="s">
        <v>4006</v>
      </c>
      <c r="D10103" t="s">
        <v>4919</v>
      </c>
      <c r="E10103">
        <v>8.32</v>
      </c>
      <c r="F10103" s="2" t="str">
        <f>IF(Table2[[#This Row],[Manual Cat Value]]="",VLOOKUP(Table2[[#This Row],[Description]],'Actuals Lookup'!D:F,3,0),Table2[[#This Row],[Manual Cat Value]])</f>
        <v>Restaurants</v>
      </c>
      <c r="G10103" t="s">
        <v>26</v>
      </c>
      <c r="I10103" s="8"/>
      <c r="O10103" t="str">
        <f>LEFT(Table2[[#This Row],[Description]],75)</f>
        <v>Tst* Boludo 0xxx6904minneapolis Mn</v>
      </c>
    </row>
    <row r="10104" spans="1:15" hidden="1">
      <c r="A10104">
        <v>202309</v>
      </c>
      <c r="B10104" s="6">
        <v>45192</v>
      </c>
      <c r="C10104" t="s">
        <v>4006</v>
      </c>
      <c r="D10104" t="s">
        <v>4920</v>
      </c>
      <c r="E10104">
        <v>704</v>
      </c>
      <c r="F10104" s="2" t="str">
        <f>IF(Table2[[#This Row],[Manual Cat Value]]="",VLOOKUP(Table2[[#This Row],[Description]],'Actuals Lookup'!D:F,3,0),Table2[[#This Row],[Manual Cat Value]])</f>
        <v>Exp - Shopping</v>
      </c>
      <c r="G10104" t="s">
        <v>21</v>
      </c>
      <c r="H10104" s="8" t="s">
        <v>36</v>
      </c>
      <c r="I10104" s="8"/>
      <c r="O10104" t="str">
        <f>LEFT(Table2[[#This Row],[Description]],75)</f>
        <v>Vuori Clothing</v>
      </c>
    </row>
    <row r="10105" spans="1:15" hidden="1">
      <c r="A10105">
        <v>202309</v>
      </c>
      <c r="B10105" s="6">
        <v>45193</v>
      </c>
      <c r="C10105" t="s">
        <v>4196</v>
      </c>
      <c r="D10105" t="s">
        <v>4921</v>
      </c>
      <c r="E10105">
        <v>178.89</v>
      </c>
      <c r="F10105" s="2" t="str">
        <f>IF(Table2[[#This Row],[Manual Cat Value]]="",VLOOKUP(Table2[[#This Row],[Description]],'Actuals Lookup'!D:F,3,0),Table2[[#This Row],[Manual Cat Value]])</f>
        <v>Exp - Shopping</v>
      </c>
      <c r="H10105" s="8" t="s">
        <v>36</v>
      </c>
      <c r="I10105" s="8"/>
      <c r="O10105" t="str">
        <f>LEFT(Table2[[#This Row],[Description]],75)</f>
        <v>HM.COM XX7467 NY REF #XX8906JRB2NH</v>
      </c>
    </row>
    <row r="10106" spans="1:15" hidden="1">
      <c r="A10106">
        <v>202309</v>
      </c>
      <c r="B10106" s="6">
        <v>45193</v>
      </c>
      <c r="C10106" t="s">
        <v>4006</v>
      </c>
      <c r="D10106" t="s">
        <v>945</v>
      </c>
      <c r="E10106">
        <v>41.27</v>
      </c>
      <c r="F10106" s="2" t="str">
        <f>IF(Table2[[#This Row],[Manual Cat Value]]="",VLOOKUP(Table2[[#This Row],[Description]],'Actuals Lookup'!D:F,3,0),Table2[[#This Row],[Manual Cat Value]])</f>
        <v>Exp - Transportation</v>
      </c>
      <c r="G10106" t="s">
        <v>28</v>
      </c>
      <c r="H10106" s="8" t="s">
        <v>22</v>
      </c>
      <c r="I10106" s="8"/>
      <c r="O10106" t="str">
        <f>LEFT(Table2[[#This Row],[Description]],75)</f>
        <v>Holiday Stationstores</v>
      </c>
    </row>
    <row r="10107" spans="1:15" hidden="1">
      <c r="A10107">
        <v>202309</v>
      </c>
      <c r="B10107" s="6">
        <v>45193</v>
      </c>
      <c r="C10107" t="s">
        <v>4006</v>
      </c>
      <c r="D10107" t="s">
        <v>945</v>
      </c>
      <c r="E10107">
        <v>22.56</v>
      </c>
      <c r="F10107" s="2" t="str">
        <f>IF(Table2[[#This Row],[Manual Cat Value]]="",VLOOKUP(Table2[[#This Row],[Description]],'Actuals Lookup'!D:F,3,0),Table2[[#This Row],[Manual Cat Value]])</f>
        <v>Exp - Transportation</v>
      </c>
      <c r="G10107" t="s">
        <v>28</v>
      </c>
      <c r="H10107" s="8" t="s">
        <v>22</v>
      </c>
      <c r="I10107" s="8"/>
      <c r="O10107" t="str">
        <f>LEFT(Table2[[#This Row],[Description]],75)</f>
        <v>Holiday Stationstores</v>
      </c>
    </row>
    <row r="10108" spans="1:15" hidden="1">
      <c r="A10108">
        <v>202309</v>
      </c>
      <c r="B10108" s="6">
        <v>45193</v>
      </c>
      <c r="C10108" t="s">
        <v>4216</v>
      </c>
      <c r="D10108" t="s">
        <v>4922</v>
      </c>
      <c r="E10108">
        <v>21.14</v>
      </c>
      <c r="F10108" s="2" t="str">
        <f>IF(Table2[[#This Row],[Manual Cat Value]]="",VLOOKUP(Table2[[#This Row],[Description]],'Actuals Lookup'!D:F,3,0),Table2[[#This Row],[Manual Cat Value]])</f>
        <v>Exp - Shopping</v>
      </c>
      <c r="H10108" s="8" t="s">
        <v>36</v>
      </c>
      <c r="I10108" s="8"/>
      <c r="O10108" t="str">
        <f>LEFT(Table2[[#This Row],[Description]],75)</f>
        <v>SumUp</v>
      </c>
    </row>
    <row r="10109" spans="1:15" hidden="1">
      <c r="A10109">
        <v>202309</v>
      </c>
      <c r="B10109" s="6">
        <v>45193</v>
      </c>
      <c r="C10109" t="s">
        <v>4207</v>
      </c>
      <c r="D10109" t="s">
        <v>4923</v>
      </c>
      <c r="E10109">
        <v>6.34</v>
      </c>
      <c r="F10109" s="2" t="str">
        <f>IF(Table2[[#This Row],[Manual Cat Value]]="",VLOOKUP(Table2[[#This Row],[Description]],'Actuals Lookup'!D:F,3,0),Table2[[#This Row],[Manual Cat Value]])</f>
        <v>Exp - Restaurants</v>
      </c>
      <c r="H10109" s="8" t="s">
        <v>25</v>
      </c>
      <c r="I10109" s="8"/>
      <c r="O10109" t="str">
        <f>LEFT(Table2[[#This Row],[Description]],75)</f>
        <v>The Shelbourne Bar Cork IE REF #XX7468A6J1DDM9W</v>
      </c>
    </row>
    <row r="10110" spans="1:15" hidden="1">
      <c r="A10110">
        <v>202309</v>
      </c>
      <c r="B10110" s="6">
        <v>45193</v>
      </c>
      <c r="C10110" t="s">
        <v>4225</v>
      </c>
      <c r="D10110" t="s">
        <v>4924</v>
      </c>
      <c r="E10110">
        <v>25.24</v>
      </c>
      <c r="F10110" s="2" t="str">
        <f>IF(Table2[[#This Row],[Manual Cat Value]]="",VLOOKUP(Table2[[#This Row],[Description]],'Actuals Lookup'!D:F,3,0),Table2[[#This Row],[Manual Cat Value]])</f>
        <v>Delete</v>
      </c>
      <c r="H10110" s="8" t="s">
        <v>9</v>
      </c>
      <c r="I10110" s="8"/>
      <c r="O10110" t="str">
        <f>LEFT(Table2[[#This Row],[Description]],75)</f>
        <v>The Shelbourne Bar Cork IE REF #XX7468A6J1JTXL6</v>
      </c>
    </row>
    <row r="10111" spans="1:15" hidden="1">
      <c r="A10111">
        <v>202309</v>
      </c>
      <c r="B10111" s="6">
        <v>45193</v>
      </c>
      <c r="C10111" t="s">
        <v>4221</v>
      </c>
      <c r="D10111" t="s">
        <v>4925</v>
      </c>
      <c r="E10111">
        <v>6.34</v>
      </c>
      <c r="F10111" s="2" t="str">
        <f>IF(Table2[[#This Row],[Manual Cat Value]]="",VLOOKUP(Table2[[#This Row],[Description]],'Actuals Lookup'!D:F,3,0),Table2[[#This Row],[Manual Cat Value]])</f>
        <v>Exp - Restaurants</v>
      </c>
      <c r="H10111" s="8" t="s">
        <v>25</v>
      </c>
      <c r="I10111" s="8"/>
      <c r="O10111" t="str">
        <f>LEFT(Table2[[#This Row],[Description]],75)</f>
        <v>The Shelbourne Bar Cork IE REF #XX7468A6J1M3VGK</v>
      </c>
    </row>
    <row r="10112" spans="1:15" hidden="1">
      <c r="A10112">
        <v>202309</v>
      </c>
      <c r="B10112" s="6">
        <v>45193</v>
      </c>
      <c r="C10112" t="s">
        <v>4237</v>
      </c>
      <c r="D10112" t="s">
        <v>4926</v>
      </c>
      <c r="E10112">
        <v>14.28</v>
      </c>
      <c r="F10112" s="2" t="str">
        <f>IF(Table2[[#This Row],[Manual Cat Value]]="",VLOOKUP(Table2[[#This Row],[Description]],'Actuals Lookup'!D:F,3,0),Table2[[#This Row],[Manual Cat Value]])</f>
        <v>Exp - Restaurants</v>
      </c>
      <c r="H10112" s="8" t="s">
        <v>25</v>
      </c>
      <c r="I10112" s="8"/>
      <c r="O10112" t="str">
        <f>LEFT(Table2[[#This Row],[Description]],75)</f>
        <v>The Shelbourne Bar Cork IE REF #XX7468A6J269BNF</v>
      </c>
    </row>
    <row r="10113" spans="1:15" hidden="1">
      <c r="A10113">
        <v>202309</v>
      </c>
      <c r="B10113" s="6">
        <v>45193</v>
      </c>
      <c r="C10113" t="s">
        <v>4227</v>
      </c>
      <c r="D10113" t="s">
        <v>4927</v>
      </c>
      <c r="E10113">
        <v>16.12</v>
      </c>
      <c r="F10113" s="2" t="str">
        <f>IF(Table2[[#This Row],[Manual Cat Value]]="",VLOOKUP(Table2[[#This Row],[Description]],'Actuals Lookup'!D:F,3,0),Table2[[#This Row],[Manual Cat Value]])</f>
        <v>Exp - Restaurants</v>
      </c>
      <c r="H10113" s="8" t="s">
        <v>25</v>
      </c>
      <c r="I10113" s="8"/>
      <c r="O10113" t="str">
        <f>LEFT(Table2[[#This Row],[Description]],75)</f>
        <v>The Shelbourne Bar Cork IE REF #XX7468A6J2771W2</v>
      </c>
    </row>
    <row r="10114" spans="1:15" hidden="1">
      <c r="A10114">
        <v>202309</v>
      </c>
      <c r="B10114" s="6">
        <v>45193</v>
      </c>
      <c r="C10114" t="s">
        <v>4223</v>
      </c>
      <c r="D10114" t="s">
        <v>4928</v>
      </c>
      <c r="E10114">
        <v>16.12</v>
      </c>
      <c r="F10114" s="2" t="str">
        <f>IF(Table2[[#This Row],[Manual Cat Value]]="",VLOOKUP(Table2[[#This Row],[Description]],'Actuals Lookup'!D:F,3,0),Table2[[#This Row],[Manual Cat Value]])</f>
        <v>Exp - Restaurants</v>
      </c>
      <c r="H10114" s="8" t="s">
        <v>25</v>
      </c>
      <c r="I10114" s="8"/>
      <c r="O10114" t="str">
        <f>LEFT(Table2[[#This Row],[Description]],75)</f>
        <v>The Shelbourne Bar Cork IE REF #XX7468A6J281BL0</v>
      </c>
    </row>
    <row r="10115" spans="1:15" hidden="1">
      <c r="A10115">
        <v>202309</v>
      </c>
      <c r="B10115" s="6">
        <v>45193</v>
      </c>
      <c r="C10115" t="s">
        <v>4229</v>
      </c>
      <c r="D10115" t="s">
        <v>4929</v>
      </c>
      <c r="E10115">
        <v>5.66</v>
      </c>
      <c r="F10115" s="2" t="str">
        <f>IF(Table2[[#This Row],[Manual Cat Value]]="",VLOOKUP(Table2[[#This Row],[Description]],'Actuals Lookup'!D:F,3,0),Table2[[#This Row],[Manual Cat Value]])</f>
        <v>Exp - Restaurants</v>
      </c>
      <c r="H10115" s="8" t="s">
        <v>25</v>
      </c>
      <c r="I10115" s="8"/>
      <c r="O10115" t="str">
        <f>LEFT(Table2[[#This Row],[Description]],75)</f>
        <v>WH Smith Cork Airport Cork IE REF #XX9808A6VK43V2N</v>
      </c>
    </row>
    <row r="10116" spans="1:15" hidden="1">
      <c r="A10116">
        <v>202309</v>
      </c>
      <c r="B10116" s="6">
        <v>45194</v>
      </c>
      <c r="C10116" t="s">
        <v>4412</v>
      </c>
      <c r="D10116" t="s">
        <v>4404</v>
      </c>
      <c r="E10116">
        <v>500</v>
      </c>
      <c r="F10116" s="2" t="str">
        <f>IF(Table2[[#This Row],[Manual Cat Value]]="",VLOOKUP(Table2[[#This Row],[Description]],'Actuals Lookup'!D:F,3,0),Table2[[#This Row],[Manual Cat Value]])</f>
        <v>Sav - Savings</v>
      </c>
      <c r="H10116" s="8" t="s">
        <v>58</v>
      </c>
      <c r="I10116" s="8"/>
      <c r="O10116" t="str">
        <f>LEFT(Table2[[#This Row],[Description]],75)</f>
        <v>Transfer to Discover Bank</v>
      </c>
    </row>
    <row r="10117" spans="1:15" hidden="1">
      <c r="A10117">
        <v>202309</v>
      </c>
      <c r="B10117" s="6">
        <v>45194</v>
      </c>
      <c r="C10117" t="s">
        <v>4414</v>
      </c>
      <c r="D10117" t="s">
        <v>1958</v>
      </c>
      <c r="E10117">
        <v>144</v>
      </c>
      <c r="F10117" s="2" t="str">
        <f>IF(Table2[[#This Row],[Manual Cat Value]]="",VLOOKUP(Table2[[#This Row],[Description]],'Actuals Lookup'!D:F,3,0),Table2[[#This Row],[Manual Cat Value]])</f>
        <v>Exp - Shopping</v>
      </c>
      <c r="H10117" s="8" t="s">
        <v>36</v>
      </c>
      <c r="I10117" s="8"/>
      <c r="O10117" t="str">
        <f>LEFT(Table2[[#This Row],[Description]],75)</f>
        <v>Transfer to Venmo</v>
      </c>
    </row>
    <row r="10118" spans="1:15" hidden="1">
      <c r="A10118">
        <v>202309</v>
      </c>
      <c r="B10118" s="6">
        <v>45194</v>
      </c>
      <c r="C10118" t="s">
        <v>4420</v>
      </c>
      <c r="D10118" t="s">
        <v>4293</v>
      </c>
      <c r="E10118">
        <v>819.07</v>
      </c>
      <c r="F10118" s="2" t="str">
        <f>IF(Table2[[#This Row],[Manual Cat Value]]="",VLOOKUP(Table2[[#This Row],[Description]],'Actuals Lookup'!D:F,3,0),Table2[[#This Row],[Manual Cat Value]])</f>
        <v>Delete</v>
      </c>
      <c r="H10118" s="8" t="s">
        <v>9</v>
      </c>
      <c r="I10118" s="8"/>
      <c r="O10118" t="str">
        <f>LEFT(Table2[[#This Row],[Description]],75)</f>
        <v>Withdrawal Home Banking Pmt to card XX5913</v>
      </c>
    </row>
    <row r="10119" spans="1:15" hidden="1">
      <c r="A10119">
        <v>202309</v>
      </c>
      <c r="B10119" s="6">
        <v>45194</v>
      </c>
      <c r="C10119" t="s">
        <v>4218</v>
      </c>
      <c r="D10119" t="s">
        <v>673</v>
      </c>
      <c r="E10119">
        <v>-819.07</v>
      </c>
      <c r="F10119" s="2" t="str">
        <f>IF(Table2[[#This Row],[Manual Cat Value]]="",VLOOKUP(Table2[[#This Row],[Description]],'Actuals Lookup'!D:F,3,0),Table2[[#This Row],[Manual Cat Value]])</f>
        <v>Delete</v>
      </c>
      <c r="H10119" s="8" t="s">
        <v>9</v>
      </c>
      <c r="I10119" s="8"/>
      <c r="O10119" t="str">
        <f>LEFT(Table2[[#This Row],[Description]],75)</f>
        <v>Credit Card Payment Received</v>
      </c>
    </row>
    <row r="10120" spans="1:15" hidden="1">
      <c r="A10120">
        <v>202309</v>
      </c>
      <c r="B10120" s="6">
        <v>45194</v>
      </c>
      <c r="C10120" t="s">
        <v>4408</v>
      </c>
      <c r="D10120" t="s">
        <v>4415</v>
      </c>
      <c r="E10120">
        <v>588.4</v>
      </c>
      <c r="F10120" s="2" t="str">
        <f>IF(Table2[[#This Row],[Manual Cat Value]]="",VLOOKUP(Table2[[#This Row],[Description]],'Actuals Lookup'!D:F,3,0),Table2[[#This Row],[Manual Cat Value]])</f>
        <v>Delete</v>
      </c>
      <c r="H10120" s="8" t="s">
        <v>9</v>
      </c>
      <c r="I10120" s="8"/>
      <c r="O10120" t="str">
        <f>LEFT(Table2[[#This Row],[Description]],75)</f>
        <v>Payment to Jeffrey B</v>
      </c>
    </row>
    <row r="10121" spans="1:15" hidden="1">
      <c r="A10121">
        <v>202309</v>
      </c>
      <c r="B10121" s="6">
        <v>45195</v>
      </c>
      <c r="C10121" t="s">
        <v>4006</v>
      </c>
      <c r="D10121" t="s">
        <v>4930</v>
      </c>
      <c r="E10121">
        <v>195</v>
      </c>
      <c r="F10121" s="2" t="str">
        <f>IF(Table2[[#This Row],[Manual Cat Value]]="",VLOOKUP(Table2[[#This Row],[Description]],'Actuals Lookup'!D:F,3,0),Table2[[#This Row],[Manual Cat Value]])</f>
        <v>Exp - Shopping</v>
      </c>
      <c r="G10121" t="s">
        <v>35</v>
      </c>
      <c r="H10121" s="8" t="s">
        <v>36</v>
      </c>
      <c r="I10121" s="8"/>
      <c r="O10121" t="str">
        <f>LEFT(Table2[[#This Row],[Description]],75)</f>
        <v>Jaxen Grey - Ridgedaminnetonka Mn</v>
      </c>
    </row>
    <row r="10122" spans="1:15" hidden="1">
      <c r="A10122">
        <v>202309</v>
      </c>
      <c r="B10122" s="6">
        <v>45195</v>
      </c>
      <c r="C10122" t="s">
        <v>4006</v>
      </c>
      <c r="D10122" t="s">
        <v>4931</v>
      </c>
      <c r="E10122">
        <v>82.66</v>
      </c>
      <c r="F10122" s="2" t="str">
        <f>IF(Table2[[#This Row],[Manual Cat Value]]="",VLOOKUP(Table2[[#This Row],[Description]],'Actuals Lookup'!D:F,3,0),Table2[[#This Row],[Manual Cat Value]])</f>
        <v>Groceries</v>
      </c>
      <c r="G10122" t="s">
        <v>28</v>
      </c>
      <c r="I10122" s="8"/>
      <c r="O10122" t="str">
        <f>LEFT(Table2[[#This Row],[Description]],75)</f>
        <v>Mackenthun S Meats &amp;saint Bonifac Mn</v>
      </c>
    </row>
    <row r="10123" spans="1:15" hidden="1">
      <c r="A10123">
        <v>202309</v>
      </c>
      <c r="B10123" s="6">
        <v>45195</v>
      </c>
      <c r="C10123" t="s">
        <v>4026</v>
      </c>
      <c r="D10123" t="s">
        <v>4932</v>
      </c>
      <c r="E10123">
        <v>330</v>
      </c>
      <c r="F10123" s="2" t="str">
        <f>IF(Table2[[#This Row],[Manual Cat Value]]="",VLOOKUP(Table2[[#This Row],[Description]],'Actuals Lookup'!D:F,3,0),Table2[[#This Row],[Manual Cat Value]])</f>
        <v>Exp - Day Care</v>
      </c>
      <c r="H10123" s="8" t="s">
        <v>19</v>
      </c>
      <c r="I10123" s="8"/>
      <c r="O10123" t="str">
        <f>LEFT(Table2[[#This Row],[Description]],75)</f>
        <v>Withdrawal ACH MHCHILDCARELLC TYPE: DUES ID: XX8198 CO: MHCHILDCARELLC Entr</v>
      </c>
    </row>
    <row r="10124" spans="1:15" hidden="1">
      <c r="A10124">
        <v>202309</v>
      </c>
      <c r="B10124" s="6">
        <v>45196</v>
      </c>
      <c r="C10124" t="s">
        <v>3932</v>
      </c>
      <c r="D10124" t="s">
        <v>38</v>
      </c>
      <c r="E10124">
        <v>47.23</v>
      </c>
      <c r="F10124" s="2" t="str">
        <f>IF(Table2[[#This Row],[Manual Cat Value]]="",VLOOKUP(Table2[[#This Row],[Description]],'Actuals Lookup'!D:F,3,0),Table2[[#This Row],[Manual Cat Value]])</f>
        <v>Exp - Amazon</v>
      </c>
      <c r="G10124" t="s">
        <v>41</v>
      </c>
      <c r="H10124" s="8" t="s">
        <v>37</v>
      </c>
      <c r="I10124" s="8"/>
      <c r="O10124" t="str">
        <f>LEFT(Table2[[#This Row],[Description]],75)</f>
        <v>Amazon</v>
      </c>
    </row>
    <row r="10125" spans="1:15" hidden="1">
      <c r="A10125">
        <v>202309</v>
      </c>
      <c r="B10125" s="6">
        <v>45196</v>
      </c>
      <c r="C10125" t="s">
        <v>4006</v>
      </c>
      <c r="D10125" t="s">
        <v>4880</v>
      </c>
      <c r="E10125">
        <v>122.41</v>
      </c>
      <c r="F10125" s="2" t="str">
        <f>IF(Table2[[#This Row],[Manual Cat Value]]="",VLOOKUP(Table2[[#This Row],[Description]],'Actuals Lookup'!D:F,3,0),Table2[[#This Row],[Manual Cat Value]])</f>
        <v>Entertainment</v>
      </c>
      <c r="G10125" t="s">
        <v>40</v>
      </c>
      <c r="I10125" s="8"/>
      <c r="O10125" t="str">
        <f>LEFT(Table2[[#This Row],[Description]],75)</f>
        <v>Deer Run Golf Club</v>
      </c>
    </row>
    <row r="10126" spans="1:15" hidden="1">
      <c r="A10126">
        <v>202309</v>
      </c>
      <c r="B10126" s="6">
        <v>45196</v>
      </c>
      <c r="C10126" t="s">
        <v>4036</v>
      </c>
      <c r="D10126" t="s">
        <v>1958</v>
      </c>
      <c r="E10126">
        <v>85</v>
      </c>
      <c r="F10126" s="2" t="str">
        <f>IF(Table2[[#This Row],[Manual Cat Value]]="",VLOOKUP(Table2[[#This Row],[Description]],'Actuals Lookup'!D:F,3,0),Table2[[#This Row],[Manual Cat Value]])</f>
        <v>Exp - Shopping</v>
      </c>
      <c r="H10126" s="8" t="s">
        <v>36</v>
      </c>
      <c r="I10126" s="8"/>
      <c r="O10126" t="str">
        <f>LEFT(Table2[[#This Row],[Description]],75)</f>
        <v>Transfer to Venmo</v>
      </c>
    </row>
    <row r="10127" spans="1:15" hidden="1">
      <c r="A10127">
        <v>202309</v>
      </c>
      <c r="B10127" s="6">
        <v>45197</v>
      </c>
      <c r="C10127" t="s">
        <v>4006</v>
      </c>
      <c r="D10127" t="s">
        <v>4933</v>
      </c>
      <c r="E10127">
        <v>5.99</v>
      </c>
      <c r="F10127" s="2" t="str">
        <f>IF(Table2[[#This Row],[Manual Cat Value]]="",VLOOKUP(Table2[[#This Row],[Description]],'Actuals Lookup'!D:F,3,0),Table2[[#This Row],[Manual Cat Value]])</f>
        <v>Shopping</v>
      </c>
      <c r="G10127" t="s">
        <v>21</v>
      </c>
      <c r="I10127" s="8"/>
      <c r="O10127" t="str">
        <f>LEFT(Table2[[#This Row],[Description]],75)</f>
        <v>Aplpay Garrison Famigarrison Mn</v>
      </c>
    </row>
    <row r="10128" spans="1:15" hidden="1">
      <c r="A10128">
        <v>202309</v>
      </c>
      <c r="B10128" s="6">
        <v>45197</v>
      </c>
      <c r="C10128" t="s">
        <v>4062</v>
      </c>
      <c r="D10128" t="s">
        <v>404</v>
      </c>
      <c r="E10128">
        <v>-3594.81</v>
      </c>
      <c r="F10128" s="2" t="str">
        <f>IF(Table2[[#This Row],[Manual Cat Value]]="",VLOOKUP(Table2[[#This Row],[Description]],'Actuals Lookup'!D:F,3,0),Table2[[#This Row],[Manual Cat Value]])</f>
        <v>Inc - Britney</v>
      </c>
      <c r="H10128" s="8" t="s">
        <v>65</v>
      </c>
      <c r="I10128" s="8"/>
      <c r="O10128" t="str">
        <f>LEFT(Table2[[#This Row],[Description]],75)</f>
        <v>Cargill Inc Deposit</v>
      </c>
    </row>
    <row r="10129" spans="1:15" hidden="1">
      <c r="A10129">
        <v>202309</v>
      </c>
      <c r="B10129" s="6">
        <v>45197</v>
      </c>
      <c r="C10129" t="s">
        <v>4231</v>
      </c>
      <c r="D10129" t="s">
        <v>956</v>
      </c>
      <c r="E10129">
        <v>10.72</v>
      </c>
      <c r="F10129" s="2" t="str">
        <f>IF(Table2[[#This Row],[Manual Cat Value]]="",VLOOKUP(Table2[[#This Row],[Description]],'Actuals Lookup'!D:F,3,0),Table2[[#This Row],[Manual Cat Value]])</f>
        <v>Exp - Groceries</v>
      </c>
      <c r="H10129" s="8" t="s">
        <v>27</v>
      </c>
      <c r="I10129" s="8"/>
      <c r="O10129" t="str">
        <f>LEFT(Table2[[#This Row],[Description]],75)</f>
        <v>Hy-Vee</v>
      </c>
    </row>
    <row r="10130" spans="1:15" hidden="1">
      <c r="A10130">
        <v>202309</v>
      </c>
      <c r="B10130" s="6">
        <v>45197</v>
      </c>
      <c r="C10130" t="s">
        <v>4006</v>
      </c>
      <c r="D10130" t="s">
        <v>4934</v>
      </c>
      <c r="E10130">
        <v>50.7</v>
      </c>
      <c r="F10130" s="2" t="str">
        <f>IF(Table2[[#This Row],[Manual Cat Value]]="",VLOOKUP(Table2[[#This Row],[Description]],'Actuals Lookup'!D:F,3,0),Table2[[#This Row],[Manual Cat Value]])</f>
        <v>Restaurants</v>
      </c>
      <c r="G10130" t="s">
        <v>26</v>
      </c>
      <c r="I10130" s="8"/>
      <c r="O10130" t="str">
        <f>LEFT(Table2[[#This Row],[Description]],75)</f>
        <v>Lonesome Pine Restaudeerwood Mn</v>
      </c>
    </row>
    <row r="10131" spans="1:15" hidden="1">
      <c r="A10131">
        <v>202309</v>
      </c>
      <c r="B10131" s="6">
        <v>45197</v>
      </c>
      <c r="C10131" t="s">
        <v>4429</v>
      </c>
      <c r="D10131" t="s">
        <v>4343</v>
      </c>
      <c r="E10131">
        <v>-3342.79</v>
      </c>
      <c r="F10131" s="2" t="str">
        <f>IF(Table2[[#This Row],[Manual Cat Value]]="",VLOOKUP(Table2[[#This Row],[Description]],'Actuals Lookup'!D:F,3,0),Table2[[#This Row],[Manual Cat Value]])</f>
        <v>Inc - Jeff</v>
      </c>
      <c r="H10131" s="8" t="s">
        <v>63</v>
      </c>
      <c r="I10131" s="8"/>
      <c r="O10131" t="str">
        <f>LEFT(Table2[[#This Row],[Description]],75)</f>
        <v>Salary/Regular Income from TriNet</v>
      </c>
    </row>
    <row r="10132" spans="1:15" hidden="1">
      <c r="A10132">
        <v>202309</v>
      </c>
      <c r="B10132" s="6">
        <v>45197</v>
      </c>
      <c r="C10132" t="s">
        <v>4006</v>
      </c>
      <c r="D10132" t="s">
        <v>31</v>
      </c>
      <c r="E10132">
        <v>35.78</v>
      </c>
      <c r="F10132" s="2" t="str">
        <f>IF(Table2[[#This Row],[Manual Cat Value]]="",VLOOKUP(Table2[[#This Row],[Description]],'Actuals Lookup'!D:F,3,0),Table2[[#This Row],[Manual Cat Value]])</f>
        <v>Exp - Target</v>
      </c>
      <c r="G10132" t="s">
        <v>31</v>
      </c>
      <c r="H10132" s="8" t="s">
        <v>30</v>
      </c>
      <c r="I10132" s="8"/>
      <c r="O10132" t="str">
        <f>LEFT(Table2[[#This Row],[Description]],75)</f>
        <v>Target</v>
      </c>
    </row>
    <row r="10133" spans="1:15" hidden="1">
      <c r="A10133">
        <v>202309</v>
      </c>
      <c r="B10133" s="6">
        <v>45197</v>
      </c>
      <c r="C10133" t="s">
        <v>4044</v>
      </c>
      <c r="D10133" t="s">
        <v>1955</v>
      </c>
      <c r="E10133">
        <v>0.99</v>
      </c>
      <c r="F10133" s="2" t="str">
        <f>IF(Table2[[#This Row],[Manual Cat Value]]="",VLOOKUP(Table2[[#This Row],[Description]],'Actuals Lookup'!D:F,3,0),Table2[[#This Row],[Manual Cat Value]])</f>
        <v>Exp - Shopping</v>
      </c>
      <c r="H10133" s="8" t="s">
        <v>36</v>
      </c>
      <c r="I10133" s="8"/>
      <c r="O10133" t="str">
        <f>LEFT(Table2[[#This Row],[Description]],75)</f>
        <v>Transfer to PayPal</v>
      </c>
    </row>
    <row r="10134" spans="1:15" hidden="1">
      <c r="A10134">
        <v>202309</v>
      </c>
      <c r="B10134" s="6">
        <v>45198</v>
      </c>
      <c r="C10134" t="s">
        <v>4006</v>
      </c>
      <c r="D10134" t="s">
        <v>4935</v>
      </c>
      <c r="E10134">
        <v>14.95</v>
      </c>
      <c r="F10134" s="2" t="str">
        <f>IF(Table2[[#This Row],[Manual Cat Value]]="",VLOOKUP(Table2[[#This Row],[Description]],'Actuals Lookup'!D:F,3,0),Table2[[#This Row],[Manual Cat Value]])</f>
        <v>Exp - Restaurants</v>
      </c>
      <c r="G10134" t="s">
        <v>26</v>
      </c>
      <c r="H10134" s="8" t="s">
        <v>25</v>
      </c>
      <c r="I10134" s="8"/>
      <c r="O10134" t="str">
        <f>LEFT(Table2[[#This Row],[Description]],75)</f>
        <v>Burritos California</v>
      </c>
    </row>
    <row r="10135" spans="1:15" hidden="1">
      <c r="A10135">
        <v>202309</v>
      </c>
      <c r="B10135" s="6">
        <v>45198</v>
      </c>
      <c r="C10135" t="s">
        <v>4006</v>
      </c>
      <c r="D10135" t="s">
        <v>1083</v>
      </c>
      <c r="E10135">
        <v>107.21</v>
      </c>
      <c r="F10135" s="2" t="str">
        <f>IF(Table2[[#This Row],[Manual Cat Value]]="",VLOOKUP(Table2[[#This Row],[Description]],'Actuals Lookup'!D:F,3,0),Table2[[#This Row],[Manual Cat Value]])</f>
        <v>Transportation</v>
      </c>
      <c r="G10135" t="s">
        <v>23</v>
      </c>
      <c r="I10135" s="8"/>
      <c r="O10135" t="str">
        <f>LEFT(Table2[[#This Row],[Description]],75)</f>
        <v>Kwik Trip</v>
      </c>
    </row>
    <row r="10136" spans="1:15" hidden="1">
      <c r="A10136">
        <v>202309</v>
      </c>
      <c r="B10136" s="6">
        <v>45198</v>
      </c>
      <c r="C10136" t="s">
        <v>4233</v>
      </c>
      <c r="D10136" t="s">
        <v>1707</v>
      </c>
      <c r="E10136">
        <v>40.22</v>
      </c>
      <c r="F10136" s="2" t="str">
        <f>IF(Table2[[#This Row],[Manual Cat Value]]="",VLOOKUP(Table2[[#This Row],[Description]],'Actuals Lookup'!D:F,3,0),Table2[[#This Row],[Manual Cat Value]])</f>
        <v>Exp - Transportation</v>
      </c>
      <c r="H10136" s="8" t="s">
        <v>22</v>
      </c>
      <c r="I10136" s="8"/>
      <c r="O10136" t="str">
        <f>LEFT(Table2[[#This Row],[Description]],75)</f>
        <v>Speedway</v>
      </c>
    </row>
    <row r="10137" spans="1:15" hidden="1">
      <c r="A10137">
        <v>202309</v>
      </c>
      <c r="B10137" s="6">
        <v>45198</v>
      </c>
      <c r="C10137" t="s">
        <v>4006</v>
      </c>
      <c r="D10137" t="s">
        <v>4936</v>
      </c>
      <c r="E10137">
        <v>40.93</v>
      </c>
      <c r="F10137" s="2" t="str">
        <f>IF(Table2[[#This Row],[Manual Cat Value]]="",VLOOKUP(Table2[[#This Row],[Description]],'Actuals Lookup'!D:F,3,0),Table2[[#This Row],[Manual Cat Value]])</f>
        <v>Exp - Restaurants</v>
      </c>
      <c r="G10137" t="s">
        <v>26</v>
      </c>
      <c r="H10137" s="8" t="s">
        <v>25</v>
      </c>
      <c r="I10137" s="8"/>
      <c r="O10137" t="str">
        <f>LEFT(Table2[[#This Row],[Description]],75)</f>
        <v>The Deerstand</v>
      </c>
    </row>
    <row r="10138" spans="1:15" hidden="1">
      <c r="A10138">
        <v>202309</v>
      </c>
      <c r="B10138" s="6">
        <v>45198</v>
      </c>
      <c r="C10138" t="s">
        <v>4006</v>
      </c>
      <c r="D10138" t="s">
        <v>1849</v>
      </c>
      <c r="E10138">
        <v>122.41</v>
      </c>
      <c r="F10138" s="2" t="str">
        <f>IF(Table2[[#This Row],[Manual Cat Value]]="",VLOOKUP(Table2[[#This Row],[Description]],'Actuals Lookup'!D:F,3,0),Table2[[#This Row],[Manual Cat Value]])</f>
        <v>House Maintenance</v>
      </c>
      <c r="G10138" t="s">
        <v>2</v>
      </c>
      <c r="I10138" s="8"/>
      <c r="O10138" t="str">
        <f>LEFT(Table2[[#This Row],[Description]],75)</f>
        <v>The Home Depot</v>
      </c>
    </row>
    <row r="10139" spans="1:15" hidden="1">
      <c r="A10139">
        <v>202309</v>
      </c>
      <c r="B10139" s="6">
        <v>45199</v>
      </c>
      <c r="C10139" t="s">
        <v>4006</v>
      </c>
      <c r="D10139" t="s">
        <v>4937</v>
      </c>
      <c r="E10139">
        <v>55.82</v>
      </c>
      <c r="F10139" s="2" t="str">
        <f>IF(Table2[[#This Row],[Manual Cat Value]]="",VLOOKUP(Table2[[#This Row],[Description]],'Actuals Lookup'!D:F,3,0),Table2[[#This Row],[Manual Cat Value]])</f>
        <v>Restaurants</v>
      </c>
      <c r="G10139" t="s">
        <v>26</v>
      </c>
      <c r="I10139" s="8"/>
      <c r="O10139" t="str">
        <f>LEFT(Table2[[#This Row],[Description]],75)</f>
        <v>Aplpay Slice*luluspinew York City Ny</v>
      </c>
    </row>
    <row r="10140" spans="1:15" hidden="1">
      <c r="A10140">
        <v>202309</v>
      </c>
      <c r="B10140" s="6">
        <v>45199</v>
      </c>
      <c r="C10140" t="s">
        <v>4059</v>
      </c>
      <c r="D10140" t="s">
        <v>2896</v>
      </c>
      <c r="E10140">
        <v>-4</v>
      </c>
      <c r="F10140" s="2" t="str">
        <f>IF(Table2[[#This Row],[Manual Cat Value]]="",VLOOKUP(Table2[[#This Row],[Description]],'Actuals Lookup'!D:F,3,0),Table2[[#This Row],[Manual Cat Value]])</f>
        <v>Delete</v>
      </c>
      <c r="H10140" s="8" t="s">
        <v>9</v>
      </c>
      <c r="I10140" s="8"/>
      <c r="O10140" t="str">
        <f>LEFT(Table2[[#This Row],[Description]],75)</f>
        <v>Deposit ATM FEE REFUND</v>
      </c>
    </row>
    <row r="10141" spans="1:15" hidden="1">
      <c r="A10141">
        <v>202309</v>
      </c>
      <c r="B10141" s="6">
        <v>45199</v>
      </c>
      <c r="C10141" t="s">
        <v>2519</v>
      </c>
      <c r="D10141" t="s">
        <v>4938</v>
      </c>
      <c r="E10141">
        <v>-48.63</v>
      </c>
      <c r="F10141" s="2" t="str">
        <f>IF(Table2[[#This Row],[Manual Cat Value]]="",VLOOKUP(Table2[[#This Row],[Description]],'Actuals Lookup'!D:F,3,0),Table2[[#This Row],[Manual Cat Value]])</f>
        <v>Inc - Other</v>
      </c>
      <c r="H10141" s="8" t="s">
        <v>16</v>
      </c>
      <c r="I10141" s="8"/>
      <c r="O10141" t="str">
        <f>LEFT(Table2[[#This Row],[Description]],75)</f>
        <v>Deposit Dividend Split Rate Annual Percentage Yield Earned 1.54% from 09/01</v>
      </c>
    </row>
    <row r="10142" spans="1:15" hidden="1">
      <c r="A10142">
        <v>202309</v>
      </c>
      <c r="B10142" s="6">
        <v>45199</v>
      </c>
      <c r="C10142" t="s">
        <v>3938</v>
      </c>
      <c r="D10142" t="s">
        <v>945</v>
      </c>
      <c r="E10142">
        <v>2.25</v>
      </c>
      <c r="F10142" s="2" t="str">
        <f>IF(Table2[[#This Row],[Manual Cat Value]]="",VLOOKUP(Table2[[#This Row],[Description]],'Actuals Lookup'!D:F,3,0),Table2[[#This Row],[Manual Cat Value]])</f>
        <v>Exp - Transportation</v>
      </c>
      <c r="H10142" s="8" t="s">
        <v>22</v>
      </c>
      <c r="I10142" s="8"/>
      <c r="O10142" t="str">
        <f>LEFT(Table2[[#This Row],[Description]],75)</f>
        <v>Holiday Stationstores</v>
      </c>
    </row>
    <row r="10143" spans="1:15" hidden="1">
      <c r="A10143">
        <v>202309</v>
      </c>
      <c r="B10143" s="6">
        <v>45199</v>
      </c>
      <c r="C10143" t="s">
        <v>4006</v>
      </c>
      <c r="D10143" t="s">
        <v>945</v>
      </c>
      <c r="E10143">
        <v>9.66</v>
      </c>
      <c r="F10143" s="2" t="str">
        <f>IF(Table2[[#This Row],[Manual Cat Value]]="",VLOOKUP(Table2[[#This Row],[Description]],'Actuals Lookup'!D:F,3,0),Table2[[#This Row],[Manual Cat Value]])</f>
        <v>Exp - Transportation</v>
      </c>
      <c r="G10143" t="s">
        <v>28</v>
      </c>
      <c r="H10143" s="8" t="s">
        <v>22</v>
      </c>
      <c r="I10143" s="8"/>
      <c r="O10143" t="str">
        <f>LEFT(Table2[[#This Row],[Description]],75)</f>
        <v>Holiday Stationstores</v>
      </c>
    </row>
    <row r="10144" spans="1:15" hidden="1">
      <c r="A10144">
        <v>202309</v>
      </c>
      <c r="B10144" s="6">
        <v>45199</v>
      </c>
      <c r="C10144" t="s">
        <v>4235</v>
      </c>
      <c r="D10144" t="s">
        <v>4939</v>
      </c>
      <c r="E10144">
        <v>39.67</v>
      </c>
      <c r="F10144" s="2" t="str">
        <f>IF(Table2[[#This Row],[Manual Cat Value]]="",VLOOKUP(Table2[[#This Row],[Description]],'Actuals Lookup'!D:F,3,0),Table2[[#This Row],[Manual Cat Value]])</f>
        <v>Exp - Shopping</v>
      </c>
      <c r="H10144" s="8" t="s">
        <v>36</v>
      </c>
      <c r="I10144" s="8"/>
      <c r="O10144" t="str">
        <f>LEFT(Table2[[#This Row],[Description]],75)</f>
        <v>SQ *CUYUNA OUTFITTERS LLCrosby MN REF #XX2168G2X914VF1</v>
      </c>
    </row>
    <row r="10145" spans="1:15" hidden="1">
      <c r="A10145">
        <v>202310</v>
      </c>
      <c r="B10145" s="6">
        <v>45200</v>
      </c>
      <c r="C10145" t="s">
        <v>4006</v>
      </c>
      <c r="D10145" t="s">
        <v>684</v>
      </c>
      <c r="E10145">
        <v>95.34</v>
      </c>
      <c r="F10145" s="2" t="str">
        <f>IF(Table2[[#This Row],[Manual Cat Value]]="",VLOOKUP(Table2[[#This Row],[Description]],'Actuals Lookup'!D:F,3,0),Table2[[#This Row],[Manual Cat Value]])</f>
        <v>Groceries</v>
      </c>
      <c r="G10145" t="s">
        <v>28</v>
      </c>
      <c r="I10145" s="8"/>
      <c r="O10145" t="str">
        <f>LEFT(Table2[[#This Row],[Description]],75)</f>
        <v>Cub Foods</v>
      </c>
    </row>
    <row r="10146" spans="1:15" hidden="1">
      <c r="A10146">
        <v>202310</v>
      </c>
      <c r="B10146" s="6">
        <v>45200</v>
      </c>
      <c r="C10146" t="s">
        <v>3932</v>
      </c>
      <c r="D10146" t="s">
        <v>808</v>
      </c>
      <c r="E10146">
        <v>108</v>
      </c>
      <c r="F10146" s="2" t="str">
        <f>IF(Table2[[#This Row],[Manual Cat Value]]="",VLOOKUP(Table2[[#This Row],[Description]],'Actuals Lookup'!D:F,3,0),Table2[[#This Row],[Manual Cat Value]])</f>
        <v>Exp - Shopping</v>
      </c>
      <c r="G10146" t="s">
        <v>29</v>
      </c>
      <c r="H10146" s="8" t="s">
        <v>36</v>
      </c>
      <c r="I10146" s="8"/>
      <c r="O10146" t="str">
        <f>LEFT(Table2[[#This Row],[Description]],75)</f>
        <v>Elite Nails</v>
      </c>
    </row>
    <row r="10147" spans="1:15" hidden="1">
      <c r="A10147">
        <v>202310</v>
      </c>
      <c r="B10147" s="6">
        <v>45200</v>
      </c>
      <c r="C10147" t="s">
        <v>4006</v>
      </c>
      <c r="D10147" t="s">
        <v>1849</v>
      </c>
      <c r="E10147">
        <v>247.1</v>
      </c>
      <c r="F10147" s="2" t="str">
        <f>IF(Table2[[#This Row],[Manual Cat Value]]="",VLOOKUP(Table2[[#This Row],[Description]],'Actuals Lookup'!D:F,3,0),Table2[[#This Row],[Manual Cat Value]])</f>
        <v>House Maintenance</v>
      </c>
      <c r="G10147" t="s">
        <v>2</v>
      </c>
      <c r="I10147" s="8"/>
      <c r="O10147" t="str">
        <f>LEFT(Table2[[#This Row],[Description]],75)</f>
        <v>The Home Depot</v>
      </c>
    </row>
    <row r="10148" spans="1:15" hidden="1">
      <c r="A10148" s="25">
        <v>202310</v>
      </c>
      <c r="B10148" s="6">
        <v>45200</v>
      </c>
      <c r="C10148" t="s">
        <v>2519</v>
      </c>
      <c r="D10148" t="s">
        <v>4940</v>
      </c>
      <c r="E10148" s="53">
        <v>618.65</v>
      </c>
      <c r="F10148" s="2" t="str">
        <f>IF(Table2[[#This Row],[Manual Cat Value]]="",VLOOKUP(Table2[[#This Row],[Description]],'Actuals Lookup'!D:F,3,0),Table2[[#This Row],[Manual Cat Value]])</f>
        <v>Exp - Car Loan</v>
      </c>
      <c r="H10148" s="8" t="s">
        <v>10</v>
      </c>
      <c r="I10148" s="8"/>
      <c r="O10148" t="str">
        <f>LEFT(Table2[[#This Row],[Description]],75)</f>
        <v>Withdrawal Home Banking Transfer To Loan 02 REF # XX0907</v>
      </c>
    </row>
    <row r="10149" spans="1:15" hidden="1">
      <c r="A10149">
        <v>202310</v>
      </c>
      <c r="B10149" s="6">
        <v>45201</v>
      </c>
      <c r="C10149" t="s">
        <v>3938</v>
      </c>
      <c r="D10149" t="s">
        <v>114</v>
      </c>
      <c r="E10149">
        <v>5.36</v>
      </c>
      <c r="F10149" s="2" t="str">
        <f>IF(Table2[[#This Row],[Manual Cat Value]]="",VLOOKUP(Table2[[#This Row],[Description]],'Actuals Lookup'!D:F,3,0),Table2[[#This Row],[Manual Cat Value]])</f>
        <v>Exp - Amazon</v>
      </c>
      <c r="H10149" s="8" t="s">
        <v>37</v>
      </c>
      <c r="I10149" s="8"/>
      <c r="O10149" t="str">
        <f>LEFT(Table2[[#This Row],[Description]],75)</f>
        <v>Amazon Music</v>
      </c>
    </row>
    <row r="10150" spans="1:15" hidden="1">
      <c r="A10150">
        <v>202310</v>
      </c>
      <c r="B10150" s="6">
        <v>45201</v>
      </c>
      <c r="C10150" t="s">
        <v>3938</v>
      </c>
      <c r="D10150" t="s">
        <v>4941</v>
      </c>
      <c r="E10150">
        <v>43.16</v>
      </c>
      <c r="F10150" s="2" t="str">
        <f>IF(Table2[[#This Row],[Manual Cat Value]]="",VLOOKUP(Table2[[#This Row],[Description]],'Actuals Lookup'!D:F,3,0),Table2[[#This Row],[Manual Cat Value]])</f>
        <v>Exp - Restaurants</v>
      </c>
      <c r="H10150" s="8" t="s">
        <v>25</v>
      </c>
      <c r="I10150" s="8"/>
      <c r="O10150" t="str">
        <f>LEFT(Table2[[#This Row],[Description]],75)</f>
        <v>ARBORETUM APPLEHOUSE CHASKA MN REF #XX8298K2M7ZH34R</v>
      </c>
    </row>
    <row r="10151" spans="1:15" hidden="1">
      <c r="A10151">
        <v>202310</v>
      </c>
      <c r="B10151" s="6">
        <v>45201</v>
      </c>
      <c r="C10151" t="s">
        <v>3938</v>
      </c>
      <c r="D10151" t="s">
        <v>792</v>
      </c>
      <c r="E10151">
        <v>107.98</v>
      </c>
      <c r="F10151" s="2" t="str">
        <f>IF(Table2[[#This Row],[Manual Cat Value]]="",VLOOKUP(Table2[[#This Row],[Description]],'Actuals Lookup'!D:F,3,0),Table2[[#This Row],[Manual Cat Value]])</f>
        <v>Exp - Shopping</v>
      </c>
      <c r="H10151" s="8" t="s">
        <v>36</v>
      </c>
      <c r="I10151" s="8"/>
      <c r="O10151" t="str">
        <f>LEFT(Table2[[#This Row],[Description]],75)</f>
        <v>DSW</v>
      </c>
    </row>
    <row r="10152" spans="1:15" hidden="1">
      <c r="A10152" s="25">
        <v>202310</v>
      </c>
      <c r="B10152" s="6">
        <v>45201</v>
      </c>
      <c r="C10152" t="s">
        <v>2519</v>
      </c>
      <c r="D10152" t="s">
        <v>4942</v>
      </c>
      <c r="E10152" s="53">
        <v>-5636</v>
      </c>
      <c r="F10152" s="2" t="str">
        <f>IF(Table2[[#This Row],[Manual Cat Value]]="",VLOOKUP(Table2[[#This Row],[Description]],'Actuals Lookup'!D:F,3,0),Table2[[#This Row],[Manual Cat Value]])</f>
        <v>Delete</v>
      </c>
      <c r="H10152" s="8" t="s">
        <v>9</v>
      </c>
      <c r="I10152" s="8"/>
      <c r="O10152" t="str">
        <f>LEFT(Table2[[#This Row],[Description]],75)</f>
        <v>Salary/Regular Income from U.S. Department Of The Treasury</v>
      </c>
    </row>
    <row r="10153" spans="1:15" hidden="1">
      <c r="A10153" s="25">
        <v>202310</v>
      </c>
      <c r="B10153" s="6">
        <v>45201</v>
      </c>
      <c r="C10153" t="s">
        <v>2519</v>
      </c>
      <c r="D10153" t="s">
        <v>4942</v>
      </c>
      <c r="E10153" s="53">
        <v>-1124</v>
      </c>
      <c r="F10153" s="2" t="str">
        <f>IF(Table2[[#This Row],[Manual Cat Value]]="",VLOOKUP(Table2[[#This Row],[Description]],'Actuals Lookup'!D:F,3,0),Table2[[#This Row],[Manual Cat Value]])</f>
        <v>Delete</v>
      </c>
      <c r="H10153" s="8" t="s">
        <v>9</v>
      </c>
      <c r="I10153" s="8"/>
      <c r="O10153" t="str">
        <f>LEFT(Table2[[#This Row],[Description]],75)</f>
        <v>Salary/Regular Income from U.S. Department Of The Treasury</v>
      </c>
    </row>
    <row r="10154" spans="1:15" hidden="1">
      <c r="A10154" s="25">
        <v>202310</v>
      </c>
      <c r="B10154" s="6">
        <v>45201</v>
      </c>
      <c r="C10154" t="s">
        <v>2519</v>
      </c>
      <c r="D10154" t="s">
        <v>4942</v>
      </c>
      <c r="E10154" s="53">
        <v>-112.72</v>
      </c>
      <c r="F10154" s="2" t="str">
        <f>IF(Table2[[#This Row],[Manual Cat Value]]="",VLOOKUP(Table2[[#This Row],[Description]],'Actuals Lookup'!D:F,3,0),Table2[[#This Row],[Manual Cat Value]])</f>
        <v>Delete</v>
      </c>
      <c r="H10154" s="8" t="s">
        <v>9</v>
      </c>
      <c r="I10154" s="8"/>
      <c r="O10154" t="str">
        <f>LEFT(Table2[[#This Row],[Description]],75)</f>
        <v>Salary/Regular Income from U.S. Department Of The Treasury</v>
      </c>
    </row>
    <row r="10155" spans="1:15" hidden="1">
      <c r="A10155">
        <v>202310</v>
      </c>
      <c r="B10155" s="6">
        <v>45201</v>
      </c>
      <c r="C10155" t="s">
        <v>3938</v>
      </c>
      <c r="D10155" t="s">
        <v>4943</v>
      </c>
      <c r="E10155">
        <v>9</v>
      </c>
      <c r="F10155" s="2" t="str">
        <f>IF(Table2[[#This Row],[Manual Cat Value]]="",VLOOKUP(Table2[[#This Row],[Description]],'Actuals Lookup'!D:F,3,0),Table2[[#This Row],[Manual Cat Value]])</f>
        <v>Exp - Restaurants</v>
      </c>
      <c r="H10155" s="8" t="s">
        <v>25</v>
      </c>
      <c r="I10155" s="8"/>
      <c r="O10155" t="str">
        <f>LEFT(Table2[[#This Row],[Description]],75)</f>
        <v>SQ *NORTH STAR DONUTS Victoria MN REF #XX2168J2YVKJY75</v>
      </c>
    </row>
    <row r="10156" spans="1:15" hidden="1">
      <c r="A10156" s="25">
        <v>202310</v>
      </c>
      <c r="B10156" s="6">
        <v>45201</v>
      </c>
      <c r="C10156" t="s">
        <v>2519</v>
      </c>
      <c r="D10156" t="s">
        <v>4716</v>
      </c>
      <c r="E10156" s="53">
        <v>650</v>
      </c>
      <c r="F10156" s="2" t="str">
        <f>IF(Table2[[#This Row],[Manual Cat Value]]="",VLOOKUP(Table2[[#This Row],[Description]],'Actuals Lookup'!D:F,3,0),Table2[[#This Row],[Manual Cat Value]])</f>
        <v>Sav - College Savings</v>
      </c>
      <c r="H10156" s="8" t="s">
        <v>60</v>
      </c>
      <c r="I10156" s="8"/>
      <c r="O10156" t="str">
        <f>LEFT(Table2[[#This Row],[Description]],75)</f>
        <v>Transfer to College Station</v>
      </c>
    </row>
    <row r="10157" spans="1:15" hidden="1">
      <c r="A10157" s="25">
        <v>202310</v>
      </c>
      <c r="B10157" s="6">
        <v>45201</v>
      </c>
      <c r="C10157" t="s">
        <v>2519</v>
      </c>
      <c r="D10157" t="s">
        <v>1460</v>
      </c>
      <c r="E10157" s="53">
        <v>2741.74</v>
      </c>
      <c r="F10157" s="2" t="str">
        <f>IF(Table2[[#This Row],[Manual Cat Value]]="",VLOOKUP(Table2[[#This Row],[Description]],'Actuals Lookup'!D:F,3,0),Table2[[#This Row],[Manual Cat Value]])</f>
        <v>Exp - Rent</v>
      </c>
      <c r="H10157" s="8" t="s">
        <v>4</v>
      </c>
      <c r="I10157" s="8"/>
      <c r="O10157" t="str">
        <f>LEFT(Table2[[#This Row],[Description]],75)</f>
        <v>Payment to Baxter Credit Union</v>
      </c>
    </row>
    <row r="10158" spans="1:15" hidden="1">
      <c r="A10158">
        <v>202310</v>
      </c>
      <c r="B10158" s="6">
        <v>45202</v>
      </c>
      <c r="C10158" t="s">
        <v>4006</v>
      </c>
      <c r="D10158" t="s">
        <v>703</v>
      </c>
      <c r="E10158">
        <v>572.79999999999995</v>
      </c>
      <c r="F10158" s="2" t="str">
        <f>IF(Table2[[#This Row],[Manual Cat Value]]="",VLOOKUP(Table2[[#This Row],[Description]],'Actuals Lookup'!D:F,3,0),Table2[[#This Row],[Manual Cat Value]])</f>
        <v>Exp - Travel</v>
      </c>
      <c r="G10158" t="s">
        <v>67</v>
      </c>
      <c r="H10158" s="8" t="s">
        <v>52</v>
      </c>
      <c r="I10158" s="8" t="s">
        <v>4944</v>
      </c>
      <c r="O10158" t="str">
        <f>LEFT(Table2[[#This Row],[Description]],75)</f>
        <v>Delta Air Lines</v>
      </c>
    </row>
    <row r="10159" spans="1:15" hidden="1">
      <c r="A10159">
        <v>202310</v>
      </c>
      <c r="B10159" s="6">
        <v>45202</v>
      </c>
      <c r="C10159" t="s">
        <v>3938</v>
      </c>
      <c r="D10159" t="s">
        <v>4945</v>
      </c>
      <c r="E10159">
        <v>44.72</v>
      </c>
      <c r="F10159" s="2" t="str">
        <f>IF(Table2[[#This Row],[Manual Cat Value]]="",VLOOKUP(Table2[[#This Row],[Description]],'Actuals Lookup'!D:F,3,0),Table2[[#This Row],[Manual Cat Value]])</f>
        <v>Exp - Gifts</v>
      </c>
      <c r="H10159" s="8" t="s">
        <v>44</v>
      </c>
      <c r="I10159" s="8"/>
      <c r="O10159" t="str">
        <f>LEFT(Table2[[#This Row],[Description]],75)</f>
        <v>Penzeys Spices</v>
      </c>
    </row>
    <row r="10160" spans="1:15" hidden="1">
      <c r="A10160" s="25">
        <v>202310</v>
      </c>
      <c r="B10160" s="6">
        <v>45202</v>
      </c>
      <c r="C10160" t="s">
        <v>2519</v>
      </c>
      <c r="D10160" t="s">
        <v>4946</v>
      </c>
      <c r="E10160" s="53">
        <v>330</v>
      </c>
      <c r="F10160" s="2" t="str">
        <f>IF(Table2[[#This Row],[Manual Cat Value]]="",VLOOKUP(Table2[[#This Row],[Description]],'Actuals Lookup'!D:F,3,0),Table2[[#This Row],[Manual Cat Value]])</f>
        <v>Exp - Day Care</v>
      </c>
      <c r="H10160" s="8" t="s">
        <v>19</v>
      </c>
      <c r="I10160" s="8"/>
      <c r="O10160" t="str">
        <f>LEFT(Table2[[#This Row],[Description]],75)</f>
        <v>Withdrawal ACH MHCHILDCARELLC TYPE: DUES ID: XX8198 CO: MHCHILDCARELLC Entr</v>
      </c>
    </row>
    <row r="10161" spans="1:15" hidden="1">
      <c r="A10161">
        <v>202310</v>
      </c>
      <c r="B10161" s="6">
        <v>45202</v>
      </c>
      <c r="C10161" t="s">
        <v>4006</v>
      </c>
      <c r="D10161" t="s">
        <v>4012</v>
      </c>
      <c r="E10161">
        <v>-2900.63</v>
      </c>
      <c r="F10161" s="2" t="str">
        <f>IF(Table2[[#This Row],[Manual Cat Value]]="",VLOOKUP(Table2[[#This Row],[Description]],'Actuals Lookup'!D:F,3,0),Table2[[#This Row],[Manual Cat Value]])</f>
        <v>Delete</v>
      </c>
      <c r="G10161" t="s">
        <v>9</v>
      </c>
      <c r="I10161" s="8"/>
      <c r="O10161" t="str">
        <f>LEFT(Table2[[#This Row],[Description]],75)</f>
        <v>Online Payment - Thank You</v>
      </c>
    </row>
    <row r="10162" spans="1:15" hidden="1">
      <c r="A10162">
        <v>202310</v>
      </c>
      <c r="B10162" s="6">
        <v>45203</v>
      </c>
      <c r="C10162" t="s">
        <v>4006</v>
      </c>
      <c r="D10162" t="s">
        <v>4947</v>
      </c>
      <c r="E10162">
        <v>200.67</v>
      </c>
      <c r="F10162" s="2" t="str">
        <f>IF(Table2[[#This Row],[Manual Cat Value]]="",VLOOKUP(Table2[[#This Row],[Description]],'Actuals Lookup'!D:F,3,0),Table2[[#This Row],[Manual Cat Value]])</f>
        <v>Exp - Entertainment</v>
      </c>
      <c r="G10162" t="s">
        <v>35</v>
      </c>
      <c r="H10162" s="8" t="s">
        <v>39</v>
      </c>
      <c r="I10162" s="8"/>
      <c r="O10162" t="str">
        <f>LEFT(Table2[[#This Row],[Description]],75)</f>
        <v>2024 Grandmas Marathboston Ma</v>
      </c>
    </row>
    <row r="10163" spans="1:15" hidden="1">
      <c r="A10163">
        <v>202310</v>
      </c>
      <c r="B10163" s="6">
        <v>45203</v>
      </c>
      <c r="C10163" t="s">
        <v>3938</v>
      </c>
      <c r="D10163" t="s">
        <v>1076</v>
      </c>
      <c r="E10163">
        <v>74.989999999999995</v>
      </c>
      <c r="F10163" s="2" t="str">
        <f>IF(Table2[[#This Row],[Manual Cat Value]]="",VLOOKUP(Table2[[#This Row],[Description]],'Actuals Lookup'!D:F,3,0),Table2[[#This Row],[Manual Cat Value]])</f>
        <v>Exp - Shopping</v>
      </c>
      <c r="H10163" s="8" t="s">
        <v>36</v>
      </c>
      <c r="I10163" s="8"/>
      <c r="O10163" t="str">
        <f>LEFT(Table2[[#This Row],[Description]],75)</f>
        <v>Kohl's</v>
      </c>
    </row>
    <row r="10164" spans="1:15" hidden="1">
      <c r="A10164" s="25">
        <v>202310</v>
      </c>
      <c r="B10164" s="6">
        <v>45203</v>
      </c>
      <c r="C10164" t="s">
        <v>2519</v>
      </c>
      <c r="D10164" t="s">
        <v>4404</v>
      </c>
      <c r="E10164" s="53">
        <v>6872.72</v>
      </c>
      <c r="F10164" s="2" t="str">
        <f>IF(Table2[[#This Row],[Manual Cat Value]]="",VLOOKUP(Table2[[#This Row],[Description]],'Actuals Lookup'!D:F,3,0),Table2[[#This Row],[Manual Cat Value]])</f>
        <v>Delete</v>
      </c>
      <c r="H10164" s="8" t="s">
        <v>9</v>
      </c>
      <c r="I10164" s="8"/>
      <c r="O10164" t="str">
        <f>LEFT(Table2[[#This Row],[Description]],75)</f>
        <v>Transfer to Discover Bank</v>
      </c>
    </row>
    <row r="10165" spans="1:15" hidden="1">
      <c r="A10165">
        <v>202310</v>
      </c>
      <c r="B10165" s="6">
        <v>45203</v>
      </c>
      <c r="C10165" t="s">
        <v>3938</v>
      </c>
      <c r="D10165" t="s">
        <v>2135</v>
      </c>
      <c r="E10165">
        <v>18.39</v>
      </c>
      <c r="F10165" s="2" t="str">
        <f>IF(Table2[[#This Row],[Manual Cat Value]]="",VLOOKUP(Table2[[#This Row],[Description]],'Actuals Lookup'!D:F,3,0),Table2[[#This Row],[Manual Cat Value]])</f>
        <v>Exp - Groceries</v>
      </c>
      <c r="H10165" s="8" t="s">
        <v>27</v>
      </c>
      <c r="I10165" s="8"/>
      <c r="O10165" t="str">
        <f>LEFT(Table2[[#This Row],[Description]],75)</f>
        <v>Walgreens</v>
      </c>
    </row>
    <row r="10166" spans="1:15" hidden="1">
      <c r="A10166" s="25">
        <v>202310</v>
      </c>
      <c r="B10166" s="6">
        <v>45203</v>
      </c>
      <c r="C10166" t="s">
        <v>2519</v>
      </c>
      <c r="D10166" t="s">
        <v>1458</v>
      </c>
      <c r="E10166" s="53">
        <v>2900.63</v>
      </c>
      <c r="F10166" s="2" t="str">
        <f>IF(Table2[[#This Row],[Manual Cat Value]]="",VLOOKUP(Table2[[#This Row],[Description]],'Actuals Lookup'!D:F,3,0),Table2[[#This Row],[Manual Cat Value]])</f>
        <v>Delete</v>
      </c>
      <c r="H10166" s="8" t="s">
        <v>9</v>
      </c>
      <c r="I10166" s="8"/>
      <c r="O10166" t="str">
        <f>LEFT(Table2[[#This Row],[Description]],75)</f>
        <v>Payment to American Express</v>
      </c>
    </row>
    <row r="10167" spans="1:15" hidden="1">
      <c r="A10167" s="25">
        <v>202310</v>
      </c>
      <c r="B10167" s="6">
        <v>45204</v>
      </c>
      <c r="C10167" t="s">
        <v>2519</v>
      </c>
      <c r="D10167" t="s">
        <v>1470</v>
      </c>
      <c r="E10167" s="53">
        <v>229.41</v>
      </c>
      <c r="F10167" s="2" t="str">
        <f>IF(Table2[[#This Row],[Manual Cat Value]]="",VLOOKUP(Table2[[#This Row],[Description]],'Actuals Lookup'!D:F,3,0),Table2[[#This Row],[Manual Cat Value]])</f>
        <v>Exp - Utilities</v>
      </c>
      <c r="H10167" s="8" t="s">
        <v>6</v>
      </c>
      <c r="I10167" s="8"/>
      <c r="O10167" t="str">
        <f>LEFT(Table2[[#This Row],[Description]],75)</f>
        <v>Payment to Xcel Energy</v>
      </c>
    </row>
    <row r="10168" spans="1:15" hidden="1">
      <c r="A10168" s="25">
        <v>202310</v>
      </c>
      <c r="B10168" s="6">
        <v>45205</v>
      </c>
      <c r="C10168" t="s">
        <v>2519</v>
      </c>
      <c r="D10168" t="s">
        <v>1955</v>
      </c>
      <c r="E10168" s="53">
        <v>65.400000000000006</v>
      </c>
      <c r="F10168" s="2" t="str">
        <f>IF(Table2[[#This Row],[Manual Cat Value]]="",VLOOKUP(Table2[[#This Row],[Description]],'Actuals Lookup'!D:F,3,0),Table2[[#This Row],[Manual Cat Value]])</f>
        <v>Exp - Shopping</v>
      </c>
      <c r="H10168" s="8" t="s">
        <v>36</v>
      </c>
      <c r="I10168" s="8"/>
      <c r="O10168" t="str">
        <f>LEFT(Table2[[#This Row],[Description]],75)</f>
        <v>Transfer to PayPal</v>
      </c>
    </row>
    <row r="10169" spans="1:15" hidden="1">
      <c r="A10169" s="25">
        <v>202310</v>
      </c>
      <c r="B10169" s="6">
        <v>45205</v>
      </c>
      <c r="C10169" t="s">
        <v>2519</v>
      </c>
      <c r="D10169" t="s">
        <v>1958</v>
      </c>
      <c r="E10169" s="53">
        <v>60</v>
      </c>
      <c r="F10169" s="2" t="str">
        <f>IF(Table2[[#This Row],[Manual Cat Value]]="",VLOOKUP(Table2[[#This Row],[Description]],'Actuals Lookup'!D:F,3,0),Table2[[#This Row],[Manual Cat Value]])</f>
        <v>Exp - Shopping</v>
      </c>
      <c r="H10169" s="8" t="s">
        <v>36</v>
      </c>
      <c r="I10169" s="8"/>
      <c r="O10169" t="str">
        <f>LEFT(Table2[[#This Row],[Description]],75)</f>
        <v>Transfer to Venmo</v>
      </c>
    </row>
    <row r="10170" spans="1:15" hidden="1">
      <c r="A10170">
        <v>202310</v>
      </c>
      <c r="B10170" s="6">
        <v>45206</v>
      </c>
      <c r="C10170" t="s">
        <v>4006</v>
      </c>
      <c r="D10170" t="s">
        <v>4948</v>
      </c>
      <c r="E10170">
        <v>87.83</v>
      </c>
      <c r="F10170" s="2" t="str">
        <f>IF(Table2[[#This Row],[Manual Cat Value]]="",VLOOKUP(Table2[[#This Row],[Description]],'Actuals Lookup'!D:F,3,0),Table2[[#This Row],[Manual Cat Value]])</f>
        <v>Exp - Dry Cleaning</v>
      </c>
      <c r="G10170" t="s">
        <v>21</v>
      </c>
      <c r="H10170" s="8" t="s">
        <v>42</v>
      </c>
      <c r="I10170" s="8"/>
      <c r="O10170" t="str">
        <f>LEFT(Table2[[#This Row],[Description]],75)</f>
        <v>All Seasons Garment Chanhassen Mn</v>
      </c>
    </row>
    <row r="10171" spans="1:15" hidden="1">
      <c r="A10171">
        <v>202310</v>
      </c>
      <c r="B10171" s="6">
        <v>45206</v>
      </c>
      <c r="C10171" t="s">
        <v>4006</v>
      </c>
      <c r="D10171" t="s">
        <v>4949</v>
      </c>
      <c r="E10171">
        <v>59.47</v>
      </c>
      <c r="F10171" s="2" t="str">
        <f>IF(Table2[[#This Row],[Manual Cat Value]]="",VLOOKUP(Table2[[#This Row],[Description]],'Actuals Lookup'!D:F,3,0),Table2[[#This Row],[Manual Cat Value]])</f>
        <v>Exp - Transportation</v>
      </c>
      <c r="G10171" t="s">
        <v>11</v>
      </c>
      <c r="H10171" s="8" t="s">
        <v>22</v>
      </c>
      <c r="I10171" s="8"/>
      <c r="O10171" t="str">
        <f>LEFT(Table2[[#This Row],[Description]],75)</f>
        <v>Bp Global</v>
      </c>
    </row>
    <row r="10172" spans="1:15" hidden="1">
      <c r="A10172">
        <v>202310</v>
      </c>
      <c r="B10172" s="6">
        <v>45206</v>
      </c>
      <c r="C10172" t="s">
        <v>4006</v>
      </c>
      <c r="D10172" t="s">
        <v>4950</v>
      </c>
      <c r="E10172">
        <v>211.58</v>
      </c>
      <c r="F10172" s="2" t="str">
        <f>IF(Table2[[#This Row],[Manual Cat Value]]="",VLOOKUP(Table2[[#This Row],[Description]],'Actuals Lookup'!D:F,3,0),Table2[[#This Row],[Manual Cat Value]])</f>
        <v>Exp - Gifts</v>
      </c>
      <c r="G10172" t="s">
        <v>41</v>
      </c>
      <c r="H10172" s="8" t="s">
        <v>44</v>
      </c>
      <c r="I10172" s="8"/>
      <c r="O10172" t="str">
        <f>LEFT(Table2[[#This Row],[Description]],75)</f>
        <v>Pga Tour Superstore</v>
      </c>
    </row>
    <row r="10173" spans="1:15" hidden="1">
      <c r="A10173">
        <v>202310</v>
      </c>
      <c r="B10173" s="6">
        <v>45206</v>
      </c>
      <c r="C10173" t="s">
        <v>4006</v>
      </c>
      <c r="D10173" t="s">
        <v>4920</v>
      </c>
      <c r="E10173">
        <v>-147.19999999999999</v>
      </c>
      <c r="F10173" s="2" t="str">
        <f>IF(Table2[[#This Row],[Manual Cat Value]]="",VLOOKUP(Table2[[#This Row],[Description]],'Actuals Lookup'!D:F,3,0),Table2[[#This Row],[Manual Cat Value]])</f>
        <v>Exp - Shopping</v>
      </c>
      <c r="G10173" t="s">
        <v>21</v>
      </c>
      <c r="H10173" s="8" t="s">
        <v>36</v>
      </c>
      <c r="I10173" s="8"/>
      <c r="O10173" t="str">
        <f>LEFT(Table2[[#This Row],[Description]],75)</f>
        <v>Vuori Clothing</v>
      </c>
    </row>
    <row r="10174" spans="1:15" hidden="1">
      <c r="A10174">
        <v>202310</v>
      </c>
      <c r="B10174" s="6">
        <v>45207</v>
      </c>
      <c r="C10174" t="s">
        <v>3938</v>
      </c>
      <c r="D10174" t="s">
        <v>792</v>
      </c>
      <c r="E10174">
        <v>-32.68</v>
      </c>
      <c r="F10174" s="2" t="str">
        <f>IF(Table2[[#This Row],[Manual Cat Value]]="",VLOOKUP(Table2[[#This Row],[Description]],'Actuals Lookup'!D:F,3,0),Table2[[#This Row],[Manual Cat Value]])</f>
        <v>Exp - Shopping</v>
      </c>
      <c r="H10174" s="8" t="s">
        <v>36</v>
      </c>
      <c r="I10174" s="8"/>
      <c r="O10174" t="str">
        <f>LEFT(Table2[[#This Row],[Description]],75)</f>
        <v>DSW</v>
      </c>
    </row>
    <row r="10175" spans="1:15" hidden="1">
      <c r="A10175">
        <v>202310</v>
      </c>
      <c r="B10175" s="6">
        <v>45207</v>
      </c>
      <c r="C10175" t="s">
        <v>3938</v>
      </c>
      <c r="D10175" t="s">
        <v>4951</v>
      </c>
      <c r="E10175">
        <v>-138.91</v>
      </c>
      <c r="F10175" s="2" t="str">
        <f>IF(Table2[[#This Row],[Manual Cat Value]]="",VLOOKUP(Table2[[#This Row],[Description]],'Actuals Lookup'!D:F,3,0),Table2[[#This Row],[Manual Cat Value]])</f>
        <v>Exp - Shopping</v>
      </c>
      <c r="H10175" s="8" t="s">
        <v>36</v>
      </c>
      <c r="I10175" s="8"/>
      <c r="O10175" t="str">
        <f>LEFT(Table2[[#This Row],[Description]],75)</f>
        <v>H&amp;M</v>
      </c>
    </row>
    <row r="10176" spans="1:15" hidden="1">
      <c r="A10176">
        <v>202310</v>
      </c>
      <c r="B10176" s="6">
        <v>45207</v>
      </c>
      <c r="C10176" t="s">
        <v>3938</v>
      </c>
      <c r="D10176" t="s">
        <v>1396</v>
      </c>
      <c r="E10176">
        <v>28.73</v>
      </c>
      <c r="F10176" s="2" t="str">
        <f>IF(Table2[[#This Row],[Manual Cat Value]]="",VLOOKUP(Table2[[#This Row],[Description]],'Actuals Lookup'!D:F,3,0),Table2[[#This Row],[Manual Cat Value]])</f>
        <v>Exp - Restaurants</v>
      </c>
      <c r="H10176" s="8" t="s">
        <v>25</v>
      </c>
      <c r="I10176" s="8"/>
      <c r="O10176" t="str">
        <f>LEFT(Table2[[#This Row],[Description]],75)</f>
        <v>Papa Murphy's</v>
      </c>
    </row>
    <row r="10177" spans="1:15" hidden="1">
      <c r="A10177">
        <v>202310</v>
      </c>
      <c r="B10177" s="6">
        <v>45207</v>
      </c>
      <c r="C10177" t="s">
        <v>3932</v>
      </c>
      <c r="D10177" t="s">
        <v>3992</v>
      </c>
      <c r="E10177">
        <v>76.3</v>
      </c>
      <c r="F10177" s="2" t="str">
        <f>IF(Table2[[#This Row],[Manual Cat Value]]="",VLOOKUP(Table2[[#This Row],[Description]],'Actuals Lookup'!D:F,3,0),Table2[[#This Row],[Manual Cat Value]])</f>
        <v>Shopping</v>
      </c>
      <c r="G10177" t="s">
        <v>21</v>
      </c>
      <c r="I10177" s="8"/>
      <c r="O10177" t="str">
        <f>LEFT(Table2[[#This Row],[Description]],75)</f>
        <v>Paypal</v>
      </c>
    </row>
    <row r="10178" spans="1:15" hidden="1">
      <c r="A10178">
        <v>202310</v>
      </c>
      <c r="B10178" s="6">
        <v>45207</v>
      </c>
      <c r="C10178" t="s">
        <v>3938</v>
      </c>
      <c r="D10178" t="s">
        <v>4952</v>
      </c>
      <c r="E10178">
        <v>169.12</v>
      </c>
      <c r="F10178" s="2" t="str">
        <f>IF(Table2[[#This Row],[Manual Cat Value]]="",VLOOKUP(Table2[[#This Row],[Description]],'Actuals Lookup'!D:F,3,0),Table2[[#This Row],[Manual Cat Value]])</f>
        <v>Exp - Utilities</v>
      </c>
      <c r="H10178" s="8" t="s">
        <v>6</v>
      </c>
      <c r="I10178" s="8"/>
      <c r="O10178" t="str">
        <f>LEFT(Table2[[#This Row],[Description]],75)</f>
        <v>PLUNKETTS PEST CONTROL MINNEAPOLIS MN REF #XX3398P00KHR4MQ</v>
      </c>
    </row>
    <row r="10179" spans="1:15" hidden="1">
      <c r="A10179">
        <v>202310</v>
      </c>
      <c r="B10179" s="6">
        <v>45207</v>
      </c>
      <c r="C10179" t="s">
        <v>3938</v>
      </c>
      <c r="D10179" t="s">
        <v>4953</v>
      </c>
      <c r="E10179">
        <v>4.3499999999999996</v>
      </c>
      <c r="F10179" s="2" t="str">
        <f>IF(Table2[[#This Row],[Manual Cat Value]]="",VLOOKUP(Table2[[#This Row],[Description]],'Actuals Lookup'!D:F,3,0),Table2[[#This Row],[Manual Cat Value]])</f>
        <v>Exp - Restaurants</v>
      </c>
      <c r="H10179" s="8" t="s">
        <v>25</v>
      </c>
      <c r="I10179" s="8"/>
      <c r="O10179" t="str">
        <f>LEFT(Table2[[#This Row],[Description]],75)</f>
        <v>Vudu</v>
      </c>
    </row>
    <row r="10180" spans="1:15" hidden="1">
      <c r="A10180">
        <v>202310</v>
      </c>
      <c r="B10180" s="6">
        <v>45208</v>
      </c>
      <c r="C10180" t="s">
        <v>3938</v>
      </c>
      <c r="D10180" t="s">
        <v>38</v>
      </c>
      <c r="E10180">
        <v>5.95</v>
      </c>
      <c r="F10180" s="2" t="str">
        <f>IF(Table2[[#This Row],[Manual Cat Value]]="",VLOOKUP(Table2[[#This Row],[Description]],'Actuals Lookup'!D:F,3,0),Table2[[#This Row],[Manual Cat Value]])</f>
        <v>Exp - Amazon</v>
      </c>
      <c r="H10180" s="8" t="s">
        <v>37</v>
      </c>
      <c r="I10180" s="8"/>
      <c r="O10180" t="str">
        <f>LEFT(Table2[[#This Row],[Description]],75)</f>
        <v>Amazon</v>
      </c>
    </row>
    <row r="10181" spans="1:15" hidden="1">
      <c r="A10181">
        <v>202310</v>
      </c>
      <c r="B10181" s="6">
        <v>45208</v>
      </c>
      <c r="C10181" t="s">
        <v>3938</v>
      </c>
      <c r="D10181" t="s">
        <v>38</v>
      </c>
      <c r="E10181">
        <v>12.99</v>
      </c>
      <c r="F10181" s="2" t="str">
        <f>IF(Table2[[#This Row],[Manual Cat Value]]="",VLOOKUP(Table2[[#This Row],[Description]],'Actuals Lookup'!D:F,3,0),Table2[[#This Row],[Manual Cat Value]])</f>
        <v>Exp - Amazon</v>
      </c>
      <c r="H10181" s="8" t="s">
        <v>37</v>
      </c>
      <c r="I10181" s="8"/>
      <c r="O10181" t="str">
        <f>LEFT(Table2[[#This Row],[Description]],75)</f>
        <v>Amazon</v>
      </c>
    </row>
    <row r="10182" spans="1:15" hidden="1">
      <c r="A10182">
        <v>202310</v>
      </c>
      <c r="B10182" s="6">
        <v>45208</v>
      </c>
      <c r="C10182" t="s">
        <v>3938</v>
      </c>
      <c r="D10182" t="s">
        <v>4954</v>
      </c>
      <c r="E10182">
        <v>134</v>
      </c>
      <c r="F10182" s="2" t="str">
        <f>IF(Table2[[#This Row],[Manual Cat Value]]="",VLOOKUP(Table2[[#This Row],[Description]],'Actuals Lookup'!D:F,3,0),Table2[[#This Row],[Manual Cat Value]])</f>
        <v>Exp - Restaurants</v>
      </c>
      <c r="H10182" s="8" t="s">
        <v>25</v>
      </c>
      <c r="I10182" s="8"/>
      <c r="O10182" t="str">
        <f>LEFT(Table2[[#This Row],[Description]],75)</f>
        <v>BLVD *FACE FOUNDRIE WAYXX-7151 MN REF #XX5008TEJ2M5YAM</v>
      </c>
    </row>
    <row r="10183" spans="1:15" hidden="1">
      <c r="A10183">
        <v>202310</v>
      </c>
      <c r="B10183" s="6">
        <v>45208</v>
      </c>
      <c r="C10183" t="s">
        <v>3938</v>
      </c>
      <c r="D10183" t="s">
        <v>4955</v>
      </c>
      <c r="E10183">
        <v>98.48</v>
      </c>
      <c r="F10183" s="2" t="str">
        <f>IF(Table2[[#This Row],[Manual Cat Value]]="",VLOOKUP(Table2[[#This Row],[Description]],'Actuals Lookup'!D:F,3,0),Table2[[#This Row],[Manual Cat Value]])</f>
        <v>Exp - Groceries</v>
      </c>
      <c r="H10183" s="8" t="s">
        <v>27</v>
      </c>
      <c r="I10183" s="8"/>
      <c r="O10183" t="str">
        <f>LEFT(Table2[[#This Row],[Description]],75)</f>
        <v>MACKENTHUN`S MEATS &amp; DELISAINT BONIFACMN REF #XX1948T0W02EV2T</v>
      </c>
    </row>
    <row r="10184" spans="1:15" hidden="1">
      <c r="A10184">
        <v>202310</v>
      </c>
      <c r="B10184" s="6">
        <v>45208</v>
      </c>
      <c r="C10184" t="s">
        <v>3938</v>
      </c>
      <c r="D10184" t="s">
        <v>4956</v>
      </c>
      <c r="E10184">
        <v>8.48</v>
      </c>
      <c r="F10184" s="2" t="str">
        <f>IF(Table2[[#This Row],[Manual Cat Value]]="",VLOOKUP(Table2[[#This Row],[Description]],'Actuals Lookup'!D:F,3,0),Table2[[#This Row],[Manual Cat Value]])</f>
        <v>Exp - Shopping</v>
      </c>
      <c r="H10184" s="8" t="s">
        <v>36</v>
      </c>
      <c r="I10184" s="8"/>
      <c r="O10184" t="str">
        <f>LEFT(Table2[[#This Row],[Description]],75)</f>
        <v>Mall Of America</v>
      </c>
    </row>
    <row r="10185" spans="1:15" hidden="1">
      <c r="A10185">
        <v>202310</v>
      </c>
      <c r="B10185" s="6">
        <v>45208</v>
      </c>
      <c r="C10185" t="s">
        <v>3938</v>
      </c>
      <c r="D10185" t="s">
        <v>1477</v>
      </c>
      <c r="E10185">
        <v>47.69</v>
      </c>
      <c r="F10185" s="2" t="str">
        <f>IF(Table2[[#This Row],[Manual Cat Value]]="",VLOOKUP(Table2[[#This Row],[Description]],'Actuals Lookup'!D:F,3,0),Table2[[#This Row],[Manual Cat Value]])</f>
        <v>Exp - Gym</v>
      </c>
      <c r="H10185" s="8" t="s">
        <v>33</v>
      </c>
      <c r="I10185" s="8"/>
      <c r="O10185" t="str">
        <f>LEFT(Table2[[#This Row],[Description]],75)</f>
        <v>Peloton Cycles</v>
      </c>
    </row>
    <row r="10186" spans="1:15" hidden="1">
      <c r="A10186">
        <v>202310</v>
      </c>
      <c r="B10186" s="6">
        <v>45208</v>
      </c>
      <c r="C10186" t="s">
        <v>3932</v>
      </c>
      <c r="D10186" t="s">
        <v>4957</v>
      </c>
      <c r="E10186">
        <v>27.86</v>
      </c>
      <c r="F10186" s="2" t="str">
        <f>IF(Table2[[#This Row],[Manual Cat Value]]="",VLOOKUP(Table2[[#This Row],[Description]],'Actuals Lookup'!D:F,3,0),Table2[[#This Row],[Manual Cat Value]])</f>
        <v>Exp - Shopping</v>
      </c>
      <c r="G10186" t="s">
        <v>21</v>
      </c>
      <c r="H10186" s="8" t="s">
        <v>36</v>
      </c>
      <c r="I10186" s="8"/>
      <c r="O10186" t="str">
        <f>LEFT(Table2[[#This Row],[Description]],75)</f>
        <v>Uniqlo</v>
      </c>
    </row>
    <row r="10187" spans="1:15" hidden="1">
      <c r="A10187">
        <v>202310</v>
      </c>
      <c r="B10187" s="6">
        <v>45208</v>
      </c>
      <c r="C10187" t="s">
        <v>3938</v>
      </c>
      <c r="D10187" t="s">
        <v>4920</v>
      </c>
      <c r="E10187">
        <v>174</v>
      </c>
      <c r="F10187" s="2" t="str">
        <f>IF(Table2[[#This Row],[Manual Cat Value]]="",VLOOKUP(Table2[[#This Row],[Description]],'Actuals Lookup'!D:F,3,0),Table2[[#This Row],[Manual Cat Value]])</f>
        <v>Exp - Shopping</v>
      </c>
      <c r="H10187" s="8" t="s">
        <v>36</v>
      </c>
      <c r="I10187" s="8"/>
      <c r="O10187" t="str">
        <f>LEFT(Table2[[#This Row],[Description]],75)</f>
        <v>Vuori Clothing</v>
      </c>
    </row>
    <row r="10188" spans="1:15" hidden="1">
      <c r="A10188">
        <v>202310</v>
      </c>
      <c r="B10188" s="6">
        <v>45209</v>
      </c>
      <c r="C10188" t="s">
        <v>4006</v>
      </c>
      <c r="D10188" t="s">
        <v>4958</v>
      </c>
      <c r="E10188">
        <v>55</v>
      </c>
      <c r="F10188" s="2" t="str">
        <f>IF(Table2[[#This Row],[Manual Cat Value]]="",VLOOKUP(Table2[[#This Row],[Description]],'Actuals Lookup'!D:F,3,0),Table2[[#This Row],[Manual Cat Value]])</f>
        <v>Shopping</v>
      </c>
      <c r="G10188" t="s">
        <v>21</v>
      </c>
      <c r="I10188" s="8"/>
      <c r="O10188" t="str">
        <f>LEFT(Table2[[#This Row],[Description]],75)</f>
        <v>Jewelry Works</v>
      </c>
    </row>
    <row r="10189" spans="1:15" hidden="1">
      <c r="A10189">
        <v>202310</v>
      </c>
      <c r="B10189" s="6">
        <v>45209</v>
      </c>
      <c r="C10189" t="s">
        <v>3938</v>
      </c>
      <c r="D10189" t="s">
        <v>1350</v>
      </c>
      <c r="E10189">
        <v>25.6</v>
      </c>
      <c r="F10189" s="2" t="str">
        <f>IF(Table2[[#This Row],[Manual Cat Value]]="",VLOOKUP(Table2[[#This Row],[Description]],'Actuals Lookup'!D:F,3,0),Table2[[#This Row],[Manual Cat Value]])</f>
        <v>Exp - Utilities</v>
      </c>
      <c r="H10189" s="8" t="s">
        <v>6</v>
      </c>
      <c r="I10189" s="8"/>
      <c r="O10189" t="str">
        <f>LEFT(Table2[[#This Row],[Description]],75)</f>
        <v>Netflix</v>
      </c>
    </row>
    <row r="10190" spans="1:15" hidden="1">
      <c r="A10190">
        <v>202310</v>
      </c>
      <c r="B10190" s="6">
        <v>45209</v>
      </c>
      <c r="C10190" t="s">
        <v>4006</v>
      </c>
      <c r="D10190" t="s">
        <v>1393</v>
      </c>
      <c r="E10190">
        <v>3.03</v>
      </c>
      <c r="F10190" s="2" t="str">
        <f>IF(Table2[[#This Row],[Manual Cat Value]]="",VLOOKUP(Table2[[#This Row],[Description]],'Actuals Lookup'!D:F,3,0),Table2[[#This Row],[Manual Cat Value]])</f>
        <v>Restaurants</v>
      </c>
      <c r="G10190" t="s">
        <v>26</v>
      </c>
      <c r="I10190" s="8"/>
      <c r="O10190" t="str">
        <f>LEFT(Table2[[#This Row],[Description]],75)</f>
        <v>Panera Bread</v>
      </c>
    </row>
    <row r="10191" spans="1:15" hidden="1">
      <c r="A10191">
        <v>202310</v>
      </c>
      <c r="B10191" s="6">
        <v>45209</v>
      </c>
      <c r="C10191" t="s">
        <v>4006</v>
      </c>
      <c r="D10191" t="s">
        <v>4959</v>
      </c>
      <c r="E10191">
        <v>9.99</v>
      </c>
      <c r="F10191" s="2" t="str">
        <f>IF(Table2[[#This Row],[Manual Cat Value]]="",VLOOKUP(Table2[[#This Row],[Description]],'Actuals Lookup'!D:F,3,0),Table2[[#This Row],[Manual Cat Value]])</f>
        <v>Shopping</v>
      </c>
      <c r="G10191" t="s">
        <v>21</v>
      </c>
      <c r="I10191" s="8"/>
      <c r="O10191" t="str">
        <f>LEFT(Table2[[#This Row],[Description]],75)</f>
        <v>Sierra Trading Post</v>
      </c>
    </row>
    <row r="10192" spans="1:15" hidden="1">
      <c r="A10192">
        <v>202310</v>
      </c>
      <c r="B10192" s="6">
        <v>45209</v>
      </c>
      <c r="C10192" t="s">
        <v>4006</v>
      </c>
      <c r="D10192" t="s">
        <v>1849</v>
      </c>
      <c r="E10192">
        <v>814.7</v>
      </c>
      <c r="F10192" s="2" t="str">
        <f>IF(Table2[[#This Row],[Manual Cat Value]]="",VLOOKUP(Table2[[#This Row],[Description]],'Actuals Lookup'!D:F,3,0),Table2[[#This Row],[Manual Cat Value]])</f>
        <v>House Maintenance</v>
      </c>
      <c r="G10192" t="s">
        <v>2</v>
      </c>
      <c r="I10192" s="8"/>
      <c r="O10192" t="str">
        <f>LEFT(Table2[[#This Row],[Description]],75)</f>
        <v>The Home Depot</v>
      </c>
    </row>
    <row r="10193" spans="1:15" hidden="1">
      <c r="A10193" s="25">
        <v>202310</v>
      </c>
      <c r="B10193" s="6">
        <v>45209</v>
      </c>
      <c r="C10193" t="s">
        <v>2519</v>
      </c>
      <c r="D10193" t="s">
        <v>4404</v>
      </c>
      <c r="E10193" s="53">
        <v>1500</v>
      </c>
      <c r="F10193" s="2" t="str">
        <f>IF(Table2[[#This Row],[Manual Cat Value]]="",VLOOKUP(Table2[[#This Row],[Description]],'Actuals Lookup'!D:F,3,0),Table2[[#This Row],[Manual Cat Value]])</f>
        <v>Sav - Savings</v>
      </c>
      <c r="H10193" s="8" t="s">
        <v>58</v>
      </c>
      <c r="I10193" s="8"/>
      <c r="O10193" t="str">
        <f>LEFT(Table2[[#This Row],[Description]],75)</f>
        <v>Transfer to Discover Bank</v>
      </c>
    </row>
    <row r="10194" spans="1:15" hidden="1">
      <c r="A10194" s="25">
        <v>202310</v>
      </c>
      <c r="B10194" s="6">
        <v>45209</v>
      </c>
      <c r="C10194" t="s">
        <v>2519</v>
      </c>
      <c r="D10194" t="s">
        <v>1955</v>
      </c>
      <c r="E10194" s="53">
        <v>55.4</v>
      </c>
      <c r="F10194" s="2" t="str">
        <f>IF(Table2[[#This Row],[Manual Cat Value]]="",VLOOKUP(Table2[[#This Row],[Description]],'Actuals Lookup'!D:F,3,0),Table2[[#This Row],[Manual Cat Value]])</f>
        <v>Exp - Shopping</v>
      </c>
      <c r="H10194" s="8" t="s">
        <v>36</v>
      </c>
      <c r="I10194" s="8"/>
      <c r="O10194" t="str">
        <f>LEFT(Table2[[#This Row],[Description]],75)</f>
        <v>Transfer to PayPal</v>
      </c>
    </row>
    <row r="10195" spans="1:15" hidden="1">
      <c r="A10195" s="25">
        <v>202310</v>
      </c>
      <c r="B10195" s="6">
        <v>45209</v>
      </c>
      <c r="C10195" t="s">
        <v>2519</v>
      </c>
      <c r="D10195" t="s">
        <v>1958</v>
      </c>
      <c r="E10195" s="53">
        <v>360</v>
      </c>
      <c r="F10195" s="2" t="str">
        <f>IF(Table2[[#This Row],[Manual Cat Value]]="",VLOOKUP(Table2[[#This Row],[Description]],'Actuals Lookup'!D:F,3,0),Table2[[#This Row],[Manual Cat Value]])</f>
        <v>Exp - Shopping</v>
      </c>
      <c r="H10195" s="8" t="s">
        <v>36</v>
      </c>
      <c r="I10195" s="8"/>
      <c r="O10195" t="str">
        <f>LEFT(Table2[[#This Row],[Description]],75)</f>
        <v>Transfer to Venmo</v>
      </c>
    </row>
    <row r="10196" spans="1:15" hidden="1">
      <c r="A10196" s="25">
        <v>202310</v>
      </c>
      <c r="B10196" s="6">
        <v>45209</v>
      </c>
      <c r="C10196" t="s">
        <v>2519</v>
      </c>
      <c r="D10196" t="s">
        <v>1958</v>
      </c>
      <c r="E10196" s="53">
        <v>134</v>
      </c>
      <c r="F10196" s="2" t="str">
        <f>IF(Table2[[#This Row],[Manual Cat Value]]="",VLOOKUP(Table2[[#This Row],[Description]],'Actuals Lookup'!D:F,3,0),Table2[[#This Row],[Manual Cat Value]])</f>
        <v>Exp - Shopping</v>
      </c>
      <c r="H10196" s="8" t="s">
        <v>36</v>
      </c>
      <c r="I10196" s="8"/>
      <c r="O10196" t="str">
        <f>LEFT(Table2[[#This Row],[Description]],75)</f>
        <v>Transfer to Venmo</v>
      </c>
    </row>
    <row r="10197" spans="1:15" hidden="1">
      <c r="A10197" s="25">
        <v>202310</v>
      </c>
      <c r="B10197" s="6">
        <v>45209</v>
      </c>
      <c r="C10197" t="s">
        <v>2519</v>
      </c>
      <c r="D10197" t="s">
        <v>1958</v>
      </c>
      <c r="E10197" s="53">
        <v>75</v>
      </c>
      <c r="F10197" s="2" t="str">
        <f>IF(Table2[[#This Row],[Manual Cat Value]]="",VLOOKUP(Table2[[#This Row],[Description]],'Actuals Lookup'!D:F,3,0),Table2[[#This Row],[Manual Cat Value]])</f>
        <v>Exp - Shopping</v>
      </c>
      <c r="H10197" s="8" t="s">
        <v>36</v>
      </c>
      <c r="I10197" s="8"/>
      <c r="O10197" t="str">
        <f>LEFT(Table2[[#This Row],[Description]],75)</f>
        <v>Transfer to Venmo</v>
      </c>
    </row>
    <row r="10198" spans="1:15" hidden="1">
      <c r="A10198">
        <v>202310</v>
      </c>
      <c r="B10198" s="6">
        <v>45209</v>
      </c>
      <c r="C10198" t="s">
        <v>4006</v>
      </c>
      <c r="D10198" t="s">
        <v>4920</v>
      </c>
      <c r="E10198">
        <v>98</v>
      </c>
      <c r="F10198" s="2" t="str">
        <f>IF(Table2[[#This Row],[Manual Cat Value]]="",VLOOKUP(Table2[[#This Row],[Description]],'Actuals Lookup'!D:F,3,0),Table2[[#This Row],[Manual Cat Value]])</f>
        <v>Exp - Shopping</v>
      </c>
      <c r="G10198" t="s">
        <v>21</v>
      </c>
      <c r="H10198" s="8" t="s">
        <v>36</v>
      </c>
      <c r="I10198" s="8"/>
      <c r="O10198" t="str">
        <f>LEFT(Table2[[#This Row],[Description]],75)</f>
        <v>Vuori Clothing</v>
      </c>
    </row>
    <row r="10199" spans="1:15" hidden="1">
      <c r="A10199">
        <v>202310</v>
      </c>
      <c r="B10199" s="6">
        <v>45209</v>
      </c>
      <c r="C10199" t="s">
        <v>3932</v>
      </c>
      <c r="D10199" t="s">
        <v>3988</v>
      </c>
      <c r="E10199">
        <v>-572.12</v>
      </c>
      <c r="F10199" s="2" t="str">
        <f>IF(Table2[[#This Row],[Manual Cat Value]]="",VLOOKUP(Table2[[#This Row],[Description]],'Actuals Lookup'!D:F,3,0),Table2[[#This Row],[Manual Cat Value]])</f>
        <v>Delete</v>
      </c>
      <c r="G10199" t="s">
        <v>8</v>
      </c>
      <c r="I10199" s="8"/>
      <c r="O10199" t="str">
        <f>LEFT(Table2[[#This Row],[Description]],75)</f>
        <v>Internet Payment - Thank You</v>
      </c>
    </row>
    <row r="10200" spans="1:15" hidden="1">
      <c r="A10200">
        <v>202310</v>
      </c>
      <c r="B10200" s="6">
        <v>45210</v>
      </c>
      <c r="C10200" t="s">
        <v>3938</v>
      </c>
      <c r="D10200" t="s">
        <v>38</v>
      </c>
      <c r="E10200">
        <v>49.79</v>
      </c>
      <c r="F10200" s="2" t="str">
        <f>IF(Table2[[#This Row],[Manual Cat Value]]="",VLOOKUP(Table2[[#This Row],[Description]],'Actuals Lookup'!D:F,3,0),Table2[[#This Row],[Manual Cat Value]])</f>
        <v>Exp - Amazon</v>
      </c>
      <c r="H10200" s="8" t="s">
        <v>37</v>
      </c>
      <c r="I10200" s="8"/>
      <c r="O10200" t="str">
        <f>LEFT(Table2[[#This Row],[Description]],75)</f>
        <v>Amazon</v>
      </c>
    </row>
    <row r="10201" spans="1:15" hidden="1">
      <c r="A10201">
        <v>202310</v>
      </c>
      <c r="B10201" s="6">
        <v>45210</v>
      </c>
      <c r="C10201" t="s">
        <v>3938</v>
      </c>
      <c r="D10201" t="s">
        <v>4093</v>
      </c>
      <c r="E10201">
        <v>14.1</v>
      </c>
      <c r="F10201" s="2" t="str">
        <f>IF(Table2[[#This Row],[Manual Cat Value]]="",VLOOKUP(Table2[[#This Row],[Description]],'Actuals Lookup'!D:F,3,0),Table2[[#This Row],[Manual Cat Value]])</f>
        <v>Exp - Groceries</v>
      </c>
      <c r="H10201" s="8" t="s">
        <v>27</v>
      </c>
      <c r="I10201" s="8"/>
      <c r="O10201" t="str">
        <f>LEFT(Table2[[#This Row],[Description]],75)</f>
        <v>Kowalski's Market</v>
      </c>
    </row>
    <row r="10202" spans="1:15" hidden="1">
      <c r="A10202">
        <v>202310</v>
      </c>
      <c r="B10202" s="6">
        <v>45210</v>
      </c>
      <c r="C10202" t="s">
        <v>4006</v>
      </c>
      <c r="D10202" t="s">
        <v>4960</v>
      </c>
      <c r="E10202">
        <v>23.16</v>
      </c>
      <c r="F10202" s="2" t="str">
        <f>IF(Table2[[#This Row],[Manual Cat Value]]="",VLOOKUP(Table2[[#This Row],[Description]],'Actuals Lookup'!D:F,3,0),Table2[[#This Row],[Manual Cat Value]])</f>
        <v>Restaurants</v>
      </c>
      <c r="G10202" t="s">
        <v>26</v>
      </c>
      <c r="I10202" s="8"/>
      <c r="O10202" t="str">
        <f>LEFT(Table2[[#This Row],[Description]],75)</f>
        <v>Tst* Bussin Birria 3bloomington Mn</v>
      </c>
    </row>
    <row r="10203" spans="1:15" hidden="1">
      <c r="A10203" s="25">
        <v>202310</v>
      </c>
      <c r="B10203" s="6">
        <v>45210</v>
      </c>
      <c r="C10203" t="s">
        <v>2519</v>
      </c>
      <c r="D10203" t="s">
        <v>4961</v>
      </c>
      <c r="E10203" s="53">
        <v>330</v>
      </c>
      <c r="F10203" s="2" t="str">
        <f>IF(Table2[[#This Row],[Manual Cat Value]]="",VLOOKUP(Table2[[#This Row],[Description]],'Actuals Lookup'!D:F,3,0),Table2[[#This Row],[Manual Cat Value]])</f>
        <v>Exp - Day Care</v>
      </c>
      <c r="H10203" s="8" t="s">
        <v>19</v>
      </c>
      <c r="I10203" s="8"/>
      <c r="O10203" t="str">
        <f>LEFT(Table2[[#This Row],[Description]],75)</f>
        <v>Withdrawal ACH MHCHILDCARELLC TYPE: DUES ID: XX8198 CO: MHCHILDCARELLC Entr</v>
      </c>
    </row>
    <row r="10204" spans="1:15" hidden="1">
      <c r="A10204">
        <v>202310</v>
      </c>
      <c r="B10204" s="6">
        <v>45210</v>
      </c>
      <c r="C10204" t="s">
        <v>4006</v>
      </c>
      <c r="D10204" t="s">
        <v>4012</v>
      </c>
      <c r="E10204">
        <v>-3803.14</v>
      </c>
      <c r="F10204" s="2" t="str">
        <f>IF(Table2[[#This Row],[Manual Cat Value]]="",VLOOKUP(Table2[[#This Row],[Description]],'Actuals Lookup'!D:F,3,0),Table2[[#This Row],[Manual Cat Value]])</f>
        <v>Delete</v>
      </c>
      <c r="G10204" t="s">
        <v>9</v>
      </c>
      <c r="I10204" s="8"/>
      <c r="O10204" t="str">
        <f>LEFT(Table2[[#This Row],[Description]],75)</f>
        <v>Online Payment - Thank You</v>
      </c>
    </row>
    <row r="10205" spans="1:15" hidden="1">
      <c r="A10205" s="25">
        <v>202310</v>
      </c>
      <c r="B10205" s="6">
        <v>45210</v>
      </c>
      <c r="C10205" t="s">
        <v>2519</v>
      </c>
      <c r="D10205" t="s">
        <v>1464</v>
      </c>
      <c r="E10205" s="53">
        <v>572.12</v>
      </c>
      <c r="F10205" s="2" t="str">
        <f>IF(Table2[[#This Row],[Manual Cat Value]]="",VLOOKUP(Table2[[#This Row],[Description]],'Actuals Lookup'!D:F,3,0),Table2[[#This Row],[Manual Cat Value]])</f>
        <v>Delete</v>
      </c>
      <c r="H10205" s="8" t="s">
        <v>9</v>
      </c>
      <c r="I10205" s="8"/>
      <c r="O10205" t="str">
        <f>LEFT(Table2[[#This Row],[Description]],75)</f>
        <v>Payment to Discover Bank</v>
      </c>
    </row>
    <row r="10206" spans="1:15" hidden="1">
      <c r="A10206">
        <v>202310</v>
      </c>
      <c r="B10206" s="6">
        <v>45211</v>
      </c>
      <c r="C10206" t="s">
        <v>4006</v>
      </c>
      <c r="D10206" t="s">
        <v>4726</v>
      </c>
      <c r="E10206">
        <v>2029.28</v>
      </c>
      <c r="F10206" s="2" t="str">
        <f>IF(Table2[[#This Row],[Manual Cat Value]]="",VLOOKUP(Table2[[#This Row],[Description]],'Actuals Lookup'!D:F,3,0),Table2[[#This Row],[Manual Cat Value]])</f>
        <v>Transportation</v>
      </c>
      <c r="G10206" t="s">
        <v>23</v>
      </c>
      <c r="I10206" s="8"/>
      <c r="O10206" t="str">
        <f>LEFT(Table2[[#This Row],[Description]],75)</f>
        <v>Bmw</v>
      </c>
    </row>
    <row r="10207" spans="1:15" hidden="1">
      <c r="A10207" s="25">
        <v>202310</v>
      </c>
      <c r="B10207" s="6">
        <v>45211</v>
      </c>
      <c r="C10207" t="s">
        <v>2519</v>
      </c>
      <c r="D10207" t="s">
        <v>404</v>
      </c>
      <c r="E10207" s="53">
        <v>-3594.83</v>
      </c>
      <c r="F10207" s="2" t="str">
        <f>IF(Table2[[#This Row],[Manual Cat Value]]="",VLOOKUP(Table2[[#This Row],[Description]],'Actuals Lookup'!D:F,3,0),Table2[[#This Row],[Manual Cat Value]])</f>
        <v>Inc - Britney</v>
      </c>
      <c r="H10207" s="8" t="s">
        <v>65</v>
      </c>
      <c r="I10207" s="8"/>
      <c r="O10207" t="str">
        <f>LEFT(Table2[[#This Row],[Description]],75)</f>
        <v>Cargill Inc Deposit</v>
      </c>
    </row>
    <row r="10208" spans="1:15" hidden="1">
      <c r="A10208">
        <v>202310</v>
      </c>
      <c r="B10208" s="6">
        <v>45211</v>
      </c>
      <c r="C10208" t="s">
        <v>4006</v>
      </c>
      <c r="D10208" t="s">
        <v>4540</v>
      </c>
      <c r="E10208">
        <v>79.989999999999995</v>
      </c>
      <c r="F10208" s="2" t="str">
        <f>IF(Table2[[#This Row],[Manual Cat Value]]="",VLOOKUP(Table2[[#This Row],[Description]],'Actuals Lookup'!D:F,3,0),Table2[[#This Row],[Manual Cat Value]])</f>
        <v>Restaurants</v>
      </c>
      <c r="G10208" t="s">
        <v>26</v>
      </c>
      <c r="I10208" s="8"/>
      <c r="O10208" t="str">
        <f>LEFT(Table2[[#This Row],[Description]],75)</f>
        <v>Five Star Food Mart</v>
      </c>
    </row>
    <row r="10209" spans="1:15" hidden="1">
      <c r="A10209">
        <v>202310</v>
      </c>
      <c r="B10209" s="6">
        <v>45211</v>
      </c>
      <c r="C10209" t="s">
        <v>3938</v>
      </c>
      <c r="D10209" t="s">
        <v>4868</v>
      </c>
      <c r="E10209">
        <v>5.99</v>
      </c>
      <c r="F10209" s="2" t="str">
        <f>IF(Table2[[#This Row],[Manual Cat Value]]="",VLOOKUP(Table2[[#This Row],[Description]],'Actuals Lookup'!D:F,3,0),Table2[[#This Row],[Manual Cat Value]])</f>
        <v>Exp - Entertainment</v>
      </c>
      <c r="H10209" s="8" t="s">
        <v>39</v>
      </c>
      <c r="I10209" s="8"/>
      <c r="O10209" t="str">
        <f>LEFT(Table2[[#This Row],[Description]],75)</f>
        <v>Hallmark Movies Now</v>
      </c>
    </row>
    <row r="10210" spans="1:15" hidden="1">
      <c r="A10210">
        <v>202310</v>
      </c>
      <c r="B10210" s="6">
        <v>45211</v>
      </c>
      <c r="C10210" t="s">
        <v>4006</v>
      </c>
      <c r="D10210" t="s">
        <v>4962</v>
      </c>
      <c r="E10210">
        <v>45.31</v>
      </c>
      <c r="F10210" s="2" t="str">
        <f>IF(Table2[[#This Row],[Manual Cat Value]]="",VLOOKUP(Table2[[#This Row],[Description]],'Actuals Lookup'!D:F,3,0),Table2[[#This Row],[Manual Cat Value]])</f>
        <v>Restaurants</v>
      </c>
      <c r="G10210" t="s">
        <v>26</v>
      </c>
      <c r="I10210" s="8"/>
      <c r="O10210" t="str">
        <f>LEFT(Table2[[#This Row],[Description]],75)</f>
        <v>Hawaii Poke</v>
      </c>
    </row>
    <row r="10211" spans="1:15" hidden="1">
      <c r="A10211">
        <v>202310</v>
      </c>
      <c r="B10211" s="6">
        <v>45211</v>
      </c>
      <c r="C10211" t="s">
        <v>3932</v>
      </c>
      <c r="D10211" t="s">
        <v>3992</v>
      </c>
      <c r="E10211">
        <v>-76.3</v>
      </c>
      <c r="F10211" s="2" t="str">
        <f>IF(Table2[[#This Row],[Manual Cat Value]]="",VLOOKUP(Table2[[#This Row],[Description]],'Actuals Lookup'!D:F,3,0),Table2[[#This Row],[Manual Cat Value]])</f>
        <v>Shopping</v>
      </c>
      <c r="G10211" t="s">
        <v>21</v>
      </c>
      <c r="I10211" s="8"/>
      <c r="O10211" t="str">
        <f>LEFT(Table2[[#This Row],[Description]],75)</f>
        <v>Paypal</v>
      </c>
    </row>
    <row r="10212" spans="1:15" hidden="1">
      <c r="A10212" s="25">
        <v>202310</v>
      </c>
      <c r="B10212" s="6">
        <v>45211</v>
      </c>
      <c r="C10212" t="s">
        <v>2519</v>
      </c>
      <c r="D10212" t="s">
        <v>4343</v>
      </c>
      <c r="E10212" s="53">
        <v>-3342.8</v>
      </c>
      <c r="F10212" s="2" t="str">
        <f>IF(Table2[[#This Row],[Manual Cat Value]]="",VLOOKUP(Table2[[#This Row],[Description]],'Actuals Lookup'!D:F,3,0),Table2[[#This Row],[Manual Cat Value]])</f>
        <v>Inc - Jeff</v>
      </c>
      <c r="H10212" s="8" t="s">
        <v>63</v>
      </c>
      <c r="I10212" s="8"/>
      <c r="O10212" t="str">
        <f>LEFT(Table2[[#This Row],[Description]],75)</f>
        <v>Salary/Regular Income from TriNet</v>
      </c>
    </row>
    <row r="10213" spans="1:15" hidden="1">
      <c r="A10213" s="25">
        <v>202310</v>
      </c>
      <c r="B10213" s="6">
        <v>45211</v>
      </c>
      <c r="C10213" t="s">
        <v>2519</v>
      </c>
      <c r="D10213" t="s">
        <v>1958</v>
      </c>
      <c r="E10213" s="53">
        <v>266.66000000000003</v>
      </c>
      <c r="F10213" s="2" t="str">
        <f>IF(Table2[[#This Row],[Manual Cat Value]]="",VLOOKUP(Table2[[#This Row],[Description]],'Actuals Lookup'!D:F,3,0),Table2[[#This Row],[Manual Cat Value]])</f>
        <v>Exp - Shopping</v>
      </c>
      <c r="H10213" s="8" t="s">
        <v>36</v>
      </c>
      <c r="I10213" s="8"/>
      <c r="O10213" t="str">
        <f>LEFT(Table2[[#This Row],[Description]],75)</f>
        <v>Transfer to Venmo</v>
      </c>
    </row>
    <row r="10214" spans="1:15" hidden="1">
      <c r="A10214" s="25">
        <v>202310</v>
      </c>
      <c r="B10214" s="6">
        <v>45211</v>
      </c>
      <c r="C10214" t="s">
        <v>2519</v>
      </c>
      <c r="D10214" t="s">
        <v>1958</v>
      </c>
      <c r="E10214" s="53">
        <v>22</v>
      </c>
      <c r="F10214" s="2" t="str">
        <f>IF(Table2[[#This Row],[Manual Cat Value]]="",VLOOKUP(Table2[[#This Row],[Description]],'Actuals Lookup'!D:F,3,0),Table2[[#This Row],[Manual Cat Value]])</f>
        <v>Exp - Shopping</v>
      </c>
      <c r="H10214" s="8" t="s">
        <v>36</v>
      </c>
      <c r="I10214" s="8"/>
      <c r="O10214" t="str">
        <f>LEFT(Table2[[#This Row],[Description]],75)</f>
        <v>Transfer to Venmo</v>
      </c>
    </row>
    <row r="10215" spans="1:15" hidden="1">
      <c r="A10215">
        <v>202310</v>
      </c>
      <c r="B10215" s="6">
        <v>45211</v>
      </c>
      <c r="C10215" t="s">
        <v>4006</v>
      </c>
      <c r="D10215" t="s">
        <v>4963</v>
      </c>
      <c r="E10215">
        <v>525.66</v>
      </c>
      <c r="F10215" s="2" t="str">
        <f>IF(Table2[[#This Row],[Manual Cat Value]]="",VLOOKUP(Table2[[#This Row],[Description]],'Actuals Lookup'!D:F,3,0),Table2[[#This Row],[Manual Cat Value]])</f>
        <v>Restaurants</v>
      </c>
      <c r="G10215" t="s">
        <v>26</v>
      </c>
      <c r="I10215" s="8"/>
      <c r="O10215" t="str">
        <f>LEFT(Table2[[#This Row],[Description]],75)</f>
        <v>Tst* Honey Paw 00057portland Me</v>
      </c>
    </row>
    <row r="10216" spans="1:15" hidden="1">
      <c r="A10216" s="25">
        <v>202310</v>
      </c>
      <c r="B10216" s="6">
        <v>45211</v>
      </c>
      <c r="C10216" t="s">
        <v>2519</v>
      </c>
      <c r="D10216" t="s">
        <v>4293</v>
      </c>
      <c r="E10216" s="53">
        <v>998.15</v>
      </c>
      <c r="F10216" s="2" t="str">
        <f>IF(Table2[[#This Row],[Manual Cat Value]]="",VLOOKUP(Table2[[#This Row],[Description]],'Actuals Lookup'!D:F,3,0),Table2[[#This Row],[Manual Cat Value]])</f>
        <v>Delete</v>
      </c>
      <c r="H10216" s="8" t="s">
        <v>9</v>
      </c>
      <c r="I10216" s="8"/>
      <c r="O10216" t="str">
        <f>LEFT(Table2[[#This Row],[Description]],75)</f>
        <v>Withdrawal Home Banking Pmt to card XX5913</v>
      </c>
    </row>
    <row r="10217" spans="1:15" hidden="1">
      <c r="A10217">
        <v>202310</v>
      </c>
      <c r="B10217" s="6">
        <v>45211</v>
      </c>
      <c r="C10217" t="s">
        <v>3938</v>
      </c>
      <c r="D10217" t="s">
        <v>673</v>
      </c>
      <c r="E10217">
        <v>-998.15</v>
      </c>
      <c r="F10217" s="2" t="str">
        <f>IF(Table2[[#This Row],[Manual Cat Value]]="",VLOOKUP(Table2[[#This Row],[Description]],'Actuals Lookup'!D:F,3,0),Table2[[#This Row],[Manual Cat Value]])</f>
        <v>Delete</v>
      </c>
      <c r="H10217" s="8" t="s">
        <v>9</v>
      </c>
      <c r="I10217" s="8"/>
      <c r="O10217" t="str">
        <f>LEFT(Table2[[#This Row],[Description]],75)</f>
        <v>Credit Card Payment Received</v>
      </c>
    </row>
    <row r="10218" spans="1:15" hidden="1">
      <c r="A10218" s="25">
        <v>202310</v>
      </c>
      <c r="B10218" s="6">
        <v>45211</v>
      </c>
      <c r="C10218" t="s">
        <v>2519</v>
      </c>
      <c r="D10218" t="s">
        <v>1458</v>
      </c>
      <c r="E10218" s="53">
        <v>3803.14</v>
      </c>
      <c r="F10218" s="2" t="str">
        <f>IF(Table2[[#This Row],[Manual Cat Value]]="",VLOOKUP(Table2[[#This Row],[Description]],'Actuals Lookup'!D:F,3,0),Table2[[#This Row],[Manual Cat Value]])</f>
        <v>Delete</v>
      </c>
      <c r="H10218" s="8" t="s">
        <v>9</v>
      </c>
      <c r="I10218" s="8"/>
      <c r="O10218" t="str">
        <f>LEFT(Table2[[#This Row],[Description]],75)</f>
        <v>Payment to American Express</v>
      </c>
    </row>
    <row r="10219" spans="1:15" hidden="1">
      <c r="A10219" s="25">
        <v>202310</v>
      </c>
      <c r="B10219" s="6">
        <v>45212</v>
      </c>
      <c r="C10219" t="s">
        <v>2519</v>
      </c>
      <c r="D10219" t="s">
        <v>4964</v>
      </c>
      <c r="E10219" s="53">
        <v>-2828.63</v>
      </c>
      <c r="F10219" s="2" t="str">
        <f>IF(Table2[[#This Row],[Manual Cat Value]]="",VLOOKUP(Table2[[#This Row],[Description]],'Actuals Lookup'!D:F,3,0),Table2[[#This Row],[Manual Cat Value]])</f>
        <v>Inc - Jeff</v>
      </c>
      <c r="H10219" s="8" t="s">
        <v>63</v>
      </c>
      <c r="I10219" s="8"/>
      <c r="O10219" t="str">
        <f>LEFT(Table2[[#This Row],[Description]],75)</f>
        <v>Deposit ACH EMPYREAN SOLUTIO TYPE: XX9000 ID: XX3620 CO: EMPYREAN SOLUTIO E</v>
      </c>
    </row>
    <row r="10220" spans="1:15" hidden="1">
      <c r="A10220">
        <v>202310</v>
      </c>
      <c r="B10220" s="6">
        <v>45212</v>
      </c>
      <c r="C10220" t="s">
        <v>4006</v>
      </c>
      <c r="D10220" t="s">
        <v>4810</v>
      </c>
      <c r="E10220">
        <v>57.22</v>
      </c>
      <c r="F10220" s="2" t="str">
        <f>IF(Table2[[#This Row],[Manual Cat Value]]="",VLOOKUP(Table2[[#This Row],[Description]],'Actuals Lookup'!D:F,3,0),Table2[[#This Row],[Manual Cat Value]])</f>
        <v>Exp - Shopping</v>
      </c>
      <c r="G10220" t="s">
        <v>41</v>
      </c>
      <c r="H10220" s="8" t="s">
        <v>36</v>
      </c>
      <c r="I10220" s="8"/>
      <c r="O10220" t="str">
        <f>LEFT(Table2[[#This Row],[Description]],75)</f>
        <v>Mills Fleet Farm</v>
      </c>
    </row>
    <row r="10221" spans="1:15" hidden="1">
      <c r="A10221">
        <v>202310</v>
      </c>
      <c r="B10221" s="6">
        <v>45212</v>
      </c>
      <c r="C10221" t="s">
        <v>3938</v>
      </c>
      <c r="D10221" t="s">
        <v>3973</v>
      </c>
      <c r="E10221">
        <v>70</v>
      </c>
      <c r="F10221" s="2" t="str">
        <f>IF(Table2[[#This Row],[Manual Cat Value]]="",VLOOKUP(Table2[[#This Row],[Description]],'Actuals Lookup'!D:F,3,0),Table2[[#This Row],[Manual Cat Value]])</f>
        <v>Exp - Day Care</v>
      </c>
      <c r="H10221" s="8" t="s">
        <v>19</v>
      </c>
      <c r="I10221" s="8"/>
      <c r="O10221" t="str">
        <f>LEFT(Table2[[#This Row],[Description]],75)</f>
        <v>Minnetonka Public Schools</v>
      </c>
    </row>
    <row r="10222" spans="1:15" hidden="1">
      <c r="A10222" s="25">
        <v>202310</v>
      </c>
      <c r="B10222" s="6">
        <v>45212</v>
      </c>
      <c r="C10222" t="s">
        <v>2519</v>
      </c>
      <c r="D10222" t="s">
        <v>1355</v>
      </c>
      <c r="E10222" s="53">
        <v>497.23</v>
      </c>
      <c r="F10222" s="2" t="str">
        <f>IF(Table2[[#This Row],[Manual Cat Value]]="",VLOOKUP(Table2[[#This Row],[Description]],'Actuals Lookup'!D:F,3,0),Table2[[#This Row],[Manual Cat Value]])</f>
        <v>Exp - Shopping</v>
      </c>
      <c r="H10222" s="8" t="s">
        <v>36</v>
      </c>
      <c r="I10222" s="8"/>
      <c r="O10222" t="str">
        <f>LEFT(Table2[[#This Row],[Description]],75)</f>
        <v>Nordstrom</v>
      </c>
    </row>
    <row r="10223" spans="1:15" hidden="1">
      <c r="A10223">
        <v>202310</v>
      </c>
      <c r="B10223" s="6">
        <v>45212</v>
      </c>
      <c r="C10223" t="s">
        <v>4006</v>
      </c>
      <c r="D10223" t="s">
        <v>1849</v>
      </c>
      <c r="E10223">
        <v>11.68</v>
      </c>
      <c r="F10223" s="2" t="str">
        <f>IF(Table2[[#This Row],[Manual Cat Value]]="",VLOOKUP(Table2[[#This Row],[Description]],'Actuals Lookup'!D:F,3,0),Table2[[#This Row],[Manual Cat Value]])</f>
        <v>House Maintenance</v>
      </c>
      <c r="G10223" t="s">
        <v>2</v>
      </c>
      <c r="I10223" s="8"/>
      <c r="O10223" t="str">
        <f>LEFT(Table2[[#This Row],[Description]],75)</f>
        <v>The Home Depot</v>
      </c>
    </row>
    <row r="10224" spans="1:15" hidden="1">
      <c r="A10224">
        <v>202310</v>
      </c>
      <c r="B10224" s="6">
        <v>45212</v>
      </c>
      <c r="C10224" t="s">
        <v>4006</v>
      </c>
      <c r="D10224" t="s">
        <v>4965</v>
      </c>
      <c r="E10224">
        <v>65.489999999999995</v>
      </c>
      <c r="F10224" s="2" t="str">
        <f>IF(Table2[[#This Row],[Manual Cat Value]]="",VLOOKUP(Table2[[#This Row],[Description]],'Actuals Lookup'!D:F,3,0),Table2[[#This Row],[Manual Cat Value]])</f>
        <v>Restaurants</v>
      </c>
      <c r="G10224" t="s">
        <v>26</v>
      </c>
      <c r="I10224" s="8"/>
      <c r="O10224" t="str">
        <f>LEFT(Table2[[#This Row],[Description]],75)</f>
        <v>Tst* Maynards Insideexcelsior Mn</v>
      </c>
    </row>
    <row r="10225" spans="1:15" hidden="1">
      <c r="A10225" s="25">
        <v>202310</v>
      </c>
      <c r="B10225" s="6">
        <v>45212</v>
      </c>
      <c r="C10225" t="s">
        <v>2519</v>
      </c>
      <c r="D10225" t="s">
        <v>1461</v>
      </c>
      <c r="E10225" s="53">
        <v>65.349999999999994</v>
      </c>
      <c r="F10225" s="2" t="str">
        <f>IF(Table2[[#This Row],[Manual Cat Value]]="",VLOOKUP(Table2[[#This Row],[Description]],'Actuals Lookup'!D:F,3,0),Table2[[#This Row],[Manual Cat Value]])</f>
        <v>Exp - Utilities</v>
      </c>
      <c r="H10225" s="8" t="s">
        <v>6</v>
      </c>
      <c r="I10225" s="8"/>
      <c r="O10225" t="str">
        <f>LEFT(Table2[[#This Row],[Description]],75)</f>
        <v>Payment to CenterPoint Energy</v>
      </c>
    </row>
    <row r="10226" spans="1:15" hidden="1">
      <c r="A10226">
        <v>202310</v>
      </c>
      <c r="B10226" s="6">
        <v>45212</v>
      </c>
      <c r="C10226" t="s">
        <v>3938</v>
      </c>
      <c r="D10226" t="s">
        <v>1462</v>
      </c>
      <c r="E10226">
        <v>45</v>
      </c>
      <c r="F10226" s="2" t="str">
        <f>IF(Table2[[#This Row],[Manual Cat Value]]="",VLOOKUP(Table2[[#This Row],[Description]],'Actuals Lookup'!D:F,3,0),Table2[[#This Row],[Manual Cat Value]])</f>
        <v>Exp - Utilities</v>
      </c>
      <c r="H10226" s="8" t="s">
        <v>6</v>
      </c>
      <c r="I10226" s="8"/>
      <c r="O10226" t="str">
        <f>LEFT(Table2[[#This Row],[Description]],75)</f>
        <v>Payment to CenturyLink</v>
      </c>
    </row>
    <row r="10227" spans="1:15" hidden="1">
      <c r="A10227">
        <v>202310</v>
      </c>
      <c r="B10227" s="6">
        <v>45213</v>
      </c>
      <c r="C10227" t="s">
        <v>4006</v>
      </c>
      <c r="D10227" t="s">
        <v>4966</v>
      </c>
      <c r="E10227">
        <v>17</v>
      </c>
      <c r="F10227" s="2" t="str">
        <f>IF(Table2[[#This Row],[Manual Cat Value]]="",VLOOKUP(Table2[[#This Row],[Description]],'Actuals Lookup'!D:F,3,0),Table2[[#This Row],[Manual Cat Value]])</f>
        <v>Exp - Restaurants</v>
      </c>
      <c r="G10227" t="s">
        <v>35</v>
      </c>
      <c r="H10227" s="8" t="s">
        <v>25</v>
      </c>
      <c r="I10227" s="8"/>
      <c r="O10227" t="str">
        <f>LEFT(Table2[[#This Row],[Description]],75)</f>
        <v>Aplpay Truckin Good Edgecomb Me</v>
      </c>
    </row>
    <row r="10228" spans="1:15" hidden="1">
      <c r="A10228">
        <v>202310</v>
      </c>
      <c r="B10228" s="6">
        <v>45213</v>
      </c>
      <c r="C10228" t="s">
        <v>4006</v>
      </c>
      <c r="D10228" t="s">
        <v>545</v>
      </c>
      <c r="E10228">
        <v>19.559999999999999</v>
      </c>
      <c r="F10228" s="2" t="str">
        <f>IF(Table2[[#This Row],[Manual Cat Value]]="",VLOOKUP(Table2[[#This Row],[Description]],'Actuals Lookup'!D:F,3,0),Table2[[#This Row],[Manual Cat Value]])</f>
        <v>Restaurants</v>
      </c>
      <c r="G10228" t="s">
        <v>26</v>
      </c>
      <c r="I10228" s="8"/>
      <c r="O10228" t="str">
        <f>LEFT(Table2[[#This Row],[Description]],75)</f>
        <v>Chipotle Mexican Grill</v>
      </c>
    </row>
    <row r="10229" spans="1:15" hidden="1">
      <c r="A10229">
        <v>202310</v>
      </c>
      <c r="B10229" s="6">
        <v>45213</v>
      </c>
      <c r="C10229" t="s">
        <v>4006</v>
      </c>
      <c r="D10229" t="s">
        <v>1707</v>
      </c>
      <c r="E10229">
        <v>39.96</v>
      </c>
      <c r="F10229" s="2" t="str">
        <f>IF(Table2[[#This Row],[Manual Cat Value]]="",VLOOKUP(Table2[[#This Row],[Description]],'Actuals Lookup'!D:F,3,0),Table2[[#This Row],[Manual Cat Value]])</f>
        <v>Transportation</v>
      </c>
      <c r="G10229" t="s">
        <v>23</v>
      </c>
      <c r="I10229" s="8"/>
      <c r="O10229" t="str">
        <f>LEFT(Table2[[#This Row],[Description]],75)</f>
        <v>Speedway</v>
      </c>
    </row>
    <row r="10230" spans="1:15" hidden="1">
      <c r="A10230">
        <v>202310</v>
      </c>
      <c r="B10230" s="6">
        <v>45214</v>
      </c>
      <c r="C10230" t="s">
        <v>4006</v>
      </c>
      <c r="D10230" t="s">
        <v>333</v>
      </c>
      <c r="E10230">
        <v>13.26</v>
      </c>
      <c r="F10230" s="2" t="str">
        <f>IF(Table2[[#This Row],[Manual Cat Value]]="",VLOOKUP(Table2[[#This Row],[Description]],'Actuals Lookup'!D:F,3,0),Table2[[#This Row],[Manual Cat Value]])</f>
        <v>Restaurants</v>
      </c>
      <c r="G10230" t="s">
        <v>26</v>
      </c>
      <c r="I10230" s="8"/>
      <c r="O10230" t="str">
        <f>LEFT(Table2[[#This Row],[Description]],75)</f>
        <v>Burger King</v>
      </c>
    </row>
    <row r="10231" spans="1:15" hidden="1">
      <c r="A10231">
        <v>202310</v>
      </c>
      <c r="B10231" s="6">
        <v>45214</v>
      </c>
      <c r="C10231" t="s">
        <v>4006</v>
      </c>
      <c r="D10231" t="s">
        <v>453</v>
      </c>
      <c r="E10231">
        <v>3.53</v>
      </c>
      <c r="F10231" s="2" t="str">
        <f>IF(Table2[[#This Row],[Manual Cat Value]]="",VLOOKUP(Table2[[#This Row],[Description]],'Actuals Lookup'!D:F,3,0),Table2[[#This Row],[Manual Cat Value]])</f>
        <v>Restaurants</v>
      </c>
      <c r="G10231" t="s">
        <v>26</v>
      </c>
      <c r="I10231" s="8"/>
      <c r="O10231" t="str">
        <f>LEFT(Table2[[#This Row],[Description]],75)</f>
        <v>Caribou Coffee</v>
      </c>
    </row>
    <row r="10232" spans="1:15" hidden="1">
      <c r="A10232">
        <v>202310</v>
      </c>
      <c r="B10232" s="6">
        <v>45214</v>
      </c>
      <c r="C10232" t="s">
        <v>4006</v>
      </c>
      <c r="D10232" t="s">
        <v>684</v>
      </c>
      <c r="E10232">
        <v>70.98</v>
      </c>
      <c r="F10232" s="2" t="str">
        <f>IF(Table2[[#This Row],[Manual Cat Value]]="",VLOOKUP(Table2[[#This Row],[Description]],'Actuals Lookup'!D:F,3,0),Table2[[#This Row],[Manual Cat Value]])</f>
        <v>Groceries</v>
      </c>
      <c r="G10232" t="s">
        <v>28</v>
      </c>
      <c r="I10232" s="8"/>
      <c r="O10232" t="str">
        <f>LEFT(Table2[[#This Row],[Description]],75)</f>
        <v>Cub Foods</v>
      </c>
    </row>
    <row r="10233" spans="1:15" hidden="1">
      <c r="A10233">
        <v>202310</v>
      </c>
      <c r="B10233" s="6">
        <v>45214</v>
      </c>
      <c r="C10233" t="s">
        <v>4006</v>
      </c>
      <c r="D10233" t="s">
        <v>4864</v>
      </c>
      <c r="E10233">
        <v>369.57</v>
      </c>
      <c r="F10233" s="2" t="str">
        <f>IF(Table2[[#This Row],[Manual Cat Value]]="",VLOOKUP(Table2[[#This Row],[Description]],'Actuals Lookup'!D:F,3,0),Table2[[#This Row],[Manual Cat Value]])</f>
        <v>Travel</v>
      </c>
      <c r="G10233" t="s">
        <v>43</v>
      </c>
      <c r="I10233" s="8"/>
      <c r="O10233" t="str">
        <f>LEFT(Table2[[#This Row],[Description]],75)</f>
        <v>National Car Rental</v>
      </c>
    </row>
    <row r="10234" spans="1:15" hidden="1">
      <c r="A10234">
        <v>202310</v>
      </c>
      <c r="B10234" s="6">
        <v>45214</v>
      </c>
      <c r="C10234" t="s">
        <v>3938</v>
      </c>
      <c r="D10234" t="s">
        <v>4967</v>
      </c>
      <c r="E10234">
        <v>43</v>
      </c>
      <c r="F10234" s="2" t="str">
        <f>IF(Table2[[#This Row],[Manual Cat Value]]="",VLOOKUP(Table2[[#This Row],[Description]],'Actuals Lookup'!D:F,3,0),Table2[[#This Row],[Manual Cat Value]])</f>
        <v>Exp - Transportation</v>
      </c>
      <c r="H10234" s="8" t="s">
        <v>22</v>
      </c>
      <c r="I10234" s="8"/>
      <c r="O10234" t="str">
        <f>LEFT(Table2[[#This Row],[Description]],75)</f>
        <v>Unified Parking Partners</v>
      </c>
    </row>
    <row r="10235" spans="1:15" hidden="1">
      <c r="A10235">
        <v>202310</v>
      </c>
      <c r="B10235" s="6">
        <v>45215</v>
      </c>
      <c r="C10235" t="s">
        <v>3932</v>
      </c>
      <c r="D10235" t="s">
        <v>38</v>
      </c>
      <c r="E10235">
        <v>32.46</v>
      </c>
      <c r="F10235" s="2" t="str">
        <f>IF(Table2[[#This Row],[Manual Cat Value]]="",VLOOKUP(Table2[[#This Row],[Description]],'Actuals Lookup'!D:F,3,0),Table2[[#This Row],[Manual Cat Value]])</f>
        <v>Exp - Amazon</v>
      </c>
      <c r="G10235" t="s">
        <v>38</v>
      </c>
      <c r="H10235" s="8" t="s">
        <v>37</v>
      </c>
      <c r="I10235" s="8"/>
      <c r="O10235" t="str">
        <f>LEFT(Table2[[#This Row],[Description]],75)</f>
        <v>Amazon</v>
      </c>
    </row>
    <row r="10236" spans="1:15" hidden="1">
      <c r="A10236" s="25">
        <v>202310</v>
      </c>
      <c r="B10236" s="6">
        <v>45215</v>
      </c>
      <c r="C10236" t="s">
        <v>2519</v>
      </c>
      <c r="D10236" t="s">
        <v>4283</v>
      </c>
      <c r="E10236" s="53">
        <v>-107.75</v>
      </c>
      <c r="F10236" s="2" t="str">
        <f>IF(Table2[[#This Row],[Manual Cat Value]]="",VLOOKUP(Table2[[#This Row],[Description]],'Actuals Lookup'!D:F,3,0),Table2[[#This Row],[Manual Cat Value]])</f>
        <v>Inc - Britney</v>
      </c>
      <c r="H10236" s="8" t="s">
        <v>65</v>
      </c>
      <c r="I10236" s="8"/>
      <c r="O10236" t="str">
        <f>LEFT(Table2[[#This Row],[Description]],75)</f>
        <v>Cargill Deposit</v>
      </c>
    </row>
    <row r="10237" spans="1:15" hidden="1">
      <c r="A10237">
        <v>202310</v>
      </c>
      <c r="B10237" s="6">
        <v>45215</v>
      </c>
      <c r="C10237" t="s">
        <v>3938</v>
      </c>
      <c r="D10237" t="s">
        <v>4968</v>
      </c>
      <c r="E10237">
        <v>256.45999999999998</v>
      </c>
      <c r="F10237" s="2" t="str">
        <f>IF(Table2[[#This Row],[Manual Cat Value]]="",VLOOKUP(Table2[[#This Row],[Description]],'Actuals Lookup'!D:F,3,0),Table2[[#This Row],[Manual Cat Value]])</f>
        <v>Delete</v>
      </c>
      <c r="H10237" s="8" t="s">
        <v>9</v>
      </c>
      <c r="I10237" s="8"/>
      <c r="O10237" t="str">
        <f>LEFT(Table2[[#This Row],[Description]],75)</f>
        <v>SP PUR BRANDS LLC HTTPSPURBRANDTX REF #XX0015XP79</v>
      </c>
    </row>
    <row r="10238" spans="1:15" hidden="1">
      <c r="A10238" s="25">
        <v>202310</v>
      </c>
      <c r="B10238" s="6">
        <v>45215</v>
      </c>
      <c r="C10238" t="s">
        <v>2519</v>
      </c>
      <c r="D10238" t="s">
        <v>4356</v>
      </c>
      <c r="E10238" s="53">
        <v>116.77</v>
      </c>
      <c r="F10238" s="2" t="str">
        <f>IF(Table2[[#This Row],[Manual Cat Value]]="",VLOOKUP(Table2[[#This Row],[Description]],'Actuals Lookup'!D:F,3,0),Table2[[#This Row],[Manual Cat Value]])</f>
        <v>Exp - Insurance</v>
      </c>
      <c r="H10238" s="8" t="s">
        <v>17</v>
      </c>
      <c r="I10238" s="8"/>
      <c r="O10238" t="str">
        <f>LEFT(Table2[[#This Row],[Description]],75)</f>
        <v>Payment to American Family Insurance</v>
      </c>
    </row>
    <row r="10239" spans="1:15" hidden="1">
      <c r="A10239">
        <v>202310</v>
      </c>
      <c r="B10239" s="6">
        <v>45216</v>
      </c>
      <c r="C10239" t="s">
        <v>4006</v>
      </c>
      <c r="D10239" t="s">
        <v>4870</v>
      </c>
      <c r="E10239">
        <v>8.77</v>
      </c>
      <c r="F10239" s="2" t="str">
        <f>IF(Table2[[#This Row],[Manual Cat Value]]="",VLOOKUP(Table2[[#This Row],[Description]],'Actuals Lookup'!D:F,3,0),Table2[[#This Row],[Manual Cat Value]])</f>
        <v>Restaurants</v>
      </c>
      <c r="G10239" t="s">
        <v>26</v>
      </c>
      <c r="I10239" s="8"/>
      <c r="O10239" t="str">
        <f>LEFT(Table2[[#This Row],[Description]],75)</f>
        <v>Aplpay Wayzata Cafe Wayzata Mn</v>
      </c>
    </row>
    <row r="10240" spans="1:15" hidden="1">
      <c r="A10240">
        <v>202310</v>
      </c>
      <c r="B10240" s="6">
        <v>45216</v>
      </c>
      <c r="C10240" t="s">
        <v>3938</v>
      </c>
      <c r="D10240" t="s">
        <v>4969</v>
      </c>
      <c r="E10240">
        <v>-256.45999999999998</v>
      </c>
      <c r="F10240" s="2" t="str">
        <f>IF(Table2[[#This Row],[Manual Cat Value]]="",VLOOKUP(Table2[[#This Row],[Description]],'Actuals Lookup'!D:F,3,0),Table2[[#This Row],[Manual Cat Value]])</f>
        <v>Delete</v>
      </c>
      <c r="H10240" s="8" t="s">
        <v>9</v>
      </c>
      <c r="I10240" s="8"/>
      <c r="O10240" t="str">
        <f>LEFT(Table2[[#This Row],[Description]],75)</f>
        <v>SP PUR BRANDS LLC HTTPSPURBRANDTX REF #XX0009RKTT</v>
      </c>
    </row>
    <row r="10241" spans="1:15" hidden="1">
      <c r="A10241">
        <v>202310</v>
      </c>
      <c r="B10241" s="6">
        <v>45216</v>
      </c>
      <c r="C10241" t="s">
        <v>4006</v>
      </c>
      <c r="D10241" t="s">
        <v>1707</v>
      </c>
      <c r="E10241">
        <v>62.44</v>
      </c>
      <c r="F10241" s="2" t="str">
        <f>IF(Table2[[#This Row],[Manual Cat Value]]="",VLOOKUP(Table2[[#This Row],[Description]],'Actuals Lookup'!D:F,3,0),Table2[[#This Row],[Manual Cat Value]])</f>
        <v>Transportation</v>
      </c>
      <c r="G10241" t="s">
        <v>23</v>
      </c>
      <c r="I10241" s="8"/>
      <c r="O10241" t="str">
        <f>LEFT(Table2[[#This Row],[Description]],75)</f>
        <v>Speedway</v>
      </c>
    </row>
    <row r="10242" spans="1:15" hidden="1">
      <c r="A10242">
        <v>202310</v>
      </c>
      <c r="B10242" s="6">
        <v>45216</v>
      </c>
      <c r="C10242" t="s">
        <v>4006</v>
      </c>
      <c r="D10242" t="s">
        <v>31</v>
      </c>
      <c r="E10242">
        <v>34.93</v>
      </c>
      <c r="F10242" s="2" t="str">
        <f>IF(Table2[[#This Row],[Manual Cat Value]]="",VLOOKUP(Table2[[#This Row],[Description]],'Actuals Lookup'!D:F,3,0),Table2[[#This Row],[Manual Cat Value]])</f>
        <v>Target</v>
      </c>
      <c r="G10242" t="s">
        <v>31</v>
      </c>
      <c r="I10242" s="8"/>
      <c r="O10242" t="str">
        <f>LEFT(Table2[[#This Row],[Description]],75)</f>
        <v>Target</v>
      </c>
    </row>
    <row r="10243" spans="1:15" hidden="1">
      <c r="A10243" s="25">
        <v>202310</v>
      </c>
      <c r="B10243" s="6">
        <v>45216</v>
      </c>
      <c r="C10243" t="s">
        <v>2519</v>
      </c>
      <c r="D10243" t="s">
        <v>1958</v>
      </c>
      <c r="E10243" s="53">
        <v>132</v>
      </c>
      <c r="F10243" s="2" t="str">
        <f>IF(Table2[[#This Row],[Manual Cat Value]]="",VLOOKUP(Table2[[#This Row],[Description]],'Actuals Lookup'!D:F,3,0),Table2[[#This Row],[Manual Cat Value]])</f>
        <v>Exp - Shopping</v>
      </c>
      <c r="H10243" s="8" t="s">
        <v>36</v>
      </c>
      <c r="I10243" s="8"/>
      <c r="O10243" t="str">
        <f>LEFT(Table2[[#This Row],[Description]],75)</f>
        <v>Transfer to Venmo</v>
      </c>
    </row>
    <row r="10244" spans="1:15" hidden="1">
      <c r="A10244" s="25">
        <v>202310</v>
      </c>
      <c r="B10244" s="6">
        <v>45216</v>
      </c>
      <c r="C10244" t="s">
        <v>2519</v>
      </c>
      <c r="D10244" t="s">
        <v>4970</v>
      </c>
      <c r="E10244" s="53">
        <v>330</v>
      </c>
      <c r="F10244" s="2" t="str">
        <f>IF(Table2[[#This Row],[Manual Cat Value]]="",VLOOKUP(Table2[[#This Row],[Description]],'Actuals Lookup'!D:F,3,0),Table2[[#This Row],[Manual Cat Value]])</f>
        <v>Exp - Day Care</v>
      </c>
      <c r="H10244" s="8" t="s">
        <v>19</v>
      </c>
      <c r="I10244" s="8"/>
      <c r="O10244" t="str">
        <f>LEFT(Table2[[#This Row],[Description]],75)</f>
        <v>Withdrawal ACH MHCHILDCARELLC TYPE: DUES ID: XX8198 CO: MHCHILDCARELLC Entr</v>
      </c>
    </row>
    <row r="10245" spans="1:15" hidden="1">
      <c r="A10245">
        <v>202310</v>
      </c>
      <c r="B10245" s="6">
        <v>45217</v>
      </c>
      <c r="C10245" t="s">
        <v>4006</v>
      </c>
      <c r="D10245" t="s">
        <v>4726</v>
      </c>
      <c r="E10245">
        <v>507.63</v>
      </c>
      <c r="F10245" s="2" t="str">
        <f>IF(Table2[[#This Row],[Manual Cat Value]]="",VLOOKUP(Table2[[#This Row],[Description]],'Actuals Lookup'!D:F,3,0),Table2[[#This Row],[Manual Cat Value]])</f>
        <v>Transportation</v>
      </c>
      <c r="G10245" t="s">
        <v>23</v>
      </c>
      <c r="I10245" s="8"/>
      <c r="O10245" t="str">
        <f>LEFT(Table2[[#This Row],[Description]],75)</f>
        <v>Bmw</v>
      </c>
    </row>
    <row r="10246" spans="1:15" hidden="1">
      <c r="A10246">
        <v>202310</v>
      </c>
      <c r="B10246" s="6">
        <v>45217</v>
      </c>
      <c r="C10246" t="s">
        <v>4006</v>
      </c>
      <c r="D10246" t="s">
        <v>703</v>
      </c>
      <c r="E10246">
        <v>562.79999999999995</v>
      </c>
      <c r="F10246" s="2" t="str">
        <f>IF(Table2[[#This Row],[Manual Cat Value]]="",VLOOKUP(Table2[[#This Row],[Description]],'Actuals Lookup'!D:F,3,0),Table2[[#This Row],[Manual Cat Value]])</f>
        <v>Delete</v>
      </c>
      <c r="G10246" t="s">
        <v>67</v>
      </c>
      <c r="I10246" s="8" t="s">
        <v>2239</v>
      </c>
      <c r="O10246" t="str">
        <f>LEFT(Table2[[#This Row],[Description]],75)</f>
        <v>Delta Air Lines</v>
      </c>
    </row>
    <row r="10247" spans="1:15" hidden="1">
      <c r="A10247">
        <v>202310</v>
      </c>
      <c r="B10247" s="6">
        <v>45217</v>
      </c>
      <c r="C10247" t="s">
        <v>4006</v>
      </c>
      <c r="D10247" t="s">
        <v>4017</v>
      </c>
      <c r="E10247">
        <v>29.25</v>
      </c>
      <c r="F10247" s="2" t="str">
        <f>IF(Table2[[#This Row],[Manual Cat Value]]="",VLOOKUP(Table2[[#This Row],[Description]],'Actuals Lookup'!D:F,3,0),Table2[[#This Row],[Manual Cat Value]])</f>
        <v>Groceries</v>
      </c>
      <c r="G10247" t="s">
        <v>28</v>
      </c>
      <c r="I10247" s="8"/>
      <c r="O10247" t="str">
        <f>LEFT(Table2[[#This Row],[Description]],75)</f>
        <v>Lunds &amp; Byerlys</v>
      </c>
    </row>
    <row r="10248" spans="1:15" hidden="1">
      <c r="A10248" s="25">
        <v>202310</v>
      </c>
      <c r="B10248" s="6">
        <v>45217</v>
      </c>
      <c r="C10248" t="s">
        <v>2519</v>
      </c>
      <c r="D10248" t="s">
        <v>4971</v>
      </c>
      <c r="E10248" s="53">
        <v>650</v>
      </c>
      <c r="F10248" s="2" t="str">
        <f>IF(Table2[[#This Row],[Manual Cat Value]]="",VLOOKUP(Table2[[#This Row],[Description]],'Actuals Lookup'!D:F,3,0),Table2[[#This Row],[Manual Cat Value]])</f>
        <v>Sav - College Savings</v>
      </c>
      <c r="H10248" s="8" t="s">
        <v>60</v>
      </c>
      <c r="I10248" s="8"/>
      <c r="O10248" t="str">
        <f>LEFT(Table2[[#This Row],[Description]],75)</f>
        <v>Withdrawal ACH MN DIR ACH TYPE: CONTRIB ID: XX7162 CO: MN DIR ACH NAME: XX2</v>
      </c>
    </row>
    <row r="10249" spans="1:15" hidden="1">
      <c r="A10249">
        <v>202310</v>
      </c>
      <c r="B10249" s="6">
        <v>45218</v>
      </c>
      <c r="C10249" t="s">
        <v>3938</v>
      </c>
      <c r="D10249" t="s">
        <v>38</v>
      </c>
      <c r="E10249">
        <v>8.64</v>
      </c>
      <c r="F10249" s="2" t="str">
        <f>IF(Table2[[#This Row],[Manual Cat Value]]="",VLOOKUP(Table2[[#This Row],[Description]],'Actuals Lookup'!D:F,3,0),Table2[[#This Row],[Manual Cat Value]])</f>
        <v>Exp - Amazon</v>
      </c>
      <c r="H10249" s="8" t="s">
        <v>37</v>
      </c>
      <c r="I10249" s="8"/>
      <c r="O10249" t="str">
        <f>LEFT(Table2[[#This Row],[Description]],75)</f>
        <v>Amazon</v>
      </c>
    </row>
    <row r="10250" spans="1:15" hidden="1">
      <c r="A10250">
        <v>202310</v>
      </c>
      <c r="B10250" s="6">
        <v>45218</v>
      </c>
      <c r="C10250" t="s">
        <v>4006</v>
      </c>
      <c r="D10250" t="s">
        <v>4705</v>
      </c>
      <c r="E10250">
        <v>52.45</v>
      </c>
      <c r="F10250" s="2" t="str">
        <f>IF(Table2[[#This Row],[Manual Cat Value]]="",VLOOKUP(Table2[[#This Row],[Description]],'Actuals Lookup'!D:F,3,0),Table2[[#This Row],[Manual Cat Value]])</f>
        <v>Exp - Transportation</v>
      </c>
      <c r="G10250" t="s">
        <v>28</v>
      </c>
      <c r="H10250" s="8" t="s">
        <v>22</v>
      </c>
      <c r="I10250" s="8"/>
      <c r="O10250" t="str">
        <f>LEFT(Table2[[#This Row],[Description]],75)</f>
        <v>Casey's General Stores</v>
      </c>
    </row>
    <row r="10251" spans="1:15" hidden="1">
      <c r="A10251">
        <v>202310</v>
      </c>
      <c r="B10251" s="6">
        <v>45218</v>
      </c>
      <c r="C10251" t="s">
        <v>4006</v>
      </c>
      <c r="D10251" t="s">
        <v>4972</v>
      </c>
      <c r="E10251">
        <v>51</v>
      </c>
      <c r="F10251" s="2" t="str">
        <f>IF(Table2[[#This Row],[Manual Cat Value]]="",VLOOKUP(Table2[[#This Row],[Description]],'Actuals Lookup'!D:F,3,0),Table2[[#This Row],[Manual Cat Value]])</f>
        <v>Exp - Misc</v>
      </c>
      <c r="G10251" t="s">
        <v>4745</v>
      </c>
      <c r="H10251" s="8" t="s">
        <v>46</v>
      </c>
      <c r="I10251" s="8"/>
      <c r="O10251" t="str">
        <f>LEFT(Table2[[#This Row],[Description]],75)</f>
        <v>Kids' Hair</v>
      </c>
    </row>
    <row r="10252" spans="1:15" hidden="1">
      <c r="A10252">
        <v>202310</v>
      </c>
      <c r="B10252" s="6">
        <v>45218</v>
      </c>
      <c r="C10252" t="s">
        <v>4006</v>
      </c>
      <c r="D10252" t="s">
        <v>1102</v>
      </c>
      <c r="E10252">
        <v>46.59</v>
      </c>
      <c r="F10252" s="2" t="str">
        <f>IF(Table2[[#This Row],[Manual Cat Value]]="",VLOOKUP(Table2[[#This Row],[Description]],'Actuals Lookup'!D:F,3,0),Table2[[#This Row],[Manual Cat Value]])</f>
        <v>Restaurants</v>
      </c>
      <c r="G10252" t="s">
        <v>26</v>
      </c>
      <c r="I10252" s="8"/>
      <c r="O10252" t="str">
        <f>LEFT(Table2[[#This Row],[Description]],75)</f>
        <v>Leeann Chin</v>
      </c>
    </row>
    <row r="10253" spans="1:15" hidden="1">
      <c r="A10253" s="25">
        <v>202310</v>
      </c>
      <c r="B10253" s="6">
        <v>45218</v>
      </c>
      <c r="C10253" t="s">
        <v>2519</v>
      </c>
      <c r="D10253" t="s">
        <v>1955</v>
      </c>
      <c r="E10253" s="53">
        <v>2.99</v>
      </c>
      <c r="F10253" s="2" t="str">
        <f>IF(Table2[[#This Row],[Manual Cat Value]]="",VLOOKUP(Table2[[#This Row],[Description]],'Actuals Lookup'!D:F,3,0),Table2[[#This Row],[Manual Cat Value]])</f>
        <v>Exp - Shopping</v>
      </c>
      <c r="H10253" s="8" t="s">
        <v>36</v>
      </c>
      <c r="I10253" s="8"/>
      <c r="O10253" t="str">
        <f>LEFT(Table2[[#This Row],[Description]],75)</f>
        <v>Transfer to PayPal</v>
      </c>
    </row>
    <row r="10254" spans="1:15" hidden="1">
      <c r="A10254">
        <v>202310</v>
      </c>
      <c r="B10254" s="6">
        <v>45218</v>
      </c>
      <c r="C10254" t="s">
        <v>4006</v>
      </c>
      <c r="D10254" t="s">
        <v>4012</v>
      </c>
      <c r="E10254">
        <v>-4923.3100000000004</v>
      </c>
      <c r="F10254" s="2" t="str">
        <f>IF(Table2[[#This Row],[Manual Cat Value]]="",VLOOKUP(Table2[[#This Row],[Description]],'Actuals Lookup'!D:F,3,0),Table2[[#This Row],[Manual Cat Value]])</f>
        <v>Delete</v>
      </c>
      <c r="G10254" t="s">
        <v>9</v>
      </c>
      <c r="I10254" s="8"/>
      <c r="O10254" t="str">
        <f>LEFT(Table2[[#This Row],[Description]],75)</f>
        <v>Online Payment - Thank You</v>
      </c>
    </row>
    <row r="10255" spans="1:15" hidden="1">
      <c r="A10255">
        <v>202310</v>
      </c>
      <c r="B10255" s="6">
        <v>45219</v>
      </c>
      <c r="C10255" t="s">
        <v>3938</v>
      </c>
      <c r="D10255" t="s">
        <v>38</v>
      </c>
      <c r="E10255">
        <v>54.52</v>
      </c>
      <c r="F10255" s="2" t="str">
        <f>IF(Table2[[#This Row],[Manual Cat Value]]="",VLOOKUP(Table2[[#This Row],[Description]],'Actuals Lookup'!D:F,3,0),Table2[[#This Row],[Manual Cat Value]])</f>
        <v>Exp - Amazon</v>
      </c>
      <c r="H10255" s="8" t="s">
        <v>37</v>
      </c>
      <c r="I10255" s="8"/>
      <c r="O10255" t="str">
        <f>LEFT(Table2[[#This Row],[Description]],75)</f>
        <v>Amazon</v>
      </c>
    </row>
    <row r="10256" spans="1:15" hidden="1">
      <c r="A10256">
        <v>202310</v>
      </c>
      <c r="B10256" s="6">
        <v>45219</v>
      </c>
      <c r="C10256" t="s">
        <v>3938</v>
      </c>
      <c r="D10256" t="s">
        <v>38</v>
      </c>
      <c r="E10256">
        <v>28.87</v>
      </c>
      <c r="F10256" s="2" t="str">
        <f>IF(Table2[[#This Row],[Manual Cat Value]]="",VLOOKUP(Table2[[#This Row],[Description]],'Actuals Lookup'!D:F,3,0),Table2[[#This Row],[Manual Cat Value]])</f>
        <v>Exp - Amazon</v>
      </c>
      <c r="H10256" s="8" t="s">
        <v>37</v>
      </c>
      <c r="I10256" s="8"/>
      <c r="O10256" t="str">
        <f>LEFT(Table2[[#This Row],[Description]],75)</f>
        <v>Amazon</v>
      </c>
    </row>
    <row r="10257" spans="1:15" hidden="1">
      <c r="A10257">
        <v>202310</v>
      </c>
      <c r="B10257" s="6">
        <v>45219</v>
      </c>
      <c r="C10257" t="s">
        <v>4006</v>
      </c>
      <c r="D10257" t="s">
        <v>4973</v>
      </c>
      <c r="E10257">
        <v>22.79</v>
      </c>
      <c r="F10257" s="2" t="str">
        <f>IF(Table2[[#This Row],[Manual Cat Value]]="",VLOOKUP(Table2[[#This Row],[Description]],'Actuals Lookup'!D:F,3,0),Table2[[#This Row],[Manual Cat Value]])</f>
        <v>Restaurants</v>
      </c>
      <c r="G10257" t="s">
        <v>26</v>
      </c>
      <c r="I10257" s="8"/>
      <c r="O10257" t="str">
        <f>LEFT(Table2[[#This Row],[Description]],75)</f>
        <v>Aplpay Tst* Delsur Eminnetonka Mn</v>
      </c>
    </row>
    <row r="10258" spans="1:15" hidden="1">
      <c r="A10258">
        <v>202310</v>
      </c>
      <c r="B10258" s="6">
        <v>45219</v>
      </c>
      <c r="C10258" t="s">
        <v>4006</v>
      </c>
      <c r="D10258" t="s">
        <v>4973</v>
      </c>
      <c r="E10258">
        <v>40.97</v>
      </c>
      <c r="F10258" s="2" t="str">
        <f>IF(Table2[[#This Row],[Manual Cat Value]]="",VLOOKUP(Table2[[#This Row],[Description]],'Actuals Lookup'!D:F,3,0),Table2[[#This Row],[Manual Cat Value]])</f>
        <v>Restaurants</v>
      </c>
      <c r="G10258" t="s">
        <v>26</v>
      </c>
      <c r="I10258" s="8"/>
      <c r="O10258" t="str">
        <f>LEFT(Table2[[#This Row],[Description]],75)</f>
        <v>Aplpay Tst* Delsur Eminnetonka Mn</v>
      </c>
    </row>
    <row r="10259" spans="1:15" hidden="1">
      <c r="A10259" s="25">
        <v>202310</v>
      </c>
      <c r="B10259" s="6">
        <v>45219</v>
      </c>
      <c r="C10259" t="s">
        <v>2519</v>
      </c>
      <c r="D10259" t="s">
        <v>4974</v>
      </c>
      <c r="E10259" s="53">
        <v>-1363.65</v>
      </c>
      <c r="F10259" s="2" t="str">
        <f>IF(Table2[[#This Row],[Manual Cat Value]]="",VLOOKUP(Table2[[#This Row],[Description]],'Actuals Lookup'!D:F,3,0),Table2[[#This Row],[Manual Cat Value]])</f>
        <v>Inc - Jeff</v>
      </c>
      <c r="H10259" s="8" t="s">
        <v>63</v>
      </c>
      <c r="I10259" s="8"/>
      <c r="O10259" t="str">
        <f>LEFT(Table2[[#This Row],[Description]],75)</f>
        <v>Deposit ACH MBI TYPE: SETL ID: XX1866 CO: MBI Entry Class Code: ACH Trace N</v>
      </c>
    </row>
    <row r="10260" spans="1:15" hidden="1">
      <c r="A10260">
        <v>202310</v>
      </c>
      <c r="B10260" s="6">
        <v>45219</v>
      </c>
      <c r="C10260" t="s">
        <v>4006</v>
      </c>
      <c r="D10260" t="s">
        <v>808</v>
      </c>
      <c r="E10260">
        <v>56</v>
      </c>
      <c r="F10260" s="2" t="str">
        <f>IF(Table2[[#This Row],[Manual Cat Value]]="",VLOOKUP(Table2[[#This Row],[Description]],'Actuals Lookup'!D:F,3,0),Table2[[#This Row],[Manual Cat Value]])</f>
        <v>Exp - Shopping</v>
      </c>
      <c r="G10260" t="s">
        <v>29</v>
      </c>
      <c r="H10260" s="8" t="s">
        <v>36</v>
      </c>
      <c r="I10260" s="8"/>
      <c r="O10260" t="str">
        <f>LEFT(Table2[[#This Row],[Description]],75)</f>
        <v>Elite Nails</v>
      </c>
    </row>
    <row r="10261" spans="1:15" hidden="1">
      <c r="A10261">
        <v>202310</v>
      </c>
      <c r="B10261" s="6">
        <v>45219</v>
      </c>
      <c r="C10261" t="s">
        <v>4006</v>
      </c>
      <c r="D10261" t="s">
        <v>4975</v>
      </c>
      <c r="E10261">
        <v>4</v>
      </c>
      <c r="F10261" s="2" t="str">
        <f>IF(Table2[[#This Row],[Manual Cat Value]]="",VLOOKUP(Table2[[#This Row],[Description]],'Actuals Lookup'!D:F,3,0),Table2[[#This Row],[Manual Cat Value]])</f>
        <v>Exp - Utilities</v>
      </c>
      <c r="G10261" t="s">
        <v>62</v>
      </c>
      <c r="H10261" s="8" t="s">
        <v>6</v>
      </c>
      <c r="I10261" s="8"/>
      <c r="O10261" t="str">
        <f>LEFT(Table2[[#This Row],[Description]],75)</f>
        <v>Google *wsj.com G.co/helppay# Ca</v>
      </c>
    </row>
    <row r="10262" spans="1:15" hidden="1">
      <c r="A10262">
        <v>202310</v>
      </c>
      <c r="B10262" s="6">
        <v>45219</v>
      </c>
      <c r="C10262" t="s">
        <v>3938</v>
      </c>
      <c r="D10262" t="s">
        <v>4899</v>
      </c>
      <c r="E10262">
        <v>0.49</v>
      </c>
      <c r="F10262" s="2" t="str">
        <f>IF(Table2[[#This Row],[Manual Cat Value]]="",VLOOKUP(Table2[[#This Row],[Description]],'Actuals Lookup'!D:F,3,0),Table2[[#This Row],[Manual Cat Value]])</f>
        <v>Exp - Utilities</v>
      </c>
      <c r="H10262" s="8" t="s">
        <v>6</v>
      </c>
      <c r="I10262" s="8"/>
      <c r="O10262" t="str">
        <f>LEFT(Table2[[#This Row],[Description]],75)</f>
        <v>Google Cloud Storage</v>
      </c>
    </row>
    <row r="10263" spans="1:15" hidden="1">
      <c r="A10263">
        <v>202310</v>
      </c>
      <c r="B10263" s="6">
        <v>45219</v>
      </c>
      <c r="C10263" t="s">
        <v>4006</v>
      </c>
      <c r="D10263" t="s">
        <v>31</v>
      </c>
      <c r="E10263">
        <v>24.67</v>
      </c>
      <c r="F10263" s="2" t="str">
        <f>IF(Table2[[#This Row],[Manual Cat Value]]="",VLOOKUP(Table2[[#This Row],[Description]],'Actuals Lookup'!D:F,3,0),Table2[[#This Row],[Manual Cat Value]])</f>
        <v>Target</v>
      </c>
      <c r="G10263" t="s">
        <v>31</v>
      </c>
      <c r="I10263" s="8"/>
      <c r="O10263" t="str">
        <f>LEFT(Table2[[#This Row],[Description]],75)</f>
        <v>Target</v>
      </c>
    </row>
    <row r="10264" spans="1:15" hidden="1">
      <c r="A10264">
        <v>202310</v>
      </c>
      <c r="B10264" s="6">
        <v>45219</v>
      </c>
      <c r="C10264" t="s">
        <v>4006</v>
      </c>
      <c r="D10264" t="s">
        <v>4976</v>
      </c>
      <c r="E10264">
        <v>101</v>
      </c>
      <c r="F10264" s="2" t="str">
        <f>IF(Table2[[#This Row],[Manual Cat Value]]="",VLOOKUP(Table2[[#This Row],[Description]],'Actuals Lookup'!D:F,3,0),Table2[[#This Row],[Manual Cat Value]])</f>
        <v>Exp - Shopping</v>
      </c>
      <c r="G10264" t="s">
        <v>4745</v>
      </c>
      <c r="H10264" s="8" t="s">
        <v>36</v>
      </c>
      <c r="I10264" s="8"/>
      <c r="O10264" t="str">
        <f>LEFT(Table2[[#This Row],[Description]],75)</f>
        <v>Zenotic Inc*europeanbellevue Wa</v>
      </c>
    </row>
    <row r="10265" spans="1:15" hidden="1">
      <c r="A10265" s="25">
        <v>202310</v>
      </c>
      <c r="B10265" s="6">
        <v>45219</v>
      </c>
      <c r="C10265" t="s">
        <v>2519</v>
      </c>
      <c r="D10265" t="s">
        <v>1458</v>
      </c>
      <c r="E10265" s="53">
        <v>4923.3100000000004</v>
      </c>
      <c r="F10265" s="2" t="str">
        <f>IF(Table2[[#This Row],[Manual Cat Value]]="",VLOOKUP(Table2[[#This Row],[Description]],'Actuals Lookup'!D:F,3,0),Table2[[#This Row],[Manual Cat Value]])</f>
        <v>Delete</v>
      </c>
      <c r="H10265" s="8" t="s">
        <v>9</v>
      </c>
      <c r="I10265" s="8"/>
      <c r="O10265" t="str">
        <f>LEFT(Table2[[#This Row],[Description]],75)</f>
        <v>Payment to American Express</v>
      </c>
    </row>
    <row r="10266" spans="1:15" hidden="1">
      <c r="A10266">
        <v>202310</v>
      </c>
      <c r="B10266" s="6">
        <v>45220</v>
      </c>
      <c r="C10266" t="s">
        <v>4006</v>
      </c>
      <c r="D10266" t="s">
        <v>4977</v>
      </c>
      <c r="E10266">
        <v>34.43</v>
      </c>
      <c r="F10266" s="2" t="str">
        <f>IF(Table2[[#This Row],[Manual Cat Value]]="",VLOOKUP(Table2[[#This Row],[Description]],'Actuals Lookup'!D:F,3,0),Table2[[#This Row],[Manual Cat Value]])</f>
        <v>Restaurants</v>
      </c>
      <c r="G10266" t="s">
        <v>26</v>
      </c>
      <c r="I10266" s="8"/>
      <c r="O10266" t="str">
        <f>LEFT(Table2[[#This Row],[Description]],75)</f>
        <v>Firehouse Subs</v>
      </c>
    </row>
    <row r="10267" spans="1:15" hidden="1">
      <c r="A10267">
        <v>202310</v>
      </c>
      <c r="B10267" s="6">
        <v>45220</v>
      </c>
      <c r="C10267" t="s">
        <v>4006</v>
      </c>
      <c r="D10267" t="s">
        <v>4978</v>
      </c>
      <c r="E10267">
        <v>1.1599999999999999</v>
      </c>
      <c r="F10267" s="2" t="str">
        <f>IF(Table2[[#This Row],[Manual Cat Value]]="",VLOOKUP(Table2[[#This Row],[Description]],'Actuals Lookup'!D:F,3,0),Table2[[#This Row],[Manual Cat Value]])</f>
        <v>Restaurants</v>
      </c>
      <c r="G10267" t="s">
        <v>26</v>
      </c>
      <c r="I10267" s="8"/>
      <c r="O10267" t="str">
        <f>LEFT(Table2[[#This Row],[Description]],75)</f>
        <v>Manchu Wok</v>
      </c>
    </row>
    <row r="10268" spans="1:15" hidden="1">
      <c r="A10268">
        <v>202310</v>
      </c>
      <c r="B10268" s="6">
        <v>45220</v>
      </c>
      <c r="C10268" t="s">
        <v>4006</v>
      </c>
      <c r="D10268" t="s">
        <v>4978</v>
      </c>
      <c r="E10268">
        <v>31.05</v>
      </c>
      <c r="F10268" s="2" t="str">
        <f>IF(Table2[[#This Row],[Manual Cat Value]]="",VLOOKUP(Table2[[#This Row],[Description]],'Actuals Lookup'!D:F,3,0),Table2[[#This Row],[Manual Cat Value]])</f>
        <v>Restaurants</v>
      </c>
      <c r="G10268" t="s">
        <v>26</v>
      </c>
      <c r="I10268" s="8"/>
      <c r="O10268" t="str">
        <f>LEFT(Table2[[#This Row],[Description]],75)</f>
        <v>Manchu Wok</v>
      </c>
    </row>
    <row r="10269" spans="1:15" hidden="1">
      <c r="A10269">
        <v>202310</v>
      </c>
      <c r="B10269" s="6">
        <v>45220</v>
      </c>
      <c r="C10269" t="s">
        <v>4006</v>
      </c>
      <c r="D10269" t="s">
        <v>4979</v>
      </c>
      <c r="E10269">
        <v>45.44</v>
      </c>
      <c r="F10269" s="2" t="str">
        <f>IF(Table2[[#This Row],[Manual Cat Value]]="",VLOOKUP(Table2[[#This Row],[Description]],'Actuals Lookup'!D:F,3,0),Table2[[#This Row],[Manual Cat Value]])</f>
        <v>Restaurants</v>
      </c>
      <c r="G10269" t="s">
        <v>26</v>
      </c>
      <c r="I10269" s="8"/>
      <c r="O10269" t="str">
        <f>LEFT(Table2[[#This Row],[Description]],75)</f>
        <v>Tst* Unmapped Brewinminnetonka Mn</v>
      </c>
    </row>
    <row r="10270" spans="1:15" hidden="1">
      <c r="A10270">
        <v>202310</v>
      </c>
      <c r="B10270" s="6">
        <v>45221</v>
      </c>
      <c r="C10270" t="s">
        <v>4006</v>
      </c>
      <c r="D10270" t="s">
        <v>4980</v>
      </c>
      <c r="E10270">
        <v>161.29</v>
      </c>
      <c r="F10270" s="2" t="str">
        <f>IF(Table2[[#This Row],[Manual Cat Value]]="",VLOOKUP(Table2[[#This Row],[Description]],'Actuals Lookup'!D:F,3,0),Table2[[#This Row],[Manual Cat Value]])</f>
        <v>Travel</v>
      </c>
      <c r="G10270" t="s">
        <v>43</v>
      </c>
      <c r="I10270" s="8"/>
      <c r="O10270" t="str">
        <f>LEFT(Table2[[#This Row],[Description]],75)</f>
        <v>Aer Lingus</v>
      </c>
    </row>
    <row r="10271" spans="1:15" hidden="1">
      <c r="A10271">
        <v>202310</v>
      </c>
      <c r="B10271" s="6">
        <v>45221</v>
      </c>
      <c r="C10271" t="s">
        <v>3938</v>
      </c>
      <c r="D10271" t="s">
        <v>4981</v>
      </c>
      <c r="E10271">
        <v>11</v>
      </c>
      <c r="F10271" s="2" t="str">
        <f>IF(Table2[[#This Row],[Manual Cat Value]]="",VLOOKUP(Table2[[#This Row],[Description]],'Actuals Lookup'!D:F,3,0),Table2[[#This Row],[Manual Cat Value]])</f>
        <v>Exp - House Maint</v>
      </c>
      <c r="H10271" s="8" t="s">
        <v>1</v>
      </c>
      <c r="I10271" s="8"/>
      <c r="O10271" t="str">
        <f>LEFT(Table2[[#This Row],[Description]],75)</f>
        <v>BONFES PLUMBING HEATING AXX6633 MN REF #XX3995S66KE103</v>
      </c>
    </row>
    <row r="10272" spans="1:15" hidden="1">
      <c r="A10272">
        <v>202310</v>
      </c>
      <c r="B10272" s="6">
        <v>45221</v>
      </c>
      <c r="C10272" t="s">
        <v>4006</v>
      </c>
      <c r="D10272" t="s">
        <v>4982</v>
      </c>
      <c r="E10272">
        <v>55.5</v>
      </c>
      <c r="F10272" s="2" t="str">
        <f>IF(Table2[[#This Row],[Manual Cat Value]]="",VLOOKUP(Table2[[#This Row],[Description]],'Actuals Lookup'!D:F,3,0),Table2[[#This Row],[Manual Cat Value]])</f>
        <v>Exp - Shopping</v>
      </c>
      <c r="G10272" t="s">
        <v>35</v>
      </c>
      <c r="H10272" s="8" t="s">
        <v>36</v>
      </c>
      <c r="I10272" s="8"/>
      <c r="O10272" t="str">
        <f>LEFT(Table2[[#This Row],[Description]],75)</f>
        <v>Deja Vu Surf Hi-poipkoloa Hi</v>
      </c>
    </row>
    <row r="10273" spans="1:15" hidden="1">
      <c r="A10273">
        <v>202310</v>
      </c>
      <c r="B10273" s="6">
        <v>45221</v>
      </c>
      <c r="C10273" t="s">
        <v>3938</v>
      </c>
      <c r="D10273" t="s">
        <v>4983</v>
      </c>
      <c r="E10273">
        <v>402.07</v>
      </c>
      <c r="F10273" s="2" t="str">
        <f>IF(Table2[[#This Row],[Manual Cat Value]]="",VLOOKUP(Table2[[#This Row],[Description]],'Actuals Lookup'!D:F,3,0),Table2[[#This Row],[Manual Cat Value]])</f>
        <v>Exp - Travel</v>
      </c>
      <c r="H10273" s="8" t="s">
        <v>52</v>
      </c>
      <c r="I10273" s="8"/>
      <c r="O10273" t="str">
        <f>LEFT(Table2[[#This Row],[Description]],75)</f>
        <v>IN *DETAILS RESIDENTIAL SXX1751 MN REF #XX5349Q8SBY</v>
      </c>
    </row>
    <row r="10274" spans="1:15" hidden="1">
      <c r="A10274">
        <v>202310</v>
      </c>
      <c r="B10274" s="6">
        <v>45221</v>
      </c>
      <c r="C10274" t="s">
        <v>4006</v>
      </c>
      <c r="D10274" t="s">
        <v>4906</v>
      </c>
      <c r="E10274">
        <v>30.06</v>
      </c>
      <c r="F10274" s="2" t="str">
        <f>IF(Table2[[#This Row],[Manual Cat Value]]="",VLOOKUP(Table2[[#This Row],[Description]],'Actuals Lookup'!D:F,3,0),Table2[[#This Row],[Manual Cat Value]])</f>
        <v>Exp - Misc</v>
      </c>
      <c r="G10274" t="s">
        <v>9</v>
      </c>
      <c r="H10274" s="8" t="s">
        <v>46</v>
      </c>
      <c r="I10274" s="8"/>
      <c r="O10274" t="str">
        <f>LEFT(Table2[[#This Row],[Description]],75)</f>
        <v>Interest Charge On Purchases</v>
      </c>
    </row>
    <row r="10275" spans="1:15" hidden="1">
      <c r="A10275">
        <v>202310</v>
      </c>
      <c r="B10275" s="6">
        <v>45221</v>
      </c>
      <c r="C10275" t="s">
        <v>4006</v>
      </c>
      <c r="D10275" t="s">
        <v>4984</v>
      </c>
      <c r="E10275">
        <v>52.51</v>
      </c>
      <c r="F10275" s="2" t="str">
        <f>IF(Table2[[#This Row],[Manual Cat Value]]="",VLOOKUP(Table2[[#This Row],[Description]],'Actuals Lookup'!D:F,3,0),Table2[[#This Row],[Manual Cat Value]])</f>
        <v>Restaurants</v>
      </c>
      <c r="G10275" t="s">
        <v>26</v>
      </c>
      <c r="I10275" s="8"/>
      <c r="O10275" t="str">
        <f>LEFT(Table2[[#This Row],[Description]],75)</f>
        <v>Little Fish Coffee</v>
      </c>
    </row>
    <row r="10276" spans="1:15" hidden="1">
      <c r="A10276">
        <v>202310</v>
      </c>
      <c r="B10276" s="6">
        <v>45221</v>
      </c>
      <c r="C10276" t="s">
        <v>4006</v>
      </c>
      <c r="D10276" t="s">
        <v>4985</v>
      </c>
      <c r="E10276">
        <v>50.91</v>
      </c>
      <c r="F10276" s="2" t="str">
        <f>IF(Table2[[#This Row],[Manual Cat Value]]="",VLOOKUP(Table2[[#This Row],[Description]],'Actuals Lookup'!D:F,3,0),Table2[[#This Row],[Manual Cat Value]])</f>
        <v>Exp - Groceries</v>
      </c>
      <c r="G10276" t="s">
        <v>48</v>
      </c>
      <c r="H10276" s="8" t="s">
        <v>27</v>
      </c>
      <c r="I10276" s="8"/>
      <c r="O10276" t="str">
        <f>LEFT(Table2[[#This Row],[Description]],75)</f>
        <v>Longs Drugs</v>
      </c>
    </row>
    <row r="10277" spans="1:15" hidden="1">
      <c r="A10277">
        <v>202310</v>
      </c>
      <c r="B10277" s="6">
        <v>45221</v>
      </c>
      <c r="C10277" t="s">
        <v>3938</v>
      </c>
      <c r="D10277" t="s">
        <v>4986</v>
      </c>
      <c r="E10277">
        <v>24.72</v>
      </c>
      <c r="F10277" s="2" t="str">
        <f>IF(Table2[[#This Row],[Manual Cat Value]]="",VLOOKUP(Table2[[#This Row],[Description]],'Actuals Lookup'!D:F,3,0),Table2[[#This Row],[Manual Cat Value]])</f>
        <v>Exp - Day Care</v>
      </c>
      <c r="H10277" s="8" t="s">
        <v>19</v>
      </c>
      <c r="I10277" s="8"/>
      <c r="O10277" t="str">
        <f>LEFT(Table2[[#This Row],[Description]],75)</f>
        <v>MCW 1602-MINNETONKA XX8113 MN REF #XX0596VAKKSJJY</v>
      </c>
    </row>
    <row r="10278" spans="1:15" hidden="1">
      <c r="A10278">
        <v>202310</v>
      </c>
      <c r="B10278" s="6">
        <v>45221</v>
      </c>
      <c r="C10278" t="s">
        <v>4006</v>
      </c>
      <c r="D10278" t="s">
        <v>4987</v>
      </c>
      <c r="E10278">
        <v>109.36</v>
      </c>
      <c r="F10278" s="2" t="str">
        <f>IF(Table2[[#This Row],[Manual Cat Value]]="",VLOOKUP(Table2[[#This Row],[Description]],'Actuals Lookup'!D:F,3,0),Table2[[#This Row],[Manual Cat Value]])</f>
        <v>Restaurants</v>
      </c>
      <c r="G10278" t="s">
        <v>26</v>
      </c>
      <c r="I10278" s="8"/>
      <c r="O10278" t="str">
        <f>LEFT(Table2[[#This Row],[Description]],75)</f>
        <v>Savage</v>
      </c>
    </row>
    <row r="10279" spans="1:15" hidden="1">
      <c r="A10279" s="25">
        <v>202310</v>
      </c>
      <c r="B10279" s="6">
        <v>45221</v>
      </c>
      <c r="C10279" t="s">
        <v>2519</v>
      </c>
      <c r="D10279" t="s">
        <v>4988</v>
      </c>
      <c r="E10279" s="53">
        <v>204.25</v>
      </c>
      <c r="F10279" s="2" t="str">
        <f>IF(Table2[[#This Row],[Manual Cat Value]]="",VLOOKUP(Table2[[#This Row],[Description]],'Actuals Lookup'!D:F,3,0),Table2[[#This Row],[Manual Cat Value]])</f>
        <v>Delete</v>
      </c>
      <c r="H10279" s="8" t="s">
        <v>9</v>
      </c>
      <c r="I10279" s="8"/>
      <c r="O10279" t="str">
        <f>LEFT(Table2[[#This Row],[Description]],75)</f>
        <v>Withdrawal at ATM #XX8533 POIPU SHOPPI-XX3379 2360 KIAHUNA PLANTATION POIPU</v>
      </c>
    </row>
    <row r="10280" spans="1:15" hidden="1">
      <c r="A10280">
        <v>202310</v>
      </c>
      <c r="B10280" s="6">
        <v>45222</v>
      </c>
      <c r="C10280" t="s">
        <v>4006</v>
      </c>
      <c r="D10280" t="s">
        <v>4890</v>
      </c>
      <c r="E10280">
        <v>-1437.36</v>
      </c>
      <c r="F10280" s="2" t="str">
        <f>IF(Table2[[#This Row],[Manual Cat Value]]="",VLOOKUP(Table2[[#This Row],[Description]],'Actuals Lookup'!D:F,3,0),Table2[[#This Row],[Manual Cat Value]])</f>
        <v>Travel</v>
      </c>
      <c r="G10280" t="s">
        <v>4722</v>
      </c>
      <c r="I10280" s="8"/>
      <c r="O10280" t="str">
        <f>LEFT(Table2[[#This Row],[Description]],75)</f>
        <v>Aplpay Fh* Jack Hartlihue Hi</v>
      </c>
    </row>
    <row r="10281" spans="1:15" hidden="1">
      <c r="A10281">
        <v>202310</v>
      </c>
      <c r="B10281" s="6">
        <v>45222</v>
      </c>
      <c r="C10281" t="s">
        <v>4006</v>
      </c>
      <c r="D10281" t="s">
        <v>703</v>
      </c>
      <c r="E10281">
        <v>1097.5</v>
      </c>
      <c r="F10281" s="2" t="str">
        <f>IF(Table2[[#This Row],[Manual Cat Value]]="",VLOOKUP(Table2[[#This Row],[Description]],'Actuals Lookup'!D:F,3,0),Table2[[#This Row],[Manual Cat Value]])</f>
        <v>Delete</v>
      </c>
      <c r="G10281" t="s">
        <v>67</v>
      </c>
      <c r="I10281" s="8" t="s">
        <v>2240</v>
      </c>
      <c r="O10281" t="str">
        <f>LEFT(Table2[[#This Row],[Description]],75)</f>
        <v>Delta Air Lines</v>
      </c>
    </row>
    <row r="10282" spans="1:15" hidden="1">
      <c r="A10282">
        <v>202310</v>
      </c>
      <c r="B10282" s="6">
        <v>45222</v>
      </c>
      <c r="C10282" t="s">
        <v>4006</v>
      </c>
      <c r="D10282" t="s">
        <v>4989</v>
      </c>
      <c r="E10282">
        <v>1437.36</v>
      </c>
      <c r="F10282" s="2" t="str">
        <f>IF(Table2[[#This Row],[Manual Cat Value]]="",VLOOKUP(Table2[[#This Row],[Description]],'Actuals Lookup'!D:F,3,0),Table2[[#This Row],[Manual Cat Value]])</f>
        <v>Exp - Travel</v>
      </c>
      <c r="G10282" t="s">
        <v>35</v>
      </c>
      <c r="H10282" s="8" t="s">
        <v>52</v>
      </c>
      <c r="I10282" s="8"/>
      <c r="O10282" t="str">
        <f>LEFT(Table2[[#This Row],[Description]],75)</f>
        <v>Fh* Blue Hawaiian Hedenver Co</v>
      </c>
    </row>
    <row r="10283" spans="1:15" hidden="1">
      <c r="A10283" s="25">
        <v>202310</v>
      </c>
      <c r="B10283" s="6">
        <v>45222</v>
      </c>
      <c r="C10283" t="s">
        <v>2519</v>
      </c>
      <c r="D10283" t="s">
        <v>1955</v>
      </c>
      <c r="E10283" s="53">
        <v>32.700000000000003</v>
      </c>
      <c r="F10283" s="2" t="str">
        <f>IF(Table2[[#This Row],[Manual Cat Value]]="",VLOOKUP(Table2[[#This Row],[Description]],'Actuals Lookup'!D:F,3,0),Table2[[#This Row],[Manual Cat Value]])</f>
        <v>Exp - Shopping</v>
      </c>
      <c r="H10283" s="8" t="s">
        <v>36</v>
      </c>
      <c r="I10283" s="8"/>
      <c r="O10283" t="str">
        <f>LEFT(Table2[[#This Row],[Description]],75)</f>
        <v>Transfer to PayPal</v>
      </c>
    </row>
    <row r="10284" spans="1:15" hidden="1">
      <c r="A10284" s="25">
        <v>202310</v>
      </c>
      <c r="B10284" s="6">
        <v>45222</v>
      </c>
      <c r="C10284" t="s">
        <v>2519</v>
      </c>
      <c r="D10284" t="s">
        <v>1958</v>
      </c>
      <c r="E10284" s="53">
        <v>20</v>
      </c>
      <c r="F10284" s="2" t="str">
        <f>IF(Table2[[#This Row],[Manual Cat Value]]="",VLOOKUP(Table2[[#This Row],[Description]],'Actuals Lookup'!D:F,3,0),Table2[[#This Row],[Manual Cat Value]])</f>
        <v>Exp - Shopping</v>
      </c>
      <c r="H10284" s="8" t="s">
        <v>36</v>
      </c>
      <c r="I10284" s="8"/>
      <c r="O10284" t="str">
        <f>LEFT(Table2[[#This Row],[Description]],75)</f>
        <v>Transfer to Venmo</v>
      </c>
    </row>
    <row r="10285" spans="1:15" hidden="1">
      <c r="A10285" s="25">
        <v>202310</v>
      </c>
      <c r="B10285" s="6">
        <v>45222</v>
      </c>
      <c r="C10285" t="s">
        <v>2519</v>
      </c>
      <c r="D10285" t="s">
        <v>4990</v>
      </c>
      <c r="E10285" s="53">
        <v>81.599999999999994</v>
      </c>
      <c r="F10285" s="2" t="str">
        <f>IF(Table2[[#This Row],[Manual Cat Value]]="",VLOOKUP(Table2[[#This Row],[Description]],'Actuals Lookup'!D:F,3,0),Table2[[#This Row],[Manual Cat Value]])</f>
        <v>Exp - Utilities</v>
      </c>
      <c r="H10285" s="8" t="s">
        <v>6</v>
      </c>
      <c r="I10285" s="8"/>
      <c r="O10285" t="str">
        <f>LEFT(Table2[[#This Row],[Description]],75)</f>
        <v>Withdrawal ACH CITY OF CHANHASS TYPE: UTIL BILL ID: XX5331 CO: CITY OF CHAN</v>
      </c>
    </row>
    <row r="10286" spans="1:15" hidden="1">
      <c r="A10286">
        <v>202310</v>
      </c>
      <c r="B10286" s="6">
        <v>45223</v>
      </c>
      <c r="C10286" t="s">
        <v>4006</v>
      </c>
      <c r="D10286" t="s">
        <v>4991</v>
      </c>
      <c r="E10286">
        <v>22.44</v>
      </c>
      <c r="F10286" s="2" t="str">
        <f>IF(Table2[[#This Row],[Manual Cat Value]]="",VLOOKUP(Table2[[#This Row],[Description]],'Actuals Lookup'!D:F,3,0),Table2[[#This Row],[Manual Cat Value]])</f>
        <v>Restaurants</v>
      </c>
      <c r="G10286" t="s">
        <v>26</v>
      </c>
      <c r="I10286" s="8"/>
      <c r="O10286" t="str">
        <f>LEFT(Table2[[#This Row],[Description]],75)</f>
        <v>Aplpay Tst* Kauai Belihue Hi</v>
      </c>
    </row>
    <row r="10287" spans="1:15" hidden="1">
      <c r="A10287">
        <v>202310</v>
      </c>
      <c r="B10287" s="6">
        <v>45223</v>
      </c>
      <c r="C10287" t="s">
        <v>3938</v>
      </c>
      <c r="D10287" t="s">
        <v>4992</v>
      </c>
      <c r="E10287">
        <v>109.84</v>
      </c>
      <c r="F10287" s="2" t="str">
        <f>IF(Table2[[#This Row],[Manual Cat Value]]="",VLOOKUP(Table2[[#This Row],[Description]],'Actuals Lookup'!D:F,3,0),Table2[[#This Row],[Manual Cat Value]])</f>
        <v>Exp - Shopping</v>
      </c>
      <c r="H10287" s="8" t="s">
        <v>36</v>
      </c>
      <c r="I10287" s="8"/>
      <c r="O10287" t="str">
        <f>LEFT(Table2[[#This Row],[Description]],75)</f>
        <v>Cruiser Boutique</v>
      </c>
    </row>
    <row r="10288" spans="1:15" hidden="1">
      <c r="A10288">
        <v>202310</v>
      </c>
      <c r="B10288" s="6">
        <v>45223</v>
      </c>
      <c r="C10288" t="s">
        <v>4006</v>
      </c>
      <c r="D10288" t="s">
        <v>4993</v>
      </c>
      <c r="E10288">
        <v>456.39</v>
      </c>
      <c r="F10288" s="2" t="str">
        <f>IF(Table2[[#This Row],[Manual Cat Value]]="",VLOOKUP(Table2[[#This Row],[Description]],'Actuals Lookup'!D:F,3,0),Table2[[#This Row],[Manual Cat Value]])</f>
        <v>Exp - Restaurants</v>
      </c>
      <c r="G10288" t="s">
        <v>26</v>
      </c>
      <c r="H10288" s="8" t="s">
        <v>25</v>
      </c>
      <c r="I10288" s="8"/>
      <c r="O10288" t="str">
        <f>LEFT(Table2[[#This Row],[Description]],75)</f>
        <v>Eating House Koloa Hi</v>
      </c>
    </row>
    <row r="10289" spans="1:15" hidden="1">
      <c r="A10289">
        <v>202310</v>
      </c>
      <c r="B10289" s="6">
        <v>45223</v>
      </c>
      <c r="C10289" t="s">
        <v>4006</v>
      </c>
      <c r="D10289" t="s">
        <v>4989</v>
      </c>
      <c r="E10289">
        <v>248.64</v>
      </c>
      <c r="F10289" s="2" t="str">
        <f>IF(Table2[[#This Row],[Manual Cat Value]]="",VLOOKUP(Table2[[#This Row],[Description]],'Actuals Lookup'!D:F,3,0),Table2[[#This Row],[Manual Cat Value]])</f>
        <v>Exp - Travel</v>
      </c>
      <c r="G10289" t="s">
        <v>35</v>
      </c>
      <c r="H10289" s="8" t="s">
        <v>52</v>
      </c>
      <c r="I10289" s="8"/>
      <c r="O10289" t="str">
        <f>LEFT(Table2[[#This Row],[Description]],75)</f>
        <v>Fh* Blue Hawaiian Hedenver Co</v>
      </c>
    </row>
    <row r="10290" spans="1:15" hidden="1">
      <c r="A10290">
        <v>202310</v>
      </c>
      <c r="B10290" s="6">
        <v>45223</v>
      </c>
      <c r="C10290" t="s">
        <v>3938</v>
      </c>
      <c r="D10290" t="s">
        <v>4994</v>
      </c>
      <c r="E10290">
        <v>41.83</v>
      </c>
      <c r="F10290" s="2" t="str">
        <f>IF(Table2[[#This Row],[Manual Cat Value]]="",VLOOKUP(Table2[[#This Row],[Description]],'Actuals Lookup'!D:F,3,0),Table2[[#This Row],[Manual Cat Value]])</f>
        <v>Exp - Shopping</v>
      </c>
      <c r="H10290" s="8" t="s">
        <v>36</v>
      </c>
      <c r="I10290" s="8"/>
      <c r="O10290" t="str">
        <f>LEFT(Table2[[#This Row],[Description]],75)</f>
        <v>KAUAI CLOTHING CO (KCC-03KOLOA HI REF #XX8980FVLL5E7</v>
      </c>
    </row>
    <row r="10291" spans="1:15" hidden="1">
      <c r="A10291">
        <v>202310</v>
      </c>
      <c r="B10291" s="6">
        <v>45223</v>
      </c>
      <c r="C10291" t="s">
        <v>4006</v>
      </c>
      <c r="D10291" t="s">
        <v>4995</v>
      </c>
      <c r="E10291">
        <v>67.44</v>
      </c>
      <c r="F10291" s="2" t="str">
        <f>IF(Table2[[#This Row],[Manual Cat Value]]="",VLOOKUP(Table2[[#This Row],[Description]],'Actuals Lookup'!D:F,3,0),Table2[[#This Row],[Manual Cat Value]])</f>
        <v>Restaurants</v>
      </c>
      <c r="G10291" t="s">
        <v>26</v>
      </c>
      <c r="I10291" s="8"/>
      <c r="O10291" t="str">
        <f>LEFT(Table2[[#This Row],[Description]],75)</f>
        <v>Kauai Sushi Station Lihue Hi</v>
      </c>
    </row>
    <row r="10292" spans="1:15" hidden="1">
      <c r="A10292">
        <v>202310</v>
      </c>
      <c r="B10292" s="6">
        <v>45223</v>
      </c>
      <c r="C10292" t="s">
        <v>4006</v>
      </c>
      <c r="D10292" t="s">
        <v>4985</v>
      </c>
      <c r="E10292">
        <v>73.03</v>
      </c>
      <c r="F10292" s="2" t="str">
        <f>IF(Table2[[#This Row],[Manual Cat Value]]="",VLOOKUP(Table2[[#This Row],[Description]],'Actuals Lookup'!D:F,3,0),Table2[[#This Row],[Manual Cat Value]])</f>
        <v>Exp - Groceries</v>
      </c>
      <c r="G10292" t="s">
        <v>48</v>
      </c>
      <c r="H10292" s="8" t="s">
        <v>27</v>
      </c>
      <c r="I10292" s="8"/>
      <c r="O10292" t="str">
        <f>LEFT(Table2[[#This Row],[Description]],75)</f>
        <v>Longs Drugs</v>
      </c>
    </row>
    <row r="10293" spans="1:15" hidden="1">
      <c r="A10293">
        <v>202310</v>
      </c>
      <c r="B10293" s="6">
        <v>45224</v>
      </c>
      <c r="C10293" t="s">
        <v>4006</v>
      </c>
      <c r="D10293" t="s">
        <v>4996</v>
      </c>
      <c r="E10293">
        <v>40.840000000000003</v>
      </c>
      <c r="F10293" s="2" t="str">
        <f>IF(Table2[[#This Row],[Manual Cat Value]]="",VLOOKUP(Table2[[#This Row],[Description]],'Actuals Lookup'!D:F,3,0),Table2[[#This Row],[Manual Cat Value]])</f>
        <v>Exp - Travel</v>
      </c>
      <c r="G10293" t="s">
        <v>40</v>
      </c>
      <c r="H10293" s="8" t="s">
        <v>52</v>
      </c>
      <c r="I10293" s="8"/>
      <c r="O10293" t="str">
        <f>LEFT(Table2[[#This Row],[Description]],75)</f>
        <v>Glf*poipubaygolfcourkoloa Hi</v>
      </c>
    </row>
    <row r="10294" spans="1:15" hidden="1">
      <c r="A10294">
        <v>202310</v>
      </c>
      <c r="B10294" s="6">
        <v>45224</v>
      </c>
      <c r="C10294" t="s">
        <v>4006</v>
      </c>
      <c r="D10294" t="s">
        <v>4996</v>
      </c>
      <c r="E10294">
        <v>455.5</v>
      </c>
      <c r="F10294" s="2" t="str">
        <f>IF(Table2[[#This Row],[Manual Cat Value]]="",VLOOKUP(Table2[[#This Row],[Description]],'Actuals Lookup'!D:F,3,0),Table2[[#This Row],[Manual Cat Value]])</f>
        <v>Exp - Travel</v>
      </c>
      <c r="G10294" t="s">
        <v>40</v>
      </c>
      <c r="H10294" s="8" t="s">
        <v>52</v>
      </c>
      <c r="I10294" s="8"/>
      <c r="O10294" t="str">
        <f>LEFT(Table2[[#This Row],[Description]],75)</f>
        <v>Glf*poipubaygolfcourkoloa Hi</v>
      </c>
    </row>
    <row r="10295" spans="1:15" hidden="1">
      <c r="A10295">
        <v>202310</v>
      </c>
      <c r="B10295" s="6">
        <v>45224</v>
      </c>
      <c r="C10295" t="s">
        <v>3938</v>
      </c>
      <c r="D10295" t="s">
        <v>4997</v>
      </c>
      <c r="E10295">
        <v>55.26</v>
      </c>
      <c r="F10295" s="2" t="str">
        <f>IF(Table2[[#This Row],[Manual Cat Value]]="",VLOOKUP(Table2[[#This Row],[Description]],'Actuals Lookup'!D:F,3,0),Table2[[#This Row],[Manual Cat Value]])</f>
        <v>Exp - Travel</v>
      </c>
      <c r="H10295" s="8" t="s">
        <v>52</v>
      </c>
      <c r="I10295" s="8"/>
      <c r="O10295" t="str">
        <f>LEFT(Table2[[#This Row],[Description]],75)</f>
        <v>Hilton Garden Inn</v>
      </c>
    </row>
    <row r="10296" spans="1:15" hidden="1">
      <c r="A10296">
        <v>202310</v>
      </c>
      <c r="B10296" s="6">
        <v>45224</v>
      </c>
      <c r="C10296" t="s">
        <v>4006</v>
      </c>
      <c r="D10296" t="s">
        <v>4014</v>
      </c>
      <c r="E10296">
        <v>85.5</v>
      </c>
      <c r="F10296" s="2" t="str">
        <f>IF(Table2[[#This Row],[Manual Cat Value]]="",VLOOKUP(Table2[[#This Row],[Description]],'Actuals Lookup'!D:F,3,0),Table2[[#This Row],[Manual Cat Value]])</f>
        <v>Travel</v>
      </c>
      <c r="G10296" t="s">
        <v>43</v>
      </c>
      <c r="I10296" s="8"/>
      <c r="O10296" t="str">
        <f>LEFT(Table2[[#This Row],[Description]],75)</f>
        <v>Hyatt</v>
      </c>
    </row>
    <row r="10297" spans="1:15" hidden="1">
      <c r="A10297">
        <v>202310</v>
      </c>
      <c r="B10297" s="6">
        <v>45224</v>
      </c>
      <c r="C10297" t="s">
        <v>4006</v>
      </c>
      <c r="D10297" t="s">
        <v>4014</v>
      </c>
      <c r="E10297">
        <v>60.21</v>
      </c>
      <c r="F10297" s="2" t="str">
        <f>IF(Table2[[#This Row],[Manual Cat Value]]="",VLOOKUP(Table2[[#This Row],[Description]],'Actuals Lookup'!D:F,3,0),Table2[[#This Row],[Manual Cat Value]])</f>
        <v>Travel</v>
      </c>
      <c r="G10297" t="s">
        <v>43</v>
      </c>
      <c r="I10297" s="8"/>
      <c r="O10297" t="str">
        <f>LEFT(Table2[[#This Row],[Description]],75)</f>
        <v>Hyatt</v>
      </c>
    </row>
    <row r="10298" spans="1:15" hidden="1">
      <c r="A10298">
        <v>202310</v>
      </c>
      <c r="B10298" s="6">
        <v>45224</v>
      </c>
      <c r="C10298" t="s">
        <v>4006</v>
      </c>
      <c r="D10298" t="s">
        <v>4998</v>
      </c>
      <c r="E10298">
        <v>82.68</v>
      </c>
      <c r="F10298" s="2" t="str">
        <f>IF(Table2[[#This Row],[Manual Cat Value]]="",VLOOKUP(Table2[[#This Row],[Description]],'Actuals Lookup'!D:F,3,0),Table2[[#This Row],[Manual Cat Value]])</f>
        <v>Exp - Shopping</v>
      </c>
      <c r="G10298" t="s">
        <v>35</v>
      </c>
      <c r="H10298" s="8" t="s">
        <v>36</v>
      </c>
      <c r="I10298" s="8"/>
      <c r="O10298" t="str">
        <f>LEFT(Table2[[#This Row],[Description]],75)</f>
        <v>Keoki's Paradise Kaukoloa Hi</v>
      </c>
    </row>
    <row r="10299" spans="1:15" hidden="1">
      <c r="A10299" s="25">
        <v>202310</v>
      </c>
      <c r="B10299" s="6">
        <v>45224</v>
      </c>
      <c r="C10299" t="s">
        <v>2519</v>
      </c>
      <c r="D10299" t="s">
        <v>1355</v>
      </c>
      <c r="E10299" s="53">
        <v>654.61</v>
      </c>
      <c r="F10299" s="2" t="str">
        <f>IF(Table2[[#This Row],[Manual Cat Value]]="",VLOOKUP(Table2[[#This Row],[Description]],'Actuals Lookup'!D:F,3,0),Table2[[#This Row],[Manual Cat Value]])</f>
        <v>Exp - Shopping</v>
      </c>
      <c r="H10299" s="8" t="s">
        <v>36</v>
      </c>
      <c r="I10299" s="8"/>
      <c r="O10299" t="str">
        <f>LEFT(Table2[[#This Row],[Description]],75)</f>
        <v>Nordstrom</v>
      </c>
    </row>
    <row r="10300" spans="1:15" hidden="1">
      <c r="A10300" s="25">
        <v>202310</v>
      </c>
      <c r="B10300" s="6">
        <v>45224</v>
      </c>
      <c r="C10300" t="s">
        <v>2519</v>
      </c>
      <c r="D10300" t="s">
        <v>1934</v>
      </c>
      <c r="E10300" s="53">
        <v>-15.95</v>
      </c>
      <c r="F10300" s="2" t="str">
        <f>IF(Table2[[#This Row],[Manual Cat Value]]="",VLOOKUP(Table2[[#This Row],[Description]],'Actuals Lookup'!D:F,3,0),Table2[[#This Row],[Manual Cat Value]])</f>
        <v>Exp - Shopping</v>
      </c>
      <c r="H10300" s="8" t="s">
        <v>36</v>
      </c>
      <c r="I10300" s="8"/>
      <c r="O10300" t="str">
        <f>LEFT(Table2[[#This Row],[Description]],75)</f>
        <v>Transfer from PayPal</v>
      </c>
    </row>
    <row r="10301" spans="1:15" hidden="1">
      <c r="A10301">
        <v>202310</v>
      </c>
      <c r="B10301" s="6">
        <v>45224</v>
      </c>
      <c r="C10301" t="s">
        <v>3938</v>
      </c>
      <c r="D10301" t="s">
        <v>2078</v>
      </c>
      <c r="E10301">
        <v>15.91</v>
      </c>
      <c r="F10301" s="2" t="str">
        <f>IF(Table2[[#This Row],[Manual Cat Value]]="",VLOOKUP(Table2[[#This Row],[Description]],'Actuals Lookup'!D:F,3,0),Table2[[#This Row],[Manual Cat Value]])</f>
        <v>Exp - Transportation</v>
      </c>
      <c r="H10301" s="8" t="s">
        <v>22</v>
      </c>
      <c r="I10301" s="8"/>
      <c r="O10301" t="str">
        <f>LEFT(Table2[[#This Row],[Description]],75)</f>
        <v>Uber</v>
      </c>
    </row>
    <row r="10302" spans="1:15" hidden="1">
      <c r="A10302">
        <v>202310</v>
      </c>
      <c r="B10302" s="6">
        <v>45224</v>
      </c>
      <c r="C10302" t="s">
        <v>3938</v>
      </c>
      <c r="D10302" t="s">
        <v>2078</v>
      </c>
      <c r="E10302">
        <v>55.91</v>
      </c>
      <c r="F10302" s="2" t="str">
        <f>IF(Table2[[#This Row],[Manual Cat Value]]="",VLOOKUP(Table2[[#This Row],[Description]],'Actuals Lookup'!D:F,3,0),Table2[[#This Row],[Manual Cat Value]])</f>
        <v>Exp - Transportation</v>
      </c>
      <c r="H10302" s="8" t="s">
        <v>22</v>
      </c>
      <c r="I10302" s="8"/>
      <c r="O10302" t="str">
        <f>LEFT(Table2[[#This Row],[Description]],75)</f>
        <v>Uber</v>
      </c>
    </row>
    <row r="10303" spans="1:15" hidden="1">
      <c r="A10303" s="25">
        <v>202310</v>
      </c>
      <c r="B10303" s="6">
        <v>45224</v>
      </c>
      <c r="C10303" t="s">
        <v>2519</v>
      </c>
      <c r="D10303" t="s">
        <v>4999</v>
      </c>
      <c r="E10303" s="53">
        <v>330</v>
      </c>
      <c r="F10303" s="2" t="str">
        <f>IF(Table2[[#This Row],[Manual Cat Value]]="",VLOOKUP(Table2[[#This Row],[Description]],'Actuals Lookup'!D:F,3,0),Table2[[#This Row],[Manual Cat Value]])</f>
        <v>Exp - Day Care</v>
      </c>
      <c r="H10303" s="8" t="s">
        <v>19</v>
      </c>
      <c r="I10303" s="8"/>
      <c r="O10303" t="str">
        <f>LEFT(Table2[[#This Row],[Description]],75)</f>
        <v>Withdrawal ACH MHCHILDCARELLC TYPE: DUES ID: XX8198 CO: MHCHILDCARELLC Entr</v>
      </c>
    </row>
    <row r="10304" spans="1:15" hidden="1">
      <c r="A10304" s="25">
        <v>202310</v>
      </c>
      <c r="B10304" s="6">
        <v>45224</v>
      </c>
      <c r="C10304" t="s">
        <v>2519</v>
      </c>
      <c r="D10304" t="s">
        <v>4415</v>
      </c>
      <c r="E10304" s="53">
        <v>678.87</v>
      </c>
      <c r="F10304" s="2" t="str">
        <f>IF(Table2[[#This Row],[Manual Cat Value]]="",VLOOKUP(Table2[[#This Row],[Description]],'Actuals Lookup'!D:F,3,0),Table2[[#This Row],[Manual Cat Value]])</f>
        <v>Delete</v>
      </c>
      <c r="H10304" s="8" t="s">
        <v>9</v>
      </c>
      <c r="I10304" s="8"/>
      <c r="O10304" t="str">
        <f>LEFT(Table2[[#This Row],[Description]],75)</f>
        <v>Payment to Jeffrey B</v>
      </c>
    </row>
    <row r="10305" spans="1:15" hidden="1">
      <c r="A10305" s="25">
        <v>202310</v>
      </c>
      <c r="B10305" s="6">
        <v>45225</v>
      </c>
      <c r="C10305" t="s">
        <v>2519</v>
      </c>
      <c r="D10305" t="s">
        <v>404</v>
      </c>
      <c r="E10305" s="53">
        <v>-3594.82</v>
      </c>
      <c r="F10305" s="2" t="str">
        <f>IF(Table2[[#This Row],[Manual Cat Value]]="",VLOOKUP(Table2[[#This Row],[Description]],'Actuals Lookup'!D:F,3,0),Table2[[#This Row],[Manual Cat Value]])</f>
        <v>Inc - Britney</v>
      </c>
      <c r="H10305" s="8" t="s">
        <v>65</v>
      </c>
      <c r="I10305" s="8"/>
      <c r="O10305" t="str">
        <f>LEFT(Table2[[#This Row],[Description]],75)</f>
        <v>Cargill Inc Deposit</v>
      </c>
    </row>
    <row r="10306" spans="1:15" hidden="1">
      <c r="A10306" s="25">
        <v>202310</v>
      </c>
      <c r="B10306" s="6">
        <v>45225</v>
      </c>
      <c r="C10306" t="s">
        <v>2519</v>
      </c>
      <c r="D10306" t="s">
        <v>5000</v>
      </c>
      <c r="E10306" s="53">
        <v>-562.79999999999995</v>
      </c>
      <c r="F10306" s="2" t="str">
        <f>IF(Table2[[#This Row],[Manual Cat Value]]="",VLOOKUP(Table2[[#This Row],[Description]],'Actuals Lookup'!D:F,3,0),Table2[[#This Row],[Manual Cat Value]])</f>
        <v>Inc - Jeff</v>
      </c>
      <c r="H10306" s="8" t="s">
        <v>63</v>
      </c>
      <c r="I10306" s="8"/>
      <c r="O10306" t="str">
        <f>LEFT(Table2[[#This Row],[Description]],75)</f>
        <v>Deposit ACH EMPYREAN SOLUTIO TYPE: XX9000 ID: XX3620 CO: EMPYREAN SOLUTIO E</v>
      </c>
    </row>
    <row r="10307" spans="1:15" hidden="1">
      <c r="A10307" s="25">
        <v>202310</v>
      </c>
      <c r="B10307" s="6">
        <v>45225</v>
      </c>
      <c r="C10307" t="s">
        <v>2519</v>
      </c>
      <c r="D10307" t="s">
        <v>4404</v>
      </c>
      <c r="E10307" s="53">
        <v>800</v>
      </c>
      <c r="F10307" s="2" t="str">
        <f>IF(Table2[[#This Row],[Manual Cat Value]]="",VLOOKUP(Table2[[#This Row],[Description]],'Actuals Lookup'!D:F,3,0),Table2[[#This Row],[Manual Cat Value]])</f>
        <v>Delete</v>
      </c>
      <c r="H10307" s="8" t="s">
        <v>9</v>
      </c>
      <c r="I10307" s="8"/>
      <c r="O10307" t="str">
        <f>LEFT(Table2[[#This Row],[Description]],75)</f>
        <v>Transfer to Discover Bank</v>
      </c>
    </row>
    <row r="10308" spans="1:15" hidden="1">
      <c r="A10308">
        <v>202310</v>
      </c>
      <c r="B10308" s="6">
        <v>45226</v>
      </c>
      <c r="C10308" t="s">
        <v>4006</v>
      </c>
      <c r="D10308" t="s">
        <v>4996</v>
      </c>
      <c r="E10308">
        <v>188.48</v>
      </c>
      <c r="F10308" s="2" t="str">
        <f>IF(Table2[[#This Row],[Manual Cat Value]]="",VLOOKUP(Table2[[#This Row],[Description]],'Actuals Lookup'!D:F,3,0),Table2[[#This Row],[Manual Cat Value]])</f>
        <v>Exp - Travel</v>
      </c>
      <c r="G10308" t="s">
        <v>40</v>
      </c>
      <c r="H10308" s="8" t="s">
        <v>52</v>
      </c>
      <c r="I10308" s="8"/>
      <c r="O10308" t="str">
        <f>LEFT(Table2[[#This Row],[Description]],75)</f>
        <v>Glf*poipubaygolfcourkoloa Hi</v>
      </c>
    </row>
    <row r="10309" spans="1:15" hidden="1">
      <c r="A10309">
        <v>202310</v>
      </c>
      <c r="B10309" s="6">
        <v>45226</v>
      </c>
      <c r="C10309" t="s">
        <v>4006</v>
      </c>
      <c r="D10309" t="s">
        <v>4012</v>
      </c>
      <c r="E10309">
        <v>-4198.2299999999996</v>
      </c>
      <c r="F10309" s="2" t="str">
        <f>IF(Table2[[#This Row],[Manual Cat Value]]="",VLOOKUP(Table2[[#This Row],[Description]],'Actuals Lookup'!D:F,3,0),Table2[[#This Row],[Manual Cat Value]])</f>
        <v>Delete</v>
      </c>
      <c r="G10309" t="s">
        <v>9</v>
      </c>
      <c r="I10309" s="8"/>
      <c r="O10309" t="str">
        <f>LEFT(Table2[[#This Row],[Description]],75)</f>
        <v>Online Payment - Thank You</v>
      </c>
    </row>
    <row r="10310" spans="1:15" hidden="1">
      <c r="A10310">
        <v>202310</v>
      </c>
      <c r="B10310" s="6">
        <v>45227</v>
      </c>
      <c r="C10310" t="s">
        <v>4006</v>
      </c>
      <c r="D10310" t="s">
        <v>5001</v>
      </c>
      <c r="E10310">
        <v>6.28</v>
      </c>
      <c r="F10310" s="2" t="str">
        <f>IF(Table2[[#This Row],[Manual Cat Value]]="",VLOOKUP(Table2[[#This Row],[Description]],'Actuals Lookup'!D:F,3,0),Table2[[#This Row],[Manual Cat Value]])</f>
        <v>Exp - Restaurants</v>
      </c>
      <c r="G10310" t="s">
        <v>4745</v>
      </c>
      <c r="H10310" s="8" t="s">
        <v>25</v>
      </c>
      <c r="I10310" s="8"/>
      <c r="O10310" t="str">
        <f>LEFT(Table2[[#This Row],[Description]],75)</f>
        <v>Riptides Shave Ice Apoipu Hi</v>
      </c>
    </row>
    <row r="10311" spans="1:15" hidden="1">
      <c r="A10311">
        <v>202310</v>
      </c>
      <c r="B10311" s="6">
        <v>45228</v>
      </c>
      <c r="C10311" t="s">
        <v>4006</v>
      </c>
      <c r="D10311" t="s">
        <v>5002</v>
      </c>
      <c r="E10311">
        <v>10.45</v>
      </c>
      <c r="F10311" s="2" t="str">
        <f>IF(Table2[[#This Row],[Manual Cat Value]]="",VLOOKUP(Table2[[#This Row],[Description]],'Actuals Lookup'!D:F,3,0),Table2[[#This Row],[Manual Cat Value]])</f>
        <v>Restaurants</v>
      </c>
      <c r="G10311" t="s">
        <v>26</v>
      </c>
      <c r="I10311" s="8"/>
      <c r="O10311" t="str">
        <f>LEFT(Table2[[#This Row],[Description]],75)</f>
        <v>Aplpay Ai Ono Caf Llihue Hi</v>
      </c>
    </row>
    <row r="10312" spans="1:15" hidden="1">
      <c r="A10312">
        <v>202310</v>
      </c>
      <c r="B10312" s="6">
        <v>45228</v>
      </c>
      <c r="C10312" t="s">
        <v>4006</v>
      </c>
      <c r="D10312" t="s">
        <v>5003</v>
      </c>
      <c r="E10312">
        <v>87.18</v>
      </c>
      <c r="F10312" s="2" t="str">
        <f>IF(Table2[[#This Row],[Manual Cat Value]]="",VLOOKUP(Table2[[#This Row],[Description]],'Actuals Lookup'!D:F,3,0),Table2[[#This Row],[Manual Cat Value]])</f>
        <v>Restaurants</v>
      </c>
      <c r="G10312" t="s">
        <v>26</v>
      </c>
      <c r="I10312" s="8"/>
      <c r="O10312" t="str">
        <f>LEFT(Table2[[#This Row],[Description]],75)</f>
        <v>Big Monster Sushi Anlihue Hi</v>
      </c>
    </row>
    <row r="10313" spans="1:15" hidden="1">
      <c r="A10313">
        <v>202310</v>
      </c>
      <c r="B10313" s="6">
        <v>45228</v>
      </c>
      <c r="C10313" t="s">
        <v>4006</v>
      </c>
      <c r="D10313" t="s">
        <v>4014</v>
      </c>
      <c r="E10313">
        <v>1276.02</v>
      </c>
      <c r="F10313" s="2" t="str">
        <f>IF(Table2[[#This Row],[Manual Cat Value]]="",VLOOKUP(Table2[[#This Row],[Description]],'Actuals Lookup'!D:F,3,0),Table2[[#This Row],[Manual Cat Value]])</f>
        <v>Travel</v>
      </c>
      <c r="G10313" t="s">
        <v>43</v>
      </c>
      <c r="I10313" s="8"/>
      <c r="O10313" t="str">
        <f>LEFT(Table2[[#This Row],[Description]],75)</f>
        <v>Hyatt</v>
      </c>
    </row>
    <row r="10314" spans="1:15" hidden="1">
      <c r="A10314">
        <v>202310</v>
      </c>
      <c r="B10314" s="6">
        <v>45228</v>
      </c>
      <c r="C10314" t="s">
        <v>3938</v>
      </c>
      <c r="D10314" t="s">
        <v>4985</v>
      </c>
      <c r="E10314">
        <v>5.23</v>
      </c>
      <c r="F10314" s="2" t="str">
        <f>IF(Table2[[#This Row],[Manual Cat Value]]="",VLOOKUP(Table2[[#This Row],[Description]],'Actuals Lookup'!D:F,3,0),Table2[[#This Row],[Manual Cat Value]])</f>
        <v>Exp - Groceries</v>
      </c>
      <c r="H10314" s="8" t="s">
        <v>27</v>
      </c>
      <c r="I10314" s="8"/>
      <c r="O10314" t="str">
        <f>LEFT(Table2[[#This Row],[Description]],75)</f>
        <v>Longs Drugs</v>
      </c>
    </row>
    <row r="10315" spans="1:15" hidden="1">
      <c r="A10315" s="25">
        <v>202310</v>
      </c>
      <c r="B10315" s="6">
        <v>45228</v>
      </c>
      <c r="C10315" t="s">
        <v>2519</v>
      </c>
      <c r="D10315" t="s">
        <v>4343</v>
      </c>
      <c r="E10315" s="53">
        <v>-3342.8</v>
      </c>
      <c r="F10315" s="2" t="str">
        <f>IF(Table2[[#This Row],[Manual Cat Value]]="",VLOOKUP(Table2[[#This Row],[Description]],'Actuals Lookup'!D:F,3,0),Table2[[#This Row],[Manual Cat Value]])</f>
        <v>Inc - Jeff</v>
      </c>
      <c r="H10315" s="8" t="s">
        <v>63</v>
      </c>
      <c r="I10315" s="8"/>
      <c r="O10315" t="str">
        <f>LEFT(Table2[[#This Row],[Description]],75)</f>
        <v>Salary/Regular Income from TriNet</v>
      </c>
    </row>
    <row r="10316" spans="1:15" hidden="1">
      <c r="A10316">
        <v>202310</v>
      </c>
      <c r="B10316" s="6">
        <v>45228</v>
      </c>
      <c r="C10316" t="s">
        <v>4006</v>
      </c>
      <c r="D10316" t="s">
        <v>1650</v>
      </c>
      <c r="E10316">
        <v>41.88</v>
      </c>
      <c r="F10316" s="2" t="str">
        <f>IF(Table2[[#This Row],[Manual Cat Value]]="",VLOOKUP(Table2[[#This Row],[Description]],'Actuals Lookup'!D:F,3,0),Table2[[#This Row],[Manual Cat Value]])</f>
        <v>Exp - Transportation</v>
      </c>
      <c r="G10316" t="s">
        <v>11</v>
      </c>
      <c r="H10316" s="8" t="s">
        <v>22</v>
      </c>
      <c r="I10316" s="8"/>
      <c r="O10316" t="str">
        <f>LEFT(Table2[[#This Row],[Description]],75)</f>
        <v>Shell</v>
      </c>
    </row>
    <row r="10317" spans="1:15" hidden="1">
      <c r="A10317" s="25">
        <v>202310</v>
      </c>
      <c r="B10317" s="6">
        <v>45228</v>
      </c>
      <c r="C10317" t="s">
        <v>2519</v>
      </c>
      <c r="D10317" t="s">
        <v>4293</v>
      </c>
      <c r="E10317" s="53">
        <v>978.28</v>
      </c>
      <c r="F10317" s="2" t="str">
        <f>IF(Table2[[#This Row],[Manual Cat Value]]="",VLOOKUP(Table2[[#This Row],[Description]],'Actuals Lookup'!D:F,3,0),Table2[[#This Row],[Manual Cat Value]])</f>
        <v>Delete</v>
      </c>
      <c r="H10317" s="8" t="s">
        <v>9</v>
      </c>
      <c r="I10317" s="8"/>
      <c r="O10317" t="str">
        <f>LEFT(Table2[[#This Row],[Description]],75)</f>
        <v>Withdrawal Home Banking Pmt to card XX5913</v>
      </c>
    </row>
    <row r="10318" spans="1:15" hidden="1">
      <c r="A10318">
        <v>202310</v>
      </c>
      <c r="B10318" s="6">
        <v>45228</v>
      </c>
      <c r="C10318" t="s">
        <v>3938</v>
      </c>
      <c r="D10318" t="s">
        <v>673</v>
      </c>
      <c r="E10318">
        <v>-978.28</v>
      </c>
      <c r="F10318" s="2" t="str">
        <f>IF(Table2[[#This Row],[Manual Cat Value]]="",VLOOKUP(Table2[[#This Row],[Description]],'Actuals Lookup'!D:F,3,0),Table2[[#This Row],[Manual Cat Value]])</f>
        <v>Delete</v>
      </c>
      <c r="H10318" s="8" t="s">
        <v>9</v>
      </c>
      <c r="I10318" s="8"/>
      <c r="O10318" t="str">
        <f>LEFT(Table2[[#This Row],[Description]],75)</f>
        <v>Credit Card Payment Received</v>
      </c>
    </row>
    <row r="10319" spans="1:15" hidden="1">
      <c r="A10319">
        <v>202310</v>
      </c>
      <c r="B10319" s="6">
        <v>45229</v>
      </c>
      <c r="C10319" t="s">
        <v>3938</v>
      </c>
      <c r="D10319" t="s">
        <v>5004</v>
      </c>
      <c r="E10319">
        <v>36.46</v>
      </c>
      <c r="F10319" s="2" t="str">
        <f>IF(Table2[[#This Row],[Manual Cat Value]]="",VLOOKUP(Table2[[#This Row],[Description]],'Actuals Lookup'!D:F,3,0),Table2[[#This Row],[Manual Cat Value]])</f>
        <v>Exp - Travel</v>
      </c>
      <c r="H10319" s="8" t="s">
        <v>52</v>
      </c>
      <c r="I10319" s="8"/>
      <c r="O10319" t="str">
        <f>LEFT(Table2[[#This Row],[Description]],75)</f>
        <v>Boss Frog's Dive Shop</v>
      </c>
    </row>
    <row r="10320" spans="1:15" hidden="1">
      <c r="A10320">
        <v>202310</v>
      </c>
      <c r="B10320" s="6">
        <v>45229</v>
      </c>
      <c r="C10320" t="s">
        <v>4006</v>
      </c>
      <c r="D10320" t="s">
        <v>1168</v>
      </c>
      <c r="E10320">
        <v>82.09</v>
      </c>
      <c r="F10320" s="2" t="str">
        <f>IF(Table2[[#This Row],[Manual Cat Value]]="",VLOOKUP(Table2[[#This Row],[Description]],'Actuals Lookup'!D:F,3,0),Table2[[#This Row],[Manual Cat Value]])</f>
        <v>Exp - Transportation</v>
      </c>
      <c r="G10320" t="s">
        <v>43</v>
      </c>
      <c r="H10320" s="8" t="s">
        <v>22</v>
      </c>
      <c r="I10320" s="8"/>
      <c r="O10320" t="str">
        <f>LEFT(Table2[[#This Row],[Description]],75)</f>
        <v>Lyft</v>
      </c>
    </row>
    <row r="10321" spans="1:15" hidden="1">
      <c r="A10321">
        <v>202310</v>
      </c>
      <c r="B10321" s="6">
        <v>45229</v>
      </c>
      <c r="C10321" t="s">
        <v>4006</v>
      </c>
      <c r="D10321" t="s">
        <v>4864</v>
      </c>
      <c r="E10321">
        <v>525.71</v>
      </c>
      <c r="F10321" s="2" t="str">
        <f>IF(Table2[[#This Row],[Manual Cat Value]]="",VLOOKUP(Table2[[#This Row],[Description]],'Actuals Lookup'!D:F,3,0),Table2[[#This Row],[Manual Cat Value]])</f>
        <v>Travel</v>
      </c>
      <c r="G10321" t="s">
        <v>43</v>
      </c>
      <c r="I10321" s="8"/>
      <c r="O10321" t="str">
        <f>LEFT(Table2[[#This Row],[Description]],75)</f>
        <v>National Car Rental</v>
      </c>
    </row>
    <row r="10322" spans="1:15" hidden="1">
      <c r="A10322">
        <v>202310</v>
      </c>
      <c r="B10322" s="6">
        <v>45229</v>
      </c>
      <c r="C10322" t="s">
        <v>4006</v>
      </c>
      <c r="D10322" t="s">
        <v>5005</v>
      </c>
      <c r="E10322">
        <v>570</v>
      </c>
      <c r="F10322" s="2" t="str">
        <f>IF(Table2[[#This Row],[Manual Cat Value]]="",VLOOKUP(Table2[[#This Row],[Description]],'Actuals Lookup'!D:F,3,0),Table2[[#This Row],[Manual Cat Value]])</f>
        <v>Shopping</v>
      </c>
      <c r="G10322" t="s">
        <v>21</v>
      </c>
      <c r="I10322" s="8"/>
      <c r="O10322" t="str">
        <f>LEFT(Table2[[#This Row],[Description]],75)</f>
        <v>Smartwool</v>
      </c>
    </row>
    <row r="10323" spans="1:15" hidden="1">
      <c r="A10323" s="25">
        <v>202310</v>
      </c>
      <c r="B10323" s="6">
        <v>45229</v>
      </c>
      <c r="C10323" t="s">
        <v>2519</v>
      </c>
      <c r="D10323" t="s">
        <v>1955</v>
      </c>
      <c r="E10323" s="53">
        <v>0.99</v>
      </c>
      <c r="F10323" s="2" t="str">
        <f>IF(Table2[[#This Row],[Manual Cat Value]]="",VLOOKUP(Table2[[#This Row],[Description]],'Actuals Lookup'!D:F,3,0),Table2[[#This Row],[Manual Cat Value]])</f>
        <v>Exp - Shopping</v>
      </c>
      <c r="H10323" s="8" t="s">
        <v>36</v>
      </c>
      <c r="I10323" s="8"/>
      <c r="O10323" t="str">
        <f>LEFT(Table2[[#This Row],[Description]],75)</f>
        <v>Transfer to PayPal</v>
      </c>
    </row>
    <row r="10324" spans="1:15" hidden="1">
      <c r="A10324" s="25">
        <v>202310</v>
      </c>
      <c r="B10324" s="6">
        <v>45229</v>
      </c>
      <c r="C10324" t="s">
        <v>2519</v>
      </c>
      <c r="D10324" t="s">
        <v>1458</v>
      </c>
      <c r="E10324" s="53">
        <v>4198.2299999999996</v>
      </c>
      <c r="F10324" s="2" t="str">
        <f>IF(Table2[[#This Row],[Manual Cat Value]]="",VLOOKUP(Table2[[#This Row],[Description]],'Actuals Lookup'!D:F,3,0),Table2[[#This Row],[Manual Cat Value]])</f>
        <v>Delete</v>
      </c>
      <c r="H10324" s="8" t="s">
        <v>9</v>
      </c>
      <c r="I10324" s="8"/>
      <c r="O10324" t="str">
        <f>LEFT(Table2[[#This Row],[Description]],75)</f>
        <v>Payment to American Express</v>
      </c>
    </row>
    <row r="10325" spans="1:15" hidden="1">
      <c r="A10325">
        <v>202310</v>
      </c>
      <c r="B10325" s="6">
        <v>45230</v>
      </c>
      <c r="C10325" t="s">
        <v>4006</v>
      </c>
      <c r="D10325" t="s">
        <v>684</v>
      </c>
      <c r="E10325">
        <v>144.41</v>
      </c>
      <c r="F10325" s="2" t="str">
        <f>IF(Table2[[#This Row],[Manual Cat Value]]="",VLOOKUP(Table2[[#This Row],[Description]],'Actuals Lookup'!D:F,3,0),Table2[[#This Row],[Manual Cat Value]])</f>
        <v>Groceries</v>
      </c>
      <c r="G10325" t="s">
        <v>28</v>
      </c>
      <c r="I10325" s="8"/>
      <c r="O10325" t="str">
        <f>LEFT(Table2[[#This Row],[Description]],75)</f>
        <v>Cub Foods</v>
      </c>
    </row>
    <row r="10326" spans="1:15" hidden="1">
      <c r="A10326" s="25">
        <v>202310</v>
      </c>
      <c r="B10326" s="6">
        <v>45230</v>
      </c>
      <c r="C10326" t="s">
        <v>2519</v>
      </c>
      <c r="D10326" t="s">
        <v>2896</v>
      </c>
      <c r="E10326" s="53">
        <v>-4.25</v>
      </c>
      <c r="F10326" s="2" t="str">
        <f>IF(Table2[[#This Row],[Manual Cat Value]]="",VLOOKUP(Table2[[#This Row],[Description]],'Actuals Lookup'!D:F,3,0),Table2[[#This Row],[Manual Cat Value]])</f>
        <v>Inc - Other</v>
      </c>
      <c r="H10326" s="8" t="s">
        <v>16</v>
      </c>
      <c r="I10326" s="8"/>
      <c r="O10326" t="str">
        <f>LEFT(Table2[[#This Row],[Description]],75)</f>
        <v>Deposit ATM FEE REFUND</v>
      </c>
    </row>
    <row r="10327" spans="1:15" hidden="1">
      <c r="A10327" s="25">
        <v>202310</v>
      </c>
      <c r="B10327" s="6">
        <v>45230</v>
      </c>
      <c r="C10327" t="s">
        <v>2519</v>
      </c>
      <c r="D10327" t="s">
        <v>5006</v>
      </c>
      <c r="E10327" s="53">
        <v>-50.19</v>
      </c>
      <c r="F10327" s="2" t="str">
        <f>IF(Table2[[#This Row],[Manual Cat Value]]="",VLOOKUP(Table2[[#This Row],[Description]],'Actuals Lookup'!D:F,3,0),Table2[[#This Row],[Manual Cat Value]])</f>
        <v>Inc - Other</v>
      </c>
      <c r="H10327" s="8" t="s">
        <v>16</v>
      </c>
      <c r="I10327" s="8"/>
      <c r="O10327" t="str">
        <f>LEFT(Table2[[#This Row],[Description]],75)</f>
        <v>Deposit Dividend Split Rate Annual Percentage Yield Earned 1.89% from 10/01</v>
      </c>
    </row>
    <row r="10328" spans="1:15" hidden="1">
      <c r="A10328">
        <v>202310</v>
      </c>
      <c r="B10328" s="6">
        <v>45230</v>
      </c>
      <c r="C10328" t="s">
        <v>4006</v>
      </c>
      <c r="D10328" t="s">
        <v>31</v>
      </c>
      <c r="E10328">
        <v>24.27</v>
      </c>
      <c r="F10328" s="2" t="str">
        <f>IF(Table2[[#This Row],[Manual Cat Value]]="",VLOOKUP(Table2[[#This Row],[Description]],'Actuals Lookup'!D:F,3,0),Table2[[#This Row],[Manual Cat Value]])</f>
        <v>Target</v>
      </c>
      <c r="G10328" t="s">
        <v>31</v>
      </c>
      <c r="I10328" s="8"/>
      <c r="O10328" t="str">
        <f>LEFT(Table2[[#This Row],[Description]],75)</f>
        <v>Target</v>
      </c>
    </row>
    <row r="10329" spans="1:15" hidden="1">
      <c r="A10329" s="25">
        <v>202310</v>
      </c>
      <c r="B10329" s="6">
        <v>45230</v>
      </c>
      <c r="C10329" t="s">
        <v>2519</v>
      </c>
      <c r="D10329" t="s">
        <v>5007</v>
      </c>
      <c r="E10329" s="53">
        <v>330</v>
      </c>
      <c r="F10329" s="2" t="str">
        <f>IF(Table2[[#This Row],[Manual Cat Value]]="",VLOOKUP(Table2[[#This Row],[Description]],'Actuals Lookup'!D:F,3,0),Table2[[#This Row],[Manual Cat Value]])</f>
        <v>Exp - Day Care</v>
      </c>
      <c r="H10329" s="8" t="s">
        <v>19</v>
      </c>
      <c r="I10329" s="8"/>
      <c r="O10329" t="str">
        <f>LEFT(Table2[[#This Row],[Description]],75)</f>
        <v>Withdrawal ACH MHCHILDCARELLC TYPE: DUES ID: XX8198 CO: MHCHILDCARELLC Entr</v>
      </c>
    </row>
    <row r="10330" spans="1:15" hidden="1">
      <c r="A10330">
        <v>202311</v>
      </c>
      <c r="B10330" s="6">
        <v>45231</v>
      </c>
      <c r="C10330" t="s">
        <v>3932</v>
      </c>
      <c r="D10330" t="s">
        <v>38</v>
      </c>
      <c r="E10330">
        <v>77</v>
      </c>
      <c r="F10330" s="2" t="str">
        <f>IF(Table2[[#This Row],[Manual Cat Value]]="",VLOOKUP(Table2[[#This Row],[Description]],'Actuals Lookup'!D:F,3,0),Table2[[#This Row],[Manual Cat Value]])</f>
        <v>Exp - Amazon</v>
      </c>
      <c r="G10330" t="s">
        <v>41</v>
      </c>
      <c r="H10330" s="8" t="s">
        <v>37</v>
      </c>
      <c r="I10330" s="8"/>
      <c r="O10330" t="str">
        <f>LEFT(Table2[[#This Row],[Description]],75)</f>
        <v>Amazon</v>
      </c>
    </row>
    <row r="10331" spans="1:15" hidden="1">
      <c r="A10331">
        <v>202311</v>
      </c>
      <c r="B10331" s="6">
        <v>45231</v>
      </c>
      <c r="C10331" t="s">
        <v>3932</v>
      </c>
      <c r="D10331" t="s">
        <v>38</v>
      </c>
      <c r="E10331">
        <v>69.989999999999995</v>
      </c>
      <c r="F10331" s="2" t="str">
        <f>IF(Table2[[#This Row],[Manual Cat Value]]="",VLOOKUP(Table2[[#This Row],[Description]],'Actuals Lookup'!D:F,3,0),Table2[[#This Row],[Manual Cat Value]])</f>
        <v>Exp - Amazon</v>
      </c>
      <c r="G10331" t="s">
        <v>38</v>
      </c>
      <c r="H10331" s="8" t="s">
        <v>37</v>
      </c>
      <c r="I10331" s="8"/>
      <c r="O10331" t="str">
        <f>LEFT(Table2[[#This Row],[Description]],75)</f>
        <v>Amazon</v>
      </c>
    </row>
    <row r="10332" spans="1:15" hidden="1">
      <c r="A10332">
        <v>202311</v>
      </c>
      <c r="B10332" s="6">
        <v>45231</v>
      </c>
      <c r="C10332" t="s">
        <v>3932</v>
      </c>
      <c r="D10332" t="s">
        <v>38</v>
      </c>
      <c r="E10332">
        <v>90.83</v>
      </c>
      <c r="F10332" s="2" t="str">
        <f>IF(Table2[[#This Row],[Manual Cat Value]]="",VLOOKUP(Table2[[#This Row],[Description]],'Actuals Lookup'!D:F,3,0),Table2[[#This Row],[Manual Cat Value]])</f>
        <v>Exp - Amazon</v>
      </c>
      <c r="G10332" t="s">
        <v>41</v>
      </c>
      <c r="H10332" s="8" t="s">
        <v>37</v>
      </c>
      <c r="I10332" s="8"/>
      <c r="O10332" t="str">
        <f>LEFT(Table2[[#This Row],[Description]],75)</f>
        <v>Amazon</v>
      </c>
    </row>
    <row r="10333" spans="1:15" hidden="1">
      <c r="A10333">
        <v>202311</v>
      </c>
      <c r="B10333" s="6">
        <v>45231</v>
      </c>
      <c r="C10333" t="s">
        <v>4129</v>
      </c>
      <c r="D10333" t="s">
        <v>113</v>
      </c>
      <c r="E10333">
        <v>-8.66</v>
      </c>
      <c r="F10333" s="2" t="str">
        <f>IF(Table2[[#This Row],[Manual Cat Value]]="",VLOOKUP(Table2[[#This Row],[Description]],'Actuals Lookup'!D:F,3,0),Table2[[#This Row],[Manual Cat Value]])</f>
        <v>Exp - Amazon</v>
      </c>
      <c r="H10333" s="8" t="s">
        <v>37</v>
      </c>
      <c r="I10333" s="8"/>
      <c r="O10333" t="str">
        <f>LEFT(Table2[[#This Row],[Description]],75)</f>
        <v>Amazon Marketplace</v>
      </c>
    </row>
    <row r="10334" spans="1:15" hidden="1">
      <c r="A10334">
        <v>202311</v>
      </c>
      <c r="B10334" s="6">
        <v>45231</v>
      </c>
      <c r="C10334" t="s">
        <v>4125</v>
      </c>
      <c r="D10334" t="s">
        <v>113</v>
      </c>
      <c r="E10334">
        <v>-10.47</v>
      </c>
      <c r="F10334" s="2" t="str">
        <f>IF(Table2[[#This Row],[Manual Cat Value]]="",VLOOKUP(Table2[[#This Row],[Description]],'Actuals Lookup'!D:F,3,0),Table2[[#This Row],[Manual Cat Value]])</f>
        <v>Exp - Amazon</v>
      </c>
      <c r="H10334" s="8" t="s">
        <v>37</v>
      </c>
      <c r="I10334" s="8"/>
      <c r="O10334" t="str">
        <f>LEFT(Table2[[#This Row],[Description]],75)</f>
        <v>Amazon Marketplace</v>
      </c>
    </row>
    <row r="10335" spans="1:15" hidden="1">
      <c r="A10335">
        <v>202311</v>
      </c>
      <c r="B10335" s="6">
        <v>45231</v>
      </c>
      <c r="C10335" t="s">
        <v>4123</v>
      </c>
      <c r="D10335" t="s">
        <v>113</v>
      </c>
      <c r="E10335">
        <v>-6.13</v>
      </c>
      <c r="F10335" s="2" t="str">
        <f>IF(Table2[[#This Row],[Manual Cat Value]]="",VLOOKUP(Table2[[#This Row],[Description]],'Actuals Lookup'!D:F,3,0),Table2[[#This Row],[Manual Cat Value]])</f>
        <v>Exp - Amazon</v>
      </c>
      <c r="H10335" s="8" t="s">
        <v>37</v>
      </c>
      <c r="I10335" s="8"/>
      <c r="O10335" t="str">
        <f>LEFT(Table2[[#This Row],[Description]],75)</f>
        <v>Amazon Marketplace</v>
      </c>
    </row>
    <row r="10336" spans="1:15" hidden="1">
      <c r="A10336">
        <v>202311</v>
      </c>
      <c r="B10336" s="6">
        <v>45231</v>
      </c>
      <c r="C10336" t="s">
        <v>4121</v>
      </c>
      <c r="D10336" t="s">
        <v>113</v>
      </c>
      <c r="E10336">
        <v>-16.25</v>
      </c>
      <c r="F10336" s="2" t="str">
        <f>IF(Table2[[#This Row],[Manual Cat Value]]="",VLOOKUP(Table2[[#This Row],[Description]],'Actuals Lookup'!D:F,3,0),Table2[[#This Row],[Manual Cat Value]])</f>
        <v>Exp - Amazon</v>
      </c>
      <c r="H10336" s="8" t="s">
        <v>37</v>
      </c>
      <c r="I10336" s="8"/>
      <c r="O10336" t="str">
        <f>LEFT(Table2[[#This Row],[Description]],75)</f>
        <v>Amazon Marketplace</v>
      </c>
    </row>
    <row r="10337" spans="1:15" hidden="1">
      <c r="A10337">
        <v>202311</v>
      </c>
      <c r="B10337" s="6">
        <v>45231</v>
      </c>
      <c r="C10337" t="s">
        <v>4112</v>
      </c>
      <c r="D10337" t="s">
        <v>5008</v>
      </c>
      <c r="E10337">
        <v>5.41</v>
      </c>
      <c r="F10337" s="2" t="str">
        <f>IF(Table2[[#This Row],[Manual Cat Value]]="",VLOOKUP(Table2[[#This Row],[Description]],'Actuals Lookup'!D:F,3,0),Table2[[#This Row],[Manual Cat Value]])</f>
        <v>Exp - Entertainment</v>
      </c>
      <c r="H10337" s="8" t="s">
        <v>39</v>
      </c>
      <c r="I10337" s="8"/>
      <c r="O10337" t="str">
        <f>LEFT(Table2[[#This Row],[Description]],75)</f>
        <v>Amazon Music*DC0QM7CV3   888-802-3080 WA REF #24692169G30EYSDN3</v>
      </c>
    </row>
    <row r="10338" spans="1:15" hidden="1">
      <c r="A10338">
        <v>202311</v>
      </c>
      <c r="B10338" s="6">
        <v>45231</v>
      </c>
      <c r="C10338" t="s">
        <v>4098</v>
      </c>
      <c r="D10338" t="s">
        <v>545</v>
      </c>
      <c r="E10338">
        <v>25.41</v>
      </c>
      <c r="F10338" s="2" t="str">
        <f>IF(Table2[[#This Row],[Manual Cat Value]]="",VLOOKUP(Table2[[#This Row],[Description]],'Actuals Lookup'!D:F,3,0),Table2[[#This Row],[Manual Cat Value]])</f>
        <v>Exp - Restaurants</v>
      </c>
      <c r="H10338" s="8" t="s">
        <v>25</v>
      </c>
      <c r="I10338" s="8"/>
      <c r="O10338" t="str">
        <f>LEFT(Table2[[#This Row],[Description]],75)</f>
        <v>Chipotle Mexican Grill</v>
      </c>
    </row>
    <row r="10339" spans="1:15" hidden="1">
      <c r="A10339">
        <v>202311</v>
      </c>
      <c r="B10339" s="6">
        <v>45231</v>
      </c>
      <c r="C10339" t="s">
        <v>4100</v>
      </c>
      <c r="D10339" t="s">
        <v>684</v>
      </c>
      <c r="E10339">
        <v>12.42</v>
      </c>
      <c r="F10339" s="2" t="str">
        <f>IF(Table2[[#This Row],[Manual Cat Value]]="",VLOOKUP(Table2[[#This Row],[Description]],'Actuals Lookup'!D:F,3,0),Table2[[#This Row],[Manual Cat Value]])</f>
        <v>Exp - Groceries</v>
      </c>
      <c r="H10339" s="8" t="s">
        <v>27</v>
      </c>
      <c r="I10339" s="8"/>
      <c r="O10339" t="str">
        <f>LEFT(Table2[[#This Row],[Description]],75)</f>
        <v>Cub Foods</v>
      </c>
    </row>
    <row r="10340" spans="1:15" hidden="1">
      <c r="A10340">
        <v>202311</v>
      </c>
      <c r="B10340" s="6">
        <v>45231</v>
      </c>
      <c r="C10340" t="s">
        <v>2519</v>
      </c>
      <c r="D10340" t="s">
        <v>4716</v>
      </c>
      <c r="E10340">
        <v>650</v>
      </c>
      <c r="F10340" s="2" t="str">
        <f>IF(Table2[[#This Row],[Manual Cat Value]]="",VLOOKUP(Table2[[#This Row],[Description]],'Actuals Lookup'!D:F,3,0),Table2[[#This Row],[Manual Cat Value]])</f>
        <v>Sav - College Savings</v>
      </c>
      <c r="H10340" s="8" t="s">
        <v>60</v>
      </c>
      <c r="I10340" s="8"/>
      <c r="O10340" t="str">
        <f>LEFT(Table2[[#This Row],[Description]],75)</f>
        <v>Transfer to College Station</v>
      </c>
    </row>
    <row r="10341" spans="1:15" hidden="1">
      <c r="A10341">
        <v>202311</v>
      </c>
      <c r="B10341" s="6">
        <v>45231</v>
      </c>
      <c r="C10341" t="s">
        <v>2519</v>
      </c>
      <c r="D10341" t="s">
        <v>5009</v>
      </c>
      <c r="E10341">
        <v>618.14</v>
      </c>
      <c r="F10341" s="2" t="str">
        <f>IF(Table2[[#This Row],[Manual Cat Value]]="",VLOOKUP(Table2[[#This Row],[Description]],'Actuals Lookup'!D:F,3,0),Table2[[#This Row],[Manual Cat Value]])</f>
        <v>Delete</v>
      </c>
      <c r="H10341" s="8" t="s">
        <v>9</v>
      </c>
      <c r="I10341" s="8"/>
      <c r="O10341" t="str">
        <f>LEFT(Table2[[#This Row],[Description]],75)</f>
        <v>Withdrawal Transfer To Loan 02</v>
      </c>
    </row>
    <row r="10342" spans="1:15" hidden="1">
      <c r="A10342">
        <v>202311</v>
      </c>
      <c r="B10342" s="6">
        <v>45231</v>
      </c>
      <c r="C10342" t="s">
        <v>2519</v>
      </c>
      <c r="D10342" t="s">
        <v>1460</v>
      </c>
      <c r="E10342">
        <v>2741.74</v>
      </c>
      <c r="F10342" s="2" t="str">
        <f>IF(Table2[[#This Row],[Manual Cat Value]]="",VLOOKUP(Table2[[#This Row],[Description]],'Actuals Lookup'!D:F,3,0),Table2[[#This Row],[Manual Cat Value]])</f>
        <v>Exp - Rent</v>
      </c>
      <c r="H10342" s="8" t="s">
        <v>4</v>
      </c>
      <c r="I10342" s="8"/>
      <c r="O10342" t="str">
        <f>LEFT(Table2[[#This Row],[Description]],75)</f>
        <v>Payment to Baxter Credit Union</v>
      </c>
    </row>
    <row r="10343" spans="1:15" hidden="1">
      <c r="A10343">
        <v>202311</v>
      </c>
      <c r="B10343" s="6">
        <v>45232</v>
      </c>
      <c r="C10343" t="s">
        <v>2519</v>
      </c>
      <c r="D10343" t="s">
        <v>5010</v>
      </c>
      <c r="E10343">
        <v>-71</v>
      </c>
      <c r="F10343" s="2" t="str">
        <f>IF(Table2[[#This Row],[Manual Cat Value]]="",VLOOKUP(Table2[[#This Row],[Description]],'Actuals Lookup'!D:F,3,0),Table2[[#This Row],[Manual Cat Value]])</f>
        <v>Delete</v>
      </c>
      <c r="H10343" s="8" t="s">
        <v>9</v>
      </c>
      <c r="I10343" s="8"/>
      <c r="O10343" t="str">
        <f>LEFT(Table2[[#This Row],[Description]],75)</f>
        <v>Deposit Home Banking Transfer From Share 01 REF # XX0463</v>
      </c>
    </row>
    <row r="10344" spans="1:15" hidden="1">
      <c r="A10344">
        <v>202311</v>
      </c>
      <c r="B10344" s="6">
        <v>45232</v>
      </c>
      <c r="C10344" t="s">
        <v>2519</v>
      </c>
      <c r="D10344" t="s">
        <v>5011</v>
      </c>
      <c r="E10344">
        <v>-210</v>
      </c>
      <c r="F10344" s="2" t="str">
        <f>IF(Table2[[#This Row],[Manual Cat Value]]="",VLOOKUP(Table2[[#This Row],[Description]],'Actuals Lookup'!D:F,3,0),Table2[[#This Row],[Manual Cat Value]])</f>
        <v>Delete</v>
      </c>
      <c r="H10344" s="8" t="s">
        <v>9</v>
      </c>
      <c r="I10344" s="8"/>
      <c r="O10344" t="str">
        <f>LEFT(Table2[[#This Row],[Description]],75)</f>
        <v>Deposit Home Banking Transfer REF # XX0448 From TRUITTBRITNEY K XX6126 Shar</v>
      </c>
    </row>
    <row r="10345" spans="1:15" hidden="1">
      <c r="A10345">
        <v>202311</v>
      </c>
      <c r="B10345" s="6">
        <v>45232</v>
      </c>
      <c r="C10345" t="s">
        <v>4127</v>
      </c>
      <c r="D10345" t="s">
        <v>4017</v>
      </c>
      <c r="E10345">
        <v>58.24</v>
      </c>
      <c r="F10345" s="2" t="str">
        <f>IF(Table2[[#This Row],[Manual Cat Value]]="",VLOOKUP(Table2[[#This Row],[Description]],'Actuals Lookup'!D:F,3,0),Table2[[#This Row],[Manual Cat Value]])</f>
        <v>Exp - Groceries</v>
      </c>
      <c r="H10345" s="8" t="s">
        <v>27</v>
      </c>
      <c r="I10345" s="8"/>
      <c r="O10345" t="str">
        <f>LEFT(Table2[[#This Row],[Description]],75)</f>
        <v>Lunds &amp; Byerlys</v>
      </c>
    </row>
    <row r="10346" spans="1:15" hidden="1">
      <c r="A10346">
        <v>202311</v>
      </c>
      <c r="B10346" s="6">
        <v>45232</v>
      </c>
      <c r="C10346" t="s">
        <v>4137</v>
      </c>
      <c r="D10346" t="s">
        <v>5012</v>
      </c>
      <c r="E10346">
        <v>100</v>
      </c>
      <c r="F10346" s="2" t="str">
        <f>IF(Table2[[#This Row],[Manual Cat Value]]="",VLOOKUP(Table2[[#This Row],[Description]],'Actuals Lookup'!D:F,3,0),Table2[[#This Row],[Manual Cat Value]])</f>
        <v>Exp - Shopping</v>
      </c>
      <c r="H10346" s="8" t="s">
        <v>36</v>
      </c>
      <c r="I10346" s="8"/>
      <c r="O10346" t="str">
        <f>LEFT(Table2[[#This Row],[Description]],75)</f>
        <v>SP NORMAL BRAND COR THENORMALBRANMO REF #XX2169Hx0202S7N</v>
      </c>
    </row>
    <row r="10347" spans="1:15" hidden="1">
      <c r="A10347">
        <v>202311</v>
      </c>
      <c r="B10347" s="6">
        <v>45232</v>
      </c>
      <c r="C10347" t="s">
        <v>5013</v>
      </c>
      <c r="D10347" t="s">
        <v>4012</v>
      </c>
      <c r="E10347">
        <v>-2362.5</v>
      </c>
      <c r="F10347" s="2" t="str">
        <f>IF(Table2[[#This Row],[Manual Cat Value]]="",VLOOKUP(Table2[[#This Row],[Description]],'Actuals Lookup'!D:F,3,0),Table2[[#This Row],[Manual Cat Value]])</f>
        <v>Delete</v>
      </c>
      <c r="G10347" t="s">
        <v>9</v>
      </c>
      <c r="H10347" s="8" t="s">
        <v>9</v>
      </c>
      <c r="I10347" s="8"/>
      <c r="O10347" t="str">
        <f>LEFT(Table2[[#This Row],[Description]],75)</f>
        <v>Online Payment - Thank You</v>
      </c>
    </row>
    <row r="10348" spans="1:15" hidden="1">
      <c r="A10348">
        <v>202311</v>
      </c>
      <c r="B10348" s="6">
        <v>45233</v>
      </c>
      <c r="C10348" t="s">
        <v>3932</v>
      </c>
      <c r="D10348" t="s">
        <v>113</v>
      </c>
      <c r="E10348">
        <v>-38.479999999999997</v>
      </c>
      <c r="F10348" s="2" t="str">
        <f>IF(Table2[[#This Row],[Manual Cat Value]]="",VLOOKUP(Table2[[#This Row],[Description]],'Actuals Lookup'!D:F,3,0),Table2[[#This Row],[Manual Cat Value]])</f>
        <v>Exp - Amazon</v>
      </c>
      <c r="G10348" t="s">
        <v>41</v>
      </c>
      <c r="H10348" s="8" t="s">
        <v>37</v>
      </c>
      <c r="I10348" s="8"/>
      <c r="O10348" t="str">
        <f>LEFT(Table2[[#This Row],[Description]],75)</f>
        <v>Amazon Marketplace</v>
      </c>
    </row>
    <row r="10349" spans="1:15" hidden="1">
      <c r="A10349">
        <v>202311</v>
      </c>
      <c r="B10349" s="6">
        <v>45233</v>
      </c>
      <c r="C10349" t="s">
        <v>5013</v>
      </c>
      <c r="D10349" t="s">
        <v>684</v>
      </c>
      <c r="E10349">
        <v>23.89</v>
      </c>
      <c r="F10349" s="2" t="str">
        <f>IF(Table2[[#This Row],[Manual Cat Value]]="",VLOOKUP(Table2[[#This Row],[Description]],'Actuals Lookup'!D:F,3,0),Table2[[#This Row],[Manual Cat Value]])</f>
        <v>Groceries</v>
      </c>
      <c r="G10349" t="s">
        <v>28</v>
      </c>
      <c r="I10349" s="8"/>
      <c r="O10349" t="str">
        <f>LEFT(Table2[[#This Row],[Description]],75)</f>
        <v>Cub Foods</v>
      </c>
    </row>
    <row r="10350" spans="1:15" hidden="1">
      <c r="A10350">
        <v>202311</v>
      </c>
      <c r="B10350" s="6">
        <v>45233</v>
      </c>
      <c r="C10350" t="s">
        <v>4135</v>
      </c>
      <c r="D10350" t="s">
        <v>5014</v>
      </c>
      <c r="E10350">
        <v>9.67</v>
      </c>
      <c r="F10350" s="2" t="str">
        <f>IF(Table2[[#This Row],[Manual Cat Value]]="",VLOOKUP(Table2[[#This Row],[Description]],'Actuals Lookup'!D:F,3,0),Table2[[#This Row],[Manual Cat Value]])</f>
        <v>Exp - Restaurants</v>
      </c>
      <c r="H10350" s="8" t="s">
        <v>25</v>
      </c>
      <c r="I10350" s="8"/>
      <c r="O10350" t="str">
        <f>LEFT(Table2[[#This Row],[Description]],75)</f>
        <v>WAYZATA CAFE WAYZATA MN REF #XX3009KW5YAYHNL</v>
      </c>
    </row>
    <row r="10351" spans="1:15" hidden="1">
      <c r="A10351">
        <v>202311</v>
      </c>
      <c r="B10351" s="6">
        <v>45233</v>
      </c>
      <c r="C10351" t="s">
        <v>2519</v>
      </c>
      <c r="D10351" t="s">
        <v>1458</v>
      </c>
      <c r="E10351">
        <v>2362.5</v>
      </c>
      <c r="F10351" s="2" t="str">
        <f>IF(Table2[[#This Row],[Manual Cat Value]]="",VLOOKUP(Table2[[#This Row],[Description]],'Actuals Lookup'!D:F,3,0),Table2[[#This Row],[Manual Cat Value]])</f>
        <v>Delete</v>
      </c>
      <c r="H10351" s="8" t="s">
        <v>9</v>
      </c>
      <c r="I10351" s="8"/>
      <c r="O10351" t="str">
        <f>LEFT(Table2[[#This Row],[Description]],75)</f>
        <v>Payment to American Express</v>
      </c>
    </row>
    <row r="10352" spans="1:15" hidden="1">
      <c r="A10352">
        <v>202311</v>
      </c>
      <c r="B10352" s="6">
        <v>45233</v>
      </c>
      <c r="C10352" t="s">
        <v>2519</v>
      </c>
      <c r="D10352" t="s">
        <v>1470</v>
      </c>
      <c r="E10352">
        <v>159.54</v>
      </c>
      <c r="F10352" s="2" t="str">
        <f>IF(Table2[[#This Row],[Manual Cat Value]]="",VLOOKUP(Table2[[#This Row],[Description]],'Actuals Lookup'!D:F,3,0),Table2[[#This Row],[Manual Cat Value]])</f>
        <v>Exp - House Maint</v>
      </c>
      <c r="H10352" s="8" t="s">
        <v>1</v>
      </c>
      <c r="I10352" s="8"/>
      <c r="O10352" t="str">
        <f>LEFT(Table2[[#This Row],[Description]],75)</f>
        <v>Payment to Xcel Energy</v>
      </c>
    </row>
    <row r="10353" spans="1:15" hidden="1">
      <c r="A10353">
        <v>202311</v>
      </c>
      <c r="B10353" s="6">
        <v>45234</v>
      </c>
      <c r="C10353" t="s">
        <v>3932</v>
      </c>
      <c r="D10353" t="s">
        <v>38</v>
      </c>
      <c r="E10353">
        <v>15.16</v>
      </c>
      <c r="F10353" s="2" t="str">
        <f>IF(Table2[[#This Row],[Manual Cat Value]]="",VLOOKUP(Table2[[#This Row],[Description]],'Actuals Lookup'!D:F,3,0),Table2[[#This Row],[Manual Cat Value]])</f>
        <v>Exp - Amazon</v>
      </c>
      <c r="G10353" t="s">
        <v>41</v>
      </c>
      <c r="H10353" s="8" t="s">
        <v>37</v>
      </c>
      <c r="I10353" s="8"/>
      <c r="O10353" t="str">
        <f>LEFT(Table2[[#This Row],[Description]],75)</f>
        <v>Amazon</v>
      </c>
    </row>
    <row r="10354" spans="1:15" hidden="1">
      <c r="A10354">
        <v>202311</v>
      </c>
      <c r="B10354" s="6">
        <v>45234</v>
      </c>
      <c r="C10354" t="s">
        <v>5013</v>
      </c>
      <c r="D10354" t="s">
        <v>5015</v>
      </c>
      <c r="E10354">
        <v>17.34</v>
      </c>
      <c r="F10354" s="2" t="str">
        <f>IF(Table2[[#This Row],[Manual Cat Value]]="",VLOOKUP(Table2[[#This Row],[Description]],'Actuals Lookup'!D:F,3,0),Table2[[#This Row],[Manual Cat Value]])</f>
        <v>Restaurants</v>
      </c>
      <c r="G10354" t="s">
        <v>26</v>
      </c>
      <c r="I10354" s="8"/>
      <c r="O10354" t="str">
        <f>LEFT(Table2[[#This Row],[Description]],75)</f>
        <v>Trufit Cafe &amp; Smoothspring Park Mn</v>
      </c>
    </row>
    <row r="10355" spans="1:15" hidden="1">
      <c r="A10355">
        <v>202311</v>
      </c>
      <c r="B10355" s="6">
        <v>45234</v>
      </c>
      <c r="C10355" t="s">
        <v>5013</v>
      </c>
      <c r="D10355" t="s">
        <v>4012</v>
      </c>
      <c r="E10355">
        <v>-594.27</v>
      </c>
      <c r="F10355" s="2" t="str">
        <f>IF(Table2[[#This Row],[Manual Cat Value]]="",VLOOKUP(Table2[[#This Row],[Description]],'Actuals Lookup'!D:F,3,0),Table2[[#This Row],[Manual Cat Value]])</f>
        <v>Delete</v>
      </c>
      <c r="G10355" t="s">
        <v>9</v>
      </c>
      <c r="H10355" s="8" t="s">
        <v>9</v>
      </c>
      <c r="I10355" s="8"/>
      <c r="O10355" t="str">
        <f>LEFT(Table2[[#This Row],[Description]],75)</f>
        <v>Online Payment - Thank You</v>
      </c>
    </row>
    <row r="10356" spans="1:15" hidden="1">
      <c r="A10356">
        <v>202311</v>
      </c>
      <c r="B10356" s="6">
        <v>45235</v>
      </c>
      <c r="C10356" t="s">
        <v>5013</v>
      </c>
      <c r="D10356" t="s">
        <v>5016</v>
      </c>
      <c r="E10356">
        <v>10.08</v>
      </c>
      <c r="F10356" s="2" t="str">
        <f>IF(Table2[[#This Row],[Manual Cat Value]]="",VLOOKUP(Table2[[#This Row],[Description]],'Actuals Lookup'!D:F,3,0),Table2[[#This Row],[Manual Cat Value]])</f>
        <v>Restaurants</v>
      </c>
      <c r="G10356" t="s">
        <v>26</v>
      </c>
      <c r="I10356" s="8"/>
      <c r="O10356" t="str">
        <f>LEFT(Table2[[#This Row],[Description]],75)</f>
        <v>Buddy Boy Fine Barbeminnetrista Mn</v>
      </c>
    </row>
    <row r="10357" spans="1:15" hidden="1">
      <c r="A10357">
        <v>202311</v>
      </c>
      <c r="B10357" s="6">
        <v>45235</v>
      </c>
      <c r="C10357" t="s">
        <v>5013</v>
      </c>
      <c r="D10357" t="s">
        <v>5016</v>
      </c>
      <c r="E10357">
        <v>21.19</v>
      </c>
      <c r="F10357" s="2" t="str">
        <f>IF(Table2[[#This Row],[Manual Cat Value]]="",VLOOKUP(Table2[[#This Row],[Description]],'Actuals Lookup'!D:F,3,0),Table2[[#This Row],[Manual Cat Value]])</f>
        <v>Restaurants</v>
      </c>
      <c r="G10357" t="s">
        <v>26</v>
      </c>
      <c r="I10357" s="8"/>
      <c r="O10357" t="str">
        <f>LEFT(Table2[[#This Row],[Description]],75)</f>
        <v>Buddy Boy Fine Barbeminnetrista Mn</v>
      </c>
    </row>
    <row r="10358" spans="1:15" hidden="1">
      <c r="A10358">
        <v>202311</v>
      </c>
      <c r="B10358" s="6">
        <v>45235</v>
      </c>
      <c r="C10358" t="s">
        <v>5013</v>
      </c>
      <c r="D10358" t="s">
        <v>5016</v>
      </c>
      <c r="E10358">
        <v>108.84</v>
      </c>
      <c r="F10358" s="2" t="str">
        <f>IF(Table2[[#This Row],[Manual Cat Value]]="",VLOOKUP(Table2[[#This Row],[Description]],'Actuals Lookup'!D:F,3,0),Table2[[#This Row],[Manual Cat Value]])</f>
        <v>Restaurants</v>
      </c>
      <c r="G10358" t="s">
        <v>26</v>
      </c>
      <c r="I10358" s="8"/>
      <c r="O10358" t="str">
        <f>LEFT(Table2[[#This Row],[Description]],75)</f>
        <v>Buddy Boy Fine Barbeminnetrista Mn</v>
      </c>
    </row>
    <row r="10359" spans="1:15" hidden="1">
      <c r="A10359">
        <v>202311</v>
      </c>
      <c r="B10359" s="6">
        <v>45236</v>
      </c>
      <c r="C10359" t="s">
        <v>3932</v>
      </c>
      <c r="D10359" t="s">
        <v>38</v>
      </c>
      <c r="E10359">
        <v>14.08</v>
      </c>
      <c r="F10359" s="2" t="str">
        <f>IF(Table2[[#This Row],[Manual Cat Value]]="",VLOOKUP(Table2[[#This Row],[Description]],'Actuals Lookup'!D:F,3,0),Table2[[#This Row],[Manual Cat Value]])</f>
        <v>Exp - Amazon</v>
      </c>
      <c r="G10359" t="s">
        <v>41</v>
      </c>
      <c r="H10359" s="8" t="s">
        <v>37</v>
      </c>
      <c r="I10359" s="8"/>
      <c r="O10359" t="str">
        <f>LEFT(Table2[[#This Row],[Description]],75)</f>
        <v>Amazon</v>
      </c>
    </row>
    <row r="10360" spans="1:15" hidden="1">
      <c r="A10360">
        <v>202311</v>
      </c>
      <c r="B10360" s="6">
        <v>45236</v>
      </c>
      <c r="C10360" t="s">
        <v>4145</v>
      </c>
      <c r="D10360" t="s">
        <v>684</v>
      </c>
      <c r="E10360">
        <v>36.700000000000003</v>
      </c>
      <c r="F10360" s="2" t="str">
        <f>IF(Table2[[#This Row],[Manual Cat Value]]="",VLOOKUP(Table2[[#This Row],[Description]],'Actuals Lookup'!D:F,3,0),Table2[[#This Row],[Manual Cat Value]])</f>
        <v>Exp - Groceries</v>
      </c>
      <c r="H10360" s="8" t="s">
        <v>27</v>
      </c>
      <c r="I10360" s="8"/>
      <c r="O10360" t="str">
        <f>LEFT(Table2[[#This Row],[Description]],75)</f>
        <v>Cub Foods</v>
      </c>
    </row>
    <row r="10361" spans="1:15" hidden="1">
      <c r="A10361">
        <v>202311</v>
      </c>
      <c r="B10361" s="6">
        <v>45236</v>
      </c>
      <c r="C10361" t="s">
        <v>5013</v>
      </c>
      <c r="D10361" t="s">
        <v>684</v>
      </c>
      <c r="E10361">
        <v>26.64</v>
      </c>
      <c r="F10361" s="2" t="str">
        <f>IF(Table2[[#This Row],[Manual Cat Value]]="",VLOOKUP(Table2[[#This Row],[Description]],'Actuals Lookup'!D:F,3,0),Table2[[#This Row],[Manual Cat Value]])</f>
        <v>Groceries</v>
      </c>
      <c r="G10361" t="s">
        <v>28</v>
      </c>
      <c r="I10361" s="8"/>
      <c r="O10361" t="str">
        <f>LEFT(Table2[[#This Row],[Description]],75)</f>
        <v>Cub Foods</v>
      </c>
    </row>
    <row r="10362" spans="1:15" hidden="1">
      <c r="A10362">
        <v>202311</v>
      </c>
      <c r="B10362" s="6">
        <v>45236</v>
      </c>
      <c r="C10362" t="s">
        <v>5013</v>
      </c>
      <c r="D10362" t="s">
        <v>703</v>
      </c>
      <c r="E10362">
        <v>11.2</v>
      </c>
      <c r="F10362" s="2" t="str">
        <f>IF(Table2[[#This Row],[Manual Cat Value]]="",VLOOKUP(Table2[[#This Row],[Description]],'Actuals Lookup'!D:F,3,0),Table2[[#This Row],[Manual Cat Value]])</f>
        <v>Delete</v>
      </c>
      <c r="G10362" t="s">
        <v>67</v>
      </c>
      <c r="H10362" s="8" t="s">
        <v>9</v>
      </c>
      <c r="I10362" s="8"/>
      <c r="O10362" t="str">
        <f>LEFT(Table2[[#This Row],[Description]],75)</f>
        <v>Delta Air Lines</v>
      </c>
    </row>
    <row r="10363" spans="1:15" hidden="1">
      <c r="A10363">
        <v>202311</v>
      </c>
      <c r="B10363" s="6">
        <v>45236</v>
      </c>
      <c r="C10363" t="s">
        <v>5013</v>
      </c>
      <c r="D10363" t="s">
        <v>703</v>
      </c>
      <c r="E10363">
        <v>11.2</v>
      </c>
      <c r="F10363" s="2" t="str">
        <f>IF(Table2[[#This Row],[Manual Cat Value]]="",VLOOKUP(Table2[[#This Row],[Description]],'Actuals Lookup'!D:F,3,0),Table2[[#This Row],[Manual Cat Value]])</f>
        <v>Delete</v>
      </c>
      <c r="G10363" t="s">
        <v>67</v>
      </c>
      <c r="H10363" s="8" t="s">
        <v>9</v>
      </c>
      <c r="I10363" s="8"/>
      <c r="O10363" t="str">
        <f>LEFT(Table2[[#This Row],[Description]],75)</f>
        <v>Delta Air Lines</v>
      </c>
    </row>
    <row r="10364" spans="1:15" hidden="1">
      <c r="A10364">
        <v>202311</v>
      </c>
      <c r="B10364" s="6">
        <v>45236</v>
      </c>
      <c r="C10364" t="s">
        <v>2519</v>
      </c>
      <c r="D10364" t="s">
        <v>1458</v>
      </c>
      <c r="E10364">
        <v>594.27</v>
      </c>
      <c r="F10364" s="2" t="str">
        <f>IF(Table2[[#This Row],[Manual Cat Value]]="",VLOOKUP(Table2[[#This Row],[Description]],'Actuals Lookup'!D:F,3,0),Table2[[#This Row],[Manual Cat Value]])</f>
        <v>Delete</v>
      </c>
      <c r="H10364" s="8" t="s">
        <v>9</v>
      </c>
      <c r="I10364" s="8"/>
      <c r="O10364" t="str">
        <f>LEFT(Table2[[#This Row],[Description]],75)</f>
        <v>Payment to American Express</v>
      </c>
    </row>
    <row r="10365" spans="1:15" hidden="1">
      <c r="A10365">
        <v>202311</v>
      </c>
      <c r="B10365" s="6">
        <v>45236</v>
      </c>
      <c r="C10365" t="s">
        <v>2519</v>
      </c>
      <c r="D10365" t="s">
        <v>4523</v>
      </c>
      <c r="E10365">
        <v>271.64999999999998</v>
      </c>
      <c r="F10365" s="2" t="str">
        <f>IF(Table2[[#This Row],[Manual Cat Value]]="",VLOOKUP(Table2[[#This Row],[Description]],'Actuals Lookup'!D:F,3,0),Table2[[#This Row],[Manual Cat Value]])</f>
        <v>Exp - Shopping</v>
      </c>
      <c r="H10365" s="8" t="s">
        <v>36</v>
      </c>
      <c r="I10365" s="8"/>
      <c r="O10365" t="str">
        <f>LEFT(Table2[[#This Row],[Description]],75)</f>
        <v>Payment to Barclaycard US</v>
      </c>
    </row>
    <row r="10366" spans="1:15" hidden="1">
      <c r="A10366">
        <v>202311</v>
      </c>
      <c r="B10366" s="6">
        <v>45237</v>
      </c>
      <c r="C10366" t="s">
        <v>3932</v>
      </c>
      <c r="D10366" t="s">
        <v>38</v>
      </c>
      <c r="E10366">
        <v>17.329999999999998</v>
      </c>
      <c r="F10366" s="2" t="str">
        <f>IF(Table2[[#This Row],[Manual Cat Value]]="",VLOOKUP(Table2[[#This Row],[Description]],'Actuals Lookup'!D:F,3,0),Table2[[#This Row],[Manual Cat Value]])</f>
        <v>Exp - Amazon</v>
      </c>
      <c r="G10366" t="s">
        <v>38</v>
      </c>
      <c r="H10366" s="8" t="s">
        <v>37</v>
      </c>
      <c r="I10366" s="8"/>
      <c r="O10366" t="str">
        <f>LEFT(Table2[[#This Row],[Description]],75)</f>
        <v>Amazon</v>
      </c>
    </row>
    <row r="10367" spans="1:15" hidden="1">
      <c r="A10367">
        <v>202311</v>
      </c>
      <c r="B10367" s="6">
        <v>45237</v>
      </c>
      <c r="C10367" t="s">
        <v>5013</v>
      </c>
      <c r="D10367" t="s">
        <v>684</v>
      </c>
      <c r="E10367">
        <v>2.57</v>
      </c>
      <c r="F10367" s="2" t="str">
        <f>IF(Table2[[#This Row],[Manual Cat Value]]="",VLOOKUP(Table2[[#This Row],[Description]],'Actuals Lookup'!D:F,3,0),Table2[[#This Row],[Manual Cat Value]])</f>
        <v>Groceries</v>
      </c>
      <c r="G10367" t="s">
        <v>28</v>
      </c>
      <c r="I10367" s="8"/>
      <c r="O10367" t="str">
        <f>LEFT(Table2[[#This Row],[Description]],75)</f>
        <v>Cub Foods</v>
      </c>
    </row>
    <row r="10368" spans="1:15" hidden="1">
      <c r="A10368">
        <v>202311</v>
      </c>
      <c r="B10368" s="6">
        <v>45237</v>
      </c>
      <c r="C10368" t="s">
        <v>5013</v>
      </c>
      <c r="D10368" t="s">
        <v>1083</v>
      </c>
      <c r="E10368">
        <v>51.18</v>
      </c>
      <c r="F10368" s="2" t="str">
        <f>IF(Table2[[#This Row],[Manual Cat Value]]="",VLOOKUP(Table2[[#This Row],[Description]],'Actuals Lookup'!D:F,3,0),Table2[[#This Row],[Manual Cat Value]])</f>
        <v>Transportation</v>
      </c>
      <c r="G10368" t="s">
        <v>23</v>
      </c>
      <c r="I10368" s="8"/>
      <c r="O10368" t="str">
        <f>LEFT(Table2[[#This Row],[Description]],75)</f>
        <v>Kwik Trip</v>
      </c>
    </row>
    <row r="10369" spans="1:15" hidden="1">
      <c r="A10369">
        <v>202311</v>
      </c>
      <c r="B10369" s="6">
        <v>45237</v>
      </c>
      <c r="C10369" t="s">
        <v>4152</v>
      </c>
      <c r="D10369" t="s">
        <v>1621</v>
      </c>
      <c r="E10369">
        <v>285.49</v>
      </c>
      <c r="F10369" s="2" t="str">
        <f>IF(Table2[[#This Row],[Manual Cat Value]]="",VLOOKUP(Table2[[#This Row],[Description]],'Actuals Lookup'!D:F,3,0),Table2[[#This Row],[Manual Cat Value]])</f>
        <v>Exp - Shopping</v>
      </c>
      <c r="H10369" s="8" t="s">
        <v>36</v>
      </c>
      <c r="I10369" s="8"/>
      <c r="O10369" t="str">
        <f>LEFT(Table2[[#This Row],[Description]],75)</f>
        <v>Scheels All Sports</v>
      </c>
    </row>
    <row r="10370" spans="1:15" hidden="1">
      <c r="A10370">
        <v>202311</v>
      </c>
      <c r="B10370" s="6">
        <v>45237</v>
      </c>
      <c r="C10370" t="s">
        <v>2519</v>
      </c>
      <c r="D10370" t="s">
        <v>1958</v>
      </c>
      <c r="E10370">
        <v>125</v>
      </c>
      <c r="F10370" s="2" t="str">
        <f>IF(Table2[[#This Row],[Manual Cat Value]]="",VLOOKUP(Table2[[#This Row],[Description]],'Actuals Lookup'!D:F,3,0),Table2[[#This Row],[Manual Cat Value]])</f>
        <v>Exp - Shopping</v>
      </c>
      <c r="H10370" s="8" t="s">
        <v>36</v>
      </c>
      <c r="I10370" s="8"/>
      <c r="O10370" t="str">
        <f>LEFT(Table2[[#This Row],[Description]],75)</f>
        <v>Transfer to Venmo</v>
      </c>
    </row>
    <row r="10371" spans="1:15" hidden="1">
      <c r="A10371">
        <v>202311</v>
      </c>
      <c r="B10371" s="6">
        <v>45237</v>
      </c>
      <c r="C10371" t="s">
        <v>2519</v>
      </c>
      <c r="D10371" t="s">
        <v>5017</v>
      </c>
      <c r="E10371">
        <v>330</v>
      </c>
      <c r="F10371" s="2" t="str">
        <f>IF(Table2[[#This Row],[Manual Cat Value]]="",VLOOKUP(Table2[[#This Row],[Description]],'Actuals Lookup'!D:F,3,0),Table2[[#This Row],[Manual Cat Value]])</f>
        <v>Exp - Day Care</v>
      </c>
      <c r="H10371" s="8" t="s">
        <v>19</v>
      </c>
      <c r="I10371" s="8"/>
      <c r="O10371" t="str">
        <f>LEFT(Table2[[#This Row],[Description]],75)</f>
        <v>Withdrawal ACH MHCHILDCARELLC TYPE: DUES ID: XX8198 CO: MHCHILDCARELLC Entr</v>
      </c>
    </row>
    <row r="10372" spans="1:15" hidden="1">
      <c r="A10372">
        <v>202311</v>
      </c>
      <c r="B10372" s="6">
        <v>45237</v>
      </c>
      <c r="C10372" t="s">
        <v>2519</v>
      </c>
      <c r="D10372" t="s">
        <v>1469</v>
      </c>
      <c r="E10372">
        <v>180.85</v>
      </c>
      <c r="F10372" s="2" t="str">
        <f>IF(Table2[[#This Row],[Manual Cat Value]]="",VLOOKUP(Table2[[#This Row],[Description]],'Actuals Lookup'!D:F,3,0),Table2[[#This Row],[Manual Cat Value]])</f>
        <v>Exp - Utilities</v>
      </c>
      <c r="H10372" s="8" t="s">
        <v>6</v>
      </c>
      <c r="I10372" s="8"/>
      <c r="O10372" t="str">
        <f>LEFT(Table2[[#This Row],[Description]],75)</f>
        <v>Payment to Waste management</v>
      </c>
    </row>
    <row r="10373" spans="1:15" hidden="1">
      <c r="A10373">
        <v>202311</v>
      </c>
      <c r="B10373" s="6">
        <v>45238</v>
      </c>
      <c r="C10373" t="s">
        <v>3932</v>
      </c>
      <c r="D10373" t="s">
        <v>38</v>
      </c>
      <c r="E10373">
        <v>7.58</v>
      </c>
      <c r="F10373" s="2" t="str">
        <f>IF(Table2[[#This Row],[Manual Cat Value]]="",VLOOKUP(Table2[[#This Row],[Description]],'Actuals Lookup'!D:F,3,0),Table2[[#This Row],[Manual Cat Value]])</f>
        <v>Exp - Amazon</v>
      </c>
      <c r="G10373" t="s">
        <v>41</v>
      </c>
      <c r="H10373" s="8" t="s">
        <v>37</v>
      </c>
      <c r="I10373" s="8"/>
      <c r="O10373" t="str">
        <f>LEFT(Table2[[#This Row],[Description]],75)</f>
        <v>Amazon</v>
      </c>
    </row>
    <row r="10374" spans="1:15" hidden="1">
      <c r="A10374">
        <v>202311</v>
      </c>
      <c r="B10374" s="6">
        <v>45238</v>
      </c>
      <c r="C10374" t="s">
        <v>3932</v>
      </c>
      <c r="D10374" t="s">
        <v>38</v>
      </c>
      <c r="E10374">
        <v>5.36</v>
      </c>
      <c r="F10374" s="2" t="str">
        <f>IF(Table2[[#This Row],[Manual Cat Value]]="",VLOOKUP(Table2[[#This Row],[Description]],'Actuals Lookup'!D:F,3,0),Table2[[#This Row],[Manual Cat Value]])</f>
        <v>Exp - Amazon</v>
      </c>
      <c r="G10374" t="s">
        <v>38</v>
      </c>
      <c r="H10374" s="8" t="s">
        <v>37</v>
      </c>
      <c r="I10374" s="8"/>
      <c r="O10374" t="str">
        <f>LEFT(Table2[[#This Row],[Description]],75)</f>
        <v>Amazon</v>
      </c>
    </row>
    <row r="10375" spans="1:15" hidden="1">
      <c r="A10375">
        <v>202311</v>
      </c>
      <c r="B10375" s="6">
        <v>45239</v>
      </c>
      <c r="C10375" t="s">
        <v>2519</v>
      </c>
      <c r="D10375" t="s">
        <v>404</v>
      </c>
      <c r="E10375">
        <v>-3828.79</v>
      </c>
      <c r="F10375" s="2" t="str">
        <f>IF(Table2[[#This Row],[Manual Cat Value]]="",VLOOKUP(Table2[[#This Row],[Description]],'Actuals Lookup'!D:F,3,0),Table2[[#This Row],[Manual Cat Value]])</f>
        <v>Inc - Britney</v>
      </c>
      <c r="H10375" s="8" t="s">
        <v>65</v>
      </c>
      <c r="I10375" s="8"/>
      <c r="O10375" t="str">
        <f>LEFT(Table2[[#This Row],[Description]],75)</f>
        <v>Cargill Inc Deposit</v>
      </c>
    </row>
    <row r="10376" spans="1:15" hidden="1">
      <c r="A10376">
        <v>202311</v>
      </c>
      <c r="B10376" s="6">
        <v>45239</v>
      </c>
      <c r="C10376" t="s">
        <v>5013</v>
      </c>
      <c r="D10376" t="s">
        <v>5018</v>
      </c>
      <c r="E10376">
        <v>5.82</v>
      </c>
      <c r="F10376" s="2" t="str">
        <f>IF(Table2[[#This Row],[Manual Cat Value]]="",VLOOKUP(Table2[[#This Row],[Description]],'Actuals Lookup'!D:F,3,0),Table2[[#This Row],[Manual Cat Value]])</f>
        <v>Delete</v>
      </c>
      <c r="G10376" t="s">
        <v>35</v>
      </c>
      <c r="I10376" s="8"/>
      <c r="O10376" t="str">
        <f>LEFT(Table2[[#This Row],[Description]],75)</f>
        <v>Mudd Creek Country Sfranklin Tx</v>
      </c>
    </row>
    <row r="10377" spans="1:15" hidden="1">
      <c r="A10377">
        <v>202311</v>
      </c>
      <c r="B10377" s="6">
        <v>45239</v>
      </c>
      <c r="C10377" t="s">
        <v>4143</v>
      </c>
      <c r="D10377" t="s">
        <v>1477</v>
      </c>
      <c r="E10377">
        <v>47.69</v>
      </c>
      <c r="F10377" s="2" t="str">
        <f>IF(Table2[[#This Row],[Manual Cat Value]]="",VLOOKUP(Table2[[#This Row],[Description]],'Actuals Lookup'!D:F,3,0),Table2[[#This Row],[Manual Cat Value]])</f>
        <v>Exp - Gym</v>
      </c>
      <c r="H10377" s="8" t="s">
        <v>33</v>
      </c>
      <c r="I10377" s="8"/>
      <c r="O10377" t="str">
        <f>LEFT(Table2[[#This Row],[Description]],75)</f>
        <v>Peloton Cycles</v>
      </c>
    </row>
    <row r="10378" spans="1:15" hidden="1">
      <c r="A10378">
        <v>202311</v>
      </c>
      <c r="B10378" s="6">
        <v>45239</v>
      </c>
      <c r="C10378" t="s">
        <v>4141</v>
      </c>
      <c r="D10378" t="s">
        <v>5019</v>
      </c>
      <c r="E10378">
        <v>-32</v>
      </c>
      <c r="F10378" s="2" t="str">
        <f>IF(Table2[[#This Row],[Manual Cat Value]]="",VLOOKUP(Table2[[#This Row],[Description]],'Actuals Lookup'!D:F,3,0),Table2[[#This Row],[Manual Cat Value]])</f>
        <v>Exp - Shopping</v>
      </c>
      <c r="H10378" s="8" t="s">
        <v>36</v>
      </c>
      <c r="I10378" s="8"/>
      <c r="O10378" t="str">
        <f>LEFT(Table2[[#This Row],[Description]],75)</f>
        <v>SP NORMAL BRAND COR THENORMALBRANMO REF #XX2169T000GRQKD</v>
      </c>
    </row>
    <row r="10379" spans="1:15" hidden="1">
      <c r="A10379">
        <v>202311</v>
      </c>
      <c r="B10379" s="6">
        <v>45240</v>
      </c>
      <c r="C10379" t="s">
        <v>3932</v>
      </c>
      <c r="D10379" t="s">
        <v>38</v>
      </c>
      <c r="E10379">
        <v>26</v>
      </c>
      <c r="F10379" s="2" t="str">
        <f>IF(Table2[[#This Row],[Manual Cat Value]]="",VLOOKUP(Table2[[#This Row],[Description]],'Actuals Lookup'!D:F,3,0),Table2[[#This Row],[Manual Cat Value]])</f>
        <v>Exp - Amazon</v>
      </c>
      <c r="G10379" t="s">
        <v>38</v>
      </c>
      <c r="H10379" s="8" t="s">
        <v>37</v>
      </c>
      <c r="I10379" s="8"/>
      <c r="O10379" t="str">
        <f>LEFT(Table2[[#This Row],[Description]],75)</f>
        <v>Amazon</v>
      </c>
    </row>
    <row r="10380" spans="1:15" hidden="1">
      <c r="A10380">
        <v>202311</v>
      </c>
      <c r="B10380" s="6">
        <v>45240</v>
      </c>
      <c r="C10380" t="s">
        <v>5013</v>
      </c>
      <c r="D10380" t="s">
        <v>5020</v>
      </c>
      <c r="E10380">
        <v>31.03</v>
      </c>
      <c r="F10380" s="2" t="str">
        <f>IF(Table2[[#This Row],[Manual Cat Value]]="",VLOOKUP(Table2[[#This Row],[Description]],'Actuals Lookup'!D:F,3,0),Table2[[#This Row],[Manual Cat Value]])</f>
        <v>Exp - Entertainment</v>
      </c>
      <c r="G10380" t="s">
        <v>40</v>
      </c>
      <c r="H10380" s="8" t="s">
        <v>39</v>
      </c>
      <c r="I10380" s="8"/>
      <c r="O10380" t="str">
        <f>LEFT(Table2[[#This Row],[Description]],75)</f>
        <v>Amc Theatres</v>
      </c>
    </row>
    <row r="10381" spans="1:15" hidden="1">
      <c r="A10381">
        <v>202311</v>
      </c>
      <c r="B10381" s="6">
        <v>45240</v>
      </c>
      <c r="C10381" t="s">
        <v>4169</v>
      </c>
      <c r="D10381" t="s">
        <v>648</v>
      </c>
      <c r="E10381">
        <v>-43</v>
      </c>
      <c r="F10381" s="2" t="str">
        <f>IF(Table2[[#This Row],[Manual Cat Value]]="",VLOOKUP(Table2[[#This Row],[Description]],'Actuals Lookup'!D:F,3,0),Table2[[#This Row],[Manual Cat Value]])</f>
        <v>Exp - Groceries</v>
      </c>
      <c r="H10381" s="8" t="s">
        <v>27</v>
      </c>
      <c r="I10381" s="8"/>
      <c r="O10381" t="str">
        <f>LEFT(Table2[[#This Row],[Description]],75)</f>
        <v>Costco</v>
      </c>
    </row>
    <row r="10382" spans="1:15" hidden="1">
      <c r="A10382">
        <v>202311</v>
      </c>
      <c r="B10382" s="6">
        <v>45240</v>
      </c>
      <c r="C10382" t="s">
        <v>5013</v>
      </c>
      <c r="D10382" t="s">
        <v>684</v>
      </c>
      <c r="E10382">
        <v>47.55</v>
      </c>
      <c r="F10382" s="2" t="str">
        <f>IF(Table2[[#This Row],[Manual Cat Value]]="",VLOOKUP(Table2[[#This Row],[Description]],'Actuals Lookup'!D:F,3,0),Table2[[#This Row],[Manual Cat Value]])</f>
        <v>Groceries</v>
      </c>
      <c r="G10382" t="s">
        <v>28</v>
      </c>
      <c r="I10382" s="8"/>
      <c r="O10382" t="str">
        <f>LEFT(Table2[[#This Row],[Description]],75)</f>
        <v>Cub Foods</v>
      </c>
    </row>
    <row r="10383" spans="1:15" hidden="1">
      <c r="A10383">
        <v>202311</v>
      </c>
      <c r="B10383" s="6">
        <v>45240</v>
      </c>
      <c r="C10383" t="s">
        <v>5013</v>
      </c>
      <c r="D10383" t="s">
        <v>5021</v>
      </c>
      <c r="E10383">
        <v>22.49</v>
      </c>
      <c r="F10383" s="2" t="str">
        <f>IF(Table2[[#This Row],[Manual Cat Value]]="",VLOOKUP(Table2[[#This Row],[Description]],'Actuals Lookup'!D:F,3,0),Table2[[#This Row],[Manual Cat Value]])</f>
        <v>Restaurants</v>
      </c>
      <c r="G10383" t="s">
        <v>26</v>
      </c>
      <c r="I10383" s="8"/>
      <c r="O10383" t="str">
        <f>LEFT(Table2[[#This Row],[Description]],75)</f>
        <v>Dave &amp; Buster's</v>
      </c>
    </row>
    <row r="10384" spans="1:15" hidden="1">
      <c r="A10384">
        <v>202311</v>
      </c>
      <c r="B10384" s="6">
        <v>45240</v>
      </c>
      <c r="C10384" t="s">
        <v>4150</v>
      </c>
      <c r="D10384" t="s">
        <v>2078</v>
      </c>
      <c r="E10384">
        <v>40.93</v>
      </c>
      <c r="F10384" s="2" t="str">
        <f>IF(Table2[[#This Row],[Manual Cat Value]]="",VLOOKUP(Table2[[#This Row],[Description]],'Actuals Lookup'!D:F,3,0),Table2[[#This Row],[Manual Cat Value]])</f>
        <v>Exp - Transportation</v>
      </c>
      <c r="H10384" s="8" t="s">
        <v>22</v>
      </c>
      <c r="I10384" s="8"/>
      <c r="O10384" t="str">
        <f>LEFT(Table2[[#This Row],[Description]],75)</f>
        <v>Uber</v>
      </c>
    </row>
    <row r="10385" spans="1:15" hidden="1">
      <c r="A10385">
        <v>202311</v>
      </c>
      <c r="B10385" s="6">
        <v>45240</v>
      </c>
      <c r="C10385" t="s">
        <v>2519</v>
      </c>
      <c r="D10385" t="s">
        <v>4293</v>
      </c>
      <c r="E10385">
        <v>543.98</v>
      </c>
      <c r="F10385" s="2" t="str">
        <f>IF(Table2[[#This Row],[Manual Cat Value]]="",VLOOKUP(Table2[[#This Row],[Description]],'Actuals Lookup'!D:F,3,0),Table2[[#This Row],[Manual Cat Value]])</f>
        <v>Delete</v>
      </c>
      <c r="H10385" s="8" t="s">
        <v>9</v>
      </c>
      <c r="I10385" s="8"/>
      <c r="O10385" t="str">
        <f>LEFT(Table2[[#This Row],[Description]],75)</f>
        <v>Withdrawal Home Banking Pmt to card XX5913</v>
      </c>
    </row>
    <row r="10386" spans="1:15" hidden="1">
      <c r="A10386">
        <v>202311</v>
      </c>
      <c r="B10386" s="6">
        <v>45240</v>
      </c>
      <c r="C10386" t="s">
        <v>4148</v>
      </c>
      <c r="D10386" t="s">
        <v>673</v>
      </c>
      <c r="E10386">
        <v>-543.98</v>
      </c>
      <c r="F10386" s="2" t="str">
        <f>IF(Table2[[#This Row],[Manual Cat Value]]="",VLOOKUP(Table2[[#This Row],[Description]],'Actuals Lookup'!D:F,3,0),Table2[[#This Row],[Manual Cat Value]])</f>
        <v>Delete</v>
      </c>
      <c r="H10386" s="8" t="s">
        <v>9</v>
      </c>
      <c r="I10386" s="8"/>
      <c r="O10386" t="str">
        <f>LEFT(Table2[[#This Row],[Description]],75)</f>
        <v>Credit Card Payment Received</v>
      </c>
    </row>
    <row r="10387" spans="1:15" hidden="1">
      <c r="A10387">
        <v>202311</v>
      </c>
      <c r="B10387" s="6">
        <v>45241</v>
      </c>
      <c r="C10387" t="s">
        <v>5013</v>
      </c>
      <c r="D10387" t="s">
        <v>5022</v>
      </c>
      <c r="E10387">
        <v>-200</v>
      </c>
      <c r="F10387" s="2" t="str">
        <f>IF(Table2[[#This Row],[Manual Cat Value]]="",VLOOKUP(Table2[[#This Row],[Description]],'Actuals Lookup'!D:F,3,0),Table2[[#This Row],[Manual Cat Value]])</f>
        <v>Exp - Utilities</v>
      </c>
      <c r="G10387" t="s">
        <v>4722</v>
      </c>
      <c r="H10387" s="8" t="s">
        <v>6</v>
      </c>
      <c r="I10387" s="8"/>
      <c r="O10387" t="str">
        <f>LEFT(Table2[[#This Row],[Description]],75)</f>
        <v>Delta Cb_platinum</v>
      </c>
    </row>
    <row r="10388" spans="1:15" hidden="1">
      <c r="A10388">
        <v>202311</v>
      </c>
      <c r="B10388" s="6">
        <v>45242</v>
      </c>
      <c r="C10388" t="s">
        <v>4156</v>
      </c>
      <c r="D10388" t="s">
        <v>5023</v>
      </c>
      <c r="E10388">
        <v>64.27</v>
      </c>
      <c r="F10388" s="2" t="str">
        <f>IF(Table2[[#This Row],[Manual Cat Value]]="",VLOOKUP(Table2[[#This Row],[Description]],'Actuals Lookup'!D:F,3,0),Table2[[#This Row],[Manual Cat Value]])</f>
        <v>Exp - Groceries</v>
      </c>
      <c r="H10388" s="8" t="s">
        <v>27</v>
      </c>
      <c r="I10388" s="8"/>
      <c r="O10388" t="str">
        <f>LEFT(Table2[[#This Row],[Description]],75)</f>
        <v>ARBORETUM APPLEHOUSE CHASKA MN REF #XX8299W2M7WMFP6</v>
      </c>
    </row>
    <row r="10389" spans="1:15" hidden="1">
      <c r="A10389">
        <v>202311</v>
      </c>
      <c r="B10389" s="6">
        <v>45242</v>
      </c>
      <c r="C10389" t="s">
        <v>5013</v>
      </c>
      <c r="D10389" t="s">
        <v>5024</v>
      </c>
      <c r="E10389">
        <v>8.98</v>
      </c>
      <c r="F10389" s="2" t="str">
        <f>IF(Table2[[#This Row],[Manual Cat Value]]="",VLOOKUP(Table2[[#This Row],[Description]],'Actuals Lookup'!D:F,3,0),Table2[[#This Row],[Manual Cat Value]])</f>
        <v>Groceries</v>
      </c>
      <c r="G10389" t="s">
        <v>28</v>
      </c>
      <c r="I10389" s="8"/>
      <c r="O10389" t="str">
        <f>LEFT(Table2[[#This Row],[Description]],75)</f>
        <v>Aus 3196u Market 512austin Tx</v>
      </c>
    </row>
    <row r="10390" spans="1:15" hidden="1">
      <c r="A10390">
        <v>202311</v>
      </c>
      <c r="B10390" s="6">
        <v>45242</v>
      </c>
      <c r="C10390" t="s">
        <v>5013</v>
      </c>
      <c r="D10390" t="s">
        <v>5025</v>
      </c>
      <c r="E10390">
        <v>4.32</v>
      </c>
      <c r="F10390" s="2" t="str">
        <f>IF(Table2[[#This Row],[Manual Cat Value]]="",VLOOKUP(Table2[[#This Row],[Description]],'Actuals Lookup'!D:F,3,0),Table2[[#This Row],[Manual Cat Value]])</f>
        <v>Exp - Transportation</v>
      </c>
      <c r="G10390" t="s">
        <v>43</v>
      </c>
      <c r="H10390" s="8" t="s">
        <v>22</v>
      </c>
      <c r="I10390" s="8"/>
      <c r="O10390" t="str">
        <f>LEFT(Table2[[#This Row],[Description]],75)</f>
        <v>Austin-bergstrom International Airport</v>
      </c>
    </row>
    <row r="10391" spans="1:15" hidden="1">
      <c r="A10391">
        <v>202311</v>
      </c>
      <c r="B10391" s="6">
        <v>45242</v>
      </c>
      <c r="C10391" t="s">
        <v>4160</v>
      </c>
      <c r="D10391" t="s">
        <v>4868</v>
      </c>
      <c r="E10391">
        <v>5.99</v>
      </c>
      <c r="F10391" s="2" t="str">
        <f>IF(Table2[[#This Row],[Manual Cat Value]]="",VLOOKUP(Table2[[#This Row],[Description]],'Actuals Lookup'!D:F,3,0),Table2[[#This Row],[Manual Cat Value]])</f>
        <v>Exp - Entertainment</v>
      </c>
      <c r="H10391" s="8" t="s">
        <v>39</v>
      </c>
      <c r="I10391" s="8"/>
      <c r="O10391" t="str">
        <f>LEFT(Table2[[#This Row],[Description]],75)</f>
        <v>Hallmark Movies Now</v>
      </c>
    </row>
    <row r="10392" spans="1:15" hidden="1">
      <c r="A10392">
        <v>202311</v>
      </c>
      <c r="B10392" s="6">
        <v>45242</v>
      </c>
      <c r="C10392" t="s">
        <v>4158</v>
      </c>
      <c r="D10392" t="s">
        <v>1350</v>
      </c>
      <c r="E10392">
        <v>25.6</v>
      </c>
      <c r="F10392" s="2" t="str">
        <f>IF(Table2[[#This Row],[Manual Cat Value]]="",VLOOKUP(Table2[[#This Row],[Description]],'Actuals Lookup'!D:F,3,0),Table2[[#This Row],[Manual Cat Value]])</f>
        <v>Exp - Utilities</v>
      </c>
      <c r="H10392" s="8" t="s">
        <v>6</v>
      </c>
      <c r="I10392" s="8"/>
      <c r="O10392" t="str">
        <f>LEFT(Table2[[#This Row],[Description]],75)</f>
        <v>Netflix</v>
      </c>
    </row>
    <row r="10393" spans="1:15" hidden="1">
      <c r="A10393">
        <v>202311</v>
      </c>
      <c r="B10393" s="6">
        <v>45243</v>
      </c>
      <c r="C10393" t="s">
        <v>4164</v>
      </c>
      <c r="D10393" t="s">
        <v>2594</v>
      </c>
      <c r="E10393">
        <v>134.01</v>
      </c>
      <c r="F10393" s="2" t="str">
        <f>IF(Table2[[#This Row],[Manual Cat Value]]="",VLOOKUP(Table2[[#This Row],[Description]],'Actuals Lookup'!D:F,3,0),Table2[[#This Row],[Manual Cat Value]])</f>
        <v>Exp - Restaurants</v>
      </c>
      <c r="H10393" s="8" t="s">
        <v>25</v>
      </c>
      <c r="I10393" s="8"/>
      <c r="O10393" t="str">
        <f>LEFT(Table2[[#This Row],[Description]],75)</f>
        <v>AdvoCare</v>
      </c>
    </row>
    <row r="10394" spans="1:15" hidden="1">
      <c r="A10394">
        <v>202311</v>
      </c>
      <c r="B10394" s="6">
        <v>45243</v>
      </c>
      <c r="C10394" t="s">
        <v>5013</v>
      </c>
      <c r="D10394" t="s">
        <v>5026</v>
      </c>
      <c r="E10394">
        <v>33.700000000000003</v>
      </c>
      <c r="F10394" s="2" t="str">
        <f>IF(Table2[[#This Row],[Manual Cat Value]]="",VLOOKUP(Table2[[#This Row],[Description]],'Actuals Lookup'!D:F,3,0),Table2[[#This Row],[Manual Cat Value]])</f>
        <v>Exp - Transportation</v>
      </c>
      <c r="G10394" t="s">
        <v>11</v>
      </c>
      <c r="H10394" s="8" t="s">
        <v>22</v>
      </c>
      <c r="I10394" s="8"/>
      <c r="O10394" t="str">
        <f>LEFT(Table2[[#This Row],[Description]],75)</f>
        <v>Creative Mobilxx0014boston Ma</v>
      </c>
    </row>
    <row r="10395" spans="1:15" hidden="1">
      <c r="A10395">
        <v>202311</v>
      </c>
      <c r="B10395" s="6">
        <v>45243</v>
      </c>
      <c r="C10395" t="s">
        <v>5013</v>
      </c>
      <c r="D10395" t="s">
        <v>5027</v>
      </c>
      <c r="E10395">
        <v>3.73</v>
      </c>
      <c r="F10395" s="2" t="str">
        <f>IF(Table2[[#This Row],[Manual Cat Value]]="",VLOOKUP(Table2[[#This Row],[Description]],'Actuals Lookup'!D:F,3,0),Table2[[#This Row],[Manual Cat Value]])</f>
        <v>Restaurants</v>
      </c>
      <c r="G10395" t="s">
        <v>26</v>
      </c>
      <c r="I10395" s="8"/>
      <c r="O10395" t="str">
        <f>LEFT(Table2[[#This Row],[Description]],75)</f>
        <v>Dunkin' Donuts</v>
      </c>
    </row>
    <row r="10396" spans="1:15" hidden="1">
      <c r="A10396">
        <v>202311</v>
      </c>
      <c r="B10396" s="6">
        <v>45243</v>
      </c>
      <c r="C10396" t="s">
        <v>5013</v>
      </c>
      <c r="D10396" t="s">
        <v>5028</v>
      </c>
      <c r="E10396">
        <v>27.45</v>
      </c>
      <c r="F10396" s="2" t="str">
        <f>IF(Table2[[#This Row],[Manual Cat Value]]="",VLOOKUP(Table2[[#This Row],[Description]],'Actuals Lookup'!D:F,3,0),Table2[[#This Row],[Manual Cat Value]])</f>
        <v>Delete</v>
      </c>
      <c r="G10396" t="s">
        <v>35</v>
      </c>
      <c r="I10396" s="8"/>
      <c r="O10396" t="str">
        <f>LEFT(Table2[[#This Row],[Description]],75)</f>
        <v>Jj-pcg Msp Venture Lsaint Paul Mn</v>
      </c>
    </row>
    <row r="10397" spans="1:15" hidden="1">
      <c r="A10397">
        <v>202311</v>
      </c>
      <c r="B10397" s="6">
        <v>45243</v>
      </c>
      <c r="C10397" t="s">
        <v>5013</v>
      </c>
      <c r="D10397" t="s">
        <v>5029</v>
      </c>
      <c r="E10397">
        <v>4.1500000000000004</v>
      </c>
      <c r="F10397" s="2" t="str">
        <f>IF(Table2[[#This Row],[Manual Cat Value]]="",VLOOKUP(Table2[[#This Row],[Description]],'Actuals Lookup'!D:F,3,0),Table2[[#This Row],[Manual Cat Value]])</f>
        <v>Exp - Restaurants</v>
      </c>
      <c r="G10397" t="s">
        <v>48</v>
      </c>
      <c r="H10397" s="8" t="s">
        <v>25</v>
      </c>
      <c r="I10397" s="8"/>
      <c r="O10397" t="str">
        <f>LEFT(Table2[[#This Row],[Description]],75)</f>
        <v>Msp Hudson St2295 22saint Paul Mn</v>
      </c>
    </row>
    <row r="10398" spans="1:15" hidden="1">
      <c r="A10398">
        <v>202311</v>
      </c>
      <c r="B10398" s="6">
        <v>45243</v>
      </c>
      <c r="C10398" t="s">
        <v>5013</v>
      </c>
      <c r="D10398" t="s">
        <v>5030</v>
      </c>
      <c r="E10398">
        <v>144.71</v>
      </c>
      <c r="F10398" s="2" t="str">
        <f>IF(Table2[[#This Row],[Manual Cat Value]]="",VLOOKUP(Table2[[#This Row],[Description]],'Actuals Lookup'!D:F,3,0),Table2[[#This Row],[Manual Cat Value]])</f>
        <v>Exp - Shopping</v>
      </c>
      <c r="G10398" t="s">
        <v>48</v>
      </c>
      <c r="H10398" s="8" t="s">
        <v>36</v>
      </c>
      <c r="I10398" s="8"/>
      <c r="O10398" t="str">
        <f>LEFT(Table2[[#This Row],[Description]],75)</f>
        <v>Primaclassicalcoachimaple Grove Mn</v>
      </c>
    </row>
    <row r="10399" spans="1:15" hidden="1">
      <c r="A10399">
        <v>202311</v>
      </c>
      <c r="B10399" s="6">
        <v>45243</v>
      </c>
      <c r="C10399" t="s">
        <v>5013</v>
      </c>
      <c r="D10399" t="s">
        <v>5031</v>
      </c>
      <c r="E10399">
        <v>95.85</v>
      </c>
      <c r="F10399" s="2" t="str">
        <f>IF(Table2[[#This Row],[Manual Cat Value]]="",VLOOKUP(Table2[[#This Row],[Description]],'Actuals Lookup'!D:F,3,0),Table2[[#This Row],[Manual Cat Value]])</f>
        <v>Restaurants</v>
      </c>
      <c r="G10399" t="s">
        <v>26</v>
      </c>
      <c r="I10399" s="8"/>
      <c r="O10399" t="str">
        <f>LEFT(Table2[[#This Row],[Description]],75)</f>
        <v>Tst* Row 34 - Cambricambridge Ma</v>
      </c>
    </row>
    <row r="10400" spans="1:15" hidden="1">
      <c r="A10400">
        <v>202311</v>
      </c>
      <c r="B10400" s="6">
        <v>45243</v>
      </c>
      <c r="C10400" t="s">
        <v>4167</v>
      </c>
      <c r="D10400" t="s">
        <v>1462</v>
      </c>
      <c r="E10400">
        <v>45</v>
      </c>
      <c r="F10400" s="2" t="str">
        <f>IF(Table2[[#This Row],[Manual Cat Value]]="",VLOOKUP(Table2[[#This Row],[Description]],'Actuals Lookup'!D:F,3,0),Table2[[#This Row],[Manual Cat Value]])</f>
        <v>Exp - Utilities</v>
      </c>
      <c r="H10400" s="8" t="s">
        <v>6</v>
      </c>
      <c r="I10400" s="8"/>
      <c r="O10400" t="str">
        <f>LEFT(Table2[[#This Row],[Description]],75)</f>
        <v>Payment to CenturyLink</v>
      </c>
    </row>
    <row r="10401" spans="1:15" hidden="1">
      <c r="A10401">
        <v>202311</v>
      </c>
      <c r="B10401" s="6">
        <v>45244</v>
      </c>
      <c r="C10401" t="s">
        <v>5013</v>
      </c>
      <c r="D10401" t="s">
        <v>5032</v>
      </c>
      <c r="E10401">
        <v>897.45</v>
      </c>
      <c r="F10401" s="2" t="str">
        <f>IF(Table2[[#This Row],[Manual Cat Value]]="",VLOOKUP(Table2[[#This Row],[Description]],'Actuals Lookup'!D:F,3,0),Table2[[#This Row],[Manual Cat Value]])</f>
        <v>Delete</v>
      </c>
      <c r="G10401" t="s">
        <v>43</v>
      </c>
      <c r="H10401" s="8" t="s">
        <v>9</v>
      </c>
      <c r="I10401" s="8"/>
      <c r="O10401" t="str">
        <f>LEFT(Table2[[#This Row],[Description]],75)</f>
        <v>Ac Hotels</v>
      </c>
    </row>
    <row r="10402" spans="1:15" hidden="1">
      <c r="A10402">
        <v>202311</v>
      </c>
      <c r="B10402" s="6">
        <v>45244</v>
      </c>
      <c r="C10402" t="s">
        <v>3932</v>
      </c>
      <c r="D10402" t="s">
        <v>38</v>
      </c>
      <c r="E10402">
        <v>-0.81</v>
      </c>
      <c r="F10402" s="2" t="str">
        <f>IF(Table2[[#This Row],[Manual Cat Value]]="",VLOOKUP(Table2[[#This Row],[Description]],'Actuals Lookup'!D:F,3,0),Table2[[#This Row],[Manual Cat Value]])</f>
        <v>Exp - Amazon</v>
      </c>
      <c r="G10402" t="s">
        <v>38</v>
      </c>
      <c r="H10402" s="8" t="s">
        <v>37</v>
      </c>
      <c r="I10402" s="8"/>
      <c r="O10402" t="str">
        <f>LEFT(Table2[[#This Row],[Description]],75)</f>
        <v>Amazon</v>
      </c>
    </row>
    <row r="10403" spans="1:15" hidden="1">
      <c r="A10403">
        <v>202311</v>
      </c>
      <c r="B10403" s="6">
        <v>45244</v>
      </c>
      <c r="C10403" t="s">
        <v>5013</v>
      </c>
      <c r="D10403" t="s">
        <v>684</v>
      </c>
      <c r="E10403">
        <v>17.43</v>
      </c>
      <c r="F10403" s="2" t="str">
        <f>IF(Table2[[#This Row],[Manual Cat Value]]="",VLOOKUP(Table2[[#This Row],[Description]],'Actuals Lookup'!D:F,3,0),Table2[[#This Row],[Manual Cat Value]])</f>
        <v>Groceries</v>
      </c>
      <c r="G10403" t="s">
        <v>28</v>
      </c>
      <c r="I10403" s="8"/>
      <c r="O10403" t="str">
        <f>LEFT(Table2[[#This Row],[Description]],75)</f>
        <v>Cub Foods</v>
      </c>
    </row>
    <row r="10404" spans="1:15" hidden="1">
      <c r="A10404">
        <v>202311</v>
      </c>
      <c r="B10404" s="6">
        <v>45244</v>
      </c>
      <c r="C10404" t="s">
        <v>2519</v>
      </c>
      <c r="D10404" t="s">
        <v>4343</v>
      </c>
      <c r="E10404">
        <v>-3518.6</v>
      </c>
      <c r="F10404" s="2" t="str">
        <f>IF(Table2[[#This Row],[Manual Cat Value]]="",VLOOKUP(Table2[[#This Row],[Description]],'Actuals Lookup'!D:F,3,0),Table2[[#This Row],[Manual Cat Value]])</f>
        <v>Inc - Jeff</v>
      </c>
      <c r="H10404" s="8" t="s">
        <v>63</v>
      </c>
      <c r="I10404" s="8"/>
      <c r="O10404" t="str">
        <f>LEFT(Table2[[#This Row],[Description]],75)</f>
        <v>Salary/Regular Income from TriNet</v>
      </c>
    </row>
    <row r="10405" spans="1:15" hidden="1">
      <c r="A10405">
        <v>202311</v>
      </c>
      <c r="B10405" s="6">
        <v>45244</v>
      </c>
      <c r="C10405" t="s">
        <v>2519</v>
      </c>
      <c r="D10405" t="s">
        <v>5033</v>
      </c>
      <c r="E10405">
        <v>100</v>
      </c>
      <c r="F10405" s="2" t="str">
        <f>IF(Table2[[#This Row],[Manual Cat Value]]="",VLOOKUP(Table2[[#This Row],[Description]],'Actuals Lookup'!D:F,3,0),Table2[[#This Row],[Manual Cat Value]])</f>
        <v>Delete</v>
      </c>
      <c r="H10405" s="8" t="s">
        <v>9</v>
      </c>
      <c r="I10405" s="8"/>
      <c r="O10405" t="str">
        <f>LEFT(Table2[[#This Row],[Description]],75)</f>
        <v>Transfer to Coinbase</v>
      </c>
    </row>
    <row r="10406" spans="1:15" hidden="1">
      <c r="A10406">
        <v>202311</v>
      </c>
      <c r="B10406" s="6">
        <v>45244</v>
      </c>
      <c r="C10406" t="s">
        <v>2519</v>
      </c>
      <c r="D10406" t="s">
        <v>1958</v>
      </c>
      <c r="E10406">
        <v>175</v>
      </c>
      <c r="F10406" s="2" t="str">
        <f>IF(Table2[[#This Row],[Manual Cat Value]]="",VLOOKUP(Table2[[#This Row],[Description]],'Actuals Lookup'!D:F,3,0),Table2[[#This Row],[Manual Cat Value]])</f>
        <v>Exp - Shopping</v>
      </c>
      <c r="H10406" s="8" t="s">
        <v>36</v>
      </c>
      <c r="I10406" s="8"/>
      <c r="O10406" t="str">
        <f>LEFT(Table2[[#This Row],[Description]],75)</f>
        <v>Transfer to Venmo</v>
      </c>
    </row>
    <row r="10407" spans="1:15" hidden="1">
      <c r="A10407">
        <v>202311</v>
      </c>
      <c r="B10407" s="6">
        <v>45244</v>
      </c>
      <c r="C10407" t="s">
        <v>2519</v>
      </c>
      <c r="D10407" t="s">
        <v>1958</v>
      </c>
      <c r="E10407">
        <v>137.53</v>
      </c>
      <c r="F10407" s="2" t="str">
        <f>IF(Table2[[#This Row],[Manual Cat Value]]="",VLOOKUP(Table2[[#This Row],[Description]],'Actuals Lookup'!D:F,3,0),Table2[[#This Row],[Manual Cat Value]])</f>
        <v>Exp - Shopping</v>
      </c>
      <c r="H10407" s="8" t="s">
        <v>36</v>
      </c>
      <c r="I10407" s="8"/>
      <c r="O10407" t="str">
        <f>LEFT(Table2[[#This Row],[Description]],75)</f>
        <v>Transfer to Venmo</v>
      </c>
    </row>
    <row r="10408" spans="1:15" hidden="1">
      <c r="A10408">
        <v>202311</v>
      </c>
      <c r="B10408" s="6">
        <v>45244</v>
      </c>
      <c r="C10408" t="s">
        <v>2519</v>
      </c>
      <c r="D10408" t="s">
        <v>4356</v>
      </c>
      <c r="E10408">
        <v>116.77</v>
      </c>
      <c r="F10408" s="2" t="str">
        <f>IF(Table2[[#This Row],[Manual Cat Value]]="",VLOOKUP(Table2[[#This Row],[Description]],'Actuals Lookup'!D:F,3,0),Table2[[#This Row],[Manual Cat Value]])</f>
        <v>Exp - Insurance</v>
      </c>
      <c r="H10408" s="8" t="s">
        <v>17</v>
      </c>
      <c r="I10408" s="8"/>
      <c r="O10408" t="str">
        <f>LEFT(Table2[[#This Row],[Description]],75)</f>
        <v>Payment to American Family Insurance</v>
      </c>
    </row>
    <row r="10409" spans="1:15" hidden="1">
      <c r="A10409">
        <v>202311</v>
      </c>
      <c r="B10409" s="6">
        <v>45245</v>
      </c>
      <c r="C10409" t="s">
        <v>3932</v>
      </c>
      <c r="D10409" t="s">
        <v>38</v>
      </c>
      <c r="E10409">
        <v>24.25</v>
      </c>
      <c r="F10409" s="2" t="str">
        <f>IF(Table2[[#This Row],[Manual Cat Value]]="",VLOOKUP(Table2[[#This Row],[Description]],'Actuals Lookup'!D:F,3,0),Table2[[#This Row],[Manual Cat Value]])</f>
        <v>Exp - Amazon</v>
      </c>
      <c r="G10409" t="s">
        <v>41</v>
      </c>
      <c r="H10409" s="8" t="s">
        <v>37</v>
      </c>
      <c r="I10409" s="8"/>
      <c r="O10409" t="str">
        <f>LEFT(Table2[[#This Row],[Description]],75)</f>
        <v>Amazon</v>
      </c>
    </row>
    <row r="10410" spans="1:15" hidden="1">
      <c r="A10410">
        <v>202311</v>
      </c>
      <c r="B10410" s="6">
        <v>45245</v>
      </c>
      <c r="C10410" t="s">
        <v>4172</v>
      </c>
      <c r="D10410" t="s">
        <v>851</v>
      </c>
      <c r="E10410">
        <v>263.37</v>
      </c>
      <c r="F10410" s="2" t="str">
        <f>IF(Table2[[#This Row],[Manual Cat Value]]="",VLOOKUP(Table2[[#This Row],[Description]],'Actuals Lookup'!D:F,3,0),Table2[[#This Row],[Manual Cat Value]])</f>
        <v>Exp - Day Care</v>
      </c>
      <c r="H10410" s="8" t="s">
        <v>19</v>
      </c>
      <c r="I10410" s="8"/>
      <c r="O10410" t="str">
        <f>LEFT(Table2[[#This Row],[Description]],75)</f>
        <v>Foss Swim School</v>
      </c>
    </row>
    <row r="10411" spans="1:15" hidden="1">
      <c r="A10411">
        <v>202311</v>
      </c>
      <c r="B10411" s="6">
        <v>45245</v>
      </c>
      <c r="C10411" t="s">
        <v>2519</v>
      </c>
      <c r="D10411" t="s">
        <v>1955</v>
      </c>
      <c r="E10411">
        <v>350</v>
      </c>
      <c r="F10411" s="2" t="str">
        <f>IF(Table2[[#This Row],[Manual Cat Value]]="",VLOOKUP(Table2[[#This Row],[Description]],'Actuals Lookup'!D:F,3,0),Table2[[#This Row],[Manual Cat Value]])</f>
        <v>Exp - Shopping</v>
      </c>
      <c r="H10411" s="8" t="s">
        <v>36</v>
      </c>
      <c r="I10411" s="8"/>
      <c r="O10411" t="str">
        <f>LEFT(Table2[[#This Row],[Description]],75)</f>
        <v>Transfer to PayPal</v>
      </c>
    </row>
    <row r="10412" spans="1:15" hidden="1">
      <c r="A10412">
        <v>202311</v>
      </c>
      <c r="B10412" s="6">
        <v>45245</v>
      </c>
      <c r="C10412" t="s">
        <v>4174</v>
      </c>
      <c r="D10412" t="s">
        <v>2078</v>
      </c>
      <c r="E10412">
        <v>27.34</v>
      </c>
      <c r="F10412" s="2" t="str">
        <f>IF(Table2[[#This Row],[Manual Cat Value]]="",VLOOKUP(Table2[[#This Row],[Description]],'Actuals Lookup'!D:F,3,0),Table2[[#This Row],[Manual Cat Value]])</f>
        <v>Exp - Transportation</v>
      </c>
      <c r="H10412" s="8" t="s">
        <v>22</v>
      </c>
      <c r="I10412" s="8"/>
      <c r="O10412" t="str">
        <f>LEFT(Table2[[#This Row],[Description]],75)</f>
        <v>Uber</v>
      </c>
    </row>
    <row r="10413" spans="1:15" hidden="1">
      <c r="A10413">
        <v>202311</v>
      </c>
      <c r="B10413" s="6">
        <v>45245</v>
      </c>
      <c r="C10413" t="s">
        <v>2519</v>
      </c>
      <c r="D10413" t="s">
        <v>5034</v>
      </c>
      <c r="E10413">
        <v>330</v>
      </c>
      <c r="F10413" s="2" t="str">
        <f>IF(Table2[[#This Row],[Manual Cat Value]]="",VLOOKUP(Table2[[#This Row],[Description]],'Actuals Lookup'!D:F,3,0),Table2[[#This Row],[Manual Cat Value]])</f>
        <v>Exp - Day Care</v>
      </c>
      <c r="H10413" s="8" t="s">
        <v>19</v>
      </c>
      <c r="I10413" s="8"/>
      <c r="O10413" t="str">
        <f>LEFT(Table2[[#This Row],[Description]],75)</f>
        <v>Withdrawal ACH MHCHILDCARELLC TYPE: DUES ID: XX8198 CO: MHCHILDCARELLC Entr</v>
      </c>
    </row>
    <row r="10414" spans="1:15" hidden="1">
      <c r="A10414">
        <v>202311</v>
      </c>
      <c r="B10414" s="6">
        <v>45246</v>
      </c>
      <c r="C10414" t="s">
        <v>5013</v>
      </c>
      <c r="D10414" t="s">
        <v>5035</v>
      </c>
      <c r="E10414">
        <v>65.08</v>
      </c>
      <c r="F10414" s="2" t="str">
        <f>IF(Table2[[#This Row],[Manual Cat Value]]="",VLOOKUP(Table2[[#This Row],[Description]],'Actuals Lookup'!D:F,3,0),Table2[[#This Row],[Manual Cat Value]])</f>
        <v>Exp - Restaurants</v>
      </c>
      <c r="G10414" t="s">
        <v>11</v>
      </c>
      <c r="H10414" s="8" t="s">
        <v>25</v>
      </c>
      <c r="I10414" s="8"/>
      <c r="O10414" t="str">
        <f>LEFT(Table2[[#This Row],[Description]],75)</f>
        <v>Crossroads</v>
      </c>
    </row>
    <row r="10415" spans="1:15" hidden="1">
      <c r="A10415">
        <v>202311</v>
      </c>
      <c r="B10415" s="6">
        <v>45246</v>
      </c>
      <c r="C10415" t="s">
        <v>5013</v>
      </c>
      <c r="D10415" t="s">
        <v>5036</v>
      </c>
      <c r="E10415">
        <v>4</v>
      </c>
      <c r="F10415" s="2" t="str">
        <f>IF(Table2[[#This Row],[Manual Cat Value]]="",VLOOKUP(Table2[[#This Row],[Description]],'Actuals Lookup'!D:F,3,0),Table2[[#This Row],[Manual Cat Value]])</f>
        <v>Exp - Utilities</v>
      </c>
      <c r="G10415" t="s">
        <v>62</v>
      </c>
      <c r="H10415" s="8" t="s">
        <v>6</v>
      </c>
      <c r="I10415" s="8"/>
      <c r="O10415" t="str">
        <f>LEFT(Table2[[#This Row],[Description]],75)</f>
        <v>Google *svcsgns.3349g.co/helppay# Ca</v>
      </c>
    </row>
    <row r="10416" spans="1:15" hidden="1">
      <c r="A10416">
        <v>202311</v>
      </c>
      <c r="B10416" s="6">
        <v>45246</v>
      </c>
      <c r="C10416" t="s">
        <v>5013</v>
      </c>
      <c r="D10416" t="s">
        <v>4829</v>
      </c>
      <c r="E10416">
        <v>114</v>
      </c>
      <c r="F10416" s="2" t="str">
        <f>IF(Table2[[#This Row],[Manual Cat Value]]="",VLOOKUP(Table2[[#This Row],[Description]],'Actuals Lookup'!D:F,3,0),Table2[[#This Row],[Manual Cat Value]])</f>
        <v>Delete</v>
      </c>
      <c r="G10416" t="s">
        <v>43</v>
      </c>
      <c r="H10416" s="8" t="s">
        <v>9</v>
      </c>
      <c r="I10416" s="8"/>
      <c r="O10416" t="str">
        <f>LEFT(Table2[[#This Row],[Description]],75)</f>
        <v>Msp Airport Parking</v>
      </c>
    </row>
    <row r="10417" spans="1:15" hidden="1">
      <c r="A10417">
        <v>202311</v>
      </c>
      <c r="B10417" s="6">
        <v>45246</v>
      </c>
      <c r="C10417" t="s">
        <v>5013</v>
      </c>
      <c r="D10417" t="s">
        <v>5037</v>
      </c>
      <c r="E10417">
        <v>41.38</v>
      </c>
      <c r="F10417" s="2" t="str">
        <f>IF(Table2[[#This Row],[Manual Cat Value]]="",VLOOKUP(Table2[[#This Row],[Description]],'Actuals Lookup'!D:F,3,0),Table2[[#This Row],[Manual Cat Value]])</f>
        <v>Restaurants</v>
      </c>
      <c r="G10417" t="s">
        <v>26</v>
      </c>
      <c r="I10417" s="8"/>
      <c r="O10417" t="str">
        <f>LEFT(Table2[[#This Row],[Description]],75)</f>
        <v>Tst* Harpoon Tap Rooboston Ma</v>
      </c>
    </row>
    <row r="10418" spans="1:15" hidden="1">
      <c r="A10418">
        <v>202311</v>
      </c>
      <c r="B10418" s="6">
        <v>45247</v>
      </c>
      <c r="C10418" t="s">
        <v>5013</v>
      </c>
      <c r="D10418" t="s">
        <v>5032</v>
      </c>
      <c r="E10418">
        <v>0.03</v>
      </c>
      <c r="F10418" s="2" t="str">
        <f>IF(Table2[[#This Row],[Manual Cat Value]]="",VLOOKUP(Table2[[#This Row],[Description]],'Actuals Lookup'!D:F,3,0),Table2[[#This Row],[Manual Cat Value]])</f>
        <v>Delete</v>
      </c>
      <c r="G10418" t="s">
        <v>43</v>
      </c>
      <c r="H10418" s="8" t="s">
        <v>9</v>
      </c>
      <c r="I10418" s="8"/>
      <c r="O10418" t="str">
        <f>LEFT(Table2[[#This Row],[Description]],75)</f>
        <v>Ac Hotels</v>
      </c>
    </row>
    <row r="10419" spans="1:15" hidden="1">
      <c r="A10419">
        <v>202311</v>
      </c>
      <c r="B10419" s="6">
        <v>45247</v>
      </c>
      <c r="C10419" t="s">
        <v>5013</v>
      </c>
      <c r="D10419" t="s">
        <v>5038</v>
      </c>
      <c r="E10419">
        <v>459.87</v>
      </c>
      <c r="F10419" s="2" t="str">
        <f>IF(Table2[[#This Row],[Manual Cat Value]]="",VLOOKUP(Table2[[#This Row],[Description]],'Actuals Lookup'!D:F,3,0),Table2[[#This Row],[Manual Cat Value]])</f>
        <v>Travel</v>
      </c>
      <c r="G10419" t="s">
        <v>43</v>
      </c>
      <c r="I10419" s="8"/>
      <c r="O10419" t="str">
        <f>LEFT(Table2[[#This Row],[Description]],75)</f>
        <v>Lake Tahoe Resort</v>
      </c>
    </row>
    <row r="10420" spans="1:15" hidden="1">
      <c r="A10420">
        <v>202311</v>
      </c>
      <c r="B10420" s="6">
        <v>45247</v>
      </c>
      <c r="C10420" t="s">
        <v>4180</v>
      </c>
      <c r="D10420" t="s">
        <v>1664</v>
      </c>
      <c r="E10420">
        <v>177.19</v>
      </c>
      <c r="F10420" s="2" t="str">
        <f>IF(Table2[[#This Row],[Manual Cat Value]]="",VLOOKUP(Table2[[#This Row],[Description]],'Actuals Lookup'!D:F,3,0),Table2[[#This Row],[Manual Cat Value]])</f>
        <v>Exp - Gifts</v>
      </c>
      <c r="H10420" s="8" t="s">
        <v>44</v>
      </c>
      <c r="I10420" s="8"/>
      <c r="O10420" t="str">
        <f>LEFT(Table2[[#This Row],[Description]],75)</f>
        <v>Shutterfly</v>
      </c>
    </row>
    <row r="10421" spans="1:15" hidden="1">
      <c r="A10421">
        <v>202311</v>
      </c>
      <c r="B10421" s="6">
        <v>45247</v>
      </c>
      <c r="C10421" t="s">
        <v>5013</v>
      </c>
      <c r="D10421" t="s">
        <v>5005</v>
      </c>
      <c r="E10421">
        <v>-570</v>
      </c>
      <c r="F10421" s="2" t="str">
        <f>IF(Table2[[#This Row],[Manual Cat Value]]="",VLOOKUP(Table2[[#This Row],[Description]],'Actuals Lookup'!D:F,3,0),Table2[[#This Row],[Manual Cat Value]])</f>
        <v>Shopping</v>
      </c>
      <c r="G10421" t="s">
        <v>21</v>
      </c>
      <c r="I10421" s="8"/>
      <c r="O10421" t="str">
        <f>LEFT(Table2[[#This Row],[Description]],75)</f>
        <v>Smartwool</v>
      </c>
    </row>
    <row r="10422" spans="1:15" hidden="1">
      <c r="A10422">
        <v>202311</v>
      </c>
      <c r="B10422" s="6">
        <v>45247</v>
      </c>
      <c r="C10422" t="s">
        <v>5013</v>
      </c>
      <c r="D10422" t="s">
        <v>5039</v>
      </c>
      <c r="E10422">
        <v>5.18</v>
      </c>
      <c r="F10422" s="2" t="str">
        <f>IF(Table2[[#This Row],[Manual Cat Value]]="",VLOOKUP(Table2[[#This Row],[Description]],'Actuals Lookup'!D:F,3,0),Table2[[#This Row],[Manual Cat Value]])</f>
        <v>Restaurants</v>
      </c>
      <c r="G10422" t="s">
        <v>26</v>
      </c>
      <c r="I10422" s="8"/>
      <c r="O10422" t="str">
        <f>LEFT(Table2[[#This Row],[Description]],75)</f>
        <v>The Lobby</v>
      </c>
    </row>
    <row r="10423" spans="1:15" hidden="1">
      <c r="A10423">
        <v>202311</v>
      </c>
      <c r="B10423" s="6">
        <v>45247</v>
      </c>
      <c r="C10423" t="s">
        <v>4176</v>
      </c>
      <c r="D10423" t="s">
        <v>2078</v>
      </c>
      <c r="E10423">
        <v>34.56</v>
      </c>
      <c r="F10423" s="2" t="str">
        <f>IF(Table2[[#This Row],[Manual Cat Value]]="",VLOOKUP(Table2[[#This Row],[Description]],'Actuals Lookup'!D:F,3,0),Table2[[#This Row],[Manual Cat Value]])</f>
        <v>Exp - Transportation</v>
      </c>
      <c r="H10423" s="8" t="s">
        <v>22</v>
      </c>
      <c r="I10423" s="8"/>
      <c r="O10423" t="str">
        <f>LEFT(Table2[[#This Row],[Description]],75)</f>
        <v>Uber</v>
      </c>
    </row>
    <row r="10424" spans="1:15" hidden="1">
      <c r="A10424">
        <v>202311</v>
      </c>
      <c r="B10424" s="6">
        <v>45248</v>
      </c>
      <c r="C10424" t="s">
        <v>5013</v>
      </c>
      <c r="D10424" t="s">
        <v>703</v>
      </c>
      <c r="E10424">
        <v>1076.4000000000001</v>
      </c>
      <c r="F10424" s="2" t="str">
        <f>IF(Table2[[#This Row],[Manual Cat Value]]="",VLOOKUP(Table2[[#This Row],[Description]],'Actuals Lookup'!D:F,3,0),Table2[[#This Row],[Manual Cat Value]])</f>
        <v>Delete</v>
      </c>
      <c r="G10424" t="s">
        <v>67</v>
      </c>
      <c r="H10424" s="8" t="s">
        <v>9</v>
      </c>
      <c r="I10424" s="8"/>
      <c r="O10424" t="str">
        <f>LEFT(Table2[[#This Row],[Description]],75)</f>
        <v>Delta Air Lines</v>
      </c>
    </row>
    <row r="10425" spans="1:15" hidden="1">
      <c r="A10425">
        <v>202311</v>
      </c>
      <c r="B10425" s="6">
        <v>45249</v>
      </c>
      <c r="C10425" t="s">
        <v>5013</v>
      </c>
      <c r="D10425" t="s">
        <v>5040</v>
      </c>
      <c r="E10425">
        <v>6</v>
      </c>
      <c r="F10425" s="2" t="str">
        <f>IF(Table2[[#This Row],[Manual Cat Value]]="",VLOOKUP(Table2[[#This Row],[Description]],'Actuals Lookup'!D:F,3,0),Table2[[#This Row],[Manual Cat Value]])</f>
        <v>Exp - Transportation</v>
      </c>
      <c r="G10425" t="s">
        <v>35</v>
      </c>
      <c r="H10425" s="8" t="s">
        <v>22</v>
      </c>
      <c r="I10425" s="8"/>
      <c r="O10425" t="str">
        <f>LEFT(Table2[[#This Row],[Description]],75)</f>
        <v>811 Washington Ramp North Oaks Mn</v>
      </c>
    </row>
    <row r="10426" spans="1:15" hidden="1">
      <c r="A10426">
        <v>202311</v>
      </c>
      <c r="B10426" s="6">
        <v>45249</v>
      </c>
      <c r="C10426" t="s">
        <v>5013</v>
      </c>
      <c r="D10426" t="s">
        <v>4093</v>
      </c>
      <c r="E10426">
        <v>45.17</v>
      </c>
      <c r="F10426" s="2" t="str">
        <f>IF(Table2[[#This Row],[Manual Cat Value]]="",VLOOKUP(Table2[[#This Row],[Description]],'Actuals Lookup'!D:F,3,0),Table2[[#This Row],[Manual Cat Value]])</f>
        <v>Groceries</v>
      </c>
      <c r="G10426" t="s">
        <v>28</v>
      </c>
      <c r="I10426" s="8"/>
      <c r="O10426" t="str">
        <f>LEFT(Table2[[#This Row],[Description]],75)</f>
        <v>Kowalski's Market</v>
      </c>
    </row>
    <row r="10427" spans="1:15" hidden="1">
      <c r="A10427">
        <v>202311</v>
      </c>
      <c r="B10427" s="6">
        <v>45249</v>
      </c>
      <c r="C10427" t="s">
        <v>4178</v>
      </c>
      <c r="D10427" t="s">
        <v>1168</v>
      </c>
      <c r="E10427">
        <v>54.81</v>
      </c>
      <c r="F10427" s="2" t="str">
        <f>IF(Table2[[#This Row],[Manual Cat Value]]="",VLOOKUP(Table2[[#This Row],[Description]],'Actuals Lookup'!D:F,3,0),Table2[[#This Row],[Manual Cat Value]])</f>
        <v>Exp - Transportation</v>
      </c>
      <c r="H10427" s="8" t="s">
        <v>22</v>
      </c>
      <c r="I10427" s="8"/>
      <c r="O10427" t="str">
        <f>LEFT(Table2[[#This Row],[Description]],75)</f>
        <v>Lyft</v>
      </c>
    </row>
    <row r="10428" spans="1:15" hidden="1">
      <c r="A10428">
        <v>202311</v>
      </c>
      <c r="B10428" s="6">
        <v>45249</v>
      </c>
      <c r="C10428" t="s">
        <v>4188</v>
      </c>
      <c r="D10428" t="s">
        <v>1380</v>
      </c>
      <c r="E10428">
        <v>58.64</v>
      </c>
      <c r="F10428" s="2" t="str">
        <f>IF(Table2[[#This Row],[Manual Cat Value]]="",VLOOKUP(Table2[[#This Row],[Description]],'Actuals Lookup'!D:F,3,0),Table2[[#This Row],[Manual Cat Value]])</f>
        <v>Exp - Restaurants</v>
      </c>
      <c r="H10428" s="8" t="s">
        <v>25</v>
      </c>
      <c r="I10428" s="8"/>
      <c r="O10428" t="str">
        <f>LEFT(Table2[[#This Row],[Description]],75)</f>
        <v>Olives</v>
      </c>
    </row>
    <row r="10429" spans="1:15" hidden="1">
      <c r="A10429">
        <v>202311</v>
      </c>
      <c r="B10429" s="6">
        <v>45250</v>
      </c>
      <c r="C10429" t="s">
        <v>3932</v>
      </c>
      <c r="D10429" t="s">
        <v>38</v>
      </c>
      <c r="E10429">
        <v>62.48</v>
      </c>
      <c r="F10429" s="2" t="str">
        <f>IF(Table2[[#This Row],[Manual Cat Value]]="",VLOOKUP(Table2[[#This Row],[Description]],'Actuals Lookup'!D:F,3,0),Table2[[#This Row],[Manual Cat Value]])</f>
        <v>Exp - Amazon</v>
      </c>
      <c r="G10429" t="s">
        <v>41</v>
      </c>
      <c r="H10429" s="8" t="s">
        <v>37</v>
      </c>
      <c r="I10429" s="8"/>
      <c r="O10429" t="str">
        <f>LEFT(Table2[[#This Row],[Description]],75)</f>
        <v>Amazon</v>
      </c>
    </row>
    <row r="10430" spans="1:15" hidden="1">
      <c r="A10430">
        <v>202311</v>
      </c>
      <c r="B10430" s="6">
        <v>45250</v>
      </c>
      <c r="C10430" t="s">
        <v>2519</v>
      </c>
      <c r="D10430" t="s">
        <v>4283</v>
      </c>
      <c r="E10430">
        <v>-91.38</v>
      </c>
      <c r="F10430" s="2" t="str">
        <f>IF(Table2[[#This Row],[Manual Cat Value]]="",VLOOKUP(Table2[[#This Row],[Description]],'Actuals Lookup'!D:F,3,0),Table2[[#This Row],[Manual Cat Value]])</f>
        <v>Inc - Britney</v>
      </c>
      <c r="H10430" s="8" t="s">
        <v>65</v>
      </c>
      <c r="I10430" s="8"/>
      <c r="O10430" t="str">
        <f>LEFT(Table2[[#This Row],[Description]],75)</f>
        <v>Cargill Deposit</v>
      </c>
    </row>
    <row r="10431" spans="1:15" hidden="1">
      <c r="A10431">
        <v>202311</v>
      </c>
      <c r="B10431" s="6">
        <v>45250</v>
      </c>
      <c r="C10431" t="s">
        <v>5013</v>
      </c>
      <c r="D10431" t="s">
        <v>684</v>
      </c>
      <c r="E10431">
        <v>71.17</v>
      </c>
      <c r="F10431" s="2" t="str">
        <f>IF(Table2[[#This Row],[Manual Cat Value]]="",VLOOKUP(Table2[[#This Row],[Description]],'Actuals Lookup'!D:F,3,0),Table2[[#This Row],[Manual Cat Value]])</f>
        <v>Groceries</v>
      </c>
      <c r="G10431" t="s">
        <v>28</v>
      </c>
      <c r="I10431" s="8"/>
      <c r="O10431" t="str">
        <f>LEFT(Table2[[#This Row],[Description]],75)</f>
        <v>Cub Foods</v>
      </c>
    </row>
    <row r="10432" spans="1:15" hidden="1">
      <c r="A10432">
        <v>202311</v>
      </c>
      <c r="B10432" s="6">
        <v>45250</v>
      </c>
      <c r="C10432" t="s">
        <v>4186</v>
      </c>
      <c r="D10432" t="s">
        <v>4899</v>
      </c>
      <c r="E10432">
        <v>0.49</v>
      </c>
      <c r="F10432" s="2" t="str">
        <f>IF(Table2[[#This Row],[Manual Cat Value]]="",VLOOKUP(Table2[[#This Row],[Description]],'Actuals Lookup'!D:F,3,0),Table2[[#This Row],[Manual Cat Value]])</f>
        <v>Exp - Utilities</v>
      </c>
      <c r="H10432" s="8" t="s">
        <v>6</v>
      </c>
      <c r="I10432" s="8"/>
      <c r="O10432" t="str">
        <f>LEFT(Table2[[#This Row],[Description]],75)</f>
        <v>Google Cloud Storage</v>
      </c>
    </row>
    <row r="10433" spans="1:15" hidden="1">
      <c r="A10433">
        <v>202311</v>
      </c>
      <c r="B10433" s="6">
        <v>45250</v>
      </c>
      <c r="C10433" t="s">
        <v>5013</v>
      </c>
      <c r="D10433" t="s">
        <v>5041</v>
      </c>
      <c r="E10433">
        <v>76.05</v>
      </c>
      <c r="F10433" s="2" t="str">
        <f>IF(Table2[[#This Row],[Manual Cat Value]]="",VLOOKUP(Table2[[#This Row],[Description]],'Actuals Lookup'!D:F,3,0),Table2[[#This Row],[Manual Cat Value]])</f>
        <v>Shopping</v>
      </c>
      <c r="G10433" t="s">
        <v>21</v>
      </c>
      <c r="I10433" s="8"/>
      <c r="O10433" t="str">
        <f>LEFT(Table2[[#This Row],[Description]],75)</f>
        <v>Old Navy</v>
      </c>
    </row>
    <row r="10434" spans="1:15" hidden="1">
      <c r="A10434">
        <v>202311</v>
      </c>
      <c r="B10434" s="6">
        <v>45250</v>
      </c>
      <c r="C10434" t="s">
        <v>2519</v>
      </c>
      <c r="D10434" t="s">
        <v>1955</v>
      </c>
      <c r="E10434">
        <v>19.399999999999999</v>
      </c>
      <c r="F10434" s="2" t="str">
        <f>IF(Table2[[#This Row],[Manual Cat Value]]="",VLOOKUP(Table2[[#This Row],[Description]],'Actuals Lookup'!D:F,3,0),Table2[[#This Row],[Manual Cat Value]])</f>
        <v>Exp - Shopping</v>
      </c>
      <c r="H10434" s="8" t="s">
        <v>36</v>
      </c>
      <c r="I10434" s="8"/>
      <c r="O10434" t="str">
        <f>LEFT(Table2[[#This Row],[Description]],75)</f>
        <v>Transfer to PayPal</v>
      </c>
    </row>
    <row r="10435" spans="1:15" hidden="1">
      <c r="A10435">
        <v>202311</v>
      </c>
      <c r="B10435" s="6">
        <v>45250</v>
      </c>
      <c r="C10435" t="s">
        <v>2519</v>
      </c>
      <c r="D10435" t="s">
        <v>1955</v>
      </c>
      <c r="E10435">
        <v>2.99</v>
      </c>
      <c r="F10435" s="2" t="str">
        <f>IF(Table2[[#This Row],[Manual Cat Value]]="",VLOOKUP(Table2[[#This Row],[Description]],'Actuals Lookup'!D:F,3,0),Table2[[#This Row],[Manual Cat Value]])</f>
        <v>Exp - Shopping</v>
      </c>
      <c r="H10435" s="8" t="s">
        <v>36</v>
      </c>
      <c r="I10435" s="8"/>
      <c r="O10435" t="str">
        <f>LEFT(Table2[[#This Row],[Description]],75)</f>
        <v>Transfer to PayPal</v>
      </c>
    </row>
    <row r="10436" spans="1:15" hidden="1">
      <c r="A10436">
        <v>202311</v>
      </c>
      <c r="B10436" s="6">
        <v>45250</v>
      </c>
      <c r="C10436" t="s">
        <v>2519</v>
      </c>
      <c r="D10436" t="s">
        <v>1958</v>
      </c>
      <c r="E10436">
        <v>148.75</v>
      </c>
      <c r="F10436" s="2" t="str">
        <f>IF(Table2[[#This Row],[Manual Cat Value]]="",VLOOKUP(Table2[[#This Row],[Description]],'Actuals Lookup'!D:F,3,0),Table2[[#This Row],[Manual Cat Value]])</f>
        <v>Exp - Shopping</v>
      </c>
      <c r="H10436" s="8" t="s">
        <v>36</v>
      </c>
      <c r="I10436" s="8"/>
      <c r="O10436" t="str">
        <f>LEFT(Table2[[#This Row],[Description]],75)</f>
        <v>Transfer to Venmo</v>
      </c>
    </row>
    <row r="10437" spans="1:15" hidden="1">
      <c r="A10437">
        <v>202311</v>
      </c>
      <c r="B10437" s="6">
        <v>45250</v>
      </c>
      <c r="C10437" t="s">
        <v>2519</v>
      </c>
      <c r="D10437" t="s">
        <v>5042</v>
      </c>
      <c r="E10437">
        <v>650</v>
      </c>
      <c r="F10437" s="2" t="str">
        <f>IF(Table2[[#This Row],[Manual Cat Value]]="",VLOOKUP(Table2[[#This Row],[Description]],'Actuals Lookup'!D:F,3,0),Table2[[#This Row],[Manual Cat Value]])</f>
        <v>Sav - College Savings</v>
      </c>
      <c r="H10437" s="8" t="s">
        <v>60</v>
      </c>
      <c r="I10437" s="8"/>
      <c r="O10437" t="str">
        <f>LEFT(Table2[[#This Row],[Description]],75)</f>
        <v>Withdrawal ACH MN DIR ACH TYPE: CONTRIB ID: XX7162 CO: MN DIR ACH NAME: XX2</v>
      </c>
    </row>
    <row r="10438" spans="1:15" hidden="1">
      <c r="A10438">
        <v>202311</v>
      </c>
      <c r="B10438" s="6">
        <v>45251</v>
      </c>
      <c r="C10438" t="s">
        <v>3932</v>
      </c>
      <c r="D10438" t="s">
        <v>38</v>
      </c>
      <c r="E10438">
        <v>25.03</v>
      </c>
      <c r="F10438" s="2" t="str">
        <f>IF(Table2[[#This Row],[Manual Cat Value]]="",VLOOKUP(Table2[[#This Row],[Description]],'Actuals Lookup'!D:F,3,0),Table2[[#This Row],[Manual Cat Value]])</f>
        <v>Exp - Amazon</v>
      </c>
      <c r="G10438" t="s">
        <v>41</v>
      </c>
      <c r="H10438" s="8" t="s">
        <v>37</v>
      </c>
      <c r="I10438" s="8"/>
      <c r="O10438" t="str">
        <f>LEFT(Table2[[#This Row],[Description]],75)</f>
        <v>Amazon</v>
      </c>
    </row>
    <row r="10439" spans="1:15" hidden="1">
      <c r="A10439">
        <v>202311</v>
      </c>
      <c r="B10439" s="6">
        <v>45251</v>
      </c>
      <c r="C10439" t="s">
        <v>3932</v>
      </c>
      <c r="D10439" t="s">
        <v>38</v>
      </c>
      <c r="E10439">
        <v>221.18</v>
      </c>
      <c r="F10439" s="2" t="str">
        <f>IF(Table2[[#This Row],[Manual Cat Value]]="",VLOOKUP(Table2[[#This Row],[Description]],'Actuals Lookup'!D:F,3,0),Table2[[#This Row],[Manual Cat Value]])</f>
        <v>Exp - Amazon</v>
      </c>
      <c r="G10439" t="s">
        <v>41</v>
      </c>
      <c r="H10439" s="8" t="s">
        <v>37</v>
      </c>
      <c r="I10439" s="8"/>
      <c r="O10439" t="str">
        <f>LEFT(Table2[[#This Row],[Description]],75)</f>
        <v>Amazon</v>
      </c>
    </row>
    <row r="10440" spans="1:15" hidden="1">
      <c r="A10440">
        <v>202311</v>
      </c>
      <c r="B10440" s="6">
        <v>45251</v>
      </c>
      <c r="C10440" t="s">
        <v>4192</v>
      </c>
      <c r="D10440" t="s">
        <v>5043</v>
      </c>
      <c r="E10440">
        <v>11</v>
      </c>
      <c r="F10440" s="2" t="str">
        <f>IF(Table2[[#This Row],[Manual Cat Value]]="",VLOOKUP(Table2[[#This Row],[Description]],'Actuals Lookup'!D:F,3,0),Table2[[#This Row],[Manual Cat Value]])</f>
        <v>Exp - House Maint</v>
      </c>
      <c r="H10440" s="8" t="s">
        <v>1</v>
      </c>
      <c r="I10440" s="8"/>
      <c r="O10440" t="str">
        <f>LEFT(Table2[[#This Row],[Description]],75)</f>
        <v>BONFES PLUMBING HEATING AXX6633 MN REF #XX7539A4S66K79B0</v>
      </c>
    </row>
    <row r="10441" spans="1:15" hidden="1">
      <c r="A10441">
        <v>202311</v>
      </c>
      <c r="B10441" s="6">
        <v>45251</v>
      </c>
      <c r="C10441" t="s">
        <v>5013</v>
      </c>
      <c r="D10441" t="s">
        <v>3998</v>
      </c>
      <c r="E10441">
        <v>108.59</v>
      </c>
      <c r="F10441" s="2" t="str">
        <f>IF(Table2[[#This Row],[Manual Cat Value]]="",VLOOKUP(Table2[[#This Row],[Description]],'Actuals Lookup'!D:F,3,0),Table2[[#This Row],[Manual Cat Value]])</f>
        <v>Groceries</v>
      </c>
      <c r="G10441" t="s">
        <v>28</v>
      </c>
      <c r="I10441" s="8"/>
      <c r="O10441" t="str">
        <f>LEFT(Table2[[#This Row],[Description]],75)</f>
        <v>Mgm Liquor Warehouse</v>
      </c>
    </row>
    <row r="10442" spans="1:15" hidden="1">
      <c r="A10442">
        <v>202311</v>
      </c>
      <c r="B10442" s="6">
        <v>45251</v>
      </c>
      <c r="C10442" t="s">
        <v>2519</v>
      </c>
      <c r="D10442" t="s">
        <v>5044</v>
      </c>
      <c r="E10442">
        <v>60.12</v>
      </c>
      <c r="F10442" s="2" t="str">
        <f>IF(Table2[[#This Row],[Manual Cat Value]]="",VLOOKUP(Table2[[#This Row],[Description]],'Actuals Lookup'!D:F,3,0),Table2[[#This Row],[Manual Cat Value]])</f>
        <v>Exp - Utilities</v>
      </c>
      <c r="H10442" s="8" t="s">
        <v>6</v>
      </c>
      <c r="I10442" s="8"/>
      <c r="O10442" t="str">
        <f>LEFT(Table2[[#This Row],[Description]],75)</f>
        <v>Withdrawal ACH CITY OF CHANHASS TYPE: UTIL BILL ID: XX5331 CO: CITY OF CHAN</v>
      </c>
    </row>
    <row r="10443" spans="1:15" hidden="1">
      <c r="A10443">
        <v>202311</v>
      </c>
      <c r="B10443" s="6">
        <v>45251</v>
      </c>
      <c r="C10443" t="s">
        <v>2519</v>
      </c>
      <c r="D10443" t="s">
        <v>5045</v>
      </c>
      <c r="E10443">
        <v>330</v>
      </c>
      <c r="F10443" s="2" t="str">
        <f>IF(Table2[[#This Row],[Manual Cat Value]]="",VLOOKUP(Table2[[#This Row],[Description]],'Actuals Lookup'!D:F,3,0),Table2[[#This Row],[Manual Cat Value]])</f>
        <v>Exp - Day Care</v>
      </c>
      <c r="H10443" s="8" t="s">
        <v>19</v>
      </c>
      <c r="I10443" s="8"/>
      <c r="O10443" t="str">
        <f>LEFT(Table2[[#This Row],[Description]],75)</f>
        <v>Withdrawal ACH MHCHILDCARELLC TYPE: DUES ID: XX8198 CO: MHCHILDCARELLC Entr</v>
      </c>
    </row>
    <row r="10444" spans="1:15" hidden="1">
      <c r="A10444">
        <v>202311</v>
      </c>
      <c r="B10444" s="6">
        <v>45252</v>
      </c>
      <c r="C10444" t="s">
        <v>3932</v>
      </c>
      <c r="D10444" t="s">
        <v>38</v>
      </c>
      <c r="E10444">
        <v>10.83</v>
      </c>
      <c r="F10444" s="2" t="str">
        <f>IF(Table2[[#This Row],[Manual Cat Value]]="",VLOOKUP(Table2[[#This Row],[Description]],'Actuals Lookup'!D:F,3,0),Table2[[#This Row],[Manual Cat Value]])</f>
        <v>Exp - Amazon</v>
      </c>
      <c r="G10444" t="s">
        <v>41</v>
      </c>
      <c r="H10444" s="8" t="s">
        <v>37</v>
      </c>
      <c r="I10444" s="8"/>
      <c r="O10444" t="str">
        <f>LEFT(Table2[[#This Row],[Description]],75)</f>
        <v>Amazon</v>
      </c>
    </row>
    <row r="10445" spans="1:15" hidden="1">
      <c r="A10445">
        <v>202311</v>
      </c>
      <c r="B10445" s="6">
        <v>45252</v>
      </c>
      <c r="C10445" t="s">
        <v>3932</v>
      </c>
      <c r="D10445" t="s">
        <v>38</v>
      </c>
      <c r="E10445">
        <v>8.66</v>
      </c>
      <c r="F10445" s="2" t="str">
        <f>IF(Table2[[#This Row],[Manual Cat Value]]="",VLOOKUP(Table2[[#This Row],[Description]],'Actuals Lookup'!D:F,3,0),Table2[[#This Row],[Manual Cat Value]])</f>
        <v>Exp - Amazon</v>
      </c>
      <c r="G10445" t="s">
        <v>41</v>
      </c>
      <c r="H10445" s="8" t="s">
        <v>37</v>
      </c>
      <c r="I10445" s="8"/>
      <c r="O10445" t="str">
        <f>LEFT(Table2[[#This Row],[Description]],75)</f>
        <v>Amazon</v>
      </c>
    </row>
    <row r="10446" spans="1:15" hidden="1">
      <c r="A10446">
        <v>202311</v>
      </c>
      <c r="B10446" s="6">
        <v>45252</v>
      </c>
      <c r="C10446" t="s">
        <v>4225</v>
      </c>
      <c r="D10446" t="s">
        <v>5046</v>
      </c>
      <c r="E10446">
        <v>42.8</v>
      </c>
      <c r="F10446" s="2" t="str">
        <f>IF(Table2[[#This Row],[Manual Cat Value]]="",VLOOKUP(Table2[[#This Row],[Description]],'Actuals Lookup'!D:F,3,0),Table2[[#This Row],[Manual Cat Value]])</f>
        <v>Exp - Amazon</v>
      </c>
      <c r="H10446" s="8" t="s">
        <v>37</v>
      </c>
      <c r="I10446" s="8"/>
      <c r="O10446" t="str">
        <f>LEFT(Table2[[#This Row],[Description]],75)</f>
        <v>AMZN Mktp US*0F6B73VE3 Amzn.com/billWA REF #XX9216A52XJx7511</v>
      </c>
    </row>
    <row r="10447" spans="1:15" hidden="1">
      <c r="A10447">
        <v>202311</v>
      </c>
      <c r="B10447" s="6">
        <v>45252</v>
      </c>
      <c r="C10447" t="s">
        <v>4207</v>
      </c>
      <c r="D10447" t="s">
        <v>5047</v>
      </c>
      <c r="E10447">
        <v>117.99</v>
      </c>
      <c r="F10447" s="2" t="str">
        <f>IF(Table2[[#This Row],[Manual Cat Value]]="",VLOOKUP(Table2[[#This Row],[Description]],'Actuals Lookup'!D:F,3,0),Table2[[#This Row],[Manual Cat Value]])</f>
        <v>Exp - Groceries</v>
      </c>
      <c r="H10447" s="8" t="s">
        <v>27</v>
      </c>
      <c r="I10447" s="8"/>
      <c r="O10447" t="str">
        <f>LEFT(Table2[[#This Row],[Description]],75)</f>
        <v>ARBORETUM APPLEHOUSE CHASKA MN REF #XX3829A62M7WMGVG</v>
      </c>
    </row>
    <row r="10448" spans="1:15" hidden="1">
      <c r="A10448">
        <v>202311</v>
      </c>
      <c r="B10448" s="6">
        <v>45252</v>
      </c>
      <c r="C10448" t="s">
        <v>4190</v>
      </c>
      <c r="D10448" t="s">
        <v>5048</v>
      </c>
      <c r="E10448">
        <v>463</v>
      </c>
      <c r="F10448" s="2" t="str">
        <f>IF(Table2[[#This Row],[Manual Cat Value]]="",VLOOKUP(Table2[[#This Row],[Description]],'Actuals Lookup'!D:F,3,0),Table2[[#This Row],[Manual Cat Value]])</f>
        <v>Exp - Day Care</v>
      </c>
      <c r="H10448" s="8" t="s">
        <v>19</v>
      </c>
      <c r="I10448" s="8"/>
      <c r="O10448" t="str">
        <f>LEFT(Table2[[#This Row],[Description]],75)</f>
        <v>BCS*MINNETONKA COMMUNITY XX-6800 MN REF #XX3746A601JNM6G7</v>
      </c>
    </row>
    <row r="10449" spans="1:15" hidden="1">
      <c r="A10449">
        <v>202311</v>
      </c>
      <c r="B10449" s="6">
        <v>45252</v>
      </c>
      <c r="C10449" t="s">
        <v>4196</v>
      </c>
      <c r="D10449" t="s">
        <v>5049</v>
      </c>
      <c r="E10449">
        <v>245</v>
      </c>
      <c r="F10449" s="2" t="str">
        <f>IF(Table2[[#This Row],[Manual Cat Value]]="",VLOOKUP(Table2[[#This Row],[Description]],'Actuals Lookup'!D:F,3,0),Table2[[#This Row],[Manual Cat Value]])</f>
        <v>Exp - Day Care</v>
      </c>
      <c r="H10449" s="8" t="s">
        <v>19</v>
      </c>
      <c r="I10449" s="8"/>
      <c r="O10449" t="str">
        <f>LEFT(Table2[[#This Row],[Description]],75)</f>
        <v>BCS*MINNETONKA COMMUNITY XX-6800 MN REF #XX3746A601JNM6JV</v>
      </c>
    </row>
    <row r="10450" spans="1:15" hidden="1">
      <c r="A10450">
        <v>202311</v>
      </c>
      <c r="B10450" s="6">
        <v>45252</v>
      </c>
      <c r="C10450" t="s">
        <v>5013</v>
      </c>
      <c r="D10450" t="s">
        <v>545</v>
      </c>
      <c r="E10450">
        <v>31.75</v>
      </c>
      <c r="F10450" s="2" t="str">
        <f>IF(Table2[[#This Row],[Manual Cat Value]]="",VLOOKUP(Table2[[#This Row],[Description]],'Actuals Lookup'!D:F,3,0),Table2[[#This Row],[Manual Cat Value]])</f>
        <v>Restaurants</v>
      </c>
      <c r="G10450" t="s">
        <v>26</v>
      </c>
      <c r="I10450" s="8"/>
      <c r="O10450" t="str">
        <f>LEFT(Table2[[#This Row],[Description]],75)</f>
        <v>Chipotle Mexican Grill</v>
      </c>
    </row>
    <row r="10451" spans="1:15" hidden="1">
      <c r="A10451">
        <v>202311</v>
      </c>
      <c r="B10451" s="6">
        <v>45252</v>
      </c>
      <c r="C10451" t="s">
        <v>5013</v>
      </c>
      <c r="D10451" t="s">
        <v>545</v>
      </c>
      <c r="E10451">
        <v>6.07</v>
      </c>
      <c r="F10451" s="2" t="str">
        <f>IF(Table2[[#This Row],[Manual Cat Value]]="",VLOOKUP(Table2[[#This Row],[Description]],'Actuals Lookup'!D:F,3,0),Table2[[#This Row],[Manual Cat Value]])</f>
        <v>Restaurants</v>
      </c>
      <c r="G10451" t="s">
        <v>26</v>
      </c>
      <c r="I10451" s="8"/>
      <c r="O10451" t="str">
        <f>LEFT(Table2[[#This Row],[Description]],75)</f>
        <v>Chipotle Mexican Grill</v>
      </c>
    </row>
    <row r="10452" spans="1:15" hidden="1">
      <c r="A10452">
        <v>202311</v>
      </c>
      <c r="B10452" s="6">
        <v>45252</v>
      </c>
      <c r="C10452" t="s">
        <v>5013</v>
      </c>
      <c r="D10452" t="s">
        <v>5050</v>
      </c>
      <c r="E10452">
        <v>52.69</v>
      </c>
      <c r="F10452" s="2" t="str">
        <f>IF(Table2[[#This Row],[Manual Cat Value]]="",VLOOKUP(Table2[[#This Row],[Description]],'Actuals Lookup'!D:F,3,0),Table2[[#This Row],[Manual Cat Value]])</f>
        <v>Travel</v>
      </c>
      <c r="G10452" t="s">
        <v>43</v>
      </c>
      <c r="I10452" s="8"/>
      <c r="O10452" t="str">
        <f>LEFT(Table2[[#This Row],[Description]],75)</f>
        <v>Coursra35bcaxv388l92mountain Vi Ca</v>
      </c>
    </row>
    <row r="10453" spans="1:15" hidden="1">
      <c r="A10453">
        <v>202311</v>
      </c>
      <c r="B10453" s="6">
        <v>45252</v>
      </c>
      <c r="C10453" t="s">
        <v>5013</v>
      </c>
      <c r="D10453" t="s">
        <v>681</v>
      </c>
      <c r="E10453">
        <v>28.39</v>
      </c>
      <c r="F10453" s="2" t="str">
        <f>IF(Table2[[#This Row],[Manual Cat Value]]="",VLOOKUP(Table2[[#This Row],[Description]],'Actuals Lookup'!D:F,3,0),Table2[[#This Row],[Manual Cat Value]])</f>
        <v>Restaurants</v>
      </c>
      <c r="G10453" t="s">
        <v>26</v>
      </c>
      <c r="I10453" s="8"/>
      <c r="O10453" t="str">
        <f>LEFT(Table2[[#This Row],[Description]],75)</f>
        <v>Crisp &amp; Green</v>
      </c>
    </row>
    <row r="10454" spans="1:15" hidden="1">
      <c r="A10454">
        <v>202311</v>
      </c>
      <c r="B10454" s="6">
        <v>45252</v>
      </c>
      <c r="C10454" t="s">
        <v>4221</v>
      </c>
      <c r="D10454" t="s">
        <v>1068</v>
      </c>
      <c r="E10454">
        <v>52</v>
      </c>
      <c r="F10454" s="2" t="str">
        <f>IF(Table2[[#This Row],[Manual Cat Value]]="",VLOOKUP(Table2[[#This Row],[Description]],'Actuals Lookup'!D:F,3,0),Table2[[#This Row],[Manual Cat Value]])</f>
        <v>Exp - Misc</v>
      </c>
      <c r="H10454" s="8" t="s">
        <v>46</v>
      </c>
      <c r="I10454" s="8"/>
      <c r="O10454" t="str">
        <f>LEFT(Table2[[#This Row],[Description]],75)</f>
        <v>Kids Hair</v>
      </c>
    </row>
    <row r="10455" spans="1:15" hidden="1">
      <c r="A10455">
        <v>202311</v>
      </c>
      <c r="B10455" s="6">
        <v>45252</v>
      </c>
      <c r="C10455" t="s">
        <v>5013</v>
      </c>
      <c r="D10455" t="s">
        <v>1083</v>
      </c>
      <c r="E10455">
        <v>82.92</v>
      </c>
      <c r="F10455" s="2" t="str">
        <f>IF(Table2[[#This Row],[Manual Cat Value]]="",VLOOKUP(Table2[[#This Row],[Description]],'Actuals Lookup'!D:F,3,0),Table2[[#This Row],[Manual Cat Value]])</f>
        <v>Transportation</v>
      </c>
      <c r="G10455" t="s">
        <v>23</v>
      </c>
      <c r="I10455" s="8"/>
      <c r="O10455" t="str">
        <f>LEFT(Table2[[#This Row],[Description]],75)</f>
        <v>Kwik Trip</v>
      </c>
    </row>
    <row r="10456" spans="1:15" hidden="1">
      <c r="A10456">
        <v>202311</v>
      </c>
      <c r="B10456" s="6">
        <v>45252</v>
      </c>
      <c r="C10456" t="s">
        <v>4194</v>
      </c>
      <c r="D10456" t="s">
        <v>5051</v>
      </c>
      <c r="E10456">
        <v>24.72</v>
      </c>
      <c r="F10456" s="2" t="str">
        <f>IF(Table2[[#This Row],[Manual Cat Value]]="",VLOOKUP(Table2[[#This Row],[Description]],'Actuals Lookup'!D:F,3,0),Table2[[#This Row],[Manual Cat Value]])</f>
        <v>Exp - Groceries</v>
      </c>
      <c r="H10456" s="8" t="s">
        <v>27</v>
      </c>
      <c r="I10456" s="8"/>
      <c r="O10456" t="str">
        <f>LEFT(Table2[[#This Row],[Description]],75)</f>
        <v>MCW 1602-MINNETONKA XX8113 MN REF #XX7105A5VALG8WLJ</v>
      </c>
    </row>
    <row r="10457" spans="1:15" hidden="1">
      <c r="A10457">
        <v>202311</v>
      </c>
      <c r="B10457" s="6">
        <v>45252</v>
      </c>
      <c r="C10457" t="s">
        <v>5013</v>
      </c>
      <c r="D10457" t="s">
        <v>5052</v>
      </c>
      <c r="E10457">
        <v>16</v>
      </c>
      <c r="F10457" s="2" t="str">
        <f>IF(Table2[[#This Row],[Manual Cat Value]]="",VLOOKUP(Table2[[#This Row],[Description]],'Actuals Lookup'!D:F,3,0),Table2[[#This Row],[Manual Cat Value]])</f>
        <v>Travel</v>
      </c>
      <c r="G10457" t="s">
        <v>43</v>
      </c>
      <c r="I10457" s="8"/>
      <c r="O10457" t="str">
        <f>LEFT(Table2[[#This Row],[Description]],75)</f>
        <v>Ramp C Ecomm Xxxxxxxxxx-xxx7275 Mn</v>
      </c>
    </row>
    <row r="10458" spans="1:15" hidden="1">
      <c r="A10458">
        <v>202311</v>
      </c>
      <c r="B10458" s="6">
        <v>45252</v>
      </c>
      <c r="C10458" t="s">
        <v>5013</v>
      </c>
      <c r="D10458" t="s">
        <v>5053</v>
      </c>
      <c r="E10458">
        <v>43.22</v>
      </c>
      <c r="F10458" s="2" t="str">
        <f>IF(Table2[[#This Row],[Manual Cat Value]]="",VLOOKUP(Table2[[#This Row],[Description]],'Actuals Lookup'!D:F,3,0),Table2[[#This Row],[Manual Cat Value]])</f>
        <v>Restaurants</v>
      </c>
      <c r="G10458" t="s">
        <v>26</v>
      </c>
      <c r="I10458" s="8"/>
      <c r="O10458" t="str">
        <f>LEFT(Table2[[#This Row],[Description]],75)</f>
        <v>Test Kitchen</v>
      </c>
    </row>
    <row r="10459" spans="1:15" hidden="1">
      <c r="A10459">
        <v>202311</v>
      </c>
      <c r="B10459" s="6">
        <v>45252</v>
      </c>
      <c r="C10459" t="s">
        <v>5013</v>
      </c>
      <c r="D10459" t="s">
        <v>5054</v>
      </c>
      <c r="E10459">
        <v>21.59</v>
      </c>
      <c r="F10459" s="2" t="str">
        <f>IF(Table2[[#This Row],[Manual Cat Value]]="",VLOOKUP(Table2[[#This Row],[Description]],'Actuals Lookup'!D:F,3,0),Table2[[#This Row],[Manual Cat Value]])</f>
        <v>Restaurants</v>
      </c>
      <c r="G10459" t="s">
        <v>26</v>
      </c>
      <c r="I10459" s="8"/>
      <c r="O10459" t="str">
        <f>LEFT(Table2[[#This Row],[Description]],75)</f>
        <v>Tst* Two Mixed Up Llminneapolis Mn</v>
      </c>
    </row>
    <row r="10460" spans="1:15" hidden="1">
      <c r="A10460">
        <v>202311</v>
      </c>
      <c r="B10460" s="6">
        <v>45252</v>
      </c>
      <c r="C10460" t="s">
        <v>4237</v>
      </c>
      <c r="D10460" t="s">
        <v>5055</v>
      </c>
      <c r="E10460">
        <v>7.91</v>
      </c>
      <c r="F10460" s="2" t="str">
        <f>IF(Table2[[#This Row],[Manual Cat Value]]="",VLOOKUP(Table2[[#This Row],[Description]],'Actuals Lookup'!D:F,3,0),Table2[[#This Row],[Manual Cat Value]])</f>
        <v>Exp - Restaurants</v>
      </c>
      <c r="H10460" s="8" t="s">
        <v>25</v>
      </c>
      <c r="I10460" s="8"/>
      <c r="O10460" t="str">
        <f>LEFT(Table2[[#This Row],[Description]],75)</f>
        <v>WAYZATA CAFE WAYZATA MN REF #XX4300A6W5V6ZH4K</v>
      </c>
    </row>
    <row r="10461" spans="1:15" hidden="1">
      <c r="A10461">
        <v>202311</v>
      </c>
      <c r="B10461" s="6">
        <v>45253</v>
      </c>
      <c r="C10461" t="s">
        <v>4223</v>
      </c>
      <c r="D10461" t="s">
        <v>38</v>
      </c>
      <c r="E10461">
        <v>119.2</v>
      </c>
      <c r="F10461" s="2" t="str">
        <f>IF(Table2[[#This Row],[Manual Cat Value]]="",VLOOKUP(Table2[[#This Row],[Description]],'Actuals Lookup'!D:F,3,0),Table2[[#This Row],[Manual Cat Value]])</f>
        <v>Exp - Amazon</v>
      </c>
      <c r="H10461" s="8" t="s">
        <v>37</v>
      </c>
      <c r="I10461" s="8"/>
      <c r="O10461" t="str">
        <f>LEFT(Table2[[#This Row],[Description]],75)</f>
        <v>Amazon</v>
      </c>
    </row>
    <row r="10462" spans="1:15" hidden="1">
      <c r="A10462">
        <v>202311</v>
      </c>
      <c r="B10462" s="6">
        <v>45253</v>
      </c>
      <c r="C10462" t="s">
        <v>2519</v>
      </c>
      <c r="D10462" t="s">
        <v>404</v>
      </c>
      <c r="E10462">
        <v>-3594.81</v>
      </c>
      <c r="F10462" s="2" t="str">
        <f>IF(Table2[[#This Row],[Manual Cat Value]]="",VLOOKUP(Table2[[#This Row],[Description]],'Actuals Lookup'!D:F,3,0),Table2[[#This Row],[Manual Cat Value]])</f>
        <v>Inc - Britney</v>
      </c>
      <c r="H10462" s="8" t="s">
        <v>65</v>
      </c>
      <c r="I10462" s="8"/>
      <c r="O10462" t="str">
        <f>LEFT(Table2[[#This Row],[Description]],75)</f>
        <v>Cargill Inc Deposit</v>
      </c>
    </row>
    <row r="10463" spans="1:15" hidden="1">
      <c r="A10463">
        <v>202311</v>
      </c>
      <c r="B10463" s="6">
        <v>45253</v>
      </c>
      <c r="C10463" t="s">
        <v>5013</v>
      </c>
      <c r="D10463" t="s">
        <v>684</v>
      </c>
      <c r="E10463">
        <v>9.15</v>
      </c>
      <c r="F10463" s="2" t="str">
        <f>IF(Table2[[#This Row],[Manual Cat Value]]="",VLOOKUP(Table2[[#This Row],[Description]],'Actuals Lookup'!D:F,3,0),Table2[[#This Row],[Manual Cat Value]])</f>
        <v>Groceries</v>
      </c>
      <c r="G10463" t="s">
        <v>28</v>
      </c>
      <c r="I10463" s="8"/>
      <c r="O10463" t="str">
        <f>LEFT(Table2[[#This Row],[Description]],75)</f>
        <v>Cub Foods</v>
      </c>
    </row>
    <row r="10464" spans="1:15" hidden="1">
      <c r="A10464">
        <v>202311</v>
      </c>
      <c r="B10464" s="6">
        <v>45253</v>
      </c>
      <c r="C10464" t="s">
        <v>5013</v>
      </c>
      <c r="D10464" t="s">
        <v>1707</v>
      </c>
      <c r="E10464">
        <v>49.03</v>
      </c>
      <c r="F10464" s="2" t="str">
        <f>IF(Table2[[#This Row],[Manual Cat Value]]="",VLOOKUP(Table2[[#This Row],[Description]],'Actuals Lookup'!D:F,3,0),Table2[[#This Row],[Manual Cat Value]])</f>
        <v>Transportation</v>
      </c>
      <c r="G10464" t="s">
        <v>23</v>
      </c>
      <c r="I10464" s="8"/>
      <c r="O10464" t="str">
        <f>LEFT(Table2[[#This Row],[Description]],75)</f>
        <v>Speedway</v>
      </c>
    </row>
    <row r="10465" spans="1:15" hidden="1">
      <c r="A10465">
        <v>202311</v>
      </c>
      <c r="B10465" s="6">
        <v>45253</v>
      </c>
      <c r="C10465" t="s">
        <v>4227</v>
      </c>
      <c r="D10465" t="s">
        <v>2101</v>
      </c>
      <c r="E10465">
        <v>52.8</v>
      </c>
      <c r="F10465" s="2" t="str">
        <f>IF(Table2[[#This Row],[Manual Cat Value]]="",VLOOKUP(Table2[[#This Row],[Description]],'Actuals Lookup'!D:F,3,0),Table2[[#This Row],[Manual Cat Value]])</f>
        <v>Exp - Misc</v>
      </c>
      <c r="H10465" s="8" t="s">
        <v>46</v>
      </c>
      <c r="I10465" s="8"/>
      <c r="O10465" t="str">
        <f>LEFT(Table2[[#This Row],[Description]],75)</f>
        <v>USPS</v>
      </c>
    </row>
    <row r="10466" spans="1:15" hidden="1">
      <c r="A10466">
        <v>202311</v>
      </c>
      <c r="B10466" s="6">
        <v>45254</v>
      </c>
      <c r="C10466" t="s">
        <v>3932</v>
      </c>
      <c r="D10466" t="s">
        <v>113</v>
      </c>
      <c r="E10466">
        <v>-10.83</v>
      </c>
      <c r="F10466" s="2" t="str">
        <f>IF(Table2[[#This Row],[Manual Cat Value]]="",VLOOKUP(Table2[[#This Row],[Description]],'Actuals Lookup'!D:F,3,0),Table2[[#This Row],[Manual Cat Value]])</f>
        <v>Exp - Amazon</v>
      </c>
      <c r="G10466" t="s">
        <v>41</v>
      </c>
      <c r="H10466" s="8" t="s">
        <v>37</v>
      </c>
      <c r="I10466" s="8"/>
      <c r="O10466" t="str">
        <f>LEFT(Table2[[#This Row],[Description]],75)</f>
        <v>Amazon Marketplace</v>
      </c>
    </row>
    <row r="10467" spans="1:15" hidden="1">
      <c r="A10467">
        <v>202311</v>
      </c>
      <c r="B10467" s="6">
        <v>45254</v>
      </c>
      <c r="C10467" t="s">
        <v>3932</v>
      </c>
      <c r="D10467" t="s">
        <v>113</v>
      </c>
      <c r="E10467">
        <v>-18.41</v>
      </c>
      <c r="F10467" s="2" t="str">
        <f>IF(Table2[[#This Row],[Manual Cat Value]]="",VLOOKUP(Table2[[#This Row],[Description]],'Actuals Lookup'!D:F,3,0),Table2[[#This Row],[Manual Cat Value]])</f>
        <v>Exp - Amazon</v>
      </c>
      <c r="G10467" t="s">
        <v>41</v>
      </c>
      <c r="H10467" s="8" t="s">
        <v>37</v>
      </c>
      <c r="I10467" s="8"/>
      <c r="O10467" t="str">
        <f>LEFT(Table2[[#This Row],[Description]],75)</f>
        <v>Amazon Marketplace</v>
      </c>
    </row>
    <row r="10468" spans="1:15" hidden="1">
      <c r="A10468">
        <v>202311</v>
      </c>
      <c r="B10468" s="6">
        <v>45254</v>
      </c>
      <c r="C10468" t="s">
        <v>3932</v>
      </c>
      <c r="D10468" t="s">
        <v>113</v>
      </c>
      <c r="E10468">
        <v>-33.15</v>
      </c>
      <c r="F10468" s="2" t="str">
        <f>IF(Table2[[#This Row],[Manual Cat Value]]="",VLOOKUP(Table2[[#This Row],[Description]],'Actuals Lookup'!D:F,3,0),Table2[[#This Row],[Manual Cat Value]])</f>
        <v>Exp - Amazon</v>
      </c>
      <c r="G10468" t="s">
        <v>41</v>
      </c>
      <c r="H10468" s="8" t="s">
        <v>37</v>
      </c>
      <c r="I10468" s="8"/>
      <c r="O10468" t="str">
        <f>LEFT(Table2[[#This Row],[Description]],75)</f>
        <v>Amazon Marketplace</v>
      </c>
    </row>
    <row r="10469" spans="1:15" hidden="1">
      <c r="A10469">
        <v>202311</v>
      </c>
      <c r="B10469" s="6">
        <v>45254</v>
      </c>
      <c r="C10469" t="s">
        <v>3932</v>
      </c>
      <c r="D10469" t="s">
        <v>5056</v>
      </c>
      <c r="E10469">
        <v>420</v>
      </c>
      <c r="F10469" s="2" t="str">
        <f>IF(Table2[[#This Row],[Manual Cat Value]]="",VLOOKUP(Table2[[#This Row],[Description]],'Actuals Lookup'!D:F,3,0),Table2[[#This Row],[Manual Cat Value]])</f>
        <v>Shopping</v>
      </c>
      <c r="G10469" t="s">
        <v>21</v>
      </c>
      <c r="I10469" s="8"/>
      <c r="O10469" t="str">
        <f>LEFT(Table2[[#This Row],[Description]],75)</f>
        <v>Sp Indyeva Canada Dev Xxxxxx4802 Can Apple Pay Ending In 7968</v>
      </c>
    </row>
    <row r="10470" spans="1:15" hidden="1">
      <c r="A10470">
        <v>202311</v>
      </c>
      <c r="B10470" s="6">
        <v>45254</v>
      </c>
      <c r="C10470" t="s">
        <v>2519</v>
      </c>
      <c r="D10470" t="s">
        <v>1958</v>
      </c>
      <c r="E10470">
        <v>125</v>
      </c>
      <c r="F10470" s="2" t="str">
        <f>IF(Table2[[#This Row],[Manual Cat Value]]="",VLOOKUP(Table2[[#This Row],[Description]],'Actuals Lookup'!D:F,3,0),Table2[[#This Row],[Manual Cat Value]])</f>
        <v>Exp - Shopping</v>
      </c>
      <c r="H10470" s="8" t="s">
        <v>36</v>
      </c>
      <c r="I10470" s="8"/>
      <c r="O10470" t="str">
        <f>LEFT(Table2[[#This Row],[Description]],75)</f>
        <v>Transfer to Venmo</v>
      </c>
    </row>
    <row r="10471" spans="1:15" hidden="1">
      <c r="A10471">
        <v>202311</v>
      </c>
      <c r="B10471" s="6">
        <v>45254</v>
      </c>
      <c r="C10471" t="s">
        <v>2519</v>
      </c>
      <c r="D10471" t="s">
        <v>1958</v>
      </c>
      <c r="E10471">
        <v>80</v>
      </c>
      <c r="F10471" s="2" t="str">
        <f>IF(Table2[[#This Row],[Manual Cat Value]]="",VLOOKUP(Table2[[#This Row],[Description]],'Actuals Lookup'!D:F,3,0),Table2[[#This Row],[Manual Cat Value]])</f>
        <v>Exp - Shopping</v>
      </c>
      <c r="H10471" s="8" t="s">
        <v>36</v>
      </c>
      <c r="I10471" s="8"/>
      <c r="O10471" t="str">
        <f>LEFT(Table2[[#This Row],[Description]],75)</f>
        <v>Transfer to Venmo</v>
      </c>
    </row>
    <row r="10472" spans="1:15" hidden="1">
      <c r="A10472">
        <v>202311</v>
      </c>
      <c r="B10472" s="6">
        <v>45254</v>
      </c>
      <c r="C10472" t="s">
        <v>5013</v>
      </c>
      <c r="D10472" t="s">
        <v>5057</v>
      </c>
      <c r="E10472">
        <v>124.63</v>
      </c>
      <c r="F10472" s="2" t="str">
        <f>IF(Table2[[#This Row],[Manual Cat Value]]="",VLOOKUP(Table2[[#This Row],[Description]],'Actuals Lookup'!D:F,3,0),Table2[[#This Row],[Manual Cat Value]])</f>
        <v>Exp - Gifts</v>
      </c>
      <c r="G10472" t="s">
        <v>4840</v>
      </c>
      <c r="H10472" s="8" t="s">
        <v>44</v>
      </c>
      <c r="I10472" s="8"/>
      <c r="O10472" t="str">
        <f>LEFT(Table2[[#This Row],[Description]],75)</f>
        <v>Williams-sonoma</v>
      </c>
    </row>
    <row r="10473" spans="1:15" hidden="1">
      <c r="A10473">
        <v>202311</v>
      </c>
      <c r="B10473" s="6">
        <v>45255</v>
      </c>
      <c r="C10473" t="s">
        <v>3932</v>
      </c>
      <c r="D10473" t="s">
        <v>38</v>
      </c>
      <c r="E10473">
        <v>7.91</v>
      </c>
      <c r="F10473" s="2" t="str">
        <f>IF(Table2[[#This Row],[Manual Cat Value]]="",VLOOKUP(Table2[[#This Row],[Description]],'Actuals Lookup'!D:F,3,0),Table2[[#This Row],[Manual Cat Value]])</f>
        <v>Exp - Amazon</v>
      </c>
      <c r="G10473" t="s">
        <v>41</v>
      </c>
      <c r="H10473" s="8" t="s">
        <v>37</v>
      </c>
      <c r="I10473" s="8"/>
      <c r="O10473" t="str">
        <f>LEFT(Table2[[#This Row],[Description]],75)</f>
        <v>Amazon</v>
      </c>
    </row>
    <row r="10474" spans="1:15" hidden="1">
      <c r="A10474">
        <v>202311</v>
      </c>
      <c r="B10474" s="6">
        <v>45255</v>
      </c>
      <c r="C10474" t="s">
        <v>5013</v>
      </c>
      <c r="D10474" t="s">
        <v>5058</v>
      </c>
      <c r="E10474">
        <v>69.87</v>
      </c>
      <c r="F10474" s="2" t="str">
        <f>IF(Table2[[#This Row],[Manual Cat Value]]="",VLOOKUP(Table2[[#This Row],[Description]],'Actuals Lookup'!D:F,3,0),Table2[[#This Row],[Manual Cat Value]])</f>
        <v>Exp - Restaurants</v>
      </c>
      <c r="G10474" t="s">
        <v>62</v>
      </c>
      <c r="H10474" s="8" t="s">
        <v>25</v>
      </c>
      <c r="I10474" s="8"/>
      <c r="O10474" t="str">
        <f>LEFT(Table2[[#This Row],[Description]],75)</f>
        <v>Amk</v>
      </c>
    </row>
    <row r="10475" spans="1:15" hidden="1">
      <c r="A10475">
        <v>202311</v>
      </c>
      <c r="B10475" s="6">
        <v>45255</v>
      </c>
      <c r="C10475" t="s">
        <v>5013</v>
      </c>
      <c r="D10475" t="s">
        <v>5058</v>
      </c>
      <c r="E10475">
        <v>59.12</v>
      </c>
      <c r="F10475" s="2" t="str">
        <f>IF(Table2[[#This Row],[Manual Cat Value]]="",VLOOKUP(Table2[[#This Row],[Description]],'Actuals Lookup'!D:F,3,0),Table2[[#This Row],[Manual Cat Value]])</f>
        <v>Exp - Restaurants</v>
      </c>
      <c r="G10475" t="s">
        <v>62</v>
      </c>
      <c r="H10475" s="8" t="s">
        <v>25</v>
      </c>
      <c r="I10475" s="8"/>
      <c r="O10475" t="str">
        <f>LEFT(Table2[[#This Row],[Description]],75)</f>
        <v>Amk</v>
      </c>
    </row>
    <row r="10476" spans="1:15" hidden="1">
      <c r="A10476">
        <v>202311</v>
      </c>
      <c r="B10476" s="6">
        <v>45255</v>
      </c>
      <c r="C10476" t="s">
        <v>5013</v>
      </c>
      <c r="D10476" t="s">
        <v>5059</v>
      </c>
      <c r="E10476">
        <v>528.20000000000005</v>
      </c>
      <c r="F10476" s="2" t="str">
        <f>IF(Table2[[#This Row],[Manual Cat Value]]="",VLOOKUP(Table2[[#This Row],[Description]],'Actuals Lookup'!D:F,3,0),Table2[[#This Row],[Manual Cat Value]])</f>
        <v>Exp - Shopping</v>
      </c>
      <c r="G10476" t="s">
        <v>26</v>
      </c>
      <c r="H10476" s="8" t="s">
        <v>36</v>
      </c>
      <c r="I10476" s="8"/>
      <c r="O10476" t="str">
        <f>LEFT(Table2[[#This Row],[Description]],75)</f>
        <v>Aplpay The Burton Coburlington Vt</v>
      </c>
    </row>
    <row r="10477" spans="1:15" hidden="1">
      <c r="A10477">
        <v>202311</v>
      </c>
      <c r="B10477" s="6">
        <v>45255</v>
      </c>
      <c r="C10477" t="s">
        <v>5013</v>
      </c>
      <c r="D10477" t="s">
        <v>5060</v>
      </c>
      <c r="E10477">
        <v>70.290000000000006</v>
      </c>
      <c r="F10477" s="2" t="str">
        <f>IF(Table2[[#This Row],[Manual Cat Value]]="",VLOOKUP(Table2[[#This Row],[Description]],'Actuals Lookup'!D:F,3,0),Table2[[#This Row],[Manual Cat Value]])</f>
        <v>Restaurants</v>
      </c>
      <c r="G10477" t="s">
        <v>26</v>
      </c>
      <c r="I10477" s="8"/>
      <c r="O10477" t="str">
        <f>LEFT(Table2[[#This Row],[Description]],75)</f>
        <v>Black Sheep</v>
      </c>
    </row>
    <row r="10478" spans="1:15" hidden="1">
      <c r="A10478">
        <v>202311</v>
      </c>
      <c r="B10478" s="6">
        <v>45255</v>
      </c>
      <c r="C10478" t="s">
        <v>5013</v>
      </c>
      <c r="D10478" t="s">
        <v>5061</v>
      </c>
      <c r="E10478">
        <v>1213.8800000000001</v>
      </c>
      <c r="F10478" s="2" t="str">
        <f>IF(Table2[[#This Row],[Manual Cat Value]]="",VLOOKUP(Table2[[#This Row],[Description]],'Actuals Lookup'!D:F,3,0),Table2[[#This Row],[Manual Cat Value]])</f>
        <v>Exp - Shopping</v>
      </c>
      <c r="G10478" t="s">
        <v>35</v>
      </c>
      <c r="H10478" s="8" t="s">
        <v>36</v>
      </c>
      <c r="I10478" s="8"/>
      <c r="O10478" t="str">
        <f>LEFT(Table2[[#This Row],[Description]],75)</f>
        <v>The Burton Corporatiburlington Vt</v>
      </c>
    </row>
    <row r="10479" spans="1:15" hidden="1">
      <c r="A10479">
        <v>202311</v>
      </c>
      <c r="B10479" s="6">
        <v>45255</v>
      </c>
      <c r="C10479" t="s">
        <v>2519</v>
      </c>
      <c r="D10479" t="s">
        <v>4293</v>
      </c>
      <c r="E10479">
        <v>2025.62</v>
      </c>
      <c r="F10479" s="2" t="str">
        <f>IF(Table2[[#This Row],[Manual Cat Value]]="",VLOOKUP(Table2[[#This Row],[Description]],'Actuals Lookup'!D:F,3,0),Table2[[#This Row],[Manual Cat Value]])</f>
        <v>Delete</v>
      </c>
      <c r="H10479" s="8" t="s">
        <v>9</v>
      </c>
      <c r="I10479" s="8"/>
      <c r="O10479" t="str">
        <f>LEFT(Table2[[#This Row],[Description]],75)</f>
        <v>Withdrawal Home Banking Pmt to card XX5913</v>
      </c>
    </row>
    <row r="10480" spans="1:15" hidden="1">
      <c r="A10480">
        <v>202311</v>
      </c>
      <c r="B10480" s="6">
        <v>45255</v>
      </c>
      <c r="C10480" t="s">
        <v>4229</v>
      </c>
      <c r="D10480" t="s">
        <v>673</v>
      </c>
      <c r="E10480">
        <v>-2025.62</v>
      </c>
      <c r="F10480" s="2" t="str">
        <f>IF(Table2[[#This Row],[Manual Cat Value]]="",VLOOKUP(Table2[[#This Row],[Description]],'Actuals Lookup'!D:F,3,0),Table2[[#This Row],[Manual Cat Value]])</f>
        <v>Delete</v>
      </c>
      <c r="H10480" s="8" t="s">
        <v>9</v>
      </c>
      <c r="I10480" s="8"/>
      <c r="O10480" t="str">
        <f>LEFT(Table2[[#This Row],[Description]],75)</f>
        <v>Credit Card Payment Received</v>
      </c>
    </row>
    <row r="10481" spans="1:15" hidden="1">
      <c r="A10481">
        <v>202311</v>
      </c>
      <c r="B10481" s="6">
        <v>45255</v>
      </c>
      <c r="C10481" t="s">
        <v>3932</v>
      </c>
      <c r="D10481" t="s">
        <v>3988</v>
      </c>
      <c r="E10481">
        <v>-620.49</v>
      </c>
      <c r="F10481" s="2" t="str">
        <f>IF(Table2[[#This Row],[Manual Cat Value]]="",VLOOKUP(Table2[[#This Row],[Description]],'Actuals Lookup'!D:F,3,0),Table2[[#This Row],[Manual Cat Value]])</f>
        <v>Delete</v>
      </c>
      <c r="G10481" t="s">
        <v>8</v>
      </c>
      <c r="I10481" s="8"/>
      <c r="O10481" t="str">
        <f>LEFT(Table2[[#This Row],[Description]],75)</f>
        <v>Internet Payment - Thank You</v>
      </c>
    </row>
    <row r="10482" spans="1:15" hidden="1">
      <c r="A10482">
        <v>202311</v>
      </c>
      <c r="B10482" s="6">
        <v>45255</v>
      </c>
      <c r="C10482" t="s">
        <v>5013</v>
      </c>
      <c r="D10482" t="s">
        <v>4240</v>
      </c>
      <c r="E10482">
        <v>-3198.34</v>
      </c>
      <c r="F10482" s="2" t="str">
        <f>IF(Table2[[#This Row],[Manual Cat Value]]="",VLOOKUP(Table2[[#This Row],[Description]],'Actuals Lookup'!D:F,3,0),Table2[[#This Row],[Manual Cat Value]])</f>
        <v>Delete</v>
      </c>
      <c r="G10482" t="s">
        <v>9</v>
      </c>
      <c r="H10482" s="8" t="s">
        <v>9</v>
      </c>
      <c r="I10482" s="8"/>
      <c r="O10482" t="str">
        <f>LEFT(Table2[[#This Row],[Description]],75)</f>
        <v>Mobile Payment - Thank You</v>
      </c>
    </row>
    <row r="10483" spans="1:15" hidden="1">
      <c r="A10483">
        <v>202311</v>
      </c>
      <c r="B10483" s="6">
        <v>45256</v>
      </c>
      <c r="C10483" t="s">
        <v>3938</v>
      </c>
      <c r="D10483" t="s">
        <v>38</v>
      </c>
      <c r="E10483">
        <v>11.26</v>
      </c>
      <c r="F10483" s="2" t="str">
        <f>IF(Table2[[#This Row],[Manual Cat Value]]="",VLOOKUP(Table2[[#This Row],[Description]],'Actuals Lookup'!D:F,3,0),Table2[[#This Row],[Manual Cat Value]])</f>
        <v>Exp - Amazon</v>
      </c>
      <c r="H10483" s="8" t="s">
        <v>37</v>
      </c>
      <c r="I10483" s="8"/>
      <c r="O10483" t="str">
        <f>LEFT(Table2[[#This Row],[Description]],75)</f>
        <v>Amazon</v>
      </c>
    </row>
    <row r="10484" spans="1:15" hidden="1">
      <c r="A10484">
        <v>202311</v>
      </c>
      <c r="B10484" s="6">
        <v>45256</v>
      </c>
      <c r="C10484" t="s">
        <v>3932</v>
      </c>
      <c r="D10484" t="s">
        <v>38</v>
      </c>
      <c r="E10484">
        <v>17.329999999999998</v>
      </c>
      <c r="F10484" s="2" t="str">
        <f>IF(Table2[[#This Row],[Manual Cat Value]]="",VLOOKUP(Table2[[#This Row],[Description]],'Actuals Lookup'!D:F,3,0),Table2[[#This Row],[Manual Cat Value]])</f>
        <v>Exp - Amazon</v>
      </c>
      <c r="G10484" t="s">
        <v>41</v>
      </c>
      <c r="H10484" s="8" t="s">
        <v>37</v>
      </c>
      <c r="I10484" s="8"/>
      <c r="O10484" t="str">
        <f>LEFT(Table2[[#This Row],[Description]],75)</f>
        <v>Amazon</v>
      </c>
    </row>
    <row r="10485" spans="1:15" hidden="1">
      <c r="A10485">
        <v>202311</v>
      </c>
      <c r="B10485" s="6">
        <v>45256</v>
      </c>
      <c r="C10485" t="s">
        <v>4231</v>
      </c>
      <c r="D10485" t="s">
        <v>161</v>
      </c>
      <c r="E10485">
        <v>93.2</v>
      </c>
      <c r="F10485" s="2" t="str">
        <f>IF(Table2[[#This Row],[Manual Cat Value]]="",VLOOKUP(Table2[[#This Row],[Description]],'Actuals Lookup'!D:F,3,0),Table2[[#This Row],[Manual Cat Value]])</f>
        <v>Exp - Shopping</v>
      </c>
      <c r="H10485" s="8" t="s">
        <v>36</v>
      </c>
      <c r="I10485" s="8"/>
      <c r="O10485" t="str">
        <f>LEFT(Table2[[#This Row],[Description]],75)</f>
        <v>Anthropologie</v>
      </c>
    </row>
    <row r="10486" spans="1:15" hidden="1">
      <c r="A10486">
        <v>202311</v>
      </c>
      <c r="B10486" s="6">
        <v>45256</v>
      </c>
      <c r="C10486" t="s">
        <v>4218</v>
      </c>
      <c r="D10486" t="s">
        <v>161</v>
      </c>
      <c r="E10486">
        <v>106.24</v>
      </c>
      <c r="F10486" s="2" t="str">
        <f>IF(Table2[[#This Row],[Manual Cat Value]]="",VLOOKUP(Table2[[#This Row],[Description]],'Actuals Lookup'!D:F,3,0),Table2[[#This Row],[Manual Cat Value]])</f>
        <v>Exp - Shopping</v>
      </c>
      <c r="H10486" s="8" t="s">
        <v>36</v>
      </c>
      <c r="I10486" s="8"/>
      <c r="O10486" t="str">
        <f>LEFT(Table2[[#This Row],[Description]],75)</f>
        <v>Anthropologie</v>
      </c>
    </row>
    <row r="10487" spans="1:15" hidden="1">
      <c r="A10487">
        <v>202311</v>
      </c>
      <c r="B10487" s="6">
        <v>45256</v>
      </c>
      <c r="C10487" t="s">
        <v>4216</v>
      </c>
      <c r="D10487" t="s">
        <v>161</v>
      </c>
      <c r="E10487">
        <v>187.6</v>
      </c>
      <c r="F10487" s="2" t="str">
        <f>IF(Table2[[#This Row],[Manual Cat Value]]="",VLOOKUP(Table2[[#This Row],[Description]],'Actuals Lookup'!D:F,3,0),Table2[[#This Row],[Manual Cat Value]])</f>
        <v>Exp - Shopping</v>
      </c>
      <c r="H10487" s="8" t="s">
        <v>36</v>
      </c>
      <c r="I10487" s="8"/>
      <c r="O10487" t="str">
        <f>LEFT(Table2[[#This Row],[Description]],75)</f>
        <v>Anthropologie</v>
      </c>
    </row>
    <row r="10488" spans="1:15" hidden="1">
      <c r="A10488">
        <v>202311</v>
      </c>
      <c r="B10488" s="6">
        <v>45256</v>
      </c>
      <c r="C10488" t="s">
        <v>5013</v>
      </c>
      <c r="D10488" t="s">
        <v>5062</v>
      </c>
      <c r="E10488">
        <v>3.75</v>
      </c>
      <c r="F10488" s="2" t="str">
        <f>IF(Table2[[#This Row],[Manual Cat Value]]="",VLOOKUP(Table2[[#This Row],[Description]],'Actuals Lookup'!D:F,3,0),Table2[[#This Row],[Manual Cat Value]])</f>
        <v>Exp - Transportation</v>
      </c>
      <c r="G10488" t="s">
        <v>41</v>
      </c>
      <c r="H10488" s="8" t="s">
        <v>22</v>
      </c>
      <c r="I10488" s="8"/>
      <c r="O10488" t="str">
        <f>LEFT(Table2[[#This Row],[Description]],75)</f>
        <v>Aplpay Onstreet 8090minneapolis Mn</v>
      </c>
    </row>
    <row r="10489" spans="1:15" hidden="1">
      <c r="A10489">
        <v>202311</v>
      </c>
      <c r="B10489" s="6">
        <v>45256</v>
      </c>
      <c r="C10489" t="s">
        <v>5013</v>
      </c>
      <c r="D10489" t="s">
        <v>5063</v>
      </c>
      <c r="E10489">
        <v>7.35</v>
      </c>
      <c r="F10489" s="2" t="str">
        <f>IF(Table2[[#This Row],[Manual Cat Value]]="",VLOOKUP(Table2[[#This Row],[Description]],'Actuals Lookup'!D:F,3,0),Table2[[#This Row],[Manual Cat Value]])</f>
        <v>Exp - Transportation</v>
      </c>
      <c r="G10489" t="s">
        <v>5064</v>
      </c>
      <c r="H10489" s="8" t="s">
        <v>22</v>
      </c>
      <c r="I10489" s="8"/>
      <c r="O10489" t="str">
        <f>LEFT(Table2[[#This Row],[Description]],75)</f>
        <v>Aplpay Premium Parkinew Orleans La</v>
      </c>
    </row>
    <row r="10490" spans="1:15" hidden="1">
      <c r="A10490">
        <v>202311</v>
      </c>
      <c r="B10490" s="6">
        <v>45256</v>
      </c>
      <c r="C10490" t="s">
        <v>4233</v>
      </c>
      <c r="D10490" t="s">
        <v>5065</v>
      </c>
      <c r="E10490">
        <v>64.010000000000005</v>
      </c>
      <c r="F10490" s="2" t="str">
        <f>IF(Table2[[#This Row],[Manual Cat Value]]="",VLOOKUP(Table2[[#This Row],[Description]],'Actuals Lookup'!D:F,3,0),Table2[[#This Row],[Manual Cat Value]])</f>
        <v>Exp - Restaurants</v>
      </c>
      <c r="H10490" s="8" t="s">
        <v>25</v>
      </c>
      <c r="I10490" s="8"/>
      <c r="O10490" t="str">
        <f>LEFT(Table2[[#This Row],[Description]],75)</f>
        <v>BLVDKITCHE* BLVD KITCH BLVDKITCHEN.CMA REF #XX9216AA0003N96Q</v>
      </c>
    </row>
    <row r="10491" spans="1:15" hidden="1">
      <c r="A10491">
        <v>202311</v>
      </c>
      <c r="B10491" s="6">
        <v>45256</v>
      </c>
      <c r="C10491" t="s">
        <v>5013</v>
      </c>
      <c r="D10491" t="s">
        <v>1347</v>
      </c>
      <c r="E10491">
        <v>97</v>
      </c>
      <c r="F10491" s="2" t="str">
        <f>IF(Table2[[#This Row],[Manual Cat Value]]="",VLOOKUP(Table2[[#This Row],[Description]],'Actuals Lookup'!D:F,3,0),Table2[[#This Row],[Manual Cat Value]])</f>
        <v>Groceries</v>
      </c>
      <c r="G10491" t="s">
        <v>28</v>
      </c>
      <c r="I10491" s="8"/>
      <c r="O10491" t="str">
        <f>LEFT(Table2[[#This Row],[Description]],75)</f>
        <v>Nespresso</v>
      </c>
    </row>
    <row r="10492" spans="1:15" hidden="1">
      <c r="A10492">
        <v>202311</v>
      </c>
      <c r="B10492" s="6">
        <v>45256</v>
      </c>
      <c r="C10492" t="s">
        <v>4235</v>
      </c>
      <c r="D10492" t="s">
        <v>1508</v>
      </c>
      <c r="E10492">
        <v>218.38</v>
      </c>
      <c r="F10492" s="2" t="str">
        <f>IF(Table2[[#This Row],[Manual Cat Value]]="",VLOOKUP(Table2[[#This Row],[Description]],'Actuals Lookup'!D:F,3,0),Table2[[#This Row],[Manual Cat Value]])</f>
        <v>Exp - Shopping</v>
      </c>
      <c r="H10492" s="8" t="s">
        <v>36</v>
      </c>
      <c r="I10492" s="8"/>
      <c r="O10492" t="str">
        <f>LEFT(Table2[[#This Row],[Description]],75)</f>
        <v>Pottery Barn</v>
      </c>
    </row>
    <row r="10493" spans="1:15" hidden="1">
      <c r="A10493">
        <v>202311</v>
      </c>
      <c r="B10493" s="6">
        <v>45256</v>
      </c>
      <c r="C10493" t="s">
        <v>5013</v>
      </c>
      <c r="D10493" t="s">
        <v>5066</v>
      </c>
      <c r="E10493">
        <v>8</v>
      </c>
      <c r="F10493" s="2" t="str">
        <f>IF(Table2[[#This Row],[Manual Cat Value]]="",VLOOKUP(Table2[[#This Row],[Description]],'Actuals Lookup'!D:F,3,0),Table2[[#This Row],[Manual Cat Value]])</f>
        <v>Shopping</v>
      </c>
      <c r="G10493" t="s">
        <v>21</v>
      </c>
      <c r="I10493" s="8"/>
      <c r="O10493" t="str">
        <f>LEFT(Table2[[#This Row],[Description]],75)</f>
        <v>Ruhland's Strudel Hasaint Paul Mn</v>
      </c>
    </row>
    <row r="10494" spans="1:15" hidden="1">
      <c r="A10494">
        <v>202311</v>
      </c>
      <c r="B10494" s="6">
        <v>45256</v>
      </c>
      <c r="C10494" t="s">
        <v>3938</v>
      </c>
      <c r="D10494" t="s">
        <v>1849</v>
      </c>
      <c r="E10494">
        <v>843.16</v>
      </c>
      <c r="F10494" s="2" t="str">
        <f>IF(Table2[[#This Row],[Manual Cat Value]]="",VLOOKUP(Table2[[#This Row],[Description]],'Actuals Lookup'!D:F,3,0),Table2[[#This Row],[Manual Cat Value]])</f>
        <v>Exp - House Maint</v>
      </c>
      <c r="H10494" s="8" t="s">
        <v>1</v>
      </c>
      <c r="I10494" s="8"/>
      <c r="O10494" t="str">
        <f>LEFT(Table2[[#This Row],[Description]],75)</f>
        <v>The Home Depot</v>
      </c>
    </row>
    <row r="10495" spans="1:15" hidden="1">
      <c r="A10495">
        <v>202311</v>
      </c>
      <c r="B10495" s="6">
        <v>45256</v>
      </c>
      <c r="C10495" t="s">
        <v>5013</v>
      </c>
      <c r="D10495" t="s">
        <v>5067</v>
      </c>
      <c r="E10495">
        <v>111.13</v>
      </c>
      <c r="F10495" s="2" t="str">
        <f>IF(Table2[[#This Row],[Manual Cat Value]]="",VLOOKUP(Table2[[#This Row],[Description]],'Actuals Lookup'!D:F,3,0),Table2[[#This Row],[Manual Cat Value]])</f>
        <v>Restaurants</v>
      </c>
      <c r="G10495" t="s">
        <v>26</v>
      </c>
      <c r="I10495" s="8"/>
      <c r="O10495" t="str">
        <f>LEFT(Table2[[#This Row],[Description]],75)</f>
        <v>Tst* Coalition Excelexcelsior Mn</v>
      </c>
    </row>
    <row r="10496" spans="1:15" hidden="1">
      <c r="A10496">
        <v>202311</v>
      </c>
      <c r="B10496" s="6">
        <v>45256</v>
      </c>
      <c r="C10496" t="s">
        <v>5013</v>
      </c>
      <c r="D10496" t="s">
        <v>5068</v>
      </c>
      <c r="E10496">
        <v>21.81</v>
      </c>
      <c r="F10496" s="2" t="str">
        <f>IF(Table2[[#This Row],[Manual Cat Value]]="",VLOOKUP(Table2[[#This Row],[Description]],'Actuals Lookup'!D:F,3,0),Table2[[#This Row],[Manual Cat Value]])</f>
        <v>Exp - Gifts</v>
      </c>
      <c r="G10496" t="s">
        <v>5069</v>
      </c>
      <c r="H10496" s="8" t="s">
        <v>44</v>
      </c>
      <c r="I10496" s="8"/>
      <c r="O10496" t="str">
        <f>LEFT(Table2[[#This Row],[Description]],75)</f>
        <v>War Forged Printing Chanhassen Mn</v>
      </c>
    </row>
    <row r="10497" spans="1:15" hidden="1">
      <c r="A10497">
        <v>202311</v>
      </c>
      <c r="B10497" s="6">
        <v>45257</v>
      </c>
      <c r="C10497" t="s">
        <v>3932</v>
      </c>
      <c r="D10497" t="s">
        <v>38</v>
      </c>
      <c r="E10497">
        <v>81.27</v>
      </c>
      <c r="F10497" s="2" t="str">
        <f>IF(Table2[[#This Row],[Manual Cat Value]]="",VLOOKUP(Table2[[#This Row],[Description]],'Actuals Lookup'!D:F,3,0),Table2[[#This Row],[Manual Cat Value]])</f>
        <v>Exp - Amazon</v>
      </c>
      <c r="G10497" t="s">
        <v>41</v>
      </c>
      <c r="H10497" s="8" t="s">
        <v>37</v>
      </c>
      <c r="I10497" s="8"/>
      <c r="O10497" t="str">
        <f>LEFT(Table2[[#This Row],[Description]],75)</f>
        <v>Amazon</v>
      </c>
    </row>
    <row r="10498" spans="1:15" hidden="1">
      <c r="A10498">
        <v>202311</v>
      </c>
      <c r="B10498" s="6">
        <v>45257</v>
      </c>
      <c r="C10498" t="s">
        <v>5013</v>
      </c>
      <c r="D10498" t="s">
        <v>5070</v>
      </c>
      <c r="E10498">
        <v>127.5</v>
      </c>
      <c r="F10498" s="2" t="str">
        <f>IF(Table2[[#This Row],[Manual Cat Value]]="",VLOOKUP(Table2[[#This Row],[Description]],'Actuals Lookup'!D:F,3,0),Table2[[#This Row],[Manual Cat Value]])</f>
        <v>House Maintenance</v>
      </c>
      <c r="G10498" t="s">
        <v>2</v>
      </c>
      <c r="I10498" s="8"/>
      <c r="O10498" t="str">
        <f>LEFT(Table2[[#This Row],[Description]],75)</f>
        <v>Bonfe's Plumbing Heasouth Saint P Mn</v>
      </c>
    </row>
    <row r="10499" spans="1:15" hidden="1">
      <c r="A10499">
        <v>202311</v>
      </c>
      <c r="B10499" s="6">
        <v>45257</v>
      </c>
      <c r="C10499" t="s">
        <v>5013</v>
      </c>
      <c r="D10499" t="s">
        <v>5071</v>
      </c>
      <c r="E10499">
        <v>352</v>
      </c>
      <c r="F10499" s="2" t="str">
        <f>IF(Table2[[#This Row],[Manual Cat Value]]="",VLOOKUP(Table2[[#This Row],[Description]],'Actuals Lookup'!D:F,3,0),Table2[[#This Row],[Manual Cat Value]])</f>
        <v>Shopping</v>
      </c>
      <c r="G10499" t="s">
        <v>21</v>
      </c>
      <c r="I10499" s="8"/>
      <c r="O10499" t="str">
        <f>LEFT(Table2[[#This Row],[Description]],75)</f>
        <v>Jhmr Online Store Teton Village Wy</v>
      </c>
    </row>
    <row r="10500" spans="1:15" hidden="1">
      <c r="A10500">
        <v>202311</v>
      </c>
      <c r="B10500" s="6">
        <v>45257</v>
      </c>
      <c r="C10500" t="s">
        <v>5013</v>
      </c>
      <c r="D10500" t="s">
        <v>4829</v>
      </c>
      <c r="E10500">
        <v>5</v>
      </c>
      <c r="F10500" s="2" t="str">
        <f>IF(Table2[[#This Row],[Manual Cat Value]]="",VLOOKUP(Table2[[#This Row],[Description]],'Actuals Lookup'!D:F,3,0),Table2[[#This Row],[Manual Cat Value]])</f>
        <v>Delete</v>
      </c>
      <c r="G10500" t="s">
        <v>43</v>
      </c>
      <c r="H10500" s="8" t="s">
        <v>9</v>
      </c>
      <c r="I10500" s="8"/>
      <c r="O10500" t="str">
        <f>LEFT(Table2[[#This Row],[Description]],75)</f>
        <v>Msp Airport Parking</v>
      </c>
    </row>
    <row r="10501" spans="1:15" hidden="1">
      <c r="A10501">
        <v>202311</v>
      </c>
      <c r="B10501" s="6">
        <v>45257</v>
      </c>
      <c r="C10501" t="s">
        <v>5013</v>
      </c>
      <c r="D10501" t="s">
        <v>5072</v>
      </c>
      <c r="E10501">
        <v>330.48</v>
      </c>
      <c r="F10501" s="2" t="str">
        <f>IF(Table2[[#This Row],[Manual Cat Value]]="",VLOOKUP(Table2[[#This Row],[Description]],'Actuals Lookup'!D:F,3,0),Table2[[#This Row],[Manual Cat Value]])</f>
        <v>Restaurants</v>
      </c>
      <c r="G10501" t="s">
        <v>26</v>
      </c>
      <c r="I10501" s="8"/>
      <c r="O10501" t="str">
        <f>LEFT(Table2[[#This Row],[Description]],75)</f>
        <v>Sp Sendjoeskcbbq Olathe Ks</v>
      </c>
    </row>
    <row r="10502" spans="1:15" hidden="1">
      <c r="A10502">
        <v>202311</v>
      </c>
      <c r="B10502" s="6">
        <v>45257</v>
      </c>
      <c r="C10502" t="s">
        <v>5013</v>
      </c>
      <c r="D10502" t="s">
        <v>5061</v>
      </c>
      <c r="E10502">
        <v>329.29</v>
      </c>
      <c r="F10502" s="2" t="str">
        <f>IF(Table2[[#This Row],[Manual Cat Value]]="",VLOOKUP(Table2[[#This Row],[Description]],'Actuals Lookup'!D:F,3,0),Table2[[#This Row],[Manual Cat Value]])</f>
        <v>Exp - Shopping</v>
      </c>
      <c r="G10502" t="s">
        <v>35</v>
      </c>
      <c r="H10502" s="8" t="s">
        <v>36</v>
      </c>
      <c r="I10502" s="8"/>
      <c r="O10502" t="str">
        <f>LEFT(Table2[[#This Row],[Description]],75)</f>
        <v>The Burton Corporatiburlington Vt</v>
      </c>
    </row>
    <row r="10503" spans="1:15" hidden="1">
      <c r="A10503">
        <v>202311</v>
      </c>
      <c r="B10503" s="6">
        <v>45257</v>
      </c>
      <c r="C10503" t="s">
        <v>2519</v>
      </c>
      <c r="D10503" t="s">
        <v>4404</v>
      </c>
      <c r="E10503">
        <v>800</v>
      </c>
      <c r="F10503" s="2" t="str">
        <f>IF(Table2[[#This Row],[Manual Cat Value]]="",VLOOKUP(Table2[[#This Row],[Description]],'Actuals Lookup'!D:F,3,0),Table2[[#This Row],[Manual Cat Value]])</f>
        <v>Delete</v>
      </c>
      <c r="H10503" s="8" t="s">
        <v>9</v>
      </c>
      <c r="I10503" s="8"/>
      <c r="O10503" t="str">
        <f>LEFT(Table2[[#This Row],[Description]],75)</f>
        <v>Transfer to Discover Bank</v>
      </c>
    </row>
    <row r="10504" spans="1:15" hidden="1">
      <c r="A10504">
        <v>202311</v>
      </c>
      <c r="B10504" s="6">
        <v>45257</v>
      </c>
      <c r="C10504" t="s">
        <v>2519</v>
      </c>
      <c r="D10504" t="s">
        <v>1955</v>
      </c>
      <c r="E10504">
        <v>273.75</v>
      </c>
      <c r="F10504" s="2" t="str">
        <f>IF(Table2[[#This Row],[Manual Cat Value]]="",VLOOKUP(Table2[[#This Row],[Description]],'Actuals Lookup'!D:F,3,0),Table2[[#This Row],[Manual Cat Value]])</f>
        <v>Exp - Shopping</v>
      </c>
      <c r="H10504" s="8" t="s">
        <v>36</v>
      </c>
      <c r="I10504" s="8"/>
      <c r="O10504" t="str">
        <f>LEFT(Table2[[#This Row],[Description]],75)</f>
        <v>Transfer to PayPal</v>
      </c>
    </row>
    <row r="10505" spans="1:15" hidden="1">
      <c r="A10505">
        <v>202311</v>
      </c>
      <c r="B10505" s="6">
        <v>45257</v>
      </c>
      <c r="C10505" t="s">
        <v>2519</v>
      </c>
      <c r="D10505" t="s">
        <v>1955</v>
      </c>
      <c r="E10505">
        <v>216</v>
      </c>
      <c r="F10505" s="2" t="str">
        <f>IF(Table2[[#This Row],[Manual Cat Value]]="",VLOOKUP(Table2[[#This Row],[Description]],'Actuals Lookup'!D:F,3,0),Table2[[#This Row],[Manual Cat Value]])</f>
        <v>Exp - Shopping</v>
      </c>
      <c r="H10505" s="8" t="s">
        <v>36</v>
      </c>
      <c r="I10505" s="8"/>
      <c r="O10505" t="str">
        <f>LEFT(Table2[[#This Row],[Description]],75)</f>
        <v>Transfer to PayPal</v>
      </c>
    </row>
    <row r="10506" spans="1:15" hidden="1">
      <c r="A10506">
        <v>202311</v>
      </c>
      <c r="B10506" s="6">
        <v>45257</v>
      </c>
      <c r="C10506" t="s">
        <v>2519</v>
      </c>
      <c r="D10506" t="s">
        <v>1955</v>
      </c>
      <c r="E10506">
        <v>122.48</v>
      </c>
      <c r="F10506" s="2" t="str">
        <f>IF(Table2[[#This Row],[Manual Cat Value]]="",VLOOKUP(Table2[[#This Row],[Description]],'Actuals Lookup'!D:F,3,0),Table2[[#This Row],[Manual Cat Value]])</f>
        <v>Exp - Shopping</v>
      </c>
      <c r="H10506" s="8" t="s">
        <v>36</v>
      </c>
      <c r="I10506" s="8"/>
      <c r="O10506" t="str">
        <f>LEFT(Table2[[#This Row],[Description]],75)</f>
        <v>Transfer to PayPal</v>
      </c>
    </row>
    <row r="10507" spans="1:15" hidden="1">
      <c r="A10507">
        <v>202311</v>
      </c>
      <c r="B10507" s="6">
        <v>45257</v>
      </c>
      <c r="C10507" t="s">
        <v>2519</v>
      </c>
      <c r="D10507" t="s">
        <v>1955</v>
      </c>
      <c r="E10507">
        <v>93.02</v>
      </c>
      <c r="F10507" s="2" t="str">
        <f>IF(Table2[[#This Row],[Manual Cat Value]]="",VLOOKUP(Table2[[#This Row],[Description]],'Actuals Lookup'!D:F,3,0),Table2[[#This Row],[Manual Cat Value]])</f>
        <v>Exp - Shopping</v>
      </c>
      <c r="H10507" s="8" t="s">
        <v>36</v>
      </c>
      <c r="I10507" s="8"/>
      <c r="O10507" t="str">
        <f>LEFT(Table2[[#This Row],[Description]],75)</f>
        <v>Transfer to PayPal</v>
      </c>
    </row>
    <row r="10508" spans="1:15" hidden="1">
      <c r="A10508">
        <v>202311</v>
      </c>
      <c r="B10508" s="6">
        <v>45257</v>
      </c>
      <c r="C10508" t="s">
        <v>2519</v>
      </c>
      <c r="D10508" t="s">
        <v>1458</v>
      </c>
      <c r="E10508">
        <v>3198.34</v>
      </c>
      <c r="F10508" s="2" t="str">
        <f>IF(Table2[[#This Row],[Manual Cat Value]]="",VLOOKUP(Table2[[#This Row],[Description]],'Actuals Lookup'!D:F,3,0),Table2[[#This Row],[Manual Cat Value]])</f>
        <v>Delete</v>
      </c>
      <c r="H10508" s="8" t="s">
        <v>9</v>
      </c>
      <c r="I10508" s="8"/>
      <c r="O10508" t="str">
        <f>LEFT(Table2[[#This Row],[Description]],75)</f>
        <v>Payment to American Express</v>
      </c>
    </row>
    <row r="10509" spans="1:15" hidden="1">
      <c r="A10509">
        <v>202311</v>
      </c>
      <c r="B10509" s="6">
        <v>45257</v>
      </c>
      <c r="C10509" t="s">
        <v>2519</v>
      </c>
      <c r="D10509" t="s">
        <v>1464</v>
      </c>
      <c r="E10509">
        <v>620.49</v>
      </c>
      <c r="F10509" s="2" t="str">
        <f>IF(Table2[[#This Row],[Manual Cat Value]]="",VLOOKUP(Table2[[#This Row],[Description]],'Actuals Lookup'!D:F,3,0),Table2[[#This Row],[Manual Cat Value]])</f>
        <v>Delete</v>
      </c>
      <c r="H10509" s="8" t="s">
        <v>9</v>
      </c>
      <c r="I10509" s="8"/>
      <c r="O10509" t="str">
        <f>LEFT(Table2[[#This Row],[Description]],75)</f>
        <v>Payment to Discover Bank</v>
      </c>
    </row>
    <row r="10510" spans="1:15" hidden="1">
      <c r="A10510">
        <v>202311</v>
      </c>
      <c r="B10510" s="6">
        <v>45257</v>
      </c>
      <c r="C10510" t="s">
        <v>2519</v>
      </c>
      <c r="D10510" t="s">
        <v>4415</v>
      </c>
      <c r="E10510">
        <v>177.74</v>
      </c>
      <c r="F10510" s="2" t="str">
        <f>IF(Table2[[#This Row],[Manual Cat Value]]="",VLOOKUP(Table2[[#This Row],[Description]],'Actuals Lookup'!D:F,3,0),Table2[[#This Row],[Manual Cat Value]])</f>
        <v>Delete</v>
      </c>
      <c r="H10510" s="8" t="s">
        <v>9</v>
      </c>
      <c r="I10510" s="8"/>
      <c r="O10510" t="str">
        <f>LEFT(Table2[[#This Row],[Description]],75)</f>
        <v>Payment to Jeffrey B</v>
      </c>
    </row>
    <row r="10511" spans="1:15" hidden="1">
      <c r="A10511">
        <v>202311</v>
      </c>
      <c r="B10511" s="6">
        <v>45258</v>
      </c>
      <c r="C10511" t="s">
        <v>3932</v>
      </c>
      <c r="D10511" t="s">
        <v>38</v>
      </c>
      <c r="E10511">
        <v>19.899999999999999</v>
      </c>
      <c r="F10511" s="2" t="str">
        <f>IF(Table2[[#This Row],[Manual Cat Value]]="",VLOOKUP(Table2[[#This Row],[Description]],'Actuals Lookup'!D:F,3,0),Table2[[#This Row],[Manual Cat Value]])</f>
        <v>Exp - Amazon</v>
      </c>
      <c r="G10511" t="s">
        <v>41</v>
      </c>
      <c r="H10511" s="8" t="s">
        <v>37</v>
      </c>
      <c r="I10511" s="8"/>
      <c r="O10511" t="str">
        <f>LEFT(Table2[[#This Row],[Description]],75)</f>
        <v>Amazon</v>
      </c>
    </row>
    <row r="10512" spans="1:15" hidden="1">
      <c r="A10512">
        <v>202311</v>
      </c>
      <c r="B10512" s="6">
        <v>45258</v>
      </c>
      <c r="C10512" t="s">
        <v>3932</v>
      </c>
      <c r="D10512" t="s">
        <v>38</v>
      </c>
      <c r="E10512">
        <v>64.98</v>
      </c>
      <c r="F10512" s="2" t="str">
        <f>IF(Table2[[#This Row],[Manual Cat Value]]="",VLOOKUP(Table2[[#This Row],[Description]],'Actuals Lookup'!D:F,3,0),Table2[[#This Row],[Manual Cat Value]])</f>
        <v>Exp - Amazon</v>
      </c>
      <c r="G10512" t="s">
        <v>41</v>
      </c>
      <c r="H10512" s="8" t="s">
        <v>37</v>
      </c>
      <c r="I10512" s="8"/>
      <c r="O10512" t="str">
        <f>LEFT(Table2[[#This Row],[Description]],75)</f>
        <v>Amazon</v>
      </c>
    </row>
    <row r="10513" spans="1:15" hidden="1">
      <c r="A10513">
        <v>202311</v>
      </c>
      <c r="B10513" s="6">
        <v>45258</v>
      </c>
      <c r="C10513" t="s">
        <v>3932</v>
      </c>
      <c r="D10513" t="s">
        <v>113</v>
      </c>
      <c r="E10513">
        <v>92.08</v>
      </c>
      <c r="F10513" s="2" t="str">
        <f>IF(Table2[[#This Row],[Manual Cat Value]]="",VLOOKUP(Table2[[#This Row],[Description]],'Actuals Lookup'!D:F,3,0),Table2[[#This Row],[Manual Cat Value]])</f>
        <v>Exp - Amazon</v>
      </c>
      <c r="G10513" t="s">
        <v>41</v>
      </c>
      <c r="H10513" s="8" t="s">
        <v>37</v>
      </c>
      <c r="I10513" s="8"/>
      <c r="O10513" t="str">
        <f>LEFT(Table2[[#This Row],[Description]],75)</f>
        <v>Amazon Marketplace</v>
      </c>
    </row>
    <row r="10514" spans="1:15" hidden="1">
      <c r="A10514">
        <v>202311</v>
      </c>
      <c r="B10514" s="6">
        <v>45258</v>
      </c>
      <c r="C10514" t="s">
        <v>5013</v>
      </c>
      <c r="D10514" t="s">
        <v>5073</v>
      </c>
      <c r="E10514">
        <v>256.14</v>
      </c>
      <c r="F10514" s="2" t="str">
        <f>IF(Table2[[#This Row],[Manual Cat Value]]="",VLOOKUP(Table2[[#This Row],[Description]],'Actuals Lookup'!D:F,3,0),Table2[[#This Row],[Manual Cat Value]])</f>
        <v>Shopping</v>
      </c>
      <c r="G10514" t="s">
        <v>21</v>
      </c>
      <c r="I10514" s="8"/>
      <c r="O10514" t="str">
        <f>LEFT(Table2[[#This Row],[Description]],75)</f>
        <v>J.crew</v>
      </c>
    </row>
    <row r="10515" spans="1:15" hidden="1">
      <c r="A10515">
        <v>202311</v>
      </c>
      <c r="B10515" s="6">
        <v>45258</v>
      </c>
      <c r="C10515" t="s">
        <v>5013</v>
      </c>
      <c r="D10515" t="s">
        <v>5074</v>
      </c>
      <c r="E10515">
        <v>14.19</v>
      </c>
      <c r="F10515" s="2" t="str">
        <f>IF(Table2[[#This Row],[Manual Cat Value]]="",VLOOKUP(Table2[[#This Row],[Description]],'Actuals Lookup'!D:F,3,0),Table2[[#This Row],[Manual Cat Value]])</f>
        <v>Restaurants</v>
      </c>
      <c r="G10515" t="s">
        <v>26</v>
      </c>
      <c r="I10515" s="8"/>
      <c r="O10515" t="str">
        <f>LEFT(Table2[[#This Row],[Description]],75)</f>
        <v>Parnassus St2342 234nashville Tn</v>
      </c>
    </row>
    <row r="10516" spans="1:15" hidden="1">
      <c r="A10516">
        <v>202311</v>
      </c>
      <c r="B10516" s="6">
        <v>45258</v>
      </c>
      <c r="C10516" t="s">
        <v>5013</v>
      </c>
      <c r="D10516" t="s">
        <v>5075</v>
      </c>
      <c r="E10516">
        <v>46.51</v>
      </c>
      <c r="F10516" s="2" t="str">
        <f>IF(Table2[[#This Row],[Manual Cat Value]]="",VLOOKUP(Table2[[#This Row],[Description]],'Actuals Lookup'!D:F,3,0),Table2[[#This Row],[Manual Cat Value]])</f>
        <v>Groceries</v>
      </c>
      <c r="G10516" t="s">
        <v>28</v>
      </c>
      <c r="I10516" s="8"/>
      <c r="O10516" t="str">
        <f>LEFT(Table2[[#This Row],[Description]],75)</f>
        <v>Shorewood Liquor</v>
      </c>
    </row>
    <row r="10517" spans="1:15" hidden="1">
      <c r="A10517">
        <v>202311</v>
      </c>
      <c r="B10517" s="6">
        <v>45258</v>
      </c>
      <c r="C10517" t="s">
        <v>2519</v>
      </c>
      <c r="D10517" t="s">
        <v>1955</v>
      </c>
      <c r="E10517">
        <v>0.99</v>
      </c>
      <c r="F10517" s="2" t="str">
        <f>IF(Table2[[#This Row],[Manual Cat Value]]="",VLOOKUP(Table2[[#This Row],[Description]],'Actuals Lookup'!D:F,3,0),Table2[[#This Row],[Manual Cat Value]])</f>
        <v>Exp - Shopping</v>
      </c>
      <c r="H10517" s="8" t="s">
        <v>36</v>
      </c>
      <c r="I10517" s="8"/>
      <c r="O10517" t="str">
        <f>LEFT(Table2[[#This Row],[Description]],75)</f>
        <v>Transfer to PayPal</v>
      </c>
    </row>
    <row r="10518" spans="1:15" hidden="1">
      <c r="A10518">
        <v>202311</v>
      </c>
      <c r="B10518" s="6">
        <v>45258</v>
      </c>
      <c r="C10518" t="s">
        <v>2519</v>
      </c>
      <c r="D10518" t="s">
        <v>1958</v>
      </c>
      <c r="E10518">
        <v>1350</v>
      </c>
      <c r="F10518" s="2" t="str">
        <f>IF(Table2[[#This Row],[Manual Cat Value]]="",VLOOKUP(Table2[[#This Row],[Description]],'Actuals Lookup'!D:F,3,0),Table2[[#This Row],[Manual Cat Value]])</f>
        <v>Exp - Shopping</v>
      </c>
      <c r="H10518" s="8" t="s">
        <v>36</v>
      </c>
      <c r="I10518" s="8"/>
      <c r="O10518" t="str">
        <f>LEFT(Table2[[#This Row],[Description]],75)</f>
        <v>Transfer to Venmo</v>
      </c>
    </row>
    <row r="10519" spans="1:15" hidden="1">
      <c r="A10519">
        <v>202311</v>
      </c>
      <c r="B10519" s="6">
        <v>45258</v>
      </c>
      <c r="C10519" t="s">
        <v>2519</v>
      </c>
      <c r="D10519" t="s">
        <v>5076</v>
      </c>
      <c r="E10519">
        <v>330</v>
      </c>
      <c r="F10519" s="2" t="str">
        <f>IF(Table2[[#This Row],[Manual Cat Value]]="",VLOOKUP(Table2[[#This Row],[Description]],'Actuals Lookup'!D:F,3,0),Table2[[#This Row],[Manual Cat Value]])</f>
        <v>Exp - Day Care</v>
      </c>
      <c r="H10519" s="8" t="s">
        <v>19</v>
      </c>
      <c r="I10519" s="8"/>
      <c r="O10519" t="str">
        <f>LEFT(Table2[[#This Row],[Description]],75)</f>
        <v>Withdrawal ACH MHCHILDCARELLC TYPE: DUES ID: XX8198 CO: MHCHILDCARELLC Entr</v>
      </c>
    </row>
    <row r="10520" spans="1:15" hidden="1">
      <c r="A10520">
        <v>202311</v>
      </c>
      <c r="B10520" s="6">
        <v>45259</v>
      </c>
      <c r="C10520" t="s">
        <v>5013</v>
      </c>
      <c r="D10520" t="s">
        <v>4948</v>
      </c>
      <c r="E10520">
        <v>68.7</v>
      </c>
      <c r="F10520" s="2" t="str">
        <f>IF(Table2[[#This Row],[Manual Cat Value]]="",VLOOKUP(Table2[[#This Row],[Description]],'Actuals Lookup'!D:F,3,0),Table2[[#This Row],[Manual Cat Value]])</f>
        <v>Exp - Dry Cleaning</v>
      </c>
      <c r="G10520" t="s">
        <v>21</v>
      </c>
      <c r="H10520" s="8" t="s">
        <v>42</v>
      </c>
      <c r="I10520" s="8"/>
      <c r="O10520" t="str">
        <f>LEFT(Table2[[#This Row],[Description]],75)</f>
        <v>All Seasons Garment Chanhassen Mn</v>
      </c>
    </row>
    <row r="10521" spans="1:15" hidden="1">
      <c r="A10521">
        <v>202311</v>
      </c>
      <c r="B10521" s="6">
        <v>45259</v>
      </c>
      <c r="C10521" t="s">
        <v>3932</v>
      </c>
      <c r="D10521" t="s">
        <v>38</v>
      </c>
      <c r="E10521">
        <v>28.11</v>
      </c>
      <c r="F10521" s="2" t="str">
        <f>IF(Table2[[#This Row],[Manual Cat Value]]="",VLOOKUP(Table2[[#This Row],[Description]],'Actuals Lookup'!D:F,3,0),Table2[[#This Row],[Manual Cat Value]])</f>
        <v>Exp - Amazon</v>
      </c>
      <c r="G10521" t="s">
        <v>41</v>
      </c>
      <c r="H10521" s="8" t="s">
        <v>37</v>
      </c>
      <c r="I10521" s="8"/>
      <c r="O10521" t="str">
        <f>LEFT(Table2[[#This Row],[Description]],75)</f>
        <v>Amazon</v>
      </c>
    </row>
    <row r="10522" spans="1:15" hidden="1">
      <c r="A10522">
        <v>202311</v>
      </c>
      <c r="B10522" s="6">
        <v>45259</v>
      </c>
      <c r="C10522" t="s">
        <v>3932</v>
      </c>
      <c r="D10522" t="s">
        <v>4079</v>
      </c>
      <c r="E10522">
        <v>-42.54</v>
      </c>
      <c r="F10522" s="2" t="str">
        <f>IF(Table2[[#This Row],[Manual Cat Value]]="",VLOOKUP(Table2[[#This Row],[Description]],'Actuals Lookup'!D:F,3,0),Table2[[#This Row],[Manual Cat Value]])</f>
        <v>Delete</v>
      </c>
      <c r="G10522" t="s">
        <v>55</v>
      </c>
      <c r="H10522" s="8" t="s">
        <v>9</v>
      </c>
      <c r="I10522" s="8"/>
      <c r="O10522" t="str">
        <f>LEFT(Table2[[#This Row],[Description]],75)</f>
        <v>Cashback Bonus Redemption Pymt/stmt Crdt</v>
      </c>
    </row>
    <row r="10523" spans="1:15" hidden="1">
      <c r="A10523">
        <v>202311</v>
      </c>
      <c r="B10523" s="6">
        <v>45259</v>
      </c>
      <c r="C10523" t="s">
        <v>5013</v>
      </c>
      <c r="D10523" t="s">
        <v>684</v>
      </c>
      <c r="E10523">
        <v>3.99</v>
      </c>
      <c r="F10523" s="2" t="str">
        <f>IF(Table2[[#This Row],[Manual Cat Value]]="",VLOOKUP(Table2[[#This Row],[Description]],'Actuals Lookup'!D:F,3,0),Table2[[#This Row],[Manual Cat Value]])</f>
        <v>Groceries</v>
      </c>
      <c r="G10523" t="s">
        <v>28</v>
      </c>
      <c r="I10523" s="8"/>
      <c r="O10523" t="str">
        <f>LEFT(Table2[[#This Row],[Description]],75)</f>
        <v>Cub Foods</v>
      </c>
    </row>
    <row r="10524" spans="1:15" hidden="1">
      <c r="A10524">
        <v>202311</v>
      </c>
      <c r="B10524" s="6">
        <v>45259</v>
      </c>
      <c r="C10524" t="s">
        <v>5013</v>
      </c>
      <c r="D10524" t="s">
        <v>5077</v>
      </c>
      <c r="E10524">
        <v>2689.84</v>
      </c>
      <c r="F10524" s="2" t="str">
        <f>IF(Table2[[#This Row],[Manual Cat Value]]="",VLOOKUP(Table2[[#This Row],[Description]],'Actuals Lookup'!D:F,3,0),Table2[[#This Row],[Manual Cat Value]])</f>
        <v>House Maintenance</v>
      </c>
      <c r="G10524" t="s">
        <v>2</v>
      </c>
      <c r="I10524" s="8"/>
      <c r="O10524" t="str">
        <f>LEFT(Table2[[#This Row],[Description]],75)</f>
        <v>In *garage Floor Coaminneapolis Mn</v>
      </c>
    </row>
    <row r="10525" spans="1:15" hidden="1">
      <c r="A10525">
        <v>202311</v>
      </c>
      <c r="B10525" s="6">
        <v>45259</v>
      </c>
      <c r="C10525" t="s">
        <v>5013</v>
      </c>
      <c r="D10525" t="s">
        <v>1353</v>
      </c>
      <c r="E10525">
        <v>13.28</v>
      </c>
      <c r="F10525" s="2" t="str">
        <f>IF(Table2[[#This Row],[Manual Cat Value]]="",VLOOKUP(Table2[[#This Row],[Description]],'Actuals Lookup'!D:F,3,0),Table2[[#This Row],[Manual Cat Value]])</f>
        <v>Restaurants</v>
      </c>
      <c r="G10525" t="s">
        <v>26</v>
      </c>
      <c r="I10525" s="8"/>
      <c r="O10525" t="str">
        <f>LEFT(Table2[[#This Row],[Description]],75)</f>
        <v>Noodles &amp; Company</v>
      </c>
    </row>
    <row r="10526" spans="1:15" hidden="1">
      <c r="A10526">
        <v>202311</v>
      </c>
      <c r="B10526" s="6">
        <v>45259</v>
      </c>
      <c r="C10526" t="s">
        <v>2519</v>
      </c>
      <c r="D10526" t="s">
        <v>4343</v>
      </c>
      <c r="E10526">
        <v>-4343.58</v>
      </c>
      <c r="F10526" s="2" t="str">
        <f>IF(Table2[[#This Row],[Manual Cat Value]]="",VLOOKUP(Table2[[#This Row],[Description]],'Actuals Lookup'!D:F,3,0),Table2[[#This Row],[Manual Cat Value]])</f>
        <v>Inc - Jeff</v>
      </c>
      <c r="H10526" s="8" t="s">
        <v>63</v>
      </c>
      <c r="I10526" s="8"/>
      <c r="O10526" t="str">
        <f>LEFT(Table2[[#This Row],[Description]],75)</f>
        <v>Salary/Regular Income from TriNet</v>
      </c>
    </row>
    <row r="10527" spans="1:15" hidden="1">
      <c r="A10527">
        <v>202311</v>
      </c>
      <c r="B10527" s="6">
        <v>45259</v>
      </c>
      <c r="C10527" t="s">
        <v>5013</v>
      </c>
      <c r="D10527" t="s">
        <v>5078</v>
      </c>
      <c r="E10527">
        <v>10.47</v>
      </c>
      <c r="F10527" s="2" t="str">
        <f>IF(Table2[[#This Row],[Manual Cat Value]]="",VLOOKUP(Table2[[#This Row],[Description]],'Actuals Lookup'!D:F,3,0),Table2[[#This Row],[Manual Cat Value]])</f>
        <v>House Maintenance</v>
      </c>
      <c r="G10527" t="s">
        <v>2</v>
      </c>
      <c r="I10527" s="8"/>
      <c r="O10527" t="str">
        <f>LEFT(Table2[[#This Row],[Description]],75)</f>
        <v>Sherwin-williams</v>
      </c>
    </row>
    <row r="10528" spans="1:15" hidden="1">
      <c r="A10528">
        <v>202311</v>
      </c>
      <c r="B10528" s="6">
        <v>45259</v>
      </c>
      <c r="C10528" t="s">
        <v>2519</v>
      </c>
      <c r="D10528" t="s">
        <v>4293</v>
      </c>
      <c r="E10528">
        <v>1523.85</v>
      </c>
      <c r="F10528" s="2" t="str">
        <f>IF(Table2[[#This Row],[Manual Cat Value]]="",VLOOKUP(Table2[[#This Row],[Description]],'Actuals Lookup'!D:F,3,0),Table2[[#This Row],[Manual Cat Value]])</f>
        <v>Delete</v>
      </c>
      <c r="H10528" s="8" t="s">
        <v>9</v>
      </c>
      <c r="I10528" s="8"/>
      <c r="O10528" t="str">
        <f>LEFT(Table2[[#This Row],[Description]],75)</f>
        <v>Withdrawal Home Banking Pmt to card XX5913</v>
      </c>
    </row>
    <row r="10529" spans="1:15" hidden="1">
      <c r="A10529">
        <v>202311</v>
      </c>
      <c r="B10529" s="6">
        <v>45259</v>
      </c>
      <c r="C10529" t="s">
        <v>3938</v>
      </c>
      <c r="D10529" t="s">
        <v>673</v>
      </c>
      <c r="E10529">
        <v>-1523.85</v>
      </c>
      <c r="F10529" s="2" t="str">
        <f>IF(Table2[[#This Row],[Manual Cat Value]]="",VLOOKUP(Table2[[#This Row],[Description]],'Actuals Lookup'!D:F,3,0),Table2[[#This Row],[Manual Cat Value]])</f>
        <v>Delete</v>
      </c>
      <c r="H10529" s="8" t="s">
        <v>9</v>
      </c>
      <c r="I10529" s="8"/>
      <c r="O10529" t="str">
        <f>LEFT(Table2[[#This Row],[Description]],75)</f>
        <v>Credit Card Payment Received</v>
      </c>
    </row>
    <row r="10530" spans="1:15" hidden="1">
      <c r="A10530">
        <v>202311</v>
      </c>
      <c r="B10530" s="6">
        <v>45259</v>
      </c>
      <c r="C10530" t="s">
        <v>3932</v>
      </c>
      <c r="D10530" t="s">
        <v>3988</v>
      </c>
      <c r="E10530">
        <v>-421.58</v>
      </c>
      <c r="F10530" s="2" t="str">
        <f>IF(Table2[[#This Row],[Manual Cat Value]]="",VLOOKUP(Table2[[#This Row],[Description]],'Actuals Lookup'!D:F,3,0),Table2[[#This Row],[Manual Cat Value]])</f>
        <v>Delete</v>
      </c>
      <c r="G10530" t="s">
        <v>8</v>
      </c>
      <c r="I10530" s="8"/>
      <c r="O10530" t="str">
        <f>LEFT(Table2[[#This Row],[Description]],75)</f>
        <v>Internet Payment - Thank You</v>
      </c>
    </row>
    <row r="10531" spans="1:15" hidden="1">
      <c r="A10531">
        <v>202311</v>
      </c>
      <c r="B10531" s="6">
        <v>45259</v>
      </c>
      <c r="C10531" t="s">
        <v>5013</v>
      </c>
      <c r="D10531" t="s">
        <v>4012</v>
      </c>
      <c r="E10531">
        <v>-2847.19</v>
      </c>
      <c r="F10531" s="2" t="str">
        <f>IF(Table2[[#This Row],[Manual Cat Value]]="",VLOOKUP(Table2[[#This Row],[Description]],'Actuals Lookup'!D:F,3,0),Table2[[#This Row],[Manual Cat Value]])</f>
        <v>Delete</v>
      </c>
      <c r="G10531" t="s">
        <v>9</v>
      </c>
      <c r="H10531" s="8" t="s">
        <v>9</v>
      </c>
      <c r="I10531" s="8"/>
      <c r="O10531" t="str">
        <f>LEFT(Table2[[#This Row],[Description]],75)</f>
        <v>Online Payment - Thank You</v>
      </c>
    </row>
    <row r="10532" spans="1:15" hidden="1">
      <c r="A10532">
        <v>202311</v>
      </c>
      <c r="B10532" s="6">
        <v>45260</v>
      </c>
      <c r="C10532" t="s">
        <v>2519</v>
      </c>
      <c r="D10532" t="s">
        <v>5079</v>
      </c>
      <c r="E10532">
        <v>-48.5</v>
      </c>
      <c r="F10532" s="2" t="str">
        <f>IF(Table2[[#This Row],[Manual Cat Value]]="",VLOOKUP(Table2[[#This Row],[Description]],'Actuals Lookup'!D:F,3,0),Table2[[#This Row],[Manual Cat Value]])</f>
        <v>Delete</v>
      </c>
      <c r="H10532" s="8" t="s">
        <v>9</v>
      </c>
      <c r="I10532" s="8"/>
      <c r="O10532" t="str">
        <f>LEFT(Table2[[#This Row],[Description]],75)</f>
        <v>Deposit Dividend Split Rate Annual Percentage Yield Earned 2.55% from 11/01</v>
      </c>
    </row>
    <row r="10533" spans="1:15" hidden="1">
      <c r="A10533">
        <v>202311</v>
      </c>
      <c r="B10533" s="6">
        <v>45260</v>
      </c>
      <c r="C10533" t="s">
        <v>2519</v>
      </c>
      <c r="D10533" t="s">
        <v>5080</v>
      </c>
      <c r="E10533">
        <v>-1350</v>
      </c>
      <c r="F10533" s="2" t="str">
        <f>IF(Table2[[#This Row],[Manual Cat Value]]="",VLOOKUP(Table2[[#This Row],[Description]],'Actuals Lookup'!D:F,3,0),Table2[[#This Row],[Manual Cat Value]])</f>
        <v>Delete</v>
      </c>
      <c r="H10533" s="8" t="s">
        <v>9</v>
      </c>
      <c r="I10533" s="8"/>
      <c r="O10533" t="str">
        <f>LEFT(Table2[[#This Row],[Description]],75)</f>
        <v>Discover Bank Deposit</v>
      </c>
    </row>
    <row r="10534" spans="1:15" hidden="1">
      <c r="A10534">
        <v>202311</v>
      </c>
      <c r="B10534" s="6">
        <v>45260</v>
      </c>
      <c r="C10534" t="s">
        <v>2519</v>
      </c>
      <c r="D10534" t="s">
        <v>1355</v>
      </c>
      <c r="E10534">
        <v>21.21</v>
      </c>
      <c r="F10534" s="2" t="str">
        <f>IF(Table2[[#This Row],[Manual Cat Value]]="",VLOOKUP(Table2[[#This Row],[Description]],'Actuals Lookup'!D:F,3,0),Table2[[#This Row],[Manual Cat Value]])</f>
        <v>Exp - Shopping</v>
      </c>
      <c r="H10534" s="8" t="s">
        <v>36</v>
      </c>
      <c r="I10534" s="8"/>
      <c r="O10534" t="str">
        <f>LEFT(Table2[[#This Row],[Description]],75)</f>
        <v>Nordstrom</v>
      </c>
    </row>
    <row r="10535" spans="1:15" hidden="1">
      <c r="A10535">
        <v>202311</v>
      </c>
      <c r="B10535" s="6">
        <v>45260</v>
      </c>
      <c r="C10535" t="s">
        <v>5013</v>
      </c>
      <c r="D10535" t="s">
        <v>5081</v>
      </c>
      <c r="E10535">
        <v>533</v>
      </c>
      <c r="F10535" s="2" t="str">
        <f>IF(Table2[[#This Row],[Manual Cat Value]]="",VLOOKUP(Table2[[#This Row],[Description]],'Actuals Lookup'!D:F,3,0),Table2[[#This Row],[Manual Cat Value]])</f>
        <v>Exp - Shopping</v>
      </c>
      <c r="G10535" t="s">
        <v>35</v>
      </c>
      <c r="H10535" s="8" t="s">
        <v>36</v>
      </c>
      <c r="I10535" s="8"/>
      <c r="O10535" t="str">
        <f>LEFT(Table2[[#This Row],[Description]],75)</f>
        <v>Rdstr Inc.*montec Chicago Il</v>
      </c>
    </row>
    <row r="10536" spans="1:15" hidden="1">
      <c r="A10536">
        <v>202311</v>
      </c>
      <c r="B10536" s="6">
        <v>45260</v>
      </c>
      <c r="C10536" t="s">
        <v>2519</v>
      </c>
      <c r="D10536" t="s">
        <v>1458</v>
      </c>
      <c r="E10536">
        <v>2847.19</v>
      </c>
      <c r="F10536" s="2" t="str">
        <f>IF(Table2[[#This Row],[Manual Cat Value]]="",VLOOKUP(Table2[[#This Row],[Description]],'Actuals Lookup'!D:F,3,0),Table2[[#This Row],[Manual Cat Value]])</f>
        <v>Delete</v>
      </c>
      <c r="H10536" s="8" t="s">
        <v>9</v>
      </c>
      <c r="I10536" s="8"/>
      <c r="O10536" t="str">
        <f>LEFT(Table2[[#This Row],[Description]],75)</f>
        <v>Payment to American Express</v>
      </c>
    </row>
    <row r="10537" spans="1:15" hidden="1">
      <c r="A10537">
        <v>202311</v>
      </c>
      <c r="B10537" s="6">
        <v>45260</v>
      </c>
      <c r="C10537" t="s">
        <v>2519</v>
      </c>
      <c r="D10537" t="s">
        <v>4523</v>
      </c>
      <c r="E10537">
        <v>187.81</v>
      </c>
      <c r="F10537" s="2" t="str">
        <f>IF(Table2[[#This Row],[Manual Cat Value]]="",VLOOKUP(Table2[[#This Row],[Description]],'Actuals Lookup'!D:F,3,0),Table2[[#This Row],[Manual Cat Value]])</f>
        <v>Exp - Shopping</v>
      </c>
      <c r="H10537" s="8" t="s">
        <v>36</v>
      </c>
      <c r="I10537" s="8"/>
      <c r="O10537" t="str">
        <f>LEFT(Table2[[#This Row],[Description]],75)</f>
        <v>Payment to Barclaycard US</v>
      </c>
    </row>
    <row r="10538" spans="1:15" hidden="1">
      <c r="A10538">
        <v>202311</v>
      </c>
      <c r="B10538" s="6">
        <v>45260</v>
      </c>
      <c r="C10538" t="s">
        <v>2519</v>
      </c>
      <c r="D10538" t="s">
        <v>1464</v>
      </c>
      <c r="E10538">
        <v>421.58</v>
      </c>
      <c r="F10538" s="2" t="str">
        <f>IF(Table2[[#This Row],[Manual Cat Value]]="",VLOOKUP(Table2[[#This Row],[Description]],'Actuals Lookup'!D:F,3,0),Table2[[#This Row],[Manual Cat Value]])</f>
        <v>Delete</v>
      </c>
      <c r="H10538" s="8" t="s">
        <v>9</v>
      </c>
      <c r="I10538" s="8"/>
      <c r="O10538" t="str">
        <f>LEFT(Table2[[#This Row],[Description]],75)</f>
        <v>Payment to Discover Bank</v>
      </c>
    </row>
    <row r="10539" spans="1:15" hidden="1">
      <c r="A10539">
        <v>202312</v>
      </c>
      <c r="B10539" s="6">
        <v>45261</v>
      </c>
      <c r="C10539" t="s">
        <v>3938</v>
      </c>
      <c r="D10539" t="s">
        <v>5082</v>
      </c>
      <c r="E10539">
        <v>5.41</v>
      </c>
      <c r="F10539" s="2" t="str">
        <f>IF(Table2[[#This Row],[Manual Cat Value]]="",VLOOKUP(Table2[[#This Row],[Description]],'Actuals Lookup'!D:F,3,0),Table2[[#This Row],[Manual Cat Value]])</f>
        <v>Exp - Amazon</v>
      </c>
      <c r="H10539" s="8" t="s">
        <v>37</v>
      </c>
      <c r="I10539" s="8"/>
      <c r="O10539" t="str">
        <f>LEFT(Table2[[#This Row],[Description]],75)</f>
        <v>Amazon Music*AA5HH5UD3 XX-3080 WA REF #XX9216AF353W95RS</v>
      </c>
    </row>
    <row r="10540" spans="1:15" hidden="1">
      <c r="A10540">
        <v>202312</v>
      </c>
      <c r="B10540" s="6">
        <v>45261</v>
      </c>
      <c r="C10540" t="s">
        <v>5013</v>
      </c>
      <c r="D10540" t="s">
        <v>1849</v>
      </c>
      <c r="E10540">
        <v>30.65</v>
      </c>
      <c r="F10540" s="2" t="str">
        <f>IF(Table2[[#This Row],[Manual Cat Value]]="",VLOOKUP(Table2[[#This Row],[Description]],'Actuals Lookup'!D:F,3,0),Table2[[#This Row],[Manual Cat Value]])</f>
        <v>House Maintenance</v>
      </c>
      <c r="G10540" t="s">
        <v>2</v>
      </c>
      <c r="I10540" s="8"/>
      <c r="O10540" t="str">
        <f>LEFT(Table2[[#This Row],[Description]],75)</f>
        <v>The Home Depot</v>
      </c>
    </row>
    <row r="10541" spans="1:15" hidden="1">
      <c r="A10541">
        <v>202312</v>
      </c>
      <c r="B10541" s="6">
        <v>45261</v>
      </c>
      <c r="C10541" t="s">
        <v>2519</v>
      </c>
      <c r="D10541" t="s">
        <v>4716</v>
      </c>
      <c r="E10541">
        <v>650</v>
      </c>
      <c r="F10541" s="2" t="str">
        <f>IF(Table2[[#This Row],[Manual Cat Value]]="",VLOOKUP(Table2[[#This Row],[Description]],'Actuals Lookup'!D:F,3,0),Table2[[#This Row],[Manual Cat Value]])</f>
        <v>Sav - College Savings</v>
      </c>
      <c r="H10541" s="8" t="s">
        <v>60</v>
      </c>
      <c r="I10541" s="8"/>
      <c r="O10541" t="str">
        <f>LEFT(Table2[[#This Row],[Description]],75)</f>
        <v>Transfer to College Station</v>
      </c>
    </row>
    <row r="10542" spans="1:15" hidden="1">
      <c r="A10542">
        <v>202312</v>
      </c>
      <c r="B10542" s="6">
        <v>45261</v>
      </c>
      <c r="C10542" t="s">
        <v>2519</v>
      </c>
      <c r="D10542" t="s">
        <v>1958</v>
      </c>
      <c r="E10542">
        <v>125</v>
      </c>
      <c r="F10542" s="2" t="str">
        <f>IF(Table2[[#This Row],[Manual Cat Value]]="",VLOOKUP(Table2[[#This Row],[Description]],'Actuals Lookup'!D:F,3,0),Table2[[#This Row],[Manual Cat Value]])</f>
        <v>Exp - Shopping</v>
      </c>
      <c r="H10542" s="8" t="s">
        <v>36</v>
      </c>
      <c r="I10542" s="8"/>
      <c r="O10542" t="str">
        <f>LEFT(Table2[[#This Row],[Description]],75)</f>
        <v>Transfer to Venmo</v>
      </c>
    </row>
    <row r="10543" spans="1:15" hidden="1">
      <c r="A10543">
        <v>202312</v>
      </c>
      <c r="B10543" s="6">
        <v>45261</v>
      </c>
      <c r="C10543" t="s">
        <v>2519</v>
      </c>
      <c r="D10543" t="s">
        <v>1460</v>
      </c>
      <c r="E10543">
        <v>2741.74</v>
      </c>
      <c r="F10543" s="2" t="str">
        <f>IF(Table2[[#This Row],[Manual Cat Value]]="",VLOOKUP(Table2[[#This Row],[Description]],'Actuals Lookup'!D:F,3,0),Table2[[#This Row],[Manual Cat Value]])</f>
        <v>Exp - Rent</v>
      </c>
      <c r="H10543" s="8" t="s">
        <v>4</v>
      </c>
      <c r="I10543" s="8"/>
      <c r="O10543" t="str">
        <f>LEFT(Table2[[#This Row],[Description]],75)</f>
        <v>Payment to Baxter Credit Union</v>
      </c>
    </row>
    <row r="10544" spans="1:15" hidden="1">
      <c r="A10544">
        <v>202312</v>
      </c>
      <c r="B10544" s="6">
        <v>45262</v>
      </c>
      <c r="C10544" t="s">
        <v>3932</v>
      </c>
      <c r="D10544" t="s">
        <v>38</v>
      </c>
      <c r="E10544">
        <v>52.01</v>
      </c>
      <c r="F10544" s="2" t="str">
        <f>IF(Table2[[#This Row],[Manual Cat Value]]="",VLOOKUP(Table2[[#This Row],[Description]],'Actuals Lookup'!D:F,3,0),Table2[[#This Row],[Manual Cat Value]])</f>
        <v>Exp - Amazon</v>
      </c>
      <c r="G10544" t="s">
        <v>41</v>
      </c>
      <c r="H10544" s="8" t="s">
        <v>37</v>
      </c>
      <c r="I10544" s="8"/>
      <c r="O10544" t="str">
        <f>LEFT(Table2[[#This Row],[Description]],75)</f>
        <v>Amazon</v>
      </c>
    </row>
    <row r="10545" spans="1:15" hidden="1">
      <c r="A10545">
        <v>202312</v>
      </c>
      <c r="B10545" s="6">
        <v>45262</v>
      </c>
      <c r="C10545" t="s">
        <v>5013</v>
      </c>
      <c r="D10545" t="s">
        <v>5041</v>
      </c>
      <c r="E10545">
        <v>36.25</v>
      </c>
      <c r="F10545" s="2" t="str">
        <f>IF(Table2[[#This Row],[Manual Cat Value]]="",VLOOKUP(Table2[[#This Row],[Description]],'Actuals Lookup'!D:F,3,0),Table2[[#This Row],[Manual Cat Value]])</f>
        <v>Shopping</v>
      </c>
      <c r="G10545" t="s">
        <v>21</v>
      </c>
      <c r="I10545" s="8"/>
      <c r="O10545" t="str">
        <f>LEFT(Table2[[#This Row],[Description]],75)</f>
        <v>Old Navy</v>
      </c>
    </row>
    <row r="10546" spans="1:15" hidden="1">
      <c r="A10546">
        <v>202312</v>
      </c>
      <c r="B10546" s="6">
        <v>45262</v>
      </c>
      <c r="C10546" t="s">
        <v>5013</v>
      </c>
      <c r="D10546" t="s">
        <v>4663</v>
      </c>
      <c r="E10546">
        <v>156.62</v>
      </c>
      <c r="F10546" s="2" t="str">
        <f>IF(Table2[[#This Row],[Manual Cat Value]]="",VLOOKUP(Table2[[#This Row],[Description]],'Actuals Lookup'!D:F,3,0),Table2[[#This Row],[Manual Cat Value]])</f>
        <v>Restaurants</v>
      </c>
      <c r="G10546" t="s">
        <v>26</v>
      </c>
      <c r="I10546" s="8"/>
      <c r="O10546" t="str">
        <f>LEFT(Table2[[#This Row],[Description]],75)</f>
        <v>Red Cow</v>
      </c>
    </row>
    <row r="10547" spans="1:15" hidden="1">
      <c r="A10547">
        <v>202312</v>
      </c>
      <c r="B10547" s="6">
        <v>45262</v>
      </c>
      <c r="C10547" t="s">
        <v>5013</v>
      </c>
      <c r="D10547" t="s">
        <v>1849</v>
      </c>
      <c r="E10547">
        <v>5.59</v>
      </c>
      <c r="F10547" s="2" t="str">
        <f>IF(Table2[[#This Row],[Manual Cat Value]]="",VLOOKUP(Table2[[#This Row],[Description]],'Actuals Lookup'!D:F,3,0),Table2[[#This Row],[Manual Cat Value]])</f>
        <v>House Maintenance</v>
      </c>
      <c r="G10547" t="s">
        <v>2</v>
      </c>
      <c r="I10547" s="8"/>
      <c r="O10547" t="str">
        <f>LEFT(Table2[[#This Row],[Description]],75)</f>
        <v>The Home Depot</v>
      </c>
    </row>
    <row r="10548" spans="1:15" hidden="1">
      <c r="A10548">
        <v>202312</v>
      </c>
      <c r="B10548" s="6">
        <v>45263</v>
      </c>
      <c r="C10548" t="s">
        <v>3938</v>
      </c>
      <c r="D10548" t="s">
        <v>38</v>
      </c>
      <c r="E10548">
        <v>4.32</v>
      </c>
      <c r="F10548" s="2" t="str">
        <f>IF(Table2[[#This Row],[Manual Cat Value]]="",VLOOKUP(Table2[[#This Row],[Description]],'Actuals Lookup'!D:F,3,0),Table2[[#This Row],[Manual Cat Value]])</f>
        <v>Exp - Amazon</v>
      </c>
      <c r="H10548" s="8" t="s">
        <v>37</v>
      </c>
      <c r="I10548" s="8"/>
      <c r="O10548" t="str">
        <f>LEFT(Table2[[#This Row],[Description]],75)</f>
        <v>Amazon</v>
      </c>
    </row>
    <row r="10549" spans="1:15" hidden="1">
      <c r="A10549">
        <v>202312</v>
      </c>
      <c r="B10549" s="6">
        <v>45263</v>
      </c>
      <c r="C10549" t="s">
        <v>3938</v>
      </c>
      <c r="D10549" t="s">
        <v>5083</v>
      </c>
      <c r="E10549">
        <v>10.83</v>
      </c>
      <c r="F10549" s="2" t="str">
        <f>IF(Table2[[#This Row],[Manual Cat Value]]="",VLOOKUP(Table2[[#This Row],[Description]],'Actuals Lookup'!D:F,3,0),Table2[[#This Row],[Manual Cat Value]])</f>
        <v>Exp - Amazon</v>
      </c>
      <c r="H10549" s="8" t="s">
        <v>37</v>
      </c>
      <c r="I10549" s="8"/>
      <c r="O10549" t="str">
        <f>LEFT(Table2[[#This Row],[Description]],75)</f>
        <v>AMZN Mktp US*565AB5T43 Amzn.com/billWA REF #XX9216AG2X704FAJ</v>
      </c>
    </row>
    <row r="10550" spans="1:15" hidden="1">
      <c r="A10550">
        <v>202312</v>
      </c>
      <c r="B10550" s="6">
        <v>45263</v>
      </c>
      <c r="C10550" t="s">
        <v>5013</v>
      </c>
      <c r="D10550" t="s">
        <v>5084</v>
      </c>
      <c r="E10550">
        <v>286.39</v>
      </c>
      <c r="F10550" s="2" t="str">
        <f>IF(Table2[[#This Row],[Manual Cat Value]]="",VLOOKUP(Table2[[#This Row],[Description]],'Actuals Lookup'!D:F,3,0),Table2[[#This Row],[Manual Cat Value]])</f>
        <v>Groceries</v>
      </c>
      <c r="G10550" t="s">
        <v>28</v>
      </c>
      <c r="I10550" s="8"/>
      <c r="O10550" t="str">
        <f>LEFT(Table2[[#This Row],[Description]],75)</f>
        <v>Liquor Boy</v>
      </c>
    </row>
    <row r="10551" spans="1:15" hidden="1">
      <c r="A10551">
        <v>202312</v>
      </c>
      <c r="B10551" s="6">
        <v>45264</v>
      </c>
      <c r="C10551" t="s">
        <v>3938</v>
      </c>
      <c r="D10551" t="s">
        <v>4887</v>
      </c>
      <c r="E10551">
        <v>44.32</v>
      </c>
      <c r="F10551" s="2" t="str">
        <f>IF(Table2[[#This Row],[Manual Cat Value]]="",VLOOKUP(Table2[[#This Row],[Description]],'Actuals Lookup'!D:F,3,0),Table2[[#This Row],[Manual Cat Value]])</f>
        <v>Exp - Transportation</v>
      </c>
      <c r="H10551" s="8" t="s">
        <v>22</v>
      </c>
      <c r="I10551" s="8"/>
      <c r="O10551" t="str">
        <f>LEFT(Table2[[#This Row],[Description]],75)</f>
        <v>Costco Gas Stations</v>
      </c>
    </row>
    <row r="10552" spans="1:15" hidden="1">
      <c r="A10552">
        <v>202312</v>
      </c>
      <c r="B10552" s="6">
        <v>45264</v>
      </c>
      <c r="C10552" t="s">
        <v>3938</v>
      </c>
      <c r="D10552" t="s">
        <v>684</v>
      </c>
      <c r="E10552">
        <v>8.01</v>
      </c>
      <c r="F10552" s="2" t="str">
        <f>IF(Table2[[#This Row],[Manual Cat Value]]="",VLOOKUP(Table2[[#This Row],[Description]],'Actuals Lookup'!D:F,3,0),Table2[[#This Row],[Manual Cat Value]])</f>
        <v>Exp - Groceries</v>
      </c>
      <c r="H10552" s="8" t="s">
        <v>27</v>
      </c>
      <c r="I10552" s="8"/>
      <c r="O10552" t="str">
        <f>LEFT(Table2[[#This Row],[Description]],75)</f>
        <v>Cub Foods</v>
      </c>
    </row>
    <row r="10553" spans="1:15" hidden="1">
      <c r="A10553">
        <v>202312</v>
      </c>
      <c r="B10553" s="6">
        <v>45264</v>
      </c>
      <c r="C10553" t="s">
        <v>3938</v>
      </c>
      <c r="D10553" t="s">
        <v>684</v>
      </c>
      <c r="E10553">
        <v>6.49</v>
      </c>
      <c r="F10553" s="2" t="str">
        <f>IF(Table2[[#This Row],[Manual Cat Value]]="",VLOOKUP(Table2[[#This Row],[Description]],'Actuals Lookup'!D:F,3,0),Table2[[#This Row],[Manual Cat Value]])</f>
        <v>Exp - Groceries</v>
      </c>
      <c r="H10553" s="8" t="s">
        <v>27</v>
      </c>
      <c r="I10553" s="8"/>
      <c r="O10553" t="str">
        <f>LEFT(Table2[[#This Row],[Description]],75)</f>
        <v>Cub Foods</v>
      </c>
    </row>
    <row r="10554" spans="1:15" hidden="1">
      <c r="A10554">
        <v>202312</v>
      </c>
      <c r="B10554" s="6">
        <v>45264</v>
      </c>
      <c r="C10554" t="s">
        <v>5013</v>
      </c>
      <c r="D10554" t="s">
        <v>1083</v>
      </c>
      <c r="E10554">
        <v>54.46</v>
      </c>
      <c r="F10554" s="2" t="str">
        <f>IF(Table2[[#This Row],[Manual Cat Value]]="",VLOOKUP(Table2[[#This Row],[Description]],'Actuals Lookup'!D:F,3,0),Table2[[#This Row],[Manual Cat Value]])</f>
        <v>Transportation</v>
      </c>
      <c r="G10554" t="s">
        <v>23</v>
      </c>
      <c r="I10554" s="8"/>
      <c r="O10554" t="str">
        <f>LEFT(Table2[[#This Row],[Description]],75)</f>
        <v>Kwik Trip</v>
      </c>
    </row>
    <row r="10555" spans="1:15" hidden="1">
      <c r="A10555">
        <v>202312</v>
      </c>
      <c r="B10555" s="6">
        <v>45264</v>
      </c>
      <c r="C10555" t="s">
        <v>3938</v>
      </c>
      <c r="D10555" t="s">
        <v>5085</v>
      </c>
      <c r="E10555">
        <v>45</v>
      </c>
      <c r="F10555" s="2" t="str">
        <f>IF(Table2[[#This Row],[Manual Cat Value]]="",VLOOKUP(Table2[[#This Row],[Description]],'Actuals Lookup'!D:F,3,0),Table2[[#This Row],[Manual Cat Value]])</f>
        <v>Exp - Healthcare</v>
      </c>
      <c r="H10555" s="8" t="s">
        <v>47</v>
      </c>
      <c r="I10555" s="8"/>
      <c r="O10555" t="str">
        <f>LEFT(Table2[[#This Row],[Description]],75)</f>
        <v>Teladoc</v>
      </c>
    </row>
    <row r="10556" spans="1:15" hidden="1">
      <c r="A10556">
        <v>202312</v>
      </c>
      <c r="B10556" s="6">
        <v>45264</v>
      </c>
      <c r="C10556" t="s">
        <v>2519</v>
      </c>
      <c r="D10556" t="s">
        <v>1958</v>
      </c>
      <c r="E10556">
        <v>60</v>
      </c>
      <c r="F10556" s="2" t="str">
        <f>IF(Table2[[#This Row],[Manual Cat Value]]="",VLOOKUP(Table2[[#This Row],[Description]],'Actuals Lookup'!D:F,3,0),Table2[[#This Row],[Manual Cat Value]])</f>
        <v>Exp - Shopping</v>
      </c>
      <c r="H10556" s="8" t="s">
        <v>36</v>
      </c>
      <c r="I10556" s="8"/>
      <c r="O10556" t="str">
        <f>LEFT(Table2[[#This Row],[Description]],75)</f>
        <v>Transfer to Venmo</v>
      </c>
    </row>
    <row r="10557" spans="1:15" hidden="1">
      <c r="A10557">
        <v>202312</v>
      </c>
      <c r="B10557" s="6">
        <v>45264</v>
      </c>
      <c r="C10557" t="s">
        <v>2519</v>
      </c>
      <c r="D10557" t="s">
        <v>1958</v>
      </c>
      <c r="E10557">
        <v>4</v>
      </c>
      <c r="F10557" s="2" t="str">
        <f>IF(Table2[[#This Row],[Manual Cat Value]]="",VLOOKUP(Table2[[#This Row],[Description]],'Actuals Lookup'!D:F,3,0),Table2[[#This Row],[Manual Cat Value]])</f>
        <v>Exp - Shopping</v>
      </c>
      <c r="H10557" s="8" t="s">
        <v>36</v>
      </c>
      <c r="I10557" s="8"/>
      <c r="O10557" t="str">
        <f>LEFT(Table2[[#This Row],[Description]],75)</f>
        <v>Transfer to Venmo</v>
      </c>
    </row>
    <row r="10558" spans="1:15" hidden="1">
      <c r="A10558">
        <v>202312</v>
      </c>
      <c r="B10558" s="6">
        <v>45265</v>
      </c>
      <c r="C10558" t="s">
        <v>3938</v>
      </c>
      <c r="D10558" t="s">
        <v>5086</v>
      </c>
      <c r="E10558">
        <v>38.99</v>
      </c>
      <c r="F10558" s="2" t="str">
        <f>IF(Table2[[#This Row],[Manual Cat Value]]="",VLOOKUP(Table2[[#This Row],[Description]],'Actuals Lookup'!D:F,3,0),Table2[[#This Row],[Manual Cat Value]])</f>
        <v>Exp - Amazon</v>
      </c>
      <c r="H10558" s="8" t="s">
        <v>37</v>
      </c>
      <c r="I10558" s="8"/>
      <c r="O10558" t="str">
        <f>LEFT(Table2[[#This Row],[Description]],75)</f>
        <v>AMZN Mktp US*6W7HB0RM3 Amzn.com/billWA REF #XX9216AJ2YRR4MXE</v>
      </c>
    </row>
    <row r="10559" spans="1:15" hidden="1">
      <c r="A10559">
        <v>202312</v>
      </c>
      <c r="B10559" s="6">
        <v>45265</v>
      </c>
      <c r="C10559" t="s">
        <v>3938</v>
      </c>
      <c r="D10559" t="s">
        <v>5087</v>
      </c>
      <c r="E10559">
        <v>79.72</v>
      </c>
      <c r="F10559" s="2" t="str">
        <f>IF(Table2[[#This Row],[Manual Cat Value]]="",VLOOKUP(Table2[[#This Row],[Description]],'Actuals Lookup'!D:F,3,0),Table2[[#This Row],[Manual Cat Value]])</f>
        <v>Exp - Groceries</v>
      </c>
      <c r="H10559" s="8" t="s">
        <v>27</v>
      </c>
      <c r="I10559" s="8"/>
      <c r="O10559" t="str">
        <f>LEFT(Table2[[#This Row],[Description]],75)</f>
        <v>ARBORETUM APPLEHOUSE CHASKA MN REF #XX3829AK2M7VNZFL</v>
      </c>
    </row>
    <row r="10560" spans="1:15" hidden="1">
      <c r="A10560">
        <v>202312</v>
      </c>
      <c r="B10560" s="6">
        <v>45265</v>
      </c>
      <c r="C10560" t="s">
        <v>2519</v>
      </c>
      <c r="D10560" t="s">
        <v>4470</v>
      </c>
      <c r="E10560">
        <v>-8.01</v>
      </c>
      <c r="F10560" s="2" t="str">
        <f>IF(Table2[[#This Row],[Manual Cat Value]]="",VLOOKUP(Table2[[#This Row],[Description]],'Actuals Lookup'!D:F,3,0),Table2[[#This Row],[Manual Cat Value]])</f>
        <v>Delete</v>
      </c>
      <c r="H10560" s="8" t="s">
        <v>9</v>
      </c>
      <c r="I10560" s="8"/>
      <c r="O10560" t="str">
        <f>LEFT(Table2[[#This Row],[Description]],75)</f>
        <v>Connectyourcare Deposit</v>
      </c>
    </row>
    <row r="10561" spans="1:15" hidden="1">
      <c r="A10561">
        <v>202312</v>
      </c>
      <c r="B10561" s="6">
        <v>45265</v>
      </c>
      <c r="C10561" t="s">
        <v>5013</v>
      </c>
      <c r="D10561" t="s">
        <v>4032</v>
      </c>
      <c r="E10561">
        <v>15.36</v>
      </c>
      <c r="F10561" s="2" t="str">
        <f>IF(Table2[[#This Row],[Manual Cat Value]]="",VLOOKUP(Table2[[#This Row],[Description]],'Actuals Lookup'!D:F,3,0),Table2[[#This Row],[Manual Cat Value]])</f>
        <v>Restaurants</v>
      </c>
      <c r="G10561" t="s">
        <v>26</v>
      </c>
      <c r="I10561" s="8"/>
      <c r="O10561" t="str">
        <f>LEFT(Table2[[#This Row],[Description]],75)</f>
        <v>Mcdonald's</v>
      </c>
    </row>
    <row r="10562" spans="1:15" hidden="1">
      <c r="A10562">
        <v>202312</v>
      </c>
      <c r="B10562" s="6">
        <v>45265</v>
      </c>
      <c r="C10562" t="s">
        <v>2519</v>
      </c>
      <c r="D10562" t="s">
        <v>5088</v>
      </c>
      <c r="E10562">
        <v>330</v>
      </c>
      <c r="F10562" s="2" t="str">
        <f>IF(Table2[[#This Row],[Manual Cat Value]]="",VLOOKUP(Table2[[#This Row],[Description]],'Actuals Lookup'!D:F,3,0),Table2[[#This Row],[Manual Cat Value]])</f>
        <v>Exp - Day Care</v>
      </c>
      <c r="H10562" s="8" t="s">
        <v>19</v>
      </c>
      <c r="I10562" s="8"/>
      <c r="O10562" t="str">
        <f>LEFT(Table2[[#This Row],[Description]],75)</f>
        <v>Withdrawal ACH MHCHILDCARELLC TYPE: DUES ID: XX8198 CO: MHCHILDCARELLC Entr</v>
      </c>
    </row>
    <row r="10563" spans="1:15" hidden="1">
      <c r="A10563">
        <v>202312</v>
      </c>
      <c r="B10563" s="6">
        <v>45265</v>
      </c>
      <c r="C10563" t="s">
        <v>5013</v>
      </c>
      <c r="D10563" t="s">
        <v>4012</v>
      </c>
      <c r="E10563">
        <v>-4837.91</v>
      </c>
      <c r="F10563" s="2" t="str">
        <f>IF(Table2[[#This Row],[Manual Cat Value]]="",VLOOKUP(Table2[[#This Row],[Description]],'Actuals Lookup'!D:F,3,0),Table2[[#This Row],[Manual Cat Value]])</f>
        <v>Delete</v>
      </c>
      <c r="G10563" t="s">
        <v>9</v>
      </c>
      <c r="H10563" s="8" t="s">
        <v>9</v>
      </c>
      <c r="I10563" s="8"/>
      <c r="O10563" t="str">
        <f>LEFT(Table2[[#This Row],[Description]],75)</f>
        <v>Online Payment - Thank You</v>
      </c>
    </row>
    <row r="10564" spans="1:15" hidden="1">
      <c r="A10564">
        <v>202312</v>
      </c>
      <c r="B10564" s="6">
        <v>45266</v>
      </c>
      <c r="C10564" t="s">
        <v>5013</v>
      </c>
      <c r="D10564" t="s">
        <v>703</v>
      </c>
      <c r="E10564">
        <v>457.8</v>
      </c>
      <c r="F10564" s="2" t="str">
        <f>IF(Table2[[#This Row],[Manual Cat Value]]="",VLOOKUP(Table2[[#This Row],[Description]],'Actuals Lookup'!D:F,3,0),Table2[[#This Row],[Manual Cat Value]])</f>
        <v>Delete</v>
      </c>
      <c r="G10564" t="s">
        <v>67</v>
      </c>
      <c r="H10564" s="8" t="s">
        <v>9</v>
      </c>
      <c r="I10564" s="8"/>
      <c r="O10564" t="str">
        <f>LEFT(Table2[[#This Row],[Description]],75)</f>
        <v>Delta Air Lines</v>
      </c>
    </row>
    <row r="10565" spans="1:15" hidden="1">
      <c r="A10565">
        <v>202312</v>
      </c>
      <c r="B10565" s="6">
        <v>45266</v>
      </c>
      <c r="C10565" t="s">
        <v>2519</v>
      </c>
      <c r="D10565" t="s">
        <v>5080</v>
      </c>
      <c r="E10565">
        <v>-2689.84</v>
      </c>
      <c r="F10565" s="2" t="str">
        <f>IF(Table2[[#This Row],[Manual Cat Value]]="",VLOOKUP(Table2[[#This Row],[Description]],'Actuals Lookup'!D:F,3,0),Table2[[#This Row],[Manual Cat Value]])</f>
        <v>Delete</v>
      </c>
      <c r="H10565" s="8" t="s">
        <v>9</v>
      </c>
      <c r="I10565" s="8"/>
      <c r="O10565" t="str">
        <f>LEFT(Table2[[#This Row],[Description]],75)</f>
        <v>Discover Bank Deposit</v>
      </c>
    </row>
    <row r="10566" spans="1:15" hidden="1">
      <c r="A10566">
        <v>202312</v>
      </c>
      <c r="B10566" s="6">
        <v>45266</v>
      </c>
      <c r="C10566" t="s">
        <v>5013</v>
      </c>
      <c r="D10566" t="s">
        <v>5089</v>
      </c>
      <c r="E10566">
        <v>129.99</v>
      </c>
      <c r="F10566" s="2" t="str">
        <f>IF(Table2[[#This Row],[Manual Cat Value]]="",VLOOKUP(Table2[[#This Row],[Description]],'Actuals Lookup'!D:F,3,0),Table2[[#This Row],[Manual Cat Value]])</f>
        <v>Exp - Misc</v>
      </c>
      <c r="G10566" t="s">
        <v>62</v>
      </c>
      <c r="H10566" s="8" t="s">
        <v>46</v>
      </c>
      <c r="I10566" s="8"/>
      <c r="O10566" t="str">
        <f>LEFT(Table2[[#This Row],[Description]],75)</f>
        <v>Evernote</v>
      </c>
    </row>
    <row r="10567" spans="1:15" hidden="1">
      <c r="A10567">
        <v>202312</v>
      </c>
      <c r="B10567" s="6">
        <v>45266</v>
      </c>
      <c r="C10567" t="s">
        <v>5013</v>
      </c>
      <c r="D10567" t="s">
        <v>5073</v>
      </c>
      <c r="E10567">
        <v>-86.02</v>
      </c>
      <c r="F10567" s="2" t="str">
        <f>IF(Table2[[#This Row],[Manual Cat Value]]="",VLOOKUP(Table2[[#This Row],[Description]],'Actuals Lookup'!D:F,3,0),Table2[[#This Row],[Manual Cat Value]])</f>
        <v>Shopping</v>
      </c>
      <c r="G10567" t="s">
        <v>21</v>
      </c>
      <c r="I10567" s="8"/>
      <c r="O10567" t="str">
        <f>LEFT(Table2[[#This Row],[Description]],75)</f>
        <v>J.crew</v>
      </c>
    </row>
    <row r="10568" spans="1:15" hidden="1">
      <c r="A10568">
        <v>202312</v>
      </c>
      <c r="B10568" s="6">
        <v>45266</v>
      </c>
      <c r="C10568" t="s">
        <v>3938</v>
      </c>
      <c r="D10568" t="s">
        <v>1621</v>
      </c>
      <c r="E10568">
        <v>-95.99</v>
      </c>
      <c r="F10568" s="2" t="str">
        <f>IF(Table2[[#This Row],[Manual Cat Value]]="",VLOOKUP(Table2[[#This Row],[Description]],'Actuals Lookup'!D:F,3,0),Table2[[#This Row],[Manual Cat Value]])</f>
        <v>Exp - Shopping</v>
      </c>
      <c r="H10568" s="8" t="s">
        <v>36</v>
      </c>
      <c r="I10568" s="8"/>
      <c r="O10568" t="str">
        <f>LEFT(Table2[[#This Row],[Description]],75)</f>
        <v>Scheels All Sports</v>
      </c>
    </row>
    <row r="10569" spans="1:15" hidden="1">
      <c r="A10569">
        <v>202312</v>
      </c>
      <c r="B10569" s="6">
        <v>45266</v>
      </c>
      <c r="C10569" t="s">
        <v>3938</v>
      </c>
      <c r="D10569" t="s">
        <v>1843</v>
      </c>
      <c r="E10569">
        <v>7.99</v>
      </c>
      <c r="F10569" s="2" t="str">
        <f>IF(Table2[[#This Row],[Manual Cat Value]]="",VLOOKUP(Table2[[#This Row],[Description]],'Actuals Lookup'!D:F,3,0),Table2[[#This Row],[Manual Cat Value]])</f>
        <v>Exp - Shopping</v>
      </c>
      <c r="H10569" s="8" t="s">
        <v>36</v>
      </c>
      <c r="I10569" s="8"/>
      <c r="O10569" t="str">
        <f>LEFT(Table2[[#This Row],[Description]],75)</f>
        <v>The Company Store</v>
      </c>
    </row>
    <row r="10570" spans="1:15" hidden="1">
      <c r="A10570">
        <v>202312</v>
      </c>
      <c r="B10570" s="6">
        <v>45266</v>
      </c>
      <c r="C10570" t="s">
        <v>5013</v>
      </c>
      <c r="D10570" t="s">
        <v>1849</v>
      </c>
      <c r="E10570">
        <v>5.59</v>
      </c>
      <c r="F10570" s="2" t="str">
        <f>IF(Table2[[#This Row],[Manual Cat Value]]="",VLOOKUP(Table2[[#This Row],[Description]],'Actuals Lookup'!D:F,3,0),Table2[[#This Row],[Manual Cat Value]])</f>
        <v>House Maintenance</v>
      </c>
      <c r="G10570" t="s">
        <v>2</v>
      </c>
      <c r="I10570" s="8"/>
      <c r="O10570" t="str">
        <f>LEFT(Table2[[#This Row],[Description]],75)</f>
        <v>The Home Depot</v>
      </c>
    </row>
    <row r="10571" spans="1:15" hidden="1">
      <c r="A10571">
        <v>202312</v>
      </c>
      <c r="B10571" s="6">
        <v>45266</v>
      </c>
      <c r="C10571" t="s">
        <v>5013</v>
      </c>
      <c r="D10571" t="s">
        <v>5090</v>
      </c>
      <c r="E10571">
        <v>8.2799999999999994</v>
      </c>
      <c r="F10571" s="2" t="str">
        <f>IF(Table2[[#This Row],[Manual Cat Value]]="",VLOOKUP(Table2[[#This Row],[Description]],'Actuals Lookup'!D:F,3,0),Table2[[#This Row],[Manual Cat Value]])</f>
        <v>Exp - Dry Cleaning</v>
      </c>
      <c r="G10571" t="s">
        <v>4745</v>
      </c>
      <c r="H10571" s="8" t="s">
        <v>42</v>
      </c>
      <c r="I10571" s="8"/>
      <c r="O10571" t="str">
        <f>LEFT(Table2[[#This Row],[Description]],75)</f>
        <v>Tide Dry Cleaners</v>
      </c>
    </row>
    <row r="10572" spans="1:15" hidden="1">
      <c r="A10572">
        <v>202312</v>
      </c>
      <c r="B10572" s="6">
        <v>45266</v>
      </c>
      <c r="C10572" t="s">
        <v>2519</v>
      </c>
      <c r="D10572" t="s">
        <v>1955</v>
      </c>
      <c r="E10572">
        <v>17.489999999999998</v>
      </c>
      <c r="F10572" s="2" t="str">
        <f>IF(Table2[[#This Row],[Manual Cat Value]]="",VLOOKUP(Table2[[#This Row],[Description]],'Actuals Lookup'!D:F,3,0),Table2[[#This Row],[Manual Cat Value]])</f>
        <v>Exp - Shopping</v>
      </c>
      <c r="H10572" s="8" t="s">
        <v>36</v>
      </c>
      <c r="I10572" s="8"/>
      <c r="O10572" t="str">
        <f>LEFT(Table2[[#This Row],[Description]],75)</f>
        <v>Transfer to PayPal</v>
      </c>
    </row>
    <row r="10573" spans="1:15" hidden="1">
      <c r="A10573">
        <v>202312</v>
      </c>
      <c r="B10573" s="6">
        <v>45266</v>
      </c>
      <c r="C10573" t="s">
        <v>2519</v>
      </c>
      <c r="D10573" t="s">
        <v>1958</v>
      </c>
      <c r="E10573">
        <v>10</v>
      </c>
      <c r="F10573" s="2" t="str">
        <f>IF(Table2[[#This Row],[Manual Cat Value]]="",VLOOKUP(Table2[[#This Row],[Description]],'Actuals Lookup'!D:F,3,0),Table2[[#This Row],[Manual Cat Value]])</f>
        <v>Exp - Shopping</v>
      </c>
      <c r="H10573" s="8" t="s">
        <v>36</v>
      </c>
      <c r="I10573" s="8"/>
      <c r="O10573" t="str">
        <f>LEFT(Table2[[#This Row],[Description]],75)</f>
        <v>Transfer to Venmo</v>
      </c>
    </row>
    <row r="10574" spans="1:15" hidden="1">
      <c r="A10574">
        <v>202312</v>
      </c>
      <c r="B10574" s="6">
        <v>45266</v>
      </c>
      <c r="C10574" t="s">
        <v>5013</v>
      </c>
      <c r="D10574" t="s">
        <v>5057</v>
      </c>
      <c r="E10574">
        <v>-124.63</v>
      </c>
      <c r="F10574" s="2" t="str">
        <f>IF(Table2[[#This Row],[Manual Cat Value]]="",VLOOKUP(Table2[[#This Row],[Description]],'Actuals Lookup'!D:F,3,0),Table2[[#This Row],[Manual Cat Value]])</f>
        <v>Exp - Shopping</v>
      </c>
      <c r="G10574" t="s">
        <v>4840</v>
      </c>
      <c r="H10574" s="8" t="s">
        <v>36</v>
      </c>
      <c r="I10574" s="8"/>
      <c r="O10574" t="str">
        <f>LEFT(Table2[[#This Row],[Description]],75)</f>
        <v>Williams-sonoma</v>
      </c>
    </row>
    <row r="10575" spans="1:15" hidden="1">
      <c r="A10575">
        <v>202312</v>
      </c>
      <c r="B10575" s="6">
        <v>45266</v>
      </c>
      <c r="C10575" t="s">
        <v>2519</v>
      </c>
      <c r="D10575" t="s">
        <v>1458</v>
      </c>
      <c r="E10575">
        <v>4837.91</v>
      </c>
      <c r="F10575" s="2" t="str">
        <f>IF(Table2[[#This Row],[Manual Cat Value]]="",VLOOKUP(Table2[[#This Row],[Description]],'Actuals Lookup'!D:F,3,0),Table2[[#This Row],[Manual Cat Value]])</f>
        <v>Delete</v>
      </c>
      <c r="H10575" s="8" t="s">
        <v>9</v>
      </c>
      <c r="I10575" s="8"/>
      <c r="O10575" t="str">
        <f>LEFT(Table2[[#This Row],[Description]],75)</f>
        <v>Payment to American Express</v>
      </c>
    </row>
    <row r="10576" spans="1:15" hidden="1">
      <c r="A10576">
        <v>202312</v>
      </c>
      <c r="B10576" s="6">
        <v>45267</v>
      </c>
      <c r="C10576" t="s">
        <v>2519</v>
      </c>
      <c r="D10576" t="s">
        <v>404</v>
      </c>
      <c r="E10576">
        <v>-3594.82</v>
      </c>
      <c r="F10576" s="2" t="str">
        <f>IF(Table2[[#This Row],[Manual Cat Value]]="",VLOOKUP(Table2[[#This Row],[Description]],'Actuals Lookup'!D:F,3,0),Table2[[#This Row],[Manual Cat Value]])</f>
        <v>Inc - Britney</v>
      </c>
      <c r="H10576" s="8" t="s">
        <v>65</v>
      </c>
      <c r="I10576" s="8"/>
      <c r="O10576" t="str">
        <f>LEFT(Table2[[#This Row],[Description]],75)</f>
        <v>Cargill Inc Deposit</v>
      </c>
    </row>
    <row r="10577" spans="1:15" hidden="1">
      <c r="A10577">
        <v>202312</v>
      </c>
      <c r="B10577" s="6">
        <v>45267</v>
      </c>
      <c r="C10577" t="s">
        <v>2519</v>
      </c>
      <c r="D10577" t="s">
        <v>5091</v>
      </c>
      <c r="E10577">
        <v>-2362.33</v>
      </c>
      <c r="F10577" s="2" t="str">
        <f>IF(Table2[[#This Row],[Manual Cat Value]]="",VLOOKUP(Table2[[#This Row],[Description]],'Actuals Lookup'!D:F,3,0),Table2[[#This Row],[Manual Cat Value]])</f>
        <v>Inc - Jeff</v>
      </c>
      <c r="H10577" s="8" t="s">
        <v>63</v>
      </c>
      <c r="I10577" s="8"/>
      <c r="O10577" t="str">
        <f>LEFT(Table2[[#This Row],[Description]],75)</f>
        <v>Deposit ACH EMPYREAN SOLUTIO TYPE: XX9000 ID: XX3620 CO: EMPYREAN SOLUTIO E</v>
      </c>
    </row>
    <row r="10578" spans="1:15" hidden="1">
      <c r="A10578">
        <v>202312</v>
      </c>
      <c r="B10578" s="6">
        <v>45267</v>
      </c>
      <c r="C10578" t="s">
        <v>3938</v>
      </c>
      <c r="D10578" t="s">
        <v>825</v>
      </c>
      <c r="E10578">
        <v>145</v>
      </c>
      <c r="F10578" s="2" t="str">
        <f>IF(Table2[[#This Row],[Manual Cat Value]]="",VLOOKUP(Table2[[#This Row],[Description]],'Actuals Lookup'!D:F,3,0),Table2[[#This Row],[Manual Cat Value]])</f>
        <v>Exp - Shopping</v>
      </c>
      <c r="H10578" s="8" t="s">
        <v>36</v>
      </c>
      <c r="I10578" s="8"/>
      <c r="O10578" t="str">
        <f>LEFT(Table2[[#This Row],[Description]],75)</f>
        <v>Evereve</v>
      </c>
    </row>
    <row r="10579" spans="1:15" hidden="1">
      <c r="A10579">
        <v>202312</v>
      </c>
      <c r="B10579" s="6">
        <v>45267</v>
      </c>
      <c r="C10579" t="s">
        <v>3938</v>
      </c>
      <c r="D10579" t="s">
        <v>825</v>
      </c>
      <c r="E10579">
        <v>129</v>
      </c>
      <c r="F10579" s="2" t="str">
        <f>IF(Table2[[#This Row],[Manual Cat Value]]="",VLOOKUP(Table2[[#This Row],[Description]],'Actuals Lookup'!D:F,3,0),Table2[[#This Row],[Manual Cat Value]])</f>
        <v>Exp - Shopping</v>
      </c>
      <c r="H10579" s="8" t="s">
        <v>36</v>
      </c>
      <c r="I10579" s="8"/>
      <c r="O10579" t="str">
        <f>LEFT(Table2[[#This Row],[Description]],75)</f>
        <v>Evereve</v>
      </c>
    </row>
    <row r="10580" spans="1:15" hidden="1">
      <c r="A10580">
        <v>202312</v>
      </c>
      <c r="B10580" s="6">
        <v>45267</v>
      </c>
      <c r="C10580" t="s">
        <v>2519</v>
      </c>
      <c r="D10580" t="s">
        <v>5092</v>
      </c>
      <c r="E10580">
        <v>60.97</v>
      </c>
      <c r="F10580" s="2" t="str">
        <f>IF(Table2[[#This Row],[Manual Cat Value]]="",VLOOKUP(Table2[[#This Row],[Description]],'Actuals Lookup'!D:F,3,0),Table2[[#This Row],[Manual Cat Value]])</f>
        <v>Exp - Restaurants</v>
      </c>
      <c r="H10580" s="8" t="s">
        <v>25</v>
      </c>
      <c r="I10580" s="8"/>
      <c r="O10580" t="str">
        <f>LEFT(Table2[[#This Row],[Description]],75)</f>
        <v>Na's Thai Cafe</v>
      </c>
    </row>
    <row r="10581" spans="1:15" hidden="1">
      <c r="A10581">
        <v>202312</v>
      </c>
      <c r="B10581" s="6">
        <v>45267</v>
      </c>
      <c r="C10581" t="s">
        <v>2519</v>
      </c>
      <c r="D10581" t="s">
        <v>1958</v>
      </c>
      <c r="E10581">
        <v>125</v>
      </c>
      <c r="F10581" s="2" t="str">
        <f>IF(Table2[[#This Row],[Manual Cat Value]]="",VLOOKUP(Table2[[#This Row],[Description]],'Actuals Lookup'!D:F,3,0),Table2[[#This Row],[Manual Cat Value]])</f>
        <v>Exp - Shopping</v>
      </c>
      <c r="H10581" s="8" t="s">
        <v>36</v>
      </c>
      <c r="I10581" s="8"/>
      <c r="O10581" t="str">
        <f>LEFT(Table2[[#This Row],[Description]],75)</f>
        <v>Transfer to Venmo</v>
      </c>
    </row>
    <row r="10582" spans="1:15" hidden="1">
      <c r="A10582">
        <v>202312</v>
      </c>
      <c r="B10582" s="6">
        <v>45267</v>
      </c>
      <c r="C10582" t="s">
        <v>2519</v>
      </c>
      <c r="D10582" t="s">
        <v>1958</v>
      </c>
      <c r="E10582">
        <v>93</v>
      </c>
      <c r="F10582" s="2" t="str">
        <f>IF(Table2[[#This Row],[Manual Cat Value]]="",VLOOKUP(Table2[[#This Row],[Description]],'Actuals Lookup'!D:F,3,0),Table2[[#This Row],[Manual Cat Value]])</f>
        <v>Exp - Shopping</v>
      </c>
      <c r="H10582" s="8" t="s">
        <v>36</v>
      </c>
      <c r="I10582" s="8"/>
      <c r="O10582" t="str">
        <f>LEFT(Table2[[#This Row],[Description]],75)</f>
        <v>Transfer to Venmo</v>
      </c>
    </row>
    <row r="10583" spans="1:15" hidden="1">
      <c r="A10583">
        <v>202312</v>
      </c>
      <c r="B10583" s="6">
        <v>45267</v>
      </c>
      <c r="C10583" t="s">
        <v>3932</v>
      </c>
      <c r="D10583" t="s">
        <v>3988</v>
      </c>
      <c r="E10583">
        <v>-257.08</v>
      </c>
      <c r="F10583" s="2" t="str">
        <f>IF(Table2[[#This Row],[Manual Cat Value]]="",VLOOKUP(Table2[[#This Row],[Description]],'Actuals Lookup'!D:F,3,0),Table2[[#This Row],[Manual Cat Value]])</f>
        <v>Delete</v>
      </c>
      <c r="G10583" t="s">
        <v>8</v>
      </c>
      <c r="I10583" s="8"/>
      <c r="O10583" t="str">
        <f>LEFT(Table2[[#This Row],[Description]],75)</f>
        <v>Internet Payment - Thank You</v>
      </c>
    </row>
    <row r="10584" spans="1:15" hidden="1">
      <c r="A10584">
        <v>202312</v>
      </c>
      <c r="B10584" s="6">
        <v>45267</v>
      </c>
      <c r="C10584" t="s">
        <v>2519</v>
      </c>
      <c r="D10584" t="s">
        <v>1470</v>
      </c>
      <c r="E10584">
        <v>113.41</v>
      </c>
      <c r="F10584" s="2" t="str">
        <f>IF(Table2[[#This Row],[Manual Cat Value]]="",VLOOKUP(Table2[[#This Row],[Description]],'Actuals Lookup'!D:F,3,0),Table2[[#This Row],[Manual Cat Value]])</f>
        <v>Exp - Utilities</v>
      </c>
      <c r="H10584" s="8" t="s">
        <v>6</v>
      </c>
      <c r="I10584" s="8"/>
      <c r="O10584" t="str">
        <f>LEFT(Table2[[#This Row],[Description]],75)</f>
        <v>Payment to Xcel Energy</v>
      </c>
    </row>
    <row r="10585" spans="1:15" hidden="1">
      <c r="A10585">
        <v>202312</v>
      </c>
      <c r="B10585" s="6">
        <v>45268</v>
      </c>
      <c r="C10585" t="s">
        <v>3938</v>
      </c>
      <c r="D10585" t="s">
        <v>5093</v>
      </c>
      <c r="E10585">
        <v>24.85</v>
      </c>
      <c r="F10585" s="2" t="str">
        <f>IF(Table2[[#This Row],[Manual Cat Value]]="",VLOOKUP(Table2[[#This Row],[Description]],'Actuals Lookup'!D:F,3,0),Table2[[#This Row],[Manual Cat Value]])</f>
        <v>Exp - Amazon</v>
      </c>
      <c r="H10585" s="8" t="s">
        <v>37</v>
      </c>
      <c r="I10585" s="8"/>
      <c r="O10585" t="str">
        <f>LEFT(Table2[[#This Row],[Description]],75)</f>
        <v>AMZN MKTP US*3D72F7CA3 SEATTLE WA REF #XX3106AM2DYG8PKH</v>
      </c>
    </row>
    <row r="10586" spans="1:15" hidden="1">
      <c r="A10586">
        <v>202312</v>
      </c>
      <c r="B10586" s="6">
        <v>45268</v>
      </c>
      <c r="C10586" t="s">
        <v>3938</v>
      </c>
      <c r="D10586" t="s">
        <v>5094</v>
      </c>
      <c r="E10586">
        <v>23.68</v>
      </c>
      <c r="F10586" s="2" t="str">
        <f>IF(Table2[[#This Row],[Manual Cat Value]]="",VLOOKUP(Table2[[#This Row],[Description]],'Actuals Lookup'!D:F,3,0),Table2[[#This Row],[Manual Cat Value]])</f>
        <v>Exp - Amazon</v>
      </c>
      <c r="H10586" s="8" t="s">
        <v>37</v>
      </c>
      <c r="I10586" s="8"/>
      <c r="O10586" t="str">
        <f>LEFT(Table2[[#This Row],[Description]],75)</f>
        <v>AMZN MKTP US*8Q00K16P3 SEATTLE WA REF #XX3106AM2DYW010H</v>
      </c>
    </row>
    <row r="10587" spans="1:15" hidden="1">
      <c r="A10587">
        <v>202312</v>
      </c>
      <c r="B10587" s="6">
        <v>45268</v>
      </c>
      <c r="C10587" t="s">
        <v>5013</v>
      </c>
      <c r="D10587" t="s">
        <v>5095</v>
      </c>
      <c r="E10587">
        <v>30.48</v>
      </c>
      <c r="F10587" s="2" t="str">
        <f>IF(Table2[[#This Row],[Manual Cat Value]]="",VLOOKUP(Table2[[#This Row],[Description]],'Actuals Lookup'!D:F,3,0),Table2[[#This Row],[Manual Cat Value]])</f>
        <v>Restaurants</v>
      </c>
      <c r="G10587" t="s">
        <v>26</v>
      </c>
      <c r="I10587" s="8"/>
      <c r="O10587" t="str">
        <f>LEFT(Table2[[#This Row],[Description]],75)</f>
        <v>Runyon's 5xxxxxx0172minneapolis Mn</v>
      </c>
    </row>
    <row r="10588" spans="1:15" hidden="1">
      <c r="A10588">
        <v>202312</v>
      </c>
      <c r="B10588" s="6">
        <v>45268</v>
      </c>
      <c r="C10588" t="s">
        <v>3938</v>
      </c>
      <c r="D10588" t="s">
        <v>5096</v>
      </c>
      <c r="E10588">
        <v>15.97</v>
      </c>
      <c r="F10588" s="2" t="str">
        <f>IF(Table2[[#This Row],[Manual Cat Value]]="",VLOOKUP(Table2[[#This Row],[Description]],'Actuals Lookup'!D:F,3,0),Table2[[#This Row],[Manual Cat Value]])</f>
        <v>Exp - Restaurants</v>
      </c>
      <c r="H10588" s="8" t="s">
        <v>25</v>
      </c>
      <c r="I10588" s="8"/>
      <c r="O10588" t="str">
        <f>LEFT(Table2[[#This Row],[Description]],75)</f>
        <v>Sweetgreen</v>
      </c>
    </row>
    <row r="10589" spans="1:15" hidden="1">
      <c r="A10589">
        <v>202312</v>
      </c>
      <c r="B10589" s="6">
        <v>45268</v>
      </c>
      <c r="C10589" t="s">
        <v>5013</v>
      </c>
      <c r="D10589" t="s">
        <v>5061</v>
      </c>
      <c r="E10589">
        <v>-545.46</v>
      </c>
      <c r="F10589" s="2" t="str">
        <f>IF(Table2[[#This Row],[Manual Cat Value]]="",VLOOKUP(Table2[[#This Row],[Description]],'Actuals Lookup'!D:F,3,0),Table2[[#This Row],[Manual Cat Value]])</f>
        <v>Exp - Shopping</v>
      </c>
      <c r="G10589" t="s">
        <v>4722</v>
      </c>
      <c r="H10589" s="8" t="s">
        <v>36</v>
      </c>
      <c r="I10589" s="8"/>
      <c r="O10589" t="str">
        <f>LEFT(Table2[[#This Row],[Description]],75)</f>
        <v>The Burton Corporatiburlington Vt</v>
      </c>
    </row>
    <row r="10590" spans="1:15" hidden="1">
      <c r="A10590">
        <v>202312</v>
      </c>
      <c r="B10590" s="6">
        <v>45268</v>
      </c>
      <c r="C10590" t="s">
        <v>5013</v>
      </c>
      <c r="D10590" t="s">
        <v>1849</v>
      </c>
      <c r="E10590">
        <v>57.4</v>
      </c>
      <c r="F10590" s="2" t="str">
        <f>IF(Table2[[#This Row],[Manual Cat Value]]="",VLOOKUP(Table2[[#This Row],[Description]],'Actuals Lookup'!D:F,3,0),Table2[[#This Row],[Manual Cat Value]])</f>
        <v>House Maintenance</v>
      </c>
      <c r="G10590" t="s">
        <v>2</v>
      </c>
      <c r="I10590" s="8"/>
      <c r="O10590" t="str">
        <f>LEFT(Table2[[#This Row],[Description]],75)</f>
        <v>The Home Depot</v>
      </c>
    </row>
    <row r="10591" spans="1:15" hidden="1">
      <c r="A10591">
        <v>202312</v>
      </c>
      <c r="B10591" s="6">
        <v>45268</v>
      </c>
      <c r="C10591" t="s">
        <v>2519</v>
      </c>
      <c r="D10591" t="s">
        <v>1958</v>
      </c>
      <c r="E10591">
        <v>159.09</v>
      </c>
      <c r="F10591" s="2" t="str">
        <f>IF(Table2[[#This Row],[Manual Cat Value]]="",VLOOKUP(Table2[[#This Row],[Description]],'Actuals Lookup'!D:F,3,0),Table2[[#This Row],[Manual Cat Value]])</f>
        <v>Exp - Shopping</v>
      </c>
      <c r="H10591" s="8" t="s">
        <v>36</v>
      </c>
      <c r="I10591" s="8"/>
      <c r="O10591" t="str">
        <f>LEFT(Table2[[#This Row],[Description]],75)</f>
        <v>Transfer to Venmo</v>
      </c>
    </row>
    <row r="10592" spans="1:15" hidden="1">
      <c r="A10592">
        <v>202312</v>
      </c>
      <c r="B10592" s="6">
        <v>45268</v>
      </c>
      <c r="C10592" t="s">
        <v>5013</v>
      </c>
      <c r="D10592" t="s">
        <v>5097</v>
      </c>
      <c r="E10592">
        <v>13.51</v>
      </c>
      <c r="F10592" s="2" t="str">
        <f>IF(Table2[[#This Row],[Manual Cat Value]]="",VLOOKUP(Table2[[#This Row],[Description]],'Actuals Lookup'!D:F,3,0),Table2[[#This Row],[Manual Cat Value]])</f>
        <v>Restaurants</v>
      </c>
      <c r="G10592" t="s">
        <v>26</v>
      </c>
      <c r="I10592" s="8"/>
      <c r="O10592" t="str">
        <f>LEFT(Table2[[#This Row],[Description]],75)</f>
        <v>Tst* Public Domain 0minneapolis Mn</v>
      </c>
    </row>
    <row r="10593" spans="1:15" hidden="1">
      <c r="A10593">
        <v>202312</v>
      </c>
      <c r="B10593" s="6">
        <v>45268</v>
      </c>
      <c r="C10593" t="s">
        <v>3938</v>
      </c>
      <c r="D10593" t="s">
        <v>5098</v>
      </c>
      <c r="E10593">
        <v>9.74</v>
      </c>
      <c r="F10593" s="2" t="str">
        <f>IF(Table2[[#This Row],[Manual Cat Value]]="",VLOOKUP(Table2[[#This Row],[Description]],'Actuals Lookup'!D:F,3,0),Table2[[#This Row],[Manual Cat Value]])</f>
        <v>Exp - Entertainment</v>
      </c>
      <c r="H10593" s="8" t="s">
        <v>39</v>
      </c>
      <c r="I10593" s="8"/>
      <c r="O10593" t="str">
        <f>LEFT(Table2[[#This Row],[Description]],75)</f>
        <v>U OF M-ARBORETUM STORE CHASKA MN REF #XX3829AN2MDD38JV</v>
      </c>
    </row>
    <row r="10594" spans="1:15" hidden="1">
      <c r="A10594">
        <v>202312</v>
      </c>
      <c r="B10594" s="6">
        <v>45268</v>
      </c>
      <c r="C10594" t="s">
        <v>3938</v>
      </c>
      <c r="D10594" t="s">
        <v>5099</v>
      </c>
      <c r="E10594">
        <v>7</v>
      </c>
      <c r="F10594" s="2" t="str">
        <f>IF(Table2[[#This Row],[Manual Cat Value]]="",VLOOKUP(Table2[[#This Row],[Description]],'Actuals Lookup'!D:F,3,0),Table2[[#This Row],[Manual Cat Value]])</f>
        <v>Exp - Entertainment</v>
      </c>
      <c r="H10594" s="8" t="s">
        <v>39</v>
      </c>
      <c r="I10594" s="8"/>
      <c r="O10594" t="str">
        <f>LEFT(Table2[[#This Row],[Description]],75)</f>
        <v>U OF M-EVENTS ARB CHASKA MN REF #XX3829AN2MQGFNMF</v>
      </c>
    </row>
    <row r="10595" spans="1:15" hidden="1">
      <c r="A10595">
        <v>202312</v>
      </c>
      <c r="B10595" s="6">
        <v>45268</v>
      </c>
      <c r="C10595" t="s">
        <v>2519</v>
      </c>
      <c r="D10595" t="s">
        <v>5100</v>
      </c>
      <c r="E10595">
        <v>56</v>
      </c>
      <c r="F10595" s="2" t="str">
        <f>IF(Table2[[#This Row],[Manual Cat Value]]="",VLOOKUP(Table2[[#This Row],[Description]],'Actuals Lookup'!D:F,3,0),Table2[[#This Row],[Manual Cat Value]])</f>
        <v>Exp - Entertainment</v>
      </c>
      <c r="H10595" s="8" t="s">
        <v>39</v>
      </c>
      <c r="I10595" s="8"/>
      <c r="O10595" t="str">
        <f>LEFT(Table2[[#This Row],[Description]],75)</f>
        <v>Withdrawal ACH NORTHERN STAR EV TYPE: SES:XX0350 ID: XX3620 CO: NORTHERN ST</v>
      </c>
    </row>
    <row r="10596" spans="1:15" hidden="1">
      <c r="A10596">
        <v>202312</v>
      </c>
      <c r="B10596" s="6">
        <v>45268</v>
      </c>
      <c r="C10596" t="s">
        <v>2519</v>
      </c>
      <c r="D10596" t="s">
        <v>4293</v>
      </c>
      <c r="E10596">
        <v>429.09</v>
      </c>
      <c r="F10596" s="2" t="str">
        <f>IF(Table2[[#This Row],[Manual Cat Value]]="",VLOOKUP(Table2[[#This Row],[Description]],'Actuals Lookup'!D:F,3,0),Table2[[#This Row],[Manual Cat Value]])</f>
        <v>Delete</v>
      </c>
      <c r="H10596" s="8" t="s">
        <v>9</v>
      </c>
      <c r="I10596" s="8"/>
      <c r="O10596" t="str">
        <f>LEFT(Table2[[#This Row],[Description]],75)</f>
        <v>Withdrawal Home Banking Pmt to card XX5913</v>
      </c>
    </row>
    <row r="10597" spans="1:15" hidden="1">
      <c r="A10597">
        <v>202312</v>
      </c>
      <c r="B10597" s="6">
        <v>45268</v>
      </c>
      <c r="C10597" t="s">
        <v>3938</v>
      </c>
      <c r="D10597" t="s">
        <v>673</v>
      </c>
      <c r="E10597">
        <v>-429.09</v>
      </c>
      <c r="F10597" s="2" t="str">
        <f>IF(Table2[[#This Row],[Manual Cat Value]]="",VLOOKUP(Table2[[#This Row],[Description]],'Actuals Lookup'!D:F,3,0),Table2[[#This Row],[Manual Cat Value]])</f>
        <v>Delete</v>
      </c>
      <c r="H10597" s="8" t="s">
        <v>9</v>
      </c>
      <c r="I10597" s="8"/>
      <c r="O10597" t="str">
        <f>LEFT(Table2[[#This Row],[Description]],75)</f>
        <v>Credit Card Payment Received</v>
      </c>
    </row>
    <row r="10598" spans="1:15" hidden="1">
      <c r="A10598">
        <v>202312</v>
      </c>
      <c r="B10598" s="6">
        <v>45268</v>
      </c>
      <c r="C10598" t="s">
        <v>2519</v>
      </c>
      <c r="D10598" t="s">
        <v>1464</v>
      </c>
      <c r="E10598">
        <v>257.08</v>
      </c>
      <c r="F10598" s="2" t="str">
        <f>IF(Table2[[#This Row],[Manual Cat Value]]="",VLOOKUP(Table2[[#This Row],[Description]],'Actuals Lookup'!D:F,3,0),Table2[[#This Row],[Manual Cat Value]])</f>
        <v>Delete</v>
      </c>
      <c r="H10598" s="8" t="s">
        <v>9</v>
      </c>
      <c r="I10598" s="8"/>
      <c r="O10598" t="str">
        <f>LEFT(Table2[[#This Row],[Description]],75)</f>
        <v>Payment to Discover Bank</v>
      </c>
    </row>
    <row r="10599" spans="1:15" hidden="1">
      <c r="A10599">
        <v>202312</v>
      </c>
      <c r="B10599" s="6">
        <v>45269</v>
      </c>
      <c r="C10599" t="s">
        <v>5013</v>
      </c>
      <c r="D10599" t="s">
        <v>4010</v>
      </c>
      <c r="E10599">
        <v>10.85</v>
      </c>
      <c r="F10599" s="2" t="str">
        <f>IF(Table2[[#This Row],[Manual Cat Value]]="",VLOOKUP(Table2[[#This Row],[Description]],'Actuals Lookup'!D:F,3,0),Table2[[#This Row],[Manual Cat Value]])</f>
        <v>Exp - Utilities</v>
      </c>
      <c r="G10599" t="s">
        <v>51</v>
      </c>
      <c r="H10599" s="8" t="s">
        <v>6</v>
      </c>
      <c r="I10599" s="8"/>
      <c r="O10599" t="str">
        <f>LEFT(Table2[[#This Row],[Description]],75)</f>
        <v>At&amp;t</v>
      </c>
    </row>
    <row r="10600" spans="1:15" hidden="1">
      <c r="A10600">
        <v>202312</v>
      </c>
      <c r="B10600" s="6">
        <v>45269</v>
      </c>
      <c r="C10600" t="s">
        <v>5013</v>
      </c>
      <c r="D10600" t="s">
        <v>4010</v>
      </c>
      <c r="E10600">
        <v>10.85</v>
      </c>
      <c r="F10600" s="2" t="str">
        <f>IF(Table2[[#This Row],[Manual Cat Value]]="",VLOOKUP(Table2[[#This Row],[Description]],'Actuals Lookup'!D:F,3,0),Table2[[#This Row],[Manual Cat Value]])</f>
        <v>Utilities</v>
      </c>
      <c r="G10600" t="s">
        <v>51</v>
      </c>
      <c r="I10600" s="8"/>
      <c r="O10600" t="str">
        <f>LEFT(Table2[[#This Row],[Description]],75)</f>
        <v>At&amp;t</v>
      </c>
    </row>
    <row r="10601" spans="1:15" hidden="1">
      <c r="A10601">
        <v>202312</v>
      </c>
      <c r="B10601" s="6">
        <v>45269</v>
      </c>
      <c r="C10601" t="s">
        <v>5013</v>
      </c>
      <c r="D10601" t="s">
        <v>4917</v>
      </c>
      <c r="E10601">
        <v>59.72</v>
      </c>
      <c r="F10601" s="2" t="str">
        <f>IF(Table2[[#This Row],[Manual Cat Value]]="",VLOOKUP(Table2[[#This Row],[Description]],'Actuals Lookup'!D:F,3,0),Table2[[#This Row],[Manual Cat Value]])</f>
        <v>Exp - Restaurants</v>
      </c>
      <c r="G10601" t="s">
        <v>28</v>
      </c>
      <c r="H10601" s="8" t="s">
        <v>25</v>
      </c>
      <c r="I10601" s="8"/>
      <c r="O10601" t="str">
        <f>LEFT(Table2[[#This Row],[Description]],75)</f>
        <v>Hazelwood Food And Dexcelsior Mn</v>
      </c>
    </row>
    <row r="10602" spans="1:15" hidden="1">
      <c r="A10602">
        <v>202312</v>
      </c>
      <c r="B10602" s="6">
        <v>45269</v>
      </c>
      <c r="C10602" t="s">
        <v>5013</v>
      </c>
      <c r="D10602" t="s">
        <v>4917</v>
      </c>
      <c r="E10602">
        <v>59.72</v>
      </c>
      <c r="F10602" s="2" t="str">
        <f>IF(Table2[[#This Row],[Manual Cat Value]]="",VLOOKUP(Table2[[#This Row],[Description]],'Actuals Lookup'!D:F,3,0),Table2[[#This Row],[Manual Cat Value]])</f>
        <v>Groceries</v>
      </c>
      <c r="G10602" t="s">
        <v>28</v>
      </c>
      <c r="I10602" s="8"/>
      <c r="O10602" t="str">
        <f>LEFT(Table2[[#This Row],[Description]],75)</f>
        <v>Hazelwood Food And Dexcelsior Mn</v>
      </c>
    </row>
    <row r="10603" spans="1:15" hidden="1">
      <c r="A10603">
        <v>202312</v>
      </c>
      <c r="B10603" s="6">
        <v>45270</v>
      </c>
      <c r="C10603" t="s">
        <v>3938</v>
      </c>
      <c r="D10603" t="s">
        <v>945</v>
      </c>
      <c r="E10603">
        <v>40.36</v>
      </c>
      <c r="F10603" s="2" t="str">
        <f>IF(Table2[[#This Row],[Manual Cat Value]]="",VLOOKUP(Table2[[#This Row],[Description]],'Actuals Lookup'!D:F,3,0),Table2[[#This Row],[Manual Cat Value]])</f>
        <v>Exp - Transportation</v>
      </c>
      <c r="H10603" s="8" t="s">
        <v>22</v>
      </c>
      <c r="I10603" s="8"/>
      <c r="O10603" t="str">
        <f>LEFT(Table2[[#This Row],[Description]],75)</f>
        <v>Holiday Stationstores</v>
      </c>
    </row>
    <row r="10604" spans="1:15" hidden="1">
      <c r="A10604">
        <v>202312</v>
      </c>
      <c r="B10604" s="6">
        <v>45270</v>
      </c>
      <c r="C10604" t="s">
        <v>3938</v>
      </c>
      <c r="D10604" t="s">
        <v>1350</v>
      </c>
      <c r="E10604">
        <v>25.6</v>
      </c>
      <c r="F10604" s="2" t="str">
        <f>IF(Table2[[#This Row],[Manual Cat Value]]="",VLOOKUP(Table2[[#This Row],[Description]],'Actuals Lookup'!D:F,3,0),Table2[[#This Row],[Manual Cat Value]])</f>
        <v>Exp - Utilities</v>
      </c>
      <c r="H10604" s="8" t="s">
        <v>6</v>
      </c>
      <c r="I10604" s="8"/>
      <c r="O10604" t="str">
        <f>LEFT(Table2[[#This Row],[Description]],75)</f>
        <v>Netflix</v>
      </c>
    </row>
    <row r="10605" spans="1:15" hidden="1">
      <c r="A10605">
        <v>202312</v>
      </c>
      <c r="B10605" s="6">
        <v>45270</v>
      </c>
      <c r="C10605" t="s">
        <v>3938</v>
      </c>
      <c r="D10605" t="s">
        <v>1477</v>
      </c>
      <c r="E10605">
        <v>47.69</v>
      </c>
      <c r="F10605" s="2" t="str">
        <f>IF(Table2[[#This Row],[Manual Cat Value]]="",VLOOKUP(Table2[[#This Row],[Description]],'Actuals Lookup'!D:F,3,0),Table2[[#This Row],[Manual Cat Value]])</f>
        <v>Exp - Gym</v>
      </c>
      <c r="H10605" s="8" t="s">
        <v>33</v>
      </c>
      <c r="I10605" s="8"/>
      <c r="O10605" t="str">
        <f>LEFT(Table2[[#This Row],[Description]],75)</f>
        <v>Peloton Cycles</v>
      </c>
    </row>
    <row r="10606" spans="1:15" hidden="1">
      <c r="A10606">
        <v>202312</v>
      </c>
      <c r="B10606" s="6">
        <v>45270</v>
      </c>
      <c r="C10606" t="s">
        <v>5013</v>
      </c>
      <c r="D10606" t="s">
        <v>4663</v>
      </c>
      <c r="E10606">
        <v>67.650000000000006</v>
      </c>
      <c r="F10606" s="2" t="str">
        <f>IF(Table2[[#This Row],[Manual Cat Value]]="",VLOOKUP(Table2[[#This Row],[Description]],'Actuals Lookup'!D:F,3,0),Table2[[#This Row],[Manual Cat Value]])</f>
        <v>Restaurants</v>
      </c>
      <c r="G10606" t="s">
        <v>26</v>
      </c>
      <c r="I10606" s="8"/>
      <c r="O10606" t="str">
        <f>LEFT(Table2[[#This Row],[Description]],75)</f>
        <v>Red Cow</v>
      </c>
    </row>
    <row r="10607" spans="1:15" hidden="1">
      <c r="A10607">
        <v>202312</v>
      </c>
      <c r="B10607" s="6">
        <v>45270</v>
      </c>
      <c r="C10607" t="s">
        <v>5013</v>
      </c>
      <c r="D10607" t="s">
        <v>4663</v>
      </c>
      <c r="E10607">
        <v>67.650000000000006</v>
      </c>
      <c r="F10607" s="2" t="str">
        <f>IF(Table2[[#This Row],[Manual Cat Value]]="",VLOOKUP(Table2[[#This Row],[Description]],'Actuals Lookup'!D:F,3,0),Table2[[#This Row],[Manual Cat Value]])</f>
        <v>Restaurants</v>
      </c>
      <c r="G10607" t="s">
        <v>26</v>
      </c>
      <c r="I10607" s="8"/>
      <c r="O10607" t="str">
        <f>LEFT(Table2[[#This Row],[Description]],75)</f>
        <v>Red Cow</v>
      </c>
    </row>
    <row r="10608" spans="1:15" hidden="1">
      <c r="A10608">
        <v>202312</v>
      </c>
      <c r="B10608" s="6">
        <v>45270</v>
      </c>
      <c r="C10608" t="s">
        <v>2519</v>
      </c>
      <c r="D10608" t="s">
        <v>5101</v>
      </c>
      <c r="E10608">
        <v>-184.69</v>
      </c>
      <c r="F10608" s="2" t="str">
        <f>IF(Table2[[#This Row],[Manual Cat Value]]="",VLOOKUP(Table2[[#This Row],[Description]],'Actuals Lookup'!D:F,3,0),Table2[[#This Row],[Manual Cat Value]])</f>
        <v>Delete</v>
      </c>
      <c r="H10608" s="8" t="s">
        <v>9</v>
      </c>
      <c r="I10608" s="8"/>
      <c r="O10608" t="str">
        <f>LEFT(Table2[[#This Row],[Description]],75)</f>
        <v>Deposit ACH eBay ComWLKXTISM TYPE: PAYMENTS ID: XX6000 CO: eBay ComWLKXTISM</v>
      </c>
    </row>
    <row r="10609" spans="1:15" hidden="1">
      <c r="A10609">
        <v>202312</v>
      </c>
      <c r="B10609" s="6">
        <v>45271</v>
      </c>
      <c r="C10609" t="s">
        <v>5013</v>
      </c>
      <c r="D10609" t="s">
        <v>3967</v>
      </c>
      <c r="E10609">
        <v>27.84</v>
      </c>
      <c r="F10609" s="2" t="str">
        <f>IF(Table2[[#This Row],[Manual Cat Value]]="",VLOOKUP(Table2[[#This Row],[Description]],'Actuals Lookup'!D:F,3,0),Table2[[#This Row],[Manual Cat Value]])</f>
        <v>Restaurants</v>
      </c>
      <c r="G10609" t="s">
        <v>26</v>
      </c>
      <c r="I10609" s="8"/>
      <c r="O10609" t="str">
        <f>LEFT(Table2[[#This Row],[Description]],75)</f>
        <v>Chick-fil-a</v>
      </c>
    </row>
    <row r="10610" spans="1:15" hidden="1">
      <c r="A10610">
        <v>202312</v>
      </c>
      <c r="B10610" s="6">
        <v>45271</v>
      </c>
      <c r="C10610" t="s">
        <v>5013</v>
      </c>
      <c r="D10610" t="s">
        <v>3967</v>
      </c>
      <c r="E10610">
        <v>27.84</v>
      </c>
      <c r="F10610" s="2" t="str">
        <f>IF(Table2[[#This Row],[Manual Cat Value]]="",VLOOKUP(Table2[[#This Row],[Description]],'Actuals Lookup'!D:F,3,0),Table2[[#This Row],[Manual Cat Value]])</f>
        <v>Restaurants</v>
      </c>
      <c r="G10610" t="s">
        <v>26</v>
      </c>
      <c r="I10610" s="8"/>
      <c r="O10610" t="str">
        <f>LEFT(Table2[[#This Row],[Description]],75)</f>
        <v>Chick-fil-a</v>
      </c>
    </row>
    <row r="10611" spans="1:15" hidden="1">
      <c r="A10611">
        <v>202312</v>
      </c>
      <c r="B10611" s="6">
        <v>45271</v>
      </c>
      <c r="C10611" t="s">
        <v>5013</v>
      </c>
      <c r="D10611" t="s">
        <v>5041</v>
      </c>
      <c r="E10611">
        <v>-29.25</v>
      </c>
      <c r="F10611" s="2" t="str">
        <f>IF(Table2[[#This Row],[Manual Cat Value]]="",VLOOKUP(Table2[[#This Row],[Description]],'Actuals Lookup'!D:F,3,0),Table2[[#This Row],[Manual Cat Value]])</f>
        <v>Shopping</v>
      </c>
      <c r="G10611" t="s">
        <v>21</v>
      </c>
      <c r="I10611" s="8"/>
      <c r="O10611" t="str">
        <f>LEFT(Table2[[#This Row],[Description]],75)</f>
        <v>Old Navy</v>
      </c>
    </row>
    <row r="10612" spans="1:15" hidden="1">
      <c r="A10612">
        <v>202312</v>
      </c>
      <c r="B10612" s="6">
        <v>45271</v>
      </c>
      <c r="C10612" t="s">
        <v>5013</v>
      </c>
      <c r="D10612" t="s">
        <v>5041</v>
      </c>
      <c r="E10612">
        <v>-29.25</v>
      </c>
      <c r="F10612" s="2" t="str">
        <f>IF(Table2[[#This Row],[Manual Cat Value]]="",VLOOKUP(Table2[[#This Row],[Description]],'Actuals Lookup'!D:F,3,0),Table2[[#This Row],[Manual Cat Value]])</f>
        <v>Shopping</v>
      </c>
      <c r="G10612" t="s">
        <v>21</v>
      </c>
      <c r="I10612" s="8"/>
      <c r="O10612" t="str">
        <f>LEFT(Table2[[#This Row],[Description]],75)</f>
        <v>Old Navy</v>
      </c>
    </row>
    <row r="10613" spans="1:15" hidden="1">
      <c r="A10613">
        <v>202312</v>
      </c>
      <c r="B10613" s="6">
        <v>45271</v>
      </c>
      <c r="C10613" t="s">
        <v>2519</v>
      </c>
      <c r="D10613" t="s">
        <v>1958</v>
      </c>
      <c r="E10613">
        <v>571.20000000000005</v>
      </c>
      <c r="F10613" s="2" t="str">
        <f>IF(Table2[[#This Row],[Manual Cat Value]]="",VLOOKUP(Table2[[#This Row],[Description]],'Actuals Lookup'!D:F,3,0),Table2[[#This Row],[Manual Cat Value]])</f>
        <v>Exp - Shopping</v>
      </c>
      <c r="H10613" s="8" t="s">
        <v>36</v>
      </c>
      <c r="I10613" s="8"/>
      <c r="O10613" t="str">
        <f>LEFT(Table2[[#This Row],[Description]],75)</f>
        <v>Transfer to Venmo</v>
      </c>
    </row>
    <row r="10614" spans="1:15" hidden="1">
      <c r="A10614">
        <v>202312</v>
      </c>
      <c r="B10614" s="6">
        <v>45271</v>
      </c>
      <c r="C10614" t="s">
        <v>2519</v>
      </c>
      <c r="D10614" t="s">
        <v>1958</v>
      </c>
      <c r="E10614">
        <v>20</v>
      </c>
      <c r="F10614" s="2" t="str">
        <f>IF(Table2[[#This Row],[Manual Cat Value]]="",VLOOKUP(Table2[[#This Row],[Description]],'Actuals Lookup'!D:F,3,0),Table2[[#This Row],[Manual Cat Value]])</f>
        <v>Exp - Shopping</v>
      </c>
      <c r="H10614" s="8" t="s">
        <v>36</v>
      </c>
      <c r="I10614" s="8"/>
      <c r="O10614" t="str">
        <f>LEFT(Table2[[#This Row],[Description]],75)</f>
        <v>Transfer to Venmo</v>
      </c>
    </row>
    <row r="10615" spans="1:15" hidden="1">
      <c r="A10615">
        <v>202312</v>
      </c>
      <c r="B10615" s="6">
        <v>45271</v>
      </c>
      <c r="C10615" t="s">
        <v>3938</v>
      </c>
      <c r="D10615" t="s">
        <v>2078</v>
      </c>
      <c r="E10615">
        <v>27.16</v>
      </c>
      <c r="F10615" s="2" t="str">
        <f>IF(Table2[[#This Row],[Manual Cat Value]]="",VLOOKUP(Table2[[#This Row],[Description]],'Actuals Lookup'!D:F,3,0),Table2[[#This Row],[Manual Cat Value]])</f>
        <v>Exp - Transportation</v>
      </c>
      <c r="H10615" s="8" t="s">
        <v>22</v>
      </c>
      <c r="I10615" s="8"/>
      <c r="O10615" t="str">
        <f>LEFT(Table2[[#This Row],[Description]],75)</f>
        <v>Uber</v>
      </c>
    </row>
    <row r="10616" spans="1:15" hidden="1">
      <c r="A10616">
        <v>202312</v>
      </c>
      <c r="B10616" s="6">
        <v>45271</v>
      </c>
      <c r="C10616" t="s">
        <v>2519</v>
      </c>
      <c r="D10616" t="s">
        <v>5102</v>
      </c>
      <c r="E10616">
        <v>-57.71</v>
      </c>
      <c r="F10616" s="2" t="str">
        <f>IF(Table2[[#This Row],[Manual Cat Value]]="",VLOOKUP(Table2[[#This Row],[Description]],'Actuals Lookup'!D:F,3,0),Table2[[#This Row],[Manual Cat Value]])</f>
        <v>Delete</v>
      </c>
      <c r="H10616" s="8" t="s">
        <v>9</v>
      </c>
      <c r="I10616" s="8"/>
      <c r="O10616" t="str">
        <f>LEFT(Table2[[#This Row],[Description]],75)</f>
        <v>Deposit ACH eBay ComDVGUHE3P TYPE: PAYMENTS ID: XX6000 CO: eBay ComDVGUHE3P</v>
      </c>
    </row>
    <row r="10617" spans="1:15" hidden="1">
      <c r="A10617">
        <v>202312</v>
      </c>
      <c r="B10617" s="6">
        <v>45272</v>
      </c>
      <c r="C10617" t="s">
        <v>2519</v>
      </c>
      <c r="D10617" t="s">
        <v>4470</v>
      </c>
      <c r="E10617">
        <v>-38.43</v>
      </c>
      <c r="F10617" s="2" t="str">
        <f>IF(Table2[[#This Row],[Manual Cat Value]]="",VLOOKUP(Table2[[#This Row],[Description]],'Actuals Lookup'!D:F,3,0),Table2[[#This Row],[Manual Cat Value]])</f>
        <v>Delete</v>
      </c>
      <c r="H10617" s="8" t="s">
        <v>9</v>
      </c>
      <c r="I10617" s="8"/>
      <c r="O10617" t="str">
        <f>LEFT(Table2[[#This Row],[Description]],75)</f>
        <v>Connectyourcare Deposit</v>
      </c>
    </row>
    <row r="10618" spans="1:15" hidden="1">
      <c r="A10618">
        <v>202312</v>
      </c>
      <c r="B10618" s="6">
        <v>45272</v>
      </c>
      <c r="C10618" t="s">
        <v>3938</v>
      </c>
      <c r="D10618" t="s">
        <v>4868</v>
      </c>
      <c r="E10618">
        <v>5.99</v>
      </c>
      <c r="F10618" s="2" t="str">
        <f>IF(Table2[[#This Row],[Manual Cat Value]]="",VLOOKUP(Table2[[#This Row],[Description]],'Actuals Lookup'!D:F,3,0),Table2[[#This Row],[Manual Cat Value]])</f>
        <v>Exp - Entertainment</v>
      </c>
      <c r="H10618" s="8" t="s">
        <v>39</v>
      </c>
      <c r="I10618" s="8"/>
      <c r="O10618" t="str">
        <f>LEFT(Table2[[#This Row],[Description]],75)</f>
        <v>Hallmark Movies Now</v>
      </c>
    </row>
    <row r="10619" spans="1:15" hidden="1">
      <c r="A10619">
        <v>202312</v>
      </c>
      <c r="B10619" s="6">
        <v>45272</v>
      </c>
      <c r="C10619" t="s">
        <v>3938</v>
      </c>
      <c r="D10619" t="s">
        <v>1168</v>
      </c>
      <c r="E10619">
        <v>23.83</v>
      </c>
      <c r="F10619" s="2" t="str">
        <f>IF(Table2[[#This Row],[Manual Cat Value]]="",VLOOKUP(Table2[[#This Row],[Description]],'Actuals Lookup'!D:F,3,0),Table2[[#This Row],[Manual Cat Value]])</f>
        <v>Exp - Transportation</v>
      </c>
      <c r="H10619" s="8" t="s">
        <v>22</v>
      </c>
      <c r="I10619" s="8"/>
      <c r="O10619" t="str">
        <f>LEFT(Table2[[#This Row],[Description]],75)</f>
        <v>Lyft</v>
      </c>
    </row>
    <row r="10620" spans="1:15" hidden="1">
      <c r="A10620">
        <v>202312</v>
      </c>
      <c r="B10620" s="6">
        <v>45272</v>
      </c>
      <c r="C10620" t="s">
        <v>5013</v>
      </c>
      <c r="D10620" t="s">
        <v>5103</v>
      </c>
      <c r="E10620">
        <v>192.81</v>
      </c>
      <c r="F10620" s="2" t="str">
        <f>IF(Table2[[#This Row],[Manual Cat Value]]="",VLOOKUP(Table2[[#This Row],[Description]],'Actuals Lookup'!D:F,3,0),Table2[[#This Row],[Manual Cat Value]])</f>
        <v>Exp - Healthcare</v>
      </c>
      <c r="G10620" t="s">
        <v>48</v>
      </c>
      <c r="H10620" s="8" t="s">
        <v>47</v>
      </c>
      <c r="I10620" s="8"/>
      <c r="O10620" t="str">
        <f>LEFT(Table2[[#This Row],[Description]],75)</f>
        <v>Minnesota Urology 00minneapolis Mn</v>
      </c>
    </row>
    <row r="10621" spans="1:15" hidden="1">
      <c r="A10621">
        <v>202312</v>
      </c>
      <c r="B10621" s="6">
        <v>45272</v>
      </c>
      <c r="C10621" t="s">
        <v>5013</v>
      </c>
      <c r="D10621" t="s">
        <v>5103</v>
      </c>
      <c r="E10621">
        <v>192.81</v>
      </c>
      <c r="F10621" s="2" t="str">
        <f>IF(Table2[[#This Row],[Manual Cat Value]]="",VLOOKUP(Table2[[#This Row],[Description]],'Actuals Lookup'!D:F,3,0),Table2[[#This Row],[Manual Cat Value]])</f>
        <v>Healthcare</v>
      </c>
      <c r="G10621" t="s">
        <v>48</v>
      </c>
      <c r="I10621" s="8"/>
      <c r="O10621" t="str">
        <f>LEFT(Table2[[#This Row],[Description]],75)</f>
        <v>Minnesota Urology 00minneapolis Mn</v>
      </c>
    </row>
    <row r="10622" spans="1:15" hidden="1">
      <c r="A10622">
        <v>202312</v>
      </c>
      <c r="B10622" s="6">
        <v>45272</v>
      </c>
      <c r="C10622" t="s">
        <v>5013</v>
      </c>
      <c r="D10622" t="s">
        <v>5081</v>
      </c>
      <c r="E10622">
        <v>-259</v>
      </c>
      <c r="F10622" s="2" t="str">
        <f>IF(Table2[[#This Row],[Manual Cat Value]]="",VLOOKUP(Table2[[#This Row],[Description]],'Actuals Lookup'!D:F,3,0),Table2[[#This Row],[Manual Cat Value]])</f>
        <v>Exp - Shopping</v>
      </c>
      <c r="G10622" t="s">
        <v>4722</v>
      </c>
      <c r="H10622" s="8" t="s">
        <v>36</v>
      </c>
      <c r="I10622" s="8"/>
      <c r="O10622" t="str">
        <f>LEFT(Table2[[#This Row],[Description]],75)</f>
        <v>Rdstr Inc.*montec Chicago Il</v>
      </c>
    </row>
    <row r="10623" spans="1:15" hidden="1">
      <c r="A10623">
        <v>202312</v>
      </c>
      <c r="B10623" s="6">
        <v>45272</v>
      </c>
      <c r="C10623" t="s">
        <v>5013</v>
      </c>
      <c r="D10623" t="s">
        <v>5081</v>
      </c>
      <c r="E10623">
        <v>-259</v>
      </c>
      <c r="F10623" s="2" t="str">
        <f>IF(Table2[[#This Row],[Manual Cat Value]]="",VLOOKUP(Table2[[#This Row],[Description]],'Actuals Lookup'!D:F,3,0),Table2[[#This Row],[Manual Cat Value]])</f>
        <v>Shopping</v>
      </c>
      <c r="G10623" t="s">
        <v>4722</v>
      </c>
      <c r="I10623" s="8"/>
      <c r="O10623" t="str">
        <f>LEFT(Table2[[#This Row],[Description]],75)</f>
        <v>Rdstr Inc.*montec Chicago Il</v>
      </c>
    </row>
    <row r="10624" spans="1:15" hidden="1">
      <c r="A10624">
        <v>202312</v>
      </c>
      <c r="B10624" s="6">
        <v>45272</v>
      </c>
      <c r="C10624" t="s">
        <v>3938</v>
      </c>
      <c r="D10624" t="s">
        <v>1682</v>
      </c>
      <c r="E10624">
        <v>38.43</v>
      </c>
      <c r="F10624" s="2" t="str">
        <f>IF(Table2[[#This Row],[Manual Cat Value]]="",VLOOKUP(Table2[[#This Row],[Description]],'Actuals Lookup'!D:F,3,0),Table2[[#This Row],[Manual Cat Value]])</f>
        <v>Exp - Healthcare</v>
      </c>
      <c r="H10624" s="8" t="s">
        <v>47</v>
      </c>
      <c r="I10624" s="8"/>
      <c r="O10624" t="str">
        <f>LEFT(Table2[[#This Row],[Description]],75)</f>
        <v>South Lake Pediatrics</v>
      </c>
    </row>
    <row r="10625" spans="1:15" hidden="1">
      <c r="A10625">
        <v>202312</v>
      </c>
      <c r="B10625" s="6">
        <v>45272</v>
      </c>
      <c r="C10625" t="s">
        <v>5013</v>
      </c>
      <c r="D10625" t="s">
        <v>5104</v>
      </c>
      <c r="E10625">
        <v>25.5</v>
      </c>
      <c r="F10625" s="2" t="str">
        <f>IF(Table2[[#This Row],[Manual Cat Value]]="",VLOOKUP(Table2[[#This Row],[Description]],'Actuals Lookup'!D:F,3,0),Table2[[#This Row],[Manual Cat Value]])</f>
        <v>Exp - Restaurants</v>
      </c>
      <c r="G10625" t="s">
        <v>28</v>
      </c>
      <c r="H10625" s="8" t="s">
        <v>25</v>
      </c>
      <c r="I10625" s="8"/>
      <c r="O10625" t="str">
        <f>LEFT(Table2[[#This Row],[Description]],75)</f>
        <v>The Winery</v>
      </c>
    </row>
    <row r="10626" spans="1:15" hidden="1">
      <c r="A10626">
        <v>202312</v>
      </c>
      <c r="B10626" s="6">
        <v>45272</v>
      </c>
      <c r="C10626" t="s">
        <v>5013</v>
      </c>
      <c r="D10626" t="s">
        <v>5104</v>
      </c>
      <c r="E10626">
        <v>25.5</v>
      </c>
      <c r="F10626" s="2" t="str">
        <f>IF(Table2[[#This Row],[Manual Cat Value]]="",VLOOKUP(Table2[[#This Row],[Description]],'Actuals Lookup'!D:F,3,0),Table2[[#This Row],[Manual Cat Value]])</f>
        <v>Restaurants</v>
      </c>
      <c r="G10626" t="s">
        <v>28</v>
      </c>
      <c r="I10626" s="8"/>
      <c r="O10626" t="str">
        <f>LEFT(Table2[[#This Row],[Description]],75)</f>
        <v>The Winery</v>
      </c>
    </row>
    <row r="10627" spans="1:15" hidden="1">
      <c r="A10627">
        <v>202312</v>
      </c>
      <c r="B10627" s="6">
        <v>45272</v>
      </c>
      <c r="C10627" t="s">
        <v>2519</v>
      </c>
      <c r="D10627" t="s">
        <v>1934</v>
      </c>
      <c r="E10627">
        <v>-93.75</v>
      </c>
      <c r="F10627" s="2" t="str">
        <f>IF(Table2[[#This Row],[Manual Cat Value]]="",VLOOKUP(Table2[[#This Row],[Description]],'Actuals Lookup'!D:F,3,0),Table2[[#This Row],[Manual Cat Value]])</f>
        <v>Exp - Shopping</v>
      </c>
      <c r="H10627" s="8" t="s">
        <v>36</v>
      </c>
      <c r="I10627" s="8"/>
      <c r="O10627" t="str">
        <f>LEFT(Table2[[#This Row],[Description]],75)</f>
        <v>Transfer from PayPal</v>
      </c>
    </row>
    <row r="10628" spans="1:15" hidden="1">
      <c r="A10628">
        <v>202312</v>
      </c>
      <c r="B10628" s="6">
        <v>45272</v>
      </c>
      <c r="C10628" t="s">
        <v>2519</v>
      </c>
      <c r="D10628" t="s">
        <v>1958</v>
      </c>
      <c r="E10628">
        <v>20</v>
      </c>
      <c r="F10628" s="2" t="str">
        <f>IF(Table2[[#This Row],[Manual Cat Value]]="",VLOOKUP(Table2[[#This Row],[Description]],'Actuals Lookup'!D:F,3,0),Table2[[#This Row],[Manual Cat Value]])</f>
        <v>Exp - Shopping</v>
      </c>
      <c r="H10628" s="8" t="s">
        <v>36</v>
      </c>
      <c r="I10628" s="8"/>
      <c r="O10628" t="str">
        <f>LEFT(Table2[[#This Row],[Description]],75)</f>
        <v>Transfer to Venmo</v>
      </c>
    </row>
    <row r="10629" spans="1:15" hidden="1">
      <c r="A10629">
        <v>202312</v>
      </c>
      <c r="B10629" s="6">
        <v>45272</v>
      </c>
      <c r="C10629" t="s">
        <v>2519</v>
      </c>
      <c r="D10629" t="s">
        <v>5105</v>
      </c>
      <c r="E10629">
        <v>330</v>
      </c>
      <c r="F10629" s="2" t="str">
        <f>IF(Table2[[#This Row],[Manual Cat Value]]="",VLOOKUP(Table2[[#This Row],[Description]],'Actuals Lookup'!D:F,3,0),Table2[[#This Row],[Manual Cat Value]])</f>
        <v>Exp - Day Care</v>
      </c>
      <c r="H10629" s="8" t="s">
        <v>19</v>
      </c>
      <c r="I10629" s="8"/>
      <c r="O10629" t="str">
        <f>LEFT(Table2[[#This Row],[Description]],75)</f>
        <v>Withdrawal ACH MHCHILDCARELLC TYPE: DUES ID: XX8198 CO: MHCHILDCARELLC Entr</v>
      </c>
    </row>
    <row r="10630" spans="1:15" hidden="1">
      <c r="A10630">
        <v>202312</v>
      </c>
      <c r="B10630" s="6">
        <v>45273</v>
      </c>
      <c r="C10630" t="s">
        <v>2519</v>
      </c>
      <c r="D10630" t="s">
        <v>4283</v>
      </c>
      <c r="E10630">
        <v>-129.37</v>
      </c>
      <c r="F10630" s="2" t="str">
        <f>IF(Table2[[#This Row],[Manual Cat Value]]="",VLOOKUP(Table2[[#This Row],[Description]],'Actuals Lookup'!D:F,3,0),Table2[[#This Row],[Manual Cat Value]])</f>
        <v>Inc - Britney</v>
      </c>
      <c r="H10630" s="8" t="s">
        <v>65</v>
      </c>
      <c r="I10630" s="8"/>
      <c r="O10630" t="str">
        <f>LEFT(Table2[[#This Row],[Description]],75)</f>
        <v>Cargill Deposit</v>
      </c>
    </row>
    <row r="10631" spans="1:15" hidden="1">
      <c r="A10631">
        <v>202312</v>
      </c>
      <c r="B10631" s="6">
        <v>45273</v>
      </c>
      <c r="C10631" t="s">
        <v>3938</v>
      </c>
      <c r="D10631" t="s">
        <v>5106</v>
      </c>
      <c r="E10631">
        <v>113.39</v>
      </c>
      <c r="F10631" s="2" t="str">
        <f>IF(Table2[[#This Row],[Manual Cat Value]]="",VLOOKUP(Table2[[#This Row],[Description]],'Actuals Lookup'!D:F,3,0),Table2[[#This Row],[Manual Cat Value]])</f>
        <v>Exp - Shopping</v>
      </c>
      <c r="H10631" s="8" t="s">
        <v>36</v>
      </c>
      <c r="I10631" s="8"/>
      <c r="O10631" t="str">
        <f>LEFT(Table2[[#This Row],[Description]],75)</f>
        <v>Etsy</v>
      </c>
    </row>
    <row r="10632" spans="1:15" hidden="1">
      <c r="A10632">
        <v>202312</v>
      </c>
      <c r="B10632" s="6">
        <v>45273</v>
      </c>
      <c r="C10632" t="s">
        <v>5013</v>
      </c>
      <c r="D10632" t="s">
        <v>5107</v>
      </c>
      <c r="E10632">
        <v>21.65</v>
      </c>
      <c r="F10632" s="2" t="str">
        <f>IF(Table2[[#This Row],[Manual Cat Value]]="",VLOOKUP(Table2[[#This Row],[Description]],'Actuals Lookup'!D:F,3,0),Table2[[#This Row],[Manual Cat Value]])</f>
        <v>Exp - Restaurants</v>
      </c>
      <c r="G10632" t="s">
        <v>5108</v>
      </c>
      <c r="H10632" s="8" t="s">
        <v>25</v>
      </c>
      <c r="I10632" s="8"/>
      <c r="O10632" t="str">
        <f>LEFT(Table2[[#This Row],[Description]],75)</f>
        <v>Lifetime</v>
      </c>
    </row>
    <row r="10633" spans="1:15" hidden="1">
      <c r="A10633">
        <v>202312</v>
      </c>
      <c r="B10633" s="6">
        <v>45273</v>
      </c>
      <c r="C10633" t="s">
        <v>5013</v>
      </c>
      <c r="D10633" t="s">
        <v>5107</v>
      </c>
      <c r="E10633">
        <v>21.65</v>
      </c>
      <c r="F10633" s="2" t="str">
        <f>IF(Table2[[#This Row],[Manual Cat Value]]="",VLOOKUP(Table2[[#This Row],[Description]],'Actuals Lookup'!D:F,3,0),Table2[[#This Row],[Manual Cat Value]])</f>
        <v>Restaurants</v>
      </c>
      <c r="G10633" t="s">
        <v>5108</v>
      </c>
      <c r="I10633" s="8"/>
      <c r="O10633" t="str">
        <f>LEFT(Table2[[#This Row],[Description]],75)</f>
        <v>Lifetime</v>
      </c>
    </row>
    <row r="10634" spans="1:15" hidden="1">
      <c r="A10634">
        <v>202312</v>
      </c>
      <c r="B10634" s="6">
        <v>45273</v>
      </c>
      <c r="C10634" t="s">
        <v>3938</v>
      </c>
      <c r="D10634" t="s">
        <v>5104</v>
      </c>
      <c r="E10634">
        <v>19.510000000000002</v>
      </c>
      <c r="F10634" s="2" t="str">
        <f>IF(Table2[[#This Row],[Manual Cat Value]]="",VLOOKUP(Table2[[#This Row],[Description]],'Actuals Lookup'!D:F,3,0),Table2[[#This Row],[Manual Cat Value]])</f>
        <v>Exp - Restaurants</v>
      </c>
      <c r="H10634" s="8" t="s">
        <v>25</v>
      </c>
      <c r="I10634" s="8"/>
      <c r="O10634" t="str">
        <f>LEFT(Table2[[#This Row],[Description]],75)</f>
        <v>The Winery</v>
      </c>
    </row>
    <row r="10635" spans="1:15" hidden="1">
      <c r="A10635">
        <v>202312</v>
      </c>
      <c r="B10635" s="6">
        <v>45273</v>
      </c>
      <c r="C10635" t="s">
        <v>5013</v>
      </c>
      <c r="D10635" t="s">
        <v>5104</v>
      </c>
      <c r="E10635">
        <v>9.8699999999999992</v>
      </c>
      <c r="F10635" s="2" t="str">
        <f>IF(Table2[[#This Row],[Manual Cat Value]]="",VLOOKUP(Table2[[#This Row],[Description]],'Actuals Lookup'!D:F,3,0),Table2[[#This Row],[Manual Cat Value]])</f>
        <v>Exp - Restaurants</v>
      </c>
      <c r="G10635" t="s">
        <v>28</v>
      </c>
      <c r="H10635" s="8" t="s">
        <v>25</v>
      </c>
      <c r="I10635" s="8"/>
      <c r="O10635" t="str">
        <f>LEFT(Table2[[#This Row],[Description]],75)</f>
        <v>The Winery</v>
      </c>
    </row>
    <row r="10636" spans="1:15" hidden="1">
      <c r="A10636">
        <v>202312</v>
      </c>
      <c r="B10636" s="6">
        <v>45273</v>
      </c>
      <c r="C10636" t="s">
        <v>5013</v>
      </c>
      <c r="D10636" t="s">
        <v>5104</v>
      </c>
      <c r="E10636">
        <v>9.8699999999999992</v>
      </c>
      <c r="F10636" s="2" t="str">
        <f>IF(Table2[[#This Row],[Manual Cat Value]]="",VLOOKUP(Table2[[#This Row],[Description]],'Actuals Lookup'!D:F,3,0),Table2[[#This Row],[Manual Cat Value]])</f>
        <v>Restaurants</v>
      </c>
      <c r="G10636" t="s">
        <v>28</v>
      </c>
      <c r="I10636" s="8"/>
      <c r="O10636" t="str">
        <f>LEFT(Table2[[#This Row],[Description]],75)</f>
        <v>The Winery</v>
      </c>
    </row>
    <row r="10637" spans="1:15" hidden="1">
      <c r="A10637">
        <v>202312</v>
      </c>
      <c r="B10637" s="6">
        <v>45273</v>
      </c>
      <c r="C10637" t="s">
        <v>2519</v>
      </c>
      <c r="D10637" t="s">
        <v>1934</v>
      </c>
      <c r="E10637">
        <v>-350</v>
      </c>
      <c r="F10637" s="2" t="str">
        <f>IF(Table2[[#This Row],[Manual Cat Value]]="",VLOOKUP(Table2[[#This Row],[Description]],'Actuals Lookup'!D:F,3,0),Table2[[#This Row],[Manual Cat Value]])</f>
        <v>Exp - Shopping</v>
      </c>
      <c r="H10637" s="8" t="s">
        <v>36</v>
      </c>
      <c r="I10637" s="8"/>
      <c r="O10637" t="str">
        <f>LEFT(Table2[[#This Row],[Description]],75)</f>
        <v>Transfer from PayPal</v>
      </c>
    </row>
    <row r="10638" spans="1:15" hidden="1">
      <c r="A10638">
        <v>202312</v>
      </c>
      <c r="B10638" s="6">
        <v>45273</v>
      </c>
      <c r="C10638" t="s">
        <v>3938</v>
      </c>
      <c r="D10638" t="s">
        <v>1462</v>
      </c>
      <c r="E10638">
        <v>45</v>
      </c>
      <c r="F10638" s="2" t="str">
        <f>IF(Table2[[#This Row],[Manual Cat Value]]="",VLOOKUP(Table2[[#This Row],[Description]],'Actuals Lookup'!D:F,3,0),Table2[[#This Row],[Manual Cat Value]])</f>
        <v>Exp - Utilities</v>
      </c>
      <c r="H10638" s="8" t="s">
        <v>6</v>
      </c>
      <c r="I10638" s="8"/>
      <c r="O10638" t="str">
        <f>LEFT(Table2[[#This Row],[Description]],75)</f>
        <v>Payment to CenturyLink</v>
      </c>
    </row>
    <row r="10639" spans="1:15" hidden="1">
      <c r="A10639">
        <v>202312</v>
      </c>
      <c r="B10639" s="6">
        <v>45274</v>
      </c>
      <c r="C10639" t="s">
        <v>3932</v>
      </c>
      <c r="D10639" t="s">
        <v>38</v>
      </c>
      <c r="E10639">
        <v>49.23</v>
      </c>
      <c r="F10639" s="2" t="str">
        <f>IF(Table2[[#This Row],[Manual Cat Value]]="",VLOOKUP(Table2[[#This Row],[Description]],'Actuals Lookup'!D:F,3,0),Table2[[#This Row],[Manual Cat Value]])</f>
        <v>Exp - Amazon</v>
      </c>
      <c r="G10639" t="s">
        <v>41</v>
      </c>
      <c r="H10639" s="8" t="s">
        <v>37</v>
      </c>
      <c r="I10639" s="8"/>
      <c r="O10639" t="str">
        <f>LEFT(Table2[[#This Row],[Description]],75)</f>
        <v>Amazon</v>
      </c>
    </row>
    <row r="10640" spans="1:15" hidden="1">
      <c r="A10640">
        <v>202312</v>
      </c>
      <c r="B10640" s="6">
        <v>45274</v>
      </c>
      <c r="C10640" t="s">
        <v>3932</v>
      </c>
      <c r="D10640" t="s">
        <v>38</v>
      </c>
      <c r="E10640">
        <v>49.23</v>
      </c>
      <c r="F10640" s="2" t="str">
        <f>IF(Table2[[#This Row],[Manual Cat Value]]="",VLOOKUP(Table2[[#This Row],[Description]],'Actuals Lookup'!D:F,3,0),Table2[[#This Row],[Manual Cat Value]])</f>
        <v>Amazon</v>
      </c>
      <c r="G10640" t="s">
        <v>41</v>
      </c>
      <c r="I10640" s="8"/>
      <c r="O10640" t="str">
        <f>LEFT(Table2[[#This Row],[Description]],75)</f>
        <v>Amazon</v>
      </c>
    </row>
    <row r="10641" spans="1:15" hidden="1">
      <c r="A10641">
        <v>202312</v>
      </c>
      <c r="B10641" s="6">
        <v>45274</v>
      </c>
      <c r="C10641" t="s">
        <v>2519</v>
      </c>
      <c r="D10641" t="s">
        <v>5109</v>
      </c>
      <c r="E10641">
        <v>1003</v>
      </c>
      <c r="F10641" s="2" t="str">
        <f>IF(Table2[[#This Row],[Manual Cat Value]]="",VLOOKUP(Table2[[#This Row],[Description]],'Actuals Lookup'!D:F,3,0),Table2[[#This Row],[Manual Cat Value]])</f>
        <v>Exp - House Maint</v>
      </c>
      <c r="H10641" s="8" t="s">
        <v>1</v>
      </c>
      <c r="I10641" s="8"/>
      <c r="O10641" t="str">
        <f>LEFT(Table2[[#This Row],[Description]],75)</f>
        <v>ATM Withdrawal at US Bank Chanhassen MN</v>
      </c>
    </row>
    <row r="10642" spans="1:15" hidden="1">
      <c r="A10642">
        <v>202312</v>
      </c>
      <c r="B10642" s="6">
        <v>45274</v>
      </c>
      <c r="C10642" t="s">
        <v>2519</v>
      </c>
      <c r="D10642" t="s">
        <v>4470</v>
      </c>
      <c r="E10642">
        <v>-192.81</v>
      </c>
      <c r="F10642" s="2" t="str">
        <f>IF(Table2[[#This Row],[Manual Cat Value]]="",VLOOKUP(Table2[[#This Row],[Description]],'Actuals Lookup'!D:F,3,0),Table2[[#This Row],[Manual Cat Value]])</f>
        <v>Delete</v>
      </c>
      <c r="H10642" s="8" t="s">
        <v>9</v>
      </c>
      <c r="I10642" s="8"/>
      <c r="O10642" t="str">
        <f>LEFT(Table2[[#This Row],[Description]],75)</f>
        <v>Connectyourcare Deposit</v>
      </c>
    </row>
    <row r="10643" spans="1:15" hidden="1">
      <c r="A10643">
        <v>202312</v>
      </c>
      <c r="B10643" s="6">
        <v>45274</v>
      </c>
      <c r="C10643" t="s">
        <v>2519</v>
      </c>
      <c r="D10643" t="s">
        <v>5080</v>
      </c>
      <c r="E10643">
        <v>-2689.85</v>
      </c>
      <c r="F10643" s="2" t="str">
        <f>IF(Table2[[#This Row],[Manual Cat Value]]="",VLOOKUP(Table2[[#This Row],[Description]],'Actuals Lookup'!D:F,3,0),Table2[[#This Row],[Manual Cat Value]])</f>
        <v>Delete</v>
      </c>
      <c r="H10643" s="8" t="s">
        <v>9</v>
      </c>
      <c r="I10643" s="8"/>
      <c r="O10643" t="str">
        <f>LEFT(Table2[[#This Row],[Description]],75)</f>
        <v>Discover Bank Deposit</v>
      </c>
    </row>
    <row r="10644" spans="1:15" hidden="1">
      <c r="A10644">
        <v>202312</v>
      </c>
      <c r="B10644" s="6">
        <v>45274</v>
      </c>
      <c r="C10644" t="s">
        <v>5013</v>
      </c>
      <c r="D10644" t="s">
        <v>5036</v>
      </c>
      <c r="E10644">
        <v>4</v>
      </c>
      <c r="F10644" s="2" t="str">
        <f>IF(Table2[[#This Row],[Manual Cat Value]]="",VLOOKUP(Table2[[#This Row],[Description]],'Actuals Lookup'!D:F,3,0),Table2[[#This Row],[Manual Cat Value]])</f>
        <v>Exp - Utilities</v>
      </c>
      <c r="G10644" t="s">
        <v>62</v>
      </c>
      <c r="H10644" s="8" t="s">
        <v>6</v>
      </c>
      <c r="I10644" s="8"/>
      <c r="O10644" t="str">
        <f>LEFT(Table2[[#This Row],[Description]],75)</f>
        <v>Google *svcsgns.3349g.co/helppay# Ca</v>
      </c>
    </row>
    <row r="10645" spans="1:15" hidden="1">
      <c r="A10645">
        <v>202312</v>
      </c>
      <c r="B10645" s="6">
        <v>45274</v>
      </c>
      <c r="C10645" t="s">
        <v>5013</v>
      </c>
      <c r="D10645" t="s">
        <v>5036</v>
      </c>
      <c r="E10645">
        <v>4</v>
      </c>
      <c r="F10645" s="2" t="str">
        <f>IF(Table2[[#This Row],[Manual Cat Value]]="",VLOOKUP(Table2[[#This Row],[Description]],'Actuals Lookup'!D:F,3,0),Table2[[#This Row],[Manual Cat Value]])</f>
        <v>Utilities</v>
      </c>
      <c r="G10645" t="s">
        <v>62</v>
      </c>
      <c r="I10645" s="8"/>
      <c r="O10645" t="str">
        <f>LEFT(Table2[[#This Row],[Description]],75)</f>
        <v>Google *svcsgns.3349g.co/helppay# Ca</v>
      </c>
    </row>
    <row r="10646" spans="1:15" hidden="1">
      <c r="A10646">
        <v>202312</v>
      </c>
      <c r="B10646" s="6">
        <v>45274</v>
      </c>
      <c r="C10646" t="s">
        <v>2519</v>
      </c>
      <c r="D10646" t="s">
        <v>4343</v>
      </c>
      <c r="E10646">
        <v>-4481.55</v>
      </c>
      <c r="F10646" s="2" t="str">
        <f>IF(Table2[[#This Row],[Manual Cat Value]]="",VLOOKUP(Table2[[#This Row],[Description]],'Actuals Lookup'!D:F,3,0),Table2[[#This Row],[Manual Cat Value]])</f>
        <v>Inc - Jeff</v>
      </c>
      <c r="H10646" s="8" t="s">
        <v>63</v>
      </c>
      <c r="I10646" s="8"/>
      <c r="O10646" t="str">
        <f>LEFT(Table2[[#This Row],[Description]],75)</f>
        <v>Salary/Regular Income from TriNet</v>
      </c>
    </row>
    <row r="10647" spans="1:15" hidden="1">
      <c r="A10647">
        <v>202312</v>
      </c>
      <c r="B10647" s="6">
        <v>45274</v>
      </c>
      <c r="C10647" t="s">
        <v>5013</v>
      </c>
      <c r="D10647" t="s">
        <v>5110</v>
      </c>
      <c r="E10647">
        <v>53.58</v>
      </c>
      <c r="F10647" s="2" t="str">
        <f>IF(Table2[[#This Row],[Manual Cat Value]]="",VLOOKUP(Table2[[#This Row],[Description]],'Actuals Lookup'!D:F,3,0),Table2[[#This Row],[Manual Cat Value]])</f>
        <v>Exp - Restaurants</v>
      </c>
      <c r="G10647" t="s">
        <v>26</v>
      </c>
      <c r="H10647" s="8" t="s">
        <v>25</v>
      </c>
      <c r="I10647" s="8"/>
      <c r="O10647" t="str">
        <f>LEFT(Table2[[#This Row],[Description]],75)</f>
        <v>Tst* Snack Bar 00009minneapolis Mn</v>
      </c>
    </row>
    <row r="10648" spans="1:15" hidden="1">
      <c r="A10648">
        <v>202312</v>
      </c>
      <c r="B10648" s="6">
        <v>45274</v>
      </c>
      <c r="C10648" t="s">
        <v>5013</v>
      </c>
      <c r="D10648" t="s">
        <v>5110</v>
      </c>
      <c r="E10648">
        <v>53.58</v>
      </c>
      <c r="F10648" s="2" t="str">
        <f>IF(Table2[[#This Row],[Manual Cat Value]]="",VLOOKUP(Table2[[#This Row],[Description]],'Actuals Lookup'!D:F,3,0),Table2[[#This Row],[Manual Cat Value]])</f>
        <v>Restaurants</v>
      </c>
      <c r="G10648" t="s">
        <v>26</v>
      </c>
      <c r="I10648" s="8"/>
      <c r="O10648" t="str">
        <f>LEFT(Table2[[#This Row],[Description]],75)</f>
        <v>Tst* Snack Bar 00009minneapolis Mn</v>
      </c>
    </row>
    <row r="10649" spans="1:15" hidden="1">
      <c r="A10649">
        <v>202312</v>
      </c>
      <c r="B10649" s="6">
        <v>45274</v>
      </c>
      <c r="C10649" t="s">
        <v>2519</v>
      </c>
      <c r="D10649" t="s">
        <v>4293</v>
      </c>
      <c r="E10649">
        <v>468.2</v>
      </c>
      <c r="F10649" s="2" t="str">
        <f>IF(Table2[[#This Row],[Manual Cat Value]]="",VLOOKUP(Table2[[#This Row],[Description]],'Actuals Lookup'!D:F,3,0),Table2[[#This Row],[Manual Cat Value]])</f>
        <v>Delete</v>
      </c>
      <c r="H10649" s="8" t="s">
        <v>9</v>
      </c>
      <c r="I10649" s="8"/>
      <c r="O10649" t="str">
        <f>LEFT(Table2[[#This Row],[Description]],75)</f>
        <v>Withdrawal Home Banking Pmt to card XX5913</v>
      </c>
    </row>
    <row r="10650" spans="1:15" hidden="1">
      <c r="A10650">
        <v>202312</v>
      </c>
      <c r="B10650" s="6">
        <v>45274</v>
      </c>
      <c r="C10650" t="s">
        <v>3938</v>
      </c>
      <c r="D10650" t="s">
        <v>673</v>
      </c>
      <c r="E10650">
        <v>-468.2</v>
      </c>
      <c r="F10650" s="2" t="str">
        <f>IF(Table2[[#This Row],[Manual Cat Value]]="",VLOOKUP(Table2[[#This Row],[Description]],'Actuals Lookup'!D:F,3,0),Table2[[#This Row],[Manual Cat Value]])</f>
        <v>Delete</v>
      </c>
      <c r="H10650" s="8" t="s">
        <v>9</v>
      </c>
      <c r="I10650" s="8"/>
      <c r="O10650" t="str">
        <f>LEFT(Table2[[#This Row],[Description]],75)</f>
        <v>Credit Card Payment Received</v>
      </c>
    </row>
    <row r="10651" spans="1:15" hidden="1">
      <c r="A10651">
        <v>202312</v>
      </c>
      <c r="B10651" s="6">
        <v>45274</v>
      </c>
      <c r="C10651" t="s">
        <v>5013</v>
      </c>
      <c r="D10651" t="s">
        <v>4012</v>
      </c>
      <c r="E10651">
        <v>-122.75</v>
      </c>
      <c r="F10651" s="2" t="str">
        <f>IF(Table2[[#This Row],[Manual Cat Value]]="",VLOOKUP(Table2[[#This Row],[Description]],'Actuals Lookup'!D:F,3,0),Table2[[#This Row],[Manual Cat Value]])</f>
        <v>Delete</v>
      </c>
      <c r="G10651" t="s">
        <v>9</v>
      </c>
      <c r="H10651" s="8" t="s">
        <v>9</v>
      </c>
      <c r="I10651" s="8"/>
      <c r="O10651" t="str">
        <f>LEFT(Table2[[#This Row],[Description]],75)</f>
        <v>Online Payment - Thank You</v>
      </c>
    </row>
    <row r="10652" spans="1:15" hidden="1">
      <c r="A10652">
        <v>202312</v>
      </c>
      <c r="B10652" s="6">
        <v>45274</v>
      </c>
      <c r="C10652" t="s">
        <v>5013</v>
      </c>
      <c r="D10652" t="s">
        <v>4012</v>
      </c>
      <c r="E10652">
        <v>-122.75</v>
      </c>
      <c r="F10652" s="2" t="str">
        <f>IF(Table2[[#This Row],[Manual Cat Value]]="",VLOOKUP(Table2[[#This Row],[Description]],'Actuals Lookup'!D:F,3,0),Table2[[#This Row],[Manual Cat Value]])</f>
        <v>Delete</v>
      </c>
      <c r="G10652" t="s">
        <v>9</v>
      </c>
      <c r="I10652" s="8"/>
      <c r="O10652" t="str">
        <f>LEFT(Table2[[#This Row],[Description]],75)</f>
        <v>Online Payment - Thank You</v>
      </c>
    </row>
    <row r="10653" spans="1:15" hidden="1">
      <c r="A10653">
        <v>202312</v>
      </c>
      <c r="B10653" s="6">
        <v>45274</v>
      </c>
      <c r="C10653" t="s">
        <v>2519</v>
      </c>
      <c r="D10653" t="s">
        <v>4356</v>
      </c>
      <c r="E10653">
        <v>116.77</v>
      </c>
      <c r="F10653" s="2" t="str">
        <f>IF(Table2[[#This Row],[Manual Cat Value]]="",VLOOKUP(Table2[[#This Row],[Description]],'Actuals Lookup'!D:F,3,0),Table2[[#This Row],[Manual Cat Value]])</f>
        <v>Exp - Insurance</v>
      </c>
      <c r="H10653" s="8" t="s">
        <v>17</v>
      </c>
      <c r="I10653" s="8"/>
      <c r="O10653" t="str">
        <f>LEFT(Table2[[#This Row],[Description]],75)</f>
        <v>Payment to American Family Insurance</v>
      </c>
    </row>
    <row r="10654" spans="1:15" hidden="1">
      <c r="A10654">
        <v>202312</v>
      </c>
      <c r="B10654" s="6">
        <v>45275</v>
      </c>
      <c r="C10654" t="s">
        <v>3938</v>
      </c>
      <c r="D10654" t="s">
        <v>2594</v>
      </c>
      <c r="E10654">
        <v>137.96</v>
      </c>
      <c r="F10654" s="2" t="str">
        <f>IF(Table2[[#This Row],[Manual Cat Value]]="",VLOOKUP(Table2[[#This Row],[Description]],'Actuals Lookup'!D:F,3,0),Table2[[#This Row],[Manual Cat Value]])</f>
        <v>Exp - Groceries</v>
      </c>
      <c r="H10654" s="8" t="s">
        <v>27</v>
      </c>
      <c r="I10654" s="8"/>
      <c r="O10654" t="str">
        <f>LEFT(Table2[[#This Row],[Description]],75)</f>
        <v>AdvoCare</v>
      </c>
    </row>
    <row r="10655" spans="1:15" hidden="1">
      <c r="A10655">
        <v>202312</v>
      </c>
      <c r="B10655" s="6">
        <v>45275</v>
      </c>
      <c r="C10655" t="s">
        <v>3938</v>
      </c>
      <c r="D10655" t="s">
        <v>5111</v>
      </c>
      <c r="E10655">
        <v>44.01</v>
      </c>
      <c r="F10655" s="2" t="str">
        <f>IF(Table2[[#This Row],[Manual Cat Value]]="",VLOOKUP(Table2[[#This Row],[Description]],'Actuals Lookup'!D:F,3,0),Table2[[#This Row],[Manual Cat Value]])</f>
        <v>Exp - Amazon</v>
      </c>
      <c r="H10655" s="8" t="s">
        <v>37</v>
      </c>
      <c r="I10655" s="8"/>
      <c r="O10655" t="str">
        <f>LEFT(Table2[[#This Row],[Description]],75)</f>
        <v>AMZN Mktp US*594BE0GK3 Amzn.com/billWA REF #XX9216AW2Y1QVMBH</v>
      </c>
    </row>
    <row r="10656" spans="1:15" hidden="1">
      <c r="A10656">
        <v>202312</v>
      </c>
      <c r="B10656" s="6">
        <v>45275</v>
      </c>
      <c r="C10656" t="s">
        <v>3938</v>
      </c>
      <c r="D10656" t="s">
        <v>5112</v>
      </c>
      <c r="E10656">
        <v>14.99</v>
      </c>
      <c r="F10656" s="2" t="str">
        <f>IF(Table2[[#This Row],[Manual Cat Value]]="",VLOOKUP(Table2[[#This Row],[Description]],'Actuals Lookup'!D:F,3,0),Table2[[#This Row],[Manual Cat Value]])</f>
        <v>Exp - Amazon</v>
      </c>
      <c r="H10656" s="8" t="s">
        <v>37</v>
      </c>
      <c r="I10656" s="8"/>
      <c r="O10656" t="str">
        <f>LEFT(Table2[[#This Row],[Description]],75)</f>
        <v>AMZN Mktp US*HS0TP1TC3 Amzn.com/billWA REF #XX9216AW2XTV2XRY</v>
      </c>
    </row>
    <row r="10657" spans="1:15" hidden="1">
      <c r="A10657">
        <v>202312</v>
      </c>
      <c r="B10657" s="6">
        <v>45275</v>
      </c>
      <c r="C10657" t="s">
        <v>3938</v>
      </c>
      <c r="D10657" t="s">
        <v>5113</v>
      </c>
      <c r="E10657">
        <v>33.21</v>
      </c>
      <c r="F10657" s="2" t="str">
        <f>IF(Table2[[#This Row],[Manual Cat Value]]="",VLOOKUP(Table2[[#This Row],[Description]],'Actuals Lookup'!D:F,3,0),Table2[[#This Row],[Manual Cat Value]])</f>
        <v>Exp - Transportation</v>
      </c>
      <c r="H10657" s="8" t="s">
        <v>22</v>
      </c>
      <c r="I10657" s="8"/>
      <c r="O10657" t="str">
        <f>LEFT(Table2[[#This Row],[Description]],75)</f>
        <v>INTERSTATE PARKING WWW.INTERSTATWI REF #XX9216AX000BM2AN</v>
      </c>
    </row>
    <row r="10658" spans="1:15" hidden="1">
      <c r="A10658">
        <v>202312</v>
      </c>
      <c r="B10658" s="6">
        <v>45275</v>
      </c>
      <c r="C10658" t="s">
        <v>5013</v>
      </c>
      <c r="D10658" t="s">
        <v>1014</v>
      </c>
      <c r="E10658">
        <v>19.18</v>
      </c>
      <c r="F10658" s="2" t="str">
        <f>IF(Table2[[#This Row],[Manual Cat Value]]="",VLOOKUP(Table2[[#This Row],[Description]],'Actuals Lookup'!D:F,3,0),Table2[[#This Row],[Manual Cat Value]])</f>
        <v>Restaurants</v>
      </c>
      <c r="G10658" t="s">
        <v>26</v>
      </c>
      <c r="I10658" s="8"/>
      <c r="O10658" t="str">
        <f>LEFT(Table2[[#This Row],[Description]],75)</f>
        <v>Jimmy John's</v>
      </c>
    </row>
    <row r="10659" spans="1:15" hidden="1">
      <c r="A10659">
        <v>202312</v>
      </c>
      <c r="B10659" s="6">
        <v>45275</v>
      </c>
      <c r="C10659" t="s">
        <v>5013</v>
      </c>
      <c r="D10659" t="s">
        <v>1014</v>
      </c>
      <c r="E10659">
        <v>19.18</v>
      </c>
      <c r="F10659" s="2" t="str">
        <f>IF(Table2[[#This Row],[Manual Cat Value]]="",VLOOKUP(Table2[[#This Row],[Description]],'Actuals Lookup'!D:F,3,0),Table2[[#This Row],[Manual Cat Value]])</f>
        <v>Restaurants</v>
      </c>
      <c r="G10659" t="s">
        <v>26</v>
      </c>
      <c r="I10659" s="8"/>
      <c r="O10659" t="str">
        <f>LEFT(Table2[[#This Row],[Description]],75)</f>
        <v>Jimmy John's</v>
      </c>
    </row>
    <row r="10660" spans="1:15" hidden="1">
      <c r="A10660">
        <v>202312</v>
      </c>
      <c r="B10660" s="6">
        <v>45275</v>
      </c>
      <c r="C10660" t="s">
        <v>5013</v>
      </c>
      <c r="D10660" t="s">
        <v>1083</v>
      </c>
      <c r="E10660">
        <v>38.49</v>
      </c>
      <c r="F10660" s="2" t="str">
        <f>IF(Table2[[#This Row],[Manual Cat Value]]="",VLOOKUP(Table2[[#This Row],[Description]],'Actuals Lookup'!D:F,3,0),Table2[[#This Row],[Manual Cat Value]])</f>
        <v>Transportation</v>
      </c>
      <c r="G10660" t="s">
        <v>23</v>
      </c>
      <c r="I10660" s="8"/>
      <c r="O10660" t="str">
        <f>LEFT(Table2[[#This Row],[Description]],75)</f>
        <v>Kwik Trip</v>
      </c>
    </row>
    <row r="10661" spans="1:15" hidden="1">
      <c r="A10661">
        <v>202312</v>
      </c>
      <c r="B10661" s="6">
        <v>45275</v>
      </c>
      <c r="C10661" t="s">
        <v>5013</v>
      </c>
      <c r="D10661" t="s">
        <v>1083</v>
      </c>
      <c r="E10661">
        <v>38.49</v>
      </c>
      <c r="F10661" s="2" t="str">
        <f>IF(Table2[[#This Row],[Manual Cat Value]]="",VLOOKUP(Table2[[#This Row],[Description]],'Actuals Lookup'!D:F,3,0),Table2[[#This Row],[Manual Cat Value]])</f>
        <v>Transportation</v>
      </c>
      <c r="G10661" t="s">
        <v>23</v>
      </c>
      <c r="I10661" s="8"/>
      <c r="O10661" t="str">
        <f>LEFT(Table2[[#This Row],[Description]],75)</f>
        <v>Kwik Trip</v>
      </c>
    </row>
    <row r="10662" spans="1:15" hidden="1">
      <c r="A10662">
        <v>202312</v>
      </c>
      <c r="B10662" s="6">
        <v>45275</v>
      </c>
      <c r="C10662" t="s">
        <v>2519</v>
      </c>
      <c r="D10662" t="s">
        <v>5114</v>
      </c>
      <c r="E10662">
        <v>1000</v>
      </c>
      <c r="F10662" s="2" t="str">
        <f>IF(Table2[[#This Row],[Manual Cat Value]]="",VLOOKUP(Table2[[#This Row],[Description]],'Actuals Lookup'!D:F,3,0),Table2[[#This Row],[Manual Cat Value]])</f>
        <v>Exp - House Maint</v>
      </c>
      <c r="H10662" s="8" t="s">
        <v>1</v>
      </c>
      <c r="I10662" s="8"/>
      <c r="O10662" t="str">
        <f>LEFT(Table2[[#This Row],[Description]],75)</f>
        <v>Withdrawal ACH TRUITTJEFF B TYPE: Online ID: XX2400 NAME: TRUITTJEFF B Entr</v>
      </c>
    </row>
    <row r="10663" spans="1:15" hidden="1">
      <c r="A10663">
        <v>202312</v>
      </c>
      <c r="B10663" s="6">
        <v>45275</v>
      </c>
      <c r="C10663" t="s">
        <v>2519</v>
      </c>
      <c r="D10663" t="s">
        <v>1458</v>
      </c>
      <c r="E10663">
        <v>122.75</v>
      </c>
      <c r="F10663" s="2" t="str">
        <f>IF(Table2[[#This Row],[Manual Cat Value]]="",VLOOKUP(Table2[[#This Row],[Description]],'Actuals Lookup'!D:F,3,0),Table2[[#This Row],[Manual Cat Value]])</f>
        <v>Delete</v>
      </c>
      <c r="H10663" s="8" t="s">
        <v>9</v>
      </c>
      <c r="I10663" s="8"/>
      <c r="O10663" t="str">
        <f>LEFT(Table2[[#This Row],[Description]],75)</f>
        <v>Payment to American Express</v>
      </c>
    </row>
    <row r="10664" spans="1:15" hidden="1">
      <c r="A10664">
        <v>202312</v>
      </c>
      <c r="B10664" s="6">
        <v>45276</v>
      </c>
      <c r="C10664" t="s">
        <v>5013</v>
      </c>
      <c r="D10664" t="s">
        <v>5115</v>
      </c>
      <c r="E10664">
        <v>48.77</v>
      </c>
      <c r="F10664" s="2" t="str">
        <f>IF(Table2[[#This Row],[Manual Cat Value]]="",VLOOKUP(Table2[[#This Row],[Description]],'Actuals Lookup'!D:F,3,0),Table2[[#This Row],[Manual Cat Value]])</f>
        <v>Restaurants</v>
      </c>
      <c r="G10664" t="s">
        <v>26</v>
      </c>
      <c r="I10664" s="8"/>
      <c r="O10664" t="str">
        <f>LEFT(Table2[[#This Row],[Description]],75)</f>
        <v>Dd *victoriaburrow San Francisco Ca</v>
      </c>
    </row>
    <row r="10665" spans="1:15" hidden="1">
      <c r="A10665">
        <v>202312</v>
      </c>
      <c r="B10665" s="6">
        <v>45276</v>
      </c>
      <c r="C10665" t="s">
        <v>5013</v>
      </c>
      <c r="D10665" t="s">
        <v>5115</v>
      </c>
      <c r="E10665">
        <v>48.77</v>
      </c>
      <c r="F10665" s="2" t="str">
        <f>IF(Table2[[#This Row],[Manual Cat Value]]="",VLOOKUP(Table2[[#This Row],[Description]],'Actuals Lookup'!D:F,3,0),Table2[[#This Row],[Manual Cat Value]])</f>
        <v>Restaurants</v>
      </c>
      <c r="G10665" t="s">
        <v>26</v>
      </c>
      <c r="I10665" s="8"/>
      <c r="O10665" t="str">
        <f>LEFT(Table2[[#This Row],[Description]],75)</f>
        <v>Dd *victoriaburrow San Francisco Ca</v>
      </c>
    </row>
    <row r="10666" spans="1:15" hidden="1">
      <c r="A10666">
        <v>202312</v>
      </c>
      <c r="B10666" s="6">
        <v>45276</v>
      </c>
      <c r="C10666" t="s">
        <v>5013</v>
      </c>
      <c r="D10666" t="s">
        <v>5078</v>
      </c>
      <c r="E10666">
        <v>144.96</v>
      </c>
      <c r="F10666" s="2" t="str">
        <f>IF(Table2[[#This Row],[Manual Cat Value]]="",VLOOKUP(Table2[[#This Row],[Description]],'Actuals Lookup'!D:F,3,0),Table2[[#This Row],[Manual Cat Value]])</f>
        <v>House Maintenance</v>
      </c>
      <c r="G10666" t="s">
        <v>2</v>
      </c>
      <c r="I10666" s="8"/>
      <c r="O10666" t="str">
        <f>LEFT(Table2[[#This Row],[Description]],75)</f>
        <v>Sherwin-williams</v>
      </c>
    </row>
    <row r="10667" spans="1:15" hidden="1">
      <c r="A10667">
        <v>202312</v>
      </c>
      <c r="B10667" s="6">
        <v>45276</v>
      </c>
      <c r="C10667" t="s">
        <v>5013</v>
      </c>
      <c r="D10667" t="s">
        <v>5078</v>
      </c>
      <c r="E10667">
        <v>144.96</v>
      </c>
      <c r="F10667" s="2" t="str">
        <f>IF(Table2[[#This Row],[Manual Cat Value]]="",VLOOKUP(Table2[[#This Row],[Description]],'Actuals Lookup'!D:F,3,0),Table2[[#This Row],[Manual Cat Value]])</f>
        <v>House Maintenance</v>
      </c>
      <c r="G10667" t="s">
        <v>2</v>
      </c>
      <c r="I10667" s="8"/>
      <c r="O10667" t="str">
        <f>LEFT(Table2[[#This Row],[Description]],75)</f>
        <v>Sherwin-williams</v>
      </c>
    </row>
    <row r="10668" spans="1:15" hidden="1">
      <c r="A10668">
        <v>202312</v>
      </c>
      <c r="B10668" s="6">
        <v>45276</v>
      </c>
      <c r="C10668" t="s">
        <v>5013</v>
      </c>
      <c r="D10668" t="s">
        <v>1849</v>
      </c>
      <c r="E10668">
        <v>20.54</v>
      </c>
      <c r="F10668" s="2" t="str">
        <f>IF(Table2[[#This Row],[Manual Cat Value]]="",VLOOKUP(Table2[[#This Row],[Description]],'Actuals Lookup'!D:F,3,0),Table2[[#This Row],[Manual Cat Value]])</f>
        <v>House Maintenance</v>
      </c>
      <c r="G10668" t="s">
        <v>2</v>
      </c>
      <c r="I10668" s="8"/>
      <c r="O10668" t="str">
        <f>LEFT(Table2[[#This Row],[Description]],75)</f>
        <v>The Home Depot</v>
      </c>
    </row>
    <row r="10669" spans="1:15" hidden="1">
      <c r="A10669">
        <v>202312</v>
      </c>
      <c r="B10669" s="6">
        <v>45276</v>
      </c>
      <c r="C10669" t="s">
        <v>5013</v>
      </c>
      <c r="D10669" t="s">
        <v>1849</v>
      </c>
      <c r="E10669">
        <v>20.54</v>
      </c>
      <c r="F10669" s="2" t="str">
        <f>IF(Table2[[#This Row],[Manual Cat Value]]="",VLOOKUP(Table2[[#This Row],[Description]],'Actuals Lookup'!D:F,3,0),Table2[[#This Row],[Manual Cat Value]])</f>
        <v>House Maintenance</v>
      </c>
      <c r="G10669" t="s">
        <v>2</v>
      </c>
      <c r="I10669" s="8"/>
      <c r="O10669" t="str">
        <f>LEFT(Table2[[#This Row],[Description]],75)</f>
        <v>The Home Depot</v>
      </c>
    </row>
    <row r="10670" spans="1:15" hidden="1">
      <c r="A10670">
        <v>202312</v>
      </c>
      <c r="B10670" s="6">
        <v>45277</v>
      </c>
      <c r="C10670" t="s">
        <v>3938</v>
      </c>
      <c r="D10670" t="s">
        <v>684</v>
      </c>
      <c r="E10670">
        <v>5</v>
      </c>
      <c r="F10670" s="2" t="str">
        <f>IF(Table2[[#This Row],[Manual Cat Value]]="",VLOOKUP(Table2[[#This Row],[Description]],'Actuals Lookup'!D:F,3,0),Table2[[#This Row],[Manual Cat Value]])</f>
        <v>Exp - Groceries</v>
      </c>
      <c r="H10670" s="8" t="s">
        <v>27</v>
      </c>
      <c r="I10670" s="8"/>
      <c r="O10670" t="str">
        <f>LEFT(Table2[[#This Row],[Description]],75)</f>
        <v>Cub Foods</v>
      </c>
    </row>
    <row r="10671" spans="1:15" hidden="1">
      <c r="A10671">
        <v>202312</v>
      </c>
      <c r="B10671" s="6">
        <v>45277</v>
      </c>
      <c r="C10671" t="s">
        <v>5013</v>
      </c>
      <c r="D10671" t="s">
        <v>684</v>
      </c>
      <c r="E10671">
        <v>87.78</v>
      </c>
      <c r="F10671" s="2" t="str">
        <f>IF(Table2[[#This Row],[Manual Cat Value]]="",VLOOKUP(Table2[[#This Row],[Description]],'Actuals Lookup'!D:F,3,0),Table2[[#This Row],[Manual Cat Value]])</f>
        <v>Exp - Groceries</v>
      </c>
      <c r="G10671" t="s">
        <v>28</v>
      </c>
      <c r="H10671" s="8" t="s">
        <v>27</v>
      </c>
      <c r="I10671" s="8"/>
      <c r="O10671" t="str">
        <f>LEFT(Table2[[#This Row],[Description]],75)</f>
        <v>Cub Foods</v>
      </c>
    </row>
    <row r="10672" spans="1:15" hidden="1">
      <c r="A10672">
        <v>202312</v>
      </c>
      <c r="B10672" s="6">
        <v>45277</v>
      </c>
      <c r="C10672" t="s">
        <v>5013</v>
      </c>
      <c r="D10672" t="s">
        <v>684</v>
      </c>
      <c r="E10672">
        <v>87.78</v>
      </c>
      <c r="F10672" s="2" t="str">
        <f>IF(Table2[[#This Row],[Manual Cat Value]]="",VLOOKUP(Table2[[#This Row],[Description]],'Actuals Lookup'!D:F,3,0),Table2[[#This Row],[Manual Cat Value]])</f>
        <v>Groceries</v>
      </c>
      <c r="G10672" t="s">
        <v>28</v>
      </c>
      <c r="I10672" s="8"/>
      <c r="O10672" t="str">
        <f>LEFT(Table2[[#This Row],[Description]],75)</f>
        <v>Cub Foods</v>
      </c>
    </row>
    <row r="10673" spans="1:15" hidden="1">
      <c r="A10673">
        <v>202312</v>
      </c>
      <c r="B10673" s="6">
        <v>45277</v>
      </c>
      <c r="C10673" t="s">
        <v>3938</v>
      </c>
      <c r="D10673" t="s">
        <v>5116</v>
      </c>
      <c r="E10673">
        <v>5.5</v>
      </c>
      <c r="F10673" s="2" t="str">
        <f>IF(Table2[[#This Row],[Manual Cat Value]]="",VLOOKUP(Table2[[#This Row],[Description]],'Actuals Lookup'!D:F,3,0),Table2[[#This Row],[Manual Cat Value]])</f>
        <v>Exp - Shopping</v>
      </c>
      <c r="H10673" s="8" t="s">
        <v>36</v>
      </c>
      <c r="I10673" s="8"/>
      <c r="O10673" t="str">
        <f>LEFT(Table2[[#This Row],[Description]],75)</f>
        <v>ONSTREET XX7275 MN REF #XX8930AXR3G8QA2P</v>
      </c>
    </row>
    <row r="10674" spans="1:15" hidden="1">
      <c r="A10674">
        <v>202312</v>
      </c>
      <c r="B10674" s="6">
        <v>45278</v>
      </c>
      <c r="C10674" t="s">
        <v>2519</v>
      </c>
      <c r="D10674" t="s">
        <v>1955</v>
      </c>
      <c r="E10674">
        <v>73.099999999999994</v>
      </c>
      <c r="F10674" s="2" t="str">
        <f>IF(Table2[[#This Row],[Manual Cat Value]]="",VLOOKUP(Table2[[#This Row],[Description]],'Actuals Lookup'!D:F,3,0),Table2[[#This Row],[Manual Cat Value]])</f>
        <v>Exp - Shopping</v>
      </c>
      <c r="H10674" s="8" t="s">
        <v>36</v>
      </c>
      <c r="I10674" s="8"/>
      <c r="O10674" t="str">
        <f>LEFT(Table2[[#This Row],[Description]],75)</f>
        <v>Transfer to PayPal</v>
      </c>
    </row>
    <row r="10675" spans="1:15" hidden="1">
      <c r="A10675">
        <v>202312</v>
      </c>
      <c r="B10675" s="6">
        <v>45278</v>
      </c>
      <c r="C10675" t="s">
        <v>2519</v>
      </c>
      <c r="D10675" t="s">
        <v>5117</v>
      </c>
      <c r="E10675">
        <v>650</v>
      </c>
      <c r="F10675" s="2" t="str">
        <f>IF(Table2[[#This Row],[Manual Cat Value]]="",VLOOKUP(Table2[[#This Row],[Description]],'Actuals Lookup'!D:F,3,0),Table2[[#This Row],[Manual Cat Value]])</f>
        <v>Exp - Day Care</v>
      </c>
      <c r="H10675" s="8" t="s">
        <v>19</v>
      </c>
      <c r="I10675" s="8"/>
      <c r="O10675" t="str">
        <f>LEFT(Table2[[#This Row],[Description]],75)</f>
        <v>Withdrawal ACH MN DIR ACH TYPE: CONTRIB ID: XX7162 CO: MN DIR ACH NAME: XX2</v>
      </c>
    </row>
    <row r="10676" spans="1:15" hidden="1">
      <c r="A10676">
        <v>202312</v>
      </c>
      <c r="B10676" s="6">
        <v>45279</v>
      </c>
      <c r="C10676" t="s">
        <v>5013</v>
      </c>
      <c r="D10676" t="s">
        <v>4870</v>
      </c>
      <c r="E10676">
        <v>10.58</v>
      </c>
      <c r="F10676" s="2" t="str">
        <f>IF(Table2[[#This Row],[Manual Cat Value]]="",VLOOKUP(Table2[[#This Row],[Description]],'Actuals Lookup'!D:F,3,0),Table2[[#This Row],[Manual Cat Value]])</f>
        <v>Exp - Restaurants</v>
      </c>
      <c r="G10676" t="s">
        <v>26</v>
      </c>
      <c r="H10676" s="8" t="s">
        <v>25</v>
      </c>
      <c r="I10676" s="8"/>
      <c r="O10676" t="str">
        <f>LEFT(Table2[[#This Row],[Description]],75)</f>
        <v>Aplpay Wayzata Cafe Wayzata Mn</v>
      </c>
    </row>
    <row r="10677" spans="1:15" hidden="1">
      <c r="A10677">
        <v>202312</v>
      </c>
      <c r="B10677" s="6">
        <v>45279</v>
      </c>
      <c r="C10677" t="s">
        <v>5013</v>
      </c>
      <c r="D10677" t="s">
        <v>4870</v>
      </c>
      <c r="E10677">
        <v>10.58</v>
      </c>
      <c r="F10677" s="2" t="str">
        <f>IF(Table2[[#This Row],[Manual Cat Value]]="",VLOOKUP(Table2[[#This Row],[Description]],'Actuals Lookup'!D:F,3,0),Table2[[#This Row],[Manual Cat Value]])</f>
        <v>Restaurants</v>
      </c>
      <c r="G10677" t="s">
        <v>26</v>
      </c>
      <c r="I10677" s="8"/>
      <c r="O10677" t="str">
        <f>LEFT(Table2[[#This Row],[Description]],75)</f>
        <v>Aplpay Wayzata Cafe Wayzata Mn</v>
      </c>
    </row>
    <row r="10678" spans="1:15" hidden="1">
      <c r="A10678">
        <v>202312</v>
      </c>
      <c r="B10678" s="6">
        <v>45279</v>
      </c>
      <c r="C10678" t="s">
        <v>2519</v>
      </c>
      <c r="D10678" t="s">
        <v>1955</v>
      </c>
      <c r="E10678">
        <v>2.99</v>
      </c>
      <c r="F10678" s="2" t="str">
        <f>IF(Table2[[#This Row],[Manual Cat Value]]="",VLOOKUP(Table2[[#This Row],[Description]],'Actuals Lookup'!D:F,3,0),Table2[[#This Row],[Manual Cat Value]])</f>
        <v>Exp - Shopping</v>
      </c>
      <c r="H10678" s="8" t="s">
        <v>36</v>
      </c>
      <c r="I10678" s="8"/>
      <c r="O10678" t="str">
        <f>LEFT(Table2[[#This Row],[Description]],75)</f>
        <v>Transfer to PayPal</v>
      </c>
    </row>
    <row r="10679" spans="1:15" hidden="1">
      <c r="A10679">
        <v>202312</v>
      </c>
      <c r="B10679" s="6">
        <v>45279</v>
      </c>
      <c r="C10679" t="s">
        <v>2519</v>
      </c>
      <c r="D10679" t="s">
        <v>1958</v>
      </c>
      <c r="E10679">
        <v>76.08</v>
      </c>
      <c r="F10679" s="2" t="str">
        <f>IF(Table2[[#This Row],[Manual Cat Value]]="",VLOOKUP(Table2[[#This Row],[Description]],'Actuals Lookup'!D:F,3,0),Table2[[#This Row],[Manual Cat Value]])</f>
        <v>Exp - Shopping</v>
      </c>
      <c r="H10679" s="8" t="s">
        <v>36</v>
      </c>
      <c r="I10679" s="8"/>
      <c r="O10679" t="str">
        <f>LEFT(Table2[[#This Row],[Description]],75)</f>
        <v>Transfer to Venmo</v>
      </c>
    </row>
    <row r="10680" spans="1:15" hidden="1">
      <c r="A10680">
        <v>202312</v>
      </c>
      <c r="B10680" s="6">
        <v>45279</v>
      </c>
      <c r="C10680" t="s">
        <v>2519</v>
      </c>
      <c r="D10680" t="s">
        <v>5118</v>
      </c>
      <c r="E10680">
        <v>330</v>
      </c>
      <c r="F10680" s="2" t="str">
        <f>IF(Table2[[#This Row],[Manual Cat Value]]="",VLOOKUP(Table2[[#This Row],[Description]],'Actuals Lookup'!D:F,3,0),Table2[[#This Row],[Manual Cat Value]])</f>
        <v>Exp - Day Care</v>
      </c>
      <c r="H10680" s="8" t="s">
        <v>19</v>
      </c>
      <c r="I10680" s="8"/>
      <c r="O10680" t="str">
        <f>LEFT(Table2[[#This Row],[Description]],75)</f>
        <v>Withdrawal ACH MHCHILDCARELLC TYPE: DUES ID: XX8198 CO: MHCHILDCARELLC Entr</v>
      </c>
    </row>
    <row r="10681" spans="1:15" hidden="1">
      <c r="A10681">
        <v>202312</v>
      </c>
      <c r="B10681" s="6">
        <v>45280</v>
      </c>
      <c r="C10681" t="s">
        <v>3932</v>
      </c>
      <c r="D10681" t="s">
        <v>113</v>
      </c>
      <c r="E10681">
        <v>-8.06</v>
      </c>
      <c r="F10681" s="2" t="str">
        <f>IF(Table2[[#This Row],[Manual Cat Value]]="",VLOOKUP(Table2[[#This Row],[Description]],'Actuals Lookup'!D:F,3,0),Table2[[#This Row],[Manual Cat Value]])</f>
        <v>Amazon</v>
      </c>
      <c r="G10681" t="s">
        <v>41</v>
      </c>
      <c r="I10681" s="8"/>
      <c r="O10681" t="str">
        <f>LEFT(Table2[[#This Row],[Description]],75)</f>
        <v>Amazon Marketplace</v>
      </c>
    </row>
    <row r="10682" spans="1:15" hidden="1">
      <c r="A10682">
        <v>202312</v>
      </c>
      <c r="B10682" s="6">
        <v>45280</v>
      </c>
      <c r="C10682" t="s">
        <v>3932</v>
      </c>
      <c r="D10682" t="s">
        <v>5119</v>
      </c>
      <c r="E10682">
        <v>-8.06</v>
      </c>
      <c r="F10682" s="2" t="str">
        <f>IF(Table2[[#This Row],[Manual Cat Value]]="",VLOOKUP(Table2[[#This Row],[Description]],'Actuals Lookup'!D:F,3,0),Table2[[#This Row],[Manual Cat Value]])</f>
        <v>Exp - Amazon</v>
      </c>
      <c r="G10682" t="s">
        <v>4722</v>
      </c>
      <c r="H10682" s="8" t="s">
        <v>37</v>
      </c>
      <c r="I10682" s="8"/>
      <c r="O10682" t="str">
        <f>LEFT(Table2[[#This Row],[Description]],75)</f>
        <v>Amzn Mktp Us Amzn.com/billwa 2ufavqp60jh</v>
      </c>
    </row>
    <row r="10683" spans="1:15" hidden="1">
      <c r="A10683">
        <v>202312</v>
      </c>
      <c r="B10683" s="6">
        <v>45280</v>
      </c>
      <c r="C10683" t="s">
        <v>3938</v>
      </c>
      <c r="D10683" t="s">
        <v>5120</v>
      </c>
      <c r="E10683">
        <v>57</v>
      </c>
      <c r="F10683" s="2" t="str">
        <f>IF(Table2[[#This Row],[Manual Cat Value]]="",VLOOKUP(Table2[[#This Row],[Description]],'Actuals Lookup'!D:F,3,0),Table2[[#This Row],[Manual Cat Value]])</f>
        <v>Exp - Entertainment</v>
      </c>
      <c r="H10683" s="8" t="s">
        <v>39</v>
      </c>
      <c r="I10683" s="8"/>
      <c r="O10683" t="str">
        <f>LEFT(Table2[[#This Row],[Description]],75)</f>
        <v>Children's Museum</v>
      </c>
    </row>
    <row r="10684" spans="1:15" hidden="1">
      <c r="A10684">
        <v>202312</v>
      </c>
      <c r="B10684" s="6">
        <v>45280</v>
      </c>
      <c r="C10684" t="s">
        <v>3938</v>
      </c>
      <c r="D10684" t="s">
        <v>4899</v>
      </c>
      <c r="E10684">
        <v>1.99</v>
      </c>
      <c r="F10684" s="2" t="str">
        <f>IF(Table2[[#This Row],[Manual Cat Value]]="",VLOOKUP(Table2[[#This Row],[Description]],'Actuals Lookup'!D:F,3,0),Table2[[#This Row],[Manual Cat Value]])</f>
        <v>Exp - Utilities</v>
      </c>
      <c r="H10684" s="8" t="s">
        <v>6</v>
      </c>
      <c r="I10684" s="8"/>
      <c r="O10684" t="str">
        <f>LEFT(Table2[[#This Row],[Description]],75)</f>
        <v>Google Cloud Storage</v>
      </c>
    </row>
    <row r="10685" spans="1:15" hidden="1">
      <c r="A10685">
        <v>202312</v>
      </c>
      <c r="B10685" s="6">
        <v>45280</v>
      </c>
      <c r="C10685" t="s">
        <v>5013</v>
      </c>
      <c r="D10685" t="s">
        <v>1925</v>
      </c>
      <c r="E10685">
        <v>158.4</v>
      </c>
      <c r="F10685" s="2" t="str">
        <f>IF(Table2[[#This Row],[Manual Cat Value]]="",VLOOKUP(Table2[[#This Row],[Description]],'Actuals Lookup'!D:F,3,0),Table2[[#This Row],[Manual Cat Value]])</f>
        <v>Groceries</v>
      </c>
      <c r="G10685" t="s">
        <v>28</v>
      </c>
      <c r="I10685" s="8"/>
      <c r="O10685" t="str">
        <f>LEFT(Table2[[#This Row],[Description]],75)</f>
        <v>Total Wine &amp; More</v>
      </c>
    </row>
    <row r="10686" spans="1:15" hidden="1">
      <c r="A10686">
        <v>202312</v>
      </c>
      <c r="B10686" s="6">
        <v>45280</v>
      </c>
      <c r="C10686" t="s">
        <v>5013</v>
      </c>
      <c r="D10686" t="s">
        <v>1925</v>
      </c>
      <c r="E10686">
        <v>158.4</v>
      </c>
      <c r="F10686" s="2" t="str">
        <f>IF(Table2[[#This Row],[Manual Cat Value]]="",VLOOKUP(Table2[[#This Row],[Description]],'Actuals Lookup'!D:F,3,0),Table2[[#This Row],[Manual Cat Value]])</f>
        <v>Groceries</v>
      </c>
      <c r="G10686" t="s">
        <v>28</v>
      </c>
      <c r="I10686" s="8"/>
      <c r="O10686" t="str">
        <f>LEFT(Table2[[#This Row],[Description]],75)</f>
        <v>Total Wine &amp; More</v>
      </c>
    </row>
    <row r="10687" spans="1:15" hidden="1">
      <c r="A10687">
        <v>202312</v>
      </c>
      <c r="B10687" s="6">
        <v>45280</v>
      </c>
      <c r="C10687" t="s">
        <v>2519</v>
      </c>
      <c r="D10687" t="s">
        <v>5121</v>
      </c>
      <c r="E10687">
        <v>503</v>
      </c>
      <c r="F10687" s="2" t="str">
        <f>IF(Table2[[#This Row],[Manual Cat Value]]="",VLOOKUP(Table2[[#This Row],[Description]],'Actuals Lookup'!D:F,3,0),Table2[[#This Row],[Manual Cat Value]])</f>
        <v>Exp - House Maint</v>
      </c>
      <c r="H10687" s="8" t="s">
        <v>1</v>
      </c>
      <c r="I10687" s="8"/>
      <c r="O10687" t="str">
        <f>LEFT(Table2[[#This Row],[Description]],75)</f>
        <v>Withdrawal at ATM #XX 455 POND PROMENADE CHANHASSEN MN</v>
      </c>
    </row>
    <row r="10688" spans="1:15" hidden="1">
      <c r="A10688">
        <v>202312</v>
      </c>
      <c r="B10688" s="6">
        <v>45281</v>
      </c>
      <c r="C10688" t="s">
        <v>3938</v>
      </c>
      <c r="D10688" t="s">
        <v>5122</v>
      </c>
      <c r="E10688">
        <v>11</v>
      </c>
      <c r="F10688" s="2" t="str">
        <f>IF(Table2[[#This Row],[Manual Cat Value]]="",VLOOKUP(Table2[[#This Row],[Description]],'Actuals Lookup'!D:F,3,0),Table2[[#This Row],[Manual Cat Value]])</f>
        <v>Exp - House Maint</v>
      </c>
      <c r="H10688" s="8" t="s">
        <v>1</v>
      </c>
      <c r="I10688" s="8"/>
      <c r="O10688" t="str">
        <f>LEFT(Table2[[#This Row],[Description]],75)</f>
        <v>BONFES PLUMBING HEATING AXX6633 MN REF #XX7539B2S66H9JBN</v>
      </c>
    </row>
    <row r="10689" spans="1:15" hidden="1">
      <c r="A10689">
        <v>202312</v>
      </c>
      <c r="B10689" s="6">
        <v>45281</v>
      </c>
      <c r="C10689" t="s">
        <v>5013</v>
      </c>
      <c r="D10689" t="s">
        <v>5123</v>
      </c>
      <c r="E10689">
        <v>94.27</v>
      </c>
      <c r="F10689" s="2" t="str">
        <f>IF(Table2[[#This Row],[Manual Cat Value]]="",VLOOKUP(Table2[[#This Row],[Description]],'Actuals Lookup'!D:F,3,0),Table2[[#This Row],[Manual Cat Value]])</f>
        <v>Shopping</v>
      </c>
      <c r="G10689" t="s">
        <v>21</v>
      </c>
      <c r="I10689" s="8"/>
      <c r="O10689" t="str">
        <f>LEFT(Table2[[#This Row],[Description]],75)</f>
        <v>Buck Hill Website 65burnsville Mn</v>
      </c>
    </row>
    <row r="10690" spans="1:15" hidden="1">
      <c r="A10690">
        <v>202312</v>
      </c>
      <c r="B10690" s="6">
        <v>45281</v>
      </c>
      <c r="C10690" t="s">
        <v>2519</v>
      </c>
      <c r="D10690" t="s">
        <v>404</v>
      </c>
      <c r="E10690">
        <v>-3594.82</v>
      </c>
      <c r="F10690" s="2" t="str">
        <f>IF(Table2[[#This Row],[Manual Cat Value]]="",VLOOKUP(Table2[[#This Row],[Description]],'Actuals Lookup'!D:F,3,0),Table2[[#This Row],[Manual Cat Value]])</f>
        <v>Inc - Britney</v>
      </c>
      <c r="H10690" s="8" t="s">
        <v>65</v>
      </c>
      <c r="I10690" s="8"/>
      <c r="O10690" t="str">
        <f>LEFT(Table2[[#This Row],[Description]],75)</f>
        <v>Cargill Inc Deposit</v>
      </c>
    </row>
    <row r="10691" spans="1:15" hidden="1">
      <c r="A10691">
        <v>202312</v>
      </c>
      <c r="B10691" s="6">
        <v>45281</v>
      </c>
      <c r="C10691" t="s">
        <v>3938</v>
      </c>
      <c r="D10691" t="s">
        <v>4887</v>
      </c>
      <c r="E10691">
        <v>29.67</v>
      </c>
      <c r="F10691" s="2" t="str">
        <f>IF(Table2[[#This Row],[Manual Cat Value]]="",VLOOKUP(Table2[[#This Row],[Description]],'Actuals Lookup'!D:F,3,0),Table2[[#This Row],[Manual Cat Value]])</f>
        <v>Exp - Transportation</v>
      </c>
      <c r="H10691" s="8" t="s">
        <v>22</v>
      </c>
      <c r="I10691" s="8"/>
      <c r="O10691" t="str">
        <f>LEFT(Table2[[#This Row],[Description]],75)</f>
        <v>Costco Gas Stations</v>
      </c>
    </row>
    <row r="10692" spans="1:15" hidden="1">
      <c r="A10692">
        <v>202312</v>
      </c>
      <c r="B10692" s="6">
        <v>45281</v>
      </c>
      <c r="C10692" t="s">
        <v>2519</v>
      </c>
      <c r="D10692" t="s">
        <v>5124</v>
      </c>
      <c r="E10692">
        <v>-457.8</v>
      </c>
      <c r="F10692" s="2" t="str">
        <f>IF(Table2[[#This Row],[Manual Cat Value]]="",VLOOKUP(Table2[[#This Row],[Description]],'Actuals Lookup'!D:F,3,0),Table2[[#This Row],[Manual Cat Value]])</f>
        <v>Inc - Jeff</v>
      </c>
      <c r="H10692" s="8" t="s">
        <v>63</v>
      </c>
      <c r="I10692" s="8"/>
      <c r="O10692" t="str">
        <f>LEFT(Table2[[#This Row],[Description]],75)</f>
        <v>Deposit ACH EMPYREAN SOLUTIO TYPE: XX9000 ID: XX3620 CO: EMPYREAN SOLUTIO E</v>
      </c>
    </row>
    <row r="10693" spans="1:15" hidden="1">
      <c r="A10693">
        <v>202312</v>
      </c>
      <c r="B10693" s="6">
        <v>45281</v>
      </c>
      <c r="C10693" t="s">
        <v>5013</v>
      </c>
      <c r="D10693" t="s">
        <v>5125</v>
      </c>
      <c r="E10693">
        <v>83.3</v>
      </c>
      <c r="F10693" s="2" t="str">
        <f>IF(Table2[[#This Row],[Manual Cat Value]]="",VLOOKUP(Table2[[#This Row],[Description]],'Actuals Lookup'!D:F,3,0),Table2[[#This Row],[Manual Cat Value]])</f>
        <v>Restaurants</v>
      </c>
      <c r="G10693" t="s">
        <v>26</v>
      </c>
      <c r="I10693" s="8"/>
      <c r="O10693" t="str">
        <f>LEFT(Table2[[#This Row],[Description]],75)</f>
        <v>Lions Tap 0xxxxx0218eden Prairie Mn</v>
      </c>
    </row>
    <row r="10694" spans="1:15" hidden="1">
      <c r="A10694">
        <v>202312</v>
      </c>
      <c r="B10694" s="6">
        <v>45281</v>
      </c>
      <c r="C10694" t="s">
        <v>3938</v>
      </c>
      <c r="D10694" t="s">
        <v>5126</v>
      </c>
      <c r="E10694">
        <v>211.95</v>
      </c>
      <c r="F10694" s="2" t="str">
        <f>IF(Table2[[#This Row],[Manual Cat Value]]="",VLOOKUP(Table2[[#This Row],[Description]],'Actuals Lookup'!D:F,3,0),Table2[[#This Row],[Manual Cat Value]])</f>
        <v>Exp - Shopping</v>
      </c>
      <c r="H10694" s="8" t="s">
        <v>36</v>
      </c>
      <c r="I10694" s="8"/>
      <c r="O10694" t="str">
        <f>LEFT(Table2[[#This Row],[Description]],75)</f>
        <v>SP INDYEVA CANADA DEV CARIGNAN CD REF #XX8342Bx0003N906</v>
      </c>
    </row>
    <row r="10695" spans="1:15" hidden="1">
      <c r="A10695">
        <v>202312</v>
      </c>
      <c r="B10695" s="6">
        <v>45281</v>
      </c>
      <c r="C10695" t="s">
        <v>3932</v>
      </c>
      <c r="D10695" t="s">
        <v>5056</v>
      </c>
      <c r="E10695">
        <v>-408.05</v>
      </c>
      <c r="F10695" s="2" t="str">
        <f>IF(Table2[[#This Row],[Manual Cat Value]]="",VLOOKUP(Table2[[#This Row],[Description]],'Actuals Lookup'!D:F,3,0),Table2[[#This Row],[Manual Cat Value]])</f>
        <v>Shopping</v>
      </c>
      <c r="G10695" t="s">
        <v>4722</v>
      </c>
      <c r="I10695" s="8"/>
      <c r="O10695" t="str">
        <f>LEFT(Table2[[#This Row],[Description]],75)</f>
        <v>Sp Indyeva Canada Dev Xxxxxx4802 Can Apple Pay Ending In 7968</v>
      </c>
    </row>
    <row r="10696" spans="1:15" hidden="1">
      <c r="A10696">
        <v>202312</v>
      </c>
      <c r="B10696" s="6">
        <v>45281</v>
      </c>
      <c r="C10696" t="s">
        <v>2519</v>
      </c>
      <c r="D10696" t="s">
        <v>1958</v>
      </c>
      <c r="E10696">
        <v>125</v>
      </c>
      <c r="F10696" s="2" t="str">
        <f>IF(Table2[[#This Row],[Manual Cat Value]]="",VLOOKUP(Table2[[#This Row],[Description]],'Actuals Lookup'!D:F,3,0),Table2[[#This Row],[Manual Cat Value]])</f>
        <v>Exp - Shopping</v>
      </c>
      <c r="H10696" s="8" t="s">
        <v>36</v>
      </c>
      <c r="I10696" s="8"/>
      <c r="O10696" t="str">
        <f>LEFT(Table2[[#This Row],[Description]],75)</f>
        <v>Transfer to Venmo</v>
      </c>
    </row>
    <row r="10697" spans="1:15" hidden="1">
      <c r="A10697">
        <v>202312</v>
      </c>
      <c r="B10697" s="6">
        <v>45281</v>
      </c>
      <c r="C10697" t="s">
        <v>2519</v>
      </c>
      <c r="D10697" t="s">
        <v>1958</v>
      </c>
      <c r="E10697">
        <v>109</v>
      </c>
      <c r="F10697" s="2" t="str">
        <f>IF(Table2[[#This Row],[Manual Cat Value]]="",VLOOKUP(Table2[[#This Row],[Description]],'Actuals Lookup'!D:F,3,0),Table2[[#This Row],[Manual Cat Value]])</f>
        <v>Exp - Shopping</v>
      </c>
      <c r="H10697" s="8" t="s">
        <v>36</v>
      </c>
      <c r="I10697" s="8"/>
      <c r="O10697" t="str">
        <f>LEFT(Table2[[#This Row],[Description]],75)</f>
        <v>Transfer to Venmo</v>
      </c>
    </row>
    <row r="10698" spans="1:15" hidden="1">
      <c r="A10698">
        <v>202312</v>
      </c>
      <c r="B10698" s="6">
        <v>45281</v>
      </c>
      <c r="C10698" t="s">
        <v>2519</v>
      </c>
      <c r="D10698" t="s">
        <v>5127</v>
      </c>
      <c r="E10698">
        <v>51.21</v>
      </c>
      <c r="F10698" s="2" t="str">
        <f>IF(Table2[[#This Row],[Manual Cat Value]]="",VLOOKUP(Table2[[#This Row],[Description]],'Actuals Lookup'!D:F,3,0),Table2[[#This Row],[Manual Cat Value]])</f>
        <v>Exp - Utilities</v>
      </c>
      <c r="H10698" s="8" t="s">
        <v>6</v>
      </c>
      <c r="I10698" s="8"/>
      <c r="O10698" t="str">
        <f>LEFT(Table2[[#This Row],[Description]],75)</f>
        <v>Withdrawal ACH CITY OF CHANHASS TYPE: UTIL BILL ID: XX5331 CO: CITY OF CHAN</v>
      </c>
    </row>
    <row r="10699" spans="1:15" hidden="1">
      <c r="A10699">
        <v>202312</v>
      </c>
      <c r="B10699" s="6">
        <v>45282</v>
      </c>
      <c r="C10699" t="s">
        <v>3932</v>
      </c>
      <c r="D10699" t="s">
        <v>38</v>
      </c>
      <c r="E10699">
        <v>35.71</v>
      </c>
      <c r="F10699" s="2" t="str">
        <f>IF(Table2[[#This Row],[Manual Cat Value]]="",VLOOKUP(Table2[[#This Row],[Description]],'Actuals Lookup'!D:F,3,0),Table2[[#This Row],[Manual Cat Value]])</f>
        <v>Amazon</v>
      </c>
      <c r="G10699" t="s">
        <v>41</v>
      </c>
      <c r="I10699" s="8"/>
      <c r="O10699" t="str">
        <f>LEFT(Table2[[#This Row],[Description]],75)</f>
        <v>Amazon</v>
      </c>
    </row>
    <row r="10700" spans="1:15" hidden="1">
      <c r="A10700">
        <v>202312</v>
      </c>
      <c r="B10700" s="6">
        <v>45282</v>
      </c>
      <c r="C10700" t="s">
        <v>3932</v>
      </c>
      <c r="D10700" t="s">
        <v>38</v>
      </c>
      <c r="E10700">
        <v>9.31</v>
      </c>
      <c r="F10700" s="2" t="str">
        <f>IF(Table2[[#This Row],[Manual Cat Value]]="",VLOOKUP(Table2[[#This Row],[Description]],'Actuals Lookup'!D:F,3,0),Table2[[#This Row],[Manual Cat Value]])</f>
        <v>Amazon</v>
      </c>
      <c r="G10700" t="s">
        <v>41</v>
      </c>
      <c r="I10700" s="8"/>
      <c r="O10700" t="str">
        <f>LEFT(Table2[[#This Row],[Description]],75)</f>
        <v>Amazon</v>
      </c>
    </row>
    <row r="10701" spans="1:15" hidden="1">
      <c r="A10701">
        <v>202312</v>
      </c>
      <c r="B10701" s="6">
        <v>45282</v>
      </c>
      <c r="C10701" t="s">
        <v>5013</v>
      </c>
      <c r="D10701" t="s">
        <v>4093</v>
      </c>
      <c r="E10701">
        <v>41.32</v>
      </c>
      <c r="F10701" s="2" t="str">
        <f>IF(Table2[[#This Row],[Manual Cat Value]]="",VLOOKUP(Table2[[#This Row],[Description]],'Actuals Lookup'!D:F,3,0),Table2[[#This Row],[Manual Cat Value]])</f>
        <v>Groceries</v>
      </c>
      <c r="G10701" t="s">
        <v>28</v>
      </c>
      <c r="I10701" s="8"/>
      <c r="O10701" t="str">
        <f>LEFT(Table2[[#This Row],[Description]],75)</f>
        <v>Kowalski's Market</v>
      </c>
    </row>
    <row r="10702" spans="1:15" hidden="1">
      <c r="A10702">
        <v>202312</v>
      </c>
      <c r="B10702" s="6">
        <v>45282</v>
      </c>
      <c r="C10702" t="s">
        <v>5013</v>
      </c>
      <c r="D10702" t="s">
        <v>1083</v>
      </c>
      <c r="E10702">
        <v>76.44</v>
      </c>
      <c r="F10702" s="2" t="str">
        <f>IF(Table2[[#This Row],[Manual Cat Value]]="",VLOOKUP(Table2[[#This Row],[Description]],'Actuals Lookup'!D:F,3,0),Table2[[#This Row],[Manual Cat Value]])</f>
        <v>Transportation</v>
      </c>
      <c r="G10702" t="s">
        <v>23</v>
      </c>
      <c r="I10702" s="8"/>
      <c r="O10702" t="str">
        <f>LEFT(Table2[[#This Row],[Description]],75)</f>
        <v>Kwik Trip</v>
      </c>
    </row>
    <row r="10703" spans="1:15" hidden="1">
      <c r="A10703">
        <v>202312</v>
      </c>
      <c r="B10703" s="6">
        <v>45282</v>
      </c>
      <c r="C10703" t="s">
        <v>5013</v>
      </c>
      <c r="D10703" t="s">
        <v>1277</v>
      </c>
      <c r="E10703">
        <v>74.37</v>
      </c>
      <c r="F10703" s="2" t="str">
        <f>IF(Table2[[#This Row],[Manual Cat Value]]="",VLOOKUP(Table2[[#This Row],[Description]],'Actuals Lookup'!D:F,3,0),Table2[[#This Row],[Manual Cat Value]])</f>
        <v>Restaurants</v>
      </c>
      <c r="G10703" t="s">
        <v>26</v>
      </c>
      <c r="I10703" s="8"/>
      <c r="O10703" t="str">
        <f>LEFT(Table2[[#This Row],[Description]],75)</f>
        <v>Miyabi</v>
      </c>
    </row>
    <row r="10704" spans="1:15" hidden="1">
      <c r="A10704">
        <v>202312</v>
      </c>
      <c r="B10704" s="6">
        <v>45282</v>
      </c>
      <c r="C10704" t="s">
        <v>2519</v>
      </c>
      <c r="D10704" t="s">
        <v>4293</v>
      </c>
      <c r="E10704">
        <v>552.28</v>
      </c>
      <c r="F10704" s="2" t="str">
        <f>IF(Table2[[#This Row],[Manual Cat Value]]="",VLOOKUP(Table2[[#This Row],[Description]],'Actuals Lookup'!D:F,3,0),Table2[[#This Row],[Manual Cat Value]])</f>
        <v>Delete</v>
      </c>
      <c r="H10704" s="8" t="s">
        <v>9</v>
      </c>
      <c r="I10704" s="8"/>
      <c r="O10704" t="str">
        <f>LEFT(Table2[[#This Row],[Description]],75)</f>
        <v>Withdrawal Home Banking Pmt to card XX5913</v>
      </c>
    </row>
    <row r="10705" spans="1:15" hidden="1">
      <c r="A10705">
        <v>202312</v>
      </c>
      <c r="B10705" s="6">
        <v>45283</v>
      </c>
      <c r="C10705" t="s">
        <v>5013</v>
      </c>
      <c r="D10705" t="s">
        <v>5128</v>
      </c>
      <c r="E10705">
        <v>181.63</v>
      </c>
      <c r="F10705" s="2" t="str">
        <f>IF(Table2[[#This Row],[Manual Cat Value]]="",VLOOKUP(Table2[[#This Row],[Description]],'Actuals Lookup'!D:F,3,0),Table2[[#This Row],[Manual Cat Value]])</f>
        <v>Restaurants</v>
      </c>
      <c r="G10705" t="s">
        <v>26</v>
      </c>
      <c r="I10705" s="8"/>
      <c r="O10705" t="str">
        <f>LEFT(Table2[[#This Row],[Description]],75)</f>
        <v>Tst* Dukes On 7 0001minnetonka Mn</v>
      </c>
    </row>
    <row r="10706" spans="1:15" hidden="1">
      <c r="A10706">
        <v>202312</v>
      </c>
      <c r="B10706" s="6">
        <v>45284</v>
      </c>
      <c r="C10706" t="s">
        <v>5013</v>
      </c>
      <c r="D10706" t="s">
        <v>684</v>
      </c>
      <c r="E10706">
        <v>1.04</v>
      </c>
      <c r="F10706" s="2" t="str">
        <f>IF(Table2[[#This Row],[Manual Cat Value]]="",VLOOKUP(Table2[[#This Row],[Description]],'Actuals Lookup'!D:F,3,0),Table2[[#This Row],[Manual Cat Value]])</f>
        <v>Groceries</v>
      </c>
      <c r="G10706" t="s">
        <v>28</v>
      </c>
      <c r="I10706" s="8"/>
      <c r="O10706" t="str">
        <f>LEFT(Table2[[#This Row],[Description]],75)</f>
        <v>Cub Foods</v>
      </c>
    </row>
    <row r="10707" spans="1:15" hidden="1">
      <c r="A10707">
        <v>202312</v>
      </c>
      <c r="B10707" s="6">
        <v>45284</v>
      </c>
      <c r="C10707" t="s">
        <v>5013</v>
      </c>
      <c r="D10707" t="s">
        <v>1849</v>
      </c>
      <c r="E10707">
        <v>30.82</v>
      </c>
      <c r="F10707" s="2" t="str">
        <f>IF(Table2[[#This Row],[Manual Cat Value]]="",VLOOKUP(Table2[[#This Row],[Description]],'Actuals Lookup'!D:F,3,0),Table2[[#This Row],[Manual Cat Value]])</f>
        <v>House Maintenance</v>
      </c>
      <c r="G10707" t="s">
        <v>2</v>
      </c>
      <c r="I10707" s="8"/>
      <c r="O10707" t="str">
        <f>LEFT(Table2[[#This Row],[Description]],75)</f>
        <v>The Home Depot</v>
      </c>
    </row>
    <row r="10708" spans="1:15" hidden="1">
      <c r="A10708">
        <v>202312</v>
      </c>
      <c r="B10708" s="6">
        <v>45286</v>
      </c>
      <c r="C10708" t="s">
        <v>5013</v>
      </c>
      <c r="D10708" t="s">
        <v>5078</v>
      </c>
      <c r="E10708">
        <v>319.51</v>
      </c>
      <c r="F10708" s="2" t="str">
        <f>IF(Table2[[#This Row],[Manual Cat Value]]="",VLOOKUP(Table2[[#This Row],[Description]],'Actuals Lookup'!D:F,3,0),Table2[[#This Row],[Manual Cat Value]])</f>
        <v>House Maintenance</v>
      </c>
      <c r="G10708" t="s">
        <v>2</v>
      </c>
      <c r="I10708" s="8"/>
      <c r="O10708" t="str">
        <f>LEFT(Table2[[#This Row],[Description]],75)</f>
        <v>Sherwin-williams</v>
      </c>
    </row>
    <row r="10709" spans="1:15" hidden="1">
      <c r="A10709">
        <v>202312</v>
      </c>
      <c r="B10709" s="6">
        <v>45287</v>
      </c>
      <c r="C10709" t="s">
        <v>3932</v>
      </c>
      <c r="D10709" t="s">
        <v>38</v>
      </c>
      <c r="E10709">
        <v>19.5</v>
      </c>
      <c r="F10709" s="2" t="str">
        <f>IF(Table2[[#This Row],[Manual Cat Value]]="",VLOOKUP(Table2[[#This Row],[Description]],'Actuals Lookup'!D:F,3,0),Table2[[#This Row],[Manual Cat Value]])</f>
        <v>Amazon</v>
      </c>
      <c r="G10709" t="s">
        <v>41</v>
      </c>
      <c r="I10709" s="8"/>
      <c r="O10709" t="str">
        <f>LEFT(Table2[[#This Row],[Description]],75)</f>
        <v>Amazon</v>
      </c>
    </row>
    <row r="10710" spans="1:15" hidden="1">
      <c r="A10710">
        <v>202312</v>
      </c>
      <c r="B10710" s="6">
        <v>45287</v>
      </c>
      <c r="C10710" t="s">
        <v>5013</v>
      </c>
      <c r="D10710" t="s">
        <v>1929</v>
      </c>
      <c r="E10710">
        <v>365.19</v>
      </c>
      <c r="F10710" s="2" t="str">
        <f>IF(Table2[[#This Row],[Manual Cat Value]]="",VLOOKUP(Table2[[#This Row],[Description]],'Actuals Lookup'!D:F,3,0),Table2[[#This Row],[Manual Cat Value]])</f>
        <v>Transportation</v>
      </c>
      <c r="G10710" t="s">
        <v>23</v>
      </c>
      <c r="I10710" s="8"/>
      <c r="O10710" t="str">
        <f>LEFT(Table2[[#This Row],[Description]],75)</f>
        <v>Toyota</v>
      </c>
    </row>
    <row r="10711" spans="1:15" hidden="1">
      <c r="A10711">
        <v>202312</v>
      </c>
      <c r="B10711" s="6">
        <v>45288</v>
      </c>
      <c r="C10711" t="s">
        <v>3932</v>
      </c>
      <c r="D10711" t="s">
        <v>38</v>
      </c>
      <c r="E10711">
        <v>187.98</v>
      </c>
      <c r="F10711" s="2" t="str">
        <f>IF(Table2[[#This Row],[Manual Cat Value]]="",VLOOKUP(Table2[[#This Row],[Description]],'Actuals Lookup'!D:F,3,0),Table2[[#This Row],[Manual Cat Value]])</f>
        <v>Amazon</v>
      </c>
      <c r="G10711" t="s">
        <v>41</v>
      </c>
      <c r="I10711" s="8"/>
      <c r="O10711" t="str">
        <f>LEFT(Table2[[#This Row],[Description]],75)</f>
        <v>Amazon</v>
      </c>
    </row>
    <row r="10712" spans="1:15" hidden="1">
      <c r="A10712">
        <v>202312</v>
      </c>
      <c r="B10712" s="6">
        <v>45288</v>
      </c>
      <c r="C10712" t="s">
        <v>3932</v>
      </c>
      <c r="D10712" t="s">
        <v>38</v>
      </c>
      <c r="E10712">
        <v>41.51</v>
      </c>
      <c r="F10712" s="2" t="str">
        <f>IF(Table2[[#This Row],[Manual Cat Value]]="",VLOOKUP(Table2[[#This Row],[Description]],'Actuals Lookup'!D:F,3,0),Table2[[#This Row],[Manual Cat Value]])</f>
        <v>Amazon</v>
      </c>
      <c r="G10712" t="s">
        <v>41</v>
      </c>
      <c r="I10712" s="8"/>
      <c r="O10712" t="str">
        <f>LEFT(Table2[[#This Row],[Description]],75)</f>
        <v>Amazon</v>
      </c>
    </row>
    <row r="10713" spans="1:15" hidden="1">
      <c r="A10713">
        <v>202312</v>
      </c>
      <c r="B10713" s="6">
        <v>45289</v>
      </c>
      <c r="C10713" t="s">
        <v>3932</v>
      </c>
      <c r="D10713" t="s">
        <v>38</v>
      </c>
      <c r="E10713">
        <v>1.71</v>
      </c>
      <c r="F10713" s="2" t="str">
        <f>IF(Table2[[#This Row],[Manual Cat Value]]="",VLOOKUP(Table2[[#This Row],[Description]],'Actuals Lookup'!D:F,3,0),Table2[[#This Row],[Manual Cat Value]])</f>
        <v>Amazon</v>
      </c>
      <c r="G10713" t="s">
        <v>38</v>
      </c>
      <c r="I10713" s="8"/>
      <c r="O10713" t="str">
        <f>LEFT(Table2[[#This Row],[Description]],75)</f>
        <v>Amazon</v>
      </c>
    </row>
    <row r="10714" spans="1:15" hidden="1">
      <c r="A10714">
        <v>202312</v>
      </c>
      <c r="B10714" s="6">
        <v>45289</v>
      </c>
      <c r="C10714" t="s">
        <v>5013</v>
      </c>
      <c r="D10714" t="s">
        <v>5129</v>
      </c>
      <c r="E10714">
        <v>47.95</v>
      </c>
      <c r="F10714" s="2" t="str">
        <f>IF(Table2[[#This Row],[Manual Cat Value]]="",VLOOKUP(Table2[[#This Row],[Description]],'Actuals Lookup'!D:F,3,0),Table2[[#This Row],[Manual Cat Value]])</f>
        <v>Restaurants</v>
      </c>
      <c r="G10714" t="s">
        <v>26</v>
      </c>
      <c r="I10714" s="8"/>
      <c r="O10714" t="str">
        <f>LEFT(Table2[[#This Row],[Description]],75)</f>
        <v>Base Camp Pizza Co.</v>
      </c>
    </row>
    <row r="10715" spans="1:15" hidden="1">
      <c r="A10715">
        <v>202312</v>
      </c>
      <c r="B10715" s="6">
        <v>45289</v>
      </c>
      <c r="C10715" t="s">
        <v>5013</v>
      </c>
      <c r="D10715" t="s">
        <v>5130</v>
      </c>
      <c r="E10715">
        <v>36.799999999999997</v>
      </c>
      <c r="F10715" s="2" t="str">
        <f>IF(Table2[[#This Row],[Manual Cat Value]]="",VLOOKUP(Table2[[#This Row],[Description]],'Actuals Lookup'!D:F,3,0),Table2[[#This Row],[Manual Cat Value]])</f>
        <v>Shopping</v>
      </c>
      <c r="G10715" t="s">
        <v>21</v>
      </c>
      <c r="I10715" s="8"/>
      <c r="O10715" t="str">
        <f>LEFT(Table2[[#This Row],[Description]],75)</f>
        <v>Beach Retreat And Losouth Lake Ta Ca</v>
      </c>
    </row>
    <row r="10716" spans="1:15" hidden="1">
      <c r="A10716">
        <v>202312</v>
      </c>
      <c r="B10716" s="6">
        <v>45289</v>
      </c>
      <c r="C10716" t="s">
        <v>5013</v>
      </c>
      <c r="D10716" t="s">
        <v>5131</v>
      </c>
      <c r="E10716">
        <v>208.53</v>
      </c>
      <c r="F10716" s="2" t="str">
        <f>IF(Table2[[#This Row],[Manual Cat Value]]="",VLOOKUP(Table2[[#This Row],[Description]],'Actuals Lookup'!D:F,3,0),Table2[[#This Row],[Manual Cat Value]])</f>
        <v>Groceries</v>
      </c>
      <c r="G10716" t="s">
        <v>28</v>
      </c>
      <c r="I10716" s="8"/>
      <c r="O10716" t="str">
        <f>LEFT(Table2[[#This Row],[Description]],75)</f>
        <v>Dart Beverage Centerstateline Nv</v>
      </c>
    </row>
    <row r="10717" spans="1:15" hidden="1">
      <c r="A10717">
        <v>202312</v>
      </c>
      <c r="B10717" s="6">
        <v>45289</v>
      </c>
      <c r="C10717" t="s">
        <v>5013</v>
      </c>
      <c r="D10717" t="s">
        <v>5132</v>
      </c>
      <c r="E10717">
        <v>62.51</v>
      </c>
      <c r="F10717" s="2" t="str">
        <f>IF(Table2[[#This Row],[Manual Cat Value]]="",VLOOKUP(Table2[[#This Row],[Description]],'Actuals Lookup'!D:F,3,0),Table2[[#This Row],[Manual Cat Value]])</f>
        <v>Restaurants</v>
      </c>
      <c r="G10717" t="s">
        <v>26</v>
      </c>
      <c r="I10717" s="8"/>
      <c r="O10717" t="str">
        <f>LEFT(Table2[[#This Row],[Description]],75)</f>
        <v>Great Basin Brewing Reno Nv</v>
      </c>
    </row>
    <row r="10718" spans="1:15" hidden="1">
      <c r="A10718">
        <v>202312</v>
      </c>
      <c r="B10718" s="6">
        <v>45290</v>
      </c>
      <c r="C10718" t="s">
        <v>5013</v>
      </c>
      <c r="D10718" t="s">
        <v>318</v>
      </c>
      <c r="E10718">
        <v>62.66</v>
      </c>
      <c r="F10718" s="2" t="str">
        <f>IF(Table2[[#This Row],[Manual Cat Value]]="",VLOOKUP(Table2[[#This Row],[Description]],'Actuals Lookup'!D:F,3,0),Table2[[#This Row],[Manual Cat Value]])</f>
        <v>Restaurants</v>
      </c>
      <c r="G10718" t="s">
        <v>26</v>
      </c>
      <c r="I10718" s="8"/>
      <c r="O10718" t="str">
        <f>LEFT(Table2[[#This Row],[Description]],75)</f>
        <v>Brewery</v>
      </c>
    </row>
    <row r="10719" spans="1:15" hidden="1">
      <c r="A10719">
        <v>202312</v>
      </c>
      <c r="B10719" s="6">
        <v>45290</v>
      </c>
      <c r="C10719" t="s">
        <v>5013</v>
      </c>
      <c r="D10719" t="s">
        <v>5133</v>
      </c>
      <c r="E10719">
        <v>48.65</v>
      </c>
      <c r="F10719" s="2" t="str">
        <f>IF(Table2[[#This Row],[Manual Cat Value]]="",VLOOKUP(Table2[[#This Row],[Description]],'Actuals Lookup'!D:F,3,0),Table2[[#This Row],[Manual Cat Value]])</f>
        <v>Travel</v>
      </c>
      <c r="G10719" t="s">
        <v>43</v>
      </c>
      <c r="I10719" s="8"/>
      <c r="O10719" t="str">
        <f>LEFT(Table2[[#This Row],[Description]],75)</f>
        <v>East Peak Lodge F&amp;b Stateline Nv</v>
      </c>
    </row>
    <row r="10720" spans="1:15" hidden="1">
      <c r="A10720">
        <v>202312</v>
      </c>
      <c r="B10720" s="6">
        <v>45290</v>
      </c>
      <c r="C10720" t="s">
        <v>5013</v>
      </c>
      <c r="D10720" t="s">
        <v>5133</v>
      </c>
      <c r="E10720">
        <v>35.200000000000003</v>
      </c>
      <c r="F10720" s="2" t="str">
        <f>IF(Table2[[#This Row],[Manual Cat Value]]="",VLOOKUP(Table2[[#This Row],[Description]],'Actuals Lookup'!D:F,3,0),Table2[[#This Row],[Manual Cat Value]])</f>
        <v>Travel</v>
      </c>
      <c r="G10720" t="s">
        <v>43</v>
      </c>
      <c r="I10720" s="8"/>
      <c r="O10720" t="str">
        <f>LEFT(Table2[[#This Row],[Description]],75)</f>
        <v>East Peak Lodge F&amp;b Stateline Nv</v>
      </c>
    </row>
    <row r="10721" spans="1:17" hidden="1">
      <c r="A10721">
        <v>202312</v>
      </c>
      <c r="B10721" s="6">
        <v>45290</v>
      </c>
      <c r="C10721" t="s">
        <v>5013</v>
      </c>
      <c r="D10721" t="s">
        <v>5133</v>
      </c>
      <c r="E10721">
        <v>39.549999999999997</v>
      </c>
      <c r="F10721" s="2" t="str">
        <f>IF(Table2[[#This Row],[Manual Cat Value]]="",VLOOKUP(Table2[[#This Row],[Description]],'Actuals Lookup'!D:F,3,0),Table2[[#This Row],[Manual Cat Value]])</f>
        <v>Travel</v>
      </c>
      <c r="G10721" t="s">
        <v>43</v>
      </c>
      <c r="I10721" s="8"/>
      <c r="O10721" t="str">
        <f>LEFT(Table2[[#This Row],[Description]],75)</f>
        <v>East Peak Lodge F&amp;b Stateline Nv</v>
      </c>
    </row>
    <row r="10722" spans="1:17" hidden="1">
      <c r="A10722">
        <v>202312</v>
      </c>
      <c r="B10722" s="6">
        <v>45290</v>
      </c>
      <c r="C10722" t="s">
        <v>5013</v>
      </c>
      <c r="D10722" t="s">
        <v>5134</v>
      </c>
      <c r="E10722">
        <v>23.5</v>
      </c>
      <c r="F10722" s="2" t="str">
        <f>IF(Table2[[#This Row],[Manual Cat Value]]="",VLOOKUP(Table2[[#This Row],[Description]],'Actuals Lookup'!D:F,3,0),Table2[[#This Row],[Manual Cat Value]])</f>
        <v>Restaurants</v>
      </c>
      <c r="G10722" t="s">
        <v>26</v>
      </c>
      <c r="I10722" s="8"/>
      <c r="O10722" t="str">
        <f>LEFT(Table2[[#This Row],[Description]],75)</f>
        <v>South Lake Brewing Cs Lake Tahoe Ca</v>
      </c>
    </row>
    <row r="10723" spans="1:17" hidden="1">
      <c r="A10723">
        <v>202312</v>
      </c>
      <c r="B10723" s="6">
        <v>45290</v>
      </c>
      <c r="C10723" t="s">
        <v>5013</v>
      </c>
      <c r="D10723" t="s">
        <v>5135</v>
      </c>
      <c r="E10723">
        <v>494</v>
      </c>
      <c r="F10723" s="2" t="str">
        <f>IF(Table2[[#This Row],[Manual Cat Value]]="",VLOOKUP(Table2[[#This Row],[Description]],'Actuals Lookup'!D:F,3,0),Table2[[#This Row],[Manual Cat Value]])</f>
        <v>Travel</v>
      </c>
      <c r="G10723" t="s">
        <v>43</v>
      </c>
      <c r="I10723" s="8"/>
      <c r="O10723" t="str">
        <f>LEFT(Table2[[#This Row],[Description]],75)</f>
        <v>Vail Resorts</v>
      </c>
    </row>
    <row r="10724" spans="1:17" hidden="1">
      <c r="A10724">
        <v>202312</v>
      </c>
      <c r="B10724" s="6">
        <v>45291</v>
      </c>
      <c r="C10724" t="s">
        <v>5013</v>
      </c>
      <c r="D10724" t="s">
        <v>5136</v>
      </c>
      <c r="E10724">
        <v>33.56</v>
      </c>
      <c r="F10724" s="2" t="str">
        <f>IF(Table2[[#This Row],[Manual Cat Value]]="",VLOOKUP(Table2[[#This Row],[Description]],'Actuals Lookup'!D:F,3,0),Table2[[#This Row],[Manual Cat Value]])</f>
        <v>Restaurants</v>
      </c>
      <c r="G10724" t="s">
        <v>26</v>
      </c>
      <c r="I10724" s="8"/>
      <c r="O10724" t="str">
        <f>LEFT(Table2[[#This Row],[Description]],75)</f>
        <v>Bluebird Palisades 1olympic Valley Ca</v>
      </c>
    </row>
    <row r="10725" spans="1:17" hidden="1">
      <c r="A10725">
        <v>202312</v>
      </c>
      <c r="B10725" s="6">
        <v>45291</v>
      </c>
      <c r="C10725" t="s">
        <v>5013</v>
      </c>
      <c r="D10725" t="s">
        <v>5137</v>
      </c>
      <c r="E10725">
        <v>322.02999999999997</v>
      </c>
      <c r="F10725" s="2" t="str">
        <f>IF(Table2[[#This Row],[Manual Cat Value]]="",VLOOKUP(Table2[[#This Row],[Description]],'Actuals Lookup'!D:F,3,0),Table2[[#This Row],[Manual Cat Value]])</f>
        <v>Groceries</v>
      </c>
      <c r="G10725" t="s">
        <v>28</v>
      </c>
      <c r="I10725" s="8"/>
      <c r="O10725" t="str">
        <f>LEFT(Table2[[#This Row],[Description]],75)</f>
        <v>Edgewood Food And Bestateline Nv</v>
      </c>
    </row>
    <row r="10726" spans="1:17" hidden="1">
      <c r="A10726">
        <v>202312</v>
      </c>
      <c r="B10726" s="6">
        <v>45291</v>
      </c>
      <c r="C10726" t="s">
        <v>5013</v>
      </c>
      <c r="D10726" t="s">
        <v>5138</v>
      </c>
      <c r="E10726">
        <v>30</v>
      </c>
      <c r="F10726" s="2" t="str">
        <f>IF(Table2[[#This Row],[Manual Cat Value]]="",VLOOKUP(Table2[[#This Row],[Description]],'Actuals Lookup'!D:F,3,0),Table2[[#This Row],[Manual Cat Value]])</f>
        <v>Restaurants</v>
      </c>
      <c r="G10726" t="s">
        <v>26</v>
      </c>
      <c r="I10726" s="8"/>
      <c r="O10726" t="str">
        <f>LEFT(Table2[[#This Row],[Description]],75)</f>
        <v>Honk Palisades 00-08breckenridge Co</v>
      </c>
    </row>
    <row r="10727" spans="1:17" hidden="1">
      <c r="A10727">
        <v>202312</v>
      </c>
      <c r="B10727" s="6">
        <v>45291</v>
      </c>
      <c r="C10727" t="s">
        <v>5013</v>
      </c>
      <c r="D10727" t="s">
        <v>5139</v>
      </c>
      <c r="E10727">
        <v>27.98</v>
      </c>
      <c r="F10727" s="2" t="str">
        <f>IF(Table2[[#This Row],[Manual Cat Value]]="",VLOOKUP(Table2[[#This Row],[Description]],'Actuals Lookup'!D:F,3,0),Table2[[#This Row],[Manual Cat Value]])</f>
        <v>Restaurants</v>
      </c>
      <c r="G10727" t="s">
        <v>26</v>
      </c>
      <c r="I10727" s="8"/>
      <c r="O10727" t="str">
        <f>LEFT(Table2[[#This Row],[Description]],75)</f>
        <v>Kt Base Bar Palisadeolympic Valley Ca</v>
      </c>
    </row>
    <row r="10728" spans="1:17" hidden="1">
      <c r="A10728">
        <v>202312</v>
      </c>
      <c r="B10728" s="6">
        <v>45291</v>
      </c>
      <c r="C10728" t="s">
        <v>5013</v>
      </c>
      <c r="D10728" t="s">
        <v>5140</v>
      </c>
      <c r="E10728">
        <v>571.96</v>
      </c>
      <c r="F10728" s="2" t="str">
        <f>IF(Table2[[#This Row],[Manual Cat Value]]="",VLOOKUP(Table2[[#This Row],[Description]],'Actuals Lookup'!D:F,3,0),Table2[[#This Row],[Manual Cat Value]])</f>
        <v>Restaurants</v>
      </c>
      <c r="G10728" t="s">
        <v>26</v>
      </c>
      <c r="I10728" s="8"/>
      <c r="O10728" t="str">
        <f>LEFT(Table2[[#This Row],[Description]],75)</f>
        <v>Palisades Hotel</v>
      </c>
    </row>
    <row r="10729" spans="1:17" hidden="1">
      <c r="A10729">
        <v>202312</v>
      </c>
      <c r="B10729" s="6">
        <v>45291</v>
      </c>
      <c r="C10729" t="s">
        <v>5013</v>
      </c>
      <c r="D10729" t="s">
        <v>5141</v>
      </c>
      <c r="E10729">
        <v>75.760000000000005</v>
      </c>
      <c r="F10729" s="2" t="str">
        <f>IF(Table2[[#This Row],[Manual Cat Value]]="",VLOOKUP(Table2[[#This Row],[Description]],'Actuals Lookup'!D:F,3,0),Table2[[#This Row],[Manual Cat Value]])</f>
        <v>Restaurants</v>
      </c>
      <c r="G10729" t="s">
        <v>26</v>
      </c>
      <c r="I10729" s="8"/>
      <c r="O10729" t="str">
        <f>LEFT(Table2[[#This Row],[Description]],75)</f>
        <v>Twenty Two Bistro 54olympic Valle Ca</v>
      </c>
    </row>
    <row r="10730" spans="1:17" hidden="1">
      <c r="A10730">
        <v>202401</v>
      </c>
      <c r="B10730" s="6">
        <v>45292</v>
      </c>
      <c r="C10730" t="s">
        <v>4250</v>
      </c>
      <c r="D10730" t="s">
        <v>5142</v>
      </c>
      <c r="E10730">
        <v>5.41</v>
      </c>
      <c r="F10730" s="2" t="str">
        <f>IF(Table2[[#This Row],[Manual Cat Value]]="",VLOOKUP(Table2[[#This Row],[Description]],'Actuals Lookup'!D:F,3,0),VLOOKUP(Table2[[#This Row],[Manual Cat Value]],Lookup!A:B,2,0))</f>
        <v>Amazon</v>
      </c>
      <c r="H10730" s="8" t="s">
        <v>37</v>
      </c>
      <c r="I10730" s="8"/>
      <c r="O10730" t="str">
        <f>LEFT(Table2[[#This Row],[Description]],75)</f>
        <v>Amazon Music*TK5YC1O30 XX-3080 WA REF #XX9216BD2ZP4BW8R</v>
      </c>
    </row>
    <row r="10731" spans="1:17" hidden="1">
      <c r="A10731">
        <v>202401</v>
      </c>
      <c r="B10731" s="6">
        <v>45292</v>
      </c>
      <c r="C10731" t="s">
        <v>5143</v>
      </c>
      <c r="D10731" t="s">
        <v>14</v>
      </c>
      <c r="E10731">
        <f>125*2</f>
        <v>250</v>
      </c>
      <c r="F10731" s="2" t="str">
        <f>IF(Table2[[#This Row],[Manual Cat Value]]="",VLOOKUP(Table2[[#This Row],[Description]],'Actuals Lookup'!D:F,3,0),VLOOKUP(Table2[[#This Row],[Manual Cat Value]],Lookup!A:B,2,0))</f>
        <v>Cleaning</v>
      </c>
      <c r="H10731" s="8" t="s">
        <v>13</v>
      </c>
      <c r="I10731" s="8"/>
      <c r="O10731" t="str">
        <f>LEFT(Table2[[#This Row],[Description]],75)</f>
        <v>Cleaning</v>
      </c>
    </row>
    <row r="10732" spans="1:17" hidden="1">
      <c r="A10732">
        <v>202401</v>
      </c>
      <c r="B10732" s="6">
        <v>45292</v>
      </c>
      <c r="C10732" t="s">
        <v>5013</v>
      </c>
      <c r="D10732" t="s">
        <v>4014</v>
      </c>
      <c r="E10732">
        <v>405.37</v>
      </c>
      <c r="F10732" s="2" t="str">
        <f>IF(Table2[[#This Row],[Manual Cat Value]]="",VLOOKUP(Table2[[#This Row],[Description]],'Actuals Lookup'!D:F,3,0),VLOOKUP(Table2[[#This Row],[Manual Cat Value]],Lookup!A:B,2,0))</f>
        <v>Travel</v>
      </c>
      <c r="G10732" t="s">
        <v>43</v>
      </c>
      <c r="I10732" s="8"/>
      <c r="O10732" t="str">
        <f>LEFT(Table2[[#This Row],[Description]],75)</f>
        <v>Hyatt</v>
      </c>
    </row>
    <row r="10733" spans="1:17" hidden="1">
      <c r="A10733">
        <v>202401</v>
      </c>
      <c r="B10733" s="6">
        <v>45292</v>
      </c>
      <c r="C10733" t="s">
        <v>5013</v>
      </c>
      <c r="D10733" t="s">
        <v>5144</v>
      </c>
      <c r="E10733">
        <v>22.34</v>
      </c>
      <c r="F10733" s="2" t="str">
        <f>IF(Table2[[#This Row],[Manual Cat Value]]="",VLOOKUP(Table2[[#This Row],[Description]],'Actuals Lookup'!D:F,3,0),VLOOKUP(Table2[[#This Row],[Manual Cat Value]],Lookup!A:B,2,0))</f>
        <v>Travel</v>
      </c>
      <c r="G10733" t="s">
        <v>11</v>
      </c>
      <c r="H10733" s="8" t="s">
        <v>52</v>
      </c>
      <c r="I10733" s="8"/>
      <c r="O10733" t="str">
        <f>LEFT(Table2[[#This Row],[Description]],75)</f>
        <v>Lake Tahoe Oil Compazephyr Cove Nv</v>
      </c>
      <c r="Q10733" t="s">
        <v>5145</v>
      </c>
    </row>
    <row r="10734" spans="1:17" hidden="1">
      <c r="A10734">
        <v>202401</v>
      </c>
      <c r="B10734" s="6">
        <v>45292</v>
      </c>
      <c r="C10734" t="s">
        <v>5013</v>
      </c>
      <c r="D10734" t="s">
        <v>5146</v>
      </c>
      <c r="E10734">
        <v>1617.69</v>
      </c>
      <c r="F10734" s="2" t="str">
        <f>IF(Table2[[#This Row],[Manual Cat Value]]="",VLOOKUP(Table2[[#This Row],[Description]],'Actuals Lookup'!D:F,3,0),VLOOKUP(Table2[[#This Row],[Manual Cat Value]],Lookup!A:B,2,0))</f>
        <v>Travel</v>
      </c>
      <c r="G10734" t="s">
        <v>26</v>
      </c>
      <c r="H10734" s="8" t="s">
        <v>52</v>
      </c>
      <c r="I10734" s="8"/>
      <c r="O10734" t="str">
        <f>LEFT(Table2[[#This Row],[Description]],75)</f>
        <v>Margaritaville</v>
      </c>
      <c r="Q10734" t="s">
        <v>5145</v>
      </c>
    </row>
    <row r="10735" spans="1:17" hidden="1">
      <c r="A10735">
        <v>202401</v>
      </c>
      <c r="B10735" s="6">
        <v>45292</v>
      </c>
      <c r="C10735" t="s">
        <v>5013</v>
      </c>
      <c r="D10735" t="s">
        <v>4864</v>
      </c>
      <c r="E10735">
        <v>248.28</v>
      </c>
      <c r="F10735" s="2" t="str">
        <f>IF(Table2[[#This Row],[Manual Cat Value]]="",VLOOKUP(Table2[[#This Row],[Description]],'Actuals Lookup'!D:F,3,0),VLOOKUP(Table2[[#This Row],[Manual Cat Value]],Lookup!A:B,2,0))</f>
        <v>401K</v>
      </c>
      <c r="G10735" t="s">
        <v>43</v>
      </c>
      <c r="H10735" s="8" t="s">
        <v>53</v>
      </c>
      <c r="I10735" s="8"/>
      <c r="O10735" t="str">
        <f>LEFT(Table2[[#This Row],[Description]],75)</f>
        <v>National Car Rental</v>
      </c>
    </row>
    <row r="10736" spans="1:17" hidden="1">
      <c r="A10736">
        <v>202401</v>
      </c>
      <c r="B10736" s="6">
        <v>45292</v>
      </c>
      <c r="C10736" t="s">
        <v>5013</v>
      </c>
      <c r="D10736" t="s">
        <v>1408</v>
      </c>
      <c r="E10736">
        <v>214.2</v>
      </c>
      <c r="F10736" s="2" t="str">
        <f>IF(Table2[[#This Row],[Manual Cat Value]]="",VLOOKUP(Table2[[#This Row],[Description]],'Actuals Lookup'!D:F,3,0),VLOOKUP(Table2[[#This Row],[Manual Cat Value]],Lookup!A:B,2,0))</f>
        <v>Shopping</v>
      </c>
      <c r="G10736" t="s">
        <v>21</v>
      </c>
      <c r="I10736" s="8"/>
      <c r="O10736" t="str">
        <f>LEFT(Table2[[#This Row],[Description]],75)</f>
        <v>Patagonia</v>
      </c>
    </row>
    <row r="10737" spans="1:15" hidden="1">
      <c r="A10737">
        <v>202402</v>
      </c>
      <c r="B10737" s="6">
        <v>45292</v>
      </c>
      <c r="C10737" t="s">
        <v>2519</v>
      </c>
      <c r="D10737" t="s">
        <v>5147</v>
      </c>
      <c r="E10737">
        <v>237.3</v>
      </c>
      <c r="F10737" s="2" t="str">
        <f>IF(Table2[[#This Row],[Manual Cat Value]]="",VLOOKUP(Table2[[#This Row],[Description]],'Actuals Lookup'!D:F,3,0),VLOOKUP(Table2[[#This Row],[Manual Cat Value]],Lookup!A:B,2,0))</f>
        <v>Utilities</v>
      </c>
      <c r="H10737" s="8" t="s">
        <v>6</v>
      </c>
      <c r="I10737" s="8"/>
      <c r="O10737" t="str">
        <f>LEFT(Table2[[#This Row],[Description]],75)</f>
        <v>Withdrawal ACH CPENERGY MNGCO TYPE: MGC ACH EB ID: 1XX1140S CO: CPENERGY MN</v>
      </c>
    </row>
    <row r="10738" spans="1:15" hidden="1">
      <c r="A10738">
        <v>202401</v>
      </c>
      <c r="B10738" s="6">
        <v>45293</v>
      </c>
      <c r="C10738" t="s">
        <v>4369</v>
      </c>
      <c r="D10738" t="s">
        <v>5148</v>
      </c>
      <c r="E10738">
        <v>96.5</v>
      </c>
      <c r="F10738" s="2" t="str">
        <f>IF(Table2[[#This Row],[Manual Cat Value]]="",VLOOKUP(Table2[[#This Row],[Description]],'Actuals Lookup'!D:F,3,0),VLOOKUP(Table2[[#This Row],[Manual Cat Value]],Lookup!A:B,2,0))</f>
        <v>Utilities</v>
      </c>
      <c r="H10738" s="8" t="s">
        <v>6</v>
      </c>
      <c r="I10738" s="8"/>
      <c r="O10738" t="str">
        <f>LEFT(Table2[[#This Row],[Description]],75)</f>
        <v>Payment to AT&amp;T</v>
      </c>
    </row>
    <row r="10739" spans="1:15" hidden="1">
      <c r="A10739">
        <v>202401</v>
      </c>
      <c r="B10739" s="6">
        <v>45293</v>
      </c>
      <c r="C10739" t="s">
        <v>4370</v>
      </c>
      <c r="D10739" t="s">
        <v>1460</v>
      </c>
      <c r="E10739">
        <v>2741.74</v>
      </c>
      <c r="F10739" s="2" t="str">
        <f>IF(Table2[[#This Row],[Manual Cat Value]]="",VLOOKUP(Table2[[#This Row],[Description]],'Actuals Lookup'!D:F,3,0),VLOOKUP(Table2[[#This Row],[Manual Cat Value]],Lookup!A:B,2,0))</f>
        <v>Rent</v>
      </c>
      <c r="H10739" s="8" t="s">
        <v>4</v>
      </c>
      <c r="I10739" s="8"/>
      <c r="O10739" t="str">
        <f>LEFT(Table2[[#This Row],[Description]],75)</f>
        <v>Payment to Baxter Credit Union</v>
      </c>
    </row>
    <row r="10740" spans="1:15" hidden="1">
      <c r="A10740">
        <v>202401</v>
      </c>
      <c r="B10740" s="6">
        <v>45293</v>
      </c>
      <c r="C10740" t="s">
        <v>4371</v>
      </c>
      <c r="D10740" t="s">
        <v>4716</v>
      </c>
      <c r="E10740">
        <v>650</v>
      </c>
      <c r="F10740" s="2" t="str">
        <f>IF(Table2[[#This Row],[Manual Cat Value]]="",VLOOKUP(Table2[[#This Row],[Description]],'Actuals Lookup'!D:F,3,0),VLOOKUP(Table2[[#This Row],[Manual Cat Value]],Lookup!A:B,2,0))</f>
        <v>College Savings</v>
      </c>
      <c r="H10740" s="8" t="s">
        <v>60</v>
      </c>
      <c r="I10740" s="8"/>
      <c r="O10740" t="str">
        <f>LEFT(Table2[[#This Row],[Description]],75)</f>
        <v>Transfer to College Station</v>
      </c>
    </row>
    <row r="10741" spans="1:15" hidden="1">
      <c r="A10741">
        <v>202401</v>
      </c>
      <c r="B10741" s="6">
        <v>45293</v>
      </c>
      <c r="C10741" t="s">
        <v>4368</v>
      </c>
      <c r="D10741" t="s">
        <v>1955</v>
      </c>
      <c r="E10741">
        <v>40.22</v>
      </c>
      <c r="F10741" s="2" t="str">
        <f>IF(Table2[[#This Row],[Manual Cat Value]]="",VLOOKUP(Table2[[#This Row],[Description]],'Actuals Lookup'!D:F,3,0),VLOOKUP(Table2[[#This Row],[Manual Cat Value]],Lookup!A:B,2,0))</f>
        <v>Shopping</v>
      </c>
      <c r="H10741" s="8" t="s">
        <v>36</v>
      </c>
      <c r="I10741" s="8"/>
      <c r="O10741" t="str">
        <f>LEFT(Table2[[#This Row],[Description]],75)</f>
        <v>Transfer to PayPal</v>
      </c>
    </row>
    <row r="10742" spans="1:15" hidden="1">
      <c r="A10742">
        <v>202408</v>
      </c>
      <c r="B10742" s="6">
        <v>45526</v>
      </c>
      <c r="C10742" t="s">
        <v>3938</v>
      </c>
      <c r="D10742" t="s">
        <v>5149</v>
      </c>
      <c r="E10742">
        <v>73.099999999999994</v>
      </c>
      <c r="F10742" s="2" t="str">
        <f>IF(Table2[[#This Row],[Manual Cat Value]]="",VLOOKUP(Table2[[#This Row],[Description]],'Actuals Lookup'!D:F,3,0),VLOOKUP(Table2[[#This Row],[Manual Cat Value]],Lookup!A:B,2,0))</f>
        <v>Delete</v>
      </c>
      <c r="H10742" s="8" t="s">
        <v>9</v>
      </c>
      <c r="I10742" s="8"/>
      <c r="O10742" t="str">
        <f>LEFT(Table2[[#This Row],[Description]],75)</f>
        <v>5 Points Cork IE REF #XX0916KS10BZ7DAW</v>
      </c>
    </row>
    <row r="10743" spans="1:15" hidden="1">
      <c r="A10743">
        <v>202401</v>
      </c>
      <c r="B10743" s="6">
        <v>45294</v>
      </c>
      <c r="C10743" t="s">
        <v>4272</v>
      </c>
      <c r="D10743" t="s">
        <v>1168</v>
      </c>
      <c r="E10743">
        <v>9.6999999999999993</v>
      </c>
      <c r="F10743" s="2" t="str">
        <f>IF(Table2[[#This Row],[Manual Cat Value]]="",VLOOKUP(Table2[[#This Row],[Description]],'Actuals Lookup'!D:F,3,0),VLOOKUP(Table2[[#This Row],[Manual Cat Value]],Lookup!A:B,2,0))</f>
        <v>Transportation</v>
      </c>
      <c r="H10743" s="8" t="s">
        <v>22</v>
      </c>
      <c r="I10743" s="8"/>
      <c r="O10743" t="str">
        <f>LEFT(Table2[[#This Row],[Description]],75)</f>
        <v>Lyft</v>
      </c>
    </row>
    <row r="10744" spans="1:15" hidden="1">
      <c r="A10744">
        <v>202401</v>
      </c>
      <c r="B10744" s="6">
        <v>45294</v>
      </c>
      <c r="C10744" t="s">
        <v>5013</v>
      </c>
      <c r="D10744" t="s">
        <v>1849</v>
      </c>
      <c r="E10744">
        <v>38.79</v>
      </c>
      <c r="F10744" s="2" t="str">
        <f>IF(Table2[[#This Row],[Manual Cat Value]]="",VLOOKUP(Table2[[#This Row],[Description]],'Actuals Lookup'!D:F,3,0),VLOOKUP(Table2[[#This Row],[Manual Cat Value]],Lookup!A:B,2,0))</f>
        <v>House Maintenance</v>
      </c>
      <c r="G10744" t="s">
        <v>4840</v>
      </c>
      <c r="H10744" s="8" t="s">
        <v>1</v>
      </c>
      <c r="I10744" s="8"/>
      <c r="O10744" t="str">
        <f>LEFT(Table2[[#This Row],[Description]],75)</f>
        <v>The Home Depot</v>
      </c>
    </row>
    <row r="10745" spans="1:15" hidden="1">
      <c r="A10745">
        <v>202401</v>
      </c>
      <c r="B10745" s="6">
        <v>45294</v>
      </c>
      <c r="C10745" t="s">
        <v>4375</v>
      </c>
      <c r="D10745" t="s">
        <v>5150</v>
      </c>
      <c r="E10745" s="46">
        <v>346</v>
      </c>
      <c r="F10745" s="2" t="str">
        <f>IF(Table2[[#This Row],[Manual Cat Value]]="",VLOOKUP(Table2[[#This Row],[Description]],'Actuals Lookup'!D:F,3,0),VLOOKUP(Table2[[#This Row],[Manual Cat Value]],Lookup!A:B,2,0))</f>
        <v>Day Care</v>
      </c>
      <c r="H10745" s="8" t="s">
        <v>19</v>
      </c>
      <c r="I10745" s="8"/>
      <c r="O10745" t="str">
        <f>LEFT(Table2[[#This Row],[Description]],75)</f>
        <v>Withdrawal ACH MHCHILDCARELLC TYPE: DUES ID: XX8198 CO: MHCHILDCARELLC Entr</v>
      </c>
    </row>
    <row r="10746" spans="1:15" hidden="1">
      <c r="A10746">
        <v>202401</v>
      </c>
      <c r="B10746" s="6">
        <v>45295</v>
      </c>
      <c r="C10746" t="s">
        <v>3932</v>
      </c>
      <c r="D10746" t="s">
        <v>38</v>
      </c>
      <c r="E10746">
        <v>57.86</v>
      </c>
      <c r="F10746" s="2" t="str">
        <f>IF(Table2[[#This Row],[Manual Cat Value]]="",VLOOKUP(Table2[[#This Row],[Description]],'Actuals Lookup'!D:F,3,0),VLOOKUP(Table2[[#This Row],[Manual Cat Value]],Lookup!A:B,2,0))</f>
        <v>Amazon</v>
      </c>
      <c r="G10746" t="s">
        <v>41</v>
      </c>
      <c r="H10746" s="8" t="s">
        <v>37</v>
      </c>
      <c r="I10746" s="8"/>
      <c r="O10746" t="str">
        <f>LEFT(Table2[[#This Row],[Description]],75)</f>
        <v>Amazon</v>
      </c>
    </row>
    <row r="10747" spans="1:15" hidden="1">
      <c r="A10747">
        <v>202401</v>
      </c>
      <c r="B10747" s="6">
        <v>45295</v>
      </c>
      <c r="C10747" t="s">
        <v>3932</v>
      </c>
      <c r="D10747" t="s">
        <v>38</v>
      </c>
      <c r="E10747">
        <v>27.18</v>
      </c>
      <c r="F10747" s="2" t="str">
        <f>IF(Table2[[#This Row],[Manual Cat Value]]="",VLOOKUP(Table2[[#This Row],[Description]],'Actuals Lookup'!D:F,3,0),VLOOKUP(Table2[[#This Row],[Manual Cat Value]],Lookup!A:B,2,0))</f>
        <v>Amazon</v>
      </c>
      <c r="G10747" t="s">
        <v>38</v>
      </c>
      <c r="H10747" s="8" t="s">
        <v>37</v>
      </c>
      <c r="I10747" s="8"/>
      <c r="O10747" t="str">
        <f>LEFT(Table2[[#This Row],[Description]],75)</f>
        <v>Amazon</v>
      </c>
    </row>
    <row r="10748" spans="1:15" hidden="1">
      <c r="A10748">
        <v>202401</v>
      </c>
      <c r="B10748" s="6">
        <v>45295</v>
      </c>
      <c r="C10748" t="s">
        <v>5013</v>
      </c>
      <c r="D10748" t="s">
        <v>5151</v>
      </c>
      <c r="E10748">
        <v>60</v>
      </c>
      <c r="F10748" s="2" t="str">
        <f>IF(Table2[[#This Row],[Manual Cat Value]]="",VLOOKUP(Table2[[#This Row],[Description]],'Actuals Lookup'!D:F,3,0),VLOOKUP(Table2[[#This Row],[Manual Cat Value]],Lookup!A:B,2,0))</f>
        <v>Shopping</v>
      </c>
      <c r="G10748" t="s">
        <v>21</v>
      </c>
      <c r="I10748" s="8"/>
      <c r="O10748" t="str">
        <f>LEFT(Table2[[#This Row],[Description]],75)</f>
        <v>Best Brands Inc</v>
      </c>
    </row>
    <row r="10749" spans="1:15" hidden="1">
      <c r="A10749">
        <v>202401</v>
      </c>
      <c r="B10749" s="6">
        <v>45295</v>
      </c>
      <c r="C10749" t="s">
        <v>4380</v>
      </c>
      <c r="D10749" t="s">
        <v>404</v>
      </c>
      <c r="E10749">
        <v>-2681.91</v>
      </c>
      <c r="F10749" s="2" t="str">
        <f>IF(Table2[[#This Row],[Manual Cat Value]]="",VLOOKUP(Table2[[#This Row],[Description]],'Actuals Lookup'!D:F,3,0),VLOOKUP(Table2[[#This Row],[Manual Cat Value]],Lookup!A:B,2,0))</f>
        <v>Inc - Other</v>
      </c>
      <c r="H10749" s="8" t="s">
        <v>16</v>
      </c>
      <c r="I10749" s="8"/>
      <c r="O10749" t="str">
        <f>LEFT(Table2[[#This Row],[Description]],75)</f>
        <v>Cargill Inc Deposit</v>
      </c>
    </row>
    <row r="10750" spans="1:15" hidden="1">
      <c r="A10750">
        <v>202401</v>
      </c>
      <c r="B10750" s="6">
        <v>45295</v>
      </c>
      <c r="C10750" t="s">
        <v>4270</v>
      </c>
      <c r="D10750" t="s">
        <v>3973</v>
      </c>
      <c r="E10750" s="46">
        <v>100</v>
      </c>
      <c r="F10750" s="2" t="str">
        <f>IF(Table2[[#This Row],[Manual Cat Value]]="",VLOOKUP(Table2[[#This Row],[Description]],'Actuals Lookup'!D:F,3,0),VLOOKUP(Table2[[#This Row],[Manual Cat Value]],Lookup!A:B,2,0))</f>
        <v>Day Care</v>
      </c>
      <c r="H10750" s="8" t="s">
        <v>19</v>
      </c>
      <c r="I10750" s="8"/>
      <c r="O10750" t="str">
        <f>LEFT(Table2[[#This Row],[Description]],75)</f>
        <v>Minnetonka Public Schools</v>
      </c>
    </row>
    <row r="10751" spans="1:15" hidden="1">
      <c r="A10751">
        <v>202401</v>
      </c>
      <c r="B10751" s="6">
        <v>45295</v>
      </c>
      <c r="C10751" t="s">
        <v>4274</v>
      </c>
      <c r="D10751" t="s">
        <v>4920</v>
      </c>
      <c r="E10751">
        <v>126</v>
      </c>
      <c r="F10751" s="2" t="str">
        <f>IF(Table2[[#This Row],[Manual Cat Value]]="",VLOOKUP(Table2[[#This Row],[Description]],'Actuals Lookup'!D:F,3,0),VLOOKUP(Table2[[#This Row],[Manual Cat Value]],Lookup!A:B,2,0))</f>
        <v>Shopping</v>
      </c>
      <c r="H10751" s="8" t="s">
        <v>36</v>
      </c>
      <c r="I10751" s="8"/>
      <c r="O10751" t="str">
        <f>LEFT(Table2[[#This Row],[Description]],75)</f>
        <v>Vuori Clothing</v>
      </c>
    </row>
    <row r="10752" spans="1:15" hidden="1">
      <c r="A10752">
        <v>202401</v>
      </c>
      <c r="B10752" s="6">
        <v>45296</v>
      </c>
      <c r="C10752" t="s">
        <v>3932</v>
      </c>
      <c r="D10752" t="s">
        <v>38</v>
      </c>
      <c r="E10752">
        <v>151.5</v>
      </c>
      <c r="F10752" s="2" t="str">
        <f>IF(Table2[[#This Row],[Manual Cat Value]]="",VLOOKUP(Table2[[#This Row],[Description]],'Actuals Lookup'!D:F,3,0),VLOOKUP(Table2[[#This Row],[Manual Cat Value]],Lookup!A:B,2,0))</f>
        <v>Amazon</v>
      </c>
      <c r="G10752" t="s">
        <v>41</v>
      </c>
      <c r="H10752" s="8" t="s">
        <v>37</v>
      </c>
      <c r="I10752" s="8"/>
      <c r="O10752" t="str">
        <f>LEFT(Table2[[#This Row],[Description]],75)</f>
        <v>Amazon</v>
      </c>
    </row>
    <row r="10753" spans="1:15" hidden="1">
      <c r="A10753">
        <v>202401</v>
      </c>
      <c r="B10753" s="6">
        <v>45296</v>
      </c>
      <c r="C10753" t="s">
        <v>4280</v>
      </c>
      <c r="D10753" t="s">
        <v>5152</v>
      </c>
      <c r="E10753">
        <v>42.89</v>
      </c>
      <c r="F10753" s="2" t="str">
        <f>IF(Table2[[#This Row],[Manual Cat Value]]="",VLOOKUP(Table2[[#This Row],[Description]],'Actuals Lookup'!D:F,3,0),VLOOKUP(Table2[[#This Row],[Manual Cat Value]],Lookup!A:B,2,0))</f>
        <v>Transportation</v>
      </c>
      <c r="H10753" s="8" t="s">
        <v>22</v>
      </c>
      <c r="I10753" s="8"/>
      <c r="O10753" t="str">
        <f>LEFT(Table2[[#This Row],[Description]],75)</f>
        <v>BP Global</v>
      </c>
    </row>
    <row r="10754" spans="1:15" hidden="1">
      <c r="A10754">
        <v>202401</v>
      </c>
      <c r="B10754" s="6">
        <v>45296</v>
      </c>
      <c r="C10754" t="s">
        <v>4284</v>
      </c>
      <c r="D10754" t="s">
        <v>5153</v>
      </c>
      <c r="E10754">
        <v>36</v>
      </c>
      <c r="F10754" s="2" t="str">
        <f>IF(Table2[[#This Row],[Manual Cat Value]]="",VLOOKUP(Table2[[#This Row],[Description]],'Actuals Lookup'!D:F,3,0),VLOOKUP(Table2[[#This Row],[Manual Cat Value]],Lookup!A:B,2,0))</f>
        <v>Restaurants</v>
      </c>
      <c r="H10754" s="8" t="s">
        <v>25</v>
      </c>
      <c r="I10754" s="8"/>
      <c r="O10754" t="str">
        <f>LEFT(Table2[[#This Row],[Description]],75)</f>
        <v>Floyd's</v>
      </c>
    </row>
    <row r="10755" spans="1:15" hidden="1">
      <c r="A10755">
        <v>202401</v>
      </c>
      <c r="B10755" s="6">
        <v>45296</v>
      </c>
      <c r="C10755" t="s">
        <v>4278</v>
      </c>
      <c r="D10755" t="s">
        <v>5154</v>
      </c>
      <c r="E10755">
        <v>217.5</v>
      </c>
      <c r="F10755" s="2" t="str">
        <f>IF(Table2[[#This Row],[Manual Cat Value]]="",VLOOKUP(Table2[[#This Row],[Description]],'Actuals Lookup'!D:F,3,0),VLOOKUP(Table2[[#This Row],[Manual Cat Value]],Lookup!A:B,2,0))</f>
        <v>Shopping</v>
      </c>
      <c r="H10755" s="8" t="s">
        <v>36</v>
      </c>
      <c r="I10755" s="8"/>
      <c r="O10755" t="str">
        <f>LEFT(Table2[[#This Row],[Description]],75)</f>
        <v>SP MARINE LAYER HTTPSWWW.MARICA REF #XX9216QM0008KDE3</v>
      </c>
    </row>
    <row r="10756" spans="1:15" hidden="1">
      <c r="A10756">
        <v>202401</v>
      </c>
      <c r="B10756" s="6">
        <v>45296</v>
      </c>
      <c r="C10756" t="s">
        <v>5013</v>
      </c>
      <c r="D10756" t="s">
        <v>1849</v>
      </c>
      <c r="E10756">
        <v>30.48</v>
      </c>
      <c r="F10756" s="2" t="str">
        <f>IF(Table2[[#This Row],[Manual Cat Value]]="",VLOOKUP(Table2[[#This Row],[Description]],'Actuals Lookup'!D:F,3,0),VLOOKUP(Table2[[#This Row],[Manual Cat Value]],Lookup!A:B,2,0))</f>
        <v>House Maintenance</v>
      </c>
      <c r="G10756" t="s">
        <v>2</v>
      </c>
      <c r="H10756" s="8" t="s">
        <v>1</v>
      </c>
      <c r="I10756" s="8"/>
      <c r="O10756" t="str">
        <f>LEFT(Table2[[#This Row],[Description]],75)</f>
        <v>The Home Depot</v>
      </c>
    </row>
    <row r="10757" spans="1:15" hidden="1">
      <c r="A10757">
        <v>202401</v>
      </c>
      <c r="B10757" s="6">
        <v>45296</v>
      </c>
      <c r="C10757" t="s">
        <v>5013</v>
      </c>
      <c r="D10757" t="s">
        <v>1849</v>
      </c>
      <c r="E10757">
        <v>-38.79</v>
      </c>
      <c r="F10757" s="2" t="str">
        <f>IF(Table2[[#This Row],[Manual Cat Value]]="",VLOOKUP(Table2[[#This Row],[Description]],'Actuals Lookup'!D:F,3,0),VLOOKUP(Table2[[#This Row],[Manual Cat Value]],Lookup!A:B,2,0))</f>
        <v>House Maintenance</v>
      </c>
      <c r="G10757" t="s">
        <v>2</v>
      </c>
      <c r="H10757" s="8" t="s">
        <v>1</v>
      </c>
      <c r="I10757" s="8"/>
      <c r="O10757" t="str">
        <f>LEFT(Table2[[#This Row],[Description]],75)</f>
        <v>The Home Depot</v>
      </c>
    </row>
    <row r="10758" spans="1:15" hidden="1">
      <c r="A10758">
        <v>202401</v>
      </c>
      <c r="B10758" s="6">
        <v>45297</v>
      </c>
      <c r="C10758" t="s">
        <v>5013</v>
      </c>
      <c r="D10758" t="s">
        <v>5155</v>
      </c>
      <c r="E10758">
        <v>54.13</v>
      </c>
      <c r="F10758" s="2" t="str">
        <f>IF(Table2[[#This Row],[Manual Cat Value]]="",VLOOKUP(Table2[[#This Row],[Description]],'Actuals Lookup'!D:F,3,0),VLOOKUP(Table2[[#This Row],[Manual Cat Value]],Lookup!A:B,2,0))</f>
        <v>Restaurants</v>
      </c>
      <c r="G10758" t="s">
        <v>26</v>
      </c>
      <c r="I10758" s="8"/>
      <c r="O10758" t="str">
        <f>LEFT(Table2[[#This Row],[Description]],75)</f>
        <v>Aplpay Tst* North Coexcelsior Mn</v>
      </c>
    </row>
    <row r="10759" spans="1:15" hidden="1">
      <c r="A10759">
        <v>202411</v>
      </c>
      <c r="B10759" s="6">
        <v>45618</v>
      </c>
      <c r="C10759" t="s">
        <v>3938</v>
      </c>
      <c r="D10759" t="s">
        <v>5156</v>
      </c>
      <c r="E10759">
        <v>58.49</v>
      </c>
      <c r="F10759" s="2" t="str">
        <f>IF(Table2[[#This Row],[Manual Cat Value]]="",VLOOKUP(Table2[[#This Row],[Description]],'Actuals Lookup'!D:F,3,0),VLOOKUP(Table2[[#This Row],[Manual Cat Value]],Lookup!A:B,2,0))</f>
        <v>Delete</v>
      </c>
      <c r="H10759" s="8" t="s">
        <v>9</v>
      </c>
      <c r="I10759" s="8"/>
      <c r="O10759" t="str">
        <f>LEFT(Table2[[#This Row],[Description]],75)</f>
        <v>5 Points Cork IE REF #XX0916NN11ZLHGQB</v>
      </c>
    </row>
    <row r="10760" spans="1:15" hidden="1">
      <c r="A10760">
        <v>202401</v>
      </c>
      <c r="B10760" s="6">
        <v>45297</v>
      </c>
      <c r="C10760" t="s">
        <v>5013</v>
      </c>
      <c r="D10760" t="s">
        <v>5123</v>
      </c>
      <c r="E10760">
        <v>146.78</v>
      </c>
      <c r="F10760" s="2" t="str">
        <f>IF(Table2[[#This Row],[Manual Cat Value]]="",VLOOKUP(Table2[[#This Row],[Description]],'Actuals Lookup'!D:F,3,0),VLOOKUP(Table2[[#This Row],[Manual Cat Value]],Lookup!A:B,2,0))</f>
        <v>Entertainment</v>
      </c>
      <c r="G10760" t="s">
        <v>21</v>
      </c>
      <c r="H10760" s="8" t="s">
        <v>39</v>
      </c>
      <c r="I10760" s="8"/>
      <c r="O10760" t="str">
        <f>LEFT(Table2[[#This Row],[Description]],75)</f>
        <v>Buck Hill Website 65burnsville Mn</v>
      </c>
    </row>
    <row r="10761" spans="1:15" hidden="1">
      <c r="A10761">
        <v>202401</v>
      </c>
      <c r="B10761" s="6">
        <v>45298</v>
      </c>
      <c r="C10761" t="s">
        <v>4288</v>
      </c>
      <c r="D10761" t="s">
        <v>113</v>
      </c>
      <c r="E10761">
        <v>-21.94</v>
      </c>
      <c r="F10761" s="2" t="str">
        <f>IF(Table2[[#This Row],[Manual Cat Value]]="",VLOOKUP(Table2[[#This Row],[Description]],'Actuals Lookup'!D:F,3,0),VLOOKUP(Table2[[#This Row],[Manual Cat Value]],Lookup!A:B,2,0))</f>
        <v>Amazon</v>
      </c>
      <c r="H10761" s="8" t="s">
        <v>37</v>
      </c>
      <c r="I10761" s="8"/>
      <c r="O10761" t="str">
        <f>LEFT(Table2[[#This Row],[Description]],75)</f>
        <v>Amazon Marketplace</v>
      </c>
    </row>
    <row r="10762" spans="1:15" hidden="1">
      <c r="A10762">
        <v>202401</v>
      </c>
      <c r="B10762" s="6">
        <v>45298</v>
      </c>
      <c r="C10762" t="s">
        <v>4290</v>
      </c>
      <c r="D10762" t="s">
        <v>5157</v>
      </c>
      <c r="E10762">
        <v>9.74</v>
      </c>
      <c r="F10762" s="2" t="str">
        <f>IF(Table2[[#This Row],[Manual Cat Value]]="",VLOOKUP(Table2[[#This Row],[Description]],'Actuals Lookup'!D:F,3,0),VLOOKUP(Table2[[#This Row],[Manual Cat Value]],Lookup!A:B,2,0))</f>
        <v>Amazon</v>
      </c>
      <c r="H10762" s="8" t="s">
        <v>37</v>
      </c>
      <c r="I10762" s="8"/>
      <c r="O10762" t="str">
        <f>LEFT(Table2[[#This Row],[Description]],75)</f>
        <v>AMZN Mktp US*TK2PY32Z0 Amzn.com/billWA REF #XX9216QM32X7R3YY</v>
      </c>
    </row>
    <row r="10763" spans="1:15" hidden="1">
      <c r="A10763">
        <v>202401</v>
      </c>
      <c r="B10763" s="6">
        <v>45298</v>
      </c>
      <c r="C10763" t="s">
        <v>4382</v>
      </c>
      <c r="D10763" t="s">
        <v>4283</v>
      </c>
      <c r="E10763">
        <v>-75</v>
      </c>
      <c r="F10763" s="2" t="str">
        <f>IF(Table2[[#This Row],[Manual Cat Value]]="",VLOOKUP(Table2[[#This Row],[Description]],'Actuals Lookup'!D:F,3,0),VLOOKUP(Table2[[#This Row],[Manual Cat Value]],Lookup!A:B,2,0))</f>
        <v>Inc - Other</v>
      </c>
      <c r="H10763" s="8" t="s">
        <v>16</v>
      </c>
      <c r="I10763" s="8"/>
      <c r="O10763" t="str">
        <f>LEFT(Table2[[#This Row],[Description]],75)</f>
        <v>Cargill Deposit</v>
      </c>
    </row>
    <row r="10764" spans="1:15" hidden="1">
      <c r="A10764">
        <v>202401</v>
      </c>
      <c r="B10764" s="6">
        <v>45298</v>
      </c>
      <c r="C10764" t="s">
        <v>5013</v>
      </c>
      <c r="D10764" t="s">
        <v>4017</v>
      </c>
      <c r="E10764">
        <v>120.54</v>
      </c>
      <c r="F10764" s="2" t="str">
        <f>IF(Table2[[#This Row],[Manual Cat Value]]="",VLOOKUP(Table2[[#This Row],[Description]],'Actuals Lookup'!D:F,3,0),VLOOKUP(Table2[[#This Row],[Manual Cat Value]],Lookup!A:B,2,0))</f>
        <v>Groceries</v>
      </c>
      <c r="G10764" t="s">
        <v>28</v>
      </c>
      <c r="I10764" s="8"/>
      <c r="O10764" t="str">
        <f>LEFT(Table2[[#This Row],[Description]],75)</f>
        <v>Lunds &amp; Byerlys</v>
      </c>
    </row>
    <row r="10765" spans="1:15" hidden="1">
      <c r="A10765">
        <v>202401</v>
      </c>
      <c r="B10765" s="6">
        <v>45298</v>
      </c>
      <c r="C10765" t="s">
        <v>4294</v>
      </c>
      <c r="D10765" t="s">
        <v>1849</v>
      </c>
      <c r="E10765">
        <v>-32.479999999999997</v>
      </c>
      <c r="F10765" s="2" t="str">
        <f>IF(Table2[[#This Row],[Manual Cat Value]]="",VLOOKUP(Table2[[#This Row],[Description]],'Actuals Lookup'!D:F,3,0),VLOOKUP(Table2[[#This Row],[Manual Cat Value]],Lookup!A:B,2,0))</f>
        <v>House Maintenance</v>
      </c>
      <c r="H10765" s="8" t="s">
        <v>1</v>
      </c>
      <c r="I10765" s="8"/>
      <c r="O10765" t="str">
        <f>LEFT(Table2[[#This Row],[Description]],75)</f>
        <v>The Home Depot</v>
      </c>
    </row>
    <row r="10766" spans="1:15" hidden="1">
      <c r="A10766">
        <v>202401</v>
      </c>
      <c r="B10766" s="6">
        <v>45299</v>
      </c>
      <c r="C10766" t="s">
        <v>5013</v>
      </c>
      <c r="D10766" t="s">
        <v>3967</v>
      </c>
      <c r="E10766">
        <v>32.700000000000003</v>
      </c>
      <c r="F10766" s="2" t="str">
        <f>IF(Table2[[#This Row],[Manual Cat Value]]="",VLOOKUP(Table2[[#This Row],[Description]],'Actuals Lookup'!D:F,3,0),VLOOKUP(Table2[[#This Row],[Manual Cat Value]],Lookup!A:B,2,0))</f>
        <v>Restaurants</v>
      </c>
      <c r="G10766" t="s">
        <v>26</v>
      </c>
      <c r="I10766" s="8"/>
      <c r="O10766" t="str">
        <f>LEFT(Table2[[#This Row],[Description]],75)</f>
        <v>Chick-fil-a</v>
      </c>
    </row>
    <row r="10767" spans="1:15" hidden="1">
      <c r="A10767">
        <v>202401</v>
      </c>
      <c r="B10767" s="6">
        <v>45303</v>
      </c>
      <c r="C10767" t="s">
        <v>5013</v>
      </c>
      <c r="D10767" t="s">
        <v>4831</v>
      </c>
      <c r="E10767">
        <v>485.61</v>
      </c>
      <c r="F10767" s="2" t="str">
        <f>IF(Table2[[#This Row],[Manual Cat Value]]="",VLOOKUP(Table2[[#This Row],[Description]],'Actuals Lookup'!D:F,3,0),VLOOKUP(Table2[[#This Row],[Manual Cat Value]],Lookup!A:B,2,0))</f>
        <v>Delete</v>
      </c>
      <c r="G10767" t="s">
        <v>43</v>
      </c>
      <c r="H10767" s="8" t="s">
        <v>9</v>
      </c>
      <c r="I10767" s="8"/>
      <c r="O10767" t="str">
        <f>LEFT(Table2[[#This Row],[Description]],75)</f>
        <v>Aloft Hotels</v>
      </c>
    </row>
    <row r="10768" spans="1:15" hidden="1">
      <c r="A10768">
        <v>202411</v>
      </c>
      <c r="B10768" s="6">
        <v>45605</v>
      </c>
      <c r="C10768" t="s">
        <v>130</v>
      </c>
      <c r="D10768" t="s">
        <v>5158</v>
      </c>
      <c r="E10768">
        <v>24</v>
      </c>
      <c r="F10768" s="2" t="str">
        <f>IF(Table2[[#This Row],[Manual Cat Value]]="",VLOOKUP(Table2[[#This Row],[Description]],'Actuals Lookup'!D:F,3,0),VLOOKUP(Table2[[#This Row],[Manual Cat Value]],Lookup!A:B,2,0))</f>
        <v>Delete</v>
      </c>
      <c r="H10768" s="8" t="s">
        <v>9</v>
      </c>
      <c r="I10768" s="8"/>
      <c r="O10768" t="str">
        <f>LEFT(Table2[[#This Row],[Description]],75)</f>
        <v>ALOFT KANSAS CITY COKANSAS CITY         MO</v>
      </c>
    </row>
    <row r="10769" spans="1:15" hidden="1">
      <c r="A10769">
        <v>202401</v>
      </c>
      <c r="B10769" s="6">
        <v>45299</v>
      </c>
      <c r="C10769" t="s">
        <v>5013</v>
      </c>
      <c r="D10769" t="s">
        <v>5159</v>
      </c>
      <c r="E10769">
        <v>13.2</v>
      </c>
      <c r="F10769" s="2" t="str">
        <f>IF(Table2[[#This Row],[Manual Cat Value]]="",VLOOKUP(Table2[[#This Row],[Description]],'Actuals Lookup'!D:F,3,0),VLOOKUP(Table2[[#This Row],[Manual Cat Value]],Lookup!A:B,2,0))</f>
        <v>Healthcare</v>
      </c>
      <c r="G10769" t="s">
        <v>48</v>
      </c>
      <c r="I10769" s="8"/>
      <c r="O10769" t="str">
        <f>LEFT(Table2[[#This Row],[Description]],75)</f>
        <v>Minuteclinic</v>
      </c>
    </row>
    <row r="10770" spans="1:15" hidden="1">
      <c r="A10770">
        <v>202405</v>
      </c>
      <c r="B10770" s="6">
        <v>45442</v>
      </c>
      <c r="C10770" t="s">
        <v>5160</v>
      </c>
      <c r="D10770" t="s">
        <v>128</v>
      </c>
      <c r="E10770">
        <v>322.97000000000003</v>
      </c>
      <c r="F10770" s="2" t="str">
        <f>IF(Table2[[#This Row],[Manual Cat Value]]="",VLOOKUP(Table2[[#This Row],[Description]],'Actuals Lookup'!D:F,3,0),VLOOKUP(Table2[[#This Row],[Manual Cat Value]],Lookup!A:B,2,0))</f>
        <v>Delete</v>
      </c>
      <c r="G10770" t="s">
        <v>43</v>
      </c>
      <c r="H10770" s="8" t="s">
        <v>9</v>
      </c>
      <c r="I10770" s="8"/>
      <c r="O10770" t="str">
        <f>LEFT(Table2[[#This Row],[Description]],75)</f>
        <v>American Airlines</v>
      </c>
    </row>
    <row r="10771" spans="1:15" hidden="1">
      <c r="A10771">
        <v>202401</v>
      </c>
      <c r="B10771" s="6">
        <v>45299</v>
      </c>
      <c r="C10771" t="s">
        <v>4308</v>
      </c>
      <c r="D10771" t="s">
        <v>5161</v>
      </c>
      <c r="E10771">
        <v>150.63999999999999</v>
      </c>
      <c r="F10771" s="2" t="str">
        <f>IF(Table2[[#This Row],[Manual Cat Value]]="",VLOOKUP(Table2[[#This Row],[Description]],'Actuals Lookup'!D:F,3,0),VLOOKUP(Table2[[#This Row],[Manual Cat Value]],Lookup!A:B,2,0))</f>
        <v>Amazon</v>
      </c>
      <c r="H10771" s="8" t="s">
        <v>37</v>
      </c>
      <c r="I10771" s="8"/>
      <c r="O10771" t="str">
        <f>LEFT(Table2[[#This Row],[Description]],75)</f>
        <v>Payment to Amazon Prime</v>
      </c>
    </row>
    <row r="10772" spans="1:15" hidden="1">
      <c r="A10772">
        <v>202404</v>
      </c>
      <c r="B10772" s="6">
        <v>45408</v>
      </c>
      <c r="C10772" t="s">
        <v>5160</v>
      </c>
      <c r="D10772" t="s">
        <v>131</v>
      </c>
      <c r="E10772">
        <v>163.81</v>
      </c>
      <c r="F10772" s="2" t="str">
        <f>IF(Table2[[#This Row],[Manual Cat Value]]="",VLOOKUP(Table2[[#This Row],[Description]],'Actuals Lookup'!D:F,3,0),VLOOKUP(Table2[[#This Row],[Manual Cat Value]],Lookup!A:B,2,0))</f>
        <v>Insurance</v>
      </c>
      <c r="G10772" t="s">
        <v>5064</v>
      </c>
      <c r="H10772" s="8" t="s">
        <v>17</v>
      </c>
      <c r="I10772" s="8"/>
      <c r="O10772" t="str">
        <f>LEFT(Table2[[#This Row],[Description]],75)</f>
        <v>American Family Insurance</v>
      </c>
    </row>
    <row r="10773" spans="1:15" hidden="1">
      <c r="A10773">
        <v>202401</v>
      </c>
      <c r="B10773" s="6">
        <v>45299</v>
      </c>
      <c r="C10773" t="s">
        <v>3199</v>
      </c>
      <c r="D10773" t="s">
        <v>1470</v>
      </c>
      <c r="E10773">
        <v>152.30000000000001</v>
      </c>
      <c r="F10773" s="2" t="str">
        <f>IF(Table2[[#This Row],[Manual Cat Value]]="",VLOOKUP(Table2[[#This Row],[Description]],'Actuals Lookup'!D:F,3,0),VLOOKUP(Table2[[#This Row],[Manual Cat Value]],Lookup!A:B,2,0))</f>
        <v>Utilities</v>
      </c>
      <c r="H10773" s="8" t="s">
        <v>6</v>
      </c>
      <c r="I10773" s="8"/>
      <c r="O10773" t="str">
        <f>LEFT(Table2[[#This Row],[Description]],75)</f>
        <v>Payment to Xcel Energy</v>
      </c>
    </row>
    <row r="10774" spans="1:15" hidden="1">
      <c r="A10774">
        <v>202401</v>
      </c>
      <c r="B10774" s="6">
        <v>45299</v>
      </c>
      <c r="C10774" t="s">
        <v>4381</v>
      </c>
      <c r="D10774" t="s">
        <v>1958</v>
      </c>
      <c r="E10774">
        <v>114.75</v>
      </c>
      <c r="F10774" s="2" t="str">
        <f>IF(Table2[[#This Row],[Manual Cat Value]]="",VLOOKUP(Table2[[#This Row],[Description]],'Actuals Lookup'!D:F,3,0),VLOOKUP(Table2[[#This Row],[Manual Cat Value]],Lookup!A:B,2,0))</f>
        <v>Shopping</v>
      </c>
      <c r="H10774" s="8" t="s">
        <v>36</v>
      </c>
      <c r="I10774" s="8"/>
      <c r="O10774" t="str">
        <f>LEFT(Table2[[#This Row],[Description]],75)</f>
        <v>Transfer to Venmo</v>
      </c>
    </row>
    <row r="10775" spans="1:15" hidden="1">
      <c r="A10775">
        <v>202411</v>
      </c>
      <c r="B10775" s="6">
        <v>45605</v>
      </c>
      <c r="C10775" t="s">
        <v>130</v>
      </c>
      <c r="D10775" t="s">
        <v>5162</v>
      </c>
      <c r="E10775">
        <v>9.42</v>
      </c>
      <c r="F10775" s="2" t="str">
        <f>IF(Table2[[#This Row],[Manual Cat Value]]="",VLOOKUP(Table2[[#This Row],[Description]],'Actuals Lookup'!D:F,3,0),VLOOKUP(Table2[[#This Row],[Manual Cat Value]],Lookup!A:B,2,0))</f>
        <v>Delete</v>
      </c>
      <c r="H10775" s="8" t="s">
        <v>9</v>
      </c>
      <c r="I10775" s="8"/>
      <c r="O10775" t="str">
        <f>LEFT(Table2[[#This Row],[Description]],75)</f>
        <v>AplPay ARAMARK ARROWKANSAS CITY         MO</v>
      </c>
    </row>
    <row r="10776" spans="1:15" hidden="1">
      <c r="A10776">
        <v>202409</v>
      </c>
      <c r="B10776" s="6">
        <v>45546</v>
      </c>
      <c r="C10776" t="s">
        <v>5163</v>
      </c>
      <c r="D10776" t="s">
        <v>5164</v>
      </c>
      <c r="E10776">
        <v>134.16</v>
      </c>
      <c r="F10776" s="2" t="str">
        <f>IF(Table2[[#This Row],[Manual Cat Value]]="",VLOOKUP(Table2[[#This Row],[Description]],'Actuals Lookup'!D:F,3,0),VLOOKUP(Table2[[#This Row],[Manual Cat Value]],Lookup!A:B,2,0))</f>
        <v>Delete</v>
      </c>
      <c r="H10776" s="8" t="s">
        <v>9</v>
      </c>
      <c r="I10776" s="8"/>
      <c r="O10776" t="str">
        <f>LEFT(Table2[[#This Row],[Description]],75)</f>
        <v>AplPay BE RELAX DETRDETROIT             MI</v>
      </c>
    </row>
    <row r="10777" spans="1:15" hidden="1">
      <c r="A10777">
        <v>202401</v>
      </c>
      <c r="B10777" s="6">
        <v>45300</v>
      </c>
      <c r="C10777" t="s">
        <v>4306</v>
      </c>
      <c r="D10777" t="s">
        <v>1477</v>
      </c>
      <c r="E10777">
        <v>47.69</v>
      </c>
      <c r="F10777" s="2" t="str">
        <f>IF(Table2[[#This Row],[Manual Cat Value]]="",VLOOKUP(Table2[[#This Row],[Description]],'Actuals Lookup'!D:F,3,0),VLOOKUP(Table2[[#This Row],[Manual Cat Value]],Lookup!A:B,2,0))</f>
        <v>Gym</v>
      </c>
      <c r="H10777" s="8" t="s">
        <v>33</v>
      </c>
      <c r="I10777" s="8"/>
      <c r="O10777" t="str">
        <f>LEFT(Table2[[#This Row],[Description]],75)</f>
        <v>Peloton Cycles</v>
      </c>
    </row>
    <row r="10778" spans="1:15" hidden="1">
      <c r="A10778">
        <v>202401</v>
      </c>
      <c r="B10778" s="6">
        <v>45300</v>
      </c>
      <c r="C10778" t="s">
        <v>4405</v>
      </c>
      <c r="D10778" t="s">
        <v>5165</v>
      </c>
      <c r="E10778" s="46">
        <v>346</v>
      </c>
      <c r="F10778" s="2" t="str">
        <f>IF(Table2[[#This Row],[Manual Cat Value]]="",VLOOKUP(Table2[[#This Row],[Description]],'Actuals Lookup'!D:F,3,0),VLOOKUP(Table2[[#This Row],[Manual Cat Value]],Lookup!A:B,2,0))</f>
        <v>Day Care</v>
      </c>
      <c r="H10778" s="8" t="s">
        <v>19</v>
      </c>
      <c r="I10778" s="8"/>
      <c r="O10778" t="str">
        <f>LEFT(Table2[[#This Row],[Description]],75)</f>
        <v>Withdrawal ACH MHCHILDCARELLC TYPE: DUES ID: XX8198 CO: MHCHILDCARELLC Entr</v>
      </c>
    </row>
    <row r="10779" spans="1:15" hidden="1">
      <c r="A10779">
        <v>202401</v>
      </c>
      <c r="B10779" s="6">
        <v>45301</v>
      </c>
      <c r="C10779" t="s">
        <v>5013</v>
      </c>
      <c r="D10779" t="s">
        <v>5166</v>
      </c>
      <c r="E10779">
        <v>5.7</v>
      </c>
      <c r="F10779" s="2" t="str">
        <f>IF(Table2[[#This Row],[Manual Cat Value]]="",VLOOKUP(Table2[[#This Row],[Description]],'Actuals Lookup'!D:F,3,0),VLOOKUP(Table2[[#This Row],[Manual Cat Value]],Lookup!A:B,2,0))</f>
        <v>Groceries</v>
      </c>
      <c r="G10779" t="s">
        <v>28</v>
      </c>
      <c r="H10779" s="8" t="s">
        <v>27</v>
      </c>
      <c r="I10779" s="8"/>
      <c r="O10779" t="str">
        <f>LEFT(Table2[[#This Row],[Description]],75)</f>
        <v>Seaport Wine And Spiboston Ma</v>
      </c>
    </row>
    <row r="10780" spans="1:15" hidden="1">
      <c r="A10780">
        <v>202401</v>
      </c>
      <c r="B10780" s="6">
        <v>45301</v>
      </c>
      <c r="C10780" t="s">
        <v>4312</v>
      </c>
      <c r="D10780" t="s">
        <v>5167</v>
      </c>
      <c r="E10780" s="46">
        <v>42</v>
      </c>
      <c r="F10780" s="2" t="str">
        <f>IF(Table2[[#This Row],[Manual Cat Value]]="",VLOOKUP(Table2[[#This Row],[Description]],'Actuals Lookup'!D:F,3,0),VLOOKUP(Table2[[#This Row],[Manual Cat Value]],Lookup!A:B,2,0))</f>
        <v>Day Care</v>
      </c>
      <c r="H10780" s="8" t="s">
        <v>19</v>
      </c>
      <c r="I10780" s="8"/>
      <c r="O10780" t="str">
        <f>LEFT(Table2[[#This Row],[Description]],75)</f>
        <v>TONKA TD CLUB MINNETONKAFOOMN REF #XX9216QT000XPG7X</v>
      </c>
    </row>
    <row r="10781" spans="1:15" hidden="1">
      <c r="A10781">
        <v>202401</v>
      </c>
      <c r="B10781" s="6">
        <v>45302</v>
      </c>
      <c r="C10781" t="s">
        <v>4304</v>
      </c>
      <c r="D10781" t="s">
        <v>5168</v>
      </c>
      <c r="E10781" s="46">
        <v>443</v>
      </c>
      <c r="F10781" s="2" t="str">
        <f>IF(Table2[[#This Row],[Manual Cat Value]]="",VLOOKUP(Table2[[#This Row],[Description]],'Actuals Lookup'!D:F,3,0),VLOOKUP(Table2[[#This Row],[Manual Cat Value]],Lookup!A:B,2,0))</f>
        <v>Day Care</v>
      </c>
      <c r="H10781" s="8" t="s">
        <v>19</v>
      </c>
      <c r="I10781" s="8"/>
      <c r="O10781" t="str">
        <f>LEFT(Table2[[#This Row],[Description]],75)</f>
        <v>ACT*Camp Fire MN XX4991 TX REF #XX1339QS00YY7281</v>
      </c>
    </row>
    <row r="10782" spans="1:15" hidden="1">
      <c r="A10782">
        <v>202401</v>
      </c>
      <c r="B10782" s="6">
        <v>45302</v>
      </c>
      <c r="C10782" t="s">
        <v>5013</v>
      </c>
      <c r="D10782" t="s">
        <v>103</v>
      </c>
      <c r="E10782">
        <v>137.15</v>
      </c>
      <c r="F10782" s="2" t="str">
        <f>IF(Table2[[#This Row],[Manual Cat Value]]="",VLOOKUP(Table2[[#This Row],[Description]],'Actuals Lookup'!D:F,3,0),VLOOKUP(Table2[[#This Row],[Manual Cat Value]],Lookup!A:B,2,0))</f>
        <v>Healthcare</v>
      </c>
      <c r="G10782" t="s">
        <v>28</v>
      </c>
      <c r="I10782" s="8"/>
      <c r="O10782" t="str">
        <f>LEFT(Table2[[#This Row],[Description]],75)</f>
        <v>Advocare</v>
      </c>
    </row>
    <row r="10783" spans="1:15" hidden="1">
      <c r="A10783">
        <v>202401</v>
      </c>
      <c r="B10783" s="6">
        <v>45302</v>
      </c>
      <c r="C10783" t="s">
        <v>5013</v>
      </c>
      <c r="D10783" t="s">
        <v>453</v>
      </c>
      <c r="E10783">
        <v>3.85</v>
      </c>
      <c r="F10783" s="2" t="str">
        <f>IF(Table2[[#This Row],[Manual Cat Value]]="",VLOOKUP(Table2[[#This Row],[Description]],'Actuals Lookup'!D:F,3,0),VLOOKUP(Table2[[#This Row],[Manual Cat Value]],Lookup!A:B,2,0))</f>
        <v>Restaurants</v>
      </c>
      <c r="G10783" t="s">
        <v>26</v>
      </c>
      <c r="I10783" s="8"/>
      <c r="O10783" t="str">
        <f>LEFT(Table2[[#This Row],[Description]],75)</f>
        <v>Caribou Coffee</v>
      </c>
    </row>
    <row r="10784" spans="1:15" hidden="1">
      <c r="A10784">
        <v>202401</v>
      </c>
      <c r="B10784" s="6">
        <v>45302</v>
      </c>
      <c r="C10784" t="s">
        <v>5013</v>
      </c>
      <c r="D10784" t="s">
        <v>5027</v>
      </c>
      <c r="E10784">
        <v>8.23</v>
      </c>
      <c r="F10784" s="2" t="str">
        <f>IF(Table2[[#This Row],[Manual Cat Value]]="",VLOOKUP(Table2[[#This Row],[Description]],'Actuals Lookup'!D:F,3,0),VLOOKUP(Table2[[#This Row],[Manual Cat Value]],Lookup!A:B,2,0))</f>
        <v>Restaurants</v>
      </c>
      <c r="G10784" t="s">
        <v>26</v>
      </c>
      <c r="I10784" s="8"/>
      <c r="O10784" t="str">
        <f>LEFT(Table2[[#This Row],[Description]],75)</f>
        <v>Dunkin' Donuts</v>
      </c>
    </row>
    <row r="10785" spans="1:15" hidden="1">
      <c r="A10785">
        <v>202401</v>
      </c>
      <c r="B10785" s="6">
        <v>45302</v>
      </c>
      <c r="C10785" t="s">
        <v>5013</v>
      </c>
      <c r="D10785" t="s">
        <v>5036</v>
      </c>
      <c r="E10785">
        <v>4</v>
      </c>
      <c r="F10785" s="2" t="str">
        <f>IF(Table2[[#This Row],[Manual Cat Value]]="",VLOOKUP(Table2[[#This Row],[Description]],'Actuals Lookup'!D:F,3,0),VLOOKUP(Table2[[#This Row],[Manual Cat Value]],Lookup!A:B,2,0))</f>
        <v>Utilities</v>
      </c>
      <c r="G10785" t="s">
        <v>62</v>
      </c>
      <c r="H10785" s="8" t="s">
        <v>6</v>
      </c>
      <c r="I10785" s="8"/>
      <c r="O10785" t="str">
        <f>LEFT(Table2[[#This Row],[Description]],75)</f>
        <v>Google *svcsgns.3349g.co/helppay# Ca</v>
      </c>
    </row>
    <row r="10786" spans="1:15" hidden="1">
      <c r="A10786">
        <v>202411</v>
      </c>
      <c r="B10786" s="6">
        <v>45601</v>
      </c>
      <c r="C10786" t="s">
        <v>130</v>
      </c>
      <c r="D10786" t="s">
        <v>5169</v>
      </c>
      <c r="E10786">
        <v>26.88</v>
      </c>
      <c r="F10786" s="2" t="str">
        <f>IF(Table2[[#This Row],[Manual Cat Value]]="",VLOOKUP(Table2[[#This Row],[Description]],'Actuals Lookup'!D:F,3,0),VLOOKUP(Table2[[#This Row],[Manual Cat Value]],Lookup!A:B,2,0))</f>
        <v>Delete</v>
      </c>
      <c r="H10786" s="8" t="s">
        <v>9</v>
      </c>
      <c r="I10786" s="8"/>
      <c r="O10786" t="str">
        <f>LEFT(Table2[[#This Row],[Description]],75)</f>
        <v>AplPay CHIPOTLE ONLINEWPORT BEACH       CA</v>
      </c>
    </row>
    <row r="10787" spans="1:15" hidden="1">
      <c r="A10787">
        <v>202401</v>
      </c>
      <c r="B10787" s="6">
        <v>45302</v>
      </c>
      <c r="C10787" t="s">
        <v>4298</v>
      </c>
      <c r="D10787" t="s">
        <v>1350</v>
      </c>
      <c r="E10787">
        <v>25.6</v>
      </c>
      <c r="F10787" s="2" t="str">
        <f>IF(Table2[[#This Row],[Manual Cat Value]]="",VLOOKUP(Table2[[#This Row],[Description]],'Actuals Lookup'!D:F,3,0),VLOOKUP(Table2[[#This Row],[Manual Cat Value]],Lookup!A:B,2,0))</f>
        <v>Utilities</v>
      </c>
      <c r="H10787" s="8" t="s">
        <v>6</v>
      </c>
      <c r="I10787" s="8"/>
      <c r="O10787" t="str">
        <f>LEFT(Table2[[#This Row],[Description]],75)</f>
        <v>Netflix</v>
      </c>
    </row>
    <row r="10788" spans="1:15" hidden="1">
      <c r="A10788">
        <v>202401</v>
      </c>
      <c r="B10788" s="6">
        <v>45302</v>
      </c>
      <c r="C10788" t="s">
        <v>5013</v>
      </c>
      <c r="D10788" t="s">
        <v>4663</v>
      </c>
      <c r="E10788">
        <v>24.37</v>
      </c>
      <c r="F10788" s="2" t="str">
        <f>IF(Table2[[#This Row],[Manual Cat Value]]="",VLOOKUP(Table2[[#This Row],[Description]],'Actuals Lookup'!D:F,3,0),VLOOKUP(Table2[[#This Row],[Manual Cat Value]],Lookup!A:B,2,0))</f>
        <v>Restaurants</v>
      </c>
      <c r="G10788" t="s">
        <v>26</v>
      </c>
      <c r="I10788" s="8"/>
      <c r="O10788" t="str">
        <f>LEFT(Table2[[#This Row],[Description]],75)</f>
        <v>Red Cow</v>
      </c>
    </row>
    <row r="10789" spans="1:15" hidden="1">
      <c r="A10789">
        <v>202401</v>
      </c>
      <c r="B10789" s="6">
        <v>45302</v>
      </c>
      <c r="C10789" t="s">
        <v>4413</v>
      </c>
      <c r="D10789" t="s">
        <v>4343</v>
      </c>
      <c r="E10789">
        <v>-3251.21</v>
      </c>
      <c r="F10789" s="2" t="str">
        <f>IF(Table2[[#This Row],[Manual Cat Value]]="",VLOOKUP(Table2[[#This Row],[Description]],'Actuals Lookup'!D:F,3,0),VLOOKUP(Table2[[#This Row],[Manual Cat Value]],Lookup!A:B,2,0))</f>
        <v>Jeff</v>
      </c>
      <c r="H10789" s="8" t="s">
        <v>63</v>
      </c>
      <c r="I10789" s="8"/>
      <c r="O10789" t="str">
        <f>LEFT(Table2[[#This Row],[Description]],75)</f>
        <v>Salary/Regular Income from TriNet</v>
      </c>
    </row>
    <row r="10790" spans="1:15" hidden="1">
      <c r="A10790">
        <v>202401</v>
      </c>
      <c r="B10790" s="6">
        <v>45302</v>
      </c>
      <c r="C10790" t="s">
        <v>3932</v>
      </c>
      <c r="D10790" t="s">
        <v>5170</v>
      </c>
      <c r="E10790" s="46">
        <v>112.39</v>
      </c>
      <c r="F10790" s="2" t="str">
        <f>IF(Table2[[#This Row],[Manual Cat Value]]="",VLOOKUP(Table2[[#This Row],[Description]],'Actuals Lookup'!D:F,3,0),VLOOKUP(Table2[[#This Row],[Manual Cat Value]],Lookup!A:B,2,0))</f>
        <v>Day Care</v>
      </c>
      <c r="G10790" t="s">
        <v>62</v>
      </c>
      <c r="H10790" s="8" t="s">
        <v>19</v>
      </c>
      <c r="I10790" s="8"/>
      <c r="O10790" t="str">
        <f>LEFT(Table2[[#This Row],[Description]],75)</f>
        <v>Scout Shop</v>
      </c>
    </row>
    <row r="10791" spans="1:15" hidden="1">
      <c r="A10791">
        <v>202401</v>
      </c>
      <c r="B10791" s="6">
        <v>45302</v>
      </c>
      <c r="C10791" t="s">
        <v>4296</v>
      </c>
      <c r="D10791" t="s">
        <v>5171</v>
      </c>
      <c r="E10791">
        <v>85</v>
      </c>
      <c r="F10791" s="2" t="str">
        <f>IF(Table2[[#This Row],[Manual Cat Value]]="",VLOOKUP(Table2[[#This Row],[Description]],'Actuals Lookup'!D:F,3,0),VLOOKUP(Table2[[#This Row],[Manual Cat Value]],Lookup!A:B,2,0))</f>
        <v>Entertainment</v>
      </c>
      <c r="H10791" s="8" t="s">
        <v>39</v>
      </c>
      <c r="I10791" s="8"/>
      <c r="O10791" t="str">
        <f>LEFT(Table2[[#This Row],[Description]],75)</f>
        <v>Stages Theatre Company</v>
      </c>
    </row>
    <row r="10792" spans="1:15" hidden="1">
      <c r="A10792">
        <v>202409</v>
      </c>
      <c r="B10792" s="6">
        <v>45557</v>
      </c>
      <c r="C10792" t="s">
        <v>130</v>
      </c>
      <c r="D10792" t="s">
        <v>5172</v>
      </c>
      <c r="E10792">
        <v>8.18</v>
      </c>
      <c r="F10792" s="2" t="str">
        <f>IF(Table2[[#This Row],[Manual Cat Value]]="",VLOOKUP(Table2[[#This Row],[Description]],'Actuals Lookup'!D:F,3,0),VLOOKUP(Table2[[#This Row],[Manual Cat Value]],Lookup!A:B,2,0))</f>
        <v>Delete</v>
      </c>
      <c r="H10792" s="8" t="s">
        <v>9</v>
      </c>
      <c r="I10792" s="8"/>
      <c r="O10792" t="str">
        <f>LEFT(Table2[[#This Row],[Description]],75)</f>
        <v>AplPay GREAT AMER BAFORT MYERS          FL</v>
      </c>
    </row>
    <row r="10793" spans="1:15" hidden="1">
      <c r="A10793">
        <v>202401</v>
      </c>
      <c r="B10793" s="6">
        <v>45303</v>
      </c>
      <c r="C10793" t="s">
        <v>4300</v>
      </c>
      <c r="D10793" t="s">
        <v>5173</v>
      </c>
      <c r="E10793">
        <v>116.82</v>
      </c>
      <c r="F10793" s="2" t="str">
        <f>IF(Table2[[#This Row],[Manual Cat Value]]="",VLOOKUP(Table2[[#This Row],[Description]],'Actuals Lookup'!D:F,3,0),VLOOKUP(Table2[[#This Row],[Manual Cat Value]],Lookup!A:B,2,0))</f>
        <v>Restaurants</v>
      </c>
      <c r="H10793" s="8" t="s">
        <v>25</v>
      </c>
      <c r="I10793" s="8"/>
      <c r="O10793" t="str">
        <f>LEFT(Table2[[#This Row],[Description]],75)</f>
        <v>BLVD *FACE FOUNDRIE WAYXX-7151 MN REF #XX4500QVEJ2GXFJ3</v>
      </c>
    </row>
    <row r="10794" spans="1:15" hidden="1">
      <c r="A10794">
        <v>202401</v>
      </c>
      <c r="B10794" s="6">
        <v>45303</v>
      </c>
      <c r="C10794" t="s">
        <v>4319</v>
      </c>
      <c r="D10794" t="s">
        <v>4868</v>
      </c>
      <c r="E10794">
        <v>5.99</v>
      </c>
      <c r="F10794" s="2" t="str">
        <f>IF(Table2[[#This Row],[Manual Cat Value]]="",VLOOKUP(Table2[[#This Row],[Description]],'Actuals Lookup'!D:F,3,0),VLOOKUP(Table2[[#This Row],[Manual Cat Value]],Lookup!A:B,2,0))</f>
        <v>Entertainment</v>
      </c>
      <c r="H10794" s="8" t="s">
        <v>39</v>
      </c>
      <c r="I10794" s="8"/>
      <c r="O10794" t="str">
        <f>LEFT(Table2[[#This Row],[Description]],75)</f>
        <v>Hallmark Movies Now</v>
      </c>
    </row>
    <row r="10795" spans="1:15" hidden="1">
      <c r="A10795">
        <v>202401</v>
      </c>
      <c r="B10795" s="6">
        <v>45303</v>
      </c>
      <c r="C10795" t="s">
        <v>4314</v>
      </c>
      <c r="D10795" t="s">
        <v>5174</v>
      </c>
      <c r="E10795">
        <v>284.95</v>
      </c>
      <c r="F10795" s="2" t="str">
        <f>IF(Table2[[#This Row],[Manual Cat Value]]="",VLOOKUP(Table2[[#This Row],[Description]],'Actuals Lookup'!D:F,3,0),VLOOKUP(Table2[[#This Row],[Manual Cat Value]],Lookup!A:B,2,0))</f>
        <v>Groceries</v>
      </c>
      <c r="H10795" s="8" t="s">
        <v>27</v>
      </c>
      <c r="I10795" s="8"/>
      <c r="O10795" t="str">
        <f>LEFT(Table2[[#This Row],[Description]],75)</f>
        <v>SP PUR BRANDS LLC HTTPSPURBRANDTX REF #XX9216QV000T3EJF</v>
      </c>
    </row>
    <row r="10796" spans="1:15" hidden="1">
      <c r="A10796">
        <v>202401</v>
      </c>
      <c r="B10796" s="6">
        <v>45303</v>
      </c>
      <c r="C10796" t="s">
        <v>4317</v>
      </c>
      <c r="D10796" t="s">
        <v>5171</v>
      </c>
      <c r="E10796">
        <v>19</v>
      </c>
      <c r="F10796" s="2" t="str">
        <f>IF(Table2[[#This Row],[Manual Cat Value]]="",VLOOKUP(Table2[[#This Row],[Description]],'Actuals Lookup'!D:F,3,0),VLOOKUP(Table2[[#This Row],[Manual Cat Value]],Lookup!A:B,2,0))</f>
        <v>Entertainment</v>
      </c>
      <c r="H10796" s="8" t="s">
        <v>39</v>
      </c>
      <c r="I10796" s="8"/>
      <c r="O10796" t="str">
        <f>LEFT(Table2[[#This Row],[Description]],75)</f>
        <v>Stages Theatre Company</v>
      </c>
    </row>
    <row r="10797" spans="1:15" hidden="1">
      <c r="A10797">
        <v>202401</v>
      </c>
      <c r="B10797" s="6">
        <v>45303</v>
      </c>
      <c r="C10797" t="s">
        <v>4302</v>
      </c>
      <c r="D10797" t="s">
        <v>2078</v>
      </c>
      <c r="E10797">
        <v>18.91</v>
      </c>
      <c r="F10797" s="2" t="str">
        <f>IF(Table2[[#This Row],[Manual Cat Value]]="",VLOOKUP(Table2[[#This Row],[Description]],'Actuals Lookup'!D:F,3,0),VLOOKUP(Table2[[#This Row],[Manual Cat Value]],Lookup!A:B,2,0))</f>
        <v>Transportation</v>
      </c>
      <c r="H10797" s="8" t="s">
        <v>22</v>
      </c>
      <c r="I10797" s="8"/>
      <c r="O10797" t="str">
        <f>LEFT(Table2[[#This Row],[Description]],75)</f>
        <v>Uber</v>
      </c>
    </row>
    <row r="10798" spans="1:15" hidden="1">
      <c r="A10798">
        <v>202401</v>
      </c>
      <c r="B10798" s="6">
        <v>45304</v>
      </c>
      <c r="C10798" t="s">
        <v>3932</v>
      </c>
      <c r="D10798" t="s">
        <v>113</v>
      </c>
      <c r="E10798">
        <v>-16.670000000000002</v>
      </c>
      <c r="F10798" s="2" t="str">
        <f>IF(Table2[[#This Row],[Manual Cat Value]]="",VLOOKUP(Table2[[#This Row],[Description]],'Actuals Lookup'!D:F,3,0),VLOOKUP(Table2[[#This Row],[Manual Cat Value]],Lookup!A:B,2,0))</f>
        <v>Amazon</v>
      </c>
      <c r="G10798" t="s">
        <v>41</v>
      </c>
      <c r="H10798" s="8" t="s">
        <v>37</v>
      </c>
      <c r="I10798" s="8"/>
      <c r="O10798" t="str">
        <f>LEFT(Table2[[#This Row],[Description]],75)</f>
        <v>Amazon Marketplace</v>
      </c>
    </row>
    <row r="10799" spans="1:15" hidden="1">
      <c r="A10799">
        <v>202401</v>
      </c>
      <c r="B10799" s="6">
        <v>45304</v>
      </c>
      <c r="C10799" t="s">
        <v>3932</v>
      </c>
      <c r="D10799" t="s">
        <v>113</v>
      </c>
      <c r="E10799">
        <v>-37.92</v>
      </c>
      <c r="F10799" s="2" t="str">
        <f>IF(Table2[[#This Row],[Manual Cat Value]]="",VLOOKUP(Table2[[#This Row],[Description]],'Actuals Lookup'!D:F,3,0),VLOOKUP(Table2[[#This Row],[Manual Cat Value]],Lookup!A:B,2,0))</f>
        <v>Amazon</v>
      </c>
      <c r="G10799" t="s">
        <v>41</v>
      </c>
      <c r="H10799" s="8" t="s">
        <v>37</v>
      </c>
      <c r="I10799" s="8"/>
      <c r="O10799" t="str">
        <f>LEFT(Table2[[#This Row],[Description]],75)</f>
        <v>Amazon Marketplace</v>
      </c>
    </row>
    <row r="10800" spans="1:15" hidden="1">
      <c r="A10800">
        <v>202401</v>
      </c>
      <c r="B10800" s="6">
        <v>45304</v>
      </c>
      <c r="C10800" t="s">
        <v>5013</v>
      </c>
      <c r="D10800" t="s">
        <v>3967</v>
      </c>
      <c r="E10800">
        <v>16.5</v>
      </c>
      <c r="F10800" s="2" t="str">
        <f>IF(Table2[[#This Row],[Manual Cat Value]]="",VLOOKUP(Table2[[#This Row],[Description]],'Actuals Lookup'!D:F,3,0),VLOOKUP(Table2[[#This Row],[Manual Cat Value]],Lookup!A:B,2,0))</f>
        <v>Restaurants</v>
      </c>
      <c r="G10800" t="s">
        <v>26</v>
      </c>
      <c r="I10800" s="8"/>
      <c r="O10800" t="str">
        <f>LEFT(Table2[[#This Row],[Description]],75)</f>
        <v>Chick-fil-a</v>
      </c>
    </row>
    <row r="10801" spans="1:15" hidden="1">
      <c r="A10801">
        <v>202401</v>
      </c>
      <c r="B10801" s="6">
        <v>45304</v>
      </c>
      <c r="C10801" t="s">
        <v>5013</v>
      </c>
      <c r="D10801" t="s">
        <v>5175</v>
      </c>
      <c r="E10801">
        <v>47.26</v>
      </c>
      <c r="F10801" s="2" t="str">
        <f>IF(Table2[[#This Row],[Manual Cat Value]]="",VLOOKUP(Table2[[#This Row],[Description]],'Actuals Lookup'!D:F,3,0),VLOOKUP(Table2[[#This Row],[Manual Cat Value]],Lookup!A:B,2,0))</f>
        <v>Restaurants</v>
      </c>
      <c r="G10801" t="s">
        <v>43</v>
      </c>
      <c r="H10801" s="8" t="s">
        <v>25</v>
      </c>
      <c r="I10801" s="8"/>
      <c r="O10801" t="str">
        <f>LEFT(Table2[[#This Row],[Description]],75)</f>
        <v>Nicollet Island Inn Minneapolis Mn</v>
      </c>
    </row>
    <row r="10802" spans="1:15" hidden="1">
      <c r="A10802">
        <v>202401</v>
      </c>
      <c r="B10802" s="6">
        <v>45304</v>
      </c>
      <c r="C10802" t="s">
        <v>5013</v>
      </c>
      <c r="D10802" t="s">
        <v>5176</v>
      </c>
      <c r="E10802">
        <v>338.59</v>
      </c>
      <c r="F10802" s="2" t="str">
        <f>IF(Table2[[#This Row],[Manual Cat Value]]="",VLOOKUP(Table2[[#This Row],[Description]],'Actuals Lookup'!D:F,3,0),VLOOKUP(Table2[[#This Row],[Manual Cat Value]],Lookup!A:B,2,0))</f>
        <v>Shopping</v>
      </c>
      <c r="G10802" t="s">
        <v>5177</v>
      </c>
      <c r="H10802" s="8" t="s">
        <v>36</v>
      </c>
      <c r="I10802" s="8"/>
      <c r="O10802" t="str">
        <f>LEFT(Table2[[#This Row],[Description]],75)</f>
        <v>Office Depot</v>
      </c>
    </row>
    <row r="10803" spans="1:15" hidden="1">
      <c r="A10803">
        <v>202401</v>
      </c>
      <c r="B10803" s="6">
        <v>45305</v>
      </c>
      <c r="C10803" t="s">
        <v>4055</v>
      </c>
      <c r="D10803" t="s">
        <v>38</v>
      </c>
      <c r="E10803">
        <v>-11.26</v>
      </c>
      <c r="F10803" s="2" t="str">
        <f>IF(Table2[[#This Row],[Manual Cat Value]]="",VLOOKUP(Table2[[#This Row],[Description]],'Actuals Lookup'!D:F,3,0),VLOOKUP(Table2[[#This Row],[Manual Cat Value]],Lookup!A:B,2,0))</f>
        <v>Amazon</v>
      </c>
      <c r="H10803" s="8" t="s">
        <v>37</v>
      </c>
      <c r="I10803" s="8"/>
      <c r="O10803" t="str">
        <f>LEFT(Table2[[#This Row],[Description]],75)</f>
        <v>Amazon</v>
      </c>
    </row>
    <row r="10804" spans="1:15" hidden="1">
      <c r="A10804">
        <v>202401</v>
      </c>
      <c r="B10804" s="6">
        <v>45305</v>
      </c>
      <c r="C10804" t="s">
        <v>4038</v>
      </c>
      <c r="D10804" t="s">
        <v>5178</v>
      </c>
      <c r="E10804">
        <v>27.01</v>
      </c>
      <c r="F10804" s="2" t="str">
        <f>IF(Table2[[#This Row],[Manual Cat Value]]="",VLOOKUP(Table2[[#This Row],[Description]],'Actuals Lookup'!D:F,3,0),VLOOKUP(Table2[[#This Row],[Manual Cat Value]],Lookup!A:B,2,0))</f>
        <v>Amazon</v>
      </c>
      <c r="H10804" s="8" t="s">
        <v>37</v>
      </c>
      <c r="I10804" s="8"/>
      <c r="O10804" t="str">
        <f>LEFT(Table2[[#This Row],[Description]],75)</f>
        <v>AMZN Mktp US*R838A0ZV0 Amzn.com/billWA REF #XX9216QX2ZWR8ZNY</v>
      </c>
    </row>
    <row r="10805" spans="1:15" hidden="1">
      <c r="A10805">
        <v>202401</v>
      </c>
      <c r="B10805" s="6">
        <v>45305</v>
      </c>
      <c r="C10805" t="s">
        <v>4033</v>
      </c>
      <c r="D10805" t="s">
        <v>5179</v>
      </c>
      <c r="E10805">
        <v>28.88</v>
      </c>
      <c r="F10805" s="2" t="str">
        <f>IF(Table2[[#This Row],[Manual Cat Value]]="",VLOOKUP(Table2[[#This Row],[Description]],'Actuals Lookup'!D:F,3,0),VLOOKUP(Table2[[#This Row],[Manual Cat Value]],Lookup!A:B,2,0))</f>
        <v>Amazon</v>
      </c>
      <c r="H10805" s="8" t="s">
        <v>37</v>
      </c>
      <c r="I10805" s="8"/>
      <c r="O10805" t="str">
        <f>LEFT(Table2[[#This Row],[Description]],75)</f>
        <v>AMZN MKTP US*RT7ZG8PW2 SEATTLE WA REF #XX3106QW2DKSBT29</v>
      </c>
    </row>
    <row r="10806" spans="1:15" hidden="1">
      <c r="A10806">
        <v>202401</v>
      </c>
      <c r="B10806" s="6">
        <v>45305</v>
      </c>
      <c r="C10806" t="s">
        <v>4053</v>
      </c>
      <c r="D10806" t="s">
        <v>161</v>
      </c>
      <c r="E10806">
        <v>-193.2</v>
      </c>
      <c r="F10806" s="2" t="str">
        <f>IF(Table2[[#This Row],[Manual Cat Value]]="",VLOOKUP(Table2[[#This Row],[Description]],'Actuals Lookup'!D:F,3,0),VLOOKUP(Table2[[#This Row],[Manual Cat Value]],Lookup!A:B,2,0))</f>
        <v>Shopping</v>
      </c>
      <c r="H10806" s="8" t="s">
        <v>36</v>
      </c>
      <c r="I10806" s="8"/>
      <c r="O10806" t="str">
        <f>LEFT(Table2[[#This Row],[Description]],75)</f>
        <v>Anthropologie</v>
      </c>
    </row>
    <row r="10807" spans="1:15" hidden="1">
      <c r="A10807">
        <v>202401</v>
      </c>
      <c r="B10807" s="6">
        <v>45305</v>
      </c>
      <c r="C10807" t="s">
        <v>5013</v>
      </c>
      <c r="D10807" t="s">
        <v>5180</v>
      </c>
      <c r="E10807">
        <v>48</v>
      </c>
      <c r="F10807" s="2" t="str">
        <f>IF(Table2[[#This Row],[Manual Cat Value]]="",VLOOKUP(Table2[[#This Row],[Description]],'Actuals Lookup'!D:F,3,0),VLOOKUP(Table2[[#This Row],[Manual Cat Value]],Lookup!A:B,2,0))</f>
        <v>Restaurants</v>
      </c>
      <c r="G10807" t="s">
        <v>26</v>
      </c>
      <c r="I10807" s="8"/>
      <c r="O10807" t="str">
        <f>LEFT(Table2[[#This Row],[Description]],75)</f>
        <v>Chaska Pandr 6xx0000chaska Mn</v>
      </c>
    </row>
    <row r="10808" spans="1:15" hidden="1">
      <c r="A10808">
        <v>202401</v>
      </c>
      <c r="B10808" s="6">
        <v>45305</v>
      </c>
      <c r="C10808" t="s">
        <v>4042</v>
      </c>
      <c r="D10808" t="s">
        <v>4887</v>
      </c>
      <c r="E10808">
        <v>33.200000000000003</v>
      </c>
      <c r="F10808" s="2" t="str">
        <f>IF(Table2[[#This Row],[Manual Cat Value]]="",VLOOKUP(Table2[[#This Row],[Description]],'Actuals Lookup'!D:F,3,0),VLOOKUP(Table2[[#This Row],[Manual Cat Value]],Lookup!A:B,2,0))</f>
        <v>Transportation</v>
      </c>
      <c r="H10808" s="8" t="s">
        <v>22</v>
      </c>
      <c r="I10808" s="8"/>
      <c r="O10808" t="str">
        <f>LEFT(Table2[[#This Row],[Description]],75)</f>
        <v>Costco Gas Stations</v>
      </c>
    </row>
    <row r="10809" spans="1:15" hidden="1">
      <c r="A10809">
        <v>202401</v>
      </c>
      <c r="B10809" s="6">
        <v>45305</v>
      </c>
      <c r="C10809" t="s">
        <v>4040</v>
      </c>
      <c r="D10809" t="s">
        <v>808</v>
      </c>
      <c r="E10809">
        <v>30</v>
      </c>
      <c r="F10809" s="2" t="str">
        <f>IF(Table2[[#This Row],[Manual Cat Value]]="",VLOOKUP(Table2[[#This Row],[Description]],'Actuals Lookup'!D:F,3,0),VLOOKUP(Table2[[#This Row],[Manual Cat Value]],Lookup!A:B,2,0))</f>
        <v>Entertainment</v>
      </c>
      <c r="H10809" s="8" t="s">
        <v>39</v>
      </c>
      <c r="I10809" s="8"/>
      <c r="O10809" t="str">
        <f>LEFT(Table2[[#This Row],[Description]],75)</f>
        <v>Elite Nails</v>
      </c>
    </row>
    <row r="10810" spans="1:15" hidden="1">
      <c r="A10810">
        <v>202401</v>
      </c>
      <c r="B10810" s="6">
        <v>45305</v>
      </c>
      <c r="C10810" t="s">
        <v>4030</v>
      </c>
      <c r="D10810" t="s">
        <v>1462</v>
      </c>
      <c r="E10810">
        <v>45</v>
      </c>
      <c r="F10810" s="2" t="str">
        <f>IF(Table2[[#This Row],[Manual Cat Value]]="",VLOOKUP(Table2[[#This Row],[Description]],'Actuals Lookup'!D:F,3,0),VLOOKUP(Table2[[#This Row],[Manual Cat Value]],Lookup!A:B,2,0))</f>
        <v>Utilities</v>
      </c>
      <c r="H10810" s="8" t="s">
        <v>6</v>
      </c>
      <c r="I10810" s="8"/>
      <c r="O10810" t="str">
        <f>LEFT(Table2[[#This Row],[Description]],75)</f>
        <v>Payment to CenturyLink</v>
      </c>
    </row>
    <row r="10811" spans="1:15" hidden="1">
      <c r="A10811">
        <v>202401</v>
      </c>
      <c r="B10811" s="6">
        <v>45305</v>
      </c>
      <c r="C10811" t="s">
        <v>5013</v>
      </c>
      <c r="D10811" t="s">
        <v>1849</v>
      </c>
      <c r="E10811">
        <v>60.64</v>
      </c>
      <c r="F10811" s="2" t="str">
        <f>IF(Table2[[#This Row],[Manual Cat Value]]="",VLOOKUP(Table2[[#This Row],[Description]],'Actuals Lookup'!D:F,3,0),VLOOKUP(Table2[[#This Row],[Manual Cat Value]],Lookup!A:B,2,0))</f>
        <v>House Maintenance</v>
      </c>
      <c r="G10811" t="s">
        <v>2</v>
      </c>
      <c r="H10811" s="8" t="s">
        <v>1</v>
      </c>
      <c r="I10811" s="8"/>
      <c r="O10811" t="str">
        <f>LEFT(Table2[[#This Row],[Description]],75)</f>
        <v>The Home Depot</v>
      </c>
    </row>
    <row r="10812" spans="1:15" hidden="1">
      <c r="A10812">
        <v>202401</v>
      </c>
      <c r="B10812" s="6">
        <v>45305</v>
      </c>
      <c r="C10812" t="s">
        <v>4028</v>
      </c>
      <c r="D10812" t="s">
        <v>4920</v>
      </c>
      <c r="E10812">
        <v>-108</v>
      </c>
      <c r="F10812" s="2" t="str">
        <f>IF(Table2[[#This Row],[Manual Cat Value]]="",VLOOKUP(Table2[[#This Row],[Description]],'Actuals Lookup'!D:F,3,0),VLOOKUP(Table2[[#This Row],[Manual Cat Value]],Lookup!A:B,2,0))</f>
        <v>Shopping</v>
      </c>
      <c r="H10812" s="8" t="s">
        <v>36</v>
      </c>
      <c r="I10812" s="8"/>
      <c r="O10812" t="str">
        <f>LEFT(Table2[[#This Row],[Description]],75)</f>
        <v>Vuori Clothing</v>
      </c>
    </row>
    <row r="10813" spans="1:15" hidden="1">
      <c r="A10813">
        <v>202401</v>
      </c>
      <c r="B10813" s="6">
        <v>45306</v>
      </c>
      <c r="C10813" t="s">
        <v>4047</v>
      </c>
      <c r="D10813" t="s">
        <v>5181</v>
      </c>
      <c r="E10813">
        <v>24.91</v>
      </c>
      <c r="F10813" s="2" t="str">
        <f>IF(Table2[[#This Row],[Manual Cat Value]]="",VLOOKUP(Table2[[#This Row],[Description]],'Actuals Lookup'!D:F,3,0),VLOOKUP(Table2[[#This Row],[Manual Cat Value]],Lookup!A:B,2,0))</f>
        <v>Amazon</v>
      </c>
      <c r="H10813" s="8" t="s">
        <v>37</v>
      </c>
      <c r="I10813" s="8"/>
      <c r="O10813" t="str">
        <f>LEFT(Table2[[#This Row],[Description]],75)</f>
        <v>AMZN Mktp US*R83RX5TS0 Amzn.com/billWA REF #XX9216QY30DZWFHX</v>
      </c>
    </row>
    <row r="10814" spans="1:15" hidden="1">
      <c r="A10814">
        <v>202401</v>
      </c>
      <c r="B10814" s="6">
        <v>45306</v>
      </c>
      <c r="C10814" t="s">
        <v>4051</v>
      </c>
      <c r="D10814" t="s">
        <v>5182</v>
      </c>
      <c r="E10814">
        <v>16.989999999999998</v>
      </c>
      <c r="F10814" s="2" t="str">
        <f>IF(Table2[[#This Row],[Manual Cat Value]]="",VLOOKUP(Table2[[#This Row],[Description]],'Actuals Lookup'!D:F,3,0),VLOOKUP(Table2[[#This Row],[Manual Cat Value]],Lookup!A:B,2,0))</f>
        <v>Amazon</v>
      </c>
      <c r="H10814" s="8" t="s">
        <v>37</v>
      </c>
      <c r="I10814" s="8"/>
      <c r="O10814" t="str">
        <f>LEFT(Table2[[#This Row],[Description]],75)</f>
        <v>AMZN Mktp US*RT0UG7XU1 Amzn.com/billWA REF #XX9216QY30DYJ1WE</v>
      </c>
    </row>
    <row r="10815" spans="1:15" hidden="1">
      <c r="A10815">
        <v>202401</v>
      </c>
      <c r="B10815" s="6">
        <v>45306</v>
      </c>
      <c r="C10815" t="s">
        <v>5013</v>
      </c>
      <c r="D10815" t="s">
        <v>684</v>
      </c>
      <c r="E10815">
        <v>69.09</v>
      </c>
      <c r="F10815" s="2" t="str">
        <f>IF(Table2[[#This Row],[Manual Cat Value]]="",VLOOKUP(Table2[[#This Row],[Description]],'Actuals Lookup'!D:F,3,0),VLOOKUP(Table2[[#This Row],[Manual Cat Value]],Lookup!A:B,2,0))</f>
        <v>Groceries</v>
      </c>
      <c r="G10815" t="s">
        <v>28</v>
      </c>
      <c r="I10815" s="8"/>
      <c r="O10815" t="str">
        <f>LEFT(Table2[[#This Row],[Description]],75)</f>
        <v>Cub Foods</v>
      </c>
    </row>
    <row r="10816" spans="1:15" hidden="1">
      <c r="A10816">
        <v>202401</v>
      </c>
      <c r="B10816" s="6">
        <v>45306</v>
      </c>
      <c r="C10816" t="s">
        <v>4049</v>
      </c>
      <c r="D10816" t="s">
        <v>5183</v>
      </c>
      <c r="E10816">
        <v>119.07</v>
      </c>
      <c r="F10816" s="2" t="str">
        <f>IF(Table2[[#This Row],[Manual Cat Value]]="",VLOOKUP(Table2[[#This Row],[Description]],'Actuals Lookup'!D:F,3,0),VLOOKUP(Table2[[#This Row],[Manual Cat Value]],Lookup!A:B,2,0))</f>
        <v>House Maintenance</v>
      </c>
      <c r="H10816" s="8" t="s">
        <v>1</v>
      </c>
      <c r="I10816" s="8"/>
      <c r="O10816" t="str">
        <f>LEFT(Table2[[#This Row],[Description]],75)</f>
        <v>Sherwin-Williams</v>
      </c>
    </row>
    <row r="10817" spans="1:15" hidden="1">
      <c r="A10817">
        <v>202401</v>
      </c>
      <c r="B10817" s="6">
        <v>45306</v>
      </c>
      <c r="C10817" t="s">
        <v>5013</v>
      </c>
      <c r="D10817" t="s">
        <v>5078</v>
      </c>
      <c r="E10817">
        <v>14.62</v>
      </c>
      <c r="F10817" s="2" t="str">
        <f>IF(Table2[[#This Row],[Manual Cat Value]]="",VLOOKUP(Table2[[#This Row],[Description]],'Actuals Lookup'!D:F,3,0),VLOOKUP(Table2[[#This Row],[Manual Cat Value]],Lookup!A:B,2,0))</f>
        <v>House Maintenance</v>
      </c>
      <c r="G10817" t="s">
        <v>2</v>
      </c>
      <c r="H10817" s="8" t="s">
        <v>1</v>
      </c>
      <c r="I10817" s="8"/>
      <c r="O10817" t="str">
        <f>LEFT(Table2[[#This Row],[Description]],75)</f>
        <v>Sherwin-williams</v>
      </c>
    </row>
    <row r="10818" spans="1:15" hidden="1">
      <c r="A10818">
        <v>202401</v>
      </c>
      <c r="B10818" s="6">
        <v>45307</v>
      </c>
      <c r="C10818" t="s">
        <v>4408</v>
      </c>
      <c r="D10818" t="s">
        <v>4356</v>
      </c>
      <c r="E10818">
        <v>127.3</v>
      </c>
      <c r="F10818" s="2" t="str">
        <f>IF(Table2[[#This Row],[Manual Cat Value]]="",VLOOKUP(Table2[[#This Row],[Description]],'Actuals Lookup'!D:F,3,0),VLOOKUP(Table2[[#This Row],[Manual Cat Value]],Lookup!A:B,2,0))</f>
        <v>Insurance</v>
      </c>
      <c r="H10818" s="8" t="s">
        <v>17</v>
      </c>
      <c r="I10818" s="8"/>
      <c r="O10818" t="str">
        <f>LEFT(Table2[[#This Row],[Description]],75)</f>
        <v>Payment to American Family Insurance</v>
      </c>
    </row>
    <row r="10819" spans="1:15" hidden="1">
      <c r="A10819">
        <v>202401</v>
      </c>
      <c r="B10819" s="6">
        <v>45307</v>
      </c>
      <c r="C10819" t="s">
        <v>4412</v>
      </c>
      <c r="D10819" t="s">
        <v>1955</v>
      </c>
      <c r="E10819">
        <v>48.81</v>
      </c>
      <c r="F10819" s="2" t="str">
        <f>IF(Table2[[#This Row],[Manual Cat Value]]="",VLOOKUP(Table2[[#This Row],[Description]],'Actuals Lookup'!D:F,3,0),VLOOKUP(Table2[[#This Row],[Manual Cat Value]],Lookup!A:B,2,0))</f>
        <v>Shopping</v>
      </c>
      <c r="H10819" s="8" t="s">
        <v>36</v>
      </c>
      <c r="I10819" s="8"/>
      <c r="O10819" t="str">
        <f>LEFT(Table2[[#This Row],[Description]],75)</f>
        <v>Transfer to PayPal</v>
      </c>
    </row>
    <row r="10820" spans="1:15" hidden="1">
      <c r="A10820">
        <v>202401</v>
      </c>
      <c r="B10820" s="6">
        <v>45307</v>
      </c>
      <c r="C10820" t="s">
        <v>4414</v>
      </c>
      <c r="D10820" t="s">
        <v>1955</v>
      </c>
      <c r="E10820">
        <v>38.049999999999997</v>
      </c>
      <c r="F10820" s="2" t="str">
        <f>IF(Table2[[#This Row],[Manual Cat Value]]="",VLOOKUP(Table2[[#This Row],[Description]],'Actuals Lookup'!D:F,3,0),VLOOKUP(Table2[[#This Row],[Manual Cat Value]],Lookup!A:B,2,0))</f>
        <v>Shopping</v>
      </c>
      <c r="H10820" s="8" t="s">
        <v>36</v>
      </c>
      <c r="I10820" s="8"/>
      <c r="O10820" t="str">
        <f>LEFT(Table2[[#This Row],[Description]],75)</f>
        <v>Transfer to PayPal</v>
      </c>
    </row>
    <row r="10821" spans="1:15" hidden="1">
      <c r="A10821">
        <v>202401</v>
      </c>
      <c r="B10821" s="6">
        <v>45308</v>
      </c>
      <c r="C10821" t="s">
        <v>5013</v>
      </c>
      <c r="D10821" t="s">
        <v>4948</v>
      </c>
      <c r="E10821">
        <v>33.76</v>
      </c>
      <c r="F10821" s="2" t="str">
        <f>IF(Table2[[#This Row],[Manual Cat Value]]="",VLOOKUP(Table2[[#This Row],[Description]],'Actuals Lookup'!D:F,3,0),VLOOKUP(Table2[[#This Row],[Manual Cat Value]],Lookup!A:B,2,0))</f>
        <v>Dry Cleaning</v>
      </c>
      <c r="G10821" t="s">
        <v>21</v>
      </c>
      <c r="H10821" s="8" t="s">
        <v>42</v>
      </c>
      <c r="I10821" s="8"/>
      <c r="O10821" t="str">
        <f>LEFT(Table2[[#This Row],[Description]],75)</f>
        <v>All Seasons Garment Chanhassen Mn</v>
      </c>
    </row>
    <row r="10822" spans="1:15" hidden="1">
      <c r="A10822">
        <v>202401</v>
      </c>
      <c r="B10822" s="6">
        <v>45308</v>
      </c>
      <c r="C10822" t="s">
        <v>5013</v>
      </c>
      <c r="D10822" t="s">
        <v>5184</v>
      </c>
      <c r="E10822">
        <v>31.55</v>
      </c>
      <c r="F10822" s="2" t="str">
        <f>IF(Table2[[#This Row],[Manual Cat Value]]="",VLOOKUP(Table2[[#This Row],[Description]],'Actuals Lookup'!D:F,3,0),VLOOKUP(Table2[[#This Row],[Manual Cat Value]],Lookup!A:B,2,0))</f>
        <v>Groceries</v>
      </c>
      <c r="G10822" t="s">
        <v>28</v>
      </c>
      <c r="I10822" s="8"/>
      <c r="O10822" t="str">
        <f>LEFT(Table2[[#This Row],[Description]],75)</f>
        <v>Minnesota Market</v>
      </c>
    </row>
    <row r="10823" spans="1:15" hidden="1">
      <c r="A10823">
        <v>202401</v>
      </c>
      <c r="B10823" s="6">
        <v>45308</v>
      </c>
      <c r="C10823" t="s">
        <v>4026</v>
      </c>
      <c r="D10823" t="s">
        <v>1955</v>
      </c>
      <c r="E10823">
        <v>123.55</v>
      </c>
      <c r="F10823" s="2" t="str">
        <f>IF(Table2[[#This Row],[Manual Cat Value]]="",VLOOKUP(Table2[[#This Row],[Description]],'Actuals Lookup'!D:F,3,0),VLOOKUP(Table2[[#This Row],[Manual Cat Value]],Lookup!A:B,2,0))</f>
        <v>Shopping</v>
      </c>
      <c r="H10823" s="8" t="s">
        <v>36</v>
      </c>
      <c r="I10823" s="8"/>
      <c r="O10823" t="str">
        <f>LEFT(Table2[[#This Row],[Description]],75)</f>
        <v>Transfer to PayPal</v>
      </c>
    </row>
    <row r="10824" spans="1:15" hidden="1">
      <c r="A10824">
        <v>202401</v>
      </c>
      <c r="B10824" s="6">
        <v>45308</v>
      </c>
      <c r="C10824" t="s">
        <v>5013</v>
      </c>
      <c r="D10824" t="s">
        <v>2142</v>
      </c>
      <c r="E10824">
        <v>853.97</v>
      </c>
      <c r="F10824" s="2" t="str">
        <f>IF(Table2[[#This Row],[Manual Cat Value]]="",VLOOKUP(Table2[[#This Row],[Description]],'Actuals Lookup'!D:F,3,0),VLOOKUP(Table2[[#This Row],[Manual Cat Value]],Lookup!A:B,2,0))</f>
        <v>House</v>
      </c>
      <c r="G10824" t="s">
        <v>41</v>
      </c>
      <c r="H10824" s="8" t="s">
        <v>49</v>
      </c>
      <c r="I10824" s="8"/>
      <c r="O10824" t="str">
        <f>LEFT(Table2[[#This Row],[Description]],75)</f>
        <v>Wayfair</v>
      </c>
    </row>
    <row r="10825" spans="1:15" hidden="1">
      <c r="A10825">
        <v>202401</v>
      </c>
      <c r="B10825" s="6">
        <v>45308</v>
      </c>
      <c r="C10825" t="s">
        <v>4036</v>
      </c>
      <c r="D10825" t="s">
        <v>5185</v>
      </c>
      <c r="E10825" s="46">
        <v>346</v>
      </c>
      <c r="F10825" s="2" t="str">
        <f>IF(Table2[[#This Row],[Manual Cat Value]]="",VLOOKUP(Table2[[#This Row],[Description]],'Actuals Lookup'!D:F,3,0),VLOOKUP(Table2[[#This Row],[Manual Cat Value]],Lookup!A:B,2,0))</f>
        <v>Day Care</v>
      </c>
      <c r="H10825" s="8" t="s">
        <v>19</v>
      </c>
      <c r="I10825" s="8"/>
      <c r="O10825" t="str">
        <f>LEFT(Table2[[#This Row],[Description]],75)</f>
        <v>Withdrawal ACH MHCHILDCARELLC TYPE: DUES ID: XX8198 CO: MHCHILDCARELLC Entr</v>
      </c>
    </row>
    <row r="10826" spans="1:15" hidden="1">
      <c r="A10826">
        <v>202401</v>
      </c>
      <c r="B10826" s="6">
        <v>45308</v>
      </c>
      <c r="C10826" t="s">
        <v>4420</v>
      </c>
      <c r="D10826" t="s">
        <v>5186</v>
      </c>
      <c r="E10826" s="46">
        <v>30</v>
      </c>
      <c r="F10826" s="2" t="str">
        <f>IF(Table2[[#This Row],[Manual Cat Value]]="",VLOOKUP(Table2[[#This Row],[Description]],'Actuals Lookup'!D:F,3,0),VLOOKUP(Table2[[#This Row],[Manual Cat Value]],Lookup!A:B,2,0))</f>
        <v>Day Care</v>
      </c>
      <c r="H10826" s="8" t="s">
        <v>19</v>
      </c>
      <c r="I10826" s="8"/>
      <c r="O10826" t="str">
        <f>LEFT(Table2[[#This Row],[Description]],75)</f>
        <v>Withdrawal ACH NORTHERN STAR EV TYPE: SES:XX0350 ID: XX3620 CO: NORTHERN ST</v>
      </c>
    </row>
    <row r="10827" spans="1:15" hidden="1">
      <c r="A10827">
        <v>202401</v>
      </c>
      <c r="B10827" s="6">
        <v>45309</v>
      </c>
      <c r="C10827" t="s">
        <v>4062</v>
      </c>
      <c r="D10827" t="s">
        <v>404</v>
      </c>
      <c r="E10827">
        <v>-2681.89</v>
      </c>
      <c r="F10827" s="2" t="str">
        <f>IF(Table2[[#This Row],[Manual Cat Value]]="",VLOOKUP(Table2[[#This Row],[Description]],'Actuals Lookup'!D:F,3,0),VLOOKUP(Table2[[#This Row],[Manual Cat Value]],Lookup!A:B,2,0))</f>
        <v>Inc - Other</v>
      </c>
      <c r="H10827" s="8" t="s">
        <v>16</v>
      </c>
      <c r="I10827" s="8"/>
      <c r="O10827" t="str">
        <f>LEFT(Table2[[#This Row],[Description]],75)</f>
        <v>Cargill Inc Deposit</v>
      </c>
    </row>
    <row r="10828" spans="1:15" hidden="1">
      <c r="A10828">
        <v>202401</v>
      </c>
      <c r="B10828" s="6">
        <v>45309</v>
      </c>
      <c r="C10828" t="s">
        <v>4429</v>
      </c>
      <c r="D10828" t="s">
        <v>1958</v>
      </c>
      <c r="E10828">
        <v>125</v>
      </c>
      <c r="F10828" s="2" t="str">
        <f>IF(Table2[[#This Row],[Manual Cat Value]]="",VLOOKUP(Table2[[#This Row],[Description]],'Actuals Lookup'!D:F,3,0),VLOOKUP(Table2[[#This Row],[Manual Cat Value]],Lookup!A:B,2,0))</f>
        <v>Shopping</v>
      </c>
      <c r="H10828" s="8" t="s">
        <v>36</v>
      </c>
      <c r="I10828" s="8"/>
      <c r="O10828" t="str">
        <f>LEFT(Table2[[#This Row],[Description]],75)</f>
        <v>Transfer to Venmo</v>
      </c>
    </row>
    <row r="10829" spans="1:15" hidden="1">
      <c r="A10829">
        <v>202401</v>
      </c>
      <c r="B10829" s="6">
        <v>45309</v>
      </c>
      <c r="C10829" t="s">
        <v>4044</v>
      </c>
      <c r="D10829" t="s">
        <v>5187</v>
      </c>
      <c r="E10829" s="46">
        <v>650</v>
      </c>
      <c r="F10829" s="2" t="str">
        <f>IF(Table2[[#This Row],[Manual Cat Value]]="",VLOOKUP(Table2[[#This Row],[Description]],'Actuals Lookup'!D:F,3,0),VLOOKUP(Table2[[#This Row],[Manual Cat Value]],Lookup!A:B,2,0))</f>
        <v>Day Care</v>
      </c>
      <c r="H10829" s="8" t="s">
        <v>19</v>
      </c>
      <c r="I10829" s="8"/>
      <c r="O10829" t="str">
        <f>LEFT(Table2[[#This Row],[Description]],75)</f>
        <v>Withdrawal ACH MN DIR ACH TYPE: CONTRIB ID: XX7162 CO: MN DIR ACH NAME: XX2</v>
      </c>
    </row>
    <row r="10830" spans="1:15" hidden="1">
      <c r="A10830">
        <v>202401</v>
      </c>
      <c r="B10830" s="6">
        <v>45310</v>
      </c>
      <c r="C10830" t="s">
        <v>5013</v>
      </c>
      <c r="D10830" t="s">
        <v>4980</v>
      </c>
      <c r="E10830">
        <v>9.7899999999999991</v>
      </c>
      <c r="F10830" s="2" t="str">
        <f>IF(Table2[[#This Row],[Manual Cat Value]]="",VLOOKUP(Table2[[#This Row],[Description]],'Actuals Lookup'!D:F,3,0),VLOOKUP(Table2[[#This Row],[Manual Cat Value]],Lookup!A:B,2,0))</f>
        <v>Travel</v>
      </c>
      <c r="G10830" t="s">
        <v>43</v>
      </c>
      <c r="I10830" s="8"/>
      <c r="O10830" t="str">
        <f>LEFT(Table2[[#This Row],[Description]],75)</f>
        <v>Aer Lingus</v>
      </c>
    </row>
    <row r="10831" spans="1:15" hidden="1">
      <c r="A10831">
        <v>202401</v>
      </c>
      <c r="B10831" s="6">
        <v>45310</v>
      </c>
      <c r="C10831" t="s">
        <v>5013</v>
      </c>
      <c r="D10831" t="s">
        <v>945</v>
      </c>
      <c r="E10831">
        <v>38.369999999999997</v>
      </c>
      <c r="F10831" s="2" t="str">
        <f>IF(Table2[[#This Row],[Manual Cat Value]]="",VLOOKUP(Table2[[#This Row],[Description]],'Actuals Lookup'!D:F,3,0),VLOOKUP(Table2[[#This Row],[Manual Cat Value]],Lookup!A:B,2,0))</f>
        <v>Transportation</v>
      </c>
      <c r="G10831" t="s">
        <v>28</v>
      </c>
      <c r="H10831" s="8" t="s">
        <v>22</v>
      </c>
      <c r="I10831" s="8"/>
      <c r="O10831" t="str">
        <f>LEFT(Table2[[#This Row],[Description]],75)</f>
        <v>Holiday Stationstores</v>
      </c>
    </row>
    <row r="10832" spans="1:15" hidden="1">
      <c r="A10832">
        <v>202401</v>
      </c>
      <c r="B10832" s="6">
        <v>45310</v>
      </c>
      <c r="C10832" t="s">
        <v>4059</v>
      </c>
      <c r="D10832" t="s">
        <v>1955</v>
      </c>
      <c r="E10832">
        <v>2.99</v>
      </c>
      <c r="F10832" s="2" t="str">
        <f>IF(Table2[[#This Row],[Manual Cat Value]]="",VLOOKUP(Table2[[#This Row],[Description]],'Actuals Lookup'!D:F,3,0),VLOOKUP(Table2[[#This Row],[Manual Cat Value]],Lookup!A:B,2,0))</f>
        <v>Shopping</v>
      </c>
      <c r="H10832" s="8" t="s">
        <v>36</v>
      </c>
      <c r="I10832" s="8"/>
      <c r="O10832" t="str">
        <f>LEFT(Table2[[#This Row],[Description]],75)</f>
        <v>Transfer to PayPal</v>
      </c>
    </row>
    <row r="10833" spans="1:15" hidden="1">
      <c r="A10833">
        <v>202401</v>
      </c>
      <c r="B10833" s="6">
        <v>45311</v>
      </c>
      <c r="C10833" t="s">
        <v>5013</v>
      </c>
      <c r="D10833" t="s">
        <v>684</v>
      </c>
      <c r="E10833">
        <v>24.55</v>
      </c>
      <c r="F10833" s="2" t="str">
        <f>IF(Table2[[#This Row],[Manual Cat Value]]="",VLOOKUP(Table2[[#This Row],[Description]],'Actuals Lookup'!D:F,3,0),VLOOKUP(Table2[[#This Row],[Manual Cat Value]],Lookup!A:B,2,0))</f>
        <v>Groceries</v>
      </c>
      <c r="G10833" t="s">
        <v>28</v>
      </c>
      <c r="I10833" s="8"/>
      <c r="O10833" t="str">
        <f>LEFT(Table2[[#This Row],[Description]],75)</f>
        <v>Cub Foods</v>
      </c>
    </row>
    <row r="10834" spans="1:15" hidden="1">
      <c r="A10834">
        <v>202401</v>
      </c>
      <c r="B10834" s="6">
        <v>45311</v>
      </c>
      <c r="C10834" t="s">
        <v>5013</v>
      </c>
      <c r="D10834" t="s">
        <v>684</v>
      </c>
      <c r="E10834">
        <v>21.46</v>
      </c>
      <c r="F10834" s="2" t="str">
        <f>IF(Table2[[#This Row],[Manual Cat Value]]="",VLOOKUP(Table2[[#This Row],[Description]],'Actuals Lookup'!D:F,3,0),VLOOKUP(Table2[[#This Row],[Manual Cat Value]],Lookup!A:B,2,0))</f>
        <v>Groceries</v>
      </c>
      <c r="G10834" t="s">
        <v>28</v>
      </c>
      <c r="I10834" s="8"/>
      <c r="O10834" t="str">
        <f>LEFT(Table2[[#This Row],[Description]],75)</f>
        <v>Cub Foods</v>
      </c>
    </row>
    <row r="10835" spans="1:15" hidden="1">
      <c r="A10835">
        <v>202401</v>
      </c>
      <c r="B10835" s="6">
        <v>45311</v>
      </c>
      <c r="C10835" t="s">
        <v>5013</v>
      </c>
      <c r="D10835" t="s">
        <v>5188</v>
      </c>
      <c r="E10835">
        <v>68.650000000000006</v>
      </c>
      <c r="F10835" s="2" t="str">
        <f>IF(Table2[[#This Row],[Manual Cat Value]]="",VLOOKUP(Table2[[#This Row],[Description]],'Actuals Lookup'!D:F,3,0),VLOOKUP(Table2[[#This Row],[Manual Cat Value]],Lookup!A:B,2,0))</f>
        <v>Groceries</v>
      </c>
      <c r="G10835" t="s">
        <v>28</v>
      </c>
      <c r="I10835" s="8"/>
      <c r="O10835" t="str">
        <f>LEFT(Table2[[#This Row],[Description]],75)</f>
        <v>Lakewinds Natural Foods</v>
      </c>
    </row>
    <row r="10836" spans="1:15" hidden="1">
      <c r="A10836">
        <v>202401</v>
      </c>
      <c r="B10836" s="6">
        <v>45311</v>
      </c>
      <c r="C10836" t="s">
        <v>5013</v>
      </c>
      <c r="D10836" t="s">
        <v>1380</v>
      </c>
      <c r="E10836">
        <v>33.090000000000003</v>
      </c>
      <c r="F10836" s="2" t="str">
        <f>IF(Table2[[#This Row],[Manual Cat Value]]="",VLOOKUP(Table2[[#This Row],[Description]],'Actuals Lookup'!D:F,3,0),VLOOKUP(Table2[[#This Row],[Manual Cat Value]],Lookup!A:B,2,0))</f>
        <v>Restaurants</v>
      </c>
      <c r="G10836" t="s">
        <v>26</v>
      </c>
      <c r="I10836" s="8"/>
      <c r="O10836" t="str">
        <f>LEFT(Table2[[#This Row],[Description]],75)</f>
        <v>Olives</v>
      </c>
    </row>
    <row r="10837" spans="1:15" hidden="1">
      <c r="A10837">
        <v>202401</v>
      </c>
      <c r="B10837" s="6">
        <v>45311</v>
      </c>
      <c r="C10837" t="s">
        <v>5013</v>
      </c>
      <c r="D10837" t="s">
        <v>1849</v>
      </c>
      <c r="E10837">
        <v>-28.16</v>
      </c>
      <c r="F10837" s="2" t="str">
        <f>IF(Table2[[#This Row],[Manual Cat Value]]="",VLOOKUP(Table2[[#This Row],[Description]],'Actuals Lookup'!D:F,3,0),VLOOKUP(Table2[[#This Row],[Manual Cat Value]],Lookup!A:B,2,0))</f>
        <v>House Maintenance</v>
      </c>
      <c r="G10837" t="s">
        <v>2</v>
      </c>
      <c r="H10837" s="8" t="s">
        <v>1</v>
      </c>
      <c r="I10837" s="8"/>
      <c r="O10837" t="str">
        <f>LEFT(Table2[[#This Row],[Description]],75)</f>
        <v>The Home Depot</v>
      </c>
    </row>
    <row r="10838" spans="1:15" hidden="1">
      <c r="A10838">
        <v>202401</v>
      </c>
      <c r="B10838" s="6">
        <v>45311</v>
      </c>
      <c r="C10838" t="s">
        <v>5013</v>
      </c>
      <c r="D10838" t="s">
        <v>1849</v>
      </c>
      <c r="E10838">
        <v>107.18</v>
      </c>
      <c r="F10838" s="2" t="str">
        <f>IF(Table2[[#This Row],[Manual Cat Value]]="",VLOOKUP(Table2[[#This Row],[Description]],'Actuals Lookup'!D:F,3,0),VLOOKUP(Table2[[#This Row],[Manual Cat Value]],Lookup!A:B,2,0))</f>
        <v>House Maintenance</v>
      </c>
      <c r="G10838" t="s">
        <v>2</v>
      </c>
      <c r="H10838" s="8" t="s">
        <v>1</v>
      </c>
      <c r="I10838" s="8"/>
      <c r="O10838" t="str">
        <f>LEFT(Table2[[#This Row],[Description]],75)</f>
        <v>The Home Depot</v>
      </c>
    </row>
    <row r="10839" spans="1:15" hidden="1">
      <c r="A10839">
        <v>202401</v>
      </c>
      <c r="B10839" s="6">
        <v>45312</v>
      </c>
      <c r="C10839" t="s">
        <v>5013</v>
      </c>
      <c r="D10839" t="s">
        <v>5189</v>
      </c>
      <c r="E10839">
        <v>25.64</v>
      </c>
      <c r="F10839" s="2" t="str">
        <f>IF(Table2[[#This Row],[Manual Cat Value]]="",VLOOKUP(Table2[[#This Row],[Description]],'Actuals Lookup'!D:F,3,0),VLOOKUP(Table2[[#This Row],[Manual Cat Value]],Lookup!A:B,2,0))</f>
        <v>Shopping</v>
      </c>
      <c r="G10839" t="s">
        <v>21</v>
      </c>
      <c r="I10839" s="8"/>
      <c r="O10839" t="str">
        <f>LEFT(Table2[[#This Row],[Description]],75)</f>
        <v>Aplpay Mall Of Ameribloomington Mn</v>
      </c>
    </row>
    <row r="10840" spans="1:15" hidden="1">
      <c r="A10840">
        <v>202401</v>
      </c>
      <c r="B10840" s="6">
        <v>45312</v>
      </c>
      <c r="C10840" t="s">
        <v>5013</v>
      </c>
      <c r="D10840" t="s">
        <v>5190</v>
      </c>
      <c r="E10840">
        <v>29.99</v>
      </c>
      <c r="F10840" s="2" t="str">
        <f>IF(Table2[[#This Row],[Manual Cat Value]]="",VLOOKUP(Table2[[#This Row],[Description]],'Actuals Lookup'!D:F,3,0),VLOOKUP(Table2[[#This Row],[Manual Cat Value]],Lookup!A:B,2,0))</f>
        <v>Shopping</v>
      </c>
      <c r="G10840" t="s">
        <v>21</v>
      </c>
      <c r="I10840" s="8"/>
      <c r="O10840" t="str">
        <f>LEFT(Table2[[#This Row],[Description]],75)</f>
        <v>Dsw</v>
      </c>
    </row>
    <row r="10841" spans="1:15" hidden="1">
      <c r="A10841">
        <v>202401</v>
      </c>
      <c r="B10841" s="6">
        <v>45312</v>
      </c>
      <c r="C10841" t="s">
        <v>4067</v>
      </c>
      <c r="D10841" t="s">
        <v>4899</v>
      </c>
      <c r="E10841">
        <v>1.99</v>
      </c>
      <c r="F10841" s="2" t="str">
        <f>IF(Table2[[#This Row],[Manual Cat Value]]="",VLOOKUP(Table2[[#This Row],[Description]],'Actuals Lookup'!D:F,3,0),VLOOKUP(Table2[[#This Row],[Manual Cat Value]],Lookup!A:B,2,0))</f>
        <v>Entertainment</v>
      </c>
      <c r="H10841" s="8" t="s">
        <v>39</v>
      </c>
      <c r="I10841" s="8"/>
      <c r="O10841" t="str">
        <f>LEFT(Table2[[#This Row],[Description]],75)</f>
        <v>Google Cloud Storage</v>
      </c>
    </row>
    <row r="10842" spans="1:15" hidden="1">
      <c r="A10842">
        <v>202401</v>
      </c>
      <c r="B10842" s="6">
        <v>45312</v>
      </c>
      <c r="C10842" t="s">
        <v>4064</v>
      </c>
      <c r="D10842" t="s">
        <v>5191</v>
      </c>
      <c r="E10842">
        <v>-217.5</v>
      </c>
      <c r="F10842" s="2" t="str">
        <f>IF(Table2[[#This Row],[Manual Cat Value]]="",VLOOKUP(Table2[[#This Row],[Description]],'Actuals Lookup'!D:F,3,0),VLOOKUP(Table2[[#This Row],[Manual Cat Value]],Lookup!A:B,2,0))</f>
        <v>Shopping</v>
      </c>
      <c r="H10842" s="8" t="s">
        <v>36</v>
      </c>
      <c r="I10842" s="8"/>
      <c r="O10842" t="str">
        <f>LEFT(Table2[[#This Row],[Description]],75)</f>
        <v>Marine Layer</v>
      </c>
    </row>
    <row r="10843" spans="1:15" hidden="1">
      <c r="A10843">
        <v>202411</v>
      </c>
      <c r="B10843" s="6">
        <v>45614</v>
      </c>
      <c r="C10843" t="s">
        <v>130</v>
      </c>
      <c r="D10843" t="s">
        <v>5192</v>
      </c>
      <c r="E10843">
        <v>26.65</v>
      </c>
      <c r="F10843" s="2" t="str">
        <f>IF(Table2[[#This Row],[Manual Cat Value]]="",VLOOKUP(Table2[[#This Row],[Description]],'Actuals Lookup'!D:F,3,0),VLOOKUP(Table2[[#This Row],[Manual Cat Value]],Lookup!A:B,2,0))</f>
        <v>Delete</v>
      </c>
      <c r="H10843" s="8" t="s">
        <v>9</v>
      </c>
      <c r="I10843" s="8"/>
      <c r="O10843" t="str">
        <f>LEFT(Table2[[#This Row],[Description]],75)</f>
        <v>AplPay HMSHOST SCHIPSCHIPHOL            NL</v>
      </c>
    </row>
    <row r="10844" spans="1:15" hidden="1">
      <c r="A10844">
        <v>202401</v>
      </c>
      <c r="B10844" s="6">
        <v>45312</v>
      </c>
      <c r="C10844" t="s">
        <v>5013</v>
      </c>
      <c r="D10844" t="s">
        <v>5193</v>
      </c>
      <c r="E10844">
        <v>162.07</v>
      </c>
      <c r="F10844" s="2" t="str">
        <f>IF(Table2[[#This Row],[Manual Cat Value]]="",VLOOKUP(Table2[[#This Row],[Description]],'Actuals Lookup'!D:F,3,0),VLOOKUP(Table2[[#This Row],[Manual Cat Value]],Lookup!A:B,2,0))</f>
        <v>Entertainment</v>
      </c>
      <c r="G10844" t="s">
        <v>40</v>
      </c>
      <c r="H10844" s="8" t="s">
        <v>39</v>
      </c>
      <c r="I10844" s="8"/>
      <c r="O10844" t="str">
        <f>LEFT(Table2[[#This Row],[Description]],75)</f>
        <v>Sealife</v>
      </c>
    </row>
    <row r="10845" spans="1:15" hidden="1">
      <c r="A10845">
        <v>202401</v>
      </c>
      <c r="B10845" s="6">
        <v>45312</v>
      </c>
      <c r="C10845" t="s">
        <v>4057</v>
      </c>
      <c r="D10845" t="s">
        <v>5194</v>
      </c>
      <c r="E10845">
        <v>128.53</v>
      </c>
      <c r="F10845" s="2" t="str">
        <f>IF(Table2[[#This Row],[Manual Cat Value]]="",VLOOKUP(Table2[[#This Row],[Description]],'Actuals Lookup'!D:F,3,0),VLOOKUP(Table2[[#This Row],[Manual Cat Value]],Lookup!A:B,2,0))</f>
        <v>Entertainment</v>
      </c>
      <c r="H10845" s="8" t="s">
        <v>39</v>
      </c>
      <c r="I10845" s="8"/>
      <c r="O10845" t="str">
        <f>LEFT(Table2[[#This Row],[Description]],75)</f>
        <v>SUNU CHIROPRACTIC INC SUNUWELLNESS.MN REF #XX9216D3001FRJT3</v>
      </c>
    </row>
    <row r="10846" spans="1:15" hidden="1">
      <c r="A10846">
        <v>202401</v>
      </c>
      <c r="B10846" s="6">
        <v>45312</v>
      </c>
      <c r="C10846" t="s">
        <v>5013</v>
      </c>
      <c r="D10846" t="s">
        <v>1931</v>
      </c>
      <c r="E10846">
        <v>108.86</v>
      </c>
      <c r="F10846" s="2" t="str">
        <f>IF(Table2[[#This Row],[Manual Cat Value]]="",VLOOKUP(Table2[[#This Row],[Description]],'Actuals Lookup'!D:F,3,0),VLOOKUP(Table2[[#This Row],[Manual Cat Value]],Lookup!A:B,2,0))</f>
        <v>Groceries</v>
      </c>
      <c r="G10846" t="s">
        <v>28</v>
      </c>
      <c r="H10846" s="8" t="s">
        <v>27</v>
      </c>
      <c r="I10846" s="8"/>
      <c r="O10846" t="str">
        <f>LEFT(Table2[[#This Row],[Description]],75)</f>
        <v>Trader Joe's</v>
      </c>
    </row>
    <row r="10847" spans="1:15" hidden="1">
      <c r="A10847">
        <v>202401</v>
      </c>
      <c r="B10847" s="6">
        <v>45312</v>
      </c>
      <c r="C10847" t="s">
        <v>2519</v>
      </c>
      <c r="D10847" t="s">
        <v>1934</v>
      </c>
      <c r="E10847">
        <v>-48.81</v>
      </c>
      <c r="F10847" s="2" t="str">
        <f>IF(Table2[[#This Row],[Manual Cat Value]]="",VLOOKUP(Table2[[#This Row],[Description]],'Actuals Lookup'!D:F,3,0),VLOOKUP(Table2[[#This Row],[Manual Cat Value]],Lookup!A:B,2,0))</f>
        <v>Shopping</v>
      </c>
      <c r="H10847" s="8" t="s">
        <v>36</v>
      </c>
      <c r="I10847" s="8"/>
      <c r="O10847" t="str">
        <f>LEFT(Table2[[#This Row],[Description]],75)</f>
        <v>Transfer from PayPal</v>
      </c>
    </row>
    <row r="10848" spans="1:15" hidden="1">
      <c r="A10848">
        <v>202401</v>
      </c>
      <c r="B10848" s="6">
        <v>45312</v>
      </c>
      <c r="C10848" t="s">
        <v>5013</v>
      </c>
      <c r="D10848" t="s">
        <v>4920</v>
      </c>
      <c r="E10848">
        <v>266</v>
      </c>
      <c r="F10848" s="2" t="str">
        <f>IF(Table2[[#This Row],[Manual Cat Value]]="",VLOOKUP(Table2[[#This Row],[Description]],'Actuals Lookup'!D:F,3,0),VLOOKUP(Table2[[#This Row],[Manual Cat Value]],Lookup!A:B,2,0))</f>
        <v>Shopping</v>
      </c>
      <c r="G10848" t="s">
        <v>21</v>
      </c>
      <c r="I10848" s="8"/>
      <c r="O10848" t="str">
        <f>LEFT(Table2[[#This Row],[Description]],75)</f>
        <v>Vuori Clothing</v>
      </c>
    </row>
    <row r="10849" spans="1:15" hidden="1">
      <c r="A10849">
        <v>202401</v>
      </c>
      <c r="B10849" s="6">
        <v>45312</v>
      </c>
      <c r="C10849" t="s">
        <v>5013</v>
      </c>
      <c r="D10849" t="s">
        <v>5195</v>
      </c>
      <c r="E10849">
        <v>381.28</v>
      </c>
      <c r="F10849" s="2" t="str">
        <f>IF(Table2[[#This Row],[Manual Cat Value]]="",VLOOKUP(Table2[[#This Row],[Description]],'Actuals Lookup'!D:F,3,0),VLOOKUP(Table2[[#This Row],[Manual Cat Value]],Lookup!A:B,2,0))</f>
        <v>Entertainment</v>
      </c>
      <c r="G10849" t="s">
        <v>40</v>
      </c>
      <c r="I10849" s="8"/>
      <c r="O10849" t="str">
        <f>LEFT(Table2[[#This Row],[Description]],75)</f>
        <v>Wdw Tickets Lake Buena Vi Fl</v>
      </c>
    </row>
    <row r="10850" spans="1:15" hidden="1">
      <c r="A10850">
        <v>202401</v>
      </c>
      <c r="B10850" s="6">
        <v>45312</v>
      </c>
      <c r="C10850" t="s">
        <v>2519</v>
      </c>
      <c r="D10850" t="s">
        <v>5196</v>
      </c>
      <c r="E10850">
        <v>0.35</v>
      </c>
      <c r="F10850" s="2" t="str">
        <f>IF(Table2[[#This Row],[Manual Cat Value]]="",VLOOKUP(Table2[[#This Row],[Description]],'Actuals Lookup'!D:F,3,0),VLOOKUP(Table2[[#This Row],[Manual Cat Value]],Lookup!A:B,2,0))</f>
        <v>Misc</v>
      </c>
      <c r="H10850" s="8" t="s">
        <v>46</v>
      </c>
      <c r="I10850" s="8"/>
      <c r="O10850" t="str">
        <f>LEFT(Table2[[#This Row],[Description]],75)</f>
        <v>Withdrawal Fee VISA INTERNATIONAL SERVICE ASSESSMENT Date</v>
      </c>
    </row>
    <row r="10851" spans="1:15" hidden="1">
      <c r="A10851">
        <v>202401</v>
      </c>
      <c r="B10851" s="6">
        <v>45312</v>
      </c>
      <c r="C10851" t="s">
        <v>2519</v>
      </c>
      <c r="D10851" t="s">
        <v>5197</v>
      </c>
      <c r="E10851">
        <v>34.880000000000003</v>
      </c>
      <c r="F10851" s="2" t="str">
        <f>IF(Table2[[#This Row],[Manual Cat Value]]="",VLOOKUP(Table2[[#This Row],[Description]],'Actuals Lookup'!D:F,3,0),VLOOKUP(Table2[[#This Row],[Manual Cat Value]],Lookup!A:B,2,0))</f>
        <v>Entertainment</v>
      </c>
      <c r="H10851" s="8" t="s">
        <v>39</v>
      </c>
      <c r="I10851" s="8"/>
      <c r="O10851" t="str">
        <f>LEFT(Table2[[#This Row],[Description]],75)</f>
        <v>Withdrawal WWW.JAMESONWHISKEY.COM DUBLIN IE Date XX 5813</v>
      </c>
    </row>
    <row r="10852" spans="1:15" hidden="1">
      <c r="A10852">
        <v>202401</v>
      </c>
      <c r="B10852" s="6">
        <v>45313</v>
      </c>
      <c r="C10852" t="s">
        <v>4075</v>
      </c>
      <c r="D10852" t="s">
        <v>5198</v>
      </c>
      <c r="E10852">
        <v>11</v>
      </c>
      <c r="F10852" s="2" t="str">
        <f>IF(Table2[[#This Row],[Manual Cat Value]]="",VLOOKUP(Table2[[#This Row],[Description]],'Actuals Lookup'!D:F,3,0),VLOOKUP(Table2[[#This Row],[Manual Cat Value]],Lookup!A:B,2,0))</f>
        <v>Utilities</v>
      </c>
      <c r="H10852" s="8" t="s">
        <v>6</v>
      </c>
      <c r="I10852" s="8"/>
      <c r="O10852" t="str">
        <f>LEFT(Table2[[#This Row],[Description]],75)</f>
        <v>BONFES PLUMBING HEATING AXX6633 MN REF #XX7539D5S66GTPKK</v>
      </c>
    </row>
    <row r="10853" spans="1:15" hidden="1">
      <c r="A10853">
        <v>202401</v>
      </c>
      <c r="B10853" s="6">
        <v>45297</v>
      </c>
      <c r="C10853" t="s">
        <v>5013</v>
      </c>
      <c r="D10853" t="s">
        <v>5199</v>
      </c>
      <c r="E10853">
        <v>-785.5</v>
      </c>
      <c r="F10853" s="2" t="str">
        <f>IF(Table2[[#This Row],[Manual Cat Value]]="",VLOOKUP(Table2[[#This Row],[Description]],'Actuals Lookup'!D:F,3,0),VLOOKUP(Table2[[#This Row],[Manual Cat Value]],Lookup!A:B,2,0))</f>
        <v>Delete</v>
      </c>
      <c r="G10853" t="s">
        <v>8</v>
      </c>
      <c r="I10853" s="8"/>
      <c r="O10853" t="str">
        <f>LEFT(Table2[[#This Row],[Description]],75)</f>
        <v>Autopay Payment - Thank You</v>
      </c>
    </row>
    <row r="10854" spans="1:15" hidden="1">
      <c r="A10854">
        <v>202401</v>
      </c>
      <c r="B10854" s="6">
        <v>45313</v>
      </c>
      <c r="C10854" t="s">
        <v>5013</v>
      </c>
      <c r="D10854" t="s">
        <v>4888</v>
      </c>
      <c r="E10854">
        <v>24.74</v>
      </c>
      <c r="F10854" s="2" t="str">
        <f>IF(Table2[[#This Row],[Manual Cat Value]]="",VLOOKUP(Table2[[#This Row],[Description]],'Actuals Lookup'!D:F,3,0),VLOOKUP(Table2[[#This Row],[Manual Cat Value]],Lookup!A:B,2,0))</f>
        <v>Restaurants</v>
      </c>
      <c r="G10854" t="s">
        <v>26</v>
      </c>
      <c r="I10854" s="8"/>
      <c r="O10854" t="str">
        <f>LEFT(Table2[[#This Row],[Description]],75)</f>
        <v>Hmshost</v>
      </c>
    </row>
    <row r="10855" spans="1:15" hidden="1">
      <c r="A10855">
        <v>202401</v>
      </c>
      <c r="B10855" s="6">
        <v>45313</v>
      </c>
      <c r="C10855" t="s">
        <v>5013</v>
      </c>
      <c r="D10855" t="s">
        <v>4888</v>
      </c>
      <c r="E10855">
        <v>5.72</v>
      </c>
      <c r="F10855" s="2" t="str">
        <f>IF(Table2[[#This Row],[Manual Cat Value]]="",VLOOKUP(Table2[[#This Row],[Description]],'Actuals Lookup'!D:F,3,0),VLOOKUP(Table2[[#This Row],[Manual Cat Value]],Lookup!A:B,2,0))</f>
        <v>Restaurants</v>
      </c>
      <c r="G10855" t="s">
        <v>26</v>
      </c>
      <c r="I10855" s="8"/>
      <c r="O10855" t="str">
        <f>LEFT(Table2[[#This Row],[Description]],75)</f>
        <v>Hmshost</v>
      </c>
    </row>
    <row r="10856" spans="1:15" hidden="1">
      <c r="A10856">
        <v>202401</v>
      </c>
      <c r="B10856" s="6">
        <v>45313</v>
      </c>
      <c r="C10856" t="s">
        <v>4073</v>
      </c>
      <c r="D10856" t="s">
        <v>5200</v>
      </c>
      <c r="E10856" s="46">
        <v>24.72</v>
      </c>
      <c r="F10856" s="2" t="str">
        <f>IF(Table2[[#This Row],[Manual Cat Value]]="",VLOOKUP(Table2[[#This Row],[Description]],'Actuals Lookup'!D:F,3,0),VLOOKUP(Table2[[#This Row],[Manual Cat Value]],Lookup!A:B,2,0))</f>
        <v>Day Care</v>
      </c>
      <c r="H10856" s="8" t="s">
        <v>19</v>
      </c>
      <c r="I10856" s="8"/>
      <c r="O10856" t="str">
        <f>LEFT(Table2[[#This Row],[Description]],75)</f>
        <v>MCW 1602-MINNETONKA XX8113 MN REF #XX7105D5VAL7836T</v>
      </c>
    </row>
    <row r="10857" spans="1:15" hidden="1">
      <c r="A10857">
        <v>202401</v>
      </c>
      <c r="B10857" s="6">
        <v>45313</v>
      </c>
      <c r="C10857" t="s">
        <v>5013</v>
      </c>
      <c r="D10857" t="s">
        <v>3944</v>
      </c>
      <c r="E10857">
        <v>3.98</v>
      </c>
      <c r="F10857" s="2" t="str">
        <f>IF(Table2[[#This Row],[Manual Cat Value]]="",VLOOKUP(Table2[[#This Row],[Description]],'Actuals Lookup'!D:F,3,0),VLOOKUP(Table2[[#This Row],[Manual Cat Value]],Lookup!A:B,2,0))</f>
        <v>Travel</v>
      </c>
      <c r="G10857" t="s">
        <v>43</v>
      </c>
      <c r="I10857" s="8"/>
      <c r="O10857" t="str">
        <f>LEFT(Table2[[#This Row],[Description]],75)</f>
        <v>Minneapolis-saint Paul International Airport</v>
      </c>
    </row>
    <row r="10858" spans="1:15" hidden="1">
      <c r="A10858">
        <v>202411</v>
      </c>
      <c r="B10858" s="6">
        <v>45617</v>
      </c>
      <c r="C10858" t="s">
        <v>3938</v>
      </c>
      <c r="D10858" t="s">
        <v>5201</v>
      </c>
      <c r="E10858">
        <v>74.63</v>
      </c>
      <c r="F10858" s="2" t="str">
        <f>IF(Table2[[#This Row],[Manual Cat Value]]="",VLOOKUP(Table2[[#This Row],[Description]],'Actuals Lookup'!D:F,3,0),VLOOKUP(Table2[[#This Row],[Manual Cat Value]],Lookup!A:B,2,0))</f>
        <v>Delete</v>
      </c>
      <c r="H10858" s="8" t="s">
        <v>9</v>
      </c>
      <c r="I10858" s="8"/>
      <c r="O10858" t="str">
        <f>LEFT(Table2[[#This Row],[Description]],75)</f>
        <v>Bayou Cork IE REF #XX0916NM11ZFD3Z9</v>
      </c>
    </row>
    <row r="10859" spans="1:15" hidden="1">
      <c r="A10859">
        <v>202409</v>
      </c>
      <c r="B10859" s="6">
        <v>45551</v>
      </c>
      <c r="C10859" t="s">
        <v>130</v>
      </c>
      <c r="D10859" t="s">
        <v>5202</v>
      </c>
      <c r="E10859">
        <v>181.37</v>
      </c>
      <c r="F10859" s="2" t="str">
        <f>IF(Table2[[#This Row],[Manual Cat Value]]="",VLOOKUP(Table2[[#This Row],[Description]],'Actuals Lookup'!D:F,3,0),VLOOKUP(Table2[[#This Row],[Manual Cat Value]],Lookup!A:B,2,0))</f>
        <v>Delete</v>
      </c>
      <c r="H10859" s="8" t="s">
        <v>9</v>
      </c>
      <c r="I10859" s="8"/>
      <c r="O10859" t="str">
        <f>LEFT(Table2[[#This Row],[Description]],75)</f>
        <v>BONEFISH GRILL #7112ATLANTA             GA</v>
      </c>
    </row>
    <row r="10860" spans="1:15" hidden="1">
      <c r="A10860">
        <v>202401</v>
      </c>
      <c r="B10860" s="6">
        <v>45313</v>
      </c>
      <c r="C10860" t="s">
        <v>2519</v>
      </c>
      <c r="D10860" t="s">
        <v>1955</v>
      </c>
      <c r="E10860">
        <v>38.880000000000003</v>
      </c>
      <c r="F10860" s="2" t="str">
        <f>IF(Table2[[#This Row],[Manual Cat Value]]="",VLOOKUP(Table2[[#This Row],[Description]],'Actuals Lookup'!D:F,3,0),VLOOKUP(Table2[[#This Row],[Manual Cat Value]],Lookup!A:B,2,0))</f>
        <v>Shopping</v>
      </c>
      <c r="H10860" s="8" t="s">
        <v>36</v>
      </c>
      <c r="I10860" s="8"/>
      <c r="O10860" t="str">
        <f>LEFT(Table2[[#This Row],[Description]],75)</f>
        <v>Transfer to PayPal</v>
      </c>
    </row>
    <row r="10861" spans="1:15" hidden="1">
      <c r="A10861">
        <v>202401</v>
      </c>
      <c r="B10861" s="6">
        <v>45313</v>
      </c>
      <c r="C10861" t="s">
        <v>2519</v>
      </c>
      <c r="D10861" t="s">
        <v>1955</v>
      </c>
      <c r="E10861">
        <v>32.700000000000003</v>
      </c>
      <c r="F10861" s="2" t="str">
        <f>IF(Table2[[#This Row],[Manual Cat Value]]="",VLOOKUP(Table2[[#This Row],[Description]],'Actuals Lookup'!D:F,3,0),VLOOKUP(Table2[[#This Row],[Manual Cat Value]],Lookup!A:B,2,0))</f>
        <v>Shopping</v>
      </c>
      <c r="H10861" s="8" t="s">
        <v>36</v>
      </c>
      <c r="I10861" s="8"/>
      <c r="O10861" t="str">
        <f>LEFT(Table2[[#This Row],[Description]],75)</f>
        <v>Transfer to PayPal</v>
      </c>
    </row>
    <row r="10862" spans="1:15" hidden="1">
      <c r="A10862">
        <v>202401</v>
      </c>
      <c r="B10862" s="6">
        <v>45313</v>
      </c>
      <c r="C10862" t="s">
        <v>2519</v>
      </c>
      <c r="D10862" t="s">
        <v>1955</v>
      </c>
      <c r="E10862">
        <v>4.75</v>
      </c>
      <c r="F10862" s="2" t="str">
        <f>IF(Table2[[#This Row],[Manual Cat Value]]="",VLOOKUP(Table2[[#This Row],[Description]],'Actuals Lookup'!D:F,3,0),VLOOKUP(Table2[[#This Row],[Manual Cat Value]],Lookup!A:B,2,0))</f>
        <v>Shopping</v>
      </c>
      <c r="H10862" s="8" t="s">
        <v>36</v>
      </c>
      <c r="I10862" s="8"/>
      <c r="O10862" t="str">
        <f>LEFT(Table2[[#This Row],[Description]],75)</f>
        <v>Transfer to PayPal</v>
      </c>
    </row>
    <row r="10863" spans="1:15" hidden="1">
      <c r="A10863">
        <v>202401</v>
      </c>
      <c r="B10863" s="6">
        <v>45313</v>
      </c>
      <c r="C10863" t="s">
        <v>2519</v>
      </c>
      <c r="D10863" t="s">
        <v>5203</v>
      </c>
      <c r="E10863">
        <v>60.12</v>
      </c>
      <c r="F10863" s="2" t="str">
        <f>IF(Table2[[#This Row],[Manual Cat Value]]="",VLOOKUP(Table2[[#This Row],[Description]],'Actuals Lookup'!D:F,3,0),VLOOKUP(Table2[[#This Row],[Manual Cat Value]],Lookup!A:B,2,0))</f>
        <v>Utilities</v>
      </c>
      <c r="H10863" s="8" t="s">
        <v>6</v>
      </c>
      <c r="I10863" s="8"/>
      <c r="O10863" t="str">
        <f>LEFT(Table2[[#This Row],[Description]],75)</f>
        <v>Withdrawal ACH CITY OF CHANHASS TYPE: UTIL BILL ID: XX5331 CO: CITY OF CHAN</v>
      </c>
    </row>
    <row r="10864" spans="1:15" hidden="1">
      <c r="A10864">
        <v>202401</v>
      </c>
      <c r="B10864" s="6">
        <v>45314</v>
      </c>
      <c r="C10864" t="s">
        <v>3932</v>
      </c>
      <c r="D10864" t="s">
        <v>5204</v>
      </c>
      <c r="E10864">
        <v>12.37</v>
      </c>
      <c r="F10864" s="2" t="str">
        <f>IF(Table2[[#This Row],[Manual Cat Value]]="",VLOOKUP(Table2[[#This Row],[Description]],'Actuals Lookup'!D:F,3,0),VLOOKUP(Table2[[#This Row],[Manual Cat Value]],Lookup!A:B,2,0))</f>
        <v>Restaurants</v>
      </c>
      <c r="G10864" t="s">
        <v>26</v>
      </c>
      <c r="I10864" s="8"/>
      <c r="O10864" t="str">
        <f>LEFT(Table2[[#This Row],[Description]],75)</f>
        <v>5 Points Deli And Cafe Cork City Irl 11.21 @ 0xxx0001.xxx4790 Eur</v>
      </c>
    </row>
    <row r="10865" spans="1:15" hidden="1">
      <c r="A10865">
        <v>202401</v>
      </c>
      <c r="B10865" s="6">
        <v>45314</v>
      </c>
      <c r="C10865" t="s">
        <v>4094</v>
      </c>
      <c r="D10865" t="s">
        <v>38</v>
      </c>
      <c r="E10865">
        <v>35.76</v>
      </c>
      <c r="F10865" s="2" t="str">
        <f>IF(Table2[[#This Row],[Manual Cat Value]]="",VLOOKUP(Table2[[#This Row],[Description]],'Actuals Lookup'!D:F,3,0),VLOOKUP(Table2[[#This Row],[Manual Cat Value]],Lookup!A:B,2,0))</f>
        <v>Amazon</v>
      </c>
      <c r="H10865" s="8" t="s">
        <v>37</v>
      </c>
      <c r="I10865" s="8"/>
      <c r="O10865" t="str">
        <f>LEFT(Table2[[#This Row],[Description]],75)</f>
        <v>Amazon</v>
      </c>
    </row>
    <row r="10866" spans="1:15" hidden="1">
      <c r="A10866">
        <v>202401</v>
      </c>
      <c r="B10866" s="6">
        <v>45314</v>
      </c>
      <c r="C10866" t="s">
        <v>3932</v>
      </c>
      <c r="D10866" t="s">
        <v>38</v>
      </c>
      <c r="E10866">
        <v>7.09</v>
      </c>
      <c r="F10866" s="2" t="str">
        <f>IF(Table2[[#This Row],[Manual Cat Value]]="",VLOOKUP(Table2[[#This Row],[Description]],'Actuals Lookup'!D:F,3,0),VLOOKUP(Table2[[#This Row],[Manual Cat Value]],Lookup!A:B,2,0))</f>
        <v>Amazon</v>
      </c>
      <c r="G10866" t="s">
        <v>41</v>
      </c>
      <c r="H10866" s="8" t="s">
        <v>37</v>
      </c>
      <c r="I10866" s="8"/>
      <c r="O10866" t="str">
        <f>LEFT(Table2[[#This Row],[Description]],75)</f>
        <v>Amazon</v>
      </c>
    </row>
    <row r="10867" spans="1:15" hidden="1">
      <c r="A10867">
        <v>202401</v>
      </c>
      <c r="B10867" s="6">
        <v>45314</v>
      </c>
      <c r="C10867" t="s">
        <v>4091</v>
      </c>
      <c r="D10867" t="s">
        <v>113</v>
      </c>
      <c r="E10867">
        <v>-9.19</v>
      </c>
      <c r="F10867" s="2" t="str">
        <f>IF(Table2[[#This Row],[Manual Cat Value]]="",VLOOKUP(Table2[[#This Row],[Description]],'Actuals Lookup'!D:F,3,0),VLOOKUP(Table2[[#This Row],[Manual Cat Value]],Lookup!A:B,2,0))</f>
        <v>Amazon</v>
      </c>
      <c r="H10867" s="8" t="s">
        <v>37</v>
      </c>
      <c r="I10867" s="8"/>
      <c r="O10867" t="str">
        <f>LEFT(Table2[[#This Row],[Description]],75)</f>
        <v>Amazon Marketplace</v>
      </c>
    </row>
    <row r="10868" spans="1:15" hidden="1">
      <c r="A10868">
        <v>202401</v>
      </c>
      <c r="B10868" s="6">
        <v>45314</v>
      </c>
      <c r="C10868" t="s">
        <v>2519</v>
      </c>
      <c r="D10868" t="s">
        <v>4470</v>
      </c>
      <c r="E10868">
        <v>-17.989999999999998</v>
      </c>
      <c r="F10868" s="2" t="str">
        <f>IF(Table2[[#This Row],[Manual Cat Value]]="",VLOOKUP(Table2[[#This Row],[Description]],'Actuals Lookup'!D:F,3,0),VLOOKUP(Table2[[#This Row],[Manual Cat Value]],Lookup!A:B,2,0))</f>
        <v>Healthcare</v>
      </c>
      <c r="H10868" s="8" t="s">
        <v>47</v>
      </c>
      <c r="I10868" s="8"/>
      <c r="O10868" t="str">
        <f>LEFT(Table2[[#This Row],[Description]],75)</f>
        <v>Connectyourcare Deposit</v>
      </c>
    </row>
    <row r="10869" spans="1:15" hidden="1">
      <c r="A10869">
        <v>202401</v>
      </c>
      <c r="B10869" s="6">
        <v>45314</v>
      </c>
      <c r="C10869" t="s">
        <v>2519</v>
      </c>
      <c r="D10869" t="s">
        <v>1958</v>
      </c>
      <c r="E10869">
        <v>100</v>
      </c>
      <c r="F10869" s="2" t="str">
        <f>IF(Table2[[#This Row],[Manual Cat Value]]="",VLOOKUP(Table2[[#This Row],[Description]],'Actuals Lookup'!D:F,3,0),VLOOKUP(Table2[[#This Row],[Manual Cat Value]],Lookup!A:B,2,0))</f>
        <v>Shopping</v>
      </c>
      <c r="H10869" s="8" t="s">
        <v>36</v>
      </c>
      <c r="I10869" s="8"/>
      <c r="O10869" t="str">
        <f>LEFT(Table2[[#This Row],[Description]],75)</f>
        <v>Transfer to Venmo</v>
      </c>
    </row>
    <row r="10870" spans="1:15" hidden="1">
      <c r="A10870">
        <v>202401</v>
      </c>
      <c r="B10870" s="6">
        <v>45314</v>
      </c>
      <c r="C10870" t="s">
        <v>2519</v>
      </c>
      <c r="D10870" t="s">
        <v>5205</v>
      </c>
      <c r="E10870" s="46">
        <v>346</v>
      </c>
      <c r="F10870" s="2" t="str">
        <f>IF(Table2[[#This Row],[Manual Cat Value]]="",VLOOKUP(Table2[[#This Row],[Description]],'Actuals Lookup'!D:F,3,0),VLOOKUP(Table2[[#This Row],[Manual Cat Value]],Lookup!A:B,2,0))</f>
        <v>Day Care</v>
      </c>
      <c r="H10870" s="8" t="s">
        <v>19</v>
      </c>
      <c r="I10870" s="8"/>
      <c r="O10870" t="str">
        <f>LEFT(Table2[[#This Row],[Description]],75)</f>
        <v>Withdrawal ACH MHCHILDCARELLC TYPE: DUES ID: XX8198 CO: MHCHILDCARELLC Entr</v>
      </c>
    </row>
    <row r="10871" spans="1:15" hidden="1">
      <c r="A10871">
        <v>202401</v>
      </c>
      <c r="B10871" s="6">
        <v>45315</v>
      </c>
      <c r="C10871" t="s">
        <v>4100</v>
      </c>
      <c r="D10871" t="s">
        <v>38</v>
      </c>
      <c r="E10871">
        <v>26.01</v>
      </c>
      <c r="F10871" s="2" t="str">
        <f>IF(Table2[[#This Row],[Manual Cat Value]]="",VLOOKUP(Table2[[#This Row],[Description]],'Actuals Lookup'!D:F,3,0),VLOOKUP(Table2[[#This Row],[Manual Cat Value]],Lookup!A:B,2,0))</f>
        <v>Amazon</v>
      </c>
      <c r="H10871" s="8" t="s">
        <v>37</v>
      </c>
      <c r="I10871" s="8"/>
      <c r="O10871" t="str">
        <f>LEFT(Table2[[#This Row],[Description]],75)</f>
        <v>Amazon</v>
      </c>
    </row>
    <row r="10872" spans="1:15" hidden="1">
      <c r="A10872">
        <v>202401</v>
      </c>
      <c r="B10872" s="6">
        <v>45315</v>
      </c>
      <c r="C10872" t="s">
        <v>3932</v>
      </c>
      <c r="D10872" t="s">
        <v>38</v>
      </c>
      <c r="E10872">
        <v>7.73</v>
      </c>
      <c r="F10872" s="2" t="str">
        <f>IF(Table2[[#This Row],[Manual Cat Value]]="",VLOOKUP(Table2[[#This Row],[Description]],'Actuals Lookup'!D:F,3,0),VLOOKUP(Table2[[#This Row],[Manual Cat Value]],Lookup!A:B,2,0))</f>
        <v>Amazon</v>
      </c>
      <c r="G10872" t="s">
        <v>41</v>
      </c>
      <c r="H10872" s="8" t="s">
        <v>37</v>
      </c>
      <c r="I10872" s="8"/>
      <c r="O10872" t="str">
        <f>LEFT(Table2[[#This Row],[Description]],75)</f>
        <v>Amazon</v>
      </c>
    </row>
    <row r="10873" spans="1:15" hidden="1">
      <c r="A10873">
        <v>202401</v>
      </c>
      <c r="B10873" s="6">
        <v>45315</v>
      </c>
      <c r="C10873" t="s">
        <v>3932</v>
      </c>
      <c r="D10873" t="s">
        <v>38</v>
      </c>
      <c r="E10873">
        <v>37.869999999999997</v>
      </c>
      <c r="F10873" s="2" t="str">
        <f>IF(Table2[[#This Row],[Manual Cat Value]]="",VLOOKUP(Table2[[#This Row],[Description]],'Actuals Lookup'!D:F,3,0),VLOOKUP(Table2[[#This Row],[Manual Cat Value]],Lookup!A:B,2,0))</f>
        <v>Amazon</v>
      </c>
      <c r="G10873" t="s">
        <v>41</v>
      </c>
      <c r="H10873" s="8" t="s">
        <v>37</v>
      </c>
      <c r="I10873" s="8"/>
      <c r="O10873" t="str">
        <f>LEFT(Table2[[#This Row],[Description]],75)</f>
        <v>Amazon</v>
      </c>
    </row>
    <row r="10874" spans="1:15" hidden="1">
      <c r="A10874">
        <v>202401</v>
      </c>
      <c r="B10874" s="6">
        <v>45315</v>
      </c>
      <c r="C10874" t="s">
        <v>4089</v>
      </c>
      <c r="D10874" t="s">
        <v>5206</v>
      </c>
      <c r="E10874">
        <v>9.99</v>
      </c>
      <c r="F10874" s="2" t="str">
        <f>IF(Table2[[#This Row],[Manual Cat Value]]="",VLOOKUP(Table2[[#This Row],[Description]],'Actuals Lookup'!D:F,3,0),VLOOKUP(Table2[[#This Row],[Manual Cat Value]],Lookup!A:B,2,0))</f>
        <v>Amazon</v>
      </c>
      <c r="H10874" s="8" t="s">
        <v>37</v>
      </c>
      <c r="I10874" s="8"/>
      <c r="O10874" t="str">
        <f>LEFT(Table2[[#This Row],[Description]],75)</f>
        <v>AMZN Mktp US*R01YL15Y0 Amzn.com/billWA REF #XX9216D72X9AG7KK</v>
      </c>
    </row>
    <row r="10875" spans="1:15" hidden="1">
      <c r="A10875">
        <v>202401</v>
      </c>
      <c r="B10875" s="6">
        <v>45315</v>
      </c>
      <c r="C10875" t="s">
        <v>4096</v>
      </c>
      <c r="D10875" t="s">
        <v>5207</v>
      </c>
      <c r="E10875">
        <v>24.98</v>
      </c>
      <c r="F10875" s="2" t="str">
        <f>IF(Table2[[#This Row],[Manual Cat Value]]="",VLOOKUP(Table2[[#This Row],[Description]],'Actuals Lookup'!D:F,3,0),VLOOKUP(Table2[[#This Row],[Manual Cat Value]],Lookup!A:B,2,0))</f>
        <v>Amazon</v>
      </c>
      <c r="H10875" s="8" t="s">
        <v>37</v>
      </c>
      <c r="I10875" s="8"/>
      <c r="O10875" t="str">
        <f>LEFT(Table2[[#This Row],[Description]],75)</f>
        <v>AMZN Mktp US*R84DP5SW1 Amzn.com/billWA REF #XX9216D72X98V95J</v>
      </c>
    </row>
    <row r="10876" spans="1:15" hidden="1">
      <c r="A10876">
        <v>202401</v>
      </c>
      <c r="B10876" s="6">
        <v>45315</v>
      </c>
      <c r="C10876" t="s">
        <v>2519</v>
      </c>
      <c r="D10876" t="s">
        <v>4470</v>
      </c>
      <c r="E10876">
        <v>-168.61</v>
      </c>
      <c r="F10876" s="2" t="str">
        <f>IF(Table2[[#This Row],[Manual Cat Value]]="",VLOOKUP(Table2[[#This Row],[Description]],'Actuals Lookup'!D:F,3,0),VLOOKUP(Table2[[#This Row],[Manual Cat Value]],Lookup!A:B,2,0))</f>
        <v>Healthcare</v>
      </c>
      <c r="H10876" s="8" t="s">
        <v>47</v>
      </c>
      <c r="I10876" s="8"/>
      <c r="O10876" t="str">
        <f>LEFT(Table2[[#This Row],[Description]],75)</f>
        <v>Connectyourcare Deposit</v>
      </c>
    </row>
    <row r="10877" spans="1:15" hidden="1">
      <c r="A10877">
        <v>202401</v>
      </c>
      <c r="B10877" s="6">
        <v>45315</v>
      </c>
      <c r="C10877" t="s">
        <v>2519</v>
      </c>
      <c r="D10877" t="s">
        <v>5208</v>
      </c>
      <c r="E10877">
        <v>-641.02</v>
      </c>
      <c r="F10877" s="2" t="str">
        <f>IF(Table2[[#This Row],[Manual Cat Value]]="",VLOOKUP(Table2[[#This Row],[Description]],'Actuals Lookup'!D:F,3,0),VLOOKUP(Table2[[#This Row],[Manual Cat Value]],Lookup!A:B,2,0))</f>
        <v>Jeff</v>
      </c>
      <c r="H10877" s="8" t="s">
        <v>63</v>
      </c>
      <c r="I10877" s="8"/>
      <c r="O10877" t="str">
        <f>LEFT(Table2[[#This Row],[Description]],75)</f>
        <v>Deposit ACH EMPYREAN SOLUTIO TYPE: XX9000 ID: XX3620 CO: EMPYREAN SOLUTIO E</v>
      </c>
    </row>
    <row r="10878" spans="1:15" hidden="1">
      <c r="A10878">
        <v>202401</v>
      </c>
      <c r="B10878" s="6">
        <v>45315</v>
      </c>
      <c r="C10878" t="s">
        <v>2519</v>
      </c>
      <c r="D10878" t="s">
        <v>1958</v>
      </c>
      <c r="E10878">
        <v>146.19999999999999</v>
      </c>
      <c r="F10878" s="2" t="str">
        <f>IF(Table2[[#This Row],[Manual Cat Value]]="",VLOOKUP(Table2[[#This Row],[Description]],'Actuals Lookup'!D:F,3,0),VLOOKUP(Table2[[#This Row],[Manual Cat Value]],Lookup!A:B,2,0))</f>
        <v>Shopping</v>
      </c>
      <c r="H10878" s="8" t="s">
        <v>36</v>
      </c>
      <c r="I10878" s="8"/>
      <c r="O10878" t="str">
        <f>LEFT(Table2[[#This Row],[Description]],75)</f>
        <v>Transfer to Venmo</v>
      </c>
    </row>
    <row r="10879" spans="1:15" hidden="1">
      <c r="A10879">
        <v>202401</v>
      </c>
      <c r="B10879" s="6">
        <v>45316</v>
      </c>
      <c r="C10879" t="s">
        <v>4112</v>
      </c>
      <c r="D10879" t="s">
        <v>5209</v>
      </c>
      <c r="E10879">
        <v>10.9</v>
      </c>
      <c r="F10879" s="2" t="str">
        <f>IF(Table2[[#This Row],[Manual Cat Value]]="",VLOOKUP(Table2[[#This Row],[Description]],'Actuals Lookup'!D:F,3,0),VLOOKUP(Table2[[#This Row],[Manual Cat Value]],Lookup!A:B,2,0))</f>
        <v>Amazon</v>
      </c>
      <c r="H10879" s="8" t="s">
        <v>37</v>
      </c>
      <c r="I10879" s="8"/>
      <c r="O10879" t="str">
        <f>LEFT(Table2[[#This Row],[Description]],75)</f>
        <v>AMZN Mktp US*R88GY1WX1 Amzn.com/billWA REF #XX9216D82YB1ET3A</v>
      </c>
    </row>
    <row r="10880" spans="1:15" hidden="1">
      <c r="A10880">
        <v>202409</v>
      </c>
      <c r="B10880" s="6">
        <v>45555</v>
      </c>
      <c r="C10880" t="s">
        <v>130</v>
      </c>
      <c r="D10880" t="s">
        <v>5210</v>
      </c>
      <c r="E10880">
        <v>37.659999999999997</v>
      </c>
      <c r="F10880" s="2" t="str">
        <f>IF(Table2[[#This Row],[Manual Cat Value]]="",VLOOKUP(Table2[[#This Row],[Description]],'Actuals Lookup'!D:F,3,0),VLOOKUP(Table2[[#This Row],[Manual Cat Value]],Lookup!A:B,2,0))</f>
        <v>Delete</v>
      </c>
      <c r="H10880" s="8" t="s">
        <v>9</v>
      </c>
      <c r="I10880" s="8"/>
      <c r="O10880" t="str">
        <f>LEFT(Table2[[#This Row],[Description]],75)</f>
        <v>BP#8797169AIRPORT BPST. LOUIS           MO</v>
      </c>
    </row>
    <row r="10881" spans="1:15" hidden="1">
      <c r="A10881">
        <v>202401</v>
      </c>
      <c r="B10881" s="6">
        <v>45316</v>
      </c>
      <c r="C10881" t="s">
        <v>4098</v>
      </c>
      <c r="D10881" t="s">
        <v>782</v>
      </c>
      <c r="E10881">
        <v>9.5</v>
      </c>
      <c r="F10881" s="2" t="str">
        <f>IF(Table2[[#This Row],[Manual Cat Value]]="",VLOOKUP(Table2[[#This Row],[Description]],'Actuals Lookup'!D:F,3,0),VLOOKUP(Table2[[#This Row],[Manual Cat Value]],Lookup!A:B,2,0))</f>
        <v>Groceries</v>
      </c>
      <c r="H10881" s="8" t="s">
        <v>27</v>
      </c>
      <c r="I10881" s="8"/>
      <c r="O10881" t="str">
        <f>LEFT(Table2[[#This Row],[Description]],75)</f>
        <v>Dollar Tree</v>
      </c>
    </row>
    <row r="10882" spans="1:15" hidden="1">
      <c r="A10882">
        <v>202411</v>
      </c>
      <c r="B10882" s="6">
        <v>45617</v>
      </c>
      <c r="C10882" t="s">
        <v>3938</v>
      </c>
      <c r="D10882" t="s">
        <v>5211</v>
      </c>
      <c r="E10882">
        <v>73.14</v>
      </c>
      <c r="F10882" s="2" t="str">
        <f>IF(Table2[[#This Row],[Manual Cat Value]]="",VLOOKUP(Table2[[#This Row],[Description]],'Actuals Lookup'!D:F,3,0),VLOOKUP(Table2[[#This Row],[Manual Cat Value]],Lookup!A:B,2,0))</f>
        <v>Delete</v>
      </c>
      <c r="H10882" t="s">
        <v>9</v>
      </c>
      <c r="I10882" s="8"/>
      <c r="O10882" t="str">
        <f>LEFT(Table2[[#This Row],[Description]],75)</f>
        <v>BRADLEYS CORK IE REF #XX6366NMHV4QEZDV</v>
      </c>
    </row>
    <row r="10883" spans="1:15" hidden="1">
      <c r="A10883">
        <v>202401</v>
      </c>
      <c r="B10883" s="6">
        <v>45316</v>
      </c>
      <c r="C10883" t="s">
        <v>2519</v>
      </c>
      <c r="D10883" t="s">
        <v>4415</v>
      </c>
      <c r="E10883">
        <v>921.65</v>
      </c>
      <c r="F10883" s="2" t="str">
        <f>IF(Table2[[#This Row],[Manual Cat Value]]="",VLOOKUP(Table2[[#This Row],[Description]],'Actuals Lookup'!D:F,3,0),VLOOKUP(Table2[[#This Row],[Manual Cat Value]],Lookup!A:B,2,0))</f>
        <v>Target</v>
      </c>
      <c r="H10883" s="8" t="s">
        <v>30</v>
      </c>
      <c r="I10883" s="8"/>
      <c r="O10883" t="str">
        <f>LEFT(Table2[[#This Row],[Description]],75)</f>
        <v>Payment to Jeffrey B</v>
      </c>
    </row>
    <row r="10884" spans="1:15" hidden="1">
      <c r="A10884">
        <v>202401</v>
      </c>
      <c r="B10884" s="6">
        <v>45316</v>
      </c>
      <c r="C10884" t="s">
        <v>2519</v>
      </c>
      <c r="D10884" t="s">
        <v>1955</v>
      </c>
      <c r="E10884">
        <v>21.25</v>
      </c>
      <c r="F10884" s="2" t="str">
        <f>IF(Table2[[#This Row],[Manual Cat Value]]="",VLOOKUP(Table2[[#This Row],[Description]],'Actuals Lookup'!D:F,3,0),VLOOKUP(Table2[[#This Row],[Manual Cat Value]],Lookup!A:B,2,0))</f>
        <v>Shopping</v>
      </c>
      <c r="H10884" s="8" t="s">
        <v>36</v>
      </c>
      <c r="I10884" s="8"/>
      <c r="O10884" t="str">
        <f>LEFT(Table2[[#This Row],[Description]],75)</f>
        <v>Transfer to PayPal</v>
      </c>
    </row>
    <row r="10885" spans="1:15" hidden="1">
      <c r="A10885">
        <v>202401</v>
      </c>
      <c r="B10885" s="6">
        <v>45316</v>
      </c>
      <c r="C10885" t="s">
        <v>2519</v>
      </c>
      <c r="D10885" t="s">
        <v>5196</v>
      </c>
      <c r="E10885">
        <v>0.05</v>
      </c>
      <c r="F10885" s="2" t="str">
        <f>IF(Table2[[#This Row],[Manual Cat Value]]="",VLOOKUP(Table2[[#This Row],[Description]],'Actuals Lookup'!D:F,3,0),VLOOKUP(Table2[[#This Row],[Manual Cat Value]],Lookup!A:B,2,0))</f>
        <v>Misc</v>
      </c>
      <c r="H10885" s="8" t="s">
        <v>46</v>
      </c>
      <c r="I10885" s="8"/>
      <c r="O10885" t="str">
        <f>LEFT(Table2[[#This Row],[Description]],75)</f>
        <v>Withdrawal Fee VISA INTERNATIONAL SERVICE ASSESSMENT Date</v>
      </c>
    </row>
    <row r="10886" spans="1:15" hidden="1">
      <c r="A10886">
        <v>202401</v>
      </c>
      <c r="B10886" s="6">
        <v>45316</v>
      </c>
      <c r="C10886" t="s">
        <v>2519</v>
      </c>
      <c r="D10886" t="s">
        <v>5196</v>
      </c>
      <c r="E10886">
        <v>0.13</v>
      </c>
      <c r="F10886" s="2" t="str">
        <f>IF(Table2[[#This Row],[Manual Cat Value]]="",VLOOKUP(Table2[[#This Row],[Description]],'Actuals Lookup'!D:F,3,0),VLOOKUP(Table2[[#This Row],[Manual Cat Value]],Lookup!A:B,2,0))</f>
        <v>Misc</v>
      </c>
      <c r="H10886" s="8" t="s">
        <v>46</v>
      </c>
      <c r="I10886" s="8"/>
      <c r="O10886" t="str">
        <f>LEFT(Table2[[#This Row],[Description]],75)</f>
        <v>Withdrawal Fee VISA INTERNATIONAL SERVICE ASSESSMENT Date</v>
      </c>
    </row>
    <row r="10887" spans="1:15" hidden="1">
      <c r="A10887">
        <v>202401</v>
      </c>
      <c r="B10887" s="6">
        <v>45316</v>
      </c>
      <c r="C10887" t="s">
        <v>2519</v>
      </c>
      <c r="D10887" t="s">
        <v>5196</v>
      </c>
      <c r="E10887">
        <v>0.11</v>
      </c>
      <c r="F10887" s="2" t="str">
        <f>IF(Table2[[#This Row],[Manual Cat Value]]="",VLOOKUP(Table2[[#This Row],[Description]],'Actuals Lookup'!D:F,3,0),VLOOKUP(Table2[[#This Row],[Manual Cat Value]],Lookup!A:B,2,0))</f>
        <v>Misc</v>
      </c>
      <c r="H10887" s="8" t="s">
        <v>46</v>
      </c>
      <c r="I10887" s="8"/>
      <c r="O10887" t="str">
        <f>LEFT(Table2[[#This Row],[Description]],75)</f>
        <v>Withdrawal Fee VISA INTERNATIONAL SERVICE ASSESSMENT Date</v>
      </c>
    </row>
    <row r="10888" spans="1:15" hidden="1">
      <c r="A10888">
        <v>202401</v>
      </c>
      <c r="B10888" s="6">
        <v>45316</v>
      </c>
      <c r="C10888" t="s">
        <v>2519</v>
      </c>
      <c r="D10888" t="s">
        <v>5196</v>
      </c>
      <c r="E10888">
        <v>0.39</v>
      </c>
      <c r="F10888" s="2" t="str">
        <f>IF(Table2[[#This Row],[Manual Cat Value]]="",VLOOKUP(Table2[[#This Row],[Description]],'Actuals Lookup'!D:F,3,0),VLOOKUP(Table2[[#This Row],[Manual Cat Value]],Lookup!A:B,2,0))</f>
        <v>Misc</v>
      </c>
      <c r="H10888" s="8" t="s">
        <v>46</v>
      </c>
      <c r="I10888" s="8"/>
      <c r="O10888" t="str">
        <f>LEFT(Table2[[#This Row],[Description]],75)</f>
        <v>Withdrawal Fee VISA INTERNATIONAL SERVICE ASSESSMENT Date</v>
      </c>
    </row>
    <row r="10889" spans="1:15" hidden="1">
      <c r="A10889">
        <v>202409</v>
      </c>
      <c r="B10889" s="6">
        <v>45558</v>
      </c>
      <c r="C10889" t="s">
        <v>130</v>
      </c>
      <c r="D10889" t="s">
        <v>5212</v>
      </c>
      <c r="E10889">
        <v>62.45</v>
      </c>
      <c r="F10889" s="2" t="str">
        <f>IF(Table2[[#This Row],[Manual Cat Value]]="",VLOOKUP(Table2[[#This Row],[Description]],'Actuals Lookup'!D:F,3,0),VLOOKUP(Table2[[#This Row],[Manual Cat Value]],Lookup!A:B,2,0))</f>
        <v>Delete</v>
      </c>
      <c r="H10889" s="8" t="s">
        <v>9</v>
      </c>
      <c r="I10889" s="8"/>
      <c r="O10889" t="str">
        <f>LEFT(Table2[[#This Row],[Description]],75)</f>
        <v>BURNTWOOD TAVERN - BFORT MYERS          FL</v>
      </c>
    </row>
    <row r="10890" spans="1:15" hidden="1">
      <c r="A10890" s="25">
        <v>202406</v>
      </c>
      <c r="B10890" s="6">
        <v>45468</v>
      </c>
      <c r="C10890" t="s">
        <v>5160</v>
      </c>
      <c r="D10890" t="s">
        <v>3996</v>
      </c>
      <c r="E10890">
        <v>1.63</v>
      </c>
      <c r="F10890" s="2" t="str">
        <f>IF(Table2[[#This Row],[Manual Cat Value]]="",VLOOKUP(Table2[[#This Row],[Description]],'Actuals Lookup'!D:F,3,0),VLOOKUP(Table2[[#This Row],[Manual Cat Value]],Lookup!A:B,2,0))</f>
        <v>Delete</v>
      </c>
      <c r="G10890" t="s">
        <v>41</v>
      </c>
      <c r="I10890" s="8"/>
      <c r="O10890" t="str">
        <f>LEFT(Table2[[#This Row],[Description]],75)</f>
        <v>Cargill</v>
      </c>
    </row>
    <row r="10891" spans="1:15" hidden="1">
      <c r="A10891" s="25">
        <v>202407</v>
      </c>
      <c r="B10891" s="6">
        <v>45497</v>
      </c>
      <c r="C10891" t="s">
        <v>5160</v>
      </c>
      <c r="D10891" t="s">
        <v>3996</v>
      </c>
      <c r="E10891">
        <v>1.63</v>
      </c>
      <c r="F10891" s="2" t="str">
        <f>IF(Table2[[#This Row],[Manual Cat Value]]="",VLOOKUP(Table2[[#This Row],[Description]],'Actuals Lookup'!D:F,3,0),VLOOKUP(Table2[[#This Row],[Manual Cat Value]],Lookup!A:B,2,0))</f>
        <v>Delete</v>
      </c>
      <c r="G10891" t="s">
        <v>28</v>
      </c>
      <c r="I10891" s="8"/>
      <c r="O10891" t="str">
        <f>LEFT(Table2[[#This Row],[Description]],75)</f>
        <v>Cargill</v>
      </c>
    </row>
    <row r="10892" spans="1:15" hidden="1">
      <c r="A10892">
        <v>202410</v>
      </c>
      <c r="B10892" s="6">
        <v>45588</v>
      </c>
      <c r="C10892" t="s">
        <v>2519</v>
      </c>
      <c r="D10892" t="s">
        <v>4283</v>
      </c>
      <c r="E10892">
        <v>-187.13</v>
      </c>
      <c r="F10892" s="2" t="str">
        <f>IF(Table2[[#This Row],[Manual Cat Value]]="",VLOOKUP(Table2[[#This Row],[Description]],'Actuals Lookup'!D:F,3,0),VLOOKUP(Table2[[#This Row],[Manual Cat Value]],Lookup!A:B,2,0))</f>
        <v>Delete</v>
      </c>
      <c r="H10892" s="8" t="s">
        <v>9</v>
      </c>
      <c r="I10892" s="8"/>
      <c r="O10892" t="str">
        <f>LEFT(Table2[[#This Row],[Description]],75)</f>
        <v>Cargill Deposit</v>
      </c>
    </row>
    <row r="10893" spans="1:15" hidden="1">
      <c r="A10893">
        <v>202409</v>
      </c>
      <c r="B10893" s="6">
        <v>45547</v>
      </c>
      <c r="C10893" t="s">
        <v>2519</v>
      </c>
      <c r="D10893" t="s">
        <v>404</v>
      </c>
      <c r="E10893">
        <v>-3129.13</v>
      </c>
      <c r="F10893" s="2" t="str">
        <f>IF(Table2[[#This Row],[Manual Cat Value]]="",VLOOKUP(Table2[[#This Row],[Description]],'Actuals Lookup'!D:F,3,0),VLOOKUP(Table2[[#This Row],[Manual Cat Value]],Lookup!A:B,2,0))</f>
        <v>Delete</v>
      </c>
      <c r="H10893" s="8" t="s">
        <v>9</v>
      </c>
      <c r="I10893" s="8"/>
      <c r="O10893" t="str">
        <f>LEFT(Table2[[#This Row],[Description]],75)</f>
        <v>Cargill Inc Deposit</v>
      </c>
    </row>
    <row r="10894" spans="1:15" hidden="1">
      <c r="A10894">
        <v>202401</v>
      </c>
      <c r="B10894" s="6">
        <v>45317</v>
      </c>
      <c r="C10894" t="s">
        <v>5013</v>
      </c>
      <c r="D10894" t="s">
        <v>5213</v>
      </c>
      <c r="E10894">
        <v>21.94</v>
      </c>
      <c r="F10894" s="2" t="str">
        <f>IF(Table2[[#This Row],[Manual Cat Value]]="",VLOOKUP(Table2[[#This Row],[Description]],'Actuals Lookup'!D:F,3,0),VLOOKUP(Table2[[#This Row],[Manual Cat Value]],Lookup!A:B,2,0))</f>
        <v>Restaurants</v>
      </c>
      <c r="G10894" t="s">
        <v>26</v>
      </c>
      <c r="I10894" s="8"/>
      <c r="O10894" t="str">
        <f>LEFT(Table2[[#This Row],[Description]],75)</f>
        <v>Aplpay Ramen Kawae Lminneapolis Mn</v>
      </c>
    </row>
    <row r="10895" spans="1:15" hidden="1">
      <c r="A10895">
        <v>202410</v>
      </c>
      <c r="B10895" s="6">
        <v>45575</v>
      </c>
      <c r="C10895" t="s">
        <v>2519</v>
      </c>
      <c r="D10895" t="s">
        <v>404</v>
      </c>
      <c r="E10895">
        <v>-4155.47</v>
      </c>
      <c r="F10895" s="2" t="str">
        <f>IF(Table2[[#This Row],[Manual Cat Value]]="",VLOOKUP(Table2[[#This Row],[Description]],'Actuals Lookup'!D:F,3,0),VLOOKUP(Table2[[#This Row],[Manual Cat Value]],Lookup!A:B,2,0))</f>
        <v>Delete</v>
      </c>
      <c r="H10895" s="8" t="s">
        <v>9</v>
      </c>
      <c r="I10895" s="8"/>
      <c r="O10895" t="str">
        <f>LEFT(Table2[[#This Row],[Description]],75)</f>
        <v>Cargill Inc Deposit</v>
      </c>
    </row>
    <row r="10896" spans="1:15" hidden="1">
      <c r="A10896">
        <v>202401</v>
      </c>
      <c r="B10896" s="6">
        <v>45317</v>
      </c>
      <c r="C10896" t="s">
        <v>2519</v>
      </c>
      <c r="D10896" t="s">
        <v>4404</v>
      </c>
      <c r="E10896">
        <v>800</v>
      </c>
      <c r="F10896" s="2" t="str">
        <f>IF(Table2[[#This Row],[Manual Cat Value]]="",VLOOKUP(Table2[[#This Row],[Description]],'Actuals Lookup'!D:F,3,0),VLOOKUP(Table2[[#This Row],[Manual Cat Value]],Lookup!A:B,2,0))</f>
        <v>Savings</v>
      </c>
      <c r="H10896" s="8" t="s">
        <v>58</v>
      </c>
      <c r="I10896" s="8"/>
      <c r="O10896" t="str">
        <f>LEFT(Table2[[#This Row],[Description]],75)</f>
        <v>Transfer to Discover Bank</v>
      </c>
    </row>
    <row r="10897" spans="1:15" hidden="1">
      <c r="A10897">
        <v>202401</v>
      </c>
      <c r="B10897" s="6">
        <v>45317</v>
      </c>
      <c r="C10897" t="s">
        <v>4123</v>
      </c>
      <c r="D10897" t="s">
        <v>5214</v>
      </c>
      <c r="E10897">
        <v>2.57</v>
      </c>
      <c r="F10897" s="2" t="str">
        <f>IF(Table2[[#This Row],[Manual Cat Value]]="",VLOOKUP(Table2[[#This Row],[Description]],'Actuals Lookup'!D:F,3,0),VLOOKUP(Table2[[#This Row],[Manual Cat Value]],Lookup!A:B,2,0))</f>
        <v>Restaurants</v>
      </c>
      <c r="H10897" s="8" t="s">
        <v>25</v>
      </c>
      <c r="I10897" s="8"/>
      <c r="O10897" t="str">
        <f>LEFT(Table2[[#This Row],[Description]],75)</f>
        <v>WAYZATA COFFEE WAYZATA MN REF #XX4300DAW5SA44K7</v>
      </c>
    </row>
    <row r="10898" spans="1:15" hidden="1">
      <c r="A10898">
        <v>202401</v>
      </c>
      <c r="B10898" s="6">
        <v>45317</v>
      </c>
      <c r="C10898" t="s">
        <v>2519</v>
      </c>
      <c r="D10898" t="s">
        <v>5196</v>
      </c>
      <c r="E10898">
        <v>0.67</v>
      </c>
      <c r="F10898" s="2" t="str">
        <f>IF(Table2[[#This Row],[Manual Cat Value]]="",VLOOKUP(Table2[[#This Row],[Description]],'Actuals Lookup'!D:F,3,0),VLOOKUP(Table2[[#This Row],[Manual Cat Value]],Lookup!A:B,2,0))</f>
        <v>Misc</v>
      </c>
      <c r="H10898" s="8" t="s">
        <v>46</v>
      </c>
      <c r="I10898" s="8"/>
      <c r="O10898" t="str">
        <f>LEFT(Table2[[#This Row],[Description]],75)</f>
        <v>Withdrawal Fee VISA INTERNATIONAL SERVICE ASSESSMENT Date</v>
      </c>
    </row>
    <row r="10899" spans="1:15" hidden="1">
      <c r="A10899" s="25">
        <v>202406</v>
      </c>
      <c r="B10899" s="6">
        <v>45448</v>
      </c>
      <c r="C10899" t="s">
        <v>5160</v>
      </c>
      <c r="D10899" t="s">
        <v>453</v>
      </c>
      <c r="E10899">
        <v>16.32</v>
      </c>
      <c r="F10899" s="2" t="str">
        <f>IF(Table2[[#This Row],[Manual Cat Value]]="",VLOOKUP(Table2[[#This Row],[Description]],'Actuals Lookup'!D:F,3,0),VLOOKUP(Table2[[#This Row],[Manual Cat Value]],Lookup!A:B,2,0))</f>
        <v>Delete</v>
      </c>
      <c r="G10899" t="s">
        <v>26</v>
      </c>
      <c r="H10899" s="8" t="s">
        <v>9</v>
      </c>
      <c r="I10899" s="8"/>
      <c r="O10899" t="str">
        <f>LEFT(Table2[[#This Row],[Description]],75)</f>
        <v>Caribou Coffee</v>
      </c>
    </row>
    <row r="10900" spans="1:15" hidden="1">
      <c r="A10900">
        <v>202401</v>
      </c>
      <c r="B10900" s="6">
        <v>45318</v>
      </c>
      <c r="C10900" t="s">
        <v>5013</v>
      </c>
      <c r="D10900" t="s">
        <v>31</v>
      </c>
      <c r="E10900">
        <v>9.1999999999999993</v>
      </c>
      <c r="F10900" s="2" t="str">
        <f>IF(Table2[[#This Row],[Manual Cat Value]]="",VLOOKUP(Table2[[#This Row],[Description]],'Actuals Lookup'!D:F,3,0),VLOOKUP(Table2[[#This Row],[Manual Cat Value]],Lookup!A:B,2,0))</f>
        <v>Target</v>
      </c>
      <c r="G10900" t="s">
        <v>31</v>
      </c>
      <c r="H10900" s="8" t="s">
        <v>30</v>
      </c>
      <c r="I10900" s="8"/>
      <c r="O10900" t="str">
        <f>LEFT(Table2[[#This Row],[Description]],75)</f>
        <v>Target</v>
      </c>
    </row>
    <row r="10901" spans="1:15" hidden="1">
      <c r="A10901">
        <v>202401</v>
      </c>
      <c r="B10901" s="6">
        <v>45319</v>
      </c>
      <c r="C10901" t="s">
        <v>4127</v>
      </c>
      <c r="D10901" t="s">
        <v>4887</v>
      </c>
      <c r="E10901">
        <v>39.049999999999997</v>
      </c>
      <c r="F10901" s="2" t="str">
        <f>IF(Table2[[#This Row],[Manual Cat Value]]="",VLOOKUP(Table2[[#This Row],[Description]],'Actuals Lookup'!D:F,3,0),VLOOKUP(Table2[[#This Row],[Manual Cat Value]],Lookup!A:B,2,0))</f>
        <v>Transportation</v>
      </c>
      <c r="H10901" s="8" t="s">
        <v>22</v>
      </c>
      <c r="I10901" s="8"/>
      <c r="O10901" t="str">
        <f>LEFT(Table2[[#This Row],[Description]],75)</f>
        <v>Costco Gas Stations</v>
      </c>
    </row>
    <row r="10902" spans="1:15" hidden="1">
      <c r="A10902">
        <v>202401</v>
      </c>
      <c r="B10902" s="6">
        <v>45319</v>
      </c>
      <c r="C10902" t="s">
        <v>4125</v>
      </c>
      <c r="D10902" t="s">
        <v>5215</v>
      </c>
      <c r="E10902">
        <v>7.89</v>
      </c>
      <c r="F10902" s="2" t="str">
        <f>IF(Table2[[#This Row],[Manual Cat Value]]="",VLOOKUP(Table2[[#This Row],[Description]],'Actuals Lookup'!D:F,3,0),VLOOKUP(Table2[[#This Row],[Manual Cat Value]],Lookup!A:B,2,0))</f>
        <v>Restaurants</v>
      </c>
      <c r="H10902" s="8" t="s">
        <v>25</v>
      </c>
      <c r="I10902" s="8"/>
      <c r="O10902" t="str">
        <f>LEFT(Table2[[#This Row],[Description]],75)</f>
        <v>North Loop Galley</v>
      </c>
    </row>
    <row r="10903" spans="1:15" hidden="1">
      <c r="A10903">
        <v>202401</v>
      </c>
      <c r="B10903" s="6">
        <v>45319</v>
      </c>
      <c r="C10903" t="s">
        <v>4129</v>
      </c>
      <c r="D10903" t="s">
        <v>31</v>
      </c>
      <c r="E10903">
        <v>2.29</v>
      </c>
      <c r="F10903" s="2" t="str">
        <f>IF(Table2[[#This Row],[Manual Cat Value]]="",VLOOKUP(Table2[[#This Row],[Description]],'Actuals Lookup'!D:F,3,0),VLOOKUP(Table2[[#This Row],[Manual Cat Value]],Lookup!A:B,2,0))</f>
        <v>Target</v>
      </c>
      <c r="H10903" s="8" t="s">
        <v>30</v>
      </c>
      <c r="I10903" s="8"/>
      <c r="O10903" t="str">
        <f>LEFT(Table2[[#This Row],[Description]],75)</f>
        <v>Target</v>
      </c>
    </row>
    <row r="10904" spans="1:15" hidden="1">
      <c r="A10904">
        <v>202401</v>
      </c>
      <c r="B10904" s="6">
        <v>45319</v>
      </c>
      <c r="C10904" t="s">
        <v>2519</v>
      </c>
      <c r="D10904" t="s">
        <v>5216</v>
      </c>
      <c r="E10904">
        <v>25.24</v>
      </c>
      <c r="F10904" s="2" t="str">
        <f>IF(Table2[[#This Row],[Manual Cat Value]]="",VLOOKUP(Table2[[#This Row],[Description]],'Actuals Lookup'!D:F,3,0),VLOOKUP(Table2[[#This Row],[Manual Cat Value]],Lookup!A:B,2,0))</f>
        <v>Groceries</v>
      </c>
      <c r="H10904" s="8" t="s">
        <v>27</v>
      </c>
      <c r="I10904" s="8"/>
      <c r="O10904" t="str">
        <f>LEFT(Table2[[#This Row],[Description]],75)</f>
        <v>Withdrawal DUNNES MERCHANTS QUAY CORK IE Date XX 5411</v>
      </c>
    </row>
    <row r="10905" spans="1:15" hidden="1">
      <c r="A10905">
        <v>202401</v>
      </c>
      <c r="B10905" s="6">
        <v>45319</v>
      </c>
      <c r="C10905" t="s">
        <v>2519</v>
      </c>
      <c r="D10905" t="s">
        <v>5196</v>
      </c>
      <c r="E10905">
        <v>0.32</v>
      </c>
      <c r="F10905" s="2" t="str">
        <f>IF(Table2[[#This Row],[Manual Cat Value]]="",VLOOKUP(Table2[[#This Row],[Description]],'Actuals Lookup'!D:F,3,0),VLOOKUP(Table2[[#This Row],[Manual Cat Value]],Lookup!A:B,2,0))</f>
        <v>Misc</v>
      </c>
      <c r="H10905" s="8" t="s">
        <v>46</v>
      </c>
      <c r="I10905" s="8"/>
      <c r="O10905" t="str">
        <f>LEFT(Table2[[#This Row],[Description]],75)</f>
        <v>Withdrawal Fee VISA INTERNATIONAL SERVICE ASSESSMENT Date</v>
      </c>
    </row>
    <row r="10906" spans="1:15" hidden="1">
      <c r="A10906">
        <v>202401</v>
      </c>
      <c r="B10906" s="6">
        <v>45319</v>
      </c>
      <c r="C10906" t="s">
        <v>2519</v>
      </c>
      <c r="D10906" t="s">
        <v>5196</v>
      </c>
      <c r="E10906">
        <v>0.25</v>
      </c>
      <c r="F10906" s="2" t="str">
        <f>IF(Table2[[#This Row],[Manual Cat Value]]="",VLOOKUP(Table2[[#This Row],[Description]],'Actuals Lookup'!D:F,3,0),VLOOKUP(Table2[[#This Row],[Manual Cat Value]],Lookup!A:B,2,0))</f>
        <v>Misc</v>
      </c>
      <c r="H10906" s="8" t="s">
        <v>46</v>
      </c>
      <c r="I10906" s="8"/>
      <c r="O10906" t="str">
        <f>LEFT(Table2[[#This Row],[Description]],75)</f>
        <v>Withdrawal Fee VISA INTERNATIONAL SERVICE ASSESSMENT Date</v>
      </c>
    </row>
    <row r="10907" spans="1:15" hidden="1">
      <c r="A10907" s="25">
        <v>202408</v>
      </c>
      <c r="B10907" s="6">
        <v>45517</v>
      </c>
      <c r="C10907" t="s">
        <v>5160</v>
      </c>
      <c r="D10907" t="s">
        <v>453</v>
      </c>
      <c r="E10907">
        <v>3.85</v>
      </c>
      <c r="F10907" s="2" t="str">
        <f>IF(Table2[[#This Row],[Manual Cat Value]]="",VLOOKUP(Table2[[#This Row],[Description]],'Actuals Lookup'!D:F,3,0),VLOOKUP(Table2[[#This Row],[Manual Cat Value]],Lookup!A:B,2,0))</f>
        <v>Delete</v>
      </c>
      <c r="G10907" t="s">
        <v>26</v>
      </c>
      <c r="H10907" s="8" t="s">
        <v>9</v>
      </c>
      <c r="I10907" s="8"/>
      <c r="O10907" t="str">
        <f>LEFT(Table2[[#This Row],[Description]],75)</f>
        <v>Caribou Coffee</v>
      </c>
    </row>
    <row r="10908" spans="1:15" hidden="1">
      <c r="A10908">
        <v>202401</v>
      </c>
      <c r="B10908" s="6">
        <v>45320</v>
      </c>
      <c r="C10908" t="s">
        <v>5013</v>
      </c>
      <c r="D10908" t="s">
        <v>4888</v>
      </c>
      <c r="E10908">
        <v>16.23</v>
      </c>
      <c r="F10908" s="2" t="str">
        <f>IF(Table2[[#This Row],[Manual Cat Value]]="",VLOOKUP(Table2[[#This Row],[Description]],'Actuals Lookup'!D:F,3,0),VLOOKUP(Table2[[#This Row],[Manual Cat Value]],Lookup!A:B,2,0))</f>
        <v>Restaurants</v>
      </c>
      <c r="G10908" t="s">
        <v>26</v>
      </c>
      <c r="I10908" s="8"/>
      <c r="O10908" t="str">
        <f>LEFT(Table2[[#This Row],[Description]],75)</f>
        <v>Hmshost</v>
      </c>
    </row>
    <row r="10909" spans="1:15" hidden="1">
      <c r="A10909">
        <v>202401</v>
      </c>
      <c r="B10909" s="6">
        <v>45320</v>
      </c>
      <c r="C10909" t="s">
        <v>2519</v>
      </c>
      <c r="D10909" t="s">
        <v>1955</v>
      </c>
      <c r="E10909">
        <v>0.99</v>
      </c>
      <c r="F10909" s="2" t="str">
        <f>IF(Table2[[#This Row],[Manual Cat Value]]="",VLOOKUP(Table2[[#This Row],[Description]],'Actuals Lookup'!D:F,3,0),VLOOKUP(Table2[[#This Row],[Manual Cat Value]],Lookup!A:B,2,0))</f>
        <v>Shopping</v>
      </c>
      <c r="H10909" s="8" t="s">
        <v>36</v>
      </c>
      <c r="I10909" s="8"/>
      <c r="O10909" t="str">
        <f>LEFT(Table2[[#This Row],[Description]],75)</f>
        <v>Transfer to PayPal</v>
      </c>
    </row>
    <row r="10910" spans="1:15" hidden="1">
      <c r="A10910">
        <v>202401</v>
      </c>
      <c r="B10910" s="6">
        <v>45320</v>
      </c>
      <c r="C10910" t="s">
        <v>2519</v>
      </c>
      <c r="D10910" t="s">
        <v>5196</v>
      </c>
      <c r="E10910">
        <v>0.03</v>
      </c>
      <c r="F10910" s="2" t="str">
        <f>IF(Table2[[#This Row],[Manual Cat Value]]="",VLOOKUP(Table2[[#This Row],[Description]],'Actuals Lookup'!D:F,3,0),VLOOKUP(Table2[[#This Row],[Manual Cat Value]],Lookup!A:B,2,0))</f>
        <v>Misc</v>
      </c>
      <c r="H10910" s="8" t="s">
        <v>46</v>
      </c>
      <c r="I10910" s="8"/>
      <c r="O10910" t="str">
        <f>LEFT(Table2[[#This Row],[Description]],75)</f>
        <v>Withdrawal Fee VISA INTERNATIONAL SERVICE ASSESSMENT Date</v>
      </c>
    </row>
    <row r="10911" spans="1:15" hidden="1">
      <c r="A10911">
        <v>202401</v>
      </c>
      <c r="B10911" s="6">
        <v>45313</v>
      </c>
      <c r="C10911" t="s">
        <v>5013</v>
      </c>
      <c r="D10911" t="s">
        <v>4885</v>
      </c>
      <c r="E10911">
        <v>943.2</v>
      </c>
      <c r="F10911" s="2" t="str">
        <f>IF(Table2[[#This Row],[Manual Cat Value]]="",VLOOKUP(Table2[[#This Row],[Description]],'Actuals Lookup'!D:F,3,0),VLOOKUP(Table2[[#This Row],[Manual Cat Value]],Lookup!A:B,2,0))</f>
        <v>Delete</v>
      </c>
      <c r="G10911" t="s">
        <v>43</v>
      </c>
      <c r="H10911" s="8" t="s">
        <v>9</v>
      </c>
      <c r="I10911" s="8"/>
      <c r="O10911" t="str">
        <f>LEFT(Table2[[#This Row],[Description]],75)</f>
        <v>Clayton Hotel Cork Ecork City</v>
      </c>
    </row>
    <row r="10912" spans="1:15" hidden="1">
      <c r="A10912">
        <v>202401</v>
      </c>
      <c r="B10912" s="6">
        <v>45321</v>
      </c>
      <c r="C10912" t="s">
        <v>4137</v>
      </c>
      <c r="D10912" t="s">
        <v>38</v>
      </c>
      <c r="E10912">
        <v>101.63</v>
      </c>
      <c r="F10912" s="2" t="str">
        <f>IF(Table2[[#This Row],[Manual Cat Value]]="",VLOOKUP(Table2[[#This Row],[Description]],'Actuals Lookup'!D:F,3,0),VLOOKUP(Table2[[#This Row],[Manual Cat Value]],Lookup!A:B,2,0))</f>
        <v>Amazon</v>
      </c>
      <c r="H10912" s="8" t="s">
        <v>37</v>
      </c>
      <c r="I10912" s="8"/>
      <c r="O10912" t="str">
        <f>LEFT(Table2[[#This Row],[Description]],75)</f>
        <v>Amazon</v>
      </c>
    </row>
    <row r="10913" spans="1:15" hidden="1">
      <c r="A10913">
        <v>202401</v>
      </c>
      <c r="B10913" s="6">
        <v>45321</v>
      </c>
      <c r="C10913" t="s">
        <v>2519</v>
      </c>
      <c r="D10913" t="s">
        <v>4470</v>
      </c>
      <c r="E10913">
        <v>-49.97</v>
      </c>
      <c r="F10913" s="2" t="str">
        <f>IF(Table2[[#This Row],[Manual Cat Value]]="",VLOOKUP(Table2[[#This Row],[Description]],'Actuals Lookup'!D:F,3,0),VLOOKUP(Table2[[#This Row],[Manual Cat Value]],Lookup!A:B,2,0))</f>
        <v>Healthcare</v>
      </c>
      <c r="H10913" s="8" t="s">
        <v>47</v>
      </c>
      <c r="I10913" s="8"/>
      <c r="O10913" t="str">
        <f>LEFT(Table2[[#This Row],[Description]],75)</f>
        <v>Connectyourcare Deposit</v>
      </c>
    </row>
    <row r="10914" spans="1:15" hidden="1">
      <c r="A10914">
        <v>202401</v>
      </c>
      <c r="B10914" s="6">
        <v>45321</v>
      </c>
      <c r="C10914" t="s">
        <v>4135</v>
      </c>
      <c r="D10914" t="s">
        <v>5217</v>
      </c>
      <c r="E10914">
        <v>1.5</v>
      </c>
      <c r="F10914" s="2" t="str">
        <f>IF(Table2[[#This Row],[Manual Cat Value]]="",VLOOKUP(Table2[[#This Row],[Description]],'Actuals Lookup'!D:F,3,0),VLOOKUP(Table2[[#This Row],[Manual Cat Value]],Lookup!A:B,2,0))</f>
        <v>Restaurants</v>
      </c>
      <c r="H10914" s="8" t="s">
        <v>25</v>
      </c>
      <c r="I10914" s="8"/>
      <c r="O10914" t="str">
        <f>LEFT(Table2[[#This Row],[Description]],75)</f>
        <v>ONSTREET XX7275 MN REF #XX8930DD0DA5TAR1</v>
      </c>
    </row>
    <row r="10915" spans="1:15" hidden="1">
      <c r="A10915">
        <v>202401</v>
      </c>
      <c r="B10915" s="6">
        <v>45321</v>
      </c>
      <c r="C10915" t="s">
        <v>2519</v>
      </c>
      <c r="D10915" t="s">
        <v>4343</v>
      </c>
      <c r="E10915">
        <v>-3251.22</v>
      </c>
      <c r="F10915" s="2" t="str">
        <f>IF(Table2[[#This Row],[Manual Cat Value]]="",VLOOKUP(Table2[[#This Row],[Description]],'Actuals Lookup'!D:F,3,0),VLOOKUP(Table2[[#This Row],[Manual Cat Value]],Lookup!A:B,2,0))</f>
        <v>Jeff</v>
      </c>
      <c r="H10915" s="8" t="s">
        <v>63</v>
      </c>
      <c r="I10915" s="8"/>
      <c r="O10915" t="str">
        <f>LEFT(Table2[[#This Row],[Description]],75)</f>
        <v>Salary/Regular Income from TriNet</v>
      </c>
    </row>
    <row r="10916" spans="1:15" hidden="1">
      <c r="A10916">
        <v>202401</v>
      </c>
      <c r="B10916" s="6">
        <v>45321</v>
      </c>
      <c r="C10916" t="s">
        <v>2519</v>
      </c>
      <c r="D10916" t="s">
        <v>5196</v>
      </c>
      <c r="E10916">
        <v>7.0000000000000007E-2</v>
      </c>
      <c r="F10916" s="2" t="str">
        <f>IF(Table2[[#This Row],[Manual Cat Value]]="",VLOOKUP(Table2[[#This Row],[Description]],'Actuals Lookup'!D:F,3,0),VLOOKUP(Table2[[#This Row],[Manual Cat Value]],Lookup!A:B,2,0))</f>
        <v>Misc</v>
      </c>
      <c r="H10916" s="8" t="s">
        <v>46</v>
      </c>
      <c r="I10916" s="8"/>
      <c r="O10916" t="str">
        <f>LEFT(Table2[[#This Row],[Description]],75)</f>
        <v>Withdrawal Fee VISA INTERNATIONAL SERVICE ASSESSMENT Date</v>
      </c>
    </row>
    <row r="10917" spans="1:15" hidden="1">
      <c r="A10917">
        <v>202401</v>
      </c>
      <c r="B10917" s="6">
        <v>45321</v>
      </c>
      <c r="C10917" t="s">
        <v>2519</v>
      </c>
      <c r="D10917" t="s">
        <v>5218</v>
      </c>
      <c r="E10917">
        <v>7.08</v>
      </c>
      <c r="F10917" s="2" t="str">
        <f>IF(Table2[[#This Row],[Manual Cat Value]]="",VLOOKUP(Table2[[#This Row],[Description]],'Actuals Lookup'!D:F,3,0),VLOOKUP(Table2[[#This Row],[Manual Cat Value]],Lookup!A:B,2,0))</f>
        <v>Travel</v>
      </c>
      <c r="H10917" s="8" t="s">
        <v>52</v>
      </c>
      <c r="I10917" s="8"/>
      <c r="O10917" t="str">
        <f>LEFT(Table2[[#This Row],[Description]],75)</f>
        <v>Withdrawal SUBRALOTT MUENCHEN FLUG DF Date XX 5812</v>
      </c>
    </row>
    <row r="10918" spans="1:15" hidden="1">
      <c r="A10918">
        <v>202401</v>
      </c>
      <c r="B10918" s="6">
        <v>45322</v>
      </c>
      <c r="C10918" t="s">
        <v>2519</v>
      </c>
      <c r="D10918" t="s">
        <v>4470</v>
      </c>
      <c r="E10918">
        <v>-9.1999999999999993</v>
      </c>
      <c r="F10918" s="2" t="str">
        <f>IF(Table2[[#This Row],[Manual Cat Value]]="",VLOOKUP(Table2[[#This Row],[Description]],'Actuals Lookup'!D:F,3,0),VLOOKUP(Table2[[#This Row],[Manual Cat Value]],Lookup!A:B,2,0))</f>
        <v>Healthcare</v>
      </c>
      <c r="H10918" s="8" t="s">
        <v>47</v>
      </c>
      <c r="I10918" s="8"/>
      <c r="O10918" t="str">
        <f>LEFT(Table2[[#This Row],[Description]],75)</f>
        <v>Connectyourcare Deposit</v>
      </c>
    </row>
    <row r="10919" spans="1:15" hidden="1">
      <c r="A10919">
        <v>202401</v>
      </c>
      <c r="B10919" s="6">
        <v>45322</v>
      </c>
      <c r="C10919" t="s">
        <v>5013</v>
      </c>
      <c r="D10919" t="s">
        <v>684</v>
      </c>
      <c r="E10919">
        <v>27.08</v>
      </c>
      <c r="F10919" s="2" t="str">
        <f>IF(Table2[[#This Row],[Manual Cat Value]]="",VLOOKUP(Table2[[#This Row],[Description]],'Actuals Lookup'!D:F,3,0),VLOOKUP(Table2[[#This Row],[Manual Cat Value]],Lookup!A:B,2,0))</f>
        <v>Groceries</v>
      </c>
      <c r="G10919" t="s">
        <v>28</v>
      </c>
      <c r="I10919" s="8"/>
      <c r="O10919" t="str">
        <f>LEFT(Table2[[#This Row],[Description]],75)</f>
        <v>Cub Foods</v>
      </c>
    </row>
    <row r="10920" spans="1:15" hidden="1">
      <c r="A10920">
        <v>202401</v>
      </c>
      <c r="B10920" s="6">
        <v>45322</v>
      </c>
      <c r="C10920" t="s">
        <v>2519</v>
      </c>
      <c r="D10920" t="s">
        <v>5219</v>
      </c>
      <c r="E10920">
        <v>-50.08</v>
      </c>
      <c r="F10920" s="2" t="str">
        <f>IF(Table2[[#This Row],[Manual Cat Value]]="",VLOOKUP(Table2[[#This Row],[Description]],'Actuals Lookup'!D:F,3,0),VLOOKUP(Table2[[#This Row],[Manual Cat Value]],Lookup!A:B,2,0))</f>
        <v>Inc - Other</v>
      </c>
      <c r="H10920" s="8" t="s">
        <v>16</v>
      </c>
      <c r="I10920" s="8"/>
      <c r="O10920" t="str">
        <f>LEFT(Table2[[#This Row],[Description]],75)</f>
        <v>Deposit Dividend Split Rate Annual Percentage Yield Earned 2.71% from 01/01</v>
      </c>
    </row>
    <row r="10921" spans="1:15" hidden="1">
      <c r="A10921">
        <v>202401</v>
      </c>
      <c r="B10921" s="6">
        <v>45322</v>
      </c>
      <c r="C10921" t="s">
        <v>2519</v>
      </c>
      <c r="D10921" t="s">
        <v>5148</v>
      </c>
      <c r="E10921">
        <v>217.73</v>
      </c>
      <c r="F10921" s="2" t="str">
        <f>IF(Table2[[#This Row],[Manual Cat Value]]="",VLOOKUP(Table2[[#This Row],[Description]],'Actuals Lookup'!D:F,3,0),VLOOKUP(Table2[[#This Row],[Manual Cat Value]],Lookup!A:B,2,0))</f>
        <v>Utilities</v>
      </c>
      <c r="H10921" s="8" t="s">
        <v>6</v>
      </c>
      <c r="I10921" s="8"/>
      <c r="O10921" t="str">
        <f>LEFT(Table2[[#This Row],[Description]],75)</f>
        <v>Payment to AT&amp;T</v>
      </c>
    </row>
    <row r="10922" spans="1:15" hidden="1">
      <c r="A10922">
        <v>202401</v>
      </c>
      <c r="B10922" s="6">
        <v>45322</v>
      </c>
      <c r="C10922" t="s">
        <v>2519</v>
      </c>
      <c r="D10922" t="s">
        <v>1955</v>
      </c>
      <c r="E10922">
        <v>38</v>
      </c>
      <c r="F10922" s="2" t="str">
        <f>IF(Table2[[#This Row],[Manual Cat Value]]="",VLOOKUP(Table2[[#This Row],[Description]],'Actuals Lookup'!D:F,3,0),VLOOKUP(Table2[[#This Row],[Manual Cat Value]],Lookup!A:B,2,0))</f>
        <v>Shopping</v>
      </c>
      <c r="H10922" s="8" t="s">
        <v>36</v>
      </c>
      <c r="I10922" s="8"/>
      <c r="O10922" t="str">
        <f>LEFT(Table2[[#This Row],[Description]],75)</f>
        <v>Transfer to PayPal</v>
      </c>
    </row>
    <row r="10923" spans="1:15" hidden="1">
      <c r="A10923">
        <v>202401</v>
      </c>
      <c r="B10923" s="6">
        <v>45322</v>
      </c>
      <c r="C10923" t="s">
        <v>2519</v>
      </c>
      <c r="D10923" t="s">
        <v>5220</v>
      </c>
      <c r="E10923" s="46">
        <v>346</v>
      </c>
      <c r="F10923" s="2" t="str">
        <f>IF(Table2[[#This Row],[Manual Cat Value]]="",VLOOKUP(Table2[[#This Row],[Description]],'Actuals Lookup'!D:F,3,0),VLOOKUP(Table2[[#This Row],[Manual Cat Value]],Lookup!A:B,2,0))</f>
        <v>Day Care</v>
      </c>
      <c r="H10923" s="8" t="s">
        <v>19</v>
      </c>
      <c r="I10923" s="8"/>
      <c r="O10923" t="str">
        <f>LEFT(Table2[[#This Row],[Description]],75)</f>
        <v>Withdrawal ACH MHCHILDCARELLC TYPE: DUES ID: XX8198 CO: MHCHILDCARELLC Entr</v>
      </c>
    </row>
    <row r="10924" spans="1:15" hidden="1">
      <c r="A10924">
        <v>202402</v>
      </c>
      <c r="B10924" s="6">
        <v>45323</v>
      </c>
      <c r="C10924" t="s">
        <v>4145</v>
      </c>
      <c r="D10924" t="s">
        <v>5221</v>
      </c>
      <c r="E10924">
        <v>6.49</v>
      </c>
      <c r="F10924" s="2" t="str">
        <f>IF(Table2[[#This Row],[Manual Cat Value]]="",VLOOKUP(Table2[[#This Row],[Description]],'Actuals Lookup'!D:F,3,0),VLOOKUP(Table2[[#This Row],[Manual Cat Value]],Lookup!A:B,2,0))</f>
        <v>Amazon</v>
      </c>
      <c r="H10924" s="8" t="s">
        <v>37</v>
      </c>
      <c r="I10924" s="8"/>
      <c r="O10924" t="str">
        <f>LEFT(Table2[[#This Row],[Description]],75)</f>
        <v>Amazon Music*R03ZL0R51 XX-3080 WA REF #XX9216DF33Q6P583</v>
      </c>
    </row>
    <row r="10925" spans="1:15" hidden="1">
      <c r="A10925">
        <v>202402</v>
      </c>
      <c r="B10925" s="6">
        <v>45323</v>
      </c>
      <c r="C10925" t="s">
        <v>2519</v>
      </c>
      <c r="D10925" t="s">
        <v>404</v>
      </c>
      <c r="E10925">
        <v>-2697.11</v>
      </c>
      <c r="F10925" s="2" t="str">
        <f>IF(Table2[[#This Row],[Manual Cat Value]]="",VLOOKUP(Table2[[#This Row],[Description]],'Actuals Lookup'!D:F,3,0),VLOOKUP(Table2[[#This Row],[Manual Cat Value]],Lookup!A:B,2,0))</f>
        <v>Britney</v>
      </c>
      <c r="H10925" s="8" t="s">
        <v>65</v>
      </c>
      <c r="I10925" s="8"/>
      <c r="O10925" t="str">
        <f>LEFT(Table2[[#This Row],[Description]],75)</f>
        <v>Cargill Inc Deposit</v>
      </c>
    </row>
    <row r="10926" spans="1:15" hidden="1">
      <c r="A10926">
        <v>202402</v>
      </c>
      <c r="B10926" s="6">
        <v>45323</v>
      </c>
      <c r="C10926" t="s">
        <v>5143</v>
      </c>
      <c r="D10926" t="s">
        <v>14</v>
      </c>
      <c r="E10926">
        <f>125*2</f>
        <v>250</v>
      </c>
      <c r="F10926" s="2" t="str">
        <f>IF(Table2[[#This Row],[Manual Cat Value]]="",VLOOKUP(Table2[[#This Row],[Description]],'Actuals Lookup'!D:F,3,0),VLOOKUP(Table2[[#This Row],[Manual Cat Value]],Lookup!A:B,2,0))</f>
        <v>Cleaning</v>
      </c>
      <c r="H10926" s="8" t="s">
        <v>13</v>
      </c>
      <c r="I10926" s="8"/>
      <c r="O10926" t="str">
        <f>LEFT(Table2[[#This Row],[Description]],75)</f>
        <v>Cleaning</v>
      </c>
    </row>
    <row r="10927" spans="1:15" hidden="1">
      <c r="A10927">
        <v>202402</v>
      </c>
      <c r="B10927" s="6">
        <v>45323</v>
      </c>
      <c r="C10927" t="s">
        <v>5013</v>
      </c>
      <c r="D10927" t="s">
        <v>5222</v>
      </c>
      <c r="E10927">
        <v>24.52</v>
      </c>
      <c r="F10927" s="2" t="str">
        <f>IF(Table2[[#This Row],[Manual Cat Value]]="",VLOOKUP(Table2[[#This Row],[Description]],'Actuals Lookup'!D:F,3,0),VLOOKUP(Table2[[#This Row],[Manual Cat Value]],Lookup!A:B,2,0))</f>
        <v>Restaurants</v>
      </c>
      <c r="G10927" t="s">
        <v>26</v>
      </c>
      <c r="I10927" s="8"/>
      <c r="O10927" t="str">
        <f>LEFT(Table2[[#This Row],[Description]],75)</f>
        <v>El Sazon Cocina &amp; Trminneapolis Mn</v>
      </c>
    </row>
    <row r="10928" spans="1:15" hidden="1">
      <c r="A10928">
        <v>202402</v>
      </c>
      <c r="B10928" s="6">
        <v>45323</v>
      </c>
      <c r="C10928" t="s">
        <v>2519</v>
      </c>
      <c r="D10928" t="s">
        <v>1460</v>
      </c>
      <c r="E10928">
        <v>2741.74</v>
      </c>
      <c r="F10928" s="2" t="str">
        <f>IF(Table2[[#This Row],[Manual Cat Value]]="",VLOOKUP(Table2[[#This Row],[Description]],'Actuals Lookup'!D:F,3,0),VLOOKUP(Table2[[#This Row],[Manual Cat Value]],Lookup!A:B,2,0))</f>
        <v>Rent</v>
      </c>
      <c r="H10928" s="8" t="s">
        <v>4</v>
      </c>
      <c r="I10928" s="8"/>
      <c r="O10928" t="str">
        <f>LEFT(Table2[[#This Row],[Description]],75)</f>
        <v>Payment to Baxter Credit Union</v>
      </c>
    </row>
    <row r="10929" spans="1:15" hidden="1">
      <c r="A10929">
        <v>202402</v>
      </c>
      <c r="B10929" s="6">
        <v>45323</v>
      </c>
      <c r="C10929" t="s">
        <v>5013</v>
      </c>
      <c r="D10929" t="s">
        <v>1931</v>
      </c>
      <c r="E10929">
        <v>148.81</v>
      </c>
      <c r="F10929" s="2" t="str">
        <f>IF(Table2[[#This Row],[Manual Cat Value]]="",VLOOKUP(Table2[[#This Row],[Description]],'Actuals Lookup'!D:F,3,0),VLOOKUP(Table2[[#This Row],[Manual Cat Value]],Lookup!A:B,2,0))</f>
        <v>Groceries</v>
      </c>
      <c r="G10929" t="s">
        <v>28</v>
      </c>
      <c r="I10929" s="8"/>
      <c r="O10929" t="str">
        <f>LEFT(Table2[[#This Row],[Description]],75)</f>
        <v>Trader Joe's</v>
      </c>
    </row>
    <row r="10930" spans="1:15" hidden="1">
      <c r="A10930">
        <v>202402</v>
      </c>
      <c r="B10930" s="6">
        <v>45323</v>
      </c>
      <c r="C10930" t="s">
        <v>2519</v>
      </c>
      <c r="D10930" t="s">
        <v>4716</v>
      </c>
      <c r="E10930">
        <v>650</v>
      </c>
      <c r="F10930" s="2" t="str">
        <f>IF(Table2[[#This Row],[Manual Cat Value]]="",VLOOKUP(Table2[[#This Row],[Description]],'Actuals Lookup'!D:F,3,0),VLOOKUP(Table2[[#This Row],[Manual Cat Value]],Lookup!A:B,2,0))</f>
        <v>College Savings</v>
      </c>
      <c r="H10930" s="8" t="s">
        <v>60</v>
      </c>
      <c r="I10930" s="8"/>
      <c r="O10930" t="str">
        <f>LEFT(Table2[[#This Row],[Description]],75)</f>
        <v>Transfer to College Station</v>
      </c>
    </row>
    <row r="10931" spans="1:15" hidden="1">
      <c r="A10931">
        <v>202402</v>
      </c>
      <c r="B10931" s="6">
        <v>45323</v>
      </c>
      <c r="C10931" t="s">
        <v>5013</v>
      </c>
      <c r="D10931" t="s">
        <v>2094</v>
      </c>
      <c r="E10931" s="46">
        <v>35</v>
      </c>
      <c r="F10931" s="2" t="str">
        <f>IF(Table2[[#This Row],[Manual Cat Value]]="",VLOOKUP(Table2[[#This Row],[Description]],'Actuals Lookup'!D:F,3,0),VLOOKUP(Table2[[#This Row],[Manual Cat Value]],Lookup!A:B,2,0))</f>
        <v>Day Care</v>
      </c>
      <c r="G10931" t="s">
        <v>40</v>
      </c>
      <c r="H10931" s="8" t="s">
        <v>19</v>
      </c>
      <c r="I10931" s="8"/>
      <c r="O10931" t="str">
        <f>LEFT(Table2[[#This Row],[Description]],75)</f>
        <v>Us Lacrosse</v>
      </c>
    </row>
    <row r="10932" spans="1:15" hidden="1">
      <c r="A10932" s="25">
        <v>202408</v>
      </c>
      <c r="B10932" s="6">
        <v>45520</v>
      </c>
      <c r="C10932" t="s">
        <v>5160</v>
      </c>
      <c r="D10932" t="s">
        <v>4885</v>
      </c>
      <c r="E10932">
        <v>788.47</v>
      </c>
      <c r="F10932" s="2" t="str">
        <f>IF(Table2[[#This Row],[Manual Cat Value]]="",VLOOKUP(Table2[[#This Row],[Description]],'Actuals Lookup'!D:F,3,0),VLOOKUP(Table2[[#This Row],[Manual Cat Value]],Lookup!A:B,2,0))</f>
        <v>Delete</v>
      </c>
      <c r="G10932" t="s">
        <v>43</v>
      </c>
      <c r="H10932" s="8" t="s">
        <v>9</v>
      </c>
      <c r="I10932" s="8"/>
      <c r="O10932" t="str">
        <f>LEFT(Table2[[#This Row],[Description]],75)</f>
        <v>Clayton Hotel Cork Ecork City</v>
      </c>
    </row>
    <row r="10933" spans="1:15" hidden="1">
      <c r="A10933">
        <v>202402</v>
      </c>
      <c r="B10933" s="6">
        <v>45323</v>
      </c>
      <c r="C10933" t="s">
        <v>2519</v>
      </c>
      <c r="D10933" t="s">
        <v>5196</v>
      </c>
      <c r="E10933">
        <v>0.17</v>
      </c>
      <c r="F10933" s="2" t="str">
        <f>IF(Table2[[#This Row],[Manual Cat Value]]="",VLOOKUP(Table2[[#This Row],[Description]],'Actuals Lookup'!D:F,3,0),VLOOKUP(Table2[[#This Row],[Manual Cat Value]],Lookup!A:B,2,0))</f>
        <v>Shopping</v>
      </c>
      <c r="H10933" s="8" t="s">
        <v>36</v>
      </c>
      <c r="I10933" s="8"/>
      <c r="O10933" t="str">
        <f>LEFT(Table2[[#This Row],[Description]],75)</f>
        <v>Withdrawal Fee VISA INTERNATIONAL SERVICE ASSESSMENT Date</v>
      </c>
    </row>
    <row r="10934" spans="1:15" hidden="1">
      <c r="A10934">
        <v>202403</v>
      </c>
      <c r="B10934" s="6">
        <v>45368</v>
      </c>
      <c r="C10934" t="s">
        <v>2519</v>
      </c>
      <c r="D10934" t="s">
        <v>4470</v>
      </c>
      <c r="E10934">
        <v>-13.13</v>
      </c>
      <c r="F10934" s="2" t="str">
        <f>IF(Table2[[#This Row],[Manual Cat Value]]="",VLOOKUP(Table2[[#This Row],[Description]],'Actuals Lookup'!D:F,3,0),VLOOKUP(Table2[[#This Row],[Manual Cat Value]],Lookup!A:B,2,0))</f>
        <v>Delete</v>
      </c>
      <c r="I10934" s="8"/>
      <c r="O10934" t="str">
        <f>LEFT(Table2[[#This Row],[Description]],75)</f>
        <v>Connectyourcare Deposit</v>
      </c>
    </row>
    <row r="10935" spans="1:15" hidden="1">
      <c r="A10935">
        <v>202402</v>
      </c>
      <c r="B10935" s="6">
        <v>45324</v>
      </c>
      <c r="C10935" t="s">
        <v>4152</v>
      </c>
      <c r="D10935" t="s">
        <v>782</v>
      </c>
      <c r="E10935">
        <v>5.43</v>
      </c>
      <c r="F10935" s="2" t="str">
        <f>IF(Table2[[#This Row],[Manual Cat Value]]="",VLOOKUP(Table2[[#This Row],[Description]],'Actuals Lookup'!D:F,3,0),VLOOKUP(Table2[[#This Row],[Manual Cat Value]],Lookup!A:B,2,0))</f>
        <v>Shopping</v>
      </c>
      <c r="H10935" s="8" t="s">
        <v>36</v>
      </c>
      <c r="I10935" s="8"/>
      <c r="O10935" t="str">
        <f>LEFT(Table2[[#This Row],[Description]],75)</f>
        <v>Dollar Tree</v>
      </c>
    </row>
    <row r="10936" spans="1:15" hidden="1">
      <c r="A10936">
        <v>202402</v>
      </c>
      <c r="B10936" s="6">
        <v>45325</v>
      </c>
      <c r="C10936" t="s">
        <v>5013</v>
      </c>
      <c r="D10936" t="s">
        <v>4869</v>
      </c>
      <c r="E10936">
        <v>202.4</v>
      </c>
      <c r="F10936" s="2" t="str">
        <f>IF(Table2[[#This Row],[Manual Cat Value]]="",VLOOKUP(Table2[[#This Row],[Description]],'Actuals Lookup'!D:F,3,0),VLOOKUP(Table2[[#This Row],[Manual Cat Value]],Lookup!A:B,2,0))</f>
        <v>Shopping</v>
      </c>
      <c r="G10936" t="s">
        <v>40</v>
      </c>
      <c r="H10936" s="8" t="s">
        <v>36</v>
      </c>
      <c r="I10936" s="8"/>
      <c r="O10936" t="str">
        <f>LEFT(Table2[[#This Row],[Description]],75)</f>
        <v>Aplpay Runsignup*sigmoorestown Nj</v>
      </c>
    </row>
    <row r="10937" spans="1:15" hidden="1">
      <c r="A10937">
        <v>202402</v>
      </c>
      <c r="B10937" s="6">
        <v>45325</v>
      </c>
      <c r="C10937" t="s">
        <v>5013</v>
      </c>
      <c r="D10937" t="s">
        <v>5223</v>
      </c>
      <c r="E10937">
        <v>80</v>
      </c>
      <c r="F10937" s="2" t="str">
        <f>IF(Table2[[#This Row],[Manual Cat Value]]="",VLOOKUP(Table2[[#This Row],[Description]],'Actuals Lookup'!D:F,3,0),VLOOKUP(Table2[[#This Row],[Manual Cat Value]],Lookup!A:B,2,0))</f>
        <v>Shopping</v>
      </c>
      <c r="G10937" t="s">
        <v>21</v>
      </c>
      <c r="H10937" s="8" t="s">
        <v>36</v>
      </c>
      <c r="I10937" s="8"/>
      <c r="O10937" t="str">
        <f>LEFT(Table2[[#This Row],[Description]],75)</f>
        <v>Aplpay Spirit Gear Mexcelsior Mn</v>
      </c>
    </row>
    <row r="10938" spans="1:15" hidden="1">
      <c r="A10938">
        <v>202402</v>
      </c>
      <c r="B10938" s="6">
        <v>45325</v>
      </c>
      <c r="C10938" t="s">
        <v>5013</v>
      </c>
      <c r="D10938" t="s">
        <v>4663</v>
      </c>
      <c r="E10938">
        <v>58.88</v>
      </c>
      <c r="F10938" s="2" t="str">
        <f>IF(Table2[[#This Row],[Manual Cat Value]]="",VLOOKUP(Table2[[#This Row],[Description]],'Actuals Lookup'!D:F,3,0),VLOOKUP(Table2[[#This Row],[Manual Cat Value]],Lookup!A:B,2,0))</f>
        <v>Restaurants</v>
      </c>
      <c r="G10938" t="s">
        <v>26</v>
      </c>
      <c r="I10938" s="8"/>
      <c r="O10938" t="str">
        <f>LEFT(Table2[[#This Row],[Description]],75)</f>
        <v>Red Cow</v>
      </c>
    </row>
    <row r="10939" spans="1:15" hidden="1">
      <c r="A10939">
        <v>202402</v>
      </c>
      <c r="B10939" s="6">
        <v>45325</v>
      </c>
      <c r="C10939" t="s">
        <v>5013</v>
      </c>
      <c r="D10939" t="s">
        <v>4663</v>
      </c>
      <c r="E10939">
        <v>110.86</v>
      </c>
      <c r="F10939" s="2" t="str">
        <f>IF(Table2[[#This Row],[Manual Cat Value]]="",VLOOKUP(Table2[[#This Row],[Description]],'Actuals Lookup'!D:F,3,0),VLOOKUP(Table2[[#This Row],[Manual Cat Value]],Lookup!A:B,2,0))</f>
        <v>Restaurants</v>
      </c>
      <c r="G10939" t="s">
        <v>26</v>
      </c>
      <c r="H10939" s="8" t="s">
        <v>25</v>
      </c>
      <c r="I10939" s="8"/>
      <c r="O10939" t="str">
        <f>LEFT(Table2[[#This Row],[Description]],75)</f>
        <v>Red Cow</v>
      </c>
    </row>
    <row r="10940" spans="1:15" hidden="1">
      <c r="A10940">
        <v>202402</v>
      </c>
      <c r="B10940" s="6">
        <v>45326</v>
      </c>
      <c r="C10940" t="s">
        <v>2519</v>
      </c>
      <c r="D10940" t="s">
        <v>5161</v>
      </c>
      <c r="E10940">
        <v>150.63999999999999</v>
      </c>
      <c r="F10940" s="2" t="str">
        <f>IF(Table2[[#This Row],[Manual Cat Value]]="",VLOOKUP(Table2[[#This Row],[Description]],'Actuals Lookup'!D:F,3,0),VLOOKUP(Table2[[#This Row],[Manual Cat Value]],Lookup!A:B,2,0))</f>
        <v>Amazon</v>
      </c>
      <c r="H10940" s="8" t="s">
        <v>37</v>
      </c>
      <c r="I10940" s="8"/>
      <c r="O10940" t="str">
        <f>LEFT(Table2[[#This Row],[Description]],75)</f>
        <v>Payment to Amazon Prime</v>
      </c>
    </row>
    <row r="10941" spans="1:15" hidden="1">
      <c r="A10941">
        <v>202402</v>
      </c>
      <c r="B10941" s="6">
        <v>45326</v>
      </c>
      <c r="C10941" t="s">
        <v>5013</v>
      </c>
      <c r="D10941" t="s">
        <v>5224</v>
      </c>
      <c r="E10941">
        <v>720.33</v>
      </c>
      <c r="F10941" s="2" t="str">
        <f>IF(Table2[[#This Row],[Manual Cat Value]]="",VLOOKUP(Table2[[#This Row],[Description]],'Actuals Lookup'!D:F,3,0),VLOOKUP(Table2[[#This Row],[Manual Cat Value]],Lookup!A:B,2,0))</f>
        <v>House</v>
      </c>
      <c r="G10941" t="s">
        <v>35</v>
      </c>
      <c r="H10941" s="8" t="s">
        <v>49</v>
      </c>
      <c r="I10941" s="8"/>
      <c r="O10941" t="str">
        <f>LEFT(Table2[[#This Row],[Description]],75)</f>
        <v>Slatwallacc Xxxxxx6132 Fl</v>
      </c>
    </row>
    <row r="10942" spans="1:15" hidden="1">
      <c r="A10942">
        <v>202402</v>
      </c>
      <c r="B10942" s="6">
        <v>45326</v>
      </c>
      <c r="C10942" t="s">
        <v>5013</v>
      </c>
      <c r="D10942" t="s">
        <v>31</v>
      </c>
      <c r="E10942">
        <v>21.66</v>
      </c>
      <c r="F10942" s="2" t="str">
        <f>IF(Table2[[#This Row],[Manual Cat Value]]="",VLOOKUP(Table2[[#This Row],[Description]],'Actuals Lookup'!D:F,3,0),VLOOKUP(Table2[[#This Row],[Manual Cat Value]],Lookup!A:B,2,0))</f>
        <v>Target</v>
      </c>
      <c r="G10942" t="s">
        <v>31</v>
      </c>
      <c r="H10942" s="8" t="s">
        <v>30</v>
      </c>
      <c r="I10942" s="8"/>
      <c r="O10942" t="str">
        <f>LEFT(Table2[[#This Row],[Description]],75)</f>
        <v>Target</v>
      </c>
    </row>
    <row r="10943" spans="1:15" hidden="1">
      <c r="A10943">
        <v>202402</v>
      </c>
      <c r="B10943" s="6">
        <v>45326</v>
      </c>
      <c r="C10943" t="s">
        <v>5013</v>
      </c>
      <c r="D10943" t="s">
        <v>1849</v>
      </c>
      <c r="E10943">
        <v>-41.15</v>
      </c>
      <c r="F10943" s="2" t="str">
        <f>IF(Table2[[#This Row],[Manual Cat Value]]="",VLOOKUP(Table2[[#This Row],[Description]],'Actuals Lookup'!D:F,3,0),VLOOKUP(Table2[[#This Row],[Manual Cat Value]],Lookup!A:B,2,0))</f>
        <v>House Maintenance</v>
      </c>
      <c r="G10943" t="s">
        <v>2</v>
      </c>
      <c r="I10943" s="8"/>
      <c r="O10943" t="str">
        <f>LEFT(Table2[[#This Row],[Description]],75)</f>
        <v>The Home Depot</v>
      </c>
    </row>
    <row r="10944" spans="1:15" hidden="1">
      <c r="A10944">
        <v>202402</v>
      </c>
      <c r="B10944" s="6">
        <v>45327</v>
      </c>
      <c r="C10944" t="s">
        <v>5013</v>
      </c>
      <c r="D10944" t="s">
        <v>5225</v>
      </c>
      <c r="E10944">
        <v>20</v>
      </c>
      <c r="F10944" s="2" t="str">
        <f>IF(Table2[[#This Row],[Manual Cat Value]]="",VLOOKUP(Table2[[#This Row],[Description]],'Actuals Lookup'!D:F,3,0),VLOOKUP(Table2[[#This Row],[Manual Cat Value]],Lookup!A:B,2,0))</f>
        <v>Shopping</v>
      </c>
      <c r="G10944" t="s">
        <v>4745</v>
      </c>
      <c r="H10944" s="8" t="s">
        <v>36</v>
      </c>
      <c r="I10944" s="8"/>
      <c r="O10944" t="str">
        <f>LEFT(Table2[[#This Row],[Description]],75)</f>
        <v>Body Works</v>
      </c>
    </row>
    <row r="10945" spans="1:15" hidden="1">
      <c r="A10945">
        <v>202402</v>
      </c>
      <c r="B10945" s="6">
        <v>45327</v>
      </c>
      <c r="C10945" t="s">
        <v>2519</v>
      </c>
      <c r="D10945" t="s">
        <v>4642</v>
      </c>
      <c r="E10945">
        <v>13.5</v>
      </c>
      <c r="F10945" s="2" t="str">
        <f>IF(Table2[[#This Row],[Manual Cat Value]]="",VLOOKUP(Table2[[#This Row],[Description]],'Actuals Lookup'!D:F,3,0),VLOOKUP(Table2[[#This Row],[Manual Cat Value]],Lookup!A:B,2,0))</f>
        <v>Misc</v>
      </c>
      <c r="H10945" s="8" t="s">
        <v>46</v>
      </c>
      <c r="I10945" s="8"/>
      <c r="O10945" t="str">
        <f>LEFT(Table2[[#This Row],[Description]],75)</f>
        <v>Colorado Department of Motor Vehicles</v>
      </c>
    </row>
    <row r="10946" spans="1:15" hidden="1">
      <c r="A10946">
        <v>202402</v>
      </c>
      <c r="B10946" s="6">
        <v>45327</v>
      </c>
      <c r="C10946" t="s">
        <v>5013</v>
      </c>
      <c r="D10946" t="s">
        <v>945</v>
      </c>
      <c r="E10946">
        <v>43.35</v>
      </c>
      <c r="F10946" s="2" t="str">
        <f>IF(Table2[[#This Row],[Manual Cat Value]]="",VLOOKUP(Table2[[#This Row],[Description]],'Actuals Lookup'!D:F,3,0),VLOOKUP(Table2[[#This Row],[Manual Cat Value]],Lookup!A:B,2,0))</f>
        <v>Transportation</v>
      </c>
      <c r="G10946" t="s">
        <v>28</v>
      </c>
      <c r="H10946" s="8" t="s">
        <v>22</v>
      </c>
      <c r="I10946" s="8"/>
      <c r="O10946" t="str">
        <f>LEFT(Table2[[#This Row],[Description]],75)</f>
        <v>Holiday Stationstores</v>
      </c>
    </row>
    <row r="10947" spans="1:15" hidden="1">
      <c r="A10947">
        <v>202402</v>
      </c>
      <c r="B10947" s="6">
        <v>45327</v>
      </c>
      <c r="C10947" t="s">
        <v>5013</v>
      </c>
      <c r="D10947" t="s">
        <v>1925</v>
      </c>
      <c r="E10947">
        <v>49.85</v>
      </c>
      <c r="F10947" s="2" t="str">
        <f>IF(Table2[[#This Row],[Manual Cat Value]]="",VLOOKUP(Table2[[#This Row],[Description]],'Actuals Lookup'!D:F,3,0),VLOOKUP(Table2[[#This Row],[Manual Cat Value]],Lookup!A:B,2,0))</f>
        <v>Groceries</v>
      </c>
      <c r="G10947" t="s">
        <v>28</v>
      </c>
      <c r="I10947" s="8"/>
      <c r="O10947" t="str">
        <f>LEFT(Table2[[#This Row],[Description]],75)</f>
        <v>Total Wine &amp; More</v>
      </c>
    </row>
    <row r="10948" spans="1:15" hidden="1">
      <c r="A10948">
        <v>202402</v>
      </c>
      <c r="B10948" s="6">
        <v>45327</v>
      </c>
      <c r="C10948" t="s">
        <v>2519</v>
      </c>
      <c r="D10948" t="s">
        <v>1958</v>
      </c>
      <c r="E10948">
        <v>125</v>
      </c>
      <c r="F10948" s="2" t="str">
        <f>IF(Table2[[#This Row],[Manual Cat Value]]="",VLOOKUP(Table2[[#This Row],[Description]],'Actuals Lookup'!D:F,3,0),VLOOKUP(Table2[[#This Row],[Manual Cat Value]],Lookup!A:B,2,0))</f>
        <v>Shopping</v>
      </c>
      <c r="H10948" s="8" t="s">
        <v>36</v>
      </c>
      <c r="I10948" s="8"/>
      <c r="O10948" t="str">
        <f>LEFT(Table2[[#This Row],[Description]],75)</f>
        <v>Transfer to Venmo</v>
      </c>
    </row>
    <row r="10949" spans="1:15" hidden="1">
      <c r="A10949">
        <v>202402</v>
      </c>
      <c r="B10949" s="6">
        <v>45328</v>
      </c>
      <c r="C10949" t="s">
        <v>4143</v>
      </c>
      <c r="D10949" t="s">
        <v>5226</v>
      </c>
      <c r="E10949">
        <v>31.94</v>
      </c>
      <c r="F10949" s="2" t="str">
        <f>IF(Table2[[#This Row],[Manual Cat Value]]="",VLOOKUP(Table2[[#This Row],[Description]],'Actuals Lookup'!D:F,3,0),VLOOKUP(Table2[[#This Row],[Manual Cat Value]],Lookup!A:B,2,0))</f>
        <v>Amazon</v>
      </c>
      <c r="H10949" s="8" t="s">
        <v>37</v>
      </c>
      <c r="I10949" s="8"/>
      <c r="O10949" t="str">
        <f>LEFT(Table2[[#This Row],[Description]],75)</f>
        <v>AMZN Mktp US*RB5Y29EF0 Amzn.com/billWA REF #XX9216DL2XLL8Z0R</v>
      </c>
    </row>
    <row r="10950" spans="1:15" hidden="1">
      <c r="A10950">
        <v>202402</v>
      </c>
      <c r="B10950" s="6">
        <v>45328</v>
      </c>
      <c r="C10950" t="s">
        <v>5013</v>
      </c>
      <c r="D10950" t="s">
        <v>5227</v>
      </c>
      <c r="E10950">
        <v>87</v>
      </c>
      <c r="F10950" s="2" t="str">
        <f>IF(Table2[[#This Row],[Manual Cat Value]]="",VLOOKUP(Table2[[#This Row],[Description]],'Actuals Lookup'!D:F,3,0),VLOOKUP(Table2[[#This Row],[Manual Cat Value]],Lookup!A:B,2,0))</f>
        <v>Shopping</v>
      </c>
      <c r="G10950" t="s">
        <v>21</v>
      </c>
      <c r="H10950" s="8" t="s">
        <v>36</v>
      </c>
      <c r="I10950" s="8"/>
      <c r="O10950" t="str">
        <f>LEFT(Table2[[#This Row],[Description]],75)</f>
        <v>Aplpay Ls Primp Exceexcelsior Mn</v>
      </c>
    </row>
    <row r="10951" spans="1:15" hidden="1">
      <c r="A10951">
        <v>202402</v>
      </c>
      <c r="B10951" s="6">
        <v>45328</v>
      </c>
      <c r="C10951" t="s">
        <v>5013</v>
      </c>
      <c r="D10951" t="s">
        <v>5228</v>
      </c>
      <c r="E10951" s="46">
        <v>214.2</v>
      </c>
      <c r="F10951" s="2" t="str">
        <f>IF(Table2[[#This Row],[Manual Cat Value]]="",VLOOKUP(Table2[[#This Row],[Description]],'Actuals Lookup'!D:F,3,0),VLOOKUP(Table2[[#This Row],[Manual Cat Value]],Lookup!A:B,2,0))</f>
        <v>Day Care</v>
      </c>
      <c r="G10951" t="s">
        <v>21</v>
      </c>
      <c r="H10951" s="8" t="s">
        <v>19</v>
      </c>
      <c r="I10951" s="8"/>
      <c r="O10951" t="str">
        <f>LEFT(Table2[[#This Row],[Description]],75)</f>
        <v>La Senda Spanish Minnetonka Mn</v>
      </c>
    </row>
    <row r="10952" spans="1:15" hidden="1">
      <c r="A10952">
        <v>202402</v>
      </c>
      <c r="B10952" s="6">
        <v>45328</v>
      </c>
      <c r="C10952" t="s">
        <v>2519</v>
      </c>
      <c r="D10952" t="s">
        <v>1469</v>
      </c>
      <c r="E10952">
        <v>193.93</v>
      </c>
      <c r="F10952" s="2" t="str">
        <f>IF(Table2[[#This Row],[Manual Cat Value]]="",VLOOKUP(Table2[[#This Row],[Description]],'Actuals Lookup'!D:F,3,0),VLOOKUP(Table2[[#This Row],[Manual Cat Value]],Lookup!A:B,2,0))</f>
        <v>Utilities</v>
      </c>
      <c r="H10952" s="8" t="s">
        <v>6</v>
      </c>
      <c r="I10952" s="8"/>
      <c r="O10952" t="str">
        <f>LEFT(Table2[[#This Row],[Description]],75)</f>
        <v>Payment to Waste management</v>
      </c>
    </row>
    <row r="10953" spans="1:15" hidden="1">
      <c r="A10953">
        <v>202402</v>
      </c>
      <c r="B10953" s="6">
        <v>45328</v>
      </c>
      <c r="C10953" t="s">
        <v>2519</v>
      </c>
      <c r="D10953" t="s">
        <v>5229</v>
      </c>
      <c r="E10953" s="46">
        <v>346</v>
      </c>
      <c r="F10953" s="2" t="str">
        <f>IF(Table2[[#This Row],[Manual Cat Value]]="",VLOOKUP(Table2[[#This Row],[Description]],'Actuals Lookup'!D:F,3,0),VLOOKUP(Table2[[#This Row],[Manual Cat Value]],Lookup!A:B,2,0))</f>
        <v>Day Care</v>
      </c>
      <c r="H10953" s="8" t="s">
        <v>19</v>
      </c>
      <c r="I10953" s="8"/>
      <c r="O10953" t="str">
        <f>LEFT(Table2[[#This Row],[Description]],75)</f>
        <v>Withdrawal ACH MHCHILDCARELLC TYPE: DUES ID: XX8198 CO: MHCHILDCARELLC Entr</v>
      </c>
    </row>
    <row r="10954" spans="1:15" hidden="1">
      <c r="A10954">
        <v>202402</v>
      </c>
      <c r="B10954" s="6">
        <v>45329</v>
      </c>
      <c r="C10954" t="s">
        <v>4141</v>
      </c>
      <c r="D10954" t="s">
        <v>38</v>
      </c>
      <c r="E10954">
        <v>37.89</v>
      </c>
      <c r="F10954" s="2" t="str">
        <f>IF(Table2[[#This Row],[Manual Cat Value]]="",VLOOKUP(Table2[[#This Row],[Description]],'Actuals Lookup'!D:F,3,0),VLOOKUP(Table2[[#This Row],[Manual Cat Value]],Lookup!A:B,2,0))</f>
        <v>Amazon</v>
      </c>
      <c r="H10954" s="8" t="s">
        <v>37</v>
      </c>
      <c r="I10954" s="8"/>
      <c r="O10954" t="str">
        <f>LEFT(Table2[[#This Row],[Description]],75)</f>
        <v>Amazon</v>
      </c>
    </row>
    <row r="10955" spans="1:15" hidden="1">
      <c r="A10955">
        <v>202402</v>
      </c>
      <c r="B10955" s="6">
        <v>45329</v>
      </c>
      <c r="C10955" t="s">
        <v>5013</v>
      </c>
      <c r="D10955" t="s">
        <v>113</v>
      </c>
      <c r="E10955">
        <v>119.2</v>
      </c>
      <c r="F10955" s="2" t="str">
        <f>IF(Table2[[#This Row],[Manual Cat Value]]="",VLOOKUP(Table2[[#This Row],[Description]],'Actuals Lookup'!D:F,3,0),VLOOKUP(Table2[[#This Row],[Manual Cat Value]],Lookup!A:B,2,0))</f>
        <v>Amazon</v>
      </c>
      <c r="G10955" t="s">
        <v>38</v>
      </c>
      <c r="I10955" s="8"/>
      <c r="O10955" t="str">
        <f>LEFT(Table2[[#This Row],[Description]],75)</f>
        <v>Amazon Marketplace</v>
      </c>
    </row>
    <row r="10956" spans="1:15" hidden="1">
      <c r="A10956">
        <v>202402</v>
      </c>
      <c r="B10956" s="6">
        <v>45329</v>
      </c>
      <c r="C10956" t="s">
        <v>4156</v>
      </c>
      <c r="D10956" t="s">
        <v>5230</v>
      </c>
      <c r="E10956">
        <v>126.7</v>
      </c>
      <c r="F10956" s="2" t="str">
        <f>IF(Table2[[#This Row],[Manual Cat Value]]="",VLOOKUP(Table2[[#This Row],[Description]],'Actuals Lookup'!D:F,3,0),VLOOKUP(Table2[[#This Row],[Manual Cat Value]],Lookup!A:B,2,0))</f>
        <v>Amazon</v>
      </c>
      <c r="H10956" s="8" t="s">
        <v>37</v>
      </c>
      <c r="I10956" s="8"/>
      <c r="O10956" t="str">
        <f>LEFT(Table2[[#This Row],[Description]],75)</f>
        <v>AMZN Mktp US*RB2PP35N0 Amzn.com/billWA REF #XX9216DM2YLx2820</v>
      </c>
    </row>
    <row r="10957" spans="1:15" hidden="1">
      <c r="A10957">
        <v>202402</v>
      </c>
      <c r="B10957" s="6">
        <v>45329</v>
      </c>
      <c r="C10957" t="s">
        <v>4169</v>
      </c>
      <c r="D10957" t="s">
        <v>5231</v>
      </c>
      <c r="E10957">
        <v>49.74</v>
      </c>
      <c r="F10957" s="2" t="str">
        <f>IF(Table2[[#This Row],[Manual Cat Value]]="",VLOOKUP(Table2[[#This Row],[Description]],'Actuals Lookup'!D:F,3,0),VLOOKUP(Table2[[#This Row],[Manual Cat Value]],Lookup!A:B,2,0))</f>
        <v>Amazon</v>
      </c>
      <c r="H10957" s="8" t="s">
        <v>37</v>
      </c>
      <c r="I10957" s="8"/>
      <c r="O10957" t="str">
        <f>LEFT(Table2[[#This Row],[Description]],75)</f>
        <v>AMZN Mktp US*RB5DL9G60 Amzn.com/billWA REF #XX9216DM2Y3V933L</v>
      </c>
    </row>
    <row r="10958" spans="1:15" hidden="1">
      <c r="A10958">
        <v>202402</v>
      </c>
      <c r="B10958" s="6">
        <v>45329</v>
      </c>
      <c r="C10958" t="s">
        <v>4148</v>
      </c>
      <c r="D10958" t="s">
        <v>5232</v>
      </c>
      <c r="E10958">
        <v>30.15</v>
      </c>
      <c r="F10958" s="2" t="str">
        <f>IF(Table2[[#This Row],[Manual Cat Value]]="",VLOOKUP(Table2[[#This Row],[Description]],'Actuals Lookup'!D:F,3,0),VLOOKUP(Table2[[#This Row],[Manual Cat Value]],Lookup!A:B,2,0))</f>
        <v>Amazon</v>
      </c>
      <c r="H10958" s="8" t="s">
        <v>37</v>
      </c>
      <c r="I10958" s="8"/>
      <c r="O10958" t="str">
        <f>LEFT(Table2[[#This Row],[Description]],75)</f>
        <v>AMZN Mktp US*RXX9706U1 Amzn.com/billWA REF #XX9216DM2Y3L2N6E</v>
      </c>
    </row>
    <row r="10959" spans="1:15" hidden="1">
      <c r="A10959">
        <v>202402</v>
      </c>
      <c r="B10959" s="6">
        <v>45329</v>
      </c>
      <c r="C10959" t="s">
        <v>5013</v>
      </c>
      <c r="D10959" t="s">
        <v>4878</v>
      </c>
      <c r="E10959">
        <v>74.86</v>
      </c>
      <c r="F10959" s="2" t="str">
        <f>IF(Table2[[#This Row],[Manual Cat Value]]="",VLOOKUP(Table2[[#This Row],[Description]],'Actuals Lookup'!D:F,3,0),VLOOKUP(Table2[[#This Row],[Manual Cat Value]],Lookup!A:B,2,0))</f>
        <v>Restaurants</v>
      </c>
      <c r="G10959" t="s">
        <v>4840</v>
      </c>
      <c r="H10959" s="8" t="s">
        <v>25</v>
      </c>
      <c r="I10959" s="8"/>
      <c r="O10959" t="str">
        <f>LEFT(Table2[[#This Row],[Description]],75)</f>
        <v>Aplpay Shorewood Truexcelsior Mn</v>
      </c>
    </row>
    <row r="10960" spans="1:15" hidden="1">
      <c r="A10960">
        <v>202402</v>
      </c>
      <c r="B10960" s="6">
        <v>45329</v>
      </c>
      <c r="C10960" t="s">
        <v>5013</v>
      </c>
      <c r="D10960" t="s">
        <v>684</v>
      </c>
      <c r="E10960">
        <v>72.290000000000006</v>
      </c>
      <c r="F10960" s="2" t="str">
        <f>IF(Table2[[#This Row],[Manual Cat Value]]="",VLOOKUP(Table2[[#This Row],[Description]],'Actuals Lookup'!D:F,3,0),VLOOKUP(Table2[[#This Row],[Manual Cat Value]],Lookup!A:B,2,0))</f>
        <v>Groceries</v>
      </c>
      <c r="G10960" t="s">
        <v>28</v>
      </c>
      <c r="I10960" s="8"/>
      <c r="O10960" t="str">
        <f>LEFT(Table2[[#This Row],[Description]],75)</f>
        <v>Cub Foods</v>
      </c>
    </row>
    <row r="10961" spans="1:15" hidden="1">
      <c r="A10961">
        <v>202402</v>
      </c>
      <c r="B10961" s="6">
        <v>45329</v>
      </c>
      <c r="C10961" t="s">
        <v>4150</v>
      </c>
      <c r="D10961" t="s">
        <v>782</v>
      </c>
      <c r="E10961">
        <v>17.64</v>
      </c>
      <c r="F10961" s="2" t="str">
        <f>IF(Table2[[#This Row],[Manual Cat Value]]="",VLOOKUP(Table2[[#This Row],[Description]],'Actuals Lookup'!D:F,3,0),VLOOKUP(Table2[[#This Row],[Manual Cat Value]],Lookup!A:B,2,0))</f>
        <v>Shopping</v>
      </c>
      <c r="H10961" s="8" t="s">
        <v>36</v>
      </c>
      <c r="I10961" s="8"/>
      <c r="O10961" t="str">
        <f>LEFT(Table2[[#This Row],[Description]],75)</f>
        <v>Dollar Tree</v>
      </c>
    </row>
    <row r="10962" spans="1:15" hidden="1">
      <c r="A10962">
        <v>202402</v>
      </c>
      <c r="B10962" s="6">
        <v>45329</v>
      </c>
      <c r="C10962" t="s">
        <v>5013</v>
      </c>
      <c r="D10962" t="s">
        <v>5233</v>
      </c>
      <c r="E10962" s="46">
        <v>61</v>
      </c>
      <c r="F10962" s="2" t="str">
        <f>IF(Table2[[#This Row],[Manual Cat Value]]="",VLOOKUP(Table2[[#This Row],[Description]],'Actuals Lookup'!D:F,3,0),VLOOKUP(Table2[[#This Row],[Manual Cat Value]],Lookup!A:B,2,0))</f>
        <v>Day Care</v>
      </c>
      <c r="G10962" t="s">
        <v>4745</v>
      </c>
      <c r="H10962" s="8" t="s">
        <v>19</v>
      </c>
      <c r="I10962" s="8"/>
      <c r="O10962" t="str">
        <f>LEFT(Table2[[#This Row],[Description]],75)</f>
        <v>Kids' Hair Llc Edina Mn</v>
      </c>
    </row>
    <row r="10963" spans="1:15" hidden="1">
      <c r="A10963">
        <v>202402</v>
      </c>
      <c r="B10963" s="6">
        <v>45329</v>
      </c>
      <c r="C10963" t="s">
        <v>3932</v>
      </c>
      <c r="D10963" t="s">
        <v>5234</v>
      </c>
      <c r="E10963" s="46">
        <v>155.75</v>
      </c>
      <c r="F10963" s="2" t="str">
        <f>IF(Table2[[#This Row],[Manual Cat Value]]="",VLOOKUP(Table2[[#This Row],[Description]],'Actuals Lookup'!D:F,3,0),VLOOKUP(Table2[[#This Row],[Manual Cat Value]],Lookup!A:B,2,0))</f>
        <v>Day Care</v>
      </c>
      <c r="G10963" t="s">
        <v>43</v>
      </c>
      <c r="H10963" s="8" t="s">
        <v>19</v>
      </c>
      <c r="I10963" s="8"/>
      <c r="O10963" t="str">
        <f>LEFT(Table2[[#This Row],[Description]],75)</f>
        <v>Mtka Youth Lax Xxxxxx1035 Mn</v>
      </c>
    </row>
    <row r="10964" spans="1:15" hidden="1">
      <c r="A10964">
        <v>202402</v>
      </c>
      <c r="B10964" s="6">
        <v>45329</v>
      </c>
      <c r="C10964" t="s">
        <v>2519</v>
      </c>
      <c r="D10964" t="s">
        <v>1955</v>
      </c>
      <c r="E10964">
        <v>13.07</v>
      </c>
      <c r="F10964" s="2" t="str">
        <f>IF(Table2[[#This Row],[Manual Cat Value]]="",VLOOKUP(Table2[[#This Row],[Description]],'Actuals Lookup'!D:F,3,0),VLOOKUP(Table2[[#This Row],[Manual Cat Value]],Lookup!A:B,2,0))</f>
        <v>Shopping</v>
      </c>
      <c r="H10964" s="8" t="s">
        <v>36</v>
      </c>
      <c r="I10964" s="8"/>
      <c r="O10964" t="str">
        <f>LEFT(Table2[[#This Row],[Description]],75)</f>
        <v>Transfer to PayPal</v>
      </c>
    </row>
    <row r="10965" spans="1:15" hidden="1">
      <c r="A10965">
        <v>202402</v>
      </c>
      <c r="B10965" s="6">
        <v>45329</v>
      </c>
      <c r="C10965" t="s">
        <v>5013</v>
      </c>
      <c r="D10965" t="s">
        <v>2149</v>
      </c>
      <c r="E10965">
        <v>35.630000000000003</v>
      </c>
      <c r="F10965" s="2" t="str">
        <f>IF(Table2[[#This Row],[Manual Cat Value]]="",VLOOKUP(Table2[[#This Row],[Description]],'Actuals Lookup'!D:F,3,0),VLOOKUP(Table2[[#This Row],[Manual Cat Value]],Lookup!A:B,2,0))</f>
        <v>Restaurants</v>
      </c>
      <c r="G10965" t="s">
        <v>26</v>
      </c>
      <c r="I10965" s="8"/>
      <c r="O10965" t="str">
        <f>LEFT(Table2[[#This Row],[Description]],75)</f>
        <v>Wendy's</v>
      </c>
    </row>
    <row r="10966" spans="1:15" hidden="1">
      <c r="A10966">
        <v>202402</v>
      </c>
      <c r="B10966" s="6">
        <v>45330</v>
      </c>
      <c r="C10966" t="s">
        <v>3932</v>
      </c>
      <c r="D10966" t="s">
        <v>4079</v>
      </c>
      <c r="E10966">
        <v>-35.770000000000003</v>
      </c>
      <c r="F10966" s="2" t="str">
        <f>IF(Table2[[#This Row],[Manual Cat Value]]="",VLOOKUP(Table2[[#This Row],[Description]],'Actuals Lookup'!D:F,3,0),VLOOKUP(Table2[[#This Row],[Manual Cat Value]],Lookup!A:B,2,0))</f>
        <v>Dividend</v>
      </c>
      <c r="G10966" t="s">
        <v>55</v>
      </c>
      <c r="I10966" s="8"/>
      <c r="O10966" t="str">
        <f>LEFT(Table2[[#This Row],[Description]],75)</f>
        <v>Cashback Bonus Redemption Pymt/stmt Crdt</v>
      </c>
    </row>
    <row r="10967" spans="1:15" hidden="1">
      <c r="A10967">
        <v>202402</v>
      </c>
      <c r="B10967" s="6">
        <v>45330</v>
      </c>
      <c r="C10967" t="s">
        <v>4158</v>
      </c>
      <c r="D10967" t="s">
        <v>648</v>
      </c>
      <c r="E10967">
        <v>446.12</v>
      </c>
      <c r="F10967" s="2" t="str">
        <f>IF(Table2[[#This Row],[Manual Cat Value]]="",VLOOKUP(Table2[[#This Row],[Description]],'Actuals Lookup'!D:F,3,0),VLOOKUP(Table2[[#This Row],[Manual Cat Value]],Lookup!A:B,2,0))</f>
        <v>Groceries</v>
      </c>
      <c r="H10967" s="8" t="s">
        <v>27</v>
      </c>
      <c r="I10967" s="8"/>
      <c r="O10967" t="str">
        <f>LEFT(Table2[[#This Row],[Description]],75)</f>
        <v>Costco</v>
      </c>
    </row>
    <row r="10968" spans="1:15" hidden="1">
      <c r="A10968">
        <v>202402</v>
      </c>
      <c r="B10968" s="6">
        <v>45330</v>
      </c>
      <c r="C10968" t="s">
        <v>4160</v>
      </c>
      <c r="D10968" t="s">
        <v>4887</v>
      </c>
      <c r="E10968">
        <v>77.2</v>
      </c>
      <c r="F10968" s="2" t="str">
        <f>IF(Table2[[#This Row],[Manual Cat Value]]="",VLOOKUP(Table2[[#This Row],[Description]],'Actuals Lookup'!D:F,3,0),VLOOKUP(Table2[[#This Row],[Manual Cat Value]],Lookup!A:B,2,0))</f>
        <v>Transportation</v>
      </c>
      <c r="H10968" s="8" t="s">
        <v>22</v>
      </c>
      <c r="I10968" s="8"/>
      <c r="O10968" t="str">
        <f>LEFT(Table2[[#This Row],[Description]],75)</f>
        <v>Costco Gas Stations</v>
      </c>
    </row>
    <row r="10969" spans="1:15" hidden="1">
      <c r="A10969">
        <v>202402</v>
      </c>
      <c r="B10969" s="6">
        <v>45330</v>
      </c>
      <c r="C10969" t="s">
        <v>5013</v>
      </c>
      <c r="D10969" t="s">
        <v>5036</v>
      </c>
      <c r="E10969">
        <v>4</v>
      </c>
      <c r="F10969" s="2" t="str">
        <f>IF(Table2[[#This Row],[Manual Cat Value]]="",VLOOKUP(Table2[[#This Row],[Description]],'Actuals Lookup'!D:F,3,0),VLOOKUP(Table2[[#This Row],[Manual Cat Value]],Lookup!A:B,2,0))</f>
        <v>Utilities</v>
      </c>
      <c r="G10969" t="s">
        <v>62</v>
      </c>
      <c r="H10969" s="8" t="s">
        <v>6</v>
      </c>
      <c r="I10969" s="8"/>
      <c r="O10969" t="str">
        <f>LEFT(Table2[[#This Row],[Description]],75)</f>
        <v>Google *svcsgns.3349g.co/helppay# Ca</v>
      </c>
    </row>
    <row r="10970" spans="1:15" hidden="1">
      <c r="A10970">
        <v>202403</v>
      </c>
      <c r="B10970" s="6">
        <v>45371</v>
      </c>
      <c r="C10970" t="s">
        <v>2519</v>
      </c>
      <c r="D10970" t="s">
        <v>4470</v>
      </c>
      <c r="E10970">
        <v>-11.96</v>
      </c>
      <c r="F10970" s="2" t="str">
        <f>IF(Table2[[#This Row],[Manual Cat Value]]="",VLOOKUP(Table2[[#This Row],[Description]],'Actuals Lookup'!D:F,3,0),VLOOKUP(Table2[[#This Row],[Manual Cat Value]],Lookup!A:B,2,0))</f>
        <v>Delete</v>
      </c>
      <c r="I10970" s="8"/>
      <c r="O10970" t="str">
        <f>LEFT(Table2[[#This Row],[Description]],75)</f>
        <v>Connectyourcare Deposit</v>
      </c>
    </row>
    <row r="10971" spans="1:15" hidden="1">
      <c r="A10971">
        <v>202402</v>
      </c>
      <c r="B10971" s="6">
        <v>45330</v>
      </c>
      <c r="C10971" t="s">
        <v>2519</v>
      </c>
      <c r="D10971" t="s">
        <v>1470</v>
      </c>
      <c r="E10971">
        <v>163.75</v>
      </c>
      <c r="F10971" s="2" t="str">
        <f>IF(Table2[[#This Row],[Manual Cat Value]]="",VLOOKUP(Table2[[#This Row],[Description]],'Actuals Lookup'!D:F,3,0),VLOOKUP(Table2[[#This Row],[Manual Cat Value]],Lookup!A:B,2,0))</f>
        <v>Utilities</v>
      </c>
      <c r="H10971" s="8" t="s">
        <v>6</v>
      </c>
      <c r="I10971" s="8"/>
      <c r="O10971" t="str">
        <f>LEFT(Table2[[#This Row],[Description]],75)</f>
        <v>Payment to Xcel Energy</v>
      </c>
    </row>
    <row r="10972" spans="1:15" hidden="1">
      <c r="A10972">
        <v>202402</v>
      </c>
      <c r="B10972" s="6">
        <v>45330</v>
      </c>
      <c r="C10972" t="s">
        <v>2519</v>
      </c>
      <c r="D10972" t="s">
        <v>1958</v>
      </c>
      <c r="E10972">
        <v>75</v>
      </c>
      <c r="F10972" s="2" t="str">
        <f>IF(Table2[[#This Row],[Manual Cat Value]]="",VLOOKUP(Table2[[#This Row],[Description]],'Actuals Lookup'!D:F,3,0),VLOOKUP(Table2[[#This Row],[Manual Cat Value]],Lookup!A:B,2,0))</f>
        <v>Shopping</v>
      </c>
      <c r="H10972" s="8" t="s">
        <v>36</v>
      </c>
      <c r="I10972" s="8"/>
      <c r="O10972" t="str">
        <f>LEFT(Table2[[#This Row],[Description]],75)</f>
        <v>Transfer to Venmo</v>
      </c>
    </row>
    <row r="10973" spans="1:15" hidden="1">
      <c r="A10973">
        <v>202402</v>
      </c>
      <c r="B10973" s="6">
        <v>45331</v>
      </c>
      <c r="C10973" t="s">
        <v>5013</v>
      </c>
      <c r="D10973" t="s">
        <v>5235</v>
      </c>
      <c r="E10973">
        <v>33.83</v>
      </c>
      <c r="F10973" s="2" t="str">
        <f>IF(Table2[[#This Row],[Manual Cat Value]]="",VLOOKUP(Table2[[#This Row],[Description]],'Actuals Lookup'!D:F,3,0),VLOOKUP(Table2[[#This Row],[Manual Cat Value]],Lookup!A:B,2,0))</f>
        <v>Misc</v>
      </c>
      <c r="G10973" t="s">
        <v>5064</v>
      </c>
      <c r="H10973" s="8" t="s">
        <v>46</v>
      </c>
      <c r="I10973" s="8"/>
      <c r="O10973" t="str">
        <f>LEFT(Table2[[#This Row],[Description]],75)</f>
        <v>Allianz Global Assistance</v>
      </c>
    </row>
    <row r="10974" spans="1:15" hidden="1">
      <c r="A10974">
        <v>202402</v>
      </c>
      <c r="B10974" s="6">
        <v>45331</v>
      </c>
      <c r="C10974" t="s">
        <v>4174</v>
      </c>
      <c r="D10974" t="s">
        <v>5236</v>
      </c>
      <c r="E10974">
        <v>119.2</v>
      </c>
      <c r="F10974" s="2" t="str">
        <f>IF(Table2[[#This Row],[Manual Cat Value]]="",VLOOKUP(Table2[[#This Row],[Description]],'Actuals Lookup'!D:F,3,0),VLOOKUP(Table2[[#This Row],[Manual Cat Value]],Lookup!A:B,2,0))</f>
        <v>Amazon</v>
      </c>
      <c r="H10974" s="8" t="s">
        <v>37</v>
      </c>
      <c r="I10974" s="8"/>
      <c r="O10974" t="str">
        <f>LEFT(Table2[[#This Row],[Description]],75)</f>
        <v>AMZN Mktp US*R25GK3YV1 Amzn.com/billWA REF #XX9216DP2ZPJVXPQ</v>
      </c>
    </row>
    <row r="10975" spans="1:15" hidden="1">
      <c r="A10975">
        <v>202402</v>
      </c>
      <c r="B10975" s="6">
        <v>45331</v>
      </c>
      <c r="C10975" t="s">
        <v>4180</v>
      </c>
      <c r="D10975" t="s">
        <v>5237</v>
      </c>
      <c r="E10975">
        <v>57.35</v>
      </c>
      <c r="F10975" s="2" t="str">
        <f>IF(Table2[[#This Row],[Manual Cat Value]]="",VLOOKUP(Table2[[#This Row],[Description]],'Actuals Lookup'!D:F,3,0),VLOOKUP(Table2[[#This Row],[Manual Cat Value]],Lookup!A:B,2,0))</f>
        <v>Amazon</v>
      </c>
      <c r="H10975" s="8" t="s">
        <v>37</v>
      </c>
      <c r="I10975" s="8"/>
      <c r="O10975" t="str">
        <f>LEFT(Table2[[#This Row],[Description]],75)</f>
        <v>AMZN Mktp US*RB0WZ1MP2 Amzn.com/billWA REF #XX9216DR2XBJH34W</v>
      </c>
    </row>
    <row r="10976" spans="1:15" hidden="1">
      <c r="A10976">
        <v>202402</v>
      </c>
      <c r="B10976" s="6">
        <v>45331</v>
      </c>
      <c r="C10976" t="s">
        <v>4172</v>
      </c>
      <c r="D10976" t="s">
        <v>5238</v>
      </c>
      <c r="E10976">
        <v>119.2</v>
      </c>
      <c r="F10976" s="2" t="str">
        <f>IF(Table2[[#This Row],[Manual Cat Value]]="",VLOOKUP(Table2[[#This Row],[Description]],'Actuals Lookup'!D:F,3,0),VLOOKUP(Table2[[#This Row],[Manual Cat Value]],Lookup!A:B,2,0))</f>
        <v>Amazon</v>
      </c>
      <c r="H10976" s="8" t="s">
        <v>37</v>
      </c>
      <c r="I10976" s="8"/>
      <c r="O10976" t="str">
        <f>LEFT(Table2[[#This Row],[Description]],75)</f>
        <v>AMZN Mktp US*RB1C82KS0 Amzn.com/billWA REF #XX9216DP2ZPGGMT4</v>
      </c>
    </row>
    <row r="10977" spans="1:15" hidden="1">
      <c r="A10977">
        <v>202402</v>
      </c>
      <c r="B10977" s="6">
        <v>45331</v>
      </c>
      <c r="C10977" t="s">
        <v>4167</v>
      </c>
      <c r="D10977" t="s">
        <v>5239</v>
      </c>
      <c r="E10977">
        <v>15.16</v>
      </c>
      <c r="F10977" s="2" t="str">
        <f>IF(Table2[[#This Row],[Manual Cat Value]]="",VLOOKUP(Table2[[#This Row],[Description]],'Actuals Lookup'!D:F,3,0),VLOOKUP(Table2[[#This Row],[Manual Cat Value]],Lookup!A:B,2,0))</f>
        <v>Amazon</v>
      </c>
      <c r="H10977" s="8" t="s">
        <v>37</v>
      </c>
      <c r="I10977" s="8"/>
      <c r="O10977" t="str">
        <f>LEFT(Table2[[#This Row],[Description]],75)</f>
        <v>AMZN Mktp US*RB1ZI3V02 Amzn.com/billWA REF #XX9216DP2X5X03LQ</v>
      </c>
    </row>
    <row r="10978" spans="1:15" hidden="1">
      <c r="A10978">
        <v>202403</v>
      </c>
      <c r="B10978" s="6">
        <v>45378</v>
      </c>
      <c r="C10978" t="s">
        <v>2519</v>
      </c>
      <c r="D10978" t="s">
        <v>4470</v>
      </c>
      <c r="E10978">
        <v>-72.150000000000006</v>
      </c>
      <c r="F10978" s="2" t="str">
        <f>IF(Table2[[#This Row],[Manual Cat Value]]="",VLOOKUP(Table2[[#This Row],[Description]],'Actuals Lookup'!D:F,3,0),VLOOKUP(Table2[[#This Row],[Manual Cat Value]],Lookup!A:B,2,0))</f>
        <v>Delete</v>
      </c>
      <c r="I10978" s="8"/>
      <c r="O10978" t="str">
        <f>LEFT(Table2[[#This Row],[Description]],75)</f>
        <v>Connectyourcare Deposit</v>
      </c>
    </row>
    <row r="10979" spans="1:15" hidden="1">
      <c r="A10979">
        <v>202402</v>
      </c>
      <c r="B10979" s="6">
        <v>45331</v>
      </c>
      <c r="C10979" t="s">
        <v>4164</v>
      </c>
      <c r="D10979" t="s">
        <v>1477</v>
      </c>
      <c r="E10979">
        <v>47.69</v>
      </c>
      <c r="F10979" s="2" t="str">
        <f>IF(Table2[[#This Row],[Manual Cat Value]]="",VLOOKUP(Table2[[#This Row],[Description]],'Actuals Lookup'!D:F,3,0),VLOOKUP(Table2[[#This Row],[Manual Cat Value]],Lookup!A:B,2,0))</f>
        <v>Gym</v>
      </c>
      <c r="H10979" s="8" t="s">
        <v>33</v>
      </c>
      <c r="I10979" s="8"/>
      <c r="O10979" t="str">
        <f>LEFT(Table2[[#This Row],[Description]],75)</f>
        <v>Peloton Cycles</v>
      </c>
    </row>
    <row r="10980" spans="1:15" hidden="1">
      <c r="A10980">
        <v>202402</v>
      </c>
      <c r="B10980" s="6">
        <v>45331</v>
      </c>
      <c r="C10980" t="s">
        <v>2519</v>
      </c>
      <c r="D10980" t="s">
        <v>1955</v>
      </c>
      <c r="E10980">
        <v>7.62</v>
      </c>
      <c r="F10980" s="2" t="str">
        <f>IF(Table2[[#This Row],[Manual Cat Value]]="",VLOOKUP(Table2[[#This Row],[Description]],'Actuals Lookup'!D:F,3,0),VLOOKUP(Table2[[#This Row],[Manual Cat Value]],Lookup!A:B,2,0))</f>
        <v>Shopping</v>
      </c>
      <c r="H10980" s="8" t="s">
        <v>36</v>
      </c>
      <c r="I10980" s="8"/>
      <c r="O10980" t="str">
        <f>LEFT(Table2[[#This Row],[Description]],75)</f>
        <v>Transfer to PayPal</v>
      </c>
    </row>
    <row r="10981" spans="1:15" hidden="1">
      <c r="A10981">
        <v>202402</v>
      </c>
      <c r="B10981" s="6">
        <v>45331</v>
      </c>
      <c r="C10981" t="s">
        <v>2519</v>
      </c>
      <c r="D10981" t="s">
        <v>1958</v>
      </c>
      <c r="E10981">
        <v>22</v>
      </c>
      <c r="F10981" s="2" t="str">
        <f>IF(Table2[[#This Row],[Manual Cat Value]]="",VLOOKUP(Table2[[#This Row],[Description]],'Actuals Lookup'!D:F,3,0),VLOOKUP(Table2[[#This Row],[Manual Cat Value]],Lookup!A:B,2,0))</f>
        <v>Shopping</v>
      </c>
      <c r="H10981" s="8" t="s">
        <v>36</v>
      </c>
      <c r="I10981" s="8"/>
      <c r="O10981" t="str">
        <f>LEFT(Table2[[#This Row],[Description]],75)</f>
        <v>Transfer to Venmo</v>
      </c>
    </row>
    <row r="10982" spans="1:15" hidden="1">
      <c r="A10982">
        <v>202402</v>
      </c>
      <c r="B10982" s="6">
        <v>45331</v>
      </c>
      <c r="C10982" t="s">
        <v>5013</v>
      </c>
      <c r="D10982" t="s">
        <v>4965</v>
      </c>
      <c r="E10982">
        <v>44.39</v>
      </c>
      <c r="F10982" s="2" t="str">
        <f>IF(Table2[[#This Row],[Manual Cat Value]]="",VLOOKUP(Table2[[#This Row],[Description]],'Actuals Lookup'!D:F,3,0),VLOOKUP(Table2[[#This Row],[Manual Cat Value]],Lookup!A:B,2,0))</f>
        <v>Restaurants</v>
      </c>
      <c r="G10982" t="s">
        <v>26</v>
      </c>
      <c r="H10982" s="8" t="s">
        <v>25</v>
      </c>
      <c r="I10982" s="8"/>
      <c r="O10982" t="str">
        <f>LEFT(Table2[[#This Row],[Description]],75)</f>
        <v>Tst* Maynards Insideexcelsior Mn</v>
      </c>
    </row>
    <row r="10983" spans="1:15" hidden="1">
      <c r="A10983">
        <v>202402</v>
      </c>
      <c r="B10983" s="6">
        <v>45331</v>
      </c>
      <c r="C10983" t="s">
        <v>2519</v>
      </c>
      <c r="D10983" t="s">
        <v>5240</v>
      </c>
      <c r="E10983">
        <v>208.13</v>
      </c>
      <c r="F10983" s="2" t="str">
        <f>IF(Table2[[#This Row],[Manual Cat Value]]="",VLOOKUP(Table2[[#This Row],[Description]],'Actuals Lookup'!D:F,3,0),VLOOKUP(Table2[[#This Row],[Manual Cat Value]],Lookup!A:B,2,0))</f>
        <v>Utilities</v>
      </c>
      <c r="H10983" s="8" t="s">
        <v>6</v>
      </c>
      <c r="I10983" s="8"/>
      <c r="O10983" t="str">
        <f>LEFT(Table2[[#This Row],[Description]],75)</f>
        <v>Withdrawal ACH CPENERGY MNGCO TYPE: MGC ACH EB ID: 1XX1140S CO: CPENERGY MN</v>
      </c>
    </row>
    <row r="10984" spans="1:15" hidden="1">
      <c r="A10984">
        <v>202404</v>
      </c>
      <c r="B10984" s="6">
        <v>45391</v>
      </c>
      <c r="C10984" t="s">
        <v>2519</v>
      </c>
      <c r="D10984" t="s">
        <v>4470</v>
      </c>
      <c r="E10984">
        <v>-25.78</v>
      </c>
      <c r="F10984" s="2" t="str">
        <f>IF(Table2[[#This Row],[Manual Cat Value]]="",VLOOKUP(Table2[[#This Row],[Description]],'Actuals Lookup'!D:F,3,0),VLOOKUP(Table2[[#This Row],[Manual Cat Value]],Lookup!A:B,2,0))</f>
        <v>Delete</v>
      </c>
      <c r="I10984" s="8"/>
      <c r="O10984" t="str">
        <f>LEFT(Table2[[#This Row],[Description]],75)</f>
        <v>Connectyourcare Deposit</v>
      </c>
    </row>
    <row r="10985" spans="1:15" hidden="1">
      <c r="A10985">
        <v>202402</v>
      </c>
      <c r="B10985" s="6">
        <v>45332</v>
      </c>
      <c r="C10985" t="s">
        <v>5013</v>
      </c>
      <c r="D10985" t="s">
        <v>4093</v>
      </c>
      <c r="E10985">
        <v>40.21</v>
      </c>
      <c r="F10985" s="2" t="str">
        <f>IF(Table2[[#This Row],[Manual Cat Value]]="",VLOOKUP(Table2[[#This Row],[Description]],'Actuals Lookup'!D:F,3,0),VLOOKUP(Table2[[#This Row],[Manual Cat Value]],Lookup!A:B,2,0))</f>
        <v>Groceries</v>
      </c>
      <c r="G10985" t="s">
        <v>28</v>
      </c>
      <c r="H10985" s="8" t="s">
        <v>27</v>
      </c>
      <c r="I10985" s="8"/>
      <c r="O10985" t="str">
        <f>LEFT(Table2[[#This Row],[Description]],75)</f>
        <v>Kowalski's Market</v>
      </c>
    </row>
    <row r="10986" spans="1:15" hidden="1">
      <c r="A10986">
        <v>202402</v>
      </c>
      <c r="B10986" s="6">
        <v>45332</v>
      </c>
      <c r="C10986" t="s">
        <v>3932</v>
      </c>
      <c r="D10986" t="s">
        <v>5234</v>
      </c>
      <c r="E10986" s="46">
        <v>-50</v>
      </c>
      <c r="F10986" s="2" t="str">
        <f>IF(Table2[[#This Row],[Manual Cat Value]]="",VLOOKUP(Table2[[#This Row],[Description]],'Actuals Lookup'!D:F,3,0),VLOOKUP(Table2[[#This Row],[Manual Cat Value]],Lookup!A:B,2,0))</f>
        <v>Day Care</v>
      </c>
      <c r="G10986" t="s">
        <v>4722</v>
      </c>
      <c r="H10986" s="8" t="s">
        <v>19</v>
      </c>
      <c r="I10986" s="8"/>
      <c r="O10986" t="str">
        <f>LEFT(Table2[[#This Row],[Description]],75)</f>
        <v>Mtka Youth Lax Xxxxxx1035 Mn</v>
      </c>
    </row>
    <row r="10987" spans="1:15" hidden="1">
      <c r="A10987">
        <v>202402</v>
      </c>
      <c r="B10987" s="6">
        <v>45333</v>
      </c>
      <c r="C10987" t="s">
        <v>4188</v>
      </c>
      <c r="D10987" t="s">
        <v>5241</v>
      </c>
      <c r="E10987">
        <v>15.43</v>
      </c>
      <c r="F10987" s="2" t="str">
        <f>IF(Table2[[#This Row],[Manual Cat Value]]="",VLOOKUP(Table2[[#This Row],[Description]],'Actuals Lookup'!D:F,3,0),VLOOKUP(Table2[[#This Row],[Manual Cat Value]],Lookup!A:B,2,0))</f>
        <v>Amazon</v>
      </c>
      <c r="H10987" s="8" t="s">
        <v>37</v>
      </c>
      <c r="I10987" s="8"/>
      <c r="O10987" t="str">
        <f>LEFT(Table2[[#This Row],[Description]],75)</f>
        <v>AMZN Mktp US*RB44Q9A81 Amzn.com/billWA REF #XX9216DT2YVD8WZF</v>
      </c>
    </row>
    <row r="10988" spans="1:15" hidden="1">
      <c r="A10988">
        <v>202402</v>
      </c>
      <c r="B10988" s="6">
        <v>45333</v>
      </c>
      <c r="C10988" t="s">
        <v>4178</v>
      </c>
      <c r="D10988" t="s">
        <v>5242</v>
      </c>
      <c r="E10988">
        <v>21.66</v>
      </c>
      <c r="F10988" s="2" t="str">
        <f>IF(Table2[[#This Row],[Manual Cat Value]]="",VLOOKUP(Table2[[#This Row],[Description]],'Actuals Lookup'!D:F,3,0),VLOOKUP(Table2[[#This Row],[Manual Cat Value]],Lookup!A:B,2,0))</f>
        <v>Amazon</v>
      </c>
      <c r="H10988" s="8" t="s">
        <v>37</v>
      </c>
      <c r="I10988" s="8"/>
      <c r="O10988" t="str">
        <f>LEFT(Table2[[#This Row],[Description]],75)</f>
        <v>AMZN Mktp US*RB46K2DZ2 Amzn.com/billWA REF #XX9216DT2YGA3SBB</v>
      </c>
    </row>
    <row r="10989" spans="1:15" hidden="1">
      <c r="A10989">
        <v>202402</v>
      </c>
      <c r="B10989" s="6">
        <v>45333</v>
      </c>
      <c r="C10989" t="s">
        <v>5013</v>
      </c>
      <c r="D10989" t="s">
        <v>684</v>
      </c>
      <c r="E10989">
        <v>7.99</v>
      </c>
      <c r="F10989" s="2" t="str">
        <f>IF(Table2[[#This Row],[Manual Cat Value]]="",VLOOKUP(Table2[[#This Row],[Description]],'Actuals Lookup'!D:F,3,0),VLOOKUP(Table2[[#This Row],[Manual Cat Value]],Lookup!A:B,2,0))</f>
        <v>Groceries</v>
      </c>
      <c r="G10989" t="s">
        <v>28</v>
      </c>
      <c r="H10989" s="8" t="s">
        <v>27</v>
      </c>
      <c r="I10989" s="8"/>
      <c r="O10989" t="str">
        <f>LEFT(Table2[[#This Row],[Description]],75)</f>
        <v>Cub Foods</v>
      </c>
    </row>
    <row r="10990" spans="1:15" hidden="1">
      <c r="A10990">
        <v>202402</v>
      </c>
      <c r="B10990" s="6">
        <v>45333</v>
      </c>
      <c r="C10990" t="s">
        <v>4186</v>
      </c>
      <c r="D10990" t="s">
        <v>5243</v>
      </c>
      <c r="E10990">
        <v>146.58000000000001</v>
      </c>
      <c r="F10990" s="2" t="str">
        <f>IF(Table2[[#This Row],[Manual Cat Value]]="",VLOOKUP(Table2[[#This Row],[Description]],'Actuals Lookup'!D:F,3,0),VLOOKUP(Table2[[#This Row],[Manual Cat Value]],Lookup!A:B,2,0))</f>
        <v>Healthcare</v>
      </c>
      <c r="H10990" s="8" t="s">
        <v>47</v>
      </c>
      <c r="I10990" s="8"/>
      <c r="O10990" t="str">
        <f>LEFT(Table2[[#This Row],[Description]],75)</f>
        <v>LAKES DERMATOLOGY - BUSI BURNSVILLE MN REF #XX0197DRM4TYNFBH</v>
      </c>
    </row>
    <row r="10991" spans="1:15" hidden="1">
      <c r="A10991">
        <v>202402</v>
      </c>
      <c r="B10991" s="6">
        <v>45333</v>
      </c>
      <c r="C10991" t="s">
        <v>4176</v>
      </c>
      <c r="D10991" t="s">
        <v>1350</v>
      </c>
      <c r="E10991">
        <v>25.6</v>
      </c>
      <c r="F10991" s="2" t="str">
        <f>IF(Table2[[#This Row],[Manual Cat Value]]="",VLOOKUP(Table2[[#This Row],[Description]],'Actuals Lookup'!D:F,3,0),VLOOKUP(Table2[[#This Row],[Manual Cat Value]],Lookup!A:B,2,0))</f>
        <v>Utilities</v>
      </c>
      <c r="H10991" s="8" t="s">
        <v>6</v>
      </c>
      <c r="I10991" s="8"/>
      <c r="O10991" t="str">
        <f>LEFT(Table2[[#This Row],[Description]],75)</f>
        <v>Netflix</v>
      </c>
    </row>
    <row r="10992" spans="1:15" hidden="1">
      <c r="A10992">
        <v>202402</v>
      </c>
      <c r="B10992" s="6">
        <v>45333</v>
      </c>
      <c r="C10992" t="s">
        <v>5013</v>
      </c>
      <c r="D10992" t="s">
        <v>5244</v>
      </c>
      <c r="E10992">
        <v>56.36</v>
      </c>
      <c r="F10992" s="2" t="str">
        <f>IF(Table2[[#This Row],[Manual Cat Value]]="",VLOOKUP(Table2[[#This Row],[Description]],'Actuals Lookup'!D:F,3,0),VLOOKUP(Table2[[#This Row],[Manual Cat Value]],Lookup!A:B,2,0))</f>
        <v>Restaurants</v>
      </c>
      <c r="G10992" t="s">
        <v>26</v>
      </c>
      <c r="I10992" s="8"/>
      <c r="O10992" t="str">
        <f>LEFT(Table2[[#This Row],[Description]],75)</f>
        <v>Tequila Butcher</v>
      </c>
    </row>
    <row r="10993" spans="1:15" hidden="1">
      <c r="A10993">
        <v>202402</v>
      </c>
      <c r="B10993" s="6">
        <v>45334</v>
      </c>
      <c r="C10993" t="s">
        <v>5013</v>
      </c>
      <c r="D10993" t="s">
        <v>5245</v>
      </c>
      <c r="E10993">
        <v>185</v>
      </c>
      <c r="F10993" s="2" t="str">
        <f>IF(Table2[[#This Row],[Manual Cat Value]]="",VLOOKUP(Table2[[#This Row],[Description]],'Actuals Lookup'!D:F,3,0),VLOOKUP(Table2[[#This Row],[Manual Cat Value]],Lookup!A:B,2,0))</f>
        <v>Restaurants</v>
      </c>
      <c r="G10993" t="s">
        <v>40</v>
      </c>
      <c r="H10993" s="8" t="s">
        <v>25</v>
      </c>
      <c r="I10993" s="8"/>
      <c r="O10993" t="str">
        <f>LEFT(Table2[[#This Row],[Description]],75)</f>
        <v>Bcs*prior Lake-savagprior Lake Mn</v>
      </c>
    </row>
    <row r="10994" spans="1:15" hidden="1">
      <c r="A10994">
        <v>202402</v>
      </c>
      <c r="B10994" s="6">
        <v>45334</v>
      </c>
      <c r="C10994" t="s">
        <v>2519</v>
      </c>
      <c r="D10994" t="s">
        <v>4470</v>
      </c>
      <c r="E10994">
        <v>-146.58000000000001</v>
      </c>
      <c r="F10994" s="2" t="str">
        <f>IF(Table2[[#This Row],[Manual Cat Value]]="",VLOOKUP(Table2[[#This Row],[Description]],'Actuals Lookup'!D:F,3,0),VLOOKUP(Table2[[#This Row],[Manual Cat Value]],Lookup!A:B,2,0))</f>
        <v>Healthcare</v>
      </c>
      <c r="H10994" s="8" t="s">
        <v>47</v>
      </c>
      <c r="I10994" s="8"/>
      <c r="O10994" t="str">
        <f>LEFT(Table2[[#This Row],[Description]],75)</f>
        <v>Connectyourcare Deposit</v>
      </c>
    </row>
    <row r="10995" spans="1:15" hidden="1">
      <c r="A10995">
        <v>202402</v>
      </c>
      <c r="B10995" s="6">
        <v>45334</v>
      </c>
      <c r="C10995" t="s">
        <v>4192</v>
      </c>
      <c r="D10995" t="s">
        <v>4868</v>
      </c>
      <c r="E10995">
        <v>5.99</v>
      </c>
      <c r="F10995" s="2" t="str">
        <f>IF(Table2[[#This Row],[Manual Cat Value]]="",VLOOKUP(Table2[[#This Row],[Description]],'Actuals Lookup'!D:F,3,0),VLOOKUP(Table2[[#This Row],[Manual Cat Value]],Lookup!A:B,2,0))</f>
        <v>Entertainment</v>
      </c>
      <c r="H10995" s="8" t="s">
        <v>39</v>
      </c>
      <c r="I10995" s="8"/>
      <c r="O10995" t="str">
        <f>LEFT(Table2[[#This Row],[Description]],75)</f>
        <v>Hallmark Movies Now</v>
      </c>
    </row>
    <row r="10996" spans="1:15" hidden="1">
      <c r="A10996">
        <v>202402</v>
      </c>
      <c r="B10996" s="6">
        <v>45334</v>
      </c>
      <c r="C10996" t="s">
        <v>5013</v>
      </c>
      <c r="D10996" t="s">
        <v>5159</v>
      </c>
      <c r="E10996">
        <v>112.11</v>
      </c>
      <c r="F10996" s="2" t="str">
        <f>IF(Table2[[#This Row],[Manual Cat Value]]="",VLOOKUP(Table2[[#This Row],[Description]],'Actuals Lookup'!D:F,3,0),VLOOKUP(Table2[[#This Row],[Manual Cat Value]],Lookup!A:B,2,0))</f>
        <v>Healthcare</v>
      </c>
      <c r="G10996" t="s">
        <v>48</v>
      </c>
      <c r="I10996" s="8"/>
      <c r="O10996" t="str">
        <f>LEFT(Table2[[#This Row],[Description]],75)</f>
        <v>Minuteclinic</v>
      </c>
    </row>
    <row r="10997" spans="1:15" hidden="1">
      <c r="A10997">
        <v>202402</v>
      </c>
      <c r="B10997" s="6">
        <v>45334</v>
      </c>
      <c r="C10997" t="s">
        <v>5013</v>
      </c>
      <c r="D10997" t="s">
        <v>5159</v>
      </c>
      <c r="E10997">
        <v>130.63999999999999</v>
      </c>
      <c r="F10997" s="2" t="str">
        <f>IF(Table2[[#This Row],[Manual Cat Value]]="",VLOOKUP(Table2[[#This Row],[Description]],'Actuals Lookup'!D:F,3,0),VLOOKUP(Table2[[#This Row],[Manual Cat Value]],Lookup!A:B,2,0))</f>
        <v>Healthcare</v>
      </c>
      <c r="G10997" t="s">
        <v>48</v>
      </c>
      <c r="I10997" s="8"/>
      <c r="O10997" t="str">
        <f>LEFT(Table2[[#This Row],[Description]],75)</f>
        <v>Minuteclinic</v>
      </c>
    </row>
    <row r="10998" spans="1:15" hidden="1">
      <c r="A10998">
        <v>202402</v>
      </c>
      <c r="B10998" s="6">
        <v>45334</v>
      </c>
      <c r="C10998" t="s">
        <v>2519</v>
      </c>
      <c r="D10998" t="s">
        <v>1958</v>
      </c>
      <c r="E10998">
        <v>576</v>
      </c>
      <c r="F10998" s="2" t="str">
        <f>IF(Table2[[#This Row],[Manual Cat Value]]="",VLOOKUP(Table2[[#This Row],[Description]],'Actuals Lookup'!D:F,3,0),VLOOKUP(Table2[[#This Row],[Manual Cat Value]],Lookup!A:B,2,0))</f>
        <v>Shopping</v>
      </c>
      <c r="H10998" s="8" t="s">
        <v>36</v>
      </c>
      <c r="I10998" s="8"/>
      <c r="O10998" t="str">
        <f>LEFT(Table2[[#This Row],[Description]],75)</f>
        <v>Transfer to Venmo</v>
      </c>
    </row>
    <row r="10999" spans="1:15" hidden="1">
      <c r="A10999">
        <v>202402</v>
      </c>
      <c r="B10999" s="6">
        <v>45335</v>
      </c>
      <c r="C10999" t="s">
        <v>3932</v>
      </c>
      <c r="D10999" t="s">
        <v>38</v>
      </c>
      <c r="E10999">
        <v>25.1</v>
      </c>
      <c r="F10999" s="2" t="str">
        <f>IF(Table2[[#This Row],[Manual Cat Value]]="",VLOOKUP(Table2[[#This Row],[Description]],'Actuals Lookup'!D:F,3,0),VLOOKUP(Table2[[#This Row],[Manual Cat Value]],Lookup!A:B,2,0))</f>
        <v>Amazon</v>
      </c>
      <c r="G10999" t="s">
        <v>41</v>
      </c>
      <c r="H10999" s="8" t="s">
        <v>37</v>
      </c>
      <c r="I10999" s="8"/>
      <c r="O10999" t="str">
        <f>LEFT(Table2[[#This Row],[Description]],75)</f>
        <v>Amazon</v>
      </c>
    </row>
    <row r="11000" spans="1:15" hidden="1">
      <c r="A11000">
        <v>202402</v>
      </c>
      <c r="B11000" s="6">
        <v>45335</v>
      </c>
      <c r="C11000" t="s">
        <v>3932</v>
      </c>
      <c r="D11000" t="s">
        <v>38</v>
      </c>
      <c r="E11000">
        <v>650.24</v>
      </c>
      <c r="F11000" s="2" t="str">
        <f>IF(Table2[[#This Row],[Manual Cat Value]]="",VLOOKUP(Table2[[#This Row],[Description]],'Actuals Lookup'!D:F,3,0),VLOOKUP(Table2[[#This Row],[Manual Cat Value]],Lookup!A:B,2,0))</f>
        <v>Amazon</v>
      </c>
      <c r="G11000" t="s">
        <v>38</v>
      </c>
      <c r="H11000" s="8" t="s">
        <v>37</v>
      </c>
      <c r="I11000" s="8"/>
      <c r="O11000" t="str">
        <f>LEFT(Table2[[#This Row],[Description]],75)</f>
        <v>Amazon</v>
      </c>
    </row>
    <row r="11001" spans="1:15" hidden="1">
      <c r="A11001">
        <v>202402</v>
      </c>
      <c r="B11001" s="6">
        <v>45335</v>
      </c>
      <c r="C11001" t="s">
        <v>5013</v>
      </c>
      <c r="D11001" t="s">
        <v>5246</v>
      </c>
      <c r="E11001" s="46">
        <v>1332</v>
      </c>
      <c r="F11001" s="2" t="str">
        <f>IF(Table2[[#This Row],[Manual Cat Value]]="",VLOOKUP(Table2[[#This Row],[Description]],'Actuals Lookup'!D:F,3,0),VLOOKUP(Table2[[#This Row],[Manual Cat Value]],Lookup!A:B,2,0))</f>
        <v>Day Care</v>
      </c>
      <c r="G11001" t="s">
        <v>5108</v>
      </c>
      <c r="H11001" s="8" t="s">
        <v>19</v>
      </c>
      <c r="I11001" s="8"/>
      <c r="O11001" t="str">
        <f>LEFT(Table2[[#This Row],[Description]],75)</f>
        <v>Bcs*minnetonka Commuexcelsior Mn</v>
      </c>
    </row>
    <row r="11002" spans="1:15" hidden="1">
      <c r="A11002">
        <v>202402</v>
      </c>
      <c r="B11002" s="6">
        <v>45335</v>
      </c>
      <c r="C11002" t="s">
        <v>2519</v>
      </c>
      <c r="D11002" t="s">
        <v>4470</v>
      </c>
      <c r="E11002">
        <v>-112.11</v>
      </c>
      <c r="F11002" s="2" t="str">
        <f>IF(Table2[[#This Row],[Manual Cat Value]]="",VLOOKUP(Table2[[#This Row],[Description]],'Actuals Lookup'!D:F,3,0),VLOOKUP(Table2[[#This Row],[Manual Cat Value]],Lookup!A:B,2,0))</f>
        <v>Healthcare</v>
      </c>
      <c r="H11002" s="8" t="s">
        <v>47</v>
      </c>
      <c r="I11002" s="8"/>
      <c r="O11002" t="str">
        <f>LEFT(Table2[[#This Row],[Description]],75)</f>
        <v>Connectyourcare Deposit</v>
      </c>
    </row>
    <row r="11003" spans="1:15" hidden="1">
      <c r="A11003">
        <v>202402</v>
      </c>
      <c r="B11003" s="6">
        <v>45335</v>
      </c>
      <c r="C11003" t="s">
        <v>5013</v>
      </c>
      <c r="D11003" t="s">
        <v>5159</v>
      </c>
      <c r="E11003">
        <v>130.63999999999999</v>
      </c>
      <c r="F11003" s="2" t="str">
        <f>IF(Table2[[#This Row],[Manual Cat Value]]="",VLOOKUP(Table2[[#This Row],[Description]],'Actuals Lookup'!D:F,3,0),VLOOKUP(Table2[[#This Row],[Manual Cat Value]],Lookup!A:B,2,0))</f>
        <v>Healthcare</v>
      </c>
      <c r="G11003" t="s">
        <v>48</v>
      </c>
      <c r="I11003" s="8"/>
      <c r="O11003" t="str">
        <f>LEFT(Table2[[#This Row],[Description]],75)</f>
        <v>Minuteclinic</v>
      </c>
    </row>
    <row r="11004" spans="1:15" hidden="1">
      <c r="A11004">
        <v>202402</v>
      </c>
      <c r="B11004" s="6">
        <v>45335</v>
      </c>
      <c r="C11004" t="s">
        <v>4194</v>
      </c>
      <c r="D11004" t="s">
        <v>1462</v>
      </c>
      <c r="E11004">
        <v>45</v>
      </c>
      <c r="F11004" s="2" t="str">
        <f>IF(Table2[[#This Row],[Manual Cat Value]]="",VLOOKUP(Table2[[#This Row],[Description]],'Actuals Lookup'!D:F,3,0),VLOOKUP(Table2[[#This Row],[Manual Cat Value]],Lookup!A:B,2,0))</f>
        <v>Utilities</v>
      </c>
      <c r="H11004" s="8" t="s">
        <v>6</v>
      </c>
      <c r="I11004" s="8"/>
      <c r="O11004" t="str">
        <f>LEFT(Table2[[#This Row],[Description]],75)</f>
        <v>Payment to CenturyLink</v>
      </c>
    </row>
    <row r="11005" spans="1:15" hidden="1">
      <c r="A11005">
        <v>202402</v>
      </c>
      <c r="B11005" s="6">
        <v>45335</v>
      </c>
      <c r="C11005" t="s">
        <v>2519</v>
      </c>
      <c r="D11005" t="s">
        <v>4896</v>
      </c>
      <c r="E11005">
        <v>-600</v>
      </c>
      <c r="F11005" s="2" t="str">
        <f>IF(Table2[[#This Row],[Manual Cat Value]]="",VLOOKUP(Table2[[#This Row],[Description]],'Actuals Lookup'!D:F,3,0),VLOOKUP(Table2[[#This Row],[Manual Cat Value]],Lookup!A:B,2,0))</f>
        <v>Shopping</v>
      </c>
      <c r="H11005" s="8" t="s">
        <v>36</v>
      </c>
      <c r="I11005" s="8"/>
      <c r="O11005" t="str">
        <f>LEFT(Table2[[#This Row],[Description]],75)</f>
        <v>Transfer from Venmo</v>
      </c>
    </row>
    <row r="11006" spans="1:15" hidden="1">
      <c r="A11006">
        <v>202402</v>
      </c>
      <c r="B11006" s="6">
        <v>45335</v>
      </c>
      <c r="C11006" t="s">
        <v>2519</v>
      </c>
      <c r="D11006" t="s">
        <v>1958</v>
      </c>
      <c r="E11006">
        <v>5</v>
      </c>
      <c r="F11006" s="2" t="str">
        <f>IF(Table2[[#This Row],[Manual Cat Value]]="",VLOOKUP(Table2[[#This Row],[Description]],'Actuals Lookup'!D:F,3,0),VLOOKUP(Table2[[#This Row],[Manual Cat Value]],Lookup!A:B,2,0))</f>
        <v>Shopping</v>
      </c>
      <c r="H11006" s="8" t="s">
        <v>36</v>
      </c>
      <c r="I11006" s="8"/>
      <c r="O11006" t="str">
        <f>LEFT(Table2[[#This Row],[Description]],75)</f>
        <v>Transfer to Venmo</v>
      </c>
    </row>
    <row r="11007" spans="1:15" hidden="1">
      <c r="A11007">
        <v>202402</v>
      </c>
      <c r="B11007" s="6">
        <v>45335</v>
      </c>
      <c r="C11007" t="s">
        <v>2519</v>
      </c>
      <c r="D11007" t="s">
        <v>5247</v>
      </c>
      <c r="E11007" s="46">
        <v>346</v>
      </c>
      <c r="F11007" s="2" t="str">
        <f>IF(Table2[[#This Row],[Manual Cat Value]]="",VLOOKUP(Table2[[#This Row],[Description]],'Actuals Lookup'!D:F,3,0),VLOOKUP(Table2[[#This Row],[Manual Cat Value]],Lookup!A:B,2,0))</f>
        <v>Day Care</v>
      </c>
      <c r="H11007" s="8" t="s">
        <v>19</v>
      </c>
      <c r="I11007" s="8"/>
      <c r="O11007" t="str">
        <f>LEFT(Table2[[#This Row],[Description]],75)</f>
        <v>Withdrawal ACH MHCHILDCARELLC TYPE: DUES ID: XX8198 CO: MHCHILDCARELLC Entr</v>
      </c>
    </row>
    <row r="11008" spans="1:15" hidden="1">
      <c r="A11008">
        <v>202402</v>
      </c>
      <c r="B11008" s="6">
        <v>45336</v>
      </c>
      <c r="C11008" t="s">
        <v>4190</v>
      </c>
      <c r="D11008" t="s">
        <v>851</v>
      </c>
      <c r="E11008" s="46">
        <v>714</v>
      </c>
      <c r="F11008" s="2" t="str">
        <f>IF(Table2[[#This Row],[Manual Cat Value]]="",VLOOKUP(Table2[[#This Row],[Description]],'Actuals Lookup'!D:F,3,0),VLOOKUP(Table2[[#This Row],[Manual Cat Value]],Lookup!A:B,2,0))</f>
        <v>Day Care</v>
      </c>
      <c r="H11008" s="8" t="s">
        <v>19</v>
      </c>
      <c r="I11008" s="8"/>
      <c r="O11008" t="str">
        <f>LEFT(Table2[[#This Row],[Description]],75)</f>
        <v>Foss Swim School</v>
      </c>
    </row>
    <row r="11009" spans="1:15" hidden="1">
      <c r="A11009">
        <v>202402</v>
      </c>
      <c r="B11009" s="6">
        <v>45336</v>
      </c>
      <c r="C11009" t="s">
        <v>5013</v>
      </c>
      <c r="D11009" t="s">
        <v>1083</v>
      </c>
      <c r="E11009">
        <v>47.72</v>
      </c>
      <c r="F11009" s="2" t="str">
        <f>IF(Table2[[#This Row],[Manual Cat Value]]="",VLOOKUP(Table2[[#This Row],[Description]],'Actuals Lookup'!D:F,3,0),VLOOKUP(Table2[[#This Row],[Manual Cat Value]],Lookup!A:B,2,0))</f>
        <v>Transportation</v>
      </c>
      <c r="G11009" t="s">
        <v>23</v>
      </c>
      <c r="I11009" s="8"/>
      <c r="O11009" t="str">
        <f>LEFT(Table2[[#This Row],[Description]],75)</f>
        <v>Kwik Trip</v>
      </c>
    </row>
    <row r="11010" spans="1:15" hidden="1">
      <c r="A11010">
        <v>202402</v>
      </c>
      <c r="B11010" s="6">
        <v>45336</v>
      </c>
      <c r="C11010" t="s">
        <v>2519</v>
      </c>
      <c r="D11010" t="s">
        <v>4356</v>
      </c>
      <c r="E11010">
        <v>127.3</v>
      </c>
      <c r="F11010" s="2" t="str">
        <f>IF(Table2[[#This Row],[Manual Cat Value]]="",VLOOKUP(Table2[[#This Row],[Description]],'Actuals Lookup'!D:F,3,0),VLOOKUP(Table2[[#This Row],[Manual Cat Value]],Lookup!A:B,2,0))</f>
        <v>Insurance</v>
      </c>
      <c r="H11010" s="8" t="s">
        <v>17</v>
      </c>
      <c r="I11010" s="8"/>
      <c r="O11010" t="str">
        <f>LEFT(Table2[[#This Row],[Description]],75)</f>
        <v>Payment to American Family Insurance</v>
      </c>
    </row>
    <row r="11011" spans="1:15" hidden="1">
      <c r="A11011">
        <v>202402</v>
      </c>
      <c r="B11011" s="6">
        <v>45336</v>
      </c>
      <c r="C11011" t="s">
        <v>2519</v>
      </c>
      <c r="D11011" t="s">
        <v>4343</v>
      </c>
      <c r="E11011">
        <v>-3251.2</v>
      </c>
      <c r="F11011" s="2" t="str">
        <f>IF(Table2[[#This Row],[Manual Cat Value]]="",VLOOKUP(Table2[[#This Row],[Description]],'Actuals Lookup'!D:F,3,0),VLOOKUP(Table2[[#This Row],[Manual Cat Value]],Lookup!A:B,2,0))</f>
        <v>Jeff</v>
      </c>
      <c r="H11011" s="8" t="s">
        <v>63</v>
      </c>
      <c r="I11011" s="8"/>
      <c r="O11011" t="str">
        <f>LEFT(Table2[[#This Row],[Description]],75)</f>
        <v>Salary/Regular Income from TriNet</v>
      </c>
    </row>
    <row r="11012" spans="1:15" hidden="1">
      <c r="A11012">
        <v>202402</v>
      </c>
      <c r="B11012" s="6">
        <v>45336</v>
      </c>
      <c r="C11012" t="s">
        <v>2519</v>
      </c>
      <c r="D11012" t="s">
        <v>1958</v>
      </c>
      <c r="E11012">
        <v>19.600000000000001</v>
      </c>
      <c r="F11012" s="2" t="str">
        <f>IF(Table2[[#This Row],[Manual Cat Value]]="",VLOOKUP(Table2[[#This Row],[Description]],'Actuals Lookup'!D:F,3,0),VLOOKUP(Table2[[#This Row],[Manual Cat Value]],Lookup!A:B,2,0))</f>
        <v>Shopping</v>
      </c>
      <c r="H11012" s="8" t="s">
        <v>36</v>
      </c>
      <c r="I11012" s="8"/>
      <c r="O11012" t="str">
        <f>LEFT(Table2[[#This Row],[Description]],75)</f>
        <v>Transfer to Venmo</v>
      </c>
    </row>
    <row r="11013" spans="1:15" hidden="1">
      <c r="A11013">
        <v>202402</v>
      </c>
      <c r="B11013" s="6">
        <v>45336</v>
      </c>
      <c r="C11013" t="s">
        <v>5013</v>
      </c>
      <c r="D11013" t="s">
        <v>5248</v>
      </c>
      <c r="E11013">
        <v>31.2</v>
      </c>
      <c r="F11013" s="2" t="str">
        <f>IF(Table2[[#This Row],[Manual Cat Value]]="",VLOOKUP(Table2[[#This Row],[Description]],'Actuals Lookup'!D:F,3,0),VLOOKUP(Table2[[#This Row],[Manual Cat Value]],Lookup!A:B,2,0))</f>
        <v>Healthcare</v>
      </c>
      <c r="G11013" t="s">
        <v>48</v>
      </c>
      <c r="H11013" s="8" t="s">
        <v>47</v>
      </c>
      <c r="I11013" s="8"/>
      <c r="O11013" t="str">
        <f>LEFT(Table2[[#This Row],[Description]],75)</f>
        <v>Tweet Pediatric Dentchanhassen Mn</v>
      </c>
    </row>
    <row r="11014" spans="1:15" hidden="1">
      <c r="A11014">
        <v>202402</v>
      </c>
      <c r="B11014" s="6">
        <v>45337</v>
      </c>
      <c r="C11014" t="s">
        <v>4196</v>
      </c>
      <c r="D11014" t="s">
        <v>5249</v>
      </c>
      <c r="E11014">
        <v>110</v>
      </c>
      <c r="F11014" s="2" t="str">
        <f>IF(Table2[[#This Row],[Manual Cat Value]]="",VLOOKUP(Table2[[#This Row],[Description]],'Actuals Lookup'!D:F,3,0),VLOOKUP(Table2[[#This Row],[Manual Cat Value]],Lookup!A:B,2,0))</f>
        <v>Entertainment</v>
      </c>
      <c r="H11014" s="8" t="s">
        <v>39</v>
      </c>
      <c r="I11014" s="8"/>
      <c r="O11014" t="str">
        <f>LEFT(Table2[[#This Row],[Description]],75)</f>
        <v>Anna Nails</v>
      </c>
    </row>
    <row r="11015" spans="1:15" hidden="1">
      <c r="A11015">
        <v>202402</v>
      </c>
      <c r="B11015" s="6">
        <v>45337</v>
      </c>
      <c r="C11015" t="s">
        <v>5013</v>
      </c>
      <c r="D11015" t="s">
        <v>5250</v>
      </c>
      <c r="E11015">
        <v>16.3</v>
      </c>
      <c r="F11015" s="2" t="str">
        <f>IF(Table2[[#This Row],[Manual Cat Value]]="",VLOOKUP(Table2[[#This Row],[Description]],'Actuals Lookup'!D:F,3,0),VLOOKUP(Table2[[#This Row],[Manual Cat Value]],Lookup!A:B,2,0))</f>
        <v>Restaurants</v>
      </c>
      <c r="G11015" t="s">
        <v>26</v>
      </c>
      <c r="H11015" s="8" t="s">
        <v>25</v>
      </c>
      <c r="I11015" s="8"/>
      <c r="O11015" t="str">
        <f>LEFT(Table2[[#This Row],[Description]],75)</f>
        <v>Aplpay Jj S Poke Edina Mn</v>
      </c>
    </row>
    <row r="11016" spans="1:15" hidden="1">
      <c r="A11016">
        <v>202402</v>
      </c>
      <c r="B11016" s="6">
        <v>45337</v>
      </c>
      <c r="C11016" t="s">
        <v>2519</v>
      </c>
      <c r="D11016" t="s">
        <v>404</v>
      </c>
      <c r="E11016">
        <v>-2666.31</v>
      </c>
      <c r="F11016" s="2" t="str">
        <f>IF(Table2[[#This Row],[Manual Cat Value]]="",VLOOKUP(Table2[[#This Row],[Description]],'Actuals Lookup'!D:F,3,0),VLOOKUP(Table2[[#This Row],[Manual Cat Value]],Lookup!A:B,2,0))</f>
        <v>Britney</v>
      </c>
      <c r="H11016" s="8" t="s">
        <v>65</v>
      </c>
      <c r="I11016" s="8"/>
      <c r="O11016" t="str">
        <f>LEFT(Table2[[#This Row],[Description]],75)</f>
        <v>Cargill Inc Deposit</v>
      </c>
    </row>
    <row r="11017" spans="1:15" hidden="1">
      <c r="A11017">
        <v>202402</v>
      </c>
      <c r="B11017" s="6">
        <v>45337</v>
      </c>
      <c r="C11017" t="s">
        <v>5013</v>
      </c>
      <c r="D11017" t="s">
        <v>453</v>
      </c>
      <c r="E11017">
        <v>13.06</v>
      </c>
      <c r="F11017" s="2" t="str">
        <f>IF(Table2[[#This Row],[Manual Cat Value]]="",VLOOKUP(Table2[[#This Row],[Description]],'Actuals Lookup'!D:F,3,0),VLOOKUP(Table2[[#This Row],[Manual Cat Value]],Lookup!A:B,2,0))</f>
        <v>Restaurants</v>
      </c>
      <c r="G11017" t="s">
        <v>26</v>
      </c>
      <c r="H11017" s="8" t="s">
        <v>25</v>
      </c>
      <c r="I11017" s="8"/>
      <c r="O11017" t="str">
        <f>LEFT(Table2[[#This Row],[Description]],75)</f>
        <v>Caribou Coffee</v>
      </c>
    </row>
    <row r="11018" spans="1:15" hidden="1">
      <c r="A11018">
        <v>202402</v>
      </c>
      <c r="B11018" s="6">
        <v>45337</v>
      </c>
      <c r="C11018" t="s">
        <v>2519</v>
      </c>
      <c r="D11018" t="s">
        <v>4470</v>
      </c>
      <c r="E11018">
        <v>-31.2</v>
      </c>
      <c r="F11018" s="2" t="str">
        <f>IF(Table2[[#This Row],[Manual Cat Value]]="",VLOOKUP(Table2[[#This Row],[Description]],'Actuals Lookup'!D:F,3,0),VLOOKUP(Table2[[#This Row],[Manual Cat Value]],Lookup!A:B,2,0))</f>
        <v>Healthcare</v>
      </c>
      <c r="H11018" s="8" t="s">
        <v>47</v>
      </c>
      <c r="I11018" s="8"/>
      <c r="O11018" t="str">
        <f>LEFT(Table2[[#This Row],[Description]],75)</f>
        <v>Connectyourcare Deposit</v>
      </c>
    </row>
    <row r="11019" spans="1:15" hidden="1">
      <c r="A11019">
        <v>202404</v>
      </c>
      <c r="B11019" s="6">
        <v>45406</v>
      </c>
      <c r="C11019" t="s">
        <v>2519</v>
      </c>
      <c r="D11019" t="s">
        <v>4470</v>
      </c>
      <c r="E11019">
        <v>-370.51</v>
      </c>
      <c r="F11019" s="2" t="str">
        <f>IF(Table2[[#This Row],[Manual Cat Value]]="",VLOOKUP(Table2[[#This Row],[Description]],'Actuals Lookup'!D:F,3,0),VLOOKUP(Table2[[#This Row],[Manual Cat Value]],Lookup!A:B,2,0))</f>
        <v>Delete</v>
      </c>
      <c r="I11019" s="8"/>
      <c r="O11019" t="str">
        <f>LEFT(Table2[[#This Row],[Description]],75)</f>
        <v>Connectyourcare Deposit</v>
      </c>
    </row>
    <row r="11020" spans="1:15" hidden="1">
      <c r="A11020">
        <v>202402</v>
      </c>
      <c r="B11020" s="6">
        <v>45337</v>
      </c>
      <c r="C11020" t="s">
        <v>2519</v>
      </c>
      <c r="D11020" t="s">
        <v>5251</v>
      </c>
      <c r="E11020">
        <v>-1375.26</v>
      </c>
      <c r="F11020" s="2" t="str">
        <f>IF(Table2[[#This Row],[Manual Cat Value]]="",VLOOKUP(Table2[[#This Row],[Description]],'Actuals Lookup'!D:F,3,0),VLOOKUP(Table2[[#This Row],[Manual Cat Value]],Lookup!A:B,2,0))</f>
        <v>Jeff</v>
      </c>
      <c r="H11020" s="8" t="s">
        <v>63</v>
      </c>
      <c r="I11020" s="8"/>
      <c r="O11020" t="str">
        <f>LEFT(Table2[[#This Row],[Description]],75)</f>
        <v>Deposit ACH EMPYREAN SOLUTIO TYPE: XX9000 ID: XX3620 CO: EMPYREAN SOLUTIO E</v>
      </c>
    </row>
    <row r="11021" spans="1:15" hidden="1">
      <c r="A11021">
        <v>202404</v>
      </c>
      <c r="B11021" s="6">
        <v>45412</v>
      </c>
      <c r="C11021" t="s">
        <v>2519</v>
      </c>
      <c r="D11021" t="s">
        <v>4470</v>
      </c>
      <c r="E11021">
        <v>-390</v>
      </c>
      <c r="F11021" s="2" t="str">
        <f>IF(Table2[[#This Row],[Manual Cat Value]]="",VLOOKUP(Table2[[#This Row],[Description]],'Actuals Lookup'!D:F,3,0),VLOOKUP(Table2[[#This Row],[Manual Cat Value]],Lookup!A:B,2,0))</f>
        <v>Delete</v>
      </c>
      <c r="I11021" s="8"/>
      <c r="O11021" t="str">
        <f>LEFT(Table2[[#This Row],[Description]],75)</f>
        <v>Connectyourcare Deposit</v>
      </c>
    </row>
    <row r="11022" spans="1:15" hidden="1">
      <c r="A11022">
        <v>202402</v>
      </c>
      <c r="B11022" s="6">
        <v>45337</v>
      </c>
      <c r="C11022" t="s">
        <v>2519</v>
      </c>
      <c r="D11022" t="s">
        <v>1955</v>
      </c>
      <c r="E11022">
        <v>1.75</v>
      </c>
      <c r="F11022" s="2" t="str">
        <f>IF(Table2[[#This Row],[Manual Cat Value]]="",VLOOKUP(Table2[[#This Row],[Description]],'Actuals Lookup'!D:F,3,0),VLOOKUP(Table2[[#This Row],[Manual Cat Value]],Lookup!A:B,2,0))</f>
        <v>Shopping</v>
      </c>
      <c r="H11022" s="8" t="s">
        <v>36</v>
      </c>
      <c r="I11022" s="8"/>
      <c r="O11022" t="str">
        <f>LEFT(Table2[[#This Row],[Description]],75)</f>
        <v>Transfer to PayPal</v>
      </c>
    </row>
    <row r="11023" spans="1:15" hidden="1">
      <c r="A11023">
        <v>202402</v>
      </c>
      <c r="B11023" s="6">
        <v>45337</v>
      </c>
      <c r="C11023" t="s">
        <v>2519</v>
      </c>
      <c r="D11023" t="s">
        <v>1955</v>
      </c>
      <c r="E11023">
        <v>1.39</v>
      </c>
      <c r="F11023" s="2" t="str">
        <f>IF(Table2[[#This Row],[Manual Cat Value]]="",VLOOKUP(Table2[[#This Row],[Description]],'Actuals Lookup'!D:F,3,0),VLOOKUP(Table2[[#This Row],[Manual Cat Value]],Lookup!A:B,2,0))</f>
        <v>Shopping</v>
      </c>
      <c r="H11023" s="8" t="s">
        <v>36</v>
      </c>
      <c r="I11023" s="8"/>
      <c r="O11023" t="str">
        <f>LEFT(Table2[[#This Row],[Description]],75)</f>
        <v>Transfer to PayPal</v>
      </c>
    </row>
    <row r="11024" spans="1:15" hidden="1">
      <c r="A11024">
        <v>202402</v>
      </c>
      <c r="B11024" s="6">
        <v>45337</v>
      </c>
      <c r="C11024" t="s">
        <v>2519</v>
      </c>
      <c r="D11024" t="s">
        <v>1958</v>
      </c>
      <c r="E11024">
        <v>125</v>
      </c>
      <c r="F11024" s="2" t="str">
        <f>IF(Table2[[#This Row],[Manual Cat Value]]="",VLOOKUP(Table2[[#This Row],[Description]],'Actuals Lookup'!D:F,3,0),VLOOKUP(Table2[[#This Row],[Manual Cat Value]],Lookup!A:B,2,0))</f>
        <v>Shopping</v>
      </c>
      <c r="H11024" s="8" t="s">
        <v>36</v>
      </c>
      <c r="I11024" s="8"/>
      <c r="O11024" t="str">
        <f>LEFT(Table2[[#This Row],[Description]],75)</f>
        <v>Transfer to Venmo</v>
      </c>
    </row>
    <row r="11025" spans="1:15" hidden="1">
      <c r="A11025">
        <v>202402</v>
      </c>
      <c r="B11025" s="6">
        <v>45337</v>
      </c>
      <c r="C11025" t="s">
        <v>5013</v>
      </c>
      <c r="D11025" t="s">
        <v>5252</v>
      </c>
      <c r="E11025">
        <v>42.32</v>
      </c>
      <c r="F11025" s="2" t="str">
        <f>IF(Table2[[#This Row],[Manual Cat Value]]="",VLOOKUP(Table2[[#This Row],[Description]],'Actuals Lookup'!D:F,3,0),VLOOKUP(Table2[[#This Row],[Manual Cat Value]],Lookup!A:B,2,0))</f>
        <v>Restaurants</v>
      </c>
      <c r="G11025" t="s">
        <v>26</v>
      </c>
      <c r="H11025" s="8" t="s">
        <v>25</v>
      </c>
      <c r="I11025" s="8"/>
      <c r="O11025" t="str">
        <f>LEFT(Table2[[#This Row],[Description]],75)</f>
        <v>Tst* Bar Cart Restausaint Paul Mn</v>
      </c>
    </row>
    <row r="11026" spans="1:15" hidden="1">
      <c r="A11026">
        <v>202407</v>
      </c>
      <c r="B11026" s="6">
        <v>45477</v>
      </c>
      <c r="C11026" t="s">
        <v>2519</v>
      </c>
      <c r="D11026" t="s">
        <v>4470</v>
      </c>
      <c r="E11026">
        <v>-123.53</v>
      </c>
      <c r="F11026" s="2" t="str">
        <f>IF(Table2[[#This Row],[Manual Cat Value]]="",VLOOKUP(Table2[[#This Row],[Description]],'Actuals Lookup'!D:F,3,0),VLOOKUP(Table2[[#This Row],[Manual Cat Value]],Lookup!A:B,2,0))</f>
        <v>Delete</v>
      </c>
      <c r="I11026" s="8"/>
      <c r="O11026" t="str">
        <f>LEFT(Table2[[#This Row],[Description]],75)</f>
        <v>Connectyourcare Deposit</v>
      </c>
    </row>
    <row r="11027" spans="1:15" hidden="1">
      <c r="A11027">
        <v>202402</v>
      </c>
      <c r="B11027" s="6">
        <v>45338</v>
      </c>
      <c r="C11027" t="s">
        <v>4221</v>
      </c>
      <c r="D11027" t="s">
        <v>648</v>
      </c>
      <c r="E11027">
        <v>162.05000000000001</v>
      </c>
      <c r="F11027" s="2" t="str">
        <f>IF(Table2[[#This Row],[Manual Cat Value]]="",VLOOKUP(Table2[[#This Row],[Description]],'Actuals Lookup'!D:F,3,0),VLOOKUP(Table2[[#This Row],[Manual Cat Value]],Lookup!A:B,2,0))</f>
        <v>Groceries</v>
      </c>
      <c r="H11027" s="8" t="s">
        <v>27</v>
      </c>
      <c r="I11027" s="8"/>
      <c r="O11027" t="str">
        <f>LEFT(Table2[[#This Row],[Description]],75)</f>
        <v>Costco</v>
      </c>
    </row>
    <row r="11028" spans="1:15" hidden="1">
      <c r="A11028">
        <v>202407</v>
      </c>
      <c r="B11028" s="6">
        <v>45483</v>
      </c>
      <c r="C11028" t="s">
        <v>2519</v>
      </c>
      <c r="D11028" t="s">
        <v>4470</v>
      </c>
      <c r="E11028">
        <v>-80.56</v>
      </c>
      <c r="F11028" s="2" t="str">
        <f>IF(Table2[[#This Row],[Manual Cat Value]]="",VLOOKUP(Table2[[#This Row],[Description]],'Actuals Lookup'!D:F,3,0),VLOOKUP(Table2[[#This Row],[Manual Cat Value]],Lookup!A:B,2,0))</f>
        <v>Delete</v>
      </c>
      <c r="I11028" s="8"/>
      <c r="O11028" t="str">
        <f>LEFT(Table2[[#This Row],[Description]],75)</f>
        <v>Connectyourcare Deposit</v>
      </c>
    </row>
    <row r="11029" spans="1:15" hidden="1">
      <c r="A11029">
        <v>202402</v>
      </c>
      <c r="B11029" s="6">
        <v>45338</v>
      </c>
      <c r="C11029" t="s">
        <v>5013</v>
      </c>
      <c r="D11029" t="s">
        <v>4461</v>
      </c>
      <c r="E11029">
        <v>37.840000000000003</v>
      </c>
      <c r="F11029" s="2" t="str">
        <f>IF(Table2[[#This Row],[Manual Cat Value]]="",VLOOKUP(Table2[[#This Row],[Description]],'Actuals Lookup'!D:F,3,0),VLOOKUP(Table2[[#This Row],[Manual Cat Value]],Lookup!A:B,2,0))</f>
        <v>Shopping</v>
      </c>
      <c r="G11029" t="s">
        <v>26</v>
      </c>
      <c r="H11029" s="8" t="s">
        <v>36</v>
      </c>
      <c r="I11029" s="8"/>
      <c r="O11029" t="str">
        <f>LEFT(Table2[[#This Row],[Description]],75)</f>
        <v>Lulus Fashion Lounge</v>
      </c>
    </row>
    <row r="11030" spans="1:15" hidden="1">
      <c r="A11030">
        <v>202408</v>
      </c>
      <c r="B11030" s="6">
        <v>45522</v>
      </c>
      <c r="C11030" t="s">
        <v>2519</v>
      </c>
      <c r="D11030" t="s">
        <v>4470</v>
      </c>
      <c r="E11030">
        <v>-21.33</v>
      </c>
      <c r="F11030" s="2" t="str">
        <f>IF(Table2[[#This Row],[Manual Cat Value]]="",VLOOKUP(Table2[[#This Row],[Description]],'Actuals Lookup'!D:F,3,0),VLOOKUP(Table2[[#This Row],[Manual Cat Value]],Lookup!A:B,2,0))</f>
        <v>Delete</v>
      </c>
      <c r="H11030" t="s">
        <v>9</v>
      </c>
      <c r="I11030" s="8"/>
      <c r="O11030" t="str">
        <f>LEFT(Table2[[#This Row],[Description]],75)</f>
        <v>Connectyourcare Deposit</v>
      </c>
    </row>
    <row r="11031" spans="1:15" hidden="1">
      <c r="A11031">
        <v>202402</v>
      </c>
      <c r="B11031" s="6">
        <v>45338</v>
      </c>
      <c r="C11031" t="s">
        <v>4225</v>
      </c>
      <c r="D11031" t="s">
        <v>31</v>
      </c>
      <c r="E11031">
        <v>30.38</v>
      </c>
      <c r="F11031" s="2" t="str">
        <f>IF(Table2[[#This Row],[Manual Cat Value]]="",VLOOKUP(Table2[[#This Row],[Description]],'Actuals Lookup'!D:F,3,0),VLOOKUP(Table2[[#This Row],[Manual Cat Value]],Lookup!A:B,2,0))</f>
        <v>Target</v>
      </c>
      <c r="H11031" s="8" t="s">
        <v>30</v>
      </c>
      <c r="I11031" s="8"/>
      <c r="O11031" t="str">
        <f>LEFT(Table2[[#This Row],[Description]],75)</f>
        <v>Target</v>
      </c>
    </row>
    <row r="11032" spans="1:15" hidden="1">
      <c r="A11032">
        <v>202402</v>
      </c>
      <c r="B11032" s="6">
        <v>45338</v>
      </c>
      <c r="C11032" t="s">
        <v>2519</v>
      </c>
      <c r="D11032" t="s">
        <v>1958</v>
      </c>
      <c r="E11032">
        <v>150</v>
      </c>
      <c r="F11032" s="2" t="str">
        <f>IF(Table2[[#This Row],[Manual Cat Value]]="",VLOOKUP(Table2[[#This Row],[Description]],'Actuals Lookup'!D:F,3,0),VLOOKUP(Table2[[#This Row],[Manual Cat Value]],Lookup!A:B,2,0))</f>
        <v>Shopping</v>
      </c>
      <c r="H11032" s="8" t="s">
        <v>36</v>
      </c>
      <c r="I11032" s="8"/>
      <c r="O11032" t="str">
        <f>LEFT(Table2[[#This Row],[Description]],75)</f>
        <v>Transfer to Venmo</v>
      </c>
    </row>
    <row r="11033" spans="1:15" hidden="1">
      <c r="A11033">
        <v>202402</v>
      </c>
      <c r="B11033" s="6">
        <v>45339</v>
      </c>
      <c r="C11033" t="s">
        <v>3932</v>
      </c>
      <c r="D11033" t="s">
        <v>38</v>
      </c>
      <c r="E11033">
        <v>12.99</v>
      </c>
      <c r="F11033" s="2" t="str">
        <f>IF(Table2[[#This Row],[Manual Cat Value]]="",VLOOKUP(Table2[[#This Row],[Description]],'Actuals Lookup'!D:F,3,0),VLOOKUP(Table2[[#This Row],[Manual Cat Value]],Lookup!A:B,2,0))</f>
        <v>Amazon</v>
      </c>
      <c r="G11033" t="s">
        <v>41</v>
      </c>
      <c r="H11033" s="8" t="s">
        <v>37</v>
      </c>
      <c r="I11033" s="8"/>
      <c r="O11033" t="str">
        <f>LEFT(Table2[[#This Row],[Description]],75)</f>
        <v>Amazon</v>
      </c>
    </row>
    <row r="11034" spans="1:15" hidden="1">
      <c r="A11034">
        <v>202402</v>
      </c>
      <c r="B11034" s="6">
        <v>45339</v>
      </c>
      <c r="C11034" t="s">
        <v>3932</v>
      </c>
      <c r="D11034" t="s">
        <v>38</v>
      </c>
      <c r="E11034">
        <v>46.6</v>
      </c>
      <c r="F11034" s="2" t="str">
        <f>IF(Table2[[#This Row],[Manual Cat Value]]="",VLOOKUP(Table2[[#This Row],[Description]],'Actuals Lookup'!D:F,3,0),VLOOKUP(Table2[[#This Row],[Manual Cat Value]],Lookup!A:B,2,0))</f>
        <v>Amazon</v>
      </c>
      <c r="G11034" t="s">
        <v>38</v>
      </c>
      <c r="H11034" s="8" t="s">
        <v>37</v>
      </c>
      <c r="I11034" s="8"/>
      <c r="O11034" t="str">
        <f>LEFT(Table2[[#This Row],[Description]],75)</f>
        <v>Amazon</v>
      </c>
    </row>
    <row r="11035" spans="1:15" hidden="1">
      <c r="A11035">
        <v>202402</v>
      </c>
      <c r="B11035" s="6">
        <v>45339</v>
      </c>
      <c r="C11035" t="s">
        <v>5013</v>
      </c>
      <c r="D11035" t="s">
        <v>113</v>
      </c>
      <c r="E11035">
        <v>107.67</v>
      </c>
      <c r="F11035" s="2" t="str">
        <f>IF(Table2[[#This Row],[Manual Cat Value]]="",VLOOKUP(Table2[[#This Row],[Description]],'Actuals Lookup'!D:F,3,0),VLOOKUP(Table2[[#This Row],[Manual Cat Value]],Lookup!A:B,2,0))</f>
        <v>Amazon</v>
      </c>
      <c r="G11035" t="s">
        <v>38</v>
      </c>
      <c r="H11035" s="8" t="s">
        <v>37</v>
      </c>
      <c r="I11035" s="8"/>
      <c r="O11035" t="str">
        <f>LEFT(Table2[[#This Row],[Description]],75)</f>
        <v>Amazon Marketplace</v>
      </c>
    </row>
    <row r="11036" spans="1:15" hidden="1">
      <c r="A11036">
        <v>202402</v>
      </c>
      <c r="B11036" s="6">
        <v>45339</v>
      </c>
      <c r="C11036" t="s">
        <v>5013</v>
      </c>
      <c r="D11036" t="s">
        <v>5123</v>
      </c>
      <c r="E11036">
        <v>199.25</v>
      </c>
      <c r="F11036" s="2" t="str">
        <f>IF(Table2[[#This Row],[Manual Cat Value]]="",VLOOKUP(Table2[[#This Row],[Description]],'Actuals Lookup'!D:F,3,0),VLOOKUP(Table2[[#This Row],[Manual Cat Value]],Lookup!A:B,2,0))</f>
        <v>Entertainment</v>
      </c>
      <c r="G11036" t="s">
        <v>21</v>
      </c>
      <c r="H11036" s="8" t="s">
        <v>39</v>
      </c>
      <c r="I11036" s="8"/>
      <c r="O11036" t="str">
        <f>LEFT(Table2[[#This Row],[Description]],75)</f>
        <v>Buck Hill Website 65burnsville Mn</v>
      </c>
    </row>
    <row r="11037" spans="1:15" hidden="1">
      <c r="A11037">
        <v>202402</v>
      </c>
      <c r="B11037" s="6">
        <v>45339</v>
      </c>
      <c r="C11037" t="s">
        <v>5013</v>
      </c>
      <c r="D11037" t="s">
        <v>684</v>
      </c>
      <c r="E11037">
        <v>59.57</v>
      </c>
      <c r="F11037" s="2" t="str">
        <f>IF(Table2[[#This Row],[Manual Cat Value]]="",VLOOKUP(Table2[[#This Row],[Description]],'Actuals Lookup'!D:F,3,0),VLOOKUP(Table2[[#This Row],[Manual Cat Value]],Lookup!A:B,2,0))</f>
        <v>Groceries</v>
      </c>
      <c r="G11037" t="s">
        <v>28</v>
      </c>
      <c r="H11037" s="8" t="s">
        <v>27</v>
      </c>
      <c r="I11037" s="8"/>
      <c r="O11037" t="str">
        <f>LEFT(Table2[[#This Row],[Description]],75)</f>
        <v>Cub Foods</v>
      </c>
    </row>
    <row r="11038" spans="1:15" hidden="1">
      <c r="A11038">
        <v>202402</v>
      </c>
      <c r="B11038" s="6">
        <v>45340</v>
      </c>
      <c r="C11038" t="s">
        <v>5013</v>
      </c>
      <c r="D11038" t="s">
        <v>5253</v>
      </c>
      <c r="E11038">
        <v>10</v>
      </c>
      <c r="F11038" s="2" t="str">
        <f>IF(Table2[[#This Row],[Manual Cat Value]]="",VLOOKUP(Table2[[#This Row],[Description]],'Actuals Lookup'!D:F,3,0),VLOOKUP(Table2[[#This Row],[Manual Cat Value]],Lookup!A:B,2,0))</f>
        <v>Shopping</v>
      </c>
      <c r="G11038" t="s">
        <v>35</v>
      </c>
      <c r="H11038" s="8" t="s">
        <v>36</v>
      </c>
      <c r="I11038" s="8"/>
      <c r="O11038" t="str">
        <f>LEFT(Table2[[#This Row],[Description]],75)</f>
        <v>101 Washington Ave Nminneapolis Mn</v>
      </c>
    </row>
    <row r="11039" spans="1:15" hidden="1">
      <c r="A11039">
        <v>202402</v>
      </c>
      <c r="B11039" s="6">
        <v>45340</v>
      </c>
      <c r="C11039" t="s">
        <v>5013</v>
      </c>
      <c r="D11039" t="s">
        <v>5254</v>
      </c>
      <c r="E11039">
        <v>134.61000000000001</v>
      </c>
      <c r="F11039" s="2" t="str">
        <f>IF(Table2[[#This Row],[Manual Cat Value]]="",VLOOKUP(Table2[[#This Row],[Description]],'Actuals Lookup'!D:F,3,0),VLOOKUP(Table2[[#This Row],[Manual Cat Value]],Lookup!A:B,2,0))</f>
        <v>Restaurants</v>
      </c>
      <c r="G11039" t="s">
        <v>26</v>
      </c>
      <c r="H11039" s="8" t="s">
        <v>25</v>
      </c>
      <c r="I11039" s="8"/>
      <c r="O11039" t="str">
        <f>LEFT(Table2[[#This Row],[Description]],75)</f>
        <v>Aplpay Tst* Stepchldminneapolis Mn</v>
      </c>
    </row>
    <row r="11040" spans="1:15" hidden="1">
      <c r="A11040">
        <v>202402</v>
      </c>
      <c r="B11040" s="6">
        <v>45340</v>
      </c>
      <c r="C11040" t="s">
        <v>5013</v>
      </c>
      <c r="D11040" t="s">
        <v>5255</v>
      </c>
      <c r="E11040">
        <v>730.25</v>
      </c>
      <c r="F11040" s="2" t="str">
        <f>IF(Table2[[#This Row],[Manual Cat Value]]="",VLOOKUP(Table2[[#This Row],[Description]],'Actuals Lookup'!D:F,3,0),VLOOKUP(Table2[[#This Row],[Manual Cat Value]],Lookup!A:B,2,0))</f>
        <v>Shopping</v>
      </c>
      <c r="G11040" t="s">
        <v>26</v>
      </c>
      <c r="H11040" s="8" t="s">
        <v>36</v>
      </c>
      <c r="I11040" s="8"/>
      <c r="O11040" t="str">
        <f>LEFT(Table2[[#This Row],[Description]],75)</f>
        <v>Bonobos</v>
      </c>
    </row>
    <row r="11041" spans="1:15" hidden="1">
      <c r="A11041">
        <v>202402</v>
      </c>
      <c r="B11041" s="6">
        <v>45340</v>
      </c>
      <c r="C11041" t="s">
        <v>5013</v>
      </c>
      <c r="D11041" t="s">
        <v>5256</v>
      </c>
      <c r="E11041">
        <v>27</v>
      </c>
      <c r="F11041" s="2" t="str">
        <f>IF(Table2[[#This Row],[Manual Cat Value]]="",VLOOKUP(Table2[[#This Row],[Description]],'Actuals Lookup'!D:F,3,0),VLOOKUP(Table2[[#This Row],[Manual Cat Value]],Lookup!A:B,2,0))</f>
        <v>Restaurants</v>
      </c>
      <c r="G11041" t="s">
        <v>26</v>
      </c>
      <c r="H11041" s="8" t="s">
        <v>25</v>
      </c>
      <c r="I11041" s="8"/>
      <c r="O11041" t="str">
        <f>LEFT(Table2[[#This Row],[Description]],75)</f>
        <v>Buck Bar</v>
      </c>
    </row>
    <row r="11042" spans="1:15" hidden="1">
      <c r="A11042">
        <v>202402</v>
      </c>
      <c r="B11042" s="6">
        <v>45341</v>
      </c>
      <c r="C11042" t="s">
        <v>5013</v>
      </c>
      <c r="D11042" t="s">
        <v>5257</v>
      </c>
      <c r="E11042">
        <v>94.6</v>
      </c>
      <c r="F11042" s="2" t="str">
        <f>IF(Table2[[#This Row],[Manual Cat Value]]="",VLOOKUP(Table2[[#This Row],[Description]],'Actuals Lookup'!D:F,3,0),VLOOKUP(Table2[[#This Row],[Manual Cat Value]],Lookup!A:B,2,0))</f>
        <v>Restaurants</v>
      </c>
      <c r="G11042" t="s">
        <v>45</v>
      </c>
      <c r="H11042" s="8" t="s">
        <v>25</v>
      </c>
      <c r="I11042" s="8"/>
      <c r="O11042" t="str">
        <f>LEFT(Table2[[#This Row],[Description]],75)</f>
        <v>Aplpay Edible.com Atlanta Ga</v>
      </c>
    </row>
    <row r="11043" spans="1:15" hidden="1">
      <c r="A11043">
        <v>202402</v>
      </c>
      <c r="B11043" s="6">
        <v>45341</v>
      </c>
      <c r="C11043" t="s">
        <v>5013</v>
      </c>
      <c r="D11043" t="s">
        <v>1925</v>
      </c>
      <c r="E11043">
        <v>105.82</v>
      </c>
      <c r="F11043" s="2" t="str">
        <f>IF(Table2[[#This Row],[Manual Cat Value]]="",VLOOKUP(Table2[[#This Row],[Description]],'Actuals Lookup'!D:F,3,0),VLOOKUP(Table2[[#This Row],[Manual Cat Value]],Lookup!A:B,2,0))</f>
        <v>Groceries</v>
      </c>
      <c r="G11043" t="s">
        <v>28</v>
      </c>
      <c r="I11043" s="8"/>
      <c r="O11043" t="str">
        <f>LEFT(Table2[[#This Row],[Description]],75)</f>
        <v>Total Wine &amp; More</v>
      </c>
    </row>
    <row r="11044" spans="1:15" hidden="1">
      <c r="A11044">
        <v>202402</v>
      </c>
      <c r="B11044" s="6">
        <v>45341</v>
      </c>
      <c r="C11044" t="s">
        <v>2519</v>
      </c>
      <c r="D11044" t="s">
        <v>1934</v>
      </c>
      <c r="E11044">
        <v>-31.97</v>
      </c>
      <c r="F11044" s="2" t="str">
        <f>IF(Table2[[#This Row],[Manual Cat Value]]="",VLOOKUP(Table2[[#This Row],[Description]],'Actuals Lookup'!D:F,3,0),VLOOKUP(Table2[[#This Row],[Manual Cat Value]],Lookup!A:B,2,0))</f>
        <v>Shopping</v>
      </c>
      <c r="H11044" s="8" t="s">
        <v>36</v>
      </c>
      <c r="I11044" s="8"/>
      <c r="O11044" t="str">
        <f>LEFT(Table2[[#This Row],[Description]],75)</f>
        <v>Transfer from PayPal</v>
      </c>
    </row>
    <row r="11045" spans="1:15" hidden="1">
      <c r="A11045">
        <v>202402</v>
      </c>
      <c r="B11045" s="6">
        <v>45341</v>
      </c>
      <c r="C11045" t="s">
        <v>5013</v>
      </c>
      <c r="D11045" t="s">
        <v>5258</v>
      </c>
      <c r="E11045">
        <v>42.67</v>
      </c>
      <c r="F11045" s="2" t="str">
        <f>IF(Table2[[#This Row],[Manual Cat Value]]="",VLOOKUP(Table2[[#This Row],[Description]],'Actuals Lookup'!D:F,3,0),VLOOKUP(Table2[[#This Row],[Manual Cat Value]],Lookup!A:B,2,0))</f>
        <v>Restaurants</v>
      </c>
      <c r="G11045" t="s">
        <v>26</v>
      </c>
      <c r="H11045" s="8" t="s">
        <v>25</v>
      </c>
      <c r="I11045" s="8"/>
      <c r="O11045" t="str">
        <f>LEFT(Table2[[#This Row],[Description]],75)</f>
        <v>Tst* Borough And Parminneapolis Mn</v>
      </c>
    </row>
    <row r="11046" spans="1:15" hidden="1">
      <c r="A11046">
        <v>202402</v>
      </c>
      <c r="B11046" s="6">
        <v>45342</v>
      </c>
      <c r="C11046" t="s">
        <v>4229</v>
      </c>
      <c r="D11046" t="s">
        <v>113</v>
      </c>
      <c r="E11046">
        <v>-49.74</v>
      </c>
      <c r="F11046" s="2" t="str">
        <f>IF(Table2[[#This Row],[Manual Cat Value]]="",VLOOKUP(Table2[[#This Row],[Description]],'Actuals Lookup'!D:F,3,0),VLOOKUP(Table2[[#This Row],[Manual Cat Value]],Lookup!A:B,2,0))</f>
        <v>Amazon</v>
      </c>
      <c r="H11046" s="8" t="s">
        <v>37</v>
      </c>
      <c r="I11046" s="8"/>
      <c r="O11046" t="str">
        <f>LEFT(Table2[[#This Row],[Description]],75)</f>
        <v>Amazon Marketplace</v>
      </c>
    </row>
    <row r="11047" spans="1:15" hidden="1">
      <c r="A11047">
        <v>202402</v>
      </c>
      <c r="B11047" s="6">
        <v>45342</v>
      </c>
      <c r="C11047" t="s">
        <v>4223</v>
      </c>
      <c r="D11047" t="s">
        <v>113</v>
      </c>
      <c r="E11047">
        <v>-18.41</v>
      </c>
      <c r="F11047" s="2" t="str">
        <f>IF(Table2[[#This Row],[Manual Cat Value]]="",VLOOKUP(Table2[[#This Row],[Description]],'Actuals Lookup'!D:F,3,0),VLOOKUP(Table2[[#This Row],[Manual Cat Value]],Lookup!A:B,2,0))</f>
        <v>Amazon</v>
      </c>
      <c r="H11047" s="8" t="s">
        <v>37</v>
      </c>
      <c r="I11047" s="8"/>
      <c r="O11047" t="str">
        <f>LEFT(Table2[[#This Row],[Description]],75)</f>
        <v>Amazon Marketplace</v>
      </c>
    </row>
    <row r="11048" spans="1:15" hidden="1">
      <c r="A11048">
        <v>202402</v>
      </c>
      <c r="B11048" s="6">
        <v>45342</v>
      </c>
      <c r="C11048" t="s">
        <v>5013</v>
      </c>
      <c r="D11048" t="s">
        <v>113</v>
      </c>
      <c r="E11048">
        <v>54.97</v>
      </c>
      <c r="F11048" s="2" t="str">
        <f>IF(Table2[[#This Row],[Manual Cat Value]]="",VLOOKUP(Table2[[#This Row],[Description]],'Actuals Lookup'!D:F,3,0),VLOOKUP(Table2[[#This Row],[Manual Cat Value]],Lookup!A:B,2,0))</f>
        <v>Amazon</v>
      </c>
      <c r="G11048" t="s">
        <v>38</v>
      </c>
      <c r="H11048" s="8" t="s">
        <v>37</v>
      </c>
      <c r="I11048" s="8"/>
      <c r="O11048" t="str">
        <f>LEFT(Table2[[#This Row],[Description]],75)</f>
        <v>Amazon Marketplace</v>
      </c>
    </row>
    <row r="11049" spans="1:15" hidden="1">
      <c r="A11049">
        <v>202402</v>
      </c>
      <c r="B11049" s="6">
        <v>45342</v>
      </c>
      <c r="C11049" t="s">
        <v>4237</v>
      </c>
      <c r="D11049" t="s">
        <v>4899</v>
      </c>
      <c r="E11049">
        <v>1.99</v>
      </c>
      <c r="F11049" s="2" t="str">
        <f>IF(Table2[[#This Row],[Manual Cat Value]]="",VLOOKUP(Table2[[#This Row],[Description]],'Actuals Lookup'!D:F,3,0),VLOOKUP(Table2[[#This Row],[Manual Cat Value]],Lookup!A:B,2,0))</f>
        <v>Utilities</v>
      </c>
      <c r="H11049" s="8" t="s">
        <v>6</v>
      </c>
      <c r="I11049" s="8"/>
      <c r="O11049" t="str">
        <f>LEFT(Table2[[#This Row],[Description]],75)</f>
        <v>Google Cloud Storage</v>
      </c>
    </row>
    <row r="11050" spans="1:15" hidden="1">
      <c r="A11050">
        <v>202402</v>
      </c>
      <c r="B11050" s="6">
        <v>45342</v>
      </c>
      <c r="C11050" t="s">
        <v>5013</v>
      </c>
      <c r="D11050" t="s">
        <v>4032</v>
      </c>
      <c r="E11050">
        <v>12.29</v>
      </c>
      <c r="F11050" s="2" t="str">
        <f>IF(Table2[[#This Row],[Manual Cat Value]]="",VLOOKUP(Table2[[#This Row],[Description]],'Actuals Lookup'!D:F,3,0),VLOOKUP(Table2[[#This Row],[Manual Cat Value]],Lookup!A:B,2,0))</f>
        <v>Restaurants</v>
      </c>
      <c r="G11050" t="s">
        <v>26</v>
      </c>
      <c r="H11050" s="8" t="s">
        <v>25</v>
      </c>
      <c r="I11050" s="8"/>
      <c r="O11050" t="str">
        <f>LEFT(Table2[[#This Row],[Description]],75)</f>
        <v>Mcdonald's</v>
      </c>
    </row>
    <row r="11051" spans="1:15" hidden="1">
      <c r="A11051">
        <v>202402</v>
      </c>
      <c r="B11051" s="6">
        <v>45342</v>
      </c>
      <c r="C11051" t="s">
        <v>4227</v>
      </c>
      <c r="D11051" t="s">
        <v>5259</v>
      </c>
      <c r="E11051">
        <v>2.25</v>
      </c>
      <c r="F11051" s="2" t="str">
        <f>IF(Table2[[#This Row],[Manual Cat Value]]="",VLOOKUP(Table2[[#This Row],[Description]],'Actuals Lookup'!D:F,3,0),VLOOKUP(Table2[[#This Row],[Manual Cat Value]],Lookup!A:B,2,0))</f>
        <v>Restaurants</v>
      </c>
      <c r="H11051" s="8" t="s">
        <v>25</v>
      </c>
      <c r="I11051" s="8"/>
      <c r="O11051" t="str">
        <f>LEFT(Table2[[#This Row],[Description]],75)</f>
        <v>ONSTREET XX7275 MN REF #XX8930E23S03FMG7</v>
      </c>
    </row>
    <row r="11052" spans="1:15" hidden="1">
      <c r="A11052">
        <v>202402</v>
      </c>
      <c r="B11052" s="6">
        <v>45342</v>
      </c>
      <c r="C11052" t="s">
        <v>2519</v>
      </c>
      <c r="D11052" t="s">
        <v>1955</v>
      </c>
      <c r="E11052">
        <v>2.99</v>
      </c>
      <c r="F11052" s="2" t="str">
        <f>IF(Table2[[#This Row],[Manual Cat Value]]="",VLOOKUP(Table2[[#This Row],[Description]],'Actuals Lookup'!D:F,3,0),VLOOKUP(Table2[[#This Row],[Manual Cat Value]],Lookup!A:B,2,0))</f>
        <v>Shopping</v>
      </c>
      <c r="H11052" s="8" t="s">
        <v>36</v>
      </c>
      <c r="I11052" s="8"/>
      <c r="O11052" t="str">
        <f>LEFT(Table2[[#This Row],[Description]],75)</f>
        <v>Transfer to PayPal</v>
      </c>
    </row>
    <row r="11053" spans="1:15" hidden="1">
      <c r="A11053">
        <v>202402</v>
      </c>
      <c r="B11053" s="6">
        <v>45342</v>
      </c>
      <c r="C11053" t="s">
        <v>2519</v>
      </c>
      <c r="D11053" t="s">
        <v>1958</v>
      </c>
      <c r="E11053">
        <v>46</v>
      </c>
      <c r="F11053" s="2" t="str">
        <f>IF(Table2[[#This Row],[Manual Cat Value]]="",VLOOKUP(Table2[[#This Row],[Description]],'Actuals Lookup'!D:F,3,0),VLOOKUP(Table2[[#This Row],[Manual Cat Value]],Lookup!A:B,2,0))</f>
        <v>Shopping</v>
      </c>
      <c r="H11053" s="8" t="s">
        <v>36</v>
      </c>
      <c r="I11053" s="8"/>
      <c r="O11053" t="str">
        <f>LEFT(Table2[[#This Row],[Description]],75)</f>
        <v>Transfer to Venmo</v>
      </c>
    </row>
    <row r="11054" spans="1:15" hidden="1">
      <c r="A11054">
        <v>202402</v>
      </c>
      <c r="B11054" s="6">
        <v>45342</v>
      </c>
      <c r="C11054" t="s">
        <v>2519</v>
      </c>
      <c r="D11054" t="s">
        <v>5260</v>
      </c>
      <c r="E11054">
        <v>650</v>
      </c>
      <c r="F11054" s="2" t="str">
        <f>IF(Table2[[#This Row],[Manual Cat Value]]="",VLOOKUP(Table2[[#This Row],[Description]],'Actuals Lookup'!D:F,3,0),VLOOKUP(Table2[[#This Row],[Manual Cat Value]],Lookup!A:B,2,0))</f>
        <v>College Savings</v>
      </c>
      <c r="H11054" s="8" t="s">
        <v>60</v>
      </c>
      <c r="I11054" s="8"/>
      <c r="O11054" t="str">
        <f>LEFT(Table2[[#This Row],[Description]],75)</f>
        <v>Withdrawal ACH MN DIR ACH TYPE: CONTRIB ID: XX7162 CO: MN DIR ACH NAME: XX2</v>
      </c>
    </row>
    <row r="11055" spans="1:15" hidden="1">
      <c r="A11055">
        <v>202402</v>
      </c>
      <c r="B11055" s="6">
        <v>45343</v>
      </c>
      <c r="C11055" t="s">
        <v>4218</v>
      </c>
      <c r="D11055" t="s">
        <v>5261</v>
      </c>
      <c r="E11055">
        <v>12.95</v>
      </c>
      <c r="F11055" s="2" t="str">
        <f>IF(Table2[[#This Row],[Manual Cat Value]]="",VLOOKUP(Table2[[#This Row],[Description]],'Actuals Lookup'!D:F,3,0),VLOOKUP(Table2[[#This Row],[Manual Cat Value]],Lookup!A:B,2,0))</f>
        <v>Amazon</v>
      </c>
      <c r="H11055" s="8" t="s">
        <v>37</v>
      </c>
      <c r="I11055" s="8"/>
      <c r="O11055" t="str">
        <f>LEFT(Table2[[#This Row],[Description]],75)</f>
        <v>AMZN Mktp US*RW9SL8QK0 Amzn.com/billWA REF #XX9216E335W5ZVXW</v>
      </c>
    </row>
    <row r="11056" spans="1:15" hidden="1">
      <c r="A11056">
        <v>202402</v>
      </c>
      <c r="B11056" s="6">
        <v>45343</v>
      </c>
      <c r="C11056" t="s">
        <v>4216</v>
      </c>
      <c r="D11056" t="s">
        <v>5262</v>
      </c>
      <c r="E11056">
        <v>11</v>
      </c>
      <c r="F11056" s="2" t="str">
        <f>IF(Table2[[#This Row],[Manual Cat Value]]="",VLOOKUP(Table2[[#This Row],[Description]],'Actuals Lookup'!D:F,3,0),VLOOKUP(Table2[[#This Row],[Manual Cat Value]],Lookup!A:B,2,0))</f>
        <v>Utilities</v>
      </c>
      <c r="H11056" s="8" t="s">
        <v>6</v>
      </c>
      <c r="I11056" s="8"/>
      <c r="O11056" t="str">
        <f>LEFT(Table2[[#This Row],[Description]],75)</f>
        <v>BONFES PLUMBING HEATING AXX6633 MN REF #XX7539E3S66G0P8H</v>
      </c>
    </row>
    <row r="11057" spans="1:15" hidden="1">
      <c r="A11057">
        <v>202402</v>
      </c>
      <c r="B11057" s="6">
        <v>45343</v>
      </c>
      <c r="C11057" t="s">
        <v>2519</v>
      </c>
      <c r="D11057" t="s">
        <v>5263</v>
      </c>
      <c r="E11057">
        <v>75.8</v>
      </c>
      <c r="F11057" s="2" t="str">
        <f>IF(Table2[[#This Row],[Manual Cat Value]]="",VLOOKUP(Table2[[#This Row],[Description]],'Actuals Lookup'!D:F,3,0),VLOOKUP(Table2[[#This Row],[Manual Cat Value]],Lookup!A:B,2,0))</f>
        <v>Utilities</v>
      </c>
      <c r="H11057" s="8" t="s">
        <v>6</v>
      </c>
      <c r="I11057" s="8"/>
      <c r="O11057" t="str">
        <f>LEFT(Table2[[#This Row],[Description]],75)</f>
        <v>Withdrawal ACH CITY OF CHANHASS TYPE: UTIL BILL ID: XX5331 CO: CITY OF CHAN</v>
      </c>
    </row>
    <row r="11058" spans="1:15" hidden="1">
      <c r="A11058">
        <v>202402</v>
      </c>
      <c r="B11058" s="6">
        <v>45343</v>
      </c>
      <c r="C11058" t="s">
        <v>2519</v>
      </c>
      <c r="D11058" t="s">
        <v>5264</v>
      </c>
      <c r="E11058" s="46">
        <v>346</v>
      </c>
      <c r="F11058" s="2" t="str">
        <f>IF(Table2[[#This Row],[Manual Cat Value]]="",VLOOKUP(Table2[[#This Row],[Description]],'Actuals Lookup'!D:F,3,0),VLOOKUP(Table2[[#This Row],[Manual Cat Value]],Lookup!A:B,2,0))</f>
        <v>Day Care</v>
      </c>
      <c r="H11058" s="8" t="s">
        <v>19</v>
      </c>
      <c r="I11058" s="8"/>
      <c r="O11058" t="str">
        <f>LEFT(Table2[[#This Row],[Description]],75)</f>
        <v>Withdrawal ACH MHCHILDCARELLC TYPE: DUES ID: XX8198 CO: MHCHILDCARELLC Entr</v>
      </c>
    </row>
    <row r="11059" spans="1:15" hidden="1">
      <c r="A11059">
        <v>202402</v>
      </c>
      <c r="B11059" s="6">
        <v>45344</v>
      </c>
      <c r="C11059" t="s">
        <v>3932</v>
      </c>
      <c r="D11059" t="s">
        <v>38</v>
      </c>
      <c r="E11059">
        <v>7.48</v>
      </c>
      <c r="F11059" s="2" t="str">
        <f>IF(Table2[[#This Row],[Manual Cat Value]]="",VLOOKUP(Table2[[#This Row],[Description]],'Actuals Lookup'!D:F,3,0),VLOOKUP(Table2[[#This Row],[Manual Cat Value]],Lookup!A:B,2,0))</f>
        <v>Amazon</v>
      </c>
      <c r="G11059" t="s">
        <v>41</v>
      </c>
      <c r="H11059" s="8" t="s">
        <v>37</v>
      </c>
      <c r="I11059" s="8"/>
      <c r="O11059" t="str">
        <f>LEFT(Table2[[#This Row],[Description]],75)</f>
        <v>Amazon</v>
      </c>
    </row>
    <row r="11060" spans="1:15" hidden="1">
      <c r="A11060">
        <v>202402</v>
      </c>
      <c r="B11060" s="6">
        <v>45344</v>
      </c>
      <c r="C11060" t="s">
        <v>4233</v>
      </c>
      <c r="D11060" t="s">
        <v>4887</v>
      </c>
      <c r="E11060">
        <v>42.03</v>
      </c>
      <c r="F11060" s="2" t="str">
        <f>IF(Table2[[#This Row],[Manual Cat Value]]="",VLOOKUP(Table2[[#This Row],[Description]],'Actuals Lookup'!D:F,3,0),VLOOKUP(Table2[[#This Row],[Manual Cat Value]],Lookup!A:B,2,0))</f>
        <v>Transportation</v>
      </c>
      <c r="H11060" s="8" t="s">
        <v>22</v>
      </c>
      <c r="I11060" s="8"/>
      <c r="O11060" t="str">
        <f>LEFT(Table2[[#This Row],[Description]],75)</f>
        <v>Costco Gas Stations</v>
      </c>
    </row>
    <row r="11061" spans="1:15" hidden="1">
      <c r="A11061">
        <v>202408</v>
      </c>
      <c r="B11061" s="6">
        <v>45526</v>
      </c>
      <c r="C11061" t="s">
        <v>2519</v>
      </c>
      <c r="D11061" t="s">
        <v>4470</v>
      </c>
      <c r="E11061">
        <v>-924.3</v>
      </c>
      <c r="F11061" s="2" t="str">
        <f>IF(Table2[[#This Row],[Manual Cat Value]]="",VLOOKUP(Table2[[#This Row],[Description]],'Actuals Lookup'!D:F,3,0),VLOOKUP(Table2[[#This Row],[Manual Cat Value]],Lookup!A:B,2,0))</f>
        <v>Delete</v>
      </c>
      <c r="H11061" t="s">
        <v>9</v>
      </c>
      <c r="I11061" s="8"/>
      <c r="O11061" t="str">
        <f>LEFT(Table2[[#This Row],[Description]],75)</f>
        <v>Connectyourcare Deposit</v>
      </c>
    </row>
    <row r="11062" spans="1:15" hidden="1">
      <c r="A11062">
        <v>202402</v>
      </c>
      <c r="B11062" s="6">
        <v>45344</v>
      </c>
      <c r="C11062" t="s">
        <v>4231</v>
      </c>
      <c r="D11062" t="s">
        <v>1275</v>
      </c>
      <c r="E11062">
        <v>24.72</v>
      </c>
      <c r="F11062" s="2" t="str">
        <f>IF(Table2[[#This Row],[Manual Cat Value]]="",VLOOKUP(Table2[[#This Row],[Description]],'Actuals Lookup'!D:F,3,0),VLOOKUP(Table2[[#This Row],[Manual Cat Value]],Lookup!A:B,2,0))</f>
        <v>Transportation</v>
      </c>
      <c r="H11062" s="8" t="s">
        <v>22</v>
      </c>
      <c r="I11062" s="8"/>
      <c r="O11062" t="str">
        <f>LEFT(Table2[[#This Row],[Description]],75)</f>
        <v>Mister Car Wash</v>
      </c>
    </row>
    <row r="11063" spans="1:15" hidden="1">
      <c r="A11063">
        <v>202402</v>
      </c>
      <c r="B11063" s="6">
        <v>45344</v>
      </c>
      <c r="C11063" t="s">
        <v>5013</v>
      </c>
      <c r="D11063" t="s">
        <v>1353</v>
      </c>
      <c r="E11063">
        <v>30.35</v>
      </c>
      <c r="F11063" s="2" t="str">
        <f>IF(Table2[[#This Row],[Manual Cat Value]]="",VLOOKUP(Table2[[#This Row],[Description]],'Actuals Lookup'!D:F,3,0),VLOOKUP(Table2[[#This Row],[Manual Cat Value]],Lookup!A:B,2,0))</f>
        <v>Restaurants</v>
      </c>
      <c r="G11063" t="s">
        <v>26</v>
      </c>
      <c r="H11063" s="8" t="s">
        <v>25</v>
      </c>
      <c r="I11063" s="8"/>
      <c r="O11063" t="str">
        <f>LEFT(Table2[[#This Row],[Description]],75)</f>
        <v>Noodles &amp; Company</v>
      </c>
    </row>
    <row r="11064" spans="1:15" hidden="1">
      <c r="A11064">
        <v>202402</v>
      </c>
      <c r="B11064" s="6">
        <v>45344</v>
      </c>
      <c r="C11064" t="s">
        <v>5013</v>
      </c>
      <c r="D11064" t="s">
        <v>1931</v>
      </c>
      <c r="E11064">
        <v>91.11</v>
      </c>
      <c r="F11064" s="2" t="str">
        <f>IF(Table2[[#This Row],[Manual Cat Value]]="",VLOOKUP(Table2[[#This Row],[Description]],'Actuals Lookup'!D:F,3,0),VLOOKUP(Table2[[#This Row],[Manual Cat Value]],Lookup!A:B,2,0))</f>
        <v>Groceries</v>
      </c>
      <c r="G11064" t="s">
        <v>28</v>
      </c>
      <c r="I11064" s="8"/>
      <c r="O11064" t="str">
        <f>LEFT(Table2[[#This Row],[Description]],75)</f>
        <v>Trader Joe's</v>
      </c>
    </row>
    <row r="11065" spans="1:15" hidden="1">
      <c r="A11065">
        <v>202410</v>
      </c>
      <c r="B11065" s="6">
        <v>45581</v>
      </c>
      <c r="C11065" t="s">
        <v>2519</v>
      </c>
      <c r="D11065" t="s">
        <v>4470</v>
      </c>
      <c r="E11065">
        <v>-7.99</v>
      </c>
      <c r="F11065" s="2" t="str">
        <f>IF(Table2[[#This Row],[Manual Cat Value]]="",VLOOKUP(Table2[[#This Row],[Description]],'Actuals Lookup'!D:F,3,0),VLOOKUP(Table2[[#This Row],[Manual Cat Value]],Lookup!A:B,2,0))</f>
        <v>Delete</v>
      </c>
      <c r="H11065" s="8" t="s">
        <v>9</v>
      </c>
      <c r="I11065" s="8"/>
      <c r="O11065" t="str">
        <f>LEFT(Table2[[#This Row],[Description]],75)</f>
        <v>Connectyourcare Deposit</v>
      </c>
    </row>
    <row r="11066" spans="1:15" hidden="1">
      <c r="A11066">
        <v>202402</v>
      </c>
      <c r="B11066" s="6">
        <v>45346</v>
      </c>
      <c r="C11066" t="s">
        <v>3932</v>
      </c>
      <c r="D11066" t="s">
        <v>38</v>
      </c>
      <c r="E11066">
        <v>70.430000000000007</v>
      </c>
      <c r="F11066" s="2" t="str">
        <f>IF(Table2[[#This Row],[Manual Cat Value]]="",VLOOKUP(Table2[[#This Row],[Description]],'Actuals Lookup'!D:F,3,0),VLOOKUP(Table2[[#This Row],[Manual Cat Value]],Lookup!A:B,2,0))</f>
        <v>Amazon</v>
      </c>
      <c r="G11066" t="s">
        <v>38</v>
      </c>
      <c r="H11066" s="8" t="s">
        <v>37</v>
      </c>
      <c r="I11066" s="8"/>
      <c r="O11066" t="str">
        <f>LEFT(Table2[[#This Row],[Description]],75)</f>
        <v>Amazon</v>
      </c>
    </row>
    <row r="11067" spans="1:15" hidden="1">
      <c r="A11067">
        <v>202402</v>
      </c>
      <c r="B11067" s="6">
        <v>45347</v>
      </c>
      <c r="C11067" t="s">
        <v>5013</v>
      </c>
      <c r="D11067" t="s">
        <v>5265</v>
      </c>
      <c r="E11067">
        <v>305.29000000000002</v>
      </c>
      <c r="F11067" s="2" t="str">
        <f>IF(Table2[[#This Row],[Manual Cat Value]]="",VLOOKUP(Table2[[#This Row],[Description]],'Actuals Lookup'!D:F,3,0),VLOOKUP(Table2[[#This Row],[Manual Cat Value]],Lookup!A:B,2,0))</f>
        <v>Shopping</v>
      </c>
      <c r="G11067" t="s">
        <v>5266</v>
      </c>
      <c r="H11067" s="8" t="s">
        <v>36</v>
      </c>
      <c r="I11067" s="8"/>
      <c r="O11067" t="str">
        <f>LEFT(Table2[[#This Row],[Description]],75)</f>
        <v>Smith</v>
      </c>
    </row>
    <row r="11068" spans="1:15" hidden="1">
      <c r="A11068">
        <v>202402</v>
      </c>
      <c r="B11068" s="6">
        <v>45347</v>
      </c>
      <c r="C11068" t="s">
        <v>5013</v>
      </c>
      <c r="D11068" t="s">
        <v>2079</v>
      </c>
      <c r="E11068">
        <v>72.930000000000007</v>
      </c>
      <c r="F11068" s="2" t="str">
        <f>IF(Table2[[#This Row],[Manual Cat Value]]="",VLOOKUP(Table2[[#This Row],[Description]],'Actuals Lookup'!D:F,3,0),VLOOKUP(Table2[[#This Row],[Manual Cat Value]],Lookup!A:B,2,0))</f>
        <v>Restaurants</v>
      </c>
      <c r="G11068" t="s">
        <v>26</v>
      </c>
      <c r="H11068" s="8" t="s">
        <v>25</v>
      </c>
      <c r="I11068" s="8"/>
      <c r="O11068" t="str">
        <f>LEFT(Table2[[#This Row],[Description]],75)</f>
        <v>Uber Eats</v>
      </c>
    </row>
    <row r="11069" spans="1:15" hidden="1">
      <c r="A11069">
        <v>202402</v>
      </c>
      <c r="B11069" s="6">
        <v>45348</v>
      </c>
      <c r="C11069" t="s">
        <v>5013</v>
      </c>
      <c r="D11069" t="s">
        <v>113</v>
      </c>
      <c r="E11069">
        <v>295.56</v>
      </c>
      <c r="F11069" s="2" t="str">
        <f>IF(Table2[[#This Row],[Manual Cat Value]]="",VLOOKUP(Table2[[#This Row],[Description]],'Actuals Lookup'!D:F,3,0),VLOOKUP(Table2[[#This Row],[Manual Cat Value]],Lookup!A:B,2,0))</f>
        <v>Amazon</v>
      </c>
      <c r="G11069" t="s">
        <v>38</v>
      </c>
      <c r="H11069" s="8" t="s">
        <v>37</v>
      </c>
      <c r="I11069" s="8"/>
      <c r="O11069" t="str">
        <f>LEFT(Table2[[#This Row],[Description]],75)</f>
        <v>Amazon Marketplace</v>
      </c>
    </row>
    <row r="11070" spans="1:15" hidden="1">
      <c r="A11070">
        <v>202410</v>
      </c>
      <c r="B11070" s="6">
        <v>45587</v>
      </c>
      <c r="C11070" t="s">
        <v>2519</v>
      </c>
      <c r="D11070" t="s">
        <v>4470</v>
      </c>
      <c r="E11070">
        <v>-9.42</v>
      </c>
      <c r="F11070" s="2" t="str">
        <f>IF(Table2[[#This Row],[Manual Cat Value]]="",VLOOKUP(Table2[[#This Row],[Description]],'Actuals Lookup'!D:F,3,0),VLOOKUP(Table2[[#This Row],[Manual Cat Value]],Lookup!A:B,2,0))</f>
        <v>Delete</v>
      </c>
      <c r="H11070" s="8" t="s">
        <v>9</v>
      </c>
      <c r="I11070" s="8"/>
      <c r="O11070" t="str">
        <f>LEFT(Table2[[#This Row],[Description]],75)</f>
        <v>Connectyourcare Deposit</v>
      </c>
    </row>
    <row r="11071" spans="1:15" hidden="1">
      <c r="A11071">
        <v>202412</v>
      </c>
      <c r="B11071" s="6">
        <v>45643</v>
      </c>
      <c r="C11071" t="s">
        <v>2519</v>
      </c>
      <c r="D11071" t="s">
        <v>4470</v>
      </c>
      <c r="E11071">
        <v>-39.75</v>
      </c>
      <c r="F11071" s="2" t="str">
        <f>IF(Table2[[#This Row],[Manual Cat Value]]="",VLOOKUP(Table2[[#This Row],[Description]],'Actuals Lookup'!D:F,3,0),VLOOKUP(Table2[[#This Row],[Manual Cat Value]],Lookup!A:B,2,0))</f>
        <v>Delete</v>
      </c>
      <c r="I11071" s="8"/>
      <c r="O11071" t="str">
        <f>LEFT(Table2[[#This Row],[Description]],75)</f>
        <v>Connectyourcare Deposit</v>
      </c>
    </row>
    <row r="11072" spans="1:15" hidden="1">
      <c r="A11072">
        <v>202402</v>
      </c>
      <c r="B11072" s="6">
        <v>45348</v>
      </c>
      <c r="C11072" t="s">
        <v>2519</v>
      </c>
      <c r="D11072" t="s">
        <v>4415</v>
      </c>
      <c r="E11072">
        <v>987.93</v>
      </c>
      <c r="F11072" s="2" t="str">
        <f>IF(Table2[[#This Row],[Manual Cat Value]]="",VLOOKUP(Table2[[#This Row],[Description]],'Actuals Lookup'!D:F,3,0),VLOOKUP(Table2[[#This Row],[Manual Cat Value]],Lookup!A:B,2,0))</f>
        <v>Target</v>
      </c>
      <c r="H11072" s="8" t="s">
        <v>30</v>
      </c>
      <c r="I11072" s="8"/>
      <c r="O11072" t="str">
        <f>LEFT(Table2[[#This Row],[Description]],75)</f>
        <v>Payment to Jeffrey B</v>
      </c>
    </row>
    <row r="11073" spans="1:15" hidden="1">
      <c r="A11073">
        <v>202402</v>
      </c>
      <c r="B11073" s="6">
        <v>45348</v>
      </c>
      <c r="C11073" t="s">
        <v>2519</v>
      </c>
      <c r="D11073" t="s">
        <v>4404</v>
      </c>
      <c r="E11073">
        <v>800</v>
      </c>
      <c r="F11073" s="2" t="str">
        <f>IF(Table2[[#This Row],[Manual Cat Value]]="",VLOOKUP(Table2[[#This Row],[Description]],'Actuals Lookup'!D:F,3,0),VLOOKUP(Table2[[#This Row],[Manual Cat Value]],Lookup!A:B,2,0))</f>
        <v>Savings</v>
      </c>
      <c r="H11073" s="8" t="s">
        <v>58</v>
      </c>
      <c r="I11073" s="8"/>
      <c r="O11073" t="str">
        <f>LEFT(Table2[[#This Row],[Description]],75)</f>
        <v>Transfer to Discover Bank</v>
      </c>
    </row>
    <row r="11074" spans="1:15" hidden="1">
      <c r="A11074">
        <v>202402</v>
      </c>
      <c r="B11074" s="6">
        <v>45348</v>
      </c>
      <c r="C11074" t="s">
        <v>2519</v>
      </c>
      <c r="D11074" t="s">
        <v>1955</v>
      </c>
      <c r="E11074">
        <v>133.18</v>
      </c>
      <c r="F11074" s="2" t="str">
        <f>IF(Table2[[#This Row],[Manual Cat Value]]="",VLOOKUP(Table2[[#This Row],[Description]],'Actuals Lookup'!D:F,3,0),VLOOKUP(Table2[[#This Row],[Manual Cat Value]],Lookup!A:B,2,0))</f>
        <v>Shopping</v>
      </c>
      <c r="H11074" s="8" t="s">
        <v>36</v>
      </c>
      <c r="I11074" s="8"/>
      <c r="O11074" t="str">
        <f>LEFT(Table2[[#This Row],[Description]],75)</f>
        <v>Transfer to PayPal</v>
      </c>
    </row>
    <row r="11075" spans="1:15" hidden="1">
      <c r="A11075">
        <v>202402</v>
      </c>
      <c r="B11075" s="6">
        <v>45348</v>
      </c>
      <c r="C11075" t="s">
        <v>2519</v>
      </c>
      <c r="D11075" t="s">
        <v>1955</v>
      </c>
      <c r="E11075">
        <v>21.25</v>
      </c>
      <c r="F11075" s="2" t="str">
        <f>IF(Table2[[#This Row],[Manual Cat Value]]="",VLOOKUP(Table2[[#This Row],[Description]],'Actuals Lookup'!D:F,3,0),VLOOKUP(Table2[[#This Row],[Manual Cat Value]],Lookup!A:B,2,0))</f>
        <v>Shopping</v>
      </c>
      <c r="H11075" s="8" t="s">
        <v>36</v>
      </c>
      <c r="I11075" s="8"/>
      <c r="O11075" t="str">
        <f>LEFT(Table2[[#This Row],[Description]],75)</f>
        <v>Transfer to PayPal</v>
      </c>
    </row>
    <row r="11076" spans="1:15" hidden="1">
      <c r="A11076">
        <v>202402</v>
      </c>
      <c r="B11076" s="6">
        <v>45349</v>
      </c>
      <c r="C11076" t="s">
        <v>3938</v>
      </c>
      <c r="D11076" t="s">
        <v>5267</v>
      </c>
      <c r="E11076">
        <v>38.81</v>
      </c>
      <c r="F11076" s="2" t="str">
        <f>IF(Table2[[#This Row],[Manual Cat Value]]="",VLOOKUP(Table2[[#This Row],[Description]],'Actuals Lookup'!D:F,3,0),VLOOKUP(Table2[[#This Row],[Manual Cat Value]],Lookup!A:B,2,0))</f>
        <v>Transportation</v>
      </c>
      <c r="H11076" s="8" t="s">
        <v>22</v>
      </c>
      <c r="I11076" s="8"/>
      <c r="O11076" t="str">
        <f>LEFT(Table2[[#This Row],[Description]],75)</f>
        <v>Marathon Petroleum</v>
      </c>
    </row>
    <row r="11077" spans="1:15" hidden="1">
      <c r="A11077">
        <v>202412</v>
      </c>
      <c r="B11077" s="6">
        <v>45643</v>
      </c>
      <c r="C11077" t="s">
        <v>2519</v>
      </c>
      <c r="D11077" t="s">
        <v>4470</v>
      </c>
      <c r="E11077">
        <v>-59.54</v>
      </c>
      <c r="F11077" s="2" t="str">
        <f>IF(Table2[[#This Row],[Manual Cat Value]]="",VLOOKUP(Table2[[#This Row],[Description]],'Actuals Lookup'!D:F,3,0),VLOOKUP(Table2[[#This Row],[Manual Cat Value]],Lookup!A:B,2,0))</f>
        <v>Delete</v>
      </c>
      <c r="I11077" s="8"/>
      <c r="O11077" t="str">
        <f>LEFT(Table2[[#This Row],[Description]],75)</f>
        <v>Connectyourcare Deposit</v>
      </c>
    </row>
    <row r="11078" spans="1:15" hidden="1">
      <c r="A11078">
        <v>202402</v>
      </c>
      <c r="B11078" s="6">
        <v>45349</v>
      </c>
      <c r="C11078" t="s">
        <v>2519</v>
      </c>
      <c r="D11078" t="s">
        <v>5268</v>
      </c>
      <c r="E11078" s="46">
        <v>346</v>
      </c>
      <c r="F11078" s="2" t="str">
        <f>IF(Table2[[#This Row],[Manual Cat Value]]="",VLOOKUP(Table2[[#This Row],[Description]],'Actuals Lookup'!D:F,3,0),VLOOKUP(Table2[[#This Row],[Manual Cat Value]],Lookup!A:B,2,0))</f>
        <v>Day Care</v>
      </c>
      <c r="H11078" s="8" t="s">
        <v>19</v>
      </c>
      <c r="I11078" s="8"/>
      <c r="O11078" t="str">
        <f>LEFT(Table2[[#This Row],[Description]],75)</f>
        <v>Withdrawal ACH MHCHILDCARELLC TYPE: DUES ID: XX8198 CO: MHCHILDCARELLC Entr</v>
      </c>
    </row>
    <row r="11079" spans="1:15" hidden="1">
      <c r="A11079">
        <v>202402</v>
      </c>
      <c r="B11079" s="6">
        <v>45350</v>
      </c>
      <c r="C11079" t="s">
        <v>3932</v>
      </c>
      <c r="D11079" t="s">
        <v>38</v>
      </c>
      <c r="E11079">
        <v>15.16</v>
      </c>
      <c r="F11079" s="2" t="str">
        <f>IF(Table2[[#This Row],[Manual Cat Value]]="",VLOOKUP(Table2[[#This Row],[Description]],'Actuals Lookup'!D:F,3,0),VLOOKUP(Table2[[#This Row],[Manual Cat Value]],Lookup!A:B,2,0))</f>
        <v>Amazon</v>
      </c>
      <c r="G11079" t="s">
        <v>41</v>
      </c>
      <c r="H11079" s="8" t="s">
        <v>37</v>
      </c>
      <c r="I11079" s="8"/>
      <c r="O11079" t="str">
        <f>LEFT(Table2[[#This Row],[Description]],75)</f>
        <v>Amazon</v>
      </c>
    </row>
    <row r="11080" spans="1:15" hidden="1">
      <c r="A11080">
        <v>202402</v>
      </c>
      <c r="B11080" s="6">
        <v>45350</v>
      </c>
      <c r="C11080" t="s">
        <v>3932</v>
      </c>
      <c r="D11080" t="s">
        <v>38</v>
      </c>
      <c r="E11080">
        <v>97.52</v>
      </c>
      <c r="F11080" s="2" t="str">
        <f>IF(Table2[[#This Row],[Manual Cat Value]]="",VLOOKUP(Table2[[#This Row],[Description]],'Actuals Lookup'!D:F,3,0),VLOOKUP(Table2[[#This Row],[Manual Cat Value]],Lookup!A:B,2,0))</f>
        <v>Amazon</v>
      </c>
      <c r="G11080" t="s">
        <v>41</v>
      </c>
      <c r="H11080" s="8" t="s">
        <v>37</v>
      </c>
      <c r="I11080" s="8"/>
      <c r="O11080" t="str">
        <f>LEFT(Table2[[#This Row],[Description]],75)</f>
        <v>Amazon</v>
      </c>
    </row>
    <row r="11081" spans="1:15" hidden="1">
      <c r="A11081">
        <v>202412</v>
      </c>
      <c r="B11081" s="6">
        <v>45645</v>
      </c>
      <c r="C11081" t="s">
        <v>2519</v>
      </c>
      <c r="D11081" t="s">
        <v>4470</v>
      </c>
      <c r="E11081">
        <v>-13.77</v>
      </c>
      <c r="F11081" s="2" t="str">
        <f>IF(Table2[[#This Row],[Manual Cat Value]]="",VLOOKUP(Table2[[#This Row],[Description]],'Actuals Lookup'!D:F,3,0),VLOOKUP(Table2[[#This Row],[Manual Cat Value]],Lookup!A:B,2,0))</f>
        <v>Delete</v>
      </c>
      <c r="I11081" s="8"/>
      <c r="O11081" t="str">
        <f>LEFT(Table2[[#This Row],[Description]],75)</f>
        <v>Connectyourcare Deposit</v>
      </c>
    </row>
    <row r="11082" spans="1:15" hidden="1">
      <c r="A11082">
        <v>202409</v>
      </c>
      <c r="B11082" s="6">
        <v>45544</v>
      </c>
      <c r="C11082" t="s">
        <v>5269</v>
      </c>
      <c r="D11082" t="s">
        <v>5270</v>
      </c>
      <c r="E11082">
        <v>37.18</v>
      </c>
      <c r="F11082" s="2" t="str">
        <f>IF(Table2[[#This Row],[Manual Cat Value]]="",VLOOKUP(Table2[[#This Row],[Description]],'Actuals Lookup'!D:F,3,0),VLOOKUP(Table2[[#This Row],[Manual Cat Value]],Lookup!A:B,2,0))</f>
        <v>Delete</v>
      </c>
      <c r="H11082" s="8" t="s">
        <v>9</v>
      </c>
      <c r="I11082" s="8"/>
      <c r="O11082" t="str">
        <f>LEFT(Table2[[#This Row],[Description]],75)</f>
        <v>Courtyard By MarriotNashville           TN</v>
      </c>
    </row>
    <row r="11083" spans="1:15" hidden="1">
      <c r="A11083">
        <v>202402</v>
      </c>
      <c r="B11083" s="6">
        <v>45350</v>
      </c>
      <c r="C11083" t="s">
        <v>2519</v>
      </c>
      <c r="D11083" t="s">
        <v>4343</v>
      </c>
      <c r="E11083">
        <v>-3805.79</v>
      </c>
      <c r="F11083" s="2" t="str">
        <f>IF(Table2[[#This Row],[Manual Cat Value]]="",VLOOKUP(Table2[[#This Row],[Description]],'Actuals Lookup'!D:F,3,0),VLOOKUP(Table2[[#This Row],[Manual Cat Value]],Lookup!A:B,2,0))</f>
        <v>Jeff</v>
      </c>
      <c r="H11083" s="8" t="s">
        <v>63</v>
      </c>
      <c r="I11083" s="8"/>
      <c r="O11083" t="str">
        <f>LEFT(Table2[[#This Row],[Description]],75)</f>
        <v>Salary/Regular Income from TriNet</v>
      </c>
    </row>
    <row r="11084" spans="1:15" hidden="1">
      <c r="A11084">
        <v>202402</v>
      </c>
      <c r="B11084" s="6">
        <v>45350</v>
      </c>
      <c r="C11084" t="s">
        <v>2519</v>
      </c>
      <c r="D11084" t="s">
        <v>1955</v>
      </c>
      <c r="E11084">
        <v>6.47</v>
      </c>
      <c r="F11084" s="2" t="str">
        <f>IF(Table2[[#This Row],[Manual Cat Value]]="",VLOOKUP(Table2[[#This Row],[Description]],'Actuals Lookup'!D:F,3,0),VLOOKUP(Table2[[#This Row],[Manual Cat Value]],Lookup!A:B,2,0))</f>
        <v>Shopping</v>
      </c>
      <c r="H11084" s="8" t="s">
        <v>36</v>
      </c>
      <c r="I11084" s="8"/>
      <c r="O11084" t="str">
        <f>LEFT(Table2[[#This Row],[Description]],75)</f>
        <v>Transfer to PayPal</v>
      </c>
    </row>
    <row r="11085" spans="1:15" hidden="1">
      <c r="A11085">
        <v>202402</v>
      </c>
      <c r="B11085" s="6">
        <v>45350</v>
      </c>
      <c r="C11085" t="s">
        <v>2519</v>
      </c>
      <c r="D11085" t="s">
        <v>1955</v>
      </c>
      <c r="E11085">
        <v>0.99</v>
      </c>
      <c r="F11085" s="2" t="str">
        <f>IF(Table2[[#This Row],[Manual Cat Value]]="",VLOOKUP(Table2[[#This Row],[Description]],'Actuals Lookup'!D:F,3,0),VLOOKUP(Table2[[#This Row],[Manual Cat Value]],Lookup!A:B,2,0))</f>
        <v>Shopping</v>
      </c>
      <c r="H11085" s="8" t="s">
        <v>36</v>
      </c>
      <c r="I11085" s="8"/>
      <c r="O11085" t="str">
        <f>LEFT(Table2[[#This Row],[Description]],75)</f>
        <v>Transfer to PayPal</v>
      </c>
    </row>
    <row r="11086" spans="1:15" hidden="1">
      <c r="A11086">
        <v>202402</v>
      </c>
      <c r="B11086" s="6">
        <v>45351</v>
      </c>
      <c r="C11086" t="s">
        <v>2519</v>
      </c>
      <c r="D11086" t="s">
        <v>404</v>
      </c>
      <c r="E11086">
        <v>-2666.33</v>
      </c>
      <c r="F11086" s="2" t="str">
        <f>IF(Table2[[#This Row],[Manual Cat Value]]="",VLOOKUP(Table2[[#This Row],[Description]],'Actuals Lookup'!D:F,3,0),VLOOKUP(Table2[[#This Row],[Manual Cat Value]],Lookup!A:B,2,0))</f>
        <v>Britney</v>
      </c>
      <c r="H11086" s="8" t="s">
        <v>65</v>
      </c>
      <c r="I11086" s="8"/>
      <c r="O11086" t="str">
        <f>LEFT(Table2[[#This Row],[Description]],75)</f>
        <v>Cargill Inc Deposit</v>
      </c>
    </row>
    <row r="11087" spans="1:15" hidden="1">
      <c r="A11087">
        <v>202402</v>
      </c>
      <c r="B11087" s="6">
        <v>45351</v>
      </c>
      <c r="C11087" t="s">
        <v>2519</v>
      </c>
      <c r="D11087" t="s">
        <v>5271</v>
      </c>
      <c r="E11087">
        <v>-45.1</v>
      </c>
      <c r="F11087" s="2" t="str">
        <f>IF(Table2[[#This Row],[Manual Cat Value]]="",VLOOKUP(Table2[[#This Row],[Description]],'Actuals Lookup'!D:F,3,0),VLOOKUP(Table2[[#This Row],[Manual Cat Value]],Lookup!A:B,2,0))</f>
        <v>Inc - Other</v>
      </c>
      <c r="H11087" s="8" t="s">
        <v>16</v>
      </c>
      <c r="I11087" s="8"/>
      <c r="O11087" t="str">
        <f>LEFT(Table2[[#This Row],[Description]],75)</f>
        <v>Deposit Dividend Split Rate Annual Percentage Yield Earned 3.69% from 02/01</v>
      </c>
    </row>
    <row r="11088" spans="1:15" hidden="1">
      <c r="A11088">
        <v>202402</v>
      </c>
      <c r="B11088" s="6">
        <v>45351</v>
      </c>
      <c r="C11088" t="s">
        <v>2519</v>
      </c>
      <c r="D11088" t="s">
        <v>5148</v>
      </c>
      <c r="E11088">
        <v>255.46</v>
      </c>
      <c r="F11088" s="2" t="str">
        <f>IF(Table2[[#This Row],[Manual Cat Value]]="",VLOOKUP(Table2[[#This Row],[Description]],'Actuals Lookup'!D:F,3,0),VLOOKUP(Table2[[#This Row],[Manual Cat Value]],Lookup!A:B,2,0))</f>
        <v>Utilities</v>
      </c>
      <c r="H11088" s="8" t="s">
        <v>6</v>
      </c>
      <c r="I11088" s="8"/>
      <c r="O11088" t="str">
        <f>LEFT(Table2[[#This Row],[Description]],75)</f>
        <v>Payment to AT&amp;T</v>
      </c>
    </row>
    <row r="11089" spans="1:15" hidden="1">
      <c r="A11089">
        <v>202409</v>
      </c>
      <c r="B11089" s="6">
        <v>45546</v>
      </c>
      <c r="C11089" t="s">
        <v>5272</v>
      </c>
      <c r="D11089" t="s">
        <v>5270</v>
      </c>
      <c r="E11089">
        <v>210.59</v>
      </c>
      <c r="F11089" s="2" t="str">
        <f>IF(Table2[[#This Row],[Manual Cat Value]]="",VLOOKUP(Table2[[#This Row],[Description]],'Actuals Lookup'!D:F,3,0),VLOOKUP(Table2[[#This Row],[Manual Cat Value]],Lookup!A:B,2,0))</f>
        <v>Delete</v>
      </c>
      <c r="H11089" s="8" t="s">
        <v>9</v>
      </c>
      <c r="I11089" s="8"/>
      <c r="O11089" t="str">
        <f>LEFT(Table2[[#This Row],[Description]],75)</f>
        <v>Courtyard By MarriotNashville           TN</v>
      </c>
    </row>
    <row r="11090" spans="1:15" hidden="1">
      <c r="A11090">
        <v>202401</v>
      </c>
      <c r="B11090" s="6">
        <v>45299</v>
      </c>
      <c r="C11090" t="s">
        <v>5013</v>
      </c>
      <c r="D11090" t="s">
        <v>5026</v>
      </c>
      <c r="E11090">
        <v>29.3</v>
      </c>
      <c r="F11090" s="2" t="str">
        <f>IF(Table2[[#This Row],[Manual Cat Value]]="",VLOOKUP(Table2[[#This Row],[Description]],'Actuals Lookup'!D:F,3,0),VLOOKUP(Table2[[#This Row],[Manual Cat Value]],Lookup!A:B,2,0))</f>
        <v>Delete</v>
      </c>
      <c r="G11090" t="s">
        <v>11</v>
      </c>
      <c r="H11090" s="8" t="s">
        <v>9</v>
      </c>
      <c r="I11090" s="8"/>
      <c r="O11090" t="str">
        <f>LEFT(Table2[[#This Row],[Description]],75)</f>
        <v>Creative Mobilxx0014boston Ma</v>
      </c>
    </row>
    <row r="11091" spans="1:15" hidden="1">
      <c r="A11091">
        <v>202402</v>
      </c>
      <c r="B11091" s="6">
        <v>45351</v>
      </c>
      <c r="C11091" t="s">
        <v>5013</v>
      </c>
      <c r="D11091" t="s">
        <v>1626</v>
      </c>
      <c r="E11091">
        <v>20</v>
      </c>
      <c r="F11091" s="2" t="str">
        <f>IF(Table2[[#This Row],[Manual Cat Value]]="",VLOOKUP(Table2[[#This Row],[Description]],'Actuals Lookup'!D:F,3,0),VLOOKUP(Table2[[#This Row],[Manual Cat Value]],Lookup!A:B,2,0))</f>
        <v>Shopping</v>
      </c>
      <c r="G11091" t="s">
        <v>31</v>
      </c>
      <c r="H11091" s="8" t="s">
        <v>36</v>
      </c>
      <c r="I11091" s="8"/>
      <c r="O11091" t="str">
        <f>LEFT(Table2[[#This Row],[Description]],75)</f>
        <v>Scholastic Corporation</v>
      </c>
    </row>
    <row r="11092" spans="1:15" hidden="1">
      <c r="A11092">
        <v>202403</v>
      </c>
      <c r="B11092" s="6">
        <v>45352</v>
      </c>
      <c r="C11092" t="s">
        <v>3938</v>
      </c>
      <c r="D11092" t="s">
        <v>5273</v>
      </c>
      <c r="E11092">
        <v>6.49</v>
      </c>
      <c r="F11092" s="2" t="str">
        <f>IF(Table2[[#This Row],[Manual Cat Value]]="",VLOOKUP(Table2[[#This Row],[Description]],'Actuals Lookup'!D:F,3,0),VLOOKUP(Table2[[#This Row],[Manual Cat Value]],Lookup!A:B,2,0))</f>
        <v>Entertainment</v>
      </c>
      <c r="H11092" s="8" t="s">
        <v>39</v>
      </c>
      <c r="I11092" s="8"/>
      <c r="O11092" t="str">
        <f>LEFT(Table2[[#This Row],[Description]],75)</f>
        <v>Amazon Music*RW6O34WO1 XX-3080 WA REF #XX9216ED33RJ6W28</v>
      </c>
    </row>
    <row r="11093" spans="1:15" hidden="1">
      <c r="A11093">
        <v>202403</v>
      </c>
      <c r="B11093" s="6">
        <v>45352</v>
      </c>
      <c r="C11093" t="s">
        <v>5013</v>
      </c>
      <c r="D11093" t="s">
        <v>5016</v>
      </c>
      <c r="E11093">
        <v>110.48</v>
      </c>
      <c r="F11093" s="2" t="str">
        <f>IF(Table2[[#This Row],[Manual Cat Value]]="",VLOOKUP(Table2[[#This Row],[Description]],'Actuals Lookup'!D:F,3,0),VLOOKUP(Table2[[#This Row],[Manual Cat Value]],Lookup!A:B,2,0))</f>
        <v>Restaurants</v>
      </c>
      <c r="G11093" t="s">
        <v>26</v>
      </c>
      <c r="I11093" s="8"/>
      <c r="O11093" t="str">
        <f>LEFT(Table2[[#This Row],[Description]],75)</f>
        <v>Buddy Boy Fine Barbeminnetrista Mn</v>
      </c>
    </row>
    <row r="11094" spans="1:15" hidden="1">
      <c r="A11094">
        <v>202403</v>
      </c>
      <c r="B11094" s="6">
        <v>45352</v>
      </c>
      <c r="C11094" t="s">
        <v>5160</v>
      </c>
      <c r="D11094" t="s">
        <v>5016</v>
      </c>
      <c r="E11094">
        <v>110.48</v>
      </c>
      <c r="F11094" s="2" t="str">
        <f>IF(Table2[[#This Row],[Manual Cat Value]]="",VLOOKUP(Table2[[#This Row],[Description]],'Actuals Lookup'!D:F,3,0),VLOOKUP(Table2[[#This Row],[Manual Cat Value]],Lookup!A:B,2,0))</f>
        <v>Restaurants</v>
      </c>
      <c r="G11094" t="s">
        <v>26</v>
      </c>
      <c r="I11094" s="8"/>
      <c r="O11094" t="str">
        <f>LEFT(Table2[[#This Row],[Description]],75)</f>
        <v>Buddy Boy Fine Barbeminnetrista Mn</v>
      </c>
    </row>
    <row r="11095" spans="1:15" hidden="1">
      <c r="A11095">
        <v>202403</v>
      </c>
      <c r="B11095" s="6">
        <v>45352</v>
      </c>
      <c r="C11095" t="s">
        <v>5013</v>
      </c>
      <c r="D11095" t="s">
        <v>545</v>
      </c>
      <c r="E11095">
        <v>11.83</v>
      </c>
      <c r="F11095" s="2" t="str">
        <f>IF(Table2[[#This Row],[Manual Cat Value]]="",VLOOKUP(Table2[[#This Row],[Description]],'Actuals Lookup'!D:F,3,0),VLOOKUP(Table2[[#This Row],[Manual Cat Value]],Lookup!A:B,2,0))</f>
        <v>Restaurants</v>
      </c>
      <c r="G11095" t="s">
        <v>26</v>
      </c>
      <c r="I11095" s="8"/>
      <c r="O11095" t="str">
        <f>LEFT(Table2[[#This Row],[Description]],75)</f>
        <v>Chipotle Mexican Grill</v>
      </c>
    </row>
    <row r="11096" spans="1:15" hidden="1">
      <c r="A11096">
        <v>202403</v>
      </c>
      <c r="B11096" s="6">
        <v>45352</v>
      </c>
      <c r="C11096" t="s">
        <v>5160</v>
      </c>
      <c r="D11096" t="s">
        <v>545</v>
      </c>
      <c r="E11096">
        <v>11.83</v>
      </c>
      <c r="F11096" s="2" t="str">
        <f>IF(Table2[[#This Row],[Manual Cat Value]]="",VLOOKUP(Table2[[#This Row],[Description]],'Actuals Lookup'!D:F,3,0),VLOOKUP(Table2[[#This Row],[Manual Cat Value]],Lookup!A:B,2,0))</f>
        <v>Restaurants</v>
      </c>
      <c r="G11096" t="s">
        <v>26</v>
      </c>
      <c r="I11096" s="8"/>
      <c r="O11096" t="str">
        <f>LEFT(Table2[[#This Row],[Description]],75)</f>
        <v>Chipotle Mexican Grill</v>
      </c>
    </row>
    <row r="11097" spans="1:15" hidden="1">
      <c r="A11097">
        <v>202403</v>
      </c>
      <c r="B11097" s="6">
        <v>45352</v>
      </c>
      <c r="C11097" t="s">
        <v>2281</v>
      </c>
      <c r="D11097" t="s">
        <v>14</v>
      </c>
      <c r="E11097">
        <f>125*2</f>
        <v>250</v>
      </c>
      <c r="F11097" s="2" t="str">
        <f>IF(Table2[[#This Row],[Manual Cat Value]]="",VLOOKUP(Table2[[#This Row],[Description]],'Actuals Lookup'!D:F,3,0),VLOOKUP(Table2[[#This Row],[Manual Cat Value]],Lookup!A:B,2,0))</f>
        <v>Cleaning</v>
      </c>
      <c r="H11097" s="8" t="s">
        <v>13</v>
      </c>
      <c r="I11097" s="8"/>
      <c r="O11097" t="str">
        <f>LEFT(Table2[[#This Row],[Description]],75)</f>
        <v>Cleaning</v>
      </c>
    </row>
    <row r="11098" spans="1:15" hidden="1">
      <c r="A11098">
        <v>202403</v>
      </c>
      <c r="B11098" s="6">
        <v>45352</v>
      </c>
      <c r="C11098" t="s">
        <v>5013</v>
      </c>
      <c r="D11098" t="s">
        <v>5274</v>
      </c>
      <c r="E11098">
        <v>83.8</v>
      </c>
      <c r="F11098" s="2" t="str">
        <f>IF(Table2[[#This Row],[Manual Cat Value]]="",VLOOKUP(Table2[[#This Row],[Description]],'Actuals Lookup'!D:F,3,0),VLOOKUP(Table2[[#This Row],[Manual Cat Value]],Lookup!A:B,2,0))</f>
        <v>Entertainment</v>
      </c>
      <c r="G11098" t="s">
        <v>40</v>
      </c>
      <c r="H11098" s="8" t="s">
        <v>39</v>
      </c>
      <c r="I11098" s="8"/>
      <c r="O11098" t="str">
        <f>LEFT(Table2[[#This Row],[Description]],75)</f>
        <v>Minnesota Zoo Membership</v>
      </c>
    </row>
    <row r="11099" spans="1:15" hidden="1">
      <c r="A11099">
        <v>202403</v>
      </c>
      <c r="B11099" s="6">
        <v>45352</v>
      </c>
      <c r="C11099" t="s">
        <v>5160</v>
      </c>
      <c r="D11099" t="s">
        <v>5274</v>
      </c>
      <c r="E11099">
        <v>83.8</v>
      </c>
      <c r="F11099" s="2" t="str">
        <f>IF(Table2[[#This Row],[Manual Cat Value]]="",VLOOKUP(Table2[[#This Row],[Description]],'Actuals Lookup'!D:F,3,0),VLOOKUP(Table2[[#This Row],[Manual Cat Value]],Lookup!A:B,2,0))</f>
        <v>Entertainment</v>
      </c>
      <c r="G11099" t="s">
        <v>40</v>
      </c>
      <c r="H11099" s="8" t="s">
        <v>39</v>
      </c>
      <c r="I11099" s="8"/>
      <c r="O11099" t="str">
        <f>LEFT(Table2[[#This Row],[Description]],75)</f>
        <v>Minnesota Zoo Membership</v>
      </c>
    </row>
    <row r="11100" spans="1:15" hidden="1">
      <c r="A11100">
        <v>202403</v>
      </c>
      <c r="B11100" s="6">
        <v>45352</v>
      </c>
      <c r="C11100" t="s">
        <v>2519</v>
      </c>
      <c r="D11100" t="s">
        <v>1460</v>
      </c>
      <c r="E11100">
        <v>2741.74</v>
      </c>
      <c r="F11100" s="2" t="str">
        <f>IF(Table2[[#This Row],[Manual Cat Value]]="",VLOOKUP(Table2[[#This Row],[Description]],'Actuals Lookup'!D:F,3,0),VLOOKUP(Table2[[#This Row],[Manual Cat Value]],Lookup!A:B,2,0))</f>
        <v>Rent</v>
      </c>
      <c r="I11100" s="8"/>
      <c r="O11100" t="str">
        <f>LEFT(Table2[[#This Row],[Description]],75)</f>
        <v>Payment to Baxter Credit Union</v>
      </c>
    </row>
    <row r="11101" spans="1:15" hidden="1">
      <c r="A11101">
        <v>202401</v>
      </c>
      <c r="B11101" s="6">
        <v>45299</v>
      </c>
      <c r="C11101" t="s">
        <v>4310</v>
      </c>
      <c r="D11101" t="s">
        <v>673</v>
      </c>
      <c r="E11101">
        <v>-904.66</v>
      </c>
      <c r="F11101" s="2" t="str">
        <f>IF(Table2[[#This Row],[Manual Cat Value]]="",VLOOKUP(Table2[[#This Row],[Description]],'Actuals Lookup'!D:F,3,0),VLOOKUP(Table2[[#This Row],[Manual Cat Value]],Lookup!A:B,2,0))</f>
        <v>Delete</v>
      </c>
      <c r="H11101" s="8" t="s">
        <v>9</v>
      </c>
      <c r="I11101" s="8"/>
      <c r="O11101" t="str">
        <f>LEFT(Table2[[#This Row],[Description]],75)</f>
        <v>Credit Card Payment Received</v>
      </c>
    </row>
    <row r="11102" spans="1:15" hidden="1">
      <c r="A11102">
        <v>202403</v>
      </c>
      <c r="B11102" s="6">
        <v>45353</v>
      </c>
      <c r="C11102" t="s">
        <v>5013</v>
      </c>
      <c r="D11102" t="s">
        <v>161</v>
      </c>
      <c r="E11102">
        <v>576.4</v>
      </c>
      <c r="F11102" s="2" t="str">
        <f>IF(Table2[[#This Row],[Manual Cat Value]]="",VLOOKUP(Table2[[#This Row],[Description]],'Actuals Lookup'!D:F,3,0),VLOOKUP(Table2[[#This Row],[Manual Cat Value]],Lookup!A:B,2,0))</f>
        <v>Shopping</v>
      </c>
      <c r="G11102" t="s">
        <v>21</v>
      </c>
      <c r="I11102" s="8"/>
      <c r="O11102" t="str">
        <f>LEFT(Table2[[#This Row],[Description]],75)</f>
        <v>Anthropologie</v>
      </c>
    </row>
    <row r="11103" spans="1:15" hidden="1">
      <c r="A11103">
        <v>202403</v>
      </c>
      <c r="B11103" s="6">
        <v>45353</v>
      </c>
      <c r="C11103" t="s">
        <v>5160</v>
      </c>
      <c r="D11103" t="s">
        <v>161</v>
      </c>
      <c r="E11103">
        <v>576.4</v>
      </c>
      <c r="F11103" s="2" t="str">
        <f>IF(Table2[[#This Row],[Manual Cat Value]]="",VLOOKUP(Table2[[#This Row],[Description]],'Actuals Lookup'!D:F,3,0),VLOOKUP(Table2[[#This Row],[Manual Cat Value]],Lookup!A:B,2,0))</f>
        <v>Shopping</v>
      </c>
      <c r="G11103" t="s">
        <v>21</v>
      </c>
      <c r="I11103" s="8"/>
      <c r="O11103" t="str">
        <f>LEFT(Table2[[#This Row],[Description]],75)</f>
        <v>Anthropologie</v>
      </c>
    </row>
    <row r="11104" spans="1:15" hidden="1">
      <c r="A11104">
        <v>202403</v>
      </c>
      <c r="B11104" s="6">
        <v>45353</v>
      </c>
      <c r="C11104" t="s">
        <v>5013</v>
      </c>
      <c r="D11104" t="s">
        <v>1014</v>
      </c>
      <c r="E11104">
        <v>35.54</v>
      </c>
      <c r="F11104" s="2" t="str">
        <f>IF(Table2[[#This Row],[Manual Cat Value]]="",VLOOKUP(Table2[[#This Row],[Description]],'Actuals Lookup'!D:F,3,0),VLOOKUP(Table2[[#This Row],[Manual Cat Value]],Lookup!A:B,2,0))</f>
        <v>Restaurants</v>
      </c>
      <c r="G11104" t="s">
        <v>26</v>
      </c>
      <c r="I11104" s="8"/>
      <c r="O11104" t="str">
        <f>LEFT(Table2[[#This Row],[Description]],75)</f>
        <v>Jimmy John's</v>
      </c>
    </row>
    <row r="11105" spans="1:15" hidden="1">
      <c r="A11105">
        <v>202403</v>
      </c>
      <c r="B11105" s="6">
        <v>45353</v>
      </c>
      <c r="C11105" t="s">
        <v>5160</v>
      </c>
      <c r="D11105" t="s">
        <v>1014</v>
      </c>
      <c r="E11105">
        <v>35.54</v>
      </c>
      <c r="F11105" s="2" t="str">
        <f>IF(Table2[[#This Row],[Manual Cat Value]]="",VLOOKUP(Table2[[#This Row],[Description]],'Actuals Lookup'!D:F,3,0),VLOOKUP(Table2[[#This Row],[Manual Cat Value]],Lookup!A:B,2,0))</f>
        <v>Restaurants</v>
      </c>
      <c r="G11105" t="s">
        <v>26</v>
      </c>
      <c r="I11105" s="8"/>
      <c r="O11105" t="str">
        <f>LEFT(Table2[[#This Row],[Description]],75)</f>
        <v>Jimmy John's</v>
      </c>
    </row>
    <row r="11106" spans="1:15" hidden="1">
      <c r="A11106">
        <v>202403</v>
      </c>
      <c r="B11106" s="6">
        <v>45353</v>
      </c>
      <c r="C11106" t="s">
        <v>5013</v>
      </c>
      <c r="D11106" t="s">
        <v>1707</v>
      </c>
      <c r="E11106">
        <v>53.16</v>
      </c>
      <c r="F11106" s="2" t="str">
        <f>IF(Table2[[#This Row],[Manual Cat Value]]="",VLOOKUP(Table2[[#This Row],[Description]],'Actuals Lookup'!D:F,3,0),VLOOKUP(Table2[[#This Row],[Manual Cat Value]],Lookup!A:B,2,0))</f>
        <v>Transportation</v>
      </c>
      <c r="G11106" t="s">
        <v>23</v>
      </c>
      <c r="I11106" s="8"/>
      <c r="O11106" t="str">
        <f>LEFT(Table2[[#This Row],[Description]],75)</f>
        <v>Speedway</v>
      </c>
    </row>
    <row r="11107" spans="1:15" hidden="1">
      <c r="A11107">
        <v>202403</v>
      </c>
      <c r="B11107" s="6">
        <v>45353</v>
      </c>
      <c r="C11107" t="s">
        <v>5160</v>
      </c>
      <c r="D11107" t="s">
        <v>1707</v>
      </c>
      <c r="E11107">
        <v>53.16</v>
      </c>
      <c r="F11107" s="2" t="str">
        <f>IF(Table2[[#This Row],[Manual Cat Value]]="",VLOOKUP(Table2[[#This Row],[Description]],'Actuals Lookup'!D:F,3,0),VLOOKUP(Table2[[#This Row],[Manual Cat Value]],Lookup!A:B,2,0))</f>
        <v>Transportation</v>
      </c>
      <c r="G11107" t="s">
        <v>23</v>
      </c>
      <c r="I11107" s="8"/>
      <c r="O11107" t="str">
        <f>LEFT(Table2[[#This Row],[Description]],75)</f>
        <v>Speedway</v>
      </c>
    </row>
    <row r="11108" spans="1:15" hidden="1">
      <c r="A11108">
        <v>202403</v>
      </c>
      <c r="B11108" s="6">
        <v>45353</v>
      </c>
      <c r="C11108" t="s">
        <v>5013</v>
      </c>
      <c r="D11108" t="s">
        <v>1931</v>
      </c>
      <c r="E11108">
        <v>63.45</v>
      </c>
      <c r="F11108" s="2" t="str">
        <f>IF(Table2[[#This Row],[Manual Cat Value]]="",VLOOKUP(Table2[[#This Row],[Description]],'Actuals Lookup'!D:F,3,0),VLOOKUP(Table2[[#This Row],[Manual Cat Value]],Lookup!A:B,2,0))</f>
        <v>Groceries</v>
      </c>
      <c r="G11108" t="s">
        <v>28</v>
      </c>
      <c r="I11108" s="8"/>
      <c r="O11108" t="str">
        <f>LEFT(Table2[[#This Row],[Description]],75)</f>
        <v>Trader Joe's</v>
      </c>
    </row>
    <row r="11109" spans="1:15" hidden="1">
      <c r="A11109">
        <v>202403</v>
      </c>
      <c r="B11109" s="6">
        <v>45353</v>
      </c>
      <c r="C11109" t="s">
        <v>5160</v>
      </c>
      <c r="D11109" t="s">
        <v>1931</v>
      </c>
      <c r="E11109">
        <v>63.45</v>
      </c>
      <c r="F11109" s="2" t="str">
        <f>IF(Table2[[#This Row],[Manual Cat Value]]="",VLOOKUP(Table2[[#This Row],[Description]],'Actuals Lookup'!D:F,3,0),VLOOKUP(Table2[[#This Row],[Manual Cat Value]],Lookup!A:B,2,0))</f>
        <v>Groceries</v>
      </c>
      <c r="G11109" t="s">
        <v>28</v>
      </c>
      <c r="I11109" s="8"/>
      <c r="O11109" t="str">
        <f>LEFT(Table2[[#This Row],[Description]],75)</f>
        <v>Trader Joe's</v>
      </c>
    </row>
    <row r="11110" spans="1:15" hidden="1">
      <c r="A11110">
        <v>202403</v>
      </c>
      <c r="B11110" s="6">
        <v>45353</v>
      </c>
      <c r="C11110" t="s">
        <v>5160</v>
      </c>
      <c r="D11110" t="s">
        <v>5275</v>
      </c>
      <c r="E11110">
        <v>119.75</v>
      </c>
      <c r="F11110" s="2" t="str">
        <f>IF(Table2[[#This Row],[Manual Cat Value]]="",VLOOKUP(Table2[[#This Row],[Description]],'Actuals Lookup'!D:F,3,0),VLOOKUP(Table2[[#This Row],[Manual Cat Value]],Lookup!A:B,2,0))</f>
        <v>Restaurants</v>
      </c>
      <c r="G11110" t="s">
        <v>26</v>
      </c>
      <c r="H11110" s="8" t="s">
        <v>25</v>
      </c>
      <c r="I11110" s="8"/>
      <c r="O11110" t="str">
        <f>LEFT(Table2[[#This Row],[Description]],75)</f>
        <v>Tst* Porzana 0xx4034minneapolis Mn</v>
      </c>
    </row>
    <row r="11111" spans="1:15" hidden="1">
      <c r="A11111">
        <v>202403</v>
      </c>
      <c r="B11111" s="6">
        <v>45353</v>
      </c>
      <c r="C11111" t="s">
        <v>5013</v>
      </c>
      <c r="E11111">
        <v>119.75</v>
      </c>
      <c r="F11111" s="2" t="str">
        <f>IF(Table2[[#This Row],[Manual Cat Value]]="",VLOOKUP(Table2[[#This Row],[Description]],'Actuals Lookup'!D:F,3,0),VLOOKUP(Table2[[#This Row],[Manual Cat Value]],Lookup!A:B,2,0))</f>
        <v>Restaurants</v>
      </c>
      <c r="G11111" t="s">
        <v>26</v>
      </c>
      <c r="H11111" s="8" t="s">
        <v>25</v>
      </c>
      <c r="I11111" s="8"/>
      <c r="O11111" t="str">
        <f>LEFT(Table2[[#This Row],[Description]],75)</f>
        <v/>
      </c>
    </row>
    <row r="11112" spans="1:15" hidden="1">
      <c r="A11112">
        <v>202403</v>
      </c>
      <c r="B11112" s="6">
        <v>45354</v>
      </c>
      <c r="C11112" t="s">
        <v>5013</v>
      </c>
      <c r="D11112" t="s">
        <v>5276</v>
      </c>
      <c r="E11112">
        <v>49.48</v>
      </c>
      <c r="F11112" s="2" t="str">
        <f>IF(Table2[[#This Row],[Manual Cat Value]]="",VLOOKUP(Table2[[#This Row],[Description]],'Actuals Lookup'!D:F,3,0),VLOOKUP(Table2[[#This Row],[Manual Cat Value]],Lookup!A:B,2,0))</f>
        <v>Restaurants</v>
      </c>
      <c r="G11112" t="s">
        <v>26</v>
      </c>
      <c r="H11112" s="8" t="s">
        <v>25</v>
      </c>
      <c r="I11112" s="8"/>
      <c r="O11112" t="str">
        <f>LEFT(Table2[[#This Row],[Description]],75)</f>
        <v>Aplpay Tst* Maynardsexcelsior Mn</v>
      </c>
    </row>
    <row r="11113" spans="1:15" hidden="1">
      <c r="A11113">
        <v>202403</v>
      </c>
      <c r="B11113" s="6">
        <v>45354</v>
      </c>
      <c r="C11113" t="s">
        <v>5013</v>
      </c>
      <c r="D11113" t="s">
        <v>5276</v>
      </c>
      <c r="E11113">
        <v>60.41</v>
      </c>
      <c r="F11113" s="2" t="str">
        <f>IF(Table2[[#This Row],[Manual Cat Value]]="",VLOOKUP(Table2[[#This Row],[Description]],'Actuals Lookup'!D:F,3,0),VLOOKUP(Table2[[#This Row],[Manual Cat Value]],Lookup!A:B,2,0))</f>
        <v>Restaurants</v>
      </c>
      <c r="G11113" t="s">
        <v>26</v>
      </c>
      <c r="H11113" s="8" t="s">
        <v>25</v>
      </c>
      <c r="I11113" s="8"/>
      <c r="O11113" t="str">
        <f>LEFT(Table2[[#This Row],[Description]],75)</f>
        <v>Aplpay Tst* Maynardsexcelsior Mn</v>
      </c>
    </row>
    <row r="11114" spans="1:15" hidden="1">
      <c r="A11114">
        <v>202403</v>
      </c>
      <c r="B11114" s="6">
        <v>45354</v>
      </c>
      <c r="C11114" t="s">
        <v>5160</v>
      </c>
      <c r="D11114" t="s">
        <v>5276</v>
      </c>
      <c r="E11114">
        <v>49.48</v>
      </c>
      <c r="F11114" s="2" t="str">
        <f>IF(Table2[[#This Row],[Manual Cat Value]]="",VLOOKUP(Table2[[#This Row],[Description]],'Actuals Lookup'!D:F,3,0),VLOOKUP(Table2[[#This Row],[Manual Cat Value]],Lookup!A:B,2,0))</f>
        <v>Restaurants</v>
      </c>
      <c r="G11114" t="s">
        <v>26</v>
      </c>
      <c r="H11114" s="8" t="s">
        <v>25</v>
      </c>
      <c r="I11114" s="8"/>
      <c r="O11114" t="str">
        <f>LEFT(Table2[[#This Row],[Description]],75)</f>
        <v>Aplpay Tst* Maynardsexcelsior Mn</v>
      </c>
    </row>
    <row r="11115" spans="1:15" hidden="1">
      <c r="A11115">
        <v>202403</v>
      </c>
      <c r="B11115" s="6">
        <v>45354</v>
      </c>
      <c r="C11115" t="s">
        <v>5160</v>
      </c>
      <c r="D11115" t="s">
        <v>5276</v>
      </c>
      <c r="E11115">
        <v>60.41</v>
      </c>
      <c r="F11115" s="2" t="str">
        <f>IF(Table2[[#This Row],[Manual Cat Value]]="",VLOOKUP(Table2[[#This Row],[Description]],'Actuals Lookup'!D:F,3,0),VLOOKUP(Table2[[#This Row],[Manual Cat Value]],Lookup!A:B,2,0))</f>
        <v>Restaurants</v>
      </c>
      <c r="G11115" t="s">
        <v>26</v>
      </c>
      <c r="H11115" s="8" t="s">
        <v>25</v>
      </c>
      <c r="I11115" s="8"/>
      <c r="O11115" t="str">
        <f>LEFT(Table2[[#This Row],[Description]],75)</f>
        <v>Aplpay Tst* Maynardsexcelsior Mn</v>
      </c>
    </row>
    <row r="11116" spans="1:15" hidden="1">
      <c r="A11116">
        <v>202403</v>
      </c>
      <c r="B11116" s="6">
        <v>45354</v>
      </c>
      <c r="C11116" t="s">
        <v>5013</v>
      </c>
      <c r="D11116" t="s">
        <v>1849</v>
      </c>
      <c r="E11116">
        <v>185.34</v>
      </c>
      <c r="F11116" s="2" t="str">
        <f>IF(Table2[[#This Row],[Manual Cat Value]]="",VLOOKUP(Table2[[#This Row],[Description]],'Actuals Lookup'!D:F,3,0),VLOOKUP(Table2[[#This Row],[Manual Cat Value]],Lookup!A:B,2,0))</f>
        <v>House Maintenance</v>
      </c>
      <c r="G11116" t="s">
        <v>2</v>
      </c>
      <c r="I11116" s="8"/>
      <c r="O11116" t="str">
        <f>LEFT(Table2[[#This Row],[Description]],75)</f>
        <v>The Home Depot</v>
      </c>
    </row>
    <row r="11117" spans="1:15" hidden="1">
      <c r="A11117">
        <v>202403</v>
      </c>
      <c r="B11117" s="6">
        <v>45354</v>
      </c>
      <c r="C11117" t="s">
        <v>5160</v>
      </c>
      <c r="D11117" t="s">
        <v>1849</v>
      </c>
      <c r="E11117">
        <v>185.34</v>
      </c>
      <c r="F11117" s="2" t="str">
        <f>IF(Table2[[#This Row],[Manual Cat Value]]="",VLOOKUP(Table2[[#This Row],[Description]],'Actuals Lookup'!D:F,3,0),VLOOKUP(Table2[[#This Row],[Manual Cat Value]],Lookup!A:B,2,0))</f>
        <v>House Maintenance</v>
      </c>
      <c r="G11117" t="s">
        <v>2</v>
      </c>
      <c r="I11117" s="8"/>
      <c r="O11117" t="str">
        <f>LEFT(Table2[[#This Row],[Description]],75)</f>
        <v>The Home Depot</v>
      </c>
    </row>
    <row r="11118" spans="1:15" hidden="1">
      <c r="A11118">
        <v>202403</v>
      </c>
      <c r="B11118" s="6">
        <v>45354</v>
      </c>
      <c r="C11118" t="s">
        <v>5013</v>
      </c>
      <c r="D11118" t="s">
        <v>5277</v>
      </c>
      <c r="E11118">
        <v>39.69</v>
      </c>
      <c r="F11118" s="2" t="str">
        <f>IF(Table2[[#This Row],[Manual Cat Value]]="",VLOOKUP(Table2[[#This Row],[Description]],'Actuals Lookup'!D:F,3,0),VLOOKUP(Table2[[#This Row],[Manual Cat Value]],Lookup!A:B,2,0))</f>
        <v>Restaurants</v>
      </c>
      <c r="G11118" t="s">
        <v>26</v>
      </c>
      <c r="H11118" s="8" t="s">
        <v>25</v>
      </c>
      <c r="I11118" s="8"/>
      <c r="O11118" t="str">
        <f>LEFT(Table2[[#This Row],[Description]],75)</f>
        <v>Tst* Crave Food &amp; Drst. Louis Par Mn</v>
      </c>
    </row>
    <row r="11119" spans="1:15" hidden="1">
      <c r="A11119">
        <v>202403</v>
      </c>
      <c r="B11119" s="6">
        <v>45354</v>
      </c>
      <c r="C11119" t="s">
        <v>5160</v>
      </c>
      <c r="D11119" t="s">
        <v>5277</v>
      </c>
      <c r="E11119">
        <v>39.69</v>
      </c>
      <c r="F11119" s="2" t="str">
        <f>IF(Table2[[#This Row],[Manual Cat Value]]="",VLOOKUP(Table2[[#This Row],[Description]],'Actuals Lookup'!D:F,3,0),VLOOKUP(Table2[[#This Row],[Manual Cat Value]],Lookup!A:B,2,0))</f>
        <v>Restaurants</v>
      </c>
      <c r="G11119" t="s">
        <v>26</v>
      </c>
      <c r="H11119" s="8" t="s">
        <v>25</v>
      </c>
      <c r="I11119" s="8"/>
      <c r="O11119" t="str">
        <f>LEFT(Table2[[#This Row],[Description]],75)</f>
        <v>Tst* Crave Food &amp; Drst. Louis Par Mn</v>
      </c>
    </row>
    <row r="11120" spans="1:15" hidden="1">
      <c r="A11120">
        <v>202403</v>
      </c>
      <c r="B11120" s="6">
        <v>45354</v>
      </c>
      <c r="C11120" t="s">
        <v>5013</v>
      </c>
      <c r="D11120" t="s">
        <v>4965</v>
      </c>
      <c r="E11120">
        <v>26.46</v>
      </c>
      <c r="F11120" s="2" t="str">
        <f>IF(Table2[[#This Row],[Manual Cat Value]]="",VLOOKUP(Table2[[#This Row],[Description]],'Actuals Lookup'!D:F,3,0),VLOOKUP(Table2[[#This Row],[Manual Cat Value]],Lookup!A:B,2,0))</f>
        <v>Restaurants</v>
      </c>
      <c r="G11120" t="s">
        <v>26</v>
      </c>
      <c r="I11120" s="8"/>
      <c r="O11120" t="str">
        <f>LEFT(Table2[[#This Row],[Description]],75)</f>
        <v>Tst* Maynards Insideexcelsior Mn</v>
      </c>
    </row>
    <row r="11121" spans="1:15" hidden="1">
      <c r="A11121">
        <v>202403</v>
      </c>
      <c r="B11121" s="6">
        <v>45354</v>
      </c>
      <c r="C11121" t="s">
        <v>5160</v>
      </c>
      <c r="D11121" t="s">
        <v>4965</v>
      </c>
      <c r="E11121">
        <v>26.46</v>
      </c>
      <c r="F11121" s="2" t="str">
        <f>IF(Table2[[#This Row],[Manual Cat Value]]="",VLOOKUP(Table2[[#This Row],[Description]],'Actuals Lookup'!D:F,3,0),VLOOKUP(Table2[[#This Row],[Manual Cat Value]],Lookup!A:B,2,0))</f>
        <v>Restaurants</v>
      </c>
      <c r="G11121" t="s">
        <v>26</v>
      </c>
      <c r="I11121" s="8"/>
      <c r="O11121" t="str">
        <f>LEFT(Table2[[#This Row],[Description]],75)</f>
        <v>Tst* Maynards Insideexcelsior Mn</v>
      </c>
    </row>
    <row r="11122" spans="1:15" hidden="1">
      <c r="A11122">
        <v>202403</v>
      </c>
      <c r="B11122" s="6">
        <v>45355</v>
      </c>
      <c r="C11122" t="s">
        <v>5013</v>
      </c>
      <c r="D11122" t="s">
        <v>103</v>
      </c>
      <c r="E11122">
        <v>134.01</v>
      </c>
      <c r="F11122" s="2" t="str">
        <f>IF(Table2[[#This Row],[Manual Cat Value]]="",VLOOKUP(Table2[[#This Row],[Description]],'Actuals Lookup'!D:F,3,0),VLOOKUP(Table2[[#This Row],[Manual Cat Value]],Lookup!A:B,2,0))</f>
        <v>Healthcare</v>
      </c>
      <c r="G11122" t="s">
        <v>28</v>
      </c>
      <c r="I11122" s="8"/>
      <c r="O11122" t="str">
        <f>LEFT(Table2[[#This Row],[Description]],75)</f>
        <v>Advocare</v>
      </c>
    </row>
    <row r="11123" spans="1:15" hidden="1">
      <c r="A11123">
        <v>202403</v>
      </c>
      <c r="B11123" s="6">
        <v>45355</v>
      </c>
      <c r="C11123" t="s">
        <v>5160</v>
      </c>
      <c r="D11123" t="s">
        <v>103</v>
      </c>
      <c r="E11123">
        <v>134.01</v>
      </c>
      <c r="F11123" s="2" t="str">
        <f>IF(Table2[[#This Row],[Manual Cat Value]]="",VLOOKUP(Table2[[#This Row],[Description]],'Actuals Lookup'!D:F,3,0),VLOOKUP(Table2[[#This Row],[Manual Cat Value]],Lookup!A:B,2,0))</f>
        <v>Healthcare</v>
      </c>
      <c r="G11123" t="s">
        <v>28</v>
      </c>
      <c r="I11123" s="8"/>
      <c r="O11123" t="str">
        <f>LEFT(Table2[[#This Row],[Description]],75)</f>
        <v>Advocare</v>
      </c>
    </row>
    <row r="11124" spans="1:15" hidden="1">
      <c r="A11124">
        <v>202403</v>
      </c>
      <c r="B11124" s="6">
        <v>45355</v>
      </c>
      <c r="C11124" t="s">
        <v>5013</v>
      </c>
      <c r="D11124" t="s">
        <v>3943</v>
      </c>
      <c r="E11124">
        <v>19.89</v>
      </c>
      <c r="F11124" s="2" t="str">
        <f>IF(Table2[[#This Row],[Manual Cat Value]]="",VLOOKUP(Table2[[#This Row],[Description]],'Actuals Lookup'!D:F,3,0),VLOOKUP(Table2[[#This Row],[Manual Cat Value]],Lookup!A:B,2,0))</f>
        <v>Shopping</v>
      </c>
      <c r="G11124" t="s">
        <v>21</v>
      </c>
      <c r="I11124" s="8"/>
      <c r="O11124" t="str">
        <f>LEFT(Table2[[#This Row],[Description]],75)</f>
        <v>Fedex</v>
      </c>
    </row>
    <row r="11125" spans="1:15" hidden="1">
      <c r="A11125">
        <v>202403</v>
      </c>
      <c r="B11125" s="6">
        <v>45355</v>
      </c>
      <c r="C11125" t="s">
        <v>5013</v>
      </c>
      <c r="D11125" t="s">
        <v>3943</v>
      </c>
      <c r="E11125">
        <v>5.95</v>
      </c>
      <c r="F11125" s="2" t="str">
        <f>IF(Table2[[#This Row],[Manual Cat Value]]="",VLOOKUP(Table2[[#This Row],[Description]],'Actuals Lookup'!D:F,3,0),VLOOKUP(Table2[[#This Row],[Manual Cat Value]],Lookup!A:B,2,0))</f>
        <v>Shopping</v>
      </c>
      <c r="G11125" t="s">
        <v>21</v>
      </c>
      <c r="I11125" s="8"/>
      <c r="O11125" t="str">
        <f>LEFT(Table2[[#This Row],[Description]],75)</f>
        <v>Fedex</v>
      </c>
    </row>
    <row r="11126" spans="1:15" hidden="1">
      <c r="A11126">
        <v>202403</v>
      </c>
      <c r="B11126" s="6">
        <v>45355</v>
      </c>
      <c r="C11126" t="s">
        <v>5160</v>
      </c>
      <c r="D11126" t="s">
        <v>3943</v>
      </c>
      <c r="E11126">
        <v>19.89</v>
      </c>
      <c r="F11126" s="2" t="str">
        <f>IF(Table2[[#This Row],[Manual Cat Value]]="",VLOOKUP(Table2[[#This Row],[Description]],'Actuals Lookup'!D:F,3,0),VLOOKUP(Table2[[#This Row],[Manual Cat Value]],Lookup!A:B,2,0))</f>
        <v>Shopping</v>
      </c>
      <c r="G11126" t="s">
        <v>21</v>
      </c>
      <c r="I11126" s="8"/>
      <c r="O11126" t="str">
        <f>LEFT(Table2[[#This Row],[Description]],75)</f>
        <v>Fedex</v>
      </c>
    </row>
    <row r="11127" spans="1:15" hidden="1">
      <c r="A11127">
        <v>202403</v>
      </c>
      <c r="B11127" s="6">
        <v>45355</v>
      </c>
      <c r="C11127" t="s">
        <v>5160</v>
      </c>
      <c r="D11127" t="s">
        <v>3943</v>
      </c>
      <c r="E11127">
        <v>5.95</v>
      </c>
      <c r="F11127" s="2" t="str">
        <f>IF(Table2[[#This Row],[Manual Cat Value]]="",VLOOKUP(Table2[[#This Row],[Description]],'Actuals Lookup'!D:F,3,0),VLOOKUP(Table2[[#This Row],[Manual Cat Value]],Lookup!A:B,2,0))</f>
        <v>Shopping</v>
      </c>
      <c r="G11127" t="s">
        <v>21</v>
      </c>
      <c r="I11127" s="8"/>
      <c r="O11127" t="str">
        <f>LEFT(Table2[[#This Row],[Description]],75)</f>
        <v>Fedex</v>
      </c>
    </row>
    <row r="11128" spans="1:15" hidden="1">
      <c r="A11128">
        <v>202403</v>
      </c>
      <c r="B11128" s="6">
        <v>45355</v>
      </c>
      <c r="C11128" t="s">
        <v>5013</v>
      </c>
      <c r="D11128" t="s">
        <v>1707</v>
      </c>
      <c r="E11128">
        <v>51.23</v>
      </c>
      <c r="F11128" s="2" t="str">
        <f>IF(Table2[[#This Row],[Manual Cat Value]]="",VLOOKUP(Table2[[#This Row],[Description]],'Actuals Lookup'!D:F,3,0),VLOOKUP(Table2[[#This Row],[Manual Cat Value]],Lookup!A:B,2,0))</f>
        <v>Transportation</v>
      </c>
      <c r="G11128" t="s">
        <v>23</v>
      </c>
      <c r="I11128" s="8"/>
      <c r="O11128" t="str">
        <f>LEFT(Table2[[#This Row],[Description]],75)</f>
        <v>Speedway</v>
      </c>
    </row>
    <row r="11129" spans="1:15" hidden="1">
      <c r="A11129">
        <v>202403</v>
      </c>
      <c r="B11129" s="6">
        <v>45355</v>
      </c>
      <c r="C11129" t="s">
        <v>5160</v>
      </c>
      <c r="D11129" t="s">
        <v>1707</v>
      </c>
      <c r="E11129">
        <v>51.23</v>
      </c>
      <c r="F11129" s="2" t="str">
        <f>IF(Table2[[#This Row],[Manual Cat Value]]="",VLOOKUP(Table2[[#This Row],[Description]],'Actuals Lookup'!D:F,3,0),VLOOKUP(Table2[[#This Row],[Manual Cat Value]],Lookup!A:B,2,0))</f>
        <v>Transportation</v>
      </c>
      <c r="G11129" t="s">
        <v>23</v>
      </c>
      <c r="I11129" s="8"/>
      <c r="O11129" t="str">
        <f>LEFT(Table2[[#This Row],[Description]],75)</f>
        <v>Speedway</v>
      </c>
    </row>
    <row r="11130" spans="1:15" hidden="1">
      <c r="A11130">
        <v>202403</v>
      </c>
      <c r="B11130" s="6">
        <v>45355</v>
      </c>
      <c r="C11130" t="s">
        <v>2519</v>
      </c>
      <c r="D11130" t="s">
        <v>1955</v>
      </c>
      <c r="E11130">
        <v>153.30000000000001</v>
      </c>
      <c r="F11130" s="2" t="str">
        <f>IF(Table2[[#This Row],[Manual Cat Value]]="",VLOOKUP(Table2[[#This Row],[Description]],'Actuals Lookup'!D:F,3,0),VLOOKUP(Table2[[#This Row],[Manual Cat Value]],Lookup!A:B,2,0))</f>
        <v>Shopping</v>
      </c>
      <c r="I11130" s="8"/>
      <c r="O11130" t="str">
        <f>LEFT(Table2[[#This Row],[Description]],75)</f>
        <v>Transfer to PayPal</v>
      </c>
    </row>
    <row r="11131" spans="1:15" hidden="1">
      <c r="A11131">
        <v>202403</v>
      </c>
      <c r="B11131" s="6">
        <v>45356</v>
      </c>
      <c r="C11131" t="s">
        <v>5013</v>
      </c>
      <c r="D11131" t="s">
        <v>113</v>
      </c>
      <c r="E11131">
        <v>-35.880000000000003</v>
      </c>
      <c r="F11131" s="2" t="str">
        <f>IF(Table2[[#This Row],[Manual Cat Value]]="",VLOOKUP(Table2[[#This Row],[Description]],'Actuals Lookup'!D:F,3,0),VLOOKUP(Table2[[#This Row],[Manual Cat Value]],Lookup!A:B,2,0))</f>
        <v>Amazon</v>
      </c>
      <c r="G11131" t="s">
        <v>38</v>
      </c>
      <c r="I11131" s="8"/>
      <c r="O11131" t="str">
        <f>LEFT(Table2[[#This Row],[Description]],75)</f>
        <v>Amazon Marketplace</v>
      </c>
    </row>
    <row r="11132" spans="1:15" hidden="1">
      <c r="A11132">
        <v>202403</v>
      </c>
      <c r="B11132" s="6">
        <v>45356</v>
      </c>
      <c r="C11132" t="s">
        <v>5160</v>
      </c>
      <c r="D11132" t="s">
        <v>113</v>
      </c>
      <c r="E11132">
        <v>-35.880000000000003</v>
      </c>
      <c r="F11132" s="2" t="str">
        <f>IF(Table2[[#This Row],[Manual Cat Value]]="",VLOOKUP(Table2[[#This Row],[Description]],'Actuals Lookup'!D:F,3,0),VLOOKUP(Table2[[#This Row],[Manual Cat Value]],Lookup!A:B,2,0))</f>
        <v>Amazon</v>
      </c>
      <c r="G11132" t="s">
        <v>38</v>
      </c>
      <c r="I11132" s="8"/>
      <c r="O11132" t="str">
        <f>LEFT(Table2[[#This Row],[Description]],75)</f>
        <v>Amazon Marketplace</v>
      </c>
    </row>
    <row r="11133" spans="1:15" hidden="1">
      <c r="A11133">
        <v>202403</v>
      </c>
      <c r="B11133" s="6">
        <v>45356</v>
      </c>
      <c r="C11133" t="s">
        <v>5013</v>
      </c>
      <c r="D11133" t="s">
        <v>3967</v>
      </c>
      <c r="E11133">
        <v>35.200000000000003</v>
      </c>
      <c r="F11133" s="2" t="str">
        <f>IF(Table2[[#This Row],[Manual Cat Value]]="",VLOOKUP(Table2[[#This Row],[Description]],'Actuals Lookup'!D:F,3,0),VLOOKUP(Table2[[#This Row],[Manual Cat Value]],Lookup!A:B,2,0))</f>
        <v>Restaurants</v>
      </c>
      <c r="G11133" t="s">
        <v>26</v>
      </c>
      <c r="I11133" s="8"/>
      <c r="O11133" t="str">
        <f>LEFT(Table2[[#This Row],[Description]],75)</f>
        <v>Chick-fil-a</v>
      </c>
    </row>
    <row r="11134" spans="1:15" hidden="1">
      <c r="A11134">
        <v>202403</v>
      </c>
      <c r="B11134" s="6">
        <v>45356</v>
      </c>
      <c r="C11134" t="s">
        <v>5160</v>
      </c>
      <c r="D11134" t="s">
        <v>3967</v>
      </c>
      <c r="E11134">
        <v>35.200000000000003</v>
      </c>
      <c r="F11134" s="2" t="str">
        <f>IF(Table2[[#This Row],[Manual Cat Value]]="",VLOOKUP(Table2[[#This Row],[Description]],'Actuals Lookup'!D:F,3,0),VLOOKUP(Table2[[#This Row],[Manual Cat Value]],Lookup!A:B,2,0))</f>
        <v>Restaurants</v>
      </c>
      <c r="G11134" t="s">
        <v>26</v>
      </c>
      <c r="I11134" s="8"/>
      <c r="O11134" t="str">
        <f>LEFT(Table2[[#This Row],[Description]],75)</f>
        <v>Chick-fil-a</v>
      </c>
    </row>
    <row r="11135" spans="1:15" hidden="1">
      <c r="A11135">
        <v>202401</v>
      </c>
      <c r="B11135" s="6">
        <v>45316</v>
      </c>
      <c r="C11135" t="s">
        <v>4121</v>
      </c>
      <c r="D11135" t="s">
        <v>673</v>
      </c>
      <c r="E11135">
        <v>-1252.2</v>
      </c>
      <c r="F11135" s="2" t="str">
        <f>IF(Table2[[#This Row],[Manual Cat Value]]="",VLOOKUP(Table2[[#This Row],[Description]],'Actuals Lookup'!D:F,3,0),VLOOKUP(Table2[[#This Row],[Manual Cat Value]],Lookup!A:B,2,0))</f>
        <v>Delete</v>
      </c>
      <c r="H11135" s="8" t="s">
        <v>9</v>
      </c>
      <c r="I11135" s="8"/>
      <c r="O11135" t="str">
        <f>LEFT(Table2[[#This Row],[Description]],75)</f>
        <v>Credit Card Payment Received</v>
      </c>
    </row>
    <row r="11136" spans="1:15" hidden="1">
      <c r="A11136">
        <v>202402</v>
      </c>
      <c r="B11136" s="6">
        <v>45337</v>
      </c>
      <c r="C11136" t="s">
        <v>4207</v>
      </c>
      <c r="D11136" t="s">
        <v>673</v>
      </c>
      <c r="E11136">
        <v>-2373.7800000000002</v>
      </c>
      <c r="F11136" s="2" t="str">
        <f>IF(Table2[[#This Row],[Manual Cat Value]]="",VLOOKUP(Table2[[#This Row],[Description]],'Actuals Lookup'!D:F,3,0),VLOOKUP(Table2[[#This Row],[Manual Cat Value]],Lookup!A:B,2,0))</f>
        <v>Delete</v>
      </c>
      <c r="H11136" s="8" t="s">
        <v>9</v>
      </c>
      <c r="I11136" s="8"/>
      <c r="O11136" t="str">
        <f>LEFT(Table2[[#This Row],[Description]],75)</f>
        <v>Credit Card Payment Received</v>
      </c>
    </row>
    <row r="11137" spans="1:15" hidden="1">
      <c r="A11137">
        <v>202403</v>
      </c>
      <c r="B11137" s="6">
        <v>45365</v>
      </c>
      <c r="C11137" t="s">
        <v>3938</v>
      </c>
      <c r="D11137" t="s">
        <v>673</v>
      </c>
      <c r="E11137">
        <v>-1077.58</v>
      </c>
      <c r="F11137" s="2" t="str">
        <f>IF(Table2[[#This Row],[Manual Cat Value]]="",VLOOKUP(Table2[[#This Row],[Description]],'Actuals Lookup'!D:F,3,0),VLOOKUP(Table2[[#This Row],[Manual Cat Value]],Lookup!A:B,2,0))</f>
        <v>Delete</v>
      </c>
      <c r="I11137" s="8"/>
      <c r="O11137" t="str">
        <f>LEFT(Table2[[#This Row],[Description]],75)</f>
        <v>Credit Card Payment Received</v>
      </c>
    </row>
    <row r="11138" spans="1:15" hidden="1">
      <c r="A11138">
        <v>202403</v>
      </c>
      <c r="B11138" s="6">
        <v>45380</v>
      </c>
      <c r="C11138" t="s">
        <v>3938</v>
      </c>
      <c r="D11138" t="s">
        <v>673</v>
      </c>
      <c r="E11138">
        <v>-899.2</v>
      </c>
      <c r="F11138" s="2" t="str">
        <f>IF(Table2[[#This Row],[Manual Cat Value]]="",VLOOKUP(Table2[[#This Row],[Description]],'Actuals Lookup'!D:F,3,0),VLOOKUP(Table2[[#This Row],[Manual Cat Value]],Lookup!A:B,2,0))</f>
        <v>Delete</v>
      </c>
      <c r="I11138" s="8"/>
      <c r="O11138" t="str">
        <f>LEFT(Table2[[#This Row],[Description]],75)</f>
        <v>Credit Card Payment Received</v>
      </c>
    </row>
    <row r="11139" spans="1:15" hidden="1">
      <c r="A11139">
        <v>202405</v>
      </c>
      <c r="B11139" s="6">
        <v>45424</v>
      </c>
      <c r="C11139" t="s">
        <v>3938</v>
      </c>
      <c r="D11139" t="s">
        <v>673</v>
      </c>
      <c r="E11139">
        <v>-1094.24</v>
      </c>
      <c r="F11139" s="2" t="str">
        <f>IF(Table2[[#This Row],[Manual Cat Value]]="",VLOOKUP(Table2[[#This Row],[Description]],'Actuals Lookup'!D:F,3,0),VLOOKUP(Table2[[#This Row],[Manual Cat Value]],Lookup!A:B,2,0))</f>
        <v>Delete</v>
      </c>
      <c r="I11139" s="8"/>
      <c r="O11139" t="str">
        <f>LEFT(Table2[[#This Row],[Description]],75)</f>
        <v>Credit Card Payment Received</v>
      </c>
    </row>
    <row r="11140" spans="1:15" hidden="1">
      <c r="A11140">
        <v>202405</v>
      </c>
      <c r="B11140" s="6">
        <v>45439</v>
      </c>
      <c r="C11140" t="s">
        <v>3938</v>
      </c>
      <c r="D11140" t="s">
        <v>673</v>
      </c>
      <c r="E11140">
        <v>-777.63</v>
      </c>
      <c r="F11140" s="2" t="str">
        <f>IF(Table2[[#This Row],[Manual Cat Value]]="",VLOOKUP(Table2[[#This Row],[Description]],'Actuals Lookup'!D:F,3,0),VLOOKUP(Table2[[#This Row],[Manual Cat Value]],Lookup!A:B,2,0))</f>
        <v>Delete</v>
      </c>
      <c r="I11140" s="8"/>
      <c r="O11140" t="str">
        <f>LEFT(Table2[[#This Row],[Description]],75)</f>
        <v>Credit Card Payment Received</v>
      </c>
    </row>
    <row r="11141" spans="1:15" hidden="1">
      <c r="A11141">
        <v>202403</v>
      </c>
      <c r="B11141" s="6">
        <v>45356</v>
      </c>
      <c r="C11141" t="s">
        <v>5013</v>
      </c>
      <c r="D11141" t="s">
        <v>5278</v>
      </c>
      <c r="E11141">
        <v>40.61</v>
      </c>
      <c r="F11141" s="2" t="str">
        <f>IF(Table2[[#This Row],[Manual Cat Value]]="",VLOOKUP(Table2[[#This Row],[Description]],'Actuals Lookup'!D:F,3,0),VLOOKUP(Table2[[#This Row],[Manual Cat Value]],Lookup!A:B,2,0))</f>
        <v>Restaurants</v>
      </c>
      <c r="G11141" t="s">
        <v>26</v>
      </c>
      <c r="H11141" s="8" t="s">
        <v>25</v>
      </c>
      <c r="I11141" s="8"/>
      <c r="O11141" t="str">
        <f>LEFT(Table2[[#This Row],[Description]],75)</f>
        <v>Park Tavern</v>
      </c>
    </row>
    <row r="11142" spans="1:15" hidden="1">
      <c r="A11142">
        <v>202403</v>
      </c>
      <c r="B11142" s="6">
        <v>45356</v>
      </c>
      <c r="C11142" t="s">
        <v>5160</v>
      </c>
      <c r="D11142" t="s">
        <v>5278</v>
      </c>
      <c r="E11142">
        <v>40.61</v>
      </c>
      <c r="F11142" s="2" t="str">
        <f>IF(Table2[[#This Row],[Manual Cat Value]]="",VLOOKUP(Table2[[#This Row],[Description]],'Actuals Lookup'!D:F,3,0),VLOOKUP(Table2[[#This Row],[Manual Cat Value]],Lookup!A:B,2,0))</f>
        <v>Restaurants</v>
      </c>
      <c r="G11142" t="s">
        <v>26</v>
      </c>
      <c r="H11142" s="8" t="s">
        <v>25</v>
      </c>
      <c r="I11142" s="8"/>
      <c r="O11142" t="str">
        <f>LEFT(Table2[[#This Row],[Description]],75)</f>
        <v>Park Tavern</v>
      </c>
    </row>
    <row r="11143" spans="1:15" hidden="1">
      <c r="A11143">
        <v>202403</v>
      </c>
      <c r="B11143" s="6">
        <v>45356</v>
      </c>
      <c r="C11143" t="s">
        <v>2519</v>
      </c>
      <c r="D11143" t="s">
        <v>5279</v>
      </c>
      <c r="E11143">
        <v>346</v>
      </c>
      <c r="F11143" s="2" t="str">
        <f>IF(Table2[[#This Row],[Manual Cat Value]]="",VLOOKUP(Table2[[#This Row],[Description]],'Actuals Lookup'!D:F,3,0),VLOOKUP(Table2[[#This Row],[Manual Cat Value]],Lookup!A:B,2,0))</f>
        <v>Day Care</v>
      </c>
      <c r="H11143" s="8" t="s">
        <v>19</v>
      </c>
      <c r="I11143" s="8"/>
      <c r="O11143" t="str">
        <f>LEFT(Table2[[#This Row],[Description]],75)</f>
        <v>Withdrawal ACH MHCHILDCARELLC TYPE: DUES ID: XX8198 CO: MHCHILDCARELLC Entr</v>
      </c>
    </row>
    <row r="11144" spans="1:15" hidden="1">
      <c r="A11144">
        <v>202403</v>
      </c>
      <c r="B11144" s="6">
        <v>45357</v>
      </c>
      <c r="C11144" t="s">
        <v>5013</v>
      </c>
      <c r="D11144" t="s">
        <v>113</v>
      </c>
      <c r="E11144">
        <v>-35.880000000000003</v>
      </c>
      <c r="F11144" s="2" t="str">
        <f>IF(Table2[[#This Row],[Manual Cat Value]]="",VLOOKUP(Table2[[#This Row],[Description]],'Actuals Lookup'!D:F,3,0),VLOOKUP(Table2[[#This Row],[Manual Cat Value]],Lookup!A:B,2,0))</f>
        <v>Amazon</v>
      </c>
      <c r="G11144" t="s">
        <v>38</v>
      </c>
      <c r="I11144" s="8"/>
      <c r="O11144" t="str">
        <f>LEFT(Table2[[#This Row],[Description]],75)</f>
        <v>Amazon Marketplace</v>
      </c>
    </row>
    <row r="11145" spans="1:15" hidden="1">
      <c r="A11145">
        <v>202403</v>
      </c>
      <c r="B11145" s="6">
        <v>45357</v>
      </c>
      <c r="C11145" t="s">
        <v>5013</v>
      </c>
      <c r="D11145" t="s">
        <v>113</v>
      </c>
      <c r="E11145">
        <v>-19.09</v>
      </c>
      <c r="F11145" s="2" t="str">
        <f>IF(Table2[[#This Row],[Manual Cat Value]]="",VLOOKUP(Table2[[#This Row],[Description]],'Actuals Lookup'!D:F,3,0),VLOOKUP(Table2[[#This Row],[Manual Cat Value]],Lookup!A:B,2,0))</f>
        <v>Amazon</v>
      </c>
      <c r="G11145" t="s">
        <v>38</v>
      </c>
      <c r="I11145" s="8"/>
      <c r="O11145" t="str">
        <f>LEFT(Table2[[#This Row],[Description]],75)</f>
        <v>Amazon Marketplace</v>
      </c>
    </row>
    <row r="11146" spans="1:15" hidden="1">
      <c r="A11146">
        <v>202403</v>
      </c>
      <c r="B11146" s="6">
        <v>45357</v>
      </c>
      <c r="C11146" t="s">
        <v>5013</v>
      </c>
      <c r="D11146" t="s">
        <v>113</v>
      </c>
      <c r="E11146">
        <v>-16.8</v>
      </c>
      <c r="F11146" s="2" t="str">
        <f>IF(Table2[[#This Row],[Manual Cat Value]]="",VLOOKUP(Table2[[#This Row],[Description]],'Actuals Lookup'!D:F,3,0),VLOOKUP(Table2[[#This Row],[Manual Cat Value]],Lookup!A:B,2,0))</f>
        <v>Amazon</v>
      </c>
      <c r="G11146" t="s">
        <v>38</v>
      </c>
      <c r="I11146" s="8"/>
      <c r="O11146" t="str">
        <f>LEFT(Table2[[#This Row],[Description]],75)</f>
        <v>Amazon Marketplace</v>
      </c>
    </row>
    <row r="11147" spans="1:15" hidden="1">
      <c r="A11147">
        <v>202403</v>
      </c>
      <c r="B11147" s="6">
        <v>45357</v>
      </c>
      <c r="C11147" t="s">
        <v>5160</v>
      </c>
      <c r="D11147" t="s">
        <v>113</v>
      </c>
      <c r="E11147">
        <v>-35.880000000000003</v>
      </c>
      <c r="F11147" s="2" t="str">
        <f>IF(Table2[[#This Row],[Manual Cat Value]]="",VLOOKUP(Table2[[#This Row],[Description]],'Actuals Lookup'!D:F,3,0),VLOOKUP(Table2[[#This Row],[Manual Cat Value]],Lookup!A:B,2,0))</f>
        <v>Amazon</v>
      </c>
      <c r="G11147" t="s">
        <v>38</v>
      </c>
      <c r="I11147" s="8"/>
      <c r="O11147" t="str">
        <f>LEFT(Table2[[#This Row],[Description]],75)</f>
        <v>Amazon Marketplace</v>
      </c>
    </row>
    <row r="11148" spans="1:15" hidden="1">
      <c r="A11148">
        <v>202403</v>
      </c>
      <c r="B11148" s="6">
        <v>45357</v>
      </c>
      <c r="C11148" t="s">
        <v>5160</v>
      </c>
      <c r="D11148" t="s">
        <v>113</v>
      </c>
      <c r="E11148">
        <v>-19.09</v>
      </c>
      <c r="F11148" s="2" t="str">
        <f>IF(Table2[[#This Row],[Manual Cat Value]]="",VLOOKUP(Table2[[#This Row],[Description]],'Actuals Lookup'!D:F,3,0),VLOOKUP(Table2[[#This Row],[Manual Cat Value]],Lookup!A:B,2,0))</f>
        <v>Amazon</v>
      </c>
      <c r="G11148" t="s">
        <v>38</v>
      </c>
      <c r="I11148" s="8"/>
      <c r="O11148" t="str">
        <f>LEFT(Table2[[#This Row],[Description]],75)</f>
        <v>Amazon Marketplace</v>
      </c>
    </row>
    <row r="11149" spans="1:15" hidden="1">
      <c r="A11149">
        <v>202403</v>
      </c>
      <c r="B11149" s="6">
        <v>45357</v>
      </c>
      <c r="C11149" t="s">
        <v>5160</v>
      </c>
      <c r="D11149" t="s">
        <v>113</v>
      </c>
      <c r="E11149">
        <v>-16.8</v>
      </c>
      <c r="F11149" s="2" t="str">
        <f>IF(Table2[[#This Row],[Manual Cat Value]]="",VLOOKUP(Table2[[#This Row],[Description]],'Actuals Lookup'!D:F,3,0),VLOOKUP(Table2[[#This Row],[Manual Cat Value]],Lookup!A:B,2,0))</f>
        <v>Amazon</v>
      </c>
      <c r="G11149" t="s">
        <v>38</v>
      </c>
      <c r="I11149" s="8"/>
      <c r="O11149" t="str">
        <f>LEFT(Table2[[#This Row],[Description]],75)</f>
        <v>Amazon Marketplace</v>
      </c>
    </row>
    <row r="11150" spans="1:15" hidden="1">
      <c r="A11150">
        <v>202403</v>
      </c>
      <c r="B11150" s="6">
        <v>45357</v>
      </c>
      <c r="C11150" t="s">
        <v>3938</v>
      </c>
      <c r="D11150" t="s">
        <v>5280</v>
      </c>
      <c r="E11150">
        <v>416.97</v>
      </c>
      <c r="F11150" s="2" t="str">
        <f>IF(Table2[[#This Row],[Manual Cat Value]]="",VLOOKUP(Table2[[#This Row],[Description]],'Actuals Lookup'!D:F,3,0),VLOOKUP(Table2[[#This Row],[Manual Cat Value]],Lookup!A:B,2,0))</f>
        <v>Travel</v>
      </c>
      <c r="H11150" s="8" t="s">
        <v>52</v>
      </c>
      <c r="I11150" s="8"/>
      <c r="O11150" t="str">
        <f>LEFT(Table2[[#This Row],[Description]],75)</f>
        <v>Sun Country Airlines</v>
      </c>
    </row>
    <row r="11151" spans="1:15" hidden="1">
      <c r="A11151">
        <v>202403</v>
      </c>
      <c r="B11151" s="6">
        <v>45357</v>
      </c>
      <c r="C11151" t="s">
        <v>2519</v>
      </c>
      <c r="D11151" t="s">
        <v>1955</v>
      </c>
      <c r="E11151">
        <v>96</v>
      </c>
      <c r="F11151" s="2" t="str">
        <f>IF(Table2[[#This Row],[Manual Cat Value]]="",VLOOKUP(Table2[[#This Row],[Description]],'Actuals Lookup'!D:F,3,0),VLOOKUP(Table2[[#This Row],[Manual Cat Value]],Lookup!A:B,2,0))</f>
        <v>Shopping</v>
      </c>
      <c r="I11151" s="8"/>
      <c r="O11151" t="str">
        <f>LEFT(Table2[[#This Row],[Description]],75)</f>
        <v>Transfer to PayPal</v>
      </c>
    </row>
    <row r="11152" spans="1:15" hidden="1">
      <c r="A11152">
        <v>202403</v>
      </c>
      <c r="B11152" s="6">
        <v>45358</v>
      </c>
      <c r="C11152" t="s">
        <v>3938</v>
      </c>
      <c r="D11152" t="s">
        <v>648</v>
      </c>
      <c r="E11152">
        <v>49.24</v>
      </c>
      <c r="F11152" s="2" t="str">
        <f>IF(Table2[[#This Row],[Manual Cat Value]]="",VLOOKUP(Table2[[#This Row],[Description]],'Actuals Lookup'!D:F,3,0),VLOOKUP(Table2[[#This Row],[Manual Cat Value]],Lookup!A:B,2,0))</f>
        <v>Groceries</v>
      </c>
      <c r="I11152" s="8"/>
      <c r="O11152" t="str">
        <f>LEFT(Table2[[#This Row],[Description]],75)</f>
        <v>Costco</v>
      </c>
    </row>
    <row r="11153" spans="1:15" hidden="1">
      <c r="A11153" s="25">
        <f>VALUE(YEAR(Table2[[#This Row],[Date]])&amp;TEXT(MONTH(Table2[[#This Row],[Date]]),"00"))</f>
        <v>202210</v>
      </c>
      <c r="B11153" s="6">
        <v>44837</v>
      </c>
      <c r="C11153" t="s">
        <v>2265</v>
      </c>
      <c r="D11153" t="s">
        <v>5281</v>
      </c>
      <c r="E11153">
        <f>IF(M11153="credit",-1*J11153,J11153)</f>
        <v>2606.27</v>
      </c>
      <c r="F11153" s="2" t="str">
        <f>IF(Table2[[#This Row],[Manual Cat Value]]="",VLOOKUP(Table2[[#This Row],[Description]],'Actuals Lookup'!D:F,3,0),Table2[[#This Row],[Manual Cat Value]])</f>
        <v>Exp - Rent</v>
      </c>
      <c r="G11153" t="e">
        <f>VLOOKUP(D11153,Lookup!G:H,2,0)</f>
        <v>#N/A</v>
      </c>
      <c r="H11153" s="8" t="s">
        <v>4</v>
      </c>
      <c r="I11153" s="8"/>
      <c r="J11153">
        <v>2606.27</v>
      </c>
      <c r="M11153" t="s">
        <v>2513</v>
      </c>
      <c r="O11153" t="str">
        <f>LEFT(Table2[[#This Row],[Description]],75)</f>
        <v>Withdrawal ACH BCU MORTGAGE TYPE: LOAN PAYMT ID: 9DRAFTING CO: BCU MORTGAGE</v>
      </c>
    </row>
    <row r="11154" spans="1:15" hidden="1">
      <c r="A11154">
        <v>202403</v>
      </c>
      <c r="B11154" s="6">
        <v>45359</v>
      </c>
      <c r="C11154" t="s">
        <v>3938</v>
      </c>
      <c r="D11154" t="s">
        <v>113</v>
      </c>
      <c r="E11154">
        <v>-119.2</v>
      </c>
      <c r="F11154" s="2" t="str">
        <f>IF(Table2[[#This Row],[Manual Cat Value]]="",VLOOKUP(Table2[[#This Row],[Description]],'Actuals Lookup'!D:F,3,0),VLOOKUP(Table2[[#This Row],[Manual Cat Value]],Lookup!A:B,2,0))</f>
        <v>Amazon</v>
      </c>
      <c r="I11154" s="8"/>
      <c r="O11154" t="str">
        <f>LEFT(Table2[[#This Row],[Description]],75)</f>
        <v>Amazon Marketplace</v>
      </c>
    </row>
    <row r="11155" spans="1:15" hidden="1">
      <c r="A11155">
        <v>202403</v>
      </c>
      <c r="B11155" s="6">
        <v>45359</v>
      </c>
      <c r="C11155" t="s">
        <v>3938</v>
      </c>
      <c r="D11155" t="s">
        <v>5282</v>
      </c>
      <c r="E11155">
        <v>91.01</v>
      </c>
      <c r="F11155" s="2" t="str">
        <f>IF(Table2[[#This Row],[Manual Cat Value]]="",VLOOKUP(Table2[[#This Row],[Description]],'Actuals Lookup'!D:F,3,0),VLOOKUP(Table2[[#This Row],[Manual Cat Value]],Lookup!A:B,2,0))</f>
        <v>Amazon</v>
      </c>
      <c r="H11155" s="8" t="s">
        <v>37</v>
      </c>
      <c r="I11155" s="8"/>
      <c r="O11155" t="str">
        <f>LEFT(Table2[[#This Row],[Description]],75)</f>
        <v>AMZN Mktp US*RN6XH0VS2 Amzn.com/billWA REF #XX9216EL2ZWX3VDS</v>
      </c>
    </row>
    <row r="11156" spans="1:15" hidden="1">
      <c r="A11156">
        <v>202403</v>
      </c>
      <c r="B11156" s="6">
        <v>45360</v>
      </c>
      <c r="C11156" t="s">
        <v>2519</v>
      </c>
      <c r="D11156" t="s">
        <v>5283</v>
      </c>
      <c r="E11156">
        <v>104</v>
      </c>
      <c r="F11156" s="2" t="str">
        <f>IF(Table2[[#This Row],[Manual Cat Value]]="",VLOOKUP(Table2[[#This Row],[Description]],'Actuals Lookup'!D:F,3,0),VLOOKUP(Table2[[#This Row],[Manual Cat Value]],Lookup!A:B,2,0))</f>
        <v>Travel</v>
      </c>
      <c r="H11156" s="8" t="s">
        <v>52</v>
      </c>
      <c r="I11156" s="8"/>
      <c r="O11156" t="str">
        <f>LEFT(Table2[[#This Row],[Description]],75)</f>
        <v>ATM Withdrawal at Bank Of Jackson Hole Jackson WY</v>
      </c>
    </row>
    <row r="11157" spans="1:15" hidden="1">
      <c r="A11157">
        <v>202403</v>
      </c>
      <c r="B11157" s="6">
        <v>45361</v>
      </c>
      <c r="C11157" t="s">
        <v>3938</v>
      </c>
      <c r="D11157" t="s">
        <v>5284</v>
      </c>
      <c r="E11157">
        <v>13.68</v>
      </c>
      <c r="F11157" s="2" t="str">
        <f>IF(Table2[[#This Row],[Manual Cat Value]]="",VLOOKUP(Table2[[#This Row],[Description]],'Actuals Lookup'!D:F,3,0),VLOOKUP(Table2[[#This Row],[Manual Cat Value]],Lookup!A:B,2,0))</f>
        <v>Groceries</v>
      </c>
      <c r="H11157" s="8" t="s">
        <v>27</v>
      </c>
      <c r="I11157" s="8"/>
      <c r="O11157" t="str">
        <f>LEFT(Table2[[#This Row],[Description]],75)</f>
        <v>Aspens Market</v>
      </c>
    </row>
    <row r="11158" spans="1:15" hidden="1">
      <c r="A11158">
        <v>202403</v>
      </c>
      <c r="B11158" s="6">
        <v>45361</v>
      </c>
      <c r="C11158" t="s">
        <v>2519</v>
      </c>
      <c r="D11158" t="s">
        <v>4283</v>
      </c>
      <c r="E11158">
        <v>-1525.65</v>
      </c>
      <c r="F11158" s="2" t="str">
        <f>IF(Table2[[#This Row],[Manual Cat Value]]="",VLOOKUP(Table2[[#This Row],[Description]],'Actuals Lookup'!D:F,3,0),VLOOKUP(Table2[[#This Row],[Manual Cat Value]],Lookup!A:B,2,0))</f>
        <v>Britney</v>
      </c>
      <c r="I11158" s="8"/>
      <c r="O11158" t="str">
        <f>LEFT(Table2[[#This Row],[Description]],75)</f>
        <v>Cargill Deposit</v>
      </c>
    </row>
    <row r="11159" spans="1:15" hidden="1">
      <c r="A11159">
        <v>202403</v>
      </c>
      <c r="B11159" s="6">
        <v>45361</v>
      </c>
      <c r="C11159" t="s">
        <v>3938</v>
      </c>
      <c r="D11159" t="s">
        <v>1477</v>
      </c>
      <c r="E11159">
        <v>47.69</v>
      </c>
      <c r="F11159" s="2" t="str">
        <f>IF(Table2[[#This Row],[Manual Cat Value]]="",VLOOKUP(Table2[[#This Row],[Description]],'Actuals Lookup'!D:F,3,0),VLOOKUP(Table2[[#This Row],[Manual Cat Value]],Lookup!A:B,2,0))</f>
        <v>Gym</v>
      </c>
      <c r="I11159" s="8"/>
      <c r="O11159" t="str">
        <f>LEFT(Table2[[#This Row],[Description]],75)</f>
        <v>Peloton Cycles</v>
      </c>
    </row>
    <row r="11160" spans="1:15" hidden="1">
      <c r="A11160">
        <v>202403</v>
      </c>
      <c r="B11160" s="6">
        <v>45361</v>
      </c>
      <c r="C11160" t="s">
        <v>3938</v>
      </c>
      <c r="D11160" t="s">
        <v>2078</v>
      </c>
      <c r="E11160">
        <v>20</v>
      </c>
      <c r="F11160" s="2" t="str">
        <f>IF(Table2[[#This Row],[Manual Cat Value]]="",VLOOKUP(Table2[[#This Row],[Description]],'Actuals Lookup'!D:F,3,0),VLOOKUP(Table2[[#This Row],[Manual Cat Value]],Lookup!A:B,2,0))</f>
        <v>Transportation</v>
      </c>
      <c r="I11160" s="8"/>
      <c r="O11160" t="str">
        <f>LEFT(Table2[[#This Row],[Description]],75)</f>
        <v>Uber</v>
      </c>
    </row>
    <row r="11161" spans="1:15" hidden="1">
      <c r="A11161">
        <v>202403</v>
      </c>
      <c r="B11161" s="6">
        <v>45361</v>
      </c>
      <c r="C11161" t="s">
        <v>3938</v>
      </c>
      <c r="D11161" t="s">
        <v>2078</v>
      </c>
      <c r="E11161">
        <v>35.549999999999997</v>
      </c>
      <c r="F11161" s="2" t="str">
        <f>IF(Table2[[#This Row],[Manual Cat Value]]="",VLOOKUP(Table2[[#This Row],[Description]],'Actuals Lookup'!D:F,3,0),VLOOKUP(Table2[[#This Row],[Manual Cat Value]],Lookup!A:B,2,0))</f>
        <v>Transportation</v>
      </c>
      <c r="I11161" s="8"/>
      <c r="O11161" t="str">
        <f>LEFT(Table2[[#This Row],[Description]],75)</f>
        <v>Uber</v>
      </c>
    </row>
    <row r="11162" spans="1:15" hidden="1">
      <c r="A11162">
        <v>202406</v>
      </c>
      <c r="B11162" s="6">
        <v>45455</v>
      </c>
      <c r="C11162" t="s">
        <v>3938</v>
      </c>
      <c r="D11162" t="s">
        <v>673</v>
      </c>
      <c r="E11162">
        <v>-774.67</v>
      </c>
      <c r="F11162" s="2" t="str">
        <f>IF(Table2[[#This Row],[Manual Cat Value]]="",VLOOKUP(Table2[[#This Row],[Description]],'Actuals Lookup'!D:F,3,0),VLOOKUP(Table2[[#This Row],[Manual Cat Value]],Lookup!A:B,2,0))</f>
        <v>Delete</v>
      </c>
      <c r="I11162" s="8"/>
      <c r="O11162" t="str">
        <f>LEFT(Table2[[#This Row],[Description]],75)</f>
        <v>Credit Card Payment Received</v>
      </c>
    </row>
    <row r="11163" spans="1:15" hidden="1">
      <c r="A11163">
        <v>202403</v>
      </c>
      <c r="B11163" s="6">
        <v>45362</v>
      </c>
      <c r="C11163" t="s">
        <v>3938</v>
      </c>
      <c r="D11163" t="s">
        <v>1350</v>
      </c>
      <c r="E11163">
        <v>25.6</v>
      </c>
      <c r="F11163" s="2" t="str">
        <f>IF(Table2[[#This Row],[Manual Cat Value]]="",VLOOKUP(Table2[[#This Row],[Description]],'Actuals Lookup'!D:F,3,0),VLOOKUP(Table2[[#This Row],[Manual Cat Value]],Lookup!A:B,2,0))</f>
        <v>Utilities</v>
      </c>
      <c r="I11163" s="8"/>
      <c r="O11163" t="str">
        <f>LEFT(Table2[[#This Row],[Description]],75)</f>
        <v>Netflix</v>
      </c>
    </row>
    <row r="11164" spans="1:15" hidden="1">
      <c r="A11164">
        <v>202403</v>
      </c>
      <c r="B11164" s="6">
        <v>45362</v>
      </c>
      <c r="C11164" t="s">
        <v>2519</v>
      </c>
      <c r="D11164" t="s">
        <v>1470</v>
      </c>
      <c r="E11164">
        <v>191.21</v>
      </c>
      <c r="F11164" s="2" t="str">
        <f>IF(Table2[[#This Row],[Manual Cat Value]]="",VLOOKUP(Table2[[#This Row],[Description]],'Actuals Lookup'!D:F,3,0),VLOOKUP(Table2[[#This Row],[Manual Cat Value]],Lookup!A:B,2,0))</f>
        <v>Utilities</v>
      </c>
      <c r="I11164" s="8"/>
      <c r="O11164" t="str">
        <f>LEFT(Table2[[#This Row],[Description]],75)</f>
        <v>Payment to Xcel Energy</v>
      </c>
    </row>
    <row r="11165" spans="1:15" hidden="1">
      <c r="A11165">
        <v>202403</v>
      </c>
      <c r="B11165" s="6">
        <v>45362</v>
      </c>
      <c r="C11165" t="s">
        <v>3938</v>
      </c>
      <c r="D11165" t="s">
        <v>1707</v>
      </c>
      <c r="E11165">
        <v>42.53</v>
      </c>
      <c r="F11165" s="2" t="str">
        <f>IF(Table2[[#This Row],[Manual Cat Value]]="",VLOOKUP(Table2[[#This Row],[Description]],'Actuals Lookup'!D:F,3,0),VLOOKUP(Table2[[#This Row],[Manual Cat Value]],Lookup!A:B,2,0))</f>
        <v>Transportation</v>
      </c>
      <c r="I11165" s="8"/>
      <c r="O11165" t="str">
        <f>LEFT(Table2[[#This Row],[Description]],75)</f>
        <v>Speedway</v>
      </c>
    </row>
    <row r="11166" spans="1:15" hidden="1">
      <c r="A11166">
        <v>202403</v>
      </c>
      <c r="B11166" s="6">
        <v>45362</v>
      </c>
      <c r="C11166" t="s">
        <v>3938</v>
      </c>
      <c r="D11166" t="s">
        <v>2078</v>
      </c>
      <c r="E11166">
        <v>-20</v>
      </c>
      <c r="F11166" s="2" t="str">
        <f>IF(Table2[[#This Row],[Manual Cat Value]]="",VLOOKUP(Table2[[#This Row],[Description]],'Actuals Lookup'!D:F,3,0),VLOOKUP(Table2[[#This Row],[Manual Cat Value]],Lookup!A:B,2,0))</f>
        <v>Transportation</v>
      </c>
      <c r="I11166" s="8"/>
      <c r="O11166" t="str">
        <f>LEFT(Table2[[#This Row],[Description]],75)</f>
        <v>Uber</v>
      </c>
    </row>
    <row r="11167" spans="1:15" hidden="1">
      <c r="A11167">
        <v>202403</v>
      </c>
      <c r="B11167" s="6">
        <v>45362</v>
      </c>
      <c r="C11167" t="s">
        <v>3938</v>
      </c>
      <c r="D11167" t="s">
        <v>2078</v>
      </c>
      <c r="E11167">
        <v>37.42</v>
      </c>
      <c r="F11167" s="2" t="str">
        <f>IF(Table2[[#This Row],[Manual Cat Value]]="",VLOOKUP(Table2[[#This Row],[Description]],'Actuals Lookup'!D:F,3,0),VLOOKUP(Table2[[#This Row],[Manual Cat Value]],Lookup!A:B,2,0))</f>
        <v>Transportation</v>
      </c>
      <c r="I11167" s="8"/>
      <c r="O11167" t="str">
        <f>LEFT(Table2[[#This Row],[Description]],75)</f>
        <v>Uber</v>
      </c>
    </row>
    <row r="11168" spans="1:15" hidden="1">
      <c r="A11168">
        <v>202403</v>
      </c>
      <c r="B11168" s="6">
        <v>45362</v>
      </c>
      <c r="C11168" t="s">
        <v>3938</v>
      </c>
      <c r="D11168" t="s">
        <v>5285</v>
      </c>
      <c r="E11168">
        <v>25.44</v>
      </c>
      <c r="F11168" s="2" t="str">
        <f>IF(Table2[[#This Row],[Manual Cat Value]]="",VLOOKUP(Table2[[#This Row],[Description]],'Actuals Lookup'!D:F,3,0),VLOOKUP(Table2[[#This Row],[Manual Cat Value]],Lookup!A:B,2,0))</f>
        <v>Groceries</v>
      </c>
      <c r="H11168" s="8" t="s">
        <v>27</v>
      </c>
      <c r="I11168" s="8"/>
      <c r="O11168" t="str">
        <f>LEFT(Table2[[#This Row],[Description]],75)</f>
        <v>Westside Wine &amp; Spirits</v>
      </c>
    </row>
    <row r="11169" spans="1:15" hidden="1">
      <c r="A11169">
        <v>202403</v>
      </c>
      <c r="B11169" s="6">
        <v>45363</v>
      </c>
      <c r="C11169" t="s">
        <v>3938</v>
      </c>
      <c r="D11169" t="s">
        <v>113</v>
      </c>
      <c r="E11169">
        <v>-19.36</v>
      </c>
      <c r="F11169" s="2" t="str">
        <f>IF(Table2[[#This Row],[Manual Cat Value]]="",VLOOKUP(Table2[[#This Row],[Description]],'Actuals Lookup'!D:F,3,0),VLOOKUP(Table2[[#This Row],[Manual Cat Value]],Lookup!A:B,2,0))</f>
        <v>Amazon</v>
      </c>
      <c r="I11169" s="8"/>
      <c r="O11169" t="str">
        <f>LEFT(Table2[[#This Row],[Description]],75)</f>
        <v>Amazon Marketplace</v>
      </c>
    </row>
    <row r="11170" spans="1:15" hidden="1">
      <c r="A11170">
        <v>202403</v>
      </c>
      <c r="B11170" s="6">
        <v>45363</v>
      </c>
      <c r="C11170" t="s">
        <v>3938</v>
      </c>
      <c r="D11170" t="s">
        <v>4868</v>
      </c>
      <c r="E11170">
        <v>5.99</v>
      </c>
      <c r="F11170" s="2" t="str">
        <f>IF(Table2[[#This Row],[Manual Cat Value]]="",VLOOKUP(Table2[[#This Row],[Description]],'Actuals Lookup'!D:F,3,0),VLOOKUP(Table2[[#This Row],[Manual Cat Value]],Lookup!A:B,2,0))</f>
        <v>Entertainment</v>
      </c>
      <c r="I11170" s="8"/>
      <c r="O11170" t="str">
        <f>LEFT(Table2[[#This Row],[Description]],75)</f>
        <v>Hallmark Movies Now</v>
      </c>
    </row>
    <row r="11171" spans="1:15" hidden="1">
      <c r="A11171">
        <v>202403</v>
      </c>
      <c r="B11171" s="6">
        <v>45363</v>
      </c>
      <c r="C11171" t="s">
        <v>2519</v>
      </c>
      <c r="D11171" t="s">
        <v>1958</v>
      </c>
      <c r="E11171">
        <v>169.25</v>
      </c>
      <c r="F11171" s="2" t="str">
        <f>IF(Table2[[#This Row],[Manual Cat Value]]="",VLOOKUP(Table2[[#This Row],[Description]],'Actuals Lookup'!D:F,3,0),VLOOKUP(Table2[[#This Row],[Manual Cat Value]],Lookup!A:B,2,0))</f>
        <v>Shopping</v>
      </c>
      <c r="I11171" s="8"/>
      <c r="O11171" t="str">
        <f>LEFT(Table2[[#This Row],[Description]],75)</f>
        <v>Transfer to Venmo</v>
      </c>
    </row>
    <row r="11172" spans="1:15" hidden="1">
      <c r="A11172">
        <v>202403</v>
      </c>
      <c r="B11172" s="6">
        <v>45363</v>
      </c>
      <c r="C11172" t="s">
        <v>2519</v>
      </c>
      <c r="D11172" t="s">
        <v>5286</v>
      </c>
      <c r="E11172">
        <v>346</v>
      </c>
      <c r="F11172" s="2" t="str">
        <f>IF(Table2[[#This Row],[Manual Cat Value]]="",VLOOKUP(Table2[[#This Row],[Description]],'Actuals Lookup'!D:F,3,0),VLOOKUP(Table2[[#This Row],[Manual Cat Value]],Lookup!A:B,2,0))</f>
        <v>Day Care</v>
      </c>
      <c r="H11172" s="8" t="s">
        <v>19</v>
      </c>
      <c r="I11172" s="8"/>
      <c r="O11172" t="str">
        <f>LEFT(Table2[[#This Row],[Description]],75)</f>
        <v>Withdrawal ACH MHCHILDCARELLC TYPE: DUES ID: XX8198 CO: MHCHILDCARELLC Entr</v>
      </c>
    </row>
    <row r="11173" spans="1:15" hidden="1">
      <c r="A11173">
        <v>202403</v>
      </c>
      <c r="B11173" s="6">
        <v>45364</v>
      </c>
      <c r="C11173" t="s">
        <v>3938</v>
      </c>
      <c r="D11173" t="s">
        <v>1462</v>
      </c>
      <c r="E11173">
        <v>45</v>
      </c>
      <c r="F11173" s="2" t="str">
        <f>IF(Table2[[#This Row],[Manual Cat Value]]="",VLOOKUP(Table2[[#This Row],[Description]],'Actuals Lookup'!D:F,3,0),VLOOKUP(Table2[[#This Row],[Manual Cat Value]],Lookup!A:B,2,0))</f>
        <v>Utilities</v>
      </c>
      <c r="I11173" s="8"/>
      <c r="O11173" t="str">
        <f>LEFT(Table2[[#This Row],[Description]],75)</f>
        <v>Payment to CenturyLink</v>
      </c>
    </row>
    <row r="11174" spans="1:15" hidden="1">
      <c r="A11174">
        <v>202403</v>
      </c>
      <c r="B11174" s="6">
        <v>45364</v>
      </c>
      <c r="C11174" t="s">
        <v>2519</v>
      </c>
      <c r="D11174" t="s">
        <v>4343</v>
      </c>
      <c r="E11174">
        <v>-17159.89</v>
      </c>
      <c r="F11174" s="2" t="str">
        <f>IF(Table2[[#This Row],[Manual Cat Value]]="",VLOOKUP(Table2[[#This Row],[Description]],'Actuals Lookup'!D:F,3,0),VLOOKUP(Table2[[#This Row],[Manual Cat Value]],Lookup!A:B,2,0))</f>
        <v>Jeff</v>
      </c>
      <c r="I11174" s="8"/>
      <c r="O11174" t="str">
        <f>LEFT(Table2[[#This Row],[Description]],75)</f>
        <v>Salary/Regular Income from TriNet</v>
      </c>
    </row>
    <row r="11175" spans="1:15" hidden="1">
      <c r="A11175">
        <v>202403</v>
      </c>
      <c r="B11175" s="6">
        <v>45365</v>
      </c>
      <c r="C11175" t="s">
        <v>3938</v>
      </c>
      <c r="D11175" t="s">
        <v>5287</v>
      </c>
      <c r="E11175">
        <v>63.85</v>
      </c>
      <c r="F11175" s="2" t="str">
        <f>IF(Table2[[#This Row],[Manual Cat Value]]="",VLOOKUP(Table2[[#This Row],[Description]],'Actuals Lookup'!D:F,3,0),VLOOKUP(Table2[[#This Row],[Manual Cat Value]],Lookup!A:B,2,0))</f>
        <v>Amazon</v>
      </c>
      <c r="H11175" s="8" t="s">
        <v>37</v>
      </c>
      <c r="I11175" s="8"/>
      <c r="O11175" t="str">
        <f>LEFT(Table2[[#This Row],[Description]],75)</f>
        <v>AMZN Mktp US*R60FD6102 Amzn.com/billWA REF #XX9216ET340JPYMR</v>
      </c>
    </row>
    <row r="11176" spans="1:15" hidden="1">
      <c r="A11176">
        <v>202403</v>
      </c>
      <c r="B11176" s="6">
        <v>45365</v>
      </c>
      <c r="C11176" t="s">
        <v>3938</v>
      </c>
      <c r="D11176" t="s">
        <v>5288</v>
      </c>
      <c r="E11176">
        <v>36.49</v>
      </c>
      <c r="F11176" s="2" t="str">
        <f>IF(Table2[[#This Row],[Manual Cat Value]]="",VLOOKUP(Table2[[#This Row],[Description]],'Actuals Lookup'!D:F,3,0),VLOOKUP(Table2[[#This Row],[Manual Cat Value]],Lookup!A:B,2,0))</f>
        <v>Amazon</v>
      </c>
      <c r="H11176" s="8" t="s">
        <v>37</v>
      </c>
      <c r="I11176" s="8"/>
      <c r="O11176" t="str">
        <f>LEFT(Table2[[#This Row],[Description]],75)</f>
        <v>AMZN Mktp US*RH05V0C80 Amzn.com/billWA REF #XX9216ET34B8728H</v>
      </c>
    </row>
    <row r="11177" spans="1:15" hidden="1">
      <c r="A11177">
        <v>202403</v>
      </c>
      <c r="B11177" s="6">
        <v>45365</v>
      </c>
      <c r="C11177" t="s">
        <v>2519</v>
      </c>
      <c r="D11177" t="s">
        <v>404</v>
      </c>
      <c r="E11177">
        <v>-2666.33</v>
      </c>
      <c r="F11177" s="2" t="str">
        <f>IF(Table2[[#This Row],[Manual Cat Value]]="",VLOOKUP(Table2[[#This Row],[Description]],'Actuals Lookup'!D:F,3,0),VLOOKUP(Table2[[#This Row],[Manual Cat Value]],Lookup!A:B,2,0))</f>
        <v>Britney</v>
      </c>
      <c r="I11177" s="8"/>
      <c r="O11177" t="str">
        <f>LEFT(Table2[[#This Row],[Description]],75)</f>
        <v>Cargill Inc Deposit</v>
      </c>
    </row>
    <row r="11178" spans="1:15" hidden="1">
      <c r="A11178">
        <v>202406</v>
      </c>
      <c r="B11178" s="6">
        <v>45470</v>
      </c>
      <c r="C11178" t="s">
        <v>3938</v>
      </c>
      <c r="D11178" t="s">
        <v>673</v>
      </c>
      <c r="E11178">
        <v>-612.63</v>
      </c>
      <c r="F11178" s="2" t="str">
        <f>IF(Table2[[#This Row],[Manual Cat Value]]="",VLOOKUP(Table2[[#This Row],[Description]],'Actuals Lookup'!D:F,3,0),VLOOKUP(Table2[[#This Row],[Manual Cat Value]],Lookup!A:B,2,0))</f>
        <v>Delete</v>
      </c>
      <c r="I11178" s="8"/>
      <c r="O11178" t="str">
        <f>LEFT(Table2[[#This Row],[Description]],75)</f>
        <v>Credit Card Payment Received</v>
      </c>
    </row>
    <row r="11179" spans="1:15" hidden="1">
      <c r="A11179">
        <v>202403</v>
      </c>
      <c r="B11179" s="6">
        <v>45365</v>
      </c>
      <c r="C11179" t="s">
        <v>2519</v>
      </c>
      <c r="D11179" t="s">
        <v>5289</v>
      </c>
      <c r="E11179">
        <v>-1324</v>
      </c>
      <c r="F11179" s="2" t="str">
        <f>IF(Table2[[#This Row],[Manual Cat Value]]="",VLOOKUP(Table2[[#This Row],[Description]],'Actuals Lookup'!D:F,3,0),VLOOKUP(Table2[[#This Row],[Manual Cat Value]],Lookup!A:B,2,0))</f>
        <v>Jeff</v>
      </c>
      <c r="H11179" s="8" t="s">
        <v>63</v>
      </c>
      <c r="I11179" s="8"/>
      <c r="O11179" t="str">
        <f>LEFT(Table2[[#This Row],[Description]],75)</f>
        <v>Deposit ACH EMPYREAN SOLUTIO TYPE: XX9000 ID: XX3620 CO: EMPYREAN SOLUTIO E</v>
      </c>
    </row>
    <row r="11180" spans="1:15" hidden="1">
      <c r="A11180">
        <v>202408</v>
      </c>
      <c r="B11180" s="6">
        <v>45507</v>
      </c>
      <c r="C11180" t="s">
        <v>3938</v>
      </c>
      <c r="D11180" t="s">
        <v>673</v>
      </c>
      <c r="E11180">
        <v>-1592.13</v>
      </c>
      <c r="F11180" s="2" t="str">
        <f>IF(Table2[[#This Row],[Manual Cat Value]]="",VLOOKUP(Table2[[#This Row],[Description]],'Actuals Lookup'!D:F,3,0),VLOOKUP(Table2[[#This Row],[Manual Cat Value]],Lookup!A:B,2,0))</f>
        <v>Delete</v>
      </c>
      <c r="H11180" t="s">
        <v>9</v>
      </c>
      <c r="I11180" s="8"/>
      <c r="O11180" t="str">
        <f>LEFT(Table2[[#This Row],[Description]],75)</f>
        <v>Credit Card Payment Received</v>
      </c>
    </row>
    <row r="11181" spans="1:15" hidden="1">
      <c r="A11181">
        <v>202408</v>
      </c>
      <c r="B11181" s="6">
        <v>45519</v>
      </c>
      <c r="C11181" t="s">
        <v>3938</v>
      </c>
      <c r="D11181" t="s">
        <v>673</v>
      </c>
      <c r="E11181">
        <v>-979.54</v>
      </c>
      <c r="F11181" s="2" t="str">
        <f>IF(Table2[[#This Row],[Manual Cat Value]]="",VLOOKUP(Table2[[#This Row],[Description]],'Actuals Lookup'!D:F,3,0),VLOOKUP(Table2[[#This Row],[Manual Cat Value]],Lookup!A:B,2,0))</f>
        <v>Delete</v>
      </c>
      <c r="I11181" s="8"/>
      <c r="O11181" t="str">
        <f>LEFT(Table2[[#This Row],[Description]],75)</f>
        <v>Credit Card Payment Received</v>
      </c>
    </row>
    <row r="11182" spans="1:15" hidden="1">
      <c r="A11182">
        <v>202409</v>
      </c>
      <c r="B11182" s="6">
        <v>45538</v>
      </c>
      <c r="C11182" t="s">
        <v>3938</v>
      </c>
      <c r="D11182" t="s">
        <v>673</v>
      </c>
      <c r="E11182">
        <v>-3547.13</v>
      </c>
      <c r="F11182" s="2" t="str">
        <f>IF(Table2[[#This Row],[Manual Cat Value]]="",VLOOKUP(Table2[[#This Row],[Description]],'Actuals Lookup'!D:F,3,0),VLOOKUP(Table2[[#This Row],[Manual Cat Value]],Lookup!A:B,2,0))</f>
        <v>Delete</v>
      </c>
      <c r="H11182" s="8" t="s">
        <v>9</v>
      </c>
      <c r="I11182" s="8"/>
      <c r="O11182" t="str">
        <f>LEFT(Table2[[#This Row],[Description]],75)</f>
        <v>Credit Card Payment Received</v>
      </c>
    </row>
    <row r="11183" spans="1:15" hidden="1">
      <c r="A11183">
        <v>202403</v>
      </c>
      <c r="B11183" s="6">
        <v>45368</v>
      </c>
      <c r="C11183" t="s">
        <v>3938</v>
      </c>
      <c r="D11183" t="s">
        <v>5290</v>
      </c>
      <c r="E11183">
        <v>32.18</v>
      </c>
      <c r="F11183" s="2" t="str">
        <f>IF(Table2[[#This Row],[Manual Cat Value]]="",VLOOKUP(Table2[[#This Row],[Description]],'Actuals Lookup'!D:F,3,0),VLOOKUP(Table2[[#This Row],[Manual Cat Value]],Lookup!A:B,2,0))</f>
        <v>Amazon</v>
      </c>
      <c r="H11183" s="8" t="s">
        <v>37</v>
      </c>
      <c r="I11183" s="8"/>
      <c r="O11183" t="str">
        <f>LEFT(Table2[[#This Row],[Description]],75)</f>
        <v>AMZN MKTP US*R62MA57U2 SEATTLE WA REF #XX3106EW2DJVJ5Y6</v>
      </c>
    </row>
    <row r="11184" spans="1:15" hidden="1">
      <c r="A11184">
        <v>202409</v>
      </c>
      <c r="B11184" s="6">
        <v>45559</v>
      </c>
      <c r="C11184" t="s">
        <v>3938</v>
      </c>
      <c r="D11184" t="s">
        <v>673</v>
      </c>
      <c r="E11184">
        <v>-3004.53</v>
      </c>
      <c r="F11184" s="2" t="str">
        <f>IF(Table2[[#This Row],[Manual Cat Value]]="",VLOOKUP(Table2[[#This Row],[Description]],'Actuals Lookup'!D:F,3,0),VLOOKUP(Table2[[#This Row],[Manual Cat Value]],Lookup!A:B,2,0))</f>
        <v>Delete</v>
      </c>
      <c r="H11184" s="8" t="s">
        <v>9</v>
      </c>
      <c r="I11184" s="8"/>
      <c r="O11184" t="str">
        <f>LEFT(Table2[[#This Row],[Description]],75)</f>
        <v>Credit Card Payment Received</v>
      </c>
    </row>
    <row r="11185" spans="1:15" hidden="1">
      <c r="A11185">
        <v>202403</v>
      </c>
      <c r="B11185" s="6">
        <v>45368</v>
      </c>
      <c r="C11185" t="s">
        <v>3938</v>
      </c>
      <c r="D11185" t="s">
        <v>782</v>
      </c>
      <c r="E11185">
        <v>27.13</v>
      </c>
      <c r="F11185" s="2" t="str">
        <f>IF(Table2[[#This Row],[Manual Cat Value]]="",VLOOKUP(Table2[[#This Row],[Description]],'Actuals Lookup'!D:F,3,0),VLOOKUP(Table2[[#This Row],[Manual Cat Value]],Lookup!A:B,2,0))</f>
        <v>Groceries</v>
      </c>
      <c r="I11185" s="8"/>
      <c r="O11185" t="str">
        <f>LEFT(Table2[[#This Row],[Description]],75)</f>
        <v>Dollar Tree</v>
      </c>
    </row>
    <row r="11186" spans="1:15" hidden="1">
      <c r="A11186">
        <v>202403</v>
      </c>
      <c r="B11186" s="6">
        <v>45368</v>
      </c>
      <c r="C11186" t="s">
        <v>3938</v>
      </c>
      <c r="D11186" t="s">
        <v>5291</v>
      </c>
      <c r="E11186">
        <v>130</v>
      </c>
      <c r="F11186" s="2" t="str">
        <f>IF(Table2[[#This Row],[Manual Cat Value]]="",VLOOKUP(Table2[[#This Row],[Description]],'Actuals Lookup'!D:F,3,0),VLOOKUP(Table2[[#This Row],[Manual Cat Value]],Lookup!A:B,2,0))</f>
        <v>Entertainment</v>
      </c>
      <c r="H11186" s="8" t="s">
        <v>39</v>
      </c>
      <c r="I11186" s="8"/>
      <c r="O11186" t="str">
        <f>LEFT(Table2[[#This Row],[Description]],75)</f>
        <v>Three Rivers</v>
      </c>
    </row>
    <row r="11187" spans="1:15" hidden="1">
      <c r="A11187">
        <v>202403</v>
      </c>
      <c r="B11187" s="6">
        <v>45369</v>
      </c>
      <c r="C11187" t="s">
        <v>2519</v>
      </c>
      <c r="D11187" t="s">
        <v>1955</v>
      </c>
      <c r="E11187">
        <v>39.24</v>
      </c>
      <c r="F11187" s="2" t="str">
        <f>IF(Table2[[#This Row],[Manual Cat Value]]="",VLOOKUP(Table2[[#This Row],[Description]],'Actuals Lookup'!D:F,3,0),VLOOKUP(Table2[[#This Row],[Manual Cat Value]],Lookup!A:B,2,0))</f>
        <v>Shopping</v>
      </c>
      <c r="I11187" s="8"/>
      <c r="O11187" t="str">
        <f>LEFT(Table2[[#This Row],[Description]],75)</f>
        <v>Transfer to PayPal</v>
      </c>
    </row>
    <row r="11188" spans="1:15" hidden="1">
      <c r="A11188">
        <v>202403</v>
      </c>
      <c r="B11188" s="6">
        <v>45369</v>
      </c>
      <c r="C11188" t="s">
        <v>3938</v>
      </c>
      <c r="D11188" t="s">
        <v>4920</v>
      </c>
      <c r="E11188">
        <v>84</v>
      </c>
      <c r="F11188" s="2" t="str">
        <f>IF(Table2[[#This Row],[Manual Cat Value]]="",VLOOKUP(Table2[[#This Row],[Description]],'Actuals Lookup'!D:F,3,0),VLOOKUP(Table2[[#This Row],[Manual Cat Value]],Lookup!A:B,2,0))</f>
        <v>Shopping</v>
      </c>
      <c r="I11188" s="8"/>
      <c r="O11188" t="str">
        <f>LEFT(Table2[[#This Row],[Description]],75)</f>
        <v>Vuori Clothing</v>
      </c>
    </row>
    <row r="11189" spans="1:15" hidden="1">
      <c r="A11189">
        <v>202403</v>
      </c>
      <c r="B11189" s="6">
        <v>45369</v>
      </c>
      <c r="C11189" t="s">
        <v>2519</v>
      </c>
      <c r="D11189" t="s">
        <v>5292</v>
      </c>
      <c r="E11189">
        <v>137.51</v>
      </c>
      <c r="F11189" s="2" t="str">
        <f>IF(Table2[[#This Row],[Manual Cat Value]]="",VLOOKUP(Table2[[#This Row],[Description]],'Actuals Lookup'!D:F,3,0),VLOOKUP(Table2[[#This Row],[Manual Cat Value]],Lookup!A:B,2,0))</f>
        <v>Utilities</v>
      </c>
      <c r="H11189" s="8" t="s">
        <v>6</v>
      </c>
      <c r="I11189" s="8"/>
      <c r="O11189" t="str">
        <f>LEFT(Table2[[#This Row],[Description]],75)</f>
        <v>Withdrawal ACH CPENERGY MNGCO TYPE: MGC ACH EB ID: 1XX1140S CO: CPENERGY MN</v>
      </c>
    </row>
    <row r="11190" spans="1:15" hidden="1">
      <c r="A11190">
        <v>202403</v>
      </c>
      <c r="B11190" s="6">
        <v>45369</v>
      </c>
      <c r="C11190" t="s">
        <v>2519</v>
      </c>
      <c r="D11190" t="s">
        <v>5293</v>
      </c>
      <c r="E11190">
        <v>650</v>
      </c>
      <c r="F11190" s="2" t="str">
        <f>IF(Table2[[#This Row],[Manual Cat Value]]="",VLOOKUP(Table2[[#This Row],[Description]],'Actuals Lookup'!D:F,3,0),VLOOKUP(Table2[[#This Row],[Manual Cat Value]],Lookup!A:B,2,0))</f>
        <v>Day Care</v>
      </c>
      <c r="H11190" s="8" t="s">
        <v>19</v>
      </c>
      <c r="I11190" s="8"/>
      <c r="O11190" t="str">
        <f>LEFT(Table2[[#This Row],[Description]],75)</f>
        <v>Withdrawal ACH MN DIR ACH TYPE: CONTRIB ID: XX7162 CO: MN DIR ACH NAME: XX2</v>
      </c>
    </row>
    <row r="11191" spans="1:15" hidden="1">
      <c r="A11191">
        <v>202403</v>
      </c>
      <c r="B11191" s="6">
        <v>45370</v>
      </c>
      <c r="C11191" t="s">
        <v>2519</v>
      </c>
      <c r="D11191" t="s">
        <v>1955</v>
      </c>
      <c r="E11191">
        <v>2.99</v>
      </c>
      <c r="F11191" s="2" t="str">
        <f>IF(Table2[[#This Row],[Manual Cat Value]]="",VLOOKUP(Table2[[#This Row],[Description]],'Actuals Lookup'!D:F,3,0),VLOOKUP(Table2[[#This Row],[Manual Cat Value]],Lookup!A:B,2,0))</f>
        <v>Shopping</v>
      </c>
      <c r="I11191" s="8"/>
      <c r="O11191" t="str">
        <f>LEFT(Table2[[#This Row],[Description]],75)</f>
        <v>Transfer to PayPal</v>
      </c>
    </row>
    <row r="11192" spans="1:15" hidden="1">
      <c r="A11192">
        <v>202410</v>
      </c>
      <c r="B11192" s="6">
        <v>45567</v>
      </c>
      <c r="C11192" t="s">
        <v>3938</v>
      </c>
      <c r="D11192" t="s">
        <v>673</v>
      </c>
      <c r="E11192">
        <v>-502.24</v>
      </c>
      <c r="F11192" s="2" t="str">
        <f>IF(Table2[[#This Row],[Manual Cat Value]]="",VLOOKUP(Table2[[#This Row],[Description]],'Actuals Lookup'!D:F,3,0),VLOOKUP(Table2[[#This Row],[Manual Cat Value]],Lookup!A:B,2,0))</f>
        <v>Delete</v>
      </c>
      <c r="H11192" s="8" t="s">
        <v>9</v>
      </c>
      <c r="I11192" s="8"/>
      <c r="O11192" t="str">
        <f>LEFT(Table2[[#This Row],[Description]],75)</f>
        <v>Credit Card Payment Received</v>
      </c>
    </row>
    <row r="11193" spans="1:15" hidden="1">
      <c r="A11193">
        <v>202403</v>
      </c>
      <c r="B11193" s="6">
        <v>45371</v>
      </c>
      <c r="C11193" t="s">
        <v>3938</v>
      </c>
      <c r="D11193" t="s">
        <v>4899</v>
      </c>
      <c r="E11193">
        <v>1.99</v>
      </c>
      <c r="F11193" s="2" t="str">
        <f>IF(Table2[[#This Row],[Manual Cat Value]]="",VLOOKUP(Table2[[#This Row],[Description]],'Actuals Lookup'!D:F,3,0),VLOOKUP(Table2[[#This Row],[Manual Cat Value]],Lookup!A:B,2,0))</f>
        <v>Utilities</v>
      </c>
      <c r="I11193" s="8"/>
      <c r="O11193" t="str">
        <f>LEFT(Table2[[#This Row],[Description]],75)</f>
        <v>Google Cloud Storage</v>
      </c>
    </row>
    <row r="11194" spans="1:15" hidden="1">
      <c r="A11194">
        <v>202403</v>
      </c>
      <c r="B11194" s="6">
        <v>45371</v>
      </c>
      <c r="C11194" t="s">
        <v>2519</v>
      </c>
      <c r="D11194" t="s">
        <v>1958</v>
      </c>
      <c r="E11194">
        <v>20</v>
      </c>
      <c r="F11194" s="2" t="str">
        <f>IF(Table2[[#This Row],[Manual Cat Value]]="",VLOOKUP(Table2[[#This Row],[Description]],'Actuals Lookup'!D:F,3,0),VLOOKUP(Table2[[#This Row],[Manual Cat Value]],Lookup!A:B,2,0))</f>
        <v>Shopping</v>
      </c>
      <c r="I11194" s="8"/>
      <c r="O11194" t="str">
        <f>LEFT(Table2[[#This Row],[Description]],75)</f>
        <v>Transfer to Venmo</v>
      </c>
    </row>
    <row r="11195" spans="1:15" hidden="1">
      <c r="A11195">
        <v>202403</v>
      </c>
      <c r="B11195" s="6">
        <v>45371</v>
      </c>
      <c r="C11195" t="s">
        <v>2519</v>
      </c>
      <c r="D11195" t="s">
        <v>5294</v>
      </c>
      <c r="E11195">
        <v>346</v>
      </c>
      <c r="F11195" s="2" t="str">
        <f>IF(Table2[[#This Row],[Manual Cat Value]]="",VLOOKUP(Table2[[#This Row],[Description]],'Actuals Lookup'!D:F,3,0),VLOOKUP(Table2[[#This Row],[Manual Cat Value]],Lookup!A:B,2,0))</f>
        <v>Day Care</v>
      </c>
      <c r="H11195" s="8" t="s">
        <v>19</v>
      </c>
      <c r="I11195" s="8"/>
      <c r="O11195" t="str">
        <f>LEFT(Table2[[#This Row],[Description]],75)</f>
        <v>Withdrawal ACH MHCHILDCARELLC TYPE: DUES ID: XX8198 CO: MHCHILDCARELLC Entr</v>
      </c>
    </row>
    <row r="11196" spans="1:15" hidden="1">
      <c r="A11196">
        <v>202403</v>
      </c>
      <c r="B11196" s="6">
        <v>45372</v>
      </c>
      <c r="C11196" t="s">
        <v>3938</v>
      </c>
      <c r="D11196" t="s">
        <v>5295</v>
      </c>
      <c r="E11196">
        <v>11</v>
      </c>
      <c r="F11196" s="2" t="str">
        <f>IF(Table2[[#This Row],[Manual Cat Value]]="",VLOOKUP(Table2[[#This Row],[Description]],'Actuals Lookup'!D:F,3,0),VLOOKUP(Table2[[#This Row],[Manual Cat Value]],Lookup!A:B,2,0))</f>
        <v>House Maintenance</v>
      </c>
      <c r="H11196" s="8" t="s">
        <v>1</v>
      </c>
      <c r="I11196" s="8"/>
      <c r="O11196" t="str">
        <f>LEFT(Table2[[#This Row],[Description]],75)</f>
        <v>BONFES PLUMBING HEATING AXX6633 MN REF #XX7539F0S66F1FEQ</v>
      </c>
    </row>
    <row r="11197" spans="1:15" hidden="1">
      <c r="A11197">
        <v>202403</v>
      </c>
      <c r="B11197" s="6">
        <v>45372</v>
      </c>
      <c r="C11197" t="s">
        <v>2519</v>
      </c>
      <c r="D11197" t="s">
        <v>1958</v>
      </c>
      <c r="E11197">
        <v>255</v>
      </c>
      <c r="F11197" s="2" t="str">
        <f>IF(Table2[[#This Row],[Manual Cat Value]]="",VLOOKUP(Table2[[#This Row],[Description]],'Actuals Lookup'!D:F,3,0),VLOOKUP(Table2[[#This Row],[Manual Cat Value]],Lookup!A:B,2,0))</f>
        <v>Shopping</v>
      </c>
      <c r="I11197" s="8"/>
      <c r="O11197" t="str">
        <f>LEFT(Table2[[#This Row],[Description]],75)</f>
        <v>Transfer to Venmo</v>
      </c>
    </row>
    <row r="11198" spans="1:15" hidden="1">
      <c r="A11198">
        <v>202403</v>
      </c>
      <c r="B11198" s="6">
        <v>45372</v>
      </c>
      <c r="C11198" t="s">
        <v>2519</v>
      </c>
      <c r="D11198" t="s">
        <v>5296</v>
      </c>
      <c r="E11198">
        <v>75.8</v>
      </c>
      <c r="F11198" s="2" t="str">
        <f>IF(Table2[[#This Row],[Manual Cat Value]]="",VLOOKUP(Table2[[#This Row],[Description]],'Actuals Lookup'!D:F,3,0),VLOOKUP(Table2[[#This Row],[Manual Cat Value]],Lookup!A:B,2,0))</f>
        <v>Utilities</v>
      </c>
      <c r="H11198" s="8" t="s">
        <v>6</v>
      </c>
      <c r="I11198" s="8"/>
      <c r="O11198" t="str">
        <f>LEFT(Table2[[#This Row],[Description]],75)</f>
        <v>Withdrawal ACH CITY OF CHANHASS TYPE: UTIL BILL ID: XX5331 CO: CITY OF CHAN</v>
      </c>
    </row>
    <row r="11199" spans="1:15" hidden="1">
      <c r="A11199">
        <v>202403</v>
      </c>
      <c r="B11199" s="6">
        <v>45373</v>
      </c>
      <c r="C11199" t="s">
        <v>3938</v>
      </c>
      <c r="D11199" t="s">
        <v>1083</v>
      </c>
      <c r="E11199">
        <v>53.5</v>
      </c>
      <c r="F11199" s="2" t="str">
        <f>IF(Table2[[#This Row],[Manual Cat Value]]="",VLOOKUP(Table2[[#This Row],[Description]],'Actuals Lookup'!D:F,3,0),VLOOKUP(Table2[[#This Row],[Manual Cat Value]],Lookup!A:B,2,0))</f>
        <v>Transportation</v>
      </c>
      <c r="I11199" s="8"/>
      <c r="O11199" t="str">
        <f>LEFT(Table2[[#This Row],[Description]],75)</f>
        <v>Kwik Trip</v>
      </c>
    </row>
    <row r="11200" spans="1:15" hidden="1">
      <c r="A11200">
        <v>202403</v>
      </c>
      <c r="B11200" s="6">
        <v>45375</v>
      </c>
      <c r="C11200" t="s">
        <v>3938</v>
      </c>
      <c r="D11200" t="s">
        <v>1168</v>
      </c>
      <c r="E11200">
        <v>27.72</v>
      </c>
      <c r="F11200" s="2" t="str">
        <f>IF(Table2[[#This Row],[Manual Cat Value]]="",VLOOKUP(Table2[[#This Row],[Description]],'Actuals Lookup'!D:F,3,0),VLOOKUP(Table2[[#This Row],[Manual Cat Value]],Lookup!A:B,2,0))</f>
        <v>Transportation</v>
      </c>
      <c r="I11200" s="8"/>
      <c r="O11200" t="str">
        <f>LEFT(Table2[[#This Row],[Description]],75)</f>
        <v>Lyft</v>
      </c>
    </row>
    <row r="11201" spans="1:15" hidden="1">
      <c r="A11201">
        <v>202403</v>
      </c>
      <c r="B11201" s="6">
        <v>45375</v>
      </c>
      <c r="C11201" t="s">
        <v>3938</v>
      </c>
      <c r="D11201" t="s">
        <v>2078</v>
      </c>
      <c r="E11201">
        <v>36.54</v>
      </c>
      <c r="F11201" s="2" t="str">
        <f>IF(Table2[[#This Row],[Manual Cat Value]]="",VLOOKUP(Table2[[#This Row],[Description]],'Actuals Lookup'!D:F,3,0),VLOOKUP(Table2[[#This Row],[Manual Cat Value]],Lookup!A:B,2,0))</f>
        <v>Transportation</v>
      </c>
      <c r="I11201" s="8"/>
      <c r="O11201" t="str">
        <f>LEFT(Table2[[#This Row],[Description]],75)</f>
        <v>Uber</v>
      </c>
    </row>
    <row r="11202" spans="1:15" hidden="1">
      <c r="A11202">
        <v>202403</v>
      </c>
      <c r="B11202" s="6">
        <v>45376</v>
      </c>
      <c r="C11202" t="s">
        <v>3938</v>
      </c>
      <c r="D11202" t="s">
        <v>5297</v>
      </c>
      <c r="E11202">
        <v>15.6</v>
      </c>
      <c r="F11202" s="2" t="str">
        <f>IF(Table2[[#This Row],[Manual Cat Value]]="",VLOOKUP(Table2[[#This Row],[Description]],'Actuals Lookup'!D:F,3,0),VLOOKUP(Table2[[#This Row],[Manual Cat Value]],Lookup!A:B,2,0))</f>
        <v>Amazon</v>
      </c>
      <c r="H11202" s="8" t="s">
        <v>37</v>
      </c>
      <c r="I11202" s="8"/>
      <c r="O11202" t="str">
        <f>LEFT(Table2[[#This Row],[Description]],75)</f>
        <v>AMZN Mktp US*RA3Y205I0 Amzn.com/billWA REF #XX9216F433A662EE</v>
      </c>
    </row>
    <row r="11203" spans="1:15" hidden="1">
      <c r="A11203">
        <v>202403</v>
      </c>
      <c r="B11203" s="6">
        <v>45376</v>
      </c>
      <c r="C11203" t="s">
        <v>3938</v>
      </c>
      <c r="D11203" t="s">
        <v>161</v>
      </c>
      <c r="E11203">
        <v>216</v>
      </c>
      <c r="F11203" s="2" t="str">
        <f>IF(Table2[[#This Row],[Manual Cat Value]]="",VLOOKUP(Table2[[#This Row],[Description]],'Actuals Lookup'!D:F,3,0),VLOOKUP(Table2[[#This Row],[Manual Cat Value]],Lookup!A:B,2,0))</f>
        <v>Shopping</v>
      </c>
      <c r="I11203" s="8"/>
      <c r="O11203" t="str">
        <f>LEFT(Table2[[#This Row],[Description]],75)</f>
        <v>Anthropologie</v>
      </c>
    </row>
    <row r="11204" spans="1:15" hidden="1">
      <c r="A11204">
        <v>202403</v>
      </c>
      <c r="B11204" s="6">
        <v>45376</v>
      </c>
      <c r="C11204" t="s">
        <v>2519</v>
      </c>
      <c r="D11204" t="s">
        <v>4415</v>
      </c>
      <c r="E11204">
        <v>778.49</v>
      </c>
      <c r="F11204" s="2" t="str">
        <f>IF(Table2[[#This Row],[Manual Cat Value]]="",VLOOKUP(Table2[[#This Row],[Description]],'Actuals Lookup'!D:F,3,0),VLOOKUP(Table2[[#This Row],[Manual Cat Value]],Lookup!A:B,2,0))</f>
        <v>Target</v>
      </c>
      <c r="I11204" s="8"/>
      <c r="O11204" t="str">
        <f>LEFT(Table2[[#This Row],[Description]],75)</f>
        <v>Payment to Jeffrey B</v>
      </c>
    </row>
    <row r="11205" spans="1:15" hidden="1">
      <c r="A11205">
        <v>202403</v>
      </c>
      <c r="B11205" s="6">
        <v>45376</v>
      </c>
      <c r="C11205" t="s">
        <v>2519</v>
      </c>
      <c r="D11205" t="s">
        <v>1955</v>
      </c>
      <c r="E11205">
        <v>21.25</v>
      </c>
      <c r="F11205" s="2" t="str">
        <f>IF(Table2[[#This Row],[Manual Cat Value]]="",VLOOKUP(Table2[[#This Row],[Description]],'Actuals Lookup'!D:F,3,0),VLOOKUP(Table2[[#This Row],[Manual Cat Value]],Lookup!A:B,2,0))</f>
        <v>Shopping</v>
      </c>
      <c r="I11205" s="8"/>
      <c r="O11205" t="str">
        <f>LEFT(Table2[[#This Row],[Description]],75)</f>
        <v>Transfer to PayPal</v>
      </c>
    </row>
    <row r="11206" spans="1:15" hidden="1">
      <c r="A11206">
        <v>202411</v>
      </c>
      <c r="B11206" s="6">
        <v>45598</v>
      </c>
      <c r="C11206" t="s">
        <v>3938</v>
      </c>
      <c r="D11206" t="s">
        <v>673</v>
      </c>
      <c r="E11206">
        <v>-617.39</v>
      </c>
      <c r="F11206" s="2" t="str">
        <f>IF(Table2[[#This Row],[Manual Cat Value]]="",VLOOKUP(Table2[[#This Row],[Description]],'Actuals Lookup'!D:F,3,0),VLOOKUP(Table2[[#This Row],[Manual Cat Value]],Lookup!A:B,2,0))</f>
        <v>Delete</v>
      </c>
      <c r="I11206" s="8"/>
      <c r="O11206" t="str">
        <f>LEFT(Table2[[#This Row],[Description]],75)</f>
        <v>Credit Card Payment Received</v>
      </c>
    </row>
    <row r="11207" spans="1:15" hidden="1">
      <c r="A11207">
        <v>202411</v>
      </c>
      <c r="B11207" s="6">
        <v>45623</v>
      </c>
      <c r="C11207" t="s">
        <v>3938</v>
      </c>
      <c r="D11207" t="s">
        <v>673</v>
      </c>
      <c r="E11207">
        <v>-1574.72</v>
      </c>
      <c r="F11207" s="2" t="str">
        <f>IF(Table2[[#This Row],[Manual Cat Value]]="",VLOOKUP(Table2[[#This Row],[Description]],'Actuals Lookup'!D:F,3,0),VLOOKUP(Table2[[#This Row],[Manual Cat Value]],Lookup!A:B,2,0))</f>
        <v>Delete</v>
      </c>
      <c r="I11207" s="8"/>
      <c r="O11207" t="str">
        <f>LEFT(Table2[[#This Row],[Description]],75)</f>
        <v>Credit Card Payment Received</v>
      </c>
    </row>
    <row r="11208" spans="1:15" hidden="1">
      <c r="A11208">
        <v>202403</v>
      </c>
      <c r="B11208" s="6">
        <v>45378</v>
      </c>
      <c r="C11208" t="s">
        <v>2519</v>
      </c>
      <c r="D11208" t="s">
        <v>1355</v>
      </c>
      <c r="E11208">
        <v>175</v>
      </c>
      <c r="F11208" s="2" t="str">
        <f>IF(Table2[[#This Row],[Manual Cat Value]]="",VLOOKUP(Table2[[#This Row],[Description]],'Actuals Lookup'!D:F,3,0),VLOOKUP(Table2[[#This Row],[Manual Cat Value]],Lookup!A:B,2,0))</f>
        <v>Shopping</v>
      </c>
      <c r="I11208" s="8"/>
      <c r="O11208" t="str">
        <f>LEFT(Table2[[#This Row],[Description]],75)</f>
        <v>Nordstrom</v>
      </c>
    </row>
    <row r="11209" spans="1:15" hidden="1">
      <c r="A11209">
        <v>202412</v>
      </c>
      <c r="B11209" s="6">
        <v>45656</v>
      </c>
      <c r="C11209" t="s">
        <v>3938</v>
      </c>
      <c r="D11209" t="s">
        <v>673</v>
      </c>
      <c r="E11209">
        <v>-560.95000000000005</v>
      </c>
      <c r="F11209" s="2" t="str">
        <f>IF(Table2[[#This Row],[Manual Cat Value]]="",VLOOKUP(Table2[[#This Row],[Description]],'Actuals Lookup'!D:F,3,0),VLOOKUP(Table2[[#This Row],[Manual Cat Value]],Lookup!A:B,2,0))</f>
        <v>Delete</v>
      </c>
      <c r="I11209" s="8"/>
      <c r="O11209" t="str">
        <f>LEFT(Table2[[#This Row],[Description]],75)</f>
        <v>Credit Card Payment Received</v>
      </c>
    </row>
    <row r="11210" spans="1:15" hidden="1">
      <c r="A11210">
        <v>202403</v>
      </c>
      <c r="B11210" s="6">
        <v>45378</v>
      </c>
      <c r="C11210" t="s">
        <v>2519</v>
      </c>
      <c r="D11210" t="s">
        <v>5298</v>
      </c>
      <c r="E11210">
        <v>346</v>
      </c>
      <c r="F11210" s="2" t="str">
        <f>IF(Table2[[#This Row],[Manual Cat Value]]="",VLOOKUP(Table2[[#This Row],[Description]],'Actuals Lookup'!D:F,3,0),VLOOKUP(Table2[[#This Row],[Manual Cat Value]],Lookup!A:B,2,0))</f>
        <v>Day Care</v>
      </c>
      <c r="H11210" s="8" t="s">
        <v>19</v>
      </c>
      <c r="I11210" s="8"/>
      <c r="O11210" t="str">
        <f>LEFT(Table2[[#This Row],[Description]],75)</f>
        <v>Withdrawal ACH MHCHILDCARELLC TYPE: DUES ID: XX8198 CO: MHCHILDCARELLC Entr</v>
      </c>
    </row>
    <row r="11211" spans="1:15" hidden="1">
      <c r="A11211">
        <v>202403</v>
      </c>
      <c r="B11211" s="6">
        <v>45379</v>
      </c>
      <c r="C11211" t="s">
        <v>3938</v>
      </c>
      <c r="D11211" t="s">
        <v>5299</v>
      </c>
      <c r="E11211">
        <v>48.2</v>
      </c>
      <c r="F11211" s="2" t="str">
        <f>IF(Table2[[#This Row],[Manual Cat Value]]="",VLOOKUP(Table2[[#This Row],[Description]],'Actuals Lookup'!D:F,3,0),VLOOKUP(Table2[[#This Row],[Manual Cat Value]],Lookup!A:B,2,0))</f>
        <v>Amazon</v>
      </c>
      <c r="H11211" s="8" t="s">
        <v>37</v>
      </c>
      <c r="I11211" s="8"/>
      <c r="O11211" t="str">
        <f>LEFT(Table2[[#This Row],[Description]],75)</f>
        <v>AMZN Mktp US*K48WK22Y3 Amzn.com/billWA REF #XX9216F735HBBE4W</v>
      </c>
    </row>
    <row r="11212" spans="1:15" hidden="1">
      <c r="A11212">
        <v>202403</v>
      </c>
      <c r="B11212" s="6">
        <v>45379</v>
      </c>
      <c r="C11212" t="s">
        <v>3938</v>
      </c>
      <c r="D11212" t="s">
        <v>5249</v>
      </c>
      <c r="E11212">
        <v>115</v>
      </c>
      <c r="F11212" s="2" t="str">
        <f>IF(Table2[[#This Row],[Manual Cat Value]]="",VLOOKUP(Table2[[#This Row],[Description]],'Actuals Lookup'!D:F,3,0),VLOOKUP(Table2[[#This Row],[Manual Cat Value]],Lookup!A:B,2,0))</f>
        <v>Entertainment</v>
      </c>
      <c r="I11212" s="8"/>
      <c r="O11212" t="str">
        <f>LEFT(Table2[[#This Row],[Description]],75)</f>
        <v>Anna Nails</v>
      </c>
    </row>
    <row r="11213" spans="1:15" hidden="1">
      <c r="A11213">
        <v>202403</v>
      </c>
      <c r="B11213" s="6">
        <v>45379</v>
      </c>
      <c r="C11213" t="s">
        <v>2519</v>
      </c>
      <c r="D11213" t="s">
        <v>404</v>
      </c>
      <c r="E11213">
        <v>-2666.31</v>
      </c>
      <c r="F11213" s="2" t="str">
        <f>IF(Table2[[#This Row],[Manual Cat Value]]="",VLOOKUP(Table2[[#This Row],[Description]],'Actuals Lookup'!D:F,3,0),VLOOKUP(Table2[[#This Row],[Manual Cat Value]],Lookup!A:B,2,0))</f>
        <v>Britney</v>
      </c>
      <c r="I11213" s="8"/>
      <c r="O11213" t="str">
        <f>LEFT(Table2[[#This Row],[Description]],75)</f>
        <v>Cargill Inc Deposit</v>
      </c>
    </row>
    <row r="11214" spans="1:15" hidden="1">
      <c r="A11214">
        <v>202403</v>
      </c>
      <c r="B11214" s="6">
        <v>45379</v>
      </c>
      <c r="C11214" t="s">
        <v>2519</v>
      </c>
      <c r="D11214" t="s">
        <v>4343</v>
      </c>
      <c r="E11214">
        <v>-3345.74</v>
      </c>
      <c r="F11214" s="2" t="str">
        <f>IF(Table2[[#This Row],[Manual Cat Value]]="",VLOOKUP(Table2[[#This Row],[Description]],'Actuals Lookup'!D:F,3,0),VLOOKUP(Table2[[#This Row],[Manual Cat Value]],Lookup!A:B,2,0))</f>
        <v>Jeff</v>
      </c>
      <c r="I11214" s="8"/>
      <c r="O11214" t="str">
        <f>LEFT(Table2[[#This Row],[Description]],75)</f>
        <v>Salary/Regular Income from TriNet</v>
      </c>
    </row>
    <row r="11215" spans="1:15" hidden="1">
      <c r="A11215">
        <v>202403</v>
      </c>
      <c r="B11215" s="6">
        <v>45379</v>
      </c>
      <c r="C11215" t="s">
        <v>2519</v>
      </c>
      <c r="D11215" t="s">
        <v>1955</v>
      </c>
      <c r="E11215">
        <v>0.99</v>
      </c>
      <c r="F11215" s="2" t="str">
        <f>IF(Table2[[#This Row],[Manual Cat Value]]="",VLOOKUP(Table2[[#This Row],[Description]],'Actuals Lookup'!D:F,3,0),VLOOKUP(Table2[[#This Row],[Manual Cat Value]],Lookup!A:B,2,0))</f>
        <v>Shopping</v>
      </c>
      <c r="I11215" s="8"/>
      <c r="O11215" t="str">
        <f>LEFT(Table2[[#This Row],[Description]],75)</f>
        <v>Transfer to PayPal</v>
      </c>
    </row>
    <row r="11216" spans="1:15" hidden="1">
      <c r="A11216">
        <v>202402</v>
      </c>
      <c r="B11216" s="6">
        <v>45332</v>
      </c>
      <c r="C11216" t="s">
        <v>5013</v>
      </c>
      <c r="D11216" t="s">
        <v>703</v>
      </c>
      <c r="E11216">
        <v>501.2</v>
      </c>
      <c r="F11216" s="2" t="str">
        <f>IF(Table2[[#This Row],[Manual Cat Value]]="",VLOOKUP(Table2[[#This Row],[Description]],'Actuals Lookup'!D:F,3,0),VLOOKUP(Table2[[#This Row],[Manual Cat Value]],Lookup!A:B,2,0))</f>
        <v>Delete</v>
      </c>
      <c r="G11216" t="s">
        <v>67</v>
      </c>
      <c r="I11216" s="8"/>
      <c r="O11216" t="str">
        <f>LEFT(Table2[[#This Row],[Description]],75)</f>
        <v>Delta Air Lines</v>
      </c>
    </row>
    <row r="11217" spans="1:15" hidden="1">
      <c r="A11217">
        <v>202402</v>
      </c>
      <c r="B11217" s="6">
        <v>45338</v>
      </c>
      <c r="C11217" t="s">
        <v>5013</v>
      </c>
      <c r="D11217" t="s">
        <v>703</v>
      </c>
      <c r="E11217">
        <v>716.2</v>
      </c>
      <c r="F11217" s="2" t="str">
        <f>IF(Table2[[#This Row],[Manual Cat Value]]="",VLOOKUP(Table2[[#This Row],[Description]],'Actuals Lookup'!D:F,3,0),VLOOKUP(Table2[[#This Row],[Manual Cat Value]],Lookup!A:B,2,0))</f>
        <v>Delete</v>
      </c>
      <c r="G11217" t="s">
        <v>67</v>
      </c>
      <c r="I11217" s="8"/>
      <c r="O11217" t="str">
        <f>LEFT(Table2[[#This Row],[Description]],75)</f>
        <v>Delta Air Lines</v>
      </c>
    </row>
    <row r="11218" spans="1:15" hidden="1">
      <c r="A11218">
        <v>202403</v>
      </c>
      <c r="B11218" s="6">
        <v>45382</v>
      </c>
      <c r="C11218" t="s">
        <v>3938</v>
      </c>
      <c r="D11218" t="s">
        <v>161</v>
      </c>
      <c r="E11218">
        <v>-98</v>
      </c>
      <c r="F11218" s="2" t="str">
        <f>IF(Table2[[#This Row],[Manual Cat Value]]="",VLOOKUP(Table2[[#This Row],[Description]],'Actuals Lookup'!D:F,3,0),VLOOKUP(Table2[[#This Row],[Manual Cat Value]],Lookup!A:B,2,0))</f>
        <v>Shopping</v>
      </c>
      <c r="I11218" s="8"/>
      <c r="O11218" t="str">
        <f>LEFT(Table2[[#This Row],[Description]],75)</f>
        <v>Anthropologie</v>
      </c>
    </row>
    <row r="11219" spans="1:15" hidden="1">
      <c r="A11219">
        <v>202403</v>
      </c>
      <c r="B11219" s="6">
        <v>45382</v>
      </c>
      <c r="C11219" t="s">
        <v>2519</v>
      </c>
      <c r="D11219" t="s">
        <v>4283</v>
      </c>
      <c r="E11219">
        <v>-75</v>
      </c>
      <c r="F11219" s="2" t="str">
        <f>IF(Table2[[#This Row],[Manual Cat Value]]="",VLOOKUP(Table2[[#This Row],[Description]],'Actuals Lookup'!D:F,3,0),VLOOKUP(Table2[[#This Row],[Manual Cat Value]],Lookup!A:B,2,0))</f>
        <v>Britney</v>
      </c>
      <c r="I11219" s="8"/>
      <c r="O11219" t="str">
        <f>LEFT(Table2[[#This Row],[Description]],75)</f>
        <v>Cargill Deposit</v>
      </c>
    </row>
    <row r="11220" spans="1:15" hidden="1">
      <c r="A11220">
        <v>202403</v>
      </c>
      <c r="B11220" s="6">
        <v>45382</v>
      </c>
      <c r="C11220" t="s">
        <v>2519</v>
      </c>
      <c r="D11220" t="s">
        <v>5300</v>
      </c>
      <c r="E11220">
        <v>-5004</v>
      </c>
      <c r="F11220" s="2" t="str">
        <f>IF(Table2[[#This Row],[Manual Cat Value]]="",VLOOKUP(Table2[[#This Row],[Description]],'Actuals Lookup'!D:F,3,0),VLOOKUP(Table2[[#This Row],[Manual Cat Value]],Lookup!A:B,2,0))</f>
        <v>Jeff</v>
      </c>
      <c r="H11220" s="8" t="s">
        <v>63</v>
      </c>
      <c r="I11220" s="8"/>
      <c r="O11220" t="str">
        <f>LEFT(Table2[[#This Row],[Description]],75)</f>
        <v xml:space="preserve">Deposit ACH IRS TREAS 310 TYPE: TAX REF ID: XX6170 CO: IRS TREAS 310 Entry </v>
      </c>
    </row>
    <row r="11221" spans="1:15" hidden="1">
      <c r="A11221">
        <v>202403</v>
      </c>
      <c r="B11221" s="6">
        <v>45382</v>
      </c>
      <c r="C11221" t="s">
        <v>2519</v>
      </c>
      <c r="D11221" t="s">
        <v>2896</v>
      </c>
      <c r="E11221">
        <v>-4</v>
      </c>
      <c r="F11221" s="2" t="str">
        <f>IF(Table2[[#This Row],[Manual Cat Value]]="",VLOOKUP(Table2[[#This Row],[Description]],'Actuals Lookup'!D:F,3,0),VLOOKUP(Table2[[#This Row],[Manual Cat Value]],Lookup!A:B,2,0))</f>
        <v>Inc - Other</v>
      </c>
      <c r="I11221" s="8"/>
      <c r="O11221" t="str">
        <f>LEFT(Table2[[#This Row],[Description]],75)</f>
        <v>Deposit ATM FEE REFUND</v>
      </c>
    </row>
    <row r="11222" spans="1:15" hidden="1">
      <c r="A11222">
        <v>202403</v>
      </c>
      <c r="B11222" s="6">
        <v>45382</v>
      </c>
      <c r="C11222" t="s">
        <v>2519</v>
      </c>
      <c r="D11222" t="s">
        <v>5301</v>
      </c>
      <c r="E11222">
        <v>-48.35</v>
      </c>
      <c r="F11222" s="2" t="str">
        <f>IF(Table2[[#This Row],[Manual Cat Value]]="",VLOOKUP(Table2[[#This Row],[Description]],'Actuals Lookup'!D:F,3,0),VLOOKUP(Table2[[#This Row],[Manual Cat Value]],Lookup!A:B,2,0))</f>
        <v>Inc - Other</v>
      </c>
      <c r="H11222" s="8" t="s">
        <v>16</v>
      </c>
      <c r="I11222" s="8"/>
      <c r="O11222" t="str">
        <f>LEFT(Table2[[#This Row],[Description]],75)</f>
        <v>Deposit Dividend Split Rate Annual Percentage Yield Earned 2.54% from 03/01</v>
      </c>
    </row>
    <row r="11223" spans="1:15" hidden="1">
      <c r="A11223">
        <v>202404</v>
      </c>
      <c r="B11223" s="6">
        <v>45383</v>
      </c>
      <c r="C11223" t="s">
        <v>3938</v>
      </c>
      <c r="D11223" t="s">
        <v>5302</v>
      </c>
      <c r="E11223">
        <v>6.49</v>
      </c>
      <c r="F11223" s="2" t="str">
        <f>IF(Table2[[#This Row],[Manual Cat Value]]="",VLOOKUP(Table2[[#This Row],[Description]],'Actuals Lookup'!D:F,3,0),VLOOKUP(Table2[[#This Row],[Manual Cat Value]],Lookup!A:B,2,0))</f>
        <v>Entertainment</v>
      </c>
      <c r="H11223" s="8" t="s">
        <v>39</v>
      </c>
      <c r="I11223" s="8"/>
      <c r="O11223" t="str">
        <f>LEFT(Table2[[#This Row],[Description]],75)</f>
        <v>Amazon Music*RA1Mx5551 XX-3080 WA REF #XX9216FB2ZDGZXMH</v>
      </c>
    </row>
    <row r="11224" spans="1:15" hidden="1">
      <c r="A11224">
        <v>202404</v>
      </c>
      <c r="B11224" s="6">
        <v>45383</v>
      </c>
      <c r="C11224" t="s">
        <v>2519</v>
      </c>
      <c r="D11224" t="s">
        <v>5148</v>
      </c>
      <c r="E11224">
        <v>181.66</v>
      </c>
      <c r="F11224" s="2" t="str">
        <f>IF(Table2[[#This Row],[Manual Cat Value]]="",VLOOKUP(Table2[[#This Row],[Description]],'Actuals Lookup'!D:F,3,0),VLOOKUP(Table2[[#This Row],[Manual Cat Value]],Lookup!A:B,2,0))</f>
        <v>Utilities</v>
      </c>
      <c r="I11224" s="8"/>
      <c r="O11224" t="str">
        <f>LEFT(Table2[[#This Row],[Description]],75)</f>
        <v>Payment to AT&amp;T</v>
      </c>
    </row>
    <row r="11225" spans="1:15" hidden="1">
      <c r="A11225">
        <v>202404</v>
      </c>
      <c r="B11225" s="6">
        <v>45383</v>
      </c>
      <c r="C11225" t="s">
        <v>2519</v>
      </c>
      <c r="D11225" t="s">
        <v>1460</v>
      </c>
      <c r="E11225">
        <v>2741.74</v>
      </c>
      <c r="F11225" s="2" t="str">
        <f>IF(Table2[[#This Row],[Manual Cat Value]]="",VLOOKUP(Table2[[#This Row],[Description]],'Actuals Lookup'!D:F,3,0),VLOOKUP(Table2[[#This Row],[Manual Cat Value]],Lookup!A:B,2,0))</f>
        <v>Rent</v>
      </c>
      <c r="I11225" s="8"/>
      <c r="O11225" t="str">
        <f>LEFT(Table2[[#This Row],[Description]],75)</f>
        <v>Payment to Baxter Credit Union</v>
      </c>
    </row>
    <row r="11226" spans="1:15" hidden="1">
      <c r="A11226">
        <v>202403</v>
      </c>
      <c r="B11226" s="6">
        <v>45356</v>
      </c>
      <c r="C11226" t="s">
        <v>5013</v>
      </c>
      <c r="D11226" t="s">
        <v>703</v>
      </c>
      <c r="E11226">
        <v>5.6</v>
      </c>
      <c r="F11226" s="2" t="str">
        <f>IF(Table2[[#This Row],[Manual Cat Value]]="",VLOOKUP(Table2[[#This Row],[Description]],'Actuals Lookup'!D:F,3,0),VLOOKUP(Table2[[#This Row],[Manual Cat Value]],Lookup!A:B,2,0))</f>
        <v>Delete</v>
      </c>
      <c r="G11226" t="s">
        <v>67</v>
      </c>
      <c r="I11226" s="8"/>
      <c r="O11226" t="str">
        <f>LEFT(Table2[[#This Row],[Description]],75)</f>
        <v>Delta Air Lines</v>
      </c>
    </row>
    <row r="11227" spans="1:15" hidden="1">
      <c r="A11227">
        <v>202404</v>
      </c>
      <c r="B11227" s="6">
        <v>45383</v>
      </c>
      <c r="C11227" t="s">
        <v>2519</v>
      </c>
      <c r="D11227" t="s">
        <v>5303</v>
      </c>
      <c r="E11227">
        <v>130</v>
      </c>
      <c r="F11227" s="2" t="str">
        <f>IF(Table2[[#This Row],[Manual Cat Value]]="",VLOOKUP(Table2[[#This Row],[Description]],'Actuals Lookup'!D:F,3,0),VLOOKUP(Table2[[#This Row],[Manual Cat Value]],Lookup!A:B,2,0))</f>
        <v>Travel</v>
      </c>
      <c r="H11227" s="8" t="s">
        <v>52</v>
      </c>
      <c r="I11227" s="8"/>
      <c r="O11227" t="str">
        <f>LEFT(Table2[[#This Row],[Description]],75)</f>
        <v>U.s. Passports</v>
      </c>
    </row>
    <row r="11228" spans="1:15" hidden="1">
      <c r="A11228">
        <v>202404</v>
      </c>
      <c r="B11228" s="6">
        <v>45384</v>
      </c>
      <c r="C11228" t="s">
        <v>3938</v>
      </c>
      <c r="D11228" t="s">
        <v>5304</v>
      </c>
      <c r="E11228">
        <v>10.42</v>
      </c>
      <c r="F11228" s="2" t="str">
        <f>IF(Table2[[#This Row],[Manual Cat Value]]="",VLOOKUP(Table2[[#This Row],[Description]],'Actuals Lookup'!D:F,3,0),VLOOKUP(Table2[[#This Row],[Manual Cat Value]],Lookup!A:B,2,0))</f>
        <v>Amazon</v>
      </c>
      <c r="H11228" s="8" t="s">
        <v>37</v>
      </c>
      <c r="I11228" s="8"/>
      <c r="O11228" t="str">
        <f>LEFT(Table2[[#This Row],[Description]],75)</f>
        <v>AMZN MKTP US*CS7LO2IE3 SEATTLE WA REF #XX3106FQ2DYWQNEX</v>
      </c>
    </row>
    <row r="11229" spans="1:15" hidden="1">
      <c r="A11229">
        <v>202404</v>
      </c>
      <c r="B11229" s="6">
        <v>45384</v>
      </c>
      <c r="C11229" t="s">
        <v>5160</v>
      </c>
      <c r="D11229" t="s">
        <v>4024</v>
      </c>
      <c r="E11229">
        <v>13.78</v>
      </c>
      <c r="F11229" s="2" t="str">
        <f>IF(Table2[[#This Row],[Manual Cat Value]]="",VLOOKUP(Table2[[#This Row],[Description]],'Actuals Lookup'!D:F,3,0),VLOOKUP(Table2[[#This Row],[Manual Cat Value]],Lookup!A:B,2,0))</f>
        <v>Groceries</v>
      </c>
      <c r="G11229" t="s">
        <v>28</v>
      </c>
      <c r="I11229" s="8"/>
      <c r="O11229" t="str">
        <f>LEFT(Table2[[#This Row],[Description]],75)</f>
        <v>Publix</v>
      </c>
    </row>
    <row r="11230" spans="1:15" hidden="1">
      <c r="A11230">
        <v>202404</v>
      </c>
      <c r="B11230" s="6">
        <v>45384</v>
      </c>
      <c r="C11230" t="s">
        <v>5160</v>
      </c>
      <c r="D11230" t="s">
        <v>5305</v>
      </c>
      <c r="E11230">
        <v>388.44</v>
      </c>
      <c r="F11230" s="2" t="str">
        <f>IF(Table2[[#This Row],[Manual Cat Value]]="",VLOOKUP(Table2[[#This Row],[Description]],'Actuals Lookup'!D:F,3,0),VLOOKUP(Table2[[#This Row],[Manual Cat Value]],Lookup!A:B,2,0))</f>
        <v>Travel</v>
      </c>
      <c r="G11230" t="s">
        <v>43</v>
      </c>
      <c r="H11230" s="8" t="s">
        <v>52</v>
      </c>
      <c r="I11230" s="8"/>
      <c r="O11230" t="str">
        <f>LEFT(Table2[[#This Row],[Description]],75)</f>
        <v>Sheraton Hotels &amp; Resorts</v>
      </c>
    </row>
    <row r="11231" spans="1:15" hidden="1">
      <c r="A11231">
        <v>202404</v>
      </c>
      <c r="B11231" s="6">
        <v>45384</v>
      </c>
      <c r="C11231" t="s">
        <v>5160</v>
      </c>
      <c r="D11231" t="s">
        <v>5305</v>
      </c>
      <c r="E11231">
        <v>68.040000000000006</v>
      </c>
      <c r="F11231" s="2" t="str">
        <f>IF(Table2[[#This Row],[Manual Cat Value]]="",VLOOKUP(Table2[[#This Row],[Description]],'Actuals Lookup'!D:F,3,0),VLOOKUP(Table2[[#This Row],[Manual Cat Value]],Lookup!A:B,2,0))</f>
        <v>Travel</v>
      </c>
      <c r="G11231" t="s">
        <v>43</v>
      </c>
      <c r="H11231" s="8" t="s">
        <v>52</v>
      </c>
      <c r="I11231" s="8"/>
      <c r="O11231" t="str">
        <f>LEFT(Table2[[#This Row],[Description]],75)</f>
        <v>Sheraton Hotels &amp; Resorts</v>
      </c>
    </row>
    <row r="11232" spans="1:15" hidden="1">
      <c r="A11232">
        <v>202404</v>
      </c>
      <c r="B11232" s="6">
        <v>45384</v>
      </c>
      <c r="C11232" t="s">
        <v>5160</v>
      </c>
      <c r="D11232" t="s">
        <v>5306</v>
      </c>
      <c r="E11232">
        <v>60.76</v>
      </c>
      <c r="F11232" s="2" t="str">
        <f>IF(Table2[[#This Row],[Manual Cat Value]]="",VLOOKUP(Table2[[#This Row],[Description]],'Actuals Lookup'!D:F,3,0),VLOOKUP(Table2[[#This Row],[Manual Cat Value]],Lookup!A:B,2,0))</f>
        <v>Restaurants</v>
      </c>
      <c r="G11232" t="s">
        <v>26</v>
      </c>
      <c r="H11232" s="8" t="s">
        <v>25</v>
      </c>
      <c r="I11232" s="8"/>
      <c r="O11232" t="str">
        <f>LEFT(Table2[[#This Row],[Description]],75)</f>
        <v>Sonic Drive-in</v>
      </c>
    </row>
    <row r="11233" spans="1:15" hidden="1">
      <c r="A11233">
        <v>202404</v>
      </c>
      <c r="B11233" s="6">
        <v>45384</v>
      </c>
      <c r="C11233" t="s">
        <v>5160</v>
      </c>
      <c r="D11233" t="s">
        <v>5307</v>
      </c>
      <c r="E11233">
        <v>21.3</v>
      </c>
      <c r="F11233" s="2" t="str">
        <f>IF(Table2[[#This Row],[Manual Cat Value]]="",VLOOKUP(Table2[[#This Row],[Description]],'Actuals Lookup'!D:F,3,0),VLOOKUP(Table2[[#This Row],[Manual Cat Value]],Lookup!A:B,2,0))</f>
        <v>Groceries</v>
      </c>
      <c r="G11233" t="s">
        <v>43</v>
      </c>
      <c r="H11233" s="8" t="s">
        <v>27</v>
      </c>
      <c r="I11233" s="8"/>
      <c r="O11233" t="str">
        <f>LEFT(Table2[[#This Row],[Description]],75)</f>
        <v>Travel Traders</v>
      </c>
    </row>
    <row r="11234" spans="1:15" hidden="1">
      <c r="A11234">
        <v>202404</v>
      </c>
      <c r="B11234" s="6">
        <v>45385</v>
      </c>
      <c r="C11234" t="s">
        <v>5160</v>
      </c>
      <c r="D11234" t="s">
        <v>1707</v>
      </c>
      <c r="E11234">
        <v>4.6399999999999997</v>
      </c>
      <c r="F11234" s="2" t="str">
        <f>IF(Table2[[#This Row],[Manual Cat Value]]="",VLOOKUP(Table2[[#This Row],[Description]],'Actuals Lookup'!D:F,3,0),VLOOKUP(Table2[[#This Row],[Manual Cat Value]],Lookup!A:B,2,0))</f>
        <v>Transportation</v>
      </c>
      <c r="G11234" t="s">
        <v>23</v>
      </c>
      <c r="I11234" s="8"/>
      <c r="O11234" t="str">
        <f>LEFT(Table2[[#This Row],[Description]],75)</f>
        <v>Speedway</v>
      </c>
    </row>
    <row r="11235" spans="1:15" hidden="1">
      <c r="A11235">
        <v>202404</v>
      </c>
      <c r="B11235" s="6">
        <v>45385</v>
      </c>
      <c r="C11235" t="s">
        <v>2519</v>
      </c>
      <c r="D11235" t="s">
        <v>1958</v>
      </c>
      <c r="E11235">
        <v>20</v>
      </c>
      <c r="F11235" s="2" t="str">
        <f>IF(Table2[[#This Row],[Manual Cat Value]]="",VLOOKUP(Table2[[#This Row],[Description]],'Actuals Lookup'!D:F,3,0),VLOOKUP(Table2[[#This Row],[Manual Cat Value]],Lookup!A:B,2,0))</f>
        <v>Shopping</v>
      </c>
      <c r="I11235" s="8"/>
      <c r="O11235" t="str">
        <f>LEFT(Table2[[#This Row],[Description]],75)</f>
        <v>Transfer to Venmo</v>
      </c>
    </row>
    <row r="11236" spans="1:15" hidden="1">
      <c r="A11236">
        <v>202404</v>
      </c>
      <c r="B11236" s="6">
        <v>45385</v>
      </c>
      <c r="C11236" t="s">
        <v>5160</v>
      </c>
      <c r="D11236" t="s">
        <v>5308</v>
      </c>
      <c r="E11236">
        <v>52.77</v>
      </c>
      <c r="F11236" s="2" t="str">
        <f>IF(Table2[[#This Row],[Manual Cat Value]]="",VLOOKUP(Table2[[#This Row],[Description]],'Actuals Lookup'!D:F,3,0),VLOOKUP(Table2[[#This Row],[Manual Cat Value]],Lookup!A:B,2,0))</f>
        <v>Restaurants</v>
      </c>
      <c r="G11236" t="s">
        <v>26</v>
      </c>
      <c r="H11236" s="8" t="s">
        <v>25</v>
      </c>
      <c r="I11236" s="8"/>
      <c r="O11236" t="str">
        <f>LEFT(Table2[[#This Row],[Description]],75)</f>
        <v>Wdw Cosmic Ray's Lake Buena Vi Fl</v>
      </c>
    </row>
    <row r="11237" spans="1:15" hidden="1">
      <c r="A11237">
        <v>202404</v>
      </c>
      <c r="B11237" s="6">
        <v>45385</v>
      </c>
      <c r="C11237" t="s">
        <v>5160</v>
      </c>
      <c r="D11237" t="s">
        <v>5309</v>
      </c>
      <c r="E11237">
        <v>48.97</v>
      </c>
      <c r="F11237" s="2" t="str">
        <f>IF(Table2[[#This Row],[Manual Cat Value]]="",VLOOKUP(Table2[[#This Row],[Description]],'Actuals Lookup'!D:F,3,0),VLOOKUP(Table2[[#This Row],[Manual Cat Value]],Lookup!A:B,2,0))</f>
        <v>Restaurants</v>
      </c>
      <c r="G11237" t="s">
        <v>29</v>
      </c>
      <c r="H11237" s="8" t="s">
        <v>25</v>
      </c>
      <c r="I11237" s="8"/>
      <c r="O11237" t="str">
        <f>LEFT(Table2[[#This Row],[Description]],75)</f>
        <v>Wdw Emporium Lake Buena Vi Fl</v>
      </c>
    </row>
    <row r="11238" spans="1:15" hidden="1">
      <c r="A11238">
        <v>202404</v>
      </c>
      <c r="B11238" s="6">
        <v>45385</v>
      </c>
      <c r="C11238" t="s">
        <v>5160</v>
      </c>
      <c r="D11238" t="s">
        <v>5310</v>
      </c>
      <c r="E11238">
        <v>9.25</v>
      </c>
      <c r="F11238" s="2" t="str">
        <f>IF(Table2[[#This Row],[Manual Cat Value]]="",VLOOKUP(Table2[[#This Row],[Description]],'Actuals Lookup'!D:F,3,0),VLOOKUP(Table2[[#This Row],[Manual Cat Value]],Lookup!A:B,2,0))</f>
        <v>Restaurants</v>
      </c>
      <c r="G11238" t="s">
        <v>28</v>
      </c>
      <c r="H11238" s="8" t="s">
        <v>25</v>
      </c>
      <c r="I11238" s="8"/>
      <c r="O11238" t="str">
        <f>LEFT(Table2[[#This Row],[Description]],75)</f>
        <v>Wdw Popcorn Carts Lake Buena Vi Fl</v>
      </c>
    </row>
    <row r="11239" spans="1:15" hidden="1">
      <c r="A11239">
        <v>202404</v>
      </c>
      <c r="B11239" s="6">
        <v>45386</v>
      </c>
      <c r="C11239" t="s">
        <v>2281</v>
      </c>
      <c r="D11239" t="s">
        <v>14</v>
      </c>
      <c r="E11239">
        <f>125*2</f>
        <v>250</v>
      </c>
      <c r="F11239" s="2" t="str">
        <f>IF(Table2[[#This Row],[Manual Cat Value]]="",VLOOKUP(Table2[[#This Row],[Description]],'Actuals Lookup'!D:F,3,0),VLOOKUP(Table2[[#This Row],[Manual Cat Value]],Lookup!A:B,2,0))</f>
        <v>Cleaning</v>
      </c>
      <c r="H11239" s="8" t="s">
        <v>13</v>
      </c>
      <c r="I11239" s="8"/>
      <c r="O11239" t="str">
        <f>LEFT(Table2[[#This Row],[Description]],75)</f>
        <v>Cleaning</v>
      </c>
    </row>
    <row r="11240" spans="1:15" hidden="1">
      <c r="A11240">
        <v>202404</v>
      </c>
      <c r="B11240" s="6">
        <v>45386</v>
      </c>
      <c r="C11240" t="s">
        <v>5160</v>
      </c>
      <c r="D11240" t="s">
        <v>5311</v>
      </c>
      <c r="E11240">
        <v>18.97</v>
      </c>
      <c r="F11240" s="2" t="str">
        <f>IF(Table2[[#This Row],[Manual Cat Value]]="",VLOOKUP(Table2[[#This Row],[Description]],'Actuals Lookup'!D:F,3,0),VLOOKUP(Table2[[#This Row],[Manual Cat Value]],Lookup!A:B,2,0))</f>
        <v>Restaurants</v>
      </c>
      <c r="G11240" t="s">
        <v>26</v>
      </c>
      <c r="H11240" s="8" t="s">
        <v>25</v>
      </c>
      <c r="I11240" s="8"/>
      <c r="O11240" t="str">
        <f>LEFT(Table2[[#This Row],[Description]],75)</f>
        <v>For Heaven Shakes Icbonita Spring Fl</v>
      </c>
    </row>
    <row r="11241" spans="1:15" hidden="1">
      <c r="A11241">
        <v>202404</v>
      </c>
      <c r="B11241" s="6">
        <v>45386</v>
      </c>
      <c r="C11241" t="s">
        <v>5160</v>
      </c>
      <c r="D11241" t="s">
        <v>5036</v>
      </c>
      <c r="E11241">
        <v>4</v>
      </c>
      <c r="F11241" s="2" t="str">
        <f>IF(Table2[[#This Row],[Manual Cat Value]]="",VLOOKUP(Table2[[#This Row],[Description]],'Actuals Lookup'!D:F,3,0),VLOOKUP(Table2[[#This Row],[Manual Cat Value]],Lookup!A:B,2,0))</f>
        <v>Utilities</v>
      </c>
      <c r="G11241" t="s">
        <v>62</v>
      </c>
      <c r="I11241" s="8"/>
      <c r="O11241" t="str">
        <f>LEFT(Table2[[#This Row],[Description]],75)</f>
        <v>Google *svcsgns.3349g.co/helppay# Ca</v>
      </c>
    </row>
    <row r="11242" spans="1:15" hidden="1">
      <c r="A11242">
        <v>202404</v>
      </c>
      <c r="B11242" s="6">
        <v>45387</v>
      </c>
      <c r="C11242" t="s">
        <v>5160</v>
      </c>
      <c r="D11242" t="s">
        <v>5312</v>
      </c>
      <c r="E11242">
        <v>125.83</v>
      </c>
      <c r="F11242" s="2" t="str">
        <f>IF(Table2[[#This Row],[Manual Cat Value]]="",VLOOKUP(Table2[[#This Row],[Description]],'Actuals Lookup'!D:F,3,0),VLOOKUP(Table2[[#This Row],[Manual Cat Value]],Lookup!A:B,2,0))</f>
        <v>Restaurants</v>
      </c>
      <c r="G11242" t="s">
        <v>35</v>
      </c>
      <c r="H11242" s="8" t="s">
        <v>25</v>
      </c>
      <c r="I11242" s="8"/>
      <c r="O11242" t="str">
        <f>LEFT(Table2[[#This Row],[Description]],75)</f>
        <v>Aplpay Seed To Tablenaples Fl</v>
      </c>
    </row>
    <row r="11243" spans="1:15" hidden="1">
      <c r="A11243">
        <v>202404</v>
      </c>
      <c r="B11243" s="6">
        <v>45387</v>
      </c>
      <c r="C11243" t="s">
        <v>5160</v>
      </c>
      <c r="D11243" t="s">
        <v>5313</v>
      </c>
      <c r="E11243">
        <v>120</v>
      </c>
      <c r="F11243" s="2" t="str">
        <f>IF(Table2[[#This Row],[Manual Cat Value]]="",VLOOKUP(Table2[[#This Row],[Description]],'Actuals Lookup'!D:F,3,0),VLOOKUP(Table2[[#This Row],[Manual Cat Value]],Lookup!A:B,2,0))</f>
        <v>Shopping</v>
      </c>
      <c r="G11243" t="s">
        <v>28</v>
      </c>
      <c r="H11243" s="8" t="s">
        <v>36</v>
      </c>
      <c r="I11243" s="8"/>
      <c r="O11243" t="str">
        <f>LEFT(Table2[[#This Row],[Description]],75)</f>
        <v>Karen Martsolf Lmt Sbonita Springs Fl</v>
      </c>
    </row>
    <row r="11244" spans="1:15" hidden="1">
      <c r="A11244">
        <v>202404</v>
      </c>
      <c r="B11244" s="6">
        <v>45387</v>
      </c>
      <c r="C11244" t="s">
        <v>5160</v>
      </c>
      <c r="D11244" t="s">
        <v>5314</v>
      </c>
      <c r="E11244">
        <v>10.34</v>
      </c>
      <c r="F11244" s="2" t="str">
        <f>IF(Table2[[#This Row],[Manual Cat Value]]="",VLOOKUP(Table2[[#This Row],[Description]],'Actuals Lookup'!D:F,3,0),VLOOKUP(Table2[[#This Row],[Manual Cat Value]],Lookup!A:B,2,0))</f>
        <v>Restaurants</v>
      </c>
      <c r="G11244" t="s">
        <v>26</v>
      </c>
      <c r="H11244" s="8" t="s">
        <v>25</v>
      </c>
      <c r="I11244" s="8"/>
      <c r="O11244" t="str">
        <f>LEFT(Table2[[#This Row],[Description]],75)</f>
        <v>Seed To Table</v>
      </c>
    </row>
    <row r="11245" spans="1:15" hidden="1">
      <c r="A11245">
        <v>202404</v>
      </c>
      <c r="B11245" s="6">
        <v>45387</v>
      </c>
      <c r="C11245" t="s">
        <v>5160</v>
      </c>
      <c r="D11245" t="s">
        <v>5315</v>
      </c>
      <c r="E11245">
        <v>195</v>
      </c>
      <c r="F11245" s="2" t="str">
        <f>IF(Table2[[#This Row],[Manual Cat Value]]="",VLOOKUP(Table2[[#This Row],[Description]],'Actuals Lookup'!D:F,3,0),VLOOKUP(Table2[[#This Row],[Manual Cat Value]],Lookup!A:B,2,0))</f>
        <v>Entertainment</v>
      </c>
      <c r="G11245" t="s">
        <v>4745</v>
      </c>
      <c r="H11245" s="8" t="s">
        <v>39</v>
      </c>
      <c r="I11245" s="8"/>
      <c r="O11245" t="str">
        <f>LEFT(Table2[[#This Row],[Description]],75)</f>
        <v>The Spa At Valencia Bonita Springs Fl</v>
      </c>
    </row>
    <row r="11246" spans="1:15" hidden="1">
      <c r="A11246">
        <v>202404</v>
      </c>
      <c r="B11246" s="6">
        <v>45387</v>
      </c>
      <c r="C11246" t="s">
        <v>5160</v>
      </c>
      <c r="D11246" t="s">
        <v>5316</v>
      </c>
      <c r="E11246">
        <v>21.88</v>
      </c>
      <c r="F11246" s="2" t="str">
        <f>IF(Table2[[#This Row],[Manual Cat Value]]="",VLOOKUP(Table2[[#This Row],[Description]],'Actuals Lookup'!D:F,3,0),VLOOKUP(Table2[[#This Row],[Manual Cat Value]],Lookup!A:B,2,0))</f>
        <v>Restaurants</v>
      </c>
      <c r="G11246" t="s">
        <v>26</v>
      </c>
      <c r="H11246" s="8" t="s">
        <v>25</v>
      </c>
      <c r="I11246" s="8"/>
      <c r="O11246" t="str">
        <f>LEFT(Table2[[#This Row],[Description]],75)</f>
        <v>Trackside</v>
      </c>
    </row>
    <row r="11247" spans="1:15" hidden="1">
      <c r="A11247">
        <v>202404</v>
      </c>
      <c r="B11247" s="6">
        <v>45388</v>
      </c>
      <c r="C11247" t="s">
        <v>5160</v>
      </c>
      <c r="D11247" t="s">
        <v>1076</v>
      </c>
      <c r="E11247">
        <v>61.99</v>
      </c>
      <c r="F11247" s="2" t="str">
        <f>IF(Table2[[#This Row],[Manual Cat Value]]="",VLOOKUP(Table2[[#This Row],[Description]],'Actuals Lookup'!D:F,3,0),VLOOKUP(Table2[[#This Row],[Manual Cat Value]],Lookup!A:B,2,0))</f>
        <v>Shopping</v>
      </c>
      <c r="G11247" t="s">
        <v>41</v>
      </c>
      <c r="I11247" s="8"/>
      <c r="O11247" t="str">
        <f>LEFT(Table2[[#This Row],[Description]],75)</f>
        <v>Kohl's</v>
      </c>
    </row>
    <row r="11248" spans="1:15" hidden="1">
      <c r="A11248">
        <v>202404</v>
      </c>
      <c r="B11248" s="6">
        <v>45388</v>
      </c>
      <c r="C11248" t="s">
        <v>5160</v>
      </c>
      <c r="D11248" t="s">
        <v>4024</v>
      </c>
      <c r="E11248">
        <v>57.16</v>
      </c>
      <c r="F11248" s="2" t="str">
        <f>IF(Table2[[#This Row],[Manual Cat Value]]="",VLOOKUP(Table2[[#This Row],[Description]],'Actuals Lookup'!D:F,3,0),VLOOKUP(Table2[[#This Row],[Manual Cat Value]],Lookup!A:B,2,0))</f>
        <v>Groceries</v>
      </c>
      <c r="G11248" t="s">
        <v>28</v>
      </c>
      <c r="I11248" s="8"/>
      <c r="O11248" t="str">
        <f>LEFT(Table2[[#This Row],[Description]],75)</f>
        <v>Publix</v>
      </c>
    </row>
    <row r="11249" spans="1:15" hidden="1">
      <c r="A11249">
        <v>202404</v>
      </c>
      <c r="B11249" s="6">
        <v>45388</v>
      </c>
      <c r="C11249" t="s">
        <v>5160</v>
      </c>
      <c r="D11249" t="s">
        <v>5317</v>
      </c>
      <c r="E11249">
        <v>144.06</v>
      </c>
      <c r="F11249" s="2" t="str">
        <f>IF(Table2[[#This Row],[Manual Cat Value]]="",VLOOKUP(Table2[[#This Row],[Description]],'Actuals Lookup'!D:F,3,0),VLOOKUP(Table2[[#This Row],[Manual Cat Value]],Lookup!A:B,2,0))</f>
        <v>Restaurants</v>
      </c>
      <c r="G11249" t="s">
        <v>26</v>
      </c>
      <c r="H11249" s="8" t="s">
        <v>25</v>
      </c>
      <c r="I11249" s="8"/>
      <c r="O11249" t="str">
        <f>LEFT(Table2[[#This Row],[Description]],75)</f>
        <v>Tst* Nervous Nelliesfort Myers Beac Fl</v>
      </c>
    </row>
    <row r="11250" spans="1:15" hidden="1">
      <c r="A11250">
        <v>202404</v>
      </c>
      <c r="B11250" s="6">
        <v>45389</v>
      </c>
      <c r="C11250" t="s">
        <v>5160</v>
      </c>
      <c r="D11250" t="s">
        <v>5318</v>
      </c>
      <c r="E11250">
        <v>75.72</v>
      </c>
      <c r="F11250" s="2" t="str">
        <f>IF(Table2[[#This Row],[Manual Cat Value]]="",VLOOKUP(Table2[[#This Row],[Description]],'Actuals Lookup'!D:F,3,0),VLOOKUP(Table2[[#This Row],[Manual Cat Value]],Lookup!A:B,2,0))</f>
        <v>Restaurants</v>
      </c>
      <c r="G11250" t="s">
        <v>26</v>
      </c>
      <c r="H11250" s="8" t="s">
        <v>25</v>
      </c>
      <c r="I11250" s="8"/>
      <c r="O11250" t="str">
        <f>LEFT(Table2[[#This Row],[Description]],75)</f>
        <v>#503 Naples Del Mar Naples Fl</v>
      </c>
    </row>
    <row r="11251" spans="1:15" hidden="1">
      <c r="A11251">
        <v>202404</v>
      </c>
      <c r="B11251" s="6">
        <v>45389</v>
      </c>
      <c r="C11251" t="s">
        <v>5160</v>
      </c>
      <c r="D11251" t="s">
        <v>5319</v>
      </c>
      <c r="E11251">
        <v>390</v>
      </c>
      <c r="F11251" s="2" t="str">
        <f>IF(Table2[[#This Row],[Manual Cat Value]]="",VLOOKUP(Table2[[#This Row],[Description]],'Actuals Lookup'!D:F,3,0),VLOOKUP(Table2[[#This Row],[Manual Cat Value]],Lookup!A:B,2,0))</f>
        <v>Healthcare</v>
      </c>
      <c r="G11251" t="s">
        <v>35</v>
      </c>
      <c r="H11251" s="8" t="s">
        <v>47</v>
      </c>
      <c r="I11251" s="8"/>
      <c r="O11251" t="str">
        <f>LEFT(Table2[[#This Row],[Description]],75)</f>
        <v>Collierucfounderssqunaples Fl</v>
      </c>
    </row>
    <row r="11252" spans="1:15" hidden="1">
      <c r="A11252">
        <v>202404</v>
      </c>
      <c r="B11252" s="6">
        <v>45389</v>
      </c>
      <c r="C11252" t="s">
        <v>5160</v>
      </c>
      <c r="D11252" t="s">
        <v>4024</v>
      </c>
      <c r="E11252">
        <v>126.52</v>
      </c>
      <c r="F11252" s="2" t="str">
        <f>IF(Table2[[#This Row],[Manual Cat Value]]="",VLOOKUP(Table2[[#This Row],[Description]],'Actuals Lookup'!D:F,3,0),VLOOKUP(Table2[[#This Row],[Manual Cat Value]],Lookup!A:B,2,0))</f>
        <v>Groceries</v>
      </c>
      <c r="G11252" t="s">
        <v>28</v>
      </c>
      <c r="I11252" s="8"/>
      <c r="O11252" t="str">
        <f>LEFT(Table2[[#This Row],[Description]],75)</f>
        <v>Publix</v>
      </c>
    </row>
    <row r="11253" spans="1:15" hidden="1">
      <c r="A11253">
        <v>202404</v>
      </c>
      <c r="B11253" s="6">
        <v>45389</v>
      </c>
      <c r="C11253" t="s">
        <v>5160</v>
      </c>
      <c r="D11253" t="s">
        <v>4024</v>
      </c>
      <c r="E11253">
        <v>7.48</v>
      </c>
      <c r="F11253" s="2" t="str">
        <f>IF(Table2[[#This Row],[Manual Cat Value]]="",VLOOKUP(Table2[[#This Row],[Description]],'Actuals Lookup'!D:F,3,0),VLOOKUP(Table2[[#This Row],[Manual Cat Value]],Lookup!A:B,2,0))</f>
        <v>Groceries</v>
      </c>
      <c r="G11253" t="s">
        <v>28</v>
      </c>
      <c r="I11253" s="8"/>
      <c r="O11253" t="str">
        <f>LEFT(Table2[[#This Row],[Description]],75)</f>
        <v>Publix</v>
      </c>
    </row>
    <row r="11254" spans="1:15" hidden="1">
      <c r="A11254">
        <v>202404</v>
      </c>
      <c r="B11254" s="6">
        <v>45389</v>
      </c>
      <c r="C11254" t="s">
        <v>5160</v>
      </c>
      <c r="D11254" t="s">
        <v>4024</v>
      </c>
      <c r="E11254">
        <v>29.51</v>
      </c>
      <c r="F11254" s="2" t="str">
        <f>IF(Table2[[#This Row],[Manual Cat Value]]="",VLOOKUP(Table2[[#This Row],[Description]],'Actuals Lookup'!D:F,3,0),VLOOKUP(Table2[[#This Row],[Manual Cat Value]],Lookup!A:B,2,0))</f>
        <v>Groceries</v>
      </c>
      <c r="G11254" t="s">
        <v>28</v>
      </c>
      <c r="I11254" s="8"/>
      <c r="O11254" t="str">
        <f>LEFT(Table2[[#This Row],[Description]],75)</f>
        <v>Publix</v>
      </c>
    </row>
    <row r="11255" spans="1:15" hidden="1">
      <c r="A11255">
        <v>202404</v>
      </c>
      <c r="B11255" s="6">
        <v>45389</v>
      </c>
      <c r="C11255" t="s">
        <v>5160</v>
      </c>
      <c r="D11255" t="s">
        <v>5320</v>
      </c>
      <c r="E11255">
        <v>278.5</v>
      </c>
      <c r="F11255" s="2" t="str">
        <f>IF(Table2[[#This Row],[Manual Cat Value]]="",VLOOKUP(Table2[[#This Row],[Description]],'Actuals Lookup'!D:F,3,0),VLOOKUP(Table2[[#This Row],[Manual Cat Value]],Lookup!A:B,2,0))</f>
        <v>Restaurants</v>
      </c>
      <c r="G11255" t="s">
        <v>26</v>
      </c>
      <c r="H11255" s="8" t="s">
        <v>25</v>
      </c>
      <c r="I11255" s="8"/>
      <c r="O11255" t="str">
        <f>LEFT(Table2[[#This Row],[Description]],75)</f>
        <v>Sea Salt Eatery</v>
      </c>
    </row>
    <row r="11256" spans="1:15" hidden="1">
      <c r="A11256">
        <v>202404</v>
      </c>
      <c r="B11256" s="6">
        <v>45390</v>
      </c>
      <c r="C11256" t="s">
        <v>5160</v>
      </c>
      <c r="D11256" t="s">
        <v>113</v>
      </c>
      <c r="E11256">
        <v>135.46</v>
      </c>
      <c r="F11256" s="2" t="str">
        <f>IF(Table2[[#This Row],[Manual Cat Value]]="",VLOOKUP(Table2[[#This Row],[Description]],'Actuals Lookup'!D:F,3,0),VLOOKUP(Table2[[#This Row],[Manual Cat Value]],Lookup!A:B,2,0))</f>
        <v>Amazon</v>
      </c>
      <c r="G11256" t="s">
        <v>38</v>
      </c>
      <c r="I11256" s="8"/>
      <c r="O11256" t="str">
        <f>LEFT(Table2[[#This Row],[Description]],75)</f>
        <v>Amazon Marketplace</v>
      </c>
    </row>
    <row r="11257" spans="1:15" hidden="1">
      <c r="A11257">
        <v>202404</v>
      </c>
      <c r="B11257" s="6">
        <v>45390</v>
      </c>
      <c r="C11257" t="s">
        <v>5160</v>
      </c>
      <c r="D11257" t="s">
        <v>5321</v>
      </c>
      <c r="E11257">
        <v>12.76</v>
      </c>
      <c r="F11257" s="2" t="str">
        <f>IF(Table2[[#This Row],[Manual Cat Value]]="",VLOOKUP(Table2[[#This Row],[Description]],'Actuals Lookup'!D:F,3,0),VLOOKUP(Table2[[#This Row],[Manual Cat Value]],Lookup!A:B,2,0))</f>
        <v>Restaurants</v>
      </c>
      <c r="G11257" t="s">
        <v>26</v>
      </c>
      <c r="H11257" s="8" t="s">
        <v>25</v>
      </c>
      <c r="I11257" s="8"/>
      <c r="O11257" t="str">
        <f>LEFT(Table2[[#This Row],[Description]],75)</f>
        <v>Aplpay Great Amer Bafort Myers Fl</v>
      </c>
    </row>
    <row r="11258" spans="1:15" hidden="1">
      <c r="A11258">
        <v>202404</v>
      </c>
      <c r="B11258" s="6">
        <v>45390</v>
      </c>
      <c r="C11258" t="s">
        <v>5160</v>
      </c>
      <c r="D11258" t="s">
        <v>5322</v>
      </c>
      <c r="E11258">
        <v>81.400000000000006</v>
      </c>
      <c r="F11258" s="2" t="str">
        <f>IF(Table2[[#This Row],[Manual Cat Value]]="",VLOOKUP(Table2[[#This Row],[Description]],'Actuals Lookup'!D:F,3,0),VLOOKUP(Table2[[#This Row],[Manual Cat Value]],Lookup!A:B,2,0))</f>
        <v>Groceries</v>
      </c>
      <c r="G11258" t="s">
        <v>28</v>
      </c>
      <c r="H11258" s="8" t="s">
        <v>27</v>
      </c>
      <c r="I11258" s="8"/>
      <c r="O11258" t="str">
        <f>LEFT(Table2[[#This Row],[Description]],75)</f>
        <v>Hungryroot</v>
      </c>
    </row>
    <row r="11259" spans="1:15" hidden="1">
      <c r="A11259">
        <v>202403</v>
      </c>
      <c r="B11259" s="6">
        <v>45356</v>
      </c>
      <c r="C11259" t="s">
        <v>5013</v>
      </c>
      <c r="D11259" t="s">
        <v>703</v>
      </c>
      <c r="E11259">
        <v>5.6</v>
      </c>
      <c r="F11259" s="2" t="str">
        <f>IF(Table2[[#This Row],[Manual Cat Value]]="",VLOOKUP(Table2[[#This Row],[Description]],'Actuals Lookup'!D:F,3,0),VLOOKUP(Table2[[#This Row],[Manual Cat Value]],Lookup!A:B,2,0))</f>
        <v>Delete</v>
      </c>
      <c r="G11259" t="s">
        <v>67</v>
      </c>
      <c r="I11259" s="8"/>
      <c r="O11259" t="str">
        <f>LEFT(Table2[[#This Row],[Description]],75)</f>
        <v>Delta Air Lines</v>
      </c>
    </row>
    <row r="11260" spans="1:15" hidden="1">
      <c r="A11260">
        <v>202403</v>
      </c>
      <c r="B11260" s="6">
        <v>45356</v>
      </c>
      <c r="C11260" t="s">
        <v>5013</v>
      </c>
      <c r="D11260" t="s">
        <v>703</v>
      </c>
      <c r="E11260">
        <v>5.6</v>
      </c>
      <c r="F11260" s="2" t="str">
        <f>IF(Table2[[#This Row],[Manual Cat Value]]="",VLOOKUP(Table2[[#This Row],[Description]],'Actuals Lookup'!D:F,3,0),VLOOKUP(Table2[[#This Row],[Manual Cat Value]],Lookup!A:B,2,0))</f>
        <v>Delete</v>
      </c>
      <c r="G11260" t="s">
        <v>67</v>
      </c>
      <c r="I11260" s="8"/>
      <c r="O11260" t="str">
        <f>LEFT(Table2[[#This Row],[Description]],75)</f>
        <v>Delta Air Lines</v>
      </c>
    </row>
    <row r="11261" spans="1:15" hidden="1">
      <c r="A11261">
        <v>202404</v>
      </c>
      <c r="B11261" s="6">
        <v>45391</v>
      </c>
      <c r="C11261" t="s">
        <v>3938</v>
      </c>
      <c r="D11261" t="s">
        <v>1477</v>
      </c>
      <c r="E11261">
        <v>47.69</v>
      </c>
      <c r="F11261" s="2" t="str">
        <f>IF(Table2[[#This Row],[Manual Cat Value]]="",VLOOKUP(Table2[[#This Row],[Description]],'Actuals Lookup'!D:F,3,0),VLOOKUP(Table2[[#This Row],[Manual Cat Value]],Lookup!A:B,2,0))</f>
        <v>Gym</v>
      </c>
      <c r="I11261" s="8"/>
      <c r="O11261" t="str">
        <f>LEFT(Table2[[#This Row],[Description]],75)</f>
        <v>Peloton Cycles</v>
      </c>
    </row>
    <row r="11262" spans="1:15" hidden="1">
      <c r="A11262">
        <v>202404</v>
      </c>
      <c r="B11262" s="6">
        <v>45391</v>
      </c>
      <c r="C11262" t="s">
        <v>2519</v>
      </c>
      <c r="D11262" t="s">
        <v>1955</v>
      </c>
      <c r="E11262">
        <v>54.19</v>
      </c>
      <c r="F11262" s="2" t="str">
        <f>IF(Table2[[#This Row],[Manual Cat Value]]="",VLOOKUP(Table2[[#This Row],[Description]],'Actuals Lookup'!D:F,3,0),VLOOKUP(Table2[[#This Row],[Manual Cat Value]],Lookup!A:B,2,0))</f>
        <v>Shopping</v>
      </c>
      <c r="I11262" s="8"/>
      <c r="O11262" t="str">
        <f>LEFT(Table2[[#This Row],[Description]],75)</f>
        <v>Transfer to PayPal</v>
      </c>
    </row>
    <row r="11263" spans="1:15" hidden="1">
      <c r="A11263">
        <v>202404</v>
      </c>
      <c r="B11263" s="6">
        <v>45391</v>
      </c>
      <c r="C11263" t="s">
        <v>2519</v>
      </c>
      <c r="D11263" t="s">
        <v>5323</v>
      </c>
      <c r="E11263">
        <v>346</v>
      </c>
      <c r="F11263" s="2" t="str">
        <f>IF(Table2[[#This Row],[Manual Cat Value]]="",VLOOKUP(Table2[[#This Row],[Description]],'Actuals Lookup'!D:F,3,0),VLOOKUP(Table2[[#This Row],[Manual Cat Value]],Lookup!A:B,2,0))</f>
        <v>Day Care</v>
      </c>
      <c r="H11263" s="8" t="s">
        <v>19</v>
      </c>
      <c r="I11263" s="8"/>
      <c r="O11263" t="str">
        <f>LEFT(Table2[[#This Row],[Description]],75)</f>
        <v>Withdrawal ACH MHCHILDCARELLC TYPE: DUES ID: XX8198 CO: MHCHILDCARELLC Entr</v>
      </c>
    </row>
    <row r="11264" spans="1:15" hidden="1">
      <c r="A11264">
        <v>202404</v>
      </c>
      <c r="B11264" s="6">
        <v>45392</v>
      </c>
      <c r="C11264" t="s">
        <v>3938</v>
      </c>
      <c r="D11264" t="s">
        <v>5324</v>
      </c>
      <c r="E11264">
        <v>96.44</v>
      </c>
      <c r="F11264" s="2" t="str">
        <f>IF(Table2[[#This Row],[Manual Cat Value]]="",VLOOKUP(Table2[[#This Row],[Description]],'Actuals Lookup'!D:F,3,0),VLOOKUP(Table2[[#This Row],[Manual Cat Value]],Lookup!A:B,2,0))</f>
        <v>Amazon</v>
      </c>
      <c r="H11264" s="8" t="s">
        <v>37</v>
      </c>
      <c r="I11264" s="8"/>
      <c r="O11264" t="str">
        <f>LEFT(Table2[[#This Row],[Description]],75)</f>
        <v>AMZN Mktp US*3490T2J83 Amzn.com/billWA REF #XX9216FL33K2FG8R</v>
      </c>
    </row>
    <row r="11265" spans="1:15" hidden="1">
      <c r="A11265">
        <v>202404</v>
      </c>
      <c r="B11265" s="6">
        <v>45392</v>
      </c>
      <c r="C11265" t="s">
        <v>3938</v>
      </c>
      <c r="D11265" t="s">
        <v>5325</v>
      </c>
      <c r="E11265">
        <v>13.99</v>
      </c>
      <c r="F11265" s="2" t="str">
        <f>IF(Table2[[#This Row],[Manual Cat Value]]="",VLOOKUP(Table2[[#This Row],[Description]],'Actuals Lookup'!D:F,3,0),VLOOKUP(Table2[[#This Row],[Manual Cat Value]],Lookup!A:B,2,0))</f>
        <v>Amazon</v>
      </c>
      <c r="H11265" s="8" t="s">
        <v>37</v>
      </c>
      <c r="I11265" s="8"/>
      <c r="O11265" t="str">
        <f>LEFT(Table2[[#This Row],[Description]],75)</f>
        <v>AMZN Mktp US*F62OD3XJ3 Amzn.com/billWA REF #XX9216FL3347XPNA</v>
      </c>
    </row>
    <row r="11266" spans="1:15" hidden="1">
      <c r="A11266">
        <v>202404</v>
      </c>
      <c r="B11266" s="6">
        <v>45392</v>
      </c>
      <c r="C11266" t="s">
        <v>5160</v>
      </c>
      <c r="D11266" t="s">
        <v>1083</v>
      </c>
      <c r="E11266">
        <v>47.52</v>
      </c>
      <c r="F11266" s="2" t="str">
        <f>IF(Table2[[#This Row],[Manual Cat Value]]="",VLOOKUP(Table2[[#This Row],[Description]],'Actuals Lookup'!D:F,3,0),VLOOKUP(Table2[[#This Row],[Manual Cat Value]],Lookup!A:B,2,0))</f>
        <v>Transportation</v>
      </c>
      <c r="G11266" t="s">
        <v>23</v>
      </c>
      <c r="I11266" s="8"/>
      <c r="O11266" t="str">
        <f>LEFT(Table2[[#This Row],[Description]],75)</f>
        <v>Kwik Trip</v>
      </c>
    </row>
    <row r="11267" spans="1:15" hidden="1">
      <c r="A11267">
        <v>202404</v>
      </c>
      <c r="B11267" s="6">
        <v>45392</v>
      </c>
      <c r="C11267" t="s">
        <v>2519</v>
      </c>
      <c r="D11267" t="s">
        <v>1470</v>
      </c>
      <c r="E11267">
        <v>116.4</v>
      </c>
      <c r="F11267" s="2" t="str">
        <f>IF(Table2[[#This Row],[Manual Cat Value]]="",VLOOKUP(Table2[[#This Row],[Description]],'Actuals Lookup'!D:F,3,0),VLOOKUP(Table2[[#This Row],[Manual Cat Value]],Lookup!A:B,2,0))</f>
        <v>Utilities</v>
      </c>
      <c r="I11267" s="8"/>
      <c r="O11267" t="str">
        <f>LEFT(Table2[[#This Row],[Description]],75)</f>
        <v>Payment to Xcel Energy</v>
      </c>
    </row>
    <row r="11268" spans="1:15" hidden="1">
      <c r="A11268">
        <v>202404</v>
      </c>
      <c r="B11268" s="6">
        <v>45392</v>
      </c>
      <c r="C11268" t="s">
        <v>5160</v>
      </c>
      <c r="D11268" t="s">
        <v>31</v>
      </c>
      <c r="E11268">
        <v>94.96</v>
      </c>
      <c r="F11268" s="2" t="str">
        <f>IF(Table2[[#This Row],[Manual Cat Value]]="",VLOOKUP(Table2[[#This Row],[Description]],'Actuals Lookup'!D:F,3,0),VLOOKUP(Table2[[#This Row],[Manual Cat Value]],Lookup!A:B,2,0))</f>
        <v>Target</v>
      </c>
      <c r="G11268" t="s">
        <v>31</v>
      </c>
      <c r="I11268" s="8"/>
      <c r="O11268" t="str">
        <f>LEFT(Table2[[#This Row],[Description]],75)</f>
        <v>Target</v>
      </c>
    </row>
    <row r="11269" spans="1:15" hidden="1">
      <c r="A11269">
        <v>202404</v>
      </c>
      <c r="B11269" s="6">
        <v>45392</v>
      </c>
      <c r="C11269" t="s">
        <v>5160</v>
      </c>
      <c r="D11269" t="s">
        <v>1867</v>
      </c>
      <c r="E11269">
        <v>701.9</v>
      </c>
      <c r="F11269" s="2" t="str">
        <f>IF(Table2[[#This Row],[Manual Cat Value]]="",VLOOKUP(Table2[[#This Row],[Description]],'Actuals Lookup'!D:F,3,0),VLOOKUP(Table2[[#This Row],[Manual Cat Value]],Lookup!A:B,2,0))</f>
        <v>Entertainment</v>
      </c>
      <c r="G11269" t="s">
        <v>40</v>
      </c>
      <c r="H11269" s="8" t="s">
        <v>39</v>
      </c>
      <c r="I11269" s="8"/>
      <c r="O11269" t="str">
        <f>LEFT(Table2[[#This Row],[Description]],75)</f>
        <v>Ticketmaster</v>
      </c>
    </row>
    <row r="11270" spans="1:15" hidden="1">
      <c r="A11270">
        <v>202404</v>
      </c>
      <c r="B11270" s="6">
        <v>45393</v>
      </c>
      <c r="C11270" t="s">
        <v>2519</v>
      </c>
      <c r="D11270" t="s">
        <v>404</v>
      </c>
      <c r="E11270">
        <v>-2666.33</v>
      </c>
      <c r="F11270" s="2" t="str">
        <f>IF(Table2[[#This Row],[Manual Cat Value]]="",VLOOKUP(Table2[[#This Row],[Description]],'Actuals Lookup'!D:F,3,0),VLOOKUP(Table2[[#This Row],[Manual Cat Value]],Lookup!A:B,2,0))</f>
        <v>Britney</v>
      </c>
      <c r="I11270" s="8"/>
      <c r="O11270" t="str">
        <f>LEFT(Table2[[#This Row],[Description]],75)</f>
        <v>Cargill Inc Deposit</v>
      </c>
    </row>
    <row r="11271" spans="1:15" hidden="1">
      <c r="A11271">
        <v>202404</v>
      </c>
      <c r="B11271" s="6">
        <v>45393</v>
      </c>
      <c r="C11271" t="s">
        <v>2519</v>
      </c>
      <c r="D11271" t="s">
        <v>5326</v>
      </c>
      <c r="E11271">
        <v>-976.63</v>
      </c>
      <c r="F11271" s="2" t="str">
        <f>IF(Table2[[#This Row],[Manual Cat Value]]="",VLOOKUP(Table2[[#This Row],[Description]],'Actuals Lookup'!D:F,3,0),VLOOKUP(Table2[[#This Row],[Manual Cat Value]],Lookup!A:B,2,0))</f>
        <v>Jeff</v>
      </c>
      <c r="H11271" s="8" t="s">
        <v>63</v>
      </c>
      <c r="I11271" s="8"/>
      <c r="O11271" t="str">
        <f>LEFT(Table2[[#This Row],[Description]],75)</f>
        <v>Deposit ACH EMPYREAN SOLUTIO TYPE: XX9000 ID: XX3620 CO: EMPYREAN SOLUTIO E</v>
      </c>
    </row>
    <row r="11272" spans="1:15" hidden="1">
      <c r="A11272">
        <v>202404</v>
      </c>
      <c r="B11272" s="6">
        <v>45393</v>
      </c>
      <c r="C11272" t="s">
        <v>5160</v>
      </c>
      <c r="D11272" t="s">
        <v>5159</v>
      </c>
      <c r="E11272">
        <v>83.61</v>
      </c>
      <c r="F11272" s="2" t="str">
        <f>IF(Table2[[#This Row],[Manual Cat Value]]="",VLOOKUP(Table2[[#This Row],[Description]],'Actuals Lookup'!D:F,3,0),VLOOKUP(Table2[[#This Row],[Manual Cat Value]],Lookup!A:B,2,0))</f>
        <v>Healthcare</v>
      </c>
      <c r="G11272" t="s">
        <v>48</v>
      </c>
      <c r="I11272" s="8"/>
      <c r="O11272" t="str">
        <f>LEFT(Table2[[#This Row],[Description]],75)</f>
        <v>Minuteclinic</v>
      </c>
    </row>
    <row r="11273" spans="1:15" hidden="1">
      <c r="A11273">
        <v>202404</v>
      </c>
      <c r="B11273" s="6">
        <v>45393</v>
      </c>
      <c r="C11273" t="s">
        <v>3938</v>
      </c>
      <c r="D11273" t="s">
        <v>1350</v>
      </c>
      <c r="E11273">
        <v>25.6</v>
      </c>
      <c r="F11273" s="2" t="str">
        <f>IF(Table2[[#This Row],[Manual Cat Value]]="",VLOOKUP(Table2[[#This Row],[Description]],'Actuals Lookup'!D:F,3,0),VLOOKUP(Table2[[#This Row],[Manual Cat Value]],Lookup!A:B,2,0))</f>
        <v>Utilities</v>
      </c>
      <c r="I11273" s="8"/>
      <c r="O11273" t="str">
        <f>LEFT(Table2[[#This Row],[Description]],75)</f>
        <v>Netflix</v>
      </c>
    </row>
    <row r="11274" spans="1:15" hidden="1">
      <c r="A11274">
        <v>202404</v>
      </c>
      <c r="B11274" s="6">
        <v>45394</v>
      </c>
      <c r="C11274" t="s">
        <v>5160</v>
      </c>
      <c r="D11274" t="s">
        <v>5276</v>
      </c>
      <c r="E11274">
        <v>79.89</v>
      </c>
      <c r="F11274" s="2" t="str">
        <f>IF(Table2[[#This Row],[Manual Cat Value]]="",VLOOKUP(Table2[[#This Row],[Description]],'Actuals Lookup'!D:F,3,0),VLOOKUP(Table2[[#This Row],[Manual Cat Value]],Lookup!A:B,2,0))</f>
        <v>Restaurants</v>
      </c>
      <c r="G11274" t="s">
        <v>26</v>
      </c>
      <c r="H11274" s="8" t="s">
        <v>25</v>
      </c>
      <c r="I11274" s="8"/>
      <c r="O11274" t="str">
        <f>LEFT(Table2[[#This Row],[Description]],75)</f>
        <v>Aplpay Tst* Maynardsexcelsior Mn</v>
      </c>
    </row>
    <row r="11275" spans="1:15" hidden="1">
      <c r="A11275">
        <v>202403</v>
      </c>
      <c r="B11275" s="6">
        <v>45356</v>
      </c>
      <c r="C11275" t="s">
        <v>5160</v>
      </c>
      <c r="D11275" t="s">
        <v>703</v>
      </c>
      <c r="E11275">
        <v>5.6</v>
      </c>
      <c r="F11275" s="2" t="str">
        <f>IF(Table2[[#This Row],[Manual Cat Value]]="",VLOOKUP(Table2[[#This Row],[Description]],'Actuals Lookup'!D:F,3,0),VLOOKUP(Table2[[#This Row],[Manual Cat Value]],Lookup!A:B,2,0))</f>
        <v>Delete</v>
      </c>
      <c r="G11275" t="s">
        <v>67</v>
      </c>
      <c r="I11275" s="8"/>
      <c r="O11275" t="str">
        <f>LEFT(Table2[[#This Row],[Description]],75)</f>
        <v>Delta Air Lines</v>
      </c>
    </row>
    <row r="11276" spans="1:15" hidden="1">
      <c r="A11276">
        <v>202404</v>
      </c>
      <c r="B11276" s="6">
        <v>45394</v>
      </c>
      <c r="C11276" t="s">
        <v>3938</v>
      </c>
      <c r="D11276" t="s">
        <v>4868</v>
      </c>
      <c r="E11276">
        <v>5.99</v>
      </c>
      <c r="F11276" s="2" t="str">
        <f>IF(Table2[[#This Row],[Manual Cat Value]]="",VLOOKUP(Table2[[#This Row],[Description]],'Actuals Lookup'!D:F,3,0),VLOOKUP(Table2[[#This Row],[Manual Cat Value]],Lookup!A:B,2,0))</f>
        <v>Entertainment</v>
      </c>
      <c r="I11276" s="8"/>
      <c r="O11276" t="str">
        <f>LEFT(Table2[[#This Row],[Description]],75)</f>
        <v>Hallmark Movies Now</v>
      </c>
    </row>
    <row r="11277" spans="1:15" hidden="1">
      <c r="A11277">
        <v>202404</v>
      </c>
      <c r="B11277" s="6">
        <v>45394</v>
      </c>
      <c r="C11277" t="s">
        <v>2519</v>
      </c>
      <c r="D11277" t="s">
        <v>1955</v>
      </c>
      <c r="E11277">
        <v>328.56</v>
      </c>
      <c r="F11277" s="2" t="str">
        <f>IF(Table2[[#This Row],[Manual Cat Value]]="",VLOOKUP(Table2[[#This Row],[Description]],'Actuals Lookup'!D:F,3,0),VLOOKUP(Table2[[#This Row],[Manual Cat Value]],Lookup!A:B,2,0))</f>
        <v>Shopping</v>
      </c>
      <c r="I11277" s="8"/>
      <c r="O11277" t="str">
        <f>LEFT(Table2[[#This Row],[Description]],75)</f>
        <v>Transfer to PayPal</v>
      </c>
    </row>
    <row r="11278" spans="1:15" hidden="1">
      <c r="A11278">
        <v>202404</v>
      </c>
      <c r="B11278" s="6">
        <v>45394</v>
      </c>
      <c r="C11278" t="s">
        <v>2519</v>
      </c>
      <c r="D11278" t="s">
        <v>1955</v>
      </c>
      <c r="E11278">
        <v>60.99</v>
      </c>
      <c r="F11278" s="2" t="str">
        <f>IF(Table2[[#This Row],[Manual Cat Value]]="",VLOOKUP(Table2[[#This Row],[Description]],'Actuals Lookup'!D:F,3,0),VLOOKUP(Table2[[#This Row],[Manual Cat Value]],Lookup!A:B,2,0))</f>
        <v>Shopping</v>
      </c>
      <c r="I11278" s="8"/>
      <c r="O11278" t="str">
        <f>LEFT(Table2[[#This Row],[Description]],75)</f>
        <v>Transfer to PayPal</v>
      </c>
    </row>
    <row r="11279" spans="1:15" hidden="1">
      <c r="A11279">
        <v>202404</v>
      </c>
      <c r="B11279" s="6">
        <v>45394</v>
      </c>
      <c r="C11279" t="s">
        <v>5160</v>
      </c>
      <c r="D11279" t="s">
        <v>5327</v>
      </c>
      <c r="E11279">
        <v>21.08</v>
      </c>
      <c r="F11279" s="2" t="str">
        <f>IF(Table2[[#This Row],[Manual Cat Value]]="",VLOOKUP(Table2[[#This Row],[Description]],'Actuals Lookup'!D:F,3,0),VLOOKUP(Table2[[#This Row],[Manual Cat Value]],Lookup!A:B,2,0))</f>
        <v>Restaurants</v>
      </c>
      <c r="G11279" t="s">
        <v>26</v>
      </c>
      <c r="H11279" s="8" t="s">
        <v>25</v>
      </c>
      <c r="I11279" s="8"/>
      <c r="O11279" t="str">
        <f>LEFT(Table2[[#This Row],[Description]],75)</f>
        <v>Tst* Maynards - Outsexcelsior Mn</v>
      </c>
    </row>
    <row r="11280" spans="1:15" hidden="1">
      <c r="A11280">
        <v>202404</v>
      </c>
      <c r="B11280" s="6">
        <v>45395</v>
      </c>
      <c r="C11280" t="s">
        <v>5160</v>
      </c>
      <c r="D11280" t="s">
        <v>5328</v>
      </c>
      <c r="E11280">
        <v>52</v>
      </c>
      <c r="F11280" s="2" t="str">
        <f>IF(Table2[[#This Row],[Manual Cat Value]]="",VLOOKUP(Table2[[#This Row],[Description]],'Actuals Lookup'!D:F,3,0),VLOOKUP(Table2[[#This Row],[Manual Cat Value]],Lookup!A:B,2,0))</f>
        <v>Entertainment</v>
      </c>
      <c r="G11280" t="s">
        <v>40</v>
      </c>
      <c r="H11280" s="8" t="s">
        <v>39</v>
      </c>
      <c r="I11280" s="8"/>
      <c r="O11280" t="str">
        <f>LEFT(Table2[[#This Row],[Description]],75)</f>
        <v>Ls Bluff Creek Golf Chaska Mn</v>
      </c>
    </row>
    <row r="11281" spans="1:15" hidden="1">
      <c r="A11281">
        <v>202404</v>
      </c>
      <c r="B11281" s="6">
        <v>45395</v>
      </c>
      <c r="C11281" t="s">
        <v>5160</v>
      </c>
      <c r="D11281" t="s">
        <v>1267</v>
      </c>
      <c r="E11281">
        <v>160</v>
      </c>
      <c r="F11281" s="2" t="str">
        <f>IF(Table2[[#This Row],[Manual Cat Value]]="",VLOOKUP(Table2[[#This Row],[Description]],'Actuals Lookup'!D:F,3,0),VLOOKUP(Table2[[#This Row],[Manual Cat Value]],Lookup!A:B,2,0))</f>
        <v>Entertainment</v>
      </c>
      <c r="G11281" t="s">
        <v>40</v>
      </c>
      <c r="I11281" s="8"/>
      <c r="O11281" t="str">
        <f>LEFT(Table2[[#This Row],[Description]],75)</f>
        <v>Minnesota State Parks</v>
      </c>
    </row>
    <row r="11282" spans="1:15" hidden="1">
      <c r="A11282">
        <v>202403</v>
      </c>
      <c r="B11282" s="6">
        <v>45356</v>
      </c>
      <c r="C11282" t="s">
        <v>5160</v>
      </c>
      <c r="D11282" t="s">
        <v>703</v>
      </c>
      <c r="E11282">
        <v>5.6</v>
      </c>
      <c r="F11282" s="2" t="str">
        <f>IF(Table2[[#This Row],[Manual Cat Value]]="",VLOOKUP(Table2[[#This Row],[Description]],'Actuals Lookup'!D:F,3,0),VLOOKUP(Table2[[#This Row],[Manual Cat Value]],Lookup!A:B,2,0))</f>
        <v>Delete</v>
      </c>
      <c r="G11282" t="s">
        <v>67</v>
      </c>
      <c r="I11282" s="8"/>
      <c r="O11282" t="str">
        <f>LEFT(Table2[[#This Row],[Description]],75)</f>
        <v>Delta Air Lines</v>
      </c>
    </row>
    <row r="11283" spans="1:15" hidden="1">
      <c r="A11283">
        <v>202404</v>
      </c>
      <c r="B11283" s="6">
        <v>45395</v>
      </c>
      <c r="C11283" t="s">
        <v>5160</v>
      </c>
      <c r="D11283" t="s">
        <v>5329</v>
      </c>
      <c r="E11283">
        <v>30.41</v>
      </c>
      <c r="F11283" s="2" t="str">
        <f>IF(Table2[[#This Row],[Manual Cat Value]]="",VLOOKUP(Table2[[#This Row],[Description]],'Actuals Lookup'!D:F,3,0),VLOOKUP(Table2[[#This Row],[Manual Cat Value]],Lookup!A:B,2,0))</f>
        <v>Restaurants</v>
      </c>
      <c r="G11283" t="s">
        <v>26</v>
      </c>
      <c r="H11283" s="8" t="s">
        <v>25</v>
      </c>
      <c r="I11283" s="8"/>
      <c r="O11283" t="str">
        <f>LEFT(Table2[[#This Row],[Description]],75)</f>
        <v>Tavern 4 &amp; 5</v>
      </c>
    </row>
    <row r="11284" spans="1:15" hidden="1">
      <c r="A11284">
        <v>202404</v>
      </c>
      <c r="B11284" s="6">
        <v>45395</v>
      </c>
      <c r="C11284" t="s">
        <v>5160</v>
      </c>
      <c r="D11284" t="s">
        <v>5330</v>
      </c>
      <c r="E11284">
        <v>25.67</v>
      </c>
      <c r="F11284" s="2" t="str">
        <f>IF(Table2[[#This Row],[Manual Cat Value]]="",VLOOKUP(Table2[[#This Row],[Description]],'Actuals Lookup'!D:F,3,0),VLOOKUP(Table2[[#This Row],[Manual Cat Value]],Lookup!A:B,2,0))</f>
        <v>Day Care</v>
      </c>
      <c r="G11284" t="s">
        <v>67</v>
      </c>
      <c r="H11284" s="8" t="s">
        <v>19</v>
      </c>
      <c r="I11284" s="8"/>
      <c r="O11284" t="str">
        <f>LEFT(Table2[[#This Row],[Description]],75)</f>
        <v>Treering</v>
      </c>
    </row>
    <row r="11285" spans="1:15" hidden="1">
      <c r="A11285">
        <v>202404</v>
      </c>
      <c r="B11285" s="6">
        <v>45396</v>
      </c>
      <c r="C11285" t="s">
        <v>5160</v>
      </c>
      <c r="D11285" t="s">
        <v>5331</v>
      </c>
      <c r="E11285">
        <v>170.23</v>
      </c>
      <c r="F11285" s="2" t="str">
        <f>IF(Table2[[#This Row],[Manual Cat Value]]="",VLOOKUP(Table2[[#This Row],[Description]],'Actuals Lookup'!D:F,3,0),VLOOKUP(Table2[[#This Row],[Manual Cat Value]],Lookup!A:B,2,0))</f>
        <v>Shopping</v>
      </c>
      <c r="G11285" t="s">
        <v>4840</v>
      </c>
      <c r="H11285" s="8" t="s">
        <v>36</v>
      </c>
      <c r="I11285" s="8"/>
      <c r="O11285" t="str">
        <f>LEFT(Table2[[#This Row],[Description]],75)</f>
        <v>Aplpay Crate &amp; Barrenorthbrook Il</v>
      </c>
    </row>
    <row r="11286" spans="1:15" hidden="1">
      <c r="A11286">
        <v>202404</v>
      </c>
      <c r="B11286" s="6">
        <v>45396</v>
      </c>
      <c r="C11286" t="s">
        <v>5160</v>
      </c>
      <c r="D11286" t="s">
        <v>453</v>
      </c>
      <c r="E11286">
        <v>3.35</v>
      </c>
      <c r="F11286" s="2" t="str">
        <f>IF(Table2[[#This Row],[Manual Cat Value]]="",VLOOKUP(Table2[[#This Row],[Description]],'Actuals Lookup'!D:F,3,0),VLOOKUP(Table2[[#This Row],[Manual Cat Value]],Lookup!A:B,2,0))</f>
        <v>Restaurants</v>
      </c>
      <c r="G11286" t="s">
        <v>26</v>
      </c>
      <c r="I11286" s="8"/>
      <c r="O11286" t="str">
        <f>LEFT(Table2[[#This Row],[Description]],75)</f>
        <v>Caribou Coffee</v>
      </c>
    </row>
    <row r="11287" spans="1:15" hidden="1">
      <c r="A11287">
        <v>202404</v>
      </c>
      <c r="B11287" s="6">
        <v>45396</v>
      </c>
      <c r="C11287" t="s">
        <v>5160</v>
      </c>
      <c r="D11287" t="s">
        <v>5332</v>
      </c>
      <c r="E11287">
        <v>51.24</v>
      </c>
      <c r="F11287" s="2" t="str">
        <f>IF(Table2[[#This Row],[Manual Cat Value]]="",VLOOKUP(Table2[[#This Row],[Description]],'Actuals Lookup'!D:F,3,0),VLOOKUP(Table2[[#This Row],[Manual Cat Value]],Lookup!A:B,2,0))</f>
        <v>Restaurants</v>
      </c>
      <c r="G11287" t="s">
        <v>26</v>
      </c>
      <c r="H11287" s="8" t="s">
        <v>25</v>
      </c>
      <c r="I11287" s="8"/>
      <c r="O11287" t="str">
        <f>LEFT(Table2[[#This Row],[Description]],75)</f>
        <v>Dd *lagotacos San Francisco Ca</v>
      </c>
    </row>
    <row r="11288" spans="1:15" hidden="1">
      <c r="A11288">
        <v>202404</v>
      </c>
      <c r="B11288" s="6">
        <v>45396</v>
      </c>
      <c r="C11288" t="s">
        <v>5160</v>
      </c>
      <c r="D11288" t="s">
        <v>5333</v>
      </c>
      <c r="E11288">
        <v>19.62</v>
      </c>
      <c r="F11288" s="2" t="str">
        <f>IF(Table2[[#This Row],[Manual Cat Value]]="",VLOOKUP(Table2[[#This Row],[Description]],'Actuals Lookup'!D:F,3,0),VLOOKUP(Table2[[#This Row],[Manual Cat Value]],Lookup!A:B,2,0))</f>
        <v>Shopping</v>
      </c>
      <c r="G11288" t="s">
        <v>23</v>
      </c>
      <c r="H11288" s="8" t="s">
        <v>36</v>
      </c>
      <c r="I11288" s="8"/>
      <c r="O11288" t="str">
        <f>LEFT(Table2[[#This Row],[Description]],75)</f>
        <v>Ls South Lake Cycle Excelsior Mn</v>
      </c>
    </row>
    <row r="11289" spans="1:15" hidden="1">
      <c r="A11289">
        <v>202404</v>
      </c>
      <c r="B11289" s="6">
        <v>45396</v>
      </c>
      <c r="C11289" t="s">
        <v>5160</v>
      </c>
      <c r="D11289" t="s">
        <v>5334</v>
      </c>
      <c r="E11289">
        <v>47.46</v>
      </c>
      <c r="F11289" s="2" t="str">
        <f>IF(Table2[[#This Row],[Manual Cat Value]]="",VLOOKUP(Table2[[#This Row],[Description]],'Actuals Lookup'!D:F,3,0),VLOOKUP(Table2[[#This Row],[Manual Cat Value]],Lookup!A:B,2,0))</f>
        <v>Groceries</v>
      </c>
      <c r="G11289" t="s">
        <v>28</v>
      </c>
      <c r="H11289" s="8" t="s">
        <v>27</v>
      </c>
      <c r="I11289" s="8"/>
      <c r="O11289" t="str">
        <f>LEFT(Table2[[#This Row],[Description]],75)</f>
        <v>Mackenthun's Fine Fominnetrista Mn</v>
      </c>
    </row>
    <row r="11290" spans="1:15" hidden="1">
      <c r="A11290">
        <v>202404</v>
      </c>
      <c r="B11290" s="6">
        <v>45396</v>
      </c>
      <c r="C11290" t="s">
        <v>3938</v>
      </c>
      <c r="D11290" t="s">
        <v>1462</v>
      </c>
      <c r="E11290">
        <v>45</v>
      </c>
      <c r="F11290" s="2" t="str">
        <f>IF(Table2[[#This Row],[Manual Cat Value]]="",VLOOKUP(Table2[[#This Row],[Description]],'Actuals Lookup'!D:F,3,0),VLOOKUP(Table2[[#This Row],[Manual Cat Value]],Lookup!A:B,2,0))</f>
        <v>Utilities</v>
      </c>
      <c r="I11290" s="8"/>
      <c r="O11290" t="str">
        <f>LEFT(Table2[[#This Row],[Description]],75)</f>
        <v>Payment to CenturyLink</v>
      </c>
    </row>
    <row r="11291" spans="1:15" hidden="1">
      <c r="A11291">
        <v>202404</v>
      </c>
      <c r="B11291" s="6">
        <v>45396</v>
      </c>
      <c r="C11291" t="s">
        <v>2519</v>
      </c>
      <c r="D11291" t="s">
        <v>4343</v>
      </c>
      <c r="E11291">
        <v>-3345.75</v>
      </c>
      <c r="F11291" s="2" t="str">
        <f>IF(Table2[[#This Row],[Manual Cat Value]]="",VLOOKUP(Table2[[#This Row],[Description]],'Actuals Lookup'!D:F,3,0),VLOOKUP(Table2[[#This Row],[Manual Cat Value]],Lookup!A:B,2,0))</f>
        <v>Jeff</v>
      </c>
      <c r="I11291" s="8"/>
      <c r="O11291" t="str">
        <f>LEFT(Table2[[#This Row],[Description]],75)</f>
        <v>Salary/Regular Income from TriNet</v>
      </c>
    </row>
    <row r="11292" spans="1:15" hidden="1">
      <c r="A11292">
        <v>202404</v>
      </c>
      <c r="B11292" s="6">
        <v>45396</v>
      </c>
      <c r="C11292" t="s">
        <v>5160</v>
      </c>
      <c r="D11292" t="s">
        <v>5335</v>
      </c>
      <c r="E11292">
        <v>92.12</v>
      </c>
      <c r="F11292" s="2" t="str">
        <f>IF(Table2[[#This Row],[Manual Cat Value]]="",VLOOKUP(Table2[[#This Row],[Description]],'Actuals Lookup'!D:F,3,0),VLOOKUP(Table2[[#This Row],[Manual Cat Value]],Lookup!A:B,2,0))</f>
        <v>Healthcare</v>
      </c>
      <c r="G11292" t="s">
        <v>21</v>
      </c>
      <c r="H11292" s="8" t="s">
        <v>47</v>
      </c>
      <c r="I11292" s="8"/>
      <c r="O11292" t="str">
        <f>LEFT(Table2[[#This Row],[Description]],75)</f>
        <v>Sp Dr. Dennis Gross New York Ny</v>
      </c>
    </row>
    <row r="11293" spans="1:15" hidden="1">
      <c r="A11293">
        <v>202404</v>
      </c>
      <c r="B11293" s="6">
        <v>45396</v>
      </c>
      <c r="C11293" t="s">
        <v>5160</v>
      </c>
      <c r="D11293" t="s">
        <v>5335</v>
      </c>
      <c r="E11293">
        <v>120.3</v>
      </c>
      <c r="F11293" s="2" t="str">
        <f>IF(Table2[[#This Row],[Manual Cat Value]]="",VLOOKUP(Table2[[#This Row],[Description]],'Actuals Lookup'!D:F,3,0),VLOOKUP(Table2[[#This Row],[Manual Cat Value]],Lookup!A:B,2,0))</f>
        <v>Healthcare</v>
      </c>
      <c r="G11293" t="s">
        <v>21</v>
      </c>
      <c r="H11293" s="8" t="s">
        <v>47</v>
      </c>
      <c r="I11293" s="8"/>
      <c r="O11293" t="str">
        <f>LEFT(Table2[[#This Row],[Description]],75)</f>
        <v>Sp Dr. Dennis Gross New York Ny</v>
      </c>
    </row>
    <row r="11294" spans="1:15" hidden="1">
      <c r="A11294">
        <v>202404</v>
      </c>
      <c r="B11294" s="6">
        <v>45396</v>
      </c>
      <c r="C11294" t="s">
        <v>5160</v>
      </c>
      <c r="D11294" t="s">
        <v>2002</v>
      </c>
      <c r="E11294">
        <v>423.62</v>
      </c>
      <c r="F11294" s="2" t="str">
        <f>IF(Table2[[#This Row],[Manual Cat Value]]="",VLOOKUP(Table2[[#This Row],[Description]],'Actuals Lookup'!D:F,3,0),VLOOKUP(Table2[[#This Row],[Manual Cat Value]],Lookup!A:B,2,0))</f>
        <v>House Maintenance</v>
      </c>
      <c r="G11294" t="s">
        <v>4840</v>
      </c>
      <c r="H11294" s="8" t="s">
        <v>1</v>
      </c>
      <c r="I11294" s="8"/>
      <c r="O11294" t="str">
        <f>LEFT(Table2[[#This Row],[Description]],75)</f>
        <v>True Value</v>
      </c>
    </row>
    <row r="11295" spans="1:15" hidden="1">
      <c r="A11295">
        <v>202404</v>
      </c>
      <c r="B11295" s="6">
        <v>45397</v>
      </c>
      <c r="C11295" t="s">
        <v>5160</v>
      </c>
      <c r="D11295" t="s">
        <v>5331</v>
      </c>
      <c r="E11295">
        <v>18.48</v>
      </c>
      <c r="F11295" s="2" t="str">
        <f>IF(Table2[[#This Row],[Manual Cat Value]]="",VLOOKUP(Table2[[#This Row],[Description]],'Actuals Lookup'!D:F,3,0),VLOOKUP(Table2[[#This Row],[Manual Cat Value]],Lookup!A:B,2,0))</f>
        <v>Shopping</v>
      </c>
      <c r="G11295" t="s">
        <v>4840</v>
      </c>
      <c r="H11295" s="8" t="s">
        <v>36</v>
      </c>
      <c r="I11295" s="8"/>
      <c r="O11295" t="str">
        <f>LEFT(Table2[[#This Row],[Description]],75)</f>
        <v>Aplpay Crate &amp; Barrenorthbrook Il</v>
      </c>
    </row>
    <row r="11296" spans="1:15" hidden="1">
      <c r="A11296">
        <v>202404</v>
      </c>
      <c r="B11296" s="6">
        <v>45397</v>
      </c>
      <c r="C11296" t="s">
        <v>5160</v>
      </c>
      <c r="D11296" t="s">
        <v>5336</v>
      </c>
      <c r="E11296">
        <v>17.329999999999998</v>
      </c>
      <c r="F11296" s="2" t="str">
        <f>IF(Table2[[#This Row],[Manual Cat Value]]="",VLOOKUP(Table2[[#This Row],[Description]],'Actuals Lookup'!D:F,3,0),VLOOKUP(Table2[[#This Row],[Manual Cat Value]],Lookup!A:B,2,0))</f>
        <v>House Maintenance</v>
      </c>
      <c r="G11296" t="s">
        <v>4840</v>
      </c>
      <c r="H11296" s="8" t="s">
        <v>1</v>
      </c>
      <c r="I11296" s="8"/>
      <c r="O11296" t="str">
        <f>LEFT(Table2[[#This Row],[Description]],75)</f>
        <v>Aplpay Merlins Ace Hchanhassen Mn</v>
      </c>
    </row>
    <row r="11297" spans="1:15" hidden="1">
      <c r="A11297">
        <v>202404</v>
      </c>
      <c r="B11297" s="6">
        <v>45397</v>
      </c>
      <c r="C11297" t="s">
        <v>5160</v>
      </c>
      <c r="D11297" t="s">
        <v>1014</v>
      </c>
      <c r="E11297">
        <v>29.2</v>
      </c>
      <c r="F11297" s="2" t="str">
        <f>IF(Table2[[#This Row],[Manual Cat Value]]="",VLOOKUP(Table2[[#This Row],[Description]],'Actuals Lookup'!D:F,3,0),VLOOKUP(Table2[[#This Row],[Manual Cat Value]],Lookup!A:B,2,0))</f>
        <v>Restaurants</v>
      </c>
      <c r="G11297" t="s">
        <v>26</v>
      </c>
      <c r="I11297" s="8"/>
      <c r="O11297" t="str">
        <f>LEFT(Table2[[#This Row],[Description]],75)</f>
        <v>Jimmy John's</v>
      </c>
    </row>
    <row r="11298" spans="1:15" hidden="1">
      <c r="A11298">
        <v>202403</v>
      </c>
      <c r="B11298" s="6">
        <v>45356</v>
      </c>
      <c r="C11298" t="s">
        <v>5160</v>
      </c>
      <c r="D11298" t="s">
        <v>703</v>
      </c>
      <c r="E11298">
        <v>5.6</v>
      </c>
      <c r="F11298" s="2" t="str">
        <f>IF(Table2[[#This Row],[Manual Cat Value]]="",VLOOKUP(Table2[[#This Row],[Description]],'Actuals Lookup'!D:F,3,0),VLOOKUP(Table2[[#This Row],[Manual Cat Value]],Lookup!A:B,2,0))</f>
        <v>Delete</v>
      </c>
      <c r="G11298" t="s">
        <v>67</v>
      </c>
      <c r="I11298" s="8"/>
      <c r="O11298" t="str">
        <f>LEFT(Table2[[#This Row],[Description]],75)</f>
        <v>Delta Air Lines</v>
      </c>
    </row>
    <row r="11299" spans="1:15" hidden="1">
      <c r="A11299">
        <v>202404</v>
      </c>
      <c r="B11299" s="6">
        <v>45397</v>
      </c>
      <c r="C11299" t="s">
        <v>5160</v>
      </c>
      <c r="D11299" t="s">
        <v>1626</v>
      </c>
      <c r="E11299">
        <v>10</v>
      </c>
      <c r="F11299" s="2" t="str">
        <f>IF(Table2[[#This Row],[Manual Cat Value]]="",VLOOKUP(Table2[[#This Row],[Description]],'Actuals Lookup'!D:F,3,0),VLOOKUP(Table2[[#This Row],[Manual Cat Value]],Lookup!A:B,2,0))</f>
        <v>Shopping</v>
      </c>
      <c r="G11299" t="s">
        <v>31</v>
      </c>
      <c r="I11299" s="8"/>
      <c r="O11299" t="str">
        <f>LEFT(Table2[[#This Row],[Description]],75)</f>
        <v>Scholastic Corporation</v>
      </c>
    </row>
    <row r="11300" spans="1:15" hidden="1">
      <c r="A11300">
        <v>202404</v>
      </c>
      <c r="B11300" s="6">
        <v>45398</v>
      </c>
      <c r="C11300" t="s">
        <v>5160</v>
      </c>
      <c r="D11300" t="s">
        <v>4870</v>
      </c>
      <c r="E11300">
        <v>11.22</v>
      </c>
      <c r="F11300" s="2" t="str">
        <f>IF(Table2[[#This Row],[Manual Cat Value]]="",VLOOKUP(Table2[[#This Row],[Description]],'Actuals Lookup'!D:F,3,0),VLOOKUP(Table2[[#This Row],[Manual Cat Value]],Lookup!A:B,2,0))</f>
        <v>Restaurants</v>
      </c>
      <c r="G11300" t="s">
        <v>26</v>
      </c>
      <c r="I11300" s="8"/>
      <c r="O11300" t="str">
        <f>LEFT(Table2[[#This Row],[Description]],75)</f>
        <v>Aplpay Wayzata Cafe Wayzata Mn</v>
      </c>
    </row>
    <row r="11301" spans="1:15" hidden="1">
      <c r="A11301">
        <v>202404</v>
      </c>
      <c r="B11301" s="6">
        <v>45398</v>
      </c>
      <c r="C11301" t="s">
        <v>3938</v>
      </c>
      <c r="D11301" t="s">
        <v>2002</v>
      </c>
      <c r="E11301">
        <v>33.340000000000003</v>
      </c>
      <c r="F11301" s="2" t="str">
        <f>IF(Table2[[#This Row],[Manual Cat Value]]="",VLOOKUP(Table2[[#This Row],[Description]],'Actuals Lookup'!D:F,3,0),VLOOKUP(Table2[[#This Row],[Manual Cat Value]],Lookup!A:B,2,0))</f>
        <v>House Maintenance</v>
      </c>
      <c r="H11301" s="8" t="s">
        <v>1</v>
      </c>
      <c r="I11301" s="8"/>
      <c r="O11301" t="str">
        <f>LEFT(Table2[[#This Row],[Description]],75)</f>
        <v>True Value</v>
      </c>
    </row>
    <row r="11302" spans="1:15" hidden="1">
      <c r="A11302">
        <v>202404</v>
      </c>
      <c r="B11302" s="6">
        <v>45398</v>
      </c>
      <c r="C11302" t="s">
        <v>5160</v>
      </c>
      <c r="D11302" t="s">
        <v>2002</v>
      </c>
      <c r="E11302">
        <v>-20.61</v>
      </c>
      <c r="F11302" s="2" t="str">
        <f>IF(Table2[[#This Row],[Manual Cat Value]]="",VLOOKUP(Table2[[#This Row],[Description]],'Actuals Lookup'!D:F,3,0),VLOOKUP(Table2[[#This Row],[Manual Cat Value]],Lookup!A:B,2,0))</f>
        <v>House Maintenance</v>
      </c>
      <c r="G11302" t="s">
        <v>4840</v>
      </c>
      <c r="H11302" s="8" t="s">
        <v>1</v>
      </c>
      <c r="I11302" s="8"/>
      <c r="O11302" t="str">
        <f>LEFT(Table2[[#This Row],[Description]],75)</f>
        <v>True Value</v>
      </c>
    </row>
    <row r="11303" spans="1:15" hidden="1">
      <c r="A11303">
        <v>202404</v>
      </c>
      <c r="B11303" s="6">
        <v>45398</v>
      </c>
      <c r="C11303" t="s">
        <v>2519</v>
      </c>
      <c r="D11303" t="s">
        <v>5337</v>
      </c>
      <c r="E11303">
        <v>346</v>
      </c>
      <c r="F11303" s="2" t="str">
        <f>IF(Table2[[#This Row],[Manual Cat Value]]="",VLOOKUP(Table2[[#This Row],[Description]],'Actuals Lookup'!D:F,3,0),VLOOKUP(Table2[[#This Row],[Manual Cat Value]],Lookup!A:B,2,0))</f>
        <v>Day Care</v>
      </c>
      <c r="H11303" s="8" t="s">
        <v>19</v>
      </c>
      <c r="I11303" s="8"/>
      <c r="O11303" t="str">
        <f>LEFT(Table2[[#This Row],[Description]],75)</f>
        <v>Withdrawal ACH MHCHILDCARELLC TYPE: DUES ID: XX8198 CO: MHCHILDCARELLC Entr</v>
      </c>
    </row>
    <row r="11304" spans="1:15" hidden="1">
      <c r="A11304">
        <v>202404</v>
      </c>
      <c r="B11304" s="6">
        <v>45399</v>
      </c>
      <c r="C11304" t="s">
        <v>5160</v>
      </c>
      <c r="D11304" t="s">
        <v>5338</v>
      </c>
      <c r="E11304">
        <v>46.74</v>
      </c>
      <c r="F11304" s="2" t="str">
        <f>IF(Table2[[#This Row],[Manual Cat Value]]="",VLOOKUP(Table2[[#This Row],[Description]],'Actuals Lookup'!D:F,3,0),VLOOKUP(Table2[[#This Row],[Manual Cat Value]],Lookup!A:B,2,0))</f>
        <v>Restaurants</v>
      </c>
      <c r="G11304" t="s">
        <v>26</v>
      </c>
      <c r="H11304" s="8" t="s">
        <v>25</v>
      </c>
      <c r="I11304" s="8"/>
      <c r="O11304" t="str">
        <f>LEFT(Table2[[#This Row],[Description]],75)</f>
        <v>Aplpay Crisp &amp; Greenwayzata Mn</v>
      </c>
    </row>
    <row r="11305" spans="1:15" hidden="1">
      <c r="A11305">
        <v>202404</v>
      </c>
      <c r="B11305" s="6">
        <v>45399</v>
      </c>
      <c r="C11305" t="s">
        <v>5160</v>
      </c>
      <c r="D11305" t="s">
        <v>854</v>
      </c>
      <c r="E11305">
        <v>-496</v>
      </c>
      <c r="F11305" s="2" t="str">
        <f>IF(Table2[[#This Row],[Manual Cat Value]]="",VLOOKUP(Table2[[#This Row],[Description]],'Actuals Lookup'!D:F,3,0),VLOOKUP(Table2[[#This Row],[Manual Cat Value]],Lookup!A:B,2,0))</f>
        <v>Shopping</v>
      </c>
      <c r="G11305" t="s">
        <v>21</v>
      </c>
      <c r="I11305" s="8"/>
      <c r="O11305" t="str">
        <f>LEFT(Table2[[#This Row],[Description]],75)</f>
        <v>Free Fly Apparel</v>
      </c>
    </row>
    <row r="11306" spans="1:15" hidden="1">
      <c r="A11306">
        <v>202404</v>
      </c>
      <c r="B11306" s="6">
        <v>45399</v>
      </c>
      <c r="C11306" t="s">
        <v>5160</v>
      </c>
      <c r="D11306" t="s">
        <v>1083</v>
      </c>
      <c r="E11306">
        <v>50.39</v>
      </c>
      <c r="F11306" s="2" t="str">
        <f>IF(Table2[[#This Row],[Manual Cat Value]]="",VLOOKUP(Table2[[#This Row],[Description]],'Actuals Lookup'!D:F,3,0),VLOOKUP(Table2[[#This Row],[Manual Cat Value]],Lookup!A:B,2,0))</f>
        <v>Transportation</v>
      </c>
      <c r="G11306" t="s">
        <v>23</v>
      </c>
      <c r="I11306" s="8"/>
      <c r="O11306" t="str">
        <f>LEFT(Table2[[#This Row],[Description]],75)</f>
        <v>Kwik Trip</v>
      </c>
    </row>
    <row r="11307" spans="1:15" hidden="1">
      <c r="A11307">
        <v>202404</v>
      </c>
      <c r="B11307" s="6">
        <v>45400</v>
      </c>
      <c r="C11307" t="s">
        <v>5160</v>
      </c>
      <c r="D11307" t="s">
        <v>5331</v>
      </c>
      <c r="E11307">
        <v>-13.85</v>
      </c>
      <c r="F11307" s="2" t="str">
        <f>IF(Table2[[#This Row],[Manual Cat Value]]="",VLOOKUP(Table2[[#This Row],[Description]],'Actuals Lookup'!D:F,3,0),VLOOKUP(Table2[[#This Row],[Manual Cat Value]],Lookup!A:B,2,0))</f>
        <v>Shopping</v>
      </c>
      <c r="G11307" t="s">
        <v>4722</v>
      </c>
      <c r="H11307" s="8" t="s">
        <v>36</v>
      </c>
      <c r="I11307" s="8"/>
      <c r="O11307" t="str">
        <f>LEFT(Table2[[#This Row],[Description]],75)</f>
        <v>Aplpay Crate &amp; Barrenorthbrook Il</v>
      </c>
    </row>
    <row r="11308" spans="1:15" hidden="1">
      <c r="A11308">
        <v>202404</v>
      </c>
      <c r="B11308" s="6">
        <v>45400</v>
      </c>
      <c r="C11308" t="s">
        <v>5160</v>
      </c>
      <c r="D11308" t="s">
        <v>5339</v>
      </c>
      <c r="E11308">
        <v>50</v>
      </c>
      <c r="F11308" s="2" t="str">
        <f>IF(Table2[[#This Row],[Manual Cat Value]]="",VLOOKUP(Table2[[#This Row],[Description]],'Actuals Lookup'!D:F,3,0),VLOOKUP(Table2[[#This Row],[Manual Cat Value]],Lookup!A:B,2,0))</f>
        <v>Travel</v>
      </c>
      <c r="G11308" t="s">
        <v>21</v>
      </c>
      <c r="H11308" s="8" t="s">
        <v>52</v>
      </c>
      <c r="I11308" s="8"/>
      <c r="O11308" t="str">
        <f>LEFT(Table2[[#This Row],[Description]],75)</f>
        <v>Creede Snowshoe Lodgcreede Co</v>
      </c>
    </row>
    <row r="11309" spans="1:15" hidden="1">
      <c r="A11309">
        <v>202404</v>
      </c>
      <c r="B11309" s="6">
        <v>45400</v>
      </c>
      <c r="C11309" t="s">
        <v>5160</v>
      </c>
      <c r="D11309" t="s">
        <v>5322</v>
      </c>
      <c r="E11309">
        <v>104.28</v>
      </c>
      <c r="F11309" s="2" t="str">
        <f>IF(Table2[[#This Row],[Manual Cat Value]]="",VLOOKUP(Table2[[#This Row],[Description]],'Actuals Lookup'!D:F,3,0),VLOOKUP(Table2[[#This Row],[Manual Cat Value]],Lookup!A:B,2,0))</f>
        <v>Groceries</v>
      </c>
      <c r="G11309" t="s">
        <v>28</v>
      </c>
      <c r="H11309" s="8" t="s">
        <v>27</v>
      </c>
      <c r="I11309" s="8"/>
      <c r="O11309" t="str">
        <f>LEFT(Table2[[#This Row],[Description]],75)</f>
        <v>Hungryroot</v>
      </c>
    </row>
    <row r="11310" spans="1:15" hidden="1">
      <c r="A11310">
        <v>202404</v>
      </c>
      <c r="B11310" s="6">
        <v>45400</v>
      </c>
      <c r="C11310" t="s">
        <v>5160</v>
      </c>
      <c r="D11310" t="s">
        <v>5340</v>
      </c>
      <c r="E11310">
        <v>168</v>
      </c>
      <c r="F11310" s="2" t="str">
        <f>IF(Table2[[#This Row],[Manual Cat Value]]="",VLOOKUP(Table2[[#This Row],[Description]],'Actuals Lookup'!D:F,3,0),VLOOKUP(Table2[[#This Row],[Manual Cat Value]],Lookup!A:B,2,0))</f>
        <v>Shopping</v>
      </c>
      <c r="G11310" t="s">
        <v>26</v>
      </c>
      <c r="H11310" s="8" t="s">
        <v>36</v>
      </c>
      <c r="I11310" s="8"/>
      <c r="O11310" t="str">
        <f>LEFT(Table2[[#This Row],[Description]],75)</f>
        <v>Jaxen Grey - Edina 0edina Mn</v>
      </c>
    </row>
    <row r="11311" spans="1:15" hidden="1">
      <c r="A11311">
        <v>202404</v>
      </c>
      <c r="B11311" s="6">
        <v>45400</v>
      </c>
      <c r="C11311" t="s">
        <v>2519</v>
      </c>
      <c r="D11311" t="s">
        <v>5341</v>
      </c>
      <c r="E11311">
        <v>650</v>
      </c>
      <c r="F11311" s="2" t="str">
        <f>IF(Table2[[#This Row],[Manual Cat Value]]="",VLOOKUP(Table2[[#This Row],[Description]],'Actuals Lookup'!D:F,3,0),VLOOKUP(Table2[[#This Row],[Manual Cat Value]],Lookup!A:B,2,0))</f>
        <v>Day Care</v>
      </c>
      <c r="H11311" s="8" t="s">
        <v>19</v>
      </c>
      <c r="I11311" s="8"/>
      <c r="O11311" t="str">
        <f>LEFT(Table2[[#This Row],[Description]],75)</f>
        <v>Withdrawal ACH MN DIR ACH TYPE: CONTRIB ID: XX7162 CO: MN DIR ACH NAME: XX2</v>
      </c>
    </row>
    <row r="11312" spans="1:15" hidden="1">
      <c r="A11312">
        <v>202404</v>
      </c>
      <c r="B11312" s="6">
        <v>45401</v>
      </c>
      <c r="C11312" t="s">
        <v>5160</v>
      </c>
      <c r="D11312" t="s">
        <v>5331</v>
      </c>
      <c r="E11312">
        <v>108.9</v>
      </c>
      <c r="F11312" s="2" t="str">
        <f>IF(Table2[[#This Row],[Manual Cat Value]]="",VLOOKUP(Table2[[#This Row],[Description]],'Actuals Lookup'!D:F,3,0),VLOOKUP(Table2[[#This Row],[Manual Cat Value]],Lookup!A:B,2,0))</f>
        <v>Shopping</v>
      </c>
      <c r="G11312" t="s">
        <v>4840</v>
      </c>
      <c r="H11312" s="8" t="s">
        <v>36</v>
      </c>
      <c r="I11312" s="8"/>
      <c r="O11312" t="str">
        <f>LEFT(Table2[[#This Row],[Description]],75)</f>
        <v>Aplpay Crate &amp; Barrenorthbrook Il</v>
      </c>
    </row>
    <row r="11313" spans="1:15" hidden="1">
      <c r="A11313">
        <v>202404</v>
      </c>
      <c r="B11313" s="6">
        <v>45401</v>
      </c>
      <c r="C11313" t="s">
        <v>5160</v>
      </c>
      <c r="D11313" t="s">
        <v>5342</v>
      </c>
      <c r="E11313">
        <v>145</v>
      </c>
      <c r="F11313" s="2" t="str">
        <f>IF(Table2[[#This Row],[Manual Cat Value]]="",VLOOKUP(Table2[[#This Row],[Description]],'Actuals Lookup'!D:F,3,0),VLOOKUP(Table2[[#This Row],[Manual Cat Value]],Lookup!A:B,2,0))</f>
        <v>Shopping</v>
      </c>
      <c r="G11313" t="s">
        <v>21</v>
      </c>
      <c r="H11313" s="8" t="s">
        <v>36</v>
      </c>
      <c r="I11313" s="8"/>
      <c r="O11313" t="str">
        <f>LEFT(Table2[[#This Row],[Description]],75)</f>
        <v>Ls The Lakes Runningexcelsior Mn</v>
      </c>
    </row>
    <row r="11314" spans="1:15" hidden="1">
      <c r="A11314">
        <v>202404</v>
      </c>
      <c r="B11314" s="6">
        <v>45394</v>
      </c>
      <c r="C11314" t="s">
        <v>5160</v>
      </c>
      <c r="D11314" t="s">
        <v>703</v>
      </c>
      <c r="E11314">
        <v>647.20000000000005</v>
      </c>
      <c r="F11314" s="2" t="str">
        <f>IF(Table2[[#This Row],[Manual Cat Value]]="",VLOOKUP(Table2[[#This Row],[Description]],'Actuals Lookup'!D:F,3,0),VLOOKUP(Table2[[#This Row],[Manual Cat Value]],Lookup!A:B,2,0))</f>
        <v>Delete</v>
      </c>
      <c r="G11314" t="s">
        <v>67</v>
      </c>
      <c r="I11314" s="8"/>
      <c r="O11314" t="str">
        <f>LEFT(Table2[[#This Row],[Description]],75)</f>
        <v>Delta Air Lines</v>
      </c>
    </row>
    <row r="11315" spans="1:15" hidden="1">
      <c r="A11315">
        <v>202404</v>
      </c>
      <c r="B11315" s="6">
        <v>45401</v>
      </c>
      <c r="C11315" t="s">
        <v>2519</v>
      </c>
      <c r="D11315" t="s">
        <v>1955</v>
      </c>
      <c r="E11315">
        <v>2.99</v>
      </c>
      <c r="F11315" s="2" t="str">
        <f>IF(Table2[[#This Row],[Manual Cat Value]]="",VLOOKUP(Table2[[#This Row],[Description]],'Actuals Lookup'!D:F,3,0),VLOOKUP(Table2[[#This Row],[Manual Cat Value]],Lookup!A:B,2,0))</f>
        <v>Shopping</v>
      </c>
      <c r="I11315" s="8"/>
      <c r="O11315" t="str">
        <f>LEFT(Table2[[#This Row],[Description]],75)</f>
        <v>Transfer to PayPal</v>
      </c>
    </row>
    <row r="11316" spans="1:15" hidden="1">
      <c r="A11316">
        <v>202404</v>
      </c>
      <c r="B11316" s="6">
        <v>45402</v>
      </c>
      <c r="C11316" t="s">
        <v>5160</v>
      </c>
      <c r="D11316" t="s">
        <v>103</v>
      </c>
      <c r="E11316">
        <v>145.65</v>
      </c>
      <c r="F11316" s="2" t="str">
        <f>IF(Table2[[#This Row],[Manual Cat Value]]="",VLOOKUP(Table2[[#This Row],[Description]],'Actuals Lookup'!D:F,3,0),VLOOKUP(Table2[[#This Row],[Manual Cat Value]],Lookup!A:B,2,0))</f>
        <v>Healthcare</v>
      </c>
      <c r="G11316" t="s">
        <v>28</v>
      </c>
      <c r="I11316" s="8"/>
      <c r="O11316" t="str">
        <f>LEFT(Table2[[#This Row],[Description]],75)</f>
        <v>Advocare</v>
      </c>
    </row>
    <row r="11317" spans="1:15" hidden="1">
      <c r="A11317">
        <v>202404</v>
      </c>
      <c r="B11317" s="6">
        <v>45402</v>
      </c>
      <c r="C11317" t="s">
        <v>5160</v>
      </c>
      <c r="D11317" t="s">
        <v>5331</v>
      </c>
      <c r="E11317">
        <v>13.85</v>
      </c>
      <c r="F11317" s="2" t="str">
        <f>IF(Table2[[#This Row],[Manual Cat Value]]="",VLOOKUP(Table2[[#This Row],[Description]],'Actuals Lookup'!D:F,3,0),VLOOKUP(Table2[[#This Row],[Manual Cat Value]],Lookup!A:B,2,0))</f>
        <v>Shopping</v>
      </c>
      <c r="G11317" t="s">
        <v>4840</v>
      </c>
      <c r="H11317" s="8" t="s">
        <v>36</v>
      </c>
      <c r="I11317" s="8"/>
      <c r="O11317" t="str">
        <f>LEFT(Table2[[#This Row],[Description]],75)</f>
        <v>Aplpay Crate &amp; Barrenorthbrook Il</v>
      </c>
    </row>
    <row r="11318" spans="1:15" hidden="1">
      <c r="A11318">
        <v>202404</v>
      </c>
      <c r="B11318" s="6">
        <v>45402</v>
      </c>
      <c r="C11318" t="s">
        <v>5160</v>
      </c>
      <c r="D11318" t="s">
        <v>5343</v>
      </c>
      <c r="E11318">
        <v>10.4</v>
      </c>
      <c r="F11318" s="2" t="str">
        <f>IF(Table2[[#This Row],[Manual Cat Value]]="",VLOOKUP(Table2[[#This Row],[Description]],'Actuals Lookup'!D:F,3,0),VLOOKUP(Table2[[#This Row],[Manual Cat Value]],Lookup!A:B,2,0))</f>
        <v>Entertainment</v>
      </c>
      <c r="G11318" t="s">
        <v>35</v>
      </c>
      <c r="H11318" s="8" t="s">
        <v>39</v>
      </c>
      <c r="I11318" s="8"/>
      <c r="O11318" t="str">
        <f>LEFT(Table2[[#This Row],[Description]],75)</f>
        <v>Aplpay Northwood Musminneapolis Mn</v>
      </c>
    </row>
    <row r="11319" spans="1:15" hidden="1">
      <c r="A11319">
        <v>202404</v>
      </c>
      <c r="B11319" s="6">
        <v>45402</v>
      </c>
      <c r="C11319" t="s">
        <v>5160</v>
      </c>
      <c r="D11319" t="s">
        <v>5344</v>
      </c>
      <c r="E11319">
        <v>10.85</v>
      </c>
      <c r="F11319" s="2" t="str">
        <f>IF(Table2[[#This Row],[Manual Cat Value]]="",VLOOKUP(Table2[[#This Row],[Description]],'Actuals Lookup'!D:F,3,0),VLOOKUP(Table2[[#This Row],[Manual Cat Value]],Lookup!A:B,2,0))</f>
        <v>Restaurants</v>
      </c>
      <c r="G11319" t="s">
        <v>26</v>
      </c>
      <c r="H11319" s="8" t="s">
        <v>25</v>
      </c>
      <c r="I11319" s="8"/>
      <c r="O11319" t="str">
        <f>LEFT(Table2[[#This Row],[Description]],75)</f>
        <v>Aplpay Tonzkitchen Minneapolis Mn</v>
      </c>
    </row>
    <row r="11320" spans="1:15" hidden="1">
      <c r="A11320">
        <v>202404</v>
      </c>
      <c r="B11320" s="6">
        <v>45402</v>
      </c>
      <c r="C11320" t="s">
        <v>5160</v>
      </c>
      <c r="D11320" t="s">
        <v>5345</v>
      </c>
      <c r="E11320">
        <v>4.62</v>
      </c>
      <c r="F11320" s="2" t="str">
        <f>IF(Table2[[#This Row],[Manual Cat Value]]="",VLOOKUP(Table2[[#This Row],[Description]],'Actuals Lookup'!D:F,3,0),VLOOKUP(Table2[[#This Row],[Manual Cat Value]],Lookup!A:B,2,0))</f>
        <v>Restaurants</v>
      </c>
      <c r="G11320" t="s">
        <v>35</v>
      </c>
      <c r="H11320" s="8" t="s">
        <v>25</v>
      </c>
      <c r="I11320" s="8"/>
      <c r="O11320" t="str">
        <f>LEFT(Table2[[#This Row],[Description]],75)</f>
        <v>Damico &amp; Sons-mill Cminneapolis Mn</v>
      </c>
    </row>
    <row r="11321" spans="1:15" hidden="1">
      <c r="A11321">
        <v>202404</v>
      </c>
      <c r="B11321" s="6">
        <v>45402</v>
      </c>
      <c r="C11321" t="s">
        <v>5160</v>
      </c>
      <c r="D11321" t="s">
        <v>1931</v>
      </c>
      <c r="E11321">
        <v>80.680000000000007</v>
      </c>
      <c r="F11321" s="2" t="str">
        <f>IF(Table2[[#This Row],[Manual Cat Value]]="",VLOOKUP(Table2[[#This Row],[Description]],'Actuals Lookup'!D:F,3,0),VLOOKUP(Table2[[#This Row],[Manual Cat Value]],Lookup!A:B,2,0))</f>
        <v>Groceries</v>
      </c>
      <c r="G11321" t="s">
        <v>28</v>
      </c>
      <c r="I11321" s="8"/>
      <c r="O11321" t="str">
        <f>LEFT(Table2[[#This Row],[Description]],75)</f>
        <v>Trader Joe's</v>
      </c>
    </row>
    <row r="11322" spans="1:15" hidden="1">
      <c r="A11322">
        <v>202404</v>
      </c>
      <c r="B11322" s="6">
        <v>45403</v>
      </c>
      <c r="C11322" t="s">
        <v>5160</v>
      </c>
      <c r="D11322" t="s">
        <v>96</v>
      </c>
      <c r="E11322">
        <v>3.22</v>
      </c>
      <c r="F11322" s="2" t="str">
        <f>IF(Table2[[#This Row],[Manual Cat Value]]="",VLOOKUP(Table2[[#This Row],[Description]],'Actuals Lookup'!D:F,3,0),VLOOKUP(Table2[[#This Row],[Manual Cat Value]],Lookup!A:B,2,0))</f>
        <v>House Maintenance</v>
      </c>
      <c r="G11322" t="s">
        <v>4840</v>
      </c>
      <c r="H11322" s="8" t="s">
        <v>1</v>
      </c>
      <c r="I11322" s="8"/>
      <c r="O11322" t="str">
        <f>LEFT(Table2[[#This Row],[Description]],75)</f>
        <v>Ace Hardware</v>
      </c>
    </row>
    <row r="11323" spans="1:15" hidden="1">
      <c r="A11323">
        <v>202404</v>
      </c>
      <c r="B11323" s="6">
        <v>45403</v>
      </c>
      <c r="C11323" t="s">
        <v>3938</v>
      </c>
      <c r="D11323" t="s">
        <v>5346</v>
      </c>
      <c r="E11323">
        <v>27.08</v>
      </c>
      <c r="F11323" s="2" t="str">
        <f>IF(Table2[[#This Row],[Manual Cat Value]]="",VLOOKUP(Table2[[#This Row],[Description]],'Actuals Lookup'!D:F,3,0),VLOOKUP(Table2[[#This Row],[Manual Cat Value]],Lookup!A:B,2,0))</f>
        <v>Amazon</v>
      </c>
      <c r="H11323" s="8" t="s">
        <v>37</v>
      </c>
      <c r="I11323" s="8"/>
      <c r="O11323" t="str">
        <f>LEFT(Table2[[#This Row],[Description]],75)</f>
        <v>AMZN Mktp US*NQ2W35GC3 Amzn.com/billWA REF #XX9216FZ3250ASW7</v>
      </c>
    </row>
    <row r="11324" spans="1:15" hidden="1">
      <c r="A11324">
        <v>202404</v>
      </c>
      <c r="B11324" s="6">
        <v>45403</v>
      </c>
      <c r="C11324" t="s">
        <v>3938</v>
      </c>
      <c r="D11324" t="s">
        <v>161</v>
      </c>
      <c r="E11324">
        <v>-168</v>
      </c>
      <c r="F11324" s="2" t="str">
        <f>IF(Table2[[#This Row],[Manual Cat Value]]="",VLOOKUP(Table2[[#This Row],[Description]],'Actuals Lookup'!D:F,3,0),VLOOKUP(Table2[[#This Row],[Manual Cat Value]],Lookup!A:B,2,0))</f>
        <v>Shopping</v>
      </c>
      <c r="I11324" s="8"/>
      <c r="O11324" t="str">
        <f>LEFT(Table2[[#This Row],[Description]],75)</f>
        <v>Anthropologie</v>
      </c>
    </row>
    <row r="11325" spans="1:15" hidden="1">
      <c r="A11325">
        <v>202404</v>
      </c>
      <c r="B11325" s="6">
        <v>45403</v>
      </c>
      <c r="C11325" t="s">
        <v>2519</v>
      </c>
      <c r="D11325" t="s">
        <v>4283</v>
      </c>
      <c r="E11325">
        <v>-108.5</v>
      </c>
      <c r="F11325" s="2" t="str">
        <f>IF(Table2[[#This Row],[Manual Cat Value]]="",VLOOKUP(Table2[[#This Row],[Description]],'Actuals Lookup'!D:F,3,0),VLOOKUP(Table2[[#This Row],[Manual Cat Value]],Lookup!A:B,2,0))</f>
        <v>Britney</v>
      </c>
      <c r="I11325" s="8"/>
      <c r="O11325" t="str">
        <f>LEFT(Table2[[#This Row],[Description]],75)</f>
        <v>Cargill Deposit</v>
      </c>
    </row>
    <row r="11326" spans="1:15" hidden="1">
      <c r="A11326">
        <v>202404</v>
      </c>
      <c r="B11326" s="6">
        <v>45403</v>
      </c>
      <c r="C11326" t="s">
        <v>5160</v>
      </c>
      <c r="D11326" t="s">
        <v>703</v>
      </c>
      <c r="E11326">
        <v>196.2</v>
      </c>
      <c r="F11326" s="2" t="str">
        <f>IF(Table2[[#This Row],[Manual Cat Value]]="",VLOOKUP(Table2[[#This Row],[Description]],'Actuals Lookup'!D:F,3,0),VLOOKUP(Table2[[#This Row],[Manual Cat Value]],Lookup!A:B,2,0))</f>
        <v>Delete</v>
      </c>
      <c r="G11326" t="s">
        <v>67</v>
      </c>
      <c r="I11326" s="8"/>
      <c r="O11326" t="str">
        <f>LEFT(Table2[[#This Row],[Description]],75)</f>
        <v>Delta Air Lines</v>
      </c>
    </row>
    <row r="11327" spans="1:15" hidden="1">
      <c r="A11327">
        <v>202404</v>
      </c>
      <c r="B11327" s="6">
        <v>45403</v>
      </c>
      <c r="C11327" t="s">
        <v>3938</v>
      </c>
      <c r="D11327" t="s">
        <v>4899</v>
      </c>
      <c r="E11327">
        <v>1.99</v>
      </c>
      <c r="F11327" s="2" t="str">
        <f>IF(Table2[[#This Row],[Manual Cat Value]]="",VLOOKUP(Table2[[#This Row],[Description]],'Actuals Lookup'!D:F,3,0),VLOOKUP(Table2[[#This Row],[Manual Cat Value]],Lookup!A:B,2,0))</f>
        <v>Utilities</v>
      </c>
      <c r="I11327" s="8"/>
      <c r="O11327" t="str">
        <f>LEFT(Table2[[#This Row],[Description]],75)</f>
        <v>Google Cloud Storage</v>
      </c>
    </row>
    <row r="11328" spans="1:15" hidden="1">
      <c r="A11328">
        <v>202404</v>
      </c>
      <c r="B11328" s="6">
        <v>45403</v>
      </c>
      <c r="C11328" t="s">
        <v>5160</v>
      </c>
      <c r="D11328" t="s">
        <v>5347</v>
      </c>
      <c r="E11328">
        <v>104.71</v>
      </c>
      <c r="F11328" s="2" t="str">
        <f>IF(Table2[[#This Row],[Manual Cat Value]]="",VLOOKUP(Table2[[#This Row],[Description]],'Actuals Lookup'!D:F,3,0),VLOOKUP(Table2[[#This Row],[Manual Cat Value]],Lookup!A:B,2,0))</f>
        <v>Restaurants</v>
      </c>
      <c r="G11328" t="s">
        <v>26</v>
      </c>
      <c r="H11328" s="8" t="s">
        <v>25</v>
      </c>
      <c r="I11328" s="8"/>
      <c r="O11328" t="str">
        <f>LEFT(Table2[[#This Row],[Description]],75)</f>
        <v>Lake &amp; Irving</v>
      </c>
    </row>
    <row r="11329" spans="1:15" hidden="1">
      <c r="A11329">
        <v>202404</v>
      </c>
      <c r="B11329" s="6">
        <v>45403</v>
      </c>
      <c r="C11329" t="s">
        <v>5160</v>
      </c>
      <c r="D11329" t="s">
        <v>5348</v>
      </c>
      <c r="E11329">
        <v>1.5</v>
      </c>
      <c r="F11329" s="2" t="str">
        <f>IF(Table2[[#This Row],[Manual Cat Value]]="",VLOOKUP(Table2[[#This Row],[Description]],'Actuals Lookup'!D:F,3,0),VLOOKUP(Table2[[#This Row],[Manual Cat Value]],Lookup!A:B,2,0))</f>
        <v>Transportation</v>
      </c>
      <c r="G11329" t="s">
        <v>35</v>
      </c>
      <c r="H11329" s="8" t="s">
        <v>22</v>
      </c>
      <c r="I11329" s="8"/>
      <c r="O11329" t="str">
        <f>LEFT(Table2[[#This Row],[Description]],75)</f>
        <v>Onstreet 8090 0x4870minneapolis Mn</v>
      </c>
    </row>
    <row r="11330" spans="1:15" hidden="1">
      <c r="A11330">
        <v>202404</v>
      </c>
      <c r="B11330" s="6">
        <v>45403</v>
      </c>
      <c r="C11330" t="s">
        <v>5160</v>
      </c>
      <c r="D11330" t="s">
        <v>5349</v>
      </c>
      <c r="E11330">
        <v>250</v>
      </c>
      <c r="F11330" s="2" t="str">
        <f>IF(Table2[[#This Row],[Manual Cat Value]]="",VLOOKUP(Table2[[#This Row],[Description]],'Actuals Lookup'!D:F,3,0),VLOOKUP(Table2[[#This Row],[Manual Cat Value]],Lookup!A:B,2,0))</f>
        <v>Shopping</v>
      </c>
      <c r="G11330" t="s">
        <v>29</v>
      </c>
      <c r="H11330" s="8" t="s">
        <v>36</v>
      </c>
      <c r="I11330" s="8"/>
      <c r="O11330" t="str">
        <f>LEFT(Table2[[#This Row],[Description]],75)</f>
        <v>Renewal Membership Fee</v>
      </c>
    </row>
    <row r="11331" spans="1:15" hidden="1">
      <c r="A11331">
        <v>202404</v>
      </c>
      <c r="B11331" s="6">
        <v>45403</v>
      </c>
      <c r="C11331" t="s">
        <v>5160</v>
      </c>
      <c r="D11331" t="s">
        <v>5350</v>
      </c>
      <c r="E11331">
        <v>50.99</v>
      </c>
      <c r="F11331" s="2" t="str">
        <f>IF(Table2[[#This Row],[Manual Cat Value]]="",VLOOKUP(Table2[[#This Row],[Description]],'Actuals Lookup'!D:F,3,0),VLOOKUP(Table2[[#This Row],[Manual Cat Value]],Lookup!A:B,2,0))</f>
        <v>Shopping</v>
      </c>
      <c r="G11331" t="s">
        <v>21</v>
      </c>
      <c r="H11331" s="8" t="s">
        <v>36</v>
      </c>
      <c r="I11331" s="8"/>
      <c r="O11331" t="str">
        <f>LEFT(Table2[[#This Row],[Description]],75)</f>
        <v>Sp Huma Gel Nashville Tn</v>
      </c>
    </row>
    <row r="11332" spans="1:15" hidden="1">
      <c r="A11332">
        <v>202404</v>
      </c>
      <c r="B11332" s="6">
        <v>45404</v>
      </c>
      <c r="C11332" t="s">
        <v>3938</v>
      </c>
      <c r="D11332" t="s">
        <v>5351</v>
      </c>
      <c r="E11332">
        <v>11</v>
      </c>
      <c r="F11332" s="2" t="str">
        <f>IF(Table2[[#This Row],[Manual Cat Value]]="",VLOOKUP(Table2[[#This Row],[Description]],'Actuals Lookup'!D:F,3,0),VLOOKUP(Table2[[#This Row],[Manual Cat Value]],Lookup!A:B,2,0))</f>
        <v>House Maintenance</v>
      </c>
      <c r="H11332" s="8" t="s">
        <v>1</v>
      </c>
      <c r="I11332" s="8"/>
      <c r="O11332" t="str">
        <f>LEFT(Table2[[#This Row],[Description]],75)</f>
        <v>BONFES PLUMBING HEATING AXX6633 MN REF #XX7539G0S66D3P7A</v>
      </c>
    </row>
    <row r="11333" spans="1:15" hidden="1">
      <c r="A11333">
        <v>202404</v>
      </c>
      <c r="B11333" s="6">
        <v>45404</v>
      </c>
      <c r="C11333" t="s">
        <v>5160</v>
      </c>
      <c r="D11333" t="s">
        <v>1014</v>
      </c>
      <c r="E11333">
        <v>8.6199999999999992</v>
      </c>
      <c r="F11333" s="2" t="str">
        <f>IF(Table2[[#This Row],[Manual Cat Value]]="",VLOOKUP(Table2[[#This Row],[Description]],'Actuals Lookup'!D:F,3,0),VLOOKUP(Table2[[#This Row],[Manual Cat Value]],Lookup!A:B,2,0))</f>
        <v>Restaurants</v>
      </c>
      <c r="G11333" t="s">
        <v>26</v>
      </c>
      <c r="I11333" s="8"/>
      <c r="O11333" t="str">
        <f>LEFT(Table2[[#This Row],[Description]],75)</f>
        <v>Jimmy John's</v>
      </c>
    </row>
    <row r="11334" spans="1:15" hidden="1">
      <c r="A11334">
        <v>202404</v>
      </c>
      <c r="B11334" s="6">
        <v>45404</v>
      </c>
      <c r="C11334" t="s">
        <v>5160</v>
      </c>
      <c r="D11334" t="s">
        <v>1014</v>
      </c>
      <c r="E11334">
        <v>21.77</v>
      </c>
      <c r="F11334" s="2" t="str">
        <f>IF(Table2[[#This Row],[Manual Cat Value]]="",VLOOKUP(Table2[[#This Row],[Description]],'Actuals Lookup'!D:F,3,0),VLOOKUP(Table2[[#This Row],[Manual Cat Value]],Lookup!A:B,2,0))</f>
        <v>Restaurants</v>
      </c>
      <c r="G11334" t="s">
        <v>26</v>
      </c>
      <c r="I11334" s="8"/>
      <c r="O11334" t="str">
        <f>LEFT(Table2[[#This Row],[Description]],75)</f>
        <v>Jimmy John's</v>
      </c>
    </row>
    <row r="11335" spans="1:15" hidden="1">
      <c r="A11335">
        <v>202404</v>
      </c>
      <c r="B11335" s="6">
        <v>45404</v>
      </c>
      <c r="C11335" t="s">
        <v>5160</v>
      </c>
      <c r="D11335" t="s">
        <v>1014</v>
      </c>
      <c r="E11335">
        <v>7.53</v>
      </c>
      <c r="F11335" s="2" t="str">
        <f>IF(Table2[[#This Row],[Manual Cat Value]]="",VLOOKUP(Table2[[#This Row],[Description]],'Actuals Lookup'!D:F,3,0),VLOOKUP(Table2[[#This Row],[Manual Cat Value]],Lookup!A:B,2,0))</f>
        <v>Restaurants</v>
      </c>
      <c r="G11335" t="s">
        <v>26</v>
      </c>
      <c r="I11335" s="8"/>
      <c r="O11335" t="str">
        <f>LEFT(Table2[[#This Row],[Description]],75)</f>
        <v>Jimmy John's</v>
      </c>
    </row>
    <row r="11336" spans="1:15" hidden="1">
      <c r="A11336">
        <v>202404</v>
      </c>
      <c r="B11336" s="6">
        <v>45404</v>
      </c>
      <c r="C11336" t="s">
        <v>2519</v>
      </c>
      <c r="D11336" t="s">
        <v>4523</v>
      </c>
      <c r="E11336">
        <v>136.19</v>
      </c>
      <c r="F11336" s="2" t="str">
        <f>IF(Table2[[#This Row],[Manual Cat Value]]="",VLOOKUP(Table2[[#This Row],[Description]],'Actuals Lookup'!D:F,3,0),VLOOKUP(Table2[[#This Row],[Manual Cat Value]],Lookup!A:B,2,0))</f>
        <v>Shopping</v>
      </c>
      <c r="I11336" s="8"/>
      <c r="O11336" t="str">
        <f>LEFT(Table2[[#This Row],[Description]],75)</f>
        <v>Payment to Barclaycard US</v>
      </c>
    </row>
    <row r="11337" spans="1:15" hidden="1">
      <c r="A11337">
        <v>202404</v>
      </c>
      <c r="B11337" s="6">
        <v>45404</v>
      </c>
      <c r="C11337" t="s">
        <v>2519</v>
      </c>
      <c r="D11337" t="s">
        <v>5352</v>
      </c>
      <c r="E11337">
        <v>75.8</v>
      </c>
      <c r="F11337" s="2" t="str">
        <f>IF(Table2[[#This Row],[Manual Cat Value]]="",VLOOKUP(Table2[[#This Row],[Description]],'Actuals Lookup'!D:F,3,0),VLOOKUP(Table2[[#This Row],[Manual Cat Value]],Lookup!A:B,2,0))</f>
        <v>Utilities</v>
      </c>
      <c r="H11337" s="8" t="s">
        <v>6</v>
      </c>
      <c r="I11337" s="8"/>
      <c r="O11337" t="str">
        <f>LEFT(Table2[[#This Row],[Description]],75)</f>
        <v>Withdrawal ACH CITY OF CHANHASS TYPE: UTIL BILL ID: XX5331 CO: CITY OF CHAN</v>
      </c>
    </row>
    <row r="11338" spans="1:15" hidden="1">
      <c r="A11338">
        <v>202404</v>
      </c>
      <c r="B11338" s="6">
        <v>45405</v>
      </c>
      <c r="C11338" t="s">
        <v>5160</v>
      </c>
      <c r="D11338" t="s">
        <v>5353</v>
      </c>
      <c r="E11338">
        <v>249</v>
      </c>
      <c r="F11338" s="2" t="str">
        <f>IF(Table2[[#This Row],[Manual Cat Value]]="",VLOOKUP(Table2[[#This Row],[Description]],'Actuals Lookup'!D:F,3,0),VLOOKUP(Table2[[#This Row],[Manual Cat Value]],Lookup!A:B,2,0))</f>
        <v>Shopping</v>
      </c>
      <c r="G11338" t="s">
        <v>40</v>
      </c>
      <c r="H11338" s="8" t="s">
        <v>36</v>
      </c>
      <c r="I11338" s="8"/>
      <c r="O11338" t="str">
        <f>LEFT(Table2[[#This Row],[Description]],75)</f>
        <v>Rei</v>
      </c>
    </row>
    <row r="11339" spans="1:15" hidden="1">
      <c r="A11339">
        <v>202404</v>
      </c>
      <c r="B11339" s="6">
        <v>45406</v>
      </c>
      <c r="C11339" t="s">
        <v>3938</v>
      </c>
      <c r="D11339" t="s">
        <v>38</v>
      </c>
      <c r="E11339">
        <v>158.28</v>
      </c>
      <c r="F11339" s="2" t="str">
        <f>IF(Table2[[#This Row],[Manual Cat Value]]="",VLOOKUP(Table2[[#This Row],[Description]],'Actuals Lookup'!D:F,3,0),VLOOKUP(Table2[[#This Row],[Manual Cat Value]],Lookup!A:B,2,0))</f>
        <v>Amazon</v>
      </c>
      <c r="I11339" s="8"/>
      <c r="O11339" t="str">
        <f>LEFT(Table2[[#This Row],[Description]],75)</f>
        <v>Amazon</v>
      </c>
    </row>
    <row r="11340" spans="1:15" hidden="1">
      <c r="A11340">
        <v>202404</v>
      </c>
      <c r="B11340" s="6">
        <v>45406</v>
      </c>
      <c r="C11340" t="s">
        <v>3938</v>
      </c>
      <c r="D11340" t="s">
        <v>5354</v>
      </c>
      <c r="E11340">
        <v>158.28</v>
      </c>
      <c r="F11340" s="2" t="str">
        <f>IF(Table2[[#This Row],[Manual Cat Value]]="",VLOOKUP(Table2[[#This Row],[Description]],'Actuals Lookup'!D:F,3,0),VLOOKUP(Table2[[#This Row],[Manual Cat Value]],Lookup!A:B,2,0))</f>
        <v>Amazon</v>
      </c>
      <c r="H11340" s="8" t="s">
        <v>37</v>
      </c>
      <c r="I11340" s="8"/>
      <c r="O11340" t="str">
        <f>LEFT(Table2[[#This Row],[Description]],75)</f>
        <v>AMAZON RET* XX3785 WWW.AMAZON.COWA REF #XX1134G2001H4J18</v>
      </c>
    </row>
    <row r="11341" spans="1:15" hidden="1">
      <c r="A11341">
        <v>202404</v>
      </c>
      <c r="B11341" s="6">
        <v>45411</v>
      </c>
      <c r="C11341" t="s">
        <v>5160</v>
      </c>
      <c r="D11341" t="s">
        <v>703</v>
      </c>
      <c r="E11341">
        <v>1135.9000000000001</v>
      </c>
      <c r="F11341" s="2" t="str">
        <f>IF(Table2[[#This Row],[Manual Cat Value]]="",VLOOKUP(Table2[[#This Row],[Description]],'Actuals Lookup'!D:F,3,0),VLOOKUP(Table2[[#This Row],[Manual Cat Value]],Lookup!A:B,2,0))</f>
        <v>Delete</v>
      </c>
      <c r="G11341" t="s">
        <v>67</v>
      </c>
      <c r="I11341" s="8"/>
      <c r="O11341" t="str">
        <f>LEFT(Table2[[#This Row],[Description]],75)</f>
        <v>Delta Air Lines</v>
      </c>
    </row>
    <row r="11342" spans="1:15" hidden="1">
      <c r="A11342">
        <v>202404</v>
      </c>
      <c r="B11342" s="6">
        <v>45406</v>
      </c>
      <c r="C11342" t="s">
        <v>5160</v>
      </c>
      <c r="D11342" t="s">
        <v>684</v>
      </c>
      <c r="E11342">
        <v>83.07</v>
      </c>
      <c r="F11342" s="2" t="str">
        <f>IF(Table2[[#This Row],[Manual Cat Value]]="",VLOOKUP(Table2[[#This Row],[Description]],'Actuals Lookup'!D:F,3,0),VLOOKUP(Table2[[#This Row],[Manual Cat Value]],Lookup!A:B,2,0))</f>
        <v>Groceries</v>
      </c>
      <c r="G11342" t="s">
        <v>28</v>
      </c>
      <c r="I11342" s="8"/>
      <c r="O11342" t="str">
        <f>LEFT(Table2[[#This Row],[Description]],75)</f>
        <v>Cub Foods</v>
      </c>
    </row>
    <row r="11343" spans="1:15" hidden="1">
      <c r="A11343">
        <v>202404</v>
      </c>
      <c r="B11343" s="6">
        <v>45406</v>
      </c>
      <c r="C11343" t="s">
        <v>2519</v>
      </c>
      <c r="D11343" t="s">
        <v>5355</v>
      </c>
      <c r="E11343">
        <v>346</v>
      </c>
      <c r="F11343" s="2" t="str">
        <f>IF(Table2[[#This Row],[Manual Cat Value]]="",VLOOKUP(Table2[[#This Row],[Description]],'Actuals Lookup'!D:F,3,0),VLOOKUP(Table2[[#This Row],[Manual Cat Value]],Lookup!A:B,2,0))</f>
        <v>Day Care</v>
      </c>
      <c r="H11343" s="8" t="s">
        <v>19</v>
      </c>
      <c r="I11343" s="8"/>
      <c r="O11343" t="str">
        <f>LEFT(Table2[[#This Row],[Description]],75)</f>
        <v>Withdrawal ACH MHCHILDCARELLC TYPE: DUES ID: XX8198 CO: MHCHILDCARELLC Entr</v>
      </c>
    </row>
    <row r="11344" spans="1:15" hidden="1">
      <c r="A11344">
        <v>202404</v>
      </c>
      <c r="B11344" s="6">
        <v>45407</v>
      </c>
      <c r="C11344" t="s">
        <v>5160</v>
      </c>
      <c r="D11344" t="s">
        <v>5331</v>
      </c>
      <c r="E11344">
        <v>18.510000000000002</v>
      </c>
      <c r="F11344" s="2" t="str">
        <f>IF(Table2[[#This Row],[Manual Cat Value]]="",VLOOKUP(Table2[[#This Row],[Description]],'Actuals Lookup'!D:F,3,0),VLOOKUP(Table2[[#This Row],[Manual Cat Value]],Lookup!A:B,2,0))</f>
        <v>Shopping</v>
      </c>
      <c r="G11344" t="s">
        <v>4840</v>
      </c>
      <c r="H11344" s="8" t="s">
        <v>36</v>
      </c>
      <c r="I11344" s="8"/>
      <c r="O11344" t="str">
        <f>LEFT(Table2[[#This Row],[Description]],75)</f>
        <v>Aplpay Crate &amp; Barrenorthbrook Il</v>
      </c>
    </row>
    <row r="11345" spans="1:15" hidden="1">
      <c r="A11345">
        <v>202404</v>
      </c>
      <c r="B11345" s="6">
        <v>45407</v>
      </c>
      <c r="C11345" t="s">
        <v>2519</v>
      </c>
      <c r="D11345" t="s">
        <v>404</v>
      </c>
      <c r="E11345">
        <v>-2666.32</v>
      </c>
      <c r="F11345" s="2" t="str">
        <f>IF(Table2[[#This Row],[Manual Cat Value]]="",VLOOKUP(Table2[[#This Row],[Description]],'Actuals Lookup'!D:F,3,0),VLOOKUP(Table2[[#This Row],[Manual Cat Value]],Lookup!A:B,2,0))</f>
        <v>Britney</v>
      </c>
      <c r="I11345" s="8"/>
      <c r="O11345" t="str">
        <f>LEFT(Table2[[#This Row],[Description]],75)</f>
        <v>Cargill Inc Deposit</v>
      </c>
    </row>
    <row r="11346" spans="1:15" hidden="1">
      <c r="A11346">
        <v>202404</v>
      </c>
      <c r="B11346" s="6">
        <v>45407</v>
      </c>
      <c r="C11346" t="s">
        <v>3938</v>
      </c>
      <c r="D11346" t="s">
        <v>4887</v>
      </c>
      <c r="E11346">
        <v>41.31</v>
      </c>
      <c r="F11346" s="2" t="str">
        <f>IF(Table2[[#This Row],[Manual Cat Value]]="",VLOOKUP(Table2[[#This Row],[Description]],'Actuals Lookup'!D:F,3,0),VLOOKUP(Table2[[#This Row],[Manual Cat Value]],Lookup!A:B,2,0))</f>
        <v>Groceries</v>
      </c>
      <c r="I11346" s="8"/>
      <c r="O11346" t="str">
        <f>LEFT(Table2[[#This Row],[Description]],75)</f>
        <v>Costco Gas Stations</v>
      </c>
    </row>
    <row r="11347" spans="1:15" hidden="1">
      <c r="A11347">
        <v>202404</v>
      </c>
      <c r="B11347" s="6">
        <v>45407</v>
      </c>
      <c r="C11347" t="s">
        <v>5160</v>
      </c>
      <c r="D11347" t="s">
        <v>5322</v>
      </c>
      <c r="E11347">
        <v>121.95</v>
      </c>
      <c r="F11347" s="2" t="str">
        <f>IF(Table2[[#This Row],[Manual Cat Value]]="",VLOOKUP(Table2[[#This Row],[Description]],'Actuals Lookup'!D:F,3,0),VLOOKUP(Table2[[#This Row],[Manual Cat Value]],Lookup!A:B,2,0))</f>
        <v>Groceries</v>
      </c>
      <c r="G11347" t="s">
        <v>28</v>
      </c>
      <c r="H11347" s="8" t="s">
        <v>27</v>
      </c>
      <c r="I11347" s="8"/>
      <c r="O11347" t="str">
        <f>LEFT(Table2[[#This Row],[Description]],75)</f>
        <v>Hungryroot</v>
      </c>
    </row>
    <row r="11348" spans="1:15" hidden="1">
      <c r="A11348">
        <v>202404</v>
      </c>
      <c r="B11348" s="6">
        <v>45407</v>
      </c>
      <c r="C11348" t="s">
        <v>5160</v>
      </c>
      <c r="D11348" t="s">
        <v>1920</v>
      </c>
      <c r="E11348">
        <v>49.86</v>
      </c>
      <c r="F11348" s="2" t="str">
        <f>IF(Table2[[#This Row],[Manual Cat Value]]="",VLOOKUP(Table2[[#This Row],[Description]],'Actuals Lookup'!D:F,3,0),VLOOKUP(Table2[[#This Row],[Manual Cat Value]],Lookup!A:B,2,0))</f>
        <v>Groceries</v>
      </c>
      <c r="G11348" t="s">
        <v>28</v>
      </c>
      <c r="H11348" s="8" t="s">
        <v>27</v>
      </c>
      <c r="I11348" s="8"/>
      <c r="O11348" t="str">
        <f>LEFT(Table2[[#This Row],[Description]],75)</f>
        <v>Top Ten Liquors</v>
      </c>
    </row>
    <row r="11349" spans="1:15" hidden="1">
      <c r="A11349">
        <v>202404</v>
      </c>
      <c r="B11349" s="6">
        <v>45411</v>
      </c>
      <c r="C11349" t="s">
        <v>5160</v>
      </c>
      <c r="D11349" t="s">
        <v>703</v>
      </c>
      <c r="E11349">
        <v>1056.5999999999999</v>
      </c>
      <c r="F11349" s="2" t="str">
        <f>IF(Table2[[#This Row],[Manual Cat Value]]="",VLOOKUP(Table2[[#This Row],[Description]],'Actuals Lookup'!D:F,3,0),VLOOKUP(Table2[[#This Row],[Manual Cat Value]],Lookup!A:B,2,0))</f>
        <v>Delete</v>
      </c>
      <c r="G11349" t="s">
        <v>67</v>
      </c>
      <c r="I11349" s="8"/>
      <c r="O11349" t="str">
        <f>LEFT(Table2[[#This Row],[Description]],75)</f>
        <v>Delta Air Lines</v>
      </c>
    </row>
    <row r="11350" spans="1:15" hidden="1">
      <c r="A11350">
        <v>202404</v>
      </c>
      <c r="B11350" s="6">
        <v>45408</v>
      </c>
      <c r="C11350" t="s">
        <v>3938</v>
      </c>
      <c r="D11350" t="s">
        <v>5356</v>
      </c>
      <c r="E11350">
        <v>17.350000000000001</v>
      </c>
      <c r="F11350" s="2" t="str">
        <f>IF(Table2[[#This Row],[Manual Cat Value]]="",VLOOKUP(Table2[[#This Row],[Description]],'Actuals Lookup'!D:F,3,0),VLOOKUP(Table2[[#This Row],[Manual Cat Value]],Lookup!A:B,2,0))</f>
        <v>Dry Cleaning</v>
      </c>
      <c r="H11350" s="8" t="s">
        <v>42</v>
      </c>
      <c r="I11350" s="8"/>
      <c r="O11350" t="str">
        <f>LEFT(Table2[[#This Row],[Description]],75)</f>
        <v>LISA`S TAILOR SHOP EDEN PRAIRIE MN REF #XX0780G40T570AHV</v>
      </c>
    </row>
    <row r="11351" spans="1:15" hidden="1">
      <c r="A11351">
        <v>202405</v>
      </c>
      <c r="B11351" s="6">
        <v>45442</v>
      </c>
      <c r="C11351" t="s">
        <v>5160</v>
      </c>
      <c r="D11351" t="s">
        <v>703</v>
      </c>
      <c r="E11351">
        <v>303.5</v>
      </c>
      <c r="F11351" s="2" t="str">
        <f>IF(Table2[[#This Row],[Manual Cat Value]]="",VLOOKUP(Table2[[#This Row],[Description]],'Actuals Lookup'!D:F,3,0),VLOOKUP(Table2[[#This Row],[Manual Cat Value]],Lookup!A:B,2,0))</f>
        <v>Delete</v>
      </c>
      <c r="G11351" t="s">
        <v>67</v>
      </c>
      <c r="I11351" s="8"/>
      <c r="O11351" t="str">
        <f>LEFT(Table2[[#This Row],[Description]],75)</f>
        <v>Delta Air Lines</v>
      </c>
    </row>
    <row r="11352" spans="1:15" hidden="1">
      <c r="A11352">
        <v>202404</v>
      </c>
      <c r="B11352" s="6">
        <v>45408</v>
      </c>
      <c r="C11352" t="s">
        <v>2519</v>
      </c>
      <c r="D11352" t="s">
        <v>4415</v>
      </c>
      <c r="E11352">
        <v>1051.96</v>
      </c>
      <c r="F11352" s="2" t="str">
        <f>IF(Table2[[#This Row],[Manual Cat Value]]="",VLOOKUP(Table2[[#This Row],[Description]],'Actuals Lookup'!D:F,3,0),VLOOKUP(Table2[[#This Row],[Manual Cat Value]],Lookup!A:B,2,0))</f>
        <v>Target</v>
      </c>
      <c r="I11352" s="8"/>
      <c r="O11352" t="str">
        <f>LEFT(Table2[[#This Row],[Description]],75)</f>
        <v>Payment to Jeffrey B</v>
      </c>
    </row>
    <row r="11353" spans="1:15" hidden="1">
      <c r="A11353">
        <v>202404</v>
      </c>
      <c r="B11353" s="6">
        <v>45408</v>
      </c>
      <c r="C11353" t="s">
        <v>3938</v>
      </c>
      <c r="D11353" t="s">
        <v>1849</v>
      </c>
      <c r="E11353">
        <v>135.41</v>
      </c>
      <c r="F11353" s="2" t="str">
        <f>IF(Table2[[#This Row],[Manual Cat Value]]="",VLOOKUP(Table2[[#This Row],[Description]],'Actuals Lookup'!D:F,3,0),VLOOKUP(Table2[[#This Row],[Manual Cat Value]],Lookup!A:B,2,0))</f>
        <v>House Maintenance</v>
      </c>
      <c r="I11353" s="8"/>
      <c r="O11353" t="str">
        <f>LEFT(Table2[[#This Row],[Description]],75)</f>
        <v>The Home Depot</v>
      </c>
    </row>
    <row r="11354" spans="1:15" hidden="1">
      <c r="A11354" s="25">
        <v>202406</v>
      </c>
      <c r="B11354" s="6">
        <v>45458</v>
      </c>
      <c r="C11354" t="s">
        <v>5160</v>
      </c>
      <c r="D11354" t="s">
        <v>703</v>
      </c>
      <c r="E11354">
        <v>217.97</v>
      </c>
      <c r="F11354" s="2" t="str">
        <f>IF(Table2[[#This Row],[Manual Cat Value]]="",VLOOKUP(Table2[[#This Row],[Description]],'Actuals Lookup'!D:F,3,0),VLOOKUP(Table2[[#This Row],[Manual Cat Value]],Lookup!A:B,2,0))</f>
        <v>Delete</v>
      </c>
      <c r="G11354" t="s">
        <v>67</v>
      </c>
      <c r="I11354" s="8"/>
      <c r="O11354" t="str">
        <f>LEFT(Table2[[#This Row],[Description]],75)</f>
        <v>Delta Air Lines</v>
      </c>
    </row>
    <row r="11355" spans="1:15" hidden="1">
      <c r="A11355">
        <v>202404</v>
      </c>
      <c r="B11355" s="6">
        <v>45409</v>
      </c>
      <c r="C11355" t="s">
        <v>5160</v>
      </c>
      <c r="D11355" t="s">
        <v>785</v>
      </c>
      <c r="E11355">
        <v>57.74</v>
      </c>
      <c r="F11355" s="2" t="str">
        <f>IF(Table2[[#This Row],[Manual Cat Value]]="",VLOOKUP(Table2[[#This Row],[Description]],'Actuals Lookup'!D:F,3,0),VLOOKUP(Table2[[#This Row],[Manual Cat Value]],Lookup!A:B,2,0))</f>
        <v>Restaurants</v>
      </c>
      <c r="G11355" t="s">
        <v>26</v>
      </c>
      <c r="I11355" s="8"/>
      <c r="O11355" t="str">
        <f>LEFT(Table2[[#This Row],[Description]],75)</f>
        <v>Domino's Pizza</v>
      </c>
    </row>
    <row r="11356" spans="1:15" hidden="1">
      <c r="A11356">
        <v>202404</v>
      </c>
      <c r="B11356" s="6">
        <v>45409</v>
      </c>
      <c r="C11356" t="s">
        <v>5160</v>
      </c>
      <c r="D11356" t="s">
        <v>5357</v>
      </c>
      <c r="E11356">
        <v>147.38999999999999</v>
      </c>
      <c r="F11356" s="2" t="str">
        <f>IF(Table2[[#This Row],[Manual Cat Value]]="",VLOOKUP(Table2[[#This Row],[Description]],'Actuals Lookup'!D:F,3,0),VLOOKUP(Table2[[#This Row],[Manual Cat Value]],Lookup!A:B,2,0))</f>
        <v>Entertainment</v>
      </c>
      <c r="G11356" t="s">
        <v>40</v>
      </c>
      <c r="H11356" s="8" t="s">
        <v>39</v>
      </c>
      <c r="I11356" s="8"/>
      <c r="O11356" t="str">
        <f>LEFT(Table2[[#This Row],[Description]],75)</f>
        <v>Ls Island View Golf Waconia Mn</v>
      </c>
    </row>
    <row r="11357" spans="1:15" hidden="1">
      <c r="A11357">
        <v>202404</v>
      </c>
      <c r="B11357" s="6">
        <v>45409</v>
      </c>
      <c r="C11357" t="s">
        <v>5160</v>
      </c>
      <c r="D11357" t="s">
        <v>5358</v>
      </c>
      <c r="E11357">
        <v>2.1</v>
      </c>
      <c r="F11357" s="2" t="str">
        <f>IF(Table2[[#This Row],[Manual Cat Value]]="",VLOOKUP(Table2[[#This Row],[Description]],'Actuals Lookup'!D:F,3,0),VLOOKUP(Table2[[#This Row],[Manual Cat Value]],Lookup!A:B,2,0))</f>
        <v>Transportation</v>
      </c>
      <c r="G11357" t="s">
        <v>35</v>
      </c>
      <c r="H11357" s="8" t="s">
        <v>22</v>
      </c>
      <c r="I11357" s="8"/>
      <c r="O11357" t="str">
        <f>LEFT(Table2[[#This Row],[Description]],75)</f>
        <v>Mendota Valley Amusesouth Saint P Mn</v>
      </c>
    </row>
    <row r="11358" spans="1:15" hidden="1">
      <c r="A11358">
        <v>202404</v>
      </c>
      <c r="B11358" s="6">
        <v>45409</v>
      </c>
      <c r="C11358" t="s">
        <v>5160</v>
      </c>
      <c r="D11358" t="s">
        <v>5358</v>
      </c>
      <c r="E11358">
        <v>1.1000000000000001</v>
      </c>
      <c r="F11358" s="2" t="str">
        <f>IF(Table2[[#This Row],[Manual Cat Value]]="",VLOOKUP(Table2[[#This Row],[Description]],'Actuals Lookup'!D:F,3,0),VLOOKUP(Table2[[#This Row],[Manual Cat Value]],Lookup!A:B,2,0))</f>
        <v>Transportation</v>
      </c>
      <c r="G11358" t="s">
        <v>35</v>
      </c>
      <c r="H11358" s="8" t="s">
        <v>22</v>
      </c>
      <c r="I11358" s="8"/>
      <c r="O11358" t="str">
        <f>LEFT(Table2[[#This Row],[Description]],75)</f>
        <v>Mendota Valley Amusesouth Saint P Mn</v>
      </c>
    </row>
    <row r="11359" spans="1:15" hidden="1">
      <c r="A11359">
        <v>202404</v>
      </c>
      <c r="B11359" s="6">
        <v>45409</v>
      </c>
      <c r="C11359" t="s">
        <v>5160</v>
      </c>
      <c r="D11359" t="s">
        <v>5358</v>
      </c>
      <c r="E11359">
        <v>3.1</v>
      </c>
      <c r="F11359" s="2" t="str">
        <f>IF(Table2[[#This Row],[Manual Cat Value]]="",VLOOKUP(Table2[[#This Row],[Description]],'Actuals Lookup'!D:F,3,0),VLOOKUP(Table2[[#This Row],[Manual Cat Value]],Lookup!A:B,2,0))</f>
        <v>Transportation</v>
      </c>
      <c r="G11359" t="s">
        <v>35</v>
      </c>
      <c r="H11359" s="8" t="s">
        <v>22</v>
      </c>
      <c r="I11359" s="8"/>
      <c r="O11359" t="str">
        <f>LEFT(Table2[[#This Row],[Description]],75)</f>
        <v>Mendota Valley Amusesouth Saint P Mn</v>
      </c>
    </row>
    <row r="11360" spans="1:15" hidden="1">
      <c r="A11360">
        <v>202404</v>
      </c>
      <c r="B11360" s="6">
        <v>45409</v>
      </c>
      <c r="C11360" t="s">
        <v>5160</v>
      </c>
      <c r="D11360" t="s">
        <v>5358</v>
      </c>
      <c r="E11360">
        <v>1.1000000000000001</v>
      </c>
      <c r="F11360" s="2" t="str">
        <f>IF(Table2[[#This Row],[Manual Cat Value]]="",VLOOKUP(Table2[[#This Row],[Description]],'Actuals Lookup'!D:F,3,0),VLOOKUP(Table2[[#This Row],[Manual Cat Value]],Lookup!A:B,2,0))</f>
        <v>Transportation</v>
      </c>
      <c r="G11360" t="s">
        <v>35</v>
      </c>
      <c r="H11360" s="8" t="s">
        <v>22</v>
      </c>
      <c r="I11360" s="8"/>
      <c r="O11360" t="str">
        <f>LEFT(Table2[[#This Row],[Description]],75)</f>
        <v>Mendota Valley Amusesouth Saint P Mn</v>
      </c>
    </row>
    <row r="11361" spans="1:17" hidden="1">
      <c r="A11361">
        <v>202404</v>
      </c>
      <c r="B11361" s="6">
        <v>45410</v>
      </c>
      <c r="C11361" t="s">
        <v>5160</v>
      </c>
      <c r="D11361" t="s">
        <v>5359</v>
      </c>
      <c r="E11361">
        <v>268.89999999999998</v>
      </c>
      <c r="F11361" s="2" t="str">
        <f>IF(Table2[[#This Row],[Manual Cat Value]]="",VLOOKUP(Table2[[#This Row],[Description]],'Actuals Lookup'!D:F,3,0),VLOOKUP(Table2[[#This Row],[Manual Cat Value]],Lookup!A:B,2,0))</f>
        <v>Travel</v>
      </c>
      <c r="G11361" t="s">
        <v>40</v>
      </c>
      <c r="H11361" s="8" t="s">
        <v>52</v>
      </c>
      <c r="I11361" s="8"/>
      <c r="O11361" t="str">
        <f>LEFT(Table2[[#This Row],[Description]],75)</f>
        <v>Ballybunion Golf Cluballybunion</v>
      </c>
      <c r="Q11361" t="s">
        <v>2240</v>
      </c>
    </row>
    <row r="11362" spans="1:17" hidden="1">
      <c r="A11362">
        <v>202404</v>
      </c>
      <c r="B11362" s="6">
        <v>45410</v>
      </c>
      <c r="C11362" t="s">
        <v>5160</v>
      </c>
      <c r="D11362" t="s">
        <v>5060</v>
      </c>
      <c r="E11362">
        <v>44.94</v>
      </c>
      <c r="F11362" s="2" t="str">
        <f>IF(Table2[[#This Row],[Manual Cat Value]]="",VLOOKUP(Table2[[#This Row],[Description]],'Actuals Lookup'!D:F,3,0),VLOOKUP(Table2[[#This Row],[Manual Cat Value]],Lookup!A:B,2,0))</f>
        <v>Restaurants</v>
      </c>
      <c r="G11362" t="s">
        <v>26</v>
      </c>
      <c r="I11362" s="8"/>
      <c r="O11362" t="str">
        <f>LEFT(Table2[[#This Row],[Description]],75)</f>
        <v>Black Sheep</v>
      </c>
    </row>
    <row r="11363" spans="1:17" hidden="1">
      <c r="A11363">
        <v>202404</v>
      </c>
      <c r="B11363" s="6">
        <v>45410</v>
      </c>
      <c r="C11363" t="s">
        <v>2519</v>
      </c>
      <c r="D11363" t="s">
        <v>4343</v>
      </c>
      <c r="E11363">
        <v>-3345.75</v>
      </c>
      <c r="F11363" s="2" t="str">
        <f>IF(Table2[[#This Row],[Manual Cat Value]]="",VLOOKUP(Table2[[#This Row],[Description]],'Actuals Lookup'!D:F,3,0),VLOOKUP(Table2[[#This Row],[Manual Cat Value]],Lookup!A:B,2,0))</f>
        <v>Jeff</v>
      </c>
      <c r="I11363" s="8"/>
      <c r="O11363" t="str">
        <f>LEFT(Table2[[#This Row],[Description]],75)</f>
        <v>Salary/Regular Income from TriNet</v>
      </c>
    </row>
    <row r="11364" spans="1:17" hidden="1">
      <c r="A11364">
        <v>202404</v>
      </c>
      <c r="B11364" s="6">
        <v>45411</v>
      </c>
      <c r="C11364" t="s">
        <v>5160</v>
      </c>
      <c r="D11364" t="s">
        <v>545</v>
      </c>
      <c r="E11364">
        <v>27.47</v>
      </c>
      <c r="F11364" s="2" t="str">
        <f>IF(Table2[[#This Row],[Manual Cat Value]]="",VLOOKUP(Table2[[#This Row],[Description]],'Actuals Lookup'!D:F,3,0),VLOOKUP(Table2[[#This Row],[Manual Cat Value]],Lookup!A:B,2,0))</f>
        <v>Restaurants</v>
      </c>
      <c r="G11364" t="s">
        <v>26</v>
      </c>
      <c r="I11364" s="8"/>
      <c r="O11364" t="str">
        <f>LEFT(Table2[[#This Row],[Description]],75)</f>
        <v>Chipotle Mexican Grill</v>
      </c>
    </row>
    <row r="11365" spans="1:17" hidden="1">
      <c r="A11365" s="25">
        <v>202406</v>
      </c>
      <c r="B11365" s="6">
        <v>45458</v>
      </c>
      <c r="C11365" t="s">
        <v>5160</v>
      </c>
      <c r="D11365" t="s">
        <v>703</v>
      </c>
      <c r="E11365">
        <v>233.48</v>
      </c>
      <c r="F11365" s="2" t="str">
        <f>IF(Table2[[#This Row],[Manual Cat Value]]="",VLOOKUP(Table2[[#This Row],[Description]],'Actuals Lookup'!D:F,3,0),VLOOKUP(Table2[[#This Row],[Manual Cat Value]],Lookup!A:B,2,0))</f>
        <v>Delete</v>
      </c>
      <c r="G11365" t="s">
        <v>67</v>
      </c>
      <c r="I11365" s="8"/>
      <c r="O11365" t="str">
        <f>LEFT(Table2[[#This Row],[Description]],75)</f>
        <v>Delta Air Lines</v>
      </c>
    </row>
    <row r="11366" spans="1:17" hidden="1">
      <c r="A11366" s="25">
        <v>202406</v>
      </c>
      <c r="B11366" s="6">
        <v>45458</v>
      </c>
      <c r="C11366" t="s">
        <v>5160</v>
      </c>
      <c r="D11366" t="s">
        <v>703</v>
      </c>
      <c r="E11366">
        <v>376.95</v>
      </c>
      <c r="F11366" s="2" t="str">
        <f>IF(Table2[[#This Row],[Manual Cat Value]]="",VLOOKUP(Table2[[#This Row],[Description]],'Actuals Lookup'!D:F,3,0),VLOOKUP(Table2[[#This Row],[Manual Cat Value]],Lookup!A:B,2,0))</f>
        <v>Delete</v>
      </c>
      <c r="G11366" t="s">
        <v>67</v>
      </c>
      <c r="I11366" s="8"/>
      <c r="O11366" t="str">
        <f>LEFT(Table2[[#This Row],[Description]],75)</f>
        <v>Delta Air Lines</v>
      </c>
    </row>
    <row r="11367" spans="1:17" hidden="1">
      <c r="A11367">
        <v>202404</v>
      </c>
      <c r="B11367" s="6">
        <v>45411</v>
      </c>
      <c r="C11367" t="s">
        <v>5160</v>
      </c>
      <c r="D11367" t="s">
        <v>854</v>
      </c>
      <c r="E11367">
        <v>-84</v>
      </c>
      <c r="F11367" s="2" t="str">
        <f>IF(Table2[[#This Row],[Manual Cat Value]]="",VLOOKUP(Table2[[#This Row],[Description]],'Actuals Lookup'!D:F,3,0),VLOOKUP(Table2[[#This Row],[Manual Cat Value]],Lookup!A:B,2,0))</f>
        <v>Shopping</v>
      </c>
      <c r="G11367" t="s">
        <v>21</v>
      </c>
      <c r="I11367" s="8"/>
      <c r="O11367" t="str">
        <f>LEFT(Table2[[#This Row],[Description]],75)</f>
        <v>Free Fly Apparel</v>
      </c>
    </row>
    <row r="11368" spans="1:17" hidden="1">
      <c r="A11368" s="25">
        <v>202406</v>
      </c>
      <c r="B11368" s="6">
        <v>45459</v>
      </c>
      <c r="C11368" t="s">
        <v>5160</v>
      </c>
      <c r="D11368" t="s">
        <v>703</v>
      </c>
      <c r="E11368">
        <v>-217.97</v>
      </c>
      <c r="F11368" s="2" t="str">
        <f>IF(Table2[[#This Row],[Manual Cat Value]]="",VLOOKUP(Table2[[#This Row],[Description]],'Actuals Lookup'!D:F,3,0),VLOOKUP(Table2[[#This Row],[Manual Cat Value]],Lookup!A:B,2,0))</f>
        <v>Delete</v>
      </c>
      <c r="G11368" t="s">
        <v>67</v>
      </c>
      <c r="I11368" s="8"/>
      <c r="O11368" t="str">
        <f>LEFT(Table2[[#This Row],[Description]],75)</f>
        <v>Delta Air Lines</v>
      </c>
    </row>
    <row r="11369" spans="1:17" hidden="1">
      <c r="A11369">
        <v>202404</v>
      </c>
      <c r="B11369" s="6">
        <v>45411</v>
      </c>
      <c r="C11369" t="s">
        <v>2519</v>
      </c>
      <c r="D11369" t="s">
        <v>1955</v>
      </c>
      <c r="E11369">
        <v>21.25</v>
      </c>
      <c r="F11369" s="2" t="str">
        <f>IF(Table2[[#This Row],[Manual Cat Value]]="",VLOOKUP(Table2[[#This Row],[Description]],'Actuals Lookup'!D:F,3,0),VLOOKUP(Table2[[#This Row],[Manual Cat Value]],Lookup!A:B,2,0))</f>
        <v>Shopping</v>
      </c>
      <c r="I11369" s="8"/>
      <c r="O11369" t="str">
        <f>LEFT(Table2[[#This Row],[Description]],75)</f>
        <v>Transfer to PayPal</v>
      </c>
    </row>
    <row r="11370" spans="1:17" hidden="1">
      <c r="A11370">
        <v>202404</v>
      </c>
      <c r="B11370" s="6">
        <v>45411</v>
      </c>
      <c r="C11370" t="s">
        <v>2519</v>
      </c>
      <c r="D11370" t="s">
        <v>1955</v>
      </c>
      <c r="E11370">
        <v>0.99</v>
      </c>
      <c r="F11370" s="2" t="str">
        <f>IF(Table2[[#This Row],[Manual Cat Value]]="",VLOOKUP(Table2[[#This Row],[Description]],'Actuals Lookup'!D:F,3,0),VLOOKUP(Table2[[#This Row],[Manual Cat Value]],Lookup!A:B,2,0))</f>
        <v>Shopping</v>
      </c>
      <c r="I11370" s="8"/>
      <c r="O11370" t="str">
        <f>LEFT(Table2[[#This Row],[Description]],75)</f>
        <v>Transfer to PayPal</v>
      </c>
    </row>
    <row r="11371" spans="1:17" hidden="1">
      <c r="A11371">
        <v>202404</v>
      </c>
      <c r="B11371" s="6">
        <v>45412</v>
      </c>
      <c r="C11371" t="s">
        <v>5160</v>
      </c>
      <c r="D11371" t="s">
        <v>105</v>
      </c>
      <c r="E11371">
        <v>168.12</v>
      </c>
      <c r="F11371" s="2" t="str">
        <f>IF(Table2[[#This Row],[Manual Cat Value]]="",VLOOKUP(Table2[[#This Row],[Description]],'Actuals Lookup'!D:F,3,0),VLOOKUP(Table2[[#This Row],[Manual Cat Value]],Lookup!A:B,2,0))</f>
        <v>Travel</v>
      </c>
      <c r="G11371" t="s">
        <v>43</v>
      </c>
      <c r="H11371" s="8" t="s">
        <v>52</v>
      </c>
      <c r="I11371" s="8"/>
      <c r="O11371" t="str">
        <f>LEFT(Table2[[#This Row],[Description]],75)</f>
        <v>Airbnb</v>
      </c>
      <c r="Q11371" t="s">
        <v>2240</v>
      </c>
    </row>
    <row r="11372" spans="1:17" hidden="1">
      <c r="A11372">
        <v>202404</v>
      </c>
      <c r="B11372" s="6">
        <v>45412</v>
      </c>
      <c r="C11372" t="s">
        <v>5160</v>
      </c>
      <c r="D11372" t="s">
        <v>5227</v>
      </c>
      <c r="E11372">
        <v>108.9</v>
      </c>
      <c r="F11372" s="2" t="str">
        <f>IF(Table2[[#This Row],[Manual Cat Value]]="",VLOOKUP(Table2[[#This Row],[Description]],'Actuals Lookup'!D:F,3,0),VLOOKUP(Table2[[#This Row],[Manual Cat Value]],Lookup!A:B,2,0))</f>
        <v>Shopping</v>
      </c>
      <c r="G11372" t="s">
        <v>21</v>
      </c>
      <c r="I11372" s="8"/>
      <c r="O11372" t="str">
        <f>LEFT(Table2[[#This Row],[Description]],75)</f>
        <v>Aplpay Ls Primp Exceexcelsior Mn</v>
      </c>
    </row>
    <row r="11373" spans="1:17" hidden="1">
      <c r="A11373" s="25">
        <v>202407</v>
      </c>
      <c r="B11373" s="6">
        <v>45492</v>
      </c>
      <c r="C11373" t="s">
        <v>5160</v>
      </c>
      <c r="D11373" t="s">
        <v>703</v>
      </c>
      <c r="E11373">
        <v>355.96</v>
      </c>
      <c r="F11373" s="2" t="str">
        <f>IF(Table2[[#This Row],[Manual Cat Value]]="",VLOOKUP(Table2[[#This Row],[Description]],'Actuals Lookup'!D:F,3,0),VLOOKUP(Table2[[#This Row],[Manual Cat Value]],Lookup!A:B,2,0))</f>
        <v>Delete</v>
      </c>
      <c r="G11373" t="s">
        <v>67</v>
      </c>
      <c r="I11373" s="8"/>
      <c r="O11373" t="str">
        <f>LEFT(Table2[[#This Row],[Description]],75)</f>
        <v>Delta Air Lines</v>
      </c>
    </row>
    <row r="11374" spans="1:17" hidden="1">
      <c r="A11374">
        <v>202404</v>
      </c>
      <c r="B11374" s="6">
        <v>45412</v>
      </c>
      <c r="C11374" t="s">
        <v>2519</v>
      </c>
      <c r="D11374" t="s">
        <v>5360</v>
      </c>
      <c r="E11374">
        <v>-48.52</v>
      </c>
      <c r="F11374" s="2" t="str">
        <f>IF(Table2[[#This Row],[Manual Cat Value]]="",VLOOKUP(Table2[[#This Row],[Description]],'Actuals Lookup'!D:F,3,0),VLOOKUP(Table2[[#This Row],[Manual Cat Value]],Lookup!A:B,2,0))</f>
        <v>Inc - Other</v>
      </c>
      <c r="H11374" s="8" t="s">
        <v>16</v>
      </c>
      <c r="I11374" s="8"/>
      <c r="O11374" t="str">
        <f>LEFT(Table2[[#This Row],[Description]],75)</f>
        <v>Deposit Dividend Split Rate Annual Percentage Yield Earned 2.35% from 04/01</v>
      </c>
    </row>
    <row r="11375" spans="1:17" hidden="1">
      <c r="A11375">
        <v>202404</v>
      </c>
      <c r="B11375" s="6">
        <v>45412</v>
      </c>
      <c r="C11375" t="s">
        <v>2519</v>
      </c>
      <c r="D11375" t="s">
        <v>5148</v>
      </c>
      <c r="E11375">
        <v>183.55</v>
      </c>
      <c r="F11375" s="2" t="str">
        <f>IF(Table2[[#This Row],[Manual Cat Value]]="",VLOOKUP(Table2[[#This Row],[Description]],'Actuals Lookup'!D:F,3,0),VLOOKUP(Table2[[#This Row],[Manual Cat Value]],Lookup!A:B,2,0))</f>
        <v>Utilities</v>
      </c>
      <c r="I11375" s="8"/>
      <c r="O11375" t="str">
        <f>LEFT(Table2[[#This Row],[Description]],75)</f>
        <v>Payment to AT&amp;T</v>
      </c>
    </row>
    <row r="11376" spans="1:17" hidden="1">
      <c r="A11376" s="25">
        <v>202408</v>
      </c>
      <c r="B11376" s="6">
        <v>45511</v>
      </c>
      <c r="C11376" t="s">
        <v>5160</v>
      </c>
      <c r="D11376" t="s">
        <v>703</v>
      </c>
      <c r="E11376">
        <v>308.95</v>
      </c>
      <c r="F11376" s="2" t="str">
        <f>IF(Table2[[#This Row],[Manual Cat Value]]="",VLOOKUP(Table2[[#This Row],[Description]],'Actuals Lookup'!D:F,3,0),VLOOKUP(Table2[[#This Row],[Manual Cat Value]],Lookup!A:B,2,0))</f>
        <v>Delete</v>
      </c>
      <c r="G11376" t="s">
        <v>67</v>
      </c>
      <c r="H11376" t="s">
        <v>9</v>
      </c>
      <c r="I11376" s="8"/>
      <c r="O11376" t="str">
        <f>LEFT(Table2[[#This Row],[Description]],75)</f>
        <v>Delta Air Lines</v>
      </c>
    </row>
    <row r="11377" spans="1:15" hidden="1">
      <c r="A11377">
        <v>202405</v>
      </c>
      <c r="B11377" s="6">
        <v>45413</v>
      </c>
      <c r="C11377" t="s">
        <v>5160</v>
      </c>
      <c r="D11377" t="s">
        <v>113</v>
      </c>
      <c r="E11377">
        <v>14.08</v>
      </c>
      <c r="F11377" s="2" t="str">
        <f>IF(Table2[[#This Row],[Manual Cat Value]]="",VLOOKUP(Table2[[#This Row],[Description]],'Actuals Lookup'!D:F,3,0),VLOOKUP(Table2[[#This Row],[Manual Cat Value]],Lookup!A:B,2,0))</f>
        <v>Amazon</v>
      </c>
      <c r="G11377" t="s">
        <v>38</v>
      </c>
      <c r="I11377" s="8"/>
      <c r="O11377" t="str">
        <f>LEFT(Table2[[#This Row],[Description]],75)</f>
        <v>Amazon Marketplace</v>
      </c>
    </row>
    <row r="11378" spans="1:15" hidden="1">
      <c r="A11378">
        <v>202405</v>
      </c>
      <c r="B11378" s="6">
        <v>45413</v>
      </c>
      <c r="C11378" t="s">
        <v>3938</v>
      </c>
      <c r="D11378" t="s">
        <v>5361</v>
      </c>
      <c r="E11378">
        <v>6.49</v>
      </c>
      <c r="F11378" s="2" t="str">
        <f>IF(Table2[[#This Row],[Manual Cat Value]]="",VLOOKUP(Table2[[#This Row],[Description]],'Actuals Lookup'!D:F,3,0),VLOOKUP(Table2[[#This Row],[Manual Cat Value]],Lookup!A:B,2,0))</f>
        <v>Entertainment</v>
      </c>
      <c r="H11378" s="8" t="s">
        <v>39</v>
      </c>
      <c r="I11378" s="8"/>
      <c r="O11378" t="str">
        <f>LEFT(Table2[[#This Row],[Description]],75)</f>
        <v>Amazon Music*2P9GC6K03 XX-3080 WA REF #XX9216GAXX6548WF</v>
      </c>
    </row>
    <row r="11379" spans="1:15" hidden="1">
      <c r="A11379">
        <v>202405</v>
      </c>
      <c r="B11379" s="6">
        <v>45413</v>
      </c>
      <c r="C11379" t="s">
        <v>2519</v>
      </c>
      <c r="D11379" t="s">
        <v>1460</v>
      </c>
      <c r="E11379">
        <v>2741.74</v>
      </c>
      <c r="F11379" s="2" t="str">
        <f>IF(Table2[[#This Row],[Manual Cat Value]]="",VLOOKUP(Table2[[#This Row],[Description]],'Actuals Lookup'!D:F,3,0),VLOOKUP(Table2[[#This Row],[Manual Cat Value]],Lookup!A:B,2,0))</f>
        <v>Rent</v>
      </c>
      <c r="I11379" s="8"/>
      <c r="O11379" t="str">
        <f>LEFT(Table2[[#This Row],[Description]],75)</f>
        <v>Payment to Baxter Credit Union</v>
      </c>
    </row>
    <row r="11380" spans="1:15" hidden="1">
      <c r="A11380">
        <v>202405</v>
      </c>
      <c r="B11380" s="6">
        <v>45413</v>
      </c>
      <c r="C11380" t="s">
        <v>5160</v>
      </c>
      <c r="D11380" t="s">
        <v>1707</v>
      </c>
      <c r="E11380">
        <v>35.07</v>
      </c>
      <c r="F11380" s="2" t="str">
        <f>IF(Table2[[#This Row],[Manual Cat Value]]="",VLOOKUP(Table2[[#This Row],[Description]],'Actuals Lookup'!D:F,3,0),VLOOKUP(Table2[[#This Row],[Manual Cat Value]],Lookup!A:B,2,0))</f>
        <v>Transportation</v>
      </c>
      <c r="G11380" t="s">
        <v>23</v>
      </c>
      <c r="I11380" s="8"/>
      <c r="O11380" t="str">
        <f>LEFT(Table2[[#This Row],[Description]],75)</f>
        <v>Speedway</v>
      </c>
    </row>
    <row r="11381" spans="1:15" hidden="1">
      <c r="A11381" s="25">
        <v>202408</v>
      </c>
      <c r="B11381" s="6">
        <v>45529</v>
      </c>
      <c r="C11381" t="s">
        <v>5160</v>
      </c>
      <c r="D11381" t="s">
        <v>703</v>
      </c>
      <c r="E11381">
        <v>293.97000000000003</v>
      </c>
      <c r="F11381" s="2" t="str">
        <f>IF(Table2[[#This Row],[Manual Cat Value]]="",VLOOKUP(Table2[[#This Row],[Description]],'Actuals Lookup'!D:F,3,0),VLOOKUP(Table2[[#This Row],[Manual Cat Value]],Lookup!A:B,2,0))</f>
        <v>Delete</v>
      </c>
      <c r="G11381" t="s">
        <v>67</v>
      </c>
      <c r="I11381" s="8"/>
      <c r="O11381" t="str">
        <f>LEFT(Table2[[#This Row],[Description]],75)</f>
        <v>Delta Air Lines</v>
      </c>
    </row>
    <row r="11382" spans="1:15" hidden="1">
      <c r="A11382">
        <v>202405</v>
      </c>
      <c r="B11382" s="6">
        <v>45414</v>
      </c>
      <c r="C11382" t="s">
        <v>3938</v>
      </c>
      <c r="D11382" t="s">
        <v>5362</v>
      </c>
      <c r="E11382">
        <v>6.49</v>
      </c>
      <c r="F11382" s="2" t="str">
        <f>IF(Table2[[#This Row],[Manual Cat Value]]="",VLOOKUP(Table2[[#This Row],[Description]],'Actuals Lookup'!D:F,3,0),VLOOKUP(Table2[[#This Row],[Manual Cat Value]],Lookup!A:B,2,0))</f>
        <v>Amazon</v>
      </c>
      <c r="H11382" s="8" t="s">
        <v>37</v>
      </c>
      <c r="I11382" s="8"/>
      <c r="O11382" t="str">
        <f>LEFT(Table2[[#This Row],[Description]],75)</f>
        <v>AMZN Mktp US*NG3D34MR3 Amzn.com/billWA REF #XX9216GB320E3SK8</v>
      </c>
    </row>
    <row r="11383" spans="1:15" hidden="1">
      <c r="A11383">
        <v>202405</v>
      </c>
      <c r="B11383" s="6">
        <v>45414</v>
      </c>
      <c r="C11383" t="s">
        <v>3938</v>
      </c>
      <c r="D11383" t="s">
        <v>5363</v>
      </c>
      <c r="E11383">
        <v>7.58</v>
      </c>
      <c r="F11383" s="2" t="str">
        <f>IF(Table2[[#This Row],[Manual Cat Value]]="",VLOOKUP(Table2[[#This Row],[Description]],'Actuals Lookup'!D:F,3,0),VLOOKUP(Table2[[#This Row],[Manual Cat Value]],Lookup!A:B,2,0))</f>
        <v>Amazon</v>
      </c>
      <c r="H11383" s="8" t="s">
        <v>37</v>
      </c>
      <c r="I11383" s="8"/>
      <c r="O11383" t="str">
        <f>LEFT(Table2[[#This Row],[Description]],75)</f>
        <v>AMZN Mktp US*WZ7GQ0L63 Amzn.com/billWA REF #XX9216GA31W0M151</v>
      </c>
    </row>
    <row r="11384" spans="1:15" hidden="1">
      <c r="A11384">
        <v>202405</v>
      </c>
      <c r="B11384" s="6">
        <v>45414</v>
      </c>
      <c r="C11384" t="s">
        <v>5160</v>
      </c>
      <c r="D11384" t="s">
        <v>5322</v>
      </c>
      <c r="E11384">
        <v>116.28</v>
      </c>
      <c r="F11384" s="2" t="str">
        <f>IF(Table2[[#This Row],[Manual Cat Value]]="",VLOOKUP(Table2[[#This Row],[Description]],'Actuals Lookup'!D:F,3,0),VLOOKUP(Table2[[#This Row],[Manual Cat Value]],Lookup!A:B,2,0))</f>
        <v>Groceries</v>
      </c>
      <c r="G11384" t="s">
        <v>28</v>
      </c>
      <c r="H11384" s="8" t="s">
        <v>27</v>
      </c>
      <c r="I11384" s="8"/>
      <c r="O11384" t="str">
        <f>LEFT(Table2[[#This Row],[Description]],75)</f>
        <v>Hungryroot</v>
      </c>
    </row>
    <row r="11385" spans="1:15" hidden="1">
      <c r="A11385">
        <v>202405</v>
      </c>
      <c r="B11385" s="6">
        <v>45414</v>
      </c>
      <c r="C11385" t="s">
        <v>2519</v>
      </c>
      <c r="D11385" t="s">
        <v>5364</v>
      </c>
      <c r="E11385">
        <v>386</v>
      </c>
      <c r="F11385" s="2" t="str">
        <f>IF(Table2[[#This Row],[Manual Cat Value]]="",VLOOKUP(Table2[[#This Row],[Description]],'Actuals Lookup'!D:F,3,0),VLOOKUP(Table2[[#This Row],[Manual Cat Value]],Lookup!A:B,2,0))</f>
        <v>Utilities</v>
      </c>
      <c r="H11385" s="8" t="s">
        <v>6</v>
      </c>
      <c r="I11385" s="8"/>
      <c r="O11385" t="str">
        <f>LEFT(Table2[[#This Row],[Description]],75)</f>
        <v>Withdrawal ACH NORTHERN STAR EV TYPE: SES:XX0378 ID: XX3620 CO: NORTHERN ST</v>
      </c>
    </row>
    <row r="11386" spans="1:15" hidden="1">
      <c r="A11386">
        <v>202405</v>
      </c>
      <c r="B11386" s="6">
        <v>45415</v>
      </c>
      <c r="C11386" t="s">
        <v>5160</v>
      </c>
      <c r="D11386" t="s">
        <v>5365</v>
      </c>
      <c r="E11386">
        <v>76.599999999999994</v>
      </c>
      <c r="F11386" s="2" t="str">
        <f>IF(Table2[[#This Row],[Manual Cat Value]]="",VLOOKUP(Table2[[#This Row],[Description]],'Actuals Lookup'!D:F,3,0),VLOOKUP(Table2[[#This Row],[Manual Cat Value]],Lookup!A:B,2,0))</f>
        <v>Restaurants</v>
      </c>
      <c r="G11386" t="s">
        <v>26</v>
      </c>
      <c r="H11386" s="8" t="s">
        <v>25</v>
      </c>
      <c r="I11386" s="8"/>
      <c r="O11386" t="str">
        <f>LEFT(Table2[[#This Row],[Description]],75)</f>
        <v>Buca Di Beppo</v>
      </c>
    </row>
    <row r="11387" spans="1:15" hidden="1">
      <c r="A11387">
        <v>202405</v>
      </c>
      <c r="B11387" s="6">
        <v>45415</v>
      </c>
      <c r="C11387" t="s">
        <v>5160</v>
      </c>
      <c r="D11387" t="s">
        <v>5036</v>
      </c>
      <c r="E11387">
        <v>4</v>
      </c>
      <c r="F11387" s="2" t="str">
        <f>IF(Table2[[#This Row],[Manual Cat Value]]="",VLOOKUP(Table2[[#This Row],[Description]],'Actuals Lookup'!D:F,3,0),VLOOKUP(Table2[[#This Row],[Manual Cat Value]],Lookup!A:B,2,0))</f>
        <v>Utilities</v>
      </c>
      <c r="G11387" t="s">
        <v>62</v>
      </c>
      <c r="I11387" s="8"/>
      <c r="O11387" t="str">
        <f>LEFT(Table2[[#This Row],[Description]],75)</f>
        <v>Google *svcsgns.3349g.co/helppay# Ca</v>
      </c>
    </row>
    <row r="11388" spans="1:15" hidden="1">
      <c r="A11388" s="25">
        <v>202408</v>
      </c>
      <c r="B11388" s="6">
        <v>45529</v>
      </c>
      <c r="C11388" t="s">
        <v>5160</v>
      </c>
      <c r="D11388" t="s">
        <v>703</v>
      </c>
      <c r="E11388">
        <v>268.98</v>
      </c>
      <c r="F11388" s="2" t="str">
        <f>IF(Table2[[#This Row],[Manual Cat Value]]="",VLOOKUP(Table2[[#This Row],[Description]],'Actuals Lookup'!D:F,3,0),VLOOKUP(Table2[[#This Row],[Manual Cat Value]],Lookup!A:B,2,0))</f>
        <v>Delete</v>
      </c>
      <c r="G11388" t="s">
        <v>67</v>
      </c>
      <c r="I11388" s="8"/>
      <c r="O11388" t="str">
        <f>LEFT(Table2[[#This Row],[Description]],75)</f>
        <v>Delta Air Lines</v>
      </c>
    </row>
    <row r="11389" spans="1:15" hidden="1">
      <c r="A11389">
        <v>202405</v>
      </c>
      <c r="B11389" s="6">
        <v>45416</v>
      </c>
      <c r="C11389" t="s">
        <v>5160</v>
      </c>
      <c r="D11389" t="s">
        <v>5366</v>
      </c>
      <c r="E11389">
        <v>36.82</v>
      </c>
      <c r="F11389" s="2" t="str">
        <f>IF(Table2[[#This Row],[Manual Cat Value]]="",VLOOKUP(Table2[[#This Row],[Description]],'Actuals Lookup'!D:F,3,0),VLOOKUP(Table2[[#This Row],[Manual Cat Value]],Lookup!A:B,2,0))</f>
        <v>Entertainment</v>
      </c>
      <c r="G11389" t="s">
        <v>35</v>
      </c>
      <c r="H11389" s="8" t="s">
        <v>39</v>
      </c>
      <c r="I11389" s="8"/>
      <c r="O11389" t="str">
        <f>LEFT(Table2[[#This Row],[Description]],75)</f>
        <v>Bt*i See Me! Plymouth Mn</v>
      </c>
    </row>
    <row r="11390" spans="1:15" hidden="1">
      <c r="A11390">
        <v>202405</v>
      </c>
      <c r="B11390" s="6">
        <v>45416</v>
      </c>
      <c r="C11390" t="s">
        <v>5160</v>
      </c>
      <c r="D11390" t="s">
        <v>1083</v>
      </c>
      <c r="E11390">
        <v>54.59</v>
      </c>
      <c r="F11390" s="2" t="str">
        <f>IF(Table2[[#This Row],[Manual Cat Value]]="",VLOOKUP(Table2[[#This Row],[Description]],'Actuals Lookup'!D:F,3,0),VLOOKUP(Table2[[#This Row],[Manual Cat Value]],Lookup!A:B,2,0))</f>
        <v>Transportation</v>
      </c>
      <c r="G11390" t="s">
        <v>23</v>
      </c>
      <c r="I11390" s="8"/>
      <c r="O11390" t="str">
        <f>LEFT(Table2[[#This Row],[Description]],75)</f>
        <v>Kwik Trip</v>
      </c>
    </row>
    <row r="11391" spans="1:15" hidden="1">
      <c r="A11391">
        <v>202405</v>
      </c>
      <c r="B11391" s="6">
        <v>45417</v>
      </c>
      <c r="C11391" t="s">
        <v>3938</v>
      </c>
      <c r="D11391" t="s">
        <v>5367</v>
      </c>
      <c r="E11391">
        <v>14.99</v>
      </c>
      <c r="F11391" s="2" t="str">
        <f>IF(Table2[[#This Row],[Manual Cat Value]]="",VLOOKUP(Table2[[#This Row],[Description]],'Actuals Lookup'!D:F,3,0),VLOOKUP(Table2[[#This Row],[Manual Cat Value]],Lookup!A:B,2,0))</f>
        <v>Amazon</v>
      </c>
      <c r="H11391" s="8" t="s">
        <v>37</v>
      </c>
      <c r="I11391" s="8"/>
      <c r="O11391" t="str">
        <f>LEFT(Table2[[#This Row],[Description]],75)</f>
        <v>AMZN Mktp US*5O3W09TP3 Amzn.com/billWA REF #XX9216GQ3383NPH7</v>
      </c>
    </row>
    <row r="11392" spans="1:15" hidden="1">
      <c r="A11392">
        <v>202405</v>
      </c>
      <c r="B11392" s="6">
        <v>45417</v>
      </c>
      <c r="C11392" t="s">
        <v>2281</v>
      </c>
      <c r="D11392" t="s">
        <v>14</v>
      </c>
      <c r="E11392">
        <f>125*2</f>
        <v>250</v>
      </c>
      <c r="F11392" s="2" t="str">
        <f>IF(Table2[[#This Row],[Manual Cat Value]]="",VLOOKUP(Table2[[#This Row],[Description]],'Actuals Lookup'!D:F,3,0),VLOOKUP(Table2[[#This Row],[Manual Cat Value]],Lookup!A:B,2,0))</f>
        <v>Cleaning</v>
      </c>
      <c r="H11392" s="8" t="s">
        <v>13</v>
      </c>
      <c r="I11392" s="8"/>
      <c r="O11392" t="str">
        <f>LEFT(Table2[[#This Row],[Description]],75)</f>
        <v>Cleaning</v>
      </c>
    </row>
    <row r="11393" spans="1:15" hidden="1">
      <c r="A11393">
        <v>202405</v>
      </c>
      <c r="B11393" s="6">
        <v>45417</v>
      </c>
      <c r="C11393" t="s">
        <v>5160</v>
      </c>
      <c r="D11393" t="s">
        <v>1508</v>
      </c>
      <c r="E11393">
        <v>245.27</v>
      </c>
      <c r="F11393" s="2" t="str">
        <f>IF(Table2[[#This Row],[Manual Cat Value]]="",VLOOKUP(Table2[[#This Row],[Description]],'Actuals Lookup'!D:F,3,0),VLOOKUP(Table2[[#This Row],[Manual Cat Value]],Lookup!A:B,2,0))</f>
        <v>Shopping</v>
      </c>
      <c r="G11393" t="s">
        <v>41</v>
      </c>
      <c r="I11393" s="8"/>
      <c r="O11393" t="str">
        <f>LEFT(Table2[[#This Row],[Description]],75)</f>
        <v>Pottery Barn</v>
      </c>
    </row>
    <row r="11394" spans="1:15" hidden="1">
      <c r="A11394">
        <v>202405</v>
      </c>
      <c r="B11394" s="6">
        <v>45417</v>
      </c>
      <c r="C11394" t="s">
        <v>5160</v>
      </c>
      <c r="D11394" t="s">
        <v>1849</v>
      </c>
      <c r="E11394">
        <v>162.69999999999999</v>
      </c>
      <c r="F11394" s="2" t="str">
        <f>IF(Table2[[#This Row],[Manual Cat Value]]="",VLOOKUP(Table2[[#This Row],[Description]],'Actuals Lookup'!D:F,3,0),VLOOKUP(Table2[[#This Row],[Manual Cat Value]],Lookup!A:B,2,0))</f>
        <v>House Maintenance</v>
      </c>
      <c r="G11394" t="s">
        <v>2</v>
      </c>
      <c r="I11394" s="8"/>
      <c r="O11394" t="str">
        <f>LEFT(Table2[[#This Row],[Description]],75)</f>
        <v>The Home Depot</v>
      </c>
    </row>
    <row r="11395" spans="1:15" hidden="1">
      <c r="A11395">
        <v>202405</v>
      </c>
      <c r="B11395" s="6">
        <v>45417</v>
      </c>
      <c r="C11395" t="s">
        <v>3938</v>
      </c>
      <c r="D11395" t="s">
        <v>2101</v>
      </c>
      <c r="E11395">
        <v>27.2</v>
      </c>
      <c r="F11395" s="2" t="str">
        <f>IF(Table2[[#This Row],[Manual Cat Value]]="",VLOOKUP(Table2[[#This Row],[Description]],'Actuals Lookup'!D:F,3,0),VLOOKUP(Table2[[#This Row],[Manual Cat Value]],Lookup!A:B,2,0))</f>
        <v>Misc</v>
      </c>
      <c r="I11395" s="8"/>
      <c r="O11395" t="str">
        <f>LEFT(Table2[[#This Row],[Description]],75)</f>
        <v>USPS</v>
      </c>
    </row>
    <row r="11396" spans="1:15" hidden="1">
      <c r="A11396">
        <v>202405</v>
      </c>
      <c r="B11396" s="6">
        <v>45419</v>
      </c>
      <c r="C11396" t="s">
        <v>3938</v>
      </c>
      <c r="D11396" t="s">
        <v>5249</v>
      </c>
      <c r="E11396">
        <v>100</v>
      </c>
      <c r="F11396" s="2" t="str">
        <f>IF(Table2[[#This Row],[Manual Cat Value]]="",VLOOKUP(Table2[[#This Row],[Description]],'Actuals Lookup'!D:F,3,0),VLOOKUP(Table2[[#This Row],[Manual Cat Value]],Lookup!A:B,2,0))</f>
        <v>Entertainment</v>
      </c>
      <c r="I11396" s="8"/>
      <c r="O11396" t="str">
        <f>LEFT(Table2[[#This Row],[Description]],75)</f>
        <v>Anna Nails</v>
      </c>
    </row>
    <row r="11397" spans="1:15" hidden="1">
      <c r="A11397">
        <v>202405</v>
      </c>
      <c r="B11397" s="6">
        <v>45419</v>
      </c>
      <c r="C11397" t="s">
        <v>5160</v>
      </c>
      <c r="D11397" t="s">
        <v>1083</v>
      </c>
      <c r="E11397">
        <v>50.4</v>
      </c>
      <c r="F11397" s="2" t="str">
        <f>IF(Table2[[#This Row],[Manual Cat Value]]="",VLOOKUP(Table2[[#This Row],[Description]],'Actuals Lookup'!D:F,3,0),VLOOKUP(Table2[[#This Row],[Manual Cat Value]],Lookup!A:B,2,0))</f>
        <v>Transportation</v>
      </c>
      <c r="G11397" t="s">
        <v>23</v>
      </c>
      <c r="I11397" s="8"/>
      <c r="O11397" t="str">
        <f>LEFT(Table2[[#This Row],[Description]],75)</f>
        <v>Kwik Trip</v>
      </c>
    </row>
    <row r="11398" spans="1:15" hidden="1">
      <c r="A11398">
        <v>202405</v>
      </c>
      <c r="B11398" s="6">
        <v>45419</v>
      </c>
      <c r="C11398" t="s">
        <v>2519</v>
      </c>
      <c r="D11398" t="s">
        <v>1469</v>
      </c>
      <c r="E11398">
        <v>194.39</v>
      </c>
      <c r="F11398" s="2" t="str">
        <f>IF(Table2[[#This Row],[Manual Cat Value]]="",VLOOKUP(Table2[[#This Row],[Description]],'Actuals Lookup'!D:F,3,0),VLOOKUP(Table2[[#This Row],[Manual Cat Value]],Lookup!A:B,2,0))</f>
        <v>Utilities</v>
      </c>
      <c r="I11398" s="8"/>
      <c r="O11398" t="str">
        <f>LEFT(Table2[[#This Row],[Description]],75)</f>
        <v>Payment to Waste management</v>
      </c>
    </row>
    <row r="11399" spans="1:15" hidden="1">
      <c r="A11399">
        <v>202405</v>
      </c>
      <c r="B11399" s="6">
        <v>45419</v>
      </c>
      <c r="C11399" t="s">
        <v>5160</v>
      </c>
      <c r="D11399" t="s">
        <v>5368</v>
      </c>
      <c r="E11399">
        <v>467.07</v>
      </c>
      <c r="F11399" s="2" t="str">
        <f>IF(Table2[[#This Row],[Manual Cat Value]]="",VLOOKUP(Table2[[#This Row],[Description]],'Actuals Lookup'!D:F,3,0),VLOOKUP(Table2[[#This Row],[Manual Cat Value]],Lookup!A:B,2,0))</f>
        <v>Shopping</v>
      </c>
      <c r="G11399" t="s">
        <v>41</v>
      </c>
      <c r="H11399" s="8" t="s">
        <v>36</v>
      </c>
      <c r="I11399" s="8"/>
      <c r="O11399" t="str">
        <f>LEFT(Table2[[#This Row],[Description]],75)</f>
        <v>Yeti</v>
      </c>
    </row>
    <row r="11400" spans="1:15" hidden="1">
      <c r="A11400">
        <v>202405</v>
      </c>
      <c r="B11400" s="6">
        <v>45419</v>
      </c>
      <c r="C11400" t="s">
        <v>5160</v>
      </c>
      <c r="D11400" t="s">
        <v>5368</v>
      </c>
      <c r="E11400">
        <v>87.21</v>
      </c>
      <c r="F11400" s="2" t="str">
        <f>IF(Table2[[#This Row],[Manual Cat Value]]="",VLOOKUP(Table2[[#This Row],[Description]],'Actuals Lookup'!D:F,3,0),VLOOKUP(Table2[[#This Row],[Manual Cat Value]],Lookup!A:B,2,0))</f>
        <v>Shopping</v>
      </c>
      <c r="G11400" t="s">
        <v>41</v>
      </c>
      <c r="H11400" s="8" t="s">
        <v>36</v>
      </c>
      <c r="I11400" s="8"/>
      <c r="O11400" t="str">
        <f>LEFT(Table2[[#This Row],[Description]],75)</f>
        <v>Yeti</v>
      </c>
    </row>
    <row r="11401" spans="1:15" hidden="1">
      <c r="A11401">
        <v>202405</v>
      </c>
      <c r="B11401" s="6">
        <v>45420</v>
      </c>
      <c r="C11401" t="s">
        <v>5160</v>
      </c>
      <c r="D11401" t="s">
        <v>5369</v>
      </c>
      <c r="E11401">
        <v>48.99</v>
      </c>
      <c r="F11401" s="2" t="str">
        <f>IF(Table2[[#This Row],[Manual Cat Value]]="",VLOOKUP(Table2[[#This Row],[Description]],'Actuals Lookup'!D:F,3,0),VLOOKUP(Table2[[#This Row],[Manual Cat Value]],Lookup!A:B,2,0))</f>
        <v>Day Care</v>
      </c>
      <c r="G11401" t="s">
        <v>31</v>
      </c>
      <c r="H11401" s="8" t="s">
        <v>19</v>
      </c>
      <c r="I11401" s="8"/>
      <c r="O11401" t="str">
        <f>LEFT(Table2[[#This Row],[Description]],75)</f>
        <v>Bt*preschool Smiles Eden Prairie Mn</v>
      </c>
    </row>
    <row r="11402" spans="1:15" hidden="1">
      <c r="A11402">
        <v>202405</v>
      </c>
      <c r="B11402" s="6">
        <v>45420</v>
      </c>
      <c r="C11402" t="s">
        <v>2519</v>
      </c>
      <c r="D11402" t="s">
        <v>1470</v>
      </c>
      <c r="E11402">
        <v>122.98</v>
      </c>
      <c r="F11402" s="2" t="str">
        <f>IF(Table2[[#This Row],[Manual Cat Value]]="",VLOOKUP(Table2[[#This Row],[Description]],'Actuals Lookup'!D:F,3,0),VLOOKUP(Table2[[#This Row],[Manual Cat Value]],Lookup!A:B,2,0))</f>
        <v>Utilities</v>
      </c>
      <c r="I11402" s="8"/>
      <c r="O11402" t="str">
        <f>LEFT(Table2[[#This Row],[Description]],75)</f>
        <v>Payment to Xcel Energy</v>
      </c>
    </row>
    <row r="11403" spans="1:15" hidden="1">
      <c r="A11403">
        <v>202405</v>
      </c>
      <c r="B11403" s="6">
        <v>45421</v>
      </c>
      <c r="C11403" t="s">
        <v>2519</v>
      </c>
      <c r="D11403" t="s">
        <v>404</v>
      </c>
      <c r="E11403">
        <v>-2697.1</v>
      </c>
      <c r="F11403" s="2" t="str">
        <f>IF(Table2[[#This Row],[Manual Cat Value]]="",VLOOKUP(Table2[[#This Row],[Description]],'Actuals Lookup'!D:F,3,0),VLOOKUP(Table2[[#This Row],[Manual Cat Value]],Lookup!A:B,2,0))</f>
        <v>Britney</v>
      </c>
      <c r="I11403" s="8"/>
      <c r="O11403" t="str">
        <f>LEFT(Table2[[#This Row],[Description]],75)</f>
        <v>Cargill Inc Deposit</v>
      </c>
    </row>
    <row r="11404" spans="1:15" hidden="1">
      <c r="A11404">
        <v>202405</v>
      </c>
      <c r="B11404" s="6">
        <v>45421</v>
      </c>
      <c r="C11404" t="s">
        <v>5160</v>
      </c>
      <c r="D11404" t="s">
        <v>5322</v>
      </c>
      <c r="E11404">
        <v>118.17</v>
      </c>
      <c r="F11404" s="2" t="str">
        <f>IF(Table2[[#This Row],[Manual Cat Value]]="",VLOOKUP(Table2[[#This Row],[Description]],'Actuals Lookup'!D:F,3,0),VLOOKUP(Table2[[#This Row],[Manual Cat Value]],Lookup!A:B,2,0))</f>
        <v>Groceries</v>
      </c>
      <c r="G11404" t="s">
        <v>28</v>
      </c>
      <c r="H11404" s="8" t="s">
        <v>27</v>
      </c>
      <c r="I11404" s="8"/>
      <c r="O11404" t="str">
        <f>LEFT(Table2[[#This Row],[Description]],75)</f>
        <v>Hungryroot</v>
      </c>
    </row>
    <row r="11405" spans="1:15" hidden="1">
      <c r="A11405">
        <v>202405</v>
      </c>
      <c r="B11405" s="6">
        <v>45421</v>
      </c>
      <c r="C11405" t="s">
        <v>3938</v>
      </c>
      <c r="D11405" t="s">
        <v>1477</v>
      </c>
      <c r="E11405">
        <v>47.69</v>
      </c>
      <c r="F11405" s="2" t="str">
        <f>IF(Table2[[#This Row],[Manual Cat Value]]="",VLOOKUP(Table2[[#This Row],[Description]],'Actuals Lookup'!D:F,3,0),VLOOKUP(Table2[[#This Row],[Manual Cat Value]],Lookup!A:B,2,0))</f>
        <v>Gym</v>
      </c>
      <c r="I11405" s="8"/>
      <c r="O11405" t="str">
        <f>LEFT(Table2[[#This Row],[Description]],75)</f>
        <v>Peloton Cycles</v>
      </c>
    </row>
    <row r="11406" spans="1:15" hidden="1">
      <c r="A11406">
        <v>202405</v>
      </c>
      <c r="B11406" s="6">
        <v>45421</v>
      </c>
      <c r="C11406" t="s">
        <v>3938</v>
      </c>
      <c r="D11406" t="s">
        <v>1849</v>
      </c>
      <c r="E11406">
        <v>44.21</v>
      </c>
      <c r="F11406" s="2" t="str">
        <f>IF(Table2[[#This Row],[Manual Cat Value]]="",VLOOKUP(Table2[[#This Row],[Description]],'Actuals Lookup'!D:F,3,0),VLOOKUP(Table2[[#This Row],[Manual Cat Value]],Lookup!A:B,2,0))</f>
        <v>House Maintenance</v>
      </c>
      <c r="I11406" s="8"/>
      <c r="O11406" t="str">
        <f>LEFT(Table2[[#This Row],[Description]],75)</f>
        <v>The Home Depot</v>
      </c>
    </row>
    <row r="11407" spans="1:15" hidden="1">
      <c r="A11407">
        <v>202405</v>
      </c>
      <c r="B11407" s="6">
        <v>45422</v>
      </c>
      <c r="C11407" t="s">
        <v>5160</v>
      </c>
      <c r="D11407" t="s">
        <v>113</v>
      </c>
      <c r="E11407">
        <v>96.67</v>
      </c>
      <c r="F11407" s="2" t="str">
        <f>IF(Table2[[#This Row],[Manual Cat Value]]="",VLOOKUP(Table2[[#This Row],[Description]],'Actuals Lookup'!D:F,3,0),VLOOKUP(Table2[[#This Row],[Manual Cat Value]],Lookup!A:B,2,0))</f>
        <v>Amazon</v>
      </c>
      <c r="G11407" t="s">
        <v>38</v>
      </c>
      <c r="I11407" s="8"/>
      <c r="O11407" t="str">
        <f>LEFT(Table2[[#This Row],[Description]],75)</f>
        <v>Amazon Marketplace</v>
      </c>
    </row>
    <row r="11408" spans="1:15" hidden="1">
      <c r="A11408">
        <v>202405</v>
      </c>
      <c r="B11408" s="6">
        <v>45422</v>
      </c>
      <c r="C11408" t="s">
        <v>5160</v>
      </c>
      <c r="D11408" t="s">
        <v>5370</v>
      </c>
      <c r="E11408">
        <v>100</v>
      </c>
      <c r="F11408" s="2" t="str">
        <f>IF(Table2[[#This Row],[Manual Cat Value]]="",VLOOKUP(Table2[[#This Row],[Description]],'Actuals Lookup'!D:F,3,0),VLOOKUP(Table2[[#This Row],[Manual Cat Value]],Lookup!A:B,2,0))</f>
        <v>Entertainment</v>
      </c>
      <c r="G11408" t="s">
        <v>62</v>
      </c>
      <c r="H11408" s="8" t="s">
        <v>39</v>
      </c>
      <c r="I11408" s="8"/>
      <c r="O11408" t="str">
        <f>LEFT(Table2[[#This Row],[Description]],75)</f>
        <v>Aplpay U Of M-arb Apchaska Mn</v>
      </c>
    </row>
    <row r="11409" spans="1:15" hidden="1">
      <c r="A11409">
        <v>202405</v>
      </c>
      <c r="B11409" s="6">
        <v>45422</v>
      </c>
      <c r="C11409" t="s">
        <v>5160</v>
      </c>
      <c r="D11409" t="s">
        <v>5334</v>
      </c>
      <c r="E11409">
        <v>137.24</v>
      </c>
      <c r="F11409" s="2" t="str">
        <f>IF(Table2[[#This Row],[Manual Cat Value]]="",VLOOKUP(Table2[[#This Row],[Description]],'Actuals Lookup'!D:F,3,0),VLOOKUP(Table2[[#This Row],[Manual Cat Value]],Lookup!A:B,2,0))</f>
        <v>Groceries</v>
      </c>
      <c r="G11409" t="s">
        <v>28</v>
      </c>
      <c r="H11409" s="8" t="s">
        <v>27</v>
      </c>
      <c r="I11409" s="8"/>
      <c r="O11409" t="str">
        <f>LEFT(Table2[[#This Row],[Description]],75)</f>
        <v>Mackenthun's Fine Fominnetrista Mn</v>
      </c>
    </row>
    <row r="11410" spans="1:15" hidden="1">
      <c r="A11410" s="25">
        <v>202408</v>
      </c>
      <c r="B11410" s="6">
        <v>45529</v>
      </c>
      <c r="C11410" t="s">
        <v>5160</v>
      </c>
      <c r="D11410" t="s">
        <v>703</v>
      </c>
      <c r="E11410">
        <v>618.48</v>
      </c>
      <c r="F11410" s="2" t="str">
        <f>IF(Table2[[#This Row],[Manual Cat Value]]="",VLOOKUP(Table2[[#This Row],[Description]],'Actuals Lookup'!D:F,3,0),VLOOKUP(Table2[[#This Row],[Manual Cat Value]],Lookup!A:B,2,0))</f>
        <v>Delete</v>
      </c>
      <c r="G11410" t="s">
        <v>67</v>
      </c>
      <c r="I11410" s="8"/>
      <c r="O11410" t="str">
        <f>LEFT(Table2[[#This Row],[Description]],75)</f>
        <v>Delta Air Lines</v>
      </c>
    </row>
    <row r="11411" spans="1:15" hidden="1">
      <c r="A11411">
        <v>202405</v>
      </c>
      <c r="B11411" s="6">
        <v>45422</v>
      </c>
      <c r="C11411" t="s">
        <v>3938</v>
      </c>
      <c r="D11411" t="s">
        <v>1849</v>
      </c>
      <c r="E11411">
        <v>269.93</v>
      </c>
      <c r="F11411" s="2" t="str">
        <f>IF(Table2[[#This Row],[Manual Cat Value]]="",VLOOKUP(Table2[[#This Row],[Description]],'Actuals Lookup'!D:F,3,0),VLOOKUP(Table2[[#This Row],[Manual Cat Value]],Lookup!A:B,2,0))</f>
        <v>House Maintenance</v>
      </c>
      <c r="I11411" s="8"/>
      <c r="O11411" t="str">
        <f>LEFT(Table2[[#This Row],[Description]],75)</f>
        <v>The Home Depot</v>
      </c>
    </row>
    <row r="11412" spans="1:15" hidden="1">
      <c r="A11412">
        <v>202405</v>
      </c>
      <c r="B11412" s="6">
        <v>45422</v>
      </c>
      <c r="C11412" t="s">
        <v>5160</v>
      </c>
      <c r="D11412" t="s">
        <v>5368</v>
      </c>
      <c r="E11412">
        <v>305.27</v>
      </c>
      <c r="F11412" s="2" t="str">
        <f>IF(Table2[[#This Row],[Manual Cat Value]]="",VLOOKUP(Table2[[#This Row],[Description]],'Actuals Lookup'!D:F,3,0),VLOOKUP(Table2[[#This Row],[Manual Cat Value]],Lookup!A:B,2,0))</f>
        <v>Shopping</v>
      </c>
      <c r="G11412" t="s">
        <v>41</v>
      </c>
      <c r="H11412" s="8" t="s">
        <v>36</v>
      </c>
      <c r="I11412" s="8"/>
      <c r="O11412" t="str">
        <f>LEFT(Table2[[#This Row],[Description]],75)</f>
        <v>Yeti</v>
      </c>
    </row>
    <row r="11413" spans="1:15" hidden="1">
      <c r="A11413">
        <v>202405</v>
      </c>
      <c r="B11413" s="6">
        <v>45423</v>
      </c>
      <c r="C11413" t="s">
        <v>5160</v>
      </c>
      <c r="D11413" t="s">
        <v>161</v>
      </c>
      <c r="E11413">
        <v>276</v>
      </c>
      <c r="F11413" s="2" t="str">
        <f>IF(Table2[[#This Row],[Manual Cat Value]]="",VLOOKUP(Table2[[#This Row],[Description]],'Actuals Lookup'!D:F,3,0),VLOOKUP(Table2[[#This Row],[Manual Cat Value]],Lookup!A:B,2,0))</f>
        <v>Shopping</v>
      </c>
      <c r="G11413" t="s">
        <v>21</v>
      </c>
      <c r="I11413" s="8"/>
      <c r="O11413" t="str">
        <f>LEFT(Table2[[#This Row],[Description]],75)</f>
        <v>Anthropologie</v>
      </c>
    </row>
    <row r="11414" spans="1:15" hidden="1">
      <c r="A11414">
        <v>202405</v>
      </c>
      <c r="B11414" s="6">
        <v>45423</v>
      </c>
      <c r="C11414" t="s">
        <v>5160</v>
      </c>
      <c r="D11414" t="s">
        <v>5371</v>
      </c>
      <c r="E11414">
        <v>81.42</v>
      </c>
      <c r="F11414" s="2" t="str">
        <f>IF(Table2[[#This Row],[Manual Cat Value]]="",VLOOKUP(Table2[[#This Row],[Description]],'Actuals Lookup'!D:F,3,0),VLOOKUP(Table2[[#This Row],[Manual Cat Value]],Lookup!A:B,2,0))</f>
        <v>Shopping</v>
      </c>
      <c r="G11414" t="s">
        <v>21</v>
      </c>
      <c r="H11414" s="8" t="s">
        <v>36</v>
      </c>
      <c r="I11414" s="8"/>
      <c r="O11414" t="str">
        <f>LEFT(Table2[[#This Row],[Description]],75)</f>
        <v>Aplpay Blvd *face Wayzata Mn</v>
      </c>
    </row>
    <row r="11415" spans="1:15" hidden="1">
      <c r="A11415">
        <v>202405</v>
      </c>
      <c r="B11415" s="6">
        <v>45423</v>
      </c>
      <c r="C11415" t="s">
        <v>5160</v>
      </c>
      <c r="D11415" t="s">
        <v>4663</v>
      </c>
      <c r="E11415">
        <v>63.29</v>
      </c>
      <c r="F11415" s="2" t="str">
        <f>IF(Table2[[#This Row],[Manual Cat Value]]="",VLOOKUP(Table2[[#This Row],[Description]],'Actuals Lookup'!D:F,3,0),VLOOKUP(Table2[[#This Row],[Manual Cat Value]],Lookup!A:B,2,0))</f>
        <v>Restaurants</v>
      </c>
      <c r="G11415" t="s">
        <v>26</v>
      </c>
      <c r="I11415" s="8"/>
      <c r="O11415" t="str">
        <f>LEFT(Table2[[#This Row],[Description]],75)</f>
        <v>Red Cow</v>
      </c>
    </row>
    <row r="11416" spans="1:15" hidden="1">
      <c r="A11416">
        <v>202405</v>
      </c>
      <c r="B11416" s="6">
        <v>45424</v>
      </c>
      <c r="C11416" t="s">
        <v>3938</v>
      </c>
      <c r="D11416" t="s">
        <v>38</v>
      </c>
      <c r="E11416">
        <v>6.29</v>
      </c>
      <c r="F11416" s="2" t="str">
        <f>IF(Table2[[#This Row],[Manual Cat Value]]="",VLOOKUP(Table2[[#This Row],[Description]],'Actuals Lookup'!D:F,3,0),VLOOKUP(Table2[[#This Row],[Manual Cat Value]],Lookup!A:B,2,0))</f>
        <v>Amazon</v>
      </c>
      <c r="I11416" s="8"/>
      <c r="O11416" t="str">
        <f>LEFT(Table2[[#This Row],[Description]],75)</f>
        <v>Amazon</v>
      </c>
    </row>
    <row r="11417" spans="1:15" hidden="1">
      <c r="A11417" s="25">
        <v>202408</v>
      </c>
      <c r="B11417" s="6">
        <v>45529</v>
      </c>
      <c r="C11417" t="s">
        <v>5160</v>
      </c>
      <c r="D11417" t="s">
        <v>703</v>
      </c>
      <c r="E11417">
        <v>228.48</v>
      </c>
      <c r="F11417" s="2" t="str">
        <f>IF(Table2[[#This Row],[Manual Cat Value]]="",VLOOKUP(Table2[[#This Row],[Description]],'Actuals Lookup'!D:F,3,0),VLOOKUP(Table2[[#This Row],[Manual Cat Value]],Lookup!A:B,2,0))</f>
        <v>Delete</v>
      </c>
      <c r="G11417" t="s">
        <v>67</v>
      </c>
      <c r="I11417" s="8"/>
      <c r="O11417" t="str">
        <f>LEFT(Table2[[#This Row],[Description]],75)</f>
        <v>Delta Air Lines</v>
      </c>
    </row>
    <row r="11418" spans="1:15" hidden="1">
      <c r="A11418">
        <v>202405</v>
      </c>
      <c r="B11418" s="6">
        <v>45424</v>
      </c>
      <c r="C11418" t="s">
        <v>3938</v>
      </c>
      <c r="D11418" t="s">
        <v>4868</v>
      </c>
      <c r="E11418">
        <v>5.99</v>
      </c>
      <c r="F11418" s="2" t="str">
        <f>IF(Table2[[#This Row],[Manual Cat Value]]="",VLOOKUP(Table2[[#This Row],[Description]],'Actuals Lookup'!D:F,3,0),VLOOKUP(Table2[[#This Row],[Manual Cat Value]],Lookup!A:B,2,0))</f>
        <v>Entertainment</v>
      </c>
      <c r="I11418" s="8"/>
      <c r="O11418" t="str">
        <f>LEFT(Table2[[#This Row],[Description]],75)</f>
        <v>Hallmark Movies Now</v>
      </c>
    </row>
    <row r="11419" spans="1:15" hidden="1">
      <c r="A11419">
        <v>202405</v>
      </c>
      <c r="B11419" s="6">
        <v>45424</v>
      </c>
      <c r="C11419" t="s">
        <v>5160</v>
      </c>
      <c r="D11419" t="s">
        <v>5372</v>
      </c>
      <c r="E11419">
        <v>355.99</v>
      </c>
      <c r="F11419" s="2" t="str">
        <f>IF(Table2[[#This Row],[Manual Cat Value]]="",VLOOKUP(Table2[[#This Row],[Description]],'Actuals Lookup'!D:F,3,0),VLOOKUP(Table2[[#This Row],[Manual Cat Value]],Lookup!A:B,2,0))</f>
        <v>Restaurants</v>
      </c>
      <c r="G11419" t="s">
        <v>62</v>
      </c>
      <c r="H11419" s="8" t="s">
        <v>25</v>
      </c>
      <c r="I11419" s="8"/>
      <c r="O11419" t="str">
        <f>LEFT(Table2[[#This Row],[Description]],75)</f>
        <v>Matchstick</v>
      </c>
    </row>
    <row r="11420" spans="1:15" hidden="1">
      <c r="A11420">
        <v>202405</v>
      </c>
      <c r="B11420" s="6">
        <v>45424</v>
      </c>
      <c r="C11420" t="s">
        <v>3938</v>
      </c>
      <c r="D11420" t="s">
        <v>1350</v>
      </c>
      <c r="E11420">
        <v>25.6</v>
      </c>
      <c r="F11420" s="2" t="str">
        <f>IF(Table2[[#This Row],[Manual Cat Value]]="",VLOOKUP(Table2[[#This Row],[Description]],'Actuals Lookup'!D:F,3,0),VLOOKUP(Table2[[#This Row],[Manual Cat Value]],Lookup!A:B,2,0))</f>
        <v>Utilities</v>
      </c>
      <c r="I11420" s="8"/>
      <c r="O11420" t="str">
        <f>LEFT(Table2[[#This Row],[Description]],75)</f>
        <v>Netflix</v>
      </c>
    </row>
    <row r="11421" spans="1:15" hidden="1">
      <c r="A11421" s="25">
        <v>202408</v>
      </c>
      <c r="B11421" s="6">
        <v>45529</v>
      </c>
      <c r="C11421" t="s">
        <v>5160</v>
      </c>
      <c r="D11421" t="s">
        <v>703</v>
      </c>
      <c r="E11421">
        <v>165.47</v>
      </c>
      <c r="F11421" s="2" t="str">
        <f>IF(Table2[[#This Row],[Manual Cat Value]]="",VLOOKUP(Table2[[#This Row],[Description]],'Actuals Lookup'!D:F,3,0),VLOOKUP(Table2[[#This Row],[Manual Cat Value]],Lookup!A:B,2,0))</f>
        <v>Delete</v>
      </c>
      <c r="G11421" t="s">
        <v>67</v>
      </c>
      <c r="I11421" s="8"/>
      <c r="O11421" t="str">
        <f>LEFT(Table2[[#This Row],[Description]],75)</f>
        <v>Delta Air Lines</v>
      </c>
    </row>
    <row r="11422" spans="1:15" hidden="1">
      <c r="A11422">
        <v>202405</v>
      </c>
      <c r="B11422" s="6">
        <v>45425</v>
      </c>
      <c r="C11422" t="s">
        <v>3938</v>
      </c>
      <c r="D11422" t="s">
        <v>38</v>
      </c>
      <c r="E11422">
        <v>28.67</v>
      </c>
      <c r="F11422" s="2" t="str">
        <f>IF(Table2[[#This Row],[Manual Cat Value]]="",VLOOKUP(Table2[[#This Row],[Description]],'Actuals Lookup'!D:F,3,0),VLOOKUP(Table2[[#This Row],[Manual Cat Value]],Lookup!A:B,2,0))</f>
        <v>Amazon</v>
      </c>
      <c r="I11422" s="8"/>
      <c r="O11422" t="str">
        <f>LEFT(Table2[[#This Row],[Description]],75)</f>
        <v>Amazon</v>
      </c>
    </row>
    <row r="11423" spans="1:15" hidden="1">
      <c r="A11423">
        <v>202405</v>
      </c>
      <c r="B11423" s="6">
        <v>45425</v>
      </c>
      <c r="C11423" t="s">
        <v>3938</v>
      </c>
      <c r="D11423" t="s">
        <v>5373</v>
      </c>
      <c r="E11423">
        <v>35.4</v>
      </c>
      <c r="F11423" s="2" t="str">
        <f>IF(Table2[[#This Row],[Manual Cat Value]]="",VLOOKUP(Table2[[#This Row],[Description]],'Actuals Lookup'!D:F,3,0),VLOOKUP(Table2[[#This Row],[Manual Cat Value]],Lookup!A:B,2,0))</f>
        <v>Restaurants</v>
      </c>
      <c r="H11423" s="8" t="s">
        <v>25</v>
      </c>
      <c r="I11423" s="8"/>
      <c r="O11423" t="str">
        <f>LEFT(Table2[[#This Row],[Description]],75)</f>
        <v>BENEDICTS RESTAURANT WAYZWAYZATA MN REF #XX3186GM0W0KDF5Z</v>
      </c>
    </row>
    <row r="11424" spans="1:15" hidden="1">
      <c r="A11424">
        <v>202405</v>
      </c>
      <c r="B11424" s="6">
        <v>45425</v>
      </c>
      <c r="C11424" t="s">
        <v>5160</v>
      </c>
      <c r="D11424" t="s">
        <v>5374</v>
      </c>
      <c r="E11424">
        <v>24</v>
      </c>
      <c r="F11424" s="2" t="str">
        <f>IF(Table2[[#This Row],[Manual Cat Value]]="",VLOOKUP(Table2[[#This Row],[Description]],'Actuals Lookup'!D:F,3,0),VLOOKUP(Table2[[#This Row],[Manual Cat Value]],Lookup!A:B,2,0))</f>
        <v>Entertainment</v>
      </c>
      <c r="G11424" t="s">
        <v>62</v>
      </c>
      <c r="H11424" s="8" t="s">
        <v>39</v>
      </c>
      <c r="I11424" s="8"/>
      <c r="O11424" t="str">
        <f>LEFT(Table2[[#This Row],[Description]],75)</f>
        <v>Fsp*chaska Town Courchaska Mn</v>
      </c>
    </row>
    <row r="11425" spans="1:15" hidden="1">
      <c r="A11425" s="25">
        <v>202408</v>
      </c>
      <c r="B11425" s="6">
        <v>45529</v>
      </c>
      <c r="C11425" t="s">
        <v>5160</v>
      </c>
      <c r="D11425" t="s">
        <v>703</v>
      </c>
      <c r="E11425">
        <v>268.48</v>
      </c>
      <c r="F11425" s="2" t="str">
        <f>IF(Table2[[#This Row],[Manual Cat Value]]="",VLOOKUP(Table2[[#This Row],[Description]],'Actuals Lookup'!D:F,3,0),VLOOKUP(Table2[[#This Row],[Manual Cat Value]],Lookup!A:B,2,0))</f>
        <v>Delete</v>
      </c>
      <c r="G11425" t="s">
        <v>67</v>
      </c>
      <c r="I11425" s="8"/>
      <c r="O11425" t="str">
        <f>LEFT(Table2[[#This Row],[Description]],75)</f>
        <v>Delta Air Lines</v>
      </c>
    </row>
    <row r="11426" spans="1:15" hidden="1">
      <c r="A11426">
        <v>202405</v>
      </c>
      <c r="B11426" s="6">
        <v>45425</v>
      </c>
      <c r="C11426" t="s">
        <v>3938</v>
      </c>
      <c r="D11426" t="s">
        <v>1462</v>
      </c>
      <c r="E11426">
        <v>45</v>
      </c>
      <c r="F11426" s="2" t="str">
        <f>IF(Table2[[#This Row],[Manual Cat Value]]="",VLOOKUP(Table2[[#This Row],[Description]],'Actuals Lookup'!D:F,3,0),VLOOKUP(Table2[[#This Row],[Manual Cat Value]],Lookup!A:B,2,0))</f>
        <v>Utilities</v>
      </c>
      <c r="I11426" s="8"/>
      <c r="O11426" t="str">
        <f>LEFT(Table2[[#This Row],[Description]],75)</f>
        <v>Payment to CenturyLink</v>
      </c>
    </row>
    <row r="11427" spans="1:15" hidden="1">
      <c r="A11427">
        <v>202405</v>
      </c>
      <c r="B11427" s="6">
        <v>45425</v>
      </c>
      <c r="C11427" t="s">
        <v>5160</v>
      </c>
      <c r="D11427" t="s">
        <v>5375</v>
      </c>
      <c r="E11427">
        <v>156</v>
      </c>
      <c r="F11427" s="2" t="str">
        <f>IF(Table2[[#This Row],[Manual Cat Value]]="",VLOOKUP(Table2[[#This Row],[Description]],'Actuals Lookup'!D:F,3,0),VLOOKUP(Table2[[#This Row],[Manual Cat Value]],Lookup!A:B,2,0))</f>
        <v>Shopping</v>
      </c>
      <c r="G11427" t="s">
        <v>21</v>
      </c>
      <c r="H11427" s="8" t="s">
        <v>36</v>
      </c>
      <c r="I11427" s="8"/>
      <c r="O11427" t="str">
        <f>LEFT(Table2[[#This Row],[Description]],75)</f>
        <v>Sp Unrl.co Saint Paul Mn</v>
      </c>
    </row>
    <row r="11428" spans="1:15" hidden="1">
      <c r="A11428">
        <v>202405</v>
      </c>
      <c r="B11428" s="6">
        <v>45425</v>
      </c>
      <c r="C11428" t="s">
        <v>5160</v>
      </c>
      <c r="D11428" t="s">
        <v>4920</v>
      </c>
      <c r="E11428">
        <v>266</v>
      </c>
      <c r="F11428" s="2" t="str">
        <f>IF(Table2[[#This Row],[Manual Cat Value]]="",VLOOKUP(Table2[[#This Row],[Description]],'Actuals Lookup'!D:F,3,0),VLOOKUP(Table2[[#This Row],[Manual Cat Value]],Lookup!A:B,2,0))</f>
        <v>Shopping</v>
      </c>
      <c r="G11428" t="s">
        <v>21</v>
      </c>
      <c r="I11428" s="8"/>
      <c r="O11428" t="str">
        <f>LEFT(Table2[[#This Row],[Description]],75)</f>
        <v>Vuori Clothing</v>
      </c>
    </row>
    <row r="11429" spans="1:15" hidden="1">
      <c r="A11429">
        <v>202405</v>
      </c>
      <c r="B11429" s="6">
        <v>45425</v>
      </c>
      <c r="C11429" t="s">
        <v>2519</v>
      </c>
      <c r="D11429" t="s">
        <v>5376</v>
      </c>
      <c r="E11429">
        <v>97.57</v>
      </c>
      <c r="F11429" s="2" t="str">
        <f>IF(Table2[[#This Row],[Manual Cat Value]]="",VLOOKUP(Table2[[#This Row],[Description]],'Actuals Lookup'!D:F,3,0),VLOOKUP(Table2[[#This Row],[Manual Cat Value]],Lookup!A:B,2,0))</f>
        <v>Shopping</v>
      </c>
      <c r="H11429" s="8" t="s">
        <v>36</v>
      </c>
      <c r="I11429" s="8"/>
      <c r="O11429" t="str">
        <f>LEFT(Table2[[#This Row],[Description]],75)</f>
        <v>Withdrawal ACH CHEN ZHENQIANG CO: CHEN ZHENQIANG TYPE: IAT PAYPAL ID: 7XX04</v>
      </c>
    </row>
    <row r="11430" spans="1:15" hidden="1">
      <c r="A11430">
        <v>202405</v>
      </c>
      <c r="B11430" s="6">
        <v>45426</v>
      </c>
      <c r="C11430" t="s">
        <v>5160</v>
      </c>
      <c r="D11430" t="s">
        <v>5377</v>
      </c>
      <c r="E11430">
        <v>60</v>
      </c>
      <c r="F11430" s="2" t="str">
        <f>IF(Table2[[#This Row],[Manual Cat Value]]="",VLOOKUP(Table2[[#This Row],[Description]],'Actuals Lookup'!D:F,3,0),VLOOKUP(Table2[[#This Row],[Manual Cat Value]],Lookup!A:B,2,0))</f>
        <v>Shopping</v>
      </c>
      <c r="G11430" t="s">
        <v>21</v>
      </c>
      <c r="H11430" s="8" t="s">
        <v>36</v>
      </c>
      <c r="I11430" s="8"/>
      <c r="O11430" t="str">
        <f>LEFT(Table2[[#This Row],[Description]],75)</f>
        <v>Clothing</v>
      </c>
    </row>
    <row r="11431" spans="1:15" hidden="1">
      <c r="A11431">
        <v>202405</v>
      </c>
      <c r="B11431" s="6">
        <v>45426</v>
      </c>
      <c r="C11431" t="s">
        <v>2519</v>
      </c>
      <c r="D11431" t="s">
        <v>4343</v>
      </c>
      <c r="E11431">
        <v>-3345.75</v>
      </c>
      <c r="F11431" s="2" t="str">
        <f>IF(Table2[[#This Row],[Manual Cat Value]]="",VLOOKUP(Table2[[#This Row],[Description]],'Actuals Lookup'!D:F,3,0),VLOOKUP(Table2[[#This Row],[Manual Cat Value]],Lookup!A:B,2,0))</f>
        <v>Jeff</v>
      </c>
      <c r="I11431" s="8"/>
      <c r="O11431" t="str">
        <f>LEFT(Table2[[#This Row],[Description]],75)</f>
        <v>Salary/Regular Income from TriNet</v>
      </c>
    </row>
    <row r="11432" spans="1:15" hidden="1">
      <c r="A11432">
        <v>202405</v>
      </c>
      <c r="B11432" s="6">
        <v>45426</v>
      </c>
      <c r="C11432" t="s">
        <v>2519</v>
      </c>
      <c r="D11432" t="s">
        <v>1955</v>
      </c>
      <c r="E11432">
        <v>130</v>
      </c>
      <c r="F11432" s="2" t="str">
        <f>IF(Table2[[#This Row],[Manual Cat Value]]="",VLOOKUP(Table2[[#This Row],[Description]],'Actuals Lookup'!D:F,3,0),VLOOKUP(Table2[[#This Row],[Manual Cat Value]],Lookup!A:B,2,0))</f>
        <v>Shopping</v>
      </c>
      <c r="I11432" s="8"/>
      <c r="O11432" t="str">
        <f>LEFT(Table2[[#This Row],[Description]],75)</f>
        <v>Transfer to PayPal</v>
      </c>
    </row>
    <row r="11433" spans="1:15" hidden="1">
      <c r="A11433">
        <v>202405</v>
      </c>
      <c r="B11433" s="6">
        <v>45427</v>
      </c>
      <c r="C11433" t="s">
        <v>3938</v>
      </c>
      <c r="D11433" t="s">
        <v>5378</v>
      </c>
      <c r="E11433">
        <v>14.08</v>
      </c>
      <c r="F11433" s="2" t="str">
        <f>IF(Table2[[#This Row],[Manual Cat Value]]="",VLOOKUP(Table2[[#This Row],[Description]],'Actuals Lookup'!D:F,3,0),VLOOKUP(Table2[[#This Row],[Manual Cat Value]],Lookup!A:B,2,0))</f>
        <v>Amazon</v>
      </c>
      <c r="H11433" s="8" t="s">
        <v>37</v>
      </c>
      <c r="I11433" s="8"/>
      <c r="O11433" t="str">
        <f>LEFT(Table2[[#This Row],[Description]],75)</f>
        <v>AMZN Mktp US*V78N23G93 Amzn.com/billWA REF #XX9216GP32TTSL5K</v>
      </c>
    </row>
    <row r="11434" spans="1:15" hidden="1">
      <c r="A11434">
        <v>202405</v>
      </c>
      <c r="B11434" s="6">
        <v>45427</v>
      </c>
      <c r="C11434" t="s">
        <v>3938</v>
      </c>
      <c r="D11434" t="s">
        <v>5379</v>
      </c>
      <c r="E11434">
        <v>24.37</v>
      </c>
      <c r="F11434" s="2" t="str">
        <f>IF(Table2[[#This Row],[Manual Cat Value]]="",VLOOKUP(Table2[[#This Row],[Description]],'Actuals Lookup'!D:F,3,0),VLOOKUP(Table2[[#This Row],[Manual Cat Value]],Lookup!A:B,2,0))</f>
        <v>Amazon</v>
      </c>
      <c r="H11434" s="8" t="s">
        <v>37</v>
      </c>
      <c r="I11434" s="8"/>
      <c r="O11434" t="str">
        <f>LEFT(Table2[[#This Row],[Description]],75)</f>
        <v>AMZN Mktp US*WI17Y9N03 Amzn.com/billWA REF #XX9216GP32S0MBJ6</v>
      </c>
    </row>
    <row r="11435" spans="1:15" hidden="1">
      <c r="A11435">
        <v>202405</v>
      </c>
      <c r="B11435" s="6">
        <v>45427</v>
      </c>
      <c r="C11435" t="s">
        <v>5160</v>
      </c>
      <c r="D11435" t="s">
        <v>5331</v>
      </c>
      <c r="E11435">
        <v>-41.65</v>
      </c>
      <c r="F11435" s="2" t="str">
        <f>IF(Table2[[#This Row],[Manual Cat Value]]="",VLOOKUP(Table2[[#This Row],[Description]],'Actuals Lookup'!D:F,3,0),VLOOKUP(Table2[[#This Row],[Manual Cat Value]],Lookup!A:B,2,0))</f>
        <v>Shopping</v>
      </c>
      <c r="G11435" t="s">
        <v>4722</v>
      </c>
      <c r="H11435" s="8" t="s">
        <v>36</v>
      </c>
      <c r="I11435" s="8"/>
      <c r="O11435" t="str">
        <f>LEFT(Table2[[#This Row],[Description]],75)</f>
        <v>Aplpay Crate &amp; Barrenorthbrook Il</v>
      </c>
    </row>
    <row r="11436" spans="1:15" hidden="1">
      <c r="A11436">
        <v>202405</v>
      </c>
      <c r="B11436" s="6">
        <v>45427</v>
      </c>
      <c r="C11436" t="s">
        <v>5160</v>
      </c>
      <c r="D11436" t="s">
        <v>5331</v>
      </c>
      <c r="E11436">
        <v>-12.64</v>
      </c>
      <c r="F11436" s="2" t="str">
        <f>IF(Table2[[#This Row],[Manual Cat Value]]="",VLOOKUP(Table2[[#This Row],[Description]],'Actuals Lookup'!D:F,3,0),VLOOKUP(Table2[[#This Row],[Manual Cat Value]],Lookup!A:B,2,0))</f>
        <v>Shopping</v>
      </c>
      <c r="G11436" t="s">
        <v>4722</v>
      </c>
      <c r="H11436" s="8" t="s">
        <v>36</v>
      </c>
      <c r="I11436" s="8"/>
      <c r="O11436" t="str">
        <f>LEFT(Table2[[#This Row],[Description]],75)</f>
        <v>Aplpay Crate &amp; Barrenorthbrook Il</v>
      </c>
    </row>
    <row r="11437" spans="1:15" hidden="1">
      <c r="A11437">
        <v>202405</v>
      </c>
      <c r="B11437" s="6">
        <v>45427</v>
      </c>
      <c r="C11437" t="s">
        <v>5160</v>
      </c>
      <c r="D11437" t="s">
        <v>945</v>
      </c>
      <c r="E11437">
        <v>0.04</v>
      </c>
      <c r="F11437" s="2" t="str">
        <f>IF(Table2[[#This Row],[Manual Cat Value]]="",VLOOKUP(Table2[[#This Row],[Description]],'Actuals Lookup'!D:F,3,0),VLOOKUP(Table2[[#This Row],[Manual Cat Value]],Lookup!A:B,2,0))</f>
        <v>Groceries</v>
      </c>
      <c r="G11437" t="s">
        <v>28</v>
      </c>
      <c r="I11437" s="8"/>
      <c r="O11437" t="str">
        <f>LEFT(Table2[[#This Row],[Description]],75)</f>
        <v>Holiday Stationstores</v>
      </c>
    </row>
    <row r="11438" spans="1:15" hidden="1">
      <c r="A11438">
        <v>202405</v>
      </c>
      <c r="B11438" s="6">
        <v>45427</v>
      </c>
      <c r="C11438" t="s">
        <v>5160</v>
      </c>
      <c r="D11438" t="s">
        <v>945</v>
      </c>
      <c r="E11438">
        <v>65.48</v>
      </c>
      <c r="F11438" s="2" t="str">
        <f>IF(Table2[[#This Row],[Manual Cat Value]]="",VLOOKUP(Table2[[#This Row],[Description]],'Actuals Lookup'!D:F,3,0),VLOOKUP(Table2[[#This Row],[Manual Cat Value]],Lookup!A:B,2,0))</f>
        <v>Groceries</v>
      </c>
      <c r="G11438" t="s">
        <v>28</v>
      </c>
      <c r="I11438" s="8"/>
      <c r="O11438" t="str">
        <f>LEFT(Table2[[#This Row],[Description]],75)</f>
        <v>Holiday Stationstores</v>
      </c>
    </row>
    <row r="11439" spans="1:15" hidden="1">
      <c r="A11439">
        <v>202405</v>
      </c>
      <c r="B11439" s="6">
        <v>45427</v>
      </c>
      <c r="C11439" t="s">
        <v>5160</v>
      </c>
      <c r="D11439" t="s">
        <v>5380</v>
      </c>
      <c r="E11439">
        <v>17.61</v>
      </c>
      <c r="F11439" s="2" t="str">
        <f>IF(Table2[[#This Row],[Manual Cat Value]]="",VLOOKUP(Table2[[#This Row],[Description]],'Actuals Lookup'!D:F,3,0),VLOOKUP(Table2[[#This Row],[Manual Cat Value]],Lookup!A:B,2,0))</f>
        <v>Restaurants</v>
      </c>
      <c r="G11439" t="s">
        <v>26</v>
      </c>
      <c r="H11439" s="8" t="s">
        <v>25</v>
      </c>
      <c r="I11439" s="8"/>
      <c r="O11439" t="str">
        <f>LEFT(Table2[[#This Row],[Description]],75)</f>
        <v>Taza 00e9 Chanhassen Mn</v>
      </c>
    </row>
    <row r="11440" spans="1:15" hidden="1">
      <c r="A11440">
        <v>202405</v>
      </c>
      <c r="B11440" s="6">
        <v>45427</v>
      </c>
      <c r="C11440" t="s">
        <v>3938</v>
      </c>
      <c r="D11440" t="s">
        <v>1849</v>
      </c>
      <c r="E11440">
        <v>18.39</v>
      </c>
      <c r="F11440" s="2" t="str">
        <f>IF(Table2[[#This Row],[Manual Cat Value]]="",VLOOKUP(Table2[[#This Row],[Description]],'Actuals Lookup'!D:F,3,0),VLOOKUP(Table2[[#This Row],[Manual Cat Value]],Lookup!A:B,2,0))</f>
        <v>House Maintenance</v>
      </c>
      <c r="I11440" s="8"/>
      <c r="O11440" t="str">
        <f>LEFT(Table2[[#This Row],[Description]],75)</f>
        <v>The Home Depot</v>
      </c>
    </row>
    <row r="11441" spans="1:15" hidden="1">
      <c r="A11441">
        <v>202405</v>
      </c>
      <c r="B11441" s="6">
        <v>45427</v>
      </c>
      <c r="C11441" t="s">
        <v>5160</v>
      </c>
      <c r="D11441" t="s">
        <v>1849</v>
      </c>
      <c r="E11441">
        <v>21.66</v>
      </c>
      <c r="F11441" s="2" t="str">
        <f>IF(Table2[[#This Row],[Manual Cat Value]]="",VLOOKUP(Table2[[#This Row],[Description]],'Actuals Lookup'!D:F,3,0),VLOOKUP(Table2[[#This Row],[Manual Cat Value]],Lookup!A:B,2,0))</f>
        <v>House Maintenance</v>
      </c>
      <c r="G11441" t="s">
        <v>4840</v>
      </c>
      <c r="I11441" s="8"/>
      <c r="O11441" t="str">
        <f>LEFT(Table2[[#This Row],[Description]],75)</f>
        <v>The Home Depot</v>
      </c>
    </row>
    <row r="11442" spans="1:15" hidden="1">
      <c r="A11442">
        <v>202405</v>
      </c>
      <c r="B11442" s="6">
        <v>45427</v>
      </c>
      <c r="C11442" t="s">
        <v>5160</v>
      </c>
      <c r="D11442" t="s">
        <v>5381</v>
      </c>
      <c r="E11442">
        <v>-243.01</v>
      </c>
      <c r="F11442" s="2" t="str">
        <f>IF(Table2[[#This Row],[Manual Cat Value]]="",VLOOKUP(Table2[[#This Row],[Description]],'Actuals Lookup'!D:F,3,0),VLOOKUP(Table2[[#This Row],[Manual Cat Value]],Lookup!A:B,2,0))</f>
        <v>Shopping</v>
      </c>
      <c r="G11442" t="s">
        <v>4722</v>
      </c>
      <c r="H11442" s="8" t="s">
        <v>36</v>
      </c>
      <c r="I11442" s="8"/>
      <c r="O11442" t="str">
        <f>LEFT(Table2[[#This Row],[Description]],75)</f>
        <v>Www.rei.com Kent Wa</v>
      </c>
    </row>
    <row r="11443" spans="1:15" hidden="1">
      <c r="A11443">
        <v>202405</v>
      </c>
      <c r="B11443" s="6">
        <v>45428</v>
      </c>
      <c r="C11443" t="s">
        <v>5160</v>
      </c>
      <c r="D11443" t="s">
        <v>5382</v>
      </c>
      <c r="E11443">
        <v>38.24</v>
      </c>
      <c r="F11443" s="2" t="str">
        <f>IF(Table2[[#This Row],[Manual Cat Value]]="",VLOOKUP(Table2[[#This Row],[Description]],'Actuals Lookup'!D:F,3,0),VLOOKUP(Table2[[#This Row],[Manual Cat Value]],Lookup!A:B,2,0))</f>
        <v>Entertainment</v>
      </c>
      <c r="G11443" t="s">
        <v>40</v>
      </c>
      <c r="H11443" s="8" t="s">
        <v>39</v>
      </c>
      <c r="I11443" s="8"/>
      <c r="O11443" t="str">
        <f>LEFT(Table2[[#This Row],[Description]],75)</f>
        <v>Hermitage Golf Coursold Hickory Tn</v>
      </c>
    </row>
    <row r="11444" spans="1:15" hidden="1">
      <c r="A11444">
        <v>202405</v>
      </c>
      <c r="B11444" s="6">
        <v>45428</v>
      </c>
      <c r="C11444" t="s">
        <v>5160</v>
      </c>
      <c r="D11444" t="s">
        <v>5322</v>
      </c>
      <c r="E11444">
        <v>120.06</v>
      </c>
      <c r="F11444" s="2" t="str">
        <f>IF(Table2[[#This Row],[Manual Cat Value]]="",VLOOKUP(Table2[[#This Row],[Description]],'Actuals Lookup'!D:F,3,0),VLOOKUP(Table2[[#This Row],[Manual Cat Value]],Lookup!A:B,2,0))</f>
        <v>Groceries</v>
      </c>
      <c r="G11444" t="s">
        <v>28</v>
      </c>
      <c r="H11444" s="8" t="s">
        <v>27</v>
      </c>
      <c r="I11444" s="8"/>
      <c r="O11444" t="str">
        <f>LEFT(Table2[[#This Row],[Description]],75)</f>
        <v>Hungryroot</v>
      </c>
    </row>
    <row r="11445" spans="1:15" hidden="1">
      <c r="A11445">
        <v>202405</v>
      </c>
      <c r="B11445" s="6">
        <v>45428</v>
      </c>
      <c r="C11445" t="s">
        <v>5160</v>
      </c>
      <c r="D11445" t="s">
        <v>1083</v>
      </c>
      <c r="E11445">
        <v>42.76</v>
      </c>
      <c r="F11445" s="2" t="str">
        <f>IF(Table2[[#This Row],[Manual Cat Value]]="",VLOOKUP(Table2[[#This Row],[Description]],'Actuals Lookup'!D:F,3,0),VLOOKUP(Table2[[#This Row],[Manual Cat Value]],Lookup!A:B,2,0))</f>
        <v>Transportation</v>
      </c>
      <c r="G11445" t="s">
        <v>23</v>
      </c>
      <c r="I11445" s="8"/>
      <c r="O11445" t="str">
        <f>LEFT(Table2[[#This Row],[Description]],75)</f>
        <v>Kwik Trip</v>
      </c>
    </row>
    <row r="11446" spans="1:15" hidden="1">
      <c r="A11446">
        <v>202405</v>
      </c>
      <c r="B11446" s="6">
        <v>45428</v>
      </c>
      <c r="C11446" t="s">
        <v>3938</v>
      </c>
      <c r="D11446" t="s">
        <v>5383</v>
      </c>
      <c r="E11446">
        <v>101.97</v>
      </c>
      <c r="F11446" s="2" t="str">
        <f>IF(Table2[[#This Row],[Manual Cat Value]]="",VLOOKUP(Table2[[#This Row],[Description]],'Actuals Lookup'!D:F,3,0),VLOOKUP(Table2[[#This Row],[Manual Cat Value]],Lookup!A:B,2,0))</f>
        <v>Dry Cleaning</v>
      </c>
      <c r="H11446" s="8" t="s">
        <v>42</v>
      </c>
      <c r="I11446" s="8"/>
      <c r="O11446" t="str">
        <f>LEFT(Table2[[#This Row],[Description]],75)</f>
        <v>LISA`S TAILOR SHOP EDEN PRAIRIE MN REF #XX0780GR0VZFQX4Q</v>
      </c>
    </row>
    <row r="11447" spans="1:15" hidden="1">
      <c r="A11447">
        <v>202405</v>
      </c>
      <c r="B11447" s="6">
        <v>45428</v>
      </c>
      <c r="C11447" t="s">
        <v>2519</v>
      </c>
      <c r="D11447" t="s">
        <v>5384</v>
      </c>
      <c r="E11447">
        <v>692</v>
      </c>
      <c r="F11447" s="2" t="str">
        <f>IF(Table2[[#This Row],[Manual Cat Value]]="",VLOOKUP(Table2[[#This Row],[Description]],'Actuals Lookup'!D:F,3,0),VLOOKUP(Table2[[#This Row],[Manual Cat Value]],Lookup!A:B,2,0))</f>
        <v>Day Care</v>
      </c>
      <c r="H11447" s="8" t="s">
        <v>19</v>
      </c>
      <c r="I11447" s="8"/>
      <c r="O11447" t="str">
        <f>LEFT(Table2[[#This Row],[Description]],75)</f>
        <v xml:space="preserve">Withdrawal ACH RILEY CROSSING C TYPE: XX8412 ID: XX9040 CO: RILEY CROSSING </v>
      </c>
    </row>
    <row r="11448" spans="1:15" hidden="1">
      <c r="A11448">
        <v>202405</v>
      </c>
      <c r="B11448" s="6">
        <v>45429</v>
      </c>
      <c r="C11448" t="s">
        <v>5160</v>
      </c>
      <c r="D11448" t="s">
        <v>5385</v>
      </c>
      <c r="E11448">
        <v>89.85</v>
      </c>
      <c r="F11448" s="2" t="str">
        <f>IF(Table2[[#This Row],[Manual Cat Value]]="",VLOOKUP(Table2[[#This Row],[Description]],'Actuals Lookup'!D:F,3,0),VLOOKUP(Table2[[#This Row],[Manual Cat Value]],Lookup!A:B,2,0))</f>
        <v>Restaurants</v>
      </c>
      <c r="G11448" t="s">
        <v>35</v>
      </c>
      <c r="H11448" s="8" t="s">
        <v>25</v>
      </c>
      <c r="I11448" s="8"/>
      <c r="O11448" t="str">
        <f>LEFT(Table2[[#This Row],[Description]],75)</f>
        <v>Winchester And Rye 0victoria Mn</v>
      </c>
    </row>
    <row r="11449" spans="1:15" hidden="1">
      <c r="A11449">
        <v>202405</v>
      </c>
      <c r="B11449" s="6">
        <v>45430</v>
      </c>
      <c r="C11449" t="s">
        <v>5160</v>
      </c>
      <c r="D11449" t="s">
        <v>113</v>
      </c>
      <c r="E11449">
        <v>-12.99</v>
      </c>
      <c r="F11449" s="2" t="str">
        <f>IF(Table2[[#This Row],[Manual Cat Value]]="",VLOOKUP(Table2[[#This Row],[Description]],'Actuals Lookup'!D:F,3,0),VLOOKUP(Table2[[#This Row],[Manual Cat Value]],Lookup!A:B,2,0))</f>
        <v>Amazon</v>
      </c>
      <c r="G11449" t="s">
        <v>38</v>
      </c>
      <c r="I11449" s="8"/>
      <c r="O11449" t="str">
        <f>LEFT(Table2[[#This Row],[Description]],75)</f>
        <v>Amazon Marketplace</v>
      </c>
    </row>
    <row r="11450" spans="1:15" hidden="1">
      <c r="A11450">
        <v>202405</v>
      </c>
      <c r="B11450" s="6">
        <v>45430</v>
      </c>
      <c r="C11450" t="s">
        <v>5160</v>
      </c>
      <c r="D11450" t="s">
        <v>5386</v>
      </c>
      <c r="E11450">
        <v>26.78</v>
      </c>
      <c r="F11450" s="2" t="str">
        <f>IF(Table2[[#This Row],[Manual Cat Value]]="",VLOOKUP(Table2[[#This Row],[Description]],'Actuals Lookup'!D:F,3,0),VLOOKUP(Table2[[#This Row],[Manual Cat Value]],Lookup!A:B,2,0))</f>
        <v>Shopping</v>
      </c>
      <c r="G11450" t="s">
        <v>21</v>
      </c>
      <c r="H11450" s="8" t="s">
        <v>36</v>
      </c>
      <c r="I11450" s="8"/>
      <c r="O11450" t="str">
        <f>LEFT(Table2[[#This Row],[Description]],75)</f>
        <v>Fp-minnesota H&amp;f 162dallas Tx</v>
      </c>
    </row>
    <row r="11451" spans="1:15" hidden="1">
      <c r="A11451">
        <v>202405</v>
      </c>
      <c r="B11451" s="6">
        <v>45430</v>
      </c>
      <c r="C11451" t="s">
        <v>5160</v>
      </c>
      <c r="D11451" t="s">
        <v>1407</v>
      </c>
      <c r="E11451">
        <v>21.68</v>
      </c>
      <c r="F11451" s="2" t="str">
        <f>IF(Table2[[#This Row],[Manual Cat Value]]="",VLOOKUP(Table2[[#This Row],[Description]],'Actuals Lookup'!D:F,3,0),VLOOKUP(Table2[[#This Row],[Manual Cat Value]],Lookup!A:B,2,0))</f>
        <v>Travel</v>
      </c>
      <c r="G11451" t="s">
        <v>40</v>
      </c>
      <c r="H11451" s="8" t="s">
        <v>52</v>
      </c>
      <c r="I11451" s="8"/>
      <c r="O11451" t="str">
        <f>LEFT(Table2[[#This Row],[Description]],75)</f>
        <v>Party City</v>
      </c>
    </row>
    <row r="11452" spans="1:15" hidden="1">
      <c r="A11452">
        <v>202405</v>
      </c>
      <c r="B11452" s="6">
        <v>45430</v>
      </c>
      <c r="C11452" t="s">
        <v>5160</v>
      </c>
      <c r="D11452" t="s">
        <v>2135</v>
      </c>
      <c r="E11452">
        <v>15.66</v>
      </c>
      <c r="F11452" s="2" t="str">
        <f>IF(Table2[[#This Row],[Manual Cat Value]]="",VLOOKUP(Table2[[#This Row],[Description]],'Actuals Lookup'!D:F,3,0),VLOOKUP(Table2[[#This Row],[Manual Cat Value]],Lookup!A:B,2,0))</f>
        <v>Groceries</v>
      </c>
      <c r="G11452" t="s">
        <v>48</v>
      </c>
      <c r="I11452" s="8"/>
      <c r="O11452" t="str">
        <f>LEFT(Table2[[#This Row],[Description]],75)</f>
        <v>Walgreens</v>
      </c>
    </row>
    <row r="11453" spans="1:15" hidden="1">
      <c r="A11453">
        <v>202405</v>
      </c>
      <c r="B11453" s="6">
        <v>45431</v>
      </c>
      <c r="C11453" t="s">
        <v>3938</v>
      </c>
      <c r="D11453" t="s">
        <v>113</v>
      </c>
      <c r="E11453">
        <v>-24.37</v>
      </c>
      <c r="F11453" s="2" t="str">
        <f>IF(Table2[[#This Row],[Manual Cat Value]]="",VLOOKUP(Table2[[#This Row],[Description]],'Actuals Lookup'!D:F,3,0),VLOOKUP(Table2[[#This Row],[Manual Cat Value]],Lookup!A:B,2,0))</f>
        <v>Amazon</v>
      </c>
      <c r="I11453" s="8"/>
      <c r="O11453" t="str">
        <f>LEFT(Table2[[#This Row],[Description]],75)</f>
        <v>Amazon Marketplace</v>
      </c>
    </row>
    <row r="11454" spans="1:15" hidden="1">
      <c r="A11454">
        <v>202405</v>
      </c>
      <c r="B11454" s="6">
        <v>45431</v>
      </c>
      <c r="C11454" t="s">
        <v>3938</v>
      </c>
      <c r="D11454" t="s">
        <v>5387</v>
      </c>
      <c r="E11454">
        <v>40.950000000000003</v>
      </c>
      <c r="F11454" s="2" t="str">
        <f>IF(Table2[[#This Row],[Manual Cat Value]]="",VLOOKUP(Table2[[#This Row],[Description]],'Actuals Lookup'!D:F,3,0),VLOOKUP(Table2[[#This Row],[Manual Cat Value]],Lookup!A:B,2,0))</f>
        <v>Amazon</v>
      </c>
      <c r="H11454" s="8" t="s">
        <v>37</v>
      </c>
      <c r="I11454" s="8"/>
      <c r="O11454" t="str">
        <f>LEFT(Table2[[#This Row],[Description]],75)</f>
        <v>AMZN Mktp US*8W8478OU3 Amzn.com/billWA REF #XX9216GV35VD48XH</v>
      </c>
    </row>
    <row r="11455" spans="1:15" hidden="1">
      <c r="A11455">
        <v>202405</v>
      </c>
      <c r="B11455" s="6">
        <v>45431</v>
      </c>
      <c r="C11455" t="s">
        <v>3938</v>
      </c>
      <c r="D11455" t="s">
        <v>5388</v>
      </c>
      <c r="E11455">
        <v>-24</v>
      </c>
      <c r="F11455" s="2" t="str">
        <f>IF(Table2[[#This Row],[Manual Cat Value]]="",VLOOKUP(Table2[[#This Row],[Description]],'Actuals Lookup'!D:F,3,0),VLOOKUP(Table2[[#This Row],[Manual Cat Value]],Lookup!A:B,2,0))</f>
        <v>Day Care</v>
      </c>
      <c r="H11455" s="8" t="s">
        <v>19</v>
      </c>
      <c r="I11455" s="8"/>
      <c r="O11455" t="str">
        <f>LEFT(Table2[[#This Row],[Description]],75)</f>
        <v>BCS*MINNETONKA COMMUNITY EXCELSIOR MN REF #XX3746GS01LAFX1K</v>
      </c>
    </row>
    <row r="11456" spans="1:15" hidden="1">
      <c r="A11456">
        <v>202405</v>
      </c>
      <c r="B11456" s="6">
        <v>45431</v>
      </c>
      <c r="C11456" t="s">
        <v>5160</v>
      </c>
      <c r="D11456" t="s">
        <v>684</v>
      </c>
      <c r="E11456">
        <v>41.37</v>
      </c>
      <c r="F11456" s="2" t="str">
        <f>IF(Table2[[#This Row],[Manual Cat Value]]="",VLOOKUP(Table2[[#This Row],[Description]],'Actuals Lookup'!D:F,3,0),VLOOKUP(Table2[[#This Row],[Manual Cat Value]],Lookup!A:B,2,0))</f>
        <v>Groceries</v>
      </c>
      <c r="G11456" t="s">
        <v>28</v>
      </c>
      <c r="I11456" s="8"/>
      <c r="O11456" t="str">
        <f>LEFT(Table2[[#This Row],[Description]],75)</f>
        <v>Cub Foods</v>
      </c>
    </row>
    <row r="11457" spans="1:15" hidden="1">
      <c r="A11457">
        <v>202405</v>
      </c>
      <c r="B11457" s="6">
        <v>45432</v>
      </c>
      <c r="C11457" t="s">
        <v>5160</v>
      </c>
      <c r="D11457" t="s">
        <v>113</v>
      </c>
      <c r="E11457">
        <v>162.51</v>
      </c>
      <c r="F11457" s="2" t="str">
        <f>IF(Table2[[#This Row],[Manual Cat Value]]="",VLOOKUP(Table2[[#This Row],[Description]],'Actuals Lookup'!D:F,3,0),VLOOKUP(Table2[[#This Row],[Manual Cat Value]],Lookup!A:B,2,0))</f>
        <v>Amazon</v>
      </c>
      <c r="G11457" t="s">
        <v>38</v>
      </c>
      <c r="I11457" s="8"/>
      <c r="O11457" t="str">
        <f>LEFT(Table2[[#This Row],[Description]],75)</f>
        <v>Amazon Marketplace</v>
      </c>
    </row>
    <row r="11458" spans="1:15" hidden="1">
      <c r="A11458">
        <v>202405</v>
      </c>
      <c r="B11458" s="6">
        <v>45432</v>
      </c>
      <c r="C11458" t="s">
        <v>3938</v>
      </c>
      <c r="D11458" t="s">
        <v>4899</v>
      </c>
      <c r="E11458">
        <v>1.99</v>
      </c>
      <c r="F11458" s="2" t="str">
        <f>IF(Table2[[#This Row],[Manual Cat Value]]="",VLOOKUP(Table2[[#This Row],[Description]],'Actuals Lookup'!D:F,3,0),VLOOKUP(Table2[[#This Row],[Manual Cat Value]],Lookup!A:B,2,0))</f>
        <v>Utilities</v>
      </c>
      <c r="I11458" s="8"/>
      <c r="O11458" t="str">
        <f>LEFT(Table2[[#This Row],[Description]],75)</f>
        <v>Google Cloud Storage</v>
      </c>
    </row>
    <row r="11459" spans="1:15" hidden="1">
      <c r="A11459">
        <v>202405</v>
      </c>
      <c r="B11459" s="6">
        <v>45432</v>
      </c>
      <c r="C11459" t="s">
        <v>5160</v>
      </c>
      <c r="D11459" t="s">
        <v>1014</v>
      </c>
      <c r="E11459">
        <v>11.16</v>
      </c>
      <c r="F11459" s="2" t="str">
        <f>IF(Table2[[#This Row],[Manual Cat Value]]="",VLOOKUP(Table2[[#This Row],[Description]],'Actuals Lookup'!D:F,3,0),VLOOKUP(Table2[[#This Row],[Manual Cat Value]],Lookup!A:B,2,0))</f>
        <v>Restaurants</v>
      </c>
      <c r="G11459" t="s">
        <v>26</v>
      </c>
      <c r="I11459" s="8"/>
      <c r="O11459" t="str">
        <f>LEFT(Table2[[#This Row],[Description]],75)</f>
        <v>Jimmy John's</v>
      </c>
    </row>
    <row r="11460" spans="1:15" hidden="1">
      <c r="A11460">
        <v>202405</v>
      </c>
      <c r="B11460" s="6">
        <v>45432</v>
      </c>
      <c r="C11460" t="s">
        <v>5160</v>
      </c>
      <c r="D11460" t="s">
        <v>5335</v>
      </c>
      <c r="E11460">
        <v>-113.3</v>
      </c>
      <c r="F11460" s="2" t="str">
        <f>IF(Table2[[#This Row],[Manual Cat Value]]="",VLOOKUP(Table2[[#This Row],[Description]],'Actuals Lookup'!D:F,3,0),VLOOKUP(Table2[[#This Row],[Manual Cat Value]],Lookup!A:B,2,0))</f>
        <v>Healthcare</v>
      </c>
      <c r="G11460" t="s">
        <v>4722</v>
      </c>
      <c r="H11460" s="8" t="s">
        <v>47</v>
      </c>
      <c r="I11460" s="8"/>
      <c r="O11460" t="str">
        <f>LEFT(Table2[[#This Row],[Description]],75)</f>
        <v>Sp Dr. Dennis Gross New York Ny</v>
      </c>
    </row>
    <row r="11461" spans="1:15" hidden="1">
      <c r="A11461">
        <v>202405</v>
      </c>
      <c r="B11461" s="6">
        <v>45432</v>
      </c>
      <c r="C11461" t="s">
        <v>2519</v>
      </c>
      <c r="D11461" t="s">
        <v>1955</v>
      </c>
      <c r="E11461">
        <v>2.99</v>
      </c>
      <c r="F11461" s="2" t="str">
        <f>IF(Table2[[#This Row],[Manual Cat Value]]="",VLOOKUP(Table2[[#This Row],[Description]],'Actuals Lookup'!D:F,3,0),VLOOKUP(Table2[[#This Row],[Manual Cat Value]],Lookup!A:B,2,0))</f>
        <v>Shopping</v>
      </c>
      <c r="I11461" s="8"/>
      <c r="O11461" t="str">
        <f>LEFT(Table2[[#This Row],[Description]],75)</f>
        <v>Transfer to PayPal</v>
      </c>
    </row>
    <row r="11462" spans="1:15" hidden="1">
      <c r="A11462">
        <v>202405</v>
      </c>
      <c r="B11462" s="6">
        <v>45432</v>
      </c>
      <c r="C11462" t="s">
        <v>2519</v>
      </c>
      <c r="D11462" t="s">
        <v>1958</v>
      </c>
      <c r="E11462">
        <v>189.79</v>
      </c>
      <c r="F11462" s="2" t="str">
        <f>IF(Table2[[#This Row],[Manual Cat Value]]="",VLOOKUP(Table2[[#This Row],[Description]],'Actuals Lookup'!D:F,3,0),VLOOKUP(Table2[[#This Row],[Manual Cat Value]],Lookup!A:B,2,0))</f>
        <v>Shopping</v>
      </c>
      <c r="I11462" s="8"/>
      <c r="O11462" t="str">
        <f>LEFT(Table2[[#This Row],[Description]],75)</f>
        <v>Transfer to Venmo</v>
      </c>
    </row>
    <row r="11463" spans="1:15" hidden="1">
      <c r="A11463">
        <v>202405</v>
      </c>
      <c r="B11463" s="6">
        <v>45432</v>
      </c>
      <c r="C11463" t="s">
        <v>2519</v>
      </c>
      <c r="D11463" t="s">
        <v>5389</v>
      </c>
      <c r="E11463">
        <v>650</v>
      </c>
      <c r="F11463" s="2" t="str">
        <f>IF(Table2[[#This Row],[Manual Cat Value]]="",VLOOKUP(Table2[[#This Row],[Description]],'Actuals Lookup'!D:F,3,0),VLOOKUP(Table2[[#This Row],[Manual Cat Value]],Lookup!A:B,2,0))</f>
        <v>Day Care</v>
      </c>
      <c r="H11463" s="8" t="s">
        <v>19</v>
      </c>
      <c r="I11463" s="8"/>
      <c r="O11463" t="str">
        <f>LEFT(Table2[[#This Row],[Description]],75)</f>
        <v>Withdrawal ACH MN DIR ACH TYPE: CONTRIB ID: XX7162 CO: MN DIR ACH NAME: XX2</v>
      </c>
    </row>
    <row r="11464" spans="1:15" hidden="1">
      <c r="A11464">
        <v>202405</v>
      </c>
      <c r="B11464" s="6">
        <v>45432</v>
      </c>
      <c r="C11464" t="s">
        <v>5160</v>
      </c>
      <c r="D11464" t="s">
        <v>5368</v>
      </c>
      <c r="E11464">
        <v>-381.58</v>
      </c>
      <c r="F11464" s="2" t="str">
        <f>IF(Table2[[#This Row],[Manual Cat Value]]="",VLOOKUP(Table2[[#This Row],[Description]],'Actuals Lookup'!D:F,3,0),VLOOKUP(Table2[[#This Row],[Manual Cat Value]],Lookup!A:B,2,0))</f>
        <v>Shopping</v>
      </c>
      <c r="G11464" t="s">
        <v>4722</v>
      </c>
      <c r="H11464" s="8" t="s">
        <v>36</v>
      </c>
      <c r="I11464" s="8"/>
      <c r="O11464" t="str">
        <f>LEFT(Table2[[#This Row],[Description]],75)</f>
        <v>Yeti</v>
      </c>
    </row>
    <row r="11465" spans="1:15" hidden="1">
      <c r="A11465">
        <v>202405</v>
      </c>
      <c r="B11465" s="6">
        <v>45433</v>
      </c>
      <c r="C11465" t="s">
        <v>3938</v>
      </c>
      <c r="D11465" t="s">
        <v>5390</v>
      </c>
      <c r="E11465">
        <v>11</v>
      </c>
      <c r="F11465" s="2" t="str">
        <f>IF(Table2[[#This Row],[Manual Cat Value]]="",VLOOKUP(Table2[[#This Row],[Description]],'Actuals Lookup'!D:F,3,0),VLOOKUP(Table2[[#This Row],[Manual Cat Value]],Lookup!A:B,2,0))</f>
        <v>House Maintenance</v>
      </c>
      <c r="H11465" s="8" t="s">
        <v>1</v>
      </c>
      <c r="I11465" s="8"/>
      <c r="O11465" t="str">
        <f>LEFT(Table2[[#This Row],[Description]],75)</f>
        <v>BONFES PLUMBING HEATING AXX6633 MN REF #XX7539GXS66M9HE2</v>
      </c>
    </row>
    <row r="11466" spans="1:15" hidden="1">
      <c r="A11466">
        <v>202405</v>
      </c>
      <c r="B11466" s="6">
        <v>45433</v>
      </c>
      <c r="C11466" t="s">
        <v>5160</v>
      </c>
      <c r="D11466" t="s">
        <v>684</v>
      </c>
      <c r="E11466">
        <v>66.099999999999994</v>
      </c>
      <c r="F11466" s="2" t="str">
        <f>IF(Table2[[#This Row],[Manual Cat Value]]="",VLOOKUP(Table2[[#This Row],[Description]],'Actuals Lookup'!D:F,3,0),VLOOKUP(Table2[[#This Row],[Manual Cat Value]],Lookup!A:B,2,0))</f>
        <v>Groceries</v>
      </c>
      <c r="G11466" t="s">
        <v>28</v>
      </c>
      <c r="I11466" s="8"/>
      <c r="O11466" t="str">
        <f>LEFT(Table2[[#This Row],[Description]],75)</f>
        <v>Cub Foods</v>
      </c>
    </row>
    <row r="11467" spans="1:15" hidden="1">
      <c r="A11467">
        <v>202409</v>
      </c>
      <c r="B11467" s="6">
        <v>45541</v>
      </c>
      <c r="C11467" t="s">
        <v>5391</v>
      </c>
      <c r="D11467" t="s">
        <v>5392</v>
      </c>
      <c r="E11467">
        <v>343.48</v>
      </c>
      <c r="F11467" s="2" t="str">
        <f>IF(Table2[[#This Row],[Manual Cat Value]]="",VLOOKUP(Table2[[#This Row],[Description]],'Actuals Lookup'!D:F,3,0),VLOOKUP(Table2[[#This Row],[Manual Cat Value]],Lookup!A:B,2,0))</f>
        <v>Delete</v>
      </c>
      <c r="H11467" s="8" t="s">
        <v>9</v>
      </c>
      <c r="I11467" s="8"/>
      <c r="O11467" t="str">
        <f>LEFT(Table2[[#This Row],[Description]],75)</f>
        <v>DELTA AIR LINES</v>
      </c>
    </row>
    <row r="11468" spans="1:15" hidden="1">
      <c r="A11468">
        <v>202405</v>
      </c>
      <c r="B11468" s="6">
        <v>45433</v>
      </c>
      <c r="C11468" t="s">
        <v>3938</v>
      </c>
      <c r="D11468" t="s">
        <v>5393</v>
      </c>
      <c r="E11468">
        <v>1.75</v>
      </c>
      <c r="F11468" s="2" t="str">
        <f>IF(Table2[[#This Row],[Manual Cat Value]]="",VLOOKUP(Table2[[#This Row],[Description]],'Actuals Lookup'!D:F,3,0),VLOOKUP(Table2[[#This Row],[Manual Cat Value]],Lookup!A:B,2,0))</f>
        <v>Transportation</v>
      </c>
      <c r="H11468" s="8" t="s">
        <v>22</v>
      </c>
      <c r="I11468" s="8"/>
      <c r="O11468" t="str">
        <f>LEFT(Table2[[#This Row],[Description]],75)</f>
        <v>ONSTREET XX7275 MN REF #XX8930GXJXHGMFQ6</v>
      </c>
    </row>
    <row r="11469" spans="1:15" hidden="1">
      <c r="A11469">
        <v>202405</v>
      </c>
      <c r="B11469" s="6">
        <v>45433</v>
      </c>
      <c r="C11469" t="s">
        <v>3938</v>
      </c>
      <c r="D11469" t="s">
        <v>5394</v>
      </c>
      <c r="E11469">
        <v>0.75</v>
      </c>
      <c r="F11469" s="2" t="str">
        <f>IF(Table2[[#This Row],[Manual Cat Value]]="",VLOOKUP(Table2[[#This Row],[Description]],'Actuals Lookup'!D:F,3,0),VLOOKUP(Table2[[#This Row],[Manual Cat Value]],Lookup!A:B,2,0))</f>
        <v>Transportation</v>
      </c>
      <c r="H11469" s="8" t="s">
        <v>22</v>
      </c>
      <c r="I11469" s="8"/>
      <c r="O11469" t="str">
        <f>LEFT(Table2[[#This Row],[Description]],75)</f>
        <v>ONSTREET XX7275 MN REF #XX8930GXJXHGNFE9</v>
      </c>
    </row>
    <row r="11470" spans="1:15" hidden="1">
      <c r="A11470">
        <v>202405</v>
      </c>
      <c r="B11470" s="6">
        <v>45433</v>
      </c>
      <c r="C11470" t="s">
        <v>2519</v>
      </c>
      <c r="D11470" t="s">
        <v>5395</v>
      </c>
      <c r="E11470">
        <v>45.67</v>
      </c>
      <c r="F11470" s="2" t="str">
        <f>IF(Table2[[#This Row],[Manual Cat Value]]="",VLOOKUP(Table2[[#This Row],[Description]],'Actuals Lookup'!D:F,3,0),VLOOKUP(Table2[[#This Row],[Manual Cat Value]],Lookup!A:B,2,0))</f>
        <v>Utilities</v>
      </c>
      <c r="H11470" s="8" t="s">
        <v>6</v>
      </c>
      <c r="I11470" s="8"/>
      <c r="O11470" t="str">
        <f>LEFT(Table2[[#This Row],[Description]],75)</f>
        <v>Withdrawal ACH CITY OF CHANHASS TYPE: UTIL BILL ID: XX5331 CO: CITY OF CHAN</v>
      </c>
    </row>
    <row r="11471" spans="1:15" hidden="1">
      <c r="A11471">
        <v>202405</v>
      </c>
      <c r="B11471" s="6">
        <v>45434</v>
      </c>
      <c r="C11471" t="s">
        <v>5160</v>
      </c>
      <c r="D11471" t="s">
        <v>4948</v>
      </c>
      <c r="E11471">
        <v>79.56</v>
      </c>
      <c r="F11471" s="2" t="str">
        <f>IF(Table2[[#This Row],[Manual Cat Value]]="",VLOOKUP(Table2[[#This Row],[Description]],'Actuals Lookup'!D:F,3,0),VLOOKUP(Table2[[#This Row],[Manual Cat Value]],Lookup!A:B,2,0))</f>
        <v>Dry Cleaning</v>
      </c>
      <c r="G11471" t="s">
        <v>21</v>
      </c>
      <c r="I11471" s="8"/>
      <c r="O11471" t="str">
        <f>LEFT(Table2[[#This Row],[Description]],75)</f>
        <v>All Seasons Garment Chanhassen Mn</v>
      </c>
    </row>
    <row r="11472" spans="1:15" hidden="1">
      <c r="A11472">
        <v>202405</v>
      </c>
      <c r="B11472" s="6">
        <v>45434</v>
      </c>
      <c r="C11472" t="s">
        <v>3938</v>
      </c>
      <c r="D11472" t="s">
        <v>5396</v>
      </c>
      <c r="E11472">
        <v>68.03</v>
      </c>
      <c r="F11472" s="2" t="str">
        <f>IF(Table2[[#This Row],[Manual Cat Value]]="",VLOOKUP(Table2[[#This Row],[Description]],'Actuals Lookup'!D:F,3,0),VLOOKUP(Table2[[#This Row],[Manual Cat Value]],Lookup!A:B,2,0))</f>
        <v>Amazon</v>
      </c>
      <c r="H11472" s="8" t="s">
        <v>37</v>
      </c>
      <c r="I11472" s="8"/>
      <c r="O11472" t="str">
        <f>LEFT(Table2[[#This Row],[Description]],75)</f>
        <v>AMZN Mktp US*1K0TE8C03 Amzn.com/billWA REF #XX9216GY2YPQB7RZ</v>
      </c>
    </row>
    <row r="11473" spans="1:15" hidden="1">
      <c r="A11473">
        <v>202409</v>
      </c>
      <c r="B11473" s="6">
        <v>45557</v>
      </c>
      <c r="C11473" t="s">
        <v>130</v>
      </c>
      <c r="D11473" t="s">
        <v>5392</v>
      </c>
      <c r="E11473">
        <v>118.4</v>
      </c>
      <c r="F11473" s="2" t="str">
        <f>IF(Table2[[#This Row],[Manual Cat Value]]="",VLOOKUP(Table2[[#This Row],[Description]],'Actuals Lookup'!D:F,3,0),VLOOKUP(Table2[[#This Row],[Manual Cat Value]],Lookup!A:B,2,0))</f>
        <v>Delete</v>
      </c>
      <c r="H11473" s="8" t="s">
        <v>9</v>
      </c>
      <c r="I11473" s="8"/>
      <c r="O11473" t="str">
        <f>LEFT(Table2[[#This Row],[Description]],75)</f>
        <v>DELTA AIR LINES</v>
      </c>
    </row>
    <row r="11474" spans="1:15" hidden="1">
      <c r="A11474">
        <v>202405</v>
      </c>
      <c r="B11474" s="6">
        <v>45434</v>
      </c>
      <c r="C11474" t="s">
        <v>5160</v>
      </c>
      <c r="D11474" t="s">
        <v>5128</v>
      </c>
      <c r="E11474">
        <v>13.23</v>
      </c>
      <c r="F11474" s="2" t="str">
        <f>IF(Table2[[#This Row],[Manual Cat Value]]="",VLOOKUP(Table2[[#This Row],[Description]],'Actuals Lookup'!D:F,3,0),VLOOKUP(Table2[[#This Row],[Manual Cat Value]],Lookup!A:B,2,0))</f>
        <v>Restaurants</v>
      </c>
      <c r="G11474" t="s">
        <v>26</v>
      </c>
      <c r="I11474" s="8"/>
      <c r="O11474" t="str">
        <f>LEFT(Table2[[#This Row],[Description]],75)</f>
        <v>Tst* Dukes On 7 0001minnetonka Mn</v>
      </c>
    </row>
    <row r="11475" spans="1:15" hidden="1">
      <c r="A11475">
        <v>202405</v>
      </c>
      <c r="B11475" s="6">
        <v>45434</v>
      </c>
      <c r="C11475" t="s">
        <v>5160</v>
      </c>
      <c r="D11475" t="s">
        <v>5128</v>
      </c>
      <c r="E11475">
        <v>47.73</v>
      </c>
      <c r="F11475" s="2" t="str">
        <f>IF(Table2[[#This Row],[Manual Cat Value]]="",VLOOKUP(Table2[[#This Row],[Description]],'Actuals Lookup'!D:F,3,0),VLOOKUP(Table2[[#This Row],[Manual Cat Value]],Lookup!A:B,2,0))</f>
        <v>Restaurants</v>
      </c>
      <c r="G11475" t="s">
        <v>26</v>
      </c>
      <c r="I11475" s="8"/>
      <c r="O11475" t="str">
        <f>LEFT(Table2[[#This Row],[Description]],75)</f>
        <v>Tst* Dukes On 7 0001minnetonka Mn</v>
      </c>
    </row>
    <row r="11476" spans="1:15" hidden="1">
      <c r="A11476">
        <v>202405</v>
      </c>
      <c r="B11476" s="6">
        <v>45434</v>
      </c>
      <c r="C11476" t="s">
        <v>2519</v>
      </c>
      <c r="D11476" t="s">
        <v>5397</v>
      </c>
      <c r="E11476">
        <v>346</v>
      </c>
      <c r="F11476" s="2" t="str">
        <f>IF(Table2[[#This Row],[Manual Cat Value]]="",VLOOKUP(Table2[[#This Row],[Description]],'Actuals Lookup'!D:F,3,0),VLOOKUP(Table2[[#This Row],[Manual Cat Value]],Lookup!A:B,2,0))</f>
        <v>Day Care</v>
      </c>
      <c r="H11476" s="8" t="s">
        <v>19</v>
      </c>
      <c r="I11476" s="8"/>
      <c r="O11476" t="str">
        <f>LEFT(Table2[[#This Row],[Description]],75)</f>
        <v xml:space="preserve">Withdrawal ACH RILEY CROSSING C TYPE: XX8412 ID: XX9040 CO: RILEY CROSSING </v>
      </c>
    </row>
    <row r="11477" spans="1:15" hidden="1">
      <c r="A11477">
        <v>202405</v>
      </c>
      <c r="B11477" s="6">
        <v>45435</v>
      </c>
      <c r="C11477" t="s">
        <v>2519</v>
      </c>
      <c r="D11477" t="s">
        <v>404</v>
      </c>
      <c r="E11477">
        <v>-2666.32</v>
      </c>
      <c r="F11477" s="2" t="str">
        <f>IF(Table2[[#This Row],[Manual Cat Value]]="",VLOOKUP(Table2[[#This Row],[Description]],'Actuals Lookup'!D:F,3,0),VLOOKUP(Table2[[#This Row],[Manual Cat Value]],Lookup!A:B,2,0))</f>
        <v>Britney</v>
      </c>
      <c r="I11477" s="8"/>
      <c r="O11477" t="str">
        <f>LEFT(Table2[[#This Row],[Description]],75)</f>
        <v>Cargill Inc Deposit</v>
      </c>
    </row>
    <row r="11478" spans="1:15" hidden="1">
      <c r="A11478" s="25">
        <f>VALUE(YEAR(Table2[[#This Row],[Date]])&amp;TEXT(MONTH(Table2[[#This Row],[Date]]),"00"))</f>
        <v>202209</v>
      </c>
      <c r="B11478" s="6">
        <v>44805</v>
      </c>
      <c r="C11478" t="s">
        <v>2265</v>
      </c>
      <c r="D11478" t="s">
        <v>5398</v>
      </c>
      <c r="E11478">
        <f>IF(M11478="credit",-1*J11478,J11478)</f>
        <v>2606.27</v>
      </c>
      <c r="F11478" s="2" t="str">
        <f>IF(Table2[[#This Row],[Manual Cat Value]]="",VLOOKUP(Table2[[#This Row],[Description]],'Actuals Lookup'!D:F,3,0),Table2[[#This Row],[Manual Cat Value]])</f>
        <v>Delete</v>
      </c>
      <c r="G11478" t="e">
        <f>VLOOKUP(D11478,Lookup!G:H,2,0)</f>
        <v>#N/A</v>
      </c>
      <c r="H11478" s="8" t="s">
        <v>9</v>
      </c>
      <c r="I11478" s="8"/>
      <c r="J11478">
        <v>2606.27</v>
      </c>
      <c r="M11478" t="s">
        <v>2513</v>
      </c>
      <c r="O11478" t="str">
        <f>LEFT(Table2[[#This Row],[Description]],75)</f>
        <v>Withdrawal ACH BCU MORTGAGE TYPE: LOAN PAYMT ID: 9DRAFTING CO: BCU MORTGAGE</v>
      </c>
    </row>
    <row r="11479" spans="1:15" hidden="1">
      <c r="A11479">
        <v>202405</v>
      </c>
      <c r="B11479" s="6">
        <v>45436</v>
      </c>
      <c r="C11479" t="s">
        <v>5160</v>
      </c>
      <c r="D11479" t="s">
        <v>103</v>
      </c>
      <c r="E11479">
        <v>146.80000000000001</v>
      </c>
      <c r="F11479" s="2" t="str">
        <f>IF(Table2[[#This Row],[Manual Cat Value]]="",VLOOKUP(Table2[[#This Row],[Description]],'Actuals Lookup'!D:F,3,0),VLOOKUP(Table2[[#This Row],[Manual Cat Value]],Lookup!A:B,2,0))</f>
        <v>Healthcare</v>
      </c>
      <c r="G11479" t="s">
        <v>28</v>
      </c>
      <c r="I11479" s="8"/>
      <c r="O11479" t="str">
        <f>LEFT(Table2[[#This Row],[Description]],75)</f>
        <v>Advocare</v>
      </c>
    </row>
    <row r="11480" spans="1:15" hidden="1">
      <c r="A11480">
        <v>202405</v>
      </c>
      <c r="B11480" s="6">
        <v>45436</v>
      </c>
      <c r="C11480" t="s">
        <v>3938</v>
      </c>
      <c r="D11480" t="s">
        <v>113</v>
      </c>
      <c r="E11480">
        <v>26.26</v>
      </c>
      <c r="F11480" s="2" t="str">
        <f>IF(Table2[[#This Row],[Manual Cat Value]]="",VLOOKUP(Table2[[#This Row],[Description]],'Actuals Lookup'!D:F,3,0),VLOOKUP(Table2[[#This Row],[Manual Cat Value]],Lookup!A:B,2,0))</f>
        <v>Amazon</v>
      </c>
      <c r="I11480" s="8"/>
      <c r="O11480" t="str">
        <f>LEFT(Table2[[#This Row],[Description]],75)</f>
        <v>Amazon Marketplace</v>
      </c>
    </row>
    <row r="11481" spans="1:15" hidden="1">
      <c r="A11481">
        <v>202405</v>
      </c>
      <c r="B11481" s="6">
        <v>45436</v>
      </c>
      <c r="C11481" t="s">
        <v>5160</v>
      </c>
      <c r="D11481" t="s">
        <v>5399</v>
      </c>
      <c r="E11481">
        <v>98.09</v>
      </c>
      <c r="F11481" s="2" t="str">
        <f>IF(Table2[[#This Row],[Manual Cat Value]]="",VLOOKUP(Table2[[#This Row],[Description]],'Actuals Lookup'!D:F,3,0),VLOOKUP(Table2[[#This Row],[Manual Cat Value]],Lookup!A:B,2,0))</f>
        <v>House Maintenance</v>
      </c>
      <c r="G11481" t="s">
        <v>61</v>
      </c>
      <c r="H11481" s="8" t="s">
        <v>1</v>
      </c>
      <c r="I11481" s="8"/>
      <c r="O11481" t="str">
        <f>LEFT(Table2[[#This Row],[Description]],75)</f>
        <v>Bachmans</v>
      </c>
    </row>
    <row r="11482" spans="1:15" hidden="1">
      <c r="A11482">
        <v>202405</v>
      </c>
      <c r="B11482" s="6">
        <v>45436</v>
      </c>
      <c r="C11482" t="s">
        <v>5160</v>
      </c>
      <c r="D11482" t="s">
        <v>5386</v>
      </c>
      <c r="E11482">
        <v>37.08</v>
      </c>
      <c r="F11482" s="2" t="str">
        <f>IF(Table2[[#This Row],[Manual Cat Value]]="",VLOOKUP(Table2[[#This Row],[Description]],'Actuals Lookup'!D:F,3,0),VLOOKUP(Table2[[#This Row],[Manual Cat Value]],Lookup!A:B,2,0))</f>
        <v>Shopping</v>
      </c>
      <c r="G11482" t="s">
        <v>21</v>
      </c>
      <c r="H11482" s="8" t="s">
        <v>36</v>
      </c>
      <c r="I11482" s="8"/>
      <c r="O11482" t="str">
        <f>LEFT(Table2[[#This Row],[Description]],75)</f>
        <v>Fp-minnesota H&amp;f 162dallas Tx</v>
      </c>
    </row>
    <row r="11483" spans="1:15" hidden="1">
      <c r="A11483">
        <v>202405</v>
      </c>
      <c r="B11483" s="6">
        <v>45436</v>
      </c>
      <c r="C11483" t="s">
        <v>5160</v>
      </c>
      <c r="D11483" t="s">
        <v>1083</v>
      </c>
      <c r="E11483">
        <v>43.63</v>
      </c>
      <c r="F11483" s="2" t="str">
        <f>IF(Table2[[#This Row],[Manual Cat Value]]="",VLOOKUP(Table2[[#This Row],[Description]],'Actuals Lookup'!D:F,3,0),VLOOKUP(Table2[[#This Row],[Manual Cat Value]],Lookup!A:B,2,0))</f>
        <v>Transportation</v>
      </c>
      <c r="G11483" t="s">
        <v>23</v>
      </c>
      <c r="I11483" s="8"/>
      <c r="O11483" t="str">
        <f>LEFT(Table2[[#This Row],[Description]],75)</f>
        <v>Kwik Trip</v>
      </c>
    </row>
    <row r="11484" spans="1:15" hidden="1">
      <c r="A11484">
        <v>202405</v>
      </c>
      <c r="B11484" s="6">
        <v>45436</v>
      </c>
      <c r="C11484" t="s">
        <v>5160</v>
      </c>
      <c r="D11484" t="s">
        <v>5400</v>
      </c>
      <c r="E11484">
        <v>18.84</v>
      </c>
      <c r="F11484" s="2" t="str">
        <f>IF(Table2[[#This Row],[Manual Cat Value]]="",VLOOKUP(Table2[[#This Row],[Description]],'Actuals Lookup'!D:F,3,0),VLOOKUP(Table2[[#This Row],[Manual Cat Value]],Lookup!A:B,2,0))</f>
        <v>Shopping</v>
      </c>
      <c r="G11484" t="s">
        <v>21</v>
      </c>
      <c r="H11484" s="8" t="s">
        <v>36</v>
      </c>
      <c r="I11484" s="8"/>
      <c r="O11484" t="str">
        <f>LEFT(Table2[[#This Row],[Description]],75)</f>
        <v>Mel's Sport Shop 039spicer Mn</v>
      </c>
    </row>
    <row r="11485" spans="1:15" hidden="1">
      <c r="A11485">
        <v>202405</v>
      </c>
      <c r="B11485" s="6">
        <v>45436</v>
      </c>
      <c r="C11485" t="s">
        <v>5160</v>
      </c>
      <c r="D11485" t="s">
        <v>1267</v>
      </c>
      <c r="E11485">
        <v>37</v>
      </c>
      <c r="F11485" s="2" t="str">
        <f>IF(Table2[[#This Row],[Manual Cat Value]]="",VLOOKUP(Table2[[#This Row],[Description]],'Actuals Lookup'!D:F,3,0),VLOOKUP(Table2[[#This Row],[Manual Cat Value]],Lookup!A:B,2,0))</f>
        <v>Entertainment</v>
      </c>
      <c r="G11485" t="s">
        <v>40</v>
      </c>
      <c r="I11485" s="8"/>
      <c r="O11485" t="str">
        <f>LEFT(Table2[[#This Row],[Description]],75)</f>
        <v>Minnesota State Parks</v>
      </c>
    </row>
    <row r="11486" spans="1:15" hidden="1">
      <c r="A11486">
        <v>202405</v>
      </c>
      <c r="B11486" s="6">
        <v>45438</v>
      </c>
      <c r="C11486" t="s">
        <v>5160</v>
      </c>
      <c r="D11486" t="s">
        <v>5375</v>
      </c>
      <c r="E11486">
        <v>-78</v>
      </c>
      <c r="F11486" s="2" t="str">
        <f>IF(Table2[[#This Row],[Manual Cat Value]]="",VLOOKUP(Table2[[#This Row],[Description]],'Actuals Lookup'!D:F,3,0),VLOOKUP(Table2[[#This Row],[Manual Cat Value]],Lookup!A:B,2,0))</f>
        <v>Shopping</v>
      </c>
      <c r="G11486" t="s">
        <v>4722</v>
      </c>
      <c r="H11486" s="8" t="s">
        <v>36</v>
      </c>
      <c r="I11486" s="8"/>
      <c r="O11486" t="str">
        <f>LEFT(Table2[[#This Row],[Description]],75)</f>
        <v>Sp Unrl.co Saint Paul Mn</v>
      </c>
    </row>
    <row r="11487" spans="1:15" hidden="1">
      <c r="A11487">
        <v>202405</v>
      </c>
      <c r="B11487" s="6">
        <v>45438</v>
      </c>
      <c r="C11487" t="s">
        <v>3938</v>
      </c>
      <c r="D11487" t="s">
        <v>1849</v>
      </c>
      <c r="E11487">
        <v>-15.13</v>
      </c>
      <c r="F11487" s="2" t="str">
        <f>IF(Table2[[#This Row],[Manual Cat Value]]="",VLOOKUP(Table2[[#This Row],[Description]],'Actuals Lookup'!D:F,3,0),VLOOKUP(Table2[[#This Row],[Manual Cat Value]],Lookup!A:B,2,0))</f>
        <v>House Maintenance</v>
      </c>
      <c r="I11487" s="8"/>
      <c r="O11487" t="str">
        <f>LEFT(Table2[[#This Row],[Description]],75)</f>
        <v>The Home Depot</v>
      </c>
    </row>
    <row r="11488" spans="1:15" hidden="1">
      <c r="A11488">
        <v>202405</v>
      </c>
      <c r="B11488" s="6">
        <v>45438</v>
      </c>
      <c r="C11488" t="s">
        <v>3938</v>
      </c>
      <c r="D11488" t="s">
        <v>1849</v>
      </c>
      <c r="E11488">
        <v>53.63</v>
      </c>
      <c r="F11488" s="2" t="str">
        <f>IF(Table2[[#This Row],[Manual Cat Value]]="",VLOOKUP(Table2[[#This Row],[Description]],'Actuals Lookup'!D:F,3,0),VLOOKUP(Table2[[#This Row],[Manual Cat Value]],Lookup!A:B,2,0))</f>
        <v>House Maintenance</v>
      </c>
      <c r="I11488" s="8"/>
      <c r="O11488" t="str">
        <f>LEFT(Table2[[#This Row],[Description]],75)</f>
        <v>The Home Depot</v>
      </c>
    </row>
    <row r="11489" spans="1:15" hidden="1">
      <c r="A11489">
        <v>202405</v>
      </c>
      <c r="B11489" s="6">
        <v>45438</v>
      </c>
      <c r="C11489" t="s">
        <v>3938</v>
      </c>
      <c r="D11489" t="s">
        <v>1849</v>
      </c>
      <c r="E11489">
        <v>63.78</v>
      </c>
      <c r="F11489" s="2" t="str">
        <f>IF(Table2[[#This Row],[Manual Cat Value]]="",VLOOKUP(Table2[[#This Row],[Description]],'Actuals Lookup'!D:F,3,0),VLOOKUP(Table2[[#This Row],[Manual Cat Value]],Lookup!A:B,2,0))</f>
        <v>House Maintenance</v>
      </c>
      <c r="I11489" s="8"/>
      <c r="O11489" t="str">
        <f>LEFT(Table2[[#This Row],[Description]],75)</f>
        <v>The Home Depot</v>
      </c>
    </row>
    <row r="11490" spans="1:15" hidden="1">
      <c r="A11490">
        <v>202405</v>
      </c>
      <c r="B11490" s="6">
        <v>45438</v>
      </c>
      <c r="C11490" t="s">
        <v>3938</v>
      </c>
      <c r="D11490" t="s">
        <v>1849</v>
      </c>
      <c r="E11490">
        <v>218.48</v>
      </c>
      <c r="F11490" s="2" t="str">
        <f>IF(Table2[[#This Row],[Manual Cat Value]]="",VLOOKUP(Table2[[#This Row],[Description]],'Actuals Lookup'!D:F,3,0),VLOOKUP(Table2[[#This Row],[Manual Cat Value]],Lookup!A:B,2,0))</f>
        <v>House Maintenance</v>
      </c>
      <c r="I11490" s="8"/>
      <c r="O11490" t="str">
        <f>LEFT(Table2[[#This Row],[Description]],75)</f>
        <v>The Home Depot</v>
      </c>
    </row>
    <row r="11491" spans="1:15" hidden="1">
      <c r="A11491">
        <v>202405</v>
      </c>
      <c r="B11491" s="6">
        <v>45438</v>
      </c>
      <c r="C11491" t="s">
        <v>3938</v>
      </c>
      <c r="D11491" t="s">
        <v>5401</v>
      </c>
      <c r="E11491">
        <v>48.75</v>
      </c>
      <c r="F11491" s="2" t="str">
        <f>IF(Table2[[#This Row],[Manual Cat Value]]="",VLOOKUP(Table2[[#This Row],[Description]],'Actuals Lookup'!D:F,3,0),VLOOKUP(Table2[[#This Row],[Manual Cat Value]],Lookup!A:B,2,0))</f>
        <v>Restaurants</v>
      </c>
      <c r="H11491" s="8" t="s">
        <v>25</v>
      </c>
      <c r="I11491" s="8"/>
      <c r="O11491" t="str">
        <f>LEFT(Table2[[#This Row],[Description]],75)</f>
        <v>Zorbaz on the Lake</v>
      </c>
    </row>
    <row r="11492" spans="1:15" hidden="1">
      <c r="A11492">
        <v>202409</v>
      </c>
      <c r="B11492" s="6">
        <v>45557</v>
      </c>
      <c r="C11492" t="s">
        <v>130</v>
      </c>
      <c r="D11492" t="s">
        <v>5392</v>
      </c>
      <c r="E11492">
        <v>473.97</v>
      </c>
      <c r="F11492" s="2" t="str">
        <f>IF(Table2[[#This Row],[Manual Cat Value]]="",VLOOKUP(Table2[[#This Row],[Description]],'Actuals Lookup'!D:F,3,0),VLOOKUP(Table2[[#This Row],[Manual Cat Value]],Lookup!A:B,2,0))</f>
        <v>Delete</v>
      </c>
      <c r="H11492" s="8" t="s">
        <v>9</v>
      </c>
      <c r="I11492" s="8"/>
      <c r="O11492" t="str">
        <f>LEFT(Table2[[#This Row],[Description]],75)</f>
        <v>DELTA AIR LINES</v>
      </c>
    </row>
    <row r="11493" spans="1:15" hidden="1">
      <c r="A11493">
        <v>202405</v>
      </c>
      <c r="B11493" s="6">
        <v>45439</v>
      </c>
      <c r="C11493" t="s">
        <v>5160</v>
      </c>
      <c r="D11493" t="s">
        <v>5402</v>
      </c>
      <c r="E11493">
        <v>120</v>
      </c>
      <c r="F11493" s="2" t="str">
        <f>IF(Table2[[#This Row],[Manual Cat Value]]="",VLOOKUP(Table2[[#This Row],[Description]],'Actuals Lookup'!D:F,3,0),VLOOKUP(Table2[[#This Row],[Manual Cat Value]],Lookup!A:B,2,0))</f>
        <v>Shopping</v>
      </c>
      <c r="G11493" t="s">
        <v>21</v>
      </c>
      <c r="H11493" s="8" t="s">
        <v>36</v>
      </c>
      <c r="I11493" s="8"/>
      <c r="O11493" t="str">
        <f>LEFT(Table2[[#This Row],[Description]],75)</f>
        <v>Nike</v>
      </c>
    </row>
    <row r="11494" spans="1:15" hidden="1">
      <c r="A11494">
        <v>202410</v>
      </c>
      <c r="B11494" s="6">
        <v>45592</v>
      </c>
      <c r="C11494" t="s">
        <v>130</v>
      </c>
      <c r="D11494" t="s">
        <v>5392</v>
      </c>
      <c r="E11494">
        <v>11.2</v>
      </c>
      <c r="F11494" s="2" t="str">
        <f>IF(Table2[[#This Row],[Manual Cat Value]]="",VLOOKUP(Table2[[#This Row],[Description]],'Actuals Lookup'!D:F,3,0),VLOOKUP(Table2[[#This Row],[Manual Cat Value]],Lookup!A:B,2,0))</f>
        <v>Delete</v>
      </c>
      <c r="H11494" s="8" t="s">
        <v>9</v>
      </c>
      <c r="I11494" s="8"/>
      <c r="O11494" t="str">
        <f>LEFT(Table2[[#This Row],[Description]],75)</f>
        <v>DELTA AIR LINES</v>
      </c>
    </row>
    <row r="11495" spans="1:15" hidden="1">
      <c r="A11495">
        <v>202405</v>
      </c>
      <c r="B11495" s="6">
        <v>45440</v>
      </c>
      <c r="C11495" t="s">
        <v>5160</v>
      </c>
      <c r="D11495" t="s">
        <v>113</v>
      </c>
      <c r="E11495">
        <v>-162.51</v>
      </c>
      <c r="F11495" s="2" t="str">
        <f>IF(Table2[[#This Row],[Manual Cat Value]]="",VLOOKUP(Table2[[#This Row],[Description]],'Actuals Lookup'!D:F,3,0),VLOOKUP(Table2[[#This Row],[Manual Cat Value]],Lookup!A:B,2,0))</f>
        <v>Amazon</v>
      </c>
      <c r="G11495" t="s">
        <v>38</v>
      </c>
      <c r="I11495" s="8"/>
      <c r="O11495" t="str">
        <f>LEFT(Table2[[#This Row],[Description]],75)</f>
        <v>Amazon Marketplace</v>
      </c>
    </row>
    <row r="11496" spans="1:15" hidden="1">
      <c r="A11496">
        <v>202405</v>
      </c>
      <c r="B11496" s="6">
        <v>45440</v>
      </c>
      <c r="C11496" t="s">
        <v>5160</v>
      </c>
      <c r="D11496" t="s">
        <v>5403</v>
      </c>
      <c r="E11496">
        <v>46.4</v>
      </c>
      <c r="F11496" s="2" t="str">
        <f>IF(Table2[[#This Row],[Manual Cat Value]]="",VLOOKUP(Table2[[#This Row],[Description]],'Actuals Lookup'!D:F,3,0),VLOOKUP(Table2[[#This Row],[Manual Cat Value]],Lookup!A:B,2,0))</f>
        <v>Shopping</v>
      </c>
      <c r="G11496" t="s">
        <v>21</v>
      </c>
      <c r="I11496" s="8"/>
      <c r="O11496" t="str">
        <f>LEFT(Table2[[#This Row],[Description]],75)</f>
        <v>H&amp;m</v>
      </c>
    </row>
    <row r="11497" spans="1:15" hidden="1">
      <c r="A11497">
        <v>202405</v>
      </c>
      <c r="B11497" s="6">
        <v>45440</v>
      </c>
      <c r="C11497" t="s">
        <v>2519</v>
      </c>
      <c r="D11497" t="s">
        <v>4415</v>
      </c>
      <c r="E11497">
        <v>543.80999999999995</v>
      </c>
      <c r="F11497" s="2" t="str">
        <f>IF(Table2[[#This Row],[Manual Cat Value]]="",VLOOKUP(Table2[[#This Row],[Description]],'Actuals Lookup'!D:F,3,0),VLOOKUP(Table2[[#This Row],[Manual Cat Value]],Lookup!A:B,2,0))</f>
        <v>Target</v>
      </c>
      <c r="I11497" s="8"/>
      <c r="O11497" t="str">
        <f>LEFT(Table2[[#This Row],[Description]],75)</f>
        <v>Payment to Jeffrey B</v>
      </c>
    </row>
    <row r="11498" spans="1:15" hidden="1">
      <c r="A11498">
        <v>202405</v>
      </c>
      <c r="B11498" s="6">
        <v>45440</v>
      </c>
      <c r="C11498" t="s">
        <v>5160</v>
      </c>
      <c r="D11498" t="s">
        <v>5353</v>
      </c>
      <c r="E11498">
        <v>43.2</v>
      </c>
      <c r="F11498" s="2" t="str">
        <f>IF(Table2[[#This Row],[Manual Cat Value]]="",VLOOKUP(Table2[[#This Row],[Description]],'Actuals Lookup'!D:F,3,0),VLOOKUP(Table2[[#This Row],[Manual Cat Value]],Lookup!A:B,2,0))</f>
        <v>Shopping</v>
      </c>
      <c r="G11498" t="s">
        <v>40</v>
      </c>
      <c r="H11498" s="8" t="s">
        <v>36</v>
      </c>
      <c r="I11498" s="8"/>
      <c r="O11498" t="str">
        <f>LEFT(Table2[[#This Row],[Description]],75)</f>
        <v>Rei</v>
      </c>
    </row>
    <row r="11499" spans="1:15" hidden="1">
      <c r="A11499">
        <v>202405</v>
      </c>
      <c r="B11499" s="6">
        <v>45440</v>
      </c>
      <c r="C11499" t="s">
        <v>5160</v>
      </c>
      <c r="D11499" t="s">
        <v>4214</v>
      </c>
      <c r="E11499">
        <v>86.55</v>
      </c>
      <c r="F11499" s="2" t="str">
        <f>IF(Table2[[#This Row],[Manual Cat Value]]="",VLOOKUP(Table2[[#This Row],[Description]],'Actuals Lookup'!D:F,3,0),VLOOKUP(Table2[[#This Row],[Manual Cat Value]],Lookup!A:B,2,0))</f>
        <v>Restaurants</v>
      </c>
      <c r="G11499" t="s">
        <v>26</v>
      </c>
      <c r="I11499" s="8"/>
      <c r="O11499" t="str">
        <f>LEFT(Table2[[#This Row],[Description]],75)</f>
        <v>Snuffy's Malt Shop</v>
      </c>
    </row>
    <row r="11500" spans="1:15" hidden="1">
      <c r="A11500">
        <v>202411</v>
      </c>
      <c r="B11500" s="6">
        <v>45601</v>
      </c>
      <c r="C11500" t="s">
        <v>130</v>
      </c>
      <c r="D11500" t="s">
        <v>5392</v>
      </c>
      <c r="E11500">
        <v>1500.61</v>
      </c>
      <c r="F11500" s="2" t="str">
        <f>IF(Table2[[#This Row],[Manual Cat Value]]="",VLOOKUP(Table2[[#This Row],[Description]],'Actuals Lookup'!D:F,3,0),VLOOKUP(Table2[[#This Row],[Manual Cat Value]],Lookup!A:B,2,0))</f>
        <v>Delete</v>
      </c>
      <c r="I11500" s="8"/>
      <c r="O11500" t="str">
        <f>LEFT(Table2[[#This Row],[Description]],75)</f>
        <v>DELTA AIR LINES</v>
      </c>
    </row>
    <row r="11501" spans="1:15" hidden="1">
      <c r="A11501">
        <v>202405</v>
      </c>
      <c r="B11501" s="6">
        <v>45440</v>
      </c>
      <c r="C11501" t="s">
        <v>2519</v>
      </c>
      <c r="D11501" t="s">
        <v>1955</v>
      </c>
      <c r="E11501">
        <v>21.25</v>
      </c>
      <c r="F11501" s="2" t="str">
        <f>IF(Table2[[#This Row],[Manual Cat Value]]="",VLOOKUP(Table2[[#This Row],[Description]],'Actuals Lookup'!D:F,3,0),VLOOKUP(Table2[[#This Row],[Manual Cat Value]],Lookup!A:B,2,0))</f>
        <v>Shopping</v>
      </c>
      <c r="I11501" s="8"/>
      <c r="O11501" t="str">
        <f>LEFT(Table2[[#This Row],[Description]],75)</f>
        <v>Transfer to PayPal</v>
      </c>
    </row>
    <row r="11502" spans="1:15" hidden="1">
      <c r="A11502">
        <v>202405</v>
      </c>
      <c r="B11502" s="6">
        <v>45440</v>
      </c>
      <c r="C11502" t="s">
        <v>2519</v>
      </c>
      <c r="D11502" t="s">
        <v>1955</v>
      </c>
      <c r="E11502">
        <v>0.99</v>
      </c>
      <c r="F11502" s="2" t="str">
        <f>IF(Table2[[#This Row],[Manual Cat Value]]="",VLOOKUP(Table2[[#This Row],[Description]],'Actuals Lookup'!D:F,3,0),VLOOKUP(Table2[[#This Row],[Manual Cat Value]],Lookup!A:B,2,0))</f>
        <v>Shopping</v>
      </c>
      <c r="I11502" s="8"/>
      <c r="O11502" t="str">
        <f>LEFT(Table2[[#This Row],[Description]],75)</f>
        <v>Transfer to PayPal</v>
      </c>
    </row>
    <row r="11503" spans="1:15" hidden="1">
      <c r="A11503">
        <v>202405</v>
      </c>
      <c r="B11503" s="6">
        <v>45441</v>
      </c>
      <c r="C11503" t="s">
        <v>3938</v>
      </c>
      <c r="D11503" t="s">
        <v>38</v>
      </c>
      <c r="E11503">
        <v>9.9499999999999993</v>
      </c>
      <c r="F11503" s="2" t="str">
        <f>IF(Table2[[#This Row],[Manual Cat Value]]="",VLOOKUP(Table2[[#This Row],[Description]],'Actuals Lookup'!D:F,3,0),VLOOKUP(Table2[[#This Row],[Manual Cat Value]],Lookup!A:B,2,0))</f>
        <v>Amazon</v>
      </c>
      <c r="I11503" s="8"/>
      <c r="O11503" t="str">
        <f>LEFT(Table2[[#This Row],[Description]],75)</f>
        <v>Amazon</v>
      </c>
    </row>
    <row r="11504" spans="1:15" hidden="1">
      <c r="A11504">
        <v>202405</v>
      </c>
      <c r="B11504" s="6">
        <v>45441</v>
      </c>
      <c r="C11504" t="s">
        <v>3938</v>
      </c>
      <c r="D11504" t="s">
        <v>38</v>
      </c>
      <c r="E11504">
        <v>8.66</v>
      </c>
      <c r="F11504" s="2" t="str">
        <f>IF(Table2[[#This Row],[Manual Cat Value]]="",VLOOKUP(Table2[[#This Row],[Description]],'Actuals Lookup'!D:F,3,0),VLOOKUP(Table2[[#This Row],[Manual Cat Value]],Lookup!A:B,2,0))</f>
        <v>Amazon</v>
      </c>
      <c r="I11504" s="8"/>
      <c r="O11504" t="str">
        <f>LEFT(Table2[[#This Row],[Description]],75)</f>
        <v>Amazon</v>
      </c>
    </row>
    <row r="11505" spans="1:15" hidden="1">
      <c r="A11505">
        <v>202405</v>
      </c>
      <c r="B11505" s="6">
        <v>45441</v>
      </c>
      <c r="C11505" t="s">
        <v>5160</v>
      </c>
      <c r="D11505" t="s">
        <v>4930</v>
      </c>
      <c r="E11505">
        <v>138</v>
      </c>
      <c r="F11505" s="2" t="str">
        <f>IF(Table2[[#This Row],[Manual Cat Value]]="",VLOOKUP(Table2[[#This Row],[Description]],'Actuals Lookup'!D:F,3,0),VLOOKUP(Table2[[#This Row],[Manual Cat Value]],Lookup!A:B,2,0))</f>
        <v>Shopping</v>
      </c>
      <c r="G11505" t="s">
        <v>35</v>
      </c>
      <c r="I11505" s="8"/>
      <c r="O11505" t="str">
        <f>LEFT(Table2[[#This Row],[Description]],75)</f>
        <v>Jaxen Grey - Ridgedaminnetonka Mn</v>
      </c>
    </row>
    <row r="11506" spans="1:15" hidden="1">
      <c r="A11506">
        <v>202405</v>
      </c>
      <c r="B11506" s="6">
        <v>45441</v>
      </c>
      <c r="C11506" t="s">
        <v>5160</v>
      </c>
      <c r="D11506" t="s">
        <v>5267</v>
      </c>
      <c r="E11506">
        <v>48.59</v>
      </c>
      <c r="F11506" s="2" t="str">
        <f>IF(Table2[[#This Row],[Manual Cat Value]]="",VLOOKUP(Table2[[#This Row],[Description]],'Actuals Lookup'!D:F,3,0),VLOOKUP(Table2[[#This Row],[Manual Cat Value]],Lookup!A:B,2,0))</f>
        <v>Transportation</v>
      </c>
      <c r="G11506" t="s">
        <v>11</v>
      </c>
      <c r="I11506" s="8"/>
      <c r="O11506" t="str">
        <f>LEFT(Table2[[#This Row],[Description]],75)</f>
        <v>Marathon Petroleum</v>
      </c>
    </row>
    <row r="11507" spans="1:15" hidden="1">
      <c r="A11507">
        <v>202405</v>
      </c>
      <c r="B11507" s="6">
        <v>45441</v>
      </c>
      <c r="C11507" t="s">
        <v>2519</v>
      </c>
      <c r="D11507" t="s">
        <v>5404</v>
      </c>
      <c r="E11507">
        <v>195.43</v>
      </c>
      <c r="F11507" s="2" t="str">
        <f>IF(Table2[[#This Row],[Manual Cat Value]]="",VLOOKUP(Table2[[#This Row],[Description]],'Actuals Lookup'!D:F,3,0),VLOOKUP(Table2[[#This Row],[Manual Cat Value]],Lookup!A:B,2,0))</f>
        <v>Shopping</v>
      </c>
      <c r="H11507" s="8" t="s">
        <v>36</v>
      </c>
      <c r="I11507" s="8" t="s">
        <v>5405</v>
      </c>
      <c r="O11507" t="str">
        <f>LEFT(Table2[[#This Row],[Description]],75)</f>
        <v>Payment to Discovery Trading Post</v>
      </c>
    </row>
    <row r="11508" spans="1:15" hidden="1">
      <c r="A11508">
        <v>202405</v>
      </c>
      <c r="B11508" s="6">
        <v>45441</v>
      </c>
      <c r="C11508" t="s">
        <v>3938</v>
      </c>
      <c r="D11508" t="s">
        <v>1849</v>
      </c>
      <c r="E11508">
        <v>54.11</v>
      </c>
      <c r="F11508" s="2" t="str">
        <f>IF(Table2[[#This Row],[Manual Cat Value]]="",VLOOKUP(Table2[[#This Row],[Description]],'Actuals Lookup'!D:F,3,0),VLOOKUP(Table2[[#This Row],[Manual Cat Value]],Lookup!A:B,2,0))</f>
        <v>House Maintenance</v>
      </c>
      <c r="I11508" s="8"/>
      <c r="O11508" t="str">
        <f>LEFT(Table2[[#This Row],[Description]],75)</f>
        <v>The Home Depot</v>
      </c>
    </row>
    <row r="11509" spans="1:15" hidden="1">
      <c r="A11509">
        <v>202405</v>
      </c>
      <c r="B11509" s="6">
        <v>45441</v>
      </c>
      <c r="C11509" t="s">
        <v>5160</v>
      </c>
      <c r="D11509" t="s">
        <v>1929</v>
      </c>
      <c r="E11509">
        <v>96.55</v>
      </c>
      <c r="F11509" s="2" t="str">
        <f>IF(Table2[[#This Row],[Manual Cat Value]]="",VLOOKUP(Table2[[#This Row],[Description]],'Actuals Lookup'!D:F,3,0),VLOOKUP(Table2[[#This Row],[Manual Cat Value]],Lookup!A:B,2,0))</f>
        <v>Transportation</v>
      </c>
      <c r="G11509" t="s">
        <v>23</v>
      </c>
      <c r="I11509" s="8"/>
      <c r="O11509" t="str">
        <f>LEFT(Table2[[#This Row],[Description]],75)</f>
        <v>Toyota</v>
      </c>
    </row>
    <row r="11510" spans="1:15" hidden="1">
      <c r="A11510">
        <v>202405</v>
      </c>
      <c r="B11510" s="6">
        <v>45441</v>
      </c>
      <c r="C11510" t="s">
        <v>2519</v>
      </c>
      <c r="D11510" t="s">
        <v>5406</v>
      </c>
      <c r="E11510">
        <v>346</v>
      </c>
      <c r="F11510" s="2" t="str">
        <f>IF(Table2[[#This Row],[Manual Cat Value]]="",VLOOKUP(Table2[[#This Row],[Description]],'Actuals Lookup'!D:F,3,0),VLOOKUP(Table2[[#This Row],[Manual Cat Value]],Lookup!A:B,2,0))</f>
        <v>Day Care</v>
      </c>
      <c r="H11510" s="8" t="s">
        <v>19</v>
      </c>
      <c r="I11510" s="8"/>
      <c r="O11510" t="str">
        <f>LEFT(Table2[[#This Row],[Description]],75)</f>
        <v xml:space="preserve">Withdrawal ACH RILEY CROSSING C TYPE: XX8412 ID: XX9040 CO: RILEY CROSSING </v>
      </c>
    </row>
    <row r="11511" spans="1:15" hidden="1">
      <c r="A11511">
        <v>202411</v>
      </c>
      <c r="B11511" s="6">
        <v>45622</v>
      </c>
      <c r="C11511" t="s">
        <v>130</v>
      </c>
      <c r="D11511" t="s">
        <v>5392</v>
      </c>
      <c r="E11511">
        <v>576.95000000000005</v>
      </c>
      <c r="F11511" s="2" t="str">
        <f>IF(Table2[[#This Row],[Manual Cat Value]]="",VLOOKUP(Table2[[#This Row],[Description]],'Actuals Lookup'!D:F,3,0),VLOOKUP(Table2[[#This Row],[Manual Cat Value]],Lookup!A:B,2,0))</f>
        <v>Delete</v>
      </c>
      <c r="I11511" s="8"/>
      <c r="O11511" t="str">
        <f>LEFT(Table2[[#This Row],[Description]],75)</f>
        <v>DELTA AIR LINES</v>
      </c>
    </row>
    <row r="11512" spans="1:15" hidden="1">
      <c r="A11512">
        <v>202405</v>
      </c>
      <c r="B11512" s="6">
        <v>45442</v>
      </c>
      <c r="C11512" t="s">
        <v>5160</v>
      </c>
      <c r="D11512" t="s">
        <v>5407</v>
      </c>
      <c r="E11512">
        <v>26.01</v>
      </c>
      <c r="F11512" s="2" t="str">
        <f>IF(Table2[[#This Row],[Manual Cat Value]]="",VLOOKUP(Table2[[#This Row],[Description]],'Actuals Lookup'!D:F,3,0),VLOOKUP(Table2[[#This Row],[Manual Cat Value]],Lookup!A:B,2,0))</f>
        <v>Restaurants</v>
      </c>
      <c r="G11512" t="s">
        <v>28</v>
      </c>
      <c r="H11512" s="8" t="s">
        <v>25</v>
      </c>
      <c r="I11512" s="8"/>
      <c r="O11512" t="str">
        <f>LEFT(Table2[[#This Row],[Description]],75)</f>
        <v>Aplpay Ls Halla Greechanhassen Mn</v>
      </c>
    </row>
    <row r="11513" spans="1:15" hidden="1">
      <c r="A11513">
        <v>202412</v>
      </c>
      <c r="B11513" s="6">
        <v>45651</v>
      </c>
      <c r="C11513" t="s">
        <v>130</v>
      </c>
      <c r="D11513" t="s">
        <v>5392</v>
      </c>
      <c r="E11513">
        <v>1232.51</v>
      </c>
      <c r="F11513" s="2" t="str">
        <f>IF(Table2[[#This Row],[Manual Cat Value]]="",VLOOKUP(Table2[[#This Row],[Description]],'Actuals Lookup'!D:F,3,0),VLOOKUP(Table2[[#This Row],[Manual Cat Value]],Lookup!A:B,2,0))</f>
        <v>Delete</v>
      </c>
      <c r="I11513" s="8"/>
      <c r="O11513" t="str">
        <f>LEFT(Table2[[#This Row],[Description]],75)</f>
        <v>DELTA AIR LINES</v>
      </c>
    </row>
    <row r="11514" spans="1:15" hidden="1">
      <c r="A11514">
        <v>202405</v>
      </c>
      <c r="B11514" s="6">
        <v>45442</v>
      </c>
      <c r="C11514" t="s">
        <v>2519</v>
      </c>
      <c r="D11514" t="s">
        <v>4343</v>
      </c>
      <c r="E11514">
        <v>-3438.41</v>
      </c>
      <c r="F11514" s="2" t="str">
        <f>IF(Table2[[#This Row],[Manual Cat Value]]="",VLOOKUP(Table2[[#This Row],[Description]],'Actuals Lookup'!D:F,3,0),VLOOKUP(Table2[[#This Row],[Manual Cat Value]],Lookup!A:B,2,0))</f>
        <v>Jeff</v>
      </c>
      <c r="I11514" s="8"/>
      <c r="O11514" t="str">
        <f>LEFT(Table2[[#This Row],[Description]],75)</f>
        <v>Salary/Regular Income from TriNet</v>
      </c>
    </row>
    <row r="11515" spans="1:15" hidden="1">
      <c r="A11515">
        <v>202405</v>
      </c>
      <c r="B11515" s="6">
        <v>45442</v>
      </c>
      <c r="C11515" t="s">
        <v>3938</v>
      </c>
      <c r="D11515" t="s">
        <v>1849</v>
      </c>
      <c r="E11515">
        <v>23.86</v>
      </c>
      <c r="F11515" s="2" t="str">
        <f>IF(Table2[[#This Row],[Manual Cat Value]]="",VLOOKUP(Table2[[#This Row],[Description]],'Actuals Lookup'!D:F,3,0),VLOOKUP(Table2[[#This Row],[Manual Cat Value]],Lookup!A:B,2,0))</f>
        <v>House Maintenance</v>
      </c>
      <c r="I11515" s="8"/>
      <c r="O11515" t="str">
        <f>LEFT(Table2[[#This Row],[Description]],75)</f>
        <v>The Home Depot</v>
      </c>
    </row>
    <row r="11516" spans="1:15" hidden="1">
      <c r="A11516">
        <v>202405</v>
      </c>
      <c r="B11516" s="6">
        <v>45443</v>
      </c>
      <c r="C11516" t="s">
        <v>3932</v>
      </c>
      <c r="D11516" t="s">
        <v>38</v>
      </c>
      <c r="E11516">
        <v>16.25</v>
      </c>
      <c r="F11516" s="2" t="str">
        <f>IF(Table2[[#This Row],[Manual Cat Value]]="",VLOOKUP(Table2[[#This Row],[Description]],'Actuals Lookup'!D:F,3,0),VLOOKUP(Table2[[#This Row],[Manual Cat Value]],Lookup!A:B,2,0))</f>
        <v>Amazon</v>
      </c>
      <c r="G11516" t="s">
        <v>41</v>
      </c>
      <c r="I11516" s="8"/>
      <c r="O11516" t="str">
        <f>LEFT(Table2[[#This Row],[Description]],75)</f>
        <v>Amazon</v>
      </c>
    </row>
    <row r="11517" spans="1:15" hidden="1">
      <c r="A11517">
        <v>202405</v>
      </c>
      <c r="B11517" s="6">
        <v>45443</v>
      </c>
      <c r="C11517" t="s">
        <v>3932</v>
      </c>
      <c r="D11517" t="s">
        <v>38</v>
      </c>
      <c r="E11517">
        <v>21.62</v>
      </c>
      <c r="F11517" s="2" t="str">
        <f>IF(Table2[[#This Row],[Manual Cat Value]]="",VLOOKUP(Table2[[#This Row],[Description]],'Actuals Lookup'!D:F,3,0),VLOOKUP(Table2[[#This Row],[Manual Cat Value]],Lookup!A:B,2,0))</f>
        <v>Amazon</v>
      </c>
      <c r="G11517" t="s">
        <v>41</v>
      </c>
      <c r="I11517" s="8"/>
      <c r="O11517" t="str">
        <f>LEFT(Table2[[#This Row],[Description]],75)</f>
        <v>Amazon</v>
      </c>
    </row>
    <row r="11518" spans="1:15" hidden="1">
      <c r="A11518">
        <v>202405</v>
      </c>
      <c r="B11518" s="6">
        <v>45443</v>
      </c>
      <c r="C11518" t="s">
        <v>3932</v>
      </c>
      <c r="D11518" t="s">
        <v>38</v>
      </c>
      <c r="E11518">
        <v>102.24</v>
      </c>
      <c r="F11518" s="2" t="str">
        <f>IF(Table2[[#This Row],[Manual Cat Value]]="",VLOOKUP(Table2[[#This Row],[Description]],'Actuals Lookup'!D:F,3,0),VLOOKUP(Table2[[#This Row],[Manual Cat Value]],Lookup!A:B,2,0))</f>
        <v>Amazon</v>
      </c>
      <c r="G11518" t="s">
        <v>41</v>
      </c>
      <c r="I11518" s="8"/>
      <c r="O11518" t="str">
        <f>LEFT(Table2[[#This Row],[Description]],75)</f>
        <v>Amazon</v>
      </c>
    </row>
    <row r="11519" spans="1:15" hidden="1">
      <c r="A11519">
        <v>202405</v>
      </c>
      <c r="B11519" s="6">
        <v>45443</v>
      </c>
      <c r="C11519" t="s">
        <v>3938</v>
      </c>
      <c r="D11519" t="s">
        <v>5408</v>
      </c>
      <c r="E11519">
        <v>78.02</v>
      </c>
      <c r="F11519" s="2" t="str">
        <f>IF(Table2[[#This Row],[Manual Cat Value]]="",VLOOKUP(Table2[[#This Row],[Description]],'Actuals Lookup'!D:F,3,0),VLOOKUP(Table2[[#This Row],[Manual Cat Value]],Lookup!A:B,2,0))</f>
        <v>Amazon</v>
      </c>
      <c r="H11519" s="8" t="s">
        <v>37</v>
      </c>
      <c r="I11519" s="8"/>
      <c r="O11519" t="str">
        <f>LEFT(Table2[[#This Row],[Description]],75)</f>
        <v>AMZN Mktp US*286W87TE3 Amzn.com/billWA REF #XX9216Hx3320EW68</v>
      </c>
    </row>
    <row r="11520" spans="1:15" hidden="1">
      <c r="A11520">
        <v>202405</v>
      </c>
      <c r="B11520" s="6">
        <v>45443</v>
      </c>
      <c r="C11520" t="s">
        <v>2519</v>
      </c>
      <c r="D11520" t="s">
        <v>5409</v>
      </c>
      <c r="E11520">
        <v>-50.09</v>
      </c>
      <c r="F11520" s="2" t="str">
        <f>IF(Table2[[#This Row],[Manual Cat Value]]="",VLOOKUP(Table2[[#This Row],[Description]],'Actuals Lookup'!D:F,3,0),VLOOKUP(Table2[[#This Row],[Manual Cat Value]],Lookup!A:B,2,0))</f>
        <v>Inc - Other</v>
      </c>
      <c r="H11520" s="8" t="s">
        <v>16</v>
      </c>
      <c r="I11520" s="8"/>
      <c r="O11520" t="str">
        <f>LEFT(Table2[[#This Row],[Description]],75)</f>
        <v>Deposit Dividend Split Rate Annual Percentage Yield Earned 3.00% from 05/01</v>
      </c>
    </row>
    <row r="11521" spans="1:15" hidden="1">
      <c r="A11521">
        <v>202405</v>
      </c>
      <c r="B11521" s="6">
        <v>45443</v>
      </c>
      <c r="C11521" t="s">
        <v>5160</v>
      </c>
      <c r="D11521" t="s">
        <v>5036</v>
      </c>
      <c r="E11521">
        <v>4</v>
      </c>
      <c r="F11521" s="2" t="str">
        <f>IF(Table2[[#This Row],[Manual Cat Value]]="",VLOOKUP(Table2[[#This Row],[Description]],'Actuals Lookup'!D:F,3,0),VLOOKUP(Table2[[#This Row],[Manual Cat Value]],Lookup!A:B,2,0))</f>
        <v>Utilities</v>
      </c>
      <c r="G11521" t="s">
        <v>62</v>
      </c>
      <c r="I11521" s="8"/>
      <c r="O11521" t="str">
        <f>LEFT(Table2[[#This Row],[Description]],75)</f>
        <v>Google *svcsgns.3349g.co/helppay# Ca</v>
      </c>
    </row>
    <row r="11522" spans="1:15" hidden="1">
      <c r="A11522">
        <v>202405</v>
      </c>
      <c r="B11522" s="6">
        <v>45443</v>
      </c>
      <c r="C11522" t="s">
        <v>5160</v>
      </c>
      <c r="D11522" t="s">
        <v>945</v>
      </c>
      <c r="E11522">
        <v>34.119999999999997</v>
      </c>
      <c r="F11522" s="2" t="str">
        <f>IF(Table2[[#This Row],[Manual Cat Value]]="",VLOOKUP(Table2[[#This Row],[Description]],'Actuals Lookup'!D:F,3,0),VLOOKUP(Table2[[#This Row],[Manual Cat Value]],Lookup!A:B,2,0))</f>
        <v>Groceries</v>
      </c>
      <c r="G11522" t="s">
        <v>28</v>
      </c>
      <c r="I11522" s="8"/>
      <c r="O11522" t="str">
        <f>LEFT(Table2[[#This Row],[Description]],75)</f>
        <v>Holiday Stationstores</v>
      </c>
    </row>
    <row r="11523" spans="1:15" hidden="1">
      <c r="A11523">
        <v>202405</v>
      </c>
      <c r="B11523" s="6">
        <v>45443</v>
      </c>
      <c r="C11523" t="s">
        <v>5160</v>
      </c>
      <c r="D11523" t="s">
        <v>5410</v>
      </c>
      <c r="E11523">
        <v>20.57</v>
      </c>
      <c r="F11523" s="2" t="str">
        <f>IF(Table2[[#This Row],[Manual Cat Value]]="",VLOOKUP(Table2[[#This Row],[Description]],'Actuals Lookup'!D:F,3,0),VLOOKUP(Table2[[#This Row],[Manual Cat Value]],Lookup!A:B,2,0))</f>
        <v>Restaurants</v>
      </c>
      <c r="G11523" t="s">
        <v>26</v>
      </c>
      <c r="H11523" s="8" t="s">
        <v>25</v>
      </c>
      <c r="I11523" s="8"/>
      <c r="O11523" t="str">
        <f>LEFT(Table2[[#This Row],[Description]],75)</f>
        <v>Kaisushi Minnetonka Minnetonka, Mn</v>
      </c>
    </row>
    <row r="11524" spans="1:15" hidden="1">
      <c r="A11524">
        <v>202405</v>
      </c>
      <c r="B11524" s="6">
        <v>45443</v>
      </c>
      <c r="C11524" t="s">
        <v>2519</v>
      </c>
      <c r="D11524" t="s">
        <v>5148</v>
      </c>
      <c r="E11524">
        <v>187.89</v>
      </c>
      <c r="F11524" s="2" t="str">
        <f>IF(Table2[[#This Row],[Manual Cat Value]]="",VLOOKUP(Table2[[#This Row],[Description]],'Actuals Lookup'!D:F,3,0),VLOOKUP(Table2[[#This Row],[Manual Cat Value]],Lookup!A:B,2,0))</f>
        <v>Utilities</v>
      </c>
      <c r="I11524" s="8"/>
      <c r="O11524" t="str">
        <f>LEFT(Table2[[#This Row],[Description]],75)</f>
        <v>Payment to AT&amp;T</v>
      </c>
    </row>
    <row r="11525" spans="1:15" hidden="1">
      <c r="A11525">
        <v>202405</v>
      </c>
      <c r="B11525" s="6">
        <v>45443</v>
      </c>
      <c r="C11525" t="s">
        <v>3938</v>
      </c>
      <c r="D11525" t="s">
        <v>1849</v>
      </c>
      <c r="E11525">
        <v>-255.28</v>
      </c>
      <c r="F11525" s="2" t="str">
        <f>IF(Table2[[#This Row],[Manual Cat Value]]="",VLOOKUP(Table2[[#This Row],[Description]],'Actuals Lookup'!D:F,3,0),VLOOKUP(Table2[[#This Row],[Manual Cat Value]],Lookup!A:B,2,0))</f>
        <v>House Maintenance</v>
      </c>
      <c r="I11525" s="8"/>
      <c r="O11525" t="str">
        <f>LEFT(Table2[[#This Row],[Description]],75)</f>
        <v>The Home Depot</v>
      </c>
    </row>
    <row r="11526" spans="1:15" hidden="1">
      <c r="A11526" s="25">
        <v>202406</v>
      </c>
      <c r="B11526" s="6">
        <v>45444</v>
      </c>
      <c r="C11526" t="s">
        <v>5160</v>
      </c>
      <c r="D11526" t="s">
        <v>318</v>
      </c>
      <c r="E11526">
        <v>13.55</v>
      </c>
      <c r="F11526" s="2" t="str">
        <f>IF(Table2[[#This Row],[Manual Cat Value]]="",VLOOKUP(Table2[[#This Row],[Description]],'Actuals Lookup'!D:F,3,0),VLOOKUP(Table2[[#This Row],[Manual Cat Value]],Lookup!A:B,2,0))</f>
        <v>Restaurants</v>
      </c>
      <c r="G11526" t="s">
        <v>26</v>
      </c>
      <c r="I11526" s="8"/>
      <c r="O11526" t="str">
        <f>LEFT(Table2[[#This Row],[Description]],75)</f>
        <v>Brewery</v>
      </c>
    </row>
    <row r="11527" spans="1:15" hidden="1">
      <c r="A11527">
        <v>202406</v>
      </c>
      <c r="B11527" s="6">
        <v>45445</v>
      </c>
      <c r="C11527" t="s">
        <v>3938</v>
      </c>
      <c r="D11527" t="s">
        <v>5411</v>
      </c>
      <c r="E11527">
        <v>6.49</v>
      </c>
      <c r="F11527" s="2" t="str">
        <f>IF(Table2[[#This Row],[Manual Cat Value]]="",VLOOKUP(Table2[[#This Row],[Description]],'Actuals Lookup'!D:F,3,0),VLOOKUP(Table2[[#This Row],[Manual Cat Value]],Lookup!A:B,2,0))</f>
        <v>Amazon</v>
      </c>
      <c r="H11527" s="8" t="s">
        <v>37</v>
      </c>
      <c r="I11527" s="8"/>
      <c r="O11527" t="str">
        <f>LEFT(Table2[[#This Row],[Description]],75)</f>
        <v>Amazon Music*O03Hx7463 XX-3080 WA REF #XX9216H9340KFND8</v>
      </c>
    </row>
    <row r="11528" spans="1:15" hidden="1">
      <c r="A11528">
        <v>202406</v>
      </c>
      <c r="B11528" s="6">
        <v>45445</v>
      </c>
      <c r="C11528" t="s">
        <v>3938</v>
      </c>
      <c r="D11528" t="s">
        <v>5412</v>
      </c>
      <c r="E11528">
        <v>27.08</v>
      </c>
      <c r="F11528" s="2" t="str">
        <f>IF(Table2[[#This Row],[Manual Cat Value]]="",VLOOKUP(Table2[[#This Row],[Description]],'Actuals Lookup'!D:F,3,0),VLOOKUP(Table2[[#This Row],[Manual Cat Value]],Lookup!A:B,2,0))</f>
        <v>Amazon</v>
      </c>
      <c r="H11528" s="8" t="s">
        <v>37</v>
      </c>
      <c r="I11528" s="8"/>
      <c r="O11528" t="str">
        <f>LEFT(Table2[[#This Row],[Description]],75)</f>
        <v>AMZN Mktp US*Y490F32K3 Amzn.com/billWA REF #XX9216H934TRG7MA</v>
      </c>
    </row>
    <row r="11529" spans="1:15" hidden="1">
      <c r="A11529">
        <v>202406</v>
      </c>
      <c r="B11529" s="6">
        <v>45445</v>
      </c>
      <c r="C11529" t="s">
        <v>3938</v>
      </c>
      <c r="D11529" t="s">
        <v>5249</v>
      </c>
      <c r="E11529">
        <v>100</v>
      </c>
      <c r="F11529" s="2" t="str">
        <f>IF(Table2[[#This Row],[Manual Cat Value]]="",VLOOKUP(Table2[[#This Row],[Description]],'Actuals Lookup'!D:F,3,0),VLOOKUP(Table2[[#This Row],[Manual Cat Value]],Lookup!A:B,2,0))</f>
        <v>Entertainment</v>
      </c>
      <c r="I11529" s="8"/>
      <c r="O11529" t="str">
        <f>LEFT(Table2[[#This Row],[Description]],75)</f>
        <v>Anna Nails</v>
      </c>
    </row>
    <row r="11530" spans="1:15" hidden="1">
      <c r="A11530" s="25">
        <v>202406</v>
      </c>
      <c r="B11530" s="6">
        <v>45446</v>
      </c>
      <c r="C11530" t="s">
        <v>5160</v>
      </c>
      <c r="D11530" t="s">
        <v>38</v>
      </c>
      <c r="E11530">
        <v>59.6</v>
      </c>
      <c r="F11530" s="2" t="str">
        <f>IF(Table2[[#This Row],[Manual Cat Value]]="",VLOOKUP(Table2[[#This Row],[Description]],'Actuals Lookup'!D:F,3,0),VLOOKUP(Table2[[#This Row],[Manual Cat Value]],Lookup!A:B,2,0))</f>
        <v>Amazon</v>
      </c>
      <c r="G11530" t="s">
        <v>38</v>
      </c>
      <c r="I11530" s="8"/>
      <c r="O11530" t="str">
        <f>LEFT(Table2[[#This Row],[Description]],75)</f>
        <v>Amazon</v>
      </c>
    </row>
    <row r="11531" spans="1:15" hidden="1">
      <c r="A11531" s="25">
        <v>202406</v>
      </c>
      <c r="B11531" s="6">
        <v>45446</v>
      </c>
      <c r="C11531" t="s">
        <v>5160</v>
      </c>
      <c r="D11531" t="s">
        <v>5413</v>
      </c>
      <c r="E11531">
        <v>157.36000000000001</v>
      </c>
      <c r="F11531" s="2" t="str">
        <f>IF(Table2[[#This Row],[Manual Cat Value]]="",VLOOKUP(Table2[[#This Row],[Description]],'Actuals Lookup'!D:F,3,0),VLOOKUP(Table2[[#This Row],[Manual Cat Value]],Lookup!A:B,2,0))</f>
        <v>Entertainment</v>
      </c>
      <c r="G11531" t="s">
        <v>40</v>
      </c>
      <c r="H11531" s="8" t="s">
        <v>39</v>
      </c>
      <c r="I11531" s="8"/>
      <c r="O11531" t="str">
        <f>LEFT(Table2[[#This Row],[Description]],75)</f>
        <v>Axs.com*first Avenuelos Angeles Ca</v>
      </c>
    </row>
    <row r="11532" spans="1:15" hidden="1">
      <c r="A11532">
        <v>202406</v>
      </c>
      <c r="B11532" s="6">
        <v>45446</v>
      </c>
      <c r="C11532" t="s">
        <v>2519</v>
      </c>
      <c r="D11532" t="s">
        <v>4283</v>
      </c>
      <c r="E11532">
        <v>-142</v>
      </c>
      <c r="F11532" s="2" t="str">
        <f>IF(Table2[[#This Row],[Manual Cat Value]]="",VLOOKUP(Table2[[#This Row],[Description]],'Actuals Lookup'!D:F,3,0),VLOOKUP(Table2[[#This Row],[Manual Cat Value]],Lookup!A:B,2,0))</f>
        <v>Britney</v>
      </c>
      <c r="I11532" s="8"/>
      <c r="O11532" t="str">
        <f>LEFT(Table2[[#This Row],[Description]],75)</f>
        <v>Cargill Deposit</v>
      </c>
    </row>
    <row r="11533" spans="1:15" hidden="1">
      <c r="A11533" s="25">
        <v>202406</v>
      </c>
      <c r="B11533" s="6">
        <v>45446</v>
      </c>
      <c r="C11533" t="s">
        <v>5160</v>
      </c>
      <c r="D11533" t="s">
        <v>1014</v>
      </c>
      <c r="E11533">
        <v>43.52</v>
      </c>
      <c r="F11533" s="2" t="str">
        <f>IF(Table2[[#This Row],[Manual Cat Value]]="",VLOOKUP(Table2[[#This Row],[Description]],'Actuals Lookup'!D:F,3,0),VLOOKUP(Table2[[#This Row],[Manual Cat Value]],Lookup!A:B,2,0))</f>
        <v>Restaurants</v>
      </c>
      <c r="G11533" t="s">
        <v>26</v>
      </c>
      <c r="I11533" s="8"/>
      <c r="O11533" t="str">
        <f>LEFT(Table2[[#This Row],[Description]],75)</f>
        <v>Jimmy John's</v>
      </c>
    </row>
    <row r="11534" spans="1:15" hidden="1">
      <c r="A11534">
        <v>202406</v>
      </c>
      <c r="B11534" s="6">
        <v>45446</v>
      </c>
      <c r="C11534" t="s">
        <v>2519</v>
      </c>
      <c r="D11534" t="s">
        <v>1460</v>
      </c>
      <c r="E11534">
        <v>2741.74</v>
      </c>
      <c r="F11534" s="2" t="str">
        <f>IF(Table2[[#This Row],[Manual Cat Value]]="",VLOOKUP(Table2[[#This Row],[Description]],'Actuals Lookup'!D:F,3,0),VLOOKUP(Table2[[#This Row],[Manual Cat Value]],Lookup!A:B,2,0))</f>
        <v>Rent</v>
      </c>
      <c r="H11534" s="8" t="s">
        <v>4</v>
      </c>
      <c r="I11534" s="8"/>
      <c r="O11534" t="str">
        <f>LEFT(Table2[[#This Row],[Description]],75)</f>
        <v>Payment to Baxter Credit Union</v>
      </c>
    </row>
    <row r="11535" spans="1:15" hidden="1">
      <c r="A11535">
        <v>202406</v>
      </c>
      <c r="B11535" s="6">
        <v>45446</v>
      </c>
      <c r="C11535" t="s">
        <v>3938</v>
      </c>
      <c r="D11535" t="s">
        <v>5414</v>
      </c>
      <c r="E11535">
        <v>40.06</v>
      </c>
      <c r="F11535" s="2" t="str">
        <f>IF(Table2[[#This Row],[Manual Cat Value]]="",VLOOKUP(Table2[[#This Row],[Description]],'Actuals Lookup'!D:F,3,0),VLOOKUP(Table2[[#This Row],[Manual Cat Value]],Lookup!A:B,2,0))</f>
        <v>Restaurants</v>
      </c>
      <c r="H11535" s="8" t="s">
        <v>25</v>
      </c>
      <c r="I11535" s="8"/>
      <c r="O11535" t="str">
        <f>LEFT(Table2[[#This Row],[Description]],75)</f>
        <v>Pine Restaurant</v>
      </c>
    </row>
    <row r="11536" spans="1:15" hidden="1">
      <c r="A11536" s="25">
        <v>202406</v>
      </c>
      <c r="B11536" s="6">
        <v>45446</v>
      </c>
      <c r="C11536" t="s">
        <v>5160</v>
      </c>
      <c r="D11536" t="s">
        <v>5415</v>
      </c>
      <c r="E11536">
        <v>170.69</v>
      </c>
      <c r="F11536" s="2" t="str">
        <f>IF(Table2[[#This Row],[Manual Cat Value]]="",VLOOKUP(Table2[[#This Row],[Description]],'Actuals Lookup'!D:F,3,0),VLOOKUP(Table2[[#This Row],[Manual Cat Value]],Lookup!A:B,2,0))</f>
        <v>House Maintenance</v>
      </c>
      <c r="G11536" t="s">
        <v>2</v>
      </c>
      <c r="H11536" s="8" t="s">
        <v>1</v>
      </c>
      <c r="I11536" s="8"/>
      <c r="O11536" t="str">
        <f>LEFT(Table2[[#This Row],[Description]],75)</f>
        <v>Plunketts Pest Contrminneapolis Mn</v>
      </c>
    </row>
    <row r="11537" spans="1:15" hidden="1">
      <c r="A11537">
        <v>202406</v>
      </c>
      <c r="B11537" s="6">
        <v>45446</v>
      </c>
      <c r="C11537" t="s">
        <v>2519</v>
      </c>
      <c r="D11537" t="s">
        <v>4716</v>
      </c>
      <c r="E11537">
        <v>650</v>
      </c>
      <c r="F11537" s="2" t="str">
        <f>IF(Table2[[#This Row],[Manual Cat Value]]="",VLOOKUP(Table2[[#This Row],[Description]],'Actuals Lookup'!D:F,3,0),VLOOKUP(Table2[[#This Row],[Manual Cat Value]],Lookup!A:B,2,0))</f>
        <v>College Savings</v>
      </c>
      <c r="H11537" s="8" t="s">
        <v>60</v>
      </c>
      <c r="I11537" s="8"/>
      <c r="O11537" t="str">
        <f>LEFT(Table2[[#This Row],[Description]],75)</f>
        <v>Transfer to College Station</v>
      </c>
    </row>
    <row r="11538" spans="1:15" hidden="1">
      <c r="A11538">
        <v>202406</v>
      </c>
      <c r="B11538" s="6">
        <v>45446</v>
      </c>
      <c r="C11538" t="s">
        <v>2519</v>
      </c>
      <c r="D11538" t="s">
        <v>1958</v>
      </c>
      <c r="E11538">
        <v>125</v>
      </c>
      <c r="F11538" s="2" t="str">
        <f>IF(Table2[[#This Row],[Manual Cat Value]]="",VLOOKUP(Table2[[#This Row],[Description]],'Actuals Lookup'!D:F,3,0),VLOOKUP(Table2[[#This Row],[Manual Cat Value]],Lookup!A:B,2,0))</f>
        <v>Shopping</v>
      </c>
      <c r="H11538" s="8" t="s">
        <v>36</v>
      </c>
      <c r="I11538" s="8"/>
      <c r="O11538" t="str">
        <f>LEFT(Table2[[#This Row],[Description]],75)</f>
        <v>Transfer to Venmo</v>
      </c>
    </row>
    <row r="11539" spans="1:15" hidden="1">
      <c r="A11539">
        <v>202406</v>
      </c>
      <c r="B11539" s="6">
        <v>45446</v>
      </c>
      <c r="C11539" t="s">
        <v>2519</v>
      </c>
      <c r="D11539" t="s">
        <v>5416</v>
      </c>
      <c r="E11539">
        <v>5.5</v>
      </c>
      <c r="F11539" s="2" t="str">
        <f>IF(Table2[[#This Row],[Manual Cat Value]]="",VLOOKUP(Table2[[#This Row],[Description]],'Actuals Lookup'!D:F,3,0),VLOOKUP(Table2[[#This Row],[Manual Cat Value]],Lookup!A:B,2,0))</f>
        <v>Shopping</v>
      </c>
      <c r="H11539" s="8" t="s">
        <v>36</v>
      </c>
      <c r="I11539" s="8"/>
      <c r="O11539" t="str">
        <f>LEFT(Table2[[#This Row],[Description]],75)</f>
        <v xml:space="preserve">Withdrawal ACH ANA NOVIC CO: ANA NOVIC TYPE: IAT PAYPAL ID: 7XX0487C Entry </v>
      </c>
    </row>
    <row r="11540" spans="1:15" hidden="1">
      <c r="A11540" s="25">
        <v>202406</v>
      </c>
      <c r="B11540" s="6">
        <v>45447</v>
      </c>
      <c r="C11540" t="s">
        <v>3932</v>
      </c>
      <c r="D11540" t="s">
        <v>38</v>
      </c>
      <c r="E11540">
        <v>12.99</v>
      </c>
      <c r="F11540" s="2" t="str">
        <f>IF(Table2[[#This Row],[Manual Cat Value]]="",VLOOKUP(Table2[[#This Row],[Description]],'Actuals Lookup'!D:F,3,0),VLOOKUP(Table2[[#This Row],[Manual Cat Value]],Lookup!A:B,2,0))</f>
        <v>Amazon</v>
      </c>
      <c r="G11540" t="s">
        <v>41</v>
      </c>
      <c r="H11540" s="8" t="s">
        <v>37</v>
      </c>
      <c r="I11540" s="8"/>
      <c r="O11540" t="str">
        <f>LEFT(Table2[[#This Row],[Description]],75)</f>
        <v>Amazon</v>
      </c>
    </row>
    <row r="11541" spans="1:15" hidden="1">
      <c r="A11541">
        <v>202406</v>
      </c>
      <c r="B11541" s="6">
        <v>45447</v>
      </c>
      <c r="C11541" t="s">
        <v>3938</v>
      </c>
      <c r="D11541" t="s">
        <v>1068</v>
      </c>
      <c r="E11541">
        <v>30</v>
      </c>
      <c r="F11541" s="2" t="str">
        <f>IF(Table2[[#This Row],[Manual Cat Value]]="",VLOOKUP(Table2[[#This Row],[Description]],'Actuals Lookup'!D:F,3,0),VLOOKUP(Table2[[#This Row],[Manual Cat Value]],Lookup!A:B,2,0))</f>
        <v>Misc</v>
      </c>
      <c r="H11541" t="s">
        <v>46</v>
      </c>
      <c r="I11541" s="8"/>
      <c r="O11541" t="str">
        <f>LEFT(Table2[[#This Row],[Description]],75)</f>
        <v>Kids Hair</v>
      </c>
    </row>
    <row r="11542" spans="1:15" hidden="1">
      <c r="A11542">
        <v>202406</v>
      </c>
      <c r="B11542" s="6">
        <v>45448</v>
      </c>
      <c r="C11542" t="s">
        <v>3938</v>
      </c>
      <c r="D11542" t="s">
        <v>38</v>
      </c>
      <c r="E11542">
        <v>8.94</v>
      </c>
      <c r="F11542" s="2" t="str">
        <f>IF(Table2[[#This Row],[Manual Cat Value]]="",VLOOKUP(Table2[[#This Row],[Description]],'Actuals Lookup'!D:F,3,0),VLOOKUP(Table2[[#This Row],[Manual Cat Value]],Lookup!A:B,2,0))</f>
        <v>Amazon</v>
      </c>
      <c r="I11542" s="8"/>
      <c r="O11542" t="str">
        <f>LEFT(Table2[[#This Row],[Description]],75)</f>
        <v>Amazon</v>
      </c>
    </row>
    <row r="11543" spans="1:15" hidden="1">
      <c r="A11543" s="25">
        <v>202406</v>
      </c>
      <c r="B11543" s="6">
        <v>45448</v>
      </c>
      <c r="C11543" t="s">
        <v>5160</v>
      </c>
      <c r="D11543" t="s">
        <v>4870</v>
      </c>
      <c r="E11543">
        <v>7.57</v>
      </c>
      <c r="F11543" s="2" t="str">
        <f>IF(Table2[[#This Row],[Manual Cat Value]]="",VLOOKUP(Table2[[#This Row],[Description]],'Actuals Lookup'!D:F,3,0),VLOOKUP(Table2[[#This Row],[Manual Cat Value]],Lookup!A:B,2,0))</f>
        <v>Restaurants</v>
      </c>
      <c r="G11543" t="s">
        <v>26</v>
      </c>
      <c r="H11543" s="8" t="s">
        <v>25</v>
      </c>
      <c r="I11543" s="8"/>
      <c r="O11543" t="str">
        <f>LEFT(Table2[[#This Row],[Description]],75)</f>
        <v>Aplpay Wayzata Cafe Wayzata Mn</v>
      </c>
    </row>
    <row r="11544" spans="1:15" hidden="1">
      <c r="A11544" s="25">
        <v>202406</v>
      </c>
      <c r="B11544" s="6">
        <v>45448</v>
      </c>
      <c r="C11544" t="s">
        <v>5160</v>
      </c>
      <c r="D11544" t="s">
        <v>5417</v>
      </c>
      <c r="E11544">
        <v>140.4</v>
      </c>
      <c r="F11544" s="2" t="str">
        <f>IF(Table2[[#This Row],[Manual Cat Value]]="",VLOOKUP(Table2[[#This Row],[Description]],'Actuals Lookup'!D:F,3,0),VLOOKUP(Table2[[#This Row],[Manual Cat Value]],Lookup!A:B,2,0))</f>
        <v>Shopping</v>
      </c>
      <c r="G11544" t="s">
        <v>41</v>
      </c>
      <c r="H11544" t="s">
        <v>36</v>
      </c>
      <c r="I11544" s="8"/>
      <c r="O11544" t="str">
        <f>LEFT(Table2[[#This Row],[Description]],75)</f>
        <v>Backcountry.com</v>
      </c>
    </row>
    <row r="11545" spans="1:15" hidden="1">
      <c r="A11545">
        <v>202409</v>
      </c>
      <c r="B11545" s="6">
        <v>45557</v>
      </c>
      <c r="C11545" t="s">
        <v>130</v>
      </c>
      <c r="D11545" t="s">
        <v>5418</v>
      </c>
      <c r="E11545">
        <v>-118.4</v>
      </c>
      <c r="F11545" s="2" t="str">
        <f>IF(Table2[[#This Row],[Manual Cat Value]]="",VLOOKUP(Table2[[#This Row],[Description]],'Actuals Lookup'!D:F,3,0),VLOOKUP(Table2[[#This Row],[Manual Cat Value]],Lookup!A:B,2,0))</f>
        <v>Delete</v>
      </c>
      <c r="H11545" s="8" t="s">
        <v>9</v>
      </c>
      <c r="I11545" s="8"/>
      <c r="O11545" t="str">
        <f>LEFT(Table2[[#This Row],[Description]],75)</f>
        <v>DELTA AIR LINES     ATLANTA</v>
      </c>
    </row>
    <row r="11546" spans="1:15" hidden="1">
      <c r="A11546">
        <v>202409</v>
      </c>
      <c r="B11546" s="6">
        <v>45557</v>
      </c>
      <c r="C11546" t="s">
        <v>130</v>
      </c>
      <c r="D11546" t="s">
        <v>5418</v>
      </c>
      <c r="E11546">
        <v>-118.4</v>
      </c>
      <c r="F11546" s="2" t="str">
        <f>IF(Table2[[#This Row],[Manual Cat Value]]="",VLOOKUP(Table2[[#This Row],[Description]],'Actuals Lookup'!D:F,3,0),VLOOKUP(Table2[[#This Row],[Manual Cat Value]],Lookup!A:B,2,0))</f>
        <v>Delete</v>
      </c>
      <c r="H11546" s="8" t="s">
        <v>9</v>
      </c>
      <c r="I11546" s="8"/>
      <c r="O11546" t="str">
        <f>LEFT(Table2[[#This Row],[Description]],75)</f>
        <v>DELTA AIR LINES     ATLANTA</v>
      </c>
    </row>
    <row r="11547" spans="1:15" hidden="1">
      <c r="A11547">
        <v>202409</v>
      </c>
      <c r="B11547" s="6">
        <v>45557</v>
      </c>
      <c r="C11547" t="s">
        <v>130</v>
      </c>
      <c r="D11547" t="s">
        <v>5418</v>
      </c>
      <c r="E11547">
        <v>167.3</v>
      </c>
      <c r="F11547" s="2" t="str">
        <f>IF(Table2[[#This Row],[Manual Cat Value]]="",VLOOKUP(Table2[[#This Row],[Description]],'Actuals Lookup'!D:F,3,0),VLOOKUP(Table2[[#This Row],[Manual Cat Value]],Lookup!A:B,2,0))</f>
        <v>Delete</v>
      </c>
      <c r="H11547" s="8" t="s">
        <v>9</v>
      </c>
      <c r="I11547" s="8"/>
      <c r="O11547" t="str">
        <f>LEFT(Table2[[#This Row],[Description]],75)</f>
        <v>DELTA AIR LINES     ATLANTA</v>
      </c>
    </row>
    <row r="11548" spans="1:15" hidden="1">
      <c r="A11548" s="25">
        <v>202406</v>
      </c>
      <c r="B11548" s="6">
        <v>45448</v>
      </c>
      <c r="C11548" t="s">
        <v>5160</v>
      </c>
      <c r="D11548" t="s">
        <v>5419</v>
      </c>
      <c r="E11548">
        <v>96.31</v>
      </c>
      <c r="F11548" s="2" t="str">
        <f>IF(Table2[[#This Row],[Manual Cat Value]]="",VLOOKUP(Table2[[#This Row],[Description]],'Actuals Lookup'!D:F,3,0),VLOOKUP(Table2[[#This Row],[Manual Cat Value]],Lookup!A:B,2,0))</f>
        <v>Healthcare</v>
      </c>
      <c r="G11548" t="s">
        <v>62</v>
      </c>
      <c r="H11548" s="8" t="s">
        <v>47</v>
      </c>
      <c r="I11548" s="8"/>
      <c r="O11548" t="str">
        <f>LEFT(Table2[[#This Row],[Description]],75)</f>
        <v>Mst My Choice Transpedina Mn</v>
      </c>
    </row>
    <row r="11549" spans="1:15" hidden="1">
      <c r="A11549">
        <v>202409</v>
      </c>
      <c r="B11549" s="6">
        <v>45557</v>
      </c>
      <c r="C11549" t="s">
        <v>130</v>
      </c>
      <c r="D11549" t="s">
        <v>5418</v>
      </c>
      <c r="E11549">
        <v>737.2</v>
      </c>
      <c r="F11549" s="2" t="str">
        <f>IF(Table2[[#This Row],[Manual Cat Value]]="",VLOOKUP(Table2[[#This Row],[Description]],'Actuals Lookup'!D:F,3,0),VLOOKUP(Table2[[#This Row],[Manual Cat Value]],Lookup!A:B,2,0))</f>
        <v>Delete</v>
      </c>
      <c r="H11549" s="8" t="s">
        <v>9</v>
      </c>
      <c r="I11549" s="8"/>
      <c r="O11549" t="str">
        <f>LEFT(Table2[[#This Row],[Description]],75)</f>
        <v>DELTA AIR LINES     ATLANTA</v>
      </c>
    </row>
    <row r="11550" spans="1:15" hidden="1">
      <c r="A11550" s="25">
        <v>202406</v>
      </c>
      <c r="B11550" s="6">
        <v>45448</v>
      </c>
      <c r="C11550" t="s">
        <v>5160</v>
      </c>
      <c r="D11550" t="s">
        <v>5420</v>
      </c>
      <c r="E11550">
        <v>91.8</v>
      </c>
      <c r="F11550" s="2" t="str">
        <f>IF(Table2[[#This Row],[Manual Cat Value]]="",VLOOKUP(Table2[[#This Row],[Description]],'Actuals Lookup'!D:F,3,0),VLOOKUP(Table2[[#This Row],[Manual Cat Value]],Lookup!A:B,2,0))</f>
        <v>Shopping</v>
      </c>
      <c r="G11550" t="s">
        <v>21</v>
      </c>
      <c r="H11550" s="8" t="s">
        <v>36</v>
      </c>
      <c r="I11550" s="8"/>
      <c r="O11550" t="str">
        <f>LEFT(Table2[[#This Row],[Description]],75)</f>
        <v>Southern Tide</v>
      </c>
    </row>
    <row r="11551" spans="1:15" hidden="1">
      <c r="A11551">
        <v>202409</v>
      </c>
      <c r="B11551" s="6">
        <v>45557</v>
      </c>
      <c r="C11551" t="s">
        <v>130</v>
      </c>
      <c r="D11551" t="s">
        <v>5418</v>
      </c>
      <c r="E11551">
        <v>857.3</v>
      </c>
      <c r="F11551" s="2" t="str">
        <f>IF(Table2[[#This Row],[Manual Cat Value]]="",VLOOKUP(Table2[[#This Row],[Description]],'Actuals Lookup'!D:F,3,0),VLOOKUP(Table2[[#This Row],[Manual Cat Value]],Lookup!A:B,2,0))</f>
        <v>Delete</v>
      </c>
      <c r="H11551" s="8" t="s">
        <v>9</v>
      </c>
      <c r="I11551" s="8"/>
      <c r="O11551" t="str">
        <f>LEFT(Table2[[#This Row],[Description]],75)</f>
        <v>DELTA AIR LINES     ATLANTA</v>
      </c>
    </row>
    <row r="11552" spans="1:15" hidden="1">
      <c r="A11552">
        <v>202406</v>
      </c>
      <c r="B11552" s="6">
        <v>45448</v>
      </c>
      <c r="C11552" t="s">
        <v>2519</v>
      </c>
      <c r="D11552" t="s">
        <v>5421</v>
      </c>
      <c r="E11552">
        <v>153.15</v>
      </c>
      <c r="F11552" s="2" t="str">
        <f>IF(Table2[[#This Row],[Manual Cat Value]]="",VLOOKUP(Table2[[#This Row],[Description]],'Actuals Lookup'!D:F,3,0),VLOOKUP(Table2[[#This Row],[Manual Cat Value]],Lookup!A:B,2,0))</f>
        <v>Utilities</v>
      </c>
      <c r="H11552" s="8" t="s">
        <v>6</v>
      </c>
      <c r="I11552" s="8"/>
      <c r="O11552" t="str">
        <f>LEFT(Table2[[#This Row],[Description]],75)</f>
        <v>Withdrawal ACH CPENERGY MNGCO TYPE: MGC ACH EB ID: 1XX1140S CO: CPENERGY MN</v>
      </c>
    </row>
    <row r="11553" spans="1:17" hidden="1">
      <c r="A11553">
        <v>202406</v>
      </c>
      <c r="B11553" s="6">
        <v>45448</v>
      </c>
      <c r="C11553" t="s">
        <v>2519</v>
      </c>
      <c r="D11553" t="s">
        <v>5422</v>
      </c>
      <c r="E11553">
        <v>278</v>
      </c>
      <c r="F11553" s="2" t="str">
        <f>IF(Table2[[#This Row],[Manual Cat Value]]="",VLOOKUP(Table2[[#This Row],[Description]],'Actuals Lookup'!D:F,3,0),VLOOKUP(Table2[[#This Row],[Manual Cat Value]],Lookup!A:B,2,0))</f>
        <v>Day Care</v>
      </c>
      <c r="H11553" s="8" t="s">
        <v>19</v>
      </c>
      <c r="I11553" s="8"/>
      <c r="O11553" t="str">
        <f>LEFT(Table2[[#This Row],[Description]],75)</f>
        <v xml:space="preserve">Withdrawal ACH RILEY CROSSING C TYPE: XX8412 ID: XX9040 CO: RILEY CROSSING </v>
      </c>
    </row>
    <row r="11554" spans="1:17" hidden="1">
      <c r="A11554" s="25">
        <v>202406</v>
      </c>
      <c r="B11554" s="6">
        <v>45449</v>
      </c>
      <c r="C11554" t="s">
        <v>5160</v>
      </c>
      <c r="D11554" t="s">
        <v>5423</v>
      </c>
      <c r="E11554">
        <v>29</v>
      </c>
      <c r="F11554" s="2" t="str">
        <f>IF(Table2[[#This Row],[Manual Cat Value]]="",VLOOKUP(Table2[[#This Row],[Description]],'Actuals Lookup'!D:F,3,0),VLOOKUP(Table2[[#This Row],[Manual Cat Value]],Lookup!A:B,2,0))</f>
        <v>Day Care</v>
      </c>
      <c r="G11554" t="s">
        <v>4745</v>
      </c>
      <c r="H11554" s="8" t="s">
        <v>19</v>
      </c>
      <c r="I11554" s="8"/>
      <c r="O11554" t="str">
        <f>LEFT(Table2[[#This Row],[Description]],75)</f>
        <v>Aplpay Kids' Hair Lledina Mn</v>
      </c>
    </row>
    <row r="11555" spans="1:17" hidden="1">
      <c r="A11555">
        <v>202406</v>
      </c>
      <c r="B11555" s="6">
        <v>45449</v>
      </c>
      <c r="C11555" t="s">
        <v>2519</v>
      </c>
      <c r="D11555" t="s">
        <v>404</v>
      </c>
      <c r="E11555">
        <v>-2666.32</v>
      </c>
      <c r="F11555" s="2" t="str">
        <f>IF(Table2[[#This Row],[Manual Cat Value]]="",VLOOKUP(Table2[[#This Row],[Description]],'Actuals Lookup'!D:F,3,0),VLOOKUP(Table2[[#This Row],[Manual Cat Value]],Lookup!A:B,2,0))</f>
        <v>Britney</v>
      </c>
      <c r="I11555" s="8"/>
      <c r="O11555" t="str">
        <f>LEFT(Table2[[#This Row],[Description]],75)</f>
        <v>Cargill Inc Deposit</v>
      </c>
    </row>
    <row r="11556" spans="1:17" hidden="1">
      <c r="A11556">
        <v>202406</v>
      </c>
      <c r="B11556" s="6">
        <v>45449</v>
      </c>
      <c r="C11556" t="s">
        <v>2281</v>
      </c>
      <c r="D11556" t="s">
        <v>14</v>
      </c>
      <c r="E11556">
        <f>125*2</f>
        <v>250</v>
      </c>
      <c r="F11556" s="2" t="str">
        <f>IF(Table2[[#This Row],[Manual Cat Value]]="",VLOOKUP(Table2[[#This Row],[Description]],'Actuals Lookup'!D:F,3,0),VLOOKUP(Table2[[#This Row],[Manual Cat Value]],Lookup!A:B,2,0))</f>
        <v>Cleaning</v>
      </c>
      <c r="H11556" s="8" t="s">
        <v>13</v>
      </c>
      <c r="I11556" s="8"/>
      <c r="O11556" t="str">
        <f>LEFT(Table2[[#This Row],[Description]],75)</f>
        <v>Cleaning</v>
      </c>
    </row>
    <row r="11557" spans="1:17" hidden="1">
      <c r="A11557" s="25">
        <v>202406</v>
      </c>
      <c r="B11557" s="6">
        <v>45449</v>
      </c>
      <c r="C11557" t="s">
        <v>5160</v>
      </c>
      <c r="D11557" t="s">
        <v>5424</v>
      </c>
      <c r="E11557">
        <v>326.82</v>
      </c>
      <c r="F11557" s="2" t="str">
        <f>IF(Table2[[#This Row],[Manual Cat Value]]="",VLOOKUP(Table2[[#This Row],[Description]],'Actuals Lookup'!D:F,3,0),VLOOKUP(Table2[[#This Row],[Manual Cat Value]],Lookup!A:B,2,0))</f>
        <v>Travel</v>
      </c>
      <c r="G11557" t="s">
        <v>40</v>
      </c>
      <c r="H11557" s="8" t="s">
        <v>52</v>
      </c>
      <c r="I11557" s="8"/>
      <c r="O11557" t="str">
        <f>LEFT(Table2[[#This Row],[Description]],75)</f>
        <v>Fh* Fatbike Adventurwicklow Co</v>
      </c>
      <c r="Q11557" t="s">
        <v>2240</v>
      </c>
    </row>
    <row r="11558" spans="1:17" hidden="1">
      <c r="A11558" s="25">
        <v>202406</v>
      </c>
      <c r="B11558" s="6">
        <v>45449</v>
      </c>
      <c r="C11558" t="s">
        <v>5160</v>
      </c>
      <c r="D11558" t="s">
        <v>1353</v>
      </c>
      <c r="E11558">
        <v>37.17</v>
      </c>
      <c r="F11558" s="2" t="str">
        <f>IF(Table2[[#This Row],[Manual Cat Value]]="",VLOOKUP(Table2[[#This Row],[Description]],'Actuals Lookup'!D:F,3,0),VLOOKUP(Table2[[#This Row],[Manual Cat Value]],Lookup!A:B,2,0))</f>
        <v>Travel</v>
      </c>
      <c r="G11558" t="s">
        <v>26</v>
      </c>
      <c r="H11558" t="s">
        <v>52</v>
      </c>
      <c r="I11558" s="8"/>
      <c r="O11558" t="str">
        <f>LEFT(Table2[[#This Row],[Description]],75)</f>
        <v>Noodles &amp; Company</v>
      </c>
    </row>
    <row r="11559" spans="1:17" hidden="1">
      <c r="A11559">
        <v>202410</v>
      </c>
      <c r="B11559" s="6">
        <v>45589</v>
      </c>
      <c r="C11559" t="s">
        <v>2519</v>
      </c>
      <c r="D11559" t="s">
        <v>5425</v>
      </c>
      <c r="E11559">
        <v>-4156.46</v>
      </c>
      <c r="F11559" s="2" t="str">
        <f>IF(Table2[[#This Row],[Manual Cat Value]]="",VLOOKUP(Table2[[#This Row],[Description]],'Actuals Lookup'!D:F,3,0),VLOOKUP(Table2[[#This Row],[Manual Cat Value]],Lookup!A:B,2,0))</f>
        <v>Delete</v>
      </c>
      <c r="H11559" s="8" t="s">
        <v>9</v>
      </c>
      <c r="I11559" s="8"/>
      <c r="O11559" t="str">
        <f>LEFT(Table2[[#This Row],[Description]],75)</f>
        <v>Deposit ACH CARGILL INCORPOR TYPE: DIRECT DEP ID: 9111111101 CO: CARGILL IN</v>
      </c>
    </row>
    <row r="11560" spans="1:17" hidden="1">
      <c r="A11560" s="25">
        <v>202406</v>
      </c>
      <c r="B11560" s="6">
        <v>45449</v>
      </c>
      <c r="C11560" t="s">
        <v>5160</v>
      </c>
      <c r="D11560" t="s">
        <v>5426</v>
      </c>
      <c r="E11560">
        <v>147.22</v>
      </c>
      <c r="F11560" s="2" t="str">
        <f>IF(Table2[[#This Row],[Manual Cat Value]]="",VLOOKUP(Table2[[#This Row],[Description]],'Actuals Lookup'!D:F,3,0),VLOOKUP(Table2[[#This Row],[Manual Cat Value]],Lookup!A:B,2,0))</f>
        <v>Travel</v>
      </c>
      <c r="G11560" t="s">
        <v>26</v>
      </c>
      <c r="H11560" t="s">
        <v>52</v>
      </c>
      <c r="I11560" s="8"/>
      <c r="O11560" t="str">
        <f>LEFT(Table2[[#This Row],[Description]],75)</f>
        <v>Tokyo Steak &amp; Seafooorangeburg Sc</v>
      </c>
    </row>
    <row r="11561" spans="1:17" hidden="1">
      <c r="A11561">
        <v>202410</v>
      </c>
      <c r="B11561" s="6">
        <v>45575</v>
      </c>
      <c r="C11561" t="s">
        <v>2519</v>
      </c>
      <c r="D11561" t="s">
        <v>5427</v>
      </c>
      <c r="E11561">
        <v>-5707.64</v>
      </c>
      <c r="F11561" s="2" t="str">
        <f>IF(Table2[[#This Row],[Manual Cat Value]]="",VLOOKUP(Table2[[#This Row],[Description]],'Actuals Lookup'!D:F,3,0),VLOOKUP(Table2[[#This Row],[Manual Cat Value]],Lookup!A:B,2,0))</f>
        <v>Delete</v>
      </c>
      <c r="H11561" s="8" t="s">
        <v>9</v>
      </c>
      <c r="I11561" s="8"/>
      <c r="O11561" t="str">
        <f>LEFT(Table2[[#This Row],[Description]],75)</f>
        <v>Deposit ACH EMPYREAN SOLUTIO TYPE: XX9000 ID: XX3620 CO: EMPYREAN SOLUTIO E</v>
      </c>
    </row>
    <row r="11562" spans="1:17" hidden="1">
      <c r="A11562">
        <v>202406</v>
      </c>
      <c r="B11562" s="6">
        <v>45448</v>
      </c>
      <c r="C11562" t="s">
        <v>2519</v>
      </c>
      <c r="D11562" t="s">
        <v>5428</v>
      </c>
      <c r="E11562">
        <v>-4545.45</v>
      </c>
      <c r="F11562" s="2" t="str">
        <f>IF(Table2[[#This Row],[Manual Cat Value]]="",VLOOKUP(Table2[[#This Row],[Description]],'Actuals Lookup'!D:F,3,0),VLOOKUP(Table2[[#This Row],[Manual Cat Value]],Lookup!A:B,2,0))</f>
        <v>Delete</v>
      </c>
      <c r="H11562" s="8" t="s">
        <v>9</v>
      </c>
      <c r="I11562" s="8"/>
      <c r="O11562" t="str">
        <f>LEFT(Table2[[#This Row],[Description]],75)</f>
        <v>Deposit ACH MBI TYPE: SETL ID: XX1866 CO: MBI Entry Class Code: ACH Trace N</v>
      </c>
    </row>
    <row r="11563" spans="1:17" hidden="1">
      <c r="A11563">
        <v>202410</v>
      </c>
      <c r="B11563" s="6">
        <v>45596</v>
      </c>
      <c r="C11563" t="s">
        <v>2519</v>
      </c>
      <c r="D11563" t="s">
        <v>2896</v>
      </c>
      <c r="E11563">
        <v>-3.95</v>
      </c>
      <c r="F11563" s="2" t="str">
        <f>IF(Table2[[#This Row],[Manual Cat Value]]="",VLOOKUP(Table2[[#This Row],[Description]],'Actuals Lookup'!D:F,3,0),VLOOKUP(Table2[[#This Row],[Manual Cat Value]],Lookup!A:B,2,0))</f>
        <v>Delete</v>
      </c>
      <c r="H11563" s="8" t="s">
        <v>9</v>
      </c>
      <c r="I11563" s="8"/>
      <c r="O11563" t="str">
        <f>LEFT(Table2[[#This Row],[Description]],75)</f>
        <v>Deposit ATM FEE REFUND</v>
      </c>
    </row>
    <row r="11564" spans="1:17" hidden="1">
      <c r="A11564" s="25">
        <v>202406</v>
      </c>
      <c r="B11564" s="6">
        <v>45450</v>
      </c>
      <c r="C11564" t="s">
        <v>5160</v>
      </c>
      <c r="D11564" t="s">
        <v>5429</v>
      </c>
      <c r="E11564">
        <v>25.56</v>
      </c>
      <c r="F11564" s="2" t="str">
        <f>IF(Table2[[#This Row],[Manual Cat Value]]="",VLOOKUP(Table2[[#This Row],[Description]],'Actuals Lookup'!D:F,3,0),VLOOKUP(Table2[[#This Row],[Manual Cat Value]],Lookup!A:B,2,0))</f>
        <v>Restaurants</v>
      </c>
      <c r="G11564" t="s">
        <v>62</v>
      </c>
      <c r="H11564" s="8" t="s">
        <v>25</v>
      </c>
      <c r="I11564" s="8"/>
      <c r="O11564" t="str">
        <f>LEFT(Table2[[#This Row],[Description]],75)</f>
        <v>Marketplace &amp; Main</v>
      </c>
    </row>
    <row r="11565" spans="1:17" hidden="1">
      <c r="A11565" s="25">
        <v>202406</v>
      </c>
      <c r="B11565" s="6">
        <v>45450</v>
      </c>
      <c r="C11565" t="s">
        <v>5160</v>
      </c>
      <c r="D11565" t="s">
        <v>4864</v>
      </c>
      <c r="E11565">
        <v>338.7</v>
      </c>
      <c r="F11565" s="2" t="str">
        <f>IF(Table2[[#This Row],[Manual Cat Value]]="",VLOOKUP(Table2[[#This Row],[Description]],'Actuals Lookup'!D:F,3,0),VLOOKUP(Table2[[#This Row],[Manual Cat Value]],Lookup!A:B,2,0))</f>
        <v>Groceries</v>
      </c>
      <c r="G11565" t="s">
        <v>43</v>
      </c>
      <c r="H11565" t="s">
        <v>27</v>
      </c>
      <c r="I11565" s="8"/>
      <c r="O11565" t="str">
        <f>LEFT(Table2[[#This Row],[Description]],75)</f>
        <v>National Car Rental</v>
      </c>
    </row>
    <row r="11566" spans="1:17" hidden="1">
      <c r="A11566">
        <v>202402</v>
      </c>
      <c r="B11566" s="6">
        <v>45324</v>
      </c>
      <c r="C11566" t="s">
        <v>2519</v>
      </c>
      <c r="D11566" t="s">
        <v>710</v>
      </c>
      <c r="E11566">
        <v>-108.83</v>
      </c>
      <c r="F11566" s="2" t="str">
        <f>IF(Table2[[#This Row],[Manual Cat Value]]="",VLOOKUP(Table2[[#This Row],[Description]],'Actuals Lookup'!D:F,3,0),VLOOKUP(Table2[[#This Row],[Manual Cat Value]],Lookup!A:B,2,0))</f>
        <v>Delete</v>
      </c>
      <c r="H11566" s="8" t="s">
        <v>9</v>
      </c>
      <c r="I11566" s="8"/>
      <c r="O11566" t="str">
        <f>LEFT(Table2[[#This Row],[Description]],75)</f>
        <v>Deposit by Check Deposit Anywhere check deposit</v>
      </c>
    </row>
    <row r="11567" spans="1:17" hidden="1">
      <c r="A11567">
        <v>202406</v>
      </c>
      <c r="B11567" s="6">
        <v>45450</v>
      </c>
      <c r="C11567" t="s">
        <v>2519</v>
      </c>
      <c r="D11567" t="s">
        <v>1470</v>
      </c>
      <c r="E11567">
        <v>122.1</v>
      </c>
      <c r="F11567" s="2" t="str">
        <f>IF(Table2[[#This Row],[Manual Cat Value]]="",VLOOKUP(Table2[[#This Row],[Description]],'Actuals Lookup'!D:F,3,0),VLOOKUP(Table2[[#This Row],[Manual Cat Value]],Lookup!A:B,2,0))</f>
        <v>Utilities</v>
      </c>
      <c r="I11567" s="8"/>
      <c r="O11567" t="str">
        <f>LEFT(Table2[[#This Row],[Description]],75)</f>
        <v>Payment to Xcel Energy</v>
      </c>
    </row>
    <row r="11568" spans="1:17" hidden="1">
      <c r="A11568" s="25">
        <v>202406</v>
      </c>
      <c r="B11568" s="6">
        <v>45450</v>
      </c>
      <c r="C11568" t="s">
        <v>5160</v>
      </c>
      <c r="D11568" t="s">
        <v>5430</v>
      </c>
      <c r="E11568">
        <v>80</v>
      </c>
      <c r="F11568" s="2" t="str">
        <f>IF(Table2[[#This Row],[Manual Cat Value]]="",VLOOKUP(Table2[[#This Row],[Description]],'Actuals Lookup'!D:F,3,0),VLOOKUP(Table2[[#This Row],[Manual Cat Value]],Lookup!A:B,2,0))</f>
        <v>Restaurants</v>
      </c>
      <c r="G11568" t="s">
        <v>11</v>
      </c>
      <c r="H11568" t="s">
        <v>25</v>
      </c>
      <c r="I11568" s="8"/>
      <c r="O11568" t="str">
        <f>LEFT(Table2[[#This Row],[Description]],75)</f>
        <v>Pp*mohammad Reza Haboverlandpark Ks</v>
      </c>
    </row>
    <row r="11569" spans="1:15" hidden="1">
      <c r="A11569">
        <v>202403</v>
      </c>
      <c r="B11569" s="6">
        <v>45362</v>
      </c>
      <c r="C11569" t="s">
        <v>2519</v>
      </c>
      <c r="D11569" t="s">
        <v>710</v>
      </c>
      <c r="E11569">
        <v>-24.66</v>
      </c>
      <c r="F11569" s="2" t="str">
        <f>IF(Table2[[#This Row],[Manual Cat Value]]="",VLOOKUP(Table2[[#This Row],[Description]],'Actuals Lookup'!D:F,3,0),VLOOKUP(Table2[[#This Row],[Manual Cat Value]],Lookup!A:B,2,0))</f>
        <v>Delete</v>
      </c>
      <c r="I11569" s="8"/>
      <c r="O11569" t="str">
        <f>LEFT(Table2[[#This Row],[Description]],75)</f>
        <v>Deposit by Check Deposit Anywhere check deposit</v>
      </c>
    </row>
    <row r="11570" spans="1:15" hidden="1">
      <c r="A11570">
        <v>202406</v>
      </c>
      <c r="B11570" s="6">
        <v>45450</v>
      </c>
      <c r="C11570" t="s">
        <v>3938</v>
      </c>
      <c r="D11570" t="s">
        <v>1925</v>
      </c>
      <c r="E11570">
        <v>37.32</v>
      </c>
      <c r="F11570" s="2" t="str">
        <f>IF(Table2[[#This Row],[Manual Cat Value]]="",VLOOKUP(Table2[[#This Row],[Description]],'Actuals Lookup'!D:F,3,0),VLOOKUP(Table2[[#This Row],[Manual Cat Value]],Lookup!A:B,2,0))</f>
        <v>Groceries</v>
      </c>
      <c r="I11570" s="8"/>
      <c r="O11570" t="str">
        <f>LEFT(Table2[[#This Row],[Description]],75)</f>
        <v>Total Wine &amp; More</v>
      </c>
    </row>
    <row r="11571" spans="1:15" hidden="1">
      <c r="A11571">
        <v>202406</v>
      </c>
      <c r="B11571" s="6">
        <v>45450</v>
      </c>
      <c r="C11571" t="s">
        <v>3938</v>
      </c>
      <c r="D11571" t="s">
        <v>2135</v>
      </c>
      <c r="E11571">
        <v>13.63</v>
      </c>
      <c r="F11571" s="2" t="str">
        <f>IF(Table2[[#This Row],[Manual Cat Value]]="",VLOOKUP(Table2[[#This Row],[Description]],'Actuals Lookup'!D:F,3,0),VLOOKUP(Table2[[#This Row],[Manual Cat Value]],Lookup!A:B,2,0))</f>
        <v>Groceries</v>
      </c>
      <c r="I11571" s="8"/>
      <c r="O11571" t="str">
        <f>LEFT(Table2[[#This Row],[Description]],75)</f>
        <v>Walgreens</v>
      </c>
    </row>
    <row r="11572" spans="1:15" hidden="1">
      <c r="A11572" s="25">
        <v>202406</v>
      </c>
      <c r="B11572" s="6">
        <v>45451</v>
      </c>
      <c r="C11572" t="s">
        <v>5160</v>
      </c>
      <c r="D11572" t="s">
        <v>5431</v>
      </c>
      <c r="E11572">
        <v>25.71</v>
      </c>
      <c r="F11572" s="2" t="str">
        <f>IF(Table2[[#This Row],[Manual Cat Value]]="",VLOOKUP(Table2[[#This Row],[Description]],'Actuals Lookup'!D:F,3,0),VLOOKUP(Table2[[#This Row],[Manual Cat Value]],Lookup!A:B,2,0))</f>
        <v>Groceries</v>
      </c>
      <c r="G11572" t="s">
        <v>28</v>
      </c>
      <c r="H11572" t="s">
        <v>27</v>
      </c>
      <c r="I11572" s="8"/>
      <c r="O11572" t="str">
        <f>LEFT(Table2[[#This Row],[Description]],75)</f>
        <v>Aldi</v>
      </c>
    </row>
    <row r="11573" spans="1:15" hidden="1">
      <c r="A11573" s="25">
        <v>202406</v>
      </c>
      <c r="B11573" s="6">
        <v>45451</v>
      </c>
      <c r="C11573" t="s">
        <v>5160</v>
      </c>
      <c r="D11573" t="s">
        <v>916</v>
      </c>
      <c r="E11573">
        <v>170.36</v>
      </c>
      <c r="F11573" s="2" t="str">
        <f>IF(Table2[[#This Row],[Manual Cat Value]]="",VLOOKUP(Table2[[#This Row],[Description]],'Actuals Lookup'!D:F,3,0),VLOOKUP(Table2[[#This Row],[Manual Cat Value]],Lookup!A:B,2,0))</f>
        <v>Amazon</v>
      </c>
      <c r="G11573" t="s">
        <v>43</v>
      </c>
      <c r="H11573" t="s">
        <v>37</v>
      </c>
      <c r="I11573" s="8"/>
      <c r="O11573" t="str">
        <f>LEFT(Table2[[#This Row],[Description]],75)</f>
        <v>Hampton Inn</v>
      </c>
    </row>
    <row r="11574" spans="1:15" hidden="1">
      <c r="A11574">
        <v>202406</v>
      </c>
      <c r="B11574" s="6">
        <v>45452</v>
      </c>
      <c r="C11574" t="s">
        <v>3938</v>
      </c>
      <c r="D11574" t="s">
        <v>5432</v>
      </c>
      <c r="E11574">
        <v>55.8</v>
      </c>
      <c r="F11574" s="2" t="str">
        <f>IF(Table2[[#This Row],[Manual Cat Value]]="",VLOOKUP(Table2[[#This Row],[Description]],'Actuals Lookup'!D:F,3,0),VLOOKUP(Table2[[#This Row],[Manual Cat Value]],Lookup!A:B,2,0))</f>
        <v>Amazon</v>
      </c>
      <c r="H11574" t="s">
        <v>37</v>
      </c>
      <c r="I11574" s="8"/>
      <c r="O11574" t="str">
        <f>LEFT(Table2[[#This Row],[Description]],75)</f>
        <v>AMZN Mktp US*Q97LK1703 Amzn.com/billWA REF #XX9216HG30YDBX89</v>
      </c>
    </row>
    <row r="11575" spans="1:15" hidden="1">
      <c r="A11575" s="25">
        <v>202406</v>
      </c>
      <c r="B11575" s="6">
        <v>45452</v>
      </c>
      <c r="C11575" t="s">
        <v>5160</v>
      </c>
      <c r="D11575" t="s">
        <v>5433</v>
      </c>
      <c r="E11575">
        <v>42</v>
      </c>
      <c r="F11575" s="2" t="str">
        <f>IF(Table2[[#This Row],[Manual Cat Value]]="",VLOOKUP(Table2[[#This Row],[Description]],'Actuals Lookup'!D:F,3,0),VLOOKUP(Table2[[#This Row],[Manual Cat Value]],Lookup!A:B,2,0))</f>
        <v>Restaurants</v>
      </c>
      <c r="G11575" t="s">
        <v>43</v>
      </c>
      <c r="H11575" s="8" t="s">
        <v>25</v>
      </c>
      <c r="I11575" s="8"/>
      <c r="O11575" t="str">
        <f>LEFT(Table2[[#This Row],[Description]],75)</f>
        <v>Aplpay Trail's Ta Tralbert Lea Mn</v>
      </c>
    </row>
    <row r="11576" spans="1:15" hidden="1">
      <c r="A11576" s="25">
        <v>202406</v>
      </c>
      <c r="B11576" s="6">
        <v>45452</v>
      </c>
      <c r="C11576" t="s">
        <v>5160</v>
      </c>
      <c r="D11576" t="s">
        <v>5433</v>
      </c>
      <c r="E11576">
        <v>10.99</v>
      </c>
      <c r="F11576" s="2" t="str">
        <f>IF(Table2[[#This Row],[Manual Cat Value]]="",VLOOKUP(Table2[[#This Row],[Description]],'Actuals Lookup'!D:F,3,0),VLOOKUP(Table2[[#This Row],[Manual Cat Value]],Lookup!A:B,2,0))</f>
        <v>Restaurants</v>
      </c>
      <c r="G11576" t="s">
        <v>43</v>
      </c>
      <c r="H11576" s="8" t="s">
        <v>25</v>
      </c>
      <c r="I11576" s="8"/>
      <c r="O11576" t="str">
        <f>LEFT(Table2[[#This Row],[Description]],75)</f>
        <v>Aplpay Trail's Ta Tralbert Lea Mn</v>
      </c>
    </row>
    <row r="11577" spans="1:15" hidden="1">
      <c r="A11577" s="25">
        <v>202406</v>
      </c>
      <c r="B11577" s="6">
        <v>45452</v>
      </c>
      <c r="C11577" t="s">
        <v>5160</v>
      </c>
      <c r="D11577" t="s">
        <v>5434</v>
      </c>
      <c r="E11577">
        <v>56.5</v>
      </c>
      <c r="F11577" s="2" t="str">
        <f>IF(Table2[[#This Row],[Manual Cat Value]]="",VLOOKUP(Table2[[#This Row],[Description]],'Actuals Lookup'!D:F,3,0),VLOOKUP(Table2[[#This Row],[Manual Cat Value]],Lookup!A:B,2,0))</f>
        <v>Restaurants</v>
      </c>
      <c r="G11577" t="s">
        <v>26</v>
      </c>
      <c r="H11577" s="8" t="s">
        <v>25</v>
      </c>
      <c r="I11577" s="8"/>
      <c r="O11577" t="str">
        <f>LEFT(Table2[[#This Row],[Description]],75)</f>
        <v>Aplpay Tst* Zombie Bdes Moines Ia</v>
      </c>
    </row>
    <row r="11578" spans="1:15" hidden="1">
      <c r="A11578" s="25">
        <v>202406</v>
      </c>
      <c r="B11578" s="6">
        <v>45452</v>
      </c>
      <c r="C11578" t="s">
        <v>5160</v>
      </c>
      <c r="D11578" t="s">
        <v>4705</v>
      </c>
      <c r="E11578">
        <v>36.11</v>
      </c>
      <c r="F11578" s="2" t="str">
        <f>IF(Table2[[#This Row],[Manual Cat Value]]="",VLOOKUP(Table2[[#This Row],[Description]],'Actuals Lookup'!D:F,3,0),VLOOKUP(Table2[[#This Row],[Manual Cat Value]],Lookup!A:B,2,0))</f>
        <v>Amazon</v>
      </c>
      <c r="G11578" t="s">
        <v>28</v>
      </c>
      <c r="H11578" t="s">
        <v>37</v>
      </c>
      <c r="I11578" s="8"/>
      <c r="O11578" t="str">
        <f>LEFT(Table2[[#This Row],[Description]],75)</f>
        <v>Casey's General Stores</v>
      </c>
    </row>
    <row r="11579" spans="1:15" hidden="1">
      <c r="A11579" s="25">
        <v>202406</v>
      </c>
      <c r="B11579" s="6">
        <v>45452</v>
      </c>
      <c r="C11579" t="s">
        <v>5160</v>
      </c>
      <c r="D11579" t="s">
        <v>4705</v>
      </c>
      <c r="E11579">
        <v>5.34</v>
      </c>
      <c r="F11579" s="2" t="str">
        <f>IF(Table2[[#This Row],[Manual Cat Value]]="",VLOOKUP(Table2[[#This Row],[Description]],'Actuals Lookup'!D:F,3,0),VLOOKUP(Table2[[#This Row],[Manual Cat Value]],Lookup!A:B,2,0))</f>
        <v>Amazon</v>
      </c>
      <c r="G11579" t="s">
        <v>28</v>
      </c>
      <c r="H11579" t="s">
        <v>37</v>
      </c>
      <c r="I11579" s="8"/>
      <c r="O11579" t="str">
        <f>LEFT(Table2[[#This Row],[Description]],75)</f>
        <v>Casey's General Stores</v>
      </c>
    </row>
    <row r="11580" spans="1:15" hidden="1">
      <c r="A11580">
        <v>202406</v>
      </c>
      <c r="B11580" s="6">
        <v>45452</v>
      </c>
      <c r="C11580" t="s">
        <v>3938</v>
      </c>
      <c r="D11580" t="s">
        <v>4887</v>
      </c>
      <c r="E11580">
        <v>46.6</v>
      </c>
      <c r="F11580" s="2" t="str">
        <f>IF(Table2[[#This Row],[Manual Cat Value]]="",VLOOKUP(Table2[[#This Row],[Description]],'Actuals Lookup'!D:F,3,0),VLOOKUP(Table2[[#This Row],[Manual Cat Value]],Lookup!A:B,2,0))</f>
        <v>Groceries</v>
      </c>
      <c r="I11580" s="8"/>
      <c r="O11580" t="str">
        <f>LEFT(Table2[[#This Row],[Description]],75)</f>
        <v>Costco Gas Stations</v>
      </c>
    </row>
    <row r="11581" spans="1:15" hidden="1">
      <c r="A11581" s="25">
        <v>202406</v>
      </c>
      <c r="B11581" s="6">
        <v>45452</v>
      </c>
      <c r="C11581" t="s">
        <v>5160</v>
      </c>
      <c r="D11581" t="s">
        <v>5435</v>
      </c>
      <c r="E11581">
        <v>178</v>
      </c>
      <c r="F11581" s="2" t="str">
        <f>IF(Table2[[#This Row],[Manual Cat Value]]="",VLOOKUP(Table2[[#This Row],[Description]],'Actuals Lookup'!D:F,3,0),VLOOKUP(Table2[[#This Row],[Manual Cat Value]],Lookup!A:B,2,0))</f>
        <v>Misc</v>
      </c>
      <c r="G11581" t="s">
        <v>62</v>
      </c>
      <c r="H11581" s="8" t="s">
        <v>46</v>
      </c>
      <c r="I11581" s="8"/>
      <c r="O11581" t="str">
        <f>LEFT(Table2[[#This Row],[Description]],75)</f>
        <v>Legalzoom</v>
      </c>
    </row>
    <row r="11582" spans="1:15" hidden="1">
      <c r="A11582" s="25">
        <v>202406</v>
      </c>
      <c r="B11582" s="6">
        <v>45452</v>
      </c>
      <c r="C11582" t="s">
        <v>5160</v>
      </c>
      <c r="D11582" t="s">
        <v>5435</v>
      </c>
      <c r="E11582">
        <v>-178</v>
      </c>
      <c r="F11582" s="2" t="str">
        <f>IF(Table2[[#This Row],[Manual Cat Value]]="",VLOOKUP(Table2[[#This Row],[Description]],'Actuals Lookup'!D:F,3,0),VLOOKUP(Table2[[#This Row],[Manual Cat Value]],Lookup!A:B,2,0))</f>
        <v>Misc</v>
      </c>
      <c r="G11582" t="s">
        <v>62</v>
      </c>
      <c r="H11582" s="8" t="s">
        <v>46</v>
      </c>
      <c r="I11582" s="8"/>
      <c r="O11582" t="str">
        <f>LEFT(Table2[[#This Row],[Description]],75)</f>
        <v>Legalzoom</v>
      </c>
    </row>
    <row r="11583" spans="1:15" hidden="1">
      <c r="A11583" s="25">
        <v>202406</v>
      </c>
      <c r="B11583" s="6">
        <v>45452</v>
      </c>
      <c r="C11583" t="s">
        <v>5160</v>
      </c>
      <c r="D11583" t="s">
        <v>5435</v>
      </c>
      <c r="E11583">
        <v>299</v>
      </c>
      <c r="F11583" s="2" t="str">
        <f>IF(Table2[[#This Row],[Manual Cat Value]]="",VLOOKUP(Table2[[#This Row],[Description]],'Actuals Lookup'!D:F,3,0),VLOOKUP(Table2[[#This Row],[Manual Cat Value]],Lookup!A:B,2,0))</f>
        <v>Misc</v>
      </c>
      <c r="G11583" t="s">
        <v>62</v>
      </c>
      <c r="H11583" s="8" t="s">
        <v>46</v>
      </c>
      <c r="I11583" s="8"/>
      <c r="O11583" t="str">
        <f>LEFT(Table2[[#This Row],[Description]],75)</f>
        <v>Legalzoom</v>
      </c>
    </row>
    <row r="11584" spans="1:15" hidden="1">
      <c r="A11584">
        <v>202406</v>
      </c>
      <c r="B11584" s="6">
        <v>45452</v>
      </c>
      <c r="C11584" t="s">
        <v>3938</v>
      </c>
      <c r="D11584" t="s">
        <v>1477</v>
      </c>
      <c r="E11584">
        <v>47.69</v>
      </c>
      <c r="F11584" s="2" t="str">
        <f>IF(Table2[[#This Row],[Manual Cat Value]]="",VLOOKUP(Table2[[#This Row],[Description]],'Actuals Lookup'!D:F,3,0),VLOOKUP(Table2[[#This Row],[Manual Cat Value]],Lookup!A:B,2,0))</f>
        <v>Gym</v>
      </c>
      <c r="I11584" s="8"/>
      <c r="O11584" t="str">
        <f>LEFT(Table2[[#This Row],[Description]],75)</f>
        <v>Peloton Cycles</v>
      </c>
    </row>
    <row r="11585" spans="1:15" hidden="1">
      <c r="A11585" s="25">
        <v>202406</v>
      </c>
      <c r="B11585" s="6">
        <v>45452</v>
      </c>
      <c r="C11585" t="s">
        <v>5160</v>
      </c>
      <c r="D11585" t="s">
        <v>5436</v>
      </c>
      <c r="E11585">
        <v>25.13</v>
      </c>
      <c r="F11585" s="2" t="str">
        <f>IF(Table2[[#This Row],[Manual Cat Value]]="",VLOOKUP(Table2[[#This Row],[Description]],'Actuals Lookup'!D:F,3,0),VLOOKUP(Table2[[#This Row],[Manual Cat Value]],Lookup!A:B,2,0))</f>
        <v>Restaurants</v>
      </c>
      <c r="G11585" t="s">
        <v>26</v>
      </c>
      <c r="H11585" t="s">
        <v>25</v>
      </c>
      <c r="I11585" s="8"/>
      <c r="O11585" t="str">
        <f>LEFT(Table2[[#This Row],[Description]],75)</f>
        <v>Pizza Shuttle</v>
      </c>
    </row>
    <row r="11586" spans="1:15" hidden="1">
      <c r="A11586" s="25">
        <v>202406</v>
      </c>
      <c r="B11586" s="6">
        <v>45452</v>
      </c>
      <c r="C11586" t="s">
        <v>5160</v>
      </c>
      <c r="D11586" t="s">
        <v>5436</v>
      </c>
      <c r="E11586">
        <v>20.97</v>
      </c>
      <c r="F11586" s="2" t="str">
        <f>IF(Table2[[#This Row],[Manual Cat Value]]="",VLOOKUP(Table2[[#This Row],[Description]],'Actuals Lookup'!D:F,3,0),VLOOKUP(Table2[[#This Row],[Manual Cat Value]],Lookup!A:B,2,0))</f>
        <v>Restaurants</v>
      </c>
      <c r="G11586" t="s">
        <v>26</v>
      </c>
      <c r="H11586" t="s">
        <v>25</v>
      </c>
      <c r="I11586" s="8"/>
      <c r="O11586" t="str">
        <f>LEFT(Table2[[#This Row],[Description]],75)</f>
        <v>Pizza Shuttle</v>
      </c>
    </row>
    <row r="11587" spans="1:15" hidden="1">
      <c r="A11587">
        <v>202406</v>
      </c>
      <c r="B11587" s="6">
        <v>45452</v>
      </c>
      <c r="C11587" t="s">
        <v>3938</v>
      </c>
      <c r="D11587" t="s">
        <v>1849</v>
      </c>
      <c r="E11587">
        <v>23.86</v>
      </c>
      <c r="F11587" s="2" t="str">
        <f>IF(Table2[[#This Row],[Manual Cat Value]]="",VLOOKUP(Table2[[#This Row],[Description]],'Actuals Lookup'!D:F,3,0),VLOOKUP(Table2[[#This Row],[Manual Cat Value]],Lookup!A:B,2,0))</f>
        <v>House Maintenance</v>
      </c>
      <c r="I11587" s="8"/>
      <c r="O11587" t="str">
        <f>LEFT(Table2[[#This Row],[Description]],75)</f>
        <v>The Home Depot</v>
      </c>
    </row>
    <row r="11588" spans="1:15" hidden="1">
      <c r="A11588">
        <v>202406</v>
      </c>
      <c r="B11588" s="6">
        <v>45452</v>
      </c>
      <c r="C11588" t="s">
        <v>3938</v>
      </c>
      <c r="D11588" t="s">
        <v>2078</v>
      </c>
      <c r="E11588">
        <v>27.53</v>
      </c>
      <c r="F11588" s="2" t="str">
        <f>IF(Table2[[#This Row],[Manual Cat Value]]="",VLOOKUP(Table2[[#This Row],[Description]],'Actuals Lookup'!D:F,3,0),VLOOKUP(Table2[[#This Row],[Manual Cat Value]],Lookup!A:B,2,0))</f>
        <v>Transportation</v>
      </c>
      <c r="I11588" s="8"/>
      <c r="O11588" t="str">
        <f>LEFT(Table2[[#This Row],[Description]],75)</f>
        <v>Uber</v>
      </c>
    </row>
    <row r="11589" spans="1:15" hidden="1">
      <c r="A11589">
        <v>202406</v>
      </c>
      <c r="B11589" s="6">
        <v>45453</v>
      </c>
      <c r="C11589" t="s">
        <v>3938</v>
      </c>
      <c r="D11589" t="s">
        <v>5437</v>
      </c>
      <c r="E11589">
        <v>35.130000000000003</v>
      </c>
      <c r="F11589" s="2" t="str">
        <f>IF(Table2[[#This Row],[Manual Cat Value]]="",VLOOKUP(Table2[[#This Row],[Description]],'Actuals Lookup'!D:F,3,0),VLOOKUP(Table2[[#This Row],[Manual Cat Value]],Lookup!A:B,2,0))</f>
        <v>Restaurants</v>
      </c>
      <c r="H11589" s="8" t="s">
        <v>25</v>
      </c>
      <c r="I11589" s="8"/>
      <c r="O11589" t="str">
        <f>LEFT(Table2[[#This Row],[Description]],75)</f>
        <v>CROSSROADS FOOD AND BEV KANSAS CITY MO REF #XX5542HH4NGGP62A</v>
      </c>
    </row>
    <row r="11590" spans="1:15" hidden="1">
      <c r="A11590" s="25">
        <v>202406</v>
      </c>
      <c r="B11590" s="6">
        <v>45453</v>
      </c>
      <c r="C11590" t="s">
        <v>5160</v>
      </c>
      <c r="D11590" t="s">
        <v>5438</v>
      </c>
      <c r="E11590">
        <v>23.88</v>
      </c>
      <c r="F11590" s="2" t="str">
        <f>IF(Table2[[#This Row],[Manual Cat Value]]="",VLOOKUP(Table2[[#This Row],[Description]],'Actuals Lookup'!D:F,3,0),VLOOKUP(Table2[[#This Row],[Manual Cat Value]],Lookup!A:B,2,0))</f>
        <v>Day Care</v>
      </c>
      <c r="G11590" t="s">
        <v>35</v>
      </c>
      <c r="H11590" s="8" t="s">
        <v>19</v>
      </c>
      <c r="I11590" s="8"/>
      <c r="O11590" t="str">
        <f>LEFT(Table2[[#This Row],[Description]],75)</f>
        <v>Mcw 1602-minnetonka Minnetonka Mn</v>
      </c>
    </row>
    <row r="11591" spans="1:15" hidden="1">
      <c r="A11591">
        <v>202406</v>
      </c>
      <c r="B11591" s="6">
        <v>45453</v>
      </c>
      <c r="C11591" t="s">
        <v>3938</v>
      </c>
      <c r="D11591" t="s">
        <v>2078</v>
      </c>
      <c r="E11591">
        <v>39.39</v>
      </c>
      <c r="F11591" s="2" t="str">
        <f>IF(Table2[[#This Row],[Manual Cat Value]]="",VLOOKUP(Table2[[#This Row],[Description]],'Actuals Lookup'!D:F,3,0),VLOOKUP(Table2[[#This Row],[Manual Cat Value]],Lookup!A:B,2,0))</f>
        <v>Transportation</v>
      </c>
      <c r="I11591" s="8"/>
      <c r="O11591" t="str">
        <f>LEFT(Table2[[#This Row],[Description]],75)</f>
        <v>Uber</v>
      </c>
    </row>
    <row r="11592" spans="1:15" hidden="1">
      <c r="A11592">
        <v>202406</v>
      </c>
      <c r="B11592" s="6">
        <v>45454</v>
      </c>
      <c r="C11592" t="s">
        <v>3938</v>
      </c>
      <c r="D11592" t="s">
        <v>113</v>
      </c>
      <c r="E11592">
        <v>-78.02</v>
      </c>
      <c r="F11592" s="2" t="str">
        <f>IF(Table2[[#This Row],[Manual Cat Value]]="",VLOOKUP(Table2[[#This Row],[Description]],'Actuals Lookup'!D:F,3,0),VLOOKUP(Table2[[#This Row],[Manual Cat Value]],Lookup!A:B,2,0))</f>
        <v>Amazon</v>
      </c>
      <c r="I11592" s="8"/>
      <c r="O11592" t="str">
        <f>LEFT(Table2[[#This Row],[Description]],75)</f>
        <v>Amazon Marketplace</v>
      </c>
    </row>
    <row r="11593" spans="1:15" hidden="1">
      <c r="A11593">
        <v>202406</v>
      </c>
      <c r="B11593" s="6">
        <v>45454</v>
      </c>
      <c r="C11593" t="s">
        <v>3938</v>
      </c>
      <c r="D11593" t="s">
        <v>113</v>
      </c>
      <c r="E11593">
        <v>91.65</v>
      </c>
      <c r="F11593" s="2" t="str">
        <f>IF(Table2[[#This Row],[Manual Cat Value]]="",VLOOKUP(Table2[[#This Row],[Description]],'Actuals Lookup'!D:F,3,0),VLOOKUP(Table2[[#This Row],[Manual Cat Value]],Lookup!A:B,2,0))</f>
        <v>Amazon</v>
      </c>
      <c r="I11593" s="8"/>
      <c r="O11593" t="str">
        <f>LEFT(Table2[[#This Row],[Description]],75)</f>
        <v>Amazon Marketplace</v>
      </c>
    </row>
    <row r="11594" spans="1:15" hidden="1">
      <c r="A11594">
        <v>202406</v>
      </c>
      <c r="B11594" s="6">
        <v>45454</v>
      </c>
      <c r="C11594" t="s">
        <v>3938</v>
      </c>
      <c r="D11594" t="s">
        <v>5439</v>
      </c>
      <c r="E11594">
        <v>54.18</v>
      </c>
      <c r="F11594" s="2" t="str">
        <f>IF(Table2[[#This Row],[Manual Cat Value]]="",VLOOKUP(Table2[[#This Row],[Description]],'Actuals Lookup'!D:F,3,0),VLOOKUP(Table2[[#This Row],[Manual Cat Value]],Lookup!A:B,2,0))</f>
        <v>Amazon</v>
      </c>
      <c r="H11594" t="s">
        <v>37</v>
      </c>
      <c r="I11594" s="8"/>
      <c r="O11594" t="str">
        <f>LEFT(Table2[[#This Row],[Description]],75)</f>
        <v>AMZN Mktp US*0L38L9BK3 Amzn.com/billWA REF #XX9216HJ3289BME9</v>
      </c>
    </row>
    <row r="11595" spans="1:15" hidden="1">
      <c r="A11595">
        <v>202406</v>
      </c>
      <c r="B11595" s="6">
        <v>45454</v>
      </c>
      <c r="C11595" t="s">
        <v>3938</v>
      </c>
      <c r="D11595" t="s">
        <v>5440</v>
      </c>
      <c r="E11595">
        <v>10.5</v>
      </c>
      <c r="F11595" s="2" t="str">
        <f>IF(Table2[[#This Row],[Manual Cat Value]]="",VLOOKUP(Table2[[#This Row],[Description]],'Actuals Lookup'!D:F,3,0),VLOOKUP(Table2[[#This Row],[Manual Cat Value]],Lookup!A:B,2,0))</f>
        <v>Amazon</v>
      </c>
      <c r="H11595" t="s">
        <v>37</v>
      </c>
      <c r="I11595" s="8"/>
      <c r="O11595" t="str">
        <f>LEFT(Table2[[#This Row],[Description]],75)</f>
        <v>AMZN Mktp US*3W4Z09R13 Amzn.com/billWA REF #XX9216HJ32EB8S33</v>
      </c>
    </row>
    <row r="11596" spans="1:15" hidden="1">
      <c r="A11596">
        <v>202406</v>
      </c>
      <c r="B11596" s="6">
        <v>45454</v>
      </c>
      <c r="C11596" t="s">
        <v>3938</v>
      </c>
      <c r="D11596" t="s">
        <v>5441</v>
      </c>
      <c r="E11596">
        <v>67.42</v>
      </c>
      <c r="F11596" s="2" t="str">
        <f>IF(Table2[[#This Row],[Manual Cat Value]]="",VLOOKUP(Table2[[#This Row],[Description]],'Actuals Lookup'!D:F,3,0),VLOOKUP(Table2[[#This Row],[Manual Cat Value]],Lookup!A:B,2,0))</f>
        <v>Amazon</v>
      </c>
      <c r="H11596" t="s">
        <v>37</v>
      </c>
      <c r="I11596" s="8"/>
      <c r="O11596" t="str">
        <f>LEFT(Table2[[#This Row],[Description]],75)</f>
        <v>AMZN Mktp US*LL5OZ4603 Amzn.com/billWA REF #XX9216HJ325MR0G7</v>
      </c>
    </row>
    <row r="11597" spans="1:15" hidden="1">
      <c r="A11597">
        <v>202406</v>
      </c>
      <c r="B11597" s="6">
        <v>45454</v>
      </c>
      <c r="C11597" t="s">
        <v>3938</v>
      </c>
      <c r="D11597" t="s">
        <v>5442</v>
      </c>
      <c r="E11597">
        <v>19.5</v>
      </c>
      <c r="F11597" s="2" t="str">
        <f>IF(Table2[[#This Row],[Manual Cat Value]]="",VLOOKUP(Table2[[#This Row],[Description]],'Actuals Lookup'!D:F,3,0),VLOOKUP(Table2[[#This Row],[Manual Cat Value]],Lookup!A:B,2,0))</f>
        <v>Amazon</v>
      </c>
      <c r="H11597" t="s">
        <v>37</v>
      </c>
      <c r="I11597" s="8"/>
      <c r="O11597" t="str">
        <f>LEFT(Table2[[#This Row],[Description]],75)</f>
        <v>AMZN Mktp US*LP0DW6QZ3 Amzn.com/billWA REF #XX9216HJ327MPBB6</v>
      </c>
    </row>
    <row r="11598" spans="1:15" hidden="1">
      <c r="A11598" s="25">
        <v>202406</v>
      </c>
      <c r="B11598" s="6">
        <v>45454</v>
      </c>
      <c r="C11598" t="s">
        <v>5160</v>
      </c>
      <c r="D11598" t="s">
        <v>5438</v>
      </c>
      <c r="E11598">
        <v>15.19</v>
      </c>
      <c r="F11598" s="2" t="str">
        <f>IF(Table2[[#This Row],[Manual Cat Value]]="",VLOOKUP(Table2[[#This Row],[Description]],'Actuals Lookup'!D:F,3,0),VLOOKUP(Table2[[#This Row],[Manual Cat Value]],Lookup!A:B,2,0))</f>
        <v>Day Care</v>
      </c>
      <c r="G11598" t="s">
        <v>35</v>
      </c>
      <c r="H11598" s="8" t="s">
        <v>19</v>
      </c>
      <c r="I11598" s="8"/>
      <c r="O11598" t="str">
        <f>LEFT(Table2[[#This Row],[Description]],75)</f>
        <v>Mcw 1602-minnetonka Minnetonka Mn</v>
      </c>
    </row>
    <row r="11599" spans="1:15" hidden="1">
      <c r="A11599">
        <v>202406</v>
      </c>
      <c r="B11599" s="6">
        <v>45454</v>
      </c>
      <c r="C11599" t="s">
        <v>3938</v>
      </c>
      <c r="D11599" t="s">
        <v>5443</v>
      </c>
      <c r="E11599">
        <v>125</v>
      </c>
      <c r="F11599" s="2" t="str">
        <f>IF(Table2[[#This Row],[Manual Cat Value]]="",VLOOKUP(Table2[[#This Row],[Description]],'Actuals Lookup'!D:F,3,0),VLOOKUP(Table2[[#This Row],[Manual Cat Value]],Lookup!A:B,2,0))</f>
        <v>Day Care</v>
      </c>
      <c r="H11599" s="8" t="s">
        <v>19</v>
      </c>
      <c r="I11599" s="8"/>
      <c r="O11599" t="str">
        <f>LEFT(Table2[[#This Row],[Description]],75)</f>
        <v>Mis Amigos</v>
      </c>
    </row>
    <row r="11600" spans="1:15" hidden="1">
      <c r="A11600">
        <v>202406</v>
      </c>
      <c r="B11600" s="6">
        <v>45454</v>
      </c>
      <c r="C11600" t="s">
        <v>3938</v>
      </c>
      <c r="D11600" t="s">
        <v>1350</v>
      </c>
      <c r="E11600">
        <v>25.6</v>
      </c>
      <c r="F11600" s="2" t="str">
        <f>IF(Table2[[#This Row],[Manual Cat Value]]="",VLOOKUP(Table2[[#This Row],[Description]],'Actuals Lookup'!D:F,3,0),VLOOKUP(Table2[[#This Row],[Manual Cat Value]],Lookup!A:B,2,0))</f>
        <v>Utilities</v>
      </c>
      <c r="I11600" s="8"/>
      <c r="O11600" t="str">
        <f>LEFT(Table2[[#This Row],[Description]],75)</f>
        <v>Netflix</v>
      </c>
    </row>
    <row r="11601" spans="1:15" hidden="1">
      <c r="A11601" s="25">
        <v>202406</v>
      </c>
      <c r="B11601" s="6">
        <v>45454</v>
      </c>
      <c r="C11601" t="s">
        <v>5160</v>
      </c>
      <c r="D11601" t="s">
        <v>31</v>
      </c>
      <c r="E11601">
        <v>23.92</v>
      </c>
      <c r="F11601" s="2" t="str">
        <f>IF(Table2[[#This Row],[Manual Cat Value]]="",VLOOKUP(Table2[[#This Row],[Description]],'Actuals Lookup'!D:F,3,0),VLOOKUP(Table2[[#This Row],[Manual Cat Value]],Lookup!A:B,2,0))</f>
        <v>Target</v>
      </c>
      <c r="G11601" t="s">
        <v>31</v>
      </c>
      <c r="I11601" s="8"/>
      <c r="O11601" t="str">
        <f>LEFT(Table2[[#This Row],[Description]],75)</f>
        <v>Target</v>
      </c>
    </row>
    <row r="11602" spans="1:15" hidden="1">
      <c r="A11602">
        <v>202406</v>
      </c>
      <c r="B11602" s="6">
        <v>45455</v>
      </c>
      <c r="C11602" t="s">
        <v>3938</v>
      </c>
      <c r="D11602" t="s">
        <v>38</v>
      </c>
      <c r="E11602">
        <v>19.489999999999998</v>
      </c>
      <c r="F11602" s="2" t="str">
        <f>IF(Table2[[#This Row],[Manual Cat Value]]="",VLOOKUP(Table2[[#This Row],[Description]],'Actuals Lookup'!D:F,3,0),VLOOKUP(Table2[[#This Row],[Manual Cat Value]],Lookup!A:B,2,0))</f>
        <v>Amazon</v>
      </c>
      <c r="I11602" s="8"/>
      <c r="O11602" t="str">
        <f>LEFT(Table2[[#This Row],[Description]],75)</f>
        <v>Amazon</v>
      </c>
    </row>
    <row r="11603" spans="1:15" hidden="1">
      <c r="A11603" s="25">
        <v>202406</v>
      </c>
      <c r="B11603" s="6">
        <v>45455</v>
      </c>
      <c r="C11603" t="s">
        <v>5160</v>
      </c>
      <c r="D11603" t="s">
        <v>5444</v>
      </c>
      <c r="E11603">
        <v>109.81</v>
      </c>
      <c r="F11603" s="2" t="str">
        <f>IF(Table2[[#This Row],[Manual Cat Value]]="",VLOOKUP(Table2[[#This Row],[Description]],'Actuals Lookup'!D:F,3,0),VLOOKUP(Table2[[#This Row],[Manual Cat Value]],Lookup!A:B,2,0))</f>
        <v>Dry Cleaning</v>
      </c>
      <c r="G11603" t="s">
        <v>4745</v>
      </c>
      <c r="H11603" s="8" t="s">
        <v>42</v>
      </c>
      <c r="I11603" s="8"/>
      <c r="O11603" t="str">
        <f>LEFT(Table2[[#This Row],[Description]],75)</f>
        <v>Aplpay Tide Dry Cleaexcelsior Mn</v>
      </c>
    </row>
    <row r="11604" spans="1:15" hidden="1">
      <c r="A11604">
        <v>202409</v>
      </c>
      <c r="B11604" s="6">
        <v>45565</v>
      </c>
      <c r="C11604" t="s">
        <v>2519</v>
      </c>
      <c r="D11604" t="s">
        <v>5445</v>
      </c>
      <c r="E11604">
        <v>-48.57</v>
      </c>
      <c r="F11604" s="2" t="str">
        <f>IF(Table2[[#This Row],[Manual Cat Value]]="",VLOOKUP(Table2[[#This Row],[Description]],'Actuals Lookup'!D:F,3,0),VLOOKUP(Table2[[#This Row],[Manual Cat Value]],Lookup!A:B,2,0))</f>
        <v>Delete</v>
      </c>
      <c r="H11604" s="8" t="s">
        <v>9</v>
      </c>
      <c r="I11604" s="8"/>
      <c r="O11604" t="str">
        <f>LEFT(Table2[[#This Row],[Description]],75)</f>
        <v>Deposit Dividend Split Rate Annual Percentage Yield Earned 1.86% from 09/01</v>
      </c>
    </row>
    <row r="11605" spans="1:15" hidden="1">
      <c r="A11605">
        <v>202406</v>
      </c>
      <c r="B11605" s="6">
        <v>45455</v>
      </c>
      <c r="C11605" t="s">
        <v>3938</v>
      </c>
      <c r="D11605" t="s">
        <v>4868</v>
      </c>
      <c r="E11605">
        <v>6.53</v>
      </c>
      <c r="F11605" s="2" t="str">
        <f>IF(Table2[[#This Row],[Manual Cat Value]]="",VLOOKUP(Table2[[#This Row],[Description]],'Actuals Lookup'!D:F,3,0),VLOOKUP(Table2[[#This Row],[Manual Cat Value]],Lookup!A:B,2,0))</f>
        <v>Entertainment</v>
      </c>
      <c r="I11605" s="8"/>
      <c r="O11605" t="str">
        <f>LEFT(Table2[[#This Row],[Description]],75)</f>
        <v>Hallmark Movies Now</v>
      </c>
    </row>
    <row r="11606" spans="1:15" hidden="1">
      <c r="A11606" s="25">
        <v>202406</v>
      </c>
      <c r="B11606" s="6">
        <v>45455</v>
      </c>
      <c r="C11606" t="s">
        <v>5160</v>
      </c>
      <c r="D11606" t="s">
        <v>5327</v>
      </c>
      <c r="E11606">
        <v>57.44</v>
      </c>
      <c r="F11606" s="2" t="str">
        <f>IF(Table2[[#This Row],[Manual Cat Value]]="",VLOOKUP(Table2[[#This Row],[Description]],'Actuals Lookup'!D:F,3,0),VLOOKUP(Table2[[#This Row],[Manual Cat Value]],Lookup!A:B,2,0))</f>
        <v>Restaurants</v>
      </c>
      <c r="G11606" t="s">
        <v>26</v>
      </c>
      <c r="H11606" t="s">
        <v>25</v>
      </c>
      <c r="I11606" s="8"/>
      <c r="O11606" t="str">
        <f>LEFT(Table2[[#This Row],[Description]],75)</f>
        <v>Tst* Maynards - Outsexcelsior Mn</v>
      </c>
    </row>
    <row r="11607" spans="1:15" hidden="1">
      <c r="A11607">
        <v>202406</v>
      </c>
      <c r="B11607" s="6">
        <v>45455</v>
      </c>
      <c r="C11607" t="s">
        <v>2519</v>
      </c>
      <c r="D11607" t="s">
        <v>5446</v>
      </c>
      <c r="E11607">
        <v>278</v>
      </c>
      <c r="F11607" s="2" t="str">
        <f>IF(Table2[[#This Row],[Manual Cat Value]]="",VLOOKUP(Table2[[#This Row],[Description]],'Actuals Lookup'!D:F,3,0),VLOOKUP(Table2[[#This Row],[Manual Cat Value]],Lookup!A:B,2,0))</f>
        <v>Day Care</v>
      </c>
      <c r="H11607" t="s">
        <v>19</v>
      </c>
      <c r="I11607" s="8"/>
      <c r="O11607" t="str">
        <f>LEFT(Table2[[#This Row],[Description]],75)</f>
        <v xml:space="preserve">Withdrawal ACH RILEY CROSSING C TYPE: XX8412 ID: XX9040 CO: RILEY CROSSING </v>
      </c>
    </row>
    <row r="11608" spans="1:15" hidden="1">
      <c r="A11608">
        <v>202410</v>
      </c>
      <c r="B11608" s="6">
        <v>45596</v>
      </c>
      <c r="C11608" t="s">
        <v>2519</v>
      </c>
      <c r="D11608" t="s">
        <v>5447</v>
      </c>
      <c r="E11608">
        <v>-50.14</v>
      </c>
      <c r="F11608" s="2" t="str">
        <f>IF(Table2[[#This Row],[Manual Cat Value]]="",VLOOKUP(Table2[[#This Row],[Description]],'Actuals Lookup'!D:F,3,0),VLOOKUP(Table2[[#This Row],[Manual Cat Value]],Lookup!A:B,2,0))</f>
        <v>Delete</v>
      </c>
      <c r="H11608" s="8" t="s">
        <v>9</v>
      </c>
      <c r="I11608" s="8"/>
      <c r="O11608" t="str">
        <f>LEFT(Table2[[#This Row],[Description]],75)</f>
        <v>Deposit Dividend Split Rate Annual Percentage Yield Earned 2.31% from 10/01</v>
      </c>
    </row>
    <row r="11609" spans="1:15" hidden="1">
      <c r="A11609">
        <v>202406</v>
      </c>
      <c r="B11609" s="6">
        <v>45456</v>
      </c>
      <c r="C11609" t="s">
        <v>3938</v>
      </c>
      <c r="D11609" t="s">
        <v>38</v>
      </c>
      <c r="E11609">
        <v>48.74</v>
      </c>
      <c r="F11609" s="2" t="str">
        <f>IF(Table2[[#This Row],[Manual Cat Value]]="",VLOOKUP(Table2[[#This Row],[Description]],'Actuals Lookup'!D:F,3,0),VLOOKUP(Table2[[#This Row],[Manual Cat Value]],Lookup!A:B,2,0))</f>
        <v>Amazon</v>
      </c>
      <c r="I11609" s="8"/>
      <c r="O11609" t="str">
        <f>LEFT(Table2[[#This Row],[Description]],75)</f>
        <v>Amazon</v>
      </c>
    </row>
    <row r="11610" spans="1:15" hidden="1">
      <c r="A11610" s="25">
        <v>202406</v>
      </c>
      <c r="B11610" s="6">
        <v>45456</v>
      </c>
      <c r="C11610" t="s">
        <v>3932</v>
      </c>
      <c r="D11610" t="s">
        <v>113</v>
      </c>
      <c r="E11610">
        <v>20.99</v>
      </c>
      <c r="F11610" s="2" t="str">
        <f>IF(Table2[[#This Row],[Manual Cat Value]]="",VLOOKUP(Table2[[#This Row],[Description]],'Actuals Lookup'!D:F,3,0),VLOOKUP(Table2[[#This Row],[Manual Cat Value]],Lookup!A:B,2,0))</f>
        <v>Amazon</v>
      </c>
      <c r="G11610" t="s">
        <v>38</v>
      </c>
      <c r="I11610" s="8"/>
      <c r="O11610" t="str">
        <f>LEFT(Table2[[#This Row],[Description]],75)</f>
        <v>Amazon Marketplace</v>
      </c>
    </row>
    <row r="11611" spans="1:15" hidden="1">
      <c r="A11611">
        <v>202406</v>
      </c>
      <c r="B11611" s="6">
        <v>45456</v>
      </c>
      <c r="C11611" t="s">
        <v>3938</v>
      </c>
      <c r="D11611" t="s">
        <v>648</v>
      </c>
      <c r="E11611">
        <v>230.88</v>
      </c>
      <c r="F11611" s="2" t="str">
        <f>IF(Table2[[#This Row],[Manual Cat Value]]="",VLOOKUP(Table2[[#This Row],[Description]],'Actuals Lookup'!D:F,3,0),VLOOKUP(Table2[[#This Row],[Manual Cat Value]],Lookup!A:B,2,0))</f>
        <v>Groceries</v>
      </c>
      <c r="I11611" s="8"/>
      <c r="O11611" t="str">
        <f>LEFT(Table2[[#This Row],[Description]],75)</f>
        <v>Costco</v>
      </c>
    </row>
    <row r="11612" spans="1:15" hidden="1">
      <c r="A11612">
        <v>202406</v>
      </c>
      <c r="B11612" s="6">
        <v>45456</v>
      </c>
      <c r="C11612" t="s">
        <v>3938</v>
      </c>
      <c r="D11612" t="s">
        <v>4887</v>
      </c>
      <c r="E11612">
        <v>24.84</v>
      </c>
      <c r="F11612" s="2" t="str">
        <f>IF(Table2[[#This Row],[Manual Cat Value]]="",VLOOKUP(Table2[[#This Row],[Description]],'Actuals Lookup'!D:F,3,0),VLOOKUP(Table2[[#This Row],[Manual Cat Value]],Lookup!A:B,2,0))</f>
        <v>Groceries</v>
      </c>
      <c r="I11612" s="8"/>
      <c r="O11612" t="str">
        <f>LEFT(Table2[[#This Row],[Description]],75)</f>
        <v>Costco Gas Stations</v>
      </c>
    </row>
    <row r="11613" spans="1:15" hidden="1">
      <c r="A11613">
        <v>202406</v>
      </c>
      <c r="B11613" s="6">
        <v>45456</v>
      </c>
      <c r="C11613" t="s">
        <v>2519</v>
      </c>
      <c r="D11613" t="s">
        <v>5448</v>
      </c>
      <c r="E11613">
        <v>-1822.2</v>
      </c>
      <c r="F11613" s="2" t="str">
        <f>IF(Table2[[#This Row],[Manual Cat Value]]="",VLOOKUP(Table2[[#This Row],[Description]],'Actuals Lookup'!D:F,3,0),VLOOKUP(Table2[[#This Row],[Manual Cat Value]],Lookup!A:B,2,0))</f>
        <v>Jeff</v>
      </c>
      <c r="H11613" s="8" t="s">
        <v>63</v>
      </c>
      <c r="I11613" s="8"/>
      <c r="O11613" t="str">
        <f>LEFT(Table2[[#This Row],[Description]],75)</f>
        <v>Deposit ACH EMPYREAN SOLUTIO TYPE: XX9000 ID: XX3620 CO: EMPYREAN SOLUTIO E</v>
      </c>
    </row>
    <row r="11614" spans="1:15" hidden="1">
      <c r="A11614">
        <v>202406</v>
      </c>
      <c r="B11614" s="6">
        <v>45456</v>
      </c>
      <c r="C11614" t="s">
        <v>3938</v>
      </c>
      <c r="D11614" t="s">
        <v>1462</v>
      </c>
      <c r="E11614">
        <v>45</v>
      </c>
      <c r="F11614" s="2" t="str">
        <f>IF(Table2[[#This Row],[Manual Cat Value]]="",VLOOKUP(Table2[[#This Row],[Description]],'Actuals Lookup'!D:F,3,0),VLOOKUP(Table2[[#This Row],[Manual Cat Value]],Lookup!A:B,2,0))</f>
        <v>Utilities</v>
      </c>
      <c r="I11614" s="8"/>
      <c r="O11614" t="str">
        <f>LEFT(Table2[[#This Row],[Description]],75)</f>
        <v>Payment to CenturyLink</v>
      </c>
    </row>
    <row r="11615" spans="1:15" hidden="1">
      <c r="A11615">
        <v>202406</v>
      </c>
      <c r="B11615" s="6">
        <v>45456</v>
      </c>
      <c r="C11615" t="s">
        <v>2519</v>
      </c>
      <c r="D11615" t="s">
        <v>4343</v>
      </c>
      <c r="E11615">
        <v>-3438.4</v>
      </c>
      <c r="F11615" s="2" t="str">
        <f>IF(Table2[[#This Row],[Manual Cat Value]]="",VLOOKUP(Table2[[#This Row],[Description]],'Actuals Lookup'!D:F,3,0),VLOOKUP(Table2[[#This Row],[Manual Cat Value]],Lookup!A:B,2,0))</f>
        <v>Jeff</v>
      </c>
      <c r="I11615" s="8"/>
      <c r="O11615" t="str">
        <f>LEFT(Table2[[#This Row],[Description]],75)</f>
        <v>Salary/Regular Income from TriNet</v>
      </c>
    </row>
    <row r="11616" spans="1:15" hidden="1">
      <c r="A11616" s="25">
        <v>202406</v>
      </c>
      <c r="B11616" s="6">
        <v>45456</v>
      </c>
      <c r="C11616" t="s">
        <v>5160</v>
      </c>
      <c r="D11616" t="s">
        <v>5449</v>
      </c>
      <c r="E11616">
        <v>25.23</v>
      </c>
      <c r="F11616" s="2" t="str">
        <f>IF(Table2[[#This Row],[Manual Cat Value]]="",VLOOKUP(Table2[[#This Row],[Description]],'Actuals Lookup'!D:F,3,0),VLOOKUP(Table2[[#This Row],[Manual Cat Value]],Lookup!A:B,2,0))</f>
        <v>Restaurants</v>
      </c>
      <c r="G11616" t="s">
        <v>26</v>
      </c>
      <c r="H11616" t="s">
        <v>25</v>
      </c>
      <c r="I11616" s="8"/>
      <c r="O11616" t="str">
        <f>LEFT(Table2[[#This Row],[Description]],75)</f>
        <v>Subway</v>
      </c>
    </row>
    <row r="11617" spans="1:15" hidden="1">
      <c r="A11617">
        <v>202406</v>
      </c>
      <c r="B11617" s="6">
        <v>45457</v>
      </c>
      <c r="C11617" t="s">
        <v>3938</v>
      </c>
      <c r="D11617" t="s">
        <v>38</v>
      </c>
      <c r="E11617">
        <v>4.43</v>
      </c>
      <c r="F11617" s="2" t="str">
        <f>IF(Table2[[#This Row],[Manual Cat Value]]="",VLOOKUP(Table2[[#This Row],[Description]],'Actuals Lookup'!D:F,3,0),VLOOKUP(Table2[[#This Row],[Manual Cat Value]],Lookup!A:B,2,0))</f>
        <v>Amazon</v>
      </c>
      <c r="I11617" s="8"/>
      <c r="O11617" t="str">
        <f>LEFT(Table2[[#This Row],[Description]],75)</f>
        <v>Amazon</v>
      </c>
    </row>
    <row r="11618" spans="1:15" hidden="1">
      <c r="A11618" s="25">
        <v>202406</v>
      </c>
      <c r="B11618" s="6">
        <v>45457</v>
      </c>
      <c r="C11618" t="s">
        <v>5160</v>
      </c>
      <c r="D11618" t="s">
        <v>113</v>
      </c>
      <c r="E11618">
        <v>29.24</v>
      </c>
      <c r="F11618" s="2" t="str">
        <f>IF(Table2[[#This Row],[Manual Cat Value]]="",VLOOKUP(Table2[[#This Row],[Description]],'Actuals Lookup'!D:F,3,0),VLOOKUP(Table2[[#This Row],[Manual Cat Value]],Lookup!A:B,2,0))</f>
        <v>Amazon</v>
      </c>
      <c r="G11618" t="s">
        <v>38</v>
      </c>
      <c r="I11618" s="8"/>
      <c r="O11618" t="str">
        <f>LEFT(Table2[[#This Row],[Description]],75)</f>
        <v>Amazon Marketplace</v>
      </c>
    </row>
    <row r="11619" spans="1:15" hidden="1">
      <c r="A11619" s="25">
        <v>202406</v>
      </c>
      <c r="B11619" s="6">
        <v>45457</v>
      </c>
      <c r="C11619" t="s">
        <v>5160</v>
      </c>
      <c r="D11619" t="s">
        <v>5450</v>
      </c>
      <c r="E11619">
        <v>54</v>
      </c>
      <c r="F11619" s="2" t="str">
        <f>IF(Table2[[#This Row],[Manual Cat Value]]="",VLOOKUP(Table2[[#This Row],[Description]],'Actuals Lookup'!D:F,3,0),VLOOKUP(Table2[[#This Row],[Manual Cat Value]],Lookup!A:B,2,0))</f>
        <v>Shopping</v>
      </c>
      <c r="G11619" t="s">
        <v>41</v>
      </c>
      <c r="H11619" s="8" t="s">
        <v>36</v>
      </c>
      <c r="I11619" s="8"/>
      <c r="O11619" t="str">
        <f>LEFT(Table2[[#This Row],[Description]],75)</f>
        <v>Dick's Sporting Goods</v>
      </c>
    </row>
    <row r="11620" spans="1:15" hidden="1">
      <c r="A11620" s="25">
        <v>202406</v>
      </c>
      <c r="B11620" s="6">
        <v>45457</v>
      </c>
      <c r="C11620" t="s">
        <v>5160</v>
      </c>
      <c r="D11620" t="s">
        <v>5451</v>
      </c>
      <c r="E11620">
        <v>20</v>
      </c>
      <c r="F11620" s="2" t="str">
        <f>IF(Table2[[#This Row],[Manual Cat Value]]="",VLOOKUP(Table2[[#This Row],[Description]],'Actuals Lookup'!D:F,3,0),VLOOKUP(Table2[[#This Row],[Manual Cat Value]],Lookup!A:B,2,0))</f>
        <v>Utilities</v>
      </c>
      <c r="G11620" t="s">
        <v>26</v>
      </c>
      <c r="H11620" s="8" t="s">
        <v>6</v>
      </c>
      <c r="I11620" s="8"/>
      <c r="O11620" t="str">
        <f>LEFT(Table2[[#This Row],[Description]],75)</f>
        <v>Openai *chatgpt Subssan Francisco Ca</v>
      </c>
    </row>
    <row r="11621" spans="1:15" hidden="1">
      <c r="A11621">
        <v>202406</v>
      </c>
      <c r="B11621" s="6">
        <v>45457</v>
      </c>
      <c r="C11621" t="s">
        <v>2519</v>
      </c>
      <c r="D11621" t="s">
        <v>4356</v>
      </c>
      <c r="E11621">
        <v>130.22</v>
      </c>
      <c r="F11621" s="2" t="str">
        <f>IF(Table2[[#This Row],[Manual Cat Value]]="",VLOOKUP(Table2[[#This Row],[Description]],'Actuals Lookup'!D:F,3,0),VLOOKUP(Table2[[#This Row],[Manual Cat Value]],Lookup!A:B,2,0))</f>
        <v>Insurance</v>
      </c>
      <c r="I11621" s="8"/>
      <c r="O11621" t="str">
        <f>LEFT(Table2[[#This Row],[Description]],75)</f>
        <v>Payment to American Family Insurance</v>
      </c>
    </row>
    <row r="11622" spans="1:15" hidden="1">
      <c r="A11622" s="25">
        <f>VALUE(YEAR(Table2[[#This Row],[Date]])&amp;TEXT(MONTH(Table2[[#This Row],[Date]]),"00"))</f>
        <v>202211</v>
      </c>
      <c r="B11622" s="6">
        <v>44866</v>
      </c>
      <c r="C11622" t="s">
        <v>2265</v>
      </c>
      <c r="D11622" t="s">
        <v>5452</v>
      </c>
      <c r="E11622">
        <f>IF(M11622="credit",-1*J11622,J11622)</f>
        <v>2606.27</v>
      </c>
      <c r="F11622" s="2" t="str">
        <f>IF(Table2[[#This Row],[Manual Cat Value]]="",VLOOKUP(Table2[[#This Row],[Description]],'Actuals Lookup'!D:F,3,0),Table2[[#This Row],[Manual Cat Value]])</f>
        <v>Exp - Rent</v>
      </c>
      <c r="G11622" t="e">
        <f>VLOOKUP(D11622,Lookup!G:H,2,0)</f>
        <v>#N/A</v>
      </c>
      <c r="H11622" s="8" t="s">
        <v>4</v>
      </c>
      <c r="I11622" s="8"/>
      <c r="J11622">
        <v>2606.27</v>
      </c>
      <c r="M11622" t="s">
        <v>2513</v>
      </c>
      <c r="O11622" t="str">
        <f>LEFT(Table2[[#This Row],[Description]],75)</f>
        <v>Withdrawal ACH BCU MORTGAGE TYPE: LOAN PAYMT ID: 9DRAFTING CO: BCU MORTGAGE</v>
      </c>
    </row>
    <row r="11623" spans="1:15" hidden="1">
      <c r="A11623">
        <v>202406</v>
      </c>
      <c r="B11623" s="6">
        <v>45457</v>
      </c>
      <c r="C11623" t="s">
        <v>3938</v>
      </c>
      <c r="D11623" t="s">
        <v>1849</v>
      </c>
      <c r="E11623">
        <v>-23.86</v>
      </c>
      <c r="F11623" s="2" t="str">
        <f>IF(Table2[[#This Row],[Manual Cat Value]]="",VLOOKUP(Table2[[#This Row],[Description]],'Actuals Lookup'!D:F,3,0),VLOOKUP(Table2[[#This Row],[Manual Cat Value]],Lookup!A:B,2,0))</f>
        <v>House Maintenance</v>
      </c>
      <c r="I11623" s="8"/>
      <c r="O11623" t="str">
        <f>LEFT(Table2[[#This Row],[Description]],75)</f>
        <v>The Home Depot</v>
      </c>
    </row>
    <row r="11624" spans="1:15" hidden="1">
      <c r="A11624">
        <v>202406</v>
      </c>
      <c r="B11624" s="6">
        <v>45457</v>
      </c>
      <c r="C11624" t="s">
        <v>3938</v>
      </c>
      <c r="D11624" t="s">
        <v>1849</v>
      </c>
      <c r="E11624">
        <v>17.329999999999998</v>
      </c>
      <c r="F11624" s="2" t="str">
        <f>IF(Table2[[#This Row],[Manual Cat Value]]="",VLOOKUP(Table2[[#This Row],[Description]],'Actuals Lookup'!D:F,3,0),VLOOKUP(Table2[[#This Row],[Manual Cat Value]],Lookup!A:B,2,0))</f>
        <v>House Maintenance</v>
      </c>
      <c r="I11624" s="8"/>
      <c r="O11624" t="str">
        <f>LEFT(Table2[[#This Row],[Description]],75)</f>
        <v>The Home Depot</v>
      </c>
    </row>
    <row r="11625" spans="1:15" hidden="1">
      <c r="A11625">
        <v>202409</v>
      </c>
      <c r="B11625" s="6">
        <v>45554</v>
      </c>
      <c r="C11625" t="s">
        <v>130</v>
      </c>
      <c r="D11625" t="s">
        <v>5453</v>
      </c>
      <c r="E11625">
        <v>2.96</v>
      </c>
      <c r="F11625" s="2" t="str">
        <f>IF(Table2[[#This Row],[Manual Cat Value]]="",VLOOKUP(Table2[[#This Row],[Description]],'Actuals Lookup'!D:F,3,0),VLOOKUP(Table2[[#This Row],[Manual Cat Value]],Lookup!A:B,2,0))</f>
        <v>Delete</v>
      </c>
      <c r="H11625" s="8" t="s">
        <v>9</v>
      </c>
      <c r="I11625" s="8"/>
      <c r="O11625" t="str">
        <f>LEFT(Table2[[#This Row],[Description]],75)</f>
        <v>DUNKIN #364260 3642 WEST COLUMBIA       SC</v>
      </c>
    </row>
    <row r="11626" spans="1:15" hidden="1">
      <c r="A11626" s="25">
        <v>202408</v>
      </c>
      <c r="B11626" s="6">
        <v>45523</v>
      </c>
      <c r="C11626" t="s">
        <v>5160</v>
      </c>
      <c r="D11626" t="s">
        <v>5454</v>
      </c>
      <c r="E11626">
        <v>7.34</v>
      </c>
      <c r="F11626" s="2" t="str">
        <f>IF(Table2[[#This Row],[Manual Cat Value]]="",VLOOKUP(Table2[[#This Row],[Description]],'Actuals Lookup'!D:F,3,0),VLOOKUP(Table2[[#This Row],[Manual Cat Value]],Lookup!A:B,2,0))</f>
        <v>Delete</v>
      </c>
      <c r="G11626" t="s">
        <v>28</v>
      </c>
      <c r="H11626" t="s">
        <v>9</v>
      </c>
      <c r="I11626" s="8"/>
      <c r="O11626" t="str">
        <f>LEFT(Table2[[#This Row],[Description]],75)</f>
        <v>Dwyers Of Cork 10 Iecork Ir</v>
      </c>
    </row>
    <row r="11627" spans="1:15" hidden="1">
      <c r="A11627" s="25">
        <v>202408</v>
      </c>
      <c r="B11627" s="6">
        <v>45523</v>
      </c>
      <c r="C11627" t="s">
        <v>5160</v>
      </c>
      <c r="D11627" t="s">
        <v>5455</v>
      </c>
      <c r="E11627">
        <v>28.47</v>
      </c>
      <c r="F11627" s="2" t="str">
        <f>IF(Table2[[#This Row],[Manual Cat Value]]="",VLOOKUP(Table2[[#This Row],[Description]],'Actuals Lookup'!D:F,3,0),VLOOKUP(Table2[[#This Row],[Manual Cat Value]],Lookup!A:B,2,0))</f>
        <v>Delete</v>
      </c>
      <c r="G11627" t="s">
        <v>28</v>
      </c>
      <c r="H11627" t="s">
        <v>9</v>
      </c>
      <c r="I11627" s="8"/>
      <c r="O11627" t="str">
        <f>LEFT(Table2[[#This Row],[Description]],75)</f>
        <v>Dwyers Of Cork 11 Iecork Ir</v>
      </c>
    </row>
    <row r="11628" spans="1:15" hidden="1">
      <c r="A11628">
        <v>202409</v>
      </c>
      <c r="B11628" s="6">
        <v>45552</v>
      </c>
      <c r="C11628" t="s">
        <v>130</v>
      </c>
      <c r="D11628" t="s">
        <v>5456</v>
      </c>
      <c r="E11628">
        <v>246.97</v>
      </c>
      <c r="F11628" s="2" t="str">
        <f>IF(Table2[[#This Row],[Manual Cat Value]]="",VLOOKUP(Table2[[#This Row],[Description]],'Actuals Lookup'!D:F,3,0),VLOOKUP(Table2[[#This Row],[Manual Cat Value]],Lookup!A:B,2,0))</f>
        <v>Delete</v>
      </c>
      <c r="H11628" s="8" t="s">
        <v>9</v>
      </c>
      <c r="I11628" s="8"/>
      <c r="O11628" t="str">
        <f>LEFT(Table2[[#This Row],[Description]],75)</f>
        <v>EMBASSY SUITES ATLANATLANTA             GA</v>
      </c>
    </row>
    <row r="11629" spans="1:15" hidden="1">
      <c r="A11629" s="25">
        <v>202406</v>
      </c>
      <c r="B11629" s="6">
        <v>45459</v>
      </c>
      <c r="C11629" t="s">
        <v>5160</v>
      </c>
      <c r="D11629" t="s">
        <v>5431</v>
      </c>
      <c r="E11629">
        <v>4.93</v>
      </c>
      <c r="F11629" s="2" t="str">
        <f>IF(Table2[[#This Row],[Manual Cat Value]]="",VLOOKUP(Table2[[#This Row],[Description]],'Actuals Lookup'!D:F,3,0),VLOOKUP(Table2[[#This Row],[Manual Cat Value]],Lookup!A:B,2,0))</f>
        <v>Groceries</v>
      </c>
      <c r="G11629" t="s">
        <v>28</v>
      </c>
      <c r="H11629" t="s">
        <v>27</v>
      </c>
      <c r="I11629" s="8"/>
      <c r="O11629" t="str">
        <f>LEFT(Table2[[#This Row],[Description]],75)</f>
        <v>Aldi</v>
      </c>
    </row>
    <row r="11630" spans="1:15" hidden="1">
      <c r="A11630" s="25">
        <v>202406</v>
      </c>
      <c r="B11630" s="6">
        <v>45459</v>
      </c>
      <c r="C11630" t="s">
        <v>5160</v>
      </c>
      <c r="D11630" t="s">
        <v>113</v>
      </c>
      <c r="E11630">
        <v>-29.24</v>
      </c>
      <c r="F11630" s="2" t="str">
        <f>IF(Table2[[#This Row],[Manual Cat Value]]="",VLOOKUP(Table2[[#This Row],[Description]],'Actuals Lookup'!D:F,3,0),VLOOKUP(Table2[[#This Row],[Manual Cat Value]],Lookup!A:B,2,0))</f>
        <v>Amazon</v>
      </c>
      <c r="G11630" t="s">
        <v>38</v>
      </c>
      <c r="I11630" s="8"/>
      <c r="O11630" t="str">
        <f>LEFT(Table2[[#This Row],[Description]],75)</f>
        <v>Amazon Marketplace</v>
      </c>
    </row>
    <row r="11631" spans="1:15" hidden="1">
      <c r="A11631">
        <v>202409</v>
      </c>
      <c r="B11631" s="6">
        <v>45552</v>
      </c>
      <c r="C11631" t="s">
        <v>130</v>
      </c>
      <c r="D11631" t="s">
        <v>5457</v>
      </c>
      <c r="E11631">
        <v>35.92</v>
      </c>
      <c r="F11631" s="2" t="str">
        <f>IF(Table2[[#This Row],[Manual Cat Value]]="",VLOOKUP(Table2[[#This Row],[Description]],'Actuals Lookup'!D:F,3,0),VLOOKUP(Table2[[#This Row],[Manual Cat Value]],Lookup!A:B,2,0))</f>
        <v>Delete</v>
      </c>
      <c r="H11631" s="8" t="s">
        <v>9</v>
      </c>
      <c r="I11631" s="8"/>
      <c r="O11631" t="str">
        <f>LEFT(Table2[[#This Row],[Description]],75)</f>
        <v>ETERIE 6285440078026ATLANTA             GA</v>
      </c>
    </row>
    <row r="11632" spans="1:15" hidden="1">
      <c r="A11632" s="25">
        <v>202406</v>
      </c>
      <c r="B11632" s="6">
        <v>45459</v>
      </c>
      <c r="C11632" t="s">
        <v>5160</v>
      </c>
      <c r="D11632" t="s">
        <v>1707</v>
      </c>
      <c r="E11632">
        <v>65.680000000000007</v>
      </c>
      <c r="F11632" s="2" t="str">
        <f>IF(Table2[[#This Row],[Manual Cat Value]]="",VLOOKUP(Table2[[#This Row],[Description]],'Actuals Lookup'!D:F,3,0),VLOOKUP(Table2[[#This Row],[Manual Cat Value]],Lookup!A:B,2,0))</f>
        <v>Transportation</v>
      </c>
      <c r="G11632" t="s">
        <v>23</v>
      </c>
      <c r="I11632" s="8"/>
      <c r="O11632" t="str">
        <f>LEFT(Table2[[#This Row],[Description]],75)</f>
        <v>Speedway</v>
      </c>
    </row>
    <row r="11633" spans="1:15" hidden="1">
      <c r="A11633">
        <v>202406</v>
      </c>
      <c r="B11633" s="6">
        <v>45460</v>
      </c>
      <c r="C11633" t="s">
        <v>3938</v>
      </c>
      <c r="D11633" t="s">
        <v>113</v>
      </c>
      <c r="E11633">
        <v>-40.950000000000003</v>
      </c>
      <c r="F11633" s="2" t="str">
        <f>IF(Table2[[#This Row],[Manual Cat Value]]="",VLOOKUP(Table2[[#This Row],[Description]],'Actuals Lookup'!D:F,3,0),VLOOKUP(Table2[[#This Row],[Manual Cat Value]],Lookup!A:B,2,0))</f>
        <v>Amazon</v>
      </c>
      <c r="I11633" s="8"/>
      <c r="O11633" t="str">
        <f>LEFT(Table2[[#This Row],[Description]],75)</f>
        <v>Amazon Marketplace</v>
      </c>
    </row>
    <row r="11634" spans="1:15" hidden="1">
      <c r="A11634" s="25">
        <v>202406</v>
      </c>
      <c r="B11634" s="6">
        <v>45460</v>
      </c>
      <c r="C11634" t="s">
        <v>5160</v>
      </c>
      <c r="D11634" t="s">
        <v>453</v>
      </c>
      <c r="E11634">
        <v>3.85</v>
      </c>
      <c r="F11634" s="2" t="str">
        <f>IF(Table2[[#This Row],[Manual Cat Value]]="",VLOOKUP(Table2[[#This Row],[Description]],'Actuals Lookup'!D:F,3,0),VLOOKUP(Table2[[#This Row],[Manual Cat Value]],Lookup!A:B,2,0))</f>
        <v>Restaurants</v>
      </c>
      <c r="G11634" t="s">
        <v>26</v>
      </c>
      <c r="I11634" s="8"/>
      <c r="O11634" t="str">
        <f>LEFT(Table2[[#This Row],[Description]],75)</f>
        <v>Caribou Coffee</v>
      </c>
    </row>
    <row r="11635" spans="1:15" hidden="1">
      <c r="A11635" s="25">
        <v>202406</v>
      </c>
      <c r="B11635" s="6">
        <v>45460</v>
      </c>
      <c r="C11635" t="s">
        <v>5160</v>
      </c>
      <c r="D11635" t="s">
        <v>5458</v>
      </c>
      <c r="E11635">
        <v>61</v>
      </c>
      <c r="F11635" s="2" t="str">
        <f>IF(Table2[[#This Row],[Manual Cat Value]]="",VLOOKUP(Table2[[#This Row],[Description]],'Actuals Lookup'!D:F,3,0),VLOOKUP(Table2[[#This Row],[Manual Cat Value]],Lookup!A:B,2,0))</f>
        <v>Entertainment</v>
      </c>
      <c r="G11635" t="s">
        <v>35</v>
      </c>
      <c r="H11635" s="8" t="s">
        <v>39</v>
      </c>
      <c r="I11635" s="8"/>
      <c r="O11635" t="str">
        <f>LEFT(Table2[[#This Row],[Description]],75)</f>
        <v>Ck *luck Municipal Gluck Wi</v>
      </c>
    </row>
    <row r="11636" spans="1:15" hidden="1">
      <c r="A11636" s="25">
        <v>202407</v>
      </c>
      <c r="B11636" s="6">
        <v>45480</v>
      </c>
      <c r="C11636" t="s">
        <v>5160</v>
      </c>
      <c r="D11636" t="s">
        <v>5459</v>
      </c>
      <c r="E11636">
        <v>48.34</v>
      </c>
      <c r="F11636" s="2" t="str">
        <f>IF(Table2[[#This Row],[Manual Cat Value]]="",VLOOKUP(Table2[[#This Row],[Description]],'Actuals Lookup'!D:F,3,0),VLOOKUP(Table2[[#This Row],[Manual Cat Value]],Lookup!A:B,2,0))</f>
        <v>Delete</v>
      </c>
      <c r="G11636" t="s">
        <v>11</v>
      </c>
      <c r="H11636" s="8" t="s">
        <v>9</v>
      </c>
      <c r="I11636" s="8"/>
      <c r="O11636" t="str">
        <f>LEFT(Table2[[#This Row],[Description]],75)</f>
        <v>Exxonmobil</v>
      </c>
    </row>
    <row r="11637" spans="1:15" hidden="1">
      <c r="A11637">
        <v>202406</v>
      </c>
      <c r="B11637" s="6">
        <v>45460</v>
      </c>
      <c r="C11637" t="s">
        <v>2519</v>
      </c>
      <c r="D11637" t="s">
        <v>1958</v>
      </c>
      <c r="E11637">
        <v>125</v>
      </c>
      <c r="F11637" s="2" t="str">
        <f>IF(Table2[[#This Row],[Manual Cat Value]]="",VLOOKUP(Table2[[#This Row],[Description]],'Actuals Lookup'!D:F,3,0),VLOOKUP(Table2[[#This Row],[Manual Cat Value]],Lookup!A:B,2,0))</f>
        <v>Shopping</v>
      </c>
      <c r="I11637" s="8"/>
      <c r="O11637" t="str">
        <f>LEFT(Table2[[#This Row],[Description]],75)</f>
        <v>Transfer to Venmo</v>
      </c>
    </row>
    <row r="11638" spans="1:15" hidden="1">
      <c r="A11638">
        <v>202406</v>
      </c>
      <c r="B11638" s="6">
        <v>45460</v>
      </c>
      <c r="C11638" t="s">
        <v>2519</v>
      </c>
      <c r="D11638" t="s">
        <v>1958</v>
      </c>
      <c r="E11638">
        <v>82.5</v>
      </c>
      <c r="F11638" s="2" t="str">
        <f>IF(Table2[[#This Row],[Manual Cat Value]]="",VLOOKUP(Table2[[#This Row],[Description]],'Actuals Lookup'!D:F,3,0),VLOOKUP(Table2[[#This Row],[Manual Cat Value]],Lookup!A:B,2,0))</f>
        <v>Shopping</v>
      </c>
      <c r="I11638" s="8"/>
      <c r="O11638" t="str">
        <f>LEFT(Table2[[#This Row],[Description]],75)</f>
        <v>Transfer to Venmo</v>
      </c>
    </row>
    <row r="11639" spans="1:15" hidden="1">
      <c r="A11639">
        <v>202409</v>
      </c>
      <c r="B11639" s="6">
        <v>45560</v>
      </c>
      <c r="C11639" t="s">
        <v>130</v>
      </c>
      <c r="D11639" t="s">
        <v>5460</v>
      </c>
      <c r="E11639">
        <v>484.75</v>
      </c>
      <c r="F11639" s="2" t="str">
        <f>IF(Table2[[#This Row],[Manual Cat Value]]="",VLOOKUP(Table2[[#This Row],[Description]],'Actuals Lookup'!D:F,3,0),VLOOKUP(Table2[[#This Row],[Manual Cat Value]],Lookup!A:B,2,0))</f>
        <v>Delete</v>
      </c>
      <c r="H11639" s="8" t="s">
        <v>9</v>
      </c>
      <c r="I11639" s="8"/>
      <c r="O11639" t="str">
        <f>LEFT(Table2[[#This Row],[Description]],75)</f>
        <v>FARM AND TABLE INC FALBUQUERQUE         NM</v>
      </c>
    </row>
    <row r="11640" spans="1:15" hidden="1">
      <c r="A11640" s="25">
        <v>202407</v>
      </c>
      <c r="B11640" s="6">
        <v>45483</v>
      </c>
      <c r="C11640" t="s">
        <v>5160</v>
      </c>
      <c r="D11640" t="s">
        <v>5461</v>
      </c>
      <c r="E11640">
        <v>537.23</v>
      </c>
      <c r="F11640" s="2" t="str">
        <f>IF(Table2[[#This Row],[Manual Cat Value]]="",VLOOKUP(Table2[[#This Row],[Description]],'Actuals Lookup'!D:F,3,0),VLOOKUP(Table2[[#This Row],[Manual Cat Value]],Lookup!A:B,2,0))</f>
        <v>Delete</v>
      </c>
      <c r="G11640" t="s">
        <v>28</v>
      </c>
      <c r="H11640" s="8" t="s">
        <v>9</v>
      </c>
      <c r="I11640" s="8"/>
      <c r="O11640" t="str">
        <f>LEFT(Table2[[#This Row],[Description]],75)</f>
        <v>Farm And Table Inc Falbuquerque Nm</v>
      </c>
    </row>
    <row r="11641" spans="1:15" hidden="1">
      <c r="A11641" s="25">
        <v>202406</v>
      </c>
      <c r="B11641" s="6">
        <v>45460</v>
      </c>
      <c r="C11641" t="s">
        <v>5160</v>
      </c>
      <c r="D11641" t="s">
        <v>5462</v>
      </c>
      <c r="E11641">
        <v>34.44</v>
      </c>
      <c r="F11641" s="2" t="str">
        <f>IF(Table2[[#This Row],[Manual Cat Value]]="",VLOOKUP(Table2[[#This Row],[Description]],'Actuals Lookup'!D:F,3,0),VLOOKUP(Table2[[#This Row],[Manual Cat Value]],Lookup!A:B,2,0))</f>
        <v>Groceries</v>
      </c>
      <c r="G11641" t="s">
        <v>28</v>
      </c>
      <c r="H11641" t="s">
        <v>27</v>
      </c>
      <c r="I11641" s="8"/>
      <c r="O11641" t="str">
        <f>LEFT(Table2[[#This Row],[Description]],75)</f>
        <v>Von Hanson's Meats</v>
      </c>
    </row>
    <row r="11642" spans="1:15" hidden="1">
      <c r="A11642" s="25">
        <v>202406</v>
      </c>
      <c r="B11642" s="6">
        <v>45461</v>
      </c>
      <c r="C11642" t="s">
        <v>5160</v>
      </c>
      <c r="D11642" t="s">
        <v>4870</v>
      </c>
      <c r="E11642">
        <v>9.1999999999999993</v>
      </c>
      <c r="F11642" s="2" t="str">
        <f>IF(Table2[[#This Row],[Manual Cat Value]]="",VLOOKUP(Table2[[#This Row],[Description]],'Actuals Lookup'!D:F,3,0),VLOOKUP(Table2[[#This Row],[Manual Cat Value]],Lookup!A:B,2,0))</f>
        <v>Restaurants</v>
      </c>
      <c r="G11642" t="s">
        <v>26</v>
      </c>
      <c r="I11642" s="8"/>
      <c r="O11642" t="str">
        <f>LEFT(Table2[[#This Row],[Description]],75)</f>
        <v>Aplpay Wayzata Cafe Wayzata Mn</v>
      </c>
    </row>
    <row r="11643" spans="1:15" hidden="1">
      <c r="A11643">
        <v>202406</v>
      </c>
      <c r="B11643" s="6">
        <v>45461</v>
      </c>
      <c r="C11643" t="s">
        <v>3938</v>
      </c>
      <c r="D11643" t="s">
        <v>4887</v>
      </c>
      <c r="E11643">
        <v>37.56</v>
      </c>
      <c r="F11643" s="2" t="str">
        <f>IF(Table2[[#This Row],[Manual Cat Value]]="",VLOOKUP(Table2[[#This Row],[Description]],'Actuals Lookup'!D:F,3,0),VLOOKUP(Table2[[#This Row],[Manual Cat Value]],Lookup!A:B,2,0))</f>
        <v>Groceries</v>
      </c>
      <c r="I11643" s="8"/>
      <c r="O11643" t="str">
        <f>LEFT(Table2[[#This Row],[Description]],75)</f>
        <v>Costco Gas Stations</v>
      </c>
    </row>
    <row r="11644" spans="1:15" hidden="1">
      <c r="A11644" s="25">
        <v>202406</v>
      </c>
      <c r="B11644" s="6">
        <v>45461</v>
      </c>
      <c r="C11644" t="s">
        <v>5160</v>
      </c>
      <c r="D11644" t="s">
        <v>5463</v>
      </c>
      <c r="E11644">
        <v>14.28</v>
      </c>
      <c r="F11644" s="2" t="str">
        <f>IF(Table2[[#This Row],[Manual Cat Value]]="",VLOOKUP(Table2[[#This Row],[Description]],'Actuals Lookup'!D:F,3,0),VLOOKUP(Table2[[#This Row],[Manual Cat Value]],Lookup!A:B,2,0))</f>
        <v>Restaurants</v>
      </c>
      <c r="G11644" t="s">
        <v>26</v>
      </c>
      <c r="H11644" t="s">
        <v>25</v>
      </c>
      <c r="I11644" s="8"/>
      <c r="O11644" t="str">
        <f>LEFT(Table2[[#This Row],[Description]],75)</f>
        <v>Pete's</v>
      </c>
    </row>
    <row r="11645" spans="1:15" hidden="1">
      <c r="A11645">
        <v>202406</v>
      </c>
      <c r="B11645" s="6">
        <v>45461</v>
      </c>
      <c r="C11645" t="s">
        <v>2519</v>
      </c>
      <c r="D11645" t="s">
        <v>5464</v>
      </c>
      <c r="E11645">
        <v>650</v>
      </c>
      <c r="F11645" s="2" t="str">
        <f>IF(Table2[[#This Row],[Manual Cat Value]]="",VLOOKUP(Table2[[#This Row],[Description]],'Actuals Lookup'!D:F,3,0),VLOOKUP(Table2[[#This Row],[Manual Cat Value]],Lookup!A:B,2,0))</f>
        <v>College Savings</v>
      </c>
      <c r="H11645" s="8" t="s">
        <v>60</v>
      </c>
      <c r="I11645" s="8"/>
      <c r="O11645" t="str">
        <f>LEFT(Table2[[#This Row],[Description]],75)</f>
        <v>Withdrawal ACH MN DIR ACH TYPE: CONTRIB ID: XX7162 CO: MN DIR ACH NAME: XX2</v>
      </c>
    </row>
    <row r="11646" spans="1:15" hidden="1">
      <c r="A11646" s="25">
        <v>202406</v>
      </c>
      <c r="B11646" s="6">
        <v>45462</v>
      </c>
      <c r="C11646" t="s">
        <v>5160</v>
      </c>
      <c r="D11646" t="s">
        <v>5465</v>
      </c>
      <c r="E11646">
        <v>34.18</v>
      </c>
      <c r="F11646" s="2" t="str">
        <f>IF(Table2[[#This Row],[Manual Cat Value]]="",VLOOKUP(Table2[[#This Row],[Description]],'Actuals Lookup'!D:F,3,0),VLOOKUP(Table2[[#This Row],[Manual Cat Value]],Lookup!A:B,2,0))</f>
        <v>Restaurants</v>
      </c>
      <c r="G11646" t="s">
        <v>26</v>
      </c>
      <c r="H11646" s="8" t="s">
        <v>25</v>
      </c>
      <c r="I11646" s="8"/>
      <c r="O11646" t="str">
        <f>LEFT(Table2[[#This Row],[Description]],75)</f>
        <v>Lou?s Fish House Two Harbors Mn</v>
      </c>
    </row>
    <row r="11647" spans="1:15" hidden="1">
      <c r="A11647" s="25">
        <v>202406</v>
      </c>
      <c r="B11647" s="6">
        <v>45462</v>
      </c>
      <c r="C11647" t="s">
        <v>5160</v>
      </c>
      <c r="D11647" t="s">
        <v>1267</v>
      </c>
      <c r="E11647">
        <v>7</v>
      </c>
      <c r="F11647" s="2" t="str">
        <f>IF(Table2[[#This Row],[Manual Cat Value]]="",VLOOKUP(Table2[[#This Row],[Description]],'Actuals Lookup'!D:F,3,0),VLOOKUP(Table2[[#This Row],[Manual Cat Value]],Lookup!A:B,2,0))</f>
        <v>Entertainment</v>
      </c>
      <c r="G11647" t="s">
        <v>40</v>
      </c>
      <c r="I11647" s="8"/>
      <c r="O11647" t="str">
        <f>LEFT(Table2[[#This Row],[Description]],75)</f>
        <v>Minnesota State Parks</v>
      </c>
    </row>
    <row r="11648" spans="1:15" hidden="1">
      <c r="A11648" s="25">
        <v>202408</v>
      </c>
      <c r="B11648" s="6">
        <v>45505</v>
      </c>
      <c r="C11648" t="s">
        <v>5160</v>
      </c>
      <c r="D11648" t="s">
        <v>4977</v>
      </c>
      <c r="E11648">
        <v>17.329999999999998</v>
      </c>
      <c r="F11648" s="2" t="str">
        <f>IF(Table2[[#This Row],[Manual Cat Value]]="",VLOOKUP(Table2[[#This Row],[Description]],'Actuals Lookup'!D:F,3,0),VLOOKUP(Table2[[#This Row],[Manual Cat Value]],Lookup!A:B,2,0))</f>
        <v>Delete</v>
      </c>
      <c r="G11648" t="s">
        <v>26</v>
      </c>
      <c r="H11648" s="8" t="s">
        <v>9</v>
      </c>
      <c r="I11648" s="8"/>
      <c r="O11648" t="str">
        <f>LEFT(Table2[[#This Row],[Description]],75)</f>
        <v>Firehouse Subs</v>
      </c>
    </row>
    <row r="11649" spans="1:15" hidden="1">
      <c r="A11649" s="25">
        <v>202406</v>
      </c>
      <c r="B11649" s="6">
        <v>45462</v>
      </c>
      <c r="C11649" t="s">
        <v>5160</v>
      </c>
      <c r="D11649" t="s">
        <v>1773</v>
      </c>
      <c r="E11649">
        <v>18.260000000000002</v>
      </c>
      <c r="F11649" s="2" t="str">
        <f>IF(Table2[[#This Row],[Manual Cat Value]]="",VLOOKUP(Table2[[#This Row],[Description]],'Actuals Lookup'!D:F,3,0),VLOOKUP(Table2[[#This Row],[Manual Cat Value]],Lookup!A:B,2,0))</f>
        <v>Restaurants</v>
      </c>
      <c r="G11649" t="s">
        <v>26</v>
      </c>
      <c r="I11649" s="8"/>
      <c r="O11649" t="str">
        <f>LEFT(Table2[[#This Row],[Description]],75)</f>
        <v>Starbucks</v>
      </c>
    </row>
    <row r="11650" spans="1:15" hidden="1">
      <c r="A11650" s="25">
        <v>202406</v>
      </c>
      <c r="B11650" s="6">
        <v>45462</v>
      </c>
      <c r="C11650" t="s">
        <v>5160</v>
      </c>
      <c r="D11650" t="s">
        <v>5466</v>
      </c>
      <c r="E11650">
        <v>69.69</v>
      </c>
      <c r="F11650" s="2" t="str">
        <f>IF(Table2[[#This Row],[Manual Cat Value]]="",VLOOKUP(Table2[[#This Row],[Description]],'Actuals Lookup'!D:F,3,0),VLOOKUP(Table2[[#This Row],[Manual Cat Value]],Lookup!A:B,2,0))</f>
        <v>Restaurants</v>
      </c>
      <c r="G11650" t="s">
        <v>26</v>
      </c>
      <c r="H11650" t="s">
        <v>25</v>
      </c>
      <c r="I11650" s="8"/>
      <c r="O11650" t="str">
        <f>LEFT(Table2[[#This Row],[Description]],75)</f>
        <v>Streetcar</v>
      </c>
    </row>
    <row r="11651" spans="1:15" hidden="1">
      <c r="A11651" s="25">
        <v>202406</v>
      </c>
      <c r="B11651" s="6">
        <v>45462</v>
      </c>
      <c r="C11651" t="s">
        <v>5160</v>
      </c>
      <c r="D11651" t="s">
        <v>5467</v>
      </c>
      <c r="E11651">
        <v>27.16</v>
      </c>
      <c r="F11651" s="2" t="str">
        <f>IF(Table2[[#This Row],[Manual Cat Value]]="",VLOOKUP(Table2[[#This Row],[Description]],'Actuals Lookup'!D:F,3,0),VLOOKUP(Table2[[#This Row],[Manual Cat Value]],Lookup!A:B,2,0))</f>
        <v>Restaurants</v>
      </c>
      <c r="G11651" t="s">
        <v>26</v>
      </c>
      <c r="H11651" t="s">
        <v>25</v>
      </c>
      <c r="I11651" s="8"/>
      <c r="O11651" t="str">
        <f>LEFT(Table2[[#This Row],[Description]],75)</f>
        <v>Tst* Coho Cafe &amp; Baktofte Mn</v>
      </c>
    </row>
    <row r="11652" spans="1:15" hidden="1">
      <c r="A11652">
        <v>202406</v>
      </c>
      <c r="B11652" s="6">
        <v>45462</v>
      </c>
      <c r="C11652" t="s">
        <v>3938</v>
      </c>
      <c r="D11652" t="s">
        <v>2078</v>
      </c>
      <c r="E11652">
        <v>131.80000000000001</v>
      </c>
      <c r="F11652" s="2" t="str">
        <f>IF(Table2[[#This Row],[Manual Cat Value]]="",VLOOKUP(Table2[[#This Row],[Description]],'Actuals Lookup'!D:F,3,0),VLOOKUP(Table2[[#This Row],[Manual Cat Value]],Lookup!A:B,2,0))</f>
        <v>Transportation</v>
      </c>
      <c r="I11652" s="8"/>
      <c r="O11652" t="str">
        <f>LEFT(Table2[[#This Row],[Description]],75)</f>
        <v>Uber</v>
      </c>
    </row>
    <row r="11653" spans="1:15" hidden="1">
      <c r="A11653" s="25">
        <v>202406</v>
      </c>
      <c r="B11653" s="6">
        <v>45463</v>
      </c>
      <c r="C11653" t="s">
        <v>5160</v>
      </c>
      <c r="D11653" t="s">
        <v>5468</v>
      </c>
      <c r="E11653">
        <v>49.85</v>
      </c>
      <c r="F11653" s="2" t="str">
        <f>IF(Table2[[#This Row],[Manual Cat Value]]="",VLOOKUP(Table2[[#This Row],[Description]],'Actuals Lookup'!D:F,3,0),VLOOKUP(Table2[[#This Row],[Manual Cat Value]],Lookup!A:B,2,0))</f>
        <v>Shopping</v>
      </c>
      <c r="G11653" t="s">
        <v>21</v>
      </c>
      <c r="H11653" s="8" t="s">
        <v>36</v>
      </c>
      <c r="I11653" s="8"/>
      <c r="O11653" t="str">
        <f>LEFT(Table2[[#This Row],[Description]],75)</f>
        <v>Aplpay Sawtooth Outftofte Mn</v>
      </c>
    </row>
    <row r="11654" spans="1:15" hidden="1">
      <c r="A11654" s="25">
        <v>202406</v>
      </c>
      <c r="B11654" s="6">
        <v>45463</v>
      </c>
      <c r="C11654" t="s">
        <v>5160</v>
      </c>
      <c r="D11654" t="s">
        <v>5469</v>
      </c>
      <c r="E11654">
        <v>38.96</v>
      </c>
      <c r="F11654" s="2" t="str">
        <f>IF(Table2[[#This Row],[Manual Cat Value]]="",VLOOKUP(Table2[[#This Row],[Description]],'Actuals Lookup'!D:F,3,0),VLOOKUP(Table2[[#This Row],[Manual Cat Value]],Lookup!A:B,2,0))</f>
        <v>Restaurants</v>
      </c>
      <c r="G11654" t="s">
        <v>26</v>
      </c>
      <c r="H11654" s="8" t="s">
        <v>25</v>
      </c>
      <c r="I11654" s="8"/>
      <c r="O11654" t="str">
        <f>LEFT(Table2[[#This Row],[Description]],75)</f>
        <v>Aplpay Schroeder Bakschroeder Mn</v>
      </c>
    </row>
    <row r="11655" spans="1:15" hidden="1">
      <c r="A11655" s="25">
        <v>202406</v>
      </c>
      <c r="B11655" s="6">
        <v>45463</v>
      </c>
      <c r="C11655" t="s">
        <v>5160</v>
      </c>
      <c r="D11655" t="s">
        <v>5470</v>
      </c>
      <c r="E11655">
        <v>40.799999999999997</v>
      </c>
      <c r="F11655" s="2" t="str">
        <f>IF(Table2[[#This Row],[Manual Cat Value]]="",VLOOKUP(Table2[[#This Row],[Description]],'Actuals Lookup'!D:F,3,0),VLOOKUP(Table2[[#This Row],[Manual Cat Value]],Lookup!A:B,2,0))</f>
        <v>Travel</v>
      </c>
      <c r="G11655" t="s">
        <v>26</v>
      </c>
      <c r="H11655" s="8" t="s">
        <v>52</v>
      </c>
      <c r="I11655" s="8"/>
      <c r="O11655" t="str">
        <f>LEFT(Table2[[#This Row],[Description]],75)</f>
        <v>Black Beach Mini Golsilver Bay Mn</v>
      </c>
    </row>
    <row r="11656" spans="1:15" hidden="1">
      <c r="A11656" s="25">
        <v>202406</v>
      </c>
      <c r="B11656" s="6">
        <v>45463</v>
      </c>
      <c r="C11656" t="s">
        <v>5160</v>
      </c>
      <c r="D11656" t="s">
        <v>5471</v>
      </c>
      <c r="E11656">
        <v>69.72</v>
      </c>
      <c r="F11656" s="2" t="str">
        <f>IF(Table2[[#This Row],[Manual Cat Value]]="",VLOOKUP(Table2[[#This Row],[Description]],'Actuals Lookup'!D:F,3,0),VLOOKUP(Table2[[#This Row],[Manual Cat Value]],Lookup!A:B,2,0))</f>
        <v>Groceries</v>
      </c>
      <c r="G11656" t="s">
        <v>31</v>
      </c>
      <c r="H11656" s="8" t="s">
        <v>27</v>
      </c>
      <c r="I11656" s="8"/>
      <c r="O11656" t="str">
        <f>LEFT(Table2[[#This Row],[Description]],75)</f>
        <v>Bt*school Specialty Greenville Wi</v>
      </c>
    </row>
    <row r="11657" spans="1:15" hidden="1">
      <c r="A11657">
        <v>202406</v>
      </c>
      <c r="B11657" s="6">
        <v>45463</v>
      </c>
      <c r="C11657" t="s">
        <v>2519</v>
      </c>
      <c r="D11657" t="s">
        <v>404</v>
      </c>
      <c r="E11657">
        <v>-2666.33</v>
      </c>
      <c r="F11657" s="2" t="str">
        <f>IF(Table2[[#This Row],[Manual Cat Value]]="",VLOOKUP(Table2[[#This Row],[Description]],'Actuals Lookup'!D:F,3,0),VLOOKUP(Table2[[#This Row],[Manual Cat Value]],Lookup!A:B,2,0))</f>
        <v>Britney</v>
      </c>
      <c r="I11657" s="8"/>
      <c r="O11657" t="str">
        <f>LEFT(Table2[[#This Row],[Description]],75)</f>
        <v>Cargill Inc Deposit</v>
      </c>
    </row>
    <row r="11658" spans="1:15" hidden="1">
      <c r="A11658">
        <v>202406</v>
      </c>
      <c r="B11658" s="6">
        <v>45463</v>
      </c>
      <c r="C11658" t="s">
        <v>3938</v>
      </c>
      <c r="D11658" t="s">
        <v>4899</v>
      </c>
      <c r="E11658">
        <v>1.99</v>
      </c>
      <c r="F11658" s="2" t="str">
        <f>IF(Table2[[#This Row],[Manual Cat Value]]="",VLOOKUP(Table2[[#This Row],[Description]],'Actuals Lookup'!D:F,3,0),VLOOKUP(Table2[[#This Row],[Manual Cat Value]],Lookup!A:B,2,0))</f>
        <v>Utilities</v>
      </c>
      <c r="I11658" s="8"/>
      <c r="O11658" t="str">
        <f>LEFT(Table2[[#This Row],[Description]],75)</f>
        <v>Google Cloud Storage</v>
      </c>
    </row>
    <row r="11659" spans="1:15" hidden="1">
      <c r="A11659" s="25">
        <v>202406</v>
      </c>
      <c r="B11659" s="6">
        <v>45463</v>
      </c>
      <c r="C11659" t="s">
        <v>5160</v>
      </c>
      <c r="D11659" t="s">
        <v>945</v>
      </c>
      <c r="E11659">
        <v>44.41</v>
      </c>
      <c r="F11659" s="2" t="str">
        <f>IF(Table2[[#This Row],[Manual Cat Value]]="",VLOOKUP(Table2[[#This Row],[Description]],'Actuals Lookup'!D:F,3,0),VLOOKUP(Table2[[#This Row],[Manual Cat Value]],Lookup!A:B,2,0))</f>
        <v>Groceries</v>
      </c>
      <c r="G11659" t="s">
        <v>28</v>
      </c>
      <c r="I11659" s="8"/>
      <c r="O11659" t="str">
        <f>LEFT(Table2[[#This Row],[Description]],75)</f>
        <v>Holiday Stationstores</v>
      </c>
    </row>
    <row r="11660" spans="1:15" hidden="1">
      <c r="A11660">
        <v>202406</v>
      </c>
      <c r="B11660" s="6">
        <v>45463</v>
      </c>
      <c r="C11660" t="s">
        <v>2519</v>
      </c>
      <c r="D11660" t="s">
        <v>5443</v>
      </c>
      <c r="E11660">
        <v>1600</v>
      </c>
      <c r="F11660" s="2" t="str">
        <f>IF(Table2[[#This Row],[Manual Cat Value]]="",VLOOKUP(Table2[[#This Row],[Description]],'Actuals Lookup'!D:F,3,0),VLOOKUP(Table2[[#This Row],[Manual Cat Value]],Lookup!A:B,2,0))</f>
        <v>Day Care</v>
      </c>
      <c r="H11660" s="8" t="s">
        <v>19</v>
      </c>
      <c r="I11660" s="8"/>
      <c r="O11660" t="str">
        <f>LEFT(Table2[[#This Row],[Description]],75)</f>
        <v>Mis Amigos</v>
      </c>
    </row>
    <row r="11661" spans="1:15" hidden="1">
      <c r="A11661">
        <v>202406</v>
      </c>
      <c r="B11661" s="6">
        <v>45463</v>
      </c>
      <c r="C11661" t="s">
        <v>2519</v>
      </c>
      <c r="D11661" t="s">
        <v>1955</v>
      </c>
      <c r="E11661">
        <v>2.99</v>
      </c>
      <c r="F11661" s="2" t="str">
        <f>IF(Table2[[#This Row],[Manual Cat Value]]="",VLOOKUP(Table2[[#This Row],[Description]],'Actuals Lookup'!D:F,3,0),VLOOKUP(Table2[[#This Row],[Manual Cat Value]],Lookup!A:B,2,0))</f>
        <v>Shopping</v>
      </c>
      <c r="I11661" s="8"/>
      <c r="O11661" t="str">
        <f>LEFT(Table2[[#This Row],[Description]],75)</f>
        <v>Transfer to PayPal</v>
      </c>
    </row>
    <row r="11662" spans="1:15" hidden="1">
      <c r="A11662">
        <v>202406</v>
      </c>
      <c r="B11662" s="6">
        <v>45463</v>
      </c>
      <c r="C11662" t="s">
        <v>3938</v>
      </c>
      <c r="D11662" t="s">
        <v>2078</v>
      </c>
      <c r="E11662">
        <v>19.77</v>
      </c>
      <c r="F11662" s="2" t="str">
        <f>IF(Table2[[#This Row],[Manual Cat Value]]="",VLOOKUP(Table2[[#This Row],[Description]],'Actuals Lookup'!D:F,3,0),VLOOKUP(Table2[[#This Row],[Manual Cat Value]],Lookup!A:B,2,0))</f>
        <v>Transportation</v>
      </c>
      <c r="I11662" s="8"/>
      <c r="O11662" t="str">
        <f>LEFT(Table2[[#This Row],[Description]],75)</f>
        <v>Uber</v>
      </c>
    </row>
    <row r="11663" spans="1:15" hidden="1">
      <c r="A11663">
        <v>202406</v>
      </c>
      <c r="B11663" s="6">
        <v>45463</v>
      </c>
      <c r="C11663" t="s">
        <v>3938</v>
      </c>
      <c r="D11663" t="s">
        <v>2078</v>
      </c>
      <c r="E11663">
        <v>19.600000000000001</v>
      </c>
      <c r="F11663" s="2" t="str">
        <f>IF(Table2[[#This Row],[Manual Cat Value]]="",VLOOKUP(Table2[[#This Row],[Description]],'Actuals Lookup'!D:F,3,0),VLOOKUP(Table2[[#This Row],[Manual Cat Value]],Lookup!A:B,2,0))</f>
        <v>Transportation</v>
      </c>
      <c r="I11663" s="8"/>
      <c r="O11663" t="str">
        <f>LEFT(Table2[[#This Row],[Description]],75)</f>
        <v>Uber</v>
      </c>
    </row>
    <row r="11664" spans="1:15" hidden="1">
      <c r="A11664">
        <v>202409</v>
      </c>
      <c r="B11664" s="6">
        <v>45555</v>
      </c>
      <c r="C11664" t="s">
        <v>130</v>
      </c>
      <c r="D11664" t="s">
        <v>5472</v>
      </c>
      <c r="E11664">
        <v>77.540000000000006</v>
      </c>
      <c r="F11664" s="2" t="str">
        <f>IF(Table2[[#This Row],[Manual Cat Value]]="",VLOOKUP(Table2[[#This Row],[Description]],'Actuals Lookup'!D:F,3,0),VLOOKUP(Table2[[#This Row],[Manual Cat Value]],Lookup!A:B,2,0))</f>
        <v>Delete</v>
      </c>
      <c r="H11664" s="8" t="s">
        <v>9</v>
      </c>
      <c r="I11664" s="8"/>
      <c r="O11664" t="str">
        <f>LEFT(Table2[[#This Row],[Description]],75)</f>
        <v>GABBY GOAT AMERICAN EFFINGHAM           IL</v>
      </c>
    </row>
    <row r="11665" spans="1:17" hidden="1">
      <c r="A11665">
        <v>202406</v>
      </c>
      <c r="B11665" s="6">
        <v>45463</v>
      </c>
      <c r="C11665" t="s">
        <v>2519</v>
      </c>
      <c r="D11665" t="s">
        <v>5473</v>
      </c>
      <c r="E11665">
        <v>278</v>
      </c>
      <c r="F11665" s="2" t="str">
        <f>IF(Table2[[#This Row],[Manual Cat Value]]="",VLOOKUP(Table2[[#This Row],[Description]],'Actuals Lookup'!D:F,3,0),VLOOKUP(Table2[[#This Row],[Manual Cat Value]],Lookup!A:B,2,0))</f>
        <v>Day Care</v>
      </c>
      <c r="H11665" t="s">
        <v>19</v>
      </c>
      <c r="I11665" s="8"/>
      <c r="O11665" t="str">
        <f>LEFT(Table2[[#This Row],[Description]],75)</f>
        <v xml:space="preserve">Withdrawal ACH RILEY CROSSING C TYPE: XX8412 ID: XX9040 CO: RILEY CROSSING </v>
      </c>
    </row>
    <row r="11666" spans="1:17" hidden="1">
      <c r="A11666">
        <v>202409</v>
      </c>
      <c r="B11666" s="6">
        <v>45559</v>
      </c>
      <c r="C11666" t="s">
        <v>130</v>
      </c>
      <c r="D11666" t="s">
        <v>5474</v>
      </c>
      <c r="E11666">
        <v>8.18</v>
      </c>
      <c r="F11666" s="2" t="str">
        <f>IF(Table2[[#This Row],[Manual Cat Value]]="",VLOOKUP(Table2[[#This Row],[Description]],'Actuals Lookup'!D:F,3,0),VLOOKUP(Table2[[#This Row],[Manual Cat Value]],Lookup!A:B,2,0))</f>
        <v>Delete</v>
      </c>
      <c r="H11666" s="8" t="s">
        <v>9</v>
      </c>
      <c r="I11666" s="8"/>
      <c r="O11666" t="str">
        <f>LEFT(Table2[[#This Row],[Description]],75)</f>
        <v>GREAT AMER BAGEL TERFORT MYERS          FL</v>
      </c>
    </row>
    <row r="11667" spans="1:17" hidden="1">
      <c r="A11667" s="25">
        <v>202406</v>
      </c>
      <c r="B11667" s="6">
        <v>45464</v>
      </c>
      <c r="C11667" t="s">
        <v>5160</v>
      </c>
      <c r="D11667" t="s">
        <v>5475</v>
      </c>
      <c r="E11667">
        <v>16</v>
      </c>
      <c r="F11667" s="2" t="str">
        <f>IF(Table2[[#This Row],[Manual Cat Value]]="",VLOOKUP(Table2[[#This Row],[Description]],'Actuals Lookup'!D:F,3,0),VLOOKUP(Table2[[#This Row],[Manual Cat Value]],Lookup!A:B,2,0))</f>
        <v>Shopping</v>
      </c>
      <c r="G11667" t="s">
        <v>43</v>
      </c>
      <c r="H11667" s="8" t="s">
        <v>36</v>
      </c>
      <c r="I11667" s="8"/>
      <c r="O11667" t="str">
        <f>LEFT(Table2[[#This Row],[Description]],75)</f>
        <v>Aplpay Minnesota Stasaint Paul Mn</v>
      </c>
    </row>
    <row r="11668" spans="1:17" hidden="1">
      <c r="A11668" s="25">
        <v>202406</v>
      </c>
      <c r="B11668" s="6">
        <v>45464</v>
      </c>
      <c r="C11668" t="s">
        <v>5160</v>
      </c>
      <c r="D11668" t="s">
        <v>5476</v>
      </c>
      <c r="E11668">
        <v>181.84</v>
      </c>
      <c r="F11668" s="2" t="str">
        <f>IF(Table2[[#This Row],[Manual Cat Value]]="",VLOOKUP(Table2[[#This Row],[Description]],'Actuals Lookup'!D:F,3,0),VLOOKUP(Table2[[#This Row],[Manual Cat Value]],Lookup!A:B,2,0))</f>
        <v>Restaurants</v>
      </c>
      <c r="G11668" t="s">
        <v>26</v>
      </c>
      <c r="H11668" s="8" t="s">
        <v>25</v>
      </c>
      <c r="I11668" s="8"/>
      <c r="O11668" t="str">
        <f>LEFT(Table2[[#This Row],[Description]],75)</f>
        <v>Bellisio's</v>
      </c>
    </row>
    <row r="11669" spans="1:17" hidden="1">
      <c r="A11669">
        <v>202406</v>
      </c>
      <c r="B11669" s="6">
        <v>45464</v>
      </c>
      <c r="C11669" t="s">
        <v>3938</v>
      </c>
      <c r="D11669" t="s">
        <v>5477</v>
      </c>
      <c r="E11669">
        <v>11</v>
      </c>
      <c r="F11669" s="2" t="str">
        <f>IF(Table2[[#This Row],[Manual Cat Value]]="",VLOOKUP(Table2[[#This Row],[Description]],'Actuals Lookup'!D:F,3,0),VLOOKUP(Table2[[#This Row],[Manual Cat Value]],Lookup!A:B,2,0))</f>
        <v>Utilities</v>
      </c>
      <c r="H11669" s="8" t="s">
        <v>6</v>
      </c>
      <c r="I11669" s="8"/>
      <c r="O11669" t="str">
        <f>LEFT(Table2[[#This Row],[Description]],75)</f>
        <v>BONFES PLUMBING HEATING AXX6633 MN REF #XX7539HWS66QTHN3</v>
      </c>
    </row>
    <row r="11670" spans="1:17" hidden="1">
      <c r="A11670" s="25">
        <v>202406</v>
      </c>
      <c r="B11670" s="6">
        <v>45464</v>
      </c>
      <c r="C11670" t="s">
        <v>5160</v>
      </c>
      <c r="D11670" t="s">
        <v>5478</v>
      </c>
      <c r="E11670">
        <v>30</v>
      </c>
      <c r="F11670" s="2" t="str">
        <f>IF(Table2[[#This Row],[Manual Cat Value]]="",VLOOKUP(Table2[[#This Row],[Description]],'Actuals Lookup'!D:F,3,0),VLOOKUP(Table2[[#This Row],[Manual Cat Value]],Lookup!A:B,2,0))</f>
        <v>Travel</v>
      </c>
      <c r="G11670" t="s">
        <v>40</v>
      </c>
      <c r="H11670" s="8" t="s">
        <v>52</v>
      </c>
      <c r="I11670" s="8"/>
      <c r="O11670" t="str">
        <f>LEFT(Table2[[#This Row],[Description]],75)</f>
        <v>Decc Ticket Office 0duluth Mn</v>
      </c>
    </row>
    <row r="11671" spans="1:17" hidden="1">
      <c r="A11671" s="25">
        <v>202406</v>
      </c>
      <c r="B11671" s="6">
        <v>45464</v>
      </c>
      <c r="C11671" t="s">
        <v>5160</v>
      </c>
      <c r="D11671" t="s">
        <v>5479</v>
      </c>
      <c r="E11671">
        <v>2.77</v>
      </c>
      <c r="F11671" s="2" t="str">
        <f>IF(Table2[[#This Row],[Manual Cat Value]]="",VLOOKUP(Table2[[#This Row],[Description]],'Actuals Lookup'!D:F,3,0),VLOOKUP(Table2[[#This Row],[Manual Cat Value]],Lookup!A:B,2,0))</f>
        <v>Transportation</v>
      </c>
      <c r="G11671" t="s">
        <v>26</v>
      </c>
      <c r="H11671" s="8" t="s">
        <v>22</v>
      </c>
      <c r="I11671" s="8"/>
      <c r="O11671" t="str">
        <f>LEFT(Table2[[#This Row],[Description]],75)</f>
        <v>Leaf Rides Duluth Mn</v>
      </c>
    </row>
    <row r="11672" spans="1:17" hidden="1">
      <c r="A11672" s="25">
        <v>202406</v>
      </c>
      <c r="B11672" s="6">
        <v>45464</v>
      </c>
      <c r="C11672" t="s">
        <v>5160</v>
      </c>
      <c r="D11672" t="s">
        <v>5479</v>
      </c>
      <c r="E11672">
        <v>2.77</v>
      </c>
      <c r="F11672" s="2" t="str">
        <f>IF(Table2[[#This Row],[Manual Cat Value]]="",VLOOKUP(Table2[[#This Row],[Description]],'Actuals Lookup'!D:F,3,0),VLOOKUP(Table2[[#This Row],[Manual Cat Value]],Lookup!A:B,2,0))</f>
        <v>Transportation</v>
      </c>
      <c r="G11672" t="s">
        <v>26</v>
      </c>
      <c r="H11672" s="8" t="s">
        <v>22</v>
      </c>
      <c r="I11672" s="8"/>
      <c r="O11672" t="str">
        <f>LEFT(Table2[[#This Row],[Description]],75)</f>
        <v>Leaf Rides Duluth Mn</v>
      </c>
    </row>
    <row r="11673" spans="1:17" hidden="1">
      <c r="A11673" s="25">
        <v>202406</v>
      </c>
      <c r="B11673" s="6">
        <v>45464</v>
      </c>
      <c r="C11673" t="s">
        <v>5160</v>
      </c>
      <c r="D11673" t="s">
        <v>5480</v>
      </c>
      <c r="E11673">
        <v>15</v>
      </c>
      <c r="F11673" s="2" t="str">
        <f>IF(Table2[[#This Row],[Manual Cat Value]]="",VLOOKUP(Table2[[#This Row],[Description]],'Actuals Lookup'!D:F,3,0),VLOOKUP(Table2[[#This Row],[Manual Cat Value]],Lookup!A:B,2,0))</f>
        <v>Restaurants</v>
      </c>
      <c r="G11673" t="s">
        <v>4840</v>
      </c>
      <c r="H11673" s="8" t="s">
        <v>25</v>
      </c>
      <c r="I11673" s="8"/>
      <c r="O11673" t="str">
        <f>LEFT(Table2[[#This Row],[Description]],75)</f>
        <v>Lighthouse Bed &amp; Bretwo Harbors Mn</v>
      </c>
    </row>
    <row r="11674" spans="1:17" hidden="1">
      <c r="A11674" s="25">
        <v>202406</v>
      </c>
      <c r="B11674" s="6">
        <v>45464</v>
      </c>
      <c r="C11674" t="s">
        <v>5160</v>
      </c>
      <c r="D11674" t="s">
        <v>5481</v>
      </c>
      <c r="E11674">
        <v>67.5</v>
      </c>
      <c r="F11674" s="2" t="str">
        <f>IF(Table2[[#This Row],[Manual Cat Value]]="",VLOOKUP(Table2[[#This Row],[Description]],'Actuals Lookup'!D:F,3,0),VLOOKUP(Table2[[#This Row],[Manual Cat Value]],Lookup!A:B,2,0))</f>
        <v>Restaurants</v>
      </c>
      <c r="G11674" t="s">
        <v>26</v>
      </c>
      <c r="H11674" s="8" t="s">
        <v>25</v>
      </c>
      <c r="I11674" s="8"/>
      <c r="O11674" t="str">
        <f>LEFT(Table2[[#This Row],[Description]],75)</f>
        <v>Mcquades</v>
      </c>
    </row>
    <row r="11675" spans="1:17" hidden="1">
      <c r="A11675" s="25">
        <v>202406</v>
      </c>
      <c r="B11675" s="6">
        <v>45464</v>
      </c>
      <c r="C11675" t="s">
        <v>5160</v>
      </c>
      <c r="D11675" t="s">
        <v>5482</v>
      </c>
      <c r="E11675">
        <v>49.89</v>
      </c>
      <c r="F11675" s="2" t="str">
        <f>IF(Table2[[#This Row],[Manual Cat Value]]="",VLOOKUP(Table2[[#This Row],[Description]],'Actuals Lookup'!D:F,3,0),VLOOKUP(Table2[[#This Row],[Manual Cat Value]],Lookup!A:B,2,0))</f>
        <v>Shopping</v>
      </c>
      <c r="G11675" t="s">
        <v>41</v>
      </c>
      <c r="H11675" t="s">
        <v>36</v>
      </c>
      <c r="I11675" s="8"/>
      <c r="O11675" t="str">
        <f>LEFT(Table2[[#This Row],[Description]],75)</f>
        <v>Trailfitters</v>
      </c>
    </row>
    <row r="11676" spans="1:17" hidden="1">
      <c r="A11676">
        <v>202406</v>
      </c>
      <c r="B11676" s="6">
        <v>45464</v>
      </c>
      <c r="C11676" t="s">
        <v>3938</v>
      </c>
      <c r="D11676" t="s">
        <v>5483</v>
      </c>
      <c r="E11676">
        <v>30.6</v>
      </c>
      <c r="F11676" s="2" t="str">
        <f>IF(Table2[[#This Row],[Manual Cat Value]]="",VLOOKUP(Table2[[#This Row],[Description]],'Actuals Lookup'!D:F,3,0),VLOOKUP(Table2[[#This Row],[Manual Cat Value]],Lookup!A:B,2,0))</f>
        <v>Shopping</v>
      </c>
      <c r="H11676" s="8" t="s">
        <v>36</v>
      </c>
      <c r="I11676" s="8"/>
      <c r="O11676" t="str">
        <f>LEFT(Table2[[#This Row],[Description]],75)</f>
        <v>Watersedge Trading Co.</v>
      </c>
    </row>
    <row r="11677" spans="1:17" hidden="1">
      <c r="A11677">
        <v>202406</v>
      </c>
      <c r="B11677" s="6">
        <v>45464</v>
      </c>
      <c r="C11677" t="s">
        <v>2519</v>
      </c>
      <c r="D11677" t="s">
        <v>5484</v>
      </c>
      <c r="E11677">
        <v>79.739999999999995</v>
      </c>
      <c r="F11677" s="2" t="str">
        <f>IF(Table2[[#This Row],[Manual Cat Value]]="",VLOOKUP(Table2[[#This Row],[Description]],'Actuals Lookup'!D:F,3,0),VLOOKUP(Table2[[#This Row],[Manual Cat Value]],Lookup!A:B,2,0))</f>
        <v>Utilities</v>
      </c>
      <c r="H11677" s="8" t="s">
        <v>6</v>
      </c>
      <c r="I11677" s="8"/>
      <c r="O11677" t="str">
        <f>LEFT(Table2[[#This Row],[Description]],75)</f>
        <v>Withdrawal ACH CITY OF CHANHASS TYPE: UTIL BILL ID: XX5331 CO: CITY OF CHAN</v>
      </c>
    </row>
    <row r="11678" spans="1:17" hidden="1">
      <c r="A11678" s="25">
        <v>202406</v>
      </c>
      <c r="B11678" s="6">
        <v>45465</v>
      </c>
      <c r="C11678" t="s">
        <v>5160</v>
      </c>
      <c r="D11678" t="s">
        <v>105</v>
      </c>
      <c r="E11678">
        <v>83.23</v>
      </c>
      <c r="F11678" s="2" t="str">
        <f>IF(Table2[[#This Row],[Manual Cat Value]]="",VLOOKUP(Table2[[#This Row],[Description]],'Actuals Lookup'!D:F,3,0),VLOOKUP(Table2[[#This Row],[Manual Cat Value]],Lookup!A:B,2,0))</f>
        <v>Travel</v>
      </c>
      <c r="G11678" t="s">
        <v>43</v>
      </c>
      <c r="H11678" t="s">
        <v>52</v>
      </c>
      <c r="I11678" s="8"/>
      <c r="O11678" t="str">
        <f>LEFT(Table2[[#This Row],[Description]],75)</f>
        <v>Airbnb</v>
      </c>
      <c r="Q11678" t="s">
        <v>2240</v>
      </c>
    </row>
    <row r="11679" spans="1:17" hidden="1">
      <c r="A11679" s="25">
        <v>202406</v>
      </c>
      <c r="B11679" s="6">
        <v>45465</v>
      </c>
      <c r="C11679" t="s">
        <v>5160</v>
      </c>
      <c r="D11679" t="s">
        <v>5485</v>
      </c>
      <c r="E11679">
        <v>419.55</v>
      </c>
      <c r="F11679" s="2" t="str">
        <f>IF(Table2[[#This Row],[Manual Cat Value]]="",VLOOKUP(Table2[[#This Row],[Description]],'Actuals Lookup'!D:F,3,0),VLOOKUP(Table2[[#This Row],[Manual Cat Value]],Lookup!A:B,2,0))</f>
        <v>Travel</v>
      </c>
      <c r="G11679" t="s">
        <v>43</v>
      </c>
      <c r="H11679" s="8" t="s">
        <v>52</v>
      </c>
      <c r="I11679" s="8"/>
      <c r="O11679" t="str">
        <f>LEFT(Table2[[#This Row],[Description]],75)</f>
        <v>Americinn Lodge &amp; Suites</v>
      </c>
    </row>
    <row r="11680" spans="1:17" hidden="1">
      <c r="A11680" s="25">
        <v>202406</v>
      </c>
      <c r="B11680" s="6">
        <v>45465</v>
      </c>
      <c r="C11680" t="s">
        <v>5160</v>
      </c>
      <c r="D11680" t="s">
        <v>5486</v>
      </c>
      <c r="E11680">
        <v>11.94</v>
      </c>
      <c r="F11680" s="2" t="str">
        <f>IF(Table2[[#This Row],[Manual Cat Value]]="",VLOOKUP(Table2[[#This Row],[Description]],'Actuals Lookup'!D:F,3,0),VLOOKUP(Table2[[#This Row],[Manual Cat Value]],Lookup!A:B,2,0))</f>
        <v>Shopping</v>
      </c>
      <c r="G11680" t="s">
        <v>4745</v>
      </c>
      <c r="H11680" s="8" t="s">
        <v>36</v>
      </c>
      <c r="I11680" s="8"/>
      <c r="O11680" t="str">
        <f>LEFT(Table2[[#This Row],[Description]],75)</f>
        <v>Aplpay Ybc Fitgers Duluth Mn</v>
      </c>
    </row>
    <row r="11681" spans="1:15" hidden="1">
      <c r="A11681" s="25">
        <v>202406</v>
      </c>
      <c r="B11681" s="6">
        <v>45465</v>
      </c>
      <c r="C11681" t="s">
        <v>5160</v>
      </c>
      <c r="D11681" t="s">
        <v>5487</v>
      </c>
      <c r="E11681">
        <v>26.25</v>
      </c>
      <c r="F11681" s="2" t="str">
        <f>IF(Table2[[#This Row],[Manual Cat Value]]="",VLOOKUP(Table2[[#This Row],[Description]],'Actuals Lookup'!D:F,3,0),VLOOKUP(Table2[[#This Row],[Manual Cat Value]],Lookup!A:B,2,0))</f>
        <v>Travel</v>
      </c>
      <c r="G11681" t="s">
        <v>26</v>
      </c>
      <c r="H11681" s="8" t="s">
        <v>52</v>
      </c>
      <c r="I11681" s="8"/>
      <c r="O11681" t="str">
        <f>LEFT(Table2[[#This Row],[Description]],75)</f>
        <v>Canal Park Ice Rink</v>
      </c>
    </row>
    <row r="11682" spans="1:15" hidden="1">
      <c r="A11682" s="25">
        <v>202406</v>
      </c>
      <c r="B11682" s="6">
        <v>45465</v>
      </c>
      <c r="C11682" t="s">
        <v>5160</v>
      </c>
      <c r="D11682" t="s">
        <v>5487</v>
      </c>
      <c r="E11682">
        <v>146.58000000000001</v>
      </c>
      <c r="F11682" s="2" t="str">
        <f>IF(Table2[[#This Row],[Manual Cat Value]]="",VLOOKUP(Table2[[#This Row],[Description]],'Actuals Lookup'!D:F,3,0),VLOOKUP(Table2[[#This Row],[Manual Cat Value]],Lookup!A:B,2,0))</f>
        <v>Travel</v>
      </c>
      <c r="G11682" t="s">
        <v>26</v>
      </c>
      <c r="H11682" s="8" t="s">
        <v>52</v>
      </c>
      <c r="I11682" s="8"/>
      <c r="O11682" t="str">
        <f>LEFT(Table2[[#This Row],[Description]],75)</f>
        <v>Canal Park Ice Rink</v>
      </c>
    </row>
    <row r="11683" spans="1:15" hidden="1">
      <c r="A11683" s="25">
        <v>202406</v>
      </c>
      <c r="B11683" s="6">
        <v>45465</v>
      </c>
      <c r="C11683" t="s">
        <v>5160</v>
      </c>
      <c r="D11683" t="s">
        <v>5488</v>
      </c>
      <c r="E11683">
        <v>78.64</v>
      </c>
      <c r="F11683" s="2" t="str">
        <f>IF(Table2[[#This Row],[Manual Cat Value]]="",VLOOKUP(Table2[[#This Row],[Description]],'Actuals Lookup'!D:F,3,0),VLOOKUP(Table2[[#This Row],[Manual Cat Value]],Lookup!A:B,2,0))</f>
        <v>Restaurants</v>
      </c>
      <c r="G11683" t="s">
        <v>26</v>
      </c>
      <c r="H11683" s="8" t="s">
        <v>25</v>
      </c>
      <c r="I11683" s="8"/>
      <c r="O11683" t="str">
        <f>LEFT(Table2[[#This Row],[Description]],75)</f>
        <v>Ls Duluth Kitchen Coduluth Mn</v>
      </c>
    </row>
    <row r="11684" spans="1:15" hidden="1">
      <c r="A11684" s="25">
        <v>202406</v>
      </c>
      <c r="B11684" s="6">
        <v>45465</v>
      </c>
      <c r="C11684" t="s">
        <v>5160</v>
      </c>
      <c r="D11684" t="s">
        <v>5489</v>
      </c>
      <c r="E11684">
        <v>255.7</v>
      </c>
      <c r="F11684" s="2" t="str">
        <f>IF(Table2[[#This Row],[Manual Cat Value]]="",VLOOKUP(Table2[[#This Row],[Description]],'Actuals Lookup'!D:F,3,0),VLOOKUP(Table2[[#This Row],[Manual Cat Value]],Lookup!A:B,2,0))</f>
        <v>Entertainment</v>
      </c>
      <c r="G11684" t="s">
        <v>40</v>
      </c>
      <c r="H11684" s="8" t="s">
        <v>39</v>
      </c>
      <c r="I11684" s="8"/>
      <c r="O11684" t="str">
        <f>LEFT(Table2[[#This Row],[Description]],75)</f>
        <v>Seatgeek</v>
      </c>
    </row>
    <row r="11685" spans="1:15" hidden="1">
      <c r="A11685" s="25">
        <v>202406</v>
      </c>
      <c r="B11685" s="6">
        <v>45465</v>
      </c>
      <c r="C11685" t="s">
        <v>5160</v>
      </c>
      <c r="D11685" t="s">
        <v>5482</v>
      </c>
      <c r="E11685">
        <v>181.16</v>
      </c>
      <c r="F11685" s="2" t="str">
        <f>IF(Table2[[#This Row],[Manual Cat Value]]="",VLOOKUP(Table2[[#This Row],[Description]],'Actuals Lookup'!D:F,3,0),VLOOKUP(Table2[[#This Row],[Manual Cat Value]],Lookup!A:B,2,0))</f>
        <v>Shopping</v>
      </c>
      <c r="G11685" t="s">
        <v>41</v>
      </c>
      <c r="H11685" t="s">
        <v>36</v>
      </c>
      <c r="I11685" s="8"/>
      <c r="O11685" t="str">
        <f>LEFT(Table2[[#This Row],[Description]],75)</f>
        <v>Trailfitters</v>
      </c>
    </row>
    <row r="11686" spans="1:15" hidden="1">
      <c r="A11686" s="25">
        <v>202406</v>
      </c>
      <c r="B11686" s="6">
        <v>45466</v>
      </c>
      <c r="C11686" t="s">
        <v>5160</v>
      </c>
      <c r="D11686" t="s">
        <v>5490</v>
      </c>
      <c r="E11686">
        <v>101.11</v>
      </c>
      <c r="F11686" s="2" t="str">
        <f>IF(Table2[[#This Row],[Manual Cat Value]]="",VLOOKUP(Table2[[#This Row],[Description]],'Actuals Lookup'!D:F,3,0),VLOOKUP(Table2[[#This Row],[Manual Cat Value]],Lookup!A:B,2,0))</f>
        <v>Restaurants</v>
      </c>
      <c r="G11686" t="s">
        <v>26</v>
      </c>
      <c r="H11686" s="8" t="s">
        <v>25</v>
      </c>
      <c r="I11686" s="8"/>
      <c r="O11686" t="str">
        <f>LEFT(Table2[[#This Row],[Description]],75)</f>
        <v>Aplpay Tst* Fitger'sduluth Mn</v>
      </c>
    </row>
    <row r="11687" spans="1:15" hidden="1">
      <c r="A11687" s="25">
        <v>202406</v>
      </c>
      <c r="B11687" s="6">
        <v>45466</v>
      </c>
      <c r="C11687" t="s">
        <v>5160</v>
      </c>
      <c r="D11687" t="s">
        <v>5246</v>
      </c>
      <c r="E11687">
        <v>215</v>
      </c>
      <c r="F11687" s="2" t="str">
        <f>IF(Table2[[#This Row],[Manual Cat Value]]="",VLOOKUP(Table2[[#This Row],[Description]],'Actuals Lookup'!D:F,3,0),VLOOKUP(Table2[[#This Row],[Manual Cat Value]],Lookup!A:B,2,0))</f>
        <v>Day Care</v>
      </c>
      <c r="G11687" t="s">
        <v>5108</v>
      </c>
      <c r="I11687" s="8"/>
      <c r="O11687" t="str">
        <f>LEFT(Table2[[#This Row],[Description]],75)</f>
        <v>Bcs*minnetonka Commuexcelsior Mn</v>
      </c>
    </row>
    <row r="11688" spans="1:15" hidden="1">
      <c r="A11688">
        <v>202406</v>
      </c>
      <c r="B11688" s="6">
        <v>45466</v>
      </c>
      <c r="C11688" t="s">
        <v>3938</v>
      </c>
      <c r="D11688" t="s">
        <v>5491</v>
      </c>
      <c r="E11688">
        <v>2.02</v>
      </c>
      <c r="F11688" s="2" t="str">
        <f>IF(Table2[[#This Row],[Manual Cat Value]]="",VLOOKUP(Table2[[#This Row],[Description]],'Actuals Lookup'!D:F,3,0),VLOOKUP(Table2[[#This Row],[Manual Cat Value]],Lookup!A:B,2,0))</f>
        <v>Transportation</v>
      </c>
      <c r="H11688" s="8" t="s">
        <v>22</v>
      </c>
      <c r="I11688" s="8"/>
      <c r="O11688" t="str">
        <f>LEFT(Table2[[#This Row],[Description]],75)</f>
        <v>Bird</v>
      </c>
    </row>
    <row r="11689" spans="1:15" hidden="1">
      <c r="A11689" s="25">
        <v>202406</v>
      </c>
      <c r="B11689" s="6">
        <v>45466</v>
      </c>
      <c r="C11689" t="s">
        <v>5160</v>
      </c>
      <c r="D11689" t="s">
        <v>1083</v>
      </c>
      <c r="E11689">
        <v>36.24</v>
      </c>
      <c r="F11689" s="2" t="str">
        <f>IF(Table2[[#This Row],[Manual Cat Value]]="",VLOOKUP(Table2[[#This Row],[Description]],'Actuals Lookup'!D:F,3,0),VLOOKUP(Table2[[#This Row],[Manual Cat Value]],Lookup!A:B,2,0))</f>
        <v>Transportation</v>
      </c>
      <c r="G11689" t="s">
        <v>23</v>
      </c>
      <c r="I11689" s="8"/>
      <c r="O11689" t="str">
        <f>LEFT(Table2[[#This Row],[Description]],75)</f>
        <v>Kwik Trip</v>
      </c>
    </row>
    <row r="11690" spans="1:15" hidden="1">
      <c r="A11690" s="25">
        <v>202406</v>
      </c>
      <c r="B11690" s="6">
        <v>45466</v>
      </c>
      <c r="C11690" t="s">
        <v>5160</v>
      </c>
      <c r="D11690" t="s">
        <v>1083</v>
      </c>
      <c r="E11690">
        <v>6.29</v>
      </c>
      <c r="F11690" s="2" t="str">
        <f>IF(Table2[[#This Row],[Manual Cat Value]]="",VLOOKUP(Table2[[#This Row],[Description]],'Actuals Lookup'!D:F,3,0),VLOOKUP(Table2[[#This Row],[Manual Cat Value]],Lookup!A:B,2,0))</f>
        <v>Transportation</v>
      </c>
      <c r="G11690" t="s">
        <v>23</v>
      </c>
      <c r="I11690" s="8"/>
      <c r="O11690" t="str">
        <f>LEFT(Table2[[#This Row],[Description]],75)</f>
        <v>Kwik Trip</v>
      </c>
    </row>
    <row r="11691" spans="1:15" hidden="1">
      <c r="A11691">
        <v>202406</v>
      </c>
      <c r="B11691" s="6">
        <v>45466</v>
      </c>
      <c r="C11691" t="s">
        <v>3938</v>
      </c>
      <c r="D11691" t="s">
        <v>5492</v>
      </c>
      <c r="E11691">
        <v>25.86</v>
      </c>
      <c r="F11691" s="2" t="str">
        <f>IF(Table2[[#This Row],[Manual Cat Value]]="",VLOOKUP(Table2[[#This Row],[Description]],'Actuals Lookup'!D:F,3,0),VLOOKUP(Table2[[#This Row],[Manual Cat Value]],Lookup!A:B,2,0))</f>
        <v>Travel</v>
      </c>
      <c r="H11691" s="8" t="s">
        <v>52</v>
      </c>
      <c r="I11691" s="8"/>
      <c r="O11691" t="str">
        <f>LEFT(Table2[[#This Row],[Description]],75)</f>
        <v>MARCUS DULUTH CINE BOX DULUTH MN REF #XX4300HZ05EGBK7X</v>
      </c>
    </row>
    <row r="11692" spans="1:15" hidden="1">
      <c r="A11692" s="25">
        <v>202406</v>
      </c>
      <c r="B11692" s="6">
        <v>45466</v>
      </c>
      <c r="C11692" t="s">
        <v>5160</v>
      </c>
      <c r="D11692" t="s">
        <v>5493</v>
      </c>
      <c r="E11692">
        <v>107.89</v>
      </c>
      <c r="F11692" s="2" t="str">
        <f>IF(Table2[[#This Row],[Manual Cat Value]]="",VLOOKUP(Table2[[#This Row],[Description]],'Actuals Lookup'!D:F,3,0),VLOOKUP(Table2[[#This Row],[Manual Cat Value]],Lookup!A:B,2,0))</f>
        <v>Entertainment</v>
      </c>
      <c r="G11692" t="s">
        <v>26</v>
      </c>
      <c r="H11692" s="8" t="s">
        <v>39</v>
      </c>
      <c r="I11692" s="8"/>
      <c r="O11692" t="str">
        <f>LEFT(Table2[[#This Row],[Description]],75)</f>
        <v>Spirit Mountain</v>
      </c>
    </row>
    <row r="11693" spans="1:15" hidden="1">
      <c r="A11693" s="25">
        <v>202406</v>
      </c>
      <c r="B11693" s="6">
        <v>45466</v>
      </c>
      <c r="C11693" t="s">
        <v>5160</v>
      </c>
      <c r="D11693" t="s">
        <v>5494</v>
      </c>
      <c r="E11693">
        <v>40.049999999999997</v>
      </c>
      <c r="F11693" s="2" t="str">
        <f>IF(Table2[[#This Row],[Manual Cat Value]]="",VLOOKUP(Table2[[#This Row],[Description]],'Actuals Lookup'!D:F,3,0),VLOOKUP(Table2[[#This Row],[Manual Cat Value]],Lookup!A:B,2,0))</f>
        <v>Entertainment</v>
      </c>
      <c r="G11693" t="s">
        <v>26</v>
      </c>
      <c r="H11693" s="8" t="s">
        <v>39</v>
      </c>
      <c r="I11693" s="8"/>
      <c r="O11693" t="str">
        <f>LEFT(Table2[[#This Row],[Description]],75)</f>
        <v>Spirit Mountain F &amp; Duluth Mn</v>
      </c>
    </row>
    <row r="11694" spans="1:15" hidden="1">
      <c r="A11694" s="25">
        <v>202406</v>
      </c>
      <c r="B11694" s="6">
        <v>45466</v>
      </c>
      <c r="C11694" t="s">
        <v>5160</v>
      </c>
      <c r="D11694" t="s">
        <v>5495</v>
      </c>
      <c r="E11694">
        <v>1029.3599999999999</v>
      </c>
      <c r="F11694" s="2" t="str">
        <f>IF(Table2[[#This Row],[Manual Cat Value]]="",VLOOKUP(Table2[[#This Row],[Description]],'Actuals Lookup'!D:F,3,0),VLOOKUP(Table2[[#This Row],[Manual Cat Value]],Lookup!A:B,2,0))</f>
        <v>Travel</v>
      </c>
      <c r="G11694" t="s">
        <v>43</v>
      </c>
      <c r="H11694" s="8" t="s">
        <v>52</v>
      </c>
      <c r="I11694" s="8"/>
      <c r="O11694" t="str">
        <f>LEFT(Table2[[#This Row],[Description]],75)</f>
        <v>Val*fitger's Inn Duluth Mn</v>
      </c>
    </row>
    <row r="11695" spans="1:15" hidden="1">
      <c r="A11695" s="25">
        <v>202406</v>
      </c>
      <c r="B11695" s="6">
        <v>45467</v>
      </c>
      <c r="C11695" t="s">
        <v>5160</v>
      </c>
      <c r="D11695" t="s">
        <v>103</v>
      </c>
      <c r="E11695">
        <v>129.27000000000001</v>
      </c>
      <c r="F11695" s="2" t="str">
        <f>IF(Table2[[#This Row],[Manual Cat Value]]="",VLOOKUP(Table2[[#This Row],[Description]],'Actuals Lookup'!D:F,3,0),VLOOKUP(Table2[[#This Row],[Manual Cat Value]],Lookup!A:B,2,0))</f>
        <v>Healthcare</v>
      </c>
      <c r="G11695" t="s">
        <v>28</v>
      </c>
      <c r="I11695" s="8"/>
      <c r="O11695" t="str">
        <f>LEFT(Table2[[#This Row],[Description]],75)</f>
        <v>Advocare</v>
      </c>
    </row>
    <row r="11696" spans="1:15" hidden="1">
      <c r="A11696" s="25">
        <v>202407</v>
      </c>
      <c r="B11696" s="6">
        <v>45482</v>
      </c>
      <c r="C11696" t="s">
        <v>5160</v>
      </c>
      <c r="D11696" t="s">
        <v>916</v>
      </c>
      <c r="E11696">
        <v>477.36</v>
      </c>
      <c r="F11696" s="2" t="str">
        <f>IF(Table2[[#This Row],[Manual Cat Value]]="",VLOOKUP(Table2[[#This Row],[Description]],'Actuals Lookup'!D:F,3,0),VLOOKUP(Table2[[#This Row],[Manual Cat Value]],Lookup!A:B,2,0))</f>
        <v>Delete</v>
      </c>
      <c r="G11696" t="s">
        <v>43</v>
      </c>
      <c r="I11696" s="8"/>
      <c r="O11696" t="str">
        <f>LEFT(Table2[[#This Row],[Description]],75)</f>
        <v>Hampton Inn</v>
      </c>
    </row>
    <row r="11697" spans="1:15" hidden="1">
      <c r="A11697" s="25">
        <v>202406</v>
      </c>
      <c r="B11697" s="6">
        <v>45467</v>
      </c>
      <c r="C11697" t="s">
        <v>5160</v>
      </c>
      <c r="D11697" t="s">
        <v>5496</v>
      </c>
      <c r="E11697">
        <v>123.53</v>
      </c>
      <c r="F11697" s="2" t="str">
        <f>IF(Table2[[#This Row],[Manual Cat Value]]="",VLOOKUP(Table2[[#This Row],[Description]],'Actuals Lookup'!D:F,3,0),VLOOKUP(Table2[[#This Row],[Manual Cat Value]],Lookup!A:B,2,0))</f>
        <v>Restaurants</v>
      </c>
      <c r="G11697" t="s">
        <v>48</v>
      </c>
      <c r="H11697" t="s">
        <v>25</v>
      </c>
      <c r="I11697" s="8"/>
      <c r="O11697" t="str">
        <f>LEFT(Table2[[#This Row],[Description]],75)</f>
        <v>Sunu Chiropractic</v>
      </c>
    </row>
    <row r="11698" spans="1:15" hidden="1">
      <c r="A11698">
        <v>202406</v>
      </c>
      <c r="B11698" s="6">
        <v>45467</v>
      </c>
      <c r="C11698" t="s">
        <v>2519</v>
      </c>
      <c r="D11698" t="s">
        <v>1955</v>
      </c>
      <c r="E11698">
        <v>5</v>
      </c>
      <c r="F11698" s="2" t="str">
        <f>IF(Table2[[#This Row],[Manual Cat Value]]="",VLOOKUP(Table2[[#This Row],[Description]],'Actuals Lookup'!D:F,3,0),VLOOKUP(Table2[[#This Row],[Manual Cat Value]],Lookup!A:B,2,0))</f>
        <v>Shopping</v>
      </c>
      <c r="I11698" s="8"/>
      <c r="O11698" t="str">
        <f>LEFT(Table2[[#This Row],[Description]],75)</f>
        <v>Transfer to PayPal</v>
      </c>
    </row>
    <row r="11699" spans="1:15" hidden="1">
      <c r="A11699">
        <v>202406</v>
      </c>
      <c r="B11699" s="6">
        <v>45467</v>
      </c>
      <c r="C11699" t="s">
        <v>2519</v>
      </c>
      <c r="D11699" t="s">
        <v>1955</v>
      </c>
      <c r="E11699">
        <v>2.65</v>
      </c>
      <c r="F11699" s="2" t="str">
        <f>IF(Table2[[#This Row],[Manual Cat Value]]="",VLOOKUP(Table2[[#This Row],[Description]],'Actuals Lookup'!D:F,3,0),VLOOKUP(Table2[[#This Row],[Manual Cat Value]],Lookup!A:B,2,0))</f>
        <v>Shopping</v>
      </c>
      <c r="I11699" s="8"/>
      <c r="O11699" t="str">
        <f>LEFT(Table2[[#This Row],[Description]],75)</f>
        <v>Transfer to PayPal</v>
      </c>
    </row>
    <row r="11700" spans="1:15" hidden="1">
      <c r="A11700">
        <v>202406</v>
      </c>
      <c r="B11700" s="6">
        <v>45467</v>
      </c>
      <c r="C11700" t="s">
        <v>2519</v>
      </c>
      <c r="D11700" t="s">
        <v>1955</v>
      </c>
      <c r="E11700">
        <v>1.64</v>
      </c>
      <c r="F11700" s="2" t="str">
        <f>IF(Table2[[#This Row],[Manual Cat Value]]="",VLOOKUP(Table2[[#This Row],[Description]],'Actuals Lookup'!D:F,3,0),VLOOKUP(Table2[[#This Row],[Manual Cat Value]],Lookup!A:B,2,0))</f>
        <v>Shopping</v>
      </c>
      <c r="I11700" s="8"/>
      <c r="O11700" t="str">
        <f>LEFT(Table2[[#This Row],[Description]],75)</f>
        <v>Transfer to PayPal</v>
      </c>
    </row>
    <row r="11701" spans="1:15" hidden="1">
      <c r="A11701">
        <v>202406</v>
      </c>
      <c r="B11701" s="6">
        <v>45467</v>
      </c>
      <c r="C11701" t="s">
        <v>2519</v>
      </c>
      <c r="D11701" t="s">
        <v>1958</v>
      </c>
      <c r="E11701">
        <v>180</v>
      </c>
      <c r="F11701" s="2" t="str">
        <f>IF(Table2[[#This Row],[Manual Cat Value]]="",VLOOKUP(Table2[[#This Row],[Description]],'Actuals Lookup'!D:F,3,0),VLOOKUP(Table2[[#This Row],[Manual Cat Value]],Lookup!A:B,2,0))</f>
        <v>Shopping</v>
      </c>
      <c r="I11701" s="8"/>
      <c r="O11701" t="str">
        <f>LEFT(Table2[[#This Row],[Description]],75)</f>
        <v>Transfer to Venmo</v>
      </c>
    </row>
    <row r="11702" spans="1:15" hidden="1">
      <c r="A11702" s="25">
        <v>202406</v>
      </c>
      <c r="B11702" s="6">
        <v>45468</v>
      </c>
      <c r="C11702" t="s">
        <v>3932</v>
      </c>
      <c r="D11702" t="s">
        <v>113</v>
      </c>
      <c r="E11702">
        <v>23.83</v>
      </c>
      <c r="F11702" s="2" t="str">
        <f>IF(Table2[[#This Row],[Manual Cat Value]]="",VLOOKUP(Table2[[#This Row],[Description]],'Actuals Lookup'!D:F,3,0),VLOOKUP(Table2[[#This Row],[Manual Cat Value]],Lookup!A:B,2,0))</f>
        <v>Amazon</v>
      </c>
      <c r="G11702" t="s">
        <v>38</v>
      </c>
      <c r="I11702" s="8"/>
      <c r="O11702" t="str">
        <f>LEFT(Table2[[#This Row],[Description]],75)</f>
        <v>Amazon Marketplace</v>
      </c>
    </row>
    <row r="11703" spans="1:15" hidden="1">
      <c r="A11703" s="25">
        <v>202407</v>
      </c>
      <c r="B11703" s="6">
        <v>45485</v>
      </c>
      <c r="C11703" t="s">
        <v>5160</v>
      </c>
      <c r="D11703" t="s">
        <v>916</v>
      </c>
      <c r="E11703">
        <v>292.58999999999997</v>
      </c>
      <c r="F11703" s="2" t="str">
        <f>IF(Table2[[#This Row],[Manual Cat Value]]="",VLOOKUP(Table2[[#This Row],[Description]],'Actuals Lookup'!D:F,3,0),VLOOKUP(Table2[[#This Row],[Manual Cat Value]],Lookup!A:B,2,0))</f>
        <v>Delete</v>
      </c>
      <c r="G11703" t="s">
        <v>43</v>
      </c>
      <c r="H11703" s="8" t="s">
        <v>9</v>
      </c>
      <c r="I11703" s="8"/>
      <c r="O11703" t="str">
        <f>LEFT(Table2[[#This Row],[Description]],75)</f>
        <v>Hampton Inn</v>
      </c>
    </row>
    <row r="11704" spans="1:15" hidden="1">
      <c r="A11704" s="25">
        <v>202406</v>
      </c>
      <c r="B11704" s="6">
        <v>45468</v>
      </c>
      <c r="C11704" t="s">
        <v>5160</v>
      </c>
      <c r="D11704" t="s">
        <v>1353</v>
      </c>
      <c r="E11704">
        <v>39.07</v>
      </c>
      <c r="F11704" s="2" t="str">
        <f>IF(Table2[[#This Row],[Manual Cat Value]]="",VLOOKUP(Table2[[#This Row],[Description]],'Actuals Lookup'!D:F,3,0),VLOOKUP(Table2[[#This Row],[Manual Cat Value]],Lookup!A:B,2,0))</f>
        <v>Restaurants</v>
      </c>
      <c r="G11704" t="s">
        <v>26</v>
      </c>
      <c r="I11704" s="8"/>
      <c r="O11704" t="str">
        <f>LEFT(Table2[[#This Row],[Description]],75)</f>
        <v>Noodles &amp; Company</v>
      </c>
    </row>
    <row r="11705" spans="1:15" hidden="1">
      <c r="A11705" s="25">
        <f>VALUE(YEAR(Table2[[#This Row],[Date]])&amp;TEXT(MONTH(Table2[[#This Row],[Date]]),"00"))</f>
        <v>202208</v>
      </c>
      <c r="B11705" s="6">
        <v>44774</v>
      </c>
      <c r="C11705" t="s">
        <v>2265</v>
      </c>
      <c r="D11705" t="s">
        <v>5497</v>
      </c>
      <c r="E11705">
        <f>IF(M11705="credit",-1*J11705,J11705)</f>
        <v>2572.94</v>
      </c>
      <c r="F11705" s="2" t="str">
        <f>IF(Table2[[#This Row],[Manual Cat Value]]="",VLOOKUP(Table2[[#This Row],[Description]],'Actuals Lookup'!D:F,3,0),Table2[[#This Row],[Manual Cat Value]])</f>
        <v>Exp - Rent</v>
      </c>
      <c r="G11705" t="e">
        <f>VLOOKUP(D11705,Lookup!G:H,2,0)</f>
        <v>#N/A</v>
      </c>
      <c r="H11705" s="8" t="s">
        <v>4</v>
      </c>
      <c r="I11705" s="8"/>
      <c r="J11705">
        <v>2572.94</v>
      </c>
      <c r="M11705" t="s">
        <v>2513</v>
      </c>
      <c r="O11705" t="str">
        <f>LEFT(Table2[[#This Row],[Description]],75)</f>
        <v>Withdrawal ACH BCU MORTGAGE TYPE: LOAN PAYMT ID: 9DRAFTING CO: BCU MORTGAGE</v>
      </c>
    </row>
    <row r="11706" spans="1:15" hidden="1">
      <c r="A11706" s="25">
        <v>202406</v>
      </c>
      <c r="B11706" s="6">
        <v>45469</v>
      </c>
      <c r="C11706" t="s">
        <v>5160</v>
      </c>
      <c r="D11706" t="s">
        <v>5374</v>
      </c>
      <c r="E11706">
        <v>24</v>
      </c>
      <c r="F11706" s="2" t="str">
        <f>IF(Table2[[#This Row],[Manual Cat Value]]="",VLOOKUP(Table2[[#This Row],[Description]],'Actuals Lookup'!D:F,3,0),VLOOKUP(Table2[[#This Row],[Manual Cat Value]],Lookup!A:B,2,0))</f>
        <v>Entertainment</v>
      </c>
      <c r="G11706" t="s">
        <v>62</v>
      </c>
      <c r="H11706" s="8" t="s">
        <v>39</v>
      </c>
      <c r="I11706" s="8"/>
      <c r="O11706" t="str">
        <f>LEFT(Table2[[#This Row],[Description]],75)</f>
        <v>Fsp*chaska Town Courchaska Mn</v>
      </c>
    </row>
    <row r="11707" spans="1:15" hidden="1">
      <c r="A11707">
        <v>202406</v>
      </c>
      <c r="B11707" s="6">
        <v>45469</v>
      </c>
      <c r="C11707" t="s">
        <v>2519</v>
      </c>
      <c r="D11707" t="s">
        <v>1355</v>
      </c>
      <c r="E11707">
        <v>139.74</v>
      </c>
      <c r="F11707" s="2" t="str">
        <f>IF(Table2[[#This Row],[Manual Cat Value]]="",VLOOKUP(Table2[[#This Row],[Description]],'Actuals Lookup'!D:F,3,0),VLOOKUP(Table2[[#This Row],[Manual Cat Value]],Lookup!A:B,2,0))</f>
        <v>Shopping</v>
      </c>
      <c r="I11707" s="8"/>
      <c r="O11707" t="str">
        <f>LEFT(Table2[[#This Row],[Description]],75)</f>
        <v>Nordstrom</v>
      </c>
    </row>
    <row r="11708" spans="1:15" hidden="1">
      <c r="A11708">
        <v>202406</v>
      </c>
      <c r="B11708" s="6">
        <v>45469</v>
      </c>
      <c r="C11708" t="s">
        <v>2519</v>
      </c>
      <c r="D11708" t="s">
        <v>4415</v>
      </c>
      <c r="E11708">
        <v>836.13</v>
      </c>
      <c r="F11708" s="2" t="str">
        <f>IF(Table2[[#This Row],[Manual Cat Value]]="",VLOOKUP(Table2[[#This Row],[Description]],'Actuals Lookup'!D:F,3,0),VLOOKUP(Table2[[#This Row],[Manual Cat Value]],Lookup!A:B,2,0))</f>
        <v>Target</v>
      </c>
      <c r="I11708" s="8"/>
      <c r="O11708" t="str">
        <f>LEFT(Table2[[#This Row],[Description]],75)</f>
        <v>Payment to Jeffrey B</v>
      </c>
    </row>
    <row r="11709" spans="1:15" hidden="1">
      <c r="A11709">
        <v>202406</v>
      </c>
      <c r="B11709" s="6">
        <v>45469</v>
      </c>
      <c r="C11709" t="s">
        <v>2519</v>
      </c>
      <c r="D11709" t="s">
        <v>4343</v>
      </c>
      <c r="E11709">
        <v>-3438.41</v>
      </c>
      <c r="F11709" s="2" t="str">
        <f>IF(Table2[[#This Row],[Manual Cat Value]]="",VLOOKUP(Table2[[#This Row],[Description]],'Actuals Lookup'!D:F,3,0),VLOOKUP(Table2[[#This Row],[Manual Cat Value]],Lookup!A:B,2,0))</f>
        <v>Jeff</v>
      </c>
      <c r="I11709" s="8"/>
      <c r="O11709" t="str">
        <f>LEFT(Table2[[#This Row],[Description]],75)</f>
        <v>Salary/Regular Income from TriNet</v>
      </c>
    </row>
    <row r="11710" spans="1:15" hidden="1">
      <c r="A11710">
        <v>202409</v>
      </c>
      <c r="B11710" s="6">
        <v>45556</v>
      </c>
      <c r="C11710" t="s">
        <v>130</v>
      </c>
      <c r="D11710" t="s">
        <v>5498</v>
      </c>
      <c r="E11710">
        <v>209.73</v>
      </c>
      <c r="F11710" s="2" t="str">
        <f>IF(Table2[[#This Row],[Manual Cat Value]]="",VLOOKUP(Table2[[#This Row],[Description]],'Actuals Lookup'!D:F,3,0),VLOOKUP(Table2[[#This Row],[Manual Cat Value]],Lookup!A:B,2,0))</f>
        <v>Delete</v>
      </c>
      <c r="H11710" s="8" t="s">
        <v>9</v>
      </c>
      <c r="I11710" s="8"/>
      <c r="O11710" t="str">
        <f>LEFT(Table2[[#This Row],[Description]],75)</f>
        <v>HAMPTON INN AND SUITEFFINGHAM           IL</v>
      </c>
    </row>
    <row r="11711" spans="1:15" hidden="1">
      <c r="A11711" s="25">
        <v>202406</v>
      </c>
      <c r="B11711" s="6">
        <v>45469</v>
      </c>
      <c r="C11711" t="s">
        <v>5160</v>
      </c>
      <c r="D11711" t="s">
        <v>5499</v>
      </c>
      <c r="E11711">
        <v>10.8</v>
      </c>
      <c r="F11711" s="2" t="str">
        <f>IF(Table2[[#This Row],[Manual Cat Value]]="",VLOOKUP(Table2[[#This Row],[Description]],'Actuals Lookup'!D:F,3,0),VLOOKUP(Table2[[#This Row],[Manual Cat Value]],Lookup!A:B,2,0))</f>
        <v>Misc</v>
      </c>
      <c r="G11711" t="s">
        <v>5500</v>
      </c>
      <c r="I11711" s="8"/>
      <c r="O11711" t="str">
        <f>LEFT(Table2[[#This Row],[Description]],75)</f>
        <v>Usps</v>
      </c>
    </row>
    <row r="11712" spans="1:15" hidden="1">
      <c r="A11712">
        <v>202406</v>
      </c>
      <c r="B11712" s="6">
        <v>45469</v>
      </c>
      <c r="C11712" t="s">
        <v>2519</v>
      </c>
      <c r="D11712" t="s">
        <v>5501</v>
      </c>
      <c r="E11712">
        <v>39.86</v>
      </c>
      <c r="F11712" s="2" t="str">
        <f>IF(Table2[[#This Row],[Manual Cat Value]]="",VLOOKUP(Table2[[#This Row],[Description]],'Actuals Lookup'!D:F,3,0),VLOOKUP(Table2[[#This Row],[Manual Cat Value]],Lookup!A:B,2,0))</f>
        <v>Utilities</v>
      </c>
      <c r="H11712" s="8" t="s">
        <v>6</v>
      </c>
      <c r="I11712" s="8"/>
      <c r="O11712" t="str">
        <f>LEFT(Table2[[#This Row],[Description]],75)</f>
        <v>Withdrawal ACH CPENERGY MNGCO TYPE: MGC ACH EB ID: 1XX1140S CO: CPENERGY MN</v>
      </c>
    </row>
    <row r="11713" spans="1:15" hidden="1">
      <c r="A11713">
        <v>202406</v>
      </c>
      <c r="B11713" s="6">
        <v>45469</v>
      </c>
      <c r="C11713" t="s">
        <v>2519</v>
      </c>
      <c r="D11713" t="s">
        <v>5502</v>
      </c>
      <c r="E11713">
        <v>278</v>
      </c>
      <c r="F11713" s="2" t="str">
        <f>IF(Table2[[#This Row],[Manual Cat Value]]="",VLOOKUP(Table2[[#This Row],[Description]],'Actuals Lookup'!D:F,3,0),VLOOKUP(Table2[[#This Row],[Manual Cat Value]],Lookup!A:B,2,0))</f>
        <v>Day Care</v>
      </c>
      <c r="H11713" t="s">
        <v>19</v>
      </c>
      <c r="I11713" s="8"/>
      <c r="O11713" t="str">
        <f>LEFT(Table2[[#This Row],[Description]],75)</f>
        <v xml:space="preserve">Withdrawal ACH RILEY CROSSING C TYPE: XX8412 ID: XX9040 CO: RILEY CROSSING </v>
      </c>
    </row>
    <row r="11714" spans="1:15" hidden="1">
      <c r="A11714" s="25">
        <v>202406</v>
      </c>
      <c r="B11714" s="6">
        <v>45470</v>
      </c>
      <c r="C11714" t="s">
        <v>5160</v>
      </c>
      <c r="D11714" t="s">
        <v>5503</v>
      </c>
      <c r="E11714">
        <v>10.81</v>
      </c>
      <c r="F11714" s="2" t="str">
        <f>IF(Table2[[#This Row],[Manual Cat Value]]="",VLOOKUP(Table2[[#This Row],[Description]],'Actuals Lookup'!D:F,3,0),VLOOKUP(Table2[[#This Row],[Manual Cat Value]],Lookup!A:B,2,0))</f>
        <v>Restaurants</v>
      </c>
      <c r="G11714" t="s">
        <v>26</v>
      </c>
      <c r="H11714" s="8" t="s">
        <v>25</v>
      </c>
      <c r="I11714" s="8"/>
      <c r="O11714" t="str">
        <f>LEFT(Table2[[#This Row],[Description]],75)</f>
        <v>Aplpay Tst* Oak 19 Fchaska Mn</v>
      </c>
    </row>
    <row r="11715" spans="1:15" hidden="1">
      <c r="A11715" s="25">
        <v>202406</v>
      </c>
      <c r="B11715" s="6">
        <v>45470</v>
      </c>
      <c r="C11715" t="s">
        <v>5160</v>
      </c>
      <c r="D11715" t="s">
        <v>5246</v>
      </c>
      <c r="E11715">
        <v>-294</v>
      </c>
      <c r="F11715" s="2" t="str">
        <f>IF(Table2[[#This Row],[Manual Cat Value]]="",VLOOKUP(Table2[[#This Row],[Description]],'Actuals Lookup'!D:F,3,0),VLOOKUP(Table2[[#This Row],[Manual Cat Value]],Lookup!A:B,2,0))</f>
        <v>Day Care</v>
      </c>
      <c r="G11715" t="s">
        <v>4722</v>
      </c>
      <c r="I11715" s="8"/>
      <c r="O11715" t="str">
        <f>LEFT(Table2[[#This Row],[Description]],75)</f>
        <v>Bcs*minnetonka Commuexcelsior Mn</v>
      </c>
    </row>
    <row r="11716" spans="1:15" hidden="1">
      <c r="A11716">
        <v>202409</v>
      </c>
      <c r="B11716" s="6">
        <v>45554</v>
      </c>
      <c r="C11716" t="s">
        <v>130</v>
      </c>
      <c r="D11716" t="s">
        <v>5504</v>
      </c>
      <c r="E11716">
        <v>357.74</v>
      </c>
      <c r="F11716" s="2" t="str">
        <f>IF(Table2[[#This Row],[Manual Cat Value]]="",VLOOKUP(Table2[[#This Row],[Description]],'Actuals Lookup'!D:F,3,0),VLOOKUP(Table2[[#This Row],[Manual Cat Value]],Lookup!A:B,2,0))</f>
        <v>Delete</v>
      </c>
      <c r="H11716" s="8" t="s">
        <v>9</v>
      </c>
      <c r="I11716" s="8"/>
      <c r="O11716" t="str">
        <f>LEFT(Table2[[#This Row],[Description]],75)</f>
        <v>HAMPTON INN AND SUITLEXINGTON           SC</v>
      </c>
    </row>
    <row r="11717" spans="1:15" hidden="1">
      <c r="A11717">
        <v>202406</v>
      </c>
      <c r="B11717" s="6">
        <v>45470</v>
      </c>
      <c r="C11717" t="s">
        <v>2519</v>
      </c>
      <c r="D11717" t="s">
        <v>5505</v>
      </c>
      <c r="E11717">
        <v>-1918.87</v>
      </c>
      <c r="F11717" s="2" t="str">
        <f>IF(Table2[[#This Row],[Manual Cat Value]]="",VLOOKUP(Table2[[#This Row],[Description]],'Actuals Lookup'!D:F,3,0),VLOOKUP(Table2[[#This Row],[Manual Cat Value]],Lookup!A:B,2,0))</f>
        <v>Jeff</v>
      </c>
      <c r="H11717" s="8" t="s">
        <v>63</v>
      </c>
      <c r="I11717" s="8"/>
      <c r="O11717" t="str">
        <f>LEFT(Table2[[#This Row],[Description]],75)</f>
        <v>Deposit ACH EMPYREAN SOLUTIO TYPE: XX9000 ID: XX3620 CO: EMPYREAN SOLUTIO E</v>
      </c>
    </row>
    <row r="11718" spans="1:15" hidden="1">
      <c r="A11718">
        <v>202409</v>
      </c>
      <c r="B11718" s="6">
        <v>45560</v>
      </c>
      <c r="C11718" t="s">
        <v>130</v>
      </c>
      <c r="D11718" t="s">
        <v>5506</v>
      </c>
      <c r="E11718">
        <v>40.26</v>
      </c>
      <c r="F11718" s="2" t="str">
        <f>IF(Table2[[#This Row],[Manual Cat Value]]="",VLOOKUP(Table2[[#This Row],[Description]],'Actuals Lookup'!D:F,3,0),VLOOKUP(Table2[[#This Row],[Manual Cat Value]],Lookup!A:B,2,0))</f>
        <v>Delete</v>
      </c>
      <c r="H11718" s="8" t="s">
        <v>9</v>
      </c>
      <c r="I11718" s="8"/>
      <c r="O11718" t="str">
        <f>LEFT(Table2[[#This Row],[Description]],75)</f>
        <v>HELLODELI           ALBUQUERQUE         NM</v>
      </c>
    </row>
    <row r="11719" spans="1:15" hidden="1">
      <c r="A11719" s="25">
        <v>202407</v>
      </c>
      <c r="B11719" s="6">
        <v>45490</v>
      </c>
      <c r="C11719" t="s">
        <v>5160</v>
      </c>
      <c r="D11719" t="s">
        <v>4997</v>
      </c>
      <c r="E11719">
        <v>312.49</v>
      </c>
      <c r="F11719" s="2" t="str">
        <f>IF(Table2[[#This Row],[Manual Cat Value]]="",VLOOKUP(Table2[[#This Row],[Description]],'Actuals Lookup'!D:F,3,0),VLOOKUP(Table2[[#This Row],[Manual Cat Value]],Lookup!A:B,2,0))</f>
        <v>Delete</v>
      </c>
      <c r="G11719" t="s">
        <v>43</v>
      </c>
      <c r="H11719" s="8" t="s">
        <v>9</v>
      </c>
      <c r="I11719" s="8"/>
      <c r="O11719" t="str">
        <f>LEFT(Table2[[#This Row],[Description]],75)</f>
        <v>Hilton Garden Inn</v>
      </c>
    </row>
    <row r="11720" spans="1:15" hidden="1">
      <c r="A11720">
        <v>202406</v>
      </c>
      <c r="B11720" s="6">
        <v>45470</v>
      </c>
      <c r="C11720" t="s">
        <v>2519</v>
      </c>
      <c r="D11720" t="s">
        <v>1955</v>
      </c>
      <c r="E11720">
        <v>21.25</v>
      </c>
      <c r="F11720" s="2" t="str">
        <f>IF(Table2[[#This Row],[Manual Cat Value]]="",VLOOKUP(Table2[[#This Row],[Description]],'Actuals Lookup'!D:F,3,0),VLOOKUP(Table2[[#This Row],[Manual Cat Value]],Lookup!A:B,2,0))</f>
        <v>Shopping</v>
      </c>
      <c r="I11720" s="8"/>
      <c r="O11720" t="str">
        <f>LEFT(Table2[[#This Row],[Description]],75)</f>
        <v>Transfer to PayPal</v>
      </c>
    </row>
    <row r="11721" spans="1:15" hidden="1">
      <c r="A11721" s="25">
        <v>202406</v>
      </c>
      <c r="B11721" s="6">
        <v>45470</v>
      </c>
      <c r="C11721" t="s">
        <v>5160</v>
      </c>
      <c r="D11721" t="s">
        <v>5507</v>
      </c>
      <c r="E11721">
        <v>53.15</v>
      </c>
      <c r="F11721" s="2" t="str">
        <f>IF(Table2[[#This Row],[Manual Cat Value]]="",VLOOKUP(Table2[[#This Row],[Description]],'Actuals Lookup'!D:F,3,0),VLOOKUP(Table2[[#This Row],[Manual Cat Value]],Lookup!A:B,2,0))</f>
        <v>Restaurants</v>
      </c>
      <c r="G11721" t="s">
        <v>26</v>
      </c>
      <c r="H11721" t="s">
        <v>25</v>
      </c>
      <c r="I11721" s="8"/>
      <c r="O11721" t="str">
        <f>LEFT(Table2[[#This Row],[Description]],75)</f>
        <v>Tst* Oak 19 Fare &amp; Rchaska Mn</v>
      </c>
    </row>
    <row r="11722" spans="1:15" hidden="1">
      <c r="A11722">
        <v>202409</v>
      </c>
      <c r="B11722" s="6">
        <v>45559</v>
      </c>
      <c r="C11722" t="s">
        <v>130</v>
      </c>
      <c r="D11722" t="s">
        <v>5508</v>
      </c>
      <c r="E11722">
        <v>312.32</v>
      </c>
      <c r="F11722" s="2" t="str">
        <f>IF(Table2[[#This Row],[Manual Cat Value]]="",VLOOKUP(Table2[[#This Row],[Description]],'Actuals Lookup'!D:F,3,0),VLOOKUP(Table2[[#This Row],[Manual Cat Value]],Lookup!A:B,2,0))</f>
        <v>Delete</v>
      </c>
      <c r="H11722" s="8" t="s">
        <v>9</v>
      </c>
      <c r="I11722" s="8"/>
      <c r="O11722" t="str">
        <f>LEFT(Table2[[#This Row],[Description]],75)</f>
        <v>HILTON GARDEN INN FTFORT MYERS          FL</v>
      </c>
    </row>
    <row r="11723" spans="1:15" hidden="1">
      <c r="A11723" s="25">
        <v>202406</v>
      </c>
      <c r="B11723" s="6">
        <v>45471</v>
      </c>
      <c r="C11723" t="s">
        <v>5160</v>
      </c>
      <c r="D11723" t="s">
        <v>1014</v>
      </c>
      <c r="E11723">
        <v>31.63</v>
      </c>
      <c r="F11723" s="2" t="str">
        <f>IF(Table2[[#This Row],[Manual Cat Value]]="",VLOOKUP(Table2[[#This Row],[Description]],'Actuals Lookup'!D:F,3,0),VLOOKUP(Table2[[#This Row],[Manual Cat Value]],Lookup!A:B,2,0))</f>
        <v>Restaurants</v>
      </c>
      <c r="G11723" t="s">
        <v>26</v>
      </c>
      <c r="I11723" s="8"/>
      <c r="O11723" t="str">
        <f>LEFT(Table2[[#This Row],[Description]],75)</f>
        <v>Jimmy John's</v>
      </c>
    </row>
    <row r="11724" spans="1:15" hidden="1">
      <c r="A11724">
        <v>202409</v>
      </c>
      <c r="B11724" s="6">
        <v>45551</v>
      </c>
      <c r="C11724" t="s">
        <v>130</v>
      </c>
      <c r="D11724" t="s">
        <v>5509</v>
      </c>
      <c r="E11724">
        <v>42.99</v>
      </c>
      <c r="F11724" s="2" t="str">
        <f>IF(Table2[[#This Row],[Manual Cat Value]]="",VLOOKUP(Table2[[#This Row],[Description]],'Actuals Lookup'!D:F,3,0),VLOOKUP(Table2[[#This Row],[Manual Cat Value]],Lookup!A:B,2,0))</f>
        <v>Delete</v>
      </c>
      <c r="H11724" s="8" t="s">
        <v>9</v>
      </c>
      <c r="I11724" s="8"/>
      <c r="O11724" t="str">
        <f>LEFT(Table2[[#This Row],[Description]],75)</f>
        <v>Hissho Term 1 Mall MST. PAUL            MN</v>
      </c>
    </row>
    <row r="11725" spans="1:15" hidden="1">
      <c r="A11725">
        <v>202406</v>
      </c>
      <c r="B11725" s="6">
        <v>45471</v>
      </c>
      <c r="C11725" t="s">
        <v>2519</v>
      </c>
      <c r="D11725" t="s">
        <v>4356</v>
      </c>
      <c r="E11725">
        <v>71.2</v>
      </c>
      <c r="F11725" s="2" t="str">
        <f>IF(Table2[[#This Row],[Manual Cat Value]]="",VLOOKUP(Table2[[#This Row],[Description]],'Actuals Lookup'!D:F,3,0),VLOOKUP(Table2[[#This Row],[Manual Cat Value]],Lookup!A:B,2,0))</f>
        <v>Insurance</v>
      </c>
      <c r="I11725" s="8"/>
      <c r="O11725" t="str">
        <f>LEFT(Table2[[#This Row],[Description]],75)</f>
        <v>Payment to American Family Insurance</v>
      </c>
    </row>
    <row r="11726" spans="1:15" hidden="1">
      <c r="A11726" s="25">
        <v>202408</v>
      </c>
      <c r="B11726" s="6">
        <v>45522</v>
      </c>
      <c r="C11726" t="s">
        <v>5160</v>
      </c>
      <c r="D11726" t="s">
        <v>945</v>
      </c>
      <c r="E11726">
        <v>43.03</v>
      </c>
      <c r="F11726" s="2" t="str">
        <f>IF(Table2[[#This Row],[Manual Cat Value]]="",VLOOKUP(Table2[[#This Row],[Description]],'Actuals Lookup'!D:F,3,0),VLOOKUP(Table2[[#This Row],[Manual Cat Value]],Lookup!A:B,2,0))</f>
        <v>Delete</v>
      </c>
      <c r="G11726" t="s">
        <v>28</v>
      </c>
      <c r="H11726" t="s">
        <v>9</v>
      </c>
      <c r="I11726" s="8"/>
      <c r="O11726" t="str">
        <f>LEFT(Table2[[#This Row],[Description]],75)</f>
        <v>Holiday Stationstores</v>
      </c>
    </row>
    <row r="11727" spans="1:15" hidden="1">
      <c r="A11727" s="25">
        <v>202406</v>
      </c>
      <c r="B11727" s="6">
        <v>45471</v>
      </c>
      <c r="C11727" t="s">
        <v>5160</v>
      </c>
      <c r="D11727" t="s">
        <v>1707</v>
      </c>
      <c r="E11727">
        <v>38.83</v>
      </c>
      <c r="F11727" s="2" t="str">
        <f>IF(Table2[[#This Row],[Manual Cat Value]]="",VLOOKUP(Table2[[#This Row],[Description]],'Actuals Lookup'!D:F,3,0),VLOOKUP(Table2[[#This Row],[Manual Cat Value]],Lookup!A:B,2,0))</f>
        <v>Transportation</v>
      </c>
      <c r="G11727" t="s">
        <v>23</v>
      </c>
      <c r="I11727" s="8"/>
      <c r="O11727" t="str">
        <f>LEFT(Table2[[#This Row],[Description]],75)</f>
        <v>Speedway</v>
      </c>
    </row>
    <row r="11728" spans="1:15" hidden="1">
      <c r="A11728">
        <v>202406</v>
      </c>
      <c r="B11728" s="6">
        <v>45471</v>
      </c>
      <c r="C11728" t="s">
        <v>3938</v>
      </c>
      <c r="D11728" t="s">
        <v>5510</v>
      </c>
      <c r="E11728">
        <v>63</v>
      </c>
      <c r="F11728" s="2" t="str">
        <f>IF(Table2[[#This Row],[Manual Cat Value]]="",VLOOKUP(Table2[[#This Row],[Description]],'Actuals Lookup'!D:F,3,0),VLOOKUP(Table2[[#This Row],[Manual Cat Value]],Lookup!A:B,2,0))</f>
        <v>Day Care</v>
      </c>
      <c r="H11728" s="8" t="s">
        <v>19</v>
      </c>
      <c r="I11728" s="8"/>
      <c r="O11728" t="str">
        <f>LEFT(Table2[[#This Row],[Description]],75)</f>
        <v>TONKA TD CLUB MINNETONKAFOOMN REF #XX9216J3000FMWX5</v>
      </c>
    </row>
    <row r="11729" spans="1:15" hidden="1">
      <c r="A11729">
        <v>202406</v>
      </c>
      <c r="B11729" s="6">
        <v>45471</v>
      </c>
      <c r="C11729" t="s">
        <v>2519</v>
      </c>
      <c r="D11729" t="s">
        <v>1955</v>
      </c>
      <c r="E11729">
        <v>0.99</v>
      </c>
      <c r="F11729" s="2" t="str">
        <f>IF(Table2[[#This Row],[Manual Cat Value]]="",VLOOKUP(Table2[[#This Row],[Description]],'Actuals Lookup'!D:F,3,0),VLOOKUP(Table2[[#This Row],[Manual Cat Value]],Lookup!A:B,2,0))</f>
        <v>Shopping</v>
      </c>
      <c r="I11729" s="8"/>
      <c r="O11729" t="str">
        <f>LEFT(Table2[[#This Row],[Description]],75)</f>
        <v>Transfer to PayPal</v>
      </c>
    </row>
    <row r="11730" spans="1:15" hidden="1">
      <c r="A11730" s="25">
        <v>202406</v>
      </c>
      <c r="B11730" s="6">
        <v>45471</v>
      </c>
      <c r="C11730" t="s">
        <v>5160</v>
      </c>
      <c r="D11730" t="s">
        <v>5511</v>
      </c>
      <c r="E11730">
        <v>24.4</v>
      </c>
      <c r="F11730" s="2" t="str">
        <f>IF(Table2[[#This Row],[Manual Cat Value]]="",VLOOKUP(Table2[[#This Row],[Description]],'Actuals Lookup'!D:F,3,0),VLOOKUP(Table2[[#This Row],[Manual Cat Value]],Lookup!A:B,2,0))</f>
        <v>Restaurants</v>
      </c>
      <c r="G11730" t="s">
        <v>11</v>
      </c>
      <c r="H11730" t="s">
        <v>25</v>
      </c>
      <c r="I11730" s="8"/>
      <c r="O11730" t="str">
        <f>LEFT(Table2[[#This Row],[Description]],75)</f>
        <v>Woody's</v>
      </c>
    </row>
    <row r="11731" spans="1:15" hidden="1">
      <c r="A11731" s="25">
        <v>202406</v>
      </c>
      <c r="B11731" s="6">
        <v>45472</v>
      </c>
      <c r="C11731" t="s">
        <v>5160</v>
      </c>
      <c r="D11731" t="s">
        <v>5512</v>
      </c>
      <c r="E11731">
        <v>4</v>
      </c>
      <c r="F11731" s="2" t="str">
        <f>IF(Table2[[#This Row],[Manual Cat Value]]="",VLOOKUP(Table2[[#This Row],[Description]],'Actuals Lookup'!D:F,3,0),VLOOKUP(Table2[[#This Row],[Manual Cat Value]],Lookup!A:B,2,0))</f>
        <v>Utilities</v>
      </c>
      <c r="G11731" t="s">
        <v>62</v>
      </c>
      <c r="H11731" s="8" t="s">
        <v>6</v>
      </c>
      <c r="I11731" s="8"/>
      <c r="O11731" t="str">
        <f>LEFT(Table2[[#This Row],[Description]],75)</f>
        <v>Google*svcsgns.x349- G.co Helppay#</v>
      </c>
    </row>
    <row r="11732" spans="1:15" hidden="1">
      <c r="A11732">
        <v>202406</v>
      </c>
      <c r="B11732" s="6">
        <v>45473</v>
      </c>
      <c r="C11732" t="s">
        <v>3938</v>
      </c>
      <c r="D11732" t="s">
        <v>38</v>
      </c>
      <c r="E11732">
        <v>-14.08</v>
      </c>
      <c r="F11732" s="2" t="str">
        <f>IF(Table2[[#This Row],[Manual Cat Value]]="",VLOOKUP(Table2[[#This Row],[Description]],'Actuals Lookup'!D:F,3,0),VLOOKUP(Table2[[#This Row],[Manual Cat Value]],Lookup!A:B,2,0))</f>
        <v>Amazon</v>
      </c>
      <c r="I11732" s="8"/>
      <c r="O11732" t="str">
        <f>LEFT(Table2[[#This Row],[Description]],75)</f>
        <v>Amazon</v>
      </c>
    </row>
    <row r="11733" spans="1:15" hidden="1">
      <c r="A11733">
        <v>202406</v>
      </c>
      <c r="B11733" s="6">
        <v>45473</v>
      </c>
      <c r="C11733" t="s">
        <v>3938</v>
      </c>
      <c r="D11733" t="s">
        <v>38</v>
      </c>
      <c r="E11733">
        <v>-4.43</v>
      </c>
      <c r="F11733" s="2" t="str">
        <f>IF(Table2[[#This Row],[Manual Cat Value]]="",VLOOKUP(Table2[[#This Row],[Description]],'Actuals Lookup'!D:F,3,0),VLOOKUP(Table2[[#This Row],[Manual Cat Value]],Lookup!A:B,2,0))</f>
        <v>Amazon</v>
      </c>
      <c r="I11733" s="8"/>
      <c r="O11733" t="str">
        <f>LEFT(Table2[[#This Row],[Description]],75)</f>
        <v>Amazon</v>
      </c>
    </row>
    <row r="11734" spans="1:15" hidden="1">
      <c r="A11734">
        <v>202406</v>
      </c>
      <c r="B11734" s="6">
        <v>45473</v>
      </c>
      <c r="C11734" t="s">
        <v>2519</v>
      </c>
      <c r="D11734" t="s">
        <v>2896</v>
      </c>
      <c r="E11734">
        <v>-2.25</v>
      </c>
      <c r="F11734" s="2" t="str">
        <f>IF(Table2[[#This Row],[Manual Cat Value]]="",VLOOKUP(Table2[[#This Row],[Description]],'Actuals Lookup'!D:F,3,0),VLOOKUP(Table2[[#This Row],[Manual Cat Value]],Lookup!A:B,2,0))</f>
        <v>Inc - Other</v>
      </c>
      <c r="I11734" s="8"/>
      <c r="O11734" t="str">
        <f>LEFT(Table2[[#This Row],[Description]],75)</f>
        <v>Deposit ATM FEE REFUND</v>
      </c>
    </row>
    <row r="11735" spans="1:15" hidden="1">
      <c r="A11735">
        <v>202406</v>
      </c>
      <c r="B11735" s="6">
        <v>45473</v>
      </c>
      <c r="C11735" t="s">
        <v>2519</v>
      </c>
      <c r="D11735" t="s">
        <v>5513</v>
      </c>
      <c r="E11735">
        <v>-48.49</v>
      </c>
      <c r="F11735" s="2" t="str">
        <f>IF(Table2[[#This Row],[Manual Cat Value]]="",VLOOKUP(Table2[[#This Row],[Description]],'Actuals Lookup'!D:F,3,0),VLOOKUP(Table2[[#This Row],[Manual Cat Value]],Lookup!A:B,2,0))</f>
        <v>Inc - Other</v>
      </c>
      <c r="H11735" s="8" t="s">
        <v>16</v>
      </c>
      <c r="I11735" s="8"/>
      <c r="O11735" t="str">
        <f>LEFT(Table2[[#This Row],[Description]],75)</f>
        <v>Deposit Dividend Split Rate Annual Percentage Yield Earned 2.73% from 06/01</v>
      </c>
    </row>
    <row r="11736" spans="1:15" hidden="1">
      <c r="A11736" s="25">
        <v>202406</v>
      </c>
      <c r="B11736" s="6">
        <v>45473</v>
      </c>
      <c r="C11736" t="s">
        <v>5160</v>
      </c>
      <c r="D11736" t="s">
        <v>5462</v>
      </c>
      <c r="E11736">
        <v>95.29</v>
      </c>
      <c r="F11736" s="2" t="str">
        <f>IF(Table2[[#This Row],[Manual Cat Value]]="",VLOOKUP(Table2[[#This Row],[Description]],'Actuals Lookup'!D:F,3,0),VLOOKUP(Table2[[#This Row],[Manual Cat Value]],Lookup!A:B,2,0))</f>
        <v>Groceries</v>
      </c>
      <c r="G11736" t="s">
        <v>28</v>
      </c>
      <c r="H11736" t="s">
        <v>27</v>
      </c>
      <c r="I11736" s="8"/>
      <c r="O11736" t="str">
        <f>LEFT(Table2[[#This Row],[Description]],75)</f>
        <v>Von Hanson's Meats</v>
      </c>
    </row>
    <row r="11737" spans="1:15" hidden="1">
      <c r="A11737">
        <v>202407</v>
      </c>
      <c r="B11737" s="6">
        <v>45474</v>
      </c>
      <c r="C11737" t="s">
        <v>3938</v>
      </c>
      <c r="D11737" t="s">
        <v>5514</v>
      </c>
      <c r="E11737">
        <v>6.49</v>
      </c>
      <c r="F11737" s="2" t="str">
        <f>IF(Table2[[#This Row],[Manual Cat Value]]="",VLOOKUP(Table2[[#This Row],[Description]],'Actuals Lookup'!D:F,3,0),VLOOKUP(Table2[[#This Row],[Manual Cat Value]],Lookup!A:B,2,0))</f>
        <v>Amazon</v>
      </c>
      <c r="H11737" t="s">
        <v>37</v>
      </c>
      <c r="I11737" s="8"/>
      <c r="O11737" t="str">
        <f>LEFT(Table2[[#This Row],[Description]],75)</f>
        <v>Amazon Music*R71CA03K0 XX-3080 WA REF #XX9216J72ZVAWLMK</v>
      </c>
    </row>
    <row r="11738" spans="1:15" hidden="1">
      <c r="A11738" s="25">
        <v>202407</v>
      </c>
      <c r="B11738" s="6">
        <v>45474</v>
      </c>
      <c r="C11738" t="s">
        <v>5160</v>
      </c>
      <c r="D11738" t="s">
        <v>692</v>
      </c>
      <c r="E11738">
        <v>26.5</v>
      </c>
      <c r="F11738" s="2" t="str">
        <f>IF(Table2[[#This Row],[Manual Cat Value]]="",VLOOKUP(Table2[[#This Row],[Description]],'Actuals Lookup'!D:F,3,0),VLOOKUP(Table2[[#This Row],[Manual Cat Value]],Lookup!A:B,2,0))</f>
        <v>Restaurants</v>
      </c>
      <c r="G11738" t="s">
        <v>26</v>
      </c>
      <c r="I11738" s="8"/>
      <c r="O11738" t="str">
        <f>LEFT(Table2[[#This Row],[Description]],75)</f>
        <v>Dairy Queen</v>
      </c>
    </row>
    <row r="11739" spans="1:15" hidden="1">
      <c r="A11739">
        <v>202407</v>
      </c>
      <c r="B11739" s="6">
        <v>45474</v>
      </c>
      <c r="C11739" t="s">
        <v>2519</v>
      </c>
      <c r="D11739" t="s">
        <v>5148</v>
      </c>
      <c r="E11739">
        <v>196.58</v>
      </c>
      <c r="F11739" s="2" t="str">
        <f>IF(Table2[[#This Row],[Manual Cat Value]]="",VLOOKUP(Table2[[#This Row],[Description]],'Actuals Lookup'!D:F,3,0),VLOOKUP(Table2[[#This Row],[Manual Cat Value]],Lookup!A:B,2,0))</f>
        <v>Utilities</v>
      </c>
      <c r="I11739" s="8"/>
      <c r="O11739" t="str">
        <f>LEFT(Table2[[#This Row],[Description]],75)</f>
        <v>Payment to AT&amp;T</v>
      </c>
    </row>
    <row r="11740" spans="1:15" hidden="1">
      <c r="A11740">
        <v>202407</v>
      </c>
      <c r="B11740" s="6">
        <v>45474</v>
      </c>
      <c r="C11740" t="s">
        <v>2519</v>
      </c>
      <c r="D11740" t="s">
        <v>1460</v>
      </c>
      <c r="E11740">
        <v>2741.74</v>
      </c>
      <c r="F11740" s="2" t="str">
        <f>IF(Table2[[#This Row],[Manual Cat Value]]="",VLOOKUP(Table2[[#This Row],[Description]],'Actuals Lookup'!D:F,3,0),VLOOKUP(Table2[[#This Row],[Manual Cat Value]],Lookup!A:B,2,0))</f>
        <v>Rent</v>
      </c>
      <c r="I11740" s="8"/>
      <c r="O11740" t="str">
        <f>LEFT(Table2[[#This Row],[Description]],75)</f>
        <v>Payment to Baxter Credit Union</v>
      </c>
    </row>
    <row r="11741" spans="1:15" hidden="1">
      <c r="A11741" s="25">
        <v>202407</v>
      </c>
      <c r="B11741" s="6">
        <v>45474</v>
      </c>
      <c r="C11741" t="s">
        <v>5160</v>
      </c>
      <c r="D11741" t="s">
        <v>5515</v>
      </c>
      <c r="E11741">
        <v>35</v>
      </c>
      <c r="F11741" s="2" t="str">
        <f>IF(Table2[[#This Row],[Manual Cat Value]]="",VLOOKUP(Table2[[#This Row],[Description]],'Actuals Lookup'!D:F,3,0),VLOOKUP(Table2[[#This Row],[Manual Cat Value]],Lookup!A:B,2,0))</f>
        <v>Restaurants</v>
      </c>
      <c r="G11741" t="s">
        <v>26</v>
      </c>
      <c r="H11741" t="s">
        <v>25</v>
      </c>
      <c r="I11741" s="8"/>
      <c r="O11741" t="str">
        <f>LEFT(Table2[[#This Row],[Description]],75)</f>
        <v>Pryes Brewing Companminneapolis Mn</v>
      </c>
    </row>
    <row r="11742" spans="1:15" hidden="1">
      <c r="A11742">
        <v>202407</v>
      </c>
      <c r="B11742" s="6">
        <v>45474</v>
      </c>
      <c r="C11742" t="s">
        <v>2519</v>
      </c>
      <c r="D11742" t="s">
        <v>4716</v>
      </c>
      <c r="E11742">
        <v>650</v>
      </c>
      <c r="F11742" s="2" t="str">
        <f>IF(Table2[[#This Row],[Manual Cat Value]]="",VLOOKUP(Table2[[#This Row],[Description]],'Actuals Lookup'!D:F,3,0),VLOOKUP(Table2[[#This Row],[Manual Cat Value]],Lookup!A:B,2,0))</f>
        <v>College Savings</v>
      </c>
      <c r="H11742" t="s">
        <v>60</v>
      </c>
      <c r="I11742" s="8"/>
      <c r="O11742" t="str">
        <f>LEFT(Table2[[#This Row],[Description]],75)</f>
        <v>Transfer to College Station</v>
      </c>
    </row>
    <row r="11743" spans="1:15" hidden="1">
      <c r="A11743">
        <v>202407</v>
      </c>
      <c r="B11743" s="6">
        <v>45475</v>
      </c>
      <c r="C11743" t="s">
        <v>3938</v>
      </c>
      <c r="D11743" t="s">
        <v>5249</v>
      </c>
      <c r="E11743">
        <v>95</v>
      </c>
      <c r="F11743" s="2" t="str">
        <f>IF(Table2[[#This Row],[Manual Cat Value]]="",VLOOKUP(Table2[[#This Row],[Description]],'Actuals Lookup'!D:F,3,0),VLOOKUP(Table2[[#This Row],[Manual Cat Value]],Lookup!A:B,2,0))</f>
        <v>Entertainment</v>
      </c>
      <c r="I11743" s="8"/>
      <c r="O11743" t="str">
        <f>LEFT(Table2[[#This Row],[Description]],75)</f>
        <v>Anna Nails</v>
      </c>
    </row>
    <row r="11744" spans="1:15" hidden="1">
      <c r="A11744" s="25">
        <v>202407</v>
      </c>
      <c r="B11744" s="6">
        <v>45475</v>
      </c>
      <c r="C11744" t="s">
        <v>5160</v>
      </c>
      <c r="D11744" t="s">
        <v>5515</v>
      </c>
      <c r="E11744">
        <v>75.75</v>
      </c>
      <c r="F11744" s="2" t="str">
        <f>IF(Table2[[#This Row],[Manual Cat Value]]="",VLOOKUP(Table2[[#This Row],[Description]],'Actuals Lookup'!D:F,3,0),VLOOKUP(Table2[[#This Row],[Manual Cat Value]],Lookup!A:B,2,0))</f>
        <v>Restaurants</v>
      </c>
      <c r="G11744" t="s">
        <v>26</v>
      </c>
      <c r="H11744" t="s">
        <v>25</v>
      </c>
      <c r="I11744" s="8"/>
      <c r="O11744" t="str">
        <f>LEFT(Table2[[#This Row],[Description]],75)</f>
        <v>Pryes Brewing Companminneapolis Mn</v>
      </c>
    </row>
    <row r="11745" spans="1:15" hidden="1">
      <c r="A11745" s="25">
        <v>202407</v>
      </c>
      <c r="B11745" s="6">
        <v>45476</v>
      </c>
      <c r="C11745" t="s">
        <v>5160</v>
      </c>
      <c r="D11745" t="s">
        <v>5417</v>
      </c>
      <c r="E11745">
        <v>455.07</v>
      </c>
      <c r="F11745" s="2" t="str">
        <f>IF(Table2[[#This Row],[Manual Cat Value]]="",VLOOKUP(Table2[[#This Row],[Description]],'Actuals Lookup'!D:F,3,0),VLOOKUP(Table2[[#This Row],[Manual Cat Value]],Lookup!A:B,2,0))</f>
        <v>Shopping</v>
      </c>
      <c r="G11745" t="s">
        <v>41</v>
      </c>
      <c r="H11745" s="8" t="s">
        <v>36</v>
      </c>
      <c r="I11745" s="8"/>
      <c r="O11745" t="str">
        <f>LEFT(Table2[[#This Row],[Description]],75)</f>
        <v>Backcountry.com</v>
      </c>
    </row>
    <row r="11746" spans="1:15" hidden="1">
      <c r="A11746" s="25">
        <v>202407</v>
      </c>
      <c r="B11746" s="6">
        <v>45476</v>
      </c>
      <c r="C11746" t="s">
        <v>5160</v>
      </c>
      <c r="D11746" t="s">
        <v>5417</v>
      </c>
      <c r="E11746">
        <v>89.64</v>
      </c>
      <c r="F11746" s="2" t="str">
        <f>IF(Table2[[#This Row],[Manual Cat Value]]="",VLOOKUP(Table2[[#This Row],[Description]],'Actuals Lookup'!D:F,3,0),VLOOKUP(Table2[[#This Row],[Manual Cat Value]],Lookup!A:B,2,0))</f>
        <v>Shopping</v>
      </c>
      <c r="G11746" t="s">
        <v>41</v>
      </c>
      <c r="H11746" s="8" t="s">
        <v>36</v>
      </c>
      <c r="I11746" s="8"/>
      <c r="O11746" t="str">
        <f>LEFT(Table2[[#This Row],[Description]],75)</f>
        <v>Backcountry.com</v>
      </c>
    </row>
    <row r="11747" spans="1:15" hidden="1">
      <c r="A11747">
        <v>202407</v>
      </c>
      <c r="B11747" s="6">
        <v>45476</v>
      </c>
      <c r="C11747" t="s">
        <v>2519</v>
      </c>
      <c r="D11747" t="s">
        <v>5516</v>
      </c>
      <c r="E11747">
        <v>278</v>
      </c>
      <c r="F11747" s="2" t="str">
        <f>IF(Table2[[#This Row],[Manual Cat Value]]="",VLOOKUP(Table2[[#This Row],[Description]],'Actuals Lookup'!D:F,3,0),VLOOKUP(Table2[[#This Row],[Manual Cat Value]],Lookup!A:B,2,0))</f>
        <v>Day Care</v>
      </c>
      <c r="H11747" t="s">
        <v>19</v>
      </c>
      <c r="I11747" s="8"/>
      <c r="O11747" t="str">
        <f>LEFT(Table2[[#This Row],[Description]],75)</f>
        <v xml:space="preserve">Withdrawal ACH RILEY CROSSING C TYPE: XX8412 ID: XX9040 CO: RILEY CROSSING </v>
      </c>
    </row>
    <row r="11748" spans="1:15" hidden="1">
      <c r="A11748" s="25">
        <v>202407</v>
      </c>
      <c r="B11748" s="6">
        <v>45477</v>
      </c>
      <c r="C11748" t="s">
        <v>5160</v>
      </c>
      <c r="D11748" t="s">
        <v>5517</v>
      </c>
      <c r="E11748">
        <v>68.459999999999994</v>
      </c>
      <c r="F11748" s="2" t="str">
        <f>IF(Table2[[#This Row],[Manual Cat Value]]="",VLOOKUP(Table2[[#This Row],[Description]],'Actuals Lookup'!D:F,3,0),VLOOKUP(Table2[[#This Row],[Manual Cat Value]],Lookup!A:B,2,0))</f>
        <v>Restaurants</v>
      </c>
      <c r="G11748" t="s">
        <v>26</v>
      </c>
      <c r="H11748" s="8" t="s">
        <v>25</v>
      </c>
      <c r="I11748" s="8"/>
      <c r="O11748" t="str">
        <f>LEFT(Table2[[#This Row],[Description]],75)</f>
        <v>Aplpay Tst* Balsam Lbalsam Lake Wi</v>
      </c>
    </row>
    <row r="11749" spans="1:15" hidden="1">
      <c r="A11749">
        <v>202407</v>
      </c>
      <c r="B11749" s="6">
        <v>45477</v>
      </c>
      <c r="C11749" t="s">
        <v>2519</v>
      </c>
      <c r="D11749" t="s">
        <v>404</v>
      </c>
      <c r="E11749">
        <v>-2666.32</v>
      </c>
      <c r="F11749" s="2" t="str">
        <f>IF(Table2[[#This Row],[Manual Cat Value]]="",VLOOKUP(Table2[[#This Row],[Description]],'Actuals Lookup'!D:F,3,0),VLOOKUP(Table2[[#This Row],[Manual Cat Value]],Lookup!A:B,2,0))</f>
        <v>Britney</v>
      </c>
      <c r="I11749" s="8"/>
      <c r="O11749" t="str">
        <f>LEFT(Table2[[#This Row],[Description]],75)</f>
        <v>Cargill Inc Deposit</v>
      </c>
    </row>
    <row r="11750" spans="1:15" hidden="1">
      <c r="A11750" s="25">
        <v>202406</v>
      </c>
      <c r="B11750" s="6">
        <v>45448</v>
      </c>
      <c r="C11750" t="s">
        <v>5160</v>
      </c>
      <c r="D11750" t="s">
        <v>5518</v>
      </c>
      <c r="E11750">
        <v>233.88</v>
      </c>
      <c r="F11750" s="2" t="str">
        <f>IF(Table2[[#This Row],[Manual Cat Value]]="",VLOOKUP(Table2[[#This Row],[Description]],'Actuals Lookup'!D:F,3,0),VLOOKUP(Table2[[#This Row],[Manual Cat Value]],Lookup!A:B,2,0))</f>
        <v>Delete</v>
      </c>
      <c r="G11750" t="s">
        <v>43</v>
      </c>
      <c r="H11750" s="8" t="s">
        <v>9</v>
      </c>
      <c r="I11750" s="8"/>
      <c r="O11750" t="str">
        <f>LEFT(Table2[[#This Row],[Description]],75)</f>
        <v>Home2 Suites</v>
      </c>
    </row>
    <row r="11751" spans="1:15" hidden="1">
      <c r="A11751">
        <v>202407</v>
      </c>
      <c r="B11751" s="6">
        <v>45477</v>
      </c>
      <c r="C11751" t="s">
        <v>2519</v>
      </c>
      <c r="D11751" t="s">
        <v>5519</v>
      </c>
      <c r="E11751">
        <v>-1112.95</v>
      </c>
      <c r="F11751" s="2" t="str">
        <f>IF(Table2[[#This Row],[Manual Cat Value]]="",VLOOKUP(Table2[[#This Row],[Description]],'Actuals Lookup'!D:F,3,0),VLOOKUP(Table2[[#This Row],[Manual Cat Value]],Lookup!A:B,2,0))</f>
        <v>Jeff</v>
      </c>
      <c r="H11751" s="8" t="s">
        <v>63</v>
      </c>
      <c r="I11751" s="8"/>
      <c r="O11751" t="str">
        <f>LEFT(Table2[[#This Row],[Description]],75)</f>
        <v>Deposit ACH EMPYREAN SOLUTIO TYPE: XX9000 ID: XX3620 CO: EMPYREAN SOLUTIO E</v>
      </c>
    </row>
    <row r="11752" spans="1:15" hidden="1">
      <c r="A11752" s="25">
        <v>202407</v>
      </c>
      <c r="B11752" s="6">
        <v>45478</v>
      </c>
      <c r="C11752" t="s">
        <v>5160</v>
      </c>
      <c r="D11752" t="s">
        <v>5520</v>
      </c>
      <c r="E11752">
        <v>100.13</v>
      </c>
      <c r="F11752" s="2" t="str">
        <f>IF(Table2[[#This Row],[Manual Cat Value]]="",VLOOKUP(Table2[[#This Row],[Description]],'Actuals Lookup'!D:F,3,0),VLOOKUP(Table2[[#This Row],[Manual Cat Value]],Lookup!A:B,2,0))</f>
        <v>Restaurants</v>
      </c>
      <c r="G11752" t="s">
        <v>28</v>
      </c>
      <c r="H11752" s="8" t="s">
        <v>25</v>
      </c>
      <c r="I11752" s="8"/>
      <c r="O11752" t="str">
        <f>LEFT(Table2[[#This Row],[Description]],75)</f>
        <v>Aplpay Wayne's Foodsluck Wi</v>
      </c>
    </row>
    <row r="11753" spans="1:15" hidden="1">
      <c r="A11753" s="25">
        <v>202407</v>
      </c>
      <c r="B11753" s="6">
        <v>45478</v>
      </c>
      <c r="C11753" t="s">
        <v>5160</v>
      </c>
      <c r="D11753" t="s">
        <v>854</v>
      </c>
      <c r="E11753">
        <v>168.5</v>
      </c>
      <c r="F11753" s="2" t="str">
        <f>IF(Table2[[#This Row],[Manual Cat Value]]="",VLOOKUP(Table2[[#This Row],[Description]],'Actuals Lookup'!D:F,3,0),VLOOKUP(Table2[[#This Row],[Manual Cat Value]],Lookup!A:B,2,0))</f>
        <v>Shopping</v>
      </c>
      <c r="G11753" t="s">
        <v>21</v>
      </c>
      <c r="I11753" s="8"/>
      <c r="O11753" t="str">
        <f>LEFT(Table2[[#This Row],[Description]],75)</f>
        <v>Free Fly Apparel</v>
      </c>
    </row>
    <row r="11754" spans="1:15" hidden="1">
      <c r="A11754" s="25">
        <v>202407</v>
      </c>
      <c r="B11754" s="6">
        <v>45479</v>
      </c>
      <c r="C11754" t="s">
        <v>5160</v>
      </c>
      <c r="D11754" t="s">
        <v>4837</v>
      </c>
      <c r="E11754">
        <v>20.83</v>
      </c>
      <c r="F11754" s="2" t="str">
        <f>IF(Table2[[#This Row],[Manual Cat Value]]="",VLOOKUP(Table2[[#This Row],[Description]],'Actuals Lookup'!D:F,3,0),VLOOKUP(Table2[[#This Row],[Manual Cat Value]],Lookup!A:B,2,0))</f>
        <v>Entertainment</v>
      </c>
      <c r="G11754" t="s">
        <v>40</v>
      </c>
      <c r="I11754" s="8"/>
      <c r="O11754" t="str">
        <f>LEFT(Table2[[#This Row],[Description]],75)</f>
        <v>Balsam Lake</v>
      </c>
    </row>
    <row r="11755" spans="1:15" hidden="1">
      <c r="A11755" s="25">
        <v>202407</v>
      </c>
      <c r="B11755" s="6">
        <v>45479</v>
      </c>
      <c r="C11755" t="s">
        <v>5160</v>
      </c>
      <c r="D11755" t="s">
        <v>5521</v>
      </c>
      <c r="E11755">
        <v>10.91</v>
      </c>
      <c r="F11755" s="2" t="str">
        <f>IF(Table2[[#This Row],[Manual Cat Value]]="",VLOOKUP(Table2[[#This Row],[Description]],'Actuals Lookup'!D:F,3,0),VLOOKUP(Table2[[#This Row],[Manual Cat Value]],Lookup!A:B,2,0))</f>
        <v>Shopping</v>
      </c>
      <c r="G11755" t="s">
        <v>4745</v>
      </c>
      <c r="H11755" s="8" t="s">
        <v>36</v>
      </c>
      <c r="I11755" s="8"/>
      <c r="O11755" t="str">
        <f>LEFT(Table2[[#This Row],[Description]],75)</f>
        <v>Hopsack Llc Balsam Lake Mn</v>
      </c>
    </row>
    <row r="11756" spans="1:15" hidden="1">
      <c r="A11756">
        <v>202409</v>
      </c>
      <c r="B11756" s="6">
        <v>45561</v>
      </c>
      <c r="C11756" t="s">
        <v>130</v>
      </c>
      <c r="D11756" t="s">
        <v>5522</v>
      </c>
      <c r="E11756">
        <v>558.23</v>
      </c>
      <c r="F11756" s="2" t="str">
        <f>IF(Table2[[#This Row],[Manual Cat Value]]="",VLOOKUP(Table2[[#This Row],[Description]],'Actuals Lookup'!D:F,3,0),VLOOKUP(Table2[[#This Row],[Manual Cat Value]],Lookup!A:B,2,0))</f>
        <v>Delete</v>
      </c>
      <c r="H11756" s="8" t="s">
        <v>9</v>
      </c>
      <c r="I11756" s="8"/>
      <c r="O11756" t="str">
        <f>LEFT(Table2[[#This Row],[Description]],75)</f>
        <v>HOMEWOOD SUITES ABQ ALBUQUERQUE         NM</v>
      </c>
    </row>
    <row r="11757" spans="1:15" hidden="1">
      <c r="A11757">
        <v>202407</v>
      </c>
      <c r="B11757" s="6">
        <v>45480</v>
      </c>
      <c r="C11757" t="s">
        <v>2281</v>
      </c>
      <c r="D11757" t="s">
        <v>14</v>
      </c>
      <c r="E11757">
        <f>125*2</f>
        <v>250</v>
      </c>
      <c r="F11757" s="2" t="str">
        <f>IF(Table2[[#This Row],[Manual Cat Value]]="",VLOOKUP(Table2[[#This Row],[Description]],'Actuals Lookup'!D:F,3,0),VLOOKUP(Table2[[#This Row],[Manual Cat Value]],Lookup!A:B,2,0))</f>
        <v>Cleaning</v>
      </c>
      <c r="H11757" s="8" t="s">
        <v>13</v>
      </c>
      <c r="I11757" s="8"/>
      <c r="O11757" t="str">
        <f>LEFT(Table2[[#This Row],[Description]],75)</f>
        <v>Cleaning</v>
      </c>
    </row>
    <row r="11758" spans="1:15" hidden="1">
      <c r="A11758">
        <v>202402</v>
      </c>
      <c r="B11758" s="6">
        <v>45330</v>
      </c>
      <c r="C11758" t="s">
        <v>3932</v>
      </c>
      <c r="D11758" t="s">
        <v>3988</v>
      </c>
      <c r="E11758">
        <v>-474.32</v>
      </c>
      <c r="F11758" s="2" t="str">
        <f>IF(Table2[[#This Row],[Manual Cat Value]]="",VLOOKUP(Table2[[#This Row],[Description]],'Actuals Lookup'!D:F,3,0),VLOOKUP(Table2[[#This Row],[Manual Cat Value]],Lookup!A:B,2,0))</f>
        <v>Delete</v>
      </c>
      <c r="G11758" t="s">
        <v>8</v>
      </c>
      <c r="I11758" s="8"/>
      <c r="O11758" t="str">
        <f>LEFT(Table2[[#This Row],[Description]],75)</f>
        <v>Internet Payment - Thank You</v>
      </c>
    </row>
    <row r="11759" spans="1:15" hidden="1">
      <c r="A11759">
        <v>202407</v>
      </c>
      <c r="B11759" s="6">
        <v>45481</v>
      </c>
      <c r="C11759" t="s">
        <v>3938</v>
      </c>
      <c r="D11759" t="s">
        <v>648</v>
      </c>
      <c r="E11759">
        <v>134.09</v>
      </c>
      <c r="F11759" s="2" t="str">
        <f>IF(Table2[[#This Row],[Manual Cat Value]]="",VLOOKUP(Table2[[#This Row],[Description]],'Actuals Lookup'!D:F,3,0),VLOOKUP(Table2[[#This Row],[Manual Cat Value]],Lookup!A:B,2,0))</f>
        <v>Groceries</v>
      </c>
      <c r="I11759" s="8"/>
      <c r="O11759" t="str">
        <f>LEFT(Table2[[#This Row],[Description]],75)</f>
        <v>Costco</v>
      </c>
    </row>
    <row r="11760" spans="1:15" hidden="1">
      <c r="A11760" s="25">
        <v>202407</v>
      </c>
      <c r="B11760" s="6">
        <v>45481</v>
      </c>
      <c r="C11760" t="s">
        <v>5160</v>
      </c>
      <c r="D11760" t="s">
        <v>5090</v>
      </c>
      <c r="E11760">
        <v>35.479999999999997</v>
      </c>
      <c r="F11760" s="2" t="str">
        <f>IF(Table2[[#This Row],[Manual Cat Value]]="",VLOOKUP(Table2[[#This Row],[Description]],'Actuals Lookup'!D:F,3,0),VLOOKUP(Table2[[#This Row],[Manual Cat Value]],Lookup!A:B,2,0))</f>
        <v>Dry Cleaning</v>
      </c>
      <c r="G11760" t="s">
        <v>4745</v>
      </c>
      <c r="I11760" s="8"/>
      <c r="O11760" t="str">
        <f>LEFT(Table2[[#This Row],[Description]],75)</f>
        <v>Tide Dry Cleaners</v>
      </c>
    </row>
    <row r="11761" spans="1:15" hidden="1">
      <c r="A11761">
        <v>202407</v>
      </c>
      <c r="B11761" s="6">
        <v>45482</v>
      </c>
      <c r="C11761" t="s">
        <v>3938</v>
      </c>
      <c r="D11761" t="s">
        <v>113</v>
      </c>
      <c r="E11761">
        <v>59.61</v>
      </c>
      <c r="F11761" s="2" t="str">
        <f>IF(Table2[[#This Row],[Manual Cat Value]]="",VLOOKUP(Table2[[#This Row],[Description]],'Actuals Lookup'!D:F,3,0),VLOOKUP(Table2[[#This Row],[Manual Cat Value]],Lookup!A:B,2,0))</f>
        <v>Amazon</v>
      </c>
      <c r="I11761" s="8"/>
      <c r="O11761" t="str">
        <f>LEFT(Table2[[#This Row],[Description]],75)</f>
        <v>Amazon Marketplace</v>
      </c>
    </row>
    <row r="11762" spans="1:15" hidden="1">
      <c r="A11762">
        <v>202402</v>
      </c>
      <c r="B11762" s="6">
        <v>45344</v>
      </c>
      <c r="C11762" t="s">
        <v>3932</v>
      </c>
      <c r="D11762" t="s">
        <v>3988</v>
      </c>
      <c r="E11762">
        <v>-840.68</v>
      </c>
      <c r="F11762" s="2" t="str">
        <f>IF(Table2[[#This Row],[Manual Cat Value]]="",VLOOKUP(Table2[[#This Row],[Description]],'Actuals Lookup'!D:F,3,0),VLOOKUP(Table2[[#This Row],[Manual Cat Value]],Lookup!A:B,2,0))</f>
        <v>Delete</v>
      </c>
      <c r="G11762" t="s">
        <v>8</v>
      </c>
      <c r="I11762" s="8"/>
      <c r="O11762" t="str">
        <f>LEFT(Table2[[#This Row],[Description]],75)</f>
        <v>Internet Payment - Thank You</v>
      </c>
    </row>
    <row r="11763" spans="1:15" hidden="1">
      <c r="A11763" s="25">
        <v>202406</v>
      </c>
      <c r="B11763" s="6">
        <v>45470</v>
      </c>
      <c r="C11763" t="s">
        <v>3932</v>
      </c>
      <c r="D11763" t="s">
        <v>3988</v>
      </c>
      <c r="E11763">
        <v>-748.44</v>
      </c>
      <c r="F11763" s="2" t="str">
        <f>IF(Table2[[#This Row],[Manual Cat Value]]="",VLOOKUP(Table2[[#This Row],[Description]],'Actuals Lookup'!D:F,3,0),VLOOKUP(Table2[[#This Row],[Manual Cat Value]],Lookup!A:B,2,0))</f>
        <v>Delete</v>
      </c>
      <c r="G11763" t="s">
        <v>8</v>
      </c>
      <c r="I11763" s="8"/>
      <c r="O11763" t="str">
        <f>LEFT(Table2[[#This Row],[Description]],75)</f>
        <v>Internet Payment - Thank You</v>
      </c>
    </row>
    <row r="11764" spans="1:15" hidden="1">
      <c r="A11764" s="25">
        <v>202408</v>
      </c>
      <c r="B11764" s="6">
        <v>45519</v>
      </c>
      <c r="C11764" t="s">
        <v>3932</v>
      </c>
      <c r="D11764" t="s">
        <v>3988</v>
      </c>
      <c r="E11764">
        <v>-283.05</v>
      </c>
      <c r="F11764" s="2" t="str">
        <f>IF(Table2[[#This Row],[Manual Cat Value]]="",VLOOKUP(Table2[[#This Row],[Description]],'Actuals Lookup'!D:F,3,0),VLOOKUP(Table2[[#This Row],[Manual Cat Value]],Lookup!A:B,2,0))</f>
        <v>Delete</v>
      </c>
      <c r="G11764" t="s">
        <v>8</v>
      </c>
      <c r="I11764" s="8"/>
      <c r="O11764" t="str">
        <f>LEFT(Table2[[#This Row],[Description]],75)</f>
        <v>Internet Payment - Thank You</v>
      </c>
    </row>
    <row r="11765" spans="1:15" hidden="1">
      <c r="A11765">
        <v>202407</v>
      </c>
      <c r="B11765" s="6">
        <v>45482</v>
      </c>
      <c r="C11765" t="s">
        <v>3938</v>
      </c>
      <c r="D11765" t="s">
        <v>1477</v>
      </c>
      <c r="E11765">
        <v>47.69</v>
      </c>
      <c r="F11765" s="2" t="str">
        <f>IF(Table2[[#This Row],[Manual Cat Value]]="",VLOOKUP(Table2[[#This Row],[Description]],'Actuals Lookup'!D:F,3,0),VLOOKUP(Table2[[#This Row],[Manual Cat Value]],Lookup!A:B,2,0))</f>
        <v>Gym</v>
      </c>
      <c r="I11765" s="8"/>
      <c r="O11765" t="str">
        <f>LEFT(Table2[[#This Row],[Description]],75)</f>
        <v>Peloton Cycles</v>
      </c>
    </row>
    <row r="11766" spans="1:15" hidden="1">
      <c r="A11766">
        <v>202407</v>
      </c>
      <c r="B11766" s="6">
        <v>45483</v>
      </c>
      <c r="C11766" t="s">
        <v>2519</v>
      </c>
      <c r="D11766" t="s">
        <v>4283</v>
      </c>
      <c r="E11766">
        <v>-75</v>
      </c>
      <c r="F11766" s="2" t="str">
        <f>IF(Table2[[#This Row],[Manual Cat Value]]="",VLOOKUP(Table2[[#This Row],[Description]],'Actuals Lookup'!D:F,3,0),VLOOKUP(Table2[[#This Row],[Manual Cat Value]],Lookup!A:B,2,0))</f>
        <v>Britney</v>
      </c>
      <c r="I11766" s="8"/>
      <c r="O11766" t="str">
        <f>LEFT(Table2[[#This Row],[Description]],75)</f>
        <v>Cargill Deposit</v>
      </c>
    </row>
    <row r="11767" spans="1:15" hidden="1">
      <c r="A11767">
        <v>202411</v>
      </c>
      <c r="B11767" s="6">
        <v>45609</v>
      </c>
      <c r="C11767" t="s">
        <v>2258</v>
      </c>
      <c r="D11767" t="s">
        <v>997</v>
      </c>
      <c r="E11767">
        <v>-812.82</v>
      </c>
      <c r="F11767" s="2" t="str">
        <f>IF(Table2[[#This Row],[Manual Cat Value]]="",VLOOKUP(Table2[[#This Row],[Description]],'Actuals Lookup'!D:F,3,0),VLOOKUP(Table2[[#This Row],[Manual Cat Value]],Lookup!A:B,2,0))</f>
        <v>Delete</v>
      </c>
      <c r="I11767" s="8"/>
      <c r="O11767" t="str">
        <f>LEFT(Table2[[#This Row],[Description]],75)</f>
        <v>INTERNET PAYMENT - THANK YOU</v>
      </c>
    </row>
    <row r="11768" spans="1:15" hidden="1">
      <c r="A11768" s="25">
        <v>202406</v>
      </c>
      <c r="B11768" s="6">
        <v>45460</v>
      </c>
      <c r="C11768" t="s">
        <v>5160</v>
      </c>
      <c r="D11768" t="s">
        <v>5028</v>
      </c>
      <c r="E11768">
        <v>28.2</v>
      </c>
      <c r="F11768" s="2" t="str">
        <f>IF(Table2[[#This Row],[Manual Cat Value]]="",VLOOKUP(Table2[[#This Row],[Description]],'Actuals Lookup'!D:F,3,0),VLOOKUP(Table2[[#This Row],[Manual Cat Value]],Lookup!A:B,2,0))</f>
        <v>Delete</v>
      </c>
      <c r="G11768" t="s">
        <v>35</v>
      </c>
      <c r="I11768" s="8"/>
      <c r="O11768" t="str">
        <f>LEFT(Table2[[#This Row],[Description]],75)</f>
        <v>Jj-pcg Msp Venture Lsaint Paul Mn</v>
      </c>
    </row>
    <row r="11769" spans="1:15" hidden="1">
      <c r="A11769" s="25">
        <v>202407</v>
      </c>
      <c r="B11769" s="6">
        <v>45483</v>
      </c>
      <c r="C11769" t="s">
        <v>5160</v>
      </c>
      <c r="D11769" t="s">
        <v>1076</v>
      </c>
      <c r="E11769">
        <v>112.5</v>
      </c>
      <c r="F11769" s="2" t="str">
        <f>IF(Table2[[#This Row],[Manual Cat Value]]="",VLOOKUP(Table2[[#This Row],[Description]],'Actuals Lookup'!D:F,3,0),VLOOKUP(Table2[[#This Row],[Manual Cat Value]],Lookup!A:B,2,0))</f>
        <v>Shopping</v>
      </c>
      <c r="G11769" t="s">
        <v>41</v>
      </c>
      <c r="I11769" s="8"/>
      <c r="O11769" t="str">
        <f>LEFT(Table2[[#This Row],[Description]],75)</f>
        <v>Kohl's</v>
      </c>
    </row>
    <row r="11770" spans="1:15" hidden="1">
      <c r="A11770">
        <v>202407</v>
      </c>
      <c r="B11770" s="6">
        <v>45483</v>
      </c>
      <c r="C11770" t="s">
        <v>2519</v>
      </c>
      <c r="D11770" t="s">
        <v>1470</v>
      </c>
      <c r="E11770">
        <v>181.84</v>
      </c>
      <c r="F11770" s="2" t="str">
        <f>IF(Table2[[#This Row],[Manual Cat Value]]="",VLOOKUP(Table2[[#This Row],[Description]],'Actuals Lookup'!D:F,3,0),VLOOKUP(Table2[[#This Row],[Manual Cat Value]],Lookup!A:B,2,0))</f>
        <v>Utilities</v>
      </c>
      <c r="I11770" s="8"/>
      <c r="O11770" t="str">
        <f>LEFT(Table2[[#This Row],[Description]],75)</f>
        <v>Payment to Xcel Energy</v>
      </c>
    </row>
    <row r="11771" spans="1:15" hidden="1">
      <c r="A11771" s="25">
        <v>202407</v>
      </c>
      <c r="B11771" s="6">
        <v>45482</v>
      </c>
      <c r="C11771" t="s">
        <v>5160</v>
      </c>
      <c r="D11771" t="s">
        <v>5028</v>
      </c>
      <c r="E11771">
        <v>13.6</v>
      </c>
      <c r="F11771" s="2" t="str">
        <f>IF(Table2[[#This Row],[Manual Cat Value]]="",VLOOKUP(Table2[[#This Row],[Description]],'Actuals Lookup'!D:F,3,0),VLOOKUP(Table2[[#This Row],[Manual Cat Value]],Lookup!A:B,2,0))</f>
        <v>Delete</v>
      </c>
      <c r="G11771" t="s">
        <v>35</v>
      </c>
      <c r="I11771" s="8"/>
      <c r="O11771" t="str">
        <f>LEFT(Table2[[#This Row],[Description]],75)</f>
        <v>Jj-pcg Msp Venture Lsaint Paul Mn</v>
      </c>
    </row>
    <row r="11772" spans="1:15" hidden="1">
      <c r="A11772" s="25">
        <v>202407</v>
      </c>
      <c r="B11772" s="6">
        <v>45483</v>
      </c>
      <c r="C11772" t="s">
        <v>5160</v>
      </c>
      <c r="D11772" t="s">
        <v>5523</v>
      </c>
      <c r="E11772">
        <v>175.5</v>
      </c>
      <c r="F11772" s="2" t="str">
        <f>IF(Table2[[#This Row],[Manual Cat Value]]="",VLOOKUP(Table2[[#This Row],[Description]],'Actuals Lookup'!D:F,3,0),VLOOKUP(Table2[[#This Row],[Manual Cat Value]],Lookup!A:B,2,0))</f>
        <v>Shopping</v>
      </c>
      <c r="G11772" t="s">
        <v>21</v>
      </c>
      <c r="H11772" t="s">
        <v>36</v>
      </c>
      <c r="I11772" s="8"/>
      <c r="O11772" t="str">
        <f>LEFT(Table2[[#This Row],[Description]],75)</f>
        <v>The North Face</v>
      </c>
    </row>
    <row r="11773" spans="1:15" hidden="1">
      <c r="A11773" s="25">
        <v>202407</v>
      </c>
      <c r="B11773" s="6">
        <v>45483</v>
      </c>
      <c r="C11773" t="s">
        <v>5160</v>
      </c>
      <c r="D11773" t="s">
        <v>5523</v>
      </c>
      <c r="E11773">
        <v>208.5</v>
      </c>
      <c r="F11773" s="2" t="str">
        <f>IF(Table2[[#This Row],[Manual Cat Value]]="",VLOOKUP(Table2[[#This Row],[Description]],'Actuals Lookup'!D:F,3,0),VLOOKUP(Table2[[#This Row],[Manual Cat Value]],Lookup!A:B,2,0))</f>
        <v>Shopping</v>
      </c>
      <c r="G11773" t="s">
        <v>21</v>
      </c>
      <c r="H11773" t="s">
        <v>36</v>
      </c>
      <c r="I11773" s="8"/>
      <c r="O11773" t="str">
        <f>LEFT(Table2[[#This Row],[Description]],75)</f>
        <v>The North Face</v>
      </c>
    </row>
    <row r="11774" spans="1:15" hidden="1">
      <c r="A11774">
        <v>202407</v>
      </c>
      <c r="B11774" s="6">
        <v>45483</v>
      </c>
      <c r="C11774" t="s">
        <v>2519</v>
      </c>
      <c r="D11774" t="s">
        <v>1955</v>
      </c>
      <c r="E11774">
        <v>16.34</v>
      </c>
      <c r="F11774" s="2" t="str">
        <f>IF(Table2[[#This Row],[Manual Cat Value]]="",VLOOKUP(Table2[[#This Row],[Description]],'Actuals Lookup'!D:F,3,0),VLOOKUP(Table2[[#This Row],[Manual Cat Value]],Lookup!A:B,2,0))</f>
        <v>Shopping</v>
      </c>
      <c r="I11774" s="8"/>
      <c r="O11774" t="str">
        <f>LEFT(Table2[[#This Row],[Description]],75)</f>
        <v>Transfer to PayPal</v>
      </c>
    </row>
    <row r="11775" spans="1:15" hidden="1">
      <c r="A11775">
        <v>202407</v>
      </c>
      <c r="B11775" s="6">
        <v>45483</v>
      </c>
      <c r="C11775" t="s">
        <v>3938</v>
      </c>
      <c r="D11775" t="s">
        <v>2078</v>
      </c>
      <c r="E11775">
        <v>84.18</v>
      </c>
      <c r="F11775" s="2" t="str">
        <f>IF(Table2[[#This Row],[Manual Cat Value]]="",VLOOKUP(Table2[[#This Row],[Description]],'Actuals Lookup'!D:F,3,0),VLOOKUP(Table2[[#This Row],[Manual Cat Value]],Lookup!A:B,2,0))</f>
        <v>Transportation</v>
      </c>
      <c r="I11775" s="8"/>
      <c r="O11775" t="str">
        <f>LEFT(Table2[[#This Row],[Description]],75)</f>
        <v>Uber</v>
      </c>
    </row>
    <row r="11776" spans="1:15" hidden="1">
      <c r="A11776">
        <v>202407</v>
      </c>
      <c r="B11776" s="6">
        <v>45483</v>
      </c>
      <c r="C11776" t="s">
        <v>2519</v>
      </c>
      <c r="D11776" t="s">
        <v>5524</v>
      </c>
      <c r="E11776">
        <v>278</v>
      </c>
      <c r="F11776" s="2" t="str">
        <f>IF(Table2[[#This Row],[Manual Cat Value]]="",VLOOKUP(Table2[[#This Row],[Description]],'Actuals Lookup'!D:F,3,0),VLOOKUP(Table2[[#This Row],[Manual Cat Value]],Lookup!A:B,2,0))</f>
        <v>Day Care</v>
      </c>
      <c r="H11776" t="s">
        <v>19</v>
      </c>
      <c r="I11776" s="8"/>
      <c r="O11776" t="str">
        <f>LEFT(Table2[[#This Row],[Description]],75)</f>
        <v xml:space="preserve">Withdrawal ACH RILEY CROSSING C TYPE: XX8412 ID: XX9040 CO: RILEY CROSSING </v>
      </c>
    </row>
    <row r="11777" spans="1:17" hidden="1">
      <c r="A11777">
        <v>202407</v>
      </c>
      <c r="B11777" s="6">
        <v>45484</v>
      </c>
      <c r="C11777" t="s">
        <v>3938</v>
      </c>
      <c r="D11777" t="s">
        <v>38</v>
      </c>
      <c r="E11777">
        <v>-48.74</v>
      </c>
      <c r="F11777" s="2" t="str">
        <f>IF(Table2[[#This Row],[Manual Cat Value]]="",VLOOKUP(Table2[[#This Row],[Description]],'Actuals Lookup'!D:F,3,0),VLOOKUP(Table2[[#This Row],[Manual Cat Value]],Lookup!A:B,2,0))</f>
        <v>Amazon</v>
      </c>
      <c r="I11777" s="8"/>
      <c r="O11777" t="str">
        <f>LEFT(Table2[[#This Row],[Description]],75)</f>
        <v>Amazon</v>
      </c>
    </row>
    <row r="11778" spans="1:17" hidden="1">
      <c r="A11778" s="25">
        <v>202406</v>
      </c>
      <c r="B11778" s="6">
        <v>45450</v>
      </c>
      <c r="C11778" t="s">
        <v>5160</v>
      </c>
      <c r="D11778" t="s">
        <v>1081</v>
      </c>
      <c r="E11778">
        <v>29.67</v>
      </c>
      <c r="F11778" s="2" t="str">
        <f>IF(Table2[[#This Row],[Manual Cat Value]]="",VLOOKUP(Table2[[#This Row],[Description]],'Actuals Lookup'!D:F,3,0),VLOOKUP(Table2[[#This Row],[Manual Cat Value]],Lookup!A:B,2,0))</f>
        <v>Delete</v>
      </c>
      <c r="G11778" t="s">
        <v>28</v>
      </c>
      <c r="H11778" s="8" t="s">
        <v>9</v>
      </c>
      <c r="I11778" s="8"/>
      <c r="O11778" t="str">
        <f>LEFT(Table2[[#This Row],[Description]],75)</f>
        <v>Kum &amp; Go</v>
      </c>
    </row>
    <row r="11779" spans="1:17" hidden="1">
      <c r="A11779">
        <v>202407</v>
      </c>
      <c r="B11779" s="6">
        <v>45484</v>
      </c>
      <c r="C11779" t="s">
        <v>3938</v>
      </c>
      <c r="D11779" t="s">
        <v>1350</v>
      </c>
      <c r="E11779">
        <v>25.6</v>
      </c>
      <c r="F11779" s="2" t="str">
        <f>IF(Table2[[#This Row],[Manual Cat Value]]="",VLOOKUP(Table2[[#This Row],[Description]],'Actuals Lookup'!D:F,3,0),VLOOKUP(Table2[[#This Row],[Manual Cat Value]],Lookup!A:B,2,0))</f>
        <v>Utilities</v>
      </c>
      <c r="I11779" s="8"/>
      <c r="O11779" t="str">
        <f>LEFT(Table2[[#This Row],[Description]],75)</f>
        <v>Netflix</v>
      </c>
    </row>
    <row r="11780" spans="1:17" hidden="1">
      <c r="A11780" s="25">
        <v>202407</v>
      </c>
      <c r="B11780" s="6">
        <v>45485</v>
      </c>
      <c r="C11780" t="s">
        <v>5160</v>
      </c>
      <c r="D11780" t="s">
        <v>4876</v>
      </c>
      <c r="E11780">
        <v>9.99</v>
      </c>
      <c r="F11780" s="2" t="str">
        <f>IF(Table2[[#This Row],[Manual Cat Value]]="",VLOOKUP(Table2[[#This Row],[Description]],'Actuals Lookup'!D:F,3,0),VLOOKUP(Table2[[#This Row],[Manual Cat Value]],Lookup!A:B,2,0))</f>
        <v>Groceries</v>
      </c>
      <c r="G11780" t="s">
        <v>28</v>
      </c>
      <c r="I11780" s="8"/>
      <c r="O11780" t="str">
        <f>LEFT(Table2[[#This Row],[Description]],75)</f>
        <v>Aplpay Lunds&amp;byerlyschanhassen Mn</v>
      </c>
    </row>
    <row r="11781" spans="1:17" hidden="1">
      <c r="A11781" s="25">
        <v>202407</v>
      </c>
      <c r="B11781" s="6">
        <v>45485</v>
      </c>
      <c r="C11781" t="s">
        <v>5160</v>
      </c>
      <c r="D11781" t="s">
        <v>5525</v>
      </c>
      <c r="E11781">
        <v>49.9</v>
      </c>
      <c r="F11781" s="2" t="str">
        <f>IF(Table2[[#This Row],[Manual Cat Value]]="",VLOOKUP(Table2[[#This Row],[Description]],'Actuals Lookup'!D:F,3,0),VLOOKUP(Table2[[#This Row],[Manual Cat Value]],Lookup!A:B,2,0))</f>
        <v>Restaurants</v>
      </c>
      <c r="G11781" t="s">
        <v>4745</v>
      </c>
      <c r="H11781" s="8" t="s">
        <v>25</v>
      </c>
      <c r="I11781" s="8"/>
      <c r="O11781" t="str">
        <f>LEFT(Table2[[#This Row],[Description]],75)</f>
        <v>Blue Note</v>
      </c>
    </row>
    <row r="11782" spans="1:17" hidden="1">
      <c r="A11782" s="25">
        <v>202407</v>
      </c>
      <c r="B11782" s="6">
        <v>45485</v>
      </c>
      <c r="C11782" t="s">
        <v>5160</v>
      </c>
      <c r="D11782" t="s">
        <v>5526</v>
      </c>
      <c r="E11782">
        <v>240.74</v>
      </c>
      <c r="F11782" s="2" t="str">
        <f>IF(Table2[[#This Row],[Manual Cat Value]]="",VLOOKUP(Table2[[#This Row],[Description]],'Actuals Lookup'!D:F,3,0),VLOOKUP(Table2[[#This Row],[Manual Cat Value]],Lookup!A:B,2,0))</f>
        <v>Travel</v>
      </c>
      <c r="G11782" t="s">
        <v>43</v>
      </c>
      <c r="H11782" s="8" t="s">
        <v>52</v>
      </c>
      <c r="I11782" s="8"/>
      <c r="O11782" t="str">
        <f>LEFT(Table2[[#This Row],[Description]],75)</f>
        <v>Booking.com</v>
      </c>
      <c r="Q11782" t="s">
        <v>2240</v>
      </c>
    </row>
    <row r="11783" spans="1:17" hidden="1">
      <c r="A11783">
        <v>202407</v>
      </c>
      <c r="B11783" s="6">
        <v>45485</v>
      </c>
      <c r="C11783" t="s">
        <v>3938</v>
      </c>
      <c r="D11783" t="s">
        <v>4868</v>
      </c>
      <c r="E11783">
        <v>6.53</v>
      </c>
      <c r="F11783" s="2" t="str">
        <f>IF(Table2[[#This Row],[Manual Cat Value]]="",VLOOKUP(Table2[[#This Row],[Description]],'Actuals Lookup'!D:F,3,0),VLOOKUP(Table2[[#This Row],[Manual Cat Value]],Lookup!A:B,2,0))</f>
        <v>Entertainment</v>
      </c>
      <c r="I11783" s="8"/>
      <c r="O11783" t="str">
        <f>LEFT(Table2[[#This Row],[Description]],75)</f>
        <v>Hallmark Movies Now</v>
      </c>
    </row>
    <row r="11784" spans="1:17" hidden="1">
      <c r="A11784" s="25">
        <v>202406</v>
      </c>
      <c r="B11784" s="6">
        <v>45450</v>
      </c>
      <c r="C11784" t="s">
        <v>5160</v>
      </c>
      <c r="D11784" t="s">
        <v>1083</v>
      </c>
      <c r="E11784">
        <v>10.27</v>
      </c>
      <c r="F11784" s="2" t="str">
        <f>IF(Table2[[#This Row],[Manual Cat Value]]="",VLOOKUP(Table2[[#This Row],[Description]],'Actuals Lookup'!D:F,3,0),VLOOKUP(Table2[[#This Row],[Manual Cat Value]],Lookup!A:B,2,0))</f>
        <v>Delete</v>
      </c>
      <c r="G11784" t="s">
        <v>23</v>
      </c>
      <c r="H11784" s="8" t="s">
        <v>9</v>
      </c>
      <c r="I11784" s="8"/>
      <c r="O11784" t="str">
        <f>LEFT(Table2[[#This Row],[Description]],75)</f>
        <v>Kwik Trip</v>
      </c>
    </row>
    <row r="11785" spans="1:17" hidden="1">
      <c r="A11785" s="25">
        <v>202407</v>
      </c>
      <c r="B11785" s="6">
        <v>45485</v>
      </c>
      <c r="C11785" t="s">
        <v>5160</v>
      </c>
      <c r="D11785" t="s">
        <v>5527</v>
      </c>
      <c r="E11785">
        <v>4.6900000000000004</v>
      </c>
      <c r="F11785" s="2" t="str">
        <f>IF(Table2[[#This Row],[Manual Cat Value]]="",VLOOKUP(Table2[[#This Row],[Description]],'Actuals Lookup'!D:F,3,0),VLOOKUP(Table2[[#This Row],[Manual Cat Value]],Lookup!A:B,2,0))</f>
        <v>Shopping</v>
      </c>
      <c r="G11785" t="s">
        <v>41</v>
      </c>
      <c r="H11785" s="8" t="s">
        <v>36</v>
      </c>
      <c r="I11785" s="8"/>
      <c r="O11785" t="str">
        <f>LEFT(Table2[[#This Row],[Description]],75)</f>
        <v>Hudson Totg St1687 1hazelwood Mo</v>
      </c>
    </row>
    <row r="11786" spans="1:17" hidden="1">
      <c r="A11786">
        <v>202402</v>
      </c>
      <c r="B11786" s="6">
        <v>45350</v>
      </c>
      <c r="C11786" t="s">
        <v>5013</v>
      </c>
      <c r="D11786" t="s">
        <v>5528</v>
      </c>
      <c r="E11786">
        <v>1299.54</v>
      </c>
      <c r="F11786" s="2" t="str">
        <f>IF(Table2[[#This Row],[Manual Cat Value]]="",VLOOKUP(Table2[[#This Row],[Description]],'Actuals Lookup'!D:F,3,0),VLOOKUP(Table2[[#This Row],[Manual Cat Value]],Lookup!A:B,2,0))</f>
        <v>Delete</v>
      </c>
      <c r="G11786" t="s">
        <v>43</v>
      </c>
      <c r="H11786" s="8" t="s">
        <v>9</v>
      </c>
      <c r="I11786" s="8"/>
      <c r="O11786" t="str">
        <f>LEFT(Table2[[#This Row],[Description]],75)</f>
        <v>Marriott International</v>
      </c>
    </row>
    <row r="11787" spans="1:17" hidden="1">
      <c r="A11787">
        <v>202402</v>
      </c>
      <c r="B11787" s="6">
        <v>45350</v>
      </c>
      <c r="C11787" t="s">
        <v>5013</v>
      </c>
      <c r="D11787" t="s">
        <v>5528</v>
      </c>
      <c r="E11787">
        <v>310.8</v>
      </c>
      <c r="F11787" s="2" t="str">
        <f>IF(Table2[[#This Row],[Manual Cat Value]]="",VLOOKUP(Table2[[#This Row],[Description]],'Actuals Lookup'!D:F,3,0),VLOOKUP(Table2[[#This Row],[Manual Cat Value]],Lookup!A:B,2,0))</f>
        <v>Delete</v>
      </c>
      <c r="G11787" t="s">
        <v>43</v>
      </c>
      <c r="H11787" s="8" t="s">
        <v>9</v>
      </c>
      <c r="I11787" s="8"/>
      <c r="O11787" t="str">
        <f>LEFT(Table2[[#This Row],[Description]],75)</f>
        <v>Marriott International</v>
      </c>
    </row>
    <row r="11788" spans="1:17" hidden="1">
      <c r="A11788" s="25">
        <v>202407</v>
      </c>
      <c r="B11788" s="6">
        <v>45485</v>
      </c>
      <c r="C11788" t="s">
        <v>5160</v>
      </c>
      <c r="D11788" t="s">
        <v>1407</v>
      </c>
      <c r="E11788">
        <v>3.03</v>
      </c>
      <c r="F11788" s="2" t="str">
        <f>IF(Table2[[#This Row],[Manual Cat Value]]="",VLOOKUP(Table2[[#This Row],[Description]],'Actuals Lookup'!D:F,3,0),VLOOKUP(Table2[[#This Row],[Manual Cat Value]],Lookup!A:B,2,0))</f>
        <v>Entertainment</v>
      </c>
      <c r="G11788" t="s">
        <v>40</v>
      </c>
      <c r="H11788" s="8" t="s">
        <v>39</v>
      </c>
      <c r="I11788" s="8"/>
      <c r="O11788" t="str">
        <f>LEFT(Table2[[#This Row],[Description]],75)</f>
        <v>Party City</v>
      </c>
    </row>
    <row r="11789" spans="1:17" hidden="1">
      <c r="A11789" s="25">
        <v>202407</v>
      </c>
      <c r="B11789" s="6">
        <v>45485</v>
      </c>
      <c r="C11789" t="s">
        <v>5160</v>
      </c>
      <c r="D11789" t="s">
        <v>5529</v>
      </c>
      <c r="E11789">
        <v>119.19</v>
      </c>
      <c r="F11789" s="2" t="str">
        <f>IF(Table2[[#This Row],[Manual Cat Value]]="",VLOOKUP(Table2[[#This Row],[Description]],'Actuals Lookup'!D:F,3,0),VLOOKUP(Table2[[#This Row],[Manual Cat Value]],Lookup!A:B,2,0))</f>
        <v>Delete</v>
      </c>
      <c r="G11789" t="s">
        <v>26</v>
      </c>
      <c r="H11789" s="8" t="s">
        <v>9</v>
      </c>
      <c r="I11789" s="8"/>
      <c r="O11789" t="str">
        <f>LEFT(Table2[[#This Row],[Description]],75)</f>
        <v>Mcalister's Deli</v>
      </c>
    </row>
    <row r="11790" spans="1:17" hidden="1">
      <c r="A11790" s="25">
        <v>202407</v>
      </c>
      <c r="B11790" s="6">
        <v>45485</v>
      </c>
      <c r="C11790" t="s">
        <v>5160</v>
      </c>
      <c r="D11790" t="s">
        <v>5530</v>
      </c>
      <c r="E11790">
        <v>12.6</v>
      </c>
      <c r="F11790" s="2" t="str">
        <f>IF(Table2[[#This Row],[Manual Cat Value]]="",VLOOKUP(Table2[[#This Row],[Description]],'Actuals Lookup'!D:F,3,0),VLOOKUP(Table2[[#This Row],[Manual Cat Value]],Lookup!A:B,2,0))</f>
        <v>Shopping</v>
      </c>
      <c r="G11790" t="s">
        <v>21</v>
      </c>
      <c r="H11790" t="s">
        <v>36</v>
      </c>
      <c r="I11790" s="8"/>
      <c r="O11790" t="str">
        <f>LEFT(Table2[[#This Row],[Description]],75)</f>
        <v>Tj Maxx</v>
      </c>
    </row>
    <row r="11791" spans="1:17" hidden="1">
      <c r="A11791" s="25">
        <v>202407</v>
      </c>
      <c r="B11791" s="6">
        <v>45486</v>
      </c>
      <c r="C11791" t="s">
        <v>3932</v>
      </c>
      <c r="D11791" t="s">
        <v>38</v>
      </c>
      <c r="E11791">
        <v>100.71</v>
      </c>
      <c r="F11791" s="2" t="str">
        <f>IF(Table2[[#This Row],[Manual Cat Value]]="",VLOOKUP(Table2[[#This Row],[Description]],'Actuals Lookup'!D:F,3,0),VLOOKUP(Table2[[#This Row],[Manual Cat Value]],Lookup!A:B,2,0))</f>
        <v>Amazon</v>
      </c>
      <c r="G11791" t="s">
        <v>38</v>
      </c>
      <c r="I11791" s="8"/>
      <c r="O11791" t="str">
        <f>LEFT(Table2[[#This Row],[Description]],75)</f>
        <v>Amazon</v>
      </c>
    </row>
    <row r="11792" spans="1:17" hidden="1">
      <c r="A11792" s="25">
        <v>202407</v>
      </c>
      <c r="B11792" s="6">
        <v>45486</v>
      </c>
      <c r="C11792" t="s">
        <v>3932</v>
      </c>
      <c r="D11792" t="s">
        <v>113</v>
      </c>
      <c r="E11792">
        <v>63.46</v>
      </c>
      <c r="F11792" s="2" t="str">
        <f>IF(Table2[[#This Row],[Manual Cat Value]]="",VLOOKUP(Table2[[#This Row],[Description]],'Actuals Lookup'!D:F,3,0),VLOOKUP(Table2[[#This Row],[Manual Cat Value]],Lookup!A:B,2,0))</f>
        <v>Amazon</v>
      </c>
      <c r="G11792" t="s">
        <v>38</v>
      </c>
      <c r="I11792" s="8"/>
      <c r="O11792" t="str">
        <f>LEFT(Table2[[#This Row],[Description]],75)</f>
        <v>Amazon Marketplace</v>
      </c>
    </row>
    <row r="11793" spans="1:15" hidden="1">
      <c r="A11793">
        <v>202407</v>
      </c>
      <c r="B11793" s="6">
        <v>45487</v>
      </c>
      <c r="C11793" t="s">
        <v>3938</v>
      </c>
      <c r="D11793" t="s">
        <v>113</v>
      </c>
      <c r="E11793">
        <v>27.08</v>
      </c>
      <c r="F11793" s="2" t="str">
        <f>IF(Table2[[#This Row],[Manual Cat Value]]="",VLOOKUP(Table2[[#This Row],[Description]],'Actuals Lookup'!D:F,3,0),VLOOKUP(Table2[[#This Row],[Manual Cat Value]],Lookup!A:B,2,0))</f>
        <v>Amazon</v>
      </c>
      <c r="I11793" s="8"/>
      <c r="O11793" t="str">
        <f>LEFT(Table2[[#This Row],[Description]],75)</f>
        <v>Amazon Marketplace</v>
      </c>
    </row>
    <row r="11794" spans="1:15" hidden="1">
      <c r="A11794">
        <v>202407</v>
      </c>
      <c r="B11794" s="6">
        <v>45487</v>
      </c>
      <c r="C11794" t="s">
        <v>3938</v>
      </c>
      <c r="D11794" t="s">
        <v>113</v>
      </c>
      <c r="E11794">
        <v>97.28</v>
      </c>
      <c r="F11794" s="2" t="str">
        <f>IF(Table2[[#This Row],[Manual Cat Value]]="",VLOOKUP(Table2[[#This Row],[Description]],'Actuals Lookup'!D:F,3,0),VLOOKUP(Table2[[#This Row],[Manual Cat Value]],Lookup!A:B,2,0))</f>
        <v>Amazon</v>
      </c>
      <c r="I11794" s="8"/>
      <c r="O11794" t="str">
        <f>LEFT(Table2[[#This Row],[Description]],75)</f>
        <v>Amazon Marketplace</v>
      </c>
    </row>
    <row r="11795" spans="1:15" hidden="1">
      <c r="A11795" s="25">
        <v>202407</v>
      </c>
      <c r="B11795" s="6">
        <v>45487</v>
      </c>
      <c r="C11795" t="s">
        <v>5160</v>
      </c>
      <c r="D11795" t="s">
        <v>4032</v>
      </c>
      <c r="E11795">
        <v>15.88</v>
      </c>
      <c r="F11795" s="2" t="str">
        <f>IF(Table2[[#This Row],[Manual Cat Value]]="",VLOOKUP(Table2[[#This Row],[Description]],'Actuals Lookup'!D:F,3,0),VLOOKUP(Table2[[#This Row],[Manual Cat Value]],Lookup!A:B,2,0))</f>
        <v>Restaurants</v>
      </c>
      <c r="G11795" t="s">
        <v>26</v>
      </c>
      <c r="I11795" s="8"/>
      <c r="O11795" t="str">
        <f>LEFT(Table2[[#This Row],[Description]],75)</f>
        <v>Mcdonald's</v>
      </c>
    </row>
    <row r="11796" spans="1:15" hidden="1">
      <c r="A11796">
        <v>202409</v>
      </c>
      <c r="B11796" s="6">
        <v>45555</v>
      </c>
      <c r="C11796" t="s">
        <v>130</v>
      </c>
      <c r="D11796" t="s">
        <v>5531</v>
      </c>
      <c r="E11796">
        <v>36.44</v>
      </c>
      <c r="F11796" s="2" t="str">
        <f>IF(Table2[[#This Row],[Manual Cat Value]]="",VLOOKUP(Table2[[#This Row],[Description]],'Actuals Lookup'!D:F,3,0),VLOOKUP(Table2[[#This Row],[Manual Cat Value]],Lookup!A:B,2,0))</f>
        <v>Delete</v>
      </c>
      <c r="H11796" s="8" t="s">
        <v>9</v>
      </c>
      <c r="I11796" s="8"/>
      <c r="O11796" t="str">
        <f>LEFT(Table2[[#This Row],[Description]],75)</f>
        <v>Mike Shannons STL 15St. Louis           MO</v>
      </c>
    </row>
    <row r="11797" spans="1:15" hidden="1">
      <c r="A11797">
        <v>202411</v>
      </c>
      <c r="B11797" s="6">
        <v>45613</v>
      </c>
      <c r="C11797" t="s">
        <v>130</v>
      </c>
      <c r="D11797" t="s">
        <v>5532</v>
      </c>
      <c r="E11797">
        <v>28.35</v>
      </c>
      <c r="F11797" s="2" t="str">
        <f>IF(Table2[[#This Row],[Manual Cat Value]]="",VLOOKUP(Table2[[#This Row],[Description]],'Actuals Lookup'!D:F,3,0),VLOOKUP(Table2[[#This Row],[Manual Cat Value]],Lookup!A:B,2,0))</f>
        <v>Delete</v>
      </c>
      <c r="H11797" t="s">
        <v>9</v>
      </c>
      <c r="I11797" s="8"/>
      <c r="O11797" t="str">
        <f>LEFT(Table2[[#This Row],[Description]],75)</f>
        <v>MINNEAPOLIS AIRPORT SAINT PAUL          MN</v>
      </c>
    </row>
    <row r="11798" spans="1:15" hidden="1">
      <c r="A11798" s="25">
        <v>202407</v>
      </c>
      <c r="B11798" s="6">
        <v>45487</v>
      </c>
      <c r="C11798" t="s">
        <v>5160</v>
      </c>
      <c r="D11798" t="s">
        <v>5451</v>
      </c>
      <c r="E11798">
        <v>20</v>
      </c>
      <c r="F11798" s="2" t="str">
        <f>IF(Table2[[#This Row],[Manual Cat Value]]="",VLOOKUP(Table2[[#This Row],[Description]],'Actuals Lookup'!D:F,3,0),VLOOKUP(Table2[[#This Row],[Manual Cat Value]],Lookup!A:B,2,0))</f>
        <v>Utilities</v>
      </c>
      <c r="G11798" t="s">
        <v>26</v>
      </c>
      <c r="H11798" s="8" t="s">
        <v>6</v>
      </c>
      <c r="I11798" s="8"/>
      <c r="O11798" t="str">
        <f>LEFT(Table2[[#This Row],[Description]],75)</f>
        <v>Openai *chatgpt Subssan Francisco Ca</v>
      </c>
    </row>
    <row r="11799" spans="1:15" hidden="1">
      <c r="A11799">
        <v>202407</v>
      </c>
      <c r="B11799" s="6">
        <v>45487</v>
      </c>
      <c r="C11799" t="s">
        <v>3938</v>
      </c>
      <c r="D11799" t="s">
        <v>1462</v>
      </c>
      <c r="E11799">
        <v>45</v>
      </c>
      <c r="F11799" s="2" t="str">
        <f>IF(Table2[[#This Row],[Manual Cat Value]]="",VLOOKUP(Table2[[#This Row],[Description]],'Actuals Lookup'!D:F,3,0),VLOOKUP(Table2[[#This Row],[Manual Cat Value]],Lookup!A:B,2,0))</f>
        <v>Utilities</v>
      </c>
      <c r="I11799" s="8"/>
      <c r="O11799" t="str">
        <f>LEFT(Table2[[#This Row],[Description]],75)</f>
        <v>Payment to CenturyLink</v>
      </c>
    </row>
    <row r="11800" spans="1:15" hidden="1">
      <c r="A11800">
        <v>202407</v>
      </c>
      <c r="B11800" s="6">
        <v>45487</v>
      </c>
      <c r="C11800" t="s">
        <v>2519</v>
      </c>
      <c r="D11800" t="s">
        <v>4343</v>
      </c>
      <c r="E11800">
        <v>-3238.06</v>
      </c>
      <c r="F11800" s="2" t="str">
        <f>IF(Table2[[#This Row],[Manual Cat Value]]="",VLOOKUP(Table2[[#This Row],[Description]],'Actuals Lookup'!D:F,3,0),VLOOKUP(Table2[[#This Row],[Manual Cat Value]],Lookup!A:B,2,0))</f>
        <v>Jeff</v>
      </c>
      <c r="I11800" s="8"/>
      <c r="O11800" t="str">
        <f>LEFT(Table2[[#This Row],[Description]],75)</f>
        <v>Salary/Regular Income from TriNet</v>
      </c>
    </row>
    <row r="11801" spans="1:15" hidden="1">
      <c r="A11801" s="25">
        <v>202407</v>
      </c>
      <c r="B11801" s="6">
        <v>45487</v>
      </c>
      <c r="C11801" t="s">
        <v>5160</v>
      </c>
      <c r="D11801" t="s">
        <v>1849</v>
      </c>
      <c r="E11801">
        <v>55.75</v>
      </c>
      <c r="F11801" s="2" t="str">
        <f>IF(Table2[[#This Row],[Manual Cat Value]]="",VLOOKUP(Table2[[#This Row],[Description]],'Actuals Lookup'!D:F,3,0),VLOOKUP(Table2[[#This Row],[Manual Cat Value]],Lookup!A:B,2,0))</f>
        <v>House Maintenance</v>
      </c>
      <c r="G11801" t="s">
        <v>2</v>
      </c>
      <c r="I11801" s="8"/>
      <c r="O11801" t="str">
        <f>LEFT(Table2[[#This Row],[Description]],75)</f>
        <v>The Home Depot</v>
      </c>
    </row>
    <row r="11802" spans="1:15" hidden="1">
      <c r="A11802" s="25">
        <v>202407</v>
      </c>
      <c r="B11802" s="6">
        <v>45487</v>
      </c>
      <c r="C11802" t="s">
        <v>5160</v>
      </c>
      <c r="D11802" t="s">
        <v>3944</v>
      </c>
      <c r="E11802">
        <v>8.7100000000000009</v>
      </c>
      <c r="F11802" s="2" t="str">
        <f>IF(Table2[[#This Row],[Manual Cat Value]]="",VLOOKUP(Table2[[#This Row],[Description]],'Actuals Lookup'!D:F,3,0),VLOOKUP(Table2[[#This Row],[Manual Cat Value]],Lookup!A:B,2,0))</f>
        <v>Delete</v>
      </c>
      <c r="G11802" t="s">
        <v>43</v>
      </c>
      <c r="H11802" s="8" t="s">
        <v>9</v>
      </c>
      <c r="I11802" s="8"/>
      <c r="O11802" t="str">
        <f>LEFT(Table2[[#This Row],[Description]],75)</f>
        <v>Minneapolis-saint Paul International Airport</v>
      </c>
    </row>
    <row r="11803" spans="1:15" hidden="1">
      <c r="A11803" s="25">
        <v>202407</v>
      </c>
      <c r="B11803" s="6">
        <v>45488</v>
      </c>
      <c r="C11803" t="s">
        <v>5160</v>
      </c>
      <c r="D11803" t="s">
        <v>4093</v>
      </c>
      <c r="E11803">
        <v>26.95</v>
      </c>
      <c r="F11803" s="2" t="str">
        <f>IF(Table2[[#This Row],[Manual Cat Value]]="",VLOOKUP(Table2[[#This Row],[Description]],'Actuals Lookup'!D:F,3,0),VLOOKUP(Table2[[#This Row],[Manual Cat Value]],Lookup!A:B,2,0))</f>
        <v>Groceries</v>
      </c>
      <c r="G11803" t="s">
        <v>28</v>
      </c>
      <c r="I11803" s="8"/>
      <c r="O11803" t="str">
        <f>LEFT(Table2[[#This Row],[Description]],75)</f>
        <v>Kowalski's Market</v>
      </c>
    </row>
    <row r="11804" spans="1:15" hidden="1">
      <c r="A11804" s="25">
        <v>202407</v>
      </c>
      <c r="B11804" s="6">
        <v>45488</v>
      </c>
      <c r="C11804" t="s">
        <v>5160</v>
      </c>
      <c r="D11804" t="s">
        <v>4093</v>
      </c>
      <c r="E11804">
        <v>27.22</v>
      </c>
      <c r="F11804" s="2" t="str">
        <f>IF(Table2[[#This Row],[Manual Cat Value]]="",VLOOKUP(Table2[[#This Row],[Description]],'Actuals Lookup'!D:F,3,0),VLOOKUP(Table2[[#This Row],[Manual Cat Value]],Lookup!A:B,2,0))</f>
        <v>Groceries</v>
      </c>
      <c r="G11804" t="s">
        <v>28</v>
      </c>
      <c r="I11804" s="8"/>
      <c r="O11804" t="str">
        <f>LEFT(Table2[[#This Row],[Description]],75)</f>
        <v>Kowalski's Market</v>
      </c>
    </row>
    <row r="11805" spans="1:15" hidden="1">
      <c r="A11805">
        <v>202407</v>
      </c>
      <c r="B11805" s="6">
        <v>45488</v>
      </c>
      <c r="C11805" t="s">
        <v>2519</v>
      </c>
      <c r="D11805" t="s">
        <v>4356</v>
      </c>
      <c r="E11805">
        <v>120.46</v>
      </c>
      <c r="F11805" s="2" t="str">
        <f>IF(Table2[[#This Row],[Manual Cat Value]]="",VLOOKUP(Table2[[#This Row],[Description]],'Actuals Lookup'!D:F,3,0),VLOOKUP(Table2[[#This Row],[Manual Cat Value]],Lookup!A:B,2,0))</f>
        <v>Insurance</v>
      </c>
      <c r="I11805" s="8"/>
      <c r="O11805" t="str">
        <f>LEFT(Table2[[#This Row],[Description]],75)</f>
        <v>Payment to American Family Insurance</v>
      </c>
    </row>
    <row r="11806" spans="1:15" hidden="1">
      <c r="A11806">
        <v>202407</v>
      </c>
      <c r="B11806" s="6">
        <v>45488</v>
      </c>
      <c r="C11806" t="s">
        <v>2519</v>
      </c>
      <c r="D11806" t="s">
        <v>1958</v>
      </c>
      <c r="E11806">
        <v>57</v>
      </c>
      <c r="F11806" s="2" t="str">
        <f>IF(Table2[[#This Row],[Manual Cat Value]]="",VLOOKUP(Table2[[#This Row],[Description]],'Actuals Lookup'!D:F,3,0),VLOOKUP(Table2[[#This Row],[Manual Cat Value]],Lookup!A:B,2,0))</f>
        <v>Shopping</v>
      </c>
      <c r="I11806" s="8"/>
      <c r="O11806" t="str">
        <f>LEFT(Table2[[#This Row],[Description]],75)</f>
        <v>Transfer to Venmo</v>
      </c>
    </row>
    <row r="11807" spans="1:15" hidden="1">
      <c r="A11807">
        <v>202404</v>
      </c>
      <c r="B11807" s="6">
        <v>45395</v>
      </c>
      <c r="C11807" t="s">
        <v>5160</v>
      </c>
      <c r="D11807" t="s">
        <v>4240</v>
      </c>
      <c r="E11807">
        <v>-5188.2</v>
      </c>
      <c r="F11807" s="2" t="str">
        <f>IF(Table2[[#This Row],[Manual Cat Value]]="",VLOOKUP(Table2[[#This Row],[Description]],'Actuals Lookup'!D:F,3,0),VLOOKUP(Table2[[#This Row],[Manual Cat Value]],Lookup!A:B,2,0))</f>
        <v>Delete</v>
      </c>
      <c r="G11807" t="s">
        <v>9</v>
      </c>
      <c r="I11807" s="8"/>
      <c r="O11807" t="str">
        <f>LEFT(Table2[[#This Row],[Description]],75)</f>
        <v>Mobile Payment - Thank You</v>
      </c>
    </row>
    <row r="11808" spans="1:15" hidden="1">
      <c r="A11808" s="25">
        <v>202407</v>
      </c>
      <c r="B11808" s="6">
        <v>45489</v>
      </c>
      <c r="C11808" t="s">
        <v>5160</v>
      </c>
      <c r="D11808" t="s">
        <v>5246</v>
      </c>
      <c r="E11808">
        <v>463</v>
      </c>
      <c r="F11808" s="2" t="str">
        <f>IF(Table2[[#This Row],[Manual Cat Value]]="",VLOOKUP(Table2[[#This Row],[Description]],'Actuals Lookup'!D:F,3,0),VLOOKUP(Table2[[#This Row],[Manual Cat Value]],Lookup!A:B,2,0))</f>
        <v>Day Care</v>
      </c>
      <c r="G11808" t="s">
        <v>5108</v>
      </c>
      <c r="I11808" s="8"/>
      <c r="O11808" t="str">
        <f>LEFT(Table2[[#This Row],[Description]],75)</f>
        <v>Bcs*minnetonka Commuexcelsior Mn</v>
      </c>
    </row>
    <row r="11809" spans="1:15" hidden="1">
      <c r="A11809" s="25">
        <v>202407</v>
      </c>
      <c r="B11809" s="6">
        <v>45489</v>
      </c>
      <c r="C11809" t="s">
        <v>5160</v>
      </c>
      <c r="D11809" t="s">
        <v>5533</v>
      </c>
      <c r="E11809">
        <v>136.94999999999999</v>
      </c>
      <c r="F11809" s="2" t="str">
        <f>IF(Table2[[#This Row],[Manual Cat Value]]="",VLOOKUP(Table2[[#This Row],[Description]],'Actuals Lookup'!D:F,3,0),VLOOKUP(Table2[[#This Row],[Manual Cat Value]],Lookup!A:B,2,0))</f>
        <v>Groceries</v>
      </c>
      <c r="G11809" t="s">
        <v>28</v>
      </c>
      <c r="H11809" s="8" t="s">
        <v>27</v>
      </c>
      <c r="I11809" s="8"/>
      <c r="O11809" t="str">
        <f>LEFT(Table2[[#This Row],[Description]],75)</f>
        <v>Ka'chava</v>
      </c>
    </row>
    <row r="11810" spans="1:15" hidden="1">
      <c r="A11810" s="25">
        <v>202407</v>
      </c>
      <c r="B11810" s="6">
        <v>45489</v>
      </c>
      <c r="C11810" t="s">
        <v>5160</v>
      </c>
      <c r="D11810" t="s">
        <v>1083</v>
      </c>
      <c r="E11810">
        <v>70.260000000000005</v>
      </c>
      <c r="F11810" s="2" t="str">
        <f>IF(Table2[[#This Row],[Manual Cat Value]]="",VLOOKUP(Table2[[#This Row],[Description]],'Actuals Lookup'!D:F,3,0),VLOOKUP(Table2[[#This Row],[Manual Cat Value]],Lookup!A:B,2,0))</f>
        <v>Transportation</v>
      </c>
      <c r="G11810" t="s">
        <v>23</v>
      </c>
      <c r="I11810" s="8"/>
      <c r="O11810" t="str">
        <f>LEFT(Table2[[#This Row],[Description]],75)</f>
        <v>Kwik Trip</v>
      </c>
    </row>
    <row r="11811" spans="1:15" hidden="1">
      <c r="A11811" s="25">
        <v>202406</v>
      </c>
      <c r="B11811" s="6">
        <v>45470</v>
      </c>
      <c r="C11811" t="s">
        <v>5160</v>
      </c>
      <c r="D11811" t="s">
        <v>4240</v>
      </c>
      <c r="E11811">
        <v>-8733.2999999999993</v>
      </c>
      <c r="F11811" s="2" t="str">
        <f>IF(Table2[[#This Row],[Manual Cat Value]]="",VLOOKUP(Table2[[#This Row],[Description]],'Actuals Lookup'!D:F,3,0),VLOOKUP(Table2[[#This Row],[Manual Cat Value]],Lookup!A:B,2,0))</f>
        <v>Delete</v>
      </c>
      <c r="G11811" t="s">
        <v>9</v>
      </c>
      <c r="I11811" s="8"/>
      <c r="O11811" t="str">
        <f>LEFT(Table2[[#This Row],[Description]],75)</f>
        <v>Mobile Payment - Thank You</v>
      </c>
    </row>
    <row r="11812" spans="1:15" hidden="1">
      <c r="A11812">
        <v>202412</v>
      </c>
      <c r="B11812" s="6">
        <v>45638</v>
      </c>
      <c r="C11812" t="s">
        <v>130</v>
      </c>
      <c r="D11812" t="s">
        <v>5534</v>
      </c>
      <c r="E11812">
        <v>-4465.47</v>
      </c>
      <c r="F11812" s="2" t="str">
        <f>IF(Table2[[#This Row],[Manual Cat Value]]="",VLOOKUP(Table2[[#This Row],[Description]],'Actuals Lookup'!D:F,3,0),VLOOKUP(Table2[[#This Row],[Manual Cat Value]],Lookup!A:B,2,0))</f>
        <v>Delete</v>
      </c>
      <c r="I11812" s="8"/>
      <c r="O11812" t="str">
        <f>LEFT(Table2[[#This Row],[Description]],75)</f>
        <v>MOBILE PAYMENT - THANK YOU</v>
      </c>
    </row>
    <row r="11813" spans="1:15" hidden="1">
      <c r="A11813">
        <v>202409</v>
      </c>
      <c r="B11813" s="6">
        <v>45544</v>
      </c>
      <c r="C11813" t="s">
        <v>130</v>
      </c>
      <c r="D11813" t="s">
        <v>5535</v>
      </c>
      <c r="E11813">
        <v>16.55</v>
      </c>
      <c r="F11813" s="2" t="str">
        <f>IF(Table2[[#This Row],[Manual Cat Value]]="",VLOOKUP(Table2[[#This Row],[Description]],'Actuals Lookup'!D:F,3,0),VLOOKUP(Table2[[#This Row],[Manual Cat Value]],Lookup!A:B,2,0))</f>
        <v>Delete</v>
      </c>
      <c r="H11813" s="8" t="s">
        <v>9</v>
      </c>
      <c r="I11813" s="8"/>
      <c r="O11813" t="str">
        <f>LEFT(Table2[[#This Row],[Description]],75)</f>
        <v>Moe's Southwest GrilST. PAUL            MN</v>
      </c>
    </row>
    <row r="11814" spans="1:15" hidden="1">
      <c r="A11814" s="25">
        <v>202407</v>
      </c>
      <c r="B11814" s="6">
        <v>45489</v>
      </c>
      <c r="C11814" t="s">
        <v>5160</v>
      </c>
      <c r="D11814" t="s">
        <v>5536</v>
      </c>
      <c r="E11814">
        <v>5.0999999999999996</v>
      </c>
      <c r="F11814" s="2" t="str">
        <f>IF(Table2[[#This Row],[Manual Cat Value]]="",VLOOKUP(Table2[[#This Row],[Description]],'Actuals Lookup'!D:F,3,0),VLOOKUP(Table2[[#This Row],[Manual Cat Value]],Lookup!A:B,2,0))</f>
        <v>Restaurants</v>
      </c>
      <c r="G11814" t="s">
        <v>26</v>
      </c>
      <c r="H11814" t="s">
        <v>25</v>
      </c>
      <c r="I11814" s="8"/>
      <c r="O11814" t="str">
        <f>LEFT(Table2[[#This Row],[Description]],75)</f>
        <v>The Great American Bagel</v>
      </c>
    </row>
    <row r="11815" spans="1:15" hidden="1">
      <c r="A11815" s="25">
        <v>202407</v>
      </c>
      <c r="B11815" s="6">
        <v>45489</v>
      </c>
      <c r="C11815" t="s">
        <v>5160</v>
      </c>
      <c r="D11815" t="s">
        <v>1925</v>
      </c>
      <c r="E11815">
        <v>22.15</v>
      </c>
      <c r="F11815" s="2" t="str">
        <f>IF(Table2[[#This Row],[Manual Cat Value]]="",VLOOKUP(Table2[[#This Row],[Description]],'Actuals Lookup'!D:F,3,0),VLOOKUP(Table2[[#This Row],[Manual Cat Value]],Lookup!A:B,2,0))</f>
        <v>Groceries</v>
      </c>
      <c r="G11815" t="s">
        <v>28</v>
      </c>
      <c r="I11815" s="8"/>
      <c r="O11815" t="str">
        <f>LEFT(Table2[[#This Row],[Description]],75)</f>
        <v>Total Wine &amp; More</v>
      </c>
    </row>
    <row r="11816" spans="1:15" hidden="1">
      <c r="A11816" s="25">
        <v>202407</v>
      </c>
      <c r="B11816" s="6">
        <v>45489</v>
      </c>
      <c r="C11816" t="s">
        <v>5160</v>
      </c>
      <c r="D11816" t="s">
        <v>1925</v>
      </c>
      <c r="E11816">
        <v>91.71</v>
      </c>
      <c r="F11816" s="2" t="str">
        <f>IF(Table2[[#This Row],[Manual Cat Value]]="",VLOOKUP(Table2[[#This Row],[Description]],'Actuals Lookup'!D:F,3,0),VLOOKUP(Table2[[#This Row],[Manual Cat Value]],Lookup!A:B,2,0))</f>
        <v>Groceries</v>
      </c>
      <c r="G11816" t="s">
        <v>28</v>
      </c>
      <c r="I11816" s="8"/>
      <c r="O11816" t="str">
        <f>LEFT(Table2[[#This Row],[Description]],75)</f>
        <v>Total Wine &amp; More</v>
      </c>
    </row>
    <row r="11817" spans="1:15" hidden="1">
      <c r="A11817">
        <v>202407</v>
      </c>
      <c r="B11817" s="6">
        <v>45490</v>
      </c>
      <c r="C11817" t="s">
        <v>3938</v>
      </c>
      <c r="D11817" t="s">
        <v>648</v>
      </c>
      <c r="E11817">
        <v>208.2</v>
      </c>
      <c r="F11817" s="2" t="str">
        <f>IF(Table2[[#This Row],[Manual Cat Value]]="",VLOOKUP(Table2[[#This Row],[Description]],'Actuals Lookup'!D:F,3,0),VLOOKUP(Table2[[#This Row],[Manual Cat Value]],Lookup!A:B,2,0))</f>
        <v>Groceries</v>
      </c>
      <c r="I11817" s="8"/>
      <c r="O11817" t="str">
        <f>LEFT(Table2[[#This Row],[Description]],75)</f>
        <v>Costco</v>
      </c>
    </row>
    <row r="11818" spans="1:15" hidden="1">
      <c r="A11818">
        <v>202407</v>
      </c>
      <c r="B11818" s="6">
        <v>45490</v>
      </c>
      <c r="C11818" t="s">
        <v>3938</v>
      </c>
      <c r="D11818" t="s">
        <v>4887</v>
      </c>
      <c r="E11818">
        <v>46.41</v>
      </c>
      <c r="F11818" s="2" t="str">
        <f>IF(Table2[[#This Row],[Manual Cat Value]]="",VLOOKUP(Table2[[#This Row],[Description]],'Actuals Lookup'!D:F,3,0),VLOOKUP(Table2[[#This Row],[Manual Cat Value]],Lookup!A:B,2,0))</f>
        <v>Groceries</v>
      </c>
      <c r="I11818" s="8"/>
      <c r="O11818" t="str">
        <f>LEFT(Table2[[#This Row],[Description]],75)</f>
        <v>Costco Gas Stations</v>
      </c>
    </row>
    <row r="11819" spans="1:15" hidden="1">
      <c r="A11819">
        <v>202411</v>
      </c>
      <c r="B11819" s="6">
        <v>45613</v>
      </c>
      <c r="C11819" t="s">
        <v>130</v>
      </c>
      <c r="D11819" t="s">
        <v>5537</v>
      </c>
      <c r="E11819">
        <v>21.14</v>
      </c>
      <c r="F11819" s="2" t="str">
        <f>IF(Table2[[#This Row],[Manual Cat Value]]="",VLOOKUP(Table2[[#This Row],[Description]],'Actuals Lookup'!D:F,3,0),VLOOKUP(Table2[[#This Row],[Manual Cat Value]],Lookup!A:B,2,0))</f>
        <v>Delete</v>
      </c>
      <c r="H11819" t="s">
        <v>9</v>
      </c>
      <c r="I11819" s="8"/>
      <c r="O11819" t="str">
        <f>LEFT(Table2[[#This Row],[Description]],75)</f>
        <v>MSP AIRP PEOPLES ORGSAINT PAUL          MN</v>
      </c>
    </row>
    <row r="11820" spans="1:15" hidden="1">
      <c r="A11820" s="25">
        <v>202407</v>
      </c>
      <c r="B11820" s="6">
        <v>45482</v>
      </c>
      <c r="C11820" t="s">
        <v>5160</v>
      </c>
      <c r="D11820" t="s">
        <v>5538</v>
      </c>
      <c r="E11820">
        <v>48.69</v>
      </c>
      <c r="F11820" s="2" t="str">
        <f>IF(Table2[[#This Row],[Manual Cat Value]]="",VLOOKUP(Table2[[#This Row],[Description]],'Actuals Lookup'!D:F,3,0),VLOOKUP(Table2[[#This Row],[Manual Cat Value]],Lookup!A:B,2,0))</f>
        <v>Delete</v>
      </c>
      <c r="G11820" t="s">
        <v>43</v>
      </c>
      <c r="H11820" s="8" t="s">
        <v>9</v>
      </c>
      <c r="I11820" s="8"/>
      <c r="O11820" t="str">
        <f>LEFT(Table2[[#This Row],[Description]],75)</f>
        <v>Msp Airp The Cook Ansaint Paul Mn</v>
      </c>
    </row>
    <row r="11821" spans="1:15" hidden="1">
      <c r="A11821">
        <v>202407</v>
      </c>
      <c r="B11821" s="6">
        <v>45490</v>
      </c>
      <c r="C11821" t="s">
        <v>2519</v>
      </c>
      <c r="D11821" t="s">
        <v>1955</v>
      </c>
      <c r="E11821">
        <v>23.97</v>
      </c>
      <c r="F11821" s="2" t="str">
        <f>IF(Table2[[#This Row],[Manual Cat Value]]="",VLOOKUP(Table2[[#This Row],[Description]],'Actuals Lookup'!D:F,3,0),VLOOKUP(Table2[[#This Row],[Manual Cat Value]],Lookup!A:B,2,0))</f>
        <v>Shopping</v>
      </c>
      <c r="I11821" s="8"/>
      <c r="O11821" t="str">
        <f>LEFT(Table2[[#This Row],[Description]],75)</f>
        <v>Transfer to PayPal</v>
      </c>
    </row>
    <row r="11822" spans="1:15" hidden="1">
      <c r="A11822">
        <v>202407</v>
      </c>
      <c r="B11822" s="6">
        <v>45490</v>
      </c>
      <c r="C11822" t="s">
        <v>2519</v>
      </c>
      <c r="D11822" t="s">
        <v>1958</v>
      </c>
      <c r="E11822">
        <v>43</v>
      </c>
      <c r="F11822" s="2" t="str">
        <f>IF(Table2[[#This Row],[Manual Cat Value]]="",VLOOKUP(Table2[[#This Row],[Description]],'Actuals Lookup'!D:F,3,0),VLOOKUP(Table2[[#This Row],[Manual Cat Value]],Lookup!A:B,2,0))</f>
        <v>Shopping</v>
      </c>
      <c r="I11822" s="8"/>
      <c r="O11822" t="str">
        <f>LEFT(Table2[[#This Row],[Description]],75)</f>
        <v>Transfer to Venmo</v>
      </c>
    </row>
    <row r="11823" spans="1:15" hidden="1">
      <c r="A11823">
        <v>202407</v>
      </c>
      <c r="B11823" s="6">
        <v>45490</v>
      </c>
      <c r="C11823" t="s">
        <v>2519</v>
      </c>
      <c r="D11823" t="s">
        <v>5539</v>
      </c>
      <c r="E11823">
        <v>278</v>
      </c>
      <c r="F11823" s="2" t="str">
        <f>IF(Table2[[#This Row],[Manual Cat Value]]="",VLOOKUP(Table2[[#This Row],[Description]],'Actuals Lookup'!D:F,3,0),VLOOKUP(Table2[[#This Row],[Manual Cat Value]],Lookup!A:B,2,0))</f>
        <v>Day Care</v>
      </c>
      <c r="H11823" t="s">
        <v>19</v>
      </c>
      <c r="I11823" s="8"/>
      <c r="O11823" t="str">
        <f>LEFT(Table2[[#This Row],[Description]],75)</f>
        <v xml:space="preserve">Withdrawal ACH RILEY CROSSING C TYPE: XX8412 ID: XX9040 CO: RILEY CROSSING </v>
      </c>
    </row>
    <row r="11824" spans="1:15" hidden="1">
      <c r="A11824">
        <v>202407</v>
      </c>
      <c r="B11824" s="6">
        <v>45491</v>
      </c>
      <c r="C11824" t="s">
        <v>2519</v>
      </c>
      <c r="D11824" t="s">
        <v>404</v>
      </c>
      <c r="E11824">
        <v>-2868.58</v>
      </c>
      <c r="F11824" s="2" t="str">
        <f>IF(Table2[[#This Row],[Manual Cat Value]]="",VLOOKUP(Table2[[#This Row],[Description]],'Actuals Lookup'!D:F,3,0),VLOOKUP(Table2[[#This Row],[Manual Cat Value]],Lookup!A:B,2,0))</f>
        <v>Britney</v>
      </c>
      <c r="I11824" s="8"/>
      <c r="O11824" t="str">
        <f>LEFT(Table2[[#This Row],[Description]],75)</f>
        <v>Cargill Inc Deposit</v>
      </c>
    </row>
    <row r="11825" spans="1:15" hidden="1">
      <c r="A11825" s="25">
        <v>202407</v>
      </c>
      <c r="B11825" s="6">
        <v>45491</v>
      </c>
      <c r="C11825" t="s">
        <v>5160</v>
      </c>
      <c r="D11825" t="s">
        <v>5090</v>
      </c>
      <c r="E11825">
        <v>48.57</v>
      </c>
      <c r="F11825" s="2" t="str">
        <f>IF(Table2[[#This Row],[Manual Cat Value]]="",VLOOKUP(Table2[[#This Row],[Description]],'Actuals Lookup'!D:F,3,0),VLOOKUP(Table2[[#This Row],[Manual Cat Value]],Lookup!A:B,2,0))</f>
        <v>Dry Cleaning</v>
      </c>
      <c r="G11825" t="s">
        <v>4745</v>
      </c>
      <c r="I11825" s="8"/>
      <c r="O11825" t="str">
        <f>LEFT(Table2[[#This Row],[Description]],75)</f>
        <v>Tide Dry Cleaners</v>
      </c>
    </row>
    <row r="11826" spans="1:15" hidden="1">
      <c r="A11826">
        <v>202407</v>
      </c>
      <c r="B11826" s="6">
        <v>45491</v>
      </c>
      <c r="C11826" t="s">
        <v>2519</v>
      </c>
      <c r="D11826" t="s">
        <v>1958</v>
      </c>
      <c r="E11826">
        <v>200</v>
      </c>
      <c r="F11826" s="2" t="str">
        <f>IF(Table2[[#This Row],[Manual Cat Value]]="",VLOOKUP(Table2[[#This Row],[Description]],'Actuals Lookup'!D:F,3,0),VLOOKUP(Table2[[#This Row],[Manual Cat Value]],Lookup!A:B,2,0))</f>
        <v>Shopping</v>
      </c>
      <c r="I11826" s="8"/>
      <c r="O11826" t="str">
        <f>LEFT(Table2[[#This Row],[Description]],75)</f>
        <v>Transfer to Venmo</v>
      </c>
    </row>
    <row r="11827" spans="1:15" hidden="1">
      <c r="A11827">
        <v>202407</v>
      </c>
      <c r="B11827" s="6">
        <v>45491</v>
      </c>
      <c r="C11827" t="s">
        <v>2519</v>
      </c>
      <c r="D11827" t="s">
        <v>5540</v>
      </c>
      <c r="E11827">
        <v>650</v>
      </c>
      <c r="F11827" s="2" t="str">
        <f>IF(Table2[[#This Row],[Manual Cat Value]]="",VLOOKUP(Table2[[#This Row],[Description]],'Actuals Lookup'!D:F,3,0),VLOOKUP(Table2[[#This Row],[Manual Cat Value]],Lookup!A:B,2,0))</f>
        <v>College Savings</v>
      </c>
      <c r="H11827" s="8" t="s">
        <v>60</v>
      </c>
      <c r="I11827" s="8"/>
      <c r="O11827" t="str">
        <f>LEFT(Table2[[#This Row],[Description]],75)</f>
        <v>Withdrawal ACH MN DIR ACH TYPE: CONTRIB ID: XX7162 CO: MN DIR ACH NAME: XX2</v>
      </c>
    </row>
    <row r="11828" spans="1:15" hidden="1">
      <c r="A11828" s="25">
        <v>202407</v>
      </c>
      <c r="B11828" s="6">
        <v>45492</v>
      </c>
      <c r="C11828" t="s">
        <v>5160</v>
      </c>
      <c r="D11828" t="s">
        <v>692</v>
      </c>
      <c r="E11828">
        <v>21.21</v>
      </c>
      <c r="F11828" s="2" t="str">
        <f>IF(Table2[[#This Row],[Manual Cat Value]]="",VLOOKUP(Table2[[#This Row],[Description]],'Actuals Lookup'!D:F,3,0),VLOOKUP(Table2[[#This Row],[Manual Cat Value]],Lookup!A:B,2,0))</f>
        <v>Restaurants</v>
      </c>
      <c r="G11828" t="s">
        <v>26</v>
      </c>
      <c r="I11828" s="8"/>
      <c r="O11828" t="str">
        <f>LEFT(Table2[[#This Row],[Description]],75)</f>
        <v>Dairy Queen</v>
      </c>
    </row>
    <row r="11829" spans="1:15" hidden="1">
      <c r="A11829" s="25">
        <v>202407</v>
      </c>
      <c r="B11829" s="6">
        <v>45487</v>
      </c>
      <c r="C11829" t="s">
        <v>5160</v>
      </c>
      <c r="D11829" t="s">
        <v>5538</v>
      </c>
      <c r="E11829">
        <v>70.400000000000006</v>
      </c>
      <c r="F11829" s="2" t="str">
        <f>IF(Table2[[#This Row],[Manual Cat Value]]="",VLOOKUP(Table2[[#This Row],[Description]],'Actuals Lookup'!D:F,3,0),VLOOKUP(Table2[[#This Row],[Manual Cat Value]],Lookup!A:B,2,0))</f>
        <v>Delete</v>
      </c>
      <c r="G11829" t="s">
        <v>43</v>
      </c>
      <c r="H11829" s="8" t="s">
        <v>9</v>
      </c>
      <c r="I11829" s="8"/>
      <c r="O11829" t="str">
        <f>LEFT(Table2[[#This Row],[Description]],75)</f>
        <v>Msp Airp The Cook Ansaint Paul Mn</v>
      </c>
    </row>
    <row r="11830" spans="1:15" hidden="1">
      <c r="A11830" s="25">
        <v>202407</v>
      </c>
      <c r="B11830" s="6">
        <v>45492</v>
      </c>
      <c r="C11830" t="s">
        <v>5160</v>
      </c>
      <c r="D11830" t="s">
        <v>5541</v>
      </c>
      <c r="E11830">
        <v>55</v>
      </c>
      <c r="F11830" s="2" t="str">
        <f>IF(Table2[[#This Row],[Manual Cat Value]]="",VLOOKUP(Table2[[#This Row],[Description]],'Actuals Lookup'!D:F,3,0),VLOOKUP(Table2[[#This Row],[Manual Cat Value]],Lookup!A:B,2,0))</f>
        <v>Travel</v>
      </c>
      <c r="G11830" t="s">
        <v>62</v>
      </c>
      <c r="H11830" s="8" t="s">
        <v>52</v>
      </c>
      <c r="I11830" s="8"/>
      <c r="O11830" t="str">
        <f>LEFT(Table2[[#This Row],[Description]],75)</f>
        <v>Dnr E Pay Win Acs 00madison Wi</v>
      </c>
    </row>
    <row r="11831" spans="1:15" hidden="1">
      <c r="A11831" s="25">
        <v>202407</v>
      </c>
      <c r="B11831" s="6">
        <v>45492</v>
      </c>
      <c r="C11831" t="s">
        <v>5160</v>
      </c>
      <c r="D11831" t="s">
        <v>5542</v>
      </c>
      <c r="E11831">
        <v>1.1000000000000001</v>
      </c>
      <c r="F11831" s="2" t="str">
        <f>IF(Table2[[#This Row],[Manual Cat Value]]="",VLOOKUP(Table2[[#This Row],[Description]],'Actuals Lookup'!D:F,3,0),VLOOKUP(Table2[[#This Row],[Manual Cat Value]],Lookup!A:B,2,0))</f>
        <v>Travel</v>
      </c>
      <c r="G11831" t="s">
        <v>62</v>
      </c>
      <c r="H11831" s="8" t="s">
        <v>52</v>
      </c>
      <c r="I11831" s="8"/>
      <c r="O11831" t="str">
        <f>LEFT(Table2[[#This Row],[Description]],75)</f>
        <v>Dnr Epay Win Acs Sermadison Wi</v>
      </c>
    </row>
    <row r="11832" spans="1:15" hidden="1">
      <c r="A11832">
        <v>202407</v>
      </c>
      <c r="B11832" s="6">
        <v>45492</v>
      </c>
      <c r="C11832" t="s">
        <v>2519</v>
      </c>
      <c r="D11832" t="s">
        <v>1955</v>
      </c>
      <c r="E11832">
        <v>2.99</v>
      </c>
      <c r="F11832" s="2" t="str">
        <f>IF(Table2[[#This Row],[Manual Cat Value]]="",VLOOKUP(Table2[[#This Row],[Description]],'Actuals Lookup'!D:F,3,0),VLOOKUP(Table2[[#This Row],[Manual Cat Value]],Lookup!A:B,2,0))</f>
        <v>Shopping</v>
      </c>
      <c r="I11832" s="8"/>
      <c r="O11832" t="str">
        <f>LEFT(Table2[[#This Row],[Description]],75)</f>
        <v>Transfer to PayPal</v>
      </c>
    </row>
    <row r="11833" spans="1:15" hidden="1">
      <c r="A11833" s="25">
        <v>202407</v>
      </c>
      <c r="B11833" s="6">
        <v>45493</v>
      </c>
      <c r="C11833" t="s">
        <v>5160</v>
      </c>
      <c r="D11833" t="s">
        <v>4837</v>
      </c>
      <c r="E11833">
        <v>28.76</v>
      </c>
      <c r="F11833" s="2" t="str">
        <f>IF(Table2[[#This Row],[Manual Cat Value]]="",VLOOKUP(Table2[[#This Row],[Description]],'Actuals Lookup'!D:F,3,0),VLOOKUP(Table2[[#This Row],[Manual Cat Value]],Lookup!A:B,2,0))</f>
        <v>Entertainment</v>
      </c>
      <c r="G11833" t="s">
        <v>40</v>
      </c>
      <c r="I11833" s="8"/>
      <c r="O11833" t="str">
        <f>LEFT(Table2[[#This Row],[Description]],75)</f>
        <v>Balsam Lake</v>
      </c>
    </row>
    <row r="11834" spans="1:15" hidden="1">
      <c r="A11834" s="25">
        <v>202407</v>
      </c>
      <c r="B11834" s="6">
        <v>45493</v>
      </c>
      <c r="C11834" t="s">
        <v>5160</v>
      </c>
      <c r="D11834" t="s">
        <v>5543</v>
      </c>
      <c r="E11834">
        <v>13.24</v>
      </c>
      <c r="F11834" s="2" t="str">
        <f>IF(Table2[[#This Row],[Manual Cat Value]]="",VLOOKUP(Table2[[#This Row],[Description]],'Actuals Lookup'!D:F,3,0),VLOOKUP(Table2[[#This Row],[Manual Cat Value]],Lookup!A:B,2,0))</f>
        <v>Restaurants</v>
      </c>
      <c r="G11834" t="s">
        <v>26</v>
      </c>
      <c r="H11834" t="s">
        <v>25</v>
      </c>
      <c r="I11834" s="8"/>
      <c r="O11834" t="str">
        <f>LEFT(Table2[[#This Row],[Description]],75)</f>
        <v>Py *kj's New North 0balsam Lake Wi</v>
      </c>
    </row>
    <row r="11835" spans="1:15" hidden="1">
      <c r="A11835" s="25">
        <v>202407</v>
      </c>
      <c r="B11835" s="6">
        <v>45494</v>
      </c>
      <c r="C11835" t="s">
        <v>5160</v>
      </c>
      <c r="D11835" t="s">
        <v>5544</v>
      </c>
      <c r="E11835">
        <v>308.01</v>
      </c>
      <c r="F11835" s="2" t="str">
        <f>IF(Table2[[#This Row],[Manual Cat Value]]="",VLOOKUP(Table2[[#This Row],[Description]],'Actuals Lookup'!D:F,3,0),VLOOKUP(Table2[[#This Row],[Manual Cat Value]],Lookup!A:B,2,0))</f>
        <v>Shopping</v>
      </c>
      <c r="G11835" t="s">
        <v>21</v>
      </c>
      <c r="H11835" s="8" t="s">
        <v>36</v>
      </c>
      <c r="I11835" s="8"/>
      <c r="O11835" t="str">
        <f>LEFT(Table2[[#This Row],[Description]],75)</f>
        <v>Balsam Lake Trading Balsam Lake Wi</v>
      </c>
    </row>
    <row r="11836" spans="1:15" hidden="1">
      <c r="A11836" s="25">
        <v>202407</v>
      </c>
      <c r="B11836" s="6">
        <v>45494</v>
      </c>
      <c r="C11836" t="s">
        <v>5160</v>
      </c>
      <c r="D11836" t="s">
        <v>5545</v>
      </c>
      <c r="E11836">
        <v>38.130000000000003</v>
      </c>
      <c r="F11836" s="2" t="str">
        <f>IF(Table2[[#This Row],[Manual Cat Value]]="",VLOOKUP(Table2[[#This Row],[Description]],'Actuals Lookup'!D:F,3,0),VLOOKUP(Table2[[#This Row],[Manual Cat Value]],Lookup!A:B,2,0))</f>
        <v>Groceries</v>
      </c>
      <c r="G11836" t="s">
        <v>35</v>
      </c>
      <c r="H11836" s="8" t="s">
        <v>27</v>
      </c>
      <c r="I11836" s="8"/>
      <c r="O11836" t="str">
        <f>LEFT(Table2[[#This Row],[Description]],75)</f>
        <v>Cc* Crumbl Stlouispalindon Ut</v>
      </c>
    </row>
    <row r="11837" spans="1:15" hidden="1">
      <c r="A11837">
        <v>202407</v>
      </c>
      <c r="B11837" s="6">
        <v>45494</v>
      </c>
      <c r="C11837" t="s">
        <v>3938</v>
      </c>
      <c r="D11837" t="s">
        <v>5106</v>
      </c>
      <c r="E11837">
        <v>0</v>
      </c>
      <c r="F11837" s="2" t="str">
        <f>IF(Table2[[#This Row],[Manual Cat Value]]="",VLOOKUP(Table2[[#This Row],[Description]],'Actuals Lookup'!D:F,3,0),VLOOKUP(Table2[[#This Row],[Manual Cat Value]],Lookup!A:B,2,0))</f>
        <v>Shopping</v>
      </c>
      <c r="I11837" s="8"/>
      <c r="O11837" t="str">
        <f>LEFT(Table2[[#This Row],[Description]],75)</f>
        <v>Etsy</v>
      </c>
    </row>
    <row r="11838" spans="1:15" hidden="1">
      <c r="A11838">
        <v>202407</v>
      </c>
      <c r="B11838" s="6">
        <v>45494</v>
      </c>
      <c r="C11838" t="s">
        <v>3938</v>
      </c>
      <c r="D11838" t="s">
        <v>5546</v>
      </c>
      <c r="E11838">
        <v>1.99</v>
      </c>
      <c r="F11838" s="2" t="str">
        <f>IF(Table2[[#This Row],[Manual Cat Value]]="",VLOOKUP(Table2[[#This Row],[Description]],'Actuals Lookup'!D:F,3,0),VLOOKUP(Table2[[#This Row],[Manual Cat Value]],Lookup!A:B,2,0))</f>
        <v>Utilities</v>
      </c>
      <c r="H11838" s="8" t="s">
        <v>6</v>
      </c>
      <c r="I11838" s="8"/>
      <c r="O11838" t="str">
        <f>LEFT(Table2[[#This Row],[Description]],75)</f>
        <v>GOOGLE *Google One g.co/helppay#CA REF #XX9216JT32AYK3EH</v>
      </c>
    </row>
    <row r="11839" spans="1:15" hidden="1">
      <c r="A11839" s="25">
        <v>202407</v>
      </c>
      <c r="B11839" s="6">
        <v>45494</v>
      </c>
      <c r="C11839" t="s">
        <v>5160</v>
      </c>
      <c r="D11839" t="s">
        <v>5521</v>
      </c>
      <c r="E11839">
        <v>21.89</v>
      </c>
      <c r="F11839" s="2" t="str">
        <f>IF(Table2[[#This Row],[Manual Cat Value]]="",VLOOKUP(Table2[[#This Row],[Description]],'Actuals Lookup'!D:F,3,0),VLOOKUP(Table2[[#This Row],[Manual Cat Value]],Lookup!A:B,2,0))</f>
        <v>Shopping</v>
      </c>
      <c r="G11839" t="s">
        <v>4745</v>
      </c>
      <c r="H11839" s="8" t="s">
        <v>36</v>
      </c>
      <c r="I11839" s="8"/>
      <c r="O11839" t="str">
        <f>LEFT(Table2[[#This Row],[Description]],75)</f>
        <v>Hopsack Llc Balsam Lake Mn</v>
      </c>
    </row>
    <row r="11840" spans="1:15" hidden="1">
      <c r="A11840" s="25">
        <v>202407</v>
      </c>
      <c r="B11840" s="6">
        <v>45494</v>
      </c>
      <c r="C11840" t="s">
        <v>5160</v>
      </c>
      <c r="D11840" t="s">
        <v>4884</v>
      </c>
      <c r="E11840">
        <v>114.72</v>
      </c>
      <c r="F11840" s="2" t="str">
        <f>IF(Table2[[#This Row],[Manual Cat Value]]="",VLOOKUP(Table2[[#This Row],[Description]],'Actuals Lookup'!D:F,3,0),VLOOKUP(Table2[[#This Row],[Manual Cat Value]],Lookup!A:B,2,0))</f>
        <v>Shopping</v>
      </c>
      <c r="G11840" t="s">
        <v>21</v>
      </c>
      <c r="I11840" s="8"/>
      <c r="O11840" t="str">
        <f>LEFT(Table2[[#This Row],[Description]],75)</f>
        <v>The Fletcher School</v>
      </c>
    </row>
    <row r="11841" spans="1:15" hidden="1">
      <c r="A11841" s="25">
        <v>202407</v>
      </c>
      <c r="B11841" s="6">
        <v>45494</v>
      </c>
      <c r="C11841" t="s">
        <v>5160</v>
      </c>
      <c r="D11841" t="s">
        <v>5547</v>
      </c>
      <c r="E11841">
        <v>41.03</v>
      </c>
      <c r="F11841" s="2" t="str">
        <f>IF(Table2[[#This Row],[Manual Cat Value]]="",VLOOKUP(Table2[[#This Row],[Description]],'Actuals Lookup'!D:F,3,0),VLOOKUP(Table2[[#This Row],[Manual Cat Value]],Lookup!A:B,2,0))</f>
        <v>Restaurants</v>
      </c>
      <c r="G11841" t="s">
        <v>26</v>
      </c>
      <c r="H11841" t="s">
        <v>25</v>
      </c>
      <c r="I11841" s="8"/>
      <c r="O11841" t="str">
        <f>LEFT(Table2[[#This Row],[Description]],75)</f>
        <v>Thirsty Otter</v>
      </c>
    </row>
    <row r="11842" spans="1:15" hidden="1">
      <c r="A11842" s="25">
        <v>202407</v>
      </c>
      <c r="B11842" s="6">
        <v>45494</v>
      </c>
      <c r="C11842" t="s">
        <v>5160</v>
      </c>
      <c r="D11842" t="s">
        <v>1931</v>
      </c>
      <c r="E11842">
        <v>74.069999999999993</v>
      </c>
      <c r="F11842" s="2" t="str">
        <f>IF(Table2[[#This Row],[Manual Cat Value]]="",VLOOKUP(Table2[[#This Row],[Description]],'Actuals Lookup'!D:F,3,0),VLOOKUP(Table2[[#This Row],[Manual Cat Value]],Lookup!A:B,2,0))</f>
        <v>Groceries</v>
      </c>
      <c r="G11842" t="s">
        <v>28</v>
      </c>
      <c r="I11842" s="8"/>
      <c r="O11842" t="str">
        <f>LEFT(Table2[[#This Row],[Description]],75)</f>
        <v>Trader Joe's</v>
      </c>
    </row>
    <row r="11843" spans="1:15" hidden="1">
      <c r="A11843" s="25">
        <v>202407</v>
      </c>
      <c r="B11843" s="6">
        <v>45495</v>
      </c>
      <c r="C11843" t="s">
        <v>5160</v>
      </c>
      <c r="D11843" t="s">
        <v>5548</v>
      </c>
      <c r="E11843">
        <v>62.41</v>
      </c>
      <c r="F11843" s="2" t="str">
        <f>IF(Table2[[#This Row],[Manual Cat Value]]="",VLOOKUP(Table2[[#This Row],[Description]],'Actuals Lookup'!D:F,3,0),VLOOKUP(Table2[[#This Row],[Manual Cat Value]],Lookup!A:B,2,0))</f>
        <v>Restaurants</v>
      </c>
      <c r="G11843" t="s">
        <v>28</v>
      </c>
      <c r="H11843" s="8" t="s">
        <v>25</v>
      </c>
      <c r="I11843" s="8"/>
      <c r="O11843" t="str">
        <f>LEFT(Table2[[#This Row],[Description]],75)</f>
        <v>Aplpay Lunds&amp;byerlysminnetonka Mn</v>
      </c>
    </row>
    <row r="11844" spans="1:15" hidden="1">
      <c r="A11844">
        <v>202407</v>
      </c>
      <c r="B11844" s="6">
        <v>45495</v>
      </c>
      <c r="C11844" t="s">
        <v>3938</v>
      </c>
      <c r="D11844" t="s">
        <v>5549</v>
      </c>
      <c r="E11844">
        <v>11</v>
      </c>
      <c r="F11844" s="2" t="str">
        <f>IF(Table2[[#This Row],[Manual Cat Value]]="",VLOOKUP(Table2[[#This Row],[Description]],'Actuals Lookup'!D:F,3,0),VLOOKUP(Table2[[#This Row],[Manual Cat Value]],Lookup!A:B,2,0))</f>
        <v>Utilities</v>
      </c>
      <c r="H11844" s="8" t="s">
        <v>6</v>
      </c>
      <c r="I11844" s="8"/>
      <c r="O11844" t="str">
        <f>LEFT(Table2[[#This Row],[Description]],75)</f>
        <v>BONFES PLUMBING HEATING AXX6633 MN REF #XX7539JVS66EA188</v>
      </c>
    </row>
    <row r="11845" spans="1:15" hidden="1">
      <c r="A11845" s="25">
        <f>VALUE(YEAR(Table2[[#This Row],[Date]])&amp;TEXT(MONTH(Table2[[#This Row],[Date]]),"00"))</f>
        <v>202212</v>
      </c>
      <c r="B11845" s="6">
        <v>44896</v>
      </c>
      <c r="C11845" t="s">
        <v>2265</v>
      </c>
      <c r="D11845" t="s">
        <v>5550</v>
      </c>
      <c r="E11845">
        <f>IF(M11845="credit",-1*J11845,J11845)</f>
        <v>2606.27</v>
      </c>
      <c r="F11845" s="2" t="str">
        <f>IF(Table2[[#This Row],[Manual Cat Value]]="",VLOOKUP(Table2[[#This Row],[Description]],'Actuals Lookup'!D:F,3,0),Table2[[#This Row],[Manual Cat Value]])</f>
        <v>Exp - Rent</v>
      </c>
      <c r="G11845" t="e">
        <f>VLOOKUP(D11845,Lookup!G:H,2,0)</f>
        <v>#N/A</v>
      </c>
      <c r="H11845" s="8" t="s">
        <v>4</v>
      </c>
      <c r="I11845" s="8"/>
      <c r="J11845">
        <v>2606.27</v>
      </c>
      <c r="M11845" t="s">
        <v>2513</v>
      </c>
      <c r="O11845" t="str">
        <f>LEFT(Table2[[#This Row],[Description]],75)</f>
        <v>Withdrawal ACH BCU MORTGAGE TYPE: LOAN PAYMT ID: 9DRAFTING CO: BCU MORTGAGE</v>
      </c>
    </row>
    <row r="11846" spans="1:15" hidden="1">
      <c r="A11846" s="25">
        <v>202407</v>
      </c>
      <c r="B11846" s="6">
        <v>45495</v>
      </c>
      <c r="C11846" t="s">
        <v>5160</v>
      </c>
      <c r="D11846" t="s">
        <v>5551</v>
      </c>
      <c r="E11846">
        <v>73.38</v>
      </c>
      <c r="F11846" s="2" t="str">
        <f>IF(Table2[[#This Row],[Manual Cat Value]]="",VLOOKUP(Table2[[#This Row],[Description]],'Actuals Lookup'!D:F,3,0),VLOOKUP(Table2[[#This Row],[Manual Cat Value]],Lookup!A:B,2,0))</f>
        <v>Shopping</v>
      </c>
      <c r="G11846" t="s">
        <v>21</v>
      </c>
      <c r="H11846" s="8" t="s">
        <v>36</v>
      </c>
      <c r="I11846" s="8"/>
      <c r="O11846" t="str">
        <f>LEFT(Table2[[#This Row],[Description]],75)</f>
        <v>Sp Rch - Spyra Us San Francisco Ca</v>
      </c>
    </row>
    <row r="11847" spans="1:15" hidden="1">
      <c r="A11847">
        <v>202407</v>
      </c>
      <c r="B11847" s="6">
        <v>45495</v>
      </c>
      <c r="C11847" t="s">
        <v>2519</v>
      </c>
      <c r="D11847" t="s">
        <v>5552</v>
      </c>
      <c r="E11847">
        <v>64.83</v>
      </c>
      <c r="F11847" s="2" t="str">
        <f>IF(Table2[[#This Row],[Manual Cat Value]]="",VLOOKUP(Table2[[#This Row],[Description]],'Actuals Lookup'!D:F,3,0),VLOOKUP(Table2[[#This Row],[Manual Cat Value]],Lookup!A:B,2,0))</f>
        <v>Utilities</v>
      </c>
      <c r="H11847" s="8" t="s">
        <v>6</v>
      </c>
      <c r="I11847" s="8"/>
      <c r="O11847" t="str">
        <f>LEFT(Table2[[#This Row],[Description]],75)</f>
        <v>Withdrawal ACH CITY OF CHANHASS TYPE: UTIL BILL ID: XX5331 CO: CITY OF CHAN</v>
      </c>
    </row>
    <row r="11848" spans="1:15" hidden="1">
      <c r="A11848" s="25">
        <v>202407</v>
      </c>
      <c r="B11848" s="6">
        <v>45496</v>
      </c>
      <c r="C11848" t="s">
        <v>5160</v>
      </c>
      <c r="D11848" t="s">
        <v>5553</v>
      </c>
      <c r="E11848">
        <v>125</v>
      </c>
      <c r="F11848" s="2" t="str">
        <f>IF(Table2[[#This Row],[Manual Cat Value]]="",VLOOKUP(Table2[[#This Row],[Description]],'Actuals Lookup'!D:F,3,0),VLOOKUP(Table2[[#This Row],[Manual Cat Value]],Lookup!A:B,2,0))</f>
        <v>Shopping</v>
      </c>
      <c r="G11848" t="s">
        <v>21</v>
      </c>
      <c r="H11848" s="8" t="s">
        <v>36</v>
      </c>
      <c r="I11848" s="8"/>
      <c r="O11848" t="str">
        <f>LEFT(Table2[[#This Row],[Description]],75)</f>
        <v>7diamonds Apparel Tustin Ca</v>
      </c>
    </row>
    <row r="11849" spans="1:15" hidden="1">
      <c r="A11849" s="25">
        <v>202407</v>
      </c>
      <c r="B11849" s="6">
        <v>45496</v>
      </c>
      <c r="C11849" t="s">
        <v>5160</v>
      </c>
      <c r="D11849" t="s">
        <v>453</v>
      </c>
      <c r="E11849">
        <v>6.57</v>
      </c>
      <c r="F11849" s="2" t="str">
        <f>IF(Table2[[#This Row],[Manual Cat Value]]="",VLOOKUP(Table2[[#This Row],[Description]],'Actuals Lookup'!D:F,3,0),VLOOKUP(Table2[[#This Row],[Manual Cat Value]],Lookup!A:B,2,0))</f>
        <v>Restaurants</v>
      </c>
      <c r="G11849" t="s">
        <v>26</v>
      </c>
      <c r="I11849" s="8"/>
      <c r="O11849" t="str">
        <f>LEFT(Table2[[#This Row],[Description]],75)</f>
        <v>Caribou Coffee</v>
      </c>
    </row>
    <row r="11850" spans="1:15" hidden="1">
      <c r="A11850">
        <v>202407</v>
      </c>
      <c r="B11850" s="6">
        <v>45496</v>
      </c>
      <c r="C11850" t="s">
        <v>2519</v>
      </c>
      <c r="D11850" t="s">
        <v>4642</v>
      </c>
      <c r="E11850">
        <v>60.25</v>
      </c>
      <c r="F11850" s="2" t="str">
        <f>IF(Table2[[#This Row],[Manual Cat Value]]="",VLOOKUP(Table2[[#This Row],[Description]],'Actuals Lookup'!D:F,3,0),VLOOKUP(Table2[[#This Row],[Manual Cat Value]],Lookup!A:B,2,0))</f>
        <v>Travel</v>
      </c>
      <c r="I11850" s="8"/>
      <c r="O11850" t="str">
        <f>LEFT(Table2[[#This Row],[Description]],75)</f>
        <v>Colorado Department of Motor Vehicles</v>
      </c>
    </row>
    <row r="11851" spans="1:15" hidden="1">
      <c r="A11851" s="25">
        <v>202407</v>
      </c>
      <c r="B11851" s="6">
        <v>45496</v>
      </c>
      <c r="C11851" t="s">
        <v>5160</v>
      </c>
      <c r="D11851" t="s">
        <v>1275</v>
      </c>
      <c r="E11851">
        <v>10.85</v>
      </c>
      <c r="F11851" s="2" t="str">
        <f>IF(Table2[[#This Row],[Manual Cat Value]]="",VLOOKUP(Table2[[#This Row],[Description]],'Actuals Lookup'!D:F,3,0),VLOOKUP(Table2[[#This Row],[Manual Cat Value]],Lookup!A:B,2,0))</f>
        <v>Transportation</v>
      </c>
      <c r="G11851" t="s">
        <v>23</v>
      </c>
      <c r="I11851" s="8"/>
      <c r="O11851" t="str">
        <f>LEFT(Table2[[#This Row],[Description]],75)</f>
        <v>Mister Car Wash</v>
      </c>
    </row>
    <row r="11852" spans="1:15" hidden="1">
      <c r="A11852">
        <v>202401</v>
      </c>
      <c r="B11852" s="6">
        <v>45302</v>
      </c>
      <c r="C11852" t="s">
        <v>5013</v>
      </c>
      <c r="D11852" t="s">
        <v>4829</v>
      </c>
      <c r="E11852">
        <v>93</v>
      </c>
      <c r="F11852" s="2" t="str">
        <f>IF(Table2[[#This Row],[Manual Cat Value]]="",VLOOKUP(Table2[[#This Row],[Description]],'Actuals Lookup'!D:F,3,0),VLOOKUP(Table2[[#This Row],[Manual Cat Value]],Lookup!A:B,2,0))</f>
        <v>Delete</v>
      </c>
      <c r="G11852" t="s">
        <v>43</v>
      </c>
      <c r="H11852" s="8" t="s">
        <v>9</v>
      </c>
      <c r="I11852" s="8"/>
      <c r="O11852" t="str">
        <f>LEFT(Table2[[#This Row],[Description]],75)</f>
        <v>Msp Airport Parking</v>
      </c>
    </row>
    <row r="11853" spans="1:15" hidden="1">
      <c r="A11853" s="25">
        <v>202407</v>
      </c>
      <c r="B11853" s="6">
        <v>45489</v>
      </c>
      <c r="C11853" t="s">
        <v>5160</v>
      </c>
      <c r="D11853" t="s">
        <v>4829</v>
      </c>
      <c r="E11853">
        <v>60</v>
      </c>
      <c r="F11853" s="2" t="str">
        <f>IF(Table2[[#This Row],[Manual Cat Value]]="",VLOOKUP(Table2[[#This Row],[Description]],'Actuals Lookup'!D:F,3,0),VLOOKUP(Table2[[#This Row],[Manual Cat Value]],Lookup!A:B,2,0))</f>
        <v>Delete</v>
      </c>
      <c r="G11853" t="s">
        <v>43</v>
      </c>
      <c r="H11853" s="8" t="s">
        <v>9</v>
      </c>
      <c r="I11853" s="8"/>
      <c r="O11853" t="str">
        <f>LEFT(Table2[[#This Row],[Description]],75)</f>
        <v>Msp Airport Parking</v>
      </c>
    </row>
    <row r="11854" spans="1:15" hidden="1">
      <c r="A11854" s="25">
        <v>202407</v>
      </c>
      <c r="B11854" s="6">
        <v>45497</v>
      </c>
      <c r="C11854" t="s">
        <v>3932</v>
      </c>
      <c r="D11854" t="s">
        <v>113</v>
      </c>
      <c r="E11854">
        <v>39.99</v>
      </c>
      <c r="F11854" s="2" t="str">
        <f>IF(Table2[[#This Row],[Manual Cat Value]]="",VLOOKUP(Table2[[#This Row],[Description]],'Actuals Lookup'!D:F,3,0),VLOOKUP(Table2[[#This Row],[Manual Cat Value]],Lookup!A:B,2,0))</f>
        <v>Amazon</v>
      </c>
      <c r="G11854" t="s">
        <v>38</v>
      </c>
      <c r="I11854" s="8"/>
      <c r="O11854" t="str">
        <f>LEFT(Table2[[#This Row],[Description]],75)</f>
        <v>Amazon Marketplace</v>
      </c>
    </row>
    <row r="11855" spans="1:15" hidden="1">
      <c r="A11855" s="25">
        <v>202407</v>
      </c>
      <c r="B11855" s="6">
        <v>45497</v>
      </c>
      <c r="C11855" t="s">
        <v>5160</v>
      </c>
      <c r="D11855" t="s">
        <v>5063</v>
      </c>
      <c r="E11855">
        <v>3.85</v>
      </c>
      <c r="F11855" s="2" t="str">
        <f>IF(Table2[[#This Row],[Manual Cat Value]]="",VLOOKUP(Table2[[#This Row],[Description]],'Actuals Lookup'!D:F,3,0),VLOOKUP(Table2[[#This Row],[Manual Cat Value]],Lookup!A:B,2,0))</f>
        <v>Transportation</v>
      </c>
      <c r="G11855" t="s">
        <v>5064</v>
      </c>
      <c r="I11855" s="8"/>
      <c r="O11855" t="str">
        <f>LEFT(Table2[[#This Row],[Description]],75)</f>
        <v>Aplpay Premium Parkinew Orleans La</v>
      </c>
    </row>
    <row r="11856" spans="1:15" hidden="1">
      <c r="A11856" s="25">
        <v>202407</v>
      </c>
      <c r="B11856" s="6">
        <v>45497</v>
      </c>
      <c r="C11856" t="s">
        <v>5160</v>
      </c>
      <c r="D11856" t="s">
        <v>5063</v>
      </c>
      <c r="E11856">
        <v>7.35</v>
      </c>
      <c r="F11856" s="2" t="str">
        <f>IF(Table2[[#This Row],[Manual Cat Value]]="",VLOOKUP(Table2[[#This Row],[Description]],'Actuals Lookup'!D:F,3,0),VLOOKUP(Table2[[#This Row],[Manual Cat Value]],Lookup!A:B,2,0))</f>
        <v>Transportation</v>
      </c>
      <c r="G11856" t="s">
        <v>5064</v>
      </c>
      <c r="I11856" s="8"/>
      <c r="O11856" t="str">
        <f>LEFT(Table2[[#This Row],[Description]],75)</f>
        <v>Aplpay Premium Parkinew Orleans La</v>
      </c>
    </row>
    <row r="11857" spans="1:15" hidden="1">
      <c r="A11857" s="25">
        <v>202407</v>
      </c>
      <c r="B11857" s="6">
        <v>45497</v>
      </c>
      <c r="C11857" t="s">
        <v>5160</v>
      </c>
      <c r="D11857" t="s">
        <v>4870</v>
      </c>
      <c r="E11857">
        <v>10.49</v>
      </c>
      <c r="F11857" s="2" t="str">
        <f>IF(Table2[[#This Row],[Manual Cat Value]]="",VLOOKUP(Table2[[#This Row],[Description]],'Actuals Lookup'!D:F,3,0),VLOOKUP(Table2[[#This Row],[Manual Cat Value]],Lookup!A:B,2,0))</f>
        <v>Restaurants</v>
      </c>
      <c r="G11857" t="s">
        <v>26</v>
      </c>
      <c r="I11857" s="8"/>
      <c r="O11857" t="str">
        <f>LEFT(Table2[[#This Row],[Description]],75)</f>
        <v>Aplpay Wayzata Cafe Wayzata Mn</v>
      </c>
    </row>
    <row r="11858" spans="1:15" hidden="1">
      <c r="A11858" s="25">
        <v>202407</v>
      </c>
      <c r="B11858" s="6">
        <v>45497</v>
      </c>
      <c r="C11858" t="s">
        <v>5160</v>
      </c>
      <c r="D11858" t="s">
        <v>5554</v>
      </c>
      <c r="E11858">
        <v>256.7</v>
      </c>
      <c r="F11858" s="2" t="str">
        <f>IF(Table2[[#This Row],[Manual Cat Value]]="",VLOOKUP(Table2[[#This Row],[Description]],'Actuals Lookup'!D:F,3,0),VLOOKUP(Table2[[#This Row],[Manual Cat Value]],Lookup!A:B,2,0))</f>
        <v>Travel</v>
      </c>
      <c r="G11858" t="s">
        <v>43</v>
      </c>
      <c r="H11858" s="8" t="s">
        <v>52</v>
      </c>
      <c r="I11858" s="8"/>
      <c r="O11858" t="str">
        <f>LEFT(Table2[[#This Row],[Description]],75)</f>
        <v>Boston Duck Tours</v>
      </c>
    </row>
    <row r="11859" spans="1:15" hidden="1">
      <c r="A11859" s="25">
        <v>202408</v>
      </c>
      <c r="B11859" s="6">
        <v>45518</v>
      </c>
      <c r="C11859" t="s">
        <v>5160</v>
      </c>
      <c r="D11859" t="s">
        <v>4829</v>
      </c>
      <c r="E11859">
        <v>57</v>
      </c>
      <c r="F11859" s="2" t="str">
        <f>IF(Table2[[#This Row],[Manual Cat Value]]="",VLOOKUP(Table2[[#This Row],[Description]],'Actuals Lookup'!D:F,3,0),VLOOKUP(Table2[[#This Row],[Manual Cat Value]],Lookup!A:B,2,0))</f>
        <v>Delete</v>
      </c>
      <c r="G11859" t="s">
        <v>43</v>
      </c>
      <c r="I11859" s="8"/>
      <c r="O11859" t="str">
        <f>LEFT(Table2[[#This Row],[Description]],75)</f>
        <v>Msp Airport Parking</v>
      </c>
    </row>
    <row r="11860" spans="1:15" hidden="1">
      <c r="A11860">
        <v>202409</v>
      </c>
      <c r="B11860" s="6">
        <v>45545</v>
      </c>
      <c r="C11860" t="s">
        <v>5555</v>
      </c>
      <c r="D11860" t="s">
        <v>5556</v>
      </c>
      <c r="E11860">
        <v>60</v>
      </c>
      <c r="F11860" s="2" t="str">
        <f>IF(Table2[[#This Row],[Manual Cat Value]]="",VLOOKUP(Table2[[#This Row],[Description]],'Actuals Lookup'!D:F,3,0),VLOOKUP(Table2[[#This Row],[Manual Cat Value]],Lookup!A:B,2,0))</f>
        <v>Delete</v>
      </c>
      <c r="H11860" s="8" t="s">
        <v>9</v>
      </c>
      <c r="I11860" s="8"/>
      <c r="O11860" t="str">
        <f>LEFT(Table2[[#This Row],[Description]],75)</f>
        <v>MSP AIRPORT PARKING SAINT PAUL          MN</v>
      </c>
    </row>
    <row r="11861" spans="1:15" hidden="1">
      <c r="A11861" s="25">
        <v>202407</v>
      </c>
      <c r="B11861" s="6">
        <v>45497</v>
      </c>
      <c r="C11861" t="s">
        <v>5160</v>
      </c>
      <c r="D11861" t="s">
        <v>5523</v>
      </c>
      <c r="E11861">
        <v>-170</v>
      </c>
      <c r="F11861" s="2" t="str">
        <f>IF(Table2[[#This Row],[Manual Cat Value]]="",VLOOKUP(Table2[[#This Row],[Description]],'Actuals Lookup'!D:F,3,0),VLOOKUP(Table2[[#This Row],[Manual Cat Value]],Lookup!A:B,2,0))</f>
        <v>Shopping</v>
      </c>
      <c r="G11861" t="s">
        <v>21</v>
      </c>
      <c r="H11861" t="s">
        <v>36</v>
      </c>
      <c r="I11861" s="8"/>
      <c r="O11861" t="str">
        <f>LEFT(Table2[[#This Row],[Description]],75)</f>
        <v>The North Face</v>
      </c>
    </row>
    <row r="11862" spans="1:15" hidden="1">
      <c r="A11862" s="25">
        <v>202407</v>
      </c>
      <c r="B11862" s="6">
        <v>45497</v>
      </c>
      <c r="C11862" t="s">
        <v>5160</v>
      </c>
      <c r="D11862" t="s">
        <v>5090</v>
      </c>
      <c r="E11862">
        <v>27.57</v>
      </c>
      <c r="F11862" s="2" t="str">
        <f>IF(Table2[[#This Row],[Manual Cat Value]]="",VLOOKUP(Table2[[#This Row],[Description]],'Actuals Lookup'!D:F,3,0),VLOOKUP(Table2[[#This Row],[Manual Cat Value]],Lookup!A:B,2,0))</f>
        <v>Dry Cleaning</v>
      </c>
      <c r="G11862" t="s">
        <v>4745</v>
      </c>
      <c r="I11862" s="8"/>
      <c r="O11862" t="str">
        <f>LEFT(Table2[[#This Row],[Description]],75)</f>
        <v>Tide Dry Cleaners</v>
      </c>
    </row>
    <row r="11863" spans="1:15" hidden="1">
      <c r="A11863" s="25">
        <v>202407</v>
      </c>
      <c r="B11863" s="6">
        <v>45497</v>
      </c>
      <c r="C11863" t="s">
        <v>5160</v>
      </c>
      <c r="D11863" t="s">
        <v>2135</v>
      </c>
      <c r="E11863">
        <v>28.19</v>
      </c>
      <c r="F11863" s="2" t="str">
        <f>IF(Table2[[#This Row],[Manual Cat Value]]="",VLOOKUP(Table2[[#This Row],[Description]],'Actuals Lookup'!D:F,3,0),VLOOKUP(Table2[[#This Row],[Manual Cat Value]],Lookup!A:B,2,0))</f>
        <v>Groceries</v>
      </c>
      <c r="G11863" t="s">
        <v>48</v>
      </c>
      <c r="I11863" s="8"/>
      <c r="O11863" t="str">
        <f>LEFT(Table2[[#This Row],[Description]],75)</f>
        <v>Walgreens</v>
      </c>
    </row>
    <row r="11864" spans="1:15" hidden="1">
      <c r="A11864">
        <v>202407</v>
      </c>
      <c r="B11864" s="6">
        <v>45497</v>
      </c>
      <c r="C11864" t="s">
        <v>2519</v>
      </c>
      <c r="D11864" t="s">
        <v>5557</v>
      </c>
      <c r="E11864">
        <v>278</v>
      </c>
      <c r="F11864" s="2" t="str">
        <f>IF(Table2[[#This Row],[Manual Cat Value]]="",VLOOKUP(Table2[[#This Row],[Description]],'Actuals Lookup'!D:F,3,0),VLOOKUP(Table2[[#This Row],[Manual Cat Value]],Lookup!A:B,2,0))</f>
        <v>Day Care</v>
      </c>
      <c r="H11864" t="s">
        <v>19</v>
      </c>
      <c r="I11864" s="8"/>
      <c r="O11864" t="str">
        <f>LEFT(Table2[[#This Row],[Description]],75)</f>
        <v xml:space="preserve">Withdrawal ACH RILEY CROSSING C TYPE: XX8412 ID: XX9040 CO: RILEY CROSSING </v>
      </c>
    </row>
    <row r="11865" spans="1:15" hidden="1">
      <c r="A11865">
        <v>202407</v>
      </c>
      <c r="B11865" s="6">
        <v>45498</v>
      </c>
      <c r="C11865" t="s">
        <v>3938</v>
      </c>
      <c r="D11865" t="s">
        <v>113</v>
      </c>
      <c r="E11865">
        <v>-84.29</v>
      </c>
      <c r="F11865" s="2" t="str">
        <f>IF(Table2[[#This Row],[Manual Cat Value]]="",VLOOKUP(Table2[[#This Row],[Description]],'Actuals Lookup'!D:F,3,0),VLOOKUP(Table2[[#This Row],[Manual Cat Value]],Lookup!A:B,2,0))</f>
        <v>Amazon</v>
      </c>
      <c r="I11865" s="8"/>
      <c r="O11865" t="str">
        <f>LEFT(Table2[[#This Row],[Description]],75)</f>
        <v>Amazon Marketplace</v>
      </c>
    </row>
    <row r="11866" spans="1:15" hidden="1">
      <c r="A11866">
        <v>202407</v>
      </c>
      <c r="B11866" s="6">
        <v>45498</v>
      </c>
      <c r="C11866" t="s">
        <v>3938</v>
      </c>
      <c r="D11866" t="s">
        <v>113</v>
      </c>
      <c r="E11866">
        <v>46.03</v>
      </c>
      <c r="F11866" s="2" t="str">
        <f>IF(Table2[[#This Row],[Manual Cat Value]]="",VLOOKUP(Table2[[#This Row],[Description]],'Actuals Lookup'!D:F,3,0),VLOOKUP(Table2[[#This Row],[Manual Cat Value]],Lookup!A:B,2,0))</f>
        <v>Amazon</v>
      </c>
      <c r="I11866" s="8"/>
      <c r="O11866" t="str">
        <f>LEFT(Table2[[#This Row],[Description]],75)</f>
        <v>Amazon Marketplace</v>
      </c>
    </row>
    <row r="11867" spans="1:15" hidden="1">
      <c r="A11867">
        <v>202407</v>
      </c>
      <c r="B11867" s="6">
        <v>45498</v>
      </c>
      <c r="C11867" t="s">
        <v>3938</v>
      </c>
      <c r="D11867" t="s">
        <v>113</v>
      </c>
      <c r="E11867">
        <v>141.87</v>
      </c>
      <c r="F11867" s="2" t="str">
        <f>IF(Table2[[#This Row],[Manual Cat Value]]="",VLOOKUP(Table2[[#This Row],[Description]],'Actuals Lookup'!D:F,3,0),VLOOKUP(Table2[[#This Row],[Manual Cat Value]],Lookup!A:B,2,0))</f>
        <v>Amazon</v>
      </c>
      <c r="I11867" s="8"/>
      <c r="O11867" t="str">
        <f>LEFT(Table2[[#This Row],[Description]],75)</f>
        <v>Amazon Marketplace</v>
      </c>
    </row>
    <row r="11868" spans="1:15" hidden="1">
      <c r="A11868">
        <v>202407</v>
      </c>
      <c r="B11868" s="6">
        <v>45498</v>
      </c>
      <c r="C11868" t="s">
        <v>3938</v>
      </c>
      <c r="D11868" t="s">
        <v>113</v>
      </c>
      <c r="E11868">
        <v>8.66</v>
      </c>
      <c r="F11868" s="2" t="str">
        <f>IF(Table2[[#This Row],[Manual Cat Value]]="",VLOOKUP(Table2[[#This Row],[Description]],'Actuals Lookup'!D:F,3,0),VLOOKUP(Table2[[#This Row],[Manual Cat Value]],Lookup!A:B,2,0))</f>
        <v>Amazon</v>
      </c>
      <c r="I11868" s="8"/>
      <c r="O11868" t="str">
        <f>LEFT(Table2[[#This Row],[Description]],75)</f>
        <v>Amazon Marketplace</v>
      </c>
    </row>
    <row r="11869" spans="1:15" hidden="1">
      <c r="A11869" s="25">
        <v>202407</v>
      </c>
      <c r="B11869" s="6">
        <v>45498</v>
      </c>
      <c r="C11869" t="s">
        <v>5160</v>
      </c>
      <c r="D11869" t="s">
        <v>5558</v>
      </c>
      <c r="E11869">
        <v>66.66</v>
      </c>
      <c r="F11869" s="2" t="str">
        <f>IF(Table2[[#This Row],[Manual Cat Value]]="",VLOOKUP(Table2[[#This Row],[Description]],'Actuals Lookup'!D:F,3,0),VLOOKUP(Table2[[#This Row],[Manual Cat Value]],Lookup!A:B,2,0))</f>
        <v>Restaurants</v>
      </c>
      <c r="G11869" t="s">
        <v>26</v>
      </c>
      <c r="H11869" s="8" t="s">
        <v>25</v>
      </c>
      <c r="I11869" s="8"/>
      <c r="O11869" t="str">
        <f>LEFT(Table2[[#This Row],[Description]],75)</f>
        <v>Benny's Bigfoot Bbq Excelsior Mn</v>
      </c>
    </row>
    <row r="11870" spans="1:15" hidden="1">
      <c r="A11870" s="25">
        <v>202407</v>
      </c>
      <c r="B11870" s="6">
        <v>45498</v>
      </c>
      <c r="C11870" t="s">
        <v>5160</v>
      </c>
      <c r="D11870" t="s">
        <v>5559</v>
      </c>
      <c r="E11870">
        <v>212</v>
      </c>
      <c r="F11870" s="2" t="str">
        <f>IF(Table2[[#This Row],[Manual Cat Value]]="",VLOOKUP(Table2[[#This Row],[Description]],'Actuals Lookup'!D:F,3,0),VLOOKUP(Table2[[#This Row],[Manual Cat Value]],Lookup!A:B,2,0))</f>
        <v>Travel</v>
      </c>
      <c r="G11870" t="s">
        <v>26</v>
      </c>
      <c r="H11870" s="8" t="s">
        <v>52</v>
      </c>
      <c r="I11870" s="8"/>
      <c r="O11870" t="str">
        <f>LEFT(Table2[[#This Row],[Description]],75)</f>
        <v>Boston Tea Party Boston Ma</v>
      </c>
    </row>
    <row r="11871" spans="1:15" hidden="1">
      <c r="A11871">
        <v>202407</v>
      </c>
      <c r="B11871" s="6">
        <v>45498</v>
      </c>
      <c r="C11871" t="s">
        <v>2519</v>
      </c>
      <c r="D11871" t="s">
        <v>404</v>
      </c>
      <c r="E11871">
        <v>-21997.13</v>
      </c>
      <c r="F11871" s="2" t="str">
        <f>IF(Table2[[#This Row],[Manual Cat Value]]="",VLOOKUP(Table2[[#This Row],[Description]],'Actuals Lookup'!D:F,3,0),VLOOKUP(Table2[[#This Row],[Manual Cat Value]],Lookup!A:B,2,0))</f>
        <v>Britney</v>
      </c>
      <c r="I11871" s="8"/>
      <c r="O11871" t="str">
        <f>LEFT(Table2[[#This Row],[Description]],75)</f>
        <v>Cargill Inc Deposit</v>
      </c>
    </row>
    <row r="11872" spans="1:15" hidden="1">
      <c r="A11872">
        <v>202407</v>
      </c>
      <c r="B11872" s="6">
        <v>45498</v>
      </c>
      <c r="C11872" t="s">
        <v>3938</v>
      </c>
      <c r="D11872" t="s">
        <v>4887</v>
      </c>
      <c r="E11872">
        <v>44.72</v>
      </c>
      <c r="F11872" s="2" t="str">
        <f>IF(Table2[[#This Row],[Manual Cat Value]]="",VLOOKUP(Table2[[#This Row],[Description]],'Actuals Lookup'!D:F,3,0),VLOOKUP(Table2[[#This Row],[Manual Cat Value]],Lookup!A:B,2,0))</f>
        <v>Groceries</v>
      </c>
      <c r="I11872" s="8"/>
      <c r="O11872" t="str">
        <f>LEFT(Table2[[#This Row],[Description]],75)</f>
        <v>Costco Gas Stations</v>
      </c>
    </row>
    <row r="11873" spans="1:15" hidden="1">
      <c r="A11873">
        <v>202407</v>
      </c>
      <c r="B11873" s="6">
        <v>45498</v>
      </c>
      <c r="C11873" t="s">
        <v>2519</v>
      </c>
      <c r="D11873" t="s">
        <v>5560</v>
      </c>
      <c r="E11873">
        <v>-2398.71</v>
      </c>
      <c r="F11873" s="2" t="str">
        <f>IF(Table2[[#This Row],[Manual Cat Value]]="",VLOOKUP(Table2[[#This Row],[Description]],'Actuals Lookup'!D:F,3,0),VLOOKUP(Table2[[#This Row],[Manual Cat Value]],Lookup!A:B,2,0))</f>
        <v>Jeff</v>
      </c>
      <c r="H11873" s="8" t="s">
        <v>63</v>
      </c>
      <c r="I11873" s="8"/>
      <c r="O11873" t="str">
        <f>LEFT(Table2[[#This Row],[Description]],75)</f>
        <v>Deposit ACH EMPYREAN SOLUTIO TYPE: XX9000 ID: XX3620 CO: EMPYREAN SOLUTIO E</v>
      </c>
    </row>
    <row r="11874" spans="1:15" hidden="1">
      <c r="A11874">
        <v>202407</v>
      </c>
      <c r="B11874" s="6">
        <v>45498</v>
      </c>
      <c r="C11874" t="s">
        <v>2519</v>
      </c>
      <c r="D11874" t="s">
        <v>4415</v>
      </c>
      <c r="E11874">
        <v>438.04</v>
      </c>
      <c r="F11874" s="2" t="str">
        <f>IF(Table2[[#This Row],[Manual Cat Value]]="",VLOOKUP(Table2[[#This Row],[Description]],'Actuals Lookup'!D:F,3,0),VLOOKUP(Table2[[#This Row],[Manual Cat Value]],Lookup!A:B,2,0))</f>
        <v>Target</v>
      </c>
      <c r="I11874" s="8"/>
      <c r="O11874" t="str">
        <f>LEFT(Table2[[#This Row],[Description]],75)</f>
        <v>Payment to Jeffrey B</v>
      </c>
    </row>
    <row r="11875" spans="1:15" hidden="1">
      <c r="A11875" s="25">
        <v>202407</v>
      </c>
      <c r="B11875" s="6">
        <v>45498</v>
      </c>
      <c r="C11875" t="s">
        <v>5160</v>
      </c>
      <c r="D11875" t="s">
        <v>5561</v>
      </c>
      <c r="E11875">
        <v>12.46</v>
      </c>
      <c r="F11875" s="2" t="str">
        <f>IF(Table2[[#This Row],[Manual Cat Value]]="",VLOOKUP(Table2[[#This Row],[Description]],'Actuals Lookup'!D:F,3,0),VLOOKUP(Table2[[#This Row],[Manual Cat Value]],Lookup!A:B,2,0))</f>
        <v>Restaurants</v>
      </c>
      <c r="G11875" t="s">
        <v>26</v>
      </c>
      <c r="H11875" t="s">
        <v>25</v>
      </c>
      <c r="I11875" s="8"/>
      <c r="O11875" t="str">
        <f>LEFT(Table2[[#This Row],[Description]],75)</f>
        <v>Qdoba Mexican Grill</v>
      </c>
    </row>
    <row r="11876" spans="1:15" hidden="1">
      <c r="A11876" s="25">
        <v>202407</v>
      </c>
      <c r="B11876" s="6">
        <v>45499</v>
      </c>
      <c r="C11876" t="s">
        <v>5160</v>
      </c>
      <c r="D11876" t="s">
        <v>5562</v>
      </c>
      <c r="E11876">
        <v>123.02</v>
      </c>
      <c r="F11876" s="2" t="str">
        <f>IF(Table2[[#This Row],[Manual Cat Value]]="",VLOOKUP(Table2[[#This Row],[Description]],'Actuals Lookup'!D:F,3,0),VLOOKUP(Table2[[#This Row],[Manual Cat Value]],Lookup!A:B,2,0))</f>
        <v>Restaurants</v>
      </c>
      <c r="G11876" t="s">
        <v>26</v>
      </c>
      <c r="H11876" s="8" t="s">
        <v>25</v>
      </c>
      <c r="I11876" s="8"/>
      <c r="O11876" t="str">
        <f>LEFT(Table2[[#This Row],[Description]],75)</f>
        <v>Aplpay Tst* Yankee Lboston Ma</v>
      </c>
    </row>
    <row r="11877" spans="1:15" hidden="1">
      <c r="A11877" s="25">
        <v>202407</v>
      </c>
      <c r="B11877" s="6">
        <v>45499</v>
      </c>
      <c r="C11877" t="s">
        <v>5160</v>
      </c>
      <c r="D11877" t="s">
        <v>5563</v>
      </c>
      <c r="E11877">
        <v>22.42</v>
      </c>
      <c r="F11877" s="2" t="str">
        <f>IF(Table2[[#This Row],[Manual Cat Value]]="",VLOOKUP(Table2[[#This Row],[Description]],'Actuals Lookup'!D:F,3,0),VLOOKUP(Table2[[#This Row],[Manual Cat Value]],Lookup!A:B,2,0))</f>
        <v>Restaurants</v>
      </c>
      <c r="G11877" t="s">
        <v>26</v>
      </c>
      <c r="H11877" s="8" t="s">
        <v>25</v>
      </c>
      <c r="I11877" s="8"/>
      <c r="O11877" t="str">
        <f>LEFT(Table2[[#This Row],[Description]],75)</f>
        <v>Ben &amp; Jerry's</v>
      </c>
    </row>
    <row r="11878" spans="1:15" hidden="1">
      <c r="A11878" s="25">
        <v>202407</v>
      </c>
      <c r="B11878" s="6">
        <v>45499</v>
      </c>
      <c r="C11878" t="s">
        <v>5160</v>
      </c>
      <c r="D11878" t="s">
        <v>5564</v>
      </c>
      <c r="E11878">
        <v>4.53</v>
      </c>
      <c r="F11878" s="2" t="str">
        <f>IF(Table2[[#This Row],[Manual Cat Value]]="",VLOOKUP(Table2[[#This Row],[Description]],'Actuals Lookup'!D:F,3,0),VLOOKUP(Table2[[#This Row],[Manual Cat Value]],Lookup!A:B,2,0))</f>
        <v>Restaurants</v>
      </c>
      <c r="G11878" t="s">
        <v>28</v>
      </c>
      <c r="H11878" s="8" t="s">
        <v>25</v>
      </c>
      <c r="I11878" s="8"/>
      <c r="O11878" t="str">
        <f>LEFT(Table2[[#This Row],[Description]],75)</f>
        <v>Bottle Rocket Term 1st. Paul Mn</v>
      </c>
    </row>
    <row r="11879" spans="1:15" hidden="1">
      <c r="A11879" s="25">
        <v>202407</v>
      </c>
      <c r="B11879" s="6">
        <v>45499</v>
      </c>
      <c r="C11879" t="s">
        <v>5160</v>
      </c>
      <c r="D11879" t="s">
        <v>5565</v>
      </c>
      <c r="E11879">
        <v>28.68</v>
      </c>
      <c r="F11879" s="2" t="str">
        <f>IF(Table2[[#This Row],[Manual Cat Value]]="",VLOOKUP(Table2[[#This Row],[Description]],'Actuals Lookup'!D:F,3,0),VLOOKUP(Table2[[#This Row],[Manual Cat Value]],Lookup!A:B,2,0))</f>
        <v>Restaurants</v>
      </c>
      <c r="G11879" t="s">
        <v>26</v>
      </c>
      <c r="H11879" s="8" t="s">
        <v>25</v>
      </c>
      <c r="I11879" s="8"/>
      <c r="O11879" t="str">
        <f>LEFT(Table2[[#This Row],[Description]],75)</f>
        <v>Cisco Brewers</v>
      </c>
    </row>
    <row r="11880" spans="1:15" hidden="1">
      <c r="A11880" s="25">
        <v>202407</v>
      </c>
      <c r="B11880" s="6">
        <v>45499</v>
      </c>
      <c r="C11880" t="s">
        <v>5160</v>
      </c>
      <c r="D11880" t="s">
        <v>5565</v>
      </c>
      <c r="E11880">
        <v>12.84</v>
      </c>
      <c r="F11880" s="2" t="str">
        <f>IF(Table2[[#This Row],[Manual Cat Value]]="",VLOOKUP(Table2[[#This Row],[Description]],'Actuals Lookup'!D:F,3,0),VLOOKUP(Table2[[#This Row],[Manual Cat Value]],Lookup!A:B,2,0))</f>
        <v>Restaurants</v>
      </c>
      <c r="G11880" t="s">
        <v>26</v>
      </c>
      <c r="H11880" s="8" t="s">
        <v>25</v>
      </c>
      <c r="I11880" s="8"/>
      <c r="O11880" t="str">
        <f>LEFT(Table2[[#This Row],[Description]],75)</f>
        <v>Cisco Brewers</v>
      </c>
    </row>
    <row r="11881" spans="1:15" hidden="1">
      <c r="A11881" s="25">
        <v>202407</v>
      </c>
      <c r="B11881" s="6">
        <v>45499</v>
      </c>
      <c r="C11881" t="s">
        <v>5160</v>
      </c>
      <c r="D11881" t="s">
        <v>5565</v>
      </c>
      <c r="E11881">
        <v>41.52</v>
      </c>
      <c r="F11881" s="2" t="str">
        <f>IF(Table2[[#This Row],[Manual Cat Value]]="",VLOOKUP(Table2[[#This Row],[Description]],'Actuals Lookup'!D:F,3,0),VLOOKUP(Table2[[#This Row],[Manual Cat Value]],Lookup!A:B,2,0))</f>
        <v>Restaurants</v>
      </c>
      <c r="G11881" t="s">
        <v>26</v>
      </c>
      <c r="H11881" s="8" t="s">
        <v>25</v>
      </c>
      <c r="I11881" s="8"/>
      <c r="O11881" t="str">
        <f>LEFT(Table2[[#This Row],[Description]],75)</f>
        <v>Cisco Brewers</v>
      </c>
    </row>
    <row r="11882" spans="1:15" hidden="1">
      <c r="A11882" s="25">
        <v>202407</v>
      </c>
      <c r="B11882" s="6">
        <v>45499</v>
      </c>
      <c r="C11882" t="s">
        <v>5160</v>
      </c>
      <c r="D11882" t="s">
        <v>5565</v>
      </c>
      <c r="E11882">
        <v>4.28</v>
      </c>
      <c r="F11882" s="2" t="str">
        <f>IF(Table2[[#This Row],[Manual Cat Value]]="",VLOOKUP(Table2[[#This Row],[Description]],'Actuals Lookup'!D:F,3,0),VLOOKUP(Table2[[#This Row],[Manual Cat Value]],Lookup!A:B,2,0))</f>
        <v>Restaurants</v>
      </c>
      <c r="G11882" t="s">
        <v>26</v>
      </c>
      <c r="H11882" s="8" t="s">
        <v>25</v>
      </c>
      <c r="I11882" s="8"/>
      <c r="O11882" t="str">
        <f>LEFT(Table2[[#This Row],[Description]],75)</f>
        <v>Cisco Brewers</v>
      </c>
    </row>
    <row r="11883" spans="1:15" hidden="1">
      <c r="A11883" s="25">
        <v>202407</v>
      </c>
      <c r="B11883" s="6">
        <v>45499</v>
      </c>
      <c r="C11883" t="s">
        <v>5160</v>
      </c>
      <c r="D11883" t="s">
        <v>5566</v>
      </c>
      <c r="E11883">
        <v>6.43</v>
      </c>
      <c r="F11883" s="2" t="str">
        <f>IF(Table2[[#This Row],[Manual Cat Value]]="",VLOOKUP(Table2[[#This Row],[Description]],'Actuals Lookup'!D:F,3,0),VLOOKUP(Table2[[#This Row],[Manual Cat Value]],Lookup!A:B,2,0))</f>
        <v>Restaurants</v>
      </c>
      <c r="G11883" t="s">
        <v>26</v>
      </c>
      <c r="H11883" s="8" t="s">
        <v>25</v>
      </c>
      <c r="I11883" s="8"/>
      <c r="O11883" t="str">
        <f>LEFT(Table2[[#This Row],[Description]],75)</f>
        <v>Cisco Seaport</v>
      </c>
    </row>
    <row r="11884" spans="1:15" hidden="1">
      <c r="A11884" s="25">
        <v>202407</v>
      </c>
      <c r="B11884" s="6">
        <v>45499</v>
      </c>
      <c r="C11884" t="s">
        <v>5160</v>
      </c>
      <c r="D11884" t="s">
        <v>5566</v>
      </c>
      <c r="E11884">
        <v>8.56</v>
      </c>
      <c r="F11884" s="2" t="str">
        <f>IF(Table2[[#This Row],[Manual Cat Value]]="",VLOOKUP(Table2[[#This Row],[Description]],'Actuals Lookup'!D:F,3,0),VLOOKUP(Table2[[#This Row],[Manual Cat Value]],Lookup!A:B,2,0))</f>
        <v>Restaurants</v>
      </c>
      <c r="G11884" t="s">
        <v>26</v>
      </c>
      <c r="H11884" s="8" t="s">
        <v>25</v>
      </c>
      <c r="I11884" s="8"/>
      <c r="O11884" t="str">
        <f>LEFT(Table2[[#This Row],[Description]],75)</f>
        <v>Cisco Seaport</v>
      </c>
    </row>
    <row r="11885" spans="1:15" hidden="1">
      <c r="A11885" s="25">
        <v>202407</v>
      </c>
      <c r="B11885" s="6">
        <v>45499</v>
      </c>
      <c r="C11885" t="s">
        <v>5160</v>
      </c>
      <c r="D11885" t="s">
        <v>5566</v>
      </c>
      <c r="E11885">
        <v>41.52</v>
      </c>
      <c r="F11885" s="2" t="str">
        <f>IF(Table2[[#This Row],[Manual Cat Value]]="",VLOOKUP(Table2[[#This Row],[Description]],'Actuals Lookup'!D:F,3,0),VLOOKUP(Table2[[#This Row],[Manual Cat Value]],Lookup!A:B,2,0))</f>
        <v>Restaurants</v>
      </c>
      <c r="G11885" t="s">
        <v>26</v>
      </c>
      <c r="H11885" s="8" t="s">
        <v>25</v>
      </c>
      <c r="I11885" s="8"/>
      <c r="O11885" t="str">
        <f>LEFT(Table2[[#This Row],[Description]],75)</f>
        <v>Cisco Seaport</v>
      </c>
    </row>
    <row r="11886" spans="1:15" hidden="1">
      <c r="A11886" s="25">
        <v>202407</v>
      </c>
      <c r="B11886" s="6">
        <v>45499</v>
      </c>
      <c r="C11886" t="s">
        <v>5160</v>
      </c>
      <c r="D11886" t="s">
        <v>5567</v>
      </c>
      <c r="E11886">
        <v>13.84</v>
      </c>
      <c r="F11886" s="2" t="str">
        <f>IF(Table2[[#This Row],[Manual Cat Value]]="",VLOOKUP(Table2[[#This Row],[Description]],'Actuals Lookup'!D:F,3,0),VLOOKUP(Table2[[#This Row],[Manual Cat Value]],Lookup!A:B,2,0))</f>
        <v>Restaurants</v>
      </c>
      <c r="G11886" t="s">
        <v>40</v>
      </c>
      <c r="H11886" t="s">
        <v>25</v>
      </c>
      <c r="I11886" s="8"/>
      <c r="O11886" t="str">
        <f>LEFT(Table2[[#This Row],[Description]],75)</f>
        <v>Rowes Wharf</v>
      </c>
    </row>
    <row r="11887" spans="1:15" hidden="1">
      <c r="A11887">
        <v>202409</v>
      </c>
      <c r="B11887" s="6">
        <v>45555</v>
      </c>
      <c r="C11887" t="s">
        <v>130</v>
      </c>
      <c r="D11887" t="s">
        <v>5556</v>
      </c>
      <c r="E11887">
        <v>147</v>
      </c>
      <c r="F11887" s="2" t="str">
        <f>IF(Table2[[#This Row],[Manual Cat Value]]="",VLOOKUP(Table2[[#This Row],[Description]],'Actuals Lookup'!D:F,3,0),VLOOKUP(Table2[[#This Row],[Manual Cat Value]],Lookup!A:B,2,0))</f>
        <v>Delete</v>
      </c>
      <c r="H11887" s="8" t="s">
        <v>9</v>
      </c>
      <c r="I11887" s="8"/>
      <c r="O11887" t="str">
        <f>LEFT(Table2[[#This Row],[Description]],75)</f>
        <v>MSP AIRPORT PARKING SAINT PAUL          MN</v>
      </c>
    </row>
    <row r="11888" spans="1:15" hidden="1">
      <c r="A11888">
        <v>202407</v>
      </c>
      <c r="B11888" s="6">
        <v>45499</v>
      </c>
      <c r="C11888" t="s">
        <v>2519</v>
      </c>
      <c r="D11888" t="s">
        <v>1958</v>
      </c>
      <c r="E11888">
        <v>125</v>
      </c>
      <c r="F11888" s="2" t="str">
        <f>IF(Table2[[#This Row],[Manual Cat Value]]="",VLOOKUP(Table2[[#This Row],[Description]],'Actuals Lookup'!D:F,3,0),VLOOKUP(Table2[[#This Row],[Manual Cat Value]],Lookup!A:B,2,0))</f>
        <v>Shopping</v>
      </c>
      <c r="I11888" s="8"/>
      <c r="O11888" t="str">
        <f>LEFT(Table2[[#This Row],[Description]],75)</f>
        <v>Transfer to Venmo</v>
      </c>
    </row>
    <row r="11889" spans="1:15" hidden="1">
      <c r="A11889" s="25">
        <v>202407</v>
      </c>
      <c r="B11889" s="6">
        <v>45499</v>
      </c>
      <c r="C11889" t="s">
        <v>5160</v>
      </c>
      <c r="D11889" t="s">
        <v>5568</v>
      </c>
      <c r="E11889">
        <v>184.7</v>
      </c>
      <c r="F11889" s="2" t="str">
        <f>IF(Table2[[#This Row],[Manual Cat Value]]="",VLOOKUP(Table2[[#This Row],[Description]],'Actuals Lookup'!D:F,3,0),VLOOKUP(Table2[[#This Row],[Manual Cat Value]],Lookup!A:B,2,0))</f>
        <v>Restaurants</v>
      </c>
      <c r="G11889" t="s">
        <v>26</v>
      </c>
      <c r="H11889" t="s">
        <v>25</v>
      </c>
      <c r="I11889" s="8"/>
      <c r="O11889" t="str">
        <f>LEFT(Table2[[#This Row],[Description]],75)</f>
        <v>Tst* The Barking Craboston Ma</v>
      </c>
    </row>
    <row r="11890" spans="1:15" hidden="1">
      <c r="A11890" s="25">
        <v>202407</v>
      </c>
      <c r="B11890" s="6">
        <v>45500</v>
      </c>
      <c r="C11890" t="s">
        <v>5160</v>
      </c>
      <c r="D11890" t="s">
        <v>5058</v>
      </c>
      <c r="E11890">
        <v>6.42</v>
      </c>
      <c r="F11890" s="2" t="str">
        <f>IF(Table2[[#This Row],[Manual Cat Value]]="",VLOOKUP(Table2[[#This Row],[Description]],'Actuals Lookup'!D:F,3,0),VLOOKUP(Table2[[#This Row],[Manual Cat Value]],Lookup!A:B,2,0))</f>
        <v>Restaurants</v>
      </c>
      <c r="G11890" t="s">
        <v>62</v>
      </c>
      <c r="H11890" t="s">
        <v>25</v>
      </c>
      <c r="I11890" s="8"/>
      <c r="O11890" t="str">
        <f>LEFT(Table2[[#This Row],[Description]],75)</f>
        <v>Amk</v>
      </c>
    </row>
    <row r="11891" spans="1:15" hidden="1">
      <c r="A11891" s="25">
        <v>202407</v>
      </c>
      <c r="B11891" s="6">
        <v>45500</v>
      </c>
      <c r="C11891" t="s">
        <v>5160</v>
      </c>
      <c r="D11891" t="s">
        <v>5569</v>
      </c>
      <c r="E11891">
        <v>108.67</v>
      </c>
      <c r="F11891" s="2" t="str">
        <f>IF(Table2[[#This Row],[Manual Cat Value]]="",VLOOKUP(Table2[[#This Row],[Description]],'Actuals Lookup'!D:F,3,0),VLOOKUP(Table2[[#This Row],[Manual Cat Value]],Lookup!A:B,2,0))</f>
        <v>Restaurants</v>
      </c>
      <c r="G11891" t="s">
        <v>26</v>
      </c>
      <c r="H11891" s="8" t="s">
        <v>25</v>
      </c>
      <c r="I11891" s="8"/>
      <c r="O11891" t="str">
        <f>LEFT(Table2[[#This Row],[Description]],75)</f>
        <v>Back Bay Social Clubboston Ma</v>
      </c>
    </row>
    <row r="11892" spans="1:15" hidden="1">
      <c r="A11892" s="25">
        <v>202407</v>
      </c>
      <c r="B11892" s="6">
        <v>45500</v>
      </c>
      <c r="C11892" t="s">
        <v>5160</v>
      </c>
      <c r="D11892" t="s">
        <v>5570</v>
      </c>
      <c r="E11892">
        <v>88</v>
      </c>
      <c r="F11892" s="2" t="str">
        <f>IF(Table2[[#This Row],[Manual Cat Value]]="",VLOOKUP(Table2[[#This Row],[Description]],'Actuals Lookup'!D:F,3,0),VLOOKUP(Table2[[#This Row],[Manual Cat Value]],Lookup!A:B,2,0))</f>
        <v>Travel</v>
      </c>
      <c r="G11892" t="s">
        <v>48</v>
      </c>
      <c r="H11892" s="8" t="s">
        <v>52</v>
      </c>
      <c r="I11892" s="8"/>
      <c r="O11892" t="str">
        <f>LEFT(Table2[[#This Row],[Description]],75)</f>
        <v>Boston Childrens</v>
      </c>
    </row>
    <row r="11893" spans="1:15" hidden="1">
      <c r="A11893" s="25">
        <v>202407</v>
      </c>
      <c r="B11893" s="6">
        <v>45500</v>
      </c>
      <c r="C11893" t="s">
        <v>5160</v>
      </c>
      <c r="D11893" t="s">
        <v>5571</v>
      </c>
      <c r="E11893">
        <v>26.75</v>
      </c>
      <c r="F11893" s="2" t="str">
        <f>IF(Table2[[#This Row],[Manual Cat Value]]="",VLOOKUP(Table2[[#This Row],[Description]],'Actuals Lookup'!D:F,3,0),VLOOKUP(Table2[[#This Row],[Manual Cat Value]],Lookup!A:B,2,0))</f>
        <v>Entertainment</v>
      </c>
      <c r="G11893" t="s">
        <v>26</v>
      </c>
      <c r="H11893" s="8" t="s">
        <v>39</v>
      </c>
      <c r="I11893" s="8"/>
      <c r="O11893" t="str">
        <f>LEFT(Table2[[#This Row],[Description]],75)</f>
        <v>Fenway Park Concessions</v>
      </c>
    </row>
    <row r="11894" spans="1:15" hidden="1">
      <c r="A11894" s="25">
        <v>202407</v>
      </c>
      <c r="B11894" s="6">
        <v>45500</v>
      </c>
      <c r="C11894" t="s">
        <v>5160</v>
      </c>
      <c r="D11894" t="s">
        <v>5571</v>
      </c>
      <c r="E11894">
        <v>23.84</v>
      </c>
      <c r="F11894" s="2" t="str">
        <f>IF(Table2[[#This Row],[Manual Cat Value]]="",VLOOKUP(Table2[[#This Row],[Description]],'Actuals Lookup'!D:F,3,0),VLOOKUP(Table2[[#This Row],[Manual Cat Value]],Lookup!A:B,2,0))</f>
        <v>Entertainment</v>
      </c>
      <c r="G11894" t="s">
        <v>26</v>
      </c>
      <c r="H11894" s="8" t="s">
        <v>39</v>
      </c>
      <c r="I11894" s="8"/>
      <c r="O11894" t="str">
        <f>LEFT(Table2[[#This Row],[Description]],75)</f>
        <v>Fenway Park Concessions</v>
      </c>
    </row>
    <row r="11895" spans="1:15" hidden="1">
      <c r="A11895" s="25">
        <v>202407</v>
      </c>
      <c r="B11895" s="6">
        <v>45500</v>
      </c>
      <c r="C11895" t="s">
        <v>5160</v>
      </c>
      <c r="D11895" t="s">
        <v>854</v>
      </c>
      <c r="E11895">
        <v>-84</v>
      </c>
      <c r="F11895" s="2" t="str">
        <f>IF(Table2[[#This Row],[Manual Cat Value]]="",VLOOKUP(Table2[[#This Row],[Description]],'Actuals Lookup'!D:F,3,0),VLOOKUP(Table2[[#This Row],[Manual Cat Value]],Lookup!A:B,2,0))</f>
        <v>Shopping</v>
      </c>
      <c r="G11895" t="s">
        <v>21</v>
      </c>
      <c r="I11895" s="8"/>
      <c r="O11895" t="str">
        <f>LEFT(Table2[[#This Row],[Description]],75)</f>
        <v>Free Fly Apparel</v>
      </c>
    </row>
    <row r="11896" spans="1:15" hidden="1">
      <c r="A11896" s="25">
        <v>202407</v>
      </c>
      <c r="B11896" s="6">
        <v>45500</v>
      </c>
      <c r="C11896" t="s">
        <v>5160</v>
      </c>
      <c r="D11896" t="s">
        <v>5512</v>
      </c>
      <c r="E11896">
        <v>4</v>
      </c>
      <c r="F11896" s="2" t="str">
        <f>IF(Table2[[#This Row],[Manual Cat Value]]="",VLOOKUP(Table2[[#This Row],[Description]],'Actuals Lookup'!D:F,3,0),VLOOKUP(Table2[[#This Row],[Manual Cat Value]],Lookup!A:B,2,0))</f>
        <v>Utilities</v>
      </c>
      <c r="G11896" t="s">
        <v>62</v>
      </c>
      <c r="H11896" s="8" t="s">
        <v>6</v>
      </c>
      <c r="I11896" s="8"/>
      <c r="O11896" t="str">
        <f>LEFT(Table2[[#This Row],[Description]],75)</f>
        <v>Google*svcsgns.x349- G.co Helppay#</v>
      </c>
    </row>
    <row r="11897" spans="1:15" hidden="1">
      <c r="A11897" s="25">
        <v>202407</v>
      </c>
      <c r="B11897" s="6">
        <v>45500</v>
      </c>
      <c r="C11897" t="s">
        <v>5160</v>
      </c>
      <c r="D11897" t="s">
        <v>5572</v>
      </c>
      <c r="E11897">
        <v>41.73</v>
      </c>
      <c r="F11897" s="2" t="str">
        <f>IF(Table2[[#This Row],[Manual Cat Value]]="",VLOOKUP(Table2[[#This Row],[Description]],'Actuals Lookup'!D:F,3,0),VLOOKUP(Table2[[#This Row],[Manual Cat Value]],Lookup!A:B,2,0))</f>
        <v>Restaurants</v>
      </c>
      <c r="G11897" t="s">
        <v>26</v>
      </c>
      <c r="H11897" t="s">
        <v>25</v>
      </c>
      <c r="I11897" s="8"/>
      <c r="O11897" t="str">
        <f>LEFT(Table2[[#This Row],[Description]],75)</f>
        <v>Pink Taco</v>
      </c>
    </row>
    <row r="11898" spans="1:15" hidden="1">
      <c r="A11898" s="25">
        <v>202407</v>
      </c>
      <c r="B11898" s="6">
        <v>45500</v>
      </c>
      <c r="C11898" t="s">
        <v>5160</v>
      </c>
      <c r="D11898" t="s">
        <v>5573</v>
      </c>
      <c r="E11898">
        <v>19.12</v>
      </c>
      <c r="F11898" s="2" t="str">
        <f>IF(Table2[[#This Row],[Manual Cat Value]]="",VLOOKUP(Table2[[#This Row],[Description]],'Actuals Lookup'!D:F,3,0),VLOOKUP(Table2[[#This Row],[Manual Cat Value]],Lookup!A:B,2,0))</f>
        <v>Restaurants</v>
      </c>
      <c r="G11898" t="s">
        <v>26</v>
      </c>
      <c r="H11898" t="s">
        <v>25</v>
      </c>
      <c r="I11898" s="8"/>
      <c r="O11898" t="str">
        <f>LEFT(Table2[[#This Row],[Description]],75)</f>
        <v>Tst* Harpoon Breweryboston Ma</v>
      </c>
    </row>
    <row r="11899" spans="1:15" hidden="1">
      <c r="A11899" s="25">
        <v>202407</v>
      </c>
      <c r="B11899" s="6">
        <v>45501</v>
      </c>
      <c r="C11899" t="s">
        <v>5160</v>
      </c>
      <c r="D11899" t="s">
        <v>5574</v>
      </c>
      <c r="E11899">
        <v>13.11</v>
      </c>
      <c r="F11899" s="2" t="str">
        <f>IF(Table2[[#This Row],[Manual Cat Value]]="",VLOOKUP(Table2[[#This Row],[Description]],'Actuals Lookup'!D:F,3,0),VLOOKUP(Table2[[#This Row],[Manual Cat Value]],Lookup!A:B,2,0))</f>
        <v>Travel</v>
      </c>
      <c r="G11899" t="s">
        <v>35</v>
      </c>
      <c r="H11899" s="8" t="s">
        <v>52</v>
      </c>
      <c r="I11899" s="8"/>
      <c r="O11899" t="str">
        <f>LEFT(Table2[[#This Row],[Description]],75)</f>
        <v>Aplpay East Broadwaysouth Boston Ma</v>
      </c>
    </row>
    <row r="11900" spans="1:15" hidden="1">
      <c r="A11900" s="25">
        <v>202407</v>
      </c>
      <c r="B11900" s="6">
        <v>45501</v>
      </c>
      <c r="C11900" t="s">
        <v>5160</v>
      </c>
      <c r="D11900" t="s">
        <v>5575</v>
      </c>
      <c r="E11900">
        <v>126.42</v>
      </c>
      <c r="F11900" s="2" t="str">
        <f>IF(Table2[[#This Row],[Manual Cat Value]]="",VLOOKUP(Table2[[#This Row],[Description]],'Actuals Lookup'!D:F,3,0),VLOOKUP(Table2[[#This Row],[Manual Cat Value]],Lookup!A:B,2,0))</f>
        <v>Shopping</v>
      </c>
      <c r="G11900" t="s">
        <v>26</v>
      </c>
      <c r="H11900" s="8" t="s">
        <v>36</v>
      </c>
      <c r="I11900" s="8"/>
      <c r="O11900" t="str">
        <f>LEFT(Table2[[#This Row],[Description]],75)</f>
        <v>Reelhouse</v>
      </c>
    </row>
    <row r="11901" spans="1:15" hidden="1">
      <c r="A11901" s="25">
        <v>202407</v>
      </c>
      <c r="B11901" s="6">
        <v>45501</v>
      </c>
      <c r="C11901" t="s">
        <v>5160</v>
      </c>
      <c r="D11901" t="s">
        <v>1773</v>
      </c>
      <c r="E11901">
        <v>8.6999999999999993</v>
      </c>
      <c r="F11901" s="2" t="str">
        <f>IF(Table2[[#This Row],[Manual Cat Value]]="",VLOOKUP(Table2[[#This Row],[Description]],'Actuals Lookup'!D:F,3,0),VLOOKUP(Table2[[#This Row],[Manual Cat Value]],Lookup!A:B,2,0))</f>
        <v>Restaurants</v>
      </c>
      <c r="G11901" t="s">
        <v>26</v>
      </c>
      <c r="H11901" t="s">
        <v>25</v>
      </c>
      <c r="I11901" s="8"/>
      <c r="O11901" t="str">
        <f>LEFT(Table2[[#This Row],[Description]],75)</f>
        <v>Starbucks</v>
      </c>
    </row>
    <row r="11902" spans="1:15" hidden="1">
      <c r="A11902" s="25">
        <v>202407</v>
      </c>
      <c r="B11902" s="6">
        <v>45501</v>
      </c>
      <c r="C11902" t="s">
        <v>5160</v>
      </c>
      <c r="D11902" t="s">
        <v>5576</v>
      </c>
      <c r="E11902">
        <v>17.12</v>
      </c>
      <c r="F11902" s="2" t="str">
        <f>IF(Table2[[#This Row],[Manual Cat Value]]="",VLOOKUP(Table2[[#This Row],[Description]],'Actuals Lookup'!D:F,3,0),VLOOKUP(Table2[[#This Row],[Manual Cat Value]],Lookup!A:B,2,0))</f>
        <v>Restaurants</v>
      </c>
      <c r="G11902" t="s">
        <v>26</v>
      </c>
      <c r="H11902" t="s">
        <v>25</v>
      </c>
      <c r="I11902" s="8"/>
      <c r="O11902" t="str">
        <f>LEFT(Table2[[#This Row],[Description]],75)</f>
        <v>Tst* Night Shift -eseverett Ma</v>
      </c>
    </row>
    <row r="11903" spans="1:15" hidden="1">
      <c r="A11903">
        <v>202411</v>
      </c>
      <c r="B11903" s="6">
        <v>45613</v>
      </c>
      <c r="C11903" t="s">
        <v>130</v>
      </c>
      <c r="D11903" t="s">
        <v>5577</v>
      </c>
      <c r="E11903">
        <v>10.84</v>
      </c>
      <c r="F11903" s="2" t="str">
        <f>IF(Table2[[#This Row],[Manual Cat Value]]="",VLOOKUP(Table2[[#This Row],[Description]],'Actuals Lookup'!D:F,3,0),VLOOKUP(Table2[[#This Row],[Manual Cat Value]],Lookup!A:B,2,0))</f>
        <v>Delete</v>
      </c>
      <c r="H11903" t="s">
        <v>9</v>
      </c>
      <c r="I11903" s="8"/>
      <c r="O11903" t="str">
        <f>LEFT(Table2[[#This Row],[Description]],75)</f>
        <v>MSP HUDSON ST2295 22SAINT PAUL          MN</v>
      </c>
    </row>
    <row r="11904" spans="1:15" hidden="1">
      <c r="A11904" s="25">
        <v>202407</v>
      </c>
      <c r="B11904" s="6">
        <v>45502</v>
      </c>
      <c r="C11904" t="s">
        <v>5160</v>
      </c>
      <c r="D11904" t="s">
        <v>5032</v>
      </c>
      <c r="E11904">
        <v>4</v>
      </c>
      <c r="F11904" s="2" t="str">
        <f>IF(Table2[[#This Row],[Manual Cat Value]]="",VLOOKUP(Table2[[#This Row],[Description]],'Actuals Lookup'!D:F,3,0),VLOOKUP(Table2[[#This Row],[Manual Cat Value]],Lookup!A:B,2,0))</f>
        <v>Shopping</v>
      </c>
      <c r="G11904" t="s">
        <v>43</v>
      </c>
      <c r="H11904" t="s">
        <v>36</v>
      </c>
      <c r="I11904" s="8"/>
      <c r="O11904" t="str">
        <f>LEFT(Table2[[#This Row],[Description]],75)</f>
        <v>Ac Hotels</v>
      </c>
    </row>
    <row r="11905" spans="1:15" hidden="1">
      <c r="A11905" s="25">
        <v>202407</v>
      </c>
      <c r="B11905" s="6">
        <v>45502</v>
      </c>
      <c r="C11905" t="s">
        <v>5160</v>
      </c>
      <c r="D11905" t="s">
        <v>113</v>
      </c>
      <c r="E11905">
        <v>12.99</v>
      </c>
      <c r="F11905" s="2" t="str">
        <f>IF(Table2[[#This Row],[Manual Cat Value]]="",VLOOKUP(Table2[[#This Row],[Description]],'Actuals Lookup'!D:F,3,0),VLOOKUP(Table2[[#This Row],[Manual Cat Value]],Lookup!A:B,2,0))</f>
        <v>Shopping</v>
      </c>
      <c r="G11905" t="s">
        <v>38</v>
      </c>
      <c r="H11905" t="s">
        <v>36</v>
      </c>
      <c r="I11905" s="8"/>
      <c r="O11905" t="str">
        <f>LEFT(Table2[[#This Row],[Description]],75)</f>
        <v>Amazon Marketplace</v>
      </c>
    </row>
    <row r="11906" spans="1:15" hidden="1">
      <c r="A11906">
        <v>202407</v>
      </c>
      <c r="B11906" s="6">
        <v>45502</v>
      </c>
      <c r="C11906" t="s">
        <v>3938</v>
      </c>
      <c r="D11906" t="s">
        <v>5578</v>
      </c>
      <c r="E11906">
        <v>60</v>
      </c>
      <c r="F11906" s="2" t="str">
        <f>IF(Table2[[#This Row],[Manual Cat Value]]="",VLOOKUP(Table2[[#This Row],[Description]],'Actuals Lookup'!D:F,3,0),VLOOKUP(Table2[[#This Row],[Manual Cat Value]],Lookup!A:B,2,0))</f>
        <v>Travel</v>
      </c>
      <c r="H11906" s="8" t="s">
        <v>52</v>
      </c>
      <c r="I11906" s="8"/>
      <c r="O11906" t="str">
        <f>LEFT(Table2[[#This Row],[Description]],75)</f>
        <v>Fenway Park</v>
      </c>
    </row>
    <row r="11907" spans="1:15" hidden="1">
      <c r="A11907" s="25">
        <v>202407</v>
      </c>
      <c r="B11907" s="6">
        <v>45502</v>
      </c>
      <c r="C11907" t="s">
        <v>3932</v>
      </c>
      <c r="D11907" t="s">
        <v>5579</v>
      </c>
      <c r="E11907">
        <v>13.01</v>
      </c>
      <c r="F11907" s="2" t="str">
        <f>IF(Table2[[#This Row],[Manual Cat Value]]="",VLOOKUP(Table2[[#This Row],[Description]],'Actuals Lookup'!D:F,3,0),VLOOKUP(Table2[[#This Row],[Manual Cat Value]],Lookup!A:B,2,0))</f>
        <v>Entertainment</v>
      </c>
      <c r="G11907" t="s">
        <v>40</v>
      </c>
      <c r="H11907" s="8" t="s">
        <v>39</v>
      </c>
      <c r="I11907" s="8"/>
      <c r="O11907" t="str">
        <f>LEFT(Table2[[#This Row],[Description]],75)</f>
        <v>Ls Bluff Creek Golf Co Xxxxxx5685 Mn</v>
      </c>
    </row>
    <row r="11908" spans="1:15" hidden="1">
      <c r="A11908">
        <v>202407</v>
      </c>
      <c r="B11908" s="6">
        <v>45502</v>
      </c>
      <c r="C11908" t="s">
        <v>2519</v>
      </c>
      <c r="D11908" t="s">
        <v>4356</v>
      </c>
      <c r="E11908">
        <v>52.91</v>
      </c>
      <c r="F11908" s="2" t="str">
        <f>IF(Table2[[#This Row],[Manual Cat Value]]="",VLOOKUP(Table2[[#This Row],[Description]],'Actuals Lookup'!D:F,3,0),VLOOKUP(Table2[[#This Row],[Manual Cat Value]],Lookup!A:B,2,0))</f>
        <v>Insurance</v>
      </c>
      <c r="I11908" s="8"/>
      <c r="O11908" t="str">
        <f>LEFT(Table2[[#This Row],[Description]],75)</f>
        <v>Payment to American Family Insurance</v>
      </c>
    </row>
    <row r="11909" spans="1:15" hidden="1">
      <c r="A11909">
        <v>202407</v>
      </c>
      <c r="B11909" s="6">
        <v>45502</v>
      </c>
      <c r="C11909" t="s">
        <v>2519</v>
      </c>
      <c r="D11909" t="s">
        <v>1955</v>
      </c>
      <c r="E11909">
        <v>21.25</v>
      </c>
      <c r="F11909" s="2" t="str">
        <f>IF(Table2[[#This Row],[Manual Cat Value]]="",VLOOKUP(Table2[[#This Row],[Description]],'Actuals Lookup'!D:F,3,0),VLOOKUP(Table2[[#This Row],[Manual Cat Value]],Lookup!A:B,2,0))</f>
        <v>Shopping</v>
      </c>
      <c r="H11909" t="s">
        <v>36</v>
      </c>
      <c r="I11909" s="8"/>
      <c r="O11909" t="str">
        <f>LEFT(Table2[[#This Row],[Description]],75)</f>
        <v>Transfer to PayPal</v>
      </c>
    </row>
    <row r="11910" spans="1:15" hidden="1">
      <c r="A11910">
        <v>202407</v>
      </c>
      <c r="B11910" s="6">
        <v>45502</v>
      </c>
      <c r="C11910" t="s">
        <v>2519</v>
      </c>
      <c r="D11910" t="s">
        <v>1955</v>
      </c>
      <c r="E11910">
        <v>0.99</v>
      </c>
      <c r="F11910" s="2" t="str">
        <f>IF(Table2[[#This Row],[Manual Cat Value]]="",VLOOKUP(Table2[[#This Row],[Description]],'Actuals Lookup'!D:F,3,0),VLOOKUP(Table2[[#This Row],[Manual Cat Value]],Lookup!A:B,2,0))</f>
        <v>Shopping</v>
      </c>
      <c r="H11910" t="s">
        <v>36</v>
      </c>
      <c r="I11910" s="8"/>
      <c r="O11910" t="str">
        <f>LEFT(Table2[[#This Row],[Description]],75)</f>
        <v>Transfer to PayPal</v>
      </c>
    </row>
    <row r="11911" spans="1:15" hidden="1">
      <c r="A11911" s="25">
        <v>202407</v>
      </c>
      <c r="B11911" s="6">
        <v>45502</v>
      </c>
      <c r="C11911" t="s">
        <v>5160</v>
      </c>
      <c r="D11911" t="s">
        <v>5580</v>
      </c>
      <c r="E11911">
        <v>819.82</v>
      </c>
      <c r="F11911" s="2" t="str">
        <f>IF(Table2[[#This Row],[Manual Cat Value]]="",VLOOKUP(Table2[[#This Row],[Description]],'Actuals Lookup'!D:F,3,0),VLOOKUP(Table2[[#This Row],[Manual Cat Value]],Lookup!A:B,2,0))</f>
        <v>Travel</v>
      </c>
      <c r="G11911" t="s">
        <v>43</v>
      </c>
      <c r="H11911" t="s">
        <v>52</v>
      </c>
      <c r="I11911" s="8"/>
      <c r="O11911" t="str">
        <f>LEFT(Table2[[#This Row],[Description]],75)</f>
        <v>Westin Hotels &amp; Resorts</v>
      </c>
    </row>
    <row r="11912" spans="1:15" hidden="1">
      <c r="A11912" s="25">
        <v>202407</v>
      </c>
      <c r="B11912" s="6">
        <v>45502</v>
      </c>
      <c r="C11912" t="s">
        <v>5160</v>
      </c>
      <c r="D11912" t="s">
        <v>5581</v>
      </c>
      <c r="E11912">
        <v>33</v>
      </c>
      <c r="F11912" s="2" t="str">
        <f>IF(Table2[[#This Row],[Manual Cat Value]]="",VLOOKUP(Table2[[#This Row],[Description]],'Actuals Lookup'!D:F,3,0),VLOOKUP(Table2[[#This Row],[Manual Cat Value]],Lookup!A:B,2,0))</f>
        <v>Groceries</v>
      </c>
      <c r="G11912" t="s">
        <v>28</v>
      </c>
      <c r="H11912" t="s">
        <v>27</v>
      </c>
      <c r="I11912" s="8"/>
      <c r="O11912" t="str">
        <f>LEFT(Table2[[#This Row],[Description]],75)</f>
        <v>Whole Foods Market</v>
      </c>
    </row>
    <row r="11913" spans="1:15" hidden="1">
      <c r="A11913" s="25">
        <v>202407</v>
      </c>
      <c r="B11913" s="6">
        <v>45503</v>
      </c>
      <c r="C11913" t="s">
        <v>5160</v>
      </c>
      <c r="D11913" t="s">
        <v>5032</v>
      </c>
      <c r="E11913">
        <v>335.04</v>
      </c>
      <c r="F11913" s="2" t="str">
        <f>IF(Table2[[#This Row],[Manual Cat Value]]="",VLOOKUP(Table2[[#This Row],[Description]],'Actuals Lookup'!D:F,3,0),VLOOKUP(Table2[[#This Row],[Manual Cat Value]],Lookup!A:B,2,0))</f>
        <v>Shopping</v>
      </c>
      <c r="G11913" t="s">
        <v>43</v>
      </c>
      <c r="H11913" t="s">
        <v>36</v>
      </c>
      <c r="I11913" s="8"/>
      <c r="O11913" t="str">
        <f>LEFT(Table2[[#This Row],[Description]],75)</f>
        <v>Ac Hotels</v>
      </c>
    </row>
    <row r="11914" spans="1:15" hidden="1">
      <c r="A11914" s="25">
        <v>202407</v>
      </c>
      <c r="B11914" s="6">
        <v>45503</v>
      </c>
      <c r="C11914" t="s">
        <v>5160</v>
      </c>
      <c r="D11914" t="s">
        <v>161</v>
      </c>
      <c r="E11914">
        <v>32.71</v>
      </c>
      <c r="F11914" s="2" t="str">
        <f>IF(Table2[[#This Row],[Manual Cat Value]]="",VLOOKUP(Table2[[#This Row],[Description]],'Actuals Lookup'!D:F,3,0),VLOOKUP(Table2[[#This Row],[Manual Cat Value]],Lookup!A:B,2,0))</f>
        <v>Shopping</v>
      </c>
      <c r="G11914" t="s">
        <v>21</v>
      </c>
      <c r="H11914" t="s">
        <v>36</v>
      </c>
      <c r="I11914" s="8"/>
      <c r="O11914" t="str">
        <f>LEFT(Table2[[#This Row],[Description]],75)</f>
        <v>Anthropologie</v>
      </c>
    </row>
    <row r="11915" spans="1:15" hidden="1">
      <c r="A11915" s="25">
        <v>202407</v>
      </c>
      <c r="B11915" s="6">
        <v>45503</v>
      </c>
      <c r="C11915" t="s">
        <v>5160</v>
      </c>
      <c r="D11915" t="s">
        <v>161</v>
      </c>
      <c r="E11915">
        <v>266</v>
      </c>
      <c r="F11915" s="2" t="str">
        <f>IF(Table2[[#This Row],[Manual Cat Value]]="",VLOOKUP(Table2[[#This Row],[Description]],'Actuals Lookup'!D:F,3,0),VLOOKUP(Table2[[#This Row],[Manual Cat Value]],Lookup!A:B,2,0))</f>
        <v>Shopping</v>
      </c>
      <c r="G11915" t="s">
        <v>21</v>
      </c>
      <c r="H11915" t="s">
        <v>36</v>
      </c>
      <c r="I11915" s="8"/>
      <c r="O11915" t="str">
        <f>LEFT(Table2[[#This Row],[Description]],75)</f>
        <v>Anthropologie</v>
      </c>
    </row>
    <row r="11916" spans="1:15" hidden="1">
      <c r="A11916" s="25">
        <v>202407</v>
      </c>
      <c r="B11916" s="6">
        <v>45503</v>
      </c>
      <c r="C11916" t="s">
        <v>5160</v>
      </c>
      <c r="D11916" t="s">
        <v>5417</v>
      </c>
      <c r="E11916">
        <v>-231.38</v>
      </c>
      <c r="F11916" s="2" t="str">
        <f>IF(Table2[[#This Row],[Manual Cat Value]]="",VLOOKUP(Table2[[#This Row],[Description]],'Actuals Lookup'!D:F,3,0),VLOOKUP(Table2[[#This Row],[Manual Cat Value]],Lookup!A:B,2,0))</f>
        <v>Shopping</v>
      </c>
      <c r="G11916" t="s">
        <v>41</v>
      </c>
      <c r="H11916" s="8" t="s">
        <v>36</v>
      </c>
      <c r="I11916" s="8"/>
      <c r="O11916" t="str">
        <f>LEFT(Table2[[#This Row],[Description]],75)</f>
        <v>Backcountry.com</v>
      </c>
    </row>
    <row r="11917" spans="1:15" hidden="1">
      <c r="A11917" s="25">
        <v>202407</v>
      </c>
      <c r="B11917" s="6">
        <v>45503</v>
      </c>
      <c r="C11917" t="s">
        <v>5160</v>
      </c>
      <c r="D11917" t="s">
        <v>5582</v>
      </c>
      <c r="E11917">
        <v>58.15</v>
      </c>
      <c r="F11917" s="2" t="str">
        <f>IF(Table2[[#This Row],[Manual Cat Value]]="",VLOOKUP(Table2[[#This Row],[Description]],'Actuals Lookup'!D:F,3,0),VLOOKUP(Table2[[#This Row],[Manual Cat Value]],Lookup!A:B,2,0))</f>
        <v>Shopping</v>
      </c>
      <c r="G11917" t="s">
        <v>26</v>
      </c>
      <c r="H11917" t="s">
        <v>36</v>
      </c>
      <c r="I11917" s="8"/>
      <c r="O11917" t="str">
        <f>LEFT(Table2[[#This Row],[Description]],75)</f>
        <v>Capital Burger 02134boston Ma</v>
      </c>
    </row>
    <row r="11918" spans="1:15" hidden="1">
      <c r="A11918" s="25">
        <v>202407</v>
      </c>
      <c r="B11918" s="6">
        <v>45503</v>
      </c>
      <c r="C11918" t="s">
        <v>5160</v>
      </c>
      <c r="D11918" t="s">
        <v>5583</v>
      </c>
      <c r="E11918">
        <v>393.7</v>
      </c>
      <c r="F11918" s="2" t="str">
        <f>IF(Table2[[#This Row],[Manual Cat Value]]="",VLOOKUP(Table2[[#This Row],[Description]],'Actuals Lookup'!D:F,3,0),VLOOKUP(Table2[[#This Row],[Manual Cat Value]],Lookup!A:B,2,0))</f>
        <v>Shopping</v>
      </c>
      <c r="G11918" t="s">
        <v>26</v>
      </c>
      <c r="H11918" t="s">
        <v>36</v>
      </c>
      <c r="I11918" s="8"/>
      <c r="O11918" t="str">
        <f>LEFT(Table2[[#This Row],[Description]],75)</f>
        <v>Davio's</v>
      </c>
    </row>
    <row r="11919" spans="1:15" hidden="1">
      <c r="A11919" s="25">
        <v>202407</v>
      </c>
      <c r="B11919" s="6">
        <v>45503</v>
      </c>
      <c r="C11919" t="s">
        <v>5160</v>
      </c>
      <c r="D11919" t="s">
        <v>5027</v>
      </c>
      <c r="E11919">
        <v>3.91</v>
      </c>
      <c r="F11919" s="2" t="str">
        <f>IF(Table2[[#This Row],[Manual Cat Value]]="",VLOOKUP(Table2[[#This Row],[Description]],'Actuals Lookup'!D:F,3,0),VLOOKUP(Table2[[#This Row],[Manual Cat Value]],Lookup!A:B,2,0))</f>
        <v>Restaurants</v>
      </c>
      <c r="G11919" t="s">
        <v>26</v>
      </c>
      <c r="I11919" s="8"/>
      <c r="O11919" t="str">
        <f>LEFT(Table2[[#This Row],[Description]],75)</f>
        <v>Dunkin' Donuts</v>
      </c>
    </row>
    <row r="11920" spans="1:15" hidden="1">
      <c r="A11920" s="25">
        <v>202407</v>
      </c>
      <c r="B11920" s="6">
        <v>45503</v>
      </c>
      <c r="C11920" t="s">
        <v>5160</v>
      </c>
      <c r="D11920" t="s">
        <v>5584</v>
      </c>
      <c r="E11920">
        <v>34.79</v>
      </c>
      <c r="F11920" s="2" t="str">
        <f>IF(Table2[[#This Row],[Manual Cat Value]]="",VLOOKUP(Table2[[#This Row],[Description]],'Actuals Lookup'!D:F,3,0),VLOOKUP(Table2[[#This Row],[Manual Cat Value]],Lookup!A:B,2,0))</f>
        <v>Restaurants</v>
      </c>
      <c r="G11920" t="s">
        <v>26</v>
      </c>
      <c r="H11920" s="8" t="s">
        <v>25</v>
      </c>
      <c r="I11920" s="8"/>
      <c r="O11920" t="str">
        <f>LEFT(Table2[[#This Row],[Description]],75)</f>
        <v>Kaisushigrill.com Chanhassen Mn</v>
      </c>
    </row>
    <row r="11921" spans="1:15" hidden="1">
      <c r="A11921">
        <v>202407</v>
      </c>
      <c r="B11921" s="6">
        <v>45503</v>
      </c>
      <c r="C11921" t="s">
        <v>2519</v>
      </c>
      <c r="D11921" t="s">
        <v>4343</v>
      </c>
      <c r="E11921">
        <v>-3238.06</v>
      </c>
      <c r="F11921" s="2" t="str">
        <f>IF(Table2[[#This Row],[Manual Cat Value]]="",VLOOKUP(Table2[[#This Row],[Description]],'Actuals Lookup'!D:F,3,0),VLOOKUP(Table2[[#This Row],[Manual Cat Value]],Lookup!A:B,2,0))</f>
        <v>Jeff</v>
      </c>
      <c r="I11921" s="8"/>
      <c r="O11921" t="str">
        <f>LEFT(Table2[[#This Row],[Description]],75)</f>
        <v>Salary/Regular Income from TriNet</v>
      </c>
    </row>
    <row r="11922" spans="1:15" hidden="1">
      <c r="A11922">
        <v>202407</v>
      </c>
      <c r="B11922" s="6">
        <v>45503</v>
      </c>
      <c r="C11922" t="s">
        <v>3938</v>
      </c>
      <c r="D11922" t="s">
        <v>2078</v>
      </c>
      <c r="E11922">
        <v>22.37</v>
      </c>
      <c r="F11922" s="2" t="str">
        <f>IF(Table2[[#This Row],[Manual Cat Value]]="",VLOOKUP(Table2[[#This Row],[Description]],'Actuals Lookup'!D:F,3,0),VLOOKUP(Table2[[#This Row],[Manual Cat Value]],Lookup!A:B,2,0))</f>
        <v>Transportation</v>
      </c>
      <c r="I11922" s="8"/>
      <c r="O11922" t="str">
        <f>LEFT(Table2[[#This Row],[Description]],75)</f>
        <v>Uber</v>
      </c>
    </row>
    <row r="11923" spans="1:15" hidden="1">
      <c r="A11923">
        <v>202407</v>
      </c>
      <c r="B11923" s="6">
        <v>45503</v>
      </c>
      <c r="C11923" t="s">
        <v>3938</v>
      </c>
      <c r="D11923" t="s">
        <v>2078</v>
      </c>
      <c r="E11923">
        <v>26.42</v>
      </c>
      <c r="F11923" s="2" t="str">
        <f>IF(Table2[[#This Row],[Manual Cat Value]]="",VLOOKUP(Table2[[#This Row],[Description]],'Actuals Lookup'!D:F,3,0),VLOOKUP(Table2[[#This Row],[Manual Cat Value]],Lookup!A:B,2,0))</f>
        <v>Transportation</v>
      </c>
      <c r="I11923" s="8"/>
      <c r="O11923" t="str">
        <f>LEFT(Table2[[#This Row],[Description]],75)</f>
        <v>Uber</v>
      </c>
    </row>
    <row r="11924" spans="1:15" hidden="1">
      <c r="A11924">
        <v>202407</v>
      </c>
      <c r="B11924" s="6">
        <v>45503</v>
      </c>
      <c r="C11924" t="s">
        <v>3938</v>
      </c>
      <c r="D11924" t="s">
        <v>2078</v>
      </c>
      <c r="E11924">
        <v>18.93</v>
      </c>
      <c r="F11924" s="2" t="str">
        <f>IF(Table2[[#This Row],[Manual Cat Value]]="",VLOOKUP(Table2[[#This Row],[Description]],'Actuals Lookup'!D:F,3,0),VLOOKUP(Table2[[#This Row],[Manual Cat Value]],Lookup!A:B,2,0))</f>
        <v>Transportation</v>
      </c>
      <c r="I11924" s="8"/>
      <c r="O11924" t="str">
        <f>LEFT(Table2[[#This Row],[Description]],75)</f>
        <v>Uber</v>
      </c>
    </row>
    <row r="11925" spans="1:15" hidden="1">
      <c r="A11925">
        <v>202407</v>
      </c>
      <c r="B11925" s="6">
        <v>45503</v>
      </c>
      <c r="C11925" t="s">
        <v>3938</v>
      </c>
      <c r="D11925" t="s">
        <v>2078</v>
      </c>
      <c r="E11925">
        <v>52.93</v>
      </c>
      <c r="F11925" s="2" t="str">
        <f>IF(Table2[[#This Row],[Manual Cat Value]]="",VLOOKUP(Table2[[#This Row],[Description]],'Actuals Lookup'!D:F,3,0),VLOOKUP(Table2[[#This Row],[Manual Cat Value]],Lookup!A:B,2,0))</f>
        <v>Transportation</v>
      </c>
      <c r="I11925" s="8"/>
      <c r="O11925" t="str">
        <f>LEFT(Table2[[#This Row],[Description]],75)</f>
        <v>Uber</v>
      </c>
    </row>
    <row r="11926" spans="1:15" hidden="1">
      <c r="A11926">
        <v>202407</v>
      </c>
      <c r="B11926" s="6">
        <v>45504</v>
      </c>
      <c r="C11926" t="s">
        <v>3938</v>
      </c>
      <c r="D11926" t="s">
        <v>5249</v>
      </c>
      <c r="E11926">
        <v>35</v>
      </c>
      <c r="F11926" s="2" t="str">
        <f>IF(Table2[[#This Row],[Manual Cat Value]]="",VLOOKUP(Table2[[#This Row],[Description]],'Actuals Lookup'!D:F,3,0),VLOOKUP(Table2[[#This Row],[Manual Cat Value]],Lookup!A:B,2,0))</f>
        <v>Entertainment</v>
      </c>
      <c r="I11926" s="8"/>
      <c r="O11926" t="str">
        <f>LEFT(Table2[[#This Row],[Description]],75)</f>
        <v>Anna Nails</v>
      </c>
    </row>
    <row r="11927" spans="1:15" hidden="1">
      <c r="A11927">
        <v>202407</v>
      </c>
      <c r="B11927" s="6">
        <v>45504</v>
      </c>
      <c r="C11927" t="s">
        <v>2519</v>
      </c>
      <c r="D11927" t="s">
        <v>4283</v>
      </c>
      <c r="E11927">
        <v>-147</v>
      </c>
      <c r="F11927" s="2" t="str">
        <f>IF(Table2[[#This Row],[Manual Cat Value]]="",VLOOKUP(Table2[[#This Row],[Description]],'Actuals Lookup'!D:F,3,0),VLOOKUP(Table2[[#This Row],[Manual Cat Value]],Lookup!A:B,2,0))</f>
        <v>Shopping</v>
      </c>
      <c r="H11927" t="s">
        <v>36</v>
      </c>
      <c r="I11927" s="8"/>
      <c r="O11927" t="str">
        <f>LEFT(Table2[[#This Row],[Description]],75)</f>
        <v>Cargill Deposit</v>
      </c>
    </row>
    <row r="11928" spans="1:15" hidden="1">
      <c r="A11928">
        <v>202407</v>
      </c>
      <c r="B11928" s="6">
        <v>45504</v>
      </c>
      <c r="C11928" t="s">
        <v>2519</v>
      </c>
      <c r="D11928" t="s">
        <v>2896</v>
      </c>
      <c r="E11928">
        <v>-3.25</v>
      </c>
      <c r="F11928" s="2" t="str">
        <f>IF(Table2[[#This Row],[Manual Cat Value]]="",VLOOKUP(Table2[[#This Row],[Description]],'Actuals Lookup'!D:F,3,0),VLOOKUP(Table2[[#This Row],[Manual Cat Value]],Lookup!A:B,2,0))</f>
        <v>Inc - Other</v>
      </c>
      <c r="I11928" s="8"/>
      <c r="O11928" t="str">
        <f>LEFT(Table2[[#This Row],[Description]],75)</f>
        <v>Deposit ATM FEE REFUND</v>
      </c>
    </row>
    <row r="11929" spans="1:15" hidden="1">
      <c r="A11929">
        <v>202407</v>
      </c>
      <c r="B11929" s="6">
        <v>45504</v>
      </c>
      <c r="C11929" t="s">
        <v>2519</v>
      </c>
      <c r="D11929" t="s">
        <v>5585</v>
      </c>
      <c r="E11929">
        <v>-49.5</v>
      </c>
      <c r="F11929" s="2" t="str">
        <f>IF(Table2[[#This Row],[Manual Cat Value]]="",VLOOKUP(Table2[[#This Row],[Description]],'Actuals Lookup'!D:F,3,0),VLOOKUP(Table2[[#This Row],[Manual Cat Value]],Lookup!A:B,2,0))</f>
        <v>Inc - Other</v>
      </c>
      <c r="H11929" s="8" t="s">
        <v>16</v>
      </c>
      <c r="I11929" s="8"/>
      <c r="O11929" t="str">
        <f>LEFT(Table2[[#This Row],[Description]],75)</f>
        <v>Deposit Dividend Split Rate Annual Percentage Yield Earned 2.67% from 07/01</v>
      </c>
    </row>
    <row r="11930" spans="1:15" hidden="1">
      <c r="A11930" s="25">
        <v>202407</v>
      </c>
      <c r="B11930" s="6">
        <v>45504</v>
      </c>
      <c r="C11930" t="s">
        <v>5160</v>
      </c>
      <c r="D11930" t="s">
        <v>5586</v>
      </c>
      <c r="E11930">
        <v>4.8</v>
      </c>
      <c r="F11930" s="2" t="str">
        <f>IF(Table2[[#This Row],[Manual Cat Value]]="",VLOOKUP(Table2[[#This Row],[Description]],'Actuals Lookup'!D:F,3,0),VLOOKUP(Table2[[#This Row],[Manual Cat Value]],Lookup!A:B,2,0))</f>
        <v>Travel</v>
      </c>
      <c r="G11930" t="s">
        <v>43</v>
      </c>
      <c r="H11930" s="8" t="s">
        <v>52</v>
      </c>
      <c r="I11930" s="8"/>
      <c r="O11930" t="str">
        <f>LEFT(Table2[[#This Row],[Description]],75)</f>
        <v>Mbta Boylston 0000 Boston Ma</v>
      </c>
    </row>
    <row r="11931" spans="1:15" hidden="1">
      <c r="A11931">
        <v>202407</v>
      </c>
      <c r="B11931" s="6">
        <v>45504</v>
      </c>
      <c r="C11931" t="s">
        <v>2519</v>
      </c>
      <c r="D11931" t="s">
        <v>5148</v>
      </c>
      <c r="E11931">
        <v>183.64</v>
      </c>
      <c r="F11931" s="2" t="str">
        <f>IF(Table2[[#This Row],[Manual Cat Value]]="",VLOOKUP(Table2[[#This Row],[Description]],'Actuals Lookup'!D:F,3,0),VLOOKUP(Table2[[#This Row],[Manual Cat Value]],Lookup!A:B,2,0))</f>
        <v>Utilities</v>
      </c>
      <c r="I11931" s="8"/>
      <c r="O11931" t="str">
        <f>LEFT(Table2[[#This Row],[Description]],75)</f>
        <v>Payment to AT&amp;T</v>
      </c>
    </row>
    <row r="11932" spans="1:15" hidden="1">
      <c r="A11932">
        <v>202401</v>
      </c>
      <c r="B11932" s="6">
        <v>45312</v>
      </c>
      <c r="C11932" t="s">
        <v>5013</v>
      </c>
      <c r="D11932" t="s">
        <v>5587</v>
      </c>
      <c r="E11932">
        <v>68.67</v>
      </c>
      <c r="F11932" s="2" t="str">
        <f>IF(Table2[[#This Row],[Manual Cat Value]]="",VLOOKUP(Table2[[#This Row],[Description]],'Actuals Lookup'!D:F,3,0),VLOOKUP(Table2[[#This Row],[Manual Cat Value]],Lookup!A:B,2,0))</f>
        <v>Delete</v>
      </c>
      <c r="G11932" t="s">
        <v>35</v>
      </c>
      <c r="I11932" s="8"/>
      <c r="O11932" t="str">
        <f>LEFT(Table2[[#This Row],[Description]],75)</f>
        <v>Msp Pod1 Shoyu 00-08philadelphia Pa</v>
      </c>
    </row>
    <row r="11933" spans="1:15" hidden="1">
      <c r="A11933">
        <v>202407</v>
      </c>
      <c r="B11933" s="6">
        <v>45504</v>
      </c>
      <c r="C11933" t="s">
        <v>3938</v>
      </c>
      <c r="D11933" t="s">
        <v>2078</v>
      </c>
      <c r="E11933">
        <v>32.22</v>
      </c>
      <c r="F11933" s="2" t="str">
        <f>IF(Table2[[#This Row],[Manual Cat Value]]="",VLOOKUP(Table2[[#This Row],[Description]],'Actuals Lookup'!D:F,3,0),VLOOKUP(Table2[[#This Row],[Manual Cat Value]],Lookup!A:B,2,0))</f>
        <v>Transportation</v>
      </c>
      <c r="I11933" s="8"/>
      <c r="O11933" t="str">
        <f>LEFT(Table2[[#This Row],[Description]],75)</f>
        <v>Uber</v>
      </c>
    </row>
    <row r="11934" spans="1:15" hidden="1">
      <c r="A11934">
        <v>202407</v>
      </c>
      <c r="B11934" s="6">
        <v>45504</v>
      </c>
      <c r="C11934" t="s">
        <v>3938</v>
      </c>
      <c r="D11934" t="s">
        <v>2078</v>
      </c>
      <c r="E11934">
        <v>53.28</v>
      </c>
      <c r="F11934" s="2" t="str">
        <f>IF(Table2[[#This Row],[Manual Cat Value]]="",VLOOKUP(Table2[[#This Row],[Description]],'Actuals Lookup'!D:F,3,0),VLOOKUP(Table2[[#This Row],[Manual Cat Value]],Lookup!A:B,2,0))</f>
        <v>Transportation</v>
      </c>
      <c r="I11934" s="8"/>
      <c r="O11934" t="str">
        <f>LEFT(Table2[[#This Row],[Description]],75)</f>
        <v>Uber</v>
      </c>
    </row>
    <row r="11935" spans="1:15" hidden="1">
      <c r="A11935">
        <v>202407</v>
      </c>
      <c r="B11935" s="6">
        <v>45504</v>
      </c>
      <c r="C11935" t="s">
        <v>2519</v>
      </c>
      <c r="D11935" t="s">
        <v>5588</v>
      </c>
      <c r="E11935">
        <v>278</v>
      </c>
      <c r="F11935" s="2" t="str">
        <f>IF(Table2[[#This Row],[Manual Cat Value]]="",VLOOKUP(Table2[[#This Row],[Description]],'Actuals Lookup'!D:F,3,0),VLOOKUP(Table2[[#This Row],[Manual Cat Value]],Lookup!A:B,2,0))</f>
        <v>Day Care</v>
      </c>
      <c r="H11935" t="s">
        <v>19</v>
      </c>
      <c r="I11935" s="8"/>
      <c r="O11935" t="str">
        <f>LEFT(Table2[[#This Row],[Description]],75)</f>
        <v xml:space="preserve">Withdrawal ACH RILEY CROSSING C TYPE: XX8412 ID: XX9040 CO: RILEY CROSSING </v>
      </c>
    </row>
    <row r="11936" spans="1:15" hidden="1">
      <c r="A11936" s="25">
        <v>202408</v>
      </c>
      <c r="B11936" s="6">
        <v>45517</v>
      </c>
      <c r="C11936" t="s">
        <v>5160</v>
      </c>
      <c r="D11936" t="s">
        <v>4874</v>
      </c>
      <c r="E11936">
        <v>32.299999999999997</v>
      </c>
      <c r="F11936" s="2" t="str">
        <f>IF(Table2[[#This Row],[Manual Cat Value]]="",VLOOKUP(Table2[[#This Row],[Description]],'Actuals Lookup'!D:F,3,0),VLOOKUP(Table2[[#This Row],[Manual Cat Value]],Lookup!A:B,2,0))</f>
        <v>Delete</v>
      </c>
      <c r="G11936" t="s">
        <v>28</v>
      </c>
      <c r="H11936" s="8" t="s">
        <v>9</v>
      </c>
      <c r="I11936" s="8"/>
      <c r="O11936" t="str">
        <f>LEFT(Table2[[#This Row],[Description]],75)</f>
        <v>Msp Pod1 Shoyu Markephiladelphia Pa</v>
      </c>
    </row>
    <row r="11937" spans="1:15" hidden="1">
      <c r="A11937">
        <v>202408</v>
      </c>
      <c r="B11937" s="6">
        <v>45505</v>
      </c>
      <c r="C11937" t="s">
        <v>3938</v>
      </c>
      <c r="D11937" t="s">
        <v>113</v>
      </c>
      <c r="E11937">
        <v>-8.66</v>
      </c>
      <c r="F11937" s="2" t="str">
        <f>IF(Table2[[#This Row],[Manual Cat Value]]="",VLOOKUP(Table2[[#This Row],[Description]],'Actuals Lookup'!D:F,3,0),VLOOKUP(Table2[[#This Row],[Manual Cat Value]],Lookup!A:B,2,0))</f>
        <v>College Savings</v>
      </c>
      <c r="H11937" t="s">
        <v>60</v>
      </c>
      <c r="I11937" s="8"/>
      <c r="O11937" t="str">
        <f>LEFT(Table2[[#This Row],[Description]],75)</f>
        <v>Amazon Marketplace</v>
      </c>
    </row>
    <row r="11938" spans="1:15" hidden="1">
      <c r="A11938">
        <v>202408</v>
      </c>
      <c r="B11938" s="6">
        <v>45505</v>
      </c>
      <c r="C11938" t="s">
        <v>3938</v>
      </c>
      <c r="D11938" t="s">
        <v>5589</v>
      </c>
      <c r="E11938">
        <v>6.49</v>
      </c>
      <c r="F11938" s="2" t="str">
        <f>IF(Table2[[#This Row],[Manual Cat Value]]="",VLOOKUP(Table2[[#This Row],[Description]],'Actuals Lookup'!D:F,3,0),VLOOKUP(Table2[[#This Row],[Manual Cat Value]],Lookup!A:B,2,0))</f>
        <v>Amazon</v>
      </c>
      <c r="H11938" t="s">
        <v>37</v>
      </c>
      <c r="I11938" s="8"/>
      <c r="O11938" t="str">
        <f>LEFT(Table2[[#This Row],[Description]],75)</f>
        <v>Amazon Music*RV63X5RV0 XX-3080 WA REF #XX9216K5335E1WAW</v>
      </c>
    </row>
    <row r="11939" spans="1:15" hidden="1">
      <c r="A11939" s="25">
        <v>202408</v>
      </c>
      <c r="B11939" s="6">
        <v>45505</v>
      </c>
      <c r="C11939" t="s">
        <v>5160</v>
      </c>
      <c r="D11939" t="s">
        <v>5338</v>
      </c>
      <c r="E11939">
        <v>17.04</v>
      </c>
      <c r="F11939" s="2" t="str">
        <f>IF(Table2[[#This Row],[Manual Cat Value]]="",VLOOKUP(Table2[[#This Row],[Description]],'Actuals Lookup'!D:F,3,0),VLOOKUP(Table2[[#This Row],[Manual Cat Value]],Lookup!A:B,2,0))</f>
        <v>Restaurants</v>
      </c>
      <c r="G11939" t="s">
        <v>26</v>
      </c>
      <c r="H11939" s="8" t="s">
        <v>25</v>
      </c>
      <c r="I11939" s="8"/>
      <c r="O11939" t="str">
        <f>LEFT(Table2[[#This Row],[Description]],75)</f>
        <v>Aplpay Crisp &amp; Greenwayzata Mn</v>
      </c>
    </row>
    <row r="11940" spans="1:15" hidden="1">
      <c r="A11940">
        <v>202408</v>
      </c>
      <c r="B11940" s="6">
        <v>45505</v>
      </c>
      <c r="C11940" t="s">
        <v>2519</v>
      </c>
      <c r="D11940" t="s">
        <v>404</v>
      </c>
      <c r="E11940">
        <v>-2899.37</v>
      </c>
      <c r="F11940" s="2" t="str">
        <f>IF(Table2[[#This Row],[Manual Cat Value]]="",VLOOKUP(Table2[[#This Row],[Description]],'Actuals Lookup'!D:F,3,0),VLOOKUP(Table2[[#This Row],[Manual Cat Value]],Lookup!A:B,2,0))</f>
        <v>College Savings</v>
      </c>
      <c r="H11940" t="s">
        <v>60</v>
      </c>
      <c r="I11940" s="8"/>
      <c r="O11940" t="str">
        <f>LEFT(Table2[[#This Row],[Description]],75)</f>
        <v>Cargill Inc Deposit</v>
      </c>
    </row>
    <row r="11941" spans="1:15" hidden="1">
      <c r="A11941" s="25">
        <v>202408</v>
      </c>
      <c r="B11941" s="6">
        <v>45505</v>
      </c>
      <c r="C11941" t="s">
        <v>5160</v>
      </c>
      <c r="D11941" t="s">
        <v>5590</v>
      </c>
      <c r="E11941">
        <v>92.69</v>
      </c>
      <c r="F11941" s="2" t="str">
        <f>IF(Table2[[#This Row],[Manual Cat Value]]="",VLOOKUP(Table2[[#This Row],[Description]],'Actuals Lookup'!D:F,3,0),VLOOKUP(Table2[[#This Row],[Manual Cat Value]],Lookup!A:B,2,0))</f>
        <v>Delete</v>
      </c>
      <c r="G11941" t="s">
        <v>43</v>
      </c>
      <c r="H11941" s="8" t="s">
        <v>9</v>
      </c>
      <c r="I11941" s="8"/>
      <c r="O11941" t="str">
        <f>LEFT(Table2[[#This Row],[Description]],75)</f>
        <v>Msp Sunshine Taxi # Excelsior Mn</v>
      </c>
    </row>
    <row r="11942" spans="1:15" hidden="1">
      <c r="A11942">
        <v>202409</v>
      </c>
      <c r="B11942" s="6">
        <v>45561</v>
      </c>
      <c r="C11942" t="s">
        <v>130</v>
      </c>
      <c r="D11942" t="s">
        <v>5591</v>
      </c>
      <c r="E11942">
        <v>129.94999999999999</v>
      </c>
      <c r="F11942" s="2" t="str">
        <f>IF(Table2[[#This Row],[Manual Cat Value]]="",VLOOKUP(Table2[[#This Row],[Description]],'Actuals Lookup'!D:F,3,0),VLOOKUP(Table2[[#This Row],[Manual Cat Value]],Lookup!A:B,2,0))</f>
        <v>Delete</v>
      </c>
      <c r="H11942" s="8" t="s">
        <v>9</v>
      </c>
      <c r="I11942" s="8"/>
      <c r="O11942" t="str">
        <f>LEFT(Table2[[#This Row],[Description]],75)</f>
        <v>NATIONAL CAR R011706ALBUQUERQUE         NM</v>
      </c>
    </row>
    <row r="11943" spans="1:15" hidden="1">
      <c r="A11943">
        <v>202409</v>
      </c>
      <c r="B11943" s="6">
        <v>45555</v>
      </c>
      <c r="C11943" t="s">
        <v>130</v>
      </c>
      <c r="D11943" t="s">
        <v>5592</v>
      </c>
      <c r="E11943">
        <v>59.17</v>
      </c>
      <c r="F11943" s="2" t="str">
        <f>IF(Table2[[#This Row],[Manual Cat Value]]="",VLOOKUP(Table2[[#This Row],[Description]],'Actuals Lookup'!D:F,3,0),VLOOKUP(Table2[[#This Row],[Manual Cat Value]],Lookup!A:B,2,0))</f>
        <v>Delete</v>
      </c>
      <c r="H11943" s="8" t="s">
        <v>9</v>
      </c>
      <c r="I11943" s="8"/>
      <c r="O11943" t="str">
        <f>LEFT(Table2[[#This Row],[Description]],75)</f>
        <v>NATIONAL CAR R015111SAINT LOUIS         MO</v>
      </c>
    </row>
    <row r="11944" spans="1:15" hidden="1">
      <c r="A11944">
        <v>202408</v>
      </c>
      <c r="B11944" s="6">
        <v>45505</v>
      </c>
      <c r="C11944" t="s">
        <v>2519</v>
      </c>
      <c r="D11944" t="s">
        <v>1460</v>
      </c>
      <c r="E11944">
        <v>2741.74</v>
      </c>
      <c r="F11944" s="2" t="str">
        <f>IF(Table2[[#This Row],[Manual Cat Value]]="",VLOOKUP(Table2[[#This Row],[Description]],'Actuals Lookup'!D:F,3,0),VLOOKUP(Table2[[#This Row],[Manual Cat Value]],Lookup!A:B,2,0))</f>
        <v>Rent</v>
      </c>
      <c r="H11944" s="8" t="s">
        <v>4</v>
      </c>
      <c r="I11944" s="8"/>
      <c r="O11944" t="str">
        <f>LEFT(Table2[[#This Row],[Description]],75)</f>
        <v>Payment to Baxter Credit Union</v>
      </c>
    </row>
    <row r="11945" spans="1:15" hidden="1">
      <c r="A11945">
        <v>202409</v>
      </c>
      <c r="B11945" s="6">
        <v>45559</v>
      </c>
      <c r="C11945" t="s">
        <v>130</v>
      </c>
      <c r="D11945" t="s">
        <v>5593</v>
      </c>
      <c r="E11945">
        <v>128.4</v>
      </c>
      <c r="F11945" s="2" t="str">
        <f>IF(Table2[[#This Row],[Manual Cat Value]]="",VLOOKUP(Table2[[#This Row],[Description]],'Actuals Lookup'!D:F,3,0),VLOOKUP(Table2[[#This Row],[Manual Cat Value]],Lookup!A:B,2,0))</f>
        <v>Delete</v>
      </c>
      <c r="H11945" s="8" t="s">
        <v>9</v>
      </c>
      <c r="I11945" s="8"/>
      <c r="O11945" t="str">
        <f>LEFT(Table2[[#This Row],[Description]],75)</f>
        <v>NATIONAL CAR R017208FORT MYERS          FL</v>
      </c>
    </row>
    <row r="11946" spans="1:15" hidden="1">
      <c r="A11946">
        <v>202408</v>
      </c>
      <c r="B11946" s="6">
        <v>45505</v>
      </c>
      <c r="C11946" t="s">
        <v>2519</v>
      </c>
      <c r="D11946" t="s">
        <v>4716</v>
      </c>
      <c r="E11946">
        <v>650</v>
      </c>
      <c r="F11946" s="2" t="str">
        <f>IF(Table2[[#This Row],[Manual Cat Value]]="",VLOOKUP(Table2[[#This Row],[Description]],'Actuals Lookup'!D:F,3,0),VLOOKUP(Table2[[#This Row],[Manual Cat Value]],Lookup!A:B,2,0))</f>
        <v>College Savings</v>
      </c>
      <c r="H11946" t="s">
        <v>60</v>
      </c>
      <c r="I11946" s="8"/>
      <c r="O11946" t="str">
        <f>LEFT(Table2[[#This Row],[Description]],75)</f>
        <v>Transfer to College Station</v>
      </c>
    </row>
    <row r="11947" spans="1:15" hidden="1">
      <c r="A11947">
        <v>202409</v>
      </c>
      <c r="B11947" s="6">
        <v>45554</v>
      </c>
      <c r="C11947" t="s">
        <v>130</v>
      </c>
      <c r="D11947" t="s">
        <v>5594</v>
      </c>
      <c r="E11947">
        <v>130.54</v>
      </c>
      <c r="F11947" s="2" t="str">
        <f>IF(Table2[[#This Row],[Manual Cat Value]]="",VLOOKUP(Table2[[#This Row],[Description]],'Actuals Lookup'!D:F,3,0),VLOOKUP(Table2[[#This Row],[Manual Cat Value]],Lookup!A:B,2,0))</f>
        <v>Delete</v>
      </c>
      <c r="H11947" s="8" t="s">
        <v>9</v>
      </c>
      <c r="I11947" s="8"/>
      <c r="O11947" t="str">
        <f>LEFT(Table2[[#This Row],[Description]],75)</f>
        <v>NATIONAL CAR R018420WEST COLUMBIA       SC</v>
      </c>
    </row>
    <row r="11948" spans="1:15" hidden="1">
      <c r="A11948">
        <v>202408</v>
      </c>
      <c r="B11948" s="6">
        <v>45505</v>
      </c>
      <c r="C11948" t="s">
        <v>3938</v>
      </c>
      <c r="D11948" t="s">
        <v>2078</v>
      </c>
      <c r="E11948">
        <v>34.93</v>
      </c>
      <c r="F11948" s="2" t="str">
        <f>IF(Table2[[#This Row],[Manual Cat Value]]="",VLOOKUP(Table2[[#This Row],[Description]],'Actuals Lookup'!D:F,3,0),VLOOKUP(Table2[[#This Row],[Manual Cat Value]],Lookup!A:B,2,0))</f>
        <v>College Savings</v>
      </c>
      <c r="H11948" t="s">
        <v>60</v>
      </c>
      <c r="I11948" s="8"/>
      <c r="O11948" t="str">
        <f>LEFT(Table2[[#This Row],[Description]],75)</f>
        <v>Uber</v>
      </c>
    </row>
    <row r="11949" spans="1:15" hidden="1">
      <c r="A11949">
        <v>202408</v>
      </c>
      <c r="B11949" s="6">
        <v>45506</v>
      </c>
      <c r="C11949" t="s">
        <v>3938</v>
      </c>
      <c r="D11949" t="s">
        <v>113</v>
      </c>
      <c r="E11949">
        <v>85.29</v>
      </c>
      <c r="F11949" s="2" t="str">
        <f>IF(Table2[[#This Row],[Manual Cat Value]]="",VLOOKUP(Table2[[#This Row],[Description]],'Actuals Lookup'!D:F,3,0),VLOOKUP(Table2[[#This Row],[Manual Cat Value]],Lookup!A:B,2,0))</f>
        <v>Amazon</v>
      </c>
      <c r="I11949" s="8"/>
      <c r="O11949" t="str">
        <f>LEFT(Table2[[#This Row],[Description]],75)</f>
        <v>Amazon Marketplace</v>
      </c>
    </row>
    <row r="11950" spans="1:15" hidden="1">
      <c r="A11950" s="25">
        <v>202408</v>
      </c>
      <c r="B11950" s="6">
        <v>45506</v>
      </c>
      <c r="C11950" t="s">
        <v>5160</v>
      </c>
      <c r="D11950" t="s">
        <v>785</v>
      </c>
      <c r="E11950">
        <v>60.39</v>
      </c>
      <c r="F11950" s="2" t="str">
        <f>IF(Table2[[#This Row],[Manual Cat Value]]="",VLOOKUP(Table2[[#This Row],[Description]],'Actuals Lookup'!D:F,3,0),VLOOKUP(Table2[[#This Row],[Manual Cat Value]],Lookup!A:B,2,0))</f>
        <v>Restaurants</v>
      </c>
      <c r="G11950" t="s">
        <v>26</v>
      </c>
      <c r="I11950" s="8"/>
      <c r="O11950" t="str">
        <f>LEFT(Table2[[#This Row],[Description]],75)</f>
        <v>Domino's Pizza</v>
      </c>
    </row>
    <row r="11951" spans="1:15" hidden="1">
      <c r="A11951">
        <v>202409</v>
      </c>
      <c r="B11951" s="6">
        <v>45552</v>
      </c>
      <c r="C11951" t="s">
        <v>130</v>
      </c>
      <c r="D11951" t="s">
        <v>5595</v>
      </c>
      <c r="E11951">
        <v>71.45</v>
      </c>
      <c r="F11951" s="2" t="str">
        <f>IF(Table2[[#This Row],[Manual Cat Value]]="",VLOOKUP(Table2[[#This Row],[Description]],'Actuals Lookup'!D:F,3,0),VLOOKUP(Table2[[#This Row],[Manual Cat Value]],Lookup!A:B,2,0))</f>
        <v>Delete</v>
      </c>
      <c r="H11951" s="8" t="s">
        <v>9</v>
      </c>
      <c r="I11951" s="8"/>
      <c r="O11951" t="str">
        <f>LEFT(Table2[[#This Row],[Description]],75)</f>
        <v>NATIONAL CAR R018701COLLEGE PARK        GA</v>
      </c>
    </row>
    <row r="11952" spans="1:15" hidden="1">
      <c r="A11952" s="25">
        <v>202408</v>
      </c>
      <c r="B11952" s="6">
        <v>45506</v>
      </c>
      <c r="C11952" t="s">
        <v>5160</v>
      </c>
      <c r="D11952" t="s">
        <v>5523</v>
      </c>
      <c r="E11952">
        <v>-27</v>
      </c>
      <c r="F11952" s="2" t="str">
        <f>IF(Table2[[#This Row],[Manual Cat Value]]="",VLOOKUP(Table2[[#This Row],[Description]],'Actuals Lookup'!D:F,3,0),VLOOKUP(Table2[[#This Row],[Manual Cat Value]],Lookup!A:B,2,0))</f>
        <v>Shopping</v>
      </c>
      <c r="G11952" t="s">
        <v>21</v>
      </c>
      <c r="H11952" t="s">
        <v>36</v>
      </c>
      <c r="I11952" s="8"/>
      <c r="O11952" t="str">
        <f>LEFT(Table2[[#This Row],[Description]],75)</f>
        <v>The North Face</v>
      </c>
    </row>
    <row r="11953" spans="1:15" hidden="1">
      <c r="A11953" s="25">
        <v>202408</v>
      </c>
      <c r="B11953" s="6">
        <v>45506</v>
      </c>
      <c r="C11953" t="s">
        <v>5160</v>
      </c>
      <c r="D11953" t="s">
        <v>5596</v>
      </c>
      <c r="E11953">
        <v>214.9</v>
      </c>
      <c r="F11953" s="2" t="str">
        <f>IF(Table2[[#This Row],[Manual Cat Value]]="",VLOOKUP(Table2[[#This Row],[Description]],'Actuals Lookup'!D:F,3,0),VLOOKUP(Table2[[#This Row],[Manual Cat Value]],Lookup!A:B,2,0))</f>
        <v>Restaurants</v>
      </c>
      <c r="G11953" t="s">
        <v>26</v>
      </c>
      <c r="H11953" t="s">
        <v>25</v>
      </c>
      <c r="I11953" s="8"/>
      <c r="O11953" t="str">
        <f>LEFT(Table2[[#This Row],[Description]],75)</f>
        <v>Tst* X01 - Z&amp;h 739 Lwayzata Mn</v>
      </c>
    </row>
    <row r="11954" spans="1:15" hidden="1">
      <c r="A11954">
        <v>202408</v>
      </c>
      <c r="B11954" s="6">
        <v>45506</v>
      </c>
      <c r="C11954" t="s">
        <v>3938</v>
      </c>
      <c r="D11954" t="s">
        <v>2078</v>
      </c>
      <c r="E11954">
        <v>23.41</v>
      </c>
      <c r="F11954" s="2" t="str">
        <f>IF(Table2[[#This Row],[Manual Cat Value]]="",VLOOKUP(Table2[[#This Row],[Description]],'Actuals Lookup'!D:F,3,0),VLOOKUP(Table2[[#This Row],[Manual Cat Value]],Lookup!A:B,2,0))</f>
        <v>Transportation</v>
      </c>
      <c r="I11954" s="8"/>
      <c r="O11954" t="str">
        <f>LEFT(Table2[[#This Row],[Description]],75)</f>
        <v>Uber</v>
      </c>
    </row>
    <row r="11955" spans="1:15" hidden="1">
      <c r="A11955" s="25">
        <v>202407</v>
      </c>
      <c r="B11955" s="6">
        <v>45484</v>
      </c>
      <c r="C11955" t="s">
        <v>5160</v>
      </c>
      <c r="D11955" t="s">
        <v>4864</v>
      </c>
      <c r="E11955">
        <v>82.53</v>
      </c>
      <c r="F11955" s="2" t="str">
        <f>IF(Table2[[#This Row],[Manual Cat Value]]="",VLOOKUP(Table2[[#This Row],[Description]],'Actuals Lookup'!D:F,3,0),VLOOKUP(Table2[[#This Row],[Manual Cat Value]],Lookup!A:B,2,0))</f>
        <v>Delete</v>
      </c>
      <c r="G11955" t="s">
        <v>43</v>
      </c>
      <c r="H11955" s="8" t="s">
        <v>9</v>
      </c>
      <c r="I11955" s="8"/>
      <c r="O11955" t="str">
        <f>LEFT(Table2[[#This Row],[Description]],75)</f>
        <v>National Car Rental</v>
      </c>
    </row>
    <row r="11956" spans="1:15" hidden="1">
      <c r="A11956" s="25">
        <v>202408</v>
      </c>
      <c r="B11956" s="6">
        <v>45506</v>
      </c>
      <c r="C11956" t="s">
        <v>5160</v>
      </c>
      <c r="D11956" t="s">
        <v>5597</v>
      </c>
      <c r="E11956">
        <v>10</v>
      </c>
      <c r="F11956" s="2" t="str">
        <f>IF(Table2[[#This Row],[Manual Cat Value]]="",VLOOKUP(Table2[[#This Row],[Description]],'Actuals Lookup'!D:F,3,0),VLOOKUP(Table2[[#This Row],[Manual Cat Value]],Lookup!A:B,2,0))</f>
        <v>Transportation</v>
      </c>
      <c r="G11956" t="s">
        <v>43</v>
      </c>
      <c r="H11956" t="s">
        <v>22</v>
      </c>
      <c r="I11956" s="8"/>
      <c r="O11956" t="str">
        <f>LEFT(Table2[[#This Row],[Description]],75)</f>
        <v>X0002n Ummc Parking Minneapolis Mn</v>
      </c>
    </row>
    <row r="11957" spans="1:15" hidden="1">
      <c r="A11957" s="25">
        <v>202408</v>
      </c>
      <c r="B11957" s="6">
        <v>45507</v>
      </c>
      <c r="C11957" t="s">
        <v>5160</v>
      </c>
      <c r="D11957" t="s">
        <v>5598</v>
      </c>
      <c r="E11957">
        <v>93.67</v>
      </c>
      <c r="F11957" s="2" t="str">
        <f>IF(Table2[[#This Row],[Manual Cat Value]]="",VLOOKUP(Table2[[#This Row],[Description]],'Actuals Lookup'!D:F,3,0),VLOOKUP(Table2[[#This Row],[Manual Cat Value]],Lookup!A:B,2,0))</f>
        <v>Restaurants</v>
      </c>
      <c r="G11957" t="s">
        <v>35</v>
      </c>
      <c r="H11957" t="s">
        <v>25</v>
      </c>
      <c r="I11957" s="8"/>
      <c r="O11957" t="str">
        <f>LEFT(Table2[[#This Row],[Description]],75)</f>
        <v>Birchs On The Lake 1long Lake Mn</v>
      </c>
    </row>
    <row r="11958" spans="1:15" hidden="1">
      <c r="A11958" s="25">
        <v>202408</v>
      </c>
      <c r="B11958" s="6">
        <v>45507</v>
      </c>
      <c r="C11958" t="s">
        <v>5160</v>
      </c>
      <c r="D11958" t="s">
        <v>5599</v>
      </c>
      <c r="E11958">
        <v>38.950000000000003</v>
      </c>
      <c r="F11958" s="2" t="str">
        <f>IF(Table2[[#This Row],[Manual Cat Value]]="",VLOOKUP(Table2[[#This Row],[Description]],'Actuals Lookup'!D:F,3,0),VLOOKUP(Table2[[#This Row],[Manual Cat Value]],Lookup!A:B,2,0))</f>
        <v>Misc</v>
      </c>
      <c r="G11958" t="s">
        <v>20</v>
      </c>
      <c r="H11958" s="8" t="s">
        <v>46</v>
      </c>
      <c r="I11958" s="8"/>
      <c r="O11958" t="str">
        <f>LEFT(Table2[[#This Row],[Description]],75)</f>
        <v>Care.com</v>
      </c>
    </row>
    <row r="11959" spans="1:15" hidden="1">
      <c r="A11959" s="25">
        <v>202407</v>
      </c>
      <c r="B11959" s="6">
        <v>45485</v>
      </c>
      <c r="C11959" t="s">
        <v>5160</v>
      </c>
      <c r="D11959" t="s">
        <v>5600</v>
      </c>
      <c r="E11959">
        <v>50.74</v>
      </c>
      <c r="F11959" s="2" t="str">
        <f>IF(Table2[[#This Row],[Manual Cat Value]]="",VLOOKUP(Table2[[#This Row],[Description]],'Actuals Lookup'!D:F,3,0),VLOOKUP(Table2[[#This Row],[Manual Cat Value]],Lookup!A:B,2,0))</f>
        <v>Delete</v>
      </c>
      <c r="G11959" t="s">
        <v>43</v>
      </c>
      <c r="H11959" s="8" t="s">
        <v>9</v>
      </c>
      <c r="I11959" s="8"/>
      <c r="O11959" t="str">
        <f>LEFT(Table2[[#This Row],[Description]],75)</f>
        <v>National Car Rxx5111saint Louis Mo</v>
      </c>
    </row>
    <row r="11960" spans="1:15" hidden="1">
      <c r="A11960" s="25">
        <v>202408</v>
      </c>
      <c r="B11960" s="6">
        <v>45507</v>
      </c>
      <c r="C11960" t="s">
        <v>5160</v>
      </c>
      <c r="D11960" t="s">
        <v>684</v>
      </c>
      <c r="E11960">
        <v>41.63</v>
      </c>
      <c r="F11960" s="2" t="str">
        <f>IF(Table2[[#This Row],[Manual Cat Value]]="",VLOOKUP(Table2[[#This Row],[Description]],'Actuals Lookup'!D:F,3,0),VLOOKUP(Table2[[#This Row],[Manual Cat Value]],Lookup!A:B,2,0))</f>
        <v>Restaurants</v>
      </c>
      <c r="G11960" t="s">
        <v>28</v>
      </c>
      <c r="H11960" t="s">
        <v>25</v>
      </c>
      <c r="I11960" s="8"/>
      <c r="O11960" t="str">
        <f>LEFT(Table2[[#This Row],[Description]],75)</f>
        <v>Cub Foods</v>
      </c>
    </row>
    <row r="11961" spans="1:15" hidden="1">
      <c r="A11961" s="25">
        <v>202408</v>
      </c>
      <c r="B11961" s="6">
        <v>45507</v>
      </c>
      <c r="C11961" t="s">
        <v>5160</v>
      </c>
      <c r="D11961" t="s">
        <v>5601</v>
      </c>
      <c r="E11961">
        <v>14.05</v>
      </c>
      <c r="F11961" s="2" t="str">
        <f>IF(Table2[[#This Row],[Manual Cat Value]]="",VLOOKUP(Table2[[#This Row],[Description]],'Actuals Lookup'!D:F,3,0),VLOOKUP(Table2[[#This Row],[Manual Cat Value]],Lookup!A:B,2,0))</f>
        <v>Restaurants</v>
      </c>
      <c r="G11961" t="s">
        <v>26</v>
      </c>
      <c r="H11961" t="s">
        <v>25</v>
      </c>
      <c r="I11961" s="8"/>
      <c r="O11961" t="str">
        <f>LEFT(Table2[[#This Row],[Description]],75)</f>
        <v>Roti Cuisine Of India</v>
      </c>
    </row>
    <row r="11962" spans="1:15" hidden="1">
      <c r="A11962" s="25">
        <v>202408</v>
      </c>
      <c r="B11962" s="6">
        <v>45507</v>
      </c>
      <c r="C11962" t="s">
        <v>5160</v>
      </c>
      <c r="D11962" t="s">
        <v>2002</v>
      </c>
      <c r="E11962">
        <v>33.590000000000003</v>
      </c>
      <c r="F11962" s="2" t="str">
        <f>IF(Table2[[#This Row],[Manual Cat Value]]="",VLOOKUP(Table2[[#This Row],[Description]],'Actuals Lookup'!D:F,3,0),VLOOKUP(Table2[[#This Row],[Manual Cat Value]],Lookup!A:B,2,0))</f>
        <v>House Maintenance</v>
      </c>
      <c r="G11962" t="s">
        <v>4840</v>
      </c>
      <c r="H11962" t="s">
        <v>1</v>
      </c>
      <c r="I11962" s="8"/>
      <c r="O11962" t="str">
        <f>LEFT(Table2[[#This Row],[Description]],75)</f>
        <v>True Value</v>
      </c>
    </row>
    <row r="11963" spans="1:15" hidden="1">
      <c r="A11963" s="25">
        <v>202407</v>
      </c>
      <c r="B11963" s="6">
        <v>45489</v>
      </c>
      <c r="C11963" t="s">
        <v>5160</v>
      </c>
      <c r="D11963" t="s">
        <v>5602</v>
      </c>
      <c r="E11963">
        <v>108.27</v>
      </c>
      <c r="F11963" s="2" t="str">
        <f>IF(Table2[[#This Row],[Manual Cat Value]]="",VLOOKUP(Table2[[#This Row],[Description]],'Actuals Lookup'!D:F,3,0),VLOOKUP(Table2[[#This Row],[Manual Cat Value]],Lookup!A:B,2,0))</f>
        <v>Delete</v>
      </c>
      <c r="G11963" t="s">
        <v>43</v>
      </c>
      <c r="H11963" s="8" t="s">
        <v>9</v>
      </c>
      <c r="I11963" s="8"/>
      <c r="O11963" t="str">
        <f>LEFT(Table2[[#This Row],[Description]],75)</f>
        <v>National Car Rxx7208fort Myers Fl</v>
      </c>
    </row>
    <row r="11964" spans="1:15" hidden="1">
      <c r="A11964" s="25">
        <v>202408</v>
      </c>
      <c r="B11964" s="6">
        <v>45508</v>
      </c>
      <c r="C11964" t="s">
        <v>5160</v>
      </c>
      <c r="D11964" t="s">
        <v>5603</v>
      </c>
      <c r="E11964">
        <v>11.19</v>
      </c>
      <c r="F11964" s="2" t="str">
        <f>IF(Table2[[#This Row],[Manual Cat Value]]="",VLOOKUP(Table2[[#This Row],[Description]],'Actuals Lookup'!D:F,3,0),VLOOKUP(Table2[[#This Row],[Manual Cat Value]],Lookup!A:B,2,0))</f>
        <v>Shopping</v>
      </c>
      <c r="G11964" t="s">
        <v>62</v>
      </c>
      <c r="H11964" s="8" t="s">
        <v>36</v>
      </c>
      <c r="I11964" s="8"/>
      <c r="O11964" t="str">
        <f>LEFT(Table2[[#This Row],[Description]],75)</f>
        <v>Aplpay Minnesota Spominneapolis Mn</v>
      </c>
    </row>
    <row r="11965" spans="1:15" hidden="1">
      <c r="A11965" s="25">
        <v>202408</v>
      </c>
      <c r="B11965" s="6">
        <v>45508</v>
      </c>
      <c r="C11965" t="s">
        <v>5160</v>
      </c>
      <c r="D11965" t="s">
        <v>5604</v>
      </c>
      <c r="E11965">
        <v>20.399999999999999</v>
      </c>
      <c r="F11965" s="2" t="str">
        <f>IF(Table2[[#This Row],[Manual Cat Value]]="",VLOOKUP(Table2[[#This Row],[Description]],'Actuals Lookup'!D:F,3,0),VLOOKUP(Table2[[#This Row],[Manual Cat Value]],Lookup!A:B,2,0))</f>
        <v>Restaurants</v>
      </c>
      <c r="G11965" t="s">
        <v>26</v>
      </c>
      <c r="H11965" s="8" t="s">
        <v>25</v>
      </c>
      <c r="I11965" s="8"/>
      <c r="O11965" t="str">
        <f>LEFT(Table2[[#This Row],[Description]],75)</f>
        <v>Brick Oven Bus Llc Spring Park Mn</v>
      </c>
    </row>
    <row r="11966" spans="1:15" hidden="1">
      <c r="A11966">
        <v>202408</v>
      </c>
      <c r="B11966" s="6">
        <v>45508</v>
      </c>
      <c r="C11966" t="s">
        <v>3938</v>
      </c>
      <c r="D11966" t="s">
        <v>4887</v>
      </c>
      <c r="E11966">
        <v>56.48</v>
      </c>
      <c r="F11966" s="2" t="str">
        <f>IF(Table2[[#This Row],[Manual Cat Value]]="",VLOOKUP(Table2[[#This Row],[Description]],'Actuals Lookup'!D:F,3,0),VLOOKUP(Table2[[#This Row],[Manual Cat Value]],Lookup!A:B,2,0))</f>
        <v>Transportation</v>
      </c>
      <c r="H11966" t="s">
        <v>22</v>
      </c>
      <c r="I11966" s="8"/>
      <c r="O11966" t="str">
        <f>LEFT(Table2[[#This Row],[Description]],75)</f>
        <v>Costco Gas Stations</v>
      </c>
    </row>
    <row r="11967" spans="1:15" hidden="1">
      <c r="A11967" s="25">
        <v>202408</v>
      </c>
      <c r="B11967" s="6">
        <v>45508</v>
      </c>
      <c r="C11967" t="s">
        <v>5160</v>
      </c>
      <c r="D11967" t="s">
        <v>701</v>
      </c>
      <c r="E11967">
        <v>19.03</v>
      </c>
      <c r="F11967" s="2" t="str">
        <f>IF(Table2[[#This Row],[Manual Cat Value]]="",VLOOKUP(Table2[[#This Row],[Description]],'Actuals Lookup'!D:F,3,0),VLOOKUP(Table2[[#This Row],[Manual Cat Value]],Lookup!A:B,2,0))</f>
        <v>Restaurants</v>
      </c>
      <c r="G11967" t="s">
        <v>62</v>
      </c>
      <c r="H11967" t="s">
        <v>25</v>
      </c>
      <c r="I11967" s="8"/>
      <c r="O11967" t="str">
        <f>LEFT(Table2[[#This Row],[Description]],75)</f>
        <v>Delaware North</v>
      </c>
    </row>
    <row r="11968" spans="1:15" hidden="1">
      <c r="A11968" s="25">
        <v>202408</v>
      </c>
      <c r="B11968" s="6">
        <v>45508</v>
      </c>
      <c r="C11968" t="s">
        <v>5160</v>
      </c>
      <c r="D11968" t="s">
        <v>701</v>
      </c>
      <c r="E11968">
        <v>16.559999999999999</v>
      </c>
      <c r="F11968" s="2" t="str">
        <f>IF(Table2[[#This Row],[Manual Cat Value]]="",VLOOKUP(Table2[[#This Row],[Description]],'Actuals Lookup'!D:F,3,0),VLOOKUP(Table2[[#This Row],[Manual Cat Value]],Lookup!A:B,2,0))</f>
        <v>Restaurants</v>
      </c>
      <c r="G11968" t="s">
        <v>62</v>
      </c>
      <c r="H11968" t="s">
        <v>25</v>
      </c>
      <c r="I11968" s="8"/>
      <c r="O11968" t="str">
        <f>LEFT(Table2[[#This Row],[Description]],75)</f>
        <v>Delaware North</v>
      </c>
    </row>
    <row r="11969" spans="1:15" hidden="1">
      <c r="A11969" s="25">
        <v>202408</v>
      </c>
      <c r="B11969" s="6">
        <v>45508</v>
      </c>
      <c r="C11969" t="s">
        <v>5160</v>
      </c>
      <c r="D11969" t="s">
        <v>701</v>
      </c>
      <c r="E11969">
        <v>35</v>
      </c>
      <c r="F11969" s="2" t="str">
        <f>IF(Table2[[#This Row],[Manual Cat Value]]="",VLOOKUP(Table2[[#This Row],[Description]],'Actuals Lookup'!D:F,3,0),VLOOKUP(Table2[[#This Row],[Manual Cat Value]],Lookup!A:B,2,0))</f>
        <v>Restaurants</v>
      </c>
      <c r="G11969" t="s">
        <v>62</v>
      </c>
      <c r="H11969" t="s">
        <v>25</v>
      </c>
      <c r="I11969" s="8"/>
      <c r="O11969" t="str">
        <f>LEFT(Table2[[#This Row],[Description]],75)</f>
        <v>Delaware North</v>
      </c>
    </row>
    <row r="11970" spans="1:15" hidden="1">
      <c r="A11970" s="25">
        <v>202408</v>
      </c>
      <c r="B11970" s="6">
        <v>45508</v>
      </c>
      <c r="C11970" t="s">
        <v>5160</v>
      </c>
      <c r="D11970" t="s">
        <v>701</v>
      </c>
      <c r="E11970">
        <v>9.83</v>
      </c>
      <c r="F11970" s="2" t="str">
        <f>IF(Table2[[#This Row],[Manual Cat Value]]="",VLOOKUP(Table2[[#This Row],[Description]],'Actuals Lookup'!D:F,3,0),VLOOKUP(Table2[[#This Row],[Manual Cat Value]],Lookup!A:B,2,0))</f>
        <v>Restaurants</v>
      </c>
      <c r="G11970" t="s">
        <v>62</v>
      </c>
      <c r="H11970" t="s">
        <v>25</v>
      </c>
      <c r="I11970" s="8"/>
      <c r="O11970" t="str">
        <f>LEFT(Table2[[#This Row],[Description]],75)</f>
        <v>Delaware North</v>
      </c>
    </row>
    <row r="11971" spans="1:15" hidden="1">
      <c r="A11971" s="25">
        <v>202408</v>
      </c>
      <c r="B11971" s="6">
        <v>45508</v>
      </c>
      <c r="C11971" t="s">
        <v>5160</v>
      </c>
      <c r="D11971" t="s">
        <v>1707</v>
      </c>
      <c r="E11971">
        <v>48.07</v>
      </c>
      <c r="F11971" s="2" t="str">
        <f>IF(Table2[[#This Row],[Manual Cat Value]]="",VLOOKUP(Table2[[#This Row],[Description]],'Actuals Lookup'!D:F,3,0),VLOOKUP(Table2[[#This Row],[Manual Cat Value]],Lookup!A:B,2,0))</f>
        <v>Restaurants</v>
      </c>
      <c r="G11971" t="s">
        <v>23</v>
      </c>
      <c r="H11971" t="s">
        <v>25</v>
      </c>
      <c r="I11971" s="8"/>
      <c r="O11971" t="str">
        <f>LEFT(Table2[[#This Row],[Description]],75)</f>
        <v>Speedway</v>
      </c>
    </row>
    <row r="11972" spans="1:15" hidden="1">
      <c r="A11972" s="25">
        <v>202408</v>
      </c>
      <c r="B11972" s="6">
        <v>45508</v>
      </c>
      <c r="C11972" t="s">
        <v>3932</v>
      </c>
      <c r="D11972" t="s">
        <v>5605</v>
      </c>
      <c r="E11972">
        <v>19.05</v>
      </c>
      <c r="F11972" s="2" t="str">
        <f>IF(Table2[[#This Row],[Manual Cat Value]]="",VLOOKUP(Table2[[#This Row],[Description]],'Actuals Lookup'!D:F,3,0),VLOOKUP(Table2[[#This Row],[Manual Cat Value]],Lookup!A:B,2,0))</f>
        <v>Restaurants</v>
      </c>
      <c r="G11972" t="s">
        <v>26</v>
      </c>
      <c r="H11972" t="s">
        <v>25</v>
      </c>
      <c r="I11972" s="8"/>
      <c r="O11972" t="str">
        <f>LEFT(Table2[[#This Row],[Description]],75)</f>
        <v>Tst* Back Channel Brewin Spring Park Mn</v>
      </c>
    </row>
    <row r="11973" spans="1:15" hidden="1">
      <c r="A11973" s="25">
        <v>202408</v>
      </c>
      <c r="B11973" s="6">
        <v>45509</v>
      </c>
      <c r="C11973" t="s">
        <v>5160</v>
      </c>
      <c r="D11973" t="s">
        <v>103</v>
      </c>
      <c r="E11973">
        <v>146.80000000000001</v>
      </c>
      <c r="F11973" s="2" t="str">
        <f>IF(Table2[[#This Row],[Manual Cat Value]]="",VLOOKUP(Table2[[#This Row],[Description]],'Actuals Lookup'!D:F,3,0),VLOOKUP(Table2[[#This Row],[Manual Cat Value]],Lookup!A:B,2,0))</f>
        <v>Groceries</v>
      </c>
      <c r="G11973" t="s">
        <v>28</v>
      </c>
      <c r="H11973" t="s">
        <v>27</v>
      </c>
      <c r="I11973" s="8"/>
      <c r="O11973" t="str">
        <f>LEFT(Table2[[#This Row],[Description]],75)</f>
        <v>Advocare</v>
      </c>
    </row>
    <row r="11974" spans="1:15" hidden="1">
      <c r="A11974">
        <v>202408</v>
      </c>
      <c r="B11974" s="6">
        <v>45527</v>
      </c>
      <c r="C11974" t="s">
        <v>3938</v>
      </c>
      <c r="D11974" t="s">
        <v>5606</v>
      </c>
      <c r="E11974">
        <v>23.47</v>
      </c>
      <c r="F11974" s="2" t="str">
        <f>IF(Table2[[#This Row],[Manual Cat Value]]="",VLOOKUP(Table2[[#This Row],[Description]],'Actuals Lookup'!D:F,3,0),VLOOKUP(Table2[[#This Row],[Manual Cat Value]],Lookup!A:B,2,0))</f>
        <v>Delete</v>
      </c>
      <c r="H11974" s="8" t="s">
        <v>9</v>
      </c>
      <c r="I11974" s="8"/>
      <c r="O11974" t="str">
        <f>LEFT(Table2[[#This Row],[Description]],75)</f>
        <v>Naturally Nourished Cork IE REF #XX0916KV10QW8TZS</v>
      </c>
    </row>
    <row r="11975" spans="1:15" hidden="1">
      <c r="A11975">
        <v>202408</v>
      </c>
      <c r="B11975" s="6">
        <v>45509</v>
      </c>
      <c r="C11975" t="s">
        <v>3938</v>
      </c>
      <c r="D11975" t="s">
        <v>1707</v>
      </c>
      <c r="E11975">
        <v>6.99</v>
      </c>
      <c r="F11975" s="2" t="str">
        <f>IF(Table2[[#This Row],[Manual Cat Value]]="",VLOOKUP(Table2[[#This Row],[Description]],'Actuals Lookup'!D:F,3,0),VLOOKUP(Table2[[#This Row],[Manual Cat Value]],Lookup!A:B,2,0))</f>
        <v>Restaurants</v>
      </c>
      <c r="H11975" t="s">
        <v>25</v>
      </c>
      <c r="I11975" s="8"/>
      <c r="O11975" t="str">
        <f>LEFT(Table2[[#This Row],[Description]],75)</f>
        <v>Speedway</v>
      </c>
    </row>
    <row r="11976" spans="1:15" hidden="1">
      <c r="A11976" s="25">
        <v>202408</v>
      </c>
      <c r="B11976" s="6">
        <v>45510</v>
      </c>
      <c r="C11976" t="s">
        <v>5160</v>
      </c>
      <c r="D11976" t="s">
        <v>5607</v>
      </c>
      <c r="E11976">
        <v>103.09</v>
      </c>
      <c r="F11976" s="2" t="str">
        <f>IF(Table2[[#This Row],[Manual Cat Value]]="",VLOOKUP(Table2[[#This Row],[Description]],'Actuals Lookup'!D:F,3,0),VLOOKUP(Table2[[#This Row],[Manual Cat Value]],Lookup!A:B,2,0))</f>
        <v>Gifts</v>
      </c>
      <c r="G11976" t="s">
        <v>21</v>
      </c>
      <c r="H11976" s="8" t="s">
        <v>44</v>
      </c>
      <c r="I11976" s="8"/>
      <c r="O11976" t="str">
        <f>LEFT(Table2[[#This Row],[Description]],75)</f>
        <v>Bachman's Eden Praireden Prairie Mn</v>
      </c>
    </row>
    <row r="11977" spans="1:15" hidden="1">
      <c r="A11977" s="25">
        <v>202408</v>
      </c>
      <c r="B11977" s="6">
        <v>45510</v>
      </c>
      <c r="C11977" t="s">
        <v>5160</v>
      </c>
      <c r="D11977" t="s">
        <v>4726</v>
      </c>
      <c r="E11977">
        <v>428.8</v>
      </c>
      <c r="F11977" s="2" t="str">
        <f>IF(Table2[[#This Row],[Manual Cat Value]]="",VLOOKUP(Table2[[#This Row],[Description]],'Actuals Lookup'!D:F,3,0),VLOOKUP(Table2[[#This Row],[Manual Cat Value]],Lookup!A:B,2,0))</f>
        <v>Transportation</v>
      </c>
      <c r="G11977" t="s">
        <v>23</v>
      </c>
      <c r="H11977" t="s">
        <v>22</v>
      </c>
      <c r="I11977" s="8"/>
      <c r="O11977" t="str">
        <f>LEFT(Table2[[#This Row],[Description]],75)</f>
        <v>Bmw</v>
      </c>
    </row>
    <row r="11978" spans="1:15" hidden="1">
      <c r="A11978" s="25">
        <v>202408</v>
      </c>
      <c r="B11978" s="6">
        <v>45510</v>
      </c>
      <c r="C11978" t="s">
        <v>5160</v>
      </c>
      <c r="D11978" t="s">
        <v>5608</v>
      </c>
      <c r="E11978">
        <v>88</v>
      </c>
      <c r="F11978" s="2" t="str">
        <f>IF(Table2[[#This Row],[Manual Cat Value]]="",VLOOKUP(Table2[[#This Row],[Description]],'Actuals Lookup'!D:F,3,0),VLOOKUP(Table2[[#This Row],[Manual Cat Value]],Lookup!A:B,2,0))</f>
        <v>Shopping</v>
      </c>
      <c r="G11978" t="s">
        <v>4745</v>
      </c>
      <c r="H11978" s="8" t="s">
        <v>36</v>
      </c>
      <c r="I11978" s="8"/>
      <c r="O11978" t="str">
        <f>LEFT(Table2[[#This Row],[Description]],75)</f>
        <v>Cc Filson Minneapolis Mn</v>
      </c>
    </row>
    <row r="11979" spans="1:15" hidden="1">
      <c r="A11979">
        <v>202408</v>
      </c>
      <c r="B11979" s="6">
        <v>45510</v>
      </c>
      <c r="C11979" t="s">
        <v>2519</v>
      </c>
      <c r="D11979" t="s">
        <v>4642</v>
      </c>
      <c r="E11979">
        <v>220.25</v>
      </c>
      <c r="F11979" s="2" t="str">
        <f>IF(Table2[[#This Row],[Manual Cat Value]]="",VLOOKUP(Table2[[#This Row],[Description]],'Actuals Lookup'!D:F,3,0),VLOOKUP(Table2[[#This Row],[Manual Cat Value]],Lookup!A:B,2,0))</f>
        <v>Transportation</v>
      </c>
      <c r="H11979" t="s">
        <v>22</v>
      </c>
      <c r="I11979" s="8"/>
      <c r="O11979" t="str">
        <f>LEFT(Table2[[#This Row],[Description]],75)</f>
        <v>Colorado Department of Motor Vehicles</v>
      </c>
    </row>
    <row r="11980" spans="1:15" hidden="1">
      <c r="A11980" s="25">
        <v>202408</v>
      </c>
      <c r="B11980" s="6">
        <v>45510</v>
      </c>
      <c r="C11980" t="s">
        <v>5160</v>
      </c>
      <c r="D11980" t="s">
        <v>5107</v>
      </c>
      <c r="E11980">
        <v>22.19</v>
      </c>
      <c r="F11980" s="2" t="str">
        <f>IF(Table2[[#This Row],[Manual Cat Value]]="",VLOOKUP(Table2[[#This Row],[Description]],'Actuals Lookup'!D:F,3,0),VLOOKUP(Table2[[#This Row],[Manual Cat Value]],Lookup!A:B,2,0))</f>
        <v>Restaurants</v>
      </c>
      <c r="G11980" t="s">
        <v>5108</v>
      </c>
      <c r="H11980" t="s">
        <v>25</v>
      </c>
      <c r="I11980" s="8"/>
      <c r="O11980" t="str">
        <f>LEFT(Table2[[#This Row],[Description]],75)</f>
        <v>Lifetime</v>
      </c>
    </row>
    <row r="11981" spans="1:15" hidden="1">
      <c r="A11981">
        <v>202408</v>
      </c>
      <c r="B11981" s="6">
        <v>45510</v>
      </c>
      <c r="C11981" t="s">
        <v>2519</v>
      </c>
      <c r="D11981" t="s">
        <v>1469</v>
      </c>
      <c r="E11981">
        <v>192.83</v>
      </c>
      <c r="F11981" s="2" t="str">
        <f>IF(Table2[[#This Row],[Manual Cat Value]]="",VLOOKUP(Table2[[#This Row],[Description]],'Actuals Lookup'!D:F,3,0),VLOOKUP(Table2[[#This Row],[Manual Cat Value]],Lookup!A:B,2,0))</f>
        <v>Utilities</v>
      </c>
      <c r="H11981" t="s">
        <v>6</v>
      </c>
      <c r="I11981" s="8"/>
      <c r="O11981" t="str">
        <f>LEFT(Table2[[#This Row],[Description]],75)</f>
        <v>Payment to Waste management</v>
      </c>
    </row>
    <row r="11982" spans="1:15" hidden="1">
      <c r="A11982" s="25">
        <v>202408</v>
      </c>
      <c r="B11982" s="6">
        <v>45510</v>
      </c>
      <c r="C11982" t="s">
        <v>5160</v>
      </c>
      <c r="D11982" t="s">
        <v>5096</v>
      </c>
      <c r="E11982">
        <v>33.65</v>
      </c>
      <c r="F11982" s="2" t="str">
        <f>IF(Table2[[#This Row],[Manual Cat Value]]="",VLOOKUP(Table2[[#This Row],[Description]],'Actuals Lookup'!D:F,3,0),VLOOKUP(Table2[[#This Row],[Manual Cat Value]],Lookup!A:B,2,0))</f>
        <v>Restaurants</v>
      </c>
      <c r="G11982" t="s">
        <v>26</v>
      </c>
      <c r="H11982" t="s">
        <v>25</v>
      </c>
      <c r="I11982" s="8"/>
      <c r="O11982" t="str">
        <f>LEFT(Table2[[#This Row],[Description]],75)</f>
        <v>Sweetgreen</v>
      </c>
    </row>
    <row r="11983" spans="1:15" hidden="1">
      <c r="A11983">
        <v>202408</v>
      </c>
      <c r="B11983" s="6">
        <v>45510</v>
      </c>
      <c r="C11983" t="s">
        <v>2519</v>
      </c>
      <c r="D11983" t="s">
        <v>1955</v>
      </c>
      <c r="E11983">
        <v>43.59</v>
      </c>
      <c r="F11983" s="2" t="str">
        <f>IF(Table2[[#This Row],[Manual Cat Value]]="",VLOOKUP(Table2[[#This Row],[Description]],'Actuals Lookup'!D:F,3,0),VLOOKUP(Table2[[#This Row],[Manual Cat Value]],Lookup!A:B,2,0))</f>
        <v>Shopping</v>
      </c>
      <c r="H11983" t="s">
        <v>36</v>
      </c>
      <c r="I11983" s="8"/>
      <c r="O11983" t="str">
        <f>LEFT(Table2[[#This Row],[Description]],75)</f>
        <v>Transfer to PayPal</v>
      </c>
    </row>
    <row r="11984" spans="1:15" hidden="1">
      <c r="A11984" s="25">
        <v>202408</v>
      </c>
      <c r="B11984" s="6">
        <v>45510</v>
      </c>
      <c r="C11984" t="s">
        <v>5160</v>
      </c>
      <c r="D11984" t="s">
        <v>5609</v>
      </c>
      <c r="E11984">
        <v>4</v>
      </c>
      <c r="F11984" s="2" t="str">
        <f>IF(Table2[[#This Row],[Manual Cat Value]]="",VLOOKUP(Table2[[#This Row],[Description]],'Actuals Lookup'!D:F,3,0),VLOOKUP(Table2[[#This Row],[Manual Cat Value]],Lookup!A:B,2,0))</f>
        <v>Restaurants</v>
      </c>
      <c r="G11984" t="s">
        <v>26</v>
      </c>
      <c r="H11984" t="s">
        <v>25</v>
      </c>
      <c r="I11984" s="8"/>
      <c r="O11984" t="str">
        <f>LEFT(Table2[[#This Row],[Description]],75)</f>
        <v>X0020n Southdale Paredina Mn</v>
      </c>
    </row>
    <row r="11985" spans="1:15" hidden="1">
      <c r="A11985" s="25">
        <v>202408</v>
      </c>
      <c r="B11985" s="6">
        <v>45511</v>
      </c>
      <c r="C11985" t="s">
        <v>5160</v>
      </c>
      <c r="D11985" t="s">
        <v>5610</v>
      </c>
      <c r="E11985">
        <v>64.400000000000006</v>
      </c>
      <c r="F11985" s="2" t="str">
        <f>IF(Table2[[#This Row],[Manual Cat Value]]="",VLOOKUP(Table2[[#This Row],[Description]],'Actuals Lookup'!D:F,3,0),VLOOKUP(Table2[[#This Row],[Manual Cat Value]],Lookup!A:B,2,0))</f>
        <v>Restaurants</v>
      </c>
      <c r="G11985" t="s">
        <v>26</v>
      </c>
      <c r="H11985" s="8" t="s">
        <v>25</v>
      </c>
      <c r="I11985" s="8"/>
      <c r="O11985" t="str">
        <f>LEFT(Table2[[#This Row],[Description]],75)</f>
        <v>Aplpay Tst* Hawaii Peden Prairie Mn</v>
      </c>
    </row>
    <row r="11986" spans="1:15" hidden="1">
      <c r="A11986" s="25">
        <v>202408</v>
      </c>
      <c r="B11986" s="6">
        <v>45511</v>
      </c>
      <c r="C11986" t="s">
        <v>5160</v>
      </c>
      <c r="D11986" t="s">
        <v>684</v>
      </c>
      <c r="E11986">
        <v>59.63</v>
      </c>
      <c r="F11986" s="2" t="str">
        <f>IF(Table2[[#This Row],[Manual Cat Value]]="",VLOOKUP(Table2[[#This Row],[Description]],'Actuals Lookup'!D:F,3,0),VLOOKUP(Table2[[#This Row],[Manual Cat Value]],Lookup!A:B,2,0))</f>
        <v>Restaurants</v>
      </c>
      <c r="G11986" t="s">
        <v>28</v>
      </c>
      <c r="H11986" t="s">
        <v>25</v>
      </c>
      <c r="I11986" s="8"/>
      <c r="O11986" t="str">
        <f>LEFT(Table2[[#This Row],[Description]],75)</f>
        <v>Cub Foods</v>
      </c>
    </row>
    <row r="11987" spans="1:15" hidden="1">
      <c r="A11987" s="25">
        <v>202406</v>
      </c>
      <c r="B11987" s="6">
        <v>45462</v>
      </c>
      <c r="C11987" t="s">
        <v>5160</v>
      </c>
      <c r="D11987" t="s">
        <v>5611</v>
      </c>
      <c r="E11987">
        <v>8.74</v>
      </c>
      <c r="F11987" s="2" t="str">
        <f>IF(Table2[[#This Row],[Manual Cat Value]]="",VLOOKUP(Table2[[#This Row],[Description]],'Actuals Lookup'!D:F,3,0),VLOOKUP(Table2[[#This Row],[Manual Cat Value]],Lookup!A:B,2,0))</f>
        <v>Delete</v>
      </c>
      <c r="G11987" t="s">
        <v>41</v>
      </c>
      <c r="H11987" s="8" t="s">
        <v>9</v>
      </c>
      <c r="I11987" s="8"/>
      <c r="O11987" t="str">
        <f>LEFT(Table2[[#This Row],[Description]],75)</f>
        <v>Newslink</v>
      </c>
    </row>
    <row r="11988" spans="1:15" hidden="1">
      <c r="A11988">
        <v>202408</v>
      </c>
      <c r="B11988" s="6">
        <v>45511</v>
      </c>
      <c r="C11988" t="s">
        <v>2519</v>
      </c>
      <c r="D11988" t="s">
        <v>5612</v>
      </c>
      <c r="E11988">
        <v>278</v>
      </c>
      <c r="F11988" s="2" t="str">
        <f>IF(Table2[[#This Row],[Manual Cat Value]]="",VLOOKUP(Table2[[#This Row],[Description]],'Actuals Lookup'!D:F,3,0),VLOOKUP(Table2[[#This Row],[Manual Cat Value]],Lookup!A:B,2,0))</f>
        <v>Day Care</v>
      </c>
      <c r="H11988" t="s">
        <v>19</v>
      </c>
      <c r="I11988" s="8"/>
      <c r="O11988" t="str">
        <f>LEFT(Table2[[#This Row],[Description]],75)</f>
        <v xml:space="preserve">Withdrawal ACH RILEY CROSSING C TYPE: XX8412 ID: XX9040 CO: RILEY CROSSING </v>
      </c>
    </row>
    <row r="11989" spans="1:15" hidden="1">
      <c r="A11989" s="25">
        <v>202408</v>
      </c>
      <c r="B11989" s="6">
        <v>45512</v>
      </c>
      <c r="C11989" t="s">
        <v>3932</v>
      </c>
      <c r="D11989" t="s">
        <v>113</v>
      </c>
      <c r="E11989">
        <v>-23.83</v>
      </c>
      <c r="F11989" s="2" t="str">
        <f>IF(Table2[[#This Row],[Manual Cat Value]]="",VLOOKUP(Table2[[#This Row],[Description]],'Actuals Lookup'!D:F,3,0),VLOOKUP(Table2[[#This Row],[Manual Cat Value]],Lookup!A:B,2,0))</f>
        <v>Amazon</v>
      </c>
      <c r="G11989" t="s">
        <v>38</v>
      </c>
      <c r="I11989" s="8"/>
      <c r="O11989" t="str">
        <f>LEFT(Table2[[#This Row],[Description]],75)</f>
        <v>Amazon Marketplace</v>
      </c>
    </row>
    <row r="11990" spans="1:15" hidden="1">
      <c r="A11990">
        <v>202408</v>
      </c>
      <c r="B11990" s="6">
        <v>45512</v>
      </c>
      <c r="C11990" t="s">
        <v>2281</v>
      </c>
      <c r="D11990" t="s">
        <v>14</v>
      </c>
      <c r="E11990">
        <f>125*2</f>
        <v>250</v>
      </c>
      <c r="F11990" s="2" t="str">
        <f>IF(Table2[[#This Row],[Manual Cat Value]]="",VLOOKUP(Table2[[#This Row],[Description]],'Actuals Lookup'!D:F,3,0),VLOOKUP(Table2[[#This Row],[Manual Cat Value]],Lookup!A:B,2,0))</f>
        <v>Cleaning</v>
      </c>
      <c r="H11990" s="8" t="s">
        <v>13</v>
      </c>
      <c r="I11990" s="8"/>
      <c r="O11990" t="str">
        <f>LEFT(Table2[[#This Row],[Description]],75)</f>
        <v>Cleaning</v>
      </c>
    </row>
    <row r="11991" spans="1:15" hidden="1">
      <c r="A11991" s="25">
        <v>202408</v>
      </c>
      <c r="B11991" s="6">
        <v>45513</v>
      </c>
      <c r="C11991" t="s">
        <v>5160</v>
      </c>
      <c r="D11991" t="s">
        <v>4093</v>
      </c>
      <c r="E11991">
        <v>14.46</v>
      </c>
      <c r="F11991" s="2" t="str">
        <f>IF(Table2[[#This Row],[Manual Cat Value]]="",VLOOKUP(Table2[[#This Row],[Description]],'Actuals Lookup'!D:F,3,0),VLOOKUP(Table2[[#This Row],[Manual Cat Value]],Lookup!A:B,2,0))</f>
        <v>Groceries</v>
      </c>
      <c r="G11991" t="s">
        <v>28</v>
      </c>
      <c r="I11991" s="8"/>
      <c r="O11991" t="str">
        <f>LEFT(Table2[[#This Row],[Description]],75)</f>
        <v>Kowalski's Market</v>
      </c>
    </row>
    <row r="11992" spans="1:15" hidden="1">
      <c r="A11992" s="25">
        <v>202408</v>
      </c>
      <c r="B11992" s="6">
        <v>45513</v>
      </c>
      <c r="C11992" t="s">
        <v>5160</v>
      </c>
      <c r="D11992" t="s">
        <v>4093</v>
      </c>
      <c r="E11992">
        <v>0.61</v>
      </c>
      <c r="F11992" s="2" t="str">
        <f>IF(Table2[[#This Row],[Manual Cat Value]]="",VLOOKUP(Table2[[#This Row],[Description]],'Actuals Lookup'!D:F,3,0),VLOOKUP(Table2[[#This Row],[Manual Cat Value]],Lookup!A:B,2,0))</f>
        <v>Groceries</v>
      </c>
      <c r="G11992" t="s">
        <v>28</v>
      </c>
      <c r="H11992" t="s">
        <v>27</v>
      </c>
      <c r="I11992" s="8"/>
      <c r="O11992" t="str">
        <f>LEFT(Table2[[#This Row],[Description]],75)</f>
        <v>Kowalski's Market</v>
      </c>
    </row>
    <row r="11993" spans="1:15" hidden="1">
      <c r="A11993">
        <v>202408</v>
      </c>
      <c r="B11993" s="6">
        <v>45513</v>
      </c>
      <c r="C11993" t="s">
        <v>2519</v>
      </c>
      <c r="D11993" t="s">
        <v>1470</v>
      </c>
      <c r="E11993">
        <v>150.22999999999999</v>
      </c>
      <c r="F11993" s="2" t="str">
        <f>IF(Table2[[#This Row],[Manual Cat Value]]="",VLOOKUP(Table2[[#This Row],[Description]],'Actuals Lookup'!D:F,3,0),VLOOKUP(Table2[[#This Row],[Manual Cat Value]],Lookup!A:B,2,0))</f>
        <v>Groceries</v>
      </c>
      <c r="H11993" t="s">
        <v>27</v>
      </c>
      <c r="I11993" s="8"/>
      <c r="O11993" t="str">
        <f>LEFT(Table2[[#This Row],[Description]],75)</f>
        <v>Payment to Xcel Energy</v>
      </c>
    </row>
    <row r="11994" spans="1:15" hidden="1">
      <c r="A11994">
        <v>202408</v>
      </c>
      <c r="B11994" s="6">
        <v>45513</v>
      </c>
      <c r="C11994" t="s">
        <v>3938</v>
      </c>
      <c r="D11994" t="s">
        <v>1477</v>
      </c>
      <c r="E11994">
        <v>47.69</v>
      </c>
      <c r="F11994" s="2" t="str">
        <f>IF(Table2[[#This Row],[Manual Cat Value]]="",VLOOKUP(Table2[[#This Row],[Description]],'Actuals Lookup'!D:F,3,0),VLOOKUP(Table2[[#This Row],[Manual Cat Value]],Lookup!A:B,2,0))</f>
        <v>Gym</v>
      </c>
      <c r="I11994" s="8"/>
      <c r="O11994" t="str">
        <f>LEFT(Table2[[#This Row],[Description]],75)</f>
        <v>Peloton Cycles</v>
      </c>
    </row>
    <row r="11995" spans="1:15" hidden="1">
      <c r="A11995">
        <v>202408</v>
      </c>
      <c r="B11995" s="6">
        <v>45513</v>
      </c>
      <c r="C11995" t="s">
        <v>2519</v>
      </c>
      <c r="D11995" t="s">
        <v>1958</v>
      </c>
      <c r="E11995">
        <v>125</v>
      </c>
      <c r="F11995" s="2" t="str">
        <f>IF(Table2[[#This Row],[Manual Cat Value]]="",VLOOKUP(Table2[[#This Row],[Description]],'Actuals Lookup'!D:F,3,0),VLOOKUP(Table2[[#This Row],[Manual Cat Value]],Lookup!A:B,2,0))</f>
        <v>Groceries</v>
      </c>
      <c r="H11995" t="s">
        <v>27</v>
      </c>
      <c r="I11995" s="8"/>
      <c r="O11995" t="str">
        <f>LEFT(Table2[[#This Row],[Description]],75)</f>
        <v>Transfer to Venmo</v>
      </c>
    </row>
    <row r="11996" spans="1:15" hidden="1">
      <c r="A11996" s="25">
        <v>202408</v>
      </c>
      <c r="B11996" s="6">
        <v>45513</v>
      </c>
      <c r="C11996" t="s">
        <v>5160</v>
      </c>
      <c r="D11996" t="s">
        <v>5385</v>
      </c>
      <c r="E11996">
        <v>135.68</v>
      </c>
      <c r="F11996" s="2" t="str">
        <f>IF(Table2[[#This Row],[Manual Cat Value]]="",VLOOKUP(Table2[[#This Row],[Description]],'Actuals Lookup'!D:F,3,0),VLOOKUP(Table2[[#This Row],[Manual Cat Value]],Lookup!A:B,2,0))</f>
        <v>Restaurants</v>
      </c>
      <c r="G11996" t="s">
        <v>35</v>
      </c>
      <c r="H11996" t="s">
        <v>25</v>
      </c>
      <c r="I11996" s="8"/>
      <c r="O11996" t="str">
        <f>LEFT(Table2[[#This Row],[Description]],75)</f>
        <v>Winchester And Rye 0victoria Mn</v>
      </c>
    </row>
    <row r="11997" spans="1:15" hidden="1">
      <c r="A11997" s="25">
        <v>202408</v>
      </c>
      <c r="B11997" s="6">
        <v>45514</v>
      </c>
      <c r="C11997" t="s">
        <v>5160</v>
      </c>
      <c r="D11997" t="s">
        <v>5613</v>
      </c>
      <c r="E11997">
        <v>43.35</v>
      </c>
      <c r="F11997" s="2" t="str">
        <f>IF(Table2[[#This Row],[Manual Cat Value]]="",VLOOKUP(Table2[[#This Row],[Description]],'Actuals Lookup'!D:F,3,0),VLOOKUP(Table2[[#This Row],[Manual Cat Value]],Lookup!A:B,2,0))</f>
        <v>Restaurants</v>
      </c>
      <c r="G11997" t="s">
        <v>26</v>
      </c>
      <c r="H11997" s="8" t="s">
        <v>25</v>
      </c>
      <c r="I11997" s="8"/>
      <c r="O11997" t="str">
        <f>LEFT(Table2[[#This Row],[Description]],75)</f>
        <v>Aplpay Fsp*oak Glen Stillwater Mn</v>
      </c>
    </row>
    <row r="11998" spans="1:15" hidden="1">
      <c r="A11998" s="25">
        <v>202408</v>
      </c>
      <c r="B11998" s="6">
        <v>45514</v>
      </c>
      <c r="C11998" t="s">
        <v>5160</v>
      </c>
      <c r="D11998" t="s">
        <v>5614</v>
      </c>
      <c r="E11998">
        <v>45</v>
      </c>
      <c r="F11998" s="2" t="str">
        <f>IF(Table2[[#This Row],[Manual Cat Value]]="",VLOOKUP(Table2[[#This Row],[Description]],'Actuals Lookup'!D:F,3,0),VLOOKUP(Table2[[#This Row],[Manual Cat Value]],Lookup!A:B,2,0))</f>
        <v>Entertainment</v>
      </c>
      <c r="G11998" t="s">
        <v>40</v>
      </c>
      <c r="H11998" s="8" t="s">
        <v>39</v>
      </c>
      <c r="I11998" s="8"/>
      <c r="O11998" t="str">
        <f>LEFT(Table2[[#This Row],[Description]],75)</f>
        <v>Fsp*oak Glen Golf Costillwater Mn</v>
      </c>
    </row>
    <row r="11999" spans="1:15" hidden="1">
      <c r="A11999" s="25">
        <v>202408</v>
      </c>
      <c r="B11999" s="6">
        <v>45514</v>
      </c>
      <c r="C11999" t="s">
        <v>5160</v>
      </c>
      <c r="D11999" t="s">
        <v>5615</v>
      </c>
      <c r="E11999">
        <v>47</v>
      </c>
      <c r="F11999" s="2" t="str">
        <f>IF(Table2[[#This Row],[Manual Cat Value]]="",VLOOKUP(Table2[[#This Row],[Description]],'Actuals Lookup'!D:F,3,0),VLOOKUP(Table2[[#This Row],[Manual Cat Value]],Lookup!A:B,2,0))</f>
        <v>Restaurants</v>
      </c>
      <c r="G11999" t="s">
        <v>26</v>
      </c>
      <c r="H11999" t="s">
        <v>25</v>
      </c>
      <c r="I11999" s="8"/>
      <c r="O11999" t="str">
        <f>LEFT(Table2[[#This Row],[Description]],75)</f>
        <v>The Good Egg</v>
      </c>
    </row>
    <row r="12000" spans="1:15" hidden="1">
      <c r="A12000">
        <v>202408</v>
      </c>
      <c r="B12000" s="6">
        <v>45515</v>
      </c>
      <c r="C12000" t="s">
        <v>3938</v>
      </c>
      <c r="D12000" t="s">
        <v>113</v>
      </c>
      <c r="E12000">
        <v>59.32</v>
      </c>
      <c r="F12000" s="2" t="str">
        <f>IF(Table2[[#This Row],[Manual Cat Value]]="",VLOOKUP(Table2[[#This Row],[Description]],'Actuals Lookup'!D:F,3,0),VLOOKUP(Table2[[#This Row],[Manual Cat Value]],Lookup!A:B,2,0))</f>
        <v>Amazon</v>
      </c>
      <c r="I12000" s="8"/>
      <c r="O12000" t="str">
        <f>LEFT(Table2[[#This Row],[Description]],75)</f>
        <v>Amazon Marketplace</v>
      </c>
    </row>
    <row r="12001" spans="1:15" hidden="1">
      <c r="A12001">
        <v>202408</v>
      </c>
      <c r="B12001" s="6">
        <v>45515</v>
      </c>
      <c r="C12001" t="s">
        <v>3938</v>
      </c>
      <c r="D12001" t="s">
        <v>113</v>
      </c>
      <c r="E12001">
        <v>87.3</v>
      </c>
      <c r="F12001" s="2" t="str">
        <f>IF(Table2[[#This Row],[Manual Cat Value]]="",VLOOKUP(Table2[[#This Row],[Description]],'Actuals Lookup'!D:F,3,0),VLOOKUP(Table2[[#This Row],[Manual Cat Value]],Lookup!A:B,2,0))</f>
        <v>Amazon</v>
      </c>
      <c r="I12001" s="8"/>
      <c r="O12001" t="str">
        <f>LEFT(Table2[[#This Row],[Description]],75)</f>
        <v>Amazon Marketplace</v>
      </c>
    </row>
    <row r="12002" spans="1:15" hidden="1">
      <c r="A12002" s="25">
        <v>202408</v>
      </c>
      <c r="B12002" s="6">
        <v>45515</v>
      </c>
      <c r="C12002" t="s">
        <v>5160</v>
      </c>
      <c r="D12002" t="s">
        <v>5616</v>
      </c>
      <c r="E12002">
        <v>19.11</v>
      </c>
      <c r="F12002" s="2" t="str">
        <f>IF(Table2[[#This Row],[Manual Cat Value]]="",VLOOKUP(Table2[[#This Row],[Description]],'Actuals Lookup'!D:F,3,0),VLOOKUP(Table2[[#This Row],[Manual Cat Value]],Lookup!A:B,2,0))</f>
        <v>Restaurants</v>
      </c>
      <c r="G12002" t="s">
        <v>41</v>
      </c>
      <c r="H12002" s="8" t="s">
        <v>25</v>
      </c>
      <c r="I12002" s="8"/>
      <c r="O12002" t="str">
        <f>LEFT(Table2[[#This Row],[Description]],75)</f>
        <v>Aplpay B &amp; K Struck Frederic Wi</v>
      </c>
    </row>
    <row r="12003" spans="1:15" hidden="1">
      <c r="A12003" s="25">
        <v>202408</v>
      </c>
      <c r="B12003" s="6">
        <v>45515</v>
      </c>
      <c r="C12003" t="s">
        <v>5160</v>
      </c>
      <c r="D12003" t="s">
        <v>5617</v>
      </c>
      <c r="E12003">
        <v>43.89</v>
      </c>
      <c r="F12003" s="2" t="str">
        <f>IF(Table2[[#This Row],[Manual Cat Value]]="",VLOOKUP(Table2[[#This Row],[Description]],'Actuals Lookup'!D:F,3,0),VLOOKUP(Table2[[#This Row],[Manual Cat Value]],Lookup!A:B,2,0))</f>
        <v>Restaurants</v>
      </c>
      <c r="G12003" t="s">
        <v>35</v>
      </c>
      <c r="H12003" s="8" t="s">
        <v>25</v>
      </c>
      <c r="I12003" s="8"/>
      <c r="O12003" t="str">
        <f>LEFT(Table2[[#This Row],[Description]],75)</f>
        <v>Aplpay Balsam Lake Tbalsam Lake Wi</v>
      </c>
    </row>
    <row r="12004" spans="1:15" hidden="1">
      <c r="A12004" s="25">
        <v>202408</v>
      </c>
      <c r="B12004" s="6">
        <v>45515</v>
      </c>
      <c r="C12004" t="s">
        <v>5160</v>
      </c>
      <c r="D12004" t="s">
        <v>1083</v>
      </c>
      <c r="E12004">
        <v>45.48</v>
      </c>
      <c r="F12004" s="2" t="str">
        <f>IF(Table2[[#This Row],[Manual Cat Value]]="",VLOOKUP(Table2[[#This Row],[Description]],'Actuals Lookup'!D:F,3,0),VLOOKUP(Table2[[#This Row],[Manual Cat Value]],Lookup!A:B,2,0))</f>
        <v>Transportation</v>
      </c>
      <c r="G12004" t="s">
        <v>23</v>
      </c>
      <c r="I12004" s="8"/>
      <c r="O12004" t="str">
        <f>LEFT(Table2[[#This Row],[Description]],75)</f>
        <v>Kwik Trip</v>
      </c>
    </row>
    <row r="12005" spans="1:15" hidden="1">
      <c r="A12005" s="25">
        <v>202408</v>
      </c>
      <c r="B12005" s="6">
        <v>45515</v>
      </c>
      <c r="C12005" t="s">
        <v>3932</v>
      </c>
      <c r="D12005" t="s">
        <v>1083</v>
      </c>
      <c r="E12005">
        <v>49.56</v>
      </c>
      <c r="F12005" s="2" t="str">
        <f>IF(Table2[[#This Row],[Manual Cat Value]]="",VLOOKUP(Table2[[#This Row],[Description]],'Actuals Lookup'!D:F,3,0),VLOOKUP(Table2[[#This Row],[Manual Cat Value]],Lookup!A:B,2,0))</f>
        <v>Transportation</v>
      </c>
      <c r="G12005" t="s">
        <v>23</v>
      </c>
      <c r="I12005" s="8"/>
      <c r="O12005" t="str">
        <f>LEFT(Table2[[#This Row],[Description]],75)</f>
        <v>Kwik Trip</v>
      </c>
    </row>
    <row r="12006" spans="1:15" hidden="1">
      <c r="A12006">
        <v>202408</v>
      </c>
      <c r="B12006" s="6">
        <v>45515</v>
      </c>
      <c r="C12006" t="s">
        <v>3938</v>
      </c>
      <c r="D12006" t="s">
        <v>1350</v>
      </c>
      <c r="E12006">
        <v>25.6</v>
      </c>
      <c r="F12006" s="2" t="str">
        <f>IF(Table2[[#This Row],[Manual Cat Value]]="",VLOOKUP(Table2[[#This Row],[Description]],'Actuals Lookup'!D:F,3,0),VLOOKUP(Table2[[#This Row],[Manual Cat Value]],Lookup!A:B,2,0))</f>
        <v>Utilities</v>
      </c>
      <c r="I12006" s="8"/>
      <c r="O12006" t="str">
        <f>LEFT(Table2[[#This Row],[Description]],75)</f>
        <v>Netflix</v>
      </c>
    </row>
    <row r="12007" spans="1:15" hidden="1">
      <c r="A12007" s="25">
        <v>202408</v>
      </c>
      <c r="B12007" s="6">
        <v>45515</v>
      </c>
      <c r="C12007" t="s">
        <v>5160</v>
      </c>
      <c r="D12007" t="s">
        <v>5543</v>
      </c>
      <c r="E12007">
        <v>32.33</v>
      </c>
      <c r="F12007" s="2" t="str">
        <f>IF(Table2[[#This Row],[Manual Cat Value]]="",VLOOKUP(Table2[[#This Row],[Description]],'Actuals Lookup'!D:F,3,0),VLOOKUP(Table2[[#This Row],[Manual Cat Value]],Lookup!A:B,2,0))</f>
        <v>Restaurants</v>
      </c>
      <c r="G12007" t="s">
        <v>26</v>
      </c>
      <c r="H12007" t="s">
        <v>25</v>
      </c>
      <c r="I12007" s="8"/>
      <c r="O12007" t="str">
        <f>LEFT(Table2[[#This Row],[Description]],75)</f>
        <v>Py *kj's New North 0balsam Lake Wi</v>
      </c>
    </row>
    <row r="12008" spans="1:15" hidden="1">
      <c r="A12008" s="25">
        <v>202408</v>
      </c>
      <c r="B12008" s="6">
        <v>45516</v>
      </c>
      <c r="C12008" t="s">
        <v>3932</v>
      </c>
      <c r="D12008" t="s">
        <v>38</v>
      </c>
      <c r="E12008">
        <v>13.46</v>
      </c>
      <c r="F12008" s="2" t="str">
        <f>IF(Table2[[#This Row],[Manual Cat Value]]="",VLOOKUP(Table2[[#This Row],[Description]],'Actuals Lookup'!D:F,3,0),VLOOKUP(Table2[[#This Row],[Manual Cat Value]],Lookup!A:B,2,0))</f>
        <v>Amazon</v>
      </c>
      <c r="G12008" t="s">
        <v>38</v>
      </c>
      <c r="I12008" s="8"/>
      <c r="O12008" t="str">
        <f>LEFT(Table2[[#This Row],[Description]],75)</f>
        <v>Amazon</v>
      </c>
    </row>
    <row r="12009" spans="1:15" hidden="1">
      <c r="A12009">
        <v>202408</v>
      </c>
      <c r="B12009" s="6">
        <v>45516</v>
      </c>
      <c r="C12009" t="s">
        <v>3938</v>
      </c>
      <c r="D12009" t="s">
        <v>648</v>
      </c>
      <c r="E12009">
        <v>359.47</v>
      </c>
      <c r="F12009" s="2" t="str">
        <f>IF(Table2[[#This Row],[Manual Cat Value]]="",VLOOKUP(Table2[[#This Row],[Description]],'Actuals Lookup'!D:F,3,0),VLOOKUP(Table2[[#This Row],[Manual Cat Value]],Lookup!A:B,2,0))</f>
        <v>Groceries</v>
      </c>
      <c r="I12009" s="8"/>
      <c r="O12009" t="str">
        <f>LEFT(Table2[[#This Row],[Description]],75)</f>
        <v>Costco</v>
      </c>
    </row>
    <row r="12010" spans="1:15" hidden="1">
      <c r="A12010">
        <v>202408</v>
      </c>
      <c r="B12010" s="6">
        <v>45516</v>
      </c>
      <c r="C12010" t="s">
        <v>3938</v>
      </c>
      <c r="D12010" t="s">
        <v>648</v>
      </c>
      <c r="E12010">
        <v>31.08</v>
      </c>
      <c r="F12010" s="2" t="str">
        <f>IF(Table2[[#This Row],[Manual Cat Value]]="",VLOOKUP(Table2[[#This Row],[Description]],'Actuals Lookup'!D:F,3,0),VLOOKUP(Table2[[#This Row],[Manual Cat Value]],Lookup!A:B,2,0))</f>
        <v>Groceries</v>
      </c>
      <c r="I12010" s="8"/>
      <c r="O12010" t="str">
        <f>LEFT(Table2[[#This Row],[Description]],75)</f>
        <v>Costco</v>
      </c>
    </row>
    <row r="12011" spans="1:15" hidden="1">
      <c r="A12011">
        <v>202408</v>
      </c>
      <c r="B12011" s="6">
        <v>45516</v>
      </c>
      <c r="C12011" t="s">
        <v>3938</v>
      </c>
      <c r="D12011" t="s">
        <v>4868</v>
      </c>
      <c r="E12011">
        <v>6.53</v>
      </c>
      <c r="F12011" s="2" t="str">
        <f>IF(Table2[[#This Row],[Manual Cat Value]]="",VLOOKUP(Table2[[#This Row],[Description]],'Actuals Lookup'!D:F,3,0),VLOOKUP(Table2[[#This Row],[Manual Cat Value]],Lookup!A:B,2,0))</f>
        <v>Entertainment</v>
      </c>
      <c r="I12011" s="8"/>
      <c r="O12011" t="str">
        <f>LEFT(Table2[[#This Row],[Description]],75)</f>
        <v>Hallmark Movies Now</v>
      </c>
    </row>
    <row r="12012" spans="1:15" hidden="1">
      <c r="A12012">
        <v>202408</v>
      </c>
      <c r="B12012" s="6">
        <v>45517</v>
      </c>
      <c r="C12012" t="s">
        <v>3938</v>
      </c>
      <c r="D12012" t="s">
        <v>38</v>
      </c>
      <c r="E12012">
        <v>5.88</v>
      </c>
      <c r="F12012" s="2" t="str">
        <f>IF(Table2[[#This Row],[Manual Cat Value]]="",VLOOKUP(Table2[[#This Row],[Description]],'Actuals Lookup'!D:F,3,0),VLOOKUP(Table2[[#This Row],[Manual Cat Value]],Lookup!A:B,2,0))</f>
        <v>Amazon</v>
      </c>
      <c r="I12012" s="8"/>
      <c r="O12012" t="str">
        <f>LEFT(Table2[[#This Row],[Description]],75)</f>
        <v>Amazon</v>
      </c>
    </row>
    <row r="12013" spans="1:15" hidden="1">
      <c r="A12013" s="25">
        <v>202408</v>
      </c>
      <c r="B12013" s="6">
        <v>45517</v>
      </c>
      <c r="C12013" t="s">
        <v>3932</v>
      </c>
      <c r="D12013" t="s">
        <v>113</v>
      </c>
      <c r="E12013">
        <v>23.83</v>
      </c>
      <c r="F12013" s="2" t="str">
        <f>IF(Table2[[#This Row],[Manual Cat Value]]="",VLOOKUP(Table2[[#This Row],[Description]],'Actuals Lookup'!D:F,3,0),VLOOKUP(Table2[[#This Row],[Manual Cat Value]],Lookup!A:B,2,0))</f>
        <v>Amazon</v>
      </c>
      <c r="G12013" t="s">
        <v>38</v>
      </c>
      <c r="I12013" s="8"/>
      <c r="O12013" t="str">
        <f>LEFT(Table2[[#This Row],[Description]],75)</f>
        <v>Amazon Marketplace</v>
      </c>
    </row>
    <row r="12014" spans="1:15" hidden="1">
      <c r="A12014" s="25">
        <v>202408</v>
      </c>
      <c r="B12014" s="6">
        <v>45505</v>
      </c>
      <c r="C12014" t="s">
        <v>5160</v>
      </c>
      <c r="D12014" t="s">
        <v>5611</v>
      </c>
      <c r="E12014">
        <v>13.49</v>
      </c>
      <c r="F12014" s="2" t="str">
        <f>IF(Table2[[#This Row],[Manual Cat Value]]="",VLOOKUP(Table2[[#This Row],[Description]],'Actuals Lookup'!D:F,3,0),VLOOKUP(Table2[[#This Row],[Manual Cat Value]],Lookup!A:B,2,0))</f>
        <v>Delete</v>
      </c>
      <c r="G12014" t="s">
        <v>41</v>
      </c>
      <c r="H12014" s="8" t="s">
        <v>9</v>
      </c>
      <c r="I12014" s="8"/>
      <c r="O12014" t="str">
        <f>LEFT(Table2[[#This Row],[Description]],75)</f>
        <v>Newslink</v>
      </c>
    </row>
    <row r="12015" spans="1:15" hidden="1">
      <c r="A12015" s="25">
        <v>202408</v>
      </c>
      <c r="B12015" s="6">
        <v>45517</v>
      </c>
      <c r="C12015" t="s">
        <v>5160</v>
      </c>
      <c r="D12015" t="s">
        <v>5618</v>
      </c>
      <c r="E12015">
        <v>29</v>
      </c>
      <c r="F12015" s="2" t="str">
        <f>IF(Table2[[#This Row],[Manual Cat Value]]="",VLOOKUP(Table2[[#This Row],[Description]],'Actuals Lookup'!D:F,3,0),VLOOKUP(Table2[[#This Row],[Manual Cat Value]],Lookup!A:B,2,0))</f>
        <v>Restaurants</v>
      </c>
      <c r="G12015" t="s">
        <v>2</v>
      </c>
      <c r="H12015" s="8" t="s">
        <v>25</v>
      </c>
      <c r="I12015" s="8"/>
      <c r="O12015" t="str">
        <f>LEFT(Table2[[#This Row],[Description]],75)</f>
        <v>Gertens</v>
      </c>
    </row>
    <row r="12016" spans="1:15" hidden="1">
      <c r="A12016">
        <v>202402</v>
      </c>
      <c r="B12016" s="6">
        <v>45348</v>
      </c>
      <c r="C12016" t="s">
        <v>4235</v>
      </c>
      <c r="D12016" t="s">
        <v>5619</v>
      </c>
      <c r="E12016">
        <v>5.5</v>
      </c>
      <c r="F12016" s="2" t="str">
        <f>IF(Table2[[#This Row],[Manual Cat Value]]="",VLOOKUP(Table2[[#This Row],[Description]],'Actuals Lookup'!D:F,3,0),VLOOKUP(Table2[[#This Row],[Manual Cat Value]],Lookup!A:B,2,0))</f>
        <v>Delete</v>
      </c>
      <c r="H12016" s="8" t="s">
        <v>9</v>
      </c>
      <c r="I12016" s="8"/>
      <c r="O12016" t="str">
        <f>LEFT(Table2[[#This Row],[Description]],75)</f>
        <v>NORTHERN STAR EVENTS XX-2300 MN REF #XX2258E80FW4P1G7</v>
      </c>
    </row>
    <row r="12017" spans="1:15" hidden="1">
      <c r="A12017">
        <v>202408</v>
      </c>
      <c r="B12017" s="6">
        <v>45517</v>
      </c>
      <c r="C12017" t="s">
        <v>3938</v>
      </c>
      <c r="D12017" t="s">
        <v>1462</v>
      </c>
      <c r="E12017">
        <v>45</v>
      </c>
      <c r="F12017" s="2" t="str">
        <f>IF(Table2[[#This Row],[Manual Cat Value]]="",VLOOKUP(Table2[[#This Row],[Description]],'Actuals Lookup'!D:F,3,0),VLOOKUP(Table2[[#This Row],[Manual Cat Value]],Lookup!A:B,2,0))</f>
        <v>Utilities</v>
      </c>
      <c r="I12017" s="8"/>
      <c r="O12017" t="str">
        <f>LEFT(Table2[[#This Row],[Description]],75)</f>
        <v>Payment to CenturyLink</v>
      </c>
    </row>
    <row r="12018" spans="1:15" hidden="1">
      <c r="A12018" s="25">
        <v>202408</v>
      </c>
      <c r="B12018" s="6">
        <v>45518</v>
      </c>
      <c r="C12018" t="s">
        <v>3932</v>
      </c>
      <c r="D12018" t="s">
        <v>113</v>
      </c>
      <c r="E12018">
        <v>11.99</v>
      </c>
      <c r="F12018" s="2" t="str">
        <f>IF(Table2[[#This Row],[Manual Cat Value]]="",VLOOKUP(Table2[[#This Row],[Description]],'Actuals Lookup'!D:F,3,0),VLOOKUP(Table2[[#This Row],[Manual Cat Value]],Lookup!A:B,2,0))</f>
        <v>Amazon</v>
      </c>
      <c r="G12018" t="s">
        <v>38</v>
      </c>
      <c r="I12018" s="8"/>
      <c r="O12018" t="str">
        <f>LEFT(Table2[[#This Row],[Description]],75)</f>
        <v>Amazon Marketplace</v>
      </c>
    </row>
    <row r="12019" spans="1:15" hidden="1">
      <c r="A12019" s="25">
        <v>202408</v>
      </c>
      <c r="B12019" s="6">
        <v>45518</v>
      </c>
      <c r="C12019" t="s">
        <v>5160</v>
      </c>
      <c r="D12019" t="s">
        <v>113</v>
      </c>
      <c r="E12019">
        <v>30.84</v>
      </c>
      <c r="F12019" s="2" t="str">
        <f>IF(Table2[[#This Row],[Manual Cat Value]]="",VLOOKUP(Table2[[#This Row],[Description]],'Actuals Lookup'!D:F,3,0),VLOOKUP(Table2[[#This Row],[Manual Cat Value]],Lookup!A:B,2,0))</f>
        <v>Amazon</v>
      </c>
      <c r="G12019" t="s">
        <v>38</v>
      </c>
      <c r="I12019" s="8"/>
      <c r="O12019" t="str">
        <f>LEFT(Table2[[#This Row],[Description]],75)</f>
        <v>Amazon Marketplace</v>
      </c>
    </row>
    <row r="12020" spans="1:15" hidden="1">
      <c r="A12020">
        <v>202401</v>
      </c>
      <c r="B12020" s="6">
        <v>45313</v>
      </c>
      <c r="C12020" t="s">
        <v>3932</v>
      </c>
      <c r="D12020" t="s">
        <v>5620</v>
      </c>
      <c r="E12020">
        <v>96.86</v>
      </c>
      <c r="F12020" s="2" t="str">
        <f>IF(Table2[[#This Row],[Manual Cat Value]]="",VLOOKUP(Table2[[#This Row],[Description]],'Actuals Lookup'!D:F,3,0),VLOOKUP(Table2[[#This Row],[Manual Cat Value]],Lookup!A:B,2,0))</f>
        <v>Delete</v>
      </c>
      <c r="G12020" t="s">
        <v>26</v>
      </c>
      <c r="H12020" s="8" t="s">
        <v>9</v>
      </c>
      <c r="I12020" s="8"/>
      <c r="O12020" t="str">
        <f>LEFT(Table2[[#This Row],[Description]],75)</f>
        <v>Nosta Cork Irl 87.80 @ 0xxx0001.xxx1891 Eur</v>
      </c>
    </row>
    <row r="12021" spans="1:15" hidden="1">
      <c r="A12021" s="25">
        <v>202408</v>
      </c>
      <c r="B12021" s="6">
        <v>45518</v>
      </c>
      <c r="C12021" t="s">
        <v>5160</v>
      </c>
      <c r="D12021" t="s">
        <v>5451</v>
      </c>
      <c r="E12021">
        <v>20</v>
      </c>
      <c r="F12021" s="2" t="str">
        <f>IF(Table2[[#This Row],[Manual Cat Value]]="",VLOOKUP(Table2[[#This Row],[Description]],'Actuals Lookup'!D:F,3,0),VLOOKUP(Table2[[#This Row],[Manual Cat Value]],Lookup!A:B,2,0))</f>
        <v>Utilities</v>
      </c>
      <c r="G12021" t="s">
        <v>26</v>
      </c>
      <c r="H12021" s="8" t="s">
        <v>6</v>
      </c>
      <c r="I12021" s="8"/>
      <c r="O12021" t="str">
        <f>LEFT(Table2[[#This Row],[Description]],75)</f>
        <v>Openai *chatgpt Subssan Francisco Ca</v>
      </c>
    </row>
    <row r="12022" spans="1:15" hidden="1">
      <c r="A12022">
        <v>202408</v>
      </c>
      <c r="B12022" s="6">
        <v>45518</v>
      </c>
      <c r="C12022" t="s">
        <v>2519</v>
      </c>
      <c r="D12022" t="s">
        <v>4356</v>
      </c>
      <c r="E12022">
        <v>120.46</v>
      </c>
      <c r="F12022" s="2" t="str">
        <f>IF(Table2[[#This Row],[Manual Cat Value]]="",VLOOKUP(Table2[[#This Row],[Description]],'Actuals Lookup'!D:F,3,0),VLOOKUP(Table2[[#This Row],[Manual Cat Value]],Lookup!A:B,2,0))</f>
        <v>Insurance</v>
      </c>
      <c r="I12022" s="8"/>
      <c r="O12022" t="str">
        <f>LEFT(Table2[[#This Row],[Description]],75)</f>
        <v>Payment to American Family Insurance</v>
      </c>
    </row>
    <row r="12023" spans="1:15" hidden="1">
      <c r="A12023">
        <v>202408</v>
      </c>
      <c r="B12023" s="6">
        <v>45518</v>
      </c>
      <c r="C12023" t="s">
        <v>2519</v>
      </c>
      <c r="D12023" t="s">
        <v>4343</v>
      </c>
      <c r="E12023">
        <v>-3238.06</v>
      </c>
      <c r="F12023" s="2" t="str">
        <f>IF(Table2[[#This Row],[Manual Cat Value]]="",VLOOKUP(Table2[[#This Row],[Description]],'Actuals Lookup'!D:F,3,0),VLOOKUP(Table2[[#This Row],[Manual Cat Value]],Lookup!A:B,2,0))</f>
        <v>Jeff</v>
      </c>
      <c r="I12023" s="8"/>
      <c r="O12023" t="str">
        <f>LEFT(Table2[[#This Row],[Description]],75)</f>
        <v>Salary/Regular Income from TriNet</v>
      </c>
    </row>
    <row r="12024" spans="1:15" hidden="1">
      <c r="A12024">
        <v>202401</v>
      </c>
      <c r="B12024" s="6">
        <v>45299</v>
      </c>
      <c r="C12024" t="s">
        <v>5013</v>
      </c>
      <c r="D12024" t="s">
        <v>4012</v>
      </c>
      <c r="E12024">
        <v>-6010.23</v>
      </c>
      <c r="F12024" s="2" t="str">
        <f>IF(Table2[[#This Row],[Manual Cat Value]]="",VLOOKUP(Table2[[#This Row],[Description]],'Actuals Lookup'!D:F,3,0),VLOOKUP(Table2[[#This Row],[Manual Cat Value]],Lookup!A:B,2,0))</f>
        <v>Delete</v>
      </c>
      <c r="G12024" t="s">
        <v>9</v>
      </c>
      <c r="I12024" s="8"/>
      <c r="O12024" t="str">
        <f>LEFT(Table2[[#This Row],[Description]],75)</f>
        <v>Online Payment - Thank You</v>
      </c>
    </row>
    <row r="12025" spans="1:15" hidden="1">
      <c r="A12025">
        <v>202401</v>
      </c>
      <c r="B12025" s="6">
        <v>45316</v>
      </c>
      <c r="C12025" t="s">
        <v>5013</v>
      </c>
      <c r="D12025" t="s">
        <v>4012</v>
      </c>
      <c r="E12025">
        <v>-4783.71</v>
      </c>
      <c r="F12025" s="2" t="str">
        <f>IF(Table2[[#This Row],[Manual Cat Value]]="",VLOOKUP(Table2[[#This Row],[Description]],'Actuals Lookup'!D:F,3,0),VLOOKUP(Table2[[#This Row],[Manual Cat Value]],Lookup!A:B,2,0))</f>
        <v>Delete</v>
      </c>
      <c r="G12025" t="s">
        <v>9</v>
      </c>
      <c r="I12025" s="8"/>
      <c r="O12025" t="str">
        <f>LEFT(Table2[[#This Row],[Description]],75)</f>
        <v>Online Payment - Thank You</v>
      </c>
    </row>
    <row r="12026" spans="1:15" hidden="1">
      <c r="A12026">
        <v>202408</v>
      </c>
      <c r="B12026" s="6">
        <v>45518</v>
      </c>
      <c r="C12026" t="s">
        <v>2519</v>
      </c>
      <c r="D12026" t="s">
        <v>5621</v>
      </c>
      <c r="E12026">
        <v>278</v>
      </c>
      <c r="F12026" s="2" t="str">
        <f>IF(Table2[[#This Row],[Manual Cat Value]]="",VLOOKUP(Table2[[#This Row],[Description]],'Actuals Lookup'!D:F,3,0),VLOOKUP(Table2[[#This Row],[Manual Cat Value]],Lookup!A:B,2,0))</f>
        <v>Day Care</v>
      </c>
      <c r="H12026" t="s">
        <v>19</v>
      </c>
      <c r="I12026" s="8"/>
      <c r="O12026" t="str">
        <f>LEFT(Table2[[#This Row],[Description]],75)</f>
        <v xml:space="preserve">Withdrawal ACH RILEY CROSSING C TYPE: XX8412 ID: XX9040 CO: RILEY CROSSING </v>
      </c>
    </row>
    <row r="12027" spans="1:15" hidden="1">
      <c r="A12027" s="25">
        <v>202408</v>
      </c>
      <c r="B12027" s="6">
        <v>45519</v>
      </c>
      <c r="C12027" t="s">
        <v>5160</v>
      </c>
      <c r="D12027" t="s">
        <v>113</v>
      </c>
      <c r="E12027">
        <v>61.31</v>
      </c>
      <c r="F12027" s="2" t="str">
        <f>IF(Table2[[#This Row],[Manual Cat Value]]="",VLOOKUP(Table2[[#This Row],[Description]],'Actuals Lookup'!D:F,3,0),VLOOKUP(Table2[[#This Row],[Manual Cat Value]],Lookup!A:B,2,0))</f>
        <v>Amazon</v>
      </c>
      <c r="G12027" t="s">
        <v>38</v>
      </c>
      <c r="I12027" s="8"/>
      <c r="O12027" t="str">
        <f>LEFT(Table2[[#This Row],[Description]],75)</f>
        <v>Amazon Marketplace</v>
      </c>
    </row>
    <row r="12028" spans="1:15" hidden="1">
      <c r="A12028">
        <v>202408</v>
      </c>
      <c r="B12028" s="6">
        <v>45519</v>
      </c>
      <c r="C12028" t="s">
        <v>2519</v>
      </c>
      <c r="D12028" t="s">
        <v>404</v>
      </c>
      <c r="E12028">
        <v>-3099.2</v>
      </c>
      <c r="F12028" s="2" t="str">
        <f>IF(Table2[[#This Row],[Manual Cat Value]]="",VLOOKUP(Table2[[#This Row],[Description]],'Actuals Lookup'!D:F,3,0),VLOOKUP(Table2[[#This Row],[Manual Cat Value]],Lookup!A:B,2,0))</f>
        <v>Britney</v>
      </c>
      <c r="I12028" s="8"/>
      <c r="O12028" t="str">
        <f>LEFT(Table2[[#This Row],[Description]],75)</f>
        <v>Cargill Inc Deposit</v>
      </c>
    </row>
    <row r="12029" spans="1:15" hidden="1">
      <c r="A12029" s="25">
        <v>202408</v>
      </c>
      <c r="B12029" s="6">
        <v>45519</v>
      </c>
      <c r="C12029" t="s">
        <v>3932</v>
      </c>
      <c r="D12029" t="s">
        <v>4079</v>
      </c>
      <c r="E12029">
        <v>-22.66</v>
      </c>
      <c r="F12029" s="2" t="str">
        <f>IF(Table2[[#This Row],[Manual Cat Value]]="",VLOOKUP(Table2[[#This Row],[Description]],'Actuals Lookup'!D:F,3,0),VLOOKUP(Table2[[#This Row],[Manual Cat Value]],Lookup!A:B,2,0))</f>
        <v>Dividend</v>
      </c>
      <c r="G12029" t="s">
        <v>55</v>
      </c>
      <c r="I12029" s="8"/>
      <c r="O12029" t="str">
        <f>LEFT(Table2[[#This Row],[Description]],75)</f>
        <v>Cashback Bonus Redemption Pymt/stmt Crdt</v>
      </c>
    </row>
    <row r="12030" spans="1:15" hidden="1">
      <c r="A12030">
        <v>202402</v>
      </c>
      <c r="B12030" s="6">
        <v>45337</v>
      </c>
      <c r="C12030" t="s">
        <v>5013</v>
      </c>
      <c r="D12030" t="s">
        <v>4012</v>
      </c>
      <c r="E12030">
        <v>-3328.87</v>
      </c>
      <c r="F12030" s="2" t="str">
        <f>IF(Table2[[#This Row],[Manual Cat Value]]="",VLOOKUP(Table2[[#This Row],[Description]],'Actuals Lookup'!D:F,3,0),VLOOKUP(Table2[[#This Row],[Manual Cat Value]],Lookup!A:B,2,0))</f>
        <v>Delete</v>
      </c>
      <c r="G12030" t="s">
        <v>9</v>
      </c>
      <c r="I12030" s="8"/>
      <c r="O12030" t="str">
        <f>LEFT(Table2[[#This Row],[Description]],75)</f>
        <v>Online Payment - Thank You</v>
      </c>
    </row>
    <row r="12031" spans="1:15" hidden="1">
      <c r="A12031">
        <v>202408</v>
      </c>
      <c r="B12031" s="6">
        <v>45519</v>
      </c>
      <c r="C12031" t="s">
        <v>2519</v>
      </c>
      <c r="D12031" t="s">
        <v>5622</v>
      </c>
      <c r="E12031">
        <v>-2787.84</v>
      </c>
      <c r="F12031" s="2" t="str">
        <f>IF(Table2[[#This Row],[Manual Cat Value]]="",VLOOKUP(Table2[[#This Row],[Description]],'Actuals Lookup'!D:F,3,0),VLOOKUP(Table2[[#This Row],[Manual Cat Value]],Lookup!A:B,2,0))</f>
        <v>Jeff</v>
      </c>
      <c r="H12031" s="8" t="s">
        <v>63</v>
      </c>
      <c r="I12031" s="8"/>
      <c r="O12031" t="str">
        <f>LEFT(Table2[[#This Row],[Description]],75)</f>
        <v>Deposit ACH EMPYREAN SOLUTIO TYPE: XX9000 ID: XX3620 CO: EMPYREAN SOLUTIO E</v>
      </c>
    </row>
    <row r="12032" spans="1:15" hidden="1">
      <c r="A12032">
        <v>202402</v>
      </c>
      <c r="B12032" s="6">
        <v>45348</v>
      </c>
      <c r="C12032" t="s">
        <v>5013</v>
      </c>
      <c r="D12032" t="s">
        <v>4012</v>
      </c>
      <c r="E12032">
        <v>-4140.37</v>
      </c>
      <c r="F12032" s="2" t="str">
        <f>IF(Table2[[#This Row],[Manual Cat Value]]="",VLOOKUP(Table2[[#This Row],[Description]],'Actuals Lookup'!D:F,3,0),VLOOKUP(Table2[[#This Row],[Manual Cat Value]],Lookup!A:B,2,0))</f>
        <v>Delete</v>
      </c>
      <c r="G12032" t="s">
        <v>9</v>
      </c>
      <c r="I12032" s="8"/>
      <c r="O12032" t="str">
        <f>LEFT(Table2[[#This Row],[Description]],75)</f>
        <v>Online Payment - Thank You</v>
      </c>
    </row>
    <row r="12033" spans="1:17" hidden="1">
      <c r="A12033">
        <v>202404</v>
      </c>
      <c r="B12033" s="6">
        <v>45408</v>
      </c>
      <c r="C12033" t="s">
        <v>5160</v>
      </c>
      <c r="D12033" t="s">
        <v>4012</v>
      </c>
      <c r="E12033">
        <v>-2787.24</v>
      </c>
      <c r="F12033" s="2" t="str">
        <f>IF(Table2[[#This Row],[Manual Cat Value]]="",VLOOKUP(Table2[[#This Row],[Description]],'Actuals Lookup'!D:F,3,0),VLOOKUP(Table2[[#This Row],[Manual Cat Value]],Lookup!A:B,2,0))</f>
        <v>Delete</v>
      </c>
      <c r="G12033" t="s">
        <v>9</v>
      </c>
      <c r="I12033" s="8"/>
      <c r="O12033" t="str">
        <f>LEFT(Table2[[#This Row],[Description]],75)</f>
        <v>Online Payment - Thank You</v>
      </c>
    </row>
    <row r="12034" spans="1:17" hidden="1">
      <c r="A12034">
        <v>202405</v>
      </c>
      <c r="B12034" s="6">
        <v>45422</v>
      </c>
      <c r="C12034" t="s">
        <v>5160</v>
      </c>
      <c r="D12034" t="s">
        <v>4012</v>
      </c>
      <c r="E12034">
        <v>-4921.7</v>
      </c>
      <c r="F12034" s="2" t="str">
        <f>IF(Table2[[#This Row],[Manual Cat Value]]="",VLOOKUP(Table2[[#This Row],[Description]],'Actuals Lookup'!D:F,3,0),VLOOKUP(Table2[[#This Row],[Manual Cat Value]],Lookup!A:B,2,0))</f>
        <v>Delete</v>
      </c>
      <c r="G12034" t="s">
        <v>9</v>
      </c>
      <c r="I12034" s="8"/>
      <c r="O12034" t="str">
        <f>LEFT(Table2[[#This Row],[Description]],75)</f>
        <v>Online Payment - Thank You</v>
      </c>
    </row>
    <row r="12035" spans="1:17" hidden="1">
      <c r="A12035">
        <v>202405</v>
      </c>
      <c r="B12035" s="6">
        <v>45433</v>
      </c>
      <c r="C12035" t="s">
        <v>5160</v>
      </c>
      <c r="D12035" t="s">
        <v>4012</v>
      </c>
      <c r="E12035">
        <v>-1849.37</v>
      </c>
      <c r="F12035" s="2" t="str">
        <f>IF(Table2[[#This Row],[Manual Cat Value]]="",VLOOKUP(Table2[[#This Row],[Description]],'Actuals Lookup'!D:F,3,0),VLOOKUP(Table2[[#This Row],[Manual Cat Value]],Lookup!A:B,2,0))</f>
        <v>Delete</v>
      </c>
      <c r="G12035" t="s">
        <v>9</v>
      </c>
      <c r="I12035" s="8"/>
      <c r="O12035" t="str">
        <f>LEFT(Table2[[#This Row],[Description]],75)</f>
        <v>Online Payment - Thank You</v>
      </c>
    </row>
    <row r="12036" spans="1:17" hidden="1">
      <c r="A12036">
        <v>202408</v>
      </c>
      <c r="B12036" s="6">
        <v>45520</v>
      </c>
      <c r="C12036" t="s">
        <v>3938</v>
      </c>
      <c r="D12036" t="s">
        <v>113</v>
      </c>
      <c r="E12036">
        <v>-7.5</v>
      </c>
      <c r="F12036" s="2" t="str">
        <f>IF(Table2[[#This Row],[Manual Cat Value]]="",VLOOKUP(Table2[[#This Row],[Description]],'Actuals Lookup'!D:F,3,0),VLOOKUP(Table2[[#This Row],[Manual Cat Value]],Lookup!A:B,2,0))</f>
        <v>Amazon</v>
      </c>
      <c r="I12036" s="8"/>
      <c r="O12036" t="str">
        <f>LEFT(Table2[[#This Row],[Description]],75)</f>
        <v>Amazon Marketplace</v>
      </c>
    </row>
    <row r="12037" spans="1:17" hidden="1">
      <c r="A12037">
        <v>202408</v>
      </c>
      <c r="B12037" s="6">
        <v>45520</v>
      </c>
      <c r="C12037" t="s">
        <v>3938</v>
      </c>
      <c r="D12037" t="s">
        <v>113</v>
      </c>
      <c r="E12037">
        <v>34.979999999999997</v>
      </c>
      <c r="F12037" s="2" t="str">
        <f>IF(Table2[[#This Row],[Manual Cat Value]]="",VLOOKUP(Table2[[#This Row],[Description]],'Actuals Lookup'!D:F,3,0),VLOOKUP(Table2[[#This Row],[Manual Cat Value]],Lookup!A:B,2,0))</f>
        <v>Amazon</v>
      </c>
      <c r="I12037" s="8"/>
      <c r="O12037" t="str">
        <f>LEFT(Table2[[#This Row],[Description]],75)</f>
        <v>Amazon Marketplace</v>
      </c>
    </row>
    <row r="12038" spans="1:17" hidden="1">
      <c r="A12038" s="25">
        <v>202406</v>
      </c>
      <c r="B12038" s="6">
        <v>45449</v>
      </c>
      <c r="C12038" t="s">
        <v>5160</v>
      </c>
      <c r="D12038" t="s">
        <v>4012</v>
      </c>
      <c r="E12038">
        <v>-2143.1</v>
      </c>
      <c r="F12038" s="2" t="str">
        <f>IF(Table2[[#This Row],[Manual Cat Value]]="",VLOOKUP(Table2[[#This Row],[Description]],'Actuals Lookup'!D:F,3,0),VLOOKUP(Table2[[#This Row],[Manual Cat Value]],Lookup!A:B,2,0))</f>
        <v>Delete</v>
      </c>
      <c r="G12038" t="s">
        <v>9</v>
      </c>
      <c r="I12038" s="8"/>
      <c r="O12038" t="str">
        <f>LEFT(Table2[[#This Row],[Description]],75)</f>
        <v>Online Payment - Thank You</v>
      </c>
    </row>
    <row r="12039" spans="1:17" hidden="1">
      <c r="A12039" s="25">
        <v>202407</v>
      </c>
      <c r="B12039" s="6">
        <v>45489</v>
      </c>
      <c r="C12039" t="s">
        <v>5160</v>
      </c>
      <c r="D12039" t="s">
        <v>4012</v>
      </c>
      <c r="E12039">
        <v>-3748.61</v>
      </c>
      <c r="F12039" s="2" t="str">
        <f>IF(Table2[[#This Row],[Manual Cat Value]]="",VLOOKUP(Table2[[#This Row],[Description]],'Actuals Lookup'!D:F,3,0),VLOOKUP(Table2[[#This Row],[Manual Cat Value]],Lookup!A:B,2,0))</f>
        <v>Delete</v>
      </c>
      <c r="G12039" t="s">
        <v>9</v>
      </c>
      <c r="I12039" s="8"/>
      <c r="O12039" t="str">
        <f>LEFT(Table2[[#This Row],[Description]],75)</f>
        <v>Online Payment - Thank You</v>
      </c>
    </row>
    <row r="12040" spans="1:17" hidden="1">
      <c r="A12040">
        <v>202408</v>
      </c>
      <c r="B12040" s="6">
        <v>45520</v>
      </c>
      <c r="C12040" t="s">
        <v>2519</v>
      </c>
      <c r="D12040" t="s">
        <v>1958</v>
      </c>
      <c r="E12040">
        <v>100</v>
      </c>
      <c r="F12040" s="2" t="str">
        <f>IF(Table2[[#This Row],[Manual Cat Value]]="",VLOOKUP(Table2[[#This Row],[Description]],'Actuals Lookup'!D:F,3,0),VLOOKUP(Table2[[#This Row],[Manual Cat Value]],Lookup!A:B,2,0))</f>
        <v>Shopping</v>
      </c>
      <c r="I12040" s="8"/>
      <c r="O12040" t="str">
        <f>LEFT(Table2[[#This Row],[Description]],75)</f>
        <v>Transfer to Venmo</v>
      </c>
    </row>
    <row r="12041" spans="1:17" hidden="1">
      <c r="A12041" s="25">
        <v>202408</v>
      </c>
      <c r="B12041" s="6">
        <v>45506</v>
      </c>
      <c r="C12041" t="s">
        <v>5160</v>
      </c>
      <c r="D12041" t="s">
        <v>4012</v>
      </c>
      <c r="E12041">
        <v>-6398.31</v>
      </c>
      <c r="F12041" s="2" t="str">
        <f>IF(Table2[[#This Row],[Manual Cat Value]]="",VLOOKUP(Table2[[#This Row],[Description]],'Actuals Lookup'!D:F,3,0),VLOOKUP(Table2[[#This Row],[Manual Cat Value]],Lookup!A:B,2,0))</f>
        <v>Delete</v>
      </c>
      <c r="G12041" t="s">
        <v>9</v>
      </c>
      <c r="I12041" s="8"/>
      <c r="O12041" t="str">
        <f>LEFT(Table2[[#This Row],[Description]],75)</f>
        <v>Online Payment - Thank You</v>
      </c>
    </row>
    <row r="12042" spans="1:17" hidden="1">
      <c r="A12042" s="25">
        <v>202408</v>
      </c>
      <c r="B12042" s="6">
        <v>45521</v>
      </c>
      <c r="C12042" t="s">
        <v>5160</v>
      </c>
      <c r="D12042" t="s">
        <v>105</v>
      </c>
      <c r="E12042">
        <v>168.12</v>
      </c>
      <c r="F12042" s="2" t="str">
        <f>IF(Table2[[#This Row],[Manual Cat Value]]="",VLOOKUP(Table2[[#This Row],[Description]],'Actuals Lookup'!D:F,3,0),VLOOKUP(Table2[[#This Row],[Manual Cat Value]],Lookup!A:B,2,0))</f>
        <v>Travel</v>
      </c>
      <c r="G12042" t="s">
        <v>43</v>
      </c>
      <c r="H12042" t="s">
        <v>52</v>
      </c>
      <c r="I12042" s="8"/>
      <c r="O12042" t="str">
        <f>LEFT(Table2[[#This Row],[Description]],75)</f>
        <v>Airbnb</v>
      </c>
      <c r="Q12042" t="s">
        <v>2240</v>
      </c>
    </row>
    <row r="12043" spans="1:17" hidden="1">
      <c r="A12043" s="25">
        <v>202408</v>
      </c>
      <c r="B12043" s="6">
        <v>45521</v>
      </c>
      <c r="C12043" t="s">
        <v>5160</v>
      </c>
      <c r="D12043" t="s">
        <v>161</v>
      </c>
      <c r="E12043">
        <v>224</v>
      </c>
      <c r="F12043" s="2" t="str">
        <f>IF(Table2[[#This Row],[Manual Cat Value]]="",VLOOKUP(Table2[[#This Row],[Description]],'Actuals Lookup'!D:F,3,0),VLOOKUP(Table2[[#This Row],[Manual Cat Value]],Lookup!A:B,2,0))</f>
        <v>Shopping</v>
      </c>
      <c r="G12043" t="s">
        <v>21</v>
      </c>
      <c r="I12043" s="8"/>
      <c r="O12043" t="str">
        <f>LEFT(Table2[[#This Row],[Description]],75)</f>
        <v>Anthropologie</v>
      </c>
    </row>
    <row r="12044" spans="1:17" hidden="1">
      <c r="A12044" s="25">
        <v>202408</v>
      </c>
      <c r="B12044" s="6">
        <v>45521</v>
      </c>
      <c r="C12044" t="s">
        <v>5160</v>
      </c>
      <c r="D12044" t="s">
        <v>161</v>
      </c>
      <c r="E12044">
        <v>-158</v>
      </c>
      <c r="F12044" s="2" t="str">
        <f>IF(Table2[[#This Row],[Manual Cat Value]]="",VLOOKUP(Table2[[#This Row],[Description]],'Actuals Lookup'!D:F,3,0),VLOOKUP(Table2[[#This Row],[Manual Cat Value]],Lookup!A:B,2,0))</f>
        <v>Shopping</v>
      </c>
      <c r="G12044" t="s">
        <v>21</v>
      </c>
      <c r="I12044" s="8"/>
      <c r="O12044" t="str">
        <f>LEFT(Table2[[#This Row],[Description]],75)</f>
        <v>Anthropologie</v>
      </c>
    </row>
    <row r="12045" spans="1:17" hidden="1">
      <c r="A12045" s="25">
        <v>202408</v>
      </c>
      <c r="B12045" s="6">
        <v>45521</v>
      </c>
      <c r="C12045" t="s">
        <v>5160</v>
      </c>
      <c r="D12045" t="s">
        <v>5623</v>
      </c>
      <c r="E12045">
        <v>139.76</v>
      </c>
      <c r="F12045" s="2" t="str">
        <f>IF(Table2[[#This Row],[Manual Cat Value]]="",VLOOKUP(Table2[[#This Row],[Description]],'Actuals Lookup'!D:F,3,0),VLOOKUP(Table2[[#This Row],[Manual Cat Value]],Lookup!A:B,2,0))</f>
        <v>Shopping</v>
      </c>
      <c r="G12045" t="s">
        <v>4745</v>
      </c>
      <c r="H12045" s="8" t="s">
        <v>36</v>
      </c>
      <c r="I12045" s="8"/>
      <c r="O12045" t="str">
        <f>LEFT(Table2[[#This Row],[Description]],75)</f>
        <v>Es Lacrosse Chanhasschanhassen Mn</v>
      </c>
    </row>
    <row r="12046" spans="1:17" hidden="1">
      <c r="A12046" s="25">
        <v>202408</v>
      </c>
      <c r="B12046" s="6">
        <v>45521</v>
      </c>
      <c r="C12046" t="s">
        <v>5160</v>
      </c>
      <c r="D12046" t="s">
        <v>1495</v>
      </c>
      <c r="E12046">
        <v>64.900000000000006</v>
      </c>
      <c r="F12046" s="2" t="str">
        <f>IF(Table2[[#This Row],[Manual Cat Value]]="",VLOOKUP(Table2[[#This Row],[Description]],'Actuals Lookup'!D:F,3,0),VLOOKUP(Table2[[#This Row],[Manual Cat Value]],Lookup!A:B,2,0))</f>
        <v>Shopping</v>
      </c>
      <c r="G12046" t="s">
        <v>41</v>
      </c>
      <c r="H12046" s="8" t="s">
        <v>36</v>
      </c>
      <c r="I12046" s="8"/>
      <c r="O12046" t="str">
        <f>LEFT(Table2[[#This Row],[Description]],75)</f>
        <v>Play It Again Sports</v>
      </c>
    </row>
    <row r="12047" spans="1:17" hidden="1">
      <c r="A12047" s="25">
        <v>202408</v>
      </c>
      <c r="B12047" s="6">
        <v>45521</v>
      </c>
      <c r="C12047" t="s">
        <v>5160</v>
      </c>
      <c r="D12047" t="s">
        <v>5327</v>
      </c>
      <c r="E12047">
        <v>155.59</v>
      </c>
      <c r="F12047" s="2" t="str">
        <f>IF(Table2[[#This Row],[Manual Cat Value]]="",VLOOKUP(Table2[[#This Row],[Description]],'Actuals Lookup'!D:F,3,0),VLOOKUP(Table2[[#This Row],[Manual Cat Value]],Lookup!A:B,2,0))</f>
        <v>Restaurants</v>
      </c>
      <c r="G12047" t="s">
        <v>26</v>
      </c>
      <c r="H12047" t="s">
        <v>25</v>
      </c>
      <c r="I12047" s="8"/>
      <c r="O12047" t="str">
        <f>LEFT(Table2[[#This Row],[Description]],75)</f>
        <v>Tst* Maynards - Outsexcelsior Mn</v>
      </c>
    </row>
    <row r="12048" spans="1:17" hidden="1">
      <c r="A12048">
        <v>202408</v>
      </c>
      <c r="B12048" s="6">
        <v>45522</v>
      </c>
      <c r="C12048" t="s">
        <v>3938</v>
      </c>
      <c r="D12048" t="s">
        <v>113</v>
      </c>
      <c r="E12048">
        <v>39.65</v>
      </c>
      <c r="F12048" s="2" t="str">
        <f>IF(Table2[[#This Row],[Manual Cat Value]]="",VLOOKUP(Table2[[#This Row],[Description]],'Actuals Lookup'!D:F,3,0),VLOOKUP(Table2[[#This Row],[Manual Cat Value]],Lookup!A:B,2,0))</f>
        <v>Day Care</v>
      </c>
      <c r="H12048" t="s">
        <v>19</v>
      </c>
      <c r="I12048" s="8"/>
      <c r="O12048" t="str">
        <f>LEFT(Table2[[#This Row],[Description]],75)</f>
        <v>Amazon Marketplace</v>
      </c>
    </row>
    <row r="12049" spans="1:15" hidden="1">
      <c r="A12049">
        <v>202408</v>
      </c>
      <c r="B12049" s="6">
        <v>45522</v>
      </c>
      <c r="C12049" t="s">
        <v>3938</v>
      </c>
      <c r="D12049" t="s">
        <v>113</v>
      </c>
      <c r="E12049">
        <v>23.68</v>
      </c>
      <c r="F12049" s="2" t="str">
        <f>IF(Table2[[#This Row],[Manual Cat Value]]="",VLOOKUP(Table2[[#This Row],[Description]],'Actuals Lookup'!D:F,3,0),VLOOKUP(Table2[[#This Row],[Manual Cat Value]],Lookup!A:B,2,0))</f>
        <v>Day Care</v>
      </c>
      <c r="H12049" t="s">
        <v>19</v>
      </c>
      <c r="I12049" s="8"/>
      <c r="O12049" t="str">
        <f>LEFT(Table2[[#This Row],[Description]],75)</f>
        <v>Amazon Marketplace</v>
      </c>
    </row>
    <row r="12050" spans="1:15" hidden="1">
      <c r="A12050">
        <v>202408</v>
      </c>
      <c r="B12050" s="6">
        <v>45522</v>
      </c>
      <c r="C12050" t="s">
        <v>3938</v>
      </c>
      <c r="D12050" t="s">
        <v>113</v>
      </c>
      <c r="E12050">
        <v>9.7200000000000006</v>
      </c>
      <c r="F12050" s="2" t="str">
        <f>IF(Table2[[#This Row],[Manual Cat Value]]="",VLOOKUP(Table2[[#This Row],[Description]],'Actuals Lookup'!D:F,3,0),VLOOKUP(Table2[[#This Row],[Manual Cat Value]],Lookup!A:B,2,0))</f>
        <v>Day Care</v>
      </c>
      <c r="H12050" t="s">
        <v>19</v>
      </c>
      <c r="I12050" s="8"/>
      <c r="O12050" t="str">
        <f>LEFT(Table2[[#This Row],[Description]],75)</f>
        <v>Amazon Marketplace</v>
      </c>
    </row>
    <row r="12051" spans="1:15" hidden="1">
      <c r="A12051">
        <v>202408</v>
      </c>
      <c r="B12051" s="6">
        <v>45522</v>
      </c>
      <c r="C12051" t="s">
        <v>3938</v>
      </c>
      <c r="D12051" t="s">
        <v>113</v>
      </c>
      <c r="E12051">
        <v>-10.83</v>
      </c>
      <c r="F12051" s="2" t="str">
        <f>IF(Table2[[#This Row],[Manual Cat Value]]="",VLOOKUP(Table2[[#This Row],[Description]],'Actuals Lookup'!D:F,3,0),VLOOKUP(Table2[[#This Row],[Manual Cat Value]],Lookup!A:B,2,0))</f>
        <v>Amazon</v>
      </c>
      <c r="I12051" s="8"/>
      <c r="O12051" t="str">
        <f>LEFT(Table2[[#This Row],[Description]],75)</f>
        <v>Amazon Marketplace</v>
      </c>
    </row>
    <row r="12052" spans="1:15" hidden="1">
      <c r="A12052">
        <v>202408</v>
      </c>
      <c r="B12052" s="6">
        <v>45522</v>
      </c>
      <c r="C12052" t="s">
        <v>3938</v>
      </c>
      <c r="D12052" t="s">
        <v>113</v>
      </c>
      <c r="E12052">
        <v>-45.99</v>
      </c>
      <c r="F12052" s="2" t="str">
        <f>IF(Table2[[#This Row],[Manual Cat Value]]="",VLOOKUP(Table2[[#This Row],[Description]],'Actuals Lookup'!D:F,3,0),VLOOKUP(Table2[[#This Row],[Manual Cat Value]],Lookup!A:B,2,0))</f>
        <v>Amazon</v>
      </c>
      <c r="I12052" s="8"/>
      <c r="O12052" t="str">
        <f>LEFT(Table2[[#This Row],[Description]],75)</f>
        <v>Amazon Marketplace</v>
      </c>
    </row>
    <row r="12053" spans="1:15" hidden="1">
      <c r="A12053">
        <v>202408</v>
      </c>
      <c r="B12053" s="6">
        <v>45522</v>
      </c>
      <c r="C12053" t="s">
        <v>3938</v>
      </c>
      <c r="D12053" t="s">
        <v>113</v>
      </c>
      <c r="E12053">
        <v>-40.99</v>
      </c>
      <c r="F12053" s="2" t="str">
        <f>IF(Table2[[#This Row],[Manual Cat Value]]="",VLOOKUP(Table2[[#This Row],[Description]],'Actuals Lookup'!D:F,3,0),VLOOKUP(Table2[[#This Row],[Manual Cat Value]],Lookup!A:B,2,0))</f>
        <v>Amazon</v>
      </c>
      <c r="I12053" s="8"/>
      <c r="O12053" t="str">
        <f>LEFT(Table2[[#This Row],[Description]],75)</f>
        <v>Amazon Marketplace</v>
      </c>
    </row>
    <row r="12054" spans="1:15" hidden="1">
      <c r="A12054">
        <v>202408</v>
      </c>
      <c r="B12054" s="6">
        <v>45522</v>
      </c>
      <c r="C12054" t="s">
        <v>3938</v>
      </c>
      <c r="D12054" t="s">
        <v>113</v>
      </c>
      <c r="E12054">
        <v>-46.03</v>
      </c>
      <c r="F12054" s="2" t="str">
        <f>IF(Table2[[#This Row],[Manual Cat Value]]="",VLOOKUP(Table2[[#This Row],[Description]],'Actuals Lookup'!D:F,3,0),VLOOKUP(Table2[[#This Row],[Manual Cat Value]],Lookup!A:B,2,0))</f>
        <v>Amazon</v>
      </c>
      <c r="I12054" s="8"/>
      <c r="O12054" t="str">
        <f>LEFT(Table2[[#This Row],[Description]],75)</f>
        <v>Amazon Marketplace</v>
      </c>
    </row>
    <row r="12055" spans="1:15" hidden="1">
      <c r="A12055">
        <v>202408</v>
      </c>
      <c r="B12055" s="6">
        <v>45522</v>
      </c>
      <c r="C12055" t="s">
        <v>2519</v>
      </c>
      <c r="D12055" t="s">
        <v>4283</v>
      </c>
      <c r="E12055">
        <v>-63.01</v>
      </c>
      <c r="F12055" s="2" t="str">
        <f>IF(Table2[[#This Row],[Manual Cat Value]]="",VLOOKUP(Table2[[#This Row],[Description]],'Actuals Lookup'!D:F,3,0),VLOOKUP(Table2[[#This Row],[Manual Cat Value]],Lookup!A:B,2,0))</f>
        <v>Britney</v>
      </c>
      <c r="H12055" t="s">
        <v>65</v>
      </c>
      <c r="I12055" s="8"/>
      <c r="O12055" t="str">
        <f>LEFT(Table2[[#This Row],[Description]],75)</f>
        <v>Cargill Deposit</v>
      </c>
    </row>
    <row r="12056" spans="1:15" hidden="1">
      <c r="A12056" s="25">
        <v>202408</v>
      </c>
      <c r="B12056" s="6">
        <v>45519</v>
      </c>
      <c r="C12056" t="s">
        <v>5160</v>
      </c>
      <c r="D12056" t="s">
        <v>4012</v>
      </c>
      <c r="E12056">
        <v>-3647.15</v>
      </c>
      <c r="F12056" s="2" t="str">
        <f>IF(Table2[[#This Row],[Manual Cat Value]]="",VLOOKUP(Table2[[#This Row],[Description]],'Actuals Lookup'!D:F,3,0),VLOOKUP(Table2[[#This Row],[Manual Cat Value]],Lookup!A:B,2,0))</f>
        <v>Delete</v>
      </c>
      <c r="G12056" t="s">
        <v>9</v>
      </c>
      <c r="I12056" s="8"/>
      <c r="O12056" t="str">
        <f>LEFT(Table2[[#This Row],[Description]],75)</f>
        <v>Online Payment - Thank You</v>
      </c>
    </row>
    <row r="12057" spans="1:15" hidden="1">
      <c r="A12057" s="25">
        <v>202408</v>
      </c>
      <c r="B12057" s="6">
        <v>45522</v>
      </c>
      <c r="C12057" t="s">
        <v>5160</v>
      </c>
      <c r="D12057" t="s">
        <v>5624</v>
      </c>
      <c r="E12057">
        <v>15</v>
      </c>
      <c r="F12057" s="2" t="str">
        <f>IF(Table2[[#This Row],[Manual Cat Value]]="",VLOOKUP(Table2[[#This Row],[Description]],'Actuals Lookup'!D:F,3,0),VLOOKUP(Table2[[#This Row],[Manual Cat Value]],Lookup!A:B,2,0))</f>
        <v>Entertainment</v>
      </c>
      <c r="G12057" t="s">
        <v>5177</v>
      </c>
      <c r="H12057" s="8" t="s">
        <v>39</v>
      </c>
      <c r="I12057" s="8"/>
      <c r="O12057" t="str">
        <f>LEFT(Table2[[#This Row],[Description]],75)</f>
        <v>Deer Run Llc</v>
      </c>
    </row>
    <row r="12058" spans="1:15" hidden="1">
      <c r="A12058">
        <v>202409</v>
      </c>
      <c r="B12058" s="6">
        <v>45538</v>
      </c>
      <c r="C12058" t="s">
        <v>130</v>
      </c>
      <c r="D12058" t="s">
        <v>5625</v>
      </c>
      <c r="E12058">
        <v>-7941.92</v>
      </c>
      <c r="F12058" s="2" t="str">
        <f>IF(Table2[[#This Row],[Manual Cat Value]]="",VLOOKUP(Table2[[#This Row],[Description]],'Actuals Lookup'!D:F,3,0),VLOOKUP(Table2[[#This Row],[Manual Cat Value]],Lookup!A:B,2,0))</f>
        <v>Delete</v>
      </c>
      <c r="H12058" s="8" t="s">
        <v>9</v>
      </c>
      <c r="I12058" s="8"/>
      <c r="O12058" t="str">
        <f>LEFT(Table2[[#This Row],[Description]],75)</f>
        <v>ONLINE PAYMENT - THANK YOU</v>
      </c>
    </row>
    <row r="12059" spans="1:15" hidden="1">
      <c r="A12059" s="25">
        <v>202408</v>
      </c>
      <c r="B12059" s="6">
        <v>45522</v>
      </c>
      <c r="C12059" t="s">
        <v>5160</v>
      </c>
      <c r="D12059" t="s">
        <v>1083</v>
      </c>
      <c r="E12059">
        <v>67.92</v>
      </c>
      <c r="F12059" s="2" t="str">
        <f>IF(Table2[[#This Row],[Manual Cat Value]]="",VLOOKUP(Table2[[#This Row],[Description]],'Actuals Lookup'!D:F,3,0),VLOOKUP(Table2[[#This Row],[Manual Cat Value]],Lookup!A:B,2,0))</f>
        <v>Transportation</v>
      </c>
      <c r="G12059" t="s">
        <v>23</v>
      </c>
      <c r="I12059" s="8"/>
      <c r="O12059" t="str">
        <f>LEFT(Table2[[#This Row],[Description]],75)</f>
        <v>Kwik Trip</v>
      </c>
    </row>
    <row r="12060" spans="1:15" hidden="1">
      <c r="A12060" s="25">
        <v>202408</v>
      </c>
      <c r="B12060" s="6">
        <v>45522</v>
      </c>
      <c r="C12060" t="s">
        <v>5160</v>
      </c>
      <c r="D12060" t="s">
        <v>4931</v>
      </c>
      <c r="E12060">
        <v>13.01</v>
      </c>
      <c r="F12060" s="2" t="str">
        <f>IF(Table2[[#This Row],[Manual Cat Value]]="",VLOOKUP(Table2[[#This Row],[Description]],'Actuals Lookup'!D:F,3,0),VLOOKUP(Table2[[#This Row],[Manual Cat Value]],Lookup!A:B,2,0))</f>
        <v>Groceries</v>
      </c>
      <c r="G12060" t="s">
        <v>28</v>
      </c>
      <c r="H12060" t="s">
        <v>27</v>
      </c>
      <c r="I12060" s="8"/>
      <c r="O12060" t="str">
        <f>LEFT(Table2[[#This Row],[Description]],75)</f>
        <v>Mackenthun S Meats &amp;saint Bonifac Mn</v>
      </c>
    </row>
    <row r="12061" spans="1:15" hidden="1">
      <c r="A12061" s="25">
        <v>202408</v>
      </c>
      <c r="B12061" s="6">
        <v>45522</v>
      </c>
      <c r="C12061" t="s">
        <v>5160</v>
      </c>
      <c r="D12061" t="s">
        <v>3944</v>
      </c>
      <c r="E12061">
        <v>34.020000000000003</v>
      </c>
      <c r="F12061" s="2" t="str">
        <f>IF(Table2[[#This Row],[Manual Cat Value]]="",VLOOKUP(Table2[[#This Row],[Description]],'Actuals Lookup'!D:F,3,0),VLOOKUP(Table2[[#This Row],[Manual Cat Value]],Lookup!A:B,2,0))</f>
        <v>Restaurants</v>
      </c>
      <c r="G12061" t="s">
        <v>43</v>
      </c>
      <c r="H12061" t="s">
        <v>25</v>
      </c>
      <c r="I12061" s="8"/>
      <c r="O12061" t="str">
        <f>LEFT(Table2[[#This Row],[Description]],75)</f>
        <v>Minneapolis-saint Paul International Airport</v>
      </c>
    </row>
    <row r="12062" spans="1:15" hidden="1">
      <c r="A12062">
        <v>202408</v>
      </c>
      <c r="B12062" s="6">
        <v>45522</v>
      </c>
      <c r="C12062" t="s">
        <v>3938</v>
      </c>
      <c r="D12062" t="s">
        <v>5626</v>
      </c>
      <c r="E12062">
        <v>103.48</v>
      </c>
      <c r="F12062" s="2" t="str">
        <f>IF(Table2[[#This Row],[Manual Cat Value]]="",VLOOKUP(Table2[[#This Row],[Description]],'Actuals Lookup'!D:F,3,0),VLOOKUP(Table2[[#This Row],[Manual Cat Value]],Lookup!A:B,2,0))</f>
        <v>Day Care</v>
      </c>
      <c r="H12062" s="8" t="s">
        <v>19</v>
      </c>
      <c r="I12062" s="8"/>
      <c r="O12062" t="str">
        <f>LEFT(Table2[[#This Row],[Description]],75)</f>
        <v>MTKA YOUTH LAX WWW.MTKALAX.OMN REF #XX9216KN0005LK3K</v>
      </c>
    </row>
    <row r="12063" spans="1:15" hidden="1">
      <c r="A12063" s="25">
        <v>202408</v>
      </c>
      <c r="B12063" s="6">
        <v>45522</v>
      </c>
      <c r="C12063" t="s">
        <v>5160</v>
      </c>
      <c r="D12063" t="s">
        <v>1707</v>
      </c>
      <c r="E12063">
        <v>14.22</v>
      </c>
      <c r="F12063" s="2" t="str">
        <f>IF(Table2[[#This Row],[Manual Cat Value]]="",VLOOKUP(Table2[[#This Row],[Description]],'Actuals Lookup'!D:F,3,0),VLOOKUP(Table2[[#This Row],[Manual Cat Value]],Lookup!A:B,2,0))</f>
        <v>Transportation</v>
      </c>
      <c r="G12063" t="s">
        <v>23</v>
      </c>
      <c r="H12063" t="s">
        <v>22</v>
      </c>
      <c r="I12063" s="8"/>
      <c r="O12063" t="str">
        <f>LEFT(Table2[[#This Row],[Description]],75)</f>
        <v>Speedway</v>
      </c>
    </row>
    <row r="12064" spans="1:15" hidden="1">
      <c r="A12064">
        <v>202408</v>
      </c>
      <c r="B12064" s="6">
        <v>45522</v>
      </c>
      <c r="C12064" t="s">
        <v>3938</v>
      </c>
      <c r="D12064" t="s">
        <v>1773</v>
      </c>
      <c r="E12064">
        <v>20</v>
      </c>
      <c r="F12064" s="2" t="str">
        <f>IF(Table2[[#This Row],[Manual Cat Value]]="",VLOOKUP(Table2[[#This Row],[Description]],'Actuals Lookup'!D:F,3,0),VLOOKUP(Table2[[#This Row],[Manual Cat Value]],Lookup!A:B,2,0))</f>
        <v>Restaurants</v>
      </c>
      <c r="H12064" t="s">
        <v>25</v>
      </c>
      <c r="I12064" s="8"/>
      <c r="O12064" t="str">
        <f>LEFT(Table2[[#This Row],[Description]],75)</f>
        <v>Starbucks</v>
      </c>
    </row>
    <row r="12065" spans="1:15" hidden="1">
      <c r="A12065">
        <v>202408</v>
      </c>
      <c r="B12065" s="6">
        <v>45522</v>
      </c>
      <c r="C12065" t="s">
        <v>3938</v>
      </c>
      <c r="D12065" t="s">
        <v>1773</v>
      </c>
      <c r="E12065">
        <v>20</v>
      </c>
      <c r="F12065" s="2" t="str">
        <f>IF(Table2[[#This Row],[Manual Cat Value]]="",VLOOKUP(Table2[[#This Row],[Description]],'Actuals Lookup'!D:F,3,0),VLOOKUP(Table2[[#This Row],[Manual Cat Value]],Lookup!A:B,2,0))</f>
        <v>Restaurants</v>
      </c>
      <c r="I12065" s="8"/>
      <c r="O12065" t="str">
        <f>LEFT(Table2[[#This Row],[Description]],75)</f>
        <v>Starbucks</v>
      </c>
    </row>
    <row r="12066" spans="1:15" hidden="1">
      <c r="A12066" s="25">
        <v>202408</v>
      </c>
      <c r="B12066" s="6">
        <v>45522</v>
      </c>
      <c r="C12066" t="s">
        <v>5160</v>
      </c>
      <c r="D12066" t="s">
        <v>5449</v>
      </c>
      <c r="E12066">
        <v>16.579999999999998</v>
      </c>
      <c r="F12066" s="2" t="str">
        <f>IF(Table2[[#This Row],[Manual Cat Value]]="",VLOOKUP(Table2[[#This Row],[Description]],'Actuals Lookup'!D:F,3,0),VLOOKUP(Table2[[#This Row],[Manual Cat Value]],Lookup!A:B,2,0))</f>
        <v>Restaurants</v>
      </c>
      <c r="G12066" t="s">
        <v>26</v>
      </c>
      <c r="H12066" t="s">
        <v>25</v>
      </c>
      <c r="I12066" s="8"/>
      <c r="O12066" t="str">
        <f>LEFT(Table2[[#This Row],[Description]],75)</f>
        <v>Subway</v>
      </c>
    </row>
    <row r="12067" spans="1:15" hidden="1">
      <c r="A12067">
        <v>202410</v>
      </c>
      <c r="B12067" s="6">
        <v>45566</v>
      </c>
      <c r="C12067" t="s">
        <v>130</v>
      </c>
      <c r="D12067" t="s">
        <v>5625</v>
      </c>
      <c r="E12067">
        <v>-11648</v>
      </c>
      <c r="F12067" s="2" t="str">
        <f>IF(Table2[[#This Row],[Manual Cat Value]]="",VLOOKUP(Table2[[#This Row],[Description]],'Actuals Lookup'!D:F,3,0),VLOOKUP(Table2[[#This Row],[Manual Cat Value]],Lookup!A:B,2,0))</f>
        <v>Delete</v>
      </c>
      <c r="H12067" s="8" t="s">
        <v>9</v>
      </c>
      <c r="I12067" s="8"/>
      <c r="O12067" t="str">
        <f>LEFT(Table2[[#This Row],[Description]],75)</f>
        <v>ONLINE PAYMENT - THANK YOU</v>
      </c>
    </row>
    <row r="12068" spans="1:15" hidden="1">
      <c r="A12068">
        <v>202410</v>
      </c>
      <c r="B12068" s="6">
        <v>45575</v>
      </c>
      <c r="C12068" t="s">
        <v>130</v>
      </c>
      <c r="D12068" t="s">
        <v>5625</v>
      </c>
      <c r="E12068">
        <v>-1995.73</v>
      </c>
      <c r="F12068" s="2" t="str">
        <f>IF(Table2[[#This Row],[Manual Cat Value]]="",VLOOKUP(Table2[[#This Row],[Description]],'Actuals Lookup'!D:F,3,0),VLOOKUP(Table2[[#This Row],[Manual Cat Value]],Lookup!A:B,2,0))</f>
        <v>Delete</v>
      </c>
      <c r="H12068" s="8" t="s">
        <v>9</v>
      </c>
      <c r="I12068" s="8"/>
      <c r="O12068" t="str">
        <f>LEFT(Table2[[#This Row],[Description]],75)</f>
        <v>ONLINE PAYMENT - THANK YOU</v>
      </c>
    </row>
    <row r="12069" spans="1:15" hidden="1">
      <c r="A12069">
        <v>202410</v>
      </c>
      <c r="B12069" s="6">
        <v>45590</v>
      </c>
      <c r="C12069" t="s">
        <v>130</v>
      </c>
      <c r="D12069" t="s">
        <v>5625</v>
      </c>
      <c r="E12069">
        <v>-4822.07</v>
      </c>
      <c r="F12069" s="2" t="str">
        <f>IF(Table2[[#This Row],[Manual Cat Value]]="",VLOOKUP(Table2[[#This Row],[Description]],'Actuals Lookup'!D:F,3,0),VLOOKUP(Table2[[#This Row],[Manual Cat Value]],Lookup!A:B,2,0))</f>
        <v>Delete</v>
      </c>
      <c r="H12069" s="8" t="s">
        <v>9</v>
      </c>
      <c r="I12069" s="8"/>
      <c r="O12069" t="str">
        <f>LEFT(Table2[[#This Row],[Description]],75)</f>
        <v>ONLINE PAYMENT - THANK YOU</v>
      </c>
    </row>
    <row r="12070" spans="1:15" hidden="1">
      <c r="A12070" s="25">
        <v>202408</v>
      </c>
      <c r="B12070" s="6">
        <v>45523</v>
      </c>
      <c r="C12070" t="s">
        <v>5160</v>
      </c>
      <c r="D12070" t="s">
        <v>4888</v>
      </c>
      <c r="E12070">
        <v>9.99</v>
      </c>
      <c r="F12070" s="2" t="str">
        <f>IF(Table2[[#This Row],[Manual Cat Value]]="",VLOOKUP(Table2[[#This Row],[Description]],'Actuals Lookup'!D:F,3,0),VLOOKUP(Table2[[#This Row],[Manual Cat Value]],Lookup!A:B,2,0))</f>
        <v>Healthcare</v>
      </c>
      <c r="G12070" t="s">
        <v>26</v>
      </c>
      <c r="H12070" t="s">
        <v>47</v>
      </c>
      <c r="I12070" s="8"/>
      <c r="O12070" t="str">
        <f>LEFT(Table2[[#This Row],[Description]],75)</f>
        <v>Hmshost</v>
      </c>
    </row>
    <row r="12071" spans="1:15" hidden="1">
      <c r="A12071">
        <v>202408</v>
      </c>
      <c r="B12071" s="6">
        <v>45523</v>
      </c>
      <c r="C12071" t="s">
        <v>3938</v>
      </c>
      <c r="D12071" t="s">
        <v>5627</v>
      </c>
      <c r="E12071">
        <v>25.68</v>
      </c>
      <c r="F12071" s="2" t="str">
        <f>IF(Table2[[#This Row],[Manual Cat Value]]="",VLOOKUP(Table2[[#This Row],[Description]],'Actuals Lookup'!D:F,3,0),VLOOKUP(Table2[[#This Row],[Manual Cat Value]],Lookup!A:B,2,0))</f>
        <v>Restaurants</v>
      </c>
      <c r="H12071" s="8" t="s">
        <v>25</v>
      </c>
      <c r="I12071" s="8"/>
      <c r="O12071" t="str">
        <f>LEFT(Table2[[#This Row],[Description]],75)</f>
        <v>Ritual</v>
      </c>
    </row>
    <row r="12072" spans="1:15" hidden="1">
      <c r="A12072" s="25">
        <v>202408</v>
      </c>
      <c r="B12072" s="6">
        <v>45523</v>
      </c>
      <c r="C12072" t="s">
        <v>5160</v>
      </c>
      <c r="D12072" t="s">
        <v>4543</v>
      </c>
      <c r="E12072">
        <v>34.56</v>
      </c>
      <c r="F12072" s="2" t="str">
        <f>IF(Table2[[#This Row],[Manual Cat Value]]="",VLOOKUP(Table2[[#This Row],[Description]],'Actuals Lookup'!D:F,3,0),VLOOKUP(Table2[[#This Row],[Manual Cat Value]],Lookup!A:B,2,0))</f>
        <v>Restaurants</v>
      </c>
      <c r="G12072" t="s">
        <v>4840</v>
      </c>
      <c r="H12072" t="s">
        <v>25</v>
      </c>
      <c r="I12072" s="8"/>
      <c r="O12072" t="str">
        <f>LEFT(Table2[[#This Row],[Description]],75)</f>
        <v>Sumup</v>
      </c>
    </row>
    <row r="12073" spans="1:15" hidden="1">
      <c r="A12073" s="25">
        <v>202408</v>
      </c>
      <c r="B12073" s="6">
        <v>45523</v>
      </c>
      <c r="C12073" t="s">
        <v>5160</v>
      </c>
      <c r="D12073" t="s">
        <v>4543</v>
      </c>
      <c r="E12073">
        <v>22.01</v>
      </c>
      <c r="F12073" s="2" t="str">
        <f>IF(Table2[[#This Row],[Manual Cat Value]]="",VLOOKUP(Table2[[#This Row],[Description]],'Actuals Lookup'!D:F,3,0),VLOOKUP(Table2[[#This Row],[Manual Cat Value]],Lookup!A:B,2,0))</f>
        <v>Restaurants</v>
      </c>
      <c r="G12073" t="s">
        <v>43</v>
      </c>
      <c r="H12073" t="s">
        <v>25</v>
      </c>
      <c r="I12073" s="8"/>
      <c r="O12073" t="str">
        <f>LEFT(Table2[[#This Row],[Description]],75)</f>
        <v>Sumup</v>
      </c>
    </row>
    <row r="12074" spans="1:15" hidden="1">
      <c r="A12074">
        <v>202408</v>
      </c>
      <c r="B12074" s="6">
        <v>45523</v>
      </c>
      <c r="C12074" t="s">
        <v>2519</v>
      </c>
      <c r="D12074" t="s">
        <v>1955</v>
      </c>
      <c r="E12074">
        <v>2.99</v>
      </c>
      <c r="F12074" s="2" t="str">
        <f>IF(Table2[[#This Row],[Manual Cat Value]]="",VLOOKUP(Table2[[#This Row],[Description]],'Actuals Lookup'!D:F,3,0),VLOOKUP(Table2[[#This Row],[Manual Cat Value]],Lookup!A:B,2,0))</f>
        <v>Shopping</v>
      </c>
      <c r="H12074" t="s">
        <v>36</v>
      </c>
      <c r="I12074" s="8"/>
      <c r="O12074" t="str">
        <f>LEFT(Table2[[#This Row],[Description]],75)</f>
        <v>Transfer to PayPal</v>
      </c>
    </row>
    <row r="12075" spans="1:15" hidden="1">
      <c r="A12075">
        <v>202408</v>
      </c>
      <c r="B12075" s="6">
        <v>45523</v>
      </c>
      <c r="C12075" t="s">
        <v>2519</v>
      </c>
      <c r="D12075" t="s">
        <v>5628</v>
      </c>
      <c r="E12075">
        <v>650</v>
      </c>
      <c r="F12075" s="2" t="str">
        <f>IF(Table2[[#This Row],[Manual Cat Value]]="",VLOOKUP(Table2[[#This Row],[Description]],'Actuals Lookup'!D:F,3,0),VLOOKUP(Table2[[#This Row],[Manual Cat Value]],Lookup!A:B,2,0))</f>
        <v>College Savings</v>
      </c>
      <c r="H12075" s="8" t="s">
        <v>60</v>
      </c>
      <c r="I12075" s="8"/>
      <c r="O12075" t="str">
        <f>LEFT(Table2[[#This Row],[Description]],75)</f>
        <v>Withdrawal ACH MN DIR ACH TYPE: CONTRIB ID: XX7162 CO: MN DIR ACH NAME: XX2</v>
      </c>
    </row>
    <row r="12076" spans="1:15" hidden="1">
      <c r="A12076">
        <v>202408</v>
      </c>
      <c r="B12076" s="6">
        <v>45524</v>
      </c>
      <c r="C12076" t="s">
        <v>3938</v>
      </c>
      <c r="D12076" t="s">
        <v>5629</v>
      </c>
      <c r="E12076">
        <v>1.99</v>
      </c>
      <c r="F12076" s="2" t="str">
        <f>IF(Table2[[#This Row],[Manual Cat Value]]="",VLOOKUP(Table2[[#This Row],[Description]],'Actuals Lookup'!D:F,3,0),VLOOKUP(Table2[[#This Row],[Manual Cat Value]],Lookup!A:B,2,0))</f>
        <v>Utilities</v>
      </c>
      <c r="H12076" s="8" t="s">
        <v>6</v>
      </c>
      <c r="I12076" s="8"/>
      <c r="O12076" t="str">
        <f>LEFT(Table2[[#This Row],[Description]],75)</f>
        <v>GOOGLE *Google One g.co/helppay#CA REF #XX9216KR2ZBNGXMX</v>
      </c>
    </row>
    <row r="12077" spans="1:15" hidden="1">
      <c r="A12077" s="25">
        <v>202408</v>
      </c>
      <c r="B12077" s="6">
        <v>45524</v>
      </c>
      <c r="C12077" t="s">
        <v>5160</v>
      </c>
      <c r="D12077" t="s">
        <v>5630</v>
      </c>
      <c r="E12077">
        <v>739.44</v>
      </c>
      <c r="F12077" s="2" t="str">
        <f>IF(Table2[[#This Row],[Manual Cat Value]]="",VLOOKUP(Table2[[#This Row],[Description]],'Actuals Lookup'!D:F,3,0),VLOOKUP(Table2[[#This Row],[Manual Cat Value]],Lookup!A:B,2,0))</f>
        <v>Healthcare</v>
      </c>
      <c r="G12077" t="s">
        <v>48</v>
      </c>
      <c r="H12077" t="s">
        <v>47</v>
      </c>
      <c r="I12077" s="8"/>
      <c r="O12077" t="str">
        <f>LEFT(Table2[[#This Row],[Description]],75)</f>
        <v>Ridgeview Medical Cewaconia Mn</v>
      </c>
    </row>
    <row r="12078" spans="1:15" hidden="1">
      <c r="A12078" s="25">
        <v>202408</v>
      </c>
      <c r="B12078" s="6">
        <v>45524</v>
      </c>
      <c r="C12078" t="s">
        <v>5160</v>
      </c>
      <c r="D12078" t="s">
        <v>5631</v>
      </c>
      <c r="E12078">
        <v>19.93</v>
      </c>
      <c r="F12078" s="2" t="str">
        <f>IF(Table2[[#This Row],[Manual Cat Value]]="",VLOOKUP(Table2[[#This Row],[Description]],'Actuals Lookup'!D:F,3,0),VLOOKUP(Table2[[#This Row],[Manual Cat Value]],Lookup!A:B,2,0))</f>
        <v>Restaurants</v>
      </c>
      <c r="G12078" t="s">
        <v>26</v>
      </c>
      <c r="H12078" t="s">
        <v>25</v>
      </c>
      <c r="I12078" s="8"/>
      <c r="O12078" t="str">
        <f>LEFT(Table2[[#This Row],[Description]],75)</f>
        <v>Tequila Jacks</v>
      </c>
    </row>
    <row r="12079" spans="1:15" hidden="1">
      <c r="A12079" s="25">
        <v>202408</v>
      </c>
      <c r="B12079" s="6">
        <v>45525</v>
      </c>
      <c r="C12079" t="s">
        <v>5160</v>
      </c>
      <c r="D12079" t="s">
        <v>5632</v>
      </c>
      <c r="E12079">
        <v>38.35</v>
      </c>
      <c r="F12079" s="2" t="str">
        <f>IF(Table2[[#This Row],[Manual Cat Value]]="",VLOOKUP(Table2[[#This Row],[Description]],'Actuals Lookup'!D:F,3,0),VLOOKUP(Table2[[#This Row],[Manual Cat Value]],Lookup!A:B,2,0))</f>
        <v>Shopping</v>
      </c>
      <c r="G12079" t="s">
        <v>43</v>
      </c>
      <c r="H12079" s="8" t="s">
        <v>36</v>
      </c>
      <c r="I12079" s="8"/>
      <c r="O12079" t="str">
        <f>LEFT(Table2[[#This Row],[Description]],75)</f>
        <v>Aplpay Msp Airp The Saint Paul Mn</v>
      </c>
    </row>
    <row r="12080" spans="1:15" hidden="1">
      <c r="A12080">
        <v>202408</v>
      </c>
      <c r="B12080" s="6">
        <v>45525</v>
      </c>
      <c r="C12080" t="s">
        <v>3938</v>
      </c>
      <c r="D12080" t="s">
        <v>5633</v>
      </c>
      <c r="E12080">
        <v>11</v>
      </c>
      <c r="F12080" s="2" t="str">
        <f>IF(Table2[[#This Row],[Manual Cat Value]]="",VLOOKUP(Table2[[#This Row],[Description]],'Actuals Lookup'!D:F,3,0),VLOOKUP(Table2[[#This Row],[Manual Cat Value]],Lookup!A:B,2,0))</f>
        <v>House Maintenance</v>
      </c>
      <c r="H12080" s="8" t="s">
        <v>1</v>
      </c>
      <c r="I12080" s="8"/>
      <c r="O12080" t="str">
        <f>LEFT(Table2[[#This Row],[Description]],75)</f>
        <v>BONFES PLUMBING HEATING AXX6633 MN REF #XX7539KTS66GJZT5</v>
      </c>
    </row>
    <row r="12081" spans="1:17" hidden="1">
      <c r="A12081">
        <v>202411</v>
      </c>
      <c r="B12081" s="6">
        <v>45607</v>
      </c>
      <c r="C12081" t="s">
        <v>130</v>
      </c>
      <c r="D12081" t="s">
        <v>5625</v>
      </c>
      <c r="E12081">
        <v>-3078.95</v>
      </c>
      <c r="F12081" s="2" t="str">
        <f>IF(Table2[[#This Row],[Manual Cat Value]]="",VLOOKUP(Table2[[#This Row],[Description]],'Actuals Lookup'!D:F,3,0),VLOOKUP(Table2[[#This Row],[Manual Cat Value]],Lookup!A:B,2,0))</f>
        <v>Delete</v>
      </c>
      <c r="I12081" s="8"/>
      <c r="O12081" t="str">
        <f>LEFT(Table2[[#This Row],[Description]],75)</f>
        <v>ONLINE PAYMENT - THANK YOU</v>
      </c>
    </row>
    <row r="12082" spans="1:17" hidden="1">
      <c r="A12082">
        <v>202408</v>
      </c>
      <c r="B12082" s="6">
        <v>45525</v>
      </c>
      <c r="C12082" t="s">
        <v>2519</v>
      </c>
      <c r="D12082" t="s">
        <v>5634</v>
      </c>
      <c r="E12082">
        <v>45.67</v>
      </c>
      <c r="F12082" s="2" t="str">
        <f>IF(Table2[[#This Row],[Manual Cat Value]]="",VLOOKUP(Table2[[#This Row],[Description]],'Actuals Lookup'!D:F,3,0),VLOOKUP(Table2[[#This Row],[Manual Cat Value]],Lookup!A:B,2,0))</f>
        <v>Utilities</v>
      </c>
      <c r="H12082" s="8" t="s">
        <v>6</v>
      </c>
      <c r="I12082" s="8"/>
      <c r="O12082" t="str">
        <f>LEFT(Table2[[#This Row],[Description]],75)</f>
        <v>Withdrawal ACH CITY OF CHANHASS TYPE: UTIL BILL ID: XX5331 CO: CITY OF CHAN</v>
      </c>
    </row>
    <row r="12083" spans="1:17" hidden="1">
      <c r="A12083">
        <v>202411</v>
      </c>
      <c r="B12083" s="6">
        <v>45623</v>
      </c>
      <c r="C12083" t="s">
        <v>130</v>
      </c>
      <c r="D12083" t="s">
        <v>5625</v>
      </c>
      <c r="E12083">
        <v>-5480.42</v>
      </c>
      <c r="F12083" s="2" t="str">
        <f>IF(Table2[[#This Row],[Manual Cat Value]]="",VLOOKUP(Table2[[#This Row],[Description]],'Actuals Lookup'!D:F,3,0),VLOOKUP(Table2[[#This Row],[Manual Cat Value]],Lookup!A:B,2,0))</f>
        <v>Delete</v>
      </c>
      <c r="I12083" s="8"/>
      <c r="O12083" t="str">
        <f>LEFT(Table2[[#This Row],[Description]],75)</f>
        <v>ONLINE PAYMENT - THANK YOU</v>
      </c>
    </row>
    <row r="12084" spans="1:17" hidden="1">
      <c r="A12084">
        <v>202412</v>
      </c>
      <c r="B12084" s="6">
        <v>45650</v>
      </c>
      <c r="C12084" t="s">
        <v>130</v>
      </c>
      <c r="D12084" t="s">
        <v>5625</v>
      </c>
      <c r="E12084">
        <v>-1789.01</v>
      </c>
      <c r="F12084" s="2" t="str">
        <f>IF(Table2[[#This Row],[Manual Cat Value]]="",VLOOKUP(Table2[[#This Row],[Description]],'Actuals Lookup'!D:F,3,0),VLOOKUP(Table2[[#This Row],[Manual Cat Value]],Lookup!A:B,2,0))</f>
        <v>Delete</v>
      </c>
      <c r="I12084" s="8"/>
      <c r="O12084" t="str">
        <f>LEFT(Table2[[#This Row],[Description]],75)</f>
        <v>ONLINE PAYMENT - THANK YOU</v>
      </c>
    </row>
    <row r="12085" spans="1:17" hidden="1">
      <c r="A12085" s="25">
        <v>202408</v>
      </c>
      <c r="B12085" s="6">
        <v>45526</v>
      </c>
      <c r="C12085" t="s">
        <v>5160</v>
      </c>
      <c r="D12085" t="s">
        <v>4888</v>
      </c>
      <c r="E12085">
        <v>7.08</v>
      </c>
      <c r="F12085" s="2" t="str">
        <f>IF(Table2[[#This Row],[Manual Cat Value]]="",VLOOKUP(Table2[[#This Row],[Description]],'Actuals Lookup'!D:F,3,0),VLOOKUP(Table2[[#This Row],[Manual Cat Value]],Lookup!A:B,2,0))</f>
        <v>Healthcare</v>
      </c>
      <c r="G12085" t="s">
        <v>26</v>
      </c>
      <c r="H12085" t="s">
        <v>47</v>
      </c>
      <c r="I12085" s="8"/>
      <c r="O12085" t="str">
        <f>LEFT(Table2[[#This Row],[Description]],75)</f>
        <v>Hmshost</v>
      </c>
      <c r="Q12085" t="s">
        <v>2240</v>
      </c>
    </row>
    <row r="12086" spans="1:17" hidden="1">
      <c r="A12086">
        <v>202408</v>
      </c>
      <c r="B12086" s="6">
        <v>45526</v>
      </c>
      <c r="C12086" t="s">
        <v>3938</v>
      </c>
      <c r="D12086" t="s">
        <v>1168</v>
      </c>
      <c r="E12086">
        <v>53.62</v>
      </c>
      <c r="F12086" s="2" t="str">
        <f>IF(Table2[[#This Row],[Manual Cat Value]]="",VLOOKUP(Table2[[#This Row],[Description]],'Actuals Lookup'!D:F,3,0),VLOOKUP(Table2[[#This Row],[Manual Cat Value]],Lookup!A:B,2,0))</f>
        <v>Transportation</v>
      </c>
      <c r="I12086" s="8"/>
      <c r="O12086" t="str">
        <f>LEFT(Table2[[#This Row],[Description]],75)</f>
        <v>Lyft</v>
      </c>
    </row>
    <row r="12087" spans="1:17" hidden="1">
      <c r="A12087">
        <v>202401</v>
      </c>
      <c r="B12087" s="6">
        <v>45299</v>
      </c>
      <c r="C12087" t="s">
        <v>4400</v>
      </c>
      <c r="D12087" t="s">
        <v>1458</v>
      </c>
      <c r="E12087">
        <v>785.5</v>
      </c>
      <c r="F12087" s="2" t="str">
        <f>IF(Table2[[#This Row],[Manual Cat Value]]="",VLOOKUP(Table2[[#This Row],[Description]],'Actuals Lookup'!D:F,3,0),VLOOKUP(Table2[[#This Row],[Manual Cat Value]],Lookup!A:B,2,0))</f>
        <v>Delete</v>
      </c>
      <c r="H12087" s="8" t="s">
        <v>9</v>
      </c>
      <c r="I12087" s="8"/>
      <c r="O12087" t="str">
        <f>LEFT(Table2[[#This Row],[Description]],75)</f>
        <v>Payment to American Express</v>
      </c>
    </row>
    <row r="12088" spans="1:17" hidden="1">
      <c r="A12088" s="25">
        <v>202408</v>
      </c>
      <c r="B12088" s="6">
        <v>45526</v>
      </c>
      <c r="C12088" t="s">
        <v>5160</v>
      </c>
      <c r="D12088" t="s">
        <v>1773</v>
      </c>
      <c r="E12088">
        <v>15</v>
      </c>
      <c r="F12088" s="2" t="str">
        <f>IF(Table2[[#This Row],[Manual Cat Value]]="",VLOOKUP(Table2[[#This Row],[Description]],'Actuals Lookup'!D:F,3,0),VLOOKUP(Table2[[#This Row],[Manual Cat Value]],Lookup!A:B,2,0))</f>
        <v>Restaurants</v>
      </c>
      <c r="G12088" t="s">
        <v>26</v>
      </c>
      <c r="H12088" t="s">
        <v>25</v>
      </c>
      <c r="I12088" s="8"/>
      <c r="O12088" t="str">
        <f>LEFT(Table2[[#This Row],[Description]],75)</f>
        <v>Starbucks</v>
      </c>
      <c r="Q12088" t="s">
        <v>2240</v>
      </c>
    </row>
    <row r="12089" spans="1:17" hidden="1">
      <c r="A12089">
        <v>202408</v>
      </c>
      <c r="B12089" s="6">
        <v>45526</v>
      </c>
      <c r="C12089" t="s">
        <v>3938</v>
      </c>
      <c r="D12089" t="s">
        <v>1773</v>
      </c>
      <c r="E12089">
        <v>8.68</v>
      </c>
      <c r="F12089" s="2" t="str">
        <f>IF(Table2[[#This Row],[Manual Cat Value]]="",VLOOKUP(Table2[[#This Row],[Description]],'Actuals Lookup'!D:F,3,0),VLOOKUP(Table2[[#This Row],[Manual Cat Value]],Lookup!A:B,2,0))</f>
        <v>Restaurants</v>
      </c>
      <c r="I12089" s="8"/>
      <c r="O12089" t="str">
        <f>LEFT(Table2[[#This Row],[Description]],75)</f>
        <v>Starbucks</v>
      </c>
      <c r="Q12089" t="s">
        <v>2240</v>
      </c>
    </row>
    <row r="12090" spans="1:17" hidden="1">
      <c r="A12090" s="25">
        <v>202408</v>
      </c>
      <c r="B12090" s="6">
        <v>45526</v>
      </c>
      <c r="C12090" t="s">
        <v>5160</v>
      </c>
      <c r="D12090" t="s">
        <v>4543</v>
      </c>
      <c r="E12090">
        <v>24.49</v>
      </c>
      <c r="F12090" s="2" t="str">
        <f>IF(Table2[[#This Row],[Manual Cat Value]]="",VLOOKUP(Table2[[#This Row],[Description]],'Actuals Lookup'!D:F,3,0),VLOOKUP(Table2[[#This Row],[Manual Cat Value]],Lookup!A:B,2,0))</f>
        <v>Restaurants</v>
      </c>
      <c r="G12090" t="s">
        <v>43</v>
      </c>
      <c r="H12090" t="s">
        <v>25</v>
      </c>
      <c r="I12090" s="8"/>
      <c r="O12090" t="str">
        <f>LEFT(Table2[[#This Row],[Description]],75)</f>
        <v>Sumup</v>
      </c>
    </row>
    <row r="12091" spans="1:17" hidden="1">
      <c r="A12091" s="25">
        <v>202408</v>
      </c>
      <c r="B12091" s="6">
        <v>45526</v>
      </c>
      <c r="C12091" t="s">
        <v>3932</v>
      </c>
      <c r="D12091" t="s">
        <v>5635</v>
      </c>
      <c r="E12091">
        <v>30.35</v>
      </c>
      <c r="F12091" s="2" t="str">
        <f>IF(Table2[[#This Row],[Manual Cat Value]]="",VLOOKUP(Table2[[#This Row],[Description]],'Actuals Lookup'!D:F,3,0),VLOOKUP(Table2[[#This Row],[Manual Cat Value]],Lookup!A:B,2,0))</f>
        <v>Restaurants</v>
      </c>
      <c r="G12091" t="s">
        <v>26</v>
      </c>
      <c r="H12091" t="s">
        <v>25</v>
      </c>
      <c r="I12091" s="8"/>
      <c r="O12091" t="str">
        <f>LEFT(Table2[[#This Row],[Description]],75)</f>
        <v>Tst* Blvd Minnetonka Mn</v>
      </c>
    </row>
    <row r="12092" spans="1:17" hidden="1">
      <c r="A12092">
        <v>202401</v>
      </c>
      <c r="B12092" s="6">
        <v>45300</v>
      </c>
      <c r="C12092" t="s">
        <v>4406</v>
      </c>
      <c r="D12092" t="s">
        <v>1458</v>
      </c>
      <c r="E12092">
        <v>6010.23</v>
      </c>
      <c r="F12092" s="2" t="str">
        <f>IF(Table2[[#This Row],[Manual Cat Value]]="",VLOOKUP(Table2[[#This Row],[Description]],'Actuals Lookup'!D:F,3,0),VLOOKUP(Table2[[#This Row],[Manual Cat Value]],Lookup!A:B,2,0))</f>
        <v>Delete</v>
      </c>
      <c r="H12092" s="8" t="s">
        <v>9</v>
      </c>
      <c r="I12092" s="8"/>
      <c r="O12092" t="str">
        <f>LEFT(Table2[[#This Row],[Description]],75)</f>
        <v>Payment to American Express</v>
      </c>
    </row>
    <row r="12093" spans="1:17" hidden="1">
      <c r="A12093">
        <v>202408</v>
      </c>
      <c r="B12093" s="6">
        <v>45527</v>
      </c>
      <c r="C12093" t="s">
        <v>3938</v>
      </c>
      <c r="D12093" t="s">
        <v>5636</v>
      </c>
      <c r="E12093">
        <v>3.8</v>
      </c>
      <c r="F12093" s="2" t="str">
        <f>IF(Table2[[#This Row],[Manual Cat Value]]="",VLOOKUP(Table2[[#This Row],[Description]],'Actuals Lookup'!D:F,3,0),VLOOKUP(Table2[[#This Row],[Manual Cat Value]],Lookup!A:B,2,0))</f>
        <v>Restaurants</v>
      </c>
      <c r="H12093" s="8" t="s">
        <v>25</v>
      </c>
      <c r="I12093" s="8"/>
      <c r="O12093" t="str">
        <f>LEFT(Table2[[#This Row],[Description]],75)</f>
        <v>SOMA2 CORK IE REF #XX4361KW00LDVRL6</v>
      </c>
      <c r="Q12093" t="s">
        <v>2240</v>
      </c>
    </row>
    <row r="12094" spans="1:17" hidden="1">
      <c r="A12094">
        <v>202408</v>
      </c>
      <c r="B12094" s="6">
        <v>45527</v>
      </c>
      <c r="C12094" t="s">
        <v>2519</v>
      </c>
      <c r="D12094" t="s">
        <v>1958</v>
      </c>
      <c r="E12094">
        <v>125</v>
      </c>
      <c r="F12094" s="2" t="str">
        <f>IF(Table2[[#This Row],[Manual Cat Value]]="",VLOOKUP(Table2[[#This Row],[Description]],'Actuals Lookup'!D:F,3,0),VLOOKUP(Table2[[#This Row],[Manual Cat Value]],Lookup!A:B,2,0))</f>
        <v>Shopping</v>
      </c>
      <c r="H12094" t="s">
        <v>36</v>
      </c>
      <c r="I12094" s="8"/>
      <c r="O12094" t="str">
        <f>LEFT(Table2[[#This Row],[Description]],75)</f>
        <v>Transfer to Venmo</v>
      </c>
    </row>
    <row r="12095" spans="1:17" hidden="1">
      <c r="A12095" s="25">
        <v>202408</v>
      </c>
      <c r="B12095" s="6">
        <v>45528</v>
      </c>
      <c r="C12095" t="s">
        <v>5160</v>
      </c>
      <c r="D12095" t="s">
        <v>5637</v>
      </c>
      <c r="E12095">
        <v>100.67</v>
      </c>
      <c r="F12095" s="2" t="str">
        <f>IF(Table2[[#This Row],[Manual Cat Value]]="",VLOOKUP(Table2[[#This Row],[Description]],'Actuals Lookup'!D:F,3,0),VLOOKUP(Table2[[#This Row],[Manual Cat Value]],Lookup!A:B,2,0))</f>
        <v>Travel</v>
      </c>
      <c r="G12095" t="s">
        <v>26</v>
      </c>
      <c r="H12095" s="8" t="s">
        <v>52</v>
      </c>
      <c r="I12095" s="8"/>
      <c r="O12095" t="str">
        <f>LEFT(Table2[[#This Row],[Description]],75)</f>
        <v>Doolin Ferry Companykilfenora Co</v>
      </c>
      <c r="Q12095" t="s">
        <v>2240</v>
      </c>
    </row>
    <row r="12096" spans="1:17" hidden="1">
      <c r="A12096" s="25">
        <v>202408</v>
      </c>
      <c r="B12096" s="6">
        <v>45528</v>
      </c>
      <c r="C12096" t="s">
        <v>5160</v>
      </c>
      <c r="D12096" t="s">
        <v>5638</v>
      </c>
      <c r="E12096">
        <v>94.4</v>
      </c>
      <c r="F12096" s="2" t="str">
        <f>IF(Table2[[#This Row],[Manual Cat Value]]="",VLOOKUP(Table2[[#This Row],[Description]],'Actuals Lookup'!D:F,3,0),VLOOKUP(Table2[[#This Row],[Manual Cat Value]],Lookup!A:B,2,0))</f>
        <v>Travel</v>
      </c>
      <c r="G12096" t="s">
        <v>43</v>
      </c>
      <c r="H12096" s="8" t="s">
        <v>52</v>
      </c>
      <c r="I12096" s="8"/>
      <c r="O12096" t="str">
        <f>LEFT(Table2[[#This Row],[Description]],75)</f>
        <v>Fh* Aran Bike Hire Aran Islands Co</v>
      </c>
      <c r="Q12096" t="s">
        <v>2240</v>
      </c>
    </row>
    <row r="12097" spans="1:17" hidden="1">
      <c r="A12097" s="25">
        <v>202408</v>
      </c>
      <c r="B12097" s="6">
        <v>45528</v>
      </c>
      <c r="C12097" t="s">
        <v>5160</v>
      </c>
      <c r="D12097" t="s">
        <v>5512</v>
      </c>
      <c r="E12097">
        <v>4</v>
      </c>
      <c r="F12097" s="2" t="str">
        <f>IF(Table2[[#This Row],[Manual Cat Value]]="",VLOOKUP(Table2[[#This Row],[Description]],'Actuals Lookup'!D:F,3,0),VLOOKUP(Table2[[#This Row],[Manual Cat Value]],Lookup!A:B,2,0))</f>
        <v>Utilities</v>
      </c>
      <c r="G12097" t="s">
        <v>62</v>
      </c>
      <c r="H12097" s="8" t="s">
        <v>6</v>
      </c>
      <c r="I12097" s="8"/>
      <c r="O12097" t="str">
        <f>LEFT(Table2[[#This Row],[Description]],75)</f>
        <v>Google*svcsgns.x349- G.co Helppay#</v>
      </c>
    </row>
    <row r="12098" spans="1:17" hidden="1">
      <c r="A12098">
        <v>202401</v>
      </c>
      <c r="B12098" s="6">
        <v>45317</v>
      </c>
      <c r="C12098" t="s">
        <v>2519</v>
      </c>
      <c r="D12098" t="s">
        <v>1458</v>
      </c>
      <c r="E12098">
        <v>4783.71</v>
      </c>
      <c r="F12098" s="2" t="str">
        <f>IF(Table2[[#This Row],[Manual Cat Value]]="",VLOOKUP(Table2[[#This Row],[Description]],'Actuals Lookup'!D:F,3,0),VLOOKUP(Table2[[#This Row],[Manual Cat Value]],Lookup!A:B,2,0))</f>
        <v>Delete</v>
      </c>
      <c r="H12098" s="8" t="s">
        <v>9</v>
      </c>
      <c r="I12098" s="8"/>
      <c r="O12098" t="str">
        <f>LEFT(Table2[[#This Row],[Description]],75)</f>
        <v>Payment to American Express</v>
      </c>
    </row>
    <row r="12099" spans="1:17" hidden="1">
      <c r="A12099" s="25">
        <v>202408</v>
      </c>
      <c r="B12099" s="6">
        <v>45528</v>
      </c>
      <c r="C12099" t="s">
        <v>5160</v>
      </c>
      <c r="D12099" t="s">
        <v>4543</v>
      </c>
      <c r="E12099">
        <v>13.42</v>
      </c>
      <c r="F12099" s="2" t="str">
        <f>IF(Table2[[#This Row],[Manual Cat Value]]="",VLOOKUP(Table2[[#This Row],[Description]],'Actuals Lookup'!D:F,3,0),VLOOKUP(Table2[[#This Row],[Manual Cat Value]],Lookup!A:B,2,0))</f>
        <v>Restaurants</v>
      </c>
      <c r="G12099" t="s">
        <v>28</v>
      </c>
      <c r="H12099" t="s">
        <v>25</v>
      </c>
      <c r="I12099" s="8"/>
      <c r="O12099" t="str">
        <f>LEFT(Table2[[#This Row],[Description]],75)</f>
        <v>Sumup</v>
      </c>
      <c r="Q12099" t="s">
        <v>2240</v>
      </c>
    </row>
    <row r="12100" spans="1:17" hidden="1">
      <c r="A12100" s="25">
        <v>202408</v>
      </c>
      <c r="B12100" s="6">
        <v>45528</v>
      </c>
      <c r="C12100" t="s">
        <v>5160</v>
      </c>
      <c r="D12100" t="s">
        <v>4543</v>
      </c>
      <c r="E12100">
        <v>11.19</v>
      </c>
      <c r="F12100" s="2" t="str">
        <f>IF(Table2[[#This Row],[Manual Cat Value]]="",VLOOKUP(Table2[[#This Row],[Description]],'Actuals Lookup'!D:F,3,0),VLOOKUP(Table2[[#This Row],[Manual Cat Value]],Lookup!A:B,2,0))</f>
        <v>Restaurants</v>
      </c>
      <c r="G12100" t="s">
        <v>21</v>
      </c>
      <c r="H12100" t="s">
        <v>25</v>
      </c>
      <c r="I12100" s="8"/>
      <c r="O12100" t="str">
        <f>LEFT(Table2[[#This Row],[Description]],75)</f>
        <v>Sumup</v>
      </c>
      <c r="Q12100" t="s">
        <v>2240</v>
      </c>
    </row>
    <row r="12101" spans="1:17" hidden="1">
      <c r="A12101">
        <v>202408</v>
      </c>
      <c r="B12101" s="6">
        <v>45528</v>
      </c>
      <c r="C12101" t="s">
        <v>2519</v>
      </c>
      <c r="D12101" t="s">
        <v>5639</v>
      </c>
      <c r="E12101">
        <v>260.22000000000003</v>
      </c>
      <c r="F12101" s="2" t="str">
        <f>IF(Table2[[#This Row],[Manual Cat Value]]="",VLOOKUP(Table2[[#This Row],[Description]],'Actuals Lookup'!D:F,3,0),VLOOKUP(Table2[[#This Row],[Manual Cat Value]],Lookup!A:B,2,0))</f>
        <v>Travel</v>
      </c>
      <c r="H12101" s="8" t="s">
        <v>52</v>
      </c>
      <c r="I12101" s="8"/>
      <c r="O12101" t="str">
        <f>LEFT(Table2[[#This Row],[Description]],75)</f>
        <v>Withdrawal at ATM #XX0648 Dingle Bay ATM Dingle IE Card 5404</v>
      </c>
      <c r="Q12101" t="s">
        <v>2240</v>
      </c>
    </row>
    <row r="12102" spans="1:17" hidden="1">
      <c r="A12102">
        <v>202402</v>
      </c>
      <c r="B12102" s="6">
        <v>45338</v>
      </c>
      <c r="C12102" t="s">
        <v>2519</v>
      </c>
      <c r="D12102" t="s">
        <v>1458</v>
      </c>
      <c r="E12102">
        <v>3328.87</v>
      </c>
      <c r="F12102" s="2" t="str">
        <f>IF(Table2[[#This Row],[Manual Cat Value]]="",VLOOKUP(Table2[[#This Row],[Description]],'Actuals Lookup'!D:F,3,0),VLOOKUP(Table2[[#This Row],[Manual Cat Value]],Lookup!A:B,2,0))</f>
        <v>Delete</v>
      </c>
      <c r="H12102" s="8" t="s">
        <v>9</v>
      </c>
      <c r="I12102" s="8"/>
      <c r="O12102" t="str">
        <f>LEFT(Table2[[#This Row],[Description]],75)</f>
        <v>Payment to American Express</v>
      </c>
    </row>
    <row r="12103" spans="1:17" hidden="1">
      <c r="A12103" s="25">
        <v>202408</v>
      </c>
      <c r="B12103" s="6">
        <v>45529</v>
      </c>
      <c r="C12103" t="s">
        <v>3932</v>
      </c>
      <c r="D12103" t="s">
        <v>113</v>
      </c>
      <c r="E12103">
        <v>14.08</v>
      </c>
      <c r="F12103" s="2" t="str">
        <f>IF(Table2[[#This Row],[Manual Cat Value]]="",VLOOKUP(Table2[[#This Row],[Description]],'Actuals Lookup'!D:F,3,0),VLOOKUP(Table2[[#This Row],[Manual Cat Value]],Lookup!A:B,2,0))</f>
        <v>Amazon</v>
      </c>
      <c r="G12103" t="s">
        <v>38</v>
      </c>
      <c r="I12103" s="8"/>
      <c r="O12103" t="str">
        <f>LEFT(Table2[[#This Row],[Description]],75)</f>
        <v>Amazon Marketplace</v>
      </c>
    </row>
    <row r="12104" spans="1:17" hidden="1">
      <c r="A12104">
        <v>202408</v>
      </c>
      <c r="B12104" s="6">
        <v>45529</v>
      </c>
      <c r="C12104" t="s">
        <v>3938</v>
      </c>
      <c r="D12104" t="s">
        <v>5640</v>
      </c>
      <c r="E12104">
        <v>114.57</v>
      </c>
      <c r="F12104" s="2" t="str">
        <f>IF(Table2[[#This Row],[Manual Cat Value]]="",VLOOKUP(Table2[[#This Row],[Description]],'Actuals Lookup'!D:F,3,0),VLOOKUP(Table2[[#This Row],[Manual Cat Value]],Lookup!A:B,2,0))</f>
        <v>Restaurants</v>
      </c>
      <c r="H12104" s="8" t="s">
        <v>25</v>
      </c>
      <c r="I12104" s="8"/>
      <c r="O12104" t="str">
        <f>LEFT(Table2[[#This Row],[Description]],75)</f>
        <v>Bakers</v>
      </c>
      <c r="Q12104" t="s">
        <v>2240</v>
      </c>
    </row>
    <row r="12105" spans="1:17" hidden="1">
      <c r="A12105">
        <v>202408</v>
      </c>
      <c r="B12105" s="6">
        <v>45529</v>
      </c>
      <c r="C12105" t="s">
        <v>3938</v>
      </c>
      <c r="D12105" t="s">
        <v>5641</v>
      </c>
      <c r="E12105">
        <v>6.92</v>
      </c>
      <c r="F12105" s="2" t="str">
        <f>IF(Table2[[#This Row],[Manual Cat Value]]="",VLOOKUP(Table2[[#This Row],[Description]],'Actuals Lookup'!D:F,3,0),VLOOKUP(Table2[[#This Row],[Manual Cat Value]],Lookup!A:B,2,0))</f>
        <v>Travel</v>
      </c>
      <c r="H12105" s="8" t="s">
        <v>52</v>
      </c>
      <c r="I12105" s="8"/>
      <c r="O12105" t="str">
        <f>LEFT(Table2[[#This Row],[Description]],75)</f>
        <v>BEEHIVE HUTS VENTRY IE REF #XX6366KXFT49LN6W</v>
      </c>
      <c r="Q12105" t="s">
        <v>2240</v>
      </c>
    </row>
    <row r="12106" spans="1:17" hidden="1">
      <c r="A12106">
        <v>202402</v>
      </c>
      <c r="B12106" s="6">
        <v>45349</v>
      </c>
      <c r="C12106" t="s">
        <v>2519</v>
      </c>
      <c r="D12106" t="s">
        <v>1458</v>
      </c>
      <c r="E12106">
        <v>4140.37</v>
      </c>
      <c r="F12106" s="2" t="str">
        <f>IF(Table2[[#This Row],[Manual Cat Value]]="",VLOOKUP(Table2[[#This Row],[Description]],'Actuals Lookup'!D:F,3,0),VLOOKUP(Table2[[#This Row],[Manual Cat Value]],Lookup!A:B,2,0))</f>
        <v>Delete</v>
      </c>
      <c r="H12106" s="8" t="s">
        <v>9</v>
      </c>
      <c r="I12106" s="8"/>
      <c r="O12106" t="str">
        <f>LEFT(Table2[[#This Row],[Description]],75)</f>
        <v>Payment to American Express</v>
      </c>
    </row>
    <row r="12107" spans="1:17" hidden="1">
      <c r="A12107">
        <v>202403</v>
      </c>
      <c r="B12107" s="6">
        <v>45366</v>
      </c>
      <c r="C12107" t="s">
        <v>2519</v>
      </c>
      <c r="D12107" t="s">
        <v>1458</v>
      </c>
      <c r="E12107">
        <v>5517</v>
      </c>
      <c r="F12107" s="2" t="str">
        <f>IF(Table2[[#This Row],[Manual Cat Value]]="",VLOOKUP(Table2[[#This Row],[Description]],'Actuals Lookup'!D:F,3,0),VLOOKUP(Table2[[#This Row],[Manual Cat Value]],Lookup!A:B,2,0))</f>
        <v>Delete</v>
      </c>
      <c r="I12107" s="8"/>
      <c r="O12107" t="str">
        <f>LEFT(Table2[[#This Row],[Description]],75)</f>
        <v>Payment to American Express</v>
      </c>
    </row>
    <row r="12108" spans="1:17" hidden="1">
      <c r="A12108">
        <v>202403</v>
      </c>
      <c r="B12108" s="6">
        <v>45378</v>
      </c>
      <c r="C12108" t="s">
        <v>2519</v>
      </c>
      <c r="D12108" t="s">
        <v>1458</v>
      </c>
      <c r="E12108">
        <v>2714.98</v>
      </c>
      <c r="F12108" s="2" t="str">
        <f>IF(Table2[[#This Row],[Manual Cat Value]]="",VLOOKUP(Table2[[#This Row],[Description]],'Actuals Lookup'!D:F,3,0),VLOOKUP(Table2[[#This Row],[Manual Cat Value]],Lookup!A:B,2,0))</f>
        <v>Delete</v>
      </c>
      <c r="I12108" s="8"/>
      <c r="O12108" t="str">
        <f>LEFT(Table2[[#This Row],[Description]],75)</f>
        <v>Payment to American Express</v>
      </c>
    </row>
    <row r="12109" spans="1:17" hidden="1">
      <c r="A12109">
        <v>202404</v>
      </c>
      <c r="B12109" s="6">
        <v>45397</v>
      </c>
      <c r="C12109" t="s">
        <v>2519</v>
      </c>
      <c r="D12109" t="s">
        <v>1458</v>
      </c>
      <c r="E12109">
        <v>5188.2</v>
      </c>
      <c r="F12109" s="2" t="str">
        <f>IF(Table2[[#This Row],[Manual Cat Value]]="",VLOOKUP(Table2[[#This Row],[Description]],'Actuals Lookup'!D:F,3,0),VLOOKUP(Table2[[#This Row],[Manual Cat Value]],Lookup!A:B,2,0))</f>
        <v>Delete</v>
      </c>
      <c r="I12109" s="8"/>
      <c r="O12109" t="str">
        <f>LEFT(Table2[[#This Row],[Description]],75)</f>
        <v>Payment to American Express</v>
      </c>
    </row>
    <row r="12110" spans="1:17" hidden="1">
      <c r="A12110">
        <v>202404</v>
      </c>
      <c r="B12110" s="6">
        <v>45411</v>
      </c>
      <c r="C12110" t="s">
        <v>2519</v>
      </c>
      <c r="D12110" t="s">
        <v>1458</v>
      </c>
      <c r="E12110">
        <v>2787.24</v>
      </c>
      <c r="F12110" s="2" t="str">
        <f>IF(Table2[[#This Row],[Manual Cat Value]]="",VLOOKUP(Table2[[#This Row],[Description]],'Actuals Lookup'!D:F,3,0),VLOOKUP(Table2[[#This Row],[Manual Cat Value]],Lookup!A:B,2,0))</f>
        <v>Delete</v>
      </c>
      <c r="I12110" s="8"/>
      <c r="O12110" t="str">
        <f>LEFT(Table2[[#This Row],[Description]],75)</f>
        <v>Payment to American Express</v>
      </c>
    </row>
    <row r="12111" spans="1:17" hidden="1">
      <c r="A12111">
        <v>202405</v>
      </c>
      <c r="B12111" s="6">
        <v>45425</v>
      </c>
      <c r="C12111" t="s">
        <v>2519</v>
      </c>
      <c r="D12111" t="s">
        <v>1458</v>
      </c>
      <c r="E12111">
        <v>4921.7</v>
      </c>
      <c r="F12111" s="2" t="str">
        <f>IF(Table2[[#This Row],[Manual Cat Value]]="",VLOOKUP(Table2[[#This Row],[Description]],'Actuals Lookup'!D:F,3,0),VLOOKUP(Table2[[#This Row],[Manual Cat Value]],Lookup!A:B,2,0))</f>
        <v>Delete</v>
      </c>
      <c r="I12111" s="8"/>
      <c r="O12111" t="str">
        <f>LEFT(Table2[[#This Row],[Description]],75)</f>
        <v>Payment to American Express</v>
      </c>
    </row>
    <row r="12112" spans="1:17" hidden="1">
      <c r="A12112">
        <v>202408</v>
      </c>
      <c r="B12112" s="6">
        <v>45529</v>
      </c>
      <c r="C12112" t="s">
        <v>3938</v>
      </c>
      <c r="D12112" t="s">
        <v>5642</v>
      </c>
      <c r="E12112">
        <v>8.9600000000000009</v>
      </c>
      <c r="F12112" s="2" t="str">
        <f>IF(Table2[[#This Row],[Manual Cat Value]]="",VLOOKUP(Table2[[#This Row],[Description]],'Actuals Lookup'!D:F,3,0),VLOOKUP(Table2[[#This Row],[Manual Cat Value]],Lookup!A:B,2,0))</f>
        <v>Travel</v>
      </c>
      <c r="H12112" s="8" t="s">
        <v>52</v>
      </c>
      <c r="I12112" s="8"/>
      <c r="O12112" t="str">
        <f>LEFT(Table2[[#This Row],[Description]],75)</f>
        <v>DINGLE GOLD &amp; SILVERSMI KERRY IE REF #XX0746KY7WZ6BHLT</v>
      </c>
      <c r="Q12112" t="s">
        <v>2240</v>
      </c>
    </row>
    <row r="12113" spans="1:17" hidden="1">
      <c r="A12113">
        <v>202408</v>
      </c>
      <c r="B12113" s="6">
        <v>45529</v>
      </c>
      <c r="C12113" t="s">
        <v>3938</v>
      </c>
      <c r="D12113" t="s">
        <v>5643</v>
      </c>
      <c r="E12113">
        <v>7.84</v>
      </c>
      <c r="F12113" s="2" t="str">
        <f>IF(Table2[[#This Row],[Manual Cat Value]]="",VLOOKUP(Table2[[#This Row],[Description]],'Actuals Lookup'!D:F,3,0),VLOOKUP(Table2[[#This Row],[Manual Cat Value]],Lookup!A:B,2,0))</f>
        <v>Restaurants</v>
      </c>
      <c r="H12113" s="8" t="s">
        <v>25</v>
      </c>
      <c r="I12113" s="8"/>
      <c r="O12113" t="str">
        <f>LEFT(Table2[[#This Row],[Description]],75)</f>
        <v>DUN BEAG VISITORS CENTRE TRALEE IE REF #XX9769KYSRS97X6L</v>
      </c>
      <c r="Q12113" t="s">
        <v>2240</v>
      </c>
    </row>
    <row r="12114" spans="1:17" hidden="1">
      <c r="A12114">
        <v>202408</v>
      </c>
      <c r="B12114" s="6">
        <v>45529</v>
      </c>
      <c r="C12114" t="s">
        <v>3938</v>
      </c>
      <c r="D12114" t="s">
        <v>5644</v>
      </c>
      <c r="E12114">
        <v>4.26</v>
      </c>
      <c r="F12114" s="2" t="str">
        <f>IF(Table2[[#This Row],[Manual Cat Value]]="",VLOOKUP(Table2[[#This Row],[Description]],'Actuals Lookup'!D:F,3,0),VLOOKUP(Table2[[#This Row],[Manual Cat Value]],Lookup!A:B,2,0))</f>
        <v>Restaurants</v>
      </c>
      <c r="H12114" s="8" t="s">
        <v>25</v>
      </c>
      <c r="I12114" s="8"/>
      <c r="O12114" t="str">
        <f>LEFT(Table2[[#This Row],[Description]],75)</f>
        <v>EALU FOOD BALLYFERRITERIE REF #XX9769KYSRS97WD4</v>
      </c>
      <c r="Q12114" t="s">
        <v>2240</v>
      </c>
    </row>
    <row r="12115" spans="1:17" hidden="1">
      <c r="A12115">
        <v>202408</v>
      </c>
      <c r="B12115" s="6">
        <v>45529</v>
      </c>
      <c r="C12115" t="s">
        <v>3938</v>
      </c>
      <c r="D12115" t="s">
        <v>5645</v>
      </c>
      <c r="E12115">
        <v>32.479999999999997</v>
      </c>
      <c r="F12115" s="2" t="str">
        <f>IF(Table2[[#This Row],[Manual Cat Value]]="",VLOOKUP(Table2[[#This Row],[Description]],'Actuals Lookup'!D:F,3,0),VLOOKUP(Table2[[#This Row],[Manual Cat Value]],Lookup!A:B,2,0))</f>
        <v>Restaurants</v>
      </c>
      <c r="H12115" s="8" t="s">
        <v>25</v>
      </c>
      <c r="I12115" s="8"/>
      <c r="O12115" t="str">
        <f>LEFT(Table2[[#This Row],[Description]],75)</f>
        <v>KRUGERS BAR TRALEE IE REF #XX9769KYSRS6H1AH</v>
      </c>
      <c r="Q12115" t="s">
        <v>2240</v>
      </c>
    </row>
    <row r="12116" spans="1:17" hidden="1">
      <c r="A12116">
        <v>202408</v>
      </c>
      <c r="B12116" s="6">
        <v>45529</v>
      </c>
      <c r="C12116" t="s">
        <v>3938</v>
      </c>
      <c r="D12116" t="s">
        <v>5646</v>
      </c>
      <c r="E12116">
        <v>13.4</v>
      </c>
      <c r="F12116" s="2" t="str">
        <f>IF(Table2[[#This Row],[Manual Cat Value]]="",VLOOKUP(Table2[[#This Row],[Description]],'Actuals Lookup'!D:F,3,0),VLOOKUP(Table2[[#This Row],[Manual Cat Value]],Lookup!A:B,2,0))</f>
        <v>Travel</v>
      </c>
      <c r="H12116" s="8" t="s">
        <v>52</v>
      </c>
      <c r="I12116" s="8"/>
      <c r="O12116" t="str">
        <f>LEFT(Table2[[#This Row],[Description]],75)</f>
        <v>LAPPS QUAY CAR PARK CORK IE REF #XX6366KXGYQ0F8AP</v>
      </c>
      <c r="Q12116" t="s">
        <v>2240</v>
      </c>
    </row>
    <row r="12117" spans="1:17" hidden="1">
      <c r="A12117">
        <v>202408</v>
      </c>
      <c r="B12117" s="6">
        <v>45529</v>
      </c>
      <c r="C12117" t="s">
        <v>3938</v>
      </c>
      <c r="D12117" t="s">
        <v>5647</v>
      </c>
      <c r="E12117">
        <v>31.27</v>
      </c>
      <c r="F12117" s="2" t="str">
        <f>IF(Table2[[#This Row],[Manual Cat Value]]="",VLOOKUP(Table2[[#This Row],[Description]],'Actuals Lookup'!D:F,3,0),VLOOKUP(Table2[[#This Row],[Manual Cat Value]],Lookup!A:B,2,0))</f>
        <v>Restaurants</v>
      </c>
      <c r="H12117" s="8" t="s">
        <v>25</v>
      </c>
      <c r="I12117" s="8"/>
      <c r="O12117" t="str">
        <f>LEFT(Table2[[#This Row],[Description]],75)</f>
        <v>MURPHYS PUB DINGLE IE REF #XX0746KY7WWBRK7X</v>
      </c>
      <c r="Q12117" t="s">
        <v>2240</v>
      </c>
    </row>
    <row r="12118" spans="1:17" hidden="1">
      <c r="A12118">
        <v>202408</v>
      </c>
      <c r="B12118" s="6">
        <v>45529</v>
      </c>
      <c r="C12118" t="s">
        <v>3938</v>
      </c>
      <c r="D12118" t="s">
        <v>5648</v>
      </c>
      <c r="E12118">
        <v>112.01</v>
      </c>
      <c r="F12118" s="2" t="str">
        <f>IF(Table2[[#This Row],[Manual Cat Value]]="",VLOOKUP(Table2[[#This Row],[Description]],'Actuals Lookup'!D:F,3,0),VLOOKUP(Table2[[#This Row],[Manual Cat Value]],Lookup!A:B,2,0))</f>
        <v>Groceries</v>
      </c>
      <c r="H12118" s="8" t="s">
        <v>27</v>
      </c>
      <c r="I12118" s="8"/>
      <c r="O12118" t="str">
        <f>LEFT(Table2[[#This Row],[Description]],75)</f>
        <v>Supervalu</v>
      </c>
      <c r="Q12118" t="s">
        <v>2240</v>
      </c>
    </row>
    <row r="12119" spans="1:17" hidden="1">
      <c r="A12119">
        <v>202408</v>
      </c>
      <c r="B12119" s="6">
        <v>45529</v>
      </c>
      <c r="C12119" t="s">
        <v>3938</v>
      </c>
      <c r="D12119" t="s">
        <v>5649</v>
      </c>
      <c r="E12119">
        <v>91.06</v>
      </c>
      <c r="F12119" s="2" t="str">
        <f>IF(Table2[[#This Row],[Manual Cat Value]]="",VLOOKUP(Table2[[#This Row],[Description]],'Actuals Lookup'!D:F,3,0),VLOOKUP(Table2[[#This Row],[Manual Cat Value]],Lookup!A:B,2,0))</f>
        <v>Restaurants</v>
      </c>
      <c r="H12119" s="8" t="s">
        <v>25</v>
      </c>
      <c r="I12119" s="8"/>
      <c r="O12119" t="str">
        <f>LEFT(Table2[[#This Row],[Description]],75)</f>
        <v>THE FISH BOX 02 DINGLE IE REF #XX0746KY7X18X48S</v>
      </c>
      <c r="Q12119" t="s">
        <v>2240</v>
      </c>
    </row>
    <row r="12120" spans="1:17" hidden="1">
      <c r="A12120">
        <v>202408</v>
      </c>
      <c r="B12120" s="6">
        <v>45530</v>
      </c>
      <c r="C12120" t="s">
        <v>3938</v>
      </c>
      <c r="D12120" t="s">
        <v>5650</v>
      </c>
      <c r="E12120">
        <v>515.25</v>
      </c>
      <c r="F12120" s="2" t="str">
        <f>IF(Table2[[#This Row],[Manual Cat Value]]="",VLOOKUP(Table2[[#This Row],[Description]],'Actuals Lookup'!D:F,3,0),VLOOKUP(Table2[[#This Row],[Manual Cat Value]],Lookup!A:B,2,0))</f>
        <v>Travel</v>
      </c>
      <c r="H12120" s="8" t="s">
        <v>52</v>
      </c>
      <c r="I12120" s="8"/>
      <c r="O12120" t="str">
        <f>LEFT(Table2[[#This Row],[Description]],75)</f>
        <v>Castlewood House Kerry IE REF #XX2753KHP9E45R5B</v>
      </c>
      <c r="Q12120" t="s">
        <v>2240</v>
      </c>
    </row>
    <row r="12121" spans="1:17" hidden="1">
      <c r="A12121">
        <v>202408</v>
      </c>
      <c r="B12121" s="6">
        <v>45530</v>
      </c>
      <c r="C12121" t="s">
        <v>3938</v>
      </c>
      <c r="D12121" t="s">
        <v>5651</v>
      </c>
      <c r="E12121">
        <v>2.58</v>
      </c>
      <c r="F12121" s="2" t="str">
        <f>IF(Table2[[#This Row],[Manual Cat Value]]="",VLOOKUP(Table2[[#This Row],[Description]],'Actuals Lookup'!D:F,3,0),VLOOKUP(Table2[[#This Row],[Manual Cat Value]],Lookup!A:B,2,0))</f>
        <v>Restaurants</v>
      </c>
      <c r="H12121" s="8" t="s">
        <v>25</v>
      </c>
      <c r="I12121" s="8"/>
      <c r="O12121" t="str">
        <f>LEFT(Table2[[#This Row],[Description]],75)</f>
        <v>DIRECT ROUTE (LIMERICK) COONAGH IE REF #XX0746KZ7X2TGF9J</v>
      </c>
      <c r="Q12121" t="s">
        <v>2240</v>
      </c>
    </row>
    <row r="12122" spans="1:17" hidden="1">
      <c r="A12122">
        <v>202408</v>
      </c>
      <c r="B12122" s="6">
        <v>45530</v>
      </c>
      <c r="C12122" t="s">
        <v>3938</v>
      </c>
      <c r="D12122" t="s">
        <v>5652</v>
      </c>
      <c r="E12122">
        <v>74.39</v>
      </c>
      <c r="F12122" s="2" t="str">
        <f>IF(Table2[[#This Row],[Manual Cat Value]]="",VLOOKUP(Table2[[#This Row],[Description]],'Actuals Lookup'!D:F,3,0),VLOOKUP(Table2[[#This Row],[Manual Cat Value]],Lookup!A:B,2,0))</f>
        <v>Restaurants</v>
      </c>
      <c r="H12122" s="8" t="s">
        <v>25</v>
      </c>
      <c r="I12122" s="8"/>
      <c r="O12122" t="str">
        <f>LEFT(Table2[[#This Row],[Description]],75)</f>
        <v>HALPINS SERVICE STATIO NEWMARKET ON IE REF #XX4361KZx3654E1N</v>
      </c>
      <c r="Q12122" t="s">
        <v>2240</v>
      </c>
    </row>
    <row r="12123" spans="1:17" hidden="1">
      <c r="A12123" s="25">
        <v>202408</v>
      </c>
      <c r="B12123" s="6">
        <v>45530</v>
      </c>
      <c r="C12123" t="s">
        <v>5160</v>
      </c>
      <c r="D12123" t="s">
        <v>5653</v>
      </c>
      <c r="E12123">
        <v>746.17</v>
      </c>
      <c r="F12123" s="2" t="str">
        <f>IF(Table2[[#This Row],[Manual Cat Value]]="",VLOOKUP(Table2[[#This Row],[Description]],'Actuals Lookup'!D:F,3,0),VLOOKUP(Table2[[#This Row],[Manual Cat Value]],Lookup!A:B,2,0))</f>
        <v>Travel</v>
      </c>
      <c r="G12123" t="s">
        <v>35</v>
      </c>
      <c r="H12123" s="8" t="s">
        <v>52</v>
      </c>
      <c r="I12123" s="8"/>
      <c r="O12123" t="str">
        <f>LEFT(Table2[[#This Row],[Description]],75)</f>
        <v>Leonardo Htl Galway Galway</v>
      </c>
      <c r="Q12123" t="s">
        <v>2240</v>
      </c>
    </row>
    <row r="12124" spans="1:17" hidden="1">
      <c r="A12124">
        <v>202408</v>
      </c>
      <c r="B12124" s="6">
        <v>45530</v>
      </c>
      <c r="C12124" t="s">
        <v>2519</v>
      </c>
      <c r="D12124" t="s">
        <v>4415</v>
      </c>
      <c r="E12124">
        <v>485.45</v>
      </c>
      <c r="F12124" s="2" t="str">
        <f>IF(Table2[[#This Row],[Manual Cat Value]]="",VLOOKUP(Table2[[#This Row],[Description]],'Actuals Lookup'!D:F,3,0),VLOOKUP(Table2[[#This Row],[Manual Cat Value]],Lookup!A:B,2,0))</f>
        <v>Target</v>
      </c>
      <c r="I12124" s="8"/>
      <c r="O12124" t="str">
        <f>LEFT(Table2[[#This Row],[Description]],75)</f>
        <v>Payment to Jeffrey B</v>
      </c>
    </row>
    <row r="12125" spans="1:17" hidden="1">
      <c r="A12125">
        <v>202408</v>
      </c>
      <c r="B12125" s="6">
        <v>45530</v>
      </c>
      <c r="C12125" t="s">
        <v>3938</v>
      </c>
      <c r="D12125" t="s">
        <v>5654</v>
      </c>
      <c r="E12125">
        <v>13.23</v>
      </c>
      <c r="F12125" s="2" t="str">
        <f>IF(Table2[[#This Row],[Manual Cat Value]]="",VLOOKUP(Table2[[#This Row],[Description]],'Actuals Lookup'!D:F,3,0),VLOOKUP(Table2[[#This Row],[Manual Cat Value]],Lookup!A:B,2,0))</f>
        <v>Restaurants</v>
      </c>
      <c r="H12125" s="8" t="s">
        <v>25</v>
      </c>
      <c r="I12125" s="8"/>
      <c r="O12125" t="str">
        <f>LEFT(Table2[[#This Row],[Description]],75)</f>
        <v>SPAR DINGLE DINGLE IE REF #XX4361KZ01KDVK7D</v>
      </c>
      <c r="Q12125" t="s">
        <v>2240</v>
      </c>
    </row>
    <row r="12126" spans="1:17" hidden="1">
      <c r="A12126">
        <v>202408</v>
      </c>
      <c r="B12126" s="6">
        <v>45530</v>
      </c>
      <c r="C12126" t="s">
        <v>3938</v>
      </c>
      <c r="D12126" t="s">
        <v>5655</v>
      </c>
      <c r="E12126">
        <v>97</v>
      </c>
      <c r="F12126" s="2" t="str">
        <f>IF(Table2[[#This Row],[Manual Cat Value]]="",VLOOKUP(Table2[[#This Row],[Description]],'Actuals Lookup'!D:F,3,0),VLOOKUP(Table2[[#This Row],[Manual Cat Value]],Lookup!A:B,2,0))</f>
        <v>Restaurants</v>
      </c>
      <c r="H12126" s="8" t="s">
        <v>25</v>
      </c>
      <c r="I12126" s="8"/>
      <c r="O12126" t="str">
        <f>LEFT(Table2[[#This Row],[Description]],75)</f>
        <v>TI JOE WATTYS CO GALWAY IE REF #XX4361KZXX6676Z5</v>
      </c>
      <c r="Q12126" t="s">
        <v>2240</v>
      </c>
    </row>
    <row r="12127" spans="1:17" hidden="1">
      <c r="A12127">
        <v>202408</v>
      </c>
      <c r="B12127" s="6">
        <v>45530</v>
      </c>
      <c r="C12127" t="s">
        <v>3938</v>
      </c>
      <c r="D12127" t="s">
        <v>5656</v>
      </c>
      <c r="E12127">
        <v>21.28</v>
      </c>
      <c r="F12127" s="2" t="str">
        <f>IF(Table2[[#This Row],[Manual Cat Value]]="",VLOOKUP(Table2[[#This Row],[Description]],'Actuals Lookup'!D:F,3,0),VLOOKUP(Table2[[#This Row],[Manual Cat Value]],Lookup!A:B,2,0))</f>
        <v>Restaurants</v>
      </c>
      <c r="H12127" s="8" t="s">
        <v>25</v>
      </c>
      <c r="I12127" s="8"/>
      <c r="O12127" t="str">
        <f>LEFT(Table2[[#This Row],[Description]],75)</f>
        <v>TI JOE WATTYS CO GALWAY IE REF #XX4361KZXX6677BH</v>
      </c>
      <c r="Q12127" t="s">
        <v>2240</v>
      </c>
    </row>
    <row r="12128" spans="1:17" hidden="1">
      <c r="A12128">
        <v>202408</v>
      </c>
      <c r="B12128" s="6">
        <v>45530</v>
      </c>
      <c r="C12128" t="s">
        <v>3938</v>
      </c>
      <c r="D12128" t="s">
        <v>5657</v>
      </c>
      <c r="E12128">
        <v>21.28</v>
      </c>
      <c r="F12128" s="2" t="str">
        <f>IF(Table2[[#This Row],[Manual Cat Value]]="",VLOOKUP(Table2[[#This Row],[Description]],'Actuals Lookup'!D:F,3,0),VLOOKUP(Table2[[#This Row],[Manual Cat Value]],Lookup!A:B,2,0))</f>
        <v>Restaurants</v>
      </c>
      <c r="H12128" s="8" t="s">
        <v>25</v>
      </c>
      <c r="I12128" s="8"/>
      <c r="O12128" t="str">
        <f>LEFT(Table2[[#This Row],[Description]],75)</f>
        <v>TI JOE WATTYS CO GALWAY IE REF #XX4361KZXX6677QA</v>
      </c>
      <c r="Q12128" t="s">
        <v>2240</v>
      </c>
    </row>
    <row r="12129" spans="1:17" hidden="1">
      <c r="A12129">
        <v>202408</v>
      </c>
      <c r="B12129" s="6">
        <v>45530</v>
      </c>
      <c r="C12129" t="s">
        <v>3938</v>
      </c>
      <c r="D12129" t="s">
        <v>5658</v>
      </c>
      <c r="E12129">
        <v>16.579999999999998</v>
      </c>
      <c r="F12129" s="2" t="str">
        <f>IF(Table2[[#This Row],[Manual Cat Value]]="",VLOOKUP(Table2[[#This Row],[Description]],'Actuals Lookup'!D:F,3,0),VLOOKUP(Table2[[#This Row],[Manual Cat Value]],Lookup!A:B,2,0))</f>
        <v>Restaurants</v>
      </c>
      <c r="H12129" s="8" t="s">
        <v>25</v>
      </c>
      <c r="I12129" s="8"/>
      <c r="O12129" t="str">
        <f>LEFT(Table2[[#This Row],[Description]],75)</f>
        <v>TIG BHRIC BALLYFERRITERIE REF #XX0746KZ7X0E1VH1</v>
      </c>
      <c r="Q12129" t="s">
        <v>2240</v>
      </c>
    </row>
    <row r="12130" spans="1:17" hidden="1">
      <c r="A12130">
        <v>202405</v>
      </c>
      <c r="B12130" s="6">
        <v>45434</v>
      </c>
      <c r="C12130" t="s">
        <v>2519</v>
      </c>
      <c r="D12130" t="s">
        <v>1458</v>
      </c>
      <c r="E12130">
        <v>1849.37</v>
      </c>
      <c r="F12130" s="2" t="str">
        <f>IF(Table2[[#This Row],[Manual Cat Value]]="",VLOOKUP(Table2[[#This Row],[Description]],'Actuals Lookup'!D:F,3,0),VLOOKUP(Table2[[#This Row],[Manual Cat Value]],Lookup!A:B,2,0))</f>
        <v>Delete</v>
      </c>
      <c r="I12130" s="8"/>
      <c r="O12130" t="str">
        <f>LEFT(Table2[[#This Row],[Description]],75)</f>
        <v>Payment to American Express</v>
      </c>
    </row>
    <row r="12131" spans="1:17" hidden="1">
      <c r="A12131">
        <v>202408</v>
      </c>
      <c r="B12131" s="6">
        <v>45530</v>
      </c>
      <c r="C12131" t="s">
        <v>3938</v>
      </c>
      <c r="D12131" t="s">
        <v>5659</v>
      </c>
      <c r="E12131">
        <v>11.2</v>
      </c>
      <c r="F12131" s="2" t="str">
        <f>IF(Table2[[#This Row],[Manual Cat Value]]="",VLOOKUP(Table2[[#This Row],[Description]],'Actuals Lookup'!D:F,3,0),VLOOKUP(Table2[[#This Row],[Manual Cat Value]],Lookup!A:B,2,0))</f>
        <v>Restaurants</v>
      </c>
      <c r="H12131" s="8" t="s">
        <v>25</v>
      </c>
      <c r="I12131" s="8"/>
      <c r="O12131" t="str">
        <f>LEFT(Table2[[#This Row],[Description]],75)</f>
        <v>UTS TECHNOLOGIES LTD C LAHINCH IE REF #XX4361KZ02FWYV0X</v>
      </c>
      <c r="Q12131" t="s">
        <v>2240</v>
      </c>
    </row>
    <row r="12132" spans="1:17" hidden="1">
      <c r="A12132" s="25">
        <v>202408</v>
      </c>
      <c r="B12132" s="6">
        <v>45531</v>
      </c>
      <c r="C12132" t="s">
        <v>5160</v>
      </c>
      <c r="D12132" t="s">
        <v>5660</v>
      </c>
      <c r="E12132">
        <v>211.3</v>
      </c>
      <c r="F12132" s="2" t="str">
        <f>IF(Table2[[#This Row],[Manual Cat Value]]="",VLOOKUP(Table2[[#This Row],[Description]],'Actuals Lookup'!D:F,3,0),VLOOKUP(Table2[[#This Row],[Manual Cat Value]],Lookup!A:B,2,0))</f>
        <v>Travel</v>
      </c>
      <c r="G12132" t="s">
        <v>41</v>
      </c>
      <c r="H12132" s="8" t="s">
        <v>52</v>
      </c>
      <c r="I12132" s="8"/>
      <c r="O12132" t="str">
        <f>LEFT(Table2[[#This Row],[Description]],75)</f>
        <v>Aplpay Limerick Stralimerick City</v>
      </c>
      <c r="Q12132" t="s">
        <v>2240</v>
      </c>
    </row>
    <row r="12133" spans="1:17" hidden="1">
      <c r="A12133">
        <v>202408</v>
      </c>
      <c r="B12133" s="6">
        <v>45531</v>
      </c>
      <c r="C12133" t="s">
        <v>3938</v>
      </c>
      <c r="D12133" t="s">
        <v>5661</v>
      </c>
      <c r="E12133">
        <v>14.56</v>
      </c>
      <c r="F12133" s="2" t="str">
        <f>IF(Table2[[#This Row],[Manual Cat Value]]="",VLOOKUP(Table2[[#This Row],[Description]],'Actuals Lookup'!D:F,3,0),VLOOKUP(Table2[[#This Row],[Manual Cat Value]],Lookup!A:B,2,0))</f>
        <v>Restaurants</v>
      </c>
      <c r="H12133" s="8" t="s">
        <v>25</v>
      </c>
      <c r="I12133" s="8"/>
      <c r="O12133" t="str">
        <f>LEFT(Table2[[#This Row],[Description]],75)</f>
        <v>ARAN ISLANDS HOTEL GALWAY IE REF #XX0746L07X48F0NY</v>
      </c>
      <c r="Q12133" t="s">
        <v>2240</v>
      </c>
    </row>
    <row r="12134" spans="1:17" hidden="1">
      <c r="A12134">
        <v>202408</v>
      </c>
      <c r="B12134" s="6">
        <v>45531</v>
      </c>
      <c r="C12134" t="s">
        <v>3938</v>
      </c>
      <c r="D12134" t="s">
        <v>5662</v>
      </c>
      <c r="E12134">
        <v>2.8</v>
      </c>
      <c r="F12134" s="2" t="str">
        <f>IF(Table2[[#This Row],[Manual Cat Value]]="",VLOOKUP(Table2[[#This Row],[Description]],'Actuals Lookup'!D:F,3,0),VLOOKUP(Table2[[#This Row],[Manual Cat Value]],Lookup!A:B,2,0))</f>
        <v>Restaurants</v>
      </c>
      <c r="H12134" s="8" t="s">
        <v>25</v>
      </c>
      <c r="I12134" s="8"/>
      <c r="O12134" t="str">
        <f>LEFT(Table2[[#This Row],[Description]],75)</f>
        <v>ARAN ISLANDS HOTEL GALWAY IE REF #XX0746L07X499FBX</v>
      </c>
      <c r="Q12134" t="s">
        <v>2240</v>
      </c>
    </row>
    <row r="12135" spans="1:17" hidden="1">
      <c r="A12135" s="25">
        <v>202408</v>
      </c>
      <c r="B12135" s="6">
        <v>45531</v>
      </c>
      <c r="C12135" t="s">
        <v>5160</v>
      </c>
      <c r="D12135" t="s">
        <v>5663</v>
      </c>
      <c r="E12135">
        <v>28.53</v>
      </c>
      <c r="F12135" s="2" t="str">
        <f>IF(Table2[[#This Row],[Manual Cat Value]]="",VLOOKUP(Table2[[#This Row],[Description]],'Actuals Lookup'!D:F,3,0),VLOOKUP(Table2[[#This Row],[Manual Cat Value]],Lookup!A:B,2,0))</f>
        <v>Travel</v>
      </c>
      <c r="G12135" t="s">
        <v>8</v>
      </c>
      <c r="H12135" s="8" t="s">
        <v>52</v>
      </c>
      <c r="I12135" s="8"/>
      <c r="O12135" t="str">
        <f>LEFT(Table2[[#This Row],[Description]],75)</f>
        <v>Discover Limerick Dalimerick Ie</v>
      </c>
      <c r="Q12135" t="s">
        <v>2240</v>
      </c>
    </row>
    <row r="12136" spans="1:17" hidden="1">
      <c r="A12136">
        <v>202408</v>
      </c>
      <c r="B12136" s="6">
        <v>45531</v>
      </c>
      <c r="C12136" t="s">
        <v>3938</v>
      </c>
      <c r="D12136" t="s">
        <v>4922</v>
      </c>
      <c r="E12136">
        <v>110.77</v>
      </c>
      <c r="F12136" s="2" t="str">
        <f>IF(Table2[[#This Row],[Manual Cat Value]]="",VLOOKUP(Table2[[#This Row],[Description]],'Actuals Lookup'!D:F,3,0),VLOOKUP(Table2[[#This Row],[Manual Cat Value]],Lookup!A:B,2,0))</f>
        <v>Restaurants</v>
      </c>
      <c r="H12136" s="8" t="s">
        <v>25</v>
      </c>
      <c r="I12136" s="8"/>
      <c r="O12136" t="str">
        <f>LEFT(Table2[[#This Row],[Description]],75)</f>
        <v>SumUp</v>
      </c>
      <c r="Q12136" t="s">
        <v>2240</v>
      </c>
    </row>
    <row r="12137" spans="1:17" hidden="1">
      <c r="A12137">
        <v>202408</v>
      </c>
      <c r="B12137" s="6">
        <v>45531</v>
      </c>
      <c r="C12137" t="s">
        <v>3938</v>
      </c>
      <c r="D12137" t="s">
        <v>5664</v>
      </c>
      <c r="E12137">
        <v>43.8</v>
      </c>
      <c r="F12137" s="2" t="str">
        <f>IF(Table2[[#This Row],[Manual Cat Value]]="",VLOOKUP(Table2[[#This Row],[Description]],'Actuals Lookup'!D:F,3,0),VLOOKUP(Table2[[#This Row],[Manual Cat Value]],Lookup!A:B,2,0))</f>
        <v>Restaurants</v>
      </c>
      <c r="H12137" s="8" t="s">
        <v>25</v>
      </c>
      <c r="I12137" s="8"/>
      <c r="O12137" t="str">
        <f>LEFT(Table2[[#This Row],[Description]],75)</f>
        <v>THE BAR INISMORE IE REF #XX0746L07X7PFLA4</v>
      </c>
      <c r="Q12137" t="s">
        <v>2240</v>
      </c>
    </row>
    <row r="12138" spans="1:17" hidden="1">
      <c r="A12138">
        <v>202408</v>
      </c>
      <c r="B12138" s="6">
        <v>45531</v>
      </c>
      <c r="C12138" t="s">
        <v>2519</v>
      </c>
      <c r="D12138" t="s">
        <v>1955</v>
      </c>
      <c r="E12138">
        <v>21.25</v>
      </c>
      <c r="F12138" s="2" t="str">
        <f>IF(Table2[[#This Row],[Manual Cat Value]]="",VLOOKUP(Table2[[#This Row],[Description]],'Actuals Lookup'!D:F,3,0),VLOOKUP(Table2[[#This Row],[Manual Cat Value]],Lookup!A:B,2,0))</f>
        <v>Shopping</v>
      </c>
      <c r="I12138" s="8"/>
      <c r="O12138" t="str">
        <f>LEFT(Table2[[#This Row],[Description]],75)</f>
        <v>Transfer to PayPal</v>
      </c>
    </row>
    <row r="12139" spans="1:17" hidden="1">
      <c r="A12139" s="25">
        <v>202408</v>
      </c>
      <c r="B12139" s="6">
        <v>45532</v>
      </c>
      <c r="C12139" t="s">
        <v>5160</v>
      </c>
      <c r="D12139" t="s">
        <v>5665</v>
      </c>
      <c r="E12139">
        <v>36</v>
      </c>
      <c r="F12139" s="2" t="str">
        <f>IF(Table2[[#This Row],[Manual Cat Value]]="",VLOOKUP(Table2[[#This Row],[Description]],'Actuals Lookup'!D:F,3,0),VLOOKUP(Table2[[#This Row],[Manual Cat Value]],Lookup!A:B,2,0))</f>
        <v>Travel</v>
      </c>
      <c r="G12139" t="s">
        <v>41</v>
      </c>
      <c r="H12139" s="8" t="s">
        <v>52</v>
      </c>
      <c r="I12139" s="8"/>
      <c r="O12139" t="str">
        <f>LEFT(Table2[[#This Row],[Description]],75)</f>
        <v>Aplpay Bunratty Admibunratty Co C</v>
      </c>
      <c r="Q12139" t="s">
        <v>2240</v>
      </c>
    </row>
    <row r="12140" spans="1:17" hidden="1">
      <c r="A12140">
        <v>202408</v>
      </c>
      <c r="B12140" s="6">
        <v>45532</v>
      </c>
      <c r="C12140" t="s">
        <v>3938</v>
      </c>
      <c r="D12140" t="s">
        <v>318</v>
      </c>
      <c r="E12140">
        <v>14.9</v>
      </c>
      <c r="F12140" s="2" t="str">
        <f>IF(Table2[[#This Row],[Manual Cat Value]]="",VLOOKUP(Table2[[#This Row],[Description]],'Actuals Lookup'!D:F,3,0),VLOOKUP(Table2[[#This Row],[Manual Cat Value]],Lookup!A:B,2,0))</f>
        <v>Restaurants</v>
      </c>
      <c r="H12140" s="8" t="s">
        <v>25</v>
      </c>
      <c r="I12140" s="8"/>
      <c r="O12140" t="str">
        <f>LEFT(Table2[[#This Row],[Description]],75)</f>
        <v>Brewery</v>
      </c>
      <c r="Q12140" t="s">
        <v>2240</v>
      </c>
    </row>
    <row r="12141" spans="1:17" hidden="1">
      <c r="A12141">
        <v>202408</v>
      </c>
      <c r="B12141" s="6">
        <v>45532</v>
      </c>
      <c r="C12141" t="s">
        <v>3938</v>
      </c>
      <c r="D12141" t="s">
        <v>5666</v>
      </c>
      <c r="E12141">
        <v>26.89</v>
      </c>
      <c r="F12141" s="2" t="str">
        <f>IF(Table2[[#This Row],[Manual Cat Value]]="",VLOOKUP(Table2[[#This Row],[Description]],'Actuals Lookup'!D:F,3,0),VLOOKUP(Table2[[#This Row],[Manual Cat Value]],Lookup!A:B,2,0))</f>
        <v>Restaurants</v>
      </c>
      <c r="H12141" s="8" t="s">
        <v>25</v>
      </c>
      <c r="I12141" s="8"/>
      <c r="O12141" t="str">
        <f>LEFT(Table2[[#This Row],[Description]],75)</f>
        <v>CLIFFS OF MOHER VISITO LISCANNOR IE REF #XX4361L100LYA7BT</v>
      </c>
      <c r="Q12141" t="s">
        <v>2240</v>
      </c>
    </row>
    <row r="12142" spans="1:17" hidden="1">
      <c r="A12142" s="25">
        <v>202408</v>
      </c>
      <c r="B12142" s="6">
        <v>45532</v>
      </c>
      <c r="C12142" t="s">
        <v>5160</v>
      </c>
      <c r="D12142" t="s">
        <v>5667</v>
      </c>
      <c r="E12142">
        <v>156.52000000000001</v>
      </c>
      <c r="F12142" s="2" t="str">
        <f>IF(Table2[[#This Row],[Manual Cat Value]]="",VLOOKUP(Table2[[#This Row],[Description]],'Actuals Lookup'!D:F,3,0),VLOOKUP(Table2[[#This Row],[Manual Cat Value]],Lookup!A:B,2,0))</f>
        <v>Restaurants</v>
      </c>
      <c r="G12142" t="s">
        <v>26</v>
      </c>
      <c r="H12142" s="8" t="s">
        <v>25</v>
      </c>
      <c r="I12142" s="8"/>
      <c r="O12142" t="str">
        <f>LEFT(Table2[[#This Row],[Description]],75)</f>
        <v>Cois Tra, Rugged Retclifden Ir</v>
      </c>
      <c r="Q12142" t="s">
        <v>2240</v>
      </c>
    </row>
    <row r="12143" spans="1:17" hidden="1">
      <c r="A12143">
        <v>202408</v>
      </c>
      <c r="B12143" s="6">
        <v>45532</v>
      </c>
      <c r="C12143" t="s">
        <v>3938</v>
      </c>
      <c r="D12143" t="s">
        <v>5668</v>
      </c>
      <c r="E12143">
        <v>95.9</v>
      </c>
      <c r="F12143" s="2" t="str">
        <f>IF(Table2[[#This Row],[Manual Cat Value]]="",VLOOKUP(Table2[[#This Row],[Description]],'Actuals Lookup'!D:F,3,0),VLOOKUP(Table2[[#This Row],[Manual Cat Value]],Lookup!A:B,2,0))</f>
        <v>Restaurants</v>
      </c>
      <c r="H12143" s="8" t="s">
        <v>25</v>
      </c>
      <c r="I12143" s="8"/>
      <c r="O12143" t="str">
        <f>LEFT(Table2[[#This Row],[Description]],75)</f>
        <v>Curragower Limerick IE REF #XX4893L13XEXHHH1</v>
      </c>
      <c r="Q12143" t="s">
        <v>2240</v>
      </c>
    </row>
    <row r="12144" spans="1:17" hidden="1">
      <c r="A12144">
        <v>202408</v>
      </c>
      <c r="B12144" s="6">
        <v>45532</v>
      </c>
      <c r="C12144" t="s">
        <v>3938</v>
      </c>
      <c r="D12144" t="s">
        <v>5669</v>
      </c>
      <c r="E12144">
        <v>20.28</v>
      </c>
      <c r="F12144" s="2" t="str">
        <f>IF(Table2[[#This Row],[Manual Cat Value]]="",VLOOKUP(Table2[[#This Row],[Description]],'Actuals Lookup'!D:F,3,0),VLOOKUP(Table2[[#This Row],[Manual Cat Value]],Lookup!A:B,2,0))</f>
        <v>Restaurants</v>
      </c>
      <c r="H12144" s="8" t="s">
        <v>25</v>
      </c>
      <c r="I12144" s="8"/>
      <c r="O12144" t="str">
        <f>LEFT(Table2[[#This Row],[Description]],75)</f>
        <v>Curragower Limerick IE REF #XX4893L13XEXHHLY</v>
      </c>
      <c r="Q12144" t="s">
        <v>2240</v>
      </c>
    </row>
    <row r="12145" spans="1:17" hidden="1">
      <c r="A12145">
        <v>202408</v>
      </c>
      <c r="B12145" s="6">
        <v>45532</v>
      </c>
      <c r="C12145" t="s">
        <v>3938</v>
      </c>
      <c r="D12145" t="s">
        <v>5670</v>
      </c>
      <c r="E12145">
        <v>11.32</v>
      </c>
      <c r="F12145" s="2" t="str">
        <f>IF(Table2[[#This Row],[Manual Cat Value]]="",VLOOKUP(Table2[[#This Row],[Description]],'Actuals Lookup'!D:F,3,0),VLOOKUP(Table2[[#This Row],[Manual Cat Value]],Lookup!A:B,2,0))</f>
        <v>Restaurants</v>
      </c>
      <c r="H12145" s="8" t="s">
        <v>25</v>
      </c>
      <c r="I12145" s="8"/>
      <c r="O12145" t="str">
        <f>LEFT(Table2[[#This Row],[Description]],75)</f>
        <v>DUNNES HARVEYS QUAY HENRY ST IE REF #XX9769L1SRVD0HQ7</v>
      </c>
      <c r="Q12145" t="s">
        <v>2240</v>
      </c>
    </row>
    <row r="12146" spans="1:17" hidden="1">
      <c r="A12146">
        <v>202408</v>
      </c>
      <c r="B12146" s="6">
        <v>45532</v>
      </c>
      <c r="C12146" t="s">
        <v>3938</v>
      </c>
      <c r="D12146" t="s">
        <v>5671</v>
      </c>
      <c r="E12146">
        <v>28.68</v>
      </c>
      <c r="F12146" s="2" t="str">
        <f>IF(Table2[[#This Row],[Manual Cat Value]]="",VLOOKUP(Table2[[#This Row],[Description]],'Actuals Lookup'!D:F,3,0),VLOOKUP(Table2[[#This Row],[Manual Cat Value]],Lookup!A:B,2,0))</f>
        <v>Restaurants</v>
      </c>
      <c r="H12146" s="8" t="s">
        <v>25</v>
      </c>
      <c r="I12146" s="8"/>
      <c r="O12146" t="str">
        <f>LEFT(Table2[[#This Row],[Description]],75)</f>
        <v>KATIE DALYS BAR LIMERICK IE REF #XX6366L0FT54VJFA</v>
      </c>
      <c r="Q12146" t="s">
        <v>2240</v>
      </c>
    </row>
    <row r="12147" spans="1:17" hidden="1">
      <c r="A12147">
        <v>202408</v>
      </c>
      <c r="B12147" s="6">
        <v>45532</v>
      </c>
      <c r="C12147" t="s">
        <v>2519</v>
      </c>
      <c r="D12147" t="s">
        <v>4356</v>
      </c>
      <c r="E12147">
        <v>52.91</v>
      </c>
      <c r="F12147" s="2" t="str">
        <f>IF(Table2[[#This Row],[Manual Cat Value]]="",VLOOKUP(Table2[[#This Row],[Description]],'Actuals Lookup'!D:F,3,0),VLOOKUP(Table2[[#This Row],[Manual Cat Value]],Lookup!A:B,2,0))</f>
        <v>Insurance</v>
      </c>
      <c r="I12147" s="8"/>
      <c r="O12147" t="str">
        <f>LEFT(Table2[[#This Row],[Description]],75)</f>
        <v>Payment to American Family Insurance</v>
      </c>
    </row>
    <row r="12148" spans="1:17" hidden="1">
      <c r="A12148">
        <v>202406</v>
      </c>
      <c r="B12148" s="6">
        <v>45450</v>
      </c>
      <c r="C12148" t="s">
        <v>2519</v>
      </c>
      <c r="D12148" t="s">
        <v>1458</v>
      </c>
      <c r="E12148">
        <v>2143.1</v>
      </c>
      <c r="F12148" s="2" t="str">
        <f>IF(Table2[[#This Row],[Manual Cat Value]]="",VLOOKUP(Table2[[#This Row],[Description]],'Actuals Lookup'!D:F,3,0),VLOOKUP(Table2[[#This Row],[Manual Cat Value]],Lookup!A:B,2,0))</f>
        <v>Delete</v>
      </c>
      <c r="I12148" s="8"/>
      <c r="O12148" t="str">
        <f>LEFT(Table2[[#This Row],[Description]],75)</f>
        <v>Payment to American Express</v>
      </c>
    </row>
    <row r="12149" spans="1:17" hidden="1">
      <c r="A12149">
        <v>202408</v>
      </c>
      <c r="B12149" s="6">
        <v>45532</v>
      </c>
      <c r="C12149" t="s">
        <v>2519</v>
      </c>
      <c r="D12149" t="s">
        <v>1955</v>
      </c>
      <c r="E12149">
        <v>0.99</v>
      </c>
      <c r="F12149" s="2" t="str">
        <f>IF(Table2[[#This Row],[Manual Cat Value]]="",VLOOKUP(Table2[[#This Row],[Description]],'Actuals Lookup'!D:F,3,0),VLOOKUP(Table2[[#This Row],[Manual Cat Value]],Lookup!A:B,2,0))</f>
        <v>Shopping</v>
      </c>
      <c r="I12149" s="8"/>
      <c r="O12149" t="str">
        <f>LEFT(Table2[[#This Row],[Description]],75)</f>
        <v>Transfer to PayPal</v>
      </c>
    </row>
    <row r="12150" spans="1:17" hidden="1">
      <c r="A12150">
        <v>202408</v>
      </c>
      <c r="B12150" s="6">
        <v>45533</v>
      </c>
      <c r="C12150" t="s">
        <v>3938</v>
      </c>
      <c r="D12150" t="s">
        <v>5672</v>
      </c>
      <c r="E12150">
        <v>144.63999999999999</v>
      </c>
      <c r="F12150" s="2" t="str">
        <f>IF(Table2[[#This Row],[Manual Cat Value]]="",VLOOKUP(Table2[[#This Row],[Description]],'Actuals Lookup'!D:F,3,0),VLOOKUP(Table2[[#This Row],[Manual Cat Value]],Lookup!A:B,2,0))</f>
        <v>Restaurants</v>
      </c>
      <c r="H12150" s="8" t="s">
        <v>25</v>
      </c>
      <c r="I12150" s="8"/>
      <c r="O12150" t="str">
        <f>LEFT(Table2[[#This Row],[Description]],75)</f>
        <v>BALLYBUNION GOLF CLUB BALLYBUNNION IE REF #XX4361LXX0713L2</v>
      </c>
      <c r="Q12150" t="s">
        <v>2240</v>
      </c>
    </row>
    <row r="12151" spans="1:17" hidden="1">
      <c r="A12151">
        <v>202408</v>
      </c>
      <c r="B12151" s="6">
        <v>45533</v>
      </c>
      <c r="C12151" t="s">
        <v>3938</v>
      </c>
      <c r="D12151" t="s">
        <v>5673</v>
      </c>
      <c r="E12151">
        <v>22.38</v>
      </c>
      <c r="F12151" s="2" t="str">
        <f>IF(Table2[[#This Row],[Manual Cat Value]]="",VLOOKUP(Table2[[#This Row],[Description]],'Actuals Lookup'!D:F,3,0),VLOOKUP(Table2[[#This Row],[Manual Cat Value]],Lookup!A:B,2,0))</f>
        <v>Restaurants</v>
      </c>
      <c r="H12151" s="8" t="s">
        <v>25</v>
      </c>
      <c r="I12151" s="8"/>
      <c r="O12151" t="str">
        <f>LEFT(Table2[[#This Row],[Description]],75)</f>
        <v>BALLYBUNION GOLF CLUB BALLYBUNNION IE REF #XX4361LXX0713MW</v>
      </c>
      <c r="Q12151" t="s">
        <v>2240</v>
      </c>
    </row>
    <row r="12152" spans="1:17" hidden="1">
      <c r="A12152">
        <v>202408</v>
      </c>
      <c r="B12152" s="6">
        <v>45533</v>
      </c>
      <c r="C12152" t="s">
        <v>3938</v>
      </c>
      <c r="D12152" t="s">
        <v>5674</v>
      </c>
      <c r="E12152">
        <v>190.25</v>
      </c>
      <c r="F12152" s="2" t="str">
        <f>IF(Table2[[#This Row],[Manual Cat Value]]="",VLOOKUP(Table2[[#This Row],[Description]],'Actuals Lookup'!D:F,3,0),VLOOKUP(Table2[[#This Row],[Manual Cat Value]],Lookup!A:B,2,0))</f>
        <v>Entertainment</v>
      </c>
      <c r="H12152" s="8" t="s">
        <v>39</v>
      </c>
      <c r="I12152" s="8"/>
      <c r="O12152" t="str">
        <f>LEFT(Table2[[#This Row],[Description]],75)</f>
        <v>BALLYBUNION GOLF CLUB BALLYBUNNION IE REF #XX4361LXX0713P5</v>
      </c>
      <c r="Q12152" t="s">
        <v>2240</v>
      </c>
    </row>
    <row r="12153" spans="1:17" hidden="1">
      <c r="A12153">
        <v>202408</v>
      </c>
      <c r="B12153" s="6">
        <v>45533</v>
      </c>
      <c r="C12153" t="s">
        <v>2519</v>
      </c>
      <c r="D12153" t="s">
        <v>404</v>
      </c>
      <c r="E12153">
        <v>-3129.12</v>
      </c>
      <c r="F12153" s="2" t="str">
        <f>IF(Table2[[#This Row],[Manual Cat Value]]="",VLOOKUP(Table2[[#This Row],[Description]],'Actuals Lookup'!D:F,3,0),VLOOKUP(Table2[[#This Row],[Manual Cat Value]],Lookup!A:B,2,0))</f>
        <v>Britney</v>
      </c>
      <c r="I12153" s="8"/>
      <c r="O12153" t="str">
        <f>LEFT(Table2[[#This Row],[Description]],75)</f>
        <v>Cargill Inc Deposit</v>
      </c>
    </row>
    <row r="12154" spans="1:17" hidden="1">
      <c r="A12154">
        <v>202408</v>
      </c>
      <c r="B12154" s="6">
        <v>45533</v>
      </c>
      <c r="C12154" t="s">
        <v>3938</v>
      </c>
      <c r="D12154" t="s">
        <v>5675</v>
      </c>
      <c r="E12154">
        <v>20.420000000000002</v>
      </c>
      <c r="F12154" s="2" t="str">
        <f>IF(Table2[[#This Row],[Manual Cat Value]]="",VLOOKUP(Table2[[#This Row],[Description]],'Actuals Lookup'!D:F,3,0),VLOOKUP(Table2[[#This Row],[Manual Cat Value]],Lookup!A:B,2,0))</f>
        <v>Restaurants</v>
      </c>
      <c r="H12154" s="8" t="s">
        <v>25</v>
      </c>
      <c r="I12154" s="8"/>
      <c r="O12154" t="str">
        <f>LEFT(Table2[[#This Row],[Description]],75)</f>
        <v>DG MCCARTHY CATERING L V31RX37 IE REF #XX4361L200LTXH37</v>
      </c>
      <c r="Q12154" t="s">
        <v>2240</v>
      </c>
    </row>
    <row r="12155" spans="1:17" hidden="1">
      <c r="A12155">
        <v>202408</v>
      </c>
      <c r="B12155" s="6">
        <v>45533</v>
      </c>
      <c r="C12155" t="s">
        <v>3938</v>
      </c>
      <c r="D12155" t="s">
        <v>5676</v>
      </c>
      <c r="E12155">
        <v>69.38</v>
      </c>
      <c r="F12155" s="2" t="str">
        <f>IF(Table2[[#This Row],[Manual Cat Value]]="",VLOOKUP(Table2[[#This Row],[Description]],'Actuals Lookup'!D:F,3,0),VLOOKUP(Table2[[#This Row],[Manual Cat Value]],Lookup!A:B,2,0))</f>
        <v>Restaurants</v>
      </c>
      <c r="H12155" s="8" t="s">
        <v>25</v>
      </c>
      <c r="I12155" s="8"/>
      <c r="O12155" t="str">
        <f>LEFT(Table2[[#This Row],[Description]],75)</f>
        <v>DG MCCARTHY CATERING L V31RX37 IE REF #XX4361L200LTXHB6</v>
      </c>
      <c r="Q12155" t="s">
        <v>2240</v>
      </c>
    </row>
    <row r="12156" spans="1:17" hidden="1">
      <c r="A12156">
        <v>202408</v>
      </c>
      <c r="B12156" s="6">
        <v>45533</v>
      </c>
      <c r="C12156" t="s">
        <v>3938</v>
      </c>
      <c r="D12156" t="s">
        <v>5677</v>
      </c>
      <c r="E12156">
        <v>2.57</v>
      </c>
      <c r="F12156" s="2" t="str">
        <f>IF(Table2[[#This Row],[Manual Cat Value]]="",VLOOKUP(Table2[[#This Row],[Description]],'Actuals Lookup'!D:F,3,0),VLOOKUP(Table2[[#This Row],[Manual Cat Value]],Lookup!A:B,2,0))</f>
        <v>Restaurants</v>
      </c>
      <c r="H12156" s="8" t="s">
        <v>25</v>
      </c>
      <c r="I12156" s="8"/>
      <c r="O12156" t="str">
        <f>LEFT(Table2[[#This Row],[Description]],75)</f>
        <v>DIRECT ROUTE (LIMERICK) COONAGH IE REF #XX0746L27XETFN0B</v>
      </c>
      <c r="Q12156" t="s">
        <v>2240</v>
      </c>
    </row>
    <row r="12157" spans="1:17" hidden="1">
      <c r="A12157">
        <v>202408</v>
      </c>
      <c r="B12157" s="6">
        <v>45533</v>
      </c>
      <c r="C12157" t="s">
        <v>3938</v>
      </c>
      <c r="D12157" t="s">
        <v>5678</v>
      </c>
      <c r="E12157">
        <v>2.57</v>
      </c>
      <c r="F12157" s="2" t="str">
        <f>IF(Table2[[#This Row],[Manual Cat Value]]="",VLOOKUP(Table2[[#This Row],[Description]],'Actuals Lookup'!D:F,3,0),VLOOKUP(Table2[[#This Row],[Manual Cat Value]],Lookup!A:B,2,0))</f>
        <v>Restaurants</v>
      </c>
      <c r="H12157" s="8" t="s">
        <v>25</v>
      </c>
      <c r="I12157" s="8"/>
      <c r="O12157" t="str">
        <f>LEFT(Table2[[#This Row],[Description]],75)</f>
        <v>DIRECT ROUTE (LIMERICK) COONAGH IE REF #XX0746L27XJ7ATVA</v>
      </c>
      <c r="Q12157" t="s">
        <v>2240</v>
      </c>
    </row>
    <row r="12158" spans="1:17" hidden="1">
      <c r="A12158">
        <v>202408</v>
      </c>
      <c r="B12158" s="6">
        <v>45533</v>
      </c>
      <c r="C12158" t="s">
        <v>3938</v>
      </c>
      <c r="D12158" t="s">
        <v>5679</v>
      </c>
      <c r="E12158">
        <v>11.19</v>
      </c>
      <c r="F12158" s="2" t="str">
        <f>IF(Table2[[#This Row],[Manual Cat Value]]="",VLOOKUP(Table2[[#This Row],[Description]],'Actuals Lookup'!D:F,3,0),VLOOKUP(Table2[[#This Row],[Manual Cat Value]],Lookup!A:B,2,0))</f>
        <v>Restaurants</v>
      </c>
      <c r="H12158" s="8" t="s">
        <v>25</v>
      </c>
      <c r="I12158" s="8"/>
      <c r="O12158" t="str">
        <f>LEFT(Table2[[#This Row],[Description]],75)</f>
        <v>LIMERICK STRAND HOTEL RECLIMERICK CITYIE REF #XX6366L1G2FDYW3P</v>
      </c>
      <c r="Q12158" t="s">
        <v>2240</v>
      </c>
    </row>
    <row r="12159" spans="1:17" hidden="1">
      <c r="A12159">
        <v>202408</v>
      </c>
      <c r="B12159" s="6">
        <v>45533</v>
      </c>
      <c r="C12159" t="s">
        <v>3938</v>
      </c>
      <c r="D12159" t="s">
        <v>5680</v>
      </c>
      <c r="E12159">
        <v>2.2400000000000002</v>
      </c>
      <c r="F12159" s="2" t="str">
        <f>IF(Table2[[#This Row],[Manual Cat Value]]="",VLOOKUP(Table2[[#This Row],[Description]],'Actuals Lookup'!D:F,3,0),VLOOKUP(Table2[[#This Row],[Manual Cat Value]],Lookup!A:B,2,0))</f>
        <v>Restaurants</v>
      </c>
      <c r="H12159" s="8" t="s">
        <v>25</v>
      </c>
      <c r="I12159" s="8"/>
      <c r="O12159" t="str">
        <f>LEFT(Table2[[#This Row],[Description]],75)</f>
        <v>NYA*Strand Leisure Inv XX0040 IE REF #XX2465L1677P3RLJ</v>
      </c>
      <c r="Q12159" t="s">
        <v>2240</v>
      </c>
    </row>
    <row r="12160" spans="1:17" hidden="1">
      <c r="A12160">
        <v>202408</v>
      </c>
      <c r="B12160" s="6">
        <v>45533</v>
      </c>
      <c r="C12160" t="s">
        <v>3938</v>
      </c>
      <c r="D12160" t="s">
        <v>5681</v>
      </c>
      <c r="E12160">
        <v>3.92</v>
      </c>
      <c r="F12160" s="2" t="str">
        <f>IF(Table2[[#This Row],[Manual Cat Value]]="",VLOOKUP(Table2[[#This Row],[Description]],'Actuals Lookup'!D:F,3,0),VLOOKUP(Table2[[#This Row],[Manual Cat Value]],Lookup!A:B,2,0))</f>
        <v>Restaurants</v>
      </c>
      <c r="H12160" s="8" t="s">
        <v>25</v>
      </c>
      <c r="I12160" s="8"/>
      <c r="O12160" t="str">
        <f>LEFT(Table2[[#This Row],[Description]],75)</f>
        <v>NYA*Strand Leisure Inv XX0040 IE REF #XX2465L1677TDETT</v>
      </c>
      <c r="Q12160" t="s">
        <v>2240</v>
      </c>
    </row>
    <row r="12161" spans="1:17" hidden="1">
      <c r="A12161">
        <v>202408</v>
      </c>
      <c r="B12161" s="6">
        <v>45533</v>
      </c>
      <c r="C12161" t="s">
        <v>2519</v>
      </c>
      <c r="D12161" t="s">
        <v>4343</v>
      </c>
      <c r="E12161">
        <v>-3238.06</v>
      </c>
      <c r="F12161" s="2" t="str">
        <f>IF(Table2[[#This Row],[Manual Cat Value]]="",VLOOKUP(Table2[[#This Row],[Description]],'Actuals Lookup'!D:F,3,0),VLOOKUP(Table2[[#This Row],[Manual Cat Value]],Lookup!A:B,2,0))</f>
        <v>Jeff</v>
      </c>
      <c r="I12161" s="8"/>
      <c r="O12161" t="str">
        <f>LEFT(Table2[[#This Row],[Description]],75)</f>
        <v>Salary/Regular Income from TriNet</v>
      </c>
    </row>
    <row r="12162" spans="1:17" hidden="1">
      <c r="A12162">
        <v>202408</v>
      </c>
      <c r="B12162" s="6">
        <v>45533</v>
      </c>
      <c r="C12162" t="s">
        <v>3938</v>
      </c>
      <c r="D12162" t="s">
        <v>5682</v>
      </c>
      <c r="E12162">
        <v>78.34</v>
      </c>
      <c r="F12162" s="2" t="str">
        <f>IF(Table2[[#This Row],[Manual Cat Value]]="",VLOOKUP(Table2[[#This Row],[Description]],'Actuals Lookup'!D:F,3,0),VLOOKUP(Table2[[#This Row],[Manual Cat Value]],Lookup!A:B,2,0))</f>
        <v>Restaurants</v>
      </c>
      <c r="H12162" s="8" t="s">
        <v>25</v>
      </c>
      <c r="I12162" s="8"/>
      <c r="O12162" t="str">
        <f>LEFT(Table2[[#This Row],[Description]],75)</f>
        <v>TRIPADMIT DUBLIN IE REF #XX0905L2EHM6NQJ3</v>
      </c>
      <c r="Q12162" t="s">
        <v>2240</v>
      </c>
    </row>
    <row r="12163" spans="1:17" hidden="1">
      <c r="A12163">
        <v>202408</v>
      </c>
      <c r="B12163" s="6">
        <v>45533</v>
      </c>
      <c r="C12163" t="s">
        <v>3938</v>
      </c>
      <c r="D12163" t="s">
        <v>5683</v>
      </c>
      <c r="E12163">
        <v>30.44</v>
      </c>
      <c r="F12163" s="2" t="str">
        <f>IF(Table2[[#This Row],[Manual Cat Value]]="",VLOOKUP(Table2[[#This Row],[Description]],'Actuals Lookup'!D:F,3,0),VLOOKUP(Table2[[#This Row],[Manual Cat Value]],Lookup!A:B,2,0))</f>
        <v>Entertainment</v>
      </c>
      <c r="H12163" s="8" t="s">
        <v>39</v>
      </c>
      <c r="I12163" s="8"/>
      <c r="O12163" t="str">
        <f>LEFT(Table2[[#This Row],[Description]],75)</f>
        <v>WWW.KYLEMOREABBEY.COM CONNEMARA IE REF #XX0905L2EHM6PJB9</v>
      </c>
      <c r="Q12163" t="s">
        <v>2240</v>
      </c>
    </row>
    <row r="12164" spans="1:17" hidden="1">
      <c r="A12164">
        <v>202408</v>
      </c>
      <c r="B12164" s="6">
        <v>45534</v>
      </c>
      <c r="C12164" t="s">
        <v>3938</v>
      </c>
      <c r="D12164" t="s">
        <v>5684</v>
      </c>
      <c r="E12164">
        <v>4.4800000000000004</v>
      </c>
      <c r="F12164" s="2" t="str">
        <f>IF(Table2[[#This Row],[Manual Cat Value]]="",VLOOKUP(Table2[[#This Row],[Description]],'Actuals Lookup'!D:F,3,0),VLOOKUP(Table2[[#This Row],[Manual Cat Value]],Lookup!A:B,2,0))</f>
        <v>Restaurants</v>
      </c>
      <c r="H12164" s="8" t="s">
        <v>25</v>
      </c>
      <c r="I12164" s="8"/>
      <c r="O12164" t="str">
        <f>LEFT(Table2[[#This Row],[Description]],75)</f>
        <v>CONNEMARA SANDS HOTEL H71X309 IE REF #XX4361LXX2095RTX</v>
      </c>
      <c r="Q12164" t="s">
        <v>2240</v>
      </c>
    </row>
    <row r="12165" spans="1:17" hidden="1">
      <c r="A12165">
        <v>202408</v>
      </c>
      <c r="B12165" s="6">
        <v>45534</v>
      </c>
      <c r="C12165" t="s">
        <v>3938</v>
      </c>
      <c r="D12165" t="s">
        <v>5685</v>
      </c>
      <c r="E12165">
        <v>2.57</v>
      </c>
      <c r="F12165" s="2" t="str">
        <f>IF(Table2[[#This Row],[Manual Cat Value]]="",VLOOKUP(Table2[[#This Row],[Description]],'Actuals Lookup'!D:F,3,0),VLOOKUP(Table2[[#This Row],[Manual Cat Value]],Lookup!A:B,2,0))</f>
        <v>Restaurants</v>
      </c>
      <c r="H12165" s="8" t="s">
        <v>25</v>
      </c>
      <c r="I12165" s="8"/>
      <c r="O12165" t="str">
        <f>LEFT(Table2[[#This Row],[Description]],75)</f>
        <v>DIRECT ROUTE (LIMERICK) COONAGH IE REF #XX0746L37XFQ28X2</v>
      </c>
      <c r="Q12165" t="s">
        <v>2240</v>
      </c>
    </row>
    <row r="12166" spans="1:17" hidden="1">
      <c r="A12166" s="25">
        <v>202408</v>
      </c>
      <c r="B12166" s="6">
        <v>45534</v>
      </c>
      <c r="C12166" t="s">
        <v>5160</v>
      </c>
      <c r="D12166" t="s">
        <v>5686</v>
      </c>
      <c r="E12166">
        <v>90.65</v>
      </c>
      <c r="F12166" s="2" t="str">
        <f>IF(Table2[[#This Row],[Manual Cat Value]]="",VLOOKUP(Table2[[#This Row],[Description]],'Actuals Lookup'!D:F,3,0),VLOOKUP(Table2[[#This Row],[Manual Cat Value]],Lookup!A:B,2,0))</f>
        <v>Groceries</v>
      </c>
      <c r="G12166" t="s">
        <v>28</v>
      </c>
      <c r="H12166" s="8" t="s">
        <v>27</v>
      </c>
      <c r="I12166" s="8"/>
      <c r="O12166" t="str">
        <f>LEFT(Table2[[#This Row],[Description]],75)</f>
        <v>Home Chef</v>
      </c>
    </row>
    <row r="12167" spans="1:17" hidden="1">
      <c r="A12167">
        <v>202408</v>
      </c>
      <c r="B12167" s="6">
        <v>45534</v>
      </c>
      <c r="C12167" t="s">
        <v>3938</v>
      </c>
      <c r="D12167" t="s">
        <v>5687</v>
      </c>
      <c r="E12167">
        <v>36.47</v>
      </c>
      <c r="F12167" s="2" t="str">
        <f>IF(Table2[[#This Row],[Manual Cat Value]]="",VLOOKUP(Table2[[#This Row],[Description]],'Actuals Lookup'!D:F,3,0),VLOOKUP(Table2[[#This Row],[Manual Cat Value]],Lookup!A:B,2,0))</f>
        <v>Restaurants</v>
      </c>
      <c r="H12167" s="8" t="s">
        <v>25</v>
      </c>
      <c r="I12167" s="8"/>
      <c r="O12167" t="str">
        <f>LEFT(Table2[[#This Row],[Description]],75)</f>
        <v>Veldons Seafarer Bar &amp; Letterfrack IE REF #XX0746L37XM3H9M7</v>
      </c>
      <c r="Q12167" t="s">
        <v>2240</v>
      </c>
    </row>
    <row r="12168" spans="1:17" hidden="1">
      <c r="A12168">
        <v>202408</v>
      </c>
      <c r="B12168" s="6">
        <v>45535</v>
      </c>
      <c r="C12168" t="s">
        <v>3938</v>
      </c>
      <c r="D12168" t="s">
        <v>5688</v>
      </c>
      <c r="E12168">
        <v>58.72</v>
      </c>
      <c r="F12168" s="2" t="str">
        <f>IF(Table2[[#This Row],[Manual Cat Value]]="",VLOOKUP(Table2[[#This Row],[Description]],'Actuals Lookup'!D:F,3,0),VLOOKUP(Table2[[#This Row],[Manual Cat Value]],Lookup!A:B,2,0))</f>
        <v>Restaurants</v>
      </c>
      <c r="H12168" s="8" t="s">
        <v>25</v>
      </c>
      <c r="I12168" s="8"/>
      <c r="O12168" t="str">
        <f>LEFT(Table2[[#This Row],[Description]],75)</f>
        <v>BRASS FOX WICKLOW WICKLOW TOWN IE REF #XX4361L4026ZVXMJ</v>
      </c>
      <c r="Q12168" t="s">
        <v>2240</v>
      </c>
    </row>
    <row r="12169" spans="1:17" hidden="1">
      <c r="A12169">
        <v>202408</v>
      </c>
      <c r="B12169" s="6">
        <v>45535</v>
      </c>
      <c r="C12169" t="s">
        <v>3938</v>
      </c>
      <c r="D12169" t="s">
        <v>5689</v>
      </c>
      <c r="E12169">
        <v>26.63</v>
      </c>
      <c r="F12169" s="2" t="str">
        <f>IF(Table2[[#This Row],[Manual Cat Value]]="",VLOOKUP(Table2[[#This Row],[Description]],'Actuals Lookup'!D:F,3,0),VLOOKUP(Table2[[#This Row],[Manual Cat Value]],Lookup!A:B,2,0))</f>
        <v>Restaurants</v>
      </c>
      <c r="H12169" s="8" t="s">
        <v>25</v>
      </c>
      <c r="I12169" s="8"/>
      <c r="O12169" t="str">
        <f>LEFT(Table2[[#This Row],[Description]],75)</f>
        <v>BRASS FOX WICKLOW WICKLOW TOWN IE REF #XX4361L4026ZVXQ9</v>
      </c>
      <c r="Q12169" t="s">
        <v>2240</v>
      </c>
    </row>
    <row r="12170" spans="1:17" hidden="1">
      <c r="A12170">
        <v>202408</v>
      </c>
      <c r="B12170" s="6">
        <v>45535</v>
      </c>
      <c r="C12170" t="s">
        <v>2519</v>
      </c>
      <c r="D12170" t="s">
        <v>2896</v>
      </c>
      <c r="E12170">
        <v>-10</v>
      </c>
      <c r="F12170" s="2" t="str">
        <f>IF(Table2[[#This Row],[Manual Cat Value]]="",VLOOKUP(Table2[[#This Row],[Description]],'Actuals Lookup'!D:F,3,0),VLOOKUP(Table2[[#This Row],[Manual Cat Value]],Lookup!A:B,2,0))</f>
        <v>Inc - Other</v>
      </c>
      <c r="I12170" s="8"/>
      <c r="O12170" t="str">
        <f>LEFT(Table2[[#This Row],[Description]],75)</f>
        <v>Deposit ATM FEE REFUND</v>
      </c>
    </row>
    <row r="12171" spans="1:17" hidden="1">
      <c r="A12171">
        <v>202408</v>
      </c>
      <c r="B12171" s="6">
        <v>45535</v>
      </c>
      <c r="C12171" t="s">
        <v>2519</v>
      </c>
      <c r="D12171" t="s">
        <v>5690</v>
      </c>
      <c r="E12171">
        <v>-50.23</v>
      </c>
      <c r="F12171" s="2" t="str">
        <f>IF(Table2[[#This Row],[Manual Cat Value]]="",VLOOKUP(Table2[[#This Row],[Description]],'Actuals Lookup'!D:F,3,0),VLOOKUP(Table2[[#This Row],[Manual Cat Value]],Lookup!A:B,2,0))</f>
        <v>Inc - Other</v>
      </c>
      <c r="H12171" s="8" t="s">
        <v>16</v>
      </c>
      <c r="I12171" s="8"/>
      <c r="O12171" t="str">
        <f>LEFT(Table2[[#This Row],[Description]],75)</f>
        <v>Deposit Dividend Split Rate Annual Percentage Yield Earned 1.63% from 08/01</v>
      </c>
    </row>
    <row r="12172" spans="1:17" hidden="1">
      <c r="A12172">
        <v>202408</v>
      </c>
      <c r="B12172" s="6">
        <v>45535</v>
      </c>
      <c r="C12172" t="s">
        <v>3938</v>
      </c>
      <c r="D12172" t="s">
        <v>5691</v>
      </c>
      <c r="E12172">
        <v>90.96</v>
      </c>
      <c r="F12172" s="2" t="str">
        <f>IF(Table2[[#This Row],[Manual Cat Value]]="",VLOOKUP(Table2[[#This Row],[Description]],'Actuals Lookup'!D:F,3,0),VLOOKUP(Table2[[#This Row],[Manual Cat Value]],Lookup!A:B,2,0))</f>
        <v>Restaurants</v>
      </c>
      <c r="H12172" s="8" t="s">
        <v>25</v>
      </c>
      <c r="I12172" s="8"/>
      <c r="O12172" t="str">
        <f>LEFT(Table2[[#This Row],[Description]],75)</f>
        <v>Duffy's Tavern And Motor Inn</v>
      </c>
      <c r="Q12172" t="s">
        <v>2240</v>
      </c>
    </row>
    <row r="12173" spans="1:17" hidden="1">
      <c r="A12173">
        <v>202408</v>
      </c>
      <c r="B12173" s="6">
        <v>45535</v>
      </c>
      <c r="C12173" t="s">
        <v>3938</v>
      </c>
      <c r="D12173" t="s">
        <v>5692</v>
      </c>
      <c r="E12173">
        <v>3.8</v>
      </c>
      <c r="F12173" s="2" t="str">
        <f>IF(Table2[[#This Row],[Manual Cat Value]]="",VLOOKUP(Table2[[#This Row],[Description]],'Actuals Lookup'!D:F,3,0),VLOOKUP(Table2[[#This Row],[Manual Cat Value]],Lookup!A:B,2,0))</f>
        <v>Restaurants</v>
      </c>
      <c r="H12173" s="8" t="s">
        <v>25</v>
      </c>
      <c r="I12173" s="8"/>
      <c r="O12173" t="str">
        <f>LEFT(Table2[[#This Row],[Description]],75)</f>
        <v>G.B.C. RESTAURANT LTD CO GALWAY . IE REF #XX6366L3J3MVZZMD</v>
      </c>
      <c r="Q12173" t="s">
        <v>2240</v>
      </c>
    </row>
    <row r="12174" spans="1:17" hidden="1">
      <c r="A12174">
        <v>202408</v>
      </c>
      <c r="B12174" s="6">
        <v>45535</v>
      </c>
      <c r="C12174" t="s">
        <v>3938</v>
      </c>
      <c r="D12174" t="s">
        <v>5693</v>
      </c>
      <c r="E12174">
        <v>27.84</v>
      </c>
      <c r="F12174" s="2" t="str">
        <f>IF(Table2[[#This Row],[Manual Cat Value]]="",VLOOKUP(Table2[[#This Row],[Description]],'Actuals Lookup'!D:F,3,0),VLOOKUP(Table2[[#This Row],[Manual Cat Value]],Lookup!A:B,2,0))</f>
        <v>Shopping</v>
      </c>
      <c r="H12174" s="8" t="s">
        <v>36</v>
      </c>
      <c r="I12174" s="8"/>
      <c r="O12174" t="str">
        <f>LEFT(Table2[[#This Row],[Description]],75)</f>
        <v>Mountain Warehouse GWY Galway IE REF #XX8750L3022DKRWF</v>
      </c>
    </row>
    <row r="12175" spans="1:17" hidden="1">
      <c r="A12175">
        <v>202408</v>
      </c>
      <c r="B12175" s="6">
        <v>45535</v>
      </c>
      <c r="C12175" t="s">
        <v>3938</v>
      </c>
      <c r="D12175" t="s">
        <v>5694</v>
      </c>
      <c r="E12175">
        <v>15.82</v>
      </c>
      <c r="F12175" s="2" t="str">
        <f>IF(Table2[[#This Row],[Manual Cat Value]]="",VLOOKUP(Table2[[#This Row],[Description]],'Actuals Lookup'!D:F,3,0),VLOOKUP(Table2[[#This Row],[Manual Cat Value]],Lookup!A:B,2,0))</f>
        <v>Restaurants</v>
      </c>
      <c r="H12175" s="8" t="s">
        <v>25</v>
      </c>
      <c r="I12175" s="8"/>
      <c r="O12175" t="str">
        <f>LEFT(Table2[[#This Row],[Description]],75)</f>
        <v>O SHEAS CORNER WICKLOW TOWN IE REF #XX4361L4026Z8413</v>
      </c>
      <c r="Q12175" t="s">
        <v>2240</v>
      </c>
    </row>
    <row r="12176" spans="1:17" hidden="1">
      <c r="A12176">
        <v>202408</v>
      </c>
      <c r="B12176" s="6">
        <v>45535</v>
      </c>
      <c r="C12176" t="s">
        <v>3938</v>
      </c>
      <c r="D12176" t="s">
        <v>5695</v>
      </c>
      <c r="E12176">
        <v>10.14</v>
      </c>
      <c r="F12176" s="2" t="str">
        <f>IF(Table2[[#This Row],[Manual Cat Value]]="",VLOOKUP(Table2[[#This Row],[Description]],'Actuals Lookup'!D:F,3,0),VLOOKUP(Table2[[#This Row],[Manual Cat Value]],Lookup!A:B,2,0))</f>
        <v>Restaurants</v>
      </c>
      <c r="H12176" s="8" t="s">
        <v>25</v>
      </c>
      <c r="I12176" s="8"/>
      <c r="O12176" t="str">
        <f>LEFT(Table2[[#This Row],[Description]],75)</f>
        <v>O SHEAS CORNER WICKLOW TOWN IE REF #XX4361L4026Z84F3</v>
      </c>
      <c r="Q12176" t="s">
        <v>2240</v>
      </c>
    </row>
    <row r="12177" spans="1:17" hidden="1">
      <c r="A12177">
        <v>202408</v>
      </c>
      <c r="B12177" s="6">
        <v>45535</v>
      </c>
      <c r="C12177" t="s">
        <v>3938</v>
      </c>
      <c r="D12177" t="s">
        <v>5696</v>
      </c>
      <c r="E12177">
        <v>12.26</v>
      </c>
      <c r="F12177" s="2" t="str">
        <f>IF(Table2[[#This Row],[Manual Cat Value]]="",VLOOKUP(Table2[[#This Row],[Description]],'Actuals Lookup'!D:F,3,0),VLOOKUP(Table2[[#This Row],[Manual Cat Value]],Lookup!A:B,2,0))</f>
        <v>Restaurants</v>
      </c>
      <c r="H12177" s="8" t="s">
        <v>25</v>
      </c>
      <c r="I12177" s="8"/>
      <c r="O12177" t="str">
        <f>LEFT(Table2[[#This Row],[Description]],75)</f>
        <v>O SHEAS CORNER WICKLOW TOWN IE REF #XX4361L4026Z84YR</v>
      </c>
      <c r="Q12177" t="s">
        <v>2240</v>
      </c>
    </row>
    <row r="12178" spans="1:17" hidden="1">
      <c r="A12178">
        <v>202408</v>
      </c>
      <c r="B12178" s="6">
        <v>45535</v>
      </c>
      <c r="C12178" t="s">
        <v>3938</v>
      </c>
      <c r="D12178" t="s">
        <v>5697</v>
      </c>
      <c r="E12178">
        <v>178.27</v>
      </c>
      <c r="F12178" s="2" t="str">
        <f>IF(Table2[[#This Row],[Manual Cat Value]]="",VLOOKUP(Table2[[#This Row],[Description]],'Actuals Lookup'!D:F,3,0),VLOOKUP(Table2[[#This Row],[Manual Cat Value]],Lookup!A:B,2,0))</f>
        <v>Shopping</v>
      </c>
      <c r="H12178" s="8" t="s">
        <v>36</v>
      </c>
      <c r="I12178" s="8"/>
      <c r="O12178" t="str">
        <f>LEFT(Table2[[#This Row],[Description]],75)</f>
        <v>River Deep Mountain High GALWAY IE REF #XX4893L43XFV9TT2</v>
      </c>
    </row>
    <row r="12179" spans="1:17" hidden="1">
      <c r="A12179">
        <v>202408</v>
      </c>
      <c r="B12179" s="6">
        <v>45535</v>
      </c>
      <c r="C12179" t="s">
        <v>3938</v>
      </c>
      <c r="D12179" t="s">
        <v>5698</v>
      </c>
      <c r="E12179">
        <v>26.85</v>
      </c>
      <c r="F12179" s="2" t="str">
        <f>IF(Table2[[#This Row],[Manual Cat Value]]="",VLOOKUP(Table2[[#This Row],[Description]],'Actuals Lookup'!D:F,3,0),VLOOKUP(Table2[[#This Row],[Manual Cat Value]],Lookup!A:B,2,0))</f>
        <v>Restaurants</v>
      </c>
      <c r="H12179" s="8" t="s">
        <v>25</v>
      </c>
      <c r="I12179" s="8"/>
      <c r="O12179" t="str">
        <f>LEFT(Table2[[#This Row],[Description]],75)</f>
        <v>SPANISH ARCH CARPARK H91V6RR IE REF #XX4361L400A91TDR</v>
      </c>
      <c r="Q12179" t="s">
        <v>2240</v>
      </c>
    </row>
    <row r="12180" spans="1:17" hidden="1">
      <c r="A12180">
        <v>202408</v>
      </c>
      <c r="B12180" s="6">
        <v>45535</v>
      </c>
      <c r="C12180" t="s">
        <v>3938</v>
      </c>
      <c r="D12180" t="s">
        <v>5699</v>
      </c>
      <c r="E12180">
        <v>5.34</v>
      </c>
      <c r="F12180" s="2" t="str">
        <f>IF(Table2[[#This Row],[Manual Cat Value]]="",VLOOKUP(Table2[[#This Row],[Description]],'Actuals Lookup'!D:F,3,0),VLOOKUP(Table2[[#This Row],[Manual Cat Value]],Lookup!A:B,2,0))</f>
        <v>Restaurants</v>
      </c>
      <c r="H12180" s="8" t="s">
        <v>25</v>
      </c>
      <c r="I12180" s="8"/>
      <c r="O12180" t="str">
        <f>LEFT(Table2[[#This Row],[Description]],75)</f>
        <v>SPAR MAINGUARD STREET GALWAY IE REF #XX4361LXX2499S9B</v>
      </c>
      <c r="Q12180" t="s">
        <v>2240</v>
      </c>
    </row>
    <row r="12181" spans="1:17" hidden="1">
      <c r="A12181">
        <v>202408</v>
      </c>
      <c r="B12181" s="6">
        <v>45535</v>
      </c>
      <c r="C12181" t="s">
        <v>3938</v>
      </c>
      <c r="D12181" t="s">
        <v>4922</v>
      </c>
      <c r="E12181">
        <v>111.42</v>
      </c>
      <c r="F12181" s="2" t="str">
        <f>IF(Table2[[#This Row],[Manual Cat Value]]="",VLOOKUP(Table2[[#This Row],[Description]],'Actuals Lookup'!D:F,3,0),VLOOKUP(Table2[[#This Row],[Manual Cat Value]],Lookup!A:B,2,0))</f>
        <v>Restaurants</v>
      </c>
      <c r="H12181" s="8" t="s">
        <v>25</v>
      </c>
      <c r="I12181" s="8"/>
      <c r="O12181" t="str">
        <f>LEFT(Table2[[#This Row],[Description]],75)</f>
        <v>SumUp</v>
      </c>
      <c r="Q12181" t="s">
        <v>2240</v>
      </c>
    </row>
    <row r="12182" spans="1:17" hidden="1">
      <c r="A12182">
        <v>202408</v>
      </c>
      <c r="B12182" s="6">
        <v>45535</v>
      </c>
      <c r="C12182" t="s">
        <v>3938</v>
      </c>
      <c r="D12182" t="s">
        <v>4922</v>
      </c>
      <c r="E12182">
        <v>4.57</v>
      </c>
      <c r="F12182" s="2" t="str">
        <f>IF(Table2[[#This Row],[Manual Cat Value]]="",VLOOKUP(Table2[[#This Row],[Description]],'Actuals Lookup'!D:F,3,0),VLOOKUP(Table2[[#This Row],[Manual Cat Value]],Lookup!A:B,2,0))</f>
        <v>Restaurants</v>
      </c>
      <c r="H12182" s="8" t="s">
        <v>25</v>
      </c>
      <c r="I12182" s="8"/>
      <c r="O12182" t="str">
        <f>LEFT(Table2[[#This Row],[Description]],75)</f>
        <v>SumUp</v>
      </c>
      <c r="Q12182" t="s">
        <v>2240</v>
      </c>
    </row>
    <row r="12183" spans="1:17" hidden="1">
      <c r="A12183">
        <v>202408</v>
      </c>
      <c r="B12183" s="6">
        <v>45535</v>
      </c>
      <c r="C12183" t="s">
        <v>3938</v>
      </c>
      <c r="D12183" t="s">
        <v>5700</v>
      </c>
      <c r="E12183">
        <v>19.670000000000002</v>
      </c>
      <c r="F12183" s="2" t="str">
        <f>IF(Table2[[#This Row],[Manual Cat Value]]="",VLOOKUP(Table2[[#This Row],[Description]],'Actuals Lookup'!D:F,3,0),VLOOKUP(Table2[[#This Row],[Manual Cat Value]],Lookup!A:B,2,0))</f>
        <v>Restaurants</v>
      </c>
      <c r="H12183" s="8" t="s">
        <v>25</v>
      </c>
      <c r="I12183" s="8"/>
      <c r="O12183" t="str">
        <f>LEFT(Table2[[#This Row],[Description]],75)</f>
        <v>The Bridge Tavern</v>
      </c>
      <c r="Q12183" t="s">
        <v>2240</v>
      </c>
    </row>
    <row r="12184" spans="1:17" hidden="1">
      <c r="A12184">
        <v>202408</v>
      </c>
      <c r="B12184" s="6">
        <v>45535</v>
      </c>
      <c r="C12184" t="s">
        <v>3938</v>
      </c>
      <c r="D12184" t="s">
        <v>5701</v>
      </c>
      <c r="E12184">
        <v>62.48</v>
      </c>
      <c r="F12184" s="2" t="str">
        <f>IF(Table2[[#This Row],[Manual Cat Value]]="",VLOOKUP(Table2[[#This Row],[Description]],'Actuals Lookup'!D:F,3,0),VLOOKUP(Table2[[#This Row],[Manual Cat Value]],Lookup!A:B,2,0))</f>
        <v>Restaurants</v>
      </c>
      <c r="H12184" s="8" t="s">
        <v>25</v>
      </c>
      <c r="I12184" s="8"/>
      <c r="O12184" t="str">
        <f>LEFT(Table2[[#This Row],[Description]],75)</f>
        <v>THE FRONT DOOR GALWAY IE REF #XX4361L4005JGKJY</v>
      </c>
      <c r="Q12184" t="s">
        <v>2240</v>
      </c>
    </row>
    <row r="12185" spans="1:17" hidden="1">
      <c r="A12185">
        <v>202408</v>
      </c>
      <c r="B12185" s="6">
        <v>45535</v>
      </c>
      <c r="C12185" t="s">
        <v>3938</v>
      </c>
      <c r="D12185" t="s">
        <v>5702</v>
      </c>
      <c r="E12185">
        <v>26.85</v>
      </c>
      <c r="F12185" s="2" t="str">
        <f>IF(Table2[[#This Row],[Manual Cat Value]]="",VLOOKUP(Table2[[#This Row],[Description]],'Actuals Lookup'!D:F,3,0),VLOOKUP(Table2[[#This Row],[Manual Cat Value]],Lookup!A:B,2,0))</f>
        <v>Restaurants</v>
      </c>
      <c r="H12185" s="8" t="s">
        <v>25</v>
      </c>
      <c r="I12185" s="8"/>
      <c r="O12185" t="str">
        <f>LEFT(Table2[[#This Row],[Description]],75)</f>
        <v>THE FRONT DOOR GALWAY IE REF #XX4361L4005JKASR</v>
      </c>
      <c r="Q12185" t="s">
        <v>2240</v>
      </c>
    </row>
    <row r="12186" spans="1:17" hidden="1">
      <c r="A12186">
        <v>202408</v>
      </c>
      <c r="B12186" s="6">
        <v>45535</v>
      </c>
      <c r="C12186" t="s">
        <v>3938</v>
      </c>
      <c r="D12186" t="s">
        <v>5703</v>
      </c>
      <c r="E12186">
        <v>2.79</v>
      </c>
      <c r="F12186" s="2" t="str">
        <f>IF(Table2[[#This Row],[Manual Cat Value]]="",VLOOKUP(Table2[[#This Row],[Description]],'Actuals Lookup'!D:F,3,0),VLOOKUP(Table2[[#This Row],[Manual Cat Value]],Lookup!A:B,2,0))</f>
        <v>Restaurants</v>
      </c>
      <c r="H12186" s="8" t="s">
        <v>25</v>
      </c>
      <c r="I12186" s="8"/>
      <c r="O12186" t="str">
        <f>LEFT(Table2[[#This Row],[Description]],75)</f>
        <v>WICKLOW TALLAGHT IE REF #XX6366L3HH23ERMV</v>
      </c>
      <c r="Q12186" t="s">
        <v>2240</v>
      </c>
    </row>
    <row r="12187" spans="1:17" hidden="1">
      <c r="A12187">
        <v>202409</v>
      </c>
      <c r="B12187" s="6">
        <v>45537</v>
      </c>
      <c r="C12187" t="s">
        <v>3938</v>
      </c>
      <c r="D12187" t="s">
        <v>3994</v>
      </c>
      <c r="E12187">
        <v>6.49</v>
      </c>
      <c r="F12187" s="2" t="str">
        <f>IF(Table2[[#This Row],[Manual Cat Value]]="",VLOOKUP(Table2[[#This Row],[Description]],'Actuals Lookup'!D:F,3,0),VLOOKUP(Table2[[#This Row],[Manual Cat Value]],Lookup!A:B,2,0))</f>
        <v>Amazon</v>
      </c>
      <c r="H12187" s="8" t="s">
        <v>37</v>
      </c>
      <c r="I12187" s="8"/>
      <c r="O12187" t="str">
        <f>LEFT(Table2[[#This Row],[Description]],75)</f>
        <v>Amazon Digital Services</v>
      </c>
    </row>
    <row r="12188" spans="1:17" hidden="1">
      <c r="A12188">
        <v>202409</v>
      </c>
      <c r="B12188" s="6">
        <v>45537</v>
      </c>
      <c r="C12188" t="s">
        <v>3938</v>
      </c>
      <c r="D12188" t="s">
        <v>5704</v>
      </c>
      <c r="E12188">
        <v>21.42</v>
      </c>
      <c r="F12188" s="2" t="str">
        <f>IF(Table2[[#This Row],[Manual Cat Value]]="",VLOOKUP(Table2[[#This Row],[Description]],'Actuals Lookup'!D:F,3,0),VLOOKUP(Table2[[#This Row],[Manual Cat Value]],Lookup!A:B,2,0))</f>
        <v>Restaurants</v>
      </c>
      <c r="H12188" s="8" t="s">
        <v>25</v>
      </c>
      <c r="I12188" s="8"/>
      <c r="O12188" t="str">
        <f>LEFT(Table2[[#This Row],[Description]],75)</f>
        <v>Apache Wicklow Town Wicklow IE REF #XX4743L3006RYS3G</v>
      </c>
      <c r="Q12188" t="s">
        <v>2240</v>
      </c>
    </row>
    <row r="12189" spans="1:17" hidden="1">
      <c r="A12189">
        <v>202409</v>
      </c>
      <c r="B12189" s="6">
        <v>45537</v>
      </c>
      <c r="C12189" t="s">
        <v>130</v>
      </c>
      <c r="D12189" t="s">
        <v>5705</v>
      </c>
      <c r="E12189">
        <v>114.52</v>
      </c>
      <c r="F12189" s="2" t="str">
        <f>IF(Table2[[#This Row],[Manual Cat Value]]="",VLOOKUP(Table2[[#This Row],[Description]],'Actuals Lookup'!D:F,3,0),VLOOKUP(Table2[[#This Row],[Manual Cat Value]],Lookup!A:B,2,0))</f>
        <v>Travel</v>
      </c>
      <c r="H12189" s="8" t="s">
        <v>52</v>
      </c>
      <c r="I12189" s="8"/>
      <c r="O12189" t="str">
        <f>LEFT(Table2[[#This Row],[Description]],75)</f>
        <v>AplPay DUBLIN AIRPORDUBLIN              IR</v>
      </c>
    </row>
    <row r="12190" spans="1:17" hidden="1">
      <c r="A12190">
        <v>202409</v>
      </c>
      <c r="B12190" s="6">
        <v>45537</v>
      </c>
      <c r="C12190" t="s">
        <v>130</v>
      </c>
      <c r="D12190" t="s">
        <v>5706</v>
      </c>
      <c r="E12190">
        <v>19.420000000000002</v>
      </c>
      <c r="F12190" s="2" t="str">
        <f>IF(Table2[[#This Row],[Manual Cat Value]]="",VLOOKUP(Table2[[#This Row],[Description]],'Actuals Lookup'!D:F,3,0),VLOOKUP(Table2[[#This Row],[Manual Cat Value]],Lookup!A:B,2,0))</f>
        <v>Shopping</v>
      </c>
      <c r="H12190" s="8" t="s">
        <v>36</v>
      </c>
      <c r="I12190" s="8"/>
      <c r="O12190" t="str">
        <f>LEFT(Table2[[#This Row],[Description]],75)</f>
        <v>AplPay SERVY TECHNOLDUBLIN 1            IR</v>
      </c>
    </row>
    <row r="12191" spans="1:17" hidden="1">
      <c r="A12191">
        <v>202409</v>
      </c>
      <c r="B12191" s="6">
        <v>45537</v>
      </c>
      <c r="C12191" t="s">
        <v>3938</v>
      </c>
      <c r="D12191" t="s">
        <v>5707</v>
      </c>
      <c r="E12191">
        <v>3.33</v>
      </c>
      <c r="F12191" s="2" t="str">
        <f>IF(Table2[[#This Row],[Manual Cat Value]]="",VLOOKUP(Table2[[#This Row],[Description]],'Actuals Lookup'!D:F,3,0),VLOOKUP(Table2[[#This Row],[Manual Cat Value]],Lookup!A:B,2,0))</f>
        <v>Restaurants</v>
      </c>
      <c r="H12191" s="8" t="s">
        <v>25</v>
      </c>
      <c r="I12191" s="8"/>
      <c r="O12191" t="str">
        <f>LEFT(Table2[[#This Row],[Description]],75)</f>
        <v>BELMONT DEMESNE DELGANY IE REF #XX6366L5EX8TA37N</v>
      </c>
      <c r="Q12191" t="s">
        <v>2240</v>
      </c>
    </row>
    <row r="12192" spans="1:17" hidden="1">
      <c r="A12192">
        <v>202409</v>
      </c>
      <c r="B12192" s="6">
        <v>45537</v>
      </c>
      <c r="C12192" t="s">
        <v>3938</v>
      </c>
      <c r="D12192" t="s">
        <v>5708</v>
      </c>
      <c r="E12192">
        <v>97.38</v>
      </c>
      <c r="F12192" s="2" t="str">
        <f>IF(Table2[[#This Row],[Manual Cat Value]]="",VLOOKUP(Table2[[#This Row],[Description]],'Actuals Lookup'!D:F,3,0),VLOOKUP(Table2[[#This Row],[Manual Cat Value]],Lookup!A:B,2,0))</f>
        <v>Restaurants</v>
      </c>
      <c r="H12192" s="8" t="s">
        <v>25</v>
      </c>
      <c r="I12192" s="8"/>
      <c r="O12192" t="str">
        <f>LEFT(Table2[[#This Row],[Description]],75)</f>
        <v>BLUE SEAFOOD RESTAURAN WICKLOW TOWN IE REF #XX4361L601TFWLR2</v>
      </c>
      <c r="Q12192" t="s">
        <v>2240</v>
      </c>
    </row>
    <row r="12193" spans="1:17" hidden="1">
      <c r="A12193">
        <v>202409</v>
      </c>
      <c r="B12193" s="6">
        <v>45537</v>
      </c>
      <c r="C12193" t="s">
        <v>3938</v>
      </c>
      <c r="D12193" t="s">
        <v>553</v>
      </c>
      <c r="E12193">
        <v>43.26</v>
      </c>
      <c r="F12193" s="2" t="str">
        <f>IF(Table2[[#This Row],[Manual Cat Value]]="",VLOOKUP(Table2[[#This Row],[Description]],'Actuals Lookup'!D:F,3,0),VLOOKUP(Table2[[#This Row],[Manual Cat Value]],Lookup!A:B,2,0))</f>
        <v>Transportation</v>
      </c>
      <c r="I12193" s="8"/>
      <c r="O12193" t="str">
        <f>LEFT(Table2[[#This Row],[Description]],75)</f>
        <v>Circle K</v>
      </c>
    </row>
    <row r="12194" spans="1:17" hidden="1">
      <c r="A12194">
        <v>202409</v>
      </c>
      <c r="B12194" s="6">
        <v>45537</v>
      </c>
      <c r="C12194" t="s">
        <v>3938</v>
      </c>
      <c r="D12194" t="s">
        <v>5709</v>
      </c>
      <c r="E12194">
        <v>35.51</v>
      </c>
      <c r="F12194" s="2" t="str">
        <f>IF(Table2[[#This Row],[Manual Cat Value]]="",VLOOKUP(Table2[[#This Row],[Description]],'Actuals Lookup'!D:F,3,0),VLOOKUP(Table2[[#This Row],[Manual Cat Value]],Lookup!A:B,2,0))</f>
        <v>Restaurants</v>
      </c>
      <c r="H12194" s="8" t="s">
        <v>25</v>
      </c>
      <c r="I12194" s="8"/>
      <c r="O12194" t="str">
        <f>LEFT(Table2[[#This Row],[Description]],75)</f>
        <v>COILLTECUIDEACHTAGUIOM RATHDRUM IE REF #XX4361L601LJBF32</v>
      </c>
      <c r="Q12194" t="s">
        <v>2240</v>
      </c>
    </row>
    <row r="12195" spans="1:17" hidden="1">
      <c r="A12195">
        <v>202409</v>
      </c>
      <c r="B12195" s="6">
        <v>45537</v>
      </c>
      <c r="C12195" t="s">
        <v>3938</v>
      </c>
      <c r="D12195" t="s">
        <v>5710</v>
      </c>
      <c r="E12195">
        <v>4.4400000000000004</v>
      </c>
      <c r="F12195" s="2" t="str">
        <f>IF(Table2[[#This Row],[Manual Cat Value]]="",VLOOKUP(Table2[[#This Row],[Description]],'Actuals Lookup'!D:F,3,0),VLOOKUP(Table2[[#This Row],[Manual Cat Value]],Lookup!A:B,2,0))</f>
        <v>Entertainment</v>
      </c>
      <c r="H12195" s="8" t="s">
        <v>39</v>
      </c>
      <c r="I12195" s="8"/>
      <c r="O12195" t="str">
        <f>LEFT(Table2[[#This Row],[Description]],75)</f>
        <v>EAK Ireland Treetop WalksLouth IE REF #XX4893L53XG5HMBL</v>
      </c>
      <c r="Q12195" t="s">
        <v>2240</v>
      </c>
    </row>
    <row r="12196" spans="1:17" hidden="1">
      <c r="A12196">
        <v>202409</v>
      </c>
      <c r="B12196" s="6">
        <v>45537</v>
      </c>
      <c r="C12196" t="s">
        <v>5711</v>
      </c>
      <c r="D12196" t="s">
        <v>5712</v>
      </c>
      <c r="E12196">
        <v>1121.1300000000001</v>
      </c>
      <c r="F12196" s="2" t="str">
        <f>IF(Table2[[#This Row],[Manual Cat Value]]="",VLOOKUP(Table2[[#This Row],[Description]],'Actuals Lookup'!D:F,3,0),VLOOKUP(Table2[[#This Row],[Manual Cat Value]],Lookup!A:B,2,0))</f>
        <v>Travel</v>
      </c>
      <c r="H12196" s="8" t="s">
        <v>52</v>
      </c>
      <c r="I12196" s="8"/>
      <c r="O12196" t="str">
        <f>LEFT(Table2[[#This Row],[Description]],75)</f>
        <v>HERTZ RAC.          WEXFORD             IR</v>
      </c>
      <c r="Q12196" t="s">
        <v>2240</v>
      </c>
    </row>
    <row r="12197" spans="1:17" hidden="1">
      <c r="A12197">
        <v>202409</v>
      </c>
      <c r="B12197" s="6">
        <v>45537</v>
      </c>
      <c r="C12197" t="s">
        <v>3938</v>
      </c>
      <c r="D12197" t="s">
        <v>5713</v>
      </c>
      <c r="E12197">
        <v>5.55</v>
      </c>
      <c r="F12197" s="2" t="str">
        <f>IF(Table2[[#This Row],[Manual Cat Value]]="",VLOOKUP(Table2[[#This Row],[Description]],'Actuals Lookup'!D:F,3,0),VLOOKUP(Table2[[#This Row],[Manual Cat Value]],Lookup!A:B,2,0))</f>
        <v>Restaurants</v>
      </c>
      <c r="H12197" s="8" t="s">
        <v>25</v>
      </c>
      <c r="I12197" s="8"/>
      <c r="O12197" t="str">
        <f>LEFT(Table2[[#This Row],[Description]],75)</f>
        <v>NYA*Coillte CGA XX8873 IE REF #XX2465Lx3939QV6J</v>
      </c>
      <c r="Q12197" t="s">
        <v>2240</v>
      </c>
    </row>
    <row r="12198" spans="1:17" hidden="1">
      <c r="A12198">
        <v>202409</v>
      </c>
      <c r="B12198" s="6">
        <v>45537</v>
      </c>
      <c r="C12198" t="s">
        <v>3938</v>
      </c>
      <c r="D12198" t="s">
        <v>5714</v>
      </c>
      <c r="E12198">
        <v>39.83</v>
      </c>
      <c r="F12198" s="2" t="str">
        <f>IF(Table2[[#This Row],[Manual Cat Value]]="",VLOOKUP(Table2[[#This Row],[Description]],'Actuals Lookup'!D:F,3,0),VLOOKUP(Table2[[#This Row],[Manual Cat Value]],Lookup!A:B,2,0))</f>
        <v>Restaurants</v>
      </c>
      <c r="H12198" s="8" t="s">
        <v>25</v>
      </c>
      <c r="I12198" s="8"/>
      <c r="O12198" t="str">
        <f>LEFT(Table2[[#This Row],[Description]],75)</f>
        <v>Roots Restaurant</v>
      </c>
      <c r="Q12198" t="s">
        <v>2240</v>
      </c>
    </row>
    <row r="12199" spans="1:17" hidden="1">
      <c r="A12199">
        <v>202409</v>
      </c>
      <c r="B12199" s="6">
        <v>45537</v>
      </c>
      <c r="C12199" t="s">
        <v>3938</v>
      </c>
      <c r="D12199" t="s">
        <v>4922</v>
      </c>
      <c r="E12199">
        <v>13.32</v>
      </c>
      <c r="F12199" s="2" t="str">
        <f>IF(Table2[[#This Row],[Manual Cat Value]]="",VLOOKUP(Table2[[#This Row],[Description]],'Actuals Lookup'!D:F,3,0),VLOOKUP(Table2[[#This Row],[Manual Cat Value]],Lookup!A:B,2,0))</f>
        <v>Restaurants</v>
      </c>
      <c r="H12199" s="8" t="s">
        <v>25</v>
      </c>
      <c r="I12199" s="8"/>
      <c r="O12199" t="str">
        <f>LEFT(Table2[[#This Row],[Description]],75)</f>
        <v>SumUp</v>
      </c>
      <c r="Q12199" t="s">
        <v>2240</v>
      </c>
    </row>
    <row r="12200" spans="1:17" hidden="1">
      <c r="A12200">
        <v>202409</v>
      </c>
      <c r="B12200" s="6">
        <v>45537</v>
      </c>
      <c r="C12200" t="s">
        <v>3938</v>
      </c>
      <c r="D12200" t="s">
        <v>4922</v>
      </c>
      <c r="E12200">
        <v>13.32</v>
      </c>
      <c r="F12200" s="2" t="str">
        <f>IF(Table2[[#This Row],[Manual Cat Value]]="",VLOOKUP(Table2[[#This Row],[Description]],'Actuals Lookup'!D:F,3,0),VLOOKUP(Table2[[#This Row],[Manual Cat Value]],Lookup!A:B,2,0))</f>
        <v>Restaurants</v>
      </c>
      <c r="H12200" s="8" t="s">
        <v>25</v>
      </c>
      <c r="I12200" s="8"/>
      <c r="O12200" t="str">
        <f>LEFT(Table2[[#This Row],[Description]],75)</f>
        <v>SumUp</v>
      </c>
    </row>
    <row r="12201" spans="1:17" hidden="1">
      <c r="A12201">
        <v>202409</v>
      </c>
      <c r="B12201" s="6">
        <v>45537</v>
      </c>
      <c r="C12201" t="s">
        <v>3938</v>
      </c>
      <c r="D12201" t="s">
        <v>5715</v>
      </c>
      <c r="E12201">
        <v>12.76</v>
      </c>
      <c r="F12201" s="2" t="str">
        <f>IF(Table2[[#This Row],[Manual Cat Value]]="",VLOOKUP(Table2[[#This Row],[Description]],'Actuals Lookup'!D:F,3,0),VLOOKUP(Table2[[#This Row],[Manual Cat Value]],Lookup!A:B,2,0))</f>
        <v>Restaurants</v>
      </c>
      <c r="H12201" s="8" t="s">
        <v>25</v>
      </c>
      <c r="I12201" s="8"/>
      <c r="O12201" t="str">
        <f>LEFT(Table2[[#This Row],[Description]],75)</f>
        <v>TA SES PUB WICKLOW TOWN IE REF #XX4361L601PNB740</v>
      </c>
      <c r="Q12201" t="s">
        <v>2240</v>
      </c>
    </row>
    <row r="12202" spans="1:17" hidden="1">
      <c r="A12202">
        <v>202406</v>
      </c>
      <c r="B12202" s="6">
        <v>45471</v>
      </c>
      <c r="C12202" t="s">
        <v>2519</v>
      </c>
      <c r="D12202" t="s">
        <v>1458</v>
      </c>
      <c r="E12202">
        <v>8733.2999999999993</v>
      </c>
      <c r="F12202" s="2" t="str">
        <f>IF(Table2[[#This Row],[Manual Cat Value]]="",VLOOKUP(Table2[[#This Row],[Description]],'Actuals Lookup'!D:F,3,0),VLOOKUP(Table2[[#This Row],[Manual Cat Value]],Lookup!A:B,2,0))</f>
        <v>Delete</v>
      </c>
      <c r="I12202" s="8"/>
      <c r="O12202" t="str">
        <f>LEFT(Table2[[#This Row],[Description]],75)</f>
        <v>Payment to American Express</v>
      </c>
    </row>
    <row r="12203" spans="1:17" hidden="1">
      <c r="A12203">
        <v>202409</v>
      </c>
      <c r="B12203" s="6">
        <v>45537</v>
      </c>
      <c r="C12203" t="s">
        <v>3938</v>
      </c>
      <c r="D12203" t="s">
        <v>5716</v>
      </c>
      <c r="E12203">
        <v>7.55</v>
      </c>
      <c r="F12203" s="2" t="str">
        <f>IF(Table2[[#This Row],[Manual Cat Value]]="",VLOOKUP(Table2[[#This Row],[Description]],'Actuals Lookup'!D:F,3,0),VLOOKUP(Table2[[#This Row],[Manual Cat Value]],Lookup!A:B,2,0))</f>
        <v>Restaurants</v>
      </c>
      <c r="H12203" s="8" t="s">
        <v>25</v>
      </c>
      <c r="I12203" s="8"/>
      <c r="O12203" t="str">
        <f>LEFT(Table2[[#This Row],[Description]],75)</f>
        <v>THE MILL STORE RATHDRU A67AX94 IE REF #XX4361L601K278TF</v>
      </c>
      <c r="Q12203" t="s">
        <v>2240</v>
      </c>
    </row>
    <row r="12204" spans="1:17" hidden="1">
      <c r="A12204">
        <v>202409</v>
      </c>
      <c r="B12204" s="6">
        <v>45537</v>
      </c>
      <c r="C12204" t="s">
        <v>3938</v>
      </c>
      <c r="D12204" t="s">
        <v>5717</v>
      </c>
      <c r="E12204">
        <v>9.98</v>
      </c>
      <c r="F12204" s="2" t="str">
        <f>IF(Table2[[#This Row],[Manual Cat Value]]="",VLOOKUP(Table2[[#This Row],[Description]],'Actuals Lookup'!D:F,3,0),VLOOKUP(Table2[[#This Row],[Manual Cat Value]],Lookup!A:B,2,0))</f>
        <v>Shopping</v>
      </c>
      <c r="H12204" s="8" t="s">
        <v>36</v>
      </c>
      <c r="I12204" s="8"/>
      <c r="O12204" t="str">
        <f>LEFT(Table2[[#This Row],[Description]],75)</f>
        <v>THE TEMPLE BAR TRADING CODUBLIN IE REF #XX6366L5EX8PSRZB</v>
      </c>
      <c r="Q12204" t="s">
        <v>2240</v>
      </c>
    </row>
    <row r="12205" spans="1:17" hidden="1">
      <c r="A12205">
        <v>202409</v>
      </c>
      <c r="B12205" s="6">
        <v>45537</v>
      </c>
      <c r="C12205" t="s">
        <v>3938</v>
      </c>
      <c r="D12205" t="s">
        <v>5718</v>
      </c>
      <c r="E12205">
        <v>67.67</v>
      </c>
      <c r="F12205" s="2" t="str">
        <f>IF(Table2[[#This Row],[Manual Cat Value]]="",VLOOKUP(Table2[[#This Row],[Description]],'Actuals Lookup'!D:F,3,0),VLOOKUP(Table2[[#This Row],[Manual Cat Value]],Lookup!A:B,2,0))</f>
        <v>Shopping</v>
      </c>
      <c r="H12205" s="8" t="s">
        <v>36</v>
      </c>
      <c r="I12205" s="8"/>
      <c r="O12205" t="str">
        <f>LEFT(Table2[[#This Row],[Description]],75)</f>
        <v>THE TEMPLE BAR TRADING CODUBLIN IE REF #XX6366L5EX8PST4P</v>
      </c>
      <c r="Q12205" t="s">
        <v>2240</v>
      </c>
    </row>
    <row r="12206" spans="1:17" hidden="1">
      <c r="A12206">
        <v>202409</v>
      </c>
      <c r="B12206" s="6">
        <v>45537</v>
      </c>
      <c r="C12206" t="s">
        <v>3938</v>
      </c>
      <c r="D12206" t="s">
        <v>5719</v>
      </c>
      <c r="E12206">
        <v>17.09</v>
      </c>
      <c r="F12206" s="2" t="str">
        <f>IF(Table2[[#This Row],[Manual Cat Value]]="",VLOOKUP(Table2[[#This Row],[Description]],'Actuals Lookup'!D:F,3,0),VLOOKUP(Table2[[#This Row],[Manual Cat Value]],Lookup!A:B,2,0))</f>
        <v>Restaurants</v>
      </c>
      <c r="H12206" s="8" t="s">
        <v>25</v>
      </c>
      <c r="I12206" s="8"/>
      <c r="O12206" t="str">
        <f>LEFT(Table2[[#This Row],[Description]],75)</f>
        <v>TST-JW Sweetman New Dublin IE REF #XX8750L502GEMRNM</v>
      </c>
      <c r="Q12206" t="s">
        <v>2240</v>
      </c>
    </row>
    <row r="12207" spans="1:17" hidden="1">
      <c r="A12207">
        <v>202409</v>
      </c>
      <c r="B12207" s="6">
        <v>45537</v>
      </c>
      <c r="C12207" t="s">
        <v>3938</v>
      </c>
      <c r="D12207" t="s">
        <v>2078</v>
      </c>
      <c r="E12207">
        <v>46.16</v>
      </c>
      <c r="F12207" s="2" t="str">
        <f>IF(Table2[[#This Row],[Manual Cat Value]]="",VLOOKUP(Table2[[#This Row],[Description]],'Actuals Lookup'!D:F,3,0),VLOOKUP(Table2[[#This Row],[Manual Cat Value]],Lookup!A:B,2,0))</f>
        <v>Transportation</v>
      </c>
      <c r="H12207" s="8" t="s">
        <v>22</v>
      </c>
      <c r="I12207" s="8"/>
      <c r="O12207" t="str">
        <f>LEFT(Table2[[#This Row],[Description]],75)</f>
        <v>Uber</v>
      </c>
    </row>
    <row r="12208" spans="1:17" hidden="1">
      <c r="A12208">
        <v>202409</v>
      </c>
      <c r="B12208" s="6">
        <v>45537</v>
      </c>
      <c r="C12208" t="s">
        <v>3938</v>
      </c>
      <c r="D12208" t="s">
        <v>5720</v>
      </c>
      <c r="E12208">
        <v>58.47</v>
      </c>
      <c r="F12208" s="2" t="str">
        <f>IF(Table2[[#This Row],[Manual Cat Value]]="",VLOOKUP(Table2[[#This Row],[Description]],'Actuals Lookup'!D:F,3,0),VLOOKUP(Table2[[#This Row],[Manual Cat Value]],Lookup!A:B,2,0))</f>
        <v>Restaurants</v>
      </c>
      <c r="H12208" s="8" t="s">
        <v>25</v>
      </c>
      <c r="I12208" s="8"/>
      <c r="O12208" t="str">
        <f>LEFT(Table2[[#This Row],[Description]],75)</f>
        <v>VINTAGE COCKTAIL CLUB DUBLIN 2 IE REF #XX0746L67Y3WLAP5</v>
      </c>
      <c r="Q12208" t="s">
        <v>2240</v>
      </c>
    </row>
    <row r="12209" spans="1:15" hidden="1">
      <c r="A12209">
        <v>202409</v>
      </c>
      <c r="B12209" s="6">
        <v>45538</v>
      </c>
      <c r="C12209" t="s">
        <v>130</v>
      </c>
      <c r="D12209" t="s">
        <v>5721</v>
      </c>
      <c r="E12209">
        <v>-43.99</v>
      </c>
      <c r="F12209" s="2" t="str">
        <f>IF(Table2[[#This Row],[Manual Cat Value]]="",VLOOKUP(Table2[[#This Row],[Description]],'Actuals Lookup'!D:F,3,0),VLOOKUP(Table2[[#This Row],[Manual Cat Value]],Lookup!A:B,2,0))</f>
        <v>Amazon</v>
      </c>
      <c r="H12209" s="8" t="s">
        <v>37</v>
      </c>
      <c r="I12209" s="8"/>
      <c r="O12209" t="str">
        <f>LEFT(Table2[[#This Row],[Description]],75)</f>
        <v>AMAZON MARKETPLACE NAMZN.COM/BILL       WA</v>
      </c>
    </row>
    <row r="12210" spans="1:15" hidden="1">
      <c r="A12210">
        <v>202409</v>
      </c>
      <c r="B12210" s="6">
        <v>45538</v>
      </c>
      <c r="C12210" t="s">
        <v>130</v>
      </c>
      <c r="D12210" t="s">
        <v>5722</v>
      </c>
      <c r="E12210">
        <v>-88</v>
      </c>
      <c r="F12210" s="2" t="str">
        <f>IF(Table2[[#This Row],[Manual Cat Value]]="",VLOOKUP(Table2[[#This Row],[Description]],'Actuals Lookup'!D:F,3,0),VLOOKUP(Table2[[#This Row],[Manual Cat Value]],Lookup!A:B,2,0))</f>
        <v>Shopping</v>
      </c>
      <c r="H12210" s="8" t="s">
        <v>36</v>
      </c>
      <c r="I12210" s="8"/>
      <c r="O12210" t="str">
        <f>LEFT(Table2[[#This Row],[Description]],75)</f>
        <v>AplPay ANTHROPOLOGIEMAPLE GROVE         MN</v>
      </c>
    </row>
    <row r="12211" spans="1:15" hidden="1">
      <c r="A12211">
        <v>202407</v>
      </c>
      <c r="B12211" s="6">
        <v>45490</v>
      </c>
      <c r="C12211" t="s">
        <v>2519</v>
      </c>
      <c r="D12211" t="s">
        <v>1458</v>
      </c>
      <c r="E12211">
        <v>3748.61</v>
      </c>
      <c r="F12211" s="2" t="str">
        <f>IF(Table2[[#This Row],[Manual Cat Value]]="",VLOOKUP(Table2[[#This Row],[Description]],'Actuals Lookup'!D:F,3,0),VLOOKUP(Table2[[#This Row],[Manual Cat Value]],Lookup!A:B,2,0))</f>
        <v>Delete</v>
      </c>
      <c r="I12211" s="8"/>
      <c r="O12211" t="str">
        <f>LEFT(Table2[[#This Row],[Description]],75)</f>
        <v>Payment to American Express</v>
      </c>
    </row>
    <row r="12212" spans="1:15" hidden="1">
      <c r="A12212">
        <v>202409</v>
      </c>
      <c r="B12212" s="6">
        <v>45538</v>
      </c>
      <c r="C12212" t="s">
        <v>130</v>
      </c>
      <c r="D12212" t="s">
        <v>5723</v>
      </c>
      <c r="E12212">
        <v>127.12</v>
      </c>
      <c r="F12212" s="2" t="str">
        <f>IF(Table2[[#This Row],[Manual Cat Value]]="",VLOOKUP(Table2[[#This Row],[Description]],'Actuals Lookup'!D:F,3,0),VLOOKUP(Table2[[#This Row],[Manual Cat Value]],Lookup!A:B,2,0))</f>
        <v>Groceries</v>
      </c>
      <c r="H12212" s="8" t="s">
        <v>27</v>
      </c>
      <c r="I12212" s="8"/>
      <c r="O12212" t="str">
        <f>LEFT(Table2[[#This Row],[Description]],75)</f>
        <v>CUB FOODS 1636 0163 CUB.COM             MN</v>
      </c>
    </row>
    <row r="12213" spans="1:15" hidden="1">
      <c r="A12213">
        <v>202409</v>
      </c>
      <c r="B12213" s="6">
        <v>45538</v>
      </c>
      <c r="C12213" t="s">
        <v>2258</v>
      </c>
      <c r="D12213" t="s">
        <v>5724</v>
      </c>
      <c r="E12213">
        <v>51.92</v>
      </c>
      <c r="F12213" s="2" t="str">
        <f>IF(Table2[[#This Row],[Manual Cat Value]]="",VLOOKUP(Table2[[#This Row],[Description]],'Actuals Lookup'!D:F,3,0),VLOOKUP(Table2[[#This Row],[Manual Cat Value]],Lookup!A:B,2,0))</f>
        <v>Transportation</v>
      </c>
      <c r="H12213" s="8" t="s">
        <v>22</v>
      </c>
      <c r="I12213" s="8"/>
      <c r="O12213" t="str">
        <f>LEFT(Table2[[#This Row],[Description]],75)</f>
        <v>MISTER CAR WASH #0606 ST LOUIS PARKMN</v>
      </c>
    </row>
    <row r="12214" spans="1:15" hidden="1">
      <c r="A12214">
        <v>202408</v>
      </c>
      <c r="B12214" s="6">
        <v>45509</v>
      </c>
      <c r="C12214" t="s">
        <v>2519</v>
      </c>
      <c r="D12214" t="s">
        <v>1458</v>
      </c>
      <c r="E12214">
        <v>6398.31</v>
      </c>
      <c r="F12214" s="2" t="str">
        <f>IF(Table2[[#This Row],[Manual Cat Value]]="",VLOOKUP(Table2[[#This Row],[Description]],'Actuals Lookup'!D:F,3,0),VLOOKUP(Table2[[#This Row],[Manual Cat Value]],Lookup!A:B,2,0))</f>
        <v>Delete</v>
      </c>
      <c r="H12214" t="s">
        <v>9</v>
      </c>
      <c r="I12214" s="8"/>
      <c r="O12214" t="str">
        <f>LEFT(Table2[[#This Row],[Description]],75)</f>
        <v>Payment to American Express</v>
      </c>
    </row>
    <row r="12215" spans="1:15" hidden="1">
      <c r="A12215">
        <v>202409</v>
      </c>
      <c r="B12215" s="6">
        <v>45538</v>
      </c>
      <c r="C12215" t="s">
        <v>2519</v>
      </c>
      <c r="D12215" t="s">
        <v>5148</v>
      </c>
      <c r="E12215">
        <v>183.64</v>
      </c>
      <c r="F12215" s="2" t="str">
        <f>IF(Table2[[#This Row],[Manual Cat Value]]="",VLOOKUP(Table2[[#This Row],[Description]],'Actuals Lookup'!D:F,3,0),VLOOKUP(Table2[[#This Row],[Manual Cat Value]],Lookup!A:B,2,0))</f>
        <v>Utilities</v>
      </c>
      <c r="H12215" s="8" t="s">
        <v>6</v>
      </c>
      <c r="I12215" s="8"/>
      <c r="O12215" t="str">
        <f>LEFT(Table2[[#This Row],[Description]],75)</f>
        <v>Payment to AT&amp;T</v>
      </c>
    </row>
    <row r="12216" spans="1:15" hidden="1">
      <c r="A12216">
        <v>202409</v>
      </c>
      <c r="B12216" s="6">
        <v>45538</v>
      </c>
      <c r="C12216" t="s">
        <v>2519</v>
      </c>
      <c r="D12216" t="s">
        <v>1460</v>
      </c>
      <c r="E12216">
        <v>2745.43</v>
      </c>
      <c r="F12216" s="2" t="str">
        <f>IF(Table2[[#This Row],[Manual Cat Value]]="",VLOOKUP(Table2[[#This Row],[Description]],'Actuals Lookup'!D:F,3,0),VLOOKUP(Table2[[#This Row],[Manual Cat Value]],Lookup!A:B,2,0))</f>
        <v>Rent</v>
      </c>
      <c r="H12216" s="8" t="s">
        <v>4</v>
      </c>
      <c r="I12216" s="8"/>
      <c r="O12216" t="str">
        <f>LEFT(Table2[[#This Row],[Description]],75)</f>
        <v>Payment to Baxter Credit Union</v>
      </c>
    </row>
    <row r="12217" spans="1:15" hidden="1">
      <c r="A12217">
        <v>202409</v>
      </c>
      <c r="B12217" s="6">
        <v>45538</v>
      </c>
      <c r="C12217" t="s">
        <v>130</v>
      </c>
      <c r="D12217" t="s">
        <v>5725</v>
      </c>
      <c r="E12217">
        <v>211.15</v>
      </c>
      <c r="F12217" s="2" t="str">
        <f>IF(Table2[[#This Row],[Manual Cat Value]]="",VLOOKUP(Table2[[#This Row],[Description]],'Actuals Lookup'!D:F,3,0),VLOOKUP(Table2[[#This Row],[Manual Cat Value]],Lookup!A:B,2,0))</f>
        <v>Day Care</v>
      </c>
      <c r="H12217" s="8" t="s">
        <v>19</v>
      </c>
      <c r="I12217" s="8"/>
      <c r="O12217" t="str">
        <f>LEFT(Table2[[#This Row],[Description]],75)</f>
        <v>SCOUTING* RENEWAL FEIRVING              TX</v>
      </c>
    </row>
    <row r="12218" spans="1:15" hidden="1">
      <c r="A12218">
        <v>202409</v>
      </c>
      <c r="B12218" s="6">
        <v>45538</v>
      </c>
      <c r="C12218" t="s">
        <v>3938</v>
      </c>
      <c r="D12218" t="s">
        <v>5726</v>
      </c>
      <c r="E12218">
        <v>29.24</v>
      </c>
      <c r="F12218" s="2" t="str">
        <f>IF(Table2[[#This Row],[Manual Cat Value]]="",VLOOKUP(Table2[[#This Row],[Description]],'Actuals Lookup'!D:F,3,0),VLOOKUP(Table2[[#This Row],[Manual Cat Value]],Lookup!A:B,2,0))</f>
        <v>Restaurants</v>
      </c>
      <c r="H12218" s="8" t="s">
        <v>25</v>
      </c>
      <c r="I12218" s="8"/>
      <c r="O12218" t="str">
        <f>LEFT(Table2[[#This Row],[Description]],75)</f>
        <v>TEMPLE BAR PUB DUBLIN 2 IE REF #XX0746L77Y3MSVG4</v>
      </c>
    </row>
    <row r="12219" spans="1:15" hidden="1">
      <c r="A12219">
        <v>202409</v>
      </c>
      <c r="B12219" s="6">
        <v>45538</v>
      </c>
      <c r="C12219" t="s">
        <v>3938</v>
      </c>
      <c r="D12219" t="s">
        <v>5727</v>
      </c>
      <c r="E12219">
        <v>-55.22</v>
      </c>
      <c r="F12219" s="2" t="str">
        <f>IF(Table2[[#This Row],[Manual Cat Value]]="",VLOOKUP(Table2[[#This Row],[Description]],'Actuals Lookup'!D:F,3,0),VLOOKUP(Table2[[#This Row],[Manual Cat Value]],Lookup!A:B,2,0))</f>
        <v>Travel</v>
      </c>
      <c r="H12219" s="8" t="s">
        <v>52</v>
      </c>
      <c r="I12219" s="8"/>
      <c r="O12219" t="str">
        <f>LEFT(Table2[[#This Row],[Description]],75)</f>
        <v>THE CLARENCE HOTEL DUBLIN 2 IE REF #XX0746L77Y87N183</v>
      </c>
    </row>
    <row r="12220" spans="1:15" hidden="1">
      <c r="A12220">
        <v>202409</v>
      </c>
      <c r="B12220" s="6">
        <v>45538</v>
      </c>
      <c r="C12220" t="s">
        <v>3938</v>
      </c>
      <c r="D12220" t="s">
        <v>5728</v>
      </c>
      <c r="E12220">
        <v>19.75</v>
      </c>
      <c r="F12220" s="2" t="str">
        <f>IF(Table2[[#This Row],[Manual Cat Value]]="",VLOOKUP(Table2[[#This Row],[Description]],'Actuals Lookup'!D:F,3,0),VLOOKUP(Table2[[#This Row],[Manual Cat Value]],Lookup!A:B,2,0))</f>
        <v>Restaurants</v>
      </c>
      <c r="H12220" s="8" t="s">
        <v>25</v>
      </c>
      <c r="I12220" s="8"/>
      <c r="O12220" t="str">
        <f>LEFT(Table2[[#This Row],[Description]],75)</f>
        <v>THE NORSEMAN DUBLIN IE REF #XX0746L77Y40DDY9</v>
      </c>
    </row>
    <row r="12221" spans="1:15" hidden="1">
      <c r="A12221">
        <v>202409</v>
      </c>
      <c r="B12221" s="6">
        <v>45538</v>
      </c>
      <c r="C12221" t="s">
        <v>3938</v>
      </c>
      <c r="D12221" t="s">
        <v>5729</v>
      </c>
      <c r="E12221">
        <v>84.89</v>
      </c>
      <c r="F12221" s="2" t="str">
        <f>IF(Table2[[#This Row],[Manual Cat Value]]="",VLOOKUP(Table2[[#This Row],[Description]],'Actuals Lookup'!D:F,3,0),VLOOKUP(Table2[[#This Row],[Manual Cat Value]],Lookup!A:B,2,0))</f>
        <v>Restaurants</v>
      </c>
      <c r="H12221" s="8" t="s">
        <v>25</v>
      </c>
      <c r="I12221" s="8"/>
      <c r="O12221" t="str">
        <f>LEFT(Table2[[#This Row],[Description]],75)</f>
        <v>THE SHACK RESTAURANT DUBLIN IE REF #XX0746L77Y4431EP</v>
      </c>
    </row>
    <row r="12222" spans="1:15" hidden="1">
      <c r="A12222">
        <v>202409</v>
      </c>
      <c r="B12222" s="6">
        <v>45538</v>
      </c>
      <c r="C12222" t="s">
        <v>2519</v>
      </c>
      <c r="D12222" t="s">
        <v>4716</v>
      </c>
      <c r="E12222">
        <v>650</v>
      </c>
      <c r="F12222" s="2" t="str">
        <f>IF(Table2[[#This Row],[Manual Cat Value]]="",VLOOKUP(Table2[[#This Row],[Description]],'Actuals Lookup'!D:F,3,0),VLOOKUP(Table2[[#This Row],[Manual Cat Value]],Lookup!A:B,2,0))</f>
        <v>College Savings</v>
      </c>
      <c r="H12222" t="s">
        <v>60</v>
      </c>
      <c r="I12222" s="8"/>
      <c r="O12222" t="str">
        <f>LEFT(Table2[[#This Row],[Description]],75)</f>
        <v>Transfer to College Station</v>
      </c>
    </row>
    <row r="12223" spans="1:15" hidden="1">
      <c r="A12223">
        <v>202409</v>
      </c>
      <c r="B12223" s="6">
        <v>45538</v>
      </c>
      <c r="C12223" t="s">
        <v>3938</v>
      </c>
      <c r="D12223" t="s">
        <v>2078</v>
      </c>
      <c r="E12223">
        <v>39.950000000000003</v>
      </c>
      <c r="F12223" s="2" t="str">
        <f>IF(Table2[[#This Row],[Manual Cat Value]]="",VLOOKUP(Table2[[#This Row],[Description]],'Actuals Lookup'!D:F,3,0),VLOOKUP(Table2[[#This Row],[Manual Cat Value]],Lookup!A:B,2,0))</f>
        <v>Transportation</v>
      </c>
      <c r="H12223" s="8" t="s">
        <v>22</v>
      </c>
      <c r="I12223" s="8"/>
      <c r="O12223" t="str">
        <f>LEFT(Table2[[#This Row],[Description]],75)</f>
        <v>Uber</v>
      </c>
    </row>
    <row r="12224" spans="1:15" hidden="1">
      <c r="A12224">
        <v>202408</v>
      </c>
      <c r="B12224" s="6">
        <v>45520</v>
      </c>
      <c r="C12224" t="s">
        <v>2519</v>
      </c>
      <c r="D12224" t="s">
        <v>1458</v>
      </c>
      <c r="E12224">
        <v>3647.15</v>
      </c>
      <c r="F12224" s="2" t="str">
        <f>IF(Table2[[#This Row],[Manual Cat Value]]="",VLOOKUP(Table2[[#This Row],[Description]],'Actuals Lookup'!D:F,3,0),VLOOKUP(Table2[[#This Row],[Manual Cat Value]],Lookup!A:B,2,0))</f>
        <v>Delete</v>
      </c>
      <c r="I12224" s="8"/>
      <c r="O12224" t="str">
        <f>LEFT(Table2[[#This Row],[Description]],75)</f>
        <v>Payment to American Express</v>
      </c>
    </row>
    <row r="12225" spans="1:15" hidden="1">
      <c r="A12225">
        <v>202409</v>
      </c>
      <c r="B12225" s="6">
        <v>45539</v>
      </c>
      <c r="C12225" t="s">
        <v>3938</v>
      </c>
      <c r="D12225" t="s">
        <v>113</v>
      </c>
      <c r="E12225">
        <v>-34.979999999999997</v>
      </c>
      <c r="F12225" s="2" t="str">
        <f>IF(Table2[[#This Row],[Manual Cat Value]]="",VLOOKUP(Table2[[#This Row],[Description]],'Actuals Lookup'!D:F,3,0),VLOOKUP(Table2[[#This Row],[Manual Cat Value]],Lookup!A:B,2,0))</f>
        <v>Amazon</v>
      </c>
      <c r="H12225" s="8" t="s">
        <v>37</v>
      </c>
      <c r="I12225" s="8"/>
      <c r="O12225" t="str">
        <f>LEFT(Table2[[#This Row],[Description]],75)</f>
        <v>Amazon Marketplace</v>
      </c>
    </row>
    <row r="12226" spans="1:15" hidden="1">
      <c r="A12226">
        <v>202409</v>
      </c>
      <c r="B12226" s="6">
        <v>45539</v>
      </c>
      <c r="C12226" t="s">
        <v>3938</v>
      </c>
      <c r="D12226" t="s">
        <v>113</v>
      </c>
      <c r="E12226">
        <v>-34.979999999999997</v>
      </c>
      <c r="F12226" s="2" t="str">
        <f>IF(Table2[[#This Row],[Manual Cat Value]]="",VLOOKUP(Table2[[#This Row],[Description]],'Actuals Lookup'!D:F,3,0),VLOOKUP(Table2[[#This Row],[Manual Cat Value]],Lookup!A:B,2,0))</f>
        <v>Amazon</v>
      </c>
      <c r="H12226" s="8" t="s">
        <v>37</v>
      </c>
      <c r="I12226" s="8"/>
      <c r="O12226" t="str">
        <f>LEFT(Table2[[#This Row],[Description]],75)</f>
        <v>Amazon Marketplace</v>
      </c>
    </row>
    <row r="12227" spans="1:15" hidden="1">
      <c r="A12227">
        <v>202409</v>
      </c>
      <c r="B12227" s="6">
        <v>45539</v>
      </c>
      <c r="C12227" t="s">
        <v>3938</v>
      </c>
      <c r="D12227" t="s">
        <v>113</v>
      </c>
      <c r="E12227">
        <v>-9.7200000000000006</v>
      </c>
      <c r="F12227" s="2" t="str">
        <f>IF(Table2[[#This Row],[Manual Cat Value]]="",VLOOKUP(Table2[[#This Row],[Description]],'Actuals Lookup'!D:F,3,0),VLOOKUP(Table2[[#This Row],[Manual Cat Value]],Lookup!A:B,2,0))</f>
        <v>Amazon</v>
      </c>
      <c r="H12227" s="8" t="s">
        <v>37</v>
      </c>
      <c r="I12227" s="8"/>
      <c r="O12227" t="str">
        <f>LEFT(Table2[[#This Row],[Description]],75)</f>
        <v>Amazon Marketplace</v>
      </c>
    </row>
    <row r="12228" spans="1:15" hidden="1">
      <c r="A12228">
        <v>202409</v>
      </c>
      <c r="B12228" s="6">
        <v>45539</v>
      </c>
      <c r="C12228" t="s">
        <v>5730</v>
      </c>
      <c r="D12228" t="s">
        <v>5731</v>
      </c>
      <c r="E12228">
        <v>96</v>
      </c>
      <c r="F12228" s="2" t="str">
        <f>IF(Table2[[#This Row],[Manual Cat Value]]="",VLOOKUP(Table2[[#This Row],[Description]],'Actuals Lookup'!D:F,3,0),VLOOKUP(Table2[[#This Row],[Manual Cat Value]],Lookup!A:B,2,0))</f>
        <v>Entertainment</v>
      </c>
      <c r="H12228" s="8" t="s">
        <v>39</v>
      </c>
      <c r="I12228" s="8"/>
      <c r="O12228" t="str">
        <f>LEFT(Table2[[#This Row],[Description]],75)</f>
        <v>CITY OF WACONIA 6500WACONIA             MN</v>
      </c>
    </row>
    <row r="12229" spans="1:15" hidden="1">
      <c r="A12229">
        <v>202409</v>
      </c>
      <c r="B12229" s="6">
        <v>45539</v>
      </c>
      <c r="C12229" t="s">
        <v>3938</v>
      </c>
      <c r="D12229" t="s">
        <v>1168</v>
      </c>
      <c r="E12229">
        <v>59.06</v>
      </c>
      <c r="F12229" s="2" t="str">
        <f>IF(Table2[[#This Row],[Manual Cat Value]]="",VLOOKUP(Table2[[#This Row],[Description]],'Actuals Lookup'!D:F,3,0),VLOOKUP(Table2[[#This Row],[Manual Cat Value]],Lookup!A:B,2,0))</f>
        <v>Transportation</v>
      </c>
      <c r="H12229" s="8" t="s">
        <v>22</v>
      </c>
      <c r="I12229" s="8"/>
      <c r="O12229" t="str">
        <f>LEFT(Table2[[#This Row],[Description]],75)</f>
        <v>Lyft</v>
      </c>
    </row>
    <row r="12230" spans="1:15" hidden="1">
      <c r="A12230">
        <v>202409</v>
      </c>
      <c r="B12230" s="6">
        <v>45539</v>
      </c>
      <c r="C12230" t="s">
        <v>2519</v>
      </c>
      <c r="D12230" t="s">
        <v>5443</v>
      </c>
      <c r="E12230">
        <v>380</v>
      </c>
      <c r="F12230" s="2" t="str">
        <f>IF(Table2[[#This Row],[Manual Cat Value]]="",VLOOKUP(Table2[[#This Row],[Description]],'Actuals Lookup'!D:F,3,0),VLOOKUP(Table2[[#This Row],[Manual Cat Value]],Lookup!A:B,2,0))</f>
        <v>Day Care</v>
      </c>
      <c r="H12230" s="8" t="s">
        <v>19</v>
      </c>
      <c r="I12230" s="8"/>
      <c r="O12230" t="str">
        <f>LEFT(Table2[[#This Row],[Description]],75)</f>
        <v>Mis Amigos</v>
      </c>
    </row>
    <row r="12231" spans="1:15" hidden="1">
      <c r="A12231" s="25">
        <v>202409</v>
      </c>
      <c r="B12231" s="6">
        <v>45539</v>
      </c>
      <c r="C12231" t="s">
        <v>3932</v>
      </c>
      <c r="D12231" t="s">
        <v>1380</v>
      </c>
      <c r="E12231">
        <v>34.74</v>
      </c>
      <c r="F12231" s="2" t="str">
        <f>IF(Table2[[#This Row],[Manual Cat Value]]="",VLOOKUP(Table2[[#This Row],[Description]],'Actuals Lookup'!D:F,3,0),VLOOKUP(Table2[[#This Row],[Manual Cat Value]],Lookup!A:B,2,0))</f>
        <v>Restaurants</v>
      </c>
      <c r="G12231" t="s">
        <v>26</v>
      </c>
      <c r="I12231" s="8"/>
      <c r="O12231" t="str">
        <f>LEFT(Table2[[#This Row],[Description]],75)</f>
        <v>Olives</v>
      </c>
    </row>
    <row r="12232" spans="1:15" hidden="1">
      <c r="A12232">
        <v>202409</v>
      </c>
      <c r="B12232" s="6">
        <v>45539</v>
      </c>
      <c r="C12232" t="s">
        <v>2519</v>
      </c>
      <c r="D12232" t="s">
        <v>1458</v>
      </c>
      <c r="E12232">
        <v>7941.92</v>
      </c>
      <c r="F12232" s="2" t="str">
        <f>IF(Table2[[#This Row],[Manual Cat Value]]="",VLOOKUP(Table2[[#This Row],[Description]],'Actuals Lookup'!D:F,3,0),VLOOKUP(Table2[[#This Row],[Manual Cat Value]],Lookup!A:B,2,0))</f>
        <v>Delete</v>
      </c>
      <c r="H12232" s="8" t="s">
        <v>9</v>
      </c>
      <c r="I12232" s="8"/>
      <c r="O12232" t="str">
        <f>LEFT(Table2[[#This Row],[Description]],75)</f>
        <v>Payment to American Express</v>
      </c>
    </row>
    <row r="12233" spans="1:15" hidden="1">
      <c r="A12233">
        <v>202409</v>
      </c>
      <c r="B12233" s="6">
        <v>45539</v>
      </c>
      <c r="C12233" t="s">
        <v>2258</v>
      </c>
      <c r="D12233" t="s">
        <v>5732</v>
      </c>
      <c r="E12233">
        <v>34.74</v>
      </c>
      <c r="F12233" s="2" t="str">
        <f>IF(Table2[[#This Row],[Manual Cat Value]]="",VLOOKUP(Table2[[#This Row],[Description]],'Actuals Lookup'!D:F,3,0),VLOOKUP(Table2[[#This Row],[Manual Cat Value]],Lookup!A:B,2,0))</f>
        <v>Restaurants</v>
      </c>
      <c r="H12233" s="8" t="s">
        <v>25</v>
      </c>
      <c r="I12233" s="8"/>
      <c r="O12233" t="str">
        <f>LEFT(Table2[[#This Row],[Description]],75)</f>
        <v>TST*OLIVES FRESH EXCEL EXCELSIOR MN00040709019916116414AA</v>
      </c>
    </row>
    <row r="12234" spans="1:15" hidden="1">
      <c r="A12234">
        <v>202409</v>
      </c>
      <c r="B12234" s="6">
        <v>45540</v>
      </c>
      <c r="C12234" t="s">
        <v>130</v>
      </c>
      <c r="D12234" t="s">
        <v>5733</v>
      </c>
      <c r="E12234">
        <v>23.86</v>
      </c>
      <c r="F12234" s="2" t="str">
        <f>IF(Table2[[#This Row],[Manual Cat Value]]="",VLOOKUP(Table2[[#This Row],[Description]],'Actuals Lookup'!D:F,3,0),VLOOKUP(Table2[[#This Row],[Manual Cat Value]],Lookup!A:B,2,0))</f>
        <v>Dry Cleaning</v>
      </c>
      <c r="H12234" s="8" t="s">
        <v>42</v>
      </c>
      <c r="I12234" s="8"/>
      <c r="O12234" t="str">
        <f>LEFT(Table2[[#This Row],[Description]],75)</f>
        <v>ALL SEASONS GARMENT CHANHASSEN          MN</v>
      </c>
    </row>
    <row r="12235" spans="1:15" hidden="1">
      <c r="A12235">
        <v>202409</v>
      </c>
      <c r="B12235" s="6">
        <v>45540</v>
      </c>
      <c r="C12235" t="s">
        <v>3938</v>
      </c>
      <c r="D12235" t="s">
        <v>5734</v>
      </c>
      <c r="E12235">
        <v>20.6</v>
      </c>
      <c r="F12235" s="2" t="str">
        <f>IF(Table2[[#This Row],[Manual Cat Value]]="",VLOOKUP(Table2[[#This Row],[Description]],'Actuals Lookup'!D:F,3,0),VLOOKUP(Table2[[#This Row],[Manual Cat Value]],Lookup!A:B,2,0))</f>
        <v>Shopping</v>
      </c>
      <c r="H12235" s="8" t="s">
        <v>36</v>
      </c>
      <c r="I12235" s="8"/>
      <c r="O12235" t="str">
        <f>LEFT(Table2[[#This Row],[Description]],75)</f>
        <v>Bliss Nails</v>
      </c>
    </row>
    <row r="12236" spans="1:15" hidden="1">
      <c r="A12236">
        <v>202409</v>
      </c>
      <c r="B12236" s="6">
        <v>45540</v>
      </c>
      <c r="C12236" t="s">
        <v>3938</v>
      </c>
      <c r="D12236" t="s">
        <v>5735</v>
      </c>
      <c r="E12236">
        <v>23.9</v>
      </c>
      <c r="F12236" s="2" t="str">
        <f>IF(Table2[[#This Row],[Manual Cat Value]]="",VLOOKUP(Table2[[#This Row],[Description]],'Actuals Lookup'!D:F,3,0),VLOOKUP(Table2[[#This Row],[Manual Cat Value]],Lookup!A:B,2,0))</f>
        <v>Restaurants</v>
      </c>
      <c r="H12236" s="8" t="s">
        <v>25</v>
      </c>
      <c r="I12236" s="8"/>
      <c r="O12236" t="str">
        <f>LEFT(Table2[[#This Row],[Description]],75)</f>
        <v>BLVD *FACE FOUNDRIE WAYXX-7151 MN REF #XX4500L8EJ609F5S</v>
      </c>
    </row>
    <row r="12237" spans="1:15" hidden="1">
      <c r="A12237">
        <v>202409</v>
      </c>
      <c r="B12237" s="6">
        <v>45540</v>
      </c>
      <c r="C12237" t="s">
        <v>3938</v>
      </c>
      <c r="D12237" t="s">
        <v>3973</v>
      </c>
      <c r="E12237">
        <v>50.05</v>
      </c>
      <c r="F12237" s="2" t="str">
        <f>IF(Table2[[#This Row],[Manual Cat Value]]="",VLOOKUP(Table2[[#This Row],[Description]],'Actuals Lookup'!D:F,3,0),VLOOKUP(Table2[[#This Row],[Manual Cat Value]],Lookup!A:B,2,0))</f>
        <v>Day Care</v>
      </c>
      <c r="H12237" s="8" t="s">
        <v>19</v>
      </c>
      <c r="I12237" s="8"/>
      <c r="O12237" t="str">
        <f>LEFT(Table2[[#This Row],[Description]],75)</f>
        <v>Minnetonka Public Schools</v>
      </c>
    </row>
    <row r="12238" spans="1:15" hidden="1">
      <c r="A12238">
        <v>202409</v>
      </c>
      <c r="B12238" s="6">
        <v>45540</v>
      </c>
      <c r="C12238" t="s">
        <v>2519</v>
      </c>
      <c r="D12238" t="s">
        <v>1955</v>
      </c>
      <c r="E12238">
        <v>28.69</v>
      </c>
      <c r="F12238" s="2" t="str">
        <f>IF(Table2[[#This Row],[Manual Cat Value]]="",VLOOKUP(Table2[[#This Row],[Description]],'Actuals Lookup'!D:F,3,0),VLOOKUP(Table2[[#This Row],[Manual Cat Value]],Lookup!A:B,2,0))</f>
        <v>Shopping</v>
      </c>
      <c r="H12238" s="8" t="s">
        <v>36</v>
      </c>
      <c r="I12238" s="8"/>
      <c r="O12238" t="str">
        <f>LEFT(Table2[[#This Row],[Description]],75)</f>
        <v>Transfer to PayPal</v>
      </c>
    </row>
    <row r="12239" spans="1:15" hidden="1">
      <c r="A12239">
        <v>202409</v>
      </c>
      <c r="B12239" s="6">
        <v>45541</v>
      </c>
      <c r="C12239" t="s">
        <v>5736</v>
      </c>
      <c r="D12239" t="s">
        <v>5737</v>
      </c>
      <c r="E12239">
        <v>8</v>
      </c>
      <c r="F12239" s="2" t="str">
        <f>IF(Table2[[#This Row],[Manual Cat Value]]="",VLOOKUP(Table2[[#This Row],[Description]],'Actuals Lookup'!D:F,3,0),VLOOKUP(Table2[[#This Row],[Manual Cat Value]],Lookup!A:B,2,0))</f>
        <v>Entertainment</v>
      </c>
      <c r="H12239" s="8" t="s">
        <v>39</v>
      </c>
      <c r="I12239" s="8"/>
      <c r="O12239" t="str">
        <f>LEFT(Table2[[#This Row],[Description]],75)</f>
        <v>AplPay LS BLUFF CREECHASKA              MN</v>
      </c>
    </row>
    <row r="12240" spans="1:15" hidden="1">
      <c r="A12240">
        <v>202409</v>
      </c>
      <c r="B12240" s="6">
        <v>45541</v>
      </c>
      <c r="C12240" t="s">
        <v>5738</v>
      </c>
      <c r="D12240" t="s">
        <v>5739</v>
      </c>
      <c r="E12240">
        <v>70</v>
      </c>
      <c r="F12240" s="2" t="str">
        <f>IF(Table2[[#This Row],[Manual Cat Value]]="",VLOOKUP(Table2[[#This Row],[Description]],'Actuals Lookup'!D:F,3,0),VLOOKUP(Table2[[#This Row],[Manual Cat Value]],Lookup!A:B,2,0))</f>
        <v>Utilities</v>
      </c>
      <c r="H12240" s="8" t="s">
        <v>6</v>
      </c>
      <c r="I12240" s="8"/>
      <c r="O12240" t="str">
        <f>LEFT(Table2[[#This Row],[Description]],75)</f>
        <v>CITY OF CHANHASSEN 6CHANHASSEN          MN</v>
      </c>
    </row>
    <row r="12241" spans="1:15" hidden="1">
      <c r="A12241">
        <v>202409</v>
      </c>
      <c r="B12241" s="6">
        <v>45541</v>
      </c>
      <c r="C12241" t="s">
        <v>5740</v>
      </c>
      <c r="D12241" t="s">
        <v>5723</v>
      </c>
      <c r="E12241">
        <v>50.39</v>
      </c>
      <c r="F12241" s="2" t="str">
        <f>IF(Table2[[#This Row],[Manual Cat Value]]="",VLOOKUP(Table2[[#This Row],[Description]],'Actuals Lookup'!D:F,3,0),VLOOKUP(Table2[[#This Row],[Manual Cat Value]],Lookup!A:B,2,0))</f>
        <v>Groceries</v>
      </c>
      <c r="H12241" s="8" t="s">
        <v>27</v>
      </c>
      <c r="I12241" s="8"/>
      <c r="O12241" t="str">
        <f>LEFT(Table2[[#This Row],[Description]],75)</f>
        <v>CUB FOODS 1636 0163 CUB.COM             MN</v>
      </c>
    </row>
    <row r="12242" spans="1:15" hidden="1">
      <c r="A12242">
        <v>202410</v>
      </c>
      <c r="B12242" s="6">
        <v>45567</v>
      </c>
      <c r="C12242" t="s">
        <v>2519</v>
      </c>
      <c r="D12242" t="s">
        <v>1458</v>
      </c>
      <c r="E12242">
        <v>11648</v>
      </c>
      <c r="F12242" s="2" t="str">
        <f>IF(Table2[[#This Row],[Manual Cat Value]]="",VLOOKUP(Table2[[#This Row],[Description]],'Actuals Lookup'!D:F,3,0),VLOOKUP(Table2[[#This Row],[Manual Cat Value]],Lookup!A:B,2,0))</f>
        <v>Delete</v>
      </c>
      <c r="H12242" s="8" t="s">
        <v>9</v>
      </c>
      <c r="I12242" s="8"/>
      <c r="O12242" t="str">
        <f>LEFT(Table2[[#This Row],[Description]],75)</f>
        <v>Payment to American Express</v>
      </c>
    </row>
    <row r="12243" spans="1:15" hidden="1">
      <c r="A12243">
        <v>202409</v>
      </c>
      <c r="B12243" s="6">
        <v>45541</v>
      </c>
      <c r="C12243" t="s">
        <v>2519</v>
      </c>
      <c r="D12243" t="s">
        <v>1470</v>
      </c>
      <c r="E12243">
        <v>219.38</v>
      </c>
      <c r="F12243" s="2" t="str">
        <f>IF(Table2[[#This Row],[Manual Cat Value]]="",VLOOKUP(Table2[[#This Row],[Description]],'Actuals Lookup'!D:F,3,0),VLOOKUP(Table2[[#This Row],[Manual Cat Value]],Lookup!A:B,2,0))</f>
        <v>Utilities</v>
      </c>
      <c r="H12243" s="8" t="s">
        <v>6</v>
      </c>
      <c r="I12243" s="8"/>
      <c r="O12243" t="str">
        <f>LEFT(Table2[[#This Row],[Description]],75)</f>
        <v>Payment to Xcel Energy</v>
      </c>
    </row>
    <row r="12244" spans="1:15" hidden="1">
      <c r="A12244">
        <v>202409</v>
      </c>
      <c r="B12244" s="6">
        <v>45541</v>
      </c>
      <c r="C12244" t="s">
        <v>2519</v>
      </c>
      <c r="D12244" t="s">
        <v>1958</v>
      </c>
      <c r="E12244">
        <v>25</v>
      </c>
      <c r="F12244" s="2" t="str">
        <f>IF(Table2[[#This Row],[Manual Cat Value]]="",VLOOKUP(Table2[[#This Row],[Description]],'Actuals Lookup'!D:F,3,0),VLOOKUP(Table2[[#This Row],[Manual Cat Value]],Lookup!A:B,2,0))</f>
        <v>Shopping</v>
      </c>
      <c r="H12244" s="8" t="s">
        <v>36</v>
      </c>
      <c r="I12244" s="8"/>
      <c r="O12244" t="str">
        <f>LEFT(Table2[[#This Row],[Description]],75)</f>
        <v>Transfer to Venmo</v>
      </c>
    </row>
    <row r="12245" spans="1:15" hidden="1">
      <c r="A12245">
        <v>202409</v>
      </c>
      <c r="B12245" s="6">
        <v>45541</v>
      </c>
      <c r="C12245" t="s">
        <v>5741</v>
      </c>
      <c r="D12245" t="s">
        <v>5742</v>
      </c>
      <c r="E12245">
        <v>87.62</v>
      </c>
      <c r="F12245" s="2" t="str">
        <f>IF(Table2[[#This Row],[Manual Cat Value]]="",VLOOKUP(Table2[[#This Row],[Description]],'Actuals Lookup'!D:F,3,0),VLOOKUP(Table2[[#This Row],[Manual Cat Value]],Lookup!A:B,2,0))</f>
        <v>Restaurants</v>
      </c>
      <c r="H12245" s="8" t="s">
        <v>25</v>
      </c>
      <c r="I12245" s="8"/>
      <c r="O12245" t="str">
        <f>LEFT(Table2[[#This Row],[Description]],75)</f>
        <v>TST* MAYNARDS INSIDEEXCELSIOR           MN</v>
      </c>
    </row>
    <row r="12246" spans="1:15" hidden="1">
      <c r="A12246">
        <v>202409</v>
      </c>
      <c r="B12246" s="6">
        <v>45542</v>
      </c>
      <c r="C12246" t="s">
        <v>5743</v>
      </c>
      <c r="D12246" t="s">
        <v>5744</v>
      </c>
      <c r="E12246">
        <v>2</v>
      </c>
      <c r="F12246" s="2" t="str">
        <f>IF(Table2[[#This Row],[Manual Cat Value]]="",VLOOKUP(Table2[[#This Row],[Description]],'Actuals Lookup'!D:F,3,0),VLOOKUP(Table2[[#This Row],[Manual Cat Value]],Lookup!A:B,2,0))</f>
        <v>Entertainment</v>
      </c>
      <c r="H12246" s="8" t="s">
        <v>39</v>
      </c>
      <c r="I12246" s="8"/>
      <c r="O12246" t="str">
        <f>LEFT(Table2[[#This Row],[Description]],75)</f>
        <v>AplPay GLEN LAKE GOLMINNETONKA          MN</v>
      </c>
    </row>
    <row r="12247" spans="1:15" hidden="1">
      <c r="A12247">
        <v>202409</v>
      </c>
      <c r="B12247" s="6">
        <v>45542</v>
      </c>
      <c r="C12247" t="s">
        <v>5745</v>
      </c>
      <c r="D12247" t="s">
        <v>5746</v>
      </c>
      <c r="E12247">
        <v>92</v>
      </c>
      <c r="F12247" s="2" t="str">
        <f>IF(Table2[[#This Row],[Manual Cat Value]]="",VLOOKUP(Table2[[#This Row],[Description]],'Actuals Lookup'!D:F,3,0),VLOOKUP(Table2[[#This Row],[Manual Cat Value]],Lookup!A:B,2,0))</f>
        <v>Entertainment</v>
      </c>
      <c r="H12247" s="8" t="s">
        <v>39</v>
      </c>
      <c r="I12247" s="8"/>
      <c r="O12247" t="str">
        <f>LEFT(Table2[[#This Row],[Description]],75)</f>
        <v>GLEN LAKE GOLF      MINNETONKA          MN</v>
      </c>
    </row>
    <row r="12248" spans="1:15" hidden="1">
      <c r="A12248">
        <v>202409</v>
      </c>
      <c r="B12248" s="6">
        <v>45542</v>
      </c>
      <c r="C12248" t="s">
        <v>5747</v>
      </c>
      <c r="D12248" t="s">
        <v>5748</v>
      </c>
      <c r="E12248">
        <v>47.24</v>
      </c>
      <c r="F12248" s="2" t="str">
        <f>IF(Table2[[#This Row],[Manual Cat Value]]="",VLOOKUP(Table2[[#This Row],[Description]],'Actuals Lookup'!D:F,3,0),VLOOKUP(Table2[[#This Row],[Manual Cat Value]],Lookup!A:B,2,0))</f>
        <v>Groceries</v>
      </c>
      <c r="H12248" s="8" t="s">
        <v>27</v>
      </c>
      <c r="I12248" s="8"/>
      <c r="O12248" t="str">
        <f>LEFT(Table2[[#This Row],[Description]],75)</f>
        <v>LUNDS&amp;BYERLYS GLENLAMINNETONKA          MN</v>
      </c>
    </row>
    <row r="12249" spans="1:15" hidden="1">
      <c r="A12249">
        <v>202409</v>
      </c>
      <c r="B12249" s="6">
        <v>45543</v>
      </c>
      <c r="C12249" t="s">
        <v>3938</v>
      </c>
      <c r="D12249" t="s">
        <v>113</v>
      </c>
      <c r="E12249">
        <v>16.77</v>
      </c>
      <c r="F12249" s="2" t="str">
        <f>IF(Table2[[#This Row],[Manual Cat Value]]="",VLOOKUP(Table2[[#This Row],[Description]],'Actuals Lookup'!D:F,3,0),VLOOKUP(Table2[[#This Row],[Manual Cat Value]],Lookup!A:B,2,0))</f>
        <v>Amazon</v>
      </c>
      <c r="H12249" s="8" t="s">
        <v>37</v>
      </c>
      <c r="I12249" s="8"/>
      <c r="O12249" t="str">
        <f>LEFT(Table2[[#This Row],[Description]],75)</f>
        <v>Amazon Marketplace</v>
      </c>
    </row>
    <row r="12250" spans="1:15" hidden="1">
      <c r="A12250">
        <v>202409</v>
      </c>
      <c r="B12250" s="6">
        <v>45543</v>
      </c>
      <c r="C12250" t="s">
        <v>5749</v>
      </c>
      <c r="D12250" t="s">
        <v>5750</v>
      </c>
      <c r="E12250">
        <v>27.13</v>
      </c>
      <c r="F12250" s="2" t="str">
        <f>IF(Table2[[#This Row],[Manual Cat Value]]="",VLOOKUP(Table2[[#This Row],[Description]],'Actuals Lookup'!D:F,3,0),VLOOKUP(Table2[[#This Row],[Manual Cat Value]],Lookup!A:B,2,0))</f>
        <v>House Maintenance</v>
      </c>
      <c r="H12250" s="8" t="s">
        <v>1</v>
      </c>
      <c r="I12250" s="8"/>
      <c r="O12250" t="str">
        <f>LEFT(Table2[[#This Row],[Description]],75)</f>
        <v>SHOREWOOD TRUE VALUEEXCELSIOR           MN</v>
      </c>
    </row>
    <row r="12251" spans="1:15" hidden="1">
      <c r="A12251">
        <v>202409</v>
      </c>
      <c r="B12251" s="6">
        <v>45543</v>
      </c>
      <c r="C12251" t="s">
        <v>5751</v>
      </c>
      <c r="D12251" t="s">
        <v>5752</v>
      </c>
      <c r="E12251">
        <v>2.5</v>
      </c>
      <c r="F12251" s="2" t="str">
        <f>IF(Table2[[#This Row],[Manual Cat Value]]="",VLOOKUP(Table2[[#This Row],[Description]],'Actuals Lookup'!D:F,3,0),VLOOKUP(Table2[[#This Row],[Manual Cat Value]],Lookup!A:B,2,0))</f>
        <v>Restaurants</v>
      </c>
      <c r="H12251" s="8" t="s">
        <v>25</v>
      </c>
      <c r="I12251" s="8"/>
      <c r="O12251" t="str">
        <f>LEFT(Table2[[#This Row],[Description]],75)</f>
        <v>WESTWOOD COMMUNITY CExcelsior           MN</v>
      </c>
    </row>
    <row r="12252" spans="1:15" hidden="1">
      <c r="A12252">
        <v>202409</v>
      </c>
      <c r="B12252" s="6">
        <v>45544</v>
      </c>
      <c r="C12252" t="s">
        <v>2281</v>
      </c>
      <c r="D12252" t="s">
        <v>14</v>
      </c>
      <c r="E12252">
        <f>125*2</f>
        <v>250</v>
      </c>
      <c r="F12252" s="2" t="str">
        <f>IF(Table2[[#This Row],[Manual Cat Value]]="",VLOOKUP(Table2[[#This Row],[Description]],'Actuals Lookup'!D:F,3,0),VLOOKUP(Table2[[#This Row],[Manual Cat Value]],Lookup!A:B,2,0))</f>
        <v>Cleaning</v>
      </c>
      <c r="H12252" s="8" t="s">
        <v>13</v>
      </c>
      <c r="I12252" s="8"/>
      <c r="O12252" t="str">
        <f>LEFT(Table2[[#This Row],[Description]],75)</f>
        <v>Cleaning</v>
      </c>
    </row>
    <row r="12253" spans="1:15" hidden="1">
      <c r="A12253">
        <v>202410</v>
      </c>
      <c r="B12253" s="6">
        <v>45576</v>
      </c>
      <c r="C12253" t="s">
        <v>2519</v>
      </c>
      <c r="D12253" t="s">
        <v>1458</v>
      </c>
      <c r="E12253">
        <v>1995.73</v>
      </c>
      <c r="F12253" s="2" t="str">
        <f>IF(Table2[[#This Row],[Manual Cat Value]]="",VLOOKUP(Table2[[#This Row],[Description]],'Actuals Lookup'!D:F,3,0),VLOOKUP(Table2[[#This Row],[Manual Cat Value]],Lookup!A:B,2,0))</f>
        <v>Delete</v>
      </c>
      <c r="H12253" s="8" t="s">
        <v>9</v>
      </c>
      <c r="I12253" s="8"/>
      <c r="O12253" t="str">
        <f>LEFT(Table2[[#This Row],[Description]],75)</f>
        <v>Payment to American Express</v>
      </c>
    </row>
    <row r="12254" spans="1:15" hidden="1">
      <c r="A12254">
        <v>202410</v>
      </c>
      <c r="B12254" s="6">
        <v>45593</v>
      </c>
      <c r="C12254" t="s">
        <v>2519</v>
      </c>
      <c r="D12254" t="s">
        <v>1458</v>
      </c>
      <c r="E12254">
        <v>4822.07</v>
      </c>
      <c r="F12254" s="2" t="str">
        <f>IF(Table2[[#This Row],[Manual Cat Value]]="",VLOOKUP(Table2[[#This Row],[Description]],'Actuals Lookup'!D:F,3,0),VLOOKUP(Table2[[#This Row],[Manual Cat Value]],Lookup!A:B,2,0))</f>
        <v>Delete</v>
      </c>
      <c r="H12254" s="8" t="s">
        <v>9</v>
      </c>
      <c r="I12254" s="8"/>
      <c r="O12254" t="str">
        <f>LEFT(Table2[[#This Row],[Description]],75)</f>
        <v>Payment to American Express</v>
      </c>
    </row>
    <row r="12255" spans="1:15" hidden="1">
      <c r="A12255">
        <v>202411</v>
      </c>
      <c r="B12255" s="6">
        <v>45600</v>
      </c>
      <c r="C12255" t="s">
        <v>2519</v>
      </c>
      <c r="D12255" t="s">
        <v>1458</v>
      </c>
      <c r="E12255">
        <v>1206.8499999999999</v>
      </c>
      <c r="F12255" s="2" t="str">
        <f>IF(Table2[[#This Row],[Manual Cat Value]]="",VLOOKUP(Table2[[#This Row],[Description]],'Actuals Lookup'!D:F,3,0),VLOOKUP(Table2[[#This Row],[Manual Cat Value]],Lookup!A:B,2,0))</f>
        <v>Delete</v>
      </c>
      <c r="I12255" s="8"/>
      <c r="O12255" t="str">
        <f>LEFT(Table2[[#This Row],[Description]],75)</f>
        <v>Payment to American Express</v>
      </c>
    </row>
    <row r="12256" spans="1:15" hidden="1">
      <c r="A12256">
        <v>202411</v>
      </c>
      <c r="B12256" s="6">
        <v>45608</v>
      </c>
      <c r="C12256" t="s">
        <v>2519</v>
      </c>
      <c r="D12256" t="s">
        <v>1458</v>
      </c>
      <c r="E12256">
        <v>3078.95</v>
      </c>
      <c r="F12256" s="2" t="str">
        <f>IF(Table2[[#This Row],[Manual Cat Value]]="",VLOOKUP(Table2[[#This Row],[Description]],'Actuals Lookup'!D:F,3,0),VLOOKUP(Table2[[#This Row],[Manual Cat Value]],Lookup!A:B,2,0))</f>
        <v>Delete</v>
      </c>
      <c r="I12256" s="8"/>
      <c r="O12256" t="str">
        <f>LEFT(Table2[[#This Row],[Description]],75)</f>
        <v>Payment to American Express</v>
      </c>
    </row>
    <row r="12257" spans="1:15" hidden="1">
      <c r="A12257">
        <v>202409</v>
      </c>
      <c r="B12257" s="6">
        <v>45545</v>
      </c>
      <c r="C12257" t="s">
        <v>5753</v>
      </c>
      <c r="D12257" t="s">
        <v>5754</v>
      </c>
      <c r="E12257">
        <v>9.07</v>
      </c>
      <c r="F12257" s="2" t="str">
        <f>IF(Table2[[#This Row],[Manual Cat Value]]="",VLOOKUP(Table2[[#This Row],[Description]],'Actuals Lookup'!D:F,3,0),VLOOKUP(Table2[[#This Row],[Manual Cat Value]],Lookup!A:B,2,0))</f>
        <v>Restaurants</v>
      </c>
      <c r="H12257" s="8" t="s">
        <v>25</v>
      </c>
      <c r="I12257" s="8"/>
      <c r="O12257" t="str">
        <f>LEFT(Table2[[#This Row],[Description]],75)</f>
        <v>AplPay MINNEAPOLIS ASAINT PAUL          MN</v>
      </c>
    </row>
    <row r="12258" spans="1:15" hidden="1">
      <c r="A12258">
        <v>202409</v>
      </c>
      <c r="B12258" s="6">
        <v>45545</v>
      </c>
      <c r="C12258" t="s">
        <v>2519</v>
      </c>
      <c r="D12258" t="s">
        <v>5443</v>
      </c>
      <c r="E12258">
        <v>380</v>
      </c>
      <c r="F12258" s="2" t="str">
        <f>IF(Table2[[#This Row],[Manual Cat Value]]="",VLOOKUP(Table2[[#This Row],[Description]],'Actuals Lookup'!D:F,3,0),VLOOKUP(Table2[[#This Row],[Manual Cat Value]],Lookup!A:B,2,0))</f>
        <v>Day Care</v>
      </c>
      <c r="H12258" s="8" t="s">
        <v>19</v>
      </c>
      <c r="I12258" s="8"/>
      <c r="O12258" t="str">
        <f>LEFT(Table2[[#This Row],[Description]],75)</f>
        <v>Mis Amigos</v>
      </c>
    </row>
    <row r="12259" spans="1:15" hidden="1">
      <c r="A12259">
        <v>202411</v>
      </c>
      <c r="B12259" s="6">
        <v>45625</v>
      </c>
      <c r="C12259" t="s">
        <v>2519</v>
      </c>
      <c r="D12259" t="s">
        <v>1458</v>
      </c>
      <c r="E12259">
        <v>5480.42</v>
      </c>
      <c r="F12259" s="2" t="str">
        <f>IF(Table2[[#This Row],[Manual Cat Value]]="",VLOOKUP(Table2[[#This Row],[Description]],'Actuals Lookup'!D:F,3,0),VLOOKUP(Table2[[#This Row],[Manual Cat Value]],Lookup!A:B,2,0))</f>
        <v>Delete</v>
      </c>
      <c r="I12259" s="8"/>
      <c r="O12259" t="str">
        <f>LEFT(Table2[[#This Row],[Description]],75)</f>
        <v>Payment to American Express</v>
      </c>
    </row>
    <row r="12260" spans="1:15" hidden="1">
      <c r="A12260">
        <v>202412</v>
      </c>
      <c r="B12260" s="6">
        <v>45639</v>
      </c>
      <c r="C12260" t="s">
        <v>2519</v>
      </c>
      <c r="D12260" t="s">
        <v>1458</v>
      </c>
      <c r="E12260">
        <v>4465.47</v>
      </c>
      <c r="F12260" s="2" t="str">
        <f>IF(Table2[[#This Row],[Manual Cat Value]]="",VLOOKUP(Table2[[#This Row],[Description]],'Actuals Lookup'!D:F,3,0),VLOOKUP(Table2[[#This Row],[Manual Cat Value]],Lookup!A:B,2,0))</f>
        <v>Delete</v>
      </c>
      <c r="I12260" s="8"/>
      <c r="O12260" t="str">
        <f>LEFT(Table2[[#This Row],[Description]],75)</f>
        <v>Payment to American Express</v>
      </c>
    </row>
    <row r="12261" spans="1:15" hidden="1">
      <c r="A12261">
        <v>202409</v>
      </c>
      <c r="B12261" s="6">
        <v>45546</v>
      </c>
      <c r="C12261" t="s">
        <v>3938</v>
      </c>
      <c r="D12261" t="s">
        <v>38</v>
      </c>
      <c r="E12261">
        <v>2.16</v>
      </c>
      <c r="F12261" s="2" t="str">
        <f>IF(Table2[[#This Row],[Manual Cat Value]]="",VLOOKUP(Table2[[#This Row],[Description]],'Actuals Lookup'!D:F,3,0),VLOOKUP(Table2[[#This Row],[Manual Cat Value]],Lookup!A:B,2,0))</f>
        <v>Amazon</v>
      </c>
      <c r="H12261" s="8" t="s">
        <v>37</v>
      </c>
      <c r="I12261" s="8"/>
      <c r="O12261" t="str">
        <f>LEFT(Table2[[#This Row],[Description]],75)</f>
        <v>Amazon</v>
      </c>
    </row>
    <row r="12262" spans="1:15" hidden="1">
      <c r="A12262">
        <v>202412</v>
      </c>
      <c r="B12262" s="6">
        <v>45652</v>
      </c>
      <c r="C12262" t="s">
        <v>2519</v>
      </c>
      <c r="D12262" t="s">
        <v>1458</v>
      </c>
      <c r="E12262">
        <v>1789.01</v>
      </c>
      <c r="F12262" s="2" t="str">
        <f>IF(Table2[[#This Row],[Manual Cat Value]]="",VLOOKUP(Table2[[#This Row],[Description]],'Actuals Lookup'!D:F,3,0),VLOOKUP(Table2[[#This Row],[Manual Cat Value]],Lookup!A:B,2,0))</f>
        <v>Delete</v>
      </c>
      <c r="I12262" s="8"/>
      <c r="O12262" t="str">
        <f>LEFT(Table2[[#This Row],[Description]],75)</f>
        <v>Payment to American Express</v>
      </c>
    </row>
    <row r="12263" spans="1:15" hidden="1">
      <c r="A12263">
        <v>202402</v>
      </c>
      <c r="B12263" s="6">
        <v>45331</v>
      </c>
      <c r="C12263" t="s">
        <v>2519</v>
      </c>
      <c r="D12263" t="s">
        <v>1464</v>
      </c>
      <c r="E12263">
        <v>474.32</v>
      </c>
      <c r="F12263" s="2" t="str">
        <f>IF(Table2[[#This Row],[Manual Cat Value]]="",VLOOKUP(Table2[[#This Row],[Description]],'Actuals Lookup'!D:F,3,0),VLOOKUP(Table2[[#This Row],[Manual Cat Value]],Lookup!A:B,2,0))</f>
        <v>Delete</v>
      </c>
      <c r="H12263" s="8" t="s">
        <v>9</v>
      </c>
      <c r="I12263" s="8"/>
      <c r="O12263" t="str">
        <f>LEFT(Table2[[#This Row],[Description]],75)</f>
        <v>Payment to Discover Bank</v>
      </c>
    </row>
    <row r="12264" spans="1:15" hidden="1">
      <c r="A12264">
        <v>202409</v>
      </c>
      <c r="B12264" s="6">
        <v>45546</v>
      </c>
      <c r="C12264" t="s">
        <v>3938</v>
      </c>
      <c r="D12264" t="s">
        <v>1350</v>
      </c>
      <c r="E12264">
        <v>25.6</v>
      </c>
      <c r="F12264" s="2" t="str">
        <f>IF(Table2[[#This Row],[Manual Cat Value]]="",VLOOKUP(Table2[[#This Row],[Description]],'Actuals Lookup'!D:F,3,0),VLOOKUP(Table2[[#This Row],[Manual Cat Value]],Lookup!A:B,2,0))</f>
        <v>Utilities</v>
      </c>
      <c r="H12264" s="8" t="s">
        <v>6</v>
      </c>
      <c r="I12264" s="8"/>
      <c r="O12264" t="str">
        <f>LEFT(Table2[[#This Row],[Description]],75)</f>
        <v>Netflix</v>
      </c>
    </row>
    <row r="12265" spans="1:15" hidden="1">
      <c r="A12265">
        <v>202402</v>
      </c>
      <c r="B12265" s="6">
        <v>45345</v>
      </c>
      <c r="C12265" t="s">
        <v>2519</v>
      </c>
      <c r="D12265" t="s">
        <v>1464</v>
      </c>
      <c r="E12265">
        <v>840.68</v>
      </c>
      <c r="F12265" s="2" t="str">
        <f>IF(Table2[[#This Row],[Manual Cat Value]]="",VLOOKUP(Table2[[#This Row],[Description]],'Actuals Lookup'!D:F,3,0),VLOOKUP(Table2[[#This Row],[Manual Cat Value]],Lookup!A:B,2,0))</f>
        <v>Delete</v>
      </c>
      <c r="H12265" s="8" t="s">
        <v>9</v>
      </c>
      <c r="I12265" s="8"/>
      <c r="O12265" t="str">
        <f>LEFT(Table2[[#This Row],[Description]],75)</f>
        <v>Payment to Discover Bank</v>
      </c>
    </row>
    <row r="12266" spans="1:15" hidden="1">
      <c r="A12266">
        <v>202409</v>
      </c>
      <c r="B12266" s="6">
        <v>45547</v>
      </c>
      <c r="C12266" t="s">
        <v>2519</v>
      </c>
      <c r="D12266" t="s">
        <v>5755</v>
      </c>
      <c r="E12266">
        <v>-3387.66</v>
      </c>
      <c r="F12266" s="2" t="str">
        <f>IF(Table2[[#This Row],[Manual Cat Value]]="",VLOOKUP(Table2[[#This Row],[Description]],'Actuals Lookup'!D:F,3,0),VLOOKUP(Table2[[#This Row],[Manual Cat Value]],Lookup!A:B,2,0))</f>
        <v>Jeff</v>
      </c>
      <c r="H12266" s="8" t="s">
        <v>63</v>
      </c>
      <c r="I12266" s="8"/>
      <c r="O12266" t="str">
        <f>LEFT(Table2[[#This Row],[Description]],75)</f>
        <v>Deposit ACH EMPYREAN SOLUTIO TYPE: XX9000 ID: XX3620 CO: EMPYREAN SOLUTIO E</v>
      </c>
    </row>
    <row r="12267" spans="1:15" hidden="1">
      <c r="A12267">
        <v>202409</v>
      </c>
      <c r="B12267" s="6">
        <v>45547</v>
      </c>
      <c r="C12267" t="s">
        <v>3938</v>
      </c>
      <c r="D12267" t="s">
        <v>5756</v>
      </c>
      <c r="E12267">
        <v>8.7100000000000009</v>
      </c>
      <c r="F12267" s="2" t="str">
        <f>IF(Table2[[#This Row],[Manual Cat Value]]="",VLOOKUP(Table2[[#This Row],[Description]],'Actuals Lookup'!D:F,3,0),VLOOKUP(Table2[[#This Row],[Manual Cat Value]],Lookup!A:B,2,0))</f>
        <v>Entertainment</v>
      </c>
      <c r="H12267" s="8" t="s">
        <v>39</v>
      </c>
      <c r="I12267" s="8"/>
      <c r="O12267" t="str">
        <f>LEFT(Table2[[#This Row],[Description]],75)</f>
        <v>Hallmark</v>
      </c>
    </row>
    <row r="12268" spans="1:15" hidden="1">
      <c r="A12268">
        <v>202409</v>
      </c>
      <c r="B12268" s="6">
        <v>45547</v>
      </c>
      <c r="C12268" t="s">
        <v>2519</v>
      </c>
      <c r="D12268" t="s">
        <v>4343</v>
      </c>
      <c r="E12268">
        <v>-3238.06</v>
      </c>
      <c r="F12268" s="2" t="str">
        <f>IF(Table2[[#This Row],[Manual Cat Value]]="",VLOOKUP(Table2[[#This Row],[Description]],'Actuals Lookup'!D:F,3,0),VLOOKUP(Table2[[#This Row],[Manual Cat Value]],Lookup!A:B,2,0))</f>
        <v>Jeff</v>
      </c>
      <c r="H12268" s="8" t="s">
        <v>63</v>
      </c>
      <c r="I12268" s="8"/>
      <c r="O12268" t="str">
        <f>LEFT(Table2[[#This Row],[Description]],75)</f>
        <v>Salary/Regular Income from TriNet</v>
      </c>
    </row>
    <row r="12269" spans="1:15" hidden="1">
      <c r="A12269">
        <v>202409</v>
      </c>
      <c r="B12269" s="6">
        <v>45547</v>
      </c>
      <c r="C12269" t="s">
        <v>2519</v>
      </c>
      <c r="D12269" t="s">
        <v>1958</v>
      </c>
      <c r="E12269">
        <v>30</v>
      </c>
      <c r="F12269" s="2" t="str">
        <f>IF(Table2[[#This Row],[Manual Cat Value]]="",VLOOKUP(Table2[[#This Row],[Description]],'Actuals Lookup'!D:F,3,0),VLOOKUP(Table2[[#This Row],[Manual Cat Value]],Lookup!A:B,2,0))</f>
        <v>Shopping</v>
      </c>
      <c r="H12269" s="8" t="s">
        <v>36</v>
      </c>
      <c r="I12269" s="8"/>
      <c r="O12269" t="str">
        <f>LEFT(Table2[[#This Row],[Description]],75)</f>
        <v>Transfer to Venmo</v>
      </c>
    </row>
    <row r="12270" spans="1:15" hidden="1">
      <c r="A12270">
        <v>202409</v>
      </c>
      <c r="B12270" s="6">
        <v>45548</v>
      </c>
      <c r="C12270" t="s">
        <v>130</v>
      </c>
      <c r="D12270" t="s">
        <v>5757</v>
      </c>
      <c r="E12270">
        <v>9.81</v>
      </c>
      <c r="F12270" s="2" t="str">
        <f>IF(Table2[[#This Row],[Manual Cat Value]]="",VLOOKUP(Table2[[#This Row],[Description]],'Actuals Lookup'!D:F,3,0),VLOOKUP(Table2[[#This Row],[Manual Cat Value]],Lookup!A:B,2,0))</f>
        <v>Restaurants</v>
      </c>
      <c r="H12270" s="8" t="s">
        <v>25</v>
      </c>
      <c r="I12270" s="8"/>
      <c r="O12270" t="str">
        <f>LEFT(Table2[[#This Row],[Description]],75)</f>
        <v>AplPay TST* NORTH COEXCELSIOR           MN</v>
      </c>
    </row>
    <row r="12271" spans="1:15" hidden="1">
      <c r="A12271">
        <v>202409</v>
      </c>
      <c r="B12271" s="6">
        <v>45548</v>
      </c>
      <c r="C12271" t="s">
        <v>3938</v>
      </c>
      <c r="D12271" t="s">
        <v>5758</v>
      </c>
      <c r="E12271">
        <v>45</v>
      </c>
      <c r="F12271" s="2" t="str">
        <f>IF(Table2[[#This Row],[Manual Cat Value]]="",VLOOKUP(Table2[[#This Row],[Description]],'Actuals Lookup'!D:F,3,0),VLOOKUP(Table2[[#This Row],[Manual Cat Value]],Lookup!A:B,2,0))</f>
        <v>Utilities</v>
      </c>
      <c r="H12271" s="8" t="s">
        <v>6</v>
      </c>
      <c r="I12271" s="8"/>
      <c r="O12271" t="str">
        <f>LEFT(Table2[[#This Row],[Description]],75)</f>
        <v>CENTURYLINK LUMEN        800-244-1111 LA REF #2469216LG363E6GVF</v>
      </c>
    </row>
    <row r="12272" spans="1:15" hidden="1">
      <c r="A12272">
        <v>202409</v>
      </c>
      <c r="B12272" s="6">
        <v>45548</v>
      </c>
      <c r="C12272" t="s">
        <v>5160</v>
      </c>
      <c r="D12272" t="s">
        <v>5759</v>
      </c>
      <c r="E12272">
        <v>129.54</v>
      </c>
      <c r="F12272" s="2" t="str">
        <f>IF(Table2[[#This Row],[Manual Cat Value]]="",VLOOKUP(Table2[[#This Row],[Description]],'Actuals Lookup'!D:F,3,0),VLOOKUP(Table2[[#This Row],[Manual Cat Value]],Lookup!A:B,2,0))</f>
        <v>Groceries</v>
      </c>
      <c r="H12272" s="8" t="s">
        <v>27</v>
      </c>
      <c r="I12272" s="8"/>
      <c r="O12272" t="str">
        <f>LEFT(Table2[[#This Row],[Description]],75)</f>
        <v>HOME CHEF           CHICAGO             IL</v>
      </c>
    </row>
    <row r="12273" spans="1:15" hidden="1">
      <c r="A12273">
        <v>202409</v>
      </c>
      <c r="B12273" s="6">
        <v>45548</v>
      </c>
      <c r="C12273" t="s">
        <v>3938</v>
      </c>
      <c r="D12273" t="s">
        <v>1462</v>
      </c>
      <c r="E12273">
        <v>45</v>
      </c>
      <c r="F12273" s="2" t="str">
        <f>IF(Table2[[#This Row],[Manual Cat Value]]="",VLOOKUP(Table2[[#This Row],[Description]],'Actuals Lookup'!D:F,3,0),VLOOKUP(Table2[[#This Row],[Manual Cat Value]],Lookup!A:B,2,0))</f>
        <v>Utilities</v>
      </c>
      <c r="H12273" s="8" t="s">
        <v>6</v>
      </c>
      <c r="I12273" s="8"/>
      <c r="O12273" t="str">
        <f>LEFT(Table2[[#This Row],[Description]],75)</f>
        <v>Payment to CenturyLink</v>
      </c>
    </row>
    <row r="12274" spans="1:15" hidden="1">
      <c r="A12274">
        <v>202409</v>
      </c>
      <c r="B12274" s="6">
        <v>45548</v>
      </c>
      <c r="C12274" t="s">
        <v>130</v>
      </c>
      <c r="D12274" t="s">
        <v>5760</v>
      </c>
      <c r="E12274">
        <v>142.12</v>
      </c>
      <c r="F12274" s="2" t="str">
        <f>IF(Table2[[#This Row],[Manual Cat Value]]="",VLOOKUP(Table2[[#This Row],[Description]],'Actuals Lookup'!D:F,3,0),VLOOKUP(Table2[[#This Row],[Manual Cat Value]],Lookup!A:B,2,0))</f>
        <v>Restaurants</v>
      </c>
      <c r="H12274" s="8" t="s">
        <v>25</v>
      </c>
      <c r="I12274" s="8"/>
      <c r="O12274" t="str">
        <f>LEFT(Table2[[#This Row],[Description]],75)</f>
        <v>TST* NORTH COOP 0013EXCELSIOR           MN</v>
      </c>
    </row>
    <row r="12275" spans="1:15" hidden="1">
      <c r="A12275">
        <v>202409</v>
      </c>
      <c r="B12275" s="6">
        <v>45549</v>
      </c>
      <c r="C12275" t="s">
        <v>2258</v>
      </c>
      <c r="D12275" t="s">
        <v>5761</v>
      </c>
      <c r="E12275">
        <v>22.99</v>
      </c>
      <c r="F12275" s="2" t="str">
        <f>IF(Table2[[#This Row],[Manual Cat Value]]="",VLOOKUP(Table2[[#This Row],[Description]],'Actuals Lookup'!D:F,3,0),VLOOKUP(Table2[[#This Row],[Manual Cat Value]],Lookup!A:B,2,0))</f>
        <v>Amazon</v>
      </c>
      <c r="H12275" s="8" t="s">
        <v>37</v>
      </c>
      <c r="I12275" s="8"/>
      <c r="O12275" t="str">
        <f>LEFT(Table2[[#This Row],[Description]],75)</f>
        <v>AMAZON MKTPL*BW43E9B33 AMZN.COM/BILLWA7CV6Z3F4DU6</v>
      </c>
    </row>
    <row r="12276" spans="1:15" hidden="1">
      <c r="A12276">
        <v>202409</v>
      </c>
      <c r="B12276" s="6">
        <v>45549</v>
      </c>
      <c r="C12276" t="s">
        <v>130</v>
      </c>
      <c r="D12276" t="s">
        <v>5762</v>
      </c>
      <c r="E12276">
        <v>20</v>
      </c>
      <c r="F12276" s="2" t="str">
        <f>IF(Table2[[#This Row],[Manual Cat Value]]="",VLOOKUP(Table2[[#This Row],[Description]],'Actuals Lookup'!D:F,3,0),VLOOKUP(Table2[[#This Row],[Manual Cat Value]],Lookup!A:B,2,0))</f>
        <v>Utilities</v>
      </c>
      <c r="H12276" s="8" t="s">
        <v>6</v>
      </c>
      <c r="I12276" s="8"/>
      <c r="O12276" t="str">
        <f>LEFT(Table2[[#This Row],[Description]],75)</f>
        <v>OPENAI *CHATGPT SUBSSAN FRANCISCO       CA</v>
      </c>
    </row>
    <row r="12277" spans="1:15" hidden="1">
      <c r="A12277">
        <v>202409</v>
      </c>
      <c r="B12277" s="6">
        <v>45550</v>
      </c>
      <c r="C12277" t="s">
        <v>2258</v>
      </c>
      <c r="D12277" t="s">
        <v>5763</v>
      </c>
      <c r="E12277">
        <v>39.979999999999997</v>
      </c>
      <c r="F12277" s="2" t="str">
        <f>IF(Table2[[#This Row],[Manual Cat Value]]="",VLOOKUP(Table2[[#This Row],[Description]],'Actuals Lookup'!D:F,3,0),VLOOKUP(Table2[[#This Row],[Manual Cat Value]],Lookup!A:B,2,0))</f>
        <v>Amazon</v>
      </c>
      <c r="H12277" s="8" t="s">
        <v>37</v>
      </c>
      <c r="I12277" s="8"/>
      <c r="O12277" t="str">
        <f>LEFT(Table2[[#This Row],[Description]],75)</f>
        <v>AMAZON MKTPL*L75XS4YP3 AMZN.COM/BILLWA5B4HSND3X3H</v>
      </c>
    </row>
    <row r="12278" spans="1:15" hidden="1">
      <c r="A12278">
        <v>202409</v>
      </c>
      <c r="B12278" s="6">
        <v>45550</v>
      </c>
      <c r="C12278" t="s">
        <v>130</v>
      </c>
      <c r="D12278" t="s">
        <v>5764</v>
      </c>
      <c r="E12278">
        <v>2</v>
      </c>
      <c r="F12278" s="2" t="str">
        <f>IF(Table2[[#This Row],[Manual Cat Value]]="",VLOOKUP(Table2[[#This Row],[Description]],'Actuals Lookup'!D:F,3,0),VLOOKUP(Table2[[#This Row],[Manual Cat Value]],Lookup!A:B,2,0))</f>
        <v>Restaurants</v>
      </c>
      <c r="H12278" s="8" t="s">
        <v>25</v>
      </c>
      <c r="I12278" s="8"/>
      <c r="O12278" t="str">
        <f>LEFT(Table2[[#This Row],[Description]],75)</f>
        <v>NORTH STAR DONUTS   Victoria            MN</v>
      </c>
    </row>
    <row r="12279" spans="1:15" hidden="1">
      <c r="A12279">
        <v>202409</v>
      </c>
      <c r="B12279" s="6">
        <v>45550</v>
      </c>
      <c r="C12279" t="s">
        <v>130</v>
      </c>
      <c r="D12279" t="s">
        <v>5765</v>
      </c>
      <c r="E12279">
        <v>2.15</v>
      </c>
      <c r="F12279" s="2" t="str">
        <f>IF(Table2[[#This Row],[Manual Cat Value]]="",VLOOKUP(Table2[[#This Row],[Description]],'Actuals Lookup'!D:F,3,0),VLOOKUP(Table2[[#This Row],[Manual Cat Value]],Lookup!A:B,2,0))</f>
        <v>Shopping</v>
      </c>
      <c r="H12279" s="8" t="s">
        <v>36</v>
      </c>
      <c r="I12279" s="8"/>
      <c r="O12279" t="str">
        <f>LEFT(Table2[[#This Row],[Description]],75)</f>
        <v>PRIME VIDEO CHANNELSAMZN.COM/BILL       WA</v>
      </c>
    </row>
    <row r="12280" spans="1:15" hidden="1">
      <c r="A12280">
        <v>202409</v>
      </c>
      <c r="B12280" s="6">
        <v>45550</v>
      </c>
      <c r="C12280" t="s">
        <v>130</v>
      </c>
      <c r="D12280" t="s">
        <v>5766</v>
      </c>
      <c r="E12280">
        <v>459.84</v>
      </c>
      <c r="F12280" s="2" t="str">
        <f>IF(Table2[[#This Row],[Manual Cat Value]]="",VLOOKUP(Table2[[#This Row],[Description]],'Actuals Lookup'!D:F,3,0),VLOOKUP(Table2[[#This Row],[Manual Cat Value]],Lookup!A:B,2,0))</f>
        <v>House Maintenance</v>
      </c>
      <c r="H12280" s="8" t="s">
        <v>1</v>
      </c>
      <c r="I12280" s="8"/>
      <c r="O12280" t="str">
        <f>LEFT(Table2[[#This Row],[Description]],75)</f>
        <v>SLATWALLACC         3346556132          FL</v>
      </c>
    </row>
    <row r="12281" spans="1:15" hidden="1">
      <c r="A12281">
        <v>202403</v>
      </c>
      <c r="B12281" s="6">
        <v>45366</v>
      </c>
      <c r="C12281" t="s">
        <v>2519</v>
      </c>
      <c r="D12281" t="s">
        <v>1464</v>
      </c>
      <c r="E12281">
        <v>190.59</v>
      </c>
      <c r="F12281" s="2" t="str">
        <f>IF(Table2[[#This Row],[Manual Cat Value]]="",VLOOKUP(Table2[[#This Row],[Description]],'Actuals Lookup'!D:F,3,0),VLOOKUP(Table2[[#This Row],[Manual Cat Value]],Lookup!A:B,2,0))</f>
        <v>Delete</v>
      </c>
      <c r="I12281" s="8"/>
      <c r="O12281" t="str">
        <f>LEFT(Table2[[#This Row],[Description]],75)</f>
        <v>Payment to Discover Bank</v>
      </c>
    </row>
    <row r="12282" spans="1:15" hidden="1">
      <c r="A12282">
        <v>202404</v>
      </c>
      <c r="B12282" s="6">
        <v>45401</v>
      </c>
      <c r="C12282" t="s">
        <v>2519</v>
      </c>
      <c r="D12282" t="s">
        <v>1464</v>
      </c>
      <c r="E12282">
        <v>11.9</v>
      </c>
      <c r="F12282" s="2" t="str">
        <f>IF(Table2[[#This Row],[Manual Cat Value]]="",VLOOKUP(Table2[[#This Row],[Description]],'Actuals Lookup'!D:F,3,0),VLOOKUP(Table2[[#This Row],[Manual Cat Value]],Lookup!A:B,2,0))</f>
        <v>Delete</v>
      </c>
      <c r="I12282" s="8"/>
      <c r="O12282" t="str">
        <f>LEFT(Table2[[#This Row],[Description]],75)</f>
        <v>Payment to Discover Bank</v>
      </c>
    </row>
    <row r="12283" spans="1:15" hidden="1">
      <c r="A12283">
        <v>202409</v>
      </c>
      <c r="B12283" s="6">
        <v>45551</v>
      </c>
      <c r="C12283" t="s">
        <v>2519</v>
      </c>
      <c r="D12283" t="s">
        <v>4356</v>
      </c>
      <c r="E12283">
        <v>120.47</v>
      </c>
      <c r="F12283" s="2" t="str">
        <f>IF(Table2[[#This Row],[Manual Cat Value]]="",VLOOKUP(Table2[[#This Row],[Description]],'Actuals Lookup'!D:F,3,0),VLOOKUP(Table2[[#This Row],[Manual Cat Value]],Lookup!A:B,2,0))</f>
        <v>Insurance</v>
      </c>
      <c r="H12283" s="8" t="s">
        <v>17</v>
      </c>
      <c r="I12283" s="8"/>
      <c r="O12283" t="str">
        <f>LEFT(Table2[[#This Row],[Description]],75)</f>
        <v>Payment to American Family Insurance</v>
      </c>
    </row>
    <row r="12284" spans="1:15" hidden="1">
      <c r="A12284">
        <v>202409</v>
      </c>
      <c r="B12284" s="6">
        <v>45551</v>
      </c>
      <c r="C12284" t="s">
        <v>3938</v>
      </c>
      <c r="D12284" t="s">
        <v>5767</v>
      </c>
      <c r="E12284">
        <v>9</v>
      </c>
      <c r="F12284" s="2" t="str">
        <f>IF(Table2[[#This Row],[Manual Cat Value]]="",VLOOKUP(Table2[[#This Row],[Description]],'Actuals Lookup'!D:F,3,0),VLOOKUP(Table2[[#This Row],[Manual Cat Value]],Lookup!A:B,2,0))</f>
        <v>Restaurants</v>
      </c>
      <c r="H12284" s="8" t="s">
        <v>25</v>
      </c>
      <c r="I12284" s="8"/>
      <c r="O12284" t="str">
        <f>LEFT(Table2[[#This Row],[Description]],75)</f>
        <v>SQ *NORTH STAR DONUTS Victoria MN REF #XX9216LK2ZEFHYNL</v>
      </c>
    </row>
    <row r="12285" spans="1:15" hidden="1">
      <c r="A12285">
        <v>202409</v>
      </c>
      <c r="B12285" s="6">
        <v>45551</v>
      </c>
      <c r="C12285" t="s">
        <v>3938</v>
      </c>
      <c r="D12285" t="s">
        <v>5768</v>
      </c>
      <c r="E12285">
        <v>61.98</v>
      </c>
      <c r="F12285" s="2" t="str">
        <f>IF(Table2[[#This Row],[Manual Cat Value]]="",VLOOKUP(Table2[[#This Row],[Description]],'Actuals Lookup'!D:F,3,0),VLOOKUP(Table2[[#This Row],[Manual Cat Value]],Lookup!A:B,2,0))</f>
        <v>Restaurants</v>
      </c>
      <c r="H12285" s="8" t="s">
        <v>25</v>
      </c>
      <c r="I12285" s="8"/>
      <c r="O12285" t="str">
        <f>LEFT(Table2[[#This Row],[Description]],75)</f>
        <v>TST* LAGOS TACOS EXCELSIOXX-8495 MN REF #XX3746LK2XPR1HHK</v>
      </c>
    </row>
    <row r="12286" spans="1:15" hidden="1">
      <c r="A12286">
        <v>202409</v>
      </c>
      <c r="B12286" s="6">
        <v>45551</v>
      </c>
      <c r="C12286" t="s">
        <v>3938</v>
      </c>
      <c r="D12286" t="s">
        <v>5769</v>
      </c>
      <c r="E12286">
        <v>46.35</v>
      </c>
      <c r="F12286" s="2" t="str">
        <f>IF(Table2[[#This Row],[Manual Cat Value]]="",VLOOKUP(Table2[[#This Row],[Description]],'Actuals Lookup'!D:F,3,0),VLOOKUP(Table2[[#This Row],[Manual Cat Value]],Lookup!A:B,2,0))</f>
        <v>Restaurants</v>
      </c>
      <c r="H12286" s="8" t="s">
        <v>25</v>
      </c>
      <c r="I12286" s="8"/>
      <c r="O12286" t="str">
        <f>LEFT(Table2[[#This Row],[Description]],75)</f>
        <v>U OF M-ARB APPLEHOUSE CHASKA MN REF #XX3829LL0X2Y07VH</v>
      </c>
    </row>
    <row r="12287" spans="1:15" hidden="1">
      <c r="A12287">
        <v>202409</v>
      </c>
      <c r="B12287" s="6">
        <v>45552</v>
      </c>
      <c r="C12287" t="s">
        <v>2258</v>
      </c>
      <c r="D12287" t="s">
        <v>5770</v>
      </c>
      <c r="E12287">
        <v>11.2</v>
      </c>
      <c r="F12287" s="2" t="str">
        <f>IF(Table2[[#This Row],[Manual Cat Value]]="",VLOOKUP(Table2[[#This Row],[Description]],'Actuals Lookup'!D:F,3,0),VLOOKUP(Table2[[#This Row],[Manual Cat Value]],Lookup!A:B,2,0))</f>
        <v>Amazon</v>
      </c>
      <c r="H12287" s="8" t="s">
        <v>37</v>
      </c>
      <c r="I12287" s="8"/>
      <c r="O12287" t="str">
        <f>LEFT(Table2[[#This Row],[Description]],75)</f>
        <v>AMAZON.COM*4D8IW4CD3 AMZN.COM/BILLWA53KIQ0LNGLB</v>
      </c>
    </row>
    <row r="12288" spans="1:15" hidden="1">
      <c r="A12288">
        <v>202409</v>
      </c>
      <c r="B12288" s="6">
        <v>45552</v>
      </c>
      <c r="C12288" t="s">
        <v>130</v>
      </c>
      <c r="D12288" t="s">
        <v>5771</v>
      </c>
      <c r="E12288">
        <v>29.3</v>
      </c>
      <c r="F12288" s="2" t="str">
        <f>IF(Table2[[#This Row],[Manual Cat Value]]="",VLOOKUP(Table2[[#This Row],[Description]],'Actuals Lookup'!D:F,3,0),VLOOKUP(Table2[[#This Row],[Manual Cat Value]],Lookup!A:B,2,0))</f>
        <v>Restaurants</v>
      </c>
      <c r="H12288" s="8" t="s">
        <v>25</v>
      </c>
      <c r="I12288" s="8"/>
      <c r="O12288" t="str">
        <f>LEFT(Table2[[#This Row],[Description]],75)</f>
        <v>AplPay JIMMY JOHNS -CHANHASSEN          MN</v>
      </c>
    </row>
    <row r="12289" spans="1:15" hidden="1">
      <c r="A12289">
        <v>202404</v>
      </c>
      <c r="B12289" s="6">
        <v>45412</v>
      </c>
      <c r="C12289" t="s">
        <v>2519</v>
      </c>
      <c r="D12289" t="s">
        <v>1464</v>
      </c>
      <c r="E12289">
        <v>457.42</v>
      </c>
      <c r="F12289" s="2" t="str">
        <f>IF(Table2[[#This Row],[Manual Cat Value]]="",VLOOKUP(Table2[[#This Row],[Description]],'Actuals Lookup'!D:F,3,0),VLOOKUP(Table2[[#This Row],[Manual Cat Value]],Lookup!A:B,2,0))</f>
        <v>Delete</v>
      </c>
      <c r="I12289" s="8"/>
      <c r="O12289" t="str">
        <f>LEFT(Table2[[#This Row],[Description]],75)</f>
        <v>Payment to Discover Bank</v>
      </c>
    </row>
    <row r="12290" spans="1:15" hidden="1">
      <c r="A12290">
        <v>202408</v>
      </c>
      <c r="B12290" s="6">
        <v>45532</v>
      </c>
      <c r="C12290" t="s">
        <v>3938</v>
      </c>
      <c r="D12290" t="s">
        <v>1464</v>
      </c>
      <c r="E12290">
        <v>31.31</v>
      </c>
      <c r="F12290" s="2" t="str">
        <f>IF(Table2[[#This Row],[Manual Cat Value]]="",VLOOKUP(Table2[[#This Row],[Description]],'Actuals Lookup'!D:F,3,0),VLOOKUP(Table2[[#This Row],[Manual Cat Value]],Lookup!A:B,2,0))</f>
        <v>Delete</v>
      </c>
      <c r="I12290" s="8"/>
      <c r="O12290" t="str">
        <f>LEFT(Table2[[#This Row],[Description]],75)</f>
        <v>Payment to Discover Bank</v>
      </c>
    </row>
    <row r="12291" spans="1:15" hidden="1">
      <c r="A12291">
        <v>202409</v>
      </c>
      <c r="B12291" s="6">
        <v>45552</v>
      </c>
      <c r="C12291" t="s">
        <v>2519</v>
      </c>
      <c r="D12291" t="s">
        <v>5443</v>
      </c>
      <c r="E12291">
        <v>380</v>
      </c>
      <c r="F12291" s="2" t="str">
        <f>IF(Table2[[#This Row],[Manual Cat Value]]="",VLOOKUP(Table2[[#This Row],[Description]],'Actuals Lookup'!D:F,3,0),VLOOKUP(Table2[[#This Row],[Manual Cat Value]],Lookup!A:B,2,0))</f>
        <v>Day Care</v>
      </c>
      <c r="H12291" s="8" t="s">
        <v>19</v>
      </c>
      <c r="I12291" s="8"/>
      <c r="O12291" t="str">
        <f>LEFT(Table2[[#This Row],[Description]],75)</f>
        <v>Mis Amigos</v>
      </c>
    </row>
    <row r="12292" spans="1:15" hidden="1">
      <c r="A12292">
        <v>202410</v>
      </c>
      <c r="B12292" s="6">
        <v>45586</v>
      </c>
      <c r="C12292" t="s">
        <v>2519</v>
      </c>
      <c r="D12292" t="s">
        <v>1464</v>
      </c>
      <c r="E12292">
        <v>174.91</v>
      </c>
      <c r="F12292" s="2" t="str">
        <f>IF(Table2[[#This Row],[Manual Cat Value]]="",VLOOKUP(Table2[[#This Row],[Description]],'Actuals Lookup'!D:F,3,0),VLOOKUP(Table2[[#This Row],[Manual Cat Value]],Lookup!A:B,2,0))</f>
        <v>Delete</v>
      </c>
      <c r="H12292" s="8" t="s">
        <v>9</v>
      </c>
      <c r="I12292" s="8"/>
      <c r="O12292" t="str">
        <f>LEFT(Table2[[#This Row],[Description]],75)</f>
        <v>Payment to Discover Bank</v>
      </c>
    </row>
    <row r="12293" spans="1:15" hidden="1">
      <c r="A12293">
        <v>202411</v>
      </c>
      <c r="B12293" s="6">
        <v>45610</v>
      </c>
      <c r="C12293" t="s">
        <v>2519</v>
      </c>
      <c r="D12293" t="s">
        <v>1464</v>
      </c>
      <c r="E12293">
        <v>812.82</v>
      </c>
      <c r="F12293" s="2" t="str">
        <f>IF(Table2[[#This Row],[Manual Cat Value]]="",VLOOKUP(Table2[[#This Row],[Description]],'Actuals Lookup'!D:F,3,0),VLOOKUP(Table2[[#This Row],[Manual Cat Value]],Lookup!A:B,2,0))</f>
        <v>Delete</v>
      </c>
      <c r="I12293" s="8"/>
      <c r="O12293" t="str">
        <f>LEFT(Table2[[#This Row],[Description]],75)</f>
        <v>Payment to Discover Bank</v>
      </c>
    </row>
    <row r="12294" spans="1:15" hidden="1">
      <c r="A12294">
        <v>202411</v>
      </c>
      <c r="B12294" s="6">
        <v>45625</v>
      </c>
      <c r="C12294" t="s">
        <v>2519</v>
      </c>
      <c r="D12294" t="s">
        <v>1464</v>
      </c>
      <c r="E12294">
        <v>386.89</v>
      </c>
      <c r="F12294" s="2" t="str">
        <f>IF(Table2[[#This Row],[Manual Cat Value]]="",VLOOKUP(Table2[[#This Row],[Description]],'Actuals Lookup'!D:F,3,0),VLOOKUP(Table2[[#This Row],[Manual Cat Value]],Lookup!A:B,2,0))</f>
        <v>Delete</v>
      </c>
      <c r="I12294" s="8"/>
      <c r="O12294" t="str">
        <f>LEFT(Table2[[#This Row],[Description]],75)</f>
        <v>Payment to Discover Bank</v>
      </c>
    </row>
    <row r="12295" spans="1:15" hidden="1">
      <c r="A12295">
        <v>202409</v>
      </c>
      <c r="B12295" s="6">
        <v>45553</v>
      </c>
      <c r="C12295" t="s">
        <v>130</v>
      </c>
      <c r="D12295" t="s">
        <v>5772</v>
      </c>
      <c r="E12295">
        <v>36.950000000000003</v>
      </c>
      <c r="F12295" s="2" t="str">
        <f>IF(Table2[[#This Row],[Manual Cat Value]]="",VLOOKUP(Table2[[#This Row],[Description]],'Actuals Lookup'!D:F,3,0),VLOOKUP(Table2[[#This Row],[Manual Cat Value]],Lookup!A:B,2,0))</f>
        <v>Restaurants</v>
      </c>
      <c r="H12295" s="8" t="s">
        <v>25</v>
      </c>
      <c r="I12295" s="8"/>
      <c r="O12295" t="str">
        <f>LEFT(Table2[[#This Row],[Description]],75)</f>
        <v>AplPay TST* MAYNARDSEXCELSIOR           MN</v>
      </c>
    </row>
    <row r="12296" spans="1:15" hidden="1">
      <c r="A12296">
        <v>202409</v>
      </c>
      <c r="B12296" s="6">
        <v>45553</v>
      </c>
      <c r="C12296" t="s">
        <v>2258</v>
      </c>
      <c r="D12296" t="s">
        <v>5773</v>
      </c>
      <c r="E12296">
        <v>-66.17</v>
      </c>
      <c r="F12296" s="2" t="str">
        <f>IF(Table2[[#This Row],[Manual Cat Value]]="",VLOOKUP(Table2[[#This Row],[Description]],'Actuals Lookup'!D:F,3,0),VLOOKUP(Table2[[#This Row],[Manual Cat Value]],Lookup!A:B,2,0))</f>
        <v>Utilities</v>
      </c>
      <c r="H12296" s="8" t="s">
        <v>6</v>
      </c>
      <c r="I12296" s="8"/>
      <c r="O12296" t="str">
        <f>LEFT(Table2[[#This Row],[Description]],75)</f>
        <v>DIRECTPAY FULL BALANCESEE DETAILS OF YOUR NEXT DIRECTPAY BELOW</v>
      </c>
    </row>
    <row r="12297" spans="1:15" hidden="1">
      <c r="A12297">
        <v>202409</v>
      </c>
      <c r="B12297" s="6">
        <v>45553</v>
      </c>
      <c r="C12297" t="s">
        <v>130</v>
      </c>
      <c r="D12297" t="s">
        <v>5774</v>
      </c>
      <c r="E12297">
        <v>437.45</v>
      </c>
      <c r="F12297" s="2" t="str">
        <f>IF(Table2[[#This Row],[Manual Cat Value]]="",VLOOKUP(Table2[[#This Row],[Description]],'Actuals Lookup'!D:F,3,0),VLOOKUP(Table2[[#This Row],[Manual Cat Value]],Lookup!A:B,2,0))</f>
        <v>Restaurants</v>
      </c>
      <c r="H12297" s="8" t="s">
        <v>25</v>
      </c>
      <c r="I12297" s="8"/>
      <c r="O12297" t="str">
        <f>LEFT(Table2[[#This Row],[Description]],75)</f>
        <v>TST* PRIVATE PROPERTLEXINGTON           SC</v>
      </c>
    </row>
    <row r="12298" spans="1:15" hidden="1">
      <c r="A12298">
        <v>202409</v>
      </c>
      <c r="B12298" s="6">
        <v>45553</v>
      </c>
      <c r="C12298" t="s">
        <v>2519</v>
      </c>
      <c r="D12298" t="s">
        <v>5775</v>
      </c>
      <c r="E12298">
        <v>650</v>
      </c>
      <c r="F12298" s="2" t="str">
        <f>IF(Table2[[#This Row],[Manual Cat Value]]="",VLOOKUP(Table2[[#This Row],[Description]],'Actuals Lookup'!D:F,3,0),VLOOKUP(Table2[[#This Row],[Manual Cat Value]],Lookup!A:B,2,0))</f>
        <v>College Savings</v>
      </c>
      <c r="H12298" s="8" t="s">
        <v>60</v>
      </c>
      <c r="I12298" s="8"/>
      <c r="O12298" t="str">
        <f>LEFT(Table2[[#This Row],[Description]],75)</f>
        <v>Withdrawal ACH MN DIR ACH TYPE: CONTRIB ID: XX7162 CO: MN DIR ACH NAME: XX2</v>
      </c>
    </row>
    <row r="12299" spans="1:15" hidden="1">
      <c r="A12299">
        <v>202409</v>
      </c>
      <c r="B12299" s="6">
        <v>45554</v>
      </c>
      <c r="C12299" t="s">
        <v>3938</v>
      </c>
      <c r="D12299" t="s">
        <v>113</v>
      </c>
      <c r="E12299">
        <v>22.76</v>
      </c>
      <c r="F12299" s="2" t="str">
        <f>IF(Table2[[#This Row],[Manual Cat Value]]="",VLOOKUP(Table2[[#This Row],[Description]],'Actuals Lookup'!D:F,3,0),VLOOKUP(Table2[[#This Row],[Manual Cat Value]],Lookup!A:B,2,0))</f>
        <v>Amazon</v>
      </c>
      <c r="H12299" s="8" t="s">
        <v>37</v>
      </c>
      <c r="I12299" s="8"/>
      <c r="O12299" t="str">
        <f>LEFT(Table2[[#This Row],[Description]],75)</f>
        <v>Amazon Marketplace</v>
      </c>
    </row>
    <row r="12300" spans="1:15" hidden="1">
      <c r="A12300">
        <v>202409</v>
      </c>
      <c r="B12300" s="6">
        <v>45554</v>
      </c>
      <c r="C12300" t="s">
        <v>3938</v>
      </c>
      <c r="D12300" t="s">
        <v>113</v>
      </c>
      <c r="E12300">
        <v>61.49</v>
      </c>
      <c r="F12300" s="2" t="str">
        <f>IF(Table2[[#This Row],[Manual Cat Value]]="",VLOOKUP(Table2[[#This Row],[Description]],'Actuals Lookup'!D:F,3,0),VLOOKUP(Table2[[#This Row],[Manual Cat Value]],Lookup!A:B,2,0))</f>
        <v>Amazon</v>
      </c>
      <c r="H12300" s="8" t="s">
        <v>37</v>
      </c>
      <c r="I12300" s="8"/>
      <c r="O12300" t="str">
        <f>LEFT(Table2[[#This Row],[Description]],75)</f>
        <v>Amazon Marketplace</v>
      </c>
    </row>
    <row r="12301" spans="1:15" hidden="1">
      <c r="A12301">
        <v>202412</v>
      </c>
      <c r="B12301" s="6">
        <v>45635</v>
      </c>
      <c r="C12301" t="s">
        <v>2519</v>
      </c>
      <c r="D12301" t="s">
        <v>1464</v>
      </c>
      <c r="E12301">
        <v>590.36</v>
      </c>
      <c r="F12301" s="2" t="str">
        <f>IF(Table2[[#This Row],[Manual Cat Value]]="",VLOOKUP(Table2[[#This Row],[Description]],'Actuals Lookup'!D:F,3,0),VLOOKUP(Table2[[#This Row],[Manual Cat Value]],Lookup!A:B,2,0))</f>
        <v>Delete</v>
      </c>
      <c r="I12301" s="8"/>
      <c r="O12301" t="str">
        <f>LEFT(Table2[[#This Row],[Description]],75)</f>
        <v>Payment to Discover Bank</v>
      </c>
    </row>
    <row r="12302" spans="1:15" hidden="1">
      <c r="A12302">
        <v>202412</v>
      </c>
      <c r="B12302" s="6">
        <v>45652</v>
      </c>
      <c r="C12302" t="s">
        <v>2519</v>
      </c>
      <c r="D12302" t="s">
        <v>1464</v>
      </c>
      <c r="E12302">
        <v>500.36</v>
      </c>
      <c r="F12302" s="2" t="str">
        <f>IF(Table2[[#This Row],[Manual Cat Value]]="",VLOOKUP(Table2[[#This Row],[Description]],'Actuals Lookup'!D:F,3,0),VLOOKUP(Table2[[#This Row],[Manual Cat Value]],Lookup!A:B,2,0))</f>
        <v>Delete</v>
      </c>
      <c r="I12302" s="8"/>
      <c r="O12302" t="str">
        <f>LEFT(Table2[[#This Row],[Description]],75)</f>
        <v>Payment to Discover Bank</v>
      </c>
    </row>
    <row r="12303" spans="1:15" hidden="1">
      <c r="A12303">
        <v>202406</v>
      </c>
      <c r="B12303" s="6">
        <v>45471</v>
      </c>
      <c r="C12303" t="s">
        <v>2519</v>
      </c>
      <c r="D12303" t="s">
        <v>5404</v>
      </c>
      <c r="E12303">
        <v>748.44</v>
      </c>
      <c r="F12303" s="2" t="str">
        <f>IF(Table2[[#This Row],[Manual Cat Value]]="",VLOOKUP(Table2[[#This Row],[Description]],'Actuals Lookup'!D:F,3,0),VLOOKUP(Table2[[#This Row],[Manual Cat Value]],Lookup!A:B,2,0))</f>
        <v>Delete</v>
      </c>
      <c r="H12303" s="8" t="s">
        <v>9</v>
      </c>
      <c r="I12303" s="8" t="s">
        <v>5776</v>
      </c>
      <c r="O12303" t="str">
        <f>LEFT(Table2[[#This Row],[Description]],75)</f>
        <v>Payment to Discovery Trading Post</v>
      </c>
    </row>
    <row r="12304" spans="1:15" hidden="1">
      <c r="A12304">
        <v>202409</v>
      </c>
      <c r="B12304" s="6">
        <v>45560</v>
      </c>
      <c r="C12304" t="s">
        <v>130</v>
      </c>
      <c r="D12304" t="s">
        <v>5777</v>
      </c>
      <c r="E12304">
        <v>155.05000000000001</v>
      </c>
      <c r="F12304" s="2" t="str">
        <f>IF(Table2[[#This Row],[Manual Cat Value]]="",VLOOKUP(Table2[[#This Row],[Description]],'Actuals Lookup'!D:F,3,0),VLOOKUP(Table2[[#This Row],[Manual Cat Value]],Lookup!A:B,2,0))</f>
        <v>Delete</v>
      </c>
      <c r="H12304" s="8" t="s">
        <v>9</v>
      </c>
      <c r="I12304" s="8"/>
      <c r="O12304" t="str">
        <f>LEFT(Table2[[#This Row],[Description]],75)</f>
        <v>PIZZA 9 THE LANDING ALBUQUERQUE         NM</v>
      </c>
    </row>
    <row r="12305" spans="1:15" hidden="1">
      <c r="A12305">
        <v>202409</v>
      </c>
      <c r="B12305" s="6">
        <v>45554</v>
      </c>
      <c r="C12305" t="s">
        <v>2519</v>
      </c>
      <c r="D12305" t="s">
        <v>1955</v>
      </c>
      <c r="E12305">
        <v>2.99</v>
      </c>
      <c r="F12305" s="2" t="str">
        <f>IF(Table2[[#This Row],[Manual Cat Value]]="",VLOOKUP(Table2[[#This Row],[Description]],'Actuals Lookup'!D:F,3,0),VLOOKUP(Table2[[#This Row],[Manual Cat Value]],Lookup!A:B,2,0))</f>
        <v>Shopping</v>
      </c>
      <c r="H12305" s="8" t="s">
        <v>36</v>
      </c>
      <c r="I12305" s="8"/>
      <c r="O12305" t="str">
        <f>LEFT(Table2[[#This Row],[Description]],75)</f>
        <v>Transfer to PayPal</v>
      </c>
    </row>
    <row r="12306" spans="1:15" hidden="1">
      <c r="A12306" s="25">
        <v>202406</v>
      </c>
      <c r="B12306" s="6">
        <v>45450</v>
      </c>
      <c r="C12306" t="s">
        <v>5160</v>
      </c>
      <c r="D12306" t="s">
        <v>5778</v>
      </c>
      <c r="E12306">
        <v>25.87</v>
      </c>
      <c r="F12306" s="2" t="str">
        <f>IF(Table2[[#This Row],[Manual Cat Value]]="",VLOOKUP(Table2[[#This Row],[Description]],'Actuals Lookup'!D:F,3,0),VLOOKUP(Table2[[#This Row],[Manual Cat Value]],Lookup!A:B,2,0))</f>
        <v>Delete</v>
      </c>
      <c r="G12306" t="s">
        <v>45</v>
      </c>
      <c r="H12306" s="8" t="s">
        <v>9</v>
      </c>
      <c r="I12306" s="8"/>
      <c r="O12306" t="str">
        <f>LEFT(Table2[[#This Row],[Description]],75)</f>
        <v>Queen City Gifts Andcharlotte Nc</v>
      </c>
    </row>
    <row r="12307" spans="1:15" hidden="1">
      <c r="A12307">
        <v>202409</v>
      </c>
      <c r="B12307" s="6">
        <v>45552</v>
      </c>
      <c r="C12307" t="s">
        <v>130</v>
      </c>
      <c r="D12307" t="s">
        <v>5779</v>
      </c>
      <c r="E12307">
        <v>6.01</v>
      </c>
      <c r="F12307" s="2" t="str">
        <f>IF(Table2[[#This Row],[Manual Cat Value]]="",VLOOKUP(Table2[[#This Row],[Description]],'Actuals Lookup'!D:F,3,0),VLOOKUP(Table2[[#This Row],[Manual Cat Value]],Lookup!A:B,2,0))</f>
        <v>Delete</v>
      </c>
      <c r="H12307" s="8" t="s">
        <v>9</v>
      </c>
      <c r="I12307" s="8"/>
      <c r="O12307" t="str">
        <f>LEFT(Table2[[#This Row],[Description]],75)</f>
        <v>RACETRAC2324  023242COLLEGE PARK        GA</v>
      </c>
    </row>
    <row r="12308" spans="1:15" hidden="1">
      <c r="A12308" s="25">
        <v>202407</v>
      </c>
      <c r="B12308" s="6">
        <v>45483</v>
      </c>
      <c r="C12308" t="s">
        <v>5160</v>
      </c>
      <c r="D12308" t="s">
        <v>5780</v>
      </c>
      <c r="E12308">
        <v>89.48</v>
      </c>
      <c r="F12308" s="2" t="str">
        <f>IF(Table2[[#This Row],[Manual Cat Value]]="",VLOOKUP(Table2[[#This Row],[Description]],'Actuals Lookup'!D:F,3,0),VLOOKUP(Table2[[#This Row],[Manual Cat Value]],Lookup!A:B,2,0))</f>
        <v>Delete</v>
      </c>
      <c r="G12308" t="s">
        <v>35</v>
      </c>
      <c r="H12308" s="8" t="s">
        <v>9</v>
      </c>
      <c r="I12308" s="8"/>
      <c r="O12308" t="str">
        <f>LEFT(Table2[[#This Row],[Description]],75)</f>
        <v>Sadies Of * Sadies Oalbuquerque Nm</v>
      </c>
    </row>
    <row r="12309" spans="1:15" hidden="1">
      <c r="A12309">
        <v>202409</v>
      </c>
      <c r="B12309" s="6">
        <v>45555</v>
      </c>
      <c r="C12309" t="s">
        <v>3938</v>
      </c>
      <c r="D12309" t="s">
        <v>5781</v>
      </c>
      <c r="E12309">
        <v>1.99</v>
      </c>
      <c r="F12309" s="2" t="str">
        <f>IF(Table2[[#This Row],[Manual Cat Value]]="",VLOOKUP(Table2[[#This Row],[Description]],'Actuals Lookup'!D:F,3,0),VLOOKUP(Table2[[#This Row],[Manual Cat Value]],Lookup!A:B,2,0))</f>
        <v>Utilities</v>
      </c>
      <c r="H12309" s="8" t="s">
        <v>6</v>
      </c>
      <c r="I12309" s="8"/>
      <c r="O12309" t="str">
        <f>LEFT(Table2[[#This Row],[Description]],75)</f>
        <v>GOOGLE *Google One XX-3987 CA REF #XX9216LP328RA052</v>
      </c>
    </row>
    <row r="12310" spans="1:15" hidden="1">
      <c r="A12310">
        <v>202402</v>
      </c>
      <c r="B12310" s="6">
        <v>45351</v>
      </c>
      <c r="C12310" t="s">
        <v>2519</v>
      </c>
      <c r="D12310" t="s">
        <v>4942</v>
      </c>
      <c r="E12310">
        <v>-9017.6</v>
      </c>
      <c r="F12310" s="2" t="str">
        <f>IF(Table2[[#This Row],[Manual Cat Value]]="",VLOOKUP(Table2[[#This Row],[Description]],'Actuals Lookup'!D:F,3,0),VLOOKUP(Table2[[#This Row],[Manual Cat Value]],Lookup!A:B,2,0))</f>
        <v>Delete</v>
      </c>
      <c r="H12310" s="8" t="s">
        <v>9</v>
      </c>
      <c r="I12310" s="8"/>
      <c r="O12310" t="str">
        <f>LEFT(Table2[[#This Row],[Description]],75)</f>
        <v>Salary/Regular Income from U.S. Department Of The Treasury</v>
      </c>
    </row>
    <row r="12311" spans="1:15" hidden="1">
      <c r="A12311">
        <v>202402</v>
      </c>
      <c r="B12311" s="6">
        <v>45351</v>
      </c>
      <c r="C12311" t="s">
        <v>2519</v>
      </c>
      <c r="D12311" t="s">
        <v>4942</v>
      </c>
      <c r="E12311">
        <v>-2254.4</v>
      </c>
      <c r="F12311" s="2" t="str">
        <f>IF(Table2[[#This Row],[Manual Cat Value]]="",VLOOKUP(Table2[[#This Row],[Description]],'Actuals Lookup'!D:F,3,0),VLOOKUP(Table2[[#This Row],[Manual Cat Value]],Lookup!A:B,2,0))</f>
        <v>Delete</v>
      </c>
      <c r="H12311" s="8" t="s">
        <v>9</v>
      </c>
      <c r="I12311" s="8"/>
      <c r="O12311" t="str">
        <f>LEFT(Table2[[#This Row],[Description]],75)</f>
        <v>Salary/Regular Income from U.S. Department Of The Treasury</v>
      </c>
    </row>
    <row r="12312" spans="1:15" hidden="1">
      <c r="A12312">
        <v>202409</v>
      </c>
      <c r="B12312" s="6">
        <v>45559</v>
      </c>
      <c r="C12312" t="s">
        <v>130</v>
      </c>
      <c r="D12312" t="s">
        <v>5782</v>
      </c>
      <c r="E12312">
        <v>5.74</v>
      </c>
      <c r="F12312" s="2" t="str">
        <f>IF(Table2[[#This Row],[Manual Cat Value]]="",VLOOKUP(Table2[[#This Row],[Description]],'Actuals Lookup'!D:F,3,0),VLOOKUP(Table2[[#This Row],[Manual Cat Value]],Lookup!A:B,2,0))</f>
        <v>Delete</v>
      </c>
      <c r="H12312" s="8" t="s">
        <v>9</v>
      </c>
      <c r="I12312" s="8"/>
      <c r="O12312" t="str">
        <f>LEFT(Table2[[#This Row],[Description]],75)</f>
        <v>SBARROS CONC C RSW  FORT MYERS          FL</v>
      </c>
    </row>
    <row r="12313" spans="1:15" hidden="1">
      <c r="A12313">
        <v>202409</v>
      </c>
      <c r="B12313" s="6">
        <v>45555</v>
      </c>
      <c r="C12313" t="s">
        <v>2519</v>
      </c>
      <c r="D12313" t="s">
        <v>1958</v>
      </c>
      <c r="E12313">
        <v>125</v>
      </c>
      <c r="F12313" s="2" t="str">
        <f>IF(Table2[[#This Row],[Manual Cat Value]]="",VLOOKUP(Table2[[#This Row],[Description]],'Actuals Lookup'!D:F,3,0),VLOOKUP(Table2[[#This Row],[Manual Cat Value]],Lookup!A:B,2,0))</f>
        <v>Shopping</v>
      </c>
      <c r="H12313" s="8" t="s">
        <v>36</v>
      </c>
      <c r="I12313" s="8"/>
      <c r="O12313" t="str">
        <f>LEFT(Table2[[#This Row],[Description]],75)</f>
        <v>Transfer to Venmo</v>
      </c>
    </row>
    <row r="12314" spans="1:15" hidden="1">
      <c r="A12314" s="25">
        <v>202406</v>
      </c>
      <c r="B12314" s="6">
        <v>45448</v>
      </c>
      <c r="C12314" t="s">
        <v>5160</v>
      </c>
      <c r="D12314" t="s">
        <v>5783</v>
      </c>
      <c r="E12314">
        <v>13.55</v>
      </c>
      <c r="F12314" s="2" t="str">
        <f>IF(Table2[[#This Row],[Manual Cat Value]]="",VLOOKUP(Table2[[#This Row],[Description]],'Actuals Lookup'!D:F,3,0),VLOOKUP(Table2[[#This Row],[Manual Cat Value]],Lookup!A:B,2,0))</f>
        <v>Delete</v>
      </c>
      <c r="G12314" t="s">
        <v>26</v>
      </c>
      <c r="H12314" s="8" t="s">
        <v>9</v>
      </c>
      <c r="I12314" s="8"/>
      <c r="O12314" t="str">
        <f>LEFT(Table2[[#This Row],[Description]],75)</f>
        <v>Scott's Fish Market</v>
      </c>
    </row>
    <row r="12315" spans="1:15" hidden="1">
      <c r="A12315">
        <v>202409</v>
      </c>
      <c r="B12315" s="6">
        <v>45556</v>
      </c>
      <c r="C12315" t="s">
        <v>130</v>
      </c>
      <c r="D12315" t="s">
        <v>5784</v>
      </c>
      <c r="E12315">
        <v>21</v>
      </c>
      <c r="F12315" s="2" t="str">
        <f>IF(Table2[[#This Row],[Manual Cat Value]]="",VLOOKUP(Table2[[#This Row],[Description]],'Actuals Lookup'!D:F,3,0),VLOOKUP(Table2[[#This Row],[Manual Cat Value]],Lookup!A:B,2,0))</f>
        <v>Entertainment</v>
      </c>
      <c r="H12315" s="8" t="s">
        <v>39</v>
      </c>
      <c r="I12315" s="8"/>
      <c r="O12315" t="str">
        <f>LEFT(Table2[[#This Row],[Description]],75)</f>
        <v>AplPay ARCADE HIGHWAExcelsior           MN</v>
      </c>
    </row>
    <row r="12316" spans="1:15" hidden="1">
      <c r="A12316">
        <v>202409</v>
      </c>
      <c r="B12316" s="6">
        <v>45556</v>
      </c>
      <c r="C12316" t="s">
        <v>130</v>
      </c>
      <c r="D12316" t="s">
        <v>5785</v>
      </c>
      <c r="E12316">
        <v>50</v>
      </c>
      <c r="F12316" s="2" t="str">
        <f>IF(Table2[[#This Row],[Manual Cat Value]]="",VLOOKUP(Table2[[#This Row],[Description]],'Actuals Lookup'!D:F,3,0),VLOOKUP(Table2[[#This Row],[Manual Cat Value]],Lookup!A:B,2,0))</f>
        <v>Transportation</v>
      </c>
      <c r="H12316" s="8" t="s">
        <v>22</v>
      </c>
      <c r="I12316" s="8"/>
      <c r="O12316" t="str">
        <f>LEFT(Table2[[#This Row],[Description]],75)</f>
        <v>AplPay SHELL SERVICEVICTORIA            MN</v>
      </c>
    </row>
    <row r="12317" spans="1:15" hidden="1">
      <c r="A12317">
        <v>202409</v>
      </c>
      <c r="B12317" s="6">
        <v>45556</v>
      </c>
      <c r="C12317" t="s">
        <v>130</v>
      </c>
      <c r="D12317" t="s">
        <v>5786</v>
      </c>
      <c r="E12317">
        <v>19.29</v>
      </c>
      <c r="F12317" s="2" t="str">
        <f>IF(Table2[[#This Row],[Manual Cat Value]]="",VLOOKUP(Table2[[#This Row],[Description]],'Actuals Lookup'!D:F,3,0),VLOOKUP(Table2[[#This Row],[Manual Cat Value]],Lookup!A:B,2,0))</f>
        <v>Restaurants</v>
      </c>
      <c r="H12317" s="8" t="s">
        <v>25</v>
      </c>
      <c r="I12317" s="8"/>
      <c r="O12317" t="str">
        <f>LEFT(Table2[[#This Row],[Description]],75)</f>
        <v>AplPay TST* ADELE'S EXCELSIOR           MN</v>
      </c>
    </row>
    <row r="12318" spans="1:15" hidden="1">
      <c r="A12318">
        <v>202409</v>
      </c>
      <c r="B12318" s="6">
        <v>45556</v>
      </c>
      <c r="C12318" t="s">
        <v>130</v>
      </c>
      <c r="D12318" t="s">
        <v>5787</v>
      </c>
      <c r="E12318">
        <v>21</v>
      </c>
      <c r="F12318" s="2" t="str">
        <f>IF(Table2[[#This Row],[Manual Cat Value]]="",VLOOKUP(Table2[[#This Row],[Description]],'Actuals Lookup'!D:F,3,0),VLOOKUP(Table2[[#This Row],[Manual Cat Value]],Lookup!A:B,2,0))</f>
        <v>Restaurants</v>
      </c>
      <c r="H12318" s="8" t="s">
        <v>25</v>
      </c>
      <c r="I12318" s="8"/>
      <c r="O12318" t="str">
        <f>LEFT(Table2[[#This Row],[Description]],75)</f>
        <v>BABY BLUE           Excelsior           MN</v>
      </c>
    </row>
    <row r="12319" spans="1:15" hidden="1">
      <c r="A12319">
        <v>202409</v>
      </c>
      <c r="B12319" s="6">
        <v>45556</v>
      </c>
      <c r="C12319" t="s">
        <v>130</v>
      </c>
      <c r="D12319" t="s">
        <v>5788</v>
      </c>
      <c r="E12319">
        <v>76.069999999999993</v>
      </c>
      <c r="F12319" s="2" t="str">
        <f>IF(Table2[[#This Row],[Manual Cat Value]]="",VLOOKUP(Table2[[#This Row],[Description]],'Actuals Lookup'!D:F,3,0),VLOOKUP(Table2[[#This Row],[Manual Cat Value]],Lookup!A:B,2,0))</f>
        <v>Groceries</v>
      </c>
      <c r="H12319" s="8" t="s">
        <v>27</v>
      </c>
      <c r="I12319" s="8"/>
      <c r="O12319" t="str">
        <f>LEFT(Table2[[#This Row],[Description]],75)</f>
        <v>CUB FOODS #1636 0000SHOREWOOD           MN</v>
      </c>
    </row>
    <row r="12320" spans="1:15" hidden="1">
      <c r="A12320">
        <v>202409</v>
      </c>
      <c r="B12320" s="6">
        <v>45556</v>
      </c>
      <c r="C12320" t="s">
        <v>130</v>
      </c>
      <c r="D12320" t="s">
        <v>5789</v>
      </c>
      <c r="E12320">
        <v>35</v>
      </c>
      <c r="F12320" s="2" t="str">
        <f>IF(Table2[[#This Row],[Manual Cat Value]]="",VLOOKUP(Table2[[#This Row],[Description]],'Actuals Lookup'!D:F,3,0),VLOOKUP(Table2[[#This Row],[Manual Cat Value]],Lookup!A:B,2,0))</f>
        <v>Restaurants</v>
      </c>
      <c r="H12320" s="8" t="s">
        <v>25</v>
      </c>
      <c r="I12320" s="8"/>
      <c r="O12320" t="str">
        <f>LEFT(Table2[[#This Row],[Description]],75)</f>
        <v>EXCELSIOR-LAKE MINNEExcelsior           MN</v>
      </c>
    </row>
    <row r="12321" spans="1:15" hidden="1">
      <c r="A12321">
        <v>202409</v>
      </c>
      <c r="B12321" s="6">
        <v>45556</v>
      </c>
      <c r="C12321" t="s">
        <v>130</v>
      </c>
      <c r="D12321" t="s">
        <v>5790</v>
      </c>
      <c r="E12321">
        <v>4</v>
      </c>
      <c r="F12321" s="2" t="str">
        <f>IF(Table2[[#This Row],[Manual Cat Value]]="",VLOOKUP(Table2[[#This Row],[Description]],'Actuals Lookup'!D:F,3,0),VLOOKUP(Table2[[#This Row],[Manual Cat Value]],Lookup!A:B,2,0))</f>
        <v>Utilities</v>
      </c>
      <c r="H12321" s="8" t="s">
        <v>6</v>
      </c>
      <c r="I12321" s="8"/>
      <c r="O12321" t="str">
        <f>LEFT(Table2[[#This Row],[Description]],75)</f>
        <v>GOOGLE*SVCSGNS.3349- G.CO HELPPAY#</v>
      </c>
    </row>
    <row r="12322" spans="1:15" hidden="1">
      <c r="A12322" s="25">
        <v>202407</v>
      </c>
      <c r="B12322" s="6">
        <v>45485</v>
      </c>
      <c r="C12322" t="s">
        <v>5160</v>
      </c>
      <c r="D12322" t="s">
        <v>5791</v>
      </c>
      <c r="E12322">
        <v>25.53</v>
      </c>
      <c r="F12322" s="2" t="str">
        <f>IF(Table2[[#This Row],[Manual Cat Value]]="",VLOOKUP(Table2[[#This Row],[Description]],'Actuals Lookup'!D:F,3,0),VLOOKUP(Table2[[#This Row],[Manual Cat Value]],Lookup!A:B,2,0))</f>
        <v>Delete</v>
      </c>
      <c r="G12322" t="s">
        <v>28</v>
      </c>
      <c r="H12322" s="8" t="s">
        <v>9</v>
      </c>
      <c r="I12322" s="8"/>
      <c r="O12322" t="str">
        <f>LEFT(Table2[[#This Row],[Description]],75)</f>
        <v>Sei Xxxxx Xxxx8495 Florissant Mo</v>
      </c>
    </row>
    <row r="12323" spans="1:15" hidden="1">
      <c r="A12323">
        <v>202409</v>
      </c>
      <c r="B12323" s="6">
        <v>45556</v>
      </c>
      <c r="C12323" t="s">
        <v>130</v>
      </c>
      <c r="D12323" t="s">
        <v>5792</v>
      </c>
      <c r="E12323">
        <v>26.45</v>
      </c>
      <c r="F12323" s="2" t="str">
        <f>IF(Table2[[#This Row],[Manual Cat Value]]="",VLOOKUP(Table2[[#This Row],[Description]],'Actuals Lookup'!D:F,3,0),VLOOKUP(Table2[[#This Row],[Manual Cat Value]],Lookup!A:B,2,0))</f>
        <v>Restaurants</v>
      </c>
      <c r="H12323" s="8" t="s">
        <v>25</v>
      </c>
      <c r="I12323" s="8"/>
      <c r="O12323" t="str">
        <f>LEFT(Table2[[#This Row],[Description]],75)</f>
        <v>RRPC 2              Excelsior           MN</v>
      </c>
    </row>
    <row r="12324" spans="1:15" hidden="1">
      <c r="A12324">
        <v>202409</v>
      </c>
      <c r="B12324" s="6">
        <v>45563</v>
      </c>
      <c r="C12324" t="s">
        <v>130</v>
      </c>
      <c r="D12324" t="s">
        <v>5750</v>
      </c>
      <c r="E12324">
        <v>104.17</v>
      </c>
      <c r="F12324" s="2" t="str">
        <f>IF(Table2[[#This Row],[Manual Cat Value]]="",VLOOKUP(Table2[[#This Row],[Description]],'Actuals Lookup'!D:F,3,0),VLOOKUP(Table2[[#This Row],[Manual Cat Value]],Lookup!A:B,2,0))</f>
        <v>Delete</v>
      </c>
      <c r="H12324" s="8" t="s">
        <v>9</v>
      </c>
      <c r="I12324" s="8"/>
      <c r="O12324" t="str">
        <f>LEFT(Table2[[#This Row],[Description]],75)</f>
        <v>SHOREWOOD TRUE VALUEEXCELSIOR           MN</v>
      </c>
    </row>
    <row r="12325" spans="1:15" hidden="1">
      <c r="A12325">
        <v>202409</v>
      </c>
      <c r="B12325" s="6">
        <v>45557</v>
      </c>
      <c r="C12325" t="s">
        <v>130</v>
      </c>
      <c r="D12325" t="s">
        <v>5793</v>
      </c>
      <c r="E12325">
        <v>46.64</v>
      </c>
      <c r="F12325" s="2" t="str">
        <f>IF(Table2[[#This Row],[Manual Cat Value]]="",VLOOKUP(Table2[[#This Row],[Description]],'Actuals Lookup'!D:F,3,0),VLOOKUP(Table2[[#This Row],[Manual Cat Value]],Lookup!A:B,2,0))</f>
        <v>Transportation</v>
      </c>
      <c r="H12325" s="8" t="s">
        <v>22</v>
      </c>
      <c r="I12325" s="8"/>
      <c r="O12325" t="str">
        <f>LEFT(Table2[[#This Row],[Description]],75)</f>
        <v>AplPay MARATHON PETRExcelsior           MN</v>
      </c>
    </row>
    <row r="12326" spans="1:15" hidden="1">
      <c r="A12326">
        <v>202409</v>
      </c>
      <c r="B12326" s="6">
        <v>45557</v>
      </c>
      <c r="C12326" t="s">
        <v>130</v>
      </c>
      <c r="D12326" t="s">
        <v>5754</v>
      </c>
      <c r="E12326">
        <v>3.13</v>
      </c>
      <c r="F12326" s="2" t="str">
        <f>IF(Table2[[#This Row],[Manual Cat Value]]="",VLOOKUP(Table2[[#This Row],[Description]],'Actuals Lookup'!D:F,3,0),VLOOKUP(Table2[[#This Row],[Manual Cat Value]],Lookup!A:B,2,0))</f>
        <v>Restaurants</v>
      </c>
      <c r="H12326" s="8" t="s">
        <v>25</v>
      </c>
      <c r="I12326" s="8"/>
      <c r="O12326" t="str">
        <f>LEFT(Table2[[#This Row],[Description]],75)</f>
        <v>AplPay MINNEAPOLIS ASAINT PAUL          MN</v>
      </c>
    </row>
    <row r="12327" spans="1:15" hidden="1">
      <c r="A12327">
        <v>202409</v>
      </c>
      <c r="B12327" s="6">
        <v>45557</v>
      </c>
      <c r="C12327" t="s">
        <v>130</v>
      </c>
      <c r="D12327" t="s">
        <v>5754</v>
      </c>
      <c r="E12327">
        <v>3.39</v>
      </c>
      <c r="F12327" s="2" t="str">
        <f>IF(Table2[[#This Row],[Manual Cat Value]]="",VLOOKUP(Table2[[#This Row],[Description]],'Actuals Lookup'!D:F,3,0),VLOOKUP(Table2[[#This Row],[Manual Cat Value]],Lookup!A:B,2,0))</f>
        <v>Restaurants</v>
      </c>
      <c r="H12327" s="8" t="s">
        <v>25</v>
      </c>
      <c r="I12327" s="8"/>
      <c r="O12327" t="str">
        <f>LEFT(Table2[[#This Row],[Description]],75)</f>
        <v>AplPay MINNEAPOLIS ASAINT PAUL          MN</v>
      </c>
    </row>
    <row r="12328" spans="1:15" hidden="1">
      <c r="A12328">
        <v>202409</v>
      </c>
      <c r="B12328" s="6">
        <v>45557</v>
      </c>
      <c r="C12328" t="s">
        <v>130</v>
      </c>
      <c r="D12328" t="s">
        <v>5754</v>
      </c>
      <c r="E12328">
        <v>6.79</v>
      </c>
      <c r="F12328" s="2" t="str">
        <f>IF(Table2[[#This Row],[Manual Cat Value]]="",VLOOKUP(Table2[[#This Row],[Description]],'Actuals Lookup'!D:F,3,0),VLOOKUP(Table2[[#This Row],[Manual Cat Value]],Lookup!A:B,2,0))</f>
        <v>Restaurants</v>
      </c>
      <c r="H12328" s="8" t="s">
        <v>25</v>
      </c>
      <c r="I12328" s="8"/>
      <c r="O12328" t="str">
        <f>LEFT(Table2[[#This Row],[Description]],75)</f>
        <v>AplPay MINNEAPOLIS ASAINT PAUL          MN</v>
      </c>
    </row>
    <row r="12329" spans="1:15" hidden="1">
      <c r="A12329">
        <v>202409</v>
      </c>
      <c r="B12329" s="6">
        <v>45557</v>
      </c>
      <c r="C12329" t="s">
        <v>130</v>
      </c>
      <c r="D12329" t="s">
        <v>5754</v>
      </c>
      <c r="E12329">
        <v>21.53</v>
      </c>
      <c r="F12329" s="2" t="str">
        <f>IF(Table2[[#This Row],[Manual Cat Value]]="",VLOOKUP(Table2[[#This Row],[Description]],'Actuals Lookup'!D:F,3,0),VLOOKUP(Table2[[#This Row],[Manual Cat Value]],Lookup!A:B,2,0))</f>
        <v>Restaurants</v>
      </c>
      <c r="H12329" s="8" t="s">
        <v>25</v>
      </c>
      <c r="I12329" s="8"/>
      <c r="O12329" t="str">
        <f>LEFT(Table2[[#This Row],[Description]],75)</f>
        <v>AplPay MINNEAPOLIS ASAINT PAUL          MN</v>
      </c>
    </row>
    <row r="12330" spans="1:15" hidden="1">
      <c r="A12330">
        <v>202409</v>
      </c>
      <c r="B12330" s="6">
        <v>45557</v>
      </c>
      <c r="C12330" t="s">
        <v>3938</v>
      </c>
      <c r="D12330" t="s">
        <v>5794</v>
      </c>
      <c r="E12330">
        <v>11</v>
      </c>
      <c r="F12330" s="2" t="str">
        <f>IF(Table2[[#This Row],[Manual Cat Value]]="",VLOOKUP(Table2[[#This Row],[Description]],'Actuals Lookup'!D:F,3,0),VLOOKUP(Table2[[#This Row],[Manual Cat Value]],Lookup!A:B,2,0))</f>
        <v>Utilities</v>
      </c>
      <c r="H12330" s="8" t="s">
        <v>6</v>
      </c>
      <c r="I12330" s="8"/>
      <c r="O12330" t="str">
        <f>LEFT(Table2[[#This Row],[Description]],75)</f>
        <v>BONFES PLUMBING HEATING AXX6633 MN REF #XX7539LRS66JVSSK</v>
      </c>
    </row>
    <row r="12331" spans="1:15" hidden="1">
      <c r="A12331">
        <v>202409</v>
      </c>
      <c r="B12331" s="6">
        <v>45557</v>
      </c>
      <c r="C12331" t="s">
        <v>2519</v>
      </c>
      <c r="D12331" t="s">
        <v>4283</v>
      </c>
      <c r="E12331">
        <v>-91.08</v>
      </c>
      <c r="F12331" s="2" t="str">
        <f>IF(Table2[[#This Row],[Manual Cat Value]]="",VLOOKUP(Table2[[#This Row],[Description]],'Actuals Lookup'!D:F,3,0),VLOOKUP(Table2[[#This Row],[Manual Cat Value]],Lookup!A:B,2,0))</f>
        <v>Britney</v>
      </c>
      <c r="H12331" s="8" t="s">
        <v>65</v>
      </c>
      <c r="I12331" s="8"/>
      <c r="O12331" t="str">
        <f>LEFT(Table2[[#This Row],[Description]],75)</f>
        <v>Cargill Deposit</v>
      </c>
    </row>
    <row r="12332" spans="1:15" hidden="1">
      <c r="A12332">
        <v>202409</v>
      </c>
      <c r="B12332" s="6">
        <v>45557</v>
      </c>
      <c r="C12332" t="s">
        <v>130</v>
      </c>
      <c r="D12332" t="s">
        <v>5392</v>
      </c>
      <c r="E12332">
        <v>118.4</v>
      </c>
      <c r="F12332" s="2" t="str">
        <f>IF(Table2[[#This Row],[Manual Cat Value]]="",VLOOKUP(Table2[[#This Row],[Description]],'Actuals Lookup'!D:F,3,0),VLOOKUP(Table2[[#This Row],[Manual Cat Value]],Lookup!A:B,2,0))</f>
        <v>Britney</v>
      </c>
      <c r="H12332" s="8" t="s">
        <v>65</v>
      </c>
      <c r="I12332" s="8"/>
      <c r="O12332" t="str">
        <f>LEFT(Table2[[#This Row],[Description]],75)</f>
        <v>DELTA AIR LINES</v>
      </c>
    </row>
    <row r="12333" spans="1:15" hidden="1">
      <c r="A12333">
        <v>202409</v>
      </c>
      <c r="B12333" s="6">
        <v>45559</v>
      </c>
      <c r="C12333" t="s">
        <v>130</v>
      </c>
      <c r="D12333" t="s">
        <v>5795</v>
      </c>
      <c r="E12333">
        <v>43.75</v>
      </c>
      <c r="F12333" s="2" t="str">
        <f>IF(Table2[[#This Row],[Manual Cat Value]]="",VLOOKUP(Table2[[#This Row],[Description]],'Actuals Lookup'!D:F,3,0),VLOOKUP(Table2[[#This Row],[Manual Cat Value]],Lookup!A:B,2,0))</f>
        <v>Delete</v>
      </c>
      <c r="H12333" s="8" t="s">
        <v>9</v>
      </c>
      <c r="I12333" s="8"/>
      <c r="O12333" t="str">
        <f>LEFT(Table2[[#This Row],[Description]],75)</f>
        <v>SLACK T074985K686   SAN FRANCISCO       CA</v>
      </c>
    </row>
    <row r="12334" spans="1:15" hidden="1">
      <c r="A12334">
        <v>202411</v>
      </c>
      <c r="B12334" s="6">
        <v>45620</v>
      </c>
      <c r="C12334" t="s">
        <v>130</v>
      </c>
      <c r="D12334" t="s">
        <v>5795</v>
      </c>
      <c r="E12334">
        <v>52.21</v>
      </c>
      <c r="F12334" s="2" t="str">
        <f>IF(Table2[[#This Row],[Manual Cat Value]]="",VLOOKUP(Table2[[#This Row],[Description]],'Actuals Lookup'!D:F,3,0),VLOOKUP(Table2[[#This Row],[Manual Cat Value]],Lookup!A:B,2,0))</f>
        <v>Delete</v>
      </c>
      <c r="H12334" t="s">
        <v>9</v>
      </c>
      <c r="I12334" s="8"/>
      <c r="O12334" t="str">
        <f>LEFT(Table2[[#This Row],[Description]],75)</f>
        <v>SLACK T074985K686   SAN FRANCISCO       CA</v>
      </c>
    </row>
    <row r="12335" spans="1:15" hidden="1">
      <c r="A12335">
        <v>202412</v>
      </c>
      <c r="B12335" s="6">
        <v>45650</v>
      </c>
      <c r="C12335" t="s">
        <v>130</v>
      </c>
      <c r="D12335" t="s">
        <v>5795</v>
      </c>
      <c r="E12335">
        <v>35.29</v>
      </c>
      <c r="F12335" s="2" t="str">
        <f>IF(Table2[[#This Row],[Manual Cat Value]]="",VLOOKUP(Table2[[#This Row],[Description]],'Actuals Lookup'!D:F,3,0),VLOOKUP(Table2[[#This Row],[Manual Cat Value]],Lookup!A:B,2,0))</f>
        <v>Delete</v>
      </c>
      <c r="H12335" t="s">
        <v>9</v>
      </c>
      <c r="I12335" s="8"/>
      <c r="O12335" t="str">
        <f>LEFT(Table2[[#This Row],[Description]],75)</f>
        <v>SLACK T074985K686   SAN FRANCISCO       CA</v>
      </c>
    </row>
    <row r="12336" spans="1:15" hidden="1">
      <c r="A12336" s="25">
        <v>202406</v>
      </c>
      <c r="B12336" s="6">
        <v>45467</v>
      </c>
      <c r="C12336" t="s">
        <v>5160</v>
      </c>
      <c r="D12336" t="s">
        <v>5796</v>
      </c>
      <c r="E12336">
        <v>4.38</v>
      </c>
      <c r="F12336" s="2" t="str">
        <f>IF(Table2[[#This Row],[Manual Cat Value]]="",VLOOKUP(Table2[[#This Row],[Description]],'Actuals Lookup'!D:F,3,0),VLOOKUP(Table2[[#This Row],[Manual Cat Value]],Lookup!A:B,2,0))</f>
        <v>Delete</v>
      </c>
      <c r="G12336" t="s">
        <v>35</v>
      </c>
      <c r="H12336" s="8" t="s">
        <v>9</v>
      </c>
      <c r="I12336" s="8"/>
      <c r="O12336" t="str">
        <f>LEFT(Table2[[#This Row],[Description]],75)</f>
        <v>Slack Txx4985k686 San Francisco Ca</v>
      </c>
    </row>
    <row r="12337" spans="1:15" hidden="1">
      <c r="A12337" s="25">
        <v>202407</v>
      </c>
      <c r="B12337" s="6">
        <v>45497</v>
      </c>
      <c r="C12337" t="s">
        <v>5160</v>
      </c>
      <c r="D12337" t="s">
        <v>5796</v>
      </c>
      <c r="E12337">
        <v>37.93</v>
      </c>
      <c r="F12337" s="2" t="str">
        <f>IF(Table2[[#This Row],[Manual Cat Value]]="",VLOOKUP(Table2[[#This Row],[Description]],'Actuals Lookup'!D:F,3,0),VLOOKUP(Table2[[#This Row],[Manual Cat Value]],Lookup!A:B,2,0))</f>
        <v>Delete</v>
      </c>
      <c r="G12337" t="s">
        <v>35</v>
      </c>
      <c r="H12337" s="8" t="s">
        <v>9</v>
      </c>
      <c r="I12337" s="8"/>
      <c r="O12337" t="str">
        <f>LEFT(Table2[[#This Row],[Description]],75)</f>
        <v>Slack Txx4985k686 San Francisco Ca</v>
      </c>
    </row>
    <row r="12338" spans="1:15" hidden="1">
      <c r="A12338" s="25">
        <v>202408</v>
      </c>
      <c r="B12338" s="6">
        <v>45528</v>
      </c>
      <c r="C12338" t="s">
        <v>5160</v>
      </c>
      <c r="D12338" t="s">
        <v>5796</v>
      </c>
      <c r="E12338">
        <v>21.88</v>
      </c>
      <c r="F12338" s="2" t="str">
        <f>IF(Table2[[#This Row],[Manual Cat Value]]="",VLOOKUP(Table2[[#This Row],[Description]],'Actuals Lookup'!D:F,3,0),VLOOKUP(Table2[[#This Row],[Manual Cat Value]],Lookup!A:B,2,0))</f>
        <v>Delete</v>
      </c>
      <c r="G12338" t="s">
        <v>35</v>
      </c>
      <c r="H12338" t="s">
        <v>9</v>
      </c>
      <c r="I12338" s="8"/>
      <c r="O12338" t="str">
        <f>LEFT(Table2[[#This Row],[Description]],75)</f>
        <v>Slack Txx4985k686 San Francisco Ca</v>
      </c>
    </row>
    <row r="12339" spans="1:15" hidden="1">
      <c r="A12339" s="25">
        <v>202408</v>
      </c>
      <c r="B12339" s="6">
        <v>45518</v>
      </c>
      <c r="C12339" t="s">
        <v>5160</v>
      </c>
      <c r="D12339" t="s">
        <v>5797</v>
      </c>
      <c r="E12339">
        <v>16.309999999999999</v>
      </c>
      <c r="F12339" s="2" t="str">
        <f>IF(Table2[[#This Row],[Manual Cat Value]]="",VLOOKUP(Table2[[#This Row],[Description]],'Actuals Lookup'!D:F,3,0),VLOOKUP(Table2[[#This Row],[Manual Cat Value]],Lookup!A:B,2,0))</f>
        <v>Delete</v>
      </c>
      <c r="G12339" t="s">
        <v>26</v>
      </c>
      <c r="H12339" s="8" t="s">
        <v>9</v>
      </c>
      <c r="I12339" s="8"/>
      <c r="O12339" t="str">
        <f>LEFT(Table2[[#This Row],[Description]],75)</f>
        <v>Smashburger</v>
      </c>
    </row>
    <row r="12340" spans="1:15" hidden="1">
      <c r="A12340">
        <v>202409</v>
      </c>
      <c r="B12340" s="6">
        <v>45557</v>
      </c>
      <c r="C12340" t="s">
        <v>3938</v>
      </c>
      <c r="D12340" t="s">
        <v>4093</v>
      </c>
      <c r="E12340">
        <v>16.28</v>
      </c>
      <c r="F12340" s="2" t="str">
        <f>IF(Table2[[#This Row],[Manual Cat Value]]="",VLOOKUP(Table2[[#This Row],[Description]],'Actuals Lookup'!D:F,3,0),VLOOKUP(Table2[[#This Row],[Manual Cat Value]],Lookup!A:B,2,0))</f>
        <v>Restaurants</v>
      </c>
      <c r="H12340" s="8" t="s">
        <v>25</v>
      </c>
      <c r="I12340" s="8"/>
      <c r="O12340" t="str">
        <f>LEFT(Table2[[#This Row],[Description]],75)</f>
        <v>Kowalski's Market</v>
      </c>
    </row>
    <row r="12341" spans="1:15" hidden="1">
      <c r="A12341">
        <v>202408</v>
      </c>
      <c r="B12341" s="6">
        <v>45526</v>
      </c>
      <c r="C12341" t="s">
        <v>3938</v>
      </c>
      <c r="D12341" t="s">
        <v>5798</v>
      </c>
      <c r="E12341">
        <v>36.29</v>
      </c>
      <c r="F12341" s="2" t="str">
        <f>IF(Table2[[#This Row],[Manual Cat Value]]="",VLOOKUP(Table2[[#This Row],[Description]],'Actuals Lookup'!D:F,3,0),VLOOKUP(Table2[[#This Row],[Manual Cat Value]],Lookup!A:B,2,0))</f>
        <v>Delete</v>
      </c>
      <c r="H12341" s="8" t="s">
        <v>9</v>
      </c>
      <c r="I12341" s="8"/>
      <c r="O12341" t="str">
        <f>LEFT(Table2[[#This Row],[Description]],75)</f>
        <v>SON OF A BUN VICTORIAN QUAIE REF #XX4361KV00N6NXJY</v>
      </c>
    </row>
    <row r="12342" spans="1:15" hidden="1">
      <c r="A12342">
        <v>202409</v>
      </c>
      <c r="B12342" s="6">
        <v>45558</v>
      </c>
      <c r="C12342" t="s">
        <v>3938</v>
      </c>
      <c r="D12342" t="s">
        <v>5280</v>
      </c>
      <c r="E12342">
        <v>2447.92</v>
      </c>
      <c r="F12342" s="2" t="str">
        <f>IF(Table2[[#This Row],[Manual Cat Value]]="",VLOOKUP(Table2[[#This Row],[Description]],'Actuals Lookup'!D:F,3,0),VLOOKUP(Table2[[#This Row],[Manual Cat Value]],Lookup!A:B,2,0))</f>
        <v>Travel</v>
      </c>
      <c r="H12342" s="8" t="s">
        <v>52</v>
      </c>
      <c r="I12342" s="8"/>
      <c r="O12342" t="str">
        <f>LEFT(Table2[[#This Row],[Description]],75)</f>
        <v>Sun Country Airlines</v>
      </c>
    </row>
    <row r="12343" spans="1:15" hidden="1">
      <c r="A12343">
        <v>202409</v>
      </c>
      <c r="B12343" s="6">
        <v>45558</v>
      </c>
      <c r="C12343" t="s">
        <v>2519</v>
      </c>
      <c r="D12343" t="s">
        <v>5799</v>
      </c>
      <c r="E12343">
        <v>79.739999999999995</v>
      </c>
      <c r="F12343" s="2" t="str">
        <f>IF(Table2[[#This Row],[Manual Cat Value]]="",VLOOKUP(Table2[[#This Row],[Description]],'Actuals Lookup'!D:F,3,0),VLOOKUP(Table2[[#This Row],[Manual Cat Value]],Lookup!A:B,2,0))</f>
        <v>Utilities</v>
      </c>
      <c r="H12343" s="8" t="s">
        <v>6</v>
      </c>
      <c r="I12343" s="8"/>
      <c r="O12343" t="str">
        <f>LEFT(Table2[[#This Row],[Description]],75)</f>
        <v>Withdrawal ACH CITY OF CHANHASS TYPE: UTIL BILL ID: XX5331 CO: CITY OF CHAN</v>
      </c>
    </row>
    <row r="12344" spans="1:15" hidden="1">
      <c r="A12344">
        <v>202409</v>
      </c>
      <c r="B12344" s="6">
        <v>45559</v>
      </c>
      <c r="C12344" t="s">
        <v>130</v>
      </c>
      <c r="D12344" t="s">
        <v>5800</v>
      </c>
      <c r="E12344">
        <v>500</v>
      </c>
      <c r="F12344" s="2" t="str">
        <f>IF(Table2[[#This Row],[Manual Cat Value]]="",VLOOKUP(Table2[[#This Row],[Description]],'Actuals Lookup'!D:F,3,0),VLOOKUP(Table2[[#This Row],[Manual Cat Value]],Lookup!A:B,2,0))</f>
        <v>Day Care</v>
      </c>
      <c r="H12344" s="8" t="s">
        <v>19</v>
      </c>
      <c r="I12344" s="8"/>
      <c r="O12344" t="str">
        <f>LEFT(Table2[[#This Row],[Description]],75)</f>
        <v>CHASKA PANDR 6500000CHASKA              MN</v>
      </c>
    </row>
    <row r="12345" spans="1:15" hidden="1">
      <c r="A12345" s="25">
        <v>202406</v>
      </c>
      <c r="B12345" s="6">
        <v>45457</v>
      </c>
      <c r="C12345" t="s">
        <v>5160</v>
      </c>
      <c r="D12345" t="s">
        <v>1684</v>
      </c>
      <c r="E12345">
        <v>158.97999999999999</v>
      </c>
      <c r="F12345" s="2" t="str">
        <f>IF(Table2[[#This Row],[Manual Cat Value]]="",VLOOKUP(Table2[[#This Row],[Description]],'Actuals Lookup'!D:F,3,0),VLOOKUP(Table2[[#This Row],[Manual Cat Value]],Lookup!A:B,2,0))</f>
        <v>Delete</v>
      </c>
      <c r="G12345" t="s">
        <v>43</v>
      </c>
      <c r="H12345" s="8" t="s">
        <v>9</v>
      </c>
      <c r="I12345" s="8"/>
      <c r="O12345" t="str">
        <f>LEFT(Table2[[#This Row],[Description]],75)</f>
        <v>Southwest Airlines</v>
      </c>
    </row>
    <row r="12346" spans="1:15" hidden="1">
      <c r="A12346">
        <v>202409</v>
      </c>
      <c r="B12346" s="6">
        <v>45559</v>
      </c>
      <c r="C12346" t="s">
        <v>130</v>
      </c>
      <c r="D12346" t="s">
        <v>5801</v>
      </c>
      <c r="E12346">
        <v>14.86</v>
      </c>
      <c r="F12346" s="2" t="str">
        <f>IF(Table2[[#This Row],[Manual Cat Value]]="",VLOOKUP(Table2[[#This Row],[Description]],'Actuals Lookup'!D:F,3,0),VLOOKUP(Table2[[#This Row],[Manual Cat Value]],Lookup!A:B,2,0))</f>
        <v>Transportation</v>
      </c>
      <c r="H12346" s="8" t="s">
        <v>22</v>
      </c>
      <c r="I12346" s="8"/>
      <c r="O12346" t="str">
        <f>LEFT(Table2[[#This Row],[Description]],75)</f>
        <v>EXXONMOBIL 9870     FORT MYERS          FL</v>
      </c>
    </row>
    <row r="12347" spans="1:15" hidden="1">
      <c r="A12347" s="25">
        <v>202406</v>
      </c>
      <c r="B12347" s="6">
        <v>45458</v>
      </c>
      <c r="C12347" t="s">
        <v>5160</v>
      </c>
      <c r="D12347" t="s">
        <v>1684</v>
      </c>
      <c r="E12347">
        <v>292.98</v>
      </c>
      <c r="F12347" s="2" t="str">
        <f>IF(Table2[[#This Row],[Manual Cat Value]]="",VLOOKUP(Table2[[#This Row],[Description]],'Actuals Lookup'!D:F,3,0),VLOOKUP(Table2[[#This Row],[Manual Cat Value]],Lookup!A:B,2,0))</f>
        <v>Delete</v>
      </c>
      <c r="G12347" t="s">
        <v>43</v>
      </c>
      <c r="H12347" s="8" t="s">
        <v>9</v>
      </c>
      <c r="I12347" s="8"/>
      <c r="O12347" t="str">
        <f>LEFT(Table2[[#This Row],[Description]],75)</f>
        <v>Southwest Airlines</v>
      </c>
    </row>
    <row r="12348" spans="1:15" hidden="1">
      <c r="A12348" s="25">
        <v>202406</v>
      </c>
      <c r="B12348" s="6">
        <v>45448</v>
      </c>
      <c r="C12348" t="s">
        <v>5160</v>
      </c>
      <c r="D12348" t="s">
        <v>5802</v>
      </c>
      <c r="E12348">
        <v>61.8</v>
      </c>
      <c r="F12348" s="2" t="str">
        <f>IF(Table2[[#This Row],[Manual Cat Value]]="",VLOOKUP(Table2[[#This Row],[Description]],'Actuals Lookup'!D:F,3,0),VLOOKUP(Table2[[#This Row],[Manual Cat Value]],Lookup!A:B,2,0))</f>
        <v>Delete</v>
      </c>
      <c r="G12348" t="s">
        <v>21</v>
      </c>
      <c r="H12348" s="8" t="s">
        <v>9</v>
      </c>
      <c r="I12348" s="8"/>
      <c r="O12348" t="str">
        <f>LEFT(Table2[[#This Row],[Description]],75)</f>
        <v>Sp Harlestons Mount Pleasant Sc</v>
      </c>
    </row>
    <row r="12349" spans="1:15" hidden="1">
      <c r="A12349">
        <v>202409</v>
      </c>
      <c r="B12349" s="6">
        <v>45559</v>
      </c>
      <c r="C12349" t="s">
        <v>2519</v>
      </c>
      <c r="D12349" t="s">
        <v>5443</v>
      </c>
      <c r="E12349">
        <v>380</v>
      </c>
      <c r="F12349" s="2" t="str">
        <f>IF(Table2[[#This Row],[Manual Cat Value]]="",VLOOKUP(Table2[[#This Row],[Description]],'Actuals Lookup'!D:F,3,0),VLOOKUP(Table2[[#This Row],[Manual Cat Value]],Lookup!A:B,2,0))</f>
        <v>Day Care</v>
      </c>
      <c r="H12349" s="8" t="s">
        <v>19</v>
      </c>
      <c r="I12349" s="8"/>
      <c r="O12349" t="str">
        <f>LEFT(Table2[[#This Row],[Description]],75)</f>
        <v>Mis Amigos</v>
      </c>
    </row>
    <row r="12350" spans="1:15" hidden="1">
      <c r="A12350" s="25">
        <v>202408</v>
      </c>
      <c r="B12350" s="6">
        <v>45505</v>
      </c>
      <c r="C12350" t="s">
        <v>5160</v>
      </c>
      <c r="D12350" t="s">
        <v>1773</v>
      </c>
      <c r="E12350">
        <v>6.79</v>
      </c>
      <c r="F12350" s="2" t="str">
        <f>IF(Table2[[#This Row],[Manual Cat Value]]="",VLOOKUP(Table2[[#This Row],[Description]],'Actuals Lookup'!D:F,3,0),VLOOKUP(Table2[[#This Row],[Manual Cat Value]],Lookup!A:B,2,0))</f>
        <v>Delete</v>
      </c>
      <c r="G12350" t="s">
        <v>26</v>
      </c>
      <c r="H12350" s="8" t="s">
        <v>9</v>
      </c>
      <c r="I12350" s="8"/>
      <c r="O12350" t="str">
        <f>LEFT(Table2[[#This Row],[Description]],75)</f>
        <v>Starbucks</v>
      </c>
    </row>
    <row r="12351" spans="1:15" hidden="1">
      <c r="A12351">
        <v>202409</v>
      </c>
      <c r="B12351" s="6">
        <v>45559</v>
      </c>
      <c r="C12351" t="s">
        <v>2519</v>
      </c>
      <c r="D12351" t="s">
        <v>4523</v>
      </c>
      <c r="E12351">
        <v>76.11</v>
      </c>
      <c r="F12351" s="2" t="str">
        <f>IF(Table2[[#This Row],[Manual Cat Value]]="",VLOOKUP(Table2[[#This Row],[Description]],'Actuals Lookup'!D:F,3,0),VLOOKUP(Table2[[#This Row],[Manual Cat Value]],Lookup!A:B,2,0))</f>
        <v>Shopping</v>
      </c>
      <c r="H12351" s="8" t="s">
        <v>36</v>
      </c>
      <c r="I12351" s="8"/>
      <c r="O12351" t="str">
        <f>LEFT(Table2[[#This Row],[Description]],75)</f>
        <v>Payment to Barclaycard US</v>
      </c>
    </row>
    <row r="12352" spans="1:15" hidden="1">
      <c r="A12352">
        <v>202401</v>
      </c>
      <c r="B12352" s="6">
        <v>45313</v>
      </c>
      <c r="C12352" t="s">
        <v>5013</v>
      </c>
      <c r="D12352" t="s">
        <v>4543</v>
      </c>
      <c r="E12352">
        <v>17</v>
      </c>
      <c r="F12352" s="2" t="str">
        <f>IF(Table2[[#This Row],[Manual Cat Value]]="",VLOOKUP(Table2[[#This Row],[Description]],'Actuals Lookup'!D:F,3,0),VLOOKUP(Table2[[#This Row],[Manual Cat Value]],Lookup!A:B,2,0))</f>
        <v>Delete</v>
      </c>
      <c r="G12352" t="s">
        <v>43</v>
      </c>
      <c r="I12352" s="8"/>
      <c r="O12352" t="str">
        <f>LEFT(Table2[[#This Row],[Description]],75)</f>
        <v>Sumup</v>
      </c>
    </row>
    <row r="12353" spans="1:15" hidden="1">
      <c r="A12353">
        <v>202409</v>
      </c>
      <c r="B12353" s="6">
        <v>45561</v>
      </c>
      <c r="C12353" t="s">
        <v>130</v>
      </c>
      <c r="D12353" t="s">
        <v>5803</v>
      </c>
      <c r="E12353">
        <v>85.27</v>
      </c>
      <c r="F12353" s="2" t="str">
        <f>IF(Table2[[#This Row],[Manual Cat Value]]="",VLOOKUP(Table2[[#This Row],[Description]],'Actuals Lookup'!D:F,3,0),VLOOKUP(Table2[[#This Row],[Manual Cat Value]],Lookup!A:B,2,0))</f>
        <v>Delete</v>
      </c>
      <c r="H12353" s="8" t="s">
        <v>9</v>
      </c>
      <c r="I12353" s="8"/>
      <c r="O12353" t="str">
        <f>LEFT(Table2[[#This Row],[Description]],75)</f>
        <v>SUNSHINE TAXI ?     Saint Paul          MN</v>
      </c>
    </row>
    <row r="12354" spans="1:15" hidden="1">
      <c r="A12354">
        <v>202409</v>
      </c>
      <c r="B12354" s="6">
        <v>45559</v>
      </c>
      <c r="C12354" t="s">
        <v>130</v>
      </c>
      <c r="D12354" t="s">
        <v>5804</v>
      </c>
      <c r="E12354">
        <v>49.95</v>
      </c>
      <c r="F12354" s="2" t="str">
        <f>IF(Table2[[#This Row],[Manual Cat Value]]="",VLOOKUP(Table2[[#This Row],[Description]],'Actuals Lookup'!D:F,3,0),VLOOKUP(Table2[[#This Row],[Manual Cat Value]],Lookup!A:B,2,0))</f>
        <v>Groceries</v>
      </c>
      <c r="H12354" s="8" t="s">
        <v>27</v>
      </c>
      <c r="I12354" s="8"/>
      <c r="O12354" t="str">
        <f>LEFT(Table2[[#This Row],[Description]],75)</f>
        <v>TOTAL WINE AND MORE MINNETONKA          MN</v>
      </c>
    </row>
    <row r="12355" spans="1:15" hidden="1">
      <c r="A12355">
        <v>202409</v>
      </c>
      <c r="B12355" s="6">
        <v>45554</v>
      </c>
      <c r="C12355" t="s">
        <v>130</v>
      </c>
      <c r="D12355" t="s">
        <v>5805</v>
      </c>
      <c r="E12355">
        <v>5.33</v>
      </c>
      <c r="F12355" s="2" t="str">
        <f>IF(Table2[[#This Row],[Manual Cat Value]]="",VLOOKUP(Table2[[#This Row],[Description]],'Actuals Lookup'!D:F,3,0),VLOOKUP(Table2[[#This Row],[Manual Cat Value]],Lookup!A:B,2,0))</f>
        <v>Delete</v>
      </c>
      <c r="H12355" s="8" t="s">
        <v>9</v>
      </c>
      <c r="I12355" s="8"/>
      <c r="O12355" t="str">
        <f>LEFT(Table2[[#This Row],[Description]],75)</f>
        <v>TA #035 EFFINGHAM 00EFFINGHAM           IL</v>
      </c>
    </row>
    <row r="12356" spans="1:15" hidden="1">
      <c r="A12356">
        <v>202409</v>
      </c>
      <c r="B12356" s="6">
        <v>45560</v>
      </c>
      <c r="C12356" t="s">
        <v>130</v>
      </c>
      <c r="D12356" t="s">
        <v>5806</v>
      </c>
      <c r="E12356">
        <v>10.3</v>
      </c>
      <c r="F12356" s="2" t="str">
        <f>IF(Table2[[#This Row],[Manual Cat Value]]="",VLOOKUP(Table2[[#This Row],[Description]],'Actuals Lookup'!D:F,3,0),VLOOKUP(Table2[[#This Row],[Manual Cat Value]],Lookup!A:B,2,0))</f>
        <v>Groceries</v>
      </c>
      <c r="H12356" s="8" t="s">
        <v>27</v>
      </c>
      <c r="I12356" s="8"/>
      <c r="O12356" t="str">
        <f>LEFT(Table2[[#This Row],[Description]],75)</f>
        <v>AplPay LAKEWINDS NATMINNETONKA          MN</v>
      </c>
    </row>
    <row r="12357" spans="1:15" hidden="1">
      <c r="A12357">
        <v>202404</v>
      </c>
      <c r="B12357" s="6">
        <v>45390</v>
      </c>
      <c r="C12357" t="s">
        <v>2519</v>
      </c>
      <c r="D12357" t="s">
        <v>5807</v>
      </c>
      <c r="E12357">
        <v>3329</v>
      </c>
      <c r="F12357" s="2" t="str">
        <f>IF(Table2[[#This Row],[Manual Cat Value]]="",VLOOKUP(Table2[[#This Row],[Description]],'Actuals Lookup'!D:F,3,0),VLOOKUP(Table2[[#This Row],[Manual Cat Value]],Lookup!A:B,2,0))</f>
        <v>Delete</v>
      </c>
      <c r="H12357" s="8" t="s">
        <v>9</v>
      </c>
      <c r="I12357" s="8"/>
      <c r="O12357" t="str">
        <f>LEFT(Table2[[#This Row],[Description]],75)</f>
        <v>Tax Payment to Minnesota Department Of Revenue</v>
      </c>
    </row>
    <row r="12358" spans="1:15" hidden="1">
      <c r="A12358">
        <v>202409</v>
      </c>
      <c r="B12358" s="6">
        <v>45544</v>
      </c>
      <c r="C12358" t="s">
        <v>5808</v>
      </c>
      <c r="D12358" t="s">
        <v>5809</v>
      </c>
      <c r="E12358">
        <v>30</v>
      </c>
      <c r="F12358" s="2" t="str">
        <f>IF(Table2[[#This Row],[Manual Cat Value]]="",VLOOKUP(Table2[[#This Row],[Description]],'Actuals Lookup'!D:F,3,0),VLOOKUP(Table2[[#This Row],[Manual Cat Value]],Lookup!A:B,2,0))</f>
        <v>Delete</v>
      </c>
      <c r="H12358" s="8" t="s">
        <v>9</v>
      </c>
      <c r="I12358" s="8"/>
      <c r="O12358" t="str">
        <f>LEFT(Table2[[#This Row],[Description]],75)</f>
        <v>TENNCAB             Nashville           TN</v>
      </c>
    </row>
    <row r="12359" spans="1:15" hidden="1">
      <c r="A12359">
        <v>202409</v>
      </c>
      <c r="B12359" s="6">
        <v>45560</v>
      </c>
      <c r="C12359" t="s">
        <v>2519</v>
      </c>
      <c r="D12359" t="s">
        <v>1355</v>
      </c>
      <c r="E12359">
        <v>583.80999999999995</v>
      </c>
      <c r="F12359" s="2" t="str">
        <f>IF(Table2[[#This Row],[Manual Cat Value]]="",VLOOKUP(Table2[[#This Row],[Description]],'Actuals Lookup'!D:F,3,0),VLOOKUP(Table2[[#This Row],[Manual Cat Value]],Lookup!A:B,2,0))</f>
        <v>Shopping</v>
      </c>
      <c r="H12359" s="8" t="s">
        <v>36</v>
      </c>
      <c r="I12359" s="8"/>
      <c r="O12359" t="str">
        <f>LEFT(Table2[[#This Row],[Description]],75)</f>
        <v>Nordstrom</v>
      </c>
    </row>
    <row r="12360" spans="1:15" hidden="1">
      <c r="A12360">
        <v>202409</v>
      </c>
      <c r="B12360" s="6">
        <v>45552</v>
      </c>
      <c r="C12360" t="s">
        <v>130</v>
      </c>
      <c r="D12360" t="s">
        <v>5810</v>
      </c>
      <c r="E12360">
        <v>13.06</v>
      </c>
      <c r="F12360" s="2" t="str">
        <f>IF(Table2[[#This Row],[Manual Cat Value]]="",VLOOKUP(Table2[[#This Row],[Description]],'Actuals Lookup'!D:F,3,0),VLOOKUP(Table2[[#This Row],[Manual Cat Value]],Lookup!A:B,2,0))</f>
        <v>Delete</v>
      </c>
      <c r="H12360" s="8" t="s">
        <v>9</v>
      </c>
      <c r="I12360" s="8"/>
      <c r="O12360" t="str">
        <f>LEFT(Table2[[#This Row],[Description]],75)</f>
        <v>TGI FRIDAY'S        ATLANTA             GA</v>
      </c>
    </row>
    <row r="12361" spans="1:15" hidden="1">
      <c r="A12361">
        <v>202409</v>
      </c>
      <c r="B12361" s="6">
        <v>45561</v>
      </c>
      <c r="C12361" t="s">
        <v>2519</v>
      </c>
      <c r="D12361" t="s">
        <v>404</v>
      </c>
      <c r="E12361">
        <v>-3710.99</v>
      </c>
      <c r="F12361" s="2" t="str">
        <f>IF(Table2[[#This Row],[Manual Cat Value]]="",VLOOKUP(Table2[[#This Row],[Description]],'Actuals Lookup'!D:F,3,0),VLOOKUP(Table2[[#This Row],[Manual Cat Value]],Lookup!A:B,2,0))</f>
        <v>Britney</v>
      </c>
      <c r="H12361" s="8" t="s">
        <v>65</v>
      </c>
      <c r="I12361" s="8"/>
      <c r="O12361" t="str">
        <f>LEFT(Table2[[#This Row],[Description]],75)</f>
        <v>Cargill Inc Deposit</v>
      </c>
    </row>
    <row r="12362" spans="1:15" hidden="1">
      <c r="A12362">
        <v>202409</v>
      </c>
      <c r="B12362" s="6">
        <v>45537</v>
      </c>
      <c r="C12362" t="s">
        <v>3938</v>
      </c>
      <c r="D12362" t="s">
        <v>5811</v>
      </c>
      <c r="E12362">
        <v>55.49</v>
      </c>
      <c r="F12362" s="2" t="str">
        <f>IF(Table2[[#This Row],[Manual Cat Value]]="",VLOOKUP(Table2[[#This Row],[Description]],'Actuals Lookup'!D:F,3,0),VLOOKUP(Table2[[#This Row],[Manual Cat Value]],Lookup!A:B,2,0))</f>
        <v>Delete</v>
      </c>
      <c r="H12362" s="8" t="s">
        <v>9</v>
      </c>
      <c r="I12362" s="8"/>
      <c r="O12362" t="str">
        <f>LEFT(Table2[[#This Row],[Description]],75)</f>
        <v>THE CLARENCE HOTEL DUBLIN 2 IE REF #XX0746L67Y35FPG4</v>
      </c>
    </row>
    <row r="12363" spans="1:15" hidden="1">
      <c r="A12363">
        <v>202405</v>
      </c>
      <c r="B12363" s="6">
        <v>45415</v>
      </c>
      <c r="C12363" t="s">
        <v>5160</v>
      </c>
      <c r="D12363" t="s">
        <v>5812</v>
      </c>
      <c r="E12363">
        <v>247.64</v>
      </c>
      <c r="F12363" s="2" t="str">
        <f>IF(Table2[[#This Row],[Manual Cat Value]]="",VLOOKUP(Table2[[#This Row],[Description]],'Actuals Lookup'!D:F,3,0),VLOOKUP(Table2[[#This Row],[Manual Cat Value]],Lookup!A:B,2,0))</f>
        <v>Delete</v>
      </c>
      <c r="G12363" t="s">
        <v>43</v>
      </c>
      <c r="H12363" s="8" t="s">
        <v>9</v>
      </c>
      <c r="I12363" s="8"/>
      <c r="O12363" t="str">
        <f>LEFT(Table2[[#This Row],[Description]],75)</f>
        <v>The Clarence Hotel Idublin 2 Ir</v>
      </c>
    </row>
    <row r="12364" spans="1:15" hidden="1">
      <c r="A12364">
        <v>202409</v>
      </c>
      <c r="B12364" s="6">
        <v>45561</v>
      </c>
      <c r="C12364" t="s">
        <v>2519</v>
      </c>
      <c r="D12364" t="s">
        <v>4415</v>
      </c>
      <c r="E12364">
        <v>472.05</v>
      </c>
      <c r="F12364" s="2" t="str">
        <f>IF(Table2[[#This Row],[Manual Cat Value]]="",VLOOKUP(Table2[[#This Row],[Description]],'Actuals Lookup'!D:F,3,0),VLOOKUP(Table2[[#This Row],[Manual Cat Value]],Lookup!A:B,2,0))</f>
        <v>Target</v>
      </c>
      <c r="H12364" s="8" t="s">
        <v>30</v>
      </c>
      <c r="I12364" s="8"/>
      <c r="O12364" t="str">
        <f>LEFT(Table2[[#This Row],[Description]],75)</f>
        <v>Payment to Jeffrey B</v>
      </c>
    </row>
    <row r="12365" spans="1:15" hidden="1">
      <c r="A12365">
        <v>202411</v>
      </c>
      <c r="B12365" s="6">
        <v>45616</v>
      </c>
      <c r="C12365" t="s">
        <v>3938</v>
      </c>
      <c r="D12365" t="s">
        <v>5813</v>
      </c>
      <c r="E12365">
        <v>172.12</v>
      </c>
      <c r="F12365" s="2" t="str">
        <f>IF(Table2[[#This Row],[Manual Cat Value]]="",VLOOKUP(Table2[[#This Row],[Description]],'Actuals Lookup'!D:F,3,0),VLOOKUP(Table2[[#This Row],[Manual Cat Value]],Lookup!A:B,2,0))</f>
        <v>Delete</v>
      </c>
      <c r="H12365" t="s">
        <v>9</v>
      </c>
      <c r="I12365" s="8"/>
      <c r="O12365" t="str">
        <f>LEFT(Table2[[#This Row],[Description]],75)</f>
        <v>The Dean Hotel</v>
      </c>
    </row>
    <row r="12366" spans="1:15" hidden="1">
      <c r="A12366">
        <v>202411</v>
      </c>
      <c r="B12366" s="6">
        <v>45617</v>
      </c>
      <c r="C12366" t="s">
        <v>3938</v>
      </c>
      <c r="D12366" t="s">
        <v>5813</v>
      </c>
      <c r="E12366">
        <v>7.43</v>
      </c>
      <c r="F12366" s="2" t="str">
        <f>IF(Table2[[#This Row],[Manual Cat Value]]="",VLOOKUP(Table2[[#This Row],[Description]],'Actuals Lookup'!D:F,3,0),VLOOKUP(Table2[[#This Row],[Manual Cat Value]],Lookup!A:B,2,0))</f>
        <v>Delete</v>
      </c>
      <c r="H12366" t="s">
        <v>9</v>
      </c>
      <c r="I12366" s="8"/>
      <c r="O12366" t="str">
        <f>LEFT(Table2[[#This Row],[Description]],75)</f>
        <v>The Dean Hotel</v>
      </c>
    </row>
    <row r="12367" spans="1:15" hidden="1">
      <c r="A12367">
        <v>202409</v>
      </c>
      <c r="B12367" s="6">
        <v>45561</v>
      </c>
      <c r="C12367" t="s">
        <v>2519</v>
      </c>
      <c r="D12367" t="s">
        <v>4404</v>
      </c>
      <c r="E12367">
        <v>800</v>
      </c>
      <c r="F12367" s="2" t="str">
        <f>IF(Table2[[#This Row],[Manual Cat Value]]="",VLOOKUP(Table2[[#This Row],[Description]],'Actuals Lookup'!D:F,3,0),VLOOKUP(Table2[[#This Row],[Manual Cat Value]],Lookup!A:B,2,0))</f>
        <v>Savings</v>
      </c>
      <c r="H12367" s="8" t="s">
        <v>58</v>
      </c>
      <c r="I12367" s="8"/>
      <c r="O12367" t="str">
        <f>LEFT(Table2[[#This Row],[Description]],75)</f>
        <v>Transfer to Discover Bank</v>
      </c>
    </row>
    <row r="12368" spans="1:15" hidden="1">
      <c r="A12368">
        <v>202409</v>
      </c>
      <c r="B12368" s="6">
        <v>45562</v>
      </c>
      <c r="C12368" t="s">
        <v>130</v>
      </c>
      <c r="D12368" t="s">
        <v>5814</v>
      </c>
      <c r="E12368">
        <v>14.01</v>
      </c>
      <c r="F12368" s="2" t="str">
        <f>IF(Table2[[#This Row],[Manual Cat Value]]="",VLOOKUP(Table2[[#This Row],[Description]],'Actuals Lookup'!D:F,3,0),VLOOKUP(Table2[[#This Row],[Manual Cat Value]],Lookup!A:B,2,0))</f>
        <v>Restaurants</v>
      </c>
      <c r="H12368" s="8" t="s">
        <v>25</v>
      </c>
      <c r="I12368" s="8"/>
      <c r="O12368" t="str">
        <f>LEFT(Table2[[#This Row],[Description]],75)</f>
        <v>AplPay EXCELSIOR BREExcelsior           MN</v>
      </c>
    </row>
    <row r="12369" spans="1:15" hidden="1">
      <c r="A12369">
        <v>202409</v>
      </c>
      <c r="B12369" s="6">
        <v>45562</v>
      </c>
      <c r="C12369" t="s">
        <v>130</v>
      </c>
      <c r="D12369" t="s">
        <v>5815</v>
      </c>
      <c r="E12369">
        <v>17.2</v>
      </c>
      <c r="F12369" s="2" t="str">
        <f>IF(Table2[[#This Row],[Manual Cat Value]]="",VLOOKUP(Table2[[#This Row],[Description]],'Actuals Lookup'!D:F,3,0),VLOOKUP(Table2[[#This Row],[Manual Cat Value]],Lookup!A:B,2,0))</f>
        <v>Restaurants</v>
      </c>
      <c r="H12369" s="8" t="s">
        <v>25</v>
      </c>
      <c r="I12369" s="8"/>
      <c r="O12369" t="str">
        <f>LEFT(Table2[[#This Row],[Description]],75)</f>
        <v>EXCELSIOR BREWING COExcelsior           MN</v>
      </c>
    </row>
    <row r="12370" spans="1:15" hidden="1">
      <c r="A12370">
        <v>202409</v>
      </c>
      <c r="B12370" s="6">
        <v>45562</v>
      </c>
      <c r="C12370" t="s">
        <v>130</v>
      </c>
      <c r="D12370" t="s">
        <v>5816</v>
      </c>
      <c r="E12370">
        <v>117.15</v>
      </c>
      <c r="F12370" s="2" t="str">
        <f>IF(Table2[[#This Row],[Manual Cat Value]]="",VLOOKUP(Table2[[#This Row],[Description]],'Actuals Lookup'!D:F,3,0),VLOOKUP(Table2[[#This Row],[Manual Cat Value]],Lookup!A:B,2,0))</f>
        <v>Restaurants</v>
      </c>
      <c r="H12370" s="8" t="s">
        <v>25</v>
      </c>
      <c r="I12370" s="8"/>
      <c r="O12370" t="str">
        <f>LEFT(Table2[[#This Row],[Description]],75)</f>
        <v>HAZELWOOD FOOD AND D877-8144102         MN</v>
      </c>
    </row>
    <row r="12371" spans="1:15" hidden="1">
      <c r="A12371">
        <v>202409</v>
      </c>
      <c r="B12371" s="6">
        <v>45562</v>
      </c>
      <c r="C12371" t="s">
        <v>130</v>
      </c>
      <c r="D12371" t="s">
        <v>5759</v>
      </c>
      <c r="E12371">
        <v>127.86</v>
      </c>
      <c r="F12371" s="2" t="str">
        <f>IF(Table2[[#This Row],[Manual Cat Value]]="",VLOOKUP(Table2[[#This Row],[Description]],'Actuals Lookup'!D:F,3,0),VLOOKUP(Table2[[#This Row],[Manual Cat Value]],Lookup!A:B,2,0))</f>
        <v>Groceries</v>
      </c>
      <c r="H12371" s="8" t="s">
        <v>27</v>
      </c>
      <c r="I12371" s="8"/>
      <c r="O12371" t="str">
        <f>LEFT(Table2[[#This Row],[Description]],75)</f>
        <v>HOME CHEF           CHICAGO             IL</v>
      </c>
    </row>
    <row r="12372" spans="1:15" hidden="1">
      <c r="A12372">
        <v>202409</v>
      </c>
      <c r="B12372" s="6">
        <v>45562</v>
      </c>
      <c r="C12372" t="s">
        <v>2519</v>
      </c>
      <c r="D12372" t="s">
        <v>1955</v>
      </c>
      <c r="E12372">
        <v>21.25</v>
      </c>
      <c r="F12372" s="2" t="str">
        <f>IF(Table2[[#This Row],[Manual Cat Value]]="",VLOOKUP(Table2[[#This Row],[Description]],'Actuals Lookup'!D:F,3,0),VLOOKUP(Table2[[#This Row],[Manual Cat Value]],Lookup!A:B,2,0))</f>
        <v>Shopping</v>
      </c>
      <c r="H12372" s="8" t="s">
        <v>36</v>
      </c>
      <c r="I12372" s="8"/>
      <c r="O12372" t="str">
        <f>LEFT(Table2[[#This Row],[Description]],75)</f>
        <v>Transfer to PayPal</v>
      </c>
    </row>
    <row r="12373" spans="1:15" hidden="1">
      <c r="A12373">
        <v>202409</v>
      </c>
      <c r="B12373" s="6">
        <v>45562</v>
      </c>
      <c r="C12373" t="s">
        <v>3938</v>
      </c>
      <c r="D12373" t="s">
        <v>2078</v>
      </c>
      <c r="E12373">
        <v>15.55</v>
      </c>
      <c r="F12373" s="2" t="str">
        <f>IF(Table2[[#This Row],[Manual Cat Value]]="",VLOOKUP(Table2[[#This Row],[Description]],'Actuals Lookup'!D:F,3,0),VLOOKUP(Table2[[#This Row],[Manual Cat Value]],Lookup!A:B,2,0))</f>
        <v>Transportation</v>
      </c>
      <c r="H12373" s="8" t="s">
        <v>22</v>
      </c>
      <c r="I12373" s="8"/>
      <c r="O12373" t="str">
        <f>LEFT(Table2[[#This Row],[Description]],75)</f>
        <v>Uber</v>
      </c>
    </row>
    <row r="12374" spans="1:15" hidden="1">
      <c r="A12374">
        <v>202409</v>
      </c>
      <c r="B12374" s="6">
        <v>45563</v>
      </c>
      <c r="C12374" t="s">
        <v>130</v>
      </c>
      <c r="D12374" t="s">
        <v>5817</v>
      </c>
      <c r="E12374">
        <v>134.18</v>
      </c>
      <c r="F12374" s="2" t="str">
        <f>IF(Table2[[#This Row],[Manual Cat Value]]="",VLOOKUP(Table2[[#This Row],[Description]],'Actuals Lookup'!D:F,3,0),VLOOKUP(Table2[[#This Row],[Manual Cat Value]],Lookup!A:B,2,0))</f>
        <v>Groceries</v>
      </c>
      <c r="H12374" s="8" t="s">
        <v>27</v>
      </c>
      <c r="I12374" s="8"/>
      <c r="O12374" t="str">
        <f>LEFT(Table2[[#This Row],[Description]],75)</f>
        <v>ADVOCARE</v>
      </c>
    </row>
    <row r="12375" spans="1:15" hidden="1">
      <c r="A12375">
        <v>202409</v>
      </c>
      <c r="B12375" s="6">
        <v>45563</v>
      </c>
      <c r="C12375" t="s">
        <v>130</v>
      </c>
      <c r="D12375" t="s">
        <v>5818</v>
      </c>
      <c r="E12375">
        <v>126.52</v>
      </c>
      <c r="F12375" s="2" t="str">
        <f>IF(Table2[[#This Row],[Manual Cat Value]]="",VLOOKUP(Table2[[#This Row],[Description]],'Actuals Lookup'!D:F,3,0),VLOOKUP(Table2[[#This Row],[Manual Cat Value]],Lookup!A:B,2,0))</f>
        <v>Groceries</v>
      </c>
      <c r="H12375" s="8" t="s">
        <v>27</v>
      </c>
      <c r="I12375" s="8"/>
      <c r="O12375" t="str">
        <f>LEFT(Table2[[#This Row],[Description]],75)</f>
        <v>AplPay CUB FOODS #16SHOREWOOD           MN</v>
      </c>
    </row>
    <row r="12376" spans="1:15" hidden="1">
      <c r="A12376">
        <v>202409</v>
      </c>
      <c r="B12376" s="6">
        <v>45563</v>
      </c>
      <c r="C12376" t="s">
        <v>130</v>
      </c>
      <c r="D12376" t="s">
        <v>5819</v>
      </c>
      <c r="E12376">
        <v>38.35</v>
      </c>
      <c r="F12376" s="2" t="str">
        <f>IF(Table2[[#This Row],[Manual Cat Value]]="",VLOOKUP(Table2[[#This Row],[Description]],'Actuals Lookup'!D:F,3,0),VLOOKUP(Table2[[#This Row],[Manual Cat Value]],Lookup!A:B,2,0))</f>
        <v>Groceries</v>
      </c>
      <c r="H12376" s="8" t="s">
        <v>27</v>
      </c>
      <c r="I12376" s="8"/>
      <c r="O12376" t="str">
        <f>LEFT(Table2[[#This Row],[Description]],75)</f>
        <v>AplPay CVS PHARMACY CHANHASSEN          MN</v>
      </c>
    </row>
    <row r="12377" spans="1:15" hidden="1">
      <c r="A12377">
        <v>202409</v>
      </c>
      <c r="B12377" s="6">
        <v>45563</v>
      </c>
      <c r="C12377" t="s">
        <v>130</v>
      </c>
      <c r="D12377" t="s">
        <v>5820</v>
      </c>
      <c r="E12377">
        <v>538.69000000000005</v>
      </c>
      <c r="F12377" s="2" t="str">
        <f>IF(Table2[[#This Row],[Manual Cat Value]]="",VLOOKUP(Table2[[#This Row],[Description]],'Actuals Lookup'!D:F,3,0),VLOOKUP(Table2[[#This Row],[Manual Cat Value]],Lookup!A:B,2,0))</f>
        <v>Travel</v>
      </c>
      <c r="H12377" s="8" t="s">
        <v>52</v>
      </c>
      <c r="I12377" s="8"/>
      <c r="O12377" t="str">
        <f>LEFT(Table2[[#This Row],[Description]],75)</f>
        <v>INN ON LAKE SUPERIORDULUTH              MN</v>
      </c>
    </row>
    <row r="12378" spans="1:15" hidden="1">
      <c r="A12378">
        <v>202409</v>
      </c>
      <c r="B12378" s="6">
        <v>45563</v>
      </c>
      <c r="C12378" t="s">
        <v>130</v>
      </c>
      <c r="D12378" t="s">
        <v>5821</v>
      </c>
      <c r="E12378">
        <v>21.19</v>
      </c>
      <c r="F12378" s="2" t="str">
        <f>IF(Table2[[#This Row],[Manual Cat Value]]="",VLOOKUP(Table2[[#This Row],[Description]],'Actuals Lookup'!D:F,3,0),VLOOKUP(Table2[[#This Row],[Manual Cat Value]],Lookup!A:B,2,0))</f>
        <v>Restaurants</v>
      </c>
      <c r="H12378" s="8" t="s">
        <v>25</v>
      </c>
      <c r="I12378" s="8"/>
      <c r="O12378" t="str">
        <f>LEFT(Table2[[#This Row],[Description]],75)</f>
        <v>O'SHAUGHNESSY DISTIL877-8144102         MN</v>
      </c>
    </row>
    <row r="12379" spans="1:15" hidden="1">
      <c r="A12379">
        <v>202411</v>
      </c>
      <c r="B12379" s="6">
        <v>45618</v>
      </c>
      <c r="C12379" t="s">
        <v>3938</v>
      </c>
      <c r="D12379" t="s">
        <v>5822</v>
      </c>
      <c r="E12379">
        <v>3.82</v>
      </c>
      <c r="F12379" s="2" t="str">
        <f>IF(Table2[[#This Row],[Manual Cat Value]]="",VLOOKUP(Table2[[#This Row],[Description]],'Actuals Lookup'!D:F,3,0),VLOOKUP(Table2[[#This Row],[Manual Cat Value]],Lookup!A:B,2,0))</f>
        <v>Delete</v>
      </c>
      <c r="H12379" t="s">
        <v>9</v>
      </c>
      <c r="I12379" s="8"/>
      <c r="O12379" t="str">
        <f>LEFT(Table2[[#This Row],[Description]],75)</f>
        <v>THE DEAN HOTEL CORK IE REF #XX0746NP88X6HEN8</v>
      </c>
    </row>
    <row r="12380" spans="1:15" hidden="1">
      <c r="A12380">
        <v>202409</v>
      </c>
      <c r="B12380" s="6">
        <v>45563</v>
      </c>
      <c r="C12380" t="s">
        <v>130</v>
      </c>
      <c r="D12380" t="s">
        <v>5823</v>
      </c>
      <c r="E12380">
        <v>10.31</v>
      </c>
      <c r="F12380" s="2" t="str">
        <f>IF(Table2[[#This Row],[Manual Cat Value]]="",VLOOKUP(Table2[[#This Row],[Description]],'Actuals Lookup'!D:F,3,0),VLOOKUP(Table2[[#This Row],[Manual Cat Value]],Lookup!A:B,2,0))</f>
        <v>Restaurants</v>
      </c>
      <c r="H12380" s="8" t="s">
        <v>25</v>
      </c>
      <c r="I12380" s="8"/>
      <c r="O12380" t="str">
        <f>LEFT(Table2[[#This Row],[Description]],75)</f>
        <v>TST* SURLY BREWING CMINNEAPOLIS         MN</v>
      </c>
    </row>
    <row r="12381" spans="1:15" hidden="1">
      <c r="A12381">
        <v>202409</v>
      </c>
      <c r="B12381" s="6">
        <v>45564</v>
      </c>
      <c r="C12381" t="s">
        <v>130</v>
      </c>
      <c r="D12381" t="s">
        <v>5824</v>
      </c>
      <c r="E12381">
        <v>44.99</v>
      </c>
      <c r="F12381" s="2" t="str">
        <f>IF(Table2[[#This Row],[Manual Cat Value]]="",VLOOKUP(Table2[[#This Row],[Description]],'Actuals Lookup'!D:F,3,0),VLOOKUP(Table2[[#This Row],[Manual Cat Value]],Lookup!A:B,2,0))</f>
        <v>Restaurants</v>
      </c>
      <c r="H12381" s="8" t="s">
        <v>25</v>
      </c>
      <c r="I12381" s="8"/>
      <c r="O12381" t="str">
        <f>LEFT(Table2[[#This Row],[Description]],75)</f>
        <v>BOXCAR BAR          MINNEAPOLIS         MN</v>
      </c>
    </row>
    <row r="12382" spans="1:15" hidden="1">
      <c r="A12382">
        <v>202409</v>
      </c>
      <c r="B12382" s="6">
        <v>45564</v>
      </c>
      <c r="C12382" t="s">
        <v>3938</v>
      </c>
      <c r="D12382" t="s">
        <v>648</v>
      </c>
      <c r="E12382">
        <v>283.56</v>
      </c>
      <c r="F12382" s="2" t="str">
        <f>IF(Table2[[#This Row],[Manual Cat Value]]="",VLOOKUP(Table2[[#This Row],[Description]],'Actuals Lookup'!D:F,3,0),VLOOKUP(Table2[[#This Row],[Manual Cat Value]],Lookup!A:B,2,0))</f>
        <v>Groceries</v>
      </c>
      <c r="H12382" s="8" t="s">
        <v>27</v>
      </c>
      <c r="I12382" s="8"/>
      <c r="O12382" t="str">
        <f>LEFT(Table2[[#This Row],[Description]],75)</f>
        <v>Costco</v>
      </c>
    </row>
    <row r="12383" spans="1:15" hidden="1">
      <c r="A12383">
        <v>202409</v>
      </c>
      <c r="B12383" s="6">
        <v>45564</v>
      </c>
      <c r="C12383" t="s">
        <v>3938</v>
      </c>
      <c r="D12383" t="s">
        <v>4887</v>
      </c>
      <c r="E12383">
        <v>30.84</v>
      </c>
      <c r="F12383" s="2" t="str">
        <f>IF(Table2[[#This Row],[Manual Cat Value]]="",VLOOKUP(Table2[[#This Row],[Description]],'Actuals Lookup'!D:F,3,0),VLOOKUP(Table2[[#This Row],[Manual Cat Value]],Lookup!A:B,2,0))</f>
        <v>Transportation</v>
      </c>
      <c r="H12383" s="8" t="s">
        <v>22</v>
      </c>
      <c r="I12383" s="8"/>
      <c r="O12383" t="str">
        <f>LEFT(Table2[[#This Row],[Description]],75)</f>
        <v>Costco Gas Stations</v>
      </c>
    </row>
    <row r="12384" spans="1:15" hidden="1">
      <c r="A12384">
        <v>202409</v>
      </c>
      <c r="B12384" s="6">
        <v>45564</v>
      </c>
      <c r="C12384" t="s">
        <v>130</v>
      </c>
      <c r="D12384" t="s">
        <v>5825</v>
      </c>
      <c r="E12384">
        <v>102.54</v>
      </c>
      <c r="F12384" s="2" t="str">
        <f>IF(Table2[[#This Row],[Manual Cat Value]]="",VLOOKUP(Table2[[#This Row],[Description]],'Actuals Lookup'!D:F,3,0),VLOOKUP(Table2[[#This Row],[Manual Cat Value]],Lookup!A:B,2,0))</f>
        <v>Entertainment</v>
      </c>
      <c r="H12384" s="8" t="s">
        <v>39</v>
      </c>
      <c r="I12384" s="8"/>
      <c r="O12384" t="str">
        <f>LEFT(Table2[[#This Row],[Description]],75)</f>
        <v>DEER RUN GC         VICTORIA            MN</v>
      </c>
    </row>
    <row r="12385" spans="1:15" hidden="1">
      <c r="A12385">
        <v>202409</v>
      </c>
      <c r="B12385" s="6">
        <v>45564</v>
      </c>
      <c r="C12385" t="s">
        <v>2519</v>
      </c>
      <c r="D12385" t="s">
        <v>4343</v>
      </c>
      <c r="E12385">
        <v>-3238.06</v>
      </c>
      <c r="F12385" s="2" t="str">
        <f>IF(Table2[[#This Row],[Manual Cat Value]]="",VLOOKUP(Table2[[#This Row],[Description]],'Actuals Lookup'!D:F,3,0),VLOOKUP(Table2[[#This Row],[Manual Cat Value]],Lookup!A:B,2,0))</f>
        <v>Jeff</v>
      </c>
      <c r="H12385" s="8" t="s">
        <v>63</v>
      </c>
      <c r="I12385" s="8"/>
      <c r="O12385" t="str">
        <f>LEFT(Table2[[#This Row],[Description]],75)</f>
        <v>Salary/Regular Income from TriNet</v>
      </c>
    </row>
    <row r="12386" spans="1:15" hidden="1">
      <c r="A12386">
        <v>202409</v>
      </c>
      <c r="B12386" s="6">
        <v>45564</v>
      </c>
      <c r="C12386" t="s">
        <v>130</v>
      </c>
      <c r="D12386" t="s">
        <v>5826</v>
      </c>
      <c r="E12386">
        <v>43.01</v>
      </c>
      <c r="F12386" s="2" t="str">
        <f>IF(Table2[[#This Row],[Manual Cat Value]]="",VLOOKUP(Table2[[#This Row],[Description]],'Actuals Lookup'!D:F,3,0),VLOOKUP(Table2[[#This Row],[Manual Cat Value]],Lookup!A:B,2,0))</f>
        <v>Restaurants</v>
      </c>
      <c r="H12386" s="8" t="s">
        <v>25</v>
      </c>
      <c r="I12386" s="8"/>
      <c r="O12386" t="str">
        <f>LEFT(Table2[[#This Row],[Description]],75)</f>
        <v>TST* FAT PANTS BREWIEDEN PRAIRIE        MN</v>
      </c>
    </row>
    <row r="12387" spans="1:15" hidden="1">
      <c r="A12387">
        <v>202409</v>
      </c>
      <c r="B12387" s="6">
        <v>45564</v>
      </c>
      <c r="C12387" t="s">
        <v>3938</v>
      </c>
      <c r="D12387" t="s">
        <v>2135</v>
      </c>
      <c r="E12387">
        <v>2.16</v>
      </c>
      <c r="F12387" s="2" t="str">
        <f>IF(Table2[[#This Row],[Manual Cat Value]]="",VLOOKUP(Table2[[#This Row],[Description]],'Actuals Lookup'!D:F,3,0),VLOOKUP(Table2[[#This Row],[Manual Cat Value]],Lookup!A:B,2,0))</f>
        <v>Shopping</v>
      </c>
      <c r="H12387" s="8" t="s">
        <v>36</v>
      </c>
      <c r="I12387" s="8"/>
      <c r="O12387" t="str">
        <f>LEFT(Table2[[#This Row],[Description]],75)</f>
        <v>Walgreens</v>
      </c>
    </row>
    <row r="12388" spans="1:15" hidden="1">
      <c r="A12388">
        <v>202409</v>
      </c>
      <c r="B12388" s="6">
        <v>45564</v>
      </c>
      <c r="C12388" t="s">
        <v>3938</v>
      </c>
      <c r="D12388" t="s">
        <v>2135</v>
      </c>
      <c r="E12388">
        <v>75.290000000000006</v>
      </c>
      <c r="F12388" s="2" t="str">
        <f>IF(Table2[[#This Row],[Manual Cat Value]]="",VLOOKUP(Table2[[#This Row],[Description]],'Actuals Lookup'!D:F,3,0),VLOOKUP(Table2[[#This Row],[Manual Cat Value]],Lookup!A:B,2,0))</f>
        <v>Shopping</v>
      </c>
      <c r="H12388" s="8" t="s">
        <v>36</v>
      </c>
      <c r="I12388" s="8"/>
      <c r="O12388" t="str">
        <f>LEFT(Table2[[#This Row],[Description]],75)</f>
        <v>Walgreens</v>
      </c>
    </row>
    <row r="12389" spans="1:15" hidden="1">
      <c r="A12389">
        <v>202411</v>
      </c>
      <c r="B12389" s="6">
        <v>45618</v>
      </c>
      <c r="C12389" t="s">
        <v>130</v>
      </c>
      <c r="D12389" t="s">
        <v>5827</v>
      </c>
      <c r="E12389">
        <v>896.7</v>
      </c>
      <c r="F12389" s="2" t="str">
        <f>IF(Table2[[#This Row],[Manual Cat Value]]="",VLOOKUP(Table2[[#This Row],[Description]],'Actuals Lookup'!D:F,3,0),VLOOKUP(Table2[[#This Row],[Manual Cat Value]],Lookup!A:B,2,0))</f>
        <v>Delete</v>
      </c>
      <c r="H12389" t="s">
        <v>9</v>
      </c>
      <c r="I12389" s="8"/>
      <c r="O12389" t="str">
        <f>LEFT(Table2[[#This Row],[Description]],75)</f>
        <v>THE DEAN HOTEL IE000CORK                IR</v>
      </c>
    </row>
    <row r="12390" spans="1:15" hidden="1">
      <c r="A12390">
        <v>202409</v>
      </c>
      <c r="B12390" s="6">
        <v>45565</v>
      </c>
      <c r="C12390" t="s">
        <v>2519</v>
      </c>
      <c r="D12390" t="s">
        <v>4356</v>
      </c>
      <c r="E12390">
        <v>52.91</v>
      </c>
      <c r="F12390" s="2" t="str">
        <f>IF(Table2[[#This Row],[Manual Cat Value]]="",VLOOKUP(Table2[[#This Row],[Description]],'Actuals Lookup'!D:F,3,0),VLOOKUP(Table2[[#This Row],[Manual Cat Value]],Lookup!A:B,2,0))</f>
        <v>Insurance</v>
      </c>
      <c r="H12390" s="8" t="s">
        <v>17</v>
      </c>
      <c r="I12390" s="8"/>
      <c r="O12390" t="str">
        <f>LEFT(Table2[[#This Row],[Description]],75)</f>
        <v>Payment to American Family Insurance</v>
      </c>
    </row>
    <row r="12391" spans="1:15" hidden="1">
      <c r="A12391">
        <v>202409</v>
      </c>
      <c r="B12391" s="6">
        <v>45565</v>
      </c>
      <c r="C12391" t="s">
        <v>2519</v>
      </c>
      <c r="D12391" t="s">
        <v>1955</v>
      </c>
      <c r="E12391">
        <v>0.99</v>
      </c>
      <c r="F12391" s="2" t="str">
        <f>IF(Table2[[#This Row],[Manual Cat Value]]="",VLOOKUP(Table2[[#This Row],[Description]],'Actuals Lookup'!D:F,3,0),VLOOKUP(Table2[[#This Row],[Manual Cat Value]],Lookup!A:B,2,0))</f>
        <v>Shopping</v>
      </c>
      <c r="H12391" s="8" t="s">
        <v>36</v>
      </c>
      <c r="I12391" s="8"/>
      <c r="O12391" t="str">
        <f>LEFT(Table2[[#This Row],[Description]],75)</f>
        <v>Transfer to PayPal</v>
      </c>
    </row>
    <row r="12392" spans="1:15" hidden="1">
      <c r="A12392">
        <v>202409</v>
      </c>
      <c r="B12392" s="6">
        <v>45565</v>
      </c>
      <c r="C12392" t="s">
        <v>3938</v>
      </c>
      <c r="D12392" t="s">
        <v>2078</v>
      </c>
      <c r="E12392">
        <v>73.349999999999994</v>
      </c>
      <c r="F12392" s="2" t="str">
        <f>IF(Table2[[#This Row],[Manual Cat Value]]="",VLOOKUP(Table2[[#This Row],[Description]],'Actuals Lookup'!D:F,3,0),VLOOKUP(Table2[[#This Row],[Manual Cat Value]],Lookup!A:B,2,0))</f>
        <v>Transportation</v>
      </c>
      <c r="H12392" s="8" t="s">
        <v>22</v>
      </c>
      <c r="I12392" s="8"/>
      <c r="O12392" t="str">
        <f>LEFT(Table2[[#This Row],[Description]],75)</f>
        <v>Uber</v>
      </c>
    </row>
    <row r="12393" spans="1:15" hidden="1">
      <c r="A12393">
        <v>202410</v>
      </c>
      <c r="B12393" s="6">
        <v>45566</v>
      </c>
      <c r="C12393" t="s">
        <v>3938</v>
      </c>
      <c r="D12393" t="s">
        <v>5828</v>
      </c>
      <c r="E12393">
        <v>6.49</v>
      </c>
      <c r="F12393" s="2" t="str">
        <f>IF(Table2[[#This Row],[Manual Cat Value]]="",VLOOKUP(Table2[[#This Row],[Description]],'Actuals Lookup'!D:F,3,0),VLOOKUP(Table2[[#This Row],[Manual Cat Value]],Lookup!A:B,2,0))</f>
        <v>Amazon</v>
      </c>
      <c r="H12393" s="8" t="s">
        <v>37</v>
      </c>
      <c r="I12393" s="8"/>
      <c r="O12393" t="str">
        <f>LEFT(Table2[[#This Row],[Description]],75)</f>
        <v>Amazon Music*OG4MN41R3 XX-3080 WA REF #XX9216M332ER4FRE</v>
      </c>
    </row>
    <row r="12394" spans="1:15" hidden="1">
      <c r="A12394">
        <v>202410</v>
      </c>
      <c r="B12394" s="6">
        <v>45566</v>
      </c>
      <c r="C12394" t="s">
        <v>3938</v>
      </c>
      <c r="D12394" t="s">
        <v>3973</v>
      </c>
      <c r="E12394">
        <v>15</v>
      </c>
      <c r="F12394" s="2" t="str">
        <f>IF(Table2[[#This Row],[Manual Cat Value]]="",VLOOKUP(Table2[[#This Row],[Description]],'Actuals Lookup'!D:F,3,0),VLOOKUP(Table2[[#This Row],[Manual Cat Value]],Lookup!A:B,2,0))</f>
        <v>Day Care</v>
      </c>
      <c r="H12394" s="8" t="s">
        <v>19</v>
      </c>
      <c r="I12394" s="8"/>
      <c r="O12394" t="str">
        <f>LEFT(Table2[[#This Row],[Description]],75)</f>
        <v>Minnetonka Public Schools</v>
      </c>
    </row>
    <row r="12395" spans="1:15" hidden="1">
      <c r="A12395">
        <v>202410</v>
      </c>
      <c r="B12395" s="6">
        <v>45566</v>
      </c>
      <c r="C12395" t="s">
        <v>2519</v>
      </c>
      <c r="D12395" t="s">
        <v>5443</v>
      </c>
      <c r="E12395">
        <v>400</v>
      </c>
      <c r="F12395" s="2" t="str">
        <f>IF(Table2[[#This Row],[Manual Cat Value]]="",VLOOKUP(Table2[[#This Row],[Description]],'Actuals Lookup'!D:F,3,0),VLOOKUP(Table2[[#This Row],[Manual Cat Value]],Lookup!A:B,2,0))</f>
        <v>Day Care</v>
      </c>
      <c r="H12395" s="8" t="s">
        <v>19</v>
      </c>
      <c r="I12395" s="8"/>
      <c r="O12395" t="str">
        <f>LEFT(Table2[[#This Row],[Description]],75)</f>
        <v>Mis Amigos</v>
      </c>
    </row>
    <row r="12396" spans="1:15" hidden="1">
      <c r="A12396">
        <v>202412</v>
      </c>
      <c r="B12396" s="6">
        <v>45655</v>
      </c>
      <c r="C12396" t="s">
        <v>130</v>
      </c>
      <c r="D12396" t="s">
        <v>5827</v>
      </c>
      <c r="E12396">
        <v>631.72</v>
      </c>
      <c r="F12396" s="2" t="str">
        <f>IF(Table2[[#This Row],[Manual Cat Value]]="",VLOOKUP(Table2[[#This Row],[Description]],'Actuals Lookup'!D:F,3,0),VLOOKUP(Table2[[#This Row],[Manual Cat Value]],Lookup!A:B,2,0))</f>
        <v>Delete</v>
      </c>
      <c r="H12396" t="s">
        <v>9</v>
      </c>
      <c r="I12396" s="8"/>
      <c r="O12396" t="str">
        <f>LEFT(Table2[[#This Row],[Description]],75)</f>
        <v>THE DEAN HOTEL IE000CORK                IR</v>
      </c>
    </row>
    <row r="12397" spans="1:15" hidden="1">
      <c r="A12397">
        <v>202410</v>
      </c>
      <c r="B12397" s="6">
        <v>45566</v>
      </c>
      <c r="C12397" t="s">
        <v>2519</v>
      </c>
      <c r="D12397" t="s">
        <v>5148</v>
      </c>
      <c r="E12397">
        <v>370.98</v>
      </c>
      <c r="F12397" s="2" t="str">
        <f>IF(Table2[[#This Row],[Manual Cat Value]]="",VLOOKUP(Table2[[#This Row],[Description]],'Actuals Lookup'!D:F,3,0),VLOOKUP(Table2[[#This Row],[Manual Cat Value]],Lookup!A:B,2,0))</f>
        <v>Utilities</v>
      </c>
      <c r="H12397" s="8" t="s">
        <v>6</v>
      </c>
      <c r="I12397" s="8"/>
      <c r="O12397" t="str">
        <f>LEFT(Table2[[#This Row],[Description]],75)</f>
        <v>Payment to AT&amp;T</v>
      </c>
    </row>
    <row r="12398" spans="1:15" hidden="1">
      <c r="A12398">
        <v>202410</v>
      </c>
      <c r="B12398" s="6">
        <v>45566</v>
      </c>
      <c r="C12398" t="s">
        <v>2519</v>
      </c>
      <c r="D12398" t="s">
        <v>1460</v>
      </c>
      <c r="E12398">
        <v>2745.43</v>
      </c>
      <c r="F12398" s="2" t="str">
        <f>IF(Table2[[#This Row],[Manual Cat Value]]="",VLOOKUP(Table2[[#This Row],[Description]],'Actuals Lookup'!D:F,3,0),VLOOKUP(Table2[[#This Row],[Manual Cat Value]],Lookup!A:B,2,0))</f>
        <v>Rent</v>
      </c>
      <c r="H12398" s="8" t="s">
        <v>4</v>
      </c>
      <c r="I12398" s="8"/>
      <c r="O12398" t="str">
        <f>LEFT(Table2[[#This Row],[Description]],75)</f>
        <v>Payment to Baxter Credit Union</v>
      </c>
    </row>
    <row r="12399" spans="1:15" hidden="1">
      <c r="A12399">
        <v>202410</v>
      </c>
      <c r="B12399" s="6">
        <v>45566</v>
      </c>
      <c r="C12399" t="s">
        <v>130</v>
      </c>
      <c r="D12399" t="s">
        <v>5829</v>
      </c>
      <c r="E12399">
        <v>132</v>
      </c>
      <c r="F12399" s="2" t="str">
        <f>IF(Table2[[#This Row],[Manual Cat Value]]="",VLOOKUP(Table2[[#This Row],[Description]],'Actuals Lookup'!D:F,3,0),VLOOKUP(Table2[[#This Row],[Manual Cat Value]],Lookup!A:B,2,0))</f>
        <v>Shopping</v>
      </c>
      <c r="H12399" s="8" t="s">
        <v>36</v>
      </c>
      <c r="I12399" s="8"/>
      <c r="O12399" t="str">
        <f>LEFT(Table2[[#This Row],[Description]],75)</f>
        <v>SP KINGFIFTH        WORTHINGTON         OH</v>
      </c>
    </row>
    <row r="12400" spans="1:15" hidden="1">
      <c r="A12400">
        <v>202408</v>
      </c>
      <c r="B12400" s="6">
        <v>45525</v>
      </c>
      <c r="C12400" t="s">
        <v>3938</v>
      </c>
      <c r="D12400" t="s">
        <v>5830</v>
      </c>
      <c r="E12400">
        <v>15.47</v>
      </c>
      <c r="F12400" s="2" t="str">
        <f>IF(Table2[[#This Row],[Manual Cat Value]]="",VLOOKUP(Table2[[#This Row],[Description]],'Actuals Lookup'!D:F,3,0),VLOOKUP(Table2[[#This Row],[Manual Cat Value]],Lookup!A:B,2,0))</f>
        <v>Delete</v>
      </c>
      <c r="H12400" s="8" t="s">
        <v>9</v>
      </c>
      <c r="I12400" s="8"/>
      <c r="O12400" t="str">
        <f>LEFT(Table2[[#This Row],[Description]],75)</f>
        <v>THOMPSONS CORK IE REF #XX9769KSSRS4P28G</v>
      </c>
    </row>
    <row r="12401" spans="1:15" hidden="1">
      <c r="A12401">
        <v>202410</v>
      </c>
      <c r="B12401" s="6">
        <v>45566</v>
      </c>
      <c r="C12401" t="s">
        <v>2519</v>
      </c>
      <c r="D12401" t="s">
        <v>1955</v>
      </c>
      <c r="E12401">
        <v>91.57</v>
      </c>
      <c r="F12401" s="2" t="str">
        <f>IF(Table2[[#This Row],[Manual Cat Value]]="",VLOOKUP(Table2[[#This Row],[Description]],'Actuals Lookup'!D:F,3,0),VLOOKUP(Table2[[#This Row],[Manual Cat Value]],Lookup!A:B,2,0))</f>
        <v>Shopping</v>
      </c>
      <c r="H12401" s="8" t="s">
        <v>36</v>
      </c>
      <c r="I12401" s="8"/>
      <c r="O12401" t="str">
        <f>LEFT(Table2[[#This Row],[Description]],75)</f>
        <v>Transfer to PayPal</v>
      </c>
    </row>
    <row r="12402" spans="1:15" hidden="1">
      <c r="A12402">
        <v>202410</v>
      </c>
      <c r="B12402" s="6">
        <v>45566</v>
      </c>
      <c r="C12402" t="s">
        <v>2519</v>
      </c>
      <c r="D12402" t="s">
        <v>5831</v>
      </c>
      <c r="E12402">
        <v>650</v>
      </c>
      <c r="F12402" s="2" t="str">
        <f>IF(Table2[[#This Row],[Manual Cat Value]]="",VLOOKUP(Table2[[#This Row],[Description]],'Actuals Lookup'!D:F,3,0),VLOOKUP(Table2[[#This Row],[Manual Cat Value]],Lookup!A:B,2,0))</f>
        <v>College Savings</v>
      </c>
      <c r="H12402" s="8" t="s">
        <v>60</v>
      </c>
      <c r="I12402" s="8"/>
      <c r="O12402" t="str">
        <f>LEFT(Table2[[#This Row],[Description]],75)</f>
        <v>Withdrawal ACH ILD529 DIR ACH TYPE: CONTRIB ID: XX2584 CO: ILD529 DIR ACH E</v>
      </c>
    </row>
    <row r="12403" spans="1:15" hidden="1">
      <c r="A12403">
        <v>202410</v>
      </c>
      <c r="B12403" s="6">
        <v>45567</v>
      </c>
      <c r="C12403" t="s">
        <v>130</v>
      </c>
      <c r="D12403" t="s">
        <v>5832</v>
      </c>
      <c r="E12403">
        <v>222.07</v>
      </c>
      <c r="F12403" s="2" t="str">
        <f>IF(Table2[[#This Row],[Manual Cat Value]]="",VLOOKUP(Table2[[#This Row],[Description]],'Actuals Lookup'!D:F,3,0),VLOOKUP(Table2[[#This Row],[Manual Cat Value]],Lookup!A:B,2,0))</f>
        <v>Entertainment</v>
      </c>
      <c r="H12403" s="8" t="s">
        <v>39</v>
      </c>
      <c r="I12403" s="8"/>
      <c r="O12403" t="str">
        <f>LEFT(Table2[[#This Row],[Description]],75)</f>
        <v>2025 GRANDMAS MARATHBOSTON              MA</v>
      </c>
    </row>
    <row r="12404" spans="1:15" hidden="1">
      <c r="A12404">
        <v>202411</v>
      </c>
      <c r="B12404" s="6">
        <v>45615</v>
      </c>
      <c r="C12404" t="s">
        <v>3938</v>
      </c>
      <c r="D12404" t="s">
        <v>5833</v>
      </c>
      <c r="E12404">
        <v>28.66</v>
      </c>
      <c r="F12404" s="2" t="str">
        <f>IF(Table2[[#This Row],[Manual Cat Value]]="",VLOOKUP(Table2[[#This Row],[Description]],'Actuals Lookup'!D:F,3,0),VLOOKUP(Table2[[#This Row],[Manual Cat Value]],Lookup!A:B,2,0))</f>
        <v>Delete</v>
      </c>
      <c r="H12404" t="s">
        <v>9</v>
      </c>
      <c r="I12404" s="8"/>
      <c r="O12404" t="str">
        <f>LEFT(Table2[[#This Row],[Description]],75)</f>
        <v>THOMPSONS CORK IE REF #XX9769NLSRSDHKEZ</v>
      </c>
    </row>
    <row r="12405" spans="1:15" hidden="1">
      <c r="A12405">
        <v>202411</v>
      </c>
      <c r="B12405" s="6">
        <v>45618</v>
      </c>
      <c r="C12405" t="s">
        <v>3938</v>
      </c>
      <c r="D12405" t="s">
        <v>5834</v>
      </c>
      <c r="E12405">
        <v>15.39</v>
      </c>
      <c r="F12405" s="2" t="str">
        <f>IF(Table2[[#This Row],[Manual Cat Value]]="",VLOOKUP(Table2[[#This Row],[Description]],'Actuals Lookup'!D:F,3,0),VLOOKUP(Table2[[#This Row],[Manual Cat Value]],Lookup!A:B,2,0))</f>
        <v>Delete</v>
      </c>
      <c r="H12405" t="s">
        <v>9</v>
      </c>
      <c r="I12405" s="8"/>
      <c r="O12405" t="str">
        <f>LEFT(Table2[[#This Row],[Description]],75)</f>
        <v>THOMPSONS CORK IE REF #XX9769NPSRS4ZPXY</v>
      </c>
    </row>
    <row r="12406" spans="1:15" hidden="1">
      <c r="A12406">
        <v>202410</v>
      </c>
      <c r="B12406" s="6">
        <v>45567</v>
      </c>
      <c r="C12406" t="s">
        <v>2519</v>
      </c>
      <c r="D12406" t="s">
        <v>5835</v>
      </c>
      <c r="E12406">
        <v>104.58</v>
      </c>
      <c r="F12406" s="2" t="str">
        <f>IF(Table2[[#This Row],[Manual Cat Value]]="",VLOOKUP(Table2[[#This Row],[Description]],'Actuals Lookup'!D:F,3,0),VLOOKUP(Table2[[#This Row],[Manual Cat Value]],Lookup!A:B,2,0))</f>
        <v>Utilities</v>
      </c>
      <c r="H12406" s="8" t="s">
        <v>6</v>
      </c>
      <c r="I12406" s="8"/>
      <c r="O12406" t="str">
        <f>LEFT(Table2[[#This Row],[Description]],75)</f>
        <v>Withdrawal ACH CPENERGY MNGCO TYPE: MGC ACH EB ID: 1XX1140S CO: CPENERGY MN</v>
      </c>
    </row>
    <row r="12407" spans="1:15" hidden="1">
      <c r="A12407">
        <v>202411</v>
      </c>
      <c r="B12407" s="6">
        <v>45618</v>
      </c>
      <c r="C12407" t="s">
        <v>3938</v>
      </c>
      <c r="D12407" t="s">
        <v>5836</v>
      </c>
      <c r="E12407">
        <v>36.979999999999997</v>
      </c>
      <c r="F12407" s="2" t="str">
        <f>IF(Table2[[#This Row],[Manual Cat Value]]="",VLOOKUP(Table2[[#This Row],[Description]],'Actuals Lookup'!D:F,3,0),VLOOKUP(Table2[[#This Row],[Manual Cat Value]],Lookup!A:B,2,0))</f>
        <v>Delete</v>
      </c>
      <c r="H12407" t="s">
        <v>9</v>
      </c>
      <c r="I12407" s="8"/>
      <c r="O12407" t="str">
        <f>LEFT(Table2[[#This Row],[Description]],75)</f>
        <v>THOMPSONS CORK IE REF #XX9769NPSRS50W16</v>
      </c>
    </row>
    <row r="12408" spans="1:15" hidden="1">
      <c r="A12408">
        <v>202410</v>
      </c>
      <c r="B12408" s="6">
        <v>45568</v>
      </c>
      <c r="C12408" t="s">
        <v>3938</v>
      </c>
      <c r="D12408" t="s">
        <v>5449</v>
      </c>
      <c r="E12408">
        <v>19.82</v>
      </c>
      <c r="F12408" s="2" t="str">
        <f>IF(Table2[[#This Row],[Manual Cat Value]]="",VLOOKUP(Table2[[#This Row],[Description]],'Actuals Lookup'!D:F,3,0),VLOOKUP(Table2[[#This Row],[Manual Cat Value]],Lookup!A:B,2,0))</f>
        <v>Restaurants</v>
      </c>
      <c r="H12408" s="8" t="s">
        <v>25</v>
      </c>
      <c r="I12408" s="8"/>
      <c r="O12408" t="str">
        <f>LEFT(Table2[[#This Row],[Description]],75)</f>
        <v>Subway</v>
      </c>
    </row>
    <row r="12409" spans="1:15" hidden="1">
      <c r="A12409">
        <v>202410</v>
      </c>
      <c r="B12409" s="6">
        <v>45569</v>
      </c>
      <c r="C12409" t="s">
        <v>130</v>
      </c>
      <c r="D12409" t="s">
        <v>5837</v>
      </c>
      <c r="E12409">
        <v>25</v>
      </c>
      <c r="F12409" s="2" t="str">
        <f>IF(Table2[[#This Row],[Manual Cat Value]]="",VLOOKUP(Table2[[#This Row],[Description]],'Actuals Lookup'!D:F,3,0),VLOOKUP(Table2[[#This Row],[Manual Cat Value]],Lookup!A:B,2,0))</f>
        <v>Day Care</v>
      </c>
      <c r="H12409" s="8" t="s">
        <v>19</v>
      </c>
      <c r="I12409" s="8"/>
      <c r="O12409" t="str">
        <f>LEFT(Table2[[#This Row],[Description]],75)</f>
        <v>355 GREAT CLIPS AT SEXCELSIOR           MN</v>
      </c>
    </row>
    <row r="12410" spans="1:15" hidden="1">
      <c r="A12410">
        <v>202410</v>
      </c>
      <c r="B12410" s="6">
        <v>45569</v>
      </c>
      <c r="C12410" t="s">
        <v>130</v>
      </c>
      <c r="D12410" t="s">
        <v>5838</v>
      </c>
      <c r="E12410">
        <v>21.17</v>
      </c>
      <c r="F12410" s="2" t="str">
        <f>IF(Table2[[#This Row],[Manual Cat Value]]="",VLOOKUP(Table2[[#This Row],[Description]],'Actuals Lookup'!D:F,3,0),VLOOKUP(Table2[[#This Row],[Manual Cat Value]],Lookup!A:B,2,0))</f>
        <v>Restaurants</v>
      </c>
      <c r="H12410" s="8" t="s">
        <v>25</v>
      </c>
      <c r="I12410" s="8"/>
      <c r="O12410" t="str">
        <f>LEFT(Table2[[#This Row],[Description]],75)</f>
        <v>AplPay TST* TONKA PIMINNETONKA          MN</v>
      </c>
    </row>
    <row r="12411" spans="1:15" hidden="1">
      <c r="A12411">
        <v>202410</v>
      </c>
      <c r="B12411" s="6">
        <v>45569</v>
      </c>
      <c r="C12411" t="s">
        <v>130</v>
      </c>
      <c r="D12411" t="s">
        <v>5746</v>
      </c>
      <c r="E12411">
        <v>111</v>
      </c>
      <c r="F12411" s="2" t="str">
        <f>IF(Table2[[#This Row],[Manual Cat Value]]="",VLOOKUP(Table2[[#This Row],[Description]],'Actuals Lookup'!D:F,3,0),VLOOKUP(Table2[[#This Row],[Manual Cat Value]],Lookup!A:B,2,0))</f>
        <v>Entertainment</v>
      </c>
      <c r="H12411" s="8" t="s">
        <v>39</v>
      </c>
      <c r="I12411" s="8"/>
      <c r="O12411" t="str">
        <f>LEFT(Table2[[#This Row],[Description]],75)</f>
        <v>GLEN LAKE GOLF      MINNETONKA          MN</v>
      </c>
    </row>
    <row r="12412" spans="1:15" hidden="1">
      <c r="A12412">
        <v>202410</v>
      </c>
      <c r="B12412" s="6">
        <v>45569</v>
      </c>
      <c r="C12412" t="s">
        <v>130</v>
      </c>
      <c r="D12412" t="s">
        <v>5759</v>
      </c>
      <c r="E12412">
        <v>109.88</v>
      </c>
      <c r="F12412" s="2" t="str">
        <f>IF(Table2[[#This Row],[Manual Cat Value]]="",VLOOKUP(Table2[[#This Row],[Description]],'Actuals Lookup'!D:F,3,0),VLOOKUP(Table2[[#This Row],[Manual Cat Value]],Lookup!A:B,2,0))</f>
        <v>Groceries</v>
      </c>
      <c r="H12412" s="8" t="s">
        <v>27</v>
      </c>
      <c r="I12412" s="8"/>
      <c r="O12412" t="str">
        <f>LEFT(Table2[[#This Row],[Description]],75)</f>
        <v>HOME CHEF           CHICAGO             IL</v>
      </c>
    </row>
    <row r="12413" spans="1:15" hidden="1">
      <c r="A12413">
        <v>202410</v>
      </c>
      <c r="B12413" s="6">
        <v>45569</v>
      </c>
      <c r="C12413" t="s">
        <v>130</v>
      </c>
      <c r="D12413" t="s">
        <v>5839</v>
      </c>
      <c r="E12413">
        <v>41.5</v>
      </c>
      <c r="F12413" s="2" t="str">
        <f>IF(Table2[[#This Row],[Manual Cat Value]]="",VLOOKUP(Table2[[#This Row],[Description]],'Actuals Lookup'!D:F,3,0),VLOOKUP(Table2[[#This Row],[Manual Cat Value]],Lookup!A:B,2,0))</f>
        <v>Restaurants</v>
      </c>
      <c r="H12413" s="8" t="s">
        <v>25</v>
      </c>
      <c r="I12413" s="8"/>
      <c r="O12413" t="str">
        <f>LEFT(Table2[[#This Row],[Description]],75)</f>
        <v>TST* UNMAPPED BREWINMINNETONKA          MN</v>
      </c>
    </row>
    <row r="12414" spans="1:15" hidden="1">
      <c r="A12414">
        <v>202410</v>
      </c>
      <c r="B12414" s="6">
        <v>45570</v>
      </c>
      <c r="C12414" t="s">
        <v>130</v>
      </c>
      <c r="D12414" t="s">
        <v>5840</v>
      </c>
      <c r="E12414">
        <v>162</v>
      </c>
      <c r="F12414" s="2" t="str">
        <f>IF(Table2[[#This Row],[Manual Cat Value]]="",VLOOKUP(Table2[[#This Row],[Description]],'Actuals Lookup'!D:F,3,0),VLOOKUP(Table2[[#This Row],[Manual Cat Value]],Lookup!A:B,2,0))</f>
        <v>Shopping</v>
      </c>
      <c r="H12414" s="8" t="s">
        <v>36</v>
      </c>
      <c r="I12414" s="8"/>
      <c r="O12414" t="str">
        <f>LEFT(Table2[[#This Row],[Description]],75)</f>
        <v>AplPay DICK'S SPORTICORAOPOLIS          PA</v>
      </c>
    </row>
    <row r="12415" spans="1:15" hidden="1">
      <c r="A12415">
        <v>202410</v>
      </c>
      <c r="B12415" s="6">
        <v>45570</v>
      </c>
      <c r="C12415" t="s">
        <v>130</v>
      </c>
      <c r="D12415" t="s">
        <v>5841</v>
      </c>
      <c r="E12415">
        <v>39.18</v>
      </c>
      <c r="F12415" s="2" t="str">
        <f>IF(Table2[[#This Row],[Manual Cat Value]]="",VLOOKUP(Table2[[#This Row],[Description]],'Actuals Lookup'!D:F,3,0),VLOOKUP(Table2[[#This Row],[Manual Cat Value]],Lookup!A:B,2,0))</f>
        <v>Groceries</v>
      </c>
      <c r="H12415" s="8" t="s">
        <v>27</v>
      </c>
      <c r="I12415" s="8"/>
      <c r="O12415" t="str">
        <f>LEFT(Table2[[#This Row],[Description]],75)</f>
        <v>AplPay GRUBHUB*DELSUNEW YORK            NY</v>
      </c>
    </row>
    <row r="12416" spans="1:15" hidden="1">
      <c r="A12416">
        <v>202410</v>
      </c>
      <c r="B12416" s="6">
        <v>45570</v>
      </c>
      <c r="C12416" t="s">
        <v>130</v>
      </c>
      <c r="D12416" t="s">
        <v>5842</v>
      </c>
      <c r="E12416">
        <v>15</v>
      </c>
      <c r="F12416" s="2" t="str">
        <f>IF(Table2[[#This Row],[Manual Cat Value]]="",VLOOKUP(Table2[[#This Row],[Description]],'Actuals Lookup'!D:F,3,0),VLOOKUP(Table2[[#This Row],[Manual Cat Value]],Lookup!A:B,2,0))</f>
        <v>Shopping</v>
      </c>
      <c r="H12416" s="8" t="s">
        <v>36</v>
      </c>
      <c r="I12416" s="8"/>
      <c r="O12416" t="str">
        <f>LEFT(Table2[[#This Row],[Description]],75)</f>
        <v>AR* DICKS HOUSE OF SSAN FRANCISCO       CA</v>
      </c>
    </row>
    <row r="12417" spans="1:15" hidden="1">
      <c r="A12417">
        <v>202410</v>
      </c>
      <c r="B12417" s="6">
        <v>45570</v>
      </c>
      <c r="C12417" t="s">
        <v>2281</v>
      </c>
      <c r="D12417" t="s">
        <v>14</v>
      </c>
      <c r="E12417">
        <f>125*2</f>
        <v>250</v>
      </c>
      <c r="F12417" s="2" t="str">
        <f>IF(Table2[[#This Row],[Manual Cat Value]]="",VLOOKUP(Table2[[#This Row],[Description]],'Actuals Lookup'!D:F,3,0),VLOOKUP(Table2[[#This Row],[Manual Cat Value]],Lookup!A:B,2,0))</f>
        <v>Cleaning</v>
      </c>
      <c r="H12417" s="8" t="s">
        <v>13</v>
      </c>
      <c r="I12417" s="8"/>
      <c r="O12417" t="str">
        <f>LEFT(Table2[[#This Row],[Description]],75)</f>
        <v>Cleaning</v>
      </c>
    </row>
    <row r="12418" spans="1:15" hidden="1">
      <c r="A12418">
        <v>202410</v>
      </c>
      <c r="B12418" s="6">
        <v>45570</v>
      </c>
      <c r="C12418" t="s">
        <v>130</v>
      </c>
      <c r="D12418" t="s">
        <v>5843</v>
      </c>
      <c r="E12418">
        <v>276</v>
      </c>
      <c r="F12418" s="2" t="str">
        <f>IF(Table2[[#This Row],[Manual Cat Value]]="",VLOOKUP(Table2[[#This Row],[Description]],'Actuals Lookup'!D:F,3,0),VLOOKUP(Table2[[#This Row],[Manual Cat Value]],Lookup!A:B,2,0))</f>
        <v>Shopping</v>
      </c>
      <c r="H12418" s="8" t="s">
        <v>36</v>
      </c>
      <c r="I12418" s="8"/>
      <c r="O12418" t="str">
        <f>LEFT(Table2[[#This Row],[Description]],75)</f>
        <v>J CREW FACTORY #1006SAINT LOUIS P       MN</v>
      </c>
    </row>
    <row r="12419" spans="1:15" hidden="1">
      <c r="A12419">
        <v>202410</v>
      </c>
      <c r="B12419" s="6">
        <v>45570</v>
      </c>
      <c r="C12419" t="s">
        <v>130</v>
      </c>
      <c r="D12419" t="s">
        <v>5766</v>
      </c>
      <c r="E12419">
        <v>35.159999999999997</v>
      </c>
      <c r="F12419" s="2" t="str">
        <f>IF(Table2[[#This Row],[Manual Cat Value]]="",VLOOKUP(Table2[[#This Row],[Description]],'Actuals Lookup'!D:F,3,0),VLOOKUP(Table2[[#This Row],[Manual Cat Value]],Lookup!A:B,2,0))</f>
        <v>House Maintenance</v>
      </c>
      <c r="H12419" s="8" t="s">
        <v>1</v>
      </c>
      <c r="I12419" s="8"/>
      <c r="O12419" t="str">
        <f>LEFT(Table2[[#This Row],[Description]],75)</f>
        <v>SLATWALLACC         3346556132          FL</v>
      </c>
    </row>
    <row r="12420" spans="1:15" hidden="1">
      <c r="A12420">
        <v>202410</v>
      </c>
      <c r="B12420" s="6">
        <v>45570</v>
      </c>
      <c r="C12420" t="s">
        <v>130</v>
      </c>
      <c r="D12420" t="s">
        <v>5766</v>
      </c>
      <c r="E12420">
        <v>175.27</v>
      </c>
      <c r="F12420" s="2" t="str">
        <f>IF(Table2[[#This Row],[Manual Cat Value]]="",VLOOKUP(Table2[[#This Row],[Description]],'Actuals Lookup'!D:F,3,0),VLOOKUP(Table2[[#This Row],[Manual Cat Value]],Lookup!A:B,2,0))</f>
        <v>House Maintenance</v>
      </c>
      <c r="H12420" s="8" t="s">
        <v>1</v>
      </c>
      <c r="I12420" s="8"/>
      <c r="O12420" t="str">
        <f>LEFT(Table2[[#This Row],[Description]],75)</f>
        <v>SLATWALLACC         3346556132          FL</v>
      </c>
    </row>
    <row r="12421" spans="1:15" hidden="1">
      <c r="A12421">
        <v>202410</v>
      </c>
      <c r="B12421" s="6">
        <v>45570</v>
      </c>
      <c r="C12421" t="s">
        <v>130</v>
      </c>
      <c r="D12421" t="s">
        <v>5844</v>
      </c>
      <c r="E12421">
        <v>106.74</v>
      </c>
      <c r="F12421" s="2" t="str">
        <f>IF(Table2[[#This Row],[Manual Cat Value]]="",VLOOKUP(Table2[[#This Row],[Description]],'Actuals Lookup'!D:F,3,0),VLOOKUP(Table2[[#This Row],[Manual Cat Value]],Lookup!A:B,2,0))</f>
        <v>Restaurants</v>
      </c>
      <c r="H12421" s="8" t="s">
        <v>25</v>
      </c>
      <c r="I12421" s="8"/>
      <c r="O12421" t="str">
        <f>LEFT(Table2[[#This Row],[Description]],75)</f>
        <v>TST* THE BLOCK 00016SAINT LOUIS PAR     MN</v>
      </c>
    </row>
    <row r="12422" spans="1:15" hidden="1">
      <c r="A12422">
        <v>202410</v>
      </c>
      <c r="B12422" s="6">
        <v>45571</v>
      </c>
      <c r="C12422" t="s">
        <v>130</v>
      </c>
      <c r="D12422" t="s">
        <v>5818</v>
      </c>
      <c r="E12422">
        <v>52.45</v>
      </c>
      <c r="F12422" s="2" t="str">
        <f>IF(Table2[[#This Row],[Manual Cat Value]]="",VLOOKUP(Table2[[#This Row],[Description]],'Actuals Lookup'!D:F,3,0),VLOOKUP(Table2[[#This Row],[Manual Cat Value]],Lookup!A:B,2,0))</f>
        <v>Groceries</v>
      </c>
      <c r="H12422" s="8" t="s">
        <v>27</v>
      </c>
      <c r="I12422" s="8"/>
      <c r="O12422" t="str">
        <f>LEFT(Table2[[#This Row],[Description]],75)</f>
        <v>AplPay CUB FOODS #16SHOREWOOD           MN</v>
      </c>
    </row>
    <row r="12423" spans="1:15" hidden="1">
      <c r="A12423">
        <v>202410</v>
      </c>
      <c r="B12423" s="6">
        <v>45571</v>
      </c>
      <c r="C12423" t="s">
        <v>130</v>
      </c>
      <c r="D12423" t="s">
        <v>5845</v>
      </c>
      <c r="E12423">
        <v>27.34</v>
      </c>
      <c r="F12423" s="2" t="str">
        <f>IF(Table2[[#This Row],[Manual Cat Value]]="",VLOOKUP(Table2[[#This Row],[Description]],'Actuals Lookup'!D:F,3,0),VLOOKUP(Table2[[#This Row],[Manual Cat Value]],Lookup!A:B,2,0))</f>
        <v>Transportation</v>
      </c>
      <c r="H12423" s="8" t="s">
        <v>22</v>
      </c>
      <c r="I12423" s="8"/>
      <c r="O12423" t="str">
        <f>LEFT(Table2[[#This Row],[Description]],75)</f>
        <v>AplPay HAZELWOOD FOO877-8144102         MN</v>
      </c>
    </row>
    <row r="12424" spans="1:15" hidden="1">
      <c r="A12424">
        <v>202410</v>
      </c>
      <c r="B12424" s="6">
        <v>45571</v>
      </c>
      <c r="C12424" t="s">
        <v>130</v>
      </c>
      <c r="D12424" t="s">
        <v>5846</v>
      </c>
      <c r="E12424">
        <v>19.97</v>
      </c>
      <c r="F12424" s="2" t="str">
        <f>IF(Table2[[#This Row],[Manual Cat Value]]="",VLOOKUP(Table2[[#This Row],[Description]],'Actuals Lookup'!D:F,3,0),VLOOKUP(Table2[[#This Row],[Manual Cat Value]],Lookup!A:B,2,0))</f>
        <v>Shopping</v>
      </c>
      <c r="H12424" s="8" t="s">
        <v>36</v>
      </c>
      <c r="I12424" s="8"/>
      <c r="O12424" t="str">
        <f>LEFT(Table2[[#This Row],[Description]],75)</f>
        <v>PROJECTOR 515899    HOUSTON             TX</v>
      </c>
    </row>
    <row r="12425" spans="1:15" hidden="1">
      <c r="A12425">
        <v>202410</v>
      </c>
      <c r="B12425" s="6">
        <v>45571</v>
      </c>
      <c r="C12425" t="s">
        <v>130</v>
      </c>
      <c r="D12425" t="s">
        <v>5766</v>
      </c>
      <c r="E12425">
        <v>-12</v>
      </c>
      <c r="F12425" s="2" t="str">
        <f>IF(Table2[[#This Row],[Manual Cat Value]]="",VLOOKUP(Table2[[#This Row],[Description]],'Actuals Lookup'!D:F,3,0),VLOOKUP(Table2[[#This Row],[Manual Cat Value]],Lookup!A:B,2,0))</f>
        <v>House Maintenance</v>
      </c>
      <c r="H12425" s="8" t="s">
        <v>1</v>
      </c>
      <c r="I12425" s="8"/>
      <c r="O12425" t="str">
        <f>LEFT(Table2[[#This Row],[Description]],75)</f>
        <v>SLATWALLACC         3346556132          FL</v>
      </c>
    </row>
    <row r="12426" spans="1:15" hidden="1">
      <c r="A12426">
        <v>202410</v>
      </c>
      <c r="B12426" s="6">
        <v>45572</v>
      </c>
      <c r="C12426" t="s">
        <v>3938</v>
      </c>
      <c r="D12426" t="s">
        <v>113</v>
      </c>
      <c r="E12426">
        <v>-28.99</v>
      </c>
      <c r="F12426" s="2" t="str">
        <f>IF(Table2[[#This Row],[Manual Cat Value]]="",VLOOKUP(Table2[[#This Row],[Description]],'Actuals Lookup'!D:F,3,0),VLOOKUP(Table2[[#This Row],[Manual Cat Value]],Lookup!A:B,2,0))</f>
        <v>Amazon</v>
      </c>
      <c r="H12426" s="8" t="s">
        <v>37</v>
      </c>
      <c r="I12426" s="8"/>
      <c r="O12426" t="str">
        <f>LEFT(Table2[[#This Row],[Description]],75)</f>
        <v>Amazon Marketplace</v>
      </c>
    </row>
    <row r="12427" spans="1:15" hidden="1">
      <c r="A12427">
        <v>202410</v>
      </c>
      <c r="B12427" s="6">
        <v>45572</v>
      </c>
      <c r="C12427" t="s">
        <v>130</v>
      </c>
      <c r="D12427" t="s">
        <v>5847</v>
      </c>
      <c r="E12427">
        <v>98</v>
      </c>
      <c r="F12427" s="2" t="str">
        <f>IF(Table2[[#This Row],[Manual Cat Value]]="",VLOOKUP(Table2[[#This Row],[Description]],'Actuals Lookup'!D:F,3,0),VLOOKUP(Table2[[#This Row],[Manual Cat Value]],Lookup!A:B,2,0))</f>
        <v>Shopping</v>
      </c>
      <c r="H12427" s="8" t="s">
        <v>36</v>
      </c>
      <c r="I12427" s="8"/>
      <c r="O12427" t="str">
        <f>LEFT(Table2[[#This Row],[Description]],75)</f>
        <v>ANTHROPOLOGIE.COM   PHILADELPHIA        PA</v>
      </c>
    </row>
    <row r="12428" spans="1:15" hidden="1">
      <c r="A12428">
        <v>202410</v>
      </c>
      <c r="B12428" s="6">
        <v>45572</v>
      </c>
      <c r="C12428" t="s">
        <v>130</v>
      </c>
      <c r="D12428" t="s">
        <v>5847</v>
      </c>
      <c r="E12428">
        <v>306</v>
      </c>
      <c r="F12428" s="2" t="str">
        <f>IF(Table2[[#This Row],[Manual Cat Value]]="",VLOOKUP(Table2[[#This Row],[Description]],'Actuals Lookup'!D:F,3,0),VLOOKUP(Table2[[#This Row],[Manual Cat Value]],Lookup!A:B,2,0))</f>
        <v>Shopping</v>
      </c>
      <c r="H12428" s="8" t="s">
        <v>36</v>
      </c>
      <c r="I12428" s="8"/>
      <c r="O12428" t="str">
        <f>LEFT(Table2[[#This Row],[Description]],75)</f>
        <v>ANTHROPOLOGIE.COM   PHILADELPHIA        PA</v>
      </c>
    </row>
    <row r="12429" spans="1:15" hidden="1">
      <c r="A12429">
        <v>202410</v>
      </c>
      <c r="B12429" s="6">
        <v>45572</v>
      </c>
      <c r="C12429" t="s">
        <v>130</v>
      </c>
      <c r="D12429" t="s">
        <v>5848</v>
      </c>
      <c r="E12429">
        <v>130</v>
      </c>
      <c r="F12429" s="2" t="str">
        <f>IF(Table2[[#This Row],[Manual Cat Value]]="",VLOOKUP(Table2[[#This Row],[Description]],'Actuals Lookup'!D:F,3,0),VLOOKUP(Table2[[#This Row],[Manual Cat Value]],Lookup!A:B,2,0))</f>
        <v>Shopping</v>
      </c>
      <c r="H12429" s="8" t="s">
        <v>36</v>
      </c>
      <c r="I12429" s="8"/>
      <c r="O12429" t="str">
        <f>LEFT(Table2[[#This Row],[Description]],75)</f>
        <v>AplPay ANNA NAILS 08WAYZATA             MN</v>
      </c>
    </row>
    <row r="12430" spans="1:15" hidden="1">
      <c r="A12430">
        <v>202410</v>
      </c>
      <c r="B12430" s="6">
        <v>45573</v>
      </c>
      <c r="C12430" t="s">
        <v>2519</v>
      </c>
      <c r="D12430" t="s">
        <v>5443</v>
      </c>
      <c r="E12430">
        <v>380</v>
      </c>
      <c r="F12430" s="2" t="str">
        <f>IF(Table2[[#This Row],[Manual Cat Value]]="",VLOOKUP(Table2[[#This Row],[Description]],'Actuals Lookup'!D:F,3,0),VLOOKUP(Table2[[#This Row],[Manual Cat Value]],Lookup!A:B,2,0))</f>
        <v>Day Care</v>
      </c>
      <c r="H12430" s="8" t="s">
        <v>19</v>
      </c>
      <c r="I12430" s="8"/>
      <c r="O12430" t="str">
        <f>LEFT(Table2[[#This Row],[Description]],75)</f>
        <v>Mis Amigos</v>
      </c>
    </row>
    <row r="12431" spans="1:15" hidden="1">
      <c r="A12431">
        <v>202410</v>
      </c>
      <c r="B12431" s="6">
        <v>45574</v>
      </c>
      <c r="C12431" t="s">
        <v>130</v>
      </c>
      <c r="D12431" t="s">
        <v>5849</v>
      </c>
      <c r="E12431">
        <v>46.85</v>
      </c>
      <c r="F12431" s="2" t="str">
        <f>IF(Table2[[#This Row],[Manual Cat Value]]="",VLOOKUP(Table2[[#This Row],[Description]],'Actuals Lookup'!D:F,3,0),VLOOKUP(Table2[[#This Row],[Manual Cat Value]],Lookup!A:B,2,0))</f>
        <v>Groceries</v>
      </c>
      <c r="H12431" s="8" t="s">
        <v>27</v>
      </c>
      <c r="I12431" s="8"/>
      <c r="O12431" t="str">
        <f>LEFT(Table2[[#This Row],[Description]],75)</f>
        <v>AplPay KOWALSKI'S EXEXCELSIOR           MN</v>
      </c>
    </row>
    <row r="12432" spans="1:15" hidden="1">
      <c r="A12432">
        <v>202410</v>
      </c>
      <c r="B12432" s="6">
        <v>45574</v>
      </c>
      <c r="C12432" t="s">
        <v>2519</v>
      </c>
      <c r="D12432" t="s">
        <v>1470</v>
      </c>
      <c r="E12432">
        <v>173.3</v>
      </c>
      <c r="F12432" s="2" t="str">
        <f>IF(Table2[[#This Row],[Manual Cat Value]]="",VLOOKUP(Table2[[#This Row],[Description]],'Actuals Lookup'!D:F,3,0),VLOOKUP(Table2[[#This Row],[Manual Cat Value]],Lookup!A:B,2,0))</f>
        <v>Utilities</v>
      </c>
      <c r="H12432" s="8" t="s">
        <v>6</v>
      </c>
      <c r="I12432" s="8"/>
      <c r="O12432" t="str">
        <f>LEFT(Table2[[#This Row],[Description]],75)</f>
        <v>Payment to Xcel Energy</v>
      </c>
    </row>
    <row r="12433" spans="1:15" hidden="1">
      <c r="A12433">
        <v>202410</v>
      </c>
      <c r="B12433" s="6">
        <v>45574</v>
      </c>
      <c r="C12433" t="s">
        <v>130</v>
      </c>
      <c r="D12433" t="s">
        <v>5850</v>
      </c>
      <c r="E12433">
        <v>417.75</v>
      </c>
      <c r="F12433" s="2" t="str">
        <f>IF(Table2[[#This Row],[Manual Cat Value]]="",VLOOKUP(Table2[[#This Row],[Description]],'Actuals Lookup'!D:F,3,0),VLOOKUP(Table2[[#This Row],[Manual Cat Value]],Lookup!A:B,2,0))</f>
        <v>Gifts</v>
      </c>
      <c r="H12433" s="8" t="s">
        <v>44</v>
      </c>
      <c r="I12433" s="8"/>
      <c r="O12433" t="str">
        <f>LEFT(Table2[[#This Row],[Description]],75)</f>
        <v>SP MAYABRENNER      LOS ANGELES         CA</v>
      </c>
    </row>
    <row r="12434" spans="1:15" hidden="1">
      <c r="A12434">
        <v>202410</v>
      </c>
      <c r="B12434" s="6">
        <v>45575</v>
      </c>
      <c r="C12434" t="s">
        <v>130</v>
      </c>
      <c r="D12434" t="s">
        <v>5847</v>
      </c>
      <c r="E12434">
        <v>323.94</v>
      </c>
      <c r="F12434" s="2" t="str">
        <f>IF(Table2[[#This Row],[Manual Cat Value]]="",VLOOKUP(Table2[[#This Row],[Description]],'Actuals Lookup'!D:F,3,0),VLOOKUP(Table2[[#This Row],[Manual Cat Value]],Lookup!A:B,2,0))</f>
        <v>Shopping</v>
      </c>
      <c r="H12434" s="8" t="s">
        <v>36</v>
      </c>
      <c r="I12434" s="8"/>
      <c r="O12434" t="str">
        <f>LEFT(Table2[[#This Row],[Description]],75)</f>
        <v>ANTHROPOLOGIE.COM   PHILADELPHIA        PA</v>
      </c>
    </row>
    <row r="12435" spans="1:15" hidden="1">
      <c r="A12435">
        <v>202410</v>
      </c>
      <c r="B12435" s="6">
        <v>45575</v>
      </c>
      <c r="C12435" t="s">
        <v>130</v>
      </c>
      <c r="D12435" t="s">
        <v>5851</v>
      </c>
      <c r="E12435">
        <v>61</v>
      </c>
      <c r="F12435" s="2" t="str">
        <f>IF(Table2[[#This Row],[Manual Cat Value]]="",VLOOKUP(Table2[[#This Row],[Description]],'Actuals Lookup'!D:F,3,0),VLOOKUP(Table2[[#This Row],[Manual Cat Value]],Lookup!A:B,2,0))</f>
        <v>Day Care</v>
      </c>
      <c r="H12435" s="8" t="s">
        <v>19</v>
      </c>
      <c r="I12435" s="8"/>
      <c r="O12435" t="str">
        <f>LEFT(Table2[[#This Row],[Description]],75)</f>
        <v>AplPay SCHOLASTIC BOLAKE MARY           FL</v>
      </c>
    </row>
    <row r="12436" spans="1:15" hidden="1">
      <c r="A12436">
        <v>202409</v>
      </c>
      <c r="B12436" s="6">
        <v>45561</v>
      </c>
      <c r="C12436" t="s">
        <v>130</v>
      </c>
      <c r="D12436" t="s">
        <v>5852</v>
      </c>
      <c r="E12436">
        <v>36.630000000000003</v>
      </c>
      <c r="F12436" s="2" t="str">
        <f>IF(Table2[[#This Row],[Manual Cat Value]]="",VLOOKUP(Table2[[#This Row],[Description]],'Actuals Lookup'!D:F,3,0),VLOOKUP(Table2[[#This Row],[Manual Cat Value]],Lookup!A:B,2,0))</f>
        <v>Delete</v>
      </c>
      <c r="H12436" s="8" t="s">
        <v>9</v>
      </c>
      <c r="I12436" s="8"/>
      <c r="O12436" t="str">
        <f>LEFT(Table2[[#This Row],[Description]],75)</f>
        <v>TRACTOR BREWING COMPALBUQUERQUE         NM</v>
      </c>
    </row>
    <row r="12437" spans="1:15" hidden="1">
      <c r="A12437">
        <v>202412</v>
      </c>
      <c r="B12437" s="6">
        <v>45651</v>
      </c>
      <c r="C12437" t="s">
        <v>2519</v>
      </c>
      <c r="D12437" t="s">
        <v>4896</v>
      </c>
      <c r="E12437">
        <v>-3423.47</v>
      </c>
      <c r="F12437" s="2" t="str">
        <f>IF(Table2[[#This Row],[Manual Cat Value]]="",VLOOKUP(Table2[[#This Row],[Description]],'Actuals Lookup'!D:F,3,0),VLOOKUP(Table2[[#This Row],[Manual Cat Value]],Lookup!A:B,2,0))</f>
        <v>Delete</v>
      </c>
      <c r="I12437" s="8"/>
      <c r="O12437" t="str">
        <f>LEFT(Table2[[#This Row],[Description]],75)</f>
        <v>Transfer from Venmo</v>
      </c>
    </row>
    <row r="12438" spans="1:15" hidden="1">
      <c r="A12438">
        <v>202410</v>
      </c>
      <c r="B12438" s="6">
        <v>45566</v>
      </c>
      <c r="C12438" t="s">
        <v>2519</v>
      </c>
      <c r="D12438" t="s">
        <v>5033</v>
      </c>
      <c r="E12438">
        <v>100</v>
      </c>
      <c r="F12438" s="2" t="str">
        <f>IF(Table2[[#This Row],[Manual Cat Value]]="",VLOOKUP(Table2[[#This Row],[Description]],'Actuals Lookup'!D:F,3,0),VLOOKUP(Table2[[#This Row],[Manual Cat Value]],Lookup!A:B,2,0))</f>
        <v>Delete</v>
      </c>
      <c r="H12438" s="8" t="s">
        <v>9</v>
      </c>
      <c r="I12438" s="8"/>
      <c r="O12438" t="str">
        <f>LEFT(Table2[[#This Row],[Description]],75)</f>
        <v>Transfer to Coinbase</v>
      </c>
    </row>
    <row r="12439" spans="1:15" hidden="1">
      <c r="A12439">
        <v>202410</v>
      </c>
      <c r="B12439" s="6">
        <v>45576</v>
      </c>
      <c r="C12439" t="s">
        <v>130</v>
      </c>
      <c r="D12439" t="s">
        <v>5847</v>
      </c>
      <c r="E12439">
        <v>168</v>
      </c>
      <c r="F12439" s="2" t="str">
        <f>IF(Table2[[#This Row],[Manual Cat Value]]="",VLOOKUP(Table2[[#This Row],[Description]],'Actuals Lookup'!D:F,3,0),VLOOKUP(Table2[[#This Row],[Manual Cat Value]],Lookup!A:B,2,0))</f>
        <v>Shopping</v>
      </c>
      <c r="H12439" s="8" t="s">
        <v>36</v>
      </c>
      <c r="I12439" s="8"/>
      <c r="O12439" t="str">
        <f>LEFT(Table2[[#This Row],[Description]],75)</f>
        <v>ANTHROPOLOGIE.COM   PHILADELPHIA        PA</v>
      </c>
    </row>
    <row r="12440" spans="1:15" hidden="1">
      <c r="A12440">
        <v>202410</v>
      </c>
      <c r="B12440" s="6">
        <v>45576</v>
      </c>
      <c r="C12440" t="s">
        <v>130</v>
      </c>
      <c r="D12440" t="s">
        <v>5853</v>
      </c>
      <c r="E12440">
        <v>26.64</v>
      </c>
      <c r="F12440" s="2" t="str">
        <f>IF(Table2[[#This Row],[Manual Cat Value]]="",VLOOKUP(Table2[[#This Row],[Description]],'Actuals Lookup'!D:F,3,0),VLOOKUP(Table2[[#This Row],[Manual Cat Value]],Lookup!A:B,2,0))</f>
        <v>Restaurants</v>
      </c>
      <c r="H12440" s="8" t="s">
        <v>25</v>
      </c>
      <c r="I12440" s="8"/>
      <c r="O12440" t="str">
        <f>LEFT(Table2[[#This Row],[Description]],75)</f>
        <v>AplPay U OF M-ARB APCHASKA              MN</v>
      </c>
    </row>
    <row r="12441" spans="1:15" hidden="1">
      <c r="A12441">
        <v>202410</v>
      </c>
      <c r="B12441" s="6">
        <v>45576</v>
      </c>
      <c r="C12441" t="s">
        <v>3938</v>
      </c>
      <c r="D12441" t="s">
        <v>1350</v>
      </c>
      <c r="E12441">
        <v>25.6</v>
      </c>
      <c r="F12441" s="2" t="str">
        <f>IF(Table2[[#This Row],[Manual Cat Value]]="",VLOOKUP(Table2[[#This Row],[Description]],'Actuals Lookup'!D:F,3,0),VLOOKUP(Table2[[#This Row],[Manual Cat Value]],Lookup!A:B,2,0))</f>
        <v>Utilities</v>
      </c>
      <c r="H12441" s="8" t="s">
        <v>6</v>
      </c>
      <c r="I12441" s="8"/>
      <c r="O12441" t="str">
        <f>LEFT(Table2[[#This Row],[Description]],75)</f>
        <v>Netflix</v>
      </c>
    </row>
    <row r="12442" spans="1:15" hidden="1">
      <c r="A12442">
        <v>202412</v>
      </c>
      <c r="B12442" s="6">
        <v>45649</v>
      </c>
      <c r="C12442" t="s">
        <v>2519</v>
      </c>
      <c r="D12442" t="s">
        <v>5033</v>
      </c>
      <c r="E12442">
        <v>100</v>
      </c>
      <c r="F12442" s="2" t="str">
        <f>IF(Table2[[#This Row],[Manual Cat Value]]="",VLOOKUP(Table2[[#This Row],[Description]],'Actuals Lookup'!D:F,3,0),VLOOKUP(Table2[[#This Row],[Manual Cat Value]],Lookup!A:B,2,0))</f>
        <v>Delete</v>
      </c>
      <c r="I12442" s="8"/>
      <c r="O12442" t="str">
        <f>LEFT(Table2[[#This Row],[Description]],75)</f>
        <v>Transfer to Coinbase</v>
      </c>
    </row>
    <row r="12443" spans="1:15" hidden="1">
      <c r="A12443">
        <v>202410</v>
      </c>
      <c r="B12443" s="6">
        <v>45577</v>
      </c>
      <c r="C12443" t="s">
        <v>130</v>
      </c>
      <c r="D12443" t="s">
        <v>5854</v>
      </c>
      <c r="E12443">
        <v>52.41</v>
      </c>
      <c r="F12443" s="2" t="str">
        <f>IF(Table2[[#This Row],[Manual Cat Value]]="",VLOOKUP(Table2[[#This Row],[Description]],'Actuals Lookup'!D:F,3,0),VLOOKUP(Table2[[#This Row],[Manual Cat Value]],Lookup!A:B,2,0))</f>
        <v>Restaurants</v>
      </c>
      <c r="H12443" s="8" t="s">
        <v>25</v>
      </c>
      <c r="I12443" s="8"/>
      <c r="O12443" t="str">
        <f>LEFT(Table2[[#This Row],[Description]],75)</f>
        <v>AplPay JIMMY JOHNS -SHAKOPEE            MN</v>
      </c>
    </row>
    <row r="12444" spans="1:15" hidden="1">
      <c r="A12444">
        <v>202410</v>
      </c>
      <c r="B12444" s="6">
        <v>45577</v>
      </c>
      <c r="C12444" t="s">
        <v>2258</v>
      </c>
      <c r="D12444" t="s">
        <v>1850</v>
      </c>
      <c r="E12444">
        <v>19.46</v>
      </c>
      <c r="F12444" s="2" t="str">
        <f>IF(Table2[[#This Row],[Manual Cat Value]]="",VLOOKUP(Table2[[#This Row],[Description]],'Actuals Lookup'!D:F,3,0),VLOOKUP(Table2[[#This Row],[Manual Cat Value]],Lookup!A:B,2,0))</f>
        <v>House Maintenance</v>
      </c>
      <c r="H12444" s="8" t="s">
        <v>1</v>
      </c>
      <c r="I12444" s="8"/>
      <c r="O12444" t="str">
        <f>LEFT(Table2[[#This Row],[Description]],75)</f>
        <v>THE HOME DEPOT #2825 CHASKA MN</v>
      </c>
    </row>
    <row r="12445" spans="1:15" hidden="1">
      <c r="A12445">
        <v>202410</v>
      </c>
      <c r="B12445" s="6">
        <v>45577</v>
      </c>
      <c r="C12445" t="s">
        <v>130</v>
      </c>
      <c r="D12445" t="s">
        <v>5855</v>
      </c>
      <c r="E12445">
        <v>84.51</v>
      </c>
      <c r="F12445" s="2" t="str">
        <f>IF(Table2[[#This Row],[Manual Cat Value]]="",VLOOKUP(Table2[[#This Row],[Description]],'Actuals Lookup'!D:F,3,0),VLOOKUP(Table2[[#This Row],[Manual Cat Value]],Lookup!A:B,2,0))</f>
        <v>Restaurants</v>
      </c>
      <c r="H12445" s="8" t="s">
        <v>25</v>
      </c>
      <c r="I12445" s="8"/>
      <c r="O12445" t="str">
        <f>LEFT(Table2[[#This Row],[Description]],75)</f>
        <v>THE POINTE GRILL ANDPRIOR LAKE          MN</v>
      </c>
    </row>
    <row r="12446" spans="1:15" hidden="1">
      <c r="A12446">
        <v>202410</v>
      </c>
      <c r="B12446" s="6">
        <v>45578</v>
      </c>
      <c r="C12446" t="s">
        <v>3938</v>
      </c>
      <c r="D12446" t="s">
        <v>4887</v>
      </c>
      <c r="E12446">
        <v>41.78</v>
      </c>
      <c r="F12446" s="2" t="str">
        <f>IF(Table2[[#This Row],[Manual Cat Value]]="",VLOOKUP(Table2[[#This Row],[Description]],'Actuals Lookup'!D:F,3,0),VLOOKUP(Table2[[#This Row],[Manual Cat Value]],Lookup!A:B,2,0))</f>
        <v>Transportation</v>
      </c>
      <c r="H12446" s="8" t="s">
        <v>22</v>
      </c>
      <c r="I12446" s="8"/>
      <c r="O12446" t="str">
        <f>LEFT(Table2[[#This Row],[Description]],75)</f>
        <v>Costco Gas Stations</v>
      </c>
    </row>
    <row r="12447" spans="1:15" hidden="1">
      <c r="A12447">
        <v>202410</v>
      </c>
      <c r="B12447" s="6">
        <v>45578</v>
      </c>
      <c r="C12447" t="s">
        <v>3938</v>
      </c>
      <c r="D12447" t="s">
        <v>5756</v>
      </c>
      <c r="E12447">
        <v>8.7100000000000009</v>
      </c>
      <c r="F12447" s="2" t="str">
        <f>IF(Table2[[#This Row],[Manual Cat Value]]="",VLOOKUP(Table2[[#This Row],[Description]],'Actuals Lookup'!D:F,3,0),VLOOKUP(Table2[[#This Row],[Manual Cat Value]],Lookup!A:B,2,0))</f>
        <v>Entertainment</v>
      </c>
      <c r="H12447" s="8" t="s">
        <v>39</v>
      </c>
      <c r="I12447" s="8"/>
      <c r="O12447" t="str">
        <f>LEFT(Table2[[#This Row],[Description]],75)</f>
        <v>Hallmark</v>
      </c>
    </row>
    <row r="12448" spans="1:15" hidden="1">
      <c r="A12448">
        <v>202410</v>
      </c>
      <c r="B12448" s="6">
        <v>45578</v>
      </c>
      <c r="C12448" t="s">
        <v>3938</v>
      </c>
      <c r="D12448" t="s">
        <v>1462</v>
      </c>
      <c r="E12448">
        <v>45</v>
      </c>
      <c r="F12448" s="2" t="str">
        <f>IF(Table2[[#This Row],[Manual Cat Value]]="",VLOOKUP(Table2[[#This Row],[Description]],'Actuals Lookup'!D:F,3,0),VLOOKUP(Table2[[#This Row],[Manual Cat Value]],Lookup!A:B,2,0))</f>
        <v>Utilities</v>
      </c>
      <c r="H12448" s="8" t="s">
        <v>6</v>
      </c>
      <c r="I12448" s="8"/>
      <c r="O12448" t="str">
        <f>LEFT(Table2[[#This Row],[Description]],75)</f>
        <v>Payment to CenturyLink</v>
      </c>
    </row>
    <row r="12449" spans="1:15" hidden="1">
      <c r="A12449">
        <v>202410</v>
      </c>
      <c r="B12449" s="6">
        <v>45578</v>
      </c>
      <c r="C12449" t="s">
        <v>2519</v>
      </c>
      <c r="D12449" t="s">
        <v>4343</v>
      </c>
      <c r="E12449">
        <v>-3238.06</v>
      </c>
      <c r="F12449" s="2" t="str">
        <f>IF(Table2[[#This Row],[Manual Cat Value]]="",VLOOKUP(Table2[[#This Row],[Description]],'Actuals Lookup'!D:F,3,0),VLOOKUP(Table2[[#This Row],[Manual Cat Value]],Lookup!A:B,2,0))</f>
        <v>Jeff</v>
      </c>
      <c r="H12449" s="8" t="s">
        <v>63</v>
      </c>
      <c r="I12449" s="8"/>
      <c r="O12449" t="str">
        <f>LEFT(Table2[[#This Row],[Description]],75)</f>
        <v>Salary/Regular Income from TriNet</v>
      </c>
    </row>
    <row r="12450" spans="1:15" hidden="1">
      <c r="A12450">
        <v>202410</v>
      </c>
      <c r="B12450" s="6">
        <v>45579</v>
      </c>
      <c r="C12450" t="s">
        <v>2258</v>
      </c>
      <c r="D12450" t="s">
        <v>5856</v>
      </c>
      <c r="E12450">
        <v>200.45</v>
      </c>
      <c r="F12450" s="2" t="str">
        <f>IF(Table2[[#This Row],[Manual Cat Value]]="",VLOOKUP(Table2[[#This Row],[Description]],'Actuals Lookup'!D:F,3,0),VLOOKUP(Table2[[#This Row],[Manual Cat Value]],Lookup!A:B,2,0))</f>
        <v>Amazon</v>
      </c>
      <c r="H12450" s="8" t="s">
        <v>37</v>
      </c>
      <c r="I12450" s="8"/>
      <c r="O12450" t="str">
        <f>LEFT(Table2[[#This Row],[Description]],75)</f>
        <v>AMAZON MKTPL*J639S8ZX3 AMZN.COM/BILLWA3NBXDWNFXVY</v>
      </c>
    </row>
    <row r="12451" spans="1:15" hidden="1">
      <c r="A12451">
        <v>202410</v>
      </c>
      <c r="B12451" s="6">
        <v>45579</v>
      </c>
      <c r="C12451" t="s">
        <v>2258</v>
      </c>
      <c r="D12451" t="s">
        <v>5857</v>
      </c>
      <c r="E12451">
        <v>176.13</v>
      </c>
      <c r="F12451" s="2" t="str">
        <f>IF(Table2[[#This Row],[Manual Cat Value]]="",VLOOKUP(Table2[[#This Row],[Description]],'Actuals Lookup'!D:F,3,0),VLOOKUP(Table2[[#This Row],[Manual Cat Value]],Lookup!A:B,2,0))</f>
        <v>Amazon</v>
      </c>
      <c r="H12451" s="8" t="s">
        <v>37</v>
      </c>
      <c r="I12451" s="8"/>
      <c r="O12451" t="str">
        <f>LEFT(Table2[[#This Row],[Description]],75)</f>
        <v>AMAZON MKTPL*WC3012W23 AMZN.COM/BILLWA5Q0ALIXSJSA</v>
      </c>
    </row>
    <row r="12452" spans="1:15" hidden="1">
      <c r="A12452">
        <v>202410</v>
      </c>
      <c r="B12452" s="6">
        <v>45579</v>
      </c>
      <c r="C12452" t="s">
        <v>2258</v>
      </c>
      <c r="D12452" t="s">
        <v>5858</v>
      </c>
      <c r="E12452">
        <v>17.57</v>
      </c>
      <c r="F12452" s="2" t="str">
        <f>IF(Table2[[#This Row],[Manual Cat Value]]="",VLOOKUP(Table2[[#This Row],[Description]],'Actuals Lookup'!D:F,3,0),VLOOKUP(Table2[[#This Row],[Manual Cat Value]],Lookup!A:B,2,0))</f>
        <v>Amazon</v>
      </c>
      <c r="H12452" s="8" t="s">
        <v>37</v>
      </c>
      <c r="I12452" s="8"/>
      <c r="O12452" t="str">
        <f>LEFT(Table2[[#This Row],[Description]],75)</f>
        <v>AMAZON.COM*PH38099M3 AMZN.COM/BILLWA6RGR21JKPP3</v>
      </c>
    </row>
    <row r="12453" spans="1:15" hidden="1">
      <c r="A12453">
        <v>202410</v>
      </c>
      <c r="B12453" s="6">
        <v>45579</v>
      </c>
      <c r="C12453" t="s">
        <v>130</v>
      </c>
      <c r="D12453" t="s">
        <v>5859</v>
      </c>
      <c r="E12453">
        <v>37</v>
      </c>
      <c r="F12453" s="2" t="str">
        <f>IF(Table2[[#This Row],[Manual Cat Value]]="",VLOOKUP(Table2[[#This Row],[Description]],'Actuals Lookup'!D:F,3,0),VLOOKUP(Table2[[#This Row],[Manual Cat Value]],Lookup!A:B,2,0))</f>
        <v>Restaurants</v>
      </c>
      <c r="H12453" s="8" t="s">
        <v>25</v>
      </c>
      <c r="I12453" s="8"/>
      <c r="O12453" t="str">
        <f>LEFT(Table2[[#This Row],[Description]],75)</f>
        <v>AplPay FLOYD'S 99 CHCHANHASSEN          MN</v>
      </c>
    </row>
    <row r="12454" spans="1:15" hidden="1">
      <c r="A12454">
        <v>202410</v>
      </c>
      <c r="B12454" s="6">
        <v>45579</v>
      </c>
      <c r="C12454" t="s">
        <v>3938</v>
      </c>
      <c r="D12454" t="s">
        <v>648</v>
      </c>
      <c r="E12454">
        <v>90.66</v>
      </c>
      <c r="F12454" s="2" t="str">
        <f>IF(Table2[[#This Row],[Manual Cat Value]]="",VLOOKUP(Table2[[#This Row],[Description]],'Actuals Lookup'!D:F,3,0),VLOOKUP(Table2[[#This Row],[Manual Cat Value]],Lookup!A:B,2,0))</f>
        <v>Groceries</v>
      </c>
      <c r="H12454" s="8" t="s">
        <v>27</v>
      </c>
      <c r="I12454" s="8"/>
      <c r="O12454" t="str">
        <f>LEFT(Table2[[#This Row],[Description]],75)</f>
        <v>Costco</v>
      </c>
    </row>
    <row r="12455" spans="1:15" hidden="1">
      <c r="A12455">
        <v>202410</v>
      </c>
      <c r="B12455" s="6">
        <v>45579</v>
      </c>
      <c r="C12455" t="s">
        <v>3938</v>
      </c>
      <c r="D12455" t="s">
        <v>648</v>
      </c>
      <c r="E12455">
        <v>211.69</v>
      </c>
      <c r="F12455" s="2" t="str">
        <f>IF(Table2[[#This Row],[Manual Cat Value]]="",VLOOKUP(Table2[[#This Row],[Description]],'Actuals Lookup'!D:F,3,0),VLOOKUP(Table2[[#This Row],[Manual Cat Value]],Lookup!A:B,2,0))</f>
        <v>Groceries</v>
      </c>
      <c r="H12455" s="8" t="s">
        <v>27</v>
      </c>
      <c r="I12455" s="8"/>
      <c r="O12455" t="str">
        <f>LEFT(Table2[[#This Row],[Description]],75)</f>
        <v>Costco</v>
      </c>
    </row>
    <row r="12456" spans="1:15" hidden="1">
      <c r="A12456">
        <v>202410</v>
      </c>
      <c r="B12456" s="6">
        <v>45579</v>
      </c>
      <c r="C12456" t="s">
        <v>130</v>
      </c>
      <c r="D12456" t="s">
        <v>5762</v>
      </c>
      <c r="E12456">
        <v>20</v>
      </c>
      <c r="F12456" s="2" t="str">
        <f>IF(Table2[[#This Row],[Manual Cat Value]]="",VLOOKUP(Table2[[#This Row],[Description]],'Actuals Lookup'!D:F,3,0),VLOOKUP(Table2[[#This Row],[Manual Cat Value]],Lookup!A:B,2,0))</f>
        <v>Utilities</v>
      </c>
      <c r="H12456" s="8" t="s">
        <v>6</v>
      </c>
      <c r="I12456" s="8"/>
      <c r="O12456" t="str">
        <f>LEFT(Table2[[#This Row],[Description]],75)</f>
        <v>OPENAI *CHATGPT SUBSSAN FRANCISCO       CA</v>
      </c>
    </row>
    <row r="12457" spans="1:15" hidden="1">
      <c r="A12457">
        <v>202410</v>
      </c>
      <c r="B12457" s="6">
        <v>45580</v>
      </c>
      <c r="C12457" t="s">
        <v>130</v>
      </c>
      <c r="D12457" t="s">
        <v>5771</v>
      </c>
      <c r="E12457">
        <v>29.01</v>
      </c>
      <c r="F12457" s="2" t="str">
        <f>IF(Table2[[#This Row],[Manual Cat Value]]="",VLOOKUP(Table2[[#This Row],[Description]],'Actuals Lookup'!D:F,3,0),VLOOKUP(Table2[[#This Row],[Manual Cat Value]],Lookup!A:B,2,0))</f>
        <v>Restaurants</v>
      </c>
      <c r="H12457" s="8" t="s">
        <v>25</v>
      </c>
      <c r="I12457" s="8"/>
      <c r="O12457" t="str">
        <f>LEFT(Table2[[#This Row],[Description]],75)</f>
        <v>AplPay JIMMY JOHNS -CHANHASSEN          MN</v>
      </c>
    </row>
    <row r="12458" spans="1:15" hidden="1">
      <c r="A12458">
        <v>202410</v>
      </c>
      <c r="B12458" s="6">
        <v>45580</v>
      </c>
      <c r="C12458" t="s">
        <v>2519</v>
      </c>
      <c r="D12458" t="s">
        <v>4356</v>
      </c>
      <c r="E12458">
        <v>120.47</v>
      </c>
      <c r="F12458" s="2" t="str">
        <f>IF(Table2[[#This Row],[Manual Cat Value]]="",VLOOKUP(Table2[[#This Row],[Description]],'Actuals Lookup'!D:F,3,0),VLOOKUP(Table2[[#This Row],[Manual Cat Value]],Lookup!A:B,2,0))</f>
        <v>Insurance</v>
      </c>
      <c r="H12458" s="8" t="s">
        <v>17</v>
      </c>
      <c r="I12458" s="8"/>
      <c r="O12458" t="str">
        <f>LEFT(Table2[[#This Row],[Description]],75)</f>
        <v>Payment to American Family Insurance</v>
      </c>
    </row>
    <row r="12459" spans="1:15" hidden="1">
      <c r="A12459">
        <v>202410</v>
      </c>
      <c r="B12459" s="6">
        <v>45580</v>
      </c>
      <c r="C12459" t="s">
        <v>2519</v>
      </c>
      <c r="D12459" t="s">
        <v>1955</v>
      </c>
      <c r="E12459">
        <v>29.41</v>
      </c>
      <c r="F12459" s="2" t="str">
        <f>IF(Table2[[#This Row],[Manual Cat Value]]="",VLOOKUP(Table2[[#This Row],[Description]],'Actuals Lookup'!D:F,3,0),VLOOKUP(Table2[[#This Row],[Manual Cat Value]],Lookup!A:B,2,0))</f>
        <v>Shopping</v>
      </c>
      <c r="H12459" s="8" t="s">
        <v>36</v>
      </c>
      <c r="I12459" s="8"/>
      <c r="O12459" t="str">
        <f>LEFT(Table2[[#This Row],[Description]],75)</f>
        <v>Transfer to PayPal</v>
      </c>
    </row>
    <row r="12460" spans="1:15" hidden="1">
      <c r="A12460">
        <v>202410</v>
      </c>
      <c r="B12460" s="6">
        <v>45580</v>
      </c>
      <c r="C12460" t="s">
        <v>2519</v>
      </c>
      <c r="D12460" t="s">
        <v>1955</v>
      </c>
      <c r="E12460">
        <v>76.53</v>
      </c>
      <c r="F12460" s="2" t="str">
        <f>IF(Table2[[#This Row],[Manual Cat Value]]="",VLOOKUP(Table2[[#This Row],[Description]],'Actuals Lookup'!D:F,3,0),VLOOKUP(Table2[[#This Row],[Manual Cat Value]],Lookup!A:B,2,0))</f>
        <v>Shopping</v>
      </c>
      <c r="H12460" s="8" t="s">
        <v>36</v>
      </c>
      <c r="I12460" s="8"/>
      <c r="O12460" t="str">
        <f>LEFT(Table2[[#This Row],[Description]],75)</f>
        <v>Transfer to PayPal</v>
      </c>
    </row>
    <row r="12461" spans="1:15" hidden="1">
      <c r="A12461">
        <v>202410</v>
      </c>
      <c r="B12461" s="6">
        <v>45581</v>
      </c>
      <c r="C12461" t="s">
        <v>3938</v>
      </c>
      <c r="D12461" t="s">
        <v>113</v>
      </c>
      <c r="E12461">
        <v>67.489999999999995</v>
      </c>
      <c r="F12461" s="2" t="str">
        <f>IF(Table2[[#This Row],[Manual Cat Value]]="",VLOOKUP(Table2[[#This Row],[Description]],'Actuals Lookup'!D:F,3,0),VLOOKUP(Table2[[#This Row],[Manual Cat Value]],Lookup!A:B,2,0))</f>
        <v>Amazon</v>
      </c>
      <c r="H12461" s="8" t="s">
        <v>37</v>
      </c>
      <c r="I12461" s="8"/>
      <c r="O12461" t="str">
        <f>LEFT(Table2[[#This Row],[Description]],75)</f>
        <v>Amazon Marketplace</v>
      </c>
    </row>
    <row r="12462" spans="1:15" hidden="1">
      <c r="A12462">
        <v>202410</v>
      </c>
      <c r="B12462" s="6">
        <v>45581</v>
      </c>
      <c r="C12462" t="s">
        <v>130</v>
      </c>
      <c r="D12462" t="s">
        <v>5847</v>
      </c>
      <c r="E12462">
        <v>148</v>
      </c>
      <c r="F12462" s="2" t="str">
        <f>IF(Table2[[#This Row],[Manual Cat Value]]="",VLOOKUP(Table2[[#This Row],[Description]],'Actuals Lookup'!D:F,3,0),VLOOKUP(Table2[[#This Row],[Manual Cat Value]],Lookup!A:B,2,0))</f>
        <v>Shopping</v>
      </c>
      <c r="H12462" s="8" t="s">
        <v>36</v>
      </c>
      <c r="I12462" s="8"/>
      <c r="O12462" t="str">
        <f>LEFT(Table2[[#This Row],[Description]],75)</f>
        <v>ANTHROPOLOGIE.COM   PHILADELPHIA        PA</v>
      </c>
    </row>
    <row r="12463" spans="1:15" hidden="1">
      <c r="A12463">
        <v>202410</v>
      </c>
      <c r="B12463" s="6">
        <v>45581</v>
      </c>
      <c r="C12463" t="s">
        <v>130</v>
      </c>
      <c r="D12463" t="s">
        <v>5847</v>
      </c>
      <c r="E12463">
        <v>326</v>
      </c>
      <c r="F12463" s="2" t="str">
        <f>IF(Table2[[#This Row],[Manual Cat Value]]="",VLOOKUP(Table2[[#This Row],[Description]],'Actuals Lookup'!D:F,3,0),VLOOKUP(Table2[[#This Row],[Manual Cat Value]],Lookup!A:B,2,0))</f>
        <v>Shopping</v>
      </c>
      <c r="H12463" s="8" t="s">
        <v>36</v>
      </c>
      <c r="I12463" s="8"/>
      <c r="O12463" t="str">
        <f>LEFT(Table2[[#This Row],[Description]],75)</f>
        <v>ANTHROPOLOGIE.COM   PHILADELPHIA        PA</v>
      </c>
    </row>
    <row r="12464" spans="1:15" hidden="1">
      <c r="A12464">
        <v>202410</v>
      </c>
      <c r="B12464" s="6">
        <v>45581</v>
      </c>
      <c r="C12464" t="s">
        <v>130</v>
      </c>
      <c r="D12464" t="s">
        <v>5849</v>
      </c>
      <c r="E12464">
        <v>37.5</v>
      </c>
      <c r="F12464" s="2" t="str">
        <f>IF(Table2[[#This Row],[Manual Cat Value]]="",VLOOKUP(Table2[[#This Row],[Description]],'Actuals Lookup'!D:F,3,0),VLOOKUP(Table2[[#This Row],[Manual Cat Value]],Lookup!A:B,2,0))</f>
        <v>Groceries</v>
      </c>
      <c r="H12464" s="8" t="s">
        <v>27</v>
      </c>
      <c r="I12464" s="8"/>
      <c r="O12464" t="str">
        <f>LEFT(Table2[[#This Row],[Description]],75)</f>
        <v>AplPay KOWALSKI'S EXEXCELSIOR           MN</v>
      </c>
    </row>
    <row r="12465" spans="1:15" hidden="1">
      <c r="A12465">
        <v>202403</v>
      </c>
      <c r="B12465" s="6">
        <v>45352</v>
      </c>
      <c r="C12465" t="s">
        <v>2519</v>
      </c>
      <c r="D12465" t="s">
        <v>4716</v>
      </c>
      <c r="E12465">
        <v>650</v>
      </c>
      <c r="F12465" s="2" t="str">
        <f>IF(Table2[[#This Row],[Manual Cat Value]]="",VLOOKUP(Table2[[#This Row],[Description]],'Actuals Lookup'!D:F,3,0),VLOOKUP(Table2[[#This Row],[Manual Cat Value]],Lookup!A:B,2,0))</f>
        <v>Delete</v>
      </c>
      <c r="H12465" s="8" t="s">
        <v>9</v>
      </c>
      <c r="I12465" s="8"/>
      <c r="O12465" t="str">
        <f>LEFT(Table2[[#This Row],[Description]],75)</f>
        <v>Transfer to College Station</v>
      </c>
    </row>
    <row r="12466" spans="1:15" hidden="1">
      <c r="A12466">
        <v>202410</v>
      </c>
      <c r="B12466" s="6">
        <v>45581</v>
      </c>
      <c r="C12466" t="s">
        <v>2519</v>
      </c>
      <c r="D12466" t="s">
        <v>5443</v>
      </c>
      <c r="E12466">
        <v>380</v>
      </c>
      <c r="F12466" s="2" t="str">
        <f>IF(Table2[[#This Row],[Manual Cat Value]]="",VLOOKUP(Table2[[#This Row],[Description]],'Actuals Lookup'!D:F,3,0),VLOOKUP(Table2[[#This Row],[Manual Cat Value]],Lookup!A:B,2,0))</f>
        <v>Day Care</v>
      </c>
      <c r="H12466" s="8" t="s">
        <v>19</v>
      </c>
      <c r="I12466" s="8"/>
      <c r="O12466" t="str">
        <f>LEFT(Table2[[#This Row],[Description]],75)</f>
        <v>Mis Amigos</v>
      </c>
    </row>
    <row r="12467" spans="1:15" hidden="1">
      <c r="A12467">
        <v>202410</v>
      </c>
      <c r="B12467" s="6">
        <v>45581</v>
      </c>
      <c r="C12467" t="s">
        <v>130</v>
      </c>
      <c r="D12467" t="s">
        <v>5829</v>
      </c>
      <c r="E12467">
        <v>-62</v>
      </c>
      <c r="F12467" s="2" t="str">
        <f>IF(Table2[[#This Row],[Manual Cat Value]]="",VLOOKUP(Table2[[#This Row],[Description]],'Actuals Lookup'!D:F,3,0),VLOOKUP(Table2[[#This Row],[Manual Cat Value]],Lookup!A:B,2,0))</f>
        <v>Shopping</v>
      </c>
      <c r="H12467" s="8" t="s">
        <v>36</v>
      </c>
      <c r="I12467" s="8"/>
      <c r="O12467" t="str">
        <f>LEFT(Table2[[#This Row],[Description]],75)</f>
        <v>SP KINGFIFTH        WORTHINGTON         OH</v>
      </c>
    </row>
    <row r="12468" spans="1:15" hidden="1">
      <c r="A12468">
        <v>202410</v>
      </c>
      <c r="B12468" s="6">
        <v>45582</v>
      </c>
      <c r="C12468" t="s">
        <v>2258</v>
      </c>
      <c r="D12468" t="s">
        <v>5860</v>
      </c>
      <c r="E12468">
        <v>96.95</v>
      </c>
      <c r="F12468" s="2" t="str">
        <f>IF(Table2[[#This Row],[Manual Cat Value]]="",VLOOKUP(Table2[[#This Row],[Description]],'Actuals Lookup'!D:F,3,0),VLOOKUP(Table2[[#This Row],[Manual Cat Value]],Lookup!A:B,2,0))</f>
        <v>Amazon</v>
      </c>
      <c r="H12468" s="8" t="s">
        <v>37</v>
      </c>
      <c r="I12468" s="8"/>
      <c r="O12468" t="str">
        <f>LEFT(Table2[[#This Row],[Description]],75)</f>
        <v>AMAZON MKTPL*WI6BF4WW3 AMZN.COM/BILLWA2SK2IYCX9C9</v>
      </c>
    </row>
    <row r="12469" spans="1:15" hidden="1">
      <c r="A12469">
        <v>202410</v>
      </c>
      <c r="B12469" s="6">
        <v>45582</v>
      </c>
      <c r="C12469" t="s">
        <v>130</v>
      </c>
      <c r="D12469" t="s">
        <v>5861</v>
      </c>
      <c r="E12469">
        <v>12.19</v>
      </c>
      <c r="F12469" s="2" t="str">
        <f>IF(Table2[[#This Row],[Manual Cat Value]]="",VLOOKUP(Table2[[#This Row],[Description]],'Actuals Lookup'!D:F,3,0),VLOOKUP(Table2[[#This Row],[Manual Cat Value]],Lookup!A:B,2,0))</f>
        <v>Groceries</v>
      </c>
      <c r="H12469" s="8" t="s">
        <v>27</v>
      </c>
      <c r="I12469" s="8"/>
      <c r="O12469" t="str">
        <f>LEFT(Table2[[#This Row],[Description]],75)</f>
        <v>HI 5 LIQUOR 13525905VICTORIA            MN</v>
      </c>
    </row>
    <row r="12470" spans="1:15" hidden="1">
      <c r="A12470">
        <v>202410</v>
      </c>
      <c r="B12470" s="6">
        <v>45582</v>
      </c>
      <c r="C12470" t="s">
        <v>130</v>
      </c>
      <c r="D12470" t="s">
        <v>5862</v>
      </c>
      <c r="E12470">
        <v>111.15</v>
      </c>
      <c r="F12470" s="2" t="str">
        <f>IF(Table2[[#This Row],[Manual Cat Value]]="",VLOOKUP(Table2[[#This Row],[Description]],'Actuals Lookup'!D:F,3,0),VLOOKUP(Table2[[#This Row],[Manual Cat Value]],Lookup!A:B,2,0))</f>
        <v>Restaurants</v>
      </c>
      <c r="H12470" s="8" t="s">
        <v>25</v>
      </c>
      <c r="I12470" s="8"/>
      <c r="O12470" t="str">
        <f>LEFT(Table2[[#This Row],[Description]],75)</f>
        <v>WINCHESTER AND RYE 0VICTORIA            MN</v>
      </c>
    </row>
    <row r="12471" spans="1:15" hidden="1">
      <c r="A12471">
        <v>202410</v>
      </c>
      <c r="B12471" s="6">
        <v>45583</v>
      </c>
      <c r="C12471" t="s">
        <v>130</v>
      </c>
      <c r="D12471" t="s">
        <v>5863</v>
      </c>
      <c r="E12471">
        <v>28.1</v>
      </c>
      <c r="F12471" s="2" t="str">
        <f>IF(Table2[[#This Row],[Manual Cat Value]]="",VLOOKUP(Table2[[#This Row],[Description]],'Actuals Lookup'!D:F,3,0),VLOOKUP(Table2[[#This Row],[Manual Cat Value]],Lookup!A:B,2,0))</f>
        <v>Transportation</v>
      </c>
      <c r="H12471" s="8" t="s">
        <v>22</v>
      </c>
      <c r="I12471" s="8"/>
      <c r="O12471" t="str">
        <f>LEFT(Table2[[#This Row],[Description]],75)</f>
        <v>AplPay HOLIDAY STATISHOREWOOD           MN</v>
      </c>
    </row>
    <row r="12472" spans="1:15" hidden="1">
      <c r="A12472">
        <v>202410</v>
      </c>
      <c r="B12472" s="6">
        <v>45583</v>
      </c>
      <c r="C12472" t="s">
        <v>2258</v>
      </c>
      <c r="D12472" t="s">
        <v>5773</v>
      </c>
      <c r="E12472">
        <v>-174.91</v>
      </c>
      <c r="F12472" s="2" t="str">
        <f>IF(Table2[[#This Row],[Manual Cat Value]]="",VLOOKUP(Table2[[#This Row],[Description]],'Actuals Lookup'!D:F,3,0),VLOOKUP(Table2[[#This Row],[Manual Cat Value]],Lookup!A:B,2,0))</f>
        <v>Utilities</v>
      </c>
      <c r="H12472" s="8" t="s">
        <v>6</v>
      </c>
      <c r="I12472" s="8"/>
      <c r="O12472" t="str">
        <f>LEFT(Table2[[#This Row],[Description]],75)</f>
        <v>DIRECTPAY FULL BALANCESEE DETAILS OF YOUR NEXT DIRECTPAY BELOW</v>
      </c>
    </row>
    <row r="12473" spans="1:15" hidden="1">
      <c r="A12473">
        <v>202410</v>
      </c>
      <c r="B12473" s="6">
        <v>45583</v>
      </c>
      <c r="C12473" t="s">
        <v>130</v>
      </c>
      <c r="D12473" t="s">
        <v>5864</v>
      </c>
      <c r="E12473">
        <v>89.13</v>
      </c>
      <c r="F12473" s="2" t="str">
        <f>IF(Table2[[#This Row],[Manual Cat Value]]="",VLOOKUP(Table2[[#This Row],[Description]],'Actuals Lookup'!D:F,3,0),VLOOKUP(Table2[[#This Row],[Manual Cat Value]],Lookup!A:B,2,0))</f>
        <v>Transportation</v>
      </c>
      <c r="H12473" s="8" t="s">
        <v>22</v>
      </c>
      <c r="I12473" s="8"/>
      <c r="O12473" t="str">
        <f>LEFT(Table2[[#This Row],[Description]],75)</f>
        <v>VIOC 010018 0100    SHOREWOOD           MN</v>
      </c>
    </row>
    <row r="12474" spans="1:15" hidden="1">
      <c r="A12474">
        <v>202410</v>
      </c>
      <c r="B12474" s="6">
        <v>45583</v>
      </c>
      <c r="C12474" t="s">
        <v>130</v>
      </c>
      <c r="D12474" t="s">
        <v>5865</v>
      </c>
      <c r="E12474">
        <v>37.409999999999997</v>
      </c>
      <c r="F12474" s="2" t="str">
        <f>IF(Table2[[#This Row],[Manual Cat Value]]="",VLOOKUP(Table2[[#This Row],[Description]],'Actuals Lookup'!D:F,3,0),VLOOKUP(Table2[[#This Row],[Manual Cat Value]],Lookup!A:B,2,0))</f>
        <v>Shopping</v>
      </c>
      <c r="H12474" s="8" t="s">
        <v>36</v>
      </c>
      <c r="I12474" s="8"/>
      <c r="O12474" t="str">
        <f>LEFT(Table2[[#This Row],[Description]],75)</f>
        <v>WALMART.COM 80092562BENTONVILLE         AR</v>
      </c>
    </row>
    <row r="12475" spans="1:15" hidden="1">
      <c r="A12475">
        <v>202410</v>
      </c>
      <c r="B12475" s="6">
        <v>45583</v>
      </c>
      <c r="C12475" t="s">
        <v>2519</v>
      </c>
      <c r="D12475" t="s">
        <v>5866</v>
      </c>
      <c r="E12475">
        <v>650</v>
      </c>
      <c r="F12475" s="2" t="str">
        <f>IF(Table2[[#This Row],[Manual Cat Value]]="",VLOOKUP(Table2[[#This Row],[Description]],'Actuals Lookup'!D:F,3,0),VLOOKUP(Table2[[#This Row],[Manual Cat Value]],Lookup!A:B,2,0))</f>
        <v>College Savings</v>
      </c>
      <c r="H12475" s="8" t="s">
        <v>60</v>
      </c>
      <c r="I12475" s="8"/>
      <c r="O12475" t="str">
        <f>LEFT(Table2[[#This Row],[Description]],75)</f>
        <v>Withdrawal ACH MN DIR ACH TYPE: CONTRIB ID: XX7162 CO: MN DIR ACH NAME: XX2</v>
      </c>
    </row>
    <row r="12476" spans="1:15" hidden="1">
      <c r="A12476">
        <v>202410</v>
      </c>
      <c r="B12476" s="6">
        <v>45584</v>
      </c>
      <c r="C12476" t="s">
        <v>130</v>
      </c>
      <c r="D12476" t="s">
        <v>5790</v>
      </c>
      <c r="E12476">
        <v>38.99</v>
      </c>
      <c r="F12476" s="2" t="str">
        <f>IF(Table2[[#This Row],[Manual Cat Value]]="",VLOOKUP(Table2[[#This Row],[Description]],'Actuals Lookup'!D:F,3,0),VLOOKUP(Table2[[#This Row],[Manual Cat Value]],Lookup!A:B,2,0))</f>
        <v>Utilities</v>
      </c>
      <c r="H12476" s="8" t="s">
        <v>6</v>
      </c>
      <c r="I12476" s="8"/>
      <c r="O12476" t="str">
        <f>LEFT(Table2[[#This Row],[Description]],75)</f>
        <v>GOOGLE*SVCSGNS.3349- G.CO HELPPAY#</v>
      </c>
    </row>
    <row r="12477" spans="1:15" hidden="1">
      <c r="A12477">
        <v>202410</v>
      </c>
      <c r="B12477" s="6">
        <v>45584</v>
      </c>
      <c r="C12477" t="s">
        <v>130</v>
      </c>
      <c r="D12477" t="s">
        <v>5867</v>
      </c>
      <c r="E12477">
        <v>44.72</v>
      </c>
      <c r="F12477" s="2" t="str">
        <f>IF(Table2[[#This Row],[Manual Cat Value]]="",VLOOKUP(Table2[[#This Row],[Description]],'Actuals Lookup'!D:F,3,0),VLOOKUP(Table2[[#This Row],[Manual Cat Value]],Lookup!A:B,2,0))</f>
        <v>Restaurants</v>
      </c>
      <c r="H12477" s="8" t="s">
        <v>25</v>
      </c>
      <c r="I12477" s="8"/>
      <c r="O12477" t="str">
        <f>LEFT(Table2[[#This Row],[Description]],75)</f>
        <v>LONESOME PINE RESTAUDEERWOOD            MN</v>
      </c>
    </row>
    <row r="12478" spans="1:15" hidden="1">
      <c r="A12478">
        <v>202410</v>
      </c>
      <c r="B12478" s="6">
        <v>45584</v>
      </c>
      <c r="C12478" t="s">
        <v>2519</v>
      </c>
      <c r="D12478" t="s">
        <v>5868</v>
      </c>
      <c r="E12478">
        <v>123.95</v>
      </c>
      <c r="F12478" s="2" t="str">
        <f>IF(Table2[[#This Row],[Manual Cat Value]]="",VLOOKUP(Table2[[#This Row],[Description]],'Actuals Lookup'!D:F,3,0),VLOOKUP(Table2[[#This Row],[Manual Cat Value]],Lookup!A:B,2,0))</f>
        <v>Travel</v>
      </c>
      <c r="H12478" s="8" t="s">
        <v>52</v>
      </c>
      <c r="I12478" s="8"/>
      <c r="O12478" t="str">
        <f>LEFT(Table2[[#This Row],[Description]],75)</f>
        <v>Withdrawal at ATM #XX1733 EFT x5039 Tamefish Lake Roa Deerwood MN Card 5404</v>
      </c>
    </row>
    <row r="12479" spans="1:15" hidden="1">
      <c r="A12479">
        <v>202410</v>
      </c>
      <c r="B12479" s="6">
        <v>45585</v>
      </c>
      <c r="C12479" t="s">
        <v>130</v>
      </c>
      <c r="D12479" t="s">
        <v>5869</v>
      </c>
      <c r="E12479">
        <v>20.350000000000001</v>
      </c>
      <c r="F12479" s="2" t="str">
        <f>IF(Table2[[#This Row],[Manual Cat Value]]="",VLOOKUP(Table2[[#This Row],[Description]],'Actuals Lookup'!D:F,3,0),VLOOKUP(Table2[[#This Row],[Manual Cat Value]],Lookup!A:B,2,0))</f>
        <v>Restaurants</v>
      </c>
      <c r="H12479" s="8" t="s">
        <v>25</v>
      </c>
      <c r="I12479" s="8"/>
      <c r="O12479" t="str">
        <f>LEFT(Table2[[#This Row],[Description]],75)</f>
        <v>AplPay RED RAVEN    Crosby              MN</v>
      </c>
    </row>
    <row r="12480" spans="1:15" hidden="1">
      <c r="A12480">
        <v>202410</v>
      </c>
      <c r="B12480" s="6">
        <v>45585</v>
      </c>
      <c r="C12480" t="s">
        <v>130</v>
      </c>
      <c r="D12480" t="s">
        <v>5870</v>
      </c>
      <c r="E12480">
        <v>6.54</v>
      </c>
      <c r="F12480" s="2" t="str">
        <f>IF(Table2[[#This Row],[Manual Cat Value]]="",VLOOKUP(Table2[[#This Row],[Description]],'Actuals Lookup'!D:F,3,0),VLOOKUP(Table2[[#This Row],[Manual Cat Value]],Lookup!A:B,2,0))</f>
        <v>Restaurants</v>
      </c>
      <c r="H12480" s="8" t="s">
        <v>25</v>
      </c>
      <c r="I12480" s="8"/>
      <c r="O12480" t="str">
        <f>LEFT(Table2[[#This Row],[Description]],75)</f>
        <v>AplPay SUBWAY       CROSBY              MN</v>
      </c>
    </row>
    <row r="12481" spans="1:15" hidden="1">
      <c r="A12481">
        <v>202410</v>
      </c>
      <c r="B12481" s="6">
        <v>45585</v>
      </c>
      <c r="C12481" t="s">
        <v>130</v>
      </c>
      <c r="D12481" t="s">
        <v>5870</v>
      </c>
      <c r="E12481">
        <v>9.76</v>
      </c>
      <c r="F12481" s="2" t="str">
        <f>IF(Table2[[#This Row],[Manual Cat Value]]="",VLOOKUP(Table2[[#This Row],[Description]],'Actuals Lookup'!D:F,3,0),VLOOKUP(Table2[[#This Row],[Manual Cat Value]],Lookup!A:B,2,0))</f>
        <v>Restaurants</v>
      </c>
      <c r="H12481" s="8" t="s">
        <v>25</v>
      </c>
      <c r="I12481" s="8"/>
      <c r="O12481" t="str">
        <f>LEFT(Table2[[#This Row],[Description]],75)</f>
        <v>AplPay SUBWAY       CROSBY              MN</v>
      </c>
    </row>
    <row r="12482" spans="1:15" hidden="1">
      <c r="A12482">
        <v>202410</v>
      </c>
      <c r="B12482" s="6">
        <v>45585</v>
      </c>
      <c r="C12482" t="s">
        <v>130</v>
      </c>
      <c r="D12482" t="s">
        <v>5871</v>
      </c>
      <c r="E12482">
        <v>81.93</v>
      </c>
      <c r="F12482" s="2" t="str">
        <f>IF(Table2[[#This Row],[Manual Cat Value]]="",VLOOKUP(Table2[[#This Row],[Description]],'Actuals Lookup'!D:F,3,0),VLOOKUP(Table2[[#This Row],[Manual Cat Value]],Lookup!A:B,2,0))</f>
        <v>Restaurants</v>
      </c>
      <c r="H12482" s="8" t="s">
        <v>25</v>
      </c>
      <c r="I12482" s="8"/>
      <c r="O12482" t="str">
        <f>LEFT(Table2[[#This Row],[Description]],75)</f>
        <v>BRICK &amp; BOURBON- MAPMAPLE GROVE         MN</v>
      </c>
    </row>
    <row r="12483" spans="1:15" hidden="1">
      <c r="A12483">
        <v>202410</v>
      </c>
      <c r="B12483" s="6">
        <v>45585</v>
      </c>
      <c r="C12483" t="s">
        <v>130</v>
      </c>
      <c r="D12483" t="s">
        <v>5872</v>
      </c>
      <c r="E12483">
        <v>157.19999999999999</v>
      </c>
      <c r="F12483" s="2" t="str">
        <f>IF(Table2[[#This Row],[Manual Cat Value]]="",VLOOKUP(Table2[[#This Row],[Description]],'Actuals Lookup'!D:F,3,0),VLOOKUP(Table2[[#This Row],[Manual Cat Value]],Lookup!A:B,2,0))</f>
        <v>Shopping</v>
      </c>
      <c r="H12483" s="8" t="s">
        <v>36</v>
      </c>
      <c r="I12483" s="8"/>
      <c r="O12483" t="str">
        <f>LEFT(Table2[[#This Row],[Description]],75)</f>
        <v>CUYUNA OUTFITTERS, LCrosby              MN</v>
      </c>
    </row>
    <row r="12484" spans="1:15" hidden="1">
      <c r="A12484">
        <v>202410</v>
      </c>
      <c r="B12484" s="6">
        <v>45585</v>
      </c>
      <c r="C12484" t="s">
        <v>3938</v>
      </c>
      <c r="D12484" t="s">
        <v>5873</v>
      </c>
      <c r="E12484">
        <v>1.99</v>
      </c>
      <c r="F12484" s="2" t="str">
        <f>IF(Table2[[#This Row],[Manual Cat Value]]="",VLOOKUP(Table2[[#This Row],[Description]],'Actuals Lookup'!D:F,3,0),VLOOKUP(Table2[[#This Row],[Manual Cat Value]],Lookup!A:B,2,0))</f>
        <v>Utilities</v>
      </c>
      <c r="H12484" s="8" t="s">
        <v>6</v>
      </c>
      <c r="I12484" s="8"/>
      <c r="O12484" t="str">
        <f>LEFT(Table2[[#This Row],[Description]],75)</f>
        <v>GOOGLE *Google One XX-3987 CA REF #XX9216MM2ZB0MLFD</v>
      </c>
    </row>
    <row r="12485" spans="1:15" hidden="1">
      <c r="A12485">
        <v>202410</v>
      </c>
      <c r="B12485" s="6">
        <v>45585</v>
      </c>
      <c r="C12485" t="s">
        <v>3938</v>
      </c>
      <c r="D12485" t="s">
        <v>3973</v>
      </c>
      <c r="E12485">
        <v>20</v>
      </c>
      <c r="F12485" s="2" t="str">
        <f>IF(Table2[[#This Row],[Manual Cat Value]]="",VLOOKUP(Table2[[#This Row],[Description]],'Actuals Lookup'!D:F,3,0),VLOOKUP(Table2[[#This Row],[Manual Cat Value]],Lookup!A:B,2,0))</f>
        <v>Day Care</v>
      </c>
      <c r="H12485" s="8" t="s">
        <v>19</v>
      </c>
      <c r="I12485" s="8"/>
      <c r="O12485" t="str">
        <f>LEFT(Table2[[#This Row],[Description]],75)</f>
        <v>Minnetonka Public Schools</v>
      </c>
    </row>
    <row r="12486" spans="1:15" hidden="1">
      <c r="A12486">
        <v>202410</v>
      </c>
      <c r="B12486" s="6">
        <v>45585</v>
      </c>
      <c r="C12486" t="s">
        <v>130</v>
      </c>
      <c r="D12486" t="s">
        <v>5874</v>
      </c>
      <c r="E12486">
        <v>24.89</v>
      </c>
      <c r="F12486" s="2" t="str">
        <f>IF(Table2[[#This Row],[Manual Cat Value]]="",VLOOKUP(Table2[[#This Row],[Description]],'Actuals Lookup'!D:F,3,0),VLOOKUP(Table2[[#This Row],[Manual Cat Value]],Lookup!A:B,2,0))</f>
        <v>Restaurants</v>
      </c>
      <c r="H12486" s="8" t="s">
        <v>25</v>
      </c>
      <c r="I12486" s="8"/>
      <c r="O12486" t="str">
        <f>LEFT(Table2[[#This Row],[Description]],75)</f>
        <v>RED RAVEN           Crosby              MN</v>
      </c>
    </row>
    <row r="12487" spans="1:15" hidden="1">
      <c r="A12487">
        <v>202410</v>
      </c>
      <c r="B12487" s="6">
        <v>45585</v>
      </c>
      <c r="C12487" t="s">
        <v>130</v>
      </c>
      <c r="D12487" t="s">
        <v>5875</v>
      </c>
      <c r="E12487">
        <v>28.21</v>
      </c>
      <c r="F12487" s="2" t="str">
        <f>IF(Table2[[#This Row],[Manual Cat Value]]="",VLOOKUP(Table2[[#This Row],[Description]],'Actuals Lookup'!D:F,3,0),VLOOKUP(Table2[[#This Row],[Manual Cat Value]],Lookup!A:B,2,0))</f>
        <v>Entertainment</v>
      </c>
      <c r="H12487" s="8" t="s">
        <v>39</v>
      </c>
      <c r="I12487" s="8"/>
      <c r="O12487" t="str">
        <f>LEFT(Table2[[#This Row],[Description]],75)</f>
        <v>STONES THROW GOLF COMILACA              MN</v>
      </c>
    </row>
    <row r="12488" spans="1:15" hidden="1">
      <c r="A12488">
        <v>202410</v>
      </c>
      <c r="B12488" s="6">
        <v>45585</v>
      </c>
      <c r="C12488" t="s">
        <v>130</v>
      </c>
      <c r="D12488" t="s">
        <v>5875</v>
      </c>
      <c r="E12488">
        <v>140</v>
      </c>
      <c r="F12488" s="2" t="str">
        <f>IF(Table2[[#This Row],[Manual Cat Value]]="",VLOOKUP(Table2[[#This Row],[Description]],'Actuals Lookup'!D:F,3,0),VLOOKUP(Table2[[#This Row],[Manual Cat Value]],Lookup!A:B,2,0))</f>
        <v>Entertainment</v>
      </c>
      <c r="H12488" s="8" t="s">
        <v>39</v>
      </c>
      <c r="I12488" s="8"/>
      <c r="O12488" t="str">
        <f>LEFT(Table2[[#This Row],[Description]],75)</f>
        <v>STONES THROW GOLF COMILACA              MN</v>
      </c>
    </row>
    <row r="12489" spans="1:15" hidden="1">
      <c r="A12489">
        <v>202410</v>
      </c>
      <c r="B12489" s="6">
        <v>45585</v>
      </c>
      <c r="C12489" t="s">
        <v>130</v>
      </c>
      <c r="D12489" t="s">
        <v>5876</v>
      </c>
      <c r="E12489">
        <v>1167.83</v>
      </c>
      <c r="F12489" s="2" t="str">
        <f>IF(Table2[[#This Row],[Manual Cat Value]]="",VLOOKUP(Table2[[#This Row],[Description]],'Actuals Lookup'!D:F,3,0),VLOOKUP(Table2[[#This Row],[Manual Cat Value]],Lookup!A:B,2,0))</f>
        <v>Travel</v>
      </c>
      <c r="H12489" s="8" t="s">
        <v>52</v>
      </c>
      <c r="I12489" s="8"/>
      <c r="O12489" t="str">
        <f>LEFT(Table2[[#This Row],[Description]],75)</f>
        <v>TM *TICKETMASTER    LOS ANGELES         CA</v>
      </c>
    </row>
    <row r="12490" spans="1:15" hidden="1">
      <c r="A12490">
        <v>202410</v>
      </c>
      <c r="B12490" s="6">
        <v>45586</v>
      </c>
      <c r="C12490" t="s">
        <v>2258</v>
      </c>
      <c r="D12490" t="s">
        <v>5877</v>
      </c>
      <c r="E12490">
        <v>56.34</v>
      </c>
      <c r="F12490" s="2" t="str">
        <f>IF(Table2[[#This Row],[Manual Cat Value]]="",VLOOKUP(Table2[[#This Row],[Description]],'Actuals Lookup'!D:F,3,0),VLOOKUP(Table2[[#This Row],[Manual Cat Value]],Lookup!A:B,2,0))</f>
        <v>Amazon</v>
      </c>
      <c r="H12490" s="8" t="s">
        <v>37</v>
      </c>
      <c r="I12490" s="8"/>
      <c r="O12490" t="str">
        <f>LEFT(Table2[[#This Row],[Description]],75)</f>
        <v>AMAZON MKTPL*BI3VO73G3 AMZN.COM/BILLWA49PNG3M45ZM</v>
      </c>
    </row>
    <row r="12491" spans="1:15" hidden="1">
      <c r="A12491">
        <v>202410</v>
      </c>
      <c r="B12491" s="6">
        <v>45586</v>
      </c>
      <c r="C12491" t="s">
        <v>130</v>
      </c>
      <c r="D12491" t="s">
        <v>5878</v>
      </c>
      <c r="E12491">
        <v>19.12</v>
      </c>
      <c r="F12491" s="2" t="str">
        <f>IF(Table2[[#This Row],[Manual Cat Value]]="",VLOOKUP(Table2[[#This Row],[Description]],'Actuals Lookup'!D:F,3,0),VLOOKUP(Table2[[#This Row],[Manual Cat Value]],Lookup!A:B,2,0))</f>
        <v>Restaurants</v>
      </c>
      <c r="H12491" s="8" t="s">
        <v>25</v>
      </c>
      <c r="I12491" s="8"/>
      <c r="O12491" t="str">
        <f>LEFT(Table2[[#This Row],[Description]],75)</f>
        <v>CHANHASSEN BREWING CCHANHASSEN          MN</v>
      </c>
    </row>
    <row r="12492" spans="1:15" hidden="1">
      <c r="A12492" s="25">
        <f>VALUE(YEAR(Table2[[#This Row],[Date]])&amp;TEXT(MONTH(Table2[[#This Row],[Date]]),"00"))</f>
        <v>202304</v>
      </c>
      <c r="B12492" s="6">
        <v>45019</v>
      </c>
      <c r="C12492" t="s">
        <v>4429</v>
      </c>
      <c r="D12492" t="s">
        <v>5879</v>
      </c>
      <c r="E12492" s="53">
        <v>2606.27</v>
      </c>
      <c r="F12492" s="2" t="str">
        <f>IF(Table2[[#This Row],[Manual Cat Value]]="",VLOOKUP(Table2[[#This Row],[Description]],'Actuals Lookup'!D:F,3,0),Table2[[#This Row],[Manual Cat Value]])</f>
        <v>Exp - Rent</v>
      </c>
      <c r="H12492" s="8" t="s">
        <v>4</v>
      </c>
      <c r="I12492" s="8"/>
      <c r="O12492" t="str">
        <f>LEFT(Table2[[#This Row],[Description]],75)</f>
        <v>Withdrawal ACH BCU MORTGAGE TYPE: LOAN PAYMT ID: 9DRAFTING CO: BCU MORTGAGE</v>
      </c>
    </row>
    <row r="12493" spans="1:15" hidden="1">
      <c r="A12493" s="25">
        <f>VALUE(YEAR(Table2[[#This Row],[Date]])&amp;TEXT(MONTH(Table2[[#This Row],[Date]]),"00"))</f>
        <v>202301</v>
      </c>
      <c r="B12493" s="6">
        <v>44929</v>
      </c>
      <c r="C12493" t="s">
        <v>2265</v>
      </c>
      <c r="D12493" t="s">
        <v>5880</v>
      </c>
      <c r="E12493">
        <f>IF(M12493="credit",-1*J12493,J12493)</f>
        <v>2606.27</v>
      </c>
      <c r="F12493" s="2" t="str">
        <f>IF(Table2[[#This Row],[Manual Cat Value]]="",VLOOKUP(Table2[[#This Row],[Description]],'Actuals Lookup'!D:F,3,0),Table2[[#This Row],[Manual Cat Value]])</f>
        <v>Exp - Rent</v>
      </c>
      <c r="G12493" t="e">
        <f>VLOOKUP(D12493,Lookup!G:H,2,0)</f>
        <v>#N/A</v>
      </c>
      <c r="H12493" s="8" t="s">
        <v>4</v>
      </c>
      <c r="I12493" s="8"/>
      <c r="J12493">
        <v>2606.27</v>
      </c>
      <c r="M12493" t="s">
        <v>2513</v>
      </c>
      <c r="O12493" t="str">
        <f>LEFT(Table2[[#This Row],[Description]],75)</f>
        <v>Withdrawal ACH BCU MORTGAGE TYPE: LOAN PAYMT ID: 9DRAFTING CO: BCU MORTGAGE</v>
      </c>
    </row>
    <row r="12494" spans="1:15" hidden="1">
      <c r="A12494">
        <v>202404</v>
      </c>
      <c r="B12494" s="6">
        <v>45383</v>
      </c>
      <c r="C12494" t="s">
        <v>2519</v>
      </c>
      <c r="D12494" t="s">
        <v>4716</v>
      </c>
      <c r="E12494">
        <v>650</v>
      </c>
      <c r="F12494" s="2" t="str">
        <f>IF(Table2[[#This Row],[Manual Cat Value]]="",VLOOKUP(Table2[[#This Row],[Description]],'Actuals Lookup'!D:F,3,0),VLOOKUP(Table2[[#This Row],[Manual Cat Value]],Lookup!A:B,2,0))</f>
        <v>Delete</v>
      </c>
      <c r="H12494" s="8" t="s">
        <v>9</v>
      </c>
      <c r="I12494" s="8"/>
      <c r="O12494" t="str">
        <f>LEFT(Table2[[#This Row],[Description]],75)</f>
        <v>Transfer to College Station</v>
      </c>
    </row>
    <row r="12495" spans="1:15" hidden="1">
      <c r="A12495">
        <v>202410</v>
      </c>
      <c r="B12495" s="6">
        <v>45586</v>
      </c>
      <c r="C12495" t="s">
        <v>2519</v>
      </c>
      <c r="D12495" t="s">
        <v>1955</v>
      </c>
      <c r="E12495">
        <v>2.99</v>
      </c>
      <c r="F12495" s="2" t="str">
        <f>IF(Table2[[#This Row],[Manual Cat Value]]="",VLOOKUP(Table2[[#This Row],[Description]],'Actuals Lookup'!D:F,3,0),VLOOKUP(Table2[[#This Row],[Manual Cat Value]],Lookup!A:B,2,0))</f>
        <v>Shopping</v>
      </c>
      <c r="H12495" s="8" t="s">
        <v>36</v>
      </c>
      <c r="I12495" s="8"/>
      <c r="O12495" t="str">
        <f>LEFT(Table2[[#This Row],[Description]],75)</f>
        <v>Transfer to PayPal</v>
      </c>
    </row>
    <row r="12496" spans="1:15" hidden="1">
      <c r="A12496">
        <v>202410</v>
      </c>
      <c r="B12496" s="6">
        <v>45586</v>
      </c>
      <c r="C12496" t="s">
        <v>2519</v>
      </c>
      <c r="D12496" t="s">
        <v>1955</v>
      </c>
      <c r="E12496">
        <v>70.42</v>
      </c>
      <c r="F12496" s="2" t="str">
        <f>IF(Table2[[#This Row],[Manual Cat Value]]="",VLOOKUP(Table2[[#This Row],[Description]],'Actuals Lookup'!D:F,3,0),VLOOKUP(Table2[[#This Row],[Manual Cat Value]],Lookup!A:B,2,0))</f>
        <v>Shopping</v>
      </c>
      <c r="H12496" s="8" t="s">
        <v>36</v>
      </c>
      <c r="I12496" s="8"/>
      <c r="O12496" t="str">
        <f>LEFT(Table2[[#This Row],[Description]],75)</f>
        <v>Transfer to PayPal</v>
      </c>
    </row>
    <row r="12497" spans="1:15" hidden="1">
      <c r="A12497">
        <v>202410</v>
      </c>
      <c r="B12497" s="6">
        <v>45586</v>
      </c>
      <c r="C12497" t="s">
        <v>2519</v>
      </c>
      <c r="D12497" t="s">
        <v>5881</v>
      </c>
      <c r="E12497">
        <v>64.83</v>
      </c>
      <c r="F12497" s="2" t="str">
        <f>IF(Table2[[#This Row],[Manual Cat Value]]="",VLOOKUP(Table2[[#This Row],[Description]],'Actuals Lookup'!D:F,3,0),VLOOKUP(Table2[[#This Row],[Manual Cat Value]],Lookup!A:B,2,0))</f>
        <v>Utilities</v>
      </c>
      <c r="H12497" s="8" t="s">
        <v>6</v>
      </c>
      <c r="I12497" s="8"/>
      <c r="O12497" t="str">
        <f>LEFT(Table2[[#This Row],[Description]],75)</f>
        <v>Withdrawal ACH CITY OF CHANHASS TYPE: UTIL BILL ID: XX5331 CO: CITY OF CHAN</v>
      </c>
    </row>
    <row r="12498" spans="1:15" hidden="1">
      <c r="A12498">
        <v>202410</v>
      </c>
      <c r="B12498" s="6">
        <v>45587</v>
      </c>
      <c r="C12498" t="s">
        <v>2258</v>
      </c>
      <c r="D12498" t="s">
        <v>5882</v>
      </c>
      <c r="E12498">
        <v>34.49</v>
      </c>
      <c r="F12498" s="2" t="str">
        <f>IF(Table2[[#This Row],[Manual Cat Value]]="",VLOOKUP(Table2[[#This Row],[Description]],'Actuals Lookup'!D:F,3,0),VLOOKUP(Table2[[#This Row],[Manual Cat Value]],Lookup!A:B,2,0))</f>
        <v>Amazon</v>
      </c>
      <c r="H12498" s="8" t="s">
        <v>37</v>
      </c>
      <c r="I12498" s="8"/>
      <c r="O12498" t="str">
        <f>LEFT(Table2[[#This Row],[Description]],75)</f>
        <v>AMZN MKTP US*Y12FG8NZ3 AMZN.COM/BILLWA1CNAF40WFPA</v>
      </c>
    </row>
    <row r="12499" spans="1:15" hidden="1">
      <c r="A12499">
        <v>202410</v>
      </c>
      <c r="B12499" s="6">
        <v>45587</v>
      </c>
      <c r="C12499" t="s">
        <v>130</v>
      </c>
      <c r="D12499" t="s">
        <v>5883</v>
      </c>
      <c r="E12499">
        <v>10.85</v>
      </c>
      <c r="F12499" s="2" t="str">
        <f>IF(Table2[[#This Row],[Manual Cat Value]]="",VLOOKUP(Table2[[#This Row],[Description]],'Actuals Lookup'!D:F,3,0),VLOOKUP(Table2[[#This Row],[Manual Cat Value]],Lookup!A:B,2,0))</f>
        <v>Day Care</v>
      </c>
      <c r="H12499" s="8" t="s">
        <v>19</v>
      </c>
      <c r="I12499" s="8"/>
      <c r="O12499" t="str">
        <f>LEFT(Table2[[#This Row],[Description]],75)</f>
        <v>AplPay MCW 1602-MinnMINNETONKA          MN</v>
      </c>
    </row>
    <row r="12500" spans="1:15" hidden="1">
      <c r="A12500">
        <v>202410</v>
      </c>
      <c r="B12500" s="6">
        <v>45587</v>
      </c>
      <c r="C12500" t="s">
        <v>130</v>
      </c>
      <c r="D12500" t="s">
        <v>5884</v>
      </c>
      <c r="E12500">
        <v>61.04</v>
      </c>
      <c r="F12500" s="2" t="str">
        <f>IF(Table2[[#This Row],[Manual Cat Value]]="",VLOOKUP(Table2[[#This Row],[Description]],'Actuals Lookup'!D:F,3,0),VLOOKUP(Table2[[#This Row],[Manual Cat Value]],Lookup!A:B,2,0))</f>
        <v>Groceries</v>
      </c>
      <c r="H12500" s="8" t="s">
        <v>27</v>
      </c>
      <c r="I12500" s="8"/>
      <c r="O12500" t="str">
        <f>LEFT(Table2[[#This Row],[Description]],75)</f>
        <v>AplPay TRADER JOE S MINNETONKA          MN</v>
      </c>
    </row>
    <row r="12501" spans="1:15" hidden="1">
      <c r="A12501">
        <v>202410</v>
      </c>
      <c r="B12501" s="6">
        <v>45587</v>
      </c>
      <c r="C12501" t="s">
        <v>130</v>
      </c>
      <c r="D12501" t="s">
        <v>5885</v>
      </c>
      <c r="E12501">
        <v>19.78</v>
      </c>
      <c r="F12501" s="2" t="str">
        <f>IF(Table2[[#This Row],[Manual Cat Value]]="",VLOOKUP(Table2[[#This Row],[Description]],'Actuals Lookup'!D:F,3,0),VLOOKUP(Table2[[#This Row],[Manual Cat Value]],Lookup!A:B,2,0))</f>
        <v>Shopping</v>
      </c>
      <c r="H12501" s="8" t="s">
        <v>36</v>
      </c>
      <c r="I12501" s="8"/>
      <c r="O12501" t="str">
        <f>LEFT(Table2[[#This Row],[Description]],75)</f>
        <v>AplPay WWW.K-PHOTOGRWAYZATA             MN</v>
      </c>
    </row>
    <row r="12502" spans="1:15" hidden="1">
      <c r="A12502">
        <v>202405</v>
      </c>
      <c r="B12502" s="6">
        <v>45413</v>
      </c>
      <c r="C12502" t="s">
        <v>2519</v>
      </c>
      <c r="D12502" t="s">
        <v>4716</v>
      </c>
      <c r="E12502">
        <v>650</v>
      </c>
      <c r="F12502" s="2" t="str">
        <f>IF(Table2[[#This Row],[Manual Cat Value]]="",VLOOKUP(Table2[[#This Row],[Description]],'Actuals Lookup'!D:F,3,0),VLOOKUP(Table2[[#This Row],[Manual Cat Value]],Lookup!A:B,2,0))</f>
        <v>Delete</v>
      </c>
      <c r="H12502" s="8" t="s">
        <v>9</v>
      </c>
      <c r="I12502" s="8"/>
      <c r="O12502" t="str">
        <f>LEFT(Table2[[#This Row],[Description]],75)</f>
        <v>Transfer to College Station</v>
      </c>
    </row>
    <row r="12503" spans="1:15" hidden="1">
      <c r="A12503">
        <v>202410</v>
      </c>
      <c r="B12503" s="6">
        <v>45587</v>
      </c>
      <c r="C12503" t="s">
        <v>130</v>
      </c>
      <c r="D12503" t="s">
        <v>5886</v>
      </c>
      <c r="E12503">
        <v>35.07</v>
      </c>
      <c r="F12503" s="2" t="str">
        <f>IF(Table2[[#This Row],[Manual Cat Value]]="",VLOOKUP(Table2[[#This Row],[Description]],'Actuals Lookup'!D:F,3,0),VLOOKUP(Table2[[#This Row],[Manual Cat Value]],Lookup!A:B,2,0))</f>
        <v>Groceries</v>
      </c>
      <c r="H12503" s="8" t="s">
        <v>27</v>
      </c>
      <c r="I12503" s="8"/>
      <c r="O12503" t="str">
        <f>LEFT(Table2[[#This Row],[Description]],75)</f>
        <v>LUNDS&amp;BYERLYS CHANHACHANHASSEN          MN</v>
      </c>
    </row>
    <row r="12504" spans="1:15" hidden="1">
      <c r="A12504">
        <v>202410</v>
      </c>
      <c r="B12504" s="6">
        <v>45587</v>
      </c>
      <c r="C12504" t="s">
        <v>130</v>
      </c>
      <c r="D12504" t="s">
        <v>5886</v>
      </c>
      <c r="E12504">
        <v>36.57</v>
      </c>
      <c r="F12504" s="2" t="str">
        <f>IF(Table2[[#This Row],[Manual Cat Value]]="",VLOOKUP(Table2[[#This Row],[Description]],'Actuals Lookup'!D:F,3,0),VLOOKUP(Table2[[#This Row],[Manual Cat Value]],Lookup!A:B,2,0))</f>
        <v>Groceries</v>
      </c>
      <c r="H12504" s="8" t="s">
        <v>27</v>
      </c>
      <c r="I12504" s="8"/>
      <c r="O12504" t="str">
        <f>LEFT(Table2[[#This Row],[Description]],75)</f>
        <v>LUNDS&amp;BYERLYS CHANHACHANHASSEN          MN</v>
      </c>
    </row>
    <row r="12505" spans="1:15" hidden="1">
      <c r="A12505">
        <v>202410</v>
      </c>
      <c r="B12505" s="6">
        <v>45587</v>
      </c>
      <c r="C12505" t="s">
        <v>2519</v>
      </c>
      <c r="D12505" t="s">
        <v>5443</v>
      </c>
      <c r="E12505">
        <v>380</v>
      </c>
      <c r="F12505" s="2" t="str">
        <f>IF(Table2[[#This Row],[Manual Cat Value]]="",VLOOKUP(Table2[[#This Row],[Description]],'Actuals Lookup'!D:F,3,0),VLOOKUP(Table2[[#This Row],[Manual Cat Value]],Lookup!A:B,2,0))</f>
        <v>Day Care</v>
      </c>
      <c r="H12505" s="8" t="s">
        <v>19</v>
      </c>
      <c r="I12505" s="8"/>
      <c r="O12505" t="str">
        <f>LEFT(Table2[[#This Row],[Description]],75)</f>
        <v>Mis Amigos</v>
      </c>
    </row>
    <row r="12506" spans="1:15" hidden="1">
      <c r="A12506">
        <v>202410</v>
      </c>
      <c r="B12506" s="6">
        <v>45587</v>
      </c>
      <c r="C12506" t="s">
        <v>130</v>
      </c>
      <c r="D12506" t="s">
        <v>5887</v>
      </c>
      <c r="E12506">
        <v>78.87</v>
      </c>
      <c r="F12506" s="2" t="str">
        <f>IF(Table2[[#This Row],[Manual Cat Value]]="",VLOOKUP(Table2[[#This Row],[Description]],'Actuals Lookup'!D:F,3,0),VLOOKUP(Table2[[#This Row],[Manual Cat Value]],Lookup!A:B,2,0))</f>
        <v>Transportation</v>
      </c>
      <c r="H12506" s="8" t="s">
        <v>22</v>
      </c>
      <c r="I12506" s="8"/>
      <c r="O12506" t="str">
        <f>LEFT(Table2[[#This Row],[Description]],75)</f>
        <v>SPEEDWAY            1-800-643-1949      OH</v>
      </c>
    </row>
    <row r="12507" spans="1:15" hidden="1">
      <c r="A12507">
        <v>202410</v>
      </c>
      <c r="B12507" s="6">
        <v>45587</v>
      </c>
      <c r="C12507" t="s">
        <v>130</v>
      </c>
      <c r="D12507" t="s">
        <v>5888</v>
      </c>
      <c r="E12507">
        <v>23.77</v>
      </c>
      <c r="F12507" s="2" t="str">
        <f>IF(Table2[[#This Row],[Manual Cat Value]]="",VLOOKUP(Table2[[#This Row],[Description]],'Actuals Lookup'!D:F,3,0),VLOOKUP(Table2[[#This Row],[Manual Cat Value]],Lookup!A:B,2,0))</f>
        <v>Day Care</v>
      </c>
      <c r="H12507" s="8" t="s">
        <v>19</v>
      </c>
      <c r="I12507" s="8"/>
      <c r="O12507" t="str">
        <f>LEFT(Table2[[#This Row],[Description]],75)</f>
        <v>TREERING            SAN MATEO           CA</v>
      </c>
    </row>
    <row r="12508" spans="1:15" hidden="1">
      <c r="A12508">
        <v>202410</v>
      </c>
      <c r="B12508" s="6">
        <v>45587</v>
      </c>
      <c r="C12508" t="s">
        <v>130</v>
      </c>
      <c r="D12508" t="s">
        <v>5889</v>
      </c>
      <c r="E12508">
        <v>24.11</v>
      </c>
      <c r="F12508" s="2" t="str">
        <f>IF(Table2[[#This Row],[Manual Cat Value]]="",VLOOKUP(Table2[[#This Row],[Description]],'Actuals Lookup'!D:F,3,0),VLOOKUP(Table2[[#This Row],[Manual Cat Value]],Lookup!A:B,2,0))</f>
        <v>Restaurants</v>
      </c>
      <c r="H12508" s="8" t="s">
        <v>25</v>
      </c>
      <c r="I12508" s="8"/>
      <c r="O12508" t="str">
        <f>LEFT(Table2[[#This Row],[Description]],75)</f>
        <v>ZENFOLIO ONLINE PHOTREDWOOD CITY        CA</v>
      </c>
    </row>
    <row r="12509" spans="1:15" hidden="1">
      <c r="A12509">
        <v>202410</v>
      </c>
      <c r="B12509" s="6">
        <v>45588</v>
      </c>
      <c r="C12509" t="s">
        <v>130</v>
      </c>
      <c r="D12509" t="s">
        <v>5890</v>
      </c>
      <c r="E12509">
        <v>129</v>
      </c>
      <c r="F12509" s="2" t="str">
        <f>IF(Table2[[#This Row],[Manual Cat Value]]="",VLOOKUP(Table2[[#This Row],[Description]],'Actuals Lookup'!D:F,3,0),VLOOKUP(Table2[[#This Row],[Manual Cat Value]],Lookup!A:B,2,0))</f>
        <v>Day Care</v>
      </c>
      <c r="H12509" s="8" t="s">
        <v>19</v>
      </c>
      <c r="I12509" s="8"/>
      <c r="O12509" t="str">
        <f>LEFT(Table2[[#This Row],[Description]],75)</f>
        <v>BCS*MINNETONKA COMMUEXCELSIOR           MN</v>
      </c>
    </row>
    <row r="12510" spans="1:15" hidden="1">
      <c r="A12510">
        <v>202403</v>
      </c>
      <c r="B12510" s="6">
        <v>45377</v>
      </c>
      <c r="C12510" t="s">
        <v>2519</v>
      </c>
      <c r="D12510" t="s">
        <v>4404</v>
      </c>
      <c r="E12510">
        <v>800</v>
      </c>
      <c r="F12510" s="2" t="str">
        <f>IF(Table2[[#This Row],[Manual Cat Value]]="",VLOOKUP(Table2[[#This Row],[Description]],'Actuals Lookup'!D:F,3,0),VLOOKUP(Table2[[#This Row],[Manual Cat Value]],Lookup!A:B,2,0))</f>
        <v>Delete</v>
      </c>
      <c r="I12510" s="8"/>
      <c r="O12510" t="str">
        <f>LEFT(Table2[[#This Row],[Description]],75)</f>
        <v>Transfer to Discover Bank</v>
      </c>
    </row>
    <row r="12511" spans="1:15" hidden="1">
      <c r="A12511">
        <v>202410</v>
      </c>
      <c r="B12511" s="6">
        <v>45588</v>
      </c>
      <c r="C12511" t="s">
        <v>3938</v>
      </c>
      <c r="D12511" t="s">
        <v>5891</v>
      </c>
      <c r="E12511">
        <v>9.57</v>
      </c>
      <c r="F12511" s="2" t="str">
        <f>IF(Table2[[#This Row],[Manual Cat Value]]="",VLOOKUP(Table2[[#This Row],[Description]],'Actuals Lookup'!D:F,3,0),VLOOKUP(Table2[[#This Row],[Manual Cat Value]],Lookup!A:B,2,0))</f>
        <v>Restaurants</v>
      </c>
      <c r="H12511" s="8" t="s">
        <v>25</v>
      </c>
      <c r="I12511" s="8"/>
      <c r="O12511" t="str">
        <f>LEFT(Table2[[#This Row],[Description]],75)</f>
        <v>CHANHASSEN BREWING CO CHANHASSEN MN REF #XX7539MRS66H5RS2</v>
      </c>
    </row>
    <row r="12512" spans="1:15" hidden="1">
      <c r="A12512">
        <v>202410</v>
      </c>
      <c r="B12512" s="6">
        <v>45588</v>
      </c>
      <c r="C12512" t="s">
        <v>130</v>
      </c>
      <c r="D12512" t="s">
        <v>5892</v>
      </c>
      <c r="E12512">
        <v>320</v>
      </c>
      <c r="F12512" s="2" t="str">
        <f>IF(Table2[[#This Row],[Manual Cat Value]]="",VLOOKUP(Table2[[#This Row],[Description]],'Actuals Lookup'!D:F,3,0),VLOOKUP(Table2[[#This Row],[Manual Cat Value]],Lookup!A:B,2,0))</f>
        <v>Day Care</v>
      </c>
      <c r="H12512" s="8" t="s">
        <v>19</v>
      </c>
      <c r="I12512" s="8"/>
      <c r="O12512" t="str">
        <f>LEFT(Table2[[#This Row],[Description]],75)</f>
        <v>FOSS SWIM SCHOOL    EDEN PRAIRIE        MN</v>
      </c>
    </row>
    <row r="12513" spans="1:15" hidden="1">
      <c r="A12513">
        <v>202410</v>
      </c>
      <c r="B12513" s="6">
        <v>45588</v>
      </c>
      <c r="C12513" t="s">
        <v>130</v>
      </c>
      <c r="D12513" t="s">
        <v>5893</v>
      </c>
      <c r="E12513">
        <v>15.03</v>
      </c>
      <c r="F12513" s="2" t="str">
        <f>IF(Table2[[#This Row],[Manual Cat Value]]="",VLOOKUP(Table2[[#This Row],[Description]],'Actuals Lookup'!D:F,3,0),VLOOKUP(Table2[[#This Row],[Manual Cat Value]],Lookup!A:B,2,0))</f>
        <v>Restaurants</v>
      </c>
      <c r="H12513" s="8" t="s">
        <v>25</v>
      </c>
      <c r="I12513" s="8"/>
      <c r="O12513" t="str">
        <f>LEFT(Table2[[#This Row],[Description]],75)</f>
        <v>MCDONALD'S F23042 00WACONIA             MN</v>
      </c>
    </row>
    <row r="12514" spans="1:15" hidden="1">
      <c r="A12514">
        <v>202410</v>
      </c>
      <c r="B12514" s="6">
        <v>45588</v>
      </c>
      <c r="C12514" t="s">
        <v>130</v>
      </c>
      <c r="D12514" t="s">
        <v>5894</v>
      </c>
      <c r="E12514">
        <v>177.52</v>
      </c>
      <c r="F12514" s="2" t="str">
        <f>IF(Table2[[#This Row],[Manual Cat Value]]="",VLOOKUP(Table2[[#This Row],[Description]],'Actuals Lookup'!D:F,3,0),VLOOKUP(Table2[[#This Row],[Manual Cat Value]],Lookup!A:B,2,0))</f>
        <v>House Maintenance</v>
      </c>
      <c r="H12514" s="8" t="s">
        <v>1</v>
      </c>
      <c r="I12514" s="8"/>
      <c r="O12514" t="str">
        <f>LEFT(Table2[[#This Row],[Description]],75)</f>
        <v>PLUNKETTS PEST CONTRMINNEAPOLIS         MN</v>
      </c>
    </row>
    <row r="12515" spans="1:15" hidden="1">
      <c r="A12515">
        <v>202410</v>
      </c>
      <c r="B12515" s="6">
        <v>45589</v>
      </c>
      <c r="C12515" t="s">
        <v>2258</v>
      </c>
      <c r="D12515" t="s">
        <v>5895</v>
      </c>
      <c r="E12515">
        <v>13.99</v>
      </c>
      <c r="F12515" s="2" t="str">
        <f>IF(Table2[[#This Row],[Manual Cat Value]]="",VLOOKUP(Table2[[#This Row],[Description]],'Actuals Lookup'!D:F,3,0),VLOOKUP(Table2[[#This Row],[Manual Cat Value]],Lookup!A:B,2,0))</f>
        <v>Amazon</v>
      </c>
      <c r="H12515" s="8" t="s">
        <v>37</v>
      </c>
      <c r="I12515" s="8"/>
      <c r="O12515" t="str">
        <f>LEFT(Table2[[#This Row],[Description]],75)</f>
        <v>AMAZON MKTPL*PY77X54U3 AMZN.COM/BILLWA1VNLUXC01JB</v>
      </c>
    </row>
    <row r="12516" spans="1:15" hidden="1">
      <c r="A12516">
        <v>202410</v>
      </c>
      <c r="B12516" s="6">
        <v>45589</v>
      </c>
      <c r="C12516" t="s">
        <v>130</v>
      </c>
      <c r="D12516" t="s">
        <v>5847</v>
      </c>
      <c r="E12516">
        <v>120</v>
      </c>
      <c r="F12516" s="2" t="str">
        <f>IF(Table2[[#This Row],[Manual Cat Value]]="",VLOOKUP(Table2[[#This Row],[Description]],'Actuals Lookup'!D:F,3,0),VLOOKUP(Table2[[#This Row],[Manual Cat Value]],Lookup!A:B,2,0))</f>
        <v>Shopping</v>
      </c>
      <c r="H12516" s="8" t="s">
        <v>36</v>
      </c>
      <c r="I12516" s="8"/>
      <c r="O12516" t="str">
        <f>LEFT(Table2[[#This Row],[Description]],75)</f>
        <v>ANTHROPOLOGIE.COM   PHILADELPHIA        PA</v>
      </c>
    </row>
    <row r="12517" spans="1:15" hidden="1">
      <c r="A12517">
        <v>202410</v>
      </c>
      <c r="B12517" s="6">
        <v>45589</v>
      </c>
      <c r="C12517" t="s">
        <v>130</v>
      </c>
      <c r="D12517" t="s">
        <v>5896</v>
      </c>
      <c r="E12517">
        <v>100.5</v>
      </c>
      <c r="F12517" s="2" t="str">
        <f>IF(Table2[[#This Row],[Manual Cat Value]]="",VLOOKUP(Table2[[#This Row],[Description]],'Actuals Lookup'!D:F,3,0),VLOOKUP(Table2[[#This Row],[Manual Cat Value]],Lookup!A:B,2,0))</f>
        <v>Travel</v>
      </c>
      <c r="H12517" s="8" t="s">
        <v>52</v>
      </c>
      <c r="I12517" s="8"/>
      <c r="O12517" t="str">
        <f>LEFT(Table2[[#This Row],[Description]],75)</f>
        <v>AplPay AIRBNB * HMTPSAN FRANCISCO       CA</v>
      </c>
    </row>
    <row r="12518" spans="1:15" hidden="1">
      <c r="A12518">
        <v>202410</v>
      </c>
      <c r="B12518" s="6">
        <v>45589</v>
      </c>
      <c r="C12518" t="s">
        <v>130</v>
      </c>
      <c r="D12518" t="s">
        <v>5897</v>
      </c>
      <c r="E12518">
        <v>7.62</v>
      </c>
      <c r="F12518" s="2" t="str">
        <f>IF(Table2[[#This Row],[Manual Cat Value]]="",VLOOKUP(Table2[[#This Row],[Description]],'Actuals Lookup'!D:F,3,0),VLOOKUP(Table2[[#This Row],[Manual Cat Value]],Lookup!A:B,2,0))</f>
        <v>Restaurants</v>
      </c>
      <c r="H12518" s="8" t="s">
        <v>25</v>
      </c>
      <c r="I12518" s="8"/>
      <c r="O12518" t="str">
        <f>LEFT(Table2[[#This Row],[Description]],75)</f>
        <v>AplPay SUBWAY 71167 ST. BONIFACIUS      MN</v>
      </c>
    </row>
    <row r="12519" spans="1:15" hidden="1">
      <c r="A12519">
        <v>202410</v>
      </c>
      <c r="B12519" s="6">
        <v>45589</v>
      </c>
      <c r="C12519" t="s">
        <v>130</v>
      </c>
      <c r="D12519" t="s">
        <v>5897</v>
      </c>
      <c r="E12519">
        <v>15.24</v>
      </c>
      <c r="F12519" s="2" t="str">
        <f>IF(Table2[[#This Row],[Manual Cat Value]]="",VLOOKUP(Table2[[#This Row],[Description]],'Actuals Lookup'!D:F,3,0),VLOOKUP(Table2[[#This Row],[Manual Cat Value]],Lookup!A:B,2,0))</f>
        <v>Restaurants</v>
      </c>
      <c r="H12519" s="8" t="s">
        <v>25</v>
      </c>
      <c r="I12519" s="8"/>
      <c r="O12519" t="str">
        <f>LEFT(Table2[[#This Row],[Description]],75)</f>
        <v>AplPay SUBWAY 71167 ST. BONIFACIUS      MN</v>
      </c>
    </row>
    <row r="12520" spans="1:15" hidden="1">
      <c r="A12520">
        <v>202404</v>
      </c>
      <c r="B12520" s="6">
        <v>45408</v>
      </c>
      <c r="C12520" t="s">
        <v>2519</v>
      </c>
      <c r="D12520" t="s">
        <v>4404</v>
      </c>
      <c r="E12520">
        <v>800</v>
      </c>
      <c r="F12520" s="2" t="str">
        <f>IF(Table2[[#This Row],[Manual Cat Value]]="",VLOOKUP(Table2[[#This Row],[Description]],'Actuals Lookup'!D:F,3,0),VLOOKUP(Table2[[#This Row],[Manual Cat Value]],Lookup!A:B,2,0))</f>
        <v>Delete</v>
      </c>
      <c r="I12520" s="8"/>
      <c r="O12520" t="str">
        <f>LEFT(Table2[[#This Row],[Description]],75)</f>
        <v>Transfer to Discover Bank</v>
      </c>
    </row>
    <row r="12521" spans="1:15" hidden="1">
      <c r="A12521">
        <v>202410</v>
      </c>
      <c r="B12521" s="6">
        <v>45589</v>
      </c>
      <c r="C12521" t="s">
        <v>130</v>
      </c>
      <c r="D12521" t="s">
        <v>5898</v>
      </c>
      <c r="E12521">
        <v>45.84</v>
      </c>
      <c r="F12521" s="2" t="str">
        <f>IF(Table2[[#This Row],[Manual Cat Value]]="",VLOOKUP(Table2[[#This Row],[Description]],'Actuals Lookup'!D:F,3,0),VLOOKUP(Table2[[#This Row],[Manual Cat Value]],Lookup!A:B,2,0))</f>
        <v>Groceries</v>
      </c>
      <c r="H12521" s="8" t="s">
        <v>27</v>
      </c>
      <c r="I12521" s="8"/>
      <c r="O12521" t="str">
        <f>LEFT(Table2[[#This Row],[Description]],75)</f>
        <v>LAKESHORE MARKET &amp; MEXCELSIOR           MN</v>
      </c>
    </row>
    <row r="12522" spans="1:15" hidden="1">
      <c r="A12522">
        <v>202410</v>
      </c>
      <c r="B12522" s="6">
        <v>45589</v>
      </c>
      <c r="C12522" t="s">
        <v>2519</v>
      </c>
      <c r="D12522" t="s">
        <v>4523</v>
      </c>
      <c r="E12522">
        <v>118.96</v>
      </c>
      <c r="F12522" s="2" t="str">
        <f>IF(Table2[[#This Row],[Manual Cat Value]]="",VLOOKUP(Table2[[#This Row],[Description]],'Actuals Lookup'!D:F,3,0),VLOOKUP(Table2[[#This Row],[Manual Cat Value]],Lookup!A:B,2,0))</f>
        <v>Shopping</v>
      </c>
      <c r="H12522" s="8" t="s">
        <v>36</v>
      </c>
      <c r="I12522" s="8"/>
      <c r="O12522" t="str">
        <f>LEFT(Table2[[#This Row],[Description]],75)</f>
        <v>Payment to Barclaycard US</v>
      </c>
    </row>
    <row r="12523" spans="1:15" hidden="1">
      <c r="A12523">
        <v>202410</v>
      </c>
      <c r="B12523" s="6">
        <v>45589</v>
      </c>
      <c r="C12523" t="s">
        <v>130</v>
      </c>
      <c r="D12523" t="s">
        <v>5795</v>
      </c>
      <c r="E12523">
        <v>58.33</v>
      </c>
      <c r="F12523" s="2" t="str">
        <f>IF(Table2[[#This Row],[Manual Cat Value]]="",VLOOKUP(Table2[[#This Row],[Description]],'Actuals Lookup'!D:F,3,0),VLOOKUP(Table2[[#This Row],[Manual Cat Value]],Lookup!A:B,2,0))</f>
        <v>House Maintenance</v>
      </c>
      <c r="H12523" s="8" t="s">
        <v>1</v>
      </c>
      <c r="I12523" s="8"/>
      <c r="O12523" t="str">
        <f>LEFT(Table2[[#This Row],[Description]],75)</f>
        <v>SLACK T074985K686   SAN FRANCISCO       CA</v>
      </c>
    </row>
    <row r="12524" spans="1:15" hidden="1">
      <c r="A12524">
        <v>202410</v>
      </c>
      <c r="B12524" s="6">
        <v>45589</v>
      </c>
      <c r="C12524" t="s">
        <v>130</v>
      </c>
      <c r="D12524" t="s">
        <v>5899</v>
      </c>
      <c r="E12524">
        <v>279.3</v>
      </c>
      <c r="F12524" s="2" t="str">
        <f>IF(Table2[[#This Row],[Manual Cat Value]]="",VLOOKUP(Table2[[#This Row],[Description]],'Actuals Lookup'!D:F,3,0),VLOOKUP(Table2[[#This Row],[Manual Cat Value]],Lookup!A:B,2,0))</f>
        <v>Restaurants</v>
      </c>
      <c r="H12524" s="8" t="s">
        <v>25</v>
      </c>
      <c r="I12524" s="8"/>
      <c r="O12524" t="str">
        <f>LEFT(Table2[[#This Row],[Description]],75)</f>
        <v>TST* DARIO RESTAURANMINNEAPOLIS         MN</v>
      </c>
    </row>
    <row r="12525" spans="1:15" hidden="1">
      <c r="A12525">
        <v>202410</v>
      </c>
      <c r="B12525" s="6">
        <v>45589</v>
      </c>
      <c r="C12525" t="s">
        <v>2519</v>
      </c>
      <c r="D12525" t="s">
        <v>5303</v>
      </c>
      <c r="E12525">
        <v>100</v>
      </c>
      <c r="F12525" s="2" t="str">
        <f>IF(Table2[[#This Row],[Manual Cat Value]]="",VLOOKUP(Table2[[#This Row],[Description]],'Actuals Lookup'!D:F,3,0),VLOOKUP(Table2[[#This Row],[Manual Cat Value]],Lookup!A:B,2,0))</f>
        <v>Travel</v>
      </c>
      <c r="H12525" s="8" t="s">
        <v>52</v>
      </c>
      <c r="I12525" s="8"/>
      <c r="O12525" t="str">
        <f>LEFT(Table2[[#This Row],[Description]],75)</f>
        <v>U.s. Passports</v>
      </c>
    </row>
    <row r="12526" spans="1:15" hidden="1">
      <c r="A12526">
        <v>202410</v>
      </c>
      <c r="B12526" s="6">
        <v>45590</v>
      </c>
      <c r="C12526" t="s">
        <v>3938</v>
      </c>
      <c r="D12526" t="s">
        <v>38</v>
      </c>
      <c r="E12526">
        <v>48.6</v>
      </c>
      <c r="F12526" s="2" t="str">
        <f>IF(Table2[[#This Row],[Manual Cat Value]]="",VLOOKUP(Table2[[#This Row],[Description]],'Actuals Lookup'!D:F,3,0),VLOOKUP(Table2[[#This Row],[Manual Cat Value]],Lookup!A:B,2,0))</f>
        <v>Amazon</v>
      </c>
      <c r="H12526" s="8" t="s">
        <v>37</v>
      </c>
      <c r="I12526" s="8"/>
      <c r="O12526" t="str">
        <f>LEFT(Table2[[#This Row],[Description]],75)</f>
        <v>Amazon</v>
      </c>
    </row>
    <row r="12527" spans="1:15" hidden="1">
      <c r="A12527">
        <v>202410</v>
      </c>
      <c r="B12527" s="6">
        <v>45590</v>
      </c>
      <c r="C12527" t="s">
        <v>130</v>
      </c>
      <c r="D12527" t="s">
        <v>5759</v>
      </c>
      <c r="E12527">
        <v>143.79</v>
      </c>
      <c r="F12527" s="2" t="str">
        <f>IF(Table2[[#This Row],[Manual Cat Value]]="",VLOOKUP(Table2[[#This Row],[Description]],'Actuals Lookup'!D:F,3,0),VLOOKUP(Table2[[#This Row],[Manual Cat Value]],Lookup!A:B,2,0))</f>
        <v>Groceries</v>
      </c>
      <c r="H12527" s="8" t="s">
        <v>27</v>
      </c>
      <c r="I12527" s="8"/>
      <c r="O12527" t="str">
        <f>LEFT(Table2[[#This Row],[Description]],75)</f>
        <v>HOME CHEF           CHICAGO             IL</v>
      </c>
    </row>
    <row r="12528" spans="1:15" hidden="1">
      <c r="A12528">
        <v>202410</v>
      </c>
      <c r="B12528" s="6">
        <v>45590</v>
      </c>
      <c r="C12528" t="s">
        <v>130</v>
      </c>
      <c r="D12528" t="s">
        <v>5843</v>
      </c>
      <c r="E12528">
        <v>-47.29</v>
      </c>
      <c r="F12528" s="2" t="str">
        <f>IF(Table2[[#This Row],[Manual Cat Value]]="",VLOOKUP(Table2[[#This Row],[Description]],'Actuals Lookup'!D:F,3,0),VLOOKUP(Table2[[#This Row],[Manual Cat Value]],Lookup!A:B,2,0))</f>
        <v>Shopping</v>
      </c>
      <c r="H12528" s="8" t="s">
        <v>36</v>
      </c>
      <c r="I12528" s="8"/>
      <c r="O12528" t="str">
        <f>LEFT(Table2[[#This Row],[Description]],75)</f>
        <v>J CREW FACTORY #1006SAINT LOUIS P       MN</v>
      </c>
    </row>
    <row r="12529" spans="1:15" hidden="1">
      <c r="A12529">
        <v>202405</v>
      </c>
      <c r="B12529" s="6">
        <v>45440</v>
      </c>
      <c r="C12529" t="s">
        <v>2519</v>
      </c>
      <c r="D12529" t="s">
        <v>4404</v>
      </c>
      <c r="E12529">
        <v>800</v>
      </c>
      <c r="F12529" s="2" t="str">
        <f>IF(Table2[[#This Row],[Manual Cat Value]]="",VLOOKUP(Table2[[#This Row],[Description]],'Actuals Lookup'!D:F,3,0),VLOOKUP(Table2[[#This Row],[Manual Cat Value]],Lookup!A:B,2,0))</f>
        <v>Delete</v>
      </c>
      <c r="I12529" s="8"/>
      <c r="O12529" t="str">
        <f>LEFT(Table2[[#This Row],[Description]],75)</f>
        <v>Transfer to Discover Bank</v>
      </c>
    </row>
    <row r="12530" spans="1:15" hidden="1">
      <c r="A12530">
        <v>202410</v>
      </c>
      <c r="B12530" s="6">
        <v>45591</v>
      </c>
      <c r="C12530" t="s">
        <v>130</v>
      </c>
      <c r="D12530" t="s">
        <v>5847</v>
      </c>
      <c r="E12530">
        <v>-474</v>
      </c>
      <c r="F12530" s="2" t="str">
        <f>IF(Table2[[#This Row],[Manual Cat Value]]="",VLOOKUP(Table2[[#This Row],[Description]],'Actuals Lookup'!D:F,3,0),VLOOKUP(Table2[[#This Row],[Manual Cat Value]],Lookup!A:B,2,0))</f>
        <v>Shopping</v>
      </c>
      <c r="H12530" s="8" t="s">
        <v>36</v>
      </c>
      <c r="I12530" s="8"/>
      <c r="O12530" t="str">
        <f>LEFT(Table2[[#This Row],[Description]],75)</f>
        <v>ANTHROPOLOGIE.COM   PHILADELPHIA        PA</v>
      </c>
    </row>
    <row r="12531" spans="1:15" hidden="1">
      <c r="A12531">
        <v>202410</v>
      </c>
      <c r="B12531" s="6">
        <v>45591</v>
      </c>
      <c r="C12531" t="s">
        <v>130</v>
      </c>
      <c r="D12531" t="s">
        <v>5847</v>
      </c>
      <c r="E12531">
        <v>-306</v>
      </c>
      <c r="F12531" s="2" t="str">
        <f>IF(Table2[[#This Row],[Manual Cat Value]]="",VLOOKUP(Table2[[#This Row],[Description]],'Actuals Lookup'!D:F,3,0),VLOOKUP(Table2[[#This Row],[Manual Cat Value]],Lookup!A:B,2,0))</f>
        <v>Shopping</v>
      </c>
      <c r="H12531" s="8" t="s">
        <v>36</v>
      </c>
      <c r="I12531" s="8"/>
      <c r="O12531" t="str">
        <f>LEFT(Table2[[#This Row],[Description]],75)</f>
        <v>ANTHROPOLOGIE.COM   PHILADELPHIA        PA</v>
      </c>
    </row>
    <row r="12532" spans="1:15" hidden="1">
      <c r="A12532">
        <v>202410</v>
      </c>
      <c r="B12532" s="6">
        <v>45591</v>
      </c>
      <c r="C12532" t="s">
        <v>130</v>
      </c>
      <c r="D12532" t="s">
        <v>5847</v>
      </c>
      <c r="E12532">
        <v>-168</v>
      </c>
      <c r="F12532" s="2" t="str">
        <f>IF(Table2[[#This Row],[Manual Cat Value]]="",VLOOKUP(Table2[[#This Row],[Description]],'Actuals Lookup'!D:F,3,0),VLOOKUP(Table2[[#This Row],[Manual Cat Value]],Lookup!A:B,2,0))</f>
        <v>Shopping</v>
      </c>
      <c r="H12532" s="8" t="s">
        <v>36</v>
      </c>
      <c r="I12532" s="8"/>
      <c r="O12532" t="str">
        <f>LEFT(Table2[[#This Row],[Description]],75)</f>
        <v>ANTHROPOLOGIE.COM   PHILADELPHIA        PA</v>
      </c>
    </row>
    <row r="12533" spans="1:15" hidden="1">
      <c r="A12533">
        <v>202410</v>
      </c>
      <c r="B12533" s="6">
        <v>45591</v>
      </c>
      <c r="C12533" t="s">
        <v>130</v>
      </c>
      <c r="D12533" t="s">
        <v>5847</v>
      </c>
      <c r="E12533">
        <v>-130</v>
      </c>
      <c r="F12533" s="2" t="str">
        <f>IF(Table2[[#This Row],[Manual Cat Value]]="",VLOOKUP(Table2[[#This Row],[Description]],'Actuals Lookup'!D:F,3,0),VLOOKUP(Table2[[#This Row],[Manual Cat Value]],Lookup!A:B,2,0))</f>
        <v>Shopping</v>
      </c>
      <c r="H12533" s="8" t="s">
        <v>36</v>
      </c>
      <c r="I12533" s="8"/>
      <c r="O12533" t="str">
        <f>LEFT(Table2[[#This Row],[Description]],75)</f>
        <v>ANTHROPOLOGIE.COM   PHILADELPHIA        PA</v>
      </c>
    </row>
    <row r="12534" spans="1:15" hidden="1">
      <c r="A12534">
        <v>202410</v>
      </c>
      <c r="B12534" s="6">
        <v>45591</v>
      </c>
      <c r="C12534" t="s">
        <v>130</v>
      </c>
      <c r="D12534" t="s">
        <v>5722</v>
      </c>
      <c r="E12534">
        <v>561.82000000000005</v>
      </c>
      <c r="F12534" s="2" t="str">
        <f>IF(Table2[[#This Row],[Manual Cat Value]]="",VLOOKUP(Table2[[#This Row],[Description]],'Actuals Lookup'!D:F,3,0),VLOOKUP(Table2[[#This Row],[Manual Cat Value]],Lookup!A:B,2,0))</f>
        <v>Shopping</v>
      </c>
      <c r="H12534" s="8" t="s">
        <v>36</v>
      </c>
      <c r="I12534" s="8"/>
      <c r="O12534" t="str">
        <f>LEFT(Table2[[#This Row],[Description]],75)</f>
        <v>AplPay ANTHROPOLOGIEMAPLE GROVE         MN</v>
      </c>
    </row>
    <row r="12535" spans="1:15" hidden="1">
      <c r="A12535">
        <v>202410</v>
      </c>
      <c r="B12535" s="6">
        <v>45591</v>
      </c>
      <c r="C12535" t="s">
        <v>130</v>
      </c>
      <c r="D12535" t="s">
        <v>5742</v>
      </c>
      <c r="E12535">
        <v>55.75</v>
      </c>
      <c r="F12535" s="2" t="str">
        <f>IF(Table2[[#This Row],[Manual Cat Value]]="",VLOOKUP(Table2[[#This Row],[Description]],'Actuals Lookup'!D:F,3,0),VLOOKUP(Table2[[#This Row],[Manual Cat Value]],Lookup!A:B,2,0))</f>
        <v>Restaurants</v>
      </c>
      <c r="H12535" s="8" t="s">
        <v>25</v>
      </c>
      <c r="I12535" s="8"/>
      <c r="O12535" t="str">
        <f>LEFT(Table2[[#This Row],[Description]],75)</f>
        <v>TST* MAYNARDS INSIDEEXCELSIOR           MN</v>
      </c>
    </row>
    <row r="12536" spans="1:15" hidden="1">
      <c r="A12536">
        <v>202410</v>
      </c>
      <c r="B12536" s="6">
        <v>45592</v>
      </c>
      <c r="C12536" t="s">
        <v>3938</v>
      </c>
      <c r="D12536" t="s">
        <v>113</v>
      </c>
      <c r="E12536">
        <v>-31.99</v>
      </c>
      <c r="F12536" s="2" t="str">
        <f>IF(Table2[[#This Row],[Manual Cat Value]]="",VLOOKUP(Table2[[#This Row],[Description]],'Actuals Lookup'!D:F,3,0),VLOOKUP(Table2[[#This Row],[Manual Cat Value]],Lookup!A:B,2,0))</f>
        <v>Amazon</v>
      </c>
      <c r="H12536" s="8" t="s">
        <v>37</v>
      </c>
      <c r="I12536" s="8"/>
      <c r="O12536" t="str">
        <f>LEFT(Table2[[#This Row],[Description]],75)</f>
        <v>Amazon Marketplace</v>
      </c>
    </row>
    <row r="12537" spans="1:15" hidden="1">
      <c r="A12537">
        <v>202406</v>
      </c>
      <c r="B12537" s="6">
        <v>45469</v>
      </c>
      <c r="C12537" t="s">
        <v>2519</v>
      </c>
      <c r="D12537" t="s">
        <v>4404</v>
      </c>
      <c r="E12537">
        <v>800</v>
      </c>
      <c r="F12537" s="2" t="str">
        <f>IF(Table2[[#This Row],[Manual Cat Value]]="",VLOOKUP(Table2[[#This Row],[Description]],'Actuals Lookup'!D:F,3,0),VLOOKUP(Table2[[#This Row],[Manual Cat Value]],Lookup!A:B,2,0))</f>
        <v>Delete</v>
      </c>
      <c r="I12537" s="8"/>
      <c r="O12537" t="str">
        <f>LEFT(Table2[[#This Row],[Description]],75)</f>
        <v>Transfer to Discover Bank</v>
      </c>
    </row>
    <row r="12538" spans="1:15" hidden="1">
      <c r="A12538">
        <v>202410</v>
      </c>
      <c r="B12538" s="6">
        <v>45592</v>
      </c>
      <c r="C12538" t="s">
        <v>130</v>
      </c>
      <c r="D12538" t="s">
        <v>5900</v>
      </c>
      <c r="E12538">
        <v>108.5</v>
      </c>
      <c r="F12538" s="2" t="str">
        <f>IF(Table2[[#This Row],[Manual Cat Value]]="",VLOOKUP(Table2[[#This Row],[Description]],'Actuals Lookup'!D:F,3,0),VLOOKUP(Table2[[#This Row],[Manual Cat Value]],Lookup!A:B,2,0))</f>
        <v>Shopping</v>
      </c>
      <c r="H12538" s="8" t="s">
        <v>36</v>
      </c>
      <c r="I12538" s="8"/>
      <c r="O12538" t="str">
        <f>LEFT(Table2[[#This Row],[Description]],75)</f>
        <v>SP FREEFLYAPPAREL   CHARLESTON          SC</v>
      </c>
    </row>
    <row r="12539" spans="1:15" hidden="1">
      <c r="A12539">
        <v>202410</v>
      </c>
      <c r="B12539" s="6">
        <v>45592</v>
      </c>
      <c r="C12539" t="s">
        <v>130</v>
      </c>
      <c r="D12539" t="s">
        <v>5901</v>
      </c>
      <c r="E12539">
        <v>194.48</v>
      </c>
      <c r="F12539" s="2" t="str">
        <f>IF(Table2[[#This Row],[Manual Cat Value]]="",VLOOKUP(Table2[[#This Row],[Description]],'Actuals Lookup'!D:F,3,0),VLOOKUP(Table2[[#This Row],[Manual Cat Value]],Lookup!A:B,2,0))</f>
        <v>Shopping</v>
      </c>
      <c r="H12539" s="8" t="s">
        <v>36</v>
      </c>
      <c r="I12539" s="8"/>
      <c r="O12539" t="str">
        <f>LEFT(Table2[[#This Row],[Description]],75)</f>
        <v>SP THURSDAY BOOT COMNEW YORK            NY</v>
      </c>
    </row>
    <row r="12540" spans="1:15" hidden="1">
      <c r="A12540">
        <v>202410</v>
      </c>
      <c r="B12540" s="6">
        <v>45592</v>
      </c>
      <c r="C12540" t="s">
        <v>130</v>
      </c>
      <c r="D12540" t="s">
        <v>5902</v>
      </c>
      <c r="E12540">
        <v>119.21</v>
      </c>
      <c r="F12540" s="2" t="str">
        <f>IF(Table2[[#This Row],[Manual Cat Value]]="",VLOOKUP(Table2[[#This Row],[Description]],'Actuals Lookup'!D:F,3,0),VLOOKUP(Table2[[#This Row],[Manual Cat Value]],Lookup!A:B,2,0))</f>
        <v>Entertainment</v>
      </c>
      <c r="H12540" s="8" t="s">
        <v>39</v>
      </c>
      <c r="I12540" s="8"/>
      <c r="O12540" t="str">
        <f>LEFT(Table2[[#This Row],[Description]],75)</f>
        <v>WWW.STONEBROOKE.COM SHAKOPEE            MN</v>
      </c>
    </row>
    <row r="12541" spans="1:15" hidden="1">
      <c r="A12541">
        <v>202410</v>
      </c>
      <c r="B12541" s="6">
        <v>45593</v>
      </c>
      <c r="C12541" t="s">
        <v>3938</v>
      </c>
      <c r="D12541" t="s">
        <v>5903</v>
      </c>
      <c r="E12541">
        <v>18.41</v>
      </c>
      <c r="F12541" s="2" t="str">
        <f>IF(Table2[[#This Row],[Manual Cat Value]]="",VLOOKUP(Table2[[#This Row],[Description]],'Actuals Lookup'!D:F,3,0),VLOOKUP(Table2[[#This Row],[Manual Cat Value]],Lookup!A:B,2,0))</f>
        <v>Amazon</v>
      </c>
      <c r="H12541" s="8" t="s">
        <v>37</v>
      </c>
      <c r="I12541" s="8"/>
      <c r="O12541" t="str">
        <f>LEFT(Table2[[#This Row],[Description]],75)</f>
        <v>AMAZON MARK* G53WA7YH3 HTTPSAMAZON.CWA REF #XX1134MY001QK6G0</v>
      </c>
    </row>
    <row r="12542" spans="1:15" hidden="1">
      <c r="A12542">
        <v>202407</v>
      </c>
      <c r="B12542" s="6">
        <v>45499</v>
      </c>
      <c r="C12542" t="s">
        <v>2519</v>
      </c>
      <c r="D12542" t="s">
        <v>4404</v>
      </c>
      <c r="E12542">
        <v>800</v>
      </c>
      <c r="F12542" s="2" t="str">
        <f>IF(Table2[[#This Row],[Manual Cat Value]]="",VLOOKUP(Table2[[#This Row],[Description]],'Actuals Lookup'!D:F,3,0),VLOOKUP(Table2[[#This Row],[Manual Cat Value]],Lookup!A:B,2,0))</f>
        <v>Delete</v>
      </c>
      <c r="I12542" s="8"/>
      <c r="O12542" t="str">
        <f>LEFT(Table2[[#This Row],[Description]],75)</f>
        <v>Transfer to Discover Bank</v>
      </c>
    </row>
    <row r="12543" spans="1:15" hidden="1">
      <c r="A12543">
        <v>202410</v>
      </c>
      <c r="B12543" s="6">
        <v>45593</v>
      </c>
      <c r="C12543" t="s">
        <v>2519</v>
      </c>
      <c r="D12543" t="s">
        <v>4356</v>
      </c>
      <c r="E12543">
        <v>52.91</v>
      </c>
      <c r="F12543" s="2" t="str">
        <f>IF(Table2[[#This Row],[Manual Cat Value]]="",VLOOKUP(Table2[[#This Row],[Description]],'Actuals Lookup'!D:F,3,0),VLOOKUP(Table2[[#This Row],[Manual Cat Value]],Lookup!A:B,2,0))</f>
        <v>Insurance</v>
      </c>
      <c r="H12543" s="8" t="s">
        <v>17</v>
      </c>
      <c r="I12543" s="8"/>
      <c r="O12543" t="str">
        <f>LEFT(Table2[[#This Row],[Description]],75)</f>
        <v>Payment to American Family Insurance</v>
      </c>
    </row>
    <row r="12544" spans="1:15" hidden="1">
      <c r="A12544">
        <v>202410</v>
      </c>
      <c r="B12544" s="6">
        <v>45593</v>
      </c>
      <c r="C12544" t="s">
        <v>2519</v>
      </c>
      <c r="D12544" t="s">
        <v>4415</v>
      </c>
      <c r="E12544">
        <v>596.59</v>
      </c>
      <c r="F12544" s="2" t="str">
        <f>IF(Table2[[#This Row],[Manual Cat Value]]="",VLOOKUP(Table2[[#This Row],[Description]],'Actuals Lookup'!D:F,3,0),VLOOKUP(Table2[[#This Row],[Manual Cat Value]],Lookup!A:B,2,0))</f>
        <v>Target</v>
      </c>
      <c r="H12544" s="8" t="s">
        <v>30</v>
      </c>
      <c r="I12544" s="8"/>
      <c r="O12544" t="str">
        <f>LEFT(Table2[[#This Row],[Description]],75)</f>
        <v>Payment to Jeffrey B</v>
      </c>
    </row>
    <row r="12545" spans="1:15" hidden="1">
      <c r="A12545">
        <v>202410</v>
      </c>
      <c r="B12545" s="6">
        <v>45593</v>
      </c>
      <c r="C12545" t="s">
        <v>2519</v>
      </c>
      <c r="D12545" t="s">
        <v>4404</v>
      </c>
      <c r="E12545">
        <v>800</v>
      </c>
      <c r="F12545" s="2" t="str">
        <f>IF(Table2[[#This Row],[Manual Cat Value]]="",VLOOKUP(Table2[[#This Row],[Description]],'Actuals Lookup'!D:F,3,0),VLOOKUP(Table2[[#This Row],[Manual Cat Value]],Lookup!A:B,2,0))</f>
        <v>Savings</v>
      </c>
      <c r="H12545" s="8" t="s">
        <v>58</v>
      </c>
      <c r="I12545" s="8"/>
      <c r="O12545" t="str">
        <f>LEFT(Table2[[#This Row],[Description]],75)</f>
        <v>Transfer to Discover Bank</v>
      </c>
    </row>
    <row r="12546" spans="1:15" hidden="1">
      <c r="A12546">
        <v>202410</v>
      </c>
      <c r="B12546" s="6">
        <v>45593</v>
      </c>
      <c r="C12546" t="s">
        <v>2519</v>
      </c>
      <c r="D12546" t="s">
        <v>1955</v>
      </c>
      <c r="E12546">
        <v>0.99</v>
      </c>
      <c r="F12546" s="2" t="str">
        <f>IF(Table2[[#This Row],[Manual Cat Value]]="",VLOOKUP(Table2[[#This Row],[Description]],'Actuals Lookup'!D:F,3,0),VLOOKUP(Table2[[#This Row],[Manual Cat Value]],Lookup!A:B,2,0))</f>
        <v>Shopping</v>
      </c>
      <c r="H12546" s="8" t="s">
        <v>36</v>
      </c>
      <c r="I12546" s="8"/>
      <c r="O12546" t="str">
        <f>LEFT(Table2[[#This Row],[Description]],75)</f>
        <v>Transfer to PayPal</v>
      </c>
    </row>
    <row r="12547" spans="1:15" hidden="1">
      <c r="A12547">
        <v>202410</v>
      </c>
      <c r="B12547" s="6">
        <v>45593</v>
      </c>
      <c r="C12547" t="s">
        <v>2519</v>
      </c>
      <c r="D12547" t="s">
        <v>1955</v>
      </c>
      <c r="E12547">
        <v>43.35</v>
      </c>
      <c r="F12547" s="2" t="str">
        <f>IF(Table2[[#This Row],[Manual Cat Value]]="",VLOOKUP(Table2[[#This Row],[Description]],'Actuals Lookup'!D:F,3,0),VLOOKUP(Table2[[#This Row],[Manual Cat Value]],Lookup!A:B,2,0))</f>
        <v>Shopping</v>
      </c>
      <c r="H12547" s="8" t="s">
        <v>36</v>
      </c>
      <c r="I12547" s="8"/>
      <c r="O12547" t="str">
        <f>LEFT(Table2[[#This Row],[Description]],75)</f>
        <v>Transfer to PayPal</v>
      </c>
    </row>
    <row r="12548" spans="1:15" hidden="1">
      <c r="A12548">
        <v>202410</v>
      </c>
      <c r="B12548" s="6">
        <v>45594</v>
      </c>
      <c r="C12548" t="s">
        <v>130</v>
      </c>
      <c r="D12548" t="s">
        <v>5904</v>
      </c>
      <c r="E12548">
        <v>58.03</v>
      </c>
      <c r="F12548" s="2" t="str">
        <f>IF(Table2[[#This Row],[Manual Cat Value]]="",VLOOKUP(Table2[[#This Row],[Description]],'Actuals Lookup'!D:F,3,0),VLOOKUP(Table2[[#This Row],[Manual Cat Value]],Lookup!A:B,2,0))</f>
        <v>Entertainment</v>
      </c>
      <c r="H12548" s="8" t="s">
        <v>39</v>
      </c>
      <c r="I12548" s="8"/>
      <c r="O12548" t="str">
        <f>LEFT(Table2[[#This Row],[Description]],75)</f>
        <v>AplPay PARTY CITY BO800-727-8924        NJ</v>
      </c>
    </row>
    <row r="12549" spans="1:15" hidden="1">
      <c r="A12549">
        <v>202410</v>
      </c>
      <c r="B12549" s="6">
        <v>45594</v>
      </c>
      <c r="C12549" t="s">
        <v>3938</v>
      </c>
      <c r="D12549" t="s">
        <v>5905</v>
      </c>
      <c r="E12549">
        <v>26.79</v>
      </c>
      <c r="F12549" s="2" t="str">
        <f>IF(Table2[[#This Row],[Manual Cat Value]]="",VLOOKUP(Table2[[#This Row],[Description]],'Actuals Lookup'!D:F,3,0),VLOOKUP(Table2[[#This Row],[Manual Cat Value]],Lookup!A:B,2,0))</f>
        <v>Entertainment</v>
      </c>
      <c r="H12549" s="8" t="s">
        <v>39</v>
      </c>
      <c r="I12549" s="8"/>
      <c r="O12549" t="str">
        <f>LEFT(Table2[[#This Row],[Description]],75)</f>
        <v>HUNTERCOURSE.COM XX-2628 CD REF #XX0340MZ34E5WN9M</v>
      </c>
    </row>
    <row r="12550" spans="1:15" hidden="1">
      <c r="A12550">
        <v>202410</v>
      </c>
      <c r="B12550" s="6">
        <v>45594</v>
      </c>
      <c r="C12550" t="s">
        <v>2519</v>
      </c>
      <c r="D12550" t="s">
        <v>5443</v>
      </c>
      <c r="E12550">
        <v>380</v>
      </c>
      <c r="F12550" s="2" t="str">
        <f>IF(Table2[[#This Row],[Manual Cat Value]]="",VLOOKUP(Table2[[#This Row],[Description]],'Actuals Lookup'!D:F,3,0),VLOOKUP(Table2[[#This Row],[Manual Cat Value]],Lookup!A:B,2,0))</f>
        <v>Day Care</v>
      </c>
      <c r="H12550" s="8" t="s">
        <v>19</v>
      </c>
      <c r="I12550" s="8"/>
      <c r="O12550" t="str">
        <f>LEFT(Table2[[#This Row],[Description]],75)</f>
        <v>Mis Amigos</v>
      </c>
    </row>
    <row r="12551" spans="1:15" hidden="1">
      <c r="A12551">
        <v>202410</v>
      </c>
      <c r="B12551" s="6">
        <v>45595</v>
      </c>
      <c r="C12551" t="s">
        <v>3938</v>
      </c>
      <c r="D12551" t="s">
        <v>5906</v>
      </c>
      <c r="E12551">
        <v>9.74</v>
      </c>
      <c r="F12551" s="2" t="str">
        <f>IF(Table2[[#This Row],[Manual Cat Value]]="",VLOOKUP(Table2[[#This Row],[Description]],'Actuals Lookup'!D:F,3,0),VLOOKUP(Table2[[#This Row],[Manual Cat Value]],Lookup!A:B,2,0))</f>
        <v>Amazon</v>
      </c>
      <c r="H12551" s="8" t="s">
        <v>37</v>
      </c>
      <c r="I12551" s="8"/>
      <c r="O12551" t="str">
        <f>LEFT(Table2[[#This Row],[Description]],75)</f>
        <v>AMAZON MARK* PA9Y29VO3 HTTPSAMAZON.CWA REF #XX1134MZx0343DFV</v>
      </c>
    </row>
    <row r="12552" spans="1:15" hidden="1">
      <c r="A12552">
        <v>202410</v>
      </c>
      <c r="B12552" s="6">
        <v>45595</v>
      </c>
      <c r="C12552" t="s">
        <v>3938</v>
      </c>
      <c r="D12552" t="s">
        <v>5907</v>
      </c>
      <c r="E12552">
        <v>7.53</v>
      </c>
      <c r="F12552" s="2" t="str">
        <f>IF(Table2[[#This Row],[Manual Cat Value]]="",VLOOKUP(Table2[[#This Row],[Description]],'Actuals Lookup'!D:F,3,0),VLOOKUP(Table2[[#This Row],[Manual Cat Value]],Lookup!A:B,2,0))</f>
        <v>Amazon</v>
      </c>
      <c r="H12552" s="8" t="s">
        <v>37</v>
      </c>
      <c r="I12552" s="8"/>
      <c r="O12552" t="str">
        <f>LEFT(Table2[[#This Row],[Description]],75)</f>
        <v>AMAZON RETA* KD20Z1BM3 WWW.AMAZON.COWA REF #XX1134MZ0039E606</v>
      </c>
    </row>
    <row r="12553" spans="1:15" hidden="1">
      <c r="A12553">
        <v>202410</v>
      </c>
      <c r="B12553" s="6">
        <v>45595</v>
      </c>
      <c r="C12553" t="s">
        <v>130</v>
      </c>
      <c r="D12553" t="s">
        <v>5908</v>
      </c>
      <c r="E12553">
        <v>79.92</v>
      </c>
      <c r="F12553" s="2" t="str">
        <f>IF(Table2[[#This Row],[Manual Cat Value]]="",VLOOKUP(Table2[[#This Row],[Description]],'Actuals Lookup'!D:F,3,0),VLOOKUP(Table2[[#This Row],[Manual Cat Value]],Lookup!A:B,2,0))</f>
        <v>Groceries</v>
      </c>
      <c r="H12553" s="8" t="s">
        <v>27</v>
      </c>
      <c r="I12553" s="8"/>
      <c r="O12553" t="str">
        <f>LEFT(Table2[[#This Row],[Description]],75)</f>
        <v>AplPay TRADER JOE S BLOOMINGTON         MN</v>
      </c>
    </row>
    <row r="12554" spans="1:15" hidden="1">
      <c r="A12554">
        <v>202410</v>
      </c>
      <c r="B12554" s="6">
        <v>45595</v>
      </c>
      <c r="C12554" t="s">
        <v>2519</v>
      </c>
      <c r="D12554" t="s">
        <v>4343</v>
      </c>
      <c r="E12554">
        <v>-3295.11</v>
      </c>
      <c r="F12554" s="2" t="str">
        <f>IF(Table2[[#This Row],[Manual Cat Value]]="",VLOOKUP(Table2[[#This Row],[Description]],'Actuals Lookup'!D:F,3,0),VLOOKUP(Table2[[#This Row],[Manual Cat Value]],Lookup!A:B,2,0))</f>
        <v>Jeff</v>
      </c>
      <c r="H12554" s="8" t="s">
        <v>63</v>
      </c>
      <c r="I12554" s="8"/>
      <c r="O12554" t="str">
        <f>LEFT(Table2[[#This Row],[Description]],75)</f>
        <v>Salary/Regular Income from TriNet</v>
      </c>
    </row>
    <row r="12555" spans="1:15" hidden="1">
      <c r="A12555">
        <v>202410</v>
      </c>
      <c r="B12555" s="6">
        <v>45595</v>
      </c>
      <c r="C12555" t="s">
        <v>130</v>
      </c>
      <c r="D12555" t="s">
        <v>5901</v>
      </c>
      <c r="E12555">
        <v>380.5</v>
      </c>
      <c r="F12555" s="2" t="str">
        <f>IF(Table2[[#This Row],[Manual Cat Value]]="",VLOOKUP(Table2[[#This Row],[Description]],'Actuals Lookup'!D:F,3,0),VLOOKUP(Table2[[#This Row],[Manual Cat Value]],Lookup!A:B,2,0))</f>
        <v>Shopping</v>
      </c>
      <c r="H12555" s="8" t="s">
        <v>36</v>
      </c>
      <c r="I12555" s="8"/>
      <c r="O12555" t="str">
        <f>LEFT(Table2[[#This Row],[Description]],75)</f>
        <v>SP THURSDAY BOOT COMNEW YORK            NY</v>
      </c>
    </row>
    <row r="12556" spans="1:15" hidden="1">
      <c r="A12556">
        <v>202410</v>
      </c>
      <c r="B12556" s="6">
        <v>45595</v>
      </c>
      <c r="C12556" t="s">
        <v>130</v>
      </c>
      <c r="D12556" t="s">
        <v>5909</v>
      </c>
      <c r="E12556">
        <v>50.44</v>
      </c>
      <c r="F12556" s="2" t="str">
        <f>IF(Table2[[#This Row],[Manual Cat Value]]="",VLOOKUP(Table2[[#This Row],[Description]],'Actuals Lookup'!D:F,3,0),VLOOKUP(Table2[[#This Row],[Manual Cat Value]],Lookup!A:B,2,0))</f>
        <v>Groceries</v>
      </c>
      <c r="H12556" s="8" t="s">
        <v>27</v>
      </c>
      <c r="I12556" s="8"/>
      <c r="O12556" t="str">
        <f>LEFT(Table2[[#This Row],[Description]],75)</f>
        <v>TOTAL WINE AND MORE BLOOMINGTON         MN</v>
      </c>
    </row>
    <row r="12557" spans="1:15" hidden="1">
      <c r="A12557">
        <v>202408</v>
      </c>
      <c r="B12557" s="6">
        <v>45530</v>
      </c>
      <c r="C12557" t="s">
        <v>2519</v>
      </c>
      <c r="D12557" t="s">
        <v>4404</v>
      </c>
      <c r="E12557">
        <v>800</v>
      </c>
      <c r="F12557" s="2" t="str">
        <f>IF(Table2[[#This Row],[Manual Cat Value]]="",VLOOKUP(Table2[[#This Row],[Description]],'Actuals Lookup'!D:F,3,0),VLOOKUP(Table2[[#This Row],[Manual Cat Value]],Lookup!A:B,2,0))</f>
        <v>Delete</v>
      </c>
      <c r="I12557" s="8"/>
      <c r="O12557" t="str">
        <f>LEFT(Table2[[#This Row],[Description]],75)</f>
        <v>Transfer to Discover Bank</v>
      </c>
    </row>
    <row r="12558" spans="1:15" hidden="1">
      <c r="A12558">
        <v>202411</v>
      </c>
      <c r="B12558" s="6">
        <v>45622</v>
      </c>
      <c r="C12558" t="s">
        <v>2519</v>
      </c>
      <c r="D12558" t="s">
        <v>4404</v>
      </c>
      <c r="E12558">
        <v>800</v>
      </c>
      <c r="F12558" s="2" t="str">
        <f>IF(Table2[[#This Row],[Manual Cat Value]]="",VLOOKUP(Table2[[#This Row],[Description]],'Actuals Lookup'!D:F,3,0),VLOOKUP(Table2[[#This Row],[Manual Cat Value]],Lookup!A:B,2,0))</f>
        <v>Delete</v>
      </c>
      <c r="I12558" s="8"/>
      <c r="O12558" t="str">
        <f>LEFT(Table2[[#This Row],[Description]],75)</f>
        <v>Transfer to Discover Bank</v>
      </c>
    </row>
    <row r="12559" spans="1:15" hidden="1">
      <c r="A12559">
        <v>202410</v>
      </c>
      <c r="B12559" s="6">
        <v>45596</v>
      </c>
      <c r="C12559" t="s">
        <v>2519</v>
      </c>
      <c r="D12559" t="s">
        <v>5148</v>
      </c>
      <c r="E12559">
        <v>183.92</v>
      </c>
      <c r="F12559" s="2" t="str">
        <f>IF(Table2[[#This Row],[Manual Cat Value]]="",VLOOKUP(Table2[[#This Row],[Description]],'Actuals Lookup'!D:F,3,0),VLOOKUP(Table2[[#This Row],[Manual Cat Value]],Lookup!A:B,2,0))</f>
        <v>Utilities</v>
      </c>
      <c r="H12559" s="8" t="s">
        <v>6</v>
      </c>
      <c r="I12559" s="8"/>
      <c r="O12559" t="str">
        <f>LEFT(Table2[[#This Row],[Description]],75)</f>
        <v>Payment to AT&amp;T</v>
      </c>
    </row>
    <row r="12560" spans="1:15" hidden="1">
      <c r="A12560">
        <v>202411</v>
      </c>
      <c r="B12560" s="6">
        <v>45597</v>
      </c>
      <c r="C12560" t="s">
        <v>3938</v>
      </c>
      <c r="D12560" t="s">
        <v>5910</v>
      </c>
      <c r="E12560">
        <v>6.49</v>
      </c>
      <c r="F12560" s="2" t="str">
        <f>IF(Table2[[#This Row],[Manual Cat Value]]="",VLOOKUP(Table2[[#This Row],[Description]],'Actuals Lookup'!D:F,3,0),VLOOKUP(Table2[[#This Row],[Manual Cat Value]],Lookup!A:B,2,0))</f>
        <v>Amazon</v>
      </c>
      <c r="H12560" s="8" t="s">
        <v>37</v>
      </c>
      <c r="I12560" s="8"/>
      <c r="O12560" t="str">
        <f>LEFT(Table2[[#This Row],[Description]],75)</f>
        <v>Amazon Music*MU7NH23I3 XX-3080 WA REF #XX9216N22XF9X72Q</v>
      </c>
    </row>
    <row r="12561" spans="1:15" hidden="1">
      <c r="A12561">
        <v>202411</v>
      </c>
      <c r="B12561" s="6">
        <v>45597</v>
      </c>
      <c r="C12561" t="s">
        <v>2519</v>
      </c>
      <c r="D12561" t="s">
        <v>1460</v>
      </c>
      <c r="E12561">
        <v>2745.43</v>
      </c>
      <c r="F12561" s="2" t="str">
        <f>IF(Table2[[#This Row],[Manual Cat Value]]="",VLOOKUP(Table2[[#This Row],[Description]],'Actuals Lookup'!D:F,3,0),VLOOKUP(Table2[[#This Row],[Manual Cat Value]],Lookup!A:B,2,0))</f>
        <v>Rent</v>
      </c>
      <c r="I12561" s="8"/>
      <c r="O12561" t="str">
        <f>LEFT(Table2[[#This Row],[Description]],75)</f>
        <v>Payment to Baxter Credit Union</v>
      </c>
    </row>
    <row r="12562" spans="1:15" hidden="1">
      <c r="A12562">
        <v>202411</v>
      </c>
      <c r="B12562" s="6">
        <v>45597</v>
      </c>
      <c r="C12562" t="s">
        <v>3938</v>
      </c>
      <c r="D12562" t="s">
        <v>5911</v>
      </c>
      <c r="E12562">
        <v>7.5</v>
      </c>
      <c r="F12562" s="2" t="str">
        <f>IF(Table2[[#This Row],[Manual Cat Value]]="",VLOOKUP(Table2[[#This Row],[Description]],'Actuals Lookup'!D:F,3,0),VLOOKUP(Table2[[#This Row],[Manual Cat Value]],Lookup!A:B,2,0))</f>
        <v>Entertainment</v>
      </c>
      <c r="H12562" t="s">
        <v>39</v>
      </c>
      <c r="I12562" s="8"/>
      <c r="O12562" t="str">
        <f>LEFT(Table2[[#This Row],[Description]],75)</f>
        <v>RAO MNHUNTFISH VEHICLE DNR.STATE.MN.MN REF #XX9216N136A5R64K</v>
      </c>
    </row>
    <row r="12563" spans="1:15" hidden="1">
      <c r="A12563">
        <v>202412</v>
      </c>
      <c r="B12563" s="6">
        <v>45652</v>
      </c>
      <c r="C12563" t="s">
        <v>2519</v>
      </c>
      <c r="D12563" t="s">
        <v>4404</v>
      </c>
      <c r="E12563">
        <v>800</v>
      </c>
      <c r="F12563" s="2" t="str">
        <f>IF(Table2[[#This Row],[Manual Cat Value]]="",VLOOKUP(Table2[[#This Row],[Description]],'Actuals Lookup'!D:F,3,0),VLOOKUP(Table2[[#This Row],[Manual Cat Value]],Lookup!A:B,2,0))</f>
        <v>Delete</v>
      </c>
      <c r="I12563" s="8"/>
      <c r="O12563" t="str">
        <f>LEFT(Table2[[#This Row],[Description]],75)</f>
        <v>Transfer to Discover Bank</v>
      </c>
    </row>
    <row r="12564" spans="1:15" hidden="1">
      <c r="A12564" s="25">
        <v>202406</v>
      </c>
      <c r="B12564" s="6">
        <v>45460</v>
      </c>
      <c r="C12564" t="s">
        <v>5160</v>
      </c>
      <c r="D12564" t="s">
        <v>5912</v>
      </c>
      <c r="E12564">
        <v>80.400000000000006</v>
      </c>
      <c r="F12564" s="2" t="str">
        <f>IF(Table2[[#This Row],[Manual Cat Value]]="",VLOOKUP(Table2[[#This Row],[Description]],'Actuals Lookup'!D:F,3,0),VLOOKUP(Table2[[#This Row],[Manual Cat Value]],Lookup!A:B,2,0))</f>
        <v>Delete</v>
      </c>
      <c r="G12564" t="s">
        <v>5500</v>
      </c>
      <c r="H12564" s="8" t="s">
        <v>9</v>
      </c>
      <c r="I12564" s="8"/>
      <c r="O12564" t="str">
        <f>LEFT(Table2[[#This Row],[Description]],75)</f>
        <v>Transportation Plus</v>
      </c>
    </row>
    <row r="12565" spans="1:15" hidden="1">
      <c r="A12565" s="25">
        <v>202407</v>
      </c>
      <c r="B12565" s="6">
        <v>45496</v>
      </c>
      <c r="C12565" t="s">
        <v>5160</v>
      </c>
      <c r="D12565" t="s">
        <v>5912</v>
      </c>
      <c r="E12565">
        <v>77.05</v>
      </c>
      <c r="F12565" s="2" t="str">
        <f>IF(Table2[[#This Row],[Manual Cat Value]]="",VLOOKUP(Table2[[#This Row],[Description]],'Actuals Lookup'!D:F,3,0),VLOOKUP(Table2[[#This Row],[Manual Cat Value]],Lookup!A:B,2,0))</f>
        <v>Delete</v>
      </c>
      <c r="G12565" t="s">
        <v>5500</v>
      </c>
      <c r="H12565" s="8" t="s">
        <v>9</v>
      </c>
      <c r="I12565" s="8"/>
      <c r="O12565" t="str">
        <f>LEFT(Table2[[#This Row],[Description]],75)</f>
        <v>Transportation Plus</v>
      </c>
    </row>
    <row r="12566" spans="1:15" hidden="1">
      <c r="A12566">
        <v>202411</v>
      </c>
      <c r="B12566" s="6">
        <v>45599</v>
      </c>
      <c r="C12566" t="s">
        <v>2258</v>
      </c>
      <c r="D12566" t="s">
        <v>5913</v>
      </c>
      <c r="E12566">
        <v>16.100000000000001</v>
      </c>
      <c r="F12566" s="2" t="str">
        <f>IF(Table2[[#This Row],[Manual Cat Value]]="",VLOOKUP(Table2[[#This Row],[Description]],'Actuals Lookup'!D:F,3,0),VLOOKUP(Table2[[#This Row],[Manual Cat Value]],Lookup!A:B,2,0))</f>
        <v>Amazon</v>
      </c>
      <c r="H12566" s="8" t="s">
        <v>37</v>
      </c>
      <c r="I12566" s="8"/>
      <c r="O12566" t="str">
        <f>LEFT(Table2[[#This Row],[Description]],75)</f>
        <v>AMAZON.COM*ZJ85D67B3 AMZN.COM/BILLWA6FE7LPYY4MK</v>
      </c>
    </row>
    <row r="12567" spans="1:15" hidden="1">
      <c r="A12567">
        <v>202411</v>
      </c>
      <c r="B12567" s="6">
        <v>45599</v>
      </c>
      <c r="C12567" t="s">
        <v>130</v>
      </c>
      <c r="D12567" t="s">
        <v>5914</v>
      </c>
      <c r="E12567">
        <v>20</v>
      </c>
      <c r="F12567" s="2" t="str">
        <f>IF(Table2[[#This Row],[Manual Cat Value]]="",VLOOKUP(Table2[[#This Row],[Description]],'Actuals Lookup'!D:F,3,0),VLOOKUP(Table2[[#This Row],[Manual Cat Value]],Lookup!A:B,2,0))</f>
        <v>Entertainment</v>
      </c>
      <c r="H12567" s="8" t="s">
        <v>39</v>
      </c>
      <c r="I12567" s="8"/>
      <c r="O12567" t="str">
        <f>LEFT(Table2[[#This Row],[Description]],75)</f>
        <v>AplPay CITY OF EDINAEDINA               MN</v>
      </c>
    </row>
    <row r="12568" spans="1:15" hidden="1">
      <c r="A12568">
        <v>202411</v>
      </c>
      <c r="B12568" s="6">
        <v>45600</v>
      </c>
      <c r="C12568" t="s">
        <v>3938</v>
      </c>
      <c r="D12568" t="s">
        <v>5915</v>
      </c>
      <c r="E12568">
        <v>26.58</v>
      </c>
      <c r="F12568" s="2" t="str">
        <f>IF(Table2[[#This Row],[Manual Cat Value]]="",VLOOKUP(Table2[[#This Row],[Description]],'Actuals Lookup'!D:F,3,0),VLOOKUP(Table2[[#This Row],[Manual Cat Value]],Lookup!A:B,2,0))</f>
        <v>Amazon</v>
      </c>
      <c r="H12568" s="8" t="s">
        <v>37</v>
      </c>
      <c r="I12568" s="8"/>
      <c r="O12568" t="str">
        <f>LEFT(Table2[[#This Row],[Description]],75)</f>
        <v>AMAZON MARK* 8L1KF2GX3 HTTPSAMAZON.CWA REF #XX1134N5001EE79D</v>
      </c>
    </row>
    <row r="12569" spans="1:15" hidden="1">
      <c r="A12569">
        <v>202411</v>
      </c>
      <c r="B12569" s="6">
        <v>45600</v>
      </c>
      <c r="C12569" t="s">
        <v>3938</v>
      </c>
      <c r="D12569" t="s">
        <v>5916</v>
      </c>
      <c r="E12569">
        <v>45</v>
      </c>
      <c r="F12569" s="2" t="str">
        <f>IF(Table2[[#This Row],[Manual Cat Value]]="",VLOOKUP(Table2[[#This Row],[Description]],'Actuals Lookup'!D:F,3,0),VLOOKUP(Table2[[#This Row],[Manual Cat Value]],Lookup!A:B,2,0))</f>
        <v>Amazon</v>
      </c>
      <c r="H12569" s="8" t="s">
        <v>37</v>
      </c>
      <c r="I12569" s="8"/>
      <c r="O12569" t="str">
        <f>LEFT(Table2[[#This Row],[Description]],75)</f>
        <v>AMAZON MARK* UP7TF5HU3 HTTPSAMAZON.CWA REF #XX1134N4002Z8LAN</v>
      </c>
    </row>
    <row r="12570" spans="1:15" hidden="1">
      <c r="A12570" s="25">
        <v>202407</v>
      </c>
      <c r="B12570" s="6">
        <v>45496</v>
      </c>
      <c r="C12570" t="s">
        <v>5160</v>
      </c>
      <c r="D12570" t="s">
        <v>5912</v>
      </c>
      <c r="E12570">
        <v>77.05</v>
      </c>
      <c r="F12570" s="2" t="str">
        <f>IF(Table2[[#This Row],[Manual Cat Value]]="",VLOOKUP(Table2[[#This Row],[Description]],'Actuals Lookup'!D:F,3,0),VLOOKUP(Table2[[#This Row],[Manual Cat Value]],Lookup!A:B,2,0))</f>
        <v>Delete</v>
      </c>
      <c r="G12570" t="s">
        <v>5500</v>
      </c>
      <c r="H12570" s="8" t="s">
        <v>9</v>
      </c>
      <c r="I12570" s="8"/>
      <c r="O12570" t="str">
        <f>LEFT(Table2[[#This Row],[Description]],75)</f>
        <v>Transportation Plus</v>
      </c>
    </row>
    <row r="12571" spans="1:15" hidden="1">
      <c r="A12571">
        <v>202411</v>
      </c>
      <c r="B12571" s="6">
        <v>45600</v>
      </c>
      <c r="C12571" t="s">
        <v>2519</v>
      </c>
      <c r="D12571" t="s">
        <v>1470</v>
      </c>
      <c r="E12571">
        <v>182.39</v>
      </c>
      <c r="F12571" s="2" t="str">
        <f>IF(Table2[[#This Row],[Manual Cat Value]]="",VLOOKUP(Table2[[#This Row],[Description]],'Actuals Lookup'!D:F,3,0),VLOOKUP(Table2[[#This Row],[Manual Cat Value]],Lookup!A:B,2,0))</f>
        <v>Utilities</v>
      </c>
      <c r="I12571" s="8"/>
      <c r="O12571" t="str">
        <f>LEFT(Table2[[#This Row],[Description]],75)</f>
        <v>Payment to Xcel Energy</v>
      </c>
    </row>
    <row r="12572" spans="1:15" hidden="1">
      <c r="A12572">
        <v>202411</v>
      </c>
      <c r="B12572" s="6">
        <v>45600</v>
      </c>
      <c r="C12572" t="s">
        <v>130</v>
      </c>
      <c r="D12572" t="s">
        <v>5917</v>
      </c>
      <c r="E12572">
        <v>-151.71</v>
      </c>
      <c r="F12572" s="2" t="str">
        <f>IF(Table2[[#This Row],[Manual Cat Value]]="",VLOOKUP(Table2[[#This Row],[Description]],'Actuals Lookup'!D:F,3,0),VLOOKUP(Table2[[#This Row],[Manual Cat Value]],Lookup!A:B,2,0))</f>
        <v>Shopping</v>
      </c>
      <c r="H12572" t="s">
        <v>36</v>
      </c>
      <c r="I12572" s="8"/>
      <c r="O12572" t="str">
        <f>LEFT(Table2[[#This Row],[Description]],75)</f>
        <v>SCHEELS ALL SPORTS  FARGO               ND</v>
      </c>
    </row>
    <row r="12573" spans="1:15" hidden="1">
      <c r="A12573">
        <v>202411</v>
      </c>
      <c r="B12573" s="6">
        <v>45600</v>
      </c>
      <c r="C12573" t="s">
        <v>2519</v>
      </c>
      <c r="D12573" t="s">
        <v>1958</v>
      </c>
      <c r="E12573">
        <v>1053</v>
      </c>
      <c r="F12573" s="2" t="str">
        <f>IF(Table2[[#This Row],[Manual Cat Value]]="",VLOOKUP(Table2[[#This Row],[Description]],'Actuals Lookup'!D:F,3,0),VLOOKUP(Table2[[#This Row],[Manual Cat Value]],Lookup!A:B,2,0))</f>
        <v>Travel</v>
      </c>
      <c r="H12573" s="8" t="s">
        <v>52</v>
      </c>
      <c r="I12573" s="8"/>
      <c r="O12573" t="str">
        <f>LEFT(Table2[[#This Row],[Description]],75)</f>
        <v>Transfer to Venmo</v>
      </c>
    </row>
    <row r="12574" spans="1:15" hidden="1">
      <c r="A12574">
        <v>202411</v>
      </c>
      <c r="B12574" s="6">
        <v>45601</v>
      </c>
      <c r="C12574" t="s">
        <v>2258</v>
      </c>
      <c r="D12574" t="s">
        <v>5918</v>
      </c>
      <c r="E12574">
        <v>56.84</v>
      </c>
      <c r="F12574" s="2" t="str">
        <f>IF(Table2[[#This Row],[Manual Cat Value]]="",VLOOKUP(Table2[[#This Row],[Description]],'Actuals Lookup'!D:F,3,0),VLOOKUP(Table2[[#This Row],[Manual Cat Value]],Lookup!A:B,2,0))</f>
        <v>Amazon</v>
      </c>
      <c r="H12574" s="8" t="s">
        <v>37</v>
      </c>
      <c r="I12574" s="8"/>
      <c r="O12574" t="str">
        <f>LEFT(Table2[[#This Row],[Description]],75)</f>
        <v>AMAZON.COM*4264P8A43 AMZN.COM/BILLWA7CWK26998EJ</v>
      </c>
    </row>
    <row r="12575" spans="1:15" hidden="1">
      <c r="A12575" s="25">
        <v>202408</v>
      </c>
      <c r="B12575" s="6">
        <v>45522</v>
      </c>
      <c r="C12575" t="s">
        <v>5160</v>
      </c>
      <c r="D12575" t="s">
        <v>5912</v>
      </c>
      <c r="E12575">
        <v>85.1</v>
      </c>
      <c r="F12575" s="2" t="str">
        <f>IF(Table2[[#This Row],[Manual Cat Value]]="",VLOOKUP(Table2[[#This Row],[Description]],'Actuals Lookup'!D:F,3,0),VLOOKUP(Table2[[#This Row],[Manual Cat Value]],Lookup!A:B,2,0))</f>
        <v>Delete</v>
      </c>
      <c r="G12575" t="s">
        <v>5500</v>
      </c>
      <c r="H12575" t="s">
        <v>9</v>
      </c>
      <c r="I12575" s="8"/>
      <c r="O12575" t="str">
        <f>LEFT(Table2[[#This Row],[Description]],75)</f>
        <v>Transportation Plus</v>
      </c>
    </row>
    <row r="12576" spans="1:15" hidden="1">
      <c r="A12576">
        <v>202411</v>
      </c>
      <c r="B12576" s="6">
        <v>45601</v>
      </c>
      <c r="C12576" t="s">
        <v>2281</v>
      </c>
      <c r="D12576" t="s">
        <v>14</v>
      </c>
      <c r="E12576">
        <f>125*2</f>
        <v>250</v>
      </c>
      <c r="F12576" s="2" t="str">
        <f>IF(Table2[[#This Row],[Manual Cat Value]]="",VLOOKUP(Table2[[#This Row],[Description]],'Actuals Lookup'!D:F,3,0),VLOOKUP(Table2[[#This Row],[Manual Cat Value]],Lookup!A:B,2,0))</f>
        <v>Cleaning</v>
      </c>
      <c r="H12576" s="8" t="s">
        <v>13</v>
      </c>
      <c r="I12576" s="8"/>
      <c r="O12576" t="str">
        <f>LEFT(Table2[[#This Row],[Description]],75)</f>
        <v>Cleaning</v>
      </c>
    </row>
    <row r="12577" spans="1:15" hidden="1">
      <c r="A12577">
        <v>202409</v>
      </c>
      <c r="B12577" s="6">
        <v>45544</v>
      </c>
      <c r="C12577" t="s">
        <v>5919</v>
      </c>
      <c r="D12577" t="s">
        <v>5920</v>
      </c>
      <c r="E12577">
        <v>77.05</v>
      </c>
      <c r="F12577" s="2" t="str">
        <f>IF(Table2[[#This Row],[Manual Cat Value]]="",VLOOKUP(Table2[[#This Row],[Description]],'Actuals Lookup'!D:F,3,0),VLOOKUP(Table2[[#This Row],[Manual Cat Value]],Lookup!A:B,2,0))</f>
        <v>Delete</v>
      </c>
      <c r="H12577" s="8" t="s">
        <v>9</v>
      </c>
      <c r="I12577" s="8"/>
      <c r="O12577" t="str">
        <f>LEFT(Table2[[#This Row],[Description]],75)</f>
        <v>TRANSPORTATION PLUS NEW HOPE            MN</v>
      </c>
    </row>
    <row r="12578" spans="1:15" hidden="1">
      <c r="A12578">
        <v>202411</v>
      </c>
      <c r="B12578" s="6">
        <v>45601</v>
      </c>
      <c r="C12578" t="s">
        <v>2519</v>
      </c>
      <c r="D12578" t="s">
        <v>5443</v>
      </c>
      <c r="E12578">
        <v>380</v>
      </c>
      <c r="F12578" s="2" t="str">
        <f>IF(Table2[[#This Row],[Manual Cat Value]]="",VLOOKUP(Table2[[#This Row],[Description]],'Actuals Lookup'!D:F,3,0),VLOOKUP(Table2[[#This Row],[Manual Cat Value]],Lookup!A:B,2,0))</f>
        <v>Day Care</v>
      </c>
      <c r="H12578" t="s">
        <v>19</v>
      </c>
      <c r="I12578" s="8"/>
      <c r="O12578" t="str">
        <f>LEFT(Table2[[#This Row],[Description]],75)</f>
        <v>Mis Amigos</v>
      </c>
    </row>
    <row r="12579" spans="1:15" hidden="1">
      <c r="A12579">
        <v>202411</v>
      </c>
      <c r="B12579" s="6">
        <v>45602</v>
      </c>
      <c r="C12579" t="s">
        <v>2258</v>
      </c>
      <c r="D12579" t="s">
        <v>5921</v>
      </c>
      <c r="E12579">
        <v>37.76</v>
      </c>
      <c r="F12579" s="2" t="str">
        <f>IF(Table2[[#This Row],[Manual Cat Value]]="",VLOOKUP(Table2[[#This Row],[Description]],'Actuals Lookup'!D:F,3,0),VLOOKUP(Table2[[#This Row],[Manual Cat Value]],Lookup!A:B,2,0))</f>
        <v>Amazon</v>
      </c>
      <c r="H12579" s="8" t="s">
        <v>37</v>
      </c>
      <c r="I12579" s="8"/>
      <c r="O12579" t="str">
        <f>LEFT(Table2[[#This Row],[Description]],75)</f>
        <v>AMAZON MKTPL*6Q1X73Q43 AMZN.COM/BILLWA1V91KDHTP9K</v>
      </c>
    </row>
    <row r="12580" spans="1:15" hidden="1">
      <c r="A12580">
        <v>202411</v>
      </c>
      <c r="B12580" s="6">
        <v>45602</v>
      </c>
      <c r="C12580" t="s">
        <v>2258</v>
      </c>
      <c r="D12580" t="s">
        <v>5922</v>
      </c>
      <c r="E12580">
        <v>26</v>
      </c>
      <c r="F12580" s="2" t="str">
        <f>IF(Table2[[#This Row],[Manual Cat Value]]="",VLOOKUP(Table2[[#This Row],[Description]],'Actuals Lookup'!D:F,3,0),VLOOKUP(Table2[[#This Row],[Manual Cat Value]],Lookup!A:B,2,0))</f>
        <v>Amazon</v>
      </c>
      <c r="H12580" s="8" t="s">
        <v>37</v>
      </c>
      <c r="I12580" s="8"/>
      <c r="O12580" t="str">
        <f>LEFT(Table2[[#This Row],[Description]],75)</f>
        <v>AMAZON.COM*N35Y88E23 AMZN.COM/BILLWA72Z9BXMQUGP</v>
      </c>
    </row>
    <row r="12581" spans="1:15" hidden="1">
      <c r="A12581">
        <v>202411</v>
      </c>
      <c r="B12581" s="6">
        <v>45602</v>
      </c>
      <c r="C12581" t="s">
        <v>2258</v>
      </c>
      <c r="D12581" t="s">
        <v>5923</v>
      </c>
      <c r="E12581">
        <v>64.760000000000005</v>
      </c>
      <c r="F12581" s="2" t="str">
        <f>IF(Table2[[#This Row],[Manual Cat Value]]="",VLOOKUP(Table2[[#This Row],[Description]],'Actuals Lookup'!D:F,3,0),VLOOKUP(Table2[[#This Row],[Manual Cat Value]],Lookup!A:B,2,0))</f>
        <v>Amazon</v>
      </c>
      <c r="H12581" s="8" t="s">
        <v>37</v>
      </c>
      <c r="I12581" s="8"/>
      <c r="O12581" t="str">
        <f>LEFT(Table2[[#This Row],[Description]],75)</f>
        <v>AMZN MKTP US*JH60H9LP3 AMZN.COM/BILLWA4S4VHXQWOJT</v>
      </c>
    </row>
    <row r="12582" spans="1:15" hidden="1">
      <c r="A12582">
        <v>202411</v>
      </c>
      <c r="B12582" s="6">
        <v>45602</v>
      </c>
      <c r="C12582" t="s">
        <v>130</v>
      </c>
      <c r="D12582" t="s">
        <v>5924</v>
      </c>
      <c r="E12582">
        <v>11</v>
      </c>
      <c r="F12582" s="2" t="str">
        <f>IF(Table2[[#This Row],[Manual Cat Value]]="",VLOOKUP(Table2[[#This Row],[Description]],'Actuals Lookup'!D:F,3,0),VLOOKUP(Table2[[#This Row],[Manual Cat Value]],Lookup!A:B,2,0))</f>
        <v>Transportation</v>
      </c>
      <c r="H12582" t="s">
        <v>22</v>
      </c>
      <c r="I12582" s="8"/>
      <c r="O12582" t="str">
        <f>LEFT(Table2[[#This Row],[Description]],75)</f>
        <v>AplPay SP FMSCMARKETCOON RAPIDS         MN</v>
      </c>
    </row>
    <row r="12583" spans="1:15" hidden="1">
      <c r="A12583">
        <v>202411</v>
      </c>
      <c r="B12583" s="6">
        <v>45602</v>
      </c>
      <c r="C12583" t="s">
        <v>130</v>
      </c>
      <c r="D12583" t="s">
        <v>5925</v>
      </c>
      <c r="E12583">
        <v>7.64</v>
      </c>
      <c r="F12583" s="2" t="str">
        <f>IF(Table2[[#This Row],[Manual Cat Value]]="",VLOOKUP(Table2[[#This Row],[Description]],'Actuals Lookup'!D:F,3,0),VLOOKUP(Table2[[#This Row],[Manual Cat Value]],Lookup!A:B,2,0))</f>
        <v>Restaurants</v>
      </c>
      <c r="H12583" t="s">
        <v>25</v>
      </c>
      <c r="I12583" s="8"/>
      <c r="O12583" t="str">
        <f>LEFT(Table2[[#This Row],[Description]],75)</f>
        <v>AplPay WAYZATA CAFE WAYZATA             MN</v>
      </c>
    </row>
    <row r="12584" spans="1:15" hidden="1">
      <c r="A12584">
        <v>202411</v>
      </c>
      <c r="B12584" s="6">
        <v>45602</v>
      </c>
      <c r="C12584" t="s">
        <v>130</v>
      </c>
      <c r="D12584" t="s">
        <v>5926</v>
      </c>
      <c r="E12584">
        <v>10.38</v>
      </c>
      <c r="F12584" s="2" t="str">
        <f>IF(Table2[[#This Row],[Manual Cat Value]]="",VLOOKUP(Table2[[#This Row],[Description]],'Actuals Lookup'!D:F,3,0),VLOOKUP(Table2[[#This Row],[Manual Cat Value]],Lookup!A:B,2,0))</f>
        <v>Restaurants</v>
      </c>
      <c r="H12584" t="s">
        <v>25</v>
      </c>
      <c r="I12584" s="8"/>
      <c r="O12584" t="str">
        <f>LEFT(Table2[[#This Row],[Description]],75)</f>
        <v>DAIRY QUEEN #46123 0WACONIA             MN</v>
      </c>
    </row>
    <row r="12585" spans="1:15" hidden="1">
      <c r="A12585">
        <v>202411</v>
      </c>
      <c r="B12585" s="6">
        <v>45602</v>
      </c>
      <c r="C12585" t="s">
        <v>2519</v>
      </c>
      <c r="D12585" t="s">
        <v>1469</v>
      </c>
      <c r="E12585">
        <v>190.62</v>
      </c>
      <c r="F12585" s="2" t="str">
        <f>IF(Table2[[#This Row],[Manual Cat Value]]="",VLOOKUP(Table2[[#This Row],[Description]],'Actuals Lookup'!D:F,3,0),VLOOKUP(Table2[[#This Row],[Manual Cat Value]],Lookup!A:B,2,0))</f>
        <v>Utilities</v>
      </c>
      <c r="I12585" s="8"/>
      <c r="O12585" t="str">
        <f>LEFT(Table2[[#This Row],[Description]],75)</f>
        <v>Payment to Waste management</v>
      </c>
    </row>
    <row r="12586" spans="1:15" hidden="1">
      <c r="A12586">
        <v>202411</v>
      </c>
      <c r="B12586" s="6">
        <v>45602</v>
      </c>
      <c r="C12586" t="s">
        <v>130</v>
      </c>
      <c r="D12586" t="s">
        <v>5765</v>
      </c>
      <c r="E12586">
        <v>6.49</v>
      </c>
      <c r="F12586" s="2" t="str">
        <f>IF(Table2[[#This Row],[Manual Cat Value]]="",VLOOKUP(Table2[[#This Row],[Description]],'Actuals Lookup'!D:F,3,0),VLOOKUP(Table2[[#This Row],[Manual Cat Value]],Lookup!A:B,2,0))</f>
        <v>Entertainment</v>
      </c>
      <c r="H12586" t="s">
        <v>39</v>
      </c>
      <c r="I12586" s="8"/>
      <c r="O12586" t="str">
        <f>LEFT(Table2[[#This Row],[Description]],75)</f>
        <v>PRIME VIDEO CHANNELSAMZN.COM/BILL       WA</v>
      </c>
    </row>
    <row r="12587" spans="1:15" hidden="1">
      <c r="A12587">
        <v>202411</v>
      </c>
      <c r="B12587" s="6">
        <v>45603</v>
      </c>
      <c r="C12587" t="s">
        <v>3938</v>
      </c>
      <c r="D12587" t="s">
        <v>5927</v>
      </c>
      <c r="E12587">
        <v>16.22</v>
      </c>
      <c r="F12587" s="2" t="str">
        <f>IF(Table2[[#This Row],[Manual Cat Value]]="",VLOOKUP(Table2[[#This Row],[Description]],'Actuals Lookup'!D:F,3,0),VLOOKUP(Table2[[#This Row],[Manual Cat Value]],Lookup!A:B,2,0))</f>
        <v>Amazon</v>
      </c>
      <c r="H12587" s="8" t="s">
        <v>37</v>
      </c>
      <c r="I12587" s="8"/>
      <c r="O12587" t="str">
        <f>LEFT(Table2[[#This Row],[Description]],75)</f>
        <v>AMAZON MARK* LQ2MN89J3 HTTPSAMAZON.CWA REF #XX1134NXX0157HMD</v>
      </c>
    </row>
    <row r="12588" spans="1:15" hidden="1">
      <c r="A12588">
        <v>202411</v>
      </c>
      <c r="B12588" s="6">
        <v>45603</v>
      </c>
      <c r="C12588" t="s">
        <v>2519</v>
      </c>
      <c r="D12588" t="s">
        <v>404</v>
      </c>
      <c r="E12588">
        <v>-4131.47</v>
      </c>
      <c r="F12588" s="2" t="str">
        <f>IF(Table2[[#This Row],[Manual Cat Value]]="",VLOOKUP(Table2[[#This Row],[Description]],'Actuals Lookup'!D:F,3,0),VLOOKUP(Table2[[#This Row],[Manual Cat Value]],Lookup!A:B,2,0))</f>
        <v>Britney</v>
      </c>
      <c r="H12588" t="s">
        <v>65</v>
      </c>
      <c r="I12588" s="8"/>
      <c r="O12588" t="str">
        <f>LEFT(Table2[[#This Row],[Description]],75)</f>
        <v>Cargill Inc Deposit</v>
      </c>
    </row>
    <row r="12589" spans="1:15" hidden="1">
      <c r="A12589">
        <v>202411</v>
      </c>
      <c r="B12589" s="6">
        <v>45604</v>
      </c>
      <c r="C12589" t="s">
        <v>130</v>
      </c>
      <c r="D12589" t="s">
        <v>5788</v>
      </c>
      <c r="E12589">
        <v>75.19</v>
      </c>
      <c r="F12589" s="2" t="str">
        <f>IF(Table2[[#This Row],[Manual Cat Value]]="",VLOOKUP(Table2[[#This Row],[Description]],'Actuals Lookup'!D:F,3,0),VLOOKUP(Table2[[#This Row],[Manual Cat Value]],Lookup!A:B,2,0))</f>
        <v>Groceries</v>
      </c>
      <c r="H12589" t="s">
        <v>27</v>
      </c>
      <c r="I12589" s="8"/>
      <c r="O12589" t="str">
        <f>LEFT(Table2[[#This Row],[Description]],75)</f>
        <v>CUB FOODS #1636 0000SHOREWOOD           MN</v>
      </c>
    </row>
    <row r="12590" spans="1:15" hidden="1">
      <c r="A12590">
        <v>202411</v>
      </c>
      <c r="B12590" s="6">
        <v>45604</v>
      </c>
      <c r="C12590" t="s">
        <v>130</v>
      </c>
      <c r="D12590" t="s">
        <v>5759</v>
      </c>
      <c r="E12590">
        <v>124.28</v>
      </c>
      <c r="F12590" s="2" t="str">
        <f>IF(Table2[[#This Row],[Manual Cat Value]]="",VLOOKUP(Table2[[#This Row],[Description]],'Actuals Lookup'!D:F,3,0),VLOOKUP(Table2[[#This Row],[Manual Cat Value]],Lookup!A:B,2,0))</f>
        <v>Groceries</v>
      </c>
      <c r="H12590" t="s">
        <v>27</v>
      </c>
      <c r="I12590" s="8"/>
      <c r="O12590" t="str">
        <f>LEFT(Table2[[#This Row],[Description]],75)</f>
        <v>HOME CHEF           CHICAGO             IL</v>
      </c>
    </row>
    <row r="12591" spans="1:15" hidden="1">
      <c r="A12591">
        <v>202411</v>
      </c>
      <c r="B12591" s="6">
        <v>45604</v>
      </c>
      <c r="C12591" t="s">
        <v>130</v>
      </c>
      <c r="D12591" t="s">
        <v>5928</v>
      </c>
      <c r="E12591">
        <v>13.1</v>
      </c>
      <c r="F12591" s="2" t="str">
        <f>IF(Table2[[#This Row],[Manual Cat Value]]="",VLOOKUP(Table2[[#This Row],[Description]],'Actuals Lookup'!D:F,3,0),VLOOKUP(Table2[[#This Row],[Manual Cat Value]],Lookup!A:B,2,0))</f>
        <v>Restaurants</v>
      </c>
      <c r="H12591" t="s">
        <v>25</v>
      </c>
      <c r="I12591" s="8"/>
      <c r="O12591" t="str">
        <f>LEFT(Table2[[#This Row],[Description]],75)</f>
        <v>JEFFERSONS RESTAURANLAWRENCE            KS</v>
      </c>
    </row>
    <row r="12592" spans="1:15" hidden="1">
      <c r="A12592">
        <v>202411</v>
      </c>
      <c r="B12592" s="6">
        <v>45604</v>
      </c>
      <c r="C12592" t="s">
        <v>130</v>
      </c>
      <c r="D12592" t="s">
        <v>5929</v>
      </c>
      <c r="E12592">
        <v>64.28</v>
      </c>
      <c r="F12592" s="2" t="str">
        <f>IF(Table2[[#This Row],[Manual Cat Value]]="",VLOOKUP(Table2[[#This Row],[Description]],'Actuals Lookup'!D:F,3,0),VLOOKUP(Table2[[#This Row],[Manual Cat Value]],Lookup!A:B,2,0))</f>
        <v>Transportation</v>
      </c>
      <c r="H12592" t="s">
        <v>22</v>
      </c>
      <c r="I12592" s="8"/>
      <c r="O12592" t="str">
        <f>LEFT(Table2[[#This Row],[Description]],75)</f>
        <v>LYFT                855-280-0278        CA</v>
      </c>
    </row>
    <row r="12593" spans="1:15" hidden="1">
      <c r="A12593">
        <v>202411</v>
      </c>
      <c r="B12593" s="6">
        <v>45604</v>
      </c>
      <c r="C12593" t="s">
        <v>130</v>
      </c>
      <c r="D12593" t="s">
        <v>5930</v>
      </c>
      <c r="E12593">
        <v>107.88</v>
      </c>
      <c r="F12593" s="2" t="str">
        <f>IF(Table2[[#This Row],[Manual Cat Value]]="",VLOOKUP(Table2[[#This Row],[Description]],'Actuals Lookup'!D:F,3,0),VLOOKUP(Table2[[#This Row],[Manual Cat Value]],Lookup!A:B,2,0))</f>
        <v>Gifts</v>
      </c>
      <c r="H12593" t="s">
        <v>44</v>
      </c>
      <c r="I12593" s="8"/>
      <c r="O12593" t="str">
        <f>LEFT(Table2[[#This Row],[Description]],75)</f>
        <v>MOULTRIE MOBILE     833-909-1768        AL</v>
      </c>
    </row>
    <row r="12594" spans="1:15" hidden="1">
      <c r="A12594" s="25">
        <v>202407</v>
      </c>
      <c r="B12594" s="6">
        <v>45488</v>
      </c>
      <c r="C12594" t="s">
        <v>5160</v>
      </c>
      <c r="D12594" t="s">
        <v>5931</v>
      </c>
      <c r="E12594">
        <v>59.39</v>
      </c>
      <c r="F12594" s="2" t="str">
        <f>IF(Table2[[#This Row],[Manual Cat Value]]="",VLOOKUP(Table2[[#This Row],[Description]],'Actuals Lookup'!D:F,3,0),VLOOKUP(Table2[[#This Row],[Manual Cat Value]],Lookup!A:B,2,0))</f>
        <v>Delete</v>
      </c>
      <c r="G12594" t="s">
        <v>26</v>
      </c>
      <c r="H12594" s="8" t="s">
        <v>9</v>
      </c>
      <c r="I12594" s="8"/>
      <c r="O12594" t="str">
        <f>LEFT(Table2[[#This Row],[Description]],75)</f>
        <v>Tst* 3 Pepper Burritfort Myers Fl</v>
      </c>
    </row>
    <row r="12595" spans="1:15" hidden="1">
      <c r="A12595" s="25">
        <v>202407</v>
      </c>
      <c r="B12595" s="6">
        <v>45504</v>
      </c>
      <c r="C12595" t="s">
        <v>5160</v>
      </c>
      <c r="D12595" t="s">
        <v>5932</v>
      </c>
      <c r="E12595">
        <v>12.81</v>
      </c>
      <c r="F12595" s="2" t="str">
        <f>IF(Table2[[#This Row],[Manual Cat Value]]="",VLOOKUP(Table2[[#This Row],[Description]],'Actuals Lookup'!D:F,3,0),VLOOKUP(Table2[[#This Row],[Manual Cat Value]],Lookup!A:B,2,0))</f>
        <v>Delete</v>
      </c>
      <c r="G12595" t="s">
        <v>26</v>
      </c>
      <c r="H12595" s="8" t="s">
        <v>9</v>
      </c>
      <c r="I12595" s="8"/>
      <c r="O12595" t="str">
        <f>LEFT(Table2[[#This Row],[Description]],75)</f>
        <v>Tst* El Jefes - Bostboston Ma</v>
      </c>
    </row>
    <row r="12596" spans="1:15" hidden="1">
      <c r="A12596">
        <v>202411</v>
      </c>
      <c r="B12596" s="6">
        <v>45605</v>
      </c>
      <c r="C12596" t="s">
        <v>130</v>
      </c>
      <c r="D12596" t="s">
        <v>5933</v>
      </c>
      <c r="E12596">
        <v>71.03</v>
      </c>
      <c r="F12596" s="2" t="str">
        <f>IF(Table2[[#This Row],[Manual Cat Value]]="",VLOOKUP(Table2[[#This Row],[Description]],'Actuals Lookup'!D:F,3,0),VLOOKUP(Table2[[#This Row],[Manual Cat Value]],Lookup!A:B,2,0))</f>
        <v>Shopping</v>
      </c>
      <c r="H12596" t="s">
        <v>36</v>
      </c>
      <c r="I12596" s="8"/>
      <c r="O12596" t="str">
        <f>LEFT(Table2[[#This Row],[Description]],75)</f>
        <v>AplPay JOCK S NITCH LAWRENCE            KS</v>
      </c>
    </row>
    <row r="12597" spans="1:15" hidden="1">
      <c r="A12597">
        <v>202411</v>
      </c>
      <c r="B12597" s="6">
        <v>45605</v>
      </c>
      <c r="C12597" t="s">
        <v>130</v>
      </c>
      <c r="D12597" t="s">
        <v>5934</v>
      </c>
      <c r="E12597">
        <v>205.42</v>
      </c>
      <c r="F12597" s="2" t="str">
        <f>IF(Table2[[#This Row],[Manual Cat Value]]="",VLOOKUP(Table2[[#This Row],[Description]],'Actuals Lookup'!D:F,3,0),VLOOKUP(Table2[[#This Row],[Manual Cat Value]],Lookup!A:B,2,0))</f>
        <v>Shopping</v>
      </c>
      <c r="H12597" t="s">
        <v>36</v>
      </c>
      <c r="I12597" s="8"/>
      <c r="O12597" t="str">
        <f>LEFT(Table2[[#This Row],[Description]],75)</f>
        <v>AplPay SAMPLER STORELENEXA              KS</v>
      </c>
    </row>
    <row r="12598" spans="1:15" hidden="1">
      <c r="A12598">
        <v>202411</v>
      </c>
      <c r="B12598" s="6">
        <v>45605</v>
      </c>
      <c r="C12598" t="s">
        <v>130</v>
      </c>
      <c r="D12598" t="s">
        <v>5935</v>
      </c>
      <c r="E12598">
        <v>53.75</v>
      </c>
      <c r="F12598" s="2" t="str">
        <f>IF(Table2[[#This Row],[Manual Cat Value]]="",VLOOKUP(Table2[[#This Row],[Description]],'Actuals Lookup'!D:F,3,0),VLOOKUP(Table2[[#This Row],[Manual Cat Value]],Lookup!A:B,2,0))</f>
        <v>Entertainment</v>
      </c>
      <c r="H12598" t="s">
        <v>39</v>
      </c>
      <c r="I12598" s="8"/>
      <c r="O12598" t="str">
        <f>LEFT(Table2[[#This Row],[Description]],75)</f>
        <v>KC CHIEFS - TICKETINKansas City         MO</v>
      </c>
    </row>
    <row r="12599" spans="1:15" hidden="1">
      <c r="A12599">
        <v>202411</v>
      </c>
      <c r="B12599" s="6">
        <v>45605</v>
      </c>
      <c r="C12599" t="s">
        <v>130</v>
      </c>
      <c r="D12599" t="s">
        <v>5936</v>
      </c>
      <c r="E12599">
        <v>13.84</v>
      </c>
      <c r="F12599" s="2" t="str">
        <f>IF(Table2[[#This Row],[Manual Cat Value]]="",VLOOKUP(Table2[[#This Row],[Description]],'Actuals Lookup'!D:F,3,0),VLOOKUP(Table2[[#This Row],[Manual Cat Value]],Lookup!A:B,2,0))</f>
        <v>Restaurants</v>
      </c>
      <c r="H12599" t="s">
        <v>25</v>
      </c>
      <c r="I12599" s="8"/>
      <c r="O12599" t="str">
        <f>LEFT(Table2[[#This Row],[Description]],75)</f>
        <v>THE ROOST           LAWRENCE            KS</v>
      </c>
    </row>
    <row r="12600" spans="1:15" hidden="1">
      <c r="A12600">
        <v>202411</v>
      </c>
      <c r="B12600" s="6">
        <v>45606</v>
      </c>
      <c r="C12600" t="s">
        <v>130</v>
      </c>
      <c r="D12600" t="s">
        <v>5937</v>
      </c>
      <c r="E12600">
        <v>36.79</v>
      </c>
      <c r="F12600" s="2" t="str">
        <f>IF(Table2[[#This Row],[Manual Cat Value]]="",VLOOKUP(Table2[[#This Row],[Description]],'Actuals Lookup'!D:F,3,0),VLOOKUP(Table2[[#This Row],[Manual Cat Value]],Lookup!A:B,2,0))</f>
        <v>Entertainment</v>
      </c>
      <c r="H12600" s="8" t="s">
        <v>39</v>
      </c>
      <c r="I12600" s="8"/>
      <c r="O12600" t="str">
        <f>LEFT(Table2[[#This Row],[Description]],75)</f>
        <v>AplPay 535 - MADE INLAS VEGAS           NV</v>
      </c>
    </row>
    <row r="12601" spans="1:15" hidden="1">
      <c r="A12601">
        <v>202411</v>
      </c>
      <c r="B12601" s="6">
        <v>45606</v>
      </c>
      <c r="C12601" t="s">
        <v>130</v>
      </c>
      <c r="D12601" t="s">
        <v>5938</v>
      </c>
      <c r="E12601">
        <v>45.57</v>
      </c>
      <c r="F12601" s="2" t="str">
        <f>IF(Table2[[#This Row],[Manual Cat Value]]="",VLOOKUP(Table2[[#This Row],[Description]],'Actuals Lookup'!D:F,3,0),VLOOKUP(Table2[[#This Row],[Manual Cat Value]],Lookup!A:B,2,0))</f>
        <v>Transportation</v>
      </c>
      <c r="H12601" t="s">
        <v>22</v>
      </c>
      <c r="I12601" s="8"/>
      <c r="O12601" t="str">
        <f>LEFT(Table2[[#This Row],[Description]],75)</f>
        <v>MARATHON PETRO68692 Excelsior           MN</v>
      </c>
    </row>
    <row r="12602" spans="1:15" hidden="1">
      <c r="A12602">
        <v>202411</v>
      </c>
      <c r="B12602" s="6">
        <v>45606</v>
      </c>
      <c r="C12602" t="s">
        <v>130</v>
      </c>
      <c r="D12602" t="s">
        <v>5939</v>
      </c>
      <c r="E12602">
        <v>105.17</v>
      </c>
      <c r="F12602" s="2" t="str">
        <f>IF(Table2[[#This Row],[Manual Cat Value]]="",VLOOKUP(Table2[[#This Row],[Description]],'Actuals Lookup'!D:F,3,0),VLOOKUP(Table2[[#This Row],[Manual Cat Value]],Lookup!A:B,2,0))</f>
        <v>Travel</v>
      </c>
      <c r="H12602" t="s">
        <v>52</v>
      </c>
      <c r="I12602" s="8"/>
      <c r="O12602" t="str">
        <f>LEFT(Table2[[#This Row],[Description]],75)</f>
        <v>NATIONAL CAR R015103KANSAS CITY         MO</v>
      </c>
    </row>
    <row r="12603" spans="1:15" hidden="1">
      <c r="A12603">
        <v>202411</v>
      </c>
      <c r="B12603" s="6">
        <v>45606</v>
      </c>
      <c r="C12603" t="s">
        <v>3938</v>
      </c>
      <c r="D12603" t="s">
        <v>5940</v>
      </c>
      <c r="E12603">
        <v>57.55</v>
      </c>
      <c r="F12603" s="2" t="str">
        <f>IF(Table2[[#This Row],[Manual Cat Value]]="",VLOOKUP(Table2[[#This Row],[Description]],'Actuals Lookup'!D:F,3,0),VLOOKUP(Table2[[#This Row],[Manual Cat Value]],Lookup!A:B,2,0))</f>
        <v>Entertainment</v>
      </c>
      <c r="H12603" t="s">
        <v>39</v>
      </c>
      <c r="I12603" s="8"/>
      <c r="O12603" t="str">
        <f>LEFT(Table2[[#This Row],[Description]],75)</f>
        <v>RAO MNHUNTFISH VEHICLE DNR.STATE.MN.MN REF #XX9216N933HQ4TSW</v>
      </c>
    </row>
    <row r="12604" spans="1:15" hidden="1">
      <c r="A12604">
        <v>202411</v>
      </c>
      <c r="B12604" s="6">
        <v>45606</v>
      </c>
      <c r="C12604" t="s">
        <v>130</v>
      </c>
      <c r="D12604" t="s">
        <v>5941</v>
      </c>
      <c r="E12604">
        <v>15.01</v>
      </c>
      <c r="F12604" s="2" t="str">
        <f>IF(Table2[[#This Row],[Manual Cat Value]]="",VLOOKUP(Table2[[#This Row],[Description]],'Actuals Lookup'!D:F,3,0),VLOOKUP(Table2[[#This Row],[Manual Cat Value]],Lookup!A:B,2,0))</f>
        <v>Restaurants</v>
      </c>
      <c r="H12604" t="s">
        <v>25</v>
      </c>
      <c r="I12604" s="8"/>
      <c r="O12604" t="str">
        <f>LEFT(Table2[[#This Row],[Description]],75)</f>
        <v>TST* CARIBOU COFFEE EXCELSIOR           MN</v>
      </c>
    </row>
    <row r="12605" spans="1:15" hidden="1">
      <c r="A12605">
        <v>202411</v>
      </c>
      <c r="B12605" s="6">
        <v>45607</v>
      </c>
      <c r="C12605" t="s">
        <v>130</v>
      </c>
      <c r="D12605" t="s">
        <v>5929</v>
      </c>
      <c r="E12605">
        <v>50.12</v>
      </c>
      <c r="F12605" s="2" t="str">
        <f>IF(Table2[[#This Row],[Manual Cat Value]]="",VLOOKUP(Table2[[#This Row],[Description]],'Actuals Lookup'!D:F,3,0),VLOOKUP(Table2[[#This Row],[Manual Cat Value]],Lookup!A:B,2,0))</f>
        <v>Transportation</v>
      </c>
      <c r="H12605" t="s">
        <v>22</v>
      </c>
      <c r="I12605" s="8"/>
      <c r="O12605" t="str">
        <f>LEFT(Table2[[#This Row],[Description]],75)</f>
        <v>LYFT                855-280-0278        CA</v>
      </c>
    </row>
    <row r="12606" spans="1:15" hidden="1">
      <c r="A12606">
        <v>202411</v>
      </c>
      <c r="B12606" s="6">
        <v>45607</v>
      </c>
      <c r="C12606" t="s">
        <v>3938</v>
      </c>
      <c r="D12606" t="s">
        <v>1350</v>
      </c>
      <c r="E12606">
        <v>25.6</v>
      </c>
      <c r="F12606" s="2" t="str">
        <f>IF(Table2[[#This Row],[Manual Cat Value]]="",VLOOKUP(Table2[[#This Row],[Description]],'Actuals Lookup'!D:F,3,0),VLOOKUP(Table2[[#This Row],[Manual Cat Value]],Lookup!A:B,2,0))</f>
        <v>Utilities</v>
      </c>
      <c r="I12606" s="8"/>
      <c r="O12606" t="str">
        <f>LEFT(Table2[[#This Row],[Description]],75)</f>
        <v>Netflix</v>
      </c>
    </row>
    <row r="12607" spans="1:15" hidden="1">
      <c r="A12607" s="25">
        <v>202408</v>
      </c>
      <c r="B12607" s="6">
        <v>45505</v>
      </c>
      <c r="C12607" t="s">
        <v>5160</v>
      </c>
      <c r="D12607" t="s">
        <v>5932</v>
      </c>
      <c r="E12607">
        <v>11.43</v>
      </c>
      <c r="F12607" s="2" t="str">
        <f>IF(Table2[[#This Row],[Manual Cat Value]]="",VLOOKUP(Table2[[#This Row],[Description]],'Actuals Lookup'!D:F,3,0),VLOOKUP(Table2[[#This Row],[Manual Cat Value]],Lookup!A:B,2,0))</f>
        <v>Delete</v>
      </c>
      <c r="G12607" t="s">
        <v>26</v>
      </c>
      <c r="H12607" s="8" t="s">
        <v>9</v>
      </c>
      <c r="I12607" s="8"/>
      <c r="O12607" t="str">
        <f>LEFT(Table2[[#This Row],[Description]],75)</f>
        <v>Tst* El Jefes - Bostboston Ma</v>
      </c>
    </row>
    <row r="12608" spans="1:15" hidden="1">
      <c r="A12608">
        <v>202411</v>
      </c>
      <c r="B12608" s="6">
        <v>45607</v>
      </c>
      <c r="C12608" t="s">
        <v>130</v>
      </c>
      <c r="D12608" t="s">
        <v>5942</v>
      </c>
      <c r="E12608">
        <v>258.8</v>
      </c>
      <c r="F12608" s="2" t="str">
        <f>IF(Table2[[#This Row],[Manual Cat Value]]="",VLOOKUP(Table2[[#This Row],[Description]],'Actuals Lookup'!D:F,3,0),VLOOKUP(Table2[[#This Row],[Manual Cat Value]],Lookup!A:B,2,0))</f>
        <v>Shopping</v>
      </c>
      <c r="H12608" t="s">
        <v>36</v>
      </c>
      <c r="I12608" s="8"/>
      <c r="O12608" t="str">
        <f>LEFT(Table2[[#This Row],[Description]],75)</f>
        <v>SP NORMAL BRAND COR SAINT LOUIS         MO</v>
      </c>
    </row>
    <row r="12609" spans="1:15" hidden="1">
      <c r="A12609">
        <v>202411</v>
      </c>
      <c r="B12609" s="6">
        <v>45607</v>
      </c>
      <c r="C12609" t="s">
        <v>130</v>
      </c>
      <c r="D12609" t="s">
        <v>5943</v>
      </c>
      <c r="E12609">
        <v>41.61</v>
      </c>
      <c r="F12609" s="2" t="str">
        <f>IF(Table2[[#This Row],[Manual Cat Value]]="",VLOOKUP(Table2[[#This Row],[Description]],'Actuals Lookup'!D:F,3,0),VLOOKUP(Table2[[#This Row],[Manual Cat Value]],Lookup!A:B,2,0))</f>
        <v>Restaurants</v>
      </c>
      <c r="H12609" t="s">
        <v>25</v>
      </c>
      <c r="I12609" s="8"/>
      <c r="O12609" t="str">
        <f>LEFT(Table2[[#This Row],[Description]],75)</f>
        <v>TST* DUKE'S ON 7 300MINNETONKA          MN</v>
      </c>
    </row>
    <row r="12610" spans="1:15" hidden="1">
      <c r="A12610">
        <v>202411</v>
      </c>
      <c r="B12610" s="6">
        <v>45608</v>
      </c>
      <c r="C12610" t="s">
        <v>2258</v>
      </c>
      <c r="D12610" t="s">
        <v>5944</v>
      </c>
      <c r="E12610">
        <v>128.59</v>
      </c>
      <c r="F12610" s="2" t="str">
        <f>IF(Table2[[#This Row],[Manual Cat Value]]="",VLOOKUP(Table2[[#This Row],[Description]],'Actuals Lookup'!D:F,3,0),VLOOKUP(Table2[[#This Row],[Manual Cat Value]],Lookup!A:B,2,0))</f>
        <v>Amazon</v>
      </c>
      <c r="H12610" s="8" t="s">
        <v>37</v>
      </c>
      <c r="I12610" s="8"/>
      <c r="O12610" t="str">
        <f>LEFT(Table2[[#This Row],[Description]],75)</f>
        <v>AMAZON MKTPL*I18PB2LR3 AMZN.COM/BILLWA3HIDAKQJW5D</v>
      </c>
    </row>
    <row r="12611" spans="1:15" hidden="1">
      <c r="A12611">
        <v>202411</v>
      </c>
      <c r="B12611" s="6">
        <v>45608</v>
      </c>
      <c r="C12611" t="s">
        <v>130</v>
      </c>
      <c r="D12611" t="s">
        <v>5848</v>
      </c>
      <c r="E12611">
        <v>55</v>
      </c>
      <c r="F12611" s="2" t="str">
        <f>IF(Table2[[#This Row],[Manual Cat Value]]="",VLOOKUP(Table2[[#This Row],[Description]],'Actuals Lookup'!D:F,3,0),VLOOKUP(Table2[[#This Row],[Manual Cat Value]],Lookup!A:B,2,0))</f>
        <v>Shopping</v>
      </c>
      <c r="H12611" s="8" t="s">
        <v>36</v>
      </c>
      <c r="I12611" s="8"/>
      <c r="O12611" t="str">
        <f>LEFT(Table2[[#This Row],[Description]],75)</f>
        <v>AplPay ANNA NAILS 08WAYZATA             MN</v>
      </c>
    </row>
    <row r="12612" spans="1:15" hidden="1">
      <c r="A12612">
        <v>202411</v>
      </c>
      <c r="B12612" s="6">
        <v>45608</v>
      </c>
      <c r="C12612" t="s">
        <v>3938</v>
      </c>
      <c r="D12612" t="s">
        <v>5756</v>
      </c>
      <c r="E12612">
        <v>8.7100000000000009</v>
      </c>
      <c r="F12612" s="2" t="str">
        <f>IF(Table2[[#This Row],[Manual Cat Value]]="",VLOOKUP(Table2[[#This Row],[Description]],'Actuals Lookup'!D:F,3,0),VLOOKUP(Table2[[#This Row],[Manual Cat Value]],Lookup!A:B,2,0))</f>
        <v>Entertainment</v>
      </c>
      <c r="H12612" t="s">
        <v>39</v>
      </c>
      <c r="I12612" s="8"/>
      <c r="O12612" t="str">
        <f>LEFT(Table2[[#This Row],[Description]],75)</f>
        <v>Hallmark</v>
      </c>
    </row>
    <row r="12613" spans="1:15" hidden="1">
      <c r="A12613">
        <v>202409</v>
      </c>
      <c r="B12613" s="6">
        <v>45555</v>
      </c>
      <c r="C12613" t="s">
        <v>130</v>
      </c>
      <c r="D12613" t="s">
        <v>5945</v>
      </c>
      <c r="E12613">
        <v>322.36</v>
      </c>
      <c r="F12613" s="2" t="str">
        <f>IF(Table2[[#This Row],[Manual Cat Value]]="",VLOOKUP(Table2[[#This Row],[Description]],'Actuals Lookup'!D:F,3,0),VLOOKUP(Table2[[#This Row],[Manual Cat Value]],Lookup!A:B,2,0))</f>
        <v>Delete</v>
      </c>
      <c r="H12613" s="8" t="s">
        <v>9</v>
      </c>
      <c r="I12613" s="8"/>
      <c r="O12613" t="str">
        <f>LEFT(Table2[[#This Row],[Description]],75)</f>
        <v>TST* FIREFLY GRILL2 EFFINGHAM           IL</v>
      </c>
    </row>
    <row r="12614" spans="1:15" hidden="1">
      <c r="A12614">
        <v>202411</v>
      </c>
      <c r="B12614" s="6">
        <v>45609</v>
      </c>
      <c r="C12614" t="s">
        <v>2519</v>
      </c>
      <c r="D12614" t="s">
        <v>4283</v>
      </c>
      <c r="E12614">
        <v>-34.840000000000003</v>
      </c>
      <c r="F12614" s="2" t="str">
        <f>IF(Table2[[#This Row],[Manual Cat Value]]="",VLOOKUP(Table2[[#This Row],[Description]],'Actuals Lookup'!D:F,3,0),VLOOKUP(Table2[[#This Row],[Manual Cat Value]],Lookup!A:B,2,0))</f>
        <v>Britney</v>
      </c>
      <c r="H12614" t="s">
        <v>65</v>
      </c>
      <c r="I12614" s="8"/>
      <c r="O12614" t="str">
        <f>LEFT(Table2[[#This Row],[Description]],75)</f>
        <v>Cargill Deposit</v>
      </c>
    </row>
    <row r="12615" spans="1:15" hidden="1">
      <c r="A12615">
        <v>202411</v>
      </c>
      <c r="B12615" s="6">
        <v>45609</v>
      </c>
      <c r="C12615" t="s">
        <v>2258</v>
      </c>
      <c r="D12615" t="s">
        <v>459</v>
      </c>
      <c r="E12615">
        <v>-4.0199999999999996</v>
      </c>
      <c r="F12615" s="2" t="str">
        <f>IF(Table2[[#This Row],[Manual Cat Value]]="",VLOOKUP(Table2[[#This Row],[Description]],'Actuals Lookup'!D:F,3,0),VLOOKUP(Table2[[#This Row],[Manual Cat Value]],Lookup!A:B,2,0))</f>
        <v>Dividend</v>
      </c>
      <c r="I12615" s="8"/>
      <c r="O12615" t="str">
        <f>LEFT(Table2[[#This Row],[Description]],75)</f>
        <v>CASHBACK BONUS REDEMPTION PYMT/STMT CRDT</v>
      </c>
    </row>
    <row r="12616" spans="1:15" hidden="1">
      <c r="A12616" s="25">
        <v>202406</v>
      </c>
      <c r="B12616" s="6">
        <v>45460</v>
      </c>
      <c r="C12616" t="s">
        <v>5160</v>
      </c>
      <c r="D12616" t="s">
        <v>5946</v>
      </c>
      <c r="E12616">
        <v>45.85</v>
      </c>
      <c r="F12616" s="2" t="str">
        <f>IF(Table2[[#This Row],[Manual Cat Value]]="",VLOOKUP(Table2[[#This Row],[Description]],'Actuals Lookup'!D:F,3,0),VLOOKUP(Table2[[#This Row],[Manual Cat Value]],Lookup!A:B,2,0))</f>
        <v>Delete</v>
      </c>
      <c r="G12616" t="s">
        <v>26</v>
      </c>
      <c r="H12616" s="8" t="s">
        <v>9</v>
      </c>
      <c r="I12616" s="8"/>
      <c r="O12616" t="str">
        <f>LEFT(Table2[[#This Row],[Description]],75)</f>
        <v>Tst* Fox And The Kniboston Ma</v>
      </c>
    </row>
    <row r="12617" spans="1:15" hidden="1">
      <c r="A12617">
        <v>202411</v>
      </c>
      <c r="B12617" s="6">
        <v>45609</v>
      </c>
      <c r="C12617" t="s">
        <v>130</v>
      </c>
      <c r="D12617" t="s">
        <v>5947</v>
      </c>
      <c r="E12617">
        <v>43.75</v>
      </c>
      <c r="F12617" s="2" t="str">
        <f>IF(Table2[[#This Row],[Manual Cat Value]]="",VLOOKUP(Table2[[#This Row],[Description]],'Actuals Lookup'!D:F,3,0),VLOOKUP(Table2[[#This Row],[Manual Cat Value]],Lookup!A:B,2,0))</f>
        <v>Groceries</v>
      </c>
      <c r="H12617" t="s">
        <v>27</v>
      </c>
      <c r="I12617" s="8"/>
      <c r="O12617" t="str">
        <f>LEFT(Table2[[#This Row],[Description]],75)</f>
        <v>MACKENTHUN'S FINE FOWACONIA             MN</v>
      </c>
    </row>
    <row r="12618" spans="1:15" hidden="1">
      <c r="A12618">
        <v>202411</v>
      </c>
      <c r="B12618" s="6">
        <v>45609</v>
      </c>
      <c r="C12618" t="s">
        <v>3938</v>
      </c>
      <c r="D12618" t="s">
        <v>1462</v>
      </c>
      <c r="E12618">
        <v>45</v>
      </c>
      <c r="F12618" s="2" t="str">
        <f>IF(Table2[[#This Row],[Manual Cat Value]]="",VLOOKUP(Table2[[#This Row],[Description]],'Actuals Lookup'!D:F,3,0),VLOOKUP(Table2[[#This Row],[Manual Cat Value]],Lookup!A:B,2,0))</f>
        <v>Utilities</v>
      </c>
      <c r="I12618" s="8"/>
      <c r="O12618" t="str">
        <f>LEFT(Table2[[#This Row],[Description]],75)</f>
        <v>Payment to CenturyLink</v>
      </c>
    </row>
    <row r="12619" spans="1:15" hidden="1">
      <c r="A12619">
        <v>202411</v>
      </c>
      <c r="B12619" s="6">
        <v>45609</v>
      </c>
      <c r="C12619" t="s">
        <v>2519</v>
      </c>
      <c r="D12619" t="s">
        <v>5948</v>
      </c>
      <c r="E12619">
        <v>380</v>
      </c>
      <c r="F12619" s="2" t="str">
        <f>IF(Table2[[#This Row],[Manual Cat Value]]="",VLOOKUP(Table2[[#This Row],[Description]],'Actuals Lookup'!D:F,3,0),VLOOKUP(Table2[[#This Row],[Manual Cat Value]],Lookup!A:B,2,0))</f>
        <v>Day Care</v>
      </c>
      <c r="H12619" s="8" t="s">
        <v>19</v>
      </c>
      <c r="I12619" s="8"/>
      <c r="O12619" t="str">
        <f>LEFT(Table2[[#This Row],[Description]],75)</f>
        <v>Withdrawal ACH Mis Amigos Presc TYPE: ID: XX7393 NAME: BCU CO: Mis Amigos P</v>
      </c>
    </row>
    <row r="12620" spans="1:15" hidden="1">
      <c r="A12620">
        <v>202411</v>
      </c>
      <c r="B12620" s="6">
        <v>45610</v>
      </c>
      <c r="C12620" t="s">
        <v>130</v>
      </c>
      <c r="D12620" t="s">
        <v>5949</v>
      </c>
      <c r="E12620">
        <v>488</v>
      </c>
      <c r="F12620" s="2" t="str">
        <f>IF(Table2[[#This Row],[Manual Cat Value]]="",VLOOKUP(Table2[[#This Row],[Description]],'Actuals Lookup'!D:F,3,0),VLOOKUP(Table2[[#This Row],[Manual Cat Value]],Lookup!A:B,2,0))</f>
        <v>Entertainment</v>
      </c>
      <c r="H12620" s="8" t="s">
        <v>39</v>
      </c>
      <c r="I12620" s="8"/>
      <c r="O12620" t="str">
        <f>LEFT(Table2[[#This Row],[Description]],75)</f>
        <v>AplPay CHILDREN'S THMINNEAPOLIS         MN</v>
      </c>
    </row>
    <row r="12621" spans="1:15" hidden="1">
      <c r="A12621">
        <v>202411</v>
      </c>
      <c r="B12621" s="6">
        <v>45610</v>
      </c>
      <c r="C12621" t="s">
        <v>130</v>
      </c>
      <c r="D12621" t="s">
        <v>5950</v>
      </c>
      <c r="E12621">
        <v>385.5</v>
      </c>
      <c r="F12621" s="2" t="str">
        <f>IF(Table2[[#This Row],[Manual Cat Value]]="",VLOOKUP(Table2[[#This Row],[Description]],'Actuals Lookup'!D:F,3,0),VLOOKUP(Table2[[#This Row],[Manual Cat Value]],Lookup!A:B,2,0))</f>
        <v>Travel</v>
      </c>
      <c r="H12621" t="s">
        <v>52</v>
      </c>
      <c r="I12621" s="8"/>
      <c r="O12621" t="str">
        <f>LEFT(Table2[[#This Row],[Description]],75)</f>
        <v>HEWING HOTEL HEWING MINNEAPOLIS         MN</v>
      </c>
    </row>
    <row r="12622" spans="1:15" hidden="1">
      <c r="A12622">
        <v>202411</v>
      </c>
      <c r="B12622" s="6">
        <v>45610</v>
      </c>
      <c r="C12622" t="s">
        <v>130</v>
      </c>
      <c r="D12622" t="s">
        <v>5951</v>
      </c>
      <c r="E12622">
        <v>220</v>
      </c>
      <c r="F12622" s="2" t="str">
        <f>IF(Table2[[#This Row],[Manual Cat Value]]="",VLOOKUP(Table2[[#This Row],[Description]],'Actuals Lookup'!D:F,3,0),VLOOKUP(Table2[[#This Row],[Manual Cat Value]],Lookup!A:B,2,0))</f>
        <v>Travel</v>
      </c>
      <c r="H12622" t="s">
        <v>52</v>
      </c>
      <c r="I12622" s="8"/>
      <c r="O12622" t="str">
        <f>LEFT(Table2[[#This Row],[Description]],75)</f>
        <v>MT. BACHELOR ECOMMERBend                OR</v>
      </c>
    </row>
    <row r="12623" spans="1:15" hidden="1">
      <c r="A12623">
        <v>202411</v>
      </c>
      <c r="B12623" s="6">
        <v>45610</v>
      </c>
      <c r="C12623" t="s">
        <v>130</v>
      </c>
      <c r="D12623" t="s">
        <v>5762</v>
      </c>
      <c r="E12623">
        <v>20</v>
      </c>
      <c r="F12623" s="2" t="str">
        <f>IF(Table2[[#This Row],[Manual Cat Value]]="",VLOOKUP(Table2[[#This Row],[Description]],'Actuals Lookup'!D:F,3,0),VLOOKUP(Table2[[#This Row],[Manual Cat Value]],Lookup!A:B,2,0))</f>
        <v>Utilities</v>
      </c>
      <c r="H12623" t="s">
        <v>6</v>
      </c>
      <c r="I12623" s="8"/>
      <c r="O12623" t="str">
        <f>LEFT(Table2[[#This Row],[Description]],75)</f>
        <v>OPENAI *CHATGPT SUBSSAN FRANCISCO       CA</v>
      </c>
    </row>
    <row r="12624" spans="1:15" hidden="1">
      <c r="A12624">
        <v>202411</v>
      </c>
      <c r="B12624" s="6">
        <v>45610</v>
      </c>
      <c r="C12624" t="s">
        <v>2519</v>
      </c>
      <c r="D12624" t="s">
        <v>4356</v>
      </c>
      <c r="E12624">
        <v>120.47</v>
      </c>
      <c r="F12624" s="2" t="str">
        <f>IF(Table2[[#This Row],[Manual Cat Value]]="",VLOOKUP(Table2[[#This Row],[Description]],'Actuals Lookup'!D:F,3,0),VLOOKUP(Table2[[#This Row],[Manual Cat Value]],Lookup!A:B,2,0))</f>
        <v>Insurance</v>
      </c>
      <c r="I12624" s="8"/>
      <c r="O12624" t="str">
        <f>LEFT(Table2[[#This Row],[Description]],75)</f>
        <v>Payment to American Family Insurance</v>
      </c>
    </row>
    <row r="12625" spans="1:15" hidden="1">
      <c r="A12625">
        <v>202409</v>
      </c>
      <c r="B12625" s="6">
        <v>45545</v>
      </c>
      <c r="C12625" t="s">
        <v>5952</v>
      </c>
      <c r="D12625" t="s">
        <v>5953</v>
      </c>
      <c r="E12625">
        <v>45.3</v>
      </c>
      <c r="F12625" s="2" t="str">
        <f>IF(Table2[[#This Row],[Manual Cat Value]]="",VLOOKUP(Table2[[#This Row],[Description]],'Actuals Lookup'!D:F,3,0),VLOOKUP(Table2[[#This Row],[Manual Cat Value]],Lookup!A:B,2,0))</f>
        <v>Delete</v>
      </c>
      <c r="H12625" s="8" t="s">
        <v>9</v>
      </c>
      <c r="I12625" s="8"/>
      <c r="O12625" t="str">
        <f>LEFT(Table2[[#This Row],[Description]],75)</f>
        <v>TST* NEWSLINK OF NASNASHVILLE           TN</v>
      </c>
    </row>
    <row r="12626" spans="1:15" hidden="1">
      <c r="A12626">
        <v>202411</v>
      </c>
      <c r="B12626" s="6">
        <v>45610</v>
      </c>
      <c r="C12626" t="s">
        <v>2519</v>
      </c>
      <c r="D12626" t="s">
        <v>4343</v>
      </c>
      <c r="E12626">
        <v>-4351.62</v>
      </c>
      <c r="F12626" s="2" t="str">
        <f>IF(Table2[[#This Row],[Manual Cat Value]]="",VLOOKUP(Table2[[#This Row],[Description]],'Actuals Lookup'!D:F,3,0),VLOOKUP(Table2[[#This Row],[Manual Cat Value]],Lookup!A:B,2,0))</f>
        <v>Jeff</v>
      </c>
      <c r="H12626" t="s">
        <v>63</v>
      </c>
      <c r="I12626" s="8"/>
      <c r="O12626" t="str">
        <f>LEFT(Table2[[#This Row],[Description]],75)</f>
        <v>Salary/Regular Income from TriNet</v>
      </c>
    </row>
    <row r="12627" spans="1:15" hidden="1">
      <c r="A12627">
        <v>202411</v>
      </c>
      <c r="B12627" s="6">
        <v>45610</v>
      </c>
      <c r="C12627" t="s">
        <v>130</v>
      </c>
      <c r="D12627" t="s">
        <v>5954</v>
      </c>
      <c r="E12627">
        <v>106.25</v>
      </c>
      <c r="F12627" s="2" t="str">
        <f>IF(Table2[[#This Row],[Manual Cat Value]]="",VLOOKUP(Table2[[#This Row],[Description]],'Actuals Lookup'!D:F,3,0),VLOOKUP(Table2[[#This Row],[Manual Cat Value]],Lookup!A:B,2,0))</f>
        <v>Shopping</v>
      </c>
      <c r="H12627" t="s">
        <v>36</v>
      </c>
      <c r="I12627" s="8"/>
      <c r="O12627" t="str">
        <f>LEFT(Table2[[#This Row],[Description]],75)</f>
        <v>SP 7DIAMONDS APPARELTUSTIN              CA</v>
      </c>
    </row>
    <row r="12628" spans="1:15" hidden="1">
      <c r="A12628">
        <v>202411</v>
      </c>
      <c r="B12628" s="6">
        <v>45611</v>
      </c>
      <c r="C12628" t="s">
        <v>2258</v>
      </c>
      <c r="D12628" t="s">
        <v>5955</v>
      </c>
      <c r="E12628">
        <v>42.24</v>
      </c>
      <c r="F12628" s="2" t="str">
        <f>IF(Table2[[#This Row],[Manual Cat Value]]="",VLOOKUP(Table2[[#This Row],[Description]],'Actuals Lookup'!D:F,3,0),VLOOKUP(Table2[[#This Row],[Manual Cat Value]],Lookup!A:B,2,0))</f>
        <v>Amazon</v>
      </c>
      <c r="H12628" s="8" t="s">
        <v>37</v>
      </c>
      <c r="I12628" s="8"/>
      <c r="O12628" t="str">
        <f>LEFT(Table2[[#This Row],[Description]],75)</f>
        <v>AMAZON MKTPL*W42IF5SK3 AMZN.COM/BILLWA2DF0PYUBZV3</v>
      </c>
    </row>
    <row r="12629" spans="1:15" hidden="1">
      <c r="A12629">
        <v>202411</v>
      </c>
      <c r="B12629" s="6">
        <v>45611</v>
      </c>
      <c r="C12629" t="s">
        <v>130</v>
      </c>
      <c r="D12629" t="s">
        <v>5759</v>
      </c>
      <c r="E12629">
        <v>116.75</v>
      </c>
      <c r="F12629" s="2" t="str">
        <f>IF(Table2[[#This Row],[Manual Cat Value]]="",VLOOKUP(Table2[[#This Row],[Description]],'Actuals Lookup'!D:F,3,0),VLOOKUP(Table2[[#This Row],[Manual Cat Value]],Lookup!A:B,2,0))</f>
        <v>Groceries</v>
      </c>
      <c r="H12629" t="s">
        <v>27</v>
      </c>
      <c r="I12629" s="8"/>
      <c r="O12629" t="str">
        <f>LEFT(Table2[[#This Row],[Description]],75)</f>
        <v>HOME CHEF           CHICAGO             IL</v>
      </c>
    </row>
    <row r="12630" spans="1:15" hidden="1">
      <c r="A12630">
        <v>202411</v>
      </c>
      <c r="B12630" s="6">
        <v>45611</v>
      </c>
      <c r="C12630" t="s">
        <v>130</v>
      </c>
      <c r="D12630" t="s">
        <v>5956</v>
      </c>
      <c r="E12630">
        <v>161.29</v>
      </c>
      <c r="F12630" s="2" t="str">
        <f>IF(Table2[[#This Row],[Manual Cat Value]]="",VLOOKUP(Table2[[#This Row],[Description]],'Actuals Lookup'!D:F,3,0),VLOOKUP(Table2[[#This Row],[Manual Cat Value]],Lookup!A:B,2,0))</f>
        <v>Restaurants</v>
      </c>
      <c r="H12630" t="s">
        <v>25</v>
      </c>
      <c r="I12630" s="8"/>
      <c r="O12630" t="str">
        <f>LEFT(Table2[[#This Row],[Description]],75)</f>
        <v>KKINACONIKKEIANDPISCHOPKINS             MN</v>
      </c>
    </row>
    <row r="12631" spans="1:15" hidden="1">
      <c r="A12631">
        <v>202411</v>
      </c>
      <c r="B12631" s="6">
        <v>45611</v>
      </c>
      <c r="C12631" t="s">
        <v>2519</v>
      </c>
      <c r="D12631" t="s">
        <v>1958</v>
      </c>
      <c r="E12631">
        <v>125</v>
      </c>
      <c r="F12631" s="2" t="str">
        <f>IF(Table2[[#This Row],[Manual Cat Value]]="",VLOOKUP(Table2[[#This Row],[Description]],'Actuals Lookup'!D:F,3,0),VLOOKUP(Table2[[#This Row],[Manual Cat Value]],Lookup!A:B,2,0))</f>
        <v>Shopping</v>
      </c>
      <c r="I12631" s="8"/>
      <c r="O12631" t="str">
        <f>LEFT(Table2[[#This Row],[Description]],75)</f>
        <v>Transfer to Venmo</v>
      </c>
    </row>
    <row r="12632" spans="1:15" hidden="1">
      <c r="A12632">
        <v>202411</v>
      </c>
      <c r="B12632" s="6">
        <v>45612</v>
      </c>
      <c r="C12632" t="s">
        <v>130</v>
      </c>
      <c r="D12632" t="s">
        <v>5957</v>
      </c>
      <c r="E12632">
        <v>57</v>
      </c>
      <c r="F12632" s="2" t="str">
        <f>IF(Table2[[#This Row],[Manual Cat Value]]="",VLOOKUP(Table2[[#This Row],[Description]],'Actuals Lookup'!D:F,3,0),VLOOKUP(Table2[[#This Row],[Manual Cat Value]],Lookup!A:B,2,0))</f>
        <v>Day Care</v>
      </c>
      <c r="H12632" s="8" t="s">
        <v>19</v>
      </c>
      <c r="I12632" s="8"/>
      <c r="O12632" t="str">
        <f>LEFT(Table2[[#This Row],[Description]],75)</f>
        <v>AplPay KIDSHAIR_303 MINNETONKA          MN</v>
      </c>
    </row>
    <row r="12633" spans="1:15" hidden="1">
      <c r="A12633">
        <v>202411</v>
      </c>
      <c r="B12633" s="6">
        <v>45612</v>
      </c>
      <c r="C12633" t="s">
        <v>130</v>
      </c>
      <c r="D12633" t="s">
        <v>5958</v>
      </c>
      <c r="E12633">
        <v>14.96</v>
      </c>
      <c r="F12633" s="2" t="str">
        <f>IF(Table2[[#This Row],[Manual Cat Value]]="",VLOOKUP(Table2[[#This Row],[Description]],'Actuals Lookup'!D:F,3,0),VLOOKUP(Table2[[#This Row],[Manual Cat Value]],Lookup!A:B,2,0))</f>
        <v>Groceries</v>
      </c>
      <c r="H12633" t="s">
        <v>27</v>
      </c>
      <c r="I12633" s="8"/>
      <c r="O12633" t="str">
        <f>LEFT(Table2[[#This Row],[Description]],75)</f>
        <v>CHASKA CLUB FOODS   CHASKA              MN</v>
      </c>
    </row>
    <row r="12634" spans="1:15" hidden="1">
      <c r="A12634">
        <v>202411</v>
      </c>
      <c r="B12634" s="6">
        <v>45612</v>
      </c>
      <c r="C12634" t="s">
        <v>130</v>
      </c>
      <c r="D12634" t="s">
        <v>5959</v>
      </c>
      <c r="E12634">
        <v>38.049999999999997</v>
      </c>
      <c r="F12634" s="2" t="str">
        <f>IF(Table2[[#This Row],[Manual Cat Value]]="",VLOOKUP(Table2[[#This Row],[Description]],'Actuals Lookup'!D:F,3,0),VLOOKUP(Table2[[#This Row],[Manual Cat Value]],Lookup!A:B,2,0))</f>
        <v>Restaurants</v>
      </c>
      <c r="H12634" t="s">
        <v>25</v>
      </c>
      <c r="I12634" s="8"/>
      <c r="O12634" t="str">
        <f>LEFT(Table2[[#This Row],[Description]],75)</f>
        <v>DETELLO'S PIZZA &amp; PACHASKA              MN</v>
      </c>
    </row>
    <row r="12635" spans="1:15" hidden="1">
      <c r="A12635">
        <v>202411</v>
      </c>
      <c r="B12635" s="6">
        <v>45612</v>
      </c>
      <c r="C12635" t="s">
        <v>130</v>
      </c>
      <c r="D12635" t="s">
        <v>5790</v>
      </c>
      <c r="E12635">
        <v>38.99</v>
      </c>
      <c r="F12635" s="2" t="str">
        <f>IF(Table2[[#This Row],[Manual Cat Value]]="",VLOOKUP(Table2[[#This Row],[Description]],'Actuals Lookup'!D:F,3,0),VLOOKUP(Table2[[#This Row],[Manual Cat Value]],Lookup!A:B,2,0))</f>
        <v>Utilities</v>
      </c>
      <c r="H12635" s="8" t="s">
        <v>6</v>
      </c>
      <c r="I12635" s="8"/>
      <c r="O12635" t="str">
        <f>LEFT(Table2[[#This Row],[Description]],75)</f>
        <v>GOOGLE*SVCSGNS.3349- G.CO HELPPAY#</v>
      </c>
    </row>
    <row r="12636" spans="1:15" hidden="1">
      <c r="A12636">
        <v>202411</v>
      </c>
      <c r="B12636" s="6">
        <v>45612</v>
      </c>
      <c r="C12636" t="s">
        <v>130</v>
      </c>
      <c r="D12636" t="s">
        <v>5960</v>
      </c>
      <c r="E12636">
        <v>61.7</v>
      </c>
      <c r="F12636" s="2" t="str">
        <f>IF(Table2[[#This Row],[Manual Cat Value]]="",VLOOKUP(Table2[[#This Row],[Description]],'Actuals Lookup'!D:F,3,0),VLOOKUP(Table2[[#This Row],[Manual Cat Value]],Lookup!A:B,2,0))</f>
        <v>Misc</v>
      </c>
      <c r="H12636" t="s">
        <v>46</v>
      </c>
      <c r="I12636" s="8"/>
      <c r="O12636" t="str">
        <f>LEFT(Table2[[#This Row],[Description]],75)</f>
        <v>USPS PO 2645930345 0MINNETONKA          MN</v>
      </c>
    </row>
    <row r="12637" spans="1:15" hidden="1">
      <c r="A12637">
        <v>202411</v>
      </c>
      <c r="B12637" s="6">
        <v>45613</v>
      </c>
      <c r="C12637" t="s">
        <v>3938</v>
      </c>
      <c r="D12637" t="s">
        <v>4887</v>
      </c>
      <c r="E12637">
        <v>39.64</v>
      </c>
      <c r="F12637" s="2" t="str">
        <f>IF(Table2[[#This Row],[Manual Cat Value]]="",VLOOKUP(Table2[[#This Row],[Description]],'Actuals Lookup'!D:F,3,0),VLOOKUP(Table2[[#This Row],[Manual Cat Value]],Lookup!A:B,2,0))</f>
        <v>Groceries</v>
      </c>
      <c r="I12637" s="8"/>
      <c r="O12637" t="str">
        <f>LEFT(Table2[[#This Row],[Description]],75)</f>
        <v>Costco Gas Stations</v>
      </c>
    </row>
    <row r="12638" spans="1:15" hidden="1">
      <c r="A12638" s="25">
        <v>202406</v>
      </c>
      <c r="B12638" s="6">
        <v>45449</v>
      </c>
      <c r="C12638" t="s">
        <v>5160</v>
      </c>
      <c r="D12638" t="s">
        <v>5961</v>
      </c>
      <c r="E12638">
        <v>82.5</v>
      </c>
      <c r="F12638" s="2" t="str">
        <f>IF(Table2[[#This Row],[Manual Cat Value]]="",VLOOKUP(Table2[[#This Row],[Description]],'Actuals Lookup'!D:F,3,0),VLOOKUP(Table2[[#This Row],[Manual Cat Value]],Lookup!A:B,2,0))</f>
        <v>Delete</v>
      </c>
      <c r="G12638" t="s">
        <v>26</v>
      </c>
      <c r="H12638" t="s">
        <v>9</v>
      </c>
      <c r="I12638" s="8"/>
      <c r="O12638" t="str">
        <f>LEFT(Table2[[#This Row],[Description]],75)</f>
        <v>Tst* The Smokehouse Hilton Head Isl Sc</v>
      </c>
    </row>
    <row r="12639" spans="1:15" hidden="1">
      <c r="A12639">
        <v>202411</v>
      </c>
      <c r="B12639" s="6">
        <v>45616</v>
      </c>
      <c r="C12639" t="s">
        <v>3938</v>
      </c>
      <c r="D12639" t="s">
        <v>5962</v>
      </c>
      <c r="E12639">
        <v>79.599999999999994</v>
      </c>
      <c r="F12639" s="2" t="str">
        <f>IF(Table2[[#This Row],[Manual Cat Value]]="",VLOOKUP(Table2[[#This Row],[Description]],'Actuals Lookup'!D:F,3,0),VLOOKUP(Table2[[#This Row],[Manual Cat Value]],Lookup!A:B,2,0))</f>
        <v>Delete</v>
      </c>
      <c r="H12639" t="s">
        <v>9</v>
      </c>
      <c r="I12639" s="8"/>
      <c r="O12639" t="str">
        <f>LEFT(Table2[[#This Row],[Description]],75)</f>
        <v>TST-Happy Days Deli Cork IE REF #XX8750NL01XAA73L</v>
      </c>
    </row>
    <row r="12640" spans="1:15" hidden="1">
      <c r="A12640">
        <v>202407</v>
      </c>
      <c r="B12640" s="6">
        <v>45487</v>
      </c>
      <c r="C12640" t="s">
        <v>3938</v>
      </c>
      <c r="D12640" t="s">
        <v>2078</v>
      </c>
      <c r="E12640">
        <v>67.72</v>
      </c>
      <c r="F12640" s="2" t="str">
        <f>IF(Table2[[#This Row],[Manual Cat Value]]="",VLOOKUP(Table2[[#This Row],[Description]],'Actuals Lookup'!D:F,3,0),VLOOKUP(Table2[[#This Row],[Manual Cat Value]],Lookup!A:B,2,0))</f>
        <v>Delete</v>
      </c>
      <c r="H12640" s="8" t="s">
        <v>9</v>
      </c>
      <c r="I12640" s="8"/>
      <c r="O12640" t="str">
        <f>LEFT(Table2[[#This Row],[Description]],75)</f>
        <v>Uber</v>
      </c>
    </row>
    <row r="12641" spans="1:17" hidden="1">
      <c r="A12641">
        <v>202411</v>
      </c>
      <c r="B12641" s="6">
        <v>45613</v>
      </c>
      <c r="C12641" t="s">
        <v>3938</v>
      </c>
      <c r="D12641" t="s">
        <v>5402</v>
      </c>
      <c r="E12641">
        <v>71.25</v>
      </c>
      <c r="F12641" s="2" t="str">
        <f>IF(Table2[[#This Row],[Manual Cat Value]]="",VLOOKUP(Table2[[#This Row],[Description]],'Actuals Lookup'!D:F,3,0),VLOOKUP(Table2[[#This Row],[Manual Cat Value]],Lookup!A:B,2,0))</f>
        <v>Shopping</v>
      </c>
      <c r="H12641" t="s">
        <v>36</v>
      </c>
      <c r="I12641" s="8"/>
      <c r="O12641" t="str">
        <f>LEFT(Table2[[#This Row],[Description]],75)</f>
        <v>Nike</v>
      </c>
    </row>
    <row r="12642" spans="1:17" hidden="1">
      <c r="A12642">
        <v>202411</v>
      </c>
      <c r="B12642" s="6">
        <v>45613</v>
      </c>
      <c r="C12642" t="s">
        <v>130</v>
      </c>
      <c r="D12642" t="s">
        <v>5901</v>
      </c>
      <c r="E12642">
        <v>-190</v>
      </c>
      <c r="F12642" s="2" t="str">
        <f>IF(Table2[[#This Row],[Manual Cat Value]]="",VLOOKUP(Table2[[#This Row],[Description]],'Actuals Lookup'!D:F,3,0),VLOOKUP(Table2[[#This Row],[Manual Cat Value]],Lookup!A:B,2,0))</f>
        <v>Shopping</v>
      </c>
      <c r="H12642" t="s">
        <v>36</v>
      </c>
      <c r="I12642" s="8"/>
      <c r="O12642" t="str">
        <f>LEFT(Table2[[#This Row],[Description]],75)</f>
        <v>SP THURSDAY BOOT COMNEW YORK            NY</v>
      </c>
    </row>
    <row r="12643" spans="1:17" hidden="1">
      <c r="A12643">
        <v>202411</v>
      </c>
      <c r="B12643" s="6">
        <v>45614</v>
      </c>
      <c r="C12643" t="s">
        <v>2258</v>
      </c>
      <c r="D12643" t="s">
        <v>5963</v>
      </c>
      <c r="E12643">
        <v>118.24</v>
      </c>
      <c r="F12643" s="2" t="str">
        <f>IF(Table2[[#This Row],[Manual Cat Value]]="",VLOOKUP(Table2[[#This Row],[Description]],'Actuals Lookup'!D:F,3,0),VLOOKUP(Table2[[#This Row],[Manual Cat Value]],Lookup!A:B,2,0))</f>
        <v>Amazon</v>
      </c>
      <c r="H12643" s="8" t="s">
        <v>37</v>
      </c>
      <c r="I12643" s="8"/>
      <c r="O12643" t="str">
        <f>LEFT(Table2[[#This Row],[Description]],75)</f>
        <v>AMAZON MKTPL*FR11E3XL3 AMZN.COM/BILLWA5U6ZS90YB6V</v>
      </c>
    </row>
    <row r="12644" spans="1:17" hidden="1">
      <c r="A12644">
        <v>202411</v>
      </c>
      <c r="B12644" s="6">
        <v>45614</v>
      </c>
      <c r="C12644" t="s">
        <v>130</v>
      </c>
      <c r="D12644" t="s">
        <v>5847</v>
      </c>
      <c r="E12644">
        <v>-120</v>
      </c>
      <c r="F12644" s="2" t="str">
        <f>IF(Table2[[#This Row],[Manual Cat Value]]="",VLOOKUP(Table2[[#This Row],[Description]],'Actuals Lookup'!D:F,3,0),VLOOKUP(Table2[[#This Row],[Manual Cat Value]],Lookup!A:B,2,0))</f>
        <v>Shopping</v>
      </c>
      <c r="H12644" s="8" t="s">
        <v>36</v>
      </c>
      <c r="I12644" s="8"/>
      <c r="O12644" t="str">
        <f>LEFT(Table2[[#This Row],[Description]],75)</f>
        <v>ANTHROPOLOGIE.COM   PHILADELPHIA        PA</v>
      </c>
    </row>
    <row r="12645" spans="1:17" hidden="1">
      <c r="A12645">
        <v>202411</v>
      </c>
      <c r="B12645" s="6">
        <v>45614</v>
      </c>
      <c r="C12645" t="s">
        <v>130</v>
      </c>
      <c r="D12645" t="s">
        <v>5722</v>
      </c>
      <c r="E12645">
        <v>-102.4</v>
      </c>
      <c r="F12645" s="2" t="str">
        <f>IF(Table2[[#This Row],[Manual Cat Value]]="",VLOOKUP(Table2[[#This Row],[Description]],'Actuals Lookup'!D:F,3,0),VLOOKUP(Table2[[#This Row],[Manual Cat Value]],Lookup!A:B,2,0))</f>
        <v>Shopping</v>
      </c>
      <c r="H12645" s="8" t="s">
        <v>36</v>
      </c>
      <c r="I12645" s="8"/>
      <c r="O12645" t="str">
        <f>LEFT(Table2[[#This Row],[Description]],75)</f>
        <v>AplPay ANTHROPOLOGIEMAPLE GROVE         MN</v>
      </c>
    </row>
    <row r="12646" spans="1:17" hidden="1">
      <c r="A12646">
        <v>202411</v>
      </c>
      <c r="B12646" s="6">
        <v>45614</v>
      </c>
      <c r="C12646" t="s">
        <v>130</v>
      </c>
      <c r="D12646" t="s">
        <v>5818</v>
      </c>
      <c r="E12646">
        <v>59.22</v>
      </c>
      <c r="F12646" s="2" t="str">
        <f>IF(Table2[[#This Row],[Manual Cat Value]]="",VLOOKUP(Table2[[#This Row],[Description]],'Actuals Lookup'!D:F,3,0),VLOOKUP(Table2[[#This Row],[Manual Cat Value]],Lookup!A:B,2,0))</f>
        <v>Groceries</v>
      </c>
      <c r="H12646" t="s">
        <v>27</v>
      </c>
      <c r="I12646" s="8"/>
      <c r="O12646" t="str">
        <f>LEFT(Table2[[#This Row],[Description]],75)</f>
        <v>AplPay CUB FOODS #16SHOREWOOD           MN</v>
      </c>
    </row>
    <row r="12647" spans="1:17" hidden="1">
      <c r="A12647" s="25">
        <v>202408</v>
      </c>
      <c r="B12647" s="6">
        <v>45506</v>
      </c>
      <c r="C12647" t="s">
        <v>5160</v>
      </c>
      <c r="D12647" t="s">
        <v>5964</v>
      </c>
      <c r="E12647">
        <v>1254.3900000000001</v>
      </c>
      <c r="F12647" s="2" t="str">
        <f>IF(Table2[[#This Row],[Manual Cat Value]]="",VLOOKUP(Table2[[#This Row],[Description]],'Actuals Lookup'!D:F,3,0),VLOOKUP(Table2[[#This Row],[Manual Cat Value]],Lookup!A:B,2,0))</f>
        <v>Delete</v>
      </c>
      <c r="G12647" t="s">
        <v>26</v>
      </c>
      <c r="H12647" s="8" t="s">
        <v>9</v>
      </c>
      <c r="I12647" s="8"/>
      <c r="O12647" t="str">
        <f>LEFT(Table2[[#This Row],[Description]],75)</f>
        <v>W Boston Hotel</v>
      </c>
    </row>
    <row r="12648" spans="1:17" hidden="1">
      <c r="A12648">
        <v>202411</v>
      </c>
      <c r="B12648" s="6">
        <v>45614</v>
      </c>
      <c r="C12648" t="s">
        <v>130</v>
      </c>
      <c r="D12648" t="s">
        <v>5965</v>
      </c>
      <c r="E12648">
        <v>22.25</v>
      </c>
      <c r="F12648" s="2" t="str">
        <f>IF(Table2[[#This Row],[Manual Cat Value]]="",VLOOKUP(Table2[[#This Row],[Description]],'Actuals Lookup'!D:F,3,0),VLOOKUP(Table2[[#This Row],[Manual Cat Value]],Lookup!A:B,2,0))</f>
        <v>Shopping</v>
      </c>
      <c r="H12648" t="s">
        <v>36</v>
      </c>
      <c r="I12648" s="8"/>
      <c r="O12648" t="str">
        <f>LEFT(Table2[[#This Row],[Description]],75)</f>
        <v>AplPay SUMUP*JOHN O'CORK</v>
      </c>
    </row>
    <row r="12649" spans="1:17" hidden="1">
      <c r="A12649">
        <v>202411</v>
      </c>
      <c r="B12649" s="6">
        <v>45614</v>
      </c>
      <c r="C12649" t="s">
        <v>130</v>
      </c>
      <c r="D12649" t="s">
        <v>5966</v>
      </c>
      <c r="E12649">
        <v>110</v>
      </c>
      <c r="F12649" s="2" t="str">
        <f>IF(Table2[[#This Row],[Manual Cat Value]]="",VLOOKUP(Table2[[#This Row],[Description]],'Actuals Lookup'!D:F,3,0),VLOOKUP(Table2[[#This Row],[Manual Cat Value]],Lookup!A:B,2,0))</f>
        <v>Shopping</v>
      </c>
      <c r="H12649" t="s">
        <v>36</v>
      </c>
      <c r="I12649" s="8"/>
      <c r="O12649" t="str">
        <f>LEFT(Table2[[#This Row],[Description]],75)</f>
        <v>BLVD   *FACE FOUNDRIWAYZATA             MN</v>
      </c>
    </row>
    <row r="12650" spans="1:17" hidden="1">
      <c r="A12650">
        <v>202411</v>
      </c>
      <c r="B12650" s="6">
        <v>45614</v>
      </c>
      <c r="C12650" t="s">
        <v>3938</v>
      </c>
      <c r="D12650" t="s">
        <v>4887</v>
      </c>
      <c r="E12650">
        <v>39.299999999999997</v>
      </c>
      <c r="F12650" s="2" t="str">
        <f>IF(Table2[[#This Row],[Manual Cat Value]]="",VLOOKUP(Table2[[#This Row],[Description]],'Actuals Lookup'!D:F,3,0),VLOOKUP(Table2[[#This Row],[Manual Cat Value]],Lookup!A:B,2,0))</f>
        <v>Groceries</v>
      </c>
      <c r="I12650" s="8"/>
      <c r="O12650" t="str">
        <f>LEFT(Table2[[#This Row],[Description]],75)</f>
        <v>Costco Gas Stations</v>
      </c>
    </row>
    <row r="12651" spans="1:17" hidden="1">
      <c r="A12651">
        <v>202411</v>
      </c>
      <c r="B12651" s="6">
        <v>45614</v>
      </c>
      <c r="C12651" t="s">
        <v>130</v>
      </c>
      <c r="D12651" t="s">
        <v>5967</v>
      </c>
      <c r="E12651">
        <v>63.75</v>
      </c>
      <c r="F12651" s="2" t="str">
        <f>IF(Table2[[#This Row],[Manual Cat Value]]="",VLOOKUP(Table2[[#This Row],[Description]],'Actuals Lookup'!D:F,3,0),VLOOKUP(Table2[[#This Row],[Manual Cat Value]],Lookup!A:B,2,0))</f>
        <v>Restaurants</v>
      </c>
      <c r="H12651" t="s">
        <v>25</v>
      </c>
      <c r="I12651" s="8"/>
      <c r="O12651" t="str">
        <f>LEFT(Table2[[#This Row],[Description]],75)</f>
        <v>ON S KITCHEN        SAINT PAUL          MN</v>
      </c>
    </row>
    <row r="12652" spans="1:17" hidden="1">
      <c r="A12652" s="25">
        <v>202406</v>
      </c>
      <c r="B12652" s="6">
        <v>45463</v>
      </c>
      <c r="C12652" t="s">
        <v>5160</v>
      </c>
      <c r="D12652" t="s">
        <v>5580</v>
      </c>
      <c r="E12652">
        <v>736.38</v>
      </c>
      <c r="F12652" s="2" t="str">
        <f>IF(Table2[[#This Row],[Manual Cat Value]]="",VLOOKUP(Table2[[#This Row],[Description]],'Actuals Lookup'!D:F,3,0),VLOOKUP(Table2[[#This Row],[Manual Cat Value]],Lookup!A:B,2,0))</f>
        <v>Delete</v>
      </c>
      <c r="G12652" t="s">
        <v>43</v>
      </c>
      <c r="H12652" s="8" t="s">
        <v>9</v>
      </c>
      <c r="I12652" s="8" t="s">
        <v>5968</v>
      </c>
      <c r="O12652" t="str">
        <f>LEFT(Table2[[#This Row],[Description]],75)</f>
        <v>Westin Hotels &amp; Resorts</v>
      </c>
    </row>
    <row r="12653" spans="1:17" hidden="1">
      <c r="A12653">
        <v>202411</v>
      </c>
      <c r="B12653" s="6">
        <v>45615</v>
      </c>
      <c r="C12653" t="s">
        <v>130</v>
      </c>
      <c r="D12653" t="s">
        <v>5817</v>
      </c>
      <c r="E12653">
        <v>134.01</v>
      </c>
      <c r="F12653" s="2" t="str">
        <f>IF(Table2[[#This Row],[Manual Cat Value]]="",VLOOKUP(Table2[[#This Row],[Description]],'Actuals Lookup'!D:F,3,0),VLOOKUP(Table2[[#This Row],[Manual Cat Value]],Lookup!A:B,2,0))</f>
        <v>Groceries</v>
      </c>
      <c r="H12653" s="8" t="s">
        <v>27</v>
      </c>
      <c r="I12653" s="8"/>
      <c r="O12653" t="str">
        <f>LEFT(Table2[[#This Row],[Description]],75)</f>
        <v>ADVOCARE</v>
      </c>
    </row>
    <row r="12654" spans="1:17" hidden="1">
      <c r="A12654">
        <v>202411</v>
      </c>
      <c r="B12654" s="6">
        <v>45615</v>
      </c>
      <c r="C12654" t="s">
        <v>2258</v>
      </c>
      <c r="D12654" t="s">
        <v>5969</v>
      </c>
      <c r="E12654">
        <v>2.37</v>
      </c>
      <c r="F12654" s="2" t="str">
        <f>IF(Table2[[#This Row],[Manual Cat Value]]="",VLOOKUP(Table2[[#This Row],[Description]],'Actuals Lookup'!D:F,3,0),VLOOKUP(Table2[[#This Row],[Manual Cat Value]],Lookup!A:B,2,0))</f>
        <v>Amazon</v>
      </c>
      <c r="H12654" s="8" t="s">
        <v>37</v>
      </c>
      <c r="I12654" s="8"/>
      <c r="O12654" t="str">
        <f>LEFT(Table2[[#This Row],[Description]],75)</f>
        <v>AMAZON.COM*BA7CR3TX3 AMZN.COM/BILLWA23BKRQFQYEK</v>
      </c>
    </row>
    <row r="12655" spans="1:17" hidden="1">
      <c r="A12655">
        <v>202411</v>
      </c>
      <c r="B12655" s="6">
        <v>45615</v>
      </c>
      <c r="C12655" t="s">
        <v>130</v>
      </c>
      <c r="D12655" t="s">
        <v>5970</v>
      </c>
      <c r="E12655">
        <v>45</v>
      </c>
      <c r="F12655" s="2" t="str">
        <f>IF(Table2[[#This Row],[Manual Cat Value]]="",VLOOKUP(Table2[[#This Row],[Description]],'Actuals Lookup'!D:F,3,0),VLOOKUP(Table2[[#This Row],[Manual Cat Value]],Lookup!A:B,2,0))</f>
        <v>Restaurants</v>
      </c>
      <c r="H12655" t="s">
        <v>25</v>
      </c>
      <c r="I12655" s="8"/>
      <c r="O12655" t="str">
        <f>LEFT(Table2[[#This Row],[Description]],75)</f>
        <v>AplPay THE WINERY ATWaconia             MN</v>
      </c>
    </row>
    <row r="12656" spans="1:17" hidden="1">
      <c r="A12656">
        <v>202411</v>
      </c>
      <c r="B12656" s="6">
        <v>45615</v>
      </c>
      <c r="C12656" t="s">
        <v>130</v>
      </c>
      <c r="D12656" t="s">
        <v>5890</v>
      </c>
      <c r="E12656">
        <v>75</v>
      </c>
      <c r="F12656" s="2" t="str">
        <f>IF(Table2[[#This Row],[Manual Cat Value]]="",VLOOKUP(Table2[[#This Row],[Description]],'Actuals Lookup'!D:F,3,0),VLOOKUP(Table2[[#This Row],[Manual Cat Value]],Lookup!A:B,2,0))</f>
        <v>Day Care</v>
      </c>
      <c r="H12656" s="8" t="s">
        <v>19</v>
      </c>
      <c r="I12656" s="8"/>
      <c r="O12656" t="str">
        <f>LEFT(Table2[[#This Row],[Description]],75)</f>
        <v>BCS*MINNETONKA COMMUEXCELSIOR           MN</v>
      </c>
      <c r="Q12656" t="s">
        <v>5971</v>
      </c>
    </row>
    <row r="12657" spans="1:17" hidden="1">
      <c r="A12657">
        <v>202411</v>
      </c>
      <c r="B12657" s="6">
        <v>45615</v>
      </c>
      <c r="C12657" t="s">
        <v>130</v>
      </c>
      <c r="D12657" t="s">
        <v>5890</v>
      </c>
      <c r="E12657">
        <v>501</v>
      </c>
      <c r="F12657" s="2" t="str">
        <f>IF(Table2[[#This Row],[Manual Cat Value]]="",VLOOKUP(Table2[[#This Row],[Description]],'Actuals Lookup'!D:F,3,0),VLOOKUP(Table2[[#This Row],[Manual Cat Value]],Lookup!A:B,2,0))</f>
        <v>Day Care</v>
      </c>
      <c r="H12657" s="8" t="s">
        <v>19</v>
      </c>
      <c r="I12657" s="8"/>
      <c r="O12657" t="str">
        <f>LEFT(Table2[[#This Row],[Description]],75)</f>
        <v>BCS*MINNETONKA COMMUEXCELSIOR           MN</v>
      </c>
      <c r="Q12657" t="s">
        <v>5971</v>
      </c>
    </row>
    <row r="12658" spans="1:17" hidden="1">
      <c r="A12658">
        <v>202411</v>
      </c>
      <c r="B12658" s="6">
        <v>45615</v>
      </c>
      <c r="C12658" t="s">
        <v>130</v>
      </c>
      <c r="D12658" t="s">
        <v>5972</v>
      </c>
      <c r="E12658">
        <v>300.19</v>
      </c>
      <c r="F12658" s="2" t="str">
        <f>IF(Table2[[#This Row],[Manual Cat Value]]="",VLOOKUP(Table2[[#This Row],[Description]],'Actuals Lookup'!D:F,3,0),VLOOKUP(Table2[[#This Row],[Manual Cat Value]],Lookup!A:B,2,0))</f>
        <v>Shopping</v>
      </c>
      <c r="H12658" t="s">
        <v>36</v>
      </c>
      <c r="I12658" s="8"/>
      <c r="O12658" t="str">
        <f>LEFT(Table2[[#This Row],[Description]],75)</f>
        <v>BT*SHUTTERFLY, INC. REDWOOD CITY        CA</v>
      </c>
    </row>
    <row r="12659" spans="1:17" hidden="1">
      <c r="A12659">
        <v>202411</v>
      </c>
      <c r="B12659" s="6">
        <v>45615</v>
      </c>
      <c r="C12659" t="s">
        <v>3938</v>
      </c>
      <c r="D12659" t="s">
        <v>5973</v>
      </c>
      <c r="E12659">
        <v>47.14</v>
      </c>
      <c r="F12659" s="2" t="str">
        <f>IF(Table2[[#This Row],[Manual Cat Value]]="",VLOOKUP(Table2[[#This Row],[Description]],'Actuals Lookup'!D:F,3,0),VLOOKUP(Table2[[#This Row],[Manual Cat Value]],Lookup!A:B,2,0))</f>
        <v>Groceries</v>
      </c>
      <c r="H12659" t="s">
        <v>27</v>
      </c>
      <c r="I12659" s="8"/>
      <c r="O12659" t="str">
        <f>LEFT(Table2[[#This Row],[Description]],75)</f>
        <v>NO 21 OFF LICENCE CORK CITY IE REF #XX5733NL01ZFTNKT</v>
      </c>
    </row>
    <row r="12660" spans="1:17" hidden="1">
      <c r="A12660" s="25">
        <v>202407</v>
      </c>
      <c r="B12660" s="6">
        <v>45501</v>
      </c>
      <c r="C12660" t="s">
        <v>5160</v>
      </c>
      <c r="D12660" t="s">
        <v>5580</v>
      </c>
      <c r="E12660">
        <v>50</v>
      </c>
      <c r="F12660" s="2" t="str">
        <f>IF(Table2[[#This Row],[Manual Cat Value]]="",VLOOKUP(Table2[[#This Row],[Description]],'Actuals Lookup'!D:F,3,0),VLOOKUP(Table2[[#This Row],[Manual Cat Value]],Lookup!A:B,2,0))</f>
        <v>Delete</v>
      </c>
      <c r="G12660" t="s">
        <v>43</v>
      </c>
      <c r="H12660" s="8" t="s">
        <v>9</v>
      </c>
      <c r="I12660" s="8"/>
      <c r="O12660" t="str">
        <f>LEFT(Table2[[#This Row],[Description]],75)</f>
        <v>Westin Hotels &amp; Resorts</v>
      </c>
    </row>
    <row r="12661" spans="1:17" hidden="1">
      <c r="A12661">
        <v>202411</v>
      </c>
      <c r="B12661" s="6">
        <v>45615</v>
      </c>
      <c r="C12661" t="s">
        <v>2519</v>
      </c>
      <c r="D12661" t="s">
        <v>1955</v>
      </c>
      <c r="E12661">
        <v>2.99</v>
      </c>
      <c r="F12661" s="2" t="str">
        <f>IF(Table2[[#This Row],[Manual Cat Value]]="",VLOOKUP(Table2[[#This Row],[Description]],'Actuals Lookup'!D:F,3,0),VLOOKUP(Table2[[#This Row],[Manual Cat Value]],Lookup!A:B,2,0))</f>
        <v>Shopping</v>
      </c>
      <c r="I12661" s="8"/>
      <c r="O12661" t="str">
        <f>LEFT(Table2[[#This Row],[Description]],75)</f>
        <v>Transfer to PayPal</v>
      </c>
    </row>
    <row r="12662" spans="1:17" hidden="1">
      <c r="A12662">
        <v>202411</v>
      </c>
      <c r="B12662" s="6">
        <v>45615</v>
      </c>
      <c r="C12662" t="s">
        <v>3938</v>
      </c>
      <c r="D12662" t="s">
        <v>2078</v>
      </c>
      <c r="E12662">
        <v>24.75</v>
      </c>
      <c r="F12662" s="2" t="str">
        <f>IF(Table2[[#This Row],[Manual Cat Value]]="",VLOOKUP(Table2[[#This Row],[Description]],'Actuals Lookup'!D:F,3,0),VLOOKUP(Table2[[#This Row],[Manual Cat Value]],Lookup!A:B,2,0))</f>
        <v>Transportation</v>
      </c>
      <c r="I12662" s="8"/>
      <c r="O12662" t="str">
        <f>LEFT(Table2[[#This Row],[Description]],75)</f>
        <v>Uber</v>
      </c>
    </row>
    <row r="12663" spans="1:17" hidden="1">
      <c r="A12663">
        <v>202411</v>
      </c>
      <c r="B12663" s="6">
        <v>45615</v>
      </c>
      <c r="C12663" t="s">
        <v>2519</v>
      </c>
      <c r="D12663" t="s">
        <v>5974</v>
      </c>
      <c r="E12663">
        <v>380</v>
      </c>
      <c r="F12663" s="2" t="str">
        <f>IF(Table2[[#This Row],[Manual Cat Value]]="",VLOOKUP(Table2[[#This Row],[Description]],'Actuals Lookup'!D:F,3,0),VLOOKUP(Table2[[#This Row],[Manual Cat Value]],Lookup!A:B,2,0))</f>
        <v>Day Care</v>
      </c>
      <c r="H12663" s="8" t="s">
        <v>19</v>
      </c>
      <c r="I12663" s="8"/>
      <c r="O12663" t="str">
        <f>LEFT(Table2[[#This Row],[Description]],75)</f>
        <v>Withdrawal ACH Mis Amigos Presc TYPE: ID: XX7393 NAME: BCU CO: Mis Amigos P</v>
      </c>
    </row>
    <row r="12664" spans="1:17" hidden="1">
      <c r="A12664">
        <v>202411</v>
      </c>
      <c r="B12664" s="6">
        <v>45616</v>
      </c>
      <c r="C12664" t="s">
        <v>3938</v>
      </c>
      <c r="D12664" t="s">
        <v>5975</v>
      </c>
      <c r="E12664">
        <v>1.99</v>
      </c>
      <c r="F12664" s="2" t="str">
        <f>IF(Table2[[#This Row],[Manual Cat Value]]="",VLOOKUP(Table2[[#This Row],[Description]],'Actuals Lookup'!D:F,3,0),VLOOKUP(Table2[[#This Row],[Manual Cat Value]],Lookup!A:B,2,0))</f>
        <v>Utilities</v>
      </c>
      <c r="H12664" s="8" t="s">
        <v>6</v>
      </c>
      <c r="I12664" s="8"/>
      <c r="O12664" t="str">
        <f>LEFT(Table2[[#This Row],[Description]],75)</f>
        <v>GOOGLE *Google One XX-3987 CA REF #XX9216NL3326SJK6</v>
      </c>
    </row>
    <row r="12665" spans="1:17" hidden="1">
      <c r="A12665">
        <v>202411</v>
      </c>
      <c r="B12665" s="6">
        <v>45616</v>
      </c>
      <c r="C12665" t="s">
        <v>2519</v>
      </c>
      <c r="D12665" t="s">
        <v>1355</v>
      </c>
      <c r="E12665">
        <v>202.25</v>
      </c>
      <c r="F12665" s="2" t="str">
        <f>IF(Table2[[#This Row],[Manual Cat Value]]="",VLOOKUP(Table2[[#This Row],[Description]],'Actuals Lookup'!D:F,3,0),VLOOKUP(Table2[[#This Row],[Manual Cat Value]],Lookup!A:B,2,0))</f>
        <v>Shopping</v>
      </c>
      <c r="H12665" t="s">
        <v>36</v>
      </c>
      <c r="I12665" s="8"/>
      <c r="O12665" t="str">
        <f>LEFT(Table2[[#This Row],[Description]],75)</f>
        <v>Nordstrom</v>
      </c>
    </row>
    <row r="12666" spans="1:17" hidden="1">
      <c r="A12666">
        <v>202411</v>
      </c>
      <c r="B12666" s="6">
        <v>45616</v>
      </c>
      <c r="C12666" t="s">
        <v>130</v>
      </c>
      <c r="D12666" t="s">
        <v>5901</v>
      </c>
      <c r="E12666">
        <v>-190</v>
      </c>
      <c r="F12666" s="2" t="str">
        <f>IF(Table2[[#This Row],[Manual Cat Value]]="",VLOOKUP(Table2[[#This Row],[Description]],'Actuals Lookup'!D:F,3,0),VLOOKUP(Table2[[#This Row],[Manual Cat Value]],Lookup!A:B,2,0))</f>
        <v>Shopping</v>
      </c>
      <c r="H12666" t="s">
        <v>36</v>
      </c>
      <c r="I12666" s="8"/>
      <c r="O12666" t="str">
        <f>LEFT(Table2[[#This Row],[Description]],75)</f>
        <v>SP THURSDAY BOOT COMNEW YORK            NY</v>
      </c>
    </row>
    <row r="12667" spans="1:17" hidden="1">
      <c r="A12667" s="25">
        <v>202408</v>
      </c>
      <c r="B12667" s="6">
        <v>45518</v>
      </c>
      <c r="C12667" t="s">
        <v>5160</v>
      </c>
      <c r="D12667" t="s">
        <v>5580</v>
      </c>
      <c r="E12667">
        <v>4.28</v>
      </c>
      <c r="F12667" s="2" t="str">
        <f>IF(Table2[[#This Row],[Manual Cat Value]]="",VLOOKUP(Table2[[#This Row],[Description]],'Actuals Lookup'!D:F,3,0),VLOOKUP(Table2[[#This Row],[Manual Cat Value]],Lookup!A:B,2,0))</f>
        <v>Delete</v>
      </c>
      <c r="G12667" t="s">
        <v>43</v>
      </c>
      <c r="H12667" s="8" t="s">
        <v>9</v>
      </c>
      <c r="I12667" s="8"/>
      <c r="O12667" t="str">
        <f>LEFT(Table2[[#This Row],[Description]],75)</f>
        <v>Westin Hotels &amp; Resorts</v>
      </c>
    </row>
    <row r="12668" spans="1:17" hidden="1">
      <c r="A12668" s="25">
        <v>202408</v>
      </c>
      <c r="B12668" s="6">
        <v>45519</v>
      </c>
      <c r="C12668" t="s">
        <v>5160</v>
      </c>
      <c r="D12668" t="s">
        <v>5580</v>
      </c>
      <c r="E12668">
        <v>454.99</v>
      </c>
      <c r="F12668" s="2" t="str">
        <f>IF(Table2[[#This Row],[Manual Cat Value]]="",VLOOKUP(Table2[[#This Row],[Description]],'Actuals Lookup'!D:F,3,0),VLOOKUP(Table2[[#This Row],[Manual Cat Value]],Lookup!A:B,2,0))</f>
        <v>Delete</v>
      </c>
      <c r="G12668" t="s">
        <v>43</v>
      </c>
      <c r="H12668" s="8" t="s">
        <v>9</v>
      </c>
      <c r="I12668" s="8"/>
      <c r="O12668" t="str">
        <f>LEFT(Table2[[#This Row],[Description]],75)</f>
        <v>Westin Hotels &amp; Resorts</v>
      </c>
    </row>
    <row r="12669" spans="1:17" hidden="1">
      <c r="A12669">
        <v>202411</v>
      </c>
      <c r="B12669" s="6">
        <v>45617</v>
      </c>
      <c r="C12669" t="s">
        <v>130</v>
      </c>
      <c r="D12669" t="s">
        <v>5976</v>
      </c>
      <c r="E12669">
        <v>45.79</v>
      </c>
      <c r="F12669" s="2" t="str">
        <f>IF(Table2[[#This Row],[Manual Cat Value]]="",VLOOKUP(Table2[[#This Row],[Description]],'Actuals Lookup'!D:F,3,0),VLOOKUP(Table2[[#This Row],[Manual Cat Value]],Lookup!A:B,2,0))</f>
        <v>Shopping</v>
      </c>
      <c r="H12669" t="s">
        <v>36</v>
      </c>
      <c r="I12669" s="8"/>
      <c r="O12669" t="str">
        <f>LEFT(Table2[[#This Row],[Description]],75)</f>
        <v>AplPay GOGLOW_476   SOUTH EDINA         MN</v>
      </c>
    </row>
    <row r="12670" spans="1:17" hidden="1">
      <c r="A12670">
        <v>202411</v>
      </c>
      <c r="B12670" s="6">
        <v>45617</v>
      </c>
      <c r="C12670" t="s">
        <v>130</v>
      </c>
      <c r="D12670" t="s">
        <v>5977</v>
      </c>
      <c r="E12670">
        <v>15.25</v>
      </c>
      <c r="F12670" s="2" t="str">
        <f>IF(Table2[[#This Row],[Manual Cat Value]]="",VLOOKUP(Table2[[#This Row],[Description]],'Actuals Lookup'!D:F,3,0),VLOOKUP(Table2[[#This Row],[Manual Cat Value]],Lookup!A:B,2,0))</f>
        <v>Restaurants</v>
      </c>
      <c r="H12670" t="s">
        <v>25</v>
      </c>
      <c r="I12670" s="8"/>
      <c r="O12670" t="str">
        <f>LEFT(Table2[[#This Row],[Description]],75)</f>
        <v>AplPay JJ S POKE    EDINA               MN</v>
      </c>
    </row>
    <row r="12671" spans="1:17" hidden="1">
      <c r="A12671">
        <v>202409</v>
      </c>
      <c r="B12671" s="6">
        <v>45554</v>
      </c>
      <c r="C12671" t="s">
        <v>2519</v>
      </c>
      <c r="D12671" t="s">
        <v>5978</v>
      </c>
      <c r="E12671">
        <v>66.17</v>
      </c>
      <c r="F12671" s="2" t="str">
        <f>IF(Table2[[#This Row],[Manual Cat Value]]="",VLOOKUP(Table2[[#This Row],[Description]],'Actuals Lookup'!D:F,3,0),VLOOKUP(Table2[[#This Row],[Manual Cat Value]],Lookup!A:B,2,0))</f>
        <v>Delete</v>
      </c>
      <c r="H12671" s="8" t="s">
        <v>9</v>
      </c>
      <c r="I12671" s="8"/>
      <c r="O12671" t="str">
        <f>LEFT(Table2[[#This Row],[Description]],75)</f>
        <v>Withdrawal ACH DISCOVER TYPE: ID: XX0270 CO: DISCOVER NAME: TRUITT JEFF Ent</v>
      </c>
    </row>
    <row r="12672" spans="1:17" hidden="1">
      <c r="A12672">
        <v>202411</v>
      </c>
      <c r="B12672" s="6">
        <v>45617</v>
      </c>
      <c r="C12672" t="s">
        <v>3938</v>
      </c>
      <c r="D12672" t="s">
        <v>5979</v>
      </c>
      <c r="E12672">
        <v>11</v>
      </c>
      <c r="F12672" s="2" t="str">
        <f>IF(Table2[[#This Row],[Manual Cat Value]]="",VLOOKUP(Table2[[#This Row],[Description]],'Actuals Lookup'!D:F,3,0),VLOOKUP(Table2[[#This Row],[Manual Cat Value]],Lookup!A:B,2,0))</f>
        <v>House Maintenance</v>
      </c>
      <c r="H12672" t="s">
        <v>1</v>
      </c>
      <c r="I12672" s="8"/>
      <c r="O12672" t="str">
        <f>LEFT(Table2[[#This Row],[Description]],75)</f>
        <v>BONFES PLUMBING HEATING AXX6633 MN REF #XX7539NMS66DGER4</v>
      </c>
    </row>
    <row r="12673" spans="1:15" hidden="1">
      <c r="A12673">
        <v>202408</v>
      </c>
      <c r="B12673" s="6">
        <v>45520</v>
      </c>
      <c r="C12673" t="s">
        <v>2519</v>
      </c>
      <c r="D12673" t="s">
        <v>5980</v>
      </c>
      <c r="E12673">
        <v>283.05</v>
      </c>
      <c r="F12673" s="2" t="str">
        <f>IF(Table2[[#This Row],[Manual Cat Value]]="",VLOOKUP(Table2[[#This Row],[Description]],'Actuals Lookup'!D:F,3,0),VLOOKUP(Table2[[#This Row],[Manual Cat Value]],Lookup!A:B,2,0))</f>
        <v>Delete</v>
      </c>
      <c r="H12673" s="8" t="s">
        <v>9</v>
      </c>
      <c r="I12673" s="8"/>
      <c r="O12673" t="str">
        <f>LEFT(Table2[[#This Row],[Description]],75)</f>
        <v>Withdrawal ACH DISCOVER TYPE: ID: XX0270 CO: DISCOVER NAME: TRUITT JEFF Ent</v>
      </c>
    </row>
    <row r="12674" spans="1:15" hidden="1">
      <c r="A12674">
        <v>202411</v>
      </c>
      <c r="B12674" s="6">
        <v>45617</v>
      </c>
      <c r="C12674" t="s">
        <v>2519</v>
      </c>
      <c r="D12674" t="s">
        <v>404</v>
      </c>
      <c r="E12674">
        <v>-4156.46</v>
      </c>
      <c r="F12674" s="2" t="str">
        <f>IF(Table2[[#This Row],[Manual Cat Value]]="",VLOOKUP(Table2[[#This Row],[Description]],'Actuals Lookup'!D:F,3,0),VLOOKUP(Table2[[#This Row],[Manual Cat Value]],Lookup!A:B,2,0))</f>
        <v>Britney</v>
      </c>
      <c r="H12674" t="s">
        <v>65</v>
      </c>
      <c r="I12674" s="8"/>
      <c r="O12674" t="str">
        <f>LEFT(Table2[[#This Row],[Description]],75)</f>
        <v>Cargill Inc Deposit</v>
      </c>
    </row>
    <row r="12675" spans="1:15" hidden="1">
      <c r="A12675">
        <v>202411</v>
      </c>
      <c r="B12675" s="6">
        <v>45617</v>
      </c>
      <c r="C12675" t="s">
        <v>2519</v>
      </c>
      <c r="D12675" t="s">
        <v>5981</v>
      </c>
      <c r="E12675">
        <v>-1500.61</v>
      </c>
      <c r="F12675" s="2" t="str">
        <f>IF(Table2[[#This Row],[Manual Cat Value]]="",VLOOKUP(Table2[[#This Row],[Description]],'Actuals Lookup'!D:F,3,0),VLOOKUP(Table2[[#This Row],[Manual Cat Value]],Lookup!A:B,2,0))</f>
        <v>Jeff</v>
      </c>
      <c r="H12675" t="s">
        <v>63</v>
      </c>
      <c r="I12675" s="8"/>
      <c r="O12675" t="str">
        <f>LEFT(Table2[[#This Row],[Description]],75)</f>
        <v>Deposit ACH EMPYREAN SOLUTIO TYPE: XX9000 ID: XX3620 CO: EMPYREAN SOLUTIO E</v>
      </c>
    </row>
    <row r="12676" spans="1:15" hidden="1">
      <c r="A12676">
        <v>202411</v>
      </c>
      <c r="B12676" s="6">
        <v>45617</v>
      </c>
      <c r="C12676" t="s">
        <v>130</v>
      </c>
      <c r="D12676" t="s">
        <v>5982</v>
      </c>
      <c r="E12676">
        <v>100</v>
      </c>
      <c r="F12676" s="2" t="str">
        <f>IF(Table2[[#This Row],[Manual Cat Value]]="",VLOOKUP(Table2[[#This Row],[Description]],'Actuals Lookup'!D:F,3,0),VLOOKUP(Table2[[#This Row],[Manual Cat Value]],Lookup!A:B,2,0))</f>
        <v>Day Care</v>
      </c>
      <c r="H12676" t="s">
        <v>19</v>
      </c>
      <c r="I12676" s="8"/>
      <c r="O12676" t="str">
        <f>LEFT(Table2[[#This Row],[Description]],75)</f>
        <v>RVT*MTKA PUB SCHLS-WMINNETONKA          MN</v>
      </c>
    </row>
    <row r="12677" spans="1:15" hidden="1">
      <c r="A12677">
        <v>202411</v>
      </c>
      <c r="B12677" s="6">
        <v>45617</v>
      </c>
      <c r="C12677" t="s">
        <v>3938</v>
      </c>
      <c r="D12677" t="s">
        <v>5983</v>
      </c>
      <c r="E12677">
        <v>4.24</v>
      </c>
      <c r="F12677" s="2" t="str">
        <f>IF(Table2[[#This Row],[Manual Cat Value]]="",VLOOKUP(Table2[[#This Row],[Description]],'Actuals Lookup'!D:F,3,0),VLOOKUP(Table2[[#This Row],[Manual Cat Value]],Lookup!A:B,2,0))</f>
        <v>Transportation</v>
      </c>
      <c r="H12677" t="s">
        <v>22</v>
      </c>
      <c r="I12677" s="8"/>
      <c r="O12677" t="str">
        <f>LEFT(Table2[[#This Row],[Description]],75)</f>
        <v>Tesco</v>
      </c>
    </row>
    <row r="12678" spans="1:15" hidden="1">
      <c r="A12678">
        <v>202411</v>
      </c>
      <c r="B12678" s="6">
        <v>45597</v>
      </c>
      <c r="C12678" t="s">
        <v>2519</v>
      </c>
      <c r="D12678" t="s">
        <v>5984</v>
      </c>
      <c r="E12678">
        <v>650</v>
      </c>
      <c r="F12678" s="2" t="str">
        <f>IF(Table2[[#This Row],[Manual Cat Value]]="",VLOOKUP(Table2[[#This Row],[Description]],'Actuals Lookup'!D:F,3,0),VLOOKUP(Table2[[#This Row],[Manual Cat Value]],Lookup!A:B,2,0))</f>
        <v>Delete</v>
      </c>
      <c r="H12678" s="8" t="s">
        <v>9</v>
      </c>
      <c r="I12678" s="8"/>
      <c r="O12678" t="str">
        <f>LEFT(Table2[[#This Row],[Description]],75)</f>
        <v>Withdrawal ACH ILD529 DIR ACH TYPE: CONTRIB ID: XX2584 CO: ILD529 DIR ACH E</v>
      </c>
    </row>
    <row r="12679" spans="1:15" hidden="1">
      <c r="A12679">
        <v>202411</v>
      </c>
      <c r="B12679" s="6">
        <v>45617</v>
      </c>
      <c r="C12679" t="s">
        <v>2519</v>
      </c>
      <c r="D12679" t="s">
        <v>5985</v>
      </c>
      <c r="E12679">
        <v>79.739999999999995</v>
      </c>
      <c r="F12679" s="2" t="str">
        <f>IF(Table2[[#This Row],[Manual Cat Value]]="",VLOOKUP(Table2[[#This Row],[Description]],'Actuals Lookup'!D:F,3,0),VLOOKUP(Table2[[#This Row],[Manual Cat Value]],Lookup!A:B,2,0))</f>
        <v>Utilities</v>
      </c>
      <c r="H12679" t="s">
        <v>6</v>
      </c>
      <c r="I12679" s="8"/>
      <c r="O12679" t="str">
        <f>LEFT(Table2[[#This Row],[Description]],75)</f>
        <v>Withdrawal ACH CITY OF CHANHASS TYPE: UTIL BILL ID: XX5331 CO: CITY OF CHAN</v>
      </c>
    </row>
    <row r="12680" spans="1:15" hidden="1">
      <c r="A12680">
        <v>202412</v>
      </c>
      <c r="B12680" s="6">
        <v>45628</v>
      </c>
      <c r="C12680" t="s">
        <v>2519</v>
      </c>
      <c r="D12680" t="s">
        <v>5986</v>
      </c>
      <c r="E12680">
        <v>650</v>
      </c>
      <c r="F12680" s="2" t="str">
        <f>IF(Table2[[#This Row],[Manual Cat Value]]="",VLOOKUP(Table2[[#This Row],[Description]],'Actuals Lookup'!D:F,3,0),VLOOKUP(Table2[[#This Row],[Manual Cat Value]],Lookup!A:B,2,0))</f>
        <v>Delete</v>
      </c>
      <c r="H12680" s="8" t="s">
        <v>9</v>
      </c>
      <c r="I12680" s="8"/>
      <c r="O12680" t="str">
        <f>LEFT(Table2[[#This Row],[Description]],75)</f>
        <v>Withdrawal ACH ILD529 DIR ACH TYPE: CONTRIB ID: XX2584 CO: ILD529 DIR ACH E</v>
      </c>
    </row>
    <row r="12681" spans="1:15" hidden="1">
      <c r="A12681">
        <v>202412</v>
      </c>
      <c r="B12681" s="6">
        <v>45653</v>
      </c>
      <c r="C12681" t="s">
        <v>2519</v>
      </c>
      <c r="D12681" t="s">
        <v>5987</v>
      </c>
      <c r="E12681">
        <v>100</v>
      </c>
      <c r="F12681" s="2" t="str">
        <f>IF(Table2[[#This Row],[Manual Cat Value]]="",VLOOKUP(Table2[[#This Row],[Description]],'Actuals Lookup'!D:F,3,0),VLOOKUP(Table2[[#This Row],[Manual Cat Value]],Lookup!A:B,2,0))</f>
        <v>Delete</v>
      </c>
      <c r="H12681" s="8" t="s">
        <v>9</v>
      </c>
      <c r="I12681" s="8"/>
      <c r="O12681" t="str">
        <f>LEFT(Table2[[#This Row],[Description]],75)</f>
        <v>Withdrawal ACH ILD529 DIR ACH TYPE: CONTRIB ID: XX2584 CO: ILD529 DIR ACH N</v>
      </c>
    </row>
    <row r="12682" spans="1:15" hidden="1">
      <c r="A12682">
        <v>202412</v>
      </c>
      <c r="B12682" s="6">
        <v>45644</v>
      </c>
      <c r="C12682" t="s">
        <v>2519</v>
      </c>
      <c r="D12682" t="s">
        <v>5988</v>
      </c>
      <c r="E12682">
        <v>650</v>
      </c>
      <c r="F12682" s="2" t="str">
        <f>IF(Table2[[#This Row],[Manual Cat Value]]="",VLOOKUP(Table2[[#This Row],[Description]],'Actuals Lookup'!D:F,3,0),VLOOKUP(Table2[[#This Row],[Manual Cat Value]],Lookup!A:B,2,0))</f>
        <v>Delete</v>
      </c>
      <c r="H12682" s="8" t="s">
        <v>9</v>
      </c>
      <c r="I12682" s="8"/>
      <c r="O12682" t="str">
        <f>LEFT(Table2[[#This Row],[Description]],75)</f>
        <v>Withdrawal ACH MN DIR ACH TYPE: CONTRIB ID: XX7162 CO: MN DIR ACH NAME: XX2</v>
      </c>
    </row>
    <row r="12683" spans="1:15" hidden="1">
      <c r="A12683">
        <v>202411</v>
      </c>
      <c r="B12683" s="6">
        <v>45614</v>
      </c>
      <c r="C12683" t="s">
        <v>2519</v>
      </c>
      <c r="D12683" t="s">
        <v>5989</v>
      </c>
      <c r="E12683">
        <v>650</v>
      </c>
      <c r="F12683" s="2" t="str">
        <f>IF(Table2[[#This Row],[Manual Cat Value]]="",VLOOKUP(Table2[[#This Row],[Description]],'Actuals Lookup'!D:F,3,0),VLOOKUP(Table2[[#This Row],[Manual Cat Value]],Lookup!A:B,2,0))</f>
        <v>Delete</v>
      </c>
      <c r="H12683" s="8" t="s">
        <v>9</v>
      </c>
      <c r="I12683" s="8"/>
      <c r="O12683" t="str">
        <f>LEFT(Table2[[#This Row],[Description]],75)</f>
        <v>Withdrawal ACH MN DIR ACH TYPE: CONTRIB ID: XX7162 CO: MN DIR ACH NAME: XX2</v>
      </c>
    </row>
    <row r="12684" spans="1:15" hidden="1">
      <c r="A12684">
        <v>202411</v>
      </c>
      <c r="B12684" s="6">
        <v>45618</v>
      </c>
      <c r="C12684" t="s">
        <v>130</v>
      </c>
      <c r="D12684" t="s">
        <v>5990</v>
      </c>
      <c r="E12684">
        <v>48.26</v>
      </c>
      <c r="F12684" s="2" t="str">
        <f>IF(Table2[[#This Row],[Manual Cat Value]]="",VLOOKUP(Table2[[#This Row],[Description]],'Actuals Lookup'!D:F,3,0),VLOOKUP(Table2[[#This Row],[Manual Cat Value]],Lookup!A:B,2,0))</f>
        <v>Restaurants</v>
      </c>
      <c r="H12684" t="s">
        <v>25</v>
      </c>
      <c r="I12684" s="8"/>
      <c r="O12684" t="str">
        <f>LEFT(Table2[[#This Row],[Description]],75)</f>
        <v>AplPay TST* OLIVES FEXCELSIOR           MN</v>
      </c>
    </row>
    <row r="12685" spans="1:15" hidden="1">
      <c r="A12685">
        <v>202411</v>
      </c>
      <c r="B12685" s="6">
        <v>45618</v>
      </c>
      <c r="C12685" t="s">
        <v>130</v>
      </c>
      <c r="D12685" t="s">
        <v>5991</v>
      </c>
      <c r="E12685">
        <v>84.64</v>
      </c>
      <c r="F12685" s="2" t="str">
        <f>IF(Table2[[#This Row],[Manual Cat Value]]="",VLOOKUP(Table2[[#This Row],[Description]],'Actuals Lookup'!D:F,3,0),VLOOKUP(Table2[[#This Row],[Manual Cat Value]],Lookup!A:B,2,0))</f>
        <v>Travel</v>
      </c>
      <c r="H12685" s="8" t="s">
        <v>52</v>
      </c>
      <c r="I12685" s="8"/>
      <c r="O12685" t="str">
        <f>LEFT(Table2[[#This Row],[Description]],75)</f>
        <v>GLOBAL TRAVEL SERVICMinneapolis         MN</v>
      </c>
    </row>
    <row r="12686" spans="1:15" hidden="1">
      <c r="A12686">
        <v>202411</v>
      </c>
      <c r="B12686" s="6">
        <v>45618</v>
      </c>
      <c r="C12686" t="s">
        <v>130</v>
      </c>
      <c r="D12686" t="s">
        <v>5759</v>
      </c>
      <c r="E12686">
        <v>43.15</v>
      </c>
      <c r="F12686" s="2" t="str">
        <f>IF(Table2[[#This Row],[Manual Cat Value]]="",VLOOKUP(Table2[[#This Row],[Description]],'Actuals Lookup'!D:F,3,0),VLOOKUP(Table2[[#This Row],[Manual Cat Value]],Lookup!A:B,2,0))</f>
        <v>Groceries</v>
      </c>
      <c r="H12686" t="s">
        <v>27</v>
      </c>
      <c r="I12686" s="8"/>
      <c r="O12686" t="str">
        <f>LEFT(Table2[[#This Row],[Description]],75)</f>
        <v>HOME CHEF           CHICAGO             IL</v>
      </c>
    </row>
    <row r="12687" spans="1:15" hidden="1">
      <c r="A12687">
        <v>202412</v>
      </c>
      <c r="B12687" s="6">
        <v>45653</v>
      </c>
      <c r="C12687" t="s">
        <v>2519</v>
      </c>
      <c r="D12687" t="s">
        <v>5992</v>
      </c>
      <c r="E12687">
        <v>100</v>
      </c>
      <c r="F12687" s="2" t="str">
        <f>IF(Table2[[#This Row],[Manual Cat Value]]="",VLOOKUP(Table2[[#This Row],[Description]],'Actuals Lookup'!D:F,3,0),VLOOKUP(Table2[[#This Row],[Manual Cat Value]],Lookup!A:B,2,0))</f>
        <v>Delete</v>
      </c>
      <c r="H12687" s="8" t="s">
        <v>9</v>
      </c>
      <c r="I12687" s="8"/>
      <c r="O12687" t="str">
        <f>LEFT(Table2[[#This Row],[Description]],75)</f>
        <v>Withdrawal ACH MN DIR ACH TYPE: CONTRIB ID: XX7162 CO: MN DIR ACH NAME: XX2</v>
      </c>
    </row>
    <row r="12688" spans="1:15" hidden="1">
      <c r="A12688">
        <v>202412</v>
      </c>
      <c r="B12688" s="6">
        <v>45650</v>
      </c>
      <c r="C12688" t="s">
        <v>2519</v>
      </c>
      <c r="D12688" t="s">
        <v>5114</v>
      </c>
      <c r="E12688">
        <v>3000</v>
      </c>
      <c r="F12688" s="2" t="str">
        <f>IF(Table2[[#This Row],[Manual Cat Value]]="",VLOOKUP(Table2[[#This Row],[Description]],'Actuals Lookup'!D:F,3,0),VLOOKUP(Table2[[#This Row],[Manual Cat Value]],Lookup!A:B,2,0))</f>
        <v>Delete</v>
      </c>
      <c r="H12688" s="8" t="s">
        <v>9</v>
      </c>
      <c r="I12688" s="8" t="s">
        <v>5993</v>
      </c>
      <c r="O12688" t="str">
        <f>LEFT(Table2[[#This Row],[Description]],75)</f>
        <v>Withdrawal ACH TRUITTJEFF B TYPE: Online ID: XX2400 NAME: TRUITTJEFF B Entr</v>
      </c>
    </row>
    <row r="12689" spans="1:15" hidden="1">
      <c r="A12689">
        <v>202407</v>
      </c>
      <c r="B12689" s="6">
        <v>45504</v>
      </c>
      <c r="C12689" t="s">
        <v>2519</v>
      </c>
      <c r="D12689" t="s">
        <v>5994</v>
      </c>
      <c r="E12689">
        <v>307</v>
      </c>
      <c r="F12689" s="2" t="str">
        <f>IF(Table2[[#This Row],[Manual Cat Value]]="",VLOOKUP(Table2[[#This Row],[Description]],'Actuals Lookup'!D:F,3,0),VLOOKUP(Table2[[#This Row],[Manual Cat Value]],Lookup!A:B,2,0))</f>
        <v>Delete</v>
      </c>
      <c r="H12689" s="8" t="s">
        <v>9</v>
      </c>
      <c r="I12689" s="8"/>
      <c r="O12689" t="str">
        <f>LEFT(Table2[[#This Row],[Description]],75)</f>
        <v xml:space="preserve">Withdrawal at ATM #XX5400 La Grange Street ATM III 12 La Grange Street EMV </v>
      </c>
    </row>
    <row r="12690" spans="1:15" hidden="1">
      <c r="A12690">
        <v>202407</v>
      </c>
      <c r="B12690" s="6">
        <v>45479</v>
      </c>
      <c r="C12690" t="s">
        <v>2519</v>
      </c>
      <c r="D12690" t="s">
        <v>5995</v>
      </c>
      <c r="E12690">
        <v>63.25</v>
      </c>
      <c r="F12690" s="2" t="str">
        <f>IF(Table2[[#This Row],[Manual Cat Value]]="",VLOOKUP(Table2[[#This Row],[Description]],'Actuals Lookup'!D:F,3,0),VLOOKUP(Table2[[#This Row],[Manual Cat Value]],Lookup!A:B,2,0))</f>
        <v>Delete</v>
      </c>
      <c r="H12690" s="8" t="s">
        <v>9</v>
      </c>
      <c r="I12690" s="8"/>
      <c r="O12690" t="str">
        <f>LEFT(Table2[[#This Row],[Description]],75)</f>
        <v>Withdrawal at ATM #XX6428 PAI ISO 101 COUNTY RD I BALSAM LAKE WI Card 5404</v>
      </c>
    </row>
    <row r="12691" spans="1:15" hidden="1">
      <c r="A12691">
        <v>202411</v>
      </c>
      <c r="B12691" s="6">
        <v>45618</v>
      </c>
      <c r="C12691" t="s">
        <v>130</v>
      </c>
      <c r="D12691" t="s">
        <v>5996</v>
      </c>
      <c r="E12691">
        <v>59.93</v>
      </c>
      <c r="F12691" s="2" t="str">
        <f>IF(Table2[[#This Row],[Manual Cat Value]]="",VLOOKUP(Table2[[#This Row],[Description]],'Actuals Lookup'!D:F,3,0),VLOOKUP(Table2[[#This Row],[Manual Cat Value]],Lookup!A:B,2,0))</f>
        <v>Dry Cleaning</v>
      </c>
      <c r="H12691" t="s">
        <v>42</v>
      </c>
      <c r="I12691" s="8"/>
      <c r="O12691" t="str">
        <f>LEFT(Table2[[#This Row],[Description]],75)</f>
        <v>TIDE DRY CLEANERS EXEXCELSIOR           MN</v>
      </c>
    </row>
    <row r="12692" spans="1:15" hidden="1">
      <c r="A12692">
        <v>202411</v>
      </c>
      <c r="B12692" s="6">
        <v>45618</v>
      </c>
      <c r="C12692" t="s">
        <v>2519</v>
      </c>
      <c r="D12692" t="s">
        <v>1955</v>
      </c>
      <c r="E12692">
        <v>30.29</v>
      </c>
      <c r="F12692" s="2" t="str">
        <f>IF(Table2[[#This Row],[Manual Cat Value]]="",VLOOKUP(Table2[[#This Row],[Description]],'Actuals Lookup'!D:F,3,0),VLOOKUP(Table2[[#This Row],[Manual Cat Value]],Lookup!A:B,2,0))</f>
        <v>Shopping</v>
      </c>
      <c r="I12692" s="8"/>
      <c r="O12692" t="str">
        <f>LEFT(Table2[[#This Row],[Description]],75)</f>
        <v>Transfer to PayPal</v>
      </c>
    </row>
    <row r="12693" spans="1:15" hidden="1">
      <c r="A12693">
        <v>202411</v>
      </c>
      <c r="B12693" s="6">
        <v>45619</v>
      </c>
      <c r="C12693" t="s">
        <v>2258</v>
      </c>
      <c r="D12693" t="s">
        <v>5997</v>
      </c>
      <c r="E12693">
        <v>109.96</v>
      </c>
      <c r="F12693" s="2" t="str">
        <f>IF(Table2[[#This Row],[Manual Cat Value]]="",VLOOKUP(Table2[[#This Row],[Description]],'Actuals Lookup'!D:F,3,0),VLOOKUP(Table2[[#This Row],[Manual Cat Value]],Lookup!A:B,2,0))</f>
        <v>Amazon</v>
      </c>
      <c r="H12693" s="8" t="s">
        <v>37</v>
      </c>
      <c r="I12693" s="8"/>
      <c r="O12693" t="str">
        <f>LEFT(Table2[[#This Row],[Description]],75)</f>
        <v>AMAZON MKTPL*YL02E9T93 AMZN.COM/BILLWA2Z7V5VLTC65</v>
      </c>
    </row>
    <row r="12694" spans="1:15" hidden="1">
      <c r="A12694">
        <v>202411</v>
      </c>
      <c r="B12694" s="6">
        <v>45619</v>
      </c>
      <c r="C12694" t="s">
        <v>130</v>
      </c>
      <c r="D12694" t="s">
        <v>5998</v>
      </c>
      <c r="E12694">
        <v>186.21</v>
      </c>
      <c r="F12694" s="2" t="str">
        <f>IF(Table2[[#This Row],[Manual Cat Value]]="",VLOOKUP(Table2[[#This Row],[Description]],'Actuals Lookup'!D:F,3,0),VLOOKUP(Table2[[#This Row],[Manual Cat Value]],Lookup!A:B,2,0))</f>
        <v>Groceries</v>
      </c>
      <c r="H12694" t="s">
        <v>27</v>
      </c>
      <c r="I12694" s="8"/>
      <c r="O12694" t="str">
        <f>LEFT(Table2[[#This Row],[Description]],75)</f>
        <v>TOTAL WINE AND MORE CHANHASSEN          MN</v>
      </c>
    </row>
    <row r="12695" spans="1:15" hidden="1">
      <c r="A12695">
        <v>202411</v>
      </c>
      <c r="B12695" s="6">
        <v>45619</v>
      </c>
      <c r="C12695" t="s">
        <v>130</v>
      </c>
      <c r="D12695" t="s">
        <v>5999</v>
      </c>
      <c r="E12695">
        <v>7.83</v>
      </c>
      <c r="F12695" s="2" t="str">
        <f>IF(Table2[[#This Row],[Manual Cat Value]]="",VLOOKUP(Table2[[#This Row],[Description]],'Actuals Lookup'!D:F,3,0),VLOOKUP(Table2[[#This Row],[Manual Cat Value]],Lookup!A:B,2,0))</f>
        <v>Restaurants</v>
      </c>
      <c r="H12695" t="s">
        <v>25</v>
      </c>
      <c r="I12695" s="8"/>
      <c r="O12695" t="str">
        <f>LEFT(Table2[[#This Row],[Description]],75)</f>
        <v>TST* CARIBOU COFFEE SAINT PAUL          MN</v>
      </c>
    </row>
    <row r="12696" spans="1:15" hidden="1">
      <c r="A12696">
        <v>202411</v>
      </c>
      <c r="B12696" s="6">
        <v>45620</v>
      </c>
      <c r="C12696" t="s">
        <v>3938</v>
      </c>
      <c r="D12696" t="s">
        <v>6000</v>
      </c>
      <c r="E12696">
        <v>71.680000000000007</v>
      </c>
      <c r="F12696" s="2" t="str">
        <f>IF(Table2[[#This Row],[Manual Cat Value]]="",VLOOKUP(Table2[[#This Row],[Description]],'Actuals Lookup'!D:F,3,0),VLOOKUP(Table2[[#This Row],[Manual Cat Value]],Lookup!A:B,2,0))</f>
        <v>Groceries</v>
      </c>
      <c r="H12696" t="s">
        <v>27</v>
      </c>
      <c r="I12696" s="8"/>
      <c r="O12696" t="str">
        <f>LEFT(Table2[[#This Row],[Description]],75)</f>
        <v>Shop 4721/ Centraal L2 Schiphol AirpNL REF #XX3601NP3790KR73</v>
      </c>
    </row>
    <row r="12697" spans="1:15" hidden="1">
      <c r="A12697">
        <v>202412</v>
      </c>
      <c r="B12697" s="6">
        <v>45652</v>
      </c>
      <c r="C12697" t="s">
        <v>2519</v>
      </c>
      <c r="D12697" t="s">
        <v>6001</v>
      </c>
      <c r="E12697">
        <v>74</v>
      </c>
      <c r="F12697" s="2" t="str">
        <f>IF(Table2[[#This Row],[Manual Cat Value]]="",VLOOKUP(Table2[[#This Row],[Description]],'Actuals Lookup'!D:F,3,0),VLOOKUP(Table2[[#This Row],[Manual Cat Value]],Lookup!A:B,2,0))</f>
        <v>Delete</v>
      </c>
      <c r="H12697" s="8" t="s">
        <v>9</v>
      </c>
      <c r="I12697" s="8"/>
      <c r="O12697" t="str">
        <f>LEFT(Table2[[#This Row],[Description]],75)</f>
        <v>Withdrawal at ATM #XX6770 HUNTINGTON BAN 900 W 78TH ST CHANHASSEN MN Card 5</v>
      </c>
    </row>
    <row r="12698" spans="1:15" hidden="1">
      <c r="A12698">
        <v>202411</v>
      </c>
      <c r="B12698" s="6">
        <v>45620</v>
      </c>
      <c r="C12698" t="s">
        <v>130</v>
      </c>
      <c r="D12698" t="s">
        <v>6002</v>
      </c>
      <c r="E12698">
        <v>58.5</v>
      </c>
      <c r="F12698" s="2" t="str">
        <f>IF(Table2[[#This Row],[Manual Cat Value]]="",VLOOKUP(Table2[[#This Row],[Description]],'Actuals Lookup'!D:F,3,0),VLOOKUP(Table2[[#This Row],[Manual Cat Value]],Lookup!A:B,2,0))</f>
        <v>Shopping</v>
      </c>
      <c r="H12698" t="s">
        <v>36</v>
      </c>
      <c r="I12698" s="8"/>
      <c r="O12698" t="str">
        <f>LEFT(Table2[[#This Row],[Description]],75)</f>
        <v>SP UNRL.CO          SAINT PAUL          MN</v>
      </c>
    </row>
    <row r="12699" spans="1:15" hidden="1">
      <c r="A12699">
        <v>202411</v>
      </c>
      <c r="B12699" s="6">
        <v>45620</v>
      </c>
      <c r="C12699" t="s">
        <v>3938</v>
      </c>
      <c r="D12699" t="s">
        <v>4922</v>
      </c>
      <c r="E12699">
        <v>21.11</v>
      </c>
      <c r="F12699" s="2" t="str">
        <f>IF(Table2[[#This Row],[Manual Cat Value]]="",VLOOKUP(Table2[[#This Row],[Description]],'Actuals Lookup'!D:F,3,0),VLOOKUP(Table2[[#This Row],[Manual Cat Value]],Lookup!A:B,2,0))</f>
        <v>Restaurants</v>
      </c>
      <c r="H12699" t="s">
        <v>25</v>
      </c>
      <c r="I12699" s="8"/>
      <c r="O12699" t="str">
        <f>LEFT(Table2[[#This Row],[Description]],75)</f>
        <v>SumUp</v>
      </c>
    </row>
    <row r="12700" spans="1:15" hidden="1">
      <c r="A12700">
        <v>202411</v>
      </c>
      <c r="B12700" s="6">
        <v>45621</v>
      </c>
      <c r="C12700" t="s">
        <v>2258</v>
      </c>
      <c r="D12700" t="s">
        <v>6003</v>
      </c>
      <c r="E12700">
        <v>10.84</v>
      </c>
      <c r="F12700" s="2" t="str">
        <f>IF(Table2[[#This Row],[Manual Cat Value]]="",VLOOKUP(Table2[[#This Row],[Description]],'Actuals Lookup'!D:F,3,0),VLOOKUP(Table2[[#This Row],[Manual Cat Value]],Lookup!A:B,2,0))</f>
        <v>Amazon</v>
      </c>
      <c r="H12700" s="8" t="s">
        <v>37</v>
      </c>
      <c r="I12700" s="8"/>
      <c r="O12700" t="str">
        <f>LEFT(Table2[[#This Row],[Description]],75)</f>
        <v>AMAZON.COM*NF7YJ0JH3 AMZN.COM/BILLWA61EQ7ONV359</v>
      </c>
    </row>
    <row r="12701" spans="1:15" hidden="1">
      <c r="A12701">
        <v>202411</v>
      </c>
      <c r="B12701" s="6">
        <v>45621</v>
      </c>
      <c r="C12701" t="s">
        <v>130</v>
      </c>
      <c r="D12701" t="s">
        <v>6004</v>
      </c>
      <c r="E12701">
        <v>116.91</v>
      </c>
      <c r="F12701" s="2" t="str">
        <f>IF(Table2[[#This Row],[Manual Cat Value]]="",VLOOKUP(Table2[[#This Row],[Description]],'Actuals Lookup'!D:F,3,0),VLOOKUP(Table2[[#This Row],[Manual Cat Value]],Lookup!A:B,2,0))</f>
        <v>Shopping</v>
      </c>
      <c r="H12701" s="8" t="s">
        <v>36</v>
      </c>
      <c r="I12701" s="8"/>
      <c r="O12701" t="str">
        <f>LEFT(Table2[[#This Row],[Description]],75)</f>
        <v>ANN TAYLOR LOFTCOM</v>
      </c>
    </row>
    <row r="12702" spans="1:15" hidden="1">
      <c r="A12702">
        <v>202411</v>
      </c>
      <c r="B12702" s="6">
        <v>45621</v>
      </c>
      <c r="C12702" t="s">
        <v>130</v>
      </c>
      <c r="D12702" t="s">
        <v>5883</v>
      </c>
      <c r="E12702">
        <v>10.85</v>
      </c>
      <c r="F12702" s="2" t="str">
        <f>IF(Table2[[#This Row],[Manual Cat Value]]="",VLOOKUP(Table2[[#This Row],[Description]],'Actuals Lookup'!D:F,3,0),VLOOKUP(Table2[[#This Row],[Manual Cat Value]],Lookup!A:B,2,0))</f>
        <v>Day Care</v>
      </c>
      <c r="H12702" s="8" t="s">
        <v>19</v>
      </c>
      <c r="I12702" s="8"/>
      <c r="O12702" t="str">
        <f>LEFT(Table2[[#This Row],[Description]],75)</f>
        <v>AplPay MCW 1602-MinnMINNETONKA          MN</v>
      </c>
    </row>
    <row r="12703" spans="1:15" hidden="1">
      <c r="A12703">
        <v>202411</v>
      </c>
      <c r="B12703" s="6">
        <v>45621</v>
      </c>
      <c r="C12703" t="s">
        <v>3938</v>
      </c>
      <c r="D12703" t="s">
        <v>648</v>
      </c>
      <c r="E12703">
        <v>99.12</v>
      </c>
      <c r="F12703" s="2" t="str">
        <f>IF(Table2[[#This Row],[Manual Cat Value]]="",VLOOKUP(Table2[[#This Row],[Description]],'Actuals Lookup'!D:F,3,0),VLOOKUP(Table2[[#This Row],[Manual Cat Value]],Lookup!A:B,2,0))</f>
        <v>Groceries</v>
      </c>
      <c r="I12703" s="8"/>
      <c r="O12703" t="str">
        <f>LEFT(Table2[[#This Row],[Description]],75)</f>
        <v>Costco</v>
      </c>
    </row>
    <row r="12704" spans="1:15" hidden="1">
      <c r="A12704">
        <v>202411</v>
      </c>
      <c r="B12704" s="6">
        <v>45621</v>
      </c>
      <c r="C12704" t="s">
        <v>3938</v>
      </c>
      <c r="D12704" t="s">
        <v>4887</v>
      </c>
      <c r="E12704">
        <v>31.98</v>
      </c>
      <c r="F12704" s="2" t="str">
        <f>IF(Table2[[#This Row],[Manual Cat Value]]="",VLOOKUP(Table2[[#This Row],[Description]],'Actuals Lookup'!D:F,3,0),VLOOKUP(Table2[[#This Row],[Manual Cat Value]],Lookup!A:B,2,0))</f>
        <v>Groceries</v>
      </c>
      <c r="I12704" s="8"/>
      <c r="O12704" t="str">
        <f>LEFT(Table2[[#This Row],[Description]],75)</f>
        <v>Costco Gas Stations</v>
      </c>
    </row>
    <row r="12705" spans="1:17" hidden="1">
      <c r="A12705">
        <v>202411</v>
      </c>
      <c r="B12705" s="6">
        <v>45621</v>
      </c>
      <c r="C12705" t="s">
        <v>2519</v>
      </c>
      <c r="D12705" t="s">
        <v>4415</v>
      </c>
      <c r="E12705">
        <v>269.02</v>
      </c>
      <c r="F12705" s="2" t="str">
        <f>IF(Table2[[#This Row],[Manual Cat Value]]="",VLOOKUP(Table2[[#This Row],[Description]],'Actuals Lookup'!D:F,3,0),VLOOKUP(Table2[[#This Row],[Manual Cat Value]],Lookup!A:B,2,0))</f>
        <v>Target</v>
      </c>
      <c r="I12705" s="8"/>
      <c r="O12705" t="str">
        <f>LEFT(Table2[[#This Row],[Description]],75)</f>
        <v>Payment to Jeffrey B</v>
      </c>
    </row>
    <row r="12706" spans="1:17" hidden="1">
      <c r="A12706">
        <v>202411</v>
      </c>
      <c r="B12706" s="6">
        <v>45621</v>
      </c>
      <c r="C12706" t="s">
        <v>130</v>
      </c>
      <c r="D12706" t="s">
        <v>6005</v>
      </c>
      <c r="E12706">
        <v>244.97</v>
      </c>
      <c r="F12706" s="2" t="str">
        <f>IF(Table2[[#This Row],[Manual Cat Value]]="",VLOOKUP(Table2[[#This Row],[Description]],'Actuals Lookup'!D:F,3,0),VLOOKUP(Table2[[#This Row],[Manual Cat Value]],Lookup!A:B,2,0))</f>
        <v>Shopping</v>
      </c>
      <c r="H12706" t="s">
        <v>36</v>
      </c>
      <c r="I12706" s="8"/>
      <c r="O12706" t="str">
        <f>LEFT(Table2[[#This Row],[Description]],75)</f>
        <v>SAMPLER STORES, INC LENEXA              KS</v>
      </c>
    </row>
    <row r="12707" spans="1:17" hidden="1">
      <c r="A12707">
        <v>202411</v>
      </c>
      <c r="B12707" s="6">
        <v>45621</v>
      </c>
      <c r="C12707" t="s">
        <v>130</v>
      </c>
      <c r="D12707" t="s">
        <v>5942</v>
      </c>
      <c r="E12707">
        <v>-180.1</v>
      </c>
      <c r="F12707" s="2" t="str">
        <f>IF(Table2[[#This Row],[Manual Cat Value]]="",VLOOKUP(Table2[[#This Row],[Description]],'Actuals Lookup'!D:F,3,0),VLOOKUP(Table2[[#This Row],[Manual Cat Value]],Lookup!A:B,2,0))</f>
        <v>Shopping</v>
      </c>
      <c r="H12707" t="s">
        <v>36</v>
      </c>
      <c r="I12707" s="8"/>
      <c r="O12707" t="str">
        <f>LEFT(Table2[[#This Row],[Description]],75)</f>
        <v>SP NORMAL BRAND COR SAINT LOUIS         MO</v>
      </c>
    </row>
    <row r="12708" spans="1:17" hidden="1">
      <c r="A12708">
        <v>202411</v>
      </c>
      <c r="B12708" s="6">
        <v>45621</v>
      </c>
      <c r="C12708" t="s">
        <v>2519</v>
      </c>
      <c r="D12708" t="s">
        <v>1958</v>
      </c>
      <c r="E12708">
        <v>65</v>
      </c>
      <c r="F12708" s="2" t="str">
        <f>IF(Table2[[#This Row],[Manual Cat Value]]="",VLOOKUP(Table2[[#This Row],[Description]],'Actuals Lookup'!D:F,3,0),VLOOKUP(Table2[[#This Row],[Manual Cat Value]],Lookup!A:B,2,0))</f>
        <v>Shopping</v>
      </c>
      <c r="I12708" s="8"/>
      <c r="O12708" t="str">
        <f>LEFT(Table2[[#This Row],[Description]],75)</f>
        <v>Transfer to Venmo</v>
      </c>
    </row>
    <row r="12709" spans="1:17" hidden="1">
      <c r="A12709">
        <v>202411</v>
      </c>
      <c r="B12709" s="6">
        <v>45622</v>
      </c>
      <c r="C12709" t="s">
        <v>3938</v>
      </c>
      <c r="D12709" t="s">
        <v>6006</v>
      </c>
      <c r="E12709">
        <v>27.06</v>
      </c>
      <c r="F12709" s="2" t="str">
        <f>IF(Table2[[#This Row],[Manual Cat Value]]="",VLOOKUP(Table2[[#This Row],[Description]],'Actuals Lookup'!D:F,3,0),VLOOKUP(Table2[[#This Row],[Manual Cat Value]],Lookup!A:B,2,0))</f>
        <v>Amazon</v>
      </c>
      <c r="H12709" s="8" t="s">
        <v>37</v>
      </c>
      <c r="I12709" s="8"/>
      <c r="O12709" t="str">
        <f>LEFT(Table2[[#This Row],[Description]],75)</f>
        <v>AMAZON MARK* AL0C96MK3 HTTPSAMAZON.CWA REF #XX1134NV0004H85D</v>
      </c>
    </row>
    <row r="12710" spans="1:17" hidden="1">
      <c r="A12710">
        <v>202411</v>
      </c>
      <c r="B12710" s="6">
        <v>45622</v>
      </c>
      <c r="C12710" t="s">
        <v>3938</v>
      </c>
      <c r="D12710" t="s">
        <v>6007</v>
      </c>
      <c r="E12710">
        <v>269.23</v>
      </c>
      <c r="F12710" s="2" t="str">
        <f>IF(Table2[[#This Row],[Manual Cat Value]]="",VLOOKUP(Table2[[#This Row],[Description]],'Actuals Lookup'!D:F,3,0),VLOOKUP(Table2[[#This Row],[Manual Cat Value]],Lookup!A:B,2,0))</f>
        <v>Amazon</v>
      </c>
      <c r="H12710" s="8" t="s">
        <v>37</v>
      </c>
      <c r="I12710" s="8"/>
      <c r="O12710" t="str">
        <f>LEFT(Table2[[#This Row],[Description]],75)</f>
        <v>AMAZON MARK* B70D46AY3 HTTPSAMAZON.CWA REF #XX1134NS001RXFFJ</v>
      </c>
    </row>
    <row r="12711" spans="1:17" hidden="1">
      <c r="A12711">
        <v>202411</v>
      </c>
      <c r="B12711" s="6">
        <v>45622</v>
      </c>
      <c r="C12711" t="s">
        <v>2258</v>
      </c>
      <c r="D12711" t="s">
        <v>6008</v>
      </c>
      <c r="E12711">
        <v>71.53</v>
      </c>
      <c r="F12711" s="2" t="str">
        <f>IF(Table2[[#This Row],[Manual Cat Value]]="",VLOOKUP(Table2[[#This Row],[Description]],'Actuals Lookup'!D:F,3,0),VLOOKUP(Table2[[#This Row],[Manual Cat Value]],Lookup!A:B,2,0))</f>
        <v>Amazon</v>
      </c>
      <c r="H12711" s="8" t="s">
        <v>37</v>
      </c>
      <c r="I12711" s="8"/>
      <c r="O12711" t="str">
        <f>LEFT(Table2[[#This Row],[Description]],75)</f>
        <v>AMAZON MKTPL*Z31XP7AI0 AMZN.COM/BILLWA38EU6246P7U</v>
      </c>
    </row>
    <row r="12712" spans="1:17" hidden="1">
      <c r="A12712">
        <v>202411</v>
      </c>
      <c r="B12712" s="6">
        <v>45622</v>
      </c>
      <c r="C12712" t="s">
        <v>130</v>
      </c>
      <c r="D12712" t="s">
        <v>6009</v>
      </c>
      <c r="E12712">
        <v>93.61</v>
      </c>
      <c r="F12712" s="2" t="str">
        <f>IF(Table2[[#This Row],[Manual Cat Value]]="",VLOOKUP(Table2[[#This Row],[Description]],'Actuals Lookup'!D:F,3,0),VLOOKUP(Table2[[#This Row],[Manual Cat Value]],Lookup!A:B,2,0))</f>
        <v>Groceries</v>
      </c>
      <c r="H12712" t="s">
        <v>27</v>
      </c>
      <c r="I12712" s="8"/>
      <c r="O12712" t="str">
        <f>LEFT(Table2[[#This Row],[Description]],75)</f>
        <v>AplPay LUNDS&amp;BYERLYSCHANHASSEN          MN</v>
      </c>
    </row>
    <row r="12713" spans="1:17" hidden="1">
      <c r="A12713">
        <v>202411</v>
      </c>
      <c r="B12713" s="6">
        <v>45622</v>
      </c>
      <c r="C12713" t="s">
        <v>130</v>
      </c>
      <c r="D12713" t="s">
        <v>5972</v>
      </c>
      <c r="E12713">
        <v>-32.53</v>
      </c>
      <c r="F12713" s="2" t="str">
        <f>IF(Table2[[#This Row],[Manual Cat Value]]="",VLOOKUP(Table2[[#This Row],[Description]],'Actuals Lookup'!D:F,3,0),VLOOKUP(Table2[[#This Row],[Manual Cat Value]],Lookup!A:B,2,0))</f>
        <v>Shopping</v>
      </c>
      <c r="H12713" t="s">
        <v>36</v>
      </c>
      <c r="I12713" s="8"/>
      <c r="O12713" t="str">
        <f>LEFT(Table2[[#This Row],[Description]],75)</f>
        <v>BT*SHUTTERFLY, INC. REDWOOD CITY        CA</v>
      </c>
    </row>
    <row r="12714" spans="1:17" hidden="1">
      <c r="A12714">
        <v>202411</v>
      </c>
      <c r="B12714" s="6">
        <v>45622</v>
      </c>
      <c r="C12714" t="s">
        <v>130</v>
      </c>
      <c r="D12714" t="s">
        <v>5972</v>
      </c>
      <c r="E12714">
        <v>-19.399999999999999</v>
      </c>
      <c r="F12714" s="2" t="str">
        <f>IF(Table2[[#This Row],[Manual Cat Value]]="",VLOOKUP(Table2[[#This Row],[Description]],'Actuals Lookup'!D:F,3,0),VLOOKUP(Table2[[#This Row],[Manual Cat Value]],Lookup!A:B,2,0))</f>
        <v>Shopping</v>
      </c>
      <c r="H12714" t="s">
        <v>36</v>
      </c>
      <c r="I12714" s="8"/>
      <c r="O12714" t="str">
        <f>LEFT(Table2[[#This Row],[Description]],75)</f>
        <v>BT*SHUTTERFLY, INC. REDWOOD CITY        CA</v>
      </c>
    </row>
    <row r="12715" spans="1:17" hidden="1">
      <c r="A12715">
        <v>202406</v>
      </c>
      <c r="B12715" s="6">
        <v>45463</v>
      </c>
      <c r="C12715" t="s">
        <v>2519</v>
      </c>
      <c r="D12715" t="s">
        <v>6010</v>
      </c>
      <c r="E12715">
        <v>202.25</v>
      </c>
      <c r="F12715" s="2" t="str">
        <f>IF(Table2[[#This Row],[Manual Cat Value]]="",VLOOKUP(Table2[[#This Row],[Description]],'Actuals Lookup'!D:F,3,0),VLOOKUP(Table2[[#This Row],[Manual Cat Value]],Lookup!A:B,2,0))</f>
        <v>Delete</v>
      </c>
      <c r="H12715" s="8" t="s">
        <v>9</v>
      </c>
      <c r="I12715" s="8"/>
      <c r="O12715" t="str">
        <f>LEFT(Table2[[#This Row],[Description]],75)</f>
        <v xml:space="preserve">Withdrawal at ATM #XX7803 TOFTE HOLIDA-XX6569 7235 W. HWY 61 TOFTE MN Card </v>
      </c>
    </row>
    <row r="12716" spans="1:17" hidden="1">
      <c r="A12716">
        <v>202411</v>
      </c>
      <c r="B12716" s="6">
        <v>45622</v>
      </c>
      <c r="C12716" t="s">
        <v>130</v>
      </c>
      <c r="D12716" t="s">
        <v>5917</v>
      </c>
      <c r="E12716">
        <v>146.5</v>
      </c>
      <c r="F12716" s="2" t="str">
        <f>IF(Table2[[#This Row],[Manual Cat Value]]="",VLOOKUP(Table2[[#This Row],[Description]],'Actuals Lookup'!D:F,3,0),VLOOKUP(Table2[[#This Row],[Manual Cat Value]],Lookup!A:B,2,0))</f>
        <v>Shopping</v>
      </c>
      <c r="H12716" t="s">
        <v>36</v>
      </c>
      <c r="I12716" s="8"/>
      <c r="O12716" t="str">
        <f>LEFT(Table2[[#This Row],[Description]],75)</f>
        <v>SCHEELS ALL SPORTS  FARGO               ND</v>
      </c>
    </row>
    <row r="12717" spans="1:17" hidden="1">
      <c r="A12717">
        <v>202408</v>
      </c>
      <c r="B12717" s="6">
        <v>45528</v>
      </c>
      <c r="C12717" t="s">
        <v>2519</v>
      </c>
      <c r="D12717" t="s">
        <v>6011</v>
      </c>
      <c r="E12717">
        <v>2.6</v>
      </c>
      <c r="F12717" s="2" t="str">
        <f>IF(Table2[[#This Row],[Manual Cat Value]]="",VLOOKUP(Table2[[#This Row],[Description]],'Actuals Lookup'!D:F,3,0),VLOOKUP(Table2[[#This Row],[Manual Cat Value]],Lookup!A:B,2,0))</f>
        <v>Delete</v>
      </c>
      <c r="H12717" s="8" t="s">
        <v>9</v>
      </c>
      <c r="I12717" s="8"/>
      <c r="O12717" t="str">
        <f>LEFT(Table2[[#This Row],[Description]],75)</f>
        <v>Withdrawal ATM Intl Fee VISA INTERNATIONAL SERVICE ASSESSMENT Card 5404</v>
      </c>
      <c r="Q12717" t="s">
        <v>2240</v>
      </c>
    </row>
    <row r="12718" spans="1:17" hidden="1">
      <c r="A12718">
        <v>202411</v>
      </c>
      <c r="B12718" s="6">
        <v>45622</v>
      </c>
      <c r="C12718" t="s">
        <v>2519</v>
      </c>
      <c r="D12718" t="s">
        <v>6012</v>
      </c>
      <c r="E12718">
        <v>380</v>
      </c>
      <c r="F12718" s="2" t="str">
        <f>IF(Table2[[#This Row],[Manual Cat Value]]="",VLOOKUP(Table2[[#This Row],[Description]],'Actuals Lookup'!D:F,3,0),VLOOKUP(Table2[[#This Row],[Manual Cat Value]],Lookup!A:B,2,0))</f>
        <v>Day Care</v>
      </c>
      <c r="H12718" s="8" t="s">
        <v>19</v>
      </c>
      <c r="I12718" s="8"/>
      <c r="O12718" t="str">
        <f>LEFT(Table2[[#This Row],[Description]],75)</f>
        <v>Withdrawal ACH Mis Amigos Presc TYPE: ID: XX7393 NAME: BCU CO: Mis Amigos P</v>
      </c>
    </row>
    <row r="12719" spans="1:17" hidden="1">
      <c r="A12719">
        <v>202411</v>
      </c>
      <c r="B12719" s="6">
        <v>45622</v>
      </c>
      <c r="C12719" t="s">
        <v>130</v>
      </c>
      <c r="D12719" t="s">
        <v>6013</v>
      </c>
      <c r="E12719">
        <v>62.62</v>
      </c>
      <c r="F12719" s="2" t="str">
        <f>IF(Table2[[#This Row],[Manual Cat Value]]="",VLOOKUP(Table2[[#This Row],[Description]],'Actuals Lookup'!D:F,3,0),VLOOKUP(Table2[[#This Row],[Manual Cat Value]],Lookup!A:B,2,0))</f>
        <v>Shopping</v>
      </c>
      <c r="H12719" t="s">
        <v>36</v>
      </c>
      <c r="I12719" s="8"/>
      <c r="O12719" t="str">
        <f>LEFT(Table2[[#This Row],[Description]],75)</f>
        <v>YETI COOLERS, LLC   WILMINGTON          DE</v>
      </c>
    </row>
    <row r="12720" spans="1:17" hidden="1">
      <c r="A12720">
        <v>202411</v>
      </c>
      <c r="B12720" s="6">
        <v>45623</v>
      </c>
      <c r="C12720" t="s">
        <v>2258</v>
      </c>
      <c r="D12720" t="s">
        <v>459</v>
      </c>
      <c r="E12720">
        <v>-25.35</v>
      </c>
      <c r="F12720" s="2" t="str">
        <f>IF(Table2[[#This Row],[Manual Cat Value]]="",VLOOKUP(Table2[[#This Row],[Description]],'Actuals Lookup'!D:F,3,0),VLOOKUP(Table2[[#This Row],[Manual Cat Value]],Lookup!A:B,2,0))</f>
        <v>Dividend</v>
      </c>
      <c r="I12720" s="8"/>
      <c r="O12720" t="str">
        <f>LEFT(Table2[[#This Row],[Description]],75)</f>
        <v>CASHBACK BONUS REDEMPTION PYMT/STMT CRDT</v>
      </c>
    </row>
    <row r="12721" spans="1:15" hidden="1">
      <c r="A12721">
        <v>202402</v>
      </c>
      <c r="B12721" s="6">
        <v>45323</v>
      </c>
      <c r="C12721" t="s">
        <v>2519</v>
      </c>
      <c r="D12721" t="s">
        <v>6014</v>
      </c>
      <c r="E12721">
        <v>16.510000000000002</v>
      </c>
      <c r="F12721" s="2" t="str">
        <f>IF(Table2[[#This Row],[Manual Cat Value]]="",VLOOKUP(Table2[[#This Row],[Description]],'Actuals Lookup'!D:F,3,0),VLOOKUP(Table2[[#This Row],[Manual Cat Value]],Lookup!A:B,2,0))</f>
        <v>Delete</v>
      </c>
      <c r="H12721" s="8" t="s">
        <v>9</v>
      </c>
      <c r="I12721" s="8"/>
      <c r="O12721" t="str">
        <f>LEFT(Table2[[#This Row],[Description]],75)</f>
        <v>Withdrawal CLAYTON HOTEL CORK FRO CORK CITY IE Date 01/31/24 XX 7011</v>
      </c>
    </row>
    <row r="12722" spans="1:15" hidden="1">
      <c r="A12722">
        <v>202401</v>
      </c>
      <c r="B12722" s="6">
        <v>45316</v>
      </c>
      <c r="C12722" t="s">
        <v>2519</v>
      </c>
      <c r="D12722" t="s">
        <v>6015</v>
      </c>
      <c r="E12722">
        <v>13.1</v>
      </c>
      <c r="F12722" s="2" t="str">
        <f>IF(Table2[[#This Row],[Manual Cat Value]]="",VLOOKUP(Table2[[#This Row],[Description]],'Actuals Lookup'!D:F,3,0),VLOOKUP(Table2[[#This Row],[Manual Cat Value]],Lookup!A:B,2,0))</f>
        <v>Delete</v>
      </c>
      <c r="H12722" s="8" t="s">
        <v>9</v>
      </c>
      <c r="I12722" s="8"/>
      <c r="O12722" t="str">
        <f>LEFT(Table2[[#This Row],[Description]],75)</f>
        <v>Withdrawal GINOS GELATO DUBLIN 2 IE Date 01/24/24 XX 5814</v>
      </c>
    </row>
    <row r="12723" spans="1:15" hidden="1">
      <c r="A12723">
        <v>202411</v>
      </c>
      <c r="B12723" s="6">
        <v>45623</v>
      </c>
      <c r="C12723" t="s">
        <v>2519</v>
      </c>
      <c r="D12723" t="s">
        <v>4343</v>
      </c>
      <c r="E12723">
        <v>-4393.66</v>
      </c>
      <c r="F12723" s="2" t="str">
        <f>IF(Table2[[#This Row],[Manual Cat Value]]="",VLOOKUP(Table2[[#This Row],[Description]],'Actuals Lookup'!D:F,3,0),VLOOKUP(Table2[[#This Row],[Manual Cat Value]],Lookup!A:B,2,0))</f>
        <v>Jeff</v>
      </c>
      <c r="H12723" t="s">
        <v>63</v>
      </c>
      <c r="I12723" s="8"/>
      <c r="O12723" t="str">
        <f>LEFT(Table2[[#This Row],[Description]],75)</f>
        <v>Salary/Regular Income from TriNet</v>
      </c>
    </row>
    <row r="12724" spans="1:15" hidden="1">
      <c r="A12724">
        <v>202401</v>
      </c>
      <c r="B12724" s="6">
        <v>45299</v>
      </c>
      <c r="C12724" t="s">
        <v>4403</v>
      </c>
      <c r="D12724" t="s">
        <v>4293</v>
      </c>
      <c r="E12724">
        <v>904.66</v>
      </c>
      <c r="F12724" s="2" t="str">
        <f>IF(Table2[[#This Row],[Manual Cat Value]]="",VLOOKUP(Table2[[#This Row],[Description]],'Actuals Lookup'!D:F,3,0),VLOOKUP(Table2[[#This Row],[Manual Cat Value]],Lookup!A:B,2,0))</f>
        <v>Delete</v>
      </c>
      <c r="H12724" s="8" t="s">
        <v>9</v>
      </c>
      <c r="I12724" s="8"/>
      <c r="O12724" t="str">
        <f>LEFT(Table2[[#This Row],[Description]],75)</f>
        <v>Withdrawal Home Banking Pmt to card XX5913</v>
      </c>
    </row>
    <row r="12725" spans="1:15" hidden="1">
      <c r="A12725">
        <v>202411</v>
      </c>
      <c r="B12725" s="6">
        <v>45624</v>
      </c>
      <c r="C12725" t="s">
        <v>130</v>
      </c>
      <c r="D12725" t="s">
        <v>6016</v>
      </c>
      <c r="E12725">
        <v>33.75</v>
      </c>
      <c r="F12725" s="2" t="str">
        <f>IF(Table2[[#This Row],[Manual Cat Value]]="",VLOOKUP(Table2[[#This Row],[Description]],'Actuals Lookup'!D:F,3,0),VLOOKUP(Table2[[#This Row],[Manual Cat Value]],Lookup!A:B,2,0))</f>
        <v>Shopping</v>
      </c>
      <c r="H12725" t="s">
        <v>36</v>
      </c>
      <c r="I12725" s="8"/>
      <c r="O12725" t="str">
        <f>LEFT(Table2[[#This Row],[Description]],75)</f>
        <v>AplPay EXCELSIOR CHREXCELSIOR           MN</v>
      </c>
    </row>
    <row r="12726" spans="1:15" hidden="1">
      <c r="A12726">
        <v>202411</v>
      </c>
      <c r="B12726" s="6">
        <v>45624</v>
      </c>
      <c r="C12726" t="s">
        <v>130</v>
      </c>
      <c r="D12726" t="s">
        <v>6017</v>
      </c>
      <c r="E12726">
        <v>433.49</v>
      </c>
      <c r="F12726" s="2" t="str">
        <f>IF(Table2[[#This Row],[Manual Cat Value]]="",VLOOKUP(Table2[[#This Row],[Description]],'Actuals Lookup'!D:F,3,0),VLOOKUP(Table2[[#This Row],[Manual Cat Value]],Lookup!A:B,2,0))</f>
        <v>Shopping</v>
      </c>
      <c r="H12726" t="s">
        <v>36</v>
      </c>
      <c r="I12726" s="8"/>
      <c r="O12726" t="str">
        <f>LEFT(Table2[[#This Row],[Description]],75)</f>
        <v>BT*SOLO BRANDS LLC  SOUTHLAKE           TX</v>
      </c>
    </row>
    <row r="12727" spans="1:15" hidden="1">
      <c r="A12727">
        <v>202411</v>
      </c>
      <c r="B12727" s="6">
        <v>45624</v>
      </c>
      <c r="C12727" t="s">
        <v>130</v>
      </c>
      <c r="D12727" t="s">
        <v>6018</v>
      </c>
      <c r="E12727">
        <v>95.88</v>
      </c>
      <c r="F12727" s="2" t="str">
        <f>IF(Table2[[#This Row],[Manual Cat Value]]="",VLOOKUP(Table2[[#This Row],[Description]],'Actuals Lookup'!D:F,3,0),VLOOKUP(Table2[[#This Row],[Manual Cat Value]],Lookup!A:B,2,0))</f>
        <v>Shopping</v>
      </c>
      <c r="H12727" t="s">
        <v>36</v>
      </c>
      <c r="I12727" s="8"/>
      <c r="O12727" t="str">
        <f>LEFT(Table2[[#This Row],[Description]],75)</f>
        <v>NIKE INC E-COMMERCE</v>
      </c>
    </row>
    <row r="12728" spans="1:15" hidden="1">
      <c r="A12728">
        <v>202411</v>
      </c>
      <c r="B12728" s="6">
        <v>45625</v>
      </c>
      <c r="C12728" t="s">
        <v>130</v>
      </c>
      <c r="D12728" t="s">
        <v>6019</v>
      </c>
      <c r="E12728">
        <v>9.75</v>
      </c>
      <c r="F12728" s="2" t="str">
        <f>IF(Table2[[#This Row],[Manual Cat Value]]="",VLOOKUP(Table2[[#This Row],[Description]],'Actuals Lookup'!D:F,3,0),VLOOKUP(Table2[[#This Row],[Manual Cat Value]],Lookup!A:B,2,0))</f>
        <v>Entertainment</v>
      </c>
      <c r="H12728" s="8" t="s">
        <v>39</v>
      </c>
      <c r="I12728" s="8"/>
      <c r="O12728" t="str">
        <f>LEFT(Table2[[#This Row],[Description]],75)</f>
        <v>2LEVY@TARGET CENTER MINNEAPOLIS         MI</v>
      </c>
    </row>
    <row r="12729" spans="1:15" hidden="1">
      <c r="A12729">
        <v>202411</v>
      </c>
      <c r="B12729" s="6">
        <v>45625</v>
      </c>
      <c r="C12729" t="s">
        <v>130</v>
      </c>
      <c r="D12729" t="s">
        <v>6020</v>
      </c>
      <c r="E12729">
        <v>16</v>
      </c>
      <c r="F12729" s="2" t="str">
        <f>IF(Table2[[#This Row],[Manual Cat Value]]="",VLOOKUP(Table2[[#This Row],[Description]],'Actuals Lookup'!D:F,3,0),VLOOKUP(Table2[[#This Row],[Manual Cat Value]],Lookup!A:B,2,0))</f>
        <v>Shopping</v>
      </c>
      <c r="H12729" t="s">
        <v>36</v>
      </c>
      <c r="I12729" s="8"/>
      <c r="O12729" t="str">
        <f>LEFT(Table2[[#This Row],[Description]],75)</f>
        <v>AplPay MADEMOISELLE Saint Paul          MN</v>
      </c>
    </row>
    <row r="12730" spans="1:15" hidden="1">
      <c r="A12730">
        <v>202411</v>
      </c>
      <c r="B12730" s="6">
        <v>45625</v>
      </c>
      <c r="C12730" t="s">
        <v>130</v>
      </c>
      <c r="D12730" t="s">
        <v>6021</v>
      </c>
      <c r="E12730">
        <v>10.72</v>
      </c>
      <c r="F12730" s="2" t="str">
        <f>IF(Table2[[#This Row],[Manual Cat Value]]="",VLOOKUP(Table2[[#This Row],[Description]],'Actuals Lookup'!D:F,3,0),VLOOKUP(Table2[[#This Row],[Manual Cat Value]],Lookup!A:B,2,0))</f>
        <v>Shopping</v>
      </c>
      <c r="H12730" t="s">
        <v>36</v>
      </c>
      <c r="I12730" s="8"/>
      <c r="O12730" t="str">
        <f>LEFT(Table2[[#This Row],[Description]],75)</f>
        <v>AplPay NORTH EAST PRCIRCLE PINES        MN</v>
      </c>
    </row>
    <row r="12731" spans="1:15" hidden="1">
      <c r="A12731">
        <v>202411</v>
      </c>
      <c r="B12731" s="6">
        <v>45625</v>
      </c>
      <c r="C12731" t="s">
        <v>130</v>
      </c>
      <c r="D12731" t="s">
        <v>6022</v>
      </c>
      <c r="E12731">
        <v>114.5</v>
      </c>
      <c r="F12731" s="2" t="str">
        <f>IF(Table2[[#This Row],[Manual Cat Value]]="",VLOOKUP(Table2[[#This Row],[Description]],'Actuals Lookup'!D:F,3,0),VLOOKUP(Table2[[#This Row],[Manual Cat Value]],Lookup!A:B,2,0))</f>
        <v>Shopping</v>
      </c>
      <c r="H12731" t="s">
        <v>36</v>
      </c>
      <c r="I12731" s="8"/>
      <c r="O12731" t="str">
        <f>LEFT(Table2[[#This Row],[Description]],75)</f>
        <v>AplPay SCHEELS ALL SFARGO               ND</v>
      </c>
    </row>
    <row r="12732" spans="1:15" hidden="1">
      <c r="A12732">
        <v>202411</v>
      </c>
      <c r="B12732" s="6">
        <v>45625</v>
      </c>
      <c r="C12732" t="s">
        <v>130</v>
      </c>
      <c r="D12732" t="s">
        <v>6023</v>
      </c>
      <c r="E12732">
        <v>54.52</v>
      </c>
      <c r="F12732" s="2" t="str">
        <f>IF(Table2[[#This Row],[Manual Cat Value]]="",VLOOKUP(Table2[[#This Row],[Description]],'Actuals Lookup'!D:F,3,0),VLOOKUP(Table2[[#This Row],[Manual Cat Value]],Lookup!A:B,2,0))</f>
        <v>Gifts</v>
      </c>
      <c r="H12732" t="s">
        <v>44</v>
      </c>
      <c r="I12732" s="8"/>
      <c r="O12732" t="str">
        <f>LEFT(Table2[[#This Row],[Description]],75)</f>
        <v>AplPay WAR FORGED PRChanhassen          MN</v>
      </c>
    </row>
    <row r="12733" spans="1:15" hidden="1">
      <c r="A12733">
        <v>202411</v>
      </c>
      <c r="B12733" s="6">
        <v>45625</v>
      </c>
      <c r="C12733" t="s">
        <v>130</v>
      </c>
      <c r="D12733" t="s">
        <v>6024</v>
      </c>
      <c r="E12733">
        <v>132.32</v>
      </c>
      <c r="F12733" s="2" t="str">
        <f>IF(Table2[[#This Row],[Manual Cat Value]]="",VLOOKUP(Table2[[#This Row],[Description]],'Actuals Lookup'!D:F,3,0),VLOOKUP(Table2[[#This Row],[Manual Cat Value]],Lookup!A:B,2,0))</f>
        <v>Entertainment</v>
      </c>
      <c r="H12733" t="s">
        <v>39</v>
      </c>
      <c r="I12733" s="8"/>
      <c r="O12733" t="str">
        <f>LEFT(Table2[[#This Row],[Description]],75)</f>
        <v>AXS.COM*TICKET RESALLOS ANGELES         CA</v>
      </c>
    </row>
    <row r="12734" spans="1:15" hidden="1">
      <c r="A12734">
        <v>202411</v>
      </c>
      <c r="B12734" s="6">
        <v>45625</v>
      </c>
      <c r="C12734" t="s">
        <v>130</v>
      </c>
      <c r="D12734" t="s">
        <v>6025</v>
      </c>
      <c r="E12734">
        <v>20</v>
      </c>
      <c r="F12734" s="2" t="str">
        <f>IF(Table2[[#This Row],[Manual Cat Value]]="",VLOOKUP(Table2[[#This Row],[Description]],'Actuals Lookup'!D:F,3,0),VLOOKUP(Table2[[#This Row],[Manual Cat Value]],Lookup!A:B,2,0))</f>
        <v>Entertainment</v>
      </c>
      <c r="H12734" t="s">
        <v>39</v>
      </c>
      <c r="I12734" s="8"/>
      <c r="O12734" t="str">
        <f>LEFT(Table2[[#This Row],[Description]],75)</f>
        <v>B RAMP 8066 08487002MINNEAPOLIS         MN</v>
      </c>
    </row>
    <row r="12735" spans="1:15" hidden="1">
      <c r="A12735">
        <v>202411</v>
      </c>
      <c r="B12735" s="6">
        <v>45625</v>
      </c>
      <c r="C12735" t="s">
        <v>130</v>
      </c>
      <c r="D12735" t="s">
        <v>5815</v>
      </c>
      <c r="E12735">
        <v>8.02</v>
      </c>
      <c r="F12735" s="2" t="str">
        <f>IF(Table2[[#This Row],[Manual Cat Value]]="",VLOOKUP(Table2[[#This Row],[Description]],'Actuals Lookup'!D:F,3,0),VLOOKUP(Table2[[#This Row],[Manual Cat Value]],Lookup!A:B,2,0))</f>
        <v>Restaurants</v>
      </c>
      <c r="H12735" t="s">
        <v>25</v>
      </c>
      <c r="I12735" s="8"/>
      <c r="O12735" t="str">
        <f>LEFT(Table2[[#This Row],[Description]],75)</f>
        <v>EXCELSIOR BREWING COExcelsior           MN</v>
      </c>
    </row>
    <row r="12736" spans="1:15" hidden="1">
      <c r="A12736">
        <v>202411</v>
      </c>
      <c r="B12736" s="6">
        <v>45625</v>
      </c>
      <c r="C12736" t="s">
        <v>130</v>
      </c>
      <c r="D12736" t="s">
        <v>5759</v>
      </c>
      <c r="E12736">
        <v>117.49</v>
      </c>
      <c r="F12736" s="2" t="str">
        <f>IF(Table2[[#This Row],[Manual Cat Value]]="",VLOOKUP(Table2[[#This Row],[Description]],'Actuals Lookup'!D:F,3,0),VLOOKUP(Table2[[#This Row],[Manual Cat Value]],Lookup!A:B,2,0))</f>
        <v>Groceries</v>
      </c>
      <c r="H12736" t="s">
        <v>27</v>
      </c>
      <c r="I12736" s="8"/>
      <c r="O12736" t="str">
        <f>LEFT(Table2[[#This Row],[Description]],75)</f>
        <v>HOME CHEF           CHICAGO             IL</v>
      </c>
    </row>
    <row r="12737" spans="1:15" hidden="1">
      <c r="A12737">
        <v>202411</v>
      </c>
      <c r="B12737" s="6">
        <v>45625</v>
      </c>
      <c r="C12737" t="s">
        <v>130</v>
      </c>
      <c r="D12737" t="s">
        <v>6026</v>
      </c>
      <c r="E12737">
        <v>25.5</v>
      </c>
      <c r="F12737" s="2" t="str">
        <f>IF(Table2[[#This Row],[Manual Cat Value]]="",VLOOKUP(Table2[[#This Row],[Description]],'Actuals Lookup'!D:F,3,0),VLOOKUP(Table2[[#This Row],[Manual Cat Value]],Lookup!A:B,2,0))</f>
        <v>Entertainment</v>
      </c>
      <c r="H12737" t="s">
        <v>39</v>
      </c>
      <c r="I12737" s="8"/>
      <c r="O12737" t="str">
        <f>LEFT(Table2[[#This Row],[Description]],75)</f>
        <v>LEVY@ 2TARGET CENTERMINNEAPOLIS         MN</v>
      </c>
    </row>
    <row r="12738" spans="1:15" hidden="1">
      <c r="A12738">
        <v>202411</v>
      </c>
      <c r="B12738" s="6">
        <v>45625</v>
      </c>
      <c r="C12738" t="s">
        <v>130</v>
      </c>
      <c r="D12738" t="s">
        <v>6027</v>
      </c>
      <c r="E12738">
        <v>7</v>
      </c>
      <c r="F12738" s="2" t="str">
        <f>IF(Table2[[#This Row],[Manual Cat Value]]="",VLOOKUP(Table2[[#This Row],[Description]],'Actuals Lookup'!D:F,3,0),VLOOKUP(Table2[[#This Row],[Manual Cat Value]],Lookup!A:B,2,0))</f>
        <v>Groceries</v>
      </c>
      <c r="H12738" t="s">
        <v>27</v>
      </c>
      <c r="I12738" s="8"/>
      <c r="O12738" t="str">
        <f>LEFT(Table2[[#This Row],[Description]],75)</f>
        <v>LUTHER FOODS        EXCELSIOR           MN</v>
      </c>
    </row>
    <row r="12739" spans="1:15" hidden="1">
      <c r="A12739">
        <v>202401</v>
      </c>
      <c r="B12739" s="6">
        <v>45316</v>
      </c>
      <c r="C12739" t="s">
        <v>2519</v>
      </c>
      <c r="D12739" t="s">
        <v>4293</v>
      </c>
      <c r="E12739">
        <v>1252.2</v>
      </c>
      <c r="F12739" s="2" t="str">
        <f>IF(Table2[[#This Row],[Manual Cat Value]]="",VLOOKUP(Table2[[#This Row],[Description]],'Actuals Lookup'!D:F,3,0),VLOOKUP(Table2[[#This Row],[Manual Cat Value]],Lookup!A:B,2,0))</f>
        <v>Delete</v>
      </c>
      <c r="H12739" s="8" t="s">
        <v>9</v>
      </c>
      <c r="I12739" s="8"/>
      <c r="O12739" t="str">
        <f>LEFT(Table2[[#This Row],[Description]],75)</f>
        <v>Withdrawal Home Banking Pmt to card XX5913</v>
      </c>
    </row>
    <row r="12740" spans="1:15" hidden="1">
      <c r="A12740">
        <v>202411</v>
      </c>
      <c r="B12740" s="6">
        <v>45625</v>
      </c>
      <c r="C12740" t="s">
        <v>2519</v>
      </c>
      <c r="D12740" t="s">
        <v>4356</v>
      </c>
      <c r="E12740">
        <v>52.91</v>
      </c>
      <c r="F12740" s="2" t="str">
        <f>IF(Table2[[#This Row],[Manual Cat Value]]="",VLOOKUP(Table2[[#This Row],[Description]],'Actuals Lookup'!D:F,3,0),VLOOKUP(Table2[[#This Row],[Manual Cat Value]],Lookup!A:B,2,0))</f>
        <v>Insurance</v>
      </c>
      <c r="I12740" s="8"/>
      <c r="O12740" t="str">
        <f>LEFT(Table2[[#This Row],[Description]],75)</f>
        <v>Payment to American Family Insurance</v>
      </c>
    </row>
    <row r="12741" spans="1:15" hidden="1">
      <c r="A12741">
        <v>202402</v>
      </c>
      <c r="B12741" s="6">
        <v>45337</v>
      </c>
      <c r="C12741" t="s">
        <v>2519</v>
      </c>
      <c r="D12741" t="s">
        <v>4293</v>
      </c>
      <c r="E12741">
        <v>2373.7800000000002</v>
      </c>
      <c r="F12741" s="2" t="str">
        <f>IF(Table2[[#This Row],[Manual Cat Value]]="",VLOOKUP(Table2[[#This Row],[Description]],'Actuals Lookup'!D:F,3,0),VLOOKUP(Table2[[#This Row],[Manual Cat Value]],Lookup!A:B,2,0))</f>
        <v>Delete</v>
      </c>
      <c r="H12741" s="8" t="s">
        <v>9</v>
      </c>
      <c r="I12741" s="8"/>
      <c r="O12741" t="str">
        <f>LEFT(Table2[[#This Row],[Description]],75)</f>
        <v>Withdrawal Home Banking Pmt to card XX5913</v>
      </c>
    </row>
    <row r="12742" spans="1:15" hidden="1">
      <c r="A12742">
        <v>202411</v>
      </c>
      <c r="B12742" s="6">
        <v>45625</v>
      </c>
      <c r="C12742" t="s">
        <v>130</v>
      </c>
      <c r="D12742" t="s">
        <v>6028</v>
      </c>
      <c r="E12742">
        <v>246.29</v>
      </c>
      <c r="F12742" s="2" t="str">
        <f>IF(Table2[[#This Row],[Manual Cat Value]]="",VLOOKUP(Table2[[#This Row],[Description]],'Actuals Lookup'!D:F,3,0),VLOOKUP(Table2[[#This Row],[Manual Cat Value]],Lookup!A:B,2,0))</f>
        <v>Healthcare</v>
      </c>
      <c r="H12742" t="s">
        <v>47</v>
      </c>
      <c r="I12742" s="8"/>
      <c r="O12742" t="str">
        <f>LEFT(Table2[[#This Row],[Description]],75)</f>
        <v>SP DR. DENNIS GROSS NEW YORK            NY</v>
      </c>
    </row>
    <row r="12743" spans="1:15" hidden="1">
      <c r="A12743">
        <v>202411</v>
      </c>
      <c r="B12743" s="6">
        <v>45625</v>
      </c>
      <c r="C12743" t="s">
        <v>2519</v>
      </c>
      <c r="D12743" t="s">
        <v>1955</v>
      </c>
      <c r="E12743">
        <v>0.99</v>
      </c>
      <c r="F12743" s="2" t="str">
        <f>IF(Table2[[#This Row],[Manual Cat Value]]="",VLOOKUP(Table2[[#This Row],[Description]],'Actuals Lookup'!D:F,3,0),VLOOKUP(Table2[[#This Row],[Manual Cat Value]],Lookup!A:B,2,0))</f>
        <v>Shopping</v>
      </c>
      <c r="I12743" s="8"/>
      <c r="O12743" t="str">
        <f>LEFT(Table2[[#This Row],[Description]],75)</f>
        <v>Transfer to PayPal</v>
      </c>
    </row>
    <row r="12744" spans="1:15" hidden="1">
      <c r="A12744">
        <v>202411</v>
      </c>
      <c r="B12744" s="6">
        <v>45625</v>
      </c>
      <c r="C12744" t="s">
        <v>2519</v>
      </c>
      <c r="D12744" t="s">
        <v>1958</v>
      </c>
      <c r="E12744">
        <v>125</v>
      </c>
      <c r="F12744" s="2" t="str">
        <f>IF(Table2[[#This Row],[Manual Cat Value]]="",VLOOKUP(Table2[[#This Row],[Description]],'Actuals Lookup'!D:F,3,0),VLOOKUP(Table2[[#This Row],[Manual Cat Value]],Lookup!A:B,2,0))</f>
        <v>Shopping</v>
      </c>
      <c r="I12744" s="8"/>
      <c r="O12744" t="str">
        <f>LEFT(Table2[[#This Row],[Description]],75)</f>
        <v>Transfer to Venmo</v>
      </c>
    </row>
    <row r="12745" spans="1:15" hidden="1">
      <c r="A12745">
        <v>202411</v>
      </c>
      <c r="B12745" s="6">
        <v>45625</v>
      </c>
      <c r="C12745" t="s">
        <v>2519</v>
      </c>
      <c r="D12745" t="s">
        <v>1958</v>
      </c>
      <c r="E12745">
        <v>27</v>
      </c>
      <c r="F12745" s="2" t="str">
        <f>IF(Table2[[#This Row],[Manual Cat Value]]="",VLOOKUP(Table2[[#This Row],[Description]],'Actuals Lookup'!D:F,3,0),VLOOKUP(Table2[[#This Row],[Manual Cat Value]],Lookup!A:B,2,0))</f>
        <v>Shopping</v>
      </c>
      <c r="I12745" s="8"/>
      <c r="O12745" t="str">
        <f>LEFT(Table2[[#This Row],[Description]],75)</f>
        <v>Transfer to Venmo</v>
      </c>
    </row>
    <row r="12746" spans="1:15" hidden="1">
      <c r="A12746">
        <v>202411</v>
      </c>
      <c r="B12746" s="6">
        <v>45626</v>
      </c>
      <c r="C12746" t="s">
        <v>2519</v>
      </c>
      <c r="D12746" t="s">
        <v>6029</v>
      </c>
      <c r="E12746">
        <v>-48.52</v>
      </c>
      <c r="F12746" s="2" t="str">
        <f>IF(Table2[[#This Row],[Manual Cat Value]]="",VLOOKUP(Table2[[#This Row],[Description]],'Actuals Lookup'!D:F,3,0),VLOOKUP(Table2[[#This Row],[Manual Cat Value]],Lookup!A:B,2,0))</f>
        <v>Inc - Other</v>
      </c>
      <c r="H12746" t="s">
        <v>16</v>
      </c>
      <c r="I12746" s="8"/>
      <c r="O12746" t="str">
        <f>LEFT(Table2[[#This Row],[Description]],75)</f>
        <v>Deposit Dividend Split Rate Annual Percentage Yield Earned 2.37% from 11/01</v>
      </c>
    </row>
    <row r="12747" spans="1:15" hidden="1">
      <c r="A12747">
        <v>202411</v>
      </c>
      <c r="B12747" s="6">
        <v>45626</v>
      </c>
      <c r="C12747" t="s">
        <v>130</v>
      </c>
      <c r="D12747" t="s">
        <v>6030</v>
      </c>
      <c r="E12747">
        <v>115.91</v>
      </c>
      <c r="F12747" s="2" t="str">
        <f>IF(Table2[[#This Row],[Manual Cat Value]]="",VLOOKUP(Table2[[#This Row],[Description]],'Actuals Lookup'!D:F,3,0),VLOOKUP(Table2[[#This Row],[Manual Cat Value]],Lookup!A:B,2,0))</f>
        <v>Shopping</v>
      </c>
      <c r="H12747" t="s">
        <v>36</v>
      </c>
      <c r="I12747" s="8"/>
      <c r="O12747" t="str">
        <f>LEFT(Table2[[#This Row],[Description]],75)</f>
        <v>THE BURTON CORPORATIBURLINGTON          VT</v>
      </c>
    </row>
    <row r="12748" spans="1:15" hidden="1">
      <c r="A12748">
        <v>202412</v>
      </c>
      <c r="B12748" s="6">
        <v>45627</v>
      </c>
      <c r="C12748" t="s">
        <v>130</v>
      </c>
      <c r="D12748" t="s">
        <v>6031</v>
      </c>
      <c r="E12748">
        <v>26.68</v>
      </c>
      <c r="F12748" s="2" t="str">
        <f>IF(Table2[[#This Row],[Manual Cat Value]]="",VLOOKUP(Table2[[#This Row],[Description]],'Actuals Lookup'!D:F,3,0),VLOOKUP(Table2[[#This Row],[Manual Cat Value]],Lookup!A:B,2,0))</f>
        <v>Entertainment</v>
      </c>
      <c r="H12748" s="8" t="s">
        <v>39</v>
      </c>
      <c r="I12748" s="8"/>
      <c r="O12748" t="str">
        <f>LEFT(Table2[[#This Row],[Description]],75)</f>
        <v>AplPay AMC SOUTHDALEEDINA               MN</v>
      </c>
    </row>
    <row r="12749" spans="1:15" hidden="1">
      <c r="A12749">
        <v>202412</v>
      </c>
      <c r="B12749" s="6">
        <v>45627</v>
      </c>
      <c r="C12749" t="s">
        <v>130</v>
      </c>
      <c r="D12749" t="s">
        <v>5788</v>
      </c>
      <c r="E12749">
        <v>10.47</v>
      </c>
      <c r="F12749" s="2" t="str">
        <f>IF(Table2[[#This Row],[Manual Cat Value]]="",VLOOKUP(Table2[[#This Row],[Description]],'Actuals Lookup'!D:F,3,0),VLOOKUP(Table2[[#This Row],[Manual Cat Value]],Lookup!A:B,2,0))</f>
        <v>Groceries</v>
      </c>
      <c r="H12749" t="s">
        <v>27</v>
      </c>
      <c r="I12749" s="8"/>
      <c r="O12749" t="str">
        <f>LEFT(Table2[[#This Row],[Description]],75)</f>
        <v>CUB FOODS #1636 0000SHOREWOOD           MN</v>
      </c>
    </row>
    <row r="12750" spans="1:15" hidden="1">
      <c r="A12750">
        <v>202412</v>
      </c>
      <c r="B12750" s="6">
        <v>45627</v>
      </c>
      <c r="C12750" t="s">
        <v>130</v>
      </c>
      <c r="D12750" t="s">
        <v>5829</v>
      </c>
      <c r="E12750">
        <v>58.99</v>
      </c>
      <c r="F12750" s="2" t="str">
        <f>IF(Table2[[#This Row],[Manual Cat Value]]="",VLOOKUP(Table2[[#This Row],[Description]],'Actuals Lookup'!D:F,3,0),VLOOKUP(Table2[[#This Row],[Manual Cat Value]],Lookup!A:B,2,0))</f>
        <v>Shopping</v>
      </c>
      <c r="H12750" t="s">
        <v>36</v>
      </c>
      <c r="I12750" s="8"/>
      <c r="O12750" t="str">
        <f>LEFT(Table2[[#This Row],[Description]],75)</f>
        <v>SP KINGFIFTH        WORTHINGTON         OH</v>
      </c>
    </row>
    <row r="12751" spans="1:15" hidden="1">
      <c r="A12751">
        <v>202412</v>
      </c>
      <c r="B12751" s="6">
        <v>45627</v>
      </c>
      <c r="C12751" t="s">
        <v>130</v>
      </c>
      <c r="D12751" t="s">
        <v>6032</v>
      </c>
      <c r="E12751">
        <v>3.31</v>
      </c>
      <c r="F12751" s="2" t="str">
        <f>IF(Table2[[#This Row],[Manual Cat Value]]="",VLOOKUP(Table2[[#This Row],[Description]],'Actuals Lookup'!D:F,3,0),VLOOKUP(Table2[[#This Row],[Manual Cat Value]],Lookup!A:B,2,0))</f>
        <v>Target</v>
      </c>
      <c r="H12751" t="s">
        <v>30</v>
      </c>
      <c r="I12751" s="8"/>
      <c r="O12751" t="str">
        <f>LEFT(Table2[[#This Row],[Description]],75)</f>
        <v>TARGET              MINNETONKA          MN</v>
      </c>
    </row>
    <row r="12752" spans="1:15" hidden="1">
      <c r="A12752">
        <v>202412</v>
      </c>
      <c r="B12752" s="6">
        <v>45627</v>
      </c>
      <c r="C12752" t="s">
        <v>130</v>
      </c>
      <c r="D12752" t="s">
        <v>6033</v>
      </c>
      <c r="E12752">
        <v>217</v>
      </c>
      <c r="F12752" s="2" t="str">
        <f>IF(Table2[[#This Row],[Manual Cat Value]]="",VLOOKUP(Table2[[#This Row],[Description]],'Actuals Lookup'!D:F,3,0),VLOOKUP(Table2[[#This Row],[Manual Cat Value]],Lookup!A:B,2,0))</f>
        <v>Shopping</v>
      </c>
      <c r="H12752" t="s">
        <v>36</v>
      </c>
      <c r="I12752" s="8"/>
      <c r="O12752" t="str">
        <f>LEFT(Table2[[#This Row],[Description]],75)</f>
        <v>underarmour.com     888-727-6687        MD</v>
      </c>
    </row>
    <row r="12753" spans="1:15" hidden="1">
      <c r="A12753">
        <v>202412</v>
      </c>
      <c r="B12753" s="6">
        <v>45628</v>
      </c>
      <c r="C12753" t="s">
        <v>130</v>
      </c>
      <c r="D12753" t="s">
        <v>6022</v>
      </c>
      <c r="E12753">
        <v>31.5</v>
      </c>
      <c r="F12753" s="2" t="str">
        <f>IF(Table2[[#This Row],[Manual Cat Value]]="",VLOOKUP(Table2[[#This Row],[Description]],'Actuals Lookup'!D:F,3,0),VLOOKUP(Table2[[#This Row],[Manual Cat Value]],Lookup!A:B,2,0))</f>
        <v>Shopping</v>
      </c>
      <c r="H12753" t="s">
        <v>36</v>
      </c>
      <c r="I12753" s="8"/>
      <c r="O12753" t="str">
        <f>LEFT(Table2[[#This Row],[Description]],75)</f>
        <v>AplPay SCHEELS ALL SFARGO               ND</v>
      </c>
    </row>
    <row r="12754" spans="1:15" hidden="1">
      <c r="A12754">
        <v>202412</v>
      </c>
      <c r="B12754" s="6">
        <v>45628</v>
      </c>
      <c r="C12754" t="s">
        <v>130</v>
      </c>
      <c r="D12754" t="s">
        <v>5972</v>
      </c>
      <c r="E12754">
        <v>178.06</v>
      </c>
      <c r="F12754" s="2" t="str">
        <f>IF(Table2[[#This Row],[Manual Cat Value]]="",VLOOKUP(Table2[[#This Row],[Description]],'Actuals Lookup'!D:F,3,0),VLOOKUP(Table2[[#This Row],[Manual Cat Value]],Lookup!A:B,2,0))</f>
        <v>Shopping</v>
      </c>
      <c r="H12754" t="s">
        <v>36</v>
      </c>
      <c r="I12754" s="8"/>
      <c r="O12754" t="str">
        <f>LEFT(Table2[[#This Row],[Description]],75)</f>
        <v>BT*SHUTTERFLY, INC. REDWOOD CITY        CA</v>
      </c>
    </row>
    <row r="12755" spans="1:15" hidden="1">
      <c r="A12755">
        <v>202412</v>
      </c>
      <c r="B12755" s="6">
        <v>45628</v>
      </c>
      <c r="C12755" t="s">
        <v>2519</v>
      </c>
      <c r="D12755" t="s">
        <v>4283</v>
      </c>
      <c r="E12755">
        <v>-109.84</v>
      </c>
      <c r="F12755" s="2" t="str">
        <f>IF(Table2[[#This Row],[Manual Cat Value]]="",VLOOKUP(Table2[[#This Row],[Description]],'Actuals Lookup'!D:F,3,0),VLOOKUP(Table2[[#This Row],[Manual Cat Value]],Lookup!A:B,2,0))</f>
        <v>Britney</v>
      </c>
      <c r="H12755" t="s">
        <v>65</v>
      </c>
      <c r="I12755" s="8"/>
      <c r="O12755" t="str">
        <f>LEFT(Table2[[#This Row],[Description]],75)</f>
        <v>Cargill Deposit</v>
      </c>
    </row>
    <row r="12756" spans="1:15" hidden="1">
      <c r="A12756">
        <v>202412</v>
      </c>
      <c r="B12756" s="6">
        <v>45628</v>
      </c>
      <c r="C12756" t="s">
        <v>2519</v>
      </c>
      <c r="D12756" t="s">
        <v>5148</v>
      </c>
      <c r="E12756">
        <v>210.57</v>
      </c>
      <c r="F12756" s="2" t="str">
        <f>IF(Table2[[#This Row],[Manual Cat Value]]="",VLOOKUP(Table2[[#This Row],[Description]],'Actuals Lookup'!D:F,3,0),VLOOKUP(Table2[[#This Row],[Manual Cat Value]],Lookup!A:B,2,0))</f>
        <v>Utilities</v>
      </c>
      <c r="I12756" s="8"/>
      <c r="O12756" t="str">
        <f>LEFT(Table2[[#This Row],[Description]],75)</f>
        <v>Payment to AT&amp;T</v>
      </c>
    </row>
    <row r="12757" spans="1:15" hidden="1">
      <c r="A12757">
        <v>202412</v>
      </c>
      <c r="B12757" s="6">
        <v>45628</v>
      </c>
      <c r="C12757" t="s">
        <v>2519</v>
      </c>
      <c r="D12757" t="s">
        <v>1460</v>
      </c>
      <c r="E12757">
        <v>2745.43</v>
      </c>
      <c r="F12757" s="2" t="str">
        <f>IF(Table2[[#This Row],[Manual Cat Value]]="",VLOOKUP(Table2[[#This Row],[Description]],'Actuals Lookup'!D:F,3,0),VLOOKUP(Table2[[#This Row],[Manual Cat Value]],Lookup!A:B,2,0))</f>
        <v>Rent</v>
      </c>
      <c r="I12757" s="8"/>
      <c r="O12757" t="str">
        <f>LEFT(Table2[[#This Row],[Description]],75)</f>
        <v>Payment to Baxter Credit Union</v>
      </c>
    </row>
    <row r="12758" spans="1:15" hidden="1">
      <c r="A12758">
        <v>202412</v>
      </c>
      <c r="B12758" s="6">
        <v>45628</v>
      </c>
      <c r="C12758" t="s">
        <v>130</v>
      </c>
      <c r="D12758" t="s">
        <v>6034</v>
      </c>
      <c r="E12758">
        <v>97.41</v>
      </c>
      <c r="F12758" s="2" t="str">
        <f>IF(Table2[[#This Row],[Manual Cat Value]]="",VLOOKUP(Table2[[#This Row],[Description]],'Actuals Lookup'!D:F,3,0),VLOOKUP(Table2[[#This Row],[Manual Cat Value]],Lookup!A:B,2,0))</f>
        <v>Gifts</v>
      </c>
      <c r="H12758" t="s">
        <v>44</v>
      </c>
      <c r="I12758" s="8"/>
      <c r="O12758" t="str">
        <f>LEFT(Table2[[#This Row],[Description]],75)</f>
        <v>SP HELINOX          OAKLAND             CA</v>
      </c>
    </row>
    <row r="12759" spans="1:15" hidden="1">
      <c r="A12759">
        <v>202403</v>
      </c>
      <c r="B12759" s="6">
        <v>45365</v>
      </c>
      <c r="C12759" t="s">
        <v>2519</v>
      </c>
      <c r="D12759" t="s">
        <v>4293</v>
      </c>
      <c r="E12759">
        <v>1077.58</v>
      </c>
      <c r="F12759" s="2" t="str">
        <f>IF(Table2[[#This Row],[Manual Cat Value]]="",VLOOKUP(Table2[[#This Row],[Description]],'Actuals Lookup'!D:F,3,0),VLOOKUP(Table2[[#This Row],[Manual Cat Value]],Lookup!A:B,2,0))</f>
        <v>Delete</v>
      </c>
      <c r="I12759" s="8"/>
      <c r="O12759" t="str">
        <f>LEFT(Table2[[#This Row],[Description]],75)</f>
        <v>Withdrawal Home Banking Pmt to card XX5913</v>
      </c>
    </row>
    <row r="12760" spans="1:15" hidden="1">
      <c r="A12760">
        <v>202412</v>
      </c>
      <c r="B12760" s="6">
        <v>45629</v>
      </c>
      <c r="C12760" t="s">
        <v>130</v>
      </c>
      <c r="D12760" t="s">
        <v>6035</v>
      </c>
      <c r="E12760">
        <v>7.99</v>
      </c>
      <c r="F12760" s="2" t="str">
        <f>IF(Table2[[#This Row],[Manual Cat Value]]="",VLOOKUP(Table2[[#This Row],[Description]],'Actuals Lookup'!D:F,3,0),VLOOKUP(Table2[[#This Row],[Manual Cat Value]],Lookup!A:B,2,0))</f>
        <v>Groceries</v>
      </c>
      <c r="H12760" t="s">
        <v>27</v>
      </c>
      <c r="I12760" s="8"/>
      <c r="O12760" t="str">
        <f>LEFT(Table2[[#This Row],[Description]],75)</f>
        <v>KOWALSKI'S EXCELSIOREXCELSIOR           MN</v>
      </c>
    </row>
    <row r="12761" spans="1:15" hidden="1">
      <c r="A12761">
        <v>202412</v>
      </c>
      <c r="B12761" s="6">
        <v>45629</v>
      </c>
      <c r="C12761" t="s">
        <v>130</v>
      </c>
      <c r="D12761" t="s">
        <v>6036</v>
      </c>
      <c r="E12761">
        <v>35.950000000000003</v>
      </c>
      <c r="F12761" s="2" t="str">
        <f>IF(Table2[[#This Row],[Manual Cat Value]]="",VLOOKUP(Table2[[#This Row],[Description]],'Actuals Lookup'!D:F,3,0),VLOOKUP(Table2[[#This Row],[Manual Cat Value]],Lookup!A:B,2,0))</f>
        <v>Transportation</v>
      </c>
      <c r="H12761" t="s">
        <v>22</v>
      </c>
      <c r="I12761" s="8"/>
      <c r="O12761" t="str">
        <f>LEFT(Table2[[#This Row],[Description]],75)</f>
        <v>KWIK TRIP           CHANHASSEN          MN</v>
      </c>
    </row>
    <row r="12762" spans="1:15" hidden="1">
      <c r="A12762">
        <v>202412</v>
      </c>
      <c r="B12762" s="6">
        <v>45629</v>
      </c>
      <c r="C12762" t="s">
        <v>2519</v>
      </c>
      <c r="D12762" t="s">
        <v>1958</v>
      </c>
      <c r="E12762">
        <v>614</v>
      </c>
      <c r="F12762" s="2" t="str">
        <f>IF(Table2[[#This Row],[Manual Cat Value]]="",VLOOKUP(Table2[[#This Row],[Description]],'Actuals Lookup'!D:F,3,0),VLOOKUP(Table2[[#This Row],[Manual Cat Value]],Lookup!A:B,2,0))</f>
        <v>Shopping</v>
      </c>
      <c r="I12762" s="8"/>
      <c r="O12762" t="str">
        <f>LEFT(Table2[[#This Row],[Description]],75)</f>
        <v>Transfer to Venmo</v>
      </c>
    </row>
    <row r="12763" spans="1:15" hidden="1">
      <c r="A12763">
        <v>202412</v>
      </c>
      <c r="B12763" s="6">
        <v>45629</v>
      </c>
      <c r="C12763" t="s">
        <v>2519</v>
      </c>
      <c r="D12763" t="s">
        <v>6037</v>
      </c>
      <c r="E12763">
        <v>380</v>
      </c>
      <c r="F12763" s="2" t="str">
        <f>IF(Table2[[#This Row],[Manual Cat Value]]="",VLOOKUP(Table2[[#This Row],[Description]],'Actuals Lookup'!D:F,3,0),VLOOKUP(Table2[[#This Row],[Manual Cat Value]],Lookup!A:B,2,0))</f>
        <v>Day Care</v>
      </c>
      <c r="H12763" s="8" t="s">
        <v>19</v>
      </c>
      <c r="I12763" s="8"/>
      <c r="O12763" t="str">
        <f>LEFT(Table2[[#This Row],[Description]],75)</f>
        <v>Withdrawal ACH Mis Amigos Presc TYPE: ID: XX7393 NAME: BCU CO: Mis Amigos P</v>
      </c>
    </row>
    <row r="12764" spans="1:15" hidden="1">
      <c r="A12764">
        <v>202412</v>
      </c>
      <c r="B12764" s="6">
        <v>45630</v>
      </c>
      <c r="C12764" t="s">
        <v>130</v>
      </c>
      <c r="D12764" t="s">
        <v>5832</v>
      </c>
      <c r="E12764">
        <v>55.49</v>
      </c>
      <c r="F12764" s="2" t="str">
        <f>IF(Table2[[#This Row],[Manual Cat Value]]="",VLOOKUP(Table2[[#This Row],[Description]],'Actuals Lookup'!D:F,3,0),VLOOKUP(Table2[[#This Row],[Manual Cat Value]],Lookup!A:B,2,0))</f>
        <v>Entertainment</v>
      </c>
      <c r="H12764" s="8" t="s">
        <v>39</v>
      </c>
      <c r="I12764" s="8"/>
      <c r="O12764" t="str">
        <f>LEFT(Table2[[#This Row],[Description]],75)</f>
        <v>2025 GRANDMAS MARATHBOSTON              MA</v>
      </c>
    </row>
    <row r="12765" spans="1:15" hidden="1">
      <c r="A12765">
        <v>202412</v>
      </c>
      <c r="B12765" s="6">
        <v>45630</v>
      </c>
      <c r="C12765" t="s">
        <v>130</v>
      </c>
      <c r="D12765" t="s">
        <v>5926</v>
      </c>
      <c r="E12765">
        <v>8.77</v>
      </c>
      <c r="F12765" s="2" t="str">
        <f>IF(Table2[[#This Row],[Manual Cat Value]]="",VLOOKUP(Table2[[#This Row],[Description]],'Actuals Lookup'!D:F,3,0),VLOOKUP(Table2[[#This Row],[Manual Cat Value]],Lookup!A:B,2,0))</f>
        <v>Restaurants</v>
      </c>
      <c r="H12765" t="s">
        <v>25</v>
      </c>
      <c r="I12765" s="8"/>
      <c r="O12765" t="str">
        <f>LEFT(Table2[[#This Row],[Description]],75)</f>
        <v>DAIRY QUEEN #46123 0WACONIA             MN</v>
      </c>
    </row>
    <row r="12766" spans="1:15" hidden="1">
      <c r="A12766">
        <v>202412</v>
      </c>
      <c r="B12766" s="6">
        <v>45631</v>
      </c>
      <c r="C12766" t="s">
        <v>2519</v>
      </c>
      <c r="D12766" t="s">
        <v>404</v>
      </c>
      <c r="E12766">
        <v>-4110.7700000000004</v>
      </c>
      <c r="F12766" s="2" t="str">
        <f>IF(Table2[[#This Row],[Manual Cat Value]]="",VLOOKUP(Table2[[#This Row],[Description]],'Actuals Lookup'!D:F,3,0),VLOOKUP(Table2[[#This Row],[Manual Cat Value]],Lookup!A:B,2,0))</f>
        <v>Britney</v>
      </c>
      <c r="H12766" t="s">
        <v>65</v>
      </c>
      <c r="I12766" s="8"/>
      <c r="O12766" t="str">
        <f>LEFT(Table2[[#This Row],[Description]],75)</f>
        <v>Cargill Inc Deposit</v>
      </c>
    </row>
    <row r="12767" spans="1:15" hidden="1">
      <c r="A12767">
        <v>202412</v>
      </c>
      <c r="B12767" s="6">
        <v>45631</v>
      </c>
      <c r="C12767" t="s">
        <v>2281</v>
      </c>
      <c r="D12767" t="s">
        <v>14</v>
      </c>
      <c r="E12767">
        <f>125*2</f>
        <v>250</v>
      </c>
      <c r="F12767" s="2" t="str">
        <f>IF(Table2[[#This Row],[Manual Cat Value]]="",VLOOKUP(Table2[[#This Row],[Description]],'Actuals Lookup'!D:F,3,0),VLOOKUP(Table2[[#This Row],[Manual Cat Value]],Lookup!A:B,2,0))</f>
        <v>Cleaning</v>
      </c>
      <c r="H12767" s="8" t="s">
        <v>13</v>
      </c>
      <c r="I12767" s="8"/>
      <c r="O12767" t="str">
        <f>LEFT(Table2[[#This Row],[Description]],75)</f>
        <v>Cleaning</v>
      </c>
    </row>
    <row r="12768" spans="1:15" hidden="1">
      <c r="A12768">
        <v>202412</v>
      </c>
      <c r="B12768" s="6">
        <v>45631</v>
      </c>
      <c r="C12768" t="s">
        <v>130</v>
      </c>
      <c r="D12768" t="s">
        <v>6038</v>
      </c>
      <c r="E12768">
        <v>123.6</v>
      </c>
      <c r="F12768" s="2" t="str">
        <f>IF(Table2[[#This Row],[Manual Cat Value]]="",VLOOKUP(Table2[[#This Row],[Description]],'Actuals Lookup'!D:F,3,0),VLOOKUP(Table2[[#This Row],[Manual Cat Value]],Lookup!A:B,2,0))</f>
        <v>Shopping</v>
      </c>
      <c r="H12768" t="s">
        <v>36</v>
      </c>
      <c r="I12768" s="8"/>
      <c r="O12768" t="str">
        <f>LEFT(Table2[[#This Row],[Description]],75)</f>
        <v>LUNA NAILS          Deephaven           MN</v>
      </c>
    </row>
    <row r="12769" spans="1:15" hidden="1">
      <c r="A12769">
        <v>202412</v>
      </c>
      <c r="B12769" s="6">
        <v>45632</v>
      </c>
      <c r="C12769" t="s">
        <v>3938</v>
      </c>
      <c r="D12769" t="s">
        <v>6039</v>
      </c>
      <c r="E12769">
        <v>-34.99</v>
      </c>
      <c r="F12769" s="2" t="str">
        <f>IF(Table2[[#This Row],[Manual Cat Value]]="",VLOOKUP(Table2[[#This Row],[Description]],'Actuals Lookup'!D:F,3,0),VLOOKUP(Table2[[#This Row],[Manual Cat Value]],Lookup!A:B,2,0))</f>
        <v>Amazon</v>
      </c>
      <c r="H12769" s="8" t="s">
        <v>37</v>
      </c>
      <c r="I12769" s="8"/>
      <c r="O12769" t="str">
        <f>LEFT(Table2[[#This Row],[Description]],75)</f>
        <v>AMAZON MARK* B70D46AY3 HTTPSAMAZON.CWA REF #XX1134Px0005J0JZ</v>
      </c>
    </row>
    <row r="12770" spans="1:15" hidden="1">
      <c r="A12770">
        <v>202412</v>
      </c>
      <c r="B12770" s="6">
        <v>45632</v>
      </c>
      <c r="C12770" t="s">
        <v>3938</v>
      </c>
      <c r="D12770" t="s">
        <v>6040</v>
      </c>
      <c r="E12770">
        <v>-28.48</v>
      </c>
      <c r="F12770" s="2" t="str">
        <f>IF(Table2[[#This Row],[Manual Cat Value]]="",VLOOKUP(Table2[[#This Row],[Description]],'Actuals Lookup'!D:F,3,0),VLOOKUP(Table2[[#This Row],[Manual Cat Value]],Lookup!A:B,2,0))</f>
        <v>Amazon</v>
      </c>
      <c r="H12770" s="8" t="s">
        <v>37</v>
      </c>
      <c r="I12770" s="8"/>
      <c r="O12770" t="str">
        <f>LEFT(Table2[[#This Row],[Description]],75)</f>
        <v>AMAZON MARK* B70D46AY3 HTTPSAMAZON.CWA REF #XX1134Px0005RR2R</v>
      </c>
    </row>
    <row r="12771" spans="1:15" hidden="1">
      <c r="A12771">
        <v>202412</v>
      </c>
      <c r="B12771" s="6">
        <v>45632</v>
      </c>
      <c r="C12771" t="s">
        <v>3938</v>
      </c>
      <c r="D12771" t="s">
        <v>6041</v>
      </c>
      <c r="E12771">
        <v>-31.33</v>
      </c>
      <c r="F12771" s="2" t="str">
        <f>IF(Table2[[#This Row],[Manual Cat Value]]="",VLOOKUP(Table2[[#This Row],[Description]],'Actuals Lookup'!D:F,3,0),VLOOKUP(Table2[[#This Row],[Manual Cat Value]],Lookup!A:B,2,0))</f>
        <v>Amazon</v>
      </c>
      <c r="H12771" s="8" t="s">
        <v>37</v>
      </c>
      <c r="I12771" s="8"/>
      <c r="O12771" t="str">
        <f>LEFT(Table2[[#This Row],[Description]],75)</f>
        <v>AMAZON MARK* B70D46AY3 HTTPSAMAZON.CWA REF #XX1134Px0006M17Z</v>
      </c>
    </row>
    <row r="12772" spans="1:15" hidden="1">
      <c r="A12772">
        <v>202412</v>
      </c>
      <c r="B12772" s="6">
        <v>45632</v>
      </c>
      <c r="C12772" t="s">
        <v>3938</v>
      </c>
      <c r="D12772" t="s">
        <v>6042</v>
      </c>
      <c r="E12772">
        <v>-31.98</v>
      </c>
      <c r="F12772" s="2" t="str">
        <f>IF(Table2[[#This Row],[Manual Cat Value]]="",VLOOKUP(Table2[[#This Row],[Description]],'Actuals Lookup'!D:F,3,0),VLOOKUP(Table2[[#This Row],[Manual Cat Value]],Lookup!A:B,2,0))</f>
        <v>Amazon</v>
      </c>
      <c r="H12772" s="8" t="s">
        <v>37</v>
      </c>
      <c r="I12772" s="8"/>
      <c r="O12772" t="str">
        <f>LEFT(Table2[[#This Row],[Description]],75)</f>
        <v>AMAZON MARK* B70D46AY3 HTTPSAMAZON.CWA REF #XX1134PXX0057D8T</v>
      </c>
    </row>
    <row r="12773" spans="1:15" hidden="1">
      <c r="A12773">
        <v>202412</v>
      </c>
      <c r="B12773" s="6">
        <v>45632</v>
      </c>
      <c r="C12773" t="s">
        <v>130</v>
      </c>
      <c r="D12773" t="s">
        <v>5849</v>
      </c>
      <c r="E12773">
        <v>35.450000000000003</v>
      </c>
      <c r="F12773" s="2" t="str">
        <f>IF(Table2[[#This Row],[Manual Cat Value]]="",VLOOKUP(Table2[[#This Row],[Description]],'Actuals Lookup'!D:F,3,0),VLOOKUP(Table2[[#This Row],[Manual Cat Value]],Lookup!A:B,2,0))</f>
        <v>Groceries</v>
      </c>
      <c r="H12773" t="s">
        <v>27</v>
      </c>
      <c r="I12773" s="8"/>
      <c r="O12773" t="str">
        <f>LEFT(Table2[[#This Row],[Description]],75)</f>
        <v>AplPay KOWALSKI'S EXEXCELSIOR           MN</v>
      </c>
    </row>
    <row r="12774" spans="1:15" hidden="1">
      <c r="A12774">
        <v>202412</v>
      </c>
      <c r="B12774" s="6">
        <v>45632</v>
      </c>
      <c r="C12774" t="s">
        <v>130</v>
      </c>
      <c r="D12774" t="s">
        <v>6043</v>
      </c>
      <c r="E12774">
        <v>129.99</v>
      </c>
      <c r="F12774" s="2" t="str">
        <f>IF(Table2[[#This Row],[Manual Cat Value]]="",VLOOKUP(Table2[[#This Row],[Description]],'Actuals Lookup'!D:F,3,0),VLOOKUP(Table2[[#This Row],[Manual Cat Value]],Lookup!A:B,2,0))</f>
        <v>Utilities</v>
      </c>
      <c r="H12774" s="8" t="s">
        <v>6</v>
      </c>
      <c r="I12774" s="8"/>
      <c r="O12774" t="str">
        <f>LEFT(Table2[[#This Row],[Description]],75)</f>
        <v>EVERNOTE            REDWOOD CITY        CA</v>
      </c>
    </row>
    <row r="12775" spans="1:15" hidden="1">
      <c r="A12775">
        <v>202412</v>
      </c>
      <c r="B12775" s="6">
        <v>45633</v>
      </c>
      <c r="C12775" t="s">
        <v>130</v>
      </c>
      <c r="D12775" t="s">
        <v>5950</v>
      </c>
      <c r="E12775">
        <v>23.51</v>
      </c>
      <c r="F12775" s="2" t="str">
        <f>IF(Table2[[#This Row],[Manual Cat Value]]="",VLOOKUP(Table2[[#This Row],[Description]],'Actuals Lookup'!D:F,3,0),VLOOKUP(Table2[[#This Row],[Manual Cat Value]],Lookup!A:B,2,0))</f>
        <v>Travel</v>
      </c>
      <c r="H12775" t="s">
        <v>52</v>
      </c>
      <c r="I12775" s="8"/>
      <c r="O12775" t="str">
        <f>LEFT(Table2[[#This Row],[Description]],75)</f>
        <v>HEWING HOTEL HEWING MINNEAPOLIS         MN</v>
      </c>
    </row>
    <row r="12776" spans="1:15" hidden="1">
      <c r="A12776">
        <v>202412</v>
      </c>
      <c r="B12776" s="6">
        <v>45633</v>
      </c>
      <c r="C12776" t="s">
        <v>130</v>
      </c>
      <c r="D12776" t="s">
        <v>5950</v>
      </c>
      <c r="E12776">
        <v>41.25</v>
      </c>
      <c r="F12776" s="2" t="str">
        <f>IF(Table2[[#This Row],[Manual Cat Value]]="",VLOOKUP(Table2[[#This Row],[Description]],'Actuals Lookup'!D:F,3,0),VLOOKUP(Table2[[#This Row],[Manual Cat Value]],Lookup!A:B,2,0))</f>
        <v>Travel</v>
      </c>
      <c r="H12776" t="s">
        <v>52</v>
      </c>
      <c r="I12776" s="8"/>
      <c r="O12776" t="str">
        <f>LEFT(Table2[[#This Row],[Description]],75)</f>
        <v>HEWING HOTEL HEWING MINNEAPOLIS         MN</v>
      </c>
    </row>
    <row r="12777" spans="1:15" hidden="1">
      <c r="A12777">
        <v>202412</v>
      </c>
      <c r="B12777" s="6">
        <v>45633</v>
      </c>
      <c r="C12777" t="s">
        <v>130</v>
      </c>
      <c r="D12777" t="s">
        <v>5760</v>
      </c>
      <c r="E12777">
        <v>85.85</v>
      </c>
      <c r="F12777" s="2" t="str">
        <f>IF(Table2[[#This Row],[Manual Cat Value]]="",VLOOKUP(Table2[[#This Row],[Description]],'Actuals Lookup'!D:F,3,0),VLOOKUP(Table2[[#This Row],[Manual Cat Value]],Lookup!A:B,2,0))</f>
        <v>Restaurants</v>
      </c>
      <c r="H12777" t="s">
        <v>25</v>
      </c>
      <c r="I12777" s="8"/>
      <c r="O12777" t="str">
        <f>LEFT(Table2[[#This Row],[Description]],75)</f>
        <v>TST* NORTH COOP 0013EXCELSIOR           MN</v>
      </c>
    </row>
    <row r="12778" spans="1:15" hidden="1">
      <c r="A12778">
        <v>202412</v>
      </c>
      <c r="B12778" s="6">
        <v>45633</v>
      </c>
      <c r="C12778" t="s">
        <v>130</v>
      </c>
      <c r="D12778" t="s">
        <v>6044</v>
      </c>
      <c r="E12778">
        <v>373.4</v>
      </c>
      <c r="F12778" s="2" t="str">
        <f>IF(Table2[[#This Row],[Manual Cat Value]]="",VLOOKUP(Table2[[#This Row],[Description]],'Actuals Lookup'!D:F,3,0),VLOOKUP(Table2[[#This Row],[Manual Cat Value]],Lookup!A:B,2,0))</f>
        <v>Restaurants</v>
      </c>
      <c r="H12778" t="s">
        <v>25</v>
      </c>
      <c r="I12778" s="8"/>
      <c r="O12778" t="str">
        <f>LEFT(Table2[[#This Row],[Description]],75)</f>
        <v>TST* PORZANA 0014034MINNEAPOLIS         MN</v>
      </c>
    </row>
    <row r="12779" spans="1:15" hidden="1">
      <c r="A12779">
        <v>202412</v>
      </c>
      <c r="B12779" s="6">
        <v>45633</v>
      </c>
      <c r="C12779" t="s">
        <v>130</v>
      </c>
      <c r="D12779" t="s">
        <v>6045</v>
      </c>
      <c r="E12779">
        <v>50</v>
      </c>
      <c r="F12779" s="2" t="str">
        <f>IF(Table2[[#This Row],[Manual Cat Value]]="",VLOOKUP(Table2[[#This Row],[Description]],'Actuals Lookup'!D:F,3,0),VLOOKUP(Table2[[#This Row],[Manual Cat Value]],Lookup!A:B,2,0))</f>
        <v>Restaurants</v>
      </c>
      <c r="H12779" t="s">
        <v>25</v>
      </c>
      <c r="I12779" s="8"/>
      <c r="O12779" t="str">
        <f>LEFT(Table2[[#This Row],[Description]],75)</f>
        <v>TST* SPOON AND STABLMINNEAPOLIS         MN</v>
      </c>
    </row>
    <row r="12780" spans="1:15" hidden="1">
      <c r="A12780">
        <v>202412</v>
      </c>
      <c r="B12780" s="6">
        <v>45634</v>
      </c>
      <c r="C12780" t="s">
        <v>130</v>
      </c>
      <c r="D12780" t="s">
        <v>6046</v>
      </c>
      <c r="E12780">
        <v>7.63</v>
      </c>
      <c r="F12780" s="2" t="str">
        <f>IF(Table2[[#This Row],[Manual Cat Value]]="",VLOOKUP(Table2[[#This Row],[Description]],'Actuals Lookup'!D:F,3,0),VLOOKUP(Table2[[#This Row],[Manual Cat Value]],Lookup!A:B,2,0))</f>
        <v>Entertainment</v>
      </c>
      <c r="H12780" s="8" t="s">
        <v>39</v>
      </c>
      <c r="I12780" s="8"/>
      <c r="O12780" t="str">
        <f>LEFT(Table2[[#This Row],[Description]],75)</f>
        <v>AplPay FAIRGROUNDS NMinneapolis         MN</v>
      </c>
    </row>
    <row r="12781" spans="1:15" hidden="1">
      <c r="A12781">
        <v>202412</v>
      </c>
      <c r="B12781" s="6">
        <v>45634</v>
      </c>
      <c r="C12781" t="s">
        <v>130</v>
      </c>
      <c r="D12781" t="s">
        <v>6047</v>
      </c>
      <c r="E12781">
        <v>696.4</v>
      </c>
      <c r="F12781" s="2" t="str">
        <f>IF(Table2[[#This Row],[Manual Cat Value]]="",VLOOKUP(Table2[[#This Row],[Description]],'Actuals Lookup'!D:F,3,0),VLOOKUP(Table2[[#This Row],[Manual Cat Value]],Lookup!A:B,2,0))</f>
        <v>Shopping</v>
      </c>
      <c r="H12781" s="8" t="s">
        <v>36</v>
      </c>
      <c r="I12781" s="8"/>
      <c r="O12781" t="str">
        <f>LEFT(Table2[[#This Row],[Description]],75)</f>
        <v>AplPay JAXEN GREY NOMINNEAPOLIS         MN</v>
      </c>
    </row>
    <row r="12782" spans="1:15" hidden="1">
      <c r="A12782">
        <v>202412</v>
      </c>
      <c r="B12782" s="6">
        <v>45634</v>
      </c>
      <c r="C12782" t="s">
        <v>130</v>
      </c>
      <c r="D12782" t="s">
        <v>6048</v>
      </c>
      <c r="E12782">
        <v>132.69</v>
      </c>
      <c r="F12782" s="2" t="str">
        <f>IF(Table2[[#This Row],[Manual Cat Value]]="",VLOOKUP(Table2[[#This Row],[Description]],'Actuals Lookup'!D:F,3,0),VLOOKUP(Table2[[#This Row],[Manual Cat Value]],Lookup!A:B,2,0))</f>
        <v>Restaurants</v>
      </c>
      <c r="H12782" t="s">
        <v>25</v>
      </c>
      <c r="I12782" s="8"/>
      <c r="O12782" t="str">
        <f>LEFT(Table2[[#This Row],[Description]],75)</f>
        <v>THE STRAY DOG 739296612-3782855         MN</v>
      </c>
    </row>
    <row r="12783" spans="1:15" hidden="1">
      <c r="A12783">
        <v>202412</v>
      </c>
      <c r="B12783" s="6">
        <v>45634</v>
      </c>
      <c r="C12783" t="s">
        <v>130</v>
      </c>
      <c r="D12783" t="s">
        <v>6033</v>
      </c>
      <c r="E12783">
        <v>77</v>
      </c>
      <c r="F12783" s="2" t="str">
        <f>IF(Table2[[#This Row],[Manual Cat Value]]="",VLOOKUP(Table2[[#This Row],[Description]],'Actuals Lookup'!D:F,3,0),VLOOKUP(Table2[[#This Row],[Manual Cat Value]],Lookup!A:B,2,0))</f>
        <v>Shopping</v>
      </c>
      <c r="H12783" t="s">
        <v>36</v>
      </c>
      <c r="I12783" s="8"/>
      <c r="O12783" t="str">
        <f>LEFT(Table2[[#This Row],[Description]],75)</f>
        <v>underarmour.com     888-727-6687        MD</v>
      </c>
    </row>
    <row r="12784" spans="1:15" hidden="1">
      <c r="A12784">
        <v>202412</v>
      </c>
      <c r="B12784" s="6">
        <v>45635</v>
      </c>
      <c r="C12784" t="s">
        <v>130</v>
      </c>
      <c r="D12784" t="s">
        <v>5950</v>
      </c>
      <c r="E12784">
        <v>58.51</v>
      </c>
      <c r="F12784" s="2" t="str">
        <f>IF(Table2[[#This Row],[Manual Cat Value]]="",VLOOKUP(Table2[[#This Row],[Description]],'Actuals Lookup'!D:F,3,0),VLOOKUP(Table2[[#This Row],[Manual Cat Value]],Lookup!A:B,2,0))</f>
        <v>Travel</v>
      </c>
      <c r="H12784" t="s">
        <v>52</v>
      </c>
      <c r="I12784" s="8"/>
      <c r="O12784" t="str">
        <f>LEFT(Table2[[#This Row],[Description]],75)</f>
        <v>HEWING HOTEL HEWING MINNEAPOLIS         MN</v>
      </c>
    </row>
    <row r="12785" spans="1:15" hidden="1">
      <c r="A12785">
        <v>202412</v>
      </c>
      <c r="B12785" s="6">
        <v>45635</v>
      </c>
      <c r="C12785" t="s">
        <v>2519</v>
      </c>
      <c r="D12785" t="s">
        <v>4523</v>
      </c>
      <c r="E12785">
        <v>35.450000000000003</v>
      </c>
      <c r="F12785" s="2" t="str">
        <f>IF(Table2[[#This Row],[Manual Cat Value]]="",VLOOKUP(Table2[[#This Row],[Description]],'Actuals Lookup'!D:F,3,0),VLOOKUP(Table2[[#This Row],[Manual Cat Value]],Lookup!A:B,2,0))</f>
        <v>Shopping</v>
      </c>
      <c r="I12785" s="8"/>
      <c r="O12785" t="str">
        <f>LEFT(Table2[[#This Row],[Description]],75)</f>
        <v>Payment to Barclaycard US</v>
      </c>
    </row>
    <row r="12786" spans="1:15" hidden="1">
      <c r="A12786">
        <v>202403</v>
      </c>
      <c r="B12786" s="6">
        <v>45380</v>
      </c>
      <c r="C12786" t="s">
        <v>2519</v>
      </c>
      <c r="D12786" t="s">
        <v>4293</v>
      </c>
      <c r="E12786">
        <v>899.2</v>
      </c>
      <c r="F12786" s="2" t="str">
        <f>IF(Table2[[#This Row],[Manual Cat Value]]="",VLOOKUP(Table2[[#This Row],[Description]],'Actuals Lookup'!D:F,3,0),VLOOKUP(Table2[[#This Row],[Manual Cat Value]],Lookup!A:B,2,0))</f>
        <v>Delete</v>
      </c>
      <c r="I12786" s="8"/>
      <c r="O12786" t="str">
        <f>LEFT(Table2[[#This Row],[Description]],75)</f>
        <v>Withdrawal Home Banking Pmt to card XX5913</v>
      </c>
    </row>
    <row r="12787" spans="1:15" hidden="1">
      <c r="A12787">
        <v>202412</v>
      </c>
      <c r="B12787" s="6">
        <v>45635</v>
      </c>
      <c r="C12787" t="s">
        <v>2519</v>
      </c>
      <c r="D12787" t="s">
        <v>1470</v>
      </c>
      <c r="E12787">
        <v>142.68</v>
      </c>
      <c r="F12787" s="2" t="str">
        <f>IF(Table2[[#This Row],[Manual Cat Value]]="",VLOOKUP(Table2[[#This Row],[Description]],'Actuals Lookup'!D:F,3,0),VLOOKUP(Table2[[#This Row],[Manual Cat Value]],Lookup!A:B,2,0))</f>
        <v>Utilities</v>
      </c>
      <c r="I12787" s="8"/>
      <c r="O12787" t="str">
        <f>LEFT(Table2[[#This Row],[Description]],75)</f>
        <v>Payment to Xcel Energy</v>
      </c>
    </row>
    <row r="12788" spans="1:15" hidden="1">
      <c r="A12788">
        <v>202412</v>
      </c>
      <c r="B12788" s="6">
        <v>45635</v>
      </c>
      <c r="C12788" t="s">
        <v>130</v>
      </c>
      <c r="D12788" t="s">
        <v>6049</v>
      </c>
      <c r="E12788">
        <v>116.6</v>
      </c>
      <c r="F12788" s="2" t="str">
        <f>IF(Table2[[#This Row],[Manual Cat Value]]="",VLOOKUP(Table2[[#This Row],[Description]],'Actuals Lookup'!D:F,3,0),VLOOKUP(Table2[[#This Row],[Manual Cat Value]],Lookup!A:B,2,0))</f>
        <v>Restaurants</v>
      </c>
      <c r="H12788" t="s">
        <v>25</v>
      </c>
      <c r="I12788" s="8"/>
      <c r="O12788" t="str">
        <f>LEFT(Table2[[#This Row],[Description]],75)</f>
        <v>TST* COPPER HEN CAKEMINNEAPOLIS         MN</v>
      </c>
    </row>
    <row r="12789" spans="1:15" hidden="1">
      <c r="A12789">
        <v>202412</v>
      </c>
      <c r="B12789" s="6">
        <v>45636</v>
      </c>
      <c r="C12789" t="s">
        <v>130</v>
      </c>
      <c r="D12789" t="s">
        <v>5925</v>
      </c>
      <c r="E12789">
        <v>10.6</v>
      </c>
      <c r="F12789" s="2" t="str">
        <f>IF(Table2[[#This Row],[Manual Cat Value]]="",VLOOKUP(Table2[[#This Row],[Description]],'Actuals Lookup'!D:F,3,0),VLOOKUP(Table2[[#This Row],[Manual Cat Value]],Lookup!A:B,2,0))</f>
        <v>Restaurants</v>
      </c>
      <c r="H12789" t="s">
        <v>25</v>
      </c>
      <c r="I12789" s="8"/>
      <c r="O12789" t="str">
        <f>LEFT(Table2[[#This Row],[Description]],75)</f>
        <v>AplPay WAYZATA CAFE WAYZATA             MN</v>
      </c>
    </row>
    <row r="12790" spans="1:15" hidden="1">
      <c r="A12790">
        <v>202412</v>
      </c>
      <c r="B12790" s="6">
        <v>45636</v>
      </c>
      <c r="C12790" t="s">
        <v>130</v>
      </c>
      <c r="D12790" t="s">
        <v>6050</v>
      </c>
      <c r="E12790">
        <v>27.5</v>
      </c>
      <c r="F12790" s="2" t="str">
        <f>IF(Table2[[#This Row],[Manual Cat Value]]="",VLOOKUP(Table2[[#This Row],[Description]],'Actuals Lookup'!D:F,3,0),VLOOKUP(Table2[[#This Row],[Manual Cat Value]],Lookup!A:B,2,0))</f>
        <v>Shopping</v>
      </c>
      <c r="H12790" t="s">
        <v>36</v>
      </c>
      <c r="I12790" s="8"/>
      <c r="O12790" t="str">
        <f>LEFT(Table2[[#This Row],[Description]],75)</f>
        <v>INOV-8 INC.         STE 6-303           MA</v>
      </c>
    </row>
    <row r="12791" spans="1:15" hidden="1">
      <c r="A12791">
        <v>202412</v>
      </c>
      <c r="B12791" s="6">
        <v>45636</v>
      </c>
      <c r="C12791" t="s">
        <v>3938</v>
      </c>
      <c r="D12791" t="s">
        <v>6051</v>
      </c>
      <c r="E12791">
        <v>1.75</v>
      </c>
      <c r="F12791" s="2" t="str">
        <f>IF(Table2[[#This Row],[Manual Cat Value]]="",VLOOKUP(Table2[[#This Row],[Description]],'Actuals Lookup'!D:F,3,0),VLOOKUP(Table2[[#This Row],[Manual Cat Value]],Lookup!A:B,2,0))</f>
        <v>Transportation</v>
      </c>
      <c r="H12791" t="s">
        <v>22</v>
      </c>
      <c r="I12791" s="8"/>
      <c r="O12791" t="str">
        <f>LEFT(Table2[[#This Row],[Description]],75)</f>
        <v>ONSTREET XX7275 MN REF #XX8930P8PVJXLMVP</v>
      </c>
    </row>
    <row r="12792" spans="1:15" hidden="1">
      <c r="A12792">
        <v>202412</v>
      </c>
      <c r="B12792" s="6">
        <v>45636</v>
      </c>
      <c r="C12792" t="s">
        <v>3938</v>
      </c>
      <c r="D12792" t="s">
        <v>6052</v>
      </c>
      <c r="E12792">
        <v>1.75</v>
      </c>
      <c r="F12792" s="2" t="str">
        <f>IF(Table2[[#This Row],[Manual Cat Value]]="",VLOOKUP(Table2[[#This Row],[Description]],'Actuals Lookup'!D:F,3,0),VLOOKUP(Table2[[#This Row],[Manual Cat Value]],Lookup!A:B,2,0))</f>
        <v>Transportation</v>
      </c>
      <c r="H12792" t="s">
        <v>22</v>
      </c>
      <c r="I12792" s="8"/>
      <c r="O12792" t="str">
        <f>LEFT(Table2[[#This Row],[Description]],75)</f>
        <v>ONSTREET XX7275 MN REF #XX8930P8PVJXLWYH</v>
      </c>
    </row>
    <row r="12793" spans="1:15" hidden="1">
      <c r="A12793">
        <v>202412</v>
      </c>
      <c r="B12793" s="6">
        <v>45636</v>
      </c>
      <c r="C12793" t="s">
        <v>2519</v>
      </c>
      <c r="D12793" t="s">
        <v>6053</v>
      </c>
      <c r="E12793">
        <v>380</v>
      </c>
      <c r="F12793" s="2" t="str">
        <f>IF(Table2[[#This Row],[Manual Cat Value]]="",VLOOKUP(Table2[[#This Row],[Description]],'Actuals Lookup'!D:F,3,0),VLOOKUP(Table2[[#This Row],[Manual Cat Value]],Lookup!A:B,2,0))</f>
        <v>Day Care</v>
      </c>
      <c r="H12793" s="8" t="s">
        <v>19</v>
      </c>
      <c r="I12793" s="8"/>
      <c r="O12793" t="str">
        <f>LEFT(Table2[[#This Row],[Description]],75)</f>
        <v>Withdrawal ACH Mis Amigos Presc TYPE: ID: XX7393 NAME: BCU CO: Mis Amigos P</v>
      </c>
    </row>
    <row r="12794" spans="1:15" hidden="1">
      <c r="A12794">
        <v>202412</v>
      </c>
      <c r="B12794" s="6">
        <v>45637</v>
      </c>
      <c r="C12794" t="s">
        <v>3938</v>
      </c>
      <c r="D12794" t="s">
        <v>1350</v>
      </c>
      <c r="E12794">
        <v>25.6</v>
      </c>
      <c r="F12794" s="2" t="str">
        <f>IF(Table2[[#This Row],[Manual Cat Value]]="",VLOOKUP(Table2[[#This Row],[Description]],'Actuals Lookup'!D:F,3,0),VLOOKUP(Table2[[#This Row],[Manual Cat Value]],Lookup!A:B,2,0))</f>
        <v>Utilities</v>
      </c>
      <c r="I12794" s="8"/>
      <c r="O12794" t="str">
        <f>LEFT(Table2[[#This Row],[Description]],75)</f>
        <v>Netflix</v>
      </c>
    </row>
    <row r="12795" spans="1:15" hidden="1">
      <c r="A12795">
        <v>202412</v>
      </c>
      <c r="B12795" s="6">
        <v>45637</v>
      </c>
      <c r="C12795" t="s">
        <v>3938</v>
      </c>
      <c r="D12795" t="s">
        <v>6054</v>
      </c>
      <c r="E12795">
        <v>170.19</v>
      </c>
      <c r="F12795" s="2" t="str">
        <f>IF(Table2[[#This Row],[Manual Cat Value]]="",VLOOKUP(Table2[[#This Row],[Description]],'Actuals Lookup'!D:F,3,0),VLOOKUP(Table2[[#This Row],[Manual Cat Value]],Lookup!A:B,2,0))</f>
        <v>Restaurants</v>
      </c>
      <c r="H12795" t="s">
        <v>25</v>
      </c>
      <c r="I12795" s="8"/>
      <c r="O12795" t="str">
        <f>LEFT(Table2[[#This Row],[Description]],75)</f>
        <v>TST* NEW JESTER RESTAURANEXCELSIOR MN REF #XX3746P9EJHSARA1</v>
      </c>
    </row>
    <row r="12796" spans="1:15" hidden="1">
      <c r="A12796">
        <v>202412</v>
      </c>
      <c r="B12796" s="6">
        <v>45637</v>
      </c>
      <c r="C12796" t="s">
        <v>130</v>
      </c>
      <c r="D12796" t="s">
        <v>6033</v>
      </c>
      <c r="E12796">
        <v>-77</v>
      </c>
      <c r="F12796" s="2" t="str">
        <f>IF(Table2[[#This Row],[Manual Cat Value]]="",VLOOKUP(Table2[[#This Row],[Description]],'Actuals Lookup'!D:F,3,0),VLOOKUP(Table2[[#This Row],[Manual Cat Value]],Lookup!A:B,2,0))</f>
        <v>Shopping</v>
      </c>
      <c r="H12796" t="s">
        <v>36</v>
      </c>
      <c r="I12796" s="8"/>
      <c r="O12796" t="str">
        <f>LEFT(Table2[[#This Row],[Description]],75)</f>
        <v>underarmour.com     888-727-6687        MD</v>
      </c>
    </row>
    <row r="12797" spans="1:15" hidden="1">
      <c r="A12797">
        <v>202412</v>
      </c>
      <c r="B12797" s="6">
        <v>45638</v>
      </c>
      <c r="C12797" t="s">
        <v>130</v>
      </c>
      <c r="D12797" t="s">
        <v>5818</v>
      </c>
      <c r="E12797">
        <v>83.11</v>
      </c>
      <c r="F12797" s="2" t="str">
        <f>IF(Table2[[#This Row],[Manual Cat Value]]="",VLOOKUP(Table2[[#This Row],[Description]],'Actuals Lookup'!D:F,3,0),VLOOKUP(Table2[[#This Row],[Manual Cat Value]],Lookup!A:B,2,0))</f>
        <v>Groceries</v>
      </c>
      <c r="H12797" t="s">
        <v>27</v>
      </c>
      <c r="I12797" s="8"/>
      <c r="O12797" t="str">
        <f>LEFT(Table2[[#This Row],[Description]],75)</f>
        <v>AplPay CUB FOODS #16SHOREWOOD           MN</v>
      </c>
    </row>
    <row r="12798" spans="1:15" hidden="1">
      <c r="A12798">
        <v>202412</v>
      </c>
      <c r="B12798" s="6">
        <v>45638</v>
      </c>
      <c r="C12798" t="s">
        <v>3938</v>
      </c>
      <c r="D12798" t="s">
        <v>5756</v>
      </c>
      <c r="E12798">
        <v>8.7100000000000009</v>
      </c>
      <c r="F12798" s="2" t="str">
        <f>IF(Table2[[#This Row],[Manual Cat Value]]="",VLOOKUP(Table2[[#This Row],[Description]],'Actuals Lookup'!D:F,3,0),VLOOKUP(Table2[[#This Row],[Manual Cat Value]],Lookup!A:B,2,0))</f>
        <v>Entertainment</v>
      </c>
      <c r="H12798" t="s">
        <v>39</v>
      </c>
      <c r="I12798" s="8"/>
      <c r="O12798" t="str">
        <f>LEFT(Table2[[#This Row],[Description]],75)</f>
        <v>Hallmark</v>
      </c>
    </row>
    <row r="12799" spans="1:15" hidden="1">
      <c r="A12799">
        <v>202405</v>
      </c>
      <c r="B12799" s="6">
        <v>45424</v>
      </c>
      <c r="C12799" t="s">
        <v>2519</v>
      </c>
      <c r="D12799" t="s">
        <v>4293</v>
      </c>
      <c r="E12799">
        <v>1094.24</v>
      </c>
      <c r="F12799" s="2" t="str">
        <f>IF(Table2[[#This Row],[Manual Cat Value]]="",VLOOKUP(Table2[[#This Row],[Description]],'Actuals Lookup'!D:F,3,0),VLOOKUP(Table2[[#This Row],[Manual Cat Value]],Lookup!A:B,2,0))</f>
        <v>Delete</v>
      </c>
      <c r="I12799" s="8"/>
      <c r="O12799" t="str">
        <f>LEFT(Table2[[#This Row],[Description]],75)</f>
        <v>Withdrawal Home Banking Pmt to card XX5913</v>
      </c>
    </row>
    <row r="12800" spans="1:15" hidden="1">
      <c r="A12800">
        <v>202412</v>
      </c>
      <c r="B12800" s="6">
        <v>45638</v>
      </c>
      <c r="C12800" t="s">
        <v>2519</v>
      </c>
      <c r="D12800" t="s">
        <v>4343</v>
      </c>
      <c r="E12800">
        <v>-4406.5</v>
      </c>
      <c r="F12800" s="2" t="str">
        <f>IF(Table2[[#This Row],[Manual Cat Value]]="",VLOOKUP(Table2[[#This Row],[Description]],'Actuals Lookup'!D:F,3,0),VLOOKUP(Table2[[#This Row],[Manual Cat Value]],Lookup!A:B,2,0))</f>
        <v>Jeff</v>
      </c>
      <c r="H12800" t="s">
        <v>63</v>
      </c>
      <c r="I12800" s="8"/>
      <c r="O12800" t="str">
        <f>LEFT(Table2[[#This Row],[Description]],75)</f>
        <v>Salary/Regular Income from TriNet</v>
      </c>
    </row>
    <row r="12801" spans="1:15" hidden="1">
      <c r="A12801">
        <v>202412</v>
      </c>
      <c r="B12801" s="6">
        <v>45639</v>
      </c>
      <c r="C12801" t="s">
        <v>2519</v>
      </c>
      <c r="D12801" t="s">
        <v>6055</v>
      </c>
      <c r="E12801">
        <v>-2263.15</v>
      </c>
      <c r="F12801" s="2" t="str">
        <f>IF(Table2[[#This Row],[Manual Cat Value]]="",VLOOKUP(Table2[[#This Row],[Description]],'Actuals Lookup'!D:F,3,0),VLOOKUP(Table2[[#This Row],[Manual Cat Value]],Lookup!A:B,2,0))</f>
        <v>Jeff</v>
      </c>
      <c r="H12801" t="s">
        <v>63</v>
      </c>
      <c r="I12801" s="8"/>
      <c r="O12801" t="str">
        <f>LEFT(Table2[[#This Row],[Description]],75)</f>
        <v>Deposit ACH EMPYREAN SOLUTIO TYPE: XX9000 ID: XX3620 CO: EMPYREAN SOLUTIO E</v>
      </c>
    </row>
    <row r="12802" spans="1:15" hidden="1">
      <c r="A12802">
        <v>202405</v>
      </c>
      <c r="B12802" s="6">
        <v>45439</v>
      </c>
      <c r="C12802" t="s">
        <v>2519</v>
      </c>
      <c r="D12802" t="s">
        <v>4293</v>
      </c>
      <c r="E12802">
        <v>777.63</v>
      </c>
      <c r="F12802" s="2" t="str">
        <f>IF(Table2[[#This Row],[Manual Cat Value]]="",VLOOKUP(Table2[[#This Row],[Description]],'Actuals Lookup'!D:F,3,0),VLOOKUP(Table2[[#This Row],[Manual Cat Value]],Lookup!A:B,2,0))</f>
        <v>Delete</v>
      </c>
      <c r="I12802" s="8"/>
      <c r="O12802" t="str">
        <f>LEFT(Table2[[#This Row],[Description]],75)</f>
        <v>Withdrawal Home Banking Pmt to card XX5913</v>
      </c>
    </row>
    <row r="12803" spans="1:15" hidden="1">
      <c r="A12803">
        <v>202412</v>
      </c>
      <c r="B12803" s="6">
        <v>45639</v>
      </c>
      <c r="C12803" t="s">
        <v>3938</v>
      </c>
      <c r="D12803" t="s">
        <v>1462</v>
      </c>
      <c r="E12803">
        <v>45</v>
      </c>
      <c r="F12803" s="2" t="str">
        <f>IF(Table2[[#This Row],[Manual Cat Value]]="",VLOOKUP(Table2[[#This Row],[Description]],'Actuals Lookup'!D:F,3,0),VLOOKUP(Table2[[#This Row],[Manual Cat Value]],Lookup!A:B,2,0))</f>
        <v>Utilities</v>
      </c>
      <c r="I12803" s="8"/>
      <c r="O12803" t="str">
        <f>LEFT(Table2[[#This Row],[Description]],75)</f>
        <v>Payment to CenturyLink</v>
      </c>
    </row>
    <row r="12804" spans="1:15" hidden="1">
      <c r="A12804">
        <v>202412</v>
      </c>
      <c r="B12804" s="6">
        <v>45639</v>
      </c>
      <c r="C12804" t="s">
        <v>130</v>
      </c>
      <c r="D12804" t="s">
        <v>5862</v>
      </c>
      <c r="E12804">
        <v>57.45</v>
      </c>
      <c r="F12804" s="2" t="str">
        <f>IF(Table2[[#This Row],[Manual Cat Value]]="",VLOOKUP(Table2[[#This Row],[Description]],'Actuals Lookup'!D:F,3,0),VLOOKUP(Table2[[#This Row],[Manual Cat Value]],Lookup!A:B,2,0))</f>
        <v>Groceries</v>
      </c>
      <c r="H12804" t="s">
        <v>27</v>
      </c>
      <c r="I12804" s="8"/>
      <c r="O12804" t="str">
        <f>LEFT(Table2[[#This Row],[Description]],75)</f>
        <v>WINCHESTER AND RYE 0VICTORIA            MN</v>
      </c>
    </row>
    <row r="12805" spans="1:15" hidden="1">
      <c r="A12805">
        <v>202412</v>
      </c>
      <c r="B12805" s="6">
        <v>45639</v>
      </c>
      <c r="C12805" t="s">
        <v>2519</v>
      </c>
      <c r="D12805" t="s">
        <v>6056</v>
      </c>
      <c r="E12805">
        <v>197.71</v>
      </c>
      <c r="F12805" s="2" t="str">
        <f>IF(Table2[[#This Row],[Manual Cat Value]]="",VLOOKUP(Table2[[#This Row],[Description]],'Actuals Lookup'!D:F,3,0),VLOOKUP(Table2[[#This Row],[Manual Cat Value]],Lookup!A:B,2,0))</f>
        <v>Utilities</v>
      </c>
      <c r="H12805" t="s">
        <v>6</v>
      </c>
      <c r="I12805" s="8"/>
      <c r="O12805" t="str">
        <f>LEFT(Table2[[#This Row],[Description]],75)</f>
        <v>Withdrawal ACH CPENERGY MNGCO TYPE: MGC ACH EB ID: 1XX1140S CO: CPENERGY MN</v>
      </c>
    </row>
    <row r="12806" spans="1:15" hidden="1">
      <c r="A12806">
        <v>202412</v>
      </c>
      <c r="B12806" s="6">
        <v>45640</v>
      </c>
      <c r="C12806" t="s">
        <v>130</v>
      </c>
      <c r="D12806" t="s">
        <v>5788</v>
      </c>
      <c r="E12806">
        <v>26.55</v>
      </c>
      <c r="F12806" s="2" t="str">
        <f>IF(Table2[[#This Row],[Manual Cat Value]]="",VLOOKUP(Table2[[#This Row],[Description]],'Actuals Lookup'!D:F,3,0),VLOOKUP(Table2[[#This Row],[Manual Cat Value]],Lookup!A:B,2,0))</f>
        <v>Groceries</v>
      </c>
      <c r="H12806" t="s">
        <v>27</v>
      </c>
      <c r="I12806" s="8"/>
      <c r="O12806" t="str">
        <f>LEFT(Table2[[#This Row],[Description]],75)</f>
        <v>CUB FOODS #1636 0000SHOREWOOD           MN</v>
      </c>
    </row>
    <row r="12807" spans="1:15" hidden="1">
      <c r="A12807">
        <v>202412</v>
      </c>
      <c r="B12807" s="6">
        <v>45640</v>
      </c>
      <c r="C12807" t="s">
        <v>130</v>
      </c>
      <c r="D12807" t="s">
        <v>5790</v>
      </c>
      <c r="E12807">
        <v>38.99</v>
      </c>
      <c r="F12807" s="2" t="str">
        <f>IF(Table2[[#This Row],[Manual Cat Value]]="",VLOOKUP(Table2[[#This Row],[Description]],'Actuals Lookup'!D:F,3,0),VLOOKUP(Table2[[#This Row],[Manual Cat Value]],Lookup!A:B,2,0))</f>
        <v>Utilities</v>
      </c>
      <c r="H12807" s="8" t="s">
        <v>6</v>
      </c>
      <c r="I12807" s="8"/>
      <c r="O12807" t="str">
        <f>LEFT(Table2[[#This Row],[Description]],75)</f>
        <v>GOOGLE*SVCSGNS.3349- G.CO HELPPAY#</v>
      </c>
    </row>
    <row r="12808" spans="1:15" hidden="1">
      <c r="A12808">
        <v>202412</v>
      </c>
      <c r="B12808" s="6">
        <v>45640</v>
      </c>
      <c r="C12808" t="s">
        <v>130</v>
      </c>
      <c r="D12808" t="s">
        <v>5762</v>
      </c>
      <c r="E12808">
        <v>20</v>
      </c>
      <c r="F12808" s="2" t="str">
        <f>IF(Table2[[#This Row],[Manual Cat Value]]="",VLOOKUP(Table2[[#This Row],[Description]],'Actuals Lookup'!D:F,3,0),VLOOKUP(Table2[[#This Row],[Manual Cat Value]],Lookup!A:B,2,0))</f>
        <v>Utilities</v>
      </c>
      <c r="H12808" t="s">
        <v>6</v>
      </c>
      <c r="I12808" s="8"/>
      <c r="O12808" t="str">
        <f>LEFT(Table2[[#This Row],[Description]],75)</f>
        <v>OPENAI *CHATGPT SUBSSAN FRANCISCO       CA</v>
      </c>
    </row>
    <row r="12809" spans="1:15" hidden="1">
      <c r="A12809">
        <v>202412</v>
      </c>
      <c r="B12809" s="6">
        <v>45640</v>
      </c>
      <c r="C12809" t="s">
        <v>130</v>
      </c>
      <c r="D12809" t="s">
        <v>6057</v>
      </c>
      <c r="E12809">
        <v>64.23</v>
      </c>
      <c r="F12809" s="2" t="str">
        <f>IF(Table2[[#This Row],[Manual Cat Value]]="",VLOOKUP(Table2[[#This Row],[Description]],'Actuals Lookup'!D:F,3,0),VLOOKUP(Table2[[#This Row],[Manual Cat Value]],Lookup!A:B,2,0))</f>
        <v>Groceries</v>
      </c>
      <c r="H12809" t="s">
        <v>27</v>
      </c>
      <c r="I12809" s="8"/>
      <c r="O12809" t="str">
        <f>LEFT(Table2[[#This Row],[Description]],75)</f>
        <v>SHOREWOOD LIQUOR 931EXCELSIOR           MN</v>
      </c>
    </row>
    <row r="12810" spans="1:15" hidden="1">
      <c r="A12810">
        <v>202412</v>
      </c>
      <c r="B12810" s="6">
        <v>45640</v>
      </c>
      <c r="C12810" t="s">
        <v>130</v>
      </c>
      <c r="D12810" t="s">
        <v>6058</v>
      </c>
      <c r="E12810">
        <v>15.81</v>
      </c>
      <c r="F12810" s="2" t="str">
        <f>IF(Table2[[#This Row],[Manual Cat Value]]="",VLOOKUP(Table2[[#This Row],[Description]],'Actuals Lookup'!D:F,3,0),VLOOKUP(Table2[[#This Row],[Manual Cat Value]],Lookup!A:B,2,0))</f>
        <v>Restaurants</v>
      </c>
      <c r="H12810" t="s">
        <v>25</v>
      </c>
      <c r="I12810" s="8"/>
      <c r="O12810" t="str">
        <f>LEFT(Table2[[#This Row],[Description]],75)</f>
        <v>THE WINERY AT SOVEREWaconia             MN</v>
      </c>
    </row>
    <row r="12811" spans="1:15" hidden="1">
      <c r="A12811">
        <v>202412</v>
      </c>
      <c r="B12811" s="6">
        <v>45640</v>
      </c>
      <c r="C12811" t="s">
        <v>130</v>
      </c>
      <c r="D12811" t="s">
        <v>5998</v>
      </c>
      <c r="E12811">
        <v>148.01</v>
      </c>
      <c r="F12811" s="2" t="str">
        <f>IF(Table2[[#This Row],[Manual Cat Value]]="",VLOOKUP(Table2[[#This Row],[Description]],'Actuals Lookup'!D:F,3,0),VLOOKUP(Table2[[#This Row],[Manual Cat Value]],Lookup!A:B,2,0))</f>
        <v>Groceries</v>
      </c>
      <c r="H12811" t="s">
        <v>27</v>
      </c>
      <c r="I12811" s="8"/>
      <c r="O12811" t="str">
        <f>LEFT(Table2[[#This Row],[Description]],75)</f>
        <v>TOTAL WINE AND MORE CHANHASSEN          MN</v>
      </c>
    </row>
    <row r="12812" spans="1:15" hidden="1">
      <c r="A12812">
        <v>202412</v>
      </c>
      <c r="B12812" s="6">
        <v>45641</v>
      </c>
      <c r="C12812" t="s">
        <v>130</v>
      </c>
      <c r="D12812" t="s">
        <v>5847</v>
      </c>
      <c r="E12812">
        <v>98</v>
      </c>
      <c r="F12812" s="2" t="str">
        <f>IF(Table2[[#This Row],[Manual Cat Value]]="",VLOOKUP(Table2[[#This Row],[Description]],'Actuals Lookup'!D:F,3,0),VLOOKUP(Table2[[#This Row],[Manual Cat Value]],Lookup!A:B,2,0))</f>
        <v>Shopping</v>
      </c>
      <c r="H12812" s="8" t="s">
        <v>36</v>
      </c>
      <c r="I12812" s="8"/>
      <c r="O12812" t="str">
        <f>LEFT(Table2[[#This Row],[Description]],75)</f>
        <v>ANTHROPOLOGIE.COM   PHILADELPHIA        PA</v>
      </c>
    </row>
    <row r="12813" spans="1:15" hidden="1">
      <c r="A12813">
        <v>202412</v>
      </c>
      <c r="B12813" s="6">
        <v>45641</v>
      </c>
      <c r="C12813" t="s">
        <v>130</v>
      </c>
      <c r="D12813" t="s">
        <v>6059</v>
      </c>
      <c r="E12813">
        <v>37.53</v>
      </c>
      <c r="F12813" s="2" t="str">
        <f>IF(Table2[[#This Row],[Manual Cat Value]]="",VLOOKUP(Table2[[#This Row],[Description]],'Actuals Lookup'!D:F,3,0),VLOOKUP(Table2[[#This Row],[Manual Cat Value]],Lookup!A:B,2,0))</f>
        <v>Transportation</v>
      </c>
      <c r="H12813" t="s">
        <v>22</v>
      </c>
      <c r="I12813" s="8"/>
      <c r="O12813" t="str">
        <f>LEFT(Table2[[#This Row],[Description]],75)</f>
        <v>AplPay KWIK TRIP    CHANHASSEN          MN</v>
      </c>
    </row>
    <row r="12814" spans="1:15" hidden="1">
      <c r="A12814">
        <v>202412</v>
      </c>
      <c r="B12814" s="6">
        <v>45641</v>
      </c>
      <c r="C12814" t="s">
        <v>130</v>
      </c>
      <c r="D12814" t="s">
        <v>6060</v>
      </c>
      <c r="E12814">
        <v>29.68</v>
      </c>
      <c r="F12814" s="2" t="str">
        <f>IF(Table2[[#This Row],[Manual Cat Value]]="",VLOOKUP(Table2[[#This Row],[Description]],'Actuals Lookup'!D:F,3,0),VLOOKUP(Table2[[#This Row],[Manual Cat Value]],Lookup!A:B,2,0))</f>
        <v>Entertainment</v>
      </c>
      <c r="H12814" t="s">
        <v>39</v>
      </c>
      <c r="I12814" s="8"/>
      <c r="O12814" t="str">
        <f>LEFT(Table2[[#This Row],[Description]],75)</f>
        <v>AplPay U OF M ARB F CHASKA              MN</v>
      </c>
    </row>
    <row r="12815" spans="1:15" hidden="1">
      <c r="A12815">
        <v>202412</v>
      </c>
      <c r="B12815" s="6">
        <v>45642</v>
      </c>
      <c r="C12815" t="s">
        <v>130</v>
      </c>
      <c r="D12815" t="s">
        <v>6061</v>
      </c>
      <c r="E12815">
        <v>9.27</v>
      </c>
      <c r="F12815" s="2" t="str">
        <f>IF(Table2[[#This Row],[Manual Cat Value]]="",VLOOKUP(Table2[[#This Row],[Description]],'Actuals Lookup'!D:F,3,0),VLOOKUP(Table2[[#This Row],[Manual Cat Value]],Lookup!A:B,2,0))</f>
        <v>Shopping</v>
      </c>
      <c r="H12815" t="s">
        <v>36</v>
      </c>
      <c r="I12815" s="8"/>
      <c r="O12815" t="str">
        <f>LEFT(Table2[[#This Row],[Description]],75)</f>
        <v>AplPay LS PRIMP EXCEEXCELSIOR           MN</v>
      </c>
    </row>
    <row r="12816" spans="1:15" hidden="1">
      <c r="A12816">
        <v>202412</v>
      </c>
      <c r="B12816" s="6">
        <v>45642</v>
      </c>
      <c r="C12816" t="s">
        <v>130</v>
      </c>
      <c r="D12816" t="s">
        <v>6062</v>
      </c>
      <c r="E12816">
        <v>23.99</v>
      </c>
      <c r="F12816" s="2" t="str">
        <f>IF(Table2[[#This Row],[Manual Cat Value]]="",VLOOKUP(Table2[[#This Row],[Description]],'Actuals Lookup'!D:F,3,0),VLOOKUP(Table2[[#This Row],[Manual Cat Value]],Lookup!A:B,2,0))</f>
        <v>Shopping</v>
      </c>
      <c r="H12816" t="s">
        <v>36</v>
      </c>
      <c r="I12816" s="8"/>
      <c r="O12816" t="str">
        <f>LEFT(Table2[[#This Row],[Description]],75)</f>
        <v>AplPay SP FLEURISH LEXCELSIOR           MN</v>
      </c>
    </row>
    <row r="12817" spans="1:15" hidden="1">
      <c r="A12817">
        <v>202412</v>
      </c>
      <c r="B12817" s="6">
        <v>45642</v>
      </c>
      <c r="C12817" t="s">
        <v>130</v>
      </c>
      <c r="D12817" t="s">
        <v>6062</v>
      </c>
      <c r="E12817">
        <v>49.06</v>
      </c>
      <c r="F12817" s="2" t="str">
        <f>IF(Table2[[#This Row],[Manual Cat Value]]="",VLOOKUP(Table2[[#This Row],[Description]],'Actuals Lookup'!D:F,3,0),VLOOKUP(Table2[[#This Row],[Manual Cat Value]],Lookup!A:B,2,0))</f>
        <v>Shopping</v>
      </c>
      <c r="H12817" t="s">
        <v>36</v>
      </c>
      <c r="I12817" s="8"/>
      <c r="O12817" t="str">
        <f>LEFT(Table2[[#This Row],[Description]],75)</f>
        <v>AplPay SP FLEURISH LEXCELSIOR           MN</v>
      </c>
    </row>
    <row r="12818" spans="1:15" hidden="1">
      <c r="A12818">
        <v>202412</v>
      </c>
      <c r="B12818" s="6">
        <v>45642</v>
      </c>
      <c r="C12818" t="s">
        <v>2519</v>
      </c>
      <c r="D12818" t="s">
        <v>4356</v>
      </c>
      <c r="E12818">
        <v>92.03</v>
      </c>
      <c r="F12818" s="2" t="str">
        <f>IF(Table2[[#This Row],[Manual Cat Value]]="",VLOOKUP(Table2[[#This Row],[Description]],'Actuals Lookup'!D:F,3,0),VLOOKUP(Table2[[#This Row],[Manual Cat Value]],Lookup!A:B,2,0))</f>
        <v>Insurance</v>
      </c>
      <c r="I12818" s="8"/>
      <c r="O12818" t="str">
        <f>LEFT(Table2[[#This Row],[Description]],75)</f>
        <v>Payment to American Family Insurance</v>
      </c>
    </row>
    <row r="12819" spans="1:15" hidden="1">
      <c r="A12819">
        <v>202412</v>
      </c>
      <c r="B12819" s="6">
        <v>45642</v>
      </c>
      <c r="C12819" t="s">
        <v>130</v>
      </c>
      <c r="D12819" t="s">
        <v>6032</v>
      </c>
      <c r="E12819">
        <v>14.96</v>
      </c>
      <c r="F12819" s="2" t="str">
        <f>IF(Table2[[#This Row],[Manual Cat Value]]="",VLOOKUP(Table2[[#This Row],[Description]],'Actuals Lookup'!D:F,3,0),VLOOKUP(Table2[[#This Row],[Manual Cat Value]],Lookup!A:B,2,0))</f>
        <v>Target</v>
      </c>
      <c r="H12819" t="s">
        <v>30</v>
      </c>
      <c r="I12819" s="8"/>
      <c r="O12819" t="str">
        <f>LEFT(Table2[[#This Row],[Description]],75)</f>
        <v>TARGET              MINNETONKA          MN</v>
      </c>
    </row>
    <row r="12820" spans="1:15" hidden="1">
      <c r="A12820">
        <v>202412</v>
      </c>
      <c r="B12820" s="6">
        <v>45642</v>
      </c>
      <c r="C12820" t="s">
        <v>130</v>
      </c>
      <c r="D12820" t="s">
        <v>6032</v>
      </c>
      <c r="E12820">
        <v>29.14</v>
      </c>
      <c r="F12820" s="2" t="str">
        <f>IF(Table2[[#This Row],[Manual Cat Value]]="",VLOOKUP(Table2[[#This Row],[Description]],'Actuals Lookup'!D:F,3,0),VLOOKUP(Table2[[#This Row],[Manual Cat Value]],Lookup!A:B,2,0))</f>
        <v>Target</v>
      </c>
      <c r="H12820" t="s">
        <v>30</v>
      </c>
      <c r="I12820" s="8"/>
      <c r="O12820" t="str">
        <f>LEFT(Table2[[#This Row],[Description]],75)</f>
        <v>TARGET              MINNETONKA          MN</v>
      </c>
    </row>
    <row r="12821" spans="1:15" hidden="1">
      <c r="A12821">
        <v>202412</v>
      </c>
      <c r="B12821" s="6">
        <v>45643</v>
      </c>
      <c r="C12821" t="s">
        <v>130</v>
      </c>
      <c r="D12821" t="s">
        <v>5925</v>
      </c>
      <c r="E12821">
        <v>8.1199999999999992</v>
      </c>
      <c r="F12821" s="2" t="str">
        <f>IF(Table2[[#This Row],[Manual Cat Value]]="",VLOOKUP(Table2[[#This Row],[Description]],'Actuals Lookup'!D:F,3,0),VLOOKUP(Table2[[#This Row],[Manual Cat Value]],Lookup!A:B,2,0))</f>
        <v>Restaurants</v>
      </c>
      <c r="H12821" t="s">
        <v>25</v>
      </c>
      <c r="I12821" s="8"/>
      <c r="O12821" t="str">
        <f>LEFT(Table2[[#This Row],[Description]],75)</f>
        <v>AplPay WAYZATA CAFE WAYZATA             MN</v>
      </c>
    </row>
    <row r="12822" spans="1:15" hidden="1">
      <c r="A12822">
        <v>202406</v>
      </c>
      <c r="B12822" s="6">
        <v>45455</v>
      </c>
      <c r="C12822" t="s">
        <v>2519</v>
      </c>
      <c r="D12822" t="s">
        <v>4293</v>
      </c>
      <c r="E12822">
        <v>774.67</v>
      </c>
      <c r="F12822" s="2" t="str">
        <f>IF(Table2[[#This Row],[Manual Cat Value]]="",VLOOKUP(Table2[[#This Row],[Description]],'Actuals Lookup'!D:F,3,0),VLOOKUP(Table2[[#This Row],[Manual Cat Value]],Lookup!A:B,2,0))</f>
        <v>Delete</v>
      </c>
      <c r="I12822" s="8"/>
      <c r="O12822" t="str">
        <f>LEFT(Table2[[#This Row],[Description]],75)</f>
        <v>Withdrawal Home Banking Pmt to card XX5913</v>
      </c>
    </row>
    <row r="12823" spans="1:15" hidden="1">
      <c r="A12823">
        <v>202406</v>
      </c>
      <c r="B12823" s="6">
        <v>45470</v>
      </c>
      <c r="C12823" t="s">
        <v>2519</v>
      </c>
      <c r="D12823" t="s">
        <v>4293</v>
      </c>
      <c r="E12823">
        <v>612.63</v>
      </c>
      <c r="F12823" s="2" t="str">
        <f>IF(Table2[[#This Row],[Manual Cat Value]]="",VLOOKUP(Table2[[#This Row],[Description]],'Actuals Lookup'!D:F,3,0),VLOOKUP(Table2[[#This Row],[Manual Cat Value]],Lookup!A:B,2,0))</f>
        <v>Delete</v>
      </c>
      <c r="I12823" s="8"/>
      <c r="O12823" t="str">
        <f>LEFT(Table2[[#This Row],[Description]],75)</f>
        <v>Withdrawal Home Banking Pmt to card XX5913</v>
      </c>
    </row>
    <row r="12824" spans="1:15" hidden="1">
      <c r="A12824">
        <v>202412</v>
      </c>
      <c r="B12824" s="6">
        <v>45643</v>
      </c>
      <c r="C12824" t="s">
        <v>130</v>
      </c>
      <c r="D12824" t="s">
        <v>6063</v>
      </c>
      <c r="E12824">
        <v>31.94</v>
      </c>
      <c r="F12824" s="2" t="str">
        <f>IF(Table2[[#This Row],[Manual Cat Value]]="",VLOOKUP(Table2[[#This Row],[Description]],'Actuals Lookup'!D:F,3,0),VLOOKUP(Table2[[#This Row],[Manual Cat Value]],Lookup!A:B,2,0))</f>
        <v>Shopping</v>
      </c>
      <c r="H12824" t="s">
        <v>36</v>
      </c>
      <c r="I12824" s="8"/>
      <c r="O12824" t="str">
        <f>LEFT(Table2[[#This Row],[Description]],75)</f>
        <v>DICK'S SPORTING GOODCORAOPOLIS          PA</v>
      </c>
    </row>
    <row r="12825" spans="1:15" hidden="1">
      <c r="A12825">
        <v>202412</v>
      </c>
      <c r="B12825" s="6">
        <v>45643</v>
      </c>
      <c r="C12825" t="s">
        <v>130</v>
      </c>
      <c r="D12825" t="s">
        <v>6063</v>
      </c>
      <c r="E12825">
        <v>76.680000000000007</v>
      </c>
      <c r="F12825" s="2" t="str">
        <f>IF(Table2[[#This Row],[Manual Cat Value]]="",VLOOKUP(Table2[[#This Row],[Description]],'Actuals Lookup'!D:F,3,0),VLOOKUP(Table2[[#This Row],[Manual Cat Value]],Lookup!A:B,2,0))</f>
        <v>Shopping</v>
      </c>
      <c r="H12825" t="s">
        <v>36</v>
      </c>
      <c r="I12825" s="8"/>
      <c r="O12825" t="str">
        <f>LEFT(Table2[[#This Row],[Description]],75)</f>
        <v>DICK'S SPORTING GOODCORAOPOLIS          PA</v>
      </c>
    </row>
    <row r="12826" spans="1:15" hidden="1">
      <c r="A12826">
        <v>202412</v>
      </c>
      <c r="B12826" s="6">
        <v>45643</v>
      </c>
      <c r="C12826" t="s">
        <v>130</v>
      </c>
      <c r="D12826" t="s">
        <v>6064</v>
      </c>
      <c r="E12826">
        <v>-41.97</v>
      </c>
      <c r="F12826" s="2" t="str">
        <f>IF(Table2[[#This Row],[Manual Cat Value]]="",VLOOKUP(Table2[[#This Row],[Description]],'Actuals Lookup'!D:F,3,0),VLOOKUP(Table2[[#This Row],[Manual Cat Value]],Lookup!A:B,2,0))</f>
        <v>Shopping</v>
      </c>
      <c r="H12826" t="s">
        <v>36</v>
      </c>
      <c r="I12826" s="8"/>
      <c r="O12826" t="str">
        <f>LEFT(Table2[[#This Row],[Description]],75)</f>
        <v>LOFT 1598 RIDGEDALE MINNETONKA          MN</v>
      </c>
    </row>
    <row r="12827" spans="1:15" hidden="1">
      <c r="A12827">
        <v>202412</v>
      </c>
      <c r="B12827" s="6">
        <v>45643</v>
      </c>
      <c r="C12827" t="s">
        <v>2519</v>
      </c>
      <c r="D12827" t="s">
        <v>6065</v>
      </c>
      <c r="E12827">
        <v>380</v>
      </c>
      <c r="F12827" s="2" t="str">
        <f>IF(Table2[[#This Row],[Manual Cat Value]]="",VLOOKUP(Table2[[#This Row],[Description]],'Actuals Lookup'!D:F,3,0),VLOOKUP(Table2[[#This Row],[Manual Cat Value]],Lookup!A:B,2,0))</f>
        <v>Day Care</v>
      </c>
      <c r="H12827" s="8" t="s">
        <v>19</v>
      </c>
      <c r="I12827" s="8"/>
      <c r="O12827" t="str">
        <f>LEFT(Table2[[#This Row],[Description]],75)</f>
        <v>Withdrawal ACH Mis Amigos Presc TYPE: ID: XX7393 NAME: BCU CO: Mis Amigos P</v>
      </c>
    </row>
    <row r="12828" spans="1:15" hidden="1">
      <c r="A12828">
        <v>202412</v>
      </c>
      <c r="B12828" s="6">
        <v>45644</v>
      </c>
      <c r="C12828" t="s">
        <v>130</v>
      </c>
      <c r="D12828" t="s">
        <v>6066</v>
      </c>
      <c r="E12828">
        <v>25</v>
      </c>
      <c r="F12828" s="2" t="str">
        <f>IF(Table2[[#This Row],[Manual Cat Value]]="",VLOOKUP(Table2[[#This Row],[Description]],'Actuals Lookup'!D:F,3,0),VLOOKUP(Table2[[#This Row],[Manual Cat Value]],Lookup!A:B,2,0))</f>
        <v>Restaurants</v>
      </c>
      <c r="H12828" t="s">
        <v>25</v>
      </c>
      <c r="I12828" s="8"/>
      <c r="O12828" t="str">
        <f>LEFT(Table2[[#This Row],[Description]],75)</f>
        <v>AplPay STARBUCKS    800-782-7282        WA</v>
      </c>
    </row>
    <row r="12829" spans="1:15" hidden="1">
      <c r="A12829">
        <v>202412</v>
      </c>
      <c r="B12829" s="6">
        <v>45644</v>
      </c>
      <c r="C12829" t="s">
        <v>130</v>
      </c>
      <c r="D12829" t="s">
        <v>5788</v>
      </c>
      <c r="E12829">
        <v>13.77</v>
      </c>
      <c r="F12829" s="2" t="str">
        <f>IF(Table2[[#This Row],[Manual Cat Value]]="",VLOOKUP(Table2[[#This Row],[Description]],'Actuals Lookup'!D:F,3,0),VLOOKUP(Table2[[#This Row],[Manual Cat Value]],Lookup!A:B,2,0))</f>
        <v>Groceries</v>
      </c>
      <c r="H12829" t="s">
        <v>27</v>
      </c>
      <c r="I12829" s="8"/>
      <c r="O12829" t="str">
        <f>LEFT(Table2[[#This Row],[Description]],75)</f>
        <v>CUB FOODS #1636 0000SHOREWOOD           MN</v>
      </c>
    </row>
    <row r="12830" spans="1:15" hidden="1">
      <c r="A12830">
        <v>202412</v>
      </c>
      <c r="B12830" s="6">
        <v>45644</v>
      </c>
      <c r="C12830" t="s">
        <v>130</v>
      </c>
      <c r="D12830" t="s">
        <v>5982</v>
      </c>
      <c r="E12830">
        <v>25</v>
      </c>
      <c r="F12830" s="2" t="str">
        <f>IF(Table2[[#This Row],[Manual Cat Value]]="",VLOOKUP(Table2[[#This Row],[Description]],'Actuals Lookup'!D:F,3,0),VLOOKUP(Table2[[#This Row],[Manual Cat Value]],Lookup!A:B,2,0))</f>
        <v>Day Care</v>
      </c>
      <c r="H12830" t="s">
        <v>19</v>
      </c>
      <c r="I12830" s="8"/>
      <c r="O12830" t="str">
        <f>LEFT(Table2[[#This Row],[Description]],75)</f>
        <v>RVT*MTKA PUB SCHLS-WMINNETONKA          MN</v>
      </c>
    </row>
    <row r="12831" spans="1:15" hidden="1">
      <c r="A12831">
        <v>202408</v>
      </c>
      <c r="B12831" s="6">
        <v>45507</v>
      </c>
      <c r="C12831" t="s">
        <v>2519</v>
      </c>
      <c r="D12831" t="s">
        <v>4293</v>
      </c>
      <c r="E12831">
        <v>1592.13</v>
      </c>
      <c r="F12831" s="2" t="str">
        <f>IF(Table2[[#This Row],[Manual Cat Value]]="",VLOOKUP(Table2[[#This Row],[Description]],'Actuals Lookup'!D:F,3,0),VLOOKUP(Table2[[#This Row],[Manual Cat Value]],Lookup!A:B,2,0))</f>
        <v>Delete</v>
      </c>
      <c r="H12831" t="s">
        <v>9</v>
      </c>
      <c r="I12831" s="8"/>
      <c r="O12831" t="str">
        <f>LEFT(Table2[[#This Row],[Description]],75)</f>
        <v>Withdrawal Home Banking Pmt to card XX5913</v>
      </c>
    </row>
    <row r="12832" spans="1:15" hidden="1">
      <c r="A12832">
        <v>202412</v>
      </c>
      <c r="B12832" s="6">
        <v>45645</v>
      </c>
      <c r="C12832" t="s">
        <v>130</v>
      </c>
      <c r="D12832" t="s">
        <v>6022</v>
      </c>
      <c r="E12832">
        <v>97.75</v>
      </c>
      <c r="F12832" s="2" t="str">
        <f>IF(Table2[[#This Row],[Manual Cat Value]]="",VLOOKUP(Table2[[#This Row],[Description]],'Actuals Lookup'!D:F,3,0),VLOOKUP(Table2[[#This Row],[Manual Cat Value]],Lookup!A:B,2,0))</f>
        <v>Shopping</v>
      </c>
      <c r="H12832" t="s">
        <v>36</v>
      </c>
      <c r="I12832" s="8"/>
      <c r="O12832" t="str">
        <f>LEFT(Table2[[#This Row],[Description]],75)</f>
        <v>AplPay SCHEELS ALL SFARGO               ND</v>
      </c>
    </row>
    <row r="12833" spans="1:15" hidden="1">
      <c r="A12833">
        <v>202408</v>
      </c>
      <c r="B12833" s="6">
        <v>45519</v>
      </c>
      <c r="C12833" t="s">
        <v>2519</v>
      </c>
      <c r="D12833" t="s">
        <v>4293</v>
      </c>
      <c r="E12833">
        <v>979.54</v>
      </c>
      <c r="F12833" s="2" t="str">
        <f>IF(Table2[[#This Row],[Manual Cat Value]]="",VLOOKUP(Table2[[#This Row],[Description]],'Actuals Lookup'!D:F,3,0),VLOOKUP(Table2[[#This Row],[Manual Cat Value]],Lookup!A:B,2,0))</f>
        <v>Delete</v>
      </c>
      <c r="I12833" s="8"/>
      <c r="O12833" t="str">
        <f>LEFT(Table2[[#This Row],[Description]],75)</f>
        <v>Withdrawal Home Banking Pmt to card XX5913</v>
      </c>
    </row>
    <row r="12834" spans="1:15" hidden="1">
      <c r="A12834">
        <v>202412</v>
      </c>
      <c r="B12834" s="6">
        <v>45645</v>
      </c>
      <c r="C12834" t="s">
        <v>2519</v>
      </c>
      <c r="D12834" t="s">
        <v>1955</v>
      </c>
      <c r="E12834">
        <v>2.99</v>
      </c>
      <c r="F12834" s="2" t="str">
        <f>IF(Table2[[#This Row],[Manual Cat Value]]="",VLOOKUP(Table2[[#This Row],[Description]],'Actuals Lookup'!D:F,3,0),VLOOKUP(Table2[[#This Row],[Manual Cat Value]],Lookup!A:B,2,0))</f>
        <v>Shopping</v>
      </c>
      <c r="I12834" s="8"/>
      <c r="O12834" t="str">
        <f>LEFT(Table2[[#This Row],[Description]],75)</f>
        <v>Transfer to PayPal</v>
      </c>
    </row>
    <row r="12835" spans="1:15" hidden="1">
      <c r="A12835">
        <v>202412</v>
      </c>
      <c r="B12835" s="6">
        <v>45645</v>
      </c>
      <c r="C12835" t="s">
        <v>130</v>
      </c>
      <c r="D12835" t="s">
        <v>5742</v>
      </c>
      <c r="E12835">
        <v>19.02</v>
      </c>
      <c r="F12835" s="2" t="str">
        <f>IF(Table2[[#This Row],[Manual Cat Value]]="",VLOOKUP(Table2[[#This Row],[Description]],'Actuals Lookup'!D:F,3,0),VLOOKUP(Table2[[#This Row],[Manual Cat Value]],Lookup!A:B,2,0))</f>
        <v>Restaurants</v>
      </c>
      <c r="H12835" t="s">
        <v>25</v>
      </c>
      <c r="I12835" s="8"/>
      <c r="O12835" t="str">
        <f>LEFT(Table2[[#This Row],[Description]],75)</f>
        <v>TST* MAYNARDS INSIDEEXCELSIOR           MN</v>
      </c>
    </row>
    <row r="12836" spans="1:15" hidden="1">
      <c r="A12836">
        <v>202412</v>
      </c>
      <c r="B12836" s="6">
        <v>45645</v>
      </c>
      <c r="C12836" t="s">
        <v>130</v>
      </c>
      <c r="D12836" t="s">
        <v>5742</v>
      </c>
      <c r="E12836">
        <v>78.959999999999994</v>
      </c>
      <c r="F12836" s="2" t="str">
        <f>IF(Table2[[#This Row],[Manual Cat Value]]="",VLOOKUP(Table2[[#This Row],[Description]],'Actuals Lookup'!D:F,3,0),VLOOKUP(Table2[[#This Row],[Manual Cat Value]],Lookup!A:B,2,0))</f>
        <v>Restaurants</v>
      </c>
      <c r="H12836" t="s">
        <v>25</v>
      </c>
      <c r="I12836" s="8"/>
      <c r="O12836" t="str">
        <f>LEFT(Table2[[#This Row],[Description]],75)</f>
        <v>TST* MAYNARDS INSIDEEXCELSIOR           MN</v>
      </c>
    </row>
    <row r="12837" spans="1:15" hidden="1">
      <c r="A12837">
        <v>202412</v>
      </c>
      <c r="B12837" s="6">
        <v>45646</v>
      </c>
      <c r="C12837" t="s">
        <v>130</v>
      </c>
      <c r="D12837" t="s">
        <v>6067</v>
      </c>
      <c r="E12837">
        <v>15.5</v>
      </c>
      <c r="F12837" s="2" t="str">
        <f>IF(Table2[[#This Row],[Manual Cat Value]]="",VLOOKUP(Table2[[#This Row],[Description]],'Actuals Lookup'!D:F,3,0),VLOOKUP(Table2[[#This Row],[Manual Cat Value]],Lookup!A:B,2,0))</f>
        <v>Entertainment</v>
      </c>
      <c r="H12837" s="8" t="s">
        <v>39</v>
      </c>
      <c r="I12837" s="8"/>
      <c r="O12837" t="str">
        <f>LEFT(Table2[[#This Row],[Description]],75)</f>
        <v>AplPay HYLAND HILLS PYMOUTH             MN</v>
      </c>
    </row>
    <row r="12838" spans="1:15" hidden="1">
      <c r="A12838">
        <v>202412</v>
      </c>
      <c r="B12838" s="6">
        <v>45646</v>
      </c>
      <c r="C12838" t="s">
        <v>130</v>
      </c>
      <c r="D12838" t="s">
        <v>6067</v>
      </c>
      <c r="E12838">
        <v>19.25</v>
      </c>
      <c r="F12838" s="2" t="str">
        <f>IF(Table2[[#This Row],[Manual Cat Value]]="",VLOOKUP(Table2[[#This Row],[Description]],'Actuals Lookup'!D:F,3,0),VLOOKUP(Table2[[#This Row],[Manual Cat Value]],Lookup!A:B,2,0))</f>
        <v>Entertainment</v>
      </c>
      <c r="H12838" s="8" t="s">
        <v>39</v>
      </c>
      <c r="I12838" s="8"/>
      <c r="O12838" t="str">
        <f>LEFT(Table2[[#This Row],[Description]],75)</f>
        <v>AplPay HYLAND HILLS PYMOUTH             MN</v>
      </c>
    </row>
    <row r="12839" spans="1:15" hidden="1">
      <c r="A12839">
        <v>202412</v>
      </c>
      <c r="B12839" s="6">
        <v>45646</v>
      </c>
      <c r="C12839" t="s">
        <v>130</v>
      </c>
      <c r="D12839" t="s">
        <v>6067</v>
      </c>
      <c r="E12839">
        <v>52</v>
      </c>
      <c r="F12839" s="2" t="str">
        <f>IF(Table2[[#This Row],[Manual Cat Value]]="",VLOOKUP(Table2[[#This Row],[Description]],'Actuals Lookup'!D:F,3,0),VLOOKUP(Table2[[#This Row],[Manual Cat Value]],Lookup!A:B,2,0))</f>
        <v>Entertainment</v>
      </c>
      <c r="H12839" s="8" t="s">
        <v>39</v>
      </c>
      <c r="I12839" s="8"/>
      <c r="O12839" t="str">
        <f>LEFT(Table2[[#This Row],[Description]],75)</f>
        <v>AplPay HYLAND HILLS PYMOUTH             MN</v>
      </c>
    </row>
    <row r="12840" spans="1:15" hidden="1">
      <c r="A12840">
        <v>202412</v>
      </c>
      <c r="B12840" s="6">
        <v>45646</v>
      </c>
      <c r="C12840" t="s">
        <v>130</v>
      </c>
      <c r="D12840" t="s">
        <v>6067</v>
      </c>
      <c r="E12840">
        <v>65</v>
      </c>
      <c r="F12840" s="2" t="str">
        <f>IF(Table2[[#This Row],[Manual Cat Value]]="",VLOOKUP(Table2[[#This Row],[Description]],'Actuals Lookup'!D:F,3,0),VLOOKUP(Table2[[#This Row],[Manual Cat Value]],Lookup!A:B,2,0))</f>
        <v>Entertainment</v>
      </c>
      <c r="H12840" s="8" t="s">
        <v>39</v>
      </c>
      <c r="I12840" s="8"/>
      <c r="O12840" t="str">
        <f>LEFT(Table2[[#This Row],[Description]],75)</f>
        <v>AplPay HYLAND HILLS PYMOUTH             MN</v>
      </c>
    </row>
    <row r="12841" spans="1:15" hidden="1">
      <c r="A12841">
        <v>202412</v>
      </c>
      <c r="B12841" s="6">
        <v>45646</v>
      </c>
      <c r="C12841" t="s">
        <v>130</v>
      </c>
      <c r="D12841" t="s">
        <v>6068</v>
      </c>
      <c r="E12841">
        <v>95.27</v>
      </c>
      <c r="F12841" s="2" t="str">
        <f>IF(Table2[[#This Row],[Manual Cat Value]]="",VLOOKUP(Table2[[#This Row],[Description]],'Actuals Lookup'!D:F,3,0),VLOOKUP(Table2[[#This Row],[Manual Cat Value]],Lookup!A:B,2,0))</f>
        <v>Shopping</v>
      </c>
      <c r="H12841" t="s">
        <v>36</v>
      </c>
      <c r="I12841" s="8"/>
      <c r="O12841" t="str">
        <f>LEFT(Table2[[#This Row],[Description]],75)</f>
        <v>AplPay THE ABUNDANT EXCELSIOR           MN</v>
      </c>
    </row>
    <row r="12842" spans="1:15" hidden="1">
      <c r="A12842">
        <v>202412</v>
      </c>
      <c r="B12842" s="6">
        <v>45646</v>
      </c>
      <c r="C12842" t="s">
        <v>130</v>
      </c>
      <c r="D12842" t="s">
        <v>6069</v>
      </c>
      <c r="E12842">
        <v>12.05</v>
      </c>
      <c r="F12842" s="2" t="str">
        <f>IF(Table2[[#This Row],[Manual Cat Value]]="",VLOOKUP(Table2[[#This Row],[Description]],'Actuals Lookup'!D:F,3,0),VLOOKUP(Table2[[#This Row],[Manual Cat Value]],Lookup!A:B,2,0))</f>
        <v>Shopping</v>
      </c>
      <c r="H12842" t="s">
        <v>36</v>
      </c>
      <c r="I12842" s="8"/>
      <c r="O12842" t="str">
        <f>LEFT(Table2[[#This Row],[Description]],75)</f>
        <v>AplPay THE LOBBY COFExcelsior           MN</v>
      </c>
    </row>
    <row r="12843" spans="1:15" hidden="1">
      <c r="A12843">
        <v>202412</v>
      </c>
      <c r="B12843" s="6">
        <v>45646</v>
      </c>
      <c r="C12843" t="s">
        <v>2519</v>
      </c>
      <c r="D12843" t="s">
        <v>404</v>
      </c>
      <c r="E12843">
        <v>-4098.2</v>
      </c>
      <c r="F12843" s="2" t="str">
        <f>IF(Table2[[#This Row],[Manual Cat Value]]="",VLOOKUP(Table2[[#This Row],[Description]],'Actuals Lookup'!D:F,3,0),VLOOKUP(Table2[[#This Row],[Manual Cat Value]],Lookup!A:B,2,0))</f>
        <v>Britney</v>
      </c>
      <c r="H12843" t="s">
        <v>65</v>
      </c>
      <c r="I12843" s="8"/>
      <c r="O12843" t="str">
        <f>LEFT(Table2[[#This Row],[Description]],75)</f>
        <v>Cargill Inc Deposit</v>
      </c>
    </row>
    <row r="12844" spans="1:15" hidden="1">
      <c r="A12844">
        <v>202412</v>
      </c>
      <c r="B12844" s="6">
        <v>45646</v>
      </c>
      <c r="C12844" t="s">
        <v>3938</v>
      </c>
      <c r="D12844" t="s">
        <v>6070</v>
      </c>
      <c r="E12844">
        <v>1.99</v>
      </c>
      <c r="F12844" s="2" t="str">
        <f>IF(Table2[[#This Row],[Manual Cat Value]]="",VLOOKUP(Table2[[#This Row],[Description]],'Actuals Lookup'!D:F,3,0),VLOOKUP(Table2[[#This Row],[Manual Cat Value]],Lookup!A:B,2,0))</f>
        <v>Utilities</v>
      </c>
      <c r="H12844" s="8" t="s">
        <v>6</v>
      </c>
      <c r="I12844" s="8"/>
      <c r="O12844" t="str">
        <f>LEFT(Table2[[#This Row],[Description]],75)</f>
        <v>GOOGLE *Google One XX-3987 CA REF #XX9216PJ2Z82EMG6</v>
      </c>
    </row>
    <row r="12845" spans="1:15" hidden="1">
      <c r="A12845">
        <v>202412</v>
      </c>
      <c r="B12845" s="6">
        <v>45646</v>
      </c>
      <c r="C12845" t="s">
        <v>130</v>
      </c>
      <c r="D12845" t="s">
        <v>6071</v>
      </c>
      <c r="E12845">
        <v>106</v>
      </c>
      <c r="F12845" s="2" t="str">
        <f>IF(Table2[[#This Row],[Manual Cat Value]]="",VLOOKUP(Table2[[#This Row],[Description]],'Actuals Lookup'!D:F,3,0),VLOOKUP(Table2[[#This Row],[Manual Cat Value]],Lookup!A:B,2,0))</f>
        <v>Entertainment</v>
      </c>
      <c r="H12845" t="s">
        <v>39</v>
      </c>
      <c r="I12845" s="8"/>
      <c r="O12845" t="str">
        <f>LEFT(Table2[[#This Row],[Description]],75)</f>
        <v>HYLAND HILLS SKI AREPYMOUTH             MN</v>
      </c>
    </row>
    <row r="12846" spans="1:15" hidden="1">
      <c r="A12846">
        <v>202412</v>
      </c>
      <c r="B12846" s="6">
        <v>45646</v>
      </c>
      <c r="C12846" t="s">
        <v>130</v>
      </c>
      <c r="D12846" t="s">
        <v>5917</v>
      </c>
      <c r="E12846">
        <v>125</v>
      </c>
      <c r="F12846" s="2" t="str">
        <f>IF(Table2[[#This Row],[Manual Cat Value]]="",VLOOKUP(Table2[[#This Row],[Description]],'Actuals Lookup'!D:F,3,0),VLOOKUP(Table2[[#This Row],[Manual Cat Value]],Lookup!A:B,2,0))</f>
        <v>Shopping</v>
      </c>
      <c r="H12846" t="s">
        <v>36</v>
      </c>
      <c r="I12846" s="8"/>
      <c r="O12846" t="str">
        <f>LEFT(Table2[[#This Row],[Description]],75)</f>
        <v>SCHEELS ALL SPORTS  FARGO               ND</v>
      </c>
    </row>
    <row r="12847" spans="1:15" hidden="1">
      <c r="A12847">
        <v>202412</v>
      </c>
      <c r="B12847" s="6">
        <v>45646</v>
      </c>
      <c r="C12847" t="s">
        <v>130</v>
      </c>
      <c r="D12847" t="s">
        <v>6072</v>
      </c>
      <c r="E12847">
        <v>12</v>
      </c>
      <c r="F12847" s="2" t="str">
        <f>IF(Table2[[#This Row],[Manual Cat Value]]="",VLOOKUP(Table2[[#This Row],[Description]],'Actuals Lookup'!D:F,3,0),VLOOKUP(Table2[[#This Row],[Manual Cat Value]],Lookup!A:B,2,0))</f>
        <v>Entertainment</v>
      </c>
      <c r="H12847" t="s">
        <v>39</v>
      </c>
      <c r="I12847" s="8"/>
      <c r="O12847" t="str">
        <f>LEFT(Table2[[#This Row],[Description]],75)</f>
        <v>THREE RIVERS PARK DIPLYMOUTH            MN</v>
      </c>
    </row>
    <row r="12848" spans="1:15" hidden="1">
      <c r="A12848">
        <v>202412</v>
      </c>
      <c r="B12848" s="6">
        <v>45648</v>
      </c>
      <c r="C12848" t="s">
        <v>130</v>
      </c>
      <c r="D12848" t="s">
        <v>6073</v>
      </c>
      <c r="E12848">
        <v>100</v>
      </c>
      <c r="F12848" s="2" t="str">
        <f>IF(Table2[[#This Row],[Manual Cat Value]]="",VLOOKUP(Table2[[#This Row],[Description]],'Actuals Lookup'!D:F,3,0),VLOOKUP(Table2[[#This Row],[Manual Cat Value]],Lookup!A:B,2,0))</f>
        <v>Entertainment</v>
      </c>
      <c r="H12848" s="8" t="s">
        <v>39</v>
      </c>
      <c r="I12848" s="8"/>
      <c r="O12848" t="str">
        <f>LEFT(Table2[[#This Row],[Description]],75)</f>
        <v>AplPay CHASKA PANDR CHASKA              MN</v>
      </c>
    </row>
    <row r="12849" spans="1:15" hidden="1">
      <c r="A12849">
        <v>202412</v>
      </c>
      <c r="B12849" s="6">
        <v>45648</v>
      </c>
      <c r="C12849" t="s">
        <v>3938</v>
      </c>
      <c r="D12849" t="s">
        <v>6074</v>
      </c>
      <c r="E12849">
        <v>11</v>
      </c>
      <c r="F12849" s="2" t="str">
        <f>IF(Table2[[#This Row],[Manual Cat Value]]="",VLOOKUP(Table2[[#This Row],[Description]],'Actuals Lookup'!D:F,3,0),VLOOKUP(Table2[[#This Row],[Manual Cat Value]],Lookup!A:B,2,0))</f>
        <v>House Maintenance</v>
      </c>
      <c r="H12849" t="s">
        <v>1</v>
      </c>
      <c r="I12849" s="8"/>
      <c r="O12849" t="str">
        <f>LEFT(Table2[[#This Row],[Description]],75)</f>
        <v>BONFES PLUMBING HEATING AXX6633 MN REF #XX7539PKS66FDQP2</v>
      </c>
    </row>
    <row r="12850" spans="1:15" hidden="1">
      <c r="A12850">
        <v>202412</v>
      </c>
      <c r="B12850" s="6">
        <v>45648</v>
      </c>
      <c r="C12850" t="s">
        <v>130</v>
      </c>
      <c r="D12850" t="s">
        <v>6075</v>
      </c>
      <c r="E12850">
        <v>16.28</v>
      </c>
      <c r="F12850" s="2" t="str">
        <f>IF(Table2[[#This Row],[Manual Cat Value]]="",VLOOKUP(Table2[[#This Row],[Description]],'Actuals Lookup'!D:F,3,0),VLOOKUP(Table2[[#This Row],[Manual Cat Value]],Lookup!A:B,2,0))</f>
        <v>Restaurants</v>
      </c>
      <c r="H12850" t="s">
        <v>25</v>
      </c>
      <c r="I12850" s="8"/>
      <c r="O12850" t="str">
        <f>LEFT(Table2[[#This Row],[Description]],75)</f>
        <v>CROOKED PINT - CHASK952-3616794         MN</v>
      </c>
    </row>
    <row r="12851" spans="1:15" hidden="1">
      <c r="A12851">
        <v>202412</v>
      </c>
      <c r="B12851" s="6">
        <v>45648</v>
      </c>
      <c r="C12851" t="s">
        <v>130</v>
      </c>
      <c r="D12851" t="s">
        <v>6075</v>
      </c>
      <c r="E12851">
        <v>81.37</v>
      </c>
      <c r="F12851" s="2" t="str">
        <f>IF(Table2[[#This Row],[Manual Cat Value]]="",VLOOKUP(Table2[[#This Row],[Description]],'Actuals Lookup'!D:F,3,0),VLOOKUP(Table2[[#This Row],[Manual Cat Value]],Lookup!A:B,2,0))</f>
        <v>Restaurants</v>
      </c>
      <c r="H12851" t="s">
        <v>25</v>
      </c>
      <c r="I12851" s="8"/>
      <c r="O12851" t="str">
        <f>LEFT(Table2[[#This Row],[Description]],75)</f>
        <v>CROOKED PINT - CHASK952-3616794         MN</v>
      </c>
    </row>
    <row r="12852" spans="1:15" hidden="1">
      <c r="A12852">
        <v>202412</v>
      </c>
      <c r="B12852" s="6">
        <v>45648</v>
      </c>
      <c r="C12852" t="s">
        <v>130</v>
      </c>
      <c r="D12852" t="s">
        <v>6075</v>
      </c>
      <c r="E12852">
        <v>86.24</v>
      </c>
      <c r="F12852" s="2" t="str">
        <f>IF(Table2[[#This Row],[Manual Cat Value]]="",VLOOKUP(Table2[[#This Row],[Description]],'Actuals Lookup'!D:F,3,0),VLOOKUP(Table2[[#This Row],[Manual Cat Value]],Lookup!A:B,2,0))</f>
        <v>Restaurants</v>
      </c>
      <c r="H12852" t="s">
        <v>25</v>
      </c>
      <c r="I12852" s="8"/>
      <c r="O12852" t="str">
        <f>LEFT(Table2[[#This Row],[Description]],75)</f>
        <v>CROOKED PINT - CHASK952-3616794         MN</v>
      </c>
    </row>
    <row r="12853" spans="1:15" hidden="1">
      <c r="A12853">
        <v>202412</v>
      </c>
      <c r="B12853" s="6">
        <v>45649</v>
      </c>
      <c r="C12853" t="s">
        <v>130</v>
      </c>
      <c r="D12853" t="s">
        <v>5849</v>
      </c>
      <c r="E12853">
        <v>48.57</v>
      </c>
      <c r="F12853" s="2" t="str">
        <f>IF(Table2[[#This Row],[Manual Cat Value]]="",VLOOKUP(Table2[[#This Row],[Description]],'Actuals Lookup'!D:F,3,0),VLOOKUP(Table2[[#This Row],[Manual Cat Value]],Lookup!A:B,2,0))</f>
        <v>Groceries</v>
      </c>
      <c r="H12853" t="s">
        <v>27</v>
      </c>
      <c r="I12853" s="8"/>
      <c r="O12853" t="str">
        <f>LEFT(Table2[[#This Row],[Description]],75)</f>
        <v>AplPay KOWALSKI'S EXEXCELSIOR           MN</v>
      </c>
    </row>
    <row r="12854" spans="1:15" hidden="1">
      <c r="A12854">
        <v>202412</v>
      </c>
      <c r="B12854" s="6">
        <v>45649</v>
      </c>
      <c r="C12854" t="s">
        <v>130</v>
      </c>
      <c r="D12854" t="s">
        <v>6076</v>
      </c>
      <c r="E12854">
        <v>281.73</v>
      </c>
      <c r="F12854" s="2" t="str">
        <f>IF(Table2[[#This Row],[Manual Cat Value]]="",VLOOKUP(Table2[[#This Row],[Description]],'Actuals Lookup'!D:F,3,0),VLOOKUP(Table2[[#This Row],[Manual Cat Value]],Lookup!A:B,2,0))</f>
        <v>Shopping</v>
      </c>
      <c r="H12854" t="s">
        <v>36</v>
      </c>
      <c r="I12854" s="8"/>
      <c r="O12854" t="str">
        <f>LEFT(Table2[[#This Row],[Description]],75)</f>
        <v>AplPay PLAY IT AGAINCHASKA              MN</v>
      </c>
    </row>
    <row r="12855" spans="1:15" hidden="1">
      <c r="A12855">
        <v>202412</v>
      </c>
      <c r="B12855" s="6">
        <v>45649</v>
      </c>
      <c r="C12855" t="s">
        <v>3938</v>
      </c>
      <c r="D12855" t="s">
        <v>4887</v>
      </c>
      <c r="E12855">
        <v>61.52</v>
      </c>
      <c r="F12855" s="2" t="str">
        <f>IF(Table2[[#This Row],[Manual Cat Value]]="",VLOOKUP(Table2[[#This Row],[Description]],'Actuals Lookup'!D:F,3,0),VLOOKUP(Table2[[#This Row],[Manual Cat Value]],Lookup!A:B,2,0))</f>
        <v>Groceries</v>
      </c>
      <c r="I12855" s="8"/>
      <c r="O12855" t="str">
        <f>LEFT(Table2[[#This Row],[Description]],75)</f>
        <v>Costco Gas Stations</v>
      </c>
    </row>
    <row r="12856" spans="1:15" hidden="1">
      <c r="A12856">
        <v>202412</v>
      </c>
      <c r="B12856" s="6">
        <v>45649</v>
      </c>
      <c r="C12856" t="s">
        <v>130</v>
      </c>
      <c r="D12856" t="s">
        <v>6077</v>
      </c>
      <c r="E12856">
        <v>50</v>
      </c>
      <c r="F12856" s="2" t="str">
        <f>IF(Table2[[#This Row],[Manual Cat Value]]="",VLOOKUP(Table2[[#This Row],[Description]],'Actuals Lookup'!D:F,3,0),VLOOKUP(Table2[[#This Row],[Manual Cat Value]],Lookup!A:B,2,0))</f>
        <v>Shopping</v>
      </c>
      <c r="H12856" t="s">
        <v>36</v>
      </c>
      <c r="I12856" s="8"/>
      <c r="O12856" t="str">
        <f>LEFT(Table2[[#This Row],[Description]],75)</f>
        <v>HEARTBREAKERS BAR ANCHASKA              MN</v>
      </c>
    </row>
    <row r="12857" spans="1:15" hidden="1">
      <c r="A12857">
        <v>202412</v>
      </c>
      <c r="B12857" s="6">
        <v>45649</v>
      </c>
      <c r="C12857" t="s">
        <v>130</v>
      </c>
      <c r="D12857" t="s">
        <v>6078</v>
      </c>
      <c r="E12857">
        <v>65.33</v>
      </c>
      <c r="F12857" s="2" t="str">
        <f>IF(Table2[[#This Row],[Manual Cat Value]]="",VLOOKUP(Table2[[#This Row],[Description]],'Actuals Lookup'!D:F,3,0),VLOOKUP(Table2[[#This Row],[Manual Cat Value]],Lookup!A:B,2,0))</f>
        <v>Transportation</v>
      </c>
      <c r="H12857" t="s">
        <v>22</v>
      </c>
      <c r="I12857" s="8"/>
      <c r="O12857" t="str">
        <f>LEFT(Table2[[#This Row],[Description]],75)</f>
        <v>LIONS TAP 0688800218EDEN PRAIRIE        MN</v>
      </c>
    </row>
    <row r="12858" spans="1:15" hidden="1">
      <c r="A12858">
        <v>202409</v>
      </c>
      <c r="B12858" s="6">
        <v>45538</v>
      </c>
      <c r="C12858" t="s">
        <v>2519</v>
      </c>
      <c r="D12858" t="s">
        <v>4293</v>
      </c>
      <c r="E12858">
        <v>3547.13</v>
      </c>
      <c r="F12858" s="2" t="str">
        <f>IF(Table2[[#This Row],[Manual Cat Value]]="",VLOOKUP(Table2[[#This Row],[Description]],'Actuals Lookup'!D:F,3,0),VLOOKUP(Table2[[#This Row],[Manual Cat Value]],Lookup!A:B,2,0))</f>
        <v>Delete</v>
      </c>
      <c r="H12858" s="8" t="s">
        <v>9</v>
      </c>
      <c r="I12858" s="8"/>
      <c r="O12858" t="str">
        <f>LEFT(Table2[[#This Row],[Description]],75)</f>
        <v>Withdrawal Home Banking Pmt to card XX5913</v>
      </c>
    </row>
    <row r="12859" spans="1:15" hidden="1">
      <c r="A12859">
        <v>202412</v>
      </c>
      <c r="B12859" s="6">
        <v>45649</v>
      </c>
      <c r="C12859" t="s">
        <v>2519</v>
      </c>
      <c r="D12859" t="s">
        <v>6079</v>
      </c>
      <c r="E12859">
        <v>64.83</v>
      </c>
      <c r="F12859" s="2" t="str">
        <f>IF(Table2[[#This Row],[Manual Cat Value]]="",VLOOKUP(Table2[[#This Row],[Description]],'Actuals Lookup'!D:F,3,0),VLOOKUP(Table2[[#This Row],[Manual Cat Value]],Lookup!A:B,2,0))</f>
        <v>Utilities</v>
      </c>
      <c r="H12859" t="s">
        <v>6</v>
      </c>
      <c r="I12859" s="8"/>
      <c r="O12859" t="str">
        <f>LEFT(Table2[[#This Row],[Description]],75)</f>
        <v>Withdrawal ACH CITY OF CHANHASS TYPE: UTIL BILL ID: XX5331 CO: CITY OF CHAN</v>
      </c>
    </row>
    <row r="12860" spans="1:15" hidden="1">
      <c r="A12860">
        <v>202412</v>
      </c>
      <c r="B12860" s="6">
        <v>45650</v>
      </c>
      <c r="C12860" t="s">
        <v>3938</v>
      </c>
      <c r="D12860" t="s">
        <v>648</v>
      </c>
      <c r="E12860">
        <v>147.97</v>
      </c>
      <c r="F12860" s="2" t="str">
        <f>IF(Table2[[#This Row],[Manual Cat Value]]="",VLOOKUP(Table2[[#This Row],[Description]],'Actuals Lookup'!D:F,3,0),VLOOKUP(Table2[[#This Row],[Manual Cat Value]],Lookup!A:B,2,0))</f>
        <v>Groceries</v>
      </c>
      <c r="I12860" s="8"/>
      <c r="O12860" t="str">
        <f>LEFT(Table2[[#This Row],[Description]],75)</f>
        <v>Costco</v>
      </c>
    </row>
    <row r="12861" spans="1:15" hidden="1">
      <c r="A12861">
        <v>202412</v>
      </c>
      <c r="B12861" s="6">
        <v>45650</v>
      </c>
      <c r="C12861" t="s">
        <v>3938</v>
      </c>
      <c r="D12861" t="s">
        <v>4887</v>
      </c>
      <c r="E12861">
        <v>33.03</v>
      </c>
      <c r="F12861" s="2" t="str">
        <f>IF(Table2[[#This Row],[Manual Cat Value]]="",VLOOKUP(Table2[[#This Row],[Description]],'Actuals Lookup'!D:F,3,0),VLOOKUP(Table2[[#This Row],[Manual Cat Value]],Lookup!A:B,2,0))</f>
        <v>Groceries</v>
      </c>
      <c r="I12861" s="8"/>
      <c r="O12861" t="str">
        <f>LEFT(Table2[[#This Row],[Description]],75)</f>
        <v>Costco Gas Stations</v>
      </c>
    </row>
    <row r="12862" spans="1:15" hidden="1">
      <c r="A12862">
        <v>202412</v>
      </c>
      <c r="B12862" s="6">
        <v>45650</v>
      </c>
      <c r="C12862" t="s">
        <v>130</v>
      </c>
      <c r="D12862" t="s">
        <v>6080</v>
      </c>
      <c r="E12862">
        <v>303.95</v>
      </c>
      <c r="F12862" s="2" t="str">
        <f>IF(Table2[[#This Row],[Manual Cat Value]]="",VLOOKUP(Table2[[#This Row],[Description]],'Actuals Lookup'!D:F,3,0),VLOOKUP(Table2[[#This Row],[Manual Cat Value]],Lookup!A:B,2,0))</f>
        <v>Restaurants</v>
      </c>
      <c r="H12862" t="s">
        <v>25</v>
      </c>
      <c r="I12862" s="8"/>
      <c r="O12862" t="str">
        <f>LEFT(Table2[[#This Row],[Description]],75)</f>
        <v>COV EDINA           EDINA               MN</v>
      </c>
    </row>
    <row r="12863" spans="1:15" hidden="1">
      <c r="A12863">
        <v>202409</v>
      </c>
      <c r="B12863" s="6">
        <v>45559</v>
      </c>
      <c r="C12863" t="s">
        <v>2519</v>
      </c>
      <c r="D12863" t="s">
        <v>4293</v>
      </c>
      <c r="E12863">
        <v>3004.53</v>
      </c>
      <c r="F12863" s="2" t="str">
        <f>IF(Table2[[#This Row],[Manual Cat Value]]="",VLOOKUP(Table2[[#This Row],[Description]],'Actuals Lookup'!D:F,3,0),VLOOKUP(Table2[[#This Row],[Manual Cat Value]],Lookup!A:B,2,0))</f>
        <v>Delete</v>
      </c>
      <c r="H12863" s="8" t="s">
        <v>9</v>
      </c>
      <c r="I12863" s="8"/>
      <c r="O12863" t="str">
        <f>LEFT(Table2[[#This Row],[Description]],75)</f>
        <v>Withdrawal Home Banking Pmt to card XX5913</v>
      </c>
    </row>
    <row r="12864" spans="1:15" hidden="1">
      <c r="A12864">
        <v>202412</v>
      </c>
      <c r="B12864" s="6">
        <v>45650</v>
      </c>
      <c r="C12864" t="s">
        <v>3938</v>
      </c>
      <c r="D12864" t="s">
        <v>6081</v>
      </c>
      <c r="E12864">
        <v>4.25</v>
      </c>
      <c r="F12864" s="2" t="str">
        <f>IF(Table2[[#This Row],[Manual Cat Value]]="",VLOOKUP(Table2[[#This Row],[Description]],'Actuals Lookup'!D:F,3,0),VLOOKUP(Table2[[#This Row],[Manual Cat Value]],Lookup!A:B,2,0))</f>
        <v>Transportation</v>
      </c>
      <c r="H12864" t="s">
        <v>22</v>
      </c>
      <c r="I12864" s="8"/>
      <c r="O12864" t="str">
        <f>LEFT(Table2[[#This Row],[Description]],75)</f>
        <v>ONSTREET XX7275 MN REF #XX8930PNS1B5AHJ7</v>
      </c>
    </row>
    <row r="12865" spans="1:15" hidden="1">
      <c r="A12865">
        <v>202410</v>
      </c>
      <c r="B12865" s="6">
        <v>45567</v>
      </c>
      <c r="C12865" t="s">
        <v>2519</v>
      </c>
      <c r="D12865" t="s">
        <v>4293</v>
      </c>
      <c r="E12865">
        <v>502.24</v>
      </c>
      <c r="F12865" s="2" t="str">
        <f>IF(Table2[[#This Row],[Manual Cat Value]]="",VLOOKUP(Table2[[#This Row],[Description]],'Actuals Lookup'!D:F,3,0),VLOOKUP(Table2[[#This Row],[Manual Cat Value]],Lookup!A:B,2,0))</f>
        <v>Delete</v>
      </c>
      <c r="H12865" s="8" t="s">
        <v>9</v>
      </c>
      <c r="I12865" s="8"/>
      <c r="O12865" t="str">
        <f>LEFT(Table2[[#This Row],[Description]],75)</f>
        <v>Withdrawal Home Banking Pmt to card XX5913</v>
      </c>
    </row>
    <row r="12866" spans="1:15" hidden="1">
      <c r="A12866">
        <v>202412</v>
      </c>
      <c r="B12866" s="6">
        <v>45650</v>
      </c>
      <c r="C12866" t="s">
        <v>2519</v>
      </c>
      <c r="D12866" t="s">
        <v>6082</v>
      </c>
      <c r="E12866">
        <v>380</v>
      </c>
      <c r="F12866" s="2" t="str">
        <f>IF(Table2[[#This Row],[Manual Cat Value]]="",VLOOKUP(Table2[[#This Row],[Description]],'Actuals Lookup'!D:F,3,0),VLOOKUP(Table2[[#This Row],[Manual Cat Value]],Lookup!A:B,2,0))</f>
        <v>Day Care</v>
      </c>
      <c r="H12866" s="8" t="s">
        <v>19</v>
      </c>
      <c r="I12866" s="8"/>
      <c r="O12866" t="str">
        <f>LEFT(Table2[[#This Row],[Description]],75)</f>
        <v>Withdrawal ACH Mis Amigos Presc TYPE: ID: XX7393 NAME: BCU CO: Mis Amigos P</v>
      </c>
    </row>
    <row r="12867" spans="1:15" hidden="1">
      <c r="A12867">
        <v>202411</v>
      </c>
      <c r="B12867" s="6">
        <v>45598</v>
      </c>
      <c r="C12867" t="s">
        <v>2519</v>
      </c>
      <c r="D12867" t="s">
        <v>4293</v>
      </c>
      <c r="E12867">
        <v>617.39</v>
      </c>
      <c r="F12867" s="2" t="str">
        <f>IF(Table2[[#This Row],[Manual Cat Value]]="",VLOOKUP(Table2[[#This Row],[Description]],'Actuals Lookup'!D:F,3,0),VLOOKUP(Table2[[#This Row],[Manual Cat Value]],Lookup!A:B,2,0))</f>
        <v>Delete</v>
      </c>
      <c r="I12867" s="8"/>
      <c r="O12867" t="str">
        <f>LEFT(Table2[[#This Row],[Description]],75)</f>
        <v>Withdrawal Home Banking Pmt to card XX5913</v>
      </c>
    </row>
    <row r="12868" spans="1:15" hidden="1">
      <c r="A12868">
        <v>202411</v>
      </c>
      <c r="B12868" s="6">
        <v>45623</v>
      </c>
      <c r="C12868" t="s">
        <v>2519</v>
      </c>
      <c r="D12868" t="s">
        <v>4293</v>
      </c>
      <c r="E12868">
        <v>1574.72</v>
      </c>
      <c r="F12868" s="2" t="str">
        <f>IF(Table2[[#This Row],[Manual Cat Value]]="",VLOOKUP(Table2[[#This Row],[Description]],'Actuals Lookup'!D:F,3,0),VLOOKUP(Table2[[#This Row],[Manual Cat Value]],Lookup!A:B,2,0))</f>
        <v>Delete</v>
      </c>
      <c r="I12868" s="8"/>
      <c r="O12868" t="str">
        <f>LEFT(Table2[[#This Row],[Description]],75)</f>
        <v>Withdrawal Home Banking Pmt to card XX5913</v>
      </c>
    </row>
    <row r="12869" spans="1:15" hidden="1">
      <c r="A12869">
        <v>202412</v>
      </c>
      <c r="B12869" s="6">
        <v>45656</v>
      </c>
      <c r="C12869" t="s">
        <v>2519</v>
      </c>
      <c r="D12869" t="s">
        <v>4293</v>
      </c>
      <c r="E12869">
        <v>560.95000000000005</v>
      </c>
      <c r="F12869" s="2" t="str">
        <f>IF(Table2[[#This Row],[Manual Cat Value]]="",VLOOKUP(Table2[[#This Row],[Description]],'Actuals Lookup'!D:F,3,0),VLOOKUP(Table2[[#This Row],[Manual Cat Value]],Lookup!A:B,2,0))</f>
        <v>Delete</v>
      </c>
      <c r="I12869" s="8"/>
      <c r="O12869" t="str">
        <f>LEFT(Table2[[#This Row],[Description]],75)</f>
        <v>Withdrawal Home Banking Pmt to card XX5913</v>
      </c>
    </row>
    <row r="12870" spans="1:15" hidden="1">
      <c r="A12870">
        <v>202412</v>
      </c>
      <c r="B12870" s="6">
        <v>45652</v>
      </c>
      <c r="C12870" t="s">
        <v>2519</v>
      </c>
      <c r="D12870" t="s">
        <v>710</v>
      </c>
      <c r="E12870">
        <v>-100</v>
      </c>
      <c r="F12870" s="2" t="str">
        <f>IF(Table2[[#This Row],[Manual Cat Value]]="",VLOOKUP(Table2[[#This Row],[Description]],'Actuals Lookup'!D:F,3,0),VLOOKUP(Table2[[#This Row],[Manual Cat Value]],Lookup!A:B,2,0))</f>
        <v>Inc - Other</v>
      </c>
      <c r="H12870" t="s">
        <v>16</v>
      </c>
      <c r="I12870" s="8"/>
      <c r="O12870" t="str">
        <f>LEFT(Table2[[#This Row],[Description]],75)</f>
        <v>Deposit by Check Deposit Anywhere check deposit</v>
      </c>
    </row>
    <row r="12871" spans="1:15" hidden="1">
      <c r="A12871">
        <v>202412</v>
      </c>
      <c r="B12871" s="6">
        <v>45652</v>
      </c>
      <c r="C12871" t="s">
        <v>2519</v>
      </c>
      <c r="D12871" t="s">
        <v>710</v>
      </c>
      <c r="E12871">
        <v>-100</v>
      </c>
      <c r="F12871" s="2" t="str">
        <f>IF(Table2[[#This Row],[Manual Cat Value]]="",VLOOKUP(Table2[[#This Row],[Description]],'Actuals Lookup'!D:F,3,0),VLOOKUP(Table2[[#This Row],[Manual Cat Value]],Lookup!A:B,2,0))</f>
        <v>Inc - Other</v>
      </c>
      <c r="H12871" t="s">
        <v>16</v>
      </c>
      <c r="I12871" s="8"/>
      <c r="O12871" t="str">
        <f>LEFT(Table2[[#This Row],[Description]],75)</f>
        <v>Deposit by Check Deposit Anywhere check deposit</v>
      </c>
    </row>
    <row r="12872" spans="1:15" hidden="1">
      <c r="A12872">
        <v>202412</v>
      </c>
      <c r="B12872" s="6">
        <v>45652</v>
      </c>
      <c r="C12872" t="s">
        <v>130</v>
      </c>
      <c r="D12872" t="s">
        <v>6083</v>
      </c>
      <c r="E12872">
        <v>22.22</v>
      </c>
      <c r="F12872" s="2" t="str">
        <f>IF(Table2[[#This Row],[Manual Cat Value]]="",VLOOKUP(Table2[[#This Row],[Description]],'Actuals Lookup'!D:F,3,0),VLOOKUP(Table2[[#This Row],[Manual Cat Value]],Lookup!A:B,2,0))</f>
        <v>Shopping</v>
      </c>
      <c r="H12872" t="s">
        <v>36</v>
      </c>
      <c r="I12872" s="8"/>
      <c r="O12872" t="str">
        <f>LEFT(Table2[[#This Row],[Description]],75)</f>
        <v>K TAILOR 92460099912CHASKA              MN</v>
      </c>
    </row>
    <row r="12873" spans="1:15" hidden="1">
      <c r="A12873">
        <v>202412</v>
      </c>
      <c r="B12873" s="6">
        <v>45652</v>
      </c>
      <c r="C12873" t="s">
        <v>130</v>
      </c>
      <c r="D12873" t="s">
        <v>6036</v>
      </c>
      <c r="E12873">
        <v>4.6500000000000004</v>
      </c>
      <c r="F12873" s="2" t="str">
        <f>IF(Table2[[#This Row],[Manual Cat Value]]="",VLOOKUP(Table2[[#This Row],[Description]],'Actuals Lookup'!D:F,3,0),VLOOKUP(Table2[[#This Row],[Manual Cat Value]],Lookup!A:B,2,0))</f>
        <v>Transportation</v>
      </c>
      <c r="H12873" t="s">
        <v>22</v>
      </c>
      <c r="I12873" s="8"/>
      <c r="O12873" t="str">
        <f>LEFT(Table2[[#This Row],[Description]],75)</f>
        <v>KWIK TRIP           CHANHASSEN          MN</v>
      </c>
    </row>
    <row r="12874" spans="1:15" hidden="1">
      <c r="A12874">
        <v>202401</v>
      </c>
      <c r="B12874" s="6">
        <v>45316</v>
      </c>
      <c r="C12874" t="s">
        <v>2519</v>
      </c>
      <c r="D12874" t="s">
        <v>6084</v>
      </c>
      <c r="E12874">
        <v>5.46</v>
      </c>
      <c r="F12874" s="2" t="str">
        <f>IF(Table2[[#This Row],[Manual Cat Value]]="",VLOOKUP(Table2[[#This Row],[Description]],'Actuals Lookup'!D:F,3,0),VLOOKUP(Table2[[#This Row],[Manual Cat Value]],Lookup!A:B,2,0))</f>
        <v>Delete</v>
      </c>
      <c r="H12874" s="8" t="s">
        <v>9</v>
      </c>
      <c r="I12874" s="8"/>
      <c r="O12874" t="str">
        <f>LEFT(Table2[[#This Row],[Description]],75)</f>
        <v>Withdrawal KINGS GALA CORK IE Date XX 5411</v>
      </c>
    </row>
    <row r="12875" spans="1:15" hidden="1">
      <c r="A12875">
        <v>202401</v>
      </c>
      <c r="B12875" s="6">
        <v>45317</v>
      </c>
      <c r="C12875" t="s">
        <v>2519</v>
      </c>
      <c r="D12875" t="s">
        <v>6085</v>
      </c>
      <c r="E12875">
        <v>66.81</v>
      </c>
      <c r="F12875" s="2" t="str">
        <f>IF(Table2[[#This Row],[Manual Cat Value]]="",VLOOKUP(Table2[[#This Row],[Description]],'Actuals Lookup'!D:F,3,0),VLOOKUP(Table2[[#This Row],[Manual Cat Value]],Lookup!A:B,2,0))</f>
        <v>Delete</v>
      </c>
      <c r="H12875" s="8" t="s">
        <v>9</v>
      </c>
      <c r="I12875" s="8"/>
      <c r="O12875" t="str">
        <f>LEFT(Table2[[#This Row],[Description]],75)</f>
        <v>Withdrawal Lab82 Coffee Cork IE Date XX 5499</v>
      </c>
    </row>
    <row r="12876" spans="1:15" hidden="1">
      <c r="A12876">
        <v>202412</v>
      </c>
      <c r="B12876" s="6">
        <v>45652</v>
      </c>
      <c r="C12876" t="s">
        <v>2519</v>
      </c>
      <c r="D12876" t="s">
        <v>4415</v>
      </c>
      <c r="E12876">
        <v>482.37</v>
      </c>
      <c r="F12876" s="2" t="str">
        <f>IF(Table2[[#This Row],[Manual Cat Value]]="",VLOOKUP(Table2[[#This Row],[Description]],'Actuals Lookup'!D:F,3,0),VLOOKUP(Table2[[#This Row],[Manual Cat Value]],Lookup!A:B,2,0))</f>
        <v>Target</v>
      </c>
      <c r="I12876" s="8"/>
      <c r="O12876" t="str">
        <f>LEFT(Table2[[#This Row],[Description]],75)</f>
        <v>Payment to Jeffrey B</v>
      </c>
    </row>
    <row r="12877" spans="1:15" hidden="1">
      <c r="A12877">
        <v>202412</v>
      </c>
      <c r="B12877" s="6">
        <v>45652</v>
      </c>
      <c r="C12877" t="s">
        <v>130</v>
      </c>
      <c r="D12877" t="s">
        <v>5901</v>
      </c>
      <c r="E12877">
        <v>132.47999999999999</v>
      </c>
      <c r="F12877" s="2" t="str">
        <f>IF(Table2[[#This Row],[Manual Cat Value]]="",VLOOKUP(Table2[[#This Row],[Description]],'Actuals Lookup'!D:F,3,0),VLOOKUP(Table2[[#This Row],[Manual Cat Value]],Lookup!A:B,2,0))</f>
        <v>Shopping</v>
      </c>
      <c r="H12877" t="s">
        <v>36</v>
      </c>
      <c r="I12877" s="8"/>
      <c r="O12877" t="str">
        <f>LEFT(Table2[[#This Row],[Description]],75)</f>
        <v>SP THURSDAY BOOT COMNEW YORK            NY</v>
      </c>
    </row>
    <row r="12878" spans="1:15" hidden="1">
      <c r="A12878">
        <v>202401</v>
      </c>
      <c r="B12878" s="6">
        <v>45320</v>
      </c>
      <c r="C12878" t="s">
        <v>2519</v>
      </c>
      <c r="D12878" t="s">
        <v>6086</v>
      </c>
      <c r="E12878">
        <v>3.27</v>
      </c>
      <c r="F12878" s="2" t="str">
        <f>IF(Table2[[#This Row],[Manual Cat Value]]="",VLOOKUP(Table2[[#This Row],[Description]],'Actuals Lookup'!D:F,3,0),VLOOKUP(Table2[[#This Row],[Manual Cat Value]],Lookup!A:B,2,0))</f>
        <v>Delete</v>
      </c>
      <c r="H12878" s="8" t="s">
        <v>9</v>
      </c>
      <c r="I12878" s="8"/>
      <c r="O12878" t="str">
        <f>LEFT(Table2[[#This Row],[Description]],75)</f>
        <v>Withdrawal Retail in Motion LTD Dublin City IE Date XX 5309</v>
      </c>
    </row>
    <row r="12879" spans="1:15" hidden="1">
      <c r="A12879">
        <v>202412</v>
      </c>
      <c r="B12879" s="6">
        <v>45652</v>
      </c>
      <c r="C12879" t="s">
        <v>130</v>
      </c>
      <c r="D12879" t="s">
        <v>6087</v>
      </c>
      <c r="E12879">
        <v>10.5</v>
      </c>
      <c r="F12879" s="2" t="str">
        <f>IF(Table2[[#This Row],[Manual Cat Value]]="",VLOOKUP(Table2[[#This Row],[Description]],'Actuals Lookup'!D:F,3,0),VLOOKUP(Table2[[#This Row],[Manual Cat Value]],Lookup!A:B,2,0))</f>
        <v>Misc</v>
      </c>
      <c r="H12879" t="s">
        <v>46</v>
      </c>
      <c r="I12879" s="8"/>
      <c r="O12879" t="str">
        <f>LEFT(Table2[[#This Row],[Description]],75)</f>
        <v>USPS PO 2616400317 0CHANHASSEN          MN</v>
      </c>
    </row>
    <row r="12880" spans="1:15" hidden="1">
      <c r="A12880">
        <v>202401</v>
      </c>
      <c r="B12880" s="6">
        <v>45319</v>
      </c>
      <c r="C12880" t="s">
        <v>2519</v>
      </c>
      <c r="D12880" t="s">
        <v>6088</v>
      </c>
      <c r="E12880">
        <v>32.04</v>
      </c>
      <c r="F12880" s="2" t="str">
        <f>IF(Table2[[#This Row],[Manual Cat Value]]="",VLOOKUP(Table2[[#This Row],[Description]],'Actuals Lookup'!D:F,3,0),VLOOKUP(Table2[[#This Row],[Manual Cat Value]],Lookup!A:B,2,0))</f>
        <v>Delete</v>
      </c>
      <c r="H12880" s="8" t="s">
        <v>9</v>
      </c>
      <c r="I12880" s="8"/>
      <c r="O12880" t="str">
        <f>LEFT(Table2[[#This Row],[Description]],75)</f>
        <v>Withdrawal SANO PIZZA CENTRE IE Date XX 5812</v>
      </c>
    </row>
    <row r="12881" spans="1:17" hidden="1">
      <c r="A12881">
        <v>202412</v>
      </c>
      <c r="B12881" s="6">
        <v>45653</v>
      </c>
      <c r="C12881" t="s">
        <v>130</v>
      </c>
      <c r="D12881" t="s">
        <v>6089</v>
      </c>
      <c r="E12881">
        <v>49.84</v>
      </c>
      <c r="F12881" s="2" t="str">
        <f>IF(Table2[[#This Row],[Manual Cat Value]]="",VLOOKUP(Table2[[#This Row],[Description]],'Actuals Lookup'!D:F,3,0),VLOOKUP(Table2[[#This Row],[Manual Cat Value]],Lookup!A:B,2,0))</f>
        <v>Entertainment</v>
      </c>
      <c r="H12881" s="8" t="s">
        <v>39</v>
      </c>
      <c r="I12881" s="8"/>
      <c r="O12881" t="str">
        <f>LEFT(Table2[[#This Row],[Description]],75)</f>
        <v>AMC 9640 ONLINE*9640LEAWOOD             KS</v>
      </c>
    </row>
    <row r="12882" spans="1:17" hidden="1">
      <c r="A12882">
        <v>202412</v>
      </c>
      <c r="B12882" s="6">
        <v>45653</v>
      </c>
      <c r="C12882" t="s">
        <v>130</v>
      </c>
      <c r="D12882" t="s">
        <v>6090</v>
      </c>
      <c r="E12882">
        <v>35.229999999999997</v>
      </c>
      <c r="F12882" s="2" t="str">
        <f>IF(Table2[[#This Row],[Manual Cat Value]]="",VLOOKUP(Table2[[#This Row],[Description]],'Actuals Lookup'!D:F,3,0),VLOOKUP(Table2[[#This Row],[Manual Cat Value]],Lookup!A:B,2,0))</f>
        <v>Entertainment</v>
      </c>
      <c r="H12882" s="8" t="s">
        <v>39</v>
      </c>
      <c r="I12882" s="8"/>
      <c r="O12882" t="str">
        <f>LEFT(Table2[[#This Row],[Description]],75)</f>
        <v>AMC EDEN PRAIRIE 18 EDEN PRAIRIE        MN</v>
      </c>
    </row>
    <row r="12883" spans="1:17" hidden="1">
      <c r="A12883">
        <v>202412</v>
      </c>
      <c r="B12883" s="6">
        <v>45653</v>
      </c>
      <c r="C12883" t="s">
        <v>130</v>
      </c>
      <c r="D12883" t="s">
        <v>5890</v>
      </c>
      <c r="E12883">
        <v>109</v>
      </c>
      <c r="F12883" s="2" t="str">
        <f>IF(Table2[[#This Row],[Manual Cat Value]]="",VLOOKUP(Table2[[#This Row],[Description]],'Actuals Lookup'!D:F,3,0),VLOOKUP(Table2[[#This Row],[Manual Cat Value]],Lookup!A:B,2,0))</f>
        <v>Day Care</v>
      </c>
      <c r="H12883" s="8" t="s">
        <v>19</v>
      </c>
      <c r="I12883" s="8"/>
      <c r="O12883" t="str">
        <f>LEFT(Table2[[#This Row],[Description]],75)</f>
        <v>BCS*MINNETONKA COMMUEXCELSIOR           MN</v>
      </c>
      <c r="Q12883" t="s">
        <v>5971</v>
      </c>
    </row>
    <row r="12884" spans="1:17" hidden="1">
      <c r="A12884" s="25">
        <f>VALUE(YEAR(Table2[[#This Row],[Date]])&amp;TEXT(MONTH(Table2[[#This Row],[Date]]),"00"))</f>
        <v>202302</v>
      </c>
      <c r="B12884" s="93">
        <v>44958</v>
      </c>
      <c r="C12884" s="97" t="s">
        <v>2265</v>
      </c>
      <c r="D12884" s="87" t="s">
        <v>6091</v>
      </c>
      <c r="E12884" s="87">
        <v>2606.27</v>
      </c>
      <c r="F12884" s="2" t="str">
        <f>IF(Table2[[#This Row],[Manual Cat Value]]="",VLOOKUP(Table2[[#This Row],[Description]],'Actuals Lookup'!D:F,3,0),Table2[[#This Row],[Manual Cat Value]])</f>
        <v>Exp - Rent</v>
      </c>
      <c r="G12884" t="e">
        <f>VLOOKUP(D12884,Lookup!G:H,2,0)</f>
        <v>#N/A</v>
      </c>
      <c r="H12884" s="8" t="s">
        <v>4</v>
      </c>
      <c r="I12884" s="95"/>
      <c r="J12884" s="118">
        <v>-2606.27</v>
      </c>
      <c r="K12884" s="87"/>
      <c r="L12884" s="87"/>
      <c r="M12884" s="87" t="s">
        <v>2535</v>
      </c>
      <c r="O12884" t="str">
        <f>LEFT(Table2[[#This Row],[Description]],75)</f>
        <v>Withdrawal ACH BCU MORTGAGE TYPE: LOAN PAYMT ID: 9DRAFTING CO: BCU MORTGAGE</v>
      </c>
    </row>
    <row r="12885" spans="1:17" hidden="1">
      <c r="A12885">
        <v>202412</v>
      </c>
      <c r="B12885" s="6">
        <v>45653</v>
      </c>
      <c r="C12885" t="s">
        <v>130</v>
      </c>
      <c r="D12885" t="s">
        <v>6092</v>
      </c>
      <c r="E12885">
        <v>39.99</v>
      </c>
      <c r="F12885" s="2" t="str">
        <f>IF(Table2[[#This Row],[Manual Cat Value]]="",VLOOKUP(Table2[[#This Row],[Description]],'Actuals Lookup'!D:F,3,0),VLOOKUP(Table2[[#This Row],[Manual Cat Value]],Lookup!A:B,2,0))</f>
        <v>Shopping</v>
      </c>
      <c r="H12885" t="s">
        <v>36</v>
      </c>
      <c r="I12885" s="8"/>
      <c r="O12885" t="str">
        <f>LEFT(Table2[[#This Row],[Description]],75)</f>
        <v>SCHEELS             EDEN PRAIRIE        MN</v>
      </c>
    </row>
    <row r="12886" spans="1:17" hidden="1">
      <c r="A12886">
        <v>202412</v>
      </c>
      <c r="B12886" s="6">
        <v>45653</v>
      </c>
      <c r="C12886" t="s">
        <v>2519</v>
      </c>
      <c r="D12886" t="s">
        <v>1958</v>
      </c>
      <c r="E12886">
        <v>125</v>
      </c>
      <c r="F12886" s="2" t="str">
        <f>IF(Table2[[#This Row],[Manual Cat Value]]="",VLOOKUP(Table2[[#This Row],[Description]],'Actuals Lookup'!D:F,3,0),VLOOKUP(Table2[[#This Row],[Manual Cat Value]],Lookup!A:B,2,0))</f>
        <v>Shopping</v>
      </c>
      <c r="I12886" s="8"/>
      <c r="O12886" t="str">
        <f>LEFT(Table2[[#This Row],[Description]],75)</f>
        <v>Transfer to Venmo</v>
      </c>
    </row>
    <row r="12887" spans="1:17" hidden="1">
      <c r="A12887">
        <v>202401</v>
      </c>
      <c r="B12887" s="6">
        <v>45316</v>
      </c>
      <c r="C12887" t="s">
        <v>2519</v>
      </c>
      <c r="D12887" t="s">
        <v>6093</v>
      </c>
      <c r="E12887">
        <v>38.979999999999997</v>
      </c>
      <c r="F12887" s="2" t="str">
        <f>IF(Table2[[#This Row],[Manual Cat Value]]="",VLOOKUP(Table2[[#This Row],[Description]],'Actuals Lookup'!D:F,3,0),VLOOKUP(Table2[[#This Row],[Manual Cat Value]],Lookup!A:B,2,0))</f>
        <v>Delete</v>
      </c>
      <c r="H12887" s="8" t="s">
        <v>9</v>
      </c>
      <c r="I12887" s="8"/>
      <c r="O12887" t="str">
        <f>LEFT(Table2[[#This Row],[Description]],75)</f>
        <v>Withdrawal The Shelbourne Bar Cork IE Date XX 5813</v>
      </c>
    </row>
    <row r="12888" spans="1:17" hidden="1">
      <c r="A12888">
        <v>202401</v>
      </c>
      <c r="B12888" s="6">
        <v>45316</v>
      </c>
      <c r="C12888" t="s">
        <v>2519</v>
      </c>
      <c r="D12888" t="s">
        <v>6094</v>
      </c>
      <c r="E12888">
        <v>10.92</v>
      </c>
      <c r="F12888" s="2" t="str">
        <f>IF(Table2[[#This Row],[Manual Cat Value]]="",VLOOKUP(Table2[[#This Row],[Description]],'Actuals Lookup'!D:F,3,0),VLOOKUP(Table2[[#This Row],[Manual Cat Value]],Lookup!A:B,2,0))</f>
        <v>Delete</v>
      </c>
      <c r="H12888" s="8" t="s">
        <v>9</v>
      </c>
      <c r="I12888" s="8"/>
      <c r="O12888" t="str">
        <f>LEFT(Table2[[#This Row],[Description]],75)</f>
        <v>Withdrawal UNITY SHOP CORK IE Date XX 5499</v>
      </c>
    </row>
    <row r="12889" spans="1:17" hidden="1">
      <c r="A12889">
        <v>202412</v>
      </c>
      <c r="B12889" s="6">
        <v>45654</v>
      </c>
      <c r="C12889" t="s">
        <v>130</v>
      </c>
      <c r="D12889" t="s">
        <v>6022</v>
      </c>
      <c r="E12889">
        <v>-55</v>
      </c>
      <c r="F12889" s="2" t="str">
        <f>IF(Table2[[#This Row],[Manual Cat Value]]="",VLOOKUP(Table2[[#This Row],[Description]],'Actuals Lookup'!D:F,3,0),VLOOKUP(Table2[[#This Row],[Manual Cat Value]],Lookup!A:B,2,0))</f>
        <v>Shopping</v>
      </c>
      <c r="H12889" t="s">
        <v>36</v>
      </c>
      <c r="I12889" s="8"/>
      <c r="O12889" t="str">
        <f>LEFT(Table2[[#This Row],[Description]],75)</f>
        <v>AplPay SCHEELS ALL SFARGO               ND</v>
      </c>
    </row>
    <row r="12890" spans="1:17" hidden="1">
      <c r="A12890">
        <v>202412</v>
      </c>
      <c r="B12890" s="6">
        <v>45654</v>
      </c>
      <c r="C12890" t="s">
        <v>130</v>
      </c>
      <c r="D12890" t="s">
        <v>6022</v>
      </c>
      <c r="E12890">
        <v>-34</v>
      </c>
      <c r="F12890" s="2" t="str">
        <f>IF(Table2[[#This Row],[Manual Cat Value]]="",VLOOKUP(Table2[[#This Row],[Description]],'Actuals Lookup'!D:F,3,0),VLOOKUP(Table2[[#This Row],[Manual Cat Value]],Lookup!A:B,2,0))</f>
        <v>Shopping</v>
      </c>
      <c r="H12890" t="s">
        <v>36</v>
      </c>
      <c r="I12890" s="8"/>
      <c r="O12890" t="str">
        <f>LEFT(Table2[[#This Row],[Description]],75)</f>
        <v>AplPay SCHEELS ALL SFARGO               ND</v>
      </c>
    </row>
    <row r="12891" spans="1:17" hidden="1">
      <c r="A12891">
        <v>202412</v>
      </c>
      <c r="B12891" s="6">
        <v>45654</v>
      </c>
      <c r="C12891" t="s">
        <v>130</v>
      </c>
      <c r="D12891" t="s">
        <v>6022</v>
      </c>
      <c r="E12891">
        <v>-31.5</v>
      </c>
      <c r="F12891" s="2" t="str">
        <f>IF(Table2[[#This Row],[Manual Cat Value]]="",VLOOKUP(Table2[[#This Row],[Description]],'Actuals Lookup'!D:F,3,0),VLOOKUP(Table2[[#This Row],[Manual Cat Value]],Lookup!A:B,2,0))</f>
        <v>Shopping</v>
      </c>
      <c r="H12891" t="s">
        <v>36</v>
      </c>
      <c r="I12891" s="8"/>
      <c r="O12891" t="str">
        <f>LEFT(Table2[[#This Row],[Description]],75)</f>
        <v>AplPay SCHEELS ALL SFARGO               ND</v>
      </c>
    </row>
    <row r="12892" spans="1:17" hidden="1">
      <c r="A12892">
        <v>202412</v>
      </c>
      <c r="B12892" s="6">
        <v>45654</v>
      </c>
      <c r="C12892" t="s">
        <v>130</v>
      </c>
      <c r="D12892" t="s">
        <v>6022</v>
      </c>
      <c r="E12892">
        <v>3</v>
      </c>
      <c r="F12892" s="2" t="str">
        <f>IF(Table2[[#This Row],[Manual Cat Value]]="",VLOOKUP(Table2[[#This Row],[Description]],'Actuals Lookup'!D:F,3,0),VLOOKUP(Table2[[#This Row],[Manual Cat Value]],Lookup!A:B,2,0))</f>
        <v>Shopping</v>
      </c>
      <c r="H12892" t="s">
        <v>36</v>
      </c>
      <c r="I12892" s="8"/>
      <c r="O12892" t="str">
        <f>LEFT(Table2[[#This Row],[Description]],75)</f>
        <v>AplPay SCHEELS ALL SFARGO               ND</v>
      </c>
    </row>
    <row r="12893" spans="1:17" hidden="1">
      <c r="A12893">
        <v>202412</v>
      </c>
      <c r="B12893" s="6">
        <v>45654</v>
      </c>
      <c r="C12893" t="s">
        <v>130</v>
      </c>
      <c r="D12893" t="s">
        <v>6095</v>
      </c>
      <c r="E12893">
        <v>24</v>
      </c>
      <c r="F12893" s="2" t="str">
        <f>IF(Table2[[#This Row],[Manual Cat Value]]="",VLOOKUP(Table2[[#This Row],[Description]],'Actuals Lookup'!D:F,3,0),VLOOKUP(Table2[[#This Row],[Manual Cat Value]],Lookup!A:B,2,0))</f>
        <v>Entertainment</v>
      </c>
      <c r="H12893" t="s">
        <v>39</v>
      </c>
      <c r="I12893" s="8"/>
      <c r="O12893" t="str">
        <f>LEFT(Table2[[#This Row],[Description]],75)</f>
        <v>THREE RIVERS WEB    PLYMOUTH            MN</v>
      </c>
    </row>
    <row r="12894" spans="1:17" hidden="1">
      <c r="A12894">
        <v>202412</v>
      </c>
      <c r="B12894" s="6">
        <v>45654</v>
      </c>
      <c r="C12894" t="s">
        <v>130</v>
      </c>
      <c r="D12894" t="s">
        <v>6096</v>
      </c>
      <c r="E12894">
        <v>73.069999999999993</v>
      </c>
      <c r="F12894" s="2" t="str">
        <f>IF(Table2[[#This Row],[Manual Cat Value]]="",VLOOKUP(Table2[[#This Row],[Description]],'Actuals Lookup'!D:F,3,0),VLOOKUP(Table2[[#This Row],[Manual Cat Value]],Lookup!A:B,2,0))</f>
        <v>Restaurants</v>
      </c>
      <c r="H12894" t="s">
        <v>25</v>
      </c>
      <c r="I12894" s="8"/>
      <c r="O12894" t="str">
        <f>LEFT(Table2[[#This Row],[Description]],75)</f>
        <v>TST* OLD CHICAGO - 5EDEN PRAIRIE        MN</v>
      </c>
    </row>
    <row r="12895" spans="1:17" hidden="1">
      <c r="A12895">
        <v>202412</v>
      </c>
      <c r="B12895" s="6">
        <v>45655</v>
      </c>
      <c r="C12895" t="s">
        <v>130</v>
      </c>
      <c r="D12895" t="s">
        <v>5817</v>
      </c>
      <c r="E12895">
        <v>221.51</v>
      </c>
      <c r="F12895" s="2" t="str">
        <f>IF(Table2[[#This Row],[Manual Cat Value]]="",VLOOKUP(Table2[[#This Row],[Description]],'Actuals Lookup'!D:F,3,0),VLOOKUP(Table2[[#This Row],[Manual Cat Value]],Lookup!A:B,2,0))</f>
        <v>Groceries</v>
      </c>
      <c r="H12895" s="8" t="s">
        <v>27</v>
      </c>
      <c r="I12895" s="8"/>
      <c r="O12895" t="str">
        <f>LEFT(Table2[[#This Row],[Description]],75)</f>
        <v>ADVOCARE</v>
      </c>
    </row>
    <row r="12896" spans="1:17" hidden="1">
      <c r="A12896">
        <v>202412</v>
      </c>
      <c r="B12896" s="6">
        <v>45655</v>
      </c>
      <c r="C12896" t="s">
        <v>130</v>
      </c>
      <c r="D12896" t="s">
        <v>6097</v>
      </c>
      <c r="E12896">
        <v>78.260000000000005</v>
      </c>
      <c r="F12896" s="2" t="str">
        <f>IF(Table2[[#This Row],[Manual Cat Value]]="",VLOOKUP(Table2[[#This Row],[Description]],'Actuals Lookup'!D:F,3,0),VLOOKUP(Table2[[#This Row],[Manual Cat Value]],Lookup!A:B,2,0))</f>
        <v>Restaurants</v>
      </c>
      <c r="H12896" s="8" t="s">
        <v>25</v>
      </c>
      <c r="I12896" s="8"/>
      <c r="O12896" t="str">
        <f>LEFT(Table2[[#This Row],[Description]],75)</f>
        <v>ANGLERS BAR AND GRILHAYWARD             WI</v>
      </c>
    </row>
    <row r="12897" spans="1:15" hidden="1">
      <c r="A12897">
        <v>202412</v>
      </c>
      <c r="B12897" s="6">
        <v>45655</v>
      </c>
      <c r="C12897" t="s">
        <v>130</v>
      </c>
      <c r="D12897" t="s">
        <v>6098</v>
      </c>
      <c r="E12897">
        <v>11.51</v>
      </c>
      <c r="F12897" s="2" t="str">
        <f>IF(Table2[[#This Row],[Manual Cat Value]]="",VLOOKUP(Table2[[#This Row],[Description]],'Actuals Lookup'!D:F,3,0),VLOOKUP(Table2[[#This Row],[Manual Cat Value]],Lookup!A:B,2,0))</f>
        <v>Transportation</v>
      </c>
      <c r="H12897" t="s">
        <v>22</v>
      </c>
      <c r="I12897" s="8"/>
      <c r="O12897" t="str">
        <f>LEFT(Table2[[#This Row],[Description]],75)</f>
        <v>AplPay HOLIDAY STATILINDSTROM           MN</v>
      </c>
    </row>
    <row r="12898" spans="1:15" hidden="1">
      <c r="A12898">
        <v>202412</v>
      </c>
      <c r="B12898" s="6">
        <v>45655</v>
      </c>
      <c r="C12898" t="s">
        <v>130</v>
      </c>
      <c r="D12898" t="s">
        <v>6099</v>
      </c>
      <c r="E12898">
        <v>42.18</v>
      </c>
      <c r="F12898" s="2" t="str">
        <f>IF(Table2[[#This Row],[Manual Cat Value]]="",VLOOKUP(Table2[[#This Row],[Description]],'Actuals Lookup'!D:F,3,0),VLOOKUP(Table2[[#This Row],[Manual Cat Value]],Lookup!A:B,2,0))</f>
        <v>Transportation</v>
      </c>
      <c r="H12898" t="s">
        <v>22</v>
      </c>
      <c r="I12898" s="8"/>
      <c r="O12898" t="str">
        <f>LEFT(Table2[[#This Row],[Description]],75)</f>
        <v>AplPay KWIK TRIP #11SPOONER             WI</v>
      </c>
    </row>
    <row r="12899" spans="1:15" hidden="1">
      <c r="A12899">
        <v>202412</v>
      </c>
      <c r="B12899" s="6">
        <v>45655</v>
      </c>
      <c r="C12899" t="s">
        <v>3938</v>
      </c>
      <c r="D12899" t="s">
        <v>648</v>
      </c>
      <c r="E12899">
        <v>102.93</v>
      </c>
      <c r="F12899" s="2" t="str">
        <f>IF(Table2[[#This Row],[Manual Cat Value]]="",VLOOKUP(Table2[[#This Row],[Description]],'Actuals Lookup'!D:F,3,0),VLOOKUP(Table2[[#This Row],[Manual Cat Value]],Lookup!A:B,2,0))</f>
        <v>Groceries</v>
      </c>
      <c r="I12899" s="8"/>
      <c r="O12899" t="str">
        <f>LEFT(Table2[[#This Row],[Description]],75)</f>
        <v>Costco</v>
      </c>
    </row>
    <row r="12900" spans="1:15" hidden="1">
      <c r="A12900">
        <v>202412</v>
      </c>
      <c r="B12900" s="6">
        <v>45655</v>
      </c>
      <c r="C12900" t="s">
        <v>3938</v>
      </c>
      <c r="D12900" t="s">
        <v>648</v>
      </c>
      <c r="E12900">
        <v>72.040000000000006</v>
      </c>
      <c r="F12900" s="2" t="str">
        <f>IF(Table2[[#This Row],[Manual Cat Value]]="",VLOOKUP(Table2[[#This Row],[Description]],'Actuals Lookup'!D:F,3,0),VLOOKUP(Table2[[#This Row],[Manual Cat Value]],Lookup!A:B,2,0))</f>
        <v>Groceries</v>
      </c>
      <c r="I12900" s="8"/>
      <c r="O12900" t="str">
        <f>LEFT(Table2[[#This Row],[Description]],75)</f>
        <v>Costco</v>
      </c>
    </row>
    <row r="12901" spans="1:15" hidden="1">
      <c r="A12901">
        <v>202412</v>
      </c>
      <c r="B12901" s="6">
        <v>45655</v>
      </c>
      <c r="C12901" t="s">
        <v>130</v>
      </c>
      <c r="D12901" t="s">
        <v>6100</v>
      </c>
      <c r="E12901">
        <v>25.57</v>
      </c>
      <c r="F12901" s="2" t="str">
        <f>IF(Table2[[#This Row],[Manual Cat Value]]="",VLOOKUP(Table2[[#This Row],[Description]],'Actuals Lookup'!D:F,3,0),VLOOKUP(Table2[[#This Row],[Manual Cat Value]],Lookup!A:B,2,0))</f>
        <v>Transportation</v>
      </c>
      <c r="H12901" t="s">
        <v>22</v>
      </c>
      <c r="I12901" s="8"/>
      <c r="O12901" t="str">
        <f>LEFT(Table2[[#This Row],[Description]],75)</f>
        <v>KWIK TRIP #1164 0001SPOONER             WI</v>
      </c>
    </row>
    <row r="12902" spans="1:15" hidden="1">
      <c r="A12902">
        <v>202412</v>
      </c>
      <c r="B12902" s="6">
        <v>45655</v>
      </c>
      <c r="C12902" t="s">
        <v>2519</v>
      </c>
      <c r="D12902" t="s">
        <v>4343</v>
      </c>
      <c r="E12902">
        <v>-4534.8100000000004</v>
      </c>
      <c r="F12902" s="2" t="str">
        <f>IF(Table2[[#This Row],[Manual Cat Value]]="",VLOOKUP(Table2[[#This Row],[Description]],'Actuals Lookup'!D:F,3,0),VLOOKUP(Table2[[#This Row],[Manual Cat Value]],Lookup!A:B,2,0))</f>
        <v>Jeff</v>
      </c>
      <c r="H12902" t="s">
        <v>63</v>
      </c>
      <c r="I12902" s="8"/>
      <c r="O12902" t="str">
        <f>LEFT(Table2[[#This Row],[Description]],75)</f>
        <v>Salary/Regular Income from TriNet</v>
      </c>
    </row>
    <row r="12903" spans="1:15" hidden="1">
      <c r="A12903">
        <v>202411</v>
      </c>
      <c r="B12903" s="6">
        <v>45617</v>
      </c>
      <c r="C12903" t="s">
        <v>3938</v>
      </c>
      <c r="D12903" t="s">
        <v>6101</v>
      </c>
      <c r="E12903">
        <v>13.79</v>
      </c>
      <c r="F12903" s="2" t="str">
        <f>IF(Table2[[#This Row],[Manual Cat Value]]="",VLOOKUP(Table2[[#This Row],[Description]],'Actuals Lookup'!D:F,3,0),VLOOKUP(Table2[[#This Row],[Manual Cat Value]],Lookup!A:B,2,0))</f>
        <v>Delete</v>
      </c>
      <c r="H12903" s="8" t="s">
        <v>9</v>
      </c>
      <c r="I12903" s="8"/>
      <c r="O12903" t="str">
        <f>LEFT(Table2[[#This Row],[Description]],75)</f>
        <v>WOODFORD BAR CORK CORK IE REF #XX0746NN88W8Q1R5</v>
      </c>
    </row>
    <row r="12904" spans="1:15" hidden="1">
      <c r="A12904">
        <v>202412</v>
      </c>
      <c r="B12904" s="6">
        <v>45656</v>
      </c>
      <c r="C12904" t="s">
        <v>130</v>
      </c>
      <c r="D12904" t="s">
        <v>5832</v>
      </c>
      <c r="E12904">
        <v>-50</v>
      </c>
      <c r="F12904" s="2" t="str">
        <f>IF(Table2[[#This Row],[Manual Cat Value]]="",VLOOKUP(Table2[[#This Row],[Description]],'Actuals Lookup'!D:F,3,0),VLOOKUP(Table2[[#This Row],[Manual Cat Value]],Lookup!A:B,2,0))</f>
        <v>Entertainment</v>
      </c>
      <c r="H12904" s="8" t="s">
        <v>39</v>
      </c>
      <c r="I12904" s="8"/>
      <c r="O12904" t="str">
        <f>LEFT(Table2[[#This Row],[Description]],75)</f>
        <v>2025 GRANDMAS MARATHBOSTON              MA</v>
      </c>
    </row>
    <row r="12905" spans="1:15" hidden="1">
      <c r="A12905">
        <v>202411</v>
      </c>
      <c r="B12905" s="6">
        <v>45617</v>
      </c>
      <c r="C12905" t="s">
        <v>3938</v>
      </c>
      <c r="D12905" t="s">
        <v>6102</v>
      </c>
      <c r="E12905">
        <v>7.96</v>
      </c>
      <c r="F12905" s="2" t="str">
        <f>IF(Table2[[#This Row],[Manual Cat Value]]="",VLOOKUP(Table2[[#This Row],[Description]],'Actuals Lookup'!D:F,3,0),VLOOKUP(Table2[[#This Row],[Manual Cat Value]],Lookup!A:B,2,0))</f>
        <v>Delete</v>
      </c>
      <c r="H12905" s="8" t="s">
        <v>9</v>
      </c>
      <c r="I12905" s="8"/>
      <c r="O12905" t="str">
        <f>LEFT(Table2[[#This Row],[Description]],75)</f>
        <v>WOODFORD BAR CORK CORK IE REF #XX0746NN88WAWE5E</v>
      </c>
    </row>
    <row r="12906" spans="1:15" hidden="1">
      <c r="A12906">
        <v>202412</v>
      </c>
      <c r="B12906" s="6">
        <v>45656</v>
      </c>
      <c r="C12906" t="s">
        <v>130</v>
      </c>
      <c r="D12906" t="s">
        <v>6103</v>
      </c>
      <c r="E12906">
        <v>88.62</v>
      </c>
      <c r="F12906" s="2" t="str">
        <f>IF(Table2[[#This Row],[Manual Cat Value]]="",VLOOKUP(Table2[[#This Row],[Description]],'Actuals Lookup'!D:F,3,0),VLOOKUP(Table2[[#This Row],[Manual Cat Value]],Lookup!A:B,2,0))</f>
        <v>Restaurants</v>
      </c>
      <c r="H12906" t="s">
        <v>25</v>
      </c>
      <c r="I12906" s="8"/>
      <c r="O12906" t="str">
        <f>LEFT(Table2[[#This Row],[Description]],75)</f>
        <v>DEEP WATER GRILLE 54877-8144102         WI</v>
      </c>
    </row>
    <row r="12907" spans="1:15" hidden="1">
      <c r="A12907">
        <v>202412</v>
      </c>
      <c r="B12907" s="6">
        <v>45656</v>
      </c>
      <c r="C12907" t="s">
        <v>2519</v>
      </c>
      <c r="D12907" t="s">
        <v>4356</v>
      </c>
      <c r="E12907">
        <v>52.91</v>
      </c>
      <c r="F12907" s="2" t="str">
        <f>IF(Table2[[#This Row],[Manual Cat Value]]="",VLOOKUP(Table2[[#This Row],[Description]],'Actuals Lookup'!D:F,3,0),VLOOKUP(Table2[[#This Row],[Manual Cat Value]],Lookup!A:B,2,0))</f>
        <v>Insurance</v>
      </c>
      <c r="I12907" s="8"/>
      <c r="O12907" t="str">
        <f>LEFT(Table2[[#This Row],[Description]],75)</f>
        <v>Payment to American Family Insurance</v>
      </c>
    </row>
    <row r="12908" spans="1:15" hidden="1">
      <c r="A12908">
        <v>202412</v>
      </c>
      <c r="B12908" s="6">
        <v>45656</v>
      </c>
      <c r="C12908" t="s">
        <v>2519</v>
      </c>
      <c r="D12908" t="s">
        <v>1955</v>
      </c>
      <c r="E12908">
        <v>0.99</v>
      </c>
      <c r="F12908" s="2" t="str">
        <f>IF(Table2[[#This Row],[Manual Cat Value]]="",VLOOKUP(Table2[[#This Row],[Description]],'Actuals Lookup'!D:F,3,0),VLOOKUP(Table2[[#This Row],[Manual Cat Value]],Lookup!A:B,2,0))</f>
        <v>Shopping</v>
      </c>
      <c r="I12908" s="8"/>
      <c r="O12908" t="str">
        <f>LEFT(Table2[[#This Row],[Description]],75)</f>
        <v>Transfer to PayPal</v>
      </c>
    </row>
    <row r="12909" spans="1:15" hidden="1">
      <c r="A12909">
        <v>202411</v>
      </c>
      <c r="B12909" s="6">
        <v>45617</v>
      </c>
      <c r="C12909" t="s">
        <v>3938</v>
      </c>
      <c r="D12909" t="s">
        <v>6104</v>
      </c>
      <c r="E12909">
        <v>18.559999999999999</v>
      </c>
      <c r="F12909" s="2" t="str">
        <f>IF(Table2[[#This Row],[Manual Cat Value]]="",VLOOKUP(Table2[[#This Row],[Description]],'Actuals Lookup'!D:F,3,0),VLOOKUP(Table2[[#This Row],[Manual Cat Value]],Lookup!A:B,2,0))</f>
        <v>Delete</v>
      </c>
      <c r="H12909" s="8" t="s">
        <v>9</v>
      </c>
      <c r="I12909" s="8"/>
      <c r="O12909" t="str">
        <f>LEFT(Table2[[#This Row],[Description]],75)</f>
        <v>WOODFORD BAR CORK CORK IE REF #XX0746NN88WD5W8J</v>
      </c>
    </row>
    <row r="12910" spans="1:15" hidden="1">
      <c r="A12910">
        <v>202412</v>
      </c>
      <c r="B12910" s="6">
        <v>45657</v>
      </c>
      <c r="C12910" t="s">
        <v>130</v>
      </c>
      <c r="D12910" t="s">
        <v>6105</v>
      </c>
      <c r="E12910">
        <v>10.6</v>
      </c>
      <c r="F12910" s="2" t="str">
        <f>IF(Table2[[#This Row],[Manual Cat Value]]="",VLOOKUP(Table2[[#This Row],[Description]],'Actuals Lookup'!D:F,3,0),VLOOKUP(Table2[[#This Row],[Manual Cat Value]],Lookup!A:B,2,0))</f>
        <v>Travel</v>
      </c>
      <c r="H12910" s="8" t="s">
        <v>52</v>
      </c>
      <c r="I12910" s="8"/>
      <c r="O12910" t="str">
        <f>LEFT(Table2[[#This Row],[Description]],75)</f>
        <v>AplPay CONTRAST COFFIronwood            MI</v>
      </c>
    </row>
    <row r="12911" spans="1:15" hidden="1">
      <c r="A12911">
        <v>202412</v>
      </c>
      <c r="B12911" s="6">
        <v>45657</v>
      </c>
      <c r="C12911" t="s">
        <v>2519</v>
      </c>
      <c r="D12911" t="s">
        <v>2896</v>
      </c>
      <c r="E12911">
        <v>-4</v>
      </c>
      <c r="F12911" s="2" t="str">
        <f>IF(Table2[[#This Row],[Manual Cat Value]]="",VLOOKUP(Table2[[#This Row],[Description]],'Actuals Lookup'!D:F,3,0),VLOOKUP(Table2[[#This Row],[Manual Cat Value]],Lookup!A:B,2,0))</f>
        <v>Inc - Other</v>
      </c>
      <c r="H12911" t="s">
        <v>16</v>
      </c>
      <c r="I12911" s="8"/>
      <c r="O12911" t="str">
        <f>LEFT(Table2[[#This Row],[Description]],75)</f>
        <v>Deposit ATM FEE REFUND</v>
      </c>
    </row>
    <row r="12912" spans="1:15" hidden="1">
      <c r="A12912">
        <v>202412</v>
      </c>
      <c r="B12912" s="6">
        <v>45657</v>
      </c>
      <c r="C12912" t="s">
        <v>2519</v>
      </c>
      <c r="D12912" t="s">
        <v>6106</v>
      </c>
      <c r="E12912">
        <v>-50.13</v>
      </c>
      <c r="F12912" s="2" t="str">
        <f>IF(Table2[[#This Row],[Manual Cat Value]]="",VLOOKUP(Table2[[#This Row],[Description]],'Actuals Lookup'!D:F,3,0),VLOOKUP(Table2[[#This Row],[Manual Cat Value]],Lookup!A:B,2,0))</f>
        <v>Inc - Other</v>
      </c>
      <c r="H12912" t="s">
        <v>16</v>
      </c>
      <c r="I12912" s="8"/>
      <c r="O12912" t="str">
        <f>LEFT(Table2[[#This Row],[Description]],75)</f>
        <v>Deposit Dividend Split Rate Annual Percentage Yield Earned 2.42% from 12/01</v>
      </c>
    </row>
    <row r="12913" spans="1:15" hidden="1">
      <c r="A12913">
        <v>202412</v>
      </c>
      <c r="B12913" s="6">
        <v>45657</v>
      </c>
      <c r="C12913" t="s">
        <v>130</v>
      </c>
      <c r="D12913" t="s">
        <v>6107</v>
      </c>
      <c r="E12913">
        <v>12.49</v>
      </c>
      <c r="F12913" s="2" t="str">
        <f>IF(Table2[[#This Row],[Manual Cat Value]]="",VLOOKUP(Table2[[#This Row],[Description]],'Actuals Lookup'!D:F,3,0),VLOOKUP(Table2[[#This Row],[Manual Cat Value]],Lookup!A:B,2,0))</f>
        <v>Travel</v>
      </c>
      <c r="H12913" t="s">
        <v>52</v>
      </c>
      <c r="I12913" s="8"/>
      <c r="O12913" t="str">
        <f>LEFT(Table2[[#This Row],[Description]],75)</f>
        <v>SNOWRIVER BRB F&amp;B 00BESSEMER            MI</v>
      </c>
    </row>
    <row r="12914" spans="1:15" hidden="1">
      <c r="A12914">
        <v>202412</v>
      </c>
      <c r="B12914" s="6">
        <v>45657</v>
      </c>
      <c r="C12914" t="s">
        <v>130</v>
      </c>
      <c r="D12914" t="s">
        <v>6108</v>
      </c>
      <c r="E12914">
        <v>84.8</v>
      </c>
      <c r="F12914" s="2" t="str">
        <f>IF(Table2[[#This Row],[Manual Cat Value]]="",VLOOKUP(Table2[[#This Row],[Description]],'Actuals Lookup'!D:F,3,0),VLOOKUP(Table2[[#This Row],[Manual Cat Value]],Lookup!A:B,2,0))</f>
        <v>Travel</v>
      </c>
      <c r="H12914" t="s">
        <v>52</v>
      </c>
      <c r="I12914" s="8"/>
      <c r="O12914" t="str">
        <f>LEFT(Table2[[#This Row],[Description]],75)</f>
        <v>SNOWRIVER JCS RETAILWAKEFIELD           MI</v>
      </c>
    </row>
    <row r="12915" spans="1:15" hidden="1">
      <c r="A12915">
        <v>202412</v>
      </c>
      <c r="B12915" s="6">
        <v>45657</v>
      </c>
      <c r="C12915" t="s">
        <v>130</v>
      </c>
      <c r="D12915" t="s">
        <v>6109</v>
      </c>
      <c r="E12915">
        <v>311.24</v>
      </c>
      <c r="F12915" s="2" t="str">
        <f>IF(Table2[[#This Row],[Manual Cat Value]]="",VLOOKUP(Table2[[#This Row],[Description]],'Actuals Lookup'!D:F,3,0),VLOOKUP(Table2[[#This Row],[Manual Cat Value]],Lookup!A:B,2,0))</f>
        <v>Travel</v>
      </c>
      <c r="H12915" t="s">
        <v>52</v>
      </c>
      <c r="I12915" s="8"/>
      <c r="O12915" t="str">
        <f>LEFT(Table2[[#This Row],[Description]],75)</f>
        <v>SNOWRIVER MOUNTAIN-IWAKEFIELD           MI</v>
      </c>
    </row>
    <row r="12916" spans="1:15" hidden="1">
      <c r="A12916">
        <v>202412</v>
      </c>
      <c r="B12916" s="6">
        <v>45657</v>
      </c>
      <c r="C12916" t="s">
        <v>130</v>
      </c>
      <c r="D12916" t="s">
        <v>6110</v>
      </c>
      <c r="E12916">
        <v>18.3</v>
      </c>
      <c r="F12916" s="2" t="str">
        <f>IF(Table2[[#This Row],[Manual Cat Value]]="",VLOOKUP(Table2[[#This Row],[Description]],'Actuals Lookup'!D:F,3,0),VLOOKUP(Table2[[#This Row],[Manual Cat Value]],Lookup!A:B,2,0))</f>
        <v>Travel</v>
      </c>
      <c r="H12916" t="s">
        <v>52</v>
      </c>
      <c r="I12916" s="8"/>
      <c r="O12916" t="str">
        <f>LEFT(Table2[[#This Row],[Description]],75)</f>
        <v>SNOWRIVER-JCS F&amp;B 00WAKEFIELD           MI</v>
      </c>
    </row>
    <row r="12917" spans="1:15" hidden="1">
      <c r="A12917">
        <v>202412</v>
      </c>
      <c r="B12917" s="6">
        <v>45657</v>
      </c>
      <c r="C12917" t="s">
        <v>130</v>
      </c>
      <c r="D12917" t="s">
        <v>6110</v>
      </c>
      <c r="E12917">
        <v>32.94</v>
      </c>
      <c r="F12917" s="2" t="str">
        <f>IF(Table2[[#This Row],[Manual Cat Value]]="",VLOOKUP(Table2[[#This Row],[Description]],'Actuals Lookup'!D:F,3,0),VLOOKUP(Table2[[#This Row],[Manual Cat Value]],Lookup!A:B,2,0))</f>
        <v>Travel</v>
      </c>
      <c r="H12917" t="s">
        <v>52</v>
      </c>
      <c r="I12917" s="8"/>
      <c r="O12917" t="str">
        <f>LEFT(Table2[[#This Row],[Description]],75)</f>
        <v>SNOWRIVER-JCS F&amp;B 00WAKEFIELD           MI</v>
      </c>
    </row>
    <row r="12918" spans="1:15" hidden="1">
      <c r="A12918">
        <v>202412</v>
      </c>
      <c r="B12918" s="6">
        <v>45657</v>
      </c>
      <c r="C12918" t="s">
        <v>2519</v>
      </c>
      <c r="D12918" t="s">
        <v>6111</v>
      </c>
      <c r="E12918">
        <v>380</v>
      </c>
      <c r="F12918" s="2" t="str">
        <f>IF(Table2[[#This Row],[Manual Cat Value]]="",VLOOKUP(Table2[[#This Row],[Description]],'Actuals Lookup'!D:F,3,0),VLOOKUP(Table2[[#This Row],[Manual Cat Value]],Lookup!A:B,2,0))</f>
        <v>Day Care</v>
      </c>
      <c r="H12918" s="8" t="s">
        <v>19</v>
      </c>
      <c r="I12918" s="8"/>
      <c r="O12918" t="str">
        <f>LEFT(Table2[[#This Row],[Description]],75)</f>
        <v>Withdrawal ACH Mis Amigos Presc TYPE: ID: XX7393 NAME: BCU CO: Mis Amigos P</v>
      </c>
    </row>
    <row r="12919" spans="1:15" hidden="1">
      <c r="A12919">
        <v>202501</v>
      </c>
      <c r="B12919" s="6">
        <v>45679</v>
      </c>
      <c r="C12919" t="s">
        <v>2519</v>
      </c>
      <c r="D12919" t="s">
        <v>6112</v>
      </c>
      <c r="E12919">
        <v>30245.75</v>
      </c>
      <c r="F12919" t="str">
        <f>IF(Table2[[#This Row],[Manual Cat Value]]="",Table2[[#This Row],[Suggested Cat Value]],VLOOKUP(Table2[[#This Row],[Manual Cat Value]],Lookup!G:H,2,0))</f>
        <v>House</v>
      </c>
      <c r="G12919" t="s">
        <v>9</v>
      </c>
      <c r="H12919" s="8" t="s">
        <v>49</v>
      </c>
      <c r="I12919" s="8" t="s">
        <v>6113</v>
      </c>
      <c r="O12919" t="str">
        <f>LEFT(Table2[[#This Row],[Description]],75)</f>
        <v>Draft 2304 Tracer XX0454</v>
      </c>
    </row>
    <row r="12920" spans="1:15" hidden="1">
      <c r="A12920">
        <v>202504</v>
      </c>
      <c r="B12920" s="6">
        <v>45762</v>
      </c>
      <c r="C12920" t="s">
        <v>2519</v>
      </c>
      <c r="D12920" t="s">
        <v>6114</v>
      </c>
      <c r="E12920">
        <v>17568</v>
      </c>
      <c r="F12920" t="str">
        <f>IF(Table2[[#This Row],[Manual Cat Value]]="",Table2[[#This Row],[Suggested Cat Value]],VLOOKUP(Table2[[#This Row],[Manual Cat Value]],Lookup!G:H,2,0))</f>
        <v>House</v>
      </c>
      <c r="G12920" t="s">
        <v>9</v>
      </c>
      <c r="H12920" s="8" t="s">
        <v>49</v>
      </c>
      <c r="I12920" s="8" t="s">
        <v>6113</v>
      </c>
      <c r="O12920" t="str">
        <f>LEFT(Table2[[#This Row],[Description]],75)</f>
        <v>Draft 2311 Tracer XX0410</v>
      </c>
    </row>
    <row r="12921" spans="1:15" hidden="1">
      <c r="A12921">
        <v>202503</v>
      </c>
      <c r="B12921" s="6">
        <v>45733</v>
      </c>
      <c r="C12921" t="s">
        <v>2519</v>
      </c>
      <c r="D12921" t="s">
        <v>6115</v>
      </c>
      <c r="E12921">
        <v>13279.5</v>
      </c>
      <c r="F12921" t="str">
        <f>IF(Table2[[#This Row],[Manual Cat Value]]="",Table2[[#This Row],[Suggested Cat Value]],VLOOKUP(Table2[[#This Row],[Manual Cat Value]],Lookup!G:H,2,0))</f>
        <v>House</v>
      </c>
      <c r="G12921" t="s">
        <v>9</v>
      </c>
      <c r="H12921" s="8" t="s">
        <v>49</v>
      </c>
      <c r="I12921" s="8" t="s">
        <v>6113</v>
      </c>
      <c r="O12921" t="str">
        <f>LEFT(Table2[[#This Row],[Description]],75)</f>
        <v>Draft 2308 Tracer XX6479</v>
      </c>
    </row>
    <row r="12922" spans="1:15" hidden="1">
      <c r="A12922">
        <v>202503</v>
      </c>
      <c r="B12922" s="6">
        <v>45747</v>
      </c>
      <c r="C12922" t="s">
        <v>2519</v>
      </c>
      <c r="D12922" t="s">
        <v>6116</v>
      </c>
      <c r="E12922">
        <v>11229.5</v>
      </c>
      <c r="F12922" t="str">
        <f>IF(Table2[[#This Row],[Manual Cat Value]]="",Table2[[#This Row],[Suggested Cat Value]],VLOOKUP(Table2[[#This Row],[Manual Cat Value]],Lookup!G:H,2,0))</f>
        <v>House</v>
      </c>
      <c r="G12922" t="s">
        <v>9</v>
      </c>
      <c r="H12922" s="8" t="s">
        <v>49</v>
      </c>
      <c r="I12922" s="8" t="s">
        <v>6113</v>
      </c>
      <c r="O12922" t="str">
        <f>LEFT(Table2[[#This Row],[Description]],75)</f>
        <v>Draft 2306 Tracer XX3475</v>
      </c>
    </row>
    <row r="12923" spans="1:15" hidden="1">
      <c r="A12923">
        <v>202505</v>
      </c>
      <c r="B12923" s="6">
        <v>45799</v>
      </c>
      <c r="C12923" t="s">
        <v>2519</v>
      </c>
      <c r="D12923" t="s">
        <v>1458</v>
      </c>
      <c r="E12923">
        <v>9001.94</v>
      </c>
      <c r="F12923" t="str">
        <f>IF(Table2[[#This Row],[Manual Cat Value]]="",Table2[[#This Row],[Suggested Cat Value]],VLOOKUP(Table2[[#This Row],[Manual Cat Value]],Lookup!G:H,2,0))</f>
        <v>Delete</v>
      </c>
      <c r="G12923" t="s">
        <v>9</v>
      </c>
      <c r="I12923" s="8"/>
      <c r="O12923" t="str">
        <f>LEFT(Table2[[#This Row],[Description]],75)</f>
        <v>Payment to American Express</v>
      </c>
    </row>
    <row r="12924" spans="1:15" hidden="1">
      <c r="A12924">
        <v>202502</v>
      </c>
      <c r="B12924" s="6">
        <v>45706</v>
      </c>
      <c r="C12924" t="s">
        <v>2519</v>
      </c>
      <c r="D12924" t="s">
        <v>6117</v>
      </c>
      <c r="E12924">
        <v>8690</v>
      </c>
      <c r="F12924" t="str">
        <f>IF(Table2[[#This Row],[Manual Cat Value]]="",Table2[[#This Row],[Suggested Cat Value]],VLOOKUP(Table2[[#This Row],[Manual Cat Value]],Lookup!G:H,2,0))</f>
        <v>House</v>
      </c>
      <c r="G12924" t="s">
        <v>9</v>
      </c>
      <c r="H12924" s="8" t="s">
        <v>49</v>
      </c>
      <c r="I12924" s="8" t="s">
        <v>6113</v>
      </c>
      <c r="O12924" t="str">
        <f>LEFT(Table2[[#This Row],[Description]],75)</f>
        <v>Draft 2307 Tracer XX0903</v>
      </c>
    </row>
    <row r="12925" spans="1:15" hidden="1">
      <c r="A12925">
        <v>202502</v>
      </c>
      <c r="B12925" s="6">
        <v>45716</v>
      </c>
      <c r="C12925" t="s">
        <v>2519</v>
      </c>
      <c r="D12925" t="s">
        <v>1458</v>
      </c>
      <c r="E12925">
        <v>7257.44</v>
      </c>
      <c r="F12925" t="str">
        <f>IF(Table2[[#This Row],[Manual Cat Value]]="",Table2[[#This Row],[Suggested Cat Value]],VLOOKUP(Table2[[#This Row],[Manual Cat Value]],Lookup!G:H,2,0))</f>
        <v>Delete</v>
      </c>
      <c r="G12925" t="s">
        <v>9</v>
      </c>
      <c r="I12925" s="8"/>
      <c r="O12925" t="str">
        <f>LEFT(Table2[[#This Row],[Description]],75)</f>
        <v>Payment to American Express</v>
      </c>
    </row>
    <row r="12926" spans="1:15" hidden="1">
      <c r="A12926">
        <v>202504</v>
      </c>
      <c r="B12926" s="6">
        <v>45761</v>
      </c>
      <c r="C12926" t="s">
        <v>2519</v>
      </c>
      <c r="D12926" t="s">
        <v>1458</v>
      </c>
      <c r="E12926">
        <v>6219.22</v>
      </c>
      <c r="F12926" t="str">
        <f>IF(Table2[[#This Row],[Manual Cat Value]]="",Table2[[#This Row],[Suggested Cat Value]],VLOOKUP(Table2[[#This Row],[Manual Cat Value]],Lookup!G:H,2,0))</f>
        <v>Delete</v>
      </c>
      <c r="G12926" t="s">
        <v>9</v>
      </c>
      <c r="I12926" s="8"/>
      <c r="O12926" t="str">
        <f>LEFT(Table2[[#This Row],[Description]],75)</f>
        <v>Payment to American Express</v>
      </c>
    </row>
    <row r="12927" spans="1:15" hidden="1">
      <c r="A12927">
        <v>202501</v>
      </c>
      <c r="B12927" s="6">
        <v>45664</v>
      </c>
      <c r="C12927" t="s">
        <v>2519</v>
      </c>
      <c r="D12927" t="s">
        <v>1458</v>
      </c>
      <c r="E12927">
        <v>5071.66</v>
      </c>
      <c r="F12927" t="str">
        <f>IF(Table2[[#This Row],[Manual Cat Value]]="",Table2[[#This Row],[Suggested Cat Value]],VLOOKUP(Table2[[#This Row],[Manual Cat Value]],Lookup!G:H,2,0))</f>
        <v>Delete</v>
      </c>
      <c r="G12927" t="s">
        <v>9</v>
      </c>
      <c r="I12927" s="8"/>
      <c r="O12927" t="str">
        <f>LEFT(Table2[[#This Row],[Description]],75)</f>
        <v>Payment to American Express</v>
      </c>
    </row>
    <row r="12928" spans="1:15" hidden="1">
      <c r="A12928">
        <v>202501</v>
      </c>
      <c r="B12928" s="6">
        <v>45678</v>
      </c>
      <c r="C12928" t="s">
        <v>2519</v>
      </c>
      <c r="D12928" t="s">
        <v>1458</v>
      </c>
      <c r="E12928">
        <v>3854.15</v>
      </c>
      <c r="F12928" t="str">
        <f>IF(Table2[[#This Row],[Manual Cat Value]]="",Table2[[#This Row],[Suggested Cat Value]],VLOOKUP(Table2[[#This Row],[Manual Cat Value]],Lookup!G:H,2,0))</f>
        <v>Delete</v>
      </c>
      <c r="G12928" t="s">
        <v>9</v>
      </c>
      <c r="I12928" s="8"/>
      <c r="O12928" t="str">
        <f>LEFT(Table2[[#This Row],[Description]],75)</f>
        <v>Payment to American Express</v>
      </c>
    </row>
    <row r="12929" spans="1:15" hidden="1">
      <c r="A12929">
        <v>202502</v>
      </c>
      <c r="B12929" s="6">
        <v>45691</v>
      </c>
      <c r="C12929" t="s">
        <v>2519</v>
      </c>
      <c r="D12929" t="s">
        <v>1458</v>
      </c>
      <c r="E12929">
        <v>3606.01</v>
      </c>
      <c r="F12929" t="str">
        <f>IF(Table2[[#This Row],[Manual Cat Value]]="",Table2[[#This Row],[Suggested Cat Value]],VLOOKUP(Table2[[#This Row],[Manual Cat Value]],Lookup!G:H,2,0))</f>
        <v>Delete</v>
      </c>
      <c r="G12929" t="s">
        <v>9</v>
      </c>
      <c r="I12929" s="8"/>
      <c r="O12929" t="str">
        <f>LEFT(Table2[[#This Row],[Description]],75)</f>
        <v>Payment to American Express</v>
      </c>
    </row>
    <row r="12930" spans="1:15" hidden="1">
      <c r="A12930">
        <v>202503</v>
      </c>
      <c r="B12930" s="6">
        <v>45730</v>
      </c>
      <c r="C12930" t="s">
        <v>2519</v>
      </c>
      <c r="D12930" t="s">
        <v>1458</v>
      </c>
      <c r="E12930">
        <v>3444.87</v>
      </c>
      <c r="F12930" t="str">
        <f>IF(Table2[[#This Row],[Manual Cat Value]]="",Table2[[#This Row],[Suggested Cat Value]],VLOOKUP(Table2[[#This Row],[Manual Cat Value]],Lookup!G:H,2,0))</f>
        <v>Delete</v>
      </c>
      <c r="G12930" t="s">
        <v>9</v>
      </c>
      <c r="I12930" s="8"/>
      <c r="O12930" t="str">
        <f>LEFT(Table2[[#This Row],[Description]],75)</f>
        <v>Payment to American Express</v>
      </c>
    </row>
    <row r="12931" spans="1:15" hidden="1">
      <c r="A12931">
        <v>202505</v>
      </c>
      <c r="B12931" s="6">
        <v>45797</v>
      </c>
      <c r="C12931" t="s">
        <v>130</v>
      </c>
      <c r="D12931" t="s">
        <v>6118</v>
      </c>
      <c r="E12931">
        <v>3000</v>
      </c>
      <c r="F12931" t="str">
        <f>IF(Table2[[#This Row],[Manual Cat Value]]="",Table2[[#This Row],[Suggested Cat Value]],VLOOKUP(Table2[[#This Row],[Manual Cat Value]],Lookup!G:H,2,0))</f>
        <v>House</v>
      </c>
      <c r="G12931" t="s">
        <v>9</v>
      </c>
      <c r="H12931" s="8" t="s">
        <v>49</v>
      </c>
      <c r="I12931" s="8" t="s">
        <v>6119</v>
      </c>
      <c r="O12931" t="str">
        <f>LEFT(Table2[[#This Row],[Description]],75)</f>
        <v>IN *SUPERIOR LAWN ANSAINT BONIFACIUS    MN</v>
      </c>
    </row>
    <row r="12932" spans="1:15" hidden="1">
      <c r="A12932">
        <v>202501</v>
      </c>
      <c r="B12932" s="6">
        <v>45659</v>
      </c>
      <c r="C12932" t="s">
        <v>2519</v>
      </c>
      <c r="D12932" t="s">
        <v>1460</v>
      </c>
      <c r="E12932">
        <v>2745.43</v>
      </c>
      <c r="F12932" t="str">
        <f>IF(Table2[[#This Row],[Manual Cat Value]]="",Table2[[#This Row],[Suggested Cat Value]],VLOOKUP(Table2[[#This Row],[Manual Cat Value]],Lookup!G:H,2,0))</f>
        <v>Rent</v>
      </c>
      <c r="G12932" t="s">
        <v>5</v>
      </c>
      <c r="I12932" s="8"/>
      <c r="O12932" t="str">
        <f>LEFT(Table2[[#This Row],[Description]],75)</f>
        <v>Payment to Baxter Credit Union</v>
      </c>
    </row>
    <row r="12933" spans="1:15" hidden="1">
      <c r="A12933">
        <v>202502</v>
      </c>
      <c r="B12933" s="6">
        <v>45691</v>
      </c>
      <c r="C12933" t="s">
        <v>2519</v>
      </c>
      <c r="D12933" t="s">
        <v>1460</v>
      </c>
      <c r="E12933">
        <v>2745.43</v>
      </c>
      <c r="F12933" t="str">
        <f>IF(Table2[[#This Row],[Manual Cat Value]]="",Table2[[#This Row],[Suggested Cat Value]],VLOOKUP(Table2[[#This Row],[Manual Cat Value]],Lookup!G:H,2,0))</f>
        <v>Rent</v>
      </c>
      <c r="G12933" t="s">
        <v>5</v>
      </c>
      <c r="I12933" s="8"/>
      <c r="O12933" t="str">
        <f>LEFT(Table2[[#This Row],[Description]],75)</f>
        <v>Payment to Baxter Credit Union</v>
      </c>
    </row>
    <row r="12934" spans="1:15" hidden="1">
      <c r="A12934">
        <v>202503</v>
      </c>
      <c r="B12934" s="6">
        <v>45719</v>
      </c>
      <c r="C12934" t="s">
        <v>2519</v>
      </c>
      <c r="D12934" t="s">
        <v>1460</v>
      </c>
      <c r="E12934">
        <v>2745.43</v>
      </c>
      <c r="F12934" t="str">
        <f>IF(Table2[[#This Row],[Manual Cat Value]]="",Table2[[#This Row],[Suggested Cat Value]],VLOOKUP(Table2[[#This Row],[Manual Cat Value]],Lookup!G:H,2,0))</f>
        <v>Rent</v>
      </c>
      <c r="G12934" t="s">
        <v>5</v>
      </c>
      <c r="I12934" s="8"/>
      <c r="O12934" t="str">
        <f>LEFT(Table2[[#This Row],[Description]],75)</f>
        <v>Payment to Baxter Credit Union</v>
      </c>
    </row>
    <row r="12935" spans="1:15" hidden="1">
      <c r="A12935">
        <v>202504</v>
      </c>
      <c r="B12935" s="6">
        <v>45748</v>
      </c>
      <c r="C12935" t="s">
        <v>2519</v>
      </c>
      <c r="D12935" t="s">
        <v>1460</v>
      </c>
      <c r="E12935">
        <v>2745.43</v>
      </c>
      <c r="F12935" t="str">
        <f>IF(Table2[[#This Row],[Manual Cat Value]]="",Table2[[#This Row],[Suggested Cat Value]],VLOOKUP(Table2[[#This Row],[Manual Cat Value]],Lookup!G:H,2,0))</f>
        <v>Rent</v>
      </c>
      <c r="G12935" t="s">
        <v>5</v>
      </c>
      <c r="I12935" s="8"/>
      <c r="O12935" t="str">
        <f>LEFT(Table2[[#This Row],[Description]],75)</f>
        <v>Payment to Baxter Credit Union</v>
      </c>
    </row>
    <row r="12936" spans="1:15" hidden="1">
      <c r="A12936">
        <v>202505</v>
      </c>
      <c r="B12936" s="6">
        <v>45778</v>
      </c>
      <c r="C12936" t="s">
        <v>2519</v>
      </c>
      <c r="D12936" t="s">
        <v>1460</v>
      </c>
      <c r="E12936">
        <v>2745.43</v>
      </c>
      <c r="F12936" t="str">
        <f>IF(Table2[[#This Row],[Manual Cat Value]]="",Table2[[#This Row],[Suggested Cat Value]],VLOOKUP(Table2[[#This Row],[Manual Cat Value]],Lookup!G:H,2,0))</f>
        <v>Rent</v>
      </c>
      <c r="G12936" t="s">
        <v>5</v>
      </c>
      <c r="I12936" s="8"/>
      <c r="O12936" t="str">
        <f>LEFT(Table2[[#This Row],[Description]],75)</f>
        <v>Payment to Baxter Credit Union</v>
      </c>
    </row>
    <row r="12937" spans="1:15" hidden="1">
      <c r="A12937">
        <v>202505</v>
      </c>
      <c r="B12937" s="6">
        <v>45807</v>
      </c>
      <c r="C12937" t="s">
        <v>2519</v>
      </c>
      <c r="D12937" t="s">
        <v>6120</v>
      </c>
      <c r="E12937">
        <v>2405.09</v>
      </c>
      <c r="F12937" t="str">
        <f>IF(Table2[[#This Row],[Manual Cat Value]]="",Table2[[#This Row],[Suggested Cat Value]],VLOOKUP(Table2[[#This Row],[Manual Cat Value]],Lookup!G:H,2,0))</f>
        <v>Delete</v>
      </c>
      <c r="G12937" t="s">
        <v>20</v>
      </c>
      <c r="H12937" s="8" t="s">
        <v>9</v>
      </c>
      <c r="I12937" s="8"/>
      <c r="O12937" t="str">
        <f>LEFT(Table2[[#This Row],[Description]],75)</f>
        <v>Withdrawal ACH AMEX EPAYMENT TYPE: ACH PMT ID: 0005000008 CO: AMEX EPAYMENT</v>
      </c>
    </row>
    <row r="12938" spans="1:15" hidden="1">
      <c r="A12938">
        <v>202504</v>
      </c>
      <c r="B12938" s="6">
        <v>45772</v>
      </c>
      <c r="C12938" t="s">
        <v>2519</v>
      </c>
      <c r="D12938" t="s">
        <v>1458</v>
      </c>
      <c r="E12938">
        <v>2287.23</v>
      </c>
      <c r="F12938" t="str">
        <f>IF(Table2[[#This Row],[Manual Cat Value]]="",Table2[[#This Row],[Suggested Cat Value]],VLOOKUP(Table2[[#This Row],[Manual Cat Value]],Lookup!G:H,2,0))</f>
        <v>Delete</v>
      </c>
      <c r="G12938" t="s">
        <v>9</v>
      </c>
      <c r="I12938" s="8"/>
      <c r="O12938" t="str">
        <f>LEFT(Table2[[#This Row],[Description]],75)</f>
        <v>Payment to American Express</v>
      </c>
    </row>
    <row r="12939" spans="1:15" hidden="1">
      <c r="A12939">
        <v>202501</v>
      </c>
      <c r="B12939" s="6">
        <v>45680</v>
      </c>
      <c r="C12939" t="s">
        <v>2519</v>
      </c>
      <c r="D12939" t="s">
        <v>6121</v>
      </c>
      <c r="E12939">
        <v>2100</v>
      </c>
      <c r="F12939" t="str">
        <f>IF(Table2[[#This Row],[Manual Cat Value]]="",Table2[[#This Row],[Suggested Cat Value]],VLOOKUP(Table2[[#This Row],[Manual Cat Value]],Lookup!G:H,2,0))</f>
        <v>Travel</v>
      </c>
      <c r="G12939" t="s">
        <v>9</v>
      </c>
      <c r="H12939" s="8" t="s">
        <v>52</v>
      </c>
      <c r="I12939" s="8" t="s">
        <v>6122</v>
      </c>
      <c r="O12939" t="str">
        <f>LEFT(Table2[[#This Row],[Description]],75)</f>
        <v>Draft 2305 Tracer XX2855</v>
      </c>
    </row>
    <row r="12940" spans="1:15" hidden="1">
      <c r="A12940">
        <v>202503</v>
      </c>
      <c r="B12940" s="6">
        <v>45745</v>
      </c>
      <c r="C12940" t="s">
        <v>130</v>
      </c>
      <c r="D12940" t="s">
        <v>5392</v>
      </c>
      <c r="E12940">
        <v>2060.81</v>
      </c>
      <c r="F12940" t="str">
        <f>IF(Table2[[#This Row],[Manual Cat Value]]="",Table2[[#This Row],[Suggested Cat Value]],VLOOKUP(Table2[[#This Row],[Manual Cat Value]],Lookup!G:H,2,0))</f>
        <v>Delete</v>
      </c>
      <c r="G12940" t="s">
        <v>9</v>
      </c>
      <c r="I12940" s="8" t="s">
        <v>2240</v>
      </c>
      <c r="O12940" t="str">
        <f>LEFT(Table2[[#This Row],[Description]],75)</f>
        <v>DELTA AIR LINES</v>
      </c>
    </row>
    <row r="12941" spans="1:15" hidden="1">
      <c r="A12941">
        <v>202505</v>
      </c>
      <c r="B12941" s="6">
        <v>45798</v>
      </c>
      <c r="C12941" t="s">
        <v>2519</v>
      </c>
      <c r="D12941" t="s">
        <v>6123</v>
      </c>
      <c r="E12941">
        <v>1953.5</v>
      </c>
      <c r="F12941" t="str">
        <f>IF(Table2[[#This Row],[Manual Cat Value]]="",Table2[[#This Row],[Suggested Cat Value]],VLOOKUP(Table2[[#This Row],[Manual Cat Value]],Lookup!G:H,2,0))</f>
        <v>House</v>
      </c>
      <c r="G12941" t="s">
        <v>9</v>
      </c>
      <c r="H12941" s="8" t="s">
        <v>49</v>
      </c>
      <c r="I12941" s="8" t="s">
        <v>6124</v>
      </c>
      <c r="O12941" t="str">
        <f>LEFT(Table2[[#This Row],[Description]],75)</f>
        <v>Draft 2357 Tracer XX0903</v>
      </c>
    </row>
    <row r="12942" spans="1:15" hidden="1">
      <c r="A12942">
        <v>202503</v>
      </c>
      <c r="B12942" s="6">
        <v>45742</v>
      </c>
      <c r="C12942" t="s">
        <v>2519</v>
      </c>
      <c r="D12942" t="s">
        <v>4293</v>
      </c>
      <c r="E12942">
        <v>1750.64</v>
      </c>
      <c r="F12942" t="str">
        <f>IF(Table2[[#This Row],[Manual Cat Value]]="",Table2[[#This Row],[Suggested Cat Value]],VLOOKUP(Table2[[#This Row],[Manual Cat Value]],Lookup!G:H,2,0))</f>
        <v>Delete</v>
      </c>
      <c r="G12942" t="s">
        <v>9</v>
      </c>
      <c r="I12942" s="8"/>
      <c r="O12942" t="str">
        <f>LEFT(Table2[[#This Row],[Description]],75)</f>
        <v>Withdrawal Home Banking Pmt to card XX5913</v>
      </c>
    </row>
    <row r="12943" spans="1:15" hidden="1">
      <c r="A12943">
        <v>202502</v>
      </c>
      <c r="B12943" s="6">
        <v>45713</v>
      </c>
      <c r="C12943" t="s">
        <v>130</v>
      </c>
      <c r="D12943" t="s">
        <v>5392</v>
      </c>
      <c r="E12943">
        <v>1609.81</v>
      </c>
      <c r="F12943" t="str">
        <f>IF(Table2[[#This Row],[Manual Cat Value]]="",Table2[[#This Row],[Suggested Cat Value]],VLOOKUP(Table2[[#This Row],[Manual Cat Value]],Lookup!G:H,2,0))</f>
        <v>Delete</v>
      </c>
      <c r="G12943" t="s">
        <v>9</v>
      </c>
      <c r="I12943" s="8" t="s">
        <v>2240</v>
      </c>
      <c r="O12943" t="str">
        <f>LEFT(Table2[[#This Row],[Description]],75)</f>
        <v>DELTA AIR LINES</v>
      </c>
    </row>
    <row r="12944" spans="1:15" hidden="1">
      <c r="A12944">
        <v>202502</v>
      </c>
      <c r="B12944" s="6">
        <v>45714</v>
      </c>
      <c r="C12944" t="s">
        <v>2519</v>
      </c>
      <c r="D12944" t="s">
        <v>4415</v>
      </c>
      <c r="E12944">
        <v>1466.2</v>
      </c>
      <c r="F12944" t="str">
        <f>IF(Table2[[#This Row],[Manual Cat Value]]="",Table2[[#This Row],[Suggested Cat Value]],VLOOKUP(Table2[[#This Row],[Manual Cat Value]],Lookup!G:H,2,0))</f>
        <v>Target</v>
      </c>
      <c r="G12944" t="s">
        <v>31</v>
      </c>
      <c r="I12944" s="8"/>
      <c r="O12944" t="str">
        <f>LEFT(Table2[[#This Row],[Description]],75)</f>
        <v>Payment to Jeffrey B</v>
      </c>
    </row>
    <row r="12945" spans="1:15" hidden="1">
      <c r="A12945">
        <v>202503</v>
      </c>
      <c r="B12945" s="6">
        <v>45728</v>
      </c>
      <c r="C12945" t="s">
        <v>2519</v>
      </c>
      <c r="D12945" t="s">
        <v>4293</v>
      </c>
      <c r="E12945">
        <v>1434.28</v>
      </c>
      <c r="F12945" t="str">
        <f>IF(Table2[[#This Row],[Manual Cat Value]]="",Table2[[#This Row],[Suggested Cat Value]],VLOOKUP(Table2[[#This Row],[Manual Cat Value]],Lookup!G:H,2,0))</f>
        <v>Delete</v>
      </c>
      <c r="G12945" t="s">
        <v>9</v>
      </c>
      <c r="I12945" s="8"/>
      <c r="O12945" t="str">
        <f>LEFT(Table2[[#This Row],[Description]],75)</f>
        <v>Withdrawal Home Banking Pmt to card XX5913</v>
      </c>
    </row>
    <row r="12946" spans="1:15" hidden="1">
      <c r="A12946">
        <v>202502</v>
      </c>
      <c r="B12946" s="6">
        <v>45699</v>
      </c>
      <c r="C12946" t="s">
        <v>2519</v>
      </c>
      <c r="D12946" t="s">
        <v>1458</v>
      </c>
      <c r="E12946">
        <v>1269.1099999999999</v>
      </c>
      <c r="F12946" t="str">
        <f>IF(Table2[[#This Row],[Manual Cat Value]]="",Table2[[#This Row],[Suggested Cat Value]],VLOOKUP(Table2[[#This Row],[Manual Cat Value]],Lookup!G:H,2,0))</f>
        <v>Delete</v>
      </c>
      <c r="G12946" t="s">
        <v>9</v>
      </c>
      <c r="I12946" s="8"/>
      <c r="O12946" t="str">
        <f>LEFT(Table2[[#This Row],[Description]],75)</f>
        <v>Payment to American Express</v>
      </c>
    </row>
    <row r="12947" spans="1:15" hidden="1">
      <c r="A12947">
        <v>202504</v>
      </c>
      <c r="B12947" s="6">
        <v>45763</v>
      </c>
      <c r="C12947" t="s">
        <v>2519</v>
      </c>
      <c r="D12947" t="s">
        <v>4293</v>
      </c>
      <c r="E12947">
        <v>1218.6099999999999</v>
      </c>
      <c r="F12947" t="str">
        <f>IF(Table2[[#This Row],[Manual Cat Value]]="",Table2[[#This Row],[Suggested Cat Value]],VLOOKUP(Table2[[#This Row],[Manual Cat Value]],Lookup!G:H,2,0))</f>
        <v>Delete</v>
      </c>
      <c r="G12947" t="s">
        <v>9</v>
      </c>
      <c r="I12947" s="8"/>
      <c r="O12947" t="str">
        <f>LEFT(Table2[[#This Row],[Description]],75)</f>
        <v>Withdrawal Home Banking Pmt to card XX5913</v>
      </c>
    </row>
    <row r="12948" spans="1:15" hidden="1">
      <c r="A12948">
        <v>202504</v>
      </c>
      <c r="B12948" s="6">
        <v>45754</v>
      </c>
      <c r="C12948" t="s">
        <v>2519</v>
      </c>
      <c r="D12948" t="s">
        <v>1458</v>
      </c>
      <c r="E12948">
        <v>1212</v>
      </c>
      <c r="F12948" t="str">
        <f>IF(Table2[[#This Row],[Manual Cat Value]]="",Table2[[#This Row],[Suggested Cat Value]],VLOOKUP(Table2[[#This Row],[Manual Cat Value]],Lookup!G:H,2,0))</f>
        <v>Delete</v>
      </c>
      <c r="G12948" t="s">
        <v>9</v>
      </c>
      <c r="I12948" s="8"/>
      <c r="O12948" t="str">
        <f>LEFT(Table2[[#This Row],[Description]],75)</f>
        <v>Payment to American Express</v>
      </c>
    </row>
    <row r="12949" spans="1:15" hidden="1">
      <c r="A12949">
        <v>202503</v>
      </c>
      <c r="B12949" s="6">
        <v>45741</v>
      </c>
      <c r="C12949" t="s">
        <v>2519</v>
      </c>
      <c r="D12949" t="s">
        <v>1466</v>
      </c>
      <c r="E12949">
        <v>1019.07</v>
      </c>
      <c r="F12949" t="str">
        <f>IF(Table2[[#This Row],[Manual Cat Value]]="",Table2[[#This Row],[Suggested Cat Value]],VLOOKUP(Table2[[#This Row],[Manual Cat Value]],Lookup!G:H,2,0))</f>
        <v>Target</v>
      </c>
      <c r="G12949" t="s">
        <v>9</v>
      </c>
      <c r="H12949" s="8" t="s">
        <v>30</v>
      </c>
      <c r="I12949" s="8"/>
      <c r="O12949" t="str">
        <f>LEFT(Table2[[#This Row],[Description]],75)</f>
        <v>Payment to Target</v>
      </c>
    </row>
    <row r="12950" spans="1:15" hidden="1">
      <c r="A12950">
        <v>202505</v>
      </c>
      <c r="B12950" s="6">
        <v>45789</v>
      </c>
      <c r="C12950" t="s">
        <v>130</v>
      </c>
      <c r="D12950" t="s">
        <v>5827</v>
      </c>
      <c r="E12950">
        <v>980.52</v>
      </c>
      <c r="F12950" t="str">
        <f>IF(Table2[[#This Row],[Manual Cat Value]]="",Table2[[#This Row],[Suggested Cat Value]],VLOOKUP(Table2[[#This Row],[Manual Cat Value]],Lookup!G:H,2,0))</f>
        <v>Delete</v>
      </c>
      <c r="G12950" t="s">
        <v>9</v>
      </c>
      <c r="H12950" s="8" t="s">
        <v>9</v>
      </c>
      <c r="I12950" s="8"/>
      <c r="O12950" t="str">
        <f>LEFT(Table2[[#This Row],[Description]],75)</f>
        <v>THE DEAN HOTEL IE000CORK                IR</v>
      </c>
    </row>
    <row r="12951" spans="1:15" hidden="1">
      <c r="A12951">
        <v>202501</v>
      </c>
      <c r="B12951" s="6">
        <v>45684</v>
      </c>
      <c r="C12951" t="s">
        <v>2519</v>
      </c>
      <c r="D12951" t="s">
        <v>4415</v>
      </c>
      <c r="E12951">
        <v>977.51</v>
      </c>
      <c r="F12951" t="str">
        <f>IF(Table2[[#This Row],[Manual Cat Value]]="",Table2[[#This Row],[Suggested Cat Value]],VLOOKUP(Table2[[#This Row],[Manual Cat Value]],Lookup!G:H,2,0))</f>
        <v>Delete</v>
      </c>
      <c r="G12951" t="s">
        <v>31</v>
      </c>
      <c r="H12951" s="8" t="s">
        <v>9</v>
      </c>
      <c r="I12951" s="8"/>
      <c r="O12951" t="str">
        <f>LEFT(Table2[[#This Row],[Description]],75)</f>
        <v>Payment to Jeffrey B</v>
      </c>
    </row>
    <row r="12952" spans="1:15" hidden="1">
      <c r="A12952">
        <v>202505</v>
      </c>
      <c r="B12952" s="6">
        <v>45799</v>
      </c>
      <c r="C12952" t="s">
        <v>130</v>
      </c>
      <c r="D12952" t="s">
        <v>6125</v>
      </c>
      <c r="E12952">
        <v>963.28</v>
      </c>
      <c r="F12952" t="str">
        <f>IF(Table2[[#This Row],[Manual Cat Value]]="",Table2[[#This Row],[Suggested Cat Value]],VLOOKUP(Table2[[#This Row],[Manual Cat Value]],Lookup!G:H,2,0))</f>
        <v>Transportation</v>
      </c>
      <c r="G12952" t="s">
        <v>23</v>
      </c>
      <c r="I12952" s="8"/>
      <c r="O12952" t="str">
        <f>LEFT(Table2[[#This Row],[Description]],75)</f>
        <v>MOTORWERKS BMW 116  BLOOMINGTON         MN</v>
      </c>
    </row>
    <row r="12953" spans="1:15" hidden="1">
      <c r="A12953">
        <v>202502</v>
      </c>
      <c r="B12953" s="6">
        <v>45701</v>
      </c>
      <c r="C12953" t="s">
        <v>130</v>
      </c>
      <c r="D12953" t="s">
        <v>6126</v>
      </c>
      <c r="E12953">
        <v>922.46</v>
      </c>
      <c r="F12953" t="str">
        <f>IF(Table2[[#This Row],[Manual Cat Value]]="",Table2[[#This Row],[Suggested Cat Value]],VLOOKUP(Table2[[#This Row],[Manual Cat Value]],Lookup!G:H,2,0))</f>
        <v>Shopping</v>
      </c>
      <c r="G12953" t="s">
        <v>26</v>
      </c>
      <c r="H12953" s="8" t="s">
        <v>36</v>
      </c>
      <c r="I12953" s="8"/>
      <c r="O12953" t="str">
        <f>LEFT(Table2[[#This Row],[Description]],75)</f>
        <v>GUNDERSON'S JEWELERSWAYZATA             MN</v>
      </c>
    </row>
    <row r="12954" spans="1:15" hidden="1">
      <c r="A12954">
        <v>202502</v>
      </c>
      <c r="B12954" s="6">
        <v>45701</v>
      </c>
      <c r="C12954" t="s">
        <v>130</v>
      </c>
      <c r="D12954" t="s">
        <v>6127</v>
      </c>
      <c r="E12954">
        <v>880.81</v>
      </c>
      <c r="F12954" t="str">
        <f>IF(Table2[[#This Row],[Manual Cat Value]]="",Table2[[#This Row],[Suggested Cat Value]],VLOOKUP(Table2[[#This Row],[Manual Cat Value]],Lookup!G:H,2,0))</f>
        <v>Transportation</v>
      </c>
      <c r="G12954" t="s">
        <v>23</v>
      </c>
      <c r="I12954" s="8"/>
      <c r="O12954" t="str">
        <f>LEFT(Table2[[#This Row],[Description]],75)</f>
        <v>RUDY LUTHER TOYOTA 0GOLDEN VALLEY       MN</v>
      </c>
    </row>
    <row r="12955" spans="1:15" hidden="1">
      <c r="A12955">
        <v>202501</v>
      </c>
      <c r="B12955" s="6">
        <v>45659</v>
      </c>
      <c r="C12955" t="s">
        <v>2519</v>
      </c>
      <c r="D12955" t="s">
        <v>6128</v>
      </c>
      <c r="E12955">
        <v>650</v>
      </c>
      <c r="F12955" t="str">
        <f>IF(Table2[[#This Row],[Manual Cat Value]]="",Table2[[#This Row],[Suggested Cat Value]],VLOOKUP(Table2[[#This Row],[Manual Cat Value]],Lookup!G:H,2,0))</f>
        <v>College Savings</v>
      </c>
      <c r="G12955" t="s">
        <v>20</v>
      </c>
      <c r="H12955" s="8" t="s">
        <v>60</v>
      </c>
      <c r="I12955" s="8"/>
      <c r="O12955" t="str">
        <f>LEFT(Table2[[#This Row],[Description]],75)</f>
        <v>Withdrawal ACH ILD529 DIR ACH TYPE: CONTRIB ID: XX2584 CO: ILD529 DIR ACH E</v>
      </c>
    </row>
    <row r="12956" spans="1:15" hidden="1">
      <c r="A12956">
        <v>202505</v>
      </c>
      <c r="B12956" s="6">
        <v>45806</v>
      </c>
      <c r="C12956" t="s">
        <v>2519</v>
      </c>
      <c r="D12956" t="s">
        <v>4293</v>
      </c>
      <c r="E12956">
        <v>848.16</v>
      </c>
      <c r="F12956" t="str">
        <f>IF(Table2[[#This Row],[Manual Cat Value]]="",Table2[[#This Row],[Suggested Cat Value]],VLOOKUP(Table2[[#This Row],[Manual Cat Value]],Lookup!G:H,2,0))</f>
        <v>Delete</v>
      </c>
      <c r="G12956" t="s">
        <v>9</v>
      </c>
      <c r="I12956" s="8"/>
      <c r="O12956" t="str">
        <f>LEFT(Table2[[#This Row],[Description]],75)</f>
        <v>Withdrawal Home Banking Pmt to card XX5913</v>
      </c>
    </row>
    <row r="12957" spans="1:15" hidden="1">
      <c r="A12957">
        <v>202504</v>
      </c>
      <c r="B12957" s="6">
        <v>45776</v>
      </c>
      <c r="C12957" t="s">
        <v>2519</v>
      </c>
      <c r="D12957" t="s">
        <v>4293</v>
      </c>
      <c r="E12957">
        <v>835.66</v>
      </c>
      <c r="F12957" t="str">
        <f>IF(Table2[[#This Row],[Manual Cat Value]]="",Table2[[#This Row],[Suggested Cat Value]],VLOOKUP(Table2[[#This Row],[Manual Cat Value]],Lookup!G:H,2,0))</f>
        <v>Delete</v>
      </c>
      <c r="G12957" t="s">
        <v>9</v>
      </c>
      <c r="I12957" s="8"/>
      <c r="O12957" t="str">
        <f>LEFT(Table2[[#This Row],[Description]],75)</f>
        <v>Withdrawal Home Banking Pmt to card XX5913</v>
      </c>
    </row>
    <row r="12958" spans="1:15" hidden="1">
      <c r="A12958">
        <v>202505</v>
      </c>
      <c r="B12958" s="6">
        <v>45789</v>
      </c>
      <c r="C12958" t="s">
        <v>2519</v>
      </c>
      <c r="D12958" t="s">
        <v>4293</v>
      </c>
      <c r="E12958">
        <v>833.78</v>
      </c>
      <c r="F12958" t="str">
        <f>IF(Table2[[#This Row],[Manual Cat Value]]="",Table2[[#This Row],[Suggested Cat Value]],VLOOKUP(Table2[[#This Row],[Manual Cat Value]],Lookup!G:H,2,0))</f>
        <v>Delete</v>
      </c>
      <c r="G12958" t="s">
        <v>9</v>
      </c>
      <c r="I12958" s="8"/>
      <c r="O12958" t="str">
        <f>LEFT(Table2[[#This Row],[Description]],75)</f>
        <v>Withdrawal Home Banking Pmt to card XX5913</v>
      </c>
    </row>
    <row r="12959" spans="1:15" hidden="1">
      <c r="A12959">
        <v>202501</v>
      </c>
      <c r="B12959" s="6">
        <v>45684</v>
      </c>
      <c r="C12959" t="s">
        <v>2519</v>
      </c>
      <c r="D12959" t="s">
        <v>4404</v>
      </c>
      <c r="E12959">
        <v>800</v>
      </c>
      <c r="F12959" t="str">
        <f>IF(Table2[[#This Row],[Manual Cat Value]]="",Table2[[#This Row],[Suggested Cat Value]],VLOOKUP(Table2[[#This Row],[Manual Cat Value]],Lookup!G:H,2,0))</f>
        <v>Delete</v>
      </c>
      <c r="G12959" t="s">
        <v>9</v>
      </c>
      <c r="I12959" s="8"/>
      <c r="O12959" t="str">
        <f>LEFT(Table2[[#This Row],[Description]],75)</f>
        <v>Transfer to Discover Bank</v>
      </c>
    </row>
    <row r="12960" spans="1:15" hidden="1">
      <c r="A12960">
        <v>202502</v>
      </c>
      <c r="B12960" s="6">
        <v>45714</v>
      </c>
      <c r="C12960" t="s">
        <v>2519</v>
      </c>
      <c r="D12960" t="s">
        <v>4404</v>
      </c>
      <c r="E12960">
        <v>800</v>
      </c>
      <c r="F12960" t="str">
        <f>IF(Table2[[#This Row],[Manual Cat Value]]="",Table2[[#This Row],[Suggested Cat Value]],VLOOKUP(Table2[[#This Row],[Manual Cat Value]],Lookup!G:H,2,0))</f>
        <v>Delete</v>
      </c>
      <c r="G12960" t="s">
        <v>9</v>
      </c>
      <c r="I12960" s="8"/>
      <c r="O12960" t="str">
        <f>LEFT(Table2[[#This Row],[Description]],75)</f>
        <v>Transfer to Discover Bank</v>
      </c>
    </row>
    <row r="12961" spans="1:15" hidden="1">
      <c r="A12961">
        <v>202503</v>
      </c>
      <c r="B12961" s="6">
        <v>45742</v>
      </c>
      <c r="C12961" t="s">
        <v>2519</v>
      </c>
      <c r="D12961" t="s">
        <v>4404</v>
      </c>
      <c r="E12961">
        <v>800</v>
      </c>
      <c r="F12961" t="str">
        <f>IF(Table2[[#This Row],[Manual Cat Value]]="",Table2[[#This Row],[Suggested Cat Value]],VLOOKUP(Table2[[#This Row],[Manual Cat Value]],Lookup!G:H,2,0))</f>
        <v>Delete</v>
      </c>
      <c r="G12961" t="s">
        <v>9</v>
      </c>
      <c r="I12961" s="8"/>
      <c r="O12961" t="str">
        <f>LEFT(Table2[[#This Row],[Description]],75)</f>
        <v>Transfer to Discover Bank</v>
      </c>
    </row>
    <row r="12962" spans="1:15" hidden="1">
      <c r="A12962">
        <v>202504</v>
      </c>
      <c r="B12962" s="6">
        <v>45775</v>
      </c>
      <c r="C12962" t="s">
        <v>2519</v>
      </c>
      <c r="D12962" t="s">
        <v>4404</v>
      </c>
      <c r="E12962">
        <v>800</v>
      </c>
      <c r="F12962" t="str">
        <f>IF(Table2[[#This Row],[Manual Cat Value]]="",Table2[[#This Row],[Suggested Cat Value]],VLOOKUP(Table2[[#This Row],[Manual Cat Value]],Lookup!G:H,2,0))</f>
        <v>Delete</v>
      </c>
      <c r="G12962" t="s">
        <v>9</v>
      </c>
      <c r="I12962" s="8"/>
      <c r="O12962" t="str">
        <f>LEFT(Table2[[#This Row],[Description]],75)</f>
        <v>Transfer to Discover Bank</v>
      </c>
    </row>
    <row r="12963" spans="1:15" hidden="1">
      <c r="A12963">
        <v>202505</v>
      </c>
      <c r="B12963" s="6">
        <v>45804</v>
      </c>
      <c r="C12963" t="s">
        <v>2519</v>
      </c>
      <c r="D12963" t="s">
        <v>1464</v>
      </c>
      <c r="E12963">
        <v>800</v>
      </c>
      <c r="F12963" t="str">
        <f>IF(Table2[[#This Row],[Manual Cat Value]]="",Table2[[#This Row],[Suggested Cat Value]],VLOOKUP(Table2[[#This Row],[Manual Cat Value]],Lookup!G:H,2,0))</f>
        <v>Delete</v>
      </c>
      <c r="G12963" t="s">
        <v>9</v>
      </c>
      <c r="I12963" s="8"/>
      <c r="O12963" t="str">
        <f>LEFT(Table2[[#This Row],[Description]],75)</f>
        <v>Payment to Discover Bank</v>
      </c>
    </row>
    <row r="12964" spans="1:15" hidden="1">
      <c r="A12964">
        <v>202501</v>
      </c>
      <c r="B12964" s="6">
        <v>45662</v>
      </c>
      <c r="C12964" t="s">
        <v>130</v>
      </c>
      <c r="D12964" t="s">
        <v>6129</v>
      </c>
      <c r="E12964">
        <v>149</v>
      </c>
      <c r="F12964" t="str">
        <f>IF(Table2[[#This Row],[Manual Cat Value]]="",Table2[[#This Row],[Suggested Cat Value]],VLOOKUP(Table2[[#This Row],[Manual Cat Value]],Lookup!G:H,2,0))</f>
        <v>Day Care</v>
      </c>
      <c r="G12964" t="s">
        <v>9</v>
      </c>
      <c r="H12964" s="8" t="s">
        <v>19</v>
      </c>
      <c r="I12964" s="8"/>
      <c r="O12964" t="str">
        <f>LEFT(Table2[[#This Row],[Description]],75)</f>
        <v>YMCA ONLINE         MINNESOTA           MN</v>
      </c>
    </row>
    <row r="12965" spans="1:15" hidden="1">
      <c r="A12965">
        <v>202501</v>
      </c>
      <c r="B12965" s="6">
        <v>45688</v>
      </c>
      <c r="C12965" t="s">
        <v>2519</v>
      </c>
      <c r="D12965" t="s">
        <v>4293</v>
      </c>
      <c r="E12965">
        <v>767.27</v>
      </c>
      <c r="F12965" t="str">
        <f>IF(Table2[[#This Row],[Manual Cat Value]]="",Table2[[#This Row],[Suggested Cat Value]],VLOOKUP(Table2[[#This Row],[Manual Cat Value]],Lookup!G:H,2,0))</f>
        <v>Delete</v>
      </c>
      <c r="G12965" t="s">
        <v>9</v>
      </c>
      <c r="I12965" s="8"/>
      <c r="O12965" t="str">
        <f>LEFT(Table2[[#This Row],[Description]],75)</f>
        <v>Withdrawal Home Banking Pmt to card XX5913</v>
      </c>
    </row>
    <row r="12966" spans="1:15" hidden="1">
      <c r="A12966">
        <v>202501</v>
      </c>
      <c r="B12966" s="6">
        <v>45668</v>
      </c>
      <c r="C12966" t="s">
        <v>130</v>
      </c>
      <c r="D12966" t="s">
        <v>6130</v>
      </c>
      <c r="E12966">
        <v>722.39</v>
      </c>
      <c r="F12966" t="str">
        <f>IF(Table2[[#This Row],[Manual Cat Value]]="",Table2[[#This Row],[Suggested Cat Value]],VLOOKUP(Table2[[#This Row],[Manual Cat Value]],Lookup!G:H,2,0))</f>
        <v>Delete</v>
      </c>
      <c r="G12966" t="s">
        <v>43</v>
      </c>
      <c r="H12966" s="8" t="s">
        <v>9</v>
      </c>
      <c r="I12966" s="8"/>
      <c r="O12966" t="str">
        <f>LEFT(Table2[[#This Row],[Description]],75)</f>
        <v>RENAISSANCE BOSTON WBOSTON              MA</v>
      </c>
    </row>
    <row r="12967" spans="1:15" hidden="1">
      <c r="A12967">
        <v>202503</v>
      </c>
      <c r="B12967" s="6">
        <v>45745</v>
      </c>
      <c r="C12967" t="s">
        <v>130</v>
      </c>
      <c r="D12967" t="s">
        <v>5392</v>
      </c>
      <c r="E12967">
        <v>716.97</v>
      </c>
      <c r="F12967" t="str">
        <f>IF(Table2[[#This Row],[Manual Cat Value]]="",Table2[[#This Row],[Suggested Cat Value]],VLOOKUP(Table2[[#This Row],[Manual Cat Value]],Lookup!G:H,2,0))</f>
        <v>Delete</v>
      </c>
      <c r="G12967" t="s">
        <v>9</v>
      </c>
      <c r="I12967" s="8" t="s">
        <v>2242</v>
      </c>
      <c r="O12967" t="str">
        <f>LEFT(Table2[[#This Row],[Description]],75)</f>
        <v>DELTA AIR LINES</v>
      </c>
    </row>
    <row r="12968" spans="1:15" hidden="1">
      <c r="A12968">
        <v>202503</v>
      </c>
      <c r="B12968" s="6">
        <v>45726</v>
      </c>
      <c r="C12968" t="s">
        <v>130</v>
      </c>
      <c r="D12968" t="s">
        <v>5827</v>
      </c>
      <c r="E12968">
        <v>702.99</v>
      </c>
      <c r="F12968" t="str">
        <f>IF(Table2[[#This Row],[Manual Cat Value]]="",Table2[[#This Row],[Suggested Cat Value]],VLOOKUP(Table2[[#This Row],[Manual Cat Value]],Lookup!G:H,2,0))</f>
        <v>Delete</v>
      </c>
      <c r="G12968" t="s">
        <v>9</v>
      </c>
      <c r="I12968" s="8"/>
      <c r="O12968" t="str">
        <f>LEFT(Table2[[#This Row],[Description]],75)</f>
        <v>THE DEAN HOTEL IE000CORK                IR</v>
      </c>
    </row>
    <row r="12969" spans="1:15" hidden="1">
      <c r="A12969">
        <v>202502</v>
      </c>
      <c r="B12969" s="6">
        <v>45699</v>
      </c>
      <c r="C12969" t="s">
        <v>2519</v>
      </c>
      <c r="D12969" t="s">
        <v>1464</v>
      </c>
      <c r="E12969">
        <v>673.07</v>
      </c>
      <c r="F12969" t="str">
        <f>IF(Table2[[#This Row],[Manual Cat Value]]="",Table2[[#This Row],[Suggested Cat Value]],VLOOKUP(Table2[[#This Row],[Manual Cat Value]],Lookup!G:H,2,0))</f>
        <v>Delete</v>
      </c>
      <c r="G12969" t="s">
        <v>9</v>
      </c>
      <c r="I12969" s="8"/>
      <c r="O12969" t="str">
        <f>LEFT(Table2[[#This Row],[Description]],75)</f>
        <v>Payment to Discover Bank</v>
      </c>
    </row>
    <row r="12970" spans="1:15" hidden="1">
      <c r="A12970">
        <v>202501</v>
      </c>
      <c r="B12970" s="6">
        <v>45662</v>
      </c>
      <c r="C12970" t="s">
        <v>2519</v>
      </c>
      <c r="D12970" t="s">
        <v>6131</v>
      </c>
      <c r="E12970">
        <v>-1267.8</v>
      </c>
      <c r="F12970" t="str">
        <f>IF(Table2[[#This Row],[Manual Cat Value]]="",Table2[[#This Row],[Suggested Cat Value]],VLOOKUP(Table2[[#This Row],[Manual Cat Value]],Lookup!G:H,2,0))</f>
        <v>Jeff</v>
      </c>
      <c r="G12970" t="s">
        <v>20</v>
      </c>
      <c r="H12970" s="8" t="s">
        <v>63</v>
      </c>
      <c r="I12970" s="8"/>
      <c r="O12970" t="str">
        <f>LEFT(Table2[[#This Row],[Description]],75)</f>
        <v>Deposit ACH EMPYREAN SOLUTIO TYPE: ACH ID: XX3620 CO: EMPYREAN SOLUTIO Entr</v>
      </c>
    </row>
    <row r="12971" spans="1:15" hidden="1">
      <c r="A12971">
        <v>202501</v>
      </c>
      <c r="B12971" s="6">
        <v>45663</v>
      </c>
      <c r="C12971" t="s">
        <v>130</v>
      </c>
      <c r="D12971" t="s">
        <v>6132</v>
      </c>
      <c r="E12971">
        <v>635</v>
      </c>
      <c r="F12971" t="str">
        <f>IF(Table2[[#This Row],[Manual Cat Value]]="",Table2[[#This Row],[Suggested Cat Value]],VLOOKUP(Table2[[#This Row],[Manual Cat Value]],Lookup!G:H,2,0))</f>
        <v>Day Care</v>
      </c>
      <c r="G12971" t="s">
        <v>21</v>
      </c>
      <c r="H12971" s="8" t="s">
        <v>19</v>
      </c>
      <c r="I12971" s="8"/>
      <c r="O12971" t="str">
        <f>LEFT(Table2[[#This Row],[Description]],75)</f>
        <v>ACTIVEWORKS  CAMPS  DALLAS              TX</v>
      </c>
    </row>
    <row r="12972" spans="1:15" hidden="1">
      <c r="A12972">
        <v>202501</v>
      </c>
      <c r="B12972" s="6">
        <v>45663</v>
      </c>
      <c r="C12972" t="s">
        <v>2519</v>
      </c>
      <c r="D12972" t="s">
        <v>6133</v>
      </c>
      <c r="E12972">
        <v>250</v>
      </c>
      <c r="F12972" t="str">
        <f>IF(Table2[[#This Row],[Manual Cat Value]]="",Table2[[#This Row],[Suggested Cat Value]],VLOOKUP(Table2[[#This Row],[Manual Cat Value]],Lookup!G:H,2,0))</f>
        <v>Day Care</v>
      </c>
      <c r="G12972" t="s">
        <v>20</v>
      </c>
      <c r="I12972" s="8"/>
      <c r="O12972" t="str">
        <f>LEFT(Table2[[#This Row],[Description]],75)</f>
        <v>Withdrawal ACH mtkalax.org TYPE: mtkalax.or ID: XX8598 CO: mtkalax.org NAME</v>
      </c>
    </row>
    <row r="12973" spans="1:15" hidden="1">
      <c r="A12973">
        <v>202501</v>
      </c>
      <c r="B12973" s="6">
        <v>45663</v>
      </c>
      <c r="C12973" t="s">
        <v>2519</v>
      </c>
      <c r="D12973" t="s">
        <v>6134</v>
      </c>
      <c r="E12973">
        <v>150</v>
      </c>
      <c r="F12973" t="str">
        <f>IF(Table2[[#This Row],[Manual Cat Value]]="",Table2[[#This Row],[Suggested Cat Value]],VLOOKUP(Table2[[#This Row],[Manual Cat Value]],Lookup!G:H,2,0))</f>
        <v>Day Care</v>
      </c>
      <c r="G12973" t="s">
        <v>20</v>
      </c>
      <c r="I12973" s="8"/>
      <c r="O12973" t="str">
        <f>LEFT(Table2[[#This Row],[Description]],75)</f>
        <v>Withdrawal ACH mtkalax.org TYPE: mtkalax.or ID: XX5600 CO: mtkalax.org NAME</v>
      </c>
    </row>
    <row r="12974" spans="1:15" hidden="1">
      <c r="A12974">
        <v>202501</v>
      </c>
      <c r="B12974" s="6">
        <v>45663</v>
      </c>
      <c r="C12974" t="s">
        <v>2519</v>
      </c>
      <c r="D12974" t="s">
        <v>6135</v>
      </c>
      <c r="E12974">
        <v>100</v>
      </c>
      <c r="F12974" t="str">
        <f>IF(Table2[[#This Row],[Manual Cat Value]]="",Table2[[#This Row],[Suggested Cat Value]],VLOOKUP(Table2[[#This Row],[Manual Cat Value]],Lookup!G:H,2,0))</f>
        <v>Day Care</v>
      </c>
      <c r="G12974" t="s">
        <v>20</v>
      </c>
      <c r="I12974" s="8"/>
      <c r="O12974" t="str">
        <f>LEFT(Table2[[#This Row],[Description]],75)</f>
        <v>Withdrawal ACH mtkalax.org TYPE: mtkalax.or ID: XX5600 CO: mtkalax.org NAME</v>
      </c>
    </row>
    <row r="12975" spans="1:15" hidden="1">
      <c r="A12975">
        <v>202501</v>
      </c>
      <c r="B12975" s="6">
        <v>45664</v>
      </c>
      <c r="C12975" t="s">
        <v>2519</v>
      </c>
      <c r="D12975" t="s">
        <v>6136</v>
      </c>
      <c r="E12975">
        <v>380</v>
      </c>
      <c r="F12975" t="str">
        <f>IF(Table2[[#This Row],[Manual Cat Value]]="",Table2[[#This Row],[Suggested Cat Value]],VLOOKUP(Table2[[#This Row],[Manual Cat Value]],Lookup!G:H,2,0))</f>
        <v>Day Care</v>
      </c>
      <c r="G12975" t="s">
        <v>20</v>
      </c>
      <c r="I12975" s="8"/>
      <c r="O12975" t="str">
        <f>LEFT(Table2[[#This Row],[Description]],75)</f>
        <v>Withdrawal ACH Mis Amigos Presc TYPE: ID: XX7393 NAME: BCU CO: Mis Amigos P</v>
      </c>
    </row>
    <row r="12976" spans="1:15" hidden="1">
      <c r="A12976">
        <v>202501</v>
      </c>
      <c r="B12976" s="6">
        <v>45671</v>
      </c>
      <c r="C12976" t="s">
        <v>130</v>
      </c>
      <c r="D12976" t="s">
        <v>6132</v>
      </c>
      <c r="E12976">
        <v>770</v>
      </c>
      <c r="F12976" t="str">
        <f>IF(Table2[[#This Row],[Manual Cat Value]]="",Table2[[#This Row],[Suggested Cat Value]],VLOOKUP(Table2[[#This Row],[Manual Cat Value]],Lookup!G:H,2,0))</f>
        <v>Day Care</v>
      </c>
      <c r="G12976" t="s">
        <v>21</v>
      </c>
      <c r="H12976" s="8" t="s">
        <v>19</v>
      </c>
      <c r="I12976" s="8"/>
      <c r="O12976" t="str">
        <f>LEFT(Table2[[#This Row],[Description]],75)</f>
        <v>ACTIVEWORKS  CAMPS  DALLAS              TX</v>
      </c>
    </row>
    <row r="12977" spans="1:15" hidden="1">
      <c r="A12977">
        <v>202501</v>
      </c>
      <c r="B12977" s="6">
        <v>45671</v>
      </c>
      <c r="C12977" t="s">
        <v>130</v>
      </c>
      <c r="D12977" t="s">
        <v>6137</v>
      </c>
      <c r="E12977">
        <v>428.4</v>
      </c>
      <c r="F12977" t="str">
        <f>IF(Table2[[#This Row],[Manual Cat Value]]="",Table2[[#This Row],[Suggested Cat Value]],VLOOKUP(Table2[[#This Row],[Manual Cat Value]],Lookup!G:H,2,0))</f>
        <v>Day Care</v>
      </c>
      <c r="G12977" t="s">
        <v>20</v>
      </c>
      <c r="I12977" s="8"/>
      <c r="O12977" t="str">
        <f>LEFT(Table2[[#This Row],[Description]],75)</f>
        <v>LA SENDA SPANISH    MINNETONKA          MN</v>
      </c>
    </row>
    <row r="12978" spans="1:15" hidden="1">
      <c r="A12978">
        <v>202501</v>
      </c>
      <c r="B12978" s="6">
        <v>45671</v>
      </c>
      <c r="C12978" t="s">
        <v>2519</v>
      </c>
      <c r="D12978" t="s">
        <v>6138</v>
      </c>
      <c r="E12978">
        <v>380</v>
      </c>
      <c r="F12978" t="str">
        <f>IF(Table2[[#This Row],[Manual Cat Value]]="",Table2[[#This Row],[Suggested Cat Value]],VLOOKUP(Table2[[#This Row],[Manual Cat Value]],Lookup!G:H,2,0))</f>
        <v>Day Care</v>
      </c>
      <c r="G12978" t="s">
        <v>20</v>
      </c>
      <c r="I12978" s="8"/>
      <c r="O12978" t="str">
        <f>LEFT(Table2[[#This Row],[Description]],75)</f>
        <v>Withdrawal ACH Mis Amigos Presc TYPE: ID: XX7393 NAME: BCU CO: Mis Amigos P</v>
      </c>
    </row>
    <row r="12979" spans="1:15" hidden="1">
      <c r="A12979">
        <v>202501</v>
      </c>
      <c r="B12979" s="6">
        <v>45671</v>
      </c>
      <c r="C12979" t="s">
        <v>2258</v>
      </c>
      <c r="D12979" t="s">
        <v>6139</v>
      </c>
      <c r="E12979">
        <v>52.5</v>
      </c>
      <c r="F12979" t="str">
        <f>IF(Table2[[#This Row],[Manual Cat Value]]="",Table2[[#This Row],[Suggested Cat Value]],VLOOKUP(Table2[[#This Row],[Manual Cat Value]],Lookup!G:H,2,0))</f>
        <v>Day Care</v>
      </c>
      <c r="G12979" t="s">
        <v>20</v>
      </c>
      <c r="I12979" s="8"/>
      <c r="O12979" t="str">
        <f>LEFT(Table2[[#This Row],[Description]],75)</f>
        <v>TONKA TD CLUB 8883791035 MN</v>
      </c>
    </row>
    <row r="12980" spans="1:15" hidden="1">
      <c r="A12980">
        <v>202503</v>
      </c>
      <c r="B12980" s="6">
        <v>45726</v>
      </c>
      <c r="C12980" t="s">
        <v>3938</v>
      </c>
      <c r="D12980" t="s">
        <v>6140</v>
      </c>
      <c r="E12980">
        <v>643.13</v>
      </c>
      <c r="F12980" t="str">
        <f>IF(Table2[[#This Row],[Manual Cat Value]]="",Table2[[#This Row],[Suggested Cat Value]],VLOOKUP(Table2[[#This Row],[Manual Cat Value]],Lookup!G:H,2,0))</f>
        <v>Travel</v>
      </c>
      <c r="G12980" t="s">
        <v>26</v>
      </c>
      <c r="H12980" s="8" t="s">
        <v>52</v>
      </c>
      <c r="I12980" s="8"/>
      <c r="O12980" t="str">
        <f>LEFT(Table2[[#This Row],[Description]],75)</f>
        <v>MYSTIQUE CAR RENTAL AND TPROVIDENCIALETC REF #XX0226SK4</v>
      </c>
    </row>
    <row r="12981" spans="1:15" hidden="1">
      <c r="A12981">
        <v>202501</v>
      </c>
      <c r="B12981" s="6">
        <v>45674</v>
      </c>
      <c r="C12981" t="s">
        <v>2519</v>
      </c>
      <c r="D12981" t="s">
        <v>6141</v>
      </c>
      <c r="E12981">
        <v>21</v>
      </c>
      <c r="F12981" t="str">
        <f>IF(Table2[[#This Row],[Manual Cat Value]]="",Table2[[#This Row],[Suggested Cat Value]],VLOOKUP(Table2[[#This Row],[Manual Cat Value]],Lookup!G:H,2,0))</f>
        <v>Day Care</v>
      </c>
      <c r="G12981" t="s">
        <v>20</v>
      </c>
      <c r="I12981" s="8"/>
      <c r="O12981" t="str">
        <f>LEFT(Table2[[#This Row],[Description]],75)</f>
        <v>Withdrawal ACH HICKEYBANDO CO: HICKEYBANDO TYPE: IAT PAYPAL ID: 7XX0487C En</v>
      </c>
    </row>
    <row r="12982" spans="1:15" hidden="1">
      <c r="A12982">
        <v>202505</v>
      </c>
      <c r="B12982" s="6">
        <v>45780</v>
      </c>
      <c r="C12982" t="s">
        <v>130</v>
      </c>
      <c r="D12982" t="s">
        <v>5820</v>
      </c>
      <c r="E12982">
        <v>538.69000000000005</v>
      </c>
      <c r="F12982" t="str">
        <f>IF(Table2[[#This Row],[Manual Cat Value]]="",Table2[[#This Row],[Suggested Cat Value]],VLOOKUP(Table2[[#This Row],[Manual Cat Value]],Lookup!G:H,2,0))</f>
        <v>Travel</v>
      </c>
      <c r="G12982" t="s">
        <v>26</v>
      </c>
      <c r="H12982" s="8" t="s">
        <v>52</v>
      </c>
      <c r="I12982" s="8"/>
      <c r="O12982" t="str">
        <f>LEFT(Table2[[#This Row],[Description]],75)</f>
        <v>INN ON LAKE SUPERIORDULUTH              MN</v>
      </c>
    </row>
    <row r="12983" spans="1:15" hidden="1">
      <c r="A12983">
        <v>202504</v>
      </c>
      <c r="B12983" s="6">
        <v>45756</v>
      </c>
      <c r="C12983" t="s">
        <v>2519</v>
      </c>
      <c r="D12983" t="s">
        <v>1464</v>
      </c>
      <c r="E12983">
        <v>525.80999999999995</v>
      </c>
      <c r="F12983" t="str">
        <f>IF(Table2[[#This Row],[Manual Cat Value]]="",Table2[[#This Row],[Suggested Cat Value]],VLOOKUP(Table2[[#This Row],[Manual Cat Value]],Lookup!G:H,2,0))</f>
        <v>Delete</v>
      </c>
      <c r="G12983" t="s">
        <v>9</v>
      </c>
      <c r="I12983" s="8"/>
      <c r="O12983" t="str">
        <f>LEFT(Table2[[#This Row],[Description]],75)</f>
        <v>Payment to Discover Bank</v>
      </c>
    </row>
    <row r="12984" spans="1:15" hidden="1">
      <c r="A12984">
        <v>202504</v>
      </c>
      <c r="B12984" s="6">
        <v>45771</v>
      </c>
      <c r="C12984" t="s">
        <v>2519</v>
      </c>
      <c r="D12984" t="s">
        <v>1464</v>
      </c>
      <c r="E12984">
        <v>517.17999999999995</v>
      </c>
      <c r="F12984" t="str">
        <f>IF(Table2[[#This Row],[Manual Cat Value]]="",Table2[[#This Row],[Suggested Cat Value]],VLOOKUP(Table2[[#This Row],[Manual Cat Value]],Lookup!G:H,2,0))</f>
        <v>Delete</v>
      </c>
      <c r="G12984" t="s">
        <v>9</v>
      </c>
      <c r="I12984" s="8"/>
      <c r="O12984" t="str">
        <f>LEFT(Table2[[#This Row],[Description]],75)</f>
        <v>Payment to Discover Bank</v>
      </c>
    </row>
    <row r="12985" spans="1:15" hidden="1">
      <c r="A12985">
        <v>202505</v>
      </c>
      <c r="B12985" s="6">
        <v>45805</v>
      </c>
      <c r="C12985" t="s">
        <v>130</v>
      </c>
      <c r="D12985" t="s">
        <v>6142</v>
      </c>
      <c r="E12985">
        <v>495.7</v>
      </c>
      <c r="F12985" t="str">
        <f>IF(Table2[[#This Row],[Manual Cat Value]]="",Table2[[#This Row],[Suggested Cat Value]],VLOOKUP(Table2[[#This Row],[Manual Cat Value]],Lookup!G:H,2,0))</f>
        <v>Transportation</v>
      </c>
      <c r="G12985" t="s">
        <v>23</v>
      </c>
      <c r="I12985" s="8"/>
      <c r="O12985" t="str">
        <f>LEFT(Table2[[#This Row],[Description]],75)</f>
        <v>WALSER TOYOTA       BLOOMINGTON         MN</v>
      </c>
    </row>
    <row r="12986" spans="1:15" hidden="1">
      <c r="A12986">
        <v>202503</v>
      </c>
      <c r="B12986" s="6">
        <v>45717</v>
      </c>
      <c r="C12986" t="s">
        <v>130</v>
      </c>
      <c r="D12986" t="s">
        <v>6143</v>
      </c>
      <c r="E12986">
        <v>492.84</v>
      </c>
      <c r="F12986" t="str">
        <f>IF(Table2[[#This Row],[Manual Cat Value]]="",Table2[[#This Row],[Suggested Cat Value]],VLOOKUP(Table2[[#This Row],[Manual Cat Value]],Lookup!G:H,2,0))</f>
        <v>Shopping</v>
      </c>
      <c r="G12986" t="s">
        <v>21</v>
      </c>
      <c r="I12986" s="8"/>
      <c r="O12986" t="str">
        <f>LEFT(Table2[[#This Row],[Description]],75)</f>
        <v>GRACEWAY SMART      PROVIDENCIALES</v>
      </c>
    </row>
    <row r="12987" spans="1:15" hidden="1">
      <c r="A12987">
        <v>202502</v>
      </c>
      <c r="B12987" s="6">
        <v>45702</v>
      </c>
      <c r="C12987" t="s">
        <v>2519</v>
      </c>
      <c r="D12987" t="s">
        <v>6144</v>
      </c>
      <c r="E12987">
        <v>485.17</v>
      </c>
      <c r="F12987" t="str">
        <f>IF(Table2[[#This Row],[Manual Cat Value]]="",Table2[[#This Row],[Suggested Cat Value]],VLOOKUP(Table2[[#This Row],[Manual Cat Value]],Lookup!G:H,2,0))</f>
        <v>Utilities</v>
      </c>
      <c r="G12987" t="s">
        <v>20</v>
      </c>
      <c r="H12987" s="8" t="s">
        <v>6</v>
      </c>
      <c r="I12987" s="8"/>
      <c r="O12987" t="str">
        <f>LEFT(Table2[[#This Row],[Description]],75)</f>
        <v>Withdrawal ACH CPENERGY MNGCO TYPE: MGC ACH EB ID: 1XX1140S CO: CPENERGY MN</v>
      </c>
    </row>
    <row r="12988" spans="1:15" hidden="1">
      <c r="A12988">
        <v>202504</v>
      </c>
      <c r="B12988" s="6">
        <v>45772</v>
      </c>
      <c r="C12988" t="s">
        <v>2519</v>
      </c>
      <c r="D12988" t="s">
        <v>1466</v>
      </c>
      <c r="E12988">
        <v>482.51</v>
      </c>
      <c r="F12988" t="str">
        <f>IF(Table2[[#This Row],[Manual Cat Value]]="",Table2[[#This Row],[Suggested Cat Value]],VLOOKUP(Table2[[#This Row],[Manual Cat Value]],Lookup!G:H,2,0))</f>
        <v>Target</v>
      </c>
      <c r="G12988" t="s">
        <v>9</v>
      </c>
      <c r="H12988" s="8" t="s">
        <v>30</v>
      </c>
      <c r="I12988" s="8"/>
      <c r="O12988" t="str">
        <f>LEFT(Table2[[#This Row],[Description]],75)</f>
        <v>Payment to Target</v>
      </c>
    </row>
    <row r="12989" spans="1:15" hidden="1">
      <c r="A12989">
        <v>202503</v>
      </c>
      <c r="B12989" s="6">
        <v>45735</v>
      </c>
      <c r="C12989" t="s">
        <v>130</v>
      </c>
      <c r="D12989" t="s">
        <v>6145</v>
      </c>
      <c r="E12989">
        <v>480</v>
      </c>
      <c r="F12989" t="str">
        <f>IF(Table2[[#This Row],[Manual Cat Value]]="",Table2[[#This Row],[Suggested Cat Value]],VLOOKUP(Table2[[#This Row],[Manual Cat Value]],Lookup!G:H,2,0))</f>
        <v>Entertainment</v>
      </c>
      <c r="G12989" t="s">
        <v>26</v>
      </c>
      <c r="H12989" s="8" t="s">
        <v>39</v>
      </c>
      <c r="I12989" s="8"/>
      <c r="O12989" t="str">
        <f>LEFT(Table2[[#This Row],[Description]],75)</f>
        <v>ORDWAY CENTER FOR THSAINT PAUL          MN</v>
      </c>
    </row>
    <row r="12990" spans="1:15" hidden="1">
      <c r="A12990">
        <v>202504</v>
      </c>
      <c r="B12990" s="6">
        <v>45761</v>
      </c>
      <c r="C12990" t="s">
        <v>2519</v>
      </c>
      <c r="D12990" t="s">
        <v>6146</v>
      </c>
      <c r="E12990">
        <v>459</v>
      </c>
      <c r="F12990" t="str">
        <f>IF(Table2[[#This Row],[Manual Cat Value]]="",Table2[[#This Row],[Suggested Cat Value]],VLOOKUP(Table2[[#This Row],[Manual Cat Value]],Lookup!G:H,2,0))</f>
        <v>House</v>
      </c>
      <c r="G12990" t="s">
        <v>9</v>
      </c>
      <c r="H12990" s="8" t="s">
        <v>49</v>
      </c>
      <c r="I12990" s="8" t="s">
        <v>6113</v>
      </c>
      <c r="O12990" t="str">
        <f>LEFT(Table2[[#This Row],[Description]],75)</f>
        <v>Draft 2310 Tracer XX1368</v>
      </c>
    </row>
    <row r="12991" spans="1:15" hidden="1">
      <c r="A12991">
        <v>202501</v>
      </c>
      <c r="B12991" s="6">
        <v>45662</v>
      </c>
      <c r="C12991" t="s">
        <v>130</v>
      </c>
      <c r="D12991" t="s">
        <v>6147</v>
      </c>
      <c r="E12991">
        <v>435.58</v>
      </c>
      <c r="F12991" t="str">
        <f>IF(Table2[[#This Row],[Manual Cat Value]]="",Table2[[#This Row],[Suggested Cat Value]],VLOOKUP(Table2[[#This Row],[Manual Cat Value]],Lookup!G:H,2,0))</f>
        <v>Shopping</v>
      </c>
      <c r="G12991" t="s">
        <v>21</v>
      </c>
      <c r="I12991" s="8"/>
      <c r="O12991" t="str">
        <f>LEFT(Table2[[#This Row],[Description]],75)</f>
        <v>SP WESTONBACKCOUNTRYMINTURN             CO</v>
      </c>
    </row>
    <row r="12992" spans="1:15" hidden="1">
      <c r="A12992">
        <v>202502</v>
      </c>
      <c r="B12992" s="6">
        <v>45698</v>
      </c>
      <c r="C12992" t="s">
        <v>2519</v>
      </c>
      <c r="D12992" t="s">
        <v>4293</v>
      </c>
      <c r="E12992">
        <v>435.4</v>
      </c>
      <c r="F12992" t="str">
        <f>IF(Table2[[#This Row],[Manual Cat Value]]="",Table2[[#This Row],[Suggested Cat Value]],VLOOKUP(Table2[[#This Row],[Manual Cat Value]],Lookup!G:H,2,0))</f>
        <v>Delete</v>
      </c>
      <c r="G12992" t="s">
        <v>9</v>
      </c>
      <c r="I12992" s="8"/>
      <c r="O12992" t="str">
        <f>LEFT(Table2[[#This Row],[Description]],75)</f>
        <v>Withdrawal Home Banking Pmt to card XX5913</v>
      </c>
    </row>
    <row r="12993" spans="1:15" hidden="1">
      <c r="A12993">
        <v>202505</v>
      </c>
      <c r="B12993" s="6">
        <v>45796</v>
      </c>
      <c r="C12993" t="s">
        <v>3938</v>
      </c>
      <c r="D12993" t="s">
        <v>648</v>
      </c>
      <c r="E12993">
        <v>430.91</v>
      </c>
      <c r="F12993" t="str">
        <f>IF(Table2[[#This Row],[Manual Cat Value]]="",Table2[[#This Row],[Suggested Cat Value]],VLOOKUP(Table2[[#This Row],[Manual Cat Value]],Lookup!G:H,2,0))</f>
        <v>Groceries</v>
      </c>
      <c r="G12993" t="s">
        <v>28</v>
      </c>
      <c r="I12993" s="8"/>
      <c r="O12993" t="str">
        <f>LEFT(Table2[[#This Row],[Description]],75)</f>
        <v>Costco</v>
      </c>
    </row>
    <row r="12994" spans="1:15" hidden="1">
      <c r="A12994">
        <v>202501</v>
      </c>
      <c r="B12994" s="6">
        <v>45675</v>
      </c>
      <c r="C12994" t="s">
        <v>130</v>
      </c>
      <c r="D12994" t="s">
        <v>6148</v>
      </c>
      <c r="E12994">
        <v>29.22</v>
      </c>
      <c r="F12994" t="str">
        <f>IF(Table2[[#This Row],[Manual Cat Value]]="",Table2[[#This Row],[Suggested Cat Value]],VLOOKUP(Table2[[#This Row],[Manual Cat Value]],Lookup!G:H,2,0))</f>
        <v>Day Care</v>
      </c>
      <c r="G12994" t="s">
        <v>20</v>
      </c>
      <c r="I12994" s="8"/>
      <c r="O12994" t="str">
        <f>LEFT(Table2[[#This Row],[Description]],75)</f>
        <v>MCW 1602-Minnetonka MINNETONKA          MN</v>
      </c>
    </row>
    <row r="12995" spans="1:15" hidden="1">
      <c r="A12995">
        <v>202501</v>
      </c>
      <c r="B12995" s="6">
        <v>45678</v>
      </c>
      <c r="C12995" t="s">
        <v>2519</v>
      </c>
      <c r="D12995" t="s">
        <v>6149</v>
      </c>
      <c r="E12995">
        <v>650</v>
      </c>
      <c r="F12995" t="str">
        <f>IF(Table2[[#This Row],[Manual Cat Value]]="",Table2[[#This Row],[Suggested Cat Value]],VLOOKUP(Table2[[#This Row],[Manual Cat Value]],Lookup!G:H,2,0))</f>
        <v>College Savings</v>
      </c>
      <c r="G12995" t="s">
        <v>20</v>
      </c>
      <c r="H12995" s="8" t="s">
        <v>60</v>
      </c>
      <c r="I12995" s="8"/>
      <c r="O12995" t="str">
        <f>LEFT(Table2[[#This Row],[Description]],75)</f>
        <v>Withdrawal ACH MN DIR ACH TYPE: CONTRIB ID: XX7162 CO: MN DIR ACH NAME: XX2</v>
      </c>
    </row>
    <row r="12996" spans="1:15" hidden="1">
      <c r="A12996">
        <v>202503</v>
      </c>
      <c r="B12996" s="6">
        <v>45734</v>
      </c>
      <c r="C12996" t="s">
        <v>3938</v>
      </c>
      <c r="D12996" t="s">
        <v>4920</v>
      </c>
      <c r="E12996">
        <v>424.5</v>
      </c>
      <c r="F12996" t="str">
        <f>IF(Table2[[#This Row],[Manual Cat Value]]="",Table2[[#This Row],[Suggested Cat Value]],VLOOKUP(Table2[[#This Row],[Manual Cat Value]],Lookup!G:H,2,0))</f>
        <v>Shopping</v>
      </c>
      <c r="G12996" t="s">
        <v>21</v>
      </c>
      <c r="I12996" s="8"/>
      <c r="O12996" t="str">
        <f>LEFT(Table2[[#This Row],[Description]],75)</f>
        <v>Vuori Clothing</v>
      </c>
    </row>
    <row r="12997" spans="1:15" hidden="1">
      <c r="A12997">
        <v>202501</v>
      </c>
      <c r="B12997" s="6">
        <v>45678</v>
      </c>
      <c r="C12997" t="s">
        <v>2519</v>
      </c>
      <c r="D12997" t="s">
        <v>6150</v>
      </c>
      <c r="E12997">
        <v>400</v>
      </c>
      <c r="F12997" t="str">
        <f>IF(Table2[[#This Row],[Manual Cat Value]]="",Table2[[#This Row],[Suggested Cat Value]],VLOOKUP(Table2[[#This Row],[Manual Cat Value]],Lookup!G:H,2,0))</f>
        <v>Day Care</v>
      </c>
      <c r="G12997" t="s">
        <v>20</v>
      </c>
      <c r="I12997" s="8"/>
      <c r="O12997" t="str">
        <f>LEFT(Table2[[#This Row],[Description]],75)</f>
        <v>Withdrawal ACH Mis Amigos Presc TYPE: ID: XX7393 NAME: BCU CO: Mis Amigos P</v>
      </c>
    </row>
    <row r="12998" spans="1:15" hidden="1">
      <c r="A12998">
        <v>202501</v>
      </c>
      <c r="B12998" s="6">
        <v>45678</v>
      </c>
      <c r="C12998" t="s">
        <v>2519</v>
      </c>
      <c r="D12998" t="s">
        <v>6151</v>
      </c>
      <c r="E12998">
        <v>75.8</v>
      </c>
      <c r="F12998" t="str">
        <f>IF(Table2[[#This Row],[Manual Cat Value]]="",Table2[[#This Row],[Suggested Cat Value]],VLOOKUP(Table2[[#This Row],[Manual Cat Value]],Lookup!G:H,2,0))</f>
        <v>Day Care</v>
      </c>
      <c r="G12998" t="s">
        <v>20</v>
      </c>
      <c r="I12998" s="8"/>
      <c r="O12998" t="str">
        <f>LEFT(Table2[[#This Row],[Description]],75)</f>
        <v>Withdrawal ACH CITY OF CHANHASS TYPE: UTIL BILL ID: XX5331 CO: CITY OF CHAN</v>
      </c>
    </row>
    <row r="12999" spans="1:15" hidden="1">
      <c r="A12999">
        <v>202501</v>
      </c>
      <c r="B12999" s="6">
        <v>45678</v>
      </c>
      <c r="C12999" t="s">
        <v>130</v>
      </c>
      <c r="D12999" t="s">
        <v>5890</v>
      </c>
      <c r="E12999">
        <v>-19.8</v>
      </c>
      <c r="F12999" t="str">
        <f>IF(Table2[[#This Row],[Manual Cat Value]]="",Table2[[#This Row],[Suggested Cat Value]],VLOOKUP(Table2[[#This Row],[Manual Cat Value]],Lookup!G:H,2,0))</f>
        <v>Day Care</v>
      </c>
      <c r="G12999" t="s">
        <v>20</v>
      </c>
      <c r="I12999" s="8"/>
      <c r="O12999" t="str">
        <f>LEFT(Table2[[#This Row],[Description]],75)</f>
        <v>BCS*MINNETONKA COMMUEXCELSIOR           MN</v>
      </c>
    </row>
    <row r="13000" spans="1:15" hidden="1">
      <c r="A13000">
        <v>202501</v>
      </c>
      <c r="B13000" s="6">
        <v>45685</v>
      </c>
      <c r="C13000" t="s">
        <v>2519</v>
      </c>
      <c r="D13000" t="s">
        <v>6152</v>
      </c>
      <c r="E13000">
        <v>400</v>
      </c>
      <c r="F13000" t="str">
        <f>IF(Table2[[#This Row],[Manual Cat Value]]="",Table2[[#This Row],[Suggested Cat Value]],VLOOKUP(Table2[[#This Row],[Manual Cat Value]],Lookup!G:H,2,0))</f>
        <v>Day Care</v>
      </c>
      <c r="G13000" t="s">
        <v>20</v>
      </c>
      <c r="I13000" s="8"/>
      <c r="O13000" t="str">
        <f>LEFT(Table2[[#This Row],[Description]],75)</f>
        <v>Withdrawal ACH Mis Amigos Presc TYPE: ID: XX7393 NAME: BCU CO: Mis Amigos P</v>
      </c>
    </row>
    <row r="13001" spans="1:15" hidden="1">
      <c r="A13001">
        <v>202501</v>
      </c>
      <c r="B13001" s="6">
        <v>45687</v>
      </c>
      <c r="C13001" t="s">
        <v>2519</v>
      </c>
      <c r="D13001" t="s">
        <v>6153</v>
      </c>
      <c r="E13001">
        <v>-861.55</v>
      </c>
      <c r="F13001" t="str">
        <f>IF(Table2[[#This Row],[Manual Cat Value]]="",Table2[[#This Row],[Suggested Cat Value]],VLOOKUP(Table2[[#This Row],[Manual Cat Value]],Lookup!G:H,2,0))</f>
        <v>Jeff</v>
      </c>
      <c r="G13001" t="s">
        <v>20</v>
      </c>
      <c r="H13001" s="8" t="s">
        <v>63</v>
      </c>
      <c r="I13001" s="8"/>
      <c r="O13001" t="str">
        <f>LEFT(Table2[[#This Row],[Description]],75)</f>
        <v>Deposit ACH EMPYREAN SOLUTIO TYPE: ACH ID: XX3620 CO: EMPYREAN SOLUTIO Entr</v>
      </c>
    </row>
    <row r="13002" spans="1:15" hidden="1">
      <c r="A13002">
        <v>202502</v>
      </c>
      <c r="B13002" s="6">
        <v>45691</v>
      </c>
      <c r="C13002" t="s">
        <v>2519</v>
      </c>
      <c r="D13002" t="s">
        <v>6154</v>
      </c>
      <c r="E13002">
        <v>650</v>
      </c>
      <c r="F13002" t="str">
        <f>IF(Table2[[#This Row],[Manual Cat Value]]="",Table2[[#This Row],[Suggested Cat Value]],VLOOKUP(Table2[[#This Row],[Manual Cat Value]],Lookup!G:H,2,0))</f>
        <v>College Savings</v>
      </c>
      <c r="G13002" t="s">
        <v>20</v>
      </c>
      <c r="H13002" s="8" t="s">
        <v>60</v>
      </c>
      <c r="I13002" s="8"/>
      <c r="O13002" t="str">
        <f>LEFT(Table2[[#This Row],[Description]],75)</f>
        <v>Withdrawal ACH ILD529 DIR ACH TYPE: CONTRIB ID: XX2584 CO: ILD529 DIR ACH E</v>
      </c>
    </row>
    <row r="13003" spans="1:15" hidden="1">
      <c r="A13003">
        <v>202502</v>
      </c>
      <c r="B13003" s="6">
        <v>45692</v>
      </c>
      <c r="C13003" t="s">
        <v>2519</v>
      </c>
      <c r="D13003" t="s">
        <v>6155</v>
      </c>
      <c r="E13003">
        <v>400</v>
      </c>
      <c r="F13003" t="str">
        <f>IF(Table2[[#This Row],[Manual Cat Value]]="",Table2[[#This Row],[Suggested Cat Value]],VLOOKUP(Table2[[#This Row],[Manual Cat Value]],Lookup!G:H,2,0))</f>
        <v>Day Care</v>
      </c>
      <c r="G13003" t="s">
        <v>20</v>
      </c>
      <c r="I13003" s="8"/>
      <c r="O13003" t="str">
        <f>LEFT(Table2[[#This Row],[Description]],75)</f>
        <v>Withdrawal ACH Mis Amigos Presc TYPE: ID: XX7393 NAME: BCU CO: Mis Amigos P</v>
      </c>
    </row>
    <row r="13004" spans="1:15" hidden="1">
      <c r="A13004">
        <v>202502</v>
      </c>
      <c r="B13004" s="6">
        <v>45699</v>
      </c>
      <c r="C13004" t="s">
        <v>130</v>
      </c>
      <c r="D13004" t="s">
        <v>5890</v>
      </c>
      <c r="E13004">
        <v>866</v>
      </c>
      <c r="F13004" t="str">
        <f>IF(Table2[[#This Row],[Manual Cat Value]]="",Table2[[#This Row],[Suggested Cat Value]],VLOOKUP(Table2[[#This Row],[Manual Cat Value]],Lookup!G:H,2,0))</f>
        <v>Day Care</v>
      </c>
      <c r="G13004" t="s">
        <v>20</v>
      </c>
      <c r="I13004" s="8"/>
      <c r="O13004" t="str">
        <f>LEFT(Table2[[#This Row],[Description]],75)</f>
        <v>BCS*MINNETONKA COMMUEXCELSIOR           MN</v>
      </c>
    </row>
    <row r="13005" spans="1:15" hidden="1">
      <c r="A13005">
        <v>202502</v>
      </c>
      <c r="B13005" s="6">
        <v>45699</v>
      </c>
      <c r="C13005" t="s">
        <v>2519</v>
      </c>
      <c r="D13005" t="s">
        <v>6156</v>
      </c>
      <c r="E13005">
        <v>400</v>
      </c>
      <c r="F13005" t="str">
        <f>IF(Table2[[#This Row],[Manual Cat Value]]="",Table2[[#This Row],[Suggested Cat Value]],VLOOKUP(Table2[[#This Row],[Manual Cat Value]],Lookup!G:H,2,0))</f>
        <v>Day Care</v>
      </c>
      <c r="G13005" t="s">
        <v>20</v>
      </c>
      <c r="I13005" s="8"/>
      <c r="O13005" t="str">
        <f>LEFT(Table2[[#This Row],[Description]],75)</f>
        <v>Withdrawal ACH Mis Amigos Presc TYPE: ID: XX7393 NAME: BCU CO: Mis Amigos P</v>
      </c>
    </row>
    <row r="13006" spans="1:15" hidden="1">
      <c r="A13006">
        <v>202502</v>
      </c>
      <c r="B13006" s="6">
        <v>45699</v>
      </c>
      <c r="C13006" t="s">
        <v>2519</v>
      </c>
      <c r="D13006" t="s">
        <v>6157</v>
      </c>
      <c r="E13006">
        <v>100</v>
      </c>
      <c r="F13006" t="str">
        <f>IF(Table2[[#This Row],[Manual Cat Value]]="",Table2[[#This Row],[Suggested Cat Value]],VLOOKUP(Table2[[#This Row],[Manual Cat Value]],Lookup!G:H,2,0))</f>
        <v>Day Care</v>
      </c>
      <c r="G13006" t="s">
        <v>20</v>
      </c>
      <c r="I13006" s="8"/>
      <c r="O13006" t="str">
        <f>LEFT(Table2[[#This Row],[Description]],75)</f>
        <v>Withdrawal ACH MN DIR ACH TYPE: CONTRIB ID: XX7162 CO: MN DIR ACH NAME: XX2</v>
      </c>
    </row>
    <row r="13007" spans="1:15" hidden="1">
      <c r="A13007">
        <v>202502</v>
      </c>
      <c r="B13007" s="6">
        <v>45701</v>
      </c>
      <c r="C13007" t="s">
        <v>2519</v>
      </c>
      <c r="D13007" t="s">
        <v>6158</v>
      </c>
      <c r="E13007">
        <v>-1761.16</v>
      </c>
      <c r="F13007" t="str">
        <f>IF(Table2[[#This Row],[Manual Cat Value]]="",Table2[[#This Row],[Suggested Cat Value]],VLOOKUP(Table2[[#This Row],[Manual Cat Value]],Lookup!G:H,2,0))</f>
        <v>Jeff</v>
      </c>
      <c r="G13007" t="s">
        <v>20</v>
      </c>
      <c r="H13007" s="8" t="s">
        <v>63</v>
      </c>
      <c r="I13007" s="8"/>
      <c r="O13007" t="str">
        <f>LEFT(Table2[[#This Row],[Description]],75)</f>
        <v>Deposit ACH EMPYREAN SOLUTIO TYPE: ACH ID: XX3620 CO: EMPYREAN SOLUTIO Entr</v>
      </c>
    </row>
    <row r="13008" spans="1:15" hidden="1">
      <c r="A13008">
        <v>202502</v>
      </c>
      <c r="B13008" s="6">
        <v>45706</v>
      </c>
      <c r="C13008" t="s">
        <v>2519</v>
      </c>
      <c r="D13008" t="s">
        <v>6159</v>
      </c>
      <c r="E13008">
        <v>650</v>
      </c>
      <c r="F13008" t="str">
        <f>IF(Table2[[#This Row],[Manual Cat Value]]="",Table2[[#This Row],[Suggested Cat Value]],VLOOKUP(Table2[[#This Row],[Manual Cat Value]],Lookup!G:H,2,0))</f>
        <v>College Savings</v>
      </c>
      <c r="G13008" t="s">
        <v>20</v>
      </c>
      <c r="H13008" s="8" t="s">
        <v>60</v>
      </c>
      <c r="I13008" s="8"/>
      <c r="O13008" t="str">
        <f>LEFT(Table2[[#This Row],[Description]],75)</f>
        <v>Withdrawal ACH MN DIR ACH TYPE: CONTRIB ID: XX7162 CO: MN DIR ACH NAME: XX2</v>
      </c>
    </row>
    <row r="13009" spans="1:15" hidden="1">
      <c r="A13009">
        <v>202502</v>
      </c>
      <c r="B13009" s="6">
        <v>45706</v>
      </c>
      <c r="C13009" t="s">
        <v>2519</v>
      </c>
      <c r="D13009" t="s">
        <v>6160</v>
      </c>
      <c r="E13009">
        <v>400</v>
      </c>
      <c r="F13009" t="str">
        <f>IF(Table2[[#This Row],[Manual Cat Value]]="",Table2[[#This Row],[Suggested Cat Value]],VLOOKUP(Table2[[#This Row],[Manual Cat Value]],Lookup!G:H,2,0))</f>
        <v>Day Care</v>
      </c>
      <c r="G13009" t="s">
        <v>20</v>
      </c>
      <c r="I13009" s="8"/>
      <c r="O13009" t="str">
        <f>LEFT(Table2[[#This Row],[Description]],75)</f>
        <v>Withdrawal ACH Mis Amigos Presc TYPE: ID: XX7393 NAME: BCU CO: Mis Amigos P</v>
      </c>
    </row>
    <row r="13010" spans="1:15" hidden="1">
      <c r="A13010">
        <v>202502</v>
      </c>
      <c r="B13010" s="6">
        <v>45709</v>
      </c>
      <c r="C13010" t="s">
        <v>2519</v>
      </c>
      <c r="D13010" t="s">
        <v>6161</v>
      </c>
      <c r="E13010">
        <v>59.59</v>
      </c>
      <c r="F13010" t="str">
        <f>IF(Table2[[#This Row],[Manual Cat Value]]="",Table2[[#This Row],[Suggested Cat Value]],VLOOKUP(Table2[[#This Row],[Manual Cat Value]],Lookup!G:H,2,0))</f>
        <v>Day Care</v>
      </c>
      <c r="G13010" t="s">
        <v>20</v>
      </c>
      <c r="I13010" s="8"/>
      <c r="O13010" t="str">
        <f>LEFT(Table2[[#This Row],[Description]],75)</f>
        <v>Withdrawal ACH CITY OF CHANHASS TYPE: UTIL BILL ID: XX5331 CO: CITY OF CHAN</v>
      </c>
    </row>
    <row r="13011" spans="1:15" hidden="1">
      <c r="A13011">
        <v>202502</v>
      </c>
      <c r="B13011" s="6">
        <v>45713</v>
      </c>
      <c r="C13011" t="s">
        <v>2519</v>
      </c>
      <c r="D13011" t="s">
        <v>6162</v>
      </c>
      <c r="E13011">
        <v>400</v>
      </c>
      <c r="F13011" t="str">
        <f>IF(Table2[[#This Row],[Manual Cat Value]]="",Table2[[#This Row],[Suggested Cat Value]],VLOOKUP(Table2[[#This Row],[Manual Cat Value]],Lookup!G:H,2,0))</f>
        <v>Day Care</v>
      </c>
      <c r="G13011" t="s">
        <v>20</v>
      </c>
      <c r="I13011" s="8"/>
      <c r="O13011" t="str">
        <f>LEFT(Table2[[#This Row],[Description]],75)</f>
        <v>Withdrawal ACH Mis Amigos Presc TYPE: ID: XX7393 NAME: BCU CO: Mis Amigos P</v>
      </c>
    </row>
    <row r="13012" spans="1:15" hidden="1">
      <c r="A13012">
        <v>202503</v>
      </c>
      <c r="B13012" s="6">
        <v>45719</v>
      </c>
      <c r="C13012" t="s">
        <v>2519</v>
      </c>
      <c r="D13012" t="s">
        <v>6163</v>
      </c>
      <c r="E13012">
        <v>650</v>
      </c>
      <c r="F13012" t="str">
        <f>IF(Table2[[#This Row],[Manual Cat Value]]="",Table2[[#This Row],[Suggested Cat Value]],VLOOKUP(Table2[[#This Row],[Manual Cat Value]],Lookup!G:H,2,0))</f>
        <v>College Savings</v>
      </c>
      <c r="G13012" t="s">
        <v>20</v>
      </c>
      <c r="H13012" s="8" t="s">
        <v>60</v>
      </c>
      <c r="I13012" s="8"/>
      <c r="O13012" t="str">
        <f>LEFT(Table2[[#This Row],[Description]],75)</f>
        <v>Withdrawal ACH ILD529 DIR ACH TYPE: CONTRIB ID: XX2584 CO: ILD529 DIR ACH E</v>
      </c>
    </row>
    <row r="13013" spans="1:15" hidden="1">
      <c r="A13013">
        <v>202501</v>
      </c>
      <c r="B13013" s="6">
        <v>45672</v>
      </c>
      <c r="C13013" t="s">
        <v>130</v>
      </c>
      <c r="D13013" t="s">
        <v>6164</v>
      </c>
      <c r="E13013">
        <v>395.68</v>
      </c>
      <c r="F13013" t="str">
        <f>IF(Table2[[#This Row],[Manual Cat Value]]="",Table2[[#This Row],[Suggested Cat Value]],VLOOKUP(Table2[[#This Row],[Manual Cat Value]],Lookup!G:H,2,0))</f>
        <v>Healthcare</v>
      </c>
      <c r="G13013" t="s">
        <v>26</v>
      </c>
      <c r="H13013" s="8" t="s">
        <v>47</v>
      </c>
      <c r="I13013" s="8"/>
      <c r="O13013" t="str">
        <f>LEFT(Table2[[#This Row],[Description]],75)</f>
        <v>SOUTH LAKE PEDIATRICMINNETONKA          MN</v>
      </c>
    </row>
    <row r="13014" spans="1:15" hidden="1">
      <c r="A13014">
        <v>202504</v>
      </c>
      <c r="B13014" s="6">
        <v>45775</v>
      </c>
      <c r="C13014" t="s">
        <v>2519</v>
      </c>
      <c r="D13014" t="s">
        <v>1355</v>
      </c>
      <c r="E13014">
        <v>389.08</v>
      </c>
      <c r="F13014" t="str">
        <f>IF(Table2[[#This Row],[Manual Cat Value]]="",Table2[[#This Row],[Suggested Cat Value]],VLOOKUP(Table2[[#This Row],[Manual Cat Value]],Lookup!G:H,2,0))</f>
        <v>Shopping</v>
      </c>
      <c r="G13014" t="s">
        <v>21</v>
      </c>
      <c r="I13014" s="8"/>
      <c r="O13014" t="str">
        <f>LEFT(Table2[[#This Row],[Description]],75)</f>
        <v>Nordstrom</v>
      </c>
    </row>
    <row r="13015" spans="1:15" hidden="1">
      <c r="A13015">
        <v>202504</v>
      </c>
      <c r="B13015" s="6">
        <v>45763</v>
      </c>
      <c r="C13015" t="s">
        <v>130</v>
      </c>
      <c r="D13015" t="s">
        <v>5392</v>
      </c>
      <c r="E13015">
        <v>386.97</v>
      </c>
      <c r="F13015" t="str">
        <f>IF(Table2[[#This Row],[Manual Cat Value]]="",Table2[[#This Row],[Suggested Cat Value]],VLOOKUP(Table2[[#This Row],[Manual Cat Value]],Lookup!G:H,2,0))</f>
        <v>Travel</v>
      </c>
      <c r="G13015" t="s">
        <v>9</v>
      </c>
      <c r="H13015" s="8" t="s">
        <v>52</v>
      </c>
      <c r="I13015" s="8" t="s">
        <v>6165</v>
      </c>
      <c r="O13015" t="str">
        <f>LEFT(Table2[[#This Row],[Description]],75)</f>
        <v>DELTA AIR LINES</v>
      </c>
    </row>
    <row r="13016" spans="1:15" hidden="1">
      <c r="A13016">
        <v>202503</v>
      </c>
      <c r="B13016" s="6">
        <v>45720</v>
      </c>
      <c r="C13016" t="s">
        <v>2519</v>
      </c>
      <c r="D13016" t="s">
        <v>6166</v>
      </c>
      <c r="E13016">
        <v>400</v>
      </c>
      <c r="F13016" t="str">
        <f>IF(Table2[[#This Row],[Manual Cat Value]]="",Table2[[#This Row],[Suggested Cat Value]],VLOOKUP(Table2[[#This Row],[Manual Cat Value]],Lookup!G:H,2,0))</f>
        <v>Day Care</v>
      </c>
      <c r="G13016" t="s">
        <v>20</v>
      </c>
      <c r="I13016" s="8"/>
      <c r="O13016" t="str">
        <f>LEFT(Table2[[#This Row],[Description]],75)</f>
        <v>Withdrawal ACH Mis Amigos Presc TYPE: ID: XX7393 NAME: BCU CO: Mis Amigos P</v>
      </c>
    </row>
    <row r="13017" spans="1:15" hidden="1">
      <c r="A13017">
        <v>202503</v>
      </c>
      <c r="B13017" s="6">
        <v>45727</v>
      </c>
      <c r="C13017" t="s">
        <v>2519</v>
      </c>
      <c r="D13017" t="s">
        <v>6167</v>
      </c>
      <c r="E13017">
        <v>400</v>
      </c>
      <c r="F13017" t="str">
        <f>IF(Table2[[#This Row],[Manual Cat Value]]="",Table2[[#This Row],[Suggested Cat Value]],VLOOKUP(Table2[[#This Row],[Manual Cat Value]],Lookup!G:H,2,0))</f>
        <v>Day Care</v>
      </c>
      <c r="G13017" t="s">
        <v>20</v>
      </c>
      <c r="I13017" s="8"/>
      <c r="O13017" t="str">
        <f>LEFT(Table2[[#This Row],[Description]],75)</f>
        <v>Withdrawal ACH Mis Amigos Presc TYPE: ID: XX7393 NAME: BCU CO: Mis Amigos P</v>
      </c>
    </row>
    <row r="13018" spans="1:15" hidden="1">
      <c r="A13018">
        <v>202505</v>
      </c>
      <c r="B13018" s="6">
        <v>45783</v>
      </c>
      <c r="C13018" t="s">
        <v>130</v>
      </c>
      <c r="D13018" t="s">
        <v>5392</v>
      </c>
      <c r="E13018">
        <v>358.97</v>
      </c>
      <c r="F13018" t="str">
        <f>IF(Table2[[#This Row],[Manual Cat Value]]="",Table2[[#This Row],[Suggested Cat Value]],VLOOKUP(Table2[[#This Row],[Manual Cat Value]],Lookup!G:H,2,0))</f>
        <v>Travel</v>
      </c>
      <c r="G13018" t="s">
        <v>9</v>
      </c>
      <c r="H13018" s="8" t="s">
        <v>52</v>
      </c>
      <c r="I13018" s="8" t="s">
        <v>6168</v>
      </c>
      <c r="O13018" t="str">
        <f>LEFT(Table2[[#This Row],[Description]],75)</f>
        <v>DELTA AIR LINES</v>
      </c>
    </row>
    <row r="13019" spans="1:15" hidden="1">
      <c r="A13019">
        <v>202503</v>
      </c>
      <c r="B13019" s="6">
        <v>45721</v>
      </c>
      <c r="C13019" t="s">
        <v>130</v>
      </c>
      <c r="D13019" t="s">
        <v>5894</v>
      </c>
      <c r="E13019">
        <v>355.04</v>
      </c>
      <c r="F13019" t="str">
        <f>IF(Table2[[#This Row],[Manual Cat Value]]="",Table2[[#This Row],[Suggested Cat Value]],VLOOKUP(Table2[[#This Row],[Manual Cat Value]],Lookup!G:H,2,0))</f>
        <v>House Maintenance</v>
      </c>
      <c r="G13019" t="s">
        <v>2</v>
      </c>
      <c r="I13019" s="8"/>
      <c r="O13019" t="str">
        <f>LEFT(Table2[[#This Row],[Description]],75)</f>
        <v>PLUNKETTS PEST CONTRMINNEAPOLIS         MN</v>
      </c>
    </row>
    <row r="13020" spans="1:15" hidden="1">
      <c r="A13020">
        <v>202502</v>
      </c>
      <c r="B13020" s="6">
        <v>45714</v>
      </c>
      <c r="C13020" t="s">
        <v>130</v>
      </c>
      <c r="D13020" t="s">
        <v>6169</v>
      </c>
      <c r="E13020">
        <v>355</v>
      </c>
      <c r="F13020" t="str">
        <f>IF(Table2[[#This Row],[Manual Cat Value]]="",Table2[[#This Row],[Suggested Cat Value]],VLOOKUP(Table2[[#This Row],[Manual Cat Value]],Lookup!G:H,2,0))</f>
        <v>Transportation</v>
      </c>
      <c r="G13020" t="s">
        <v>23</v>
      </c>
      <c r="I13020" s="8"/>
      <c r="O13020" t="str">
        <f>LEFT(Table2[[#This Row],[Description]],75)</f>
        <v>LA QUINTA SPA       LA QUINTA           CA</v>
      </c>
    </row>
    <row r="13021" spans="1:15" hidden="1">
      <c r="A13021">
        <v>202504</v>
      </c>
      <c r="B13021" s="6">
        <v>45757</v>
      </c>
      <c r="C13021" t="s">
        <v>130</v>
      </c>
      <c r="D13021" t="s">
        <v>6170</v>
      </c>
      <c r="E13021">
        <v>352.26</v>
      </c>
      <c r="F13021" t="str">
        <f>IF(Table2[[#This Row],[Manual Cat Value]]="",Table2[[#This Row],[Suggested Cat Value]],VLOOKUP(Table2[[#This Row],[Manual Cat Value]],Lookup!G:H,2,0))</f>
        <v>Delete</v>
      </c>
      <c r="G13021" t="s">
        <v>9</v>
      </c>
      <c r="I13021" s="8"/>
      <c r="O13021" t="str">
        <f>LEFT(Table2[[#This Row],[Description]],75)</f>
        <v>FONTAINEBLEAU RESORTMIAMI BEACH         FL</v>
      </c>
    </row>
    <row r="13022" spans="1:15" hidden="1">
      <c r="A13022">
        <v>202504</v>
      </c>
      <c r="B13022" s="6">
        <v>45768</v>
      </c>
      <c r="C13022" t="s">
        <v>130</v>
      </c>
      <c r="D13022" t="s">
        <v>6171</v>
      </c>
      <c r="E13022">
        <v>350</v>
      </c>
      <c r="F13022" t="str">
        <f>IF(Table2[[#This Row],[Manual Cat Value]]="",Table2[[#This Row],[Suggested Cat Value]],VLOOKUP(Table2[[#This Row],[Manual Cat Value]],Lookup!G:H,2,0))</f>
        <v>Shopping</v>
      </c>
      <c r="G13022" t="s">
        <v>21</v>
      </c>
      <c r="I13022" s="8"/>
      <c r="O13022" t="str">
        <f>LEFT(Table2[[#This Row],[Description]],75)</f>
        <v>RENEWAL MEMBERSHIP FEE</v>
      </c>
    </row>
    <row r="13023" spans="1:15" hidden="1">
      <c r="A13023">
        <v>202505</v>
      </c>
      <c r="B13023" s="6">
        <v>45796</v>
      </c>
      <c r="C13023" t="s">
        <v>2519</v>
      </c>
      <c r="D13023" t="s">
        <v>1958</v>
      </c>
      <c r="E13023">
        <v>348.1</v>
      </c>
      <c r="F13023" t="str">
        <f>IF(Table2[[#This Row],[Manual Cat Value]]="",Table2[[#This Row],[Suggested Cat Value]],VLOOKUP(Table2[[#This Row],[Manual Cat Value]],Lookup!G:H,2,0))</f>
        <v>Shopping</v>
      </c>
      <c r="G13023" t="s">
        <v>21</v>
      </c>
      <c r="I13023" s="8"/>
      <c r="O13023" t="str">
        <f>LEFT(Table2[[#This Row],[Description]],75)</f>
        <v>Transfer to Venmo</v>
      </c>
    </row>
    <row r="13024" spans="1:15" hidden="1">
      <c r="A13024">
        <v>202503</v>
      </c>
      <c r="B13024" s="6">
        <v>45721</v>
      </c>
      <c r="C13024" t="s">
        <v>130</v>
      </c>
      <c r="D13024" t="s">
        <v>6172</v>
      </c>
      <c r="E13024">
        <v>323.89999999999998</v>
      </c>
      <c r="F13024" t="str">
        <f>IF(Table2[[#This Row],[Manual Cat Value]]="",Table2[[#This Row],[Suggested Cat Value]],VLOOKUP(Table2[[#This Row],[Manual Cat Value]],Lookup!G:H,2,0))</f>
        <v>Restaurants</v>
      </c>
      <c r="G13024" t="s">
        <v>26</v>
      </c>
      <c r="I13024" s="8"/>
      <c r="O13024" t="str">
        <f>LEFT(Table2[[#This Row],[Description]],75)</f>
        <v>RCO LTD             PROVIDENCIALES      TC</v>
      </c>
    </row>
    <row r="13025" spans="1:15" hidden="1">
      <c r="A13025">
        <v>202505</v>
      </c>
      <c r="B13025" s="6">
        <v>45801</v>
      </c>
      <c r="C13025" t="s">
        <v>130</v>
      </c>
      <c r="D13025" t="s">
        <v>6173</v>
      </c>
      <c r="E13025">
        <v>321.44</v>
      </c>
      <c r="F13025" t="str">
        <f>IF(Table2[[#This Row],[Manual Cat Value]]="",Table2[[#This Row],[Suggested Cat Value]],VLOOKUP(Table2[[#This Row],[Manual Cat Value]],Lookup!G:H,2,0))</f>
        <v>Delete</v>
      </c>
      <c r="G13025" t="s">
        <v>9</v>
      </c>
      <c r="I13025" s="8"/>
      <c r="O13025" t="str">
        <f>LEFT(Table2[[#This Row],[Description]],75)</f>
        <v>Holiday Inn Express HAYWARD             WI</v>
      </c>
    </row>
    <row r="13026" spans="1:15" hidden="1">
      <c r="A13026">
        <v>202504</v>
      </c>
      <c r="B13026" s="6">
        <v>45776</v>
      </c>
      <c r="C13026" t="s">
        <v>3938</v>
      </c>
      <c r="D13026" t="s">
        <v>6174</v>
      </c>
      <c r="E13026">
        <v>321.41000000000003</v>
      </c>
      <c r="F13026" t="str">
        <f>IF(Table2[[#This Row],[Manual Cat Value]]="",Table2[[#This Row],[Suggested Cat Value]],VLOOKUP(Table2[[#This Row],[Manual Cat Value]],Lookup!G:H,2,0))</f>
        <v>Delete</v>
      </c>
      <c r="G13026" t="s">
        <v>9</v>
      </c>
      <c r="I13026" s="8"/>
      <c r="O13026" t="str">
        <f>LEFT(Table2[[#This Row],[Description]],75)</f>
        <v>775 BRISTOL KANSAS CITY KANSAS CITY MO REF #XX5003P00XVRJ1W</v>
      </c>
    </row>
    <row r="13027" spans="1:15" hidden="1">
      <c r="A13027">
        <v>202502</v>
      </c>
      <c r="B13027" s="6">
        <v>45697</v>
      </c>
      <c r="C13027" t="s">
        <v>3938</v>
      </c>
      <c r="D13027" t="s">
        <v>648</v>
      </c>
      <c r="E13027">
        <v>313.99</v>
      </c>
      <c r="F13027" t="str">
        <f>IF(Table2[[#This Row],[Manual Cat Value]]="",Table2[[#This Row],[Suggested Cat Value]],VLOOKUP(Table2[[#This Row],[Manual Cat Value]],Lookup!G:H,2,0))</f>
        <v>Groceries</v>
      </c>
      <c r="G13027" t="s">
        <v>28</v>
      </c>
      <c r="I13027" s="8"/>
      <c r="O13027" t="str">
        <f>LEFT(Table2[[#This Row],[Description]],75)</f>
        <v>Costco</v>
      </c>
    </row>
    <row r="13028" spans="1:15" hidden="1">
      <c r="A13028">
        <v>202504</v>
      </c>
      <c r="B13028" s="6">
        <v>45760</v>
      </c>
      <c r="C13028" t="s">
        <v>130</v>
      </c>
      <c r="D13028" t="s">
        <v>5750</v>
      </c>
      <c r="E13028">
        <v>310.36</v>
      </c>
      <c r="F13028" t="str">
        <f>IF(Table2[[#This Row],[Manual Cat Value]]="",Table2[[#This Row],[Suggested Cat Value]],VLOOKUP(Table2[[#This Row],[Manual Cat Value]],Lookup!G:H,2,0))</f>
        <v>House Maintenance</v>
      </c>
      <c r="G13028" t="s">
        <v>26</v>
      </c>
      <c r="H13028" s="8" t="s">
        <v>1</v>
      </c>
      <c r="I13028" s="8"/>
      <c r="O13028" t="str">
        <f>LEFT(Table2[[#This Row],[Description]],75)</f>
        <v>SHOREWOOD TRUE VALUEEXCELSIOR           MN</v>
      </c>
    </row>
    <row r="13029" spans="1:15" hidden="1">
      <c r="A13029">
        <v>202505</v>
      </c>
      <c r="B13029" s="6">
        <v>45792</v>
      </c>
      <c r="C13029" t="s">
        <v>130</v>
      </c>
      <c r="D13029" t="s">
        <v>6175</v>
      </c>
      <c r="E13029">
        <v>299.5</v>
      </c>
      <c r="F13029" t="str">
        <f>IF(Table2[[#This Row],[Manual Cat Value]]="",Table2[[#This Row],[Suggested Cat Value]],VLOOKUP(Table2[[#This Row],[Manual Cat Value]],Lookup!G:H,2,0))</f>
        <v>Shopping</v>
      </c>
      <c r="G13029" t="s">
        <v>9</v>
      </c>
      <c r="H13029" s="8" t="s">
        <v>36</v>
      </c>
      <c r="I13029" s="8"/>
      <c r="O13029" t="str">
        <f>LEFT(Table2[[#This Row],[Description]],75)</f>
        <v>JOHNSTONMURPHY.COM 0NASHVILLE           TN</v>
      </c>
    </row>
    <row r="13030" spans="1:15" hidden="1">
      <c r="A13030">
        <v>202504</v>
      </c>
      <c r="B13030" s="6">
        <v>45758</v>
      </c>
      <c r="C13030" t="s">
        <v>130</v>
      </c>
      <c r="D13030" t="s">
        <v>6176</v>
      </c>
      <c r="E13030">
        <v>295.04000000000002</v>
      </c>
      <c r="F13030" t="str">
        <f>IF(Table2[[#This Row],[Manual Cat Value]]="",Table2[[#This Row],[Suggested Cat Value]],VLOOKUP(Table2[[#This Row],[Manual Cat Value]],Lookup!G:H,2,0))</f>
        <v>Groceries</v>
      </c>
      <c r="G13030" t="s">
        <v>28</v>
      </c>
      <c r="I13030" s="8"/>
      <c r="O13030" t="str">
        <f>LEFT(Table2[[#This Row],[Description]],75)</f>
        <v>REI #15 BLOOMINGTON BLOOMINGTON         MN</v>
      </c>
    </row>
    <row r="13031" spans="1:15" hidden="1">
      <c r="A13031">
        <v>202504</v>
      </c>
      <c r="B13031" s="6">
        <v>45764</v>
      </c>
      <c r="C13031" t="s">
        <v>130</v>
      </c>
      <c r="D13031" t="s">
        <v>6177</v>
      </c>
      <c r="E13031">
        <v>284.5</v>
      </c>
      <c r="F13031" t="str">
        <f>IF(Table2[[#This Row],[Manual Cat Value]]="",Table2[[#This Row],[Suggested Cat Value]],VLOOKUP(Table2[[#This Row],[Manual Cat Value]],Lookup!G:H,2,0))</f>
        <v>Shopping</v>
      </c>
      <c r="G13031" t="s">
        <v>21</v>
      </c>
      <c r="I13031" s="8"/>
      <c r="O13031" t="str">
        <f>LEFT(Table2[[#This Row],[Description]],75)</f>
        <v>SP VUORI CLOTHING   ENCINITAS           CA</v>
      </c>
    </row>
    <row r="13032" spans="1:15" hidden="1">
      <c r="A13032">
        <v>202504</v>
      </c>
      <c r="B13032" s="6">
        <v>45749</v>
      </c>
      <c r="C13032" t="s">
        <v>2519</v>
      </c>
      <c r="D13032" t="s">
        <v>5148</v>
      </c>
      <c r="E13032">
        <v>272.39</v>
      </c>
      <c r="F13032" t="str">
        <f>IF(Table2[[#This Row],[Manual Cat Value]]="",Table2[[#This Row],[Suggested Cat Value]],VLOOKUP(Table2[[#This Row],[Manual Cat Value]],Lookup!G:H,2,0))</f>
        <v>Utilities</v>
      </c>
      <c r="G13032" t="s">
        <v>7</v>
      </c>
      <c r="I13032" s="8"/>
      <c r="O13032" t="str">
        <f>LEFT(Table2[[#This Row],[Description]],75)</f>
        <v>Payment to AT&amp;T</v>
      </c>
    </row>
    <row r="13033" spans="1:15" hidden="1">
      <c r="A13033">
        <v>202503</v>
      </c>
      <c r="B13033" s="6">
        <v>45721</v>
      </c>
      <c r="C13033" t="s">
        <v>3938</v>
      </c>
      <c r="D13033" t="s">
        <v>6178</v>
      </c>
      <c r="E13033">
        <v>272.37</v>
      </c>
      <c r="F13033" t="str">
        <f>IF(Table2[[#This Row],[Manual Cat Value]]="",Table2[[#This Row],[Suggested Cat Value]],VLOOKUP(Table2[[#This Row],[Manual Cat Value]],Lookup!G:H,2,0))</f>
        <v>Restaurants</v>
      </c>
      <c r="G13033" t="s">
        <v>26</v>
      </c>
      <c r="I13033" s="8"/>
      <c r="O13033" t="str">
        <f>LEFT(Table2[[#This Row],[Description]],75)</f>
        <v>NINE HOLDINGS LTD PROVIDENCIALETC REF #XX9451Zx0220DGX</v>
      </c>
    </row>
    <row r="13034" spans="1:15" hidden="1">
      <c r="A13034">
        <v>202505</v>
      </c>
      <c r="B13034" s="6">
        <v>45778</v>
      </c>
      <c r="C13034" t="s">
        <v>2519</v>
      </c>
      <c r="D13034" t="s">
        <v>5148</v>
      </c>
      <c r="E13034">
        <v>261.86</v>
      </c>
      <c r="F13034" t="str">
        <f>IF(Table2[[#This Row],[Manual Cat Value]]="",Table2[[#This Row],[Suggested Cat Value]],VLOOKUP(Table2[[#This Row],[Manual Cat Value]],Lookup!G:H,2,0))</f>
        <v>Utilities</v>
      </c>
      <c r="G13034" t="s">
        <v>7</v>
      </c>
      <c r="I13034" s="8"/>
      <c r="O13034" t="str">
        <f>LEFT(Table2[[#This Row],[Description]],75)</f>
        <v>Payment to AT&amp;T</v>
      </c>
    </row>
    <row r="13035" spans="1:15" hidden="1">
      <c r="A13035">
        <v>202504</v>
      </c>
      <c r="B13035" s="6">
        <v>45752</v>
      </c>
      <c r="C13035" t="s">
        <v>130</v>
      </c>
      <c r="D13035" t="s">
        <v>6179</v>
      </c>
      <c r="E13035">
        <v>260.99</v>
      </c>
      <c r="F13035" t="str">
        <f>IF(Table2[[#This Row],[Manual Cat Value]]="",Table2[[#This Row],[Suggested Cat Value]],VLOOKUP(Table2[[#This Row],[Manual Cat Value]],Lookup!G:H,2,0))</f>
        <v>Restaurants</v>
      </c>
      <c r="G13035" t="s">
        <v>26</v>
      </c>
      <c r="I13035" s="8"/>
      <c r="O13035" t="str">
        <f>LEFT(Table2[[#This Row],[Description]],75)</f>
        <v>COCONUT JACKS WATERFBONITA SPRING       FL</v>
      </c>
    </row>
    <row r="13036" spans="1:15" hidden="1">
      <c r="A13036">
        <v>202503</v>
      </c>
      <c r="B13036" s="6">
        <v>45733</v>
      </c>
      <c r="C13036" t="s">
        <v>2519</v>
      </c>
      <c r="D13036" t="s">
        <v>6180</v>
      </c>
      <c r="E13036">
        <v>231.79</v>
      </c>
      <c r="F13036" t="str">
        <f>IF(Table2[[#This Row],[Manual Cat Value]]="",Table2[[#This Row],[Suggested Cat Value]],VLOOKUP(Table2[[#This Row],[Manual Cat Value]],Lookup!G:H,2,0))</f>
        <v>Day Care</v>
      </c>
      <c r="G13036" t="s">
        <v>20</v>
      </c>
      <c r="I13036" s="8"/>
      <c r="O13036" t="str">
        <f>LEFT(Table2[[#This Row],[Description]],75)</f>
        <v>Withdrawal ACH CPENERGY MNGCO TYPE: MGC ACH EB ID: 1XX1140S CO: CPENERGY MN</v>
      </c>
    </row>
    <row r="13037" spans="1:15" hidden="1">
      <c r="A13037">
        <v>202501</v>
      </c>
      <c r="B13037" s="6">
        <v>45679</v>
      </c>
      <c r="C13037" t="s">
        <v>130</v>
      </c>
      <c r="D13037" t="s">
        <v>6181</v>
      </c>
      <c r="E13037">
        <v>248.38</v>
      </c>
      <c r="F13037" t="str">
        <f>IF(Table2[[#This Row],[Manual Cat Value]]="",Table2[[#This Row],[Suggested Cat Value]],VLOOKUP(Table2[[#This Row],[Manual Cat Value]],Lookup!G:H,2,0))</f>
        <v>Delete</v>
      </c>
      <c r="G13037" t="s">
        <v>26</v>
      </c>
      <c r="H13037" s="8" t="s">
        <v>9</v>
      </c>
      <c r="I13037" s="8"/>
      <c r="O13037" t="str">
        <f>LEFT(Table2[[#This Row],[Description]],75)</f>
        <v>ISAACS RESTAURANT   CORK</v>
      </c>
    </row>
    <row r="13038" spans="1:15" hidden="1">
      <c r="A13038">
        <v>202502</v>
      </c>
      <c r="B13038" s="6">
        <v>45716</v>
      </c>
      <c r="C13038" t="s">
        <v>2519</v>
      </c>
      <c r="D13038" t="s">
        <v>5148</v>
      </c>
      <c r="E13038">
        <v>247.48</v>
      </c>
      <c r="F13038" t="str">
        <f>IF(Table2[[#This Row],[Manual Cat Value]]="",Table2[[#This Row],[Suggested Cat Value]],VLOOKUP(Table2[[#This Row],[Manual Cat Value]],Lookup!G:H,2,0))</f>
        <v>Utilities</v>
      </c>
      <c r="G13038" t="s">
        <v>7</v>
      </c>
      <c r="I13038" s="8"/>
      <c r="O13038" t="str">
        <f>LEFT(Table2[[#This Row],[Description]],75)</f>
        <v>Payment to AT&amp;T</v>
      </c>
    </row>
    <row r="13039" spans="1:15" hidden="1">
      <c r="A13039">
        <v>202501</v>
      </c>
      <c r="B13039" s="6">
        <v>45681</v>
      </c>
      <c r="C13039" t="s">
        <v>130</v>
      </c>
      <c r="D13039" t="s">
        <v>6182</v>
      </c>
      <c r="E13039">
        <v>242.78</v>
      </c>
      <c r="F13039" t="str">
        <f>IF(Table2[[#This Row],[Manual Cat Value]]="",Table2[[#This Row],[Suggested Cat Value]],VLOOKUP(Table2[[#This Row],[Manual Cat Value]],Lookup!G:H,2,0))</f>
        <v>Delete</v>
      </c>
      <c r="G13039" t="s">
        <v>9</v>
      </c>
      <c r="I13039" s="8"/>
      <c r="O13039" t="str">
        <f>LEFT(Table2[[#This Row],[Description]],75)</f>
        <v>DOUBLETREE BY HILTONAMSTERDAM           NL</v>
      </c>
    </row>
    <row r="13040" spans="1:15" hidden="1">
      <c r="A13040">
        <v>202501</v>
      </c>
      <c r="B13040" s="6">
        <v>45680</v>
      </c>
      <c r="C13040" t="s">
        <v>130</v>
      </c>
      <c r="D13040" t="s">
        <v>6183</v>
      </c>
      <c r="E13040">
        <v>241.68</v>
      </c>
      <c r="F13040" t="str">
        <f>IF(Table2[[#This Row],[Manual Cat Value]]="",Table2[[#This Row],[Suggested Cat Value]],VLOOKUP(Table2[[#This Row],[Manual Cat Value]],Lookup!G:H,2,0))</f>
        <v>Amazon</v>
      </c>
      <c r="G13040" t="s">
        <v>38</v>
      </c>
      <c r="I13040" s="8"/>
      <c r="O13040" t="str">
        <f>LEFT(Table2[[#This Row],[Description]],75)</f>
        <v>AMAZON MARKEPLACE NA PA</v>
      </c>
    </row>
    <row r="13041" spans="1:15" hidden="1">
      <c r="A13041">
        <v>202503</v>
      </c>
      <c r="B13041" s="6">
        <v>45740</v>
      </c>
      <c r="C13041" t="s">
        <v>2519</v>
      </c>
      <c r="D13041" t="s">
        <v>1958</v>
      </c>
      <c r="E13041">
        <v>236.78</v>
      </c>
      <c r="F13041" t="str">
        <f>IF(Table2[[#This Row],[Manual Cat Value]]="",Table2[[#This Row],[Suggested Cat Value]],VLOOKUP(Table2[[#This Row],[Manual Cat Value]],Lookup!G:H,2,0))</f>
        <v>Shopping</v>
      </c>
      <c r="G13041" t="s">
        <v>21</v>
      </c>
      <c r="I13041" s="8"/>
      <c r="O13041" t="str">
        <f>LEFT(Table2[[#This Row],[Description]],75)</f>
        <v>Transfer to Venmo</v>
      </c>
    </row>
    <row r="13042" spans="1:15" hidden="1">
      <c r="A13042">
        <v>202502</v>
      </c>
      <c r="B13042" s="6">
        <v>45710</v>
      </c>
      <c r="C13042" t="s">
        <v>130</v>
      </c>
      <c r="D13042" t="s">
        <v>5900</v>
      </c>
      <c r="E13042">
        <v>235.7</v>
      </c>
      <c r="F13042" t="str">
        <f>IF(Table2[[#This Row],[Manual Cat Value]]="",Table2[[#This Row],[Suggested Cat Value]],VLOOKUP(Table2[[#This Row],[Manual Cat Value]],Lookup!G:H,2,0))</f>
        <v>Shopping</v>
      </c>
      <c r="G13042" t="s">
        <v>21</v>
      </c>
      <c r="I13042" s="8"/>
      <c r="O13042" t="str">
        <f>LEFT(Table2[[#This Row],[Description]],75)</f>
        <v>SP FREEFLYAPPAREL   CHARLESTON          SC</v>
      </c>
    </row>
    <row r="13043" spans="1:15" hidden="1">
      <c r="A13043">
        <v>202501</v>
      </c>
      <c r="B13043" s="6">
        <v>45659</v>
      </c>
      <c r="C13043" t="s">
        <v>2519</v>
      </c>
      <c r="D13043" t="s">
        <v>5148</v>
      </c>
      <c r="E13043">
        <v>234.83</v>
      </c>
      <c r="F13043" t="str">
        <f>IF(Table2[[#This Row],[Manual Cat Value]]="",Table2[[#This Row],[Suggested Cat Value]],VLOOKUP(Table2[[#This Row],[Manual Cat Value]],Lookup!G:H,2,0))</f>
        <v>Utilities</v>
      </c>
      <c r="G13043" t="s">
        <v>7</v>
      </c>
      <c r="I13043" s="8"/>
      <c r="O13043" t="str">
        <f>LEFT(Table2[[#This Row],[Description]],75)</f>
        <v>Payment to AT&amp;T</v>
      </c>
    </row>
    <row r="13044" spans="1:15" hidden="1">
      <c r="A13044">
        <v>202505</v>
      </c>
      <c r="B13044" s="6">
        <v>45784</v>
      </c>
      <c r="C13044" t="s">
        <v>130</v>
      </c>
      <c r="D13044" t="s">
        <v>6184</v>
      </c>
      <c r="E13044">
        <v>234.19</v>
      </c>
      <c r="F13044" t="str">
        <f>IF(Table2[[#This Row],[Manual Cat Value]]="",Table2[[#This Row],[Suggested Cat Value]],VLOOKUP(Table2[[#This Row],[Manual Cat Value]],Lookup!G:H,2,0))</f>
        <v>House Maintenance</v>
      </c>
      <c r="G13044" t="s">
        <v>26</v>
      </c>
      <c r="H13044" s="8" t="s">
        <v>1</v>
      </c>
      <c r="I13044" s="8"/>
      <c r="O13044" t="str">
        <f>LEFT(Table2[[#This Row],[Description]],75)</f>
        <v>AplPay THE HOME DEPOCHASKA              MN</v>
      </c>
    </row>
    <row r="13045" spans="1:15" hidden="1">
      <c r="A13045">
        <v>202501</v>
      </c>
      <c r="B13045" s="6">
        <v>45688</v>
      </c>
      <c r="C13045" t="s">
        <v>2519</v>
      </c>
      <c r="D13045" t="s">
        <v>1958</v>
      </c>
      <c r="E13045">
        <v>232.63</v>
      </c>
      <c r="F13045" t="str">
        <f>IF(Table2[[#This Row],[Manual Cat Value]]="",Table2[[#This Row],[Suggested Cat Value]],VLOOKUP(Table2[[#This Row],[Manual Cat Value]],Lookup!G:H,2,0))</f>
        <v>Shopping</v>
      </c>
      <c r="G13045" t="s">
        <v>21</v>
      </c>
      <c r="I13045" s="8"/>
      <c r="O13045" t="str">
        <f>LEFT(Table2[[#This Row],[Description]],75)</f>
        <v>Transfer to Venmo</v>
      </c>
    </row>
    <row r="13046" spans="1:15" hidden="1">
      <c r="A13046">
        <v>202503</v>
      </c>
      <c r="B13046" s="6">
        <v>45734</v>
      </c>
      <c r="C13046" t="s">
        <v>2519</v>
      </c>
      <c r="D13046" t="s">
        <v>6185</v>
      </c>
      <c r="E13046">
        <v>650</v>
      </c>
      <c r="F13046" t="str">
        <f>IF(Table2[[#This Row],[Manual Cat Value]]="",Table2[[#This Row],[Suggested Cat Value]],VLOOKUP(Table2[[#This Row],[Manual Cat Value]],Lookup!G:H,2,0))</f>
        <v>College Savings</v>
      </c>
      <c r="G13046" t="s">
        <v>20</v>
      </c>
      <c r="H13046" s="8" t="s">
        <v>60</v>
      </c>
      <c r="I13046" s="8"/>
      <c r="O13046" t="str">
        <f>LEFT(Table2[[#This Row],[Description]],75)</f>
        <v>Withdrawal ACH MN DIR ACH TYPE: CONTRIB ID: XX7162 CO: MN DIR ACH NAME: XX2</v>
      </c>
    </row>
    <row r="13047" spans="1:15" hidden="1">
      <c r="A13047">
        <v>202501</v>
      </c>
      <c r="B13047" s="6">
        <v>45678</v>
      </c>
      <c r="C13047" t="s">
        <v>130</v>
      </c>
      <c r="D13047" t="s">
        <v>6186</v>
      </c>
      <c r="E13047">
        <v>230.38</v>
      </c>
      <c r="F13047" t="str">
        <f>IF(Table2[[#This Row],[Manual Cat Value]]="",Table2[[#This Row],[Suggested Cat Value]],VLOOKUP(Table2[[#This Row],[Manual Cat Value]],Lookup!G:H,2,0))</f>
        <v>Entertainment</v>
      </c>
      <c r="G13047" t="s">
        <v>26</v>
      </c>
      <c r="H13047" s="8" t="s">
        <v>39</v>
      </c>
      <c r="I13047" s="8"/>
      <c r="O13047" t="str">
        <f>LEFT(Table2[[#This Row],[Description]],75)</f>
        <v>AplPay PTI*SAUNA CAMEXCELSIOR           MN</v>
      </c>
    </row>
    <row r="13048" spans="1:15" hidden="1">
      <c r="A13048">
        <v>202503</v>
      </c>
      <c r="B13048" s="6">
        <v>45747</v>
      </c>
      <c r="C13048" t="s">
        <v>130</v>
      </c>
      <c r="D13048" t="s">
        <v>6187</v>
      </c>
      <c r="E13048">
        <v>227.74</v>
      </c>
      <c r="F13048" t="str">
        <f>IF(Table2[[#This Row],[Manual Cat Value]]="",Table2[[#This Row],[Suggested Cat Value]],VLOOKUP(Table2[[#This Row],[Manual Cat Value]],Lookup!G:H,2,0))</f>
        <v>Restaurants</v>
      </c>
      <c r="G13048" t="s">
        <v>9</v>
      </c>
      <c r="H13048" s="8" t="s">
        <v>25</v>
      </c>
      <c r="I13048" s="8"/>
      <c r="O13048" t="str">
        <f>LEFT(Table2[[#This Row],[Description]],75)</f>
        <v>THAI UDON CAFE - LOGNAPLES              FL</v>
      </c>
    </row>
    <row r="13049" spans="1:15" hidden="1">
      <c r="A13049">
        <v>202503</v>
      </c>
      <c r="B13049" s="6">
        <v>45739</v>
      </c>
      <c r="C13049" t="s">
        <v>130</v>
      </c>
      <c r="D13049" t="s">
        <v>6188</v>
      </c>
      <c r="E13049">
        <v>223.2</v>
      </c>
      <c r="F13049" t="str">
        <f>IF(Table2[[#This Row],[Manual Cat Value]]="",Table2[[#This Row],[Suggested Cat Value]],VLOOKUP(Table2[[#This Row],[Manual Cat Value]],Lookup!G:H,2,0))</f>
        <v>Utilities</v>
      </c>
      <c r="G13049" t="s">
        <v>7</v>
      </c>
      <c r="I13049" s="8"/>
      <c r="O13049" t="str">
        <f>LEFT(Table2[[#This Row],[Description]],75)</f>
        <v>INTUIT *TURBOTAX    800-446-8848        CA</v>
      </c>
    </row>
    <row r="13050" spans="1:15" hidden="1">
      <c r="A13050">
        <v>202502</v>
      </c>
      <c r="B13050" s="6">
        <v>45711</v>
      </c>
      <c r="C13050" t="s">
        <v>130</v>
      </c>
      <c r="D13050" t="s">
        <v>6189</v>
      </c>
      <c r="E13050">
        <v>216.32</v>
      </c>
      <c r="F13050" t="str">
        <f>IF(Table2[[#This Row],[Manual Cat Value]]="",Table2[[#This Row],[Suggested Cat Value]],VLOOKUP(Table2[[#This Row],[Manual Cat Value]],Lookup!G:H,2,0))</f>
        <v>Shopping</v>
      </c>
      <c r="G13050" t="s">
        <v>26</v>
      </c>
      <c r="H13050" s="8" t="s">
        <v>36</v>
      </c>
      <c r="I13050" s="8"/>
      <c r="O13050" t="str">
        <f>LEFT(Table2[[#This Row],[Description]],75)</f>
        <v>AplPay FAHERTY BRANDWILMINGTON          DE</v>
      </c>
    </row>
    <row r="13051" spans="1:15" hidden="1">
      <c r="A13051">
        <v>202502</v>
      </c>
      <c r="B13051" s="6">
        <v>45691</v>
      </c>
      <c r="C13051" t="s">
        <v>2519</v>
      </c>
      <c r="D13051" t="s">
        <v>5148</v>
      </c>
      <c r="E13051">
        <v>216.13</v>
      </c>
      <c r="F13051" t="str">
        <f>IF(Table2[[#This Row],[Manual Cat Value]]="",Table2[[#This Row],[Suggested Cat Value]],VLOOKUP(Table2[[#This Row],[Manual Cat Value]],Lookup!G:H,2,0))</f>
        <v>Utilities</v>
      </c>
      <c r="G13051" t="s">
        <v>7</v>
      </c>
      <c r="I13051" s="8"/>
      <c r="O13051" t="str">
        <f>LEFT(Table2[[#This Row],[Description]],75)</f>
        <v>Payment to AT&amp;T</v>
      </c>
    </row>
    <row r="13052" spans="1:15" hidden="1">
      <c r="A13052">
        <v>202505</v>
      </c>
      <c r="B13052" s="6">
        <v>45805</v>
      </c>
      <c r="C13052" t="s">
        <v>2519</v>
      </c>
      <c r="D13052" t="s">
        <v>1958</v>
      </c>
      <c r="E13052">
        <v>215</v>
      </c>
      <c r="F13052" t="str">
        <f>IF(Table2[[#This Row],[Manual Cat Value]]="",Table2[[#This Row],[Suggested Cat Value]],VLOOKUP(Table2[[#This Row],[Manual Cat Value]],Lookup!G:H,2,0))</f>
        <v>Shopping</v>
      </c>
      <c r="G13052" t="s">
        <v>21</v>
      </c>
      <c r="I13052" s="8"/>
      <c r="O13052" t="str">
        <f>LEFT(Table2[[#This Row],[Description]],75)</f>
        <v>Transfer to Venmo</v>
      </c>
    </row>
    <row r="13053" spans="1:15" hidden="1">
      <c r="A13053">
        <v>202503</v>
      </c>
      <c r="B13053" s="6">
        <v>45739</v>
      </c>
      <c r="C13053" t="s">
        <v>3938</v>
      </c>
      <c r="D13053" t="s">
        <v>4920</v>
      </c>
      <c r="E13053">
        <v>214.5</v>
      </c>
      <c r="F13053" t="str">
        <f>IF(Table2[[#This Row],[Manual Cat Value]]="",Table2[[#This Row],[Suggested Cat Value]],VLOOKUP(Table2[[#This Row],[Manual Cat Value]],Lookup!G:H,2,0))</f>
        <v>Shopping</v>
      </c>
      <c r="G13053" t="s">
        <v>21</v>
      </c>
      <c r="I13053" s="8"/>
      <c r="O13053" t="str">
        <f>LEFT(Table2[[#This Row],[Description]],75)</f>
        <v>Vuori Clothing</v>
      </c>
    </row>
    <row r="13054" spans="1:15" hidden="1">
      <c r="A13054">
        <v>202502</v>
      </c>
      <c r="B13054" s="6">
        <v>45705</v>
      </c>
      <c r="C13054" t="s">
        <v>130</v>
      </c>
      <c r="D13054" t="s">
        <v>6190</v>
      </c>
      <c r="E13054">
        <v>213.11</v>
      </c>
      <c r="F13054" t="str">
        <f>IF(Table2[[#This Row],[Manual Cat Value]]="",Table2[[#This Row],[Suggested Cat Value]],VLOOKUP(Table2[[#This Row],[Manual Cat Value]],Lookup!G:H,2,0))</f>
        <v>Travel</v>
      </c>
      <c r="G13054" t="s">
        <v>43</v>
      </c>
      <c r="I13054" s="8"/>
      <c r="O13054" t="str">
        <f>LEFT(Table2[[#This Row],[Description]],75)</f>
        <v>TM - TICKETMASTER L</v>
      </c>
    </row>
    <row r="13055" spans="1:15" hidden="1">
      <c r="A13055">
        <v>202502</v>
      </c>
      <c r="B13055" s="6">
        <v>45709</v>
      </c>
      <c r="C13055" t="s">
        <v>130</v>
      </c>
      <c r="D13055" t="s">
        <v>6191</v>
      </c>
      <c r="E13055">
        <v>213.05</v>
      </c>
      <c r="F13055" t="str">
        <f>IF(Table2[[#This Row],[Manual Cat Value]]="",Table2[[#This Row],[Suggested Cat Value]],VLOOKUP(Table2[[#This Row],[Manual Cat Value]],Lookup!G:H,2,0))</f>
        <v>Restaurants</v>
      </c>
      <c r="G13055" t="s">
        <v>26</v>
      </c>
      <c r="I13055" s="8"/>
      <c r="O13055" t="str">
        <f>LEFT(Table2[[#This Row],[Description]],75)</f>
        <v>TST* NEW JESTER RESTEXCELSIOR           MN</v>
      </c>
    </row>
    <row r="13056" spans="1:15" hidden="1">
      <c r="A13056">
        <v>202502</v>
      </c>
      <c r="B13056" s="6">
        <v>45694</v>
      </c>
      <c r="C13056" t="s">
        <v>2519</v>
      </c>
      <c r="D13056" t="s">
        <v>1469</v>
      </c>
      <c r="E13056">
        <v>205.23</v>
      </c>
      <c r="F13056" t="str">
        <f>IF(Table2[[#This Row],[Manual Cat Value]]="",Table2[[#This Row],[Suggested Cat Value]],VLOOKUP(Table2[[#This Row],[Manual Cat Value]],Lookup!G:H,2,0))</f>
        <v>Utilities</v>
      </c>
      <c r="G13056" t="s">
        <v>7</v>
      </c>
      <c r="I13056" s="8"/>
      <c r="O13056" t="str">
        <f>LEFT(Table2[[#This Row],[Description]],75)</f>
        <v>Payment to Waste management</v>
      </c>
    </row>
    <row r="13057" spans="1:15" hidden="1">
      <c r="A13057">
        <v>202505</v>
      </c>
      <c r="B13057" s="6">
        <v>45784</v>
      </c>
      <c r="C13057" t="s">
        <v>2519</v>
      </c>
      <c r="D13057" t="s">
        <v>1469</v>
      </c>
      <c r="E13057">
        <v>204.67</v>
      </c>
      <c r="F13057" t="str">
        <f>IF(Table2[[#This Row],[Manual Cat Value]]="",Table2[[#This Row],[Suggested Cat Value]],VLOOKUP(Table2[[#This Row],[Manual Cat Value]],Lookup!G:H,2,0))</f>
        <v>Utilities</v>
      </c>
      <c r="G13057" t="s">
        <v>7</v>
      </c>
      <c r="I13057" s="8"/>
      <c r="O13057" t="str">
        <f>LEFT(Table2[[#This Row],[Description]],75)</f>
        <v>Payment to Waste management</v>
      </c>
    </row>
    <row r="13058" spans="1:15" hidden="1">
      <c r="A13058">
        <v>202501</v>
      </c>
      <c r="B13058" s="6">
        <v>45674</v>
      </c>
      <c r="C13058" t="s">
        <v>130</v>
      </c>
      <c r="D13058" t="s">
        <v>6192</v>
      </c>
      <c r="E13058">
        <v>200</v>
      </c>
      <c r="F13058" t="str">
        <f>IF(Table2[[#This Row],[Manual Cat Value]]="",Table2[[#This Row],[Suggested Cat Value]],VLOOKUP(Table2[[#This Row],[Manual Cat Value]],Lookup!G:H,2,0))</f>
        <v>Shopping</v>
      </c>
      <c r="G13058" t="s">
        <v>21</v>
      </c>
      <c r="I13058" s="8"/>
      <c r="O13058" t="str">
        <f>LEFT(Table2[[#This Row],[Description]],75)</f>
        <v>POTOMAC RIVER RUNNINASHBURN             VA</v>
      </c>
    </row>
    <row r="13059" spans="1:15" hidden="1">
      <c r="A13059">
        <v>202504</v>
      </c>
      <c r="B13059" s="6">
        <v>45764</v>
      </c>
      <c r="C13059" t="s">
        <v>2519</v>
      </c>
      <c r="D13059" t="s">
        <v>1958</v>
      </c>
      <c r="E13059">
        <v>200</v>
      </c>
      <c r="F13059" t="str">
        <f>IF(Table2[[#This Row],[Manual Cat Value]]="",Table2[[#This Row],[Suggested Cat Value]],VLOOKUP(Table2[[#This Row],[Manual Cat Value]],Lookup!G:H,2,0))</f>
        <v>Shopping</v>
      </c>
      <c r="G13059" t="s">
        <v>21</v>
      </c>
      <c r="I13059" s="8"/>
      <c r="O13059" t="str">
        <f>LEFT(Table2[[#This Row],[Description]],75)</f>
        <v>Transfer to Venmo</v>
      </c>
    </row>
    <row r="13060" spans="1:15" hidden="1">
      <c r="A13060">
        <v>202505</v>
      </c>
      <c r="B13060" s="6">
        <v>45787</v>
      </c>
      <c r="C13060" t="s">
        <v>130</v>
      </c>
      <c r="D13060" t="s">
        <v>6193</v>
      </c>
      <c r="E13060">
        <v>198</v>
      </c>
      <c r="F13060" t="str">
        <f>IF(Table2[[#This Row],[Manual Cat Value]]="",Table2[[#This Row],[Suggested Cat Value]],VLOOKUP(Table2[[#This Row],[Manual Cat Value]],Lookup!G:H,2,0))</f>
        <v>Restaurants</v>
      </c>
      <c r="G13060" t="s">
        <v>26</v>
      </c>
      <c r="I13060" s="8"/>
      <c r="O13060" t="str">
        <f>LEFT(Table2[[#This Row],[Description]],75)</f>
        <v>BLVD   *FACEFOUNDRIEEDINA               MN</v>
      </c>
    </row>
    <row r="13061" spans="1:15" hidden="1">
      <c r="A13061">
        <v>202505</v>
      </c>
      <c r="B13061" s="6">
        <v>45798</v>
      </c>
      <c r="C13061" t="s">
        <v>130</v>
      </c>
      <c r="D13061" t="s">
        <v>6194</v>
      </c>
      <c r="E13061">
        <v>197.08</v>
      </c>
      <c r="F13061" t="str">
        <f>IF(Table2[[#This Row],[Manual Cat Value]]="",Table2[[#This Row],[Suggested Cat Value]],VLOOKUP(Table2[[#This Row],[Manual Cat Value]],Lookup!G:H,2,0))</f>
        <v>Shopping</v>
      </c>
      <c r="G13061" t="s">
        <v>21</v>
      </c>
      <c r="I13061" s="8"/>
      <c r="O13061" t="str">
        <f>LEFT(Table2[[#This Row],[Description]],75)</f>
        <v>SP PATARASHOES.COM  LA JOLLA            CA</v>
      </c>
    </row>
    <row r="13062" spans="1:15" hidden="1">
      <c r="A13062">
        <v>202505</v>
      </c>
      <c r="B13062" s="6">
        <v>45803</v>
      </c>
      <c r="C13062" t="s">
        <v>130</v>
      </c>
      <c r="D13062" t="s">
        <v>6195</v>
      </c>
      <c r="E13062">
        <v>194.15</v>
      </c>
      <c r="F13062" t="str">
        <f>IF(Table2[[#This Row],[Manual Cat Value]]="",Table2[[#This Row],[Suggested Cat Value]],VLOOKUP(Table2[[#This Row],[Manual Cat Value]],Lookup!G:H,2,0))</f>
        <v>Shopping</v>
      </c>
      <c r="G13062" t="s">
        <v>26</v>
      </c>
      <c r="H13062" s="8" t="s">
        <v>36</v>
      </c>
      <c r="I13062" s="8"/>
      <c r="O13062" t="str">
        <f>LEFT(Table2[[#This Row],[Description]],75)</f>
        <v>AplPay SP SOTA CLOTHEDEN PRAIRIE        MN</v>
      </c>
    </row>
    <row r="13063" spans="1:15" hidden="1">
      <c r="A13063">
        <v>202504</v>
      </c>
      <c r="B13063" s="6">
        <v>45773</v>
      </c>
      <c r="C13063" t="s">
        <v>130</v>
      </c>
      <c r="D13063" t="s">
        <v>6196</v>
      </c>
      <c r="E13063">
        <v>192.86</v>
      </c>
      <c r="F13063" t="str">
        <f>IF(Table2[[#This Row],[Manual Cat Value]]="",Table2[[#This Row],[Suggested Cat Value]],VLOOKUP(Table2[[#This Row],[Manual Cat Value]],Lookup!G:H,2,0))</f>
        <v>Restaurants</v>
      </c>
      <c r="G13063" t="s">
        <v>26</v>
      </c>
      <c r="I13063" s="8"/>
      <c r="O13063" t="str">
        <f>LEFT(Table2[[#This Row],[Description]],75)</f>
        <v>AplPay TST* NEW JESTEXCELSIOR           MN</v>
      </c>
    </row>
    <row r="13064" spans="1:15" hidden="1">
      <c r="A13064">
        <v>202501</v>
      </c>
      <c r="B13064" s="6">
        <v>45667</v>
      </c>
      <c r="C13064" t="s">
        <v>130</v>
      </c>
      <c r="D13064" t="s">
        <v>5759</v>
      </c>
      <c r="E13064">
        <v>186.96</v>
      </c>
      <c r="F13064" t="str">
        <f>IF(Table2[[#This Row],[Manual Cat Value]]="",Table2[[#This Row],[Suggested Cat Value]],VLOOKUP(Table2[[#This Row],[Manual Cat Value]],Lookup!G:H,2,0))</f>
        <v>Groceries</v>
      </c>
      <c r="G13064" t="s">
        <v>28</v>
      </c>
      <c r="I13064" s="8"/>
      <c r="O13064" t="str">
        <f>LEFT(Table2[[#This Row],[Description]],75)</f>
        <v>HOME CHEF           CHICAGO             IL</v>
      </c>
    </row>
    <row r="13065" spans="1:15" hidden="1">
      <c r="A13065">
        <v>202504</v>
      </c>
      <c r="B13065" s="6">
        <v>45758</v>
      </c>
      <c r="C13065" t="s">
        <v>130</v>
      </c>
      <c r="D13065" t="s">
        <v>5759</v>
      </c>
      <c r="E13065">
        <v>183.65</v>
      </c>
      <c r="F13065" t="str">
        <f>IF(Table2[[#This Row],[Manual Cat Value]]="",Table2[[#This Row],[Suggested Cat Value]],VLOOKUP(Table2[[#This Row],[Manual Cat Value]],Lookup!G:H,2,0))</f>
        <v>Groceries</v>
      </c>
      <c r="G13065" t="s">
        <v>28</v>
      </c>
      <c r="I13065" s="8"/>
      <c r="O13065" t="str">
        <f>LEFT(Table2[[#This Row],[Description]],75)</f>
        <v>HOME CHEF           CHICAGO             IL</v>
      </c>
    </row>
    <row r="13066" spans="1:15" hidden="1">
      <c r="A13066">
        <v>202504</v>
      </c>
      <c r="B13066" s="6">
        <v>45751</v>
      </c>
      <c r="C13066" t="s">
        <v>130</v>
      </c>
      <c r="D13066" t="s">
        <v>5759</v>
      </c>
      <c r="E13066">
        <v>183.52</v>
      </c>
      <c r="F13066" t="str">
        <f>IF(Table2[[#This Row],[Manual Cat Value]]="",Table2[[#This Row],[Suggested Cat Value]],VLOOKUP(Table2[[#This Row],[Manual Cat Value]],Lookup!G:H,2,0))</f>
        <v>Groceries</v>
      </c>
      <c r="G13066" t="s">
        <v>28</v>
      </c>
      <c r="I13066" s="8"/>
      <c r="O13066" t="str">
        <f>LEFT(Table2[[#This Row],[Description]],75)</f>
        <v>HOME CHEF           CHICAGO             IL</v>
      </c>
    </row>
    <row r="13067" spans="1:15" hidden="1">
      <c r="A13067">
        <v>202503</v>
      </c>
      <c r="B13067" s="6">
        <v>45726</v>
      </c>
      <c r="C13067" t="s">
        <v>2519</v>
      </c>
      <c r="D13067" t="s">
        <v>1470</v>
      </c>
      <c r="E13067">
        <v>181.92</v>
      </c>
      <c r="F13067" t="str">
        <f>IF(Table2[[#This Row],[Manual Cat Value]]="",Table2[[#This Row],[Suggested Cat Value]],VLOOKUP(Table2[[#This Row],[Manual Cat Value]],Lookup!G:H,2,0))</f>
        <v>Utilities</v>
      </c>
      <c r="G13067" t="s">
        <v>7</v>
      </c>
      <c r="I13067" s="8"/>
      <c r="O13067" t="str">
        <f>LEFT(Table2[[#This Row],[Description]],75)</f>
        <v>Payment to Xcel Energy</v>
      </c>
    </row>
    <row r="13068" spans="1:15" hidden="1">
      <c r="A13068">
        <v>202504</v>
      </c>
      <c r="B13068" s="6">
        <v>45750</v>
      </c>
      <c r="C13068" t="s">
        <v>130</v>
      </c>
      <c r="D13068" t="s">
        <v>6197</v>
      </c>
      <c r="E13068">
        <v>181.05</v>
      </c>
      <c r="F13068" t="str">
        <f>IF(Table2[[#This Row],[Manual Cat Value]]="",Table2[[#This Row],[Suggested Cat Value]],VLOOKUP(Table2[[#This Row],[Manual Cat Value]],Lookup!G:H,2,0))</f>
        <v>Restaurants</v>
      </c>
      <c r="G13068" t="s">
        <v>26</v>
      </c>
      <c r="I13068" s="8"/>
      <c r="O13068" t="str">
        <f>LEFT(Table2[[#This Row],[Description]],75)</f>
        <v>AplPay DERVISH BANGSORLANDO             FL</v>
      </c>
    </row>
    <row r="13069" spans="1:15" hidden="1">
      <c r="A13069">
        <v>202505</v>
      </c>
      <c r="B13069" s="6">
        <v>45796</v>
      </c>
      <c r="C13069" t="s">
        <v>2519</v>
      </c>
      <c r="D13069" t="s">
        <v>1958</v>
      </c>
      <c r="E13069">
        <v>180</v>
      </c>
      <c r="F13069" t="str">
        <f>IF(Table2[[#This Row],[Manual Cat Value]]="",Table2[[#This Row],[Suggested Cat Value]],VLOOKUP(Table2[[#This Row],[Manual Cat Value]],Lookup!G:H,2,0))</f>
        <v>Shopping</v>
      </c>
      <c r="G13069" t="s">
        <v>21</v>
      </c>
      <c r="I13069" s="8"/>
      <c r="O13069" t="str">
        <f>LEFT(Table2[[#This Row],[Description]],75)</f>
        <v>Transfer to Venmo</v>
      </c>
    </row>
    <row r="13070" spans="1:15" hidden="1">
      <c r="A13070">
        <v>202504</v>
      </c>
      <c r="B13070" s="6">
        <v>45775</v>
      </c>
      <c r="C13070" t="s">
        <v>2519</v>
      </c>
      <c r="D13070" t="s">
        <v>1958</v>
      </c>
      <c r="E13070">
        <v>175</v>
      </c>
      <c r="F13070" t="str">
        <f>IF(Table2[[#This Row],[Manual Cat Value]]="",Table2[[#This Row],[Suggested Cat Value]],VLOOKUP(Table2[[#This Row],[Manual Cat Value]],Lookup!G:H,2,0))</f>
        <v>Shopping</v>
      </c>
      <c r="G13070" t="s">
        <v>21</v>
      </c>
      <c r="I13070" s="8"/>
      <c r="O13070" t="str">
        <f>LEFT(Table2[[#This Row],[Description]],75)</f>
        <v>Transfer to Venmo</v>
      </c>
    </row>
    <row r="13071" spans="1:15" hidden="1">
      <c r="A13071">
        <v>202503</v>
      </c>
      <c r="B13071" s="6">
        <v>45723</v>
      </c>
      <c r="C13071" t="s">
        <v>130</v>
      </c>
      <c r="D13071" t="s">
        <v>5759</v>
      </c>
      <c r="E13071">
        <v>169.1</v>
      </c>
      <c r="F13071" t="str">
        <f>IF(Table2[[#This Row],[Manual Cat Value]]="",Table2[[#This Row],[Suggested Cat Value]],VLOOKUP(Table2[[#This Row],[Manual Cat Value]],Lookup!G:H,2,0))</f>
        <v>Groceries</v>
      </c>
      <c r="G13071" t="s">
        <v>28</v>
      </c>
      <c r="I13071" s="8"/>
      <c r="O13071" t="str">
        <f>LEFT(Table2[[#This Row],[Description]],75)</f>
        <v>HOME CHEF           CHICAGO             IL</v>
      </c>
    </row>
    <row r="13072" spans="1:15" hidden="1">
      <c r="A13072">
        <v>202505</v>
      </c>
      <c r="B13072" s="6">
        <v>45782</v>
      </c>
      <c r="C13072" t="s">
        <v>3938</v>
      </c>
      <c r="D13072" t="s">
        <v>648</v>
      </c>
      <c r="E13072">
        <v>169.03</v>
      </c>
      <c r="F13072" t="str">
        <f>IF(Table2[[#This Row],[Manual Cat Value]]="",Table2[[#This Row],[Suggested Cat Value]],VLOOKUP(Table2[[#This Row],[Manual Cat Value]],Lookup!G:H,2,0))</f>
        <v>Groceries</v>
      </c>
      <c r="G13072" t="s">
        <v>28</v>
      </c>
      <c r="I13072" s="8"/>
      <c r="O13072" t="str">
        <f>LEFT(Table2[[#This Row],[Description]],75)</f>
        <v>Costco</v>
      </c>
    </row>
    <row r="13073" spans="1:15" hidden="1">
      <c r="A13073">
        <v>202503</v>
      </c>
      <c r="B13073" s="6">
        <v>45719</v>
      </c>
      <c r="C13073" t="s">
        <v>3938</v>
      </c>
      <c r="D13073" t="s">
        <v>6198</v>
      </c>
      <c r="E13073">
        <v>166.1</v>
      </c>
      <c r="F13073" t="str">
        <f>IF(Table2[[#This Row],[Manual Cat Value]]="",Table2[[#This Row],[Suggested Cat Value]],VLOOKUP(Table2[[#This Row],[Manual Cat Value]],Lookup!G:H,2,0))</f>
        <v>Travel</v>
      </c>
      <c r="G13073" t="s">
        <v>26</v>
      </c>
      <c r="H13073" s="8" t="s">
        <v>52</v>
      </c>
      <c r="I13073" s="8"/>
      <c r="O13073" t="str">
        <f>LEFT(Table2[[#This Row],[Description]],75)</f>
        <v>MYSTIQUE CAR RENTAL AND TPROVIDENCIALETC REF #XX9451W0021S2GL</v>
      </c>
    </row>
    <row r="13074" spans="1:15" hidden="1">
      <c r="A13074">
        <v>202504</v>
      </c>
      <c r="B13074" s="6">
        <v>45775</v>
      </c>
      <c r="C13074" t="s">
        <v>3938</v>
      </c>
      <c r="D13074" t="s">
        <v>6199</v>
      </c>
      <c r="E13074">
        <v>165</v>
      </c>
      <c r="F13074" t="str">
        <f>IF(Table2[[#This Row],[Manual Cat Value]]="",Table2[[#This Row],[Suggested Cat Value]],VLOOKUP(Table2[[#This Row],[Manual Cat Value]],Lookup!G:H,2,0))</f>
        <v>Entertainment</v>
      </c>
      <c r="G13074" t="s">
        <v>26</v>
      </c>
      <c r="H13074" s="8" t="s">
        <v>39</v>
      </c>
      <c r="I13074" s="8"/>
      <c r="O13074" t="str">
        <f>LEFT(Table2[[#This Row],[Description]],75)</f>
        <v>LAWRENCE ACUPUNCTURE XX1141 KS REF #XX1343M2X7BPNWP</v>
      </c>
    </row>
    <row r="13075" spans="1:15" hidden="1">
      <c r="A13075">
        <v>202501</v>
      </c>
      <c r="B13075" s="6">
        <v>45669</v>
      </c>
      <c r="C13075" t="s">
        <v>130</v>
      </c>
      <c r="D13075" t="s">
        <v>6200</v>
      </c>
      <c r="E13075">
        <v>164.36</v>
      </c>
      <c r="F13075" t="str">
        <f>IF(Table2[[#This Row],[Manual Cat Value]]="",Table2[[#This Row],[Suggested Cat Value]],VLOOKUP(Table2[[#This Row],[Manual Cat Value]],Lookup!G:H,2,0))</f>
        <v>Entertainment</v>
      </c>
      <c r="G13075" t="s">
        <v>40</v>
      </c>
      <c r="I13075" s="8"/>
      <c r="O13075" t="str">
        <f>LEFT(Table2[[#This Row],[Description]],75)</f>
        <v>BUCK HILL WEBSITE 65BURNSVILLE          MN</v>
      </c>
    </row>
    <row r="13076" spans="1:15" hidden="1">
      <c r="A13076">
        <v>202503</v>
      </c>
      <c r="B13076" s="6">
        <v>45735</v>
      </c>
      <c r="C13076" t="s">
        <v>2519</v>
      </c>
      <c r="D13076" t="s">
        <v>1464</v>
      </c>
      <c r="E13076">
        <v>163.79</v>
      </c>
      <c r="F13076" t="str">
        <f>IF(Table2[[#This Row],[Manual Cat Value]]="",Table2[[#This Row],[Suggested Cat Value]],VLOOKUP(Table2[[#This Row],[Manual Cat Value]],Lookup!G:H,2,0))</f>
        <v>Delete</v>
      </c>
      <c r="G13076" t="s">
        <v>9</v>
      </c>
      <c r="I13076" s="8"/>
      <c r="O13076" t="str">
        <f>LEFT(Table2[[#This Row],[Description]],75)</f>
        <v>Payment to Discover Bank</v>
      </c>
    </row>
    <row r="13077" spans="1:15" hidden="1">
      <c r="A13077">
        <v>202501</v>
      </c>
      <c r="B13077" s="6">
        <v>45667</v>
      </c>
      <c r="C13077" t="s">
        <v>2519</v>
      </c>
      <c r="D13077" t="s">
        <v>1470</v>
      </c>
      <c r="E13077">
        <v>163.22999999999999</v>
      </c>
      <c r="F13077" t="str">
        <f>IF(Table2[[#This Row],[Manual Cat Value]]="",Table2[[#This Row],[Suggested Cat Value]],VLOOKUP(Table2[[#This Row],[Manual Cat Value]],Lookup!G:H,2,0))</f>
        <v>Utilities</v>
      </c>
      <c r="G13077" t="s">
        <v>7</v>
      </c>
      <c r="I13077" s="8"/>
      <c r="O13077" t="str">
        <f>LEFT(Table2[[#This Row],[Description]],75)</f>
        <v>Payment to Xcel Energy</v>
      </c>
    </row>
    <row r="13078" spans="1:15" hidden="1">
      <c r="A13078">
        <v>202505</v>
      </c>
      <c r="B13078" s="6">
        <v>45783</v>
      </c>
      <c r="C13078" t="s">
        <v>130</v>
      </c>
      <c r="D13078" t="s">
        <v>6201</v>
      </c>
      <c r="E13078">
        <v>163</v>
      </c>
      <c r="F13078" t="str">
        <f>IF(Table2[[#This Row],[Manual Cat Value]]="",Table2[[#This Row],[Suggested Cat Value]],VLOOKUP(Table2[[#This Row],[Manual Cat Value]],Lookup!G:H,2,0))</f>
        <v>Shopping</v>
      </c>
      <c r="G13078" t="s">
        <v>21</v>
      </c>
      <c r="I13078" s="8"/>
      <c r="O13078" t="str">
        <f>LEFT(Table2[[#This Row],[Description]],75)</f>
        <v>SP MACADE GOLF      CHICAGO             IL</v>
      </c>
    </row>
    <row r="13079" spans="1:15" hidden="1">
      <c r="A13079">
        <v>202504</v>
      </c>
      <c r="B13079" s="6">
        <v>45765</v>
      </c>
      <c r="C13079" t="s">
        <v>130</v>
      </c>
      <c r="D13079" t="s">
        <v>5759</v>
      </c>
      <c r="E13079">
        <v>162.88</v>
      </c>
      <c r="F13079" t="str">
        <f>IF(Table2[[#This Row],[Manual Cat Value]]="",Table2[[#This Row],[Suggested Cat Value]],VLOOKUP(Table2[[#This Row],[Manual Cat Value]],Lookup!G:H,2,0))</f>
        <v>Groceries</v>
      </c>
      <c r="G13079" t="s">
        <v>28</v>
      </c>
      <c r="I13079" s="8"/>
      <c r="O13079" t="str">
        <f>LEFT(Table2[[#This Row],[Description]],75)</f>
        <v>HOME CHEF           CHICAGO             IL</v>
      </c>
    </row>
    <row r="13080" spans="1:15" hidden="1">
      <c r="A13080">
        <v>202505</v>
      </c>
      <c r="B13080" s="6">
        <v>45789</v>
      </c>
      <c r="C13080" t="s">
        <v>130</v>
      </c>
      <c r="D13080" t="s">
        <v>6177</v>
      </c>
      <c r="E13080">
        <v>162.5</v>
      </c>
      <c r="F13080" t="str">
        <f>IF(Table2[[#This Row],[Manual Cat Value]]="",Table2[[#This Row],[Suggested Cat Value]],VLOOKUP(Table2[[#This Row],[Manual Cat Value]],Lookup!G:H,2,0))</f>
        <v>Shopping</v>
      </c>
      <c r="G13080" t="s">
        <v>21</v>
      </c>
      <c r="I13080" s="8"/>
      <c r="O13080" t="str">
        <f>LEFT(Table2[[#This Row],[Description]],75)</f>
        <v>SP VUORI CLOTHING   ENCINITAS           CA</v>
      </c>
    </row>
    <row r="13081" spans="1:15" hidden="1">
      <c r="A13081">
        <v>202503</v>
      </c>
      <c r="B13081" s="6">
        <v>45740</v>
      </c>
      <c r="C13081" t="s">
        <v>130</v>
      </c>
      <c r="D13081" t="s">
        <v>5817</v>
      </c>
      <c r="E13081">
        <v>161.29</v>
      </c>
      <c r="F13081" t="str">
        <f>IF(Table2[[#This Row],[Manual Cat Value]]="",Table2[[#This Row],[Suggested Cat Value]],VLOOKUP(Table2[[#This Row],[Manual Cat Value]],Lookup!G:H,2,0))</f>
        <v>Healthcare</v>
      </c>
      <c r="G13081" t="s">
        <v>48</v>
      </c>
      <c r="I13081" s="8"/>
      <c r="O13081" t="str">
        <f>LEFT(Table2[[#This Row],[Description]],75)</f>
        <v>ADVOCARE</v>
      </c>
    </row>
    <row r="13082" spans="1:15" hidden="1">
      <c r="A13082">
        <v>202503</v>
      </c>
      <c r="B13082" s="6">
        <v>45746</v>
      </c>
      <c r="C13082" t="s">
        <v>130</v>
      </c>
      <c r="D13082" t="s">
        <v>6202</v>
      </c>
      <c r="E13082">
        <v>160.05000000000001</v>
      </c>
      <c r="F13082" t="str">
        <f>IF(Table2[[#This Row],[Manual Cat Value]]="",Table2[[#This Row],[Suggested Cat Value]],VLOOKUP(Table2[[#This Row],[Manual Cat Value]],Lookup!G:H,2,0))</f>
        <v>Target</v>
      </c>
      <c r="G13082" t="s">
        <v>31</v>
      </c>
      <c r="I13082" s="8"/>
      <c r="O13082" t="str">
        <f>LEFT(Table2[[#This Row],[Description]],75)</f>
        <v>TARGET        020636NAPLES              FL</v>
      </c>
    </row>
    <row r="13083" spans="1:15" hidden="1">
      <c r="A13083">
        <v>202501</v>
      </c>
      <c r="B13083" s="6">
        <v>45684</v>
      </c>
      <c r="C13083" t="s">
        <v>130</v>
      </c>
      <c r="D13083" t="s">
        <v>6203</v>
      </c>
      <c r="E13083">
        <v>159.5</v>
      </c>
      <c r="F13083" t="str">
        <f>IF(Table2[[#This Row],[Manual Cat Value]]="",Table2[[#This Row],[Suggested Cat Value]],VLOOKUP(Table2[[#This Row],[Manual Cat Value]],Lookup!G:H,2,0))</f>
        <v>Healthcare</v>
      </c>
      <c r="G13083" t="s">
        <v>26</v>
      </c>
      <c r="H13083" s="8" t="s">
        <v>47</v>
      </c>
      <c r="I13083" s="8"/>
      <c r="O13083" t="str">
        <f>LEFT(Table2[[#This Row],[Description]],75)</f>
        <v>EXCELSIOR FAMILY DENEXCELSIOR           MN</v>
      </c>
    </row>
    <row r="13084" spans="1:15" hidden="1">
      <c r="A13084">
        <v>202501</v>
      </c>
      <c r="B13084" s="6">
        <v>45675</v>
      </c>
      <c r="C13084" t="s">
        <v>130</v>
      </c>
      <c r="D13084" t="s">
        <v>6204</v>
      </c>
      <c r="E13084">
        <v>157.74</v>
      </c>
      <c r="F13084" t="str">
        <f>IF(Table2[[#This Row],[Manual Cat Value]]="",Table2[[#This Row],[Suggested Cat Value]],VLOOKUP(Table2[[#This Row],[Manual Cat Value]],Lookup!G:H,2,0))</f>
        <v>Restaurants</v>
      </c>
      <c r="G13084" t="s">
        <v>26</v>
      </c>
      <c r="I13084" s="8"/>
      <c r="O13084" t="str">
        <f>LEFT(Table2[[#This Row],[Description]],75)</f>
        <v>TST* RED COW - WAYZAWAYZATA             MN</v>
      </c>
    </row>
    <row r="13085" spans="1:15" hidden="1">
      <c r="A13085">
        <v>202505</v>
      </c>
      <c r="B13085" s="6">
        <v>45788</v>
      </c>
      <c r="C13085" t="s">
        <v>130</v>
      </c>
      <c r="D13085" t="s">
        <v>6205</v>
      </c>
      <c r="E13085">
        <v>156</v>
      </c>
      <c r="F13085" t="str">
        <f>IF(Table2[[#This Row],[Manual Cat Value]]="",Table2[[#This Row],[Suggested Cat Value]],VLOOKUP(Table2[[#This Row],[Manual Cat Value]],Lookup!G:H,2,0))</f>
        <v>Shopping</v>
      </c>
      <c r="G13085" t="s">
        <v>21</v>
      </c>
      <c r="I13085" s="8"/>
      <c r="O13085" t="str">
        <f>LEFT(Table2[[#This Row],[Description]],75)</f>
        <v>SP BAD BIRDIE LLC   GLENDALE            CA</v>
      </c>
    </row>
    <row r="13086" spans="1:15" hidden="1">
      <c r="A13086">
        <v>202505</v>
      </c>
      <c r="B13086" s="6">
        <v>45785</v>
      </c>
      <c r="C13086" t="s">
        <v>2519</v>
      </c>
      <c r="D13086" t="s">
        <v>1470</v>
      </c>
      <c r="E13086">
        <v>152.25</v>
      </c>
      <c r="F13086" t="str">
        <f>IF(Table2[[#This Row],[Manual Cat Value]]="",Table2[[#This Row],[Suggested Cat Value]],VLOOKUP(Table2[[#This Row],[Manual Cat Value]],Lookup!G:H,2,0))</f>
        <v>Utilities</v>
      </c>
      <c r="G13086" t="s">
        <v>7</v>
      </c>
      <c r="I13086" s="8"/>
      <c r="O13086" t="str">
        <f>LEFT(Table2[[#This Row],[Description]],75)</f>
        <v>Payment to Xcel Energy</v>
      </c>
    </row>
    <row r="13087" spans="1:15" hidden="1">
      <c r="A13087">
        <v>202501</v>
      </c>
      <c r="B13087" s="6">
        <v>45676</v>
      </c>
      <c r="C13087" t="s">
        <v>130</v>
      </c>
      <c r="D13087" t="s">
        <v>6206</v>
      </c>
      <c r="E13087">
        <v>152.21</v>
      </c>
      <c r="F13087" t="str">
        <f>IF(Table2[[#This Row],[Manual Cat Value]]="",Table2[[#This Row],[Suggested Cat Value]],VLOOKUP(Table2[[#This Row],[Manual Cat Value]],Lookup!G:H,2,0))</f>
        <v>Amazon</v>
      </c>
      <c r="G13087" t="s">
        <v>38</v>
      </c>
      <c r="I13087" s="8"/>
      <c r="O13087" t="str">
        <f>LEFT(Table2[[#This Row],[Description]],75)</f>
        <v>AMAZON.COM          AMZN.COM/BILL       WA</v>
      </c>
    </row>
    <row r="13088" spans="1:15" hidden="1">
      <c r="A13088">
        <v>202501</v>
      </c>
      <c r="B13088" s="6">
        <v>45664</v>
      </c>
      <c r="C13088" t="s">
        <v>130</v>
      </c>
      <c r="D13088" t="s">
        <v>6207</v>
      </c>
      <c r="E13088">
        <v>150.63999999999999</v>
      </c>
      <c r="F13088" t="str">
        <f>IF(Table2[[#This Row],[Manual Cat Value]]="",Table2[[#This Row],[Suggested Cat Value]],VLOOKUP(Table2[[#This Row],[Manual Cat Value]],Lookup!G:H,2,0))</f>
        <v>Amazon</v>
      </c>
      <c r="G13088" t="s">
        <v>38</v>
      </c>
      <c r="I13088" s="8"/>
      <c r="O13088" t="str">
        <f>LEFT(Table2[[#This Row],[Description]],75)</f>
        <v>Amazon Prime        Amazon.com          WA</v>
      </c>
    </row>
    <row r="13089" spans="1:15" hidden="1">
      <c r="A13089">
        <v>202502</v>
      </c>
      <c r="B13089" s="6">
        <v>45690</v>
      </c>
      <c r="C13089" t="s">
        <v>2258</v>
      </c>
      <c r="D13089" t="s">
        <v>6208</v>
      </c>
      <c r="E13089">
        <v>150.63999999999999</v>
      </c>
      <c r="F13089" t="str">
        <f>IF(Table2[[#This Row],[Manual Cat Value]]="",Table2[[#This Row],[Suggested Cat Value]],VLOOKUP(Table2[[#This Row],[Manual Cat Value]],Lookup!G:H,2,0))</f>
        <v>Amazon</v>
      </c>
      <c r="G13089" t="s">
        <v>38</v>
      </c>
      <c r="I13089" s="8"/>
      <c r="O13089" t="str">
        <f>LEFT(Table2[[#This Row],[Description]],75)</f>
        <v>AMAZON PRIME*Z74TB7J30 AMZN.COM/BILLWA5RKHP6M5WQ0</v>
      </c>
    </row>
    <row r="13090" spans="1:15" hidden="1">
      <c r="A13090">
        <v>202503</v>
      </c>
      <c r="B13090" s="6">
        <v>45734</v>
      </c>
      <c r="C13090" t="s">
        <v>2519</v>
      </c>
      <c r="D13090" t="s">
        <v>6209</v>
      </c>
      <c r="E13090">
        <v>400</v>
      </c>
      <c r="F13090" t="str">
        <f>IF(Table2[[#This Row],[Manual Cat Value]]="",Table2[[#This Row],[Suggested Cat Value]],VLOOKUP(Table2[[#This Row],[Manual Cat Value]],Lookup!G:H,2,0))</f>
        <v>Day Care</v>
      </c>
      <c r="G13090" t="s">
        <v>20</v>
      </c>
      <c r="I13090" s="8"/>
      <c r="O13090" t="str">
        <f>LEFT(Table2[[#This Row],[Description]],75)</f>
        <v>Withdrawal ACH Mis Amigos Presc TYPE: ID: XX7393 NAME: BCU CO: Mis Amigos P</v>
      </c>
    </row>
    <row r="13091" spans="1:15" hidden="1">
      <c r="A13091">
        <v>202501</v>
      </c>
      <c r="B13091" s="6">
        <v>45674</v>
      </c>
      <c r="C13091" t="s">
        <v>2519</v>
      </c>
      <c r="D13091" t="s">
        <v>1958</v>
      </c>
      <c r="E13091">
        <v>150</v>
      </c>
      <c r="F13091" t="str">
        <f>IF(Table2[[#This Row],[Manual Cat Value]]="",Table2[[#This Row],[Suggested Cat Value]],VLOOKUP(Table2[[#This Row],[Manual Cat Value]],Lookup!G:H,2,0))</f>
        <v>Shopping</v>
      </c>
      <c r="G13091" t="s">
        <v>21</v>
      </c>
      <c r="I13091" s="8"/>
      <c r="O13091" t="str">
        <f>LEFT(Table2[[#This Row],[Description]],75)</f>
        <v>Transfer to Venmo</v>
      </c>
    </row>
    <row r="13092" spans="1:15" hidden="1">
      <c r="A13092">
        <v>202503</v>
      </c>
      <c r="B13092" s="6">
        <v>45737</v>
      </c>
      <c r="C13092" t="s">
        <v>2519</v>
      </c>
      <c r="D13092" t="s">
        <v>6210</v>
      </c>
      <c r="E13092">
        <v>150</v>
      </c>
      <c r="F13092" t="str">
        <f>IF(Table2[[#This Row],[Manual Cat Value]]="",Table2[[#This Row],[Suggested Cat Value]],VLOOKUP(Table2[[#This Row],[Manual Cat Value]],Lookup!G:H,2,0))</f>
        <v>Day Care</v>
      </c>
      <c r="G13092" t="s">
        <v>20</v>
      </c>
      <c r="I13092" s="8"/>
      <c r="O13092" t="str">
        <f>LEFT(Table2[[#This Row],[Description]],75)</f>
        <v>Withdrawal ACH mtkalax.org TYPE: mtkalax.or ID: XX8598 CO: mtkalax.org NAME</v>
      </c>
    </row>
    <row r="13093" spans="1:15" hidden="1">
      <c r="A13093">
        <v>202504</v>
      </c>
      <c r="B13093" s="6">
        <v>45764</v>
      </c>
      <c r="C13093" t="s">
        <v>130</v>
      </c>
      <c r="D13093" t="s">
        <v>6211</v>
      </c>
      <c r="E13093">
        <v>149.5</v>
      </c>
      <c r="F13093" t="str">
        <f>IF(Table2[[#This Row],[Manual Cat Value]]="",Table2[[#This Row],[Suggested Cat Value]],VLOOKUP(Table2[[#This Row],[Manual Cat Value]],Lookup!G:H,2,0))</f>
        <v>Shopping</v>
      </c>
      <c r="G13093" t="s">
        <v>21</v>
      </c>
      <c r="I13093" s="8"/>
      <c r="O13093" t="str">
        <f>LEFT(Table2[[#This Row],[Description]],75)</f>
        <v>CHARLES TYRWHITT, INNEW YORK            NY</v>
      </c>
    </row>
    <row r="13094" spans="1:15" hidden="1">
      <c r="A13094">
        <v>202501</v>
      </c>
      <c r="B13094" s="6">
        <v>45662</v>
      </c>
      <c r="C13094" t="s">
        <v>130</v>
      </c>
      <c r="D13094" t="s">
        <v>6129</v>
      </c>
      <c r="E13094">
        <v>149</v>
      </c>
      <c r="F13094" t="str">
        <f>IF(Table2[[#This Row],[Manual Cat Value]]="",Table2[[#This Row],[Suggested Cat Value]],VLOOKUP(Table2[[#This Row],[Manual Cat Value]],Lookup!G:H,2,0))</f>
        <v>Delete</v>
      </c>
      <c r="G13094" t="s">
        <v>9</v>
      </c>
      <c r="I13094" s="8"/>
      <c r="O13094" t="str">
        <f>LEFT(Table2[[#This Row],[Description]],75)</f>
        <v>YMCA ONLINE         MINNESOTA           MN</v>
      </c>
    </row>
    <row r="13095" spans="1:15" hidden="1">
      <c r="A13095">
        <v>202503</v>
      </c>
      <c r="B13095" s="6">
        <v>45737</v>
      </c>
      <c r="C13095" t="s">
        <v>2519</v>
      </c>
      <c r="D13095" t="s">
        <v>6212</v>
      </c>
      <c r="E13095">
        <v>93.42</v>
      </c>
      <c r="F13095" t="str">
        <f>IF(Table2[[#This Row],[Manual Cat Value]]="",Table2[[#This Row],[Suggested Cat Value]],VLOOKUP(Table2[[#This Row],[Manual Cat Value]],Lookup!G:H,2,0))</f>
        <v>Day Care</v>
      </c>
      <c r="G13095" t="s">
        <v>20</v>
      </c>
      <c r="I13095" s="8"/>
      <c r="O13095" t="str">
        <f>LEFT(Table2[[#This Row],[Description]],75)</f>
        <v>Withdrawal ACH CITY OF CHANHASS TYPE: UTIL BILL ID: XX5331 CO: CITY OF CHAN</v>
      </c>
    </row>
    <row r="13096" spans="1:15" hidden="1">
      <c r="A13096">
        <v>202502</v>
      </c>
      <c r="B13096" s="6">
        <v>45692</v>
      </c>
      <c r="C13096" t="s">
        <v>130</v>
      </c>
      <c r="D13096" t="s">
        <v>6183</v>
      </c>
      <c r="E13096">
        <v>148.75</v>
      </c>
      <c r="F13096" t="str">
        <f>IF(Table2[[#This Row],[Manual Cat Value]]="",Table2[[#This Row],[Suggested Cat Value]],VLOOKUP(Table2[[#This Row],[Manual Cat Value]],Lookup!G:H,2,0))</f>
        <v>Amazon</v>
      </c>
      <c r="G13096" t="s">
        <v>38</v>
      </c>
      <c r="I13096" s="8"/>
      <c r="O13096" t="str">
        <f>LEFT(Table2[[#This Row],[Description]],75)</f>
        <v>AMAZON MARKEPLACE NA PA</v>
      </c>
    </row>
    <row r="13097" spans="1:15" hidden="1">
      <c r="A13097">
        <v>202503</v>
      </c>
      <c r="B13097" s="6">
        <v>45741</v>
      </c>
      <c r="C13097" t="s">
        <v>2519</v>
      </c>
      <c r="D13097" t="s">
        <v>6213</v>
      </c>
      <c r="E13097">
        <v>400</v>
      </c>
      <c r="F13097" t="str">
        <f>IF(Table2[[#This Row],[Manual Cat Value]]="",Table2[[#This Row],[Suggested Cat Value]],VLOOKUP(Table2[[#This Row],[Manual Cat Value]],Lookup!G:H,2,0))</f>
        <v>Day Care</v>
      </c>
      <c r="G13097" t="s">
        <v>20</v>
      </c>
      <c r="I13097" s="8"/>
      <c r="O13097" t="str">
        <f>LEFT(Table2[[#This Row],[Description]],75)</f>
        <v>Withdrawal ACH Mis Amigos Presc TYPE: ID: XX7393 NAME: BCU CO: Mis Amigos P</v>
      </c>
    </row>
    <row r="13098" spans="1:15" hidden="1">
      <c r="A13098">
        <v>202503</v>
      </c>
      <c r="B13098" s="6">
        <v>45733</v>
      </c>
      <c r="C13098" t="s">
        <v>3938</v>
      </c>
      <c r="D13098" t="s">
        <v>6214</v>
      </c>
      <c r="E13098">
        <v>148.4</v>
      </c>
      <c r="F13098" t="str">
        <f>IF(Table2[[#This Row],[Manual Cat Value]]="",Table2[[#This Row],[Suggested Cat Value]],VLOOKUP(Table2[[#This Row],[Manual Cat Value]],Lookup!G:H,2,0))</f>
        <v>Restaurants</v>
      </c>
      <c r="G13098" t="s">
        <v>26</v>
      </c>
      <c r="I13098" s="8"/>
      <c r="O13098" t="str">
        <f>LEFT(Table2[[#This Row],[Description]],75)</f>
        <v>TST* PORZANA MINNEAPOLIS MN REF #XX7462B2XPTGGX6</v>
      </c>
    </row>
    <row r="13099" spans="1:15" hidden="1">
      <c r="A13099">
        <v>202502</v>
      </c>
      <c r="B13099" s="6">
        <v>45711</v>
      </c>
      <c r="C13099" t="s">
        <v>130</v>
      </c>
      <c r="D13099" t="s">
        <v>6215</v>
      </c>
      <c r="E13099">
        <v>145.30000000000001</v>
      </c>
      <c r="F13099" t="str">
        <f>IF(Table2[[#This Row],[Manual Cat Value]]="",Table2[[#This Row],[Suggested Cat Value]],VLOOKUP(Table2[[#This Row],[Manual Cat Value]],Lookup!G:H,2,0))</f>
        <v>Shopping</v>
      </c>
      <c r="G13099" t="s">
        <v>21</v>
      </c>
      <c r="I13099" s="8"/>
      <c r="O13099" t="str">
        <f>LEFT(Table2[[#This Row],[Description]],75)</f>
        <v>AplPay LS SUNNY DAYSPALM SPRINGS        CA</v>
      </c>
    </row>
    <row r="13100" spans="1:15" hidden="1">
      <c r="A13100">
        <v>202505</v>
      </c>
      <c r="B13100" s="6">
        <v>45790</v>
      </c>
      <c r="C13100" t="s">
        <v>130</v>
      </c>
      <c r="D13100" t="s">
        <v>6216</v>
      </c>
      <c r="E13100">
        <v>143.84</v>
      </c>
      <c r="F13100" t="str">
        <f>IF(Table2[[#This Row],[Manual Cat Value]]="",Table2[[#This Row],[Suggested Cat Value]],VLOOKUP(Table2[[#This Row],[Manual Cat Value]],Lookup!G:H,2,0))</f>
        <v>Delete</v>
      </c>
      <c r="G13100" t="s">
        <v>9</v>
      </c>
      <c r="H13100" s="8" t="s">
        <v>9</v>
      </c>
      <c r="I13100" s="8"/>
      <c r="O13100" t="str">
        <f>LEFT(Table2[[#This Row],[Description]],75)</f>
        <v>MARKETLANERESTAURANTCORK                IR</v>
      </c>
    </row>
    <row r="13101" spans="1:15" hidden="1">
      <c r="A13101">
        <v>202504</v>
      </c>
      <c r="B13101" s="6">
        <v>45768</v>
      </c>
      <c r="C13101" t="s">
        <v>3938</v>
      </c>
      <c r="D13101" t="s">
        <v>1849</v>
      </c>
      <c r="E13101">
        <v>143.58000000000001</v>
      </c>
      <c r="F13101" t="str">
        <f>IF(Table2[[#This Row],[Manual Cat Value]]="",Table2[[#This Row],[Suggested Cat Value]],VLOOKUP(Table2[[#This Row],[Manual Cat Value]],Lookup!G:H,2,0))</f>
        <v>House Maintenance</v>
      </c>
      <c r="G13101" t="s">
        <v>2</v>
      </c>
      <c r="I13101" s="8"/>
      <c r="O13101" t="str">
        <f>LEFT(Table2[[#This Row],[Description]],75)</f>
        <v>The Home Depot</v>
      </c>
    </row>
    <row r="13102" spans="1:15" hidden="1">
      <c r="A13102">
        <v>202502</v>
      </c>
      <c r="B13102" s="6">
        <v>45702</v>
      </c>
      <c r="C13102" t="s">
        <v>130</v>
      </c>
      <c r="D13102" t="s">
        <v>5759</v>
      </c>
      <c r="E13102">
        <v>143.16</v>
      </c>
      <c r="F13102" t="str">
        <f>IF(Table2[[#This Row],[Manual Cat Value]]="",Table2[[#This Row],[Suggested Cat Value]],VLOOKUP(Table2[[#This Row],[Manual Cat Value]],Lookup!G:H,2,0))</f>
        <v>Groceries</v>
      </c>
      <c r="G13102" t="s">
        <v>28</v>
      </c>
      <c r="I13102" s="8"/>
      <c r="O13102" t="str">
        <f>LEFT(Table2[[#This Row],[Description]],75)</f>
        <v>HOME CHEF           CHICAGO             IL</v>
      </c>
    </row>
    <row r="13103" spans="1:15" hidden="1">
      <c r="A13103">
        <v>202501</v>
      </c>
      <c r="B13103" s="6">
        <v>45669</v>
      </c>
      <c r="C13103" t="s">
        <v>130</v>
      </c>
      <c r="D13103" t="s">
        <v>6217</v>
      </c>
      <c r="E13103">
        <v>142.26</v>
      </c>
      <c r="F13103" t="str">
        <f>IF(Table2[[#This Row],[Manual Cat Value]]="",Table2[[#This Row],[Suggested Cat Value]],VLOOKUP(Table2[[#This Row],[Manual Cat Value]],Lookup!G:H,2,0))</f>
        <v>Restaurants</v>
      </c>
      <c r="G13103" t="s">
        <v>26</v>
      </c>
      <c r="I13103" s="8"/>
      <c r="O13103" t="str">
        <f>LEFT(Table2[[#This Row],[Description]],75)</f>
        <v>INEFFABLE BREWING COBURNSVILLE          MN</v>
      </c>
    </row>
    <row r="13104" spans="1:15" hidden="1">
      <c r="A13104">
        <v>202505</v>
      </c>
      <c r="B13104" s="6">
        <v>45804</v>
      </c>
      <c r="C13104" t="s">
        <v>2519</v>
      </c>
      <c r="D13104" t="s">
        <v>1466</v>
      </c>
      <c r="E13104">
        <v>141.71</v>
      </c>
      <c r="F13104" t="str">
        <f>IF(Table2[[#This Row],[Manual Cat Value]]="",Table2[[#This Row],[Suggested Cat Value]],VLOOKUP(Table2[[#This Row],[Manual Cat Value]],Lookup!G:H,2,0))</f>
        <v>Target</v>
      </c>
      <c r="G13104" t="s">
        <v>9</v>
      </c>
      <c r="H13104" s="8" t="s">
        <v>30</v>
      </c>
      <c r="I13104" s="8"/>
      <c r="O13104" t="str">
        <f>LEFT(Table2[[#This Row],[Description]],75)</f>
        <v>Payment to Target</v>
      </c>
    </row>
    <row r="13105" spans="1:15" hidden="1">
      <c r="A13105">
        <v>202502</v>
      </c>
      <c r="B13105" s="6">
        <v>45702</v>
      </c>
      <c r="C13105" t="s">
        <v>130</v>
      </c>
      <c r="D13105" t="s">
        <v>6218</v>
      </c>
      <c r="E13105">
        <v>139.1</v>
      </c>
      <c r="F13105" t="str">
        <f>IF(Table2[[#This Row],[Manual Cat Value]]="",Table2[[#This Row],[Suggested Cat Value]],VLOOKUP(Table2[[#This Row],[Manual Cat Value]],Lookup!G:H,2,0))</f>
        <v>Restaurants</v>
      </c>
      <c r="G13105" t="s">
        <v>26</v>
      </c>
      <c r="I13105" s="8"/>
      <c r="O13105" t="str">
        <f>LEFT(Table2[[#This Row],[Description]],75)</f>
        <v>RED LOBSTER 0249 249BLOOMINGTON         MN</v>
      </c>
    </row>
    <row r="13106" spans="1:15" hidden="1">
      <c r="A13106">
        <v>202504</v>
      </c>
      <c r="B13106" s="6">
        <v>45756</v>
      </c>
      <c r="C13106" t="s">
        <v>2519</v>
      </c>
      <c r="D13106" t="s">
        <v>1470</v>
      </c>
      <c r="E13106">
        <v>138.33000000000001</v>
      </c>
      <c r="F13106" t="str">
        <f>IF(Table2[[#This Row],[Manual Cat Value]]="",Table2[[#This Row],[Suggested Cat Value]],VLOOKUP(Table2[[#This Row],[Manual Cat Value]],Lookup!G:H,2,0))</f>
        <v>Utilities</v>
      </c>
      <c r="G13106" t="s">
        <v>7</v>
      </c>
      <c r="I13106" s="8"/>
      <c r="O13106" t="str">
        <f>LEFT(Table2[[#This Row],[Description]],75)</f>
        <v>Payment to Xcel Energy</v>
      </c>
    </row>
    <row r="13107" spans="1:15" hidden="1">
      <c r="A13107">
        <v>202501</v>
      </c>
      <c r="B13107" s="6">
        <v>45660</v>
      </c>
      <c r="C13107" t="s">
        <v>130</v>
      </c>
      <c r="D13107" t="s">
        <v>5759</v>
      </c>
      <c r="E13107">
        <v>136.86000000000001</v>
      </c>
      <c r="F13107" t="str">
        <f>IF(Table2[[#This Row],[Manual Cat Value]]="",Table2[[#This Row],[Suggested Cat Value]],VLOOKUP(Table2[[#This Row],[Manual Cat Value]],Lookup!G:H,2,0))</f>
        <v>Groceries</v>
      </c>
      <c r="G13107" t="s">
        <v>28</v>
      </c>
      <c r="I13107" s="8"/>
      <c r="O13107" t="str">
        <f>LEFT(Table2[[#This Row],[Description]],75)</f>
        <v>HOME CHEF           CHICAGO             IL</v>
      </c>
    </row>
    <row r="13108" spans="1:15" hidden="1">
      <c r="A13108">
        <v>202501</v>
      </c>
      <c r="B13108" s="6">
        <v>45683</v>
      </c>
      <c r="C13108" t="s">
        <v>130</v>
      </c>
      <c r="D13108" t="s">
        <v>6219</v>
      </c>
      <c r="E13108">
        <v>136.34</v>
      </c>
      <c r="F13108" t="str">
        <f>IF(Table2[[#This Row],[Manual Cat Value]]="",Table2[[#This Row],[Suggested Cat Value]],VLOOKUP(Table2[[#This Row],[Manual Cat Value]],Lookup!G:H,2,0))</f>
        <v>House Maintenance</v>
      </c>
      <c r="G13108" t="s">
        <v>2</v>
      </c>
      <c r="I13108" s="8"/>
      <c r="O13108" t="str">
        <f>LEFT(Table2[[#This Row],[Description]],75)</f>
        <v>THE HOME DEPOT      CHASKA              MN</v>
      </c>
    </row>
    <row r="13109" spans="1:15" hidden="1">
      <c r="A13109">
        <v>202504</v>
      </c>
      <c r="B13109" s="6">
        <v>45753</v>
      </c>
      <c r="C13109" t="s">
        <v>130</v>
      </c>
      <c r="D13109" t="s">
        <v>6220</v>
      </c>
      <c r="E13109">
        <v>136.07</v>
      </c>
      <c r="F13109" t="str">
        <f>IF(Table2[[#This Row],[Manual Cat Value]]="",Table2[[#This Row],[Suggested Cat Value]],VLOOKUP(Table2[[#This Row],[Manual Cat Value]],Lookup!G:H,2,0))</f>
        <v>Restaurants</v>
      </c>
      <c r="G13109" t="s">
        <v>26</v>
      </c>
      <c r="I13109" s="8"/>
      <c r="O13109" t="str">
        <f>LEFT(Table2[[#This Row],[Description]],75)</f>
        <v>AplPay CHAMBERLAIN CUNITED STATES</v>
      </c>
    </row>
    <row r="13110" spans="1:15" hidden="1">
      <c r="A13110">
        <v>202502</v>
      </c>
      <c r="B13110" s="6">
        <v>45708</v>
      </c>
      <c r="C13110" t="s">
        <v>2258</v>
      </c>
      <c r="D13110" t="s">
        <v>6221</v>
      </c>
      <c r="E13110">
        <v>134.69</v>
      </c>
      <c r="F13110" t="str">
        <f>IF(Table2[[#This Row],[Manual Cat Value]]="",Table2[[#This Row],[Suggested Cat Value]],VLOOKUP(Table2[[#This Row],[Manual Cat Value]],Lookup!G:H,2,0))</f>
        <v>Amazon</v>
      </c>
      <c r="G13110" t="s">
        <v>38</v>
      </c>
      <c r="I13110" s="8"/>
      <c r="O13110" t="str">
        <f>LEFT(Table2[[#This Row],[Description]],75)</f>
        <v>AMAZON MKTPL*9D5O69WM3 AMZN.COM/BILLWA7CWDI5KK8EP</v>
      </c>
    </row>
    <row r="13111" spans="1:15" hidden="1">
      <c r="A13111">
        <v>202505</v>
      </c>
      <c r="B13111" s="6">
        <v>45788</v>
      </c>
      <c r="C13111" t="s">
        <v>130</v>
      </c>
      <c r="D13111" t="s">
        <v>5817</v>
      </c>
      <c r="E13111">
        <v>134.53</v>
      </c>
      <c r="F13111" t="str">
        <f>IF(Table2[[#This Row],[Manual Cat Value]]="",Table2[[#This Row],[Suggested Cat Value]],VLOOKUP(Table2[[#This Row],[Manual Cat Value]],Lookup!G:H,2,0))</f>
        <v>Healthcare</v>
      </c>
      <c r="G13111" t="s">
        <v>48</v>
      </c>
      <c r="I13111" s="8"/>
      <c r="O13111" t="str">
        <f>LEFT(Table2[[#This Row],[Description]],75)</f>
        <v>ADVOCARE</v>
      </c>
    </row>
    <row r="13112" spans="1:15" hidden="1">
      <c r="A13112">
        <v>202502</v>
      </c>
      <c r="B13112" s="6">
        <v>45710</v>
      </c>
      <c r="C13112" t="s">
        <v>130</v>
      </c>
      <c r="D13112" t="s">
        <v>6204</v>
      </c>
      <c r="E13112">
        <v>133.83000000000001</v>
      </c>
      <c r="F13112" t="str">
        <f>IF(Table2[[#This Row],[Manual Cat Value]]="",Table2[[#This Row],[Suggested Cat Value]],VLOOKUP(Table2[[#This Row],[Manual Cat Value]],Lookup!G:H,2,0))</f>
        <v>Restaurants</v>
      </c>
      <c r="G13112" t="s">
        <v>26</v>
      </c>
      <c r="I13112" s="8"/>
      <c r="O13112" t="str">
        <f>LEFT(Table2[[#This Row],[Description]],75)</f>
        <v>TST* RED COW - WAYZAWAYZATA             MN</v>
      </c>
    </row>
    <row r="13113" spans="1:15" hidden="1">
      <c r="A13113">
        <v>202504</v>
      </c>
      <c r="B13113" s="6">
        <v>45771</v>
      </c>
      <c r="C13113" t="s">
        <v>130</v>
      </c>
      <c r="D13113" t="s">
        <v>5795</v>
      </c>
      <c r="E13113">
        <v>132.94</v>
      </c>
      <c r="F13113" t="str">
        <f>IF(Table2[[#This Row],[Manual Cat Value]]="",Table2[[#This Row],[Suggested Cat Value]],VLOOKUP(Table2[[#This Row],[Manual Cat Value]],Lookup!G:H,2,0))</f>
        <v>Delete</v>
      </c>
      <c r="G13113" t="s">
        <v>9</v>
      </c>
      <c r="I13113" s="8"/>
      <c r="O13113" t="str">
        <f>LEFT(Table2[[#This Row],[Description]],75)</f>
        <v>SLACK T074985K686   SAN FRANCISCO       CA</v>
      </c>
    </row>
    <row r="13114" spans="1:15" hidden="1">
      <c r="A13114">
        <v>202502</v>
      </c>
      <c r="B13114" s="6">
        <v>45698</v>
      </c>
      <c r="C13114" t="s">
        <v>2519</v>
      </c>
      <c r="D13114" t="s">
        <v>1470</v>
      </c>
      <c r="E13114">
        <v>131.22</v>
      </c>
      <c r="F13114" t="str">
        <f>IF(Table2[[#This Row],[Manual Cat Value]]="",Table2[[#This Row],[Suggested Cat Value]],VLOOKUP(Table2[[#This Row],[Manual Cat Value]],Lookup!G:H,2,0))</f>
        <v>Utilities</v>
      </c>
      <c r="G13114" t="s">
        <v>7</v>
      </c>
      <c r="I13114" s="8"/>
      <c r="O13114" t="str">
        <f>LEFT(Table2[[#This Row],[Description]],75)</f>
        <v>Payment to Xcel Energy</v>
      </c>
    </row>
    <row r="13115" spans="1:15" hidden="1">
      <c r="A13115">
        <v>202502</v>
      </c>
      <c r="B13115" s="6">
        <v>45702</v>
      </c>
      <c r="C13115" t="s">
        <v>130</v>
      </c>
      <c r="D13115" t="s">
        <v>5817</v>
      </c>
      <c r="E13115">
        <v>130.09</v>
      </c>
      <c r="F13115" t="str">
        <f>IF(Table2[[#This Row],[Manual Cat Value]]="",Table2[[#This Row],[Suggested Cat Value]],VLOOKUP(Table2[[#This Row],[Manual Cat Value]],Lookup!G:H,2,0))</f>
        <v>Healthcare</v>
      </c>
      <c r="G13115" t="s">
        <v>48</v>
      </c>
      <c r="I13115" s="8"/>
      <c r="O13115" t="str">
        <f>LEFT(Table2[[#This Row],[Description]],75)</f>
        <v>ADVOCARE</v>
      </c>
    </row>
    <row r="13116" spans="1:15" hidden="1">
      <c r="A13116">
        <v>202501</v>
      </c>
      <c r="B13116" s="6">
        <v>45687</v>
      </c>
      <c r="C13116" t="s">
        <v>2258</v>
      </c>
      <c r="D13116" t="s">
        <v>6222</v>
      </c>
      <c r="E13116">
        <v>129.97999999999999</v>
      </c>
      <c r="F13116" t="str">
        <f>IF(Table2[[#This Row],[Manual Cat Value]]="",Table2[[#This Row],[Suggested Cat Value]],VLOOKUP(Table2[[#This Row],[Manual Cat Value]],Lookup!G:H,2,0))</f>
        <v>Amazon</v>
      </c>
      <c r="G13116" t="s">
        <v>38</v>
      </c>
      <c r="I13116" s="8"/>
      <c r="O13116" t="str">
        <f>LEFT(Table2[[#This Row],[Description]],75)</f>
        <v>AMAZON MKTPL*ZC8F72TS1 AMZN.COM/BILLWA736QHSEA9GW</v>
      </c>
    </row>
    <row r="13117" spans="1:15" hidden="1">
      <c r="A13117">
        <v>202501</v>
      </c>
      <c r="B13117" s="6">
        <v>45688</v>
      </c>
      <c r="C13117" t="s">
        <v>130</v>
      </c>
      <c r="D13117" t="s">
        <v>5759</v>
      </c>
      <c r="E13117">
        <v>129.54</v>
      </c>
      <c r="F13117" t="str">
        <f>IF(Table2[[#This Row],[Manual Cat Value]]="",Table2[[#This Row],[Suggested Cat Value]],VLOOKUP(Table2[[#This Row],[Manual Cat Value]],Lookup!G:H,2,0))</f>
        <v>Groceries</v>
      </c>
      <c r="G13117" t="s">
        <v>28</v>
      </c>
      <c r="I13117" s="8"/>
      <c r="O13117" t="str">
        <f>LEFT(Table2[[#This Row],[Description]],75)</f>
        <v>HOME CHEF           CHICAGO             IL</v>
      </c>
    </row>
    <row r="13118" spans="1:15" hidden="1">
      <c r="A13118">
        <v>202502</v>
      </c>
      <c r="B13118" s="6">
        <v>45696</v>
      </c>
      <c r="C13118" t="s">
        <v>130</v>
      </c>
      <c r="D13118" t="s">
        <v>6223</v>
      </c>
      <c r="E13118">
        <v>126.97</v>
      </c>
      <c r="F13118" t="str">
        <f>IF(Table2[[#This Row],[Manual Cat Value]]="",Table2[[#This Row],[Suggested Cat Value]],VLOOKUP(Table2[[#This Row],[Manual Cat Value]],Lookup!G:H,2,0))</f>
        <v>House</v>
      </c>
      <c r="G13118" t="s">
        <v>26</v>
      </c>
      <c r="H13118" s="8" t="s">
        <v>49</v>
      </c>
      <c r="I13118" s="8"/>
      <c r="O13118" t="str">
        <f>LEFT(Table2[[#This Row],[Description]],75)</f>
        <v>AplPay THE SHERWIN-WCLEVELAND           OH</v>
      </c>
    </row>
    <row r="13119" spans="1:15" hidden="1">
      <c r="A13119">
        <v>202501</v>
      </c>
      <c r="B13119" s="6">
        <v>45678</v>
      </c>
      <c r="C13119" t="s">
        <v>130</v>
      </c>
      <c r="D13119" t="s">
        <v>5827</v>
      </c>
      <c r="E13119">
        <v>126.96</v>
      </c>
      <c r="F13119" t="str">
        <f>IF(Table2[[#This Row],[Manual Cat Value]]="",Table2[[#This Row],[Suggested Cat Value]],VLOOKUP(Table2[[#This Row],[Manual Cat Value]],Lookup!G:H,2,0))</f>
        <v>Delete</v>
      </c>
      <c r="G13119" t="s">
        <v>9</v>
      </c>
      <c r="I13119" s="8"/>
      <c r="O13119" t="str">
        <f>LEFT(Table2[[#This Row],[Description]],75)</f>
        <v>THE DEAN HOTEL IE000CORK                IR</v>
      </c>
    </row>
    <row r="13120" spans="1:15" hidden="1">
      <c r="A13120">
        <v>202501</v>
      </c>
      <c r="B13120" s="6">
        <v>45667</v>
      </c>
      <c r="C13120" t="s">
        <v>2519</v>
      </c>
      <c r="D13120" t="s">
        <v>1958</v>
      </c>
      <c r="E13120">
        <v>125</v>
      </c>
      <c r="F13120" t="str">
        <f>IF(Table2[[#This Row],[Manual Cat Value]]="",Table2[[#This Row],[Suggested Cat Value]],VLOOKUP(Table2[[#This Row],[Manual Cat Value]],Lookup!G:H,2,0))</f>
        <v>Shopping</v>
      </c>
      <c r="G13120" t="s">
        <v>21</v>
      </c>
      <c r="I13120" s="8"/>
      <c r="O13120" t="str">
        <f>LEFT(Table2[[#This Row],[Description]],75)</f>
        <v>Transfer to Venmo</v>
      </c>
    </row>
    <row r="13121" spans="1:15" hidden="1">
      <c r="A13121">
        <v>202502</v>
      </c>
      <c r="B13121" s="6">
        <v>45709</v>
      </c>
      <c r="C13121" t="s">
        <v>2519</v>
      </c>
      <c r="D13121" t="s">
        <v>1958</v>
      </c>
      <c r="E13121">
        <v>125</v>
      </c>
      <c r="F13121" t="str">
        <f>IF(Table2[[#This Row],[Manual Cat Value]]="",Table2[[#This Row],[Suggested Cat Value]],VLOOKUP(Table2[[#This Row],[Manual Cat Value]],Lookup!G:H,2,0))</f>
        <v>Shopping</v>
      </c>
      <c r="G13121" t="s">
        <v>21</v>
      </c>
      <c r="I13121" s="8"/>
      <c r="O13121" t="str">
        <f>LEFT(Table2[[#This Row],[Description]],75)</f>
        <v>Transfer to Venmo</v>
      </c>
    </row>
    <row r="13122" spans="1:15" hidden="1">
      <c r="A13122">
        <v>202504</v>
      </c>
      <c r="B13122" s="6">
        <v>45769</v>
      </c>
      <c r="C13122" t="s">
        <v>2519</v>
      </c>
      <c r="D13122" t="s">
        <v>1958</v>
      </c>
      <c r="E13122">
        <v>125</v>
      </c>
      <c r="F13122" t="str">
        <f>IF(Table2[[#This Row],[Manual Cat Value]]="",Table2[[#This Row],[Suggested Cat Value]],VLOOKUP(Table2[[#This Row],[Manual Cat Value]],Lookup!G:H,2,0))</f>
        <v>Shopping</v>
      </c>
      <c r="G13122" t="s">
        <v>21</v>
      </c>
      <c r="I13122" s="8"/>
      <c r="O13122" t="str">
        <f>LEFT(Table2[[#This Row],[Description]],75)</f>
        <v>Transfer to Venmo</v>
      </c>
    </row>
    <row r="13123" spans="1:15" hidden="1">
      <c r="A13123">
        <v>202505</v>
      </c>
      <c r="B13123" s="6">
        <v>45782</v>
      </c>
      <c r="C13123" t="s">
        <v>2519</v>
      </c>
      <c r="D13123" t="s">
        <v>1958</v>
      </c>
      <c r="E13123">
        <v>125</v>
      </c>
      <c r="F13123" t="str">
        <f>IF(Table2[[#This Row],[Manual Cat Value]]="",Table2[[#This Row],[Suggested Cat Value]],VLOOKUP(Table2[[#This Row],[Manual Cat Value]],Lookup!G:H,2,0))</f>
        <v>Shopping</v>
      </c>
      <c r="G13123" t="s">
        <v>21</v>
      </c>
      <c r="I13123" s="8"/>
      <c r="O13123" t="str">
        <f>LEFT(Table2[[#This Row],[Description]],75)</f>
        <v>Transfer to Venmo</v>
      </c>
    </row>
    <row r="13124" spans="1:15" hidden="1">
      <c r="A13124">
        <v>202505</v>
      </c>
      <c r="B13124" s="6">
        <v>45793</v>
      </c>
      <c r="C13124" t="s">
        <v>2519</v>
      </c>
      <c r="D13124" t="s">
        <v>1958</v>
      </c>
      <c r="E13124">
        <v>125</v>
      </c>
      <c r="F13124" t="str">
        <f>IF(Table2[[#This Row],[Manual Cat Value]]="",Table2[[#This Row],[Suggested Cat Value]],VLOOKUP(Table2[[#This Row],[Manual Cat Value]],Lookup!G:H,2,0))</f>
        <v>Shopping</v>
      </c>
      <c r="G13124" t="s">
        <v>21</v>
      </c>
      <c r="I13124" s="8"/>
      <c r="O13124" t="str">
        <f>LEFT(Table2[[#This Row],[Description]],75)</f>
        <v>Transfer to Venmo</v>
      </c>
    </row>
    <row r="13125" spans="1:15" hidden="1">
      <c r="A13125">
        <v>202503</v>
      </c>
      <c r="B13125" s="6">
        <v>45743</v>
      </c>
      <c r="C13125" t="s">
        <v>3938</v>
      </c>
      <c r="D13125" t="s">
        <v>6224</v>
      </c>
      <c r="E13125">
        <v>430</v>
      </c>
      <c r="F13125" t="str">
        <f>IF(Table2[[#This Row],[Manual Cat Value]]="",Table2[[#This Row],[Suggested Cat Value]],VLOOKUP(Table2[[#This Row],[Manual Cat Value]],Lookup!G:H,2,0))</f>
        <v>Day Care</v>
      </c>
      <c r="G13125" t="s">
        <v>20</v>
      </c>
      <c r="I13125" s="8"/>
      <c r="O13125" t="str">
        <f>LEFT(Table2[[#This Row],[Description]],75)</f>
        <v>BCS*MINNETONKA COMMUNITY XX-6800 MN REF #XX7462N01GAZX2B</v>
      </c>
    </row>
    <row r="13126" spans="1:15" hidden="1">
      <c r="A13126">
        <v>202502</v>
      </c>
      <c r="B13126" s="6">
        <v>45713</v>
      </c>
      <c r="C13126" t="s">
        <v>2519</v>
      </c>
      <c r="D13126" t="s">
        <v>1355</v>
      </c>
      <c r="E13126">
        <v>124.86</v>
      </c>
      <c r="F13126" t="str">
        <f>IF(Table2[[#This Row],[Manual Cat Value]]="",Table2[[#This Row],[Suggested Cat Value]],VLOOKUP(Table2[[#This Row],[Manual Cat Value]],Lookup!G:H,2,0))</f>
        <v>Shopping</v>
      </c>
      <c r="G13126" t="s">
        <v>21</v>
      </c>
      <c r="I13126" s="8"/>
      <c r="O13126" t="str">
        <f>LEFT(Table2[[#This Row],[Description]],75)</f>
        <v>Nordstrom</v>
      </c>
    </row>
    <row r="13127" spans="1:15" hidden="1">
      <c r="A13127">
        <v>202504</v>
      </c>
      <c r="B13127" s="6">
        <v>45774</v>
      </c>
      <c r="C13127" t="s">
        <v>3938</v>
      </c>
      <c r="D13127" t="s">
        <v>808</v>
      </c>
      <c r="E13127">
        <v>124</v>
      </c>
      <c r="F13127" t="str">
        <f>IF(Table2[[#This Row],[Manual Cat Value]]="",Table2[[#This Row],[Suggested Cat Value]],VLOOKUP(Table2[[#This Row],[Manual Cat Value]],Lookup!G:H,2,0))</f>
        <v>Misc</v>
      </c>
      <c r="G13127" t="s">
        <v>29</v>
      </c>
      <c r="I13127" s="8"/>
      <c r="O13127" t="str">
        <f>LEFT(Table2[[#This Row],[Description]],75)</f>
        <v>Elite Nails</v>
      </c>
    </row>
    <row r="13128" spans="1:15" hidden="1">
      <c r="A13128">
        <v>202503</v>
      </c>
      <c r="B13128" s="6">
        <v>45740</v>
      </c>
      <c r="C13128" t="s">
        <v>2258</v>
      </c>
      <c r="D13128" t="s">
        <v>6225</v>
      </c>
      <c r="E13128">
        <v>123.93</v>
      </c>
      <c r="F13128" t="str">
        <f>IF(Table2[[#This Row],[Manual Cat Value]]="",Table2[[#This Row],[Suggested Cat Value]],VLOOKUP(Table2[[#This Row],[Manual Cat Value]],Lookup!G:H,2,0))</f>
        <v>Amazon</v>
      </c>
      <c r="G13128" t="s">
        <v>38</v>
      </c>
      <c r="I13128" s="8"/>
      <c r="O13128" t="str">
        <f>LEFT(Table2[[#This Row],[Description]],75)</f>
        <v>AMAZON MKTPL*G51P28IZ3 AMZN.COM/BILLWA6QEFBB8HKWR</v>
      </c>
    </row>
    <row r="13129" spans="1:15" hidden="1">
      <c r="A13129">
        <v>202505</v>
      </c>
      <c r="B13129" s="6">
        <v>45781</v>
      </c>
      <c r="C13129" t="s">
        <v>130</v>
      </c>
      <c r="D13129" t="s">
        <v>5816</v>
      </c>
      <c r="E13129">
        <v>123.92</v>
      </c>
      <c r="F13129" t="str">
        <f>IF(Table2[[#This Row],[Manual Cat Value]]="",Table2[[#This Row],[Suggested Cat Value]],VLOOKUP(Table2[[#This Row],[Manual Cat Value]],Lookup!G:H,2,0))</f>
        <v>Restaurants</v>
      </c>
      <c r="G13129" t="s">
        <v>26</v>
      </c>
      <c r="I13129" s="8"/>
      <c r="O13129" t="str">
        <f>LEFT(Table2[[#This Row],[Description]],75)</f>
        <v>HAZELWOOD FOOD AND D877-8144102         MN</v>
      </c>
    </row>
    <row r="13130" spans="1:15" hidden="1">
      <c r="A13130">
        <v>202503</v>
      </c>
      <c r="B13130" s="6">
        <v>45737</v>
      </c>
      <c r="C13130" t="s">
        <v>3938</v>
      </c>
      <c r="D13130" t="s">
        <v>6226</v>
      </c>
      <c r="E13130">
        <v>123.6</v>
      </c>
      <c r="F13130" t="str">
        <f>IF(Table2[[#This Row],[Manual Cat Value]]="",Table2[[#This Row],[Suggested Cat Value]],VLOOKUP(Table2[[#This Row],[Manual Cat Value]],Lookup!G:H,2,0))</f>
        <v>Shopping</v>
      </c>
      <c r="G13130" t="s">
        <v>21</v>
      </c>
      <c r="I13130" s="8"/>
      <c r="O13130" t="str">
        <f>LEFT(Table2[[#This Row],[Description]],75)</f>
        <v>Luna Nails</v>
      </c>
    </row>
    <row r="13131" spans="1:15" hidden="1">
      <c r="A13131">
        <v>202502</v>
      </c>
      <c r="B13131" s="6">
        <v>45702</v>
      </c>
      <c r="C13131" t="s">
        <v>130</v>
      </c>
      <c r="D13131" t="s">
        <v>6177</v>
      </c>
      <c r="E13131">
        <v>122.5</v>
      </c>
      <c r="F13131" t="str">
        <f>IF(Table2[[#This Row],[Manual Cat Value]]="",Table2[[#This Row],[Suggested Cat Value]],VLOOKUP(Table2[[#This Row],[Manual Cat Value]],Lookup!G:H,2,0))</f>
        <v>Shopping</v>
      </c>
      <c r="G13131" t="s">
        <v>21</v>
      </c>
      <c r="I13131" s="8"/>
      <c r="O13131" t="str">
        <f>LEFT(Table2[[#This Row],[Description]],75)</f>
        <v>SP VUORI CLOTHING   ENCINITAS           CA</v>
      </c>
    </row>
    <row r="13132" spans="1:15" hidden="1">
      <c r="A13132">
        <v>202503</v>
      </c>
      <c r="B13132" s="6">
        <v>45732</v>
      </c>
      <c r="C13132" t="s">
        <v>130</v>
      </c>
      <c r="D13132" t="s">
        <v>6177</v>
      </c>
      <c r="E13132">
        <v>122.5</v>
      </c>
      <c r="F13132" t="str">
        <f>IF(Table2[[#This Row],[Manual Cat Value]]="",Table2[[#This Row],[Suggested Cat Value]],VLOOKUP(Table2[[#This Row],[Manual Cat Value]],Lookup!G:H,2,0))</f>
        <v>Shopping</v>
      </c>
      <c r="G13132" t="s">
        <v>21</v>
      </c>
      <c r="I13132" s="8"/>
      <c r="O13132" t="str">
        <f>LEFT(Table2[[#This Row],[Description]],75)</f>
        <v>SP VUORI CLOTHING   ENCINITAS           CA</v>
      </c>
    </row>
    <row r="13133" spans="1:15" hidden="1">
      <c r="A13133">
        <v>202505</v>
      </c>
      <c r="B13133" s="6">
        <v>45786</v>
      </c>
      <c r="C13133" t="s">
        <v>130</v>
      </c>
      <c r="D13133" t="s">
        <v>6227</v>
      </c>
      <c r="E13133">
        <v>121.38</v>
      </c>
      <c r="F13133" t="str">
        <f>IF(Table2[[#This Row],[Manual Cat Value]]="",Table2[[#This Row],[Suggested Cat Value]],VLOOKUP(Table2[[#This Row],[Manual Cat Value]],Lookup!G:H,2,0))</f>
        <v>Entertainment</v>
      </c>
      <c r="G13133" t="s">
        <v>40</v>
      </c>
      <c r="I13133" s="8"/>
      <c r="O13133" t="str">
        <f>LEFT(Table2[[#This Row],[Description]],75)</f>
        <v>FSP*CHASKA TOWN COURCHASKA              MN</v>
      </c>
    </row>
    <row r="13134" spans="1:15" hidden="1">
      <c r="A13134">
        <v>202503</v>
      </c>
      <c r="B13134" s="6">
        <v>45746</v>
      </c>
      <c r="C13134" t="s">
        <v>3938</v>
      </c>
      <c r="D13134" t="s">
        <v>648</v>
      </c>
      <c r="E13134">
        <v>119.69</v>
      </c>
      <c r="F13134" t="str">
        <f>IF(Table2[[#This Row],[Manual Cat Value]]="",Table2[[#This Row],[Suggested Cat Value]],VLOOKUP(Table2[[#This Row],[Manual Cat Value]],Lookup!G:H,2,0))</f>
        <v>Groceries</v>
      </c>
      <c r="G13134" t="s">
        <v>28</v>
      </c>
      <c r="I13134" s="8"/>
      <c r="O13134" t="str">
        <f>LEFT(Table2[[#This Row],[Description]],75)</f>
        <v>Costco</v>
      </c>
    </row>
    <row r="13135" spans="1:15" hidden="1">
      <c r="A13135">
        <v>202503</v>
      </c>
      <c r="B13135" s="6">
        <v>45729</v>
      </c>
      <c r="C13135" t="s">
        <v>3938</v>
      </c>
      <c r="D13135" t="s">
        <v>648</v>
      </c>
      <c r="E13135">
        <v>119.6</v>
      </c>
      <c r="F13135" t="str">
        <f>IF(Table2[[#This Row],[Manual Cat Value]]="",Table2[[#This Row],[Suggested Cat Value]],VLOOKUP(Table2[[#This Row],[Manual Cat Value]],Lookup!G:H,2,0))</f>
        <v>Groceries</v>
      </c>
      <c r="G13135" t="s">
        <v>28</v>
      </c>
      <c r="I13135" s="8"/>
      <c r="O13135" t="str">
        <f>LEFT(Table2[[#This Row],[Description]],75)</f>
        <v>Costco</v>
      </c>
    </row>
    <row r="13136" spans="1:15" hidden="1">
      <c r="A13136">
        <v>202505</v>
      </c>
      <c r="B13136" s="6">
        <v>45794</v>
      </c>
      <c r="C13136" t="s">
        <v>130</v>
      </c>
      <c r="D13136" t="s">
        <v>6228</v>
      </c>
      <c r="E13136">
        <v>119</v>
      </c>
      <c r="F13136" t="str">
        <f>IF(Table2[[#This Row],[Manual Cat Value]]="",Table2[[#This Row],[Suggested Cat Value]],VLOOKUP(Table2[[#This Row],[Manual Cat Value]],Lookup!G:H,2,0))</f>
        <v>Healthcare</v>
      </c>
      <c r="G13136" t="s">
        <v>48</v>
      </c>
      <c r="I13136" s="8"/>
      <c r="O13136" t="str">
        <f>LEFT(Table2[[#This Row],[Description]],75)</f>
        <v>BONOBOS, NEW YORK   NEW YORK</v>
      </c>
    </row>
    <row r="13137" spans="1:15" hidden="1">
      <c r="A13137">
        <v>202502</v>
      </c>
      <c r="B13137" s="6">
        <v>45711</v>
      </c>
      <c r="C13137" t="s">
        <v>130</v>
      </c>
      <c r="D13137" t="s">
        <v>6229</v>
      </c>
      <c r="E13137">
        <v>118.08</v>
      </c>
      <c r="F13137" t="str">
        <f>IF(Table2[[#This Row],[Manual Cat Value]]="",Table2[[#This Row],[Suggested Cat Value]],VLOOKUP(Table2[[#This Row],[Manual Cat Value]],Lookup!G:H,2,0))</f>
        <v>Restaurants</v>
      </c>
      <c r="G13137" t="s">
        <v>26</v>
      </c>
      <c r="I13137" s="8"/>
      <c r="O13137" t="str">
        <f>LEFT(Table2[[#This Row],[Description]],75)</f>
        <v>TST* THE FREEHOUSE 0MINNEAPOLIS         MN</v>
      </c>
    </row>
    <row r="13138" spans="1:15" hidden="1">
      <c r="A13138">
        <v>202504</v>
      </c>
      <c r="B13138" s="6">
        <v>45772</v>
      </c>
      <c r="C13138" t="s">
        <v>130</v>
      </c>
      <c r="D13138" t="s">
        <v>5759</v>
      </c>
      <c r="E13138">
        <v>117.78</v>
      </c>
      <c r="F13138" t="str">
        <f>IF(Table2[[#This Row],[Manual Cat Value]]="",Table2[[#This Row],[Suggested Cat Value]],VLOOKUP(Table2[[#This Row],[Manual Cat Value]],Lookup!G:H,2,0))</f>
        <v>Groceries</v>
      </c>
      <c r="G13138" t="s">
        <v>28</v>
      </c>
      <c r="I13138" s="8"/>
      <c r="O13138" t="str">
        <f>LEFT(Table2[[#This Row],[Description]],75)</f>
        <v>HOME CHEF           CHICAGO             IL</v>
      </c>
    </row>
    <row r="13139" spans="1:15" hidden="1">
      <c r="A13139">
        <v>202504</v>
      </c>
      <c r="B13139" s="6">
        <v>45766</v>
      </c>
      <c r="C13139" t="s">
        <v>130</v>
      </c>
      <c r="D13139" t="s">
        <v>6230</v>
      </c>
      <c r="E13139">
        <v>117.48</v>
      </c>
      <c r="F13139" t="str">
        <f>IF(Table2[[#This Row],[Manual Cat Value]]="",Table2[[#This Row],[Suggested Cat Value]],VLOOKUP(Table2[[#This Row],[Manual Cat Value]],Lookup!G:H,2,0))</f>
        <v>Restaurants</v>
      </c>
      <c r="G13139" t="s">
        <v>26</v>
      </c>
      <c r="I13139" s="8"/>
      <c r="O13139" t="str">
        <f>LEFT(Table2[[#This Row],[Description]],75)</f>
        <v>BUDDY BOY FINE BARBE612-4660340         MN</v>
      </c>
    </row>
    <row r="13140" spans="1:15" hidden="1">
      <c r="A13140">
        <v>202504</v>
      </c>
      <c r="B13140" s="6">
        <v>45761</v>
      </c>
      <c r="C13140" t="s">
        <v>3938</v>
      </c>
      <c r="D13140" t="s">
        <v>31</v>
      </c>
      <c r="E13140">
        <v>115.78</v>
      </c>
      <c r="F13140" t="str">
        <f>IF(Table2[[#This Row],[Manual Cat Value]]="",Table2[[#This Row],[Suggested Cat Value]],VLOOKUP(Table2[[#This Row],[Manual Cat Value]],Lookup!G:H,2,0))</f>
        <v>Target</v>
      </c>
      <c r="G13140" t="s">
        <v>31</v>
      </c>
      <c r="I13140" s="8"/>
      <c r="O13140" t="str">
        <f>LEFT(Table2[[#This Row],[Description]],75)</f>
        <v>Target</v>
      </c>
    </row>
    <row r="13141" spans="1:15" hidden="1">
      <c r="A13141">
        <v>202505</v>
      </c>
      <c r="B13141" s="6">
        <v>45793</v>
      </c>
      <c r="C13141" t="s">
        <v>130</v>
      </c>
      <c r="D13141" t="s">
        <v>5759</v>
      </c>
      <c r="E13141">
        <v>115.28</v>
      </c>
      <c r="F13141" t="str">
        <f>IF(Table2[[#This Row],[Manual Cat Value]]="",Table2[[#This Row],[Suggested Cat Value]],VLOOKUP(Table2[[#This Row],[Manual Cat Value]],Lookup!G:H,2,0))</f>
        <v>Groceries</v>
      </c>
      <c r="G13141" t="s">
        <v>28</v>
      </c>
      <c r="I13141" s="8"/>
      <c r="O13141" t="str">
        <f>LEFT(Table2[[#This Row],[Description]],75)</f>
        <v>HOME CHEF           CHICAGO             IL</v>
      </c>
    </row>
    <row r="13142" spans="1:15" hidden="1">
      <c r="A13142">
        <v>202503</v>
      </c>
      <c r="B13142" s="6">
        <v>45722</v>
      </c>
      <c r="C13142" t="s">
        <v>130</v>
      </c>
      <c r="D13142" t="s">
        <v>6231</v>
      </c>
      <c r="E13142">
        <v>114.14</v>
      </c>
      <c r="F13142" t="str">
        <f>IF(Table2[[#This Row],[Manual Cat Value]]="",Table2[[#This Row],[Suggested Cat Value]],VLOOKUP(Table2[[#This Row],[Manual Cat Value]],Lookup!G:H,2,0))</f>
        <v>Delete</v>
      </c>
      <c r="G13142" t="s">
        <v>9</v>
      </c>
      <c r="I13142" s="8"/>
      <c r="O13142" t="str">
        <f>LEFT(Table2[[#This Row],[Description]],75)</f>
        <v>ONE FLEW SOUTH 0018 ATLANTA             GA</v>
      </c>
    </row>
    <row r="13143" spans="1:15" hidden="1">
      <c r="A13143">
        <v>202503</v>
      </c>
      <c r="B13143" s="6">
        <v>45717</v>
      </c>
      <c r="C13143" t="s">
        <v>130</v>
      </c>
      <c r="D13143" t="s">
        <v>6232</v>
      </c>
      <c r="E13143">
        <v>113.92</v>
      </c>
      <c r="F13143" t="str">
        <f>IF(Table2[[#This Row],[Manual Cat Value]]="",Table2[[#This Row],[Suggested Cat Value]],VLOOKUP(Table2[[#This Row],[Manual Cat Value]],Lookup!G:H,2,0))</f>
        <v>Delete</v>
      </c>
      <c r="G13143" t="s">
        <v>26</v>
      </c>
      <c r="H13143" s="8" t="s">
        <v>9</v>
      </c>
      <c r="I13143" s="8"/>
      <c r="O13143" t="str">
        <f>LEFT(Table2[[#This Row],[Description]],75)</f>
        <v>AplPay TDI BROADWAY.212-541-8457        NY</v>
      </c>
    </row>
    <row r="13144" spans="1:15" hidden="1">
      <c r="A13144">
        <v>202502</v>
      </c>
      <c r="B13144" s="6">
        <v>45705</v>
      </c>
      <c r="C13144" t="s">
        <v>130</v>
      </c>
      <c r="D13144" t="s">
        <v>5943</v>
      </c>
      <c r="E13144">
        <v>112.77</v>
      </c>
      <c r="F13144" t="str">
        <f>IF(Table2[[#This Row],[Manual Cat Value]]="",Table2[[#This Row],[Suggested Cat Value]],VLOOKUP(Table2[[#This Row],[Manual Cat Value]],Lookup!G:H,2,0))</f>
        <v>Restaurants</v>
      </c>
      <c r="G13144" t="s">
        <v>26</v>
      </c>
      <c r="I13144" s="8"/>
      <c r="O13144" t="str">
        <f>LEFT(Table2[[#This Row],[Description]],75)</f>
        <v>TST* DUKE'S ON 7 300MINNETONKA          MN</v>
      </c>
    </row>
    <row r="13145" spans="1:15" hidden="1">
      <c r="A13145">
        <v>202501</v>
      </c>
      <c r="B13145" s="6">
        <v>45662</v>
      </c>
      <c r="C13145" t="s">
        <v>130</v>
      </c>
      <c r="D13145" t="s">
        <v>6183</v>
      </c>
      <c r="E13145">
        <v>110.97</v>
      </c>
      <c r="F13145" t="str">
        <f>IF(Table2[[#This Row],[Manual Cat Value]]="",Table2[[#This Row],[Suggested Cat Value]],VLOOKUP(Table2[[#This Row],[Manual Cat Value]],Lookup!G:H,2,0))</f>
        <v>Amazon</v>
      </c>
      <c r="G13145" t="s">
        <v>38</v>
      </c>
      <c r="I13145" s="8"/>
      <c r="O13145" t="str">
        <f>LEFT(Table2[[#This Row],[Description]],75)</f>
        <v>AMAZON MARKEPLACE NA PA</v>
      </c>
    </row>
    <row r="13146" spans="1:15" hidden="1">
      <c r="A13146">
        <v>202501</v>
      </c>
      <c r="B13146" s="6">
        <v>45671</v>
      </c>
      <c r="C13146" t="s">
        <v>2519</v>
      </c>
      <c r="D13146" t="s">
        <v>4356</v>
      </c>
      <c r="E13146">
        <v>110.75</v>
      </c>
      <c r="F13146" t="str">
        <f>IF(Table2[[#This Row],[Manual Cat Value]]="",Table2[[#This Row],[Suggested Cat Value]],VLOOKUP(Table2[[#This Row],[Manual Cat Value]],Lookup!G:H,2,0))</f>
        <v>Insurance</v>
      </c>
      <c r="G13146" t="s">
        <v>18</v>
      </c>
      <c r="I13146" s="8"/>
      <c r="O13146" t="str">
        <f>LEFT(Table2[[#This Row],[Description]],75)</f>
        <v>Payment to American Family Insurance</v>
      </c>
    </row>
    <row r="13147" spans="1:15" hidden="1">
      <c r="A13147">
        <v>202502</v>
      </c>
      <c r="B13147" s="6">
        <v>45702</v>
      </c>
      <c r="C13147" t="s">
        <v>2519</v>
      </c>
      <c r="D13147" t="s">
        <v>4356</v>
      </c>
      <c r="E13147">
        <v>110.75</v>
      </c>
      <c r="F13147" t="str">
        <f>IF(Table2[[#This Row],[Manual Cat Value]]="",Table2[[#This Row],[Suggested Cat Value]],VLOOKUP(Table2[[#This Row],[Manual Cat Value]],Lookup!G:H,2,0))</f>
        <v>Insurance</v>
      </c>
      <c r="G13147" t="s">
        <v>18</v>
      </c>
      <c r="I13147" s="8"/>
      <c r="O13147" t="str">
        <f>LEFT(Table2[[#This Row],[Description]],75)</f>
        <v>Payment to American Family Insurance</v>
      </c>
    </row>
    <row r="13148" spans="1:15" hidden="1">
      <c r="A13148">
        <v>202503</v>
      </c>
      <c r="B13148" s="6">
        <v>45730</v>
      </c>
      <c r="C13148" t="s">
        <v>2519</v>
      </c>
      <c r="D13148" t="s">
        <v>4356</v>
      </c>
      <c r="E13148">
        <v>110.75</v>
      </c>
      <c r="F13148" t="str">
        <f>IF(Table2[[#This Row],[Manual Cat Value]]="",Table2[[#This Row],[Suggested Cat Value]],VLOOKUP(Table2[[#This Row],[Manual Cat Value]],Lookup!G:H,2,0))</f>
        <v>Insurance</v>
      </c>
      <c r="G13148" t="s">
        <v>18</v>
      </c>
      <c r="I13148" s="8"/>
      <c r="O13148" t="str">
        <f>LEFT(Table2[[#This Row],[Description]],75)</f>
        <v>Payment to American Family Insurance</v>
      </c>
    </row>
    <row r="13149" spans="1:15" hidden="1">
      <c r="A13149">
        <v>202504</v>
      </c>
      <c r="B13149" s="6">
        <v>45761</v>
      </c>
      <c r="C13149" t="s">
        <v>2519</v>
      </c>
      <c r="D13149" t="s">
        <v>4356</v>
      </c>
      <c r="E13149">
        <v>110.75</v>
      </c>
      <c r="F13149" t="str">
        <f>IF(Table2[[#This Row],[Manual Cat Value]]="",Table2[[#This Row],[Suggested Cat Value]],VLOOKUP(Table2[[#This Row],[Manual Cat Value]],Lookup!G:H,2,0))</f>
        <v>Insurance</v>
      </c>
      <c r="G13149" t="s">
        <v>18</v>
      </c>
      <c r="I13149" s="8"/>
      <c r="O13149" t="str">
        <f>LEFT(Table2[[#This Row],[Description]],75)</f>
        <v>Payment to American Family Insurance</v>
      </c>
    </row>
    <row r="13150" spans="1:15" hidden="1">
      <c r="A13150">
        <v>202505</v>
      </c>
      <c r="B13150" s="6">
        <v>45791</v>
      </c>
      <c r="C13150" t="s">
        <v>2519</v>
      </c>
      <c r="D13150" t="s">
        <v>4356</v>
      </c>
      <c r="E13150">
        <v>110.75</v>
      </c>
      <c r="F13150" t="str">
        <f>IF(Table2[[#This Row],[Manual Cat Value]]="",Table2[[#This Row],[Suggested Cat Value]],VLOOKUP(Table2[[#This Row],[Manual Cat Value]],Lookup!G:H,2,0))</f>
        <v>Insurance</v>
      </c>
      <c r="G13150" t="s">
        <v>18</v>
      </c>
      <c r="I13150" s="8"/>
      <c r="O13150" t="str">
        <f>LEFT(Table2[[#This Row],[Description]],75)</f>
        <v>Payment to American Family Insurance</v>
      </c>
    </row>
    <row r="13151" spans="1:15" hidden="1">
      <c r="A13151">
        <v>202503</v>
      </c>
      <c r="B13151" s="6">
        <v>45741</v>
      </c>
      <c r="C13151" t="s">
        <v>3938</v>
      </c>
      <c r="D13151" t="s">
        <v>6233</v>
      </c>
      <c r="E13151">
        <v>110.17</v>
      </c>
      <c r="F13151" t="str">
        <f>IF(Table2[[#This Row],[Manual Cat Value]]="",Table2[[#This Row],[Suggested Cat Value]],VLOOKUP(Table2[[#This Row],[Manual Cat Value]],Lookup!G:H,2,0))</f>
        <v>Restaurants</v>
      </c>
      <c r="G13151" t="s">
        <v>26</v>
      </c>
      <c r="I13151" s="8"/>
      <c r="O13151" t="str">
        <f>LEFT(Table2[[#This Row],[Description]],75)</f>
        <v>TST*ORIGINAL PANCAKE HOU Eden Prairie MN REF #XX2162K347H61TW</v>
      </c>
    </row>
    <row r="13152" spans="1:15" hidden="1">
      <c r="A13152">
        <v>202501</v>
      </c>
      <c r="B13152" s="6">
        <v>45663</v>
      </c>
      <c r="C13152" t="s">
        <v>3938</v>
      </c>
      <c r="D13152" t="s">
        <v>808</v>
      </c>
      <c r="E13152">
        <v>110</v>
      </c>
      <c r="F13152" t="str">
        <f>IF(Table2[[#This Row],[Manual Cat Value]]="",Table2[[#This Row],[Suggested Cat Value]],VLOOKUP(Table2[[#This Row],[Manual Cat Value]],Lookup!G:H,2,0))</f>
        <v>Misc</v>
      </c>
      <c r="G13152" t="s">
        <v>29</v>
      </c>
      <c r="I13152" s="8"/>
      <c r="O13152" t="str">
        <f>LEFT(Table2[[#This Row],[Description]],75)</f>
        <v>Elite Nails</v>
      </c>
    </row>
    <row r="13153" spans="1:15" hidden="1">
      <c r="A13153">
        <v>202503</v>
      </c>
      <c r="B13153" s="6">
        <v>45735</v>
      </c>
      <c r="C13153" t="s">
        <v>130</v>
      </c>
      <c r="D13153" t="s">
        <v>6234</v>
      </c>
      <c r="E13153">
        <v>109.78</v>
      </c>
      <c r="F13153" t="str">
        <f>IF(Table2[[#This Row],[Manual Cat Value]]="",Table2[[#This Row],[Suggested Cat Value]],VLOOKUP(Table2[[#This Row],[Manual Cat Value]],Lookup!G:H,2,0))</f>
        <v>Delete</v>
      </c>
      <c r="G13153" t="s">
        <v>9</v>
      </c>
      <c r="H13153" s="8" t="s">
        <v>9</v>
      </c>
      <c r="I13153" s="8"/>
      <c r="O13153" t="str">
        <f>LEFT(Table2[[#This Row],[Description]],75)</f>
        <v>THOMPSONS THOMPSONS CORK                IR</v>
      </c>
    </row>
    <row r="13154" spans="1:15" hidden="1">
      <c r="A13154">
        <v>202501</v>
      </c>
      <c r="B13154" s="6">
        <v>45681</v>
      </c>
      <c r="C13154" t="s">
        <v>130</v>
      </c>
      <c r="D13154" t="s">
        <v>5759</v>
      </c>
      <c r="E13154">
        <v>109.25</v>
      </c>
      <c r="F13154" t="str">
        <f>IF(Table2[[#This Row],[Manual Cat Value]]="",Table2[[#This Row],[Suggested Cat Value]],VLOOKUP(Table2[[#This Row],[Manual Cat Value]],Lookup!G:H,2,0))</f>
        <v>Groceries</v>
      </c>
      <c r="G13154" t="s">
        <v>28</v>
      </c>
      <c r="I13154" s="8"/>
      <c r="O13154" t="str">
        <f>LEFT(Table2[[#This Row],[Description]],75)</f>
        <v>HOME CHEF           CHICAGO             IL</v>
      </c>
    </row>
    <row r="13155" spans="1:15" hidden="1">
      <c r="A13155">
        <v>202501</v>
      </c>
      <c r="B13155" s="6">
        <v>45660</v>
      </c>
      <c r="C13155" t="s">
        <v>130</v>
      </c>
      <c r="D13155" t="s">
        <v>6191</v>
      </c>
      <c r="E13155">
        <v>109.19</v>
      </c>
      <c r="F13155" t="str">
        <f>IF(Table2[[#This Row],[Manual Cat Value]]="",Table2[[#This Row],[Suggested Cat Value]],VLOOKUP(Table2[[#This Row],[Manual Cat Value]],Lookup!G:H,2,0))</f>
        <v>Restaurants</v>
      </c>
      <c r="G13155" t="s">
        <v>26</v>
      </c>
      <c r="I13155" s="8"/>
      <c r="O13155" t="str">
        <f>LEFT(Table2[[#This Row],[Description]],75)</f>
        <v>TST* NEW JESTER RESTEXCELSIOR           MN</v>
      </c>
    </row>
    <row r="13156" spans="1:15" hidden="1">
      <c r="A13156">
        <v>202504</v>
      </c>
      <c r="B13156" s="6">
        <v>45758</v>
      </c>
      <c r="C13156" t="s">
        <v>130</v>
      </c>
      <c r="D13156" t="s">
        <v>6206</v>
      </c>
      <c r="E13156">
        <v>108.81</v>
      </c>
      <c r="F13156" t="str">
        <f>IF(Table2[[#This Row],[Manual Cat Value]]="",Table2[[#This Row],[Suggested Cat Value]],VLOOKUP(Table2[[#This Row],[Manual Cat Value]],Lookup!G:H,2,0))</f>
        <v>Amazon</v>
      </c>
      <c r="G13156" t="s">
        <v>38</v>
      </c>
      <c r="I13156" s="8"/>
      <c r="O13156" t="str">
        <f>LEFT(Table2[[#This Row],[Description]],75)</f>
        <v>AMAZON.COM          AMZN.COM/BILL       WA</v>
      </c>
    </row>
    <row r="13157" spans="1:15" hidden="1">
      <c r="A13157">
        <v>202505</v>
      </c>
      <c r="B13157" s="6">
        <v>45787</v>
      </c>
      <c r="C13157" t="s">
        <v>130</v>
      </c>
      <c r="D13157" t="s">
        <v>6235</v>
      </c>
      <c r="E13157">
        <v>108.5</v>
      </c>
      <c r="F13157" t="str">
        <f>IF(Table2[[#This Row],[Manual Cat Value]]="",Table2[[#This Row],[Suggested Cat Value]],VLOOKUP(Table2[[#This Row],[Manual Cat Value]],Lookup!G:H,2,0))</f>
        <v>Shopping</v>
      </c>
      <c r="G13157" t="s">
        <v>26</v>
      </c>
      <c r="H13157" s="8" t="s">
        <v>36</v>
      </c>
      <c r="I13157" s="8"/>
      <c r="O13157" t="str">
        <f>LEFT(Table2[[#This Row],[Description]],75)</f>
        <v>AplPay HOMEGOODS    EDEN PRAIRIE        MN</v>
      </c>
    </row>
    <row r="13158" spans="1:15" hidden="1">
      <c r="A13158">
        <v>202504</v>
      </c>
      <c r="B13158" s="6">
        <v>45766</v>
      </c>
      <c r="C13158" t="s">
        <v>130</v>
      </c>
      <c r="D13158" t="s">
        <v>5998</v>
      </c>
      <c r="E13158">
        <v>108.39</v>
      </c>
      <c r="F13158" t="str">
        <f>IF(Table2[[#This Row],[Manual Cat Value]]="",Table2[[#This Row],[Suggested Cat Value]],VLOOKUP(Table2[[#This Row],[Manual Cat Value]],Lookup!G:H,2,0))</f>
        <v>Groceries</v>
      </c>
      <c r="G13158" t="s">
        <v>28</v>
      </c>
      <c r="I13158" s="8"/>
      <c r="O13158" t="str">
        <f>LEFT(Table2[[#This Row],[Description]],75)</f>
        <v>TOTAL WINE AND MORE CHANHASSEN          MN</v>
      </c>
    </row>
    <row r="13159" spans="1:15" hidden="1">
      <c r="A13159">
        <v>202501</v>
      </c>
      <c r="B13159" s="6">
        <v>45688</v>
      </c>
      <c r="C13159" t="s">
        <v>130</v>
      </c>
      <c r="D13159" t="s">
        <v>6183</v>
      </c>
      <c r="E13159">
        <v>108.31</v>
      </c>
      <c r="F13159" t="str">
        <f>IF(Table2[[#This Row],[Manual Cat Value]]="",Table2[[#This Row],[Suggested Cat Value]],VLOOKUP(Table2[[#This Row],[Manual Cat Value]],Lookup!G:H,2,0))</f>
        <v>Amazon</v>
      </c>
      <c r="G13159" t="s">
        <v>38</v>
      </c>
      <c r="I13159" s="8"/>
      <c r="O13159" t="str">
        <f>LEFT(Table2[[#This Row],[Description]],75)</f>
        <v>AMAZON MARKEPLACE NA PA</v>
      </c>
    </row>
    <row r="13160" spans="1:15" hidden="1">
      <c r="A13160">
        <v>202505</v>
      </c>
      <c r="B13160" s="6">
        <v>45801</v>
      </c>
      <c r="C13160" t="s">
        <v>130</v>
      </c>
      <c r="D13160" t="s">
        <v>6236</v>
      </c>
      <c r="E13160">
        <v>106.26</v>
      </c>
      <c r="F13160" t="str">
        <f>IF(Table2[[#This Row],[Manual Cat Value]]="",Table2[[#This Row],[Suggested Cat Value]],VLOOKUP(Table2[[#This Row],[Manual Cat Value]],Lookup!G:H,2,0))</f>
        <v>Shopping</v>
      </c>
      <c r="G13160" t="s">
        <v>21</v>
      </c>
      <c r="I13160" s="8"/>
      <c r="O13160" t="str">
        <f>LEFT(Table2[[#This Row],[Description]],75)</f>
        <v>SOCO LLC 0000       HAYWARD             WI</v>
      </c>
    </row>
    <row r="13161" spans="1:15" hidden="1">
      <c r="A13161">
        <v>202504</v>
      </c>
      <c r="B13161" s="6">
        <v>45762</v>
      </c>
      <c r="C13161" t="s">
        <v>2258</v>
      </c>
      <c r="D13161" t="s">
        <v>6237</v>
      </c>
      <c r="E13161">
        <v>106.21</v>
      </c>
      <c r="F13161" t="str">
        <f>IF(Table2[[#This Row],[Manual Cat Value]]="",Table2[[#This Row],[Suggested Cat Value]],VLOOKUP(Table2[[#This Row],[Manual Cat Value]],Lookup!G:H,2,0))</f>
        <v>Amazon</v>
      </c>
      <c r="G13161" t="s">
        <v>38</v>
      </c>
      <c r="I13161" s="8"/>
      <c r="O13161" t="str">
        <f>LEFT(Table2[[#This Row],[Description]],75)</f>
        <v>AMAZON MKTPL*DM9V371V3 AMZN.COM/BILLWA7EJCDSXK9LT</v>
      </c>
    </row>
    <row r="13162" spans="1:15" hidden="1">
      <c r="A13162">
        <v>202502</v>
      </c>
      <c r="B13162" s="6">
        <v>45704</v>
      </c>
      <c r="C13162" t="s">
        <v>130</v>
      </c>
      <c r="D13162" t="s">
        <v>5788</v>
      </c>
      <c r="E13162">
        <v>106.11</v>
      </c>
      <c r="F13162" t="str">
        <f>IF(Table2[[#This Row],[Manual Cat Value]]="",Table2[[#This Row],[Suggested Cat Value]],VLOOKUP(Table2[[#This Row],[Manual Cat Value]],Lookup!G:H,2,0))</f>
        <v>Groceries</v>
      </c>
      <c r="G13162" t="s">
        <v>28</v>
      </c>
      <c r="I13162" s="8"/>
      <c r="O13162" t="str">
        <f>LEFT(Table2[[#This Row],[Description]],75)</f>
        <v>CUB FOODS #1636 0000SHOREWOOD           MN</v>
      </c>
    </row>
    <row r="13163" spans="1:15" hidden="1">
      <c r="A13163">
        <v>202503</v>
      </c>
      <c r="B13163" s="6">
        <v>45738</v>
      </c>
      <c r="C13163" t="s">
        <v>130</v>
      </c>
      <c r="D13163" t="s">
        <v>5847</v>
      </c>
      <c r="E13163">
        <v>106</v>
      </c>
      <c r="F13163" t="str">
        <f>IF(Table2[[#This Row],[Manual Cat Value]]="",Table2[[#This Row],[Suggested Cat Value]],VLOOKUP(Table2[[#This Row],[Manual Cat Value]],Lookup!G:H,2,0))</f>
        <v>Shopping</v>
      </c>
      <c r="G13163" t="s">
        <v>21</v>
      </c>
      <c r="I13163" s="8"/>
      <c r="O13163" t="str">
        <f>LEFT(Table2[[#This Row],[Description]],75)</f>
        <v>ANTHROPOLOGIE.COM   PHILADELPHIA        PA</v>
      </c>
    </row>
    <row r="13164" spans="1:15" hidden="1">
      <c r="A13164">
        <v>202503</v>
      </c>
      <c r="B13164" s="6">
        <v>45738</v>
      </c>
      <c r="C13164" t="s">
        <v>130</v>
      </c>
      <c r="D13164" t="s">
        <v>5847</v>
      </c>
      <c r="E13164">
        <v>106</v>
      </c>
      <c r="F13164" t="str">
        <f>IF(Table2[[#This Row],[Manual Cat Value]]="",Table2[[#This Row],[Suggested Cat Value]],VLOOKUP(Table2[[#This Row],[Manual Cat Value]],Lookup!G:H,2,0))</f>
        <v>Shopping</v>
      </c>
      <c r="G13164" t="s">
        <v>21</v>
      </c>
      <c r="I13164" s="8"/>
      <c r="O13164" t="str">
        <f>LEFT(Table2[[#This Row],[Description]],75)</f>
        <v>ANTHROPOLOGIE.COM   PHILADELPHIA        PA</v>
      </c>
    </row>
    <row r="13165" spans="1:15" hidden="1">
      <c r="A13165">
        <v>202503</v>
      </c>
      <c r="B13165" s="6">
        <v>45742</v>
      </c>
      <c r="C13165" t="s">
        <v>130</v>
      </c>
      <c r="D13165" t="s">
        <v>5847</v>
      </c>
      <c r="E13165">
        <v>106</v>
      </c>
      <c r="F13165" t="str">
        <f>IF(Table2[[#This Row],[Manual Cat Value]]="",Table2[[#This Row],[Suggested Cat Value]],VLOOKUP(Table2[[#This Row],[Manual Cat Value]],Lookup!G:H,2,0))</f>
        <v>Shopping</v>
      </c>
      <c r="G13165" t="s">
        <v>21</v>
      </c>
      <c r="I13165" s="8"/>
      <c r="O13165" t="str">
        <f>LEFT(Table2[[#This Row],[Description]],75)</f>
        <v>ANTHROPOLOGIE.COM   PHILADELPHIA        PA</v>
      </c>
    </row>
    <row r="13166" spans="1:15" hidden="1">
      <c r="A13166">
        <v>202504</v>
      </c>
      <c r="B13166" s="6">
        <v>45756</v>
      </c>
      <c r="C13166" t="s">
        <v>130</v>
      </c>
      <c r="D13166" t="s">
        <v>5847</v>
      </c>
      <c r="E13166">
        <v>106</v>
      </c>
      <c r="F13166" t="str">
        <f>IF(Table2[[#This Row],[Manual Cat Value]]="",Table2[[#This Row],[Suggested Cat Value]],VLOOKUP(Table2[[#This Row],[Manual Cat Value]],Lookup!G:H,2,0))</f>
        <v>Shopping</v>
      </c>
      <c r="G13166" t="s">
        <v>21</v>
      </c>
      <c r="I13166" s="8"/>
      <c r="O13166" t="str">
        <f>LEFT(Table2[[#This Row],[Description]],75)</f>
        <v>ANTHROPOLOGIE.COM   PHILADELPHIA        PA</v>
      </c>
    </row>
    <row r="13167" spans="1:15" hidden="1">
      <c r="A13167">
        <v>202501</v>
      </c>
      <c r="B13167" s="6">
        <v>45684</v>
      </c>
      <c r="C13167" t="s">
        <v>130</v>
      </c>
      <c r="D13167" t="s">
        <v>6238</v>
      </c>
      <c r="E13167">
        <v>105.38</v>
      </c>
      <c r="F13167" t="str">
        <f>IF(Table2[[#This Row],[Manual Cat Value]]="",Table2[[#This Row],[Suggested Cat Value]],VLOOKUP(Table2[[#This Row],[Manual Cat Value]],Lookup!G:H,2,0))</f>
        <v>Restaurants</v>
      </c>
      <c r="G13167" t="s">
        <v>26</v>
      </c>
      <c r="I13167" s="8"/>
      <c r="O13167" t="str">
        <f>LEFT(Table2[[#This Row],[Description]],75)</f>
        <v>AplPay TST* LAT 14 0GOLDEN VALLEY       MN</v>
      </c>
    </row>
    <row r="13168" spans="1:15" hidden="1">
      <c r="A13168">
        <v>202502</v>
      </c>
      <c r="B13168" s="6">
        <v>45694</v>
      </c>
      <c r="C13168" t="s">
        <v>130</v>
      </c>
      <c r="D13168" t="s">
        <v>6239</v>
      </c>
      <c r="E13168">
        <v>105</v>
      </c>
      <c r="F13168" t="str">
        <f>IF(Table2[[#This Row],[Manual Cat Value]]="",Table2[[#This Row],[Suggested Cat Value]],VLOOKUP(Table2[[#This Row],[Manual Cat Value]],Lookup!G:H,2,0))</f>
        <v>Restaurants</v>
      </c>
      <c r="G13168" t="s">
        <v>26</v>
      </c>
      <c r="I13168" s="8"/>
      <c r="O13168" t="str">
        <f>LEFT(Table2[[#This Row],[Description]],75)</f>
        <v>MODMEDUS_MP*PINNACLEEXCELSIOR           MN</v>
      </c>
    </row>
    <row r="13169" spans="1:15" hidden="1">
      <c r="A13169">
        <v>202504</v>
      </c>
      <c r="B13169" s="6">
        <v>45775</v>
      </c>
      <c r="C13169" t="s">
        <v>3938</v>
      </c>
      <c r="D13169" t="s">
        <v>6240</v>
      </c>
      <c r="E13169">
        <v>104.45</v>
      </c>
      <c r="F13169" t="str">
        <f>IF(Table2[[#This Row],[Manual Cat Value]]="",Table2[[#This Row],[Suggested Cat Value]],VLOOKUP(Table2[[#This Row],[Manual Cat Value]],Lookup!G:H,2,0))</f>
        <v>Restaurants</v>
      </c>
      <c r="G13169" t="s">
        <v>26</v>
      </c>
      <c r="I13169" s="8"/>
      <c r="O13169" t="str">
        <f>LEFT(Table2[[#This Row],[Description]],75)</f>
        <v>TOWN OF LA POINTE XX-6913 WI REF #XX1663M0T51V6TD</v>
      </c>
    </row>
    <row r="13170" spans="1:15" hidden="1">
      <c r="A13170">
        <v>202503</v>
      </c>
      <c r="B13170" s="6">
        <v>45743</v>
      </c>
      <c r="C13170" t="s">
        <v>2519</v>
      </c>
      <c r="D13170" t="s">
        <v>6241</v>
      </c>
      <c r="E13170">
        <v>-2306.79</v>
      </c>
      <c r="F13170" t="str">
        <f>IF(Table2[[#This Row],[Manual Cat Value]]="",Table2[[#This Row],[Suggested Cat Value]],VLOOKUP(Table2[[#This Row],[Manual Cat Value]],Lookup!G:H,2,0))</f>
        <v>Jeff</v>
      </c>
      <c r="G13170" t="s">
        <v>20</v>
      </c>
      <c r="H13170" s="8" t="s">
        <v>63</v>
      </c>
      <c r="I13170" s="8"/>
      <c r="O13170" t="str">
        <f>LEFT(Table2[[#This Row],[Description]],75)</f>
        <v>Deposit ACH EMPYREAN SOLUTIO TYPE: ACH ID: XX3620 CO: EMPYREAN SOLUTIO Entr</v>
      </c>
    </row>
    <row r="13171" spans="1:15" hidden="1">
      <c r="A13171">
        <v>202502</v>
      </c>
      <c r="B13171" s="6">
        <v>45709</v>
      </c>
      <c r="C13171" t="s">
        <v>130</v>
      </c>
      <c r="D13171" t="s">
        <v>6242</v>
      </c>
      <c r="E13171">
        <v>103</v>
      </c>
      <c r="F13171" t="str">
        <f>IF(Table2[[#This Row],[Manual Cat Value]]="",Table2[[#This Row],[Suggested Cat Value]],VLOOKUP(Table2[[#This Row],[Manual Cat Value]],Lookup!G:H,2,0))</f>
        <v>Entertainment</v>
      </c>
      <c r="G13171" t="s">
        <v>26</v>
      </c>
      <c r="H13171" s="8" t="s">
        <v>39</v>
      </c>
      <c r="I13171" s="8"/>
      <c r="O13171" t="str">
        <f>LEFT(Table2[[#This Row],[Description]],75)</f>
        <v>AplPay LUNA NAILS   Deephaven           MN</v>
      </c>
    </row>
    <row r="13172" spans="1:15" hidden="1">
      <c r="A13172">
        <v>202501</v>
      </c>
      <c r="B13172" s="6">
        <v>45659</v>
      </c>
      <c r="C13172" t="s">
        <v>130</v>
      </c>
      <c r="D13172" t="s">
        <v>6243</v>
      </c>
      <c r="E13172">
        <v>101.18</v>
      </c>
      <c r="F13172" t="str">
        <f>IF(Table2[[#This Row],[Manual Cat Value]]="",Table2[[#This Row],[Suggested Cat Value]],VLOOKUP(Table2[[#This Row],[Manual Cat Value]],Lookup!G:H,2,0))</f>
        <v>Restaurants</v>
      </c>
      <c r="G13172" t="s">
        <v>26</v>
      </c>
      <c r="I13172" s="8"/>
      <c r="O13172" t="str">
        <f>LEFT(Table2[[#This Row],[Description]],75)</f>
        <v>MAD CAPPER LLC 0000 STILLWATER          MN</v>
      </c>
    </row>
    <row r="13173" spans="1:15" hidden="1">
      <c r="A13173">
        <v>202501</v>
      </c>
      <c r="B13173" s="6">
        <v>45669</v>
      </c>
      <c r="C13173" t="s">
        <v>3938</v>
      </c>
      <c r="D13173" t="s">
        <v>4829</v>
      </c>
      <c r="E13173">
        <v>100.93</v>
      </c>
      <c r="F13173" t="str">
        <f>IF(Table2[[#This Row],[Manual Cat Value]]="",Table2[[#This Row],[Suggested Cat Value]],VLOOKUP(Table2[[#This Row],[Manual Cat Value]],Lookup!G:H,2,0))</f>
        <v>Delete</v>
      </c>
      <c r="G13173" t="s">
        <v>9</v>
      </c>
      <c r="H13173" s="8" t="s">
        <v>9</v>
      </c>
      <c r="I13173" s="8"/>
      <c r="O13173" t="str">
        <f>LEFT(Table2[[#This Row],[Description]],75)</f>
        <v>Msp Airport Parking</v>
      </c>
    </row>
    <row r="13174" spans="1:15" hidden="1">
      <c r="A13174">
        <v>202504</v>
      </c>
      <c r="B13174" s="6">
        <v>45765</v>
      </c>
      <c r="C13174" t="s">
        <v>3938</v>
      </c>
      <c r="D13174" t="s">
        <v>5244</v>
      </c>
      <c r="E13174">
        <v>100.69</v>
      </c>
      <c r="F13174" t="str">
        <f>IF(Table2[[#This Row],[Manual Cat Value]]="",Table2[[#This Row],[Suggested Cat Value]],VLOOKUP(Table2[[#This Row],[Manual Cat Value]],Lookup!G:H,2,0))</f>
        <v>Restaurants</v>
      </c>
      <c r="G13174" t="s">
        <v>26</v>
      </c>
      <c r="I13174" s="8"/>
      <c r="O13174" t="str">
        <f>LEFT(Table2[[#This Row],[Description]],75)</f>
        <v>Tequila Butcher</v>
      </c>
    </row>
    <row r="13175" spans="1:15" hidden="1">
      <c r="A13175">
        <v>202504</v>
      </c>
      <c r="B13175" s="6">
        <v>45748</v>
      </c>
      <c r="C13175" t="s">
        <v>2519</v>
      </c>
      <c r="D13175" t="s">
        <v>6244</v>
      </c>
      <c r="E13175">
        <v>650</v>
      </c>
      <c r="F13175" t="str">
        <f>IF(Table2[[#This Row],[Manual Cat Value]]="",Table2[[#This Row],[Suggested Cat Value]],VLOOKUP(Table2[[#This Row],[Manual Cat Value]],Lookup!G:H,2,0))</f>
        <v>College Savings</v>
      </c>
      <c r="G13175" t="s">
        <v>20</v>
      </c>
      <c r="H13175" s="8" t="s">
        <v>60</v>
      </c>
      <c r="I13175" s="8"/>
      <c r="O13175" t="str">
        <f>LEFT(Table2[[#This Row],[Description]],75)</f>
        <v>Withdrawal ACH ILD529 DIR ACH TYPE: CONTRIB ID: XX2584 CO: ILD529 DIR ACH E</v>
      </c>
    </row>
    <row r="13176" spans="1:15" hidden="1">
      <c r="A13176">
        <v>202504</v>
      </c>
      <c r="B13176" s="6">
        <v>45748</v>
      </c>
      <c r="C13176" t="s">
        <v>2519</v>
      </c>
      <c r="D13176" t="s">
        <v>6245</v>
      </c>
      <c r="E13176">
        <v>420</v>
      </c>
      <c r="F13176" t="str">
        <f>IF(Table2[[#This Row],[Manual Cat Value]]="",Table2[[#This Row],[Suggested Cat Value]],VLOOKUP(Table2[[#This Row],[Manual Cat Value]],Lookup!G:H,2,0))</f>
        <v>Day Care</v>
      </c>
      <c r="G13176" t="s">
        <v>20</v>
      </c>
      <c r="I13176" s="8"/>
      <c r="O13176" t="str">
        <f>LEFT(Table2[[#This Row],[Description]],75)</f>
        <v>Withdrawal ACH Mis Amigos Presc TYPE: ID: XX7393 NAME: BCU CO: Mis Amigos P</v>
      </c>
    </row>
    <row r="13177" spans="1:15" hidden="1">
      <c r="A13177">
        <v>202502</v>
      </c>
      <c r="B13177" s="6">
        <v>45713</v>
      </c>
      <c r="C13177" t="s">
        <v>2519</v>
      </c>
      <c r="D13177" t="s">
        <v>5033</v>
      </c>
      <c r="E13177">
        <v>100</v>
      </c>
      <c r="F13177" t="str">
        <f>IF(Table2[[#This Row],[Manual Cat Value]]="",Table2[[#This Row],[Suggested Cat Value]],VLOOKUP(Table2[[#This Row],[Manual Cat Value]],Lookup!G:H,2,0))</f>
        <v>Delete</v>
      </c>
      <c r="G13177" t="s">
        <v>9</v>
      </c>
      <c r="I13177" s="8"/>
      <c r="O13177" t="str">
        <f>LEFT(Table2[[#This Row],[Description]],75)</f>
        <v>Transfer to Coinbase</v>
      </c>
    </row>
    <row r="13178" spans="1:15" hidden="1">
      <c r="A13178">
        <v>202505</v>
      </c>
      <c r="B13178" s="6">
        <v>45803</v>
      </c>
      <c r="C13178" t="s">
        <v>3938</v>
      </c>
      <c r="D13178" t="s">
        <v>6246</v>
      </c>
      <c r="E13178">
        <v>100</v>
      </c>
      <c r="F13178" t="str">
        <f>IF(Table2[[#This Row],[Manual Cat Value]]="",Table2[[#This Row],[Suggested Cat Value]],VLOOKUP(Table2[[#This Row],[Manual Cat Value]],Lookup!G:H,2,0))</f>
        <v>Travel</v>
      </c>
      <c r="G13178" t="s">
        <v>26</v>
      </c>
      <c r="H13178" s="8" t="s">
        <v>52</v>
      </c>
      <c r="I13178" s="8"/>
      <c r="O13178" t="str">
        <f>LEFT(Table2[[#This Row],[Description]],75)</f>
        <v>MADELINE ISLAND FERRY LINLA POINTE WI REF #XX7604HEJK10WGS</v>
      </c>
    </row>
    <row r="13179" spans="1:15" hidden="1">
      <c r="A13179">
        <v>202505</v>
      </c>
      <c r="B13179" s="6">
        <v>45783</v>
      </c>
      <c r="C13179" t="s">
        <v>130</v>
      </c>
      <c r="D13179" t="s">
        <v>6205</v>
      </c>
      <c r="E13179">
        <v>99.99</v>
      </c>
      <c r="F13179" t="str">
        <f>IF(Table2[[#This Row],[Manual Cat Value]]="",Table2[[#This Row],[Suggested Cat Value]],VLOOKUP(Table2[[#This Row],[Manual Cat Value]],Lookup!G:H,2,0))</f>
        <v>Shopping</v>
      </c>
      <c r="G13179" t="s">
        <v>21</v>
      </c>
      <c r="I13179" s="8"/>
      <c r="O13179" t="str">
        <f>LEFT(Table2[[#This Row],[Description]],75)</f>
        <v>SP BAD BIRDIE LLC   GLENDALE            CA</v>
      </c>
    </row>
    <row r="13180" spans="1:15" hidden="1">
      <c r="A13180">
        <v>202501</v>
      </c>
      <c r="B13180" s="6">
        <v>45681</v>
      </c>
      <c r="C13180" t="s">
        <v>2519</v>
      </c>
      <c r="D13180" t="s">
        <v>1355</v>
      </c>
      <c r="E13180">
        <v>99.98</v>
      </c>
      <c r="F13180" t="str">
        <f>IF(Table2[[#This Row],[Manual Cat Value]]="",Table2[[#This Row],[Suggested Cat Value]],VLOOKUP(Table2[[#This Row],[Manual Cat Value]],Lookup!G:H,2,0))</f>
        <v>Shopping</v>
      </c>
      <c r="G13180" t="s">
        <v>21</v>
      </c>
      <c r="I13180" s="8"/>
      <c r="O13180" t="str">
        <f>LEFT(Table2[[#This Row],[Description]],75)</f>
        <v>Nordstrom</v>
      </c>
    </row>
    <row r="13181" spans="1:15" hidden="1">
      <c r="A13181">
        <v>202504</v>
      </c>
      <c r="B13181" s="6">
        <v>45777</v>
      </c>
      <c r="C13181" t="s">
        <v>2258</v>
      </c>
      <c r="D13181" t="s">
        <v>6247</v>
      </c>
      <c r="E13181">
        <v>99.95</v>
      </c>
      <c r="F13181" t="str">
        <f>IF(Table2[[#This Row],[Manual Cat Value]]="",Table2[[#This Row],[Suggested Cat Value]],VLOOKUP(Table2[[#This Row],[Manual Cat Value]],Lookup!G:H,2,0))</f>
        <v>Amazon</v>
      </c>
      <c r="G13181" t="s">
        <v>38</v>
      </c>
      <c r="I13181" s="8"/>
      <c r="O13181" t="str">
        <f>LEFT(Table2[[#This Row],[Description]],75)</f>
        <v>AMAZON MKTPL*N20VM52W1 AMZN.COM/BILLWA5JRU14DLJP2</v>
      </c>
    </row>
    <row r="13182" spans="1:15" hidden="1">
      <c r="A13182">
        <v>202501</v>
      </c>
      <c r="B13182" s="6">
        <v>45683</v>
      </c>
      <c r="C13182" t="s">
        <v>130</v>
      </c>
      <c r="D13182" t="s">
        <v>6191</v>
      </c>
      <c r="E13182">
        <v>98.76</v>
      </c>
      <c r="F13182" t="str">
        <f>IF(Table2[[#This Row],[Manual Cat Value]]="",Table2[[#This Row],[Suggested Cat Value]],VLOOKUP(Table2[[#This Row],[Manual Cat Value]],Lookup!G:H,2,0))</f>
        <v>Restaurants</v>
      </c>
      <c r="G13182" t="s">
        <v>26</v>
      </c>
      <c r="I13182" s="8"/>
      <c r="O13182" t="str">
        <f>LEFT(Table2[[#This Row],[Description]],75)</f>
        <v>TST* NEW JESTER RESTEXCELSIOR           MN</v>
      </c>
    </row>
    <row r="13183" spans="1:15" hidden="1">
      <c r="A13183">
        <v>202504</v>
      </c>
      <c r="B13183" s="6">
        <v>45760</v>
      </c>
      <c r="C13183" t="s">
        <v>3938</v>
      </c>
      <c r="D13183" t="s">
        <v>6248</v>
      </c>
      <c r="E13183">
        <v>96.99</v>
      </c>
      <c r="F13183" t="str">
        <f>IF(Table2[[#This Row],[Manual Cat Value]]="",Table2[[#This Row],[Suggested Cat Value]],VLOOKUP(Table2[[#This Row],[Manual Cat Value]],Lookup!G:H,2,0))</f>
        <v>Travel</v>
      </c>
      <c r="G13183" t="s">
        <v>26</v>
      </c>
      <c r="H13183" s="8" t="s">
        <v>52</v>
      </c>
      <c r="I13183" s="8"/>
      <c r="O13183" t="str">
        <f>LEFT(Table2[[#This Row],[Description]],75)</f>
        <v>TST* THE SAINT PAUL HOTELSAINT PAUL MN REF #XX6362XJ3QB18</v>
      </c>
    </row>
    <row r="13184" spans="1:15" hidden="1">
      <c r="A13184">
        <v>202505</v>
      </c>
      <c r="B13184" s="6">
        <v>45799</v>
      </c>
      <c r="C13184" t="s">
        <v>130</v>
      </c>
      <c r="D13184" t="s">
        <v>6183</v>
      </c>
      <c r="E13184">
        <v>96.97</v>
      </c>
      <c r="F13184" t="str">
        <f>IF(Table2[[#This Row],[Manual Cat Value]]="",Table2[[#This Row],[Suggested Cat Value]],VLOOKUP(Table2[[#This Row],[Manual Cat Value]],Lookup!G:H,2,0))</f>
        <v>Amazon</v>
      </c>
      <c r="G13184" t="s">
        <v>38</v>
      </c>
      <c r="I13184" s="8"/>
      <c r="O13184" t="str">
        <f>LEFT(Table2[[#This Row],[Description]],75)</f>
        <v>AMAZON MARKEPLACE NA PA</v>
      </c>
    </row>
    <row r="13185" spans="1:15" hidden="1">
      <c r="A13185">
        <v>202501</v>
      </c>
      <c r="B13185" s="6">
        <v>45664</v>
      </c>
      <c r="C13185" t="s">
        <v>2519</v>
      </c>
      <c r="D13185" t="s">
        <v>1464</v>
      </c>
      <c r="E13185">
        <v>95.75</v>
      </c>
      <c r="F13185" t="str">
        <f>IF(Table2[[#This Row],[Manual Cat Value]]="",Table2[[#This Row],[Suggested Cat Value]],VLOOKUP(Table2[[#This Row],[Manual Cat Value]],Lookup!G:H,2,0))</f>
        <v>Delete</v>
      </c>
      <c r="G13185" t="s">
        <v>9</v>
      </c>
      <c r="I13185" s="8"/>
      <c r="O13185" t="str">
        <f>LEFT(Table2[[#This Row],[Description]],75)</f>
        <v>Payment to Discover Bank</v>
      </c>
    </row>
    <row r="13186" spans="1:15" hidden="1">
      <c r="A13186">
        <v>202501</v>
      </c>
      <c r="B13186" s="6">
        <v>45686</v>
      </c>
      <c r="C13186" t="s">
        <v>2258</v>
      </c>
      <c r="D13186" t="s">
        <v>6249</v>
      </c>
      <c r="E13186">
        <v>94.67</v>
      </c>
      <c r="F13186" t="str">
        <f>IF(Table2[[#This Row],[Manual Cat Value]]="",Table2[[#This Row],[Suggested Cat Value]],VLOOKUP(Table2[[#This Row],[Manual Cat Value]],Lookup!G:H,2,0))</f>
        <v>Amazon</v>
      </c>
      <c r="G13186" t="s">
        <v>38</v>
      </c>
      <c r="I13186" s="8"/>
      <c r="O13186" t="str">
        <f>LEFT(Table2[[#This Row],[Description]],75)</f>
        <v>AMAZON MKTPL*ZC7TC8BO0 AMZN.COM/BILLWA3TMWZFLLGWB</v>
      </c>
    </row>
    <row r="13187" spans="1:15" hidden="1">
      <c r="A13187">
        <v>202503</v>
      </c>
      <c r="B13187" s="6">
        <v>45737</v>
      </c>
      <c r="C13187" t="s">
        <v>3938</v>
      </c>
      <c r="D13187" t="s">
        <v>6250</v>
      </c>
      <c r="E13187">
        <v>94.62</v>
      </c>
      <c r="F13187" t="str">
        <f>IF(Table2[[#This Row],[Manual Cat Value]]="",Table2[[#This Row],[Suggested Cat Value]],VLOOKUP(Table2[[#This Row],[Manual Cat Value]],Lookup!G:H,2,0))</f>
        <v>Delete</v>
      </c>
      <c r="G13187" t="s">
        <v>9</v>
      </c>
      <c r="H13187" s="8" t="s">
        <v>9</v>
      </c>
      <c r="I13187" s="8"/>
      <c r="O13187" t="str">
        <f>LEFT(Table2[[#This Row],[Description]],75)</f>
        <v>5 Points Cork IE REF #XX9162F12AVSPR7</v>
      </c>
    </row>
    <row r="13188" spans="1:15" hidden="1">
      <c r="A13188">
        <v>202502</v>
      </c>
      <c r="B13188" s="6">
        <v>45712</v>
      </c>
      <c r="C13188" t="s">
        <v>130</v>
      </c>
      <c r="D13188" t="s">
        <v>5795</v>
      </c>
      <c r="E13188">
        <v>94.28</v>
      </c>
      <c r="F13188" t="str">
        <f>IF(Table2[[#This Row],[Manual Cat Value]]="",Table2[[#This Row],[Suggested Cat Value]],VLOOKUP(Table2[[#This Row],[Manual Cat Value]],Lookup!G:H,2,0))</f>
        <v>Delete</v>
      </c>
      <c r="G13188" t="s">
        <v>9</v>
      </c>
      <c r="I13188" s="8"/>
      <c r="O13188" t="str">
        <f>LEFT(Table2[[#This Row],[Description]],75)</f>
        <v>SLACK T074985K686   SAN FRANCISCO       CA</v>
      </c>
    </row>
    <row r="13189" spans="1:15" hidden="1">
      <c r="A13189">
        <v>202503</v>
      </c>
      <c r="B13189" s="6">
        <v>45736</v>
      </c>
      <c r="C13189" t="s">
        <v>130</v>
      </c>
      <c r="D13189" t="s">
        <v>6251</v>
      </c>
      <c r="E13189">
        <v>94.04</v>
      </c>
      <c r="F13189" t="str">
        <f>IF(Table2[[#This Row],[Manual Cat Value]]="",Table2[[#This Row],[Suggested Cat Value]],VLOOKUP(Table2[[#This Row],[Manual Cat Value]],Lookup!G:H,2,0))</f>
        <v>Restaurants</v>
      </c>
      <c r="G13189" t="s">
        <v>26</v>
      </c>
      <c r="I13189" s="8"/>
      <c r="O13189" t="str">
        <f>LEFT(Table2[[#This Row],[Description]],75)</f>
        <v>AplPay TST* 401 - YUEXCELSIOR           MN</v>
      </c>
    </row>
    <row r="13190" spans="1:15" hidden="1">
      <c r="A13190">
        <v>202501</v>
      </c>
      <c r="B13190" s="6">
        <v>45680</v>
      </c>
      <c r="C13190" t="s">
        <v>130</v>
      </c>
      <c r="D13190" t="s">
        <v>6252</v>
      </c>
      <c r="E13190">
        <v>93.76</v>
      </c>
      <c r="F13190" t="str">
        <f>IF(Table2[[#This Row],[Manual Cat Value]]="",Table2[[#This Row],[Suggested Cat Value]],VLOOKUP(Table2[[#This Row],[Manual Cat Value]],Lookup!G:H,2,0))</f>
        <v>Delete</v>
      </c>
      <c r="G13190" t="s">
        <v>9</v>
      </c>
      <c r="I13190" s="8"/>
      <c r="O13190" t="str">
        <f>LEFT(Table2[[#This Row],[Description]],75)</f>
        <v>ZETTLE *SCHIPHOL TAXHOOFDDORP           NL</v>
      </c>
    </row>
    <row r="13191" spans="1:15" hidden="1">
      <c r="A13191">
        <v>202504</v>
      </c>
      <c r="B13191" s="6">
        <v>45755</v>
      </c>
      <c r="C13191" t="s">
        <v>2519</v>
      </c>
      <c r="D13191" t="s">
        <v>6253</v>
      </c>
      <c r="E13191">
        <v>400</v>
      </c>
      <c r="F13191" t="str">
        <f>IF(Table2[[#This Row],[Manual Cat Value]]="",Table2[[#This Row],[Suggested Cat Value]],VLOOKUP(Table2[[#This Row],[Manual Cat Value]],Lookup!G:H,2,0))</f>
        <v>Day Care</v>
      </c>
      <c r="G13191" t="s">
        <v>20</v>
      </c>
      <c r="I13191" s="8"/>
      <c r="O13191" t="str">
        <f>LEFT(Table2[[#This Row],[Description]],75)</f>
        <v>Withdrawal ACH Mis Amigos Presc TYPE: ID: XX7393 NAME: BCU CO: Mis Amigos P</v>
      </c>
    </row>
    <row r="13192" spans="1:15" hidden="1">
      <c r="A13192">
        <v>202503</v>
      </c>
      <c r="B13192" s="6">
        <v>45725</v>
      </c>
      <c r="C13192" t="s">
        <v>130</v>
      </c>
      <c r="D13192" t="s">
        <v>6254</v>
      </c>
      <c r="E13192">
        <v>89.36</v>
      </c>
      <c r="F13192" t="str">
        <f>IF(Table2[[#This Row],[Manual Cat Value]]="",Table2[[#This Row],[Suggested Cat Value]],VLOOKUP(Table2[[#This Row],[Manual Cat Value]],Lookup!G:H,2,0))</f>
        <v>Delete</v>
      </c>
      <c r="G13192" t="s">
        <v>9</v>
      </c>
      <c r="I13192" s="8"/>
      <c r="O13192" t="str">
        <f>LEFT(Table2[[#This Row],[Description]],75)</f>
        <v>MSP ALLIED TAXI 0000SAINT PAUL          MN</v>
      </c>
    </row>
    <row r="13193" spans="1:15" hidden="1">
      <c r="A13193">
        <v>202504</v>
      </c>
      <c r="B13193" s="6">
        <v>45761</v>
      </c>
      <c r="C13193" t="s">
        <v>3938</v>
      </c>
      <c r="D13193" t="s">
        <v>31</v>
      </c>
      <c r="E13193">
        <v>88.99</v>
      </c>
      <c r="F13193" t="str">
        <f>IF(Table2[[#This Row],[Manual Cat Value]]="",Table2[[#This Row],[Suggested Cat Value]],VLOOKUP(Table2[[#This Row],[Manual Cat Value]],Lookup!G:H,2,0))</f>
        <v>Target</v>
      </c>
      <c r="G13193" t="s">
        <v>31</v>
      </c>
      <c r="I13193" s="8"/>
      <c r="O13193" t="str">
        <f>LEFT(Table2[[#This Row],[Description]],75)</f>
        <v>Target</v>
      </c>
    </row>
    <row r="13194" spans="1:15" hidden="1">
      <c r="A13194">
        <v>202502</v>
      </c>
      <c r="B13194" s="6">
        <v>45693</v>
      </c>
      <c r="C13194" t="s">
        <v>2258</v>
      </c>
      <c r="D13194" t="s">
        <v>6255</v>
      </c>
      <c r="E13194">
        <v>88.87</v>
      </c>
      <c r="F13194" t="str">
        <f>IF(Table2[[#This Row],[Manual Cat Value]]="",Table2[[#This Row],[Suggested Cat Value]],VLOOKUP(Table2[[#This Row],[Manual Cat Value]],Lookup!G:H,2,0))</f>
        <v>Amazon</v>
      </c>
      <c r="G13194" t="s">
        <v>38</v>
      </c>
      <c r="I13194" s="8"/>
      <c r="O13194" t="str">
        <f>LEFT(Table2[[#This Row],[Description]],75)</f>
        <v>AMAZON MKTPL*E76F22SS3 AMZN.COM/BILLWA3S1VO582KYG</v>
      </c>
    </row>
    <row r="13195" spans="1:15" hidden="1">
      <c r="A13195">
        <v>202505</v>
      </c>
      <c r="B13195" s="6">
        <v>45804</v>
      </c>
      <c r="C13195" t="s">
        <v>130</v>
      </c>
      <c r="D13195" t="s">
        <v>6256</v>
      </c>
      <c r="E13195">
        <v>87.9</v>
      </c>
      <c r="F13195" t="str">
        <f>IF(Table2[[#This Row],[Manual Cat Value]]="",Table2[[#This Row],[Suggested Cat Value]],VLOOKUP(Table2[[#This Row],[Manual Cat Value]],Lookup!G:H,2,0))</f>
        <v>Restaurants</v>
      </c>
      <c r="G13195" t="s">
        <v>26</v>
      </c>
      <c r="I13195" s="8"/>
      <c r="O13195" t="str">
        <f>LEFT(Table2[[#This Row],[Description]],75)</f>
        <v>TST* FREIGHT HOUSE 3STILLWATER          MN</v>
      </c>
    </row>
    <row r="13196" spans="1:15" hidden="1">
      <c r="A13196">
        <v>202504</v>
      </c>
      <c r="B13196" s="6">
        <v>45763</v>
      </c>
      <c r="C13196" t="s">
        <v>2258</v>
      </c>
      <c r="D13196" t="s">
        <v>6257</v>
      </c>
      <c r="E13196">
        <v>87.03</v>
      </c>
      <c r="F13196" t="str">
        <f>IF(Table2[[#This Row],[Manual Cat Value]]="",Table2[[#This Row],[Suggested Cat Value]],VLOOKUP(Table2[[#This Row],[Manual Cat Value]],Lookup!G:H,2,0))</f>
        <v>Amazon</v>
      </c>
      <c r="G13196" t="s">
        <v>38</v>
      </c>
      <c r="I13196" s="8"/>
      <c r="O13196" t="str">
        <f>LEFT(Table2[[#This Row],[Description]],75)</f>
        <v>AMAZON MKTPL*EW9R87AM3 AMZN.COM/BILLWA7CQCN0T46ND</v>
      </c>
    </row>
    <row r="13197" spans="1:15" hidden="1">
      <c r="A13197">
        <v>202504</v>
      </c>
      <c r="B13197" s="6">
        <v>45756</v>
      </c>
      <c r="C13197" t="s">
        <v>130</v>
      </c>
      <c r="D13197" t="s">
        <v>5898</v>
      </c>
      <c r="E13197">
        <v>86.92</v>
      </c>
      <c r="F13197" t="str">
        <f>IF(Table2[[#This Row],[Manual Cat Value]]="",Table2[[#This Row],[Suggested Cat Value]],VLOOKUP(Table2[[#This Row],[Manual Cat Value]],Lookup!G:H,2,0))</f>
        <v>Groceries</v>
      </c>
      <c r="G13197" t="s">
        <v>28</v>
      </c>
      <c r="I13197" s="8"/>
      <c r="O13197" t="str">
        <f>LEFT(Table2[[#This Row],[Description]],75)</f>
        <v>LAKESHORE MARKET &amp; MEXCELSIOR           MN</v>
      </c>
    </row>
    <row r="13198" spans="1:15" hidden="1">
      <c r="A13198">
        <v>202505</v>
      </c>
      <c r="B13198" s="6">
        <v>45793</v>
      </c>
      <c r="C13198" t="s">
        <v>130</v>
      </c>
      <c r="D13198" t="s">
        <v>6258</v>
      </c>
      <c r="E13198">
        <v>86.19</v>
      </c>
      <c r="F13198" t="str">
        <f>IF(Table2[[#This Row],[Manual Cat Value]]="",Table2[[#This Row],[Suggested Cat Value]],VLOOKUP(Table2[[#This Row],[Manual Cat Value]],Lookup!G:H,2,0))</f>
        <v>Delete</v>
      </c>
      <c r="G13198" t="s">
        <v>26</v>
      </c>
      <c r="H13198" s="8" t="s">
        <v>9</v>
      </c>
      <c r="I13198" s="8"/>
      <c r="O13198" t="str">
        <f>LEFT(Table2[[#This Row],[Description]],75)</f>
        <v>ABDIKARIM ALI       Excelsior           MN</v>
      </c>
    </row>
    <row r="13199" spans="1:15" hidden="1">
      <c r="A13199">
        <v>202503</v>
      </c>
      <c r="B13199" s="6">
        <v>45747</v>
      </c>
      <c r="C13199" t="s">
        <v>130</v>
      </c>
      <c r="D13199" t="s">
        <v>6259</v>
      </c>
      <c r="E13199">
        <v>85.81</v>
      </c>
      <c r="F13199" t="str">
        <f>IF(Table2[[#This Row],[Manual Cat Value]]="",Table2[[#This Row],[Suggested Cat Value]],VLOOKUP(Table2[[#This Row],[Manual Cat Value]],Lookup!G:H,2,0))</f>
        <v>Restaurants</v>
      </c>
      <c r="G13199" t="s">
        <v>26</v>
      </c>
      <c r="I13199" s="8"/>
      <c r="O13199" t="str">
        <f>LEFT(Table2[[#This Row],[Description]],75)</f>
        <v>TST* VOLCANO MOUNTAINAPLES              FL</v>
      </c>
    </row>
    <row r="13200" spans="1:15" hidden="1">
      <c r="A13200">
        <v>202501</v>
      </c>
      <c r="B13200" s="6">
        <v>45670</v>
      </c>
      <c r="C13200" t="s">
        <v>2258</v>
      </c>
      <c r="D13200" t="s">
        <v>6260</v>
      </c>
      <c r="E13200">
        <v>84.48</v>
      </c>
      <c r="F13200" t="str">
        <f>IF(Table2[[#This Row],[Manual Cat Value]]="",Table2[[#This Row],[Suggested Cat Value]],VLOOKUP(Table2[[#This Row],[Manual Cat Value]],Lookup!G:H,2,0))</f>
        <v>Amazon</v>
      </c>
      <c r="G13200" t="s">
        <v>38</v>
      </c>
      <c r="I13200" s="8"/>
      <c r="O13200" t="str">
        <f>LEFT(Table2[[#This Row],[Description]],75)</f>
        <v>AMAZON MKTPL*Z53MV7LF0 AMZN.COM/BILLWA7HATPS2V3SR</v>
      </c>
    </row>
    <row r="13201" spans="1:15" hidden="1">
      <c r="A13201">
        <v>202503</v>
      </c>
      <c r="B13201" s="6">
        <v>45733</v>
      </c>
      <c r="C13201" t="s">
        <v>2258</v>
      </c>
      <c r="D13201" t="s">
        <v>6261</v>
      </c>
      <c r="E13201">
        <v>84.41</v>
      </c>
      <c r="F13201" t="str">
        <f>IF(Table2[[#This Row],[Manual Cat Value]]="",Table2[[#This Row],[Suggested Cat Value]],VLOOKUP(Table2[[#This Row],[Manual Cat Value]],Lookup!G:H,2,0))</f>
        <v>Amazon</v>
      </c>
      <c r="G13201" t="s">
        <v>38</v>
      </c>
      <c r="I13201" s="8"/>
      <c r="O13201" t="str">
        <f>LEFT(Table2[[#This Row],[Description]],75)</f>
        <v>AMAZON.COM*VQ9RB5C23 AMZN.COM/BILLWA1X0DW5ISTRW</v>
      </c>
    </row>
    <row r="13202" spans="1:15" hidden="1">
      <c r="A13202">
        <v>202503</v>
      </c>
      <c r="B13202" s="6">
        <v>45740</v>
      </c>
      <c r="C13202" t="s">
        <v>2258</v>
      </c>
      <c r="D13202" t="s">
        <v>6262</v>
      </c>
      <c r="E13202">
        <v>84.05</v>
      </c>
      <c r="F13202" t="str">
        <f>IF(Table2[[#This Row],[Manual Cat Value]]="",Table2[[#This Row],[Suggested Cat Value]],VLOOKUP(Table2[[#This Row],[Manual Cat Value]],Lookup!G:H,2,0))</f>
        <v>Amazon</v>
      </c>
      <c r="G13202" t="s">
        <v>38</v>
      </c>
      <c r="I13202" s="8"/>
      <c r="O13202" t="str">
        <f>LEFT(Table2[[#This Row],[Description]],75)</f>
        <v>AMAZON MKTPL*2R2L90A83 AMZN.COM/BILLWA28H3CC8WN98</v>
      </c>
    </row>
    <row r="13203" spans="1:15" hidden="1">
      <c r="A13203">
        <v>202505</v>
      </c>
      <c r="B13203" s="6">
        <v>45801</v>
      </c>
      <c r="C13203" t="s">
        <v>130</v>
      </c>
      <c r="D13203" t="s">
        <v>5795</v>
      </c>
      <c r="E13203">
        <v>83.71</v>
      </c>
      <c r="F13203" t="str">
        <f>IF(Table2[[#This Row],[Manual Cat Value]]="",Table2[[#This Row],[Suggested Cat Value]],VLOOKUP(Table2[[#This Row],[Manual Cat Value]],Lookup!G:H,2,0))</f>
        <v>Delete</v>
      </c>
      <c r="G13203" t="s">
        <v>9</v>
      </c>
      <c r="I13203" s="8"/>
      <c r="O13203" t="str">
        <f>LEFT(Table2[[#This Row],[Description]],75)</f>
        <v>SLACK T074985K686   SAN FRANCISCO       CA</v>
      </c>
    </row>
    <row r="13204" spans="1:15" hidden="1">
      <c r="A13204">
        <v>202505</v>
      </c>
      <c r="B13204" s="6">
        <v>45805</v>
      </c>
      <c r="C13204" t="s">
        <v>130</v>
      </c>
      <c r="D13204" t="s">
        <v>6183</v>
      </c>
      <c r="E13204">
        <v>83.28</v>
      </c>
      <c r="F13204" t="str">
        <f>IF(Table2[[#This Row],[Manual Cat Value]]="",Table2[[#This Row],[Suggested Cat Value]],VLOOKUP(Table2[[#This Row],[Manual Cat Value]],Lookup!G:H,2,0))</f>
        <v>Amazon</v>
      </c>
      <c r="G13204" t="s">
        <v>38</v>
      </c>
      <c r="I13204" s="8"/>
      <c r="O13204" t="str">
        <f>LEFT(Table2[[#This Row],[Description]],75)</f>
        <v>AMAZON MARKEPLACE NA PA</v>
      </c>
    </row>
    <row r="13205" spans="1:15" hidden="1">
      <c r="A13205">
        <v>202502</v>
      </c>
      <c r="B13205" s="6">
        <v>45690</v>
      </c>
      <c r="C13205" t="s">
        <v>130</v>
      </c>
      <c r="D13205" t="s">
        <v>6071</v>
      </c>
      <c r="E13205">
        <v>83</v>
      </c>
      <c r="F13205" t="str">
        <f>IF(Table2[[#This Row],[Manual Cat Value]]="",Table2[[#This Row],[Suggested Cat Value]],VLOOKUP(Table2[[#This Row],[Manual Cat Value]],Lookup!G:H,2,0))</f>
        <v>Entertainment</v>
      </c>
      <c r="G13205" t="s">
        <v>40</v>
      </c>
      <c r="I13205" s="8"/>
      <c r="O13205" t="str">
        <f>LEFT(Table2[[#This Row],[Description]],75)</f>
        <v>HYLAND HILLS SKI AREPYMOUTH             MN</v>
      </c>
    </row>
    <row r="13206" spans="1:15" hidden="1">
      <c r="A13206">
        <v>202505</v>
      </c>
      <c r="B13206" s="6">
        <v>45787</v>
      </c>
      <c r="C13206" t="s">
        <v>130</v>
      </c>
      <c r="D13206" t="s">
        <v>6263</v>
      </c>
      <c r="E13206">
        <v>82.46</v>
      </c>
      <c r="F13206" t="str">
        <f>IF(Table2[[#This Row],[Manual Cat Value]]="",Table2[[#This Row],[Suggested Cat Value]],VLOOKUP(Table2[[#This Row],[Manual Cat Value]],Lookup!G:H,2,0))</f>
        <v>Shopping</v>
      </c>
      <c r="G13206" t="s">
        <v>26</v>
      </c>
      <c r="H13206" s="8" t="s">
        <v>36</v>
      </c>
      <c r="I13206" s="8"/>
      <c r="O13206" t="str">
        <f>LEFT(Table2[[#This Row],[Description]],75)</f>
        <v>AplPay KOHL'S       EDEN PRAIRIE        MN</v>
      </c>
    </row>
    <row r="13207" spans="1:15" hidden="1">
      <c r="A13207">
        <v>202504</v>
      </c>
      <c r="B13207" s="6">
        <v>45769</v>
      </c>
      <c r="C13207" t="s">
        <v>3938</v>
      </c>
      <c r="D13207" t="s">
        <v>31</v>
      </c>
      <c r="E13207">
        <v>82.41</v>
      </c>
      <c r="F13207" t="str">
        <f>IF(Table2[[#This Row],[Manual Cat Value]]="",Table2[[#This Row],[Suggested Cat Value]],VLOOKUP(Table2[[#This Row],[Manual Cat Value]],Lookup!G:H,2,0))</f>
        <v>Target</v>
      </c>
      <c r="G13207" t="s">
        <v>31</v>
      </c>
      <c r="I13207" s="8"/>
      <c r="O13207" t="str">
        <f>LEFT(Table2[[#This Row],[Description]],75)</f>
        <v>Target</v>
      </c>
    </row>
    <row r="13208" spans="1:15" hidden="1">
      <c r="A13208">
        <v>202504</v>
      </c>
      <c r="B13208" s="6">
        <v>45756</v>
      </c>
      <c r="C13208" t="s">
        <v>2258</v>
      </c>
      <c r="D13208" t="s">
        <v>6264</v>
      </c>
      <c r="E13208">
        <v>82.32</v>
      </c>
      <c r="F13208" t="str">
        <f>IF(Table2[[#This Row],[Manual Cat Value]]="",Table2[[#This Row],[Suggested Cat Value]],VLOOKUP(Table2[[#This Row],[Manual Cat Value]],Lookup!G:H,2,0))</f>
        <v>Amazon</v>
      </c>
      <c r="G13208" t="s">
        <v>38</v>
      </c>
      <c r="I13208" s="8"/>
      <c r="O13208" t="str">
        <f>LEFT(Table2[[#This Row],[Description]],75)</f>
        <v>AMAZON MKTPL*I64661C63 AMZN.COM/BILLWA2LX8X3K780Z</v>
      </c>
    </row>
    <row r="13209" spans="1:15" hidden="1">
      <c r="A13209">
        <v>202504</v>
      </c>
      <c r="B13209" s="6">
        <v>45752</v>
      </c>
      <c r="C13209" t="s">
        <v>130</v>
      </c>
      <c r="D13209" t="s">
        <v>6265</v>
      </c>
      <c r="E13209">
        <v>82.22</v>
      </c>
      <c r="F13209" t="str">
        <f>IF(Table2[[#This Row],[Manual Cat Value]]="",Table2[[#This Row],[Suggested Cat Value]],VLOOKUP(Table2[[#This Row],[Manual Cat Value]],Lookup!G:H,2,0))</f>
        <v>Delete</v>
      </c>
      <c r="G13209" t="s">
        <v>9</v>
      </c>
      <c r="I13209" s="8"/>
      <c r="O13209" t="str">
        <f>LEFT(Table2[[#This Row],[Description]],75)</f>
        <v>AplPay PO8          FORT MYERS BE       FL</v>
      </c>
    </row>
    <row r="13210" spans="1:15" hidden="1">
      <c r="A13210">
        <v>202501</v>
      </c>
      <c r="B13210" s="6">
        <v>45681</v>
      </c>
      <c r="C13210" t="s">
        <v>130</v>
      </c>
      <c r="D13210" t="s">
        <v>6266</v>
      </c>
      <c r="E13210">
        <v>81.7</v>
      </c>
      <c r="F13210" t="str">
        <f>IF(Table2[[#This Row],[Manual Cat Value]]="",Table2[[#This Row],[Suggested Cat Value]],VLOOKUP(Table2[[#This Row],[Manual Cat Value]],Lookup!G:H,2,0))</f>
        <v>Delete</v>
      </c>
      <c r="G13210" t="s">
        <v>9</v>
      </c>
      <c r="I13210" s="8"/>
      <c r="O13210" t="str">
        <f>LEFT(Table2[[#This Row],[Description]],75)</f>
        <v>MSP AIRPORT TAXI    Excelsior           MN</v>
      </c>
    </row>
    <row r="13211" spans="1:15" hidden="1">
      <c r="A13211">
        <v>202501</v>
      </c>
      <c r="B13211" s="6">
        <v>45669</v>
      </c>
      <c r="C13211" t="s">
        <v>130</v>
      </c>
      <c r="D13211" t="s">
        <v>6267</v>
      </c>
      <c r="E13211">
        <v>81.319999999999993</v>
      </c>
      <c r="F13211" t="str">
        <f>IF(Table2[[#This Row],[Manual Cat Value]]="",Table2[[#This Row],[Suggested Cat Value]],VLOOKUP(Table2[[#This Row],[Manual Cat Value]],Lookup!G:H,2,0))</f>
        <v>Travel</v>
      </c>
      <c r="G13211" t="s">
        <v>43</v>
      </c>
      <c r="I13211" s="8"/>
      <c r="O13211" t="str">
        <f>LEFT(Table2[[#This Row],[Description]],75)</f>
        <v>ICE CASTLES LLC 0913OREM                UT</v>
      </c>
    </row>
    <row r="13212" spans="1:15" hidden="1">
      <c r="A13212">
        <v>202503</v>
      </c>
      <c r="B13212" s="6">
        <v>45735</v>
      </c>
      <c r="C13212" t="s">
        <v>130</v>
      </c>
      <c r="D13212" t="s">
        <v>6268</v>
      </c>
      <c r="E13212">
        <v>80.16</v>
      </c>
      <c r="F13212" t="str">
        <f>IF(Table2[[#This Row],[Manual Cat Value]]="",Table2[[#This Row],[Suggested Cat Value]],VLOOKUP(Table2[[#This Row],[Manual Cat Value]],Lookup!G:H,2,0))</f>
        <v>Delete</v>
      </c>
      <c r="G13212" t="s">
        <v>9</v>
      </c>
      <c r="H13212" s="8" t="s">
        <v>9</v>
      </c>
      <c r="I13212" s="8"/>
      <c r="O13212" t="str">
        <f>LEFT(Table2[[#This Row],[Description]],75)</f>
        <v>TST-HAPPY DAYS DELI CORK                IR</v>
      </c>
    </row>
    <row r="13213" spans="1:15" hidden="1">
      <c r="A13213">
        <v>202503</v>
      </c>
      <c r="B13213" s="6">
        <v>45737</v>
      </c>
      <c r="C13213" t="s">
        <v>130</v>
      </c>
      <c r="D13213" t="s">
        <v>6269</v>
      </c>
      <c r="E13213">
        <v>80</v>
      </c>
      <c r="F13213" t="str">
        <f>IF(Table2[[#This Row],[Manual Cat Value]]="",Table2[[#This Row],[Suggested Cat Value]],VLOOKUP(Table2[[#This Row],[Manual Cat Value]],Lookup!G:H,2,0))</f>
        <v>Restaurants</v>
      </c>
      <c r="G13213" t="s">
        <v>26</v>
      </c>
      <c r="I13213" s="8"/>
      <c r="O13213" t="str">
        <f>LEFT(Table2[[#This Row],[Description]],75)</f>
        <v>AHMED TEXI          Excelsior           MN</v>
      </c>
    </row>
    <row r="13214" spans="1:15" hidden="1">
      <c r="A13214">
        <v>202501</v>
      </c>
      <c r="B13214" s="6">
        <v>45658</v>
      </c>
      <c r="C13214" t="s">
        <v>2519</v>
      </c>
      <c r="D13214" t="s">
        <v>6270</v>
      </c>
      <c r="E13214">
        <v>79</v>
      </c>
      <c r="F13214" t="str">
        <f>IF(Table2[[#This Row],[Manual Cat Value]]="",Table2[[#This Row],[Suggested Cat Value]],VLOOKUP(Table2[[#This Row],[Manual Cat Value]],Lookup!G:H,2,0))</f>
        <v>Travel</v>
      </c>
      <c r="G13214" t="s">
        <v>9</v>
      </c>
      <c r="H13214" s="8" t="s">
        <v>52</v>
      </c>
      <c r="I13214" s="8"/>
      <c r="O13214" t="str">
        <f>LEFT(Table2[[#This Row],[Description]],75)</f>
        <v>Withdrawal MT. ASHWABAY SKI AREA BAYFIELD WI Date XX 7999 Card 5404</v>
      </c>
    </row>
    <row r="13215" spans="1:15" hidden="1">
      <c r="A13215">
        <v>202505</v>
      </c>
      <c r="B13215" s="6">
        <v>45792</v>
      </c>
      <c r="C13215" t="s">
        <v>130</v>
      </c>
      <c r="D13215" t="s">
        <v>5827</v>
      </c>
      <c r="E13215">
        <v>78.5</v>
      </c>
      <c r="F13215" t="str">
        <f>IF(Table2[[#This Row],[Manual Cat Value]]="",Table2[[#This Row],[Suggested Cat Value]],VLOOKUP(Table2[[#This Row],[Manual Cat Value]],Lookup!G:H,2,0))</f>
        <v>Delete</v>
      </c>
      <c r="G13215" t="s">
        <v>9</v>
      </c>
      <c r="H13215" s="8" t="s">
        <v>9</v>
      </c>
      <c r="I13215" s="8"/>
      <c r="O13215" t="str">
        <f>LEFT(Table2[[#This Row],[Description]],75)</f>
        <v>THE DEAN HOTEL IE000CORK                IR</v>
      </c>
    </row>
    <row r="13216" spans="1:15" hidden="1">
      <c r="A13216">
        <v>202503</v>
      </c>
      <c r="B13216" s="6">
        <v>45739</v>
      </c>
      <c r="C13216" t="s">
        <v>3938</v>
      </c>
      <c r="D13216" t="s">
        <v>1076</v>
      </c>
      <c r="E13216">
        <v>78.02</v>
      </c>
      <c r="F13216" t="str">
        <f>IF(Table2[[#This Row],[Manual Cat Value]]="",Table2[[#This Row],[Suggested Cat Value]],VLOOKUP(Table2[[#This Row],[Manual Cat Value]],Lookup!G:H,2,0))</f>
        <v>Shopping</v>
      </c>
      <c r="G13216" t="s">
        <v>21</v>
      </c>
      <c r="I13216" s="8"/>
      <c r="O13216" t="str">
        <f>LEFT(Table2[[#This Row],[Description]],75)</f>
        <v>Kohl's</v>
      </c>
    </row>
    <row r="13217" spans="1:15" hidden="1">
      <c r="A13217">
        <v>202501</v>
      </c>
      <c r="B13217" s="6">
        <v>45658</v>
      </c>
      <c r="C13217" t="s">
        <v>130</v>
      </c>
      <c r="D13217" t="s">
        <v>6271</v>
      </c>
      <c r="E13217">
        <v>77.88</v>
      </c>
      <c r="F13217" t="str">
        <f>IF(Table2[[#This Row],[Manual Cat Value]]="",Table2[[#This Row],[Suggested Cat Value]],VLOOKUP(Table2[[#This Row],[Manual Cat Value]],Lookup!G:H,2,0))</f>
        <v>Groceries</v>
      </c>
      <c r="G13217" t="s">
        <v>28</v>
      </c>
      <c r="I13217" s="8"/>
      <c r="O13217" t="str">
        <f>LEFT(Table2[[#This Row],[Description]],75)</f>
        <v>HOLIDAY STATIONS 002HAYWARD             WI</v>
      </c>
    </row>
    <row r="13218" spans="1:15" hidden="1">
      <c r="A13218">
        <v>202502</v>
      </c>
      <c r="B13218" s="6">
        <v>45701</v>
      </c>
      <c r="C13218" t="s">
        <v>130</v>
      </c>
      <c r="D13218" t="s">
        <v>5942</v>
      </c>
      <c r="E13218">
        <v>77</v>
      </c>
      <c r="F13218" t="str">
        <f>IF(Table2[[#This Row],[Manual Cat Value]]="",Table2[[#This Row],[Suggested Cat Value]],VLOOKUP(Table2[[#This Row],[Manual Cat Value]],Lookup!G:H,2,0))</f>
        <v>Shopping</v>
      </c>
      <c r="G13218" t="s">
        <v>21</v>
      </c>
      <c r="I13218" s="8"/>
      <c r="O13218" t="str">
        <f>LEFT(Table2[[#This Row],[Description]],75)</f>
        <v>SP NORMAL BRAND COR SAINT LOUIS         MO</v>
      </c>
    </row>
    <row r="13219" spans="1:15" hidden="1">
      <c r="A13219">
        <v>202502</v>
      </c>
      <c r="B13219" s="6">
        <v>45695</v>
      </c>
      <c r="C13219" t="s">
        <v>130</v>
      </c>
      <c r="D13219" t="s">
        <v>6272</v>
      </c>
      <c r="E13219">
        <v>76.84</v>
      </c>
      <c r="F13219" t="str">
        <f>IF(Table2[[#This Row],[Manual Cat Value]]="",Table2[[#This Row],[Suggested Cat Value]],VLOOKUP(Table2[[#This Row],[Manual Cat Value]],Lookup!G:H,2,0))</f>
        <v>Restaurants</v>
      </c>
      <c r="G13219" t="s">
        <v>26</v>
      </c>
      <c r="I13219" s="8"/>
      <c r="O13219" t="str">
        <f>LEFT(Table2[[#This Row],[Description]],75)</f>
        <v>AplPay HAZELWOOD FOOEXCELSIOR           MN</v>
      </c>
    </row>
    <row r="13220" spans="1:15" hidden="1">
      <c r="A13220">
        <v>202503</v>
      </c>
      <c r="B13220" s="6">
        <v>45746</v>
      </c>
      <c r="C13220" t="s">
        <v>3938</v>
      </c>
      <c r="D13220" t="s">
        <v>6273</v>
      </c>
      <c r="E13220">
        <v>76.58</v>
      </c>
      <c r="F13220" t="str">
        <f>IF(Table2[[#This Row],[Manual Cat Value]]="",Table2[[#This Row],[Suggested Cat Value]],VLOOKUP(Table2[[#This Row],[Manual Cat Value]],Lookup!G:H,2,0))</f>
        <v>Restaurants</v>
      </c>
      <c r="G13220" t="s">
        <v>26</v>
      </c>
      <c r="I13220" s="8"/>
      <c r="O13220" t="str">
        <f>LEFT(Table2[[#This Row],[Description]],75)</f>
        <v>TST* DUKE'S ON XX-3286 MN REF #XX7462R2XDKSWS7</v>
      </c>
    </row>
    <row r="13221" spans="1:15" hidden="1">
      <c r="A13221">
        <v>202502</v>
      </c>
      <c r="B13221" s="6">
        <v>45702</v>
      </c>
      <c r="C13221" t="s">
        <v>130</v>
      </c>
      <c r="D13221" t="s">
        <v>6274</v>
      </c>
      <c r="E13221">
        <v>76.55</v>
      </c>
      <c r="F13221" t="str">
        <f>IF(Table2[[#This Row],[Manual Cat Value]]="",Table2[[#This Row],[Suggested Cat Value]],VLOOKUP(Table2[[#This Row],[Manual Cat Value]],Lookup!G:H,2,0))</f>
        <v>Utilities</v>
      </c>
      <c r="G13221" t="s">
        <v>7</v>
      </c>
      <c r="I13221" s="8"/>
      <c r="O13221" t="str">
        <f>LEFT(Table2[[#This Row],[Description]],75)</f>
        <v>LEVI.COM            SAN FRANCISCO       CA</v>
      </c>
    </row>
    <row r="13222" spans="1:15" hidden="1">
      <c r="A13222">
        <v>202505</v>
      </c>
      <c r="B13222" s="6">
        <v>45788</v>
      </c>
      <c r="C13222" t="s">
        <v>130</v>
      </c>
      <c r="D13222" t="s">
        <v>5920</v>
      </c>
      <c r="E13222">
        <v>75.900000000000006</v>
      </c>
      <c r="F13222" t="str">
        <f>IF(Table2[[#This Row],[Manual Cat Value]]="",Table2[[#This Row],[Suggested Cat Value]],VLOOKUP(Table2[[#This Row],[Manual Cat Value]],Lookup!G:H,2,0))</f>
        <v>Delete</v>
      </c>
      <c r="G13222" t="s">
        <v>9</v>
      </c>
      <c r="I13222" s="8"/>
      <c r="O13222" t="str">
        <f>LEFT(Table2[[#This Row],[Description]],75)</f>
        <v>TRANSPORTATION PLUS NEW HOPE            MN</v>
      </c>
    </row>
    <row r="13223" spans="1:15" hidden="1">
      <c r="A13223">
        <v>202504</v>
      </c>
      <c r="B13223" s="6">
        <v>45757</v>
      </c>
      <c r="C13223" t="s">
        <v>2519</v>
      </c>
      <c r="D13223" t="s">
        <v>6275</v>
      </c>
      <c r="E13223">
        <v>-892.42</v>
      </c>
      <c r="F13223" t="str">
        <f>IF(Table2[[#This Row],[Manual Cat Value]]="",Table2[[#This Row],[Suggested Cat Value]],VLOOKUP(Table2[[#This Row],[Manual Cat Value]],Lookup!G:H,2,0))</f>
        <v>Jeff</v>
      </c>
      <c r="G13223" t="s">
        <v>20</v>
      </c>
      <c r="H13223" s="8" t="s">
        <v>63</v>
      </c>
      <c r="I13223" s="8"/>
      <c r="O13223" t="str">
        <f>LEFT(Table2[[#This Row],[Description]],75)</f>
        <v>Deposit ACH EMPYREAN SOLUTIO TYPE: ACH ID: XX3620 CO: EMPYREAN SOLUTIO Entr</v>
      </c>
    </row>
    <row r="13224" spans="1:15" hidden="1">
      <c r="A13224">
        <v>202504</v>
      </c>
      <c r="B13224" s="6">
        <v>45761</v>
      </c>
      <c r="C13224" t="s">
        <v>3938</v>
      </c>
      <c r="D13224" t="s">
        <v>1508</v>
      </c>
      <c r="E13224">
        <v>75.12</v>
      </c>
      <c r="F13224" t="str">
        <f>IF(Table2[[#This Row],[Manual Cat Value]]="",Table2[[#This Row],[Suggested Cat Value]],VLOOKUP(Table2[[#This Row],[Manual Cat Value]],Lookup!G:H,2,0))</f>
        <v>Shopping</v>
      </c>
      <c r="G13224" t="s">
        <v>21</v>
      </c>
      <c r="I13224" s="8"/>
      <c r="O13224" t="str">
        <f>LEFT(Table2[[#This Row],[Description]],75)</f>
        <v>Pottery Barn</v>
      </c>
    </row>
    <row r="13225" spans="1:15" hidden="1">
      <c r="A13225">
        <v>202504</v>
      </c>
      <c r="B13225" s="6">
        <v>45767</v>
      </c>
      <c r="C13225" t="s">
        <v>130</v>
      </c>
      <c r="D13225" t="s">
        <v>6183</v>
      </c>
      <c r="E13225">
        <v>75.040000000000006</v>
      </c>
      <c r="F13225" t="str">
        <f>IF(Table2[[#This Row],[Manual Cat Value]]="",Table2[[#This Row],[Suggested Cat Value]],VLOOKUP(Table2[[#This Row],[Manual Cat Value]],Lookup!G:H,2,0))</f>
        <v>Amazon</v>
      </c>
      <c r="G13225" t="s">
        <v>38</v>
      </c>
      <c r="I13225" s="8"/>
      <c r="O13225" t="str">
        <f>LEFT(Table2[[#This Row],[Description]],75)</f>
        <v>AMAZON MARKEPLACE NA PA</v>
      </c>
    </row>
    <row r="13226" spans="1:15" hidden="1">
      <c r="A13226">
        <v>202501</v>
      </c>
      <c r="B13226" s="6">
        <v>45676</v>
      </c>
      <c r="C13226" t="s">
        <v>130</v>
      </c>
      <c r="D13226" t="s">
        <v>5920</v>
      </c>
      <c r="E13226">
        <v>73.7</v>
      </c>
      <c r="F13226" t="str">
        <f>IF(Table2[[#This Row],[Manual Cat Value]]="",Table2[[#This Row],[Suggested Cat Value]],VLOOKUP(Table2[[#This Row],[Manual Cat Value]],Lookup!G:H,2,0))</f>
        <v>Delete</v>
      </c>
      <c r="G13226" t="s">
        <v>9</v>
      </c>
      <c r="I13226" s="8"/>
      <c r="O13226" t="str">
        <f>LEFT(Table2[[#This Row],[Description]],75)</f>
        <v>TRANSPORTATION PLUS NEW HOPE            MN</v>
      </c>
    </row>
    <row r="13227" spans="1:15" hidden="1">
      <c r="A13227">
        <v>202505</v>
      </c>
      <c r="B13227" s="6">
        <v>45803</v>
      </c>
      <c r="C13227" t="s">
        <v>130</v>
      </c>
      <c r="D13227" t="s">
        <v>5920</v>
      </c>
      <c r="E13227">
        <v>73.7</v>
      </c>
      <c r="F13227" t="str">
        <f>IF(Table2[[#This Row],[Manual Cat Value]]="",Table2[[#This Row],[Suggested Cat Value]],VLOOKUP(Table2[[#This Row],[Manual Cat Value]],Lookup!G:H,2,0))</f>
        <v>Delete</v>
      </c>
      <c r="G13227" t="s">
        <v>9</v>
      </c>
      <c r="I13227" s="8"/>
      <c r="O13227" t="str">
        <f>LEFT(Table2[[#This Row],[Description]],75)</f>
        <v>TRANSPORTATION PLUS NEW HOPE            MN</v>
      </c>
    </row>
    <row r="13228" spans="1:15" hidden="1">
      <c r="A13228">
        <v>202501</v>
      </c>
      <c r="B13228" s="6">
        <v>45688</v>
      </c>
      <c r="C13228" t="s">
        <v>130</v>
      </c>
      <c r="D13228" t="s">
        <v>6276</v>
      </c>
      <c r="E13228">
        <v>73.55</v>
      </c>
      <c r="F13228" t="str">
        <f>IF(Table2[[#This Row],[Manual Cat Value]]="",Table2[[#This Row],[Suggested Cat Value]],VLOOKUP(Table2[[#This Row],[Manual Cat Value]],Lookup!G:H,2,0))</f>
        <v>Restaurants</v>
      </c>
      <c r="G13228" t="s">
        <v>26</v>
      </c>
      <c r="I13228" s="8"/>
      <c r="O13228" t="str">
        <f>LEFT(Table2[[#This Row],[Description]],75)</f>
        <v>PETITE LEON         MINNEAPOLIS         MN</v>
      </c>
    </row>
    <row r="13229" spans="1:15" hidden="1">
      <c r="A13229">
        <v>202503</v>
      </c>
      <c r="B13229" s="6">
        <v>45737</v>
      </c>
      <c r="C13229" t="s">
        <v>3938</v>
      </c>
      <c r="D13229" t="s">
        <v>6277</v>
      </c>
      <c r="E13229">
        <v>73.150000000000006</v>
      </c>
      <c r="F13229" t="str">
        <f>IF(Table2[[#This Row],[Manual Cat Value]]="",Table2[[#This Row],[Suggested Cat Value]],VLOOKUP(Table2[[#This Row],[Manual Cat Value]],Lookup!G:H,2,0))</f>
        <v>Delete</v>
      </c>
      <c r="G13229" t="s">
        <v>26</v>
      </c>
      <c r="H13229" s="8" t="s">
        <v>9</v>
      </c>
      <c r="I13229" s="8"/>
      <c r="O13229" t="str">
        <f>LEFT(Table2[[#This Row],[Description]],75)</f>
        <v>Mardyke Entertainment Comcork IE REF #XX8932G3ZL3S5MD</v>
      </c>
    </row>
    <row r="13230" spans="1:15" hidden="1">
      <c r="A13230">
        <v>202505</v>
      </c>
      <c r="B13230" s="6">
        <v>45794</v>
      </c>
      <c r="C13230" t="s">
        <v>130</v>
      </c>
      <c r="D13230" t="s">
        <v>6278</v>
      </c>
      <c r="E13230">
        <v>72.2</v>
      </c>
      <c r="F13230" t="str">
        <f>IF(Table2[[#This Row],[Manual Cat Value]]="",Table2[[#This Row],[Suggested Cat Value]],VLOOKUP(Table2[[#This Row],[Manual Cat Value]],Lookup!G:H,2,0))</f>
        <v>Shopping</v>
      </c>
      <c r="G13230" t="s">
        <v>21</v>
      </c>
      <c r="I13230" s="8"/>
      <c r="O13230" t="str">
        <f>LEFT(Table2[[#This Row],[Description]],75)</f>
        <v>SP HUMA GEL         NASHVILLE           TN</v>
      </c>
    </row>
    <row r="13231" spans="1:15" hidden="1">
      <c r="A13231">
        <v>202505</v>
      </c>
      <c r="B13231" s="6">
        <v>45792</v>
      </c>
      <c r="C13231" t="s">
        <v>3938</v>
      </c>
      <c r="D13231" t="s">
        <v>6279</v>
      </c>
      <c r="E13231">
        <v>70.53</v>
      </c>
      <c r="F13231" t="str">
        <f>IF(Table2[[#This Row],[Manual Cat Value]]="",Table2[[#This Row],[Suggested Cat Value]],VLOOKUP(Table2[[#This Row],[Manual Cat Value]],Lookup!G:H,2,0))</f>
        <v>Delete</v>
      </c>
      <c r="G13231" t="s">
        <v>9</v>
      </c>
      <c r="H13231" s="8" t="s">
        <v>9</v>
      </c>
      <c r="I13231" s="8"/>
      <c r="O13231" t="str">
        <f>LEFT(Table2[[#This Row],[Description]],75)</f>
        <v>Naturally Nourished Cork IE REF #XX4612F2H7RL</v>
      </c>
    </row>
    <row r="13232" spans="1:15" hidden="1">
      <c r="A13232">
        <v>202501</v>
      </c>
      <c r="B13232" s="6">
        <v>45661</v>
      </c>
      <c r="C13232" t="s">
        <v>130</v>
      </c>
      <c r="D13232" t="s">
        <v>6280</v>
      </c>
      <c r="E13232">
        <v>70.42</v>
      </c>
      <c r="F13232" t="str">
        <f>IF(Table2[[#This Row],[Manual Cat Value]]="",Table2[[#This Row],[Suggested Cat Value]],VLOOKUP(Table2[[#This Row],[Manual Cat Value]],Lookup!G:H,2,0))</f>
        <v>Shopping</v>
      </c>
      <c r="G13232" t="s">
        <v>21</v>
      </c>
      <c r="I13232" s="8"/>
      <c r="O13232" t="str">
        <f>LEFT(Table2[[#This Row],[Description]],75)</f>
        <v>PLAY IT AGAIN SPORTSCHASKA              MN</v>
      </c>
    </row>
    <row r="13233" spans="1:15" hidden="1">
      <c r="A13233">
        <v>202505</v>
      </c>
      <c r="B13233" s="6">
        <v>45804</v>
      </c>
      <c r="C13233" t="s">
        <v>2519</v>
      </c>
      <c r="D13233" t="s">
        <v>1958</v>
      </c>
      <c r="E13233">
        <v>70</v>
      </c>
      <c r="F13233" t="str">
        <f>IF(Table2[[#This Row],[Manual Cat Value]]="",Table2[[#This Row],[Suggested Cat Value]],VLOOKUP(Table2[[#This Row],[Manual Cat Value]],Lookup!G:H,2,0))</f>
        <v>Shopping</v>
      </c>
      <c r="G13233" t="s">
        <v>21</v>
      </c>
      <c r="I13233" s="8"/>
      <c r="O13233" t="str">
        <f>LEFT(Table2[[#This Row],[Description]],75)</f>
        <v>Transfer to Venmo</v>
      </c>
    </row>
    <row r="13234" spans="1:15" hidden="1">
      <c r="A13234">
        <v>202504</v>
      </c>
      <c r="B13234" s="6">
        <v>45762</v>
      </c>
      <c r="C13234" t="s">
        <v>2519</v>
      </c>
      <c r="D13234" t="s">
        <v>6281</v>
      </c>
      <c r="E13234">
        <v>400</v>
      </c>
      <c r="F13234" t="str">
        <f>IF(Table2[[#This Row],[Manual Cat Value]]="",Table2[[#This Row],[Suggested Cat Value]],VLOOKUP(Table2[[#This Row],[Manual Cat Value]],Lookup!G:H,2,0))</f>
        <v>Day Care</v>
      </c>
      <c r="G13234" t="s">
        <v>20</v>
      </c>
      <c r="I13234" s="8"/>
      <c r="O13234" t="str">
        <f>LEFT(Table2[[#This Row],[Description]],75)</f>
        <v>Withdrawal ACH Mis Amigos Presc TYPE: ID: XX7393 NAME: BCU CO: Mis Amigos P</v>
      </c>
    </row>
    <row r="13235" spans="1:15" hidden="1">
      <c r="A13235">
        <v>202502</v>
      </c>
      <c r="B13235" s="6">
        <v>45689</v>
      </c>
      <c r="C13235" t="s">
        <v>130</v>
      </c>
      <c r="D13235" t="s">
        <v>6282</v>
      </c>
      <c r="E13235">
        <v>68.86</v>
      </c>
      <c r="F13235" t="str">
        <f>IF(Table2[[#This Row],[Manual Cat Value]]="",Table2[[#This Row],[Suggested Cat Value]],VLOOKUP(Table2[[#This Row],[Manual Cat Value]],Lookup!G:H,2,0))</f>
        <v>Delete</v>
      </c>
      <c r="G13235" t="s">
        <v>9</v>
      </c>
      <c r="I13235" s="8"/>
      <c r="O13235" t="str">
        <f>LEFT(Table2[[#This Row],[Description]],75)</f>
        <v>IPHO BY SAIGON 0000 ST. PAUL            MN</v>
      </c>
    </row>
    <row r="13236" spans="1:15" hidden="1">
      <c r="A13236">
        <v>202501</v>
      </c>
      <c r="B13236" s="6">
        <v>45685</v>
      </c>
      <c r="C13236" t="s">
        <v>130</v>
      </c>
      <c r="D13236" t="s">
        <v>6183</v>
      </c>
      <c r="E13236">
        <v>68.19</v>
      </c>
      <c r="F13236" t="str">
        <f>IF(Table2[[#This Row],[Manual Cat Value]]="",Table2[[#This Row],[Suggested Cat Value]],VLOOKUP(Table2[[#This Row],[Manual Cat Value]],Lookup!G:H,2,0))</f>
        <v>Amazon</v>
      </c>
      <c r="G13236" t="s">
        <v>38</v>
      </c>
      <c r="I13236" s="8"/>
      <c r="O13236" t="str">
        <f>LEFT(Table2[[#This Row],[Description]],75)</f>
        <v>AMAZON MARKEPLACE NA PA</v>
      </c>
    </row>
    <row r="13237" spans="1:15" hidden="1">
      <c r="A13237">
        <v>202502</v>
      </c>
      <c r="B13237" s="6">
        <v>45692</v>
      </c>
      <c r="C13237" t="s">
        <v>2519</v>
      </c>
      <c r="D13237" t="s">
        <v>1955</v>
      </c>
      <c r="E13237">
        <v>68</v>
      </c>
      <c r="F13237" t="str">
        <f>IF(Table2[[#This Row],[Manual Cat Value]]="",Table2[[#This Row],[Suggested Cat Value]],VLOOKUP(Table2[[#This Row],[Manual Cat Value]],Lookup!G:H,2,0))</f>
        <v>Shopping</v>
      </c>
      <c r="G13237" t="s">
        <v>21</v>
      </c>
      <c r="I13237" s="8"/>
      <c r="O13237" t="str">
        <f>LEFT(Table2[[#This Row],[Description]],75)</f>
        <v>Transfer to PayPal</v>
      </c>
    </row>
    <row r="13238" spans="1:15" hidden="1">
      <c r="A13238">
        <v>202501</v>
      </c>
      <c r="B13238" s="6">
        <v>45660</v>
      </c>
      <c r="C13238" t="s">
        <v>130</v>
      </c>
      <c r="D13238" t="s">
        <v>6283</v>
      </c>
      <c r="E13238">
        <v>66.98</v>
      </c>
      <c r="F13238" t="str">
        <f>IF(Table2[[#This Row],[Manual Cat Value]]="",Table2[[#This Row],[Suggested Cat Value]],VLOOKUP(Table2[[#This Row],[Manual Cat Value]],Lookup!G:H,2,0))</f>
        <v>Restaurants</v>
      </c>
      <c r="G13238" t="s">
        <v>26</v>
      </c>
      <c r="I13238" s="8"/>
      <c r="O13238" t="str">
        <f>LEFT(Table2[[#This Row],[Description]],75)</f>
        <v>AplPay THE BURROW - 715-7483289         MN</v>
      </c>
    </row>
    <row r="13239" spans="1:15" hidden="1">
      <c r="A13239">
        <v>202503</v>
      </c>
      <c r="B13239" s="6">
        <v>45718</v>
      </c>
      <c r="C13239" t="s">
        <v>3938</v>
      </c>
      <c r="D13239" t="s">
        <v>6284</v>
      </c>
      <c r="E13239">
        <v>66.790000000000006</v>
      </c>
      <c r="F13239" t="str">
        <f>IF(Table2[[#This Row],[Manual Cat Value]]="",Table2[[#This Row],[Suggested Cat Value]],VLOOKUP(Table2[[#This Row],[Manual Cat Value]],Lookup!G:H,2,0))</f>
        <v>Utilities</v>
      </c>
      <c r="G13239" t="s">
        <v>7</v>
      </c>
      <c r="I13239" s="8"/>
      <c r="O13239" t="str">
        <f>LEFT(Table2[[#This Row],[Description]],75)</f>
        <v>TLF*ENCINITAS FLOWER SHOPXX2554 CA REF #XX7051W4YW98RK6</v>
      </c>
    </row>
    <row r="13240" spans="1:15" hidden="1">
      <c r="A13240">
        <v>202503</v>
      </c>
      <c r="B13240" s="6">
        <v>45744</v>
      </c>
      <c r="C13240" t="s">
        <v>130</v>
      </c>
      <c r="D13240" t="s">
        <v>6278</v>
      </c>
      <c r="E13240">
        <v>66.5</v>
      </c>
      <c r="F13240" t="str">
        <f>IF(Table2[[#This Row],[Manual Cat Value]]="",Table2[[#This Row],[Suggested Cat Value]],VLOOKUP(Table2[[#This Row],[Manual Cat Value]],Lookup!G:H,2,0))</f>
        <v>Shopping</v>
      </c>
      <c r="G13240" t="s">
        <v>21</v>
      </c>
      <c r="I13240" s="8"/>
      <c r="O13240" t="str">
        <f>LEFT(Table2[[#This Row],[Description]],75)</f>
        <v>SP HUMA GEL         NASHVILLE           TN</v>
      </c>
    </row>
    <row r="13241" spans="1:15" hidden="1">
      <c r="A13241">
        <v>202503</v>
      </c>
      <c r="B13241" s="6">
        <v>45725</v>
      </c>
      <c r="C13241" t="s">
        <v>130</v>
      </c>
      <c r="D13241" t="s">
        <v>6285</v>
      </c>
      <c r="E13241">
        <v>66.47</v>
      </c>
      <c r="F13241" t="str">
        <f>IF(Table2[[#This Row],[Manual Cat Value]]="",Table2[[#This Row],[Suggested Cat Value]],VLOOKUP(Table2[[#This Row],[Manual Cat Value]],Lookup!G:H,2,0))</f>
        <v>Groceries</v>
      </c>
      <c r="G13241" t="s">
        <v>26</v>
      </c>
      <c r="H13241" s="8" t="s">
        <v>27</v>
      </c>
      <c r="I13241" s="8"/>
      <c r="O13241" t="str">
        <f>LEFT(Table2[[#This Row],[Description]],75)</f>
        <v>AplPay LAKEWINDS NATCHANHASSEN          MN</v>
      </c>
    </row>
    <row r="13242" spans="1:15" hidden="1">
      <c r="A13242">
        <v>202504</v>
      </c>
      <c r="B13242" s="6">
        <v>45750</v>
      </c>
      <c r="C13242" t="s">
        <v>2258</v>
      </c>
      <c r="D13242" t="s">
        <v>6286</v>
      </c>
      <c r="E13242">
        <v>65.55</v>
      </c>
      <c r="F13242" t="str">
        <f>IF(Table2[[#This Row],[Manual Cat Value]]="",Table2[[#This Row],[Suggested Cat Value]],VLOOKUP(Table2[[#This Row],[Manual Cat Value]],Lookup!G:H,2,0))</f>
        <v>Amazon</v>
      </c>
      <c r="G13242" t="s">
        <v>38</v>
      </c>
      <c r="I13242" s="8"/>
      <c r="O13242" t="str">
        <f>LEFT(Table2[[#This Row],[Description]],75)</f>
        <v>AMAZON MKTPL*CF9RI6FN3 AMZN.COM/BILLWA2AZYV2SPTWC</v>
      </c>
    </row>
    <row r="13243" spans="1:15" hidden="1">
      <c r="A13243">
        <v>202505</v>
      </c>
      <c r="B13243" s="6">
        <v>45787</v>
      </c>
      <c r="C13243" t="s">
        <v>130</v>
      </c>
      <c r="D13243" t="s">
        <v>5788</v>
      </c>
      <c r="E13243">
        <v>65.53</v>
      </c>
      <c r="F13243" t="str">
        <f>IF(Table2[[#This Row],[Manual Cat Value]]="",Table2[[#This Row],[Suggested Cat Value]],VLOOKUP(Table2[[#This Row],[Manual Cat Value]],Lookup!G:H,2,0))</f>
        <v>Groceries</v>
      </c>
      <c r="G13243" t="s">
        <v>28</v>
      </c>
      <c r="I13243" s="8"/>
      <c r="O13243" t="str">
        <f>LEFT(Table2[[#This Row],[Description]],75)</f>
        <v>CUB FOODS #1636 0000SHOREWOOD           MN</v>
      </c>
    </row>
    <row r="13244" spans="1:15" hidden="1">
      <c r="A13244">
        <v>202505</v>
      </c>
      <c r="B13244" s="6">
        <v>45785</v>
      </c>
      <c r="C13244" t="s">
        <v>130</v>
      </c>
      <c r="D13244" t="s">
        <v>6183</v>
      </c>
      <c r="E13244">
        <v>64.69</v>
      </c>
      <c r="F13244" t="str">
        <f>IF(Table2[[#This Row],[Manual Cat Value]]="",Table2[[#This Row],[Suggested Cat Value]],VLOOKUP(Table2[[#This Row],[Manual Cat Value]],Lookup!G:H,2,0))</f>
        <v>Amazon</v>
      </c>
      <c r="G13244" t="s">
        <v>38</v>
      </c>
      <c r="I13244" s="8"/>
      <c r="O13244" t="str">
        <f>LEFT(Table2[[#This Row],[Description]],75)</f>
        <v>AMAZON MARKEPLACE NA PA</v>
      </c>
    </row>
    <row r="13245" spans="1:15" hidden="1">
      <c r="A13245">
        <v>202505</v>
      </c>
      <c r="B13245" s="6">
        <v>45804</v>
      </c>
      <c r="C13245" t="s">
        <v>130</v>
      </c>
      <c r="D13245" t="s">
        <v>6287</v>
      </c>
      <c r="E13245">
        <v>64.39</v>
      </c>
      <c r="F13245" t="str">
        <f>IF(Table2[[#This Row],[Manual Cat Value]]="",Table2[[#This Row],[Suggested Cat Value]],VLOOKUP(Table2[[#This Row],[Manual Cat Value]],Lookup!G:H,2,0))</f>
        <v>Delete</v>
      </c>
      <c r="G13245" t="s">
        <v>9</v>
      </c>
      <c r="H13245" s="8" t="s">
        <v>9</v>
      </c>
      <c r="I13245" s="8"/>
      <c r="O13245" t="str">
        <f>LEFT(Table2[[#This Row],[Description]],75)</f>
        <v>VTS MIAMI TAXI      MIAMI               FL</v>
      </c>
    </row>
    <row r="13246" spans="1:15" hidden="1">
      <c r="A13246">
        <v>202505</v>
      </c>
      <c r="B13246" s="6">
        <v>45805</v>
      </c>
      <c r="C13246" t="s">
        <v>130</v>
      </c>
      <c r="D13246" t="s">
        <v>6288</v>
      </c>
      <c r="E13246">
        <v>64.099999999999994</v>
      </c>
      <c r="F13246" t="str">
        <f>IF(Table2[[#This Row],[Manual Cat Value]]="",Table2[[#This Row],[Suggested Cat Value]],VLOOKUP(Table2[[#This Row],[Manual Cat Value]],Lookup!G:H,2,0))</f>
        <v>Delete</v>
      </c>
      <c r="G13246" t="s">
        <v>9</v>
      </c>
      <c r="H13246" s="8" t="s">
        <v>9</v>
      </c>
      <c r="I13246" s="8"/>
      <c r="O13246" t="str">
        <f>LEFT(Table2[[#This Row],[Description]],75)</f>
        <v>LA COTE 0405        MIAMI BEACH         FL</v>
      </c>
    </row>
    <row r="13247" spans="1:15" hidden="1">
      <c r="A13247">
        <v>202505</v>
      </c>
      <c r="B13247" s="6">
        <v>45780</v>
      </c>
      <c r="C13247" t="s">
        <v>130</v>
      </c>
      <c r="D13247" t="s">
        <v>6289</v>
      </c>
      <c r="E13247">
        <v>63.18</v>
      </c>
      <c r="F13247" t="str">
        <f>IF(Table2[[#This Row],[Manual Cat Value]]="",Table2[[#This Row],[Suggested Cat Value]],VLOOKUP(Table2[[#This Row],[Manual Cat Value]],Lookup!G:H,2,0))</f>
        <v>Restaurants</v>
      </c>
      <c r="G13247" t="s">
        <v>26</v>
      </c>
      <c r="I13247" s="8"/>
      <c r="O13247" t="str">
        <f>LEFT(Table2[[#This Row],[Description]],75)</f>
        <v>SURFSIDE BAR &amp; GRILLMOUND               MN</v>
      </c>
    </row>
    <row r="13248" spans="1:15" hidden="1">
      <c r="A13248">
        <v>202503</v>
      </c>
      <c r="B13248" s="6">
        <v>45726</v>
      </c>
      <c r="C13248" t="s">
        <v>2519</v>
      </c>
      <c r="D13248" t="s">
        <v>1958</v>
      </c>
      <c r="E13248">
        <v>63</v>
      </c>
      <c r="F13248" t="str">
        <f>IF(Table2[[#This Row],[Manual Cat Value]]="",Table2[[#This Row],[Suggested Cat Value]],VLOOKUP(Table2[[#This Row],[Manual Cat Value]],Lookup!G:H,2,0))</f>
        <v>Shopping</v>
      </c>
      <c r="G13248" t="s">
        <v>21</v>
      </c>
      <c r="I13248" s="8"/>
      <c r="O13248" t="str">
        <f>LEFT(Table2[[#This Row],[Description]],75)</f>
        <v>Transfer to Venmo</v>
      </c>
    </row>
    <row r="13249" spans="1:15" hidden="1">
      <c r="A13249">
        <v>202503</v>
      </c>
      <c r="B13249" s="6">
        <v>45722</v>
      </c>
      <c r="C13249" t="s">
        <v>130</v>
      </c>
      <c r="D13249" t="s">
        <v>6290</v>
      </c>
      <c r="E13249">
        <v>62.34</v>
      </c>
      <c r="F13249" t="str">
        <f>IF(Table2[[#This Row],[Manual Cat Value]]="",Table2[[#This Row],[Suggested Cat Value]],VLOOKUP(Table2[[#This Row],[Manual Cat Value]],Lookup!G:H,2,0))</f>
        <v>Restaurants</v>
      </c>
      <c r="G13249" t="s">
        <v>26</v>
      </c>
      <c r="I13249" s="8"/>
      <c r="O13249" t="str">
        <f>LEFT(Table2[[#This Row],[Description]],75)</f>
        <v>GILLEY'S CAFE LTD.  PROVIDENCIALES</v>
      </c>
    </row>
    <row r="13250" spans="1:15" hidden="1">
      <c r="A13250">
        <v>202505</v>
      </c>
      <c r="B13250" s="6">
        <v>45793</v>
      </c>
      <c r="C13250" t="s">
        <v>130</v>
      </c>
      <c r="D13250" t="s">
        <v>5990</v>
      </c>
      <c r="E13250">
        <v>62.26</v>
      </c>
      <c r="F13250" t="str">
        <f>IF(Table2[[#This Row],[Manual Cat Value]]="",Table2[[#This Row],[Suggested Cat Value]],VLOOKUP(Table2[[#This Row],[Manual Cat Value]],Lookup!G:H,2,0))</f>
        <v>Restaurants</v>
      </c>
      <c r="G13250" t="s">
        <v>26</v>
      </c>
      <c r="I13250" s="8"/>
      <c r="O13250" t="str">
        <f>LEFT(Table2[[#This Row],[Description]],75)</f>
        <v>AplPay TST* OLIVES FEXCELSIOR           MN</v>
      </c>
    </row>
    <row r="13251" spans="1:15" hidden="1">
      <c r="A13251">
        <v>202505</v>
      </c>
      <c r="B13251" s="6">
        <v>45797</v>
      </c>
      <c r="C13251" t="s">
        <v>2519</v>
      </c>
      <c r="D13251" t="s">
        <v>1958</v>
      </c>
      <c r="E13251">
        <v>62.23</v>
      </c>
      <c r="F13251" t="str">
        <f>IF(Table2[[#This Row],[Manual Cat Value]]="",Table2[[#This Row],[Suggested Cat Value]],VLOOKUP(Table2[[#This Row],[Manual Cat Value]],Lookup!G:H,2,0))</f>
        <v>Shopping</v>
      </c>
      <c r="G13251" t="s">
        <v>21</v>
      </c>
      <c r="I13251" s="8"/>
      <c r="O13251" t="str">
        <f>LEFT(Table2[[#This Row],[Description]],75)</f>
        <v>Transfer to Venmo</v>
      </c>
    </row>
    <row r="13252" spans="1:15" hidden="1">
      <c r="A13252">
        <v>202504</v>
      </c>
      <c r="B13252" s="6">
        <v>45766</v>
      </c>
      <c r="C13252" t="s">
        <v>130</v>
      </c>
      <c r="D13252" t="s">
        <v>5862</v>
      </c>
      <c r="E13252">
        <v>61.78</v>
      </c>
      <c r="F13252" t="str">
        <f>IF(Table2[[#This Row],[Manual Cat Value]]="",Table2[[#This Row],[Suggested Cat Value]],VLOOKUP(Table2[[#This Row],[Manual Cat Value]],Lookup!G:H,2,0))</f>
        <v>Restaurants</v>
      </c>
      <c r="G13252" t="s">
        <v>26</v>
      </c>
      <c r="I13252" s="8"/>
      <c r="O13252" t="str">
        <f>LEFT(Table2[[#This Row],[Description]],75)</f>
        <v>WINCHESTER AND RYE 0VICTORIA            MN</v>
      </c>
    </row>
    <row r="13253" spans="1:15" hidden="1">
      <c r="A13253">
        <v>202504</v>
      </c>
      <c r="B13253" s="6">
        <v>45767</v>
      </c>
      <c r="C13253" t="s">
        <v>2258</v>
      </c>
      <c r="D13253" t="s">
        <v>6291</v>
      </c>
      <c r="E13253">
        <v>61.38</v>
      </c>
      <c r="F13253" t="str">
        <f>IF(Table2[[#This Row],[Manual Cat Value]]="",Table2[[#This Row],[Suggested Cat Value]],VLOOKUP(Table2[[#This Row],[Manual Cat Value]],Lookup!G:H,2,0))</f>
        <v>Amazon</v>
      </c>
      <c r="G13253" t="s">
        <v>38</v>
      </c>
      <c r="I13253" s="8"/>
      <c r="O13253" t="str">
        <f>LEFT(Table2[[#This Row],[Description]],75)</f>
        <v>AMAZON MKTPL*5B7QA1HH3 AMZN.COM/BILLWA1BLRC0VK2Z7</v>
      </c>
    </row>
    <row r="13254" spans="1:15" hidden="1">
      <c r="A13254">
        <v>202501</v>
      </c>
      <c r="B13254" s="6">
        <v>45677</v>
      </c>
      <c r="C13254" t="s">
        <v>130</v>
      </c>
      <c r="D13254" t="s">
        <v>5827</v>
      </c>
      <c r="E13254">
        <v>61.19</v>
      </c>
      <c r="F13254" t="str">
        <f>IF(Table2[[#This Row],[Manual Cat Value]]="",Table2[[#This Row],[Suggested Cat Value]],VLOOKUP(Table2[[#This Row],[Manual Cat Value]],Lookup!G:H,2,0))</f>
        <v>Delete</v>
      </c>
      <c r="G13254" t="s">
        <v>9</v>
      </c>
      <c r="I13254" s="8"/>
      <c r="O13254" t="str">
        <f>LEFT(Table2[[#This Row],[Description]],75)</f>
        <v>THE DEAN HOTEL IE000CORK                IR</v>
      </c>
    </row>
    <row r="13255" spans="1:15" hidden="1">
      <c r="A13255">
        <v>202505</v>
      </c>
      <c r="B13255" s="6">
        <v>45781</v>
      </c>
      <c r="C13255" t="s">
        <v>3938</v>
      </c>
      <c r="D13255" t="s">
        <v>6292</v>
      </c>
      <c r="E13255">
        <v>60.91</v>
      </c>
      <c r="F13255" t="str">
        <f>IF(Table2[[#This Row],[Manual Cat Value]]="",Table2[[#This Row],[Suggested Cat Value]],VLOOKUP(Table2[[#This Row],[Manual Cat Value]],Lookup!G:H,2,0))</f>
        <v>Restaurants</v>
      </c>
      <c r="G13255" t="s">
        <v>26</v>
      </c>
      <c r="I13255" s="8"/>
      <c r="O13255" t="str">
        <f>LEFT(Table2[[#This Row],[Description]],75)</f>
        <v>TST* TERRY BLACK'S BARBECAUSTIN TX REF #XX7463S2XFFJW0W</v>
      </c>
    </row>
    <row r="13256" spans="1:15" hidden="1">
      <c r="A13256">
        <v>202501</v>
      </c>
      <c r="B13256" s="6">
        <v>45658</v>
      </c>
      <c r="C13256" t="s">
        <v>130</v>
      </c>
      <c r="D13256" t="s">
        <v>6271</v>
      </c>
      <c r="E13256">
        <v>60.39</v>
      </c>
      <c r="F13256" t="str">
        <f>IF(Table2[[#This Row],[Manual Cat Value]]="",Table2[[#This Row],[Suggested Cat Value]],VLOOKUP(Table2[[#This Row],[Manual Cat Value]],Lookup!G:H,2,0))</f>
        <v>Groceries</v>
      </c>
      <c r="G13256" t="s">
        <v>28</v>
      </c>
      <c r="I13256" s="8"/>
      <c r="O13256" t="str">
        <f>LEFT(Table2[[#This Row],[Description]],75)</f>
        <v>HOLIDAY STATIONS 002HAYWARD             WI</v>
      </c>
    </row>
    <row r="13257" spans="1:15" hidden="1">
      <c r="A13257">
        <v>202502</v>
      </c>
      <c r="B13257" s="6">
        <v>45712</v>
      </c>
      <c r="C13257" t="s">
        <v>130</v>
      </c>
      <c r="D13257" t="s">
        <v>6293</v>
      </c>
      <c r="E13257">
        <v>60.19</v>
      </c>
      <c r="F13257" t="str">
        <f>IF(Table2[[#This Row],[Manual Cat Value]]="",Table2[[#This Row],[Suggested Cat Value]],VLOOKUP(Table2[[#This Row],[Manual Cat Value]],Lookup!G:H,2,0))</f>
        <v>Healthcare</v>
      </c>
      <c r="G13257" t="s">
        <v>48</v>
      </c>
      <c r="I13257" s="8"/>
      <c r="O13257" t="str">
        <f>LEFT(Table2[[#This Row],[Description]],75)</f>
        <v>MINUTECLINIC DIAGNOSWOONSOCKET          RI</v>
      </c>
    </row>
    <row r="13258" spans="1:15" hidden="1">
      <c r="A13258">
        <v>202504</v>
      </c>
      <c r="B13258" s="6">
        <v>45760</v>
      </c>
      <c r="C13258" t="s">
        <v>3938</v>
      </c>
      <c r="D13258" t="s">
        <v>31</v>
      </c>
      <c r="E13258">
        <v>60.02</v>
      </c>
      <c r="F13258" t="str">
        <f>IF(Table2[[#This Row],[Manual Cat Value]]="",Table2[[#This Row],[Suggested Cat Value]],VLOOKUP(Table2[[#This Row],[Manual Cat Value]],Lookup!G:H,2,0))</f>
        <v>Target</v>
      </c>
      <c r="G13258" t="s">
        <v>31</v>
      </c>
      <c r="I13258" s="8"/>
      <c r="O13258" t="str">
        <f>LEFT(Table2[[#This Row],[Description]],75)</f>
        <v>Target</v>
      </c>
    </row>
    <row r="13259" spans="1:15" hidden="1">
      <c r="A13259">
        <v>202502</v>
      </c>
      <c r="B13259" s="6">
        <v>45711</v>
      </c>
      <c r="C13259" t="s">
        <v>130</v>
      </c>
      <c r="D13259" t="s">
        <v>6294</v>
      </c>
      <c r="E13259">
        <v>60</v>
      </c>
      <c r="F13259" t="str">
        <f>IF(Table2[[#This Row],[Manual Cat Value]]="",Table2[[#This Row],[Suggested Cat Value]],VLOOKUP(Table2[[#This Row],[Manual Cat Value]],Lookup!G:H,2,0))</f>
        <v>Restaurants</v>
      </c>
      <c r="G13259" t="s">
        <v>26</v>
      </c>
      <c r="I13259" s="8"/>
      <c r="O13259" t="str">
        <f>LEFT(Table2[[#This Row],[Description]],75)</f>
        <v>425 PARK AVE 7120 DEMINNEAPOLIS         MN</v>
      </c>
    </row>
    <row r="13260" spans="1:15" hidden="1">
      <c r="A13260">
        <v>202502</v>
      </c>
      <c r="B13260" s="6">
        <v>45700</v>
      </c>
      <c r="C13260" t="s">
        <v>130</v>
      </c>
      <c r="D13260" t="s">
        <v>5772</v>
      </c>
      <c r="E13260">
        <v>59.73</v>
      </c>
      <c r="F13260" t="str">
        <f>IF(Table2[[#This Row],[Manual Cat Value]]="",Table2[[#This Row],[Suggested Cat Value]],VLOOKUP(Table2[[#This Row],[Manual Cat Value]],Lookup!G:H,2,0))</f>
        <v>Restaurants</v>
      </c>
      <c r="G13260" t="s">
        <v>26</v>
      </c>
      <c r="I13260" s="8"/>
      <c r="O13260" t="str">
        <f>LEFT(Table2[[#This Row],[Description]],75)</f>
        <v>AplPay TST* MAYNARDSEXCELSIOR           MN</v>
      </c>
    </row>
    <row r="13261" spans="1:15" hidden="1">
      <c r="A13261">
        <v>202505</v>
      </c>
      <c r="B13261" s="6">
        <v>45797</v>
      </c>
      <c r="C13261" t="s">
        <v>2519</v>
      </c>
      <c r="D13261" t="s">
        <v>1958</v>
      </c>
      <c r="E13261">
        <v>59.71</v>
      </c>
      <c r="F13261" t="str">
        <f>IF(Table2[[#This Row],[Manual Cat Value]]="",Table2[[#This Row],[Suggested Cat Value]],VLOOKUP(Table2[[#This Row],[Manual Cat Value]],Lookup!G:H,2,0))</f>
        <v>Shopping</v>
      </c>
      <c r="G13261" t="s">
        <v>21</v>
      </c>
      <c r="I13261" s="8"/>
      <c r="O13261" t="str">
        <f>LEFT(Table2[[#This Row],[Description]],75)</f>
        <v>Transfer to Venmo</v>
      </c>
    </row>
    <row r="13262" spans="1:15" hidden="1">
      <c r="A13262">
        <v>202504</v>
      </c>
      <c r="B13262" s="6">
        <v>45765</v>
      </c>
      <c r="C13262" t="s">
        <v>2519</v>
      </c>
      <c r="D13262" t="s">
        <v>6295</v>
      </c>
      <c r="E13262">
        <v>104.08</v>
      </c>
      <c r="F13262" t="str">
        <f>IF(Table2[[#This Row],[Manual Cat Value]]="",Table2[[#This Row],[Suggested Cat Value]],VLOOKUP(Table2[[#This Row],[Manual Cat Value]],Lookup!G:H,2,0))</f>
        <v>Day Care</v>
      </c>
      <c r="G13262" t="s">
        <v>20</v>
      </c>
      <c r="I13262" s="8"/>
      <c r="O13262" t="str">
        <f>LEFT(Table2[[#This Row],[Description]],75)</f>
        <v>Withdrawal ACH CPENERGY MNGCO TYPE: MGC ACH EB ID: 1XX1140S CO: CPENERGY MN</v>
      </c>
    </row>
    <row r="13263" spans="1:15" hidden="1">
      <c r="A13263">
        <v>202501</v>
      </c>
      <c r="B13263" s="6">
        <v>45688</v>
      </c>
      <c r="C13263" t="s">
        <v>130</v>
      </c>
      <c r="D13263" t="s">
        <v>5818</v>
      </c>
      <c r="E13263">
        <v>58.3</v>
      </c>
      <c r="F13263" t="str">
        <f>IF(Table2[[#This Row],[Manual Cat Value]]="",Table2[[#This Row],[Suggested Cat Value]],VLOOKUP(Table2[[#This Row],[Manual Cat Value]],Lookup!G:H,2,0))</f>
        <v>Groceries</v>
      </c>
      <c r="G13263" t="s">
        <v>28</v>
      </c>
      <c r="I13263" s="8"/>
      <c r="O13263" t="str">
        <f>LEFT(Table2[[#This Row],[Description]],75)</f>
        <v>AplPay CUB FOODS #16SHOREWOOD           MN</v>
      </c>
    </row>
    <row r="13264" spans="1:15" hidden="1">
      <c r="A13264">
        <v>202504</v>
      </c>
      <c r="B13264" s="6">
        <v>45751</v>
      </c>
      <c r="C13264" t="s">
        <v>2258</v>
      </c>
      <c r="D13264" t="s">
        <v>6296</v>
      </c>
      <c r="E13264">
        <v>58.2</v>
      </c>
      <c r="F13264" t="str">
        <f>IF(Table2[[#This Row],[Manual Cat Value]]="",Table2[[#This Row],[Suggested Cat Value]],VLOOKUP(Table2[[#This Row],[Manual Cat Value]],Lookup!G:H,2,0))</f>
        <v>Delete</v>
      </c>
      <c r="G13264" t="s">
        <v>9</v>
      </c>
      <c r="I13264" s="8"/>
      <c r="O13264" t="str">
        <f>LEFT(Table2[[#This Row],[Description]],75)</f>
        <v>TST*OASIS AT VALENCIA BONITA SPRINGFLAPPLE PAY ENDING IN 762900195484024067</v>
      </c>
    </row>
    <row r="13265" spans="1:15" hidden="1">
      <c r="A13265">
        <v>202503</v>
      </c>
      <c r="B13265" s="6">
        <v>45741</v>
      </c>
      <c r="C13265" t="s">
        <v>3938</v>
      </c>
      <c r="D13265" t="s">
        <v>6297</v>
      </c>
      <c r="E13265">
        <v>58.18</v>
      </c>
      <c r="F13265" t="str">
        <f>IF(Table2[[#This Row],[Manual Cat Value]]="",Table2[[#This Row],[Suggested Cat Value]],VLOOKUP(Table2[[#This Row],[Manual Cat Value]],Lookup!G:H,2,0))</f>
        <v>Britney</v>
      </c>
      <c r="G13265" t="s">
        <v>66</v>
      </c>
      <c r="I13265" s="8"/>
      <c r="O13265" t="str">
        <f>LEFT(Table2[[#This Row],[Description]],75)</f>
        <v>Puttshack Usa Inc</v>
      </c>
    </row>
    <row r="13266" spans="1:15" hidden="1">
      <c r="A13266">
        <v>202505</v>
      </c>
      <c r="B13266" s="6">
        <v>45801</v>
      </c>
      <c r="C13266" t="s">
        <v>130</v>
      </c>
      <c r="D13266" t="s">
        <v>6183</v>
      </c>
      <c r="E13266">
        <v>57.85</v>
      </c>
      <c r="F13266" t="str">
        <f>IF(Table2[[#This Row],[Manual Cat Value]]="",Table2[[#This Row],[Suggested Cat Value]],VLOOKUP(Table2[[#This Row],[Manual Cat Value]],Lookup!G:H,2,0))</f>
        <v>Amazon</v>
      </c>
      <c r="G13266" t="s">
        <v>38</v>
      </c>
      <c r="I13266" s="8"/>
      <c r="O13266" t="str">
        <f>LEFT(Table2[[#This Row],[Description]],75)</f>
        <v>AMAZON MARKEPLACE NA PA</v>
      </c>
    </row>
    <row r="13267" spans="1:15" hidden="1">
      <c r="A13267">
        <v>202505</v>
      </c>
      <c r="B13267" s="6">
        <v>45788</v>
      </c>
      <c r="C13267" t="s">
        <v>130</v>
      </c>
      <c r="D13267" t="s">
        <v>6298</v>
      </c>
      <c r="E13267">
        <v>57.36</v>
      </c>
      <c r="F13267" t="str">
        <f>IF(Table2[[#This Row],[Manual Cat Value]]="",Table2[[#This Row],[Suggested Cat Value]],VLOOKUP(Table2[[#This Row],[Manual Cat Value]],Lookup!G:H,2,0))</f>
        <v>Delete</v>
      </c>
      <c r="G13267" t="s">
        <v>26</v>
      </c>
      <c r="H13267" s="8" t="s">
        <v>9</v>
      </c>
      <c r="I13267" s="8"/>
      <c r="O13267" t="str">
        <f>LEFT(Table2[[#This Row],[Description]],75)</f>
        <v>STONE ARCH 00J9     SAINT PAUL          MN</v>
      </c>
    </row>
    <row r="13268" spans="1:15" hidden="1">
      <c r="A13268">
        <v>202504</v>
      </c>
      <c r="B13268" s="6">
        <v>45767</v>
      </c>
      <c r="C13268" t="s">
        <v>3938</v>
      </c>
      <c r="D13268" t="s">
        <v>31</v>
      </c>
      <c r="E13268">
        <v>57.15</v>
      </c>
      <c r="F13268" t="str">
        <f>IF(Table2[[#This Row],[Manual Cat Value]]="",Table2[[#This Row],[Suggested Cat Value]],VLOOKUP(Table2[[#This Row],[Manual Cat Value]],Lookup!G:H,2,0))</f>
        <v>Target</v>
      </c>
      <c r="G13268" t="s">
        <v>31</v>
      </c>
      <c r="I13268" s="8"/>
      <c r="O13268" t="str">
        <f>LEFT(Table2[[#This Row],[Description]],75)</f>
        <v>Target</v>
      </c>
    </row>
    <row r="13269" spans="1:15" hidden="1">
      <c r="A13269">
        <v>202502</v>
      </c>
      <c r="B13269" s="6">
        <v>45690</v>
      </c>
      <c r="C13269" t="s">
        <v>130</v>
      </c>
      <c r="D13269" t="s">
        <v>6299</v>
      </c>
      <c r="E13269">
        <v>56.75</v>
      </c>
      <c r="F13269" t="str">
        <f>IF(Table2[[#This Row],[Manual Cat Value]]="",Table2[[#This Row],[Suggested Cat Value]],VLOOKUP(Table2[[#This Row],[Manual Cat Value]],Lookup!G:H,2,0))</f>
        <v>Shopping</v>
      </c>
      <c r="G13269" t="s">
        <v>21</v>
      </c>
      <c r="I13269" s="8"/>
      <c r="O13269" t="str">
        <f>LEFT(Table2[[#This Row],[Description]],75)</f>
        <v>SP SOTA CLOTHING    EDEN PRAIRIE        MN</v>
      </c>
    </row>
    <row r="13270" spans="1:15" hidden="1">
      <c r="A13270">
        <v>202502</v>
      </c>
      <c r="B13270" s="6">
        <v>45710</v>
      </c>
      <c r="C13270" t="s">
        <v>130</v>
      </c>
      <c r="D13270" t="s">
        <v>6300</v>
      </c>
      <c r="E13270">
        <v>55.89</v>
      </c>
      <c r="F13270" t="str">
        <f>IF(Table2[[#This Row],[Manual Cat Value]]="",Table2[[#This Row],[Suggested Cat Value]],VLOOKUP(Table2[[#This Row],[Manual Cat Value]],Lookup!G:H,2,0))</f>
        <v>Healthcare</v>
      </c>
      <c r="G13270" t="s">
        <v>26</v>
      </c>
      <c r="H13270" s="8" t="s">
        <v>47</v>
      </c>
      <c r="I13270" s="8"/>
      <c r="O13270" t="str">
        <f>LEFT(Table2[[#This Row],[Description]],75)</f>
        <v>AplPay SOUTH LAKE PEMINNETONKA          MN</v>
      </c>
    </row>
    <row r="13271" spans="1:15" hidden="1">
      <c r="A13271">
        <v>202503</v>
      </c>
      <c r="B13271" s="6">
        <v>45725</v>
      </c>
      <c r="C13271" t="s">
        <v>130</v>
      </c>
      <c r="D13271" t="s">
        <v>6164</v>
      </c>
      <c r="E13271">
        <v>55.89</v>
      </c>
      <c r="F13271" t="str">
        <f>IF(Table2[[#This Row],[Manual Cat Value]]="",Table2[[#This Row],[Suggested Cat Value]],VLOOKUP(Table2[[#This Row],[Manual Cat Value]],Lookup!G:H,2,0))</f>
        <v>Healthcare</v>
      </c>
      <c r="G13271" t="s">
        <v>26</v>
      </c>
      <c r="H13271" s="8" t="s">
        <v>47</v>
      </c>
      <c r="I13271" s="8"/>
      <c r="O13271" t="str">
        <f>LEFT(Table2[[#This Row],[Description]],75)</f>
        <v>SOUTH LAKE PEDIATRICMINNETONKA          MN</v>
      </c>
    </row>
    <row r="13272" spans="1:15" hidden="1">
      <c r="A13272">
        <v>202502</v>
      </c>
      <c r="B13272" s="6">
        <v>45699</v>
      </c>
      <c r="C13272" t="s">
        <v>130</v>
      </c>
      <c r="D13272" t="s">
        <v>5886</v>
      </c>
      <c r="E13272">
        <v>55.42</v>
      </c>
      <c r="F13272" t="str">
        <f>IF(Table2[[#This Row],[Manual Cat Value]]="",Table2[[#This Row],[Suggested Cat Value]],VLOOKUP(Table2[[#This Row],[Manual Cat Value]],Lookup!G:H,2,0))</f>
        <v>Groceries</v>
      </c>
      <c r="G13272" t="s">
        <v>28</v>
      </c>
      <c r="I13272" s="8"/>
      <c r="O13272" t="str">
        <f>LEFT(Table2[[#This Row],[Description]],75)</f>
        <v>LUNDS&amp;BYERLYS CHANHACHANHASSEN          MN</v>
      </c>
    </row>
    <row r="13273" spans="1:15" hidden="1">
      <c r="A13273">
        <v>202502</v>
      </c>
      <c r="B13273" s="6">
        <v>45712</v>
      </c>
      <c r="C13273" t="s">
        <v>3938</v>
      </c>
      <c r="D13273" t="s">
        <v>6301</v>
      </c>
      <c r="E13273">
        <v>55.39</v>
      </c>
      <c r="F13273" t="str">
        <f>IF(Table2[[#This Row],[Manual Cat Value]]="",Table2[[#This Row],[Suggested Cat Value]],VLOOKUP(Table2[[#This Row],[Manual Cat Value]],Lookup!G:H,2,0))</f>
        <v>Restaurants</v>
      </c>
      <c r="G13273" t="s">
        <v>26</v>
      </c>
      <c r="I13273" s="8"/>
      <c r="O13273" t="str">
        <f>LEFT(Table2[[#This Row],[Description]],75)</f>
        <v>Prickly Pear</v>
      </c>
    </row>
    <row r="13274" spans="1:15" hidden="1">
      <c r="A13274">
        <v>202503</v>
      </c>
      <c r="B13274" s="6">
        <v>45740</v>
      </c>
      <c r="C13274" t="s">
        <v>130</v>
      </c>
      <c r="D13274" t="s">
        <v>5788</v>
      </c>
      <c r="E13274">
        <v>55.23</v>
      </c>
      <c r="F13274" t="str">
        <f>IF(Table2[[#This Row],[Manual Cat Value]]="",Table2[[#This Row],[Suggested Cat Value]],VLOOKUP(Table2[[#This Row],[Manual Cat Value]],Lookup!G:H,2,0))</f>
        <v>Groceries</v>
      </c>
      <c r="G13274" t="s">
        <v>28</v>
      </c>
      <c r="I13274" s="8"/>
      <c r="O13274" t="str">
        <f>LEFT(Table2[[#This Row],[Description]],75)</f>
        <v>CUB FOODS #1636 0000SHOREWOOD           MN</v>
      </c>
    </row>
    <row r="13275" spans="1:15" hidden="1">
      <c r="A13275">
        <v>202504</v>
      </c>
      <c r="B13275" s="6">
        <v>45775</v>
      </c>
      <c r="C13275" t="s">
        <v>3938</v>
      </c>
      <c r="D13275" t="s">
        <v>6302</v>
      </c>
      <c r="E13275">
        <v>54.98</v>
      </c>
      <c r="F13275" t="str">
        <f>IF(Table2[[#This Row],[Manual Cat Value]]="",Table2[[#This Row],[Suggested Cat Value]],VLOOKUP(Table2[[#This Row],[Manual Cat Value]],Lookup!G:H,2,0))</f>
        <v>Restaurants</v>
      </c>
      <c r="G13275" t="s">
        <v>26</v>
      </c>
      <c r="I13275" s="8"/>
      <c r="O13275" t="str">
        <f>LEFT(Table2[[#This Row],[Description]],75)</f>
        <v>TST* BACK CHANNEL BREWINGSPRING PARK MN REF #XX7463MEKAZ8G3R</v>
      </c>
    </row>
    <row r="13276" spans="1:15" hidden="1">
      <c r="A13276">
        <v>202501</v>
      </c>
      <c r="B13276" s="6">
        <v>45675</v>
      </c>
      <c r="C13276" t="s">
        <v>130</v>
      </c>
      <c r="D13276" t="s">
        <v>5898</v>
      </c>
      <c r="E13276">
        <v>54.66</v>
      </c>
      <c r="F13276" t="str">
        <f>IF(Table2[[#This Row],[Manual Cat Value]]="",Table2[[#This Row],[Suggested Cat Value]],VLOOKUP(Table2[[#This Row],[Manual Cat Value]],Lookup!G:H,2,0))</f>
        <v>Groceries</v>
      </c>
      <c r="G13276" t="s">
        <v>28</v>
      </c>
      <c r="I13276" s="8"/>
      <c r="O13276" t="str">
        <f>LEFT(Table2[[#This Row],[Description]],75)</f>
        <v>LAKESHORE MARKET &amp; MEXCELSIOR           MN</v>
      </c>
    </row>
    <row r="13277" spans="1:15" hidden="1">
      <c r="A13277">
        <v>202501</v>
      </c>
      <c r="B13277" s="6">
        <v>45681</v>
      </c>
      <c r="C13277" t="s">
        <v>3938</v>
      </c>
      <c r="D13277" t="s">
        <v>6303</v>
      </c>
      <c r="E13277">
        <v>54.59</v>
      </c>
      <c r="F13277" t="str">
        <f>IF(Table2[[#This Row],[Manual Cat Value]]="",Table2[[#This Row],[Suggested Cat Value]],VLOOKUP(Table2[[#This Row],[Manual Cat Value]],Lookup!G:H,2,0))</f>
        <v>Groceries</v>
      </c>
      <c r="G13277" t="s">
        <v>28</v>
      </c>
      <c r="I13277" s="8"/>
      <c r="O13277" t="str">
        <f>LEFT(Table2[[#This Row],[Description]],75)</f>
        <v>Capi Plaza AV Schiphol ANL REF #XX5790P3QTQN5M1</v>
      </c>
    </row>
    <row r="13278" spans="1:15" hidden="1">
      <c r="A13278">
        <v>202504</v>
      </c>
      <c r="B13278" s="6">
        <v>45775</v>
      </c>
      <c r="C13278" t="s">
        <v>2519</v>
      </c>
      <c r="D13278" t="s">
        <v>4356</v>
      </c>
      <c r="E13278">
        <v>54.37</v>
      </c>
      <c r="F13278" t="str">
        <f>IF(Table2[[#This Row],[Manual Cat Value]]="",Table2[[#This Row],[Suggested Cat Value]],VLOOKUP(Table2[[#This Row],[Manual Cat Value]],Lookup!G:H,2,0))</f>
        <v>Insurance</v>
      </c>
      <c r="G13278" t="s">
        <v>18</v>
      </c>
      <c r="I13278" s="8"/>
      <c r="O13278" t="str">
        <f>LEFT(Table2[[#This Row],[Description]],75)</f>
        <v>Payment to American Family Insurance</v>
      </c>
    </row>
    <row r="13279" spans="1:15" hidden="1">
      <c r="A13279">
        <v>202505</v>
      </c>
      <c r="B13279" s="6">
        <v>45805</v>
      </c>
      <c r="C13279" t="s">
        <v>2519</v>
      </c>
      <c r="D13279" t="s">
        <v>4356</v>
      </c>
      <c r="E13279">
        <v>54.33</v>
      </c>
      <c r="F13279" t="str">
        <f>IF(Table2[[#This Row],[Manual Cat Value]]="",Table2[[#This Row],[Suggested Cat Value]],VLOOKUP(Table2[[#This Row],[Manual Cat Value]],Lookup!G:H,2,0))</f>
        <v>Insurance</v>
      </c>
      <c r="G13279" t="s">
        <v>18</v>
      </c>
      <c r="I13279" s="8"/>
      <c r="O13279" t="str">
        <f>LEFT(Table2[[#This Row],[Description]],75)</f>
        <v>Payment to American Family Insurance</v>
      </c>
    </row>
    <row r="13280" spans="1:15" hidden="1">
      <c r="A13280">
        <v>202503</v>
      </c>
      <c r="B13280" s="6">
        <v>45725</v>
      </c>
      <c r="C13280" t="s">
        <v>3938</v>
      </c>
      <c r="D13280" t="s">
        <v>6304</v>
      </c>
      <c r="E13280">
        <v>54</v>
      </c>
      <c r="F13280" t="str">
        <f>IF(Table2[[#This Row],[Manual Cat Value]]="",Table2[[#This Row],[Suggested Cat Value]],VLOOKUP(Table2[[#This Row],[Manual Cat Value]],Lookup!G:H,2,0))</f>
        <v>Restaurants</v>
      </c>
      <c r="G13280" t="s">
        <v>26</v>
      </c>
      <c r="I13280" s="8"/>
      <c r="O13280" t="str">
        <f>LEFT(Table2[[#This Row],[Description]],75)</f>
        <v>TAINO PROVIDENCIALETC REF #XX0224VSA</v>
      </c>
    </row>
    <row r="13281" spans="1:15" hidden="1">
      <c r="A13281">
        <v>202503</v>
      </c>
      <c r="B13281" s="6">
        <v>45743</v>
      </c>
      <c r="C13281" t="s">
        <v>130</v>
      </c>
      <c r="D13281" t="s">
        <v>6305</v>
      </c>
      <c r="E13281">
        <v>54</v>
      </c>
      <c r="F13281" t="str">
        <f>IF(Table2[[#This Row],[Manual Cat Value]]="",Table2[[#This Row],[Suggested Cat Value]],VLOOKUP(Table2[[#This Row],[Manual Cat Value]],Lookup!G:H,2,0))</f>
        <v>House Maintenance</v>
      </c>
      <c r="G13281" t="s">
        <v>2</v>
      </c>
      <c r="I13281" s="8"/>
      <c r="O13281" t="str">
        <f>LEFT(Table2[[#This Row],[Description]],75)</f>
        <v>ZENOTIUSA_POS*KIDS HCHANHASSEN          MN</v>
      </c>
    </row>
    <row r="13282" spans="1:15" hidden="1">
      <c r="A13282">
        <v>202502</v>
      </c>
      <c r="B13282" s="6">
        <v>45711</v>
      </c>
      <c r="C13282" t="s">
        <v>130</v>
      </c>
      <c r="D13282" t="s">
        <v>6078</v>
      </c>
      <c r="E13282">
        <v>53.73</v>
      </c>
      <c r="F13282" t="str">
        <f>IF(Table2[[#This Row],[Manual Cat Value]]="",Table2[[#This Row],[Suggested Cat Value]],VLOOKUP(Table2[[#This Row],[Manual Cat Value]],Lookup!G:H,2,0))</f>
        <v>Transportation</v>
      </c>
      <c r="G13282" t="s">
        <v>23</v>
      </c>
      <c r="I13282" s="8"/>
      <c r="O13282" t="str">
        <f>LEFT(Table2[[#This Row],[Description]],75)</f>
        <v>LIONS TAP 0688800218EDEN PRAIRIE        MN</v>
      </c>
    </row>
    <row r="13283" spans="1:15" hidden="1">
      <c r="A13283">
        <v>202504</v>
      </c>
      <c r="B13283" s="6">
        <v>45765</v>
      </c>
      <c r="C13283" t="s">
        <v>2258</v>
      </c>
      <c r="D13283" t="s">
        <v>6306</v>
      </c>
      <c r="E13283">
        <v>53.34</v>
      </c>
      <c r="F13283" t="str">
        <f>IF(Table2[[#This Row],[Manual Cat Value]]="",Table2[[#This Row],[Suggested Cat Value]],VLOOKUP(Table2[[#This Row],[Manual Cat Value]],Lookup!G:H,2,0))</f>
        <v>Amazon</v>
      </c>
      <c r="G13283" t="s">
        <v>38</v>
      </c>
      <c r="I13283" s="8"/>
      <c r="O13283" t="str">
        <f>LEFT(Table2[[#This Row],[Description]],75)</f>
        <v>AMAZON MKTPL*B25LH2033 AMZN.COM/BILLWA3J3N29JF836</v>
      </c>
    </row>
    <row r="13284" spans="1:15" hidden="1">
      <c r="A13284">
        <v>202501</v>
      </c>
      <c r="B13284" s="6">
        <v>45681</v>
      </c>
      <c r="C13284" t="s">
        <v>2258</v>
      </c>
      <c r="D13284" t="s">
        <v>6307</v>
      </c>
      <c r="E13284">
        <v>53.14</v>
      </c>
      <c r="F13284" t="str">
        <f>IF(Table2[[#This Row],[Manual Cat Value]]="",Table2[[#This Row],[Suggested Cat Value]],VLOOKUP(Table2[[#This Row],[Manual Cat Value]],Lookup!G:H,2,0))</f>
        <v>Amazon</v>
      </c>
      <c r="G13284" t="s">
        <v>38</v>
      </c>
      <c r="I13284" s="8"/>
      <c r="O13284" t="str">
        <f>LEFT(Table2[[#This Row],[Description]],75)</f>
        <v>AMAZON MKTPL*ZG3J89TB1 AMZN.COM/BILLWA1Q9P25DZMSA</v>
      </c>
    </row>
    <row r="13285" spans="1:15" hidden="1">
      <c r="A13285">
        <v>202505</v>
      </c>
      <c r="B13285" s="6">
        <v>45786</v>
      </c>
      <c r="C13285" t="s">
        <v>3938</v>
      </c>
      <c r="D13285" t="s">
        <v>6308</v>
      </c>
      <c r="E13285">
        <v>53.01</v>
      </c>
      <c r="F13285" t="str">
        <f>IF(Table2[[#This Row],[Manual Cat Value]]="",Table2[[#This Row],[Suggested Cat Value]],VLOOKUP(Table2[[#This Row],[Manual Cat Value]],Lookup!G:H,2,0))</f>
        <v>House</v>
      </c>
      <c r="G13285" t="s">
        <v>26</v>
      </c>
      <c r="H13285" s="8" t="s">
        <v>49</v>
      </c>
      <c r="I13285" s="8"/>
      <c r="O13285" t="str">
        <f>LEFT(Table2[[#This Row],[Description]],75)</f>
        <v>THE GARDEN PATCH EXCELSIOR MN REF #XX4001HJZX81</v>
      </c>
    </row>
    <row r="13286" spans="1:15" hidden="1">
      <c r="A13286">
        <v>202501</v>
      </c>
      <c r="B13286" s="6">
        <v>45685</v>
      </c>
      <c r="C13286" t="s">
        <v>2519</v>
      </c>
      <c r="D13286" t="s">
        <v>4356</v>
      </c>
      <c r="E13286">
        <v>52.91</v>
      </c>
      <c r="F13286" t="str">
        <f>IF(Table2[[#This Row],[Manual Cat Value]]="",Table2[[#This Row],[Suggested Cat Value]],VLOOKUP(Table2[[#This Row],[Manual Cat Value]],Lookup!G:H,2,0))</f>
        <v>Insurance</v>
      </c>
      <c r="G13286" t="s">
        <v>18</v>
      </c>
      <c r="I13286" s="8"/>
      <c r="O13286" t="str">
        <f>LEFT(Table2[[#This Row],[Description]],75)</f>
        <v>Payment to American Family Insurance</v>
      </c>
    </row>
    <row r="13287" spans="1:15" hidden="1">
      <c r="A13287">
        <v>202502</v>
      </c>
      <c r="B13287" s="6">
        <v>45716</v>
      </c>
      <c r="C13287" t="s">
        <v>2519</v>
      </c>
      <c r="D13287" t="s">
        <v>4356</v>
      </c>
      <c r="E13287">
        <v>52.91</v>
      </c>
      <c r="F13287" t="str">
        <f>IF(Table2[[#This Row],[Manual Cat Value]]="",Table2[[#This Row],[Suggested Cat Value]],VLOOKUP(Table2[[#This Row],[Manual Cat Value]],Lookup!G:H,2,0))</f>
        <v>Insurance</v>
      </c>
      <c r="G13287" t="s">
        <v>18</v>
      </c>
      <c r="I13287" s="8"/>
      <c r="O13287" t="str">
        <f>LEFT(Table2[[#This Row],[Description]],75)</f>
        <v>Payment to American Family Insurance</v>
      </c>
    </row>
    <row r="13288" spans="1:15" hidden="1">
      <c r="A13288">
        <v>202501</v>
      </c>
      <c r="B13288" s="6">
        <v>45674</v>
      </c>
      <c r="C13288" t="s">
        <v>130</v>
      </c>
      <c r="D13288" t="s">
        <v>6309</v>
      </c>
      <c r="E13288">
        <v>52.76</v>
      </c>
      <c r="F13288" t="str">
        <f>IF(Table2[[#This Row],[Manual Cat Value]]="",Table2[[#This Row],[Suggested Cat Value]],VLOOKUP(Table2[[#This Row],[Manual Cat Value]],Lookup!G:H,2,0))</f>
        <v>Restaurants</v>
      </c>
      <c r="G13288" t="s">
        <v>26</v>
      </c>
      <c r="I13288" s="8"/>
      <c r="O13288" t="str">
        <f>LEFT(Table2[[#This Row],[Description]],75)</f>
        <v>AplPay DOMINO'S 1931EXCELSIOR           MN</v>
      </c>
    </row>
    <row r="13289" spans="1:15" hidden="1">
      <c r="A13289">
        <v>202505</v>
      </c>
      <c r="B13289" s="6">
        <v>45787</v>
      </c>
      <c r="C13289" t="s">
        <v>130</v>
      </c>
      <c r="D13289" t="s">
        <v>6310</v>
      </c>
      <c r="E13289">
        <v>52.67</v>
      </c>
      <c r="F13289" t="str">
        <f>IF(Table2[[#This Row],[Manual Cat Value]]="",Table2[[#This Row],[Suggested Cat Value]],VLOOKUP(Table2[[#This Row],[Manual Cat Value]],Lookup!G:H,2,0))</f>
        <v>Restaurants</v>
      </c>
      <c r="G13289" t="s">
        <v>26</v>
      </c>
      <c r="I13289" s="8"/>
      <c r="O13289" t="str">
        <f>LEFT(Table2[[#This Row],[Description]],75)</f>
        <v>AplPay TST* OAK 19 FCHASKA              MN</v>
      </c>
    </row>
    <row r="13290" spans="1:15" hidden="1">
      <c r="A13290">
        <v>202504</v>
      </c>
      <c r="B13290" s="6">
        <v>45768</v>
      </c>
      <c r="C13290" t="s">
        <v>2519</v>
      </c>
      <c r="D13290" t="s">
        <v>6311</v>
      </c>
      <c r="E13290">
        <v>650</v>
      </c>
      <c r="F13290" t="str">
        <f>IF(Table2[[#This Row],[Manual Cat Value]]="",Table2[[#This Row],[Suggested Cat Value]],VLOOKUP(Table2[[#This Row],[Manual Cat Value]],Lookup!G:H,2,0))</f>
        <v>College Savings</v>
      </c>
      <c r="G13290" t="s">
        <v>20</v>
      </c>
      <c r="H13290" s="8" t="s">
        <v>60</v>
      </c>
      <c r="I13290" s="8"/>
      <c r="O13290" t="str">
        <f>LEFT(Table2[[#This Row],[Description]],75)</f>
        <v>Withdrawal ACH MN DIR ACH TYPE: CONTRIB ID: XX7162 CO: MN DIR ACH NAME: XX2</v>
      </c>
    </row>
    <row r="13291" spans="1:15" hidden="1">
      <c r="A13291">
        <v>202501</v>
      </c>
      <c r="B13291" s="6">
        <v>45687</v>
      </c>
      <c r="C13291" t="s">
        <v>3938</v>
      </c>
      <c r="D13291" t="s">
        <v>1407</v>
      </c>
      <c r="E13291">
        <v>51.95</v>
      </c>
      <c r="F13291" t="str">
        <f>IF(Table2[[#This Row],[Manual Cat Value]]="",Table2[[#This Row],[Suggested Cat Value]],VLOOKUP(Table2[[#This Row],[Manual Cat Value]],Lookup!G:H,2,0))</f>
        <v>Travel</v>
      </c>
      <c r="G13291" t="s">
        <v>43</v>
      </c>
      <c r="I13291" s="8"/>
      <c r="O13291" t="str">
        <f>LEFT(Table2[[#This Row],[Description]],75)</f>
        <v>Party City</v>
      </c>
    </row>
    <row r="13292" spans="1:15" hidden="1">
      <c r="A13292">
        <v>202503</v>
      </c>
      <c r="B13292" s="6">
        <v>45744</v>
      </c>
      <c r="C13292" t="s">
        <v>3938</v>
      </c>
      <c r="D13292" t="s">
        <v>6312</v>
      </c>
      <c r="E13292">
        <v>51.62</v>
      </c>
      <c r="F13292" t="str">
        <f>IF(Table2[[#This Row],[Manual Cat Value]]="",Table2[[#This Row],[Suggested Cat Value]],VLOOKUP(Table2[[#This Row],[Manual Cat Value]],Lookup!G:H,2,0))</f>
        <v>Restaurants</v>
      </c>
      <c r="G13292" t="s">
        <v>26</v>
      </c>
      <c r="I13292" s="8"/>
      <c r="O13292" t="str">
        <f>LEFT(Table2[[#This Row],[Description]],75)</f>
        <v>Schram Haus Brewery</v>
      </c>
    </row>
    <row r="13293" spans="1:15" hidden="1">
      <c r="A13293">
        <v>202503</v>
      </c>
      <c r="B13293" s="6">
        <v>45740</v>
      </c>
      <c r="C13293" t="s">
        <v>130</v>
      </c>
      <c r="D13293" t="s">
        <v>5795</v>
      </c>
      <c r="E13293">
        <v>51.24</v>
      </c>
      <c r="F13293" t="str">
        <f>IF(Table2[[#This Row],[Manual Cat Value]]="",Table2[[#This Row],[Suggested Cat Value]],VLOOKUP(Table2[[#This Row],[Manual Cat Value]],Lookup!G:H,2,0))</f>
        <v>Delete</v>
      </c>
      <c r="G13293" t="s">
        <v>9</v>
      </c>
      <c r="I13293" s="8"/>
      <c r="O13293" t="str">
        <f>LEFT(Table2[[#This Row],[Description]],75)</f>
        <v>SLACK T074985K686   SAN FRANCISCO       CA</v>
      </c>
    </row>
    <row r="13294" spans="1:15" hidden="1">
      <c r="A13294">
        <v>202504</v>
      </c>
      <c r="B13294" s="6">
        <v>45773</v>
      </c>
      <c r="C13294" t="s">
        <v>130</v>
      </c>
      <c r="D13294" t="s">
        <v>6309</v>
      </c>
      <c r="E13294">
        <v>50.22</v>
      </c>
      <c r="F13294" t="str">
        <f>IF(Table2[[#This Row],[Manual Cat Value]]="",Table2[[#This Row],[Suggested Cat Value]],VLOOKUP(Table2[[#This Row],[Manual Cat Value]],Lookup!G:H,2,0))</f>
        <v>Restaurants</v>
      </c>
      <c r="G13294" t="s">
        <v>26</v>
      </c>
      <c r="I13294" s="8"/>
      <c r="O13294" t="str">
        <f>LEFT(Table2[[#This Row],[Description]],75)</f>
        <v>AplPay DOMINO'S 1931EXCELSIOR           MN</v>
      </c>
    </row>
    <row r="13295" spans="1:15" hidden="1">
      <c r="A13295">
        <v>202501</v>
      </c>
      <c r="B13295" s="6">
        <v>45678</v>
      </c>
      <c r="C13295" t="s">
        <v>130</v>
      </c>
      <c r="D13295" t="s">
        <v>6268</v>
      </c>
      <c r="E13295">
        <v>50.08</v>
      </c>
      <c r="F13295" t="str">
        <f>IF(Table2[[#This Row],[Manual Cat Value]]="",Table2[[#This Row],[Suggested Cat Value]],VLOOKUP(Table2[[#This Row],[Manual Cat Value]],Lookup!G:H,2,0))</f>
        <v>Delete</v>
      </c>
      <c r="G13295" t="s">
        <v>9</v>
      </c>
      <c r="I13295" s="8"/>
      <c r="O13295" t="str">
        <f>LEFT(Table2[[#This Row],[Description]],75)</f>
        <v>TST-HAPPY DAYS DELI CORK                IR</v>
      </c>
    </row>
    <row r="13296" spans="1:15" hidden="1">
      <c r="A13296">
        <v>202503</v>
      </c>
      <c r="B13296" s="6">
        <v>45737</v>
      </c>
      <c r="C13296" t="s">
        <v>130</v>
      </c>
      <c r="D13296" t="s">
        <v>6313</v>
      </c>
      <c r="E13296">
        <v>50</v>
      </c>
      <c r="F13296" t="str">
        <f>IF(Table2[[#This Row],[Manual Cat Value]]="",Table2[[#This Row],[Suggested Cat Value]],VLOOKUP(Table2[[#This Row],[Manual Cat Value]],Lookup!G:H,2,0))</f>
        <v>Travel</v>
      </c>
      <c r="G13296" t="s">
        <v>43</v>
      </c>
      <c r="I13296" s="8"/>
      <c r="O13296" t="str">
        <f>LEFT(Table2[[#This Row],[Description]],75)</f>
        <v>CREEDE SNOWSHOE LODGCREEDE              CO</v>
      </c>
    </row>
    <row r="13297" spans="1:15" hidden="1">
      <c r="A13297">
        <v>202501</v>
      </c>
      <c r="B13297" s="6">
        <v>45685</v>
      </c>
      <c r="C13297" t="s">
        <v>130</v>
      </c>
      <c r="D13297" t="s">
        <v>6183</v>
      </c>
      <c r="E13297">
        <v>49.99</v>
      </c>
      <c r="F13297" t="str">
        <f>IF(Table2[[#This Row],[Manual Cat Value]]="",Table2[[#This Row],[Suggested Cat Value]],VLOOKUP(Table2[[#This Row],[Manual Cat Value]],Lookup!G:H,2,0))</f>
        <v>Amazon</v>
      </c>
      <c r="G13297" t="s">
        <v>38</v>
      </c>
      <c r="I13297" s="8"/>
      <c r="O13297" t="str">
        <f>LEFT(Table2[[#This Row],[Description]],75)</f>
        <v>AMAZON MARKEPLACE NA PA</v>
      </c>
    </row>
    <row r="13298" spans="1:15" hidden="1">
      <c r="A13298">
        <v>202503</v>
      </c>
      <c r="B13298" s="6">
        <v>45736</v>
      </c>
      <c r="C13298" t="s">
        <v>130</v>
      </c>
      <c r="D13298" t="s">
        <v>6314</v>
      </c>
      <c r="E13298">
        <v>49.86</v>
      </c>
      <c r="F13298" t="str">
        <f>IF(Table2[[#This Row],[Manual Cat Value]]="",Table2[[#This Row],[Suggested Cat Value]],VLOOKUP(Table2[[#This Row],[Manual Cat Value]],Lookup!G:H,2,0))</f>
        <v>Shopping</v>
      </c>
      <c r="G13298" t="s">
        <v>26</v>
      </c>
      <c r="H13298" s="8" t="s">
        <v>36</v>
      </c>
      <c r="I13298" s="8"/>
      <c r="O13298" t="str">
        <f>LEFT(Table2[[#This Row],[Description]],75)</f>
        <v>AplPay COMPANY STOREWAYZATA             MN</v>
      </c>
    </row>
    <row r="13299" spans="1:15" hidden="1">
      <c r="A13299">
        <v>202503</v>
      </c>
      <c r="B13299" s="6">
        <v>45743</v>
      </c>
      <c r="C13299" t="s">
        <v>2258</v>
      </c>
      <c r="D13299" t="s">
        <v>6315</v>
      </c>
      <c r="E13299">
        <v>49.83</v>
      </c>
      <c r="F13299" t="str">
        <f>IF(Table2[[#This Row],[Manual Cat Value]]="",Table2[[#This Row],[Suggested Cat Value]],VLOOKUP(Table2[[#This Row],[Manual Cat Value]],Lookup!G:H,2,0))</f>
        <v>Amazon</v>
      </c>
      <c r="G13299" t="s">
        <v>38</v>
      </c>
      <c r="I13299" s="8"/>
      <c r="O13299" t="str">
        <f>LEFT(Table2[[#This Row],[Description]],75)</f>
        <v>AMAZON MKTPL*JG7KE1NA3 AMZN.COM/BILLWA4VZHIQNBU48</v>
      </c>
    </row>
    <row r="13300" spans="1:15" hidden="1">
      <c r="A13300">
        <v>202502</v>
      </c>
      <c r="B13300" s="6">
        <v>45691</v>
      </c>
      <c r="C13300" t="s">
        <v>130</v>
      </c>
      <c r="D13300" t="s">
        <v>6183</v>
      </c>
      <c r="E13300">
        <v>49.36</v>
      </c>
      <c r="F13300" t="str">
        <f>IF(Table2[[#This Row],[Manual Cat Value]]="",Table2[[#This Row],[Suggested Cat Value]],VLOOKUP(Table2[[#This Row],[Manual Cat Value]],Lookup!G:H,2,0))</f>
        <v>Amazon</v>
      </c>
      <c r="G13300" t="s">
        <v>38</v>
      </c>
      <c r="I13300" s="8"/>
      <c r="O13300" t="str">
        <f>LEFT(Table2[[#This Row],[Description]],75)</f>
        <v>AMAZON MARKEPLACE NA PA</v>
      </c>
    </row>
    <row r="13301" spans="1:15" hidden="1">
      <c r="A13301">
        <v>202504</v>
      </c>
      <c r="B13301" s="6">
        <v>45768</v>
      </c>
      <c r="C13301" t="s">
        <v>2519</v>
      </c>
      <c r="D13301" t="s">
        <v>6316</v>
      </c>
      <c r="E13301">
        <v>49.28</v>
      </c>
      <c r="F13301" t="str">
        <f>IF(Table2[[#This Row],[Manual Cat Value]]="",Table2[[#This Row],[Suggested Cat Value]],VLOOKUP(Table2[[#This Row],[Manual Cat Value]],Lookup!G:H,2,0))</f>
        <v>Day Care</v>
      </c>
      <c r="G13301" t="s">
        <v>20</v>
      </c>
      <c r="I13301" s="8"/>
      <c r="O13301" t="str">
        <f>LEFT(Table2[[#This Row],[Description]],75)</f>
        <v>Withdrawal ACH CITY OF CHANHASS TYPE: UTIL BILL ID: XX5331 CO: CITY OF CHAN</v>
      </c>
    </row>
    <row r="13302" spans="1:15" hidden="1">
      <c r="A13302">
        <v>202503</v>
      </c>
      <c r="B13302" s="6">
        <v>45728</v>
      </c>
      <c r="C13302" t="s">
        <v>130</v>
      </c>
      <c r="D13302" t="s">
        <v>6317</v>
      </c>
      <c r="E13302">
        <v>49.2</v>
      </c>
      <c r="F13302" t="str">
        <f>IF(Table2[[#This Row],[Manual Cat Value]]="",Table2[[#This Row],[Suggested Cat Value]],VLOOKUP(Table2[[#This Row],[Manual Cat Value]],Lookup!G:H,2,0))</f>
        <v>Restaurants</v>
      </c>
      <c r="G13302" t="s">
        <v>26</v>
      </c>
      <c r="I13302" s="8"/>
      <c r="O13302" t="str">
        <f>LEFT(Table2[[#This Row],[Description]],75)</f>
        <v>AplPay TST* ESS-A-BANEW YORK            NY</v>
      </c>
    </row>
    <row r="13303" spans="1:15" hidden="1">
      <c r="A13303">
        <v>202503</v>
      </c>
      <c r="B13303" s="6">
        <v>45734</v>
      </c>
      <c r="C13303" t="s">
        <v>2519</v>
      </c>
      <c r="D13303" t="s">
        <v>1958</v>
      </c>
      <c r="E13303">
        <v>49</v>
      </c>
      <c r="F13303" t="str">
        <f>IF(Table2[[#This Row],[Manual Cat Value]]="",Table2[[#This Row],[Suggested Cat Value]],VLOOKUP(Table2[[#This Row],[Manual Cat Value]],Lookup!G:H,2,0))</f>
        <v>Shopping</v>
      </c>
      <c r="G13303" t="s">
        <v>21</v>
      </c>
      <c r="I13303" s="8"/>
      <c r="O13303" t="str">
        <f>LEFT(Table2[[#This Row],[Description]],75)</f>
        <v>Transfer to Venmo</v>
      </c>
    </row>
    <row r="13304" spans="1:15" hidden="1">
      <c r="A13304">
        <v>202504</v>
      </c>
      <c r="B13304" s="6">
        <v>45763</v>
      </c>
      <c r="C13304" t="s">
        <v>3938</v>
      </c>
      <c r="D13304" t="s">
        <v>31</v>
      </c>
      <c r="E13304">
        <v>48.98</v>
      </c>
      <c r="F13304" t="str">
        <f>IF(Table2[[#This Row],[Manual Cat Value]]="",Table2[[#This Row],[Suggested Cat Value]],VLOOKUP(Table2[[#This Row],[Manual Cat Value]],Lookup!G:H,2,0))</f>
        <v>Target</v>
      </c>
      <c r="G13304" t="s">
        <v>31</v>
      </c>
      <c r="I13304" s="8"/>
      <c r="O13304" t="str">
        <f>LEFT(Table2[[#This Row],[Description]],75)</f>
        <v>Target</v>
      </c>
    </row>
    <row r="13305" spans="1:15" hidden="1">
      <c r="A13305">
        <v>202504</v>
      </c>
      <c r="B13305" s="6">
        <v>45767</v>
      </c>
      <c r="C13305" t="s">
        <v>3938</v>
      </c>
      <c r="D13305" t="s">
        <v>31</v>
      </c>
      <c r="E13305">
        <v>48.98</v>
      </c>
      <c r="F13305" t="str">
        <f>IF(Table2[[#This Row],[Manual Cat Value]]="",Table2[[#This Row],[Suggested Cat Value]],VLOOKUP(Table2[[#This Row],[Manual Cat Value]],Lookup!G:H,2,0))</f>
        <v>Target</v>
      </c>
      <c r="G13305" t="s">
        <v>31</v>
      </c>
      <c r="I13305" s="8"/>
      <c r="O13305" t="str">
        <f>LEFT(Table2[[#This Row],[Description]],75)</f>
        <v>Target</v>
      </c>
    </row>
    <row r="13306" spans="1:15" hidden="1">
      <c r="A13306">
        <v>202505</v>
      </c>
      <c r="B13306" s="6">
        <v>45788</v>
      </c>
      <c r="C13306" t="s">
        <v>130</v>
      </c>
      <c r="D13306" t="s">
        <v>6183</v>
      </c>
      <c r="E13306">
        <v>48.93</v>
      </c>
      <c r="F13306" t="str">
        <f>IF(Table2[[#This Row],[Manual Cat Value]]="",Table2[[#This Row],[Suggested Cat Value]],VLOOKUP(Table2[[#This Row],[Manual Cat Value]],Lookup!G:H,2,0))</f>
        <v>Amazon</v>
      </c>
      <c r="G13306" t="s">
        <v>38</v>
      </c>
      <c r="I13306" s="8"/>
      <c r="O13306" t="str">
        <f>LEFT(Table2[[#This Row],[Description]],75)</f>
        <v>AMAZON MARKEPLACE NA PA</v>
      </c>
    </row>
    <row r="13307" spans="1:15" hidden="1">
      <c r="A13307">
        <v>202503</v>
      </c>
      <c r="B13307" s="6">
        <v>45736</v>
      </c>
      <c r="C13307" t="s">
        <v>130</v>
      </c>
      <c r="D13307" t="s">
        <v>6318</v>
      </c>
      <c r="E13307">
        <v>48.75</v>
      </c>
      <c r="F13307" t="str">
        <f>IF(Table2[[#This Row],[Manual Cat Value]]="",Table2[[#This Row],[Suggested Cat Value]],VLOOKUP(Table2[[#This Row],[Manual Cat Value]],Lookup!G:H,2,0))</f>
        <v>Transportation</v>
      </c>
      <c r="G13307" t="s">
        <v>23</v>
      </c>
      <c r="I13307" s="8"/>
      <c r="O13307" t="str">
        <f>LEFT(Table2[[#This Row],[Description]],75)</f>
        <v>AplPay SPEEDWAY     1-800-643-1949      OH</v>
      </c>
    </row>
    <row r="13308" spans="1:15" hidden="1">
      <c r="A13308">
        <v>202501</v>
      </c>
      <c r="B13308" s="6">
        <v>45679</v>
      </c>
      <c r="C13308" t="s">
        <v>3938</v>
      </c>
      <c r="D13308" t="s">
        <v>6319</v>
      </c>
      <c r="E13308">
        <v>48.72</v>
      </c>
      <c r="F13308" t="str">
        <f>IF(Table2[[#This Row],[Manual Cat Value]]="",Table2[[#This Row],[Suggested Cat Value]],VLOOKUP(Table2[[#This Row],[Manual Cat Value]],Lookup!G:H,2,0))</f>
        <v>Entertainment</v>
      </c>
      <c r="G13308" t="s">
        <v>40</v>
      </c>
      <c r="I13308" s="8"/>
      <c r="O13308" t="str">
        <f>LEFT(Table2[[#This Row],[Description]],75)</f>
        <v>SHAKOPEE BOWL SHAKOPEE MN REF #XX3100MS66LGF2P</v>
      </c>
    </row>
    <row r="13309" spans="1:15" hidden="1">
      <c r="A13309">
        <v>202504</v>
      </c>
      <c r="B13309" s="6">
        <v>45756</v>
      </c>
      <c r="C13309" t="s">
        <v>130</v>
      </c>
      <c r="D13309" t="s">
        <v>6320</v>
      </c>
      <c r="E13309">
        <v>48.68</v>
      </c>
      <c r="F13309" t="str">
        <f>IF(Table2[[#This Row],[Manual Cat Value]]="",Table2[[#This Row],[Suggested Cat Value]],VLOOKUP(Table2[[#This Row],[Manual Cat Value]],Lookup!G:H,2,0))</f>
        <v>Restaurants</v>
      </c>
      <c r="G13309" t="s">
        <v>26</v>
      </c>
      <c r="I13309" s="8"/>
      <c r="O13309" t="str">
        <f>LEFT(Table2[[#This Row],[Description]],75)</f>
        <v>AplPay HOLIDAY STATIPLYMOUTH            MN</v>
      </c>
    </row>
    <row r="13310" spans="1:15" hidden="1">
      <c r="A13310">
        <v>202502</v>
      </c>
      <c r="B13310" s="6">
        <v>45697</v>
      </c>
      <c r="C13310" t="s">
        <v>130</v>
      </c>
      <c r="D13310" t="s">
        <v>5788</v>
      </c>
      <c r="E13310">
        <v>48.24</v>
      </c>
      <c r="F13310" t="str">
        <f>IF(Table2[[#This Row],[Manual Cat Value]]="",Table2[[#This Row],[Suggested Cat Value]],VLOOKUP(Table2[[#This Row],[Manual Cat Value]],Lookup!G:H,2,0))</f>
        <v>Groceries</v>
      </c>
      <c r="G13310" t="s">
        <v>28</v>
      </c>
      <c r="I13310" s="8"/>
      <c r="O13310" t="str">
        <f>LEFT(Table2[[#This Row],[Description]],75)</f>
        <v>CUB FOODS #1636 0000SHOREWOOD           MN</v>
      </c>
    </row>
    <row r="13311" spans="1:15" hidden="1">
      <c r="A13311">
        <v>202503</v>
      </c>
      <c r="B13311" s="6">
        <v>45744</v>
      </c>
      <c r="C13311" t="s">
        <v>2519</v>
      </c>
      <c r="D13311" t="s">
        <v>4356</v>
      </c>
      <c r="E13311">
        <v>47.91</v>
      </c>
      <c r="F13311" t="str">
        <f>IF(Table2[[#This Row],[Manual Cat Value]]="",Table2[[#This Row],[Suggested Cat Value]],VLOOKUP(Table2[[#This Row],[Manual Cat Value]],Lookup!G:H,2,0))</f>
        <v>Insurance</v>
      </c>
      <c r="G13311" t="s">
        <v>18</v>
      </c>
      <c r="I13311" s="8"/>
      <c r="O13311" t="str">
        <f>LEFT(Table2[[#This Row],[Description]],75)</f>
        <v>Payment to American Family Insurance</v>
      </c>
    </row>
    <row r="13312" spans="1:15" hidden="1">
      <c r="A13312">
        <v>202504</v>
      </c>
      <c r="B13312" s="6">
        <v>45770</v>
      </c>
      <c r="C13312" t="s">
        <v>130</v>
      </c>
      <c r="D13312" t="s">
        <v>6321</v>
      </c>
      <c r="E13312">
        <v>47.15</v>
      </c>
      <c r="F13312" t="str">
        <f>IF(Table2[[#This Row],[Manual Cat Value]]="",Table2[[#This Row],[Suggested Cat Value]],VLOOKUP(Table2[[#This Row],[Manual Cat Value]],Lookup!G:H,2,0))</f>
        <v>Restaurants</v>
      </c>
      <c r="G13312" t="s">
        <v>26</v>
      </c>
      <c r="I13312" s="8"/>
      <c r="O13312" t="str">
        <f>LEFT(Table2[[#This Row],[Description]],75)</f>
        <v>TST* LAGOS TACOS EXCEXCELSIOR           MN</v>
      </c>
    </row>
    <row r="13313" spans="1:15" hidden="1">
      <c r="A13313">
        <v>202504</v>
      </c>
      <c r="B13313" s="6">
        <v>45774</v>
      </c>
      <c r="C13313" t="s">
        <v>130</v>
      </c>
      <c r="D13313" t="s">
        <v>6322</v>
      </c>
      <c r="E13313">
        <v>46.89</v>
      </c>
      <c r="F13313" t="str">
        <f>IF(Table2[[#This Row],[Manual Cat Value]]="",Table2[[#This Row],[Suggested Cat Value]],VLOOKUP(Table2[[#This Row],[Manual Cat Value]],Lookup!G:H,2,0))</f>
        <v>Restaurants</v>
      </c>
      <c r="G13313" t="s">
        <v>26</v>
      </c>
      <c r="I13313" s="8"/>
      <c r="O13313" t="str">
        <f>LEFT(Table2[[#This Row],[Description]],75)</f>
        <v>FIVE GUYS MN 1937 QSEDEN PRAIRIE        MN</v>
      </c>
    </row>
    <row r="13314" spans="1:15" hidden="1">
      <c r="A13314">
        <v>202505</v>
      </c>
      <c r="B13314" s="6">
        <v>45787</v>
      </c>
      <c r="C13314" t="s">
        <v>130</v>
      </c>
      <c r="D13314" t="s">
        <v>6323</v>
      </c>
      <c r="E13314">
        <v>46.6</v>
      </c>
      <c r="F13314" t="str">
        <f>IF(Table2[[#This Row],[Manual Cat Value]]="",Table2[[#This Row],[Suggested Cat Value]],VLOOKUP(Table2[[#This Row],[Manual Cat Value]],Lookup!G:H,2,0))</f>
        <v>House</v>
      </c>
      <c r="G13314" t="s">
        <v>26</v>
      </c>
      <c r="H13314" s="8" t="s">
        <v>49</v>
      </c>
      <c r="I13314" s="8"/>
      <c r="O13314" t="str">
        <f>LEFT(Table2[[#This Row],[Description]],75)</f>
        <v>AplPay THE HOME DEPOEDEN PRAIRIE        MN</v>
      </c>
    </row>
    <row r="13315" spans="1:15" hidden="1">
      <c r="A13315">
        <v>202504</v>
      </c>
      <c r="B13315" s="6">
        <v>45755</v>
      </c>
      <c r="C13315" t="s">
        <v>3938</v>
      </c>
      <c r="D13315" t="s">
        <v>6324</v>
      </c>
      <c r="E13315">
        <v>46.58</v>
      </c>
      <c r="F13315" t="str">
        <f>IF(Table2[[#This Row],[Manual Cat Value]]="",Table2[[#This Row],[Suggested Cat Value]],VLOOKUP(Table2[[#This Row],[Manual Cat Value]],Lookup!G:H,2,0))</f>
        <v>Restaurants</v>
      </c>
      <c r="G13315" t="s">
        <v>26</v>
      </c>
      <c r="I13315" s="8"/>
      <c r="O13315" t="str">
        <f>LEFT(Table2[[#This Row],[Description]],75)</f>
        <v>HH MARKETPLACE MSP ST. PAUL MN REF #XX6312X8QFSM6</v>
      </c>
    </row>
    <row r="13316" spans="1:15" hidden="1">
      <c r="A13316">
        <v>202503</v>
      </c>
      <c r="B13316" s="6">
        <v>45744</v>
      </c>
      <c r="C13316" t="s">
        <v>3938</v>
      </c>
      <c r="D13316" t="s">
        <v>1707</v>
      </c>
      <c r="E13316">
        <v>46.14</v>
      </c>
      <c r="F13316" t="str">
        <f>IF(Table2[[#This Row],[Manual Cat Value]]="",Table2[[#This Row],[Suggested Cat Value]],VLOOKUP(Table2[[#This Row],[Manual Cat Value]],Lookup!G:H,2,0))</f>
        <v>Transportation</v>
      </c>
      <c r="G13316" t="s">
        <v>23</v>
      </c>
      <c r="I13316" s="8"/>
      <c r="O13316" t="str">
        <f>LEFT(Table2[[#This Row],[Description]],75)</f>
        <v>Speedway</v>
      </c>
    </row>
    <row r="13317" spans="1:15" hidden="1">
      <c r="A13317">
        <v>202503</v>
      </c>
      <c r="B13317" s="6">
        <v>45733</v>
      </c>
      <c r="C13317" t="s">
        <v>2519</v>
      </c>
      <c r="D13317" t="s">
        <v>1955</v>
      </c>
      <c r="E13317">
        <v>45.95</v>
      </c>
      <c r="F13317" t="str">
        <f>IF(Table2[[#This Row],[Manual Cat Value]]="",Table2[[#This Row],[Suggested Cat Value]],VLOOKUP(Table2[[#This Row],[Manual Cat Value]],Lookup!G:H,2,0))</f>
        <v>Shopping</v>
      </c>
      <c r="G13317" t="s">
        <v>21</v>
      </c>
      <c r="I13317" s="8"/>
      <c r="O13317" t="str">
        <f>LEFT(Table2[[#This Row],[Description]],75)</f>
        <v>Transfer to PayPal</v>
      </c>
    </row>
    <row r="13318" spans="1:15" hidden="1">
      <c r="A13318">
        <v>202501</v>
      </c>
      <c r="B13318" s="6">
        <v>45688</v>
      </c>
      <c r="C13318" t="s">
        <v>2258</v>
      </c>
      <c r="D13318" t="s">
        <v>6325</v>
      </c>
      <c r="E13318">
        <v>45.9</v>
      </c>
      <c r="F13318" t="str">
        <f>IF(Table2[[#This Row],[Manual Cat Value]]="",Table2[[#This Row],[Suggested Cat Value]],VLOOKUP(Table2[[#This Row],[Manual Cat Value]],Lookup!G:H,2,0))</f>
        <v>Amazon</v>
      </c>
      <c r="G13318" t="s">
        <v>38</v>
      </c>
      <c r="I13318" s="8"/>
      <c r="O13318" t="str">
        <f>LEFT(Table2[[#This Row],[Description]],75)</f>
        <v>AMAZON MKTPL*Z74E95712 AMZN.COM/BILLWA1KGJ4S01QC9</v>
      </c>
    </row>
    <row r="13319" spans="1:15" hidden="1">
      <c r="A13319">
        <v>202503</v>
      </c>
      <c r="B13319" s="6">
        <v>45734</v>
      </c>
      <c r="C13319" t="s">
        <v>3938</v>
      </c>
      <c r="D13319" t="s">
        <v>6326</v>
      </c>
      <c r="E13319">
        <v>45.84</v>
      </c>
      <c r="F13319" t="str">
        <f>IF(Table2[[#This Row],[Manual Cat Value]]="",Table2[[#This Row],[Suggested Cat Value]],VLOOKUP(Table2[[#This Row],[Manual Cat Value]],Lookup!G:H,2,0))</f>
        <v>Groceries</v>
      </c>
      <c r="G13319" t="s">
        <v>28</v>
      </c>
      <c r="I13319" s="8"/>
      <c r="O13319" t="str">
        <f>LEFT(Table2[[#This Row],[Description]],75)</f>
        <v>NO 21 OFF LICENCE CORK CITY IE REF #XX7332D021QTY1W</v>
      </c>
    </row>
    <row r="13320" spans="1:15" hidden="1">
      <c r="A13320">
        <v>202504</v>
      </c>
      <c r="B13320" s="6">
        <v>45765</v>
      </c>
      <c r="C13320" t="s">
        <v>3938</v>
      </c>
      <c r="D13320" t="s">
        <v>5267</v>
      </c>
      <c r="E13320">
        <v>45.68</v>
      </c>
      <c r="F13320" t="str">
        <f>IF(Table2[[#This Row],[Manual Cat Value]]="",Table2[[#This Row],[Suggested Cat Value]],VLOOKUP(Table2[[#This Row],[Manual Cat Value]],Lookup!G:H,2,0))</f>
        <v>Transportation</v>
      </c>
      <c r="G13320" t="s">
        <v>23</v>
      </c>
      <c r="I13320" s="8"/>
      <c r="O13320" t="str">
        <f>LEFT(Table2[[#This Row],[Description]],75)</f>
        <v>Marathon Petroleum</v>
      </c>
    </row>
    <row r="13321" spans="1:15" hidden="1">
      <c r="A13321">
        <v>202503</v>
      </c>
      <c r="B13321" s="6">
        <v>45743</v>
      </c>
      <c r="C13321" t="s">
        <v>130</v>
      </c>
      <c r="D13321" t="s">
        <v>6321</v>
      </c>
      <c r="E13321">
        <v>45.61</v>
      </c>
      <c r="F13321" t="str">
        <f>IF(Table2[[#This Row],[Manual Cat Value]]="",Table2[[#This Row],[Suggested Cat Value]],VLOOKUP(Table2[[#This Row],[Manual Cat Value]],Lookup!G:H,2,0))</f>
        <v>Restaurants</v>
      </c>
      <c r="G13321" t="s">
        <v>26</v>
      </c>
      <c r="I13321" s="8"/>
      <c r="O13321" t="str">
        <f>LEFT(Table2[[#This Row],[Description]],75)</f>
        <v>TST* LAGOS TACOS EXCEXCELSIOR           MN</v>
      </c>
    </row>
    <row r="13322" spans="1:15" hidden="1">
      <c r="A13322">
        <v>202504</v>
      </c>
      <c r="B13322" s="6">
        <v>45759</v>
      </c>
      <c r="C13322" t="s">
        <v>130</v>
      </c>
      <c r="D13322" t="s">
        <v>5884</v>
      </c>
      <c r="E13322">
        <v>45.09</v>
      </c>
      <c r="F13322" t="str">
        <f>IF(Table2[[#This Row],[Manual Cat Value]]="",Table2[[#This Row],[Suggested Cat Value]],VLOOKUP(Table2[[#This Row],[Manual Cat Value]],Lookup!G:H,2,0))</f>
        <v>House Maintenance</v>
      </c>
      <c r="G13322" t="s">
        <v>26</v>
      </c>
      <c r="H13322" s="8" t="s">
        <v>1</v>
      </c>
      <c r="I13322" s="8"/>
      <c r="O13322" t="str">
        <f>LEFT(Table2[[#This Row],[Description]],75)</f>
        <v>AplPay TRADER JOE S MINNETONKA          MN</v>
      </c>
    </row>
    <row r="13323" spans="1:15" hidden="1">
      <c r="A13323">
        <v>202501</v>
      </c>
      <c r="B13323" s="6">
        <v>45670</v>
      </c>
      <c r="C13323" t="s">
        <v>3938</v>
      </c>
      <c r="D13323" t="s">
        <v>1462</v>
      </c>
      <c r="E13323">
        <v>45</v>
      </c>
      <c r="F13323" t="str">
        <f>IF(Table2[[#This Row],[Manual Cat Value]]="",Table2[[#This Row],[Suggested Cat Value]],VLOOKUP(Table2[[#This Row],[Manual Cat Value]],Lookup!G:H,2,0))</f>
        <v>Utilities</v>
      </c>
      <c r="G13323" t="s">
        <v>7</v>
      </c>
      <c r="I13323" s="8"/>
      <c r="O13323" t="str">
        <f>LEFT(Table2[[#This Row],[Description]],75)</f>
        <v>Payment to CenturyLink</v>
      </c>
    </row>
    <row r="13324" spans="1:15" hidden="1">
      <c r="A13324">
        <v>202502</v>
      </c>
      <c r="B13324" s="6">
        <v>45701</v>
      </c>
      <c r="C13324" t="s">
        <v>3938</v>
      </c>
      <c r="D13324" t="s">
        <v>1462</v>
      </c>
      <c r="E13324">
        <v>45</v>
      </c>
      <c r="F13324" t="str">
        <f>IF(Table2[[#This Row],[Manual Cat Value]]="",Table2[[#This Row],[Suggested Cat Value]],VLOOKUP(Table2[[#This Row],[Manual Cat Value]],Lookup!G:H,2,0))</f>
        <v>Utilities</v>
      </c>
      <c r="G13324" t="s">
        <v>7</v>
      </c>
      <c r="I13324" s="8"/>
      <c r="O13324" t="str">
        <f>LEFT(Table2[[#This Row],[Description]],75)</f>
        <v>Payment to CenturyLink</v>
      </c>
    </row>
    <row r="13325" spans="1:15" hidden="1">
      <c r="A13325">
        <v>202503</v>
      </c>
      <c r="B13325" s="6">
        <v>45723</v>
      </c>
      <c r="C13325" t="s">
        <v>130</v>
      </c>
      <c r="D13325" t="s">
        <v>5418</v>
      </c>
      <c r="E13325">
        <v>45</v>
      </c>
      <c r="F13325" t="str">
        <f>IF(Table2[[#This Row],[Manual Cat Value]]="",Table2[[#This Row],[Suggested Cat Value]],VLOOKUP(Table2[[#This Row],[Manual Cat Value]],Lookup!G:H,2,0))</f>
        <v>Delete</v>
      </c>
      <c r="G13325" t="s">
        <v>9</v>
      </c>
      <c r="I13325" s="8"/>
      <c r="O13325" t="str">
        <f>LEFT(Table2[[#This Row],[Description]],75)</f>
        <v>DELTA AIR LINES     ATLANTA</v>
      </c>
    </row>
    <row r="13326" spans="1:15" hidden="1">
      <c r="A13326">
        <v>202503</v>
      </c>
      <c r="B13326" s="6">
        <v>45729</v>
      </c>
      <c r="C13326" t="s">
        <v>3938</v>
      </c>
      <c r="D13326" t="s">
        <v>1462</v>
      </c>
      <c r="E13326">
        <v>45</v>
      </c>
      <c r="F13326" t="str">
        <f>IF(Table2[[#This Row],[Manual Cat Value]]="",Table2[[#This Row],[Suggested Cat Value]],VLOOKUP(Table2[[#This Row],[Manual Cat Value]],Lookup!G:H,2,0))</f>
        <v>Utilities</v>
      </c>
      <c r="G13326" t="s">
        <v>7</v>
      </c>
      <c r="I13326" s="8"/>
      <c r="O13326" t="str">
        <f>LEFT(Table2[[#This Row],[Description]],75)</f>
        <v>Payment to CenturyLink</v>
      </c>
    </row>
    <row r="13327" spans="1:15" hidden="1">
      <c r="A13327">
        <v>202504</v>
      </c>
      <c r="B13327" s="6">
        <v>45760</v>
      </c>
      <c r="C13327" t="s">
        <v>3938</v>
      </c>
      <c r="D13327" t="s">
        <v>1462</v>
      </c>
      <c r="E13327">
        <v>45</v>
      </c>
      <c r="F13327" t="str">
        <f>IF(Table2[[#This Row],[Manual Cat Value]]="",Table2[[#This Row],[Suggested Cat Value]],VLOOKUP(Table2[[#This Row],[Manual Cat Value]],Lookup!G:H,2,0))</f>
        <v>Utilities</v>
      </c>
      <c r="G13327" t="s">
        <v>7</v>
      </c>
      <c r="I13327" s="8"/>
      <c r="O13327" t="str">
        <f>LEFT(Table2[[#This Row],[Description]],75)</f>
        <v>Payment to CenturyLink</v>
      </c>
    </row>
    <row r="13328" spans="1:15" hidden="1">
      <c r="A13328">
        <v>202505</v>
      </c>
      <c r="B13328" s="6">
        <v>45790</v>
      </c>
      <c r="C13328" t="s">
        <v>3938</v>
      </c>
      <c r="D13328" t="s">
        <v>1462</v>
      </c>
      <c r="E13328">
        <v>45</v>
      </c>
      <c r="F13328" t="str">
        <f>IF(Table2[[#This Row],[Manual Cat Value]]="",Table2[[#This Row],[Suggested Cat Value]],VLOOKUP(Table2[[#This Row],[Manual Cat Value]],Lookup!G:H,2,0))</f>
        <v>Utilities</v>
      </c>
      <c r="G13328" t="s">
        <v>7</v>
      </c>
      <c r="I13328" s="8"/>
      <c r="O13328" t="str">
        <f>LEFT(Table2[[#This Row],[Description]],75)</f>
        <v>Payment to CenturyLink</v>
      </c>
    </row>
    <row r="13329" spans="1:15" hidden="1">
      <c r="A13329">
        <v>202505</v>
      </c>
      <c r="B13329" s="6">
        <v>45796</v>
      </c>
      <c r="C13329" t="s">
        <v>3938</v>
      </c>
      <c r="D13329" t="s">
        <v>4887</v>
      </c>
      <c r="E13329">
        <v>44.89</v>
      </c>
      <c r="F13329" t="str">
        <f>IF(Table2[[#This Row],[Manual Cat Value]]="",Table2[[#This Row],[Suggested Cat Value]],VLOOKUP(Table2[[#This Row],[Manual Cat Value]],Lookup!G:H,2,0))</f>
        <v>Groceries</v>
      </c>
      <c r="G13329" t="s">
        <v>28</v>
      </c>
      <c r="I13329" s="8"/>
      <c r="O13329" t="str">
        <f>LEFT(Table2[[#This Row],[Description]],75)</f>
        <v>Costco Gas Stations</v>
      </c>
    </row>
    <row r="13330" spans="1:15" hidden="1">
      <c r="A13330">
        <v>202505</v>
      </c>
      <c r="B13330" s="6">
        <v>45795</v>
      </c>
      <c r="C13330" t="s">
        <v>3938</v>
      </c>
      <c r="D13330" t="s">
        <v>4887</v>
      </c>
      <c r="E13330">
        <v>44.65</v>
      </c>
      <c r="F13330" t="str">
        <f>IF(Table2[[#This Row],[Manual Cat Value]]="",Table2[[#This Row],[Suggested Cat Value]],VLOOKUP(Table2[[#This Row],[Manual Cat Value]],Lookup!G:H,2,0))</f>
        <v>Groceries</v>
      </c>
      <c r="G13330" t="s">
        <v>28</v>
      </c>
      <c r="I13330" s="8"/>
      <c r="O13330" t="str">
        <f>LEFT(Table2[[#This Row],[Description]],75)</f>
        <v>Costco Gas Stations</v>
      </c>
    </row>
    <row r="13331" spans="1:15" hidden="1">
      <c r="A13331">
        <v>202501</v>
      </c>
      <c r="B13331" s="6">
        <v>45675</v>
      </c>
      <c r="C13331" t="s">
        <v>130</v>
      </c>
      <c r="D13331" t="s">
        <v>6327</v>
      </c>
      <c r="E13331">
        <v>44.39</v>
      </c>
      <c r="F13331" t="str">
        <f>IF(Table2[[#This Row],[Manual Cat Value]]="",Table2[[#This Row],[Suggested Cat Value]],VLOOKUP(Table2[[#This Row],[Manual Cat Value]],Lookup!G:H,2,0))</f>
        <v>Restaurants</v>
      </c>
      <c r="G13331" t="s">
        <v>26</v>
      </c>
      <c r="I13331" s="8"/>
      <c r="O13331" t="str">
        <f>LEFT(Table2[[#This Row],[Description]],75)</f>
        <v>AplPay LEEANN CHIN 0CHANHASSEN          MN</v>
      </c>
    </row>
    <row r="13332" spans="1:15" hidden="1">
      <c r="A13332">
        <v>202502</v>
      </c>
      <c r="B13332" s="6">
        <v>45714</v>
      </c>
      <c r="C13332" t="s">
        <v>130</v>
      </c>
      <c r="D13332" t="s">
        <v>5898</v>
      </c>
      <c r="E13332">
        <v>43.74</v>
      </c>
      <c r="F13332" t="str">
        <f>IF(Table2[[#This Row],[Manual Cat Value]]="",Table2[[#This Row],[Suggested Cat Value]],VLOOKUP(Table2[[#This Row],[Manual Cat Value]],Lookup!G:H,2,0))</f>
        <v>Groceries</v>
      </c>
      <c r="G13332" t="s">
        <v>28</v>
      </c>
      <c r="I13332" s="8"/>
      <c r="O13332" t="str">
        <f>LEFT(Table2[[#This Row],[Description]],75)</f>
        <v>LAKESHORE MARKET &amp; MEXCELSIOR           MN</v>
      </c>
    </row>
    <row r="13333" spans="1:15" hidden="1">
      <c r="A13333">
        <v>202503</v>
      </c>
      <c r="B13333" s="6">
        <v>45726</v>
      </c>
      <c r="C13333" t="s">
        <v>130</v>
      </c>
      <c r="D13333" t="s">
        <v>6328</v>
      </c>
      <c r="E13333">
        <v>43.72</v>
      </c>
      <c r="F13333" t="str">
        <f>IF(Table2[[#This Row],[Manual Cat Value]]="",Table2[[#This Row],[Suggested Cat Value]],VLOOKUP(Table2[[#This Row],[Manual Cat Value]],Lookup!G:H,2,0))</f>
        <v>Restaurants</v>
      </c>
      <c r="G13333" t="s">
        <v>26</v>
      </c>
      <c r="I13333" s="8"/>
      <c r="O13333" t="str">
        <f>LEFT(Table2[[#This Row],[Description]],75)</f>
        <v>PY *SLC-A PF CHANG'SSALT LAKE CIT       UT</v>
      </c>
    </row>
    <row r="13334" spans="1:15" hidden="1">
      <c r="A13334">
        <v>202504</v>
      </c>
      <c r="B13334" s="6">
        <v>45762</v>
      </c>
      <c r="C13334" t="s">
        <v>2258</v>
      </c>
      <c r="D13334" t="s">
        <v>6329</v>
      </c>
      <c r="E13334">
        <v>43.52</v>
      </c>
      <c r="F13334" t="str">
        <f>IF(Table2[[#This Row],[Manual Cat Value]]="",Table2[[#This Row],[Suggested Cat Value]],VLOOKUP(Table2[[#This Row],[Manual Cat Value]],Lookup!G:H,2,0))</f>
        <v>Amazon</v>
      </c>
      <c r="G13334" t="s">
        <v>38</v>
      </c>
      <c r="I13334" s="8"/>
      <c r="O13334" t="str">
        <f>LEFT(Table2[[#This Row],[Description]],75)</f>
        <v>AMAZON MKTPL*MN4203DC3 AMZN.COM/BILLWA2YHRVQAJAET</v>
      </c>
    </row>
    <row r="13335" spans="1:15" hidden="1">
      <c r="A13335">
        <v>202504</v>
      </c>
      <c r="B13335" s="6">
        <v>45767</v>
      </c>
      <c r="C13335" t="s">
        <v>3938</v>
      </c>
      <c r="D13335" t="s">
        <v>648</v>
      </c>
      <c r="E13335">
        <v>43.12</v>
      </c>
      <c r="F13335" t="str">
        <f>IF(Table2[[#This Row],[Manual Cat Value]]="",Table2[[#This Row],[Suggested Cat Value]],VLOOKUP(Table2[[#This Row],[Manual Cat Value]],Lookup!G:H,2,0))</f>
        <v>Groceries</v>
      </c>
      <c r="G13335" t="s">
        <v>28</v>
      </c>
      <c r="I13335" s="8"/>
      <c r="O13335" t="str">
        <f>LEFT(Table2[[#This Row],[Description]],75)</f>
        <v>Costco</v>
      </c>
    </row>
    <row r="13336" spans="1:15" hidden="1">
      <c r="A13336">
        <v>202502</v>
      </c>
      <c r="B13336" s="6">
        <v>45697</v>
      </c>
      <c r="C13336" t="s">
        <v>3938</v>
      </c>
      <c r="D13336" t="s">
        <v>4887</v>
      </c>
      <c r="E13336">
        <v>43.01</v>
      </c>
      <c r="F13336" t="str">
        <f>IF(Table2[[#This Row],[Manual Cat Value]]="",Table2[[#This Row],[Suggested Cat Value]],VLOOKUP(Table2[[#This Row],[Manual Cat Value]],Lookup!G:H,2,0))</f>
        <v>Groceries</v>
      </c>
      <c r="G13336" t="s">
        <v>28</v>
      </c>
      <c r="I13336" s="8"/>
      <c r="O13336" t="str">
        <f>LEFT(Table2[[#This Row],[Description]],75)</f>
        <v>Costco Gas Stations</v>
      </c>
    </row>
    <row r="13337" spans="1:15" hidden="1">
      <c r="A13337">
        <v>202505</v>
      </c>
      <c r="B13337" s="6">
        <v>45791</v>
      </c>
      <c r="C13337" t="s">
        <v>130</v>
      </c>
      <c r="D13337" t="s">
        <v>6330</v>
      </c>
      <c r="E13337">
        <v>42.98</v>
      </c>
      <c r="F13337" t="str">
        <f>IF(Table2[[#This Row],[Manual Cat Value]]="",Table2[[#This Row],[Suggested Cat Value]],VLOOKUP(Table2[[#This Row],[Manual Cat Value]],Lookup!G:H,2,0))</f>
        <v>Restaurants</v>
      </c>
      <c r="G13337" t="s">
        <v>26</v>
      </c>
      <c r="I13337" s="8"/>
      <c r="O13337" t="str">
        <f>LEFT(Table2[[#This Row],[Description]],75)</f>
        <v>AplPay TST* MY BURGEMINNETONKA          MN</v>
      </c>
    </row>
    <row r="13338" spans="1:15" hidden="1">
      <c r="A13338">
        <v>202503</v>
      </c>
      <c r="B13338" s="6">
        <v>45733</v>
      </c>
      <c r="C13338" t="s">
        <v>130</v>
      </c>
      <c r="D13338" t="s">
        <v>6331</v>
      </c>
      <c r="E13338">
        <v>42.91</v>
      </c>
      <c r="F13338" t="str">
        <f>IF(Table2[[#This Row],[Manual Cat Value]]="",Table2[[#This Row],[Suggested Cat Value]],VLOOKUP(Table2[[#This Row],[Manual Cat Value]],Lookup!G:H,2,0))</f>
        <v>Restaurants</v>
      </c>
      <c r="G13338" t="s">
        <v>26</v>
      </c>
      <c r="I13338" s="8"/>
      <c r="O13338" t="str">
        <f>LEFT(Table2[[#This Row],[Description]],75)</f>
        <v>AplPay AMC 9640 ONLILEAWOOD             KS</v>
      </c>
    </row>
    <row r="13339" spans="1:15" hidden="1">
      <c r="A13339">
        <v>202505</v>
      </c>
      <c r="B13339" s="6">
        <v>45804</v>
      </c>
      <c r="C13339" t="s">
        <v>3938</v>
      </c>
      <c r="D13339" t="s">
        <v>945</v>
      </c>
      <c r="E13339">
        <v>42.6</v>
      </c>
      <c r="F13339" t="str">
        <f>IF(Table2[[#This Row],[Manual Cat Value]]="",Table2[[#This Row],[Suggested Cat Value]],VLOOKUP(Table2[[#This Row],[Manual Cat Value]],Lookup!G:H,2,0))</f>
        <v>Groceries</v>
      </c>
      <c r="G13339" t="s">
        <v>28</v>
      </c>
      <c r="I13339" s="8"/>
      <c r="O13339" t="str">
        <f>LEFT(Table2[[#This Row],[Description]],75)</f>
        <v>Holiday Stationstores</v>
      </c>
    </row>
    <row r="13340" spans="1:15" hidden="1">
      <c r="A13340">
        <v>202505</v>
      </c>
      <c r="B13340" s="6">
        <v>45800</v>
      </c>
      <c r="C13340" t="s">
        <v>130</v>
      </c>
      <c r="D13340" t="s">
        <v>5898</v>
      </c>
      <c r="E13340">
        <v>42.28</v>
      </c>
      <c r="F13340" t="str">
        <f>IF(Table2[[#This Row],[Manual Cat Value]]="",Table2[[#This Row],[Suggested Cat Value]],VLOOKUP(Table2[[#This Row],[Manual Cat Value]],Lookup!G:H,2,0))</f>
        <v>Groceries</v>
      </c>
      <c r="G13340" t="s">
        <v>28</v>
      </c>
      <c r="I13340" s="8"/>
      <c r="O13340" t="str">
        <f>LEFT(Table2[[#This Row],[Description]],75)</f>
        <v>LAKESHORE MARKET &amp; MEXCELSIOR           MN</v>
      </c>
    </row>
    <row r="13341" spans="1:15" hidden="1">
      <c r="A13341">
        <v>202502</v>
      </c>
      <c r="B13341" s="6">
        <v>45697</v>
      </c>
      <c r="C13341" t="s">
        <v>130</v>
      </c>
      <c r="D13341" t="s">
        <v>5771</v>
      </c>
      <c r="E13341">
        <v>41.87</v>
      </c>
      <c r="F13341" t="str">
        <f>IF(Table2[[#This Row],[Manual Cat Value]]="",Table2[[#This Row],[Suggested Cat Value]],VLOOKUP(Table2[[#This Row],[Manual Cat Value]],Lookup!G:H,2,0))</f>
        <v>Restaurants</v>
      </c>
      <c r="G13341" t="s">
        <v>26</v>
      </c>
      <c r="I13341" s="8"/>
      <c r="O13341" t="str">
        <f>LEFT(Table2[[#This Row],[Description]],75)</f>
        <v>AplPay JIMMY JOHNS -CHANHASSEN          MN</v>
      </c>
    </row>
    <row r="13342" spans="1:15" hidden="1">
      <c r="A13342">
        <v>202501</v>
      </c>
      <c r="B13342" s="6">
        <v>45676</v>
      </c>
      <c r="C13342" t="s">
        <v>3938</v>
      </c>
      <c r="D13342" t="s">
        <v>4887</v>
      </c>
      <c r="E13342">
        <v>41.8</v>
      </c>
      <c r="F13342" t="str">
        <f>IF(Table2[[#This Row],[Manual Cat Value]]="",Table2[[#This Row],[Suggested Cat Value]],VLOOKUP(Table2[[#This Row],[Manual Cat Value]],Lookup!G:H,2,0))</f>
        <v>Groceries</v>
      </c>
      <c r="G13342" t="s">
        <v>28</v>
      </c>
      <c r="I13342" s="8"/>
      <c r="O13342" t="str">
        <f>LEFT(Table2[[#This Row],[Description]],75)</f>
        <v>Costco Gas Stations</v>
      </c>
    </row>
    <row r="13343" spans="1:15" hidden="1">
      <c r="A13343">
        <v>202501</v>
      </c>
      <c r="B13343" s="6">
        <v>45666</v>
      </c>
      <c r="C13343" t="s">
        <v>3938</v>
      </c>
      <c r="D13343" t="s">
        <v>4887</v>
      </c>
      <c r="E13343">
        <v>41.69</v>
      </c>
      <c r="F13343" t="str">
        <f>IF(Table2[[#This Row],[Manual Cat Value]]="",Table2[[#This Row],[Suggested Cat Value]],VLOOKUP(Table2[[#This Row],[Manual Cat Value]],Lookup!G:H,2,0))</f>
        <v>Groceries</v>
      </c>
      <c r="G13343" t="s">
        <v>28</v>
      </c>
      <c r="I13343" s="8"/>
      <c r="O13343" t="str">
        <f>LEFT(Table2[[#This Row],[Description]],75)</f>
        <v>Costco Gas Stations</v>
      </c>
    </row>
    <row r="13344" spans="1:15" hidden="1">
      <c r="A13344">
        <v>202505</v>
      </c>
      <c r="B13344" s="6">
        <v>45804</v>
      </c>
      <c r="C13344" t="s">
        <v>130</v>
      </c>
      <c r="D13344" t="s">
        <v>6183</v>
      </c>
      <c r="E13344">
        <v>41.64</v>
      </c>
      <c r="F13344" t="str">
        <f>IF(Table2[[#This Row],[Manual Cat Value]]="",Table2[[#This Row],[Suggested Cat Value]],VLOOKUP(Table2[[#This Row],[Manual Cat Value]],Lookup!G:H,2,0))</f>
        <v>Amazon</v>
      </c>
      <c r="G13344" t="s">
        <v>38</v>
      </c>
      <c r="I13344" s="8"/>
      <c r="O13344" t="str">
        <f>LEFT(Table2[[#This Row],[Description]],75)</f>
        <v>AMAZON MARKEPLACE NA PA</v>
      </c>
    </row>
    <row r="13345" spans="1:15" hidden="1">
      <c r="A13345">
        <v>202505</v>
      </c>
      <c r="B13345" s="6">
        <v>45791</v>
      </c>
      <c r="C13345" t="s">
        <v>3938</v>
      </c>
      <c r="D13345" t="s">
        <v>6332</v>
      </c>
      <c r="E13345">
        <v>41.49</v>
      </c>
      <c r="F13345" t="str">
        <f>IF(Table2[[#This Row],[Manual Cat Value]]="",Table2[[#This Row],[Suggested Cat Value]],VLOOKUP(Table2[[#This Row],[Manual Cat Value]],Lookup!G:H,2,0))</f>
        <v>Delete</v>
      </c>
      <c r="G13345" t="s">
        <v>9</v>
      </c>
      <c r="H13345" s="8" t="s">
        <v>9</v>
      </c>
      <c r="I13345" s="8"/>
      <c r="O13345" t="str">
        <f>LEFT(Table2[[#This Row],[Description]],75)</f>
        <v>5 Points Cork IE REF #XX4512F03ZFH</v>
      </c>
    </row>
    <row r="13346" spans="1:15" hidden="1">
      <c r="A13346">
        <v>202501</v>
      </c>
      <c r="B13346" s="6">
        <v>45686</v>
      </c>
      <c r="C13346" t="s">
        <v>3938</v>
      </c>
      <c r="D13346" t="s">
        <v>4887</v>
      </c>
      <c r="E13346">
        <v>41.32</v>
      </c>
      <c r="F13346" t="str">
        <f>IF(Table2[[#This Row],[Manual Cat Value]]="",Table2[[#This Row],[Suggested Cat Value]],VLOOKUP(Table2[[#This Row],[Manual Cat Value]],Lookup!G:H,2,0))</f>
        <v>Groceries</v>
      </c>
      <c r="G13346" t="s">
        <v>28</v>
      </c>
      <c r="I13346" s="8"/>
      <c r="O13346" t="str">
        <f>LEFT(Table2[[#This Row],[Description]],75)</f>
        <v>Costco Gas Stations</v>
      </c>
    </row>
    <row r="13347" spans="1:15" hidden="1">
      <c r="A13347">
        <v>202503</v>
      </c>
      <c r="B13347" s="6">
        <v>45726</v>
      </c>
      <c r="C13347" t="s">
        <v>130</v>
      </c>
      <c r="D13347" t="s">
        <v>6333</v>
      </c>
      <c r="E13347">
        <v>40.950000000000003</v>
      </c>
      <c r="F13347" t="str">
        <f>IF(Table2[[#This Row],[Manual Cat Value]]="",Table2[[#This Row],[Suggested Cat Value]],VLOOKUP(Table2[[#This Row],[Manual Cat Value]],Lookup!G:H,2,0))</f>
        <v>Delete</v>
      </c>
      <c r="G13347" t="s">
        <v>9</v>
      </c>
      <c r="I13347" s="8"/>
      <c r="O13347" t="str">
        <f>LEFT(Table2[[#This Row],[Description]],75)</f>
        <v>NATIONAL CAR R213023REDMOND             OR</v>
      </c>
    </row>
    <row r="13348" spans="1:15" hidden="1">
      <c r="A13348">
        <v>202504</v>
      </c>
      <c r="B13348" s="6">
        <v>45753</v>
      </c>
      <c r="C13348" t="s">
        <v>130</v>
      </c>
      <c r="D13348" t="s">
        <v>6334</v>
      </c>
      <c r="E13348">
        <v>40.14</v>
      </c>
      <c r="F13348" t="str">
        <f>IF(Table2[[#This Row],[Manual Cat Value]]="",Table2[[#This Row],[Suggested Cat Value]],VLOOKUP(Table2[[#This Row],[Manual Cat Value]],Lookup!G:H,2,0))</f>
        <v>Restaurants</v>
      </c>
      <c r="G13348" t="s">
        <v>26</v>
      </c>
      <c r="I13348" s="8"/>
      <c r="O13348" t="str">
        <f>LEFT(Table2[[#This Row],[Description]],75)</f>
        <v>VERIZON VICTRA MN STST LOUIS PARK       MN</v>
      </c>
    </row>
    <row r="13349" spans="1:15" hidden="1">
      <c r="A13349">
        <v>202501</v>
      </c>
      <c r="B13349" s="6">
        <v>45680</v>
      </c>
      <c r="C13349" t="s">
        <v>130</v>
      </c>
      <c r="D13349" t="s">
        <v>6335</v>
      </c>
      <c r="E13349">
        <v>40.049999999999997</v>
      </c>
      <c r="F13349" t="str">
        <f>IF(Table2[[#This Row],[Manual Cat Value]]="",Table2[[#This Row],[Suggested Cat Value]],VLOOKUP(Table2[[#This Row],[Manual Cat Value]],Lookup!G:H,2,0))</f>
        <v>Delete</v>
      </c>
      <c r="G13349" t="s">
        <v>9</v>
      </c>
      <c r="I13349" s="8"/>
      <c r="O13349" t="str">
        <f>LEFT(Table2[[#This Row],[Description]],75)</f>
        <v>CANNIBALE LANGE NIEZAMSTERDAM           NL</v>
      </c>
    </row>
    <row r="13350" spans="1:15" hidden="1">
      <c r="A13350">
        <v>202503</v>
      </c>
      <c r="B13350" s="6">
        <v>45743</v>
      </c>
      <c r="C13350" t="s">
        <v>3938</v>
      </c>
      <c r="D13350" t="s">
        <v>1275</v>
      </c>
      <c r="E13350">
        <v>39.07</v>
      </c>
      <c r="F13350" t="str">
        <f>IF(Table2[[#This Row],[Manual Cat Value]]="",Table2[[#This Row],[Suggested Cat Value]],VLOOKUP(Table2[[#This Row],[Manual Cat Value]],Lookup!G:H,2,0))</f>
        <v>Transportation</v>
      </c>
      <c r="G13350" t="s">
        <v>23</v>
      </c>
      <c r="I13350" s="8"/>
      <c r="O13350" t="str">
        <f>LEFT(Table2[[#This Row],[Description]],75)</f>
        <v>Mister Car Wash</v>
      </c>
    </row>
    <row r="13351" spans="1:15" hidden="1">
      <c r="A13351">
        <v>202503</v>
      </c>
      <c r="B13351" s="6">
        <v>45725</v>
      </c>
      <c r="C13351" t="s">
        <v>3938</v>
      </c>
      <c r="D13351" t="s">
        <v>6336</v>
      </c>
      <c r="E13351">
        <v>39</v>
      </c>
      <c r="F13351" t="str">
        <f>IF(Table2[[#This Row],[Manual Cat Value]]="",Table2[[#This Row],[Suggested Cat Value]],VLOOKUP(Table2[[#This Row],[Manual Cat Value]],Lookup!G:H,2,0))</f>
        <v>Restaurants</v>
      </c>
      <c r="G13351" t="s">
        <v>26</v>
      </c>
      <c r="I13351" s="8"/>
      <c r="O13351" t="str">
        <f>LEFT(Table2[[#This Row],[Description]],75)</f>
        <v>DA CONCH SHACK PROVIDENCIALETC REF #XX0222PJ5</v>
      </c>
    </row>
    <row r="13352" spans="1:15" hidden="1">
      <c r="A13352">
        <v>202505</v>
      </c>
      <c r="B13352" s="6">
        <v>45791</v>
      </c>
      <c r="C13352" t="s">
        <v>130</v>
      </c>
      <c r="D13352" t="s">
        <v>6183</v>
      </c>
      <c r="E13352">
        <v>38.99</v>
      </c>
      <c r="F13352" t="str">
        <f>IF(Table2[[#This Row],[Manual Cat Value]]="",Table2[[#This Row],[Suggested Cat Value]],VLOOKUP(Table2[[#This Row],[Manual Cat Value]],Lookup!G:H,2,0))</f>
        <v>Amazon</v>
      </c>
      <c r="G13352" t="s">
        <v>38</v>
      </c>
      <c r="I13352" s="8"/>
      <c r="O13352" t="str">
        <f>LEFT(Table2[[#This Row],[Description]],75)</f>
        <v>AMAZON MARKEPLACE NA PA</v>
      </c>
    </row>
    <row r="13353" spans="1:15" hidden="1">
      <c r="A13353">
        <v>202505</v>
      </c>
      <c r="B13353" s="6">
        <v>45781</v>
      </c>
      <c r="C13353" t="s">
        <v>130</v>
      </c>
      <c r="D13353" t="s">
        <v>6337</v>
      </c>
      <c r="E13353">
        <v>38.93</v>
      </c>
      <c r="F13353" t="str">
        <f>IF(Table2[[#This Row],[Manual Cat Value]]="",Table2[[#This Row],[Suggested Cat Value]],VLOOKUP(Table2[[#This Row],[Manual Cat Value]],Lookup!G:H,2,0))</f>
        <v>Shopping</v>
      </c>
      <c r="G13353" t="s">
        <v>21</v>
      </c>
      <c r="I13353" s="8"/>
      <c r="O13353" t="str">
        <f>LEFT(Table2[[#This Row],[Description]],75)</f>
        <v>SP VIVELAFETE       MIAMI               FL</v>
      </c>
    </row>
    <row r="13354" spans="1:15" hidden="1">
      <c r="A13354">
        <v>202505</v>
      </c>
      <c r="B13354" s="6">
        <v>45792</v>
      </c>
      <c r="C13354" t="s">
        <v>130</v>
      </c>
      <c r="D13354" t="s">
        <v>5827</v>
      </c>
      <c r="E13354">
        <v>38.74</v>
      </c>
      <c r="F13354" t="str">
        <f>IF(Table2[[#This Row],[Manual Cat Value]]="",Table2[[#This Row],[Suggested Cat Value]],VLOOKUP(Table2[[#This Row],[Manual Cat Value]],Lookup!G:H,2,0))</f>
        <v>Delete</v>
      </c>
      <c r="G13354" t="s">
        <v>9</v>
      </c>
      <c r="H13354" s="8" t="s">
        <v>9</v>
      </c>
      <c r="I13354" s="8"/>
      <c r="O13354" t="str">
        <f>LEFT(Table2[[#This Row],[Description]],75)</f>
        <v>THE DEAN HOTEL IE000CORK                IR</v>
      </c>
    </row>
    <row r="13355" spans="1:15" hidden="1">
      <c r="A13355">
        <v>202505</v>
      </c>
      <c r="B13355" s="6">
        <v>45800</v>
      </c>
      <c r="C13355" t="s">
        <v>130</v>
      </c>
      <c r="D13355" t="s">
        <v>6338</v>
      </c>
      <c r="E13355">
        <v>38.57</v>
      </c>
      <c r="F13355" t="str">
        <f>IF(Table2[[#This Row],[Manual Cat Value]]="",Table2[[#This Row],[Suggested Cat Value]],VLOOKUP(Table2[[#This Row],[Manual Cat Value]],Lookup!G:H,2,0))</f>
        <v>Shopping</v>
      </c>
      <c r="G13355" t="s">
        <v>26</v>
      </c>
      <c r="H13355" s="8" t="s">
        <v>36</v>
      </c>
      <c r="I13355" s="8"/>
      <c r="O13355" t="str">
        <f>LEFT(Table2[[#This Row],[Description]],75)</f>
        <v>AplPay CUB FOODS 163CUB.COM             MN</v>
      </c>
    </row>
    <row r="13356" spans="1:15" hidden="1">
      <c r="A13356">
        <v>202501</v>
      </c>
      <c r="B13356" s="6">
        <v>45681</v>
      </c>
      <c r="C13356" t="s">
        <v>130</v>
      </c>
      <c r="D13356" t="s">
        <v>5827</v>
      </c>
      <c r="E13356">
        <v>38.520000000000003</v>
      </c>
      <c r="F13356" t="str">
        <f>IF(Table2[[#This Row],[Manual Cat Value]]="",Table2[[#This Row],[Suggested Cat Value]],VLOOKUP(Table2[[#This Row],[Manual Cat Value]],Lookup!G:H,2,0))</f>
        <v>Delete</v>
      </c>
      <c r="G13356" t="s">
        <v>9</v>
      </c>
      <c r="I13356" s="8"/>
      <c r="O13356" t="str">
        <f>LEFT(Table2[[#This Row],[Description]],75)</f>
        <v>THE DEAN HOTEL IE000CORK                IR</v>
      </c>
    </row>
    <row r="13357" spans="1:15" hidden="1">
      <c r="A13357">
        <v>202505</v>
      </c>
      <c r="B13357" s="6">
        <v>45802</v>
      </c>
      <c r="C13357" t="s">
        <v>130</v>
      </c>
      <c r="D13357" t="s">
        <v>6339</v>
      </c>
      <c r="E13357">
        <v>38.03</v>
      </c>
      <c r="F13357" t="str">
        <f>IF(Table2[[#This Row],[Manual Cat Value]]="",Table2[[#This Row],[Suggested Cat Value]],VLOOKUP(Table2[[#This Row],[Manual Cat Value]],Lookup!G:H,2,0))</f>
        <v>Restaurants</v>
      </c>
      <c r="G13357" t="s">
        <v>26</v>
      </c>
      <c r="I13357" s="8"/>
      <c r="O13357" t="str">
        <f>LEFT(Table2[[#This Row],[Description]],75)</f>
        <v>AplPay GRAMPA TONYS LA POINTE           WI</v>
      </c>
    </row>
    <row r="13358" spans="1:15" hidden="1">
      <c r="A13358">
        <v>202502</v>
      </c>
      <c r="B13358" s="6">
        <v>45711</v>
      </c>
      <c r="C13358" t="s">
        <v>130</v>
      </c>
      <c r="D13358" t="s">
        <v>6183</v>
      </c>
      <c r="E13358">
        <v>37.97</v>
      </c>
      <c r="F13358" t="str">
        <f>IF(Table2[[#This Row],[Manual Cat Value]]="",Table2[[#This Row],[Suggested Cat Value]],VLOOKUP(Table2[[#This Row],[Manual Cat Value]],Lookup!G:H,2,0))</f>
        <v>Amazon</v>
      </c>
      <c r="G13358" t="s">
        <v>38</v>
      </c>
      <c r="I13358" s="8"/>
      <c r="O13358" t="str">
        <f>LEFT(Table2[[#This Row],[Description]],75)</f>
        <v>AMAZON MARKEPLACE NA PA</v>
      </c>
    </row>
    <row r="13359" spans="1:15" hidden="1">
      <c r="A13359">
        <v>202501</v>
      </c>
      <c r="B13359" s="6">
        <v>45659</v>
      </c>
      <c r="C13359" t="s">
        <v>130</v>
      </c>
      <c r="D13359" t="s">
        <v>6061</v>
      </c>
      <c r="E13359">
        <v>37.340000000000003</v>
      </c>
      <c r="F13359" t="str">
        <f>IF(Table2[[#This Row],[Manual Cat Value]]="",Table2[[#This Row],[Suggested Cat Value]],VLOOKUP(Table2[[#This Row],[Manual Cat Value]],Lookup!G:H,2,0))</f>
        <v>Shopping</v>
      </c>
      <c r="G13359" t="s">
        <v>21</v>
      </c>
      <c r="I13359" s="8"/>
      <c r="O13359" t="str">
        <f>LEFT(Table2[[#This Row],[Description]],75)</f>
        <v>AplPay LS PRIMP EXCEEXCELSIOR           MN</v>
      </c>
    </row>
    <row r="13360" spans="1:15" hidden="1">
      <c r="A13360">
        <v>202504</v>
      </c>
      <c r="B13360" s="6">
        <v>45758</v>
      </c>
      <c r="C13360" t="s">
        <v>130</v>
      </c>
      <c r="D13360" t="s">
        <v>6340</v>
      </c>
      <c r="E13360">
        <v>37.29</v>
      </c>
      <c r="F13360" t="str">
        <f>IF(Table2[[#This Row],[Manual Cat Value]]="",Table2[[#This Row],[Suggested Cat Value]],VLOOKUP(Table2[[#This Row],[Manual Cat Value]],Lookup!G:H,2,0))</f>
        <v>Entertainment</v>
      </c>
      <c r="G13360" t="s">
        <v>40</v>
      </c>
      <c r="I13360" s="8"/>
      <c r="O13360" t="str">
        <f>LEFT(Table2[[#This Row],[Description]],75)</f>
        <v>GOLF ZONE 5455000013877-8144102         MN</v>
      </c>
    </row>
    <row r="13361" spans="1:15" hidden="1">
      <c r="A13361">
        <v>202504</v>
      </c>
      <c r="B13361" s="6">
        <v>45777</v>
      </c>
      <c r="C13361" t="s">
        <v>130</v>
      </c>
      <c r="D13361" t="s">
        <v>5772</v>
      </c>
      <c r="E13361">
        <v>36.96</v>
      </c>
      <c r="F13361" t="str">
        <f>IF(Table2[[#This Row],[Manual Cat Value]]="",Table2[[#This Row],[Suggested Cat Value]],VLOOKUP(Table2[[#This Row],[Manual Cat Value]],Lookup!G:H,2,0))</f>
        <v>Restaurants</v>
      </c>
      <c r="G13361" t="s">
        <v>26</v>
      </c>
      <c r="I13361" s="8"/>
      <c r="O13361" t="str">
        <f>LEFT(Table2[[#This Row],[Description]],75)</f>
        <v>AplPay TST* MAYNARDSEXCELSIOR           MN</v>
      </c>
    </row>
    <row r="13362" spans="1:15" hidden="1">
      <c r="A13362">
        <v>202505</v>
      </c>
      <c r="B13362" s="6">
        <v>45781</v>
      </c>
      <c r="C13362" t="s">
        <v>3938</v>
      </c>
      <c r="D13362" t="s">
        <v>4887</v>
      </c>
      <c r="E13362">
        <v>36.75</v>
      </c>
      <c r="F13362" t="str">
        <f>IF(Table2[[#This Row],[Manual Cat Value]]="",Table2[[#This Row],[Suggested Cat Value]],VLOOKUP(Table2[[#This Row],[Manual Cat Value]],Lookup!G:H,2,0))</f>
        <v>Groceries</v>
      </c>
      <c r="G13362" t="s">
        <v>28</v>
      </c>
      <c r="I13362" s="8"/>
      <c r="O13362" t="str">
        <f>LEFT(Table2[[#This Row],[Description]],75)</f>
        <v>Costco Gas Stations</v>
      </c>
    </row>
    <row r="13363" spans="1:15" hidden="1">
      <c r="A13363">
        <v>202501</v>
      </c>
      <c r="B13363" s="6">
        <v>45683</v>
      </c>
      <c r="C13363" t="s">
        <v>3938</v>
      </c>
      <c r="D13363" t="s">
        <v>2078</v>
      </c>
      <c r="E13363">
        <v>36.35</v>
      </c>
      <c r="F13363" t="str">
        <f>IF(Table2[[#This Row],[Manual Cat Value]]="",Table2[[#This Row],[Suggested Cat Value]],VLOOKUP(Table2[[#This Row],[Manual Cat Value]],Lookup!G:H,2,0))</f>
        <v>Transportation</v>
      </c>
      <c r="G13363" t="s">
        <v>23</v>
      </c>
      <c r="I13363" s="8"/>
      <c r="O13363" t="str">
        <f>LEFT(Table2[[#This Row],[Description]],75)</f>
        <v>Uber</v>
      </c>
    </row>
    <row r="13364" spans="1:15" hidden="1">
      <c r="A13364">
        <v>202503</v>
      </c>
      <c r="B13364" s="6">
        <v>45735</v>
      </c>
      <c r="C13364" t="s">
        <v>3938</v>
      </c>
      <c r="D13364" t="s">
        <v>6341</v>
      </c>
      <c r="E13364">
        <v>36.15</v>
      </c>
      <c r="F13364" t="str">
        <f>IF(Table2[[#This Row],[Manual Cat Value]]="",Table2[[#This Row],[Suggested Cat Value]],VLOOKUP(Table2[[#This Row],[Manual Cat Value]],Lookup!G:H,2,0))</f>
        <v>Delete</v>
      </c>
      <c r="G13364" t="s">
        <v>9</v>
      </c>
      <c r="I13364" s="8"/>
      <c r="O13364" t="str">
        <f>LEFT(Table2[[#This Row],[Description]],75)</f>
        <v>5 Points Cork IE REF #XX9162D12AR9ADF</v>
      </c>
    </row>
    <row r="13365" spans="1:15" hidden="1">
      <c r="A13365">
        <v>202505</v>
      </c>
      <c r="B13365" s="6">
        <v>45794</v>
      </c>
      <c r="C13365" t="s">
        <v>130</v>
      </c>
      <c r="D13365" t="s">
        <v>6342</v>
      </c>
      <c r="E13365">
        <v>35.83</v>
      </c>
      <c r="F13365" t="str">
        <f>IF(Table2[[#This Row],[Manual Cat Value]]="",Table2[[#This Row],[Suggested Cat Value]],VLOOKUP(Table2[[#This Row],[Manual Cat Value]],Lookup!G:H,2,0))</f>
        <v>Restaurants</v>
      </c>
      <c r="G13365" t="s">
        <v>26</v>
      </c>
      <c r="I13365" s="8"/>
      <c r="O13365" t="str">
        <f>LEFT(Table2[[#This Row],[Description]],75)</f>
        <v>DNCSS ALLIANZ FIELD ST. PAUL            MN</v>
      </c>
    </row>
    <row r="13366" spans="1:15" hidden="1">
      <c r="A13366">
        <v>202503</v>
      </c>
      <c r="B13366" s="6">
        <v>45726</v>
      </c>
      <c r="C13366" t="s">
        <v>130</v>
      </c>
      <c r="D13366" t="s">
        <v>6333</v>
      </c>
      <c r="E13366">
        <v>35.61</v>
      </c>
      <c r="F13366" t="str">
        <f>IF(Table2[[#This Row],[Manual Cat Value]]="",Table2[[#This Row],[Suggested Cat Value]],VLOOKUP(Table2[[#This Row],[Manual Cat Value]],Lookup!G:H,2,0))</f>
        <v>Delete</v>
      </c>
      <c r="G13366" t="s">
        <v>9</v>
      </c>
      <c r="I13366" s="8"/>
      <c r="O13366" t="str">
        <f>LEFT(Table2[[#This Row],[Description]],75)</f>
        <v>NATIONAL CAR R213023REDMOND             OR</v>
      </c>
    </row>
    <row r="13367" spans="1:15" hidden="1">
      <c r="A13367">
        <v>202504</v>
      </c>
      <c r="B13367" s="6">
        <v>45766</v>
      </c>
      <c r="C13367" t="s">
        <v>130</v>
      </c>
      <c r="D13367" t="s">
        <v>6343</v>
      </c>
      <c r="E13367">
        <v>35.5</v>
      </c>
      <c r="F13367" t="str">
        <f>IF(Table2[[#This Row],[Manual Cat Value]]="",Table2[[#This Row],[Suggested Cat Value]],VLOOKUP(Table2[[#This Row],[Manual Cat Value]],Lookup!G:H,2,0))</f>
        <v>Groceries</v>
      </c>
      <c r="G13367" t="s">
        <v>28</v>
      </c>
      <c r="I13367" s="8"/>
      <c r="O13367" t="str">
        <f>LEFT(Table2[[#This Row],[Description]],75)</f>
        <v>MACKENTHUN S MEATS &amp;SAINT BONIFAC       MN</v>
      </c>
    </row>
    <row r="13368" spans="1:15" hidden="1">
      <c r="A13368">
        <v>202505</v>
      </c>
      <c r="B13368" s="6">
        <v>45787</v>
      </c>
      <c r="C13368" t="s">
        <v>130</v>
      </c>
      <c r="D13368" t="s">
        <v>6323</v>
      </c>
      <c r="E13368">
        <v>35.21</v>
      </c>
      <c r="F13368" t="str">
        <f>IF(Table2[[#This Row],[Manual Cat Value]]="",Table2[[#This Row],[Suggested Cat Value]],VLOOKUP(Table2[[#This Row],[Manual Cat Value]],Lookup!G:H,2,0))</f>
        <v>House Maintenance</v>
      </c>
      <c r="G13368" t="s">
        <v>26</v>
      </c>
      <c r="H13368" s="8" t="s">
        <v>1</v>
      </c>
      <c r="I13368" s="8"/>
      <c r="O13368" t="str">
        <f>LEFT(Table2[[#This Row],[Description]],75)</f>
        <v>AplPay THE HOME DEPOEDEN PRAIRIE        MN</v>
      </c>
    </row>
    <row r="13369" spans="1:15" hidden="1">
      <c r="A13369">
        <v>202501</v>
      </c>
      <c r="B13369" s="6">
        <v>45662</v>
      </c>
      <c r="C13369" t="s">
        <v>130</v>
      </c>
      <c r="D13369" t="s">
        <v>6344</v>
      </c>
      <c r="E13369">
        <v>35</v>
      </c>
      <c r="F13369" t="str">
        <f>IF(Table2[[#This Row],[Manual Cat Value]]="",Table2[[#This Row],[Suggested Cat Value]],VLOOKUP(Table2[[#This Row],[Manual Cat Value]],Lookup!G:H,2,0))</f>
        <v>Shopping</v>
      </c>
      <c r="G13369" t="s">
        <v>21</v>
      </c>
      <c r="I13369" s="8"/>
      <c r="O13369" t="str">
        <f>LEFT(Table2[[#This Row],[Description]],75)</f>
        <v>US LACROSSE, INC    BALTIMORE           MA</v>
      </c>
    </row>
    <row r="13370" spans="1:15" hidden="1">
      <c r="A13370">
        <v>202501</v>
      </c>
      <c r="B13370" s="6">
        <v>45662</v>
      </c>
      <c r="C13370" t="s">
        <v>130</v>
      </c>
      <c r="D13370" t="s">
        <v>6344</v>
      </c>
      <c r="E13370">
        <v>35</v>
      </c>
      <c r="F13370" t="str">
        <f>IF(Table2[[#This Row],[Manual Cat Value]]="",Table2[[#This Row],[Suggested Cat Value]],VLOOKUP(Table2[[#This Row],[Manual Cat Value]],Lookup!G:H,2,0))</f>
        <v>Shopping</v>
      </c>
      <c r="G13370" t="s">
        <v>21</v>
      </c>
      <c r="I13370" s="8"/>
      <c r="O13370" t="str">
        <f>LEFT(Table2[[#This Row],[Description]],75)</f>
        <v>US LACROSSE, INC    BALTIMORE           MA</v>
      </c>
    </row>
    <row r="13371" spans="1:15" hidden="1">
      <c r="A13371">
        <v>202505</v>
      </c>
      <c r="B13371" s="6">
        <v>45789</v>
      </c>
      <c r="C13371" t="s">
        <v>130</v>
      </c>
      <c r="D13371" t="s">
        <v>6345</v>
      </c>
      <c r="E13371">
        <v>34.56</v>
      </c>
      <c r="F13371" t="str">
        <f>IF(Table2[[#This Row],[Manual Cat Value]]="",Table2[[#This Row],[Suggested Cat Value]],VLOOKUP(Table2[[#This Row],[Manual Cat Value]],Lookup!G:H,2,0))</f>
        <v>Delete</v>
      </c>
      <c r="G13371" t="s">
        <v>26</v>
      </c>
      <c r="H13371" s="8" t="s">
        <v>9</v>
      </c>
      <c r="I13371" s="8"/>
      <c r="O13371" t="str">
        <f>LEFT(Table2[[#This Row],[Description]],75)</f>
        <v>HMSHOST SCHIPHOL AIRSCHIPHOL            NL</v>
      </c>
    </row>
    <row r="13372" spans="1:15" hidden="1">
      <c r="A13372">
        <v>202503</v>
      </c>
      <c r="B13372" s="6">
        <v>45727</v>
      </c>
      <c r="C13372" t="s">
        <v>3938</v>
      </c>
      <c r="D13372" t="s">
        <v>6346</v>
      </c>
      <c r="E13372">
        <v>34</v>
      </c>
      <c r="F13372" t="str">
        <f>IF(Table2[[#This Row],[Manual Cat Value]]="",Table2[[#This Row],[Suggested Cat Value]],VLOOKUP(Table2[[#This Row],[Manual Cat Value]],Lookup!G:H,2,0))</f>
        <v>Restaurants</v>
      </c>
      <c r="G13372" t="s">
        <v>26</v>
      </c>
      <c r="I13372" s="8"/>
      <c r="O13372" t="str">
        <f>LEFT(Table2[[#This Row],[Description]],75)</f>
        <v>SQ *THEATRE REFRESHMENT CNew York NY REF #XX2535BR640B</v>
      </c>
    </row>
    <row r="13373" spans="1:15" hidden="1">
      <c r="A13373">
        <v>202505</v>
      </c>
      <c r="B13373" s="6">
        <v>45792</v>
      </c>
      <c r="C13373" t="s">
        <v>130</v>
      </c>
      <c r="D13373" t="s">
        <v>5827</v>
      </c>
      <c r="E13373">
        <v>33.130000000000003</v>
      </c>
      <c r="F13373" t="str">
        <f>IF(Table2[[#This Row],[Manual Cat Value]]="",Table2[[#This Row],[Suggested Cat Value]],VLOOKUP(Table2[[#This Row],[Manual Cat Value]],Lookup!G:H,2,0))</f>
        <v>Delete</v>
      </c>
      <c r="G13373" t="s">
        <v>9</v>
      </c>
      <c r="H13373" s="8" t="s">
        <v>9</v>
      </c>
      <c r="I13373" s="8"/>
      <c r="O13373" t="str">
        <f>LEFT(Table2[[#This Row],[Description]],75)</f>
        <v>THE DEAN HOTEL IE000CORK                IR</v>
      </c>
    </row>
    <row r="13374" spans="1:15" hidden="1">
      <c r="A13374">
        <v>202502</v>
      </c>
      <c r="B13374" s="6">
        <v>45697</v>
      </c>
      <c r="C13374" t="s">
        <v>130</v>
      </c>
      <c r="D13374" t="s">
        <v>5788</v>
      </c>
      <c r="E13374">
        <v>32.96</v>
      </c>
      <c r="F13374" t="str">
        <f>IF(Table2[[#This Row],[Manual Cat Value]]="",Table2[[#This Row],[Suggested Cat Value]],VLOOKUP(Table2[[#This Row],[Manual Cat Value]],Lookup!G:H,2,0))</f>
        <v>Groceries</v>
      </c>
      <c r="G13374" t="s">
        <v>28</v>
      </c>
      <c r="I13374" s="8"/>
      <c r="O13374" t="str">
        <f>LEFT(Table2[[#This Row],[Description]],75)</f>
        <v>CUB FOODS #1636 0000SHOREWOOD           MN</v>
      </c>
    </row>
    <row r="13375" spans="1:15" hidden="1">
      <c r="A13375">
        <v>202504</v>
      </c>
      <c r="B13375" s="6">
        <v>45755</v>
      </c>
      <c r="C13375" t="s">
        <v>130</v>
      </c>
      <c r="D13375" t="s">
        <v>5943</v>
      </c>
      <c r="E13375">
        <v>32.07</v>
      </c>
      <c r="F13375" t="str">
        <f>IF(Table2[[#This Row],[Manual Cat Value]]="",Table2[[#This Row],[Suggested Cat Value]],VLOOKUP(Table2[[#This Row],[Manual Cat Value]],Lookup!G:H,2,0))</f>
        <v>Restaurants</v>
      </c>
      <c r="G13375" t="s">
        <v>26</v>
      </c>
      <c r="I13375" s="8"/>
      <c r="O13375" t="str">
        <f>LEFT(Table2[[#This Row],[Description]],75)</f>
        <v>TST* DUKE'S ON 7 300MINNETONKA          MN</v>
      </c>
    </row>
    <row r="13376" spans="1:15" hidden="1">
      <c r="A13376">
        <v>202503</v>
      </c>
      <c r="B13376" s="6">
        <v>45720</v>
      </c>
      <c r="C13376" t="s">
        <v>130</v>
      </c>
      <c r="D13376" t="s">
        <v>6347</v>
      </c>
      <c r="E13376">
        <v>32</v>
      </c>
      <c r="F13376" t="str">
        <f>IF(Table2[[#This Row],[Manual Cat Value]]="",Table2[[#This Row],[Suggested Cat Value]],VLOOKUP(Table2[[#This Row],[Manual Cat Value]],Lookup!G:H,2,0))</f>
        <v>Shopping</v>
      </c>
      <c r="G13376" t="s">
        <v>21</v>
      </c>
      <c r="I13376" s="8"/>
      <c r="O13376" t="str">
        <f>LEFT(Table2[[#This Row],[Description]],75)</f>
        <v>GOLDSMITH TCI       PROVIDEN</v>
      </c>
    </row>
    <row r="13377" spans="1:15" hidden="1">
      <c r="A13377">
        <v>202504</v>
      </c>
      <c r="B13377" s="6">
        <v>45760</v>
      </c>
      <c r="C13377" t="s">
        <v>3938</v>
      </c>
      <c r="D13377" t="s">
        <v>6348</v>
      </c>
      <c r="E13377">
        <v>32</v>
      </c>
      <c r="F13377" t="str">
        <f>IF(Table2[[#This Row],[Manual Cat Value]]="",Table2[[#This Row],[Suggested Cat Value]],VLOOKUP(Table2[[#This Row],[Manual Cat Value]],Lookup!G:H,2,0))</f>
        <v>Restaurants</v>
      </c>
      <c r="G13377" t="s">
        <v>26</v>
      </c>
      <c r="I13377" s="8"/>
      <c r="O13377" t="str">
        <f>LEFT(Table2[[#This Row],[Description]],75)</f>
        <v>SQ *ORDWAY CENTER FOR THESaint Paul MN REF #XX1539DN5</v>
      </c>
    </row>
    <row r="13378" spans="1:15" hidden="1">
      <c r="A13378">
        <v>202503</v>
      </c>
      <c r="B13378" s="6">
        <v>45724</v>
      </c>
      <c r="C13378" t="s">
        <v>130</v>
      </c>
      <c r="D13378" t="s">
        <v>6349</v>
      </c>
      <c r="E13378">
        <v>31.98</v>
      </c>
      <c r="F13378" t="str">
        <f>IF(Table2[[#This Row],[Manual Cat Value]]="",Table2[[#This Row],[Suggested Cat Value]],VLOOKUP(Table2[[#This Row],[Manual Cat Value]],Lookup!G:H,2,0))</f>
        <v>Restaurants</v>
      </c>
      <c r="G13378" t="s">
        <v>26</v>
      </c>
      <c r="I13378" s="8"/>
      <c r="O13378" t="str">
        <f>LEFT(Table2[[#This Row],[Description]],75)</f>
        <v>TST* MIYAGI RAMEN 00BEND                OR</v>
      </c>
    </row>
    <row r="13379" spans="1:15" hidden="1">
      <c r="A13379">
        <v>202502</v>
      </c>
      <c r="B13379" s="6">
        <v>45706</v>
      </c>
      <c r="C13379" t="s">
        <v>130</v>
      </c>
      <c r="D13379" t="s">
        <v>6350</v>
      </c>
      <c r="E13379">
        <v>31.41</v>
      </c>
      <c r="F13379" t="str">
        <f>IF(Table2[[#This Row],[Manual Cat Value]]="",Table2[[#This Row],[Suggested Cat Value]],VLOOKUP(Table2[[#This Row],[Manual Cat Value]],Lookup!G:H,2,0))</f>
        <v>House Maintenance</v>
      </c>
      <c r="G13379" t="s">
        <v>26</v>
      </c>
      <c r="H13379" s="8" t="s">
        <v>1</v>
      </c>
      <c r="I13379" s="8"/>
      <c r="O13379" t="str">
        <f>LEFT(Table2[[#This Row],[Description]],75)</f>
        <v>AplPay HOMEDEPOT.COM800-430-3376        GA</v>
      </c>
    </row>
    <row r="13380" spans="1:15" hidden="1">
      <c r="A13380">
        <v>202501</v>
      </c>
      <c r="B13380" s="6">
        <v>45681</v>
      </c>
      <c r="C13380" t="s">
        <v>3938</v>
      </c>
      <c r="D13380" t="s">
        <v>6351</v>
      </c>
      <c r="E13380">
        <v>31.33</v>
      </c>
      <c r="F13380" t="str">
        <f>IF(Table2[[#This Row],[Manual Cat Value]]="",Table2[[#This Row],[Suggested Cat Value]],VLOOKUP(Table2[[#This Row],[Manual Cat Value]],Lookup!G:H,2,0))</f>
        <v>Amazon</v>
      </c>
      <c r="G13380" t="s">
        <v>38</v>
      </c>
      <c r="I13380" s="8"/>
      <c r="O13380" t="str">
        <f>LEFT(Table2[[#This Row],[Description]],75)</f>
        <v>AMAZON MARK* ZG3V552U0 HTTPSAMAZON.CWA REF #XX1340R0000EFHA</v>
      </c>
    </row>
    <row r="13381" spans="1:15" hidden="1">
      <c r="A13381">
        <v>202505</v>
      </c>
      <c r="B13381" s="6">
        <v>45778</v>
      </c>
      <c r="C13381" t="s">
        <v>130</v>
      </c>
      <c r="D13381" t="s">
        <v>6352</v>
      </c>
      <c r="E13381">
        <v>31.13</v>
      </c>
      <c r="F13381" t="str">
        <f>IF(Table2[[#This Row],[Manual Cat Value]]="",Table2[[#This Row],[Suggested Cat Value]],VLOOKUP(Table2[[#This Row],[Manual Cat Value]],Lookup!G:H,2,0))</f>
        <v>Restaurants</v>
      </c>
      <c r="G13381" t="s">
        <v>26</v>
      </c>
      <c r="I13381" s="8"/>
      <c r="O13381" t="str">
        <f>LEFT(Table2[[#This Row],[Description]],75)</f>
        <v>SUBWAY 71167        ST. BONIFACIUS      MN</v>
      </c>
    </row>
    <row r="13382" spans="1:15" hidden="1">
      <c r="A13382">
        <v>202503</v>
      </c>
      <c r="B13382" s="6">
        <v>45734</v>
      </c>
      <c r="C13382" t="s">
        <v>3938</v>
      </c>
      <c r="D13382" t="s">
        <v>1267</v>
      </c>
      <c r="E13382">
        <v>31</v>
      </c>
      <c r="F13382" t="str">
        <f>IF(Table2[[#This Row],[Manual Cat Value]]="",Table2[[#This Row],[Suggested Cat Value]],VLOOKUP(Table2[[#This Row],[Manual Cat Value]],Lookup!G:H,2,0))</f>
        <v>Entertainment</v>
      </c>
      <c r="G13382" t="s">
        <v>40</v>
      </c>
      <c r="I13382" s="8"/>
      <c r="O13382" t="str">
        <f>LEFT(Table2[[#This Row],[Description]],75)</f>
        <v>Minnesota State Parks</v>
      </c>
    </row>
    <row r="13383" spans="1:15" hidden="1">
      <c r="A13383">
        <v>202505</v>
      </c>
      <c r="B13383" s="6">
        <v>45781</v>
      </c>
      <c r="C13383" t="s">
        <v>3938</v>
      </c>
      <c r="D13383" t="s">
        <v>6353</v>
      </c>
      <c r="E13383">
        <v>30.99</v>
      </c>
      <c r="F13383" t="str">
        <f>IF(Table2[[#This Row],[Manual Cat Value]]="",Table2[[#This Row],[Suggested Cat Value]],VLOOKUP(Table2[[#This Row],[Manual Cat Value]],Lookup!G:H,2,0))</f>
        <v>Restaurants</v>
      </c>
      <c r="G13383" t="s">
        <v>26</v>
      </c>
      <c r="I13383" s="8"/>
      <c r="O13383" t="str">
        <f>LEFT(Table2[[#This Row],[Description]],75)</f>
        <v>TST* GIBSON STREET BAR AUSTIN TX REF #XX7463S5SJ31V11</v>
      </c>
    </row>
    <row r="13384" spans="1:15" hidden="1">
      <c r="A13384">
        <v>202505</v>
      </c>
      <c r="B13384" s="6">
        <v>45805</v>
      </c>
      <c r="C13384" t="s">
        <v>130</v>
      </c>
      <c r="D13384" t="s">
        <v>6354</v>
      </c>
      <c r="E13384">
        <v>30.81</v>
      </c>
      <c r="F13384" t="str">
        <f>IF(Table2[[#This Row],[Manual Cat Value]]="",Table2[[#This Row],[Suggested Cat Value]],VLOOKUP(Table2[[#This Row],[Manual Cat Value]],Lookup!G:H,2,0))</f>
        <v>Restaurants</v>
      </c>
      <c r="G13384" t="s">
        <v>26</v>
      </c>
      <c r="I13384" s="8"/>
      <c r="O13384" t="str">
        <f>LEFT(Table2[[#This Row],[Description]],75)</f>
        <v>AplPay JIMMY JOHNS -MINNETONKA          MN</v>
      </c>
    </row>
    <row r="13385" spans="1:15" hidden="1">
      <c r="A13385">
        <v>202504</v>
      </c>
      <c r="B13385" s="6">
        <v>45754</v>
      </c>
      <c r="C13385" t="s">
        <v>130</v>
      </c>
      <c r="D13385" t="s">
        <v>6206</v>
      </c>
      <c r="E13385">
        <v>30.31</v>
      </c>
      <c r="F13385" t="str">
        <f>IF(Table2[[#This Row],[Manual Cat Value]]="",Table2[[#This Row],[Suggested Cat Value]],VLOOKUP(Table2[[#This Row],[Manual Cat Value]],Lookup!G:H,2,0))</f>
        <v>Amazon</v>
      </c>
      <c r="G13385" t="s">
        <v>38</v>
      </c>
      <c r="I13385" s="8"/>
      <c r="O13385" t="str">
        <f>LEFT(Table2[[#This Row],[Description]],75)</f>
        <v>AMAZON.COM          AMZN.COM/BILL       WA</v>
      </c>
    </row>
    <row r="13386" spans="1:15" hidden="1">
      <c r="A13386">
        <v>202501</v>
      </c>
      <c r="B13386" s="6">
        <v>45681</v>
      </c>
      <c r="C13386" t="s">
        <v>130</v>
      </c>
      <c r="D13386" t="s">
        <v>5795</v>
      </c>
      <c r="E13386">
        <v>30.2</v>
      </c>
      <c r="F13386" t="str">
        <f>IF(Table2[[#This Row],[Manual Cat Value]]="",Table2[[#This Row],[Suggested Cat Value]],VLOOKUP(Table2[[#This Row],[Manual Cat Value]],Lookup!G:H,2,0))</f>
        <v>Delete</v>
      </c>
      <c r="G13386" t="s">
        <v>9</v>
      </c>
      <c r="I13386" s="8"/>
      <c r="O13386" t="str">
        <f>LEFT(Table2[[#This Row],[Description]],75)</f>
        <v>SLACK T074985K686   SAN FRANCISCO       CA</v>
      </c>
    </row>
    <row r="13387" spans="1:15" hidden="1">
      <c r="A13387">
        <v>202504</v>
      </c>
      <c r="B13387" s="6">
        <v>45763</v>
      </c>
      <c r="C13387" t="s">
        <v>3938</v>
      </c>
      <c r="D13387" t="s">
        <v>6355</v>
      </c>
      <c r="E13387">
        <v>30.17</v>
      </c>
      <c r="F13387" t="str">
        <f>IF(Table2[[#This Row],[Manual Cat Value]]="",Table2[[#This Row],[Suggested Cat Value]],VLOOKUP(Table2[[#This Row],[Manual Cat Value]],Lookup!G:H,2,0))</f>
        <v>Amazon</v>
      </c>
      <c r="G13387" t="s">
        <v>38</v>
      </c>
      <c r="I13387" s="8"/>
      <c r="O13387" t="str">
        <f>LEFT(Table2[[#This Row],[Description]],75)</f>
        <v>General Store</v>
      </c>
    </row>
    <row r="13388" spans="1:15" hidden="1">
      <c r="A13388">
        <v>202501</v>
      </c>
      <c r="B13388" s="6">
        <v>45670</v>
      </c>
      <c r="C13388" t="s">
        <v>130</v>
      </c>
      <c r="D13388" t="s">
        <v>6356</v>
      </c>
      <c r="E13388">
        <v>30</v>
      </c>
      <c r="F13388" t="str">
        <f>IF(Table2[[#This Row],[Manual Cat Value]]="",Table2[[#This Row],[Suggested Cat Value]],VLOOKUP(Table2[[#This Row],[Manual Cat Value]],Lookup!G:H,2,0))</f>
        <v>Restaurants</v>
      </c>
      <c r="G13388" t="s">
        <v>26</v>
      </c>
      <c r="I13388" s="8"/>
      <c r="O13388" t="str">
        <f>LEFT(Table2[[#This Row],[Description]],75)</f>
        <v>AplPay TST* BUCK '54BURNSVILLE          MN</v>
      </c>
    </row>
    <row r="13389" spans="1:15" hidden="1">
      <c r="A13389">
        <v>202502</v>
      </c>
      <c r="B13389" s="6">
        <v>45695</v>
      </c>
      <c r="C13389" t="s">
        <v>130</v>
      </c>
      <c r="D13389" t="s">
        <v>6305</v>
      </c>
      <c r="E13389">
        <v>30</v>
      </c>
      <c r="F13389" t="str">
        <f>IF(Table2[[#This Row],[Manual Cat Value]]="",Table2[[#This Row],[Suggested Cat Value]],VLOOKUP(Table2[[#This Row],[Manual Cat Value]],Lookup!G:H,2,0))</f>
        <v>House Maintenance</v>
      </c>
      <c r="G13389" t="s">
        <v>2</v>
      </c>
      <c r="I13389" s="8"/>
      <c r="O13389" t="str">
        <f>LEFT(Table2[[#This Row],[Description]],75)</f>
        <v>ZENOTIUSA_POS*KIDS HCHANHASSEN          MN</v>
      </c>
    </row>
    <row r="13390" spans="1:15" hidden="1">
      <c r="A13390">
        <v>202504</v>
      </c>
      <c r="B13390" s="6">
        <v>45758</v>
      </c>
      <c r="C13390" t="s">
        <v>130</v>
      </c>
      <c r="D13390" t="s">
        <v>6357</v>
      </c>
      <c r="E13390">
        <v>30</v>
      </c>
      <c r="F13390" t="str">
        <f>IF(Table2[[#This Row],[Manual Cat Value]]="",Table2[[#This Row],[Suggested Cat Value]],VLOOKUP(Table2[[#This Row],[Manual Cat Value]],Lookup!G:H,2,0))</f>
        <v>Shopping</v>
      </c>
      <c r="G13390" t="s">
        <v>21</v>
      </c>
      <c r="I13390" s="8"/>
      <c r="O13390" t="str">
        <f>LEFT(Table2[[#This Row],[Description]],75)</f>
        <v>SP NORTHSTAR-APPARELHOPKINS             MN</v>
      </c>
    </row>
    <row r="13391" spans="1:15" hidden="1">
      <c r="A13391">
        <v>202505</v>
      </c>
      <c r="B13391" s="6">
        <v>45782</v>
      </c>
      <c r="C13391" t="s">
        <v>2519</v>
      </c>
      <c r="D13391" t="s">
        <v>1958</v>
      </c>
      <c r="E13391">
        <v>30</v>
      </c>
      <c r="F13391" t="str">
        <f>IF(Table2[[#This Row],[Manual Cat Value]]="",Table2[[#This Row],[Suggested Cat Value]],VLOOKUP(Table2[[#This Row],[Manual Cat Value]],Lookup!G:H,2,0))</f>
        <v>Shopping</v>
      </c>
      <c r="G13391" t="s">
        <v>21</v>
      </c>
      <c r="I13391" s="8"/>
      <c r="O13391" t="str">
        <f>LEFT(Table2[[#This Row],[Description]],75)</f>
        <v>Transfer to Venmo</v>
      </c>
    </row>
    <row r="13392" spans="1:15" hidden="1">
      <c r="A13392">
        <v>202504</v>
      </c>
      <c r="B13392" s="6">
        <v>45769</v>
      </c>
      <c r="C13392" t="s">
        <v>2519</v>
      </c>
      <c r="D13392" t="s">
        <v>6358</v>
      </c>
      <c r="E13392">
        <v>400</v>
      </c>
      <c r="F13392" t="str">
        <f>IF(Table2[[#This Row],[Manual Cat Value]]="",Table2[[#This Row],[Suggested Cat Value]],VLOOKUP(Table2[[#This Row],[Manual Cat Value]],Lookup!G:H,2,0))</f>
        <v>Day Care</v>
      </c>
      <c r="G13392" t="s">
        <v>20</v>
      </c>
      <c r="I13392" s="8"/>
      <c r="O13392" t="str">
        <f>LEFT(Table2[[#This Row],[Description]],75)</f>
        <v>Withdrawal ACH Mis Amigos Presc TYPE: ID: XX7393 NAME: BCU CO: Mis Amigos P</v>
      </c>
    </row>
    <row r="13393" spans="1:15" hidden="1">
      <c r="A13393">
        <v>202504</v>
      </c>
      <c r="B13393" s="6">
        <v>45750</v>
      </c>
      <c r="C13393" t="s">
        <v>130</v>
      </c>
      <c r="D13393" t="s">
        <v>6359</v>
      </c>
      <c r="E13393">
        <v>29.82</v>
      </c>
      <c r="F13393" t="str">
        <f>IF(Table2[[#This Row],[Manual Cat Value]]="",Table2[[#This Row],[Suggested Cat Value]],VLOOKUP(Table2[[#This Row],[Manual Cat Value]],Lookup!G:H,2,0))</f>
        <v>Restaurants</v>
      </c>
      <c r="G13393" t="s">
        <v>26</v>
      </c>
      <c r="I13393" s="8"/>
      <c r="O13393" t="str">
        <f>LEFT(Table2[[#This Row],[Description]],75)</f>
        <v>AplPay WEASLEYS QUALORLANDO             FL</v>
      </c>
    </row>
    <row r="13394" spans="1:15" hidden="1">
      <c r="A13394">
        <v>202503</v>
      </c>
      <c r="B13394" s="6">
        <v>45722</v>
      </c>
      <c r="C13394" t="s">
        <v>130</v>
      </c>
      <c r="D13394" t="s">
        <v>6360</v>
      </c>
      <c r="E13394">
        <v>29.64</v>
      </c>
      <c r="F13394" t="str">
        <f>IF(Table2[[#This Row],[Manual Cat Value]]="",Table2[[#This Row],[Suggested Cat Value]],VLOOKUP(Table2[[#This Row],[Manual Cat Value]],Lookup!G:H,2,0))</f>
        <v>Shopping</v>
      </c>
      <c r="G13394" t="s">
        <v>21</v>
      </c>
      <c r="I13394" s="8"/>
      <c r="O13394" t="str">
        <f>LEFT(Table2[[#This Row],[Description]],75)</f>
        <v>READY TO GO         PROVIDENCIALES      TC</v>
      </c>
    </row>
    <row r="13395" spans="1:15" hidden="1">
      <c r="A13395">
        <v>202503</v>
      </c>
      <c r="B13395" s="6">
        <v>45726</v>
      </c>
      <c r="C13395" t="s">
        <v>3938</v>
      </c>
      <c r="D13395" t="s">
        <v>1350</v>
      </c>
      <c r="E13395">
        <v>29.41</v>
      </c>
      <c r="F13395" t="str">
        <f>IF(Table2[[#This Row],[Manual Cat Value]]="",Table2[[#This Row],[Suggested Cat Value]],VLOOKUP(Table2[[#This Row],[Manual Cat Value]],Lookup!G:H,2,0))</f>
        <v>Utilities</v>
      </c>
      <c r="G13395" t="s">
        <v>7</v>
      </c>
      <c r="I13395" s="8"/>
      <c r="O13395" t="str">
        <f>LEFT(Table2[[#This Row],[Description]],75)</f>
        <v>Netflix</v>
      </c>
    </row>
    <row r="13396" spans="1:15" hidden="1">
      <c r="A13396">
        <v>202504</v>
      </c>
      <c r="B13396" s="6">
        <v>45758</v>
      </c>
      <c r="C13396" t="s">
        <v>3938</v>
      </c>
      <c r="D13396" t="s">
        <v>1350</v>
      </c>
      <c r="E13396">
        <v>29.41</v>
      </c>
      <c r="F13396" t="str">
        <f>IF(Table2[[#This Row],[Manual Cat Value]]="",Table2[[#This Row],[Suggested Cat Value]],VLOOKUP(Table2[[#This Row],[Manual Cat Value]],Lookup!G:H,2,0))</f>
        <v>Utilities</v>
      </c>
      <c r="G13396" t="s">
        <v>7</v>
      </c>
      <c r="I13396" s="8"/>
      <c r="O13396" t="str">
        <f>LEFT(Table2[[#This Row],[Description]],75)</f>
        <v>Netflix</v>
      </c>
    </row>
    <row r="13397" spans="1:15" hidden="1">
      <c r="A13397">
        <v>202505</v>
      </c>
      <c r="B13397" s="6">
        <v>45788</v>
      </c>
      <c r="C13397" t="s">
        <v>3938</v>
      </c>
      <c r="D13397" t="s">
        <v>1350</v>
      </c>
      <c r="E13397">
        <v>29.41</v>
      </c>
      <c r="F13397" t="str">
        <f>IF(Table2[[#This Row],[Manual Cat Value]]="",Table2[[#This Row],[Suggested Cat Value]],VLOOKUP(Table2[[#This Row],[Manual Cat Value]],Lookup!G:H,2,0))</f>
        <v>Utilities</v>
      </c>
      <c r="G13397" t="s">
        <v>7</v>
      </c>
      <c r="I13397" s="8"/>
      <c r="O13397" t="str">
        <f>LEFT(Table2[[#This Row],[Description]],75)</f>
        <v>Netflix</v>
      </c>
    </row>
    <row r="13398" spans="1:15" hidden="1">
      <c r="A13398">
        <v>202503</v>
      </c>
      <c r="B13398" s="6">
        <v>45735</v>
      </c>
      <c r="C13398" t="s">
        <v>130</v>
      </c>
      <c r="D13398" t="s">
        <v>5849</v>
      </c>
      <c r="E13398">
        <v>29.39</v>
      </c>
      <c r="F13398" t="str">
        <f>IF(Table2[[#This Row],[Manual Cat Value]]="",Table2[[#This Row],[Suggested Cat Value]],VLOOKUP(Table2[[#This Row],[Manual Cat Value]],Lookup!G:H,2,0))</f>
        <v>Restaurants</v>
      </c>
      <c r="G13398" t="s">
        <v>26</v>
      </c>
      <c r="I13398" s="8"/>
      <c r="O13398" t="str">
        <f>LEFT(Table2[[#This Row],[Description]],75)</f>
        <v>AplPay KOWALSKI'S EXEXCELSIOR           MN</v>
      </c>
    </row>
    <row r="13399" spans="1:15" hidden="1">
      <c r="A13399">
        <v>202504</v>
      </c>
      <c r="B13399" s="6">
        <v>45776</v>
      </c>
      <c r="C13399" t="s">
        <v>2519</v>
      </c>
      <c r="D13399" t="s">
        <v>6361</v>
      </c>
      <c r="E13399">
        <v>400</v>
      </c>
      <c r="F13399" t="str">
        <f>IF(Table2[[#This Row],[Manual Cat Value]]="",Table2[[#This Row],[Suggested Cat Value]],VLOOKUP(Table2[[#This Row],[Manual Cat Value]],Lookup!G:H,2,0))</f>
        <v>Day Care</v>
      </c>
      <c r="G13399" t="s">
        <v>20</v>
      </c>
      <c r="I13399" s="8"/>
      <c r="O13399" t="str">
        <f>LEFT(Table2[[#This Row],[Description]],75)</f>
        <v>Withdrawal ACH Mis Amigos Presc TYPE: ID: XX7393 NAME: BCU CO: Mis Amigos P</v>
      </c>
    </row>
    <row r="13400" spans="1:15" hidden="1">
      <c r="A13400">
        <v>202505</v>
      </c>
      <c r="B13400" s="6">
        <v>45787</v>
      </c>
      <c r="C13400" t="s">
        <v>130</v>
      </c>
      <c r="D13400" t="s">
        <v>6309</v>
      </c>
      <c r="E13400">
        <v>29.13</v>
      </c>
      <c r="F13400" t="str">
        <f>IF(Table2[[#This Row],[Manual Cat Value]]="",Table2[[#This Row],[Suggested Cat Value]],VLOOKUP(Table2[[#This Row],[Manual Cat Value]],Lookup!G:H,2,0))</f>
        <v>Restaurants</v>
      </c>
      <c r="G13400" t="s">
        <v>26</v>
      </c>
      <c r="I13400" s="8"/>
      <c r="O13400" t="str">
        <f>LEFT(Table2[[#This Row],[Description]],75)</f>
        <v>AplPay DOMINO'S 1931EXCELSIOR           MN</v>
      </c>
    </row>
    <row r="13401" spans="1:15" hidden="1">
      <c r="A13401">
        <v>202505</v>
      </c>
      <c r="B13401" s="6">
        <v>45785</v>
      </c>
      <c r="C13401" t="s">
        <v>130</v>
      </c>
      <c r="D13401" t="s">
        <v>6362</v>
      </c>
      <c r="E13401">
        <v>29</v>
      </c>
      <c r="F13401" t="str">
        <f>IF(Table2[[#This Row],[Manual Cat Value]]="",Table2[[#This Row],[Suggested Cat Value]],VLOOKUP(Table2[[#This Row],[Manual Cat Value]],Lookup!G:H,2,0))</f>
        <v>Restaurants</v>
      </c>
      <c r="G13401" t="s">
        <v>26</v>
      </c>
      <c r="I13401" s="8"/>
      <c r="O13401" t="str">
        <f>LEFT(Table2[[#This Row],[Description]],75)</f>
        <v>AplPay ZENOTIUSA_POSCHANHASSEN          MN</v>
      </c>
    </row>
    <row r="13402" spans="1:15" hidden="1">
      <c r="A13402">
        <v>202505</v>
      </c>
      <c r="B13402" s="6">
        <v>45803</v>
      </c>
      <c r="C13402" t="s">
        <v>130</v>
      </c>
      <c r="D13402" t="s">
        <v>6363</v>
      </c>
      <c r="E13402">
        <v>28.89</v>
      </c>
      <c r="F13402" t="str">
        <f>IF(Table2[[#This Row],[Manual Cat Value]]="",Table2[[#This Row],[Suggested Cat Value]],VLOOKUP(Table2[[#This Row],[Manual Cat Value]],Lookup!G:H,2,0))</f>
        <v>Restaurants</v>
      </c>
      <c r="G13402" t="s">
        <v>26</v>
      </c>
      <c r="I13402" s="8"/>
      <c r="O13402" t="str">
        <f>LEFT(Table2[[#This Row],[Description]],75)</f>
        <v>AplPay HOLIDAY STATIHAYWARD             WI</v>
      </c>
    </row>
    <row r="13403" spans="1:15" hidden="1">
      <c r="A13403">
        <v>202503</v>
      </c>
      <c r="B13403" s="6">
        <v>45732</v>
      </c>
      <c r="C13403" t="s">
        <v>130</v>
      </c>
      <c r="D13403" t="s">
        <v>6364</v>
      </c>
      <c r="E13403">
        <v>28.73</v>
      </c>
      <c r="F13403" t="str">
        <f>IF(Table2[[#This Row],[Manual Cat Value]]="",Table2[[#This Row],[Suggested Cat Value]],VLOOKUP(Table2[[#This Row],[Manual Cat Value]],Lookup!G:H,2,0))</f>
        <v>Restaurants</v>
      </c>
      <c r="G13403" t="s">
        <v>26</v>
      </c>
      <c r="I13403" s="8"/>
      <c r="O13403" t="str">
        <f>LEFT(Table2[[#This Row],[Description]],75)</f>
        <v>AplPay FIVE GUYS MN EDEN PRAIRIE        MN</v>
      </c>
    </row>
    <row r="13404" spans="1:15" hidden="1">
      <c r="A13404">
        <v>202504</v>
      </c>
      <c r="B13404" s="6">
        <v>45749</v>
      </c>
      <c r="C13404" t="s">
        <v>3938</v>
      </c>
      <c r="D13404" t="s">
        <v>6365</v>
      </c>
      <c r="E13404">
        <v>28.62</v>
      </c>
      <c r="F13404" t="str">
        <f>IF(Table2[[#This Row],[Manual Cat Value]]="",Table2[[#This Row],[Suggested Cat Value]],VLOOKUP(Table2[[#This Row],[Manual Cat Value]],Lookup!G:H,2,0))</f>
        <v>Restaurants</v>
      </c>
      <c r="G13404" t="s">
        <v>26</v>
      </c>
      <c r="I13404" s="8"/>
      <c r="O13404" t="str">
        <f>LEFT(Table2[[#This Row],[Description]],75)</f>
        <v>SQ *BEER BOAT NAPLES FL REF #XX2162V31SS2K4J</v>
      </c>
    </row>
    <row r="13405" spans="1:15" hidden="1">
      <c r="A13405">
        <v>202505</v>
      </c>
      <c r="B13405" s="6">
        <v>45791</v>
      </c>
      <c r="C13405" t="s">
        <v>130</v>
      </c>
      <c r="D13405" t="s">
        <v>6366</v>
      </c>
      <c r="E13405">
        <v>28.48</v>
      </c>
      <c r="F13405" t="str">
        <f>IF(Table2[[#This Row],[Manual Cat Value]]="",Table2[[#This Row],[Suggested Cat Value]],VLOOKUP(Table2[[#This Row],[Manual Cat Value]],Lookup!G:H,2,0))</f>
        <v>Delete</v>
      </c>
      <c r="G13405" t="s">
        <v>26</v>
      </c>
      <c r="H13405" s="8" t="s">
        <v>9</v>
      </c>
      <c r="I13405" s="8"/>
      <c r="O13405" t="str">
        <f>LEFT(Table2[[#This Row],[Description]],75)</f>
        <v>TEQUILA JACKS       CORK CITY</v>
      </c>
    </row>
    <row r="13406" spans="1:15" hidden="1">
      <c r="A13406">
        <v>202504</v>
      </c>
      <c r="B13406" s="6">
        <v>45760</v>
      </c>
      <c r="C13406" t="s">
        <v>130</v>
      </c>
      <c r="D13406" t="s">
        <v>6367</v>
      </c>
      <c r="E13406">
        <v>28.32</v>
      </c>
      <c r="F13406" t="str">
        <f>IF(Table2[[#This Row],[Manual Cat Value]]="",Table2[[#This Row],[Suggested Cat Value]],VLOOKUP(Table2[[#This Row],[Manual Cat Value]],Lookup!G:H,2,0))</f>
        <v>Restaurants</v>
      </c>
      <c r="G13406" t="s">
        <v>26</v>
      </c>
      <c r="I13406" s="8"/>
      <c r="O13406" t="str">
        <f>LEFT(Table2[[#This Row],[Description]],75)</f>
        <v>AplPay JIMMY JOHNS -EDINA               MN</v>
      </c>
    </row>
    <row r="13407" spans="1:15" hidden="1">
      <c r="A13407">
        <v>202505</v>
      </c>
      <c r="B13407" s="6">
        <v>45789</v>
      </c>
      <c r="C13407" t="s">
        <v>130</v>
      </c>
      <c r="D13407" t="s">
        <v>6368</v>
      </c>
      <c r="E13407">
        <v>28.24</v>
      </c>
      <c r="F13407" t="str">
        <f>IF(Table2[[#This Row],[Manual Cat Value]]="",Table2[[#This Row],[Suggested Cat Value]],VLOOKUP(Table2[[#This Row],[Manual Cat Value]],Lookup!G:H,2,0))</f>
        <v>Delete</v>
      </c>
      <c r="G13407" t="s">
        <v>23</v>
      </c>
      <c r="H13407" s="8" t="s">
        <v>9</v>
      </c>
      <c r="I13407" s="8"/>
      <c r="O13407" t="str">
        <f>LEFT(Table2[[#This Row],[Description]],75)</f>
        <v>SUMUP*PV CAB        MIDLETON</v>
      </c>
    </row>
    <row r="13408" spans="1:15" hidden="1">
      <c r="A13408">
        <v>202504</v>
      </c>
      <c r="B13408" s="6">
        <v>45762</v>
      </c>
      <c r="C13408" t="s">
        <v>3938</v>
      </c>
      <c r="D13408" t="s">
        <v>2135</v>
      </c>
      <c r="E13408">
        <v>28.13</v>
      </c>
      <c r="F13408" t="str">
        <f>IF(Table2[[#This Row],[Manual Cat Value]]="",Table2[[#This Row],[Suggested Cat Value]],VLOOKUP(Table2[[#This Row],[Manual Cat Value]],Lookup!G:H,2,0))</f>
        <v>Groceries</v>
      </c>
      <c r="G13408" t="s">
        <v>28</v>
      </c>
      <c r="I13408" s="8"/>
      <c r="O13408" t="str">
        <f>LEFT(Table2[[#This Row],[Description]],75)</f>
        <v>Walgreens</v>
      </c>
    </row>
    <row r="13409" spans="1:15" hidden="1">
      <c r="A13409">
        <v>202501</v>
      </c>
      <c r="B13409" s="6">
        <v>45686</v>
      </c>
      <c r="C13409" t="s">
        <v>130</v>
      </c>
      <c r="D13409" t="s">
        <v>6362</v>
      </c>
      <c r="E13409">
        <v>28</v>
      </c>
      <c r="F13409" t="str">
        <f>IF(Table2[[#This Row],[Manual Cat Value]]="",Table2[[#This Row],[Suggested Cat Value]],VLOOKUP(Table2[[#This Row],[Manual Cat Value]],Lookup!G:H,2,0))</f>
        <v>Restaurants</v>
      </c>
      <c r="G13409" t="s">
        <v>26</v>
      </c>
      <c r="I13409" s="8"/>
      <c r="O13409" t="str">
        <f>LEFT(Table2[[#This Row],[Description]],75)</f>
        <v>AplPay ZENOTIUSA_POSCHANHASSEN          MN</v>
      </c>
    </row>
    <row r="13410" spans="1:15" hidden="1">
      <c r="A13410">
        <v>202503</v>
      </c>
      <c r="B13410" s="6">
        <v>45724</v>
      </c>
      <c r="C13410" t="s">
        <v>130</v>
      </c>
      <c r="D13410" t="s">
        <v>6369</v>
      </c>
      <c r="E13410">
        <v>27.6</v>
      </c>
      <c r="F13410" t="str">
        <f>IF(Table2[[#This Row],[Manual Cat Value]]="",Table2[[#This Row],[Suggested Cat Value]],VLOOKUP(Table2[[#This Row],[Manual Cat Value]],Lookup!G:H,2,0))</f>
        <v>Restaurants</v>
      </c>
      <c r="G13410" t="s">
        <v>9</v>
      </c>
      <c r="H13410" s="8" t="s">
        <v>25</v>
      </c>
      <c r="I13410" s="8"/>
      <c r="O13410" t="str">
        <f>LEFT(Table2[[#This Row],[Description]],75)</f>
        <v>EL SANCHO           Bend                OR</v>
      </c>
    </row>
    <row r="13411" spans="1:15" hidden="1">
      <c r="A13411">
        <v>202505</v>
      </c>
      <c r="B13411" s="6">
        <v>45804</v>
      </c>
      <c r="C13411" t="s">
        <v>130</v>
      </c>
      <c r="D13411" t="s">
        <v>5577</v>
      </c>
      <c r="E13411">
        <v>27.56</v>
      </c>
      <c r="F13411" t="str">
        <f>IF(Table2[[#This Row],[Manual Cat Value]]="",Table2[[#This Row],[Suggested Cat Value]],VLOOKUP(Table2[[#This Row],[Manual Cat Value]],Lookup!G:H,2,0))</f>
        <v>Delete</v>
      </c>
      <c r="G13411" t="s">
        <v>9</v>
      </c>
      <c r="H13411" s="8" t="s">
        <v>9</v>
      </c>
      <c r="I13411" s="8"/>
      <c r="O13411" t="str">
        <f>LEFT(Table2[[#This Row],[Description]],75)</f>
        <v>MSP HUDSON ST2295 22SAINT PAUL          MN</v>
      </c>
    </row>
    <row r="13412" spans="1:15" hidden="1">
      <c r="A13412">
        <v>202503</v>
      </c>
      <c r="B13412" s="6">
        <v>45732</v>
      </c>
      <c r="C13412" t="s">
        <v>130</v>
      </c>
      <c r="D13412" t="s">
        <v>6370</v>
      </c>
      <c r="E13412">
        <v>27.53</v>
      </c>
      <c r="F13412" t="str">
        <f>IF(Table2[[#This Row],[Manual Cat Value]]="",Table2[[#This Row],[Suggested Cat Value]],VLOOKUP(Table2[[#This Row],[Manual Cat Value]],Lookup!G:H,2,0))</f>
        <v>Entertainment</v>
      </c>
      <c r="G13412" t="s">
        <v>26</v>
      </c>
      <c r="H13412" s="8" t="s">
        <v>39</v>
      </c>
      <c r="I13412" s="8"/>
      <c r="O13412" t="str">
        <f>LEFT(Table2[[#This Row],[Description]],75)</f>
        <v>AplPay AMC EDEN PRAIEDEN PRAIRIE        MN</v>
      </c>
    </row>
    <row r="13413" spans="1:15" hidden="1">
      <c r="A13413">
        <v>202501</v>
      </c>
      <c r="B13413" s="6">
        <v>45687</v>
      </c>
      <c r="C13413" t="s">
        <v>130</v>
      </c>
      <c r="D13413" t="s">
        <v>6050</v>
      </c>
      <c r="E13413">
        <v>27.5</v>
      </c>
      <c r="F13413" t="str">
        <f>IF(Table2[[#This Row],[Manual Cat Value]]="",Table2[[#This Row],[Suggested Cat Value]],VLOOKUP(Table2[[#This Row],[Manual Cat Value]],Lookup!G:H,2,0))</f>
        <v>Shopping</v>
      </c>
      <c r="G13413" t="s">
        <v>21</v>
      </c>
      <c r="I13413" s="8"/>
      <c r="O13413" t="str">
        <f>LEFT(Table2[[#This Row],[Description]],75)</f>
        <v>INOV-8 INC.         STE 6-303           MA</v>
      </c>
    </row>
    <row r="13414" spans="1:15" hidden="1">
      <c r="A13414">
        <v>202504</v>
      </c>
      <c r="B13414" s="6">
        <v>45769</v>
      </c>
      <c r="C13414" t="s">
        <v>3938</v>
      </c>
      <c r="D13414" t="s">
        <v>31</v>
      </c>
      <c r="E13414">
        <v>27.21</v>
      </c>
      <c r="F13414" t="str">
        <f>IF(Table2[[#This Row],[Manual Cat Value]]="",Table2[[#This Row],[Suggested Cat Value]],VLOOKUP(Table2[[#This Row],[Manual Cat Value]],Lookup!G:H,2,0))</f>
        <v>Target</v>
      </c>
      <c r="G13414" t="s">
        <v>31</v>
      </c>
      <c r="I13414" s="8"/>
      <c r="O13414" t="str">
        <f>LEFT(Table2[[#This Row],[Description]],75)</f>
        <v>Target</v>
      </c>
    </row>
    <row r="13415" spans="1:15" hidden="1">
      <c r="A13415">
        <v>202502</v>
      </c>
      <c r="B13415" s="6">
        <v>45699</v>
      </c>
      <c r="C13415" t="s">
        <v>130</v>
      </c>
      <c r="D13415" t="s">
        <v>5886</v>
      </c>
      <c r="E13415">
        <v>27.08</v>
      </c>
      <c r="F13415" t="str">
        <f>IF(Table2[[#This Row],[Manual Cat Value]]="",Table2[[#This Row],[Suggested Cat Value]],VLOOKUP(Table2[[#This Row],[Manual Cat Value]],Lookup!G:H,2,0))</f>
        <v>Groceries</v>
      </c>
      <c r="G13415" t="s">
        <v>28</v>
      </c>
      <c r="I13415" s="8"/>
      <c r="O13415" t="str">
        <f>LEFT(Table2[[#This Row],[Description]],75)</f>
        <v>LUNDS&amp;BYERLYS CHANHACHANHASSEN          MN</v>
      </c>
    </row>
    <row r="13416" spans="1:15" hidden="1">
      <c r="A13416">
        <v>202503</v>
      </c>
      <c r="B13416" s="6">
        <v>45723</v>
      </c>
      <c r="C13416" t="s">
        <v>130</v>
      </c>
      <c r="D13416" t="s">
        <v>6371</v>
      </c>
      <c r="E13416">
        <v>27</v>
      </c>
      <c r="F13416" t="str">
        <f>IF(Table2[[#This Row],[Manual Cat Value]]="",Table2[[#This Row],[Suggested Cat Value]],VLOOKUP(Table2[[#This Row],[Manual Cat Value]],Lookup!G:H,2,0))</f>
        <v>Restaurants</v>
      </c>
      <c r="G13416" t="s">
        <v>26</v>
      </c>
      <c r="I13416" s="8"/>
      <c r="O13416" t="str">
        <f>LEFT(Table2[[#This Row],[Description]],75)</f>
        <v>VTS YELLOW CAB UTAH SALT LAKE CITY      UT</v>
      </c>
    </row>
    <row r="13417" spans="1:15" hidden="1">
      <c r="A13417">
        <v>202502</v>
      </c>
      <c r="B13417" s="6">
        <v>45707</v>
      </c>
      <c r="C13417" t="s">
        <v>130</v>
      </c>
      <c r="D13417" t="s">
        <v>6183</v>
      </c>
      <c r="E13417">
        <v>26.99</v>
      </c>
      <c r="F13417" t="str">
        <f>IF(Table2[[#This Row],[Manual Cat Value]]="",Table2[[#This Row],[Suggested Cat Value]],VLOOKUP(Table2[[#This Row],[Manual Cat Value]],Lookup!G:H,2,0))</f>
        <v>Amazon</v>
      </c>
      <c r="G13417" t="s">
        <v>38</v>
      </c>
      <c r="I13417" s="8"/>
      <c r="O13417" t="str">
        <f>LEFT(Table2[[#This Row],[Description]],75)</f>
        <v>AMAZON MARKEPLACE NA PA</v>
      </c>
    </row>
    <row r="13418" spans="1:15" hidden="1">
      <c r="A13418">
        <v>202505</v>
      </c>
      <c r="B13418" s="6">
        <v>45784</v>
      </c>
      <c r="C13418" t="s">
        <v>130</v>
      </c>
      <c r="D13418" t="s">
        <v>5818</v>
      </c>
      <c r="E13418">
        <v>26.99</v>
      </c>
      <c r="F13418" t="str">
        <f>IF(Table2[[#This Row],[Manual Cat Value]]="",Table2[[#This Row],[Suggested Cat Value]],VLOOKUP(Table2[[#This Row],[Manual Cat Value]],Lookup!G:H,2,0))</f>
        <v>Groceries</v>
      </c>
      <c r="G13418" t="s">
        <v>28</v>
      </c>
      <c r="I13418" s="8"/>
      <c r="O13418" t="str">
        <f>LEFT(Table2[[#This Row],[Description]],75)</f>
        <v>AplPay CUB FOODS #16SHOREWOOD           MN</v>
      </c>
    </row>
    <row r="13419" spans="1:15" hidden="1">
      <c r="A13419">
        <v>202502</v>
      </c>
      <c r="B13419" s="6">
        <v>45702</v>
      </c>
      <c r="C13419" t="s">
        <v>130</v>
      </c>
      <c r="D13419" t="s">
        <v>6372</v>
      </c>
      <c r="E13419">
        <v>26.88</v>
      </c>
      <c r="F13419" t="str">
        <f>IF(Table2[[#This Row],[Manual Cat Value]]="",Table2[[#This Row],[Suggested Cat Value]],VLOOKUP(Table2[[#This Row],[Manual Cat Value]],Lookup!G:H,2,0))</f>
        <v>Shopping</v>
      </c>
      <c r="G13419" t="s">
        <v>21</v>
      </c>
      <c r="I13419" s="8"/>
      <c r="O13419" t="str">
        <f>LEFT(Table2[[#This Row],[Description]],75)</f>
        <v>MALL OF AMERICA     BLOOMINGTON         MN</v>
      </c>
    </row>
    <row r="13420" spans="1:15" hidden="1">
      <c r="A13420">
        <v>202501</v>
      </c>
      <c r="B13420" s="6">
        <v>45676</v>
      </c>
      <c r="C13420" t="s">
        <v>130</v>
      </c>
      <c r="D13420" t="s">
        <v>6373</v>
      </c>
      <c r="E13420">
        <v>26.85</v>
      </c>
      <c r="F13420" t="str">
        <f>IF(Table2[[#This Row],[Manual Cat Value]]="",Table2[[#This Row],[Suggested Cat Value]],VLOOKUP(Table2[[#This Row],[Manual Cat Value]],Lookup!G:H,2,0))</f>
        <v>Delete</v>
      </c>
      <c r="G13420" t="s">
        <v>9</v>
      </c>
      <c r="I13420" s="8"/>
      <c r="O13420" t="str">
        <f>LEFT(Table2[[#This Row],[Description]],75)</f>
        <v>JJ-PCG MSP VENTURE LSAINT PAUL          MN</v>
      </c>
    </row>
    <row r="13421" spans="1:15" hidden="1">
      <c r="A13421">
        <v>202505</v>
      </c>
      <c r="B13421" s="6">
        <v>45789</v>
      </c>
      <c r="C13421" t="s">
        <v>130</v>
      </c>
      <c r="D13421" t="s">
        <v>6234</v>
      </c>
      <c r="E13421">
        <v>26.48</v>
      </c>
      <c r="F13421" t="str">
        <f>IF(Table2[[#This Row],[Manual Cat Value]]="",Table2[[#This Row],[Suggested Cat Value]],VLOOKUP(Table2[[#This Row],[Manual Cat Value]],Lookup!G:H,2,0))</f>
        <v>Delete</v>
      </c>
      <c r="G13421" t="s">
        <v>9</v>
      </c>
      <c r="H13421" s="8" t="s">
        <v>9</v>
      </c>
      <c r="I13421" s="8"/>
      <c r="O13421" t="str">
        <f>LEFT(Table2[[#This Row],[Description]],75)</f>
        <v>THOMPSONS THOMPSONS CORK                IR</v>
      </c>
    </row>
    <row r="13422" spans="1:15" hidden="1">
      <c r="A13422">
        <v>202504</v>
      </c>
      <c r="B13422" s="6">
        <v>45758</v>
      </c>
      <c r="C13422" t="s">
        <v>130</v>
      </c>
      <c r="D13422" t="s">
        <v>6183</v>
      </c>
      <c r="E13422">
        <v>26.12</v>
      </c>
      <c r="F13422" t="str">
        <f>IF(Table2[[#This Row],[Manual Cat Value]]="",Table2[[#This Row],[Suggested Cat Value]],VLOOKUP(Table2[[#This Row],[Manual Cat Value]],Lookup!G:H,2,0))</f>
        <v>Amazon</v>
      </c>
      <c r="G13422" t="s">
        <v>38</v>
      </c>
      <c r="I13422" s="8"/>
      <c r="O13422" t="str">
        <f>LEFT(Table2[[#This Row],[Description]],75)</f>
        <v>AMAZON MARKEPLACE NA PA</v>
      </c>
    </row>
    <row r="13423" spans="1:15" hidden="1">
      <c r="A13423">
        <v>202505</v>
      </c>
      <c r="B13423" s="6">
        <v>45787</v>
      </c>
      <c r="C13423" t="s">
        <v>130</v>
      </c>
      <c r="D13423" t="s">
        <v>6374</v>
      </c>
      <c r="E13423">
        <v>25.93</v>
      </c>
      <c r="F13423" t="str">
        <f>IF(Table2[[#This Row],[Manual Cat Value]]="",Table2[[#This Row],[Suggested Cat Value]],VLOOKUP(Table2[[#This Row],[Manual Cat Value]],Lookup!G:H,2,0))</f>
        <v>Restaurants</v>
      </c>
      <c r="G13423" t="s">
        <v>26</v>
      </c>
      <c r="I13423" s="8"/>
      <c r="O13423" t="str">
        <f>LEFT(Table2[[#This Row],[Description]],75)</f>
        <v>BRITO'S BURRITO     EXCELSIOR           MN</v>
      </c>
    </row>
    <row r="13424" spans="1:15" hidden="1">
      <c r="A13424">
        <v>202504</v>
      </c>
      <c r="B13424" s="6">
        <v>45757</v>
      </c>
      <c r="C13424" t="s">
        <v>2258</v>
      </c>
      <c r="D13424" t="s">
        <v>6375</v>
      </c>
      <c r="E13424">
        <v>25.78</v>
      </c>
      <c r="F13424" t="str">
        <f>IF(Table2[[#This Row],[Manual Cat Value]]="",Table2[[#This Row],[Suggested Cat Value]],VLOOKUP(Table2[[#This Row],[Manual Cat Value]],Lookup!G:H,2,0))</f>
        <v>Amazon</v>
      </c>
      <c r="G13424" t="s">
        <v>38</v>
      </c>
      <c r="I13424" s="8"/>
      <c r="O13424" t="str">
        <f>LEFT(Table2[[#This Row],[Description]],75)</f>
        <v>AMAZON MKTPL*3C69L91D3 AMZN.COM/BILLWA2YV7KGWKK3J</v>
      </c>
    </row>
    <row r="13425" spans="1:15" hidden="1">
      <c r="A13425">
        <v>202505</v>
      </c>
      <c r="B13425" s="6">
        <v>45790</v>
      </c>
      <c r="C13425" t="s">
        <v>130</v>
      </c>
      <c r="D13425" t="s">
        <v>6183</v>
      </c>
      <c r="E13425">
        <v>25.68</v>
      </c>
      <c r="F13425" t="str">
        <f>IF(Table2[[#This Row],[Manual Cat Value]]="",Table2[[#This Row],[Suggested Cat Value]],VLOOKUP(Table2[[#This Row],[Manual Cat Value]],Lookup!G:H,2,0))</f>
        <v>Amazon</v>
      </c>
      <c r="G13425" t="s">
        <v>38</v>
      </c>
      <c r="I13425" s="8"/>
      <c r="O13425" t="str">
        <f>LEFT(Table2[[#This Row],[Description]],75)</f>
        <v>AMAZON MARKEPLACE NA PA</v>
      </c>
    </row>
    <row r="13426" spans="1:15" hidden="1">
      <c r="A13426">
        <v>202501</v>
      </c>
      <c r="B13426" s="6">
        <v>45669</v>
      </c>
      <c r="C13426" t="s">
        <v>3938</v>
      </c>
      <c r="D13426" t="s">
        <v>1350</v>
      </c>
      <c r="E13426">
        <v>25.6</v>
      </c>
      <c r="F13426" t="str">
        <f>IF(Table2[[#This Row],[Manual Cat Value]]="",Table2[[#This Row],[Suggested Cat Value]],VLOOKUP(Table2[[#This Row],[Manual Cat Value]],Lookup!G:H,2,0))</f>
        <v>Utilities</v>
      </c>
      <c r="G13426" t="s">
        <v>7</v>
      </c>
      <c r="I13426" s="8"/>
      <c r="O13426" t="str">
        <f>LEFT(Table2[[#This Row],[Description]],75)</f>
        <v>Netflix</v>
      </c>
    </row>
    <row r="13427" spans="1:15" hidden="1">
      <c r="A13427">
        <v>202502</v>
      </c>
      <c r="B13427" s="6">
        <v>45698</v>
      </c>
      <c r="C13427" t="s">
        <v>3938</v>
      </c>
      <c r="D13427" t="s">
        <v>1350</v>
      </c>
      <c r="E13427">
        <v>25.6</v>
      </c>
      <c r="F13427" t="str">
        <f>IF(Table2[[#This Row],[Manual Cat Value]]="",Table2[[#This Row],[Suggested Cat Value]],VLOOKUP(Table2[[#This Row],[Manual Cat Value]],Lookup!G:H,2,0))</f>
        <v>Utilities</v>
      </c>
      <c r="G13427" t="s">
        <v>7</v>
      </c>
      <c r="I13427" s="8"/>
      <c r="O13427" t="str">
        <f>LEFT(Table2[[#This Row],[Description]],75)</f>
        <v>Netflix</v>
      </c>
    </row>
    <row r="13428" spans="1:15" hidden="1">
      <c r="A13428">
        <v>202504</v>
      </c>
      <c r="B13428" s="6">
        <v>45769</v>
      </c>
      <c r="C13428" t="s">
        <v>3938</v>
      </c>
      <c r="D13428" t="s">
        <v>4887</v>
      </c>
      <c r="E13428">
        <v>25.59</v>
      </c>
      <c r="F13428" t="str">
        <f>IF(Table2[[#This Row],[Manual Cat Value]]="",Table2[[#This Row],[Suggested Cat Value]],VLOOKUP(Table2[[#This Row],[Manual Cat Value]],Lookup!G:H,2,0))</f>
        <v>Groceries</v>
      </c>
      <c r="G13428" t="s">
        <v>28</v>
      </c>
      <c r="I13428" s="8"/>
      <c r="O13428" t="str">
        <f>LEFT(Table2[[#This Row],[Description]],75)</f>
        <v>Costco Gas Stations</v>
      </c>
    </row>
    <row r="13429" spans="1:15" hidden="1">
      <c r="A13429">
        <v>202503</v>
      </c>
      <c r="B13429" s="6">
        <v>45740</v>
      </c>
      <c r="C13429" t="s">
        <v>2258</v>
      </c>
      <c r="D13429" t="s">
        <v>6376</v>
      </c>
      <c r="E13429">
        <v>25.49</v>
      </c>
      <c r="F13429" t="str">
        <f>IF(Table2[[#This Row],[Manual Cat Value]]="",Table2[[#This Row],[Suggested Cat Value]],VLOOKUP(Table2[[#This Row],[Manual Cat Value]],Lookup!G:H,2,0))</f>
        <v>Amazon</v>
      </c>
      <c r="G13429" t="s">
        <v>38</v>
      </c>
      <c r="I13429" s="8"/>
      <c r="O13429" t="str">
        <f>LEFT(Table2[[#This Row],[Description]],75)</f>
        <v>AMAZON MKTPL*0T10U1NA3 AMZN.COM/BILLWAR88XEXNS2HB</v>
      </c>
    </row>
    <row r="13430" spans="1:15" hidden="1">
      <c r="A13430">
        <v>202505</v>
      </c>
      <c r="B13430" s="6">
        <v>45793</v>
      </c>
      <c r="C13430" t="s">
        <v>130</v>
      </c>
      <c r="D13430" t="s">
        <v>6377</v>
      </c>
      <c r="E13430">
        <v>25.38</v>
      </c>
      <c r="F13430" t="str">
        <f>IF(Table2[[#This Row],[Manual Cat Value]]="",Table2[[#This Row],[Suggested Cat Value]],VLOOKUP(Table2[[#This Row],[Manual Cat Value]],Lookup!G:H,2,0))</f>
        <v>Delete</v>
      </c>
      <c r="G13430" t="s">
        <v>9</v>
      </c>
      <c r="H13430" s="8" t="s">
        <v>9</v>
      </c>
      <c r="I13430" s="8"/>
      <c r="O13430" t="str">
        <f>LEFT(Table2[[#This Row],[Description]],75)</f>
        <v>SATELLITE CABS      CORK</v>
      </c>
    </row>
    <row r="13431" spans="1:15" hidden="1">
      <c r="A13431">
        <v>202501</v>
      </c>
      <c r="B13431" s="6">
        <v>45681</v>
      </c>
      <c r="C13431" t="s">
        <v>2519</v>
      </c>
      <c r="D13431" t="s">
        <v>1955</v>
      </c>
      <c r="E13431">
        <v>25.05</v>
      </c>
      <c r="F13431" t="str">
        <f>IF(Table2[[#This Row],[Manual Cat Value]]="",Table2[[#This Row],[Suggested Cat Value]],VLOOKUP(Table2[[#This Row],[Manual Cat Value]],Lookup!G:H,2,0))</f>
        <v>Shopping</v>
      </c>
      <c r="G13431" t="s">
        <v>21</v>
      </c>
      <c r="I13431" s="8"/>
      <c r="O13431" t="str">
        <f>LEFT(Table2[[#This Row],[Description]],75)</f>
        <v>Transfer to PayPal</v>
      </c>
    </row>
    <row r="13432" spans="1:15" hidden="1">
      <c r="A13432">
        <v>202503</v>
      </c>
      <c r="B13432" s="6">
        <v>45737</v>
      </c>
      <c r="C13432" t="s">
        <v>130</v>
      </c>
      <c r="D13432" t="s">
        <v>6378</v>
      </c>
      <c r="E13432">
        <v>25.04</v>
      </c>
      <c r="F13432" t="str">
        <f>IF(Table2[[#This Row],[Manual Cat Value]]="",Table2[[#This Row],[Suggested Cat Value]],VLOOKUP(Table2[[#This Row],[Manual Cat Value]],Lookup!G:H,2,0))</f>
        <v>Delete</v>
      </c>
      <c r="G13432" t="s">
        <v>9</v>
      </c>
      <c r="H13432" s="8" t="s">
        <v>9</v>
      </c>
      <c r="I13432" s="8"/>
      <c r="O13432" t="str">
        <f>LEFT(Table2[[#This Row],[Description]],75)</f>
        <v>SUMUP*TOMMY         CORK</v>
      </c>
    </row>
    <row r="13433" spans="1:15" hidden="1">
      <c r="A13433">
        <v>202501</v>
      </c>
      <c r="B13433" s="6">
        <v>45681</v>
      </c>
      <c r="C13433" t="s">
        <v>130</v>
      </c>
      <c r="D13433" t="s">
        <v>6379</v>
      </c>
      <c r="E13433">
        <v>25.01</v>
      </c>
      <c r="F13433" t="str">
        <f>IF(Table2[[#This Row],[Manual Cat Value]]="",Table2[[#This Row],[Suggested Cat Value]],VLOOKUP(Table2[[#This Row],[Manual Cat Value]],Lookup!G:H,2,0))</f>
        <v>Delete</v>
      </c>
      <c r="G13433" t="s">
        <v>9</v>
      </c>
      <c r="I13433" s="8"/>
      <c r="O13433" t="str">
        <f>LEFT(Table2[[#This Row],[Description]],75)</f>
        <v>VAN GOGH MUSEUM     AMSTERDAM           NL</v>
      </c>
    </row>
    <row r="13434" spans="1:15" hidden="1">
      <c r="A13434">
        <v>202501</v>
      </c>
      <c r="B13434" s="6">
        <v>45667</v>
      </c>
      <c r="C13434" t="s">
        <v>130</v>
      </c>
      <c r="D13434" t="s">
        <v>6380</v>
      </c>
      <c r="E13434">
        <v>25</v>
      </c>
      <c r="F13434" t="str">
        <f>IF(Table2[[#This Row],[Manual Cat Value]]="",Table2[[#This Row],[Suggested Cat Value]],VLOOKUP(Table2[[#This Row],[Manual Cat Value]],Lookup!G:H,2,0))</f>
        <v>Delete</v>
      </c>
      <c r="G13434" t="s">
        <v>26</v>
      </c>
      <c r="H13434" s="8" t="s">
        <v>9</v>
      </c>
      <c r="I13434" s="8"/>
      <c r="O13434" t="str">
        <f>LEFT(Table2[[#This Row],[Description]],75)</f>
        <v>TST* TONY C'S SPORTSBOSTON              MA</v>
      </c>
    </row>
    <row r="13435" spans="1:15" hidden="1">
      <c r="A13435">
        <v>202501</v>
      </c>
      <c r="B13435" s="6">
        <v>45687</v>
      </c>
      <c r="C13435" t="s">
        <v>3938</v>
      </c>
      <c r="D13435" t="s">
        <v>1773</v>
      </c>
      <c r="E13435">
        <v>25</v>
      </c>
      <c r="F13435" t="str">
        <f>IF(Table2[[#This Row],[Manual Cat Value]]="",Table2[[#This Row],[Suggested Cat Value]],VLOOKUP(Table2[[#This Row],[Manual Cat Value]],Lookup!G:H,2,0))</f>
        <v>Restaurants</v>
      </c>
      <c r="G13435" t="s">
        <v>26</v>
      </c>
      <c r="I13435" s="8"/>
      <c r="O13435" t="str">
        <f>LEFT(Table2[[#This Row],[Description]],75)</f>
        <v>Starbucks</v>
      </c>
    </row>
    <row r="13436" spans="1:15" hidden="1">
      <c r="A13436">
        <v>202504</v>
      </c>
      <c r="B13436" s="6">
        <v>45774</v>
      </c>
      <c r="C13436" t="s">
        <v>3938</v>
      </c>
      <c r="D13436" t="s">
        <v>1773</v>
      </c>
      <c r="E13436">
        <v>25</v>
      </c>
      <c r="F13436" t="str">
        <f>IF(Table2[[#This Row],[Manual Cat Value]]="",Table2[[#This Row],[Suggested Cat Value]],VLOOKUP(Table2[[#This Row],[Manual Cat Value]],Lookup!G:H,2,0))</f>
        <v>Restaurants</v>
      </c>
      <c r="G13436" t="s">
        <v>26</v>
      </c>
      <c r="I13436" s="8"/>
      <c r="O13436" t="str">
        <f>LEFT(Table2[[#This Row],[Description]],75)</f>
        <v>Starbucks</v>
      </c>
    </row>
    <row r="13437" spans="1:15" hidden="1">
      <c r="A13437">
        <v>202505</v>
      </c>
      <c r="B13437" s="6">
        <v>45781</v>
      </c>
      <c r="C13437" t="s">
        <v>3938</v>
      </c>
      <c r="D13437" t="s">
        <v>1773</v>
      </c>
      <c r="E13437">
        <v>25</v>
      </c>
      <c r="F13437" t="str">
        <f>IF(Table2[[#This Row],[Manual Cat Value]]="",Table2[[#This Row],[Suggested Cat Value]],VLOOKUP(Table2[[#This Row],[Manual Cat Value]],Lookup!G:H,2,0))</f>
        <v>Restaurants</v>
      </c>
      <c r="G13437" t="s">
        <v>26</v>
      </c>
      <c r="I13437" s="8"/>
      <c r="O13437" t="str">
        <f>LEFT(Table2[[#This Row],[Description]],75)</f>
        <v>Starbucks</v>
      </c>
    </row>
    <row r="13438" spans="1:15" hidden="1">
      <c r="A13438">
        <v>202505</v>
      </c>
      <c r="B13438" s="6">
        <v>45795</v>
      </c>
      <c r="C13438" t="s">
        <v>3938</v>
      </c>
      <c r="D13438" t="s">
        <v>1773</v>
      </c>
      <c r="E13438">
        <v>25</v>
      </c>
      <c r="F13438" t="str">
        <f>IF(Table2[[#This Row],[Manual Cat Value]]="",Table2[[#This Row],[Suggested Cat Value]],VLOOKUP(Table2[[#This Row],[Manual Cat Value]],Lookup!G:H,2,0))</f>
        <v>Restaurants</v>
      </c>
      <c r="G13438" t="s">
        <v>26</v>
      </c>
      <c r="I13438" s="8"/>
      <c r="O13438" t="str">
        <f>LEFT(Table2[[#This Row],[Description]],75)</f>
        <v>Starbucks</v>
      </c>
    </row>
    <row r="13439" spans="1:15" hidden="1">
      <c r="A13439">
        <v>202505</v>
      </c>
      <c r="B13439" s="6">
        <v>45806</v>
      </c>
      <c r="C13439" t="s">
        <v>3938</v>
      </c>
      <c r="D13439" t="s">
        <v>6381</v>
      </c>
      <c r="E13439">
        <v>25</v>
      </c>
      <c r="F13439" t="str">
        <f>IF(Table2[[#This Row],[Manual Cat Value]]="",Table2[[#This Row],[Suggested Cat Value]],VLOOKUP(Table2[[#This Row],[Manual Cat Value]],Lookup!G:H,2,0))</f>
        <v>Restaurants</v>
      </c>
      <c r="G13439" t="s">
        <v>26</v>
      </c>
      <c r="I13439" s="8"/>
      <c r="O13439" t="str">
        <f>LEFT(Table2[[#This Row],[Description]],75)</f>
        <v>STARBUCKS 800-782-7282   800-782-7282 WA REF #24692164L30A9AKAF</v>
      </c>
    </row>
    <row r="13440" spans="1:15" hidden="1">
      <c r="A13440">
        <v>202502</v>
      </c>
      <c r="B13440" s="6">
        <v>45709</v>
      </c>
      <c r="C13440" t="s">
        <v>2258</v>
      </c>
      <c r="D13440" t="s">
        <v>6382</v>
      </c>
      <c r="E13440">
        <v>24.99</v>
      </c>
      <c r="F13440" t="str">
        <f>IF(Table2[[#This Row],[Manual Cat Value]]="",Table2[[#This Row],[Suggested Cat Value]],VLOOKUP(Table2[[#This Row],[Manual Cat Value]],Lookup!G:H,2,0))</f>
        <v>Amazon</v>
      </c>
      <c r="G13440" t="s">
        <v>38</v>
      </c>
      <c r="I13440" s="8"/>
      <c r="O13440" t="str">
        <f>LEFT(Table2[[#This Row],[Description]],75)</f>
        <v>AMAZON MKTPL*2386K55T3 AMZN.COM/BILLWA1RWH8S2T3QW</v>
      </c>
    </row>
    <row r="13441" spans="1:15" hidden="1">
      <c r="A13441">
        <v>202505</v>
      </c>
      <c r="B13441" s="6">
        <v>45782</v>
      </c>
      <c r="C13441" t="s">
        <v>3938</v>
      </c>
      <c r="D13441" t="s">
        <v>4887</v>
      </c>
      <c r="E13441">
        <v>24.94</v>
      </c>
      <c r="F13441" t="str">
        <f>IF(Table2[[#This Row],[Manual Cat Value]]="",Table2[[#This Row],[Suggested Cat Value]],VLOOKUP(Table2[[#This Row],[Manual Cat Value]],Lookup!G:H,2,0))</f>
        <v>Groceries</v>
      </c>
      <c r="G13441" t="s">
        <v>28</v>
      </c>
      <c r="I13441" s="8"/>
      <c r="O13441" t="str">
        <f>LEFT(Table2[[#This Row],[Description]],75)</f>
        <v>Costco Gas Stations</v>
      </c>
    </row>
    <row r="13442" spans="1:15" hidden="1">
      <c r="A13442">
        <v>202504</v>
      </c>
      <c r="B13442" s="6">
        <v>45750</v>
      </c>
      <c r="C13442" t="s">
        <v>130</v>
      </c>
      <c r="D13442" t="s">
        <v>6383</v>
      </c>
      <c r="E13442">
        <v>24.77</v>
      </c>
      <c r="F13442" t="str">
        <f>IF(Table2[[#This Row],[Manual Cat Value]]="",Table2[[#This Row],[Suggested Cat Value]],VLOOKUP(Table2[[#This Row],[Manual Cat Value]],Lookup!G:H,2,0))</f>
        <v>Delete</v>
      </c>
      <c r="G13442" t="s">
        <v>9</v>
      </c>
      <c r="I13442" s="8"/>
      <c r="O13442" t="str">
        <f>LEFT(Table2[[#This Row],[Description]],75)</f>
        <v>MARVEL CHAR DINING 0ORLANDO             FL</v>
      </c>
    </row>
    <row r="13443" spans="1:15" hidden="1">
      <c r="A13443">
        <v>202503</v>
      </c>
      <c r="B13443" s="6">
        <v>45723</v>
      </c>
      <c r="C13443" t="s">
        <v>130</v>
      </c>
      <c r="D13443" t="s">
        <v>6384</v>
      </c>
      <c r="E13443">
        <v>24.69</v>
      </c>
      <c r="F13443" t="str">
        <f>IF(Table2[[#This Row],[Manual Cat Value]]="",Table2[[#This Row],[Suggested Cat Value]],VLOOKUP(Table2[[#This Row],[Manual Cat Value]],Lookup!G:H,2,0))</f>
        <v>Amazon</v>
      </c>
      <c r="G13443" t="s">
        <v>38</v>
      </c>
      <c r="I13443" s="8"/>
      <c r="O13443" t="str">
        <f>LEFT(Table2[[#This Row],[Description]],75)</f>
        <v>PALLINO PASTARIA    SEATTLE             WA</v>
      </c>
    </row>
    <row r="13444" spans="1:15" hidden="1">
      <c r="A13444">
        <v>202504</v>
      </c>
      <c r="B13444" s="6">
        <v>45749</v>
      </c>
      <c r="C13444" t="s">
        <v>130</v>
      </c>
      <c r="D13444" t="s">
        <v>6385</v>
      </c>
      <c r="E13444">
        <v>24.59</v>
      </c>
      <c r="F13444" t="str">
        <f>IF(Table2[[#This Row],[Manual Cat Value]]="",Table2[[#This Row],[Suggested Cat Value]],VLOOKUP(Table2[[#This Row],[Manual Cat Value]],Lookup!G:H,2,0))</f>
        <v>Delete</v>
      </c>
      <c r="G13444" t="s">
        <v>9</v>
      </c>
      <c r="I13444" s="8"/>
      <c r="O13444" t="str">
        <f>LEFT(Table2[[#This Row],[Description]],75)</f>
        <v>7-ELEVEN 21045 00072SARASOTA            FL</v>
      </c>
    </row>
    <row r="13445" spans="1:15" hidden="1">
      <c r="A13445">
        <v>202502</v>
      </c>
      <c r="B13445" s="6">
        <v>45694</v>
      </c>
      <c r="C13445" t="s">
        <v>130</v>
      </c>
      <c r="D13445" t="s">
        <v>6386</v>
      </c>
      <c r="E13445">
        <v>24.54</v>
      </c>
      <c r="F13445" t="str">
        <f>IF(Table2[[#This Row],[Manual Cat Value]]="",Table2[[#This Row],[Suggested Cat Value]],VLOOKUP(Table2[[#This Row],[Manual Cat Value]],Lookup!G:H,2,0))</f>
        <v>Restaurants</v>
      </c>
      <c r="G13445" t="s">
        <v>26</v>
      </c>
      <c r="I13445" s="8"/>
      <c r="O13445" t="str">
        <f>LEFT(Table2[[#This Row],[Description]],75)</f>
        <v>CHICK-FIL-A #03840 0CHANHASSEN          MN</v>
      </c>
    </row>
    <row r="13446" spans="1:15" hidden="1">
      <c r="A13446">
        <v>202503</v>
      </c>
      <c r="B13446" s="6">
        <v>45740</v>
      </c>
      <c r="C13446" t="s">
        <v>130</v>
      </c>
      <c r="D13446" t="s">
        <v>6387</v>
      </c>
      <c r="E13446">
        <v>24.49</v>
      </c>
      <c r="F13446" t="str">
        <f>IF(Table2[[#This Row],[Manual Cat Value]]="",Table2[[#This Row],[Suggested Cat Value]],VLOOKUP(Table2[[#This Row],[Manual Cat Value]],Lookup!G:H,2,0))</f>
        <v>Target</v>
      </c>
      <c r="G13446" t="s">
        <v>26</v>
      </c>
      <c r="H13446" s="8" t="s">
        <v>30</v>
      </c>
      <c r="I13446" s="8"/>
      <c r="O13446" t="str">
        <f>LEFT(Table2[[#This Row],[Description]],75)</f>
        <v>TARGET              CHANHASSEN          MN</v>
      </c>
    </row>
    <row r="13447" spans="1:15" hidden="1">
      <c r="A13447">
        <v>202503</v>
      </c>
      <c r="B13447" s="6">
        <v>45740</v>
      </c>
      <c r="C13447" t="s">
        <v>3938</v>
      </c>
      <c r="D13447" t="s">
        <v>6388</v>
      </c>
      <c r="E13447">
        <v>24.43</v>
      </c>
      <c r="F13447" t="str">
        <f>IF(Table2[[#This Row],[Manual Cat Value]]="",Table2[[#This Row],[Suggested Cat Value]],VLOOKUP(Table2[[#This Row],[Manual Cat Value]],Lookup!G:H,2,0))</f>
        <v>Restaurants</v>
      </c>
      <c r="G13447" t="s">
        <v>26</v>
      </c>
      <c r="I13447" s="8"/>
      <c r="O13447" t="str">
        <f>LEFT(Table2[[#This Row],[Description]],75)</f>
        <v>Roulettes Pizza</v>
      </c>
    </row>
    <row r="13448" spans="1:15" hidden="1">
      <c r="A13448">
        <v>202504</v>
      </c>
      <c r="B13448" s="6">
        <v>45762</v>
      </c>
      <c r="C13448" t="s">
        <v>130</v>
      </c>
      <c r="D13448" t="s">
        <v>6389</v>
      </c>
      <c r="E13448">
        <v>24.4</v>
      </c>
      <c r="F13448" t="str">
        <f>IF(Table2[[#This Row],[Manual Cat Value]]="",Table2[[#This Row],[Suggested Cat Value]],VLOOKUP(Table2[[#This Row],[Manual Cat Value]],Lookup!G:H,2,0))</f>
        <v>Dry Cleaning</v>
      </c>
      <c r="G13448" t="s">
        <v>41</v>
      </c>
      <c r="I13448" s="8"/>
      <c r="O13448" t="str">
        <f>LEFT(Table2[[#This Row],[Description]],75)</f>
        <v>AplPay TIDE DRY CLEAEXCELSIOR           MN</v>
      </c>
    </row>
    <row r="13449" spans="1:15" hidden="1">
      <c r="A13449">
        <v>202505</v>
      </c>
      <c r="B13449" s="6">
        <v>45804</v>
      </c>
      <c r="C13449" t="s">
        <v>130</v>
      </c>
      <c r="D13449" t="s">
        <v>6390</v>
      </c>
      <c r="E13449">
        <v>24.29</v>
      </c>
      <c r="F13449" t="str">
        <f>IF(Table2[[#This Row],[Manual Cat Value]]="",Table2[[#This Row],[Suggested Cat Value]],VLOOKUP(Table2[[#This Row],[Manual Cat Value]],Lookup!G:H,2,0))</f>
        <v>Delete</v>
      </c>
      <c r="G13449" t="s">
        <v>26</v>
      </c>
      <c r="H13449" s="8" t="s">
        <v>9</v>
      </c>
      <c r="I13449" s="8"/>
      <c r="O13449" t="str">
        <f>LEFT(Table2[[#This Row],[Description]],75)</f>
        <v>BEACHES BAR  AND GRIMIAMI BEACH         FL</v>
      </c>
    </row>
    <row r="13450" spans="1:15" hidden="1">
      <c r="A13450">
        <v>202503</v>
      </c>
      <c r="B13450" s="6">
        <v>45733</v>
      </c>
      <c r="C13450" t="s">
        <v>130</v>
      </c>
      <c r="D13450" t="s">
        <v>6391</v>
      </c>
      <c r="E13450">
        <v>24.23</v>
      </c>
      <c r="F13450" t="str">
        <f>IF(Table2[[#This Row],[Manual Cat Value]]="",Table2[[#This Row],[Suggested Cat Value]],VLOOKUP(Table2[[#This Row],[Manual Cat Value]],Lookup!G:H,2,0))</f>
        <v>Delete</v>
      </c>
      <c r="G13450" t="s">
        <v>40</v>
      </c>
      <c r="H13450" s="8" t="s">
        <v>9</v>
      </c>
      <c r="I13450" s="8"/>
      <c r="O13450" t="str">
        <f>LEFT(Table2[[#This Row],[Description]],75)</f>
        <v>SUMUP*FREE NOW      CORK</v>
      </c>
    </row>
    <row r="13451" spans="1:15" hidden="1">
      <c r="A13451">
        <v>202502</v>
      </c>
      <c r="B13451" s="6">
        <v>45711</v>
      </c>
      <c r="C13451" t="s">
        <v>130</v>
      </c>
      <c r="D13451" t="s">
        <v>6392</v>
      </c>
      <c r="E13451">
        <v>24</v>
      </c>
      <c r="F13451" t="str">
        <f>IF(Table2[[#This Row],[Manual Cat Value]]="",Table2[[#This Row],[Suggested Cat Value]],VLOOKUP(Table2[[#This Row],[Manual Cat Value]],Lookup!G:H,2,0))</f>
        <v>Shopping</v>
      </c>
      <c r="G13451" t="s">
        <v>21</v>
      </c>
      <c r="I13451" s="8"/>
      <c r="O13451" t="str">
        <f>LEFT(Table2[[#This Row],[Description]],75)</f>
        <v>BT*GIRL SCOUTS OF THNEW YORK            NY</v>
      </c>
    </row>
    <row r="13452" spans="1:15" hidden="1">
      <c r="A13452">
        <v>202501</v>
      </c>
      <c r="B13452" s="6">
        <v>45664</v>
      </c>
      <c r="C13452" t="s">
        <v>130</v>
      </c>
      <c r="D13452" t="s">
        <v>6393</v>
      </c>
      <c r="E13452">
        <v>23.88</v>
      </c>
      <c r="F13452" t="str">
        <f>IF(Table2[[#This Row],[Manual Cat Value]]="",Table2[[#This Row],[Suggested Cat Value]],VLOOKUP(Table2[[#This Row],[Manual Cat Value]],Lookup!G:H,2,0))</f>
        <v>Travel</v>
      </c>
      <c r="G13452" t="s">
        <v>43</v>
      </c>
      <c r="I13452" s="8"/>
      <c r="O13452" t="str">
        <f>LEFT(Table2[[#This Row],[Description]],75)</f>
        <v>BOSTON TAXI VTS BOSTLONG ISLAND CITY    NY</v>
      </c>
    </row>
    <row r="13453" spans="1:15" hidden="1">
      <c r="A13453">
        <v>202505</v>
      </c>
      <c r="B13453" s="6">
        <v>45778</v>
      </c>
      <c r="C13453" t="s">
        <v>2519</v>
      </c>
      <c r="D13453" t="s">
        <v>6394</v>
      </c>
      <c r="E13453">
        <v>650</v>
      </c>
      <c r="F13453" t="str">
        <f>IF(Table2[[#This Row],[Manual Cat Value]]="",Table2[[#This Row],[Suggested Cat Value]],VLOOKUP(Table2[[#This Row],[Manual Cat Value]],Lookup!G:H,2,0))</f>
        <v>College Savings</v>
      </c>
      <c r="G13453" t="s">
        <v>20</v>
      </c>
      <c r="H13453" s="8" t="s">
        <v>60</v>
      </c>
      <c r="I13453" s="8"/>
      <c r="O13453" t="str">
        <f>LEFT(Table2[[#This Row],[Description]],75)</f>
        <v>Withdrawal ACH ILD529 DIR ACH TYPE: CONTRIB ID: XX2584 CO: ILD529 DIR ACH E</v>
      </c>
    </row>
    <row r="13454" spans="1:15" hidden="1">
      <c r="A13454">
        <v>202501</v>
      </c>
      <c r="B13454" s="6">
        <v>45667</v>
      </c>
      <c r="C13454" t="s">
        <v>130</v>
      </c>
      <c r="D13454" t="s">
        <v>6395</v>
      </c>
      <c r="E13454">
        <v>23.82</v>
      </c>
      <c r="F13454" t="str">
        <f>IF(Table2[[#This Row],[Manual Cat Value]]="",Table2[[#This Row],[Suggested Cat Value]],VLOOKUP(Table2[[#This Row],[Manual Cat Value]],Lookup!G:H,2,0))</f>
        <v>Delete</v>
      </c>
      <c r="G13454" t="s">
        <v>26</v>
      </c>
      <c r="H13454" s="8" t="s">
        <v>9</v>
      </c>
      <c r="I13454" s="8"/>
      <c r="O13454" t="str">
        <f>LEFT(Table2[[#This Row],[Description]],75)</f>
        <v>REVERIE CAFE + BAR  Minneapolis         MN</v>
      </c>
    </row>
    <row r="13455" spans="1:15" hidden="1">
      <c r="A13455">
        <v>202501</v>
      </c>
      <c r="B13455" s="6">
        <v>45676</v>
      </c>
      <c r="C13455" t="s">
        <v>130</v>
      </c>
      <c r="D13455" t="s">
        <v>6396</v>
      </c>
      <c r="E13455">
        <v>23.81</v>
      </c>
      <c r="F13455" t="str">
        <f>IF(Table2[[#This Row],[Manual Cat Value]]="",Table2[[#This Row],[Suggested Cat Value]],VLOOKUP(Table2[[#This Row],[Manual Cat Value]],Lookup!G:H,2,0))</f>
        <v>Restaurants</v>
      </c>
      <c r="G13455" t="s">
        <v>26</v>
      </c>
      <c r="I13455" s="8"/>
      <c r="O13455" t="str">
        <f>LEFT(Table2[[#This Row],[Description]],75)</f>
        <v>TST* FULL TILT TAVERBLOOMINGTON         MN</v>
      </c>
    </row>
    <row r="13456" spans="1:15" hidden="1">
      <c r="A13456">
        <v>202503</v>
      </c>
      <c r="B13456" s="6">
        <v>45734</v>
      </c>
      <c r="C13456" t="s">
        <v>3938</v>
      </c>
      <c r="D13456" t="s">
        <v>6397</v>
      </c>
      <c r="E13456">
        <v>23.57</v>
      </c>
      <c r="F13456" t="str">
        <f>IF(Table2[[#This Row],[Manual Cat Value]]="",Table2[[#This Row],[Suggested Cat Value]],VLOOKUP(Table2[[#This Row],[Manual Cat Value]],Lookup!G:H,2,0))</f>
        <v>Delete</v>
      </c>
      <c r="G13456" t="s">
        <v>9</v>
      </c>
      <c r="H13456" s="8" t="s">
        <v>9</v>
      </c>
      <c r="I13456" s="8"/>
      <c r="O13456" t="str">
        <f>LEFT(Table2[[#This Row],[Description]],75)</f>
        <v>SON OF A BUN VICTORIAN QUAIE REF #XX3612D00PH3PE8</v>
      </c>
    </row>
    <row r="13457" spans="1:15" hidden="1">
      <c r="A13457">
        <v>202504</v>
      </c>
      <c r="B13457" s="6">
        <v>45758</v>
      </c>
      <c r="C13457" t="s">
        <v>130</v>
      </c>
      <c r="D13457" t="s">
        <v>6398</v>
      </c>
      <c r="E13457">
        <v>23.48</v>
      </c>
      <c r="F13457" t="str">
        <f>IF(Table2[[#This Row],[Manual Cat Value]]="",Table2[[#This Row],[Suggested Cat Value]],VLOOKUP(Table2[[#This Row],[Manual Cat Value]],Lookup!G:H,2,0))</f>
        <v>Restaurants</v>
      </c>
      <c r="G13457" t="s">
        <v>26</v>
      </c>
      <c r="I13457" s="8"/>
      <c r="O13457" t="str">
        <f>LEFT(Table2[[#This Row],[Description]],75)</f>
        <v>TAZA 0000           CHANHASSEN          MN</v>
      </c>
    </row>
    <row r="13458" spans="1:15" hidden="1">
      <c r="A13458">
        <v>202502</v>
      </c>
      <c r="B13458" s="6">
        <v>45694</v>
      </c>
      <c r="C13458" t="s">
        <v>130</v>
      </c>
      <c r="D13458" t="s">
        <v>6399</v>
      </c>
      <c r="E13458">
        <v>23.3</v>
      </c>
      <c r="F13458" t="str">
        <f>IF(Table2[[#This Row],[Manual Cat Value]]="",Table2[[#This Row],[Suggested Cat Value]],VLOOKUP(Table2[[#This Row],[Manual Cat Value]],Lookup!G:H,2,0))</f>
        <v>Restaurants</v>
      </c>
      <c r="G13458" t="s">
        <v>26</v>
      </c>
      <c r="I13458" s="8"/>
      <c r="O13458" t="str">
        <f>LEFT(Table2[[#This Row],[Description]],75)</f>
        <v>CRISP &amp; GREEN - CHANCHANHASSEN          MN</v>
      </c>
    </row>
    <row r="13459" spans="1:15" hidden="1">
      <c r="A13459">
        <v>202503</v>
      </c>
      <c r="B13459" s="6">
        <v>45723</v>
      </c>
      <c r="C13459" t="s">
        <v>130</v>
      </c>
      <c r="D13459" t="s">
        <v>6400</v>
      </c>
      <c r="E13459">
        <v>23.28</v>
      </c>
      <c r="F13459" t="str">
        <f>IF(Table2[[#This Row],[Manual Cat Value]]="",Table2[[#This Row],[Suggested Cat Value]],VLOOKUP(Table2[[#This Row],[Manual Cat Value]],Lookup!G:H,2,0))</f>
        <v>Rent</v>
      </c>
      <c r="G13459" t="s">
        <v>5</v>
      </c>
      <c r="I13459" s="8"/>
      <c r="O13459" t="str">
        <f>LEFT(Table2[[#This Row],[Description]],75)</f>
        <v>UNION 76 09535295   BEND                OR</v>
      </c>
    </row>
    <row r="13460" spans="1:15" hidden="1">
      <c r="A13460">
        <v>202503</v>
      </c>
      <c r="B13460" s="6">
        <v>45724</v>
      </c>
      <c r="C13460" t="s">
        <v>130</v>
      </c>
      <c r="D13460" t="s">
        <v>6401</v>
      </c>
      <c r="E13460">
        <v>23</v>
      </c>
      <c r="F13460" t="str">
        <f>IF(Table2[[#This Row],[Manual Cat Value]]="",Table2[[#This Row],[Suggested Cat Value]],VLOOKUP(Table2[[#This Row],[Manual Cat Value]],Lookup!G:H,2,0))</f>
        <v>Travel</v>
      </c>
      <c r="G13460" t="s">
        <v>43</v>
      </c>
      <c r="I13460" s="8"/>
      <c r="O13460" t="str">
        <f>LEFT(Table2[[#This Row],[Description]],75)</f>
        <v>MT BACHELOR         Bend                OR</v>
      </c>
    </row>
    <row r="13461" spans="1:15" hidden="1">
      <c r="A13461">
        <v>202504</v>
      </c>
      <c r="B13461" s="6">
        <v>45764</v>
      </c>
      <c r="C13461" t="s">
        <v>130</v>
      </c>
      <c r="D13461" t="s">
        <v>6402</v>
      </c>
      <c r="E13461">
        <v>23</v>
      </c>
      <c r="F13461" t="str">
        <f>IF(Table2[[#This Row],[Manual Cat Value]]="",Table2[[#This Row],[Suggested Cat Value]],VLOOKUP(Table2[[#This Row],[Manual Cat Value]],Lookup!G:H,2,0))</f>
        <v>Shopping</v>
      </c>
      <c r="G13461" t="s">
        <v>21</v>
      </c>
      <c r="I13461" s="8"/>
      <c r="O13461" t="str">
        <f>LEFT(Table2[[#This Row],[Description]],75)</f>
        <v>SP CASCADIA COFFEE  PORTLAND            OR</v>
      </c>
    </row>
    <row r="13462" spans="1:15" hidden="1">
      <c r="A13462">
        <v>202504</v>
      </c>
      <c r="B13462" s="6">
        <v>45767</v>
      </c>
      <c r="C13462" t="s">
        <v>130</v>
      </c>
      <c r="D13462" t="s">
        <v>6183</v>
      </c>
      <c r="E13462">
        <v>22.95</v>
      </c>
      <c r="F13462" t="str">
        <f>IF(Table2[[#This Row],[Manual Cat Value]]="",Table2[[#This Row],[Suggested Cat Value]],VLOOKUP(Table2[[#This Row],[Manual Cat Value]],Lookup!G:H,2,0))</f>
        <v>Amazon</v>
      </c>
      <c r="G13462" t="s">
        <v>38</v>
      </c>
      <c r="I13462" s="8"/>
      <c r="O13462" t="str">
        <f>LEFT(Table2[[#This Row],[Description]],75)</f>
        <v>AMAZON MARKEPLACE NA PA</v>
      </c>
    </row>
    <row r="13463" spans="1:15" hidden="1">
      <c r="A13463">
        <v>202501</v>
      </c>
      <c r="B13463" s="6">
        <v>45663</v>
      </c>
      <c r="C13463" t="s">
        <v>2519</v>
      </c>
      <c r="D13463" t="s">
        <v>1955</v>
      </c>
      <c r="E13463">
        <v>22.75</v>
      </c>
      <c r="F13463" t="str">
        <f>IF(Table2[[#This Row],[Manual Cat Value]]="",Table2[[#This Row],[Suggested Cat Value]],VLOOKUP(Table2[[#This Row],[Manual Cat Value]],Lookup!G:H,2,0))</f>
        <v>Shopping</v>
      </c>
      <c r="G13463" t="s">
        <v>21</v>
      </c>
      <c r="I13463" s="8"/>
      <c r="O13463" t="str">
        <f>LEFT(Table2[[#This Row],[Description]],75)</f>
        <v>Transfer to PayPal</v>
      </c>
    </row>
    <row r="13464" spans="1:15" hidden="1">
      <c r="A13464">
        <v>202503</v>
      </c>
      <c r="B13464" s="6">
        <v>45732</v>
      </c>
      <c r="C13464" t="s">
        <v>130</v>
      </c>
      <c r="D13464" t="s">
        <v>6403</v>
      </c>
      <c r="E13464">
        <v>22.67</v>
      </c>
      <c r="F13464" t="str">
        <f>IF(Table2[[#This Row],[Manual Cat Value]]="",Table2[[#This Row],[Suggested Cat Value]],VLOOKUP(Table2[[#This Row],[Manual Cat Value]],Lookup!G:H,2,0))</f>
        <v>Delete</v>
      </c>
      <c r="G13464" t="s">
        <v>9</v>
      </c>
      <c r="I13464" s="8"/>
      <c r="O13464" t="str">
        <f>LEFT(Table2[[#This Row],[Description]],75)</f>
        <v>MSP POD1 CUSTOM BURGSAINT PAUL          MN</v>
      </c>
    </row>
    <row r="13465" spans="1:15" hidden="1">
      <c r="A13465">
        <v>202501</v>
      </c>
      <c r="B13465" s="6">
        <v>45668</v>
      </c>
      <c r="C13465" t="s">
        <v>130</v>
      </c>
      <c r="D13465" t="s">
        <v>5788</v>
      </c>
      <c r="E13465">
        <v>22.58</v>
      </c>
      <c r="F13465" t="str">
        <f>IF(Table2[[#This Row],[Manual Cat Value]]="",Table2[[#This Row],[Suggested Cat Value]],VLOOKUP(Table2[[#This Row],[Manual Cat Value]],Lookup!G:H,2,0))</f>
        <v>Groceries</v>
      </c>
      <c r="G13465" t="s">
        <v>28</v>
      </c>
      <c r="I13465" s="8"/>
      <c r="O13465" t="str">
        <f>LEFT(Table2[[#This Row],[Description]],75)</f>
        <v>CUB FOODS #1636 0000SHOREWOOD           MN</v>
      </c>
    </row>
    <row r="13466" spans="1:15" hidden="1">
      <c r="A13466">
        <v>202504</v>
      </c>
      <c r="B13466" s="6">
        <v>45762</v>
      </c>
      <c r="C13466" t="s">
        <v>130</v>
      </c>
      <c r="D13466" t="s">
        <v>6404</v>
      </c>
      <c r="E13466">
        <v>22.49</v>
      </c>
      <c r="F13466" t="str">
        <f>IF(Table2[[#This Row],[Manual Cat Value]]="",Table2[[#This Row],[Suggested Cat Value]],VLOOKUP(Table2[[#This Row],[Manual Cat Value]],Lookup!G:H,2,0))</f>
        <v>House Maintenance</v>
      </c>
      <c r="G13466" t="s">
        <v>26</v>
      </c>
      <c r="H13466" s="8" t="s">
        <v>1</v>
      </c>
      <c r="I13466" s="8"/>
      <c r="O13466" t="str">
        <f>LEFT(Table2[[#This Row],[Description]],75)</f>
        <v>AplPay SHOREWOOD TRUEXCELSIOR           MN</v>
      </c>
    </row>
    <row r="13467" spans="1:15" hidden="1">
      <c r="A13467">
        <v>202505</v>
      </c>
      <c r="B13467" s="6">
        <v>45794</v>
      </c>
      <c r="C13467" t="s">
        <v>130</v>
      </c>
      <c r="D13467" t="s">
        <v>6405</v>
      </c>
      <c r="E13467">
        <v>22.48</v>
      </c>
      <c r="F13467" t="str">
        <f>IF(Table2[[#This Row],[Manual Cat Value]]="",Table2[[#This Row],[Suggested Cat Value]],VLOOKUP(Table2[[#This Row],[Manual Cat Value]],Lookup!G:H,2,0))</f>
        <v>Restaurants</v>
      </c>
      <c r="G13467" t="s">
        <v>26</v>
      </c>
      <c r="I13467" s="8"/>
      <c r="O13467" t="str">
        <f>LEFT(Table2[[#This Row],[Description]],75)</f>
        <v>TST* OG ZAZA - ST. PST. PAUL            MN</v>
      </c>
    </row>
    <row r="13468" spans="1:15" hidden="1">
      <c r="A13468">
        <v>202503</v>
      </c>
      <c r="B13468" s="6">
        <v>45721</v>
      </c>
      <c r="C13468" t="s">
        <v>3938</v>
      </c>
      <c r="D13468" t="s">
        <v>6406</v>
      </c>
      <c r="E13468">
        <v>22</v>
      </c>
      <c r="F13468" t="str">
        <f>IF(Table2[[#This Row],[Manual Cat Value]]="",Table2[[#This Row],[Suggested Cat Value]],VLOOKUP(Table2[[#This Row],[Manual Cat Value]],Lookup!G:H,2,0))</f>
        <v>Restaurants</v>
      </c>
      <c r="G13468" t="s">
        <v>26</v>
      </c>
      <c r="I13468" s="8"/>
      <c r="O13468" t="str">
        <f>LEFT(Table2[[#This Row],[Description]],75)</f>
        <v>BEACH HUT SOUVENIRS BLUE HILLS TC REF #XX9451Z0021ZFXZ</v>
      </c>
    </row>
    <row r="13469" spans="1:15" hidden="1">
      <c r="A13469">
        <v>202504</v>
      </c>
      <c r="B13469" s="6">
        <v>45765</v>
      </c>
      <c r="C13469" t="s">
        <v>3938</v>
      </c>
      <c r="D13469" t="s">
        <v>31</v>
      </c>
      <c r="E13469">
        <v>21.93</v>
      </c>
      <c r="F13469" t="str">
        <f>IF(Table2[[#This Row],[Manual Cat Value]]="",Table2[[#This Row],[Suggested Cat Value]],VLOOKUP(Table2[[#This Row],[Manual Cat Value]],Lookup!G:H,2,0))</f>
        <v>Target</v>
      </c>
      <c r="G13469" t="s">
        <v>31</v>
      </c>
      <c r="I13469" s="8"/>
      <c r="O13469" t="str">
        <f>LEFT(Table2[[#This Row],[Description]],75)</f>
        <v>Target</v>
      </c>
    </row>
    <row r="13470" spans="1:15" hidden="1">
      <c r="A13470">
        <v>202502</v>
      </c>
      <c r="B13470" s="6">
        <v>45700</v>
      </c>
      <c r="C13470" t="s">
        <v>2519</v>
      </c>
      <c r="D13470" t="s">
        <v>1955</v>
      </c>
      <c r="E13470">
        <v>21.79</v>
      </c>
      <c r="F13470" t="str">
        <f>IF(Table2[[#This Row],[Manual Cat Value]]="",Table2[[#This Row],[Suggested Cat Value]],VLOOKUP(Table2[[#This Row],[Manual Cat Value]],Lookup!G:H,2,0))</f>
        <v>Shopping</v>
      </c>
      <c r="G13470" t="s">
        <v>21</v>
      </c>
      <c r="I13470" s="8"/>
      <c r="O13470" t="str">
        <f>LEFT(Table2[[#This Row],[Description]],75)</f>
        <v>Transfer to PayPal</v>
      </c>
    </row>
    <row r="13471" spans="1:15" hidden="1">
      <c r="A13471">
        <v>202501</v>
      </c>
      <c r="B13471" s="6">
        <v>45680</v>
      </c>
      <c r="C13471" t="s">
        <v>130</v>
      </c>
      <c r="D13471" t="s">
        <v>6407</v>
      </c>
      <c r="E13471">
        <v>21.75</v>
      </c>
      <c r="F13471" t="str">
        <f>IF(Table2[[#This Row],[Manual Cat Value]]="",Table2[[#This Row],[Suggested Cat Value]],VLOOKUP(Table2[[#This Row],[Manual Cat Value]],Lookup!G:H,2,0))</f>
        <v>Restaurants</v>
      </c>
      <c r="G13471" t="s">
        <v>26</v>
      </c>
      <c r="I13471" s="8"/>
      <c r="O13471" t="str">
        <f>LEFT(Table2[[#This Row],[Description]],75)</f>
        <v>SUMUP*VALERI GOLUBCHCORK</v>
      </c>
    </row>
    <row r="13472" spans="1:15" hidden="1">
      <c r="A13472">
        <v>202504</v>
      </c>
      <c r="B13472" s="6">
        <v>45762</v>
      </c>
      <c r="C13472" t="s">
        <v>3938</v>
      </c>
      <c r="D13472" t="s">
        <v>31</v>
      </c>
      <c r="E13472">
        <v>21.69</v>
      </c>
      <c r="F13472" t="str">
        <f>IF(Table2[[#This Row],[Manual Cat Value]]="",Table2[[#This Row],[Suggested Cat Value]],VLOOKUP(Table2[[#This Row],[Manual Cat Value]],Lookup!G:H,2,0))</f>
        <v>Target</v>
      </c>
      <c r="G13472" t="s">
        <v>31</v>
      </c>
      <c r="I13472" s="8"/>
      <c r="O13472" t="str">
        <f>LEFT(Table2[[#This Row],[Description]],75)</f>
        <v>Target</v>
      </c>
    </row>
    <row r="13473" spans="1:15" hidden="1">
      <c r="A13473">
        <v>202503</v>
      </c>
      <c r="B13473" s="6">
        <v>45741</v>
      </c>
      <c r="C13473" t="s">
        <v>130</v>
      </c>
      <c r="D13473" t="s">
        <v>6183</v>
      </c>
      <c r="E13473">
        <v>21.66</v>
      </c>
      <c r="F13473" t="str">
        <f>IF(Table2[[#This Row],[Manual Cat Value]]="",Table2[[#This Row],[Suggested Cat Value]],VLOOKUP(Table2[[#This Row],[Manual Cat Value]],Lookup!G:H,2,0))</f>
        <v>Amazon</v>
      </c>
      <c r="G13473" t="s">
        <v>38</v>
      </c>
      <c r="I13473" s="8"/>
      <c r="O13473" t="str">
        <f>LEFT(Table2[[#This Row],[Description]],75)</f>
        <v>AMAZON MARKEPLACE NA PA</v>
      </c>
    </row>
    <row r="13474" spans="1:15" hidden="1">
      <c r="A13474">
        <v>202502</v>
      </c>
      <c r="B13474" s="6">
        <v>45692</v>
      </c>
      <c r="C13474" t="s">
        <v>2258</v>
      </c>
      <c r="D13474" t="s">
        <v>6408</v>
      </c>
      <c r="E13474">
        <v>21.63</v>
      </c>
      <c r="F13474" t="str">
        <f>IF(Table2[[#This Row],[Manual Cat Value]]="",Table2[[#This Row],[Suggested Cat Value]],VLOOKUP(Table2[[#This Row],[Manual Cat Value]],Lookup!G:H,2,0))</f>
        <v>Amazon</v>
      </c>
      <c r="G13474" t="s">
        <v>38</v>
      </c>
      <c r="I13474" s="8"/>
      <c r="O13474" t="str">
        <f>LEFT(Table2[[#This Row],[Description]],75)</f>
        <v>AMAZON.COM*Z70X48XI0 AMZN.COM/BILLWA7FAOHFXN4J1</v>
      </c>
    </row>
    <row r="13475" spans="1:15" hidden="1">
      <c r="A13475">
        <v>202501</v>
      </c>
      <c r="B13475" s="6">
        <v>45684</v>
      </c>
      <c r="C13475" t="s">
        <v>130</v>
      </c>
      <c r="D13475" t="s">
        <v>6409</v>
      </c>
      <c r="E13475">
        <v>21.58</v>
      </c>
      <c r="F13475" t="str">
        <f>IF(Table2[[#This Row],[Manual Cat Value]]="",Table2[[#This Row],[Suggested Cat Value]],VLOOKUP(Table2[[#This Row],[Manual Cat Value]],Lookup!G:H,2,0))</f>
        <v>Utilities</v>
      </c>
      <c r="G13475" t="s">
        <v>7</v>
      </c>
      <c r="I13475" s="8"/>
      <c r="O13475" t="str">
        <f>LEFT(Table2[[#This Row],[Description]],75)</f>
        <v>IPX*NEB DOCTORS OF MEAGAN               MN</v>
      </c>
    </row>
    <row r="13476" spans="1:15" hidden="1">
      <c r="A13476">
        <v>202501</v>
      </c>
      <c r="B13476" s="6">
        <v>45681</v>
      </c>
      <c r="C13476" t="s">
        <v>130</v>
      </c>
      <c r="D13476" t="s">
        <v>6345</v>
      </c>
      <c r="E13476">
        <v>21.57</v>
      </c>
      <c r="F13476" t="str">
        <f>IF(Table2[[#This Row],[Manual Cat Value]]="",Table2[[#This Row],[Suggested Cat Value]],VLOOKUP(Table2[[#This Row],[Manual Cat Value]],Lookup!G:H,2,0))</f>
        <v>Delete</v>
      </c>
      <c r="G13476" t="s">
        <v>26</v>
      </c>
      <c r="H13476" s="8" t="s">
        <v>9</v>
      </c>
      <c r="I13476" s="8"/>
      <c r="O13476" t="str">
        <f>LEFT(Table2[[#This Row],[Description]],75)</f>
        <v>HMSHOST SCHIPHOL AIRSCHIPHOL            NL</v>
      </c>
    </row>
    <row r="13477" spans="1:15" hidden="1">
      <c r="A13477">
        <v>202501</v>
      </c>
      <c r="B13477" s="6">
        <v>45667</v>
      </c>
      <c r="C13477" t="s">
        <v>3938</v>
      </c>
      <c r="D13477" t="s">
        <v>2078</v>
      </c>
      <c r="E13477">
        <v>21.53</v>
      </c>
      <c r="F13477" t="str">
        <f>IF(Table2[[#This Row],[Manual Cat Value]]="",Table2[[#This Row],[Suggested Cat Value]],VLOOKUP(Table2[[#This Row],[Manual Cat Value]],Lookup!G:H,2,0))</f>
        <v>Delete</v>
      </c>
      <c r="G13477" t="s">
        <v>23</v>
      </c>
      <c r="H13477" s="8" t="s">
        <v>9</v>
      </c>
      <c r="I13477" s="8"/>
      <c r="O13477" t="str">
        <f>LEFT(Table2[[#This Row],[Description]],75)</f>
        <v>Uber</v>
      </c>
    </row>
    <row r="13478" spans="1:15" hidden="1">
      <c r="A13478">
        <v>202505</v>
      </c>
      <c r="B13478" s="6">
        <v>45788</v>
      </c>
      <c r="C13478" t="s">
        <v>130</v>
      </c>
      <c r="D13478" t="s">
        <v>5958</v>
      </c>
      <c r="E13478">
        <v>21.26</v>
      </c>
      <c r="F13478" t="str">
        <f>IF(Table2[[#This Row],[Manual Cat Value]]="",Table2[[#This Row],[Suggested Cat Value]],VLOOKUP(Table2[[#This Row],[Manual Cat Value]],Lookup!G:H,2,0))</f>
        <v>Entertainment</v>
      </c>
      <c r="G13478" t="s">
        <v>40</v>
      </c>
      <c r="I13478" s="8"/>
      <c r="O13478" t="str">
        <f>LEFT(Table2[[#This Row],[Description]],75)</f>
        <v>CHASKA CLUB FOODS   CHASKA              MN</v>
      </c>
    </row>
    <row r="13479" spans="1:15" hidden="1">
      <c r="A13479">
        <v>202505</v>
      </c>
      <c r="B13479" s="6">
        <v>45780</v>
      </c>
      <c r="C13479" t="s">
        <v>130</v>
      </c>
      <c r="D13479" t="s">
        <v>6148</v>
      </c>
      <c r="E13479">
        <v>23.88</v>
      </c>
      <c r="F13479" t="str">
        <f>IF(Table2[[#This Row],[Manual Cat Value]]="",Table2[[#This Row],[Suggested Cat Value]],VLOOKUP(Table2[[#This Row],[Manual Cat Value]],Lookup!G:H,2,0))</f>
        <v>Day Care</v>
      </c>
      <c r="G13479" t="s">
        <v>20</v>
      </c>
      <c r="I13479" s="8"/>
      <c r="O13479" t="str">
        <f>LEFT(Table2[[#This Row],[Description]],75)</f>
        <v>MCW 1602-Minnetonka MINNETONKA          MN</v>
      </c>
    </row>
    <row r="13480" spans="1:15" hidden="1">
      <c r="A13480">
        <v>202501</v>
      </c>
      <c r="B13480" s="6">
        <v>45669</v>
      </c>
      <c r="C13480" t="s">
        <v>3938</v>
      </c>
      <c r="D13480" t="s">
        <v>2078</v>
      </c>
      <c r="E13480">
        <v>20.95</v>
      </c>
      <c r="F13480" t="str">
        <f>IF(Table2[[#This Row],[Manual Cat Value]]="",Table2[[#This Row],[Suggested Cat Value]],VLOOKUP(Table2[[#This Row],[Manual Cat Value]],Lookup!G:H,2,0))</f>
        <v>Delete</v>
      </c>
      <c r="G13480" t="s">
        <v>23</v>
      </c>
      <c r="H13480" s="8" t="s">
        <v>9</v>
      </c>
      <c r="I13480" s="8"/>
      <c r="O13480" t="str">
        <f>LEFT(Table2[[#This Row],[Description]],75)</f>
        <v>Uber</v>
      </c>
    </row>
    <row r="13481" spans="1:15" hidden="1">
      <c r="A13481">
        <v>202505</v>
      </c>
      <c r="B13481" s="6">
        <v>45780</v>
      </c>
      <c r="C13481" t="s">
        <v>130</v>
      </c>
      <c r="D13481" t="s">
        <v>6183</v>
      </c>
      <c r="E13481">
        <v>20.61</v>
      </c>
      <c r="F13481" t="str">
        <f>IF(Table2[[#This Row],[Manual Cat Value]]="",Table2[[#This Row],[Suggested Cat Value]],VLOOKUP(Table2[[#This Row],[Manual Cat Value]],Lookup!G:H,2,0))</f>
        <v>Amazon</v>
      </c>
      <c r="G13481" t="s">
        <v>38</v>
      </c>
      <c r="I13481" s="8"/>
      <c r="O13481" t="str">
        <f>LEFT(Table2[[#This Row],[Description]],75)</f>
        <v>AMAZON MARKEPLACE NA PA</v>
      </c>
    </row>
    <row r="13482" spans="1:15" hidden="1">
      <c r="A13482">
        <v>202503</v>
      </c>
      <c r="B13482" s="6">
        <v>45736</v>
      </c>
      <c r="C13482" t="s">
        <v>3938</v>
      </c>
      <c r="D13482" t="s">
        <v>6410</v>
      </c>
      <c r="E13482">
        <v>20.51</v>
      </c>
      <c r="F13482" t="str">
        <f>IF(Table2[[#This Row],[Manual Cat Value]]="",Table2[[#This Row],[Suggested Cat Value]],VLOOKUP(Table2[[#This Row],[Manual Cat Value]],Lookup!G:H,2,0))</f>
        <v>Restaurants</v>
      </c>
      <c r="G13482" t="s">
        <v>26</v>
      </c>
      <c r="I13482" s="8"/>
      <c r="O13482" t="str">
        <f>LEFT(Table2[[#This Row],[Description]],75)</f>
        <v>KAI'S SUSHI AND GRILL MINNETONKA MN REF #XX3692E0GRPRLT4</v>
      </c>
    </row>
    <row r="13483" spans="1:15" hidden="1">
      <c r="A13483">
        <v>202504</v>
      </c>
      <c r="B13483" s="6">
        <v>45766</v>
      </c>
      <c r="C13483" t="s">
        <v>130</v>
      </c>
      <c r="D13483" t="s">
        <v>6230</v>
      </c>
      <c r="E13483">
        <v>20.47</v>
      </c>
      <c r="F13483" t="str">
        <f>IF(Table2[[#This Row],[Manual Cat Value]]="",Table2[[#This Row],[Suggested Cat Value]],VLOOKUP(Table2[[#This Row],[Manual Cat Value]],Lookup!G:H,2,0))</f>
        <v>Restaurants</v>
      </c>
      <c r="G13483" t="s">
        <v>26</v>
      </c>
      <c r="I13483" s="8"/>
      <c r="O13483" t="str">
        <f>LEFT(Table2[[#This Row],[Description]],75)</f>
        <v>BUDDY BOY FINE BARBE612-4660340         MN</v>
      </c>
    </row>
    <row r="13484" spans="1:15" hidden="1">
      <c r="A13484">
        <v>202502</v>
      </c>
      <c r="B13484" s="6">
        <v>45702</v>
      </c>
      <c r="C13484" t="s">
        <v>2519</v>
      </c>
      <c r="D13484" t="s">
        <v>1955</v>
      </c>
      <c r="E13484">
        <v>20.34</v>
      </c>
      <c r="F13484" t="str">
        <f>IF(Table2[[#This Row],[Manual Cat Value]]="",Table2[[#This Row],[Suggested Cat Value]],VLOOKUP(Table2[[#This Row],[Manual Cat Value]],Lookup!G:H,2,0))</f>
        <v>Shopping</v>
      </c>
      <c r="G13484" t="s">
        <v>21</v>
      </c>
      <c r="I13484" s="8"/>
      <c r="O13484" t="str">
        <f>LEFT(Table2[[#This Row],[Description]],75)</f>
        <v>Transfer to PayPal</v>
      </c>
    </row>
    <row r="13485" spans="1:15" hidden="1">
      <c r="A13485">
        <v>202503</v>
      </c>
      <c r="B13485" s="6">
        <v>45726</v>
      </c>
      <c r="C13485" t="s">
        <v>3938</v>
      </c>
      <c r="D13485" t="s">
        <v>690</v>
      </c>
      <c r="E13485">
        <v>20.02</v>
      </c>
      <c r="F13485" t="str">
        <f>IF(Table2[[#This Row],[Manual Cat Value]]="",Table2[[#This Row],[Suggested Cat Value]],VLOOKUP(Table2[[#This Row],[Manual Cat Value]],Lookup!G:H,2,0))</f>
        <v>Restaurants</v>
      </c>
      <c r="G13485" t="s">
        <v>26</v>
      </c>
      <c r="I13485" s="8"/>
      <c r="O13485" t="str">
        <f>LEFT(Table2[[#This Row],[Description]],75)</f>
        <v>Culver's</v>
      </c>
    </row>
    <row r="13486" spans="1:15" hidden="1">
      <c r="A13486">
        <v>202501</v>
      </c>
      <c r="B13486" s="6">
        <v>45660</v>
      </c>
      <c r="C13486" t="s">
        <v>130</v>
      </c>
      <c r="D13486" t="s">
        <v>6411</v>
      </c>
      <c r="E13486">
        <v>20</v>
      </c>
      <c r="F13486" t="str">
        <f>IF(Table2[[#This Row],[Manual Cat Value]]="",Table2[[#This Row],[Suggested Cat Value]],VLOOKUP(Table2[[#This Row],[Manual Cat Value]],Lookup!G:H,2,0))</f>
        <v>Restaurants</v>
      </c>
      <c r="G13486" t="s">
        <v>26</v>
      </c>
      <c r="I13486" s="8"/>
      <c r="O13486" t="str">
        <f>LEFT(Table2[[#This Row],[Description]],75)</f>
        <v>VICTORIA BURROW ARCAVICTORIA            MN</v>
      </c>
    </row>
    <row r="13487" spans="1:15" hidden="1">
      <c r="A13487">
        <v>202501</v>
      </c>
      <c r="B13487" s="6">
        <v>45671</v>
      </c>
      <c r="C13487" t="s">
        <v>130</v>
      </c>
      <c r="D13487" t="s">
        <v>5762</v>
      </c>
      <c r="E13487">
        <v>20</v>
      </c>
      <c r="F13487" t="str">
        <f>IF(Table2[[#This Row],[Manual Cat Value]]="",Table2[[#This Row],[Suggested Cat Value]],VLOOKUP(Table2[[#This Row],[Manual Cat Value]],Lookup!G:H,2,0))</f>
        <v>Utilities</v>
      </c>
      <c r="G13487" t="s">
        <v>7</v>
      </c>
      <c r="I13487" s="8"/>
      <c r="O13487" t="str">
        <f>LEFT(Table2[[#This Row],[Description]],75)</f>
        <v>OPENAI *CHATGPT SUBSSAN FRANCISCO       CA</v>
      </c>
    </row>
    <row r="13488" spans="1:15" hidden="1">
      <c r="A13488">
        <v>202502</v>
      </c>
      <c r="B13488" s="6">
        <v>45702</v>
      </c>
      <c r="C13488" t="s">
        <v>130</v>
      </c>
      <c r="D13488" t="s">
        <v>5762</v>
      </c>
      <c r="E13488">
        <v>20</v>
      </c>
      <c r="F13488" t="str">
        <f>IF(Table2[[#This Row],[Manual Cat Value]]="",Table2[[#This Row],[Suggested Cat Value]],VLOOKUP(Table2[[#This Row],[Manual Cat Value]],Lookup!G:H,2,0))</f>
        <v>Utilities</v>
      </c>
      <c r="G13488" t="s">
        <v>7</v>
      </c>
      <c r="I13488" s="8"/>
      <c r="O13488" t="str">
        <f>LEFT(Table2[[#This Row],[Description]],75)</f>
        <v>OPENAI *CHATGPT SUBSSAN FRANCISCO       CA</v>
      </c>
    </row>
    <row r="13489" spans="1:15" hidden="1">
      <c r="A13489">
        <v>202503</v>
      </c>
      <c r="B13489" s="6">
        <v>45726</v>
      </c>
      <c r="C13489" t="s">
        <v>130</v>
      </c>
      <c r="D13489" t="s">
        <v>6412</v>
      </c>
      <c r="E13489">
        <v>20</v>
      </c>
      <c r="F13489" t="str">
        <f>IF(Table2[[#This Row],[Manual Cat Value]]="",Table2[[#This Row],[Suggested Cat Value]],VLOOKUP(Table2[[#This Row],[Manual Cat Value]],Lookup!G:H,2,0))</f>
        <v>Restaurants</v>
      </c>
      <c r="G13489" t="s">
        <v>26</v>
      </c>
      <c r="I13489" s="8"/>
      <c r="O13489" t="str">
        <f>LEFT(Table2[[#This Row],[Description]],75)</f>
        <v>AplPay CS *STARBUCKS877-850-1977        ME</v>
      </c>
    </row>
    <row r="13490" spans="1:15" hidden="1">
      <c r="A13490">
        <v>202503</v>
      </c>
      <c r="B13490" s="6">
        <v>45730</v>
      </c>
      <c r="C13490" t="s">
        <v>130</v>
      </c>
      <c r="D13490" t="s">
        <v>5762</v>
      </c>
      <c r="E13490">
        <v>20</v>
      </c>
      <c r="F13490" t="str">
        <f>IF(Table2[[#This Row],[Manual Cat Value]]="",Table2[[#This Row],[Suggested Cat Value]],VLOOKUP(Table2[[#This Row],[Manual Cat Value]],Lookup!G:H,2,0))</f>
        <v>Utilities</v>
      </c>
      <c r="G13490" t="s">
        <v>7</v>
      </c>
      <c r="I13490" s="8"/>
      <c r="O13490" t="str">
        <f>LEFT(Table2[[#This Row],[Description]],75)</f>
        <v>OPENAI *CHATGPT SUBSSAN FRANCISCO       CA</v>
      </c>
    </row>
    <row r="13491" spans="1:15" hidden="1">
      <c r="A13491">
        <v>202503</v>
      </c>
      <c r="B13491" s="6">
        <v>45734</v>
      </c>
      <c r="C13491" t="s">
        <v>2519</v>
      </c>
      <c r="D13491" t="s">
        <v>1958</v>
      </c>
      <c r="E13491">
        <v>20</v>
      </c>
      <c r="F13491" t="str">
        <f>IF(Table2[[#This Row],[Manual Cat Value]]="",Table2[[#This Row],[Suggested Cat Value]],VLOOKUP(Table2[[#This Row],[Manual Cat Value]],Lookup!G:H,2,0))</f>
        <v>Shopping</v>
      </c>
      <c r="G13491" t="s">
        <v>21</v>
      </c>
      <c r="I13491" s="8"/>
      <c r="O13491" t="str">
        <f>LEFT(Table2[[#This Row],[Description]],75)</f>
        <v>Transfer to Venmo</v>
      </c>
    </row>
    <row r="13492" spans="1:15" hidden="1">
      <c r="A13492">
        <v>202504</v>
      </c>
      <c r="B13492" s="6">
        <v>45761</v>
      </c>
      <c r="C13492" t="s">
        <v>130</v>
      </c>
      <c r="D13492" t="s">
        <v>5762</v>
      </c>
      <c r="E13492">
        <v>20</v>
      </c>
      <c r="F13492" t="str">
        <f>IF(Table2[[#This Row],[Manual Cat Value]]="",Table2[[#This Row],[Suggested Cat Value]],VLOOKUP(Table2[[#This Row],[Manual Cat Value]],Lookup!G:H,2,0))</f>
        <v>Utilities</v>
      </c>
      <c r="G13492" t="s">
        <v>7</v>
      </c>
      <c r="I13492" s="8"/>
      <c r="O13492" t="str">
        <f>LEFT(Table2[[#This Row],[Description]],75)</f>
        <v>OPENAI *CHATGPT SUBSSAN FRANCISCO       CA</v>
      </c>
    </row>
    <row r="13493" spans="1:15" hidden="1">
      <c r="A13493">
        <v>202505</v>
      </c>
      <c r="B13493" s="6">
        <v>45791</v>
      </c>
      <c r="C13493" t="s">
        <v>130</v>
      </c>
      <c r="D13493" t="s">
        <v>5762</v>
      </c>
      <c r="E13493">
        <v>20</v>
      </c>
      <c r="F13493" t="str">
        <f>IF(Table2[[#This Row],[Manual Cat Value]]="",Table2[[#This Row],[Suggested Cat Value]],VLOOKUP(Table2[[#This Row],[Manual Cat Value]],Lookup!G:H,2,0))</f>
        <v>Utilities</v>
      </c>
      <c r="G13493" t="s">
        <v>7</v>
      </c>
      <c r="I13493" s="8"/>
      <c r="O13493" t="str">
        <f>LEFT(Table2[[#This Row],[Description]],75)</f>
        <v>OPENAI *CHATGPT SUBSSAN FRANCISCO       CA</v>
      </c>
    </row>
    <row r="13494" spans="1:15" hidden="1">
      <c r="A13494">
        <v>202505</v>
      </c>
      <c r="B13494" s="6">
        <v>45781</v>
      </c>
      <c r="C13494" t="s">
        <v>2258</v>
      </c>
      <c r="D13494" t="s">
        <v>6413</v>
      </c>
      <c r="E13494">
        <v>19.989999999999998</v>
      </c>
      <c r="F13494" t="str">
        <f>IF(Table2[[#This Row],[Manual Cat Value]]="",Table2[[#This Row],[Suggested Cat Value]],VLOOKUP(Table2[[#This Row],[Manual Cat Value]],Lookup!G:H,2,0))</f>
        <v>Restaurants</v>
      </c>
      <c r="G13494" t="s">
        <v>26</v>
      </c>
      <c r="I13494" s="8"/>
      <c r="O13494" t="str">
        <f>LEFT(Table2[[#This Row],[Description]],75)</f>
        <v>TST* BACK CHANNEL BREWIN SPRING PARK MN</v>
      </c>
    </row>
    <row r="13495" spans="1:15" hidden="1">
      <c r="A13495">
        <v>202503</v>
      </c>
      <c r="B13495" s="6">
        <v>45733</v>
      </c>
      <c r="C13495" t="s">
        <v>130</v>
      </c>
      <c r="D13495" t="s">
        <v>6414</v>
      </c>
      <c r="E13495">
        <v>19.649999999999999</v>
      </c>
      <c r="F13495" t="str">
        <f>IF(Table2[[#This Row],[Manual Cat Value]]="",Table2[[#This Row],[Suggested Cat Value]],VLOOKUP(Table2[[#This Row],[Manual Cat Value]],Lookup!G:H,2,0))</f>
        <v>Delete</v>
      </c>
      <c r="G13495" t="s">
        <v>9</v>
      </c>
      <c r="H13495" s="8" t="s">
        <v>9</v>
      </c>
      <c r="I13495" s="8"/>
      <c r="O13495" t="str">
        <f>LEFT(Table2[[#This Row],[Description]],75)</f>
        <v>TST-NUA ASADOR - MARCORK                IR</v>
      </c>
    </row>
    <row r="13496" spans="1:15" hidden="1">
      <c r="A13496">
        <v>202501</v>
      </c>
      <c r="B13496" s="6">
        <v>45685</v>
      </c>
      <c r="C13496" t="s">
        <v>130</v>
      </c>
      <c r="D13496" t="s">
        <v>6415</v>
      </c>
      <c r="E13496">
        <v>19.62</v>
      </c>
      <c r="F13496" t="str">
        <f>IF(Table2[[#This Row],[Manual Cat Value]]="",Table2[[#This Row],[Suggested Cat Value]],VLOOKUP(Table2[[#This Row],[Manual Cat Value]],Lookup!G:H,2,0))</f>
        <v>Restaurants</v>
      </c>
      <c r="G13496" t="s">
        <v>26</v>
      </c>
      <c r="I13496" s="8"/>
      <c r="O13496" t="str">
        <f>LEFT(Table2[[#This Row],[Description]],75)</f>
        <v>AplPay NOODLES &amp; CO CHANHASSEN          MN</v>
      </c>
    </row>
    <row r="13497" spans="1:15" hidden="1">
      <c r="A13497">
        <v>202501</v>
      </c>
      <c r="B13497" s="6">
        <v>45667</v>
      </c>
      <c r="C13497" t="s">
        <v>3938</v>
      </c>
      <c r="D13497" t="s">
        <v>2078</v>
      </c>
      <c r="E13497">
        <v>19.190000000000001</v>
      </c>
      <c r="F13497" t="str">
        <f>IF(Table2[[#This Row],[Manual Cat Value]]="",Table2[[#This Row],[Suggested Cat Value]],VLOOKUP(Table2[[#This Row],[Manual Cat Value]],Lookup!G:H,2,0))</f>
        <v>Delete</v>
      </c>
      <c r="G13497" t="s">
        <v>23</v>
      </c>
      <c r="H13497" s="8" t="s">
        <v>9</v>
      </c>
      <c r="I13497" s="8"/>
      <c r="O13497" t="str">
        <f>LEFT(Table2[[#This Row],[Description]],75)</f>
        <v>Uber</v>
      </c>
    </row>
    <row r="13498" spans="1:15" hidden="1">
      <c r="A13498">
        <v>202503</v>
      </c>
      <c r="B13498" s="6">
        <v>45734</v>
      </c>
      <c r="C13498" t="s">
        <v>3938</v>
      </c>
      <c r="D13498" t="s">
        <v>6416</v>
      </c>
      <c r="E13498">
        <v>19.04</v>
      </c>
      <c r="F13498" t="str">
        <f>IF(Table2[[#This Row],[Manual Cat Value]]="",Table2[[#This Row],[Suggested Cat Value]],VLOOKUP(Table2[[#This Row],[Manual Cat Value]],Lookup!G:H,2,0))</f>
        <v>Delete</v>
      </c>
      <c r="G13498" t="s">
        <v>26</v>
      </c>
      <c r="H13498" s="8" t="s">
        <v>9</v>
      </c>
      <c r="I13498" s="8"/>
      <c r="O13498" t="str">
        <f>LEFT(Table2[[#This Row],[Description]],75)</f>
        <v>SPAR MCCURTAIN STREET CORK IE REF #XX3612D0218KT9J</v>
      </c>
    </row>
    <row r="13499" spans="1:15" hidden="1">
      <c r="A13499">
        <v>202503</v>
      </c>
      <c r="B13499" s="6">
        <v>45726</v>
      </c>
      <c r="C13499" t="s">
        <v>2258</v>
      </c>
      <c r="D13499" t="s">
        <v>6417</v>
      </c>
      <c r="E13499">
        <v>18.93</v>
      </c>
      <c r="F13499" t="str">
        <f>IF(Table2[[#This Row],[Manual Cat Value]]="",Table2[[#This Row],[Suggested Cat Value]],VLOOKUP(Table2[[#This Row],[Manual Cat Value]],Lookup!G:H,2,0))</f>
        <v>Amazon</v>
      </c>
      <c r="G13499" t="s">
        <v>38</v>
      </c>
      <c r="I13499" s="8"/>
      <c r="O13499" t="str">
        <f>LEFT(Table2[[#This Row],[Description]],75)</f>
        <v>AMAZON MKTPL*TQ5NC1UH3 AMZN.COM/BILLWA4BUER73YOXN</v>
      </c>
    </row>
    <row r="13500" spans="1:15" hidden="1">
      <c r="A13500">
        <v>202501</v>
      </c>
      <c r="B13500" s="6">
        <v>45677</v>
      </c>
      <c r="C13500" t="s">
        <v>130</v>
      </c>
      <c r="D13500" t="s">
        <v>6418</v>
      </c>
      <c r="E13500">
        <v>18.8</v>
      </c>
      <c r="F13500" t="str">
        <f>IF(Table2[[#This Row],[Manual Cat Value]]="",Table2[[#This Row],[Suggested Cat Value]],VLOOKUP(Table2[[#This Row],[Manual Cat Value]],Lookup!G:H,2,0))</f>
        <v>Restaurants</v>
      </c>
      <c r="G13500" t="s">
        <v>26</v>
      </c>
      <c r="I13500" s="8"/>
      <c r="O13500" t="str">
        <f>LEFT(Table2[[#This Row],[Description]],75)</f>
        <v>SUMUP*ABIODUN NURENICORK</v>
      </c>
    </row>
    <row r="13501" spans="1:15" hidden="1">
      <c r="A13501">
        <v>202501</v>
      </c>
      <c r="B13501" s="6">
        <v>45667</v>
      </c>
      <c r="C13501" t="s">
        <v>130</v>
      </c>
      <c r="D13501" t="s">
        <v>6419</v>
      </c>
      <c r="E13501">
        <v>18.670000000000002</v>
      </c>
      <c r="F13501" t="str">
        <f>IF(Table2[[#This Row],[Manual Cat Value]]="",Table2[[#This Row],[Suggested Cat Value]],VLOOKUP(Table2[[#This Row],[Manual Cat Value]],Lookup!G:H,2,0))</f>
        <v>Delete</v>
      </c>
      <c r="G13501" t="s">
        <v>9</v>
      </c>
      <c r="H13501" s="8" t="s">
        <v>9</v>
      </c>
      <c r="I13501" s="8"/>
      <c r="O13501" t="str">
        <f>LEFT(Table2[[#This Row],[Description]],75)</f>
        <v>CURRITO BURRITO 6500BOSTON              MA</v>
      </c>
    </row>
    <row r="13502" spans="1:15" hidden="1">
      <c r="A13502">
        <v>202501</v>
      </c>
      <c r="B13502" s="6">
        <v>45677</v>
      </c>
      <c r="C13502" t="s">
        <v>130</v>
      </c>
      <c r="D13502" t="s">
        <v>6345</v>
      </c>
      <c r="E13502">
        <v>18.57</v>
      </c>
      <c r="F13502" t="str">
        <f>IF(Table2[[#This Row],[Manual Cat Value]]="",Table2[[#This Row],[Suggested Cat Value]],VLOOKUP(Table2[[#This Row],[Manual Cat Value]],Lookup!G:H,2,0))</f>
        <v>Delete</v>
      </c>
      <c r="G13502" t="s">
        <v>26</v>
      </c>
      <c r="H13502" s="8" t="s">
        <v>9</v>
      </c>
      <c r="I13502" s="8"/>
      <c r="O13502" t="str">
        <f>LEFT(Table2[[#This Row],[Description]],75)</f>
        <v>HMSHOST SCHIPHOL AIRSCHIPHOL            NL</v>
      </c>
    </row>
    <row r="13503" spans="1:15" hidden="1">
      <c r="A13503">
        <v>202501</v>
      </c>
      <c r="B13503" s="6">
        <v>45688</v>
      </c>
      <c r="C13503" t="s">
        <v>130</v>
      </c>
      <c r="D13503" t="s">
        <v>6069</v>
      </c>
      <c r="E13503">
        <v>18.260000000000002</v>
      </c>
      <c r="F13503" t="str">
        <f>IF(Table2[[#This Row],[Manual Cat Value]]="",Table2[[#This Row],[Suggested Cat Value]],VLOOKUP(Table2[[#This Row],[Manual Cat Value]],Lookup!G:H,2,0))</f>
        <v>Restaurants</v>
      </c>
      <c r="G13503" t="s">
        <v>26</v>
      </c>
      <c r="I13503" s="8"/>
      <c r="O13503" t="str">
        <f>LEFT(Table2[[#This Row],[Description]],75)</f>
        <v>AplPay THE LOBBY COFExcelsior           MN</v>
      </c>
    </row>
    <row r="13504" spans="1:15" hidden="1">
      <c r="A13504">
        <v>202503</v>
      </c>
      <c r="B13504" s="6">
        <v>45725</v>
      </c>
      <c r="C13504" t="s">
        <v>3938</v>
      </c>
      <c r="D13504" t="s">
        <v>6420</v>
      </c>
      <c r="E13504">
        <v>18.170000000000002</v>
      </c>
      <c r="F13504" t="str">
        <f>IF(Table2[[#This Row],[Manual Cat Value]]="",Table2[[#This Row],[Suggested Cat Value]],VLOOKUP(Table2[[#This Row],[Manual Cat Value]],Lookup!G:H,2,0))</f>
        <v>Restaurants</v>
      </c>
      <c r="G13504" t="s">
        <v>26</v>
      </c>
      <c r="I13504" s="8"/>
      <c r="O13504" t="str">
        <f>LEFT(Table2[[#This Row],[Description]],75)</f>
        <v>MERVCO LTD PROVIDENCIALETC REF #XX6423ESB1LTJ3</v>
      </c>
    </row>
    <row r="13505" spans="1:15" hidden="1">
      <c r="A13505">
        <v>202502</v>
      </c>
      <c r="B13505" s="6">
        <v>45690</v>
      </c>
      <c r="C13505" t="s">
        <v>130</v>
      </c>
      <c r="D13505" t="s">
        <v>6421</v>
      </c>
      <c r="E13505">
        <v>18.07</v>
      </c>
      <c r="F13505" t="str">
        <f>IF(Table2[[#This Row],[Manual Cat Value]]="",Table2[[#This Row],[Suggested Cat Value]],VLOOKUP(Table2[[#This Row],[Manual Cat Value]],Lookup!G:H,2,0))</f>
        <v>Shopping</v>
      </c>
      <c r="G13505" t="s">
        <v>26</v>
      </c>
      <c r="H13505" s="8" t="s">
        <v>36</v>
      </c>
      <c r="I13505" s="8"/>
      <c r="O13505" t="str">
        <f>LEFT(Table2[[#This Row],[Description]],75)</f>
        <v>TST* ORIGINAL HOCKEYFRIDLEY             MN</v>
      </c>
    </row>
    <row r="13506" spans="1:15" hidden="1">
      <c r="A13506">
        <v>202501</v>
      </c>
      <c r="B13506" s="6">
        <v>45688</v>
      </c>
      <c r="C13506" t="s">
        <v>2519</v>
      </c>
      <c r="D13506" t="s">
        <v>1955</v>
      </c>
      <c r="E13506">
        <v>17.43</v>
      </c>
      <c r="F13506" t="str">
        <f>IF(Table2[[#This Row],[Manual Cat Value]]="",Table2[[#This Row],[Suggested Cat Value]],VLOOKUP(Table2[[#This Row],[Manual Cat Value]],Lookup!G:H,2,0))</f>
        <v>Shopping</v>
      </c>
      <c r="G13506" t="s">
        <v>21</v>
      </c>
      <c r="I13506" s="8"/>
      <c r="O13506" t="str">
        <f>LEFT(Table2[[#This Row],[Description]],75)</f>
        <v>Transfer to PayPal</v>
      </c>
    </row>
    <row r="13507" spans="1:15" hidden="1">
      <c r="A13507">
        <v>202504</v>
      </c>
      <c r="B13507" s="6">
        <v>45762</v>
      </c>
      <c r="C13507" t="s">
        <v>2519</v>
      </c>
      <c r="D13507" t="s">
        <v>1955</v>
      </c>
      <c r="E13507">
        <v>17.43</v>
      </c>
      <c r="F13507" t="str">
        <f>IF(Table2[[#This Row],[Manual Cat Value]]="",Table2[[#This Row],[Suggested Cat Value]],VLOOKUP(Table2[[#This Row],[Manual Cat Value]],Lookup!G:H,2,0))</f>
        <v>Shopping</v>
      </c>
      <c r="G13507" t="s">
        <v>21</v>
      </c>
      <c r="I13507" s="8"/>
      <c r="O13507" t="str">
        <f>LEFT(Table2[[#This Row],[Description]],75)</f>
        <v>Transfer to PayPal</v>
      </c>
    </row>
    <row r="13508" spans="1:15" hidden="1">
      <c r="A13508">
        <v>202505</v>
      </c>
      <c r="B13508" s="6">
        <v>45792</v>
      </c>
      <c r="C13508" t="s">
        <v>2519</v>
      </c>
      <c r="D13508" t="s">
        <v>1955</v>
      </c>
      <c r="E13508">
        <v>17.43</v>
      </c>
      <c r="F13508" t="str">
        <f>IF(Table2[[#This Row],[Manual Cat Value]]="",Table2[[#This Row],[Suggested Cat Value]],VLOOKUP(Table2[[#This Row],[Manual Cat Value]],Lookup!G:H,2,0))</f>
        <v>Shopping</v>
      </c>
      <c r="G13508" t="s">
        <v>21</v>
      </c>
      <c r="I13508" s="8"/>
      <c r="O13508" t="str">
        <f>LEFT(Table2[[#This Row],[Description]],75)</f>
        <v>Transfer to PayPal</v>
      </c>
    </row>
    <row r="13509" spans="1:15" hidden="1">
      <c r="A13509">
        <v>202501</v>
      </c>
      <c r="B13509" s="6">
        <v>45664</v>
      </c>
      <c r="C13509" t="s">
        <v>130</v>
      </c>
      <c r="D13509" t="s">
        <v>6183</v>
      </c>
      <c r="E13509">
        <v>17.329999999999998</v>
      </c>
      <c r="F13509" t="str">
        <f>IF(Table2[[#This Row],[Manual Cat Value]]="",Table2[[#This Row],[Suggested Cat Value]],VLOOKUP(Table2[[#This Row],[Manual Cat Value]],Lookup!G:H,2,0))</f>
        <v>Amazon</v>
      </c>
      <c r="G13509" t="s">
        <v>38</v>
      </c>
      <c r="I13509" s="8"/>
      <c r="O13509" t="str">
        <f>LEFT(Table2[[#This Row],[Description]],75)</f>
        <v>AMAZON MARKEPLACE NA PA</v>
      </c>
    </row>
    <row r="13510" spans="1:15" hidden="1">
      <c r="A13510">
        <v>202501</v>
      </c>
      <c r="B13510" s="6">
        <v>45682</v>
      </c>
      <c r="C13510" t="s">
        <v>130</v>
      </c>
      <c r="D13510" t="s">
        <v>6422</v>
      </c>
      <c r="E13510">
        <v>17.3</v>
      </c>
      <c r="F13510" t="str">
        <f>IF(Table2[[#This Row],[Manual Cat Value]]="",Table2[[#This Row],[Suggested Cat Value]],VLOOKUP(Table2[[#This Row],[Manual Cat Value]],Lookup!G:H,2,0))</f>
        <v>Restaurants</v>
      </c>
      <c r="G13510" t="s">
        <v>26</v>
      </c>
      <c r="I13510" s="8"/>
      <c r="O13510" t="str">
        <f>LEFT(Table2[[#This Row],[Description]],75)</f>
        <v>MCDONALD'S F5629 000EXCELSIOR           MN</v>
      </c>
    </row>
    <row r="13511" spans="1:15" hidden="1">
      <c r="A13511">
        <v>202505</v>
      </c>
      <c r="B13511" s="6">
        <v>45793</v>
      </c>
      <c r="C13511" t="s">
        <v>130</v>
      </c>
      <c r="D13511" t="s">
        <v>5827</v>
      </c>
      <c r="E13511">
        <v>16.829999999999998</v>
      </c>
      <c r="F13511" t="str">
        <f>IF(Table2[[#This Row],[Manual Cat Value]]="",Table2[[#This Row],[Suggested Cat Value]],VLOOKUP(Table2[[#This Row],[Manual Cat Value]],Lookup!G:H,2,0))</f>
        <v>Delete</v>
      </c>
      <c r="G13511" t="s">
        <v>9</v>
      </c>
      <c r="H13511" s="8" t="s">
        <v>9</v>
      </c>
      <c r="I13511" s="8"/>
      <c r="O13511" t="str">
        <f>LEFT(Table2[[#This Row],[Description]],75)</f>
        <v>THE DEAN HOTEL IE000CORK                IR</v>
      </c>
    </row>
    <row r="13512" spans="1:15" hidden="1">
      <c r="A13512">
        <v>202501</v>
      </c>
      <c r="B13512" s="6">
        <v>45680</v>
      </c>
      <c r="C13512" t="s">
        <v>130</v>
      </c>
      <c r="D13512" t="s">
        <v>6423</v>
      </c>
      <c r="E13512">
        <v>16.79</v>
      </c>
      <c r="F13512" t="str">
        <f>IF(Table2[[#This Row],[Manual Cat Value]]="",Table2[[#This Row],[Suggested Cat Value]],VLOOKUP(Table2[[#This Row],[Manual Cat Value]],Lookup!G:H,2,0))</f>
        <v>Delete</v>
      </c>
      <c r="G13512" t="s">
        <v>26</v>
      </c>
      <c r="H13512" s="8" t="s">
        <v>9</v>
      </c>
      <c r="I13512" s="8"/>
      <c r="O13512" t="str">
        <f>LEFT(Table2[[#This Row],[Description]],75)</f>
        <v>TST-BURRITOS AND BLUCORK                IR</v>
      </c>
    </row>
    <row r="13513" spans="1:15" hidden="1">
      <c r="A13513">
        <v>202504</v>
      </c>
      <c r="B13513" s="6">
        <v>45762</v>
      </c>
      <c r="C13513" t="s">
        <v>2258</v>
      </c>
      <c r="D13513" t="s">
        <v>6424</v>
      </c>
      <c r="E13513">
        <v>16.53</v>
      </c>
      <c r="F13513" t="str">
        <f>IF(Table2[[#This Row],[Manual Cat Value]]="",Table2[[#This Row],[Suggested Cat Value]],VLOOKUP(Table2[[#This Row],[Manual Cat Value]],Lookup!G:H,2,0))</f>
        <v>Groceries</v>
      </c>
      <c r="G13513" t="s">
        <v>28</v>
      </c>
      <c r="I13513" s="8"/>
      <c r="O13513" t="str">
        <f>LEFT(Table2[[#This Row],[Description]],75)</f>
        <v>CUB FOODS #1636 SHOREWOOD MNAPPLE PAY ENDING IN 7968</v>
      </c>
    </row>
    <row r="13514" spans="1:15" hidden="1">
      <c r="A13514">
        <v>202501</v>
      </c>
      <c r="B13514" s="6">
        <v>45679</v>
      </c>
      <c r="C13514" t="s">
        <v>130</v>
      </c>
      <c r="D13514" t="s">
        <v>6425</v>
      </c>
      <c r="E13514">
        <v>16.45</v>
      </c>
      <c r="F13514" t="str">
        <f>IF(Table2[[#This Row],[Manual Cat Value]]="",Table2[[#This Row],[Suggested Cat Value]],VLOOKUP(Table2[[#This Row],[Manual Cat Value]],Lookup!G:H,2,0))</f>
        <v>Delete</v>
      </c>
      <c r="G13514" t="s">
        <v>9</v>
      </c>
      <c r="I13514" s="8"/>
      <c r="O13514" t="str">
        <f>LEFT(Table2[[#This Row],[Description]],75)</f>
        <v>TST-SULTAN FALAFEL -CORK                IR</v>
      </c>
    </row>
    <row r="13515" spans="1:15" hidden="1">
      <c r="A13515">
        <v>202504</v>
      </c>
      <c r="B13515" s="6">
        <v>45762</v>
      </c>
      <c r="C13515" t="s">
        <v>3938</v>
      </c>
      <c r="D13515" t="s">
        <v>31</v>
      </c>
      <c r="E13515">
        <v>16.32</v>
      </c>
      <c r="F13515" t="str">
        <f>IF(Table2[[#This Row],[Manual Cat Value]]="",Table2[[#This Row],[Suggested Cat Value]],VLOOKUP(Table2[[#This Row],[Manual Cat Value]],Lookup!G:H,2,0))</f>
        <v>Target</v>
      </c>
      <c r="G13515" t="s">
        <v>31</v>
      </c>
      <c r="I13515" s="8"/>
      <c r="O13515" t="str">
        <f>LEFT(Table2[[#This Row],[Description]],75)</f>
        <v>Target</v>
      </c>
    </row>
    <row r="13516" spans="1:15" hidden="1">
      <c r="A13516">
        <v>202505</v>
      </c>
      <c r="B13516" s="6">
        <v>45788</v>
      </c>
      <c r="C13516" t="s">
        <v>130</v>
      </c>
      <c r="D13516" t="s">
        <v>6404</v>
      </c>
      <c r="E13516">
        <v>16.28</v>
      </c>
      <c r="F13516" t="str">
        <f>IF(Table2[[#This Row],[Manual Cat Value]]="",Table2[[#This Row],[Suggested Cat Value]],VLOOKUP(Table2[[#This Row],[Manual Cat Value]],Lookup!G:H,2,0))</f>
        <v>House Maintenance</v>
      </c>
      <c r="G13516" t="s">
        <v>26</v>
      </c>
      <c r="H13516" s="8" t="s">
        <v>1</v>
      </c>
      <c r="I13516" s="8"/>
      <c r="O13516" t="str">
        <f>LEFT(Table2[[#This Row],[Description]],75)</f>
        <v>AplPay SHOREWOOD TRUEXCELSIOR           MN</v>
      </c>
    </row>
    <row r="13517" spans="1:15" hidden="1">
      <c r="A13517">
        <v>202505</v>
      </c>
      <c r="B13517" s="6">
        <v>45804</v>
      </c>
      <c r="C13517" t="s">
        <v>130</v>
      </c>
      <c r="D13517" t="s">
        <v>5977</v>
      </c>
      <c r="E13517">
        <v>16.100000000000001</v>
      </c>
      <c r="F13517" t="str">
        <f>IF(Table2[[#This Row],[Manual Cat Value]]="",Table2[[#This Row],[Suggested Cat Value]],VLOOKUP(Table2[[#This Row],[Manual Cat Value]],Lookup!G:H,2,0))</f>
        <v>Restaurants</v>
      </c>
      <c r="G13517" t="s">
        <v>26</v>
      </c>
      <c r="I13517" s="8"/>
      <c r="O13517" t="str">
        <f>LEFT(Table2[[#This Row],[Description]],75)</f>
        <v>AplPay JJ S POKE    EDINA               MN</v>
      </c>
    </row>
    <row r="13518" spans="1:15" hidden="1">
      <c r="A13518">
        <v>202501</v>
      </c>
      <c r="B13518" s="6">
        <v>45658</v>
      </c>
      <c r="C13518" t="s">
        <v>130</v>
      </c>
      <c r="D13518" t="s">
        <v>5765</v>
      </c>
      <c r="E13518">
        <v>16.010000000000002</v>
      </c>
      <c r="F13518" t="str">
        <f>IF(Table2[[#This Row],[Manual Cat Value]]="",Table2[[#This Row],[Suggested Cat Value]],VLOOKUP(Table2[[#This Row],[Manual Cat Value]],Lookup!G:H,2,0))</f>
        <v>Amazon</v>
      </c>
      <c r="G13518" t="s">
        <v>38</v>
      </c>
      <c r="I13518" s="8"/>
      <c r="O13518" t="str">
        <f>LEFT(Table2[[#This Row],[Description]],75)</f>
        <v>PRIME VIDEO CHANNELSAMZN.COM/BILL       WA</v>
      </c>
    </row>
    <row r="13519" spans="1:15" hidden="1">
      <c r="A13519">
        <v>202501</v>
      </c>
      <c r="B13519" s="6">
        <v>45675</v>
      </c>
      <c r="C13519" t="s">
        <v>130</v>
      </c>
      <c r="D13519" t="s">
        <v>6426</v>
      </c>
      <c r="E13519">
        <v>16</v>
      </c>
      <c r="F13519" t="str">
        <f>IF(Table2[[#This Row],[Manual Cat Value]]="",Table2[[#This Row],[Suggested Cat Value]],VLOOKUP(Table2[[#This Row],[Manual Cat Value]],Lookup!G:H,2,0))</f>
        <v>Restaurants</v>
      </c>
      <c r="G13519" t="s">
        <v>26</v>
      </c>
      <c r="I13519" s="8"/>
      <c r="O13519" t="str">
        <f>LEFT(Table2[[#This Row],[Description]],75)</f>
        <v>AplPay CITY OF PLYMOPLYMOUTH            MN</v>
      </c>
    </row>
    <row r="13520" spans="1:15" hidden="1">
      <c r="A13520">
        <v>202505</v>
      </c>
      <c r="B13520" s="6">
        <v>45803</v>
      </c>
      <c r="C13520" t="s">
        <v>3938</v>
      </c>
      <c r="D13520" t="s">
        <v>6427</v>
      </c>
      <c r="E13520">
        <v>16</v>
      </c>
      <c r="F13520" t="str">
        <f>IF(Table2[[#This Row],[Manual Cat Value]]="",Table2[[#This Row],[Suggested Cat Value]],VLOOKUP(Table2[[#This Row],[Manual Cat Value]],Lookup!G:H,2,0))</f>
        <v>Restaurants</v>
      </c>
      <c r="G13520" t="s">
        <v>26</v>
      </c>
      <c r="I13520" s="8"/>
      <c r="O13520" t="str">
        <f>LEFT(Table2[[#This Row],[Description]],75)</f>
        <v>BUREAU OF PARKS MADISON WI REF #XX7054J3SDW9E3H</v>
      </c>
    </row>
    <row r="13521" spans="1:15" hidden="1">
      <c r="A13521">
        <v>202505</v>
      </c>
      <c r="B13521" s="6">
        <v>45785</v>
      </c>
      <c r="C13521" t="s">
        <v>3938</v>
      </c>
      <c r="D13521" t="s">
        <v>6428</v>
      </c>
      <c r="E13521">
        <v>15.87</v>
      </c>
      <c r="F13521" t="str">
        <f>IF(Table2[[#This Row],[Manual Cat Value]]="",Table2[[#This Row],[Suggested Cat Value]],VLOOKUP(Table2[[#This Row],[Manual Cat Value]],Lookup!G:H,2,0))</f>
        <v>Restaurants</v>
      </c>
      <c r="G13521" t="s">
        <v>26</v>
      </c>
      <c r="I13521" s="8"/>
      <c r="O13521" t="str">
        <f>LEFT(Table2[[#This Row],[Description]],75)</f>
        <v>19 EAST EMP STORE HERSHEY PA REF #XX2163Z3113S25T</v>
      </c>
    </row>
    <row r="13522" spans="1:15" hidden="1">
      <c r="A13522">
        <v>202505</v>
      </c>
      <c r="B13522" s="6">
        <v>45800</v>
      </c>
      <c r="C13522" t="s">
        <v>130</v>
      </c>
      <c r="D13522" t="s">
        <v>6429</v>
      </c>
      <c r="E13522">
        <v>15.49</v>
      </c>
      <c r="F13522" t="str">
        <f>IF(Table2[[#This Row],[Manual Cat Value]]="",Table2[[#This Row],[Suggested Cat Value]],VLOOKUP(Table2[[#This Row],[Manual Cat Value]],Lookup!G:H,2,0))</f>
        <v>Restaurants</v>
      </c>
      <c r="G13522" t="s">
        <v>26</v>
      </c>
      <c r="I13522" s="8"/>
      <c r="O13522" t="str">
        <f>LEFT(Table2[[#This Row],[Description]],75)</f>
        <v>AplPay BP#2034841CAPTURTLE LAKE         WI</v>
      </c>
    </row>
    <row r="13523" spans="1:15" hidden="1">
      <c r="A13523">
        <v>202503</v>
      </c>
      <c r="B13523" s="6">
        <v>45723</v>
      </c>
      <c r="C13523" t="s">
        <v>130</v>
      </c>
      <c r="D13523" t="s">
        <v>6430</v>
      </c>
      <c r="E13523">
        <v>15.42</v>
      </c>
      <c r="F13523" t="str">
        <f>IF(Table2[[#This Row],[Manual Cat Value]]="",Table2[[#This Row],[Suggested Cat Value]],VLOOKUP(Table2[[#This Row],[Manual Cat Value]],Lookup!G:H,2,0))</f>
        <v>Amazon</v>
      </c>
      <c r="G13523" t="s">
        <v>38</v>
      </c>
      <c r="I13523" s="8"/>
      <c r="O13523" t="str">
        <f>LEFT(Table2[[#This Row],[Description]],75)</f>
        <v>HUDSONNEWS ST1110 11SEATAC              WA</v>
      </c>
    </row>
    <row r="13524" spans="1:15" hidden="1">
      <c r="A13524">
        <v>202504</v>
      </c>
      <c r="B13524" s="6">
        <v>45761</v>
      </c>
      <c r="C13524" t="s">
        <v>2258</v>
      </c>
      <c r="D13524" t="s">
        <v>6431</v>
      </c>
      <c r="E13524">
        <v>15.23</v>
      </c>
      <c r="F13524" t="str">
        <f>IF(Table2[[#This Row],[Manual Cat Value]]="",Table2[[#This Row],[Suggested Cat Value]],VLOOKUP(Table2[[#This Row],[Manual Cat Value]],Lookup!G:H,2,0))</f>
        <v>Amazon</v>
      </c>
      <c r="G13524" t="s">
        <v>38</v>
      </c>
      <c r="I13524" s="8"/>
      <c r="O13524" t="str">
        <f>LEFT(Table2[[#This Row],[Description]],75)</f>
        <v>AMAZON MKTPL*CC50P6NU3 AMZN.COM/BILLWA765EMM2S5O4</v>
      </c>
    </row>
    <row r="13525" spans="1:15" hidden="1">
      <c r="A13525">
        <v>202502</v>
      </c>
      <c r="B13525" s="6">
        <v>45707</v>
      </c>
      <c r="C13525" t="s">
        <v>130</v>
      </c>
      <c r="D13525" t="s">
        <v>6432</v>
      </c>
      <c r="E13525">
        <v>15.1</v>
      </c>
      <c r="F13525" t="str">
        <f>IF(Table2[[#This Row],[Manual Cat Value]]="",Table2[[#This Row],[Suggested Cat Value]],VLOOKUP(Table2[[#This Row],[Manual Cat Value]],Lookup!G:H,2,0))</f>
        <v>Restaurants</v>
      </c>
      <c r="G13525" t="s">
        <v>26</v>
      </c>
      <c r="I13525" s="8"/>
      <c r="O13525" t="str">
        <f>LEFT(Table2[[#This Row],[Description]],75)</f>
        <v>THE LOBBY COFFEE &amp; LExcelsior           MN</v>
      </c>
    </row>
    <row r="13526" spans="1:15" hidden="1">
      <c r="A13526">
        <v>202503</v>
      </c>
      <c r="B13526" s="6">
        <v>45735</v>
      </c>
      <c r="C13526" t="s">
        <v>2519</v>
      </c>
      <c r="D13526" t="s">
        <v>1958</v>
      </c>
      <c r="E13526">
        <v>15</v>
      </c>
      <c r="F13526" t="str">
        <f>IF(Table2[[#This Row],[Manual Cat Value]]="",Table2[[#This Row],[Suggested Cat Value]],VLOOKUP(Table2[[#This Row],[Manual Cat Value]],Lookup!G:H,2,0))</f>
        <v>Shopping</v>
      </c>
      <c r="G13526" t="s">
        <v>21</v>
      </c>
      <c r="I13526" s="8"/>
      <c r="O13526" t="str">
        <f>LEFT(Table2[[#This Row],[Description]],75)</f>
        <v>Transfer to Venmo</v>
      </c>
    </row>
    <row r="13527" spans="1:15" hidden="1">
      <c r="A13527">
        <v>202504</v>
      </c>
      <c r="B13527" s="6">
        <v>45767</v>
      </c>
      <c r="C13527" t="s">
        <v>3938</v>
      </c>
      <c r="D13527" t="s">
        <v>1773</v>
      </c>
      <c r="E13527">
        <v>15</v>
      </c>
      <c r="F13527" t="str">
        <f>IF(Table2[[#This Row],[Manual Cat Value]]="",Table2[[#This Row],[Suggested Cat Value]],VLOOKUP(Table2[[#This Row],[Manual Cat Value]],Lookup!G:H,2,0))</f>
        <v>Restaurants</v>
      </c>
      <c r="G13527" t="s">
        <v>26</v>
      </c>
      <c r="I13527" s="8"/>
      <c r="O13527" t="str">
        <f>LEFT(Table2[[#This Row],[Description]],75)</f>
        <v>Starbucks</v>
      </c>
    </row>
    <row r="13528" spans="1:15" hidden="1">
      <c r="A13528">
        <v>202505</v>
      </c>
      <c r="B13528" s="6">
        <v>45780</v>
      </c>
      <c r="C13528" t="s">
        <v>130</v>
      </c>
      <c r="D13528" t="s">
        <v>6289</v>
      </c>
      <c r="E13528">
        <v>15</v>
      </c>
      <c r="F13528" t="str">
        <f>IF(Table2[[#This Row],[Manual Cat Value]]="",Table2[[#This Row],[Suggested Cat Value]],VLOOKUP(Table2[[#This Row],[Manual Cat Value]],Lookup!G:H,2,0))</f>
        <v>Restaurants</v>
      </c>
      <c r="G13528" t="s">
        <v>26</v>
      </c>
      <c r="I13528" s="8"/>
      <c r="O13528" t="str">
        <f>LEFT(Table2[[#This Row],[Description]],75)</f>
        <v>SURFSIDE BAR &amp; GRILLMOUND               MN</v>
      </c>
    </row>
    <row r="13529" spans="1:15" hidden="1">
      <c r="A13529">
        <v>202505</v>
      </c>
      <c r="B13529" s="6">
        <v>45802</v>
      </c>
      <c r="C13529" t="s">
        <v>3938</v>
      </c>
      <c r="D13529" t="s">
        <v>6433</v>
      </c>
      <c r="E13529">
        <v>15</v>
      </c>
      <c r="F13529" t="str">
        <f>IF(Table2[[#This Row],[Manual Cat Value]]="",Table2[[#This Row],[Suggested Cat Value]],VLOOKUP(Table2[[#This Row],[Manual Cat Value]],Lookup!G:H,2,0))</f>
        <v>Restaurants</v>
      </c>
      <c r="G13529" t="s">
        <v>26</v>
      </c>
      <c r="I13529" s="8"/>
      <c r="O13529" t="str">
        <f>LEFT(Table2[[#This Row],[Description]],75)</f>
        <v>Angry Minnow</v>
      </c>
    </row>
    <row r="13530" spans="1:15" hidden="1">
      <c r="A13530">
        <v>202504</v>
      </c>
      <c r="B13530" s="6">
        <v>45764</v>
      </c>
      <c r="C13530" t="s">
        <v>130</v>
      </c>
      <c r="D13530" t="s">
        <v>5977</v>
      </c>
      <c r="E13530">
        <v>14.99</v>
      </c>
      <c r="F13530" t="str">
        <f>IF(Table2[[#This Row],[Manual Cat Value]]="",Table2[[#This Row],[Suggested Cat Value]],VLOOKUP(Table2[[#This Row],[Manual Cat Value]],Lookup!G:H,2,0))</f>
        <v>Restaurants</v>
      </c>
      <c r="G13530" t="s">
        <v>26</v>
      </c>
      <c r="I13530" s="8"/>
      <c r="O13530" t="str">
        <f>LEFT(Table2[[#This Row],[Description]],75)</f>
        <v>AplPay JJ S POKE    EDINA               MN</v>
      </c>
    </row>
    <row r="13531" spans="1:15" hidden="1">
      <c r="A13531">
        <v>202502</v>
      </c>
      <c r="B13531" s="6">
        <v>45700</v>
      </c>
      <c r="C13531" t="s">
        <v>130</v>
      </c>
      <c r="D13531" t="s">
        <v>6434</v>
      </c>
      <c r="E13531">
        <v>14.69</v>
      </c>
      <c r="F13531" t="str">
        <f>IF(Table2[[#This Row],[Manual Cat Value]]="",Table2[[#This Row],[Suggested Cat Value]],VLOOKUP(Table2[[#This Row],[Manual Cat Value]],Lookup!G:H,2,0))</f>
        <v>Restaurants</v>
      </c>
      <c r="G13531" t="s">
        <v>26</v>
      </c>
      <c r="I13531" s="8"/>
      <c r="O13531" t="str">
        <f>LEFT(Table2[[#This Row],[Description]],75)</f>
        <v>AplPay MCDONALD'S F5EXCELSIOR           MN</v>
      </c>
    </row>
    <row r="13532" spans="1:15" hidden="1">
      <c r="A13532">
        <v>202503</v>
      </c>
      <c r="B13532" s="6">
        <v>45747</v>
      </c>
      <c r="C13532" t="s">
        <v>3938</v>
      </c>
      <c r="D13532" t="s">
        <v>6435</v>
      </c>
      <c r="E13532">
        <v>14.42</v>
      </c>
      <c r="F13532" t="str">
        <f>IF(Table2[[#This Row],[Manual Cat Value]]="",Table2[[#This Row],[Suggested Cat Value]],VLOOKUP(Table2[[#This Row],[Manual Cat Value]],Lookup!G:H,2,0))</f>
        <v>Restaurants</v>
      </c>
      <c r="G13532" t="s">
        <v>26</v>
      </c>
      <c r="I13532" s="8"/>
      <c r="O13532" t="str">
        <f>LEFT(Table2[[#This Row],[Description]],75)</f>
        <v>HH MARKETPLACE MSP ST. PAUL MN REF #XX2162T2ZZ0JP5D</v>
      </c>
    </row>
    <row r="13533" spans="1:15" hidden="1">
      <c r="A13533">
        <v>202504</v>
      </c>
      <c r="B13533" s="6">
        <v>45763</v>
      </c>
      <c r="C13533" t="s">
        <v>2258</v>
      </c>
      <c r="D13533" t="s">
        <v>6436</v>
      </c>
      <c r="E13533">
        <v>14.14</v>
      </c>
      <c r="F13533" t="str">
        <f>IF(Table2[[#This Row],[Manual Cat Value]]="",Table2[[#This Row],[Suggested Cat Value]],VLOOKUP(Table2[[#This Row],[Manual Cat Value]],Lookup!G:H,2,0))</f>
        <v>Amazon</v>
      </c>
      <c r="G13533" t="s">
        <v>38</v>
      </c>
      <c r="I13533" s="8"/>
      <c r="O13533" t="str">
        <f>LEFT(Table2[[#This Row],[Description]],75)</f>
        <v>AMAZON MKTPL*8X7781BR3 AMZN.COM/BILLWA2NEQWBEFVZW</v>
      </c>
    </row>
    <row r="13534" spans="1:15" hidden="1">
      <c r="A13534">
        <v>202504</v>
      </c>
      <c r="B13534" s="6">
        <v>45769</v>
      </c>
      <c r="C13534" t="s">
        <v>3938</v>
      </c>
      <c r="D13534" t="s">
        <v>1876</v>
      </c>
      <c r="E13534">
        <v>14.1</v>
      </c>
      <c r="F13534" t="str">
        <f>IF(Table2[[#This Row],[Manual Cat Value]]="",Table2[[#This Row],[Suggested Cat Value]],VLOOKUP(Table2[[#This Row],[Manual Cat Value]],Lookup!G:H,2,0))</f>
        <v>Shopping</v>
      </c>
      <c r="G13534" t="s">
        <v>21</v>
      </c>
      <c r="I13534" s="8"/>
      <c r="O13534" t="str">
        <f>LEFT(Table2[[#This Row],[Description]],75)</f>
        <v>TJ Maxx</v>
      </c>
    </row>
    <row r="13535" spans="1:15" hidden="1">
      <c r="A13535">
        <v>202503</v>
      </c>
      <c r="B13535" s="6">
        <v>45733</v>
      </c>
      <c r="C13535" t="s">
        <v>130</v>
      </c>
      <c r="D13535" t="s">
        <v>6437</v>
      </c>
      <c r="E13535">
        <v>14.07</v>
      </c>
      <c r="F13535" t="str">
        <f>IF(Table2[[#This Row],[Manual Cat Value]]="",Table2[[#This Row],[Suggested Cat Value]],VLOOKUP(Table2[[#This Row],[Manual Cat Value]],Lookup!G:H,2,0))</f>
        <v>Travel</v>
      </c>
      <c r="G13535" t="s">
        <v>43</v>
      </c>
      <c r="I13535" s="8"/>
      <c r="O13535" t="str">
        <f>LEFT(Table2[[#This Row],[Description]],75)</f>
        <v>814100 CDG2 E K JETEROISSY CDG CEDEX    FR</v>
      </c>
    </row>
    <row r="13536" spans="1:15" hidden="1">
      <c r="A13536">
        <v>202504</v>
      </c>
      <c r="B13536" s="6">
        <v>45754</v>
      </c>
      <c r="C13536" t="s">
        <v>3938</v>
      </c>
      <c r="D13536" t="s">
        <v>5280</v>
      </c>
      <c r="E13536">
        <v>14</v>
      </c>
      <c r="F13536" t="str">
        <f>IF(Table2[[#This Row],[Manual Cat Value]]="",Table2[[#This Row],[Suggested Cat Value]],VLOOKUP(Table2[[#This Row],[Manual Cat Value]],Lookup!G:H,2,0))</f>
        <v>Travel</v>
      </c>
      <c r="G13536" t="s">
        <v>43</v>
      </c>
      <c r="I13536" s="8"/>
      <c r="O13536" t="str">
        <f>LEFT(Table2[[#This Row],[Description]],75)</f>
        <v>Sun Country Airlines</v>
      </c>
    </row>
    <row r="13537" spans="1:15" hidden="1">
      <c r="A13537">
        <v>202505</v>
      </c>
      <c r="B13537" s="6">
        <v>45791</v>
      </c>
      <c r="C13537" t="s">
        <v>3938</v>
      </c>
      <c r="D13537" t="s">
        <v>6438</v>
      </c>
      <c r="E13537">
        <v>13.83</v>
      </c>
      <c r="F13537" t="str">
        <f>IF(Table2[[#This Row],[Manual Cat Value]]="",Table2[[#This Row],[Suggested Cat Value]],VLOOKUP(Table2[[#This Row],[Manual Cat Value]],Lookup!G:H,2,0))</f>
        <v>Delete</v>
      </c>
      <c r="G13537" t="s">
        <v>9</v>
      </c>
      <c r="I13537" s="8"/>
      <c r="O13537" t="str">
        <f>LEFT(Table2[[#This Row],[Description]],75)</f>
        <v>UNITY SHOP CORK IE REF #XX4602AZST9N</v>
      </c>
    </row>
    <row r="13538" spans="1:15" hidden="1">
      <c r="A13538">
        <v>202502</v>
      </c>
      <c r="B13538" s="6">
        <v>45700</v>
      </c>
      <c r="C13538" t="s">
        <v>130</v>
      </c>
      <c r="D13538" t="s">
        <v>6069</v>
      </c>
      <c r="E13538">
        <v>13.79</v>
      </c>
      <c r="F13538" t="str">
        <f>IF(Table2[[#This Row],[Manual Cat Value]]="",Table2[[#This Row],[Suggested Cat Value]],VLOOKUP(Table2[[#This Row],[Manual Cat Value]],Lookup!G:H,2,0))</f>
        <v>Restaurants</v>
      </c>
      <c r="G13538" t="s">
        <v>26</v>
      </c>
      <c r="I13538" s="8"/>
      <c r="O13538" t="str">
        <f>LEFT(Table2[[#This Row],[Description]],75)</f>
        <v>AplPay THE LOBBY COFExcelsior           MN</v>
      </c>
    </row>
    <row r="13539" spans="1:15" hidden="1">
      <c r="A13539">
        <v>202503</v>
      </c>
      <c r="B13539" s="6">
        <v>45739</v>
      </c>
      <c r="C13539" t="s">
        <v>3938</v>
      </c>
      <c r="D13539" t="s">
        <v>6439</v>
      </c>
      <c r="E13539">
        <v>13.76</v>
      </c>
      <c r="F13539" t="str">
        <f>IF(Table2[[#This Row],[Manual Cat Value]]="",Table2[[#This Row],[Suggested Cat Value]],VLOOKUP(Table2[[#This Row],[Manual Cat Value]],Lookup!G:H,2,0))</f>
        <v>Delete</v>
      </c>
      <c r="G13539" t="s">
        <v>9</v>
      </c>
      <c r="I13539" s="8"/>
      <c r="O13539" t="str">
        <f>LEFT(Table2[[#This Row],[Description]],75)</f>
        <v>ARAMARK</v>
      </c>
    </row>
    <row r="13540" spans="1:15" hidden="1">
      <c r="A13540">
        <v>202501</v>
      </c>
      <c r="B13540" s="6">
        <v>45684</v>
      </c>
      <c r="C13540" t="s">
        <v>130</v>
      </c>
      <c r="D13540" t="s">
        <v>6069</v>
      </c>
      <c r="E13540">
        <v>13.74</v>
      </c>
      <c r="F13540" t="str">
        <f>IF(Table2[[#This Row],[Manual Cat Value]]="",Table2[[#This Row],[Suggested Cat Value]],VLOOKUP(Table2[[#This Row],[Manual Cat Value]],Lookup!G:H,2,0))</f>
        <v>Restaurants</v>
      </c>
      <c r="G13540" t="s">
        <v>26</v>
      </c>
      <c r="I13540" s="8"/>
      <c r="O13540" t="str">
        <f>LEFT(Table2[[#This Row],[Description]],75)</f>
        <v>AplPay THE LOBBY COFExcelsior           MN</v>
      </c>
    </row>
    <row r="13541" spans="1:15" hidden="1">
      <c r="A13541">
        <v>202501</v>
      </c>
      <c r="B13541" s="6">
        <v>45664</v>
      </c>
      <c r="C13541" t="s">
        <v>130</v>
      </c>
      <c r="D13541" t="s">
        <v>6373</v>
      </c>
      <c r="E13541">
        <v>13.73</v>
      </c>
      <c r="F13541" t="str">
        <f>IF(Table2[[#This Row],[Manual Cat Value]]="",Table2[[#This Row],[Suggested Cat Value]],VLOOKUP(Table2[[#This Row],[Manual Cat Value]],Lookup!G:H,2,0))</f>
        <v>Delete</v>
      </c>
      <c r="G13541" t="s">
        <v>9</v>
      </c>
      <c r="I13541" s="8"/>
      <c r="O13541" t="str">
        <f>LEFT(Table2[[#This Row],[Description]],75)</f>
        <v>JJ-PCG MSP VENTURE LSAINT PAUL          MN</v>
      </c>
    </row>
    <row r="13542" spans="1:15" hidden="1">
      <c r="A13542">
        <v>202505</v>
      </c>
      <c r="B13542" s="6">
        <v>45778</v>
      </c>
      <c r="C13542" t="s">
        <v>130</v>
      </c>
      <c r="D13542" t="s">
        <v>6440</v>
      </c>
      <c r="E13542">
        <v>13.57</v>
      </c>
      <c r="F13542" t="str">
        <f>IF(Table2[[#This Row],[Manual Cat Value]]="",Table2[[#This Row],[Suggested Cat Value]],VLOOKUP(Table2[[#This Row],[Manual Cat Value]],Lookup!G:H,2,0))</f>
        <v>Delete</v>
      </c>
      <c r="G13542" t="s">
        <v>9</v>
      </c>
      <c r="I13542" s="8"/>
      <c r="O13542" t="str">
        <f>LEFT(Table2[[#This Row],[Description]],75)</f>
        <v>AplPay JJ-PCG MSP VESAINT PAUL          MN</v>
      </c>
    </row>
    <row r="13543" spans="1:15" hidden="1">
      <c r="A13543">
        <v>202503</v>
      </c>
      <c r="B13543" s="6">
        <v>45719</v>
      </c>
      <c r="C13543" t="s">
        <v>2519</v>
      </c>
      <c r="D13543" t="s">
        <v>1955</v>
      </c>
      <c r="E13543">
        <v>13.07</v>
      </c>
      <c r="F13543" t="str">
        <f>IF(Table2[[#This Row],[Manual Cat Value]]="",Table2[[#This Row],[Suggested Cat Value]],VLOOKUP(Table2[[#This Row],[Manual Cat Value]],Lookup!G:H,2,0))</f>
        <v>Shopping</v>
      </c>
      <c r="G13543" t="s">
        <v>21</v>
      </c>
      <c r="I13543" s="8"/>
      <c r="O13543" t="str">
        <f>LEFT(Table2[[#This Row],[Description]],75)</f>
        <v>Transfer to PayPal</v>
      </c>
    </row>
    <row r="13544" spans="1:15" hidden="1">
      <c r="A13544">
        <v>202504</v>
      </c>
      <c r="B13544" s="6">
        <v>45749</v>
      </c>
      <c r="C13544" t="s">
        <v>2519</v>
      </c>
      <c r="D13544" t="s">
        <v>1955</v>
      </c>
      <c r="E13544">
        <v>13.07</v>
      </c>
      <c r="F13544" t="str">
        <f>IF(Table2[[#This Row],[Manual Cat Value]]="",Table2[[#This Row],[Suggested Cat Value]],VLOOKUP(Table2[[#This Row],[Manual Cat Value]],Lookup!G:H,2,0))</f>
        <v>Shopping</v>
      </c>
      <c r="G13544" t="s">
        <v>21</v>
      </c>
      <c r="I13544" s="8"/>
      <c r="O13544" t="str">
        <f>LEFT(Table2[[#This Row],[Description]],75)</f>
        <v>Transfer to PayPal</v>
      </c>
    </row>
    <row r="13545" spans="1:15" hidden="1">
      <c r="A13545">
        <v>202505</v>
      </c>
      <c r="B13545" s="6">
        <v>45782</v>
      </c>
      <c r="C13545" t="s">
        <v>2519</v>
      </c>
      <c r="D13545" t="s">
        <v>1955</v>
      </c>
      <c r="E13545">
        <v>13.07</v>
      </c>
      <c r="F13545" t="str">
        <f>IF(Table2[[#This Row],[Manual Cat Value]]="",Table2[[#This Row],[Suggested Cat Value]],VLOOKUP(Table2[[#This Row],[Manual Cat Value]],Lookup!G:H,2,0))</f>
        <v>Shopping</v>
      </c>
      <c r="G13545" t="s">
        <v>21</v>
      </c>
      <c r="I13545" s="8"/>
      <c r="O13545" t="str">
        <f>LEFT(Table2[[#This Row],[Description]],75)</f>
        <v>Transfer to PayPal</v>
      </c>
    </row>
    <row r="13546" spans="1:15" hidden="1">
      <c r="A13546">
        <v>202505</v>
      </c>
      <c r="B13546" s="6">
        <v>45785</v>
      </c>
      <c r="C13546" t="s">
        <v>130</v>
      </c>
      <c r="D13546" t="s">
        <v>6350</v>
      </c>
      <c r="E13546">
        <v>12.43</v>
      </c>
      <c r="F13546" t="str">
        <f>IF(Table2[[#This Row],[Manual Cat Value]]="",Table2[[#This Row],[Suggested Cat Value]],VLOOKUP(Table2[[#This Row],[Manual Cat Value]],Lookup!G:H,2,0))</f>
        <v>Restaurants</v>
      </c>
      <c r="G13546" t="s">
        <v>26</v>
      </c>
      <c r="I13546" s="8"/>
      <c r="O13546" t="str">
        <f>LEFT(Table2[[#This Row],[Description]],75)</f>
        <v>AplPay HOMEDEPOT.COM800-430-3376        GA</v>
      </c>
    </row>
    <row r="13547" spans="1:15" hidden="1">
      <c r="A13547">
        <v>202504</v>
      </c>
      <c r="B13547" s="6">
        <v>45769</v>
      </c>
      <c r="C13547" t="s">
        <v>130</v>
      </c>
      <c r="D13547" t="s">
        <v>6389</v>
      </c>
      <c r="E13547">
        <v>12.2</v>
      </c>
      <c r="F13547" t="str">
        <f>IF(Table2[[#This Row],[Manual Cat Value]]="",Table2[[#This Row],[Suggested Cat Value]],VLOOKUP(Table2[[#This Row],[Manual Cat Value]],Lookup!G:H,2,0))</f>
        <v>Dry Cleaning</v>
      </c>
      <c r="G13547" t="s">
        <v>41</v>
      </c>
      <c r="I13547" s="8"/>
      <c r="O13547" t="str">
        <f>LEFT(Table2[[#This Row],[Description]],75)</f>
        <v>AplPay TIDE DRY CLEAEXCELSIOR           MN</v>
      </c>
    </row>
    <row r="13548" spans="1:15" hidden="1">
      <c r="A13548">
        <v>202503</v>
      </c>
      <c r="B13548" s="6">
        <v>45725</v>
      </c>
      <c r="C13548" t="s">
        <v>130</v>
      </c>
      <c r="D13548" t="s">
        <v>6441</v>
      </c>
      <c r="E13548">
        <v>12.02</v>
      </c>
      <c r="F13548" t="str">
        <f>IF(Table2[[#This Row],[Manual Cat Value]]="",Table2[[#This Row],[Suggested Cat Value]],VLOOKUP(Table2[[#This Row],[Manual Cat Value]],Lookup!G:H,2,0))</f>
        <v>House Maintenance</v>
      </c>
      <c r="G13548" t="s">
        <v>2</v>
      </c>
      <c r="I13548" s="8"/>
      <c r="O13548" t="str">
        <f>LEFT(Table2[[#This Row],[Description]],75)</f>
        <v>THE SPARROW BAKERY NBend                OR</v>
      </c>
    </row>
    <row r="13549" spans="1:15" hidden="1">
      <c r="A13549">
        <v>202505</v>
      </c>
      <c r="B13549" s="6">
        <v>45801</v>
      </c>
      <c r="C13549" t="s">
        <v>130</v>
      </c>
      <c r="D13549" t="s">
        <v>6442</v>
      </c>
      <c r="E13549">
        <v>12</v>
      </c>
      <c r="F13549" t="str">
        <f>IF(Table2[[#This Row],[Manual Cat Value]]="",Table2[[#This Row],[Suggested Cat Value]],VLOOKUP(Table2[[#This Row],[Manual Cat Value]],Lookup!G:H,2,0))</f>
        <v>Restaurants</v>
      </c>
      <c r="G13549" t="s">
        <v>26</v>
      </c>
      <c r="I13549" s="8"/>
      <c r="O13549" t="str">
        <f>LEFT(Table2[[#This Row],[Description]],75)</f>
        <v>AplPay ANGRY MINNOW Hayward             WI</v>
      </c>
    </row>
    <row r="13550" spans="1:15" hidden="1">
      <c r="A13550">
        <v>202505</v>
      </c>
      <c r="B13550" s="6">
        <v>45780</v>
      </c>
      <c r="C13550" t="s">
        <v>130</v>
      </c>
      <c r="D13550" t="s">
        <v>6183</v>
      </c>
      <c r="E13550">
        <v>11.97</v>
      </c>
      <c r="F13550" t="str">
        <f>IF(Table2[[#This Row],[Manual Cat Value]]="",Table2[[#This Row],[Suggested Cat Value]],VLOOKUP(Table2[[#This Row],[Manual Cat Value]],Lookup!G:H,2,0))</f>
        <v>Amazon</v>
      </c>
      <c r="G13550" t="s">
        <v>38</v>
      </c>
      <c r="I13550" s="8"/>
      <c r="O13550" t="str">
        <f>LEFT(Table2[[#This Row],[Description]],75)</f>
        <v>AMAZON MARKEPLACE NA PA</v>
      </c>
    </row>
    <row r="13551" spans="1:15" hidden="1">
      <c r="A13551">
        <v>202503</v>
      </c>
      <c r="B13551" s="6">
        <v>45737</v>
      </c>
      <c r="C13551" t="s">
        <v>130</v>
      </c>
      <c r="D13551" t="s">
        <v>6443</v>
      </c>
      <c r="E13551">
        <v>11.95</v>
      </c>
      <c r="F13551" t="str">
        <f>IF(Table2[[#This Row],[Manual Cat Value]]="",Table2[[#This Row],[Suggested Cat Value]],VLOOKUP(Table2[[#This Row],[Manual Cat Value]],Lookup!G:H,2,0))</f>
        <v>Delete</v>
      </c>
      <c r="G13551" t="s">
        <v>9</v>
      </c>
      <c r="I13551" s="8"/>
      <c r="O13551" t="str">
        <f>LEFT(Table2[[#This Row],[Description]],75)</f>
        <v>WH SMITH CORK AIRPORKINSALE ROAD, CORK  IR</v>
      </c>
    </row>
    <row r="13552" spans="1:15" hidden="1">
      <c r="A13552">
        <v>202504</v>
      </c>
      <c r="B13552" s="6">
        <v>45753</v>
      </c>
      <c r="C13552" t="s">
        <v>130</v>
      </c>
      <c r="D13552" t="s">
        <v>6444</v>
      </c>
      <c r="E13552">
        <v>11.85</v>
      </c>
      <c r="F13552" t="str">
        <f>IF(Table2[[#This Row],[Manual Cat Value]]="",Table2[[#This Row],[Suggested Cat Value]],VLOOKUP(Table2[[#This Row],[Manual Cat Value]],Lookup!G:H,2,0))</f>
        <v>Transportation</v>
      </c>
      <c r="G13552" t="s">
        <v>23</v>
      </c>
      <c r="I13552" s="8"/>
      <c r="O13552" t="str">
        <f>LEFT(Table2[[#This Row],[Description]],75)</f>
        <v>Mister Car Wash #606ST LOUIS PARK       MN</v>
      </c>
    </row>
    <row r="13553" spans="1:15" hidden="1">
      <c r="A13553">
        <v>202503</v>
      </c>
      <c r="B13553" s="6">
        <v>45724</v>
      </c>
      <c r="C13553" t="s">
        <v>130</v>
      </c>
      <c r="D13553" t="s">
        <v>6445</v>
      </c>
      <c r="E13553">
        <v>11.8</v>
      </c>
      <c r="F13553" t="str">
        <f>IF(Table2[[#This Row],[Manual Cat Value]]="",Table2[[#This Row],[Suggested Cat Value]],VLOOKUP(Table2[[#This Row],[Manual Cat Value]],Lookup!G:H,2,0))</f>
        <v>Travel</v>
      </c>
      <c r="G13553" t="s">
        <v>43</v>
      </c>
      <c r="I13553" s="8"/>
      <c r="O13553" t="str">
        <f>LEFT(Table2[[#This Row],[Description]],75)</f>
        <v>MT. BACHELOR        Bend                OR</v>
      </c>
    </row>
    <row r="13554" spans="1:15" hidden="1">
      <c r="A13554">
        <v>202504</v>
      </c>
      <c r="B13554" s="6">
        <v>45765</v>
      </c>
      <c r="C13554" t="s">
        <v>130</v>
      </c>
      <c r="D13554" t="s">
        <v>6446</v>
      </c>
      <c r="E13554">
        <v>11.75</v>
      </c>
      <c r="F13554" t="str">
        <f>IF(Table2[[#This Row],[Manual Cat Value]]="",Table2[[#This Row],[Suggested Cat Value]],VLOOKUP(Table2[[#This Row],[Manual Cat Value]],Lookup!G:H,2,0))</f>
        <v>Restaurants</v>
      </c>
      <c r="G13554" t="s">
        <v>26</v>
      </c>
      <c r="I13554" s="8"/>
      <c r="O13554" t="str">
        <f>LEFT(Table2[[#This Row],[Description]],75)</f>
        <v>AplPay DEER RUN GC  VICTORIA            MN</v>
      </c>
    </row>
    <row r="13555" spans="1:15" hidden="1">
      <c r="A13555">
        <v>202505</v>
      </c>
      <c r="B13555" s="6">
        <v>45804</v>
      </c>
      <c r="C13555" t="s">
        <v>130</v>
      </c>
      <c r="D13555" t="s">
        <v>5760</v>
      </c>
      <c r="E13555">
        <v>11.37</v>
      </c>
      <c r="F13555" t="str">
        <f>IF(Table2[[#This Row],[Manual Cat Value]]="",Table2[[#This Row],[Suggested Cat Value]],VLOOKUP(Table2[[#This Row],[Manual Cat Value]],Lookup!G:H,2,0))</f>
        <v>Restaurants</v>
      </c>
      <c r="G13555" t="s">
        <v>26</v>
      </c>
      <c r="I13555" s="8"/>
      <c r="O13555" t="str">
        <f>LEFT(Table2[[#This Row],[Description]],75)</f>
        <v>TST* NORTH COOP 0013EXCELSIOR           MN</v>
      </c>
    </row>
    <row r="13556" spans="1:15" hidden="1">
      <c r="A13556">
        <v>202503</v>
      </c>
      <c r="B13556" s="6">
        <v>45743</v>
      </c>
      <c r="C13556" t="s">
        <v>3938</v>
      </c>
      <c r="D13556" t="s">
        <v>1188</v>
      </c>
      <c r="E13556">
        <v>11.32</v>
      </c>
      <c r="F13556" t="str">
        <f>IF(Table2[[#This Row],[Manual Cat Value]]="",Table2[[#This Row],[Suggested Cat Value]],VLOOKUP(Table2[[#This Row],[Manual Cat Value]],Lookup!G:H,2,0))</f>
        <v>Restaurants</v>
      </c>
      <c r="G13556" t="s">
        <v>26</v>
      </c>
      <c r="I13556" s="8"/>
      <c r="O13556" t="str">
        <f>LEFT(Table2[[#This Row],[Description]],75)</f>
        <v>McDonald's</v>
      </c>
    </row>
    <row r="13557" spans="1:15" hidden="1">
      <c r="A13557">
        <v>202503</v>
      </c>
      <c r="B13557" s="6">
        <v>45717</v>
      </c>
      <c r="C13557" t="s">
        <v>130</v>
      </c>
      <c r="D13557" t="s">
        <v>6447</v>
      </c>
      <c r="E13557">
        <v>11.27</v>
      </c>
      <c r="F13557" t="str">
        <f>IF(Table2[[#This Row],[Manual Cat Value]]="",Table2[[#This Row],[Suggested Cat Value]],VLOOKUP(Table2[[#This Row],[Manual Cat Value]],Lookup!G:H,2,0))</f>
        <v>Delete</v>
      </c>
      <c r="G13557" t="s">
        <v>9</v>
      </c>
      <c r="I13557" s="8"/>
      <c r="O13557" t="str">
        <f>LEFT(Table2[[#This Row],[Description]],75)</f>
        <v>RENTALTOLL239573584 877-860-1283        MO</v>
      </c>
    </row>
    <row r="13558" spans="1:15" hidden="1">
      <c r="A13558">
        <v>202504</v>
      </c>
      <c r="B13558" s="6">
        <v>45763</v>
      </c>
      <c r="C13558" t="s">
        <v>130</v>
      </c>
      <c r="D13558" t="s">
        <v>5392</v>
      </c>
      <c r="E13558">
        <v>11.2</v>
      </c>
      <c r="F13558" t="str">
        <f>IF(Table2[[#This Row],[Manual Cat Value]]="",Table2[[#This Row],[Suggested Cat Value]],VLOOKUP(Table2[[#This Row],[Manual Cat Value]],Lookup!G:H,2,0))</f>
        <v>Delete</v>
      </c>
      <c r="G13558" t="s">
        <v>9</v>
      </c>
      <c r="I13558" s="8"/>
      <c r="O13558" t="str">
        <f>LEFT(Table2[[#This Row],[Description]],75)</f>
        <v>DELTA AIR LINES</v>
      </c>
    </row>
    <row r="13559" spans="1:15" hidden="1">
      <c r="A13559">
        <v>202505</v>
      </c>
      <c r="B13559" s="6">
        <v>45778</v>
      </c>
      <c r="C13559" t="s">
        <v>130</v>
      </c>
      <c r="D13559" t="s">
        <v>5392</v>
      </c>
      <c r="E13559">
        <v>11.2</v>
      </c>
      <c r="F13559" t="str">
        <f>IF(Table2[[#This Row],[Manual Cat Value]]="",Table2[[#This Row],[Suggested Cat Value]],VLOOKUP(Table2[[#This Row],[Manual Cat Value]],Lookup!G:H,2,0))</f>
        <v>Delete</v>
      </c>
      <c r="G13559" t="s">
        <v>9</v>
      </c>
      <c r="I13559" s="8"/>
      <c r="O13559" t="str">
        <f>LEFT(Table2[[#This Row],[Description]],75)</f>
        <v>DELTA AIR LINES</v>
      </c>
    </row>
    <row r="13560" spans="1:15" hidden="1">
      <c r="A13560">
        <v>202505</v>
      </c>
      <c r="B13560" s="6">
        <v>45778</v>
      </c>
      <c r="C13560" t="s">
        <v>130</v>
      </c>
      <c r="D13560" t="s">
        <v>5392</v>
      </c>
      <c r="E13560">
        <v>11.2</v>
      </c>
      <c r="F13560" t="str">
        <f>IF(Table2[[#This Row],[Manual Cat Value]]="",Table2[[#This Row],[Suggested Cat Value]],VLOOKUP(Table2[[#This Row],[Manual Cat Value]],Lookup!G:H,2,0))</f>
        <v>Delete</v>
      </c>
      <c r="G13560" t="s">
        <v>9</v>
      </c>
      <c r="I13560" s="8"/>
      <c r="O13560" t="str">
        <f>LEFT(Table2[[#This Row],[Description]],75)</f>
        <v>DELTA AIR LINES</v>
      </c>
    </row>
    <row r="13561" spans="1:15" hidden="1">
      <c r="A13561">
        <v>202505</v>
      </c>
      <c r="B13561" s="6">
        <v>45778</v>
      </c>
      <c r="C13561" t="s">
        <v>130</v>
      </c>
      <c r="D13561" t="s">
        <v>5392</v>
      </c>
      <c r="E13561">
        <v>11.2</v>
      </c>
      <c r="F13561" t="str">
        <f>IF(Table2[[#This Row],[Manual Cat Value]]="",Table2[[#This Row],[Suggested Cat Value]],VLOOKUP(Table2[[#This Row],[Manual Cat Value]],Lookup!G:H,2,0))</f>
        <v>Delete</v>
      </c>
      <c r="G13561" t="s">
        <v>9</v>
      </c>
      <c r="I13561" s="8"/>
      <c r="O13561" t="str">
        <f>LEFT(Table2[[#This Row],[Description]],75)</f>
        <v>DELTA AIR LINES</v>
      </c>
    </row>
    <row r="13562" spans="1:15" hidden="1">
      <c r="A13562">
        <v>202501</v>
      </c>
      <c r="B13562" s="6">
        <v>45660</v>
      </c>
      <c r="C13562" t="s">
        <v>130</v>
      </c>
      <c r="D13562" t="s">
        <v>6448</v>
      </c>
      <c r="E13562">
        <v>11.17</v>
      </c>
      <c r="F13562" t="str">
        <f>IF(Table2[[#This Row],[Manual Cat Value]]="",Table2[[#This Row],[Suggested Cat Value]],VLOOKUP(Table2[[#This Row],[Manual Cat Value]],Lookup!G:H,2,0))</f>
        <v>House Maintenance</v>
      </c>
      <c r="G13562" t="s">
        <v>2</v>
      </c>
      <c r="I13562" s="8"/>
      <c r="O13562" t="str">
        <f>LEFT(Table2[[#This Row],[Description]],75)</f>
        <v>THE BURROW - VICTORI715-7483289         MN</v>
      </c>
    </row>
    <row r="13563" spans="1:15" hidden="1">
      <c r="A13563">
        <v>202501</v>
      </c>
      <c r="B13563" s="6">
        <v>45678</v>
      </c>
      <c r="C13563" t="s">
        <v>3938</v>
      </c>
      <c r="D13563" t="s">
        <v>6449</v>
      </c>
      <c r="E13563">
        <v>11</v>
      </c>
      <c r="F13563" t="str">
        <f>IF(Table2[[#This Row],[Manual Cat Value]]="",Table2[[#This Row],[Suggested Cat Value]],VLOOKUP(Table2[[#This Row],[Manual Cat Value]],Lookup!G:H,2,0))</f>
        <v>House Maintenance</v>
      </c>
      <c r="G13563" t="s">
        <v>2</v>
      </c>
      <c r="I13563" s="8"/>
      <c r="O13563" t="str">
        <f>LEFT(Table2[[#This Row],[Description]],75)</f>
        <v>BONFES PLUMBING HEATING AXX6633 MN REF #XX5390LS66HWKMG</v>
      </c>
    </row>
    <row r="13564" spans="1:15" hidden="1">
      <c r="A13564">
        <v>202502</v>
      </c>
      <c r="B13564" s="6">
        <v>45709</v>
      </c>
      <c r="C13564" t="s">
        <v>3938</v>
      </c>
      <c r="D13564" t="s">
        <v>6450</v>
      </c>
      <c r="E13564">
        <v>11</v>
      </c>
      <c r="F13564" t="str">
        <f>IF(Table2[[#This Row],[Manual Cat Value]]="",Table2[[#This Row],[Suggested Cat Value]],VLOOKUP(Table2[[#This Row],[Manual Cat Value]],Lookup!G:H,2,0))</f>
        <v>House Maintenance</v>
      </c>
      <c r="G13564" t="s">
        <v>2</v>
      </c>
      <c r="I13564" s="8"/>
      <c r="O13564" t="str">
        <f>LEFT(Table2[[#This Row],[Description]],75)</f>
        <v>BONFES PLUMBING HEATING AXX6633 MN REF #XX5391KS66L5S2P</v>
      </c>
    </row>
    <row r="13565" spans="1:15" hidden="1">
      <c r="A13565">
        <v>202503</v>
      </c>
      <c r="B13565" s="6">
        <v>45737</v>
      </c>
      <c r="C13565" t="s">
        <v>3938</v>
      </c>
      <c r="D13565" t="s">
        <v>6451</v>
      </c>
      <c r="E13565">
        <v>11</v>
      </c>
      <c r="F13565" t="str">
        <f>IF(Table2[[#This Row],[Manual Cat Value]]="",Table2[[#This Row],[Suggested Cat Value]],VLOOKUP(Table2[[#This Row],[Manual Cat Value]],Lookup!G:H,2,0))</f>
        <v>House Maintenance</v>
      </c>
      <c r="G13565" t="s">
        <v>2</v>
      </c>
      <c r="I13565" s="8"/>
      <c r="O13565" t="str">
        <f>LEFT(Table2[[#This Row],[Description]],75)</f>
        <v>BONFES PLUMBING HEATING AXX6633 MN REF #XX5392FS66MA57B</v>
      </c>
    </row>
    <row r="13566" spans="1:15" hidden="1">
      <c r="A13566">
        <v>202503</v>
      </c>
      <c r="B13566" s="6">
        <v>45747</v>
      </c>
      <c r="C13566" t="s">
        <v>130</v>
      </c>
      <c r="D13566" t="s">
        <v>6259</v>
      </c>
      <c r="E13566">
        <v>11</v>
      </c>
      <c r="F13566" t="str">
        <f>IF(Table2[[#This Row],[Manual Cat Value]]="",Table2[[#This Row],[Suggested Cat Value]],VLOOKUP(Table2[[#This Row],[Manual Cat Value]],Lookup!G:H,2,0))</f>
        <v>Restaurants</v>
      </c>
      <c r="G13566" t="s">
        <v>26</v>
      </c>
      <c r="I13566" s="8"/>
      <c r="O13566" t="str">
        <f>LEFT(Table2[[#This Row],[Description]],75)</f>
        <v>TST* VOLCANO MOUNTAINAPLES              FL</v>
      </c>
    </row>
    <row r="13567" spans="1:15" hidden="1">
      <c r="A13567">
        <v>202504</v>
      </c>
      <c r="B13567" s="6">
        <v>45768</v>
      </c>
      <c r="C13567" t="s">
        <v>3938</v>
      </c>
      <c r="D13567" t="s">
        <v>6452</v>
      </c>
      <c r="E13567">
        <v>11</v>
      </c>
      <c r="F13567" t="str">
        <f>IF(Table2[[#This Row],[Manual Cat Value]]="",Table2[[#This Row],[Suggested Cat Value]],VLOOKUP(Table2[[#This Row],[Manual Cat Value]],Lookup!G:H,2,0))</f>
        <v>House Maintenance</v>
      </c>
      <c r="G13567" t="s">
        <v>2</v>
      </c>
      <c r="I13567" s="8"/>
      <c r="O13567" t="str">
        <f>LEFT(Table2[[#This Row],[Description]],75)</f>
        <v>BONFES PLUMBING HEATING AXX6633 MN REF #XX5393ES66E21Q9</v>
      </c>
    </row>
    <row r="13568" spans="1:15" hidden="1">
      <c r="A13568">
        <v>202505</v>
      </c>
      <c r="B13568" s="6">
        <v>45798</v>
      </c>
      <c r="C13568" t="s">
        <v>3938</v>
      </c>
      <c r="D13568" t="s">
        <v>6453</v>
      </c>
      <c r="E13568">
        <v>11</v>
      </c>
      <c r="F13568" t="str">
        <f>IF(Table2[[#This Row],[Manual Cat Value]]="",Table2[[#This Row],[Suggested Cat Value]],VLOOKUP(Table2[[#This Row],[Manual Cat Value]],Lookup!G:H,2,0))</f>
        <v>House Maintenance</v>
      </c>
      <c r="G13568" t="s">
        <v>2</v>
      </c>
      <c r="I13568" s="8"/>
      <c r="O13568" t="str">
        <f>LEFT(Table2[[#This Row],[Description]],75)</f>
        <v>BONFES PLUMBING HEATING AXX6633 MN REF #XX5394QS66G52WD</v>
      </c>
    </row>
    <row r="13569" spans="1:15" hidden="1">
      <c r="A13569">
        <v>202503</v>
      </c>
      <c r="B13569" s="6">
        <v>45735</v>
      </c>
      <c r="C13569" t="s">
        <v>3938</v>
      </c>
      <c r="D13569" t="s">
        <v>6454</v>
      </c>
      <c r="E13569">
        <v>10.91</v>
      </c>
      <c r="F13569" t="str">
        <f>IF(Table2[[#This Row],[Manual Cat Value]]="",Table2[[#This Row],[Suggested Cat Value]],VLOOKUP(Table2[[#This Row],[Manual Cat Value]],Lookup!G:H,2,0))</f>
        <v>Delete</v>
      </c>
      <c r="G13569" t="s">
        <v>9</v>
      </c>
      <c r="I13569" s="8"/>
      <c r="O13569" t="str">
        <f>LEFT(Table2[[#This Row],[Description]],75)</f>
        <v>JD CORK CORK IE REF #XX3662QG0YA34P0</v>
      </c>
    </row>
    <row r="13570" spans="1:15" hidden="1">
      <c r="A13570">
        <v>202503</v>
      </c>
      <c r="B13570" s="6">
        <v>45733</v>
      </c>
      <c r="C13570" t="s">
        <v>2519</v>
      </c>
      <c r="D13570" t="s">
        <v>1955</v>
      </c>
      <c r="E13570">
        <v>10.89</v>
      </c>
      <c r="F13570" t="str">
        <f>IF(Table2[[#This Row],[Manual Cat Value]]="",Table2[[#This Row],[Suggested Cat Value]],VLOOKUP(Table2[[#This Row],[Manual Cat Value]],Lookup!G:H,2,0))</f>
        <v>Shopping</v>
      </c>
      <c r="G13570" t="s">
        <v>21</v>
      </c>
      <c r="I13570" s="8"/>
      <c r="O13570" t="str">
        <f>LEFT(Table2[[#This Row],[Description]],75)</f>
        <v>Transfer to PayPal</v>
      </c>
    </row>
    <row r="13571" spans="1:15" hidden="1">
      <c r="A13571">
        <v>202501</v>
      </c>
      <c r="B13571" s="6">
        <v>45663</v>
      </c>
      <c r="C13571" t="s">
        <v>130</v>
      </c>
      <c r="D13571" t="s">
        <v>5883</v>
      </c>
      <c r="E13571">
        <v>10.85</v>
      </c>
      <c r="F13571" t="str">
        <f>IF(Table2[[#This Row],[Manual Cat Value]]="",Table2[[#This Row],[Suggested Cat Value]],VLOOKUP(Table2[[#This Row],[Manual Cat Value]],Lookup!G:H,2,0))</f>
        <v>Restaurants</v>
      </c>
      <c r="G13571" t="s">
        <v>26</v>
      </c>
      <c r="I13571" s="8"/>
      <c r="O13571" t="str">
        <f>LEFT(Table2[[#This Row],[Description]],75)</f>
        <v>AplPay MCW 1602-MinnMINNETONKA          MN</v>
      </c>
    </row>
    <row r="13572" spans="1:15" hidden="1">
      <c r="A13572">
        <v>202501</v>
      </c>
      <c r="B13572" s="6">
        <v>45684</v>
      </c>
      <c r="C13572" t="s">
        <v>130</v>
      </c>
      <c r="D13572" t="s">
        <v>6455</v>
      </c>
      <c r="E13572">
        <v>10.85</v>
      </c>
      <c r="F13572" t="str">
        <f>IF(Table2[[#This Row],[Manual Cat Value]]="",Table2[[#This Row],[Suggested Cat Value]],VLOOKUP(Table2[[#This Row],[Manual Cat Value]],Lookup!G:H,2,0))</f>
        <v>Restaurants</v>
      </c>
      <c r="G13572" t="s">
        <v>26</v>
      </c>
      <c r="I13572" s="8"/>
      <c r="O13572" t="str">
        <f>LEFT(Table2[[#This Row],[Description]],75)</f>
        <v>AplPay Mister Car WaST LOUIS PARK       MN</v>
      </c>
    </row>
    <row r="13573" spans="1:15" hidden="1">
      <c r="A13573">
        <v>202502</v>
      </c>
      <c r="B13573" s="6">
        <v>45707</v>
      </c>
      <c r="C13573" t="s">
        <v>130</v>
      </c>
      <c r="D13573" t="s">
        <v>5883</v>
      </c>
      <c r="E13573">
        <v>10.85</v>
      </c>
      <c r="F13573" t="str">
        <f>IF(Table2[[#This Row],[Manual Cat Value]]="",Table2[[#This Row],[Suggested Cat Value]],VLOOKUP(Table2[[#This Row],[Manual Cat Value]],Lookup!G:H,2,0))</f>
        <v>Restaurants</v>
      </c>
      <c r="G13573" t="s">
        <v>26</v>
      </c>
      <c r="I13573" s="8"/>
      <c r="O13573" t="str">
        <f>LEFT(Table2[[#This Row],[Description]],75)</f>
        <v>AplPay MCW 1602-MinnMINNETONKA          MN</v>
      </c>
    </row>
    <row r="13574" spans="1:15" hidden="1">
      <c r="A13574">
        <v>202504</v>
      </c>
      <c r="B13574" s="6">
        <v>45761</v>
      </c>
      <c r="C13574" t="s">
        <v>130</v>
      </c>
      <c r="D13574" t="s">
        <v>6206</v>
      </c>
      <c r="E13574">
        <v>10.85</v>
      </c>
      <c r="F13574" t="str">
        <f>IF(Table2[[#This Row],[Manual Cat Value]]="",Table2[[#This Row],[Suggested Cat Value]],VLOOKUP(Table2[[#This Row],[Manual Cat Value]],Lookup!G:H,2,0))</f>
        <v>Amazon</v>
      </c>
      <c r="G13574" t="s">
        <v>38</v>
      </c>
      <c r="I13574" s="8"/>
      <c r="O13574" t="str">
        <f>LEFT(Table2[[#This Row],[Description]],75)</f>
        <v>AMAZON.COM          AMZN.COM/BILL       WA</v>
      </c>
    </row>
    <row r="13575" spans="1:15" hidden="1">
      <c r="A13575">
        <v>202501</v>
      </c>
      <c r="B13575" s="6">
        <v>45676</v>
      </c>
      <c r="C13575" t="s">
        <v>130</v>
      </c>
      <c r="D13575" t="s">
        <v>5577</v>
      </c>
      <c r="E13575">
        <v>10.84</v>
      </c>
      <c r="F13575" t="str">
        <f>IF(Table2[[#This Row],[Manual Cat Value]]="",Table2[[#This Row],[Suggested Cat Value]],VLOOKUP(Table2[[#This Row],[Manual Cat Value]],Lookup!G:H,2,0))</f>
        <v>Delete</v>
      </c>
      <c r="G13575" t="s">
        <v>9</v>
      </c>
      <c r="I13575" s="8"/>
      <c r="O13575" t="str">
        <f>LEFT(Table2[[#This Row],[Description]],75)</f>
        <v>MSP HUDSON ST2295 22SAINT PAUL          MN</v>
      </c>
    </row>
    <row r="13576" spans="1:15" hidden="1">
      <c r="A13576">
        <v>202505</v>
      </c>
      <c r="B13576" s="6">
        <v>45785</v>
      </c>
      <c r="C13576" t="s">
        <v>130</v>
      </c>
      <c r="D13576" t="s">
        <v>6183</v>
      </c>
      <c r="E13576">
        <v>10.83</v>
      </c>
      <c r="F13576" t="str">
        <f>IF(Table2[[#This Row],[Manual Cat Value]]="",Table2[[#This Row],[Suggested Cat Value]],VLOOKUP(Table2[[#This Row],[Manual Cat Value]],Lookup!G:H,2,0))</f>
        <v>Amazon</v>
      </c>
      <c r="G13576" t="s">
        <v>38</v>
      </c>
      <c r="I13576" s="8"/>
      <c r="O13576" t="str">
        <f>LEFT(Table2[[#This Row],[Description]],75)</f>
        <v>AMAZON MARKEPLACE NA PA</v>
      </c>
    </row>
    <row r="13577" spans="1:15" hidden="1">
      <c r="A13577">
        <v>202503</v>
      </c>
      <c r="B13577" s="6">
        <v>45723</v>
      </c>
      <c r="C13577" t="s">
        <v>130</v>
      </c>
      <c r="D13577" t="s">
        <v>6456</v>
      </c>
      <c r="E13577">
        <v>10.76</v>
      </c>
      <c r="F13577" t="str">
        <f>IF(Table2[[#This Row],[Manual Cat Value]]="",Table2[[#This Row],[Suggested Cat Value]],VLOOKUP(Table2[[#This Row],[Manual Cat Value]],Lookup!G:H,2,0))</f>
        <v>Healthcare</v>
      </c>
      <c r="G13577" t="s">
        <v>48</v>
      </c>
      <c r="I13577" s="8"/>
      <c r="O13577" t="str">
        <f>LEFT(Table2[[#This Row],[Description]],75)</f>
        <v>MODMEDUS_MP*PINNACLEPHOENIX             AZ</v>
      </c>
    </row>
    <row r="13578" spans="1:15" hidden="1">
      <c r="A13578">
        <v>202502</v>
      </c>
      <c r="B13578" s="6">
        <v>45696</v>
      </c>
      <c r="C13578" t="s">
        <v>130</v>
      </c>
      <c r="D13578" t="s">
        <v>5897</v>
      </c>
      <c r="E13578">
        <v>10.66</v>
      </c>
      <c r="F13578" t="str">
        <f>IF(Table2[[#This Row],[Manual Cat Value]]="",Table2[[#This Row],[Suggested Cat Value]],VLOOKUP(Table2[[#This Row],[Manual Cat Value]],Lookup!G:H,2,0))</f>
        <v>Restaurants</v>
      </c>
      <c r="G13578" t="s">
        <v>26</v>
      </c>
      <c r="I13578" s="8"/>
      <c r="O13578" t="str">
        <f>LEFT(Table2[[#This Row],[Description]],75)</f>
        <v>AplPay SUBWAY 71167 ST. BONIFACIUS      MN</v>
      </c>
    </row>
    <row r="13579" spans="1:15" hidden="1">
      <c r="A13579">
        <v>202504</v>
      </c>
      <c r="B13579" s="6">
        <v>45760</v>
      </c>
      <c r="C13579" t="s">
        <v>130</v>
      </c>
      <c r="D13579" t="s">
        <v>6457</v>
      </c>
      <c r="E13579">
        <v>10.48</v>
      </c>
      <c r="F13579" t="str">
        <f>IF(Table2[[#This Row],[Manual Cat Value]]="",Table2[[#This Row],[Suggested Cat Value]],VLOOKUP(Table2[[#This Row],[Manual Cat Value]],Lookup!G:H,2,0))</f>
        <v>Restaurants</v>
      </c>
      <c r="G13579" t="s">
        <v>26</v>
      </c>
      <c r="I13579" s="8"/>
      <c r="O13579" t="str">
        <f>LEFT(Table2[[#This Row],[Description]],75)</f>
        <v>MCDONALD'S F35706 00CHASKA              MN</v>
      </c>
    </row>
    <row r="13580" spans="1:15" hidden="1">
      <c r="A13580">
        <v>202505</v>
      </c>
      <c r="B13580" s="6">
        <v>45795</v>
      </c>
      <c r="C13580" t="s">
        <v>3938</v>
      </c>
      <c r="D13580" t="s">
        <v>6439</v>
      </c>
      <c r="E13580">
        <v>10.44</v>
      </c>
      <c r="F13580" t="str">
        <f>IF(Table2[[#This Row],[Manual Cat Value]]="",Table2[[#This Row],[Suggested Cat Value]],VLOOKUP(Table2[[#This Row],[Manual Cat Value]],Lookup!G:H,2,0))</f>
        <v>Delete</v>
      </c>
      <c r="G13580" t="s">
        <v>9</v>
      </c>
      <c r="I13580" s="8"/>
      <c r="O13580" t="str">
        <f>LEFT(Table2[[#This Row],[Description]],75)</f>
        <v>ARAMARK</v>
      </c>
    </row>
    <row r="13581" spans="1:15" hidden="1">
      <c r="A13581">
        <v>202505</v>
      </c>
      <c r="B13581" s="6">
        <v>45780</v>
      </c>
      <c r="C13581" t="s">
        <v>130</v>
      </c>
      <c r="D13581" t="s">
        <v>6422</v>
      </c>
      <c r="E13581">
        <v>10.43</v>
      </c>
      <c r="F13581" t="str">
        <f>IF(Table2[[#This Row],[Manual Cat Value]]="",Table2[[#This Row],[Suggested Cat Value]],VLOOKUP(Table2[[#This Row],[Manual Cat Value]],Lookup!G:H,2,0))</f>
        <v>Restaurants</v>
      </c>
      <c r="G13581" t="s">
        <v>26</v>
      </c>
      <c r="I13581" s="8"/>
      <c r="O13581" t="str">
        <f>LEFT(Table2[[#This Row],[Description]],75)</f>
        <v>MCDONALD'S F5629 000EXCELSIOR           MN</v>
      </c>
    </row>
    <row r="13582" spans="1:15" hidden="1">
      <c r="A13582">
        <v>202505</v>
      </c>
      <c r="B13582" s="6">
        <v>45788</v>
      </c>
      <c r="C13582" t="s">
        <v>130</v>
      </c>
      <c r="D13582" t="s">
        <v>6458</v>
      </c>
      <c r="E13582">
        <v>10.4</v>
      </c>
      <c r="F13582" t="str">
        <f>IF(Table2[[#This Row],[Manual Cat Value]]="",Table2[[#This Row],[Suggested Cat Value]],VLOOKUP(Table2[[#This Row],[Manual Cat Value]],Lookup!G:H,2,0))</f>
        <v>Delete</v>
      </c>
      <c r="G13582" t="s">
        <v>9</v>
      </c>
      <c r="I13582" s="8"/>
      <c r="O13582" t="str">
        <f>LEFT(Table2[[#This Row],[Description]],75)</f>
        <v>MSP POD1 FOODHALL 00PHILADELPHIA        PA</v>
      </c>
    </row>
    <row r="13583" spans="1:15" hidden="1">
      <c r="A13583">
        <v>202505</v>
      </c>
      <c r="B13583" s="6">
        <v>45804</v>
      </c>
      <c r="C13583" t="s">
        <v>130</v>
      </c>
      <c r="D13583" t="s">
        <v>6459</v>
      </c>
      <c r="E13583">
        <v>10.4</v>
      </c>
      <c r="F13583" t="str">
        <f>IF(Table2[[#This Row],[Manual Cat Value]]="",Table2[[#This Row],[Suggested Cat Value]],VLOOKUP(Table2[[#This Row],[Manual Cat Value]],Lookup!G:H,2,0))</f>
        <v>Delete</v>
      </c>
      <c r="G13583" t="s">
        <v>9</v>
      </c>
      <c r="H13583" s="8" t="s">
        <v>9</v>
      </c>
      <c r="I13583" s="8"/>
      <c r="O13583" t="str">
        <f>LEFT(Table2[[#This Row],[Description]],75)</f>
        <v>MSP POD4 CIBO EXPRESPHILADELPHIA        PA</v>
      </c>
    </row>
    <row r="13584" spans="1:15" hidden="1">
      <c r="A13584">
        <v>202503</v>
      </c>
      <c r="B13584" s="6">
        <v>45736</v>
      </c>
      <c r="C13584" t="s">
        <v>130</v>
      </c>
      <c r="D13584" t="s">
        <v>5925</v>
      </c>
      <c r="E13584">
        <v>10.220000000000001</v>
      </c>
      <c r="F13584" t="str">
        <f>IF(Table2[[#This Row],[Manual Cat Value]]="",Table2[[#This Row],[Suggested Cat Value]],VLOOKUP(Table2[[#This Row],[Manual Cat Value]],Lookup!G:H,2,0))</f>
        <v>Restaurants</v>
      </c>
      <c r="G13584" t="s">
        <v>26</v>
      </c>
      <c r="I13584" s="8"/>
      <c r="O13584" t="str">
        <f>LEFT(Table2[[#This Row],[Description]],75)</f>
        <v>AplPay WAYZATA CAFE WAYZATA             MN</v>
      </c>
    </row>
    <row r="13585" spans="1:15" hidden="1">
      <c r="A13585">
        <v>202502</v>
      </c>
      <c r="B13585" s="6">
        <v>45694</v>
      </c>
      <c r="C13585" t="s">
        <v>130</v>
      </c>
      <c r="D13585" t="s">
        <v>5925</v>
      </c>
      <c r="E13585">
        <v>10.029999999999999</v>
      </c>
      <c r="F13585" t="str">
        <f>IF(Table2[[#This Row],[Manual Cat Value]]="",Table2[[#This Row],[Suggested Cat Value]],VLOOKUP(Table2[[#This Row],[Manual Cat Value]],Lookup!G:H,2,0))</f>
        <v>Restaurants</v>
      </c>
      <c r="G13585" t="s">
        <v>26</v>
      </c>
      <c r="I13585" s="8"/>
      <c r="O13585" t="str">
        <f>LEFT(Table2[[#This Row],[Description]],75)</f>
        <v>AplPay WAYZATA CAFE WAYZATA             MN</v>
      </c>
    </row>
    <row r="13586" spans="1:15" hidden="1">
      <c r="A13586">
        <v>202502</v>
      </c>
      <c r="B13586" s="6">
        <v>45690</v>
      </c>
      <c r="C13586" t="s">
        <v>130</v>
      </c>
      <c r="D13586" t="s">
        <v>6071</v>
      </c>
      <c r="E13586">
        <v>10</v>
      </c>
      <c r="F13586" t="str">
        <f>IF(Table2[[#This Row],[Manual Cat Value]]="",Table2[[#This Row],[Suggested Cat Value]],VLOOKUP(Table2[[#This Row],[Manual Cat Value]],Lookup!G:H,2,0))</f>
        <v>Entertainment</v>
      </c>
      <c r="G13586" t="s">
        <v>40</v>
      </c>
      <c r="I13586" s="8"/>
      <c r="O13586" t="str">
        <f>LEFT(Table2[[#This Row],[Description]],75)</f>
        <v>HYLAND HILLS SKI AREPYMOUTH             MN</v>
      </c>
    </row>
    <row r="13587" spans="1:15" hidden="1">
      <c r="A13587">
        <v>202503</v>
      </c>
      <c r="B13587" s="6">
        <v>45724</v>
      </c>
      <c r="C13587" t="s">
        <v>130</v>
      </c>
      <c r="D13587" t="s">
        <v>6460</v>
      </c>
      <c r="E13587">
        <v>10</v>
      </c>
      <c r="F13587" t="str">
        <f>IF(Table2[[#This Row],[Manual Cat Value]]="",Table2[[#This Row],[Suggested Cat Value]],VLOOKUP(Table2[[#This Row],[Manual Cat Value]],Lookup!G:H,2,0))</f>
        <v>Delete</v>
      </c>
      <c r="G13587" t="s">
        <v>9</v>
      </c>
      <c r="I13587" s="8"/>
      <c r="O13587" t="str">
        <f>LEFT(Table2[[#This Row],[Description]],75)</f>
        <v>AplPay DELTA AIRLINEATLANTA             GA</v>
      </c>
    </row>
    <row r="13588" spans="1:15" hidden="1">
      <c r="A13588">
        <v>202503</v>
      </c>
      <c r="B13588" s="6">
        <v>45726</v>
      </c>
      <c r="C13588" t="s">
        <v>2519</v>
      </c>
      <c r="D13588" t="s">
        <v>1958</v>
      </c>
      <c r="E13588">
        <v>10</v>
      </c>
      <c r="F13588" t="str">
        <f>IF(Table2[[#This Row],[Manual Cat Value]]="",Table2[[#This Row],[Suggested Cat Value]],VLOOKUP(Table2[[#This Row],[Manual Cat Value]],Lookup!G:H,2,0))</f>
        <v>Shopping</v>
      </c>
      <c r="G13588" t="s">
        <v>21</v>
      </c>
      <c r="I13588" s="8"/>
      <c r="O13588" t="str">
        <f>LEFT(Table2[[#This Row],[Description]],75)</f>
        <v>Transfer to Venmo</v>
      </c>
    </row>
    <row r="13589" spans="1:15" hidden="1">
      <c r="A13589">
        <v>202503</v>
      </c>
      <c r="B13589" s="6">
        <v>45746</v>
      </c>
      <c r="C13589" t="s">
        <v>130</v>
      </c>
      <c r="D13589" t="s">
        <v>6461</v>
      </c>
      <c r="E13589">
        <v>10</v>
      </c>
      <c r="F13589" t="str">
        <f>IF(Table2[[#This Row],[Manual Cat Value]]="",Table2[[#This Row],[Suggested Cat Value]],VLOOKUP(Table2[[#This Row],[Manual Cat Value]],Lookup!G:H,2,0))</f>
        <v>Restaurants</v>
      </c>
      <c r="G13589" t="s">
        <v>26</v>
      </c>
      <c r="I13589" s="8"/>
      <c r="O13589" t="str">
        <f>LEFT(Table2[[#This Row],[Description]],75)</f>
        <v>CAXAMBAS MARINA     Marco Island        FL</v>
      </c>
    </row>
    <row r="13590" spans="1:15" hidden="1">
      <c r="A13590">
        <v>202501</v>
      </c>
      <c r="B13590" s="6">
        <v>45688</v>
      </c>
      <c r="C13590" t="s">
        <v>130</v>
      </c>
      <c r="D13590" t="s">
        <v>5788</v>
      </c>
      <c r="E13590">
        <v>9.99</v>
      </c>
      <c r="F13590" t="str">
        <f>IF(Table2[[#This Row],[Manual Cat Value]]="",Table2[[#This Row],[Suggested Cat Value]],VLOOKUP(Table2[[#This Row],[Manual Cat Value]],Lookup!G:H,2,0))</f>
        <v>Groceries</v>
      </c>
      <c r="G13590" t="s">
        <v>28</v>
      </c>
      <c r="I13590" s="8"/>
      <c r="O13590" t="str">
        <f>LEFT(Table2[[#This Row],[Description]],75)</f>
        <v>CUB FOODS #1636 0000SHOREWOOD           MN</v>
      </c>
    </row>
    <row r="13591" spans="1:15" hidden="1">
      <c r="A13591">
        <v>202505</v>
      </c>
      <c r="B13591" s="6">
        <v>45805</v>
      </c>
      <c r="C13591" t="s">
        <v>130</v>
      </c>
      <c r="D13591" t="s">
        <v>6462</v>
      </c>
      <c r="E13591">
        <v>9.85</v>
      </c>
      <c r="F13591" t="str">
        <f>IF(Table2[[#This Row],[Manual Cat Value]]="",Table2[[#This Row],[Suggested Cat Value]],VLOOKUP(Table2[[#This Row],[Manual Cat Value]],Lookup!G:H,2,0))</f>
        <v>Restaurants</v>
      </c>
      <c r="G13591" t="s">
        <v>26</v>
      </c>
      <c r="I13591" s="8"/>
      <c r="O13591" t="str">
        <f>LEFT(Table2[[#This Row],[Description]],75)</f>
        <v>DAIRY QUEEN #45864 0MINNETONKA          MN</v>
      </c>
    </row>
    <row r="13592" spans="1:15" hidden="1">
      <c r="A13592">
        <v>202503</v>
      </c>
      <c r="B13592" s="6">
        <v>45744</v>
      </c>
      <c r="C13592" t="s">
        <v>3938</v>
      </c>
      <c r="D13592" t="s">
        <v>6463</v>
      </c>
      <c r="E13592">
        <v>9.83</v>
      </c>
      <c r="F13592" t="str">
        <f>IF(Table2[[#This Row],[Manual Cat Value]]="",Table2[[#This Row],[Suggested Cat Value]],VLOOKUP(Table2[[#This Row],[Manual Cat Value]],Lookup!G:H,2,0))</f>
        <v>Restaurants</v>
      </c>
      <c r="G13592" t="s">
        <v>26</v>
      </c>
      <c r="I13592" s="8"/>
      <c r="O13592" t="str">
        <f>LEFT(Table2[[#This Row],[Description]],75)</f>
        <v>WAYZATA CAFE WAYZATA MN REF #XX3002P53SWDNK4</v>
      </c>
    </row>
    <row r="13593" spans="1:15" hidden="1">
      <c r="A13593">
        <v>202503</v>
      </c>
      <c r="B13593" s="6">
        <v>45728</v>
      </c>
      <c r="C13593" t="s">
        <v>2258</v>
      </c>
      <c r="D13593" t="s">
        <v>6464</v>
      </c>
      <c r="E13593">
        <v>9.74</v>
      </c>
      <c r="F13593" t="str">
        <f>IF(Table2[[#This Row],[Manual Cat Value]]="",Table2[[#This Row],[Suggested Cat Value]],VLOOKUP(Table2[[#This Row],[Manual Cat Value]],Lookup!G:H,2,0))</f>
        <v>Amazon</v>
      </c>
      <c r="G13593" t="s">
        <v>38</v>
      </c>
      <c r="I13593" s="8"/>
      <c r="O13593" t="str">
        <f>LEFT(Table2[[#This Row],[Description]],75)</f>
        <v>AMAZON MKTPL*GS2KJ0GK3 AMZN.COM/BILLWA57ZXM02SXMT</v>
      </c>
    </row>
    <row r="13594" spans="1:15" hidden="1">
      <c r="A13594">
        <v>202504</v>
      </c>
      <c r="B13594" s="6">
        <v>45751</v>
      </c>
      <c r="C13594" t="s">
        <v>3938</v>
      </c>
      <c r="D13594" t="s">
        <v>6465</v>
      </c>
      <c r="E13594">
        <v>9.57</v>
      </c>
      <c r="F13594" t="str">
        <f>IF(Table2[[#This Row],[Manual Cat Value]]="",Table2[[#This Row],[Suggested Cat Value]],VLOOKUP(Table2[[#This Row],[Manual Cat Value]],Lookup!G:H,2,0))</f>
        <v>Travel</v>
      </c>
      <c r="G13594" t="s">
        <v>9</v>
      </c>
      <c r="H13594" s="8" t="s">
        <v>52</v>
      </c>
      <c r="I13594" s="8"/>
      <c r="O13594" t="str">
        <f>LEFT(Table2[[#This Row],[Description]],75)</f>
        <v>BUTTER BER CARXX1801 ORLANDO FL REF #XX1062Y583AJ2A4</v>
      </c>
    </row>
    <row r="13595" spans="1:15" hidden="1">
      <c r="A13595">
        <v>202505</v>
      </c>
      <c r="B13595" s="6">
        <v>45781</v>
      </c>
      <c r="C13595" t="s">
        <v>3938</v>
      </c>
      <c r="D13595" t="s">
        <v>6466</v>
      </c>
      <c r="E13595">
        <v>9.5</v>
      </c>
      <c r="F13595" t="str">
        <f>IF(Table2[[#This Row],[Manual Cat Value]]="",Table2[[#This Row],[Suggested Cat Value]],VLOOKUP(Table2[[#This Row],[Manual Cat Value]],Lookup!G:H,2,0))</f>
        <v>Utilities</v>
      </c>
      <c r="G13595" t="s">
        <v>7</v>
      </c>
      <c r="I13595" s="8"/>
      <c r="O13595" t="str">
        <f>LEFT(Table2[[#This Row],[Description]],75)</f>
        <v>City of Austin Parking</v>
      </c>
    </row>
    <row r="13596" spans="1:15" hidden="1">
      <c r="A13596">
        <v>202502</v>
      </c>
      <c r="B13596" s="6">
        <v>45690</v>
      </c>
      <c r="C13596" t="s">
        <v>130</v>
      </c>
      <c r="D13596" t="s">
        <v>6467</v>
      </c>
      <c r="E13596">
        <v>8.77</v>
      </c>
      <c r="F13596" t="str">
        <f>IF(Table2[[#This Row],[Manual Cat Value]]="",Table2[[#This Row],[Suggested Cat Value]],VLOOKUP(Table2[[#This Row],[Manual Cat Value]],Lookup!G:H,2,0))</f>
        <v>Restaurants</v>
      </c>
      <c r="G13596" t="s">
        <v>26</v>
      </c>
      <c r="I13596" s="8"/>
      <c r="O13596" t="str">
        <f>LEFT(Table2[[#This Row],[Description]],75)</f>
        <v>AplPay MC           Saint Paul          MN</v>
      </c>
    </row>
    <row r="13597" spans="1:15" hidden="1">
      <c r="A13597">
        <v>202502</v>
      </c>
      <c r="B13597" s="6">
        <v>45690</v>
      </c>
      <c r="C13597" t="s">
        <v>130</v>
      </c>
      <c r="D13597" t="s">
        <v>6468</v>
      </c>
      <c r="E13597">
        <v>8.75</v>
      </c>
      <c r="F13597" t="str">
        <f>IF(Table2[[#This Row],[Manual Cat Value]]="",Table2[[#This Row],[Suggested Cat Value]],VLOOKUP(Table2[[#This Row],[Manual Cat Value]],Lookup!G:H,2,0))</f>
        <v>Entertainment</v>
      </c>
      <c r="G13597" t="s">
        <v>40</v>
      </c>
      <c r="I13597" s="8"/>
      <c r="O13597" t="str">
        <f>LEFT(Table2[[#This Row],[Description]],75)</f>
        <v>MC CONCESSIONS      Princeton           MN</v>
      </c>
    </row>
    <row r="13598" spans="1:15" hidden="1">
      <c r="A13598">
        <v>202501</v>
      </c>
      <c r="B13598" s="6">
        <v>45669</v>
      </c>
      <c r="C13598" t="s">
        <v>3938</v>
      </c>
      <c r="D13598" t="s">
        <v>5756</v>
      </c>
      <c r="E13598">
        <v>8.7100000000000009</v>
      </c>
      <c r="F13598" t="str">
        <f>IF(Table2[[#This Row],[Manual Cat Value]]="",Table2[[#This Row],[Suggested Cat Value]],VLOOKUP(Table2[[#This Row],[Manual Cat Value]],Lookup!G:H,2,0))</f>
        <v>Entertainment</v>
      </c>
      <c r="G13598" t="s">
        <v>40</v>
      </c>
      <c r="I13598" s="8"/>
      <c r="O13598" t="str">
        <f>LEFT(Table2[[#This Row],[Description]],75)</f>
        <v>Hallmark</v>
      </c>
    </row>
    <row r="13599" spans="1:15" hidden="1">
      <c r="A13599">
        <v>202502</v>
      </c>
      <c r="B13599" s="6">
        <v>45700</v>
      </c>
      <c r="C13599" t="s">
        <v>3938</v>
      </c>
      <c r="D13599" t="s">
        <v>5756</v>
      </c>
      <c r="E13599">
        <v>8.7100000000000009</v>
      </c>
      <c r="F13599" t="str">
        <f>IF(Table2[[#This Row],[Manual Cat Value]]="",Table2[[#This Row],[Suggested Cat Value]],VLOOKUP(Table2[[#This Row],[Manual Cat Value]],Lookup!G:H,2,0))</f>
        <v>Entertainment</v>
      </c>
      <c r="G13599" t="s">
        <v>40</v>
      </c>
      <c r="I13599" s="8"/>
      <c r="O13599" t="str">
        <f>LEFT(Table2[[#This Row],[Description]],75)</f>
        <v>Hallmark</v>
      </c>
    </row>
    <row r="13600" spans="1:15" hidden="1">
      <c r="A13600">
        <v>202503</v>
      </c>
      <c r="B13600" s="6">
        <v>45728</v>
      </c>
      <c r="C13600" t="s">
        <v>3938</v>
      </c>
      <c r="D13600" t="s">
        <v>5756</v>
      </c>
      <c r="E13600">
        <v>8.7100000000000009</v>
      </c>
      <c r="F13600" t="str">
        <f>IF(Table2[[#This Row],[Manual Cat Value]]="",Table2[[#This Row],[Suggested Cat Value]],VLOOKUP(Table2[[#This Row],[Manual Cat Value]],Lookup!G:H,2,0))</f>
        <v>Entertainment</v>
      </c>
      <c r="G13600" t="s">
        <v>40</v>
      </c>
      <c r="I13600" s="8"/>
      <c r="O13600" t="str">
        <f>LEFT(Table2[[#This Row],[Description]],75)</f>
        <v>Hallmark</v>
      </c>
    </row>
    <row r="13601" spans="1:15" hidden="1">
      <c r="A13601">
        <v>202504</v>
      </c>
      <c r="B13601" s="6">
        <v>45760</v>
      </c>
      <c r="C13601" t="s">
        <v>3938</v>
      </c>
      <c r="D13601" t="s">
        <v>5756</v>
      </c>
      <c r="E13601">
        <v>8.7100000000000009</v>
      </c>
      <c r="F13601" t="str">
        <f>IF(Table2[[#This Row],[Manual Cat Value]]="",Table2[[#This Row],[Suggested Cat Value]],VLOOKUP(Table2[[#This Row],[Manual Cat Value]],Lookup!G:H,2,0))</f>
        <v>Entertainment</v>
      </c>
      <c r="G13601" t="s">
        <v>40</v>
      </c>
      <c r="I13601" s="8"/>
      <c r="O13601" t="str">
        <f>LEFT(Table2[[#This Row],[Description]],75)</f>
        <v>Hallmark</v>
      </c>
    </row>
    <row r="13602" spans="1:15" hidden="1">
      <c r="A13602">
        <v>202505</v>
      </c>
      <c r="B13602" s="6">
        <v>45789</v>
      </c>
      <c r="C13602" t="s">
        <v>3938</v>
      </c>
      <c r="D13602" t="s">
        <v>5756</v>
      </c>
      <c r="E13602">
        <v>8.7100000000000009</v>
      </c>
      <c r="F13602" t="str">
        <f>IF(Table2[[#This Row],[Manual Cat Value]]="",Table2[[#This Row],[Suggested Cat Value]],VLOOKUP(Table2[[#This Row],[Manual Cat Value]],Lookup!G:H,2,0))</f>
        <v>Entertainment</v>
      </c>
      <c r="G13602" t="s">
        <v>40</v>
      </c>
      <c r="I13602" s="8"/>
      <c r="O13602" t="str">
        <f>LEFT(Table2[[#This Row],[Description]],75)</f>
        <v>Hallmark</v>
      </c>
    </row>
    <row r="13603" spans="1:15" hidden="1">
      <c r="A13603">
        <v>202504</v>
      </c>
      <c r="B13603" s="6">
        <v>45756</v>
      </c>
      <c r="C13603" t="s">
        <v>2258</v>
      </c>
      <c r="D13603" t="s">
        <v>6469</v>
      </c>
      <c r="E13603">
        <v>8.6999999999999993</v>
      </c>
      <c r="F13603" t="str">
        <f>IF(Table2[[#This Row],[Manual Cat Value]]="",Table2[[#This Row],[Suggested Cat Value]],VLOOKUP(Table2[[#This Row],[Manual Cat Value]],Lookup!G:H,2,0))</f>
        <v>Amazon</v>
      </c>
      <c r="G13603" t="s">
        <v>38</v>
      </c>
      <c r="I13603" s="8"/>
      <c r="O13603" t="str">
        <f>LEFT(Table2[[#This Row],[Description]],75)</f>
        <v>AMAZON MKTPL*HK3VN5BB3 AMZN.COM/BILLWAIUCK8BMH5JC</v>
      </c>
    </row>
    <row r="13604" spans="1:15" hidden="1">
      <c r="A13604">
        <v>202504</v>
      </c>
      <c r="B13604" s="6">
        <v>45764</v>
      </c>
      <c r="C13604" t="s">
        <v>130</v>
      </c>
      <c r="D13604" t="s">
        <v>5765</v>
      </c>
      <c r="E13604">
        <v>8.6999999999999993</v>
      </c>
      <c r="F13604" t="str">
        <f>IF(Table2[[#This Row],[Manual Cat Value]]="",Table2[[#This Row],[Suggested Cat Value]],VLOOKUP(Table2[[#This Row],[Manual Cat Value]],Lookup!G:H,2,0))</f>
        <v>Amazon</v>
      </c>
      <c r="G13604" t="s">
        <v>38</v>
      </c>
      <c r="I13604" s="8"/>
      <c r="O13604" t="str">
        <f>LEFT(Table2[[#This Row],[Description]],75)</f>
        <v>PRIME VIDEO CHANNELSAMZN.COM/BILL       WA</v>
      </c>
    </row>
    <row r="13605" spans="1:15" hidden="1">
      <c r="A13605">
        <v>202505</v>
      </c>
      <c r="B13605" s="6">
        <v>45794</v>
      </c>
      <c r="C13605" t="s">
        <v>130</v>
      </c>
      <c r="D13605" t="s">
        <v>5765</v>
      </c>
      <c r="E13605">
        <v>8.6999999999999993</v>
      </c>
      <c r="F13605" t="str">
        <f>IF(Table2[[#This Row],[Manual Cat Value]]="",Table2[[#This Row],[Suggested Cat Value]],VLOOKUP(Table2[[#This Row],[Manual Cat Value]],Lookup!G:H,2,0))</f>
        <v>Amazon</v>
      </c>
      <c r="G13605" t="s">
        <v>38</v>
      </c>
      <c r="I13605" s="8"/>
      <c r="O13605" t="str">
        <f>LEFT(Table2[[#This Row],[Description]],75)</f>
        <v>PRIME VIDEO CHANNELSAMZN.COM/BILL       WA</v>
      </c>
    </row>
    <row r="13606" spans="1:15" hidden="1">
      <c r="A13606">
        <v>202503</v>
      </c>
      <c r="B13606" s="6">
        <v>45729</v>
      </c>
      <c r="C13606" t="s">
        <v>130</v>
      </c>
      <c r="D13606" t="s">
        <v>6183</v>
      </c>
      <c r="E13606">
        <v>8.66</v>
      </c>
      <c r="F13606" t="str">
        <f>IF(Table2[[#This Row],[Manual Cat Value]]="",Table2[[#This Row],[Suggested Cat Value]],VLOOKUP(Table2[[#This Row],[Manual Cat Value]],Lookup!G:H,2,0))</f>
        <v>Amazon</v>
      </c>
      <c r="G13606" t="s">
        <v>38</v>
      </c>
      <c r="I13606" s="8"/>
      <c r="O13606" t="str">
        <f>LEFT(Table2[[#This Row],[Description]],75)</f>
        <v>AMAZON MARKEPLACE NA PA</v>
      </c>
    </row>
    <row r="13607" spans="1:15" hidden="1">
      <c r="A13607">
        <v>202505</v>
      </c>
      <c r="B13607" s="6">
        <v>45784</v>
      </c>
      <c r="C13607" t="s">
        <v>2258</v>
      </c>
      <c r="D13607" t="s">
        <v>6470</v>
      </c>
      <c r="E13607">
        <v>8.6</v>
      </c>
      <c r="F13607" t="str">
        <f>IF(Table2[[#This Row],[Manual Cat Value]]="",Table2[[#This Row],[Suggested Cat Value]],VLOOKUP(Table2[[#This Row],[Manual Cat Value]],Lookup!G:H,2,0))</f>
        <v>Amazon</v>
      </c>
      <c r="G13607" t="s">
        <v>38</v>
      </c>
      <c r="I13607" s="8"/>
      <c r="O13607" t="str">
        <f>LEFT(Table2[[#This Row],[Description]],75)</f>
        <v>AMAZON MKTPL*NI2ZB0KN2 AMZN.COM/BILLWA2BJNHRZVA6N</v>
      </c>
    </row>
    <row r="13608" spans="1:15" hidden="1">
      <c r="A13608">
        <v>202504</v>
      </c>
      <c r="B13608" s="6">
        <v>45769</v>
      </c>
      <c r="C13608" t="s">
        <v>130</v>
      </c>
      <c r="D13608" t="s">
        <v>6352</v>
      </c>
      <c r="E13608">
        <v>8.58</v>
      </c>
      <c r="F13608" t="str">
        <f>IF(Table2[[#This Row],[Manual Cat Value]]="",Table2[[#This Row],[Suggested Cat Value]],VLOOKUP(Table2[[#This Row],[Manual Cat Value]],Lookup!G:H,2,0))</f>
        <v>Restaurants</v>
      </c>
      <c r="G13608" t="s">
        <v>26</v>
      </c>
      <c r="I13608" s="8"/>
      <c r="O13608" t="str">
        <f>LEFT(Table2[[#This Row],[Description]],75)</f>
        <v>SUBWAY 71167        ST. BONIFACIUS      MN</v>
      </c>
    </row>
    <row r="13609" spans="1:15" hidden="1">
      <c r="A13609">
        <v>202501</v>
      </c>
      <c r="B13609" s="6">
        <v>45681</v>
      </c>
      <c r="C13609" t="s">
        <v>3938</v>
      </c>
      <c r="D13609" t="s">
        <v>6439</v>
      </c>
      <c r="E13609">
        <v>8.0500000000000007</v>
      </c>
      <c r="F13609" t="str">
        <f>IF(Table2[[#This Row],[Manual Cat Value]]="",Table2[[#This Row],[Suggested Cat Value]],VLOOKUP(Table2[[#This Row],[Manual Cat Value]],Lookup!G:H,2,0))</f>
        <v>Delete</v>
      </c>
      <c r="G13609" t="s">
        <v>9</v>
      </c>
      <c r="I13609" s="8"/>
      <c r="O13609" t="str">
        <f>LEFT(Table2[[#This Row],[Description]],75)</f>
        <v>ARAMARK</v>
      </c>
    </row>
    <row r="13610" spans="1:15" hidden="1">
      <c r="A13610">
        <v>202501</v>
      </c>
      <c r="B13610" s="6">
        <v>45681</v>
      </c>
      <c r="C13610" t="s">
        <v>3938</v>
      </c>
      <c r="D13610" t="s">
        <v>6439</v>
      </c>
      <c r="E13610">
        <v>8.0500000000000007</v>
      </c>
      <c r="F13610" t="str">
        <f>IF(Table2[[#This Row],[Manual Cat Value]]="",Table2[[#This Row],[Suggested Cat Value]],VLOOKUP(Table2[[#This Row],[Manual Cat Value]],Lookup!G:H,2,0))</f>
        <v>Delete</v>
      </c>
      <c r="G13610" t="s">
        <v>9</v>
      </c>
      <c r="I13610" s="8"/>
      <c r="O13610" t="str">
        <f>LEFT(Table2[[#This Row],[Description]],75)</f>
        <v>ARAMARK</v>
      </c>
    </row>
    <row r="13611" spans="1:15" hidden="1">
      <c r="A13611">
        <v>202505</v>
      </c>
      <c r="B13611" s="6">
        <v>45780</v>
      </c>
      <c r="C13611" t="s">
        <v>130</v>
      </c>
      <c r="D13611" t="s">
        <v>6471</v>
      </c>
      <c r="E13611">
        <v>8</v>
      </c>
      <c r="F13611" t="str">
        <f>IF(Table2[[#This Row],[Manual Cat Value]]="",Table2[[#This Row],[Suggested Cat Value]],VLOOKUP(Table2[[#This Row],[Manual Cat Value]],Lookup!G:H,2,0))</f>
        <v>Delete</v>
      </c>
      <c r="G13611" t="s">
        <v>9</v>
      </c>
      <c r="I13611" s="8"/>
      <c r="O13611" t="str">
        <f>LEFT(Table2[[#This Row],[Description]],75)</f>
        <v>GOFANTIX* MINNETONKAALPHARETTA          GA</v>
      </c>
    </row>
    <row r="13612" spans="1:15" hidden="1">
      <c r="A13612">
        <v>202504</v>
      </c>
      <c r="B13612" s="6">
        <v>45749</v>
      </c>
      <c r="C13612" t="s">
        <v>3938</v>
      </c>
      <c r="D13612" t="s">
        <v>6472</v>
      </c>
      <c r="E13612">
        <v>7.95</v>
      </c>
      <c r="F13612" t="str">
        <f>IF(Table2[[#This Row],[Manual Cat Value]]="",Table2[[#This Row],[Suggested Cat Value]],VLOOKUP(Table2[[#This Row],[Manual Cat Value]],Lookup!G:H,2,0))</f>
        <v>Groceries</v>
      </c>
      <c r="G13612" t="s">
        <v>28</v>
      </c>
      <c r="I13612" s="8"/>
      <c r="O13612" t="str">
        <f>LEFT(Table2[[#This Row],[Description]],75)</f>
        <v>Munchies</v>
      </c>
    </row>
    <row r="13613" spans="1:15" hidden="1">
      <c r="A13613">
        <v>202505</v>
      </c>
      <c r="B13613" s="6">
        <v>45792</v>
      </c>
      <c r="C13613" t="s">
        <v>130</v>
      </c>
      <c r="D13613" t="s">
        <v>5827</v>
      </c>
      <c r="E13613">
        <v>7.86</v>
      </c>
      <c r="F13613" t="str">
        <f>IF(Table2[[#This Row],[Manual Cat Value]]="",Table2[[#This Row],[Suggested Cat Value]],VLOOKUP(Table2[[#This Row],[Manual Cat Value]],Lookup!G:H,2,0))</f>
        <v>Delete</v>
      </c>
      <c r="G13613" t="s">
        <v>9</v>
      </c>
      <c r="H13613" s="8" t="s">
        <v>9</v>
      </c>
      <c r="I13613" s="8"/>
      <c r="O13613" t="str">
        <f>LEFT(Table2[[#This Row],[Description]],75)</f>
        <v>THE DEAN HOTEL IE000CORK                IR</v>
      </c>
    </row>
    <row r="13614" spans="1:15" hidden="1">
      <c r="A13614">
        <v>202505</v>
      </c>
      <c r="B13614" s="6">
        <v>45790</v>
      </c>
      <c r="C13614" t="s">
        <v>130</v>
      </c>
      <c r="D13614" t="s">
        <v>5827</v>
      </c>
      <c r="E13614">
        <v>7.82</v>
      </c>
      <c r="F13614" t="str">
        <f>IF(Table2[[#This Row],[Manual Cat Value]]="",Table2[[#This Row],[Suggested Cat Value]],VLOOKUP(Table2[[#This Row],[Manual Cat Value]],Lookup!G:H,2,0))</f>
        <v>Delete</v>
      </c>
      <c r="G13614" t="s">
        <v>9</v>
      </c>
      <c r="H13614" s="8" t="s">
        <v>9</v>
      </c>
      <c r="I13614" s="8"/>
      <c r="O13614" t="str">
        <f>LEFT(Table2[[#This Row],[Description]],75)</f>
        <v>THE DEAN HOTEL IE000CORK                IR</v>
      </c>
    </row>
    <row r="13615" spans="1:15" hidden="1">
      <c r="A13615">
        <v>202501</v>
      </c>
      <c r="B13615" s="6">
        <v>45688</v>
      </c>
      <c r="C13615" t="s">
        <v>130</v>
      </c>
      <c r="D13615" t="s">
        <v>6069</v>
      </c>
      <c r="E13615">
        <v>7.74</v>
      </c>
      <c r="F13615" t="str">
        <f>IF(Table2[[#This Row],[Manual Cat Value]]="",Table2[[#This Row],[Suggested Cat Value]],VLOOKUP(Table2[[#This Row],[Manual Cat Value]],Lookup!G:H,2,0))</f>
        <v>Restaurants</v>
      </c>
      <c r="G13615" t="s">
        <v>26</v>
      </c>
      <c r="I13615" s="8"/>
      <c r="O13615" t="str">
        <f>LEFT(Table2[[#This Row],[Description]],75)</f>
        <v>AplPay THE LOBBY COFExcelsior           MN</v>
      </c>
    </row>
    <row r="13616" spans="1:15" hidden="1">
      <c r="A13616">
        <v>202504</v>
      </c>
      <c r="B13616" s="6">
        <v>45769</v>
      </c>
      <c r="C13616" t="s">
        <v>130</v>
      </c>
      <c r="D13616" t="s">
        <v>6473</v>
      </c>
      <c r="E13616">
        <v>7.72</v>
      </c>
      <c r="F13616" t="str">
        <f>IF(Table2[[#This Row],[Manual Cat Value]]="",Table2[[#This Row],[Suggested Cat Value]],VLOOKUP(Table2[[#This Row],[Manual Cat Value]],Lookup!G:H,2,0))</f>
        <v>Restaurants</v>
      </c>
      <c r="G13616" t="s">
        <v>26</v>
      </c>
      <c r="I13616" s="8"/>
      <c r="O13616" t="str">
        <f>LEFT(Table2[[#This Row],[Description]],75)</f>
        <v>AplPay TST* CARIBOU ST. LOUIS PAR       MN</v>
      </c>
    </row>
    <row r="13617" spans="1:15" hidden="1">
      <c r="A13617">
        <v>202501</v>
      </c>
      <c r="B13617" s="6">
        <v>45667</v>
      </c>
      <c r="C13617" t="s">
        <v>130</v>
      </c>
      <c r="D13617" t="s">
        <v>6474</v>
      </c>
      <c r="E13617">
        <v>7.52</v>
      </c>
      <c r="F13617" t="str">
        <f>IF(Table2[[#This Row],[Manual Cat Value]]="",Table2[[#This Row],[Suggested Cat Value]],VLOOKUP(Table2[[#This Row],[Manual Cat Value]],Lookup!G:H,2,0))</f>
        <v>Delete</v>
      </c>
      <c r="G13617" t="s">
        <v>26</v>
      </c>
      <c r="H13617" s="8" t="s">
        <v>9</v>
      </c>
      <c r="I13617" s="8"/>
      <c r="O13617" t="str">
        <f>LEFT(Table2[[#This Row],[Description]],75)</f>
        <v>AplPay REVERIE CAFE Minneapolis         MN</v>
      </c>
    </row>
    <row r="13618" spans="1:15" hidden="1">
      <c r="A13618">
        <v>202504</v>
      </c>
      <c r="B13618" s="6">
        <v>45761</v>
      </c>
      <c r="C13618" t="s">
        <v>130</v>
      </c>
      <c r="D13618" t="s">
        <v>6475</v>
      </c>
      <c r="E13618">
        <v>7.42</v>
      </c>
      <c r="F13618" t="str">
        <f>IF(Table2[[#This Row],[Manual Cat Value]]="",Table2[[#This Row],[Suggested Cat Value]],VLOOKUP(Table2[[#This Row],[Manual Cat Value]],Lookup!G:H,2,0))</f>
        <v>Restaurants</v>
      </c>
      <c r="G13618" t="s">
        <v>26</v>
      </c>
      <c r="I13618" s="8"/>
      <c r="O13618" t="str">
        <f>LEFT(Table2[[#This Row],[Description]],75)</f>
        <v>AplPay GENERAL STOREMINNETONKA          MN</v>
      </c>
    </row>
    <row r="13619" spans="1:15" hidden="1">
      <c r="A13619">
        <v>202503</v>
      </c>
      <c r="B13619" s="6">
        <v>45737</v>
      </c>
      <c r="C13619" t="s">
        <v>3938</v>
      </c>
      <c r="D13619" t="s">
        <v>6476</v>
      </c>
      <c r="E13619">
        <v>7.34</v>
      </c>
      <c r="F13619" t="str">
        <f>IF(Table2[[#This Row],[Manual Cat Value]]="",Table2[[#This Row],[Suggested Cat Value]],VLOOKUP(Table2[[#This Row],[Manual Cat Value]],Lookup!G:H,2,0))</f>
        <v>Delete</v>
      </c>
      <c r="G13619" t="s">
        <v>9</v>
      </c>
      <c r="H13619" s="8" t="s">
        <v>9</v>
      </c>
      <c r="I13619" s="8"/>
      <c r="O13619" t="str">
        <f>LEFT(Table2[[#This Row],[Description]],75)</f>
        <v>SON OF A BUN VICTORIAN QUAIE REF #XX3612G00SBWD1M</v>
      </c>
    </row>
    <row r="13620" spans="1:15" hidden="1">
      <c r="A13620">
        <v>202504</v>
      </c>
      <c r="B13620" s="6">
        <v>45751</v>
      </c>
      <c r="C13620" t="s">
        <v>3938</v>
      </c>
      <c r="D13620" t="s">
        <v>1773</v>
      </c>
      <c r="E13620">
        <v>7.23</v>
      </c>
      <c r="F13620" t="str">
        <f>IF(Table2[[#This Row],[Manual Cat Value]]="",Table2[[#This Row],[Suggested Cat Value]],VLOOKUP(Table2[[#This Row],[Manual Cat Value]],Lookup!G:H,2,0))</f>
        <v>Restaurants</v>
      </c>
      <c r="G13620" t="s">
        <v>26</v>
      </c>
      <c r="I13620" s="8"/>
      <c r="O13620" t="str">
        <f>LEFT(Table2[[#This Row],[Description]],75)</f>
        <v>Starbucks</v>
      </c>
    </row>
    <row r="13621" spans="1:15" hidden="1">
      <c r="A13621">
        <v>202501</v>
      </c>
      <c r="B13621" s="6">
        <v>45682</v>
      </c>
      <c r="C13621" t="s">
        <v>130</v>
      </c>
      <c r="D13621" t="s">
        <v>6477</v>
      </c>
      <c r="E13621">
        <v>6.9</v>
      </c>
      <c r="F13621" t="str">
        <f>IF(Table2[[#This Row],[Manual Cat Value]]="",Table2[[#This Row],[Suggested Cat Value]],VLOOKUP(Table2[[#This Row],[Manual Cat Value]],Lookup!G:H,2,0))</f>
        <v>Shopping</v>
      </c>
      <c r="G13621" t="s">
        <v>21</v>
      </c>
      <c r="I13621" s="8"/>
      <c r="O13621" t="str">
        <f>LEFT(Table2[[#This Row],[Description]],75)</f>
        <v>MAXIMUM VELOCITY    SAINT GEORGE        UT</v>
      </c>
    </row>
    <row r="13622" spans="1:15" hidden="1">
      <c r="A13622">
        <v>202505</v>
      </c>
      <c r="B13622" s="6">
        <v>45785</v>
      </c>
      <c r="C13622" t="s">
        <v>130</v>
      </c>
      <c r="D13622" t="s">
        <v>6478</v>
      </c>
      <c r="E13622">
        <v>6.73</v>
      </c>
      <c r="F13622" t="str">
        <f>IF(Table2[[#This Row],[Manual Cat Value]]="",Table2[[#This Row],[Suggested Cat Value]],VLOOKUP(Table2[[#This Row],[Manual Cat Value]],Lookup!G:H,2,0))</f>
        <v>Restaurants</v>
      </c>
      <c r="G13622" t="s">
        <v>26</v>
      </c>
      <c r="I13622" s="8"/>
      <c r="O13622" t="str">
        <f>LEFT(Table2[[#This Row],[Description]],75)</f>
        <v>AplPay MCDONALD'S F6CHANHASSEN          MN</v>
      </c>
    </row>
    <row r="13623" spans="1:15" hidden="1">
      <c r="A13623">
        <v>202501</v>
      </c>
      <c r="B13623" s="6">
        <v>45684</v>
      </c>
      <c r="C13623" t="s">
        <v>3938</v>
      </c>
      <c r="D13623" t="s">
        <v>6479</v>
      </c>
      <c r="E13623">
        <v>6.53</v>
      </c>
      <c r="F13623" t="str">
        <f>IF(Table2[[#This Row],[Manual Cat Value]]="",Table2[[#This Row],[Suggested Cat Value]],VLOOKUP(Table2[[#This Row],[Manual Cat Value]],Lookup!G:H,2,0))</f>
        <v>Restaurants</v>
      </c>
      <c r="G13623" t="s">
        <v>26</v>
      </c>
      <c r="I13623" s="8"/>
      <c r="O13623" t="str">
        <f>LEFT(Table2[[#This Row],[Description]],75)</f>
        <v>Retail in Motion LTD Dublin City IE REF #XX5260SBBX41SY4</v>
      </c>
    </row>
    <row r="13624" spans="1:15" hidden="1">
      <c r="A13624">
        <v>202504</v>
      </c>
      <c r="B13624" s="6">
        <v>45760</v>
      </c>
      <c r="C13624" t="s">
        <v>130</v>
      </c>
      <c r="D13624" t="s">
        <v>6480</v>
      </c>
      <c r="E13624">
        <v>6.52</v>
      </c>
      <c r="F13624" t="str">
        <f>IF(Table2[[#This Row],[Manual Cat Value]]="",Table2[[#This Row],[Suggested Cat Value]],VLOOKUP(Table2[[#This Row],[Manual Cat Value]],Lookup!G:H,2,0))</f>
        <v>Amazon</v>
      </c>
      <c r="G13624" t="s">
        <v>38</v>
      </c>
      <c r="I13624" s="8"/>
      <c r="O13624" t="str">
        <f>LEFT(Table2[[#This Row],[Description]],75)</f>
        <v>AMAZON KIDS+*9E3JD3D888-802-3080        WA</v>
      </c>
    </row>
    <row r="13625" spans="1:15" hidden="1">
      <c r="A13625">
        <v>202504</v>
      </c>
      <c r="B13625" s="6">
        <v>45777</v>
      </c>
      <c r="C13625" t="s">
        <v>130</v>
      </c>
      <c r="D13625" t="s">
        <v>6481</v>
      </c>
      <c r="E13625">
        <v>6.52</v>
      </c>
      <c r="F13625" t="str">
        <f>IF(Table2[[#This Row],[Manual Cat Value]]="",Table2[[#This Row],[Suggested Cat Value]],VLOOKUP(Table2[[#This Row],[Manual Cat Value]],Lookup!G:H,2,0))</f>
        <v>Amazon</v>
      </c>
      <c r="G13625" t="s">
        <v>38</v>
      </c>
      <c r="I13625" s="8"/>
      <c r="O13625" t="str">
        <f>LEFT(Table2[[#This Row],[Description]],75)</f>
        <v>AMAZON MUSIC*NB7C187888-802-3080        WA</v>
      </c>
    </row>
    <row r="13626" spans="1:15" hidden="1">
      <c r="A13626">
        <v>202505</v>
      </c>
      <c r="B13626" s="6">
        <v>45790</v>
      </c>
      <c r="C13626" t="s">
        <v>130</v>
      </c>
      <c r="D13626" t="s">
        <v>6482</v>
      </c>
      <c r="E13626">
        <v>6.52</v>
      </c>
      <c r="F13626" t="str">
        <f>IF(Table2[[#This Row],[Manual Cat Value]]="",Table2[[#This Row],[Suggested Cat Value]],VLOOKUP(Table2[[#This Row],[Manual Cat Value]],Lookup!G:H,2,0))</f>
        <v>Amazon</v>
      </c>
      <c r="G13626" t="s">
        <v>38</v>
      </c>
      <c r="I13626" s="8"/>
      <c r="O13626" t="str">
        <f>LEFT(Table2[[#This Row],[Description]],75)</f>
        <v>AMAZON KIDS+*NI8P52R888-802-3080        WA</v>
      </c>
    </row>
    <row r="13627" spans="1:15" hidden="1">
      <c r="A13627">
        <v>202501</v>
      </c>
      <c r="B13627" s="6">
        <v>45688</v>
      </c>
      <c r="C13627" t="s">
        <v>130</v>
      </c>
      <c r="D13627" t="s">
        <v>6483</v>
      </c>
      <c r="E13627">
        <v>6.49</v>
      </c>
      <c r="F13627" t="str">
        <f>IF(Table2[[#This Row],[Manual Cat Value]]="",Table2[[#This Row],[Suggested Cat Value]],VLOOKUP(Table2[[#This Row],[Manual Cat Value]],Lookup!G:H,2,0))</f>
        <v>Amazon</v>
      </c>
      <c r="G13627" t="s">
        <v>38</v>
      </c>
      <c r="I13627" s="8"/>
      <c r="O13627" t="str">
        <f>LEFT(Table2[[#This Row],[Description]],75)</f>
        <v>AMAZON MUSIC*ZC87G4R888-802-3080        WA</v>
      </c>
    </row>
    <row r="13628" spans="1:15" hidden="1">
      <c r="A13628">
        <v>202502</v>
      </c>
      <c r="B13628" s="6">
        <v>45701</v>
      </c>
      <c r="C13628" t="s">
        <v>130</v>
      </c>
      <c r="D13628" t="s">
        <v>6484</v>
      </c>
      <c r="E13628">
        <v>6.49</v>
      </c>
      <c r="F13628" t="str">
        <f>IF(Table2[[#This Row],[Manual Cat Value]]="",Table2[[#This Row],[Suggested Cat Value]],VLOOKUP(Table2[[#This Row],[Manual Cat Value]],Lookup!G:H,2,0))</f>
        <v>Amazon</v>
      </c>
      <c r="G13628" t="s">
        <v>38</v>
      </c>
      <c r="I13628" s="8"/>
      <c r="O13628" t="str">
        <f>LEFT(Table2[[#This Row],[Description]],75)</f>
        <v>AMAZON KIDS+*IW4X71B888-802-3080        WA</v>
      </c>
    </row>
    <row r="13629" spans="1:15" hidden="1">
      <c r="A13629">
        <v>202503</v>
      </c>
      <c r="B13629" s="6">
        <v>45717</v>
      </c>
      <c r="C13629" t="s">
        <v>130</v>
      </c>
      <c r="D13629" t="s">
        <v>6485</v>
      </c>
      <c r="E13629">
        <v>6.49</v>
      </c>
      <c r="F13629" t="str">
        <f>IF(Table2[[#This Row],[Manual Cat Value]]="",Table2[[#This Row],[Suggested Cat Value]],VLOOKUP(Table2[[#This Row],[Manual Cat Value]],Lookup!G:H,2,0))</f>
        <v>Amazon</v>
      </c>
      <c r="G13629" t="s">
        <v>38</v>
      </c>
      <c r="I13629" s="8"/>
      <c r="O13629" t="str">
        <f>LEFT(Table2[[#This Row],[Description]],75)</f>
        <v>AMAZON MUSIC*QL1O736888-802-3080        WA</v>
      </c>
    </row>
    <row r="13630" spans="1:15" hidden="1">
      <c r="A13630">
        <v>202503</v>
      </c>
      <c r="B13630" s="6">
        <v>45729</v>
      </c>
      <c r="C13630" t="s">
        <v>130</v>
      </c>
      <c r="D13630" t="s">
        <v>6486</v>
      </c>
      <c r="E13630">
        <v>6.49</v>
      </c>
      <c r="F13630" t="str">
        <f>IF(Table2[[#This Row],[Manual Cat Value]]="",Table2[[#This Row],[Suggested Cat Value]],VLOOKUP(Table2[[#This Row],[Manual Cat Value]],Lookup!G:H,2,0))</f>
        <v>Amazon</v>
      </c>
      <c r="G13630" t="s">
        <v>38</v>
      </c>
      <c r="I13630" s="8"/>
      <c r="O13630" t="str">
        <f>LEFT(Table2[[#This Row],[Description]],75)</f>
        <v>AMAZON KIDS+*2L6015E888-802-3080        WA</v>
      </c>
    </row>
    <row r="13631" spans="1:15" hidden="1">
      <c r="A13631">
        <v>202503</v>
      </c>
      <c r="B13631" s="6">
        <v>45747</v>
      </c>
      <c r="C13631" t="s">
        <v>130</v>
      </c>
      <c r="D13631" t="s">
        <v>6487</v>
      </c>
      <c r="E13631">
        <v>6.49</v>
      </c>
      <c r="F13631" t="str">
        <f>IF(Table2[[#This Row],[Manual Cat Value]]="",Table2[[#This Row],[Suggested Cat Value]],VLOOKUP(Table2[[#This Row],[Manual Cat Value]],Lookup!G:H,2,0))</f>
        <v>Amazon</v>
      </c>
      <c r="G13631" t="s">
        <v>38</v>
      </c>
      <c r="I13631" s="8"/>
      <c r="O13631" t="str">
        <f>LEFT(Table2[[#This Row],[Description]],75)</f>
        <v>AMAZON MUSIC*8O0RE0N888-802-3080        WA</v>
      </c>
    </row>
    <row r="13632" spans="1:15" hidden="1">
      <c r="A13632">
        <v>202505</v>
      </c>
      <c r="B13632" s="6">
        <v>45798</v>
      </c>
      <c r="C13632" t="s">
        <v>130</v>
      </c>
      <c r="D13632" t="s">
        <v>6488</v>
      </c>
      <c r="E13632">
        <v>6.49</v>
      </c>
      <c r="F13632" t="str">
        <f>IF(Table2[[#This Row],[Manual Cat Value]]="",Table2[[#This Row],[Suggested Cat Value]],VLOOKUP(Table2[[#This Row],[Manual Cat Value]],Lookup!G:H,2,0))</f>
        <v>Restaurants</v>
      </c>
      <c r="G13632" t="s">
        <v>26</v>
      </c>
      <c r="I13632" s="8"/>
      <c r="O13632" t="str">
        <f>LEFT(Table2[[#This Row],[Description]],75)</f>
        <v>AplPay WAYZATA COFFEWAYZATA             MN</v>
      </c>
    </row>
    <row r="13633" spans="1:15" hidden="1">
      <c r="A13633">
        <v>202504</v>
      </c>
      <c r="B13633" s="6">
        <v>45750</v>
      </c>
      <c r="C13633" t="s">
        <v>130</v>
      </c>
      <c r="D13633" t="s">
        <v>6489</v>
      </c>
      <c r="E13633">
        <v>6.06</v>
      </c>
      <c r="F13633" t="str">
        <f>IF(Table2[[#This Row],[Manual Cat Value]]="",Table2[[#This Row],[Suggested Cat Value]],VLOOKUP(Table2[[#This Row],[Manual Cat Value]],Lookup!G:H,2,0))</f>
        <v>Restaurants</v>
      </c>
      <c r="G13633" t="s">
        <v>26</v>
      </c>
      <c r="I13633" s="8"/>
      <c r="O13633" t="str">
        <f>LEFT(Table2[[#This Row],[Description]],75)</f>
        <v>AplPay MINIONS POPA ORLANDO             FL</v>
      </c>
    </row>
    <row r="13634" spans="1:15" hidden="1">
      <c r="A13634">
        <v>202504</v>
      </c>
      <c r="B13634" s="6">
        <v>45758</v>
      </c>
      <c r="C13634" t="s">
        <v>130</v>
      </c>
      <c r="D13634" t="s">
        <v>5849</v>
      </c>
      <c r="E13634">
        <v>5.99</v>
      </c>
      <c r="F13634" t="str">
        <f>IF(Table2[[#This Row],[Manual Cat Value]]="",Table2[[#This Row],[Suggested Cat Value]],VLOOKUP(Table2[[#This Row],[Manual Cat Value]],Lookup!G:H,2,0))</f>
        <v>Restaurants</v>
      </c>
      <c r="G13634" t="s">
        <v>26</v>
      </c>
      <c r="I13634" s="8"/>
      <c r="O13634" t="str">
        <f>LEFT(Table2[[#This Row],[Description]],75)</f>
        <v>AplPay KOWALSKI'S EXEXCELSIOR           MN</v>
      </c>
    </row>
    <row r="13635" spans="1:15" hidden="1">
      <c r="A13635">
        <v>202503</v>
      </c>
      <c r="B13635" s="6">
        <v>45723</v>
      </c>
      <c r="C13635" t="s">
        <v>130</v>
      </c>
      <c r="D13635" t="s">
        <v>6490</v>
      </c>
      <c r="E13635">
        <v>5.86</v>
      </c>
      <c r="F13635" t="str">
        <f>IF(Table2[[#This Row],[Manual Cat Value]]="",Table2[[#This Row],[Suggested Cat Value]],VLOOKUP(Table2[[#This Row],[Manual Cat Value]],Lookup!G:H,2,0))</f>
        <v>Delete</v>
      </c>
      <c r="G13635" t="s">
        <v>9</v>
      </c>
      <c r="I13635" s="8"/>
      <c r="O13635" t="str">
        <f>LEFT(Table2[[#This Row],[Description]],75)</f>
        <v>PARADIES-ATLANTA, LLATLANTA             GA</v>
      </c>
    </row>
    <row r="13636" spans="1:15" hidden="1">
      <c r="A13636">
        <v>202501</v>
      </c>
      <c r="B13636" s="6">
        <v>45667</v>
      </c>
      <c r="C13636" t="s">
        <v>130</v>
      </c>
      <c r="D13636" t="s">
        <v>6491</v>
      </c>
      <c r="E13636">
        <v>5.83</v>
      </c>
      <c r="F13636" t="str">
        <f>IF(Table2[[#This Row],[Manual Cat Value]]="",Table2[[#This Row],[Suggested Cat Value]],VLOOKUP(Table2[[#This Row],[Manual Cat Value]],Lookup!G:H,2,0))</f>
        <v>Delete</v>
      </c>
      <c r="G13636" t="s">
        <v>9</v>
      </c>
      <c r="H13636" s="8" t="s">
        <v>9</v>
      </c>
      <c r="I13636" s="8"/>
      <c r="O13636" t="str">
        <f>LEFT(Table2[[#This Row],[Description]],75)</f>
        <v>DUNKIN #342231 Q35 3BOSTON              MA</v>
      </c>
    </row>
    <row r="13637" spans="1:15" hidden="1">
      <c r="A13637">
        <v>202503</v>
      </c>
      <c r="B13637" s="6">
        <v>45733</v>
      </c>
      <c r="C13637" t="s">
        <v>130</v>
      </c>
      <c r="D13637" t="s">
        <v>6492</v>
      </c>
      <c r="E13637">
        <v>5.68</v>
      </c>
      <c r="F13637" t="str">
        <f>IF(Table2[[#This Row],[Manual Cat Value]]="",Table2[[#This Row],[Suggested Cat Value]],VLOOKUP(Table2[[#This Row],[Manual Cat Value]],Lookup!G:H,2,0))</f>
        <v>Restaurants</v>
      </c>
      <c r="G13637" t="s">
        <v>26</v>
      </c>
      <c r="I13637" s="8"/>
      <c r="O13637" t="str">
        <f>LEFT(Table2[[#This Row],[Description]],75)</f>
        <v>GASTRONOMIE /CONFIS.TREMBLAY  EN  FRANCEFR</v>
      </c>
    </row>
    <row r="13638" spans="1:15" hidden="1">
      <c r="A13638">
        <v>202504</v>
      </c>
      <c r="B13638" s="6">
        <v>45750</v>
      </c>
      <c r="C13638" t="s">
        <v>2258</v>
      </c>
      <c r="D13638" t="s">
        <v>6493</v>
      </c>
      <c r="E13638">
        <v>5.68</v>
      </c>
      <c r="F13638" t="str">
        <f>IF(Table2[[#This Row],[Manual Cat Value]]="",Table2[[#This Row],[Suggested Cat Value]],VLOOKUP(Table2[[#This Row],[Manual Cat Value]],Lookup!G:H,2,0))</f>
        <v>Travel</v>
      </c>
      <c r="G13638" t="s">
        <v>43</v>
      </c>
      <c r="I13638" s="8"/>
      <c r="O13638" t="str">
        <f>LEFT(Table2[[#This Row],[Description]],75)</f>
        <v>RACETRAC23700023796974 LAKELAND FLAPPLE PAY ENDING IN 7629</v>
      </c>
    </row>
    <row r="13639" spans="1:15" hidden="1">
      <c r="A13639">
        <v>202501</v>
      </c>
      <c r="B13639" s="6">
        <v>45681</v>
      </c>
      <c r="C13639" t="s">
        <v>3938</v>
      </c>
      <c r="D13639" t="s">
        <v>6494</v>
      </c>
      <c r="E13639">
        <v>5.63</v>
      </c>
      <c r="F13639" t="str">
        <f>IF(Table2[[#This Row],[Manual Cat Value]]="",Table2[[#This Row],[Suggested Cat Value]],VLOOKUP(Table2[[#This Row],[Manual Cat Value]],Lookup!G:H,2,0))</f>
        <v>Delete</v>
      </c>
      <c r="G13639" t="s">
        <v>9</v>
      </c>
      <c r="I13639" s="8"/>
      <c r="O13639" t="str">
        <f>LEFT(Table2[[#This Row],[Description]],75)</f>
        <v>WH Smith Cork Airport Cork IE REF #XX9800R7HK3GDVK</v>
      </c>
    </row>
    <row r="13640" spans="1:15" hidden="1">
      <c r="A13640">
        <v>202504</v>
      </c>
      <c r="B13640" s="6">
        <v>45776</v>
      </c>
      <c r="C13640" t="s">
        <v>130</v>
      </c>
      <c r="D13640" t="s">
        <v>6069</v>
      </c>
      <c r="E13640">
        <v>5.56</v>
      </c>
      <c r="F13640" t="str">
        <f>IF(Table2[[#This Row],[Manual Cat Value]]="",Table2[[#This Row],[Suggested Cat Value]],VLOOKUP(Table2[[#This Row],[Manual Cat Value]],Lookup!G:H,2,0))</f>
        <v>Restaurants</v>
      </c>
      <c r="G13640" t="s">
        <v>26</v>
      </c>
      <c r="I13640" s="8"/>
      <c r="O13640" t="str">
        <f>LEFT(Table2[[#This Row],[Description]],75)</f>
        <v>AplPay THE LOBBY COFExcelsior           MN</v>
      </c>
    </row>
    <row r="13641" spans="1:15" hidden="1">
      <c r="A13641">
        <v>202501</v>
      </c>
      <c r="B13641" s="6">
        <v>45675</v>
      </c>
      <c r="C13641" t="s">
        <v>130</v>
      </c>
      <c r="D13641" t="s">
        <v>5898</v>
      </c>
      <c r="E13641">
        <v>5.37</v>
      </c>
      <c r="F13641" t="str">
        <f>IF(Table2[[#This Row],[Manual Cat Value]]="",Table2[[#This Row],[Suggested Cat Value]],VLOOKUP(Table2[[#This Row],[Manual Cat Value]],Lookup!G:H,2,0))</f>
        <v>Groceries</v>
      </c>
      <c r="G13641" t="s">
        <v>28</v>
      </c>
      <c r="I13641" s="8"/>
      <c r="O13641" t="str">
        <f>LEFT(Table2[[#This Row],[Description]],75)</f>
        <v>LAKESHORE MARKET &amp; MEXCELSIOR           MN</v>
      </c>
    </row>
    <row r="13642" spans="1:15" hidden="1">
      <c r="A13642">
        <v>202502</v>
      </c>
      <c r="B13642" s="6">
        <v>45694</v>
      </c>
      <c r="C13642" t="s">
        <v>130</v>
      </c>
      <c r="D13642" t="s">
        <v>6488</v>
      </c>
      <c r="E13642">
        <v>4.75</v>
      </c>
      <c r="F13642" t="str">
        <f>IF(Table2[[#This Row],[Manual Cat Value]]="",Table2[[#This Row],[Suggested Cat Value]],VLOOKUP(Table2[[#This Row],[Manual Cat Value]],Lookup!G:H,2,0))</f>
        <v>Restaurants</v>
      </c>
      <c r="G13642" t="s">
        <v>26</v>
      </c>
      <c r="I13642" s="8"/>
      <c r="O13642" t="str">
        <f>LEFT(Table2[[#This Row],[Description]],75)</f>
        <v>AplPay WAYZATA COFFEWAYZATA             MN</v>
      </c>
    </row>
    <row r="13643" spans="1:15" hidden="1">
      <c r="A13643">
        <v>202503</v>
      </c>
      <c r="B13643" s="6">
        <v>45735</v>
      </c>
      <c r="C13643" t="s">
        <v>3938</v>
      </c>
      <c r="D13643" t="s">
        <v>6495</v>
      </c>
      <c r="E13643">
        <v>4.6500000000000004</v>
      </c>
      <c r="F13643" t="str">
        <f>IF(Table2[[#This Row],[Manual Cat Value]]="",Table2[[#This Row],[Suggested Cat Value]],VLOOKUP(Table2[[#This Row],[Manual Cat Value]],Lookup!G:H,2,0))</f>
        <v>Delete</v>
      </c>
      <c r="G13643" t="s">
        <v>9</v>
      </c>
      <c r="I13643" s="8"/>
      <c r="O13643" t="str">
        <f>LEFT(Table2[[#This Row],[Description]],75)</f>
        <v>Naturally Nourished Cork IE REF #XX9162D12APVXMF</v>
      </c>
    </row>
    <row r="13644" spans="1:15" hidden="1">
      <c r="A13644">
        <v>202501</v>
      </c>
      <c r="B13644" s="6">
        <v>45684</v>
      </c>
      <c r="C13644" t="s">
        <v>130</v>
      </c>
      <c r="D13644" t="s">
        <v>6496</v>
      </c>
      <c r="E13644">
        <v>4.47</v>
      </c>
      <c r="F13644" t="str">
        <f>IF(Table2[[#This Row],[Manual Cat Value]]="",Table2[[#This Row],[Suggested Cat Value]],VLOOKUP(Table2[[#This Row],[Manual Cat Value]],Lookup!G:H,2,0))</f>
        <v>Restaurants</v>
      </c>
      <c r="G13644" t="s">
        <v>26</v>
      </c>
      <c r="I13644" s="8"/>
      <c r="O13644" t="str">
        <f>LEFT(Table2[[#This Row],[Description]],75)</f>
        <v>AplPay WALGREENS    EXCELSIOR           MN</v>
      </c>
    </row>
    <row r="13645" spans="1:15" hidden="1">
      <c r="A13645">
        <v>202504</v>
      </c>
      <c r="B13645" s="6">
        <v>45755</v>
      </c>
      <c r="C13645" t="s">
        <v>3938</v>
      </c>
      <c r="D13645" t="s">
        <v>6497</v>
      </c>
      <c r="E13645">
        <v>4.3600000000000003</v>
      </c>
      <c r="F13645" t="str">
        <f>IF(Table2[[#This Row],[Manual Cat Value]]="",Table2[[#This Row],[Suggested Cat Value]],VLOOKUP(Table2[[#This Row],[Manual Cat Value]],Lookup!G:H,2,0))</f>
        <v>Shopping</v>
      </c>
      <c r="G13645" t="s">
        <v>21</v>
      </c>
      <c r="I13645" s="8"/>
      <c r="O13645" t="str">
        <f>LEFT(Table2[[#This Row],[Description]],75)</f>
        <v>D J*WSJ XX-7625 NJ REF #XX6322XVTQMTT</v>
      </c>
    </row>
    <row r="13646" spans="1:15" hidden="1">
      <c r="A13646">
        <v>202505</v>
      </c>
      <c r="B13646" s="6">
        <v>45783</v>
      </c>
      <c r="C13646" t="s">
        <v>3938</v>
      </c>
      <c r="D13646" t="s">
        <v>6498</v>
      </c>
      <c r="E13646">
        <v>4.3600000000000003</v>
      </c>
      <c r="F13646" t="str">
        <f>IF(Table2[[#This Row],[Manual Cat Value]]="",Table2[[#This Row],[Suggested Cat Value]],VLOOKUP(Table2[[#This Row],[Manual Cat Value]],Lookup!G:H,2,0))</f>
        <v>Shopping</v>
      </c>
      <c r="G13646" t="s">
        <v>21</v>
      </c>
      <c r="I13646" s="8"/>
      <c r="O13646" t="str">
        <f>LEFT(Table2[[#This Row],[Description]],75)</f>
        <v>D J*WSJ XX-7625 NJ REF #XX2163Y2ZZTSD15</v>
      </c>
    </row>
    <row r="13647" spans="1:15" hidden="1">
      <c r="A13647">
        <v>202502</v>
      </c>
      <c r="B13647" s="6">
        <v>45704</v>
      </c>
      <c r="C13647" t="s">
        <v>130</v>
      </c>
      <c r="D13647" t="s">
        <v>6499</v>
      </c>
      <c r="E13647">
        <v>4.32</v>
      </c>
      <c r="F13647" t="str">
        <f>IF(Table2[[#This Row],[Manual Cat Value]]="",Table2[[#This Row],[Suggested Cat Value]],VLOOKUP(Table2[[#This Row],[Manual Cat Value]],Lookup!G:H,2,0))</f>
        <v>Amazon</v>
      </c>
      <c r="G13647" t="s">
        <v>38</v>
      </c>
      <c r="I13647" s="8"/>
      <c r="O13647" t="str">
        <f>LEFT(Table2[[#This Row],[Description]],75)</f>
        <v>PRIME VIDEO *D92NM8R888-802-3080        WA</v>
      </c>
    </row>
    <row r="13648" spans="1:15" hidden="1">
      <c r="A13648">
        <v>202502</v>
      </c>
      <c r="B13648" s="6">
        <v>45709</v>
      </c>
      <c r="C13648" t="s">
        <v>130</v>
      </c>
      <c r="D13648" t="s">
        <v>6500</v>
      </c>
      <c r="E13648">
        <v>4.32</v>
      </c>
      <c r="F13648" t="str">
        <f>IF(Table2[[#This Row],[Manual Cat Value]]="",Table2[[#This Row],[Suggested Cat Value]],VLOOKUP(Table2[[#This Row],[Manual Cat Value]],Lookup!G:H,2,0))</f>
        <v>Amazon</v>
      </c>
      <c r="G13648" t="s">
        <v>38</v>
      </c>
      <c r="I13648" s="8"/>
      <c r="O13648" t="str">
        <f>LEFT(Table2[[#This Row],[Description]],75)</f>
        <v>PRIME VIDEO *5P9YG1H888-802-3080        WA</v>
      </c>
    </row>
    <row r="13649" spans="1:15" hidden="1">
      <c r="A13649">
        <v>202503</v>
      </c>
      <c r="B13649" s="6">
        <v>45722</v>
      </c>
      <c r="C13649" t="s">
        <v>130</v>
      </c>
      <c r="D13649" t="s">
        <v>6501</v>
      </c>
      <c r="E13649">
        <v>4.3099999999999996</v>
      </c>
      <c r="F13649" t="str">
        <f>IF(Table2[[#This Row],[Manual Cat Value]]="",Table2[[#This Row],[Suggested Cat Value]],VLOOKUP(Table2[[#This Row],[Manual Cat Value]],Lookup!G:H,2,0))</f>
        <v>Delete</v>
      </c>
      <c r="G13649" t="s">
        <v>9</v>
      </c>
      <c r="I13649" s="8"/>
      <c r="O13649" t="str">
        <f>LEFT(Table2[[#This Row],[Description]],75)</f>
        <v>ATLMARKET ST2681 268ATLANTA             GA</v>
      </c>
    </row>
    <row r="13650" spans="1:15" hidden="1">
      <c r="A13650">
        <v>202502</v>
      </c>
      <c r="B13650" s="6">
        <v>45714</v>
      </c>
      <c r="C13650" t="s">
        <v>130</v>
      </c>
      <c r="D13650" t="s">
        <v>5941</v>
      </c>
      <c r="E13650">
        <v>4.24</v>
      </c>
      <c r="F13650" t="str">
        <f>IF(Table2[[#This Row],[Manual Cat Value]]="",Table2[[#This Row],[Suggested Cat Value]],VLOOKUP(Table2[[#This Row],[Manual Cat Value]],Lookup!G:H,2,0))</f>
        <v>Restaurants</v>
      </c>
      <c r="G13650" t="s">
        <v>26</v>
      </c>
      <c r="I13650" s="8"/>
      <c r="O13650" t="str">
        <f>LEFT(Table2[[#This Row],[Description]],75)</f>
        <v>TST* CARIBOU COFFEE EXCELSIOR           MN</v>
      </c>
    </row>
    <row r="13651" spans="1:15" hidden="1">
      <c r="A13651">
        <v>202505</v>
      </c>
      <c r="B13651" s="6">
        <v>45792</v>
      </c>
      <c r="C13651" t="s">
        <v>3938</v>
      </c>
      <c r="D13651" t="s">
        <v>6502</v>
      </c>
      <c r="E13651">
        <v>4.1399999999999997</v>
      </c>
      <c r="F13651" t="str">
        <f>IF(Table2[[#This Row],[Manual Cat Value]]="",Table2[[#This Row],[Suggested Cat Value]],VLOOKUP(Table2[[#This Row],[Manual Cat Value]],Lookup!G:H,2,0))</f>
        <v>Groceries</v>
      </c>
      <c r="G13651" t="s">
        <v>28</v>
      </c>
      <c r="I13651" s="8"/>
      <c r="O13651" t="str">
        <f>LEFT(Table2[[#This Row],[Description]],75)</f>
        <v>E&amp;a Mart</v>
      </c>
    </row>
    <row r="13652" spans="1:15" hidden="1">
      <c r="A13652">
        <v>202505</v>
      </c>
      <c r="B13652" s="6">
        <v>45793</v>
      </c>
      <c r="C13652" t="s">
        <v>130</v>
      </c>
      <c r="D13652" t="s">
        <v>6503</v>
      </c>
      <c r="E13652">
        <v>4.13</v>
      </c>
      <c r="F13652" t="str">
        <f>IF(Table2[[#This Row],[Manual Cat Value]]="",Table2[[#This Row],[Suggested Cat Value]],VLOOKUP(Table2[[#This Row],[Manual Cat Value]],Lookup!G:H,2,0))</f>
        <v>Amazon</v>
      </c>
      <c r="G13652" t="s">
        <v>38</v>
      </c>
      <c r="I13652" s="8"/>
      <c r="O13652" t="str">
        <f>LEFT(Table2[[#This Row],[Description]],75)</f>
        <v>PRIME VIDEO *NW4S811888-802-3080        WA</v>
      </c>
    </row>
    <row r="13653" spans="1:15" hidden="1">
      <c r="A13653">
        <v>202502</v>
      </c>
      <c r="B13653" s="6">
        <v>45701</v>
      </c>
      <c r="C13653" t="s">
        <v>130</v>
      </c>
      <c r="D13653" t="s">
        <v>6504</v>
      </c>
      <c r="E13653">
        <v>4.1100000000000003</v>
      </c>
      <c r="F13653" t="str">
        <f>IF(Table2[[#This Row],[Manual Cat Value]]="",Table2[[#This Row],[Suggested Cat Value]],VLOOKUP(Table2[[#This Row],[Manual Cat Value]],Lookup!G:H,2,0))</f>
        <v>Amazon</v>
      </c>
      <c r="G13653" t="s">
        <v>38</v>
      </c>
      <c r="I13653" s="8"/>
      <c r="O13653" t="str">
        <f>LEFT(Table2[[#This Row],[Description]],75)</f>
        <v>PRIME VIDEO *U36C430888-802-3080        WA</v>
      </c>
    </row>
    <row r="13654" spans="1:15" hidden="1">
      <c r="A13654">
        <v>202502</v>
      </c>
      <c r="B13654" s="6">
        <v>45703</v>
      </c>
      <c r="C13654" t="s">
        <v>2258</v>
      </c>
      <c r="D13654" t="s">
        <v>6505</v>
      </c>
      <c r="E13654">
        <v>4.1100000000000003</v>
      </c>
      <c r="F13654" t="str">
        <f>IF(Table2[[#This Row],[Manual Cat Value]]="",Table2[[#This Row],[Suggested Cat Value]],VLOOKUP(Table2[[#This Row],[Manual Cat Value]],Lookup!G:H,2,0))</f>
        <v>Amazon</v>
      </c>
      <c r="G13654" t="s">
        <v>38</v>
      </c>
      <c r="I13654" s="8"/>
      <c r="O13654" t="str">
        <f>LEFT(Table2[[#This Row],[Description]],75)</f>
        <v>PRIME VIDEO *4C23X9VF3 888-802-3080 WACB1WU50UA74</v>
      </c>
    </row>
    <row r="13655" spans="1:15" hidden="1">
      <c r="A13655">
        <v>202501</v>
      </c>
      <c r="B13655" s="6">
        <v>45667</v>
      </c>
      <c r="C13655" t="s">
        <v>130</v>
      </c>
      <c r="D13655" t="s">
        <v>5532</v>
      </c>
      <c r="E13655">
        <v>3.96</v>
      </c>
      <c r="F13655" t="str">
        <f>IF(Table2[[#This Row],[Manual Cat Value]]="",Table2[[#This Row],[Suggested Cat Value]],VLOOKUP(Table2[[#This Row],[Manual Cat Value]],Lookup!G:H,2,0))</f>
        <v>Restaurants</v>
      </c>
      <c r="G13655" t="s">
        <v>26</v>
      </c>
      <c r="I13655" s="8"/>
      <c r="O13655" t="str">
        <f>LEFT(Table2[[#This Row],[Description]],75)</f>
        <v>MINNEAPOLIS AIRPORT SAINT PAUL          MN</v>
      </c>
    </row>
    <row r="13656" spans="1:15" hidden="1">
      <c r="A13656">
        <v>202501</v>
      </c>
      <c r="B13656" s="6">
        <v>45676</v>
      </c>
      <c r="C13656" t="s">
        <v>130</v>
      </c>
      <c r="D13656" t="s">
        <v>5941</v>
      </c>
      <c r="E13656">
        <v>3.92</v>
      </c>
      <c r="F13656" t="str">
        <f>IF(Table2[[#This Row],[Manual Cat Value]]="",Table2[[#This Row],[Suggested Cat Value]],VLOOKUP(Table2[[#This Row],[Manual Cat Value]],Lookup!G:H,2,0))</f>
        <v>Restaurants</v>
      </c>
      <c r="G13656" t="s">
        <v>26</v>
      </c>
      <c r="I13656" s="8"/>
      <c r="O13656" t="str">
        <f>LEFT(Table2[[#This Row],[Description]],75)</f>
        <v>TST* CARIBOU COFFEE EXCELSIOR           MN</v>
      </c>
    </row>
    <row r="13657" spans="1:15" hidden="1">
      <c r="A13657">
        <v>202501</v>
      </c>
      <c r="B13657" s="6">
        <v>45680</v>
      </c>
      <c r="C13657" t="s">
        <v>130</v>
      </c>
      <c r="D13657" t="s">
        <v>6506</v>
      </c>
      <c r="E13657">
        <v>3.76</v>
      </c>
      <c r="F13657" t="str">
        <f>IF(Table2[[#This Row],[Manual Cat Value]]="",Table2[[#This Row],[Suggested Cat Value]],VLOOKUP(Table2[[#This Row],[Manual Cat Value]],Lookup!G:H,2,0))</f>
        <v>Delete</v>
      </c>
      <c r="G13657" t="s">
        <v>9</v>
      </c>
      <c r="I13657" s="8"/>
      <c r="O13657" t="str">
        <f>LEFT(Table2[[#This Row],[Description]],75)</f>
        <v>TST-CANDY ROCK - MARCORK                IR</v>
      </c>
    </row>
    <row r="13658" spans="1:15" hidden="1">
      <c r="A13658">
        <v>202501</v>
      </c>
      <c r="B13658" s="6">
        <v>45679</v>
      </c>
      <c r="C13658" t="s">
        <v>130</v>
      </c>
      <c r="D13658" t="s">
        <v>6507</v>
      </c>
      <c r="E13658">
        <v>3.73</v>
      </c>
      <c r="F13658" t="str">
        <f>IF(Table2[[#This Row],[Manual Cat Value]]="",Table2[[#This Row],[Suggested Cat Value]],VLOOKUP(Table2[[#This Row],[Manual Cat Value]],Lookup!G:H,2,0))</f>
        <v>Restaurants</v>
      </c>
      <c r="G13658" t="s">
        <v>26</v>
      </c>
      <c r="I13658" s="8"/>
      <c r="O13658" t="str">
        <f>LEFT(Table2[[#This Row],[Description]],75)</f>
        <v>AplPay USPS PO 26306EXCELSIOR           MN</v>
      </c>
    </row>
    <row r="13659" spans="1:15" hidden="1">
      <c r="A13659">
        <v>202505</v>
      </c>
      <c r="B13659" s="6">
        <v>45787</v>
      </c>
      <c r="C13659" t="s">
        <v>130</v>
      </c>
      <c r="D13659" t="s">
        <v>6323</v>
      </c>
      <c r="E13659">
        <v>3.61</v>
      </c>
      <c r="F13659" t="str">
        <f>IF(Table2[[#This Row],[Manual Cat Value]]="",Table2[[#This Row],[Suggested Cat Value]],VLOOKUP(Table2[[#This Row],[Manual Cat Value]],Lookup!G:H,2,0))</f>
        <v>Restaurants</v>
      </c>
      <c r="G13659" t="s">
        <v>26</v>
      </c>
      <c r="I13659" s="8"/>
      <c r="O13659" t="str">
        <f>LEFT(Table2[[#This Row],[Description]],75)</f>
        <v>AplPay THE HOME DEPOEDEN PRAIRIE        MN</v>
      </c>
    </row>
    <row r="13660" spans="1:15" hidden="1">
      <c r="A13660">
        <v>202503</v>
      </c>
      <c r="B13660" s="6">
        <v>45723</v>
      </c>
      <c r="C13660" t="s">
        <v>130</v>
      </c>
      <c r="D13660" t="s">
        <v>6508</v>
      </c>
      <c r="E13660">
        <v>3.5</v>
      </c>
      <c r="F13660" t="str">
        <f>IF(Table2[[#This Row],[Manual Cat Value]]="",Table2[[#This Row],[Suggested Cat Value]],VLOOKUP(Table2[[#This Row],[Manual Cat Value]],Lookup!G:H,2,0))</f>
        <v>Restaurants</v>
      </c>
      <c r="G13660" t="s">
        <v>26</v>
      </c>
      <c r="I13660" s="8"/>
      <c r="O13660" t="str">
        <f>LEFT(Table2[[#This Row],[Description]],75)</f>
        <v>PROTEIN BAR &amp; KITCHESALT LAKE CIT       UT</v>
      </c>
    </row>
    <row r="13661" spans="1:15" hidden="1">
      <c r="A13661">
        <v>202504</v>
      </c>
      <c r="B13661" s="6">
        <v>45753</v>
      </c>
      <c r="C13661" t="s">
        <v>3938</v>
      </c>
      <c r="D13661" t="s">
        <v>6509</v>
      </c>
      <c r="E13661">
        <v>3.29</v>
      </c>
      <c r="F13661" t="str">
        <f>IF(Table2[[#This Row],[Manual Cat Value]]="",Table2[[#This Row],[Suggested Cat Value]],VLOOKUP(Table2[[#This Row],[Manual Cat Value]],Lookup!G:H,2,0))</f>
        <v>Entertainment</v>
      </c>
      <c r="G13661" t="s">
        <v>40</v>
      </c>
      <c r="I13661" s="8"/>
      <c r="O13661" t="str">
        <f>LEFT(Table2[[#This Row],[Description]],75)</f>
        <v>Salty Sams Marina</v>
      </c>
    </row>
    <row r="13662" spans="1:15" hidden="1">
      <c r="A13662">
        <v>202502</v>
      </c>
      <c r="B13662" s="6">
        <v>45702</v>
      </c>
      <c r="C13662" t="s">
        <v>2519</v>
      </c>
      <c r="D13662" t="s">
        <v>1955</v>
      </c>
      <c r="E13662">
        <v>3.28</v>
      </c>
      <c r="F13662" t="str">
        <f>IF(Table2[[#This Row],[Manual Cat Value]]="",Table2[[#This Row],[Suggested Cat Value]],VLOOKUP(Table2[[#This Row],[Manual Cat Value]],Lookup!G:H,2,0))</f>
        <v>Shopping</v>
      </c>
      <c r="G13662" t="s">
        <v>21</v>
      </c>
      <c r="I13662" s="8"/>
      <c r="O13662" t="str">
        <f>LEFT(Table2[[#This Row],[Description]],75)</f>
        <v>Transfer to PayPal</v>
      </c>
    </row>
    <row r="13663" spans="1:15" hidden="1">
      <c r="A13663">
        <v>202503</v>
      </c>
      <c r="B13663" s="6">
        <v>45733</v>
      </c>
      <c r="C13663" t="s">
        <v>130</v>
      </c>
      <c r="D13663" t="s">
        <v>6510</v>
      </c>
      <c r="E13663">
        <v>3.27</v>
      </c>
      <c r="F13663" t="str">
        <f>IF(Table2[[#This Row],[Manual Cat Value]]="",Table2[[#This Row],[Suggested Cat Value]],VLOOKUP(Table2[[#This Row],[Manual Cat Value]],Lookup!G:H,2,0))</f>
        <v>Delete</v>
      </c>
      <c r="G13663" t="s">
        <v>9</v>
      </c>
      <c r="H13663" s="8" t="s">
        <v>9</v>
      </c>
      <c r="I13663" s="8"/>
      <c r="O13663" t="str">
        <f>LEFT(Table2[[#This Row],[Description]],75)</f>
        <v>TST-ALCHEMY - MARINACORK                IR</v>
      </c>
    </row>
    <row r="13664" spans="1:15" hidden="1">
      <c r="A13664">
        <v>202503</v>
      </c>
      <c r="B13664" s="6">
        <v>45738</v>
      </c>
      <c r="C13664" t="s">
        <v>130</v>
      </c>
      <c r="D13664" t="s">
        <v>6035</v>
      </c>
      <c r="E13664">
        <v>3.22</v>
      </c>
      <c r="F13664" t="str">
        <f>IF(Table2[[#This Row],[Manual Cat Value]]="",Table2[[#This Row],[Suggested Cat Value]],VLOOKUP(Table2[[#This Row],[Manual Cat Value]],Lookup!G:H,2,0))</f>
        <v>Groceries</v>
      </c>
      <c r="G13664" t="s">
        <v>28</v>
      </c>
      <c r="I13664" s="8"/>
      <c r="O13664" t="str">
        <f>LEFT(Table2[[#This Row],[Description]],75)</f>
        <v>KOWALSKI'S EXCELSIOREXCELSIOR           MN</v>
      </c>
    </row>
    <row r="13665" spans="1:15" hidden="1">
      <c r="A13665">
        <v>202504</v>
      </c>
      <c r="B13665" s="6">
        <v>45754</v>
      </c>
      <c r="C13665" t="s">
        <v>2258</v>
      </c>
      <c r="D13665" t="s">
        <v>6511</v>
      </c>
      <c r="E13665">
        <v>3</v>
      </c>
      <c r="F13665" t="str">
        <f>IF(Table2[[#This Row],[Manual Cat Value]]="",Table2[[#This Row],[Suggested Cat Value]],VLOOKUP(Table2[[#This Row],[Manual Cat Value]],Lookup!G:H,2,0))</f>
        <v>Amazon</v>
      </c>
      <c r="G13665" t="s">
        <v>38</v>
      </c>
      <c r="I13665" s="8"/>
      <c r="O13665" t="str">
        <f>LEFT(Table2[[#This Row],[Description]],75)</f>
        <v>AUDIBLE*OJ2SY5J03 AMZN.COM/BILLNJZ3QK4TO0AJ5</v>
      </c>
    </row>
    <row r="13666" spans="1:15" hidden="1">
      <c r="A13666">
        <v>202501</v>
      </c>
      <c r="B13666" s="6">
        <v>45678</v>
      </c>
      <c r="C13666" t="s">
        <v>2519</v>
      </c>
      <c r="D13666" t="s">
        <v>1955</v>
      </c>
      <c r="E13666">
        <v>2.99</v>
      </c>
      <c r="F13666" t="str">
        <f>IF(Table2[[#This Row],[Manual Cat Value]]="",Table2[[#This Row],[Suggested Cat Value]],VLOOKUP(Table2[[#This Row],[Manual Cat Value]],Lookup!G:H,2,0))</f>
        <v>Shopping</v>
      </c>
      <c r="G13666" t="s">
        <v>21</v>
      </c>
      <c r="I13666" s="8"/>
      <c r="O13666" t="str">
        <f>LEFT(Table2[[#This Row],[Description]],75)</f>
        <v>Transfer to PayPal</v>
      </c>
    </row>
    <row r="13667" spans="1:15" hidden="1">
      <c r="A13667">
        <v>202502</v>
      </c>
      <c r="B13667" s="6">
        <v>45707</v>
      </c>
      <c r="C13667" t="s">
        <v>2519</v>
      </c>
      <c r="D13667" t="s">
        <v>1955</v>
      </c>
      <c r="E13667">
        <v>2.99</v>
      </c>
      <c r="F13667" t="str">
        <f>IF(Table2[[#This Row],[Manual Cat Value]]="",Table2[[#This Row],[Suggested Cat Value]],VLOOKUP(Table2[[#This Row],[Manual Cat Value]],Lookup!G:H,2,0))</f>
        <v>Shopping</v>
      </c>
      <c r="G13667" t="s">
        <v>21</v>
      </c>
      <c r="I13667" s="8"/>
      <c r="O13667" t="str">
        <f>LEFT(Table2[[#This Row],[Description]],75)</f>
        <v>Transfer to PayPal</v>
      </c>
    </row>
    <row r="13668" spans="1:15" hidden="1">
      <c r="A13668">
        <v>202503</v>
      </c>
      <c r="B13668" s="6">
        <v>45735</v>
      </c>
      <c r="C13668" t="s">
        <v>2519</v>
      </c>
      <c r="D13668" t="s">
        <v>1955</v>
      </c>
      <c r="E13668">
        <v>2.99</v>
      </c>
      <c r="F13668" t="str">
        <f>IF(Table2[[#This Row],[Manual Cat Value]]="",Table2[[#This Row],[Suggested Cat Value]],VLOOKUP(Table2[[#This Row],[Manual Cat Value]],Lookup!G:H,2,0))</f>
        <v>Shopping</v>
      </c>
      <c r="G13668" t="s">
        <v>21</v>
      </c>
      <c r="I13668" s="8"/>
      <c r="O13668" t="str">
        <f>LEFT(Table2[[#This Row],[Description]],75)</f>
        <v>Transfer to PayPal</v>
      </c>
    </row>
    <row r="13669" spans="1:15" hidden="1">
      <c r="A13669">
        <v>202504</v>
      </c>
      <c r="B13669" s="6">
        <v>45750</v>
      </c>
      <c r="C13669" t="s">
        <v>130</v>
      </c>
      <c r="D13669" t="s">
        <v>6512</v>
      </c>
      <c r="E13669">
        <v>2.99</v>
      </c>
      <c r="F13669" t="str">
        <f>IF(Table2[[#This Row],[Manual Cat Value]]="",Table2[[#This Row],[Suggested Cat Value]],VLOOKUP(Table2[[#This Row],[Manual Cat Value]],Lookup!G:H,2,0))</f>
        <v>Delete</v>
      </c>
      <c r="G13669" t="s">
        <v>9</v>
      </c>
      <c r="I13669" s="8"/>
      <c r="O13669" t="str">
        <f>LEFT(Table2[[#This Row],[Description]],75)</f>
        <v>RACETRAC2379  023796LAKELAND            FL</v>
      </c>
    </row>
    <row r="13670" spans="1:15" hidden="1">
      <c r="A13670">
        <v>202504</v>
      </c>
      <c r="B13670" s="6">
        <v>45768</v>
      </c>
      <c r="C13670" t="s">
        <v>2519</v>
      </c>
      <c r="D13670" t="s">
        <v>1955</v>
      </c>
      <c r="E13670">
        <v>2.99</v>
      </c>
      <c r="F13670" t="str">
        <f>IF(Table2[[#This Row],[Manual Cat Value]]="",Table2[[#This Row],[Suggested Cat Value]],VLOOKUP(Table2[[#This Row],[Manual Cat Value]],Lookup!G:H,2,0))</f>
        <v>Shopping</v>
      </c>
      <c r="G13670" t="s">
        <v>21</v>
      </c>
      <c r="I13670" s="8"/>
      <c r="O13670" t="str">
        <f>LEFT(Table2[[#This Row],[Description]],75)</f>
        <v>Transfer to PayPal</v>
      </c>
    </row>
    <row r="13671" spans="1:15" hidden="1">
      <c r="A13671">
        <v>202505</v>
      </c>
      <c r="B13671" s="6">
        <v>45796</v>
      </c>
      <c r="C13671" t="s">
        <v>2519</v>
      </c>
      <c r="D13671" t="s">
        <v>1955</v>
      </c>
      <c r="E13671">
        <v>2.99</v>
      </c>
      <c r="F13671" t="str">
        <f>IF(Table2[[#This Row],[Manual Cat Value]]="",Table2[[#This Row],[Suggested Cat Value]],VLOOKUP(Table2[[#This Row],[Manual Cat Value]],Lookup!G:H,2,0))</f>
        <v>Shopping</v>
      </c>
      <c r="G13671" t="s">
        <v>21</v>
      </c>
      <c r="I13671" s="8"/>
      <c r="O13671" t="str">
        <f>LEFT(Table2[[#This Row],[Description]],75)</f>
        <v>Transfer to PayPal</v>
      </c>
    </row>
    <row r="13672" spans="1:15" hidden="1">
      <c r="A13672">
        <v>202504</v>
      </c>
      <c r="B13672" s="6">
        <v>45762</v>
      </c>
      <c r="C13672" t="s">
        <v>3938</v>
      </c>
      <c r="D13672" t="s">
        <v>6513</v>
      </c>
      <c r="E13672">
        <v>2.75</v>
      </c>
      <c r="F13672" t="str">
        <f>IF(Table2[[#This Row],[Manual Cat Value]]="",Table2[[#This Row],[Suggested Cat Value]],VLOOKUP(Table2[[#This Row],[Manual Cat Value]],Lookup!G:H,2,0))</f>
        <v>Transportation</v>
      </c>
      <c r="G13672" t="s">
        <v>23</v>
      </c>
      <c r="I13672" s="8"/>
      <c r="O13672" t="str">
        <f>LEFT(Table2[[#This Row],[Description]],75)</f>
        <v>ONSTREET XX7275 MN REF #XX3038FKPXPSLP</v>
      </c>
    </row>
    <row r="13673" spans="1:15" hidden="1">
      <c r="A13673">
        <v>202505</v>
      </c>
      <c r="B13673" s="6">
        <v>45781</v>
      </c>
      <c r="C13673" t="s">
        <v>3938</v>
      </c>
      <c r="D13673" t="s">
        <v>6466</v>
      </c>
      <c r="E13673">
        <v>2.25</v>
      </c>
      <c r="F13673" t="str">
        <f>IF(Table2[[#This Row],[Manual Cat Value]]="",Table2[[#This Row],[Suggested Cat Value]],VLOOKUP(Table2[[#This Row],[Manual Cat Value]],Lookup!G:H,2,0))</f>
        <v>Utilities</v>
      </c>
      <c r="G13673" t="s">
        <v>7</v>
      </c>
      <c r="I13673" s="8"/>
      <c r="O13673" t="str">
        <f>LEFT(Table2[[#This Row],[Description]],75)</f>
        <v>City of Austin Parking</v>
      </c>
    </row>
    <row r="13674" spans="1:15" hidden="1">
      <c r="A13674">
        <v>202503</v>
      </c>
      <c r="B13674" s="6">
        <v>45736</v>
      </c>
      <c r="C13674" t="s">
        <v>130</v>
      </c>
      <c r="D13674" t="s">
        <v>6514</v>
      </c>
      <c r="E13674">
        <v>2.16</v>
      </c>
      <c r="F13674" t="str">
        <f>IF(Table2[[#This Row],[Manual Cat Value]]="",Table2[[#This Row],[Suggested Cat Value]],VLOOKUP(Table2[[#This Row],[Manual Cat Value]],Lookup!G:H,2,0))</f>
        <v>Restaurants</v>
      </c>
      <c r="G13674" t="s">
        <v>26</v>
      </c>
      <c r="I13674" s="8"/>
      <c r="O13674" t="str">
        <f>LEFT(Table2[[#This Row],[Description]],75)</f>
        <v>AplPay CARGILL STOREWAYZATA             MN</v>
      </c>
    </row>
    <row r="13675" spans="1:15" hidden="1">
      <c r="A13675">
        <v>202503</v>
      </c>
      <c r="B13675" s="6">
        <v>45746</v>
      </c>
      <c r="C13675" t="s">
        <v>3938</v>
      </c>
      <c r="D13675" t="s">
        <v>3996</v>
      </c>
      <c r="E13675">
        <v>2.16</v>
      </c>
      <c r="F13675" t="str">
        <f>IF(Table2[[#This Row],[Manual Cat Value]]="",Table2[[#This Row],[Suggested Cat Value]],VLOOKUP(Table2[[#This Row],[Manual Cat Value]],Lookup!G:H,2,0))</f>
        <v>Delete</v>
      </c>
      <c r="G13675" t="s">
        <v>9</v>
      </c>
      <c r="I13675" s="8"/>
      <c r="O13675" t="str">
        <f>LEFT(Table2[[#This Row],[Description]],75)</f>
        <v>Cargill</v>
      </c>
    </row>
    <row r="13676" spans="1:15" hidden="1">
      <c r="A13676">
        <v>202501</v>
      </c>
      <c r="B13676" s="6">
        <v>45687</v>
      </c>
      <c r="C13676" t="s">
        <v>2258</v>
      </c>
      <c r="D13676" t="s">
        <v>6515</v>
      </c>
      <c r="E13676">
        <v>2.0299999999999998</v>
      </c>
      <c r="F13676" t="str">
        <f>IF(Table2[[#This Row],[Manual Cat Value]]="",Table2[[#This Row],[Suggested Cat Value]],VLOOKUP(Table2[[#This Row],[Manual Cat Value]],Lookup!G:H,2,0))</f>
        <v>Amazon</v>
      </c>
      <c r="G13676" t="s">
        <v>38</v>
      </c>
      <c r="I13676" s="8"/>
      <c r="O13676" t="str">
        <f>LEFT(Table2[[#This Row],[Description]],75)</f>
        <v>AMZN MKTP US*ZC1NR6S70 AMZN.COM/BILLWAVJHDOOJIDOP</v>
      </c>
    </row>
    <row r="13677" spans="1:15" hidden="1">
      <c r="A13677">
        <v>202503</v>
      </c>
      <c r="B13677" s="6">
        <v>45740</v>
      </c>
      <c r="C13677" t="s">
        <v>3938</v>
      </c>
      <c r="D13677" t="s">
        <v>1621</v>
      </c>
      <c r="E13677">
        <v>2</v>
      </c>
      <c r="F13677" t="str">
        <f>IF(Table2[[#This Row],[Manual Cat Value]]="",Table2[[#This Row],[Suggested Cat Value]],VLOOKUP(Table2[[#This Row],[Manual Cat Value]],Lookup!G:H,2,0))</f>
        <v>Shopping</v>
      </c>
      <c r="G13677" t="s">
        <v>21</v>
      </c>
      <c r="I13677" s="8"/>
      <c r="O13677" t="str">
        <f>LEFT(Table2[[#This Row],[Description]],75)</f>
        <v>Scheels All Sports</v>
      </c>
    </row>
    <row r="13678" spans="1:15" hidden="1">
      <c r="A13678">
        <v>202501</v>
      </c>
      <c r="B13678" s="6">
        <v>45677</v>
      </c>
      <c r="C13678" t="s">
        <v>3938</v>
      </c>
      <c r="D13678" t="s">
        <v>6516</v>
      </c>
      <c r="E13678">
        <v>1.99</v>
      </c>
      <c r="F13678" t="str">
        <f>IF(Table2[[#This Row],[Manual Cat Value]]="",Table2[[#This Row],[Suggested Cat Value]],VLOOKUP(Table2[[#This Row],[Manual Cat Value]],Lookup!G:H,2,0))</f>
        <v>Utilities</v>
      </c>
      <c r="G13678" t="s">
        <v>7</v>
      </c>
      <c r="I13678" s="8"/>
      <c r="O13678" t="str">
        <f>LEFT(Table2[[#This Row],[Description]],75)</f>
        <v>GOOGLE *Google One XX-3987 CA REF #XX2160Kx5403PK0</v>
      </c>
    </row>
    <row r="13679" spans="1:15" hidden="1">
      <c r="A13679">
        <v>202502</v>
      </c>
      <c r="B13679" s="6">
        <v>45708</v>
      </c>
      <c r="C13679" t="s">
        <v>3938</v>
      </c>
      <c r="D13679" t="s">
        <v>6517</v>
      </c>
      <c r="E13679">
        <v>1.99</v>
      </c>
      <c r="F13679" t="str">
        <f>IF(Table2[[#This Row],[Manual Cat Value]]="",Table2[[#This Row],[Suggested Cat Value]],VLOOKUP(Table2[[#This Row],[Manual Cat Value]],Lookup!G:H,2,0))</f>
        <v>Utilities</v>
      </c>
      <c r="G13679" t="s">
        <v>7</v>
      </c>
      <c r="I13679" s="8"/>
      <c r="O13679" t="str">
        <f>LEFT(Table2[[#This Row],[Description]],75)</f>
        <v>GOOGLE *Google One XX-3987 CA REF #XX2161J2YBE3WPY</v>
      </c>
    </row>
    <row r="13680" spans="1:15" hidden="1">
      <c r="A13680">
        <v>202503</v>
      </c>
      <c r="B13680" s="6">
        <v>45736</v>
      </c>
      <c r="C13680" t="s">
        <v>3938</v>
      </c>
      <c r="D13680" t="s">
        <v>6518</v>
      </c>
      <c r="E13680">
        <v>1.99</v>
      </c>
      <c r="F13680" t="str">
        <f>IF(Table2[[#This Row],[Manual Cat Value]]="",Table2[[#This Row],[Suggested Cat Value]],VLOOKUP(Table2[[#This Row],[Manual Cat Value]],Lookup!G:H,2,0))</f>
        <v>Utilities</v>
      </c>
      <c r="G13680" t="s">
        <v>7</v>
      </c>
      <c r="I13680" s="8"/>
      <c r="O13680" t="str">
        <f>LEFT(Table2[[#This Row],[Description]],75)</f>
        <v>GOOGLE *Google One g.co/helppay#CA REF #XX2162E305DM57X</v>
      </c>
    </row>
    <row r="13681" spans="1:15" hidden="1">
      <c r="A13681">
        <v>202504</v>
      </c>
      <c r="B13681" s="6">
        <v>45767</v>
      </c>
      <c r="C13681" t="s">
        <v>3938</v>
      </c>
      <c r="D13681" t="s">
        <v>4899</v>
      </c>
      <c r="E13681">
        <v>1.99</v>
      </c>
      <c r="F13681" t="str">
        <f>IF(Table2[[#This Row],[Manual Cat Value]]="",Table2[[#This Row],[Suggested Cat Value]],VLOOKUP(Table2[[#This Row],[Manual Cat Value]],Lookup!G:H,2,0))</f>
        <v>Utilities</v>
      </c>
      <c r="G13681" t="s">
        <v>7</v>
      </c>
      <c r="I13681" s="8"/>
      <c r="O13681" t="str">
        <f>LEFT(Table2[[#This Row],[Description]],75)</f>
        <v>Google Cloud Storage</v>
      </c>
    </row>
    <row r="13682" spans="1:15" hidden="1">
      <c r="A13682">
        <v>202505</v>
      </c>
      <c r="B13682" s="6">
        <v>45797</v>
      </c>
      <c r="C13682" t="s">
        <v>3938</v>
      </c>
      <c r="D13682" t="s">
        <v>4899</v>
      </c>
      <c r="E13682">
        <v>1.99</v>
      </c>
      <c r="F13682" t="str">
        <f>IF(Table2[[#This Row],[Manual Cat Value]]="",Table2[[#This Row],[Suggested Cat Value]],VLOOKUP(Table2[[#This Row],[Manual Cat Value]],Lookup!G:H,2,0))</f>
        <v>Utilities</v>
      </c>
      <c r="G13682" t="s">
        <v>7</v>
      </c>
      <c r="I13682" s="8"/>
      <c r="O13682" t="str">
        <f>LEFT(Table2[[#This Row],[Description]],75)</f>
        <v>Google Cloud Storage</v>
      </c>
    </row>
    <row r="13683" spans="1:15" hidden="1">
      <c r="A13683">
        <v>202502</v>
      </c>
      <c r="B13683" s="6">
        <v>45696</v>
      </c>
      <c r="C13683" t="s">
        <v>130</v>
      </c>
      <c r="D13683" t="s">
        <v>5897</v>
      </c>
      <c r="E13683">
        <v>1.95</v>
      </c>
      <c r="F13683" t="str">
        <f>IF(Table2[[#This Row],[Manual Cat Value]]="",Table2[[#This Row],[Suggested Cat Value]],VLOOKUP(Table2[[#This Row],[Manual Cat Value]],Lookup!G:H,2,0))</f>
        <v>Restaurants</v>
      </c>
      <c r="G13683" t="s">
        <v>26</v>
      </c>
      <c r="I13683" s="8"/>
      <c r="O13683" t="str">
        <f>LEFT(Table2[[#This Row],[Description]],75)</f>
        <v>AplPay SUBWAY 71167 ST. BONIFACIUS      MN</v>
      </c>
    </row>
    <row r="13684" spans="1:15" hidden="1">
      <c r="A13684">
        <v>202504</v>
      </c>
      <c r="B13684" s="6">
        <v>45761</v>
      </c>
      <c r="C13684" t="s">
        <v>3938</v>
      </c>
      <c r="D13684" t="s">
        <v>31</v>
      </c>
      <c r="E13684">
        <v>1.69</v>
      </c>
      <c r="F13684" t="str">
        <f>IF(Table2[[#This Row],[Manual Cat Value]]="",Table2[[#This Row],[Suggested Cat Value]],VLOOKUP(Table2[[#This Row],[Manual Cat Value]],Lookup!G:H,2,0))</f>
        <v>Target</v>
      </c>
      <c r="G13684" t="s">
        <v>31</v>
      </c>
      <c r="I13684" s="8"/>
      <c r="O13684" t="str">
        <f>LEFT(Table2[[#This Row],[Description]],75)</f>
        <v>Target</v>
      </c>
    </row>
    <row r="13685" spans="1:15" hidden="1">
      <c r="A13685">
        <v>202501</v>
      </c>
      <c r="B13685" s="6">
        <v>45685</v>
      </c>
      <c r="C13685" t="s">
        <v>3938</v>
      </c>
      <c r="D13685" t="s">
        <v>782</v>
      </c>
      <c r="E13685">
        <v>1.36</v>
      </c>
      <c r="F13685" t="str">
        <f>IF(Table2[[#This Row],[Manual Cat Value]]="",Table2[[#This Row],[Suggested Cat Value]],VLOOKUP(Table2[[#This Row],[Manual Cat Value]],Lookup!G:H,2,0))</f>
        <v>Groceries</v>
      </c>
      <c r="G13685" t="s">
        <v>28</v>
      </c>
      <c r="I13685" s="8"/>
      <c r="O13685" t="str">
        <f>LEFT(Table2[[#This Row],[Description]],75)</f>
        <v>Dollar Tree</v>
      </c>
    </row>
    <row r="13686" spans="1:15" hidden="1">
      <c r="A13686">
        <v>202504</v>
      </c>
      <c r="B13686" s="6">
        <v>45762</v>
      </c>
      <c r="C13686" t="s">
        <v>3938</v>
      </c>
      <c r="D13686" t="s">
        <v>31</v>
      </c>
      <c r="E13686">
        <v>1.29</v>
      </c>
      <c r="F13686" t="str">
        <f>IF(Table2[[#This Row],[Manual Cat Value]]="",Table2[[#This Row],[Suggested Cat Value]],VLOOKUP(Table2[[#This Row],[Manual Cat Value]],Lookup!G:H,2,0))</f>
        <v>Target</v>
      </c>
      <c r="G13686" t="s">
        <v>31</v>
      </c>
      <c r="I13686" s="8"/>
      <c r="O13686" t="str">
        <f>LEFT(Table2[[#This Row],[Description]],75)</f>
        <v>Target</v>
      </c>
    </row>
    <row r="13687" spans="1:15" hidden="1">
      <c r="A13687">
        <v>202503</v>
      </c>
      <c r="B13687" s="6">
        <v>45728</v>
      </c>
      <c r="C13687" t="s">
        <v>130</v>
      </c>
      <c r="D13687" t="s">
        <v>6317</v>
      </c>
      <c r="E13687">
        <v>1</v>
      </c>
      <c r="F13687" t="str">
        <f>IF(Table2[[#This Row],[Manual Cat Value]]="",Table2[[#This Row],[Suggested Cat Value]],VLOOKUP(Table2[[#This Row],[Manual Cat Value]],Lookup!G:H,2,0))</f>
        <v>Restaurants</v>
      </c>
      <c r="G13687" t="s">
        <v>26</v>
      </c>
      <c r="I13687" s="8"/>
      <c r="O13687" t="str">
        <f>LEFT(Table2[[#This Row],[Description]],75)</f>
        <v>AplPay TST* ESS-A-BANEW YORK            NY</v>
      </c>
    </row>
    <row r="13688" spans="1:15" hidden="1">
      <c r="A13688">
        <v>202505</v>
      </c>
      <c r="B13688" s="6">
        <v>45783</v>
      </c>
      <c r="C13688" t="s">
        <v>3938</v>
      </c>
      <c r="D13688" t="s">
        <v>6519</v>
      </c>
      <c r="E13688">
        <v>1</v>
      </c>
      <c r="F13688" t="str">
        <f>IF(Table2[[#This Row],[Manual Cat Value]]="",Table2[[#This Row],[Suggested Cat Value]],VLOOKUP(Table2[[#This Row],[Manual Cat Value]],Lookup!G:H,2,0))</f>
        <v>Transportation</v>
      </c>
      <c r="G13688" t="s">
        <v>23</v>
      </c>
      <c r="I13688" s="8"/>
      <c r="O13688" t="str">
        <f>LEFT(Table2[[#This Row],[Description]],75)</f>
        <v>ONSTREET XX7275 MN REF #XX9303XKx5254RE</v>
      </c>
    </row>
    <row r="13689" spans="1:15" hidden="1">
      <c r="A13689">
        <v>202501</v>
      </c>
      <c r="B13689" s="6">
        <v>45685</v>
      </c>
      <c r="C13689" t="s">
        <v>2519</v>
      </c>
      <c r="D13689" t="s">
        <v>1955</v>
      </c>
      <c r="E13689">
        <v>0.99</v>
      </c>
      <c r="F13689" t="str">
        <f>IF(Table2[[#This Row],[Manual Cat Value]]="",Table2[[#This Row],[Suggested Cat Value]],VLOOKUP(Table2[[#This Row],[Manual Cat Value]],Lookup!G:H,2,0))</f>
        <v>Shopping</v>
      </c>
      <c r="G13689" t="s">
        <v>21</v>
      </c>
      <c r="I13689" s="8"/>
      <c r="O13689" t="str">
        <f>LEFT(Table2[[#This Row],[Description]],75)</f>
        <v>Transfer to PayPal</v>
      </c>
    </row>
    <row r="13690" spans="1:15" hidden="1">
      <c r="A13690">
        <v>202502</v>
      </c>
      <c r="B13690" s="6">
        <v>45716</v>
      </c>
      <c r="C13690" t="s">
        <v>2519</v>
      </c>
      <c r="D13690" t="s">
        <v>1955</v>
      </c>
      <c r="E13690">
        <v>0.99</v>
      </c>
      <c r="F13690" t="str">
        <f>IF(Table2[[#This Row],[Manual Cat Value]]="",Table2[[#This Row],[Suggested Cat Value]],VLOOKUP(Table2[[#This Row],[Manual Cat Value]],Lookup!G:H,2,0))</f>
        <v>Shopping</v>
      </c>
      <c r="G13690" t="s">
        <v>21</v>
      </c>
      <c r="I13690" s="8"/>
      <c r="O13690" t="str">
        <f>LEFT(Table2[[#This Row],[Description]],75)</f>
        <v>Transfer to PayPal</v>
      </c>
    </row>
    <row r="13691" spans="1:15" hidden="1">
      <c r="A13691">
        <v>202503</v>
      </c>
      <c r="B13691" s="6">
        <v>45744</v>
      </c>
      <c r="C13691" t="s">
        <v>2519</v>
      </c>
      <c r="D13691" t="s">
        <v>1955</v>
      </c>
      <c r="E13691">
        <v>0.99</v>
      </c>
      <c r="F13691" t="str">
        <f>IF(Table2[[#This Row],[Manual Cat Value]]="",Table2[[#This Row],[Suggested Cat Value]],VLOOKUP(Table2[[#This Row],[Manual Cat Value]],Lookup!G:H,2,0))</f>
        <v>Shopping</v>
      </c>
      <c r="G13691" t="s">
        <v>21</v>
      </c>
      <c r="I13691" s="8"/>
      <c r="O13691" t="str">
        <f>LEFT(Table2[[#This Row],[Description]],75)</f>
        <v>Transfer to PayPal</v>
      </c>
    </row>
    <row r="13692" spans="1:15" hidden="1">
      <c r="A13692">
        <v>202504</v>
      </c>
      <c r="B13692" s="6">
        <v>45775</v>
      </c>
      <c r="C13692" t="s">
        <v>2519</v>
      </c>
      <c r="D13692" t="s">
        <v>1955</v>
      </c>
      <c r="E13692">
        <v>0.99</v>
      </c>
      <c r="F13692" t="str">
        <f>IF(Table2[[#This Row],[Manual Cat Value]]="",Table2[[#This Row],[Suggested Cat Value]],VLOOKUP(Table2[[#This Row],[Manual Cat Value]],Lookup!G:H,2,0))</f>
        <v>Shopping</v>
      </c>
      <c r="G13692" t="s">
        <v>21</v>
      </c>
      <c r="I13692" s="8"/>
      <c r="O13692" t="str">
        <f>LEFT(Table2[[#This Row],[Description]],75)</f>
        <v>Transfer to PayPal</v>
      </c>
    </row>
    <row r="13693" spans="1:15" hidden="1">
      <c r="A13693">
        <v>202505</v>
      </c>
      <c r="B13693" s="6">
        <v>45805</v>
      </c>
      <c r="C13693" t="s">
        <v>2519</v>
      </c>
      <c r="D13693" t="s">
        <v>1955</v>
      </c>
      <c r="E13693">
        <v>0.99</v>
      </c>
      <c r="F13693" t="str">
        <f>IF(Table2[[#This Row],[Manual Cat Value]]="",Table2[[#This Row],[Suggested Cat Value]],VLOOKUP(Table2[[#This Row],[Manual Cat Value]],Lookup!G:H,2,0))</f>
        <v>Shopping</v>
      </c>
      <c r="G13693" t="s">
        <v>21</v>
      </c>
      <c r="I13693" s="8"/>
      <c r="O13693" t="str">
        <f>LEFT(Table2[[#This Row],[Description]],75)</f>
        <v>Transfer to PayPal</v>
      </c>
    </row>
    <row r="13694" spans="1:15" hidden="1">
      <c r="A13694">
        <v>202502</v>
      </c>
      <c r="B13694" s="6">
        <v>45712</v>
      </c>
      <c r="C13694" t="s">
        <v>130</v>
      </c>
      <c r="D13694" t="s">
        <v>6520</v>
      </c>
      <c r="E13694">
        <v>0.75</v>
      </c>
      <c r="F13694" t="str">
        <f>IF(Table2[[#This Row],[Manual Cat Value]]="",Table2[[#This Row],[Suggested Cat Value]],VLOOKUP(Table2[[#This Row],[Manual Cat Value]],Lookup!G:H,2,0))</f>
        <v>Transportation</v>
      </c>
      <c r="G13694" t="s">
        <v>23</v>
      </c>
      <c r="I13694" s="8"/>
      <c r="O13694" t="str">
        <f>LEFT(Table2[[#This Row],[Description]],75)</f>
        <v>ONSTREET 8090 084870MINNEAPOLIS         MN</v>
      </c>
    </row>
    <row r="13695" spans="1:15" hidden="1">
      <c r="A13695">
        <v>202504</v>
      </c>
      <c r="B13695" s="6">
        <v>45763</v>
      </c>
      <c r="C13695" t="s">
        <v>3938</v>
      </c>
      <c r="D13695" t="s">
        <v>31</v>
      </c>
      <c r="E13695">
        <v>-1.69</v>
      </c>
      <c r="F13695" t="str">
        <f>IF(Table2[[#This Row],[Manual Cat Value]]="",Table2[[#This Row],[Suggested Cat Value]],VLOOKUP(Table2[[#This Row],[Manual Cat Value]],Lookup!G:H,2,0))</f>
        <v>Target</v>
      </c>
      <c r="G13695" t="s">
        <v>31</v>
      </c>
      <c r="I13695" s="8"/>
      <c r="O13695" t="str">
        <f>LEFT(Table2[[#This Row],[Description]],75)</f>
        <v>Target</v>
      </c>
    </row>
    <row r="13696" spans="1:15" hidden="1">
      <c r="A13696">
        <v>202504</v>
      </c>
      <c r="B13696" s="6">
        <v>45765</v>
      </c>
      <c r="C13696" t="s">
        <v>3938</v>
      </c>
      <c r="D13696" t="s">
        <v>31</v>
      </c>
      <c r="E13696">
        <v>-5.43</v>
      </c>
      <c r="F13696" t="str">
        <f>IF(Table2[[#This Row],[Manual Cat Value]]="",Table2[[#This Row],[Suggested Cat Value]],VLOOKUP(Table2[[#This Row],[Manual Cat Value]],Lookup!G:H,2,0))</f>
        <v>Target</v>
      </c>
      <c r="G13696" t="s">
        <v>31</v>
      </c>
      <c r="I13696" s="8"/>
      <c r="O13696" t="str">
        <f>LEFT(Table2[[#This Row],[Description]],75)</f>
        <v>Target</v>
      </c>
    </row>
    <row r="13697" spans="1:15" hidden="1">
      <c r="A13697">
        <v>202501</v>
      </c>
      <c r="B13697" s="6">
        <v>45686</v>
      </c>
      <c r="C13697" t="s">
        <v>130</v>
      </c>
      <c r="D13697" t="s">
        <v>5827</v>
      </c>
      <c r="E13697">
        <v>-9.42</v>
      </c>
      <c r="F13697" t="str">
        <f>IF(Table2[[#This Row],[Manual Cat Value]]="",Table2[[#This Row],[Suggested Cat Value]],VLOOKUP(Table2[[#This Row],[Manual Cat Value]],Lookup!G:H,2,0))</f>
        <v>Delete</v>
      </c>
      <c r="G13697" t="s">
        <v>9</v>
      </c>
      <c r="I13697" s="8"/>
      <c r="O13697" t="str">
        <f>LEFT(Table2[[#This Row],[Description]],75)</f>
        <v>THE DEAN HOTEL IE000CORK                IR</v>
      </c>
    </row>
    <row r="13698" spans="1:15" hidden="1">
      <c r="A13698">
        <v>202505</v>
      </c>
      <c r="B13698" s="6">
        <v>45780</v>
      </c>
      <c r="C13698" t="s">
        <v>130</v>
      </c>
      <c r="D13698" t="s">
        <v>5418</v>
      </c>
      <c r="E13698">
        <v>-11.2</v>
      </c>
      <c r="F13698" t="str">
        <f>IF(Table2[[#This Row],[Manual Cat Value]]="",Table2[[#This Row],[Suggested Cat Value]],VLOOKUP(Table2[[#This Row],[Manual Cat Value]],Lookup!G:H,2,0))</f>
        <v>Delete</v>
      </c>
      <c r="G13698" t="s">
        <v>9</v>
      </c>
      <c r="I13698" s="8"/>
      <c r="O13698" t="str">
        <f>LEFT(Table2[[#This Row],[Description]],75)</f>
        <v>DELTA AIR LINES     ATLANTA</v>
      </c>
    </row>
    <row r="13699" spans="1:15" hidden="1">
      <c r="A13699">
        <v>202505</v>
      </c>
      <c r="B13699" s="6">
        <v>45792</v>
      </c>
      <c r="C13699" t="s">
        <v>130</v>
      </c>
      <c r="D13699" t="s">
        <v>6521</v>
      </c>
      <c r="E13699">
        <v>-13.01</v>
      </c>
      <c r="F13699" t="str">
        <f>IF(Table2[[#This Row],[Manual Cat Value]]="",Table2[[#This Row],[Suggested Cat Value]],VLOOKUP(Table2[[#This Row],[Manual Cat Value]],Lookup!G:H,2,0))</f>
        <v>Restaurants</v>
      </c>
      <c r="G13699" t="s">
        <v>26</v>
      </c>
      <c r="I13699" s="8"/>
      <c r="O13699" t="str">
        <f>LEFT(Table2[[#This Row],[Description]],75)</f>
        <v>AplPay KOHL'S #0228 ST. LOUIS PAR       MN</v>
      </c>
    </row>
    <row r="13700" spans="1:15" hidden="1">
      <c r="A13700">
        <v>202504</v>
      </c>
      <c r="B13700" s="6">
        <v>45762</v>
      </c>
      <c r="C13700" t="s">
        <v>3938</v>
      </c>
      <c r="D13700" t="s">
        <v>31</v>
      </c>
      <c r="E13700">
        <v>-13.71</v>
      </c>
      <c r="F13700" t="str">
        <f>IF(Table2[[#This Row],[Manual Cat Value]]="",Table2[[#This Row],[Suggested Cat Value]],VLOOKUP(Table2[[#This Row],[Manual Cat Value]],Lookup!G:H,2,0))</f>
        <v>Target</v>
      </c>
      <c r="G13700" t="s">
        <v>31</v>
      </c>
      <c r="I13700" s="8"/>
      <c r="O13700" t="str">
        <f>LEFT(Table2[[#This Row],[Description]],75)</f>
        <v>Target</v>
      </c>
    </row>
    <row r="13701" spans="1:15" hidden="1">
      <c r="A13701">
        <v>202504</v>
      </c>
      <c r="B13701" s="6">
        <v>45765</v>
      </c>
      <c r="C13701" t="s">
        <v>130</v>
      </c>
      <c r="D13701" t="s">
        <v>6404</v>
      </c>
      <c r="E13701">
        <v>-15.44</v>
      </c>
      <c r="F13701" t="str">
        <f>IF(Table2[[#This Row],[Manual Cat Value]]="",Table2[[#This Row],[Suggested Cat Value]],VLOOKUP(Table2[[#This Row],[Manual Cat Value]],Lookup!G:H,2,0))</f>
        <v>Restaurants</v>
      </c>
      <c r="G13701" t="s">
        <v>26</v>
      </c>
      <c r="I13701" s="8"/>
      <c r="O13701" t="str">
        <f>LEFT(Table2[[#This Row],[Description]],75)</f>
        <v>AplPay SHOREWOOD TRUEXCELSIOR           MN</v>
      </c>
    </row>
    <row r="13702" spans="1:15" hidden="1">
      <c r="A13702">
        <v>202503</v>
      </c>
      <c r="B13702" s="6">
        <v>45738</v>
      </c>
      <c r="C13702" t="s">
        <v>130</v>
      </c>
      <c r="D13702" t="s">
        <v>5721</v>
      </c>
      <c r="E13702">
        <v>-17.989999999999998</v>
      </c>
      <c r="F13702" t="str">
        <f>IF(Table2[[#This Row],[Manual Cat Value]]="",Table2[[#This Row],[Suggested Cat Value]],VLOOKUP(Table2[[#This Row],[Manual Cat Value]],Lookup!G:H,2,0))</f>
        <v>Amazon</v>
      </c>
      <c r="G13702" t="s">
        <v>38</v>
      </c>
      <c r="I13702" s="8"/>
      <c r="O13702" t="str">
        <f>LEFT(Table2[[#This Row],[Description]],75)</f>
        <v>AMAZON MARKETPLACE NAMZN.COM/BILL       WA</v>
      </c>
    </row>
    <row r="13703" spans="1:15" hidden="1">
      <c r="A13703">
        <v>202502</v>
      </c>
      <c r="B13703" s="6">
        <v>45701</v>
      </c>
      <c r="C13703" t="s">
        <v>130</v>
      </c>
      <c r="D13703" t="s">
        <v>5721</v>
      </c>
      <c r="E13703">
        <v>-18.989999999999998</v>
      </c>
      <c r="F13703" t="str">
        <f>IF(Table2[[#This Row],[Manual Cat Value]]="",Table2[[#This Row],[Suggested Cat Value]],VLOOKUP(Table2[[#This Row],[Manual Cat Value]],Lookup!G:H,2,0))</f>
        <v>Amazon</v>
      </c>
      <c r="G13703" t="s">
        <v>38</v>
      </c>
      <c r="I13703" s="8"/>
      <c r="O13703" t="str">
        <f>LEFT(Table2[[#This Row],[Description]],75)</f>
        <v>AMAZON MARKETPLACE NAMZN.COM/BILL       WA</v>
      </c>
    </row>
    <row r="13704" spans="1:15" hidden="1">
      <c r="A13704">
        <v>202502</v>
      </c>
      <c r="B13704" s="6">
        <v>45701</v>
      </c>
      <c r="C13704" t="s">
        <v>130</v>
      </c>
      <c r="D13704" t="s">
        <v>5721</v>
      </c>
      <c r="E13704">
        <v>-19.39</v>
      </c>
      <c r="F13704" t="str">
        <f>IF(Table2[[#This Row],[Manual Cat Value]]="",Table2[[#This Row],[Suggested Cat Value]],VLOOKUP(Table2[[#This Row],[Manual Cat Value]],Lookup!G:H,2,0))</f>
        <v>Amazon</v>
      </c>
      <c r="G13704" t="s">
        <v>38</v>
      </c>
      <c r="I13704" s="8"/>
      <c r="O13704" t="str">
        <f>LEFT(Table2[[#This Row],[Description]],75)</f>
        <v>AMAZON MARKETPLACE NAMZN.COM/BILL       WA</v>
      </c>
    </row>
    <row r="13705" spans="1:15" hidden="1">
      <c r="A13705">
        <v>202505</v>
      </c>
      <c r="B13705" s="6">
        <v>45783</v>
      </c>
      <c r="C13705" t="s">
        <v>2519</v>
      </c>
      <c r="D13705" t="s">
        <v>6522</v>
      </c>
      <c r="E13705">
        <v>400</v>
      </c>
      <c r="F13705" t="str">
        <f>IF(Table2[[#This Row],[Manual Cat Value]]="",Table2[[#This Row],[Suggested Cat Value]],VLOOKUP(Table2[[#This Row],[Manual Cat Value]],Lookup!G:H,2,0))</f>
        <v>Day Care</v>
      </c>
      <c r="G13705" t="s">
        <v>20</v>
      </c>
      <c r="I13705" s="8"/>
      <c r="O13705" t="str">
        <f>LEFT(Table2[[#This Row],[Description]],75)</f>
        <v>Withdrawal ACH Mis Amigos Presc TYPE: ID: XX7393 NAME: BCU CO: Mis Amigos P</v>
      </c>
    </row>
    <row r="13706" spans="1:15" hidden="1">
      <c r="A13706">
        <v>202501</v>
      </c>
      <c r="B13706" s="6">
        <v>45685</v>
      </c>
      <c r="C13706" t="s">
        <v>2519</v>
      </c>
      <c r="D13706" t="s">
        <v>4470</v>
      </c>
      <c r="E13706">
        <v>-21.58</v>
      </c>
      <c r="F13706" t="str">
        <f>IF(Table2[[#This Row],[Manual Cat Value]]="",Table2[[#This Row],[Suggested Cat Value]],VLOOKUP(Table2[[#This Row],[Manual Cat Value]],Lookup!G:H,2,0))</f>
        <v>Delete</v>
      </c>
      <c r="G13706" t="s">
        <v>9</v>
      </c>
      <c r="I13706" s="8"/>
      <c r="O13706" t="str">
        <f>LEFT(Table2[[#This Row],[Description]],75)</f>
        <v>Connectyourcare Deposit</v>
      </c>
    </row>
    <row r="13707" spans="1:15" hidden="1">
      <c r="A13707">
        <v>202505</v>
      </c>
      <c r="B13707" s="6">
        <v>45794</v>
      </c>
      <c r="C13707" t="s">
        <v>130</v>
      </c>
      <c r="D13707" t="s">
        <v>5721</v>
      </c>
      <c r="E13707">
        <v>-22.95</v>
      </c>
      <c r="F13707" t="str">
        <f>IF(Table2[[#This Row],[Manual Cat Value]]="",Table2[[#This Row],[Suggested Cat Value]],VLOOKUP(Table2[[#This Row],[Manual Cat Value]],Lookup!G:H,2,0))</f>
        <v>Amazon</v>
      </c>
      <c r="G13707" t="s">
        <v>38</v>
      </c>
      <c r="I13707" s="8"/>
      <c r="O13707" t="str">
        <f>LEFT(Table2[[#This Row],[Description]],75)</f>
        <v>AMAZON MARKETPLACE NAMZN.COM/BILL       WA</v>
      </c>
    </row>
    <row r="13708" spans="1:15" hidden="1">
      <c r="A13708">
        <v>202505</v>
      </c>
      <c r="B13708" s="6">
        <v>45792</v>
      </c>
      <c r="C13708" t="s">
        <v>130</v>
      </c>
      <c r="D13708" t="s">
        <v>5721</v>
      </c>
      <c r="E13708">
        <v>-28.99</v>
      </c>
      <c r="F13708" t="str">
        <f>IF(Table2[[#This Row],[Manual Cat Value]]="",Table2[[#This Row],[Suggested Cat Value]],VLOOKUP(Table2[[#This Row],[Manual Cat Value]],Lookup!G:H,2,0))</f>
        <v>Amazon</v>
      </c>
      <c r="G13708" t="s">
        <v>38</v>
      </c>
      <c r="I13708" s="8"/>
      <c r="O13708" t="str">
        <f>LEFT(Table2[[#This Row],[Description]],75)</f>
        <v>AMAZON MARKETPLACE NAMZN.COM/BILL       WA</v>
      </c>
    </row>
    <row r="13709" spans="1:15" hidden="1">
      <c r="A13709">
        <v>202505</v>
      </c>
      <c r="B13709" s="6">
        <v>45806</v>
      </c>
      <c r="C13709" t="s">
        <v>130</v>
      </c>
      <c r="D13709" t="s">
        <v>5721</v>
      </c>
      <c r="E13709">
        <v>-32.99</v>
      </c>
      <c r="F13709" t="str">
        <f>IF(Table2[[#This Row],[Manual Cat Value]]="",Table2[[#This Row],[Suggested Cat Value]],VLOOKUP(Table2[[#This Row],[Manual Cat Value]],Lookup!G:H,2,0))</f>
        <v>Amazon</v>
      </c>
      <c r="G13709" t="s">
        <v>38</v>
      </c>
      <c r="I13709" s="8"/>
      <c r="O13709" t="str">
        <f>LEFT(Table2[[#This Row],[Description]],75)</f>
        <v>AMAZON MARKETPLACE NAMZN.COM/BILL       WA</v>
      </c>
    </row>
    <row r="13710" spans="1:15" hidden="1">
      <c r="A13710">
        <v>202501</v>
      </c>
      <c r="B13710" s="6">
        <v>45673</v>
      </c>
      <c r="C13710" t="s">
        <v>130</v>
      </c>
      <c r="D13710" t="s">
        <v>5721</v>
      </c>
      <c r="E13710">
        <v>-33.14</v>
      </c>
      <c r="F13710" t="str">
        <f>IF(Table2[[#This Row],[Manual Cat Value]]="",Table2[[#This Row],[Suggested Cat Value]],VLOOKUP(Table2[[#This Row],[Manual Cat Value]],Lookup!G:H,2,0))</f>
        <v>Amazon</v>
      </c>
      <c r="G13710" t="s">
        <v>38</v>
      </c>
      <c r="I13710" s="8"/>
      <c r="O13710" t="str">
        <f>LEFT(Table2[[#This Row],[Description]],75)</f>
        <v>AMAZON MARKETPLACE NAMZN.COM/BILL       WA</v>
      </c>
    </row>
    <row r="13711" spans="1:15" hidden="1">
      <c r="A13711">
        <v>202505</v>
      </c>
      <c r="B13711" s="6">
        <v>45806</v>
      </c>
      <c r="C13711" t="s">
        <v>130</v>
      </c>
      <c r="D13711" t="s">
        <v>5721</v>
      </c>
      <c r="E13711">
        <v>-33.99</v>
      </c>
      <c r="F13711" t="str">
        <f>IF(Table2[[#This Row],[Manual Cat Value]]="",Table2[[#This Row],[Suggested Cat Value]],VLOOKUP(Table2[[#This Row],[Manual Cat Value]],Lookup!G:H,2,0))</f>
        <v>Amazon</v>
      </c>
      <c r="G13711" t="s">
        <v>38</v>
      </c>
      <c r="I13711" s="8"/>
      <c r="O13711" t="str">
        <f>LEFT(Table2[[#This Row],[Description]],75)</f>
        <v>AMAZON MARKETPLACE NAMZN.COM/BILL       WA</v>
      </c>
    </row>
    <row r="13712" spans="1:15" hidden="1">
      <c r="A13712">
        <v>202503</v>
      </c>
      <c r="B13712" s="6">
        <v>45725</v>
      </c>
      <c r="C13712" t="s">
        <v>2519</v>
      </c>
      <c r="D13712" t="s">
        <v>710</v>
      </c>
      <c r="E13712">
        <v>-36</v>
      </c>
      <c r="F13712" t="str">
        <f>IF(Table2[[#This Row],[Manual Cat Value]]="",Table2[[#This Row],[Suggested Cat Value]],VLOOKUP(Table2[[#This Row],[Manual Cat Value]],Lookup!G:H,2,0))</f>
        <v>Delete</v>
      </c>
      <c r="G13712" t="s">
        <v>9</v>
      </c>
      <c r="I13712" s="8"/>
      <c r="O13712" t="str">
        <f>LEFT(Table2[[#This Row],[Description]],75)</f>
        <v>Deposit by Check Deposit Anywhere check deposit</v>
      </c>
    </row>
    <row r="13713" spans="1:15" hidden="1">
      <c r="A13713">
        <v>202502</v>
      </c>
      <c r="B13713" s="6">
        <v>45701</v>
      </c>
      <c r="C13713" t="s">
        <v>130</v>
      </c>
      <c r="D13713" t="s">
        <v>5721</v>
      </c>
      <c r="E13713">
        <v>-39.99</v>
      </c>
      <c r="F13713" t="str">
        <f>IF(Table2[[#This Row],[Manual Cat Value]]="",Table2[[#This Row],[Suggested Cat Value]],VLOOKUP(Table2[[#This Row],[Manual Cat Value]],Lookup!G:H,2,0))</f>
        <v>Amazon</v>
      </c>
      <c r="G13713" t="s">
        <v>38</v>
      </c>
      <c r="I13713" s="8"/>
      <c r="O13713" t="str">
        <f>LEFT(Table2[[#This Row],[Description]],75)</f>
        <v>AMAZON MARKETPLACE NAMZN.COM/BILL       WA</v>
      </c>
    </row>
    <row r="13714" spans="1:15" hidden="1">
      <c r="A13714">
        <v>202505</v>
      </c>
      <c r="B13714" s="6">
        <v>45783</v>
      </c>
      <c r="C13714" t="s">
        <v>2519</v>
      </c>
      <c r="D13714" t="s">
        <v>4470</v>
      </c>
      <c r="E13714">
        <v>-39.99</v>
      </c>
      <c r="F13714" t="str">
        <f>IF(Table2[[#This Row],[Manual Cat Value]]="",Table2[[#This Row],[Suggested Cat Value]],VLOOKUP(Table2[[#This Row],[Manual Cat Value]],Lookup!G:H,2,0))</f>
        <v>Delete</v>
      </c>
      <c r="G13714" t="s">
        <v>9</v>
      </c>
      <c r="I13714" s="8"/>
      <c r="O13714" t="str">
        <f>LEFT(Table2[[#This Row],[Description]],75)</f>
        <v>Connectyourcare Deposit</v>
      </c>
    </row>
    <row r="13715" spans="1:15" hidden="1">
      <c r="A13715">
        <v>202503</v>
      </c>
      <c r="B13715" s="6">
        <v>45741</v>
      </c>
      <c r="C13715" t="s">
        <v>2519</v>
      </c>
      <c r="D13715" t="s">
        <v>4470</v>
      </c>
      <c r="E13715">
        <v>-40.450000000000003</v>
      </c>
      <c r="F13715" t="str">
        <f>IF(Table2[[#This Row],[Manual Cat Value]]="",Table2[[#This Row],[Suggested Cat Value]],VLOOKUP(Table2[[#This Row],[Manual Cat Value]],Lookup!G:H,2,0))</f>
        <v>Delete</v>
      </c>
      <c r="G13715" t="s">
        <v>9</v>
      </c>
      <c r="I13715" s="8"/>
      <c r="O13715" t="str">
        <f>LEFT(Table2[[#This Row],[Description]],75)</f>
        <v>Connectyourcare Deposit</v>
      </c>
    </row>
    <row r="13716" spans="1:15" hidden="1">
      <c r="A13716">
        <v>202504</v>
      </c>
      <c r="B13716" s="6">
        <v>45777</v>
      </c>
      <c r="C13716" t="s">
        <v>2519</v>
      </c>
      <c r="D13716" t="s">
        <v>6523</v>
      </c>
      <c r="E13716">
        <v>-40.98</v>
      </c>
      <c r="F13716" t="str">
        <f>IF(Table2[[#This Row],[Manual Cat Value]]="",Table2[[#This Row],[Suggested Cat Value]],VLOOKUP(Table2[[#This Row],[Manual Cat Value]],Lookup!G:H,2,0))</f>
        <v>Inc - Other</v>
      </c>
      <c r="G13716" t="s">
        <v>16</v>
      </c>
      <c r="I13716" s="8"/>
      <c r="O13716" t="str">
        <f>LEFT(Table2[[#This Row],[Description]],75)</f>
        <v>Deposit Dividend Split Rate Annual Percentage Yield Earned 2.46% from 04/01</v>
      </c>
    </row>
    <row r="13717" spans="1:15" hidden="1">
      <c r="A13717">
        <v>202503</v>
      </c>
      <c r="B13717" s="6">
        <v>45732</v>
      </c>
      <c r="C13717" t="s">
        <v>2519</v>
      </c>
      <c r="D13717" t="s">
        <v>4283</v>
      </c>
      <c r="E13717">
        <v>-45</v>
      </c>
      <c r="F13717" t="str">
        <f>IF(Table2[[#This Row],[Manual Cat Value]]="",Table2[[#This Row],[Suggested Cat Value]],VLOOKUP(Table2[[#This Row],[Manual Cat Value]],Lookup!G:H,2,0))</f>
        <v>Britney</v>
      </c>
      <c r="G13717" t="s">
        <v>66</v>
      </c>
      <c r="I13717" s="8"/>
      <c r="O13717" t="str">
        <f>LEFT(Table2[[#This Row],[Description]],75)</f>
        <v>Cargill Deposit</v>
      </c>
    </row>
    <row r="13718" spans="1:15" hidden="1">
      <c r="A13718">
        <v>202502</v>
      </c>
      <c r="B13718" s="6">
        <v>45716</v>
      </c>
      <c r="C13718" t="s">
        <v>2519</v>
      </c>
      <c r="D13718" t="s">
        <v>6524</v>
      </c>
      <c r="E13718">
        <v>-45.31</v>
      </c>
      <c r="F13718" t="str">
        <f>IF(Table2[[#This Row],[Manual Cat Value]]="",Table2[[#This Row],[Suggested Cat Value]],VLOOKUP(Table2[[#This Row],[Manual Cat Value]],Lookup!G:H,2,0))</f>
        <v>Inc - Other</v>
      </c>
      <c r="G13718" t="s">
        <v>16</v>
      </c>
      <c r="I13718" s="8"/>
      <c r="O13718" t="str">
        <f>LEFT(Table2[[#This Row],[Description]],75)</f>
        <v>Deposit Dividend Split Rate Annual Percentage Yield Earned 2.11% from 02/01</v>
      </c>
    </row>
    <row r="13719" spans="1:15" hidden="1">
      <c r="A13719">
        <v>202503</v>
      </c>
      <c r="B13719" s="6">
        <v>45742</v>
      </c>
      <c r="C13719" t="s">
        <v>2519</v>
      </c>
      <c r="D13719" t="s">
        <v>4470</v>
      </c>
      <c r="E13719">
        <v>-45.48</v>
      </c>
      <c r="F13719" t="str">
        <f>IF(Table2[[#This Row],[Manual Cat Value]]="",Table2[[#This Row],[Suggested Cat Value]],VLOOKUP(Table2[[#This Row],[Manual Cat Value]],Lookup!G:H,2,0))</f>
        <v>Delete</v>
      </c>
      <c r="G13719" t="s">
        <v>9</v>
      </c>
      <c r="I13719" s="8"/>
      <c r="O13719" t="str">
        <f>LEFT(Table2[[#This Row],[Description]],75)</f>
        <v>Connectyourcare Deposit</v>
      </c>
    </row>
    <row r="13720" spans="1:15" hidden="1">
      <c r="A13720">
        <v>202505</v>
      </c>
      <c r="B13720" s="6">
        <v>45787</v>
      </c>
      <c r="C13720" t="s">
        <v>130</v>
      </c>
      <c r="D13720" t="s">
        <v>6323</v>
      </c>
      <c r="E13720">
        <v>-46.6</v>
      </c>
      <c r="F13720" t="str">
        <f>IF(Table2[[#This Row],[Manual Cat Value]]="",Table2[[#This Row],[Suggested Cat Value]],VLOOKUP(Table2[[#This Row],[Manual Cat Value]],Lookup!G:H,2,0))</f>
        <v>Restaurants</v>
      </c>
      <c r="G13720" t="s">
        <v>26</v>
      </c>
      <c r="I13720" s="8"/>
      <c r="O13720" t="str">
        <f>LEFT(Table2[[#This Row],[Description]],75)</f>
        <v>AplPay THE HOME DEPOEDEN PRAIRIE        MN</v>
      </c>
    </row>
    <row r="13721" spans="1:15" hidden="1">
      <c r="A13721">
        <v>202505</v>
      </c>
      <c r="B13721" s="6">
        <v>45805</v>
      </c>
      <c r="C13721" t="s">
        <v>130</v>
      </c>
      <c r="D13721" t="s">
        <v>5721</v>
      </c>
      <c r="E13721">
        <v>-48.93</v>
      </c>
      <c r="F13721" t="str">
        <f>IF(Table2[[#This Row],[Manual Cat Value]]="",Table2[[#This Row],[Suggested Cat Value]],VLOOKUP(Table2[[#This Row],[Manual Cat Value]],Lookup!G:H,2,0))</f>
        <v>Amazon</v>
      </c>
      <c r="G13721" t="s">
        <v>38</v>
      </c>
      <c r="I13721" s="8"/>
      <c r="O13721" t="str">
        <f>LEFT(Table2[[#This Row],[Description]],75)</f>
        <v>AMAZON MARKETPLACE NAMZN.COM/BILL       WA</v>
      </c>
    </row>
    <row r="13722" spans="1:15" hidden="1">
      <c r="A13722">
        <v>202504</v>
      </c>
      <c r="B13722" s="6">
        <v>45774</v>
      </c>
      <c r="C13722" t="s">
        <v>3938</v>
      </c>
      <c r="D13722" t="s">
        <v>31</v>
      </c>
      <c r="E13722">
        <v>-48.98</v>
      </c>
      <c r="F13722" t="str">
        <f>IF(Table2[[#This Row],[Manual Cat Value]]="",Table2[[#This Row],[Suggested Cat Value]],VLOOKUP(Table2[[#This Row],[Manual Cat Value]],Lookup!G:H,2,0))</f>
        <v>Target</v>
      </c>
      <c r="G13722" t="s">
        <v>31</v>
      </c>
      <c r="I13722" s="8"/>
      <c r="O13722" t="str">
        <f>LEFT(Table2[[#This Row],[Description]],75)</f>
        <v>Target</v>
      </c>
    </row>
    <row r="13723" spans="1:15" hidden="1">
      <c r="A13723">
        <v>202503</v>
      </c>
      <c r="B13723" s="6">
        <v>45747</v>
      </c>
      <c r="C13723" t="s">
        <v>2519</v>
      </c>
      <c r="D13723" t="s">
        <v>6525</v>
      </c>
      <c r="E13723">
        <v>-50.19</v>
      </c>
      <c r="F13723" t="str">
        <f>IF(Table2[[#This Row],[Manual Cat Value]]="",Table2[[#This Row],[Suggested Cat Value]],VLOOKUP(Table2[[#This Row],[Manual Cat Value]],Lookup!G:H,2,0))</f>
        <v>Inc - Other</v>
      </c>
      <c r="G13723" t="s">
        <v>16</v>
      </c>
      <c r="I13723" s="8"/>
      <c r="O13723" t="str">
        <f>LEFT(Table2[[#This Row],[Description]],75)</f>
        <v>Deposit Dividend Split Rate Annual Percentage Yield Earned 1.85% from 03/01</v>
      </c>
    </row>
    <row r="13724" spans="1:15" hidden="1">
      <c r="A13724">
        <v>202501</v>
      </c>
      <c r="B13724" s="6">
        <v>45688</v>
      </c>
      <c r="C13724" t="s">
        <v>2519</v>
      </c>
      <c r="D13724" t="s">
        <v>6526</v>
      </c>
      <c r="E13724">
        <v>-50.27</v>
      </c>
      <c r="F13724" t="str">
        <f>IF(Table2[[#This Row],[Manual Cat Value]]="",Table2[[#This Row],[Suggested Cat Value]],VLOOKUP(Table2[[#This Row],[Manual Cat Value]],Lookup!G:H,2,0))</f>
        <v>Inc - Other</v>
      </c>
      <c r="G13724" t="s">
        <v>16</v>
      </c>
      <c r="I13724" s="8"/>
      <c r="O13724" t="str">
        <f>LEFT(Table2[[#This Row],[Description]],75)</f>
        <v>Deposit Dividend Split Rate Annual Percentage Yield Earned 1.46% from 01/01</v>
      </c>
    </row>
    <row r="13725" spans="1:15" hidden="1">
      <c r="A13725">
        <v>202502</v>
      </c>
      <c r="B13725" s="6">
        <v>45698</v>
      </c>
      <c r="C13725" t="s">
        <v>2258</v>
      </c>
      <c r="D13725" t="s">
        <v>459</v>
      </c>
      <c r="E13725">
        <v>-50.77</v>
      </c>
      <c r="F13725" t="str">
        <f>IF(Table2[[#This Row],[Manual Cat Value]]="",Table2[[#This Row],[Suggested Cat Value]],VLOOKUP(Table2[[#This Row],[Manual Cat Value]],Lookup!G:H,2,0))</f>
        <v>Dividend</v>
      </c>
      <c r="G13725" t="s">
        <v>69</v>
      </c>
      <c r="I13725" s="8"/>
      <c r="O13725" t="str">
        <f>LEFT(Table2[[#This Row],[Description]],75)</f>
        <v>CASHBACK BONUS REDEMPTION PYMT/STMT CRDT</v>
      </c>
    </row>
    <row r="13726" spans="1:15" hidden="1">
      <c r="A13726">
        <v>202503</v>
      </c>
      <c r="B13726" s="6">
        <v>45740</v>
      </c>
      <c r="C13726" t="s">
        <v>130</v>
      </c>
      <c r="D13726" t="s">
        <v>5900</v>
      </c>
      <c r="E13726">
        <v>-54</v>
      </c>
      <c r="F13726" t="str">
        <f>IF(Table2[[#This Row],[Manual Cat Value]]="",Table2[[#This Row],[Suggested Cat Value]],VLOOKUP(Table2[[#This Row],[Manual Cat Value]],Lookup!G:H,2,0))</f>
        <v>Shopping</v>
      </c>
      <c r="G13726" t="s">
        <v>21</v>
      </c>
      <c r="I13726" s="8"/>
      <c r="O13726" t="str">
        <f>LEFT(Table2[[#This Row],[Description]],75)</f>
        <v>SP FREEFLYAPPAREL   CHARLESTON          SC</v>
      </c>
    </row>
    <row r="13727" spans="1:15" hidden="1">
      <c r="A13727">
        <v>202502</v>
      </c>
      <c r="B13727" s="6">
        <v>45713</v>
      </c>
      <c r="C13727" t="s">
        <v>2519</v>
      </c>
      <c r="D13727" t="s">
        <v>4470</v>
      </c>
      <c r="E13727">
        <v>-55.89</v>
      </c>
      <c r="F13727" t="str">
        <f>IF(Table2[[#This Row],[Manual Cat Value]]="",Table2[[#This Row],[Suggested Cat Value]],VLOOKUP(Table2[[#This Row],[Manual Cat Value]],Lookup!G:H,2,0))</f>
        <v>Delete</v>
      </c>
      <c r="G13727" t="s">
        <v>9</v>
      </c>
      <c r="I13727" s="8"/>
      <c r="O13727" t="str">
        <f>LEFT(Table2[[#This Row],[Description]],75)</f>
        <v>Connectyourcare Deposit</v>
      </c>
    </row>
    <row r="13728" spans="1:15" hidden="1">
      <c r="A13728">
        <v>202504</v>
      </c>
      <c r="B13728" s="6">
        <v>45774</v>
      </c>
      <c r="C13728" t="s">
        <v>3938</v>
      </c>
      <c r="D13728" t="s">
        <v>31</v>
      </c>
      <c r="E13728">
        <v>-57.15</v>
      </c>
      <c r="F13728" t="str">
        <f>IF(Table2[[#This Row],[Manual Cat Value]]="",Table2[[#This Row],[Suggested Cat Value]],VLOOKUP(Table2[[#This Row],[Manual Cat Value]],Lookup!G:H,2,0))</f>
        <v>Target</v>
      </c>
      <c r="G13728" t="s">
        <v>31</v>
      </c>
      <c r="I13728" s="8"/>
      <c r="O13728" t="str">
        <f>LEFT(Table2[[#This Row],[Description]],75)</f>
        <v>Target</v>
      </c>
    </row>
    <row r="13729" spans="1:15" hidden="1">
      <c r="A13729">
        <v>202504</v>
      </c>
      <c r="B13729" s="6">
        <v>45765</v>
      </c>
      <c r="C13729" t="s">
        <v>3938</v>
      </c>
      <c r="D13729" t="s">
        <v>4920</v>
      </c>
      <c r="E13729">
        <v>-58</v>
      </c>
      <c r="F13729" t="str">
        <f>IF(Table2[[#This Row],[Manual Cat Value]]="",Table2[[#This Row],[Suggested Cat Value]],VLOOKUP(Table2[[#This Row],[Manual Cat Value]],Lookup!G:H,2,0))</f>
        <v>Shopping</v>
      </c>
      <c r="G13729" t="s">
        <v>21</v>
      </c>
      <c r="I13729" s="8"/>
      <c r="O13729" t="str">
        <f>LEFT(Table2[[#This Row],[Description]],75)</f>
        <v>Vuori Clothing</v>
      </c>
    </row>
    <row r="13730" spans="1:15" hidden="1">
      <c r="A13730">
        <v>202502</v>
      </c>
      <c r="B13730" s="6">
        <v>45710</v>
      </c>
      <c r="C13730" t="s">
        <v>130</v>
      </c>
      <c r="D13730" t="s">
        <v>5942</v>
      </c>
      <c r="E13730">
        <v>-60</v>
      </c>
      <c r="F13730" t="str">
        <f>IF(Table2[[#This Row],[Manual Cat Value]]="",Table2[[#This Row],[Suggested Cat Value]],VLOOKUP(Table2[[#This Row],[Manual Cat Value]],Lookup!G:H,2,0))</f>
        <v>Shopping</v>
      </c>
      <c r="G13730" t="s">
        <v>21</v>
      </c>
      <c r="I13730" s="8"/>
      <c r="O13730" t="str">
        <f>LEFT(Table2[[#This Row],[Description]],75)</f>
        <v>SP NORMAL BRAND COR SAINT LOUIS         MO</v>
      </c>
    </row>
    <row r="13731" spans="1:15" hidden="1">
      <c r="A13731">
        <v>202502</v>
      </c>
      <c r="B13731" s="6">
        <v>45713</v>
      </c>
      <c r="C13731" t="s">
        <v>2519</v>
      </c>
      <c r="D13731" t="s">
        <v>4470</v>
      </c>
      <c r="E13731">
        <v>-69.180000000000007</v>
      </c>
      <c r="F13731" t="str">
        <f>IF(Table2[[#This Row],[Manual Cat Value]]="",Table2[[#This Row],[Suggested Cat Value]],VLOOKUP(Table2[[#This Row],[Manual Cat Value]],Lookup!G:H,2,0))</f>
        <v>Delete</v>
      </c>
      <c r="G13731" t="s">
        <v>9</v>
      </c>
      <c r="I13731" s="8"/>
      <c r="O13731" t="str">
        <f>LEFT(Table2[[#This Row],[Description]],75)</f>
        <v>Connectyourcare Deposit</v>
      </c>
    </row>
    <row r="13732" spans="1:15" hidden="1">
      <c r="A13732">
        <v>202502</v>
      </c>
      <c r="B13732" s="6">
        <v>45692</v>
      </c>
      <c r="C13732" t="s">
        <v>2519</v>
      </c>
      <c r="D13732" t="s">
        <v>4470</v>
      </c>
      <c r="E13732">
        <v>-74.95</v>
      </c>
      <c r="F13732" t="str">
        <f>IF(Table2[[#This Row],[Manual Cat Value]]="",Table2[[#This Row],[Suggested Cat Value]],VLOOKUP(Table2[[#This Row],[Manual Cat Value]],Lookup!G:H,2,0))</f>
        <v>Delete</v>
      </c>
      <c r="G13732" t="s">
        <v>9</v>
      </c>
      <c r="I13732" s="8"/>
      <c r="O13732" t="str">
        <f>LEFT(Table2[[#This Row],[Description]],75)</f>
        <v>Connectyourcare Deposit</v>
      </c>
    </row>
    <row r="13733" spans="1:15" hidden="1">
      <c r="A13733">
        <v>202501</v>
      </c>
      <c r="B13733" s="6">
        <v>45686</v>
      </c>
      <c r="C13733" t="s">
        <v>2519</v>
      </c>
      <c r="D13733" t="s">
        <v>4283</v>
      </c>
      <c r="E13733">
        <v>-75</v>
      </c>
      <c r="F13733" t="str">
        <f>IF(Table2[[#This Row],[Manual Cat Value]]="",Table2[[#This Row],[Suggested Cat Value]],VLOOKUP(Table2[[#This Row],[Manual Cat Value]],Lookup!G:H,2,0))</f>
        <v>Britney</v>
      </c>
      <c r="G13733" t="s">
        <v>66</v>
      </c>
      <c r="I13733" s="8"/>
      <c r="O13733" t="str">
        <f>LEFT(Table2[[#This Row],[Description]],75)</f>
        <v>Cargill Deposit</v>
      </c>
    </row>
    <row r="13734" spans="1:15" hidden="1">
      <c r="A13734">
        <v>202503</v>
      </c>
      <c r="B13734" s="6">
        <v>45739</v>
      </c>
      <c r="C13734" t="s">
        <v>2519</v>
      </c>
      <c r="D13734" t="s">
        <v>4283</v>
      </c>
      <c r="E13734">
        <v>-75</v>
      </c>
      <c r="F13734" t="str">
        <f>IF(Table2[[#This Row],[Manual Cat Value]]="",Table2[[#This Row],[Suggested Cat Value]],VLOOKUP(Table2[[#This Row],[Manual Cat Value]],Lookup!G:H,2,0))</f>
        <v>Britney</v>
      </c>
      <c r="G13734" t="s">
        <v>66</v>
      </c>
      <c r="I13734" s="8"/>
      <c r="O13734" t="str">
        <f>LEFT(Table2[[#This Row],[Description]],75)</f>
        <v>Cargill Deposit</v>
      </c>
    </row>
    <row r="13735" spans="1:15" hidden="1">
      <c r="A13735">
        <v>202505</v>
      </c>
      <c r="B13735" s="6">
        <v>45802</v>
      </c>
      <c r="C13735" t="s">
        <v>2519</v>
      </c>
      <c r="D13735" t="s">
        <v>4283</v>
      </c>
      <c r="E13735">
        <v>-76.05</v>
      </c>
      <c r="F13735" t="str">
        <f>IF(Table2[[#This Row],[Manual Cat Value]]="",Table2[[#This Row],[Suggested Cat Value]],VLOOKUP(Table2[[#This Row],[Manual Cat Value]],Lookup!G:H,2,0))</f>
        <v>Britney</v>
      </c>
      <c r="G13735" t="s">
        <v>66</v>
      </c>
      <c r="I13735" s="8"/>
      <c r="O13735" t="str">
        <f>LEFT(Table2[[#This Row],[Description]],75)</f>
        <v>Cargill Deposit</v>
      </c>
    </row>
    <row r="13736" spans="1:15" hidden="1">
      <c r="A13736">
        <v>202505</v>
      </c>
      <c r="B13736" s="6">
        <v>45800</v>
      </c>
      <c r="C13736" t="s">
        <v>130</v>
      </c>
      <c r="D13736" t="s">
        <v>6205</v>
      </c>
      <c r="E13736">
        <v>-78</v>
      </c>
      <c r="F13736" t="str">
        <f>IF(Table2[[#This Row],[Manual Cat Value]]="",Table2[[#This Row],[Suggested Cat Value]],VLOOKUP(Table2[[#This Row],[Manual Cat Value]],Lookup!G:H,2,0))</f>
        <v>Shopping</v>
      </c>
      <c r="G13736" t="s">
        <v>21</v>
      </c>
      <c r="I13736" s="8"/>
      <c r="O13736" t="str">
        <f>LEFT(Table2[[#This Row],[Description]],75)</f>
        <v>SP BAD BIRDIE LLC   GLENDALE            CA</v>
      </c>
    </row>
    <row r="13737" spans="1:15" hidden="1">
      <c r="A13737">
        <v>202505</v>
      </c>
      <c r="B13737" s="6">
        <v>45795</v>
      </c>
      <c r="C13737" t="s">
        <v>3938</v>
      </c>
      <c r="D13737" t="s">
        <v>1076</v>
      </c>
      <c r="E13737">
        <v>-78.02</v>
      </c>
      <c r="F13737" t="str">
        <f>IF(Table2[[#This Row],[Manual Cat Value]]="",Table2[[#This Row],[Suggested Cat Value]],VLOOKUP(Table2[[#This Row],[Manual Cat Value]],Lookup!G:H,2,0))</f>
        <v>Shopping</v>
      </c>
      <c r="G13737" t="s">
        <v>21</v>
      </c>
      <c r="I13737" s="8"/>
      <c r="O13737" t="str">
        <f>LEFT(Table2[[#This Row],[Description]],75)</f>
        <v>Kohl's</v>
      </c>
    </row>
    <row r="13738" spans="1:15" hidden="1">
      <c r="A13738">
        <v>202502</v>
      </c>
      <c r="B13738" s="6">
        <v>45699</v>
      </c>
      <c r="C13738" t="s">
        <v>2519</v>
      </c>
      <c r="D13738" t="s">
        <v>4470</v>
      </c>
      <c r="E13738">
        <v>-84.83</v>
      </c>
      <c r="F13738" t="str">
        <f>IF(Table2[[#This Row],[Manual Cat Value]]="",Table2[[#This Row],[Suggested Cat Value]],VLOOKUP(Table2[[#This Row],[Manual Cat Value]],Lookup!G:H,2,0))</f>
        <v>Delete</v>
      </c>
      <c r="G13738" t="s">
        <v>9</v>
      </c>
      <c r="I13738" s="8"/>
      <c r="O13738" t="str">
        <f>LEFT(Table2[[#This Row],[Description]],75)</f>
        <v>Connectyourcare Deposit</v>
      </c>
    </row>
    <row r="13739" spans="1:15" hidden="1">
      <c r="A13739">
        <v>202504</v>
      </c>
      <c r="B13739" s="6">
        <v>45765</v>
      </c>
      <c r="C13739" t="s">
        <v>3938</v>
      </c>
      <c r="D13739" t="s">
        <v>31</v>
      </c>
      <c r="E13739">
        <v>-88.99</v>
      </c>
      <c r="F13739" t="str">
        <f>IF(Table2[[#This Row],[Manual Cat Value]]="",Table2[[#This Row],[Suggested Cat Value]],VLOOKUP(Table2[[#This Row],[Manual Cat Value]],Lookup!G:H,2,0))</f>
        <v>Target</v>
      </c>
      <c r="G13739" t="s">
        <v>31</v>
      </c>
      <c r="I13739" s="8"/>
      <c r="O13739" t="str">
        <f>LEFT(Table2[[#This Row],[Description]],75)</f>
        <v>Target</v>
      </c>
    </row>
    <row r="13740" spans="1:15" hidden="1">
      <c r="A13740">
        <v>202501</v>
      </c>
      <c r="B13740" s="6">
        <v>45663</v>
      </c>
      <c r="C13740" t="s">
        <v>2258</v>
      </c>
      <c r="D13740" t="s">
        <v>997</v>
      </c>
      <c r="E13740">
        <v>-95.75</v>
      </c>
      <c r="F13740" t="str">
        <f>IF(Table2[[#This Row],[Manual Cat Value]]="",Table2[[#This Row],[Suggested Cat Value]],VLOOKUP(Table2[[#This Row],[Manual Cat Value]],Lookup!G:H,2,0))</f>
        <v>Delete</v>
      </c>
      <c r="G13740" t="s">
        <v>9</v>
      </c>
      <c r="I13740" s="8"/>
      <c r="O13740" t="str">
        <f>LEFT(Table2[[#This Row],[Description]],75)</f>
        <v>INTERNET PAYMENT - THANK YOU</v>
      </c>
    </row>
    <row r="13741" spans="1:15" hidden="1">
      <c r="A13741">
        <v>202501</v>
      </c>
      <c r="B13741" s="6">
        <v>45663</v>
      </c>
      <c r="C13741" t="s">
        <v>130</v>
      </c>
      <c r="D13741" t="s">
        <v>5847</v>
      </c>
      <c r="E13741">
        <v>-98</v>
      </c>
      <c r="F13741" t="str">
        <f>IF(Table2[[#This Row],[Manual Cat Value]]="",Table2[[#This Row],[Suggested Cat Value]],VLOOKUP(Table2[[#This Row],[Manual Cat Value]],Lookup!G:H,2,0))</f>
        <v>Shopping</v>
      </c>
      <c r="G13741" t="s">
        <v>21</v>
      </c>
      <c r="I13741" s="8"/>
      <c r="O13741" t="str">
        <f>LEFT(Table2[[#This Row],[Description]],75)</f>
        <v>ANTHROPOLOGIE.COM   PHILADELPHIA        PA</v>
      </c>
    </row>
    <row r="13742" spans="1:15" hidden="1">
      <c r="A13742">
        <v>202504</v>
      </c>
      <c r="B13742" s="6">
        <v>45764</v>
      </c>
      <c r="C13742" t="s">
        <v>3938</v>
      </c>
      <c r="D13742" t="s">
        <v>4920</v>
      </c>
      <c r="E13742">
        <v>-98</v>
      </c>
      <c r="F13742" t="str">
        <f>IF(Table2[[#This Row],[Manual Cat Value]]="",Table2[[#This Row],[Suggested Cat Value]],VLOOKUP(Table2[[#This Row],[Manual Cat Value]],Lookup!G:H,2,0))</f>
        <v>Shopping</v>
      </c>
      <c r="G13742" t="s">
        <v>21</v>
      </c>
      <c r="I13742" s="8"/>
      <c r="O13742" t="str">
        <f>LEFT(Table2[[#This Row],[Description]],75)</f>
        <v>Vuori Clothing</v>
      </c>
    </row>
    <row r="13743" spans="1:15" hidden="1">
      <c r="A13743">
        <v>202504</v>
      </c>
      <c r="B13743" s="6">
        <v>45776</v>
      </c>
      <c r="C13743" t="s">
        <v>3938</v>
      </c>
      <c r="D13743" t="s">
        <v>6527</v>
      </c>
      <c r="E13743">
        <v>-99.17</v>
      </c>
      <c r="F13743" t="str">
        <f>IF(Table2[[#This Row],[Manual Cat Value]]="",Table2[[#This Row],[Suggested Cat Value]],VLOOKUP(Table2[[#This Row],[Manual Cat Value]],Lookup!G:H,2,0))</f>
        <v>Restaurants</v>
      </c>
      <c r="G13743" t="s">
        <v>26</v>
      </c>
      <c r="I13743" s="8"/>
      <c r="O13743" t="str">
        <f>LEFT(Table2[[#This Row],[Description]],75)</f>
        <v>TOWN OF LA POINTE LA POINTE WI REF #XX1663N0T52R4KN</v>
      </c>
    </row>
    <row r="13744" spans="1:15" hidden="1">
      <c r="A13744">
        <v>202502</v>
      </c>
      <c r="B13744" s="6">
        <v>45698</v>
      </c>
      <c r="C13744" t="s">
        <v>2519</v>
      </c>
      <c r="D13744" t="s">
        <v>710</v>
      </c>
      <c r="E13744">
        <v>-100</v>
      </c>
      <c r="F13744" t="str">
        <f>IF(Table2[[#This Row],[Manual Cat Value]]="",Table2[[#This Row],[Suggested Cat Value]],VLOOKUP(Table2[[#This Row],[Manual Cat Value]],Lookup!G:H,2,0))</f>
        <v>Delete</v>
      </c>
      <c r="G13744" t="s">
        <v>9</v>
      </c>
      <c r="I13744" s="8"/>
      <c r="O13744" t="str">
        <f>LEFT(Table2[[#This Row],[Description]],75)</f>
        <v>Deposit by Check Deposit Anywhere check deposit</v>
      </c>
    </row>
    <row r="13745" spans="1:15" hidden="1">
      <c r="A13745">
        <v>202503</v>
      </c>
      <c r="B13745" s="6">
        <v>45735</v>
      </c>
      <c r="C13745" t="s">
        <v>2519</v>
      </c>
      <c r="D13745" t="s">
        <v>4470</v>
      </c>
      <c r="E13745">
        <v>-105</v>
      </c>
      <c r="F13745" t="str">
        <f>IF(Table2[[#This Row],[Manual Cat Value]]="",Table2[[#This Row],[Suggested Cat Value]],VLOOKUP(Table2[[#This Row],[Manual Cat Value]],Lookup!G:H,2,0))</f>
        <v>Delete</v>
      </c>
      <c r="G13745" t="s">
        <v>9</v>
      </c>
      <c r="I13745" s="8"/>
      <c r="O13745" t="str">
        <f>LEFT(Table2[[#This Row],[Description]],75)</f>
        <v>Connectyourcare Deposit</v>
      </c>
    </row>
    <row r="13746" spans="1:15" hidden="1">
      <c r="A13746">
        <v>202504</v>
      </c>
      <c r="B13746" s="6">
        <v>45766</v>
      </c>
      <c r="C13746" t="s">
        <v>130</v>
      </c>
      <c r="D13746" t="s">
        <v>5847</v>
      </c>
      <c r="E13746">
        <v>-106</v>
      </c>
      <c r="F13746" t="str">
        <f>IF(Table2[[#This Row],[Manual Cat Value]]="",Table2[[#This Row],[Suggested Cat Value]],VLOOKUP(Table2[[#This Row],[Manual Cat Value]],Lookup!G:H,2,0))</f>
        <v>Shopping</v>
      </c>
      <c r="G13746" t="s">
        <v>21</v>
      </c>
      <c r="I13746" s="8"/>
      <c r="O13746" t="str">
        <f>LEFT(Table2[[#This Row],[Description]],75)</f>
        <v>ANTHROPOLOGIE.COM   PHILADELPHIA        PA</v>
      </c>
    </row>
    <row r="13747" spans="1:15" hidden="1">
      <c r="A13747">
        <v>202504</v>
      </c>
      <c r="B13747" s="6">
        <v>45766</v>
      </c>
      <c r="C13747" t="s">
        <v>130</v>
      </c>
      <c r="D13747" t="s">
        <v>5847</v>
      </c>
      <c r="E13747">
        <v>-106</v>
      </c>
      <c r="F13747" t="str">
        <f>IF(Table2[[#This Row],[Manual Cat Value]]="",Table2[[#This Row],[Suggested Cat Value]],VLOOKUP(Table2[[#This Row],[Manual Cat Value]],Lookup!G:H,2,0))</f>
        <v>Shopping</v>
      </c>
      <c r="G13747" t="s">
        <v>21</v>
      </c>
      <c r="I13747" s="8"/>
      <c r="O13747" t="str">
        <f>LEFT(Table2[[#This Row],[Description]],75)</f>
        <v>ANTHROPOLOGIE.COM   PHILADELPHIA        PA</v>
      </c>
    </row>
    <row r="13748" spans="1:15" hidden="1">
      <c r="A13748">
        <v>202504</v>
      </c>
      <c r="B13748" s="6">
        <v>45766</v>
      </c>
      <c r="C13748" t="s">
        <v>130</v>
      </c>
      <c r="D13748" t="s">
        <v>5847</v>
      </c>
      <c r="E13748">
        <v>-106</v>
      </c>
      <c r="F13748" t="str">
        <f>IF(Table2[[#This Row],[Manual Cat Value]]="",Table2[[#This Row],[Suggested Cat Value]],VLOOKUP(Table2[[#This Row],[Manual Cat Value]],Lookup!G:H,2,0))</f>
        <v>Shopping</v>
      </c>
      <c r="G13748" t="s">
        <v>21</v>
      </c>
      <c r="I13748" s="8"/>
      <c r="O13748" t="str">
        <f>LEFT(Table2[[#This Row],[Description]],75)</f>
        <v>ANTHROPOLOGIE.COM   PHILADELPHIA        PA</v>
      </c>
    </row>
    <row r="13749" spans="1:15" hidden="1">
      <c r="A13749">
        <v>202504</v>
      </c>
      <c r="B13749" s="6">
        <v>45766</v>
      </c>
      <c r="C13749" t="s">
        <v>130</v>
      </c>
      <c r="D13749" t="s">
        <v>5847</v>
      </c>
      <c r="E13749">
        <v>-106</v>
      </c>
      <c r="F13749" t="str">
        <f>IF(Table2[[#This Row],[Manual Cat Value]]="",Table2[[#This Row],[Suggested Cat Value]],VLOOKUP(Table2[[#This Row],[Manual Cat Value]],Lookup!G:H,2,0))</f>
        <v>Shopping</v>
      </c>
      <c r="G13749" t="s">
        <v>21</v>
      </c>
      <c r="I13749" s="8"/>
      <c r="O13749" t="str">
        <f>LEFT(Table2[[#This Row],[Description]],75)</f>
        <v>ANTHROPOLOGIE.COM   PHILADELPHIA        PA</v>
      </c>
    </row>
    <row r="13750" spans="1:15" hidden="1">
      <c r="A13750">
        <v>202504</v>
      </c>
      <c r="B13750" s="6">
        <v>45764</v>
      </c>
      <c r="C13750" t="s">
        <v>130</v>
      </c>
      <c r="D13750" t="s">
        <v>6206</v>
      </c>
      <c r="E13750">
        <v>-108.81</v>
      </c>
      <c r="F13750" t="str">
        <f>IF(Table2[[#This Row],[Manual Cat Value]]="",Table2[[#This Row],[Suggested Cat Value]],VLOOKUP(Table2[[#This Row],[Manual Cat Value]],Lookup!G:H,2,0))</f>
        <v>Amazon</v>
      </c>
      <c r="G13750" t="s">
        <v>38</v>
      </c>
      <c r="I13750" s="8"/>
      <c r="O13750" t="str">
        <f>LEFT(Table2[[#This Row],[Description]],75)</f>
        <v>AMAZON.COM          AMZN.COM/BILL       WA</v>
      </c>
    </row>
    <row r="13751" spans="1:15" hidden="1">
      <c r="A13751">
        <v>202502</v>
      </c>
      <c r="B13751" s="6">
        <v>45692</v>
      </c>
      <c r="C13751" t="s">
        <v>2519</v>
      </c>
      <c r="D13751" t="s">
        <v>4470</v>
      </c>
      <c r="E13751">
        <v>-119.5</v>
      </c>
      <c r="F13751" t="str">
        <f>IF(Table2[[#This Row],[Manual Cat Value]]="",Table2[[#This Row],[Suggested Cat Value]],VLOOKUP(Table2[[#This Row],[Manual Cat Value]],Lookup!G:H,2,0))</f>
        <v>Delete</v>
      </c>
      <c r="G13751" t="s">
        <v>9</v>
      </c>
      <c r="I13751" s="8"/>
      <c r="O13751" t="str">
        <f>LEFT(Table2[[#This Row],[Description]],75)</f>
        <v>Connectyourcare Deposit</v>
      </c>
    </row>
    <row r="13752" spans="1:15" hidden="1">
      <c r="A13752">
        <v>202504</v>
      </c>
      <c r="B13752" s="6">
        <v>45748</v>
      </c>
      <c r="C13752" t="s">
        <v>130</v>
      </c>
      <c r="D13752" t="s">
        <v>6177</v>
      </c>
      <c r="E13752">
        <v>-122</v>
      </c>
      <c r="F13752" t="str">
        <f>IF(Table2[[#This Row],[Manual Cat Value]]="",Table2[[#This Row],[Suggested Cat Value]],VLOOKUP(Table2[[#This Row],[Manual Cat Value]],Lookup!G:H,2,0))</f>
        <v>Shopping</v>
      </c>
      <c r="G13752" t="s">
        <v>21</v>
      </c>
      <c r="I13752" s="8"/>
      <c r="O13752" t="str">
        <f>LEFT(Table2[[#This Row],[Description]],75)</f>
        <v>SP VUORI CLOTHING   ENCINITAS           CA</v>
      </c>
    </row>
    <row r="13753" spans="1:15" hidden="1">
      <c r="A13753">
        <v>202501</v>
      </c>
      <c r="B13753" s="6">
        <v>45667</v>
      </c>
      <c r="C13753" t="s">
        <v>130</v>
      </c>
      <c r="D13753" t="s">
        <v>5901</v>
      </c>
      <c r="E13753">
        <v>-129</v>
      </c>
      <c r="F13753" t="str">
        <f>IF(Table2[[#This Row],[Manual Cat Value]]="",Table2[[#This Row],[Suggested Cat Value]],VLOOKUP(Table2[[#This Row],[Manual Cat Value]],Lookup!G:H,2,0))</f>
        <v>Shopping</v>
      </c>
      <c r="G13753" t="s">
        <v>21</v>
      </c>
      <c r="I13753" s="8"/>
      <c r="O13753" t="str">
        <f>LEFT(Table2[[#This Row],[Description]],75)</f>
        <v>SP THURSDAY BOOT COMNEW YORK            NY</v>
      </c>
    </row>
    <row r="13754" spans="1:15" hidden="1">
      <c r="A13754">
        <v>202504</v>
      </c>
      <c r="B13754" s="6">
        <v>45774</v>
      </c>
      <c r="C13754" t="s">
        <v>2519</v>
      </c>
      <c r="D13754" t="s">
        <v>4283</v>
      </c>
      <c r="E13754">
        <v>-134.5</v>
      </c>
      <c r="F13754" t="str">
        <f>IF(Table2[[#This Row],[Manual Cat Value]]="",Table2[[#This Row],[Suggested Cat Value]],VLOOKUP(Table2[[#This Row],[Manual Cat Value]],Lookup!G:H,2,0))</f>
        <v>Britney</v>
      </c>
      <c r="G13754" t="s">
        <v>66</v>
      </c>
      <c r="I13754" s="8"/>
      <c r="O13754" t="str">
        <f>LEFT(Table2[[#This Row],[Description]],75)</f>
        <v>Cargill Deposit</v>
      </c>
    </row>
    <row r="13755" spans="1:15" hidden="1">
      <c r="A13755">
        <v>202502</v>
      </c>
      <c r="B13755" s="6">
        <v>45707</v>
      </c>
      <c r="C13755" t="s">
        <v>2519</v>
      </c>
      <c r="D13755" t="s">
        <v>4283</v>
      </c>
      <c r="E13755">
        <v>-150</v>
      </c>
      <c r="F13755" t="str">
        <f>IF(Table2[[#This Row],[Manual Cat Value]]="",Table2[[#This Row],[Suggested Cat Value]],VLOOKUP(Table2[[#This Row],[Manual Cat Value]],Lookup!G:H,2,0))</f>
        <v>Britney</v>
      </c>
      <c r="G13755" t="s">
        <v>66</v>
      </c>
      <c r="I13755" s="8"/>
      <c r="O13755" t="str">
        <f>LEFT(Table2[[#This Row],[Description]],75)</f>
        <v>Cargill Deposit</v>
      </c>
    </row>
    <row r="13756" spans="1:15" hidden="1">
      <c r="A13756">
        <v>202503</v>
      </c>
      <c r="B13756" s="6">
        <v>45734</v>
      </c>
      <c r="C13756" t="s">
        <v>2258</v>
      </c>
      <c r="D13756" t="s">
        <v>5773</v>
      </c>
      <c r="E13756">
        <v>-163.79</v>
      </c>
      <c r="F13756" t="str">
        <f>IF(Table2[[#This Row],[Manual Cat Value]]="",Table2[[#This Row],[Suggested Cat Value]],VLOOKUP(Table2[[#This Row],[Manual Cat Value]],Lookup!G:H,2,0))</f>
        <v>Utilities</v>
      </c>
      <c r="G13756" t="s">
        <v>7</v>
      </c>
      <c r="I13756" s="8"/>
      <c r="O13756" t="str">
        <f>LEFT(Table2[[#This Row],[Description]],75)</f>
        <v>DIRECTPAY FULL BALANCESEE DETAILS OF YOUR NEXT DIRECTPAY BELOW</v>
      </c>
    </row>
    <row r="13757" spans="1:15" hidden="1">
      <c r="A13757">
        <v>202505</v>
      </c>
      <c r="B13757" s="6">
        <v>45783</v>
      </c>
      <c r="C13757" t="s">
        <v>130</v>
      </c>
      <c r="D13757" t="s">
        <v>6177</v>
      </c>
      <c r="E13757">
        <v>-216</v>
      </c>
      <c r="F13757" t="str">
        <f>IF(Table2[[#This Row],[Manual Cat Value]]="",Table2[[#This Row],[Suggested Cat Value]],VLOOKUP(Table2[[#This Row],[Manual Cat Value]],Lookup!G:H,2,0))</f>
        <v>Shopping</v>
      </c>
      <c r="G13757" t="s">
        <v>21</v>
      </c>
      <c r="I13757" s="8"/>
      <c r="O13757" t="str">
        <f>LEFT(Table2[[#This Row],[Description]],75)</f>
        <v>SP VUORI CLOTHING   ENCINITAS           CA</v>
      </c>
    </row>
    <row r="13758" spans="1:15" hidden="1">
      <c r="A13758">
        <v>202505</v>
      </c>
      <c r="B13758" s="6">
        <v>45791</v>
      </c>
      <c r="C13758" t="s">
        <v>2519</v>
      </c>
      <c r="D13758" t="s">
        <v>4283</v>
      </c>
      <c r="E13758">
        <v>-227</v>
      </c>
      <c r="F13758" t="str">
        <f>IF(Table2[[#This Row],[Manual Cat Value]]="",Table2[[#This Row],[Suggested Cat Value]],VLOOKUP(Table2[[#This Row],[Manual Cat Value]],Lookup!G:H,2,0))</f>
        <v>Britney</v>
      </c>
      <c r="G13758" t="s">
        <v>66</v>
      </c>
      <c r="I13758" s="8"/>
      <c r="O13758" t="str">
        <f>LEFT(Table2[[#This Row],[Description]],75)</f>
        <v>Cargill Deposit</v>
      </c>
    </row>
    <row r="13759" spans="1:15" hidden="1">
      <c r="A13759">
        <v>202504</v>
      </c>
      <c r="B13759" s="6">
        <v>45750</v>
      </c>
      <c r="C13759" t="s">
        <v>3938</v>
      </c>
      <c r="D13759" t="s">
        <v>4920</v>
      </c>
      <c r="E13759">
        <v>-314</v>
      </c>
      <c r="F13759" t="str">
        <f>IF(Table2[[#This Row],[Manual Cat Value]]="",Table2[[#This Row],[Suggested Cat Value]],VLOOKUP(Table2[[#This Row],[Manual Cat Value]],Lookup!G:H,2,0))</f>
        <v>Shopping</v>
      </c>
      <c r="G13759" t="s">
        <v>21</v>
      </c>
      <c r="I13759" s="8"/>
      <c r="O13759" t="str">
        <f>LEFT(Table2[[#This Row],[Description]],75)</f>
        <v>Vuori Clothing</v>
      </c>
    </row>
    <row r="13760" spans="1:15" hidden="1">
      <c r="A13760">
        <v>202501</v>
      </c>
      <c r="B13760" s="6">
        <v>45673</v>
      </c>
      <c r="C13760" t="s">
        <v>2519</v>
      </c>
      <c r="D13760" t="s">
        <v>4470</v>
      </c>
      <c r="E13760">
        <v>-395.68</v>
      </c>
      <c r="F13760" t="str">
        <f>IF(Table2[[#This Row],[Manual Cat Value]]="",Table2[[#This Row],[Suggested Cat Value]],VLOOKUP(Table2[[#This Row],[Manual Cat Value]],Lookup!G:H,2,0))</f>
        <v>Delete</v>
      </c>
      <c r="G13760" t="s">
        <v>9</v>
      </c>
      <c r="I13760" s="8"/>
      <c r="O13760" t="str">
        <f>LEFT(Table2[[#This Row],[Description]],75)</f>
        <v>Connectyourcare Deposit</v>
      </c>
    </row>
    <row r="13761" spans="1:15" hidden="1">
      <c r="A13761">
        <v>202502</v>
      </c>
      <c r="B13761" s="6">
        <v>45698</v>
      </c>
      <c r="C13761" t="s">
        <v>3938</v>
      </c>
      <c r="D13761" t="s">
        <v>673</v>
      </c>
      <c r="E13761">
        <v>-435.4</v>
      </c>
      <c r="F13761" t="str">
        <f>IF(Table2[[#This Row],[Manual Cat Value]]="",Table2[[#This Row],[Suggested Cat Value]],VLOOKUP(Table2[[#This Row],[Manual Cat Value]],Lookup!G:H,2,0))</f>
        <v>Delete</v>
      </c>
      <c r="G13761" t="s">
        <v>9</v>
      </c>
      <c r="I13761" s="8"/>
      <c r="O13761" t="str">
        <f>LEFT(Table2[[#This Row],[Description]],75)</f>
        <v>Credit Card Payment Received</v>
      </c>
    </row>
    <row r="13762" spans="1:15" hidden="1">
      <c r="A13762">
        <v>202504</v>
      </c>
      <c r="B13762" s="6">
        <v>45770</v>
      </c>
      <c r="C13762" t="s">
        <v>2258</v>
      </c>
      <c r="D13762" t="s">
        <v>997</v>
      </c>
      <c r="E13762">
        <v>-517.17999999999995</v>
      </c>
      <c r="F13762" t="str">
        <f>IF(Table2[[#This Row],[Manual Cat Value]]="",Table2[[#This Row],[Suggested Cat Value]],VLOOKUP(Table2[[#This Row],[Manual Cat Value]],Lookup!G:H,2,0))</f>
        <v>Delete</v>
      </c>
      <c r="G13762" t="s">
        <v>9</v>
      </c>
      <c r="I13762" s="8"/>
      <c r="O13762" t="str">
        <f>LEFT(Table2[[#This Row],[Description]],75)</f>
        <v>INTERNET PAYMENT - THANK YOU</v>
      </c>
    </row>
    <row r="13763" spans="1:15" hidden="1">
      <c r="A13763">
        <v>202504</v>
      </c>
      <c r="B13763" s="6">
        <v>45755</v>
      </c>
      <c r="C13763" t="s">
        <v>2258</v>
      </c>
      <c r="D13763" t="s">
        <v>997</v>
      </c>
      <c r="E13763">
        <v>-525.80999999999995</v>
      </c>
      <c r="F13763" t="str">
        <f>IF(Table2[[#This Row],[Manual Cat Value]]="",Table2[[#This Row],[Suggested Cat Value]],VLOOKUP(Table2[[#This Row],[Manual Cat Value]],Lookup!G:H,2,0))</f>
        <v>Delete</v>
      </c>
      <c r="G13763" t="s">
        <v>9</v>
      </c>
      <c r="I13763" s="8"/>
      <c r="O13763" t="str">
        <f>LEFT(Table2[[#This Row],[Description]],75)</f>
        <v>INTERNET PAYMENT - THANK YOU</v>
      </c>
    </row>
    <row r="13764" spans="1:15" hidden="1">
      <c r="A13764">
        <v>202502</v>
      </c>
      <c r="B13764" s="6">
        <v>45698</v>
      </c>
      <c r="C13764" t="s">
        <v>2258</v>
      </c>
      <c r="D13764" t="s">
        <v>997</v>
      </c>
      <c r="E13764">
        <v>-673.07</v>
      </c>
      <c r="F13764" t="str">
        <f>IF(Table2[[#This Row],[Manual Cat Value]]="",Table2[[#This Row],[Suggested Cat Value]],VLOOKUP(Table2[[#This Row],[Manual Cat Value]],Lookup!G:H,2,0))</f>
        <v>Delete</v>
      </c>
      <c r="G13764" t="s">
        <v>9</v>
      </c>
      <c r="I13764" s="8"/>
      <c r="O13764" t="str">
        <f>LEFT(Table2[[#This Row],[Description]],75)</f>
        <v>INTERNET PAYMENT - THANK YOU</v>
      </c>
    </row>
    <row r="13765" spans="1:15" hidden="1">
      <c r="A13765">
        <v>202501</v>
      </c>
      <c r="B13765" s="6">
        <v>45688</v>
      </c>
      <c r="C13765" t="s">
        <v>3938</v>
      </c>
      <c r="D13765" t="s">
        <v>673</v>
      </c>
      <c r="E13765">
        <v>-767.27</v>
      </c>
      <c r="F13765" t="str">
        <f>IF(Table2[[#This Row],[Manual Cat Value]]="",Table2[[#This Row],[Suggested Cat Value]],VLOOKUP(Table2[[#This Row],[Manual Cat Value]],Lookup!G:H,2,0))</f>
        <v>Delete</v>
      </c>
      <c r="G13765" t="s">
        <v>9</v>
      </c>
      <c r="I13765" s="8"/>
      <c r="O13765" t="str">
        <f>LEFT(Table2[[#This Row],[Description]],75)</f>
        <v>Credit Card Payment Received</v>
      </c>
    </row>
    <row r="13766" spans="1:15" hidden="1">
      <c r="A13766">
        <v>202505</v>
      </c>
      <c r="B13766" s="6">
        <v>45789</v>
      </c>
      <c r="C13766" t="s">
        <v>3938</v>
      </c>
      <c r="D13766" t="s">
        <v>673</v>
      </c>
      <c r="E13766">
        <v>-833.78</v>
      </c>
      <c r="F13766" t="str">
        <f>IF(Table2[[#This Row],[Manual Cat Value]]="",Table2[[#This Row],[Suggested Cat Value]],VLOOKUP(Table2[[#This Row],[Manual Cat Value]],Lookup!G:H,2,0))</f>
        <v>Delete</v>
      </c>
      <c r="G13766" t="s">
        <v>9</v>
      </c>
      <c r="I13766" s="8"/>
      <c r="O13766" t="str">
        <f>LEFT(Table2[[#This Row],[Description]],75)</f>
        <v>Credit Card Payment Received</v>
      </c>
    </row>
    <row r="13767" spans="1:15" hidden="1">
      <c r="A13767">
        <v>202504</v>
      </c>
      <c r="B13767" s="6">
        <v>45776</v>
      </c>
      <c r="C13767" t="s">
        <v>3938</v>
      </c>
      <c r="D13767" t="s">
        <v>673</v>
      </c>
      <c r="E13767">
        <v>-835.66</v>
      </c>
      <c r="F13767" t="str">
        <f>IF(Table2[[#This Row],[Manual Cat Value]]="",Table2[[#This Row],[Suggested Cat Value]],VLOOKUP(Table2[[#This Row],[Manual Cat Value]],Lookup!G:H,2,0))</f>
        <v>Delete</v>
      </c>
      <c r="G13767" t="s">
        <v>9</v>
      </c>
      <c r="I13767" s="8"/>
      <c r="O13767" t="str">
        <f>LEFT(Table2[[#This Row],[Description]],75)</f>
        <v>Credit Card Payment Received</v>
      </c>
    </row>
    <row r="13768" spans="1:15" hidden="1">
      <c r="A13768">
        <v>202503</v>
      </c>
      <c r="B13768" s="6">
        <v>45746</v>
      </c>
      <c r="C13768" t="s">
        <v>2519</v>
      </c>
      <c r="D13768" t="s">
        <v>6528</v>
      </c>
      <c r="E13768">
        <v>-859</v>
      </c>
      <c r="F13768" t="str">
        <f>IF(Table2[[#This Row],[Manual Cat Value]]="",Table2[[#This Row],[Suggested Cat Value]],VLOOKUP(Table2[[#This Row],[Manual Cat Value]],Lookup!G:H,2,0))</f>
        <v>Delete</v>
      </c>
      <c r="G13768" t="s">
        <v>9</v>
      </c>
      <c r="I13768" s="8"/>
      <c r="O13768" t="str">
        <f>LEFT(Table2[[#This Row],[Description]],75)</f>
        <v>Minnesota Department Of Revenue Deposit</v>
      </c>
    </row>
    <row r="13769" spans="1:15" hidden="1">
      <c r="A13769">
        <v>202505</v>
      </c>
      <c r="B13769" s="6">
        <v>45786</v>
      </c>
      <c r="C13769" t="s">
        <v>3938</v>
      </c>
      <c r="D13769" t="s">
        <v>6529</v>
      </c>
      <c r="E13769">
        <v>148.52000000000001</v>
      </c>
      <c r="F13769" t="str">
        <f>IF(Table2[[#This Row],[Manual Cat Value]]="",Table2[[#This Row],[Suggested Cat Value]],VLOOKUP(Table2[[#This Row],[Manual Cat Value]],Lookup!G:H,2,0))</f>
        <v>Day Care</v>
      </c>
      <c r="G13769" t="s">
        <v>26</v>
      </c>
      <c r="H13769" s="8" t="s">
        <v>19</v>
      </c>
      <c r="I13769" s="8"/>
      <c r="O13769" t="str">
        <f>LEFT(Table2[[#This Row],[Description]],75)</f>
        <v>SCHOOL SPECIALTY LLC XX-5823 WI REF #XX4141LTFLA7BQ</v>
      </c>
    </row>
    <row r="13770" spans="1:15" hidden="1">
      <c r="A13770">
        <v>202505</v>
      </c>
      <c r="B13770" s="6">
        <v>45790</v>
      </c>
      <c r="C13770" t="s">
        <v>2519</v>
      </c>
      <c r="D13770" t="s">
        <v>6530</v>
      </c>
      <c r="E13770">
        <v>30</v>
      </c>
      <c r="F13770" t="str">
        <f>IF(Table2[[#This Row],[Manual Cat Value]]="",Table2[[#This Row],[Suggested Cat Value]],VLOOKUP(Table2[[#This Row],[Manual Cat Value]],Lookup!G:H,2,0))</f>
        <v>Day Care</v>
      </c>
      <c r="G13770" t="s">
        <v>20</v>
      </c>
      <c r="I13770" s="8"/>
      <c r="O13770" t="str">
        <f>LEFT(Table2[[#This Row],[Description]],75)</f>
        <v>Withdrawal ACH Mis Amigos Presc TYPE: ID: XX7393 NAME: BCU CO: Mis Amigos P</v>
      </c>
    </row>
    <row r="13771" spans="1:15" hidden="1">
      <c r="A13771">
        <v>202504</v>
      </c>
      <c r="B13771" s="6">
        <v>45760</v>
      </c>
      <c r="C13771" t="s">
        <v>2519</v>
      </c>
      <c r="D13771" t="s">
        <v>710</v>
      </c>
      <c r="E13771">
        <v>-958</v>
      </c>
      <c r="F13771" t="str">
        <f>IF(Table2[[#This Row],[Manual Cat Value]]="",Table2[[#This Row],[Suggested Cat Value]],VLOOKUP(Table2[[#This Row],[Manual Cat Value]],Lookup!G:H,2,0))</f>
        <v>Delete</v>
      </c>
      <c r="G13771" t="s">
        <v>9</v>
      </c>
      <c r="I13771" s="8"/>
      <c r="O13771" t="str">
        <f>LEFT(Table2[[#This Row],[Description]],75)</f>
        <v>Deposit by Check Deposit Anywhere check deposit</v>
      </c>
    </row>
    <row r="13772" spans="1:15" hidden="1">
      <c r="A13772">
        <v>202503</v>
      </c>
      <c r="B13772" s="6">
        <v>45729</v>
      </c>
      <c r="C13772" t="s">
        <v>2519</v>
      </c>
      <c r="D13772" t="s">
        <v>6531</v>
      </c>
      <c r="E13772">
        <v>-998.67</v>
      </c>
      <c r="F13772" t="str">
        <f>IF(Table2[[#This Row],[Manual Cat Value]]="",Table2[[#This Row],[Suggested Cat Value]],VLOOKUP(Table2[[#This Row],[Manual Cat Value]],Lookup!G:H,2,0))</f>
        <v>Rent</v>
      </c>
      <c r="G13772" t="s">
        <v>5</v>
      </c>
      <c r="I13772" s="8"/>
      <c r="O13772" t="str">
        <f>LEFT(Table2[[#This Row],[Description]],75)</f>
        <v>Rewards from Baxter Credit Union</v>
      </c>
    </row>
    <row r="13773" spans="1:15" hidden="1">
      <c r="A13773">
        <v>202504</v>
      </c>
      <c r="B13773" s="6">
        <v>45752</v>
      </c>
      <c r="C13773" t="s">
        <v>130</v>
      </c>
      <c r="D13773" t="s">
        <v>6532</v>
      </c>
      <c r="E13773">
        <v>-1212</v>
      </c>
      <c r="F13773" t="str">
        <f>IF(Table2[[#This Row],[Manual Cat Value]]="",Table2[[#This Row],[Suggested Cat Value]],VLOOKUP(Table2[[#This Row],[Manual Cat Value]],Lookup!G:H,2,0))</f>
        <v>Delete</v>
      </c>
      <c r="G13773" t="s">
        <v>9</v>
      </c>
      <c r="I13773" s="8"/>
      <c r="O13773" t="str">
        <f>LEFT(Table2[[#This Row],[Description]],75)</f>
        <v>AUTOPAY PAYMENT - THANK YOU</v>
      </c>
    </row>
    <row r="13774" spans="1:15" hidden="1">
      <c r="A13774">
        <v>202504</v>
      </c>
      <c r="B13774" s="6">
        <v>45763</v>
      </c>
      <c r="C13774" t="s">
        <v>3938</v>
      </c>
      <c r="D13774" t="s">
        <v>673</v>
      </c>
      <c r="E13774">
        <v>-1218.6099999999999</v>
      </c>
      <c r="F13774" t="str">
        <f>IF(Table2[[#This Row],[Manual Cat Value]]="",Table2[[#This Row],[Suggested Cat Value]],VLOOKUP(Table2[[#This Row],[Manual Cat Value]],Lookup!G:H,2,0))</f>
        <v>Delete</v>
      </c>
      <c r="G13774" t="s">
        <v>9</v>
      </c>
      <c r="I13774" s="8"/>
      <c r="O13774" t="str">
        <f>LEFT(Table2[[#This Row],[Description]],75)</f>
        <v>Credit Card Payment Received</v>
      </c>
    </row>
    <row r="13775" spans="1:15" hidden="1">
      <c r="A13775">
        <v>202505</v>
      </c>
      <c r="B13775" s="6">
        <v>45792</v>
      </c>
      <c r="C13775" t="s">
        <v>2519</v>
      </c>
      <c r="D13775" t="s">
        <v>6533</v>
      </c>
      <c r="E13775">
        <v>-3191.24</v>
      </c>
      <c r="F13775" t="str">
        <f>IF(Table2[[#This Row],[Manual Cat Value]]="",Table2[[#This Row],[Suggested Cat Value]],VLOOKUP(Table2[[#This Row],[Manual Cat Value]],Lookup!G:H,2,0))</f>
        <v>Jeff</v>
      </c>
      <c r="G13775" t="s">
        <v>20</v>
      </c>
      <c r="H13775" s="8" t="s">
        <v>63</v>
      </c>
      <c r="I13775" s="8"/>
      <c r="O13775" t="str">
        <f>LEFT(Table2[[#This Row],[Description]],75)</f>
        <v>Deposit ACH EMPYREAN SOLUTIO TYPE: ACH ID: XX3620 CO: EMPYREAN SOLUTIO Entr</v>
      </c>
    </row>
    <row r="13776" spans="1:15" hidden="1">
      <c r="A13776">
        <v>202502</v>
      </c>
      <c r="B13776" s="6">
        <v>45698</v>
      </c>
      <c r="C13776" t="s">
        <v>130</v>
      </c>
      <c r="D13776" t="s">
        <v>5625</v>
      </c>
      <c r="E13776">
        <v>-1269.1099999999999</v>
      </c>
      <c r="F13776" t="str">
        <f>IF(Table2[[#This Row],[Manual Cat Value]]="",Table2[[#This Row],[Suggested Cat Value]],VLOOKUP(Table2[[#This Row],[Manual Cat Value]],Lookup!G:H,2,0))</f>
        <v>Delete</v>
      </c>
      <c r="G13776" t="s">
        <v>9</v>
      </c>
      <c r="I13776" s="8"/>
      <c r="O13776" t="str">
        <f>LEFT(Table2[[#This Row],[Description]],75)</f>
        <v>ONLINE PAYMENT - THANK YOU</v>
      </c>
    </row>
    <row r="13777" spans="1:15" hidden="1">
      <c r="A13777">
        <v>202503</v>
      </c>
      <c r="B13777" s="6">
        <v>45728</v>
      </c>
      <c r="C13777" t="s">
        <v>3938</v>
      </c>
      <c r="D13777" t="s">
        <v>673</v>
      </c>
      <c r="E13777">
        <v>-1434.28</v>
      </c>
      <c r="F13777" t="str">
        <f>IF(Table2[[#This Row],[Manual Cat Value]]="",Table2[[#This Row],[Suggested Cat Value]],VLOOKUP(Table2[[#This Row],[Manual Cat Value]],Lookup!G:H,2,0))</f>
        <v>Delete</v>
      </c>
      <c r="G13777" t="s">
        <v>9</v>
      </c>
      <c r="I13777" s="8"/>
      <c r="O13777" t="str">
        <f>LEFT(Table2[[#This Row],[Description]],75)</f>
        <v>Credit Card Payment Received</v>
      </c>
    </row>
    <row r="13778" spans="1:15" hidden="1">
      <c r="A13778">
        <v>202503</v>
      </c>
      <c r="B13778" s="6">
        <v>45742</v>
      </c>
      <c r="C13778" t="s">
        <v>3938</v>
      </c>
      <c r="D13778" t="s">
        <v>673</v>
      </c>
      <c r="E13778">
        <v>-1750.64</v>
      </c>
      <c r="F13778" t="str">
        <f>IF(Table2[[#This Row],[Manual Cat Value]]="",Table2[[#This Row],[Suggested Cat Value]],VLOOKUP(Table2[[#This Row],[Manual Cat Value]],Lookup!G:H,2,0))</f>
        <v>Delete</v>
      </c>
      <c r="G13778" t="s">
        <v>9</v>
      </c>
      <c r="I13778" s="8"/>
      <c r="O13778" t="str">
        <f>LEFT(Table2[[#This Row],[Description]],75)</f>
        <v>Credit Card Payment Received</v>
      </c>
    </row>
    <row r="13779" spans="1:15" hidden="1">
      <c r="A13779">
        <v>202505</v>
      </c>
      <c r="B13779" s="6">
        <v>45796</v>
      </c>
      <c r="C13779" t="s">
        <v>2519</v>
      </c>
      <c r="D13779" t="s">
        <v>6534</v>
      </c>
      <c r="E13779">
        <v>650</v>
      </c>
      <c r="F13779" t="str">
        <f>IF(Table2[[#This Row],[Manual Cat Value]]="",Table2[[#This Row],[Suggested Cat Value]],VLOOKUP(Table2[[#This Row],[Manual Cat Value]],Lookup!G:H,2,0))</f>
        <v>College Savings</v>
      </c>
      <c r="G13779" t="s">
        <v>20</v>
      </c>
      <c r="H13779" s="8" t="s">
        <v>60</v>
      </c>
      <c r="I13779" s="8"/>
      <c r="O13779" t="str">
        <f>LEFT(Table2[[#This Row],[Description]],75)</f>
        <v>Withdrawal ACH MN DIR ACH TYPE: CONTRIB ID: XX7162 CO: MN DIR ACH NAME: XX2</v>
      </c>
    </row>
    <row r="13780" spans="1:15" hidden="1">
      <c r="A13780">
        <v>202505</v>
      </c>
      <c r="B13780" s="6">
        <v>45799</v>
      </c>
      <c r="C13780" t="s">
        <v>2519</v>
      </c>
      <c r="D13780" t="s">
        <v>5080</v>
      </c>
      <c r="E13780">
        <v>-2000</v>
      </c>
      <c r="F13780" t="str">
        <f>IF(Table2[[#This Row],[Manual Cat Value]]="",Table2[[#This Row],[Suggested Cat Value]],VLOOKUP(Table2[[#This Row],[Manual Cat Value]],Lookup!G:H,2,0))</f>
        <v>Delete</v>
      </c>
      <c r="G13780" t="s">
        <v>9</v>
      </c>
      <c r="I13780" s="8"/>
      <c r="O13780" t="str">
        <f>LEFT(Table2[[#This Row],[Description]],75)</f>
        <v>Discover Bank Deposit</v>
      </c>
    </row>
    <row r="13781" spans="1:15" hidden="1">
      <c r="A13781">
        <v>202501</v>
      </c>
      <c r="B13781" s="6">
        <v>45670</v>
      </c>
      <c r="C13781" t="s">
        <v>2519</v>
      </c>
      <c r="D13781" t="s">
        <v>5080</v>
      </c>
      <c r="E13781">
        <v>-2129.75</v>
      </c>
      <c r="F13781" t="str">
        <f>IF(Table2[[#This Row],[Manual Cat Value]]="",Table2[[#This Row],[Suggested Cat Value]],VLOOKUP(Table2[[#This Row],[Manual Cat Value]],Lookup!G:H,2,0))</f>
        <v>Delete</v>
      </c>
      <c r="G13781" t="s">
        <v>9</v>
      </c>
      <c r="I13781" s="8"/>
      <c r="O13781" t="str">
        <f>LEFT(Table2[[#This Row],[Description]],75)</f>
        <v>Discover Bank Deposit</v>
      </c>
    </row>
    <row r="13782" spans="1:15" hidden="1">
      <c r="A13782">
        <v>202504</v>
      </c>
      <c r="B13782" s="6">
        <v>45771</v>
      </c>
      <c r="C13782" t="s">
        <v>130</v>
      </c>
      <c r="D13782" t="s">
        <v>5625</v>
      </c>
      <c r="E13782">
        <v>-2287.23</v>
      </c>
      <c r="F13782" t="str">
        <f>IF(Table2[[#This Row],[Manual Cat Value]]="",Table2[[#This Row],[Suggested Cat Value]],VLOOKUP(Table2[[#This Row],[Manual Cat Value]],Lookup!G:H,2,0))</f>
        <v>Delete</v>
      </c>
      <c r="G13782" t="s">
        <v>9</v>
      </c>
      <c r="I13782" s="8"/>
      <c r="O13782" t="str">
        <f>LEFT(Table2[[#This Row],[Description]],75)</f>
        <v>ONLINE PAYMENT - THANK YOU</v>
      </c>
    </row>
    <row r="13783" spans="1:15" hidden="1">
      <c r="A13783">
        <v>202505</v>
      </c>
      <c r="B13783" s="6">
        <v>45798</v>
      </c>
      <c r="C13783" t="s">
        <v>2519</v>
      </c>
      <c r="D13783" t="s">
        <v>6535</v>
      </c>
      <c r="E13783">
        <v>69.900000000000006</v>
      </c>
      <c r="F13783" t="str">
        <f>IF(Table2[[#This Row],[Manual Cat Value]]="",Table2[[#This Row],[Suggested Cat Value]],VLOOKUP(Table2[[#This Row],[Manual Cat Value]],Lookup!G:H,2,0))</f>
        <v>Day Care</v>
      </c>
      <c r="G13783" t="s">
        <v>20</v>
      </c>
      <c r="I13783" s="8"/>
      <c r="O13783" t="str">
        <f>LEFT(Table2[[#This Row],[Description]],75)</f>
        <v>Withdrawal ACH CITY OF CHANHASS TYPE: UTIL BILL ID: XX5331 CO: CITY OF CHAN</v>
      </c>
    </row>
    <row r="13784" spans="1:15" hidden="1">
      <c r="A13784">
        <v>202505</v>
      </c>
      <c r="B13784" s="6">
        <v>45806</v>
      </c>
      <c r="C13784" t="s">
        <v>130</v>
      </c>
      <c r="D13784" t="s">
        <v>5625</v>
      </c>
      <c r="E13784">
        <v>-2405.09</v>
      </c>
      <c r="F13784" t="str">
        <f>IF(Table2[[#This Row],[Manual Cat Value]]="",Table2[[#This Row],[Suggested Cat Value]],VLOOKUP(Table2[[#This Row],[Manual Cat Value]],Lookup!G:H,2,0))</f>
        <v>Delete</v>
      </c>
      <c r="G13784" t="s">
        <v>9</v>
      </c>
      <c r="I13784" s="8"/>
      <c r="O13784" t="str">
        <f>LEFT(Table2[[#This Row],[Description]],75)</f>
        <v>ONLINE PAYMENT - THANK YOU</v>
      </c>
    </row>
    <row r="13785" spans="1:15" hidden="1">
      <c r="A13785">
        <v>202501</v>
      </c>
      <c r="B13785" s="6">
        <v>45673</v>
      </c>
      <c r="C13785" t="s">
        <v>2519</v>
      </c>
      <c r="D13785" t="s">
        <v>404</v>
      </c>
      <c r="E13785">
        <v>-3140.33</v>
      </c>
      <c r="F13785" t="str">
        <f>IF(Table2[[#This Row],[Manual Cat Value]]="",Table2[[#This Row],[Suggested Cat Value]],VLOOKUP(Table2[[#This Row],[Manual Cat Value]],Lookup!G:H,2,0))</f>
        <v>Britney</v>
      </c>
      <c r="G13785" t="s">
        <v>66</v>
      </c>
      <c r="I13785" s="8"/>
      <c r="O13785" t="str">
        <f>LEFT(Table2[[#This Row],[Description]],75)</f>
        <v>Cargill Inc Deposit</v>
      </c>
    </row>
    <row r="13786" spans="1:15" hidden="1">
      <c r="A13786">
        <v>202501</v>
      </c>
      <c r="B13786" s="6">
        <v>45659</v>
      </c>
      <c r="C13786" t="s">
        <v>2519</v>
      </c>
      <c r="D13786" t="s">
        <v>404</v>
      </c>
      <c r="E13786">
        <v>-3140.34</v>
      </c>
      <c r="F13786" t="str">
        <f>IF(Table2[[#This Row],[Manual Cat Value]]="",Table2[[#This Row],[Suggested Cat Value]],VLOOKUP(Table2[[#This Row],[Manual Cat Value]],Lookup!G:H,2,0))</f>
        <v>Britney</v>
      </c>
      <c r="G13786" t="s">
        <v>66</v>
      </c>
      <c r="I13786" s="8"/>
      <c r="O13786" t="str">
        <f>LEFT(Table2[[#This Row],[Description]],75)</f>
        <v>Cargill Inc Deposit</v>
      </c>
    </row>
    <row r="13787" spans="1:15" hidden="1">
      <c r="A13787">
        <v>202504</v>
      </c>
      <c r="B13787" s="6">
        <v>45757</v>
      </c>
      <c r="C13787" t="s">
        <v>2519</v>
      </c>
      <c r="D13787" t="s">
        <v>404</v>
      </c>
      <c r="E13787">
        <v>-3143</v>
      </c>
      <c r="F13787" t="str">
        <f>IF(Table2[[#This Row],[Manual Cat Value]]="",Table2[[#This Row],[Suggested Cat Value]],VLOOKUP(Table2[[#This Row],[Manual Cat Value]],Lookup!G:H,2,0))</f>
        <v>Britney</v>
      </c>
      <c r="G13787" t="s">
        <v>66</v>
      </c>
      <c r="I13787" s="8"/>
      <c r="O13787" t="str">
        <f>LEFT(Table2[[#This Row],[Description]],75)</f>
        <v>Cargill Inc Deposit</v>
      </c>
    </row>
    <row r="13788" spans="1:15" hidden="1">
      <c r="A13788">
        <v>202501</v>
      </c>
      <c r="B13788" s="6">
        <v>45687</v>
      </c>
      <c r="C13788" t="s">
        <v>2519</v>
      </c>
      <c r="D13788" t="s">
        <v>404</v>
      </c>
      <c r="E13788">
        <v>-3143.01</v>
      </c>
      <c r="F13788" t="str">
        <f>IF(Table2[[#This Row],[Manual Cat Value]]="",Table2[[#This Row],[Suggested Cat Value]],VLOOKUP(Table2[[#This Row],[Manual Cat Value]],Lookup!G:H,2,0))</f>
        <v>Britney</v>
      </c>
      <c r="G13788" t="s">
        <v>66</v>
      </c>
      <c r="I13788" s="8"/>
      <c r="O13788" t="str">
        <f>LEFT(Table2[[#This Row],[Description]],75)</f>
        <v>Cargill Inc Deposit</v>
      </c>
    </row>
    <row r="13789" spans="1:15" hidden="1">
      <c r="A13789">
        <v>202502</v>
      </c>
      <c r="B13789" s="6">
        <v>45701</v>
      </c>
      <c r="C13789" t="s">
        <v>2519</v>
      </c>
      <c r="D13789" t="s">
        <v>404</v>
      </c>
      <c r="E13789">
        <v>-3143.01</v>
      </c>
      <c r="F13789" t="str">
        <f>IF(Table2[[#This Row],[Manual Cat Value]]="",Table2[[#This Row],[Suggested Cat Value]],VLOOKUP(Table2[[#This Row],[Manual Cat Value]],Lookup!G:H,2,0))</f>
        <v>Britney</v>
      </c>
      <c r="G13789" t="s">
        <v>66</v>
      </c>
      <c r="I13789" s="8"/>
      <c r="O13789" t="str">
        <f>LEFT(Table2[[#This Row],[Description]],75)</f>
        <v>Cargill Inc Deposit</v>
      </c>
    </row>
    <row r="13790" spans="1:15" hidden="1">
      <c r="A13790">
        <v>202503</v>
      </c>
      <c r="B13790" s="6">
        <v>45729</v>
      </c>
      <c r="C13790" t="s">
        <v>2519</v>
      </c>
      <c r="D13790" t="s">
        <v>404</v>
      </c>
      <c r="E13790">
        <v>-3143.01</v>
      </c>
      <c r="F13790" t="str">
        <f>IF(Table2[[#This Row],[Manual Cat Value]]="",Table2[[#This Row],[Suggested Cat Value]],VLOOKUP(Table2[[#This Row],[Manual Cat Value]],Lookup!G:H,2,0))</f>
        <v>Britney</v>
      </c>
      <c r="G13790" t="s">
        <v>66</v>
      </c>
      <c r="I13790" s="8"/>
      <c r="O13790" t="str">
        <f>LEFT(Table2[[#This Row],[Description]],75)</f>
        <v>Cargill Inc Deposit</v>
      </c>
    </row>
    <row r="13791" spans="1:15" hidden="1">
      <c r="A13791">
        <v>202505</v>
      </c>
      <c r="B13791" s="6">
        <v>45785</v>
      </c>
      <c r="C13791" t="s">
        <v>2519</v>
      </c>
      <c r="D13791" t="s">
        <v>404</v>
      </c>
      <c r="E13791">
        <v>-3143.01</v>
      </c>
      <c r="F13791" t="str">
        <f>IF(Table2[[#This Row],[Manual Cat Value]]="",Table2[[#This Row],[Suggested Cat Value]],VLOOKUP(Table2[[#This Row],[Manual Cat Value]],Lookup!G:H,2,0))</f>
        <v>Britney</v>
      </c>
      <c r="G13791" t="s">
        <v>66</v>
      </c>
      <c r="I13791" s="8"/>
      <c r="O13791" t="str">
        <f>LEFT(Table2[[#This Row],[Description]],75)</f>
        <v>Cargill Inc Deposit</v>
      </c>
    </row>
    <row r="13792" spans="1:15" hidden="1">
      <c r="A13792">
        <v>202503</v>
      </c>
      <c r="B13792" s="6">
        <v>45743</v>
      </c>
      <c r="C13792" t="s">
        <v>2519</v>
      </c>
      <c r="D13792" t="s">
        <v>404</v>
      </c>
      <c r="E13792">
        <v>-3143.02</v>
      </c>
      <c r="F13792" t="str">
        <f>IF(Table2[[#This Row],[Manual Cat Value]]="",Table2[[#This Row],[Suggested Cat Value]],VLOOKUP(Table2[[#This Row],[Manual Cat Value]],Lookup!G:H,2,0))</f>
        <v>Britney</v>
      </c>
      <c r="G13792" t="s">
        <v>66</v>
      </c>
      <c r="I13792" s="8"/>
      <c r="O13792" t="str">
        <f>LEFT(Table2[[#This Row],[Description]],75)</f>
        <v>Cargill Inc Deposit</v>
      </c>
    </row>
    <row r="13793" spans="1:15" hidden="1">
      <c r="A13793">
        <v>202504</v>
      </c>
      <c r="B13793" s="6">
        <v>45771</v>
      </c>
      <c r="C13793" t="s">
        <v>2519</v>
      </c>
      <c r="D13793" t="s">
        <v>404</v>
      </c>
      <c r="E13793">
        <v>-3143.02</v>
      </c>
      <c r="F13793" t="str">
        <f>IF(Table2[[#This Row],[Manual Cat Value]]="",Table2[[#This Row],[Suggested Cat Value]],VLOOKUP(Table2[[#This Row],[Manual Cat Value]],Lookup!G:H,2,0))</f>
        <v>Britney</v>
      </c>
      <c r="G13793" t="s">
        <v>66</v>
      </c>
      <c r="I13793" s="8"/>
      <c r="O13793" t="str">
        <f>LEFT(Table2[[#This Row],[Description]],75)</f>
        <v>Cargill Inc Deposit</v>
      </c>
    </row>
    <row r="13794" spans="1:15" hidden="1">
      <c r="A13794">
        <v>202505</v>
      </c>
      <c r="B13794" s="6">
        <v>45799</v>
      </c>
      <c r="C13794" t="s">
        <v>2519</v>
      </c>
      <c r="D13794" t="s">
        <v>404</v>
      </c>
      <c r="E13794">
        <v>-3143.02</v>
      </c>
      <c r="F13794" t="str">
        <f>IF(Table2[[#This Row],[Manual Cat Value]]="",Table2[[#This Row],[Suggested Cat Value]],VLOOKUP(Table2[[#This Row],[Manual Cat Value]],Lookup!G:H,2,0))</f>
        <v>Britney</v>
      </c>
      <c r="G13794" t="s">
        <v>66</v>
      </c>
      <c r="I13794" s="8"/>
      <c r="O13794" t="str">
        <f>LEFT(Table2[[#This Row],[Description]],75)</f>
        <v>Cargill Inc Deposit</v>
      </c>
    </row>
    <row r="13795" spans="1:15" hidden="1">
      <c r="A13795">
        <v>202502</v>
      </c>
      <c r="B13795" s="6">
        <v>45715</v>
      </c>
      <c r="C13795" t="s">
        <v>2519</v>
      </c>
      <c r="D13795" t="s">
        <v>404</v>
      </c>
      <c r="E13795">
        <v>-3145.7</v>
      </c>
      <c r="F13795" t="str">
        <f>IF(Table2[[#This Row],[Manual Cat Value]]="",Table2[[#This Row],[Suggested Cat Value]],VLOOKUP(Table2[[#This Row],[Manual Cat Value]],Lookup!G:H,2,0))</f>
        <v>Britney</v>
      </c>
      <c r="G13795" t="s">
        <v>66</v>
      </c>
      <c r="I13795" s="8"/>
      <c r="O13795" t="str">
        <f>LEFT(Table2[[#This Row],[Description]],75)</f>
        <v>Cargill Inc Deposit</v>
      </c>
    </row>
    <row r="13796" spans="1:15" hidden="1">
      <c r="A13796">
        <v>202505</v>
      </c>
      <c r="B13796" s="6">
        <v>45807</v>
      </c>
      <c r="C13796" t="s">
        <v>2519</v>
      </c>
      <c r="D13796" t="s">
        <v>6536</v>
      </c>
      <c r="E13796">
        <v>125</v>
      </c>
      <c r="F13796" t="str">
        <f>IF(Table2[[#This Row],[Manual Cat Value]]="",Table2[[#This Row],[Suggested Cat Value]],VLOOKUP(Table2[[#This Row],[Manual Cat Value]],Lookup!G:H,2,0))</f>
        <v>Day Care</v>
      </c>
      <c r="G13796" t="s">
        <v>20</v>
      </c>
      <c r="I13796" s="8"/>
      <c r="O13796" t="str">
        <f>LEFT(Table2[[#This Row],[Description]],75)</f>
        <v>Withdrawal ACH VENMO TYPE: PAYMENT ID: 326XXXXXXX CO: VENMO NAME: BRITNEY T</v>
      </c>
    </row>
    <row r="13797" spans="1:15" hidden="1">
      <c r="A13797">
        <v>202501</v>
      </c>
      <c r="B13797" s="6">
        <v>45671</v>
      </c>
      <c r="C13797" t="s">
        <v>2519</v>
      </c>
      <c r="D13797" t="s">
        <v>4343</v>
      </c>
      <c r="E13797">
        <v>-3241.86</v>
      </c>
      <c r="F13797" t="str">
        <f>IF(Table2[[#This Row],[Manual Cat Value]]="",Table2[[#This Row],[Suggested Cat Value]],VLOOKUP(Table2[[#This Row],[Manual Cat Value]],Lookup!G:H,2,0))</f>
        <v>Jeff</v>
      </c>
      <c r="G13797" t="s">
        <v>64</v>
      </c>
      <c r="I13797" s="8"/>
      <c r="O13797" t="str">
        <f>LEFT(Table2[[#This Row],[Description]],75)</f>
        <v>Salary/Regular Income from TriNet</v>
      </c>
    </row>
    <row r="13798" spans="1:15" hidden="1">
      <c r="A13798">
        <v>202502</v>
      </c>
      <c r="B13798" s="6">
        <v>45701</v>
      </c>
      <c r="C13798" t="s">
        <v>2519</v>
      </c>
      <c r="D13798" t="s">
        <v>4343</v>
      </c>
      <c r="E13798">
        <v>-3241.87</v>
      </c>
      <c r="F13798" t="str">
        <f>IF(Table2[[#This Row],[Manual Cat Value]]="",Table2[[#This Row],[Suggested Cat Value]],VLOOKUP(Table2[[#This Row],[Manual Cat Value]],Lookup!G:H,2,0))</f>
        <v>Jeff</v>
      </c>
      <c r="G13798" t="s">
        <v>64</v>
      </c>
      <c r="I13798" s="8"/>
      <c r="O13798" t="str">
        <f>LEFT(Table2[[#This Row],[Description]],75)</f>
        <v>Salary/Regular Income from TriNet</v>
      </c>
    </row>
    <row r="13799" spans="1:15" hidden="1">
      <c r="A13799">
        <v>202502</v>
      </c>
      <c r="B13799" s="6">
        <v>45715</v>
      </c>
      <c r="C13799" t="s">
        <v>2519</v>
      </c>
      <c r="D13799" t="s">
        <v>4343</v>
      </c>
      <c r="E13799">
        <v>-3241.87</v>
      </c>
      <c r="F13799" t="str">
        <f>IF(Table2[[#This Row],[Manual Cat Value]]="",Table2[[#This Row],[Suggested Cat Value]],VLOOKUP(Table2[[#This Row],[Manual Cat Value]],Lookup!G:H,2,0))</f>
        <v>Jeff</v>
      </c>
      <c r="G13799" t="s">
        <v>64</v>
      </c>
      <c r="I13799" s="8"/>
      <c r="O13799" t="str">
        <f>LEFT(Table2[[#This Row],[Description]],75)</f>
        <v>Salary/Regular Income from TriNet</v>
      </c>
    </row>
    <row r="13800" spans="1:15" hidden="1">
      <c r="A13800">
        <v>202501</v>
      </c>
      <c r="B13800" s="6">
        <v>45687</v>
      </c>
      <c r="C13800" t="s">
        <v>2519</v>
      </c>
      <c r="D13800" t="s">
        <v>4343</v>
      </c>
      <c r="E13800">
        <v>-3241.88</v>
      </c>
      <c r="F13800" t="str">
        <f>IF(Table2[[#This Row],[Manual Cat Value]]="",Table2[[#This Row],[Suggested Cat Value]],VLOOKUP(Table2[[#This Row],[Manual Cat Value]],Lookup!G:H,2,0))</f>
        <v>Jeff</v>
      </c>
      <c r="G13800" t="s">
        <v>64</v>
      </c>
      <c r="I13800" s="8"/>
      <c r="O13800" t="str">
        <f>LEFT(Table2[[#This Row],[Description]],75)</f>
        <v>Salary/Regular Income from TriNet</v>
      </c>
    </row>
    <row r="13801" spans="1:15" hidden="1">
      <c r="A13801">
        <v>202505</v>
      </c>
      <c r="B13801" s="6">
        <v>45791</v>
      </c>
      <c r="C13801" t="s">
        <v>2519</v>
      </c>
      <c r="D13801" t="s">
        <v>4343</v>
      </c>
      <c r="E13801">
        <v>-3398.11</v>
      </c>
      <c r="F13801" t="str">
        <f>IF(Table2[[#This Row],[Manual Cat Value]]="",Table2[[#This Row],[Suggested Cat Value]],VLOOKUP(Table2[[#This Row],[Manual Cat Value]],Lookup!G:H,2,0))</f>
        <v>Jeff</v>
      </c>
      <c r="G13801" t="s">
        <v>64</v>
      </c>
      <c r="I13801" s="8"/>
      <c r="O13801" t="str">
        <f>LEFT(Table2[[#This Row],[Description]],75)</f>
        <v>Salary/Regular Income from TriNet</v>
      </c>
    </row>
    <row r="13802" spans="1:15" hidden="1">
      <c r="A13802">
        <v>202504</v>
      </c>
      <c r="B13802" s="6">
        <v>45760</v>
      </c>
      <c r="C13802" t="s">
        <v>2519</v>
      </c>
      <c r="D13802" t="s">
        <v>4343</v>
      </c>
      <c r="E13802">
        <v>-3398.12</v>
      </c>
      <c r="F13802" t="str">
        <f>IF(Table2[[#This Row],[Manual Cat Value]]="",Table2[[#This Row],[Suggested Cat Value]],VLOOKUP(Table2[[#This Row],[Manual Cat Value]],Lookup!G:H,2,0))</f>
        <v>Jeff</v>
      </c>
      <c r="G13802" t="s">
        <v>64</v>
      </c>
      <c r="I13802" s="8"/>
      <c r="O13802" t="str">
        <f>LEFT(Table2[[#This Row],[Description]],75)</f>
        <v>Salary/Regular Income from TriNet</v>
      </c>
    </row>
    <row r="13803" spans="1:15" hidden="1">
      <c r="A13803">
        <v>202503</v>
      </c>
      <c r="B13803" s="6">
        <v>45746</v>
      </c>
      <c r="C13803" t="s">
        <v>2519</v>
      </c>
      <c r="D13803" t="s">
        <v>4343</v>
      </c>
      <c r="E13803">
        <v>-3398.13</v>
      </c>
      <c r="F13803" t="str">
        <f>IF(Table2[[#This Row],[Manual Cat Value]]="",Table2[[#This Row],[Suggested Cat Value]],VLOOKUP(Table2[[#This Row],[Manual Cat Value]],Lookup!G:H,2,0))</f>
        <v>Jeff</v>
      </c>
      <c r="G13803" t="s">
        <v>64</v>
      </c>
      <c r="I13803" s="8"/>
      <c r="O13803" t="str">
        <f>LEFT(Table2[[#This Row],[Description]],75)</f>
        <v>Salary/Regular Income from TriNet</v>
      </c>
    </row>
    <row r="13804" spans="1:15" hidden="1">
      <c r="A13804">
        <v>202504</v>
      </c>
      <c r="B13804" s="6">
        <v>45776</v>
      </c>
      <c r="C13804" t="s">
        <v>2519</v>
      </c>
      <c r="D13804" t="s">
        <v>4343</v>
      </c>
      <c r="E13804">
        <v>-3398.14</v>
      </c>
      <c r="F13804" t="str">
        <f>IF(Table2[[#This Row],[Manual Cat Value]]="",Table2[[#This Row],[Suggested Cat Value]],VLOOKUP(Table2[[#This Row],[Manual Cat Value]],Lookup!G:H,2,0))</f>
        <v>Jeff</v>
      </c>
      <c r="G13804" t="s">
        <v>64</v>
      </c>
      <c r="I13804" s="8"/>
      <c r="O13804" t="str">
        <f>LEFT(Table2[[#This Row],[Description]],75)</f>
        <v>Salary/Regular Income from TriNet</v>
      </c>
    </row>
    <row r="13805" spans="1:15" hidden="1">
      <c r="A13805">
        <v>202505</v>
      </c>
      <c r="B13805" s="6">
        <v>45806</v>
      </c>
      <c r="C13805" t="s">
        <v>2519</v>
      </c>
      <c r="D13805" t="s">
        <v>4343</v>
      </c>
      <c r="E13805">
        <v>-3398.14</v>
      </c>
      <c r="F13805" t="str">
        <f>IF(Table2[[#This Row],[Manual Cat Value]]="",Table2[[#This Row],[Suggested Cat Value]],VLOOKUP(Table2[[#This Row],[Manual Cat Value]],Lookup!G:H,2,0))</f>
        <v>Jeff</v>
      </c>
      <c r="G13805" t="s">
        <v>64</v>
      </c>
      <c r="I13805" s="8"/>
      <c r="O13805" t="str">
        <f>LEFT(Table2[[#This Row],[Description]],75)</f>
        <v>Salary/Regular Income from TriNet</v>
      </c>
    </row>
    <row r="13806" spans="1:15" hidden="1">
      <c r="A13806">
        <v>202503</v>
      </c>
      <c r="B13806" s="6">
        <v>45729</v>
      </c>
      <c r="C13806" t="s">
        <v>130</v>
      </c>
      <c r="D13806" t="s">
        <v>5625</v>
      </c>
      <c r="E13806">
        <v>-3444.87</v>
      </c>
      <c r="F13806" t="str">
        <f>IF(Table2[[#This Row],[Manual Cat Value]]="",Table2[[#This Row],[Suggested Cat Value]],VLOOKUP(Table2[[#This Row],[Manual Cat Value]],Lookup!G:H,2,0))</f>
        <v>Delete</v>
      </c>
      <c r="G13806" t="s">
        <v>9</v>
      </c>
      <c r="I13806" s="8"/>
      <c r="O13806" t="str">
        <f>LEFT(Table2[[#This Row],[Description]],75)</f>
        <v>ONLINE PAYMENT - THANK YOU</v>
      </c>
    </row>
    <row r="13807" spans="1:15" hidden="1">
      <c r="A13807">
        <v>202501</v>
      </c>
      <c r="B13807" s="6">
        <v>45688</v>
      </c>
      <c r="C13807" t="s">
        <v>130</v>
      </c>
      <c r="D13807" t="s">
        <v>5625</v>
      </c>
      <c r="E13807">
        <v>-3606.01</v>
      </c>
      <c r="F13807" t="str">
        <f>IF(Table2[[#This Row],[Manual Cat Value]]="",Table2[[#This Row],[Suggested Cat Value]],VLOOKUP(Table2[[#This Row],[Manual Cat Value]],Lookup!G:H,2,0))</f>
        <v>Delete</v>
      </c>
      <c r="G13807" t="s">
        <v>9</v>
      </c>
      <c r="I13807" s="8"/>
      <c r="O13807" t="str">
        <f>LEFT(Table2[[#This Row],[Description]],75)</f>
        <v>ONLINE PAYMENT - THANK YOU</v>
      </c>
    </row>
    <row r="13808" spans="1:15" hidden="1">
      <c r="A13808">
        <v>202501</v>
      </c>
      <c r="B13808" s="6">
        <v>45674</v>
      </c>
      <c r="C13808" t="s">
        <v>130</v>
      </c>
      <c r="D13808" t="s">
        <v>5625</v>
      </c>
      <c r="E13808">
        <v>-3854.15</v>
      </c>
      <c r="F13808" t="str">
        <f>IF(Table2[[#This Row],[Manual Cat Value]]="",Table2[[#This Row],[Suggested Cat Value]],VLOOKUP(Table2[[#This Row],[Manual Cat Value]],Lookup!G:H,2,0))</f>
        <v>Delete</v>
      </c>
      <c r="G13808" t="s">
        <v>9</v>
      </c>
      <c r="I13808" s="8"/>
      <c r="O13808" t="str">
        <f>LEFT(Table2[[#This Row],[Description]],75)</f>
        <v>ONLINE PAYMENT - THANK YOU</v>
      </c>
    </row>
    <row r="13809" spans="1:15" hidden="1">
      <c r="A13809">
        <v>202503</v>
      </c>
      <c r="B13809" s="6">
        <v>45727</v>
      </c>
      <c r="C13809" t="s">
        <v>2519</v>
      </c>
      <c r="D13809" t="s">
        <v>6537</v>
      </c>
      <c r="E13809">
        <v>-4339</v>
      </c>
      <c r="F13809" t="str">
        <f>IF(Table2[[#This Row],[Manual Cat Value]]="",Table2[[#This Row],[Suggested Cat Value]],VLOOKUP(Table2[[#This Row],[Manual Cat Value]],Lookup!G:H,2,0))</f>
        <v>Delete</v>
      </c>
      <c r="G13809" t="s">
        <v>9</v>
      </c>
      <c r="I13809" s="8"/>
      <c r="O13809" t="str">
        <f>LEFT(Table2[[#This Row],[Description]],75)</f>
        <v>Charles Schwab</v>
      </c>
    </row>
    <row r="13810" spans="1:15" hidden="1">
      <c r="A13810">
        <v>202505</v>
      </c>
      <c r="B13810" s="6">
        <v>45790</v>
      </c>
      <c r="C13810" t="s">
        <v>2519</v>
      </c>
      <c r="D13810" t="s">
        <v>5080</v>
      </c>
      <c r="E13810">
        <v>-4953</v>
      </c>
      <c r="F13810" t="str">
        <f>IF(Table2[[#This Row],[Manual Cat Value]]="",Table2[[#This Row],[Suggested Cat Value]],VLOOKUP(Table2[[#This Row],[Manual Cat Value]],Lookup!G:H,2,0))</f>
        <v>Delete</v>
      </c>
      <c r="G13810" t="s">
        <v>9</v>
      </c>
      <c r="I13810" s="8"/>
      <c r="O13810" t="str">
        <f>LEFT(Table2[[#This Row],[Description]],75)</f>
        <v>Discover Bank Deposit</v>
      </c>
    </row>
    <row r="13811" spans="1:15" hidden="1">
      <c r="A13811">
        <v>202501</v>
      </c>
      <c r="B13811" s="6">
        <v>45663</v>
      </c>
      <c r="C13811" t="s">
        <v>130</v>
      </c>
      <c r="D13811" t="s">
        <v>5625</v>
      </c>
      <c r="E13811">
        <v>-5071.66</v>
      </c>
      <c r="F13811" t="str">
        <f>IF(Table2[[#This Row],[Manual Cat Value]]="",Table2[[#This Row],[Suggested Cat Value]],VLOOKUP(Table2[[#This Row],[Manual Cat Value]],Lookup!G:H,2,0))</f>
        <v>Delete</v>
      </c>
      <c r="G13811" t="s">
        <v>9</v>
      </c>
      <c r="I13811" s="8"/>
      <c r="O13811" t="str">
        <f>LEFT(Table2[[#This Row],[Description]],75)</f>
        <v>ONLINE PAYMENT - THANK YOU</v>
      </c>
    </row>
    <row r="13812" spans="1:15" hidden="1">
      <c r="A13812">
        <v>202504</v>
      </c>
      <c r="B13812" s="6">
        <v>45760</v>
      </c>
      <c r="C13812" t="s">
        <v>130</v>
      </c>
      <c r="D13812" t="s">
        <v>5625</v>
      </c>
      <c r="E13812">
        <v>-6219.22</v>
      </c>
      <c r="F13812" t="str">
        <f>IF(Table2[[#This Row],[Manual Cat Value]]="",Table2[[#This Row],[Suggested Cat Value]],VLOOKUP(Table2[[#This Row],[Manual Cat Value]],Lookup!G:H,2,0))</f>
        <v>Delete</v>
      </c>
      <c r="G13812" t="s">
        <v>9</v>
      </c>
      <c r="I13812" s="8"/>
      <c r="O13812" t="str">
        <f>LEFT(Table2[[#This Row],[Description]],75)</f>
        <v>ONLINE PAYMENT - THANK YOU</v>
      </c>
    </row>
    <row r="13813" spans="1:15" hidden="1">
      <c r="A13813">
        <v>202502</v>
      </c>
      <c r="B13813" s="6">
        <v>45715</v>
      </c>
      <c r="C13813" t="s">
        <v>130</v>
      </c>
      <c r="D13813" t="s">
        <v>5625</v>
      </c>
      <c r="E13813">
        <v>-7257.44</v>
      </c>
      <c r="F13813" t="str">
        <f>IF(Table2[[#This Row],[Manual Cat Value]]="",Table2[[#This Row],[Suggested Cat Value]],VLOOKUP(Table2[[#This Row],[Manual Cat Value]],Lookup!G:H,2,0))</f>
        <v>Delete</v>
      </c>
      <c r="G13813" t="s">
        <v>9</v>
      </c>
      <c r="I13813" s="8"/>
      <c r="O13813" t="str">
        <f>LEFT(Table2[[#This Row],[Description]],75)</f>
        <v>ONLINE PAYMENT - THANK YOU</v>
      </c>
    </row>
    <row r="13814" spans="1:15" hidden="1">
      <c r="A13814">
        <v>202503</v>
      </c>
      <c r="B13814" s="6">
        <v>45746</v>
      </c>
      <c r="C13814" t="s">
        <v>2519</v>
      </c>
      <c r="D13814" t="s">
        <v>6538</v>
      </c>
      <c r="E13814">
        <v>-8086</v>
      </c>
      <c r="F13814" t="str">
        <f>IF(Table2[[#This Row],[Manual Cat Value]]="",Table2[[#This Row],[Suggested Cat Value]],VLOOKUP(Table2[[#This Row],[Manual Cat Value]],Lookup!G:H,2,0))</f>
        <v>Jeff</v>
      </c>
      <c r="G13814" t="s">
        <v>64</v>
      </c>
      <c r="I13814" s="8"/>
      <c r="O13814" t="str">
        <f>LEFT(Table2[[#This Row],[Description]],75)</f>
        <v>Salary/Regular Income from IRS</v>
      </c>
    </row>
    <row r="13815" spans="1:15" hidden="1">
      <c r="A13815">
        <v>202505</v>
      </c>
      <c r="B13815" s="6">
        <v>45798</v>
      </c>
      <c r="C13815" t="s">
        <v>130</v>
      </c>
      <c r="D13815" t="s">
        <v>5625</v>
      </c>
      <c r="E13815">
        <v>-9001.94</v>
      </c>
      <c r="F13815" t="str">
        <f>IF(Table2[[#This Row],[Manual Cat Value]]="",Table2[[#This Row],[Suggested Cat Value]],VLOOKUP(Table2[[#This Row],[Manual Cat Value]],Lookup!G:H,2,0))</f>
        <v>Delete</v>
      </c>
      <c r="G13815" t="s">
        <v>9</v>
      </c>
      <c r="I13815" s="8"/>
      <c r="O13815" t="str">
        <f>LEFT(Table2[[#This Row],[Description]],75)</f>
        <v>ONLINE PAYMENT - THANK YOU</v>
      </c>
    </row>
    <row r="13816" spans="1:15" hidden="1">
      <c r="A13816">
        <v>202502</v>
      </c>
      <c r="B13816" s="6">
        <v>45699</v>
      </c>
      <c r="C13816" t="s">
        <v>2519</v>
      </c>
      <c r="D13816" t="s">
        <v>5080</v>
      </c>
      <c r="E13816">
        <v>-20000</v>
      </c>
      <c r="F13816" t="str">
        <f>IF(Table2[[#This Row],[Manual Cat Value]]="",Table2[[#This Row],[Suggested Cat Value]],VLOOKUP(Table2[[#This Row],[Manual Cat Value]],Lookup!G:H,2,0))</f>
        <v>Delete</v>
      </c>
      <c r="G13816" t="s">
        <v>9</v>
      </c>
      <c r="I13816" s="8"/>
      <c r="O13816" t="str">
        <f>LEFT(Table2[[#This Row],[Description]],75)</f>
        <v>Discover Bank Deposit</v>
      </c>
    </row>
    <row r="13817" spans="1:15" hidden="1">
      <c r="A13817">
        <v>202503</v>
      </c>
      <c r="B13817" s="6">
        <v>45729</v>
      </c>
      <c r="C13817" t="s">
        <v>2519</v>
      </c>
      <c r="D13817" t="s">
        <v>4343</v>
      </c>
      <c r="E13817">
        <v>-21426.38</v>
      </c>
      <c r="F13817" t="str">
        <f>IF(Table2[[#This Row],[Manual Cat Value]]="",Table2[[#This Row],[Suggested Cat Value]],VLOOKUP(Table2[[#This Row],[Manual Cat Value]],Lookup!G:H,2,0))</f>
        <v>Jeff</v>
      </c>
      <c r="G13817" t="s">
        <v>64</v>
      </c>
      <c r="I13817" s="8"/>
      <c r="O13817" t="str">
        <f>LEFT(Table2[[#This Row],[Description]],75)</f>
        <v>Salary/Regular Income from TriNet</v>
      </c>
    </row>
    <row r="13818" spans="1:15" hidden="1">
      <c r="A13818">
        <v>202501</v>
      </c>
      <c r="B13818" s="6">
        <v>45660</v>
      </c>
      <c r="C13818" t="s">
        <v>2519</v>
      </c>
      <c r="D13818" t="s">
        <v>5080</v>
      </c>
      <c r="E13818">
        <v>-28116</v>
      </c>
      <c r="F13818" t="str">
        <f>IF(Table2[[#This Row],[Manual Cat Value]]="",Table2[[#This Row],[Suggested Cat Value]],VLOOKUP(Table2[[#This Row],[Manual Cat Value]],Lookup!G:H,2,0))</f>
        <v>Delete</v>
      </c>
      <c r="G13818" t="s">
        <v>9</v>
      </c>
      <c r="I13818" s="8"/>
      <c r="O13818" t="str">
        <f>LEFT(Table2[[#This Row],[Description]],75)</f>
        <v>Discover Bank Deposit</v>
      </c>
    </row>
    <row r="13819" spans="1:15" hidden="1">
      <c r="A13819">
        <v>202510</v>
      </c>
      <c r="B13819" s="6">
        <v>45938</v>
      </c>
      <c r="C13819" t="s">
        <v>2519</v>
      </c>
      <c r="D13819" t="s">
        <v>6539</v>
      </c>
      <c r="E13819">
        <v>43385.5</v>
      </c>
      <c r="F13819" t="str">
        <f>IF(Table2[[#This Row],[Manual Cat Value]]="",Table2[[#This Row],[Suggested Cat Value]],VLOOKUP(Table2[[#This Row],[Manual Cat Value]],Lookup!G:H,2,0))</f>
        <v>House</v>
      </c>
      <c r="G13819" t="s">
        <v>20</v>
      </c>
      <c r="H13819" s="8" t="s">
        <v>49</v>
      </c>
      <c r="I13819" s="8"/>
      <c r="O13819" t="str">
        <f>LEFT(Table2[[#This Row],[Description]],75)</f>
        <v>Withdrawal by Wire 1dddxx73-4e7e-4cd8-aXX8887d0</v>
      </c>
    </row>
    <row r="13820" spans="1:15" hidden="1">
      <c r="A13820">
        <v>202509</v>
      </c>
      <c r="B13820" s="6">
        <v>45908</v>
      </c>
      <c r="C13820" t="s">
        <v>2519</v>
      </c>
      <c r="D13820" t="s">
        <v>6540</v>
      </c>
      <c r="E13820">
        <v>43385.5</v>
      </c>
      <c r="F13820" t="str">
        <f>IF(Table2[[#This Row],[Manual Cat Value]]="",Table2[[#This Row],[Suggested Cat Value]],VLOOKUP(Table2[[#This Row],[Manual Cat Value]],Lookup!G:H,2,0))</f>
        <v>House</v>
      </c>
      <c r="G13820" t="s">
        <v>20</v>
      </c>
      <c r="H13820" s="8" t="s">
        <v>49</v>
      </c>
      <c r="I13820" s="8"/>
      <c r="O13820" t="str">
        <f>LEFT(Table2[[#This Row],[Description]],75)</f>
        <v>Withdrawal by Wire f4cdaa03-6ax3-42ac-94b4-ffx0999b8343</v>
      </c>
    </row>
    <row r="13821" spans="1:15" hidden="1">
      <c r="A13821">
        <v>202507</v>
      </c>
      <c r="B13821" s="6">
        <v>45868</v>
      </c>
      <c r="C13821" t="s">
        <v>2519</v>
      </c>
      <c r="D13821" t="s">
        <v>6541</v>
      </c>
      <c r="E13821">
        <v>43385.5</v>
      </c>
      <c r="F13821" t="str">
        <f>IF(Table2[[#This Row],[Manual Cat Value]]="",Table2[[#This Row],[Suggested Cat Value]],VLOOKUP(Table2[[#This Row],[Manual Cat Value]],Lookup!G:H,2,0))</f>
        <v>House</v>
      </c>
      <c r="G13821" t="s">
        <v>50</v>
      </c>
      <c r="H13821" s="8" t="s">
        <v>49</v>
      </c>
      <c r="I13821" s="8"/>
      <c r="O13821" t="str">
        <f>LEFT(Table2[[#This Row],[Description]],75)</f>
        <v>Draft 2284 Tracer XXXXX0855</v>
      </c>
    </row>
    <row r="13822" spans="1:15" hidden="1">
      <c r="A13822">
        <v>202506</v>
      </c>
      <c r="B13822" s="6">
        <v>45838</v>
      </c>
      <c r="C13822" t="s">
        <v>2519</v>
      </c>
      <c r="D13822" t="s">
        <v>6542</v>
      </c>
      <c r="E13822">
        <v>43385.5</v>
      </c>
      <c r="F13822" t="str">
        <f>IF(Table2[[#This Row],[Manual Cat Value]]="",Table2[[#This Row],[Suggested Cat Value]],VLOOKUP(Table2[[#This Row],[Manual Cat Value]],Lookup!G:H,2,0))</f>
        <v>House</v>
      </c>
      <c r="G13822" t="s">
        <v>50</v>
      </c>
      <c r="H13822" s="8" t="s">
        <v>49</v>
      </c>
      <c r="I13822" s="8"/>
      <c r="O13822" t="str">
        <f>LEFT(Table2[[#This Row],[Description]],75)</f>
        <v>Draft 2312 Tracer XXXXX1412</v>
      </c>
    </row>
    <row r="13823" spans="1:15" hidden="1">
      <c r="A13823">
        <v>202510</v>
      </c>
      <c r="B13823" s="6">
        <v>45954</v>
      </c>
      <c r="C13823" t="s">
        <v>2519</v>
      </c>
      <c r="D13823" t="s">
        <v>1458</v>
      </c>
      <c r="E13823">
        <v>8080.9</v>
      </c>
      <c r="F13823" t="str">
        <f>IF(Table2[[#This Row],[Manual Cat Value]]="",Table2[[#This Row],[Suggested Cat Value]],VLOOKUP(Table2[[#This Row],[Manual Cat Value]],Lookup!G:H,2,0))</f>
        <v>Delete</v>
      </c>
      <c r="G13823" t="s">
        <v>9</v>
      </c>
      <c r="I13823" s="8"/>
      <c r="O13823" t="str">
        <f>LEFT(Table2[[#This Row],[Description]],75)</f>
        <v>Payment to American Express</v>
      </c>
    </row>
    <row r="13824" spans="1:15" hidden="1">
      <c r="A13824">
        <v>202511</v>
      </c>
      <c r="B13824" s="6">
        <v>45965</v>
      </c>
      <c r="C13824" t="s">
        <v>2519</v>
      </c>
      <c r="D13824" t="s">
        <v>1458</v>
      </c>
      <c r="E13824">
        <v>7216.93</v>
      </c>
      <c r="F13824" t="str">
        <f>IF(Table2[[#This Row],[Manual Cat Value]]="",Table2[[#This Row],[Suggested Cat Value]],VLOOKUP(Table2[[#This Row],[Manual Cat Value]],Lookup!G:H,2,0))</f>
        <v>Utilities</v>
      </c>
      <c r="G13824" t="s">
        <v>7</v>
      </c>
      <c r="I13824" s="8"/>
      <c r="O13824" t="str">
        <f>LEFT(Table2[[#This Row],[Description]],75)</f>
        <v>Payment to American Express</v>
      </c>
    </row>
    <row r="13825" spans="1:15" hidden="1">
      <c r="A13825">
        <v>202508</v>
      </c>
      <c r="B13825" s="6">
        <v>45887</v>
      </c>
      <c r="C13825" t="s">
        <v>2519</v>
      </c>
      <c r="D13825" t="s">
        <v>1458</v>
      </c>
      <c r="E13825">
        <v>6493.26</v>
      </c>
      <c r="F13825" t="str">
        <f>IF(Table2[[#This Row],[Manual Cat Value]]="",Table2[[#This Row],[Suggested Cat Value]],VLOOKUP(Table2[[#This Row],[Manual Cat Value]],Lookup!G:H,2,0))</f>
        <v>Delete</v>
      </c>
      <c r="G13825" t="s">
        <v>7</v>
      </c>
      <c r="H13825" s="8" t="s">
        <v>9</v>
      </c>
      <c r="I13825" s="8"/>
      <c r="O13825" t="str">
        <f>LEFT(Table2[[#This Row],[Description]],75)</f>
        <v>Payment to American Express</v>
      </c>
    </row>
    <row r="13826" spans="1:15" hidden="1">
      <c r="A13826">
        <v>202507</v>
      </c>
      <c r="B13826" s="6">
        <v>45847</v>
      </c>
      <c r="C13826" t="s">
        <v>2519</v>
      </c>
      <c r="D13826" t="s">
        <v>6543</v>
      </c>
      <c r="E13826">
        <v>4953.5</v>
      </c>
      <c r="F13826" t="str">
        <f>IF(Table2[[#This Row],[Manual Cat Value]]="",Table2[[#This Row],[Suggested Cat Value]],VLOOKUP(Table2[[#This Row],[Manual Cat Value]],Lookup!G:H,2,0))</f>
        <v>House</v>
      </c>
      <c r="G13826" t="s">
        <v>50</v>
      </c>
      <c r="I13826" s="8"/>
      <c r="O13826" t="str">
        <f>LEFT(Table2[[#This Row],[Description]],75)</f>
        <v>Draft 2282 Tracer XXXXX0878</v>
      </c>
    </row>
    <row r="13827" spans="1:15" hidden="1">
      <c r="A13827">
        <v>202507</v>
      </c>
      <c r="B13827" s="6">
        <v>45868</v>
      </c>
      <c r="C13827" t="s">
        <v>2519</v>
      </c>
      <c r="D13827" t="s">
        <v>1458</v>
      </c>
      <c r="E13827">
        <v>4712.62</v>
      </c>
      <c r="F13827" t="str">
        <f>IF(Table2[[#This Row],[Manual Cat Value]]="",Table2[[#This Row],[Suggested Cat Value]],VLOOKUP(Table2[[#This Row],[Manual Cat Value]],Lookup!G:H,2,0))</f>
        <v>Delete</v>
      </c>
      <c r="G13827" t="s">
        <v>7</v>
      </c>
      <c r="H13827" s="8" t="s">
        <v>9</v>
      </c>
      <c r="I13827" s="8"/>
      <c r="O13827" t="str">
        <f>LEFT(Table2[[#This Row],[Description]],75)</f>
        <v>Payment to American Express</v>
      </c>
    </row>
    <row r="13828" spans="1:15" hidden="1">
      <c r="A13828">
        <v>202509</v>
      </c>
      <c r="B13828" s="6">
        <v>45930</v>
      </c>
      <c r="C13828" t="s">
        <v>2519</v>
      </c>
      <c r="D13828" t="s">
        <v>1458</v>
      </c>
      <c r="E13828">
        <v>4360.6099999999997</v>
      </c>
      <c r="F13828" t="str">
        <f>IF(Table2[[#This Row],[Manual Cat Value]]="",Table2[[#This Row],[Suggested Cat Value]],VLOOKUP(Table2[[#This Row],[Manual Cat Value]],Lookup!G:H,2,0))</f>
        <v>Delete</v>
      </c>
      <c r="G13828" t="s">
        <v>7</v>
      </c>
      <c r="H13828" s="8" t="s">
        <v>9</v>
      </c>
      <c r="I13828" s="8"/>
      <c r="O13828" t="str">
        <f>LEFT(Table2[[#This Row],[Description]],75)</f>
        <v>Payment to American Express</v>
      </c>
    </row>
    <row r="13829" spans="1:15" hidden="1">
      <c r="A13829">
        <v>202507</v>
      </c>
      <c r="B13829" s="6">
        <v>45853</v>
      </c>
      <c r="C13829" t="s">
        <v>2519</v>
      </c>
      <c r="D13829" t="s">
        <v>1458</v>
      </c>
      <c r="E13829">
        <v>3892.59</v>
      </c>
      <c r="F13829" t="str">
        <f>IF(Table2[[#This Row],[Manual Cat Value]]="",Table2[[#This Row],[Suggested Cat Value]],VLOOKUP(Table2[[#This Row],[Manual Cat Value]],Lookup!G:H,2,0))</f>
        <v>Delete</v>
      </c>
      <c r="G13829" t="s">
        <v>7</v>
      </c>
      <c r="H13829" s="8" t="s">
        <v>9</v>
      </c>
      <c r="I13829" s="8"/>
      <c r="O13829" t="str">
        <f>LEFT(Table2[[#This Row],[Description]],75)</f>
        <v>Payment to American Express</v>
      </c>
    </row>
    <row r="13830" spans="1:15" hidden="1">
      <c r="A13830">
        <v>202506</v>
      </c>
      <c r="B13830" s="6">
        <v>45821</v>
      </c>
      <c r="C13830" t="s">
        <v>2519</v>
      </c>
      <c r="D13830" t="s">
        <v>1458</v>
      </c>
      <c r="E13830">
        <v>3719.33</v>
      </c>
      <c r="F13830" t="str">
        <f>IF(Table2[[#This Row],[Manual Cat Value]]="",Table2[[#This Row],[Suggested Cat Value]],VLOOKUP(Table2[[#This Row],[Manual Cat Value]],Lookup!G:H,2,0))</f>
        <v>Delete</v>
      </c>
      <c r="G13830" t="s">
        <v>7</v>
      </c>
      <c r="H13830" s="8" t="s">
        <v>9</v>
      </c>
      <c r="I13830" s="8"/>
      <c r="O13830" t="str">
        <f>LEFT(Table2[[#This Row],[Description]],75)</f>
        <v>Payment to American Express</v>
      </c>
    </row>
    <row r="13831" spans="1:15" hidden="1">
      <c r="A13831">
        <v>202511</v>
      </c>
      <c r="B13831" s="6">
        <v>45964</v>
      </c>
      <c r="C13831" t="s">
        <v>2519</v>
      </c>
      <c r="D13831" t="s">
        <v>1460</v>
      </c>
      <c r="E13831">
        <v>3378.51</v>
      </c>
      <c r="F13831" t="str">
        <f>IF(Table2[[#This Row],[Manual Cat Value]]="",Table2[[#This Row],[Suggested Cat Value]],VLOOKUP(Table2[[#This Row],[Manual Cat Value]],Lookup!G:H,2,0))</f>
        <v>Rent</v>
      </c>
      <c r="G13831" t="s">
        <v>5</v>
      </c>
      <c r="I13831" s="8"/>
      <c r="O13831" t="str">
        <f>LEFT(Table2[[#This Row],[Description]],75)</f>
        <v>Payment to Baxter Credit Union</v>
      </c>
    </row>
    <row r="13832" spans="1:15" hidden="1">
      <c r="A13832">
        <v>202510</v>
      </c>
      <c r="B13832" s="6">
        <v>45931</v>
      </c>
      <c r="C13832" t="s">
        <v>2519</v>
      </c>
      <c r="D13832" t="s">
        <v>1460</v>
      </c>
      <c r="E13832">
        <v>3378.51</v>
      </c>
      <c r="F13832" t="str">
        <f>IF(Table2[[#This Row],[Manual Cat Value]]="",Table2[[#This Row],[Suggested Cat Value]],VLOOKUP(Table2[[#This Row],[Manual Cat Value]],Lookup!G:H,2,0))</f>
        <v>Rent</v>
      </c>
      <c r="G13832" t="s">
        <v>5</v>
      </c>
      <c r="I13832" s="8"/>
      <c r="O13832" t="str">
        <f>LEFT(Table2[[#This Row],[Description]],75)</f>
        <v>Payment to Baxter Credit Union</v>
      </c>
    </row>
    <row r="13833" spans="1:15" hidden="1">
      <c r="A13833">
        <v>202509</v>
      </c>
      <c r="B13833" s="6">
        <v>45902</v>
      </c>
      <c r="C13833" t="s">
        <v>2519</v>
      </c>
      <c r="D13833" t="s">
        <v>1460</v>
      </c>
      <c r="E13833">
        <v>3378.51</v>
      </c>
      <c r="F13833" t="str">
        <f>IF(Table2[[#This Row],[Manual Cat Value]]="",Table2[[#This Row],[Suggested Cat Value]],VLOOKUP(Table2[[#This Row],[Manual Cat Value]],Lookup!G:H,2,0))</f>
        <v>Rent</v>
      </c>
      <c r="G13833" t="s">
        <v>5</v>
      </c>
      <c r="I13833" s="8"/>
      <c r="O13833" t="str">
        <f>LEFT(Table2[[#This Row],[Description]],75)</f>
        <v>Payment to Baxter Credit Union</v>
      </c>
    </row>
    <row r="13834" spans="1:15" hidden="1">
      <c r="A13834">
        <v>202509</v>
      </c>
      <c r="B13834" s="6">
        <v>45909</v>
      </c>
      <c r="C13834" t="s">
        <v>2519</v>
      </c>
      <c r="D13834" t="s">
        <v>1458</v>
      </c>
      <c r="E13834">
        <v>3171.03</v>
      </c>
      <c r="F13834" t="str">
        <f>IF(Table2[[#This Row],[Manual Cat Value]]="",Table2[[#This Row],[Suggested Cat Value]],VLOOKUP(Table2[[#This Row],[Manual Cat Value]],Lookup!G:H,2,0))</f>
        <v>Delete</v>
      </c>
      <c r="G13834" t="s">
        <v>7</v>
      </c>
      <c r="H13834" s="8" t="s">
        <v>9</v>
      </c>
      <c r="I13834" s="8"/>
      <c r="O13834" t="str">
        <f>LEFT(Table2[[#This Row],[Description]],75)</f>
        <v>Payment to American Express</v>
      </c>
    </row>
    <row r="13835" spans="1:15" hidden="1">
      <c r="A13835">
        <v>202508</v>
      </c>
      <c r="B13835" s="6">
        <v>45870</v>
      </c>
      <c r="C13835" t="s">
        <v>2519</v>
      </c>
      <c r="D13835" t="s">
        <v>1460</v>
      </c>
      <c r="E13835">
        <v>2745.43</v>
      </c>
      <c r="F13835" t="str">
        <f>IF(Table2[[#This Row],[Manual Cat Value]]="",Table2[[#This Row],[Suggested Cat Value]],VLOOKUP(Table2[[#This Row],[Manual Cat Value]],Lookup!G:H,2,0))</f>
        <v>Rent</v>
      </c>
      <c r="G13835" t="s">
        <v>5</v>
      </c>
      <c r="I13835" s="8"/>
      <c r="O13835" t="str">
        <f>LEFT(Table2[[#This Row],[Description]],75)</f>
        <v>Payment to Baxter Credit Union</v>
      </c>
    </row>
    <row r="13836" spans="1:15" hidden="1">
      <c r="A13836">
        <v>202507</v>
      </c>
      <c r="B13836" s="6">
        <v>45841</v>
      </c>
      <c r="C13836" t="s">
        <v>2519</v>
      </c>
      <c r="D13836" t="s">
        <v>1460</v>
      </c>
      <c r="E13836">
        <v>2745.43</v>
      </c>
      <c r="F13836" t="str">
        <f>IF(Table2[[#This Row],[Manual Cat Value]]="",Table2[[#This Row],[Suggested Cat Value]],VLOOKUP(Table2[[#This Row],[Manual Cat Value]],Lookup!G:H,2,0))</f>
        <v>Rent</v>
      </c>
      <c r="G13836" t="s">
        <v>5</v>
      </c>
      <c r="I13836" s="8"/>
      <c r="O13836" t="str">
        <f>LEFT(Table2[[#This Row],[Description]],75)</f>
        <v>Payment to Baxter Credit Union</v>
      </c>
    </row>
    <row r="13837" spans="1:15" hidden="1">
      <c r="A13837">
        <v>202506</v>
      </c>
      <c r="B13837" s="6">
        <v>45810</v>
      </c>
      <c r="C13837" t="s">
        <v>2519</v>
      </c>
      <c r="D13837" t="s">
        <v>1460</v>
      </c>
      <c r="E13837">
        <v>2745.43</v>
      </c>
      <c r="F13837" t="str">
        <f>IF(Table2[[#This Row],[Manual Cat Value]]="",Table2[[#This Row],[Suggested Cat Value]],VLOOKUP(Table2[[#This Row],[Manual Cat Value]],Lookup!G:H,2,0))</f>
        <v>Rent</v>
      </c>
      <c r="G13837" t="s">
        <v>5</v>
      </c>
      <c r="I13837" s="8"/>
      <c r="O13837" t="str">
        <f>LEFT(Table2[[#This Row],[Description]],75)</f>
        <v>Payment to Baxter Credit Union</v>
      </c>
    </row>
    <row r="13838" spans="1:15" hidden="1">
      <c r="A13838">
        <v>202510</v>
      </c>
      <c r="B13838" s="6">
        <v>45953</v>
      </c>
      <c r="C13838" t="s">
        <v>2519</v>
      </c>
      <c r="D13838" t="s">
        <v>4293</v>
      </c>
      <c r="E13838">
        <v>2415.2800000000002</v>
      </c>
      <c r="F13838" t="str">
        <f>IF(Table2[[#This Row],[Manual Cat Value]]="",Table2[[#This Row],[Suggested Cat Value]],VLOOKUP(Table2[[#This Row],[Manual Cat Value]],Lookup!G:H,2,0))</f>
        <v>Delete</v>
      </c>
      <c r="G13838" t="s">
        <v>9</v>
      </c>
      <c r="I13838" s="8"/>
      <c r="O13838" t="str">
        <f>LEFT(Table2[[#This Row],[Description]],75)</f>
        <v>Withdrawal Home Banking Pmt to card XX5913</v>
      </c>
    </row>
    <row r="13839" spans="1:15" hidden="1">
      <c r="A13839">
        <v>202507</v>
      </c>
      <c r="B13839" s="6">
        <v>45849</v>
      </c>
      <c r="C13839" t="s">
        <v>130</v>
      </c>
      <c r="D13839" t="s">
        <v>5392</v>
      </c>
      <c r="E13839">
        <v>2253.21</v>
      </c>
      <c r="F13839" t="str">
        <f>IF(Table2[[#This Row],[Manual Cat Value]]="",Table2[[#This Row],[Suggested Cat Value]],VLOOKUP(Table2[[#This Row],[Manual Cat Value]],Lookup!G:H,2,0))</f>
        <v>Delete</v>
      </c>
      <c r="G13839" t="s">
        <v>43</v>
      </c>
      <c r="H13839" s="8" t="s">
        <v>9</v>
      </c>
      <c r="I13839" s="8"/>
      <c r="O13839" t="str">
        <f>LEFT(Table2[[#This Row],[Description]],75)</f>
        <v>DELTA AIR LINES</v>
      </c>
    </row>
    <row r="13840" spans="1:15" hidden="1">
      <c r="A13840">
        <v>202506</v>
      </c>
      <c r="B13840" s="6">
        <v>45832</v>
      </c>
      <c r="C13840" t="s">
        <v>2519</v>
      </c>
      <c r="D13840" t="s">
        <v>1458</v>
      </c>
      <c r="E13840">
        <v>2012.81</v>
      </c>
      <c r="F13840" t="str">
        <f>IF(Table2[[#This Row],[Manual Cat Value]]="",Table2[[#This Row],[Suggested Cat Value]],VLOOKUP(Table2[[#This Row],[Manual Cat Value]],Lookup!G:H,2,0))</f>
        <v>Utilities</v>
      </c>
      <c r="G13840" t="s">
        <v>7</v>
      </c>
      <c r="I13840" s="8"/>
      <c r="O13840" t="str">
        <f>LEFT(Table2[[#This Row],[Description]],75)</f>
        <v>Payment to American Express</v>
      </c>
    </row>
    <row r="13841" spans="1:15" hidden="1">
      <c r="A13841">
        <v>202507</v>
      </c>
      <c r="B13841" s="6">
        <v>45839</v>
      </c>
      <c r="C13841" t="s">
        <v>2519</v>
      </c>
      <c r="D13841" t="s">
        <v>1458</v>
      </c>
      <c r="E13841">
        <v>1948.89</v>
      </c>
      <c r="F13841" t="str">
        <f>IF(Table2[[#This Row],[Manual Cat Value]]="",Table2[[#This Row],[Suggested Cat Value]],VLOOKUP(Table2[[#This Row],[Manual Cat Value]],Lookup!G:H,2,0))</f>
        <v>Utilities</v>
      </c>
      <c r="G13841" t="s">
        <v>7</v>
      </c>
      <c r="I13841" s="8"/>
      <c r="O13841" t="str">
        <f>LEFT(Table2[[#This Row],[Description]],75)</f>
        <v>Payment to American Express</v>
      </c>
    </row>
    <row r="13842" spans="1:15" hidden="1">
      <c r="A13842">
        <v>202510</v>
      </c>
      <c r="B13842" s="6">
        <v>45938</v>
      </c>
      <c r="C13842" t="s">
        <v>130</v>
      </c>
      <c r="D13842" t="s">
        <v>6544</v>
      </c>
      <c r="E13842">
        <v>1190.51</v>
      </c>
      <c r="F13842" t="str">
        <f>IF(Table2[[#This Row],[Manual Cat Value]]="",Table2[[#This Row],[Suggested Cat Value]],VLOOKUP(Table2[[#This Row],[Manual Cat Value]],Lookup!G:H,2,0))</f>
        <v>Travel</v>
      </c>
      <c r="G13842" t="s">
        <v>43</v>
      </c>
      <c r="I13842" s="8"/>
      <c r="O13842" t="str">
        <f>LEFT(Table2[[#This Row],[Description]],75)</f>
        <v>HOTEL ON BOOKING.COMAMSTERDAM           NL</v>
      </c>
    </row>
    <row r="13843" spans="1:15" hidden="1">
      <c r="A13843">
        <v>202508</v>
      </c>
      <c r="B13843" s="6">
        <v>45885</v>
      </c>
      <c r="C13843" t="s">
        <v>130</v>
      </c>
      <c r="D13843" t="s">
        <v>5418</v>
      </c>
      <c r="E13843">
        <v>1067.0999999999999</v>
      </c>
      <c r="F13843" t="str">
        <f>IF(Table2[[#This Row],[Manual Cat Value]]="",Table2[[#This Row],[Suggested Cat Value]],VLOOKUP(Table2[[#This Row],[Manual Cat Value]],Lookup!G:H,2,0))</f>
        <v>Travel</v>
      </c>
      <c r="G13843" t="s">
        <v>43</v>
      </c>
      <c r="I13843" s="8"/>
      <c r="O13843" t="str">
        <f>LEFT(Table2[[#This Row],[Description]],75)</f>
        <v>DELTA AIR LINES     ATLANTA</v>
      </c>
    </row>
    <row r="13844" spans="1:15" hidden="1">
      <c r="A13844">
        <v>202507</v>
      </c>
      <c r="B13844" s="6">
        <v>45847</v>
      </c>
      <c r="C13844" t="s">
        <v>2519</v>
      </c>
      <c r="D13844" t="s">
        <v>1464</v>
      </c>
      <c r="E13844">
        <v>1035.56</v>
      </c>
      <c r="F13844" t="str">
        <f>IF(Table2[[#This Row],[Manual Cat Value]]="",Table2[[#This Row],[Suggested Cat Value]],VLOOKUP(Table2[[#This Row],[Manual Cat Value]],Lookup!G:H,2,0))</f>
        <v>Delete</v>
      </c>
      <c r="G13844" t="s">
        <v>59</v>
      </c>
      <c r="H13844" s="8" t="s">
        <v>9</v>
      </c>
      <c r="I13844" s="8"/>
      <c r="O13844" t="str">
        <f>LEFT(Table2[[#This Row],[Description]],75)</f>
        <v>Payment to Discover Bank</v>
      </c>
    </row>
    <row r="13845" spans="1:15" hidden="1">
      <c r="A13845">
        <v>202507</v>
      </c>
      <c r="B13845" s="6">
        <v>45852</v>
      </c>
      <c r="C13845" t="s">
        <v>2519</v>
      </c>
      <c r="D13845" t="s">
        <v>4293</v>
      </c>
      <c r="E13845">
        <v>992.38</v>
      </c>
      <c r="F13845" t="str">
        <f>IF(Table2[[#This Row],[Manual Cat Value]]="",Table2[[#This Row],[Suggested Cat Value]],VLOOKUP(Table2[[#This Row],[Manual Cat Value]],Lookup!G:H,2,0))</f>
        <v>Delete</v>
      </c>
      <c r="G13845" t="s">
        <v>20</v>
      </c>
      <c r="H13845" s="8" t="s">
        <v>9</v>
      </c>
      <c r="I13845" s="8"/>
      <c r="O13845" t="str">
        <f>LEFT(Table2[[#This Row],[Description]],75)</f>
        <v>Withdrawal Home Banking Pmt to card XX5913</v>
      </c>
    </row>
    <row r="13846" spans="1:15" hidden="1">
      <c r="A13846">
        <v>202510</v>
      </c>
      <c r="B13846" s="6">
        <v>45956</v>
      </c>
      <c r="C13846" t="s">
        <v>130</v>
      </c>
      <c r="D13846" t="s">
        <v>5418</v>
      </c>
      <c r="E13846">
        <v>971.97</v>
      </c>
      <c r="F13846" t="str">
        <f>IF(Table2[[#This Row],[Manual Cat Value]]="",Table2[[#This Row],[Suggested Cat Value]],VLOOKUP(Table2[[#This Row],[Manual Cat Value]],Lookup!G:H,2,0))</f>
        <v>Travel</v>
      </c>
      <c r="G13846" t="s">
        <v>43</v>
      </c>
      <c r="I13846" s="8"/>
      <c r="O13846" t="str">
        <f>LEFT(Table2[[#This Row],[Description]],75)</f>
        <v>DELTA AIR LINES     ATLANTA</v>
      </c>
    </row>
    <row r="13847" spans="1:15" hidden="1">
      <c r="A13847">
        <v>202510</v>
      </c>
      <c r="B13847" s="6">
        <v>45957</v>
      </c>
      <c r="C13847" t="s">
        <v>2519</v>
      </c>
      <c r="D13847" t="s">
        <v>1466</v>
      </c>
      <c r="E13847">
        <v>931.63</v>
      </c>
      <c r="F13847" t="str">
        <f>IF(Table2[[#This Row],[Manual Cat Value]]="",Table2[[#This Row],[Suggested Cat Value]],VLOOKUP(Table2[[#This Row],[Manual Cat Value]],Lookup!G:H,2,0))</f>
        <v>Target</v>
      </c>
      <c r="G13847" t="s">
        <v>7</v>
      </c>
      <c r="H13847" s="8" t="s">
        <v>30</v>
      </c>
      <c r="I13847" s="8"/>
      <c r="O13847" t="str">
        <f>LEFT(Table2[[#This Row],[Description]],75)</f>
        <v>Payment to Target</v>
      </c>
    </row>
    <row r="13848" spans="1:15" hidden="1">
      <c r="A13848">
        <v>202508</v>
      </c>
      <c r="B13848" s="6">
        <v>45873</v>
      </c>
      <c r="C13848" t="s">
        <v>130</v>
      </c>
      <c r="D13848" t="s">
        <v>5827</v>
      </c>
      <c r="E13848">
        <v>924.36</v>
      </c>
      <c r="F13848" t="str">
        <f>IF(Table2[[#This Row],[Manual Cat Value]]="",Table2[[#This Row],[Suggested Cat Value]],VLOOKUP(Table2[[#This Row],[Manual Cat Value]],Lookup!G:H,2,0))</f>
        <v>Delete</v>
      </c>
      <c r="G13848" t="s">
        <v>9</v>
      </c>
      <c r="H13848" s="8" t="s">
        <v>9</v>
      </c>
      <c r="I13848" s="8"/>
      <c r="O13848" t="str">
        <f>LEFT(Table2[[#This Row],[Description]],75)</f>
        <v>THE DEAN HOTEL IE000CORK                IR</v>
      </c>
    </row>
    <row r="13849" spans="1:15" hidden="1">
      <c r="A13849">
        <v>202509</v>
      </c>
      <c r="B13849" s="6">
        <v>45908</v>
      </c>
      <c r="C13849" t="s">
        <v>2519</v>
      </c>
      <c r="D13849" t="s">
        <v>1458</v>
      </c>
      <c r="E13849">
        <v>920.69</v>
      </c>
      <c r="F13849" t="str">
        <f>IF(Table2[[#This Row],[Manual Cat Value]]="",Table2[[#This Row],[Suggested Cat Value]],VLOOKUP(Table2[[#This Row],[Manual Cat Value]],Lookup!G:H,2,0))</f>
        <v>Delete</v>
      </c>
      <c r="G13849" t="s">
        <v>7</v>
      </c>
      <c r="H13849" s="8" t="s">
        <v>9</v>
      </c>
      <c r="I13849" s="8"/>
      <c r="O13849" t="str">
        <f>LEFT(Table2[[#This Row],[Description]],75)</f>
        <v>Payment to American Express</v>
      </c>
    </row>
    <row r="13850" spans="1:15" hidden="1">
      <c r="A13850">
        <v>202509</v>
      </c>
      <c r="B13850" s="6">
        <v>45912</v>
      </c>
      <c r="C13850" t="s">
        <v>2519</v>
      </c>
      <c r="D13850" t="s">
        <v>4293</v>
      </c>
      <c r="E13850">
        <v>905.57</v>
      </c>
      <c r="F13850" t="str">
        <f>IF(Table2[[#This Row],[Manual Cat Value]]="",Table2[[#This Row],[Suggested Cat Value]],VLOOKUP(Table2[[#This Row],[Manual Cat Value]],Lookup!G:H,2,0))</f>
        <v>Delete</v>
      </c>
      <c r="G13850" t="s">
        <v>20</v>
      </c>
      <c r="H13850" s="8" t="s">
        <v>9</v>
      </c>
      <c r="I13850" s="8"/>
      <c r="O13850" t="str">
        <f>LEFT(Table2[[#This Row],[Description]],75)</f>
        <v>Withdrawal Home Banking Pmt to card XX5913</v>
      </c>
    </row>
    <row r="13851" spans="1:15" hidden="1">
      <c r="A13851">
        <v>202510</v>
      </c>
      <c r="B13851" s="6">
        <v>45957</v>
      </c>
      <c r="C13851" t="s">
        <v>2519</v>
      </c>
      <c r="D13851" t="s">
        <v>1464</v>
      </c>
      <c r="E13851">
        <v>800</v>
      </c>
      <c r="F13851" t="str">
        <f>IF(Table2[[#This Row],[Manual Cat Value]]="",Table2[[#This Row],[Suggested Cat Value]],VLOOKUP(Table2[[#This Row],[Manual Cat Value]],Lookup!G:H,2,0))</f>
        <v>Savings</v>
      </c>
      <c r="G13851" t="s">
        <v>59</v>
      </c>
      <c r="I13851" s="8"/>
      <c r="O13851" t="str">
        <f>LEFT(Table2[[#This Row],[Description]],75)</f>
        <v>Payment to Discover Bank</v>
      </c>
    </row>
    <row r="13852" spans="1:15" hidden="1">
      <c r="A13852">
        <v>202509</v>
      </c>
      <c r="B13852" s="6">
        <v>45926</v>
      </c>
      <c r="C13852" t="s">
        <v>2519</v>
      </c>
      <c r="D13852" t="s">
        <v>1464</v>
      </c>
      <c r="E13852">
        <v>800</v>
      </c>
      <c r="F13852" t="str">
        <f>IF(Table2[[#This Row],[Manual Cat Value]]="",Table2[[#This Row],[Suggested Cat Value]],VLOOKUP(Table2[[#This Row],[Manual Cat Value]],Lookup!G:H,2,0))</f>
        <v>Savings</v>
      </c>
      <c r="G13852" t="s">
        <v>59</v>
      </c>
      <c r="I13852" s="8"/>
      <c r="O13852" t="str">
        <f>LEFT(Table2[[#This Row],[Description]],75)</f>
        <v>Payment to Discover Bank</v>
      </c>
    </row>
    <row r="13853" spans="1:15" hidden="1">
      <c r="A13853">
        <v>202508</v>
      </c>
      <c r="B13853" s="6">
        <v>45895</v>
      </c>
      <c r="C13853" t="s">
        <v>2519</v>
      </c>
      <c r="D13853" t="s">
        <v>1464</v>
      </c>
      <c r="E13853">
        <v>800</v>
      </c>
      <c r="F13853" t="str">
        <f>IF(Table2[[#This Row],[Manual Cat Value]]="",Table2[[#This Row],[Suggested Cat Value]],VLOOKUP(Table2[[#This Row],[Manual Cat Value]],Lookup!G:H,2,0))</f>
        <v>Savings</v>
      </c>
      <c r="G13853" t="s">
        <v>59</v>
      </c>
      <c r="I13853" s="8"/>
      <c r="O13853" t="str">
        <f>LEFT(Table2[[#This Row],[Description]],75)</f>
        <v>Payment to Discover Bank</v>
      </c>
    </row>
    <row r="13854" spans="1:15" hidden="1">
      <c r="A13854">
        <v>202507</v>
      </c>
      <c r="B13854" s="6">
        <v>45866</v>
      </c>
      <c r="C13854" t="s">
        <v>2519</v>
      </c>
      <c r="D13854" t="s">
        <v>1464</v>
      </c>
      <c r="E13854">
        <v>800</v>
      </c>
      <c r="F13854" t="str">
        <f>IF(Table2[[#This Row],[Manual Cat Value]]="",Table2[[#This Row],[Suggested Cat Value]],VLOOKUP(Table2[[#This Row],[Manual Cat Value]],Lookup!G:H,2,0))</f>
        <v>Savings</v>
      </c>
      <c r="G13854" t="s">
        <v>59</v>
      </c>
      <c r="I13854" s="8"/>
      <c r="O13854" t="str">
        <f>LEFT(Table2[[#This Row],[Description]],75)</f>
        <v>Payment to Discover Bank</v>
      </c>
    </row>
    <row r="13855" spans="1:15" hidden="1">
      <c r="A13855">
        <v>202506</v>
      </c>
      <c r="B13855" s="6">
        <v>45834</v>
      </c>
      <c r="C13855" t="s">
        <v>2519</v>
      </c>
      <c r="D13855" t="s">
        <v>1464</v>
      </c>
      <c r="E13855">
        <v>800</v>
      </c>
      <c r="F13855" t="str">
        <f>IF(Table2[[#This Row],[Manual Cat Value]]="",Table2[[#This Row],[Suggested Cat Value]],VLOOKUP(Table2[[#This Row],[Manual Cat Value]],Lookup!G:H,2,0))</f>
        <v>Savings</v>
      </c>
      <c r="G13855" t="s">
        <v>59</v>
      </c>
      <c r="I13855" s="8"/>
      <c r="O13855" t="str">
        <f>LEFT(Table2[[#This Row],[Description]],75)</f>
        <v>Payment to Discover Bank</v>
      </c>
    </row>
    <row r="13856" spans="1:15" hidden="1">
      <c r="A13856">
        <v>202506</v>
      </c>
      <c r="B13856" s="6">
        <v>45833</v>
      </c>
      <c r="C13856" t="s">
        <v>2519</v>
      </c>
      <c r="D13856" t="s">
        <v>1466</v>
      </c>
      <c r="E13856">
        <v>794.1</v>
      </c>
      <c r="F13856" t="str">
        <f>IF(Table2[[#This Row],[Manual Cat Value]]="",Table2[[#This Row],[Suggested Cat Value]],VLOOKUP(Table2[[#This Row],[Manual Cat Value]],Lookup!G:H,2,0))</f>
        <v>Target</v>
      </c>
      <c r="G13856" t="s">
        <v>7</v>
      </c>
      <c r="H13856" s="8" t="s">
        <v>30</v>
      </c>
      <c r="I13856" s="8"/>
      <c r="O13856" t="str">
        <f>LEFT(Table2[[#This Row],[Description]],75)</f>
        <v>Payment to Target</v>
      </c>
    </row>
    <row r="13857" spans="1:15" hidden="1">
      <c r="A13857">
        <v>202510</v>
      </c>
      <c r="B13857" s="6">
        <v>45940</v>
      </c>
      <c r="C13857" t="s">
        <v>130</v>
      </c>
      <c r="D13857" t="s">
        <v>6545</v>
      </c>
      <c r="E13857">
        <v>780.16</v>
      </c>
      <c r="F13857" t="str">
        <f>IF(Table2[[#This Row],[Manual Cat Value]]="",Table2[[#This Row],[Suggested Cat Value]],VLOOKUP(Table2[[#This Row],[Manual Cat Value]],Lookup!G:H,2,0))</f>
        <v>Travel</v>
      </c>
      <c r="G13857" t="s">
        <v>43</v>
      </c>
      <c r="I13857" s="8"/>
      <c r="O13857" t="str">
        <f>LEFT(Table2[[#This Row],[Description]],75)</f>
        <v>HERTZ ITALY         ROMA                IT</v>
      </c>
    </row>
    <row r="13858" spans="1:15" hidden="1">
      <c r="A13858">
        <v>202510</v>
      </c>
      <c r="B13858" s="6">
        <v>45954</v>
      </c>
      <c r="C13858" t="s">
        <v>130</v>
      </c>
      <c r="D13858" t="s">
        <v>6546</v>
      </c>
      <c r="E13858">
        <v>760.81</v>
      </c>
      <c r="F13858" t="str">
        <f>IF(Table2[[#This Row],[Manual Cat Value]]="",Table2[[#This Row],[Suggested Cat Value]],VLOOKUP(Table2[[#This Row],[Manual Cat Value]],Lookup!G:H,2,0))</f>
        <v>Delete</v>
      </c>
      <c r="G13858" t="s">
        <v>9</v>
      </c>
      <c r="I13858" s="8"/>
      <c r="O13858" t="str">
        <f>LEFT(Table2[[#This Row],[Description]],75)</f>
        <v>RAILWAY STREET IE000CORK                IR</v>
      </c>
    </row>
    <row r="13859" spans="1:15" hidden="1">
      <c r="A13859">
        <v>202510</v>
      </c>
      <c r="B13859" s="6">
        <v>45956</v>
      </c>
      <c r="C13859" t="s">
        <v>130</v>
      </c>
      <c r="D13859" t="s">
        <v>5392</v>
      </c>
      <c r="E13859">
        <v>746.97</v>
      </c>
      <c r="F13859" t="str">
        <f>IF(Table2[[#This Row],[Manual Cat Value]]="",Table2[[#This Row],[Suggested Cat Value]],VLOOKUP(Table2[[#This Row],[Manual Cat Value]],Lookup!G:H,2,0))</f>
        <v>Delete</v>
      </c>
      <c r="G13859" t="s">
        <v>43</v>
      </c>
      <c r="H13859" s="8" t="s">
        <v>9</v>
      </c>
      <c r="I13859" s="8"/>
      <c r="O13859" t="str">
        <f>LEFT(Table2[[#This Row],[Description]],75)</f>
        <v>DELTA AIR LINES</v>
      </c>
    </row>
    <row r="13860" spans="1:15" hidden="1">
      <c r="A13860">
        <v>202510</v>
      </c>
      <c r="B13860" s="6">
        <v>45956</v>
      </c>
      <c r="C13860" t="s">
        <v>130</v>
      </c>
      <c r="D13860" t="s">
        <v>5392</v>
      </c>
      <c r="E13860">
        <v>746.97</v>
      </c>
      <c r="F13860" t="str">
        <f>IF(Table2[[#This Row],[Manual Cat Value]]="",Table2[[#This Row],[Suggested Cat Value]],VLOOKUP(Table2[[#This Row],[Manual Cat Value]],Lookup!G:H,2,0))</f>
        <v>Delete</v>
      </c>
      <c r="G13860" t="s">
        <v>43</v>
      </c>
      <c r="H13860" s="8" t="s">
        <v>9</v>
      </c>
      <c r="I13860" s="8"/>
      <c r="O13860" t="str">
        <f>LEFT(Table2[[#This Row],[Description]],75)</f>
        <v>DELTA AIR LINES</v>
      </c>
    </row>
    <row r="13861" spans="1:15" hidden="1">
      <c r="A13861">
        <v>202510</v>
      </c>
      <c r="B13861" s="6">
        <v>45956</v>
      </c>
      <c r="C13861" t="s">
        <v>130</v>
      </c>
      <c r="D13861" t="s">
        <v>5392</v>
      </c>
      <c r="E13861">
        <v>746.97</v>
      </c>
      <c r="F13861" t="str">
        <f>IF(Table2[[#This Row],[Manual Cat Value]]="",Table2[[#This Row],[Suggested Cat Value]],VLOOKUP(Table2[[#This Row],[Manual Cat Value]],Lookup!G:H,2,0))</f>
        <v>Delete</v>
      </c>
      <c r="G13861" t="s">
        <v>43</v>
      </c>
      <c r="H13861" s="8" t="s">
        <v>9</v>
      </c>
      <c r="I13861" s="8"/>
      <c r="O13861" t="str">
        <f>LEFT(Table2[[#This Row],[Description]],75)</f>
        <v>DELTA AIR LINES</v>
      </c>
    </row>
    <row r="13862" spans="1:15" hidden="1">
      <c r="A13862">
        <v>202510</v>
      </c>
      <c r="B13862" s="6">
        <v>45937</v>
      </c>
      <c r="C13862" t="s">
        <v>130</v>
      </c>
      <c r="D13862" t="s">
        <v>6544</v>
      </c>
      <c r="E13862">
        <v>745.58</v>
      </c>
      <c r="F13862" t="str">
        <f>IF(Table2[[#This Row],[Manual Cat Value]]="",Table2[[#This Row],[Suggested Cat Value]],VLOOKUP(Table2[[#This Row],[Manual Cat Value]],Lookup!G:H,2,0))</f>
        <v>Delete</v>
      </c>
      <c r="G13862" t="s">
        <v>43</v>
      </c>
      <c r="H13862" s="8" t="s">
        <v>9</v>
      </c>
      <c r="I13862" s="8"/>
      <c r="O13862" t="str">
        <f>LEFT(Table2[[#This Row],[Description]],75)</f>
        <v>HOTEL ON BOOKING.COMAMSTERDAM           NL</v>
      </c>
    </row>
    <row r="13863" spans="1:15" hidden="1">
      <c r="A13863">
        <v>202509</v>
      </c>
      <c r="B13863" s="6">
        <v>45912</v>
      </c>
      <c r="C13863" t="s">
        <v>2519</v>
      </c>
      <c r="D13863" t="s">
        <v>6547</v>
      </c>
      <c r="E13863">
        <v>720</v>
      </c>
      <c r="F13863" t="str">
        <f>IF(Table2[[#This Row],[Manual Cat Value]]="",Table2[[#This Row],[Suggested Cat Value]],VLOOKUP(Table2[[#This Row],[Manual Cat Value]],Lookup!G:H,2,0))</f>
        <v>House Maintenance</v>
      </c>
      <c r="G13863" t="s">
        <v>50</v>
      </c>
      <c r="H13863" s="8" t="s">
        <v>1</v>
      </c>
      <c r="I13863" s="8"/>
      <c r="O13863" t="str">
        <f>LEFT(Table2[[#This Row],[Description]],75)</f>
        <v>Superior Garage Door</v>
      </c>
    </row>
    <row r="13864" spans="1:15" hidden="1">
      <c r="A13864">
        <v>202509</v>
      </c>
      <c r="B13864" s="6">
        <v>45930</v>
      </c>
      <c r="C13864" t="s">
        <v>130</v>
      </c>
      <c r="D13864" t="s">
        <v>5392</v>
      </c>
      <c r="E13864">
        <v>686.96</v>
      </c>
      <c r="F13864" t="str">
        <f>IF(Table2[[#This Row],[Manual Cat Value]]="",Table2[[#This Row],[Suggested Cat Value]],VLOOKUP(Table2[[#This Row],[Manual Cat Value]],Lookup!G:H,2,0))</f>
        <v>Delete</v>
      </c>
      <c r="G13864" t="s">
        <v>43</v>
      </c>
      <c r="H13864" s="8" t="s">
        <v>9</v>
      </c>
      <c r="I13864" s="8"/>
      <c r="O13864" t="str">
        <f>LEFT(Table2[[#This Row],[Description]],75)</f>
        <v>DELTA AIR LINES</v>
      </c>
    </row>
    <row r="13865" spans="1:15" hidden="1">
      <c r="A13865">
        <v>202510</v>
      </c>
      <c r="B13865" s="6">
        <v>45958</v>
      </c>
      <c r="C13865" t="s">
        <v>130</v>
      </c>
      <c r="D13865" t="s">
        <v>6548</v>
      </c>
      <c r="E13865">
        <v>671.4</v>
      </c>
      <c r="F13865" t="str">
        <f>IF(Table2[[#This Row],[Manual Cat Value]]="",Table2[[#This Row],[Suggested Cat Value]],VLOOKUP(Table2[[#This Row],[Manual Cat Value]],Lookup!G:H,2,0))</f>
        <v>Healthcare</v>
      </c>
      <c r="G13865" t="s">
        <v>48</v>
      </c>
      <c r="I13865" s="8"/>
      <c r="O13865" t="str">
        <f>LEFT(Table2[[#This Row],[Description]],75)</f>
        <v>MED*RIDGEVIEW WACONIWACONIA             MN</v>
      </c>
    </row>
    <row r="13866" spans="1:15" hidden="1">
      <c r="A13866">
        <v>202509</v>
      </c>
      <c r="B13866" s="6">
        <v>45925</v>
      </c>
      <c r="C13866" t="s">
        <v>2519</v>
      </c>
      <c r="D13866" t="s">
        <v>1466</v>
      </c>
      <c r="E13866">
        <v>664.94</v>
      </c>
      <c r="F13866" t="str">
        <f>IF(Table2[[#This Row],[Manual Cat Value]]="",Table2[[#This Row],[Suggested Cat Value]],VLOOKUP(Table2[[#This Row],[Manual Cat Value]],Lookup!G:H,2,0))</f>
        <v>Target</v>
      </c>
      <c r="G13866" t="s">
        <v>7</v>
      </c>
      <c r="H13866" s="8" t="s">
        <v>30</v>
      </c>
      <c r="I13866" s="8"/>
      <c r="O13866" t="str">
        <f>LEFT(Table2[[#This Row],[Description]],75)</f>
        <v>Payment to Target</v>
      </c>
    </row>
    <row r="13867" spans="1:15" hidden="1">
      <c r="A13867">
        <v>202509</v>
      </c>
      <c r="B13867" s="6">
        <v>45926</v>
      </c>
      <c r="C13867" t="s">
        <v>130</v>
      </c>
      <c r="D13867" t="s">
        <v>6549</v>
      </c>
      <c r="E13867">
        <v>664</v>
      </c>
      <c r="F13867" t="str">
        <f>IF(Table2[[#This Row],[Manual Cat Value]]="",Table2[[#This Row],[Suggested Cat Value]],VLOOKUP(Table2[[#This Row],[Manual Cat Value]],Lookup!G:H,2,0))</f>
        <v>Shopping</v>
      </c>
      <c r="G13867" t="s">
        <v>21</v>
      </c>
      <c r="I13867" s="8"/>
      <c r="O13867" t="str">
        <f>LEFT(Table2[[#This Row],[Description]],75)</f>
        <v>ANTHROPOLOGIE  00427MINNEAPOLIS         MN</v>
      </c>
    </row>
    <row r="13868" spans="1:15" hidden="1">
      <c r="A13868">
        <v>202508</v>
      </c>
      <c r="B13868" s="6">
        <v>45886</v>
      </c>
      <c r="C13868" t="s">
        <v>2519</v>
      </c>
      <c r="D13868" t="s">
        <v>4293</v>
      </c>
      <c r="E13868">
        <v>662.19</v>
      </c>
      <c r="F13868" t="str">
        <f>IF(Table2[[#This Row],[Manual Cat Value]]="",Table2[[#This Row],[Suggested Cat Value]],VLOOKUP(Table2[[#This Row],[Manual Cat Value]],Lookup!G:H,2,0))</f>
        <v>Day Care</v>
      </c>
      <c r="G13868" t="s">
        <v>20</v>
      </c>
      <c r="I13868" s="8"/>
      <c r="O13868" t="str">
        <f>LEFT(Table2[[#This Row],[Description]],75)</f>
        <v>Withdrawal Home Banking Pmt to card XX5913</v>
      </c>
    </row>
    <row r="13869" spans="1:15" hidden="1">
      <c r="A13869">
        <v>202511</v>
      </c>
      <c r="B13869" s="6">
        <v>45964</v>
      </c>
      <c r="C13869" t="s">
        <v>2519</v>
      </c>
      <c r="D13869" t="s">
        <v>6550</v>
      </c>
      <c r="E13869">
        <v>650</v>
      </c>
      <c r="F13869" t="str">
        <f>IF(Table2[[#This Row],[Manual Cat Value]]="",Table2[[#This Row],[Suggested Cat Value]],VLOOKUP(Table2[[#This Row],[Manual Cat Value]],Lookup!G:H,2,0))</f>
        <v>Day Care</v>
      </c>
      <c r="G13869" t="s">
        <v>20</v>
      </c>
      <c r="I13869" s="8"/>
      <c r="O13869" t="str">
        <f>LEFT(Table2[[#This Row],[Description]],75)</f>
        <v>Withdrawal ACH ILD529 DIR ACH TYPE: CONTRIB ID: XX2584 CO: ILD529 DIR ACH E</v>
      </c>
    </row>
    <row r="13870" spans="1:15" hidden="1">
      <c r="A13870">
        <v>202510</v>
      </c>
      <c r="B13870" s="6">
        <v>45950</v>
      </c>
      <c r="C13870" t="s">
        <v>2519</v>
      </c>
      <c r="D13870" t="s">
        <v>6551</v>
      </c>
      <c r="E13870">
        <v>650</v>
      </c>
      <c r="F13870" t="str">
        <f>IF(Table2[[#This Row],[Manual Cat Value]]="",Table2[[#This Row],[Suggested Cat Value]],VLOOKUP(Table2[[#This Row],[Manual Cat Value]],Lookup!G:H,2,0))</f>
        <v>Day Care</v>
      </c>
      <c r="G13870" t="s">
        <v>9</v>
      </c>
      <c r="H13870" s="8" t="s">
        <v>19</v>
      </c>
      <c r="I13870" s="8"/>
      <c r="O13870" t="str">
        <f>LEFT(Table2[[#This Row],[Description]],75)</f>
        <v>Withdrawal ACH MN DIR ACH TYPE: CONTRIB ID: XX7162 CO: MN DIR ACH NAME: XX2</v>
      </c>
    </row>
    <row r="13871" spans="1:15" hidden="1">
      <c r="A13871">
        <v>202510</v>
      </c>
      <c r="B13871" s="6">
        <v>45931</v>
      </c>
      <c r="C13871" t="s">
        <v>2519</v>
      </c>
      <c r="D13871" t="s">
        <v>6552</v>
      </c>
      <c r="E13871">
        <v>650</v>
      </c>
      <c r="F13871" t="str">
        <f>IF(Table2[[#This Row],[Manual Cat Value]]="",Table2[[#This Row],[Suggested Cat Value]],VLOOKUP(Table2[[#This Row],[Manual Cat Value]],Lookup!G:H,2,0))</f>
        <v>Day Care</v>
      </c>
      <c r="G13871" t="s">
        <v>20</v>
      </c>
      <c r="I13871" s="8"/>
      <c r="O13871" t="str">
        <f>LEFT(Table2[[#This Row],[Description]],75)</f>
        <v>Withdrawal ACH ILD529 DIR ACH TYPE: CONTRIB ID: XX2584 CO: ILD529 DIR ACH E</v>
      </c>
    </row>
    <row r="13872" spans="1:15" hidden="1">
      <c r="A13872">
        <v>202509</v>
      </c>
      <c r="B13872" s="6">
        <v>45918</v>
      </c>
      <c r="C13872" t="s">
        <v>2519</v>
      </c>
      <c r="D13872" t="s">
        <v>6553</v>
      </c>
      <c r="E13872">
        <v>650</v>
      </c>
      <c r="F13872" t="str">
        <f>IF(Table2[[#This Row],[Manual Cat Value]]="",Table2[[#This Row],[Suggested Cat Value]],VLOOKUP(Table2[[#This Row],[Manual Cat Value]],Lookup!G:H,2,0))</f>
        <v>Day Care</v>
      </c>
      <c r="G13872" t="s">
        <v>20</v>
      </c>
      <c r="I13872" s="8"/>
      <c r="O13872" t="str">
        <f>LEFT(Table2[[#This Row],[Description]],75)</f>
        <v>Withdrawal ACH MN DIR ACH TYPE: CONTRIB ID: XX7162 CO: MN DIR ACH NAME: XX2</v>
      </c>
    </row>
    <row r="13873" spans="1:15" hidden="1">
      <c r="A13873">
        <v>202509</v>
      </c>
      <c r="B13873" s="6">
        <v>45902</v>
      </c>
      <c r="C13873" t="s">
        <v>2519</v>
      </c>
      <c r="D13873" t="s">
        <v>6554</v>
      </c>
      <c r="E13873">
        <v>650</v>
      </c>
      <c r="F13873" t="str">
        <f>IF(Table2[[#This Row],[Manual Cat Value]]="",Table2[[#This Row],[Suggested Cat Value]],VLOOKUP(Table2[[#This Row],[Manual Cat Value]],Lookup!G:H,2,0))</f>
        <v>Day Care</v>
      </c>
      <c r="G13873" t="s">
        <v>20</v>
      </c>
      <c r="I13873" s="8"/>
      <c r="O13873" t="str">
        <f>LEFT(Table2[[#This Row],[Description]],75)</f>
        <v>Withdrawal ACH ILD529 DIR ACH TYPE: CONTRIB ID: XX2584 CO: ILD529 DIR ACH E</v>
      </c>
    </row>
    <row r="13874" spans="1:15" hidden="1">
      <c r="A13874">
        <v>202508</v>
      </c>
      <c r="B13874" s="6">
        <v>45887</v>
      </c>
      <c r="C13874" t="s">
        <v>2519</v>
      </c>
      <c r="D13874" t="s">
        <v>6555</v>
      </c>
      <c r="E13874">
        <v>650</v>
      </c>
      <c r="F13874" t="str">
        <f>IF(Table2[[#This Row],[Manual Cat Value]]="",Table2[[#This Row],[Suggested Cat Value]],VLOOKUP(Table2[[#This Row],[Manual Cat Value]],Lookup!G:H,2,0))</f>
        <v>Day Care</v>
      </c>
      <c r="G13874" t="s">
        <v>20</v>
      </c>
      <c r="I13874" s="8"/>
      <c r="O13874" t="str">
        <f>LEFT(Table2[[#This Row],[Description]],75)</f>
        <v>Withdrawal ACH MN DIR ACH TYPE: CONTRIB ID: XX7162 CO: MN DIR ACH NAME: XX2</v>
      </c>
    </row>
    <row r="13875" spans="1:15" hidden="1">
      <c r="A13875">
        <v>202508</v>
      </c>
      <c r="B13875" s="6">
        <v>45870</v>
      </c>
      <c r="C13875" t="s">
        <v>2519</v>
      </c>
      <c r="D13875" t="s">
        <v>6556</v>
      </c>
      <c r="E13875">
        <v>650</v>
      </c>
      <c r="F13875" t="str">
        <f>IF(Table2[[#This Row],[Manual Cat Value]]="",Table2[[#This Row],[Suggested Cat Value]],VLOOKUP(Table2[[#This Row],[Manual Cat Value]],Lookup!G:H,2,0))</f>
        <v>Day Care</v>
      </c>
      <c r="G13875" t="s">
        <v>20</v>
      </c>
      <c r="I13875" s="8"/>
      <c r="O13875" t="str">
        <f>LEFT(Table2[[#This Row],[Description]],75)</f>
        <v>Withdrawal ACH ILD529 DIR ACH TYPE: CONTRIB ID: XX2584 CO: ILD529 DIR ACH E</v>
      </c>
    </row>
    <row r="13876" spans="1:15" hidden="1">
      <c r="A13876">
        <v>202507</v>
      </c>
      <c r="B13876" s="6">
        <v>45856</v>
      </c>
      <c r="C13876" t="s">
        <v>2519</v>
      </c>
      <c r="D13876" t="s">
        <v>6557</v>
      </c>
      <c r="E13876">
        <v>650</v>
      </c>
      <c r="F13876" t="str">
        <f>IF(Table2[[#This Row],[Manual Cat Value]]="",Table2[[#This Row],[Suggested Cat Value]],VLOOKUP(Table2[[#This Row],[Manual Cat Value]],Lookup!G:H,2,0))</f>
        <v>Day Care</v>
      </c>
      <c r="G13876" t="s">
        <v>20</v>
      </c>
      <c r="I13876" s="8"/>
      <c r="O13876" t="str">
        <f>LEFT(Table2[[#This Row],[Description]],75)</f>
        <v>Withdrawal ACH MN DIR ACH TYPE: CONTRIB ID: XX7162 CO: MN DIR ACH NAME: XX2</v>
      </c>
    </row>
    <row r="13877" spans="1:15" hidden="1">
      <c r="A13877">
        <v>202507</v>
      </c>
      <c r="B13877" s="6">
        <v>45839</v>
      </c>
      <c r="C13877" t="s">
        <v>2519</v>
      </c>
      <c r="D13877" t="s">
        <v>6558</v>
      </c>
      <c r="E13877">
        <v>650</v>
      </c>
      <c r="F13877" t="str">
        <f>IF(Table2[[#This Row],[Manual Cat Value]]="",Table2[[#This Row],[Suggested Cat Value]],VLOOKUP(Table2[[#This Row],[Manual Cat Value]],Lookup!G:H,2,0))</f>
        <v>Day Care</v>
      </c>
      <c r="G13877" t="s">
        <v>20</v>
      </c>
      <c r="I13877" s="8"/>
      <c r="O13877" t="str">
        <f>LEFT(Table2[[#This Row],[Description]],75)</f>
        <v>Withdrawal ACH ILD529 DIR ACH TYPE: CONTRIB ID: XX2584 CO: ILD529 DIR ACH E</v>
      </c>
    </row>
    <row r="13878" spans="1:15" hidden="1">
      <c r="A13878">
        <v>202506</v>
      </c>
      <c r="B13878" s="6">
        <v>45826</v>
      </c>
      <c r="C13878" t="s">
        <v>2519</v>
      </c>
      <c r="D13878" t="s">
        <v>6559</v>
      </c>
      <c r="E13878">
        <v>650</v>
      </c>
      <c r="F13878" t="str">
        <f>IF(Table2[[#This Row],[Manual Cat Value]]="",Table2[[#This Row],[Suggested Cat Value]],VLOOKUP(Table2[[#This Row],[Manual Cat Value]],Lookup!G:H,2,0))</f>
        <v>Day Care</v>
      </c>
      <c r="G13878" t="s">
        <v>20</v>
      </c>
      <c r="I13878" s="8"/>
      <c r="O13878" t="str">
        <f>LEFT(Table2[[#This Row],[Description]],75)</f>
        <v>Withdrawal ACH MN DIR ACH TYPE: CONTRIB ID: XX7162 CO: MN DIR ACH NAME: XX2</v>
      </c>
    </row>
    <row r="13879" spans="1:15" hidden="1">
      <c r="A13879">
        <v>202506</v>
      </c>
      <c r="B13879" s="6">
        <v>45810</v>
      </c>
      <c r="C13879" t="s">
        <v>2519</v>
      </c>
      <c r="D13879" t="s">
        <v>6560</v>
      </c>
      <c r="E13879">
        <v>650</v>
      </c>
      <c r="F13879" t="str">
        <f>IF(Table2[[#This Row],[Manual Cat Value]]="",Table2[[#This Row],[Suggested Cat Value]],VLOOKUP(Table2[[#This Row],[Manual Cat Value]],Lookup!G:H,2,0))</f>
        <v>Day Care</v>
      </c>
      <c r="G13879" t="s">
        <v>20</v>
      </c>
      <c r="I13879" s="8"/>
      <c r="O13879" t="str">
        <f>LEFT(Table2[[#This Row],[Description]],75)</f>
        <v>Withdrawal ACH ILD529 DIR ACH TYPE: CONTRIB ID: XX2584 CO: ILD529 DIR ACH E</v>
      </c>
    </row>
    <row r="13880" spans="1:15" hidden="1">
      <c r="A13880">
        <v>202510</v>
      </c>
      <c r="B13880" s="6">
        <v>45939</v>
      </c>
      <c r="C13880" t="s">
        <v>2519</v>
      </c>
      <c r="D13880" t="s">
        <v>6561</v>
      </c>
      <c r="E13880">
        <v>600</v>
      </c>
      <c r="F13880" t="str">
        <f>IF(Table2[[#This Row],[Manual Cat Value]]="",Table2[[#This Row],[Suggested Cat Value]],VLOOKUP(Table2[[#This Row],[Manual Cat Value]],Lookup!G:H,2,0))</f>
        <v>House</v>
      </c>
      <c r="G13880" t="s">
        <v>50</v>
      </c>
      <c r="I13880" s="8"/>
      <c r="O13880" t="str">
        <f>LEFT(Table2[[#This Row],[Description]],75)</f>
        <v>Draft 2131 Tracer XXXXX0176</v>
      </c>
    </row>
    <row r="13881" spans="1:15" hidden="1">
      <c r="A13881">
        <v>202510</v>
      </c>
      <c r="B13881" s="6">
        <v>45931</v>
      </c>
      <c r="C13881" t="s">
        <v>130</v>
      </c>
      <c r="D13881" t="s">
        <v>6544</v>
      </c>
      <c r="E13881">
        <v>587.9</v>
      </c>
      <c r="F13881" t="str">
        <f>IF(Table2[[#This Row],[Manual Cat Value]]="",Table2[[#This Row],[Suggested Cat Value]],VLOOKUP(Table2[[#This Row],[Manual Cat Value]],Lookup!G:H,2,0))</f>
        <v>Travel</v>
      </c>
      <c r="G13881" t="s">
        <v>43</v>
      </c>
      <c r="I13881" s="8"/>
      <c r="O13881" t="str">
        <f>LEFT(Table2[[#This Row],[Description]],75)</f>
        <v>HOTEL ON BOOKING.COMAMSTERDAM           NL</v>
      </c>
    </row>
    <row r="13882" spans="1:15" hidden="1">
      <c r="A13882">
        <v>202507</v>
      </c>
      <c r="B13882" s="6">
        <v>45854</v>
      </c>
      <c r="C13882" t="s">
        <v>130</v>
      </c>
      <c r="D13882" t="s">
        <v>6562</v>
      </c>
      <c r="E13882">
        <v>572.36</v>
      </c>
      <c r="F13882" t="str">
        <f>IF(Table2[[#This Row],[Manual Cat Value]]="",Table2[[#This Row],[Suggested Cat Value]],VLOOKUP(Table2[[#This Row],[Manual Cat Value]],Lookup!G:H,2,0))</f>
        <v>Transportation</v>
      </c>
      <c r="G13882" t="s">
        <v>23</v>
      </c>
      <c r="I13882" s="8"/>
      <c r="O13882" t="str">
        <f>LEFT(Table2[[#This Row],[Description]],75)</f>
        <v>RUDY LUTHER TOYOTA MGOLDEN VALLEY       MN</v>
      </c>
    </row>
    <row r="13883" spans="1:15" hidden="1">
      <c r="A13883">
        <v>202509</v>
      </c>
      <c r="B13883" s="6">
        <v>45929</v>
      </c>
      <c r="C13883" t="s">
        <v>130</v>
      </c>
      <c r="D13883" t="s">
        <v>6563</v>
      </c>
      <c r="E13883">
        <v>523.48</v>
      </c>
      <c r="F13883" t="str">
        <f>IF(Table2[[#This Row],[Manual Cat Value]]="",Table2[[#This Row],[Suggested Cat Value]],VLOOKUP(Table2[[#This Row],[Manual Cat Value]],Lookup!G:H,2,0))</f>
        <v>Restaurants</v>
      </c>
      <c r="G13883" t="s">
        <v>26</v>
      </c>
      <c r="I13883" s="8"/>
      <c r="O13883" t="str">
        <f>LEFT(Table2[[#This Row],[Description]],75)</f>
        <v>AplPay AIRBNB * HM4BSAN FRANCISCO       CA</v>
      </c>
    </row>
    <row r="13884" spans="1:15" hidden="1">
      <c r="A13884">
        <v>202508</v>
      </c>
      <c r="B13884" s="6">
        <v>45894</v>
      </c>
      <c r="C13884" t="s">
        <v>2519</v>
      </c>
      <c r="D13884" t="s">
        <v>1466</v>
      </c>
      <c r="E13884">
        <v>519.11</v>
      </c>
      <c r="F13884" t="str">
        <f>IF(Table2[[#This Row],[Manual Cat Value]]="",Table2[[#This Row],[Suggested Cat Value]],VLOOKUP(Table2[[#This Row],[Manual Cat Value]],Lookup!G:H,2,0))</f>
        <v>Target</v>
      </c>
      <c r="G13884" t="s">
        <v>7</v>
      </c>
      <c r="H13884" s="8" t="s">
        <v>30</v>
      </c>
      <c r="I13884" s="8"/>
      <c r="O13884" t="str">
        <f>LEFT(Table2[[#This Row],[Description]],75)</f>
        <v>Payment to Target</v>
      </c>
    </row>
    <row r="13885" spans="1:15" hidden="1">
      <c r="A13885">
        <v>202510</v>
      </c>
      <c r="B13885" s="6">
        <v>45958</v>
      </c>
      <c r="C13885" t="s">
        <v>2519</v>
      </c>
      <c r="D13885" t="s">
        <v>1464</v>
      </c>
      <c r="E13885">
        <v>492.32</v>
      </c>
      <c r="F13885" t="str">
        <f>IF(Table2[[#This Row],[Manual Cat Value]]="",Table2[[#This Row],[Suggested Cat Value]],VLOOKUP(Table2[[#This Row],[Manual Cat Value]],Lookup!G:H,2,0))</f>
        <v>Savings</v>
      </c>
      <c r="G13885" t="s">
        <v>59</v>
      </c>
      <c r="I13885" s="8"/>
      <c r="O13885" t="str">
        <f>LEFT(Table2[[#This Row],[Description]],75)</f>
        <v>Payment to Discover Bank</v>
      </c>
    </row>
    <row r="13886" spans="1:15" hidden="1">
      <c r="A13886">
        <v>202507</v>
      </c>
      <c r="B13886" s="6">
        <v>45862</v>
      </c>
      <c r="C13886" t="s">
        <v>130</v>
      </c>
      <c r="D13886" t="s">
        <v>6564</v>
      </c>
      <c r="E13886">
        <v>462.17</v>
      </c>
      <c r="F13886" t="str">
        <f>IF(Table2[[#This Row],[Manual Cat Value]]="",Table2[[#This Row],[Suggested Cat Value]],VLOOKUP(Table2[[#This Row],[Manual Cat Value]],Lookup!G:H,2,0))</f>
        <v>Travel</v>
      </c>
      <c r="G13886" t="s">
        <v>54</v>
      </c>
      <c r="H13886" s="8" t="s">
        <v>52</v>
      </c>
      <c r="I13886" s="8"/>
      <c r="O13886" t="str">
        <f>LEFT(Table2[[#This Row],[Description]],75)</f>
        <v>NATIONAL CAR R189900DENVER              CO</v>
      </c>
    </row>
    <row r="13887" spans="1:15" hidden="1">
      <c r="A13887">
        <v>202508</v>
      </c>
      <c r="B13887" s="6">
        <v>45893</v>
      </c>
      <c r="C13887" t="s">
        <v>130</v>
      </c>
      <c r="D13887" t="s">
        <v>6565</v>
      </c>
      <c r="E13887">
        <v>449.02</v>
      </c>
      <c r="F13887" t="str">
        <f>IF(Table2[[#This Row],[Manual Cat Value]]="",Table2[[#This Row],[Suggested Cat Value]],VLOOKUP(Table2[[#This Row],[Manual Cat Value]],Lookup!G:H,2,0))</f>
        <v>Shopping</v>
      </c>
      <c r="H13887" s="8" t="s">
        <v>36</v>
      </c>
      <c r="I13887" s="8"/>
      <c r="O13887" t="str">
        <f>LEFT(Table2[[#This Row],[Description]],75)</f>
        <v>SPOT 4 GUNS 0847    FEASTERVILLE-       PA</v>
      </c>
    </row>
    <row r="13888" spans="1:15" hidden="1">
      <c r="A13888">
        <v>202510</v>
      </c>
      <c r="B13888" s="6">
        <v>45952</v>
      </c>
      <c r="C13888" t="s">
        <v>130</v>
      </c>
      <c r="D13888" t="s">
        <v>6566</v>
      </c>
      <c r="E13888">
        <v>429.78</v>
      </c>
      <c r="F13888" t="str">
        <f>IF(Table2[[#This Row],[Manual Cat Value]]="",Table2[[#This Row],[Suggested Cat Value]],VLOOKUP(Table2[[#This Row],[Manual Cat Value]],Lookup!G:H,2,0))</f>
        <v>Delete</v>
      </c>
      <c r="G13888" t="s">
        <v>9</v>
      </c>
      <c r="I13888" s="8"/>
      <c r="O13888" t="str">
        <f>LEFT(Table2[[#This Row],[Description]],75)</f>
        <v>COQBULL CORK        CORK                IR</v>
      </c>
    </row>
    <row r="13889" spans="1:15" hidden="1">
      <c r="A13889">
        <v>202509</v>
      </c>
      <c r="B13889" s="6">
        <v>45907</v>
      </c>
      <c r="C13889" t="s">
        <v>130</v>
      </c>
      <c r="D13889" t="s">
        <v>6567</v>
      </c>
      <c r="E13889">
        <v>423.43</v>
      </c>
      <c r="F13889" t="str">
        <f>IF(Table2[[#This Row],[Manual Cat Value]]="",Table2[[#This Row],[Suggested Cat Value]],VLOOKUP(Table2[[#This Row],[Manual Cat Value]],Lookup!G:H,2,0))</f>
        <v>Restaurants</v>
      </c>
      <c r="H13889" s="8" t="s">
        <v>25</v>
      </c>
      <c r="I13889" s="8"/>
      <c r="O13889" t="str">
        <f>LEFT(Table2[[#This Row],[Description]],75)</f>
        <v>SMOOKITALIA BV      ROTTERDAM           NL</v>
      </c>
    </row>
    <row r="13890" spans="1:15" hidden="1">
      <c r="A13890">
        <v>202506</v>
      </c>
      <c r="B13890" s="6">
        <v>45827</v>
      </c>
      <c r="C13890" t="s">
        <v>130</v>
      </c>
      <c r="D13890" t="s">
        <v>6568</v>
      </c>
      <c r="E13890">
        <v>389.6</v>
      </c>
      <c r="F13890" t="str">
        <f>IF(Table2[[#This Row],[Manual Cat Value]]="",Table2[[#This Row],[Suggested Cat Value]],VLOOKUP(Table2[[#This Row],[Manual Cat Value]],Lookup!G:H,2,0))</f>
        <v>House Maintenance</v>
      </c>
      <c r="G13890" t="s">
        <v>29</v>
      </c>
      <c r="H13890" s="8" t="s">
        <v>1</v>
      </c>
      <c r="I13890" s="8"/>
      <c r="O13890" t="str">
        <f>LEFT(Table2[[#This Row],[Description]],75)</f>
        <v>MIDWEST AQUA CARE   JORDAN              MN</v>
      </c>
    </row>
    <row r="13891" spans="1:15" hidden="1">
      <c r="A13891">
        <v>202506</v>
      </c>
      <c r="B13891" s="6">
        <v>45837</v>
      </c>
      <c r="C13891" t="s">
        <v>130</v>
      </c>
      <c r="D13891" t="s">
        <v>6569</v>
      </c>
      <c r="E13891">
        <v>386.17</v>
      </c>
      <c r="F13891" t="str">
        <f>IF(Table2[[#This Row],[Manual Cat Value]]="",Table2[[#This Row],[Suggested Cat Value]],VLOOKUP(Table2[[#This Row],[Manual Cat Value]],Lookup!G:H,2,0))</f>
        <v>Restaurants</v>
      </c>
      <c r="G13891" t="s">
        <v>26</v>
      </c>
      <c r="I13891" s="8"/>
      <c r="O13891" t="str">
        <f>LEFT(Table2[[#This Row],[Description]],75)</f>
        <v>TST* PORZANA 3006404MINNEAPOLIS         MN</v>
      </c>
    </row>
    <row r="13892" spans="1:15" hidden="1">
      <c r="A13892">
        <v>202507</v>
      </c>
      <c r="B13892" s="6">
        <v>45856</v>
      </c>
      <c r="C13892" t="s">
        <v>130</v>
      </c>
      <c r="D13892" t="s">
        <v>5890</v>
      </c>
      <c r="E13892">
        <v>378</v>
      </c>
      <c r="F13892" t="str">
        <f>IF(Table2[[#This Row],[Manual Cat Value]]="",Table2[[#This Row],[Suggested Cat Value]],VLOOKUP(Table2[[#This Row],[Manual Cat Value]],Lookup!G:H,2,0))</f>
        <v>Day Care</v>
      </c>
      <c r="G13892" t="s">
        <v>20</v>
      </c>
      <c r="I13892" s="8"/>
      <c r="O13892" t="str">
        <f>LEFT(Table2[[#This Row],[Description]],75)</f>
        <v>BCS*MINNETONKA COMMUEXCELSIOR           MN</v>
      </c>
    </row>
    <row r="13893" spans="1:15" hidden="1">
      <c r="A13893">
        <v>202510</v>
      </c>
      <c r="B13893" s="6">
        <v>45931</v>
      </c>
      <c r="C13893" t="s">
        <v>2519</v>
      </c>
      <c r="D13893" t="s">
        <v>1355</v>
      </c>
      <c r="E13893">
        <v>377.06</v>
      </c>
      <c r="F13893" t="str">
        <f>IF(Table2[[#This Row],[Manual Cat Value]]="",Table2[[#This Row],[Suggested Cat Value]],VLOOKUP(Table2[[#This Row],[Manual Cat Value]],Lookup!G:H,2,0))</f>
        <v>Shopping</v>
      </c>
      <c r="G13893" t="s">
        <v>21</v>
      </c>
      <c r="I13893" s="8"/>
      <c r="O13893" t="str">
        <f>LEFT(Table2[[#This Row],[Description]],75)</f>
        <v>Nordstrom</v>
      </c>
    </row>
    <row r="13894" spans="1:15" hidden="1">
      <c r="A13894">
        <v>202508</v>
      </c>
      <c r="B13894" s="6">
        <v>45888</v>
      </c>
      <c r="C13894" t="s">
        <v>130</v>
      </c>
      <c r="D13894" t="s">
        <v>5847</v>
      </c>
      <c r="E13894">
        <v>375.95</v>
      </c>
      <c r="F13894" t="str">
        <f>IF(Table2[[#This Row],[Manual Cat Value]]="",Table2[[#This Row],[Suggested Cat Value]],VLOOKUP(Table2[[#This Row],[Manual Cat Value]],Lookup!G:H,2,0))</f>
        <v>Shopping</v>
      </c>
      <c r="G13894" t="s">
        <v>21</v>
      </c>
      <c r="I13894" s="8"/>
      <c r="O13894" t="str">
        <f>LEFT(Table2[[#This Row],[Description]],75)</f>
        <v>ANTHROPOLOGIE.COM   PHILADELPHIA        PA</v>
      </c>
    </row>
    <row r="13895" spans="1:15" hidden="1">
      <c r="A13895">
        <v>202509</v>
      </c>
      <c r="B13895" s="6">
        <v>45915</v>
      </c>
      <c r="C13895" t="s">
        <v>2519</v>
      </c>
      <c r="D13895" t="s">
        <v>1464</v>
      </c>
      <c r="E13895">
        <v>375.86</v>
      </c>
      <c r="F13895" t="str">
        <f>IF(Table2[[#This Row],[Manual Cat Value]]="",Table2[[#This Row],[Suggested Cat Value]],VLOOKUP(Table2[[#This Row],[Manual Cat Value]],Lookup!G:H,2,0))</f>
        <v>Savings</v>
      </c>
      <c r="G13895" t="s">
        <v>59</v>
      </c>
      <c r="I13895" s="8"/>
      <c r="O13895" t="str">
        <f>LEFT(Table2[[#This Row],[Description]],75)</f>
        <v>Payment to Discover Bank</v>
      </c>
    </row>
    <row r="13896" spans="1:15" hidden="1">
      <c r="A13896">
        <v>202507</v>
      </c>
      <c r="B13896" s="6">
        <v>45863</v>
      </c>
      <c r="C13896" t="s">
        <v>130</v>
      </c>
      <c r="D13896" t="s">
        <v>6570</v>
      </c>
      <c r="E13896">
        <v>362.78</v>
      </c>
      <c r="F13896" t="str">
        <f>IF(Table2[[#This Row],[Manual Cat Value]]="",Table2[[#This Row],[Suggested Cat Value]],VLOOKUP(Table2[[#This Row],[Manual Cat Value]],Lookup!G:H,2,0))</f>
        <v>House Maintenance</v>
      </c>
      <c r="G13896" t="s">
        <v>2</v>
      </c>
      <c r="I13896" s="8"/>
      <c r="O13896" t="str">
        <f>LEFT(Table2[[#This Row],[Description]],75)</f>
        <v>HOMEDEPOT.COM       800-430-3376        GA</v>
      </c>
    </row>
    <row r="13897" spans="1:15" hidden="1">
      <c r="A13897">
        <v>202507</v>
      </c>
      <c r="B13897" s="6">
        <v>45853</v>
      </c>
      <c r="C13897" t="s">
        <v>130</v>
      </c>
      <c r="D13897" t="s">
        <v>6132</v>
      </c>
      <c r="E13897">
        <v>357.5</v>
      </c>
      <c r="F13897" t="str">
        <f>IF(Table2[[#This Row],[Manual Cat Value]]="",Table2[[#This Row],[Suggested Cat Value]],VLOOKUP(Table2[[#This Row],[Manual Cat Value]],Lookup!G:H,2,0))</f>
        <v>Day Care</v>
      </c>
      <c r="G13897" t="s">
        <v>20</v>
      </c>
      <c r="I13897" s="8"/>
      <c r="O13897" t="str">
        <f>LEFT(Table2[[#This Row],[Description]],75)</f>
        <v>ACTIVEWORKS  CAMPS  DALLAS              TX</v>
      </c>
    </row>
    <row r="13898" spans="1:15" hidden="1">
      <c r="A13898">
        <v>202507</v>
      </c>
      <c r="B13898" s="6">
        <v>45853</v>
      </c>
      <c r="C13898" t="s">
        <v>130</v>
      </c>
      <c r="D13898" t="s">
        <v>6132</v>
      </c>
      <c r="E13898">
        <v>357.5</v>
      </c>
      <c r="F13898" t="str">
        <f>IF(Table2[[#This Row],[Manual Cat Value]]="",Table2[[#This Row],[Suggested Cat Value]],VLOOKUP(Table2[[#This Row],[Manual Cat Value]],Lookup!G:H,2,0))</f>
        <v>Day Care</v>
      </c>
      <c r="G13898" t="s">
        <v>20</v>
      </c>
      <c r="I13898" s="8"/>
      <c r="O13898" t="str">
        <f>LEFT(Table2[[#This Row],[Description]],75)</f>
        <v>ACTIVEWORKS  CAMPS  DALLAS              TX</v>
      </c>
    </row>
    <row r="13899" spans="1:15" hidden="1">
      <c r="A13899">
        <v>202508</v>
      </c>
      <c r="B13899" s="6">
        <v>45879</v>
      </c>
      <c r="C13899" t="s">
        <v>130</v>
      </c>
      <c r="D13899" t="s">
        <v>5847</v>
      </c>
      <c r="E13899">
        <v>356</v>
      </c>
      <c r="F13899" t="str">
        <f>IF(Table2[[#This Row],[Manual Cat Value]]="",Table2[[#This Row],[Suggested Cat Value]],VLOOKUP(Table2[[#This Row],[Manual Cat Value]],Lookup!G:H,2,0))</f>
        <v>Shopping</v>
      </c>
      <c r="G13899" t="s">
        <v>21</v>
      </c>
      <c r="I13899" s="8"/>
      <c r="O13899" t="str">
        <f>LEFT(Table2[[#This Row],[Description]],75)</f>
        <v>ANTHROPOLOGIE.COM   PHILADELPHIA        PA</v>
      </c>
    </row>
    <row r="13900" spans="1:15" hidden="1">
      <c r="A13900">
        <v>202508</v>
      </c>
      <c r="B13900" s="6">
        <v>45870</v>
      </c>
      <c r="C13900" t="s">
        <v>2519</v>
      </c>
      <c r="D13900" t="s">
        <v>1464</v>
      </c>
      <c r="E13900">
        <v>355.18</v>
      </c>
      <c r="F13900" t="str">
        <f>IF(Table2[[#This Row],[Manual Cat Value]]="",Table2[[#This Row],[Suggested Cat Value]],VLOOKUP(Table2[[#This Row],[Manual Cat Value]],Lookup!G:H,2,0))</f>
        <v>Savings</v>
      </c>
      <c r="G13900" t="s">
        <v>59</v>
      </c>
      <c r="I13900" s="8"/>
      <c r="O13900" t="str">
        <f>LEFT(Table2[[#This Row],[Description]],75)</f>
        <v>Payment to Discover Bank</v>
      </c>
    </row>
    <row r="13901" spans="1:15" hidden="1">
      <c r="A13901">
        <v>202508</v>
      </c>
      <c r="B13901" s="6">
        <v>45887</v>
      </c>
      <c r="C13901" t="s">
        <v>130</v>
      </c>
      <c r="D13901" t="s">
        <v>6571</v>
      </c>
      <c r="E13901">
        <v>323.58</v>
      </c>
      <c r="F13901" t="str">
        <f>IF(Table2[[#This Row],[Manual Cat Value]]="",Table2[[#This Row],[Suggested Cat Value]],VLOOKUP(Table2[[#This Row],[Manual Cat Value]],Lookup!G:H,2,0))</f>
        <v>Travel</v>
      </c>
      <c r="H13901" s="8" t="s">
        <v>52</v>
      </c>
      <c r="I13901" s="8"/>
      <c r="O13901" t="str">
        <f>LEFT(Table2[[#This Row],[Description]],75)</f>
        <v>BRITISH AIRWAYS IT DITALY               IT</v>
      </c>
    </row>
    <row r="13902" spans="1:15" hidden="1">
      <c r="A13902">
        <v>202507</v>
      </c>
      <c r="B13902" s="6">
        <v>45848</v>
      </c>
      <c r="C13902" t="s">
        <v>130</v>
      </c>
      <c r="D13902" t="s">
        <v>6572</v>
      </c>
      <c r="E13902">
        <v>322.17</v>
      </c>
      <c r="F13902" t="str">
        <f>IF(Table2[[#This Row],[Manual Cat Value]]="",Table2[[#This Row],[Suggested Cat Value]],VLOOKUP(Table2[[#This Row],[Manual Cat Value]],Lookup!G:H,2,0))</f>
        <v>Restaurants</v>
      </c>
      <c r="G13902" t="s">
        <v>26</v>
      </c>
      <c r="I13902" s="8"/>
      <c r="O13902" t="str">
        <f>LEFT(Table2[[#This Row],[Description]],75)</f>
        <v>INDIANHEAD SUPPER CLBALSAM LAKE         WI</v>
      </c>
    </row>
    <row r="13903" spans="1:15" hidden="1">
      <c r="A13903">
        <v>202510</v>
      </c>
      <c r="B13903" s="6">
        <v>45938</v>
      </c>
      <c r="C13903" t="s">
        <v>130</v>
      </c>
      <c r="D13903" t="s">
        <v>6573</v>
      </c>
      <c r="E13903">
        <v>310.52</v>
      </c>
      <c r="F13903" t="str">
        <f>IF(Table2[[#This Row],[Manual Cat Value]]="",Table2[[#This Row],[Suggested Cat Value]],VLOOKUP(Table2[[#This Row],[Manual Cat Value]],Lookup!G:H,2,0))</f>
        <v>Delete</v>
      </c>
      <c r="G13903" t="s">
        <v>28</v>
      </c>
      <c r="H13903" s="8" t="s">
        <v>9</v>
      </c>
      <c r="I13903" s="8"/>
      <c r="O13903" t="str">
        <f>LEFT(Table2[[#This Row],[Description]],75)</f>
        <v>AXETHROWINGCORK.COM CORK</v>
      </c>
    </row>
    <row r="13904" spans="1:15" hidden="1">
      <c r="A13904">
        <v>202507</v>
      </c>
      <c r="B13904" s="6">
        <v>45839</v>
      </c>
      <c r="C13904" t="s">
        <v>2519</v>
      </c>
      <c r="D13904" t="s">
        <v>5148</v>
      </c>
      <c r="E13904">
        <v>297.61</v>
      </c>
      <c r="F13904" t="str">
        <f>IF(Table2[[#This Row],[Manual Cat Value]]="",Table2[[#This Row],[Suggested Cat Value]],VLOOKUP(Table2[[#This Row],[Manual Cat Value]],Lookup!G:H,2,0))</f>
        <v>Utilities</v>
      </c>
      <c r="G13904" t="s">
        <v>7</v>
      </c>
      <c r="I13904" s="8"/>
      <c r="O13904" t="str">
        <f>LEFT(Table2[[#This Row],[Description]],75)</f>
        <v>Payment to AT&amp;T</v>
      </c>
    </row>
    <row r="13905" spans="1:15" hidden="1">
      <c r="A13905">
        <v>202508</v>
      </c>
      <c r="B13905" s="6">
        <v>45900</v>
      </c>
      <c r="C13905" t="s">
        <v>3938</v>
      </c>
      <c r="D13905" t="s">
        <v>6574</v>
      </c>
      <c r="E13905">
        <v>287.13</v>
      </c>
      <c r="F13905" t="str">
        <f>IF(Table2[[#This Row],[Manual Cat Value]]="",Table2[[#This Row],[Suggested Cat Value]],VLOOKUP(Table2[[#This Row],[Manual Cat Value]],Lookup!G:H,2,0))</f>
        <v>Groceries</v>
      </c>
      <c r="H13905" s="8" t="s">
        <v>27</v>
      </c>
      <c r="I13905" s="8"/>
      <c r="O13905" t="str">
        <f>LEFT(Table2[[#This Row],[Description]],75)</f>
        <v>SP PUR COLD PRESSED PURCOLDPRESSETX REF #XX1347J2X65P1PJ</v>
      </c>
    </row>
    <row r="13906" spans="1:15" hidden="1">
      <c r="A13906">
        <v>202506</v>
      </c>
      <c r="B13906" s="6">
        <v>45830</v>
      </c>
      <c r="C13906" t="s">
        <v>130</v>
      </c>
      <c r="D13906" t="s">
        <v>5820</v>
      </c>
      <c r="E13906">
        <v>287.07</v>
      </c>
      <c r="F13906" t="str">
        <f>IF(Table2[[#This Row],[Manual Cat Value]]="",Table2[[#This Row],[Suggested Cat Value]],VLOOKUP(Table2[[#This Row],[Manual Cat Value]],Lookup!G:H,2,0))</f>
        <v>Travel</v>
      </c>
      <c r="G13906" t="s">
        <v>26</v>
      </c>
      <c r="H13906" s="8" t="s">
        <v>52</v>
      </c>
      <c r="I13906" s="8"/>
      <c r="O13906" t="str">
        <f>LEFT(Table2[[#This Row],[Description]],75)</f>
        <v>INN ON LAKE SUPERIORDULUTH              MN</v>
      </c>
    </row>
    <row r="13907" spans="1:15" hidden="1">
      <c r="A13907">
        <v>202510</v>
      </c>
      <c r="B13907" s="6">
        <v>45936</v>
      </c>
      <c r="C13907" t="s">
        <v>2519</v>
      </c>
      <c r="D13907" t="s">
        <v>4523</v>
      </c>
      <c r="E13907">
        <v>285.58999999999997</v>
      </c>
      <c r="F13907" t="str">
        <f>IF(Table2[[#This Row],[Manual Cat Value]]="",Table2[[#This Row],[Suggested Cat Value]],VLOOKUP(Table2[[#This Row],[Manual Cat Value]],Lookup!G:H,2,0))</f>
        <v>Delete</v>
      </c>
      <c r="G13907" t="s">
        <v>7</v>
      </c>
      <c r="H13907" s="8" t="s">
        <v>9</v>
      </c>
      <c r="I13907" s="8"/>
      <c r="O13907" t="str">
        <f>LEFT(Table2[[#This Row],[Description]],75)</f>
        <v>Payment to Barclaycard US</v>
      </c>
    </row>
    <row r="13908" spans="1:15" hidden="1">
      <c r="A13908">
        <v>202509</v>
      </c>
      <c r="B13908" s="6">
        <v>45912</v>
      </c>
      <c r="C13908" t="s">
        <v>130</v>
      </c>
      <c r="D13908" t="s">
        <v>6575</v>
      </c>
      <c r="E13908">
        <v>280.5</v>
      </c>
      <c r="F13908" t="str">
        <f>IF(Table2[[#This Row],[Manual Cat Value]]="",Table2[[#This Row],[Suggested Cat Value]],VLOOKUP(Table2[[#This Row],[Manual Cat Value]],Lookup!G:H,2,0))</f>
        <v>Shopping</v>
      </c>
      <c r="H13908" s="8" t="s">
        <v>36</v>
      </c>
      <c r="I13908" s="8"/>
      <c r="O13908" t="str">
        <f>LEFT(Table2[[#This Row],[Description]],75)</f>
        <v>LS BIG WOOD COLLECTIEXCELSIOR           MN</v>
      </c>
    </row>
    <row r="13909" spans="1:15" hidden="1">
      <c r="A13909">
        <v>202509</v>
      </c>
      <c r="B13909" s="6">
        <v>45912</v>
      </c>
      <c r="C13909" t="s">
        <v>130</v>
      </c>
      <c r="D13909" t="s">
        <v>6194</v>
      </c>
      <c r="E13909">
        <v>280.25</v>
      </c>
      <c r="F13909" t="str">
        <f>IF(Table2[[#This Row],[Manual Cat Value]]="",Table2[[#This Row],[Suggested Cat Value]],VLOOKUP(Table2[[#This Row],[Manual Cat Value]],Lookup!G:H,2,0))</f>
        <v>Shopping</v>
      </c>
      <c r="G13909" t="s">
        <v>21</v>
      </c>
      <c r="I13909" s="8"/>
      <c r="O13909" t="str">
        <f>LEFT(Table2[[#This Row],[Description]],75)</f>
        <v>SP PATARASHOES.COM  LA JOLLA            CA</v>
      </c>
    </row>
    <row r="13910" spans="1:15" hidden="1">
      <c r="A13910">
        <v>202510</v>
      </c>
      <c r="B13910" s="6">
        <v>45947</v>
      </c>
      <c r="C13910" t="s">
        <v>2519</v>
      </c>
      <c r="D13910" t="s">
        <v>6576</v>
      </c>
      <c r="E13910">
        <v>275.2</v>
      </c>
      <c r="F13910" t="str">
        <f>IF(Table2[[#This Row],[Manual Cat Value]]="",Table2[[#This Row],[Suggested Cat Value]],VLOOKUP(Table2[[#This Row],[Manual Cat Value]],Lookup!G:H,2,0))</f>
        <v>Travel</v>
      </c>
      <c r="G13910" t="s">
        <v>43</v>
      </c>
      <c r="I13910" s="8"/>
      <c r="O13910" t="str">
        <f>LEFT(Table2[[#This Row],[Description]],75)</f>
        <v>Withdrawal at ATM #XX3402 Via dei mille 8 Roma IT Card 5404</v>
      </c>
    </row>
    <row r="13911" spans="1:15" hidden="1">
      <c r="A13911">
        <v>202509</v>
      </c>
      <c r="B13911" s="6">
        <v>45904</v>
      </c>
      <c r="C13911" t="s">
        <v>130</v>
      </c>
      <c r="D13911" t="s">
        <v>6577</v>
      </c>
      <c r="E13911">
        <v>271.60000000000002</v>
      </c>
      <c r="F13911" t="str">
        <f>IF(Table2[[#This Row],[Manual Cat Value]]="",Table2[[#This Row],[Suggested Cat Value]],VLOOKUP(Table2[[#This Row],[Manual Cat Value]],Lookup!G:H,2,0))</f>
        <v>Shopping</v>
      </c>
      <c r="H13911" s="8" t="s">
        <v>36</v>
      </c>
      <c r="I13911" s="8"/>
      <c r="O13911" t="str">
        <f>LEFT(Table2[[#This Row],[Description]],75)</f>
        <v>APPLE.COM/US        CUPERTINO           CA</v>
      </c>
    </row>
    <row r="13912" spans="1:15" hidden="1">
      <c r="A13912">
        <v>202506</v>
      </c>
      <c r="B13912" s="6">
        <v>45837</v>
      </c>
      <c r="C13912" t="s">
        <v>130</v>
      </c>
      <c r="D13912" t="s">
        <v>6219</v>
      </c>
      <c r="E13912">
        <v>269.85000000000002</v>
      </c>
      <c r="F13912" t="str">
        <f>IF(Table2[[#This Row],[Manual Cat Value]]="",Table2[[#This Row],[Suggested Cat Value]],VLOOKUP(Table2[[#This Row],[Manual Cat Value]],Lookup!G:H,2,0))</f>
        <v>House Maintenance</v>
      </c>
      <c r="G13912" t="s">
        <v>2</v>
      </c>
      <c r="I13912" s="8"/>
      <c r="O13912" t="str">
        <f>LEFT(Table2[[#This Row],[Description]],75)</f>
        <v>THE HOME DEPOT      CHASKA              MN</v>
      </c>
    </row>
    <row r="13913" spans="1:15" hidden="1">
      <c r="A13913">
        <v>202509</v>
      </c>
      <c r="B13913" s="6">
        <v>45908</v>
      </c>
      <c r="C13913" t="s">
        <v>3938</v>
      </c>
      <c r="D13913" t="s">
        <v>648</v>
      </c>
      <c r="E13913">
        <v>263.10000000000002</v>
      </c>
      <c r="F13913" t="str">
        <f>IF(Table2[[#This Row],[Manual Cat Value]]="",Table2[[#This Row],[Suggested Cat Value]],VLOOKUP(Table2[[#This Row],[Manual Cat Value]],Lookup!G:H,2,0))</f>
        <v>Groceries</v>
      </c>
      <c r="G13913" t="s">
        <v>28</v>
      </c>
      <c r="I13913" s="8"/>
      <c r="O13913" t="str">
        <f>LEFT(Table2[[#This Row],[Description]],75)</f>
        <v>Costco</v>
      </c>
    </row>
    <row r="13914" spans="1:15" hidden="1">
      <c r="A13914">
        <v>202510</v>
      </c>
      <c r="B13914" s="6">
        <v>45948</v>
      </c>
      <c r="C13914" t="s">
        <v>130</v>
      </c>
      <c r="D13914" t="s">
        <v>6578</v>
      </c>
      <c r="E13914">
        <v>251.94</v>
      </c>
      <c r="F13914" t="str">
        <f>IF(Table2[[#This Row],[Manual Cat Value]]="",Table2[[#This Row],[Suggested Cat Value]],VLOOKUP(Table2[[#This Row],[Manual Cat Value]],Lookup!G:H,2,0))</f>
        <v>Restaurants</v>
      </c>
      <c r="H13914" s="8" t="s">
        <v>25</v>
      </c>
      <c r="I13914" s="8"/>
      <c r="O13914" t="str">
        <f>LEFT(Table2[[#This Row],[Description]],75)</f>
        <v>CASA MONTI RISTORANTROMA</v>
      </c>
    </row>
    <row r="13915" spans="1:15" hidden="1">
      <c r="A13915">
        <v>202508</v>
      </c>
      <c r="B13915" s="6">
        <v>45887</v>
      </c>
      <c r="C13915" t="s">
        <v>3938</v>
      </c>
      <c r="D13915" t="s">
        <v>648</v>
      </c>
      <c r="E13915">
        <v>251.27</v>
      </c>
      <c r="F13915" t="str">
        <f>IF(Table2[[#This Row],[Manual Cat Value]]="",Table2[[#This Row],[Suggested Cat Value]],VLOOKUP(Table2[[#This Row],[Manual Cat Value]],Lookup!G:H,2,0))</f>
        <v>Groceries</v>
      </c>
      <c r="G13915" t="s">
        <v>28</v>
      </c>
      <c r="I13915" s="8"/>
      <c r="O13915" t="str">
        <f>LEFT(Table2[[#This Row],[Description]],75)</f>
        <v>Costco</v>
      </c>
    </row>
    <row r="13916" spans="1:15" hidden="1">
      <c r="A13916">
        <v>202509</v>
      </c>
      <c r="B13916" s="6">
        <v>45930</v>
      </c>
      <c r="C13916" t="s">
        <v>2519</v>
      </c>
      <c r="D13916" t="s">
        <v>5148</v>
      </c>
      <c r="E13916">
        <v>250.05</v>
      </c>
      <c r="F13916" t="str">
        <f>IF(Table2[[#This Row],[Manual Cat Value]]="",Table2[[#This Row],[Suggested Cat Value]],VLOOKUP(Table2[[#This Row],[Manual Cat Value]],Lookup!G:H,2,0))</f>
        <v>Utilities</v>
      </c>
      <c r="G13916" t="s">
        <v>7</v>
      </c>
      <c r="I13916" s="8"/>
      <c r="O13916" t="str">
        <f>LEFT(Table2[[#This Row],[Description]],75)</f>
        <v>Payment to AT&amp;T</v>
      </c>
    </row>
    <row r="13917" spans="1:15" hidden="1">
      <c r="A13917">
        <v>202508</v>
      </c>
      <c r="B13917" s="6">
        <v>45879</v>
      </c>
      <c r="C13917" t="s">
        <v>130</v>
      </c>
      <c r="D13917" t="s">
        <v>5847</v>
      </c>
      <c r="E13917">
        <v>248</v>
      </c>
      <c r="F13917" t="str">
        <f>IF(Table2[[#This Row],[Manual Cat Value]]="",Table2[[#This Row],[Suggested Cat Value]],VLOOKUP(Table2[[#This Row],[Manual Cat Value]],Lookup!G:H,2,0))</f>
        <v>Shopping</v>
      </c>
      <c r="G13917" t="s">
        <v>21</v>
      </c>
      <c r="I13917" s="8"/>
      <c r="O13917" t="str">
        <f>LEFT(Table2[[#This Row],[Description]],75)</f>
        <v>ANTHROPOLOGIE.COM   PHILADELPHIA        PA</v>
      </c>
    </row>
    <row r="13918" spans="1:15" hidden="1">
      <c r="A13918">
        <v>202506</v>
      </c>
      <c r="B13918" s="6">
        <v>45831</v>
      </c>
      <c r="C13918" t="s">
        <v>3938</v>
      </c>
      <c r="D13918" t="s">
        <v>648</v>
      </c>
      <c r="E13918">
        <v>247.97</v>
      </c>
      <c r="F13918" t="str">
        <f>IF(Table2[[#This Row],[Manual Cat Value]]="",Table2[[#This Row],[Suggested Cat Value]],VLOOKUP(Table2[[#This Row],[Manual Cat Value]],Lookup!G:H,2,0))</f>
        <v>Groceries</v>
      </c>
      <c r="G13918" t="s">
        <v>28</v>
      </c>
      <c r="I13918" s="8"/>
      <c r="O13918" t="str">
        <f>LEFT(Table2[[#This Row],[Description]],75)</f>
        <v>Costco</v>
      </c>
    </row>
    <row r="13919" spans="1:15" hidden="1">
      <c r="A13919">
        <v>202510</v>
      </c>
      <c r="B13919" s="6">
        <v>45961</v>
      </c>
      <c r="C13919" t="s">
        <v>2519</v>
      </c>
      <c r="D13919" t="s">
        <v>5148</v>
      </c>
      <c r="E13919">
        <v>247.73</v>
      </c>
      <c r="F13919" t="str">
        <f>IF(Table2[[#This Row],[Manual Cat Value]]="",Table2[[#This Row],[Suggested Cat Value]],VLOOKUP(Table2[[#This Row],[Manual Cat Value]],Lookup!G:H,2,0))</f>
        <v>Utilities</v>
      </c>
      <c r="G13919" t="s">
        <v>7</v>
      </c>
      <c r="I13919" s="8"/>
      <c r="O13919" t="str">
        <f>LEFT(Table2[[#This Row],[Description]],75)</f>
        <v>Payment to AT&amp;T</v>
      </c>
    </row>
    <row r="13920" spans="1:15" hidden="1">
      <c r="A13920">
        <v>202509</v>
      </c>
      <c r="B13920" s="6">
        <v>45919</v>
      </c>
      <c r="C13920" t="s">
        <v>2519</v>
      </c>
      <c r="D13920" t="s">
        <v>1955</v>
      </c>
      <c r="E13920">
        <v>244.08</v>
      </c>
      <c r="F13920" t="str">
        <f>IF(Table2[[#This Row],[Manual Cat Value]]="",Table2[[#This Row],[Suggested Cat Value]],VLOOKUP(Table2[[#This Row],[Manual Cat Value]],Lookup!G:H,2,0))</f>
        <v>Shopping</v>
      </c>
      <c r="G13920" t="s">
        <v>21</v>
      </c>
      <c r="I13920" s="8"/>
      <c r="O13920" t="str">
        <f>LEFT(Table2[[#This Row],[Description]],75)</f>
        <v>Transfer to PayPal</v>
      </c>
    </row>
    <row r="13921" spans="1:15" hidden="1">
      <c r="A13921">
        <v>202509</v>
      </c>
      <c r="B13921" s="6">
        <v>45908</v>
      </c>
      <c r="C13921" t="s">
        <v>2519</v>
      </c>
      <c r="D13921" t="s">
        <v>1470</v>
      </c>
      <c r="E13921">
        <v>241.74</v>
      </c>
      <c r="F13921" t="str">
        <f>IF(Table2[[#This Row],[Manual Cat Value]]="",Table2[[#This Row],[Suggested Cat Value]],VLOOKUP(Table2[[#This Row],[Manual Cat Value]],Lookup!G:H,2,0))</f>
        <v>Utilities</v>
      </c>
      <c r="G13921" t="s">
        <v>7</v>
      </c>
      <c r="I13921" s="8"/>
      <c r="O13921" t="str">
        <f>LEFT(Table2[[#This Row],[Description]],75)</f>
        <v>Payment to Xcel Energy</v>
      </c>
    </row>
    <row r="13922" spans="1:15" hidden="1">
      <c r="A13922">
        <v>202510</v>
      </c>
      <c r="B13922" s="6">
        <v>45955</v>
      </c>
      <c r="C13922" t="s">
        <v>130</v>
      </c>
      <c r="D13922" t="s">
        <v>6579</v>
      </c>
      <c r="E13922">
        <v>241.71</v>
      </c>
      <c r="F13922" t="str">
        <f>IF(Table2[[#This Row],[Manual Cat Value]]="",Table2[[#This Row],[Suggested Cat Value]],VLOOKUP(Table2[[#This Row],[Manual Cat Value]],Lookup!G:H,2,0))</f>
        <v>Cleaning</v>
      </c>
      <c r="G13922" t="s">
        <v>14</v>
      </c>
      <c r="I13922" s="8"/>
      <c r="O13922" t="str">
        <f>LEFT(Table2[[#This Row],[Description]],75)</f>
        <v>CLEANING PLUS LLC (DSaint Paul          MN</v>
      </c>
    </row>
    <row r="13923" spans="1:15" hidden="1">
      <c r="A13923">
        <v>202509</v>
      </c>
      <c r="B13923" s="6">
        <v>45916</v>
      </c>
      <c r="C13923" t="s">
        <v>130</v>
      </c>
      <c r="D13923" t="s">
        <v>6580</v>
      </c>
      <c r="E13923">
        <v>237.57</v>
      </c>
      <c r="F13923" t="str">
        <f>IF(Table2[[#This Row],[Manual Cat Value]]="",Table2[[#This Row],[Suggested Cat Value]],VLOOKUP(Table2[[#This Row],[Manual Cat Value]],Lookup!G:H,2,0))</f>
        <v>Travel</v>
      </c>
      <c r="H13923" s="8" t="s">
        <v>52</v>
      </c>
      <c r="I13923" s="8"/>
      <c r="O13923" t="str">
        <f>LEFT(Table2[[#This Row],[Description]],75)</f>
        <v>GETYOURGUIDE OPERATIDOVER               DE</v>
      </c>
    </row>
    <row r="13924" spans="1:15" hidden="1">
      <c r="A13924">
        <v>202507</v>
      </c>
      <c r="B13924" s="6">
        <v>45856</v>
      </c>
      <c r="C13924" t="s">
        <v>130</v>
      </c>
      <c r="D13924" t="s">
        <v>6581</v>
      </c>
      <c r="E13924">
        <v>232.28</v>
      </c>
      <c r="F13924" t="str">
        <f>IF(Table2[[#This Row],[Manual Cat Value]]="",Table2[[#This Row],[Suggested Cat Value]],VLOOKUP(Table2[[#This Row],[Manual Cat Value]],Lookup!G:H,2,0))</f>
        <v>Restaurants</v>
      </c>
      <c r="G13924" t="s">
        <v>26</v>
      </c>
      <c r="I13924" s="8"/>
      <c r="O13924" t="str">
        <f>LEFT(Table2[[#This Row],[Description]],75)</f>
        <v>AplPay KING SOOPERS DENVER              CO</v>
      </c>
    </row>
    <row r="13925" spans="1:15" hidden="1">
      <c r="A13925">
        <v>202510</v>
      </c>
      <c r="B13925" s="6">
        <v>45953</v>
      </c>
      <c r="C13925" t="s">
        <v>3938</v>
      </c>
      <c r="D13925" t="s">
        <v>6582</v>
      </c>
      <c r="E13925">
        <v>230.81</v>
      </c>
      <c r="F13925" t="str">
        <f>IF(Table2[[#This Row],[Manual Cat Value]]="",Table2[[#This Row],[Suggested Cat Value]],VLOOKUP(Table2[[#This Row],[Manual Cat Value]],Lookup!G:H,2,0))</f>
        <v>Delete</v>
      </c>
      <c r="G13925" t="s">
        <v>9</v>
      </c>
      <c r="I13925" s="8"/>
      <c r="O13925" t="str">
        <f>LEFT(Table2[[#This Row],[Description]],75)</f>
        <v>AXE THROWING CORK CORK IE REF #XX9800NS55J2</v>
      </c>
    </row>
    <row r="13926" spans="1:15" hidden="1">
      <c r="A13926">
        <v>202510</v>
      </c>
      <c r="B13926" s="6">
        <v>45954</v>
      </c>
      <c r="C13926" t="s">
        <v>130</v>
      </c>
      <c r="D13926" t="s">
        <v>6583</v>
      </c>
      <c r="E13926">
        <v>229.42</v>
      </c>
      <c r="F13926" t="str">
        <f>IF(Table2[[#This Row],[Manual Cat Value]]="",Table2[[#This Row],[Suggested Cat Value]],VLOOKUP(Table2[[#This Row],[Manual Cat Value]],Lookup!G:H,2,0))</f>
        <v>Delete</v>
      </c>
      <c r="G13926" t="s">
        <v>9</v>
      </c>
      <c r="I13926" s="8"/>
      <c r="O13926" t="str">
        <f>LEFT(Table2[[#This Row],[Description]],75)</f>
        <v>MALAHIDE DUBLIN OPERDUBLIN 1            IR</v>
      </c>
    </row>
    <row r="13927" spans="1:15" hidden="1">
      <c r="A13927">
        <v>202509</v>
      </c>
      <c r="B13927" s="6">
        <v>45901</v>
      </c>
      <c r="C13927" t="s">
        <v>130</v>
      </c>
      <c r="D13927" t="s">
        <v>5725</v>
      </c>
      <c r="E13927">
        <v>226.6</v>
      </c>
      <c r="F13927" t="str">
        <f>IF(Table2[[#This Row],[Manual Cat Value]]="",Table2[[#This Row],[Suggested Cat Value]],VLOOKUP(Table2[[#This Row],[Manual Cat Value]],Lookup!G:H,2,0))</f>
        <v>Day Care</v>
      </c>
      <c r="G13927" t="s">
        <v>20</v>
      </c>
      <c r="I13927" s="8"/>
      <c r="O13927" t="str">
        <f>LEFT(Table2[[#This Row],[Description]],75)</f>
        <v>SCOUTING* RENEWAL FEIRVING              TX</v>
      </c>
    </row>
    <row r="13928" spans="1:15" hidden="1">
      <c r="A13928">
        <v>202511</v>
      </c>
      <c r="B13928" s="6">
        <v>45966</v>
      </c>
      <c r="C13928" t="s">
        <v>2519</v>
      </c>
      <c r="D13928" t="s">
        <v>1470</v>
      </c>
      <c r="E13928">
        <v>226.23</v>
      </c>
      <c r="F13928" t="str">
        <f>IF(Table2[[#This Row],[Manual Cat Value]]="",Table2[[#This Row],[Suggested Cat Value]],VLOOKUP(Table2[[#This Row],[Manual Cat Value]],Lookup!G:H,2,0))</f>
        <v>Utilities</v>
      </c>
      <c r="G13928" t="s">
        <v>7</v>
      </c>
      <c r="I13928" s="8"/>
      <c r="O13928" t="str">
        <f>LEFT(Table2[[#This Row],[Description]],75)</f>
        <v>Payment to Xcel Energy</v>
      </c>
    </row>
    <row r="13929" spans="1:15" hidden="1">
      <c r="A13929">
        <v>202508</v>
      </c>
      <c r="B13929" s="6">
        <v>45878</v>
      </c>
      <c r="C13929" t="s">
        <v>130</v>
      </c>
      <c r="D13929" t="s">
        <v>6063</v>
      </c>
      <c r="E13929">
        <v>221.99</v>
      </c>
      <c r="F13929" t="str">
        <f>IF(Table2[[#This Row],[Manual Cat Value]]="",Table2[[#This Row],[Suggested Cat Value]],VLOOKUP(Table2[[#This Row],[Manual Cat Value]],Lookup!G:H,2,0))</f>
        <v>Shopping</v>
      </c>
      <c r="G13929" t="s">
        <v>21</v>
      </c>
      <c r="I13929" s="8"/>
      <c r="O13929" t="str">
        <f>LEFT(Table2[[#This Row],[Description]],75)</f>
        <v>DICK'S SPORTING GOODCORAOPOLIS          PA</v>
      </c>
    </row>
    <row r="13930" spans="1:15" hidden="1">
      <c r="A13930">
        <v>202508</v>
      </c>
      <c r="B13930" s="6">
        <v>45885</v>
      </c>
      <c r="C13930" t="s">
        <v>130</v>
      </c>
      <c r="D13930" t="s">
        <v>5418</v>
      </c>
      <c r="E13930">
        <v>214.8</v>
      </c>
      <c r="F13930" t="str">
        <f>IF(Table2[[#This Row],[Manual Cat Value]]="",Table2[[#This Row],[Suggested Cat Value]],VLOOKUP(Table2[[#This Row],[Manual Cat Value]],Lookup!G:H,2,0))</f>
        <v>Travel</v>
      </c>
      <c r="G13930" t="s">
        <v>43</v>
      </c>
      <c r="I13930" s="8"/>
      <c r="O13930" t="str">
        <f>LEFT(Table2[[#This Row],[Description]],75)</f>
        <v>DELTA AIR LINES     ATLANTA</v>
      </c>
    </row>
    <row r="13931" spans="1:15" hidden="1">
      <c r="A13931">
        <v>202508</v>
      </c>
      <c r="B13931" s="6">
        <v>45885</v>
      </c>
      <c r="C13931" t="s">
        <v>130</v>
      </c>
      <c r="D13931" t="s">
        <v>5418</v>
      </c>
      <c r="E13931">
        <v>214.8</v>
      </c>
      <c r="F13931" t="str">
        <f>IF(Table2[[#This Row],[Manual Cat Value]]="",Table2[[#This Row],[Suggested Cat Value]],VLOOKUP(Table2[[#This Row],[Manual Cat Value]],Lookup!G:H,2,0))</f>
        <v>Travel</v>
      </c>
      <c r="G13931" t="s">
        <v>43</v>
      </c>
      <c r="I13931" s="8"/>
      <c r="O13931" t="str">
        <f>LEFT(Table2[[#This Row],[Description]],75)</f>
        <v>DELTA AIR LINES     ATLANTA</v>
      </c>
    </row>
    <row r="13932" spans="1:15" hidden="1">
      <c r="A13932">
        <v>202509</v>
      </c>
      <c r="B13932" s="6">
        <v>45902</v>
      </c>
      <c r="C13932" t="s">
        <v>2519</v>
      </c>
      <c r="D13932" t="s">
        <v>5148</v>
      </c>
      <c r="E13932">
        <v>214.16</v>
      </c>
      <c r="F13932" t="str">
        <f>IF(Table2[[#This Row],[Manual Cat Value]]="",Table2[[#This Row],[Suggested Cat Value]],VLOOKUP(Table2[[#This Row],[Manual Cat Value]],Lookup!G:H,2,0))</f>
        <v>Utilities</v>
      </c>
      <c r="G13932" t="s">
        <v>7</v>
      </c>
      <c r="I13932" s="8"/>
      <c r="O13932" t="str">
        <f>LEFT(Table2[[#This Row],[Description]],75)</f>
        <v>Payment to AT&amp;T</v>
      </c>
    </row>
    <row r="13933" spans="1:15" hidden="1">
      <c r="A13933">
        <v>202508</v>
      </c>
      <c r="B13933" s="6">
        <v>45886</v>
      </c>
      <c r="C13933" t="s">
        <v>130</v>
      </c>
      <c r="D13933" t="s">
        <v>6584</v>
      </c>
      <c r="E13933">
        <v>212</v>
      </c>
      <c r="F13933" t="str">
        <f>IF(Table2[[#This Row],[Manual Cat Value]]="",Table2[[#This Row],[Suggested Cat Value]],VLOOKUP(Table2[[#This Row],[Manual Cat Value]],Lookup!G:H,2,0))</f>
        <v>Restaurants</v>
      </c>
      <c r="G13933" t="s">
        <v>26</v>
      </c>
      <c r="I13933" s="8"/>
      <c r="O13933" t="str">
        <f>LEFT(Table2[[#This Row],[Description]],75)</f>
        <v>GARMISCH 2 0000     CABLE               WI</v>
      </c>
    </row>
    <row r="13934" spans="1:15" hidden="1">
      <c r="A13934">
        <v>202507</v>
      </c>
      <c r="B13934" s="6">
        <v>45866</v>
      </c>
      <c r="C13934" t="s">
        <v>130</v>
      </c>
      <c r="D13934" t="s">
        <v>6585</v>
      </c>
      <c r="E13934">
        <v>210.91</v>
      </c>
      <c r="F13934" t="str">
        <f>IF(Table2[[#This Row],[Manual Cat Value]]="",Table2[[#This Row],[Suggested Cat Value]],VLOOKUP(Table2[[#This Row],[Manual Cat Value]],Lookup!G:H,2,0))</f>
        <v>Utilities</v>
      </c>
      <c r="G13934" t="s">
        <v>7</v>
      </c>
      <c r="I13934" s="8"/>
      <c r="O13934" t="str">
        <f>LEFT(Table2[[#This Row],[Description]],75)</f>
        <v>SP LUMEN.ME         CLAYMONT            DE</v>
      </c>
    </row>
    <row r="13935" spans="1:15" hidden="1">
      <c r="A13935">
        <v>202509</v>
      </c>
      <c r="B13935" s="6">
        <v>45915</v>
      </c>
      <c r="C13935" t="s">
        <v>130</v>
      </c>
      <c r="D13935" t="s">
        <v>6586</v>
      </c>
      <c r="E13935">
        <v>210.42</v>
      </c>
      <c r="F13935" t="str">
        <f>IF(Table2[[#This Row],[Manual Cat Value]]="",Table2[[#This Row],[Suggested Cat Value]],VLOOKUP(Table2[[#This Row],[Manual Cat Value]],Lookup!G:H,2,0))</f>
        <v>Travel</v>
      </c>
      <c r="H13935" s="8" t="s">
        <v>52</v>
      </c>
      <c r="I13935" s="8"/>
      <c r="O13935" t="str">
        <f>LEFT(Table2[[#This Row],[Description]],75)</f>
        <v>EXPEDIA 732433671000EXPEDIA.COM         WA</v>
      </c>
    </row>
    <row r="13936" spans="1:15" hidden="1">
      <c r="A13936">
        <v>202508</v>
      </c>
      <c r="B13936" s="6">
        <v>45875</v>
      </c>
      <c r="C13936" t="s">
        <v>2519</v>
      </c>
      <c r="D13936" t="s">
        <v>1469</v>
      </c>
      <c r="E13936">
        <v>205.77</v>
      </c>
      <c r="F13936" t="str">
        <f>IF(Table2[[#This Row],[Manual Cat Value]]="",Table2[[#This Row],[Suggested Cat Value]],VLOOKUP(Table2[[#This Row],[Manual Cat Value]],Lookup!G:H,2,0))</f>
        <v>Utilities</v>
      </c>
      <c r="G13936" t="s">
        <v>9</v>
      </c>
      <c r="H13936" s="8" t="s">
        <v>6</v>
      </c>
      <c r="I13936" s="8"/>
      <c r="O13936" t="str">
        <f>LEFT(Table2[[#This Row],[Description]],75)</f>
        <v>Payment to Waste management</v>
      </c>
    </row>
    <row r="13937" spans="1:15" hidden="1">
      <c r="A13937">
        <v>202510</v>
      </c>
      <c r="B13937" s="6">
        <v>45947</v>
      </c>
      <c r="C13937" t="s">
        <v>3938</v>
      </c>
      <c r="D13937" t="s">
        <v>6587</v>
      </c>
      <c r="E13937">
        <v>204.46</v>
      </c>
      <c r="F13937" t="str">
        <f>IF(Table2[[#This Row],[Manual Cat Value]]="",Table2[[#This Row],[Suggested Cat Value]],VLOOKUP(Table2[[#This Row],[Manual Cat Value]],Lookup!G:H,2,0))</f>
        <v>Shopping</v>
      </c>
      <c r="H13937" s="8" t="s">
        <v>36</v>
      </c>
      <c r="I13937" s="8"/>
      <c r="O13937" t="str">
        <f>LEFT(Table2[[#This Row],[Description]],75)</f>
        <v>PODERE CASANOVA MONTEPULCIANOIT REF #XX7792D257XDVF</v>
      </c>
    </row>
    <row r="13938" spans="1:15" hidden="1">
      <c r="A13938">
        <v>202507</v>
      </c>
      <c r="B13938" s="6">
        <v>45865</v>
      </c>
      <c r="C13938" t="s">
        <v>130</v>
      </c>
      <c r="D13938" t="s">
        <v>6588</v>
      </c>
      <c r="E13938">
        <v>203.82</v>
      </c>
      <c r="F13938" t="str">
        <f>IF(Table2[[#This Row],[Manual Cat Value]]="",Table2[[#This Row],[Suggested Cat Value]],VLOOKUP(Table2[[#This Row],[Manual Cat Value]],Lookup!G:H,2,0))</f>
        <v>Restaurants</v>
      </c>
      <c r="G13938" t="s">
        <v>21</v>
      </c>
      <c r="H13938" s="8" t="s">
        <v>25</v>
      </c>
      <c r="I13938" s="8"/>
      <c r="O13938" t="str">
        <f>LEFT(Table2[[#This Row],[Description]],75)</f>
        <v>TST* LORD FLETCHER'SSPRING PARK         MN</v>
      </c>
    </row>
    <row r="13939" spans="1:15" hidden="1">
      <c r="A13939">
        <v>202506</v>
      </c>
      <c r="B13939" s="6">
        <v>45817</v>
      </c>
      <c r="C13939" t="s">
        <v>2519</v>
      </c>
      <c r="D13939" t="s">
        <v>6589</v>
      </c>
      <c r="E13939">
        <v>203.5</v>
      </c>
      <c r="F13939" t="str">
        <f>IF(Table2[[#This Row],[Manual Cat Value]]="",Table2[[#This Row],[Suggested Cat Value]],VLOOKUP(Table2[[#This Row],[Manual Cat Value]],Lookup!G:H,2,0))</f>
        <v>Delete</v>
      </c>
      <c r="G13939" t="s">
        <v>20</v>
      </c>
      <c r="H13939" s="8" t="s">
        <v>9</v>
      </c>
      <c r="I13939" s="8"/>
      <c r="O13939" t="str">
        <f>LEFT(Table2[[#This Row],[Description]],75)</f>
        <v>ATM Withdrawal at US Bank Lawrence KS</v>
      </c>
    </row>
    <row r="13940" spans="1:15" hidden="1">
      <c r="A13940">
        <v>202506</v>
      </c>
      <c r="B13940" s="6">
        <v>45816</v>
      </c>
      <c r="C13940" t="s">
        <v>130</v>
      </c>
      <c r="D13940" t="s">
        <v>6357</v>
      </c>
      <c r="E13940">
        <v>201</v>
      </c>
      <c r="F13940" t="str">
        <f>IF(Table2[[#This Row],[Manual Cat Value]]="",Table2[[#This Row],[Suggested Cat Value]],VLOOKUP(Table2[[#This Row],[Manual Cat Value]],Lookup!G:H,2,0))</f>
        <v>Shopping</v>
      </c>
      <c r="G13940" t="s">
        <v>21</v>
      </c>
      <c r="I13940" s="8"/>
      <c r="O13940" t="str">
        <f>LEFT(Table2[[#This Row],[Description]],75)</f>
        <v>SP NORTHSTAR-APPARELHOPKINS             MN</v>
      </c>
    </row>
    <row r="13941" spans="1:15" hidden="1">
      <c r="A13941">
        <v>202509</v>
      </c>
      <c r="B13941" s="6">
        <v>45916</v>
      </c>
      <c r="C13941" t="s">
        <v>130</v>
      </c>
      <c r="D13941" t="s">
        <v>6590</v>
      </c>
      <c r="E13941">
        <v>198.75</v>
      </c>
      <c r="F13941" t="str">
        <f>IF(Table2[[#This Row],[Manual Cat Value]]="",Table2[[#This Row],[Suggested Cat Value]],VLOOKUP(Table2[[#This Row],[Manual Cat Value]],Lookup!G:H,2,0))</f>
        <v>Travel</v>
      </c>
      <c r="H13941" s="8" t="s">
        <v>52</v>
      </c>
      <c r="I13941" s="8"/>
      <c r="O13941" t="str">
        <f>LEFT(Table2[[#This Row],[Description]],75)</f>
        <v>TOUR SPAIN* COLOSSE SEVILLA             SE</v>
      </c>
    </row>
    <row r="13942" spans="1:15" hidden="1">
      <c r="A13942">
        <v>202510</v>
      </c>
      <c r="B13942" s="6">
        <v>45936</v>
      </c>
      <c r="C13942" t="s">
        <v>2519</v>
      </c>
      <c r="D13942" t="s">
        <v>1470</v>
      </c>
      <c r="E13942">
        <v>198.34</v>
      </c>
      <c r="F13942" t="str">
        <f>IF(Table2[[#This Row],[Manual Cat Value]]="",Table2[[#This Row],[Suggested Cat Value]],VLOOKUP(Table2[[#This Row],[Manual Cat Value]],Lookup!G:H,2,0))</f>
        <v>Utilities</v>
      </c>
      <c r="G13942" t="s">
        <v>7</v>
      </c>
      <c r="I13942" s="8"/>
      <c r="O13942" t="str">
        <f>LEFT(Table2[[#This Row],[Description]],75)</f>
        <v>Payment to Xcel Energy</v>
      </c>
    </row>
    <row r="13943" spans="1:15" hidden="1">
      <c r="A13943">
        <v>202506</v>
      </c>
      <c r="B13943" s="6">
        <v>45819</v>
      </c>
      <c r="C13943" t="s">
        <v>2519</v>
      </c>
      <c r="D13943" t="s">
        <v>1958</v>
      </c>
      <c r="E13943">
        <v>198</v>
      </c>
      <c r="F13943" t="str">
        <f>IF(Table2[[#This Row],[Manual Cat Value]]="",Table2[[#This Row],[Suggested Cat Value]],VLOOKUP(Table2[[#This Row],[Manual Cat Value]],Lookup!G:H,2,0))</f>
        <v>Shopping</v>
      </c>
      <c r="G13943" t="s">
        <v>21</v>
      </c>
      <c r="I13943" s="8"/>
      <c r="O13943" t="str">
        <f>LEFT(Table2[[#This Row],[Description]],75)</f>
        <v>Transfer to Venmo</v>
      </c>
    </row>
    <row r="13944" spans="1:15" hidden="1">
      <c r="A13944">
        <v>202508</v>
      </c>
      <c r="B13944" s="6">
        <v>45881</v>
      </c>
      <c r="C13944" t="s">
        <v>130</v>
      </c>
      <c r="D13944" t="s">
        <v>5847</v>
      </c>
      <c r="E13944">
        <v>197.95</v>
      </c>
      <c r="F13944" t="str">
        <f>IF(Table2[[#This Row],[Manual Cat Value]]="",Table2[[#This Row],[Suggested Cat Value]],VLOOKUP(Table2[[#This Row],[Manual Cat Value]],Lookup!G:H,2,0))</f>
        <v>Shopping</v>
      </c>
      <c r="G13944" t="s">
        <v>21</v>
      </c>
      <c r="I13944" s="8"/>
      <c r="O13944" t="str">
        <f>LEFT(Table2[[#This Row],[Description]],75)</f>
        <v>ANTHROPOLOGIE.COM   PHILADELPHIA        PA</v>
      </c>
    </row>
    <row r="13945" spans="1:15" hidden="1">
      <c r="A13945">
        <v>202510</v>
      </c>
      <c r="B13945" s="6">
        <v>45947</v>
      </c>
      <c r="C13945" t="s">
        <v>130</v>
      </c>
      <c r="D13945" t="s">
        <v>6591</v>
      </c>
      <c r="E13945">
        <v>196.86</v>
      </c>
      <c r="F13945" t="str">
        <f>IF(Table2[[#This Row],[Manual Cat Value]]="",Table2[[#This Row],[Suggested Cat Value]],VLOOKUP(Table2[[#This Row],[Manual Cat Value]],Lookup!G:H,2,0))</f>
        <v>Restaurants</v>
      </c>
      <c r="H13945" s="8" t="s">
        <v>25</v>
      </c>
      <c r="I13945" s="8"/>
      <c r="O13945" t="str">
        <f>LEFT(Table2[[#This Row],[Description]],75)</f>
        <v>THE VISTA ROOFTOP CLROMA</v>
      </c>
    </row>
    <row r="13946" spans="1:15" hidden="1">
      <c r="A13946">
        <v>202506</v>
      </c>
      <c r="B13946" s="6">
        <v>45835</v>
      </c>
      <c r="C13946" t="s">
        <v>130</v>
      </c>
      <c r="D13946" t="s">
        <v>6446</v>
      </c>
      <c r="E13946">
        <v>195.08</v>
      </c>
      <c r="F13946" t="str">
        <f>IF(Table2[[#This Row],[Manual Cat Value]]="",Table2[[#This Row],[Suggested Cat Value]],VLOOKUP(Table2[[#This Row],[Manual Cat Value]],Lookup!G:H,2,0))</f>
        <v>Entertainment</v>
      </c>
      <c r="G13946" t="s">
        <v>26</v>
      </c>
      <c r="H13946" s="8" t="s">
        <v>39</v>
      </c>
      <c r="I13946" s="8"/>
      <c r="O13946" t="str">
        <f>LEFT(Table2[[#This Row],[Description]],75)</f>
        <v>AplPay DEER RUN GC  VICTORIA            MN</v>
      </c>
    </row>
    <row r="13947" spans="1:15" hidden="1">
      <c r="A13947">
        <v>202510</v>
      </c>
      <c r="B13947" s="6">
        <v>45942</v>
      </c>
      <c r="C13947" t="s">
        <v>130</v>
      </c>
      <c r="D13947" t="s">
        <v>6592</v>
      </c>
      <c r="E13947">
        <v>194.73</v>
      </c>
      <c r="F13947" t="str">
        <f>IF(Table2[[#This Row],[Manual Cat Value]]="",Table2[[#This Row],[Suggested Cat Value]],VLOOKUP(Table2[[#This Row],[Manual Cat Value]],Lookup!G:H,2,0))</f>
        <v>Restaurants</v>
      </c>
      <c r="H13947" s="8" t="s">
        <v>25</v>
      </c>
      <c r="I13947" s="8"/>
      <c r="O13947" t="str">
        <f>LEFT(Table2[[#This Row],[Description]],75)</f>
        <v>OSTERIA DELL'OLIO   FIRENZE</v>
      </c>
    </row>
    <row r="13948" spans="1:15" hidden="1">
      <c r="A13948">
        <v>202508</v>
      </c>
      <c r="B13948" s="6">
        <v>45876</v>
      </c>
      <c r="C13948" t="s">
        <v>2519</v>
      </c>
      <c r="D13948" t="s">
        <v>1470</v>
      </c>
      <c r="E13948">
        <v>194.67</v>
      </c>
      <c r="F13948" t="str">
        <f>IF(Table2[[#This Row],[Manual Cat Value]]="",Table2[[#This Row],[Suggested Cat Value]],VLOOKUP(Table2[[#This Row],[Manual Cat Value]],Lookup!G:H,2,0))</f>
        <v>Utilities</v>
      </c>
      <c r="G13948" t="s">
        <v>9</v>
      </c>
      <c r="H13948" s="8" t="s">
        <v>6</v>
      </c>
      <c r="I13948" s="8"/>
      <c r="O13948" t="str">
        <f>LEFT(Table2[[#This Row],[Description]],75)</f>
        <v>Payment to Xcel Energy</v>
      </c>
    </row>
    <row r="13949" spans="1:15" hidden="1">
      <c r="A13949">
        <v>202510</v>
      </c>
      <c r="B13949" s="6">
        <v>45953</v>
      </c>
      <c r="C13949" t="s">
        <v>130</v>
      </c>
      <c r="D13949" t="s">
        <v>5817</v>
      </c>
      <c r="E13949">
        <v>193.36</v>
      </c>
      <c r="F13949" t="str">
        <f>IF(Table2[[#This Row],[Manual Cat Value]]="",Table2[[#This Row],[Suggested Cat Value]],VLOOKUP(Table2[[#This Row],[Manual Cat Value]],Lookup!G:H,2,0))</f>
        <v>Groceries</v>
      </c>
      <c r="G13949" t="s">
        <v>9</v>
      </c>
      <c r="H13949" s="8" t="s">
        <v>27</v>
      </c>
      <c r="I13949" s="8"/>
      <c r="O13949" t="str">
        <f>LEFT(Table2[[#This Row],[Description]],75)</f>
        <v>ADVOCARE</v>
      </c>
    </row>
    <row r="13950" spans="1:15" hidden="1">
      <c r="A13950">
        <v>202510</v>
      </c>
      <c r="B13950" s="6">
        <v>45958</v>
      </c>
      <c r="C13950" t="s">
        <v>130</v>
      </c>
      <c r="D13950" t="s">
        <v>5817</v>
      </c>
      <c r="E13950">
        <v>189.35</v>
      </c>
      <c r="F13950" t="str">
        <f>IF(Table2[[#This Row],[Manual Cat Value]]="",Table2[[#This Row],[Suggested Cat Value]],VLOOKUP(Table2[[#This Row],[Manual Cat Value]],Lookup!G:H,2,0))</f>
        <v>Groceries</v>
      </c>
      <c r="G13950" t="s">
        <v>48</v>
      </c>
      <c r="H13950" s="8" t="s">
        <v>27</v>
      </c>
      <c r="I13950" s="8"/>
      <c r="O13950" t="str">
        <f>LEFT(Table2[[#This Row],[Description]],75)</f>
        <v>ADVOCARE</v>
      </c>
    </row>
    <row r="13951" spans="1:15" hidden="1">
      <c r="A13951">
        <v>202509</v>
      </c>
      <c r="B13951" s="6">
        <v>45907</v>
      </c>
      <c r="C13951" t="s">
        <v>130</v>
      </c>
      <c r="D13951" t="s">
        <v>6567</v>
      </c>
      <c r="E13951">
        <v>188.19</v>
      </c>
      <c r="F13951" t="str">
        <f>IF(Table2[[#This Row],[Manual Cat Value]]="",Table2[[#This Row],[Suggested Cat Value]],VLOOKUP(Table2[[#This Row],[Manual Cat Value]],Lookup!G:H,2,0))</f>
        <v>Restaurants</v>
      </c>
      <c r="H13951" s="8" t="s">
        <v>25</v>
      </c>
      <c r="I13951" s="8"/>
      <c r="O13951" t="str">
        <f>LEFT(Table2[[#This Row],[Description]],75)</f>
        <v>SMOOKITALIA BV      ROTTERDAM           NL</v>
      </c>
    </row>
    <row r="13952" spans="1:15" hidden="1">
      <c r="A13952">
        <v>202508</v>
      </c>
      <c r="B13952" s="6">
        <v>45878</v>
      </c>
      <c r="C13952" t="s">
        <v>130</v>
      </c>
      <c r="D13952" t="s">
        <v>6593</v>
      </c>
      <c r="E13952">
        <v>186.35</v>
      </c>
      <c r="F13952" t="str">
        <f>IF(Table2[[#This Row],[Manual Cat Value]]="",Table2[[#This Row],[Suggested Cat Value]],VLOOKUP(Table2[[#This Row],[Manual Cat Value]],Lookup!G:H,2,0))</f>
        <v>Restaurants</v>
      </c>
      <c r="G13952" t="s">
        <v>26</v>
      </c>
      <c r="I13952" s="8"/>
      <c r="O13952" t="str">
        <f>LEFT(Table2[[#This Row],[Description]],75)</f>
        <v>COV ENTERTAINMENT   WAYZATA             MN</v>
      </c>
    </row>
    <row r="13953" spans="1:15" hidden="1">
      <c r="A13953">
        <v>202506</v>
      </c>
      <c r="B13953" s="6">
        <v>45810</v>
      </c>
      <c r="C13953" t="s">
        <v>2519</v>
      </c>
      <c r="D13953" t="s">
        <v>5148</v>
      </c>
      <c r="E13953">
        <v>185.09</v>
      </c>
      <c r="F13953" t="str">
        <f>IF(Table2[[#This Row],[Manual Cat Value]]="",Table2[[#This Row],[Suggested Cat Value]],VLOOKUP(Table2[[#This Row],[Manual Cat Value]],Lookup!G:H,2,0))</f>
        <v>Utilities</v>
      </c>
      <c r="G13953" t="s">
        <v>7</v>
      </c>
      <c r="I13953" s="8"/>
      <c r="O13953" t="str">
        <f>LEFT(Table2[[#This Row],[Description]],75)</f>
        <v>Payment to AT&amp;T</v>
      </c>
    </row>
    <row r="13954" spans="1:15" hidden="1">
      <c r="A13954">
        <v>202510</v>
      </c>
      <c r="B13954" s="6">
        <v>45956</v>
      </c>
      <c r="C13954" t="s">
        <v>130</v>
      </c>
      <c r="D13954" t="s">
        <v>6594</v>
      </c>
      <c r="E13954">
        <v>184.81</v>
      </c>
      <c r="F13954" t="str">
        <f>IF(Table2[[#This Row],[Manual Cat Value]]="",Table2[[#This Row],[Suggested Cat Value]],VLOOKUP(Table2[[#This Row],[Manual Cat Value]],Lookup!G:H,2,0))</f>
        <v>Healthcare</v>
      </c>
      <c r="H13954" s="8" t="s">
        <v>47</v>
      </c>
      <c r="I13954" s="8"/>
      <c r="O13954" t="str">
        <f>LEFT(Table2[[#This Row],[Description]],75)</f>
        <v>MILLENNIUMSIPOS*T501MINNEAPOLIS         MN</v>
      </c>
    </row>
    <row r="13955" spans="1:15" hidden="1">
      <c r="A13955">
        <v>202506</v>
      </c>
      <c r="B13955" s="6">
        <v>45827</v>
      </c>
      <c r="C13955" t="s">
        <v>130</v>
      </c>
      <c r="D13955" t="s">
        <v>6595</v>
      </c>
      <c r="E13955">
        <v>182.61</v>
      </c>
      <c r="F13955" t="str">
        <f>IF(Table2[[#This Row],[Manual Cat Value]]="",Table2[[#This Row],[Suggested Cat Value]],VLOOKUP(Table2[[#This Row],[Manual Cat Value]],Lookup!G:H,2,0))</f>
        <v>Restaurants</v>
      </c>
      <c r="G13955" t="s">
        <v>26</v>
      </c>
      <c r="I13955" s="8"/>
      <c r="O13955" t="str">
        <f>LEFT(Table2[[#This Row],[Description]],75)</f>
        <v>PICKWICK RESTAURANT DULUTH              MN</v>
      </c>
    </row>
    <row r="13956" spans="1:15" hidden="1">
      <c r="A13956">
        <v>202507</v>
      </c>
      <c r="B13956" s="6">
        <v>45862</v>
      </c>
      <c r="C13956" t="s">
        <v>130</v>
      </c>
      <c r="D13956" t="s">
        <v>5795</v>
      </c>
      <c r="E13956">
        <v>182.59</v>
      </c>
      <c r="F13956" t="str">
        <f>IF(Table2[[#This Row],[Manual Cat Value]]="",Table2[[#This Row],[Suggested Cat Value]],VLOOKUP(Table2[[#This Row],[Manual Cat Value]],Lookup!G:H,2,0))</f>
        <v>Delete</v>
      </c>
      <c r="G13956" t="s">
        <v>2</v>
      </c>
      <c r="H13956" s="8" t="s">
        <v>9</v>
      </c>
      <c r="I13956" s="8"/>
      <c r="O13956" t="str">
        <f>LEFT(Table2[[#This Row],[Description]],75)</f>
        <v>SLACK T074985K686   SAN FRANCISCO       CA</v>
      </c>
    </row>
    <row r="13957" spans="1:15" hidden="1">
      <c r="A13957">
        <v>202508</v>
      </c>
      <c r="B13957" s="6">
        <v>45891</v>
      </c>
      <c r="C13957" t="s">
        <v>2519</v>
      </c>
      <c r="D13957" t="s">
        <v>5303</v>
      </c>
      <c r="E13957">
        <v>182.05</v>
      </c>
      <c r="F13957" t="str">
        <f>IF(Table2[[#This Row],[Manual Cat Value]]="",Table2[[#This Row],[Suggested Cat Value]],VLOOKUP(Table2[[#This Row],[Manual Cat Value]],Lookup!G:H,2,0))</f>
        <v>Travel</v>
      </c>
      <c r="G13957" t="s">
        <v>43</v>
      </c>
      <c r="I13957" s="8"/>
      <c r="O13957" t="str">
        <f>LEFT(Table2[[#This Row],[Description]],75)</f>
        <v>U.s. Passports</v>
      </c>
    </row>
    <row r="13958" spans="1:15" hidden="1">
      <c r="A13958">
        <v>202509</v>
      </c>
      <c r="B13958" s="6">
        <v>45906</v>
      </c>
      <c r="C13958" t="s">
        <v>130</v>
      </c>
      <c r="D13958" t="s">
        <v>6596</v>
      </c>
      <c r="E13958">
        <v>181.14</v>
      </c>
      <c r="F13958" t="str">
        <f>IF(Table2[[#This Row],[Manual Cat Value]]="",Table2[[#This Row],[Suggested Cat Value]],VLOOKUP(Table2[[#This Row],[Manual Cat Value]],Lookup!G:H,2,0))</f>
        <v>Travel</v>
      </c>
      <c r="H13958" s="8" t="s">
        <v>52</v>
      </c>
      <c r="I13958" s="8"/>
      <c r="O13958" t="str">
        <f>LEFT(Table2[[#This Row],[Description]],75)</f>
        <v>CKO*HEADOUT UFFIZI GFLORENCE            GB</v>
      </c>
    </row>
    <row r="13959" spans="1:15" hidden="1">
      <c r="A13959">
        <v>202506</v>
      </c>
      <c r="B13959" s="6">
        <v>45817</v>
      </c>
      <c r="C13959" t="s">
        <v>130</v>
      </c>
      <c r="D13959" t="s">
        <v>6005</v>
      </c>
      <c r="E13959">
        <v>180.33</v>
      </c>
      <c r="F13959" t="str">
        <f>IF(Table2[[#This Row],[Manual Cat Value]]="",Table2[[#This Row],[Suggested Cat Value]],VLOOKUP(Table2[[#This Row],[Manual Cat Value]],Lookup!G:H,2,0))</f>
        <v>Shopping</v>
      </c>
      <c r="G13959" t="s">
        <v>21</v>
      </c>
      <c r="I13959" s="8"/>
      <c r="O13959" t="str">
        <f>LEFT(Table2[[#This Row],[Description]],75)</f>
        <v>SAMPLER STORES, INC LENEXA              KS</v>
      </c>
    </row>
    <row r="13960" spans="1:15" hidden="1">
      <c r="A13960">
        <v>202508</v>
      </c>
      <c r="B13960" s="6">
        <v>45881</v>
      </c>
      <c r="C13960" t="s">
        <v>130</v>
      </c>
      <c r="D13960" t="s">
        <v>6597</v>
      </c>
      <c r="E13960">
        <v>179.28</v>
      </c>
      <c r="F13960" t="str">
        <f>IF(Table2[[#This Row],[Manual Cat Value]]="",Table2[[#This Row],[Suggested Cat Value]],VLOOKUP(Table2[[#This Row],[Manual Cat Value]],Lookup!G:H,2,0))</f>
        <v>Utilities</v>
      </c>
      <c r="G13960" t="s">
        <v>26</v>
      </c>
      <c r="H13960" s="8" t="s">
        <v>6</v>
      </c>
      <c r="I13960" s="8"/>
      <c r="O13960" t="str">
        <f>LEFT(Table2[[#This Row],[Description]],75)</f>
        <v>AT&amp;T W318 58845 NA  CHANHASSEN          MN</v>
      </c>
    </row>
    <row r="13961" spans="1:15" hidden="1">
      <c r="A13961">
        <v>202509</v>
      </c>
      <c r="B13961" s="6">
        <v>45912</v>
      </c>
      <c r="C13961" t="s">
        <v>130</v>
      </c>
      <c r="D13961" t="s">
        <v>5954</v>
      </c>
      <c r="E13961">
        <v>178</v>
      </c>
      <c r="F13961" t="str">
        <f>IF(Table2[[#This Row],[Manual Cat Value]]="",Table2[[#This Row],[Suggested Cat Value]],VLOOKUP(Table2[[#This Row],[Manual Cat Value]],Lookup!G:H,2,0))</f>
        <v>Shopping</v>
      </c>
      <c r="G13961" t="s">
        <v>21</v>
      </c>
      <c r="I13961" s="8"/>
      <c r="O13961" t="str">
        <f>LEFT(Table2[[#This Row],[Description]],75)</f>
        <v>SP 7DIAMONDS APPARELTUSTIN              CA</v>
      </c>
    </row>
    <row r="13962" spans="1:15" hidden="1">
      <c r="A13962">
        <v>202510</v>
      </c>
      <c r="B13962" s="6">
        <v>45950</v>
      </c>
      <c r="C13962" t="s">
        <v>3938</v>
      </c>
      <c r="D13962" t="s">
        <v>6598</v>
      </c>
      <c r="E13962">
        <v>175.95</v>
      </c>
      <c r="F13962" t="str">
        <f>IF(Table2[[#This Row],[Manual Cat Value]]="",Table2[[#This Row],[Suggested Cat Value]],VLOOKUP(Table2[[#This Row],[Manual Cat Value]],Lookup!G:H,2,0))</f>
        <v>Travel</v>
      </c>
      <c r="G13962" t="s">
        <v>9</v>
      </c>
      <c r="H13962" s="8" t="s">
        <v>52</v>
      </c>
      <c r="I13962" s="8"/>
      <c r="O13962" t="str">
        <f>LEFT(Table2[[#This Row],[Description]],75)</f>
        <v>SCHEGGE ROMA IT REF #XX6394GRR3KR1Y</v>
      </c>
    </row>
    <row r="13963" spans="1:15" hidden="1">
      <c r="A13963">
        <v>202508</v>
      </c>
      <c r="B13963" s="6">
        <v>45880</v>
      </c>
      <c r="C13963" t="s">
        <v>130</v>
      </c>
      <c r="D13963" t="s">
        <v>6227</v>
      </c>
      <c r="E13963">
        <v>175.07</v>
      </c>
      <c r="F13963" t="str">
        <f>IF(Table2[[#This Row],[Manual Cat Value]]="",Table2[[#This Row],[Suggested Cat Value]],VLOOKUP(Table2[[#This Row],[Manual Cat Value]],Lookup!G:H,2,0))</f>
        <v>Entertainment</v>
      </c>
      <c r="G13963" t="s">
        <v>40</v>
      </c>
      <c r="I13963" s="8"/>
      <c r="O13963" t="str">
        <f>LEFT(Table2[[#This Row],[Description]],75)</f>
        <v>FSP*CHASKA TOWN COURCHASKA              MN</v>
      </c>
    </row>
    <row r="13964" spans="1:15" hidden="1">
      <c r="A13964">
        <v>202506</v>
      </c>
      <c r="B13964" s="6">
        <v>45812</v>
      </c>
      <c r="C13964" t="s">
        <v>130</v>
      </c>
      <c r="D13964" t="s">
        <v>6002</v>
      </c>
      <c r="E13964">
        <v>174</v>
      </c>
      <c r="F13964" t="str">
        <f>IF(Table2[[#This Row],[Manual Cat Value]]="",Table2[[#This Row],[Suggested Cat Value]],VLOOKUP(Table2[[#This Row],[Manual Cat Value]],Lookup!G:H,2,0))</f>
        <v>Shopping</v>
      </c>
      <c r="G13964" t="s">
        <v>21</v>
      </c>
      <c r="I13964" s="8"/>
      <c r="O13964" t="str">
        <f>LEFT(Table2[[#This Row],[Description]],75)</f>
        <v>SP UNRL.CO          SAINT PAUL          MN</v>
      </c>
    </row>
    <row r="13965" spans="1:15" hidden="1">
      <c r="A13965">
        <v>202509</v>
      </c>
      <c r="B13965" s="6">
        <v>45924</v>
      </c>
      <c r="C13965" t="s">
        <v>2519</v>
      </c>
      <c r="D13965" t="s">
        <v>6599</v>
      </c>
      <c r="E13965">
        <v>166.71</v>
      </c>
      <c r="F13965" t="str">
        <f>IF(Table2[[#This Row],[Manual Cat Value]]="",Table2[[#This Row],[Suggested Cat Value]],VLOOKUP(Table2[[#This Row],[Manual Cat Value]],Lookup!G:H,2,0))</f>
        <v>Utilities</v>
      </c>
      <c r="G13965" t="s">
        <v>20</v>
      </c>
      <c r="H13965" s="8" t="s">
        <v>6</v>
      </c>
      <c r="I13965" s="8"/>
      <c r="O13965" t="str">
        <f>LEFT(Table2[[#This Row],[Description]],75)</f>
        <v>Withdrawal ACH CPENERGY MNGCO TYPE: MGC ACH EB ID: 1XX1140S CO: CPENERGY MN</v>
      </c>
    </row>
    <row r="13966" spans="1:15" hidden="1">
      <c r="A13966">
        <v>202506</v>
      </c>
      <c r="B13966" s="6">
        <v>45838</v>
      </c>
      <c r="C13966" t="s">
        <v>130</v>
      </c>
      <c r="D13966" t="s">
        <v>6600</v>
      </c>
      <c r="E13966">
        <v>164.91</v>
      </c>
      <c r="F13966" t="str">
        <f>IF(Table2[[#This Row],[Manual Cat Value]]="",Table2[[#This Row],[Suggested Cat Value]],VLOOKUP(Table2[[#This Row],[Manual Cat Value]],Lookup!G:H,2,0))</f>
        <v>Restaurants</v>
      </c>
      <c r="G13966" t="s">
        <v>26</v>
      </c>
      <c r="I13966" s="8"/>
      <c r="O13966" t="str">
        <f>LEFT(Table2[[#This Row],[Description]],75)</f>
        <v>TST* SMACK SHACK BLOMINNEAPOLIS         MN</v>
      </c>
    </row>
    <row r="13967" spans="1:15" hidden="1">
      <c r="A13967">
        <v>202507</v>
      </c>
      <c r="B13967" s="6">
        <v>45869</v>
      </c>
      <c r="C13967" t="s">
        <v>2519</v>
      </c>
      <c r="D13967" t="s">
        <v>5148</v>
      </c>
      <c r="E13967">
        <v>164.24</v>
      </c>
      <c r="F13967" t="str">
        <f>IF(Table2[[#This Row],[Manual Cat Value]]="",Table2[[#This Row],[Suggested Cat Value]],VLOOKUP(Table2[[#This Row],[Manual Cat Value]],Lookup!G:H,2,0))</f>
        <v>Utilities</v>
      </c>
      <c r="G13967" t="s">
        <v>7</v>
      </c>
      <c r="I13967" s="8"/>
      <c r="O13967" t="str">
        <f>LEFT(Table2[[#This Row],[Description]],75)</f>
        <v>Payment to AT&amp;T</v>
      </c>
    </row>
    <row r="13968" spans="1:15" hidden="1">
      <c r="A13968">
        <v>202506</v>
      </c>
      <c r="B13968" s="6">
        <v>45809</v>
      </c>
      <c r="C13968" t="s">
        <v>130</v>
      </c>
      <c r="D13968" t="s">
        <v>6601</v>
      </c>
      <c r="E13968">
        <v>163.96</v>
      </c>
      <c r="F13968" t="str">
        <f>IF(Table2[[#This Row],[Manual Cat Value]]="",Table2[[#This Row],[Suggested Cat Value]],VLOOKUP(Table2[[#This Row],[Manual Cat Value]],Lookup!G:H,2,0))</f>
        <v>Groceries</v>
      </c>
      <c r="G13968" t="s">
        <v>28</v>
      </c>
      <c r="I13968" s="8"/>
      <c r="O13968" t="str">
        <f>LEFT(Table2[[#This Row],[Description]],75)</f>
        <v>MACKENTHUN'S FINE FOMINNETRISTA         MN</v>
      </c>
    </row>
    <row r="13969" spans="1:15" hidden="1">
      <c r="A13969">
        <v>202508</v>
      </c>
      <c r="B13969" s="6">
        <v>45877</v>
      </c>
      <c r="C13969" t="s">
        <v>130</v>
      </c>
      <c r="D13969" t="s">
        <v>6602</v>
      </c>
      <c r="E13969">
        <v>163.5</v>
      </c>
      <c r="F13969" t="str">
        <f>IF(Table2[[#This Row],[Manual Cat Value]]="",Table2[[#This Row],[Suggested Cat Value]],VLOOKUP(Table2[[#This Row],[Manual Cat Value]],Lookup!G:H,2,0))</f>
        <v>Groceries</v>
      </c>
      <c r="G13969" t="s">
        <v>9</v>
      </c>
      <c r="H13969" s="8" t="s">
        <v>27</v>
      </c>
      <c r="I13969" s="8"/>
      <c r="O13969" t="str">
        <f>LEFT(Table2[[#This Row],[Description]],75)</f>
        <v>SP 6666 STEAK       WICHITA             KS</v>
      </c>
    </row>
    <row r="13970" spans="1:15" hidden="1">
      <c r="A13970">
        <v>202510</v>
      </c>
      <c r="B13970" s="6">
        <v>45947</v>
      </c>
      <c r="C13970" t="s">
        <v>3938</v>
      </c>
      <c r="D13970" t="s">
        <v>6603</v>
      </c>
      <c r="E13970">
        <v>163.1</v>
      </c>
      <c r="F13970" t="str">
        <f>IF(Table2[[#This Row],[Manual Cat Value]]="",Table2[[#This Row],[Suggested Cat Value]],VLOOKUP(Table2[[#This Row],[Manual Cat Value]],Lookup!G:H,2,0))</f>
        <v>Restaurants</v>
      </c>
      <c r="H13970" s="8" t="s">
        <v>25</v>
      </c>
      <c r="I13970" s="8"/>
      <c r="O13970" t="str">
        <f>LEFT(Table2[[#This Row],[Description]],75)</f>
        <v>CANTINA PULCINO MONTEPULCIANOIT REF #XX6391FF7BPFNZ</v>
      </c>
    </row>
    <row r="13971" spans="1:15" hidden="1">
      <c r="A13971">
        <v>202508</v>
      </c>
      <c r="B13971" s="6">
        <v>45890</v>
      </c>
      <c r="C13971" t="s">
        <v>2519</v>
      </c>
      <c r="D13971" t="s">
        <v>6604</v>
      </c>
      <c r="E13971">
        <v>161.57</v>
      </c>
      <c r="F13971" t="str">
        <f>IF(Table2[[#This Row],[Manual Cat Value]]="",Table2[[#This Row],[Suggested Cat Value]],VLOOKUP(Table2[[#This Row],[Manual Cat Value]],Lookup!G:H,2,0))</f>
        <v>Day Care</v>
      </c>
      <c r="G13971" t="s">
        <v>20</v>
      </c>
      <c r="I13971" s="8"/>
      <c r="O13971" t="str">
        <f>LEFT(Table2[[#This Row],[Description]],75)</f>
        <v>Withdrawal ACH CITY OF CHANHASS TYPE: UTIL BILL ID: XX5331 CO: CITY OF CHAN</v>
      </c>
    </row>
    <row r="13972" spans="1:15" hidden="1">
      <c r="A13972">
        <v>202508</v>
      </c>
      <c r="B13972" s="6">
        <v>45888</v>
      </c>
      <c r="C13972" t="s">
        <v>130</v>
      </c>
      <c r="D13972" t="s">
        <v>5847</v>
      </c>
      <c r="E13972">
        <v>159.94999999999999</v>
      </c>
      <c r="F13972" t="str">
        <f>IF(Table2[[#This Row],[Manual Cat Value]]="",Table2[[#This Row],[Suggested Cat Value]],VLOOKUP(Table2[[#This Row],[Manual Cat Value]],Lookup!G:H,2,0))</f>
        <v>Shopping</v>
      </c>
      <c r="G13972" t="s">
        <v>21</v>
      </c>
      <c r="I13972" s="8"/>
      <c r="O13972" t="str">
        <f>LEFT(Table2[[#This Row],[Description]],75)</f>
        <v>ANTHROPOLOGIE.COM   PHILADELPHIA        PA</v>
      </c>
    </row>
    <row r="13973" spans="1:15" hidden="1">
      <c r="A13973">
        <v>202507</v>
      </c>
      <c r="B13973" s="6">
        <v>45848</v>
      </c>
      <c r="C13973" t="s">
        <v>2519</v>
      </c>
      <c r="D13973" t="s">
        <v>1470</v>
      </c>
      <c r="E13973">
        <v>157.56</v>
      </c>
      <c r="F13973" t="str">
        <f>IF(Table2[[#This Row],[Manual Cat Value]]="",Table2[[#This Row],[Suggested Cat Value]],VLOOKUP(Table2[[#This Row],[Manual Cat Value]],Lookup!G:H,2,0))</f>
        <v>Utilities</v>
      </c>
      <c r="G13973" t="s">
        <v>7</v>
      </c>
      <c r="I13973" s="8"/>
      <c r="O13973" t="str">
        <f>LEFT(Table2[[#This Row],[Description]],75)</f>
        <v>Payment to Xcel Energy</v>
      </c>
    </row>
    <row r="13974" spans="1:15" hidden="1">
      <c r="A13974">
        <v>202510</v>
      </c>
      <c r="B13974" s="6">
        <v>45934</v>
      </c>
      <c r="C13974" t="s">
        <v>130</v>
      </c>
      <c r="D13974" t="s">
        <v>6605</v>
      </c>
      <c r="E13974">
        <v>156.52000000000001</v>
      </c>
      <c r="F13974" t="str">
        <f>IF(Table2[[#This Row],[Manual Cat Value]]="",Table2[[#This Row],[Suggested Cat Value]],VLOOKUP(Table2[[#This Row],[Manual Cat Value]],Lookup!G:H,2,0))</f>
        <v>Shopping</v>
      </c>
      <c r="H13974" s="8" t="s">
        <v>36</v>
      </c>
      <c r="I13974" s="8"/>
      <c r="O13974" t="str">
        <f>LEFT(Table2[[#This Row],[Description]],75)</f>
        <v>TST* MIRABELLE &amp; PAREXCELSIOR           MN</v>
      </c>
    </row>
    <row r="13975" spans="1:15" hidden="1">
      <c r="A13975">
        <v>202508</v>
      </c>
      <c r="B13975" s="6">
        <v>45889</v>
      </c>
      <c r="C13975" t="s">
        <v>2519</v>
      </c>
      <c r="D13975" t="s">
        <v>6606</v>
      </c>
      <c r="E13975">
        <v>155.75</v>
      </c>
      <c r="F13975" t="str">
        <f>IF(Table2[[#This Row],[Manual Cat Value]]="",Table2[[#This Row],[Suggested Cat Value]],VLOOKUP(Table2[[#This Row],[Manual Cat Value]],Lookup!G:H,2,0))</f>
        <v>Day Care</v>
      </c>
      <c r="G13975" t="s">
        <v>20</v>
      </c>
      <c r="I13975" s="8"/>
      <c r="O13975" t="str">
        <f>LEFT(Table2[[#This Row],[Description]],75)</f>
        <v>Withdrawal ACH Driver Services TYPE: eServices ID: AXX7162 CO: Driver Servi</v>
      </c>
    </row>
    <row r="13976" spans="1:15" hidden="1">
      <c r="A13976">
        <v>202506</v>
      </c>
      <c r="B13976" s="6">
        <v>45834</v>
      </c>
      <c r="C13976" t="s">
        <v>130</v>
      </c>
      <c r="D13976" t="s">
        <v>5817</v>
      </c>
      <c r="E13976">
        <v>154.53</v>
      </c>
      <c r="F13976" t="str">
        <f>IF(Table2[[#This Row],[Manual Cat Value]]="",Table2[[#This Row],[Suggested Cat Value]],VLOOKUP(Table2[[#This Row],[Manual Cat Value]],Lookup!G:H,2,0))</f>
        <v>Groceries</v>
      </c>
      <c r="G13976" t="s">
        <v>48</v>
      </c>
      <c r="H13976" s="8" t="s">
        <v>27</v>
      </c>
      <c r="I13976" s="8"/>
      <c r="O13976" t="str">
        <f>LEFT(Table2[[#This Row],[Description]],75)</f>
        <v>ADVOCARE</v>
      </c>
    </row>
    <row r="13977" spans="1:15" hidden="1">
      <c r="A13977">
        <v>202506</v>
      </c>
      <c r="B13977" s="6">
        <v>45838</v>
      </c>
      <c r="C13977" t="s">
        <v>3938</v>
      </c>
      <c r="D13977" t="s">
        <v>648</v>
      </c>
      <c r="E13977">
        <v>154.4</v>
      </c>
      <c r="F13977" t="str">
        <f>IF(Table2[[#This Row],[Manual Cat Value]]="",Table2[[#This Row],[Suggested Cat Value]],VLOOKUP(Table2[[#This Row],[Manual Cat Value]],Lookup!G:H,2,0))</f>
        <v>Groceries</v>
      </c>
      <c r="G13977" t="s">
        <v>28</v>
      </c>
      <c r="I13977" s="8"/>
      <c r="O13977" t="str">
        <f>LEFT(Table2[[#This Row],[Description]],75)</f>
        <v>Costco</v>
      </c>
    </row>
    <row r="13978" spans="1:15" hidden="1">
      <c r="A13978">
        <v>202506</v>
      </c>
      <c r="B13978" s="6">
        <v>45822</v>
      </c>
      <c r="C13978" t="s">
        <v>130</v>
      </c>
      <c r="D13978" t="s">
        <v>6607</v>
      </c>
      <c r="E13978">
        <v>154.02000000000001</v>
      </c>
      <c r="F13978" t="str">
        <f>IF(Table2[[#This Row],[Manual Cat Value]]="",Table2[[#This Row],[Suggested Cat Value]],VLOOKUP(Table2[[#This Row],[Manual Cat Value]],Lookup!G:H,2,0))</f>
        <v>Shopping</v>
      </c>
      <c r="G13978" t="s">
        <v>26</v>
      </c>
      <c r="H13978" s="8" t="s">
        <v>36</v>
      </c>
      <c r="I13978" s="8"/>
      <c r="O13978" t="str">
        <f>LEFT(Table2[[#This Row],[Description]],75)</f>
        <v>AplPay BALSAM LAKE TBALSAM LAKE         WI</v>
      </c>
    </row>
    <row r="13979" spans="1:15" hidden="1">
      <c r="A13979">
        <v>202510</v>
      </c>
      <c r="B13979" s="6">
        <v>45940</v>
      </c>
      <c r="C13979" t="s">
        <v>2519</v>
      </c>
      <c r="D13979" t="s">
        <v>1955</v>
      </c>
      <c r="E13979">
        <v>153.99</v>
      </c>
      <c r="F13979" t="str">
        <f>IF(Table2[[#This Row],[Manual Cat Value]]="",Table2[[#This Row],[Suggested Cat Value]],VLOOKUP(Table2[[#This Row],[Manual Cat Value]],Lookup!G:H,2,0))</f>
        <v>Shopping</v>
      </c>
      <c r="G13979" t="s">
        <v>21</v>
      </c>
      <c r="I13979" s="8"/>
      <c r="O13979" t="str">
        <f>LEFT(Table2[[#This Row],[Description]],75)</f>
        <v>Transfer to PayPal</v>
      </c>
    </row>
    <row r="13980" spans="1:15" hidden="1">
      <c r="A13980">
        <v>202506</v>
      </c>
      <c r="B13980" s="6">
        <v>45831</v>
      </c>
      <c r="C13980" t="s">
        <v>130</v>
      </c>
      <c r="D13980" t="s">
        <v>6608</v>
      </c>
      <c r="E13980">
        <v>150.31</v>
      </c>
      <c r="F13980" t="str">
        <f>IF(Table2[[#This Row],[Manual Cat Value]]="",Table2[[#This Row],[Suggested Cat Value]],VLOOKUP(Table2[[#This Row],[Manual Cat Value]],Lookup!G:H,2,0))</f>
        <v>Shopping</v>
      </c>
      <c r="H13980" s="8" t="s">
        <v>36</v>
      </c>
      <c r="I13980" s="8"/>
      <c r="O13980" t="str">
        <f>LEFT(Table2[[#This Row],[Description]],75)</f>
        <v>BACKCOUNTRYCOM</v>
      </c>
    </row>
    <row r="13981" spans="1:15" hidden="1">
      <c r="A13981">
        <v>202508</v>
      </c>
      <c r="B13981" s="6">
        <v>45880</v>
      </c>
      <c r="C13981" t="s">
        <v>2519</v>
      </c>
      <c r="D13981" t="s">
        <v>1958</v>
      </c>
      <c r="E13981">
        <v>150</v>
      </c>
      <c r="F13981" t="str">
        <f>IF(Table2[[#This Row],[Manual Cat Value]]="",Table2[[#This Row],[Suggested Cat Value]],VLOOKUP(Table2[[#This Row],[Manual Cat Value]],Lookup!G:H,2,0))</f>
        <v>Shopping</v>
      </c>
      <c r="G13981" t="s">
        <v>21</v>
      </c>
      <c r="I13981" s="8"/>
      <c r="O13981" t="str">
        <f>LEFT(Table2[[#This Row],[Description]],75)</f>
        <v>Transfer to Venmo</v>
      </c>
    </row>
    <row r="13982" spans="1:15" hidden="1">
      <c r="A13982">
        <v>202509</v>
      </c>
      <c r="B13982" s="6">
        <v>45906</v>
      </c>
      <c r="C13982" t="s">
        <v>130</v>
      </c>
      <c r="D13982" t="s">
        <v>6609</v>
      </c>
      <c r="E13982">
        <v>148.36000000000001</v>
      </c>
      <c r="F13982" t="str">
        <f>IF(Table2[[#This Row],[Manual Cat Value]]="",Table2[[#This Row],[Suggested Cat Value]],VLOOKUP(Table2[[#This Row],[Manual Cat Value]],Lookup!G:H,2,0))</f>
        <v>Shopping</v>
      </c>
      <c r="G13982" t="s">
        <v>20</v>
      </c>
      <c r="H13982" s="8" t="s">
        <v>36</v>
      </c>
      <c r="I13982" s="8"/>
      <c r="O13982" t="str">
        <f>LEFT(Table2[[#This Row],[Description]],75)</f>
        <v>SP MIZZENMAIN       DALLAS              TX</v>
      </c>
    </row>
    <row r="13983" spans="1:15" hidden="1">
      <c r="A13983">
        <v>202508</v>
      </c>
      <c r="B13983" s="6">
        <v>45871</v>
      </c>
      <c r="C13983" t="s">
        <v>130</v>
      </c>
      <c r="D13983" t="s">
        <v>6610</v>
      </c>
      <c r="E13983">
        <v>146.9</v>
      </c>
      <c r="F13983" t="str">
        <f>IF(Table2[[#This Row],[Manual Cat Value]]="",Table2[[#This Row],[Suggested Cat Value]],VLOOKUP(Table2[[#This Row],[Manual Cat Value]],Lookup!G:H,2,0))</f>
        <v>Restaurants</v>
      </c>
      <c r="G13983" t="s">
        <v>26</v>
      </c>
      <c r="I13983" s="8"/>
      <c r="O13983" t="str">
        <f>LEFT(Table2[[#This Row],[Description]],75)</f>
        <v>BIRCHS ON THE LAKE 1LONG LAKE           MN</v>
      </c>
    </row>
    <row r="13984" spans="1:15" hidden="1">
      <c r="A13984">
        <v>202506</v>
      </c>
      <c r="B13984" s="6">
        <v>45817</v>
      </c>
      <c r="C13984" t="s">
        <v>2519</v>
      </c>
      <c r="D13984" t="s">
        <v>1470</v>
      </c>
      <c r="E13984">
        <v>144.91</v>
      </c>
      <c r="F13984" t="str">
        <f>IF(Table2[[#This Row],[Manual Cat Value]]="",Table2[[#This Row],[Suggested Cat Value]],VLOOKUP(Table2[[#This Row],[Manual Cat Value]],Lookup!G:H,2,0))</f>
        <v>Utilities</v>
      </c>
      <c r="G13984" t="s">
        <v>7</v>
      </c>
      <c r="I13984" s="8"/>
      <c r="O13984" t="str">
        <f>LEFT(Table2[[#This Row],[Description]],75)</f>
        <v>Payment to Xcel Energy</v>
      </c>
    </row>
    <row r="13985" spans="1:15" hidden="1">
      <c r="A13985">
        <v>202507</v>
      </c>
      <c r="B13985" s="6">
        <v>45842</v>
      </c>
      <c r="C13985" t="s">
        <v>130</v>
      </c>
      <c r="D13985" t="s">
        <v>6611</v>
      </c>
      <c r="E13985">
        <v>143.84</v>
      </c>
      <c r="F13985" t="str">
        <f>IF(Table2[[#This Row],[Manual Cat Value]]="",Table2[[#This Row],[Suggested Cat Value]],VLOOKUP(Table2[[#This Row],[Manual Cat Value]],Lookup!G:H,2,0))</f>
        <v>Groceries</v>
      </c>
      <c r="G13985" t="s">
        <v>26</v>
      </c>
      <c r="H13985" s="8" t="s">
        <v>27</v>
      </c>
      <c r="I13985" s="8"/>
      <c r="O13985" t="str">
        <f>LEFT(Table2[[#This Row],[Description]],75)</f>
        <v>WAYNE'S FOODS PLUS 0LUCK                WI</v>
      </c>
    </row>
    <row r="13986" spans="1:15" hidden="1">
      <c r="A13986">
        <v>202509</v>
      </c>
      <c r="B13986" s="6">
        <v>45913</v>
      </c>
      <c r="C13986" t="s">
        <v>130</v>
      </c>
      <c r="D13986" t="s">
        <v>5817</v>
      </c>
      <c r="E13986">
        <v>142.56</v>
      </c>
      <c r="F13986" t="str">
        <f>IF(Table2[[#This Row],[Manual Cat Value]]="",Table2[[#This Row],[Suggested Cat Value]],VLOOKUP(Table2[[#This Row],[Manual Cat Value]],Lookup!G:H,2,0))</f>
        <v>Groceries</v>
      </c>
      <c r="G13986" t="s">
        <v>48</v>
      </c>
      <c r="H13986" s="8" t="s">
        <v>27</v>
      </c>
      <c r="I13986" s="8"/>
      <c r="O13986" t="str">
        <f>LEFT(Table2[[#This Row],[Description]],75)</f>
        <v>ADVOCARE</v>
      </c>
    </row>
    <row r="13987" spans="1:15" hidden="1">
      <c r="A13987">
        <v>202506</v>
      </c>
      <c r="B13987" s="6">
        <v>45818</v>
      </c>
      <c r="C13987" t="s">
        <v>130</v>
      </c>
      <c r="D13987" t="s">
        <v>5788</v>
      </c>
      <c r="E13987">
        <v>141.66999999999999</v>
      </c>
      <c r="F13987" t="str">
        <f>IF(Table2[[#This Row],[Manual Cat Value]]="",Table2[[#This Row],[Suggested Cat Value]],VLOOKUP(Table2[[#This Row],[Manual Cat Value]],Lookup!G:H,2,0))</f>
        <v>Groceries</v>
      </c>
      <c r="G13987" t="s">
        <v>28</v>
      </c>
      <c r="I13987" s="8"/>
      <c r="O13987" t="str">
        <f>LEFT(Table2[[#This Row],[Description]],75)</f>
        <v>CUB FOODS #1636 0000SHOREWOOD           MN</v>
      </c>
    </row>
    <row r="13988" spans="1:15" hidden="1">
      <c r="A13988">
        <v>202510</v>
      </c>
      <c r="B13988" s="6">
        <v>45950</v>
      </c>
      <c r="C13988" t="s">
        <v>3938</v>
      </c>
      <c r="D13988" t="s">
        <v>6612</v>
      </c>
      <c r="E13988">
        <v>141.35</v>
      </c>
      <c r="F13988" t="str">
        <f>IF(Table2[[#This Row],[Manual Cat Value]]="",Table2[[#This Row],[Suggested Cat Value]],VLOOKUP(Table2[[#This Row],[Manual Cat Value]],Lookup!G:H,2,0))</f>
        <v>Restaurants</v>
      </c>
      <c r="G13988" t="s">
        <v>9</v>
      </c>
      <c r="H13988" s="8" t="s">
        <v>25</v>
      </c>
      <c r="I13988" s="8"/>
      <c r="O13988" t="str">
        <f>LEFT(Table2[[#This Row],[Description]],75)</f>
        <v>LUCI IN CUCINA ROMA IT REF #XX8951Q7AE451</v>
      </c>
    </row>
    <row r="13989" spans="1:15" hidden="1">
      <c r="A13989">
        <v>202510</v>
      </c>
      <c r="B13989" s="6">
        <v>45957</v>
      </c>
      <c r="C13989" t="s">
        <v>130</v>
      </c>
      <c r="D13989" t="s">
        <v>6613</v>
      </c>
      <c r="E13989">
        <v>139</v>
      </c>
      <c r="F13989" t="str">
        <f>IF(Table2[[#This Row],[Manual Cat Value]]="",Table2[[#This Row],[Suggested Cat Value]],VLOOKUP(Table2[[#This Row],[Manual Cat Value]],Lookup!G:H,2,0))</f>
        <v>House Maintenance</v>
      </c>
      <c r="H13989" s="8" t="s">
        <v>1</v>
      </c>
      <c r="I13989" s="8"/>
      <c r="O13989" t="str">
        <f>LEFT(Table2[[#This Row],[Description]],75)</f>
        <v>SP PUREFILTERS      TORONTO</v>
      </c>
    </row>
    <row r="13990" spans="1:15" hidden="1">
      <c r="A13990">
        <v>202507</v>
      </c>
      <c r="B13990" s="6">
        <v>45863</v>
      </c>
      <c r="C13990" t="s">
        <v>2519</v>
      </c>
      <c r="D13990" t="s">
        <v>1466</v>
      </c>
      <c r="E13990">
        <v>138.78</v>
      </c>
      <c r="F13990" t="str">
        <f>IF(Table2[[#This Row],[Manual Cat Value]]="",Table2[[#This Row],[Suggested Cat Value]],VLOOKUP(Table2[[#This Row],[Manual Cat Value]],Lookup!G:H,2,0))</f>
        <v>Target</v>
      </c>
      <c r="G13990" t="s">
        <v>7</v>
      </c>
      <c r="H13990" s="8" t="s">
        <v>30</v>
      </c>
      <c r="I13990" s="8"/>
      <c r="O13990" t="str">
        <f>LEFT(Table2[[#This Row],[Description]],75)</f>
        <v>Payment to Target</v>
      </c>
    </row>
    <row r="13991" spans="1:15" hidden="1">
      <c r="A13991">
        <v>202510</v>
      </c>
      <c r="B13991" s="6">
        <v>45955</v>
      </c>
      <c r="C13991" t="s">
        <v>130</v>
      </c>
      <c r="D13991" t="s">
        <v>6614</v>
      </c>
      <c r="E13991">
        <v>137.33000000000001</v>
      </c>
      <c r="F13991" t="str">
        <f>IF(Table2[[#This Row],[Manual Cat Value]]="",Table2[[#This Row],[Suggested Cat Value]],VLOOKUP(Table2[[#This Row],[Manual Cat Value]],Lookup!G:H,2,0))</f>
        <v>Groceries</v>
      </c>
      <c r="G13991" t="s">
        <v>28</v>
      </c>
      <c r="I13991" s="8"/>
      <c r="O13991" t="str">
        <f>LEFT(Table2[[#This Row],[Description]],75)</f>
        <v>TRADER JOE S #714 00MINNETONKA          MN</v>
      </c>
    </row>
    <row r="13992" spans="1:15" hidden="1">
      <c r="A13992">
        <v>202508</v>
      </c>
      <c r="B13992" s="6">
        <v>45871</v>
      </c>
      <c r="C13992" t="s">
        <v>130</v>
      </c>
      <c r="D13992" t="s">
        <v>5817</v>
      </c>
      <c r="E13992">
        <v>134.53</v>
      </c>
      <c r="F13992" t="str">
        <f>IF(Table2[[#This Row],[Manual Cat Value]]="",Table2[[#This Row],[Suggested Cat Value]],VLOOKUP(Table2[[#This Row],[Manual Cat Value]],Lookup!G:H,2,0))</f>
        <v>Groceries</v>
      </c>
      <c r="G13992" t="s">
        <v>48</v>
      </c>
      <c r="H13992" s="8" t="s">
        <v>27</v>
      </c>
      <c r="I13992" s="8"/>
      <c r="O13992" t="str">
        <f>LEFT(Table2[[#This Row],[Description]],75)</f>
        <v>ADVOCARE</v>
      </c>
    </row>
    <row r="13993" spans="1:15" hidden="1">
      <c r="A13993">
        <v>202508</v>
      </c>
      <c r="B13993" s="6">
        <v>45888</v>
      </c>
      <c r="C13993" t="s">
        <v>130</v>
      </c>
      <c r="D13993" t="s">
        <v>6563</v>
      </c>
      <c r="E13993">
        <v>130.87</v>
      </c>
      <c r="F13993" t="str">
        <f>IF(Table2[[#This Row],[Manual Cat Value]]="",Table2[[#This Row],[Suggested Cat Value]],VLOOKUP(Table2[[#This Row],[Manual Cat Value]],Lookup!G:H,2,0))</f>
        <v>Restaurants</v>
      </c>
      <c r="G13993" t="s">
        <v>26</v>
      </c>
      <c r="I13993" s="8"/>
      <c r="O13993" t="str">
        <f>LEFT(Table2[[#This Row],[Description]],75)</f>
        <v>AplPay AIRBNB * HM4BSAN FRANCISCO       CA</v>
      </c>
    </row>
    <row r="13994" spans="1:15" hidden="1">
      <c r="A13994">
        <v>202508</v>
      </c>
      <c r="B13994" s="6">
        <v>45877</v>
      </c>
      <c r="C13994" t="s">
        <v>3938</v>
      </c>
      <c r="D13994" t="s">
        <v>6615</v>
      </c>
      <c r="E13994">
        <v>130.69999999999999</v>
      </c>
      <c r="F13994" t="str">
        <f>IF(Table2[[#This Row],[Manual Cat Value]]="",Table2[[#This Row],[Suggested Cat Value]],VLOOKUP(Table2[[#This Row],[Manual Cat Value]],Lookup!G:H,2,0))</f>
        <v>Restaurants</v>
      </c>
      <c r="G13994" t="s">
        <v>9</v>
      </c>
      <c r="H13994" s="8" t="s">
        <v>25</v>
      </c>
      <c r="I13994" s="8"/>
      <c r="O13994" t="str">
        <f>LEFT(Table2[[#This Row],[Description]],75)</f>
        <v>Oakfire Pizza</v>
      </c>
    </row>
    <row r="13995" spans="1:15" hidden="1">
      <c r="A13995">
        <v>202510</v>
      </c>
      <c r="B13995" s="6">
        <v>45947</v>
      </c>
      <c r="C13995" t="s">
        <v>130</v>
      </c>
      <c r="D13995" t="s">
        <v>5890</v>
      </c>
      <c r="E13995">
        <v>129</v>
      </c>
      <c r="F13995" t="str">
        <f>IF(Table2[[#This Row],[Manual Cat Value]]="",Table2[[#This Row],[Suggested Cat Value]],VLOOKUP(Table2[[#This Row],[Manual Cat Value]],Lookup!G:H,2,0))</f>
        <v>Day Care</v>
      </c>
      <c r="G13995" t="s">
        <v>20</v>
      </c>
      <c r="I13995" s="8"/>
      <c r="O13995" t="str">
        <f>LEFT(Table2[[#This Row],[Description]],75)</f>
        <v>BCS*MINNETONKA COMMUEXCELSIOR           MN</v>
      </c>
    </row>
    <row r="13996" spans="1:15" hidden="1">
      <c r="A13996">
        <v>202506</v>
      </c>
      <c r="B13996" s="6">
        <v>45828</v>
      </c>
      <c r="C13996" t="s">
        <v>2519</v>
      </c>
      <c r="D13996" t="s">
        <v>1464</v>
      </c>
      <c r="E13996">
        <v>128.54</v>
      </c>
      <c r="F13996" t="str">
        <f>IF(Table2[[#This Row],[Manual Cat Value]]="",Table2[[#This Row],[Suggested Cat Value]],VLOOKUP(Table2[[#This Row],[Manual Cat Value]],Lookup!G:H,2,0))</f>
        <v>Savings</v>
      </c>
      <c r="G13996" t="s">
        <v>59</v>
      </c>
      <c r="I13996" s="8"/>
      <c r="O13996" t="str">
        <f>LEFT(Table2[[#This Row],[Description]],75)</f>
        <v>Payment to Discover Bank</v>
      </c>
    </row>
    <row r="13997" spans="1:15" hidden="1">
      <c r="A13997">
        <v>202507</v>
      </c>
      <c r="B13997" s="6">
        <v>45861</v>
      </c>
      <c r="C13997" t="s">
        <v>130</v>
      </c>
      <c r="D13997" t="s">
        <v>6616</v>
      </c>
      <c r="E13997">
        <v>128.05000000000001</v>
      </c>
      <c r="F13997" t="str">
        <f>IF(Table2[[#This Row],[Manual Cat Value]]="",Table2[[#This Row],[Suggested Cat Value]],VLOOKUP(Table2[[#This Row],[Manual Cat Value]],Lookup!G:H,2,0))</f>
        <v>Restaurants</v>
      </c>
      <c r="H13997" s="8" t="s">
        <v>25</v>
      </c>
      <c r="I13997" s="8"/>
      <c r="O13997" t="str">
        <f>LEFT(Table2[[#This Row],[Description]],75)</f>
        <v>DENVER RIO 1745 WAZEDENVER              CO</v>
      </c>
    </row>
    <row r="13998" spans="1:15" hidden="1">
      <c r="A13998">
        <v>202507</v>
      </c>
      <c r="B13998" s="6">
        <v>45856</v>
      </c>
      <c r="C13998" t="s">
        <v>130</v>
      </c>
      <c r="D13998" t="s">
        <v>6313</v>
      </c>
      <c r="E13998">
        <v>126.17</v>
      </c>
      <c r="F13998" t="str">
        <f>IF(Table2[[#This Row],[Manual Cat Value]]="",Table2[[#This Row],[Suggested Cat Value]],VLOOKUP(Table2[[#This Row],[Manual Cat Value]],Lookup!G:H,2,0))</f>
        <v>Travel</v>
      </c>
      <c r="G13998" t="s">
        <v>43</v>
      </c>
      <c r="I13998" s="8"/>
      <c r="O13998" t="str">
        <f>LEFT(Table2[[#This Row],[Description]],75)</f>
        <v>CREEDE SNOWSHOE LODGCREEDE              CO</v>
      </c>
    </row>
    <row r="13999" spans="1:15" hidden="1">
      <c r="A13999">
        <v>202508</v>
      </c>
      <c r="B13999" s="6">
        <v>45893</v>
      </c>
      <c r="C13999" t="s">
        <v>130</v>
      </c>
      <c r="D13999" t="s">
        <v>5795</v>
      </c>
      <c r="E13999">
        <v>125.32</v>
      </c>
      <c r="F13999" t="str">
        <f>IF(Table2[[#This Row],[Manual Cat Value]]="",Table2[[#This Row],[Suggested Cat Value]],VLOOKUP(Table2[[#This Row],[Manual Cat Value]],Lookup!G:H,2,0))</f>
        <v>Delete</v>
      </c>
      <c r="G13999" t="s">
        <v>2</v>
      </c>
      <c r="H13999" s="8" t="s">
        <v>9</v>
      </c>
      <c r="I13999" s="8"/>
      <c r="O13999" t="str">
        <f>LEFT(Table2[[#This Row],[Description]],75)</f>
        <v>SLACK T074985K686   SAN FRANCISCO       CA</v>
      </c>
    </row>
    <row r="14000" spans="1:15" hidden="1">
      <c r="A14000">
        <v>202510</v>
      </c>
      <c r="B14000" s="6">
        <v>45938</v>
      </c>
      <c r="C14000" t="s">
        <v>2519</v>
      </c>
      <c r="D14000" t="s">
        <v>1958</v>
      </c>
      <c r="E14000">
        <v>125</v>
      </c>
      <c r="F14000" t="str">
        <f>IF(Table2[[#This Row],[Manual Cat Value]]="",Table2[[#This Row],[Suggested Cat Value]],VLOOKUP(Table2[[#This Row],[Manual Cat Value]],Lookup!G:H,2,0))</f>
        <v>Shopping</v>
      </c>
      <c r="G14000" t="s">
        <v>21</v>
      </c>
      <c r="I14000" s="8"/>
      <c r="O14000" t="str">
        <f>LEFT(Table2[[#This Row],[Description]],75)</f>
        <v>Transfer to Venmo</v>
      </c>
    </row>
    <row r="14001" spans="1:15" hidden="1">
      <c r="A14001">
        <v>202506</v>
      </c>
      <c r="B14001" s="6">
        <v>45821</v>
      </c>
      <c r="C14001" t="s">
        <v>2519</v>
      </c>
      <c r="D14001" t="s">
        <v>1958</v>
      </c>
      <c r="E14001">
        <v>125</v>
      </c>
      <c r="F14001" t="str">
        <f>IF(Table2[[#This Row],[Manual Cat Value]]="",Table2[[#This Row],[Suggested Cat Value]],VLOOKUP(Table2[[#This Row],[Manual Cat Value]],Lookup!G:H,2,0))</f>
        <v>Shopping</v>
      </c>
      <c r="G14001" t="s">
        <v>21</v>
      </c>
      <c r="I14001" s="8"/>
      <c r="O14001" t="str">
        <f>LEFT(Table2[[#This Row],[Description]],75)</f>
        <v>Transfer to Venmo</v>
      </c>
    </row>
    <row r="14002" spans="1:15" hidden="1">
      <c r="A14002">
        <v>202509</v>
      </c>
      <c r="B14002" s="6">
        <v>45901</v>
      </c>
      <c r="C14002" t="s">
        <v>130</v>
      </c>
      <c r="D14002" t="s">
        <v>5954</v>
      </c>
      <c r="E14002">
        <v>125</v>
      </c>
      <c r="F14002" t="str">
        <f>IF(Table2[[#This Row],[Manual Cat Value]]="",Table2[[#This Row],[Suggested Cat Value]],VLOOKUP(Table2[[#This Row],[Manual Cat Value]],Lookup!G:H,2,0))</f>
        <v>Shopping</v>
      </c>
      <c r="G14002" t="s">
        <v>21</v>
      </c>
      <c r="I14002" s="8"/>
      <c r="O14002" t="str">
        <f>LEFT(Table2[[#This Row],[Description]],75)</f>
        <v>SP 7DIAMONDS APPARELTUSTIN              CA</v>
      </c>
    </row>
    <row r="14003" spans="1:15" hidden="1">
      <c r="A14003">
        <v>202507</v>
      </c>
      <c r="B14003" s="6">
        <v>45854</v>
      </c>
      <c r="C14003" t="s">
        <v>130</v>
      </c>
      <c r="D14003" t="s">
        <v>6164</v>
      </c>
      <c r="E14003">
        <v>124.06</v>
      </c>
      <c r="F14003" t="str">
        <f>IF(Table2[[#This Row],[Manual Cat Value]]="",Table2[[#This Row],[Suggested Cat Value]],VLOOKUP(Table2[[#This Row],[Manual Cat Value]],Lookup!G:H,2,0))</f>
        <v>Healthcare</v>
      </c>
      <c r="G14003" t="s">
        <v>48</v>
      </c>
      <c r="I14003" s="8"/>
      <c r="O14003" t="str">
        <f>LEFT(Table2[[#This Row],[Description]],75)</f>
        <v>SOUTH LAKE PEDIATRICMINNETONKA          MN</v>
      </c>
    </row>
    <row r="14004" spans="1:15" hidden="1">
      <c r="A14004">
        <v>202509</v>
      </c>
      <c r="B14004" s="6">
        <v>45928</v>
      </c>
      <c r="C14004" t="s">
        <v>130</v>
      </c>
      <c r="D14004" t="s">
        <v>5760</v>
      </c>
      <c r="E14004">
        <v>122.72</v>
      </c>
      <c r="F14004" t="str">
        <f>IF(Table2[[#This Row],[Manual Cat Value]]="",Table2[[#This Row],[Suggested Cat Value]],VLOOKUP(Table2[[#This Row],[Manual Cat Value]],Lookup!G:H,2,0))</f>
        <v>Restaurants</v>
      </c>
      <c r="G14004" t="s">
        <v>26</v>
      </c>
      <c r="I14004" s="8"/>
      <c r="O14004" t="str">
        <f>LEFT(Table2[[#This Row],[Description]],75)</f>
        <v>TST* NORTH COOP 0013EXCELSIOR           MN</v>
      </c>
    </row>
    <row r="14005" spans="1:15" hidden="1">
      <c r="A14005">
        <v>202510</v>
      </c>
      <c r="B14005" s="6">
        <v>45941</v>
      </c>
      <c r="C14005" t="s">
        <v>130</v>
      </c>
      <c r="D14005" t="s">
        <v>6617</v>
      </c>
      <c r="E14005">
        <v>121.13</v>
      </c>
      <c r="F14005" t="str">
        <f>IF(Table2[[#This Row],[Manual Cat Value]]="",Table2[[#This Row],[Suggested Cat Value]],VLOOKUP(Table2[[#This Row],[Manual Cat Value]],Lookup!G:H,2,0))</f>
        <v>Restaurants</v>
      </c>
      <c r="H14005" s="8" t="s">
        <v>25</v>
      </c>
      <c r="I14005" s="8"/>
      <c r="O14005" t="str">
        <f>LEFT(Table2[[#This Row],[Description]],75)</f>
        <v>ENOTECA INTERNAZIONAMONTEROSSO AL MARE</v>
      </c>
    </row>
    <row r="14006" spans="1:15" hidden="1">
      <c r="A14006">
        <v>202510</v>
      </c>
      <c r="B14006" s="6">
        <v>45946</v>
      </c>
      <c r="C14006" t="s">
        <v>3938</v>
      </c>
      <c r="D14006" t="s">
        <v>6618</v>
      </c>
      <c r="E14006">
        <v>120.84</v>
      </c>
      <c r="F14006" t="str">
        <f>IF(Table2[[#This Row],[Manual Cat Value]]="",Table2[[#This Row],[Suggested Cat Value]],VLOOKUP(Table2[[#This Row],[Manual Cat Value]],Lookup!G:H,2,0))</f>
        <v>Restaurants</v>
      </c>
      <c r="H14006" s="8" t="s">
        <v>25</v>
      </c>
      <c r="I14006" s="8"/>
      <c r="O14006" t="str">
        <f>LEFT(Table2[[#This Row],[Description]],75)</f>
        <v>AGRIO' SNC CASTIGLIONE DIT REF #XX1513TTWS4</v>
      </c>
    </row>
    <row r="14007" spans="1:15" hidden="1">
      <c r="A14007">
        <v>202509</v>
      </c>
      <c r="B14007" s="6">
        <v>45924</v>
      </c>
      <c r="C14007" t="s">
        <v>130</v>
      </c>
      <c r="D14007" t="s">
        <v>5982</v>
      </c>
      <c r="E14007">
        <v>120</v>
      </c>
      <c r="F14007" t="str">
        <f>IF(Table2[[#This Row],[Manual Cat Value]]="",Table2[[#This Row],[Suggested Cat Value]],VLOOKUP(Table2[[#This Row],[Manual Cat Value]],Lookup!G:H,2,0))</f>
        <v>Day Care</v>
      </c>
      <c r="G14007" t="s">
        <v>20</v>
      </c>
      <c r="I14007" s="8"/>
      <c r="O14007" t="str">
        <f>LEFT(Table2[[#This Row],[Description]],75)</f>
        <v>RVT*MTKA PUB SCHLS-WMINNETONKA          MN</v>
      </c>
    </row>
    <row r="14008" spans="1:15" hidden="1">
      <c r="A14008">
        <v>202510</v>
      </c>
      <c r="B14008" s="6">
        <v>45950</v>
      </c>
      <c r="C14008" t="s">
        <v>2519</v>
      </c>
      <c r="D14008" t="s">
        <v>1464</v>
      </c>
      <c r="E14008">
        <v>117.57</v>
      </c>
      <c r="F14008" t="str">
        <f>IF(Table2[[#This Row],[Manual Cat Value]]="",Table2[[#This Row],[Suggested Cat Value]],VLOOKUP(Table2[[#This Row],[Manual Cat Value]],Lookup!G:H,2,0))</f>
        <v>Delete</v>
      </c>
      <c r="G14008" t="s">
        <v>9</v>
      </c>
      <c r="I14008" s="8"/>
      <c r="O14008" t="str">
        <f>LEFT(Table2[[#This Row],[Description]],75)</f>
        <v>Payment to Discover Bank</v>
      </c>
    </row>
    <row r="14009" spans="1:15" hidden="1">
      <c r="A14009">
        <v>202510</v>
      </c>
      <c r="B14009" s="6">
        <v>45957</v>
      </c>
      <c r="C14009" t="s">
        <v>130</v>
      </c>
      <c r="D14009" t="s">
        <v>6619</v>
      </c>
      <c r="E14009">
        <v>117.54</v>
      </c>
      <c r="F14009" t="str">
        <f>IF(Table2[[#This Row],[Manual Cat Value]]="",Table2[[#This Row],[Suggested Cat Value]],VLOOKUP(Table2[[#This Row],[Manual Cat Value]],Lookup!G:H,2,0))</f>
        <v>Shopping</v>
      </c>
      <c r="G14009" t="s">
        <v>21</v>
      </c>
      <c r="I14009" s="8"/>
      <c r="O14009" t="str">
        <f>LEFT(Table2[[#This Row],[Description]],75)</f>
        <v>PES SPORTS L.L.C. 00201-3653896         NJ</v>
      </c>
    </row>
    <row r="14010" spans="1:15" hidden="1">
      <c r="A14010">
        <v>202509</v>
      </c>
      <c r="B14010" s="6">
        <v>45912</v>
      </c>
      <c r="C14010" t="s">
        <v>130</v>
      </c>
      <c r="D14010" t="s">
        <v>6177</v>
      </c>
      <c r="E14010">
        <v>116.5</v>
      </c>
      <c r="F14010" t="str">
        <f>IF(Table2[[#This Row],[Manual Cat Value]]="",Table2[[#This Row],[Suggested Cat Value]],VLOOKUP(Table2[[#This Row],[Manual Cat Value]],Lookup!G:H,2,0))</f>
        <v>Shopping</v>
      </c>
      <c r="G14010" t="s">
        <v>21</v>
      </c>
      <c r="I14010" s="8"/>
      <c r="O14010" t="str">
        <f>LEFT(Table2[[#This Row],[Description]],75)</f>
        <v>SP VUORI CLOTHING   ENCINITAS           CA</v>
      </c>
    </row>
    <row r="14011" spans="1:15" hidden="1">
      <c r="A14011">
        <v>202508</v>
      </c>
      <c r="B14011" s="6">
        <v>45879</v>
      </c>
      <c r="C14011" t="s">
        <v>130</v>
      </c>
      <c r="D14011" t="s">
        <v>6219</v>
      </c>
      <c r="E14011">
        <v>116.46</v>
      </c>
      <c r="F14011" t="str">
        <f>IF(Table2[[#This Row],[Manual Cat Value]]="",Table2[[#This Row],[Suggested Cat Value]],VLOOKUP(Table2[[#This Row],[Manual Cat Value]],Lookup!G:H,2,0))</f>
        <v>House Maintenance</v>
      </c>
      <c r="G14011" t="s">
        <v>2</v>
      </c>
      <c r="I14011" s="8"/>
      <c r="O14011" t="str">
        <f>LEFT(Table2[[#This Row],[Description]],75)</f>
        <v>THE HOME DEPOT      CHASKA              MN</v>
      </c>
    </row>
    <row r="14012" spans="1:15" hidden="1">
      <c r="A14012">
        <v>202509</v>
      </c>
      <c r="B14012" s="6">
        <v>45924</v>
      </c>
      <c r="C14012" t="s">
        <v>130</v>
      </c>
      <c r="D14012" t="s">
        <v>5795</v>
      </c>
      <c r="E14012">
        <v>116.29</v>
      </c>
      <c r="F14012" t="str">
        <f>IF(Table2[[#This Row],[Manual Cat Value]]="",Table2[[#This Row],[Suggested Cat Value]],VLOOKUP(Table2[[#This Row],[Manual Cat Value]],Lookup!G:H,2,0))</f>
        <v>Delete</v>
      </c>
      <c r="G14012" t="s">
        <v>2</v>
      </c>
      <c r="H14012" s="8" t="s">
        <v>9</v>
      </c>
      <c r="I14012" s="8"/>
      <c r="O14012" t="str">
        <f>LEFT(Table2[[#This Row],[Description]],75)</f>
        <v>SLACK T074985K686   SAN FRANCISCO       CA</v>
      </c>
    </row>
    <row r="14013" spans="1:15" hidden="1">
      <c r="A14013">
        <v>202509</v>
      </c>
      <c r="B14013" s="6">
        <v>45922</v>
      </c>
      <c r="C14013" t="s">
        <v>2519</v>
      </c>
      <c r="D14013" t="s">
        <v>6620</v>
      </c>
      <c r="E14013">
        <v>115.1</v>
      </c>
      <c r="F14013" t="str">
        <f>IF(Table2[[#This Row],[Manual Cat Value]]="",Table2[[#This Row],[Suggested Cat Value]],VLOOKUP(Table2[[#This Row],[Manual Cat Value]],Lookup!G:H,2,0))</f>
        <v>Utilities</v>
      </c>
      <c r="G14013" t="s">
        <v>20</v>
      </c>
      <c r="H14013" s="8" t="s">
        <v>6</v>
      </c>
      <c r="I14013" s="8"/>
      <c r="O14013" t="str">
        <f>LEFT(Table2[[#This Row],[Description]],75)</f>
        <v>Withdrawal ACH CITY OF CHANHASS TYPE: UTIL BILL ID: XX5331 CO: CITY OF CHAN</v>
      </c>
    </row>
    <row r="14014" spans="1:15" hidden="1">
      <c r="A14014">
        <v>202510</v>
      </c>
      <c r="B14014" s="6">
        <v>45950</v>
      </c>
      <c r="C14014" t="s">
        <v>2519</v>
      </c>
      <c r="D14014" t="s">
        <v>6621</v>
      </c>
      <c r="E14014">
        <v>114.85</v>
      </c>
      <c r="F14014" t="str">
        <f>IF(Table2[[#This Row],[Manual Cat Value]]="",Table2[[#This Row],[Suggested Cat Value]],VLOOKUP(Table2[[#This Row],[Manual Cat Value]],Lookup!G:H,2,0))</f>
        <v>Travel</v>
      </c>
      <c r="G14014" t="s">
        <v>9</v>
      </c>
      <c r="H14014" s="8" t="s">
        <v>52</v>
      </c>
      <c r="I14014" s="8"/>
      <c r="O14014" t="str">
        <f>LEFT(Table2[[#This Row],[Description]],75)</f>
        <v>Transfer to Viator</v>
      </c>
    </row>
    <row r="14015" spans="1:15" hidden="1">
      <c r="A14015">
        <v>202509</v>
      </c>
      <c r="B14015" s="6">
        <v>45929</v>
      </c>
      <c r="C14015" t="s">
        <v>3938</v>
      </c>
      <c r="D14015" t="s">
        <v>648</v>
      </c>
      <c r="E14015">
        <v>114.49</v>
      </c>
      <c r="F14015" t="str">
        <f>IF(Table2[[#This Row],[Manual Cat Value]]="",Table2[[#This Row],[Suggested Cat Value]],VLOOKUP(Table2[[#This Row],[Manual Cat Value]],Lookup!G:H,2,0))</f>
        <v>Groceries</v>
      </c>
      <c r="G14015" t="s">
        <v>28</v>
      </c>
      <c r="I14015" s="8"/>
      <c r="O14015" t="str">
        <f>LEFT(Table2[[#This Row],[Description]],75)</f>
        <v>Costco</v>
      </c>
    </row>
    <row r="14016" spans="1:15" hidden="1">
      <c r="A14016">
        <v>202507</v>
      </c>
      <c r="B14016" s="6">
        <v>45839</v>
      </c>
      <c r="C14016" t="s">
        <v>130</v>
      </c>
      <c r="D14016" t="s">
        <v>5733</v>
      </c>
      <c r="E14016">
        <v>113.36</v>
      </c>
      <c r="F14016" t="str">
        <f>IF(Table2[[#This Row],[Manual Cat Value]]="",Table2[[#This Row],[Suggested Cat Value]],VLOOKUP(Table2[[#This Row],[Manual Cat Value]],Lookup!G:H,2,0))</f>
        <v>Dry Cleaning</v>
      </c>
      <c r="G14016" t="s">
        <v>41</v>
      </c>
      <c r="I14016" s="8"/>
      <c r="O14016" t="str">
        <f>LEFT(Table2[[#This Row],[Description]],75)</f>
        <v>ALL SEASONS GARMENT CHANHASSEN          MN</v>
      </c>
    </row>
    <row r="14017" spans="1:15" hidden="1">
      <c r="A14017">
        <v>202506</v>
      </c>
      <c r="B14017" s="6">
        <v>45828</v>
      </c>
      <c r="C14017" t="s">
        <v>130</v>
      </c>
      <c r="D14017" t="s">
        <v>6622</v>
      </c>
      <c r="E14017">
        <v>112.19</v>
      </c>
      <c r="F14017" t="str">
        <f>IF(Table2[[#This Row],[Manual Cat Value]]="",Table2[[#This Row],[Suggested Cat Value]],VLOOKUP(Table2[[#This Row],[Manual Cat Value]],Lookup!G:H,2,0))</f>
        <v>Restaurants</v>
      </c>
      <c r="G14017" t="s">
        <v>43</v>
      </c>
      <c r="H14017" s="8" t="s">
        <v>25</v>
      </c>
      <c r="I14017" s="8"/>
      <c r="O14017" t="str">
        <f>LEFT(Table2[[#This Row],[Description]],75)</f>
        <v>TST* DULUTH GRILL 00DULUTH              MN</v>
      </c>
    </row>
    <row r="14018" spans="1:15" hidden="1">
      <c r="A14018">
        <v>202506</v>
      </c>
      <c r="B14018" s="6">
        <v>45829</v>
      </c>
      <c r="C14018" t="s">
        <v>130</v>
      </c>
      <c r="D14018" t="s">
        <v>6623</v>
      </c>
      <c r="E14018">
        <v>111.48</v>
      </c>
      <c r="F14018" t="str">
        <f>IF(Table2[[#This Row],[Manual Cat Value]]="",Table2[[#This Row],[Suggested Cat Value]],VLOOKUP(Table2[[#This Row],[Manual Cat Value]],Lookup!G:H,2,0))</f>
        <v>Restaurants</v>
      </c>
      <c r="G14018" t="s">
        <v>43</v>
      </c>
      <c r="H14018" s="8" t="s">
        <v>25</v>
      </c>
      <c r="I14018" s="8"/>
      <c r="O14018" t="str">
        <f>LEFT(Table2[[#This Row],[Description]],75)</f>
        <v>TST* CANAL PARK BREWDULUTH              MN</v>
      </c>
    </row>
    <row r="14019" spans="1:15" hidden="1">
      <c r="A14019">
        <v>202509</v>
      </c>
      <c r="B14019" s="6">
        <v>45921</v>
      </c>
      <c r="C14019" t="s">
        <v>130</v>
      </c>
      <c r="D14019" t="s">
        <v>6624</v>
      </c>
      <c r="E14019">
        <v>111</v>
      </c>
      <c r="F14019" t="str">
        <f>IF(Table2[[#This Row],[Manual Cat Value]]="",Table2[[#This Row],[Suggested Cat Value]],VLOOKUP(Table2[[#This Row],[Manual Cat Value]],Lookup!G:H,2,0))</f>
        <v>Shopping</v>
      </c>
      <c r="G14019" t="s">
        <v>21</v>
      </c>
      <c r="I14019" s="8"/>
      <c r="O14019" t="str">
        <f>LEFT(Table2[[#This Row],[Description]],75)</f>
        <v>SP SPORTIQE APPAREL TEMPE               AZ</v>
      </c>
    </row>
    <row r="14020" spans="1:15" hidden="1">
      <c r="A14020">
        <v>202510</v>
      </c>
      <c r="B14020" s="6">
        <v>45944</v>
      </c>
      <c r="C14020" t="s">
        <v>130</v>
      </c>
      <c r="D14020" t="s">
        <v>6625</v>
      </c>
      <c r="E14020">
        <v>110.19</v>
      </c>
      <c r="F14020" t="str">
        <f>IF(Table2[[#This Row],[Manual Cat Value]]="",Table2[[#This Row],[Suggested Cat Value]],VLOOKUP(Table2[[#This Row],[Manual Cat Value]],Lookup!G:H,2,0))</f>
        <v>Restaurants</v>
      </c>
      <c r="H14020" s="8" t="s">
        <v>25</v>
      </c>
      <c r="I14020" s="8"/>
      <c r="O14020" t="str">
        <f>LEFT(Table2[[#This Row],[Description]],75)</f>
        <v>ENOTECA BOCCADAMA   FIRENZE</v>
      </c>
    </row>
    <row r="14021" spans="1:15" hidden="1">
      <c r="A14021">
        <v>202510</v>
      </c>
      <c r="B14021" s="6">
        <v>45943</v>
      </c>
      <c r="C14021" t="s">
        <v>130</v>
      </c>
      <c r="D14021" t="s">
        <v>6626</v>
      </c>
      <c r="E14021">
        <v>108.04</v>
      </c>
      <c r="F14021" t="str">
        <f>IF(Table2[[#This Row],[Manual Cat Value]]="",Table2[[#This Row],[Suggested Cat Value]],VLOOKUP(Table2[[#This Row],[Manual Cat Value]],Lookup!G:H,2,0))</f>
        <v>Restaurants</v>
      </c>
      <c r="H14021" s="8" t="s">
        <v>25</v>
      </c>
      <c r="I14021" s="8"/>
      <c r="O14021" t="str">
        <f>LEFT(Table2[[#This Row],[Description]],75)</f>
        <v>IL NUTINO           FIRENZE</v>
      </c>
    </row>
    <row r="14022" spans="1:15" hidden="1">
      <c r="A14022">
        <v>202506</v>
      </c>
      <c r="B14022" s="6">
        <v>45831</v>
      </c>
      <c r="C14022" t="s">
        <v>2519</v>
      </c>
      <c r="D14022" t="s">
        <v>1355</v>
      </c>
      <c r="E14022">
        <v>107.59</v>
      </c>
      <c r="F14022" t="str">
        <f>IF(Table2[[#This Row],[Manual Cat Value]]="",Table2[[#This Row],[Suggested Cat Value]],VLOOKUP(Table2[[#This Row],[Manual Cat Value]],Lookup!G:H,2,0))</f>
        <v>Shopping</v>
      </c>
      <c r="G14022" t="s">
        <v>21</v>
      </c>
      <c r="I14022" s="8"/>
      <c r="O14022" t="str">
        <f>LEFT(Table2[[#This Row],[Description]],75)</f>
        <v>Nordstrom</v>
      </c>
    </row>
    <row r="14023" spans="1:15" hidden="1">
      <c r="A14023">
        <v>202509</v>
      </c>
      <c r="B14023" s="6">
        <v>45905</v>
      </c>
      <c r="C14023" t="s">
        <v>130</v>
      </c>
      <c r="D14023" t="s">
        <v>6627</v>
      </c>
      <c r="E14023">
        <v>107.26</v>
      </c>
      <c r="F14023" t="str">
        <f>IF(Table2[[#This Row],[Manual Cat Value]]="",Table2[[#This Row],[Suggested Cat Value]],VLOOKUP(Table2[[#This Row],[Manual Cat Value]],Lookup!G:H,2,0))</f>
        <v>Shopping</v>
      </c>
      <c r="H14023" s="8" t="s">
        <v>36</v>
      </c>
      <c r="I14023" s="8"/>
      <c r="O14023" t="str">
        <f>LEFT(Table2[[#This Row],[Description]],75)</f>
        <v>LS CABIN FEVER SPORTVICTORIA            MN</v>
      </c>
    </row>
    <row r="14024" spans="1:15" hidden="1">
      <c r="A14024">
        <v>202509</v>
      </c>
      <c r="B14024" s="6">
        <v>45903</v>
      </c>
      <c r="C14024" t="s">
        <v>130</v>
      </c>
      <c r="D14024" t="s">
        <v>6628</v>
      </c>
      <c r="E14024">
        <v>107.25</v>
      </c>
      <c r="F14024" t="str">
        <f>IF(Table2[[#This Row],[Manual Cat Value]]="",Table2[[#This Row],[Suggested Cat Value]],VLOOKUP(Table2[[#This Row],[Manual Cat Value]],Lookup!G:H,2,0))</f>
        <v>Restaurants</v>
      </c>
      <c r="G14024" t="s">
        <v>26</v>
      </c>
      <c r="I14024" s="8"/>
      <c r="O14024" t="str">
        <f>LEFT(Table2[[#This Row],[Description]],75)</f>
        <v>AplPay DD *DOORDASH SAN FRANCISCO       CA</v>
      </c>
    </row>
    <row r="14025" spans="1:15" hidden="1">
      <c r="A14025">
        <v>202506</v>
      </c>
      <c r="B14025" s="6">
        <v>45838</v>
      </c>
      <c r="C14025" t="s">
        <v>2519</v>
      </c>
      <c r="D14025" t="s">
        <v>1958</v>
      </c>
      <c r="E14025">
        <v>107</v>
      </c>
      <c r="F14025" t="str">
        <f>IF(Table2[[#This Row],[Manual Cat Value]]="",Table2[[#This Row],[Suggested Cat Value]],VLOOKUP(Table2[[#This Row],[Manual Cat Value]],Lookup!G:H,2,0))</f>
        <v>Shopping</v>
      </c>
      <c r="G14025" t="s">
        <v>21</v>
      </c>
      <c r="I14025" s="8"/>
      <c r="O14025" t="str">
        <f>LEFT(Table2[[#This Row],[Description]],75)</f>
        <v>Transfer to Venmo</v>
      </c>
    </row>
    <row r="14026" spans="1:15" hidden="1">
      <c r="A14026">
        <v>202510</v>
      </c>
      <c r="B14026" s="6">
        <v>45955</v>
      </c>
      <c r="C14026" t="s">
        <v>130</v>
      </c>
      <c r="D14026" t="s">
        <v>5996</v>
      </c>
      <c r="E14026">
        <v>106.54</v>
      </c>
      <c r="F14026" t="str">
        <f>IF(Table2[[#This Row],[Manual Cat Value]]="",Table2[[#This Row],[Suggested Cat Value]],VLOOKUP(Table2[[#This Row],[Manual Cat Value]],Lookup!G:H,2,0))</f>
        <v>Dry Cleaning</v>
      </c>
      <c r="G14026" t="s">
        <v>41</v>
      </c>
      <c r="I14026" s="8"/>
      <c r="O14026" t="str">
        <f>LEFT(Table2[[#This Row],[Description]],75)</f>
        <v>TIDE DRY CLEANERS EXEXCELSIOR           MN</v>
      </c>
    </row>
    <row r="14027" spans="1:15" hidden="1">
      <c r="A14027">
        <v>202510</v>
      </c>
      <c r="B14027" s="6">
        <v>45945</v>
      </c>
      <c r="C14027" t="s">
        <v>3938</v>
      </c>
      <c r="D14027" t="s">
        <v>6629</v>
      </c>
      <c r="E14027">
        <v>105.74</v>
      </c>
      <c r="F14027" t="str">
        <f>IF(Table2[[#This Row],[Manual Cat Value]]="",Table2[[#This Row],[Suggested Cat Value]],VLOOKUP(Table2[[#This Row],[Manual Cat Value]],Lookup!G:H,2,0))</f>
        <v>Groceries</v>
      </c>
      <c r="H14027" s="8" t="s">
        <v>27</v>
      </c>
      <c r="I14027" s="8"/>
      <c r="O14027" t="str">
        <f>LEFT(Table2[[#This Row],[Description]],75)</f>
        <v>GALA SUPERMERCATO CORTONA IT REF #XX0901SRP01SY</v>
      </c>
    </row>
    <row r="14028" spans="1:15" hidden="1">
      <c r="A14028">
        <v>202508</v>
      </c>
      <c r="B14028" s="6">
        <v>45895</v>
      </c>
      <c r="C14028" t="s">
        <v>2519</v>
      </c>
      <c r="D14028" t="s">
        <v>1958</v>
      </c>
      <c r="E14028">
        <v>104</v>
      </c>
      <c r="F14028" t="str">
        <f>IF(Table2[[#This Row],[Manual Cat Value]]="",Table2[[#This Row],[Suggested Cat Value]],VLOOKUP(Table2[[#This Row],[Manual Cat Value]],Lookup!G:H,2,0))</f>
        <v>Shopping</v>
      </c>
      <c r="G14028" t="s">
        <v>21</v>
      </c>
      <c r="I14028" s="8"/>
      <c r="O14028" t="str">
        <f>LEFT(Table2[[#This Row],[Description]],75)</f>
        <v>Transfer to Venmo</v>
      </c>
    </row>
    <row r="14029" spans="1:15" hidden="1">
      <c r="A14029">
        <v>202508</v>
      </c>
      <c r="B14029" s="6">
        <v>45893</v>
      </c>
      <c r="C14029" t="s">
        <v>130</v>
      </c>
      <c r="D14029" t="s">
        <v>6630</v>
      </c>
      <c r="E14029">
        <v>102.96</v>
      </c>
      <c r="F14029" t="str">
        <f>IF(Table2[[#This Row],[Manual Cat Value]]="",Table2[[#This Row],[Suggested Cat Value]],VLOOKUP(Table2[[#This Row],[Manual Cat Value]],Lookup!G:H,2,0))</f>
        <v>Entertainment</v>
      </c>
      <c r="G14029" t="s">
        <v>40</v>
      </c>
      <c r="I14029" s="8"/>
      <c r="O14029" t="str">
        <f>LEFT(Table2[[#This Row],[Description]],75)</f>
        <v>FSP*STONEBROOKE GOLFSHAKOPEE            MN</v>
      </c>
    </row>
    <row r="14030" spans="1:15" hidden="1">
      <c r="A14030">
        <v>202510</v>
      </c>
      <c r="B14030" s="6">
        <v>45949</v>
      </c>
      <c r="C14030" t="s">
        <v>130</v>
      </c>
      <c r="D14030" t="s">
        <v>6631</v>
      </c>
      <c r="E14030">
        <v>102.7</v>
      </c>
      <c r="F14030" t="str">
        <f>IF(Table2[[#This Row],[Manual Cat Value]]="",Table2[[#This Row],[Suggested Cat Value]],VLOOKUP(Table2[[#This Row],[Manual Cat Value]],Lookup!G:H,2,0))</f>
        <v>Restaurants</v>
      </c>
      <c r="H14030" s="8" t="s">
        <v>25</v>
      </c>
      <c r="I14030" s="8"/>
      <c r="O14030" t="str">
        <f>LEFT(Table2[[#This Row],[Description]],75)</f>
        <v>ORATORIO SRL        ROMA</v>
      </c>
    </row>
    <row r="14031" spans="1:15" hidden="1">
      <c r="A14031">
        <v>202509</v>
      </c>
      <c r="B14031" s="6">
        <v>45926</v>
      </c>
      <c r="C14031" t="s">
        <v>130</v>
      </c>
      <c r="D14031" t="s">
        <v>6632</v>
      </c>
      <c r="E14031">
        <v>102.53</v>
      </c>
      <c r="F14031" t="str">
        <f>IF(Table2[[#This Row],[Manual Cat Value]]="",Table2[[#This Row],[Suggested Cat Value]],VLOOKUP(Table2[[#This Row],[Manual Cat Value]],Lookup!G:H,2,0))</f>
        <v>Restaurants</v>
      </c>
      <c r="G14031" t="s">
        <v>26</v>
      </c>
      <c r="I14031" s="8"/>
      <c r="O14031" t="str">
        <f>LEFT(Table2[[#This Row],[Description]],75)</f>
        <v>COV EDINA 3155 GALLEEDINA               MN</v>
      </c>
    </row>
    <row r="14032" spans="1:15" hidden="1">
      <c r="A14032">
        <v>202508</v>
      </c>
      <c r="B14032" s="6">
        <v>45880</v>
      </c>
      <c r="C14032" t="s">
        <v>2519</v>
      </c>
      <c r="D14032" t="s">
        <v>1958</v>
      </c>
      <c r="E14032">
        <v>100</v>
      </c>
      <c r="F14032" t="str">
        <f>IF(Table2[[#This Row],[Manual Cat Value]]="",Table2[[#This Row],[Suggested Cat Value]],VLOOKUP(Table2[[#This Row],[Manual Cat Value]],Lookup!G:H,2,0))</f>
        <v>Shopping</v>
      </c>
      <c r="G14032" t="s">
        <v>21</v>
      </c>
      <c r="I14032" s="8"/>
      <c r="O14032" t="str">
        <f>LEFT(Table2[[#This Row],[Description]],75)</f>
        <v>Transfer to Venmo</v>
      </c>
    </row>
    <row r="14033" spans="1:15" hidden="1">
      <c r="A14033">
        <v>202507</v>
      </c>
      <c r="B14033" s="6">
        <v>45850</v>
      </c>
      <c r="C14033" t="s">
        <v>130</v>
      </c>
      <c r="D14033" t="s">
        <v>6078</v>
      </c>
      <c r="E14033">
        <v>98.38</v>
      </c>
      <c r="F14033" t="str">
        <f>IF(Table2[[#This Row],[Manual Cat Value]]="",Table2[[#This Row],[Suggested Cat Value]],VLOOKUP(Table2[[#This Row],[Manual Cat Value]],Lookup!G:H,2,0))</f>
        <v>Restaurants</v>
      </c>
      <c r="G14033" t="s">
        <v>23</v>
      </c>
      <c r="H14033" s="8" t="s">
        <v>25</v>
      </c>
      <c r="I14033" s="8"/>
      <c r="O14033" t="str">
        <f>LEFT(Table2[[#This Row],[Description]],75)</f>
        <v>LIONS TAP 0688800218EDEN PRAIRIE        MN</v>
      </c>
    </row>
    <row r="14034" spans="1:15" hidden="1">
      <c r="A14034">
        <v>202509</v>
      </c>
      <c r="B14034" s="6">
        <v>45909</v>
      </c>
      <c r="C14034" t="s">
        <v>130</v>
      </c>
      <c r="D14034" t="s">
        <v>6633</v>
      </c>
      <c r="E14034">
        <v>98</v>
      </c>
      <c r="F14034" t="str">
        <f>IF(Table2[[#This Row],[Manual Cat Value]]="",Table2[[#This Row],[Suggested Cat Value]],VLOOKUP(Table2[[#This Row],[Manual Cat Value]],Lookup!G:H,2,0))</f>
        <v>Shopping</v>
      </c>
      <c r="G14034" t="s">
        <v>21</v>
      </c>
      <c r="I14034" s="8"/>
      <c r="O14034" t="str">
        <f>LEFT(Table2[[#This Row],[Description]],75)</f>
        <v>SP ALO-YOGA         COMMERCE            CA</v>
      </c>
    </row>
    <row r="14035" spans="1:15" hidden="1">
      <c r="A14035">
        <v>202508</v>
      </c>
      <c r="B14035" s="6">
        <v>45881</v>
      </c>
      <c r="C14035" t="s">
        <v>130</v>
      </c>
      <c r="D14035" t="s">
        <v>5847</v>
      </c>
      <c r="E14035">
        <v>98</v>
      </c>
      <c r="F14035" t="str">
        <f>IF(Table2[[#This Row],[Manual Cat Value]]="",Table2[[#This Row],[Suggested Cat Value]],VLOOKUP(Table2[[#This Row],[Manual Cat Value]],Lookup!G:H,2,0))</f>
        <v>Shopping</v>
      </c>
      <c r="G14035" t="s">
        <v>21</v>
      </c>
      <c r="I14035" s="8"/>
      <c r="O14035" t="str">
        <f>LEFT(Table2[[#This Row],[Description]],75)</f>
        <v>ANTHROPOLOGIE.COM   PHILADELPHIA        PA</v>
      </c>
    </row>
    <row r="14036" spans="1:15" hidden="1">
      <c r="A14036">
        <v>202506</v>
      </c>
      <c r="B14036" s="6">
        <v>45826</v>
      </c>
      <c r="C14036" t="s">
        <v>130</v>
      </c>
      <c r="D14036" t="s">
        <v>6634</v>
      </c>
      <c r="E14036">
        <v>98</v>
      </c>
      <c r="F14036" t="str">
        <f>IF(Table2[[#This Row],[Manual Cat Value]]="",Table2[[#This Row],[Suggested Cat Value]],VLOOKUP(Table2[[#This Row],[Manual Cat Value]],Lookup!G:H,2,0))</f>
        <v>Restaurants</v>
      </c>
      <c r="G14036" t="s">
        <v>26</v>
      </c>
      <c r="I14036" s="8"/>
      <c r="O14036" t="str">
        <f>LEFT(Table2[[#This Row],[Description]],75)</f>
        <v>AplPay ANTHROPOLOGIEPHILADELPHIA        PA</v>
      </c>
    </row>
    <row r="14037" spans="1:15" hidden="1">
      <c r="A14037">
        <v>202507</v>
      </c>
      <c r="B14037" s="6">
        <v>45863</v>
      </c>
      <c r="C14037" t="s">
        <v>130</v>
      </c>
      <c r="D14037" t="s">
        <v>6635</v>
      </c>
      <c r="E14037">
        <v>97.51</v>
      </c>
      <c r="F14037" t="str">
        <f>IF(Table2[[#This Row],[Manual Cat Value]]="",Table2[[#This Row],[Suggested Cat Value]],VLOOKUP(Table2[[#This Row],[Manual Cat Value]],Lookup!G:H,2,0))</f>
        <v>Restaurants</v>
      </c>
      <c r="G14037" t="s">
        <v>26</v>
      </c>
      <c r="I14037" s="8"/>
      <c r="O14037" t="str">
        <f>LEFT(Table2[[#This Row],[Description]],75)</f>
        <v>ROULETTES PIZZA 0688VICTORIA            MN</v>
      </c>
    </row>
    <row r="14038" spans="1:15" hidden="1">
      <c r="A14038">
        <v>202506</v>
      </c>
      <c r="B14038" s="6">
        <v>45829</v>
      </c>
      <c r="C14038" t="s">
        <v>130</v>
      </c>
      <c r="D14038" t="s">
        <v>6636</v>
      </c>
      <c r="E14038">
        <v>96.94</v>
      </c>
      <c r="F14038" t="str">
        <f>IF(Table2[[#This Row],[Manual Cat Value]]="",Table2[[#This Row],[Suggested Cat Value]],VLOOKUP(Table2[[#This Row],[Manual Cat Value]],Lookup!G:H,2,0))</f>
        <v>Restaurants</v>
      </c>
      <c r="G14038" t="s">
        <v>43</v>
      </c>
      <c r="H14038" s="8" t="s">
        <v>25</v>
      </c>
      <c r="I14038" s="8"/>
      <c r="O14038" t="str">
        <f>LEFT(Table2[[#This Row],[Description]],75)</f>
        <v>TST* OMC SMOKEHOUSE DULUTH              MN</v>
      </c>
    </row>
    <row r="14039" spans="1:15" hidden="1">
      <c r="A14039">
        <v>202510</v>
      </c>
      <c r="B14039" s="6">
        <v>45958</v>
      </c>
      <c r="C14039" t="s">
        <v>130</v>
      </c>
      <c r="D14039" t="s">
        <v>6637</v>
      </c>
      <c r="E14039">
        <v>96.84</v>
      </c>
      <c r="F14039" t="str">
        <f>IF(Table2[[#This Row],[Manual Cat Value]]="",Table2[[#This Row],[Suggested Cat Value]],VLOOKUP(Table2[[#This Row],[Manual Cat Value]],Lookup!G:H,2,0))</f>
        <v>Restaurants</v>
      </c>
      <c r="H14039" s="8" t="s">
        <v>25</v>
      </c>
      <c r="I14039" s="8"/>
      <c r="O14039" t="str">
        <f>LEFT(Table2[[#This Row],[Description]],75)</f>
        <v>PBL - FIERAMENTE SRLMONTEVARCHI</v>
      </c>
    </row>
    <row r="14040" spans="1:15" hidden="1">
      <c r="A14040">
        <v>202508</v>
      </c>
      <c r="B14040" s="6">
        <v>45892</v>
      </c>
      <c r="C14040" t="s">
        <v>130</v>
      </c>
      <c r="D14040" t="s">
        <v>6638</v>
      </c>
      <c r="E14040">
        <v>94.82</v>
      </c>
      <c r="F14040" t="str">
        <f>IF(Table2[[#This Row],[Manual Cat Value]]="",Table2[[#This Row],[Suggested Cat Value]],VLOOKUP(Table2[[#This Row],[Manual Cat Value]],Lookup!G:H,2,0))</f>
        <v>Restaurants</v>
      </c>
      <c r="G14040" t="s">
        <v>26</v>
      </c>
      <c r="I14040" s="8"/>
      <c r="O14040" t="str">
        <f>LEFT(Table2[[#This Row],[Description]],75)</f>
        <v>AplPay TST* SHIKI 00EXCELSIOR           MN</v>
      </c>
    </row>
    <row r="14041" spans="1:15" hidden="1">
      <c r="A14041">
        <v>202510</v>
      </c>
      <c r="B14041" s="6">
        <v>45951</v>
      </c>
      <c r="C14041" t="s">
        <v>130</v>
      </c>
      <c r="D14041" t="s">
        <v>6639</v>
      </c>
      <c r="E14041">
        <v>94.53</v>
      </c>
      <c r="F14041" t="str">
        <f>IF(Table2[[#This Row],[Manual Cat Value]]="",Table2[[#This Row],[Suggested Cat Value]],VLOOKUP(Table2[[#This Row],[Manual Cat Value]],Lookup!G:H,2,0))</f>
        <v>Restaurants</v>
      </c>
      <c r="G14041" t="s">
        <v>9</v>
      </c>
      <c r="H14041" s="8" t="s">
        <v>25</v>
      </c>
      <c r="I14041" s="8"/>
      <c r="O14041" t="str">
        <f>LEFT(Table2[[#This Row],[Description]],75)</f>
        <v>MIYAZAKI RESTAURANT CORK</v>
      </c>
    </row>
    <row r="14042" spans="1:15" hidden="1">
      <c r="A14042">
        <v>202508</v>
      </c>
      <c r="B14042" s="6">
        <v>45884</v>
      </c>
      <c r="C14042" t="s">
        <v>130</v>
      </c>
      <c r="D14042" t="s">
        <v>6640</v>
      </c>
      <c r="E14042">
        <v>94.14</v>
      </c>
      <c r="F14042" t="str">
        <f>IF(Table2[[#This Row],[Manual Cat Value]]="",Table2[[#This Row],[Suggested Cat Value]],VLOOKUP(Table2[[#This Row],[Manual Cat Value]],Lookup!G:H,2,0))</f>
        <v>Restaurants</v>
      </c>
      <c r="G14042" t="s">
        <v>26</v>
      </c>
      <c r="I14042" s="8"/>
      <c r="O14042" t="str">
        <f>LEFT(Table2[[#This Row],[Description]],75)</f>
        <v>AplPay LOUIES LODGE CUMBERLAND          WI</v>
      </c>
    </row>
    <row r="14043" spans="1:15" hidden="1">
      <c r="A14043">
        <v>202509</v>
      </c>
      <c r="B14043" s="6">
        <v>45912</v>
      </c>
      <c r="C14043" t="s">
        <v>130</v>
      </c>
      <c r="D14043" t="s">
        <v>6641</v>
      </c>
      <c r="E14043">
        <v>94</v>
      </c>
      <c r="F14043" t="str">
        <f>IF(Table2[[#This Row],[Manual Cat Value]]="",Table2[[#This Row],[Suggested Cat Value]],VLOOKUP(Table2[[#This Row],[Manual Cat Value]],Lookup!G:H,2,0))</f>
        <v>Shopping</v>
      </c>
      <c r="G14043" t="s">
        <v>21</v>
      </c>
      <c r="I14043" s="8"/>
      <c r="O14043" t="str">
        <f>LEFT(Table2[[#This Row],[Description]],75)</f>
        <v>SP MARINE LAYER     SAN FRANCISCO       CA</v>
      </c>
    </row>
    <row r="14044" spans="1:15" hidden="1">
      <c r="A14044">
        <v>202510</v>
      </c>
      <c r="B14044" s="6">
        <v>45944</v>
      </c>
      <c r="C14044" t="s">
        <v>130</v>
      </c>
      <c r="D14044" t="s">
        <v>6642</v>
      </c>
      <c r="E14044">
        <v>93.7</v>
      </c>
      <c r="F14044" t="str">
        <f>IF(Table2[[#This Row],[Manual Cat Value]]="",Table2[[#This Row],[Suggested Cat Value]],VLOOKUP(Table2[[#This Row],[Manual Cat Value]],Lookup!G:H,2,0))</f>
        <v>Transportation</v>
      </c>
      <c r="G14044" t="s">
        <v>23</v>
      </c>
      <c r="I14044" s="8"/>
      <c r="O14044" t="str">
        <f>LEFT(Table2[[#This Row],[Description]],75)</f>
        <v>STAZ.SERVIZIO SHELL CORTONA</v>
      </c>
    </row>
    <row r="14045" spans="1:15" hidden="1">
      <c r="A14045">
        <v>202508</v>
      </c>
      <c r="B14045" s="6">
        <v>45872</v>
      </c>
      <c r="C14045" t="s">
        <v>130</v>
      </c>
      <c r="D14045" t="s">
        <v>6643</v>
      </c>
      <c r="E14045">
        <v>93.6</v>
      </c>
      <c r="F14045" t="str">
        <f>IF(Table2[[#This Row],[Manual Cat Value]]="",Table2[[#This Row],[Suggested Cat Value]],VLOOKUP(Table2[[#This Row],[Manual Cat Value]],Lookup!G:H,2,0))</f>
        <v>Delete</v>
      </c>
      <c r="G14045" t="s">
        <v>9</v>
      </c>
      <c r="I14045" s="8"/>
      <c r="O14045" t="str">
        <f>LEFT(Table2[[#This Row],[Description]],75)</f>
        <v>MSP AIRP THE COOK ANSAINT PAUL          MN</v>
      </c>
    </row>
    <row r="14046" spans="1:15" hidden="1">
      <c r="A14046">
        <v>202506</v>
      </c>
      <c r="B14046" s="6">
        <v>45831</v>
      </c>
      <c r="C14046" t="s">
        <v>130</v>
      </c>
      <c r="D14046" t="s">
        <v>6183</v>
      </c>
      <c r="E14046">
        <v>93.36</v>
      </c>
      <c r="F14046" t="str">
        <f>IF(Table2[[#This Row],[Manual Cat Value]]="",Table2[[#This Row],[Suggested Cat Value]],VLOOKUP(Table2[[#This Row],[Manual Cat Value]],Lookup!G:H,2,0))</f>
        <v>Amazon</v>
      </c>
      <c r="G14046" t="s">
        <v>38</v>
      </c>
      <c r="I14046" s="8"/>
      <c r="O14046" t="str">
        <f>LEFT(Table2[[#This Row],[Description]],75)</f>
        <v>AMAZON MARKEPLACE NA PA</v>
      </c>
    </row>
    <row r="14047" spans="1:15" hidden="1">
      <c r="A14047">
        <v>202507</v>
      </c>
      <c r="B14047" s="6">
        <v>45845</v>
      </c>
      <c r="C14047" t="s">
        <v>130</v>
      </c>
      <c r="D14047" t="s">
        <v>6644</v>
      </c>
      <c r="E14047">
        <v>92</v>
      </c>
      <c r="F14047" t="str">
        <f>IF(Table2[[#This Row],[Manual Cat Value]]="",Table2[[#This Row],[Suggested Cat Value]],VLOOKUP(Table2[[#This Row],[Manual Cat Value]],Lookup!G:H,2,0))</f>
        <v>Entertainment</v>
      </c>
      <c r="G14047" t="s">
        <v>40</v>
      </c>
      <c r="I14047" s="8"/>
      <c r="O14047" t="str">
        <f>LEFT(Table2[[#This Row],[Description]],75)</f>
        <v>CK *LUCK MUNICIPAL GLUCK                WI</v>
      </c>
    </row>
    <row r="14048" spans="1:15" hidden="1">
      <c r="A14048">
        <v>202506</v>
      </c>
      <c r="B14048" s="6">
        <v>45824</v>
      </c>
      <c r="C14048" t="s">
        <v>130</v>
      </c>
      <c r="D14048" t="s">
        <v>6644</v>
      </c>
      <c r="E14048">
        <v>92</v>
      </c>
      <c r="F14048" t="str">
        <f>IF(Table2[[#This Row],[Manual Cat Value]]="",Table2[[#This Row],[Suggested Cat Value]],VLOOKUP(Table2[[#This Row],[Manual Cat Value]],Lookup!G:H,2,0))</f>
        <v>Entertainment</v>
      </c>
      <c r="G14048" t="s">
        <v>40</v>
      </c>
      <c r="I14048" s="8"/>
      <c r="O14048" t="str">
        <f>LEFT(Table2[[#This Row],[Description]],75)</f>
        <v>CK *LUCK MUNICIPAL GLUCK                WI</v>
      </c>
    </row>
    <row r="14049" spans="1:15" hidden="1">
      <c r="A14049">
        <v>202508</v>
      </c>
      <c r="B14049" s="6">
        <v>45877</v>
      </c>
      <c r="C14049" t="s">
        <v>130</v>
      </c>
      <c r="D14049" t="s">
        <v>6645</v>
      </c>
      <c r="E14049">
        <v>90.5</v>
      </c>
      <c r="F14049" t="str">
        <f>IF(Table2[[#This Row],[Manual Cat Value]]="",Table2[[#This Row],[Suggested Cat Value]],VLOOKUP(Table2[[#This Row],[Manual Cat Value]],Lookup!G:H,2,0))</f>
        <v>Delete</v>
      </c>
      <c r="G14049" t="s">
        <v>9</v>
      </c>
      <c r="I14049" s="8"/>
      <c r="O14049" t="str">
        <f>LEFT(Table2[[#This Row],[Description]],75)</f>
        <v>UNITED AIRPORT TAXI Minneapolis         MN</v>
      </c>
    </row>
    <row r="14050" spans="1:15" hidden="1">
      <c r="A14050">
        <v>202509</v>
      </c>
      <c r="B14050" s="6">
        <v>45925</v>
      </c>
      <c r="C14050" t="s">
        <v>130</v>
      </c>
      <c r="D14050" t="s">
        <v>5849</v>
      </c>
      <c r="E14050">
        <v>89.44</v>
      </c>
      <c r="F14050" t="str">
        <f>IF(Table2[[#This Row],[Manual Cat Value]]="",Table2[[#This Row],[Suggested Cat Value]],VLOOKUP(Table2[[#This Row],[Manual Cat Value]],Lookup!G:H,2,0))</f>
        <v>Groceries</v>
      </c>
      <c r="G14050" t="s">
        <v>28</v>
      </c>
      <c r="I14050" s="8"/>
      <c r="O14050" t="str">
        <f>LEFT(Table2[[#This Row],[Description]],75)</f>
        <v>AplPay KOWALSKI'S EXEXCELSIOR           MN</v>
      </c>
    </row>
    <row r="14051" spans="1:15" hidden="1">
      <c r="A14051">
        <v>202510</v>
      </c>
      <c r="B14051" s="6">
        <v>45947</v>
      </c>
      <c r="C14051" t="s">
        <v>3938</v>
      </c>
      <c r="D14051" t="s">
        <v>6646</v>
      </c>
      <c r="E14051">
        <v>88.54</v>
      </c>
      <c r="F14051" t="str">
        <f>IF(Table2[[#This Row],[Manual Cat Value]]="",Table2[[#This Row],[Suggested Cat Value]],VLOOKUP(Table2[[#This Row],[Manual Cat Value]],Lookup!G:H,2,0))</f>
        <v>Groceries</v>
      </c>
      <c r="H14051" s="8" t="s">
        <v>27</v>
      </c>
      <c r="I14051" s="8"/>
      <c r="O14051" t="str">
        <f>LEFT(Table2[[#This Row],[Description]],75)</f>
        <v>PODERE CASANOVA MONTEPULCIANOIT REF #XX7792D257XDV7</v>
      </c>
    </row>
    <row r="14052" spans="1:15" hidden="1">
      <c r="A14052">
        <v>202506</v>
      </c>
      <c r="B14052" s="6">
        <v>45826</v>
      </c>
      <c r="C14052" t="s">
        <v>130</v>
      </c>
      <c r="D14052" t="s">
        <v>6647</v>
      </c>
      <c r="E14052">
        <v>88</v>
      </c>
      <c r="F14052" t="str">
        <f>IF(Table2[[#This Row],[Manual Cat Value]]="",Table2[[#This Row],[Suggested Cat Value]],VLOOKUP(Table2[[#This Row],[Manual Cat Value]],Lookup!G:H,2,0))</f>
        <v>Shopping</v>
      </c>
      <c r="G14052" t="s">
        <v>26</v>
      </c>
      <c r="H14052" s="8" t="s">
        <v>36</v>
      </c>
      <c r="I14052" s="8"/>
      <c r="O14052" t="str">
        <f>LEFT(Table2[[#This Row],[Description]],75)</f>
        <v>AplPay SP VUORI CLOTENCINITAS           CA</v>
      </c>
    </row>
    <row r="14053" spans="1:15" hidden="1">
      <c r="A14053">
        <v>202506</v>
      </c>
      <c r="B14053" s="6">
        <v>45827</v>
      </c>
      <c r="C14053" t="s">
        <v>130</v>
      </c>
      <c r="D14053" t="s">
        <v>6648</v>
      </c>
      <c r="E14053">
        <v>87.1</v>
      </c>
      <c r="F14053" t="str">
        <f>IF(Table2[[#This Row],[Manual Cat Value]]="",Table2[[#This Row],[Suggested Cat Value]],VLOOKUP(Table2[[#This Row],[Manual Cat Value]],Lookup!G:H,2,0))</f>
        <v>Shopping</v>
      </c>
      <c r="G14053" t="s">
        <v>26</v>
      </c>
      <c r="H14053" s="8" t="s">
        <v>36</v>
      </c>
      <c r="I14053" s="8"/>
      <c r="O14053" t="str">
        <f>LEFT(Table2[[#This Row],[Description]],75)</f>
        <v>AplPay RENT THE RUNW(800)509-0842       NY</v>
      </c>
    </row>
    <row r="14054" spans="1:15" hidden="1">
      <c r="A14054">
        <v>202509</v>
      </c>
      <c r="B14054" s="6">
        <v>45912</v>
      </c>
      <c r="C14054" t="s">
        <v>130</v>
      </c>
      <c r="D14054" t="s">
        <v>6649</v>
      </c>
      <c r="E14054">
        <v>86.45</v>
      </c>
      <c r="F14054" t="str">
        <f>IF(Table2[[#This Row],[Manual Cat Value]]="",Table2[[#This Row],[Suggested Cat Value]],VLOOKUP(Table2[[#This Row],[Manual Cat Value]],Lookup!G:H,2,0))</f>
        <v>Restaurants</v>
      </c>
      <c r="G14054" t="s">
        <v>26</v>
      </c>
      <c r="I14054" s="8"/>
      <c r="O14054" t="str">
        <f>LEFT(Table2[[#This Row],[Description]],75)</f>
        <v>TST* MAYNARDS - OUTSEXCELSIOR           MN</v>
      </c>
    </row>
    <row r="14055" spans="1:15" hidden="1">
      <c r="A14055">
        <v>202510</v>
      </c>
      <c r="B14055" s="6">
        <v>45954</v>
      </c>
      <c r="C14055" t="s">
        <v>130</v>
      </c>
      <c r="D14055" t="s">
        <v>6650</v>
      </c>
      <c r="E14055">
        <v>86</v>
      </c>
      <c r="F14055" t="str">
        <f>IF(Table2[[#This Row],[Manual Cat Value]]="",Table2[[#This Row],[Suggested Cat Value]],VLOOKUP(Table2[[#This Row],[Manual Cat Value]],Lookup!G:H,2,0))</f>
        <v>Delete</v>
      </c>
      <c r="G14055" t="s">
        <v>9</v>
      </c>
      <c r="I14055" s="8"/>
      <c r="O14055" t="str">
        <f>LEFT(Table2[[#This Row],[Description]],75)</f>
        <v>AplPay MAHARI TAXI  Edina               MN</v>
      </c>
    </row>
    <row r="14056" spans="1:15" hidden="1">
      <c r="A14056">
        <v>202507</v>
      </c>
      <c r="B14056" s="6">
        <v>45850</v>
      </c>
      <c r="C14056" t="s">
        <v>130</v>
      </c>
      <c r="D14056" t="s">
        <v>6651</v>
      </c>
      <c r="E14056">
        <v>86</v>
      </c>
      <c r="F14056" t="str">
        <f>IF(Table2[[#This Row],[Manual Cat Value]]="",Table2[[#This Row],[Suggested Cat Value]],VLOOKUP(Table2[[#This Row],[Manual Cat Value]],Lookup!G:H,2,0))</f>
        <v>Restaurants</v>
      </c>
      <c r="G14056" t="s">
        <v>40</v>
      </c>
      <c r="H14056" s="8" t="s">
        <v>25</v>
      </c>
      <c r="I14056" s="8"/>
      <c r="O14056" t="str">
        <f>LEFT(Table2[[#This Row],[Description]],75)</f>
        <v>CEP*OLYMPIC HILLS GCEDEN PRAIRIE        MN</v>
      </c>
    </row>
    <row r="14057" spans="1:15" hidden="1">
      <c r="A14057">
        <v>202509</v>
      </c>
      <c r="B14057" s="6">
        <v>45909</v>
      </c>
      <c r="C14057" t="s">
        <v>130</v>
      </c>
      <c r="D14057" t="s">
        <v>6647</v>
      </c>
      <c r="E14057">
        <v>85</v>
      </c>
      <c r="F14057" t="str">
        <f>IF(Table2[[#This Row],[Manual Cat Value]]="",Table2[[#This Row],[Suggested Cat Value]],VLOOKUP(Table2[[#This Row],[Manual Cat Value]],Lookup!G:H,2,0))</f>
        <v>Shopping</v>
      </c>
      <c r="G14057" t="s">
        <v>26</v>
      </c>
      <c r="H14057" s="8" t="s">
        <v>36</v>
      </c>
      <c r="I14057" s="8"/>
      <c r="O14057" t="str">
        <f>LEFT(Table2[[#This Row],[Description]],75)</f>
        <v>AplPay SP VUORI CLOTENCINITAS           CA</v>
      </c>
    </row>
    <row r="14058" spans="1:15" hidden="1">
      <c r="A14058">
        <v>202506</v>
      </c>
      <c r="B14058" s="6">
        <v>45829</v>
      </c>
      <c r="C14058" t="s">
        <v>130</v>
      </c>
      <c r="D14058" t="s">
        <v>6652</v>
      </c>
      <c r="E14058">
        <v>84.86</v>
      </c>
      <c r="F14058" t="str">
        <f>IF(Table2[[#This Row],[Manual Cat Value]]="",Table2[[#This Row],[Suggested Cat Value]],VLOOKUP(Table2[[#This Row],[Manual Cat Value]],Lookup!G:H,2,0))</f>
        <v>Groceries</v>
      </c>
      <c r="G14058" t="s">
        <v>28</v>
      </c>
      <c r="H14058" s="8" t="s">
        <v>27</v>
      </c>
      <c r="I14058" s="8"/>
      <c r="O14058" t="str">
        <f>LEFT(Table2[[#This Row],[Description]],75)</f>
        <v>TST* OLD CHICAGO - 4DULUTH              MN</v>
      </c>
    </row>
    <row r="14059" spans="1:15" hidden="1">
      <c r="A14059">
        <v>202510</v>
      </c>
      <c r="B14059" s="6">
        <v>45950</v>
      </c>
      <c r="C14059" t="s">
        <v>3938</v>
      </c>
      <c r="D14059" t="s">
        <v>6653</v>
      </c>
      <c r="E14059">
        <v>84.46</v>
      </c>
      <c r="F14059" t="str">
        <f>IF(Table2[[#This Row],[Manual Cat Value]]="",Table2[[#This Row],[Suggested Cat Value]],VLOOKUP(Table2[[#This Row],[Manual Cat Value]],Lookup!G:H,2,0))</f>
        <v>Restaurants</v>
      </c>
      <c r="G14059" t="s">
        <v>9</v>
      </c>
      <c r="H14059" s="8" t="s">
        <v>25</v>
      </c>
      <c r="I14059" s="8"/>
      <c r="O14059" t="str">
        <f>LEFT(Table2[[#This Row],[Description]],75)</f>
        <v>RISTORANTE VITTY AL PANTHRoma IT REF #XX5002R0ZV9</v>
      </c>
    </row>
    <row r="14060" spans="1:15" hidden="1">
      <c r="A14060">
        <v>202507</v>
      </c>
      <c r="B14060" s="6">
        <v>45843</v>
      </c>
      <c r="C14060" t="s">
        <v>130</v>
      </c>
      <c r="D14060" t="s">
        <v>6654</v>
      </c>
      <c r="E14060">
        <v>83.34</v>
      </c>
      <c r="F14060" t="str">
        <f>IF(Table2[[#This Row],[Manual Cat Value]]="",Table2[[#This Row],[Suggested Cat Value]],VLOOKUP(Table2[[#This Row],[Manual Cat Value]],Lookup!G:H,2,0))</f>
        <v>Restaurants</v>
      </c>
      <c r="G14060" t="s">
        <v>26</v>
      </c>
      <c r="I14060" s="8"/>
      <c r="O14060" t="str">
        <f>LEFT(Table2[[#This Row],[Description]],75)</f>
        <v>THIRSTY OTTER TAVERNBALSAM LAKE         WI</v>
      </c>
    </row>
    <row r="14061" spans="1:15" hidden="1">
      <c r="A14061">
        <v>202507</v>
      </c>
      <c r="B14061" s="6">
        <v>45843</v>
      </c>
      <c r="C14061" t="s">
        <v>2519</v>
      </c>
      <c r="D14061" t="s">
        <v>6655</v>
      </c>
      <c r="E14061">
        <v>83.25</v>
      </c>
      <c r="F14061" t="str">
        <f>IF(Table2[[#This Row],[Manual Cat Value]]="",Table2[[#This Row],[Suggested Cat Value]],VLOOKUP(Table2[[#This Row],[Manual Cat Value]],Lookup!G:H,2,0))</f>
        <v>Travel</v>
      </c>
      <c r="G14061" t="s">
        <v>43</v>
      </c>
      <c r="I14061" s="8"/>
      <c r="O14061" t="str">
        <f>LEFT(Table2[[#This Row],[Description]],75)</f>
        <v>Withdrawal at ATM #XX8196 PAI ATM 101 COUNTY RD I BALSAM LAKE WI Card 5404</v>
      </c>
    </row>
    <row r="14062" spans="1:15" hidden="1">
      <c r="A14062">
        <v>202508</v>
      </c>
      <c r="B14062" s="6">
        <v>45875</v>
      </c>
      <c r="C14062" t="s">
        <v>3938</v>
      </c>
      <c r="D14062" t="s">
        <v>6656</v>
      </c>
      <c r="E14062">
        <v>83.17</v>
      </c>
      <c r="F14062" t="str">
        <f>IF(Table2[[#This Row],[Manual Cat Value]]="",Table2[[#This Row],[Suggested Cat Value]],VLOOKUP(Table2[[#This Row],[Manual Cat Value]],Lookup!G:H,2,0))</f>
        <v>Delete</v>
      </c>
      <c r="G14062" t="s">
        <v>9</v>
      </c>
      <c r="I14062" s="8"/>
      <c r="O14062" t="str">
        <f>LEFT(Table2[[#This Row],[Description]],75)</f>
        <v>5 Points Cork IE REF #XX9166T12NJ1B0W</v>
      </c>
    </row>
    <row r="14063" spans="1:15" hidden="1">
      <c r="A14063">
        <v>202510</v>
      </c>
      <c r="B14063" s="6">
        <v>45951</v>
      </c>
      <c r="C14063" t="s">
        <v>2519</v>
      </c>
      <c r="D14063" t="s">
        <v>6657</v>
      </c>
      <c r="E14063">
        <v>82.29</v>
      </c>
      <c r="F14063" t="str">
        <f>IF(Table2[[#This Row],[Manual Cat Value]]="",Table2[[#This Row],[Suggested Cat Value]],VLOOKUP(Table2[[#This Row],[Manual Cat Value]],Lookup!G:H,2,0))</f>
        <v>Utilities</v>
      </c>
      <c r="G14063" t="s">
        <v>9</v>
      </c>
      <c r="H14063" s="8" t="s">
        <v>6</v>
      </c>
      <c r="I14063" s="8"/>
      <c r="O14063" t="str">
        <f>LEFT(Table2[[#This Row],[Description]],75)</f>
        <v>Withdrawal ACH CITY OF CHANHASS TYPE: UTIL BILL ID: XX5331 CO: CITY OF CHAN</v>
      </c>
    </row>
    <row r="14064" spans="1:15" hidden="1">
      <c r="A14064">
        <v>202510</v>
      </c>
      <c r="B14064" s="6">
        <v>45936</v>
      </c>
      <c r="C14064" t="s">
        <v>2519</v>
      </c>
      <c r="D14064" t="s">
        <v>1958</v>
      </c>
      <c r="E14064">
        <v>80</v>
      </c>
      <c r="F14064" t="str">
        <f>IF(Table2[[#This Row],[Manual Cat Value]]="",Table2[[#This Row],[Suggested Cat Value]],VLOOKUP(Table2[[#This Row],[Manual Cat Value]],Lookup!G:H,2,0))</f>
        <v>Shopping</v>
      </c>
      <c r="G14064" t="s">
        <v>21</v>
      </c>
      <c r="I14064" s="8"/>
      <c r="O14064" t="str">
        <f>LEFT(Table2[[#This Row],[Description]],75)</f>
        <v>Transfer to Venmo</v>
      </c>
    </row>
    <row r="14065" spans="1:15" hidden="1">
      <c r="A14065">
        <v>202508</v>
      </c>
      <c r="B14065" s="6">
        <v>45898</v>
      </c>
      <c r="C14065" t="s">
        <v>130</v>
      </c>
      <c r="D14065" t="s">
        <v>6658</v>
      </c>
      <c r="E14065">
        <v>79.61</v>
      </c>
      <c r="F14065" t="str">
        <f>IF(Table2[[#This Row],[Manual Cat Value]]="",Table2[[#This Row],[Suggested Cat Value]],VLOOKUP(Table2[[#This Row],[Manual Cat Value]],Lookup!G:H,2,0))</f>
        <v>Travel</v>
      </c>
      <c r="G14065" t="s">
        <v>40</v>
      </c>
      <c r="H14065" s="8" t="s">
        <v>52</v>
      </c>
      <c r="I14065" s="8"/>
      <c r="O14065" t="str">
        <f>LEFT(Table2[[#This Row],[Description]],75)</f>
        <v>ITALY TICKETS       FIRENZE             IT</v>
      </c>
    </row>
    <row r="14066" spans="1:15" hidden="1">
      <c r="A14066">
        <v>202509</v>
      </c>
      <c r="B14066" s="6">
        <v>45920</v>
      </c>
      <c r="C14066" t="s">
        <v>130</v>
      </c>
      <c r="D14066" t="s">
        <v>6183</v>
      </c>
      <c r="E14066">
        <v>79.52</v>
      </c>
      <c r="F14066" t="str">
        <f>IF(Table2[[#This Row],[Manual Cat Value]]="",Table2[[#This Row],[Suggested Cat Value]],VLOOKUP(Table2[[#This Row],[Manual Cat Value]],Lookup!G:H,2,0))</f>
        <v>Amazon</v>
      </c>
      <c r="G14066" t="s">
        <v>38</v>
      </c>
      <c r="I14066" s="8"/>
      <c r="O14066" t="str">
        <f>LEFT(Table2[[#This Row],[Description]],75)</f>
        <v>AMAZON MARKEPLACE NA PA</v>
      </c>
    </row>
    <row r="14067" spans="1:15" hidden="1">
      <c r="A14067">
        <v>202508</v>
      </c>
      <c r="B14067" s="6">
        <v>45872</v>
      </c>
      <c r="C14067" t="s">
        <v>130</v>
      </c>
      <c r="D14067" t="s">
        <v>6659</v>
      </c>
      <c r="E14067">
        <v>79.2</v>
      </c>
      <c r="F14067" t="str">
        <f>IF(Table2[[#This Row],[Manual Cat Value]]="",Table2[[#This Row],[Suggested Cat Value]],VLOOKUP(Table2[[#This Row],[Manual Cat Value]],Lookup!G:H,2,0))</f>
        <v>Delete</v>
      </c>
      <c r="G14067" t="s">
        <v>9</v>
      </c>
      <c r="I14067" s="8"/>
      <c r="O14067" t="str">
        <f>LEFT(Table2[[#This Row],[Description]],75)</f>
        <v>Airport Taxi, Inc. 7612-888888          MN</v>
      </c>
    </row>
    <row r="14068" spans="1:15" hidden="1">
      <c r="A14068">
        <v>202506</v>
      </c>
      <c r="B14068" s="6">
        <v>45810</v>
      </c>
      <c r="C14068" t="s">
        <v>2519</v>
      </c>
      <c r="D14068" t="s">
        <v>6660</v>
      </c>
      <c r="E14068">
        <v>78.56</v>
      </c>
      <c r="F14068" t="str">
        <f>IF(Table2[[#This Row],[Manual Cat Value]]="",Table2[[#This Row],[Suggested Cat Value]],VLOOKUP(Table2[[#This Row],[Manual Cat Value]],Lookup!G:H,2,0))</f>
        <v>Utilities</v>
      </c>
      <c r="G14068" t="s">
        <v>20</v>
      </c>
      <c r="H14068" s="8" t="s">
        <v>6</v>
      </c>
      <c r="I14068" s="8"/>
      <c r="O14068" t="str">
        <f>LEFT(Table2[[#This Row],[Description]],75)</f>
        <v>Withdrawal ACH CPENERGY MNGCO TYPE: MGC ACH EB ID: 1XX1140S CO: CPENERGY MN</v>
      </c>
    </row>
    <row r="14069" spans="1:15" hidden="1">
      <c r="A14069">
        <v>202506</v>
      </c>
      <c r="B14069" s="6">
        <v>45831</v>
      </c>
      <c r="C14069" t="s">
        <v>2519</v>
      </c>
      <c r="D14069" t="s">
        <v>6661</v>
      </c>
      <c r="E14069">
        <v>78.16</v>
      </c>
      <c r="F14069" t="str">
        <f>IF(Table2[[#This Row],[Manual Cat Value]]="",Table2[[#This Row],[Suggested Cat Value]],VLOOKUP(Table2[[#This Row],[Manual Cat Value]],Lookup!G:H,2,0))</f>
        <v>Utilities</v>
      </c>
      <c r="G14069" t="s">
        <v>20</v>
      </c>
      <c r="H14069" s="8" t="s">
        <v>6</v>
      </c>
      <c r="I14069" s="8"/>
      <c r="O14069" t="str">
        <f>LEFT(Table2[[#This Row],[Description]],75)</f>
        <v>Withdrawal ACH CITY OF CHANHASS TYPE: UTIL BILL ID: XX5331 CO: CITY OF CHAN</v>
      </c>
    </row>
    <row r="14070" spans="1:15" hidden="1">
      <c r="A14070">
        <v>202511</v>
      </c>
      <c r="B14070" s="6">
        <v>45963</v>
      </c>
      <c r="C14070" t="s">
        <v>130</v>
      </c>
      <c r="D14070" t="s">
        <v>6662</v>
      </c>
      <c r="E14070">
        <v>78.03</v>
      </c>
      <c r="F14070" t="str">
        <f>IF(Table2[[#This Row],[Manual Cat Value]]="",Table2[[#This Row],[Suggested Cat Value]],VLOOKUP(Table2[[#This Row],[Manual Cat Value]],Lookup!G:H,2,0))</f>
        <v>Restaurants</v>
      </c>
      <c r="G14070" t="s">
        <v>26</v>
      </c>
      <c r="I14070" s="8"/>
      <c r="O14070" t="str">
        <f>LEFT(Table2[[#This Row],[Description]],75)</f>
        <v>TST* BLACK SHEEP PIZMINNEAPOLIS         MN</v>
      </c>
    </row>
    <row r="14071" spans="1:15" hidden="1">
      <c r="A14071">
        <v>202508</v>
      </c>
      <c r="B14071" s="6">
        <v>45875</v>
      </c>
      <c r="C14071" t="s">
        <v>130</v>
      </c>
      <c r="D14071" t="s">
        <v>6268</v>
      </c>
      <c r="E14071">
        <v>76.45</v>
      </c>
      <c r="F14071" t="str">
        <f>IF(Table2[[#This Row],[Manual Cat Value]]="",Table2[[#This Row],[Suggested Cat Value]],VLOOKUP(Table2[[#This Row],[Manual Cat Value]],Lookup!G:H,2,0))</f>
        <v>Delete</v>
      </c>
      <c r="G14071" t="s">
        <v>9</v>
      </c>
      <c r="I14071" s="8"/>
      <c r="O14071" t="str">
        <f>LEFT(Table2[[#This Row],[Description]],75)</f>
        <v>TST-HAPPY DAYS DELI CORK                IR</v>
      </c>
    </row>
    <row r="14072" spans="1:15" hidden="1">
      <c r="A14072">
        <v>202507</v>
      </c>
      <c r="B14072" s="6">
        <v>45844</v>
      </c>
      <c r="C14072" t="s">
        <v>130</v>
      </c>
      <c r="D14072" t="s">
        <v>6663</v>
      </c>
      <c r="E14072">
        <v>76.27</v>
      </c>
      <c r="F14072" t="str">
        <f>IF(Table2[[#This Row],[Manual Cat Value]]="",Table2[[#This Row],[Suggested Cat Value]],VLOOKUP(Table2[[#This Row],[Manual Cat Value]],Lookup!G:H,2,0))</f>
        <v>Restaurants</v>
      </c>
      <c r="G14072" t="s">
        <v>26</v>
      </c>
      <c r="I14072" s="8"/>
      <c r="O14072" t="str">
        <f>LEFT(Table2[[#This Row],[Description]],75)</f>
        <v>TST* BALSAM LAKE LODBALSAM LAKE         WI</v>
      </c>
    </row>
    <row r="14073" spans="1:15" hidden="1">
      <c r="A14073">
        <v>202507</v>
      </c>
      <c r="B14073" s="6">
        <v>45851</v>
      </c>
      <c r="C14073" t="s">
        <v>3938</v>
      </c>
      <c r="D14073" t="s">
        <v>6664</v>
      </c>
      <c r="E14073">
        <v>76</v>
      </c>
      <c r="F14073" t="str">
        <f>IF(Table2[[#This Row],[Manual Cat Value]]="",Table2[[#This Row],[Suggested Cat Value]],VLOOKUP(Table2[[#This Row],[Manual Cat Value]],Lookup!G:H,2,0))</f>
        <v>Entertainment</v>
      </c>
      <c r="H14073" s="8" t="s">
        <v>39</v>
      </c>
      <c r="I14073" s="8"/>
      <c r="O14073" t="str">
        <f>LEFT(Table2[[#This Row],[Description]],75)</f>
        <v>Vagaro</v>
      </c>
    </row>
    <row r="14074" spans="1:15" hidden="1">
      <c r="A14074">
        <v>202510</v>
      </c>
      <c r="B14074" s="6">
        <v>45941</v>
      </c>
      <c r="C14074" t="s">
        <v>130</v>
      </c>
      <c r="D14074" t="s">
        <v>6665</v>
      </c>
      <c r="E14074">
        <v>75.34</v>
      </c>
      <c r="F14074" t="str">
        <f>IF(Table2[[#This Row],[Manual Cat Value]]="",Table2[[#This Row],[Suggested Cat Value]],VLOOKUP(Table2[[#This Row],[Manual Cat Value]],Lookup!G:H,2,0))</f>
        <v>Restaurants</v>
      </c>
      <c r="H14074" s="8" t="s">
        <v>25</v>
      </c>
      <c r="I14074" s="8"/>
      <c r="O14074" t="str">
        <f>LEFT(Table2[[#This Row],[Description]],75)</f>
        <v>RISTORANTE BAR AL CAVERNAZZA</v>
      </c>
    </row>
    <row r="14075" spans="1:15" hidden="1">
      <c r="A14075">
        <v>202510</v>
      </c>
      <c r="B14075" s="6">
        <v>45940</v>
      </c>
      <c r="C14075" t="s">
        <v>130</v>
      </c>
      <c r="D14075" t="s">
        <v>6666</v>
      </c>
      <c r="E14075">
        <v>75.34</v>
      </c>
      <c r="F14075" t="str">
        <f>IF(Table2[[#This Row],[Manual Cat Value]]="",Table2[[#This Row],[Suggested Cat Value]],VLOOKUP(Table2[[#This Row],[Manual Cat Value]],Lookup!G:H,2,0))</f>
        <v>Restaurants</v>
      </c>
      <c r="G14075" t="s">
        <v>26</v>
      </c>
      <c r="I14075" s="8"/>
      <c r="O14075" t="str">
        <f>LEFT(Table2[[#This Row],[Description]],75)</f>
        <v>ALBERGO MARINA      MONTEROSSO AL MARE</v>
      </c>
    </row>
    <row r="14076" spans="1:15" hidden="1">
      <c r="A14076">
        <v>202506</v>
      </c>
      <c r="B14076" s="6">
        <v>45830</v>
      </c>
      <c r="C14076" t="s">
        <v>130</v>
      </c>
      <c r="D14076" t="s">
        <v>6667</v>
      </c>
      <c r="E14076">
        <v>75.16</v>
      </c>
      <c r="F14076" t="str">
        <f>IF(Table2[[#This Row],[Manual Cat Value]]="",Table2[[#This Row],[Suggested Cat Value]],VLOOKUP(Table2[[#This Row],[Manual Cat Value]],Lookup!G:H,2,0))</f>
        <v>Restaurants</v>
      </c>
      <c r="G14076" t="s">
        <v>26</v>
      </c>
      <c r="I14076" s="8"/>
      <c r="O14076" t="str">
        <f>LEFT(Table2[[#This Row],[Description]],75)</f>
        <v>AplPay ON POINT MN 0DULUTH              MN</v>
      </c>
    </row>
    <row r="14077" spans="1:15" hidden="1">
      <c r="A14077">
        <v>202507</v>
      </c>
      <c r="B14077" s="6">
        <v>45849</v>
      </c>
      <c r="C14077" t="s">
        <v>130</v>
      </c>
      <c r="D14077" t="s">
        <v>6668</v>
      </c>
      <c r="E14077">
        <v>75.03</v>
      </c>
      <c r="F14077" t="str">
        <f>IF(Table2[[#This Row],[Manual Cat Value]]="",Table2[[#This Row],[Suggested Cat Value]],VLOOKUP(Table2[[#This Row],[Manual Cat Value]],Lookup!G:H,2,0))</f>
        <v>Entertainment</v>
      </c>
      <c r="G14077" t="s">
        <v>40</v>
      </c>
      <c r="I14077" s="8"/>
      <c r="O14077" t="str">
        <f>LEFT(Table2[[#This Row],[Description]],75)</f>
        <v>LS BLUFF CREEK GOLF CHASKA              MN</v>
      </c>
    </row>
    <row r="14078" spans="1:15" hidden="1">
      <c r="A14078">
        <v>202509</v>
      </c>
      <c r="B14078" s="6">
        <v>45919</v>
      </c>
      <c r="C14078" t="s">
        <v>130</v>
      </c>
      <c r="D14078" t="s">
        <v>5849</v>
      </c>
      <c r="E14078">
        <v>74.5</v>
      </c>
      <c r="F14078" t="str">
        <f>IF(Table2[[#This Row],[Manual Cat Value]]="",Table2[[#This Row],[Suggested Cat Value]],VLOOKUP(Table2[[#This Row],[Manual Cat Value]],Lookup!G:H,2,0))</f>
        <v>Groceries</v>
      </c>
      <c r="G14078" t="s">
        <v>28</v>
      </c>
      <c r="I14078" s="8"/>
      <c r="O14078" t="str">
        <f>LEFT(Table2[[#This Row],[Description]],75)</f>
        <v>AplPay KOWALSKI'S EXEXCELSIOR           MN</v>
      </c>
    </row>
    <row r="14079" spans="1:15" hidden="1">
      <c r="A14079">
        <v>202507</v>
      </c>
      <c r="B14079" s="6">
        <v>45859</v>
      </c>
      <c r="C14079" t="s">
        <v>2519</v>
      </c>
      <c r="D14079" t="s">
        <v>6669</v>
      </c>
      <c r="E14079">
        <v>74.03</v>
      </c>
      <c r="F14079" t="str">
        <f>IF(Table2[[#This Row],[Manual Cat Value]]="",Table2[[#This Row],[Suggested Cat Value]],VLOOKUP(Table2[[#This Row],[Manual Cat Value]],Lookup!G:H,2,0))</f>
        <v>Utilities</v>
      </c>
      <c r="G14079" t="s">
        <v>20</v>
      </c>
      <c r="H14079" s="8" t="s">
        <v>6</v>
      </c>
      <c r="I14079" s="8"/>
      <c r="O14079" t="str">
        <f>LEFT(Table2[[#This Row],[Description]],75)</f>
        <v>Withdrawal ACH CITY OF CHANHASS TYPE: UTIL BILL ID: XX5331 CO: CITY OF CHAN</v>
      </c>
    </row>
    <row r="14080" spans="1:15" hidden="1">
      <c r="A14080">
        <v>202510</v>
      </c>
      <c r="B14080" s="6">
        <v>45935</v>
      </c>
      <c r="C14080" t="s">
        <v>3938</v>
      </c>
      <c r="D14080" t="s">
        <v>6670</v>
      </c>
      <c r="E14080">
        <v>74</v>
      </c>
      <c r="F14080" t="str">
        <f>IF(Table2[[#This Row],[Manual Cat Value]]="",Table2[[#This Row],[Suggested Cat Value]],VLOOKUP(Table2[[#This Row],[Manual Cat Value]],Lookup!G:H,2,0))</f>
        <v>Entertainment</v>
      </c>
      <c r="G14080" t="s">
        <v>29</v>
      </c>
      <c r="H14080" s="8" t="s">
        <v>39</v>
      </c>
      <c r="I14080" s="8"/>
      <c r="O14080" t="str">
        <f>LEFT(Table2[[#This Row],[Description]],75)</f>
        <v>ELITE NAILS LLC CHANHASSEN MN REF #XX7058MMAEB0FZN</v>
      </c>
    </row>
    <row r="14081" spans="1:15" hidden="1">
      <c r="A14081">
        <v>202506</v>
      </c>
      <c r="B14081" s="6">
        <v>45831</v>
      </c>
      <c r="C14081" t="s">
        <v>130</v>
      </c>
      <c r="D14081" t="s">
        <v>5900</v>
      </c>
      <c r="E14081">
        <v>74</v>
      </c>
      <c r="F14081" t="str">
        <f>IF(Table2[[#This Row],[Manual Cat Value]]="",Table2[[#This Row],[Suggested Cat Value]],VLOOKUP(Table2[[#This Row],[Manual Cat Value]],Lookup!G:H,2,0))</f>
        <v>Shopping</v>
      </c>
      <c r="G14081" t="s">
        <v>21</v>
      </c>
      <c r="I14081" s="8"/>
      <c r="O14081" t="str">
        <f>LEFT(Table2[[#This Row],[Description]],75)</f>
        <v>SP FREEFLYAPPAREL   CHARLESTON          SC</v>
      </c>
    </row>
    <row r="14082" spans="1:15" hidden="1">
      <c r="A14082">
        <v>202509</v>
      </c>
      <c r="B14082" s="6">
        <v>45924</v>
      </c>
      <c r="C14082" t="s">
        <v>130</v>
      </c>
      <c r="D14082" t="s">
        <v>6671</v>
      </c>
      <c r="E14082">
        <v>73.38</v>
      </c>
      <c r="F14082" t="str">
        <f>IF(Table2[[#This Row],[Manual Cat Value]]="",Table2[[#This Row],[Suggested Cat Value]],VLOOKUP(Table2[[#This Row],[Manual Cat Value]],Lookup!G:H,2,0))</f>
        <v>Restaurants</v>
      </c>
      <c r="G14082" t="s">
        <v>26</v>
      </c>
      <c r="I14082" s="8"/>
      <c r="O14082" t="str">
        <f>LEFT(Table2[[#This Row],[Description]],75)</f>
        <v>SNUFFYS MALT SHOP  MMINNETONKA          MN</v>
      </c>
    </row>
    <row r="14083" spans="1:15" hidden="1">
      <c r="A14083">
        <v>202506</v>
      </c>
      <c r="B14083" s="6">
        <v>45813</v>
      </c>
      <c r="C14083" t="s">
        <v>130</v>
      </c>
      <c r="D14083" t="s">
        <v>5760</v>
      </c>
      <c r="E14083">
        <v>73.02</v>
      </c>
      <c r="F14083" t="str">
        <f>IF(Table2[[#This Row],[Manual Cat Value]]="",Table2[[#This Row],[Suggested Cat Value]],VLOOKUP(Table2[[#This Row],[Manual Cat Value]],Lookup!G:H,2,0))</f>
        <v>Restaurants</v>
      </c>
      <c r="G14083" t="s">
        <v>26</v>
      </c>
      <c r="I14083" s="8"/>
      <c r="O14083" t="str">
        <f>LEFT(Table2[[#This Row],[Description]],75)</f>
        <v>TST* NORTH COOP 0013EXCELSIOR           MN</v>
      </c>
    </row>
    <row r="14084" spans="1:15" hidden="1">
      <c r="A14084">
        <v>202510</v>
      </c>
      <c r="B14084" s="6">
        <v>45954</v>
      </c>
      <c r="C14084" t="s">
        <v>130</v>
      </c>
      <c r="D14084" t="s">
        <v>6672</v>
      </c>
      <c r="E14084">
        <v>72.98</v>
      </c>
      <c r="F14084" t="str">
        <f>IF(Table2[[#This Row],[Manual Cat Value]]="",Table2[[#This Row],[Suggested Cat Value]],VLOOKUP(Table2[[#This Row],[Manual Cat Value]],Lookup!G:H,2,0))</f>
        <v>Delete</v>
      </c>
      <c r="G14084" t="s">
        <v>9</v>
      </c>
      <c r="I14084" s="8"/>
      <c r="O14084" t="str">
        <f>LEFT(Table2[[#This Row],[Description]],75)</f>
        <v>DUBLIN AIRPORT RETAIDUBLIN              IR</v>
      </c>
    </row>
    <row r="14085" spans="1:15" hidden="1">
      <c r="A14085">
        <v>202506</v>
      </c>
      <c r="B14085" s="6">
        <v>45823</v>
      </c>
      <c r="C14085" t="s">
        <v>130</v>
      </c>
      <c r="D14085" t="s">
        <v>5788</v>
      </c>
      <c r="E14085">
        <v>72.12</v>
      </c>
      <c r="F14085" t="str">
        <f>IF(Table2[[#This Row],[Manual Cat Value]]="",Table2[[#This Row],[Suggested Cat Value]],VLOOKUP(Table2[[#This Row],[Manual Cat Value]],Lookup!G:H,2,0))</f>
        <v>Groceries</v>
      </c>
      <c r="G14085" t="s">
        <v>28</v>
      </c>
      <c r="I14085" s="8"/>
      <c r="O14085" t="str">
        <f>LEFT(Table2[[#This Row],[Description]],75)</f>
        <v>CUB FOODS #1636 0000SHOREWOOD           MN</v>
      </c>
    </row>
    <row r="14086" spans="1:15" hidden="1">
      <c r="A14086">
        <v>202506</v>
      </c>
      <c r="B14086" s="6">
        <v>45828</v>
      </c>
      <c r="C14086" t="s">
        <v>130</v>
      </c>
      <c r="D14086" t="s">
        <v>6673</v>
      </c>
      <c r="E14086">
        <v>72</v>
      </c>
      <c r="F14086" t="str">
        <f>IF(Table2[[#This Row],[Manual Cat Value]]="",Table2[[#This Row],[Suggested Cat Value]],VLOOKUP(Table2[[#This Row],[Manual Cat Value]],Lookup!G:H,2,0))</f>
        <v>Restaurants</v>
      </c>
      <c r="G14086" t="s">
        <v>26</v>
      </c>
      <c r="I14086" s="8"/>
      <c r="O14086" t="str">
        <f>LEFT(Table2[[#This Row],[Description]],75)</f>
        <v>AplPay GREAT LAKES ADULUTH              MN</v>
      </c>
    </row>
    <row r="14087" spans="1:15" hidden="1">
      <c r="A14087">
        <v>202510</v>
      </c>
      <c r="B14087" s="6">
        <v>45934</v>
      </c>
      <c r="C14087" t="s">
        <v>130</v>
      </c>
      <c r="D14087" t="s">
        <v>6674</v>
      </c>
      <c r="E14087">
        <v>71.72</v>
      </c>
      <c r="F14087" t="str">
        <f>IF(Table2[[#This Row],[Manual Cat Value]]="",Table2[[#This Row],[Suggested Cat Value]],VLOOKUP(Table2[[#This Row],[Manual Cat Value]],Lookup!G:H,2,0))</f>
        <v>Groceries</v>
      </c>
      <c r="G14087" t="s">
        <v>38</v>
      </c>
      <c r="H14087" s="8" t="s">
        <v>27</v>
      </c>
      <c r="I14087" s="8"/>
      <c r="O14087" t="str">
        <f>LEFT(Table2[[#This Row],[Description]],75)</f>
        <v>MARKETPLACE FOODS #2ST CROIX FLS        WI</v>
      </c>
    </row>
    <row r="14088" spans="1:15" hidden="1">
      <c r="A14088">
        <v>202508</v>
      </c>
      <c r="B14088" s="6">
        <v>45877</v>
      </c>
      <c r="C14088" t="s">
        <v>130</v>
      </c>
      <c r="D14088" t="s">
        <v>6183</v>
      </c>
      <c r="E14088">
        <v>71.44</v>
      </c>
      <c r="F14088" t="str">
        <f>IF(Table2[[#This Row],[Manual Cat Value]]="",Table2[[#This Row],[Suggested Cat Value]],VLOOKUP(Table2[[#This Row],[Manual Cat Value]],Lookup!G:H,2,0))</f>
        <v>Amazon</v>
      </c>
      <c r="G14088" t="s">
        <v>9</v>
      </c>
      <c r="H14088" s="8" t="s">
        <v>37</v>
      </c>
      <c r="I14088" s="8"/>
      <c r="O14088" t="str">
        <f>LEFT(Table2[[#This Row],[Description]],75)</f>
        <v>AMAZON MARKEPLACE NA PA</v>
      </c>
    </row>
    <row r="14089" spans="1:15" hidden="1">
      <c r="A14089">
        <v>202509</v>
      </c>
      <c r="B14089" s="6">
        <v>45924</v>
      </c>
      <c r="C14089" t="s">
        <v>130</v>
      </c>
      <c r="D14089" t="s">
        <v>6675</v>
      </c>
      <c r="E14089">
        <v>71.06</v>
      </c>
      <c r="F14089" t="str">
        <f>IF(Table2[[#This Row],[Manual Cat Value]]="",Table2[[#This Row],[Suggested Cat Value]],VLOOKUP(Table2[[#This Row],[Manual Cat Value]],Lookup!G:H,2,0))</f>
        <v>Groceries</v>
      </c>
      <c r="G14089" t="s">
        <v>28</v>
      </c>
      <c r="I14089" s="8"/>
      <c r="O14089" t="str">
        <f>LEFT(Table2[[#This Row],[Description]],75)</f>
        <v>LS ACE SPIRITS      HOPKINS             MN</v>
      </c>
    </row>
    <row r="14090" spans="1:15" hidden="1">
      <c r="A14090">
        <v>202509</v>
      </c>
      <c r="B14090" s="6">
        <v>45927</v>
      </c>
      <c r="C14090" t="s">
        <v>130</v>
      </c>
      <c r="D14090" t="s">
        <v>6183</v>
      </c>
      <c r="E14090">
        <v>70.7</v>
      </c>
      <c r="F14090" t="str">
        <f>IF(Table2[[#This Row],[Manual Cat Value]]="",Table2[[#This Row],[Suggested Cat Value]],VLOOKUP(Table2[[#This Row],[Manual Cat Value]],Lookup!G:H,2,0))</f>
        <v>Amazon</v>
      </c>
      <c r="G14090" t="s">
        <v>38</v>
      </c>
      <c r="I14090" s="8"/>
      <c r="O14090" t="str">
        <f>LEFT(Table2[[#This Row],[Description]],75)</f>
        <v>AMAZON MARKEPLACE NA PA</v>
      </c>
    </row>
    <row r="14091" spans="1:15" hidden="1">
      <c r="A14091">
        <v>202508</v>
      </c>
      <c r="B14091" s="6">
        <v>45893</v>
      </c>
      <c r="C14091" t="s">
        <v>130</v>
      </c>
      <c r="D14091" t="s">
        <v>5886</v>
      </c>
      <c r="E14091">
        <v>70.67</v>
      </c>
      <c r="F14091" t="str">
        <f>IF(Table2[[#This Row],[Manual Cat Value]]="",Table2[[#This Row],[Suggested Cat Value]],VLOOKUP(Table2[[#This Row],[Manual Cat Value]],Lookup!G:H,2,0))</f>
        <v>Groceries</v>
      </c>
      <c r="G14091" t="s">
        <v>28</v>
      </c>
      <c r="I14091" s="8"/>
      <c r="O14091" t="str">
        <f>LEFT(Table2[[#This Row],[Description]],75)</f>
        <v>LUNDS&amp;BYERLYS CHANHACHANHASSEN          MN</v>
      </c>
    </row>
    <row r="14092" spans="1:15" hidden="1">
      <c r="A14092">
        <v>202510</v>
      </c>
      <c r="B14092" s="6">
        <v>45934</v>
      </c>
      <c r="C14092" t="s">
        <v>130</v>
      </c>
      <c r="D14092" t="s">
        <v>6676</v>
      </c>
      <c r="E14092">
        <v>70.06</v>
      </c>
      <c r="F14092" t="str">
        <f>IF(Table2[[#This Row],[Manual Cat Value]]="",Table2[[#This Row],[Suggested Cat Value]],VLOOKUP(Table2[[#This Row],[Manual Cat Value]],Lookup!G:H,2,0))</f>
        <v>Restaurants</v>
      </c>
      <c r="H14092" s="8" t="s">
        <v>25</v>
      </c>
      <c r="I14092" s="8"/>
      <c r="O14092" t="str">
        <f>LEFT(Table2[[#This Row],[Description]],75)</f>
        <v>TST* VAGABONDO 30072EXCELSIOR           MN</v>
      </c>
    </row>
    <row r="14093" spans="1:15" hidden="1">
      <c r="A14093">
        <v>202507</v>
      </c>
      <c r="B14093" s="6">
        <v>45844</v>
      </c>
      <c r="C14093" t="s">
        <v>130</v>
      </c>
      <c r="D14093" t="s">
        <v>6677</v>
      </c>
      <c r="E14093">
        <v>70</v>
      </c>
      <c r="F14093" t="str">
        <f>IF(Table2[[#This Row],[Manual Cat Value]]="",Table2[[#This Row],[Suggested Cat Value]],VLOOKUP(Table2[[#This Row],[Manual Cat Value]],Lookup!G:H,2,0))</f>
        <v>Entertainment</v>
      </c>
      <c r="G14093" t="s">
        <v>43</v>
      </c>
      <c r="H14093" s="8" t="s">
        <v>39</v>
      </c>
      <c r="I14093" s="8"/>
      <c r="O14093" t="str">
        <f>LEFT(Table2[[#This Row],[Description]],75)</f>
        <v>DNR E PAY WIN ACS 00MADISON             WI</v>
      </c>
    </row>
    <row r="14094" spans="1:15" hidden="1">
      <c r="A14094">
        <v>202506</v>
      </c>
      <c r="B14094" s="6">
        <v>45812</v>
      </c>
      <c r="C14094" t="s">
        <v>130</v>
      </c>
      <c r="D14094" t="s">
        <v>6678</v>
      </c>
      <c r="E14094">
        <v>70</v>
      </c>
      <c r="F14094" t="str">
        <f>IF(Table2[[#This Row],[Manual Cat Value]]="",Table2[[#This Row],[Suggested Cat Value]],VLOOKUP(Table2[[#This Row],[Manual Cat Value]],Lookup!G:H,2,0))</f>
        <v>Entertainment</v>
      </c>
      <c r="G14094" t="s">
        <v>40</v>
      </c>
      <c r="I14094" s="8"/>
      <c r="O14094" t="str">
        <f>LEFT(Table2[[#This Row],[Description]],75)</f>
        <v>EPHS 2005 REUNION   CHASKA              MN</v>
      </c>
    </row>
    <row r="14095" spans="1:15" hidden="1">
      <c r="A14095">
        <v>202510</v>
      </c>
      <c r="B14095" s="6">
        <v>45945</v>
      </c>
      <c r="C14095" t="s">
        <v>130</v>
      </c>
      <c r="D14095" t="s">
        <v>6679</v>
      </c>
      <c r="E14095">
        <v>69.88</v>
      </c>
      <c r="F14095" t="str">
        <f>IF(Table2[[#This Row],[Manual Cat Value]]="",Table2[[#This Row],[Suggested Cat Value]],VLOOKUP(Table2[[#This Row],[Manual Cat Value]],Lookup!G:H,2,0))</f>
        <v>Restaurants</v>
      </c>
      <c r="H14095" s="8" t="s">
        <v>25</v>
      </c>
      <c r="I14095" s="8"/>
      <c r="O14095" t="str">
        <f>LEFT(Table2[[#This Row],[Description]],75)</f>
        <v>FATTORIA LE CAPEZZINMONTEPULCIANO</v>
      </c>
    </row>
    <row r="14096" spans="1:15" hidden="1">
      <c r="A14096">
        <v>202510</v>
      </c>
      <c r="B14096" s="6">
        <v>45945</v>
      </c>
      <c r="C14096" t="s">
        <v>3938</v>
      </c>
      <c r="D14096" t="s">
        <v>6680</v>
      </c>
      <c r="E14096">
        <v>69.790000000000006</v>
      </c>
      <c r="F14096" t="str">
        <f>IF(Table2[[#This Row],[Manual Cat Value]]="",Table2[[#This Row],[Suggested Cat Value]],VLOOKUP(Table2[[#This Row],[Manual Cat Value]],Lookup!G:H,2,0))</f>
        <v>Travel</v>
      </c>
      <c r="G14096" t="s">
        <v>7</v>
      </c>
      <c r="H14096" s="8" t="s">
        <v>52</v>
      </c>
      <c r="I14096" s="8"/>
      <c r="O14096" t="str">
        <f>LEFT(Table2[[#This Row],[Description]],75)</f>
        <v>MUOVIAMO PARKING SRL FIRENZE IT REF #XX4958Z96L0Z4B4</v>
      </c>
    </row>
    <row r="14097" spans="1:15" hidden="1">
      <c r="A14097">
        <v>202506</v>
      </c>
      <c r="B14097" s="6">
        <v>45826</v>
      </c>
      <c r="C14097" t="s">
        <v>130</v>
      </c>
      <c r="D14097" t="s">
        <v>6387</v>
      </c>
      <c r="E14097">
        <v>69.5</v>
      </c>
      <c r="F14097" t="str">
        <f>IF(Table2[[#This Row],[Manual Cat Value]]="",Table2[[#This Row],[Suggested Cat Value]],VLOOKUP(Table2[[#This Row],[Manual Cat Value]],Lookup!G:H,2,0))</f>
        <v>Target</v>
      </c>
      <c r="G14097" t="s">
        <v>31</v>
      </c>
      <c r="I14097" s="8"/>
      <c r="O14097" t="str">
        <f>LEFT(Table2[[#This Row],[Description]],75)</f>
        <v>TARGET              CHANHASSEN          MN</v>
      </c>
    </row>
    <row r="14098" spans="1:15" hidden="1">
      <c r="A14098">
        <v>202507</v>
      </c>
      <c r="B14098" s="6">
        <v>45854</v>
      </c>
      <c r="C14098" t="s">
        <v>130</v>
      </c>
      <c r="D14098" t="s">
        <v>6681</v>
      </c>
      <c r="E14098">
        <v>69.239999999999995</v>
      </c>
      <c r="F14098" t="str">
        <f>IF(Table2[[#This Row],[Manual Cat Value]]="",Table2[[#This Row],[Suggested Cat Value]],VLOOKUP(Table2[[#This Row],[Manual Cat Value]],Lookup!G:H,2,0))</f>
        <v>Restaurants</v>
      </c>
      <c r="G14098" t="s">
        <v>26</v>
      </c>
      <c r="I14098" s="8"/>
      <c r="O14098" t="str">
        <f>LEFT(Table2[[#This Row],[Description]],75)</f>
        <v>TST* YUM KITCHEN ANDMINNETONKA          MN</v>
      </c>
    </row>
    <row r="14099" spans="1:15" hidden="1">
      <c r="A14099">
        <v>202506</v>
      </c>
      <c r="B14099" s="6">
        <v>45835</v>
      </c>
      <c r="C14099" t="s">
        <v>130</v>
      </c>
      <c r="D14099" t="s">
        <v>6682</v>
      </c>
      <c r="E14099">
        <v>69</v>
      </c>
      <c r="F14099" t="str">
        <f>IF(Table2[[#This Row],[Manual Cat Value]]="",Table2[[#This Row],[Suggested Cat Value]],VLOOKUP(Table2[[#This Row],[Manual Cat Value]],Lookup!G:H,2,0))</f>
        <v>Restaurants</v>
      </c>
      <c r="G14099" t="s">
        <v>26</v>
      </c>
      <c r="I14099" s="8"/>
      <c r="O14099" t="str">
        <f>LEFT(Table2[[#This Row],[Description]],75)</f>
        <v>FSP*MEADOWBROOK GOLFSAINT PAUL          MN</v>
      </c>
    </row>
    <row r="14100" spans="1:15" hidden="1">
      <c r="A14100">
        <v>202508</v>
      </c>
      <c r="B14100" s="6">
        <v>45871</v>
      </c>
      <c r="C14100" t="s">
        <v>130</v>
      </c>
      <c r="D14100" t="s">
        <v>6683</v>
      </c>
      <c r="E14100">
        <v>68.400000000000006</v>
      </c>
      <c r="F14100" t="str">
        <f>IF(Table2[[#This Row],[Manual Cat Value]]="",Table2[[#This Row],[Suggested Cat Value]],VLOOKUP(Table2[[#This Row],[Manual Cat Value]],Lookup!G:H,2,0))</f>
        <v>Utilities</v>
      </c>
      <c r="G14100" t="s">
        <v>7</v>
      </c>
      <c r="I14100" s="8"/>
      <c r="O14100" t="str">
        <f>LEFT(Table2[[#This Row],[Description]],75)</f>
        <v>CITY OF ORONO, MN   Wayzata             MN</v>
      </c>
    </row>
    <row r="14101" spans="1:15" hidden="1">
      <c r="A14101">
        <v>202509</v>
      </c>
      <c r="B14101" s="6">
        <v>45920</v>
      </c>
      <c r="C14101" t="s">
        <v>130</v>
      </c>
      <c r="D14101" t="s">
        <v>6183</v>
      </c>
      <c r="E14101">
        <v>68.11</v>
      </c>
      <c r="F14101" t="str">
        <f>IF(Table2[[#This Row],[Manual Cat Value]]="",Table2[[#This Row],[Suggested Cat Value]],VLOOKUP(Table2[[#This Row],[Manual Cat Value]],Lookup!G:H,2,0))</f>
        <v>Amazon</v>
      </c>
      <c r="G14101" t="s">
        <v>38</v>
      </c>
      <c r="I14101" s="8"/>
      <c r="O14101" t="str">
        <f>LEFT(Table2[[#This Row],[Description]],75)</f>
        <v>AMAZON MARKEPLACE NA PA</v>
      </c>
    </row>
    <row r="14102" spans="1:15" hidden="1">
      <c r="A14102">
        <v>202510</v>
      </c>
      <c r="B14102" s="6">
        <v>45934</v>
      </c>
      <c r="C14102" t="s">
        <v>130</v>
      </c>
      <c r="D14102" t="s">
        <v>6684</v>
      </c>
      <c r="E14102">
        <v>67.31</v>
      </c>
      <c r="F14102" t="str">
        <f>IF(Table2[[#This Row],[Manual Cat Value]]="",Table2[[#This Row],[Suggested Cat Value]],VLOOKUP(Table2[[#This Row],[Manual Cat Value]],Lookup!G:H,2,0))</f>
        <v>Groceries</v>
      </c>
      <c r="G14102" t="s">
        <v>26</v>
      </c>
      <c r="H14102" s="8" t="s">
        <v>27</v>
      </c>
      <c r="I14102" s="8"/>
      <c r="O14102" t="str">
        <f>LEFT(Table2[[#This Row],[Description]],75)</f>
        <v>AplPay CUB FOODS SOUEDINA               MN</v>
      </c>
    </row>
    <row r="14103" spans="1:15" hidden="1">
      <c r="A14103">
        <v>202507</v>
      </c>
      <c r="B14103" s="6">
        <v>45862</v>
      </c>
      <c r="C14103" t="s">
        <v>130</v>
      </c>
      <c r="D14103" t="s">
        <v>5929</v>
      </c>
      <c r="E14103">
        <v>66.94</v>
      </c>
      <c r="F14103" t="str">
        <f>IF(Table2[[#This Row],[Manual Cat Value]]="",Table2[[#This Row],[Suggested Cat Value]],VLOOKUP(Table2[[#This Row],[Manual Cat Value]],Lookup!G:H,2,0))</f>
        <v>Transportation</v>
      </c>
      <c r="G14103" t="s">
        <v>23</v>
      </c>
      <c r="I14103" s="8"/>
      <c r="O14103" t="str">
        <f>LEFT(Table2[[#This Row],[Description]],75)</f>
        <v>LYFT                855-280-0278        CA</v>
      </c>
    </row>
    <row r="14104" spans="1:15" hidden="1">
      <c r="A14104">
        <v>202508</v>
      </c>
      <c r="B14104" s="6">
        <v>45870</v>
      </c>
      <c r="C14104" t="s">
        <v>130</v>
      </c>
      <c r="D14104" t="s">
        <v>5788</v>
      </c>
      <c r="E14104">
        <v>66.42</v>
      </c>
      <c r="F14104" t="str">
        <f>IF(Table2[[#This Row],[Manual Cat Value]]="",Table2[[#This Row],[Suggested Cat Value]],VLOOKUP(Table2[[#This Row],[Manual Cat Value]],Lookup!G:H,2,0))</f>
        <v>Groceries</v>
      </c>
      <c r="G14104" t="s">
        <v>28</v>
      </c>
      <c r="I14104" s="8"/>
      <c r="O14104" t="str">
        <f>LEFT(Table2[[#This Row],[Description]],75)</f>
        <v>CUB FOODS #1636 0000SHOREWOOD           MN</v>
      </c>
    </row>
    <row r="14105" spans="1:15" hidden="1">
      <c r="A14105">
        <v>202506</v>
      </c>
      <c r="B14105" s="6">
        <v>45827</v>
      </c>
      <c r="C14105" t="s">
        <v>130</v>
      </c>
      <c r="D14105" t="s">
        <v>6685</v>
      </c>
      <c r="E14105">
        <v>66</v>
      </c>
      <c r="F14105" t="str">
        <f>IF(Table2[[#This Row],[Manual Cat Value]]="",Table2[[#This Row],[Suggested Cat Value]],VLOOKUP(Table2[[#This Row],[Manual Cat Value]],Lookup!G:H,2,0))</f>
        <v>Restaurants</v>
      </c>
      <c r="G14105" t="s">
        <v>26</v>
      </c>
      <c r="I14105" s="8"/>
      <c r="O14105" t="str">
        <f>LEFT(Table2[[#This Row],[Description]],75)</f>
        <v>AplPay FSP*LAKE SUPEDULUTH              MN</v>
      </c>
    </row>
    <row r="14106" spans="1:15" hidden="1">
      <c r="A14106">
        <v>202510</v>
      </c>
      <c r="B14106" s="6">
        <v>45947</v>
      </c>
      <c r="C14106" t="s">
        <v>3938</v>
      </c>
      <c r="D14106" t="s">
        <v>6686</v>
      </c>
      <c r="E14106">
        <v>65.819999999999993</v>
      </c>
      <c r="F14106" t="str">
        <f>IF(Table2[[#This Row],[Manual Cat Value]]="",Table2[[#This Row],[Suggested Cat Value]],VLOOKUP(Table2[[#This Row],[Manual Cat Value]],Lookup!G:H,2,0))</f>
        <v>Restaurants</v>
      </c>
      <c r="H14106" s="8" t="s">
        <v>25</v>
      </c>
      <c r="I14106" s="8"/>
      <c r="O14106" t="str">
        <f>LEFT(Table2[[#This Row],[Description]],75)</f>
        <v>RE AL QUADRATO MONTEPULCIANOIT REF #XX6391FQQ21B6W</v>
      </c>
    </row>
    <row r="14107" spans="1:15" hidden="1">
      <c r="A14107">
        <v>202510</v>
      </c>
      <c r="B14107" s="6">
        <v>45944</v>
      </c>
      <c r="C14107" t="s">
        <v>3938</v>
      </c>
      <c r="D14107" t="s">
        <v>6687</v>
      </c>
      <c r="E14107">
        <v>65.14</v>
      </c>
      <c r="F14107" t="str">
        <f>IF(Table2[[#This Row],[Manual Cat Value]]="",Table2[[#This Row],[Suggested Cat Value]],VLOOKUP(Table2[[#This Row],[Manual Cat Value]],Lookup!G:H,2,0))</f>
        <v>Restaurants</v>
      </c>
      <c r="H14107" s="8" t="s">
        <v>25</v>
      </c>
      <c r="I14107" s="8"/>
      <c r="O14107" t="str">
        <f>LEFT(Table2[[#This Row],[Description]],75)</f>
        <v>GISHOTELS DI GISELDA BENIFIRENZE IT REF #XX5778Z4K4RM88J</v>
      </c>
    </row>
    <row r="14108" spans="1:15" hidden="1">
      <c r="A14108">
        <v>202507</v>
      </c>
      <c r="B14108" s="6">
        <v>45851</v>
      </c>
      <c r="C14108" t="s">
        <v>130</v>
      </c>
      <c r="D14108" t="s">
        <v>6309</v>
      </c>
      <c r="E14108">
        <v>64.900000000000006</v>
      </c>
      <c r="F14108" t="str">
        <f>IF(Table2[[#This Row],[Manual Cat Value]]="",Table2[[#This Row],[Suggested Cat Value]],VLOOKUP(Table2[[#This Row],[Manual Cat Value]],Lookup!G:H,2,0))</f>
        <v>Restaurants</v>
      </c>
      <c r="G14108" t="s">
        <v>26</v>
      </c>
      <c r="I14108" s="8"/>
      <c r="O14108" t="str">
        <f>LEFT(Table2[[#This Row],[Description]],75)</f>
        <v>AplPay DOMINO'S 1931EXCELSIOR           MN</v>
      </c>
    </row>
    <row r="14109" spans="1:15" hidden="1">
      <c r="A14109">
        <v>202506</v>
      </c>
      <c r="B14109" s="6">
        <v>45831</v>
      </c>
      <c r="C14109" t="s">
        <v>2519</v>
      </c>
      <c r="D14109" t="s">
        <v>4523</v>
      </c>
      <c r="E14109">
        <v>64.44</v>
      </c>
      <c r="F14109" t="str">
        <f>IF(Table2[[#This Row],[Manual Cat Value]]="",Table2[[#This Row],[Suggested Cat Value]],VLOOKUP(Table2[[#This Row],[Manual Cat Value]],Lookup!G:H,2,0))</f>
        <v>Delete</v>
      </c>
      <c r="G14109" t="s">
        <v>7</v>
      </c>
      <c r="H14109" s="8" t="s">
        <v>9</v>
      </c>
      <c r="I14109" s="8"/>
      <c r="O14109" t="str">
        <f>LEFT(Table2[[#This Row],[Description]],75)</f>
        <v>Payment to Barclaycard US</v>
      </c>
    </row>
    <row r="14110" spans="1:15" hidden="1">
      <c r="A14110">
        <v>202509</v>
      </c>
      <c r="B14110" s="6">
        <v>45917</v>
      </c>
      <c r="C14110" t="s">
        <v>130</v>
      </c>
      <c r="D14110" t="s">
        <v>6688</v>
      </c>
      <c r="E14110">
        <v>63.88</v>
      </c>
      <c r="F14110" t="str">
        <f>IF(Table2[[#This Row],[Manual Cat Value]]="",Table2[[#This Row],[Suggested Cat Value]],VLOOKUP(Table2[[#This Row],[Manual Cat Value]],Lookup!G:H,2,0))</f>
        <v>Restaurants</v>
      </c>
      <c r="G14110" t="s">
        <v>7</v>
      </c>
      <c r="H14110" s="8" t="s">
        <v>25</v>
      </c>
      <c r="I14110" s="8"/>
      <c r="O14110" t="str">
        <f>LEFT(Table2[[#This Row],[Description]],75)</f>
        <v>DD *WILDFIRE        SAN FRANCISCO       CA</v>
      </c>
    </row>
    <row r="14111" spans="1:15" hidden="1">
      <c r="A14111">
        <v>202507</v>
      </c>
      <c r="B14111" s="6">
        <v>45847</v>
      </c>
      <c r="C14111" t="s">
        <v>130</v>
      </c>
      <c r="D14111" t="s">
        <v>6689</v>
      </c>
      <c r="E14111">
        <v>63.77</v>
      </c>
      <c r="F14111" t="str">
        <f>IF(Table2[[#This Row],[Manual Cat Value]]="",Table2[[#This Row],[Suggested Cat Value]],VLOOKUP(Table2[[#This Row],[Manual Cat Value]],Lookup!G:H,2,0))</f>
        <v>Shopping</v>
      </c>
      <c r="G14111" t="s">
        <v>26</v>
      </c>
      <c r="H14111" s="8" t="s">
        <v>36</v>
      </c>
      <c r="I14111" s="8"/>
      <c r="O14111" t="str">
        <f>LEFT(Table2[[#This Row],[Description]],75)</f>
        <v>AplPay HOPSACK LLC  Balsam Lake         MN</v>
      </c>
    </row>
    <row r="14112" spans="1:15" hidden="1">
      <c r="A14112">
        <v>202508</v>
      </c>
      <c r="B14112" s="6">
        <v>45896</v>
      </c>
      <c r="C14112" t="s">
        <v>130</v>
      </c>
      <c r="D14112" t="s">
        <v>6019</v>
      </c>
      <c r="E14112">
        <v>63.52</v>
      </c>
      <c r="F14112" t="str">
        <f>IF(Table2[[#This Row],[Manual Cat Value]]="",Table2[[#This Row],[Suggested Cat Value]],VLOOKUP(Table2[[#This Row],[Manual Cat Value]],Lookup!G:H,2,0))</f>
        <v>Entertainment</v>
      </c>
      <c r="G14112" t="s">
        <v>40</v>
      </c>
      <c r="I14112" s="8"/>
      <c r="O14112" t="str">
        <f>LEFT(Table2[[#This Row],[Description]],75)</f>
        <v>2LEVY@TARGET CENTER MINNEAPOLIS         MI</v>
      </c>
    </row>
    <row r="14113" spans="1:15" hidden="1">
      <c r="A14113">
        <v>202508</v>
      </c>
      <c r="B14113" s="6">
        <v>45896</v>
      </c>
      <c r="C14113" t="s">
        <v>130</v>
      </c>
      <c r="D14113" t="s">
        <v>6019</v>
      </c>
      <c r="E14113">
        <v>63.52</v>
      </c>
      <c r="F14113" t="str">
        <f>IF(Table2[[#This Row],[Manual Cat Value]]="",Table2[[#This Row],[Suggested Cat Value]],VLOOKUP(Table2[[#This Row],[Manual Cat Value]],Lookup!G:H,2,0))</f>
        <v>Entertainment</v>
      </c>
      <c r="G14113" t="s">
        <v>40</v>
      </c>
      <c r="I14113" s="8"/>
      <c r="O14113" t="str">
        <f>LEFT(Table2[[#This Row],[Description]],75)</f>
        <v>2LEVY@TARGET CENTER MINNEAPOLIS         MI</v>
      </c>
    </row>
    <row r="14114" spans="1:15" hidden="1">
      <c r="A14114">
        <v>202507</v>
      </c>
      <c r="B14114" s="6">
        <v>45868</v>
      </c>
      <c r="C14114" t="s">
        <v>130</v>
      </c>
      <c r="D14114" t="s">
        <v>5772</v>
      </c>
      <c r="E14114">
        <v>63.13</v>
      </c>
      <c r="F14114" t="str">
        <f>IF(Table2[[#This Row],[Manual Cat Value]]="",Table2[[#This Row],[Suggested Cat Value]],VLOOKUP(Table2[[#This Row],[Manual Cat Value]],Lookup!G:H,2,0))</f>
        <v>Restaurants</v>
      </c>
      <c r="G14114" t="s">
        <v>26</v>
      </c>
      <c r="I14114" s="8"/>
      <c r="O14114" t="str">
        <f>LEFT(Table2[[#This Row],[Description]],75)</f>
        <v>AplPay TST* MAYNARDSEXCELSIOR           MN</v>
      </c>
    </row>
    <row r="14115" spans="1:15" hidden="1">
      <c r="A14115">
        <v>202507</v>
      </c>
      <c r="B14115" s="6">
        <v>45852</v>
      </c>
      <c r="C14115" t="s">
        <v>3938</v>
      </c>
      <c r="D14115" t="s">
        <v>6690</v>
      </c>
      <c r="E14115">
        <v>63</v>
      </c>
      <c r="F14115" t="str">
        <f>IF(Table2[[#This Row],[Manual Cat Value]]="",Table2[[#This Row],[Suggested Cat Value]],VLOOKUP(Table2[[#This Row],[Manual Cat Value]],Lookup!G:H,2,0))</f>
        <v>Entertainment</v>
      </c>
      <c r="G14115" t="s">
        <v>40</v>
      </c>
      <c r="I14115" s="8"/>
      <c r="O14115" t="str">
        <f>LEFT(Table2[[#This Row],[Description]],75)</f>
        <v>WILLY MCCOYS OF CHASKA LLCHASKA MN REF #XX6162S66FY4YN</v>
      </c>
    </row>
    <row r="14116" spans="1:15" hidden="1">
      <c r="A14116">
        <v>202511</v>
      </c>
      <c r="B14116" s="6">
        <v>45967</v>
      </c>
      <c r="C14116" t="s">
        <v>130</v>
      </c>
      <c r="D14116" t="s">
        <v>6691</v>
      </c>
      <c r="E14116">
        <v>62.57</v>
      </c>
      <c r="F14116" t="str">
        <f>IF(Table2[[#This Row],[Manual Cat Value]]="",Table2[[#This Row],[Suggested Cat Value]],VLOOKUP(Table2[[#This Row],[Manual Cat Value]],Lookup!G:H,2,0))</f>
        <v>Groceries</v>
      </c>
      <c r="G14116" t="s">
        <v>28</v>
      </c>
      <c r="I14116" s="8"/>
      <c r="O14116" t="str">
        <f>LEFT(Table2[[#This Row],[Description]],75)</f>
        <v>CAVU* APR           CHICAGO             IL</v>
      </c>
    </row>
    <row r="14117" spans="1:15" hidden="1">
      <c r="A14117">
        <v>202506</v>
      </c>
      <c r="B14117" s="6">
        <v>45812</v>
      </c>
      <c r="C14117" t="s">
        <v>130</v>
      </c>
      <c r="D14117" t="s">
        <v>6692</v>
      </c>
      <c r="E14117">
        <v>62.02</v>
      </c>
      <c r="F14117" t="str">
        <f>IF(Table2[[#This Row],[Manual Cat Value]]="",Table2[[#This Row],[Suggested Cat Value]],VLOOKUP(Table2[[#This Row],[Manual Cat Value]],Lookup!G:H,2,0))</f>
        <v>Restaurants</v>
      </c>
      <c r="H14117" s="8" t="s">
        <v>25</v>
      </c>
      <c r="I14117" s="8"/>
      <c r="O14117" t="str">
        <f>LEFT(Table2[[#This Row],[Description]],75)</f>
        <v>LILLE -ESQUERMOISE LLILLE               FR</v>
      </c>
    </row>
    <row r="14118" spans="1:15" hidden="1">
      <c r="A14118">
        <v>202508</v>
      </c>
      <c r="B14118" s="6">
        <v>45892</v>
      </c>
      <c r="C14118" t="s">
        <v>130</v>
      </c>
      <c r="D14118" t="s">
        <v>6693</v>
      </c>
      <c r="E14118">
        <v>61.64</v>
      </c>
      <c r="F14118" t="str">
        <f>IF(Table2[[#This Row],[Manual Cat Value]]="",Table2[[#This Row],[Suggested Cat Value]],VLOOKUP(Table2[[#This Row],[Manual Cat Value]],Lookup!G:H,2,0))</f>
        <v>Restaurants</v>
      </c>
      <c r="G14118" t="s">
        <v>26</v>
      </c>
      <c r="I14118" s="8"/>
      <c r="O14118" t="str">
        <f>LEFT(Table2[[#This Row],[Description]],75)</f>
        <v>TST* CHARLIES ON PRIPRIOR LAKE          MN</v>
      </c>
    </row>
    <row r="14119" spans="1:15" hidden="1">
      <c r="A14119">
        <v>202509</v>
      </c>
      <c r="B14119" s="6">
        <v>45907</v>
      </c>
      <c r="C14119" t="s">
        <v>130</v>
      </c>
      <c r="D14119" t="s">
        <v>6694</v>
      </c>
      <c r="E14119">
        <v>61.5</v>
      </c>
      <c r="F14119" t="str">
        <f>IF(Table2[[#This Row],[Manual Cat Value]]="",Table2[[#This Row],[Suggested Cat Value]],VLOOKUP(Table2[[#This Row],[Manual Cat Value]],Lookup!G:H,2,0))</f>
        <v>Restaurants</v>
      </c>
      <c r="G14119" t="s">
        <v>26</v>
      </c>
      <c r="I14119" s="8"/>
      <c r="O14119" t="str">
        <f>LEFT(Table2[[#This Row],[Description]],75)</f>
        <v>TST* RED COW - 50TH MINNEAPOLIS         MN</v>
      </c>
    </row>
    <row r="14120" spans="1:15" hidden="1">
      <c r="A14120">
        <v>202509</v>
      </c>
      <c r="B14120" s="6">
        <v>45913</v>
      </c>
      <c r="C14120" t="s">
        <v>130</v>
      </c>
      <c r="D14120" t="s">
        <v>6695</v>
      </c>
      <c r="E14120">
        <v>61</v>
      </c>
      <c r="F14120" t="str">
        <f>IF(Table2[[#This Row],[Manual Cat Value]]="",Table2[[#This Row],[Suggested Cat Value]],VLOOKUP(Table2[[#This Row],[Manual Cat Value]],Lookup!G:H,2,0))</f>
        <v>Transportation</v>
      </c>
      <c r="G14120" t="s">
        <v>23</v>
      </c>
      <c r="I14120" s="8"/>
      <c r="O14120" t="str">
        <f>LEFT(Table2[[#This Row],[Description]],75)</f>
        <v>SPEEDWAY 46505 00004EXCELSIOR           MN</v>
      </c>
    </row>
    <row r="14121" spans="1:15" hidden="1">
      <c r="A14121">
        <v>202508</v>
      </c>
      <c r="B14121" s="6">
        <v>45897</v>
      </c>
      <c r="C14121" t="s">
        <v>2519</v>
      </c>
      <c r="D14121" t="s">
        <v>1955</v>
      </c>
      <c r="E14121">
        <v>60.94</v>
      </c>
      <c r="F14121" t="str">
        <f>IF(Table2[[#This Row],[Manual Cat Value]]="",Table2[[#This Row],[Suggested Cat Value]],VLOOKUP(Table2[[#This Row],[Manual Cat Value]],Lookup!G:H,2,0))</f>
        <v>Shopping</v>
      </c>
      <c r="G14121" t="s">
        <v>21</v>
      </c>
      <c r="I14121" s="8"/>
      <c r="O14121" t="str">
        <f>LEFT(Table2[[#This Row],[Description]],75)</f>
        <v>Transfer to PayPal</v>
      </c>
    </row>
    <row r="14122" spans="1:15" hidden="1">
      <c r="A14122">
        <v>202506</v>
      </c>
      <c r="B14122" s="6">
        <v>45823</v>
      </c>
      <c r="C14122" t="s">
        <v>130</v>
      </c>
      <c r="D14122" t="s">
        <v>6696</v>
      </c>
      <c r="E14122">
        <v>60.71</v>
      </c>
      <c r="F14122" t="str">
        <f>IF(Table2[[#This Row],[Manual Cat Value]]="",Table2[[#This Row],[Suggested Cat Value]],VLOOKUP(Table2[[#This Row],[Manual Cat Value]],Lookup!G:H,2,0))</f>
        <v>Restaurants</v>
      </c>
      <c r="H14122" s="8" t="s">
        <v>25</v>
      </c>
      <c r="I14122" s="8"/>
      <c r="O14122" t="str">
        <f>LEFT(Table2[[#This Row],[Description]],75)</f>
        <v>SIR SMOKE A LOT BBQ ST CROIX FLS        WI</v>
      </c>
    </row>
    <row r="14123" spans="1:15" hidden="1">
      <c r="A14123">
        <v>202509</v>
      </c>
      <c r="B14123" s="6">
        <v>45921</v>
      </c>
      <c r="C14123" t="s">
        <v>130</v>
      </c>
      <c r="D14123" t="s">
        <v>6183</v>
      </c>
      <c r="E14123">
        <v>60.62</v>
      </c>
      <c r="F14123" t="str">
        <f>IF(Table2[[#This Row],[Manual Cat Value]]="",Table2[[#This Row],[Suggested Cat Value]],VLOOKUP(Table2[[#This Row],[Manual Cat Value]],Lookup!G:H,2,0))</f>
        <v>Amazon</v>
      </c>
      <c r="G14123" t="s">
        <v>38</v>
      </c>
      <c r="I14123" s="8"/>
      <c r="O14123" t="str">
        <f>LEFT(Table2[[#This Row],[Description]],75)</f>
        <v>AMAZON MARKEPLACE NA PA</v>
      </c>
    </row>
    <row r="14124" spans="1:15" hidden="1">
      <c r="A14124">
        <v>202506</v>
      </c>
      <c r="B14124" s="6">
        <v>45834</v>
      </c>
      <c r="C14124" t="s">
        <v>2519</v>
      </c>
      <c r="D14124" t="s">
        <v>6697</v>
      </c>
      <c r="E14124">
        <v>60.25</v>
      </c>
      <c r="F14124" t="str">
        <f>IF(Table2[[#This Row],[Manual Cat Value]]="",Table2[[#This Row],[Suggested Cat Value]],VLOOKUP(Table2[[#This Row],[Manual Cat Value]],Lookup!G:H,2,0))</f>
        <v>Day Care</v>
      </c>
      <c r="G14124" t="s">
        <v>20</v>
      </c>
      <c r="I14124" s="8"/>
      <c r="O14124" t="str">
        <f>LEFT(Table2[[#This Row],[Description]],75)</f>
        <v>Withdrawal ACH Driver Services TYPE: eServices ID: AXX7162 CO: Driver Servi</v>
      </c>
    </row>
    <row r="14125" spans="1:15" hidden="1">
      <c r="A14125">
        <v>202506</v>
      </c>
      <c r="B14125" s="6">
        <v>45813</v>
      </c>
      <c r="C14125" t="s">
        <v>130</v>
      </c>
      <c r="D14125" t="s">
        <v>5898</v>
      </c>
      <c r="E14125">
        <v>60.1</v>
      </c>
      <c r="F14125" t="str">
        <f>IF(Table2[[#This Row],[Manual Cat Value]]="",Table2[[#This Row],[Suggested Cat Value]],VLOOKUP(Table2[[#This Row],[Manual Cat Value]],Lookup!G:H,2,0))</f>
        <v>Groceries</v>
      </c>
      <c r="G14125" t="s">
        <v>28</v>
      </c>
      <c r="I14125" s="8"/>
      <c r="O14125" t="str">
        <f>LEFT(Table2[[#This Row],[Description]],75)</f>
        <v>LAKESHORE MARKET &amp; MEXCELSIOR           MN</v>
      </c>
    </row>
    <row r="14126" spans="1:15" hidden="1">
      <c r="A14126">
        <v>202507</v>
      </c>
      <c r="B14126" s="6">
        <v>45856</v>
      </c>
      <c r="C14126" t="s">
        <v>130</v>
      </c>
      <c r="D14126" t="s">
        <v>6698</v>
      </c>
      <c r="E14126">
        <v>59.97</v>
      </c>
      <c r="F14126" t="str">
        <f>IF(Table2[[#This Row],[Manual Cat Value]]="",Table2[[#This Row],[Suggested Cat Value]],VLOOKUP(Table2[[#This Row],[Manual Cat Value]],Lookup!G:H,2,0))</f>
        <v>Transportation</v>
      </c>
      <c r="G14126" t="s">
        <v>23</v>
      </c>
      <c r="I14126" s="8"/>
      <c r="O14126" t="str">
        <f>LEFT(Table2[[#This Row],[Description]],75)</f>
        <v>UBER</v>
      </c>
    </row>
    <row r="14127" spans="1:15" hidden="1">
      <c r="A14127">
        <v>202508</v>
      </c>
      <c r="B14127" s="6">
        <v>45883</v>
      </c>
      <c r="C14127" t="s">
        <v>130</v>
      </c>
      <c r="D14127" t="s">
        <v>6389</v>
      </c>
      <c r="E14127">
        <v>59.35</v>
      </c>
      <c r="F14127" t="str">
        <f>IF(Table2[[#This Row],[Manual Cat Value]]="",Table2[[#This Row],[Suggested Cat Value]],VLOOKUP(Table2[[#This Row],[Manual Cat Value]],Lookup!G:H,2,0))</f>
        <v>Dry Cleaning</v>
      </c>
      <c r="G14127" t="s">
        <v>41</v>
      </c>
      <c r="I14127" s="8"/>
      <c r="O14127" t="str">
        <f>LEFT(Table2[[#This Row],[Description]],75)</f>
        <v>AplPay TIDE DRY CLEAEXCELSIOR           MN</v>
      </c>
    </row>
    <row r="14128" spans="1:15" hidden="1">
      <c r="A14128">
        <v>202507</v>
      </c>
      <c r="B14128" s="6">
        <v>45862</v>
      </c>
      <c r="C14128" t="s">
        <v>130</v>
      </c>
      <c r="D14128" t="s">
        <v>6078</v>
      </c>
      <c r="E14128">
        <v>59.11</v>
      </c>
      <c r="F14128" t="str">
        <f>IF(Table2[[#This Row],[Manual Cat Value]]="",Table2[[#This Row],[Suggested Cat Value]],VLOOKUP(Table2[[#This Row],[Manual Cat Value]],Lookup!G:H,2,0))</f>
        <v>Transportation</v>
      </c>
      <c r="G14128" t="s">
        <v>23</v>
      </c>
      <c r="I14128" s="8"/>
      <c r="O14128" t="str">
        <f>LEFT(Table2[[#This Row],[Description]],75)</f>
        <v>LIONS TAP 0688800218EDEN PRAIRIE        MN</v>
      </c>
    </row>
    <row r="14129" spans="1:15" hidden="1">
      <c r="A14129">
        <v>202510</v>
      </c>
      <c r="B14129" s="6">
        <v>45934</v>
      </c>
      <c r="C14129" t="s">
        <v>130</v>
      </c>
      <c r="D14129" t="s">
        <v>6699</v>
      </c>
      <c r="E14129">
        <v>58.86</v>
      </c>
      <c r="F14129" t="str">
        <f>IF(Table2[[#This Row],[Manual Cat Value]]="",Table2[[#This Row],[Suggested Cat Value]],VLOOKUP(Table2[[#This Row],[Manual Cat Value]],Lookup!G:H,2,0))</f>
        <v>Restaurants</v>
      </c>
      <c r="G14129" t="s">
        <v>26</v>
      </c>
      <c r="I14129" s="8"/>
      <c r="O14129" t="str">
        <f>LEFT(Table2[[#This Row],[Description]],75)</f>
        <v>LEEANN CHIN 0044 CHACHANHASSEN          MN</v>
      </c>
    </row>
    <row r="14130" spans="1:15" hidden="1">
      <c r="A14130">
        <v>202510</v>
      </c>
      <c r="B14130" s="6">
        <v>45943</v>
      </c>
      <c r="C14130" t="s">
        <v>3938</v>
      </c>
      <c r="D14130" t="s">
        <v>6700</v>
      </c>
      <c r="E14130">
        <v>58.16</v>
      </c>
      <c r="F14130" t="str">
        <f>IF(Table2[[#This Row],[Manual Cat Value]]="",Table2[[#This Row],[Suggested Cat Value]],VLOOKUP(Table2[[#This Row],[Manual Cat Value]],Lookup!G:H,2,0))</f>
        <v>Restaurants</v>
      </c>
      <c r="H14130" s="8" t="s">
        <v>25</v>
      </c>
      <c r="I14130" s="8"/>
      <c r="O14130" t="str">
        <f>LEFT(Table2[[#This Row],[Description]],75)</f>
        <v>COMUNE DI MONTEROSSO PAR MONTEROSSO ALIT REF #XX1638XDVZNNTQJ</v>
      </c>
    </row>
    <row r="14131" spans="1:15" hidden="1">
      <c r="A14131">
        <v>202508</v>
      </c>
      <c r="B14131" s="6">
        <v>45899</v>
      </c>
      <c r="C14131" t="s">
        <v>130</v>
      </c>
      <c r="D14131" t="s">
        <v>6701</v>
      </c>
      <c r="E14131">
        <v>58.02</v>
      </c>
      <c r="F14131" t="str">
        <f>IF(Table2[[#This Row],[Manual Cat Value]]="",Table2[[#This Row],[Suggested Cat Value]],VLOOKUP(Table2[[#This Row],[Manual Cat Value]],Lookup!G:H,2,0))</f>
        <v>Shopping</v>
      </c>
      <c r="G14131" t="s">
        <v>21</v>
      </c>
      <c r="I14131" s="8"/>
      <c r="O14131" t="str">
        <f>LEFT(Table2[[#This Row],[Description]],75)</f>
        <v>BALSAM LAKE TRADING BALSAM LAKE         WI</v>
      </c>
    </row>
    <row r="14132" spans="1:15" hidden="1">
      <c r="A14132">
        <v>202507</v>
      </c>
      <c r="B14132" s="6">
        <v>45841</v>
      </c>
      <c r="C14132" t="s">
        <v>130</v>
      </c>
      <c r="D14132" t="s">
        <v>6702</v>
      </c>
      <c r="E14132">
        <v>57.68</v>
      </c>
      <c r="F14132" t="str">
        <f>IF(Table2[[#This Row],[Manual Cat Value]]="",Table2[[#This Row],[Suggested Cat Value]],VLOOKUP(Table2[[#This Row],[Manual Cat Value]],Lookup!G:H,2,0))</f>
        <v>Restaurants</v>
      </c>
      <c r="G14132" t="s">
        <v>7</v>
      </c>
      <c r="H14132" s="8" t="s">
        <v>25</v>
      </c>
      <c r="I14132" s="8"/>
      <c r="O14132" t="str">
        <f>LEFT(Table2[[#This Row],[Description]],75)</f>
        <v>TST* JAKE'S ON THE LCENTER CITY         MN</v>
      </c>
    </row>
    <row r="14133" spans="1:15" hidden="1">
      <c r="A14133">
        <v>202508</v>
      </c>
      <c r="B14133" s="6">
        <v>45887</v>
      </c>
      <c r="C14133" t="s">
        <v>130</v>
      </c>
      <c r="D14133" t="s">
        <v>6571</v>
      </c>
      <c r="E14133">
        <v>57.35</v>
      </c>
      <c r="F14133" t="str">
        <f>IF(Table2[[#This Row],[Manual Cat Value]]="",Table2[[#This Row],[Suggested Cat Value]],VLOOKUP(Table2[[#This Row],[Manual Cat Value]],Lookup!G:H,2,0))</f>
        <v>Travel</v>
      </c>
      <c r="H14133" s="8" t="s">
        <v>52</v>
      </c>
      <c r="I14133" s="8"/>
      <c r="O14133" t="str">
        <f>LEFT(Table2[[#This Row],[Description]],75)</f>
        <v>BRITISH AIRWAYS IT DITALY               IT</v>
      </c>
    </row>
    <row r="14134" spans="1:15" hidden="1">
      <c r="A14134">
        <v>202506</v>
      </c>
      <c r="B14134" s="6">
        <v>45824</v>
      </c>
      <c r="C14134" t="s">
        <v>2519</v>
      </c>
      <c r="D14134" t="s">
        <v>1958</v>
      </c>
      <c r="E14134">
        <v>57</v>
      </c>
      <c r="F14134" t="str">
        <f>IF(Table2[[#This Row],[Manual Cat Value]]="",Table2[[#This Row],[Suggested Cat Value]],VLOOKUP(Table2[[#This Row],[Manual Cat Value]],Lookup!G:H,2,0))</f>
        <v>Shopping</v>
      </c>
      <c r="G14134" t="s">
        <v>21</v>
      </c>
      <c r="I14134" s="8"/>
      <c r="O14134" t="str">
        <f>LEFT(Table2[[#This Row],[Description]],75)</f>
        <v>Transfer to Venmo</v>
      </c>
    </row>
    <row r="14135" spans="1:15" hidden="1">
      <c r="A14135">
        <v>202507</v>
      </c>
      <c r="B14135" s="6">
        <v>45863</v>
      </c>
      <c r="C14135" t="s">
        <v>130</v>
      </c>
      <c r="D14135" t="s">
        <v>6362</v>
      </c>
      <c r="E14135">
        <v>57</v>
      </c>
      <c r="F14135" t="str">
        <f>IF(Table2[[#This Row],[Manual Cat Value]]="",Table2[[#This Row],[Suggested Cat Value]],VLOOKUP(Table2[[#This Row],[Manual Cat Value]],Lookup!G:H,2,0))</f>
        <v>Restaurants</v>
      </c>
      <c r="G14135" t="s">
        <v>26</v>
      </c>
      <c r="I14135" s="8"/>
      <c r="O14135" t="str">
        <f>LEFT(Table2[[#This Row],[Description]],75)</f>
        <v>AplPay ZENOTIUSA_POSCHANHASSEN          MN</v>
      </c>
    </row>
    <row r="14136" spans="1:15" hidden="1">
      <c r="A14136">
        <v>202510</v>
      </c>
      <c r="B14136" s="6">
        <v>45931</v>
      </c>
      <c r="C14136" t="s">
        <v>130</v>
      </c>
      <c r="D14136" t="s">
        <v>6362</v>
      </c>
      <c r="E14136">
        <v>56</v>
      </c>
      <c r="F14136" t="str">
        <f>IF(Table2[[#This Row],[Manual Cat Value]]="",Table2[[#This Row],[Suggested Cat Value]],VLOOKUP(Table2[[#This Row],[Manual Cat Value]],Lookup!G:H,2,0))</f>
        <v>Restaurants</v>
      </c>
      <c r="G14136" t="s">
        <v>26</v>
      </c>
      <c r="I14136" s="8"/>
      <c r="O14136" t="str">
        <f>LEFT(Table2[[#This Row],[Description]],75)</f>
        <v>AplPay ZENOTIUSA_POSCHANHASSEN          MN</v>
      </c>
    </row>
    <row r="14137" spans="1:15" hidden="1">
      <c r="A14137">
        <v>202506</v>
      </c>
      <c r="B14137" s="6">
        <v>45829</v>
      </c>
      <c r="C14137" t="s">
        <v>130</v>
      </c>
      <c r="D14137" t="s">
        <v>6623</v>
      </c>
      <c r="E14137">
        <v>55.64</v>
      </c>
      <c r="F14137" t="str">
        <f>IF(Table2[[#This Row],[Manual Cat Value]]="",Table2[[#This Row],[Suggested Cat Value]],VLOOKUP(Table2[[#This Row],[Manual Cat Value]],Lookup!G:H,2,0))</f>
        <v>Restaurants</v>
      </c>
      <c r="G14137" t="s">
        <v>43</v>
      </c>
      <c r="H14137" s="8" t="s">
        <v>25</v>
      </c>
      <c r="I14137" s="8"/>
      <c r="O14137" t="str">
        <f>LEFT(Table2[[#This Row],[Description]],75)</f>
        <v>TST* CANAL PARK BREWDULUTH              MN</v>
      </c>
    </row>
    <row r="14138" spans="1:15" hidden="1">
      <c r="A14138">
        <v>202508</v>
      </c>
      <c r="B14138" s="6">
        <v>45885</v>
      </c>
      <c r="C14138" t="s">
        <v>130</v>
      </c>
      <c r="D14138" t="s">
        <v>5418</v>
      </c>
      <c r="E14138">
        <v>55.21</v>
      </c>
      <c r="F14138" t="str">
        <f>IF(Table2[[#This Row],[Manual Cat Value]]="",Table2[[#This Row],[Suggested Cat Value]],VLOOKUP(Table2[[#This Row],[Manual Cat Value]],Lookup!G:H,2,0))</f>
        <v>Travel</v>
      </c>
      <c r="G14138" t="s">
        <v>43</v>
      </c>
      <c r="I14138" s="8"/>
      <c r="O14138" t="str">
        <f>LEFT(Table2[[#This Row],[Description]],75)</f>
        <v>DELTA AIR LINES     ATLANTA</v>
      </c>
    </row>
    <row r="14139" spans="1:15" hidden="1">
      <c r="A14139">
        <v>202508</v>
      </c>
      <c r="B14139" s="6">
        <v>45885</v>
      </c>
      <c r="C14139" t="s">
        <v>130</v>
      </c>
      <c r="D14139" t="s">
        <v>5418</v>
      </c>
      <c r="E14139">
        <v>55.21</v>
      </c>
      <c r="F14139" t="str">
        <f>IF(Table2[[#This Row],[Manual Cat Value]]="",Table2[[#This Row],[Suggested Cat Value]],VLOOKUP(Table2[[#This Row],[Manual Cat Value]],Lookup!G:H,2,0))</f>
        <v>Travel</v>
      </c>
      <c r="G14139" t="s">
        <v>43</v>
      </c>
      <c r="I14139" s="8"/>
      <c r="O14139" t="str">
        <f>LEFT(Table2[[#This Row],[Description]],75)</f>
        <v>DELTA AIR LINES     ATLANTA</v>
      </c>
    </row>
    <row r="14140" spans="1:15" hidden="1">
      <c r="A14140">
        <v>202510</v>
      </c>
      <c r="B14140" s="6">
        <v>45943</v>
      </c>
      <c r="C14140" t="s">
        <v>3938</v>
      </c>
      <c r="D14140" t="s">
        <v>1462</v>
      </c>
      <c r="E14140">
        <v>55</v>
      </c>
      <c r="F14140" t="str">
        <f>IF(Table2[[#This Row],[Manual Cat Value]]="",Table2[[#This Row],[Suggested Cat Value]],VLOOKUP(Table2[[#This Row],[Manual Cat Value]],Lookup!G:H,2,0))</f>
        <v>Utilities</v>
      </c>
      <c r="G14140" t="s">
        <v>7</v>
      </c>
      <c r="I14140" s="8"/>
      <c r="O14140" t="str">
        <f>LEFT(Table2[[#This Row],[Description]],75)</f>
        <v>Payment to CenturyLink</v>
      </c>
    </row>
    <row r="14141" spans="1:15" hidden="1">
      <c r="A14141">
        <v>202509</v>
      </c>
      <c r="B14141" s="6">
        <v>45914</v>
      </c>
      <c r="C14141" t="s">
        <v>3938</v>
      </c>
      <c r="D14141" t="s">
        <v>1462</v>
      </c>
      <c r="E14141">
        <v>55</v>
      </c>
      <c r="F14141" t="str">
        <f>IF(Table2[[#This Row],[Manual Cat Value]]="",Table2[[#This Row],[Suggested Cat Value]],VLOOKUP(Table2[[#This Row],[Manual Cat Value]],Lookup!G:H,2,0))</f>
        <v>Utilities</v>
      </c>
      <c r="G14141" t="s">
        <v>7</v>
      </c>
      <c r="I14141" s="8"/>
      <c r="O14141" t="str">
        <f>LEFT(Table2[[#This Row],[Description]],75)</f>
        <v>Payment to CenturyLink</v>
      </c>
    </row>
    <row r="14142" spans="1:15" hidden="1">
      <c r="A14142">
        <v>202506</v>
      </c>
      <c r="B14142" s="6">
        <v>45828</v>
      </c>
      <c r="C14142" t="s">
        <v>130</v>
      </c>
      <c r="D14142" t="s">
        <v>6703</v>
      </c>
      <c r="E14142">
        <v>54.93</v>
      </c>
      <c r="F14142" t="str">
        <f>IF(Table2[[#This Row],[Manual Cat Value]]="",Table2[[#This Row],[Suggested Cat Value]],VLOOKUP(Table2[[#This Row],[Manual Cat Value]],Lookup!G:H,2,0))</f>
        <v>Restaurants</v>
      </c>
      <c r="G14142" t="s">
        <v>26</v>
      </c>
      <c r="I14142" s="8"/>
      <c r="O14142" t="str">
        <f>LEFT(Table2[[#This Row],[Description]],75)</f>
        <v>BUFFALO TRACK 0000  FINLAYSON           MN</v>
      </c>
    </row>
    <row r="14143" spans="1:15" hidden="1">
      <c r="A14143">
        <v>202507</v>
      </c>
      <c r="B14143" s="6">
        <v>45868</v>
      </c>
      <c r="C14143" t="s">
        <v>130</v>
      </c>
      <c r="D14143" t="s">
        <v>6338</v>
      </c>
      <c r="E14143">
        <v>54.43</v>
      </c>
      <c r="F14143" t="str">
        <f>IF(Table2[[#This Row],[Manual Cat Value]]="",Table2[[#This Row],[Suggested Cat Value]],VLOOKUP(Table2[[#This Row],[Manual Cat Value]],Lookup!G:H,2,0))</f>
        <v>Groceries</v>
      </c>
      <c r="G14143" t="s">
        <v>26</v>
      </c>
      <c r="H14143" s="8" t="s">
        <v>27</v>
      </c>
      <c r="I14143" s="8"/>
      <c r="O14143" t="str">
        <f>LEFT(Table2[[#This Row],[Description]],75)</f>
        <v>AplPay CUB FOODS 163CUB.COM             MN</v>
      </c>
    </row>
    <row r="14144" spans="1:15" hidden="1">
      <c r="A14144">
        <v>202510</v>
      </c>
      <c r="B14144" s="6">
        <v>45958</v>
      </c>
      <c r="C14144" t="s">
        <v>2519</v>
      </c>
      <c r="D14144" t="s">
        <v>4356</v>
      </c>
      <c r="E14144">
        <v>54.33</v>
      </c>
      <c r="F14144" t="str">
        <f>IF(Table2[[#This Row],[Manual Cat Value]]="",Table2[[#This Row],[Suggested Cat Value]],VLOOKUP(Table2[[#This Row],[Manual Cat Value]],Lookup!G:H,2,0))</f>
        <v>Insurance</v>
      </c>
      <c r="G14144" t="s">
        <v>18</v>
      </c>
      <c r="I14144" s="8"/>
      <c r="O14144" t="str">
        <f>LEFT(Table2[[#This Row],[Description]],75)</f>
        <v>Payment to American Family Insurance</v>
      </c>
    </row>
    <row r="14145" spans="1:15" hidden="1">
      <c r="A14145">
        <v>202509</v>
      </c>
      <c r="B14145" s="6">
        <v>45929</v>
      </c>
      <c r="C14145" t="s">
        <v>2519</v>
      </c>
      <c r="D14145" t="s">
        <v>4356</v>
      </c>
      <c r="E14145">
        <v>54.33</v>
      </c>
      <c r="F14145" t="str">
        <f>IF(Table2[[#This Row],[Manual Cat Value]]="",Table2[[#This Row],[Suggested Cat Value]],VLOOKUP(Table2[[#This Row],[Manual Cat Value]],Lookup!G:H,2,0))</f>
        <v>Insurance</v>
      </c>
      <c r="G14145" t="s">
        <v>18</v>
      </c>
      <c r="I14145" s="8"/>
      <c r="O14145" t="str">
        <f>LEFT(Table2[[#This Row],[Description]],75)</f>
        <v>Payment to American Family Insurance</v>
      </c>
    </row>
    <row r="14146" spans="1:15" hidden="1">
      <c r="A14146">
        <v>202508</v>
      </c>
      <c r="B14146" s="6">
        <v>45897</v>
      </c>
      <c r="C14146" t="s">
        <v>2519</v>
      </c>
      <c r="D14146" t="s">
        <v>4356</v>
      </c>
      <c r="E14146">
        <v>54.33</v>
      </c>
      <c r="F14146" t="str">
        <f>IF(Table2[[#This Row],[Manual Cat Value]]="",Table2[[#This Row],[Suggested Cat Value]],VLOOKUP(Table2[[#This Row],[Manual Cat Value]],Lookup!G:H,2,0))</f>
        <v>Insurance</v>
      </c>
      <c r="G14146" t="s">
        <v>18</v>
      </c>
      <c r="I14146" s="8"/>
      <c r="O14146" t="str">
        <f>LEFT(Table2[[#This Row],[Description]],75)</f>
        <v>Payment to American Family Insurance</v>
      </c>
    </row>
    <row r="14147" spans="1:15" hidden="1">
      <c r="A14147">
        <v>202507</v>
      </c>
      <c r="B14147" s="6">
        <v>45866</v>
      </c>
      <c r="C14147" t="s">
        <v>2519</v>
      </c>
      <c r="D14147" t="s">
        <v>4356</v>
      </c>
      <c r="E14147">
        <v>54.33</v>
      </c>
      <c r="F14147" t="str">
        <f>IF(Table2[[#This Row],[Manual Cat Value]]="",Table2[[#This Row],[Suggested Cat Value]],VLOOKUP(Table2[[#This Row],[Manual Cat Value]],Lookup!G:H,2,0))</f>
        <v>Insurance</v>
      </c>
      <c r="G14147" t="s">
        <v>18</v>
      </c>
      <c r="I14147" s="8"/>
      <c r="O14147" t="str">
        <f>LEFT(Table2[[#This Row],[Description]],75)</f>
        <v>Payment to American Family Insurance</v>
      </c>
    </row>
    <row r="14148" spans="1:15" hidden="1">
      <c r="A14148">
        <v>202506</v>
      </c>
      <c r="B14148" s="6">
        <v>45838</v>
      </c>
      <c r="C14148" t="s">
        <v>2519</v>
      </c>
      <c r="D14148" t="s">
        <v>4356</v>
      </c>
      <c r="E14148">
        <v>54.33</v>
      </c>
      <c r="F14148" t="str">
        <f>IF(Table2[[#This Row],[Manual Cat Value]]="",Table2[[#This Row],[Suggested Cat Value]],VLOOKUP(Table2[[#This Row],[Manual Cat Value]],Lookup!G:H,2,0))</f>
        <v>Insurance</v>
      </c>
      <c r="G14148" t="s">
        <v>18</v>
      </c>
      <c r="I14148" s="8"/>
      <c r="O14148" t="str">
        <f>LEFT(Table2[[#This Row],[Description]],75)</f>
        <v>Payment to American Family Insurance</v>
      </c>
    </row>
    <row r="14149" spans="1:15" hidden="1">
      <c r="A14149">
        <v>202508</v>
      </c>
      <c r="B14149" s="6">
        <v>45879</v>
      </c>
      <c r="C14149" t="s">
        <v>130</v>
      </c>
      <c r="D14149" t="s">
        <v>6704</v>
      </c>
      <c r="E14149">
        <v>54.25</v>
      </c>
      <c r="F14149" t="str">
        <f>IF(Table2[[#This Row],[Manual Cat Value]]="",Table2[[#This Row],[Suggested Cat Value]],VLOOKUP(Table2[[#This Row],[Manual Cat Value]],Lookup!G:H,2,0))</f>
        <v>Restaurants</v>
      </c>
      <c r="G14149" t="s">
        <v>26</v>
      </c>
      <c r="I14149" s="8"/>
      <c r="O14149" t="str">
        <f>LEFT(Table2[[#This Row],[Description]],75)</f>
        <v>SHOREWOOD ACE 0000  EXCELSIOR           MN</v>
      </c>
    </row>
    <row r="14150" spans="1:15" hidden="1">
      <c r="A14150">
        <v>202506</v>
      </c>
      <c r="B14150" s="6">
        <v>45832</v>
      </c>
      <c r="C14150" t="s">
        <v>130</v>
      </c>
      <c r="D14150" t="s">
        <v>5795</v>
      </c>
      <c r="E14150">
        <v>53.9</v>
      </c>
      <c r="F14150" t="str">
        <f>IF(Table2[[#This Row],[Manual Cat Value]]="",Table2[[#This Row],[Suggested Cat Value]],VLOOKUP(Table2[[#This Row],[Manual Cat Value]],Lookup!G:H,2,0))</f>
        <v>Delete</v>
      </c>
      <c r="G14150" t="s">
        <v>2</v>
      </c>
      <c r="H14150" s="8" t="s">
        <v>9</v>
      </c>
      <c r="I14150" s="8"/>
      <c r="O14150" t="str">
        <f>LEFT(Table2[[#This Row],[Description]],75)</f>
        <v>SLACK T074985K686   SAN FRANCISCO       CA</v>
      </c>
    </row>
    <row r="14151" spans="1:15" hidden="1">
      <c r="A14151">
        <v>202509</v>
      </c>
      <c r="B14151" s="6">
        <v>45919</v>
      </c>
      <c r="C14151" t="s">
        <v>130</v>
      </c>
      <c r="D14151" t="s">
        <v>6183</v>
      </c>
      <c r="E14151">
        <v>53.87</v>
      </c>
      <c r="F14151" t="str">
        <f>IF(Table2[[#This Row],[Manual Cat Value]]="",Table2[[#This Row],[Suggested Cat Value]],VLOOKUP(Table2[[#This Row],[Manual Cat Value]],Lookup!G:H,2,0))</f>
        <v>Amazon</v>
      </c>
      <c r="G14151" t="s">
        <v>38</v>
      </c>
      <c r="I14151" s="8"/>
      <c r="O14151" t="str">
        <f>LEFT(Table2[[#This Row],[Description]],75)</f>
        <v>AMAZON MARKEPLACE NA PA</v>
      </c>
    </row>
    <row r="14152" spans="1:15" hidden="1">
      <c r="A14152">
        <v>202506</v>
      </c>
      <c r="B14152" s="6">
        <v>45818</v>
      </c>
      <c r="C14152" t="s">
        <v>130</v>
      </c>
      <c r="D14152" t="s">
        <v>6704</v>
      </c>
      <c r="E14152">
        <v>52.95</v>
      </c>
      <c r="F14152" t="str">
        <f>IF(Table2[[#This Row],[Manual Cat Value]]="",Table2[[#This Row],[Suggested Cat Value]],VLOOKUP(Table2[[#This Row],[Manual Cat Value]],Lookup!G:H,2,0))</f>
        <v>Restaurants</v>
      </c>
      <c r="G14152" t="s">
        <v>26</v>
      </c>
      <c r="I14152" s="8"/>
      <c r="O14152" t="str">
        <f>LEFT(Table2[[#This Row],[Description]],75)</f>
        <v>SHOREWOOD ACE 0000  EXCELSIOR           MN</v>
      </c>
    </row>
    <row r="14153" spans="1:15" hidden="1">
      <c r="A14153">
        <v>202508</v>
      </c>
      <c r="B14153" s="6">
        <v>45870</v>
      </c>
      <c r="C14153" t="s">
        <v>130</v>
      </c>
      <c r="D14153" t="s">
        <v>6705</v>
      </c>
      <c r="E14153">
        <v>52.37</v>
      </c>
      <c r="F14153" t="str">
        <f>IF(Table2[[#This Row],[Manual Cat Value]]="",Table2[[#This Row],[Suggested Cat Value]],VLOOKUP(Table2[[#This Row],[Manual Cat Value]],Lookup!G:H,2,0))</f>
        <v>Restaurants</v>
      </c>
      <c r="H14153" s="8" t="s">
        <v>25</v>
      </c>
      <c r="I14153" s="8"/>
      <c r="O14153" t="str">
        <f>LEFT(Table2[[#This Row],[Description]],75)</f>
        <v>FSP*RUTTGERS BAY LAKDEERWOOD            MN</v>
      </c>
    </row>
    <row r="14154" spans="1:15" hidden="1">
      <c r="A14154">
        <v>202506</v>
      </c>
      <c r="B14154" s="6">
        <v>45826</v>
      </c>
      <c r="C14154" t="s">
        <v>130</v>
      </c>
      <c r="D14154" t="s">
        <v>6634</v>
      </c>
      <c r="E14154">
        <v>52.33</v>
      </c>
      <c r="F14154" t="str">
        <f>IF(Table2[[#This Row],[Manual Cat Value]]="",Table2[[#This Row],[Suggested Cat Value]],VLOOKUP(Table2[[#This Row],[Manual Cat Value]],Lookup!G:H,2,0))</f>
        <v>Restaurants</v>
      </c>
      <c r="G14154" t="s">
        <v>26</v>
      </c>
      <c r="I14154" s="8"/>
      <c r="O14154" t="str">
        <f>LEFT(Table2[[#This Row],[Description]],75)</f>
        <v>AplPay ANTHROPOLOGIEPHILADELPHIA        PA</v>
      </c>
    </row>
    <row r="14155" spans="1:15" hidden="1">
      <c r="A14155">
        <v>202510</v>
      </c>
      <c r="B14155" s="6">
        <v>45941</v>
      </c>
      <c r="C14155" t="s">
        <v>130</v>
      </c>
      <c r="D14155" t="s">
        <v>6706</v>
      </c>
      <c r="E14155">
        <v>52.16</v>
      </c>
      <c r="F14155" t="str">
        <f>IF(Table2[[#This Row],[Manual Cat Value]]="",Table2[[#This Row],[Suggested Cat Value]],VLOOKUP(Table2[[#This Row],[Manual Cat Value]],Lookup!G:H,2,0))</f>
        <v>Restaurants</v>
      </c>
      <c r="H14155" s="8" t="s">
        <v>25</v>
      </c>
      <c r="I14155" s="8"/>
      <c r="O14155" t="str">
        <f>LEFT(Table2[[#This Row],[Description]],75)</f>
        <v>IL PICCOLO SCOGLIO SVERNAZZA</v>
      </c>
    </row>
    <row r="14156" spans="1:15" hidden="1">
      <c r="A14156">
        <v>202507</v>
      </c>
      <c r="B14156" s="6">
        <v>45867</v>
      </c>
      <c r="C14156" t="s">
        <v>130</v>
      </c>
      <c r="D14156" t="s">
        <v>6707</v>
      </c>
      <c r="E14156">
        <v>52.05</v>
      </c>
      <c r="F14156" t="str">
        <f>IF(Table2[[#This Row],[Manual Cat Value]]="",Table2[[#This Row],[Suggested Cat Value]],VLOOKUP(Table2[[#This Row],[Manual Cat Value]],Lookup!G:H,2,0))</f>
        <v>Restaurants</v>
      </c>
      <c r="G14156" t="s">
        <v>26</v>
      </c>
      <c r="I14156" s="8"/>
      <c r="O14156" t="str">
        <f>LEFT(Table2[[#This Row],[Description]],75)</f>
        <v>AplPay ETSY, INC.   BROOKLYN            NY</v>
      </c>
    </row>
    <row r="14157" spans="1:15" hidden="1">
      <c r="A14157">
        <v>202508</v>
      </c>
      <c r="B14157" s="6">
        <v>45889</v>
      </c>
      <c r="C14157" t="s">
        <v>2519</v>
      </c>
      <c r="D14157" t="s">
        <v>6708</v>
      </c>
      <c r="E14157">
        <v>52</v>
      </c>
      <c r="F14157" t="str">
        <f>IF(Table2[[#This Row],[Manual Cat Value]]="",Table2[[#This Row],[Suggested Cat Value]],VLOOKUP(Table2[[#This Row],[Manual Cat Value]],Lookup!G:H,2,0))</f>
        <v>House</v>
      </c>
      <c r="G14157" t="s">
        <v>50</v>
      </c>
      <c r="I14157" s="8"/>
      <c r="O14157" t="str">
        <f>LEFT(Table2[[#This Row],[Description]],75)</f>
        <v>Draft 2324 Tracer XXXXX2475</v>
      </c>
    </row>
    <row r="14158" spans="1:15" hidden="1">
      <c r="A14158">
        <v>202508</v>
      </c>
      <c r="B14158" s="6">
        <v>45881</v>
      </c>
      <c r="C14158" t="s">
        <v>3938</v>
      </c>
      <c r="D14158" t="s">
        <v>6709</v>
      </c>
      <c r="E14158">
        <v>52</v>
      </c>
      <c r="F14158" t="str">
        <f>IF(Table2[[#This Row],[Manual Cat Value]]="",Table2[[#This Row],[Suggested Cat Value]],VLOOKUP(Table2[[#This Row],[Manual Cat Value]],Lookup!G:H,2,0))</f>
        <v>Entertainment</v>
      </c>
      <c r="G14158" t="s">
        <v>40</v>
      </c>
      <c r="I14158" s="8"/>
      <c r="O14158" t="str">
        <f>LEFT(Table2[[#This Row],[Description]],75)</f>
        <v>DS NAILS CHANHASSEN MN REF #XX2370QTMAT110</v>
      </c>
    </row>
    <row r="14159" spans="1:15" hidden="1">
      <c r="A14159">
        <v>202510</v>
      </c>
      <c r="B14159" s="6">
        <v>45934</v>
      </c>
      <c r="C14159" t="s">
        <v>130</v>
      </c>
      <c r="D14159" t="s">
        <v>6710</v>
      </c>
      <c r="E14159">
        <v>51.96</v>
      </c>
      <c r="F14159" t="str">
        <f>IF(Table2[[#This Row],[Manual Cat Value]]="",Table2[[#This Row],[Suggested Cat Value]],VLOOKUP(Table2[[#This Row],[Manual Cat Value]],Lookup!G:H,2,0))</f>
        <v>Transportation</v>
      </c>
      <c r="H14159" s="8" t="s">
        <v>22</v>
      </c>
      <c r="I14159" s="8"/>
      <c r="O14159" t="str">
        <f>LEFT(Table2[[#This Row],[Description]],75)</f>
        <v>BP#7593908BOB &amp; STEVNEW RICHMOND        WI</v>
      </c>
    </row>
    <row r="14160" spans="1:15" hidden="1">
      <c r="A14160">
        <v>202507</v>
      </c>
      <c r="B14160" s="6">
        <v>45839</v>
      </c>
      <c r="C14160" t="s">
        <v>130</v>
      </c>
      <c r="D14160" t="s">
        <v>5887</v>
      </c>
      <c r="E14160">
        <v>51.67</v>
      </c>
      <c r="F14160" t="str">
        <f>IF(Table2[[#This Row],[Manual Cat Value]]="",Table2[[#This Row],[Suggested Cat Value]],VLOOKUP(Table2[[#This Row],[Manual Cat Value]],Lookup!G:H,2,0))</f>
        <v>Transportation</v>
      </c>
      <c r="G14160" t="s">
        <v>23</v>
      </c>
      <c r="I14160" s="8"/>
      <c r="O14160" t="str">
        <f>LEFT(Table2[[#This Row],[Description]],75)</f>
        <v>SPEEDWAY            1-800-643-1949      OH</v>
      </c>
    </row>
    <row r="14161" spans="1:15" hidden="1">
      <c r="A14161">
        <v>202506</v>
      </c>
      <c r="B14161" s="6">
        <v>45814</v>
      </c>
      <c r="C14161" t="s">
        <v>130</v>
      </c>
      <c r="D14161" t="s">
        <v>6711</v>
      </c>
      <c r="E14161">
        <v>51.49</v>
      </c>
      <c r="F14161" t="str">
        <f>IF(Table2[[#This Row],[Manual Cat Value]]="",Table2[[#This Row],[Suggested Cat Value]],VLOOKUP(Table2[[#This Row],[Manual Cat Value]],Lookup!G:H,2,0))</f>
        <v>Shopping</v>
      </c>
      <c r="H14161" s="8" t="s">
        <v>36</v>
      </c>
      <c r="I14161" s="8"/>
      <c r="O14161" t="str">
        <f>LEFT(Table2[[#This Row],[Description]],75)</f>
        <v>HARRODS INTERNATIONALondon              GB</v>
      </c>
    </row>
    <row r="14162" spans="1:15" hidden="1">
      <c r="A14162">
        <v>202508</v>
      </c>
      <c r="B14162" s="6">
        <v>45873</v>
      </c>
      <c r="C14162" t="s">
        <v>3938</v>
      </c>
      <c r="D14162" t="s">
        <v>4887</v>
      </c>
      <c r="E14162">
        <v>51.02</v>
      </c>
      <c r="F14162" t="str">
        <f>IF(Table2[[#This Row],[Manual Cat Value]]="",Table2[[#This Row],[Suggested Cat Value]],VLOOKUP(Table2[[#This Row],[Manual Cat Value]],Lookup!G:H,2,0))</f>
        <v>Delete</v>
      </c>
      <c r="G14162" t="s">
        <v>9</v>
      </c>
      <c r="I14162" s="8"/>
      <c r="O14162" t="str">
        <f>LEFT(Table2[[#This Row],[Description]],75)</f>
        <v>Costco Gas Stations</v>
      </c>
    </row>
    <row r="14163" spans="1:15" hidden="1">
      <c r="A14163">
        <v>202510</v>
      </c>
      <c r="B14163" s="6">
        <v>45950</v>
      </c>
      <c r="C14163" t="s">
        <v>3938</v>
      </c>
      <c r="D14163" t="s">
        <v>6712</v>
      </c>
      <c r="E14163">
        <v>50.44</v>
      </c>
      <c r="F14163" t="str">
        <f>IF(Table2[[#This Row],[Manual Cat Value]]="",Table2[[#This Row],[Suggested Cat Value]],VLOOKUP(Table2[[#This Row],[Manual Cat Value]],Lookup!G:H,2,0))</f>
        <v>Delete</v>
      </c>
      <c r="G14163" t="s">
        <v>9</v>
      </c>
      <c r="I14163" s="8"/>
      <c r="O14163" t="str">
        <f>LEFT(Table2[[#This Row],[Description]],75)</f>
        <v>A.R. SOCIETA A RESPONSA ROMA IT REF #XX9754Z899</v>
      </c>
    </row>
    <row r="14164" spans="1:15" hidden="1">
      <c r="A14164">
        <v>202509</v>
      </c>
      <c r="B14164" s="6">
        <v>45921</v>
      </c>
      <c r="C14164" t="s">
        <v>130</v>
      </c>
      <c r="D14164" t="s">
        <v>6713</v>
      </c>
      <c r="E14164">
        <v>50.44</v>
      </c>
      <c r="F14164" t="str">
        <f>IF(Table2[[#This Row],[Manual Cat Value]]="",Table2[[#This Row],[Suggested Cat Value]],VLOOKUP(Table2[[#This Row],[Manual Cat Value]],Lookup!G:H,2,0))</f>
        <v>Restaurants</v>
      </c>
      <c r="G14164" t="s">
        <v>26</v>
      </c>
      <c r="I14164" s="8"/>
      <c r="O14164" t="str">
        <f>LEFT(Table2[[#This Row],[Description]],75)</f>
        <v>AplPay CUB FOODS 000MINNETONKA          MN</v>
      </c>
    </row>
    <row r="14165" spans="1:15" hidden="1">
      <c r="A14165">
        <v>202510</v>
      </c>
      <c r="B14165" s="6">
        <v>45958</v>
      </c>
      <c r="C14165" t="s">
        <v>2519</v>
      </c>
      <c r="D14165" t="s">
        <v>1958</v>
      </c>
      <c r="E14165">
        <v>50</v>
      </c>
      <c r="F14165" t="str">
        <f>IF(Table2[[#This Row],[Manual Cat Value]]="",Table2[[#This Row],[Suggested Cat Value]],VLOOKUP(Table2[[#This Row],[Manual Cat Value]],Lookup!G:H,2,0))</f>
        <v>Shopping</v>
      </c>
      <c r="G14165" t="s">
        <v>21</v>
      </c>
      <c r="I14165" s="8"/>
      <c r="O14165" t="str">
        <f>LEFT(Table2[[#This Row],[Description]],75)</f>
        <v>Transfer to Venmo</v>
      </c>
    </row>
    <row r="14166" spans="1:15" hidden="1">
      <c r="A14166">
        <v>202509</v>
      </c>
      <c r="B14166" s="6">
        <v>45907</v>
      </c>
      <c r="C14166" t="s">
        <v>3938</v>
      </c>
      <c r="D14166" t="s">
        <v>6714</v>
      </c>
      <c r="E14166">
        <v>50</v>
      </c>
      <c r="F14166" t="str">
        <f>IF(Table2[[#This Row],[Manual Cat Value]]="",Table2[[#This Row],[Suggested Cat Value]],VLOOKUP(Table2[[#This Row],[Manual Cat Value]],Lookup!G:H,2,0))</f>
        <v>Restaurants</v>
      </c>
      <c r="G14166" t="s">
        <v>26</v>
      </c>
      <c r="I14166" s="8"/>
      <c r="O14166" t="str">
        <f>LEFT(Table2[[#This Row],[Description]],75)</f>
        <v>TST* JESTER GIFT CARDS XX-1613 MN REF #XX7467TEJZ5KR5Q</v>
      </c>
    </row>
    <row r="14167" spans="1:15" hidden="1">
      <c r="A14167">
        <v>202510</v>
      </c>
      <c r="B14167" s="6">
        <v>45955</v>
      </c>
      <c r="C14167" t="s">
        <v>130</v>
      </c>
      <c r="D14167" t="s">
        <v>6715</v>
      </c>
      <c r="E14167">
        <v>49.84</v>
      </c>
      <c r="F14167" t="str">
        <f>IF(Table2[[#This Row],[Manual Cat Value]]="",Table2[[#This Row],[Suggested Cat Value]],VLOOKUP(Table2[[#This Row],[Manual Cat Value]],Lookup!G:H,2,0))</f>
        <v>Day Care</v>
      </c>
      <c r="G14167" t="s">
        <v>20</v>
      </c>
      <c r="I14167" s="8"/>
      <c r="O14167" t="str">
        <f>LEFT(Table2[[#This Row],[Description]],75)</f>
        <v>TST* NORTHERN TAPHOUPLYMOUTH            MN</v>
      </c>
    </row>
    <row r="14168" spans="1:15" hidden="1">
      <c r="A14168">
        <v>202510</v>
      </c>
      <c r="B14168" s="6">
        <v>45942</v>
      </c>
      <c r="C14168" t="s">
        <v>130</v>
      </c>
      <c r="D14168" t="s">
        <v>6716</v>
      </c>
      <c r="E14168">
        <v>49.84</v>
      </c>
      <c r="F14168" t="str">
        <f>IF(Table2[[#This Row],[Manual Cat Value]]="",Table2[[#This Row],[Suggested Cat Value]],VLOOKUP(Table2[[#This Row],[Manual Cat Value]],Lookup!G:H,2,0))</f>
        <v>Restaurants</v>
      </c>
      <c r="H14168" s="8" t="s">
        <v>25</v>
      </c>
      <c r="I14168" s="8"/>
      <c r="O14168" t="str">
        <f>LEFT(Table2[[#This Row],[Description]],75)</f>
        <v>CAFFE' MONICA DA GIOLUCCA</v>
      </c>
    </row>
    <row r="14169" spans="1:15" hidden="1">
      <c r="A14169">
        <v>202506</v>
      </c>
      <c r="B14169" s="6">
        <v>45836</v>
      </c>
      <c r="C14169" t="s">
        <v>130</v>
      </c>
      <c r="D14169" t="s">
        <v>6717</v>
      </c>
      <c r="E14169">
        <v>49.73</v>
      </c>
      <c r="F14169" t="str">
        <f>IF(Table2[[#This Row],[Manual Cat Value]]="",Table2[[#This Row],[Suggested Cat Value]],VLOOKUP(Table2[[#This Row],[Manual Cat Value]],Lookup!G:H,2,0))</f>
        <v>Restaurants</v>
      </c>
      <c r="G14169" t="s">
        <v>26</v>
      </c>
      <c r="I14169" s="8"/>
      <c r="O14169" t="str">
        <f>LEFT(Table2[[#This Row],[Description]],75)</f>
        <v>MIYABI              EXCELSIOR           MN</v>
      </c>
    </row>
    <row r="14170" spans="1:15" hidden="1">
      <c r="A14170">
        <v>202507</v>
      </c>
      <c r="B14170" s="6">
        <v>45856</v>
      </c>
      <c r="C14170" t="s">
        <v>130</v>
      </c>
      <c r="D14170" t="s">
        <v>6718</v>
      </c>
      <c r="E14170">
        <v>49.65</v>
      </c>
      <c r="F14170" t="str">
        <f>IF(Table2[[#This Row],[Manual Cat Value]]="",Table2[[#This Row],[Suggested Cat Value]],VLOOKUP(Table2[[#This Row],[Manual Cat Value]],Lookup!G:H,2,0))</f>
        <v>Restaurants</v>
      </c>
      <c r="G14170" t="s">
        <v>26</v>
      </c>
      <c r="I14170" s="8"/>
      <c r="O14170" t="str">
        <f>LEFT(Table2[[#This Row],[Description]],75)</f>
        <v>AplPay LS RAMBLE HOUCREEDE              CO</v>
      </c>
    </row>
    <row r="14171" spans="1:15" hidden="1">
      <c r="A14171">
        <v>202508</v>
      </c>
      <c r="B14171" s="6">
        <v>45897</v>
      </c>
      <c r="C14171" t="s">
        <v>130</v>
      </c>
      <c r="D14171" t="s">
        <v>6719</v>
      </c>
      <c r="E14171">
        <v>49.54</v>
      </c>
      <c r="F14171" t="str">
        <f>IF(Table2[[#This Row],[Manual Cat Value]]="",Table2[[#This Row],[Suggested Cat Value]],VLOOKUP(Table2[[#This Row],[Manual Cat Value]],Lookup!G:H,2,0))</f>
        <v>Restaurants</v>
      </c>
      <c r="G14171" t="s">
        <v>26</v>
      </c>
      <c r="I14171" s="8"/>
      <c r="O14171" t="str">
        <f>LEFT(Table2[[#This Row],[Description]],75)</f>
        <v>CROOKED PINT - MINNE612-8776900         MN</v>
      </c>
    </row>
    <row r="14172" spans="1:15" hidden="1">
      <c r="A14172">
        <v>202506</v>
      </c>
      <c r="B14172" s="6">
        <v>45822</v>
      </c>
      <c r="C14172" t="s">
        <v>130</v>
      </c>
      <c r="D14172" t="s">
        <v>6720</v>
      </c>
      <c r="E14172">
        <v>49.26</v>
      </c>
      <c r="F14172" t="str">
        <f>IF(Table2[[#This Row],[Manual Cat Value]]="",Table2[[#This Row],[Suggested Cat Value]],VLOOKUP(Table2[[#This Row],[Manual Cat Value]],Lookup!G:H,2,0))</f>
        <v>Restaurants</v>
      </c>
      <c r="G14172" t="s">
        <v>26</v>
      </c>
      <c r="I14172" s="8"/>
      <c r="O14172" t="str">
        <f>LEFT(Table2[[#This Row],[Description]],75)</f>
        <v>BALSAM LAKE BREWERY Balsam Lake         WI</v>
      </c>
    </row>
    <row r="14173" spans="1:15" hidden="1">
      <c r="A14173">
        <v>202510</v>
      </c>
      <c r="B14173" s="6">
        <v>45959</v>
      </c>
      <c r="C14173" t="s">
        <v>130</v>
      </c>
      <c r="D14173" t="s">
        <v>6035</v>
      </c>
      <c r="E14173">
        <v>49</v>
      </c>
      <c r="F14173" t="str">
        <f>IF(Table2[[#This Row],[Manual Cat Value]]="",Table2[[#This Row],[Suggested Cat Value]],VLOOKUP(Table2[[#This Row],[Manual Cat Value]],Lookup!G:H,2,0))</f>
        <v>Groceries</v>
      </c>
      <c r="G14173" t="s">
        <v>28</v>
      </c>
      <c r="I14173" s="8"/>
      <c r="O14173" t="str">
        <f>LEFT(Table2[[#This Row],[Description]],75)</f>
        <v>KOWALSKI'S EXCELSIOREXCELSIOR           MN</v>
      </c>
    </row>
    <row r="14174" spans="1:15" hidden="1">
      <c r="A14174">
        <v>202508</v>
      </c>
      <c r="B14174" s="6">
        <v>45877</v>
      </c>
      <c r="C14174" t="s">
        <v>3938</v>
      </c>
      <c r="D14174" t="s">
        <v>6721</v>
      </c>
      <c r="E14174">
        <v>48.96</v>
      </c>
      <c r="F14174" t="str">
        <f>IF(Table2[[#This Row],[Manual Cat Value]]="",Table2[[#This Row],[Suggested Cat Value]],VLOOKUP(Table2[[#This Row],[Manual Cat Value]],Lookup!G:H,2,0))</f>
        <v>Delete</v>
      </c>
      <c r="G14174" t="s">
        <v>9</v>
      </c>
      <c r="I14174" s="8"/>
      <c r="O14174" t="str">
        <f>LEFT(Table2[[#This Row],[Description]],75)</f>
        <v>BRADLEYS CORK IE REF #XX3666VJ3EXKBV8</v>
      </c>
    </row>
    <row r="14175" spans="1:15" hidden="1">
      <c r="A14175">
        <v>202508</v>
      </c>
      <c r="B14175" s="6">
        <v>45898</v>
      </c>
      <c r="C14175" t="s">
        <v>130</v>
      </c>
      <c r="D14175" t="s">
        <v>6722</v>
      </c>
      <c r="E14175">
        <v>48.9</v>
      </c>
      <c r="F14175" t="str">
        <f>IF(Table2[[#This Row],[Manual Cat Value]]="",Table2[[#This Row],[Suggested Cat Value]],VLOOKUP(Table2[[#This Row],[Manual Cat Value]],Lookup!G:H,2,0))</f>
        <v>Groceries</v>
      </c>
      <c r="G14175" t="s">
        <v>28</v>
      </c>
      <c r="I14175" s="8"/>
      <c r="O14175" t="str">
        <f>LEFT(Table2[[#This Row],[Description]],75)</f>
        <v>HOLIDAY STATIONS 041SAINT CROIX F       WI</v>
      </c>
    </row>
    <row r="14176" spans="1:15" hidden="1">
      <c r="A14176">
        <v>202506</v>
      </c>
      <c r="B14176" s="6">
        <v>45829</v>
      </c>
      <c r="C14176" t="s">
        <v>130</v>
      </c>
      <c r="D14176" t="s">
        <v>6723</v>
      </c>
      <c r="E14176">
        <v>48.04</v>
      </c>
      <c r="F14176" t="str">
        <f>IF(Table2[[#This Row],[Manual Cat Value]]="",Table2[[#This Row],[Suggested Cat Value]],VLOOKUP(Table2[[#This Row],[Manual Cat Value]],Lookup!G:H,2,0))</f>
        <v>Restaurants</v>
      </c>
      <c r="G14176" t="s">
        <v>26</v>
      </c>
      <c r="I14176" s="8"/>
      <c r="O14176" t="str">
        <f>LEFT(Table2[[#This Row],[Description]],75)</f>
        <v>BENT PADDLE BREWING Duluth              MN</v>
      </c>
    </row>
    <row r="14177" spans="1:15" hidden="1">
      <c r="A14177">
        <v>202507</v>
      </c>
      <c r="B14177" s="6">
        <v>45848</v>
      </c>
      <c r="C14177" t="s">
        <v>130</v>
      </c>
      <c r="D14177" t="s">
        <v>6724</v>
      </c>
      <c r="E14177">
        <v>47.76</v>
      </c>
      <c r="F14177" t="str">
        <f>IF(Table2[[#This Row],[Manual Cat Value]]="",Table2[[#This Row],[Suggested Cat Value]],VLOOKUP(Table2[[#This Row],[Manual Cat Value]],Lookup!G:H,2,0))</f>
        <v>Transportation</v>
      </c>
      <c r="H14177" s="8" t="s">
        <v>22</v>
      </c>
      <c r="I14177" s="8"/>
      <c r="O14177" t="str">
        <f>LEFT(Table2[[#This Row],[Description]],75)</f>
        <v>CENEX CONSUMERS COOPLUCK                WI</v>
      </c>
    </row>
    <row r="14178" spans="1:15" hidden="1">
      <c r="A14178">
        <v>202507</v>
      </c>
      <c r="B14178" s="6">
        <v>45869</v>
      </c>
      <c r="C14178" t="s">
        <v>130</v>
      </c>
      <c r="D14178" t="s">
        <v>6036</v>
      </c>
      <c r="E14178">
        <v>47.58</v>
      </c>
      <c r="F14178" t="str">
        <f>IF(Table2[[#This Row],[Manual Cat Value]]="",Table2[[#This Row],[Suggested Cat Value]],VLOOKUP(Table2[[#This Row],[Manual Cat Value]],Lookup!G:H,2,0))</f>
        <v>Transportation</v>
      </c>
      <c r="G14178" t="s">
        <v>23</v>
      </c>
      <c r="I14178" s="8"/>
      <c r="O14178" t="str">
        <f>LEFT(Table2[[#This Row],[Description]],75)</f>
        <v>KWIK TRIP           CHANHASSEN          MN</v>
      </c>
    </row>
    <row r="14179" spans="1:15" hidden="1">
      <c r="A14179">
        <v>202510</v>
      </c>
      <c r="B14179" s="6">
        <v>45936</v>
      </c>
      <c r="C14179" t="s">
        <v>130</v>
      </c>
      <c r="D14179" t="s">
        <v>5888</v>
      </c>
      <c r="E14179">
        <v>47.54</v>
      </c>
      <c r="F14179" t="str">
        <f>IF(Table2[[#This Row],[Manual Cat Value]]="",Table2[[#This Row],[Suggested Cat Value]],VLOOKUP(Table2[[#This Row],[Manual Cat Value]],Lookup!G:H,2,0))</f>
        <v>Day Care</v>
      </c>
      <c r="G14179" t="s">
        <v>20</v>
      </c>
      <c r="I14179" s="8"/>
      <c r="O14179" t="str">
        <f>LEFT(Table2[[#This Row],[Description]],75)</f>
        <v>TREERING            SAN MATEO           CA</v>
      </c>
    </row>
    <row r="14180" spans="1:15" hidden="1">
      <c r="A14180">
        <v>202509</v>
      </c>
      <c r="B14180" s="6">
        <v>45927</v>
      </c>
      <c r="C14180" t="s">
        <v>130</v>
      </c>
      <c r="D14180" t="s">
        <v>6725</v>
      </c>
      <c r="E14180">
        <v>47.3</v>
      </c>
      <c r="F14180" t="str">
        <f>IF(Table2[[#This Row],[Manual Cat Value]]="",Table2[[#This Row],[Suggested Cat Value]],VLOOKUP(Table2[[#This Row],[Manual Cat Value]],Lookup!G:H,2,0))</f>
        <v>Restaurants</v>
      </c>
      <c r="G14180" t="s">
        <v>26</v>
      </c>
      <c r="I14180" s="8"/>
      <c r="O14180" t="str">
        <f>LEFT(Table2[[#This Row],[Description]],75)</f>
        <v>AplPay TST* BONSAI KCHANHASSEN          MN</v>
      </c>
    </row>
    <row r="14181" spans="1:15" hidden="1">
      <c r="A14181">
        <v>202508</v>
      </c>
      <c r="B14181" s="6">
        <v>45884</v>
      </c>
      <c r="C14181" t="s">
        <v>130</v>
      </c>
      <c r="D14181" t="s">
        <v>6726</v>
      </c>
      <c r="E14181">
        <v>47.12</v>
      </c>
      <c r="F14181" t="str">
        <f>IF(Table2[[#This Row],[Manual Cat Value]]="",Table2[[#This Row],[Suggested Cat Value]],VLOOKUP(Table2[[#This Row],[Manual Cat Value]],Lookup!G:H,2,0))</f>
        <v>Transportation</v>
      </c>
      <c r="G14181" t="s">
        <v>23</v>
      </c>
      <c r="I14181" s="8"/>
      <c r="O14181" t="str">
        <f>LEFT(Table2[[#This Row],[Description]],75)</f>
        <v>SPEEDWAY 46586 00004STILLWATER          MN</v>
      </c>
    </row>
    <row r="14182" spans="1:15" hidden="1">
      <c r="A14182">
        <v>202506</v>
      </c>
      <c r="B14182" s="6">
        <v>45827</v>
      </c>
      <c r="C14182" t="s">
        <v>130</v>
      </c>
      <c r="D14182" t="s">
        <v>6727</v>
      </c>
      <c r="E14182">
        <v>46.89</v>
      </c>
      <c r="F14182" t="str">
        <f>IF(Table2[[#This Row],[Manual Cat Value]]="",Table2[[#This Row],[Suggested Cat Value]],VLOOKUP(Table2[[#This Row],[Manual Cat Value]],Lookup!G:H,2,0))</f>
        <v>Groceries</v>
      </c>
      <c r="G14182" t="s">
        <v>28</v>
      </c>
      <c r="I14182" s="8"/>
      <c r="O14182" t="str">
        <f>LEFT(Table2[[#This Row],[Description]],75)</f>
        <v>HOLIDAY STATIONS 030CIRCLE PINES        MN</v>
      </c>
    </row>
    <row r="14183" spans="1:15" hidden="1">
      <c r="A14183">
        <v>202507</v>
      </c>
      <c r="B14183" s="6">
        <v>45856</v>
      </c>
      <c r="C14183" t="s">
        <v>130</v>
      </c>
      <c r="D14183" t="s">
        <v>6728</v>
      </c>
      <c r="E14183">
        <v>46.76</v>
      </c>
      <c r="F14183" t="str">
        <f>IF(Table2[[#This Row],[Manual Cat Value]]="",Table2[[#This Row],[Suggested Cat Value]],VLOOKUP(Table2[[#This Row],[Manual Cat Value]],Lookup!G:H,2,0))</f>
        <v>Shopping</v>
      </c>
      <c r="G14183" t="s">
        <v>26</v>
      </c>
      <c r="H14183" s="8" t="s">
        <v>36</v>
      </c>
      <c r="I14183" s="8"/>
      <c r="O14183" t="str">
        <f>LEFT(Table2[[#This Row],[Description]],75)</f>
        <v>LS RAMBLE HOUSE LLC CREEDE              CO</v>
      </c>
    </row>
    <row r="14184" spans="1:15" hidden="1">
      <c r="A14184">
        <v>202508</v>
      </c>
      <c r="B14184" s="6">
        <v>45873</v>
      </c>
      <c r="C14184" t="s">
        <v>130</v>
      </c>
      <c r="D14184" t="s">
        <v>5827</v>
      </c>
      <c r="E14184">
        <v>46.36</v>
      </c>
      <c r="F14184" t="str">
        <f>IF(Table2[[#This Row],[Manual Cat Value]]="",Table2[[#This Row],[Suggested Cat Value]],VLOOKUP(Table2[[#This Row],[Manual Cat Value]],Lookup!G:H,2,0))</f>
        <v>Delete</v>
      </c>
      <c r="G14184" t="s">
        <v>9</v>
      </c>
      <c r="I14184" s="8"/>
      <c r="O14184" t="str">
        <f>LEFT(Table2[[#This Row],[Description]],75)</f>
        <v>THE DEAN HOTEL IE000CORK                IR</v>
      </c>
    </row>
    <row r="14185" spans="1:15" hidden="1">
      <c r="A14185">
        <v>202508</v>
      </c>
      <c r="B14185" s="6">
        <v>45896</v>
      </c>
      <c r="C14185" t="s">
        <v>130</v>
      </c>
      <c r="D14185" t="s">
        <v>6729</v>
      </c>
      <c r="E14185">
        <v>46.02</v>
      </c>
      <c r="F14185" t="str">
        <f>IF(Table2[[#This Row],[Manual Cat Value]]="",Table2[[#This Row],[Suggested Cat Value]],VLOOKUP(Table2[[#This Row],[Manual Cat Value]],Lookup!G:H,2,0))</f>
        <v>Restaurants</v>
      </c>
      <c r="H14185" s="8" t="s">
        <v>25</v>
      </c>
      <c r="I14185" s="8"/>
      <c r="O14185" t="str">
        <f>LEFT(Table2[[#This Row],[Description]],75)</f>
        <v>TST* RED COW - 1ST AMINNEAPOLIS         MN</v>
      </c>
    </row>
    <row r="14186" spans="1:15" hidden="1">
      <c r="A14186">
        <v>202508</v>
      </c>
      <c r="B14186" s="6">
        <v>45880</v>
      </c>
      <c r="C14186" t="s">
        <v>130</v>
      </c>
      <c r="D14186" t="s">
        <v>6730</v>
      </c>
      <c r="E14186">
        <v>45.66</v>
      </c>
      <c r="F14186" t="str">
        <f>IF(Table2[[#This Row],[Manual Cat Value]]="",Table2[[#This Row],[Suggested Cat Value]],VLOOKUP(Table2[[#This Row],[Manual Cat Value]],Lookup!G:H,2,0))</f>
        <v>Restaurants</v>
      </c>
      <c r="H14186" s="8" t="s">
        <v>25</v>
      </c>
      <c r="I14186" s="8"/>
      <c r="O14186" t="str">
        <f>LEFT(Table2[[#This Row],[Description]],75)</f>
        <v>WILLY MCCOYS  CHASKA612-7705444         MN</v>
      </c>
    </row>
    <row r="14187" spans="1:15" hidden="1">
      <c r="A14187">
        <v>202510</v>
      </c>
      <c r="B14187" s="6">
        <v>45946</v>
      </c>
      <c r="C14187" t="s">
        <v>130</v>
      </c>
      <c r="D14187" t="s">
        <v>6731</v>
      </c>
      <c r="E14187">
        <v>45.56</v>
      </c>
      <c r="F14187" t="str">
        <f>IF(Table2[[#This Row],[Manual Cat Value]]="",Table2[[#This Row],[Suggested Cat Value]],VLOOKUP(Table2[[#This Row],[Manual Cat Value]],Lookup!G:H,2,0))</f>
        <v>Restaurants</v>
      </c>
      <c r="H14187" s="8" t="s">
        <v>25</v>
      </c>
      <c r="I14187" s="8"/>
      <c r="O14187" t="str">
        <f>LEFT(Table2[[#This Row],[Description]],75)</f>
        <v>CIVICO 34           MONTEPULCIANO</v>
      </c>
    </row>
    <row r="14188" spans="1:15" hidden="1">
      <c r="A14188">
        <v>202506</v>
      </c>
      <c r="B14188" s="6">
        <v>45836</v>
      </c>
      <c r="C14188" t="s">
        <v>130</v>
      </c>
      <c r="D14188" t="s">
        <v>6732</v>
      </c>
      <c r="E14188">
        <v>45.52</v>
      </c>
      <c r="F14188" t="str">
        <f>IF(Table2[[#This Row],[Manual Cat Value]]="",Table2[[#This Row],[Suggested Cat Value]],VLOOKUP(Table2[[#This Row],[Manual Cat Value]],Lookup!G:H,2,0))</f>
        <v>Groceries</v>
      </c>
      <c r="H14188" s="8" t="s">
        <v>27</v>
      </c>
      <c r="I14188" s="8"/>
      <c r="O14188" t="str">
        <f>LEFT(Table2[[#This Row],[Description]],75)</f>
        <v>ARCO GREENWOOD MARKEGREENWOOD           MN</v>
      </c>
    </row>
    <row r="14189" spans="1:15" hidden="1">
      <c r="A14189">
        <v>202508</v>
      </c>
      <c r="B14189" s="6">
        <v>45892</v>
      </c>
      <c r="C14189" t="s">
        <v>130</v>
      </c>
      <c r="D14189" t="s">
        <v>6733</v>
      </c>
      <c r="E14189">
        <v>45.51</v>
      </c>
      <c r="F14189" t="str">
        <f>IF(Table2[[#This Row],[Manual Cat Value]]="",Table2[[#This Row],[Suggested Cat Value]],VLOOKUP(Table2[[#This Row],[Manual Cat Value]],Lookup!G:H,2,0))</f>
        <v>Restaurants</v>
      </c>
      <c r="G14189" t="s">
        <v>26</v>
      </c>
      <c r="I14189" s="8"/>
      <c r="O14189" t="str">
        <f>LEFT(Table2[[#This Row],[Description]],75)</f>
        <v>AplPay KFC          SHAKOPEE            MN</v>
      </c>
    </row>
    <row r="14190" spans="1:15" hidden="1">
      <c r="A14190">
        <v>202509</v>
      </c>
      <c r="B14190" s="6">
        <v>45928</v>
      </c>
      <c r="C14190" t="s">
        <v>130</v>
      </c>
      <c r="D14190" t="s">
        <v>6734</v>
      </c>
      <c r="E14190">
        <v>45.35</v>
      </c>
      <c r="F14190" t="str">
        <f>IF(Table2[[#This Row],[Manual Cat Value]]="",Table2[[#This Row],[Suggested Cat Value]],VLOOKUP(Table2[[#This Row],[Manual Cat Value]],Lookup!G:H,2,0))</f>
        <v>Restaurants</v>
      </c>
      <c r="G14190" t="s">
        <v>26</v>
      </c>
      <c r="I14190" s="8"/>
      <c r="O14190" t="str">
        <f>LEFT(Table2[[#This Row],[Description]],75)</f>
        <v>AplPay HOLIDAY STATICHANHASSEN          MN</v>
      </c>
    </row>
    <row r="14191" spans="1:15" hidden="1">
      <c r="A14191">
        <v>202509</v>
      </c>
      <c r="B14191" s="6">
        <v>45929</v>
      </c>
      <c r="C14191" t="s">
        <v>3938</v>
      </c>
      <c r="D14191" t="s">
        <v>4887</v>
      </c>
      <c r="E14191">
        <v>45.08</v>
      </c>
      <c r="F14191" t="str">
        <f>IF(Table2[[#This Row],[Manual Cat Value]]="",Table2[[#This Row],[Suggested Cat Value]],VLOOKUP(Table2[[#This Row],[Manual Cat Value]],Lookup!G:H,2,0))</f>
        <v>Groceries</v>
      </c>
      <c r="G14191" t="s">
        <v>28</v>
      </c>
      <c r="I14191" s="8"/>
      <c r="O14191" t="str">
        <f>LEFT(Table2[[#This Row],[Description]],75)</f>
        <v>Costco Gas Stations</v>
      </c>
    </row>
    <row r="14192" spans="1:15" hidden="1">
      <c r="A14192">
        <v>202508</v>
      </c>
      <c r="B14192" s="6">
        <v>45888</v>
      </c>
      <c r="C14192" t="s">
        <v>2519</v>
      </c>
      <c r="D14192" t="s">
        <v>1958</v>
      </c>
      <c r="E14192">
        <v>45</v>
      </c>
      <c r="F14192" t="str">
        <f>IF(Table2[[#This Row],[Manual Cat Value]]="",Table2[[#This Row],[Suggested Cat Value]],VLOOKUP(Table2[[#This Row],[Manual Cat Value]],Lookup!G:H,2,0))</f>
        <v>Shopping</v>
      </c>
      <c r="G14192" t="s">
        <v>21</v>
      </c>
      <c r="I14192" s="8"/>
      <c r="O14192" t="str">
        <f>LEFT(Table2[[#This Row],[Description]],75)</f>
        <v>Transfer to Venmo</v>
      </c>
    </row>
    <row r="14193" spans="1:15" hidden="1">
      <c r="A14193">
        <v>202508</v>
      </c>
      <c r="B14193" s="6">
        <v>45882</v>
      </c>
      <c r="C14193" t="s">
        <v>3938</v>
      </c>
      <c r="D14193" t="s">
        <v>1462</v>
      </c>
      <c r="E14193">
        <v>45</v>
      </c>
      <c r="F14193" t="str">
        <f>IF(Table2[[#This Row],[Manual Cat Value]]="",Table2[[#This Row],[Suggested Cat Value]],VLOOKUP(Table2[[#This Row],[Manual Cat Value]],Lookup!G:H,2,0))</f>
        <v>Utilities</v>
      </c>
      <c r="G14193" t="s">
        <v>7</v>
      </c>
      <c r="I14193" s="8"/>
      <c r="O14193" t="str">
        <f>LEFT(Table2[[#This Row],[Description]],75)</f>
        <v>Payment to CenturyLink</v>
      </c>
    </row>
    <row r="14194" spans="1:15" hidden="1">
      <c r="A14194">
        <v>202507</v>
      </c>
      <c r="B14194" s="6">
        <v>45851</v>
      </c>
      <c r="C14194" t="s">
        <v>3938</v>
      </c>
      <c r="D14194" t="s">
        <v>1462</v>
      </c>
      <c r="E14194">
        <v>45</v>
      </c>
      <c r="F14194" t="str">
        <f>IF(Table2[[#This Row],[Manual Cat Value]]="",Table2[[#This Row],[Suggested Cat Value]],VLOOKUP(Table2[[#This Row],[Manual Cat Value]],Lookup!G:H,2,0))</f>
        <v>Utilities</v>
      </c>
      <c r="G14194" t="s">
        <v>7</v>
      </c>
      <c r="I14194" s="8"/>
      <c r="O14194" t="str">
        <f>LEFT(Table2[[#This Row],[Description]],75)</f>
        <v>Payment to CenturyLink</v>
      </c>
    </row>
    <row r="14195" spans="1:15" hidden="1">
      <c r="A14195">
        <v>202506</v>
      </c>
      <c r="B14195" s="6">
        <v>45821</v>
      </c>
      <c r="C14195" t="s">
        <v>3938</v>
      </c>
      <c r="D14195" t="s">
        <v>1462</v>
      </c>
      <c r="E14195">
        <v>45</v>
      </c>
      <c r="F14195" t="str">
        <f>IF(Table2[[#This Row],[Manual Cat Value]]="",Table2[[#This Row],[Suggested Cat Value]],VLOOKUP(Table2[[#This Row],[Manual Cat Value]],Lookup!G:H,2,0))</f>
        <v>Utilities</v>
      </c>
      <c r="G14195" t="s">
        <v>7</v>
      </c>
      <c r="I14195" s="8"/>
      <c r="O14195" t="str">
        <f>LEFT(Table2[[#This Row],[Description]],75)</f>
        <v>Payment to CenturyLink</v>
      </c>
    </row>
    <row r="14196" spans="1:15" hidden="1">
      <c r="A14196">
        <v>202510</v>
      </c>
      <c r="B14196" s="6">
        <v>45947</v>
      </c>
      <c r="C14196" t="s">
        <v>130</v>
      </c>
      <c r="D14196" t="s">
        <v>6735</v>
      </c>
      <c r="E14196">
        <v>45</v>
      </c>
      <c r="F14196" t="str">
        <f>IF(Table2[[#This Row],[Manual Cat Value]]="",Table2[[#This Row],[Suggested Cat Value]],VLOOKUP(Table2[[#This Row],[Manual Cat Value]],Lookup!G:H,2,0))</f>
        <v>Restaurants</v>
      </c>
      <c r="G14196" t="s">
        <v>26</v>
      </c>
      <c r="I14196" s="8"/>
      <c r="O14196" t="str">
        <f>LEFT(Table2[[#This Row],[Description]],75)</f>
        <v>AplPay INTERRAIL, LLNEWTON              MA</v>
      </c>
    </row>
    <row r="14197" spans="1:15" hidden="1">
      <c r="A14197">
        <v>202511</v>
      </c>
      <c r="B14197" s="6">
        <v>45963</v>
      </c>
      <c r="C14197" t="s">
        <v>3938</v>
      </c>
      <c r="D14197" t="s">
        <v>4887</v>
      </c>
      <c r="E14197">
        <v>44.84</v>
      </c>
      <c r="F14197" t="str">
        <f>IF(Table2[[#This Row],[Manual Cat Value]]="",Table2[[#This Row],[Suggested Cat Value]],VLOOKUP(Table2[[#This Row],[Manual Cat Value]],Lookup!G:H,2,0))</f>
        <v>Groceries</v>
      </c>
      <c r="G14197" t="s">
        <v>28</v>
      </c>
      <c r="I14197" s="8"/>
      <c r="O14197" t="str">
        <f>LEFT(Table2[[#This Row],[Description]],75)</f>
        <v>Costco Gas Stations</v>
      </c>
    </row>
    <row r="14198" spans="1:15" hidden="1">
      <c r="A14198">
        <v>202507</v>
      </c>
      <c r="B14198" s="6">
        <v>45861</v>
      </c>
      <c r="C14198" t="s">
        <v>130</v>
      </c>
      <c r="D14198" t="s">
        <v>6736</v>
      </c>
      <c r="E14198">
        <v>44.52</v>
      </c>
      <c r="F14198" t="str">
        <f>IF(Table2[[#This Row],[Manual Cat Value]]="",Table2[[#This Row],[Suggested Cat Value]],VLOOKUP(Table2[[#This Row],[Manual Cat Value]],Lookup!G:H,2,0))</f>
        <v>Travel</v>
      </c>
      <c r="G14198" t="s">
        <v>43</v>
      </c>
      <c r="I14198" s="8"/>
      <c r="O14198" t="str">
        <f>LEFT(Table2[[#This Row],[Description]],75)</f>
        <v>BIG DOUG'S BBQ      CREEDE              CO</v>
      </c>
    </row>
    <row r="14199" spans="1:15" hidden="1">
      <c r="A14199">
        <v>202510</v>
      </c>
      <c r="B14199" s="6">
        <v>45931</v>
      </c>
      <c r="C14199" t="s">
        <v>130</v>
      </c>
      <c r="D14199" t="s">
        <v>6737</v>
      </c>
      <c r="E14199">
        <v>44.4</v>
      </c>
      <c r="F14199" t="str">
        <f>IF(Table2[[#This Row],[Manual Cat Value]]="",Table2[[#This Row],[Suggested Cat Value]],VLOOKUP(Table2[[#This Row],[Manual Cat Value]],Lookup!G:H,2,0))</f>
        <v>Groceries</v>
      </c>
      <c r="G14199" t="s">
        <v>28</v>
      </c>
      <c r="I14199" s="8"/>
      <c r="O14199" t="str">
        <f>LEFT(Table2[[#This Row],[Description]],75)</f>
        <v>MGM LIQUOR WAREHOUSESPRING PARK         MN</v>
      </c>
    </row>
    <row r="14200" spans="1:15" hidden="1">
      <c r="A14200">
        <v>202509</v>
      </c>
      <c r="B14200" s="6">
        <v>45916</v>
      </c>
      <c r="C14200" t="s">
        <v>130</v>
      </c>
      <c r="D14200" t="s">
        <v>6738</v>
      </c>
      <c r="E14200">
        <v>44.34</v>
      </c>
      <c r="F14200" t="str">
        <f>IF(Table2[[#This Row],[Manual Cat Value]]="",Table2[[#This Row],[Suggested Cat Value]],VLOOKUP(Table2[[#This Row],[Manual Cat Value]],Lookup!G:H,2,0))</f>
        <v>Groceries</v>
      </c>
      <c r="G14200" t="s">
        <v>28</v>
      </c>
      <c r="I14200" s="8"/>
      <c r="O14200" t="str">
        <f>LEFT(Table2[[#This Row],[Description]],75)</f>
        <v>WALGREENS           EXCELSIOR           MN</v>
      </c>
    </row>
    <row r="14201" spans="1:15" hidden="1">
      <c r="A14201">
        <v>202506</v>
      </c>
      <c r="B14201" s="6">
        <v>45830</v>
      </c>
      <c r="C14201" t="s">
        <v>130</v>
      </c>
      <c r="D14201" t="s">
        <v>6739</v>
      </c>
      <c r="E14201">
        <v>43.5</v>
      </c>
      <c r="F14201" t="str">
        <f>IF(Table2[[#This Row],[Manual Cat Value]]="",Table2[[#This Row],[Suggested Cat Value]],VLOOKUP(Table2[[#This Row],[Manual Cat Value]],Lookup!G:H,2,0))</f>
        <v>Transportation</v>
      </c>
      <c r="G14201" t="s">
        <v>28</v>
      </c>
      <c r="H14201" s="8" t="s">
        <v>22</v>
      </c>
      <c r="I14201" s="8"/>
      <c r="O14201" t="str">
        <f>LEFT(Table2[[#This Row],[Description]],75)</f>
        <v>HOLIDAY STATIONS 040N BRANCH            MN</v>
      </c>
    </row>
    <row r="14202" spans="1:15" hidden="1">
      <c r="A14202">
        <v>202509</v>
      </c>
      <c r="B14202" s="6">
        <v>45908</v>
      </c>
      <c r="C14202" t="s">
        <v>130</v>
      </c>
      <c r="D14202" t="s">
        <v>6350</v>
      </c>
      <c r="E14202">
        <v>43.46</v>
      </c>
      <c r="F14202" t="str">
        <f>IF(Table2[[#This Row],[Manual Cat Value]]="",Table2[[#This Row],[Suggested Cat Value]],VLOOKUP(Table2[[#This Row],[Manual Cat Value]],Lookup!G:H,2,0))</f>
        <v>House Maintenance</v>
      </c>
      <c r="G14202" t="s">
        <v>2</v>
      </c>
      <c r="I14202" s="8"/>
      <c r="O14202" t="str">
        <f>LEFT(Table2[[#This Row],[Description]],75)</f>
        <v>AplPay HOMEDEPOT.COM800-430-3376        GA</v>
      </c>
    </row>
    <row r="14203" spans="1:15" hidden="1">
      <c r="A14203">
        <v>202510</v>
      </c>
      <c r="B14203" s="6">
        <v>45937</v>
      </c>
      <c r="C14203" t="s">
        <v>130</v>
      </c>
      <c r="D14203" t="s">
        <v>6183</v>
      </c>
      <c r="E14203">
        <v>43.44</v>
      </c>
      <c r="F14203" t="str">
        <f>IF(Table2[[#This Row],[Manual Cat Value]]="",Table2[[#This Row],[Suggested Cat Value]],VLOOKUP(Table2[[#This Row],[Manual Cat Value]],Lookup!G:H,2,0))</f>
        <v>Amazon</v>
      </c>
      <c r="G14203" t="s">
        <v>38</v>
      </c>
      <c r="I14203" s="8"/>
      <c r="O14203" t="str">
        <f>LEFT(Table2[[#This Row],[Description]],75)</f>
        <v>AMAZON MARKEPLACE NA PA</v>
      </c>
    </row>
    <row r="14204" spans="1:15" hidden="1">
      <c r="A14204">
        <v>202509</v>
      </c>
      <c r="B14204" s="6">
        <v>45906</v>
      </c>
      <c r="C14204" t="s">
        <v>130</v>
      </c>
      <c r="D14204" t="s">
        <v>5885</v>
      </c>
      <c r="E14204">
        <v>43.42</v>
      </c>
      <c r="F14204" t="str">
        <f>IF(Table2[[#This Row],[Manual Cat Value]]="",Table2[[#This Row],[Suggested Cat Value]],VLOOKUP(Table2[[#This Row],[Manual Cat Value]],Lookup!G:H,2,0))</f>
        <v>Restaurants</v>
      </c>
      <c r="G14204" t="s">
        <v>26</v>
      </c>
      <c r="I14204" s="8"/>
      <c r="O14204" t="str">
        <f>LEFT(Table2[[#This Row],[Description]],75)</f>
        <v>AplPay WWW.K-PHOTOGRWAYZATA             MN</v>
      </c>
    </row>
    <row r="14205" spans="1:15" hidden="1">
      <c r="A14205">
        <v>202506</v>
      </c>
      <c r="B14205" s="6">
        <v>45837</v>
      </c>
      <c r="C14205" t="s">
        <v>130</v>
      </c>
      <c r="D14205" t="s">
        <v>6740</v>
      </c>
      <c r="E14205">
        <v>43.41</v>
      </c>
      <c r="F14205" t="str">
        <f>IF(Table2[[#This Row],[Manual Cat Value]]="",Table2[[#This Row],[Suggested Cat Value]],VLOOKUP(Table2[[#This Row],[Manual Cat Value]],Lookup!G:H,2,0))</f>
        <v>Transportation</v>
      </c>
      <c r="G14205" t="s">
        <v>21</v>
      </c>
      <c r="H14205" s="8" t="s">
        <v>22</v>
      </c>
      <c r="I14205" s="8"/>
      <c r="O14205" t="str">
        <f>LEFT(Table2[[#This Row],[Description]],75)</f>
        <v>CREW CARWASH 73     EDEN PRAIRIE        MN</v>
      </c>
    </row>
    <row r="14206" spans="1:15" hidden="1">
      <c r="A14206">
        <v>202506</v>
      </c>
      <c r="B14206" s="6">
        <v>45835</v>
      </c>
      <c r="C14206" t="s">
        <v>130</v>
      </c>
      <c r="D14206" t="s">
        <v>6741</v>
      </c>
      <c r="E14206">
        <v>43.1</v>
      </c>
      <c r="F14206" t="str">
        <f>IF(Table2[[#This Row],[Manual Cat Value]]="",Table2[[#This Row],[Suggested Cat Value]],VLOOKUP(Table2[[#This Row],[Manual Cat Value]],Lookup!G:H,2,0))</f>
        <v>Shopping</v>
      </c>
      <c r="H14206" s="8" t="s">
        <v>36</v>
      </c>
      <c r="I14206" s="8"/>
      <c r="O14206" t="str">
        <f>LEFT(Table2[[#This Row],[Description]],75)</f>
        <v>EMAGINE WILLOW CREEKPLYMOUTH            MN</v>
      </c>
    </row>
    <row r="14207" spans="1:15" hidden="1">
      <c r="A14207">
        <v>202510</v>
      </c>
      <c r="B14207" s="6">
        <v>45943</v>
      </c>
      <c r="C14207" t="s">
        <v>130</v>
      </c>
      <c r="D14207" t="s">
        <v>6742</v>
      </c>
      <c r="E14207">
        <v>42.98</v>
      </c>
      <c r="F14207" t="str">
        <f>IF(Table2[[#This Row],[Manual Cat Value]]="",Table2[[#This Row],[Suggested Cat Value]],VLOOKUP(Table2[[#This Row],[Manual Cat Value]],Lookup!G:H,2,0))</f>
        <v>Restaurants</v>
      </c>
      <c r="H14207" s="8" t="s">
        <v>25</v>
      </c>
      <c r="I14207" s="8"/>
      <c r="O14207" t="str">
        <f>LEFT(Table2[[#This Row],[Description]],75)</f>
        <v>ENOTECA LOMBARDI    FIRENZE</v>
      </c>
    </row>
    <row r="14208" spans="1:15" hidden="1">
      <c r="A14208">
        <v>202511</v>
      </c>
      <c r="B14208" s="6">
        <v>45966</v>
      </c>
      <c r="C14208" t="s">
        <v>130</v>
      </c>
      <c r="D14208" t="s">
        <v>5996</v>
      </c>
      <c r="E14208">
        <v>42.66</v>
      </c>
      <c r="F14208" t="str">
        <f>IF(Table2[[#This Row],[Manual Cat Value]]="",Table2[[#This Row],[Suggested Cat Value]],VLOOKUP(Table2[[#This Row],[Manual Cat Value]],Lookup!G:H,2,0))</f>
        <v>Dry Cleaning</v>
      </c>
      <c r="G14208" t="s">
        <v>41</v>
      </c>
      <c r="I14208" s="8"/>
      <c r="O14208" t="str">
        <f>LEFT(Table2[[#This Row],[Description]],75)</f>
        <v>TIDE DRY CLEANERS EXEXCELSIOR           MN</v>
      </c>
    </row>
    <row r="14209" spans="1:15" hidden="1">
      <c r="A14209">
        <v>202507</v>
      </c>
      <c r="B14209" s="6">
        <v>45853</v>
      </c>
      <c r="C14209" t="s">
        <v>3938</v>
      </c>
      <c r="D14209" t="s">
        <v>4887</v>
      </c>
      <c r="E14209">
        <v>42.56</v>
      </c>
      <c r="F14209" t="str">
        <f>IF(Table2[[#This Row],[Manual Cat Value]]="",Table2[[#This Row],[Suggested Cat Value]],VLOOKUP(Table2[[#This Row],[Manual Cat Value]],Lookup!G:H,2,0))</f>
        <v>Groceries</v>
      </c>
      <c r="G14209" t="s">
        <v>28</v>
      </c>
      <c r="I14209" s="8"/>
      <c r="O14209" t="str">
        <f>LEFT(Table2[[#This Row],[Description]],75)</f>
        <v>Costco Gas Stations</v>
      </c>
    </row>
    <row r="14210" spans="1:15" hidden="1">
      <c r="A14210">
        <v>202511</v>
      </c>
      <c r="B14210" s="6">
        <v>45964</v>
      </c>
      <c r="C14210" t="s">
        <v>130</v>
      </c>
      <c r="D14210" t="s">
        <v>6183</v>
      </c>
      <c r="E14210">
        <v>42.45</v>
      </c>
      <c r="F14210" t="str">
        <f>IF(Table2[[#This Row],[Manual Cat Value]]="",Table2[[#This Row],[Suggested Cat Value]],VLOOKUP(Table2[[#This Row],[Manual Cat Value]],Lookup!G:H,2,0))</f>
        <v>Amazon</v>
      </c>
      <c r="G14210" t="s">
        <v>38</v>
      </c>
      <c r="I14210" s="8"/>
      <c r="O14210" t="str">
        <f>LEFT(Table2[[#This Row],[Description]],75)</f>
        <v>AMAZON MARKEPLACE NA PA</v>
      </c>
    </row>
    <row r="14211" spans="1:15" hidden="1">
      <c r="A14211">
        <v>202507</v>
      </c>
      <c r="B14211" s="6">
        <v>45839</v>
      </c>
      <c r="C14211" t="s">
        <v>130</v>
      </c>
      <c r="D14211" t="s">
        <v>6704</v>
      </c>
      <c r="E14211">
        <v>42.31</v>
      </c>
      <c r="F14211" t="str">
        <f>IF(Table2[[#This Row],[Manual Cat Value]]="",Table2[[#This Row],[Suggested Cat Value]],VLOOKUP(Table2[[#This Row],[Manual Cat Value]],Lookup!G:H,2,0))</f>
        <v>Restaurants</v>
      </c>
      <c r="G14211" t="s">
        <v>26</v>
      </c>
      <c r="I14211" s="8"/>
      <c r="O14211" t="str">
        <f>LEFT(Table2[[#This Row],[Description]],75)</f>
        <v>SHOREWOOD ACE 0000  EXCELSIOR           MN</v>
      </c>
    </row>
    <row r="14212" spans="1:15" hidden="1">
      <c r="A14212">
        <v>202506</v>
      </c>
      <c r="B14212" s="6">
        <v>45828</v>
      </c>
      <c r="C14212" t="s">
        <v>130</v>
      </c>
      <c r="D14212" t="s">
        <v>6743</v>
      </c>
      <c r="E14212">
        <v>42</v>
      </c>
      <c r="F14212" t="str">
        <f>IF(Table2[[#This Row],[Manual Cat Value]]="",Table2[[#This Row],[Suggested Cat Value]],VLOOKUP(Table2[[#This Row],[Manual Cat Value]],Lookup!G:H,2,0))</f>
        <v>Restaurants</v>
      </c>
      <c r="G14212" t="s">
        <v>26</v>
      </c>
      <c r="I14212" s="8"/>
      <c r="O14212" t="str">
        <f>LEFT(Table2[[#This Row],[Description]],75)</f>
        <v>FH* NORTH SHORE SCENDULUTH              MN</v>
      </c>
    </row>
    <row r="14213" spans="1:15" hidden="1">
      <c r="A14213">
        <v>202510</v>
      </c>
      <c r="B14213" s="6">
        <v>45954</v>
      </c>
      <c r="C14213" t="s">
        <v>2519</v>
      </c>
      <c r="D14213" t="s">
        <v>6744</v>
      </c>
      <c r="E14213">
        <v>41.89</v>
      </c>
      <c r="F14213" t="str">
        <f>IF(Table2[[#This Row],[Manual Cat Value]]="",Table2[[#This Row],[Suggested Cat Value]],VLOOKUP(Table2[[#This Row],[Manual Cat Value]],Lookup!G:H,2,0))</f>
        <v>Delete</v>
      </c>
      <c r="G14213" t="s">
        <v>9</v>
      </c>
      <c r="I14213" s="8"/>
      <c r="O14213" t="str">
        <f>LEFT(Table2[[#This Row],[Description]],75)</f>
        <v>Transfer to Uber</v>
      </c>
    </row>
    <row r="14214" spans="1:15" hidden="1">
      <c r="A14214">
        <v>202508</v>
      </c>
      <c r="B14214" s="6">
        <v>45872</v>
      </c>
      <c r="C14214" t="s">
        <v>130</v>
      </c>
      <c r="D14214" t="s">
        <v>5788</v>
      </c>
      <c r="E14214">
        <v>41.61</v>
      </c>
      <c r="F14214" t="str">
        <f>IF(Table2[[#This Row],[Manual Cat Value]]="",Table2[[#This Row],[Suggested Cat Value]],VLOOKUP(Table2[[#This Row],[Manual Cat Value]],Lookup!G:H,2,0))</f>
        <v>Delete</v>
      </c>
      <c r="G14214" t="s">
        <v>9</v>
      </c>
      <c r="I14214" s="8"/>
      <c r="O14214" t="str">
        <f>LEFT(Table2[[#This Row],[Description]],75)</f>
        <v>CUB FOODS #1636 0000SHOREWOOD           MN</v>
      </c>
    </row>
    <row r="14215" spans="1:15" hidden="1">
      <c r="A14215">
        <v>202507</v>
      </c>
      <c r="B14215" s="6">
        <v>45868</v>
      </c>
      <c r="C14215" t="s">
        <v>130</v>
      </c>
      <c r="D14215" t="s">
        <v>5742</v>
      </c>
      <c r="E14215">
        <v>41.32</v>
      </c>
      <c r="F14215" t="str">
        <f>IF(Table2[[#This Row],[Manual Cat Value]]="",Table2[[#This Row],[Suggested Cat Value]],VLOOKUP(Table2[[#This Row],[Manual Cat Value]],Lookup!G:H,2,0))</f>
        <v>Restaurants</v>
      </c>
      <c r="G14215" t="s">
        <v>26</v>
      </c>
      <c r="I14215" s="8"/>
      <c r="O14215" t="str">
        <f>LEFT(Table2[[#This Row],[Description]],75)</f>
        <v>TST* MAYNARDS INSIDEEXCELSIOR           MN</v>
      </c>
    </row>
    <row r="14216" spans="1:15" hidden="1">
      <c r="A14216">
        <v>202510</v>
      </c>
      <c r="B14216" s="6">
        <v>45944</v>
      </c>
      <c r="C14216" t="s">
        <v>3938</v>
      </c>
      <c r="D14216" t="s">
        <v>6745</v>
      </c>
      <c r="E14216">
        <v>40.71</v>
      </c>
      <c r="F14216" t="str">
        <f>IF(Table2[[#This Row],[Manual Cat Value]]="",Table2[[#This Row],[Suggested Cat Value]],VLOOKUP(Table2[[#This Row],[Manual Cat Value]],Lookup!G:H,2,0))</f>
        <v>Restaurants</v>
      </c>
      <c r="H14216" s="8" t="s">
        <v>25</v>
      </c>
      <c r="I14216" s="8"/>
      <c r="O14216" t="str">
        <f>LEFT(Table2[[#This Row],[Description]],75)</f>
        <v>AL AMIN FIRENZE IT REF #XX1638YE3BL37KF</v>
      </c>
    </row>
    <row r="14217" spans="1:15" hidden="1">
      <c r="A14217">
        <v>202510</v>
      </c>
      <c r="B14217" s="6">
        <v>45942</v>
      </c>
      <c r="C14217" t="s">
        <v>3938</v>
      </c>
      <c r="D14217" t="s">
        <v>6746</v>
      </c>
      <c r="E14217">
        <v>40.71</v>
      </c>
      <c r="F14217" t="str">
        <f>IF(Table2[[#This Row],[Manual Cat Value]]="",Table2[[#This Row],[Suggested Cat Value]],VLOOKUP(Table2[[#This Row],[Manual Cat Value]],Lookup!G:H,2,0))</f>
        <v>Restaurants</v>
      </c>
      <c r="H14217" s="8" t="s">
        <v>25</v>
      </c>
      <c r="I14217" s="8"/>
      <c r="O14217" t="str">
        <f>LEFT(Table2[[#This Row],[Description]],75)</f>
        <v>CONSORZIO MARITTIMO TURISMONTEROSSO ALIT REF #XX5778X4GBBMHV5</v>
      </c>
    </row>
    <row r="14218" spans="1:15" hidden="1">
      <c r="A14218">
        <v>202509</v>
      </c>
      <c r="B14218" s="6">
        <v>45906</v>
      </c>
      <c r="C14218" t="s">
        <v>130</v>
      </c>
      <c r="D14218" t="s">
        <v>6340</v>
      </c>
      <c r="E14218">
        <v>40.380000000000003</v>
      </c>
      <c r="F14218" t="str">
        <f>IF(Table2[[#This Row],[Manual Cat Value]]="",Table2[[#This Row],[Suggested Cat Value]],VLOOKUP(Table2[[#This Row],[Manual Cat Value]],Lookup!G:H,2,0))</f>
        <v>Entertainment</v>
      </c>
      <c r="G14218" t="s">
        <v>40</v>
      </c>
      <c r="I14218" s="8"/>
      <c r="O14218" t="str">
        <f>LEFT(Table2[[#This Row],[Description]],75)</f>
        <v>GOLF ZONE 5455000013877-8144102         MN</v>
      </c>
    </row>
    <row r="14219" spans="1:15" hidden="1">
      <c r="A14219">
        <v>202506</v>
      </c>
      <c r="B14219" s="6">
        <v>45830</v>
      </c>
      <c r="C14219" t="s">
        <v>130</v>
      </c>
      <c r="D14219" t="s">
        <v>6747</v>
      </c>
      <c r="E14219">
        <v>40.22</v>
      </c>
      <c r="F14219" t="str">
        <f>IF(Table2[[#This Row],[Manual Cat Value]]="",Table2[[#This Row],[Suggested Cat Value]],VLOOKUP(Table2[[#This Row],[Manual Cat Value]],Lookup!G:H,2,0))</f>
        <v>Restaurants</v>
      </c>
      <c r="G14219" t="s">
        <v>26</v>
      </c>
      <c r="I14219" s="8"/>
      <c r="O14219" t="str">
        <f>LEFT(Table2[[#This Row],[Description]],75)</f>
        <v>AplPay DULUTH PACK 5DULUTH              MN</v>
      </c>
    </row>
    <row r="14220" spans="1:15" hidden="1">
      <c r="A14220">
        <v>202510</v>
      </c>
      <c r="B14220" s="6">
        <v>45951</v>
      </c>
      <c r="C14220" t="s">
        <v>3938</v>
      </c>
      <c r="D14220" t="s">
        <v>6748</v>
      </c>
      <c r="E14220">
        <v>40.020000000000003</v>
      </c>
      <c r="F14220" t="str">
        <f>IF(Table2[[#This Row],[Manual Cat Value]]="",Table2[[#This Row],[Suggested Cat Value]],VLOOKUP(Table2[[#This Row],[Manual Cat Value]],Lookup!G:H,2,0))</f>
        <v>Delete</v>
      </c>
      <c r="G14220" t="s">
        <v>9</v>
      </c>
      <c r="I14220" s="8"/>
      <c r="O14220" t="str">
        <f>LEFT(Table2[[#This Row],[Description]],75)</f>
        <v>TRG HOLDINGS LIMITED LONDON GB REF #XX9600EDMJKW</v>
      </c>
    </row>
    <row r="14221" spans="1:15" hidden="1">
      <c r="A14221">
        <v>202507</v>
      </c>
      <c r="B14221" s="6">
        <v>45854</v>
      </c>
      <c r="C14221" t="s">
        <v>130</v>
      </c>
      <c r="D14221" t="s">
        <v>6057</v>
      </c>
      <c r="E14221">
        <v>39.869999999999997</v>
      </c>
      <c r="F14221" t="str">
        <f>IF(Table2[[#This Row],[Manual Cat Value]]="",Table2[[#This Row],[Suggested Cat Value]],VLOOKUP(Table2[[#This Row],[Manual Cat Value]],Lookup!G:H,2,0))</f>
        <v>Groceries</v>
      </c>
      <c r="G14221" t="s">
        <v>28</v>
      </c>
      <c r="I14221" s="8"/>
      <c r="O14221" t="str">
        <f>LEFT(Table2[[#This Row],[Description]],75)</f>
        <v>SHOREWOOD LIQUOR 931EXCELSIOR           MN</v>
      </c>
    </row>
    <row r="14222" spans="1:15" hidden="1">
      <c r="A14222">
        <v>202510</v>
      </c>
      <c r="B14222" s="6">
        <v>45947</v>
      </c>
      <c r="C14222" t="s">
        <v>3938</v>
      </c>
      <c r="D14222" t="s">
        <v>6749</v>
      </c>
      <c r="E14222">
        <v>39.61</v>
      </c>
      <c r="F14222" t="str">
        <f>IF(Table2[[#This Row],[Manual Cat Value]]="",Table2[[#This Row],[Suggested Cat Value]],VLOOKUP(Table2[[#This Row],[Manual Cat Value]],Lookup!G:H,2,0))</f>
        <v>Restaurants</v>
      </c>
      <c r="H14222" s="8" t="s">
        <v>25</v>
      </c>
      <c r="I14222" s="8"/>
      <c r="O14222" t="str">
        <f>LEFT(Table2[[#This Row],[Description]],75)</f>
        <v>ENOLITECA DEL CONSORZIO DMONTEPULCIANOIT REF #XX7792D7R1ZVE2</v>
      </c>
    </row>
    <row r="14223" spans="1:15" hidden="1">
      <c r="A14223">
        <v>202506</v>
      </c>
      <c r="B14223" s="6">
        <v>45810</v>
      </c>
      <c r="C14223" t="s">
        <v>3938</v>
      </c>
      <c r="D14223" t="s">
        <v>4887</v>
      </c>
      <c r="E14223">
        <v>39.4</v>
      </c>
      <c r="F14223" t="str">
        <f>IF(Table2[[#This Row],[Manual Cat Value]]="",Table2[[#This Row],[Suggested Cat Value]],VLOOKUP(Table2[[#This Row],[Manual Cat Value]],Lookup!G:H,2,0))</f>
        <v>Groceries</v>
      </c>
      <c r="G14223" t="s">
        <v>28</v>
      </c>
      <c r="I14223" s="8"/>
      <c r="O14223" t="str">
        <f>LEFT(Table2[[#This Row],[Description]],75)</f>
        <v>Costco Gas Stations</v>
      </c>
    </row>
    <row r="14224" spans="1:15" hidden="1">
      <c r="A14224">
        <v>202506</v>
      </c>
      <c r="B14224" s="6">
        <v>45835</v>
      </c>
      <c r="C14224" t="s">
        <v>130</v>
      </c>
      <c r="D14224" t="s">
        <v>6750</v>
      </c>
      <c r="E14224">
        <v>39.22</v>
      </c>
      <c r="F14224" t="str">
        <f>IF(Table2[[#This Row],[Manual Cat Value]]="",Table2[[#This Row],[Suggested Cat Value]],VLOOKUP(Table2[[#This Row],[Manual Cat Value]],Lookup!G:H,2,0))</f>
        <v>Travel</v>
      </c>
      <c r="G14224" t="s">
        <v>43</v>
      </c>
      <c r="I14224" s="8"/>
      <c r="O14224" t="str">
        <f>LEFT(Table2[[#This Row],[Description]],75)</f>
        <v>EAST COAST FOOD MANAEdina               MN</v>
      </c>
    </row>
    <row r="14225" spans="1:15" hidden="1">
      <c r="A14225">
        <v>202506</v>
      </c>
      <c r="B14225" s="6">
        <v>45833</v>
      </c>
      <c r="C14225" t="s">
        <v>2519</v>
      </c>
      <c r="D14225" t="s">
        <v>1955</v>
      </c>
      <c r="E14225">
        <v>39</v>
      </c>
      <c r="F14225" t="str">
        <f>IF(Table2[[#This Row],[Manual Cat Value]]="",Table2[[#This Row],[Suggested Cat Value]],VLOOKUP(Table2[[#This Row],[Manual Cat Value]],Lookup!G:H,2,0))</f>
        <v>Shopping</v>
      </c>
      <c r="G14225" t="s">
        <v>21</v>
      </c>
      <c r="I14225" s="8"/>
      <c r="O14225" t="str">
        <f>LEFT(Table2[[#This Row],[Description]],75)</f>
        <v>Transfer to PayPal</v>
      </c>
    </row>
    <row r="14226" spans="1:15" hidden="1">
      <c r="A14226">
        <v>202508</v>
      </c>
      <c r="B14226" s="6">
        <v>45877</v>
      </c>
      <c r="C14226" t="s">
        <v>3938</v>
      </c>
      <c r="D14226" t="s">
        <v>6751</v>
      </c>
      <c r="E14226">
        <v>38.770000000000003</v>
      </c>
      <c r="F14226" t="str">
        <f>IF(Table2[[#This Row],[Manual Cat Value]]="",Table2[[#This Row],[Suggested Cat Value]],VLOOKUP(Table2[[#This Row],[Manual Cat Value]],Lookup!G:H,2,0))</f>
        <v>Delete</v>
      </c>
      <c r="G14226" t="s">
        <v>9</v>
      </c>
      <c r="I14226" s="8"/>
      <c r="O14226" t="str">
        <f>LEFT(Table2[[#This Row],[Description]],75)</f>
        <v>Cork</v>
      </c>
    </row>
    <row r="14227" spans="1:15" hidden="1">
      <c r="A14227">
        <v>202506</v>
      </c>
      <c r="B14227" s="6">
        <v>45810</v>
      </c>
      <c r="C14227" t="s">
        <v>2519</v>
      </c>
      <c r="D14227" t="s">
        <v>1955</v>
      </c>
      <c r="E14227">
        <v>38.67</v>
      </c>
      <c r="F14227" t="str">
        <f>IF(Table2[[#This Row],[Manual Cat Value]]="",Table2[[#This Row],[Suggested Cat Value]],VLOOKUP(Table2[[#This Row],[Manual Cat Value]],Lookup!G:H,2,0))</f>
        <v>Shopping</v>
      </c>
      <c r="G14227" t="s">
        <v>21</v>
      </c>
      <c r="I14227" s="8"/>
      <c r="O14227" t="str">
        <f>LEFT(Table2[[#This Row],[Description]],75)</f>
        <v>Transfer to PayPal</v>
      </c>
    </row>
    <row r="14228" spans="1:15" hidden="1">
      <c r="A14228">
        <v>202508</v>
      </c>
      <c r="B14228" s="6">
        <v>45893</v>
      </c>
      <c r="C14228" t="s">
        <v>130</v>
      </c>
      <c r="D14228" t="s">
        <v>6752</v>
      </c>
      <c r="E14228">
        <v>38.49</v>
      </c>
      <c r="F14228" t="str">
        <f>IF(Table2[[#This Row],[Manual Cat Value]]="",Table2[[#This Row],[Suggested Cat Value]],VLOOKUP(Table2[[#This Row],[Manual Cat Value]],Lookup!G:H,2,0))</f>
        <v>Restaurants</v>
      </c>
      <c r="G14228" t="s">
        <v>26</v>
      </c>
      <c r="I14228" s="8"/>
      <c r="O14228" t="str">
        <f>LEFT(Table2[[#This Row],[Description]],75)</f>
        <v>AplPay NOODLES AND CBROOMFIELD          CO</v>
      </c>
    </row>
    <row r="14229" spans="1:15" hidden="1">
      <c r="A14229">
        <v>202510</v>
      </c>
      <c r="B14229" s="6">
        <v>45954</v>
      </c>
      <c r="C14229" t="s">
        <v>3938</v>
      </c>
      <c r="D14229" t="s">
        <v>6753</v>
      </c>
      <c r="E14229">
        <v>38.35</v>
      </c>
      <c r="F14229" t="str">
        <f>IF(Table2[[#This Row],[Manual Cat Value]]="",Table2[[#This Row],[Suggested Cat Value]],VLOOKUP(Table2[[#This Row],[Manual Cat Value]],Lookup!G:H,2,0))</f>
        <v>Delete</v>
      </c>
      <c r="G14229" t="s">
        <v>9</v>
      </c>
      <c r="I14229" s="8"/>
      <c r="O14229" t="str">
        <f>LEFT(Table2[[#This Row],[Description]],75)</f>
        <v>IRISH RAIL 7XX642-VW INTERNET IE REF #XX6999SRSAXB5X</v>
      </c>
    </row>
    <row r="14230" spans="1:15" hidden="1">
      <c r="A14230">
        <v>202509</v>
      </c>
      <c r="B14230" s="6">
        <v>45929</v>
      </c>
      <c r="C14230" t="s">
        <v>130</v>
      </c>
      <c r="D14230" t="s">
        <v>6219</v>
      </c>
      <c r="E14230">
        <v>38.33</v>
      </c>
      <c r="F14230" t="str">
        <f>IF(Table2[[#This Row],[Manual Cat Value]]="",Table2[[#This Row],[Suggested Cat Value]],VLOOKUP(Table2[[#This Row],[Manual Cat Value]],Lookup!G:H,2,0))</f>
        <v>House Maintenance</v>
      </c>
      <c r="G14230" t="s">
        <v>2</v>
      </c>
      <c r="I14230" s="8"/>
      <c r="O14230" t="str">
        <f>LEFT(Table2[[#This Row],[Description]],75)</f>
        <v>THE HOME DEPOT      CHASKA              MN</v>
      </c>
    </row>
    <row r="14231" spans="1:15" hidden="1">
      <c r="A14231">
        <v>202506</v>
      </c>
      <c r="B14231" s="6">
        <v>45828</v>
      </c>
      <c r="C14231" t="s">
        <v>130</v>
      </c>
      <c r="D14231" t="s">
        <v>6754</v>
      </c>
      <c r="E14231">
        <v>38.11</v>
      </c>
      <c r="F14231" t="str">
        <f>IF(Table2[[#This Row],[Manual Cat Value]]="",Table2[[#This Row],[Suggested Cat Value]],VLOOKUP(Table2[[#This Row],[Manual Cat Value]],Lookup!G:H,2,0))</f>
        <v>Restaurants</v>
      </c>
      <c r="H14231" s="8" t="s">
        <v>25</v>
      </c>
      <c r="I14231" s="8"/>
      <c r="O14231" t="str">
        <f>LEFT(Table2[[#This Row],[Description]],75)</f>
        <v>SWEET ENDURANCE SPORDuluth              MN</v>
      </c>
    </row>
    <row r="14232" spans="1:15" hidden="1">
      <c r="A14232">
        <v>202507</v>
      </c>
      <c r="B14232" s="6">
        <v>45850</v>
      </c>
      <c r="C14232" t="s">
        <v>130</v>
      </c>
      <c r="D14232" t="s">
        <v>6755</v>
      </c>
      <c r="E14232">
        <v>37.9</v>
      </c>
      <c r="F14232" t="str">
        <f>IF(Table2[[#This Row],[Manual Cat Value]]="",Table2[[#This Row],[Suggested Cat Value]],VLOOKUP(Table2[[#This Row],[Manual Cat Value]],Lookup!G:H,2,0))</f>
        <v>Restaurants</v>
      </c>
      <c r="G14232" t="s">
        <v>26</v>
      </c>
      <c r="I14232" s="8"/>
      <c r="O14232" t="str">
        <f>LEFT(Table2[[#This Row],[Description]],75)</f>
        <v>TAVERN 4 &amp; 5 5455000877-8144102         MN</v>
      </c>
    </row>
    <row r="14233" spans="1:15" hidden="1">
      <c r="A14233">
        <v>202510</v>
      </c>
      <c r="B14233" s="6">
        <v>45943</v>
      </c>
      <c r="C14233" t="s">
        <v>130</v>
      </c>
      <c r="D14233" t="s">
        <v>6756</v>
      </c>
      <c r="E14233">
        <v>37.700000000000003</v>
      </c>
      <c r="F14233" t="str">
        <f>IF(Table2[[#This Row],[Manual Cat Value]]="",Table2[[#This Row],[Suggested Cat Value]],VLOOKUP(Table2[[#This Row],[Manual Cat Value]],Lookup!G:H,2,0))</f>
        <v>Groceries</v>
      </c>
      <c r="H14233" s="8" t="s">
        <v>27</v>
      </c>
      <c r="I14233" s="8"/>
      <c r="O14233" t="str">
        <f>LEFT(Table2[[#This Row],[Description]],75)</f>
        <v>MERCATO CENTRALE FIRFIRENZE</v>
      </c>
    </row>
    <row r="14234" spans="1:15" hidden="1">
      <c r="A14234">
        <v>202507</v>
      </c>
      <c r="B14234" s="6">
        <v>45852</v>
      </c>
      <c r="C14234" t="s">
        <v>130</v>
      </c>
      <c r="D14234" t="s">
        <v>6757</v>
      </c>
      <c r="E14234">
        <v>37.590000000000003</v>
      </c>
      <c r="F14234" t="str">
        <f>IF(Table2[[#This Row],[Manual Cat Value]]="",Table2[[#This Row],[Suggested Cat Value]],VLOOKUP(Table2[[#This Row],[Manual Cat Value]],Lookup!G:H,2,0))</f>
        <v>Restaurants</v>
      </c>
      <c r="G14234" t="s">
        <v>26</v>
      </c>
      <c r="I14234" s="8"/>
      <c r="O14234" t="str">
        <f>LEFT(Table2[[#This Row],[Description]],75)</f>
        <v>AplPay SHOREWOOD LIQEXCELSIOR           MN</v>
      </c>
    </row>
    <row r="14235" spans="1:15" hidden="1">
      <c r="A14235">
        <v>202511</v>
      </c>
      <c r="B14235" s="6">
        <v>45965</v>
      </c>
      <c r="C14235" t="s">
        <v>130</v>
      </c>
      <c r="D14235" t="s">
        <v>6758</v>
      </c>
      <c r="E14235">
        <v>37.549999999999997</v>
      </c>
      <c r="F14235" t="str">
        <f>IF(Table2[[#This Row],[Manual Cat Value]]="",Table2[[#This Row],[Suggested Cat Value]],VLOOKUP(Table2[[#This Row],[Manual Cat Value]],Lookup!G:H,2,0))</f>
        <v>Entertainment</v>
      </c>
      <c r="G14235" t="s">
        <v>40</v>
      </c>
      <c r="I14235" s="8"/>
      <c r="O14235" t="str">
        <f>LEFT(Table2[[#This Row],[Description]],75)</f>
        <v>FP-Minnesota H&amp;F    Dallas              TX</v>
      </c>
    </row>
    <row r="14236" spans="1:15" hidden="1">
      <c r="A14236">
        <v>202507</v>
      </c>
      <c r="B14236" s="6">
        <v>45848</v>
      </c>
      <c r="C14236" t="s">
        <v>3938</v>
      </c>
      <c r="D14236" t="s">
        <v>6759</v>
      </c>
      <c r="E14236">
        <v>37.5</v>
      </c>
      <c r="F14236" t="str">
        <f>IF(Table2[[#This Row],[Manual Cat Value]]="",Table2[[#This Row],[Suggested Cat Value]],VLOOKUP(Table2[[#This Row],[Manual Cat Value]],Lookup!G:H,2,0))</f>
        <v>Shopping</v>
      </c>
      <c r="G14236" t="s">
        <v>21</v>
      </c>
      <c r="I14236" s="8"/>
      <c r="O14236" t="str">
        <f>LEFT(Table2[[#This Row],[Description]],75)</f>
        <v>SQ *COLETTE WALDOWSKI Balsam Lake WI REF #XX2165Y3549T5Y9</v>
      </c>
    </row>
    <row r="14237" spans="1:15" hidden="1">
      <c r="A14237">
        <v>202507</v>
      </c>
      <c r="B14237" s="6">
        <v>45857</v>
      </c>
      <c r="C14237" t="s">
        <v>130</v>
      </c>
      <c r="D14237" t="s">
        <v>6760</v>
      </c>
      <c r="E14237">
        <v>36.79</v>
      </c>
      <c r="F14237" t="str">
        <f>IF(Table2[[#This Row],[Manual Cat Value]]="",Table2[[#This Row],[Suggested Cat Value]],VLOOKUP(Table2[[#This Row],[Manual Cat Value]],Lookup!G:H,2,0))</f>
        <v>Transportation</v>
      </c>
      <c r="H14237" s="8" t="s">
        <v>22</v>
      </c>
      <c r="I14237" s="8"/>
      <c r="O14237" t="str">
        <f>LEFT(Table2[[#This Row],[Description]],75)</f>
        <v>DOWNSTREAM GAS &amp; MERCREEDE              CO</v>
      </c>
    </row>
    <row r="14238" spans="1:15" hidden="1">
      <c r="A14238">
        <v>202508</v>
      </c>
      <c r="B14238" s="6">
        <v>45879</v>
      </c>
      <c r="C14238" t="s">
        <v>3938</v>
      </c>
      <c r="D14238" t="s">
        <v>4922</v>
      </c>
      <c r="E14238">
        <v>36.74</v>
      </c>
      <c r="F14238" t="str">
        <f>IF(Table2[[#This Row],[Manual Cat Value]]="",Table2[[#This Row],[Suggested Cat Value]],VLOOKUP(Table2[[#This Row],[Manual Cat Value]],Lookup!G:H,2,0))</f>
        <v>Restaurants</v>
      </c>
      <c r="G14238" t="s">
        <v>26</v>
      </c>
      <c r="I14238" s="8"/>
      <c r="O14238" t="str">
        <f>LEFT(Table2[[#This Row],[Description]],75)</f>
        <v>SumUp</v>
      </c>
    </row>
    <row r="14239" spans="1:15" hidden="1">
      <c r="A14239">
        <v>202508</v>
      </c>
      <c r="B14239" s="6">
        <v>45891</v>
      </c>
      <c r="C14239" t="s">
        <v>130</v>
      </c>
      <c r="D14239" t="s">
        <v>6761</v>
      </c>
      <c r="E14239">
        <v>36.729999999999997</v>
      </c>
      <c r="F14239" t="str">
        <f>IF(Table2[[#This Row],[Manual Cat Value]]="",Table2[[#This Row],[Suggested Cat Value]],VLOOKUP(Table2[[#This Row],[Manual Cat Value]],Lookup!G:H,2,0))</f>
        <v>Restaurants</v>
      </c>
      <c r="G14239" t="s">
        <v>26</v>
      </c>
      <c r="I14239" s="8"/>
      <c r="O14239" t="str">
        <f>LEFT(Table2[[#This Row],[Description]],75)</f>
        <v>AplPay LUNDS&amp;BYERLYSWAYZATA             MN</v>
      </c>
    </row>
    <row r="14240" spans="1:15" hidden="1">
      <c r="A14240">
        <v>202508</v>
      </c>
      <c r="B14240" s="6">
        <v>45873</v>
      </c>
      <c r="C14240" t="s">
        <v>130</v>
      </c>
      <c r="D14240" t="s">
        <v>6762</v>
      </c>
      <c r="E14240">
        <v>36.159999999999997</v>
      </c>
      <c r="F14240" t="str">
        <f>IF(Table2[[#This Row],[Manual Cat Value]]="",Table2[[#This Row],[Suggested Cat Value]],VLOOKUP(Table2[[#This Row],[Manual Cat Value]],Lookup!G:H,2,0))</f>
        <v>Delete</v>
      </c>
      <c r="G14240" t="s">
        <v>9</v>
      </c>
      <c r="I14240" s="8"/>
      <c r="O14240" t="str">
        <f>LEFT(Table2[[#This Row],[Description]],75)</f>
        <v>SUMUP*PHILLIP CORKERCORK</v>
      </c>
    </row>
    <row r="14241" spans="1:15" hidden="1">
      <c r="A14241">
        <v>202506</v>
      </c>
      <c r="B14241" s="6">
        <v>45817</v>
      </c>
      <c r="C14241" t="s">
        <v>130</v>
      </c>
      <c r="D14241" t="s">
        <v>6763</v>
      </c>
      <c r="E14241">
        <v>36.08</v>
      </c>
      <c r="F14241" t="str">
        <f>IF(Table2[[#This Row],[Manual Cat Value]]="",Table2[[#This Row],[Suggested Cat Value]],VLOOKUP(Table2[[#This Row],[Manual Cat Value]],Lookup!G:H,2,0))</f>
        <v>Shopping</v>
      </c>
      <c r="G14241" t="s">
        <v>21</v>
      </c>
      <c r="I14241" s="8"/>
      <c r="O14241" t="str">
        <f>LEFT(Table2[[#This Row],[Description]],75)</f>
        <v>THE BURGER STAND AT Lawrence            KS</v>
      </c>
    </row>
    <row r="14242" spans="1:15" hidden="1">
      <c r="A14242">
        <v>202506</v>
      </c>
      <c r="B14242" s="6">
        <v>45812</v>
      </c>
      <c r="C14242" t="s">
        <v>130</v>
      </c>
      <c r="D14242" t="s">
        <v>5996</v>
      </c>
      <c r="E14242">
        <v>35.93</v>
      </c>
      <c r="F14242" t="str">
        <f>IF(Table2[[#This Row],[Manual Cat Value]]="",Table2[[#This Row],[Suggested Cat Value]],VLOOKUP(Table2[[#This Row],[Manual Cat Value]],Lookup!G:H,2,0))</f>
        <v>Dry Cleaning</v>
      </c>
      <c r="G14242" t="s">
        <v>41</v>
      </c>
      <c r="I14242" s="8"/>
      <c r="O14242" t="str">
        <f>LEFT(Table2[[#This Row],[Description]],75)</f>
        <v>TIDE DRY CLEANERS EXEXCELSIOR           MN</v>
      </c>
    </row>
    <row r="14243" spans="1:15" hidden="1">
      <c r="A14243">
        <v>202506</v>
      </c>
      <c r="B14243" s="6">
        <v>45833</v>
      </c>
      <c r="C14243" t="s">
        <v>130</v>
      </c>
      <c r="D14243" t="s">
        <v>6184</v>
      </c>
      <c r="E14243">
        <v>35.82</v>
      </c>
      <c r="F14243" t="str">
        <f>IF(Table2[[#This Row],[Manual Cat Value]]="",Table2[[#This Row],[Suggested Cat Value]],VLOOKUP(Table2[[#This Row],[Manual Cat Value]],Lookup!G:H,2,0))</f>
        <v>House Maintenance</v>
      </c>
      <c r="G14243" t="s">
        <v>2</v>
      </c>
      <c r="I14243" s="8"/>
      <c r="O14243" t="str">
        <f>LEFT(Table2[[#This Row],[Description]],75)</f>
        <v>AplPay THE HOME DEPOCHASKA              MN</v>
      </c>
    </row>
    <row r="14244" spans="1:15" hidden="1">
      <c r="A14244">
        <v>202510</v>
      </c>
      <c r="B14244" s="6">
        <v>45954</v>
      </c>
      <c r="C14244" t="s">
        <v>130</v>
      </c>
      <c r="D14244" t="s">
        <v>6035</v>
      </c>
      <c r="E14244">
        <v>35.68</v>
      </c>
      <c r="F14244" t="str">
        <f>IF(Table2[[#This Row],[Manual Cat Value]]="",Table2[[#This Row],[Suggested Cat Value]],VLOOKUP(Table2[[#This Row],[Manual Cat Value]],Lookup!G:H,2,0))</f>
        <v>Delete</v>
      </c>
      <c r="G14244" t="s">
        <v>9</v>
      </c>
      <c r="I14244" s="8"/>
      <c r="O14244" t="str">
        <f>LEFT(Table2[[#This Row],[Description]],75)</f>
        <v>KOWALSKI'S EXCELSIOREXCELSIOR           MN</v>
      </c>
    </row>
    <row r="14245" spans="1:15" hidden="1">
      <c r="A14245">
        <v>202509</v>
      </c>
      <c r="B14245" s="6">
        <v>45906</v>
      </c>
      <c r="C14245" t="s">
        <v>130</v>
      </c>
      <c r="D14245" t="s">
        <v>5863</v>
      </c>
      <c r="E14245">
        <v>35.590000000000003</v>
      </c>
      <c r="F14245" t="str">
        <f>IF(Table2[[#This Row],[Manual Cat Value]]="",Table2[[#This Row],[Suggested Cat Value]],VLOOKUP(Table2[[#This Row],[Manual Cat Value]],Lookup!G:H,2,0))</f>
        <v>Restaurants</v>
      </c>
      <c r="G14245" t="s">
        <v>26</v>
      </c>
      <c r="I14245" s="8"/>
      <c r="O14245" t="str">
        <f>LEFT(Table2[[#This Row],[Description]],75)</f>
        <v>AplPay HOLIDAY STATISHOREWOOD           MN</v>
      </c>
    </row>
    <row r="14246" spans="1:15" hidden="1">
      <c r="A14246">
        <v>202510</v>
      </c>
      <c r="B14246" s="6">
        <v>45950</v>
      </c>
      <c r="C14246" t="s">
        <v>130</v>
      </c>
      <c r="D14246" t="s">
        <v>6764</v>
      </c>
      <c r="E14246">
        <v>35.01</v>
      </c>
      <c r="F14246" t="str">
        <f>IF(Table2[[#This Row],[Manual Cat Value]]="",Table2[[#This Row],[Suggested Cat Value]],VLOOKUP(Table2[[#This Row],[Manual Cat Value]],Lookup!G:H,2,0))</f>
        <v>Delete</v>
      </c>
      <c r="G14246" t="s">
        <v>9</v>
      </c>
      <c r="I14246" s="8"/>
      <c r="O14246" t="str">
        <f>LEFT(Table2[[#This Row],[Description]],75)</f>
        <v>NEXO SERVICE S.R.L. ROMA</v>
      </c>
    </row>
    <row r="14247" spans="1:15" hidden="1">
      <c r="A14247">
        <v>202510</v>
      </c>
      <c r="B14247" s="6">
        <v>45938</v>
      </c>
      <c r="C14247" t="s">
        <v>2519</v>
      </c>
      <c r="D14247" t="s">
        <v>6765</v>
      </c>
      <c r="E14247">
        <v>35</v>
      </c>
      <c r="F14247" t="str">
        <f>IF(Table2[[#This Row],[Manual Cat Value]]="",Table2[[#This Row],[Suggested Cat Value]],VLOOKUP(Table2[[#This Row],[Manual Cat Value]],Lookup!G:H,2,0))</f>
        <v>Day Care</v>
      </c>
      <c r="G14247" t="s">
        <v>20</v>
      </c>
      <c r="I14247" s="8"/>
      <c r="O14247" t="str">
        <f>LEFT(Table2[[#This Row],[Description]],75)</f>
        <v>Withdrawal Fee 1dddxx73-4e7e-4cd8-aXX8887d0</v>
      </c>
    </row>
    <row r="14248" spans="1:15" hidden="1">
      <c r="A14248">
        <v>202509</v>
      </c>
      <c r="B14248" s="6">
        <v>45908</v>
      </c>
      <c r="C14248" t="s">
        <v>2519</v>
      </c>
      <c r="D14248" t="s">
        <v>6766</v>
      </c>
      <c r="E14248">
        <v>35</v>
      </c>
      <c r="F14248" t="str">
        <f>IF(Table2[[#This Row],[Manual Cat Value]]="",Table2[[#This Row],[Suggested Cat Value]],VLOOKUP(Table2[[#This Row],[Manual Cat Value]],Lookup!G:H,2,0))</f>
        <v>Day Care</v>
      </c>
      <c r="G14248" t="s">
        <v>20</v>
      </c>
      <c r="I14248" s="8"/>
      <c r="O14248" t="str">
        <f>LEFT(Table2[[#This Row],[Description]],75)</f>
        <v>Withdrawal Fee f4cdaa03-6ax3-42ac-94b4-ffx0999b8343</v>
      </c>
    </row>
    <row r="14249" spans="1:15" hidden="1">
      <c r="A14249">
        <v>202508</v>
      </c>
      <c r="B14249" s="6">
        <v>45878</v>
      </c>
      <c r="C14249" t="s">
        <v>130</v>
      </c>
      <c r="D14249" t="s">
        <v>6063</v>
      </c>
      <c r="E14249">
        <v>35</v>
      </c>
      <c r="F14249" t="str">
        <f>IF(Table2[[#This Row],[Manual Cat Value]]="",Table2[[#This Row],[Suggested Cat Value]],VLOOKUP(Table2[[#This Row],[Manual Cat Value]],Lookup!G:H,2,0))</f>
        <v>Shopping</v>
      </c>
      <c r="G14249" t="s">
        <v>21</v>
      </c>
      <c r="I14249" s="8"/>
      <c r="O14249" t="str">
        <f>LEFT(Table2[[#This Row],[Description]],75)</f>
        <v>DICK'S SPORTING GOODCORAOPOLIS          PA</v>
      </c>
    </row>
    <row r="14250" spans="1:15" hidden="1">
      <c r="A14250">
        <v>202509</v>
      </c>
      <c r="B14250" s="6">
        <v>45906</v>
      </c>
      <c r="C14250" t="s">
        <v>130</v>
      </c>
      <c r="D14250" t="s">
        <v>6767</v>
      </c>
      <c r="E14250">
        <v>34.520000000000003</v>
      </c>
      <c r="F14250" t="str">
        <f>IF(Table2[[#This Row],[Manual Cat Value]]="",Table2[[#This Row],[Suggested Cat Value]],VLOOKUP(Table2[[#This Row],[Manual Cat Value]],Lookup!G:H,2,0))</f>
        <v>Travel</v>
      </c>
      <c r="G14250" t="s">
        <v>43</v>
      </c>
      <c r="I14250" s="8"/>
      <c r="O14250" t="str">
        <f>LEFT(Table2[[#This Row],[Description]],75)</f>
        <v>LEONARDO INTERACTIVEFIRENZE             IT</v>
      </c>
    </row>
    <row r="14251" spans="1:15" hidden="1">
      <c r="A14251">
        <v>202510</v>
      </c>
      <c r="B14251" s="6">
        <v>45948</v>
      </c>
      <c r="C14251" t="s">
        <v>130</v>
      </c>
      <c r="D14251" t="s">
        <v>6768</v>
      </c>
      <c r="E14251">
        <v>33.94</v>
      </c>
      <c r="F14251" t="str">
        <f>IF(Table2[[#This Row],[Manual Cat Value]]="",Table2[[#This Row],[Suggested Cat Value]],VLOOKUP(Table2[[#This Row],[Manual Cat Value]],Lookup!G:H,2,0))</f>
        <v>Transportation</v>
      </c>
      <c r="G14251" t="s">
        <v>23</v>
      </c>
      <c r="I14251" s="8"/>
      <c r="O14251" t="str">
        <f>LEFT(Table2[[#This Row],[Description]],75)</f>
        <v>UBER TRIP           HTTPS://HELP.UBER.COCA</v>
      </c>
    </row>
    <row r="14252" spans="1:15" hidden="1">
      <c r="A14252">
        <v>202507</v>
      </c>
      <c r="B14252" s="6">
        <v>45869</v>
      </c>
      <c r="C14252" t="s">
        <v>130</v>
      </c>
      <c r="D14252" t="s">
        <v>6769</v>
      </c>
      <c r="E14252">
        <v>33.75</v>
      </c>
      <c r="F14252" t="str">
        <f>IF(Table2[[#This Row],[Manual Cat Value]]="",Table2[[#This Row],[Suggested Cat Value]],VLOOKUP(Table2[[#This Row],[Manual Cat Value]],Lookup!G:H,2,0))</f>
        <v>Restaurants</v>
      </c>
      <c r="G14252" t="s">
        <v>26</v>
      </c>
      <c r="I14252" s="8"/>
      <c r="O14252" t="str">
        <f>LEFT(Table2[[#This Row],[Description]],75)</f>
        <v>NOODLES AND COMPANY BROOMFIELD          CO</v>
      </c>
    </row>
    <row r="14253" spans="1:15" hidden="1">
      <c r="A14253">
        <v>202511</v>
      </c>
      <c r="B14253" s="6">
        <v>45962</v>
      </c>
      <c r="C14253" t="s">
        <v>130</v>
      </c>
      <c r="D14253" t="s">
        <v>6183</v>
      </c>
      <c r="E14253">
        <v>33.729999999999997</v>
      </c>
      <c r="F14253" t="str">
        <f>IF(Table2[[#This Row],[Manual Cat Value]]="",Table2[[#This Row],[Suggested Cat Value]],VLOOKUP(Table2[[#This Row],[Manual Cat Value]],Lookup!G:H,2,0))</f>
        <v>Amazon</v>
      </c>
      <c r="G14253" t="s">
        <v>38</v>
      </c>
      <c r="I14253" s="8"/>
      <c r="O14253" t="str">
        <f>LEFT(Table2[[#This Row],[Description]],75)</f>
        <v>AMAZON MARKEPLACE NA PA</v>
      </c>
    </row>
    <row r="14254" spans="1:15" hidden="1">
      <c r="A14254">
        <v>202508</v>
      </c>
      <c r="B14254" s="6">
        <v>45887</v>
      </c>
      <c r="C14254" t="s">
        <v>130</v>
      </c>
      <c r="D14254" t="s">
        <v>6770</v>
      </c>
      <c r="E14254">
        <v>33.450000000000003</v>
      </c>
      <c r="F14254" t="str">
        <f>IF(Table2[[#This Row],[Manual Cat Value]]="",Table2[[#This Row],[Suggested Cat Value]],VLOOKUP(Table2[[#This Row],[Manual Cat Value]],Lookup!G:H,2,0))</f>
        <v>Restaurants</v>
      </c>
      <c r="G14254" t="s">
        <v>26</v>
      </c>
      <c r="I14254" s="8"/>
      <c r="O14254" t="str">
        <f>LEFT(Table2[[#This Row],[Description]],75)</f>
        <v>BUNNYS BAR &amp; GRILL 6MINNEAPOLIS         MN</v>
      </c>
    </row>
    <row r="14255" spans="1:15" hidden="1">
      <c r="A14255">
        <v>202508</v>
      </c>
      <c r="B14255" s="6">
        <v>45894</v>
      </c>
      <c r="C14255" t="s">
        <v>130</v>
      </c>
      <c r="D14255" t="s">
        <v>5977</v>
      </c>
      <c r="E14255">
        <v>32.880000000000003</v>
      </c>
      <c r="F14255" t="str">
        <f>IF(Table2[[#This Row],[Manual Cat Value]]="",Table2[[#This Row],[Suggested Cat Value]],VLOOKUP(Table2[[#This Row],[Manual Cat Value]],Lookup!G:H,2,0))</f>
        <v>Restaurants</v>
      </c>
      <c r="G14255" t="s">
        <v>26</v>
      </c>
      <c r="I14255" s="8"/>
      <c r="O14255" t="str">
        <f>LEFT(Table2[[#This Row],[Description]],75)</f>
        <v>AplPay JJ S POKE    EDINA               MN</v>
      </c>
    </row>
    <row r="14256" spans="1:15" hidden="1">
      <c r="A14256">
        <v>202510</v>
      </c>
      <c r="B14256" s="6">
        <v>45935</v>
      </c>
      <c r="C14256" t="s">
        <v>130</v>
      </c>
      <c r="D14256" t="s">
        <v>6771</v>
      </c>
      <c r="E14256">
        <v>32.86</v>
      </c>
      <c r="F14256" t="str">
        <f>IF(Table2[[#This Row],[Manual Cat Value]]="",Table2[[#This Row],[Suggested Cat Value]],VLOOKUP(Table2[[#This Row],[Manual Cat Value]],Lookup!G:H,2,0))</f>
        <v>Utilities</v>
      </c>
      <c r="G14256" t="s">
        <v>7</v>
      </c>
      <c r="I14256" s="8"/>
      <c r="O14256" t="str">
        <f>LEFT(Table2[[#This Row],[Description]],75)</f>
        <v>UNCOMMON LOON BREWINChisago City        MN</v>
      </c>
    </row>
    <row r="14257" spans="1:15" hidden="1">
      <c r="A14257">
        <v>202508</v>
      </c>
      <c r="B14257" s="6">
        <v>45886</v>
      </c>
      <c r="C14257" t="s">
        <v>130</v>
      </c>
      <c r="D14257" t="s">
        <v>6132</v>
      </c>
      <c r="E14257">
        <v>32.5</v>
      </c>
      <c r="F14257" t="str">
        <f>IF(Table2[[#This Row],[Manual Cat Value]]="",Table2[[#This Row],[Suggested Cat Value]],VLOOKUP(Table2[[#This Row],[Manual Cat Value]],Lookup!G:H,2,0))</f>
        <v>Day Care</v>
      </c>
      <c r="G14257" t="s">
        <v>20</v>
      </c>
      <c r="I14257" s="8"/>
      <c r="O14257" t="str">
        <f>LEFT(Table2[[#This Row],[Description]],75)</f>
        <v>ACTIVEWORKS  CAMPS  DALLAS              TX</v>
      </c>
    </row>
    <row r="14258" spans="1:15" hidden="1">
      <c r="A14258">
        <v>202508</v>
      </c>
      <c r="B14258" s="6">
        <v>45886</v>
      </c>
      <c r="C14258" t="s">
        <v>130</v>
      </c>
      <c r="D14258" t="s">
        <v>6132</v>
      </c>
      <c r="E14258">
        <v>32.5</v>
      </c>
      <c r="F14258" t="str">
        <f>IF(Table2[[#This Row],[Manual Cat Value]]="",Table2[[#This Row],[Suggested Cat Value]],VLOOKUP(Table2[[#This Row],[Manual Cat Value]],Lookup!G:H,2,0))</f>
        <v>Day Care</v>
      </c>
      <c r="G14258" t="s">
        <v>20</v>
      </c>
      <c r="I14258" s="8"/>
      <c r="O14258" t="str">
        <f>LEFT(Table2[[#This Row],[Description]],75)</f>
        <v>ACTIVEWORKS  CAMPS  DALLAS              TX</v>
      </c>
    </row>
    <row r="14259" spans="1:15" hidden="1">
      <c r="A14259">
        <v>202508</v>
      </c>
      <c r="B14259" s="6">
        <v>45872</v>
      </c>
      <c r="C14259" t="s">
        <v>130</v>
      </c>
      <c r="D14259" t="s">
        <v>5577</v>
      </c>
      <c r="E14259">
        <v>32.47</v>
      </c>
      <c r="F14259" t="str">
        <f>IF(Table2[[#This Row],[Manual Cat Value]]="",Table2[[#This Row],[Suggested Cat Value]],VLOOKUP(Table2[[#This Row],[Manual Cat Value]],Lookup!G:H,2,0))</f>
        <v>Delete</v>
      </c>
      <c r="G14259" t="s">
        <v>9</v>
      </c>
      <c r="I14259" s="8"/>
      <c r="O14259" t="str">
        <f>LEFT(Table2[[#This Row],[Description]],75)</f>
        <v>MSP HUDSON ST2295 22SAINT PAUL          MN</v>
      </c>
    </row>
    <row r="14260" spans="1:15" hidden="1">
      <c r="A14260">
        <v>202510</v>
      </c>
      <c r="B14260" s="6">
        <v>45942</v>
      </c>
      <c r="C14260" t="s">
        <v>130</v>
      </c>
      <c r="D14260" t="s">
        <v>6772</v>
      </c>
      <c r="E14260">
        <v>32.450000000000003</v>
      </c>
      <c r="F14260" t="str">
        <f>IF(Table2[[#This Row],[Manual Cat Value]]="",Table2[[#This Row],[Suggested Cat Value]],VLOOKUP(Table2[[#This Row],[Manual Cat Value]],Lookup!G:H,2,0))</f>
        <v>Entertainment</v>
      </c>
      <c r="G14260" t="s">
        <v>40</v>
      </c>
      <c r="I14260" s="8"/>
      <c r="O14260" t="str">
        <f>LEFT(Table2[[#This Row],[Description]],75)</f>
        <v>META LUXURY COMPANY LUCCA</v>
      </c>
    </row>
    <row r="14261" spans="1:15" hidden="1">
      <c r="A14261">
        <v>202506</v>
      </c>
      <c r="B14261" s="6">
        <v>45838</v>
      </c>
      <c r="C14261" t="s">
        <v>130</v>
      </c>
      <c r="D14261" t="s">
        <v>6773</v>
      </c>
      <c r="E14261">
        <v>32.36</v>
      </c>
      <c r="F14261" t="str">
        <f>IF(Table2[[#This Row],[Manual Cat Value]]="",Table2[[#This Row],[Suggested Cat Value]],VLOOKUP(Table2[[#This Row],[Manual Cat Value]],Lookup!G:H,2,0))</f>
        <v>Restaurants</v>
      </c>
      <c r="G14261" t="s">
        <v>26</v>
      </c>
      <c r="I14261" s="8"/>
      <c r="O14261" t="str">
        <f>LEFT(Table2[[#This Row],[Description]],75)</f>
        <v>AplPay CRISP &amp; GREENEDEN PRAIRIE        MN</v>
      </c>
    </row>
    <row r="14262" spans="1:15" hidden="1">
      <c r="A14262">
        <v>202510</v>
      </c>
      <c r="B14262" s="6">
        <v>45944</v>
      </c>
      <c r="C14262" t="s">
        <v>130</v>
      </c>
      <c r="D14262" t="s">
        <v>6774</v>
      </c>
      <c r="E14262">
        <v>32.11</v>
      </c>
      <c r="F14262" t="str">
        <f>IF(Table2[[#This Row],[Manual Cat Value]]="",Table2[[#This Row],[Suggested Cat Value]],VLOOKUP(Table2[[#This Row],[Manual Cat Value]],Lookup!G:H,2,0))</f>
        <v>Shopping</v>
      </c>
      <c r="H14262" s="8" t="s">
        <v>36</v>
      </c>
      <c r="I14262" s="8"/>
      <c r="O14262" t="str">
        <f>LEFT(Table2[[#This Row],[Description]],75)</f>
        <v>B&amp;N Paper Source    WESTBURY            NY</v>
      </c>
    </row>
    <row r="14263" spans="1:15" hidden="1">
      <c r="A14263">
        <v>202506</v>
      </c>
      <c r="B14263" s="6">
        <v>45829</v>
      </c>
      <c r="C14263" t="s">
        <v>130</v>
      </c>
      <c r="D14263" t="s">
        <v>6775</v>
      </c>
      <c r="E14263">
        <v>31.98</v>
      </c>
      <c r="F14263" t="str">
        <f>IF(Table2[[#This Row],[Manual Cat Value]]="",Table2[[#This Row],[Suggested Cat Value]],VLOOKUP(Table2[[#This Row],[Manual Cat Value]],Lookup!G:H,2,0))</f>
        <v>Travel</v>
      </c>
      <c r="G14263" t="s">
        <v>43</v>
      </c>
      <c r="I14263" s="8"/>
      <c r="O14263" t="str">
        <f>LEFT(Table2[[#This Row],[Description]],75)</f>
        <v>I LOVE DULUTH       Duluth              MN</v>
      </c>
    </row>
    <row r="14264" spans="1:15" hidden="1">
      <c r="A14264">
        <v>202510</v>
      </c>
      <c r="B14264" s="6">
        <v>45946</v>
      </c>
      <c r="C14264" t="s">
        <v>130</v>
      </c>
      <c r="D14264" t="s">
        <v>6776</v>
      </c>
      <c r="E14264">
        <v>31.54</v>
      </c>
      <c r="F14264" t="str">
        <f>IF(Table2[[#This Row],[Manual Cat Value]]="",Table2[[#This Row],[Suggested Cat Value]],VLOOKUP(Table2[[#This Row],[Manual Cat Value]],Lookup!G:H,2,0))</f>
        <v>Restaurants</v>
      </c>
      <c r="G14264" t="s">
        <v>26</v>
      </c>
      <c r="I14264" s="8"/>
      <c r="O14264" t="str">
        <f>LEFT(Table2[[#This Row],[Description]],75)</f>
        <v>AplPay MUSEO DELLE TMONTEPULCIANO</v>
      </c>
    </row>
    <row r="14265" spans="1:15" hidden="1">
      <c r="A14265">
        <v>202506</v>
      </c>
      <c r="B14265" s="6">
        <v>45828</v>
      </c>
      <c r="C14265" t="s">
        <v>130</v>
      </c>
      <c r="D14265" t="s">
        <v>6777</v>
      </c>
      <c r="E14265">
        <v>31.53</v>
      </c>
      <c r="F14265" t="str">
        <f>IF(Table2[[#This Row],[Manual Cat Value]]="",Table2[[#This Row],[Suggested Cat Value]],VLOOKUP(Table2[[#This Row],[Manual Cat Value]],Lookup!G:H,2,0))</f>
        <v>Travel</v>
      </c>
      <c r="G14265" t="s">
        <v>43</v>
      </c>
      <c r="I14265" s="8"/>
      <c r="O14265" t="str">
        <f>LEFT(Table2[[#This Row],[Description]],75)</f>
        <v>STEWARTS BIKE AND SPDULUTH              MN</v>
      </c>
    </row>
    <row r="14266" spans="1:15" hidden="1">
      <c r="A14266">
        <v>202507</v>
      </c>
      <c r="B14266" s="6">
        <v>45862</v>
      </c>
      <c r="C14266" t="s">
        <v>130</v>
      </c>
      <c r="D14266" t="s">
        <v>6778</v>
      </c>
      <c r="E14266">
        <v>31.44</v>
      </c>
      <c r="F14266" t="str">
        <f>IF(Table2[[#This Row],[Manual Cat Value]]="",Table2[[#This Row],[Suggested Cat Value]],VLOOKUP(Table2[[#This Row],[Manual Cat Value]],Lookup!G:H,2,0))</f>
        <v>Restaurants</v>
      </c>
      <c r="G14266" t="s">
        <v>26</v>
      </c>
      <c r="I14266" s="8"/>
      <c r="O14266" t="str">
        <f>LEFT(Table2[[#This Row],[Description]],75)</f>
        <v>AplPay ROCKET 6546 0DENVER              CO</v>
      </c>
    </row>
    <row r="14267" spans="1:15" hidden="1">
      <c r="A14267">
        <v>202509</v>
      </c>
      <c r="B14267" s="6">
        <v>45924</v>
      </c>
      <c r="C14267" t="s">
        <v>130</v>
      </c>
      <c r="D14267" t="s">
        <v>6779</v>
      </c>
      <c r="E14267">
        <v>31.43</v>
      </c>
      <c r="F14267" t="str">
        <f>IF(Table2[[#This Row],[Manual Cat Value]]="",Table2[[#This Row],[Suggested Cat Value]],VLOOKUP(Table2[[#This Row],[Manual Cat Value]],Lookup!G:H,2,0))</f>
        <v>Restaurants</v>
      </c>
      <c r="G14267" t="s">
        <v>26</v>
      </c>
      <c r="I14267" s="8"/>
      <c r="O14267" t="str">
        <f>LEFT(Table2[[#This Row],[Description]],75)</f>
        <v>AplPay TJMAXX #0239 ST. LOUIS PAR       MN</v>
      </c>
    </row>
    <row r="14268" spans="1:15" hidden="1">
      <c r="A14268">
        <v>202511</v>
      </c>
      <c r="B14268" s="6">
        <v>45966</v>
      </c>
      <c r="C14268" t="s">
        <v>2519</v>
      </c>
      <c r="D14268" t="s">
        <v>1461</v>
      </c>
      <c r="E14268">
        <v>31.37</v>
      </c>
      <c r="F14268" t="str">
        <f>IF(Table2[[#This Row],[Manual Cat Value]]="",Table2[[#This Row],[Suggested Cat Value]],VLOOKUP(Table2[[#This Row],[Manual Cat Value]],Lookup!G:H,2,0))</f>
        <v>Utilities</v>
      </c>
      <c r="G14268" t="s">
        <v>7</v>
      </c>
      <c r="I14268" s="8"/>
      <c r="O14268" t="str">
        <f>LEFT(Table2[[#This Row],[Description]],75)</f>
        <v>Payment to CenterPoint Energy</v>
      </c>
    </row>
    <row r="14269" spans="1:15" hidden="1">
      <c r="A14269">
        <v>202510</v>
      </c>
      <c r="B14269" s="6">
        <v>45943</v>
      </c>
      <c r="C14269" t="s">
        <v>130</v>
      </c>
      <c r="D14269" t="s">
        <v>6780</v>
      </c>
      <c r="E14269">
        <v>31.35</v>
      </c>
      <c r="F14269" t="str">
        <f>IF(Table2[[#This Row],[Manual Cat Value]]="",Table2[[#This Row],[Suggested Cat Value]],VLOOKUP(Table2[[#This Row],[Manual Cat Value]],Lookup!G:H,2,0))</f>
        <v>Restaurants</v>
      </c>
      <c r="G14269" t="s">
        <v>26</v>
      </c>
      <c r="I14269" s="8"/>
      <c r="O14269" t="str">
        <f>LEFT(Table2[[#This Row],[Description]],75)</f>
        <v>AplPay 423 LEGO FIREFIRENZE</v>
      </c>
    </row>
    <row r="14270" spans="1:15" hidden="1">
      <c r="A14270">
        <v>202510</v>
      </c>
      <c r="B14270" s="6">
        <v>45950</v>
      </c>
      <c r="C14270" t="s">
        <v>3938</v>
      </c>
      <c r="D14270" t="s">
        <v>6781</v>
      </c>
      <c r="E14270">
        <v>31.08</v>
      </c>
      <c r="F14270" t="str">
        <f>IF(Table2[[#This Row],[Manual Cat Value]]="",Table2[[#This Row],[Suggested Cat Value]],VLOOKUP(Table2[[#This Row],[Manual Cat Value]],Lookup!G:H,2,0))</f>
        <v>Delete</v>
      </c>
      <c r="G14270" t="s">
        <v>9</v>
      </c>
      <c r="I14270" s="8"/>
      <c r="O14270" t="str">
        <f>LEFT(Table2[[#This Row],[Description]],75)</f>
        <v>SumUp *SUCCESS SRL Roma IT REF #XX6995SRSGADT0</v>
      </c>
    </row>
    <row r="14271" spans="1:15" hidden="1">
      <c r="A14271">
        <v>202506</v>
      </c>
      <c r="B14271" s="6">
        <v>45823</v>
      </c>
      <c r="C14271" t="s">
        <v>130</v>
      </c>
      <c r="D14271" t="s">
        <v>6782</v>
      </c>
      <c r="E14271">
        <v>31.03</v>
      </c>
      <c r="F14271" t="str">
        <f>IF(Table2[[#This Row],[Manual Cat Value]]="",Table2[[#This Row],[Suggested Cat Value]],VLOOKUP(Table2[[#This Row],[Manual Cat Value]],Lookup!G:H,2,0))</f>
        <v>Restaurants</v>
      </c>
      <c r="G14271" t="s">
        <v>26</v>
      </c>
      <c r="I14271" s="8"/>
      <c r="O14271" t="str">
        <f>LEFT(Table2[[#This Row],[Description]],75)</f>
        <v>AplPay CK *LUCK MUNILUCK                WI</v>
      </c>
    </row>
    <row r="14272" spans="1:15" hidden="1">
      <c r="A14272">
        <v>202510</v>
      </c>
      <c r="B14272" s="6">
        <v>45946</v>
      </c>
      <c r="C14272" t="s">
        <v>3938</v>
      </c>
      <c r="D14272" t="s">
        <v>6783</v>
      </c>
      <c r="E14272">
        <v>30.79</v>
      </c>
      <c r="F14272" t="str">
        <f>IF(Table2[[#This Row],[Manual Cat Value]]="",Table2[[#This Row],[Suggested Cat Value]],VLOOKUP(Table2[[#This Row],[Manual Cat Value]],Lookup!G:H,2,0))</f>
        <v>Restaurants</v>
      </c>
      <c r="G14272" t="s">
        <v>26</v>
      </c>
      <c r="I14272" s="8"/>
      <c r="O14272" t="str">
        <f>LEFT(Table2[[#This Row],[Description]],75)</f>
        <v>SumUp *FORLITI SERGIO VALLERANO IT REF #XX6991SRSG7BQ2</v>
      </c>
    </row>
    <row r="14273" spans="1:15" hidden="1">
      <c r="A14273">
        <v>202510</v>
      </c>
      <c r="B14273" s="6">
        <v>45956</v>
      </c>
      <c r="C14273" t="s">
        <v>130</v>
      </c>
      <c r="D14273" t="s">
        <v>5392</v>
      </c>
      <c r="E14273">
        <v>30.6</v>
      </c>
      <c r="F14273" t="str">
        <f>IF(Table2[[#This Row],[Manual Cat Value]]="",Table2[[#This Row],[Suggested Cat Value]],VLOOKUP(Table2[[#This Row],[Manual Cat Value]],Lookup!G:H,2,0))</f>
        <v>Travel</v>
      </c>
      <c r="G14273" t="s">
        <v>43</v>
      </c>
      <c r="I14273" s="8"/>
      <c r="O14273" t="str">
        <f>LEFT(Table2[[#This Row],[Description]],75)</f>
        <v>DELTA AIR LINES</v>
      </c>
    </row>
    <row r="14274" spans="1:15" hidden="1">
      <c r="A14274">
        <v>202506</v>
      </c>
      <c r="B14274" s="6">
        <v>45820</v>
      </c>
      <c r="C14274" t="s">
        <v>130</v>
      </c>
      <c r="D14274" t="s">
        <v>6784</v>
      </c>
      <c r="E14274">
        <v>30.55</v>
      </c>
      <c r="F14274" t="str">
        <f>IF(Table2[[#This Row],[Manual Cat Value]]="",Table2[[#This Row],[Suggested Cat Value]],VLOOKUP(Table2[[#This Row],[Manual Cat Value]],Lookup!G:H,2,0))</f>
        <v>Restaurants</v>
      </c>
      <c r="H14274" s="8" t="s">
        <v>25</v>
      </c>
      <c r="I14274" s="8"/>
      <c r="O14274" t="str">
        <f>LEFT(Table2[[#This Row],[Description]],75)</f>
        <v>ARBYS 7473 0365     BROOKLYN CENT       MN</v>
      </c>
    </row>
    <row r="14275" spans="1:15" hidden="1">
      <c r="A14275">
        <v>202508</v>
      </c>
      <c r="B14275" s="6">
        <v>45891</v>
      </c>
      <c r="C14275" t="s">
        <v>130</v>
      </c>
      <c r="D14275" t="s">
        <v>6785</v>
      </c>
      <c r="E14275">
        <v>30.28</v>
      </c>
      <c r="F14275" t="str">
        <f>IF(Table2[[#This Row],[Manual Cat Value]]="",Table2[[#This Row],[Suggested Cat Value]],VLOOKUP(Table2[[#This Row],[Manual Cat Value]],Lookup!G:H,2,0))</f>
        <v>Restaurants</v>
      </c>
      <c r="G14275" t="s">
        <v>26</v>
      </c>
      <c r="I14275" s="8"/>
      <c r="O14275" t="str">
        <f>LEFT(Table2[[#This Row],[Description]],75)</f>
        <v>AplPay CRISP &amp; GREENWAYZATA             MN</v>
      </c>
    </row>
    <row r="14276" spans="1:15" hidden="1">
      <c r="A14276">
        <v>202510</v>
      </c>
      <c r="B14276" s="6">
        <v>45950</v>
      </c>
      <c r="C14276" t="s">
        <v>2519</v>
      </c>
      <c r="D14276" t="s">
        <v>6786</v>
      </c>
      <c r="E14276">
        <v>30</v>
      </c>
      <c r="F14276" t="str">
        <f>IF(Table2[[#This Row],[Manual Cat Value]]="",Table2[[#This Row],[Suggested Cat Value]],VLOOKUP(Table2[[#This Row],[Manual Cat Value]],Lookup!G:H,2,0))</f>
        <v>Delete</v>
      </c>
      <c r="G14276" t="s">
        <v>9</v>
      </c>
      <c r="I14276" s="8"/>
      <c r="O14276" t="str">
        <f>LEFT(Table2[[#This Row],[Description]],75)</f>
        <v>Withdrawal</v>
      </c>
    </row>
    <row r="14277" spans="1:15" hidden="1">
      <c r="A14277">
        <v>202508</v>
      </c>
      <c r="B14277" s="6">
        <v>45876</v>
      </c>
      <c r="C14277" t="s">
        <v>2519</v>
      </c>
      <c r="D14277" t="s">
        <v>1958</v>
      </c>
      <c r="E14277">
        <v>30</v>
      </c>
      <c r="F14277" t="str">
        <f>IF(Table2[[#This Row],[Manual Cat Value]]="",Table2[[#This Row],[Suggested Cat Value]],VLOOKUP(Table2[[#This Row],[Manual Cat Value]],Lookup!G:H,2,0))</f>
        <v>Delete</v>
      </c>
      <c r="G14277" t="s">
        <v>9</v>
      </c>
      <c r="I14277" s="8"/>
      <c r="O14277" t="str">
        <f>LEFT(Table2[[#This Row],[Description]],75)</f>
        <v>Transfer to Venmo</v>
      </c>
    </row>
    <row r="14278" spans="1:15" hidden="1">
      <c r="A14278">
        <v>202508</v>
      </c>
      <c r="B14278" s="6">
        <v>45875</v>
      </c>
      <c r="C14278" t="s">
        <v>130</v>
      </c>
      <c r="D14278" t="s">
        <v>6787</v>
      </c>
      <c r="E14278">
        <v>30</v>
      </c>
      <c r="F14278" t="str">
        <f>IF(Table2[[#This Row],[Manual Cat Value]]="",Table2[[#This Row],[Suggested Cat Value]],VLOOKUP(Table2[[#This Row],[Manual Cat Value]],Lookup!G:H,2,0))</f>
        <v>Delete</v>
      </c>
      <c r="G14278" t="s">
        <v>9</v>
      </c>
      <c r="I14278" s="8"/>
      <c r="O14278" t="str">
        <f>LEFT(Table2[[#This Row],[Description]],75)</f>
        <v>LAKE MINNETONKA EXCEEXCELSIOR           MN</v>
      </c>
    </row>
    <row r="14279" spans="1:15" hidden="1">
      <c r="A14279">
        <v>202507</v>
      </c>
      <c r="B14279" s="6">
        <v>45863</v>
      </c>
      <c r="C14279" t="s">
        <v>130</v>
      </c>
      <c r="D14279" t="s">
        <v>5771</v>
      </c>
      <c r="E14279">
        <v>30</v>
      </c>
      <c r="F14279" t="str">
        <f>IF(Table2[[#This Row],[Manual Cat Value]]="",Table2[[#This Row],[Suggested Cat Value]],VLOOKUP(Table2[[#This Row],[Manual Cat Value]],Lookup!G:H,2,0))</f>
        <v>Restaurants</v>
      </c>
      <c r="G14279" t="s">
        <v>26</v>
      </c>
      <c r="I14279" s="8"/>
      <c r="O14279" t="str">
        <f>LEFT(Table2[[#This Row],[Description]],75)</f>
        <v>AplPay JIMMY JOHNS -CHANHASSEN          MN</v>
      </c>
    </row>
    <row r="14280" spans="1:15" hidden="1">
      <c r="A14280">
        <v>202509</v>
      </c>
      <c r="B14280" s="6">
        <v>45921</v>
      </c>
      <c r="C14280" t="s">
        <v>130</v>
      </c>
      <c r="D14280" t="s">
        <v>6183</v>
      </c>
      <c r="E14280">
        <v>29.76</v>
      </c>
      <c r="F14280" t="str">
        <f>IF(Table2[[#This Row],[Manual Cat Value]]="",Table2[[#This Row],[Suggested Cat Value]],VLOOKUP(Table2[[#This Row],[Manual Cat Value]],Lookup!G:H,2,0))</f>
        <v>Amazon</v>
      </c>
      <c r="G14280" t="s">
        <v>38</v>
      </c>
      <c r="I14280" s="8"/>
      <c r="O14280" t="str">
        <f>LEFT(Table2[[#This Row],[Description]],75)</f>
        <v>AMAZON MARKEPLACE NA PA</v>
      </c>
    </row>
    <row r="14281" spans="1:15" hidden="1">
      <c r="A14281">
        <v>202510</v>
      </c>
      <c r="B14281" s="6">
        <v>45931</v>
      </c>
      <c r="C14281" t="s">
        <v>130</v>
      </c>
      <c r="D14281" t="s">
        <v>6788</v>
      </c>
      <c r="E14281">
        <v>29.63</v>
      </c>
      <c r="F14281" t="str">
        <f>IF(Table2[[#This Row],[Manual Cat Value]]="",Table2[[#This Row],[Suggested Cat Value]],VLOOKUP(Table2[[#This Row],[Manual Cat Value]],Lookup!G:H,2,0))</f>
        <v>Restaurants</v>
      </c>
      <c r="G14281" t="s">
        <v>26</v>
      </c>
      <c r="I14281" s="8"/>
      <c r="O14281" t="str">
        <f>LEFT(Table2[[#This Row],[Description]],75)</f>
        <v>AplPay PURALIMA - WAWAYZATA             MN</v>
      </c>
    </row>
    <row r="14282" spans="1:15" hidden="1">
      <c r="A14282">
        <v>202510</v>
      </c>
      <c r="B14282" s="6">
        <v>45942</v>
      </c>
      <c r="C14282" t="s">
        <v>3938</v>
      </c>
      <c r="D14282" t="s">
        <v>1350</v>
      </c>
      <c r="E14282">
        <v>29.41</v>
      </c>
      <c r="F14282" t="str">
        <f>IF(Table2[[#This Row],[Manual Cat Value]]="",Table2[[#This Row],[Suggested Cat Value]],VLOOKUP(Table2[[#This Row],[Manual Cat Value]],Lookup!G:H,2,0))</f>
        <v>Utilities</v>
      </c>
      <c r="G14282" t="s">
        <v>7</v>
      </c>
      <c r="I14282" s="8"/>
      <c r="O14282" t="str">
        <f>LEFT(Table2[[#This Row],[Description]],75)</f>
        <v>Netflix</v>
      </c>
    </row>
    <row r="14283" spans="1:15" hidden="1">
      <c r="A14283">
        <v>202509</v>
      </c>
      <c r="B14283" s="6">
        <v>45911</v>
      </c>
      <c r="C14283" t="s">
        <v>3938</v>
      </c>
      <c r="D14283" t="s">
        <v>1350</v>
      </c>
      <c r="E14283">
        <v>29.41</v>
      </c>
      <c r="F14283" t="str">
        <f>IF(Table2[[#This Row],[Manual Cat Value]]="",Table2[[#This Row],[Suggested Cat Value]],VLOOKUP(Table2[[#This Row],[Manual Cat Value]],Lookup!G:H,2,0))</f>
        <v>Utilities</v>
      </c>
      <c r="G14283" t="s">
        <v>7</v>
      </c>
      <c r="I14283" s="8"/>
      <c r="O14283" t="str">
        <f>LEFT(Table2[[#This Row],[Description]],75)</f>
        <v>Netflix</v>
      </c>
    </row>
    <row r="14284" spans="1:15" hidden="1">
      <c r="A14284">
        <v>202508</v>
      </c>
      <c r="B14284" s="6">
        <v>45880</v>
      </c>
      <c r="C14284" t="s">
        <v>3938</v>
      </c>
      <c r="D14284" t="s">
        <v>1350</v>
      </c>
      <c r="E14284">
        <v>29.41</v>
      </c>
      <c r="F14284" t="str">
        <f>IF(Table2[[#This Row],[Manual Cat Value]]="",Table2[[#This Row],[Suggested Cat Value]],VLOOKUP(Table2[[#This Row],[Manual Cat Value]],Lookup!G:H,2,0))</f>
        <v>Utilities</v>
      </c>
      <c r="G14284" t="s">
        <v>7</v>
      </c>
      <c r="I14284" s="8"/>
      <c r="O14284" t="str">
        <f>LEFT(Table2[[#This Row],[Description]],75)</f>
        <v>Netflix</v>
      </c>
    </row>
    <row r="14285" spans="1:15" hidden="1">
      <c r="A14285">
        <v>202507</v>
      </c>
      <c r="B14285" s="6">
        <v>45849</v>
      </c>
      <c r="C14285" t="s">
        <v>3938</v>
      </c>
      <c r="D14285" t="s">
        <v>1350</v>
      </c>
      <c r="E14285">
        <v>29.41</v>
      </c>
      <c r="F14285" t="str">
        <f>IF(Table2[[#This Row],[Manual Cat Value]]="",Table2[[#This Row],[Suggested Cat Value]],VLOOKUP(Table2[[#This Row],[Manual Cat Value]],Lookup!G:H,2,0))</f>
        <v>Utilities</v>
      </c>
      <c r="G14285" t="s">
        <v>7</v>
      </c>
      <c r="I14285" s="8"/>
      <c r="O14285" t="str">
        <f>LEFT(Table2[[#This Row],[Description]],75)</f>
        <v>Netflix</v>
      </c>
    </row>
    <row r="14286" spans="1:15" hidden="1">
      <c r="A14286">
        <v>202506</v>
      </c>
      <c r="B14286" s="6">
        <v>45819</v>
      </c>
      <c r="C14286" t="s">
        <v>3938</v>
      </c>
      <c r="D14286" t="s">
        <v>1350</v>
      </c>
      <c r="E14286">
        <v>29.41</v>
      </c>
      <c r="F14286" t="str">
        <f>IF(Table2[[#This Row],[Manual Cat Value]]="",Table2[[#This Row],[Suggested Cat Value]],VLOOKUP(Table2[[#This Row],[Manual Cat Value]],Lookup!G:H,2,0))</f>
        <v>Utilities</v>
      </c>
      <c r="G14286" t="s">
        <v>7</v>
      </c>
      <c r="I14286" s="8"/>
      <c r="O14286" t="str">
        <f>LEFT(Table2[[#This Row],[Description]],75)</f>
        <v>Netflix</v>
      </c>
    </row>
    <row r="14287" spans="1:15" hidden="1">
      <c r="A14287">
        <v>202509</v>
      </c>
      <c r="B14287" s="6">
        <v>45920</v>
      </c>
      <c r="C14287" t="s">
        <v>130</v>
      </c>
      <c r="D14287" t="s">
        <v>6789</v>
      </c>
      <c r="E14287">
        <v>29.41</v>
      </c>
      <c r="F14287" t="str">
        <f>IF(Table2[[#This Row],[Manual Cat Value]]="",Table2[[#This Row],[Suggested Cat Value]],VLOOKUP(Table2[[#This Row],[Manual Cat Value]],Lookup!G:H,2,0))</f>
        <v>Restaurants</v>
      </c>
      <c r="G14287" t="s">
        <v>26</v>
      </c>
      <c r="I14287" s="8"/>
      <c r="O14287" t="str">
        <f>LEFT(Table2[[#This Row],[Description]],75)</f>
        <v>GREEK GOURMET 0000  BLAINE              MN</v>
      </c>
    </row>
    <row r="14288" spans="1:15" hidden="1">
      <c r="A14288">
        <v>202509</v>
      </c>
      <c r="B14288" s="6">
        <v>45926</v>
      </c>
      <c r="C14288" t="s">
        <v>130</v>
      </c>
      <c r="D14288" t="s">
        <v>6717</v>
      </c>
      <c r="E14288">
        <v>29.39</v>
      </c>
      <c r="F14288" t="str">
        <f>IF(Table2[[#This Row],[Manual Cat Value]]="",Table2[[#This Row],[Suggested Cat Value]],VLOOKUP(Table2[[#This Row],[Manual Cat Value]],Lookup!G:H,2,0))</f>
        <v>Restaurants</v>
      </c>
      <c r="G14288" t="s">
        <v>26</v>
      </c>
      <c r="I14288" s="8"/>
      <c r="O14288" t="str">
        <f>LEFT(Table2[[#This Row],[Description]],75)</f>
        <v>MIYABI              EXCELSIOR           MN</v>
      </c>
    </row>
    <row r="14289" spans="1:15" hidden="1">
      <c r="A14289">
        <v>202508</v>
      </c>
      <c r="B14289" s="6">
        <v>45893</v>
      </c>
      <c r="C14289" t="s">
        <v>130</v>
      </c>
      <c r="D14289" t="s">
        <v>6630</v>
      </c>
      <c r="E14289">
        <v>29.02</v>
      </c>
      <c r="F14289" t="str">
        <f>IF(Table2[[#This Row],[Manual Cat Value]]="",Table2[[#This Row],[Suggested Cat Value]],VLOOKUP(Table2[[#This Row],[Manual Cat Value]],Lookup!G:H,2,0))</f>
        <v>Entertainment</v>
      </c>
      <c r="G14289" t="s">
        <v>40</v>
      </c>
      <c r="I14289" s="8"/>
      <c r="O14289" t="str">
        <f>LEFT(Table2[[#This Row],[Description]],75)</f>
        <v>FSP*STONEBROOKE GOLFSHAKOPEE            MN</v>
      </c>
    </row>
    <row r="14290" spans="1:15" hidden="1">
      <c r="A14290">
        <v>202510</v>
      </c>
      <c r="B14290" s="6">
        <v>45949</v>
      </c>
      <c r="C14290" t="s">
        <v>3938</v>
      </c>
      <c r="D14290" t="s">
        <v>1100</v>
      </c>
      <c r="E14290">
        <v>29</v>
      </c>
      <c r="F14290" t="str">
        <f>IF(Table2[[#This Row],[Manual Cat Value]]="",Table2[[#This Row],[Suggested Cat Value]],VLOOKUP(Table2[[#This Row],[Manual Cat Value]],Lookup!G:H,2,0))</f>
        <v>Misc</v>
      </c>
      <c r="H14290" s="8" t="s">
        <v>46</v>
      </c>
      <c r="I14290" s="8"/>
      <c r="O14290" t="str">
        <f>LEFT(Table2[[#This Row],[Description]],75)</f>
        <v>LATE FEE</v>
      </c>
    </row>
    <row r="14291" spans="1:15" hidden="1">
      <c r="A14291">
        <v>202510</v>
      </c>
      <c r="B14291" s="6">
        <v>45943</v>
      </c>
      <c r="C14291" t="s">
        <v>130</v>
      </c>
      <c r="D14291" t="s">
        <v>6790</v>
      </c>
      <c r="E14291">
        <v>29</v>
      </c>
      <c r="F14291" t="str">
        <f>IF(Table2[[#This Row],[Manual Cat Value]]="",Table2[[#This Row],[Suggested Cat Value]],VLOOKUP(Table2[[#This Row],[Manual Cat Value]],Lookup!G:H,2,0))</f>
        <v>Restaurants</v>
      </c>
      <c r="H14291" s="8" t="s">
        <v>25</v>
      </c>
      <c r="I14291" s="8"/>
      <c r="O14291" t="str">
        <f>LEFT(Table2[[#This Row],[Description]],75)</f>
        <v>NAZRUL ISLAM        FIRENZE</v>
      </c>
    </row>
    <row r="14292" spans="1:15" hidden="1">
      <c r="A14292">
        <v>202506</v>
      </c>
      <c r="B14292" s="6">
        <v>45827</v>
      </c>
      <c r="C14292" t="s">
        <v>130</v>
      </c>
      <c r="D14292" t="s">
        <v>6791</v>
      </c>
      <c r="E14292">
        <v>28.18</v>
      </c>
      <c r="F14292" t="str">
        <f>IF(Table2[[#This Row],[Manual Cat Value]]="",Table2[[#This Row],[Suggested Cat Value]],VLOOKUP(Table2[[#This Row],[Manual Cat Value]],Lookup!G:H,2,0))</f>
        <v>Restaurants</v>
      </c>
      <c r="G14292" t="s">
        <v>26</v>
      </c>
      <c r="I14292" s="8"/>
      <c r="O14292" t="str">
        <f>LEFT(Table2[[#This Row],[Description]],75)</f>
        <v>AplPay LS DULUTH KITDULUTH              MN</v>
      </c>
    </row>
    <row r="14293" spans="1:15" hidden="1">
      <c r="A14293">
        <v>202510</v>
      </c>
      <c r="B14293" s="6">
        <v>45942</v>
      </c>
      <c r="C14293" t="s">
        <v>130</v>
      </c>
      <c r="D14293" t="s">
        <v>6792</v>
      </c>
      <c r="E14293">
        <v>27.82</v>
      </c>
      <c r="F14293" t="str">
        <f>IF(Table2[[#This Row],[Manual Cat Value]]="",Table2[[#This Row],[Suggested Cat Value]],VLOOKUP(Table2[[#This Row],[Manual Cat Value]],Lookup!G:H,2,0))</f>
        <v>Restaurants</v>
      </c>
      <c r="G14293" t="s">
        <v>26</v>
      </c>
      <c r="I14293" s="8"/>
      <c r="O14293" t="str">
        <f>LEFT(Table2[[#This Row],[Description]],75)</f>
        <v>AplPay VIVA*AD GROUPEMPOLI              IT</v>
      </c>
    </row>
    <row r="14294" spans="1:15" hidden="1">
      <c r="A14294">
        <v>202511</v>
      </c>
      <c r="B14294" s="6">
        <v>45966</v>
      </c>
      <c r="C14294" t="s">
        <v>130</v>
      </c>
      <c r="D14294" t="s">
        <v>6496</v>
      </c>
      <c r="E14294">
        <v>27.57</v>
      </c>
      <c r="F14294" t="str">
        <f>IF(Table2[[#This Row],[Manual Cat Value]]="",Table2[[#This Row],[Suggested Cat Value]],VLOOKUP(Table2[[#This Row],[Manual Cat Value]],Lookup!G:H,2,0))</f>
        <v>Restaurants</v>
      </c>
      <c r="G14294" t="s">
        <v>26</v>
      </c>
      <c r="I14294" s="8"/>
      <c r="O14294" t="str">
        <f>LEFT(Table2[[#This Row],[Description]],75)</f>
        <v>AplPay WALGREENS    EXCELSIOR           MN</v>
      </c>
    </row>
    <row r="14295" spans="1:15" hidden="1">
      <c r="A14295">
        <v>202506</v>
      </c>
      <c r="B14295" s="6">
        <v>45820</v>
      </c>
      <c r="C14295" t="s">
        <v>130</v>
      </c>
      <c r="D14295" t="s">
        <v>6793</v>
      </c>
      <c r="E14295">
        <v>27.47</v>
      </c>
      <c r="F14295" t="str">
        <f>IF(Table2[[#This Row],[Manual Cat Value]]="",Table2[[#This Row],[Suggested Cat Value]],VLOOKUP(Table2[[#This Row],[Manual Cat Value]],Lookup!G:H,2,0))</f>
        <v>Restaurants</v>
      </c>
      <c r="G14295" t="s">
        <v>26</v>
      </c>
      <c r="I14295" s="8"/>
      <c r="O14295" t="str">
        <f>LEFT(Table2[[#This Row],[Description]],75)</f>
        <v>AplPay CHIPOTLE MEX NEWPORT BEACH       CA</v>
      </c>
    </row>
    <row r="14296" spans="1:15" hidden="1">
      <c r="A14296">
        <v>202510</v>
      </c>
      <c r="B14296" s="6">
        <v>45951</v>
      </c>
      <c r="C14296" t="s">
        <v>2519</v>
      </c>
      <c r="D14296" t="s">
        <v>6744</v>
      </c>
      <c r="E14296">
        <v>26.82</v>
      </c>
      <c r="F14296" t="str">
        <f>IF(Table2[[#This Row],[Manual Cat Value]]="",Table2[[#This Row],[Suggested Cat Value]],VLOOKUP(Table2[[#This Row],[Manual Cat Value]],Lookup!G:H,2,0))</f>
        <v>Delete</v>
      </c>
      <c r="G14296" t="s">
        <v>9</v>
      </c>
      <c r="I14296" s="8"/>
      <c r="O14296" t="str">
        <f>LEFT(Table2[[#This Row],[Description]],75)</f>
        <v>Transfer to Uber</v>
      </c>
    </row>
    <row r="14297" spans="1:15" hidden="1">
      <c r="A14297">
        <v>202507</v>
      </c>
      <c r="B14297" s="6">
        <v>45868</v>
      </c>
      <c r="C14297" t="s">
        <v>130</v>
      </c>
      <c r="D14297" t="s">
        <v>6794</v>
      </c>
      <c r="E14297">
        <v>26.65</v>
      </c>
      <c r="F14297" t="str">
        <f>IF(Table2[[#This Row],[Manual Cat Value]]="",Table2[[#This Row],[Suggested Cat Value]],VLOOKUP(Table2[[#This Row],[Manual Cat Value]],Lookup!G:H,2,0))</f>
        <v>Entertainment</v>
      </c>
      <c r="H14297" s="8" t="s">
        <v>39</v>
      </c>
      <c r="I14297" s="8"/>
      <c r="O14297" t="str">
        <f>LEFT(Table2[[#This Row],[Description]],75)</f>
        <v>GOLFNOW             BELFAST             GB</v>
      </c>
    </row>
    <row r="14298" spans="1:15" hidden="1">
      <c r="A14298">
        <v>202508</v>
      </c>
      <c r="B14298" s="6">
        <v>45899</v>
      </c>
      <c r="C14298" t="s">
        <v>130</v>
      </c>
      <c r="D14298" t="s">
        <v>6689</v>
      </c>
      <c r="E14298">
        <v>26.32</v>
      </c>
      <c r="F14298" t="str">
        <f>IF(Table2[[#This Row],[Manual Cat Value]]="",Table2[[#This Row],[Suggested Cat Value]],VLOOKUP(Table2[[#This Row],[Manual Cat Value]],Lookup!G:H,2,0))</f>
        <v>Restaurants</v>
      </c>
      <c r="G14298" t="s">
        <v>26</v>
      </c>
      <c r="I14298" s="8"/>
      <c r="O14298" t="str">
        <f>LEFT(Table2[[#This Row],[Description]],75)</f>
        <v>AplPay HOPSACK LLC  Balsam Lake         MN</v>
      </c>
    </row>
    <row r="14299" spans="1:15" hidden="1">
      <c r="A14299">
        <v>202510</v>
      </c>
      <c r="B14299" s="6">
        <v>45933</v>
      </c>
      <c r="C14299" t="s">
        <v>130</v>
      </c>
      <c r="D14299" t="s">
        <v>6183</v>
      </c>
      <c r="E14299">
        <v>26.12</v>
      </c>
      <c r="F14299" t="str">
        <f>IF(Table2[[#This Row],[Manual Cat Value]]="",Table2[[#This Row],[Suggested Cat Value]],VLOOKUP(Table2[[#This Row],[Manual Cat Value]],Lookup!G:H,2,0))</f>
        <v>Amazon</v>
      </c>
      <c r="G14299" t="s">
        <v>38</v>
      </c>
      <c r="I14299" s="8"/>
      <c r="O14299" t="str">
        <f>LEFT(Table2[[#This Row],[Description]],75)</f>
        <v>AMAZON MARKEPLACE NA PA</v>
      </c>
    </row>
    <row r="14300" spans="1:15" hidden="1">
      <c r="A14300">
        <v>202509</v>
      </c>
      <c r="B14300" s="6">
        <v>45927</v>
      </c>
      <c r="C14300" t="s">
        <v>130</v>
      </c>
      <c r="D14300" t="s">
        <v>6183</v>
      </c>
      <c r="E14300">
        <v>25.98</v>
      </c>
      <c r="F14300" t="str">
        <f>IF(Table2[[#This Row],[Manual Cat Value]]="",Table2[[#This Row],[Suggested Cat Value]],VLOOKUP(Table2[[#This Row],[Manual Cat Value]],Lookup!G:H,2,0))</f>
        <v>Amazon</v>
      </c>
      <c r="G14300" t="s">
        <v>38</v>
      </c>
      <c r="I14300" s="8"/>
      <c r="O14300" t="str">
        <f>LEFT(Table2[[#This Row],[Description]],75)</f>
        <v>AMAZON MARKEPLACE NA PA</v>
      </c>
    </row>
    <row r="14301" spans="1:15" hidden="1">
      <c r="A14301">
        <v>202506</v>
      </c>
      <c r="B14301" s="6">
        <v>45830</v>
      </c>
      <c r="C14301" t="s">
        <v>130</v>
      </c>
      <c r="D14301" t="s">
        <v>6795</v>
      </c>
      <c r="E14301">
        <v>25.94</v>
      </c>
      <c r="F14301" t="str">
        <f>IF(Table2[[#This Row],[Manual Cat Value]]="",Table2[[#This Row],[Suggested Cat Value]],VLOOKUP(Table2[[#This Row],[Manual Cat Value]],Lookup!G:H,2,0))</f>
        <v>Restaurants</v>
      </c>
      <c r="G14301" t="s">
        <v>26</v>
      </c>
      <c r="I14301" s="8"/>
      <c r="O14301" t="str">
        <f>LEFT(Table2[[#This Row],[Description]],75)</f>
        <v>KFC C750152 0000    NORTH BRANCH        MN</v>
      </c>
    </row>
    <row r="14302" spans="1:15" hidden="1">
      <c r="A14302">
        <v>202510</v>
      </c>
      <c r="B14302" s="6">
        <v>45944</v>
      </c>
      <c r="C14302" t="s">
        <v>3938</v>
      </c>
      <c r="D14302" t="s">
        <v>6796</v>
      </c>
      <c r="E14302">
        <v>25.47</v>
      </c>
      <c r="F14302" t="str">
        <f>IF(Table2[[#This Row],[Manual Cat Value]]="",Table2[[#This Row],[Suggested Cat Value]],VLOOKUP(Table2[[#This Row],[Manual Cat Value]],Lookup!G:H,2,0))</f>
        <v>Restaurants</v>
      </c>
      <c r="H14302" s="8" t="s">
        <v>25</v>
      </c>
      <c r="I14302" s="8"/>
      <c r="O14302" t="str">
        <f>LEFT(Table2[[#This Row],[Description]],75)</f>
        <v>WMA ITALY SRL FIRENZE IT REF #XX8988Z1Q2DV61Z</v>
      </c>
    </row>
    <row r="14303" spans="1:15" hidden="1">
      <c r="A14303">
        <v>202510</v>
      </c>
      <c r="B14303" s="6">
        <v>45939</v>
      </c>
      <c r="C14303" t="s">
        <v>130</v>
      </c>
      <c r="D14303" t="s">
        <v>6797</v>
      </c>
      <c r="E14303">
        <v>25.29</v>
      </c>
      <c r="F14303" t="str">
        <f>IF(Table2[[#This Row],[Manual Cat Value]]="",Table2[[#This Row],[Suggested Cat Value]],VLOOKUP(Table2[[#This Row],[Manual Cat Value]],Lookup!G:H,2,0))</f>
        <v>Restaurants</v>
      </c>
      <c r="G14303" t="s">
        <v>26</v>
      </c>
      <c r="I14303" s="8"/>
      <c r="O14303" t="str">
        <f>LEFT(Table2[[#This Row],[Description]],75)</f>
        <v>MSP AIRP LEEANN CHINSAINT PAUL          MN</v>
      </c>
    </row>
    <row r="14304" spans="1:15" hidden="1">
      <c r="A14304">
        <v>202508</v>
      </c>
      <c r="B14304" s="6">
        <v>45870</v>
      </c>
      <c r="C14304" t="s">
        <v>130</v>
      </c>
      <c r="D14304" t="s">
        <v>6798</v>
      </c>
      <c r="E14304">
        <v>25.23</v>
      </c>
      <c r="F14304" t="str">
        <f>IF(Table2[[#This Row],[Manual Cat Value]]="",Table2[[#This Row],[Suggested Cat Value]],VLOOKUP(Table2[[#This Row],[Manual Cat Value]],Lookup!G:H,2,0))</f>
        <v>Restaurants</v>
      </c>
      <c r="H14304" s="8" t="s">
        <v>25</v>
      </c>
      <c r="I14304" s="8"/>
      <c r="O14304" t="str">
        <f>LEFT(Table2[[#This Row],[Description]],75)</f>
        <v>THE DEERSTAND 068880DEERWOOD            MN</v>
      </c>
    </row>
    <row r="14305" spans="1:15" hidden="1">
      <c r="A14305">
        <v>202507</v>
      </c>
      <c r="B14305" s="6">
        <v>45852</v>
      </c>
      <c r="C14305" t="s">
        <v>2519</v>
      </c>
      <c r="D14305" t="s">
        <v>1955</v>
      </c>
      <c r="E14305">
        <v>25</v>
      </c>
      <c r="F14305" t="str">
        <f>IF(Table2[[#This Row],[Manual Cat Value]]="",Table2[[#This Row],[Suggested Cat Value]],VLOOKUP(Table2[[#This Row],[Manual Cat Value]],Lookup!G:H,2,0))</f>
        <v>Shopping</v>
      </c>
      <c r="G14305" t="s">
        <v>21</v>
      </c>
      <c r="I14305" s="8"/>
      <c r="O14305" t="str">
        <f>LEFT(Table2[[#This Row],[Description]],75)</f>
        <v>Transfer to PayPal</v>
      </c>
    </row>
    <row r="14306" spans="1:15" hidden="1">
      <c r="A14306">
        <v>202506</v>
      </c>
      <c r="B14306" s="6">
        <v>45816</v>
      </c>
      <c r="C14306" t="s">
        <v>3938</v>
      </c>
      <c r="D14306" t="s">
        <v>1773</v>
      </c>
      <c r="E14306">
        <v>25</v>
      </c>
      <c r="F14306" t="str">
        <f>IF(Table2[[#This Row],[Manual Cat Value]]="",Table2[[#This Row],[Suggested Cat Value]],VLOOKUP(Table2[[#This Row],[Manual Cat Value]],Lookup!G:H,2,0))</f>
        <v>Restaurants</v>
      </c>
      <c r="G14306" t="s">
        <v>26</v>
      </c>
      <c r="I14306" s="8"/>
      <c r="O14306" t="str">
        <f>LEFT(Table2[[#This Row],[Description]],75)</f>
        <v>Starbucks</v>
      </c>
    </row>
    <row r="14307" spans="1:15" hidden="1">
      <c r="A14307">
        <v>202506</v>
      </c>
      <c r="B14307" s="6">
        <v>45816</v>
      </c>
      <c r="C14307" t="s">
        <v>3938</v>
      </c>
      <c r="D14307" t="s">
        <v>6799</v>
      </c>
      <c r="E14307">
        <v>25</v>
      </c>
      <c r="F14307" t="str">
        <f>IF(Table2[[#This Row],[Manual Cat Value]]="",Table2[[#This Row],[Suggested Cat Value]],VLOOKUP(Table2[[#This Row],[Manual Cat Value]],Lookup!G:H,2,0))</f>
        <v>Gym</v>
      </c>
      <c r="H14307" s="8" t="s">
        <v>33</v>
      </c>
      <c r="I14307" s="8"/>
      <c r="O14307" t="str">
        <f>LEFT(Table2[[#This Row],[Description]],75)</f>
        <v>Fusion Fitness</v>
      </c>
    </row>
    <row r="14308" spans="1:15" hidden="1">
      <c r="A14308">
        <v>202508</v>
      </c>
      <c r="B14308" s="6">
        <v>45887</v>
      </c>
      <c r="C14308" t="s">
        <v>130</v>
      </c>
      <c r="D14308" t="s">
        <v>6066</v>
      </c>
      <c r="E14308">
        <v>25</v>
      </c>
      <c r="F14308" t="str">
        <f>IF(Table2[[#This Row],[Manual Cat Value]]="",Table2[[#This Row],[Suggested Cat Value]],VLOOKUP(Table2[[#This Row],[Manual Cat Value]],Lookup!G:H,2,0))</f>
        <v>Restaurants</v>
      </c>
      <c r="G14308" t="s">
        <v>26</v>
      </c>
      <c r="I14308" s="8"/>
      <c r="O14308" t="str">
        <f>LEFT(Table2[[#This Row],[Description]],75)</f>
        <v>AplPay STARBUCKS    800-782-7282        WA</v>
      </c>
    </row>
    <row r="14309" spans="1:15" hidden="1">
      <c r="A14309">
        <v>202507</v>
      </c>
      <c r="B14309" s="6">
        <v>45866</v>
      </c>
      <c r="C14309" t="s">
        <v>130</v>
      </c>
      <c r="D14309" t="s">
        <v>6800</v>
      </c>
      <c r="E14309">
        <v>25</v>
      </c>
      <c r="F14309" t="str">
        <f>IF(Table2[[#This Row],[Manual Cat Value]]="",Table2[[#This Row],[Suggested Cat Value]],VLOOKUP(Table2[[#This Row],[Manual Cat Value]],Lookup!G:H,2,0))</f>
        <v>Entertainment</v>
      </c>
      <c r="G14309" t="s">
        <v>40</v>
      </c>
      <c r="I14309" s="8"/>
      <c r="O14309" t="str">
        <f>LEFT(Table2[[#This Row],[Description]],75)</f>
        <v>A RAMP 8067 08487002MINNEAPOLIS         MN</v>
      </c>
    </row>
    <row r="14310" spans="1:15" hidden="1">
      <c r="A14310">
        <v>202507</v>
      </c>
      <c r="B14310" s="6">
        <v>45849</v>
      </c>
      <c r="C14310" t="s">
        <v>130</v>
      </c>
      <c r="D14310" t="s">
        <v>6801</v>
      </c>
      <c r="E14310">
        <v>25</v>
      </c>
      <c r="F14310" t="str">
        <f>IF(Table2[[#This Row],[Manual Cat Value]]="",Table2[[#This Row],[Suggested Cat Value]],VLOOKUP(Table2[[#This Row],[Manual Cat Value]],Lookup!G:H,2,0))</f>
        <v>Restaurants</v>
      </c>
      <c r="G14310" t="s">
        <v>26</v>
      </c>
      <c r="I14310" s="8"/>
      <c r="O14310" t="str">
        <f>LEFT(Table2[[#This Row],[Description]],75)</f>
        <v>AplPay A'BULAE      Saint Paul          MN</v>
      </c>
    </row>
    <row r="14311" spans="1:15" hidden="1">
      <c r="A14311">
        <v>202510</v>
      </c>
      <c r="B14311" s="6">
        <v>45948</v>
      </c>
      <c r="C14311" t="s">
        <v>130</v>
      </c>
      <c r="D14311" t="s">
        <v>6768</v>
      </c>
      <c r="E14311">
        <v>24.9</v>
      </c>
      <c r="F14311" t="str">
        <f>IF(Table2[[#This Row],[Manual Cat Value]]="",Table2[[#This Row],[Suggested Cat Value]],VLOOKUP(Table2[[#This Row],[Manual Cat Value]],Lookup!G:H,2,0))</f>
        <v>Transportation</v>
      </c>
      <c r="G14311" t="s">
        <v>23</v>
      </c>
      <c r="I14311" s="8"/>
      <c r="O14311" t="str">
        <f>LEFT(Table2[[#This Row],[Description]],75)</f>
        <v>UBER TRIP           HTTPS://HELP.UBER.COCA</v>
      </c>
    </row>
    <row r="14312" spans="1:15" hidden="1">
      <c r="A14312">
        <v>202507</v>
      </c>
      <c r="B14312" s="6">
        <v>45857</v>
      </c>
      <c r="C14312" t="s">
        <v>130</v>
      </c>
      <c r="D14312" t="s">
        <v>6802</v>
      </c>
      <c r="E14312">
        <v>24.82</v>
      </c>
      <c r="F14312" t="str">
        <f>IF(Table2[[#This Row],[Manual Cat Value]]="",Table2[[#This Row],[Suggested Cat Value]],VLOOKUP(Table2[[#This Row],[Manual Cat Value]],Lookup!G:H,2,0))</f>
        <v>Restaurants</v>
      </c>
      <c r="G14312" t="s">
        <v>26</v>
      </c>
      <c r="I14312" s="8"/>
      <c r="O14312" t="str">
        <f>LEFT(Table2[[#This Row],[Description]],75)</f>
        <v>TST* DOG HAUS BIERGADENVER              CO</v>
      </c>
    </row>
    <row r="14313" spans="1:15" hidden="1">
      <c r="A14313">
        <v>202508</v>
      </c>
      <c r="B14313" s="6">
        <v>45892</v>
      </c>
      <c r="C14313" t="s">
        <v>130</v>
      </c>
      <c r="D14313" t="s">
        <v>6588</v>
      </c>
      <c r="E14313">
        <v>24.76</v>
      </c>
      <c r="F14313" t="str">
        <f>IF(Table2[[#This Row],[Manual Cat Value]]="",Table2[[#This Row],[Suggested Cat Value]],VLOOKUP(Table2[[#This Row],[Manual Cat Value]],Lookup!G:H,2,0))</f>
        <v>Shopping</v>
      </c>
      <c r="G14313" t="s">
        <v>21</v>
      </c>
      <c r="I14313" s="8"/>
      <c r="O14313" t="str">
        <f>LEFT(Table2[[#This Row],[Description]],75)</f>
        <v>TST* LORD FLETCHER'SSPRING PARK         MN</v>
      </c>
    </row>
    <row r="14314" spans="1:15" hidden="1">
      <c r="A14314">
        <v>202510</v>
      </c>
      <c r="B14314" s="6">
        <v>45947</v>
      </c>
      <c r="C14314" t="s">
        <v>130</v>
      </c>
      <c r="D14314" t="s">
        <v>6803</v>
      </c>
      <c r="E14314">
        <v>24.71</v>
      </c>
      <c r="F14314" t="str">
        <f>IF(Table2[[#This Row],[Manual Cat Value]]="",Table2[[#This Row],[Suggested Cat Value]],VLOOKUP(Table2[[#This Row],[Manual Cat Value]],Lookup!G:H,2,0))</f>
        <v>Restaurants</v>
      </c>
      <c r="G14314" t="s">
        <v>26</v>
      </c>
      <c r="I14314" s="8"/>
      <c r="O14314" t="str">
        <f>LEFT(Table2[[#This Row],[Description]],75)</f>
        <v>AplPay ENI07431     ORVIETO</v>
      </c>
    </row>
    <row r="14315" spans="1:15" hidden="1">
      <c r="A14315">
        <v>202510</v>
      </c>
      <c r="B14315" s="6">
        <v>45951</v>
      </c>
      <c r="C14315" t="s">
        <v>3938</v>
      </c>
      <c r="D14315" t="s">
        <v>6804</v>
      </c>
      <c r="E14315">
        <v>24.63</v>
      </c>
      <c r="F14315" t="str">
        <f>IF(Table2[[#This Row],[Manual Cat Value]]="",Table2[[#This Row],[Suggested Cat Value]],VLOOKUP(Table2[[#This Row],[Manual Cat Value]],Lookup!G:H,2,0))</f>
        <v>Delete</v>
      </c>
      <c r="G14315" t="s">
        <v>9</v>
      </c>
      <c r="I14315" s="8"/>
      <c r="O14315" t="str">
        <f>LEFT(Table2[[#This Row],[Description]],75)</f>
        <v>Fabbrica di San Pietro Citta del VatVS REF #XX9546E9GH6A</v>
      </c>
    </row>
    <row r="14316" spans="1:15" hidden="1">
      <c r="A14316">
        <v>202506</v>
      </c>
      <c r="B14316" s="6">
        <v>45822</v>
      </c>
      <c r="C14316" t="s">
        <v>130</v>
      </c>
      <c r="D14316" t="s">
        <v>6607</v>
      </c>
      <c r="E14316">
        <v>24.25</v>
      </c>
      <c r="F14316" t="str">
        <f>IF(Table2[[#This Row],[Manual Cat Value]]="",Table2[[#This Row],[Suggested Cat Value]],VLOOKUP(Table2[[#This Row],[Manual Cat Value]],Lookup!G:H,2,0))</f>
        <v>Restaurants</v>
      </c>
      <c r="G14316" t="s">
        <v>26</v>
      </c>
      <c r="I14316" s="8"/>
      <c r="O14316" t="str">
        <f>LEFT(Table2[[#This Row],[Description]],75)</f>
        <v>AplPay BALSAM LAKE TBALSAM LAKE         WI</v>
      </c>
    </row>
    <row r="14317" spans="1:15" hidden="1">
      <c r="A14317">
        <v>202508</v>
      </c>
      <c r="B14317" s="6">
        <v>45875</v>
      </c>
      <c r="C14317" t="s">
        <v>130</v>
      </c>
      <c r="D14317" t="s">
        <v>6805</v>
      </c>
      <c r="E14317">
        <v>24.17</v>
      </c>
      <c r="F14317" t="str">
        <f>IF(Table2[[#This Row],[Manual Cat Value]]="",Table2[[#This Row],[Suggested Cat Value]],VLOOKUP(Table2[[#This Row],[Manual Cat Value]],Lookup!G:H,2,0))</f>
        <v>Delete</v>
      </c>
      <c r="G14317" t="s">
        <v>9</v>
      </c>
      <c r="I14317" s="8"/>
      <c r="O14317" t="str">
        <f>LEFT(Table2[[#This Row],[Description]],75)</f>
        <v>THAI BOAT 89        Minneapolis         MN</v>
      </c>
    </row>
    <row r="14318" spans="1:15" hidden="1">
      <c r="A14318">
        <v>202507</v>
      </c>
      <c r="B14318" s="6">
        <v>45856</v>
      </c>
      <c r="C14318" t="s">
        <v>130</v>
      </c>
      <c r="D14318" t="s">
        <v>6806</v>
      </c>
      <c r="E14318">
        <v>24.14</v>
      </c>
      <c r="F14318" t="str">
        <f>IF(Table2[[#This Row],[Manual Cat Value]]="",Table2[[#This Row],[Suggested Cat Value]],VLOOKUP(Table2[[#This Row],[Manual Cat Value]],Lookup!G:H,2,0))</f>
        <v>Groceries</v>
      </c>
      <c r="H14318" s="8" t="s">
        <v>27</v>
      </c>
      <c r="I14318" s="8"/>
      <c r="O14318" t="str">
        <f>LEFT(Table2[[#This Row],[Description]],75)</f>
        <v>LIQUIDAMBITIONSLIQUOCREEDE              CO</v>
      </c>
    </row>
    <row r="14319" spans="1:15" hidden="1">
      <c r="A14319">
        <v>202507</v>
      </c>
      <c r="B14319" s="6">
        <v>45848</v>
      </c>
      <c r="C14319" t="s">
        <v>130</v>
      </c>
      <c r="D14319" t="s">
        <v>6462</v>
      </c>
      <c r="E14319">
        <v>23.83</v>
      </c>
      <c r="F14319" t="str">
        <f>IF(Table2[[#This Row],[Manual Cat Value]]="",Table2[[#This Row],[Suggested Cat Value]],VLOOKUP(Table2[[#This Row],[Manual Cat Value]],Lookup!G:H,2,0))</f>
        <v>Restaurants</v>
      </c>
      <c r="G14319" t="s">
        <v>26</v>
      </c>
      <c r="I14319" s="8"/>
      <c r="O14319" t="str">
        <f>LEFT(Table2[[#This Row],[Description]],75)</f>
        <v>DAIRY QUEEN #45864 0MINNETONKA          MN</v>
      </c>
    </row>
    <row r="14320" spans="1:15" hidden="1">
      <c r="A14320">
        <v>202507</v>
      </c>
      <c r="B14320" s="6">
        <v>45868</v>
      </c>
      <c r="C14320" t="s">
        <v>130</v>
      </c>
      <c r="D14320" t="s">
        <v>5742</v>
      </c>
      <c r="E14320">
        <v>23.66</v>
      </c>
      <c r="F14320" t="str">
        <f>IF(Table2[[#This Row],[Manual Cat Value]]="",Table2[[#This Row],[Suggested Cat Value]],VLOOKUP(Table2[[#This Row],[Manual Cat Value]],Lookup!G:H,2,0))</f>
        <v>Restaurants</v>
      </c>
      <c r="G14320" t="s">
        <v>26</v>
      </c>
      <c r="I14320" s="8"/>
      <c r="O14320" t="str">
        <f>LEFT(Table2[[#This Row],[Description]],75)</f>
        <v>TST* MAYNARDS INSIDEEXCELSIOR           MN</v>
      </c>
    </row>
    <row r="14321" spans="1:15" hidden="1">
      <c r="A14321">
        <v>202510</v>
      </c>
      <c r="B14321" s="6">
        <v>45949</v>
      </c>
      <c r="C14321" t="s">
        <v>3938</v>
      </c>
      <c r="D14321" t="s">
        <v>6807</v>
      </c>
      <c r="E14321">
        <v>23.46</v>
      </c>
      <c r="F14321" t="str">
        <f>IF(Table2[[#This Row],[Manual Cat Value]]="",Table2[[#This Row],[Suggested Cat Value]],VLOOKUP(Table2[[#This Row],[Manual Cat Value]],Lookup!G:H,2,0))</f>
        <v>Travel</v>
      </c>
      <c r="H14321" s="8" t="s">
        <v>52</v>
      </c>
      <c r="I14321" s="8"/>
      <c r="O14321" t="str">
        <f>LEFT(Table2[[#This Row],[Description]],75)</f>
        <v>WWW.BASILICASANCLEMENT ROMA IT REF #XX5932X4NPFSW</v>
      </c>
    </row>
    <row r="14322" spans="1:15" hidden="1">
      <c r="A14322">
        <v>202510</v>
      </c>
      <c r="B14322" s="6">
        <v>45959</v>
      </c>
      <c r="C14322" t="s">
        <v>130</v>
      </c>
      <c r="D14322" t="s">
        <v>6035</v>
      </c>
      <c r="E14322">
        <v>23.45</v>
      </c>
      <c r="F14322" t="str">
        <f>IF(Table2[[#This Row],[Manual Cat Value]]="",Table2[[#This Row],[Suggested Cat Value]],VLOOKUP(Table2[[#This Row],[Manual Cat Value]],Lookup!G:H,2,0))</f>
        <v>Groceries</v>
      </c>
      <c r="G14322" t="s">
        <v>28</v>
      </c>
      <c r="I14322" s="8"/>
      <c r="O14322" t="str">
        <f>LEFT(Table2[[#This Row],[Description]],75)</f>
        <v>KOWALSKI'S EXCELSIOREXCELSIOR           MN</v>
      </c>
    </row>
    <row r="14323" spans="1:15" hidden="1">
      <c r="A14323">
        <v>202510</v>
      </c>
      <c r="B14323" s="6">
        <v>45945</v>
      </c>
      <c r="C14323" t="s">
        <v>130</v>
      </c>
      <c r="D14323" t="s">
        <v>6808</v>
      </c>
      <c r="E14323">
        <v>23.29</v>
      </c>
      <c r="F14323" t="str">
        <f>IF(Table2[[#This Row],[Manual Cat Value]]="",Table2[[#This Row],[Suggested Cat Value]],VLOOKUP(Table2[[#This Row],[Manual Cat Value]],Lookup!G:H,2,0))</f>
        <v>Restaurants</v>
      </c>
      <c r="G14323" t="s">
        <v>26</v>
      </c>
      <c r="I14323" s="8"/>
      <c r="O14323" t="str">
        <f>LEFT(Table2[[#This Row],[Description]],75)</f>
        <v>AplPay LA BOTTEGHINACASTIGLIONE DEL LAGO</v>
      </c>
    </row>
    <row r="14324" spans="1:15" hidden="1">
      <c r="A14324">
        <v>202510</v>
      </c>
      <c r="B14324" s="6">
        <v>45942</v>
      </c>
      <c r="C14324" t="s">
        <v>3938</v>
      </c>
      <c r="D14324" t="s">
        <v>6809</v>
      </c>
      <c r="E14324">
        <v>23.26</v>
      </c>
      <c r="F14324" t="str">
        <f>IF(Table2[[#This Row],[Manual Cat Value]]="",Table2[[#This Row],[Suggested Cat Value]],VLOOKUP(Table2[[#This Row],[Manual Cat Value]],Lookup!G:H,2,0))</f>
        <v>Restaurants</v>
      </c>
      <c r="H14324" s="8" t="s">
        <v>25</v>
      </c>
      <c r="I14324" s="8"/>
      <c r="O14324" t="str">
        <f>LEFT(Table2[[#This Row],[Description]],75)</f>
        <v>BAR LO SPUNTINO MONTEROSSO ALIT REF #XX1638WDFEETWV4</v>
      </c>
    </row>
    <row r="14325" spans="1:15" hidden="1">
      <c r="A14325">
        <v>202510</v>
      </c>
      <c r="B14325" s="6">
        <v>45943</v>
      </c>
      <c r="C14325" t="s">
        <v>130</v>
      </c>
      <c r="D14325" t="s">
        <v>6810</v>
      </c>
      <c r="E14325">
        <v>23.23</v>
      </c>
      <c r="F14325" t="str">
        <f>IF(Table2[[#This Row],[Manual Cat Value]]="",Table2[[#This Row],[Suggested Cat Value]],VLOOKUP(Table2[[#This Row],[Manual Cat Value]],Lookup!G:H,2,0))</f>
        <v>Restaurants</v>
      </c>
      <c r="H14325" s="8" t="s">
        <v>25</v>
      </c>
      <c r="I14325" s="8"/>
      <c r="O14325" t="str">
        <f>LEFT(Table2[[#This Row],[Description]],75)</f>
        <v>GELATERIA VEGANA    FIRENZE</v>
      </c>
    </row>
    <row r="14326" spans="1:15" hidden="1">
      <c r="A14326">
        <v>202506</v>
      </c>
      <c r="B14326" s="6">
        <v>45814</v>
      </c>
      <c r="C14326" t="s">
        <v>130</v>
      </c>
      <c r="D14326" t="s">
        <v>6811</v>
      </c>
      <c r="E14326">
        <v>23.04</v>
      </c>
      <c r="F14326" t="str">
        <f>IF(Table2[[#This Row],[Manual Cat Value]]="",Table2[[#This Row],[Suggested Cat Value]],VLOOKUP(Table2[[#This Row],[Manual Cat Value]],Lookup!G:H,2,0))</f>
        <v>Restaurants</v>
      </c>
      <c r="H14326" s="8" t="s">
        <v>25</v>
      </c>
      <c r="I14326" s="8"/>
      <c r="O14326" t="str">
        <f>LEFT(Table2[[#This Row],[Description]],75)</f>
        <v>LHR T3 GLORIOUS BRITTERMINAL 3 LANDSID  GB</v>
      </c>
    </row>
    <row r="14327" spans="1:15" hidden="1">
      <c r="A14327">
        <v>202508</v>
      </c>
      <c r="B14327" s="6">
        <v>45873</v>
      </c>
      <c r="C14327" t="s">
        <v>130</v>
      </c>
      <c r="D14327" t="s">
        <v>6812</v>
      </c>
      <c r="E14327">
        <v>22.95</v>
      </c>
      <c r="F14327" t="str">
        <f>IF(Table2[[#This Row],[Manual Cat Value]]="",Table2[[#This Row],[Suggested Cat Value]],VLOOKUP(Table2[[#This Row],[Manual Cat Value]],Lookup!G:H,2,0))</f>
        <v>Delete</v>
      </c>
      <c r="G14327" t="s">
        <v>9</v>
      </c>
      <c r="I14327" s="8"/>
      <c r="O14327" t="str">
        <f>LEFT(Table2[[#This Row],[Description]],75)</f>
        <v>SUMUP*VALERY VENBERGCORK</v>
      </c>
    </row>
    <row r="14328" spans="1:15" hidden="1">
      <c r="A14328">
        <v>202506</v>
      </c>
      <c r="B14328" s="6">
        <v>45836</v>
      </c>
      <c r="C14328" t="s">
        <v>130</v>
      </c>
      <c r="D14328" t="s">
        <v>6813</v>
      </c>
      <c r="E14328">
        <v>22.86</v>
      </c>
      <c r="F14328" t="str">
        <f>IF(Table2[[#This Row],[Manual Cat Value]]="",Table2[[#This Row],[Suggested Cat Value]],VLOOKUP(Table2[[#This Row],[Manual Cat Value]],Lookup!G:H,2,0))</f>
        <v>Restaurants</v>
      </c>
      <c r="G14328" t="s">
        <v>26</v>
      </c>
      <c r="I14328" s="8"/>
      <c r="O14328" t="str">
        <f>LEFT(Table2[[#This Row],[Description]],75)</f>
        <v>PROPAY*Porzana-Uptow7632279002          MN</v>
      </c>
    </row>
    <row r="14329" spans="1:15" hidden="1">
      <c r="A14329">
        <v>202507</v>
      </c>
      <c r="B14329" s="6">
        <v>45862</v>
      </c>
      <c r="C14329" t="s">
        <v>130</v>
      </c>
      <c r="D14329" t="s">
        <v>5887</v>
      </c>
      <c r="E14329">
        <v>22.62</v>
      </c>
      <c r="F14329" t="str">
        <f>IF(Table2[[#This Row],[Manual Cat Value]]="",Table2[[#This Row],[Suggested Cat Value]],VLOOKUP(Table2[[#This Row],[Manual Cat Value]],Lookup!G:H,2,0))</f>
        <v>Transportation</v>
      </c>
      <c r="G14329" t="s">
        <v>23</v>
      </c>
      <c r="I14329" s="8"/>
      <c r="O14329" t="str">
        <f>LEFT(Table2[[#This Row],[Description]],75)</f>
        <v>SPEEDWAY            1-800-643-1949      OH</v>
      </c>
    </row>
    <row r="14330" spans="1:15" hidden="1">
      <c r="A14330">
        <v>202508</v>
      </c>
      <c r="B14330" s="6">
        <v>45881</v>
      </c>
      <c r="C14330" t="s">
        <v>130</v>
      </c>
      <c r="D14330" t="s">
        <v>6814</v>
      </c>
      <c r="E14330">
        <v>22.27</v>
      </c>
      <c r="F14330" t="str">
        <f>IF(Table2[[#This Row],[Manual Cat Value]]="",Table2[[#This Row],[Suggested Cat Value]],VLOOKUP(Table2[[#This Row],[Manual Cat Value]],Lookup!G:H,2,0))</f>
        <v>Restaurants</v>
      </c>
      <c r="G14330" t="s">
        <v>26</v>
      </c>
      <c r="I14330" s="8"/>
      <c r="O14330" t="str">
        <f>LEFT(Table2[[#This Row],[Description]],75)</f>
        <v>TST* OAK 19 FARE &amp; RCHASKA              MN</v>
      </c>
    </row>
    <row r="14331" spans="1:15" hidden="1">
      <c r="A14331">
        <v>202508</v>
      </c>
      <c r="B14331" s="6">
        <v>45886</v>
      </c>
      <c r="C14331" t="s">
        <v>130</v>
      </c>
      <c r="D14331" t="s">
        <v>6815</v>
      </c>
      <c r="E14331">
        <v>22.13</v>
      </c>
      <c r="F14331" t="str">
        <f>IF(Table2[[#This Row],[Manual Cat Value]]="",Table2[[#This Row],[Suggested Cat Value]],VLOOKUP(Table2[[#This Row],[Manual Cat Value]],Lookup!G:H,2,0))</f>
        <v>College Savings</v>
      </c>
      <c r="G14331" t="s">
        <v>61</v>
      </c>
      <c r="I14331" s="8"/>
      <c r="O14331" t="str">
        <f>LEFT(Table2[[#This Row],[Description]],75)</f>
        <v>TOBIES STATION INC  HINCKLEY            MN</v>
      </c>
    </row>
    <row r="14332" spans="1:15" hidden="1">
      <c r="A14332">
        <v>202509</v>
      </c>
      <c r="B14332" s="6">
        <v>45920</v>
      </c>
      <c r="C14332" t="s">
        <v>130</v>
      </c>
      <c r="D14332" t="s">
        <v>6816</v>
      </c>
      <c r="E14332">
        <v>22</v>
      </c>
      <c r="F14332" t="str">
        <f>IF(Table2[[#This Row],[Manual Cat Value]]="",Table2[[#This Row],[Suggested Cat Value]],VLOOKUP(Table2[[#This Row],[Manual Cat Value]],Lookup!G:H,2,0))</f>
        <v>Restaurants</v>
      </c>
      <c r="G14332" t="s">
        <v>26</v>
      </c>
      <c r="I14332" s="8"/>
      <c r="O14332" t="str">
        <f>LEFT(Table2[[#This Row],[Description]],75)</f>
        <v>BIG BLUE            Excelsior           MN</v>
      </c>
    </row>
    <row r="14333" spans="1:15" hidden="1">
      <c r="A14333">
        <v>202508</v>
      </c>
      <c r="B14333" s="6">
        <v>45894</v>
      </c>
      <c r="C14333" t="s">
        <v>130</v>
      </c>
      <c r="D14333" t="s">
        <v>5771</v>
      </c>
      <c r="E14333">
        <v>21.96</v>
      </c>
      <c r="F14333" t="str">
        <f>IF(Table2[[#This Row],[Manual Cat Value]]="",Table2[[#This Row],[Suggested Cat Value]],VLOOKUP(Table2[[#This Row],[Manual Cat Value]],Lookup!G:H,2,0))</f>
        <v>Restaurants</v>
      </c>
      <c r="G14333" t="s">
        <v>26</v>
      </c>
      <c r="I14333" s="8"/>
      <c r="O14333" t="str">
        <f>LEFT(Table2[[#This Row],[Description]],75)</f>
        <v>AplPay JIMMY JOHNS -CHANHASSEN          MN</v>
      </c>
    </row>
    <row r="14334" spans="1:15" hidden="1">
      <c r="A14334">
        <v>202507</v>
      </c>
      <c r="B14334" s="6">
        <v>45843</v>
      </c>
      <c r="C14334" t="s">
        <v>130</v>
      </c>
      <c r="D14334" t="s">
        <v>6817</v>
      </c>
      <c r="E14334">
        <v>21.84</v>
      </c>
      <c r="F14334" t="str">
        <f>IF(Table2[[#This Row],[Manual Cat Value]]="",Table2[[#This Row],[Suggested Cat Value]],VLOOKUP(Table2[[#This Row],[Manual Cat Value]],Lookup!G:H,2,0))</f>
        <v>Restaurants</v>
      </c>
      <c r="G14334" t="s">
        <v>26</v>
      </c>
      <c r="I14334" s="8"/>
      <c r="O14334" t="str">
        <f>LEFT(Table2[[#This Row],[Description]],75)</f>
        <v>AplPay CAFE WREN    Luck                WI</v>
      </c>
    </row>
    <row r="14335" spans="1:15" hidden="1">
      <c r="A14335">
        <v>202506</v>
      </c>
      <c r="B14335" s="6">
        <v>45837</v>
      </c>
      <c r="C14335" t="s">
        <v>130</v>
      </c>
      <c r="D14335" t="s">
        <v>6818</v>
      </c>
      <c r="E14335">
        <v>21.73</v>
      </c>
      <c r="F14335" t="str">
        <f>IF(Table2[[#This Row],[Manual Cat Value]]="",Table2[[#This Row],[Suggested Cat Value]],VLOOKUP(Table2[[#This Row],[Manual Cat Value]],Lookup!G:H,2,0))</f>
        <v>Restaurants</v>
      </c>
      <c r="G14335" t="s">
        <v>26</v>
      </c>
      <c r="I14335" s="8"/>
      <c r="O14335" t="str">
        <f>LEFT(Table2[[#This Row],[Description]],75)</f>
        <v>MCDONALD'S F35248 00CHANHASSEN          MN</v>
      </c>
    </row>
    <row r="14336" spans="1:15" hidden="1">
      <c r="A14336">
        <v>202506</v>
      </c>
      <c r="B14336" s="6">
        <v>45825</v>
      </c>
      <c r="C14336" t="s">
        <v>130</v>
      </c>
      <c r="D14336" t="s">
        <v>6280</v>
      </c>
      <c r="E14336">
        <v>21.66</v>
      </c>
      <c r="F14336" t="str">
        <f>IF(Table2[[#This Row],[Manual Cat Value]]="",Table2[[#This Row],[Suggested Cat Value]],VLOOKUP(Table2[[#This Row],[Manual Cat Value]],Lookup!G:H,2,0))</f>
        <v>Shopping</v>
      </c>
      <c r="G14336" t="s">
        <v>21</v>
      </c>
      <c r="I14336" s="8"/>
      <c r="O14336" t="str">
        <f>LEFT(Table2[[#This Row],[Description]],75)</f>
        <v>PLAY IT AGAIN SPORTSCHASKA              MN</v>
      </c>
    </row>
    <row r="14337" spans="1:15" hidden="1">
      <c r="A14337">
        <v>202509</v>
      </c>
      <c r="B14337" s="6">
        <v>45912</v>
      </c>
      <c r="C14337" t="s">
        <v>130</v>
      </c>
      <c r="D14337" t="s">
        <v>6819</v>
      </c>
      <c r="E14337">
        <v>21.32</v>
      </c>
      <c r="F14337" t="str">
        <f>IF(Table2[[#This Row],[Manual Cat Value]]="",Table2[[#This Row],[Suggested Cat Value]],VLOOKUP(Table2[[#This Row],[Manual Cat Value]],Lookup!G:H,2,0))</f>
        <v>Restaurants</v>
      </c>
      <c r="G14337" t="s">
        <v>26</v>
      </c>
      <c r="I14337" s="8"/>
      <c r="O14337" t="str">
        <f>LEFT(Table2[[#This Row],[Description]],75)</f>
        <v>CAFE ENA 0000       MINNEAPOLIS         MN</v>
      </c>
    </row>
    <row r="14338" spans="1:15" hidden="1">
      <c r="A14338">
        <v>202510</v>
      </c>
      <c r="B14338" s="6">
        <v>45937</v>
      </c>
      <c r="C14338" t="s">
        <v>130</v>
      </c>
      <c r="D14338" t="s">
        <v>6820</v>
      </c>
      <c r="E14338">
        <v>21.04</v>
      </c>
      <c r="F14338" t="str">
        <f>IF(Table2[[#This Row],[Manual Cat Value]]="",Table2[[#This Row],[Suggested Cat Value]],VLOOKUP(Table2[[#This Row],[Manual Cat Value]],Lookup!G:H,2,0))</f>
        <v>Restaurants</v>
      </c>
      <c r="H14338" s="8" t="s">
        <v>25</v>
      </c>
      <c r="I14338" s="8"/>
      <c r="O14338" t="str">
        <f>LEFT(Table2[[#This Row],[Description]],75)</f>
        <v>CAROSSO ENOTECA     ALBA</v>
      </c>
    </row>
    <row r="14339" spans="1:15" hidden="1">
      <c r="A14339">
        <v>202510</v>
      </c>
      <c r="B14339" s="6">
        <v>45940</v>
      </c>
      <c r="C14339" t="s">
        <v>2519</v>
      </c>
      <c r="D14339" t="s">
        <v>1958</v>
      </c>
      <c r="E14339">
        <v>21</v>
      </c>
      <c r="F14339" t="str">
        <f>IF(Table2[[#This Row],[Manual Cat Value]]="",Table2[[#This Row],[Suggested Cat Value]],VLOOKUP(Table2[[#This Row],[Manual Cat Value]],Lookup!G:H,2,0))</f>
        <v>Shopping</v>
      </c>
      <c r="G14339" t="s">
        <v>21</v>
      </c>
      <c r="I14339" s="8"/>
      <c r="O14339" t="str">
        <f>LEFT(Table2[[#This Row],[Description]],75)</f>
        <v>Transfer to Venmo</v>
      </c>
    </row>
    <row r="14340" spans="1:15" hidden="1">
      <c r="A14340">
        <v>202510</v>
      </c>
      <c r="B14340" s="6">
        <v>45941</v>
      </c>
      <c r="C14340" t="s">
        <v>130</v>
      </c>
      <c r="D14340" t="s">
        <v>6821</v>
      </c>
      <c r="E14340">
        <v>20.86</v>
      </c>
      <c r="F14340" t="str">
        <f>IF(Table2[[#This Row],[Manual Cat Value]]="",Table2[[#This Row],[Suggested Cat Value]],VLOOKUP(Table2[[#This Row],[Manual Cat Value]],Lookup!G:H,2,0))</f>
        <v>Restaurants</v>
      </c>
      <c r="H14340" s="8" t="s">
        <v>25</v>
      </c>
      <c r="I14340" s="8"/>
      <c r="O14340" t="str">
        <f>LEFT(Table2[[#This Row],[Description]],75)</f>
        <v>ERMIRIO MARGHERITA  VERNAZZA</v>
      </c>
    </row>
    <row r="14341" spans="1:15" hidden="1">
      <c r="A14341">
        <v>202507</v>
      </c>
      <c r="B14341" s="6">
        <v>45840</v>
      </c>
      <c r="C14341" t="s">
        <v>130</v>
      </c>
      <c r="D14341" t="s">
        <v>6069</v>
      </c>
      <c r="E14341">
        <v>20.36</v>
      </c>
      <c r="F14341" t="str">
        <f>IF(Table2[[#This Row],[Manual Cat Value]]="",Table2[[#This Row],[Suggested Cat Value]],VLOOKUP(Table2[[#This Row],[Manual Cat Value]],Lookup!G:H,2,0))</f>
        <v>Restaurants</v>
      </c>
      <c r="G14341" t="s">
        <v>26</v>
      </c>
      <c r="I14341" s="8"/>
      <c r="O14341" t="str">
        <f>LEFT(Table2[[#This Row],[Description]],75)</f>
        <v>AplPay THE LOBBY COFExcelsior           MN</v>
      </c>
    </row>
    <row r="14342" spans="1:15" hidden="1">
      <c r="A14342">
        <v>202510</v>
      </c>
      <c r="B14342" s="6">
        <v>45944</v>
      </c>
      <c r="C14342" t="s">
        <v>130</v>
      </c>
      <c r="D14342" t="s">
        <v>5762</v>
      </c>
      <c r="E14342">
        <v>20</v>
      </c>
      <c r="F14342" t="str">
        <f>IF(Table2[[#This Row],[Manual Cat Value]]="",Table2[[#This Row],[Suggested Cat Value]],VLOOKUP(Table2[[#This Row],[Manual Cat Value]],Lookup!G:H,2,0))</f>
        <v>Utilities</v>
      </c>
      <c r="G14342" t="s">
        <v>7</v>
      </c>
      <c r="I14342" s="8"/>
      <c r="O14342" t="str">
        <f>LEFT(Table2[[#This Row],[Description]],75)</f>
        <v>OPENAI *CHATGPT SUBSSAN FRANCISCO       CA</v>
      </c>
    </row>
    <row r="14343" spans="1:15" hidden="1">
      <c r="A14343">
        <v>202509</v>
      </c>
      <c r="B14343" s="6">
        <v>45925</v>
      </c>
      <c r="C14343" t="s">
        <v>130</v>
      </c>
      <c r="D14343" t="s">
        <v>6822</v>
      </c>
      <c r="E14343">
        <v>20</v>
      </c>
      <c r="F14343" t="str">
        <f>IF(Table2[[#This Row],[Manual Cat Value]]="",Table2[[#This Row],[Suggested Cat Value]],VLOOKUP(Table2[[#This Row],[Manual Cat Value]],Lookup!G:H,2,0))</f>
        <v>Restaurants</v>
      </c>
      <c r="G14343" t="s">
        <v>26</v>
      </c>
      <c r="I14343" s="8"/>
      <c r="O14343" t="str">
        <f>LEFT(Table2[[#This Row],[Description]],75)</f>
        <v>AplPay MYBOOSTER* MINORCROSS            GA</v>
      </c>
    </row>
    <row r="14344" spans="1:15" hidden="1">
      <c r="A14344">
        <v>202509</v>
      </c>
      <c r="B14344" s="6">
        <v>45920</v>
      </c>
      <c r="C14344" t="s">
        <v>130</v>
      </c>
      <c r="D14344" t="s">
        <v>6823</v>
      </c>
      <c r="E14344">
        <v>20</v>
      </c>
      <c r="F14344" t="str">
        <f>IF(Table2[[#This Row],[Manual Cat Value]]="",Table2[[#This Row],[Suggested Cat Value]],VLOOKUP(Table2[[#This Row],[Manual Cat Value]],Lookup!G:H,2,0))</f>
        <v>Restaurants</v>
      </c>
      <c r="G14344" t="s">
        <v>26</v>
      </c>
      <c r="I14344" s="8"/>
      <c r="O14344" t="str">
        <f>LEFT(Table2[[#This Row],[Description]],75)</f>
        <v>AplPay BT*GILLETTE CSAINT PAUL          MN</v>
      </c>
    </row>
    <row r="14345" spans="1:15" hidden="1">
      <c r="A14345">
        <v>202509</v>
      </c>
      <c r="B14345" s="6">
        <v>45914</v>
      </c>
      <c r="C14345" t="s">
        <v>130</v>
      </c>
      <c r="D14345" t="s">
        <v>6824</v>
      </c>
      <c r="E14345">
        <v>20</v>
      </c>
      <c r="F14345" t="str">
        <f>IF(Table2[[#This Row],[Manual Cat Value]]="",Table2[[#This Row],[Suggested Cat Value]],VLOOKUP(Table2[[#This Row],[Manual Cat Value]],Lookup!G:H,2,0))</f>
        <v>Restaurants</v>
      </c>
      <c r="G14345" t="s">
        <v>26</v>
      </c>
      <c r="I14345" s="8"/>
      <c r="O14345" t="str">
        <f>LEFT(Table2[[#This Row],[Description]],75)</f>
        <v>AplPay WESTWOODCC.OREXCELSIOR           MN</v>
      </c>
    </row>
    <row r="14346" spans="1:15" hidden="1">
      <c r="A14346">
        <v>202509</v>
      </c>
      <c r="B14346" s="6">
        <v>45914</v>
      </c>
      <c r="C14346" t="s">
        <v>130</v>
      </c>
      <c r="D14346" t="s">
        <v>5762</v>
      </c>
      <c r="E14346">
        <v>20</v>
      </c>
      <c r="F14346" t="str">
        <f>IF(Table2[[#This Row],[Manual Cat Value]]="",Table2[[#This Row],[Suggested Cat Value]],VLOOKUP(Table2[[#This Row],[Manual Cat Value]],Lookup!G:H,2,0))</f>
        <v>Utilities</v>
      </c>
      <c r="G14346" t="s">
        <v>7</v>
      </c>
      <c r="I14346" s="8"/>
      <c r="O14346" t="str">
        <f>LEFT(Table2[[#This Row],[Description]],75)</f>
        <v>OPENAI *CHATGPT SUBSSAN FRANCISCO       CA</v>
      </c>
    </row>
    <row r="14347" spans="1:15" hidden="1">
      <c r="A14347">
        <v>202508</v>
      </c>
      <c r="B14347" s="6">
        <v>45883</v>
      </c>
      <c r="C14347" t="s">
        <v>130</v>
      </c>
      <c r="D14347" t="s">
        <v>5762</v>
      </c>
      <c r="E14347">
        <v>20</v>
      </c>
      <c r="F14347" t="str">
        <f>IF(Table2[[#This Row],[Manual Cat Value]]="",Table2[[#This Row],[Suggested Cat Value]],VLOOKUP(Table2[[#This Row],[Manual Cat Value]],Lookup!G:H,2,0))</f>
        <v>Utilities</v>
      </c>
      <c r="G14347" t="s">
        <v>7</v>
      </c>
      <c r="I14347" s="8"/>
      <c r="O14347" t="str">
        <f>LEFT(Table2[[#This Row],[Description]],75)</f>
        <v>OPENAI *CHATGPT SUBSSAN FRANCISCO       CA</v>
      </c>
    </row>
    <row r="14348" spans="1:15" hidden="1">
      <c r="A14348">
        <v>202507</v>
      </c>
      <c r="B14348" s="6">
        <v>45852</v>
      </c>
      <c r="C14348" t="s">
        <v>130</v>
      </c>
      <c r="D14348" t="s">
        <v>5762</v>
      </c>
      <c r="E14348">
        <v>20</v>
      </c>
      <c r="F14348" t="str">
        <f>IF(Table2[[#This Row],[Manual Cat Value]]="",Table2[[#This Row],[Suggested Cat Value]],VLOOKUP(Table2[[#This Row],[Manual Cat Value]],Lookup!G:H,2,0))</f>
        <v>Utilities</v>
      </c>
      <c r="G14348" t="s">
        <v>7</v>
      </c>
      <c r="I14348" s="8"/>
      <c r="O14348" t="str">
        <f>LEFT(Table2[[#This Row],[Description]],75)</f>
        <v>OPENAI *CHATGPT SUBSSAN FRANCISCO       CA</v>
      </c>
    </row>
    <row r="14349" spans="1:15" hidden="1">
      <c r="A14349">
        <v>202506</v>
      </c>
      <c r="B14349" s="6">
        <v>45824</v>
      </c>
      <c r="C14349" t="s">
        <v>130</v>
      </c>
      <c r="D14349" t="s">
        <v>6782</v>
      </c>
      <c r="E14349">
        <v>20</v>
      </c>
      <c r="F14349" t="str">
        <f>IF(Table2[[#This Row],[Manual Cat Value]]="",Table2[[#This Row],[Suggested Cat Value]],VLOOKUP(Table2[[#This Row],[Manual Cat Value]],Lookup!G:H,2,0))</f>
        <v>Restaurants</v>
      </c>
      <c r="G14349" t="s">
        <v>26</v>
      </c>
      <c r="I14349" s="8"/>
      <c r="O14349" t="str">
        <f>LEFT(Table2[[#This Row],[Description]],75)</f>
        <v>AplPay CK *LUCK MUNILUCK                WI</v>
      </c>
    </row>
    <row r="14350" spans="1:15" hidden="1">
      <c r="A14350">
        <v>202506</v>
      </c>
      <c r="B14350" s="6">
        <v>45822</v>
      </c>
      <c r="C14350" t="s">
        <v>130</v>
      </c>
      <c r="D14350" t="s">
        <v>5762</v>
      </c>
      <c r="E14350">
        <v>20</v>
      </c>
      <c r="F14350" t="str">
        <f>IF(Table2[[#This Row],[Manual Cat Value]]="",Table2[[#This Row],[Suggested Cat Value]],VLOOKUP(Table2[[#This Row],[Manual Cat Value]],Lookup!G:H,2,0))</f>
        <v>Utilities</v>
      </c>
      <c r="G14350" t="s">
        <v>7</v>
      </c>
      <c r="I14350" s="8"/>
      <c r="O14350" t="str">
        <f>LEFT(Table2[[#This Row],[Description]],75)</f>
        <v>OPENAI *CHATGPT SUBSSAN FRANCISCO       CA</v>
      </c>
    </row>
    <row r="14351" spans="1:15" hidden="1">
      <c r="A14351">
        <v>202510</v>
      </c>
      <c r="B14351" s="6">
        <v>45954</v>
      </c>
      <c r="C14351" t="s">
        <v>130</v>
      </c>
      <c r="D14351" t="s">
        <v>6035</v>
      </c>
      <c r="E14351">
        <v>19.98</v>
      </c>
      <c r="F14351" t="str">
        <f>IF(Table2[[#This Row],[Manual Cat Value]]="",Table2[[#This Row],[Suggested Cat Value]],VLOOKUP(Table2[[#This Row],[Manual Cat Value]],Lookup!G:H,2,0))</f>
        <v>Delete</v>
      </c>
      <c r="G14351" t="s">
        <v>9</v>
      </c>
      <c r="I14351" s="8"/>
      <c r="O14351" t="str">
        <f>LEFT(Table2[[#This Row],[Description]],75)</f>
        <v>KOWALSKI'S EXCELSIOREXCELSIOR           MN</v>
      </c>
    </row>
    <row r="14352" spans="1:15" hidden="1">
      <c r="A14352">
        <v>202510</v>
      </c>
      <c r="B14352" s="6">
        <v>45935</v>
      </c>
      <c r="C14352" t="s">
        <v>130</v>
      </c>
      <c r="D14352" t="s">
        <v>6825</v>
      </c>
      <c r="E14352">
        <v>19.95</v>
      </c>
      <c r="F14352" t="str">
        <f>IF(Table2[[#This Row],[Manual Cat Value]]="",Table2[[#This Row],[Suggested Cat Value]],VLOOKUP(Table2[[#This Row],[Manual Cat Value]],Lookup!G:H,2,0))</f>
        <v>Restaurants</v>
      </c>
      <c r="G14352" t="s">
        <v>26</v>
      </c>
      <c r="I14352" s="8"/>
      <c r="O14352" t="str">
        <f>LEFT(Table2[[#This Row],[Description]],75)</f>
        <v>THE UPS STORE 7416  CHASKA              MN</v>
      </c>
    </row>
    <row r="14353" spans="1:15" hidden="1">
      <c r="A14353">
        <v>202510</v>
      </c>
      <c r="B14353" s="6">
        <v>45954</v>
      </c>
      <c r="C14353" t="s">
        <v>3938</v>
      </c>
      <c r="D14353" t="s">
        <v>6826</v>
      </c>
      <c r="E14353">
        <v>19.88</v>
      </c>
      <c r="F14353" t="str">
        <f>IF(Table2[[#This Row],[Manual Cat Value]]="",Table2[[#This Row],[Suggested Cat Value]],VLOOKUP(Table2[[#This Row],[Manual Cat Value]],Lookup!G:H,2,0))</f>
        <v>Delete</v>
      </c>
      <c r="G14353" t="s">
        <v>9</v>
      </c>
      <c r="I14353" s="8"/>
      <c r="O14353" t="str">
        <f>LEFT(Table2[[#This Row],[Description]],75)</f>
        <v>Naturally Nourished Cork IE REF #XX8003R4B8F</v>
      </c>
    </row>
    <row r="14354" spans="1:15" hidden="1">
      <c r="A14354">
        <v>202509</v>
      </c>
      <c r="B14354" s="6">
        <v>45913</v>
      </c>
      <c r="C14354" t="s">
        <v>130</v>
      </c>
      <c r="D14354" t="s">
        <v>6827</v>
      </c>
      <c r="E14354">
        <v>19.62</v>
      </c>
      <c r="F14354" t="str">
        <f>IF(Table2[[#This Row],[Manual Cat Value]]="",Table2[[#This Row],[Suggested Cat Value]],VLOOKUP(Table2[[#This Row],[Manual Cat Value]],Lookup!G:H,2,0))</f>
        <v>Restaurants</v>
      </c>
      <c r="G14354" t="s">
        <v>26</v>
      </c>
      <c r="I14354" s="8"/>
      <c r="O14354" t="str">
        <f>LEFT(Table2[[#This Row],[Description]],75)</f>
        <v>FSP*OMNI BREWERY &amp; TVICTORIA            MN</v>
      </c>
    </row>
    <row r="14355" spans="1:15" hidden="1">
      <c r="A14355">
        <v>202511</v>
      </c>
      <c r="B14355" s="6">
        <v>45963</v>
      </c>
      <c r="C14355" t="s">
        <v>130</v>
      </c>
      <c r="D14355" t="s">
        <v>6183</v>
      </c>
      <c r="E14355">
        <v>19.579999999999998</v>
      </c>
      <c r="F14355" t="str">
        <f>IF(Table2[[#This Row],[Manual Cat Value]]="",Table2[[#This Row],[Suggested Cat Value]],VLOOKUP(Table2[[#This Row],[Manual Cat Value]],Lookup!G:H,2,0))</f>
        <v>Amazon</v>
      </c>
      <c r="G14355" t="s">
        <v>38</v>
      </c>
      <c r="I14355" s="8"/>
      <c r="O14355" t="str">
        <f>LEFT(Table2[[#This Row],[Description]],75)</f>
        <v>AMAZON MARKEPLACE NA PA</v>
      </c>
    </row>
    <row r="14356" spans="1:15" hidden="1">
      <c r="A14356">
        <v>202508</v>
      </c>
      <c r="B14356" s="6">
        <v>45892</v>
      </c>
      <c r="C14356" t="s">
        <v>130</v>
      </c>
      <c r="D14356" t="s">
        <v>6828</v>
      </c>
      <c r="E14356">
        <v>19.440000000000001</v>
      </c>
      <c r="F14356" t="str">
        <f>IF(Table2[[#This Row],[Manual Cat Value]]="",Table2[[#This Row],[Suggested Cat Value]],VLOOKUP(Table2[[#This Row],[Manual Cat Value]],Lookup!G:H,2,0))</f>
        <v>Restaurants</v>
      </c>
      <c r="H14356" s="8" t="s">
        <v>25</v>
      </c>
      <c r="I14356" s="8"/>
      <c r="O14356" t="str">
        <f>LEFT(Table2[[#This Row],[Description]],75)</f>
        <v>SPO*MONTEGOBLU-TROPIEXCELSIOR           MN</v>
      </c>
    </row>
    <row r="14357" spans="1:15" hidden="1">
      <c r="A14357">
        <v>202510</v>
      </c>
      <c r="B14357" s="6">
        <v>45951</v>
      </c>
      <c r="C14357" t="s">
        <v>3938</v>
      </c>
      <c r="D14357" t="s">
        <v>4922</v>
      </c>
      <c r="E14357">
        <v>19.239999999999998</v>
      </c>
      <c r="F14357" t="str">
        <f>IF(Table2[[#This Row],[Manual Cat Value]]="",Table2[[#This Row],[Suggested Cat Value]],VLOOKUP(Table2[[#This Row],[Manual Cat Value]],Lookup!G:H,2,0))</f>
        <v>Delete</v>
      </c>
      <c r="G14357" t="s">
        <v>9</v>
      </c>
      <c r="I14357" s="8"/>
      <c r="O14357" t="str">
        <f>LEFT(Table2[[#This Row],[Description]],75)</f>
        <v>SumUp</v>
      </c>
    </row>
    <row r="14358" spans="1:15" hidden="1">
      <c r="A14358">
        <v>202510</v>
      </c>
      <c r="B14358" s="6">
        <v>45936</v>
      </c>
      <c r="C14358" t="s">
        <v>130</v>
      </c>
      <c r="D14358" t="s">
        <v>6585</v>
      </c>
      <c r="E14358">
        <v>19</v>
      </c>
      <c r="F14358" t="str">
        <f>IF(Table2[[#This Row],[Manual Cat Value]]="",Table2[[#This Row],[Suggested Cat Value]],VLOOKUP(Table2[[#This Row],[Manual Cat Value]],Lookup!G:H,2,0))</f>
        <v>Utilities</v>
      </c>
      <c r="G14358" t="s">
        <v>7</v>
      </c>
      <c r="I14358" s="8"/>
      <c r="O14358" t="str">
        <f>LEFT(Table2[[#This Row],[Description]],75)</f>
        <v>SP LUMEN.ME         CLAYMONT            DE</v>
      </c>
    </row>
    <row r="14359" spans="1:15" hidden="1">
      <c r="A14359">
        <v>202509</v>
      </c>
      <c r="B14359" s="6">
        <v>45906</v>
      </c>
      <c r="C14359" t="s">
        <v>130</v>
      </c>
      <c r="D14359" t="s">
        <v>6585</v>
      </c>
      <c r="E14359">
        <v>19</v>
      </c>
      <c r="F14359" t="str">
        <f>IF(Table2[[#This Row],[Manual Cat Value]]="",Table2[[#This Row],[Suggested Cat Value]],VLOOKUP(Table2[[#This Row],[Manual Cat Value]],Lookup!G:H,2,0))</f>
        <v>Utilities</v>
      </c>
      <c r="G14359" t="s">
        <v>7</v>
      </c>
      <c r="I14359" s="8"/>
      <c r="O14359" t="str">
        <f>LEFT(Table2[[#This Row],[Description]],75)</f>
        <v>SP LUMEN.ME         CLAYMONT            DE</v>
      </c>
    </row>
    <row r="14360" spans="1:15" hidden="1">
      <c r="A14360">
        <v>202508</v>
      </c>
      <c r="B14360" s="6">
        <v>45891</v>
      </c>
      <c r="C14360" t="s">
        <v>130</v>
      </c>
      <c r="D14360" t="s">
        <v>6610</v>
      </c>
      <c r="E14360">
        <v>18.649999999999999</v>
      </c>
      <c r="F14360" t="str">
        <f>IF(Table2[[#This Row],[Manual Cat Value]]="",Table2[[#This Row],[Suggested Cat Value]],VLOOKUP(Table2[[#This Row],[Manual Cat Value]],Lookup!G:H,2,0))</f>
        <v>Restaurants</v>
      </c>
      <c r="G14360" t="s">
        <v>26</v>
      </c>
      <c r="I14360" s="8"/>
      <c r="O14360" t="str">
        <f>LEFT(Table2[[#This Row],[Description]],75)</f>
        <v>BIRCHS ON THE LAKE 1LONG LAKE           MN</v>
      </c>
    </row>
    <row r="14361" spans="1:15" hidden="1">
      <c r="A14361">
        <v>202510</v>
      </c>
      <c r="B14361" s="6">
        <v>45944</v>
      </c>
      <c r="C14361" t="s">
        <v>130</v>
      </c>
      <c r="D14361" t="s">
        <v>6829</v>
      </c>
      <c r="E14361">
        <v>18.559999999999999</v>
      </c>
      <c r="F14361" t="str">
        <f>IF(Table2[[#This Row],[Manual Cat Value]]="",Table2[[#This Row],[Suggested Cat Value]],VLOOKUP(Table2[[#This Row],[Manual Cat Value]],Lookup!G:H,2,0))</f>
        <v>Travel</v>
      </c>
      <c r="H14361" s="8" t="s">
        <v>52</v>
      </c>
      <c r="I14361" s="8"/>
      <c r="O14361" t="str">
        <f>LEFT(Table2[[#This Row],[Description]],75)</f>
        <v>GALLERIA ACCADEMIA  FIRENZE</v>
      </c>
    </row>
    <row r="14362" spans="1:15" hidden="1">
      <c r="A14362">
        <v>202508</v>
      </c>
      <c r="B14362" s="6">
        <v>45876</v>
      </c>
      <c r="C14362" t="s">
        <v>130</v>
      </c>
      <c r="D14362" t="s">
        <v>6206</v>
      </c>
      <c r="E14362">
        <v>18.5</v>
      </c>
      <c r="F14362" t="str">
        <f>IF(Table2[[#This Row],[Manual Cat Value]]="",Table2[[#This Row],[Suggested Cat Value]],VLOOKUP(Table2[[#This Row],[Manual Cat Value]],Lookup!G:H,2,0))</f>
        <v>Delete</v>
      </c>
      <c r="G14362" t="s">
        <v>9</v>
      </c>
      <c r="I14362" s="8"/>
      <c r="O14362" t="str">
        <f>LEFT(Table2[[#This Row],[Description]],75)</f>
        <v>AMAZON.COM          AMZN.COM/BILL       WA</v>
      </c>
    </row>
    <row r="14363" spans="1:15" hidden="1">
      <c r="A14363">
        <v>202509</v>
      </c>
      <c r="B14363" s="6">
        <v>45917</v>
      </c>
      <c r="C14363" t="s">
        <v>130</v>
      </c>
      <c r="D14363" t="s">
        <v>6830</v>
      </c>
      <c r="E14363">
        <v>18.46</v>
      </c>
      <c r="F14363" t="str">
        <f>IF(Table2[[#This Row],[Manual Cat Value]]="",Table2[[#This Row],[Suggested Cat Value]],VLOOKUP(Table2[[#This Row],[Manual Cat Value]],Lookup!G:H,2,0))</f>
        <v>Restaurants</v>
      </c>
      <c r="G14363" t="s">
        <v>26</v>
      </c>
      <c r="I14363" s="8"/>
      <c r="O14363" t="str">
        <f>LEFT(Table2[[#This Row],[Description]],75)</f>
        <v>HOBNOB 7183000012175DES MOINES          IA</v>
      </c>
    </row>
    <row r="14364" spans="1:15" hidden="1">
      <c r="A14364">
        <v>202508</v>
      </c>
      <c r="B14364" s="6">
        <v>45880</v>
      </c>
      <c r="C14364" t="s">
        <v>2519</v>
      </c>
      <c r="D14364" t="s">
        <v>1955</v>
      </c>
      <c r="E14364">
        <v>18.32</v>
      </c>
      <c r="F14364" t="str">
        <f>IF(Table2[[#This Row],[Manual Cat Value]]="",Table2[[#This Row],[Suggested Cat Value]],VLOOKUP(Table2[[#This Row],[Manual Cat Value]],Lookup!G:H,2,0))</f>
        <v>Shopping</v>
      </c>
      <c r="G14364" t="s">
        <v>21</v>
      </c>
      <c r="I14364" s="8"/>
      <c r="O14364" t="str">
        <f>LEFT(Table2[[#This Row],[Description]],75)</f>
        <v>Transfer to PayPal</v>
      </c>
    </row>
    <row r="14365" spans="1:15" hidden="1">
      <c r="A14365">
        <v>202510</v>
      </c>
      <c r="B14365" s="6">
        <v>45955</v>
      </c>
      <c r="C14365" t="s">
        <v>130</v>
      </c>
      <c r="D14365" t="s">
        <v>6831</v>
      </c>
      <c r="E14365">
        <v>18.21</v>
      </c>
      <c r="F14365" t="str">
        <f>IF(Table2[[#This Row],[Manual Cat Value]]="",Table2[[#This Row],[Suggested Cat Value]],VLOOKUP(Table2[[#This Row],[Manual Cat Value]],Lookup!G:H,2,0))</f>
        <v>Restaurants</v>
      </c>
      <c r="G14365" t="s">
        <v>26</v>
      </c>
      <c r="I14365" s="8"/>
      <c r="O14365" t="str">
        <f>LEFT(Table2[[#This Row],[Description]],75)</f>
        <v>AplPay TARGET       MINNETONKA          MN</v>
      </c>
    </row>
    <row r="14366" spans="1:15" hidden="1">
      <c r="A14366">
        <v>202509</v>
      </c>
      <c r="B14366" s="6">
        <v>45912</v>
      </c>
      <c r="C14366" t="s">
        <v>130</v>
      </c>
      <c r="D14366" t="s">
        <v>6832</v>
      </c>
      <c r="E14366">
        <v>18</v>
      </c>
      <c r="F14366" t="str">
        <f>IF(Table2[[#This Row],[Manual Cat Value]]="",Table2[[#This Row],[Suggested Cat Value]],VLOOKUP(Table2[[#This Row],[Manual Cat Value]],Lookup!G:H,2,0))</f>
        <v>Restaurants</v>
      </c>
      <c r="G14366" t="s">
        <v>26</v>
      </c>
      <c r="I14366" s="8"/>
      <c r="O14366" t="str">
        <f>LEFT(Table2[[#This Row],[Description]],75)</f>
        <v>AplPay GOFANTIX* MINALPHARETTA          GA</v>
      </c>
    </row>
    <row r="14367" spans="1:15" hidden="1">
      <c r="A14367">
        <v>202507</v>
      </c>
      <c r="B14367" s="6">
        <v>45869</v>
      </c>
      <c r="C14367" t="s">
        <v>130</v>
      </c>
      <c r="D14367" t="s">
        <v>6833</v>
      </c>
      <c r="E14367">
        <v>18</v>
      </c>
      <c r="F14367" t="str">
        <f>IF(Table2[[#This Row],[Manual Cat Value]]="",Table2[[#This Row],[Suggested Cat Value]],VLOOKUP(Table2[[#This Row],[Manual Cat Value]],Lookup!G:H,2,0))</f>
        <v>Travel</v>
      </c>
      <c r="G14367" t="s">
        <v>43</v>
      </c>
      <c r="I14367" s="8"/>
      <c r="O14367" t="str">
        <f>LEFT(Table2[[#This Row],[Description]],75)</f>
        <v>THE COUNTRY STOP-PROSPICER              MN</v>
      </c>
    </row>
    <row r="14368" spans="1:15" hidden="1">
      <c r="A14368">
        <v>202508</v>
      </c>
      <c r="B14368" s="6">
        <v>45872</v>
      </c>
      <c r="C14368" t="s">
        <v>130</v>
      </c>
      <c r="D14368" t="s">
        <v>6183</v>
      </c>
      <c r="E14368">
        <v>17.95</v>
      </c>
      <c r="F14368" t="str">
        <f>IF(Table2[[#This Row],[Manual Cat Value]]="",Table2[[#This Row],[Suggested Cat Value]],VLOOKUP(Table2[[#This Row],[Manual Cat Value]],Lookup!G:H,2,0))</f>
        <v>Delete</v>
      </c>
      <c r="G14368" t="s">
        <v>9</v>
      </c>
      <c r="I14368" s="8"/>
      <c r="O14368" t="str">
        <f>LEFT(Table2[[#This Row],[Description]],75)</f>
        <v>AMAZON MARKEPLACE NA PA</v>
      </c>
    </row>
    <row r="14369" spans="1:15" hidden="1">
      <c r="A14369">
        <v>202509</v>
      </c>
      <c r="B14369" s="6">
        <v>45911</v>
      </c>
      <c r="C14369" t="s">
        <v>130</v>
      </c>
      <c r="D14369" t="s">
        <v>5816</v>
      </c>
      <c r="E14369">
        <v>17.54</v>
      </c>
      <c r="F14369" t="str">
        <f>IF(Table2[[#This Row],[Manual Cat Value]]="",Table2[[#This Row],[Suggested Cat Value]],VLOOKUP(Table2[[#This Row],[Manual Cat Value]],Lookup!G:H,2,0))</f>
        <v>Restaurants</v>
      </c>
      <c r="G14369" t="s">
        <v>26</v>
      </c>
      <c r="I14369" s="8"/>
      <c r="O14369" t="str">
        <f>LEFT(Table2[[#This Row],[Description]],75)</f>
        <v>HAZELWOOD FOOD AND D877-8144102         MN</v>
      </c>
    </row>
    <row r="14370" spans="1:15" hidden="1">
      <c r="A14370">
        <v>202510</v>
      </c>
      <c r="B14370" s="6">
        <v>45945</v>
      </c>
      <c r="C14370" t="s">
        <v>2519</v>
      </c>
      <c r="D14370" t="s">
        <v>1955</v>
      </c>
      <c r="E14370">
        <v>17.43</v>
      </c>
      <c r="F14370" t="str">
        <f>IF(Table2[[#This Row],[Manual Cat Value]]="",Table2[[#This Row],[Suggested Cat Value]],VLOOKUP(Table2[[#This Row],[Manual Cat Value]],Lookup!G:H,2,0))</f>
        <v>Shopping</v>
      </c>
      <c r="G14370" t="s">
        <v>21</v>
      </c>
      <c r="I14370" s="8"/>
      <c r="O14370" t="str">
        <f>LEFT(Table2[[#This Row],[Description]],75)</f>
        <v>Transfer to PayPal</v>
      </c>
    </row>
    <row r="14371" spans="1:15" hidden="1">
      <c r="A14371">
        <v>202509</v>
      </c>
      <c r="B14371" s="6">
        <v>45915</v>
      </c>
      <c r="C14371" t="s">
        <v>2519</v>
      </c>
      <c r="D14371" t="s">
        <v>1955</v>
      </c>
      <c r="E14371">
        <v>17.43</v>
      </c>
      <c r="F14371" t="str">
        <f>IF(Table2[[#This Row],[Manual Cat Value]]="",Table2[[#This Row],[Suggested Cat Value]],VLOOKUP(Table2[[#This Row],[Manual Cat Value]],Lookup!G:H,2,0))</f>
        <v>Shopping</v>
      </c>
      <c r="G14371" t="s">
        <v>21</v>
      </c>
      <c r="I14371" s="8"/>
      <c r="O14371" t="str">
        <f>LEFT(Table2[[#This Row],[Description]],75)</f>
        <v>Transfer to PayPal</v>
      </c>
    </row>
    <row r="14372" spans="1:15" hidden="1">
      <c r="A14372">
        <v>202508</v>
      </c>
      <c r="B14372" s="6">
        <v>45884</v>
      </c>
      <c r="C14372" t="s">
        <v>2519</v>
      </c>
      <c r="D14372" t="s">
        <v>1955</v>
      </c>
      <c r="E14372">
        <v>17.43</v>
      </c>
      <c r="F14372" t="str">
        <f>IF(Table2[[#This Row],[Manual Cat Value]]="",Table2[[#This Row],[Suggested Cat Value]],VLOOKUP(Table2[[#This Row],[Manual Cat Value]],Lookup!G:H,2,0))</f>
        <v>Shopping</v>
      </c>
      <c r="G14372" t="s">
        <v>21</v>
      </c>
      <c r="I14372" s="8"/>
      <c r="O14372" t="str">
        <f>LEFT(Table2[[#This Row],[Description]],75)</f>
        <v>Transfer to PayPal</v>
      </c>
    </row>
    <row r="14373" spans="1:15" hidden="1">
      <c r="A14373">
        <v>202506</v>
      </c>
      <c r="B14373" s="6">
        <v>45824</v>
      </c>
      <c r="C14373" t="s">
        <v>2519</v>
      </c>
      <c r="D14373" t="s">
        <v>1955</v>
      </c>
      <c r="E14373">
        <v>17.43</v>
      </c>
      <c r="F14373" t="str">
        <f>IF(Table2[[#This Row],[Manual Cat Value]]="",Table2[[#This Row],[Suggested Cat Value]],VLOOKUP(Table2[[#This Row],[Manual Cat Value]],Lookup!G:H,2,0))</f>
        <v>Shopping</v>
      </c>
      <c r="G14373" t="s">
        <v>21</v>
      </c>
      <c r="I14373" s="8"/>
      <c r="O14373" t="str">
        <f>LEFT(Table2[[#This Row],[Description]],75)</f>
        <v>Transfer to PayPal</v>
      </c>
    </row>
    <row r="14374" spans="1:15" hidden="1">
      <c r="A14374">
        <v>202510</v>
      </c>
      <c r="B14374" s="6">
        <v>45944</v>
      </c>
      <c r="C14374" t="s">
        <v>130</v>
      </c>
      <c r="D14374" t="s">
        <v>6834</v>
      </c>
      <c r="E14374">
        <v>17.399999999999999</v>
      </c>
      <c r="F14374" t="str">
        <f>IF(Table2[[#This Row],[Manual Cat Value]]="",Table2[[#This Row],[Suggested Cat Value]],VLOOKUP(Table2[[#This Row],[Manual Cat Value]],Lookup!G:H,2,0))</f>
        <v>Travel</v>
      </c>
      <c r="H14374" s="8" t="s">
        <v>52</v>
      </c>
      <c r="I14374" s="8"/>
      <c r="O14374" t="str">
        <f>LEFT(Table2[[#This Row],[Description]],75)</f>
        <v>AGRITURISMO VIA DELLCORTONA</v>
      </c>
    </row>
    <row r="14375" spans="1:15" hidden="1">
      <c r="A14375">
        <v>202509</v>
      </c>
      <c r="B14375" s="6">
        <v>45910</v>
      </c>
      <c r="C14375" t="s">
        <v>130</v>
      </c>
      <c r="D14375" t="s">
        <v>6206</v>
      </c>
      <c r="E14375">
        <v>17.36</v>
      </c>
      <c r="F14375" t="str">
        <f>IF(Table2[[#This Row],[Manual Cat Value]]="",Table2[[#This Row],[Suggested Cat Value]],VLOOKUP(Table2[[#This Row],[Manual Cat Value]],Lookup!G:H,2,0))</f>
        <v>Amazon</v>
      </c>
      <c r="G14375" t="s">
        <v>38</v>
      </c>
      <c r="I14375" s="8"/>
      <c r="O14375" t="str">
        <f>LEFT(Table2[[#This Row],[Description]],75)</f>
        <v>AMAZON.COM          AMZN.COM/BILL       WA</v>
      </c>
    </row>
    <row r="14376" spans="1:15" hidden="1">
      <c r="A14376">
        <v>202509</v>
      </c>
      <c r="B14376" s="6">
        <v>45917</v>
      </c>
      <c r="C14376" t="s">
        <v>130</v>
      </c>
      <c r="D14376" t="s">
        <v>6206</v>
      </c>
      <c r="E14376">
        <v>17.34</v>
      </c>
      <c r="F14376" t="str">
        <f>IF(Table2[[#This Row],[Manual Cat Value]]="",Table2[[#This Row],[Suggested Cat Value]],VLOOKUP(Table2[[#This Row],[Manual Cat Value]],Lookup!G:H,2,0))</f>
        <v>Amazon</v>
      </c>
      <c r="G14376" t="s">
        <v>38</v>
      </c>
      <c r="I14376" s="8"/>
      <c r="O14376" t="str">
        <f>LEFT(Table2[[#This Row],[Description]],75)</f>
        <v>AMAZON.COM          AMZN.COM/BILL       WA</v>
      </c>
    </row>
    <row r="14377" spans="1:15" hidden="1">
      <c r="A14377">
        <v>202507</v>
      </c>
      <c r="B14377" s="6">
        <v>45852</v>
      </c>
      <c r="C14377" t="s">
        <v>130</v>
      </c>
      <c r="D14377" t="s">
        <v>6835</v>
      </c>
      <c r="E14377">
        <v>17.010000000000002</v>
      </c>
      <c r="F14377" t="str">
        <f>IF(Table2[[#This Row],[Manual Cat Value]]="",Table2[[#This Row],[Suggested Cat Value]],VLOOKUP(Table2[[#This Row],[Manual Cat Value]],Lookup!G:H,2,0))</f>
        <v>Restaurants</v>
      </c>
      <c r="G14377" t="s">
        <v>26</v>
      </c>
      <c r="I14377" s="8"/>
      <c r="O14377" t="str">
        <f>LEFT(Table2[[#This Row],[Description]],75)</f>
        <v>LORA F&amp;B            STILLWATER          MN</v>
      </c>
    </row>
    <row r="14378" spans="1:15" hidden="1">
      <c r="A14378">
        <v>202507</v>
      </c>
      <c r="B14378" s="6">
        <v>45865</v>
      </c>
      <c r="C14378" t="s">
        <v>130</v>
      </c>
      <c r="D14378" t="s">
        <v>6836</v>
      </c>
      <c r="E14378">
        <v>16.96</v>
      </c>
      <c r="F14378" t="str">
        <f>IF(Table2[[#This Row],[Manual Cat Value]]="",Table2[[#This Row],[Suggested Cat Value]],VLOOKUP(Table2[[#This Row],[Manual Cat Value]],Lookup!G:H,2,0))</f>
        <v>Restaurants</v>
      </c>
      <c r="G14378" t="s">
        <v>26</v>
      </c>
      <c r="I14378" s="8"/>
      <c r="O14378" t="str">
        <f>LEFT(Table2[[#This Row],[Description]],75)</f>
        <v>THE SOCIAL ICE CREAMVictoria            MN</v>
      </c>
    </row>
    <row r="14379" spans="1:15" hidden="1">
      <c r="A14379">
        <v>202510</v>
      </c>
      <c r="B14379" s="6">
        <v>45939</v>
      </c>
      <c r="C14379" t="s">
        <v>130</v>
      </c>
      <c r="D14379" t="s">
        <v>6837</v>
      </c>
      <c r="E14379">
        <v>16.649999999999999</v>
      </c>
      <c r="F14379" t="str">
        <f>IF(Table2[[#This Row],[Manual Cat Value]]="",Table2[[#This Row],[Suggested Cat Value]],VLOOKUP(Table2[[#This Row],[Manual Cat Value]],Lookup!G:H,2,0))</f>
        <v>Shopping</v>
      </c>
      <c r="G14379" t="s">
        <v>21</v>
      </c>
      <c r="I14379" s="8"/>
      <c r="O14379" t="str">
        <f>LEFT(Table2[[#This Row],[Description]],75)</f>
        <v>TST* OLD SOUTHERN BBEXCELSIOR           MN</v>
      </c>
    </row>
    <row r="14380" spans="1:15" hidden="1">
      <c r="A14380">
        <v>202507</v>
      </c>
      <c r="B14380" s="6">
        <v>45855</v>
      </c>
      <c r="C14380" t="s">
        <v>130</v>
      </c>
      <c r="D14380" t="s">
        <v>6838</v>
      </c>
      <c r="E14380">
        <v>16.47</v>
      </c>
      <c r="F14380" t="str">
        <f>IF(Table2[[#This Row],[Manual Cat Value]]="",Table2[[#This Row],[Suggested Cat Value]],VLOOKUP(Table2[[#This Row],[Manual Cat Value]],Lookup!G:H,2,0))</f>
        <v>Restaurants</v>
      </c>
      <c r="G14380" t="s">
        <v>26</v>
      </c>
      <c r="I14380" s="8"/>
      <c r="O14380" t="str">
        <f>LEFT(Table2[[#This Row],[Description]],75)</f>
        <v>AplPay MCDONALD'S F5WAYZATA             MN</v>
      </c>
    </row>
    <row r="14381" spans="1:15" hidden="1">
      <c r="A14381">
        <v>202510</v>
      </c>
      <c r="B14381" s="6">
        <v>45950</v>
      </c>
      <c r="C14381" t="s">
        <v>3938</v>
      </c>
      <c r="D14381" t="s">
        <v>6839</v>
      </c>
      <c r="E14381">
        <v>16.420000000000002</v>
      </c>
      <c r="F14381" t="str">
        <f>IF(Table2[[#This Row],[Manual Cat Value]]="",Table2[[#This Row],[Suggested Cat Value]],VLOOKUP(Table2[[#This Row],[Manual Cat Value]],Lookup!G:H,2,0))</f>
        <v>Delete</v>
      </c>
      <c r="G14381" t="s">
        <v>9</v>
      </c>
      <c r="I14381" s="8"/>
      <c r="O14381" t="str">
        <f>LEFT(Table2[[#This Row],[Description]],75)</f>
        <v>BLACK ORANGE ROMA IT REF #XX6394GRW21XK6</v>
      </c>
    </row>
    <row r="14382" spans="1:15" hidden="1">
      <c r="A14382">
        <v>202507</v>
      </c>
      <c r="B14382" s="6">
        <v>45857</v>
      </c>
      <c r="C14382" t="s">
        <v>130</v>
      </c>
      <c r="D14382" t="s">
        <v>6760</v>
      </c>
      <c r="E14382">
        <v>16.41</v>
      </c>
      <c r="F14382" t="str">
        <f>IF(Table2[[#This Row],[Manual Cat Value]]="",Table2[[#This Row],[Suggested Cat Value]],VLOOKUP(Table2[[#This Row],[Manual Cat Value]],Lookup!G:H,2,0))</f>
        <v>Transportation</v>
      </c>
      <c r="H14382" s="8" t="s">
        <v>22</v>
      </c>
      <c r="I14382" s="8"/>
      <c r="O14382" t="str">
        <f>LEFT(Table2[[#This Row],[Description]],75)</f>
        <v>DOWNSTREAM GAS &amp; MERCREEDE              CO</v>
      </c>
    </row>
    <row r="14383" spans="1:15" hidden="1">
      <c r="A14383">
        <v>202509</v>
      </c>
      <c r="B14383" s="6">
        <v>45906</v>
      </c>
      <c r="C14383" t="s">
        <v>130</v>
      </c>
      <c r="D14383" t="s">
        <v>6840</v>
      </c>
      <c r="E14383">
        <v>16.32</v>
      </c>
      <c r="F14383" t="str">
        <f>IF(Table2[[#This Row],[Manual Cat Value]]="",Table2[[#This Row],[Suggested Cat Value]],VLOOKUP(Table2[[#This Row],[Manual Cat Value]],Lookup!G:H,2,0))</f>
        <v>Amazon</v>
      </c>
      <c r="G14383" t="s">
        <v>38</v>
      </c>
      <c r="I14383" s="8"/>
      <c r="O14383" t="str">
        <f>LEFT(Table2[[#This Row],[Description]],75)</f>
        <v>PRIME VIDEO *ME9EA6U888-802-3080        WA</v>
      </c>
    </row>
    <row r="14384" spans="1:15" hidden="1">
      <c r="A14384">
        <v>202506</v>
      </c>
      <c r="B14384" s="6">
        <v>45813</v>
      </c>
      <c r="C14384" t="s">
        <v>130</v>
      </c>
      <c r="D14384" t="s">
        <v>6841</v>
      </c>
      <c r="E14384">
        <v>16.27</v>
      </c>
      <c r="F14384" t="str">
        <f>IF(Table2[[#This Row],[Manual Cat Value]]="",Table2[[#This Row],[Suggested Cat Value]],VLOOKUP(Table2[[#This Row],[Manual Cat Value]],Lookup!G:H,2,0))</f>
        <v>Travel</v>
      </c>
      <c r="H14384" s="8" t="s">
        <v>52</v>
      </c>
      <c r="I14384" s="8"/>
      <c r="O14384" t="str">
        <f>LEFT(Table2[[#This Row],[Description]],75)</f>
        <v>ZETTLE *ONDGO - BLACLONDON              GB</v>
      </c>
    </row>
    <row r="14385" spans="1:15" hidden="1">
      <c r="A14385">
        <v>202508</v>
      </c>
      <c r="B14385" s="6">
        <v>45892</v>
      </c>
      <c r="C14385" t="s">
        <v>130</v>
      </c>
      <c r="D14385" t="s">
        <v>6828</v>
      </c>
      <c r="E14385">
        <v>16.079999999999998</v>
      </c>
      <c r="F14385" t="str">
        <f>IF(Table2[[#This Row],[Manual Cat Value]]="",Table2[[#This Row],[Suggested Cat Value]],VLOOKUP(Table2[[#This Row],[Manual Cat Value]],Lookup!G:H,2,0))</f>
        <v>Restaurants</v>
      </c>
      <c r="H14385" s="8" t="s">
        <v>25</v>
      </c>
      <c r="I14385" s="8"/>
      <c r="O14385" t="str">
        <f>LEFT(Table2[[#This Row],[Description]],75)</f>
        <v>SPO*MONTEGOBLU-TROPIEXCELSIOR           MN</v>
      </c>
    </row>
    <row r="14386" spans="1:15" hidden="1">
      <c r="A14386">
        <v>202510</v>
      </c>
      <c r="B14386" s="6">
        <v>45944</v>
      </c>
      <c r="C14386" t="s">
        <v>130</v>
      </c>
      <c r="D14386" t="s">
        <v>6842</v>
      </c>
      <c r="E14386">
        <v>16.010000000000002</v>
      </c>
      <c r="F14386" t="str">
        <f>IF(Table2[[#This Row],[Manual Cat Value]]="",Table2[[#This Row],[Suggested Cat Value]],VLOOKUP(Table2[[#This Row],[Manual Cat Value]],Lookup!G:H,2,0))</f>
        <v>Restaurants</v>
      </c>
      <c r="G14386" t="s">
        <v>26</v>
      </c>
      <c r="I14386" s="8"/>
      <c r="O14386" t="str">
        <f>LEFT(Table2[[#This Row],[Description]],75)</f>
        <v>STARBUCKS FIRENZE   FIRENZE</v>
      </c>
    </row>
    <row r="14387" spans="1:15" hidden="1">
      <c r="A14387">
        <v>202510</v>
      </c>
      <c r="B14387" s="6">
        <v>45935</v>
      </c>
      <c r="C14387" t="s">
        <v>3938</v>
      </c>
      <c r="D14387" t="s">
        <v>6843</v>
      </c>
      <c r="E14387">
        <v>16</v>
      </c>
      <c r="F14387" t="str">
        <f>IF(Table2[[#This Row],[Manual Cat Value]]="",Table2[[#This Row],[Suggested Cat Value]],VLOOKUP(Table2[[#This Row],[Manual Cat Value]],Lookup!G:H,2,0))</f>
        <v>Shopping</v>
      </c>
      <c r="G14387" t="s">
        <v>21</v>
      </c>
      <c r="I14387" s="8"/>
      <c r="O14387" t="str">
        <f>LEFT(Table2[[#This Row],[Description]],75)</f>
        <v>Willow River State Park</v>
      </c>
    </row>
    <row r="14388" spans="1:15" hidden="1">
      <c r="A14388">
        <v>202510</v>
      </c>
      <c r="B14388" s="6">
        <v>45931</v>
      </c>
      <c r="C14388" t="s">
        <v>130</v>
      </c>
      <c r="D14388" t="s">
        <v>6844</v>
      </c>
      <c r="E14388">
        <v>16</v>
      </c>
      <c r="F14388" t="str">
        <f>IF(Table2[[#This Row],[Manual Cat Value]]="",Table2[[#This Row],[Suggested Cat Value]],VLOOKUP(Table2[[#This Row],[Manual Cat Value]],Lookup!G:H,2,0))</f>
        <v>Day Care</v>
      </c>
      <c r="H14388" s="8" t="s">
        <v>19</v>
      </c>
      <c r="I14388" s="8"/>
      <c r="O14388" t="str">
        <f>LEFT(Table2[[#This Row],[Description]],75)</f>
        <v>RVT*MINNEWASHTA ELEMEXCELSIOR           MN</v>
      </c>
    </row>
    <row r="14389" spans="1:15" hidden="1">
      <c r="A14389">
        <v>202510</v>
      </c>
      <c r="B14389" s="6">
        <v>45931</v>
      </c>
      <c r="C14389" t="s">
        <v>130</v>
      </c>
      <c r="D14389" t="s">
        <v>6844</v>
      </c>
      <c r="E14389">
        <v>16</v>
      </c>
      <c r="F14389" t="str">
        <f>IF(Table2[[#This Row],[Manual Cat Value]]="",Table2[[#This Row],[Suggested Cat Value]],VLOOKUP(Table2[[#This Row],[Manual Cat Value]],Lookup!G:H,2,0))</f>
        <v>Day Care</v>
      </c>
      <c r="H14389" s="8" t="s">
        <v>19</v>
      </c>
      <c r="I14389" s="8"/>
      <c r="O14389" t="str">
        <f>LEFT(Table2[[#This Row],[Description]],75)</f>
        <v>RVT*MINNEWASHTA ELEMEXCELSIOR           MN</v>
      </c>
    </row>
    <row r="14390" spans="1:15" hidden="1">
      <c r="A14390">
        <v>202509</v>
      </c>
      <c r="B14390" s="6">
        <v>45912</v>
      </c>
      <c r="C14390" t="s">
        <v>130</v>
      </c>
      <c r="D14390" t="s">
        <v>6845</v>
      </c>
      <c r="E14390">
        <v>16</v>
      </c>
      <c r="F14390" t="str">
        <f>IF(Table2[[#This Row],[Manual Cat Value]]="",Table2[[#This Row],[Suggested Cat Value]],VLOOKUP(Table2[[#This Row],[Manual Cat Value]],Lookup!G:H,2,0))</f>
        <v>Restaurants</v>
      </c>
      <c r="G14390" t="s">
        <v>26</v>
      </c>
      <c r="I14390" s="8"/>
      <c r="O14390" t="str">
        <f>LEFT(Table2[[#This Row],[Description]],75)</f>
        <v>GARRISON REED LLC   Wayzata             MN</v>
      </c>
    </row>
    <row r="14391" spans="1:15" hidden="1">
      <c r="A14391">
        <v>202509</v>
      </c>
      <c r="B14391" s="6">
        <v>45912</v>
      </c>
      <c r="C14391" t="s">
        <v>130</v>
      </c>
      <c r="D14391" t="s">
        <v>6846</v>
      </c>
      <c r="E14391">
        <v>16</v>
      </c>
      <c r="F14391" t="str">
        <f>IF(Table2[[#This Row],[Manual Cat Value]]="",Table2[[#This Row],[Suggested Cat Value]],VLOOKUP(Table2[[#This Row],[Manual Cat Value]],Lookup!G:H,2,0))</f>
        <v>Day Care</v>
      </c>
      <c r="G14391" t="s">
        <v>20</v>
      </c>
      <c r="I14391" s="8"/>
      <c r="O14391" t="str">
        <f>LEFT(Table2[[#This Row],[Description]],75)</f>
        <v>MINNETONKA YOUTH HOCMinnetonka          MN</v>
      </c>
    </row>
    <row r="14392" spans="1:15" hidden="1">
      <c r="A14392">
        <v>202508</v>
      </c>
      <c r="B14392" s="6">
        <v>45893</v>
      </c>
      <c r="C14392" t="s">
        <v>130</v>
      </c>
      <c r="D14392" t="s">
        <v>6847</v>
      </c>
      <c r="E14392">
        <v>15.99</v>
      </c>
      <c r="F14392" t="str">
        <f>IF(Table2[[#This Row],[Manual Cat Value]]="",Table2[[#This Row],[Suggested Cat Value]],VLOOKUP(Table2[[#This Row],[Manual Cat Value]],Lookup!G:H,2,0))</f>
        <v>Restaurants</v>
      </c>
      <c r="G14392" t="s">
        <v>26</v>
      </c>
      <c r="I14392" s="8"/>
      <c r="O14392" t="str">
        <f>LEFT(Table2[[#This Row],[Description]],75)</f>
        <v>AplPay ORION DONUTS CHANHASSEN          MN</v>
      </c>
    </row>
    <row r="14393" spans="1:15" hidden="1">
      <c r="A14393">
        <v>202509</v>
      </c>
      <c r="B14393" s="6">
        <v>45916</v>
      </c>
      <c r="C14393" t="s">
        <v>130</v>
      </c>
      <c r="D14393" t="s">
        <v>6848</v>
      </c>
      <c r="E14393">
        <v>15.8</v>
      </c>
      <c r="F14393" t="str">
        <f>IF(Table2[[#This Row],[Manual Cat Value]]="",Table2[[#This Row],[Suggested Cat Value]],VLOOKUP(Table2[[#This Row],[Manual Cat Value]],Lookup!G:H,2,0))</f>
        <v>Restaurants</v>
      </c>
      <c r="G14393" t="s">
        <v>26</v>
      </c>
      <c r="I14393" s="8"/>
      <c r="O14393" t="str">
        <f>LEFT(Table2[[#This Row],[Description]],75)</f>
        <v>THE UPS STORE 0473  MINNETONKA          MN</v>
      </c>
    </row>
    <row r="14394" spans="1:15" hidden="1">
      <c r="A14394">
        <v>202507</v>
      </c>
      <c r="B14394" s="6">
        <v>45840</v>
      </c>
      <c r="C14394" t="s">
        <v>130</v>
      </c>
      <c r="D14394" t="s">
        <v>6849</v>
      </c>
      <c r="E14394">
        <v>15.72</v>
      </c>
      <c r="F14394" t="str">
        <f>IF(Table2[[#This Row],[Manual Cat Value]]="",Table2[[#This Row],[Suggested Cat Value]],VLOOKUP(Table2[[#This Row],[Manual Cat Value]],Lookup!G:H,2,0))</f>
        <v>Groceries</v>
      </c>
      <c r="G14394" t="s">
        <v>28</v>
      </c>
      <c r="I14394" s="8"/>
      <c r="O14394" t="str">
        <f>LEFT(Table2[[#This Row],[Description]],75)</f>
        <v>WAL-MART SUPERCENTERSAINT CROIX FALLS   WI</v>
      </c>
    </row>
    <row r="14395" spans="1:15" hidden="1">
      <c r="A14395">
        <v>202506</v>
      </c>
      <c r="B14395" s="6">
        <v>45820</v>
      </c>
      <c r="C14395" t="s">
        <v>130</v>
      </c>
      <c r="D14395" t="s">
        <v>6457</v>
      </c>
      <c r="E14395">
        <v>15.48</v>
      </c>
      <c r="F14395" t="str">
        <f>IF(Table2[[#This Row],[Manual Cat Value]]="",Table2[[#This Row],[Suggested Cat Value]],VLOOKUP(Table2[[#This Row],[Manual Cat Value]],Lookup!G:H,2,0))</f>
        <v>Restaurants</v>
      </c>
      <c r="G14395" t="s">
        <v>26</v>
      </c>
      <c r="I14395" s="8"/>
      <c r="O14395" t="str">
        <f>LEFT(Table2[[#This Row],[Description]],75)</f>
        <v>MCDONALD'S F35706 00CHASKA              MN</v>
      </c>
    </row>
    <row r="14396" spans="1:15" hidden="1">
      <c r="A14396">
        <v>202510</v>
      </c>
      <c r="B14396" s="6">
        <v>45952</v>
      </c>
      <c r="C14396" t="s">
        <v>3938</v>
      </c>
      <c r="D14396" t="s">
        <v>6850</v>
      </c>
      <c r="E14396">
        <v>15.41</v>
      </c>
      <c r="F14396" t="str">
        <f>IF(Table2[[#This Row],[Manual Cat Value]]="",Table2[[#This Row],[Suggested Cat Value]],VLOOKUP(Table2[[#This Row],[Manual Cat Value]],Lookup!G:H,2,0))</f>
        <v>Delete</v>
      </c>
      <c r="G14396" t="s">
        <v>9</v>
      </c>
      <c r="I14396" s="8"/>
      <c r="O14396" t="str">
        <f>LEFT(Table2[[#This Row],[Description]],75)</f>
        <v>Mutton Lane Inn Cork IE REF #XX6005W44D1</v>
      </c>
    </row>
    <row r="14397" spans="1:15" hidden="1">
      <c r="A14397">
        <v>202510</v>
      </c>
      <c r="B14397" s="6">
        <v>45951</v>
      </c>
      <c r="C14397" t="s">
        <v>3938</v>
      </c>
      <c r="D14397" t="s">
        <v>6851</v>
      </c>
      <c r="E14397">
        <v>15.37</v>
      </c>
      <c r="F14397" t="str">
        <f>IF(Table2[[#This Row],[Manual Cat Value]]="",Table2[[#This Row],[Suggested Cat Value]],VLOOKUP(Table2[[#This Row],[Manual Cat Value]],Lookup!G:H,2,0))</f>
        <v>Delete</v>
      </c>
      <c r="G14397" t="s">
        <v>9</v>
      </c>
      <c r="I14397" s="8"/>
      <c r="O14397" t="str">
        <f>LEFT(Table2[[#This Row],[Description]],75)</f>
        <v>xx45 - LONDRA 02 ROMA IT REF #XX5978XT6D7</v>
      </c>
    </row>
    <row r="14398" spans="1:15" hidden="1">
      <c r="A14398">
        <v>202508</v>
      </c>
      <c r="B14398" s="6">
        <v>45877</v>
      </c>
      <c r="C14398" t="s">
        <v>3938</v>
      </c>
      <c r="D14398" t="s">
        <v>6852</v>
      </c>
      <c r="E14398">
        <v>15.35</v>
      </c>
      <c r="F14398" t="str">
        <f>IF(Table2[[#This Row],[Manual Cat Value]]="",Table2[[#This Row],[Suggested Cat Value]],VLOOKUP(Table2[[#This Row],[Manual Cat Value]],Lookup!G:H,2,0))</f>
        <v>Delete</v>
      </c>
      <c r="G14398" t="s">
        <v>9</v>
      </c>
      <c r="I14398" s="8"/>
      <c r="O14398" t="str">
        <f>LEFT(Table2[[#This Row],[Description]],75)</f>
        <v>Naturally Nourished Cork IE REF #XX9166V12NMHE56</v>
      </c>
    </row>
    <row r="14399" spans="1:15" hidden="1">
      <c r="A14399">
        <v>202510</v>
      </c>
      <c r="B14399" s="6">
        <v>45949</v>
      </c>
      <c r="C14399" t="s">
        <v>3938</v>
      </c>
      <c r="D14399" t="s">
        <v>6853</v>
      </c>
      <c r="E14399">
        <v>15.25</v>
      </c>
      <c r="F14399" t="str">
        <f>IF(Table2[[#This Row],[Manual Cat Value]]="",Table2[[#This Row],[Suggested Cat Value]],VLOOKUP(Table2[[#This Row],[Manual Cat Value]],Lookup!G:H,2,0))</f>
        <v>Restaurants</v>
      </c>
      <c r="H14399" s="8" t="s">
        <v>25</v>
      </c>
      <c r="I14399" s="8"/>
      <c r="O14399" t="str">
        <f>LEFT(Table2[[#This Row],[Description]],75)</f>
        <v>CREMERIA DON PEPE' ROMA IT REF #XX6393GEFPB499</v>
      </c>
    </row>
    <row r="14400" spans="1:15" hidden="1">
      <c r="A14400">
        <v>202506</v>
      </c>
      <c r="B14400" s="6">
        <v>45836</v>
      </c>
      <c r="C14400" t="s">
        <v>130</v>
      </c>
      <c r="D14400" t="s">
        <v>6704</v>
      </c>
      <c r="E14400">
        <v>15.19</v>
      </c>
      <c r="F14400" t="str">
        <f>IF(Table2[[#This Row],[Manual Cat Value]]="",Table2[[#This Row],[Suggested Cat Value]],VLOOKUP(Table2[[#This Row],[Manual Cat Value]],Lookup!G:H,2,0))</f>
        <v>Restaurants</v>
      </c>
      <c r="G14400" t="s">
        <v>26</v>
      </c>
      <c r="I14400" s="8"/>
      <c r="O14400" t="str">
        <f>LEFT(Table2[[#This Row],[Description]],75)</f>
        <v>SHOREWOOD ACE 0000  EXCELSIOR           MN</v>
      </c>
    </row>
    <row r="14401" spans="1:15" hidden="1">
      <c r="A14401">
        <v>202510</v>
      </c>
      <c r="B14401" s="6">
        <v>45956</v>
      </c>
      <c r="C14401" t="s">
        <v>130</v>
      </c>
      <c r="D14401" t="s">
        <v>6854</v>
      </c>
      <c r="E14401">
        <v>15.14</v>
      </c>
      <c r="F14401" t="str">
        <f>IF(Table2[[#This Row],[Manual Cat Value]]="",Table2[[#This Row],[Suggested Cat Value]],VLOOKUP(Table2[[#This Row],[Manual Cat Value]],Lookup!G:H,2,0))</f>
        <v>Restaurants</v>
      </c>
      <c r="H14401" s="8" t="s">
        <v>25</v>
      </c>
      <c r="I14401" s="8"/>
      <c r="O14401" t="str">
        <f>LEFT(Table2[[#This Row],[Description]],75)</f>
        <v>TST* THE CABANA CLUBMINNEAPOLIS         MN</v>
      </c>
    </row>
    <row r="14402" spans="1:15" hidden="1">
      <c r="A14402">
        <v>202507</v>
      </c>
      <c r="B14402" s="6">
        <v>45862</v>
      </c>
      <c r="C14402" t="s">
        <v>130</v>
      </c>
      <c r="D14402" t="s">
        <v>6855</v>
      </c>
      <c r="E14402">
        <v>15.14</v>
      </c>
      <c r="F14402" t="str">
        <f>IF(Table2[[#This Row],[Manual Cat Value]]="",Table2[[#This Row],[Suggested Cat Value]],VLOOKUP(Table2[[#This Row],[Manual Cat Value]],Lookup!G:H,2,0))</f>
        <v>Restaurants</v>
      </c>
      <c r="G14402" t="s">
        <v>26</v>
      </c>
      <c r="I14402" s="8"/>
      <c r="O14402" t="str">
        <f>LEFT(Table2[[#This Row],[Description]],75)</f>
        <v>DAIRY QUEEN         CHASKA              MN</v>
      </c>
    </row>
    <row r="14403" spans="1:15" hidden="1">
      <c r="A14403">
        <v>202506</v>
      </c>
      <c r="B14403" s="6">
        <v>45822</v>
      </c>
      <c r="C14403" t="s">
        <v>130</v>
      </c>
      <c r="D14403" t="s">
        <v>6689</v>
      </c>
      <c r="E14403">
        <v>15.03</v>
      </c>
      <c r="F14403" t="str">
        <f>IF(Table2[[#This Row],[Manual Cat Value]]="",Table2[[#This Row],[Suggested Cat Value]],VLOOKUP(Table2[[#This Row],[Manual Cat Value]],Lookup!G:H,2,0))</f>
        <v>Restaurants</v>
      </c>
      <c r="G14403" t="s">
        <v>26</v>
      </c>
      <c r="I14403" s="8"/>
      <c r="O14403" t="str">
        <f>LEFT(Table2[[#This Row],[Description]],75)</f>
        <v>AplPay HOPSACK LLC  Balsam Lake         MN</v>
      </c>
    </row>
    <row r="14404" spans="1:15" hidden="1">
      <c r="A14404">
        <v>202508</v>
      </c>
      <c r="B14404" s="6">
        <v>45876</v>
      </c>
      <c r="C14404" t="s">
        <v>3938</v>
      </c>
      <c r="D14404" t="s">
        <v>6856</v>
      </c>
      <c r="E14404">
        <v>15.02</v>
      </c>
      <c r="F14404" t="str">
        <f>IF(Table2[[#This Row],[Manual Cat Value]]="",Table2[[#This Row],[Suggested Cat Value]],VLOOKUP(Table2[[#This Row],[Manual Cat Value]],Lookup!G:H,2,0))</f>
        <v>Delete</v>
      </c>
      <c r="G14404" t="s">
        <v>9</v>
      </c>
      <c r="I14404" s="8"/>
      <c r="O14404" t="str">
        <f>LEFT(Table2[[#This Row],[Description]],75)</f>
        <v>LENNOXS CORK IE REF #XX9056S2X50SR1V</v>
      </c>
    </row>
    <row r="14405" spans="1:15" hidden="1">
      <c r="A14405">
        <v>202508</v>
      </c>
      <c r="B14405" s="6">
        <v>45879</v>
      </c>
      <c r="C14405" t="s">
        <v>3938</v>
      </c>
      <c r="D14405" t="s">
        <v>1773</v>
      </c>
      <c r="E14405">
        <v>15</v>
      </c>
      <c r="F14405" t="str">
        <f>IF(Table2[[#This Row],[Manual Cat Value]]="",Table2[[#This Row],[Suggested Cat Value]],VLOOKUP(Table2[[#This Row],[Manual Cat Value]],Lookup!G:H,2,0))</f>
        <v>Restaurants</v>
      </c>
      <c r="G14405" t="s">
        <v>26</v>
      </c>
      <c r="I14405" s="8"/>
      <c r="O14405" t="str">
        <f>LEFT(Table2[[#This Row],[Description]],75)</f>
        <v>Starbucks</v>
      </c>
    </row>
    <row r="14406" spans="1:15" hidden="1">
      <c r="A14406">
        <v>202508</v>
      </c>
      <c r="B14406" s="6">
        <v>45876</v>
      </c>
      <c r="C14406" t="s">
        <v>3938</v>
      </c>
      <c r="D14406" t="s">
        <v>6857</v>
      </c>
      <c r="E14406">
        <v>15</v>
      </c>
      <c r="F14406" t="str">
        <f>IF(Table2[[#This Row],[Manual Cat Value]]="",Table2[[#This Row],[Suggested Cat Value]],VLOOKUP(Table2[[#This Row],[Manual Cat Value]],Lookup!G:H,2,0))</f>
        <v>Delete</v>
      </c>
      <c r="G14406" t="s">
        <v>9</v>
      </c>
      <c r="I14406" s="8"/>
      <c r="O14406" t="str">
        <f>LEFT(Table2[[#This Row],[Description]],75)</f>
        <v>SQ *DER'S FARM Minnetonka MN REF #XX2166S2YMAXV66</v>
      </c>
    </row>
    <row r="14407" spans="1:15" hidden="1">
      <c r="A14407">
        <v>202510</v>
      </c>
      <c r="B14407" s="6">
        <v>45944</v>
      </c>
      <c r="C14407" t="s">
        <v>3938</v>
      </c>
      <c r="D14407" t="s">
        <v>6858</v>
      </c>
      <c r="E14407">
        <v>14.89</v>
      </c>
      <c r="F14407" t="str">
        <f>IF(Table2[[#This Row],[Manual Cat Value]]="",Table2[[#This Row],[Suggested Cat Value]],VLOOKUP(Table2[[#This Row],[Manual Cat Value]],Lookup!G:H,2,0))</f>
        <v>Restaurants</v>
      </c>
      <c r="G14407" t="s">
        <v>26</v>
      </c>
      <c r="I14407" s="8"/>
      <c r="O14407" t="str">
        <f>LEFT(Table2[[#This Row],[Description]],75)</f>
        <v>SIREN COFFEE SRL FIRENZE IT REF #XX5908Z1TR3JG15</v>
      </c>
    </row>
    <row r="14408" spans="1:15" hidden="1">
      <c r="A14408">
        <v>202509</v>
      </c>
      <c r="B14408" s="6">
        <v>45912</v>
      </c>
      <c r="C14408" t="s">
        <v>130</v>
      </c>
      <c r="D14408" t="s">
        <v>6432</v>
      </c>
      <c r="E14408">
        <v>14.63</v>
      </c>
      <c r="F14408" t="str">
        <f>IF(Table2[[#This Row],[Manual Cat Value]]="",Table2[[#This Row],[Suggested Cat Value]],VLOOKUP(Table2[[#This Row],[Manual Cat Value]],Lookup!G:H,2,0))</f>
        <v>Restaurants</v>
      </c>
      <c r="G14408" t="s">
        <v>26</v>
      </c>
      <c r="I14408" s="8"/>
      <c r="O14408" t="str">
        <f>LEFT(Table2[[#This Row],[Description]],75)</f>
        <v>THE LOBBY COFFEE &amp; LExcelsior           MN</v>
      </c>
    </row>
    <row r="14409" spans="1:15" hidden="1">
      <c r="A14409">
        <v>202510</v>
      </c>
      <c r="B14409" s="6">
        <v>45946</v>
      </c>
      <c r="C14409" t="s">
        <v>130</v>
      </c>
      <c r="D14409" t="s">
        <v>6859</v>
      </c>
      <c r="E14409">
        <v>14.6</v>
      </c>
      <c r="F14409" t="str">
        <f>IF(Table2[[#This Row],[Manual Cat Value]]="",Table2[[#This Row],[Suggested Cat Value]],VLOOKUP(Table2[[#This Row],[Manual Cat Value]],Lookup!G:H,2,0))</f>
        <v>Restaurants</v>
      </c>
      <c r="G14409" t="s">
        <v>26</v>
      </c>
      <c r="I14409" s="8"/>
      <c r="O14409" t="str">
        <f>LEFT(Table2[[#This Row],[Description]],75)</f>
        <v>AplPay PULCINELLA BIMONTEPULCIANO</v>
      </c>
    </row>
    <row r="14410" spans="1:15" hidden="1">
      <c r="A14410">
        <v>202509</v>
      </c>
      <c r="B14410" s="6">
        <v>45916</v>
      </c>
      <c r="C14410" t="s">
        <v>130</v>
      </c>
      <c r="D14410" t="s">
        <v>6860</v>
      </c>
      <c r="E14410">
        <v>14.33</v>
      </c>
      <c r="F14410" t="str">
        <f>IF(Table2[[#This Row],[Manual Cat Value]]="",Table2[[#This Row],[Suggested Cat Value]],VLOOKUP(Table2[[#This Row],[Manual Cat Value]],Lookup!G:H,2,0))</f>
        <v>Restaurants</v>
      </c>
      <c r="G14410" t="s">
        <v>26</v>
      </c>
      <c r="I14410" s="8"/>
      <c r="O14410" t="str">
        <f>LEFT(Table2[[#This Row],[Description]],75)</f>
        <v>CHIPOTLE 2051 2051  MINNETONKA          MN</v>
      </c>
    </row>
    <row r="14411" spans="1:15" hidden="1">
      <c r="A14411">
        <v>202510</v>
      </c>
      <c r="B14411" s="6">
        <v>45942</v>
      </c>
      <c r="C14411" t="s">
        <v>3938</v>
      </c>
      <c r="D14411" t="s">
        <v>6861</v>
      </c>
      <c r="E14411">
        <v>14.21</v>
      </c>
      <c r="F14411" t="str">
        <f>IF(Table2[[#This Row],[Manual Cat Value]]="",Table2[[#This Row],[Suggested Cat Value]],VLOOKUP(Table2[[#This Row],[Manual Cat Value]],Lookup!G:H,2,0))</f>
        <v>Restaurants</v>
      </c>
      <c r="H14411" s="8" t="s">
        <v>25</v>
      </c>
      <c r="I14411" s="8"/>
      <c r="O14411" t="str">
        <f>LEFT(Table2[[#This Row],[Description]],75)</f>
        <v>MONTEROSSO GOURMET SRL MONTEROSSO ALIT REF #XX8988W1Q083K30</v>
      </c>
    </row>
    <row r="14412" spans="1:15" hidden="1">
      <c r="A14412">
        <v>202509</v>
      </c>
      <c r="B14412" s="6">
        <v>45904</v>
      </c>
      <c r="C14412" t="s">
        <v>130</v>
      </c>
      <c r="D14412" t="s">
        <v>6577</v>
      </c>
      <c r="E14412">
        <v>14.14</v>
      </c>
      <c r="F14412" t="str">
        <f>IF(Table2[[#This Row],[Manual Cat Value]]="",Table2[[#This Row],[Suggested Cat Value]],VLOOKUP(Table2[[#This Row],[Manual Cat Value]],Lookup!G:H,2,0))</f>
        <v>Shopping</v>
      </c>
      <c r="H14412" s="8" t="s">
        <v>36</v>
      </c>
      <c r="I14412" s="8"/>
      <c r="O14412" t="str">
        <f>LEFT(Table2[[#This Row],[Description]],75)</f>
        <v>APPLE.COM/US        CUPERTINO           CA</v>
      </c>
    </row>
    <row r="14413" spans="1:15" hidden="1">
      <c r="A14413">
        <v>202510</v>
      </c>
      <c r="B14413" s="6">
        <v>45949</v>
      </c>
      <c r="C14413" t="s">
        <v>3938</v>
      </c>
      <c r="D14413" t="s">
        <v>6862</v>
      </c>
      <c r="E14413">
        <v>14.04</v>
      </c>
      <c r="F14413" t="str">
        <f>IF(Table2[[#This Row],[Manual Cat Value]]="",Table2[[#This Row],[Suggested Cat Value]],VLOOKUP(Table2[[#This Row],[Manual Cat Value]],Lookup!G:H,2,0))</f>
        <v>Travel</v>
      </c>
      <c r="H14413" s="8" t="s">
        <v>52</v>
      </c>
      <c r="I14413" s="8"/>
      <c r="O14413" t="str">
        <f>LEFT(Table2[[#This Row],[Description]],75)</f>
        <v>MINERVA ROMA IT REF #XX9296YYM5B5</v>
      </c>
    </row>
    <row r="14414" spans="1:15" hidden="1">
      <c r="A14414">
        <v>202508</v>
      </c>
      <c r="B14414" s="6">
        <v>45877</v>
      </c>
      <c r="C14414" t="s">
        <v>130</v>
      </c>
      <c r="D14414" t="s">
        <v>5827</v>
      </c>
      <c r="E14414">
        <v>14</v>
      </c>
      <c r="F14414" t="str">
        <f>IF(Table2[[#This Row],[Manual Cat Value]]="",Table2[[#This Row],[Suggested Cat Value]],VLOOKUP(Table2[[#This Row],[Manual Cat Value]],Lookup!G:H,2,0))</f>
        <v>Delete</v>
      </c>
      <c r="G14414" t="s">
        <v>9</v>
      </c>
      <c r="I14414" s="8"/>
      <c r="O14414" t="str">
        <f>LEFT(Table2[[#This Row],[Description]],75)</f>
        <v>THE DEAN HOTEL IE000CORK                IR</v>
      </c>
    </row>
    <row r="14415" spans="1:15" hidden="1">
      <c r="A14415">
        <v>202510</v>
      </c>
      <c r="B14415" s="6">
        <v>45943</v>
      </c>
      <c r="C14415" t="s">
        <v>130</v>
      </c>
      <c r="D14415" t="s">
        <v>6863</v>
      </c>
      <c r="E14415">
        <v>13.94</v>
      </c>
      <c r="F14415" t="str">
        <f>IF(Table2[[#This Row],[Manual Cat Value]]="",Table2[[#This Row],[Suggested Cat Value]],VLOOKUP(Table2[[#This Row],[Manual Cat Value]],Lookup!G:H,2,0))</f>
        <v>Restaurants</v>
      </c>
      <c r="H14415" s="8" t="s">
        <v>25</v>
      </c>
      <c r="I14415" s="8"/>
      <c r="O14415" t="str">
        <f>LEFT(Table2[[#This Row],[Description]],75)</f>
        <v>LA DIVINA - PIZZERIAFIRENZE</v>
      </c>
    </row>
    <row r="14416" spans="1:15" hidden="1">
      <c r="A14416">
        <v>202510</v>
      </c>
      <c r="B14416" s="6">
        <v>45941</v>
      </c>
      <c r="C14416" t="s">
        <v>130</v>
      </c>
      <c r="D14416" t="s">
        <v>6864</v>
      </c>
      <c r="E14416">
        <v>13.91</v>
      </c>
      <c r="F14416" t="str">
        <f>IF(Table2[[#This Row],[Manual Cat Value]]="",Table2[[#This Row],[Suggested Cat Value]],VLOOKUP(Table2[[#This Row],[Manual Cat Value]],Lookup!G:H,2,0))</f>
        <v>Restaurants</v>
      </c>
      <c r="G14416" t="s">
        <v>26</v>
      </c>
      <c r="I14416" s="8"/>
      <c r="O14416" t="str">
        <f>LEFT(Table2[[#This Row],[Description]],75)</f>
        <v>AplPay VERNAZZA SS DVERNAZZA</v>
      </c>
    </row>
    <row r="14417" spans="1:15" hidden="1">
      <c r="A14417">
        <v>202507</v>
      </c>
      <c r="B14417" s="6">
        <v>45851</v>
      </c>
      <c r="C14417" t="s">
        <v>3938</v>
      </c>
      <c r="D14417" t="s">
        <v>6865</v>
      </c>
      <c r="E14417">
        <v>13.8</v>
      </c>
      <c r="F14417" t="str">
        <f>IF(Table2[[#This Row],[Manual Cat Value]]="",Table2[[#This Row],[Suggested Cat Value]],VLOOKUP(Table2[[#This Row],[Manual Cat Value]],Lookup!G:H,2,0))</f>
        <v>Restaurants</v>
      </c>
      <c r="H14417" s="8" t="s">
        <v>25</v>
      </c>
      <c r="I14417" s="8"/>
      <c r="O14417" t="str">
        <f>LEFT(Table2[[#This Row],[Description]],75)</f>
        <v>The Bulldog</v>
      </c>
    </row>
    <row r="14418" spans="1:15" hidden="1">
      <c r="A14418">
        <v>202508</v>
      </c>
      <c r="B14418" s="6">
        <v>45898</v>
      </c>
      <c r="C14418" t="s">
        <v>130</v>
      </c>
      <c r="D14418" t="s">
        <v>6849</v>
      </c>
      <c r="E14418">
        <v>13.72</v>
      </c>
      <c r="F14418" t="str">
        <f>IF(Table2[[#This Row],[Manual Cat Value]]="",Table2[[#This Row],[Suggested Cat Value]],VLOOKUP(Table2[[#This Row],[Manual Cat Value]],Lookup!G:H,2,0))</f>
        <v>Groceries</v>
      </c>
      <c r="G14418" t="s">
        <v>28</v>
      </c>
      <c r="I14418" s="8"/>
      <c r="O14418" t="str">
        <f>LEFT(Table2[[#This Row],[Description]],75)</f>
        <v>WAL-MART SUPERCENTERSAINT CROIX FALLS   WI</v>
      </c>
    </row>
    <row r="14419" spans="1:15" hidden="1">
      <c r="A14419">
        <v>202507</v>
      </c>
      <c r="B14419" s="6">
        <v>45842</v>
      </c>
      <c r="C14419" t="s">
        <v>130</v>
      </c>
      <c r="D14419" t="s">
        <v>6866</v>
      </c>
      <c r="E14419">
        <v>13.66</v>
      </c>
      <c r="F14419" t="str">
        <f>IF(Table2[[#This Row],[Manual Cat Value]]="",Table2[[#This Row],[Suggested Cat Value]],VLOOKUP(Table2[[#This Row],[Manual Cat Value]],Lookup!G:H,2,0))</f>
        <v>Restaurants</v>
      </c>
      <c r="G14419" t="s">
        <v>26</v>
      </c>
      <c r="I14419" s="8"/>
      <c r="O14419" t="str">
        <f>LEFT(Table2[[#This Row],[Description]],75)</f>
        <v>PY *KJ'S NEW NORTH 0BALSAM LAKE         WI</v>
      </c>
    </row>
    <row r="14420" spans="1:15" hidden="1">
      <c r="A14420">
        <v>202510</v>
      </c>
      <c r="B14420" s="6">
        <v>45942</v>
      </c>
      <c r="C14420" t="s">
        <v>3938</v>
      </c>
      <c r="D14420" t="s">
        <v>6867</v>
      </c>
      <c r="E14420">
        <v>13.57</v>
      </c>
      <c r="F14420" t="str">
        <f>IF(Table2[[#This Row],[Manual Cat Value]]="",Table2[[#This Row],[Suggested Cat Value]],VLOOKUP(Table2[[#This Row],[Manual Cat Value]],Lookup!G:H,2,0))</f>
        <v>Groceries</v>
      </c>
      <c r="G14420" t="s">
        <v>28</v>
      </c>
      <c r="I14420" s="8"/>
      <c r="O14420" t="str">
        <f>LEFT(Table2[[#This Row],[Description]],75)</f>
        <v>Piaggios Stach Schipho SCHIPHOL NL REF #XX5008V2LN499E8</v>
      </c>
    </row>
    <row r="14421" spans="1:15" hidden="1">
      <c r="A14421">
        <v>202508</v>
      </c>
      <c r="B14421" s="6">
        <v>45897</v>
      </c>
      <c r="C14421" t="s">
        <v>130</v>
      </c>
      <c r="D14421" t="s">
        <v>6868</v>
      </c>
      <c r="E14421">
        <v>13.44</v>
      </c>
      <c r="F14421" t="str">
        <f>IF(Table2[[#This Row],[Manual Cat Value]]="",Table2[[#This Row],[Suggested Cat Value]],VLOOKUP(Table2[[#This Row],[Manual Cat Value]],Lookup!G:H,2,0))</f>
        <v>Restaurants</v>
      </c>
      <c r="G14421" t="s">
        <v>26</v>
      </c>
      <c r="I14421" s="8"/>
      <c r="O14421" t="str">
        <f>LEFT(Table2[[#This Row],[Description]],75)</f>
        <v>DAMICO &amp; SONS-MILL CMINNEAPOLIS         MN</v>
      </c>
    </row>
    <row r="14422" spans="1:15" hidden="1">
      <c r="A14422">
        <v>202510</v>
      </c>
      <c r="B14422" s="6">
        <v>45953</v>
      </c>
      <c r="C14422" t="s">
        <v>3938</v>
      </c>
      <c r="D14422" t="s">
        <v>6869</v>
      </c>
      <c r="E14422">
        <v>13.41</v>
      </c>
      <c r="F14422" t="str">
        <f>IF(Table2[[#This Row],[Manual Cat Value]]="",Table2[[#This Row],[Suggested Cat Value]],VLOOKUP(Table2[[#This Row],[Manual Cat Value]],Lookup!G:H,2,0))</f>
        <v>Delete</v>
      </c>
      <c r="G14422" t="s">
        <v>9</v>
      </c>
      <c r="I14422" s="8"/>
      <c r="O14422" t="str">
        <f>LEFT(Table2[[#This Row],[Description]],75)</f>
        <v>Naturally Nourished Cork IE REF #XX0428X7Y</v>
      </c>
    </row>
    <row r="14423" spans="1:15" hidden="1">
      <c r="A14423">
        <v>202508</v>
      </c>
      <c r="B14423" s="6">
        <v>45871</v>
      </c>
      <c r="C14423" t="s">
        <v>130</v>
      </c>
      <c r="D14423" t="s">
        <v>6870</v>
      </c>
      <c r="E14423">
        <v>13.26</v>
      </c>
      <c r="F14423" t="str">
        <f>IF(Table2[[#This Row],[Manual Cat Value]]="",Table2[[#This Row],[Suggested Cat Value]],VLOOKUP(Table2[[#This Row],[Manual Cat Value]],Lookup!G:H,2,0))</f>
        <v>Restaurants</v>
      </c>
      <c r="G14423" t="s">
        <v>26</v>
      </c>
      <c r="I14423" s="8"/>
      <c r="O14423" t="str">
        <f>LEFT(Table2[[#This Row],[Description]],75)</f>
        <v>AplPay CULVER'S OF RROGERS              MN</v>
      </c>
    </row>
    <row r="14424" spans="1:15" hidden="1">
      <c r="A14424">
        <v>202510</v>
      </c>
      <c r="B14424" s="6">
        <v>45933</v>
      </c>
      <c r="C14424" t="s">
        <v>130</v>
      </c>
      <c r="D14424" t="s">
        <v>5771</v>
      </c>
      <c r="E14424">
        <v>13.15</v>
      </c>
      <c r="F14424" t="str">
        <f>IF(Table2[[#This Row],[Manual Cat Value]]="",Table2[[#This Row],[Suggested Cat Value]],VLOOKUP(Table2[[#This Row],[Manual Cat Value]],Lookup!G:H,2,0))</f>
        <v>Restaurants</v>
      </c>
      <c r="G14424" t="s">
        <v>26</v>
      </c>
      <c r="I14424" s="8"/>
      <c r="O14424" t="str">
        <f>LEFT(Table2[[#This Row],[Description]],75)</f>
        <v>AplPay JIMMY JOHNS -CHANHASSEN          MN</v>
      </c>
    </row>
    <row r="14425" spans="1:15" hidden="1">
      <c r="A14425">
        <v>202507</v>
      </c>
      <c r="B14425" s="6">
        <v>45861</v>
      </c>
      <c r="C14425" t="s">
        <v>130</v>
      </c>
      <c r="D14425" t="s">
        <v>6871</v>
      </c>
      <c r="E14425">
        <v>13.12</v>
      </c>
      <c r="F14425" t="str">
        <f>IF(Table2[[#This Row],[Manual Cat Value]]="",Table2[[#This Row],[Suggested Cat Value]],VLOOKUP(Table2[[#This Row],[Manual Cat Value]],Lookup!G:H,2,0))</f>
        <v>Restaurants</v>
      </c>
      <c r="G14425" t="s">
        <v>26</v>
      </c>
      <c r="I14425" s="8"/>
      <c r="O14425" t="str">
        <f>LEFT(Table2[[#This Row],[Description]],75)</f>
        <v>AplPay SAN JUAN SPORCreede              CO</v>
      </c>
    </row>
    <row r="14426" spans="1:15" hidden="1">
      <c r="A14426">
        <v>202511</v>
      </c>
      <c r="B14426" s="6">
        <v>45964</v>
      </c>
      <c r="C14426" t="s">
        <v>2519</v>
      </c>
      <c r="D14426" t="s">
        <v>1955</v>
      </c>
      <c r="E14426">
        <v>13.07</v>
      </c>
      <c r="F14426" t="str">
        <f>IF(Table2[[#This Row],[Manual Cat Value]]="",Table2[[#This Row],[Suggested Cat Value]],VLOOKUP(Table2[[#This Row],[Manual Cat Value]],Lookup!G:H,2,0))</f>
        <v>Shopping</v>
      </c>
      <c r="G14426" t="s">
        <v>21</v>
      </c>
      <c r="I14426" s="8"/>
      <c r="O14426" t="str">
        <f>LEFT(Table2[[#This Row],[Description]],75)</f>
        <v>Transfer to PayPal</v>
      </c>
    </row>
    <row r="14427" spans="1:15" hidden="1">
      <c r="A14427">
        <v>202510</v>
      </c>
      <c r="B14427" s="6">
        <v>45933</v>
      </c>
      <c r="C14427" t="s">
        <v>2519</v>
      </c>
      <c r="D14427" t="s">
        <v>1955</v>
      </c>
      <c r="E14427">
        <v>13.07</v>
      </c>
      <c r="F14427" t="str">
        <f>IF(Table2[[#This Row],[Manual Cat Value]]="",Table2[[#This Row],[Suggested Cat Value]],VLOOKUP(Table2[[#This Row],[Manual Cat Value]],Lookup!G:H,2,0))</f>
        <v>Shopping</v>
      </c>
      <c r="G14427" t="s">
        <v>21</v>
      </c>
      <c r="I14427" s="8"/>
      <c r="O14427" t="str">
        <f>LEFT(Table2[[#This Row],[Description]],75)</f>
        <v>Transfer to PayPal</v>
      </c>
    </row>
    <row r="14428" spans="1:15" hidden="1">
      <c r="A14428">
        <v>202509</v>
      </c>
      <c r="B14428" s="6">
        <v>45902</v>
      </c>
      <c r="C14428" t="s">
        <v>2519</v>
      </c>
      <c r="D14428" t="s">
        <v>1955</v>
      </c>
      <c r="E14428">
        <v>13.07</v>
      </c>
      <c r="F14428" t="str">
        <f>IF(Table2[[#This Row],[Manual Cat Value]]="",Table2[[#This Row],[Suggested Cat Value]],VLOOKUP(Table2[[#This Row],[Manual Cat Value]],Lookup!G:H,2,0))</f>
        <v>Shopping</v>
      </c>
      <c r="G14428" t="s">
        <v>21</v>
      </c>
      <c r="I14428" s="8"/>
      <c r="O14428" t="str">
        <f>LEFT(Table2[[#This Row],[Description]],75)</f>
        <v>Transfer to PayPal</v>
      </c>
    </row>
    <row r="14429" spans="1:15" hidden="1">
      <c r="A14429">
        <v>202506</v>
      </c>
      <c r="B14429" s="6">
        <v>45818</v>
      </c>
      <c r="C14429" t="s">
        <v>2519</v>
      </c>
      <c r="D14429" t="s">
        <v>1955</v>
      </c>
      <c r="E14429">
        <v>13.07</v>
      </c>
      <c r="F14429" t="str">
        <f>IF(Table2[[#This Row],[Manual Cat Value]]="",Table2[[#This Row],[Suggested Cat Value]],VLOOKUP(Table2[[#This Row],[Manual Cat Value]],Lookup!G:H,2,0))</f>
        <v>Shopping</v>
      </c>
      <c r="G14429" t="s">
        <v>21</v>
      </c>
      <c r="I14429" s="8"/>
      <c r="O14429" t="str">
        <f>LEFT(Table2[[#This Row],[Description]],75)</f>
        <v>Transfer to PayPal</v>
      </c>
    </row>
    <row r="14430" spans="1:15" hidden="1">
      <c r="A14430">
        <v>202506</v>
      </c>
      <c r="B14430" s="6">
        <v>45810</v>
      </c>
      <c r="C14430" t="s">
        <v>2519</v>
      </c>
      <c r="D14430" t="s">
        <v>1955</v>
      </c>
      <c r="E14430">
        <v>13.07</v>
      </c>
      <c r="F14430" t="str">
        <f>IF(Table2[[#This Row],[Manual Cat Value]]="",Table2[[#This Row],[Suggested Cat Value]],VLOOKUP(Table2[[#This Row],[Manual Cat Value]],Lookup!G:H,2,0))</f>
        <v>Shopping</v>
      </c>
      <c r="G14430" t="s">
        <v>21</v>
      </c>
      <c r="I14430" s="8"/>
      <c r="O14430" t="str">
        <f>LEFT(Table2[[#This Row],[Description]],75)</f>
        <v>Transfer to PayPal</v>
      </c>
    </row>
    <row r="14431" spans="1:15" hidden="1">
      <c r="A14431">
        <v>202510</v>
      </c>
      <c r="B14431" s="6">
        <v>45943</v>
      </c>
      <c r="C14431" t="s">
        <v>3938</v>
      </c>
      <c r="D14431" t="s">
        <v>6872</v>
      </c>
      <c r="E14431">
        <v>13.03</v>
      </c>
      <c r="F14431" t="str">
        <f>IF(Table2[[#This Row],[Manual Cat Value]]="",Table2[[#This Row],[Suggested Cat Value]],VLOOKUP(Table2[[#This Row],[Manual Cat Value]],Lookup!G:H,2,0))</f>
        <v>Restaurants</v>
      </c>
      <c r="G14431" t="s">
        <v>26</v>
      </c>
      <c r="I14431" s="8"/>
      <c r="O14431" t="str">
        <f>LEFT(Table2[[#This Row],[Description]],75)</f>
        <v>EIS CAFE' ROYAL LUCCA IT REF #XX1638XDW338GJB</v>
      </c>
    </row>
    <row r="14432" spans="1:15" hidden="1">
      <c r="A14432">
        <v>202509</v>
      </c>
      <c r="B14432" s="6">
        <v>45914</v>
      </c>
      <c r="C14432" t="s">
        <v>130</v>
      </c>
      <c r="D14432" t="s">
        <v>6740</v>
      </c>
      <c r="E14432">
        <v>13.03</v>
      </c>
      <c r="F14432" t="str">
        <f>IF(Table2[[#This Row],[Manual Cat Value]]="",Table2[[#This Row],[Suggested Cat Value]],VLOOKUP(Table2[[#This Row],[Manual Cat Value]],Lookup!G:H,2,0))</f>
        <v>Shopping</v>
      </c>
      <c r="G14432" t="s">
        <v>21</v>
      </c>
      <c r="I14432" s="8"/>
      <c r="O14432" t="str">
        <f>LEFT(Table2[[#This Row],[Description]],75)</f>
        <v>CREW CARWASH 73     EDEN PRAIRIE        MN</v>
      </c>
    </row>
    <row r="14433" spans="1:15" hidden="1">
      <c r="A14433">
        <v>202506</v>
      </c>
      <c r="B14433" s="6">
        <v>45837</v>
      </c>
      <c r="C14433" t="s">
        <v>130</v>
      </c>
      <c r="D14433" t="s">
        <v>6219</v>
      </c>
      <c r="E14433">
        <v>12.99</v>
      </c>
      <c r="F14433" t="str">
        <f>IF(Table2[[#This Row],[Manual Cat Value]]="",Table2[[#This Row],[Suggested Cat Value]],VLOOKUP(Table2[[#This Row],[Manual Cat Value]],Lookup!G:H,2,0))</f>
        <v>House Maintenance</v>
      </c>
      <c r="G14433" t="s">
        <v>2</v>
      </c>
      <c r="I14433" s="8"/>
      <c r="O14433" t="str">
        <f>LEFT(Table2[[#This Row],[Description]],75)</f>
        <v>THE HOME DEPOT      CHASKA              MN</v>
      </c>
    </row>
    <row r="14434" spans="1:15" hidden="1">
      <c r="A14434">
        <v>202509</v>
      </c>
      <c r="B14434" s="6">
        <v>45907</v>
      </c>
      <c r="C14434" t="s">
        <v>130</v>
      </c>
      <c r="D14434" t="s">
        <v>6873</v>
      </c>
      <c r="E14434">
        <v>12.81</v>
      </c>
      <c r="F14434" t="str">
        <f>IF(Table2[[#This Row],[Manual Cat Value]]="",Table2[[#This Row],[Suggested Cat Value]],VLOOKUP(Table2[[#This Row],[Manual Cat Value]],Lookup!G:H,2,0))</f>
        <v>Restaurants</v>
      </c>
      <c r="G14434" t="s">
        <v>26</v>
      </c>
      <c r="I14434" s="8"/>
      <c r="O14434" t="str">
        <f>LEFT(Table2[[#This Row],[Description]],75)</f>
        <v>AplPay JONES COFFEE Minneapolis         MN</v>
      </c>
    </row>
    <row r="14435" spans="1:15" hidden="1">
      <c r="A14435">
        <v>202510</v>
      </c>
      <c r="B14435" s="6">
        <v>45944</v>
      </c>
      <c r="C14435" t="s">
        <v>130</v>
      </c>
      <c r="D14435" t="s">
        <v>6874</v>
      </c>
      <c r="E14435">
        <v>12.76</v>
      </c>
      <c r="F14435" t="str">
        <f>IF(Table2[[#This Row],[Manual Cat Value]]="",Table2[[#This Row],[Suggested Cat Value]],VLOOKUP(Table2[[#This Row],[Manual Cat Value]],Lookup!G:H,2,0))</f>
        <v>Restaurants</v>
      </c>
      <c r="G14435" t="s">
        <v>26</v>
      </c>
      <c r="I14435" s="8"/>
      <c r="O14435" t="str">
        <f>LEFT(Table2[[#This Row],[Description]],75)</f>
        <v>AplPay GELATERIA DEIFIRENZE</v>
      </c>
    </row>
    <row r="14436" spans="1:15" hidden="1">
      <c r="A14436">
        <v>202510</v>
      </c>
      <c r="B14436" s="6">
        <v>45946</v>
      </c>
      <c r="C14436" t="s">
        <v>130</v>
      </c>
      <c r="D14436" t="s">
        <v>6875</v>
      </c>
      <c r="E14436">
        <v>12.73</v>
      </c>
      <c r="F14436" t="str">
        <f>IF(Table2[[#This Row],[Manual Cat Value]]="",Table2[[#This Row],[Suggested Cat Value]],VLOOKUP(Table2[[#This Row],[Manual Cat Value]],Lookup!G:H,2,0))</f>
        <v>Restaurants</v>
      </c>
      <c r="G14436" t="s">
        <v>26</v>
      </c>
      <c r="I14436" s="8"/>
      <c r="O14436" t="str">
        <f>LEFT(Table2[[#This Row],[Description]],75)</f>
        <v>AplPay FARMACIA FRANMONTEPULCIANO</v>
      </c>
    </row>
    <row r="14437" spans="1:15" hidden="1">
      <c r="A14437">
        <v>202506</v>
      </c>
      <c r="B14437" s="6">
        <v>45830</v>
      </c>
      <c r="C14437" t="s">
        <v>130</v>
      </c>
      <c r="D14437" t="s">
        <v>6876</v>
      </c>
      <c r="E14437">
        <v>12.67</v>
      </c>
      <c r="F14437" t="str">
        <f>IF(Table2[[#This Row],[Manual Cat Value]]="",Table2[[#This Row],[Suggested Cat Value]],VLOOKUP(Table2[[#This Row],[Manual Cat Value]],Lookup!G:H,2,0))</f>
        <v>Restaurants</v>
      </c>
      <c r="G14437" t="s">
        <v>26</v>
      </c>
      <c r="I14437" s="8"/>
      <c r="O14437" t="str">
        <f>LEFT(Table2[[#This Row],[Description]],75)</f>
        <v>AplPay CKE*THE SOCIADULUTH              MN</v>
      </c>
    </row>
    <row r="14438" spans="1:15" hidden="1">
      <c r="A14438">
        <v>202510</v>
      </c>
      <c r="B14438" s="6">
        <v>45934</v>
      </c>
      <c r="C14438" t="s">
        <v>130</v>
      </c>
      <c r="D14438" t="s">
        <v>6877</v>
      </c>
      <c r="E14438">
        <v>12.34</v>
      </c>
      <c r="F14438" t="str">
        <f>IF(Table2[[#This Row],[Manual Cat Value]]="",Table2[[#This Row],[Suggested Cat Value]],VLOOKUP(Table2[[#This Row],[Manual Cat Value]],Lookup!G:H,2,0))</f>
        <v>Restaurants</v>
      </c>
      <c r="G14438" t="s">
        <v>26</v>
      </c>
      <c r="I14438" s="8"/>
      <c r="O14438" t="str">
        <f>LEFT(Table2[[#This Row],[Description]],75)</f>
        <v>AplPay DAIRY QUEEN #MINNETONKA          MN</v>
      </c>
    </row>
    <row r="14439" spans="1:15" hidden="1">
      <c r="A14439">
        <v>202510</v>
      </c>
      <c r="B14439" s="6">
        <v>45957</v>
      </c>
      <c r="C14439" t="s">
        <v>130</v>
      </c>
      <c r="D14439" t="s">
        <v>6878</v>
      </c>
      <c r="E14439">
        <v>12.14</v>
      </c>
      <c r="F14439" t="str">
        <f>IF(Table2[[#This Row],[Manual Cat Value]]="",Table2[[#This Row],[Suggested Cat Value]],VLOOKUP(Table2[[#This Row],[Manual Cat Value]],Lookup!G:H,2,0))</f>
        <v>Dry Cleaning</v>
      </c>
      <c r="G14439" t="s">
        <v>41</v>
      </c>
      <c r="I14439" s="8"/>
      <c r="O14439" t="str">
        <f>LEFT(Table2[[#This Row],[Description]],75)</f>
        <v>TIDE DRY CLEANERS CHCHANHASSEN          MN</v>
      </c>
    </row>
    <row r="14440" spans="1:15" hidden="1">
      <c r="A14440">
        <v>202507</v>
      </c>
      <c r="B14440" s="6">
        <v>45861</v>
      </c>
      <c r="C14440" t="s">
        <v>130</v>
      </c>
      <c r="D14440" t="s">
        <v>6581</v>
      </c>
      <c r="E14440">
        <v>12</v>
      </c>
      <c r="F14440" t="str">
        <f>IF(Table2[[#This Row],[Manual Cat Value]]="",Table2[[#This Row],[Suggested Cat Value]],VLOOKUP(Table2[[#This Row],[Manual Cat Value]],Lookup!G:H,2,0))</f>
        <v>Restaurants</v>
      </c>
      <c r="G14440" t="s">
        <v>26</v>
      </c>
      <c r="I14440" s="8"/>
      <c r="O14440" t="str">
        <f>LEFT(Table2[[#This Row],[Description]],75)</f>
        <v>AplPay KING SOOPERS DENVER              CO</v>
      </c>
    </row>
    <row r="14441" spans="1:15" hidden="1">
      <c r="A14441">
        <v>202507</v>
      </c>
      <c r="B14441" s="6">
        <v>45853</v>
      </c>
      <c r="C14441" t="s">
        <v>130</v>
      </c>
      <c r="D14441" t="s">
        <v>6183</v>
      </c>
      <c r="E14441">
        <v>11.91</v>
      </c>
      <c r="F14441" t="str">
        <f>IF(Table2[[#This Row],[Manual Cat Value]]="",Table2[[#This Row],[Suggested Cat Value]],VLOOKUP(Table2[[#This Row],[Manual Cat Value]],Lookup!G:H,2,0))</f>
        <v>Amazon</v>
      </c>
      <c r="G14441" t="s">
        <v>38</v>
      </c>
      <c r="I14441" s="8"/>
      <c r="O14441" t="str">
        <f>LEFT(Table2[[#This Row],[Description]],75)</f>
        <v>AMAZON MARKEPLACE NA PA</v>
      </c>
    </row>
    <row r="14442" spans="1:15" hidden="1">
      <c r="A14442">
        <v>202509</v>
      </c>
      <c r="B14442" s="6">
        <v>45913</v>
      </c>
      <c r="C14442" t="s">
        <v>130</v>
      </c>
      <c r="D14442" t="s">
        <v>6148</v>
      </c>
      <c r="E14442">
        <v>11.85</v>
      </c>
      <c r="F14442" t="str">
        <f>IF(Table2[[#This Row],[Manual Cat Value]]="",Table2[[#This Row],[Suggested Cat Value]],VLOOKUP(Table2[[#This Row],[Manual Cat Value]],Lookup!G:H,2,0))</f>
        <v>Day Care</v>
      </c>
      <c r="G14442" t="s">
        <v>20</v>
      </c>
      <c r="I14442" s="8"/>
      <c r="O14442" t="str">
        <f>LEFT(Table2[[#This Row],[Description]],75)</f>
        <v>MCW 1602-Minnetonka MINNETONKA          MN</v>
      </c>
    </row>
    <row r="14443" spans="1:15" hidden="1">
      <c r="A14443">
        <v>202510</v>
      </c>
      <c r="B14443" s="6">
        <v>45947</v>
      </c>
      <c r="C14443" t="s">
        <v>3938</v>
      </c>
      <c r="D14443" t="s">
        <v>6879</v>
      </c>
      <c r="E14443">
        <v>11.65</v>
      </c>
      <c r="F14443" t="str">
        <f>IF(Table2[[#This Row],[Manual Cat Value]]="",Table2[[#This Row],[Suggested Cat Value]],VLOOKUP(Table2[[#This Row],[Manual Cat Value]],Lookup!G:H,2,0))</f>
        <v>Travel</v>
      </c>
      <c r="H14443" s="8" t="s">
        <v>52</v>
      </c>
      <c r="I14443" s="8"/>
      <c r="O14443" t="str">
        <f>LEFT(Table2[[#This Row],[Description]],75)</f>
        <v>PRO LOCO DI MONTEPULCIANOMONTEPULCIANOIT REF #XX7792D7R20XJ5</v>
      </c>
    </row>
    <row r="14444" spans="1:15" hidden="1">
      <c r="A14444">
        <v>202510</v>
      </c>
      <c r="B14444" s="6">
        <v>45939</v>
      </c>
      <c r="C14444" t="s">
        <v>130</v>
      </c>
      <c r="D14444" t="s">
        <v>6880</v>
      </c>
      <c r="E14444">
        <v>11.63</v>
      </c>
      <c r="F14444" t="str">
        <f>IF(Table2[[#This Row],[Manual Cat Value]]="",Table2[[#This Row],[Suggested Cat Value]],VLOOKUP(Table2[[#This Row],[Manual Cat Value]],Lookup!G:H,2,0))</f>
        <v>Travel</v>
      </c>
      <c r="H14444" s="8" t="s">
        <v>52</v>
      </c>
      <c r="I14444" s="8"/>
      <c r="O14444" t="str">
        <f>LEFT(Table2[[#This Row],[Description]],75)</f>
        <v>FUTURA DI LO RUSSO AALBA</v>
      </c>
    </row>
    <row r="14445" spans="1:15" hidden="1">
      <c r="A14445">
        <v>202510</v>
      </c>
      <c r="B14445" s="6">
        <v>45937</v>
      </c>
      <c r="C14445" t="s">
        <v>130</v>
      </c>
      <c r="D14445" t="s">
        <v>6881</v>
      </c>
      <c r="E14445">
        <v>11.46</v>
      </c>
      <c r="F14445" t="str">
        <f>IF(Table2[[#This Row],[Manual Cat Value]]="",Table2[[#This Row],[Suggested Cat Value]],VLOOKUP(Table2[[#This Row],[Manual Cat Value]],Lookup!G:H,2,0))</f>
        <v>Travel</v>
      </c>
      <c r="H14445" s="8" t="s">
        <v>52</v>
      </c>
      <c r="I14445" s="8"/>
      <c r="O14445" t="str">
        <f>LEFT(Table2[[#This Row],[Description]],75)</f>
        <v>INAUDI              ALBA</v>
      </c>
    </row>
    <row r="14446" spans="1:15" hidden="1">
      <c r="A14446">
        <v>202506</v>
      </c>
      <c r="B14446" s="6">
        <v>45836</v>
      </c>
      <c r="C14446" t="s">
        <v>130</v>
      </c>
      <c r="D14446" t="s">
        <v>5418</v>
      </c>
      <c r="E14446">
        <v>11.2</v>
      </c>
      <c r="F14446" t="str">
        <f>IF(Table2[[#This Row],[Manual Cat Value]]="",Table2[[#This Row],[Suggested Cat Value]],VLOOKUP(Table2[[#This Row],[Manual Cat Value]],Lookup!G:H,2,0))</f>
        <v>Travel</v>
      </c>
      <c r="G14446" t="s">
        <v>43</v>
      </c>
      <c r="I14446" s="8"/>
      <c r="O14446" t="str">
        <f>LEFT(Table2[[#This Row],[Description]],75)</f>
        <v>DELTA AIR LINES     ATLANTA</v>
      </c>
    </row>
    <row r="14447" spans="1:15" hidden="1">
      <c r="A14447">
        <v>202506</v>
      </c>
      <c r="B14447" s="6">
        <v>45836</v>
      </c>
      <c r="C14447" t="s">
        <v>130</v>
      </c>
      <c r="D14447" t="s">
        <v>5418</v>
      </c>
      <c r="E14447">
        <v>11.2</v>
      </c>
      <c r="F14447" t="str">
        <f>IF(Table2[[#This Row],[Manual Cat Value]]="",Table2[[#This Row],[Suggested Cat Value]],VLOOKUP(Table2[[#This Row],[Manual Cat Value]],Lookup!G:H,2,0))</f>
        <v>Travel</v>
      </c>
      <c r="G14447" t="s">
        <v>43</v>
      </c>
      <c r="I14447" s="8"/>
      <c r="O14447" t="str">
        <f>LEFT(Table2[[#This Row],[Description]],75)</f>
        <v>DELTA AIR LINES     ATLANTA</v>
      </c>
    </row>
    <row r="14448" spans="1:15" hidden="1">
      <c r="A14448">
        <v>202506</v>
      </c>
      <c r="B14448" s="6">
        <v>45836</v>
      </c>
      <c r="C14448" t="s">
        <v>130</v>
      </c>
      <c r="D14448" t="s">
        <v>5418</v>
      </c>
      <c r="E14448">
        <v>11.2</v>
      </c>
      <c r="F14448" t="str">
        <f>IF(Table2[[#This Row],[Manual Cat Value]]="",Table2[[#This Row],[Suggested Cat Value]],VLOOKUP(Table2[[#This Row],[Manual Cat Value]],Lookup!G:H,2,0))</f>
        <v>Travel</v>
      </c>
      <c r="G14448" t="s">
        <v>43</v>
      </c>
      <c r="I14448" s="8"/>
      <c r="O14448" t="str">
        <f>LEFT(Table2[[#This Row],[Description]],75)</f>
        <v>DELTA AIR LINES     ATLANTA</v>
      </c>
    </row>
    <row r="14449" spans="1:15" hidden="1">
      <c r="A14449">
        <v>202506</v>
      </c>
      <c r="B14449" s="6">
        <v>45836</v>
      </c>
      <c r="C14449" t="s">
        <v>130</v>
      </c>
      <c r="D14449" t="s">
        <v>5418</v>
      </c>
      <c r="E14449">
        <v>11.2</v>
      </c>
      <c r="F14449" t="str">
        <f>IF(Table2[[#This Row],[Manual Cat Value]]="",Table2[[#This Row],[Suggested Cat Value]],VLOOKUP(Table2[[#This Row],[Manual Cat Value]],Lookup!G:H,2,0))</f>
        <v>Travel</v>
      </c>
      <c r="G14449" t="s">
        <v>43</v>
      </c>
      <c r="I14449" s="8"/>
      <c r="O14449" t="str">
        <f>LEFT(Table2[[#This Row],[Description]],75)</f>
        <v>DELTA AIR LINES     ATLANTA</v>
      </c>
    </row>
    <row r="14450" spans="1:15" hidden="1">
      <c r="A14450">
        <v>202510</v>
      </c>
      <c r="B14450" s="6">
        <v>45956</v>
      </c>
      <c r="C14450" t="s">
        <v>130</v>
      </c>
      <c r="D14450" t="s">
        <v>6882</v>
      </c>
      <c r="E14450">
        <v>11.16</v>
      </c>
      <c r="F14450" t="str">
        <f>IF(Table2[[#This Row],[Manual Cat Value]]="",Table2[[#This Row],[Suggested Cat Value]],VLOOKUP(Table2[[#This Row],[Manual Cat Value]],Lookup!G:H,2,0))</f>
        <v>Restaurants</v>
      </c>
      <c r="G14450" t="s">
        <v>26</v>
      </c>
      <c r="I14450" s="8"/>
      <c r="O14450" t="str">
        <f>LEFT(Table2[[#This Row],[Description]],75)</f>
        <v>DAIRY QUEEN #45864 4MINNETONKA          MN</v>
      </c>
    </row>
    <row r="14451" spans="1:15" hidden="1">
      <c r="A14451">
        <v>202510</v>
      </c>
      <c r="B14451" s="6">
        <v>45951</v>
      </c>
      <c r="C14451" t="s">
        <v>3938</v>
      </c>
      <c r="D14451" t="s">
        <v>6883</v>
      </c>
      <c r="E14451">
        <v>11</v>
      </c>
      <c r="F14451" t="str">
        <f>IF(Table2[[#This Row],[Manual Cat Value]]="",Table2[[#This Row],[Suggested Cat Value]],VLOOKUP(Table2[[#This Row],[Manual Cat Value]],Lookup!G:H,2,0))</f>
        <v>Delete</v>
      </c>
      <c r="G14451" t="s">
        <v>9</v>
      </c>
      <c r="I14451" s="8"/>
      <c r="O14451" t="str">
        <f>LEFT(Table2[[#This Row],[Description]],75)</f>
        <v>BONFES PLUMBING HEATING AXX6633 MN REF #XX3995S66HN1FY</v>
      </c>
    </row>
    <row r="14452" spans="1:15" hidden="1">
      <c r="A14452">
        <v>202509</v>
      </c>
      <c r="B14452" s="6">
        <v>45922</v>
      </c>
      <c r="C14452" t="s">
        <v>3938</v>
      </c>
      <c r="D14452" t="s">
        <v>6884</v>
      </c>
      <c r="E14452">
        <v>11</v>
      </c>
      <c r="F14452" t="str">
        <f>IF(Table2[[#This Row],[Manual Cat Value]]="",Table2[[#This Row],[Suggested Cat Value]],VLOOKUP(Table2[[#This Row],[Manual Cat Value]],Lookup!G:H,2,0))</f>
        <v>House Maintenance</v>
      </c>
      <c r="G14452" t="s">
        <v>2</v>
      </c>
      <c r="I14452" s="8"/>
      <c r="O14452" t="str">
        <f>LEFT(Table2[[#This Row],[Description]],75)</f>
        <v>BONFES PLUMBING HEATING AXX6633 MN REF #XX3988S66FJR3L</v>
      </c>
    </row>
    <row r="14453" spans="1:15" hidden="1">
      <c r="A14453">
        <v>202508</v>
      </c>
      <c r="B14453" s="6">
        <v>45890</v>
      </c>
      <c r="C14453" t="s">
        <v>3938</v>
      </c>
      <c r="D14453" t="s">
        <v>6885</v>
      </c>
      <c r="E14453">
        <v>11</v>
      </c>
      <c r="F14453" t="str">
        <f>IF(Table2[[#This Row],[Manual Cat Value]]="",Table2[[#This Row],[Suggested Cat Value]],VLOOKUP(Table2[[#This Row],[Manual Cat Value]],Lookup!G:H,2,0))</f>
        <v>House Maintenance</v>
      </c>
      <c r="G14453" t="s">
        <v>2</v>
      </c>
      <c r="I14453" s="8"/>
      <c r="O14453" t="str">
        <f>LEFT(Table2[[#This Row],[Description]],75)</f>
        <v>BONFES PLUMBING HEATING AXX6633 MN REF #XX3978S66D3JMN</v>
      </c>
    </row>
    <row r="14454" spans="1:15" hidden="1">
      <c r="A14454">
        <v>202507</v>
      </c>
      <c r="B14454" s="6">
        <v>45859</v>
      </c>
      <c r="C14454" t="s">
        <v>3938</v>
      </c>
      <c r="D14454" t="s">
        <v>6886</v>
      </c>
      <c r="E14454">
        <v>11</v>
      </c>
      <c r="F14454" t="str">
        <f>IF(Table2[[#This Row],[Manual Cat Value]]="",Table2[[#This Row],[Suggested Cat Value]],VLOOKUP(Table2[[#This Row],[Manual Cat Value]],Lookup!G:H,2,0))</f>
        <v>House Maintenance</v>
      </c>
      <c r="G14454" t="s">
        <v>2</v>
      </c>
      <c r="I14454" s="8"/>
      <c r="O14454" t="str">
        <f>LEFT(Table2[[#This Row],[Description]],75)</f>
        <v>BONFES PLUMBING HEATING AXX6633 MN REF #XX3969S66LBBGH</v>
      </c>
    </row>
    <row r="14455" spans="1:15" hidden="1">
      <c r="A14455">
        <v>202506</v>
      </c>
      <c r="B14455" s="6">
        <v>45830</v>
      </c>
      <c r="C14455" t="s">
        <v>3938</v>
      </c>
      <c r="D14455" t="s">
        <v>6887</v>
      </c>
      <c r="E14455">
        <v>11</v>
      </c>
      <c r="F14455" t="str">
        <f>IF(Table2[[#This Row],[Manual Cat Value]]="",Table2[[#This Row],[Suggested Cat Value]],VLOOKUP(Table2[[#This Row],[Manual Cat Value]],Lookup!G:H,2,0))</f>
        <v>House Maintenance</v>
      </c>
      <c r="G14455" t="s">
        <v>2</v>
      </c>
      <c r="I14455" s="8"/>
      <c r="O14455" t="str">
        <f>LEFT(Table2[[#This Row],[Description]],75)</f>
        <v>BONFES PLUMBING HEATING AXX6633 MN REF #XX5395BS66JEAFJ</v>
      </c>
    </row>
    <row r="14456" spans="1:15" hidden="1">
      <c r="A14456">
        <v>202507</v>
      </c>
      <c r="B14456" s="6">
        <v>45845</v>
      </c>
      <c r="C14456" t="s">
        <v>130</v>
      </c>
      <c r="D14456" t="s">
        <v>6782</v>
      </c>
      <c r="E14456">
        <v>11</v>
      </c>
      <c r="F14456" t="str">
        <f>IF(Table2[[#This Row],[Manual Cat Value]]="",Table2[[#This Row],[Suggested Cat Value]],VLOOKUP(Table2[[#This Row],[Manual Cat Value]],Lookup!G:H,2,0))</f>
        <v>Restaurants</v>
      </c>
      <c r="G14456" t="s">
        <v>26</v>
      </c>
      <c r="I14456" s="8"/>
      <c r="O14456" t="str">
        <f>LEFT(Table2[[#This Row],[Description]],75)</f>
        <v>AplPay CK *LUCK MUNILUCK                WI</v>
      </c>
    </row>
    <row r="14457" spans="1:15" hidden="1">
      <c r="A14457">
        <v>202508</v>
      </c>
      <c r="B14457" s="6">
        <v>45891</v>
      </c>
      <c r="C14457" t="s">
        <v>130</v>
      </c>
      <c r="D14457" t="s">
        <v>5765</v>
      </c>
      <c r="E14457">
        <v>10.88</v>
      </c>
      <c r="F14457" t="str">
        <f>IF(Table2[[#This Row],[Manual Cat Value]]="",Table2[[#This Row],[Suggested Cat Value]],VLOOKUP(Table2[[#This Row],[Manual Cat Value]],Lookup!G:H,2,0))</f>
        <v>Amazon</v>
      </c>
      <c r="G14457" t="s">
        <v>38</v>
      </c>
      <c r="I14457" s="8"/>
      <c r="O14457" t="str">
        <f>LEFT(Table2[[#This Row],[Description]],75)</f>
        <v>PRIME VIDEO CHANNELSAMZN.COM/BILL       WA</v>
      </c>
    </row>
    <row r="14458" spans="1:15" hidden="1">
      <c r="A14458">
        <v>202507</v>
      </c>
      <c r="B14458" s="6">
        <v>45860</v>
      </c>
      <c r="C14458" t="s">
        <v>130</v>
      </c>
      <c r="D14458" t="s">
        <v>5765</v>
      </c>
      <c r="E14458">
        <v>10.88</v>
      </c>
      <c r="F14458" t="str">
        <f>IF(Table2[[#This Row],[Manual Cat Value]]="",Table2[[#This Row],[Suggested Cat Value]],VLOOKUP(Table2[[#This Row],[Manual Cat Value]],Lookup!G:H,2,0))</f>
        <v>Amazon</v>
      </c>
      <c r="G14458" t="s">
        <v>38</v>
      </c>
      <c r="I14458" s="8"/>
      <c r="O14458" t="str">
        <f>LEFT(Table2[[#This Row],[Description]],75)</f>
        <v>PRIME VIDEO CHANNELSAMZN.COM/BILL       WA</v>
      </c>
    </row>
    <row r="14459" spans="1:15" hidden="1">
      <c r="A14459">
        <v>202506</v>
      </c>
      <c r="B14459" s="6">
        <v>45830</v>
      </c>
      <c r="C14459" t="s">
        <v>130</v>
      </c>
      <c r="D14459" t="s">
        <v>5765</v>
      </c>
      <c r="E14459">
        <v>10.88</v>
      </c>
      <c r="F14459" t="str">
        <f>IF(Table2[[#This Row],[Manual Cat Value]]="",Table2[[#This Row],[Suggested Cat Value]],VLOOKUP(Table2[[#This Row],[Manual Cat Value]],Lookup!G:H,2,0))</f>
        <v>Amazon</v>
      </c>
      <c r="G14459" t="s">
        <v>38</v>
      </c>
      <c r="I14459" s="8"/>
      <c r="O14459" t="str">
        <f>LEFT(Table2[[#This Row],[Description]],75)</f>
        <v>PRIME VIDEO CHANNELSAMZN.COM/BILL       WA</v>
      </c>
    </row>
    <row r="14460" spans="1:15" hidden="1">
      <c r="A14460">
        <v>202509</v>
      </c>
      <c r="B14460" s="6">
        <v>45926</v>
      </c>
      <c r="C14460" t="s">
        <v>130</v>
      </c>
      <c r="D14460" t="s">
        <v>5883</v>
      </c>
      <c r="E14460">
        <v>10.85</v>
      </c>
      <c r="F14460" t="str">
        <f>IF(Table2[[#This Row],[Manual Cat Value]]="",Table2[[#This Row],[Suggested Cat Value]],VLOOKUP(Table2[[#This Row],[Manual Cat Value]],Lookup!G:H,2,0))</f>
        <v>Day Care</v>
      </c>
      <c r="G14460" t="s">
        <v>20</v>
      </c>
      <c r="I14460" s="8"/>
      <c r="O14460" t="str">
        <f>LEFT(Table2[[#This Row],[Description]],75)</f>
        <v>AplPay MCW 1602-MinnMINNETONKA          MN</v>
      </c>
    </row>
    <row r="14461" spans="1:15" hidden="1">
      <c r="A14461">
        <v>202506</v>
      </c>
      <c r="B14461" s="6">
        <v>45831</v>
      </c>
      <c r="C14461" t="s">
        <v>130</v>
      </c>
      <c r="D14461" t="s">
        <v>5883</v>
      </c>
      <c r="E14461">
        <v>10.85</v>
      </c>
      <c r="F14461" t="str">
        <f>IF(Table2[[#This Row],[Manual Cat Value]]="",Table2[[#This Row],[Suggested Cat Value]],VLOOKUP(Table2[[#This Row],[Manual Cat Value]],Lookup!G:H,2,0))</f>
        <v>Day Care</v>
      </c>
      <c r="G14461" t="s">
        <v>20</v>
      </c>
      <c r="I14461" s="8"/>
      <c r="O14461" t="str">
        <f>LEFT(Table2[[#This Row],[Description]],75)</f>
        <v>AplPay MCW 1602-MinnMINNETONKA          MN</v>
      </c>
    </row>
    <row r="14462" spans="1:15" hidden="1">
      <c r="A14462">
        <v>202509</v>
      </c>
      <c r="B14462" s="6">
        <v>45902</v>
      </c>
      <c r="C14462" t="s">
        <v>130</v>
      </c>
      <c r="D14462" t="s">
        <v>5818</v>
      </c>
      <c r="E14462">
        <v>10.84</v>
      </c>
      <c r="F14462" t="str">
        <f>IF(Table2[[#This Row],[Manual Cat Value]]="",Table2[[#This Row],[Suggested Cat Value]],VLOOKUP(Table2[[#This Row],[Manual Cat Value]],Lookup!G:H,2,0))</f>
        <v>Groceries</v>
      </c>
      <c r="G14462" t="s">
        <v>28</v>
      </c>
      <c r="I14462" s="8"/>
      <c r="O14462" t="str">
        <f>LEFT(Table2[[#This Row],[Description]],75)</f>
        <v>AplPay CUB FOODS #16SHOREWOOD           MN</v>
      </c>
    </row>
    <row r="14463" spans="1:15" hidden="1">
      <c r="A14463">
        <v>202507</v>
      </c>
      <c r="B14463" s="6">
        <v>45852</v>
      </c>
      <c r="C14463" t="s">
        <v>3938</v>
      </c>
      <c r="D14463" t="s">
        <v>6888</v>
      </c>
      <c r="E14463">
        <v>10.8</v>
      </c>
      <c r="F14463" t="str">
        <f>IF(Table2[[#This Row],[Manual Cat Value]]="",Table2[[#This Row],[Suggested Cat Value]],VLOOKUP(Table2[[#This Row],[Manual Cat Value]],Lookup!G:H,2,0))</f>
        <v>Entertainment</v>
      </c>
      <c r="G14463" t="s">
        <v>40</v>
      </c>
      <c r="I14463" s="8"/>
      <c r="O14463" t="str">
        <f>LEFT(Table2[[#This Row],[Description]],75)</f>
        <v>CEP*OLYMPIC HILLS GC EDEN PRAIRIE MN REF #XX0628R1HEKDQ</v>
      </c>
    </row>
    <row r="14464" spans="1:15" hidden="1">
      <c r="A14464">
        <v>202510</v>
      </c>
      <c r="B14464" s="6">
        <v>45942</v>
      </c>
      <c r="C14464" t="s">
        <v>3938</v>
      </c>
      <c r="D14464" t="s">
        <v>6889</v>
      </c>
      <c r="E14464">
        <v>10.7</v>
      </c>
      <c r="F14464" t="str">
        <f>IF(Table2[[#This Row],[Manual Cat Value]]="",Table2[[#This Row],[Suggested Cat Value]],VLOOKUP(Table2[[#This Row],[Manual Cat Value]],Lookup!G:H,2,0))</f>
        <v>Restaurants</v>
      </c>
      <c r="H14464" s="8" t="s">
        <v>25</v>
      </c>
      <c r="I14464" s="8"/>
      <c r="O14464" t="str">
        <f>LEFT(Table2[[#This Row],[Description]],75)</f>
        <v>ELY CAFF MONTEROSSO ALIT REF #XX1638WDFBJJDJL</v>
      </c>
    </row>
    <row r="14465" spans="1:15" hidden="1">
      <c r="A14465">
        <v>202510</v>
      </c>
      <c r="B14465" s="6">
        <v>45946</v>
      </c>
      <c r="C14465" t="s">
        <v>130</v>
      </c>
      <c r="D14465" t="s">
        <v>6859</v>
      </c>
      <c r="E14465">
        <v>10.51</v>
      </c>
      <c r="F14465" t="str">
        <f>IF(Table2[[#This Row],[Manual Cat Value]]="",Table2[[#This Row],[Suggested Cat Value]],VLOOKUP(Table2[[#This Row],[Manual Cat Value]],Lookup!G:H,2,0))</f>
        <v>Restaurants</v>
      </c>
      <c r="G14465" t="s">
        <v>26</v>
      </c>
      <c r="I14465" s="8"/>
      <c r="O14465" t="str">
        <f>LEFT(Table2[[#This Row],[Description]],75)</f>
        <v>AplPay PULCINELLA BIMONTEPULCIANO</v>
      </c>
    </row>
    <row r="14466" spans="1:15" hidden="1">
      <c r="A14466">
        <v>202509</v>
      </c>
      <c r="B14466" s="6">
        <v>45903</v>
      </c>
      <c r="C14466" t="s">
        <v>130</v>
      </c>
      <c r="D14466" t="s">
        <v>5897</v>
      </c>
      <c r="E14466">
        <v>10.34</v>
      </c>
      <c r="F14466" t="str">
        <f>IF(Table2[[#This Row],[Manual Cat Value]]="",Table2[[#This Row],[Suggested Cat Value]],VLOOKUP(Table2[[#This Row],[Manual Cat Value]],Lookup!G:H,2,0))</f>
        <v>Restaurants</v>
      </c>
      <c r="G14466" t="s">
        <v>26</v>
      </c>
      <c r="I14466" s="8"/>
      <c r="O14466" t="str">
        <f>LEFT(Table2[[#This Row],[Description]],75)</f>
        <v>AplPay SUBWAY 71167 ST. BONIFACIUS      MN</v>
      </c>
    </row>
    <row r="14467" spans="1:15" hidden="1">
      <c r="A14467">
        <v>202508</v>
      </c>
      <c r="B14467" s="6">
        <v>45887</v>
      </c>
      <c r="C14467" t="s">
        <v>130</v>
      </c>
      <c r="D14467" t="s">
        <v>6462</v>
      </c>
      <c r="E14467">
        <v>10.29</v>
      </c>
      <c r="F14467" t="str">
        <f>IF(Table2[[#This Row],[Manual Cat Value]]="",Table2[[#This Row],[Suggested Cat Value]],VLOOKUP(Table2[[#This Row],[Manual Cat Value]],Lookup!G:H,2,0))</f>
        <v>Restaurants</v>
      </c>
      <c r="G14467" t="s">
        <v>26</v>
      </c>
      <c r="I14467" s="8"/>
      <c r="O14467" t="str">
        <f>LEFT(Table2[[#This Row],[Description]],75)</f>
        <v>DAIRY QUEEN #45864 0MINNETONKA          MN</v>
      </c>
    </row>
    <row r="14468" spans="1:15" hidden="1">
      <c r="A14468">
        <v>202510</v>
      </c>
      <c r="B14468" s="6">
        <v>45945</v>
      </c>
      <c r="C14468" t="s">
        <v>130</v>
      </c>
      <c r="D14468" t="s">
        <v>6890</v>
      </c>
      <c r="E14468">
        <v>10.25</v>
      </c>
      <c r="F14468" t="str">
        <f>IF(Table2[[#This Row],[Manual Cat Value]]="",Table2[[#This Row],[Suggested Cat Value]],VLOOKUP(Table2[[#This Row],[Manual Cat Value]],Lookup!G:H,2,0))</f>
        <v>Restaurants</v>
      </c>
      <c r="G14468" t="s">
        <v>26</v>
      </c>
      <c r="I14468" s="8"/>
      <c r="O14468" t="str">
        <f>LEFT(Table2[[#This Row],[Description]],75)</f>
        <v>AplPay VIVA*BAR LA CCASTIGLIONE DEL LAGOIT</v>
      </c>
    </row>
    <row r="14469" spans="1:15" hidden="1">
      <c r="A14469">
        <v>202508</v>
      </c>
      <c r="B14469" s="6">
        <v>45874</v>
      </c>
      <c r="C14469" t="s">
        <v>130</v>
      </c>
      <c r="D14469" t="s">
        <v>6891</v>
      </c>
      <c r="E14469">
        <v>10.199999999999999</v>
      </c>
      <c r="F14469" t="str">
        <f>IF(Table2[[#This Row],[Manual Cat Value]]="",Table2[[#This Row],[Suggested Cat Value]],VLOOKUP(Table2[[#This Row],[Manual Cat Value]],Lookup!G:H,2,0))</f>
        <v>Delete</v>
      </c>
      <c r="G14469" t="s">
        <v>9</v>
      </c>
      <c r="I14469" s="8"/>
      <c r="O14469" t="str">
        <f>LEFT(Table2[[#This Row],[Description]],75)</f>
        <v>TST-BORU COFFEE     CORK                IR</v>
      </c>
    </row>
    <row r="14470" spans="1:15" hidden="1">
      <c r="A14470">
        <v>202509</v>
      </c>
      <c r="B14470" s="6">
        <v>45901</v>
      </c>
      <c r="C14470" t="s">
        <v>130</v>
      </c>
      <c r="D14470" t="s">
        <v>6892</v>
      </c>
      <c r="E14470">
        <v>10.17</v>
      </c>
      <c r="F14470" t="str">
        <f>IF(Table2[[#This Row],[Manual Cat Value]]="",Table2[[#This Row],[Suggested Cat Value]],VLOOKUP(Table2[[#This Row],[Manual Cat Value]],Lookup!G:H,2,0))</f>
        <v>Restaurants</v>
      </c>
      <c r="G14470" t="s">
        <v>26</v>
      </c>
      <c r="I14470" s="8"/>
      <c r="O14470" t="str">
        <f>LEFT(Table2[[#This Row],[Description]],75)</f>
        <v>SILVERBROOK COFFEE  Saint Croix Falls   WI</v>
      </c>
    </row>
    <row r="14471" spans="1:15" hidden="1">
      <c r="A14471">
        <v>202510</v>
      </c>
      <c r="B14471" s="6">
        <v>45934</v>
      </c>
      <c r="C14471" t="s">
        <v>130</v>
      </c>
      <c r="D14471" t="s">
        <v>6710</v>
      </c>
      <c r="E14471">
        <v>10.16</v>
      </c>
      <c r="F14471" t="str">
        <f>IF(Table2[[#This Row],[Manual Cat Value]]="",Table2[[#This Row],[Suggested Cat Value]],VLOOKUP(Table2[[#This Row],[Manual Cat Value]],Lookup!G:H,2,0))</f>
        <v>Transportation</v>
      </c>
      <c r="H14471" s="8" t="s">
        <v>22</v>
      </c>
      <c r="I14471" s="8"/>
      <c r="O14471" t="str">
        <f>LEFT(Table2[[#This Row],[Description]],75)</f>
        <v>BP#7593908BOB &amp; STEVNEW RICHMOND        WI</v>
      </c>
    </row>
    <row r="14472" spans="1:15" hidden="1">
      <c r="A14472">
        <v>202508</v>
      </c>
      <c r="B14472" s="6">
        <v>45896</v>
      </c>
      <c r="C14472" t="s">
        <v>130</v>
      </c>
      <c r="D14472" t="s">
        <v>6893</v>
      </c>
      <c r="E14472">
        <v>10</v>
      </c>
      <c r="F14472" t="str">
        <f>IF(Table2[[#This Row],[Manual Cat Value]]="",Table2[[#This Row],[Suggested Cat Value]],VLOOKUP(Table2[[#This Row],[Manual Cat Value]],Lookup!G:H,2,0))</f>
        <v>Restaurants</v>
      </c>
      <c r="G14472" t="s">
        <v>26</v>
      </c>
      <c r="I14472" s="8"/>
      <c r="O14472" t="str">
        <f>LEFT(Table2[[#This Row],[Description]],75)</f>
        <v>AplPay STARBUCKS EASMINNEAPOLIS         MN</v>
      </c>
    </row>
    <row r="14473" spans="1:15" hidden="1">
      <c r="A14473">
        <v>202508</v>
      </c>
      <c r="B14473" s="6">
        <v>45896</v>
      </c>
      <c r="C14473" t="s">
        <v>130</v>
      </c>
      <c r="D14473" t="s">
        <v>6893</v>
      </c>
      <c r="E14473">
        <v>10</v>
      </c>
      <c r="F14473" t="str">
        <f>IF(Table2[[#This Row],[Manual Cat Value]]="",Table2[[#This Row],[Suggested Cat Value]],VLOOKUP(Table2[[#This Row],[Manual Cat Value]],Lookup!G:H,2,0))</f>
        <v>Restaurants</v>
      </c>
      <c r="G14473" t="s">
        <v>26</v>
      </c>
      <c r="I14473" s="8"/>
      <c r="O14473" t="str">
        <f>LEFT(Table2[[#This Row],[Description]],75)</f>
        <v>AplPay STARBUCKS EASMINNEAPOLIS         MN</v>
      </c>
    </row>
    <row r="14474" spans="1:15" hidden="1">
      <c r="A14474">
        <v>202508</v>
      </c>
      <c r="B14474" s="6">
        <v>45871</v>
      </c>
      <c r="C14474" t="s">
        <v>130</v>
      </c>
      <c r="D14474" t="s">
        <v>5825</v>
      </c>
      <c r="E14474">
        <v>10</v>
      </c>
      <c r="F14474" t="str">
        <f>IF(Table2[[#This Row],[Manual Cat Value]]="",Table2[[#This Row],[Suggested Cat Value]],VLOOKUP(Table2[[#This Row],[Manual Cat Value]],Lookup!G:H,2,0))</f>
        <v>Entertainment</v>
      </c>
      <c r="G14474" t="s">
        <v>40</v>
      </c>
      <c r="I14474" s="8"/>
      <c r="O14474" t="str">
        <f>LEFT(Table2[[#This Row],[Description]],75)</f>
        <v>DEER RUN GC         VICTORIA            MN</v>
      </c>
    </row>
    <row r="14475" spans="1:15" hidden="1">
      <c r="A14475">
        <v>202508</v>
      </c>
      <c r="B14475" s="6">
        <v>45871</v>
      </c>
      <c r="C14475" t="s">
        <v>130</v>
      </c>
      <c r="D14475" t="s">
        <v>5825</v>
      </c>
      <c r="E14475">
        <v>10</v>
      </c>
      <c r="F14475" t="str">
        <f>IF(Table2[[#This Row],[Manual Cat Value]]="",Table2[[#This Row],[Suggested Cat Value]],VLOOKUP(Table2[[#This Row],[Manual Cat Value]],Lookup!G:H,2,0))</f>
        <v>Entertainment</v>
      </c>
      <c r="G14475" t="s">
        <v>40</v>
      </c>
      <c r="I14475" s="8"/>
      <c r="O14475" t="str">
        <f>LEFT(Table2[[#This Row],[Description]],75)</f>
        <v>DEER RUN GC         VICTORIA            MN</v>
      </c>
    </row>
    <row r="14476" spans="1:15" hidden="1">
      <c r="A14476">
        <v>202506</v>
      </c>
      <c r="B14476" s="6">
        <v>45818</v>
      </c>
      <c r="C14476" t="s">
        <v>130</v>
      </c>
      <c r="D14476" t="s">
        <v>6894</v>
      </c>
      <c r="E14476">
        <v>10</v>
      </c>
      <c r="F14476" t="str">
        <f>IF(Table2[[#This Row],[Manual Cat Value]]="",Table2[[#This Row],[Suggested Cat Value]],VLOOKUP(Table2[[#This Row],[Manual Cat Value]],Lookup!G:H,2,0))</f>
        <v>Restaurants</v>
      </c>
      <c r="H14476" s="8" t="s">
        <v>25</v>
      </c>
      <c r="I14476" s="8"/>
      <c r="O14476" t="str">
        <f>LEFT(Table2[[#This Row],[Description]],75)</f>
        <v>PSPT LAWRNC ENF 0000Charlotte           NC</v>
      </c>
    </row>
    <row r="14477" spans="1:15" hidden="1">
      <c r="A14477">
        <v>202510</v>
      </c>
      <c r="B14477" s="6">
        <v>45943</v>
      </c>
      <c r="C14477" t="s">
        <v>3938</v>
      </c>
      <c r="D14477" t="s">
        <v>6895</v>
      </c>
      <c r="E14477">
        <v>9.84</v>
      </c>
      <c r="F14477" t="str">
        <f>IF(Table2[[#This Row],[Manual Cat Value]]="",Table2[[#This Row],[Suggested Cat Value]],VLOOKUP(Table2[[#This Row],[Manual Cat Value]],Lookup!G:H,2,0))</f>
        <v>Groceries</v>
      </c>
      <c r="G14477" t="s">
        <v>28</v>
      </c>
      <c r="I14477" s="8"/>
      <c r="O14477" t="str">
        <f>LEFT(Table2[[#This Row],[Description]],75)</f>
        <v>G.F. MARKET MONTEROSSO ALIT REF #XX1638XDWQVZE81</v>
      </c>
    </row>
    <row r="14478" spans="1:15" hidden="1">
      <c r="A14478">
        <v>202507</v>
      </c>
      <c r="B14478" s="6">
        <v>45868</v>
      </c>
      <c r="C14478" t="s">
        <v>130</v>
      </c>
      <c r="D14478" t="s">
        <v>6183</v>
      </c>
      <c r="E14478">
        <v>9.7899999999999991</v>
      </c>
      <c r="F14478" t="str">
        <f>IF(Table2[[#This Row],[Manual Cat Value]]="",Table2[[#This Row],[Suggested Cat Value]],VLOOKUP(Table2[[#This Row],[Manual Cat Value]],Lookup!G:H,2,0))</f>
        <v>Amazon</v>
      </c>
      <c r="G14478" t="s">
        <v>38</v>
      </c>
      <c r="I14478" s="8"/>
      <c r="O14478" t="str">
        <f>LEFT(Table2[[#This Row],[Description]],75)</f>
        <v>AMAZON MARKEPLACE NA PA</v>
      </c>
    </row>
    <row r="14479" spans="1:15" hidden="1">
      <c r="A14479">
        <v>202509</v>
      </c>
      <c r="B14479" s="6">
        <v>45916</v>
      </c>
      <c r="C14479" t="s">
        <v>130</v>
      </c>
      <c r="D14479" t="s">
        <v>6738</v>
      </c>
      <c r="E14479">
        <v>9.74</v>
      </c>
      <c r="F14479" t="str">
        <f>IF(Table2[[#This Row],[Manual Cat Value]]="",Table2[[#This Row],[Suggested Cat Value]],VLOOKUP(Table2[[#This Row],[Manual Cat Value]],Lookup!G:H,2,0))</f>
        <v>Groceries</v>
      </c>
      <c r="G14479" t="s">
        <v>28</v>
      </c>
      <c r="I14479" s="8"/>
      <c r="O14479" t="str">
        <f>LEFT(Table2[[#This Row],[Description]],75)</f>
        <v>WALGREENS           EXCELSIOR           MN</v>
      </c>
    </row>
    <row r="14480" spans="1:15" hidden="1">
      <c r="A14480">
        <v>202507</v>
      </c>
      <c r="B14480" s="6">
        <v>45839</v>
      </c>
      <c r="C14480" t="s">
        <v>130</v>
      </c>
      <c r="D14480" t="s">
        <v>6738</v>
      </c>
      <c r="E14480">
        <v>9.74</v>
      </c>
      <c r="F14480" t="str">
        <f>IF(Table2[[#This Row],[Manual Cat Value]]="",Table2[[#This Row],[Suggested Cat Value]],VLOOKUP(Table2[[#This Row],[Manual Cat Value]],Lookup!G:H,2,0))</f>
        <v>Groceries</v>
      </c>
      <c r="G14480" t="s">
        <v>28</v>
      </c>
      <c r="I14480" s="8"/>
      <c r="O14480" t="str">
        <f>LEFT(Table2[[#This Row],[Description]],75)</f>
        <v>WALGREENS           EXCELSIOR           MN</v>
      </c>
    </row>
    <row r="14481" spans="1:15" hidden="1">
      <c r="A14481">
        <v>202510</v>
      </c>
      <c r="B14481" s="6">
        <v>45942</v>
      </c>
      <c r="C14481" t="s">
        <v>3938</v>
      </c>
      <c r="D14481" t="s">
        <v>6896</v>
      </c>
      <c r="E14481">
        <v>9.67</v>
      </c>
      <c r="F14481" t="str">
        <f>IF(Table2[[#This Row],[Manual Cat Value]]="",Table2[[#This Row],[Suggested Cat Value]],VLOOKUP(Table2[[#This Row],[Manual Cat Value]],Lookup!G:H,2,0))</f>
        <v>Travel</v>
      </c>
      <c r="H14481" s="8" t="s">
        <v>52</v>
      </c>
      <c r="I14481" s="8"/>
      <c r="O14481" t="str">
        <f>LEFT(Table2[[#This Row],[Description]],75)</f>
        <v>12CDT - CDT TRATTA A1 TORTONA IT REF #XX9498W1134TJV4</v>
      </c>
    </row>
    <row r="14482" spans="1:15" hidden="1">
      <c r="A14482">
        <v>202510</v>
      </c>
      <c r="B14482" s="6">
        <v>45944</v>
      </c>
      <c r="C14482" t="s">
        <v>3938</v>
      </c>
      <c r="D14482" t="s">
        <v>6897</v>
      </c>
      <c r="E14482">
        <v>9.61</v>
      </c>
      <c r="F14482" t="str">
        <f>IF(Table2[[#This Row],[Manual Cat Value]]="",Table2[[#This Row],[Suggested Cat Value]],VLOOKUP(Table2[[#This Row],[Manual Cat Value]],Lookup!G:H,2,0))</f>
        <v>Travel</v>
      </c>
      <c r="H14482" s="8" t="s">
        <v>52</v>
      </c>
      <c r="I14482" s="8"/>
      <c r="O14482" t="str">
        <f>LEFT(Table2[[#This Row],[Description]],75)</f>
        <v>CONAD FIRENZE IT REF #XX1638YE36DA2HJ</v>
      </c>
    </row>
    <row r="14483" spans="1:15" hidden="1">
      <c r="A14483">
        <v>202508</v>
      </c>
      <c r="B14483" s="6">
        <v>45872</v>
      </c>
      <c r="C14483" t="s">
        <v>130</v>
      </c>
      <c r="D14483" t="s">
        <v>6898</v>
      </c>
      <c r="E14483">
        <v>9.4</v>
      </c>
      <c r="F14483" t="str">
        <f>IF(Table2[[#This Row],[Manual Cat Value]]="",Table2[[#This Row],[Suggested Cat Value]],VLOOKUP(Table2[[#This Row],[Manual Cat Value]],Lookup!G:H,2,0))</f>
        <v>Delete</v>
      </c>
      <c r="G14483" t="s">
        <v>9</v>
      </c>
      <c r="I14483" s="8"/>
      <c r="O14483" t="str">
        <f>LEFT(Table2[[#This Row],[Description]],75)</f>
        <v>ROCKY MOUNTAIN CHOCOSaint Paul          MN</v>
      </c>
    </row>
    <row r="14484" spans="1:15" hidden="1">
      <c r="A14484">
        <v>202508</v>
      </c>
      <c r="B14484" s="6">
        <v>45873</v>
      </c>
      <c r="C14484" t="s">
        <v>130</v>
      </c>
      <c r="D14484" t="s">
        <v>6899</v>
      </c>
      <c r="E14484">
        <v>9.27</v>
      </c>
      <c r="F14484" t="str">
        <f>IF(Table2[[#This Row],[Manual Cat Value]]="",Table2[[#This Row],[Suggested Cat Value]],VLOOKUP(Table2[[#This Row],[Manual Cat Value]],Lookup!G:H,2,0))</f>
        <v>Delete</v>
      </c>
      <c r="G14484" t="s">
        <v>9</v>
      </c>
      <c r="I14484" s="8"/>
      <c r="O14484" t="str">
        <f>LEFT(Table2[[#This Row],[Description]],75)</f>
        <v>GLF MAHONGC         CORK</v>
      </c>
    </row>
    <row r="14485" spans="1:15" hidden="1">
      <c r="A14485">
        <v>202506</v>
      </c>
      <c r="B14485" s="6">
        <v>45811</v>
      </c>
      <c r="C14485" t="s">
        <v>3938</v>
      </c>
      <c r="D14485" t="s">
        <v>6900</v>
      </c>
      <c r="E14485">
        <v>9.11</v>
      </c>
      <c r="F14485" t="str">
        <f>IF(Table2[[#This Row],[Manual Cat Value]]="",Table2[[#This Row],[Suggested Cat Value]],VLOOKUP(Table2[[#This Row],[Manual Cat Value]],Lookup!G:H,2,0))</f>
        <v>Travel</v>
      </c>
      <c r="H14485" s="8" t="s">
        <v>52</v>
      </c>
      <c r="I14485" s="8"/>
      <c r="O14485" t="str">
        <f>LEFT(Table2[[#This Row],[Description]],75)</f>
        <v>FTSCHNEIDER GMBH SOEST DF REF #XX2234S01F2QLVG</v>
      </c>
    </row>
    <row r="14486" spans="1:15" hidden="1">
      <c r="A14486">
        <v>202509</v>
      </c>
      <c r="B14486" s="6">
        <v>45920</v>
      </c>
      <c r="C14486" t="s">
        <v>130</v>
      </c>
      <c r="D14486" t="s">
        <v>6901</v>
      </c>
      <c r="E14486">
        <v>9</v>
      </c>
      <c r="F14486" t="str">
        <f>IF(Table2[[#This Row],[Manual Cat Value]]="",Table2[[#This Row],[Suggested Cat Value]],VLOOKUP(Table2[[#This Row],[Manual Cat Value]],Lookup!G:H,2,0))</f>
        <v>Restaurants</v>
      </c>
      <c r="G14486" t="s">
        <v>26</v>
      </c>
      <c r="I14486" s="8"/>
      <c r="O14486" t="str">
        <f>LEFT(Table2[[#This Row],[Description]],75)</f>
        <v>NORTH STAR DONUTS   Excelsior           MN</v>
      </c>
    </row>
    <row r="14487" spans="1:15" hidden="1">
      <c r="A14487">
        <v>202510</v>
      </c>
      <c r="B14487" s="6">
        <v>45952</v>
      </c>
      <c r="C14487" t="s">
        <v>130</v>
      </c>
      <c r="D14487" t="s">
        <v>6069</v>
      </c>
      <c r="E14487">
        <v>8.99</v>
      </c>
      <c r="F14487" t="str">
        <f>IF(Table2[[#This Row],[Manual Cat Value]]="",Table2[[#This Row],[Suggested Cat Value]],VLOOKUP(Table2[[#This Row],[Manual Cat Value]],Lookup!G:H,2,0))</f>
        <v>Delete</v>
      </c>
      <c r="G14487" t="s">
        <v>9</v>
      </c>
      <c r="I14487" s="8"/>
      <c r="O14487" t="str">
        <f>LEFT(Table2[[#This Row],[Description]],75)</f>
        <v>AplPay THE LOBBY COFExcelsior           MN</v>
      </c>
    </row>
    <row r="14488" spans="1:15" hidden="1">
      <c r="A14488">
        <v>202507</v>
      </c>
      <c r="B14488" s="6">
        <v>45846</v>
      </c>
      <c r="C14488" t="s">
        <v>3938</v>
      </c>
      <c r="D14488" t="s">
        <v>6902</v>
      </c>
      <c r="E14488">
        <v>8.9499999999999993</v>
      </c>
      <c r="F14488" t="str">
        <f>IF(Table2[[#This Row],[Manual Cat Value]]="",Table2[[#This Row],[Suggested Cat Value]],VLOOKUP(Table2[[#This Row],[Manual Cat Value]],Lookup!G:H,2,0))</f>
        <v>Restaurants</v>
      </c>
      <c r="G14488" t="s">
        <v>26</v>
      </c>
      <c r="I14488" s="8"/>
      <c r="O14488" t="str">
        <f>LEFT(Table2[[#This Row],[Description]],75)</f>
        <v>THE HIGHWAY 46 STORE BALSAM LAKE WI REF #XX4545W015VT4N4</v>
      </c>
    </row>
    <row r="14489" spans="1:15" hidden="1">
      <c r="A14489">
        <v>202507</v>
      </c>
      <c r="B14489" s="6">
        <v>45857</v>
      </c>
      <c r="C14489" t="s">
        <v>130</v>
      </c>
      <c r="D14489" t="s">
        <v>6903</v>
      </c>
      <c r="E14489">
        <v>8.82</v>
      </c>
      <c r="F14489" t="str">
        <f>IF(Table2[[#This Row],[Manual Cat Value]]="",Table2[[#This Row],[Suggested Cat Value]],VLOOKUP(Table2[[#This Row],[Manual Cat Value]],Lookup!G:H,2,0))</f>
        <v>Travel</v>
      </c>
      <c r="G14489" t="s">
        <v>43</v>
      </c>
      <c r="I14489" s="8"/>
      <c r="O14489" t="str">
        <f>LEFT(Table2[[#This Row],[Description]],75)</f>
        <v>OPIE'S LLC          Creede              CO</v>
      </c>
    </row>
    <row r="14490" spans="1:15" hidden="1">
      <c r="A14490">
        <v>202510</v>
      </c>
      <c r="B14490" s="6">
        <v>45942</v>
      </c>
      <c r="C14490" t="s">
        <v>3938</v>
      </c>
      <c r="D14490" t="s">
        <v>5756</v>
      </c>
      <c r="E14490">
        <v>8.7100000000000009</v>
      </c>
      <c r="F14490" t="str">
        <f>IF(Table2[[#This Row],[Manual Cat Value]]="",Table2[[#This Row],[Suggested Cat Value]],VLOOKUP(Table2[[#This Row],[Manual Cat Value]],Lookup!G:H,2,0))</f>
        <v>Entertainment</v>
      </c>
      <c r="G14490" t="s">
        <v>40</v>
      </c>
      <c r="I14490" s="8"/>
      <c r="O14490" t="str">
        <f>LEFT(Table2[[#This Row],[Description]],75)</f>
        <v>Hallmark</v>
      </c>
    </row>
    <row r="14491" spans="1:15" hidden="1">
      <c r="A14491">
        <v>202509</v>
      </c>
      <c r="B14491" s="6">
        <v>45912</v>
      </c>
      <c r="C14491" t="s">
        <v>3938</v>
      </c>
      <c r="D14491" t="s">
        <v>5756</v>
      </c>
      <c r="E14491">
        <v>8.7100000000000009</v>
      </c>
      <c r="F14491" t="str">
        <f>IF(Table2[[#This Row],[Manual Cat Value]]="",Table2[[#This Row],[Suggested Cat Value]],VLOOKUP(Table2[[#This Row],[Manual Cat Value]],Lookup!G:H,2,0))</f>
        <v>Entertainment</v>
      </c>
      <c r="G14491" t="s">
        <v>40</v>
      </c>
      <c r="I14491" s="8"/>
      <c r="O14491" t="str">
        <f>LEFT(Table2[[#This Row],[Description]],75)</f>
        <v>Hallmark</v>
      </c>
    </row>
    <row r="14492" spans="1:15" hidden="1">
      <c r="A14492">
        <v>202508</v>
      </c>
      <c r="B14492" s="6">
        <v>45881</v>
      </c>
      <c r="C14492" t="s">
        <v>3938</v>
      </c>
      <c r="D14492" t="s">
        <v>5756</v>
      </c>
      <c r="E14492">
        <v>8.7100000000000009</v>
      </c>
      <c r="F14492" t="str">
        <f>IF(Table2[[#This Row],[Manual Cat Value]]="",Table2[[#This Row],[Suggested Cat Value]],VLOOKUP(Table2[[#This Row],[Manual Cat Value]],Lookup!G:H,2,0))</f>
        <v>Entertainment</v>
      </c>
      <c r="G14492" t="s">
        <v>40</v>
      </c>
      <c r="I14492" s="8"/>
      <c r="O14492" t="str">
        <f>LEFT(Table2[[#This Row],[Description]],75)</f>
        <v>Hallmark</v>
      </c>
    </row>
    <row r="14493" spans="1:15" hidden="1">
      <c r="A14493">
        <v>202507</v>
      </c>
      <c r="B14493" s="6">
        <v>45851</v>
      </c>
      <c r="C14493" t="s">
        <v>3938</v>
      </c>
      <c r="D14493" t="s">
        <v>5756</v>
      </c>
      <c r="E14493">
        <v>8.7100000000000009</v>
      </c>
      <c r="F14493" t="str">
        <f>IF(Table2[[#This Row],[Manual Cat Value]]="",Table2[[#This Row],[Suggested Cat Value]],VLOOKUP(Table2[[#This Row],[Manual Cat Value]],Lookup!G:H,2,0))</f>
        <v>Entertainment</v>
      </c>
      <c r="G14493" t="s">
        <v>40</v>
      </c>
      <c r="I14493" s="8"/>
      <c r="O14493" t="str">
        <f>LEFT(Table2[[#This Row],[Description]],75)</f>
        <v>Hallmark</v>
      </c>
    </row>
    <row r="14494" spans="1:15" hidden="1">
      <c r="A14494">
        <v>202506</v>
      </c>
      <c r="B14494" s="6">
        <v>45820</v>
      </c>
      <c r="C14494" t="s">
        <v>3938</v>
      </c>
      <c r="D14494" t="s">
        <v>5756</v>
      </c>
      <c r="E14494">
        <v>8.7100000000000009</v>
      </c>
      <c r="F14494" t="str">
        <f>IF(Table2[[#This Row],[Manual Cat Value]]="",Table2[[#This Row],[Suggested Cat Value]],VLOOKUP(Table2[[#This Row],[Manual Cat Value]],Lookup!G:H,2,0))</f>
        <v>Entertainment</v>
      </c>
      <c r="G14494" t="s">
        <v>40</v>
      </c>
      <c r="I14494" s="8"/>
      <c r="O14494" t="str">
        <f>LEFT(Table2[[#This Row],[Description]],75)</f>
        <v>Hallmark</v>
      </c>
    </row>
    <row r="14495" spans="1:15" hidden="1">
      <c r="A14495">
        <v>202506</v>
      </c>
      <c r="B14495" s="6">
        <v>45828</v>
      </c>
      <c r="C14495" t="s">
        <v>130</v>
      </c>
      <c r="D14495" t="s">
        <v>6904</v>
      </c>
      <c r="E14495">
        <v>8.7100000000000009</v>
      </c>
      <c r="F14495" t="str">
        <f>IF(Table2[[#This Row],[Manual Cat Value]]="",Table2[[#This Row],[Suggested Cat Value]],VLOOKUP(Table2[[#This Row],[Manual Cat Value]],Lookup!G:H,2,0))</f>
        <v>Travel</v>
      </c>
      <c r="G14495" t="s">
        <v>43</v>
      </c>
      <c r="I14495" s="8"/>
      <c r="O14495" t="str">
        <f>LEFT(Table2[[#This Row],[Description]],75)</f>
        <v>RACESSENTIALS       Duluth              MN</v>
      </c>
    </row>
    <row r="14496" spans="1:15" hidden="1">
      <c r="A14496">
        <v>202506</v>
      </c>
      <c r="B14496" s="6">
        <v>45825</v>
      </c>
      <c r="C14496" t="s">
        <v>130</v>
      </c>
      <c r="D14496" t="s">
        <v>5765</v>
      </c>
      <c r="E14496">
        <v>8.6999999999999993</v>
      </c>
      <c r="F14496" t="str">
        <f>IF(Table2[[#This Row],[Manual Cat Value]]="",Table2[[#This Row],[Suggested Cat Value]],VLOOKUP(Table2[[#This Row],[Manual Cat Value]],Lookup!G:H,2,0))</f>
        <v>Amazon</v>
      </c>
      <c r="G14496" t="s">
        <v>38</v>
      </c>
      <c r="I14496" s="8"/>
      <c r="O14496" t="str">
        <f>LEFT(Table2[[#This Row],[Description]],75)</f>
        <v>PRIME VIDEO CHANNELSAMZN.COM/BILL       WA</v>
      </c>
    </row>
    <row r="14497" spans="1:15" hidden="1">
      <c r="A14497">
        <v>202506</v>
      </c>
      <c r="B14497" s="6">
        <v>45825</v>
      </c>
      <c r="C14497" t="s">
        <v>130</v>
      </c>
      <c r="D14497" t="s">
        <v>5925</v>
      </c>
      <c r="E14497">
        <v>8.6</v>
      </c>
      <c r="F14497" t="str">
        <f>IF(Table2[[#This Row],[Manual Cat Value]]="",Table2[[#This Row],[Suggested Cat Value]],VLOOKUP(Table2[[#This Row],[Manual Cat Value]],Lookup!G:H,2,0))</f>
        <v>Restaurants</v>
      </c>
      <c r="G14497" t="s">
        <v>26</v>
      </c>
      <c r="I14497" s="8"/>
      <c r="O14497" t="str">
        <f>LEFT(Table2[[#This Row],[Description]],75)</f>
        <v>AplPay WAYZATA CAFE WAYZATA             MN</v>
      </c>
    </row>
    <row r="14498" spans="1:15" hidden="1">
      <c r="A14498">
        <v>202510</v>
      </c>
      <c r="B14498" s="6">
        <v>45951</v>
      </c>
      <c r="C14498" t="s">
        <v>130</v>
      </c>
      <c r="D14498" t="s">
        <v>6905</v>
      </c>
      <c r="E14498">
        <v>8.26</v>
      </c>
      <c r="F14498" t="str">
        <f>IF(Table2[[#This Row],[Manual Cat Value]]="",Table2[[#This Row],[Suggested Cat Value]],VLOOKUP(Table2[[#This Row],[Manual Cat Value]],Lookup!G:H,2,0))</f>
        <v>Delete</v>
      </c>
      <c r="G14498" t="s">
        <v>9</v>
      </c>
      <c r="I14498" s="8"/>
      <c r="O14498" t="str">
        <f>LEFT(Table2[[#This Row],[Description]],75)</f>
        <v>OSHO                BALLINTEMPLE</v>
      </c>
    </row>
    <row r="14499" spans="1:15" hidden="1">
      <c r="A14499">
        <v>202510</v>
      </c>
      <c r="B14499" s="6">
        <v>45949</v>
      </c>
      <c r="C14499" t="s">
        <v>3938</v>
      </c>
      <c r="D14499" t="s">
        <v>6906</v>
      </c>
      <c r="E14499">
        <v>8.2100000000000009</v>
      </c>
      <c r="F14499" t="str">
        <f>IF(Table2[[#This Row],[Manual Cat Value]]="",Table2[[#This Row],[Suggested Cat Value]],VLOOKUP(Table2[[#This Row],[Manual Cat Value]],Lookup!G:H,2,0))</f>
        <v>Restaurants</v>
      </c>
      <c r="H14499" s="8" t="s">
        <v>25</v>
      </c>
      <c r="I14499" s="8"/>
      <c r="O14499" t="str">
        <f>LEFT(Table2[[#This Row],[Description]],75)</f>
        <v>BAR BRASILE ROMA IT REF #XX6393GA7FNWKW</v>
      </c>
    </row>
    <row r="14500" spans="1:15" hidden="1">
      <c r="A14500">
        <v>202506</v>
      </c>
      <c r="B14500" s="6">
        <v>45831</v>
      </c>
      <c r="C14500" t="s">
        <v>3938</v>
      </c>
      <c r="D14500" t="s">
        <v>648</v>
      </c>
      <c r="E14500">
        <v>8.1999999999999993</v>
      </c>
      <c r="F14500" t="str">
        <f>IF(Table2[[#This Row],[Manual Cat Value]]="",Table2[[#This Row],[Suggested Cat Value]],VLOOKUP(Table2[[#This Row],[Manual Cat Value]],Lookup!G:H,2,0))</f>
        <v>Groceries</v>
      </c>
      <c r="G14500" t="s">
        <v>28</v>
      </c>
      <c r="I14500" s="8"/>
      <c r="O14500" t="str">
        <f>LEFT(Table2[[#This Row],[Description]],75)</f>
        <v>Costco</v>
      </c>
    </row>
    <row r="14501" spans="1:15" hidden="1">
      <c r="A14501">
        <v>202508</v>
      </c>
      <c r="B14501" s="6">
        <v>45879</v>
      </c>
      <c r="C14501" t="s">
        <v>3938</v>
      </c>
      <c r="D14501" t="s">
        <v>6907</v>
      </c>
      <c r="E14501">
        <v>8.19</v>
      </c>
      <c r="F14501" t="str">
        <f>IF(Table2[[#This Row],[Manual Cat Value]]="",Table2[[#This Row],[Suggested Cat Value]],VLOOKUP(Table2[[#This Row],[Manual Cat Value]],Lookup!G:H,2,0))</f>
        <v>Groceries</v>
      </c>
      <c r="G14501" t="s">
        <v>28</v>
      </c>
      <c r="I14501" s="8"/>
      <c r="O14501" t="str">
        <f>LEFT(Table2[[#This Row],[Description]],75)</f>
        <v>THE LOOP CORK CORK IE REF #XX3616X006FYQFB</v>
      </c>
    </row>
    <row r="14502" spans="1:15" hidden="1">
      <c r="A14502">
        <v>202509</v>
      </c>
      <c r="B14502" s="6">
        <v>45903</v>
      </c>
      <c r="C14502" t="s">
        <v>130</v>
      </c>
      <c r="D14502" t="s">
        <v>6183</v>
      </c>
      <c r="E14502">
        <v>8.17</v>
      </c>
      <c r="F14502" t="str">
        <f>IF(Table2[[#This Row],[Manual Cat Value]]="",Table2[[#This Row],[Suggested Cat Value]],VLOOKUP(Table2[[#This Row],[Manual Cat Value]],Lookup!G:H,2,0))</f>
        <v>Amazon</v>
      </c>
      <c r="G14502" t="s">
        <v>38</v>
      </c>
      <c r="I14502" s="8"/>
      <c r="O14502" t="str">
        <f>LEFT(Table2[[#This Row],[Description]],75)</f>
        <v>AMAZON MARKEPLACE NA PA</v>
      </c>
    </row>
    <row r="14503" spans="1:15" hidden="1">
      <c r="A14503">
        <v>202506</v>
      </c>
      <c r="B14503" s="6">
        <v>45828</v>
      </c>
      <c r="C14503" t="s">
        <v>130</v>
      </c>
      <c r="D14503" t="s">
        <v>6723</v>
      </c>
      <c r="E14503">
        <v>8.17</v>
      </c>
      <c r="F14503" t="str">
        <f>IF(Table2[[#This Row],[Manual Cat Value]]="",Table2[[#This Row],[Suggested Cat Value]],VLOOKUP(Table2[[#This Row],[Manual Cat Value]],Lookup!G:H,2,0))</f>
        <v>Restaurants</v>
      </c>
      <c r="G14503" t="s">
        <v>26</v>
      </c>
      <c r="I14503" s="8"/>
      <c r="O14503" t="str">
        <f>LEFT(Table2[[#This Row],[Description]],75)</f>
        <v>BENT PADDLE BREWING Duluth              MN</v>
      </c>
    </row>
    <row r="14504" spans="1:15" hidden="1">
      <c r="A14504">
        <v>202508</v>
      </c>
      <c r="B14504" s="6">
        <v>45874</v>
      </c>
      <c r="C14504" t="s">
        <v>130</v>
      </c>
      <c r="D14504" t="s">
        <v>5827</v>
      </c>
      <c r="E14504">
        <v>8.1</v>
      </c>
      <c r="F14504" t="str">
        <f>IF(Table2[[#This Row],[Manual Cat Value]]="",Table2[[#This Row],[Suggested Cat Value]],VLOOKUP(Table2[[#This Row],[Manual Cat Value]],Lookup!G:H,2,0))</f>
        <v>Delete</v>
      </c>
      <c r="G14504" t="s">
        <v>9</v>
      </c>
      <c r="I14504" s="8"/>
      <c r="O14504" t="str">
        <f>LEFT(Table2[[#This Row],[Description]],75)</f>
        <v>THE DEAN HOTEL IE000CORK                IR</v>
      </c>
    </row>
    <row r="14505" spans="1:15" hidden="1">
      <c r="A14505">
        <v>202508</v>
      </c>
      <c r="B14505" s="6">
        <v>45899</v>
      </c>
      <c r="C14505" t="s">
        <v>130</v>
      </c>
      <c r="D14505" t="s">
        <v>6908</v>
      </c>
      <c r="E14505">
        <v>8</v>
      </c>
      <c r="F14505" t="str">
        <f>IF(Table2[[#This Row],[Manual Cat Value]]="",Table2[[#This Row],[Suggested Cat Value]],VLOOKUP(Table2[[#This Row],[Manual Cat Value]],Lookup!G:H,2,0))</f>
        <v>Entertainment</v>
      </c>
      <c r="G14505" t="s">
        <v>40</v>
      </c>
      <c r="I14505" s="8"/>
      <c r="O14505" t="str">
        <f>LEFT(Table2[[#This Row],[Description]],75)</f>
        <v>PP*BEAR MADE CRAFTS/MILLTOWN            WI</v>
      </c>
    </row>
    <row r="14506" spans="1:15" hidden="1">
      <c r="A14506">
        <v>202507</v>
      </c>
      <c r="B14506" s="6">
        <v>45862</v>
      </c>
      <c r="C14506" t="s">
        <v>130</v>
      </c>
      <c r="D14506" t="s">
        <v>6698</v>
      </c>
      <c r="E14506">
        <v>8</v>
      </c>
      <c r="F14506" t="str">
        <f>IF(Table2[[#This Row],[Manual Cat Value]]="",Table2[[#This Row],[Suggested Cat Value]],VLOOKUP(Table2[[#This Row],[Manual Cat Value]],Lookup!G:H,2,0))</f>
        <v>Transportation</v>
      </c>
      <c r="G14506" t="s">
        <v>23</v>
      </c>
      <c r="I14506" s="8"/>
      <c r="O14506" t="str">
        <f>LEFT(Table2[[#This Row],[Description]],75)</f>
        <v>UBER</v>
      </c>
    </row>
    <row r="14507" spans="1:15" hidden="1">
      <c r="A14507">
        <v>202510</v>
      </c>
      <c r="B14507" s="6">
        <v>45945</v>
      </c>
      <c r="C14507" t="s">
        <v>3938</v>
      </c>
      <c r="D14507" t="s">
        <v>6909</v>
      </c>
      <c r="E14507">
        <v>7.79</v>
      </c>
      <c r="F14507" t="str">
        <f>IF(Table2[[#This Row],[Manual Cat Value]]="",Table2[[#This Row],[Suggested Cat Value]],VLOOKUP(Table2[[#This Row],[Manual Cat Value]],Lookup!G:H,2,0))</f>
        <v>Restaurants</v>
      </c>
      <c r="H14507" s="8" t="s">
        <v>25</v>
      </c>
      <c r="I14507" s="8"/>
      <c r="O14507" t="str">
        <f>LEFT(Table2[[#This Row],[Description]],75)</f>
        <v>ASPIT FIRENZE SUD - VALDICHIANA IT REF #XX9010B9KMRA</v>
      </c>
    </row>
    <row r="14508" spans="1:15" hidden="1">
      <c r="A14508">
        <v>202507</v>
      </c>
      <c r="B14508" s="6">
        <v>45869</v>
      </c>
      <c r="C14508" t="s">
        <v>130</v>
      </c>
      <c r="D14508" t="s">
        <v>5925</v>
      </c>
      <c r="E14508">
        <v>7.36</v>
      </c>
      <c r="F14508" t="str">
        <f>IF(Table2[[#This Row],[Manual Cat Value]]="",Table2[[#This Row],[Suggested Cat Value]],VLOOKUP(Table2[[#This Row],[Manual Cat Value]],Lookup!G:H,2,0))</f>
        <v>Restaurants</v>
      </c>
      <c r="G14508" t="s">
        <v>26</v>
      </c>
      <c r="I14508" s="8"/>
      <c r="O14508" t="str">
        <f>LEFT(Table2[[#This Row],[Description]],75)</f>
        <v>AplPay WAYZATA CAFE WAYZATA             MN</v>
      </c>
    </row>
    <row r="14509" spans="1:15" hidden="1">
      <c r="A14509">
        <v>202508</v>
      </c>
      <c r="B14509" s="6">
        <v>45875</v>
      </c>
      <c r="C14509" t="s">
        <v>130</v>
      </c>
      <c r="D14509" t="s">
        <v>6488</v>
      </c>
      <c r="E14509">
        <v>7.24</v>
      </c>
      <c r="F14509" t="str">
        <f>IF(Table2[[#This Row],[Manual Cat Value]]="",Table2[[#This Row],[Suggested Cat Value]],VLOOKUP(Table2[[#This Row],[Manual Cat Value]],Lookup!G:H,2,0))</f>
        <v>Delete</v>
      </c>
      <c r="G14509" t="s">
        <v>9</v>
      </c>
      <c r="I14509" s="8"/>
      <c r="O14509" t="str">
        <f>LEFT(Table2[[#This Row],[Description]],75)</f>
        <v>AplPay WAYZATA COFFEWAYZATA             MN</v>
      </c>
    </row>
    <row r="14510" spans="1:15" hidden="1">
      <c r="A14510">
        <v>202508</v>
      </c>
      <c r="B14510" s="6">
        <v>45876</v>
      </c>
      <c r="C14510" t="s">
        <v>3938</v>
      </c>
      <c r="D14510" t="s">
        <v>6910</v>
      </c>
      <c r="E14510">
        <v>7.15</v>
      </c>
      <c r="F14510" t="str">
        <f>IF(Table2[[#This Row],[Manual Cat Value]]="",Table2[[#This Row],[Suggested Cat Value]],VLOOKUP(Table2[[#This Row],[Manual Cat Value]],Lookup!G:H,2,0))</f>
        <v>Delete</v>
      </c>
      <c r="G14510" t="s">
        <v>9</v>
      </c>
      <c r="I14510" s="8"/>
      <c r="O14510" t="str">
        <f>LEFT(Table2[[#This Row],[Description]],75)</f>
        <v>WAYZATA CAFE WAYZATA MN REF #XX3006V7KQGGSKK</v>
      </c>
    </row>
    <row r="14511" spans="1:15" hidden="1">
      <c r="A14511">
        <v>202510</v>
      </c>
      <c r="B14511" s="6">
        <v>45950</v>
      </c>
      <c r="C14511" t="s">
        <v>130</v>
      </c>
      <c r="D14511" t="s">
        <v>6911</v>
      </c>
      <c r="E14511">
        <v>7.03</v>
      </c>
      <c r="F14511" t="str">
        <f>IF(Table2[[#This Row],[Manual Cat Value]]="",Table2[[#This Row],[Suggested Cat Value]],VLOOKUP(Table2[[#This Row],[Manual Cat Value]],Lookup!G:H,2,0))</f>
        <v>Delete</v>
      </c>
      <c r="G14511" t="s">
        <v>9</v>
      </c>
      <c r="I14511" s="8"/>
      <c r="O14511" t="str">
        <f>LEFT(Table2[[#This Row],[Description]],75)</f>
        <v>AplPay SUMUP*ANWOARAROMA                IT</v>
      </c>
    </row>
    <row r="14512" spans="1:15" hidden="1">
      <c r="A14512">
        <v>202508</v>
      </c>
      <c r="B14512" s="6">
        <v>45873</v>
      </c>
      <c r="C14512" t="s">
        <v>130</v>
      </c>
      <c r="D14512" t="s">
        <v>6732</v>
      </c>
      <c r="E14512">
        <v>6.99</v>
      </c>
      <c r="F14512" t="str">
        <f>IF(Table2[[#This Row],[Manual Cat Value]]="",Table2[[#This Row],[Suggested Cat Value]],VLOOKUP(Table2[[#This Row],[Manual Cat Value]],Lookup!G:H,2,0))</f>
        <v>Delete</v>
      </c>
      <c r="G14512" t="s">
        <v>9</v>
      </c>
      <c r="I14512" s="8"/>
      <c r="O14512" t="str">
        <f>LEFT(Table2[[#This Row],[Description]],75)</f>
        <v>ARCO GREENWOOD MARKEGREENWOOD           MN</v>
      </c>
    </row>
    <row r="14513" spans="1:15" hidden="1">
      <c r="A14513">
        <v>202510</v>
      </c>
      <c r="B14513" s="6">
        <v>45943</v>
      </c>
      <c r="C14513" t="s">
        <v>3938</v>
      </c>
      <c r="D14513" t="s">
        <v>6912</v>
      </c>
      <c r="E14513">
        <v>6.98</v>
      </c>
      <c r="F14513" t="str">
        <f>IF(Table2[[#This Row],[Manual Cat Value]]="",Table2[[#This Row],[Suggested Cat Value]],VLOOKUP(Table2[[#This Row],[Manual Cat Value]],Lookup!G:H,2,0))</f>
        <v>Restaurants</v>
      </c>
      <c r="H14513" s="8" t="s">
        <v>25</v>
      </c>
      <c r="I14513" s="8"/>
      <c r="O14513" t="str">
        <f>LEFT(Table2[[#This Row],[Description]],75)</f>
        <v>ASPIT ALBIANO M. - PISA NORD IT REF #XX9498Y158YYPVW</v>
      </c>
    </row>
    <row r="14514" spans="1:15" hidden="1">
      <c r="A14514">
        <v>202510</v>
      </c>
      <c r="B14514" s="6">
        <v>45953</v>
      </c>
      <c r="C14514" t="s">
        <v>130</v>
      </c>
      <c r="D14514" t="s">
        <v>5925</v>
      </c>
      <c r="E14514">
        <v>6.88</v>
      </c>
      <c r="F14514" t="str">
        <f>IF(Table2[[#This Row],[Manual Cat Value]]="",Table2[[#This Row],[Suggested Cat Value]],VLOOKUP(Table2[[#This Row],[Manual Cat Value]],Lookup!G:H,2,0))</f>
        <v>Delete</v>
      </c>
      <c r="G14514" t="s">
        <v>9</v>
      </c>
      <c r="I14514" s="8"/>
      <c r="O14514" t="str">
        <f>LEFT(Table2[[#This Row],[Description]],75)</f>
        <v>AplPay WAYZATA CAFE WAYZATA             MN</v>
      </c>
    </row>
    <row r="14515" spans="1:15" hidden="1">
      <c r="A14515">
        <v>202508</v>
      </c>
      <c r="B14515" s="6">
        <v>45870</v>
      </c>
      <c r="C14515" t="s">
        <v>130</v>
      </c>
      <c r="D14515" t="s">
        <v>6913</v>
      </c>
      <c r="E14515">
        <v>6.82</v>
      </c>
      <c r="F14515" t="str">
        <f>IF(Table2[[#This Row],[Manual Cat Value]]="",Table2[[#This Row],[Suggested Cat Value]],VLOOKUP(Table2[[#This Row],[Manual Cat Value]],Lookup!G:H,2,0))</f>
        <v>Restaurants</v>
      </c>
      <c r="G14515" t="s">
        <v>26</v>
      </c>
      <c r="I14515" s="8"/>
      <c r="O14515" t="str">
        <f>LEFT(Table2[[#This Row],[Description]],75)</f>
        <v>AplPay SUPER ONE FOOCROSBY              MN</v>
      </c>
    </row>
    <row r="14516" spans="1:15" hidden="1">
      <c r="A14516">
        <v>202510</v>
      </c>
      <c r="B14516" s="6">
        <v>45949</v>
      </c>
      <c r="C14516" t="s">
        <v>3938</v>
      </c>
      <c r="D14516" t="s">
        <v>6914</v>
      </c>
      <c r="E14516">
        <v>6.72</v>
      </c>
      <c r="F14516" t="str">
        <f>IF(Table2[[#This Row],[Manual Cat Value]]="",Table2[[#This Row],[Suggested Cat Value]],VLOOKUP(Table2[[#This Row],[Manual Cat Value]],Lookup!G:H,2,0))</f>
        <v>Misc</v>
      </c>
      <c r="H14516" s="8" t="s">
        <v>46</v>
      </c>
      <c r="I14516" s="8"/>
      <c r="O14516" t="str">
        <f>LEFT(Table2[[#This Row],[Description]],75)</f>
        <v>Interest Charge on Purchases</v>
      </c>
    </row>
    <row r="14517" spans="1:15" hidden="1">
      <c r="A14517">
        <v>202510</v>
      </c>
      <c r="B14517" s="6">
        <v>45961</v>
      </c>
      <c r="C14517" t="s">
        <v>130</v>
      </c>
      <c r="D14517" t="s">
        <v>6915</v>
      </c>
      <c r="E14517">
        <v>6.52</v>
      </c>
      <c r="F14517" t="str">
        <f>IF(Table2[[#This Row],[Manual Cat Value]]="",Table2[[#This Row],[Suggested Cat Value]],VLOOKUP(Table2[[#This Row],[Manual Cat Value]],Lookup!G:H,2,0))</f>
        <v>Amazon</v>
      </c>
      <c r="G14517" t="s">
        <v>38</v>
      </c>
      <c r="I14517" s="8"/>
      <c r="O14517" t="str">
        <f>LEFT(Table2[[#This Row],[Description]],75)</f>
        <v>AMAZON PRIME*N405R19888-802-3080        WA</v>
      </c>
    </row>
    <row r="14518" spans="1:15" hidden="1">
      <c r="A14518">
        <v>202510</v>
      </c>
      <c r="B14518" s="6">
        <v>45943</v>
      </c>
      <c r="C14518" t="s">
        <v>130</v>
      </c>
      <c r="D14518" t="s">
        <v>6916</v>
      </c>
      <c r="E14518">
        <v>6.52</v>
      </c>
      <c r="F14518" t="str">
        <f>IF(Table2[[#This Row],[Manual Cat Value]]="",Table2[[#This Row],[Suggested Cat Value]],VLOOKUP(Table2[[#This Row],[Manual Cat Value]],Lookup!G:H,2,0))</f>
        <v>Amazon</v>
      </c>
      <c r="G14518" t="s">
        <v>38</v>
      </c>
      <c r="I14518" s="8"/>
      <c r="O14518" t="str">
        <f>LEFT(Table2[[#This Row],[Description]],75)</f>
        <v>AMAZON KIDS+*NM6AX0X888-802-3080        WA</v>
      </c>
    </row>
    <row r="14519" spans="1:15" hidden="1">
      <c r="A14519">
        <v>202509</v>
      </c>
      <c r="B14519" s="6">
        <v>45930</v>
      </c>
      <c r="C14519" t="s">
        <v>130</v>
      </c>
      <c r="D14519" t="s">
        <v>6917</v>
      </c>
      <c r="E14519">
        <v>6.52</v>
      </c>
      <c r="F14519" t="str">
        <f>IF(Table2[[#This Row],[Manual Cat Value]]="",Table2[[#This Row],[Suggested Cat Value]],VLOOKUP(Table2[[#This Row],[Manual Cat Value]],Lookup!G:H,2,0))</f>
        <v>Amazon</v>
      </c>
      <c r="G14519" t="s">
        <v>38</v>
      </c>
      <c r="I14519" s="8"/>
      <c r="O14519" t="str">
        <f>LEFT(Table2[[#This Row],[Description]],75)</f>
        <v>AMAZON PRIME*NV7VO40888-802-3080        WA</v>
      </c>
    </row>
    <row r="14520" spans="1:15" hidden="1">
      <c r="A14520">
        <v>202509</v>
      </c>
      <c r="B14520" s="6">
        <v>45913</v>
      </c>
      <c r="C14520" t="s">
        <v>130</v>
      </c>
      <c r="D14520" t="s">
        <v>6918</v>
      </c>
      <c r="E14520">
        <v>6.52</v>
      </c>
      <c r="F14520" t="str">
        <f>IF(Table2[[#This Row],[Manual Cat Value]]="",Table2[[#This Row],[Suggested Cat Value]],VLOOKUP(Table2[[#This Row],[Manual Cat Value]],Lookup!G:H,2,0))</f>
        <v>Amazon</v>
      </c>
      <c r="G14520" t="s">
        <v>38</v>
      </c>
      <c r="I14520" s="8"/>
      <c r="O14520" t="str">
        <f>LEFT(Table2[[#This Row],[Description]],75)</f>
        <v>AMAZON KIDS+*DQ9SP0W888-802-3080        WA</v>
      </c>
    </row>
    <row r="14521" spans="1:15" hidden="1">
      <c r="A14521">
        <v>202508</v>
      </c>
      <c r="B14521" s="6">
        <v>45900</v>
      </c>
      <c r="C14521" t="s">
        <v>130</v>
      </c>
      <c r="D14521" t="s">
        <v>6919</v>
      </c>
      <c r="E14521">
        <v>6.52</v>
      </c>
      <c r="F14521" t="str">
        <f>IF(Table2[[#This Row],[Manual Cat Value]]="",Table2[[#This Row],[Suggested Cat Value]],VLOOKUP(Table2[[#This Row],[Manual Cat Value]],Lookup!G:H,2,0))</f>
        <v>Amazon</v>
      </c>
      <c r="G14521" t="s">
        <v>38</v>
      </c>
      <c r="I14521" s="8"/>
      <c r="O14521" t="str">
        <f>LEFT(Table2[[#This Row],[Description]],75)</f>
        <v>AMAZON PRIME*J267R7A888-802-3080        WA</v>
      </c>
    </row>
    <row r="14522" spans="1:15" hidden="1">
      <c r="A14522">
        <v>202508</v>
      </c>
      <c r="B14522" s="6">
        <v>45882</v>
      </c>
      <c r="C14522" t="s">
        <v>130</v>
      </c>
      <c r="D14522" t="s">
        <v>6920</v>
      </c>
      <c r="E14522">
        <v>6.52</v>
      </c>
      <c r="F14522" t="str">
        <f>IF(Table2[[#This Row],[Manual Cat Value]]="",Table2[[#This Row],[Suggested Cat Value]],VLOOKUP(Table2[[#This Row],[Manual Cat Value]],Lookup!G:H,2,0))</f>
        <v>Amazon</v>
      </c>
      <c r="G14522" t="s">
        <v>38</v>
      </c>
      <c r="I14522" s="8"/>
      <c r="O14522" t="str">
        <f>LEFT(Table2[[#This Row],[Description]],75)</f>
        <v>AMAZON KIDS+*ND8YJ1O888-802-3080        WA</v>
      </c>
    </row>
    <row r="14523" spans="1:15" hidden="1">
      <c r="A14523">
        <v>202507</v>
      </c>
      <c r="B14523" s="6">
        <v>45869</v>
      </c>
      <c r="C14523" t="s">
        <v>130</v>
      </c>
      <c r="D14523" t="s">
        <v>6921</v>
      </c>
      <c r="E14523">
        <v>6.52</v>
      </c>
      <c r="F14523" t="str">
        <f>IF(Table2[[#This Row],[Manual Cat Value]]="",Table2[[#This Row],[Suggested Cat Value]],VLOOKUP(Table2[[#This Row],[Manual Cat Value]],Lookup!G:H,2,0))</f>
        <v>Amazon</v>
      </c>
      <c r="G14523" t="s">
        <v>38</v>
      </c>
      <c r="I14523" s="8"/>
      <c r="O14523" t="str">
        <f>LEFT(Table2[[#This Row],[Description]],75)</f>
        <v>AMAZON PRIME*NN21081888-802-3080        WA</v>
      </c>
    </row>
    <row r="14524" spans="1:15" hidden="1">
      <c r="A14524">
        <v>202507</v>
      </c>
      <c r="B14524" s="6">
        <v>45854</v>
      </c>
      <c r="C14524" t="s">
        <v>130</v>
      </c>
      <c r="D14524" t="s">
        <v>6183</v>
      </c>
      <c r="E14524">
        <v>6.52</v>
      </c>
      <c r="F14524" t="str">
        <f>IF(Table2[[#This Row],[Manual Cat Value]]="",Table2[[#This Row],[Suggested Cat Value]],VLOOKUP(Table2[[#This Row],[Manual Cat Value]],Lookup!G:H,2,0))</f>
        <v>Amazon</v>
      </c>
      <c r="G14524" t="s">
        <v>38</v>
      </c>
      <c r="I14524" s="8"/>
      <c r="O14524" t="str">
        <f>LEFT(Table2[[#This Row],[Description]],75)</f>
        <v>AMAZON MARKEPLACE NA PA</v>
      </c>
    </row>
    <row r="14525" spans="1:15" hidden="1">
      <c r="A14525">
        <v>202507</v>
      </c>
      <c r="B14525" s="6">
        <v>45851</v>
      </c>
      <c r="C14525" t="s">
        <v>130</v>
      </c>
      <c r="D14525" t="s">
        <v>6922</v>
      </c>
      <c r="E14525">
        <v>6.52</v>
      </c>
      <c r="F14525" t="str">
        <f>IF(Table2[[#This Row],[Manual Cat Value]]="",Table2[[#This Row],[Suggested Cat Value]],VLOOKUP(Table2[[#This Row],[Manual Cat Value]],Lookup!G:H,2,0))</f>
        <v>Amazon</v>
      </c>
      <c r="G14525" t="s">
        <v>38</v>
      </c>
      <c r="I14525" s="8"/>
      <c r="O14525" t="str">
        <f>LEFT(Table2[[#This Row],[Description]],75)</f>
        <v>AMAZON KIDS+*RE5790K888-802-3080        WA</v>
      </c>
    </row>
    <row r="14526" spans="1:15" hidden="1">
      <c r="A14526">
        <v>202506</v>
      </c>
      <c r="B14526" s="6">
        <v>45838</v>
      </c>
      <c r="C14526" t="s">
        <v>130</v>
      </c>
      <c r="D14526" t="s">
        <v>6923</v>
      </c>
      <c r="E14526">
        <v>6.52</v>
      </c>
      <c r="F14526" t="str">
        <f>IF(Table2[[#This Row],[Manual Cat Value]]="",Table2[[#This Row],[Suggested Cat Value]],VLOOKUP(Table2[[#This Row],[Manual Cat Value]],Lookup!G:H,2,0))</f>
        <v>Amazon</v>
      </c>
      <c r="G14526" t="s">
        <v>38</v>
      </c>
      <c r="I14526" s="8"/>
      <c r="O14526" t="str">
        <f>LEFT(Table2[[#This Row],[Description]],75)</f>
        <v>AMAZON PRIME*NQ2HH3Y888-802-3080        WA</v>
      </c>
    </row>
    <row r="14527" spans="1:15" hidden="1">
      <c r="A14527">
        <v>202506</v>
      </c>
      <c r="B14527" s="6">
        <v>45821</v>
      </c>
      <c r="C14527" t="s">
        <v>130</v>
      </c>
      <c r="D14527" t="s">
        <v>6924</v>
      </c>
      <c r="E14527">
        <v>6.52</v>
      </c>
      <c r="F14527" t="str">
        <f>IF(Table2[[#This Row],[Manual Cat Value]]="",Table2[[#This Row],[Suggested Cat Value]],VLOOKUP(Table2[[#This Row],[Manual Cat Value]],Lookup!G:H,2,0))</f>
        <v>Amazon</v>
      </c>
      <c r="G14527" t="s">
        <v>38</v>
      </c>
      <c r="I14527" s="8"/>
      <c r="O14527" t="str">
        <f>LEFT(Table2[[#This Row],[Description]],75)</f>
        <v>AMAZON KIDS+*NA9FI17888-802-3080        WA</v>
      </c>
    </row>
    <row r="14528" spans="1:15" hidden="1">
      <c r="A14528">
        <v>202510</v>
      </c>
      <c r="B14528" s="6">
        <v>45942</v>
      </c>
      <c r="C14528" t="s">
        <v>3938</v>
      </c>
      <c r="D14528" t="s">
        <v>6925</v>
      </c>
      <c r="E14528">
        <v>6.4</v>
      </c>
      <c r="F14528" t="str">
        <f>IF(Table2[[#This Row],[Manual Cat Value]]="",Table2[[#This Row],[Suggested Cat Value]],VLOOKUP(Table2[[#This Row],[Manual Cat Value]],Lookup!G:H,2,0))</f>
        <v>Restaurants</v>
      </c>
      <c r="H14528" s="8" t="s">
        <v>25</v>
      </c>
      <c r="I14528" s="8"/>
      <c r="O14528" t="str">
        <f>LEFT(Table2[[#This Row],[Description]],75)</f>
        <v>RISTORO DA MARIA MONTEROSSO ALIT REF #XX1638WD9PPXXL7</v>
      </c>
    </row>
    <row r="14529" spans="1:15" hidden="1">
      <c r="A14529">
        <v>202506</v>
      </c>
      <c r="B14529" s="6">
        <v>45814</v>
      </c>
      <c r="C14529" t="s">
        <v>130</v>
      </c>
      <c r="D14529" t="s">
        <v>5941</v>
      </c>
      <c r="E14529">
        <v>6.32</v>
      </c>
      <c r="F14529" t="str">
        <f>IF(Table2[[#This Row],[Manual Cat Value]]="",Table2[[#This Row],[Suggested Cat Value]],VLOOKUP(Table2[[#This Row],[Manual Cat Value]],Lookup!G:H,2,0))</f>
        <v>Restaurants</v>
      </c>
      <c r="G14529" t="s">
        <v>26</v>
      </c>
      <c r="I14529" s="8"/>
      <c r="O14529" t="str">
        <f>LEFT(Table2[[#This Row],[Description]],75)</f>
        <v>TST* CARIBOU COFFEE EXCELSIOR           MN</v>
      </c>
    </row>
    <row r="14530" spans="1:15" hidden="1">
      <c r="A14530">
        <v>202507</v>
      </c>
      <c r="B14530" s="6">
        <v>45856</v>
      </c>
      <c r="C14530" t="s">
        <v>130</v>
      </c>
      <c r="D14530" t="s">
        <v>5577</v>
      </c>
      <c r="E14530">
        <v>6.29</v>
      </c>
      <c r="F14530" t="str">
        <f>IF(Table2[[#This Row],[Manual Cat Value]]="",Table2[[#This Row],[Suggested Cat Value]],VLOOKUP(Table2[[#This Row],[Manual Cat Value]],Lookup!G:H,2,0))</f>
        <v>Shopping</v>
      </c>
      <c r="G14530" t="s">
        <v>21</v>
      </c>
      <c r="I14530" s="8"/>
      <c r="O14530" t="str">
        <f>LEFT(Table2[[#This Row],[Description]],75)</f>
        <v>MSP HUDSON ST2295 22SAINT PAUL          MN</v>
      </c>
    </row>
    <row r="14531" spans="1:15" hidden="1">
      <c r="A14531">
        <v>202510</v>
      </c>
      <c r="B14531" s="6">
        <v>45943</v>
      </c>
      <c r="C14531" t="s">
        <v>3938</v>
      </c>
      <c r="D14531" t="s">
        <v>6926</v>
      </c>
      <c r="E14531">
        <v>6.28</v>
      </c>
      <c r="F14531" t="str">
        <f>IF(Table2[[#This Row],[Manual Cat Value]]="",Table2[[#This Row],[Suggested Cat Value]],VLOOKUP(Table2[[#This Row],[Manual Cat Value]],Lookup!G:H,2,0))</f>
        <v>Travel</v>
      </c>
      <c r="H14531" s="8" t="s">
        <v>52</v>
      </c>
      <c r="I14531" s="8"/>
      <c r="O14531" t="str">
        <f>LEFT(Table2[[#This Row],[Description]],75)</f>
        <v>ASPIT LUCCA EST - FI SCANDICCI IT REF #XX9498Y158YYPVA</v>
      </c>
    </row>
    <row r="14532" spans="1:15" hidden="1">
      <c r="A14532">
        <v>202510</v>
      </c>
      <c r="B14532" s="6">
        <v>45939</v>
      </c>
      <c r="C14532" t="s">
        <v>130</v>
      </c>
      <c r="D14532" t="s">
        <v>6927</v>
      </c>
      <c r="E14532">
        <v>6.18</v>
      </c>
      <c r="F14532" t="str">
        <f>IF(Table2[[#This Row],[Manual Cat Value]]="",Table2[[#This Row],[Suggested Cat Value]],VLOOKUP(Table2[[#This Row],[Manual Cat Value]],Lookup!G:H,2,0))</f>
        <v>Restaurants</v>
      </c>
      <c r="G14532" t="s">
        <v>26</v>
      </c>
      <c r="I14532" s="8"/>
      <c r="O14532" t="str">
        <f>LEFT(Table2[[#This Row],[Description]],75)</f>
        <v>MCDONALD'S          ST PAUL             MN</v>
      </c>
    </row>
    <row r="14533" spans="1:15" hidden="1">
      <c r="A14533">
        <v>202510</v>
      </c>
      <c r="B14533" s="6">
        <v>45947</v>
      </c>
      <c r="C14533" t="s">
        <v>130</v>
      </c>
      <c r="D14533" t="s">
        <v>6928</v>
      </c>
      <c r="E14533">
        <v>6.09</v>
      </c>
      <c r="F14533" t="str">
        <f>IF(Table2[[#This Row],[Manual Cat Value]]="",Table2[[#This Row],[Suggested Cat Value]],VLOOKUP(Table2[[#This Row],[Manual Cat Value]],Lookup!G:H,2,0))</f>
        <v>Restaurants</v>
      </c>
      <c r="G14533" t="s">
        <v>26</v>
      </c>
      <c r="I14533" s="8"/>
      <c r="O14533" t="str">
        <f>LEFT(Table2[[#This Row],[Description]],75)</f>
        <v>AplPay EMV CARTE STRROMA</v>
      </c>
    </row>
    <row r="14534" spans="1:15" hidden="1">
      <c r="A14534">
        <v>202510</v>
      </c>
      <c r="B14534" s="6">
        <v>45959</v>
      </c>
      <c r="C14534" t="s">
        <v>130</v>
      </c>
      <c r="D14534" t="s">
        <v>5925</v>
      </c>
      <c r="E14534">
        <v>6.01</v>
      </c>
      <c r="F14534" t="str">
        <f>IF(Table2[[#This Row],[Manual Cat Value]]="",Table2[[#This Row],[Suggested Cat Value]],VLOOKUP(Table2[[#This Row],[Manual Cat Value]],Lookup!G:H,2,0))</f>
        <v>Restaurants</v>
      </c>
      <c r="G14534" t="s">
        <v>26</v>
      </c>
      <c r="I14534" s="8"/>
      <c r="O14534" t="str">
        <f>LEFT(Table2[[#This Row],[Description]],75)</f>
        <v>AplPay WAYZATA CAFE WAYZATA             MN</v>
      </c>
    </row>
    <row r="14535" spans="1:15" hidden="1">
      <c r="A14535">
        <v>202508</v>
      </c>
      <c r="B14535" s="6">
        <v>45883</v>
      </c>
      <c r="C14535" t="s">
        <v>130</v>
      </c>
      <c r="D14535" t="s">
        <v>6183</v>
      </c>
      <c r="E14535">
        <v>5.99</v>
      </c>
      <c r="F14535" t="str">
        <f>IF(Table2[[#This Row],[Manual Cat Value]]="",Table2[[#This Row],[Suggested Cat Value]],VLOOKUP(Table2[[#This Row],[Manual Cat Value]],Lookup!G:H,2,0))</f>
        <v>Amazon</v>
      </c>
      <c r="G14535" t="s">
        <v>38</v>
      </c>
      <c r="I14535" s="8"/>
      <c r="O14535" t="str">
        <f>LEFT(Table2[[#This Row],[Description]],75)</f>
        <v>AMAZON MARKEPLACE NA PA</v>
      </c>
    </row>
    <row r="14536" spans="1:15" hidden="1">
      <c r="A14536">
        <v>202507</v>
      </c>
      <c r="B14536" s="6">
        <v>45856</v>
      </c>
      <c r="C14536" t="s">
        <v>130</v>
      </c>
      <c r="D14536" t="s">
        <v>6929</v>
      </c>
      <c r="E14536">
        <v>5.99</v>
      </c>
      <c r="F14536" t="str">
        <f>IF(Table2[[#This Row],[Manual Cat Value]]="",Table2[[#This Row],[Suggested Cat Value]],VLOOKUP(Table2[[#This Row],[Manual Cat Value]],Lookup!G:H,2,0))</f>
        <v>Groceries</v>
      </c>
      <c r="G14536" t="s">
        <v>28</v>
      </c>
      <c r="I14536" s="8"/>
      <c r="O14536" t="str">
        <f>LEFT(Table2[[#This Row],[Description]],75)</f>
        <v>PONCHA MARKET       PONCHA SPRING       CO</v>
      </c>
    </row>
    <row r="14537" spans="1:15" hidden="1">
      <c r="A14537">
        <v>202510</v>
      </c>
      <c r="B14537" s="6">
        <v>45959</v>
      </c>
      <c r="C14537" t="s">
        <v>130</v>
      </c>
      <c r="D14537" t="s">
        <v>6831</v>
      </c>
      <c r="E14537">
        <v>5.96</v>
      </c>
      <c r="F14537" t="str">
        <f>IF(Table2[[#This Row],[Manual Cat Value]]="",Table2[[#This Row],[Suggested Cat Value]],VLOOKUP(Table2[[#This Row],[Manual Cat Value]],Lookup!G:H,2,0))</f>
        <v>Restaurants</v>
      </c>
      <c r="G14537" t="s">
        <v>26</v>
      </c>
      <c r="I14537" s="8"/>
      <c r="O14537" t="str">
        <f>LEFT(Table2[[#This Row],[Description]],75)</f>
        <v>AplPay TARGET       MINNETONKA          MN</v>
      </c>
    </row>
    <row r="14538" spans="1:15" hidden="1">
      <c r="A14538">
        <v>202510</v>
      </c>
      <c r="B14538" s="6">
        <v>45954</v>
      </c>
      <c r="C14538" t="s">
        <v>3938</v>
      </c>
      <c r="D14538" t="s">
        <v>6930</v>
      </c>
      <c r="E14538">
        <v>5.64</v>
      </c>
      <c r="F14538" t="str">
        <f>IF(Table2[[#This Row],[Manual Cat Value]]="",Table2[[#This Row],[Suggested Cat Value]],VLOOKUP(Table2[[#This Row],[Manual Cat Value]],Lookup!G:H,2,0))</f>
        <v>Delete</v>
      </c>
      <c r="G14538" t="s">
        <v>9</v>
      </c>
      <c r="I14538" s="8"/>
      <c r="O14538" t="str">
        <f>LEFT(Table2[[#This Row],[Description]],75)</f>
        <v>CARRIAGE FOOD SERVICES LTENNIS IE REF #XX6999SRVJFG6Z</v>
      </c>
    </row>
    <row r="14539" spans="1:15" hidden="1">
      <c r="A14539">
        <v>202507</v>
      </c>
      <c r="B14539" s="6">
        <v>45862</v>
      </c>
      <c r="C14539" t="s">
        <v>130</v>
      </c>
      <c r="D14539" t="s">
        <v>5887</v>
      </c>
      <c r="E14539">
        <v>5.57</v>
      </c>
      <c r="F14539" t="str">
        <f>IF(Table2[[#This Row],[Manual Cat Value]]="",Table2[[#This Row],[Suggested Cat Value]],VLOOKUP(Table2[[#This Row],[Manual Cat Value]],Lookup!G:H,2,0))</f>
        <v>Transportation</v>
      </c>
      <c r="G14539" t="s">
        <v>23</v>
      </c>
      <c r="I14539" s="8"/>
      <c r="O14539" t="str">
        <f>LEFT(Table2[[#This Row],[Description]],75)</f>
        <v>SPEEDWAY            1-800-643-1949      OH</v>
      </c>
    </row>
    <row r="14540" spans="1:15" hidden="1">
      <c r="A14540">
        <v>202509</v>
      </c>
      <c r="B14540" s="6">
        <v>45914</v>
      </c>
      <c r="C14540" t="s">
        <v>130</v>
      </c>
      <c r="D14540" t="s">
        <v>5752</v>
      </c>
      <c r="E14540">
        <v>5.5</v>
      </c>
      <c r="F14540" t="str">
        <f>IF(Table2[[#This Row],[Manual Cat Value]]="",Table2[[#This Row],[Suggested Cat Value]],VLOOKUP(Table2[[#This Row],[Manual Cat Value]],Lookup!G:H,2,0))</f>
        <v>Restaurants</v>
      </c>
      <c r="G14540" t="s">
        <v>26</v>
      </c>
      <c r="I14540" s="8"/>
      <c r="O14540" t="str">
        <f>LEFT(Table2[[#This Row],[Description]],75)</f>
        <v>WESTWOOD COMMUNITY CExcelsior           MN</v>
      </c>
    </row>
    <row r="14541" spans="1:15" hidden="1">
      <c r="A14541">
        <v>202510</v>
      </c>
      <c r="B14541" s="6">
        <v>45941</v>
      </c>
      <c r="C14541" t="s">
        <v>130</v>
      </c>
      <c r="D14541" t="s">
        <v>6931</v>
      </c>
      <c r="E14541">
        <v>5.22</v>
      </c>
      <c r="F14541" t="str">
        <f>IF(Table2[[#This Row],[Manual Cat Value]]="",Table2[[#This Row],[Suggested Cat Value]],VLOOKUP(Table2[[#This Row],[Manual Cat Value]],Lookup!G:H,2,0))</f>
        <v>Restaurants</v>
      </c>
      <c r="H14541" s="8" t="s">
        <v>25</v>
      </c>
      <c r="I14541" s="8"/>
      <c r="O14541" t="str">
        <f>LEFT(Table2[[#This Row],[Description]],75)</f>
        <v>BAR GELATERIA ENRICARIOMAGGIORE</v>
      </c>
    </row>
    <row r="14542" spans="1:15" hidden="1">
      <c r="A14542">
        <v>202510</v>
      </c>
      <c r="B14542" s="6">
        <v>45934</v>
      </c>
      <c r="C14542" t="s">
        <v>130</v>
      </c>
      <c r="D14542" t="s">
        <v>6932</v>
      </c>
      <c r="E14542">
        <v>5.19</v>
      </c>
      <c r="F14542" t="str">
        <f>IF(Table2[[#This Row],[Manual Cat Value]]="",Table2[[#This Row],[Suggested Cat Value]],VLOOKUP(Table2[[#This Row],[Manual Cat Value]],Lookup!G:H,2,0))</f>
        <v>Restaurants</v>
      </c>
      <c r="G14542" t="s">
        <v>26</v>
      </c>
      <c r="I14542" s="8"/>
      <c r="O14542" t="str">
        <f>LEFT(Table2[[#This Row],[Description]],75)</f>
        <v>DAIRY QUEEN #42628 0NEW BRIGHTON        MN</v>
      </c>
    </row>
    <row r="14543" spans="1:15" hidden="1">
      <c r="A14543">
        <v>202510</v>
      </c>
      <c r="B14543" s="6">
        <v>45933</v>
      </c>
      <c r="C14543" t="s">
        <v>2519</v>
      </c>
      <c r="D14543" t="s">
        <v>1958</v>
      </c>
      <c r="E14543">
        <v>5</v>
      </c>
      <c r="F14543" t="str">
        <f>IF(Table2[[#This Row],[Manual Cat Value]]="",Table2[[#This Row],[Suggested Cat Value]],VLOOKUP(Table2[[#This Row],[Manual Cat Value]],Lookup!G:H,2,0))</f>
        <v>Shopping</v>
      </c>
      <c r="G14543" t="s">
        <v>21</v>
      </c>
      <c r="I14543" s="8"/>
      <c r="O14543" t="str">
        <f>LEFT(Table2[[#This Row],[Description]],75)</f>
        <v>Transfer to Venmo</v>
      </c>
    </row>
    <row r="14544" spans="1:15" hidden="1">
      <c r="A14544">
        <v>202506</v>
      </c>
      <c r="B14544" s="6">
        <v>45818</v>
      </c>
      <c r="C14544" t="s">
        <v>3938</v>
      </c>
      <c r="D14544" t="s">
        <v>6933</v>
      </c>
      <c r="E14544">
        <v>5</v>
      </c>
      <c r="F14544" t="str">
        <f>IF(Table2[[#This Row],[Manual Cat Value]]="",Table2[[#This Row],[Suggested Cat Value]],VLOOKUP(Table2[[#This Row],[Manual Cat Value]],Lookup!G:H,2,0))</f>
        <v>Misc</v>
      </c>
      <c r="H14544" s="8" t="s">
        <v>46</v>
      </c>
      <c r="I14544" s="8"/>
      <c r="O14544" t="str">
        <f>LEFT(Table2[[#This Row],[Description]],75)</f>
        <v>KS DEPT WILDLIFE &amp; PAR PRATT KS REF #XX7504KW0F7Z6</v>
      </c>
    </row>
    <row r="14545" spans="1:15" hidden="1">
      <c r="A14545">
        <v>202507</v>
      </c>
      <c r="B14545" s="6">
        <v>45839</v>
      </c>
      <c r="C14545" t="s">
        <v>130</v>
      </c>
      <c r="D14545" t="s">
        <v>6934</v>
      </c>
      <c r="E14545">
        <v>4.99</v>
      </c>
      <c r="F14545" t="str">
        <f>IF(Table2[[#This Row],[Manual Cat Value]]="",Table2[[#This Row],[Suggested Cat Value]],VLOOKUP(Table2[[#This Row],[Manual Cat Value]],Lookup!G:H,2,0))</f>
        <v>Groceries</v>
      </c>
      <c r="G14545" t="s">
        <v>28</v>
      </c>
      <c r="I14545" s="8"/>
      <c r="O14545" t="str">
        <f>LEFT(Table2[[#This Row],[Description]],75)</f>
        <v>CUB FOODS #1644 0000CHANHASSEN          MN</v>
      </c>
    </row>
    <row r="14546" spans="1:15" hidden="1">
      <c r="A14546">
        <v>202509</v>
      </c>
      <c r="B14546" s="6">
        <v>45909</v>
      </c>
      <c r="C14546" t="s">
        <v>130</v>
      </c>
      <c r="D14546" t="s">
        <v>6935</v>
      </c>
      <c r="E14546">
        <v>4.9000000000000004</v>
      </c>
      <c r="F14546" t="str">
        <f>IF(Table2[[#This Row],[Manual Cat Value]]="",Table2[[#This Row],[Suggested Cat Value]],VLOOKUP(Table2[[#This Row],[Manual Cat Value]],Lookup!G:H,2,0))</f>
        <v>Restaurants</v>
      </c>
      <c r="G14546" t="s">
        <v>26</v>
      </c>
      <c r="I14546" s="8"/>
      <c r="O14546" t="str">
        <f>LEFT(Table2[[#This Row],[Description]],75)</f>
        <v>19 EAST EMP STORE   HERSHEY             PA</v>
      </c>
    </row>
    <row r="14547" spans="1:15" hidden="1">
      <c r="A14547">
        <v>202510</v>
      </c>
      <c r="B14547" s="6">
        <v>45951</v>
      </c>
      <c r="C14547" t="s">
        <v>3938</v>
      </c>
      <c r="D14547" t="s">
        <v>4002</v>
      </c>
      <c r="E14547">
        <v>4.3600000000000003</v>
      </c>
      <c r="F14547" t="str">
        <f>IF(Table2[[#This Row],[Manual Cat Value]]="",Table2[[#This Row],[Suggested Cat Value]],VLOOKUP(Table2[[#This Row],[Manual Cat Value]],Lookup!G:H,2,0))</f>
        <v>Delete</v>
      </c>
      <c r="G14547" t="s">
        <v>9</v>
      </c>
      <c r="I14547" s="8"/>
      <c r="O14547" t="str">
        <f>LEFT(Table2[[#This Row],[Description]],75)</f>
        <v>Wall Street Journal</v>
      </c>
    </row>
    <row r="14548" spans="1:15" hidden="1">
      <c r="A14548">
        <v>202509</v>
      </c>
      <c r="B14548" s="6">
        <v>45924</v>
      </c>
      <c r="C14548" t="s">
        <v>3938</v>
      </c>
      <c r="D14548" t="s">
        <v>4002</v>
      </c>
      <c r="E14548">
        <v>4.3600000000000003</v>
      </c>
      <c r="F14548" t="str">
        <f>IF(Table2[[#This Row],[Manual Cat Value]]="",Table2[[#This Row],[Suggested Cat Value]],VLOOKUP(Table2[[#This Row],[Manual Cat Value]],Lookup!G:H,2,0))</f>
        <v>Restaurants</v>
      </c>
      <c r="G14548" t="s">
        <v>26</v>
      </c>
      <c r="I14548" s="8"/>
      <c r="O14548" t="str">
        <f>LEFT(Table2[[#This Row],[Description]],75)</f>
        <v>Wall Street Journal</v>
      </c>
    </row>
    <row r="14549" spans="1:15" hidden="1">
      <c r="A14549">
        <v>202508</v>
      </c>
      <c r="B14549" s="6">
        <v>45895</v>
      </c>
      <c r="C14549" t="s">
        <v>3938</v>
      </c>
      <c r="D14549" t="s">
        <v>4002</v>
      </c>
      <c r="E14549">
        <v>4.3600000000000003</v>
      </c>
      <c r="F14549" t="str">
        <f>IF(Table2[[#This Row],[Manual Cat Value]]="",Table2[[#This Row],[Suggested Cat Value]],VLOOKUP(Table2[[#This Row],[Manual Cat Value]],Lookup!G:H,2,0))</f>
        <v>Restaurants</v>
      </c>
      <c r="G14549" t="s">
        <v>26</v>
      </c>
      <c r="I14549" s="8"/>
      <c r="O14549" t="str">
        <f>LEFT(Table2[[#This Row],[Description]],75)</f>
        <v>Wall Street Journal</v>
      </c>
    </row>
    <row r="14550" spans="1:15" hidden="1">
      <c r="A14550">
        <v>202507</v>
      </c>
      <c r="B14550" s="6">
        <v>45867</v>
      </c>
      <c r="C14550" t="s">
        <v>3938</v>
      </c>
      <c r="D14550" t="s">
        <v>6936</v>
      </c>
      <c r="E14550">
        <v>4.3600000000000003</v>
      </c>
      <c r="F14550" t="str">
        <f>IF(Table2[[#This Row],[Manual Cat Value]]="",Table2[[#This Row],[Suggested Cat Value]],VLOOKUP(Table2[[#This Row],[Manual Cat Value]],Lookup!G:H,2,0))</f>
        <v>Shopping</v>
      </c>
      <c r="G14550" t="s">
        <v>21</v>
      </c>
      <c r="I14550" s="8"/>
      <c r="O14550" t="str">
        <f>LEFT(Table2[[#This Row],[Description]],75)</f>
        <v>D J*WSJ XX-7625 NJ REF #XX2166J33BRVKS7</v>
      </c>
    </row>
    <row r="14551" spans="1:15" hidden="1">
      <c r="A14551">
        <v>202507</v>
      </c>
      <c r="B14551" s="6">
        <v>45840</v>
      </c>
      <c r="C14551" t="s">
        <v>3938</v>
      </c>
      <c r="D14551" t="s">
        <v>6937</v>
      </c>
      <c r="E14551">
        <v>4.3600000000000003</v>
      </c>
      <c r="F14551" t="str">
        <f>IF(Table2[[#This Row],[Manual Cat Value]]="",Table2[[#This Row],[Suggested Cat Value]],VLOOKUP(Table2[[#This Row],[Manual Cat Value]],Lookup!G:H,2,0))</f>
        <v>Shopping</v>
      </c>
      <c r="G14551" t="s">
        <v>21</v>
      </c>
      <c r="I14551" s="8"/>
      <c r="O14551" t="str">
        <f>LEFT(Table2[[#This Row],[Description]],75)</f>
        <v>D J*WSJ XX-7625 NJ REF #XX2165N2XZQ26GV</v>
      </c>
    </row>
    <row r="14552" spans="1:15" hidden="1">
      <c r="A14552">
        <v>202506</v>
      </c>
      <c r="B14552" s="6">
        <v>45812</v>
      </c>
      <c r="C14552" t="s">
        <v>3938</v>
      </c>
      <c r="D14552" t="s">
        <v>6938</v>
      </c>
      <c r="E14552">
        <v>4.3600000000000003</v>
      </c>
      <c r="F14552" t="str">
        <f>IF(Table2[[#This Row],[Manual Cat Value]]="",Table2[[#This Row],[Suggested Cat Value]],VLOOKUP(Table2[[#This Row],[Manual Cat Value]],Lookup!G:H,2,0))</f>
        <v>Shopping</v>
      </c>
      <c r="G14552" t="s">
        <v>21</v>
      </c>
      <c r="I14552" s="8"/>
      <c r="O14552" t="str">
        <f>LEFT(Table2[[#This Row],[Description]],75)</f>
        <v>D J*WSJ XX-7625 NJ REF #XX2164S34ZYT4B2</v>
      </c>
    </row>
    <row r="14553" spans="1:15" hidden="1">
      <c r="A14553">
        <v>202511</v>
      </c>
      <c r="B14553" s="6">
        <v>45966</v>
      </c>
      <c r="C14553" t="s">
        <v>130</v>
      </c>
      <c r="D14553" t="s">
        <v>6939</v>
      </c>
      <c r="E14553">
        <v>4.33</v>
      </c>
      <c r="F14553" t="str">
        <f>IF(Table2[[#This Row],[Manual Cat Value]]="",Table2[[#This Row],[Suggested Cat Value]],VLOOKUP(Table2[[#This Row],[Manual Cat Value]],Lookup!G:H,2,0))</f>
        <v>Restaurants</v>
      </c>
      <c r="G14553" t="s">
        <v>26</v>
      </c>
      <c r="I14553" s="8"/>
      <c r="O14553" t="str">
        <f>LEFT(Table2[[#This Row],[Description]],75)</f>
        <v>AplPay SHOREWOOD ACEEXCELSIOR           MN</v>
      </c>
    </row>
    <row r="14554" spans="1:15" hidden="1">
      <c r="A14554">
        <v>202508</v>
      </c>
      <c r="B14554" s="6">
        <v>45887</v>
      </c>
      <c r="C14554" t="s">
        <v>3938</v>
      </c>
      <c r="D14554" t="s">
        <v>648</v>
      </c>
      <c r="E14554">
        <v>4.32</v>
      </c>
      <c r="F14554" t="str">
        <f>IF(Table2[[#This Row],[Manual Cat Value]]="",Table2[[#This Row],[Suggested Cat Value]],VLOOKUP(Table2[[#This Row],[Manual Cat Value]],Lookup!G:H,2,0))</f>
        <v>Groceries</v>
      </c>
      <c r="G14554" t="s">
        <v>28</v>
      </c>
      <c r="I14554" s="8"/>
      <c r="O14554" t="str">
        <f>LEFT(Table2[[#This Row],[Description]],75)</f>
        <v>Costco</v>
      </c>
    </row>
    <row r="14555" spans="1:15" hidden="1">
      <c r="A14555">
        <v>202510</v>
      </c>
      <c r="B14555" s="6">
        <v>45945</v>
      </c>
      <c r="C14555" t="s">
        <v>2519</v>
      </c>
      <c r="D14555" t="s">
        <v>6940</v>
      </c>
      <c r="E14555">
        <v>4.3099999999999996</v>
      </c>
      <c r="F14555" t="str">
        <f>IF(Table2[[#This Row],[Manual Cat Value]]="",Table2[[#This Row],[Suggested Cat Value]],VLOOKUP(Table2[[#This Row],[Manual Cat Value]],Lookup!G:H,2,0))</f>
        <v>Day Care</v>
      </c>
      <c r="G14555" t="s">
        <v>20</v>
      </c>
      <c r="I14555" s="8"/>
      <c r="O14555" t="str">
        <f>LEFT(Table2[[#This Row],[Description]],75)</f>
        <v>Withdrawal ACH BIRD RIDES ITALY CO: BIRD RIDES ITALY S.R.L. TYPE: IAT PAYPA</v>
      </c>
    </row>
    <row r="14556" spans="1:15" hidden="1">
      <c r="A14556">
        <v>202510</v>
      </c>
      <c r="B14556" s="6">
        <v>45948</v>
      </c>
      <c r="C14556" t="s">
        <v>130</v>
      </c>
      <c r="D14556" t="s">
        <v>6941</v>
      </c>
      <c r="E14556">
        <v>4.0999999999999996</v>
      </c>
      <c r="F14556" t="str">
        <f>IF(Table2[[#This Row],[Manual Cat Value]]="",Table2[[#This Row],[Suggested Cat Value]],VLOOKUP(Table2[[#This Row],[Manual Cat Value]],Lookup!G:H,2,0))</f>
        <v>Restaurants</v>
      </c>
      <c r="G14556" t="s">
        <v>26</v>
      </c>
      <c r="I14556" s="8"/>
      <c r="O14556" t="str">
        <f>LEFT(Table2[[#This Row],[Description]],75)</f>
        <v>AplPay SUMUP*TABACCHGROTTAFERRATA</v>
      </c>
    </row>
    <row r="14557" spans="1:15" hidden="1">
      <c r="A14557">
        <v>202510</v>
      </c>
      <c r="B14557" s="6">
        <v>45955</v>
      </c>
      <c r="C14557" t="s">
        <v>130</v>
      </c>
      <c r="D14557" t="s">
        <v>6942</v>
      </c>
      <c r="E14557">
        <v>4</v>
      </c>
      <c r="F14557" t="str">
        <f>IF(Table2[[#This Row],[Manual Cat Value]]="",Table2[[#This Row],[Suggested Cat Value]],VLOOKUP(Table2[[#This Row],[Manual Cat Value]],Lookup!G:H,2,0))</f>
        <v>Restaurants</v>
      </c>
      <c r="G14557" t="s">
        <v>26</v>
      </c>
      <c r="I14557" s="8"/>
      <c r="O14557" t="str">
        <f>LEFT(Table2[[#This Row],[Description]],75)</f>
        <v>AplPay CARIBOU COFFEMINNEAPOLIS         MN</v>
      </c>
    </row>
    <row r="14558" spans="1:15" hidden="1">
      <c r="A14558">
        <v>202511</v>
      </c>
      <c r="B14558" s="6">
        <v>45963</v>
      </c>
      <c r="C14558" t="s">
        <v>130</v>
      </c>
      <c r="D14558" t="s">
        <v>6943</v>
      </c>
      <c r="E14558">
        <v>3.69</v>
      </c>
      <c r="F14558" t="str">
        <f>IF(Table2[[#This Row],[Manual Cat Value]]="",Table2[[#This Row],[Suggested Cat Value]],VLOOKUP(Table2[[#This Row],[Manual Cat Value]],Lookup!G:H,2,0))</f>
        <v>Groceries</v>
      </c>
      <c r="G14558" t="s">
        <v>28</v>
      </c>
      <c r="I14558" s="8"/>
      <c r="O14558" t="str">
        <f>LEFT(Table2[[#This Row],[Description]],75)</f>
        <v>TRADER JOE S #725 00MINNEAPOLIS         MN</v>
      </c>
    </row>
    <row r="14559" spans="1:15" hidden="1">
      <c r="A14559">
        <v>202508</v>
      </c>
      <c r="B14559" s="6">
        <v>45899</v>
      </c>
      <c r="C14559" t="s">
        <v>130</v>
      </c>
      <c r="D14559" t="s">
        <v>6944</v>
      </c>
      <c r="E14559">
        <v>3.25</v>
      </c>
      <c r="F14559" t="str">
        <f>IF(Table2[[#This Row],[Manual Cat Value]]="",Table2[[#This Row],[Suggested Cat Value]],VLOOKUP(Table2[[#This Row],[Manual Cat Value]],Lookup!G:H,2,0))</f>
        <v>Shopping</v>
      </c>
      <c r="G14559" t="s">
        <v>21</v>
      </c>
      <c r="I14559" s="8"/>
      <c r="O14559" t="str">
        <f>LEFT(Table2[[#This Row],[Description]],75)</f>
        <v>THE BOOKERY         Balsam Lake         WI</v>
      </c>
    </row>
    <row r="14560" spans="1:15" hidden="1">
      <c r="A14560">
        <v>202508</v>
      </c>
      <c r="B14560" s="6">
        <v>45873</v>
      </c>
      <c r="C14560" t="s">
        <v>130</v>
      </c>
      <c r="D14560" t="s">
        <v>6945</v>
      </c>
      <c r="E14560">
        <v>3.13</v>
      </c>
      <c r="F14560" t="str">
        <f>IF(Table2[[#This Row],[Manual Cat Value]]="",Table2[[#This Row],[Suggested Cat Value]],VLOOKUP(Table2[[#This Row],[Manual Cat Value]],Lookup!G:H,2,0))</f>
        <v>Delete</v>
      </c>
      <c r="G14560" t="s">
        <v>9</v>
      </c>
      <c r="I14560" s="8"/>
      <c r="O14560" t="str">
        <f>LEFT(Table2[[#This Row],[Description]],75)</f>
        <v>GOLDEN VALLEY COUNTRMINNEAPOLIS         MN</v>
      </c>
    </row>
    <row r="14561" spans="1:15" hidden="1">
      <c r="A14561">
        <v>202506</v>
      </c>
      <c r="B14561" s="6">
        <v>45817</v>
      </c>
      <c r="C14561" t="s">
        <v>130</v>
      </c>
      <c r="D14561" t="s">
        <v>6946</v>
      </c>
      <c r="E14561">
        <v>3.09</v>
      </c>
      <c r="F14561" t="str">
        <f>IF(Table2[[#This Row],[Manual Cat Value]]="",Table2[[#This Row],[Suggested Cat Value]],VLOOKUP(Table2[[#This Row],[Manual Cat Value]],Lookup!G:H,2,0))</f>
        <v>Shopping</v>
      </c>
      <c r="H14561" s="8" t="s">
        <v>36</v>
      </c>
      <c r="I14561" s="8"/>
      <c r="O14561" t="str">
        <f>LEFT(Table2[[#This Row],[Description]],75)</f>
        <v>KU CAMPUS BOOKSTORESLAWRENCE            KS</v>
      </c>
    </row>
    <row r="14562" spans="1:15" hidden="1">
      <c r="A14562">
        <v>202506</v>
      </c>
      <c r="B14562" s="6">
        <v>45822</v>
      </c>
      <c r="C14562" t="s">
        <v>130</v>
      </c>
      <c r="D14562" t="s">
        <v>6947</v>
      </c>
      <c r="E14562">
        <v>3</v>
      </c>
      <c r="F14562" t="str">
        <f>IF(Table2[[#This Row],[Manual Cat Value]]="",Table2[[#This Row],[Suggested Cat Value]],VLOOKUP(Table2[[#This Row],[Manual Cat Value]],Lookup!G:H,2,0))</f>
        <v>Restaurants</v>
      </c>
      <c r="G14562" t="s">
        <v>26</v>
      </c>
      <c r="I14562" s="8"/>
      <c r="O14562" t="str">
        <f>LEFT(Table2[[#This Row],[Description]],75)</f>
        <v>AplPay BALSAM LAKE BBalsam Lake         WI</v>
      </c>
    </row>
    <row r="14563" spans="1:15" hidden="1">
      <c r="A14563">
        <v>202510</v>
      </c>
      <c r="B14563" s="6">
        <v>45950</v>
      </c>
      <c r="C14563" t="s">
        <v>2519</v>
      </c>
      <c r="D14563" t="s">
        <v>1955</v>
      </c>
      <c r="E14563">
        <v>2.99</v>
      </c>
      <c r="F14563" t="str">
        <f>IF(Table2[[#This Row],[Manual Cat Value]]="",Table2[[#This Row],[Suggested Cat Value]],VLOOKUP(Table2[[#This Row],[Manual Cat Value]],Lookup!G:H,2,0))</f>
        <v>Delete</v>
      </c>
      <c r="G14563" t="s">
        <v>9</v>
      </c>
      <c r="I14563" s="8"/>
      <c r="O14563" t="str">
        <f>LEFT(Table2[[#This Row],[Description]],75)</f>
        <v>Transfer to PayPal</v>
      </c>
    </row>
    <row r="14564" spans="1:15" hidden="1">
      <c r="A14564">
        <v>202509</v>
      </c>
      <c r="B14564" s="6">
        <v>45919</v>
      </c>
      <c r="C14564" t="s">
        <v>2519</v>
      </c>
      <c r="D14564" t="s">
        <v>1955</v>
      </c>
      <c r="E14564">
        <v>2.99</v>
      </c>
      <c r="F14564" t="str">
        <f>IF(Table2[[#This Row],[Manual Cat Value]]="",Table2[[#This Row],[Suggested Cat Value]],VLOOKUP(Table2[[#This Row],[Manual Cat Value]],Lookup!G:H,2,0))</f>
        <v>Shopping</v>
      </c>
      <c r="G14564" t="s">
        <v>21</v>
      </c>
      <c r="I14564" s="8"/>
      <c r="O14564" t="str">
        <f>LEFT(Table2[[#This Row],[Description]],75)</f>
        <v>Transfer to PayPal</v>
      </c>
    </row>
    <row r="14565" spans="1:15" hidden="1">
      <c r="A14565">
        <v>202508</v>
      </c>
      <c r="B14565" s="6">
        <v>45888</v>
      </c>
      <c r="C14565" t="s">
        <v>2519</v>
      </c>
      <c r="D14565" t="s">
        <v>1955</v>
      </c>
      <c r="E14565">
        <v>2.99</v>
      </c>
      <c r="F14565" t="str">
        <f>IF(Table2[[#This Row],[Manual Cat Value]]="",Table2[[#This Row],[Suggested Cat Value]],VLOOKUP(Table2[[#This Row],[Manual Cat Value]],Lookup!G:H,2,0))</f>
        <v>Shopping</v>
      </c>
      <c r="G14565" t="s">
        <v>21</v>
      </c>
      <c r="I14565" s="8"/>
      <c r="O14565" t="str">
        <f>LEFT(Table2[[#This Row],[Description]],75)</f>
        <v>Transfer to PayPal</v>
      </c>
    </row>
    <row r="14566" spans="1:15" hidden="1">
      <c r="A14566">
        <v>202506</v>
      </c>
      <c r="B14566" s="6">
        <v>45828</v>
      </c>
      <c r="C14566" t="s">
        <v>2519</v>
      </c>
      <c r="D14566" t="s">
        <v>1955</v>
      </c>
      <c r="E14566">
        <v>2.99</v>
      </c>
      <c r="F14566" t="str">
        <f>IF(Table2[[#This Row],[Manual Cat Value]]="",Table2[[#This Row],[Suggested Cat Value]],VLOOKUP(Table2[[#This Row],[Manual Cat Value]],Lookup!G:H,2,0))</f>
        <v>Shopping</v>
      </c>
      <c r="G14566" t="s">
        <v>21</v>
      </c>
      <c r="I14566" s="8"/>
      <c r="O14566" t="str">
        <f>LEFT(Table2[[#This Row],[Description]],75)</f>
        <v>Transfer to PayPal</v>
      </c>
    </row>
    <row r="14567" spans="1:15" hidden="1">
      <c r="A14567">
        <v>202508</v>
      </c>
      <c r="B14567" s="6">
        <v>45887</v>
      </c>
      <c r="C14567" t="s">
        <v>3938</v>
      </c>
      <c r="D14567" t="s">
        <v>648</v>
      </c>
      <c r="E14567">
        <v>2.99</v>
      </c>
      <c r="F14567" t="str">
        <f>IF(Table2[[#This Row],[Manual Cat Value]]="",Table2[[#This Row],[Suggested Cat Value]],VLOOKUP(Table2[[#This Row],[Manual Cat Value]],Lookup!G:H,2,0))</f>
        <v>Groceries</v>
      </c>
      <c r="G14567" t="s">
        <v>28</v>
      </c>
      <c r="I14567" s="8"/>
      <c r="O14567" t="str">
        <f>LEFT(Table2[[#This Row],[Description]],75)</f>
        <v>Costco</v>
      </c>
    </row>
    <row r="14568" spans="1:15" hidden="1">
      <c r="A14568">
        <v>202510</v>
      </c>
      <c r="B14568" s="6">
        <v>45950</v>
      </c>
      <c r="C14568" t="s">
        <v>3938</v>
      </c>
      <c r="D14568" t="s">
        <v>6948</v>
      </c>
      <c r="E14568">
        <v>2.93</v>
      </c>
      <c r="F14568" t="str">
        <f>IF(Table2[[#This Row],[Manual Cat Value]]="",Table2[[#This Row],[Suggested Cat Value]],VLOOKUP(Table2[[#This Row],[Manual Cat Value]],Lookup!G:H,2,0))</f>
        <v>Delete</v>
      </c>
      <c r="G14568" t="s">
        <v>9</v>
      </c>
      <c r="I14568" s="8"/>
      <c r="O14568" t="str">
        <f>LEFT(Table2[[#This Row],[Description]],75)</f>
        <v>Royal Coffee</v>
      </c>
    </row>
    <row r="14569" spans="1:15" hidden="1">
      <c r="A14569">
        <v>202510</v>
      </c>
      <c r="B14569" s="6">
        <v>45950</v>
      </c>
      <c r="C14569" t="s">
        <v>3938</v>
      </c>
      <c r="D14569" t="s">
        <v>6948</v>
      </c>
      <c r="E14569">
        <v>2.93</v>
      </c>
      <c r="F14569" t="str">
        <f>IF(Table2[[#This Row],[Manual Cat Value]]="",Table2[[#This Row],[Suggested Cat Value]],VLOOKUP(Table2[[#This Row],[Manual Cat Value]],Lookup!G:H,2,0))</f>
        <v>Delete</v>
      </c>
      <c r="G14569" t="s">
        <v>9</v>
      </c>
      <c r="I14569" s="8"/>
      <c r="O14569" t="str">
        <f>LEFT(Table2[[#This Row],[Description]],75)</f>
        <v>Royal Coffee</v>
      </c>
    </row>
    <row r="14570" spans="1:15" hidden="1">
      <c r="A14570">
        <v>202510</v>
      </c>
      <c r="B14570" s="6">
        <v>45947</v>
      </c>
      <c r="C14570" t="s">
        <v>2519</v>
      </c>
      <c r="D14570" t="s">
        <v>6011</v>
      </c>
      <c r="E14570">
        <v>2.75</v>
      </c>
      <c r="F14570" t="str">
        <f>IF(Table2[[#This Row],[Manual Cat Value]]="",Table2[[#This Row],[Suggested Cat Value]],VLOOKUP(Table2[[#This Row],[Manual Cat Value]],Lookup!G:H,2,0))</f>
        <v>Misc</v>
      </c>
      <c r="G14570" t="s">
        <v>29</v>
      </c>
      <c r="I14570" s="8"/>
      <c r="O14570" t="str">
        <f>LEFT(Table2[[#This Row],[Description]],75)</f>
        <v>Withdrawal ATM Intl Fee VISA INTERNATIONAL SERVICE ASSESSMENT Card 5404</v>
      </c>
    </row>
    <row r="14571" spans="1:15" hidden="1">
      <c r="A14571">
        <v>202509</v>
      </c>
      <c r="B14571" s="6">
        <v>45921</v>
      </c>
      <c r="C14571" t="s">
        <v>130</v>
      </c>
      <c r="D14571" t="s">
        <v>5752</v>
      </c>
      <c r="E14571">
        <v>2.75</v>
      </c>
      <c r="F14571" t="str">
        <f>IF(Table2[[#This Row],[Manual Cat Value]]="",Table2[[#This Row],[Suggested Cat Value]],VLOOKUP(Table2[[#This Row],[Manual Cat Value]],Lookup!G:H,2,0))</f>
        <v>Restaurants</v>
      </c>
      <c r="G14571" t="s">
        <v>26</v>
      </c>
      <c r="I14571" s="8"/>
      <c r="O14571" t="str">
        <f>LEFT(Table2[[#This Row],[Description]],75)</f>
        <v>WESTWOOD COMMUNITY CExcelsior           MN</v>
      </c>
    </row>
    <row r="14572" spans="1:15" hidden="1">
      <c r="A14572">
        <v>202509</v>
      </c>
      <c r="B14572" s="6">
        <v>45903</v>
      </c>
      <c r="C14572" t="s">
        <v>130</v>
      </c>
      <c r="D14572" t="s">
        <v>6183</v>
      </c>
      <c r="E14572">
        <v>2.64</v>
      </c>
      <c r="F14572" t="str">
        <f>IF(Table2[[#This Row],[Manual Cat Value]]="",Table2[[#This Row],[Suggested Cat Value]],VLOOKUP(Table2[[#This Row],[Manual Cat Value]],Lookup!G:H,2,0))</f>
        <v>Amazon</v>
      </c>
      <c r="G14572" t="s">
        <v>38</v>
      </c>
      <c r="I14572" s="8"/>
      <c r="O14572" t="str">
        <f>LEFT(Table2[[#This Row],[Description]],75)</f>
        <v>AMAZON MARKEPLACE NA PA</v>
      </c>
    </row>
    <row r="14573" spans="1:15" hidden="1">
      <c r="A14573">
        <v>202510</v>
      </c>
      <c r="B14573" s="6">
        <v>45951</v>
      </c>
      <c r="C14573" t="s">
        <v>3938</v>
      </c>
      <c r="D14573" t="s">
        <v>6949</v>
      </c>
      <c r="E14573">
        <v>2.58</v>
      </c>
      <c r="F14573" t="str">
        <f>IF(Table2[[#This Row],[Manual Cat Value]]="",Table2[[#This Row],[Suggested Cat Value]],VLOOKUP(Table2[[#This Row],[Manual Cat Value]],Lookup!G:H,2,0))</f>
        <v>Delete</v>
      </c>
      <c r="G14573" t="s">
        <v>9</v>
      </c>
      <c r="I14573" s="8"/>
      <c r="O14573" t="str">
        <f>LEFT(Table2[[#This Row],[Description]],75)</f>
        <v>ACQU.DISTRIB.AUTOMATI SERIATE IT REF #XX1747F7EM</v>
      </c>
    </row>
    <row r="14574" spans="1:15" hidden="1">
      <c r="A14574">
        <v>202510</v>
      </c>
      <c r="B14574" s="6">
        <v>45951</v>
      </c>
      <c r="C14574" t="s">
        <v>3938</v>
      </c>
      <c r="D14574" t="s">
        <v>6950</v>
      </c>
      <c r="E14574">
        <v>2.23</v>
      </c>
      <c r="F14574" t="str">
        <f>IF(Table2[[#This Row],[Manual Cat Value]]="",Table2[[#This Row],[Suggested Cat Value]],VLOOKUP(Table2[[#This Row],[Manual Cat Value]],Lookup!G:H,2,0))</f>
        <v>Delete</v>
      </c>
      <c r="G14574" t="s">
        <v>9</v>
      </c>
      <c r="I14574" s="8"/>
      <c r="O14574" t="str">
        <f>LEFT(Table2[[#This Row],[Description]],75)</f>
        <v>ACQU.DISTRIB.AUTOMATI SERIATE IT REF #XX1747F7EX</v>
      </c>
    </row>
    <row r="14575" spans="1:15" hidden="1">
      <c r="A14575">
        <v>202510</v>
      </c>
      <c r="B14575" s="6">
        <v>45944</v>
      </c>
      <c r="C14575" t="s">
        <v>3938</v>
      </c>
      <c r="D14575" t="s">
        <v>6951</v>
      </c>
      <c r="E14575">
        <v>2.2000000000000002</v>
      </c>
      <c r="F14575" t="str">
        <f>IF(Table2[[#This Row],[Manual Cat Value]]="",Table2[[#This Row],[Suggested Cat Value]],VLOOKUP(Table2[[#This Row],[Manual Cat Value]],Lookup!G:H,2,0))</f>
        <v>Restaurants</v>
      </c>
      <c r="H14575" s="8" t="s">
        <v>25</v>
      </c>
      <c r="I14575" s="8"/>
      <c r="O14575" t="str">
        <f>LEFT(Table2[[#This Row],[Description]],75)</f>
        <v>CONAD FIRENZE IT REF #XX1638YE36D9ZKN</v>
      </c>
    </row>
    <row r="14576" spans="1:15" hidden="1">
      <c r="A14576">
        <v>202508</v>
      </c>
      <c r="B14576" s="6">
        <v>45874</v>
      </c>
      <c r="C14576" t="s">
        <v>3938</v>
      </c>
      <c r="D14576" t="s">
        <v>6952</v>
      </c>
      <c r="E14576">
        <v>2.09</v>
      </c>
      <c r="F14576" t="str">
        <f>IF(Table2[[#This Row],[Manual Cat Value]]="",Table2[[#This Row],[Suggested Cat Value]],VLOOKUP(Table2[[#This Row],[Manual Cat Value]],Lookup!G:H,2,0))</f>
        <v>Delete</v>
      </c>
      <c r="G14576" t="s">
        <v>9</v>
      </c>
      <c r="I14576" s="8"/>
      <c r="O14576" t="str">
        <f>LEFT(Table2[[#This Row],[Description]],75)</f>
        <v>NYA*Cork Vending Solut XX9621 IE REF #XX4656R38TW4J4Z</v>
      </c>
    </row>
    <row r="14577" spans="1:15" hidden="1">
      <c r="A14577">
        <v>202510</v>
      </c>
      <c r="B14577" s="6">
        <v>45950</v>
      </c>
      <c r="C14577" t="s">
        <v>3938</v>
      </c>
      <c r="D14577" t="s">
        <v>4899</v>
      </c>
      <c r="E14577">
        <v>1.99</v>
      </c>
      <c r="F14577" t="str">
        <f>IF(Table2[[#This Row],[Manual Cat Value]]="",Table2[[#This Row],[Suggested Cat Value]],VLOOKUP(Table2[[#This Row],[Manual Cat Value]],Lookup!G:H,2,0))</f>
        <v>Delete</v>
      </c>
      <c r="G14577" t="s">
        <v>9</v>
      </c>
      <c r="I14577" s="8"/>
      <c r="O14577" t="str">
        <f>LEFT(Table2[[#This Row],[Description]],75)</f>
        <v>Google Cloud Storage</v>
      </c>
    </row>
    <row r="14578" spans="1:15" hidden="1">
      <c r="A14578">
        <v>202509</v>
      </c>
      <c r="B14578" s="6">
        <v>45921</v>
      </c>
      <c r="C14578" t="s">
        <v>3938</v>
      </c>
      <c r="D14578" t="s">
        <v>4899</v>
      </c>
      <c r="E14578">
        <v>1.99</v>
      </c>
      <c r="F14578" t="str">
        <f>IF(Table2[[#This Row],[Manual Cat Value]]="",Table2[[#This Row],[Suggested Cat Value]],VLOOKUP(Table2[[#This Row],[Manual Cat Value]],Lookup!G:H,2,0))</f>
        <v>Utilities</v>
      </c>
      <c r="G14578" t="s">
        <v>7</v>
      </c>
      <c r="I14578" s="8"/>
      <c r="O14578" t="str">
        <f>LEFT(Table2[[#This Row],[Description]],75)</f>
        <v>Google Cloud Storage</v>
      </c>
    </row>
    <row r="14579" spans="1:15" hidden="1">
      <c r="A14579">
        <v>202508</v>
      </c>
      <c r="B14579" s="6">
        <v>45889</v>
      </c>
      <c r="C14579" t="s">
        <v>3938</v>
      </c>
      <c r="D14579" t="s">
        <v>6953</v>
      </c>
      <c r="E14579">
        <v>1.99</v>
      </c>
      <c r="F14579" t="str">
        <f>IF(Table2[[#This Row],[Manual Cat Value]]="",Table2[[#This Row],[Suggested Cat Value]],VLOOKUP(Table2[[#This Row],[Manual Cat Value]],Lookup!G:H,2,0))</f>
        <v>Utilities</v>
      </c>
      <c r="G14579" t="s">
        <v>7</v>
      </c>
      <c r="I14579" s="8"/>
      <c r="O14579" t="str">
        <f>LEFT(Table2[[#This Row],[Description]],75)</f>
        <v>GOOGLE *Google One g.co/helppay#CA REF #XX7305WAJ8Y</v>
      </c>
    </row>
    <row r="14580" spans="1:15" hidden="1">
      <c r="A14580">
        <v>202507</v>
      </c>
      <c r="B14580" s="6">
        <v>45858</v>
      </c>
      <c r="C14580" t="s">
        <v>3938</v>
      </c>
      <c r="D14580" t="s">
        <v>6954</v>
      </c>
      <c r="E14580">
        <v>1.99</v>
      </c>
      <c r="F14580" t="str">
        <f>IF(Table2[[#This Row],[Manual Cat Value]]="",Table2[[#This Row],[Suggested Cat Value]],VLOOKUP(Table2[[#This Row],[Manual Cat Value]],Lookup!G:H,2,0))</f>
        <v>Utilities</v>
      </c>
      <c r="G14580" t="s">
        <v>7</v>
      </c>
      <c r="I14580" s="8"/>
      <c r="O14580" t="str">
        <f>LEFT(Table2[[#This Row],[Description]],75)</f>
        <v>GOOGLE *Google One g.co/helppay#CA REF #XX6834NA7WLZ</v>
      </c>
    </row>
    <row r="14581" spans="1:15" hidden="1">
      <c r="A14581">
        <v>202506</v>
      </c>
      <c r="B14581" s="6">
        <v>45828</v>
      </c>
      <c r="C14581" t="s">
        <v>3938</v>
      </c>
      <c r="D14581" t="s">
        <v>6955</v>
      </c>
      <c r="E14581">
        <v>1.99</v>
      </c>
      <c r="F14581" t="str">
        <f>IF(Table2[[#This Row],[Manual Cat Value]]="",Table2[[#This Row],[Suggested Cat Value]],VLOOKUP(Table2[[#This Row],[Manual Cat Value]],Lookup!G:H,2,0))</f>
        <v>Utilities</v>
      </c>
      <c r="G14581" t="s">
        <v>7</v>
      </c>
      <c r="I14581" s="8"/>
      <c r="O14581" t="str">
        <f>LEFT(Table2[[#This Row],[Description]],75)</f>
        <v>GOOGLE *Google One g.co/helppay#CA REF #XX2165A2XAH1HNR</v>
      </c>
    </row>
    <row r="14582" spans="1:15" hidden="1">
      <c r="A14582">
        <v>202510</v>
      </c>
      <c r="B14582" s="6">
        <v>45950</v>
      </c>
      <c r="C14582" t="s">
        <v>3938</v>
      </c>
      <c r="D14582" t="s">
        <v>6948</v>
      </c>
      <c r="E14582">
        <v>1.76</v>
      </c>
      <c r="F14582" t="str">
        <f>IF(Table2[[#This Row],[Manual Cat Value]]="",Table2[[#This Row],[Suggested Cat Value]],VLOOKUP(Table2[[#This Row],[Manual Cat Value]],Lookup!G:H,2,0))</f>
        <v>Delete</v>
      </c>
      <c r="G14582" t="s">
        <v>9</v>
      </c>
      <c r="I14582" s="8"/>
      <c r="O14582" t="str">
        <f>LEFT(Table2[[#This Row],[Description]],75)</f>
        <v>Royal Coffee</v>
      </c>
    </row>
    <row r="14583" spans="1:15" hidden="1">
      <c r="A14583">
        <v>202507</v>
      </c>
      <c r="B14583" s="6">
        <v>45848</v>
      </c>
      <c r="C14583" t="s">
        <v>3938</v>
      </c>
      <c r="D14583" t="s">
        <v>6956</v>
      </c>
      <c r="E14583">
        <v>1.64</v>
      </c>
      <c r="F14583" t="str">
        <f>IF(Table2[[#This Row],[Manual Cat Value]]="",Table2[[#This Row],[Suggested Cat Value]],VLOOKUP(Table2[[#This Row],[Manual Cat Value]],Lookup!G:H,2,0))</f>
        <v>Insurance</v>
      </c>
      <c r="G14583" t="s">
        <v>18</v>
      </c>
      <c r="I14583" s="8"/>
      <c r="O14583" t="str">
        <f>LEFT(Table2[[#This Row],[Description]],75)</f>
        <v>Family Dollar</v>
      </c>
    </row>
    <row r="14584" spans="1:15" hidden="1">
      <c r="A14584">
        <v>202510</v>
      </c>
      <c r="B14584" s="6">
        <v>45953</v>
      </c>
      <c r="C14584" t="s">
        <v>130</v>
      </c>
      <c r="D14584" t="s">
        <v>6514</v>
      </c>
      <c r="E14584">
        <v>1.63</v>
      </c>
      <c r="F14584" t="str">
        <f>IF(Table2[[#This Row],[Manual Cat Value]]="",Table2[[#This Row],[Suggested Cat Value]],VLOOKUP(Table2[[#This Row],[Manual Cat Value]],Lookup!G:H,2,0))</f>
        <v>Delete</v>
      </c>
      <c r="G14584" t="s">
        <v>9</v>
      </c>
      <c r="I14584" s="8"/>
      <c r="O14584" t="str">
        <f>LEFT(Table2[[#This Row],[Description]],75)</f>
        <v>AplPay CARGILL STOREWAYZATA             MN</v>
      </c>
    </row>
    <row r="14585" spans="1:15" hidden="1">
      <c r="A14585">
        <v>202507</v>
      </c>
      <c r="B14585" s="6">
        <v>45844</v>
      </c>
      <c r="C14585" t="s">
        <v>130</v>
      </c>
      <c r="D14585" t="s">
        <v>6957</v>
      </c>
      <c r="E14585">
        <v>1.4</v>
      </c>
      <c r="F14585" t="str">
        <f>IF(Table2[[#This Row],[Manual Cat Value]]="",Table2[[#This Row],[Suggested Cat Value]],VLOOKUP(Table2[[#This Row],[Manual Cat Value]],Lookup!G:H,2,0))</f>
        <v>Travel</v>
      </c>
      <c r="G14585" t="s">
        <v>43</v>
      </c>
      <c r="I14585" s="8"/>
      <c r="O14585" t="str">
        <f>LEFT(Table2[[#This Row],[Description]],75)</f>
        <v>DNR EPAY WIN ACS SERMADISON             WI</v>
      </c>
    </row>
    <row r="14586" spans="1:15" hidden="1">
      <c r="A14586">
        <v>202510</v>
      </c>
      <c r="B14586" s="6">
        <v>45945</v>
      </c>
      <c r="C14586" t="s">
        <v>130</v>
      </c>
      <c r="D14586" t="s">
        <v>6958</v>
      </c>
      <c r="E14586">
        <v>1.39</v>
      </c>
      <c r="F14586" t="str">
        <f>IF(Table2[[#This Row],[Manual Cat Value]]="",Table2[[#This Row],[Suggested Cat Value]],VLOOKUP(Table2[[#This Row],[Manual Cat Value]],Lookup!G:H,2,0))</f>
        <v>Restaurants</v>
      </c>
      <c r="G14586" t="s">
        <v>26</v>
      </c>
      <c r="I14586" s="8"/>
      <c r="O14586" t="str">
        <f>LEFT(Table2[[#This Row],[Description]],75)</f>
        <v>AplPay SUMUP*PASTICCCASTIGLIONE DEL LAGO</v>
      </c>
    </row>
    <row r="14587" spans="1:15" hidden="1">
      <c r="A14587">
        <v>202510</v>
      </c>
      <c r="B14587" s="6">
        <v>45944</v>
      </c>
      <c r="C14587" t="s">
        <v>3938</v>
      </c>
      <c r="D14587" t="s">
        <v>6959</v>
      </c>
      <c r="E14587">
        <v>1.1599999999999999</v>
      </c>
      <c r="F14587" t="str">
        <f>IF(Table2[[#This Row],[Manual Cat Value]]="",Table2[[#This Row],[Suggested Cat Value]],VLOOKUP(Table2[[#This Row],[Manual Cat Value]],Lookup!G:H,2,0))</f>
        <v>Restaurants</v>
      </c>
      <c r="H14587" s="8" t="s">
        <v>25</v>
      </c>
      <c r="I14587" s="8"/>
      <c r="O14587" t="str">
        <f>LEFT(Table2[[#This Row],[Description]],75)</f>
        <v>MERCATO CENTRALE FIRENZE FIRENZE IT REF #XX4958Y96H3T030</v>
      </c>
    </row>
    <row r="14588" spans="1:15" hidden="1">
      <c r="A14588">
        <v>202510</v>
      </c>
      <c r="B14588" s="6">
        <v>45958</v>
      </c>
      <c r="C14588" t="s">
        <v>2519</v>
      </c>
      <c r="D14588" t="s">
        <v>1955</v>
      </c>
      <c r="E14588">
        <v>0.99</v>
      </c>
      <c r="F14588" t="str">
        <f>IF(Table2[[#This Row],[Manual Cat Value]]="",Table2[[#This Row],[Suggested Cat Value]],VLOOKUP(Table2[[#This Row],[Manual Cat Value]],Lookup!G:H,2,0))</f>
        <v>Shopping</v>
      </c>
      <c r="G14588" t="s">
        <v>21</v>
      </c>
      <c r="I14588" s="8"/>
      <c r="O14588" t="str">
        <f>LEFT(Table2[[#This Row],[Description]],75)</f>
        <v>Transfer to PayPal</v>
      </c>
    </row>
    <row r="14589" spans="1:15" hidden="1">
      <c r="A14589">
        <v>202509</v>
      </c>
      <c r="B14589" s="6">
        <v>45929</v>
      </c>
      <c r="C14589" t="s">
        <v>2519</v>
      </c>
      <c r="D14589" t="s">
        <v>1955</v>
      </c>
      <c r="E14589">
        <v>0.99</v>
      </c>
      <c r="F14589" t="str">
        <f>IF(Table2[[#This Row],[Manual Cat Value]]="",Table2[[#This Row],[Suggested Cat Value]],VLOOKUP(Table2[[#This Row],[Manual Cat Value]],Lookup!G:H,2,0))</f>
        <v>Shopping</v>
      </c>
      <c r="G14589" t="s">
        <v>21</v>
      </c>
      <c r="I14589" s="8"/>
      <c r="O14589" t="str">
        <f>LEFT(Table2[[#This Row],[Description]],75)</f>
        <v>Transfer to PayPal</v>
      </c>
    </row>
    <row r="14590" spans="1:15" hidden="1">
      <c r="A14590">
        <v>202508</v>
      </c>
      <c r="B14590" s="6">
        <v>45897</v>
      </c>
      <c r="C14590" t="s">
        <v>2519</v>
      </c>
      <c r="D14590" t="s">
        <v>1955</v>
      </c>
      <c r="E14590">
        <v>0.99</v>
      </c>
      <c r="F14590" t="str">
        <f>IF(Table2[[#This Row],[Manual Cat Value]]="",Table2[[#This Row],[Suggested Cat Value]],VLOOKUP(Table2[[#This Row],[Manual Cat Value]],Lookup!G:H,2,0))</f>
        <v>Shopping</v>
      </c>
      <c r="G14590" t="s">
        <v>21</v>
      </c>
      <c r="I14590" s="8"/>
      <c r="O14590" t="str">
        <f>LEFT(Table2[[#This Row],[Description]],75)</f>
        <v>Transfer to PayPal</v>
      </c>
    </row>
    <row r="14591" spans="1:15" hidden="1">
      <c r="A14591">
        <v>202506</v>
      </c>
      <c r="B14591" s="6">
        <v>45838</v>
      </c>
      <c r="C14591" t="s">
        <v>2519</v>
      </c>
      <c r="D14591" t="s">
        <v>1955</v>
      </c>
      <c r="E14591">
        <v>0.99</v>
      </c>
      <c r="F14591" t="str">
        <f>IF(Table2[[#This Row],[Manual Cat Value]]="",Table2[[#This Row],[Suggested Cat Value]],VLOOKUP(Table2[[#This Row],[Manual Cat Value]],Lookup!G:H,2,0))</f>
        <v>Shopping</v>
      </c>
      <c r="G14591" t="s">
        <v>21</v>
      </c>
      <c r="I14591" s="8"/>
      <c r="O14591" t="str">
        <f>LEFT(Table2[[#This Row],[Description]],75)</f>
        <v>Transfer to PayPal</v>
      </c>
    </row>
    <row r="14592" spans="1:15" hidden="1">
      <c r="A14592">
        <v>202510</v>
      </c>
      <c r="B14592" s="6">
        <v>45942</v>
      </c>
      <c r="C14592" t="s">
        <v>3938</v>
      </c>
      <c r="D14592" t="s">
        <v>6960</v>
      </c>
      <c r="E14592">
        <v>0.57999999999999996</v>
      </c>
      <c r="F14592" t="str">
        <f>IF(Table2[[#This Row],[Manual Cat Value]]="",Table2[[#This Row],[Suggested Cat Value]],VLOOKUP(Table2[[#This Row],[Manual Cat Value]],Lookup!G:H,2,0))</f>
        <v>Shopping</v>
      </c>
      <c r="H14592" s="8" t="s">
        <v>36</v>
      </c>
      <c r="I14592" s="8"/>
      <c r="O14592" t="str">
        <f>LEFT(Table2[[#This Row],[Description]],75)</f>
        <v>ASPIT GENOVA AEROP. - GENOVA PEGLI IT REF #XX9498W1134TJSW</v>
      </c>
    </row>
    <row r="14593" spans="1:15" hidden="1">
      <c r="A14593">
        <v>202506</v>
      </c>
      <c r="B14593" s="6">
        <v>45829</v>
      </c>
      <c r="C14593" t="s">
        <v>130</v>
      </c>
      <c r="D14593" t="s">
        <v>6961</v>
      </c>
      <c r="E14593">
        <v>-0.03</v>
      </c>
      <c r="F14593" t="str">
        <f>IF(Table2[[#This Row],[Manual Cat Value]]="",Table2[[#This Row],[Suggested Cat Value]],VLOOKUP(Table2[[#This Row],[Manual Cat Value]],Lookup!G:H,2,0))</f>
        <v>Delete</v>
      </c>
      <c r="G14593" t="s">
        <v>5</v>
      </c>
      <c r="H14593" s="8" t="s">
        <v>9</v>
      </c>
      <c r="I14593" s="8"/>
      <c r="O14593" t="str">
        <f>LEFT(Table2[[#This Row],[Description]],75)</f>
        <v>Credit for AMEX Error</v>
      </c>
    </row>
    <row r="14594" spans="1:15" hidden="1">
      <c r="A14594">
        <v>202507</v>
      </c>
      <c r="B14594" s="6">
        <v>45864</v>
      </c>
      <c r="C14594" t="s">
        <v>130</v>
      </c>
      <c r="D14594" t="s">
        <v>5929</v>
      </c>
      <c r="E14594">
        <v>-0.81</v>
      </c>
      <c r="F14594" t="str">
        <f>IF(Table2[[#This Row],[Manual Cat Value]]="",Table2[[#This Row],[Suggested Cat Value]],VLOOKUP(Table2[[#This Row],[Manual Cat Value]],Lookup!G:H,2,0))</f>
        <v>Transportation</v>
      </c>
      <c r="G14594" t="s">
        <v>23</v>
      </c>
      <c r="I14594" s="8"/>
      <c r="O14594" t="str">
        <f>LEFT(Table2[[#This Row],[Description]],75)</f>
        <v>LYFT                855-280-0278        CA</v>
      </c>
    </row>
    <row r="14595" spans="1:15" hidden="1">
      <c r="A14595">
        <v>202507</v>
      </c>
      <c r="B14595" s="6">
        <v>45869</v>
      </c>
      <c r="C14595" t="s">
        <v>2519</v>
      </c>
      <c r="D14595" t="s">
        <v>2896</v>
      </c>
      <c r="E14595">
        <v>-3.25</v>
      </c>
      <c r="F14595" t="str">
        <f>IF(Table2[[#This Row],[Manual Cat Value]]="",Table2[[#This Row],[Suggested Cat Value]],VLOOKUP(Table2[[#This Row],[Manual Cat Value]],Lookup!G:H,2,0))</f>
        <v>Delete</v>
      </c>
      <c r="G14595" t="s">
        <v>66</v>
      </c>
      <c r="H14595" s="8" t="s">
        <v>9</v>
      </c>
      <c r="I14595" s="8"/>
      <c r="O14595" t="str">
        <f>LEFT(Table2[[#This Row],[Description]],75)</f>
        <v>Deposit ATM FEE REFUND</v>
      </c>
    </row>
    <row r="14596" spans="1:15" hidden="1">
      <c r="A14596">
        <v>202509</v>
      </c>
      <c r="B14596" s="6">
        <v>45924</v>
      </c>
      <c r="C14596" t="s">
        <v>130</v>
      </c>
      <c r="D14596" t="s">
        <v>6206</v>
      </c>
      <c r="E14596">
        <v>-3.26</v>
      </c>
      <c r="F14596" t="str">
        <f>IF(Table2[[#This Row],[Manual Cat Value]]="",Table2[[#This Row],[Suggested Cat Value]],VLOOKUP(Table2[[#This Row],[Manual Cat Value]],Lookup!G:H,2,0))</f>
        <v>Amazon</v>
      </c>
      <c r="G14596" t="s">
        <v>38</v>
      </c>
      <c r="I14596" s="8"/>
      <c r="O14596" t="str">
        <f>LEFT(Table2[[#This Row],[Description]],75)</f>
        <v>AMAZON.COM          AMZN.COM/BILL       WA</v>
      </c>
    </row>
    <row r="14597" spans="1:15" hidden="1">
      <c r="A14597">
        <v>202506</v>
      </c>
      <c r="B14597" s="6">
        <v>45838</v>
      </c>
      <c r="C14597" t="s">
        <v>2519</v>
      </c>
      <c r="D14597" t="s">
        <v>2896</v>
      </c>
      <c r="E14597">
        <v>-3.5</v>
      </c>
      <c r="F14597" t="str">
        <f>IF(Table2[[#This Row],[Manual Cat Value]]="",Table2[[#This Row],[Suggested Cat Value]],VLOOKUP(Table2[[#This Row],[Manual Cat Value]],Lookup!G:H,2,0))</f>
        <v>Delete</v>
      </c>
      <c r="G14597" t="s">
        <v>66</v>
      </c>
      <c r="H14597" s="8" t="s">
        <v>9</v>
      </c>
      <c r="I14597" s="8"/>
      <c r="O14597" t="str">
        <f>LEFT(Table2[[#This Row],[Description]],75)</f>
        <v>Deposit ATM FEE REFUND</v>
      </c>
    </row>
    <row r="14598" spans="1:15" hidden="1">
      <c r="A14598">
        <v>202510</v>
      </c>
      <c r="B14598" s="6">
        <v>45961</v>
      </c>
      <c r="C14598" t="s">
        <v>2519</v>
      </c>
      <c r="D14598" t="s">
        <v>2896</v>
      </c>
      <c r="E14598">
        <v>-6.65</v>
      </c>
      <c r="F14598" t="str">
        <f>IF(Table2[[#This Row],[Manual Cat Value]]="",Table2[[#This Row],[Suggested Cat Value]],VLOOKUP(Table2[[#This Row],[Manual Cat Value]],Lookup!G:H,2,0))</f>
        <v>Britney</v>
      </c>
      <c r="G14598" t="s">
        <v>66</v>
      </c>
      <c r="I14598" s="8"/>
      <c r="O14598" t="str">
        <f>LEFT(Table2[[#This Row],[Description]],75)</f>
        <v>Deposit ATM FEE REFUND</v>
      </c>
    </row>
    <row r="14599" spans="1:15" hidden="1">
      <c r="A14599">
        <v>202506</v>
      </c>
      <c r="B14599" s="6">
        <v>45829</v>
      </c>
      <c r="C14599" t="s">
        <v>130</v>
      </c>
      <c r="D14599" t="s">
        <v>5765</v>
      </c>
      <c r="E14599">
        <v>-8.6999999999999993</v>
      </c>
      <c r="F14599" t="str">
        <f>IF(Table2[[#This Row],[Manual Cat Value]]="",Table2[[#This Row],[Suggested Cat Value]],VLOOKUP(Table2[[#This Row],[Manual Cat Value]],Lookup!G:H,2,0))</f>
        <v>Amazon</v>
      </c>
      <c r="G14599" t="s">
        <v>38</v>
      </c>
      <c r="I14599" s="8"/>
      <c r="O14599" t="str">
        <f>LEFT(Table2[[#This Row],[Description]],75)</f>
        <v>PRIME VIDEO CHANNELSAMZN.COM/BILL       WA</v>
      </c>
    </row>
    <row r="14600" spans="1:15" hidden="1">
      <c r="A14600">
        <v>202508</v>
      </c>
      <c r="B14600" s="6">
        <v>45894</v>
      </c>
      <c r="C14600" t="s">
        <v>130</v>
      </c>
      <c r="D14600" t="s">
        <v>5765</v>
      </c>
      <c r="E14600">
        <v>-10.88</v>
      </c>
      <c r="F14600" t="str">
        <f>IF(Table2[[#This Row],[Manual Cat Value]]="",Table2[[#This Row],[Suggested Cat Value]],VLOOKUP(Table2[[#This Row],[Manual Cat Value]],Lookup!G:H,2,0))</f>
        <v>Amazon</v>
      </c>
      <c r="G14600" t="s">
        <v>38</v>
      </c>
      <c r="I14600" s="8"/>
      <c r="O14600" t="str">
        <f>LEFT(Table2[[#This Row],[Description]],75)</f>
        <v>PRIME VIDEO CHANNELSAMZN.COM/BILL       WA</v>
      </c>
    </row>
    <row r="14601" spans="1:15" hidden="1">
      <c r="A14601">
        <v>202509</v>
      </c>
      <c r="B14601" s="6">
        <v>45930</v>
      </c>
      <c r="C14601" t="s">
        <v>2519</v>
      </c>
      <c r="D14601" t="s">
        <v>4470</v>
      </c>
      <c r="E14601">
        <v>-12.49</v>
      </c>
      <c r="F14601" t="str">
        <f>IF(Table2[[#This Row],[Manual Cat Value]]="",Table2[[#This Row],[Suggested Cat Value]],VLOOKUP(Table2[[#This Row],[Manual Cat Value]],Lookup!G:H,2,0))</f>
        <v>Healthcare</v>
      </c>
      <c r="G14601" t="s">
        <v>48</v>
      </c>
      <c r="I14601" s="8"/>
      <c r="O14601" t="str">
        <f>LEFT(Table2[[#This Row],[Description]],75)</f>
        <v>Connectyourcare Deposit</v>
      </c>
    </row>
    <row r="14602" spans="1:15" hidden="1">
      <c r="A14602">
        <v>202506</v>
      </c>
      <c r="B14602" s="6">
        <v>45832</v>
      </c>
      <c r="C14602" t="s">
        <v>2519</v>
      </c>
      <c r="D14602" t="s">
        <v>4470</v>
      </c>
      <c r="E14602">
        <v>-14.1</v>
      </c>
      <c r="F14602" t="str">
        <f>IF(Table2[[#This Row],[Manual Cat Value]]="",Table2[[#This Row],[Suggested Cat Value]],VLOOKUP(Table2[[#This Row],[Manual Cat Value]],Lookup!G:H,2,0))</f>
        <v>Healthcare</v>
      </c>
      <c r="G14602" t="s">
        <v>48</v>
      </c>
      <c r="I14602" s="8"/>
      <c r="O14602" t="str">
        <f>LEFT(Table2[[#This Row],[Description]],75)</f>
        <v>Connectyourcare Deposit</v>
      </c>
    </row>
    <row r="14603" spans="1:15" hidden="1">
      <c r="A14603">
        <v>202510</v>
      </c>
      <c r="B14603" s="6">
        <v>45931</v>
      </c>
      <c r="C14603" t="s">
        <v>2519</v>
      </c>
      <c r="D14603" t="s">
        <v>4283</v>
      </c>
      <c r="E14603">
        <v>-20.46</v>
      </c>
      <c r="F14603" t="str">
        <f>IF(Table2[[#This Row],[Manual Cat Value]]="",Table2[[#This Row],[Suggested Cat Value]],VLOOKUP(Table2[[#This Row],[Manual Cat Value]],Lookup!G:H,2,0))</f>
        <v>Britney</v>
      </c>
      <c r="G14603" t="s">
        <v>66</v>
      </c>
      <c r="I14603" s="8"/>
      <c r="O14603" t="str">
        <f>LEFT(Table2[[#This Row],[Description]],75)</f>
        <v>Cargill Deposit</v>
      </c>
    </row>
    <row r="14604" spans="1:15" hidden="1">
      <c r="A14604">
        <v>202507</v>
      </c>
      <c r="B14604" s="6">
        <v>45853</v>
      </c>
      <c r="C14604" t="s">
        <v>130</v>
      </c>
      <c r="D14604" t="s">
        <v>5721</v>
      </c>
      <c r="E14604">
        <v>-23.79</v>
      </c>
      <c r="F14604" t="str">
        <f>IF(Table2[[#This Row],[Manual Cat Value]]="",Table2[[#This Row],[Suggested Cat Value]],VLOOKUP(Table2[[#This Row],[Manual Cat Value]],Lookup!G:H,2,0))</f>
        <v>Amazon</v>
      </c>
      <c r="G14604" t="s">
        <v>38</v>
      </c>
      <c r="I14604" s="8"/>
      <c r="O14604" t="str">
        <f>LEFT(Table2[[#This Row],[Description]],75)</f>
        <v>AMAZON MARKETPLACE NAMZN.COM/BILL       WA</v>
      </c>
    </row>
    <row r="14605" spans="1:15" hidden="1">
      <c r="A14605">
        <v>202507</v>
      </c>
      <c r="B14605" s="6">
        <v>45853</v>
      </c>
      <c r="C14605" t="s">
        <v>130</v>
      </c>
      <c r="D14605" t="s">
        <v>5721</v>
      </c>
      <c r="E14605">
        <v>-28.5</v>
      </c>
      <c r="F14605" t="str">
        <f>IF(Table2[[#This Row],[Manual Cat Value]]="",Table2[[#This Row],[Suggested Cat Value]],VLOOKUP(Table2[[#This Row],[Manual Cat Value]],Lookup!G:H,2,0))</f>
        <v>Amazon</v>
      </c>
      <c r="G14605" t="s">
        <v>38</v>
      </c>
      <c r="I14605" s="8"/>
      <c r="O14605" t="str">
        <f>LEFT(Table2[[#This Row],[Description]],75)</f>
        <v>AMAZON MARKETPLACE NAMZN.COM/BILL       WA</v>
      </c>
    </row>
    <row r="14606" spans="1:15" hidden="1">
      <c r="A14606">
        <v>202510</v>
      </c>
      <c r="B14606" s="6">
        <v>45932</v>
      </c>
      <c r="C14606" t="s">
        <v>130</v>
      </c>
      <c r="D14606" t="s">
        <v>5721</v>
      </c>
      <c r="E14606">
        <v>-29.76</v>
      </c>
      <c r="F14606" t="str">
        <f>IF(Table2[[#This Row],[Manual Cat Value]]="",Table2[[#This Row],[Suggested Cat Value]],VLOOKUP(Table2[[#This Row],[Manual Cat Value]],Lookup!G:H,2,0))</f>
        <v>Amazon</v>
      </c>
      <c r="G14606" t="s">
        <v>38</v>
      </c>
      <c r="I14606" s="8"/>
      <c r="O14606" t="str">
        <f>LEFT(Table2[[#This Row],[Description]],75)</f>
        <v>AMAZON MARKETPLACE NAMZN.COM/BILL       WA</v>
      </c>
    </row>
    <row r="14607" spans="1:15" hidden="1">
      <c r="A14607">
        <v>202506</v>
      </c>
      <c r="B14607" s="6">
        <v>45831</v>
      </c>
      <c r="C14607" t="s">
        <v>130</v>
      </c>
      <c r="D14607" t="s">
        <v>5721</v>
      </c>
      <c r="E14607">
        <v>-29.99</v>
      </c>
      <c r="F14607" t="str">
        <f>IF(Table2[[#This Row],[Manual Cat Value]]="",Table2[[#This Row],[Suggested Cat Value]],VLOOKUP(Table2[[#This Row],[Manual Cat Value]],Lookup!G:H,2,0))</f>
        <v>Amazon</v>
      </c>
      <c r="G14607" t="s">
        <v>38</v>
      </c>
      <c r="I14607" s="8"/>
      <c r="O14607" t="str">
        <f>LEFT(Table2[[#This Row],[Description]],75)</f>
        <v>AMAZON MARKETPLACE NAMZN.COM/BILL       WA</v>
      </c>
    </row>
    <row r="14608" spans="1:15" hidden="1">
      <c r="A14608">
        <v>202510</v>
      </c>
      <c r="B14608" s="6">
        <v>45950</v>
      </c>
      <c r="C14608" t="s">
        <v>3938</v>
      </c>
      <c r="D14608" t="s">
        <v>673</v>
      </c>
      <c r="E14608">
        <v>-30</v>
      </c>
      <c r="F14608" t="str">
        <f>IF(Table2[[#This Row],[Manual Cat Value]]="",Table2[[#This Row],[Suggested Cat Value]],VLOOKUP(Table2[[#This Row],[Manual Cat Value]],Lookup!G:H,2,0))</f>
        <v>Delete</v>
      </c>
      <c r="G14608" t="s">
        <v>9</v>
      </c>
      <c r="I14608" s="8"/>
      <c r="O14608" t="str">
        <f>LEFT(Table2[[#This Row],[Description]],75)</f>
        <v>Credit Card Payment Received</v>
      </c>
    </row>
    <row r="14609" spans="1:15" hidden="1">
      <c r="A14609">
        <v>202509</v>
      </c>
      <c r="B14609" s="6">
        <v>45923</v>
      </c>
      <c r="C14609" t="s">
        <v>130</v>
      </c>
      <c r="D14609" t="s">
        <v>5721</v>
      </c>
      <c r="E14609">
        <v>-30.89</v>
      </c>
      <c r="F14609" t="str">
        <f>IF(Table2[[#This Row],[Manual Cat Value]]="",Table2[[#This Row],[Suggested Cat Value]],VLOOKUP(Table2[[#This Row],[Manual Cat Value]],Lookup!G:H,2,0))</f>
        <v>Amazon</v>
      </c>
      <c r="G14609" t="s">
        <v>38</v>
      </c>
      <c r="I14609" s="8"/>
      <c r="O14609" t="str">
        <f>LEFT(Table2[[#This Row],[Description]],75)</f>
        <v>AMAZON MARKETPLACE NAMZN.COM/BILL       WA</v>
      </c>
    </row>
    <row r="14610" spans="1:15" hidden="1">
      <c r="A14610">
        <v>202509</v>
      </c>
      <c r="B14610" s="6">
        <v>45924</v>
      </c>
      <c r="C14610" t="s">
        <v>130</v>
      </c>
      <c r="D14610" t="s">
        <v>5721</v>
      </c>
      <c r="E14610">
        <v>-35.479999999999997</v>
      </c>
      <c r="F14610" t="str">
        <f>IF(Table2[[#This Row],[Manual Cat Value]]="",Table2[[#This Row],[Suggested Cat Value]],VLOOKUP(Table2[[#This Row],[Manual Cat Value]],Lookup!G:H,2,0))</f>
        <v>Amazon</v>
      </c>
      <c r="G14610" t="s">
        <v>38</v>
      </c>
      <c r="I14610" s="8"/>
      <c r="O14610" t="str">
        <f>LEFT(Table2[[#This Row],[Description]],75)</f>
        <v>AMAZON MARKETPLACE NAMZN.COM/BILL       WA</v>
      </c>
    </row>
    <row r="14611" spans="1:15" hidden="1">
      <c r="A14611">
        <v>202509</v>
      </c>
      <c r="B14611" s="6">
        <v>45928</v>
      </c>
      <c r="C14611" t="s">
        <v>130</v>
      </c>
      <c r="D14611" t="s">
        <v>5721</v>
      </c>
      <c r="E14611">
        <v>-37.22</v>
      </c>
      <c r="F14611" t="str">
        <f>IF(Table2[[#This Row],[Manual Cat Value]]="",Table2[[#This Row],[Suggested Cat Value]],VLOOKUP(Table2[[#This Row],[Manual Cat Value]],Lookup!G:H,2,0))</f>
        <v>Amazon</v>
      </c>
      <c r="G14611" t="s">
        <v>38</v>
      </c>
      <c r="I14611" s="8"/>
      <c r="O14611" t="str">
        <f>LEFT(Table2[[#This Row],[Description]],75)</f>
        <v>AMAZON MARKETPLACE NAMZN.COM/BILL       WA</v>
      </c>
    </row>
    <row r="14612" spans="1:15" hidden="1">
      <c r="A14612">
        <v>202506</v>
      </c>
      <c r="B14612" s="6">
        <v>45838</v>
      </c>
      <c r="C14612" t="s">
        <v>2519</v>
      </c>
      <c r="D14612" t="s">
        <v>6962</v>
      </c>
      <c r="E14612">
        <v>-40.89</v>
      </c>
      <c r="F14612" t="str">
        <f>IF(Table2[[#This Row],[Manual Cat Value]]="",Table2[[#This Row],[Suggested Cat Value]],VLOOKUP(Table2[[#This Row],[Manual Cat Value]],Lookup!G:H,2,0))</f>
        <v>Inc - Other</v>
      </c>
      <c r="G14612" t="s">
        <v>16</v>
      </c>
      <c r="I14612" s="8"/>
      <c r="O14612" t="str">
        <f>LEFT(Table2[[#This Row],[Description]],75)</f>
        <v>Deposit Dividend Split Rate Annual Percentage Yield Earned 2.07% from 06/01</v>
      </c>
    </row>
    <row r="14613" spans="1:15" hidden="1">
      <c r="A14613">
        <v>202506</v>
      </c>
      <c r="B14613" s="6">
        <v>45820</v>
      </c>
      <c r="C14613" t="s">
        <v>130</v>
      </c>
      <c r="D14613" t="s">
        <v>5721</v>
      </c>
      <c r="E14613">
        <v>-41.64</v>
      </c>
      <c r="F14613" t="str">
        <f>IF(Table2[[#This Row],[Manual Cat Value]]="",Table2[[#This Row],[Suggested Cat Value]],VLOOKUP(Table2[[#This Row],[Manual Cat Value]],Lookup!G:H,2,0))</f>
        <v>Amazon</v>
      </c>
      <c r="G14613" t="s">
        <v>38</v>
      </c>
      <c r="I14613" s="8"/>
      <c r="O14613" t="str">
        <f>LEFT(Table2[[#This Row],[Description]],75)</f>
        <v>AMAZON MARKETPLACE NAMZN.COM/BILL       WA</v>
      </c>
    </row>
    <row r="14614" spans="1:15" hidden="1">
      <c r="A14614">
        <v>202506</v>
      </c>
      <c r="B14614" s="6">
        <v>45820</v>
      </c>
      <c r="C14614" t="s">
        <v>130</v>
      </c>
      <c r="D14614" t="s">
        <v>5721</v>
      </c>
      <c r="E14614">
        <v>-41.64</v>
      </c>
      <c r="F14614" t="str">
        <f>IF(Table2[[#This Row],[Manual Cat Value]]="",Table2[[#This Row],[Suggested Cat Value]],VLOOKUP(Table2[[#This Row],[Manual Cat Value]],Lookup!G:H,2,0))</f>
        <v>Amazon</v>
      </c>
      <c r="G14614" t="s">
        <v>38</v>
      </c>
      <c r="I14614" s="8"/>
      <c r="O14614" t="str">
        <f>LEFT(Table2[[#This Row],[Description]],75)</f>
        <v>AMAZON MARKETPLACE NAMZN.COM/BILL       WA</v>
      </c>
    </row>
    <row r="14615" spans="1:15" hidden="1">
      <c r="A14615">
        <v>202506</v>
      </c>
      <c r="B14615" s="6">
        <v>45838</v>
      </c>
      <c r="C14615" t="s">
        <v>3938</v>
      </c>
      <c r="D14615" t="s">
        <v>648</v>
      </c>
      <c r="E14615">
        <v>-43.34</v>
      </c>
      <c r="F14615" t="str">
        <f>IF(Table2[[#This Row],[Manual Cat Value]]="",Table2[[#This Row],[Suggested Cat Value]],VLOOKUP(Table2[[#This Row],[Manual Cat Value]],Lookup!G:H,2,0))</f>
        <v>Groceries</v>
      </c>
      <c r="G14615" t="s">
        <v>28</v>
      </c>
      <c r="I14615" s="8"/>
      <c r="O14615" t="str">
        <f>LEFT(Table2[[#This Row],[Description]],75)</f>
        <v>Costco</v>
      </c>
    </row>
    <row r="14616" spans="1:15" hidden="1">
      <c r="A14616">
        <v>202509</v>
      </c>
      <c r="B14616" s="6">
        <v>45930</v>
      </c>
      <c r="C14616" t="s">
        <v>2519</v>
      </c>
      <c r="D14616" t="s">
        <v>6963</v>
      </c>
      <c r="E14616">
        <v>-48.63</v>
      </c>
      <c r="F14616" t="str">
        <f>IF(Table2[[#This Row],[Manual Cat Value]]="",Table2[[#This Row],[Suggested Cat Value]],VLOOKUP(Table2[[#This Row],[Manual Cat Value]],Lookup!G:H,2,0))</f>
        <v>Delete</v>
      </c>
      <c r="G14616" t="s">
        <v>16</v>
      </c>
      <c r="H14616" s="8" t="s">
        <v>9</v>
      </c>
      <c r="I14616" s="8"/>
      <c r="O14616" t="str">
        <f>LEFT(Table2[[#This Row],[Description]],75)</f>
        <v>Deposit Dividend Split Rate Annual Percentage Yield Earned 1.52% from 09/01</v>
      </c>
    </row>
    <row r="14617" spans="1:15" hidden="1">
      <c r="A14617">
        <v>202509</v>
      </c>
      <c r="B14617" s="6">
        <v>45924</v>
      </c>
      <c r="C14617" t="s">
        <v>2519</v>
      </c>
      <c r="D14617" t="s">
        <v>4283</v>
      </c>
      <c r="E14617">
        <v>-50</v>
      </c>
      <c r="F14617" t="str">
        <f>IF(Table2[[#This Row],[Manual Cat Value]]="",Table2[[#This Row],[Suggested Cat Value]],VLOOKUP(Table2[[#This Row],[Manual Cat Value]],Lookup!G:H,2,0))</f>
        <v>Delete</v>
      </c>
      <c r="G14617" t="s">
        <v>66</v>
      </c>
      <c r="H14617" s="8" t="s">
        <v>9</v>
      </c>
      <c r="I14617" s="8"/>
      <c r="O14617" t="str">
        <f>LEFT(Table2[[#This Row],[Description]],75)</f>
        <v>Cargill Deposit</v>
      </c>
    </row>
    <row r="14618" spans="1:15" hidden="1">
      <c r="A14618">
        <v>202510</v>
      </c>
      <c r="B14618" s="6">
        <v>45961</v>
      </c>
      <c r="C14618" t="s">
        <v>2519</v>
      </c>
      <c r="D14618" t="s">
        <v>6964</v>
      </c>
      <c r="E14618">
        <v>-50.21</v>
      </c>
      <c r="F14618" t="str">
        <f>IF(Table2[[#This Row],[Manual Cat Value]]="",Table2[[#This Row],[Suggested Cat Value]],VLOOKUP(Table2[[#This Row],[Manual Cat Value]],Lookup!G:H,2,0))</f>
        <v>Delete</v>
      </c>
      <c r="G14618" t="s">
        <v>16</v>
      </c>
      <c r="H14618" s="8" t="s">
        <v>9</v>
      </c>
      <c r="I14618" s="8"/>
      <c r="O14618" t="str">
        <f>LEFT(Table2[[#This Row],[Description]],75)</f>
        <v>Deposit Dividend Split Rate Annual Percentage Yield Earned 1.75% from 10/01</v>
      </c>
    </row>
    <row r="14619" spans="1:15" hidden="1">
      <c r="A14619">
        <v>202507</v>
      </c>
      <c r="B14619" s="6">
        <v>45869</v>
      </c>
      <c r="C14619" t="s">
        <v>2519</v>
      </c>
      <c r="D14619" t="s">
        <v>6965</v>
      </c>
      <c r="E14619">
        <v>-50.28</v>
      </c>
      <c r="F14619" t="str">
        <f>IF(Table2[[#This Row],[Manual Cat Value]]="",Table2[[#This Row],[Suggested Cat Value]],VLOOKUP(Table2[[#This Row],[Manual Cat Value]],Lookup!G:H,2,0))</f>
        <v>Delete</v>
      </c>
      <c r="G14619" t="s">
        <v>16</v>
      </c>
      <c r="H14619" s="8" t="s">
        <v>9</v>
      </c>
      <c r="I14619" s="8"/>
      <c r="O14619" t="str">
        <f>LEFT(Table2[[#This Row],[Description]],75)</f>
        <v>Deposit Dividend Split Rate Annual Percentage Yield Earned 1.39% from 07/01</v>
      </c>
    </row>
    <row r="14620" spans="1:15" hidden="1">
      <c r="A14620">
        <v>202508</v>
      </c>
      <c r="B14620" s="6">
        <v>45900</v>
      </c>
      <c r="C14620" t="s">
        <v>2519</v>
      </c>
      <c r="D14620" t="s">
        <v>6966</v>
      </c>
      <c r="E14620">
        <v>-50.3</v>
      </c>
      <c r="F14620" t="str">
        <f>IF(Table2[[#This Row],[Manual Cat Value]]="",Table2[[#This Row],[Suggested Cat Value]],VLOOKUP(Table2[[#This Row],[Manual Cat Value]],Lookup!G:H,2,0))</f>
        <v>Delete</v>
      </c>
      <c r="G14620" t="s">
        <v>16</v>
      </c>
      <c r="H14620" s="8" t="s">
        <v>9</v>
      </c>
      <c r="I14620" s="8"/>
      <c r="O14620" t="str">
        <f>LEFT(Table2[[#This Row],[Description]],75)</f>
        <v>Deposit Dividend Split Rate Annual Percentage Yield Earned 1.34% from 08/01</v>
      </c>
    </row>
    <row r="14621" spans="1:15" hidden="1">
      <c r="A14621">
        <v>202510</v>
      </c>
      <c r="B14621" s="6">
        <v>45934</v>
      </c>
      <c r="C14621" t="s">
        <v>130</v>
      </c>
      <c r="D14621" t="s">
        <v>6624</v>
      </c>
      <c r="E14621">
        <v>-55.5</v>
      </c>
      <c r="F14621" t="str">
        <f>IF(Table2[[#This Row],[Manual Cat Value]]="",Table2[[#This Row],[Suggested Cat Value]],VLOOKUP(Table2[[#This Row],[Manual Cat Value]],Lookup!G:H,2,0))</f>
        <v>Shopping</v>
      </c>
      <c r="G14621" t="s">
        <v>21</v>
      </c>
      <c r="I14621" s="8"/>
      <c r="O14621" t="str">
        <f>LEFT(Table2[[#This Row],[Description]],75)</f>
        <v>SP SPORTIQE APPAREL TEMPE               AZ</v>
      </c>
    </row>
    <row r="14622" spans="1:15" hidden="1">
      <c r="A14622">
        <v>202508</v>
      </c>
      <c r="B14622" s="6">
        <v>45896</v>
      </c>
      <c r="C14622" t="s">
        <v>2519</v>
      </c>
      <c r="D14622" t="s">
        <v>4283</v>
      </c>
      <c r="E14622">
        <v>-56.19</v>
      </c>
      <c r="F14622" t="str">
        <f>IF(Table2[[#This Row],[Manual Cat Value]]="",Table2[[#This Row],[Suggested Cat Value]],VLOOKUP(Table2[[#This Row],[Manual Cat Value]],Lookup!G:H,2,0))</f>
        <v>Britney</v>
      </c>
      <c r="G14622" t="s">
        <v>66</v>
      </c>
      <c r="I14622" s="8"/>
      <c r="O14622" t="str">
        <f>LEFT(Table2[[#This Row],[Description]],75)</f>
        <v>Cargill Deposit</v>
      </c>
    </row>
    <row r="14623" spans="1:15" hidden="1">
      <c r="A14623">
        <v>202508</v>
      </c>
      <c r="B14623" s="6">
        <v>45882</v>
      </c>
      <c r="C14623" t="s">
        <v>130</v>
      </c>
      <c r="D14623" t="s">
        <v>5721</v>
      </c>
      <c r="E14623">
        <v>-63.98</v>
      </c>
      <c r="F14623" t="str">
        <f>IF(Table2[[#This Row],[Manual Cat Value]]="",Table2[[#This Row],[Suggested Cat Value]],VLOOKUP(Table2[[#This Row],[Manual Cat Value]],Lookup!G:H,2,0))</f>
        <v>Amazon</v>
      </c>
      <c r="G14623" t="s">
        <v>38</v>
      </c>
      <c r="I14623" s="8"/>
      <c r="O14623" t="str">
        <f>LEFT(Table2[[#This Row],[Description]],75)</f>
        <v>AMAZON MARKETPLACE NAMZN.COM/BILL       WA</v>
      </c>
    </row>
    <row r="14624" spans="1:15" hidden="1">
      <c r="A14624">
        <v>202507</v>
      </c>
      <c r="B14624" s="6">
        <v>45848</v>
      </c>
      <c r="C14624" t="s">
        <v>130</v>
      </c>
      <c r="D14624" t="s">
        <v>6647</v>
      </c>
      <c r="E14624">
        <v>-64</v>
      </c>
      <c r="F14624" t="str">
        <f>IF(Table2[[#This Row],[Manual Cat Value]]="",Table2[[#This Row],[Suggested Cat Value]],VLOOKUP(Table2[[#This Row],[Manual Cat Value]],Lookup!G:H,2,0))</f>
        <v>Shopping</v>
      </c>
      <c r="G14624" t="s">
        <v>26</v>
      </c>
      <c r="H14624" s="8" t="s">
        <v>36</v>
      </c>
      <c r="I14624" s="8"/>
      <c r="O14624" t="str">
        <f>LEFT(Table2[[#This Row],[Description]],75)</f>
        <v>AplPay SP VUORI CLOTENCINITAS           CA</v>
      </c>
    </row>
    <row r="14625" spans="1:15" hidden="1">
      <c r="A14625">
        <v>202509</v>
      </c>
      <c r="B14625" s="6">
        <v>45914</v>
      </c>
      <c r="C14625" t="s">
        <v>2519</v>
      </c>
      <c r="D14625" t="s">
        <v>4283</v>
      </c>
      <c r="E14625">
        <v>-82.2</v>
      </c>
      <c r="F14625" t="str">
        <f>IF(Table2[[#This Row],[Manual Cat Value]]="",Table2[[#This Row],[Suggested Cat Value]],VLOOKUP(Table2[[#This Row],[Manual Cat Value]],Lookup!G:H,2,0))</f>
        <v>Shopping</v>
      </c>
      <c r="G14625" t="s">
        <v>66</v>
      </c>
      <c r="H14625" s="8" t="s">
        <v>36</v>
      </c>
      <c r="I14625" s="8"/>
      <c r="O14625" t="str">
        <f>LEFT(Table2[[#This Row],[Description]],75)</f>
        <v>Cargill Deposit</v>
      </c>
    </row>
    <row r="14626" spans="1:15" hidden="1">
      <c r="A14626">
        <v>202507</v>
      </c>
      <c r="B14626" s="6">
        <v>45859</v>
      </c>
      <c r="C14626" t="s">
        <v>2519</v>
      </c>
      <c r="D14626" t="s">
        <v>4470</v>
      </c>
      <c r="E14626">
        <v>-124.06</v>
      </c>
      <c r="F14626" t="str">
        <f>IF(Table2[[#This Row],[Manual Cat Value]]="",Table2[[#This Row],[Suggested Cat Value]],VLOOKUP(Table2[[#This Row],[Manual Cat Value]],Lookup!G:H,2,0))</f>
        <v>Delete</v>
      </c>
      <c r="G14626" t="s">
        <v>48</v>
      </c>
      <c r="H14626" s="8" t="s">
        <v>9</v>
      </c>
      <c r="I14626" s="8"/>
      <c r="O14626" t="str">
        <f>LEFT(Table2[[#This Row],[Description]],75)</f>
        <v>Connectyourcare Deposit</v>
      </c>
    </row>
    <row r="14627" spans="1:15" hidden="1">
      <c r="A14627">
        <v>202507</v>
      </c>
      <c r="B14627" s="6">
        <v>45862</v>
      </c>
      <c r="C14627" t="s">
        <v>2519</v>
      </c>
      <c r="D14627" t="s">
        <v>6967</v>
      </c>
      <c r="E14627">
        <v>-128.9</v>
      </c>
      <c r="F14627" t="str">
        <f>IF(Table2[[#This Row],[Manual Cat Value]]="",Table2[[#This Row],[Suggested Cat Value]],VLOOKUP(Table2[[#This Row],[Manual Cat Value]],Lookup!G:H,2,0))</f>
        <v>Delete</v>
      </c>
      <c r="G14627" t="s">
        <v>20</v>
      </c>
      <c r="H14627" s="8" t="s">
        <v>9</v>
      </c>
      <c r="I14627" s="8"/>
      <c r="O14627" t="str">
        <f>LEFT(Table2[[#This Row],[Description]],75)</f>
        <v>Deposit ACH EMPYREAN SOLUTIO TYPE: ACH ID: XX3620 CO: EMPYREAN SOLUTIO Entr</v>
      </c>
    </row>
    <row r="14628" spans="1:15" hidden="1">
      <c r="A14628">
        <v>202510</v>
      </c>
      <c r="B14628" s="6">
        <v>45935</v>
      </c>
      <c r="C14628" t="s">
        <v>130</v>
      </c>
      <c r="D14628" t="s">
        <v>6549</v>
      </c>
      <c r="E14628">
        <v>-134.4</v>
      </c>
      <c r="F14628" t="str">
        <f>IF(Table2[[#This Row],[Manual Cat Value]]="",Table2[[#This Row],[Suggested Cat Value]],VLOOKUP(Table2[[#This Row],[Manual Cat Value]],Lookup!G:H,2,0))</f>
        <v>Shopping</v>
      </c>
      <c r="G14628" t="s">
        <v>21</v>
      </c>
      <c r="I14628" s="8"/>
      <c r="O14628" t="str">
        <f>LEFT(Table2[[#This Row],[Description]],75)</f>
        <v>ANTHROPOLOGIE  00427MINNEAPOLIS         MN</v>
      </c>
    </row>
    <row r="14629" spans="1:15" hidden="1">
      <c r="A14629">
        <v>202506</v>
      </c>
      <c r="B14629" s="6">
        <v>45828</v>
      </c>
      <c r="C14629" t="s">
        <v>130</v>
      </c>
      <c r="D14629" t="s">
        <v>6002</v>
      </c>
      <c r="E14629">
        <v>-136.71</v>
      </c>
      <c r="F14629" t="str">
        <f>IF(Table2[[#This Row],[Manual Cat Value]]="",Table2[[#This Row],[Suggested Cat Value]],VLOOKUP(Table2[[#This Row],[Manual Cat Value]],Lookup!G:H,2,0))</f>
        <v>Shopping</v>
      </c>
      <c r="G14629" t="s">
        <v>21</v>
      </c>
      <c r="H14629" s="8" t="s">
        <v>36</v>
      </c>
      <c r="I14629" s="8"/>
      <c r="O14629" t="str">
        <f>LEFT(Table2[[#This Row],[Description]],75)</f>
        <v>SP UNRL.CO          SAINT PAUL          MN</v>
      </c>
    </row>
    <row r="14630" spans="1:15" hidden="1">
      <c r="A14630">
        <v>202511</v>
      </c>
      <c r="B14630" s="6">
        <v>45966</v>
      </c>
      <c r="C14630" t="s">
        <v>2519</v>
      </c>
      <c r="D14630" t="s">
        <v>4283</v>
      </c>
      <c r="E14630">
        <v>-144.4</v>
      </c>
      <c r="F14630" t="str">
        <f>IF(Table2[[#This Row],[Manual Cat Value]]="",Table2[[#This Row],[Suggested Cat Value]],VLOOKUP(Table2[[#This Row],[Manual Cat Value]],Lookup!G:H,2,0))</f>
        <v>Delete</v>
      </c>
      <c r="G14630" t="s">
        <v>66</v>
      </c>
      <c r="H14630" s="8" t="s">
        <v>9</v>
      </c>
      <c r="I14630" s="8"/>
      <c r="O14630" t="str">
        <f>LEFT(Table2[[#This Row],[Description]],75)</f>
        <v>Cargill Deposit</v>
      </c>
    </row>
    <row r="14631" spans="1:15" hidden="1">
      <c r="A14631">
        <v>202507</v>
      </c>
      <c r="B14631" s="6">
        <v>45855</v>
      </c>
      <c r="C14631" t="s">
        <v>130</v>
      </c>
      <c r="D14631" t="s">
        <v>6634</v>
      </c>
      <c r="E14631">
        <v>-150.33000000000001</v>
      </c>
      <c r="F14631" t="str">
        <f>IF(Table2[[#This Row],[Manual Cat Value]]="",Table2[[#This Row],[Suggested Cat Value]],VLOOKUP(Table2[[#This Row],[Manual Cat Value]],Lookup!G:H,2,0))</f>
        <v>Shopping</v>
      </c>
      <c r="G14631" t="s">
        <v>26</v>
      </c>
      <c r="H14631" s="8" t="s">
        <v>36</v>
      </c>
      <c r="I14631" s="8"/>
      <c r="O14631" t="str">
        <f>LEFT(Table2[[#This Row],[Description]],75)</f>
        <v>AplPay ANTHROPOLOGIEPHILADELPHIA        PA</v>
      </c>
    </row>
    <row r="14632" spans="1:15" hidden="1">
      <c r="A14632">
        <v>202509</v>
      </c>
      <c r="B14632" s="6">
        <v>45926</v>
      </c>
      <c r="C14632" t="s">
        <v>130</v>
      </c>
      <c r="D14632" t="s">
        <v>6194</v>
      </c>
      <c r="E14632">
        <v>-150.69</v>
      </c>
      <c r="F14632" t="str">
        <f>IF(Table2[[#This Row],[Manual Cat Value]]="",Table2[[#This Row],[Suggested Cat Value]],VLOOKUP(Table2[[#This Row],[Manual Cat Value]],Lookup!G:H,2,0))</f>
        <v>Shopping</v>
      </c>
      <c r="G14632" t="s">
        <v>21</v>
      </c>
      <c r="H14632" s="8" t="s">
        <v>36</v>
      </c>
      <c r="I14632" s="8"/>
      <c r="O14632" t="str">
        <f>LEFT(Table2[[#This Row],[Description]],75)</f>
        <v>SP PATARASHOES.COM  LA JOLLA            CA</v>
      </c>
    </row>
    <row r="14633" spans="1:15" hidden="1">
      <c r="A14633">
        <v>202506</v>
      </c>
      <c r="B14633" s="6">
        <v>45821</v>
      </c>
      <c r="C14633" t="s">
        <v>130</v>
      </c>
      <c r="D14633" t="s">
        <v>6201</v>
      </c>
      <c r="E14633">
        <v>-155</v>
      </c>
      <c r="F14633" t="str">
        <f>IF(Table2[[#This Row],[Manual Cat Value]]="",Table2[[#This Row],[Suggested Cat Value]],VLOOKUP(Table2[[#This Row],[Manual Cat Value]],Lookup!G:H,2,0))</f>
        <v>Shopping</v>
      </c>
      <c r="G14633" t="s">
        <v>21</v>
      </c>
      <c r="H14633" s="8" t="s">
        <v>36</v>
      </c>
      <c r="I14633" s="8"/>
      <c r="O14633" t="str">
        <f>LEFT(Table2[[#This Row],[Description]],75)</f>
        <v>SP MACADE GOLF      CHICAGO             IL</v>
      </c>
    </row>
    <row r="14634" spans="1:15" hidden="1">
      <c r="A14634">
        <v>202506</v>
      </c>
      <c r="B14634" s="6">
        <v>45827</v>
      </c>
      <c r="C14634" t="s">
        <v>130</v>
      </c>
      <c r="D14634" t="s">
        <v>6194</v>
      </c>
      <c r="E14634">
        <v>-168.69</v>
      </c>
      <c r="F14634" t="str">
        <f>IF(Table2[[#This Row],[Manual Cat Value]]="",Table2[[#This Row],[Suggested Cat Value]],VLOOKUP(Table2[[#This Row],[Manual Cat Value]],Lookup!G:H,2,0))</f>
        <v>Shopping</v>
      </c>
      <c r="G14634" t="s">
        <v>21</v>
      </c>
      <c r="H14634" s="8" t="s">
        <v>36</v>
      </c>
      <c r="I14634" s="8"/>
      <c r="O14634" t="str">
        <f>LEFT(Table2[[#This Row],[Description]],75)</f>
        <v>SP PATARASHOES.COM  LA JOLLA            CA</v>
      </c>
    </row>
    <row r="14635" spans="1:15" hidden="1">
      <c r="A14635">
        <v>202506</v>
      </c>
      <c r="B14635" s="6">
        <v>45837</v>
      </c>
      <c r="C14635" t="s">
        <v>2519</v>
      </c>
      <c r="D14635" t="s">
        <v>4283</v>
      </c>
      <c r="E14635">
        <v>-170</v>
      </c>
      <c r="F14635" t="str">
        <f>IF(Table2[[#This Row],[Manual Cat Value]]="",Table2[[#This Row],[Suggested Cat Value]],VLOOKUP(Table2[[#This Row],[Manual Cat Value]],Lookup!G:H,2,0))</f>
        <v>Delete</v>
      </c>
      <c r="G14635" t="s">
        <v>66</v>
      </c>
      <c r="H14635" s="8" t="s">
        <v>9</v>
      </c>
      <c r="I14635" s="8"/>
      <c r="O14635" t="str">
        <f>LEFT(Table2[[#This Row],[Description]],75)</f>
        <v>Cargill Deposit</v>
      </c>
    </row>
    <row r="14636" spans="1:15" hidden="1">
      <c r="A14636">
        <v>202508</v>
      </c>
      <c r="B14636" s="6">
        <v>45891</v>
      </c>
      <c r="C14636" t="s">
        <v>130</v>
      </c>
      <c r="D14636" t="s">
        <v>5847</v>
      </c>
      <c r="E14636">
        <v>-236</v>
      </c>
      <c r="F14636" t="str">
        <f>IF(Table2[[#This Row],[Manual Cat Value]]="",Table2[[#This Row],[Suggested Cat Value]],VLOOKUP(Table2[[#This Row],[Manual Cat Value]],Lookup!G:H,2,0))</f>
        <v>Shopping</v>
      </c>
      <c r="G14636" t="s">
        <v>21</v>
      </c>
      <c r="I14636" s="8"/>
      <c r="O14636" t="str">
        <f>LEFT(Table2[[#This Row],[Description]],75)</f>
        <v>ANTHROPOLOGIE.COM   PHILADELPHIA        PA</v>
      </c>
    </row>
    <row r="14637" spans="1:15" hidden="1">
      <c r="A14637">
        <v>202508</v>
      </c>
      <c r="B14637" s="6">
        <v>45891</v>
      </c>
      <c r="C14637" t="s">
        <v>130</v>
      </c>
      <c r="D14637" t="s">
        <v>5847</v>
      </c>
      <c r="E14637">
        <v>-248</v>
      </c>
      <c r="F14637" t="str">
        <f>IF(Table2[[#This Row],[Manual Cat Value]]="",Table2[[#This Row],[Suggested Cat Value]],VLOOKUP(Table2[[#This Row],[Manual Cat Value]],Lookup!G:H,2,0))</f>
        <v>Shopping</v>
      </c>
      <c r="G14637" t="s">
        <v>21</v>
      </c>
      <c r="I14637" s="8"/>
      <c r="O14637" t="str">
        <f>LEFT(Table2[[#This Row],[Description]],75)</f>
        <v>ANTHROPOLOGIE.COM   PHILADELPHIA        PA</v>
      </c>
    </row>
    <row r="14638" spans="1:15" hidden="1">
      <c r="A14638">
        <v>202510</v>
      </c>
      <c r="B14638" s="6">
        <v>45956</v>
      </c>
      <c r="C14638" t="s">
        <v>2519</v>
      </c>
      <c r="D14638" t="s">
        <v>6968</v>
      </c>
      <c r="E14638">
        <v>-267.89999999999998</v>
      </c>
      <c r="F14638" t="str">
        <f>IF(Table2[[#This Row],[Manual Cat Value]]="",Table2[[#This Row],[Suggested Cat Value]],VLOOKUP(Table2[[#This Row],[Manual Cat Value]],Lookup!G:H,2,0))</f>
        <v>Delete</v>
      </c>
      <c r="G14638" t="s">
        <v>20</v>
      </c>
      <c r="H14638" s="8" t="s">
        <v>9</v>
      </c>
      <c r="I14638" s="8"/>
      <c r="O14638" t="str">
        <f>LEFT(Table2[[#This Row],[Description]],75)</f>
        <v>Deposit ACH Delta TYPE: Customer C ID: XX2001 CO: Delta Entry Class Code: A</v>
      </c>
    </row>
    <row r="14639" spans="1:15" hidden="1">
      <c r="A14639">
        <v>202510</v>
      </c>
      <c r="B14639" s="6">
        <v>45932</v>
      </c>
      <c r="C14639" t="s">
        <v>130</v>
      </c>
      <c r="D14639" t="s">
        <v>6549</v>
      </c>
      <c r="E14639">
        <v>-276.8</v>
      </c>
      <c r="F14639" t="str">
        <f>IF(Table2[[#This Row],[Manual Cat Value]]="",Table2[[#This Row],[Suggested Cat Value]],VLOOKUP(Table2[[#This Row],[Manual Cat Value]],Lookup!G:H,2,0))</f>
        <v>Shopping</v>
      </c>
      <c r="G14639" t="s">
        <v>21</v>
      </c>
      <c r="I14639" s="8"/>
      <c r="O14639" t="str">
        <f>LEFT(Table2[[#This Row],[Description]],75)</f>
        <v>ANTHROPOLOGIE  00427MINNEAPOLIS         MN</v>
      </c>
    </row>
    <row r="14640" spans="1:15" hidden="1">
      <c r="A14640">
        <v>202507</v>
      </c>
      <c r="B14640" s="6">
        <v>45851</v>
      </c>
      <c r="C14640" t="s">
        <v>130</v>
      </c>
      <c r="D14640" t="s">
        <v>6969</v>
      </c>
      <c r="E14640">
        <v>-300</v>
      </c>
      <c r="F14640" t="str">
        <f>IF(Table2[[#This Row],[Manual Cat Value]]="",Table2[[#This Row],[Suggested Cat Value]],VLOOKUP(Table2[[#This Row],[Manual Cat Value]],Lookup!G:H,2,0))</f>
        <v>Delete</v>
      </c>
      <c r="G14640" t="s">
        <v>5</v>
      </c>
      <c r="H14640" s="8" t="s">
        <v>9</v>
      </c>
      <c r="I14640" s="8"/>
      <c r="O14640" t="str">
        <f>LEFT(Table2[[#This Row],[Description]],75)</f>
        <v>K99U:0002 300.00 credit</v>
      </c>
    </row>
    <row r="14641" spans="1:15" hidden="1">
      <c r="A14641">
        <v>202509</v>
      </c>
      <c r="B14641" s="6">
        <v>45927</v>
      </c>
      <c r="C14641" t="s">
        <v>130</v>
      </c>
      <c r="D14641" t="s">
        <v>5847</v>
      </c>
      <c r="E14641">
        <v>-535.9</v>
      </c>
      <c r="F14641" t="str">
        <f>IF(Table2[[#This Row],[Manual Cat Value]]="",Table2[[#This Row],[Suggested Cat Value]],VLOOKUP(Table2[[#This Row],[Manual Cat Value]],Lookup!G:H,2,0))</f>
        <v>Delete</v>
      </c>
      <c r="G14641" t="s">
        <v>21</v>
      </c>
      <c r="H14641" s="8" t="s">
        <v>9</v>
      </c>
      <c r="I14641" s="8"/>
      <c r="O14641" t="str">
        <f>LEFT(Table2[[#This Row],[Description]],75)</f>
        <v>ANTHROPOLOGIE.COM   PHILADELPHIA        PA</v>
      </c>
    </row>
    <row r="14642" spans="1:15" hidden="1">
      <c r="A14642">
        <v>202508</v>
      </c>
      <c r="B14642" s="6">
        <v>45886</v>
      </c>
      <c r="C14642" t="s">
        <v>3938</v>
      </c>
      <c r="D14642" t="s">
        <v>673</v>
      </c>
      <c r="E14642">
        <v>-662.19</v>
      </c>
      <c r="F14642" t="str">
        <f>IF(Table2[[#This Row],[Manual Cat Value]]="",Table2[[#This Row],[Suggested Cat Value]],VLOOKUP(Table2[[#This Row],[Manual Cat Value]],Lookup!G:H,2,0))</f>
        <v>Delete</v>
      </c>
      <c r="G14642" t="s">
        <v>5</v>
      </c>
      <c r="H14642" s="8" t="s">
        <v>9</v>
      </c>
      <c r="I14642" s="8"/>
      <c r="O14642" t="str">
        <f>LEFT(Table2[[#This Row],[Description]],75)</f>
        <v>Credit Card Payment Received</v>
      </c>
    </row>
    <row r="14643" spans="1:15" hidden="1">
      <c r="A14643">
        <v>202511</v>
      </c>
      <c r="B14643" s="6">
        <v>45966</v>
      </c>
      <c r="C14643" t="s">
        <v>2519</v>
      </c>
      <c r="D14643" t="s">
        <v>4470</v>
      </c>
      <c r="E14643">
        <v>-671.4</v>
      </c>
      <c r="F14643" t="str">
        <f>IF(Table2[[#This Row],[Manual Cat Value]]="",Table2[[#This Row],[Suggested Cat Value]],VLOOKUP(Table2[[#This Row],[Manual Cat Value]],Lookup!G:H,2,0))</f>
        <v>Delete</v>
      </c>
      <c r="G14643" t="s">
        <v>48</v>
      </c>
      <c r="H14643" s="8" t="s">
        <v>9</v>
      </c>
      <c r="I14643" s="8"/>
      <c r="O14643" t="str">
        <f>LEFT(Table2[[#This Row],[Description]],75)</f>
        <v>Connectyourcare Deposit</v>
      </c>
    </row>
    <row r="14644" spans="1:15" hidden="1">
      <c r="A14644">
        <v>202506</v>
      </c>
      <c r="B14644" s="6">
        <v>45820</v>
      </c>
      <c r="C14644" t="s">
        <v>2519</v>
      </c>
      <c r="D14644" t="s">
        <v>6970</v>
      </c>
      <c r="E14644">
        <v>-695.6</v>
      </c>
      <c r="F14644" t="str">
        <f>IF(Table2[[#This Row],[Manual Cat Value]]="",Table2[[#This Row],[Suggested Cat Value]],VLOOKUP(Table2[[#This Row],[Manual Cat Value]],Lookup!G:H,2,0))</f>
        <v>Delete</v>
      </c>
      <c r="G14644" t="s">
        <v>20</v>
      </c>
      <c r="H14644" s="8" t="s">
        <v>9</v>
      </c>
      <c r="I14644" s="8"/>
      <c r="O14644" t="str">
        <f>LEFT(Table2[[#This Row],[Description]],75)</f>
        <v>Deposit ACH EMPYREAN SOLUTIO TYPE: ACH ID: XX3620 CO: EMPYREAN SOLUTIO Entr</v>
      </c>
    </row>
    <row r="14645" spans="1:15" hidden="1">
      <c r="A14645">
        <v>202509</v>
      </c>
      <c r="B14645" s="6">
        <v>45912</v>
      </c>
      <c r="C14645" t="s">
        <v>3938</v>
      </c>
      <c r="D14645" t="s">
        <v>673</v>
      </c>
      <c r="E14645">
        <v>-905.57</v>
      </c>
      <c r="F14645" t="str">
        <f>IF(Table2[[#This Row],[Manual Cat Value]]="",Table2[[#This Row],[Suggested Cat Value]],VLOOKUP(Table2[[#This Row],[Manual Cat Value]],Lookup!G:H,2,0))</f>
        <v>Delete</v>
      </c>
      <c r="G14645" t="s">
        <v>5</v>
      </c>
      <c r="H14645" s="8" t="s">
        <v>9</v>
      </c>
      <c r="I14645" s="8"/>
      <c r="O14645" t="str">
        <f>LEFT(Table2[[#This Row],[Description]],75)</f>
        <v>Credit Card Payment Received</v>
      </c>
    </row>
    <row r="14646" spans="1:15" hidden="1">
      <c r="A14646">
        <v>202509</v>
      </c>
      <c r="B14646" s="6">
        <v>45906</v>
      </c>
      <c r="C14646" t="s">
        <v>130</v>
      </c>
      <c r="D14646" t="s">
        <v>6532</v>
      </c>
      <c r="E14646">
        <v>-920.69</v>
      </c>
      <c r="F14646" t="str">
        <f>IF(Table2[[#This Row],[Manual Cat Value]]="",Table2[[#This Row],[Suggested Cat Value]],VLOOKUP(Table2[[#This Row],[Manual Cat Value]],Lookup!G:H,2,0))</f>
        <v>Delete</v>
      </c>
      <c r="G14646" t="s">
        <v>7</v>
      </c>
      <c r="H14646" s="8" t="s">
        <v>9</v>
      </c>
      <c r="I14646" s="8"/>
      <c r="O14646" t="str">
        <f>LEFT(Table2[[#This Row],[Description]],75)</f>
        <v>AUTOPAY PAYMENT - THANK YOU</v>
      </c>
    </row>
    <row r="14647" spans="1:15" hidden="1">
      <c r="A14647">
        <v>202507</v>
      </c>
      <c r="B14647" s="6">
        <v>45852</v>
      </c>
      <c r="C14647" t="s">
        <v>3938</v>
      </c>
      <c r="D14647" t="s">
        <v>673</v>
      </c>
      <c r="E14647">
        <v>-992.38</v>
      </c>
      <c r="F14647" t="str">
        <f>IF(Table2[[#This Row],[Manual Cat Value]]="",Table2[[#This Row],[Suggested Cat Value]],VLOOKUP(Table2[[#This Row],[Manual Cat Value]],Lookup!G:H,2,0))</f>
        <v>Delete</v>
      </c>
      <c r="G14647" t="s">
        <v>5</v>
      </c>
      <c r="H14647" s="8" t="s">
        <v>9</v>
      </c>
      <c r="I14647" s="8"/>
      <c r="O14647" t="str">
        <f>LEFT(Table2[[#This Row],[Description]],75)</f>
        <v>Credit Card Payment Received</v>
      </c>
    </row>
    <row r="14648" spans="1:15" hidden="1">
      <c r="A14648">
        <v>202508</v>
      </c>
      <c r="B14648" s="6">
        <v>45897</v>
      </c>
      <c r="C14648" t="s">
        <v>2519</v>
      </c>
      <c r="D14648" t="s">
        <v>6971</v>
      </c>
      <c r="E14648">
        <v>-1549.72</v>
      </c>
      <c r="F14648" t="str">
        <f>IF(Table2[[#This Row],[Manual Cat Value]]="",Table2[[#This Row],[Suggested Cat Value]],VLOOKUP(Table2[[#This Row],[Manual Cat Value]],Lookup!G:H,2,0))</f>
        <v>Delete</v>
      </c>
      <c r="G14648" t="s">
        <v>20</v>
      </c>
      <c r="H14648" s="8" t="s">
        <v>9</v>
      </c>
      <c r="I14648" s="8"/>
      <c r="O14648" t="str">
        <f>LEFT(Table2[[#This Row],[Description]],75)</f>
        <v>Deposit ACH EMPYREAN SOLUTIO TYPE: ACH ID: XX3620 CO: EMPYREAN SOLUTIO Entr</v>
      </c>
    </row>
    <row r="14649" spans="1:15" hidden="1">
      <c r="A14649">
        <v>202510</v>
      </c>
      <c r="B14649" s="6">
        <v>45935</v>
      </c>
      <c r="C14649" t="s">
        <v>2519</v>
      </c>
      <c r="D14649" t="s">
        <v>6972</v>
      </c>
      <c r="E14649">
        <v>-1729.82</v>
      </c>
      <c r="F14649" t="str">
        <f>IF(Table2[[#This Row],[Manual Cat Value]]="",Table2[[#This Row],[Suggested Cat Value]],VLOOKUP(Table2[[#This Row],[Manual Cat Value]],Lookup!G:H,2,0))</f>
        <v>Delete</v>
      </c>
      <c r="G14649" t="s">
        <v>20</v>
      </c>
      <c r="H14649" s="8" t="s">
        <v>9</v>
      </c>
      <c r="I14649" s="8"/>
      <c r="O14649" t="str">
        <f>LEFT(Table2[[#This Row],[Description]],75)</f>
        <v>Deposit ACH EMPYREAN SOLUTIO TYPE: ACH ID: XX3620 CO: EMPYREAN SOLUTIO Entr</v>
      </c>
    </row>
    <row r="14650" spans="1:15" hidden="1">
      <c r="A14650">
        <v>202506</v>
      </c>
      <c r="B14650" s="6">
        <v>45820</v>
      </c>
      <c r="C14650" t="s">
        <v>2519</v>
      </c>
      <c r="D14650" t="s">
        <v>6973</v>
      </c>
      <c r="E14650">
        <v>-1755.19</v>
      </c>
      <c r="F14650" t="str">
        <f>IF(Table2[[#This Row],[Manual Cat Value]]="",Table2[[#This Row],[Suggested Cat Value]],VLOOKUP(Table2[[#This Row],[Manual Cat Value]],Lookup!G:H,2,0))</f>
        <v>Delete</v>
      </c>
      <c r="G14650" t="s">
        <v>20</v>
      </c>
      <c r="H14650" s="8" t="s">
        <v>9</v>
      </c>
      <c r="I14650" s="8"/>
      <c r="O14650" t="str">
        <f>LEFT(Table2[[#This Row],[Description]],75)</f>
        <v>Deposit ACH EMPYREAN SOLUTIO TYPE: ACH ID: XX3620 CO: EMPYREAN SOLUTIO Entr</v>
      </c>
    </row>
    <row r="14651" spans="1:15" hidden="1">
      <c r="A14651">
        <v>202506</v>
      </c>
      <c r="B14651" s="6">
        <v>45838</v>
      </c>
      <c r="C14651" t="s">
        <v>130</v>
      </c>
      <c r="D14651" t="s">
        <v>5625</v>
      </c>
      <c r="E14651">
        <v>-1948.89</v>
      </c>
      <c r="F14651" t="str">
        <f>IF(Table2[[#This Row],[Manual Cat Value]]="",Table2[[#This Row],[Suggested Cat Value]],VLOOKUP(Table2[[#This Row],[Manual Cat Value]],Lookup!G:H,2,0))</f>
        <v>Delete</v>
      </c>
      <c r="G14651" t="s">
        <v>26</v>
      </c>
      <c r="H14651" s="8" t="s">
        <v>9</v>
      </c>
      <c r="I14651" s="8"/>
      <c r="O14651" t="str">
        <f>LEFT(Table2[[#This Row],[Description]],75)</f>
        <v>ONLINE PAYMENT - THANK YOU</v>
      </c>
    </row>
    <row r="14652" spans="1:15" hidden="1">
      <c r="A14652">
        <v>202506</v>
      </c>
      <c r="B14652" s="6">
        <v>45831</v>
      </c>
      <c r="C14652" t="s">
        <v>130</v>
      </c>
      <c r="D14652" t="s">
        <v>5625</v>
      </c>
      <c r="E14652">
        <v>-2012.81</v>
      </c>
      <c r="F14652" t="str">
        <f>IF(Table2[[#This Row],[Manual Cat Value]]="",Table2[[#This Row],[Suggested Cat Value]],VLOOKUP(Table2[[#This Row],[Manual Cat Value]],Lookup!G:H,2,0))</f>
        <v>Delete</v>
      </c>
      <c r="G14652" t="s">
        <v>26</v>
      </c>
      <c r="H14652" s="8" t="s">
        <v>9</v>
      </c>
      <c r="I14652" s="8"/>
      <c r="O14652" t="str">
        <f>LEFT(Table2[[#This Row],[Description]],75)</f>
        <v>ONLINE PAYMENT - THANK YOU</v>
      </c>
    </row>
    <row r="14653" spans="1:15" hidden="1">
      <c r="A14653">
        <v>202510</v>
      </c>
      <c r="B14653" s="6">
        <v>45953</v>
      </c>
      <c r="C14653" t="s">
        <v>3938</v>
      </c>
      <c r="D14653" t="s">
        <v>673</v>
      </c>
      <c r="E14653">
        <v>-2415.2800000000002</v>
      </c>
      <c r="F14653" t="str">
        <f>IF(Table2[[#This Row],[Manual Cat Value]]="",Table2[[#This Row],[Suggested Cat Value]],VLOOKUP(Table2[[#This Row],[Manual Cat Value]],Lookup!G:H,2,0))</f>
        <v>Delete</v>
      </c>
      <c r="G14653" t="s">
        <v>9</v>
      </c>
      <c r="H14653" s="8" t="s">
        <v>9</v>
      </c>
      <c r="I14653" s="8"/>
      <c r="O14653" t="str">
        <f>LEFT(Table2[[#This Row],[Description]],75)</f>
        <v>Credit Card Payment Received</v>
      </c>
    </row>
    <row r="14654" spans="1:15" hidden="1">
      <c r="A14654">
        <v>202507</v>
      </c>
      <c r="B14654" s="6">
        <v>45862</v>
      </c>
      <c r="C14654" t="s">
        <v>2519</v>
      </c>
      <c r="D14654" t="s">
        <v>6974</v>
      </c>
      <c r="E14654">
        <v>-3098.04</v>
      </c>
      <c r="F14654" t="str">
        <f>IF(Table2[[#This Row],[Manual Cat Value]]="",Table2[[#This Row],[Suggested Cat Value]],VLOOKUP(Table2[[#This Row],[Manual Cat Value]],Lookup!G:H,2,0))</f>
        <v>Delete</v>
      </c>
      <c r="G14654" t="s">
        <v>20</v>
      </c>
      <c r="H14654" s="8" t="s">
        <v>9</v>
      </c>
      <c r="I14654" s="8"/>
      <c r="O14654" t="str">
        <f>LEFT(Table2[[#This Row],[Description]],75)</f>
        <v>Deposit ACH EMPYREAN SOLUTIO TYPE: ACH ID: XX3620 CO: EMPYREAN SOLUTIO Entr</v>
      </c>
    </row>
    <row r="14655" spans="1:15" hidden="1">
      <c r="A14655">
        <v>202507</v>
      </c>
      <c r="B14655" s="6">
        <v>45855</v>
      </c>
      <c r="C14655" t="s">
        <v>2519</v>
      </c>
      <c r="D14655" t="s">
        <v>404</v>
      </c>
      <c r="E14655">
        <v>-3143.01</v>
      </c>
      <c r="F14655" t="str">
        <f>IF(Table2[[#This Row],[Manual Cat Value]]="",Table2[[#This Row],[Suggested Cat Value]],VLOOKUP(Table2[[#This Row],[Manual Cat Value]],Lookup!G:H,2,0))</f>
        <v>Delete</v>
      </c>
      <c r="G14655" t="s">
        <v>66</v>
      </c>
      <c r="H14655" s="8" t="s">
        <v>9</v>
      </c>
      <c r="I14655" s="8"/>
      <c r="O14655" t="str">
        <f>LEFT(Table2[[#This Row],[Description]],75)</f>
        <v>Cargill Inc Deposit</v>
      </c>
    </row>
    <row r="14656" spans="1:15" hidden="1">
      <c r="A14656">
        <v>202506</v>
      </c>
      <c r="B14656" s="6">
        <v>45827</v>
      </c>
      <c r="C14656" t="s">
        <v>2519</v>
      </c>
      <c r="D14656" t="s">
        <v>404</v>
      </c>
      <c r="E14656">
        <v>-3143.01</v>
      </c>
      <c r="F14656" t="str">
        <f>IF(Table2[[#This Row],[Manual Cat Value]]="",Table2[[#This Row],[Suggested Cat Value]],VLOOKUP(Table2[[#This Row],[Manual Cat Value]],Lookup!G:H,2,0))</f>
        <v>Delete</v>
      </c>
      <c r="G14656" t="s">
        <v>66</v>
      </c>
      <c r="H14656" s="8" t="s">
        <v>9</v>
      </c>
      <c r="I14656" s="8"/>
      <c r="O14656" t="str">
        <f>LEFT(Table2[[#This Row],[Description]],75)</f>
        <v>Cargill Inc Deposit</v>
      </c>
    </row>
    <row r="14657" spans="1:15" hidden="1">
      <c r="A14657">
        <v>202506</v>
      </c>
      <c r="B14657" s="6">
        <v>45813</v>
      </c>
      <c r="C14657" t="s">
        <v>2519</v>
      </c>
      <c r="D14657" t="s">
        <v>404</v>
      </c>
      <c r="E14657">
        <v>-3143.01</v>
      </c>
      <c r="F14657" t="str">
        <f>IF(Table2[[#This Row],[Manual Cat Value]]="",Table2[[#This Row],[Suggested Cat Value]],VLOOKUP(Table2[[#This Row],[Manual Cat Value]],Lookup!G:H,2,0))</f>
        <v>Delete</v>
      </c>
      <c r="G14657" t="s">
        <v>66</v>
      </c>
      <c r="H14657" s="8" t="s">
        <v>9</v>
      </c>
      <c r="I14657" s="8"/>
      <c r="O14657" t="str">
        <f>LEFT(Table2[[#This Row],[Description]],75)</f>
        <v>Cargill Inc Deposit</v>
      </c>
    </row>
    <row r="14658" spans="1:15" hidden="1">
      <c r="A14658">
        <v>202507</v>
      </c>
      <c r="B14658" s="6">
        <v>45840</v>
      </c>
      <c r="C14658" t="s">
        <v>2519</v>
      </c>
      <c r="D14658" t="s">
        <v>404</v>
      </c>
      <c r="E14658">
        <v>-3143.02</v>
      </c>
      <c r="F14658" t="str">
        <f>IF(Table2[[#This Row],[Manual Cat Value]]="",Table2[[#This Row],[Suggested Cat Value]],VLOOKUP(Table2[[#This Row],[Manual Cat Value]],Lookup!G:H,2,0))</f>
        <v>Delete</v>
      </c>
      <c r="G14658" t="s">
        <v>66</v>
      </c>
      <c r="H14658" s="8" t="s">
        <v>9</v>
      </c>
      <c r="I14658" s="8"/>
      <c r="O14658" t="str">
        <f>LEFT(Table2[[#This Row],[Description]],75)</f>
        <v>Cargill Inc Deposit</v>
      </c>
    </row>
    <row r="14659" spans="1:15" hidden="1">
      <c r="A14659">
        <v>202509</v>
      </c>
      <c r="B14659" s="6">
        <v>45908</v>
      </c>
      <c r="C14659" t="s">
        <v>130</v>
      </c>
      <c r="D14659" t="s">
        <v>5625</v>
      </c>
      <c r="E14659">
        <v>-3171.03</v>
      </c>
      <c r="F14659" t="str">
        <f>IF(Table2[[#This Row],[Manual Cat Value]]="",Table2[[#This Row],[Suggested Cat Value]],VLOOKUP(Table2[[#This Row],[Manual Cat Value]],Lookup!G:H,2,0))</f>
        <v>Delete</v>
      </c>
      <c r="G14659" t="s">
        <v>26</v>
      </c>
      <c r="H14659" s="8" t="s">
        <v>9</v>
      </c>
      <c r="I14659" s="8"/>
      <c r="O14659" t="str">
        <f>LEFT(Table2[[#This Row],[Description]],75)</f>
        <v>ONLINE PAYMENT - THANK YOU</v>
      </c>
    </row>
    <row r="14660" spans="1:15" hidden="1">
      <c r="A14660">
        <v>202506</v>
      </c>
      <c r="B14660" s="6">
        <v>45820</v>
      </c>
      <c r="C14660" t="s">
        <v>2519</v>
      </c>
      <c r="D14660" t="s">
        <v>4343</v>
      </c>
      <c r="E14660">
        <v>-3398.11</v>
      </c>
      <c r="F14660" t="str">
        <f>IF(Table2[[#This Row],[Manual Cat Value]]="",Table2[[#This Row],[Suggested Cat Value]],VLOOKUP(Table2[[#This Row],[Manual Cat Value]],Lookup!G:H,2,0))</f>
        <v>Delete</v>
      </c>
      <c r="G14660" t="s">
        <v>64</v>
      </c>
      <c r="H14660" s="8" t="s">
        <v>9</v>
      </c>
      <c r="I14660" s="8"/>
      <c r="O14660" t="str">
        <f>LEFT(Table2[[#This Row],[Description]],75)</f>
        <v>Salary/Regular Income from TriNet</v>
      </c>
    </row>
    <row r="14661" spans="1:15" hidden="1">
      <c r="A14661">
        <v>202506</v>
      </c>
      <c r="B14661" s="6">
        <v>45837</v>
      </c>
      <c r="C14661" t="s">
        <v>2519</v>
      </c>
      <c r="D14661" t="s">
        <v>4343</v>
      </c>
      <c r="E14661">
        <v>-3398.14</v>
      </c>
      <c r="F14661" t="str">
        <f>IF(Table2[[#This Row],[Manual Cat Value]]="",Table2[[#This Row],[Suggested Cat Value]],VLOOKUP(Table2[[#This Row],[Manual Cat Value]],Lookup!G:H,2,0))</f>
        <v>Delete</v>
      </c>
      <c r="G14661" t="s">
        <v>64</v>
      </c>
      <c r="H14661" s="8" t="s">
        <v>9</v>
      </c>
      <c r="I14661" s="8"/>
      <c r="O14661" t="str">
        <f>LEFT(Table2[[#This Row],[Description]],75)</f>
        <v>Salary/Regular Income from TriNet</v>
      </c>
    </row>
    <row r="14662" spans="1:15" hidden="1">
      <c r="A14662">
        <v>202511</v>
      </c>
      <c r="B14662" s="6">
        <v>45967</v>
      </c>
      <c r="C14662" t="s">
        <v>2519</v>
      </c>
      <c r="D14662" t="s">
        <v>6975</v>
      </c>
      <c r="E14662">
        <v>-3650.8</v>
      </c>
      <c r="F14662" t="str">
        <f>IF(Table2[[#This Row],[Manual Cat Value]]="",Table2[[#This Row],[Suggested Cat Value]],VLOOKUP(Table2[[#This Row],[Manual Cat Value]],Lookup!G:H,2,0))</f>
        <v>Delete</v>
      </c>
      <c r="G14662" t="s">
        <v>64</v>
      </c>
      <c r="H14662" s="8" t="s">
        <v>9</v>
      </c>
      <c r="I14662" s="8"/>
      <c r="O14662" t="str">
        <f>LEFT(Table2[[#This Row],[Description]],75)</f>
        <v>Salary/Regular Income from Cargill Inc</v>
      </c>
    </row>
    <row r="14663" spans="1:15" hidden="1">
      <c r="A14663">
        <v>202510</v>
      </c>
      <c r="B14663" s="6">
        <v>45953</v>
      </c>
      <c r="C14663" t="s">
        <v>2519</v>
      </c>
      <c r="D14663" t="s">
        <v>6975</v>
      </c>
      <c r="E14663">
        <v>-3650.8</v>
      </c>
      <c r="F14663" t="str">
        <f>IF(Table2[[#This Row],[Manual Cat Value]]="",Table2[[#This Row],[Suggested Cat Value]],VLOOKUP(Table2[[#This Row],[Manual Cat Value]],Lookup!G:H,2,0))</f>
        <v>Delete</v>
      </c>
      <c r="G14663" t="s">
        <v>9</v>
      </c>
      <c r="H14663" s="8" t="s">
        <v>9</v>
      </c>
      <c r="I14663" s="8"/>
      <c r="O14663" t="str">
        <f>LEFT(Table2[[#This Row],[Description]],75)</f>
        <v>Salary/Regular Income from Cargill Inc</v>
      </c>
    </row>
    <row r="14664" spans="1:15" hidden="1">
      <c r="A14664">
        <v>202510</v>
      </c>
      <c r="B14664" s="6">
        <v>45939</v>
      </c>
      <c r="C14664" t="s">
        <v>2519</v>
      </c>
      <c r="D14664" t="s">
        <v>6975</v>
      </c>
      <c r="E14664">
        <v>-3650.8</v>
      </c>
      <c r="F14664" t="str">
        <f>IF(Table2[[#This Row],[Manual Cat Value]]="",Table2[[#This Row],[Suggested Cat Value]],VLOOKUP(Table2[[#This Row],[Manual Cat Value]],Lookup!G:H,2,0))</f>
        <v>Delete</v>
      </c>
      <c r="G14664" t="s">
        <v>64</v>
      </c>
      <c r="H14664" s="8" t="s">
        <v>9</v>
      </c>
      <c r="I14664" s="8"/>
      <c r="O14664" t="str">
        <f>LEFT(Table2[[#This Row],[Description]],75)</f>
        <v>Salary/Regular Income from Cargill Inc</v>
      </c>
    </row>
    <row r="14665" spans="1:15" hidden="1">
      <c r="A14665">
        <v>202506</v>
      </c>
      <c r="B14665" s="6">
        <v>45820</v>
      </c>
      <c r="C14665" t="s">
        <v>130</v>
      </c>
      <c r="D14665" t="s">
        <v>5534</v>
      </c>
      <c r="E14665">
        <v>-3719.33</v>
      </c>
      <c r="F14665" t="str">
        <f>IF(Table2[[#This Row],[Manual Cat Value]]="",Table2[[#This Row],[Suggested Cat Value]],VLOOKUP(Table2[[#This Row],[Manual Cat Value]],Lookup!G:H,2,0))</f>
        <v>Delete</v>
      </c>
      <c r="G14665" t="s">
        <v>45</v>
      </c>
      <c r="H14665" s="8" t="s">
        <v>9</v>
      </c>
      <c r="I14665" s="8"/>
      <c r="O14665" t="str">
        <f>LEFT(Table2[[#This Row],[Description]],75)</f>
        <v>MOBILE PAYMENT - THANK YOU</v>
      </c>
    </row>
    <row r="14666" spans="1:15" hidden="1">
      <c r="A14666">
        <v>202510</v>
      </c>
      <c r="B14666" s="6">
        <v>45943</v>
      </c>
      <c r="C14666" t="s">
        <v>2519</v>
      </c>
      <c r="D14666" t="s">
        <v>4343</v>
      </c>
      <c r="E14666">
        <v>-3738.06</v>
      </c>
      <c r="F14666" t="str">
        <f>IF(Table2[[#This Row],[Manual Cat Value]]="",Table2[[#This Row],[Suggested Cat Value]],VLOOKUP(Table2[[#This Row],[Manual Cat Value]],Lookup!G:H,2,0))</f>
        <v>Delete</v>
      </c>
      <c r="G14666" t="s">
        <v>64</v>
      </c>
      <c r="H14666" s="8" t="s">
        <v>9</v>
      </c>
      <c r="I14666" s="8"/>
      <c r="O14666" t="str">
        <f>LEFT(Table2[[#This Row],[Description]],75)</f>
        <v>Salary/Regular Income from TriNet</v>
      </c>
    </row>
    <row r="14667" spans="1:15" hidden="1">
      <c r="A14667">
        <v>202509</v>
      </c>
      <c r="B14667" s="6">
        <v>45928</v>
      </c>
      <c r="C14667" t="s">
        <v>2519</v>
      </c>
      <c r="D14667" t="s">
        <v>4343</v>
      </c>
      <c r="E14667">
        <v>-3738.06</v>
      </c>
      <c r="F14667" t="str">
        <f>IF(Table2[[#This Row],[Manual Cat Value]]="",Table2[[#This Row],[Suggested Cat Value]],VLOOKUP(Table2[[#This Row],[Manual Cat Value]],Lookup!G:H,2,0))</f>
        <v>Delete</v>
      </c>
      <c r="G14667" t="s">
        <v>64</v>
      </c>
      <c r="H14667" s="8" t="s">
        <v>9</v>
      </c>
      <c r="I14667" s="8"/>
      <c r="O14667" t="str">
        <f>LEFT(Table2[[#This Row],[Description]],75)</f>
        <v>Salary/Regular Income from TriNet</v>
      </c>
    </row>
    <row r="14668" spans="1:15" hidden="1">
      <c r="A14668">
        <v>202508</v>
      </c>
      <c r="B14668" s="6">
        <v>45897</v>
      </c>
      <c r="C14668" t="s">
        <v>2519</v>
      </c>
      <c r="D14668" t="s">
        <v>4343</v>
      </c>
      <c r="E14668">
        <v>-3738.06</v>
      </c>
      <c r="F14668" t="str">
        <f>IF(Table2[[#This Row],[Manual Cat Value]]="",Table2[[#This Row],[Suggested Cat Value]],VLOOKUP(Table2[[#This Row],[Manual Cat Value]],Lookup!G:H,2,0))</f>
        <v>Delete</v>
      </c>
      <c r="G14668" t="s">
        <v>64</v>
      </c>
      <c r="H14668" s="8" t="s">
        <v>9</v>
      </c>
      <c r="I14668" s="8"/>
      <c r="O14668" t="str">
        <f>LEFT(Table2[[#This Row],[Description]],75)</f>
        <v>Salary/Regular Income from TriNet</v>
      </c>
    </row>
    <row r="14669" spans="1:15" hidden="1">
      <c r="A14669">
        <v>202507</v>
      </c>
      <c r="B14669" s="6">
        <v>45868</v>
      </c>
      <c r="C14669" t="s">
        <v>2519</v>
      </c>
      <c r="D14669" t="s">
        <v>4343</v>
      </c>
      <c r="E14669">
        <v>-3738.06</v>
      </c>
      <c r="F14669" t="str">
        <f>IF(Table2[[#This Row],[Manual Cat Value]]="",Table2[[#This Row],[Suggested Cat Value]],VLOOKUP(Table2[[#This Row],[Manual Cat Value]],Lookup!G:H,2,0))</f>
        <v>Delete</v>
      </c>
      <c r="G14669" t="s">
        <v>64</v>
      </c>
      <c r="H14669" s="8" t="s">
        <v>9</v>
      </c>
      <c r="I14669" s="8"/>
      <c r="O14669" t="str">
        <f>LEFT(Table2[[#This Row],[Description]],75)</f>
        <v>Salary/Regular Income from TriNet</v>
      </c>
    </row>
    <row r="14670" spans="1:15" hidden="1">
      <c r="A14670">
        <v>202507</v>
      </c>
      <c r="B14670" s="6">
        <v>45851</v>
      </c>
      <c r="C14670" t="s">
        <v>2519</v>
      </c>
      <c r="D14670" t="s">
        <v>4343</v>
      </c>
      <c r="E14670">
        <v>-3738.06</v>
      </c>
      <c r="F14670" t="str">
        <f>IF(Table2[[#This Row],[Manual Cat Value]]="",Table2[[#This Row],[Suggested Cat Value]],VLOOKUP(Table2[[#This Row],[Manual Cat Value]],Lookup!G:H,2,0))</f>
        <v>Delete</v>
      </c>
      <c r="G14670" t="s">
        <v>64</v>
      </c>
      <c r="H14670" s="8" t="s">
        <v>9</v>
      </c>
      <c r="I14670" s="8"/>
      <c r="O14670" t="str">
        <f>LEFT(Table2[[#This Row],[Description]],75)</f>
        <v>Salary/Regular Income from TriNet</v>
      </c>
    </row>
    <row r="14671" spans="1:15" hidden="1">
      <c r="A14671">
        <v>202509</v>
      </c>
      <c r="B14671" s="6">
        <v>45914</v>
      </c>
      <c r="C14671" t="s">
        <v>2519</v>
      </c>
      <c r="D14671" t="s">
        <v>4343</v>
      </c>
      <c r="E14671">
        <v>-3738.07</v>
      </c>
      <c r="F14671" t="str">
        <f>IF(Table2[[#This Row],[Manual Cat Value]]="",Table2[[#This Row],[Suggested Cat Value]],VLOOKUP(Table2[[#This Row],[Manual Cat Value]],Lookup!G:H,2,0))</f>
        <v>Delete</v>
      </c>
      <c r="G14671" t="s">
        <v>64</v>
      </c>
      <c r="H14671" s="8" t="s">
        <v>9</v>
      </c>
      <c r="I14671" s="8"/>
      <c r="O14671" t="str">
        <f>LEFT(Table2[[#This Row],[Description]],75)</f>
        <v>Salary/Regular Income from TriNet</v>
      </c>
    </row>
    <row r="14672" spans="1:15" hidden="1">
      <c r="A14672">
        <v>202508</v>
      </c>
      <c r="B14672" s="6">
        <v>45883</v>
      </c>
      <c r="C14672" t="s">
        <v>2519</v>
      </c>
      <c r="D14672" t="s">
        <v>4343</v>
      </c>
      <c r="E14672">
        <v>-3738.07</v>
      </c>
      <c r="F14672" t="str">
        <f>IF(Table2[[#This Row],[Manual Cat Value]]="",Table2[[#This Row],[Suggested Cat Value]],VLOOKUP(Table2[[#This Row],[Manual Cat Value]],Lookup!G:H,2,0))</f>
        <v>Delete</v>
      </c>
      <c r="G14672" t="s">
        <v>64</v>
      </c>
      <c r="H14672" s="8" t="s">
        <v>9</v>
      </c>
      <c r="I14672" s="8"/>
      <c r="O14672" t="str">
        <f>LEFT(Table2[[#This Row],[Description]],75)</f>
        <v>Salary/Regular Income from TriNet</v>
      </c>
    </row>
    <row r="14673" spans="1:15" hidden="1">
      <c r="A14673">
        <v>202507</v>
      </c>
      <c r="B14673" s="6">
        <v>45869</v>
      </c>
      <c r="C14673" t="s">
        <v>2519</v>
      </c>
      <c r="D14673" t="s">
        <v>6975</v>
      </c>
      <c r="E14673">
        <v>-3769.01</v>
      </c>
      <c r="F14673" t="str">
        <f>IF(Table2[[#This Row],[Manual Cat Value]]="",Table2[[#This Row],[Suggested Cat Value]],VLOOKUP(Table2[[#This Row],[Manual Cat Value]],Lookup!G:H,2,0))</f>
        <v>Delete</v>
      </c>
      <c r="G14673" t="s">
        <v>64</v>
      </c>
      <c r="H14673" s="8" t="s">
        <v>9</v>
      </c>
      <c r="I14673" s="8"/>
      <c r="O14673" t="str">
        <f>LEFT(Table2[[#This Row],[Description]],75)</f>
        <v>Salary/Regular Income from Cargill Inc</v>
      </c>
    </row>
    <row r="14674" spans="1:15" hidden="1">
      <c r="A14674">
        <v>202508</v>
      </c>
      <c r="B14674" s="6">
        <v>45883</v>
      </c>
      <c r="C14674" t="s">
        <v>2519</v>
      </c>
      <c r="D14674" t="s">
        <v>6975</v>
      </c>
      <c r="E14674">
        <v>-3875.3</v>
      </c>
      <c r="F14674" t="str">
        <f>IF(Table2[[#This Row],[Manual Cat Value]]="",Table2[[#This Row],[Suggested Cat Value]],VLOOKUP(Table2[[#This Row],[Manual Cat Value]],Lookup!G:H,2,0))</f>
        <v>Delete</v>
      </c>
      <c r="G14674" t="s">
        <v>64</v>
      </c>
      <c r="H14674" s="8" t="s">
        <v>9</v>
      </c>
      <c r="I14674" s="8"/>
      <c r="O14674" t="str">
        <f>LEFT(Table2[[#This Row],[Description]],75)</f>
        <v>Salary/Regular Income from Cargill Inc</v>
      </c>
    </row>
    <row r="14675" spans="1:15" hidden="1">
      <c r="A14675">
        <v>202507</v>
      </c>
      <c r="B14675" s="6">
        <v>45852</v>
      </c>
      <c r="C14675" t="s">
        <v>130</v>
      </c>
      <c r="D14675" t="s">
        <v>5534</v>
      </c>
      <c r="E14675">
        <v>-3892.59</v>
      </c>
      <c r="F14675" t="str">
        <f>IF(Table2[[#This Row],[Manual Cat Value]]="",Table2[[#This Row],[Suggested Cat Value]],VLOOKUP(Table2[[#This Row],[Manual Cat Value]],Lookup!G:H,2,0))</f>
        <v>Delete</v>
      </c>
      <c r="G14675" t="s">
        <v>45</v>
      </c>
      <c r="H14675" s="8" t="s">
        <v>9</v>
      </c>
      <c r="I14675" s="8"/>
      <c r="O14675" t="str">
        <f>LEFT(Table2[[#This Row],[Description]],75)</f>
        <v>MOBILE PAYMENT - THANK YOU</v>
      </c>
    </row>
    <row r="14676" spans="1:15" hidden="1">
      <c r="A14676">
        <v>202508</v>
      </c>
      <c r="B14676" s="6">
        <v>45897</v>
      </c>
      <c r="C14676" t="s">
        <v>2519</v>
      </c>
      <c r="D14676" t="s">
        <v>6975</v>
      </c>
      <c r="E14676">
        <v>-3946.34</v>
      </c>
      <c r="F14676" t="str">
        <f>IF(Table2[[#This Row],[Manual Cat Value]]="",Table2[[#This Row],[Suggested Cat Value]],VLOOKUP(Table2[[#This Row],[Manual Cat Value]],Lookup!G:H,2,0))</f>
        <v>Delete</v>
      </c>
      <c r="G14676" t="s">
        <v>64</v>
      </c>
      <c r="H14676" s="8" t="s">
        <v>9</v>
      </c>
      <c r="I14676" s="8"/>
      <c r="O14676" t="str">
        <f>LEFT(Table2[[#This Row],[Description]],75)</f>
        <v>Salary/Regular Income from Cargill Inc</v>
      </c>
    </row>
    <row r="14677" spans="1:15" hidden="1">
      <c r="A14677">
        <v>202510</v>
      </c>
      <c r="B14677" s="6">
        <v>45957</v>
      </c>
      <c r="C14677" t="s">
        <v>2519</v>
      </c>
      <c r="D14677" t="s">
        <v>4896</v>
      </c>
      <c r="E14677">
        <v>-4238.76</v>
      </c>
      <c r="F14677" t="str">
        <f>IF(Table2[[#This Row],[Manual Cat Value]]="",Table2[[#This Row],[Suggested Cat Value]],VLOOKUP(Table2[[#This Row],[Manual Cat Value]],Lookup!G:H,2,0))</f>
        <v>Delete</v>
      </c>
      <c r="G14677" t="s">
        <v>21</v>
      </c>
      <c r="H14677" s="8" t="s">
        <v>9</v>
      </c>
      <c r="I14677" s="8"/>
      <c r="O14677" t="str">
        <f>LEFT(Table2[[#This Row],[Description]],75)</f>
        <v>Transfer from Venmo</v>
      </c>
    </row>
    <row r="14678" spans="1:15" hidden="1">
      <c r="A14678">
        <v>202509</v>
      </c>
      <c r="B14678" s="6">
        <v>45925</v>
      </c>
      <c r="C14678" t="s">
        <v>2519</v>
      </c>
      <c r="D14678" t="s">
        <v>6975</v>
      </c>
      <c r="E14678">
        <v>-4247.8100000000004</v>
      </c>
      <c r="F14678" t="str">
        <f>IF(Table2[[#This Row],[Manual Cat Value]]="",Table2[[#This Row],[Suggested Cat Value]],VLOOKUP(Table2[[#This Row],[Manual Cat Value]],Lookup!G:H,2,0))</f>
        <v>Delete</v>
      </c>
      <c r="G14678" t="s">
        <v>64</v>
      </c>
      <c r="H14678" s="8" t="s">
        <v>9</v>
      </c>
      <c r="I14678" s="8"/>
      <c r="O14678" t="str">
        <f>LEFT(Table2[[#This Row],[Description]],75)</f>
        <v>Salary/Regular Income from Cargill Inc</v>
      </c>
    </row>
    <row r="14679" spans="1:15" hidden="1">
      <c r="A14679">
        <v>202509</v>
      </c>
      <c r="B14679" s="6">
        <v>45929</v>
      </c>
      <c r="C14679" t="s">
        <v>130</v>
      </c>
      <c r="D14679" t="s">
        <v>5625</v>
      </c>
      <c r="E14679">
        <v>-4360.6099999999997</v>
      </c>
      <c r="F14679" t="str">
        <f>IF(Table2[[#This Row],[Manual Cat Value]]="",Table2[[#This Row],[Suggested Cat Value]],VLOOKUP(Table2[[#This Row],[Manual Cat Value]],Lookup!G:H,2,0))</f>
        <v>Delete</v>
      </c>
      <c r="G14679" t="s">
        <v>26</v>
      </c>
      <c r="H14679" s="8" t="s">
        <v>9</v>
      </c>
      <c r="I14679" s="8"/>
      <c r="O14679" t="str">
        <f>LEFT(Table2[[#This Row],[Description]],75)</f>
        <v>ONLINE PAYMENT - THANK YOU</v>
      </c>
    </row>
    <row r="14680" spans="1:15" hidden="1">
      <c r="A14680">
        <v>202509</v>
      </c>
      <c r="B14680" s="6">
        <v>45911</v>
      </c>
      <c r="C14680" t="s">
        <v>2519</v>
      </c>
      <c r="D14680" t="s">
        <v>6975</v>
      </c>
      <c r="E14680">
        <v>-4365.6000000000004</v>
      </c>
      <c r="F14680" t="str">
        <f>IF(Table2[[#This Row],[Manual Cat Value]]="",Table2[[#This Row],[Suggested Cat Value]],VLOOKUP(Table2[[#This Row],[Manual Cat Value]],Lookup!G:H,2,0))</f>
        <v>Delete</v>
      </c>
      <c r="G14680" t="s">
        <v>64</v>
      </c>
      <c r="H14680" s="8" t="s">
        <v>9</v>
      </c>
      <c r="I14680" s="8"/>
      <c r="O14680" t="str">
        <f>LEFT(Table2[[#This Row],[Description]],75)</f>
        <v>Salary/Regular Income from Cargill Inc</v>
      </c>
    </row>
    <row r="14681" spans="1:15" hidden="1">
      <c r="A14681">
        <v>202507</v>
      </c>
      <c r="B14681" s="6">
        <v>45867</v>
      </c>
      <c r="C14681" t="s">
        <v>130</v>
      </c>
      <c r="D14681" t="s">
        <v>5625</v>
      </c>
      <c r="E14681">
        <v>-4712.62</v>
      </c>
      <c r="F14681" t="str">
        <f>IF(Table2[[#This Row],[Manual Cat Value]]="",Table2[[#This Row],[Suggested Cat Value]],VLOOKUP(Table2[[#This Row],[Manual Cat Value]],Lookup!G:H,2,0))</f>
        <v>Delete</v>
      </c>
      <c r="G14681" t="s">
        <v>26</v>
      </c>
      <c r="H14681" s="8" t="s">
        <v>9</v>
      </c>
      <c r="I14681" s="8"/>
      <c r="O14681" t="str">
        <f>LEFT(Table2[[#This Row],[Description]],75)</f>
        <v>ONLINE PAYMENT - THANK YOU</v>
      </c>
    </row>
    <row r="14682" spans="1:15" hidden="1">
      <c r="A14682">
        <v>202510</v>
      </c>
      <c r="B14682" s="6">
        <v>45959</v>
      </c>
      <c r="C14682" t="s">
        <v>2519</v>
      </c>
      <c r="D14682" t="s">
        <v>4343</v>
      </c>
      <c r="E14682">
        <v>-4822.49</v>
      </c>
      <c r="F14682" t="str">
        <f>IF(Table2[[#This Row],[Manual Cat Value]]="",Table2[[#This Row],[Suggested Cat Value]],VLOOKUP(Table2[[#This Row],[Manual Cat Value]],Lookup!G:H,2,0))</f>
        <v>Delete</v>
      </c>
      <c r="G14682" t="s">
        <v>64</v>
      </c>
      <c r="H14682" s="8" t="s">
        <v>9</v>
      </c>
      <c r="I14682" s="8"/>
      <c r="O14682" t="str">
        <f>LEFT(Table2[[#This Row],[Description]],75)</f>
        <v>Salary/Regular Income from TriNet</v>
      </c>
    </row>
    <row r="14683" spans="1:15" hidden="1">
      <c r="A14683">
        <v>202507</v>
      </c>
      <c r="B14683" s="6">
        <v>45844</v>
      </c>
      <c r="C14683" t="s">
        <v>2519</v>
      </c>
      <c r="D14683" t="s">
        <v>6976</v>
      </c>
      <c r="E14683">
        <v>-5000</v>
      </c>
      <c r="F14683" t="str">
        <f>IF(Table2[[#This Row],[Manual Cat Value]]="",Table2[[#This Row],[Suggested Cat Value]],VLOOKUP(Table2[[#This Row],[Manual Cat Value]],Lookup!G:H,2,0))</f>
        <v>Delete</v>
      </c>
      <c r="G14683" t="s">
        <v>20</v>
      </c>
      <c r="H14683" s="8" t="s">
        <v>9</v>
      </c>
      <c r="I14683" s="8"/>
      <c r="O14683" t="str">
        <f>LEFT(Table2[[#This Row],[Description]],75)</f>
        <v>Deposit ACH TRUITTJEFF TYPE: SETL ID: XX1866 CO: MBI NAME: TRUITTJEFF Entry</v>
      </c>
    </row>
    <row r="14684" spans="1:15" hidden="1">
      <c r="A14684">
        <v>202506</v>
      </c>
      <c r="B14684" s="6">
        <v>45833</v>
      </c>
      <c r="C14684" t="s">
        <v>2519</v>
      </c>
      <c r="D14684" t="s">
        <v>6537</v>
      </c>
      <c r="E14684">
        <v>-5000</v>
      </c>
      <c r="F14684" t="str">
        <f>IF(Table2[[#This Row],[Manual Cat Value]]="",Table2[[#This Row],[Suggested Cat Value]],VLOOKUP(Table2[[#This Row],[Manual Cat Value]],Lookup!G:H,2,0))</f>
        <v>Delete</v>
      </c>
      <c r="G14684" t="s">
        <v>21</v>
      </c>
      <c r="H14684" s="8" t="s">
        <v>9</v>
      </c>
      <c r="I14684" s="8"/>
      <c r="O14684" t="str">
        <f>LEFT(Table2[[#This Row],[Description]],75)</f>
        <v>Charles Schwab</v>
      </c>
    </row>
    <row r="14685" spans="1:15" hidden="1">
      <c r="A14685">
        <v>202507</v>
      </c>
      <c r="B14685" s="6">
        <v>45856</v>
      </c>
      <c r="C14685" t="s">
        <v>2519</v>
      </c>
      <c r="D14685" t="s">
        <v>6537</v>
      </c>
      <c r="E14685">
        <v>-5757</v>
      </c>
      <c r="F14685" t="str">
        <f>IF(Table2[[#This Row],[Manual Cat Value]]="",Table2[[#This Row],[Suggested Cat Value]],VLOOKUP(Table2[[#This Row],[Manual Cat Value]],Lookup!G:H,2,0))</f>
        <v>Delete</v>
      </c>
      <c r="G14685" t="s">
        <v>21</v>
      </c>
      <c r="H14685" s="8" t="s">
        <v>9</v>
      </c>
      <c r="I14685" s="8"/>
      <c r="O14685" t="str">
        <f>LEFT(Table2[[#This Row],[Description]],75)</f>
        <v>Charles Schwab</v>
      </c>
    </row>
    <row r="14686" spans="1:15" hidden="1">
      <c r="A14686">
        <v>202508</v>
      </c>
      <c r="B14686" s="6">
        <v>45886</v>
      </c>
      <c r="C14686" t="s">
        <v>130</v>
      </c>
      <c r="D14686" t="s">
        <v>5625</v>
      </c>
      <c r="E14686">
        <v>-6493.26</v>
      </c>
      <c r="F14686" t="str">
        <f>IF(Table2[[#This Row],[Manual Cat Value]]="",Table2[[#This Row],[Suggested Cat Value]],VLOOKUP(Table2[[#This Row],[Manual Cat Value]],Lookup!G:H,2,0))</f>
        <v>Delete</v>
      </c>
      <c r="G14686" t="s">
        <v>26</v>
      </c>
      <c r="H14686" s="8" t="s">
        <v>9</v>
      </c>
      <c r="I14686" s="8"/>
      <c r="O14686" t="str">
        <f>LEFT(Table2[[#This Row],[Description]],75)</f>
        <v>ONLINE PAYMENT - THANK YOU</v>
      </c>
    </row>
    <row r="14687" spans="1:15" hidden="1">
      <c r="A14687">
        <v>202511</v>
      </c>
      <c r="B14687" s="6">
        <v>45964</v>
      </c>
      <c r="C14687" t="s">
        <v>130</v>
      </c>
      <c r="D14687" t="s">
        <v>5625</v>
      </c>
      <c r="E14687">
        <v>-7216.93</v>
      </c>
      <c r="F14687" t="str">
        <f>IF(Table2[[#This Row],[Manual Cat Value]]="",Table2[[#This Row],[Suggested Cat Value]],VLOOKUP(Table2[[#This Row],[Manual Cat Value]],Lookup!G:H,2,0))</f>
        <v>Delete</v>
      </c>
      <c r="G14687" t="s">
        <v>26</v>
      </c>
      <c r="H14687" s="8" t="s">
        <v>9</v>
      </c>
      <c r="I14687" s="8"/>
      <c r="O14687" t="str">
        <f>LEFT(Table2[[#This Row],[Description]],75)</f>
        <v>ONLINE PAYMENT - THANK YOU</v>
      </c>
    </row>
    <row r="14688" spans="1:15" hidden="1">
      <c r="A14688">
        <v>202510</v>
      </c>
      <c r="B14688" s="6">
        <v>45952</v>
      </c>
      <c r="C14688" t="s">
        <v>130</v>
      </c>
      <c r="D14688" t="s">
        <v>5625</v>
      </c>
      <c r="E14688">
        <v>-8080.9</v>
      </c>
      <c r="F14688" t="str">
        <f>IF(Table2[[#This Row],[Manual Cat Value]]="",Table2[[#This Row],[Suggested Cat Value]],VLOOKUP(Table2[[#This Row],[Manual Cat Value]],Lookup!G:H,2,0))</f>
        <v>Delete</v>
      </c>
      <c r="G14688" t="s">
        <v>9</v>
      </c>
      <c r="H14688" s="8" t="s">
        <v>9</v>
      </c>
      <c r="I14688" s="8"/>
      <c r="O14688" t="str">
        <f>LEFT(Table2[[#This Row],[Description]],75)</f>
        <v>ONLINE PAYMENT - THANK YOU</v>
      </c>
    </row>
    <row r="14689" spans="1:15" hidden="1">
      <c r="A14689">
        <v>202506</v>
      </c>
      <c r="B14689" s="6">
        <v>45831</v>
      </c>
      <c r="C14689" t="s">
        <v>2519</v>
      </c>
      <c r="D14689" t="s">
        <v>6537</v>
      </c>
      <c r="E14689">
        <v>-20000</v>
      </c>
      <c r="F14689" t="str">
        <f>IF(Table2[[#This Row],[Manual Cat Value]]="",Table2[[#This Row],[Suggested Cat Value]],VLOOKUP(Table2[[#This Row],[Manual Cat Value]],Lookup!G:H,2,0))</f>
        <v>Delete</v>
      </c>
      <c r="G14689" t="s">
        <v>21</v>
      </c>
      <c r="H14689" s="8" t="s">
        <v>9</v>
      </c>
      <c r="I14689" s="8"/>
      <c r="O14689" t="str">
        <f>LEFT(Table2[[#This Row],[Description]],75)</f>
        <v>Charles Schwab</v>
      </c>
    </row>
    <row r="14690" spans="1:15" hidden="1">
      <c r="A14690">
        <v>202506</v>
      </c>
      <c r="B14690" s="6">
        <v>45830</v>
      </c>
      <c r="C14690" t="s">
        <v>2519</v>
      </c>
      <c r="D14690" t="s">
        <v>5080</v>
      </c>
      <c r="E14690">
        <v>-24690.3</v>
      </c>
      <c r="F14690" t="str">
        <f>IF(Table2[[#This Row],[Manual Cat Value]]="",Table2[[#This Row],[Suggested Cat Value]],VLOOKUP(Table2[[#This Row],[Manual Cat Value]],Lookup!G:H,2,0))</f>
        <v>Delete</v>
      </c>
      <c r="G14690" t="s">
        <v>59</v>
      </c>
      <c r="H14690" s="8" t="s">
        <v>9</v>
      </c>
      <c r="I14690" s="8"/>
      <c r="O14690" t="str">
        <f>LEFT(Table2[[#This Row],[Description]],75)</f>
        <v>Discover Bank Deposit</v>
      </c>
    </row>
    <row r="14691" spans="1:15" hidden="1">
      <c r="A14691">
        <v>202509</v>
      </c>
      <c r="B14691" s="6">
        <v>45901</v>
      </c>
      <c r="C14691" t="s">
        <v>2519</v>
      </c>
      <c r="D14691" t="s">
        <v>6537</v>
      </c>
      <c r="E14691">
        <v>-25808.75</v>
      </c>
      <c r="F14691" t="str">
        <f>IF(Table2[[#This Row],[Manual Cat Value]]="",Table2[[#This Row],[Suggested Cat Value]],VLOOKUP(Table2[[#This Row],[Manual Cat Value]],Lookup!G:H,2,0))</f>
        <v>Delete</v>
      </c>
      <c r="G14691" t="s">
        <v>21</v>
      </c>
      <c r="H14691" s="8" t="s">
        <v>9</v>
      </c>
      <c r="I14691" s="8"/>
      <c r="O14691" t="str">
        <f>LEFT(Table2[[#This Row],[Description]],75)</f>
        <v>Charles Schwab</v>
      </c>
    </row>
    <row r="14692" spans="1:15" hidden="1">
      <c r="A14692">
        <v>202507</v>
      </c>
      <c r="B14692" s="6">
        <v>45862</v>
      </c>
      <c r="C14692" t="s">
        <v>2519</v>
      </c>
      <c r="D14692" t="s">
        <v>404</v>
      </c>
      <c r="E14692">
        <v>-26460.46</v>
      </c>
      <c r="F14692" t="str">
        <f>IF(Table2[[#This Row],[Manual Cat Value]]="",Table2[[#This Row],[Suggested Cat Value]],VLOOKUP(Table2[[#This Row],[Manual Cat Value]],Lookup!G:H,2,0))</f>
        <v>Delete</v>
      </c>
      <c r="G14692" t="s">
        <v>66</v>
      </c>
      <c r="H14692" s="8" t="s">
        <v>9</v>
      </c>
      <c r="I14692" s="8"/>
      <c r="O14692" t="str">
        <f>LEFT(Table2[[#This Row],[Description]],75)</f>
        <v>Cargill Inc Deposit</v>
      </c>
    </row>
    <row r="14693" spans="1:15" hidden="1">
      <c r="A14693">
        <v>202507</v>
      </c>
      <c r="B14693" s="6">
        <v>45855</v>
      </c>
      <c r="C14693" t="s">
        <v>2519</v>
      </c>
      <c r="D14693" t="s">
        <v>6537</v>
      </c>
      <c r="E14693">
        <v>-35313.79</v>
      </c>
      <c r="F14693" t="str">
        <f>IF(Table2[[#This Row],[Manual Cat Value]]="",Table2[[#This Row],[Suggested Cat Value]],VLOOKUP(Table2[[#This Row],[Manual Cat Value]],Lookup!G:H,2,0))</f>
        <v>Delete</v>
      </c>
      <c r="G14693" t="e">
        <f>VLOOKUP(D14693,Lookup!G:H,2,0)</f>
        <v>#N/A</v>
      </c>
      <c r="H14693" s="8" t="s">
        <v>9</v>
      </c>
      <c r="I14693" s="8"/>
      <c r="O14693" t="str">
        <f>LEFT(Table2[[#This Row],[Description]],75)</f>
        <v>Charles Schwab</v>
      </c>
    </row>
    <row r="14694" spans="1:15" hidden="1">
      <c r="A14694">
        <v>202510</v>
      </c>
      <c r="B14694" s="6">
        <v>45935</v>
      </c>
      <c r="C14694" t="s">
        <v>2519</v>
      </c>
      <c r="D14694" t="s">
        <v>6537</v>
      </c>
      <c r="E14694">
        <v>-43250</v>
      </c>
      <c r="F14694" t="str">
        <f>IF(Table2[[#This Row],[Manual Cat Value]]="",Table2[[#This Row],[Suggested Cat Value]],VLOOKUP(Table2[[#This Row],[Manual Cat Value]],Lookup!G:H,2,0))</f>
        <v>Delete</v>
      </c>
      <c r="G14694" t="e">
        <f>VLOOKUP(D14694,Lookup!G:H,2,0)</f>
        <v>#N/A</v>
      </c>
      <c r="H14694" s="8" t="s">
        <v>9</v>
      </c>
      <c r="I14694" s="8"/>
      <c r="O14694" t="str">
        <f>LEFT(Table2[[#This Row],[Description]],75)</f>
        <v>Charles Schwab</v>
      </c>
    </row>
    <row r="14695" spans="1:15" hidden="1">
      <c r="A14695" s="162">
        <v>202512</v>
      </c>
      <c r="B14695" s="163">
        <v>45998</v>
      </c>
      <c r="C14695" s="162" t="s">
        <v>130</v>
      </c>
      <c r="D14695" s="162" t="s">
        <v>6977</v>
      </c>
      <c r="E14695" s="162">
        <v>47.38</v>
      </c>
      <c r="F14695" t="str">
        <f>IF(Table2[[#This Row],[Manual Cat Value]]="",Table2[[#This Row],[Suggested Cat Value]],VLOOKUP(Table2[[#This Row],[Manual Cat Value]],Lookup!G:H,2,0))</f>
        <v>Restaurants</v>
      </c>
      <c r="G14695" t="e">
        <f>VLOOKUP(D14695,Lookup!G:H,2,0)</f>
        <v>#N/A</v>
      </c>
      <c r="H14695" s="164" t="s">
        <v>25</v>
      </c>
      <c r="I14695" s="8"/>
      <c r="O14695" t="str">
        <f>LEFT(Table2[[#This Row],[Description]],75)</f>
        <v>1510 COMMERCIAL AVE VICTORIA            MN</v>
      </c>
    </row>
    <row r="14696" spans="1:15" hidden="1">
      <c r="A14696" s="165">
        <v>202511</v>
      </c>
      <c r="B14696" s="166">
        <v>45973</v>
      </c>
      <c r="C14696" s="165" t="s">
        <v>130</v>
      </c>
      <c r="D14696" s="165" t="s">
        <v>6978</v>
      </c>
      <c r="E14696" s="165">
        <v>32.64</v>
      </c>
      <c r="F14696" t="str">
        <f>IF(Table2[[#This Row],[Manual Cat Value]]="",Table2[[#This Row],[Suggested Cat Value]],VLOOKUP(Table2[[#This Row],[Manual Cat Value]],Lookup!G:H,2,0))</f>
        <v>Shopping</v>
      </c>
      <c r="G14696" t="e">
        <f>VLOOKUP(D14696,Lookup!G:H,2,0)</f>
        <v>#N/A</v>
      </c>
      <c r="H14696" s="164" t="s">
        <v>36</v>
      </c>
      <c r="I14696" s="8"/>
      <c r="O14696" t="str">
        <f>LEFT(Table2[[#This Row],[Description]],75)</f>
        <v>ALIENPOWER          855-870-3708        CT</v>
      </c>
    </row>
    <row r="14697" spans="1:15" hidden="1">
      <c r="A14697" s="162">
        <v>202511</v>
      </c>
      <c r="B14697" s="163">
        <v>45974</v>
      </c>
      <c r="C14697" s="162" t="s">
        <v>130</v>
      </c>
      <c r="D14697" s="162" t="s">
        <v>6979</v>
      </c>
      <c r="E14697" s="162">
        <v>6.52</v>
      </c>
      <c r="F14697" t="str">
        <f>IF(Table2[[#This Row],[Manual Cat Value]]="",Table2[[#This Row],[Suggested Cat Value]],VLOOKUP(Table2[[#This Row],[Manual Cat Value]],Lookup!G:H,2,0))</f>
        <v>Amazon</v>
      </c>
      <c r="G14697" t="e">
        <f>VLOOKUP(D14697,Lookup!G:H,2,0)</f>
        <v>#N/A</v>
      </c>
      <c r="H14697" s="164" t="s">
        <v>37</v>
      </c>
      <c r="I14697" s="8"/>
      <c r="O14697" t="str">
        <f>LEFT(Table2[[#This Row],[Description]],75)</f>
        <v>AMAZON KIDS+*B807Y9M888-802-3080        WA</v>
      </c>
    </row>
    <row r="14698" spans="1:15" hidden="1">
      <c r="A14698" s="165">
        <v>202512</v>
      </c>
      <c r="B14698" s="166">
        <v>46004</v>
      </c>
      <c r="C14698" s="165" t="s">
        <v>130</v>
      </c>
      <c r="D14698" s="165" t="s">
        <v>6980</v>
      </c>
      <c r="E14698" s="165">
        <v>6.52</v>
      </c>
      <c r="F14698" t="str">
        <f>IF(Table2[[#This Row],[Manual Cat Value]]="",Table2[[#This Row],[Suggested Cat Value]],VLOOKUP(Table2[[#This Row],[Manual Cat Value]],Lookup!G:H,2,0))</f>
        <v>Amazon</v>
      </c>
      <c r="G14698" t="e">
        <f>VLOOKUP(D14698,Lookup!G:H,2,0)</f>
        <v>#N/A</v>
      </c>
      <c r="H14698" s="164" t="s">
        <v>37</v>
      </c>
      <c r="I14698" s="8"/>
      <c r="O14698" t="str">
        <f>LEFT(Table2[[#This Row],[Description]],75)</f>
        <v>AMAZON KIDS+*C15UG1H888-802-3080        WA</v>
      </c>
    </row>
    <row r="14699" spans="1:15" hidden="1">
      <c r="A14699" s="162">
        <v>202511</v>
      </c>
      <c r="B14699" s="163">
        <v>45982</v>
      </c>
      <c r="C14699" s="162" t="s">
        <v>130</v>
      </c>
      <c r="D14699" s="162" t="s">
        <v>6183</v>
      </c>
      <c r="E14699" s="162">
        <v>92.17</v>
      </c>
      <c r="F14699" t="str">
        <f>IF(Table2[[#This Row],[Manual Cat Value]]="",Table2[[#This Row],[Suggested Cat Value]],VLOOKUP(Table2[[#This Row],[Manual Cat Value]],Lookup!G:H,2,0))</f>
        <v>Amazon</v>
      </c>
      <c r="G14699" t="e">
        <f>VLOOKUP(D14699,Lookup!G:H,2,0)</f>
        <v>#N/A</v>
      </c>
      <c r="H14699" s="164" t="s">
        <v>37</v>
      </c>
      <c r="I14699" s="8"/>
      <c r="O14699" t="str">
        <f>LEFT(Table2[[#This Row],[Description]],75)</f>
        <v>AMAZON MARKEPLACE NA PA</v>
      </c>
    </row>
    <row r="14700" spans="1:15" hidden="1">
      <c r="A14700" s="165">
        <v>202511</v>
      </c>
      <c r="B14700" s="166">
        <v>45987</v>
      </c>
      <c r="C14700" s="165" t="s">
        <v>130</v>
      </c>
      <c r="D14700" s="165" t="s">
        <v>5721</v>
      </c>
      <c r="E14700" s="165">
        <v>-38.99</v>
      </c>
      <c r="F14700" t="str">
        <f>IF(Table2[[#This Row],[Manual Cat Value]]="",Table2[[#This Row],[Suggested Cat Value]],VLOOKUP(Table2[[#This Row],[Manual Cat Value]],Lookup!G:H,2,0))</f>
        <v>Amazon</v>
      </c>
      <c r="G14700" t="e">
        <f>VLOOKUP(D14700,Lookup!G:H,2,0)</f>
        <v>#N/A</v>
      </c>
      <c r="H14700" s="164" t="s">
        <v>37</v>
      </c>
      <c r="I14700" s="8"/>
      <c r="O14700" t="str">
        <f>LEFT(Table2[[#This Row],[Description]],75)</f>
        <v>AMAZON MARKETPLACE NAMZN.COM/BILL       WA</v>
      </c>
    </row>
    <row r="14701" spans="1:15" hidden="1">
      <c r="A14701" s="162">
        <v>202511</v>
      </c>
      <c r="B14701" s="163">
        <v>45987</v>
      </c>
      <c r="C14701" s="162" t="s">
        <v>130</v>
      </c>
      <c r="D14701" s="162" t="s">
        <v>5721</v>
      </c>
      <c r="E14701" s="162">
        <v>-25.85</v>
      </c>
      <c r="F14701" t="str">
        <f>IF(Table2[[#This Row],[Manual Cat Value]]="",Table2[[#This Row],[Suggested Cat Value]],VLOOKUP(Table2[[#This Row],[Manual Cat Value]],Lookup!G:H,2,0))</f>
        <v>Amazon</v>
      </c>
      <c r="G14701" t="e">
        <f>VLOOKUP(D14701,Lookup!G:H,2,0)</f>
        <v>#N/A</v>
      </c>
      <c r="H14701" s="164" t="s">
        <v>37</v>
      </c>
      <c r="I14701" s="8"/>
      <c r="O14701" t="str">
        <f>LEFT(Table2[[#This Row],[Description]],75)</f>
        <v>AMAZON MARKETPLACE NAMZN.COM/BILL       WA</v>
      </c>
    </row>
    <row r="14702" spans="1:15" hidden="1">
      <c r="A14702" s="165">
        <v>202512</v>
      </c>
      <c r="B14702" s="166">
        <v>46014</v>
      </c>
      <c r="C14702" s="165" t="s">
        <v>2258</v>
      </c>
      <c r="D14702" s="165" t="s">
        <v>6981</v>
      </c>
      <c r="E14702" s="165">
        <v>33.74</v>
      </c>
      <c r="F14702" t="str">
        <f>IF(Table2[[#This Row],[Manual Cat Value]]="",Table2[[#This Row],[Suggested Cat Value]],VLOOKUP(Table2[[#This Row],[Manual Cat Value]],Lookup!G:H,2,0))</f>
        <v>Amazon</v>
      </c>
      <c r="G14702" t="e">
        <f>VLOOKUP(D14702,Lookup!G:H,2,0)</f>
        <v>#N/A</v>
      </c>
      <c r="H14702" s="164" t="s">
        <v>37</v>
      </c>
      <c r="I14702" s="8"/>
      <c r="O14702" t="str">
        <f>LEFT(Table2[[#This Row],[Description]],75)</f>
        <v>AMAZON MKTPL*2868A33G3 AMZN.COM/BILLWATK2YPJ5X28C</v>
      </c>
    </row>
    <row r="14703" spans="1:15" hidden="1">
      <c r="A14703" s="162">
        <v>202512</v>
      </c>
      <c r="B14703" s="163">
        <v>46004</v>
      </c>
      <c r="C14703" s="162" t="s">
        <v>2258</v>
      </c>
      <c r="D14703" s="162" t="s">
        <v>6982</v>
      </c>
      <c r="E14703" s="162">
        <v>44.28</v>
      </c>
      <c r="F14703" t="str">
        <f>IF(Table2[[#This Row],[Manual Cat Value]]="",Table2[[#This Row],[Suggested Cat Value]],VLOOKUP(Table2[[#This Row],[Manual Cat Value]],Lookup!G:H,2,0))</f>
        <v>Amazon</v>
      </c>
      <c r="G14703" t="e">
        <f>VLOOKUP(D14703,Lookup!G:H,2,0)</f>
        <v>#N/A</v>
      </c>
      <c r="H14703" s="164" t="s">
        <v>37</v>
      </c>
      <c r="I14703" s="8"/>
      <c r="O14703" t="str">
        <f>LEFT(Table2[[#This Row],[Description]],75)</f>
        <v>AMAZON MKTPL*3U8BN9EC3 AMZN.COM/BILLWA4EK6MDO3PBX</v>
      </c>
    </row>
    <row r="14704" spans="1:15" hidden="1">
      <c r="A14704" s="165">
        <v>202512</v>
      </c>
      <c r="B14704" s="166">
        <v>46007</v>
      </c>
      <c r="C14704" s="165" t="s">
        <v>2258</v>
      </c>
      <c r="D14704" s="165" t="s">
        <v>6983</v>
      </c>
      <c r="E14704" s="165">
        <v>17.75</v>
      </c>
      <c r="F14704" t="str">
        <f>IF(Table2[[#This Row],[Manual Cat Value]]="",Table2[[#This Row],[Suggested Cat Value]],VLOOKUP(Table2[[#This Row],[Manual Cat Value]],Lookup!G:H,2,0))</f>
        <v>Amazon</v>
      </c>
      <c r="G14704" t="e">
        <f>VLOOKUP(D14704,Lookup!G:H,2,0)</f>
        <v>#N/A</v>
      </c>
      <c r="H14704" s="164" t="s">
        <v>37</v>
      </c>
      <c r="I14704" s="8"/>
      <c r="O14704" t="str">
        <f>LEFT(Table2[[#This Row],[Description]],75)</f>
        <v>AMAZON MKTPL*6E4HD3J63 AMZN.COM/BILLWA1QSMJTHX2NU</v>
      </c>
    </row>
    <row r="14705" spans="1:15" hidden="1">
      <c r="A14705" s="162">
        <v>202512</v>
      </c>
      <c r="B14705" s="163">
        <v>46000</v>
      </c>
      <c r="C14705" s="162" t="s">
        <v>2258</v>
      </c>
      <c r="D14705" s="162" t="s">
        <v>6984</v>
      </c>
      <c r="E14705" s="162">
        <v>29.99</v>
      </c>
      <c r="F14705" t="str">
        <f>IF(Table2[[#This Row],[Manual Cat Value]]="",Table2[[#This Row],[Suggested Cat Value]],VLOOKUP(Table2[[#This Row],[Manual Cat Value]],Lookup!G:H,2,0))</f>
        <v>Amazon</v>
      </c>
      <c r="G14705" t="e">
        <f>VLOOKUP(D14705,Lookup!G:H,2,0)</f>
        <v>#N/A</v>
      </c>
      <c r="H14705" s="164" t="s">
        <v>37</v>
      </c>
      <c r="I14705" s="8"/>
      <c r="O14705" t="str">
        <f>LEFT(Table2[[#This Row],[Description]],75)</f>
        <v>AMAZON MKTPL*7J5ET4613 AMZN.COM/BILLWAQQW8XNV00L4</v>
      </c>
    </row>
    <row r="14706" spans="1:15" hidden="1">
      <c r="A14706" s="165">
        <v>202512</v>
      </c>
      <c r="B14706" s="166">
        <v>46013</v>
      </c>
      <c r="C14706" s="165" t="s">
        <v>2258</v>
      </c>
      <c r="D14706" s="165" t="s">
        <v>6985</v>
      </c>
      <c r="E14706" s="165">
        <v>8.5500000000000007</v>
      </c>
      <c r="F14706" t="str">
        <f>IF(Table2[[#This Row],[Manual Cat Value]]="",Table2[[#This Row],[Suggested Cat Value]],VLOOKUP(Table2[[#This Row],[Manual Cat Value]],Lookup!G:H,2,0))</f>
        <v>Amazon</v>
      </c>
      <c r="G14706" t="e">
        <f>VLOOKUP(D14706,Lookup!G:H,2,0)</f>
        <v>#N/A</v>
      </c>
      <c r="H14706" s="164" t="s">
        <v>37</v>
      </c>
      <c r="I14706" s="8"/>
      <c r="O14706" t="str">
        <f>LEFT(Table2[[#This Row],[Description]],75)</f>
        <v>AMAZON MKTPL*9B0S44CL3 AMZN.COM/BILLWA12NZ294IZKT</v>
      </c>
    </row>
    <row r="14707" spans="1:15" hidden="1">
      <c r="A14707" s="162">
        <v>202511</v>
      </c>
      <c r="B14707" s="163">
        <v>45990</v>
      </c>
      <c r="C14707" s="162" t="s">
        <v>2258</v>
      </c>
      <c r="D14707" s="162" t="s">
        <v>6986</v>
      </c>
      <c r="E14707" s="162">
        <v>115.81</v>
      </c>
      <c r="F14707" t="str">
        <f>IF(Table2[[#This Row],[Manual Cat Value]]="",Table2[[#This Row],[Suggested Cat Value]],VLOOKUP(Table2[[#This Row],[Manual Cat Value]],Lookup!G:H,2,0))</f>
        <v>Amazon</v>
      </c>
      <c r="G14707" t="e">
        <f>VLOOKUP(D14707,Lookup!G:H,2,0)</f>
        <v>#N/A</v>
      </c>
      <c r="H14707" s="164" t="s">
        <v>37</v>
      </c>
      <c r="I14707" s="8"/>
      <c r="O14707" t="str">
        <f>LEFT(Table2[[#This Row],[Description]],75)</f>
        <v>AMAZON MKTPL*B26CQ9YH0 AMZN.COM/BILLWA60N4NSOWX90</v>
      </c>
    </row>
    <row r="14708" spans="1:15" hidden="1">
      <c r="A14708" s="165">
        <v>202511</v>
      </c>
      <c r="B14708" s="166">
        <v>45972</v>
      </c>
      <c r="C14708" s="165" t="s">
        <v>2258</v>
      </c>
      <c r="D14708" s="165" t="s">
        <v>6987</v>
      </c>
      <c r="E14708" s="165">
        <v>51.64</v>
      </c>
      <c r="F14708" t="str">
        <f>IF(Table2[[#This Row],[Manual Cat Value]]="",Table2[[#This Row],[Suggested Cat Value]],VLOOKUP(Table2[[#This Row],[Manual Cat Value]],Lookup!G:H,2,0))</f>
        <v>Amazon</v>
      </c>
      <c r="G14708" t="e">
        <f>VLOOKUP(D14708,Lookup!G:H,2,0)</f>
        <v>#N/A</v>
      </c>
      <c r="H14708" s="164" t="s">
        <v>37</v>
      </c>
      <c r="I14708" s="8"/>
      <c r="O14708" t="str">
        <f>LEFT(Table2[[#This Row],[Description]],75)</f>
        <v>AMAZON MKTPL*B83I044T0 AMZN.COM/BILLWA6M2OIZ0D2CZ</v>
      </c>
    </row>
    <row r="14709" spans="1:15" hidden="1">
      <c r="A14709" s="162">
        <v>202511</v>
      </c>
      <c r="B14709" s="163">
        <v>45972</v>
      </c>
      <c r="C14709" s="162" t="s">
        <v>2258</v>
      </c>
      <c r="D14709" s="162" t="s">
        <v>6988</v>
      </c>
      <c r="E14709" s="162">
        <v>39</v>
      </c>
      <c r="F14709" t="str">
        <f>IF(Table2[[#This Row],[Manual Cat Value]]="",Table2[[#This Row],[Suggested Cat Value]],VLOOKUP(Table2[[#This Row],[Manual Cat Value]],Lookup!G:H,2,0))</f>
        <v>Amazon</v>
      </c>
      <c r="G14709" t="e">
        <f>VLOOKUP(D14709,Lookup!G:H,2,0)</f>
        <v>#N/A</v>
      </c>
      <c r="H14709" s="164" t="s">
        <v>37</v>
      </c>
      <c r="I14709" s="8"/>
      <c r="O14709" t="str">
        <f>LEFT(Table2[[#This Row],[Description]],75)</f>
        <v>AMAZON MKTPL*B887E4Z00 AMZN.COM/BILLWA16QRJ1JYO9Z</v>
      </c>
    </row>
    <row r="14710" spans="1:15" hidden="1">
      <c r="A14710" s="165">
        <v>202512</v>
      </c>
      <c r="B14710" s="166">
        <v>45993</v>
      </c>
      <c r="C14710" s="165" t="s">
        <v>2258</v>
      </c>
      <c r="D14710" s="165" t="s">
        <v>6989</v>
      </c>
      <c r="E14710" s="165">
        <v>8.26</v>
      </c>
      <c r="F14710" t="str">
        <f>IF(Table2[[#This Row],[Manual Cat Value]]="",Table2[[#This Row],[Suggested Cat Value]],VLOOKUP(Table2[[#This Row],[Manual Cat Value]],Lookup!G:H,2,0))</f>
        <v>Amazon</v>
      </c>
      <c r="G14710" t="e">
        <f>VLOOKUP(D14710,Lookup!G:H,2,0)</f>
        <v>#N/A</v>
      </c>
      <c r="H14710" s="164" t="s">
        <v>37</v>
      </c>
      <c r="I14710" s="8"/>
      <c r="O14710" t="str">
        <f>LEFT(Table2[[#This Row],[Description]],75)</f>
        <v>AMAZON MKTPL*BB2U532R1 AMZN.COM/BILLWA10FL04K1SSE</v>
      </c>
    </row>
    <row r="14711" spans="1:15" hidden="1">
      <c r="A14711" s="162">
        <v>202512</v>
      </c>
      <c r="B14711" s="163">
        <v>45992</v>
      </c>
      <c r="C14711" s="162" t="s">
        <v>2258</v>
      </c>
      <c r="D14711" s="162" t="s">
        <v>6990</v>
      </c>
      <c r="E14711" s="162">
        <v>105.97</v>
      </c>
      <c r="F14711" t="str">
        <f>IF(Table2[[#This Row],[Manual Cat Value]]="",Table2[[#This Row],[Suggested Cat Value]],VLOOKUP(Table2[[#This Row],[Manual Cat Value]],Lookup!G:H,2,0))</f>
        <v>Amazon</v>
      </c>
      <c r="G14711" t="e">
        <f>VLOOKUP(D14711,Lookup!G:H,2,0)</f>
        <v>#N/A</v>
      </c>
      <c r="H14711" s="164" t="s">
        <v>37</v>
      </c>
      <c r="I14711" s="8"/>
      <c r="O14711" t="str">
        <f>LEFT(Table2[[#This Row],[Description]],75)</f>
        <v>AMAZON MKTPL*BB4N991R0 AMZN.COM/BILLWA488VB9BI07U</v>
      </c>
    </row>
    <row r="14712" spans="1:15" hidden="1">
      <c r="A14712" s="165">
        <v>202512</v>
      </c>
      <c r="B14712" s="166">
        <v>45995</v>
      </c>
      <c r="C14712" s="165" t="s">
        <v>2258</v>
      </c>
      <c r="D14712" s="165" t="s">
        <v>6991</v>
      </c>
      <c r="E14712" s="165">
        <v>111.3</v>
      </c>
      <c r="F14712" t="str">
        <f>IF(Table2[[#This Row],[Manual Cat Value]]="",Table2[[#This Row],[Suggested Cat Value]],VLOOKUP(Table2[[#This Row],[Manual Cat Value]],Lookup!G:H,2,0))</f>
        <v>Amazon</v>
      </c>
      <c r="G14712" t="e">
        <f>VLOOKUP(D14712,Lookup!G:H,2,0)</f>
        <v>#N/A</v>
      </c>
      <c r="H14712" s="164" t="s">
        <v>37</v>
      </c>
      <c r="I14712" s="8"/>
      <c r="O14712" t="str">
        <f>LEFT(Table2[[#This Row],[Description]],75)</f>
        <v>AMAZON MKTPL*BB5702WH0 AMZN.COM/BILLWA6LLKCC7J3U7</v>
      </c>
    </row>
    <row r="14713" spans="1:15" hidden="1">
      <c r="A14713" s="162">
        <v>202512</v>
      </c>
      <c r="B14713" s="163">
        <v>46006</v>
      </c>
      <c r="C14713" s="162" t="s">
        <v>2258</v>
      </c>
      <c r="D14713" s="162" t="s">
        <v>6992</v>
      </c>
      <c r="E14713" s="162">
        <v>10.88</v>
      </c>
      <c r="F14713" t="str">
        <f>IF(Table2[[#This Row],[Manual Cat Value]]="",Table2[[#This Row],[Suggested Cat Value]],VLOOKUP(Table2[[#This Row],[Manual Cat Value]],Lookup!G:H,2,0))</f>
        <v>Amazon</v>
      </c>
      <c r="G14713" t="e">
        <f>VLOOKUP(D14713,Lookup!G:H,2,0)</f>
        <v>#N/A</v>
      </c>
      <c r="H14713" s="164" t="s">
        <v>37</v>
      </c>
      <c r="I14713" s="8"/>
      <c r="O14713" t="str">
        <f>LEFT(Table2[[#This Row],[Description]],75)</f>
        <v>AMAZON MKTPL*BG4FT3DS3 AMZN.COM/BILLWA6TGWK06JAOY</v>
      </c>
    </row>
    <row r="14714" spans="1:15" hidden="1">
      <c r="A14714" s="165">
        <v>202512</v>
      </c>
      <c r="B14714" s="166">
        <v>45997</v>
      </c>
      <c r="C14714" s="165" t="s">
        <v>2258</v>
      </c>
      <c r="D14714" s="165" t="s">
        <v>6993</v>
      </c>
      <c r="E14714" s="165">
        <v>14.42</v>
      </c>
      <c r="F14714" t="str">
        <f>IF(Table2[[#This Row],[Manual Cat Value]]="",Table2[[#This Row],[Suggested Cat Value]],VLOOKUP(Table2[[#This Row],[Manual Cat Value]],Lookup!G:H,2,0))</f>
        <v>Amazon</v>
      </c>
      <c r="G14714" t="e">
        <f>VLOOKUP(D14714,Lookup!G:H,2,0)</f>
        <v>#N/A</v>
      </c>
      <c r="H14714" s="164" t="s">
        <v>37</v>
      </c>
      <c r="I14714" s="8"/>
      <c r="O14714" t="str">
        <f>LEFT(Table2[[#This Row],[Description]],75)</f>
        <v>AMAZON MKTPL*BI2CH1QU1 AMZN.COM/BILLWA261B4KOLDQ4</v>
      </c>
    </row>
    <row r="14715" spans="1:15" hidden="1">
      <c r="A14715" s="162">
        <v>202512</v>
      </c>
      <c r="B14715" s="163">
        <v>45996</v>
      </c>
      <c r="C14715" s="162" t="s">
        <v>2258</v>
      </c>
      <c r="D14715" s="162" t="s">
        <v>6994</v>
      </c>
      <c r="E14715" s="162">
        <v>106.07</v>
      </c>
      <c r="F14715" t="str">
        <f>IF(Table2[[#This Row],[Manual Cat Value]]="",Table2[[#This Row],[Suggested Cat Value]],VLOOKUP(Table2[[#This Row],[Manual Cat Value]],Lookup!G:H,2,0))</f>
        <v>Amazon</v>
      </c>
      <c r="G14715" t="e">
        <f>VLOOKUP(D14715,Lookup!G:H,2,0)</f>
        <v>#N/A</v>
      </c>
      <c r="H14715" s="164" t="s">
        <v>37</v>
      </c>
      <c r="I14715" s="8"/>
      <c r="O14715" t="str">
        <f>LEFT(Table2[[#This Row],[Description]],75)</f>
        <v>AMAZON MKTPL*BI6WT9922 AMZN.COM/BILLWA3T1BUDIVQ56</v>
      </c>
    </row>
    <row r="14716" spans="1:15" hidden="1">
      <c r="A14716" s="165">
        <v>202512</v>
      </c>
      <c r="B14716" s="166">
        <v>45993</v>
      </c>
      <c r="C14716" s="165" t="s">
        <v>2258</v>
      </c>
      <c r="D14716" s="165" t="s">
        <v>6995</v>
      </c>
      <c r="E14716" s="165">
        <v>10.88</v>
      </c>
      <c r="F14716" t="str">
        <f>IF(Table2[[#This Row],[Manual Cat Value]]="",Table2[[#This Row],[Suggested Cat Value]],VLOOKUP(Table2[[#This Row],[Manual Cat Value]],Lookup!G:H,2,0))</f>
        <v>Amazon</v>
      </c>
      <c r="G14716" t="e">
        <f>VLOOKUP(D14716,Lookup!G:H,2,0)</f>
        <v>#N/A</v>
      </c>
      <c r="H14716" s="164" t="s">
        <v>37</v>
      </c>
      <c r="I14716" s="8"/>
      <c r="O14716" t="str">
        <f>LEFT(Table2[[#This Row],[Description]],75)</f>
        <v>AMAZON MKTPL*BI7431ZH2 AMZN.COM/BILLWA4G7SACIMYQW</v>
      </c>
    </row>
    <row r="14717" spans="1:15" hidden="1">
      <c r="A14717" s="162">
        <v>202512</v>
      </c>
      <c r="B14717" s="163">
        <v>45996</v>
      </c>
      <c r="C14717" s="162" t="s">
        <v>2258</v>
      </c>
      <c r="D14717" s="162" t="s">
        <v>6996</v>
      </c>
      <c r="E14717" s="162">
        <v>32.65</v>
      </c>
      <c r="F14717" t="str">
        <f>IF(Table2[[#This Row],[Manual Cat Value]]="",Table2[[#This Row],[Suggested Cat Value]],VLOOKUP(Table2[[#This Row],[Manual Cat Value]],Lookup!G:H,2,0))</f>
        <v>Amazon</v>
      </c>
      <c r="G14717" t="e">
        <f>VLOOKUP(D14717,Lookup!G:H,2,0)</f>
        <v>#N/A</v>
      </c>
      <c r="H14717" s="164" t="s">
        <v>37</v>
      </c>
      <c r="I14717" s="8"/>
      <c r="O14717" t="str">
        <f>LEFT(Table2[[#This Row],[Description]],75)</f>
        <v>AMAZON MKTPL*BI8RM2P11 AMZN.COM/BILLWA763PEYU2EHQ</v>
      </c>
    </row>
    <row r="14718" spans="1:15" hidden="1">
      <c r="A14718" s="165">
        <v>202512</v>
      </c>
      <c r="B14718" s="166">
        <v>45995</v>
      </c>
      <c r="C14718" s="165" t="s">
        <v>2258</v>
      </c>
      <c r="D14718" s="165" t="s">
        <v>6997</v>
      </c>
      <c r="E14718" s="165">
        <v>10.88</v>
      </c>
      <c r="F14718" t="str">
        <f>IF(Table2[[#This Row],[Manual Cat Value]]="",Table2[[#This Row],[Suggested Cat Value]],VLOOKUP(Table2[[#This Row],[Manual Cat Value]],Lookup!G:H,2,0))</f>
        <v>Amazon</v>
      </c>
      <c r="G14718" t="e">
        <f>VLOOKUP(D14718,Lookup!G:H,2,0)</f>
        <v>#N/A</v>
      </c>
      <c r="H14718" s="164" t="s">
        <v>37</v>
      </c>
      <c r="I14718" s="8"/>
      <c r="O14718" t="str">
        <f>LEFT(Table2[[#This Row],[Description]],75)</f>
        <v>AMAZON MKTPL*BI9FR75X2 AMZN.COM/BILLWA26VDXDM8U26</v>
      </c>
    </row>
    <row r="14719" spans="1:15" hidden="1">
      <c r="A14719" s="162">
        <v>202512</v>
      </c>
      <c r="B14719" s="163">
        <v>46013</v>
      </c>
      <c r="C14719" s="162" t="s">
        <v>2258</v>
      </c>
      <c r="D14719" s="162" t="s">
        <v>6998</v>
      </c>
      <c r="E14719" s="162">
        <v>16.32</v>
      </c>
      <c r="F14719" t="str">
        <f>IF(Table2[[#This Row],[Manual Cat Value]]="",Table2[[#This Row],[Suggested Cat Value]],VLOOKUP(Table2[[#This Row],[Manual Cat Value]],Lookup!G:H,2,0))</f>
        <v>Amazon</v>
      </c>
      <c r="G14719" t="e">
        <f>VLOOKUP(D14719,Lookup!G:H,2,0)</f>
        <v>#N/A</v>
      </c>
      <c r="H14719" s="164" t="s">
        <v>37</v>
      </c>
      <c r="I14719" s="8"/>
      <c r="O14719" t="str">
        <f>LEFT(Table2[[#This Row],[Description]],75)</f>
        <v>AMAZON MKTPL*BZ03E2OQ3 AMZN.COM/BILLWABWIA00FO8VK</v>
      </c>
    </row>
    <row r="14720" spans="1:15" hidden="1">
      <c r="A14720" s="165">
        <v>202512</v>
      </c>
      <c r="B14720" s="166">
        <v>46019</v>
      </c>
      <c r="C14720" s="165" t="s">
        <v>2258</v>
      </c>
      <c r="D14720" s="165" t="s">
        <v>6999</v>
      </c>
      <c r="E14720" s="165">
        <v>82.05</v>
      </c>
      <c r="F14720" t="str">
        <f>IF(Table2[[#This Row],[Manual Cat Value]]="",Table2[[#This Row],[Suggested Cat Value]],VLOOKUP(Table2[[#This Row],[Manual Cat Value]],Lookup!G:H,2,0))</f>
        <v>Amazon</v>
      </c>
      <c r="G14720" t="e">
        <f>VLOOKUP(D14720,Lookup!G:H,2,0)</f>
        <v>#N/A</v>
      </c>
      <c r="H14720" s="164" t="s">
        <v>37</v>
      </c>
      <c r="I14720" s="8"/>
      <c r="O14720" t="str">
        <f>LEFT(Table2[[#This Row],[Description]],75)</f>
        <v>AMAZON MKTPL*D11ED9FM3 AMZN.COM/BILLWA62GKUOBG8WZ</v>
      </c>
    </row>
    <row r="14721" spans="1:15" hidden="1">
      <c r="A14721" s="162">
        <v>202512</v>
      </c>
      <c r="B14721" s="163">
        <v>46014</v>
      </c>
      <c r="C14721" s="162" t="s">
        <v>2258</v>
      </c>
      <c r="D14721" s="162" t="s">
        <v>7000</v>
      </c>
      <c r="E14721" s="162">
        <v>57.97</v>
      </c>
      <c r="F14721" t="str">
        <f>IF(Table2[[#This Row],[Manual Cat Value]]="",Table2[[#This Row],[Suggested Cat Value]],VLOOKUP(Table2[[#This Row],[Manual Cat Value]],Lookup!G:H,2,0))</f>
        <v>Amazon</v>
      </c>
      <c r="G14721" t="e">
        <f>VLOOKUP(D14721,Lookup!G:H,2,0)</f>
        <v>#N/A</v>
      </c>
      <c r="H14721" s="164" t="s">
        <v>37</v>
      </c>
      <c r="I14721" s="8"/>
      <c r="O14721" t="str">
        <f>LEFT(Table2[[#This Row],[Description]],75)</f>
        <v>AMAZON MKTPL*D743H5AO3 AMZN.COM/BILLWA67R56DRV2AO</v>
      </c>
    </row>
    <row r="14722" spans="1:15" hidden="1">
      <c r="A14722" s="165">
        <v>202512</v>
      </c>
      <c r="B14722" s="166">
        <v>46002</v>
      </c>
      <c r="C14722" s="165" t="s">
        <v>2258</v>
      </c>
      <c r="D14722" s="165" t="s">
        <v>7001</v>
      </c>
      <c r="E14722" s="165">
        <v>77.489999999999995</v>
      </c>
      <c r="F14722" t="str">
        <f>IF(Table2[[#This Row],[Manual Cat Value]]="",Table2[[#This Row],[Suggested Cat Value]],VLOOKUP(Table2[[#This Row],[Manual Cat Value]],Lookup!G:H,2,0))</f>
        <v>Amazon</v>
      </c>
      <c r="G14722" t="e">
        <f>VLOOKUP(D14722,Lookup!G:H,2,0)</f>
        <v>#N/A</v>
      </c>
      <c r="H14722" s="164" t="s">
        <v>37</v>
      </c>
      <c r="I14722" s="8"/>
      <c r="O14722" t="str">
        <f>LEFT(Table2[[#This Row],[Description]],75)</f>
        <v>AMAZON MKTPL*DW5VI7PU3 AMZN.COM/BILLWA3CO5FYXT6ZW</v>
      </c>
    </row>
    <row r="14723" spans="1:15" hidden="1">
      <c r="A14723" s="162">
        <v>202512</v>
      </c>
      <c r="B14723" s="163">
        <v>46003</v>
      </c>
      <c r="C14723" s="162" t="s">
        <v>2258</v>
      </c>
      <c r="D14723" s="162" t="s">
        <v>7002</v>
      </c>
      <c r="E14723" s="162">
        <v>34.74</v>
      </c>
      <c r="F14723" t="str">
        <f>IF(Table2[[#This Row],[Manual Cat Value]]="",Table2[[#This Row],[Suggested Cat Value]],VLOOKUP(Table2[[#This Row],[Manual Cat Value]],Lookup!G:H,2,0))</f>
        <v>Amazon</v>
      </c>
      <c r="G14723" t="e">
        <f>VLOOKUP(D14723,Lookup!G:H,2,0)</f>
        <v>#N/A</v>
      </c>
      <c r="H14723" s="164" t="s">
        <v>37</v>
      </c>
      <c r="I14723" s="8"/>
      <c r="O14723" t="str">
        <f>LEFT(Table2[[#This Row],[Description]],75)</f>
        <v>AMAZON MKTPL*EI75V9MK3 AMZN.COM/BILLWA5HS55EVAGNR</v>
      </c>
    </row>
    <row r="14724" spans="1:15" hidden="1">
      <c r="A14724" s="165">
        <v>202512</v>
      </c>
      <c r="B14724" s="166">
        <v>46013</v>
      </c>
      <c r="C14724" s="165" t="s">
        <v>2258</v>
      </c>
      <c r="D14724" s="165" t="s">
        <v>7003</v>
      </c>
      <c r="E14724" s="165">
        <v>10.88</v>
      </c>
      <c r="F14724" t="str">
        <f>IF(Table2[[#This Row],[Manual Cat Value]]="",Table2[[#This Row],[Suggested Cat Value]],VLOOKUP(Table2[[#This Row],[Manual Cat Value]],Lookup!G:H,2,0))</f>
        <v>Amazon</v>
      </c>
      <c r="G14724" t="e">
        <f>VLOOKUP(D14724,Lookup!G:H,2,0)</f>
        <v>#N/A</v>
      </c>
      <c r="H14724" s="164" t="s">
        <v>37</v>
      </c>
      <c r="I14724" s="8"/>
      <c r="O14724" t="str">
        <f>LEFT(Table2[[#This Row],[Description]],75)</f>
        <v>AMAZON MKTPL*GR5R40P23 AMZN.COM/BILLWA2ENSBJO0C3I</v>
      </c>
    </row>
    <row r="14725" spans="1:15" hidden="1">
      <c r="A14725" s="162">
        <v>202512</v>
      </c>
      <c r="B14725" s="163">
        <v>46013</v>
      </c>
      <c r="C14725" s="162" t="s">
        <v>2258</v>
      </c>
      <c r="D14725" s="162" t="s">
        <v>7004</v>
      </c>
      <c r="E14725" s="162">
        <v>124.61</v>
      </c>
      <c r="F14725" t="str">
        <f>IF(Table2[[#This Row],[Manual Cat Value]]="",Table2[[#This Row],[Suggested Cat Value]],VLOOKUP(Table2[[#This Row],[Manual Cat Value]],Lookup!G:H,2,0))</f>
        <v>Amazon</v>
      </c>
      <c r="G14725" t="e">
        <f>VLOOKUP(D14725,Lookup!G:H,2,0)</f>
        <v>#N/A</v>
      </c>
      <c r="H14725" s="164" t="s">
        <v>37</v>
      </c>
      <c r="I14725" s="8"/>
      <c r="O14725" t="str">
        <f>LEFT(Table2[[#This Row],[Description]],75)</f>
        <v>AMAZON MKTPL*H28FV40D3 AMZN.COM/BILLWA5TW0BFCYIYF</v>
      </c>
    </row>
    <row r="14726" spans="1:15" hidden="1">
      <c r="A14726" s="165">
        <v>202512</v>
      </c>
      <c r="B14726" s="166">
        <v>46002</v>
      </c>
      <c r="C14726" s="165" t="s">
        <v>2258</v>
      </c>
      <c r="D14726" s="165" t="s">
        <v>7005</v>
      </c>
      <c r="E14726" s="165">
        <v>-10.88</v>
      </c>
      <c r="F14726" t="str">
        <f>IF(Table2[[#This Row],[Manual Cat Value]]="",Table2[[#This Row],[Suggested Cat Value]],VLOOKUP(Table2[[#This Row],[Manual Cat Value]],Lookup!G:H,2,0))</f>
        <v>Amazon</v>
      </c>
      <c r="G14726" t="e">
        <f>VLOOKUP(D14726,Lookup!G:H,2,0)</f>
        <v>#N/A</v>
      </c>
      <c r="H14726" s="164" t="s">
        <v>37</v>
      </c>
      <c r="I14726" s="8"/>
      <c r="O14726" t="str">
        <f>LEFT(Table2[[#This Row],[Description]],75)</f>
        <v>AMAZON MKTPLACE PMTS AMZN.COM/BILLWA1KSHTONCMPP</v>
      </c>
    </row>
    <row r="14727" spans="1:15" hidden="1">
      <c r="A14727" s="162">
        <v>202511</v>
      </c>
      <c r="B14727" s="163">
        <v>45977</v>
      </c>
      <c r="C14727" s="162" t="s">
        <v>2258</v>
      </c>
      <c r="D14727" s="162" t="s">
        <v>7006</v>
      </c>
      <c r="E14727" s="162">
        <v>-26.01</v>
      </c>
      <c r="F14727" t="str">
        <f>IF(Table2[[#This Row],[Manual Cat Value]]="",Table2[[#This Row],[Suggested Cat Value]],VLOOKUP(Table2[[#This Row],[Manual Cat Value]],Lookup!G:H,2,0))</f>
        <v>Amazon</v>
      </c>
      <c r="G14727" t="e">
        <f>VLOOKUP(D14727,Lookup!G:H,2,0)</f>
        <v>#N/A</v>
      </c>
      <c r="H14727" s="164" t="s">
        <v>37</v>
      </c>
      <c r="I14727" s="8"/>
      <c r="O14727" t="str">
        <f>LEFT(Table2[[#This Row],[Description]],75)</f>
        <v>AMAZON MKTPLACE PMTS AMZN.COM/BILLWA36P6CEHJR31</v>
      </c>
    </row>
    <row r="14728" spans="1:15" hidden="1">
      <c r="A14728" s="165">
        <v>202511</v>
      </c>
      <c r="B14728" s="166">
        <v>45977</v>
      </c>
      <c r="C14728" s="165" t="s">
        <v>2258</v>
      </c>
      <c r="D14728" s="165" t="s">
        <v>7007</v>
      </c>
      <c r="E14728" s="165">
        <v>-44.76</v>
      </c>
      <c r="F14728" t="str">
        <f>IF(Table2[[#This Row],[Manual Cat Value]]="",Table2[[#This Row],[Suggested Cat Value]],VLOOKUP(Table2[[#This Row],[Manual Cat Value]],Lookup!G:H,2,0))</f>
        <v>Amazon</v>
      </c>
      <c r="G14728" t="e">
        <f>VLOOKUP(D14728,Lookup!G:H,2,0)</f>
        <v>#N/A</v>
      </c>
      <c r="H14728" s="164" t="s">
        <v>37</v>
      </c>
      <c r="I14728" s="8"/>
      <c r="O14728" t="str">
        <f>LEFT(Table2[[#This Row],[Description]],75)</f>
        <v>AMAZON MKTPLACE PMTS AMZN.COM/BILLWA3WCDDFTZW8R</v>
      </c>
    </row>
    <row r="14729" spans="1:15" hidden="1">
      <c r="A14729" s="162">
        <v>202512</v>
      </c>
      <c r="B14729" s="163">
        <v>45995</v>
      </c>
      <c r="C14729" s="162" t="s">
        <v>2258</v>
      </c>
      <c r="D14729" s="162" t="s">
        <v>7008</v>
      </c>
      <c r="E14729" s="162">
        <v>-110.8</v>
      </c>
      <c r="F14729" t="str">
        <f>IF(Table2[[#This Row],[Manual Cat Value]]="",Table2[[#This Row],[Suggested Cat Value]],VLOOKUP(Table2[[#This Row],[Manual Cat Value]],Lookup!G:H,2,0))</f>
        <v>Amazon</v>
      </c>
      <c r="G14729" t="e">
        <f>VLOOKUP(D14729,Lookup!G:H,2,0)</f>
        <v>#N/A</v>
      </c>
      <c r="H14729" s="164" t="s">
        <v>37</v>
      </c>
      <c r="I14729" s="8"/>
      <c r="O14729" t="str">
        <f>LEFT(Table2[[#This Row],[Description]],75)</f>
        <v>AMAZON MKTPLACE PMTS AMZN.COM/BILLWA3XZSM3DYI40</v>
      </c>
    </row>
    <row r="14730" spans="1:15" hidden="1">
      <c r="A14730" s="165">
        <v>202511</v>
      </c>
      <c r="B14730" s="166">
        <v>45977</v>
      </c>
      <c r="C14730" s="165" t="s">
        <v>2258</v>
      </c>
      <c r="D14730" s="165" t="s">
        <v>7009</v>
      </c>
      <c r="E14730" s="165">
        <v>-28.3</v>
      </c>
      <c r="F14730" t="str">
        <f>IF(Table2[[#This Row],[Manual Cat Value]]="",Table2[[#This Row],[Suggested Cat Value]],VLOOKUP(Table2[[#This Row],[Manual Cat Value]],Lookup!G:H,2,0))</f>
        <v>Amazon</v>
      </c>
      <c r="G14730" t="e">
        <f>VLOOKUP(D14730,Lookup!G:H,2,0)</f>
        <v>#N/A</v>
      </c>
      <c r="H14730" s="164" t="s">
        <v>37</v>
      </c>
      <c r="I14730" s="8"/>
      <c r="O14730" t="str">
        <f>LEFT(Table2[[#This Row],[Description]],75)</f>
        <v>AMAZON MKTPLACE PMTS AMZN.COM/BILLWA6ABUX7B0ZH6</v>
      </c>
    </row>
    <row r="14731" spans="1:15" hidden="1">
      <c r="A14731" s="162">
        <v>202511</v>
      </c>
      <c r="B14731" s="163">
        <v>45991</v>
      </c>
      <c r="C14731" s="162" t="s">
        <v>130</v>
      </c>
      <c r="D14731" s="162" t="s">
        <v>7010</v>
      </c>
      <c r="E14731" s="162">
        <v>6.52</v>
      </c>
      <c r="F14731" t="str">
        <f>IF(Table2[[#This Row],[Manual Cat Value]]="",Table2[[#This Row],[Suggested Cat Value]],VLOOKUP(Table2[[#This Row],[Manual Cat Value]],Lookup!G:H,2,0))</f>
        <v>Amazon</v>
      </c>
      <c r="G14731" t="e">
        <f>VLOOKUP(D14731,Lookup!G:H,2,0)</f>
        <v>#N/A</v>
      </c>
      <c r="H14731" s="164" t="s">
        <v>37</v>
      </c>
      <c r="I14731" s="8"/>
      <c r="O14731" t="str">
        <f>LEFT(Table2[[#This Row],[Description]],75)</f>
        <v>AMAZON PRIME*BB7MJ1S888-802-3080        WA</v>
      </c>
    </row>
    <row r="14732" spans="1:15" hidden="1">
      <c r="A14732" s="165">
        <v>202512</v>
      </c>
      <c r="B14732" s="166">
        <v>46022</v>
      </c>
      <c r="C14732" s="165" t="s">
        <v>130</v>
      </c>
      <c r="D14732" s="165" t="s">
        <v>7011</v>
      </c>
      <c r="E14732" s="165">
        <v>6.52</v>
      </c>
      <c r="F14732" t="str">
        <f>IF(Table2[[#This Row],[Manual Cat Value]]="",Table2[[#This Row],[Suggested Cat Value]],VLOOKUP(Table2[[#This Row],[Manual Cat Value]],Lookup!G:H,2,0))</f>
        <v>Amazon</v>
      </c>
      <c r="G14732" t="e">
        <f>VLOOKUP(D14732,Lookup!G:H,2,0)</f>
        <v>#N/A</v>
      </c>
      <c r="H14732" s="164" t="s">
        <v>37</v>
      </c>
      <c r="I14732" s="8"/>
      <c r="O14732" t="str">
        <f>LEFT(Table2[[#This Row],[Description]],75)</f>
        <v>AMAZON PRIME*NM0IA3Z888-802-3080        WA</v>
      </c>
    </row>
    <row r="14733" spans="1:15" hidden="1">
      <c r="A14733" s="162">
        <v>202512</v>
      </c>
      <c r="B14733" s="163">
        <v>46001</v>
      </c>
      <c r="C14733" s="162" t="s">
        <v>130</v>
      </c>
      <c r="D14733" s="162" t="s">
        <v>6206</v>
      </c>
      <c r="E14733" s="162">
        <v>-15.23</v>
      </c>
      <c r="F14733" t="str">
        <f>IF(Table2[[#This Row],[Manual Cat Value]]="",Table2[[#This Row],[Suggested Cat Value]],VLOOKUP(Table2[[#This Row],[Manual Cat Value]],Lookup!G:H,2,0))</f>
        <v>Amazon</v>
      </c>
      <c r="G14733" t="e">
        <f>VLOOKUP(D14733,Lookup!G:H,2,0)</f>
        <v>#N/A</v>
      </c>
      <c r="H14733" s="164" t="s">
        <v>37</v>
      </c>
      <c r="I14733" s="8"/>
      <c r="O14733" t="str">
        <f>LEFT(Table2[[#This Row],[Description]],75)</f>
        <v>AMAZON.COM          AMZN.COM/BILL       WA</v>
      </c>
    </row>
    <row r="14734" spans="1:15" hidden="1">
      <c r="A14734" s="165">
        <v>202511</v>
      </c>
      <c r="B14734" s="166">
        <v>45986</v>
      </c>
      <c r="C14734" s="165" t="s">
        <v>130</v>
      </c>
      <c r="D14734" s="165" t="s">
        <v>6206</v>
      </c>
      <c r="E14734" s="165">
        <v>15.23</v>
      </c>
      <c r="F14734" t="str">
        <f>IF(Table2[[#This Row],[Manual Cat Value]]="",Table2[[#This Row],[Suggested Cat Value]],VLOOKUP(Table2[[#This Row],[Manual Cat Value]],Lookup!G:H,2,0))</f>
        <v>Amazon</v>
      </c>
      <c r="G14734" t="e">
        <f>VLOOKUP(D14734,Lookup!G:H,2,0)</f>
        <v>#N/A</v>
      </c>
      <c r="H14734" s="164" t="s">
        <v>37</v>
      </c>
      <c r="I14734" s="8"/>
      <c r="O14734" t="str">
        <f>LEFT(Table2[[#This Row],[Description]],75)</f>
        <v>AMAZON.COM          AMZN.COM/BILL       WA</v>
      </c>
    </row>
    <row r="14735" spans="1:15" hidden="1">
      <c r="A14735" s="162">
        <v>202511</v>
      </c>
      <c r="B14735" s="163">
        <v>45977</v>
      </c>
      <c r="C14735" s="162" t="s">
        <v>130</v>
      </c>
      <c r="D14735" s="162" t="s">
        <v>6206</v>
      </c>
      <c r="E14735" s="162">
        <v>-28.51</v>
      </c>
      <c r="F14735" t="str">
        <f>IF(Table2[[#This Row],[Manual Cat Value]]="",Table2[[#This Row],[Suggested Cat Value]],VLOOKUP(Table2[[#This Row],[Manual Cat Value]],Lookup!G:H,2,0))</f>
        <v>Amazon</v>
      </c>
      <c r="G14735" t="e">
        <f>VLOOKUP(D14735,Lookup!G:H,2,0)</f>
        <v>#N/A</v>
      </c>
      <c r="H14735" s="164" t="s">
        <v>37</v>
      </c>
      <c r="I14735" s="8"/>
      <c r="O14735" t="str">
        <f>LEFT(Table2[[#This Row],[Description]],75)</f>
        <v>AMAZON.COM          AMZN.COM/BILL       WA</v>
      </c>
    </row>
    <row r="14736" spans="1:15" hidden="1">
      <c r="A14736" s="165">
        <v>202511</v>
      </c>
      <c r="B14736" s="166">
        <v>45970</v>
      </c>
      <c r="C14736" s="165" t="s">
        <v>130</v>
      </c>
      <c r="D14736" s="165" t="s">
        <v>6206</v>
      </c>
      <c r="E14736" s="165">
        <v>28.51</v>
      </c>
      <c r="F14736" t="str">
        <f>IF(Table2[[#This Row],[Manual Cat Value]]="",Table2[[#This Row],[Suggested Cat Value]],VLOOKUP(Table2[[#This Row],[Manual Cat Value]],Lookup!G:H,2,0))</f>
        <v>Amazon</v>
      </c>
      <c r="G14736" t="e">
        <f>VLOOKUP(D14736,Lookup!G:H,2,0)</f>
        <v>#N/A</v>
      </c>
      <c r="H14736" s="164" t="s">
        <v>37</v>
      </c>
      <c r="I14736" s="8"/>
      <c r="O14736" t="str">
        <f>LEFT(Table2[[#This Row],[Description]],75)</f>
        <v>AMAZON.COM          AMZN.COM/BILL       WA</v>
      </c>
    </row>
    <row r="14737" spans="1:15" hidden="1">
      <c r="A14737" s="162">
        <v>202512</v>
      </c>
      <c r="B14737" s="163">
        <v>46013</v>
      </c>
      <c r="C14737" s="162" t="s">
        <v>2258</v>
      </c>
      <c r="D14737" s="162" t="s">
        <v>7012</v>
      </c>
      <c r="E14737" s="162">
        <v>-20.62</v>
      </c>
      <c r="F14737" t="str">
        <f>IF(Table2[[#This Row],[Manual Cat Value]]="",Table2[[#This Row],[Suggested Cat Value]],VLOOKUP(Table2[[#This Row],[Manual Cat Value]],Lookup!G:H,2,0))</f>
        <v>Amazon</v>
      </c>
      <c r="G14737" t="e">
        <f>VLOOKUP(D14737,Lookup!G:H,2,0)</f>
        <v>#N/A</v>
      </c>
      <c r="H14737" s="164" t="s">
        <v>37</v>
      </c>
      <c r="I14737" s="8"/>
      <c r="O14737" t="str">
        <f>LEFT(Table2[[#This Row],[Description]],75)</f>
        <v>AMAZON.COM AMZN.COM/BILLWA18Y11AXSBOY</v>
      </c>
    </row>
    <row r="14738" spans="1:15" hidden="1">
      <c r="A14738" s="165">
        <v>202512</v>
      </c>
      <c r="B14738" s="166">
        <v>46007</v>
      </c>
      <c r="C14738" s="165" t="s">
        <v>2258</v>
      </c>
      <c r="D14738" s="165" t="s">
        <v>7013</v>
      </c>
      <c r="E14738" s="165">
        <v>24.5</v>
      </c>
      <c r="F14738" t="str">
        <f>IF(Table2[[#This Row],[Manual Cat Value]]="",Table2[[#This Row],[Suggested Cat Value]],VLOOKUP(Table2[[#This Row],[Manual Cat Value]],Lookup!G:H,2,0))</f>
        <v>Amazon</v>
      </c>
      <c r="G14738" t="e">
        <f>VLOOKUP(D14738,Lookup!G:H,2,0)</f>
        <v>#N/A</v>
      </c>
      <c r="H14738" s="164" t="s">
        <v>37</v>
      </c>
      <c r="I14738" s="8"/>
      <c r="O14738" t="str">
        <f>LEFT(Table2[[#This Row],[Description]],75)</f>
        <v>AMAZON.COM*569H524L3 AMZN.COM/BILLWA7ILY4V2A4UH</v>
      </c>
    </row>
    <row r="14739" spans="1:15" hidden="1">
      <c r="A14739" s="162">
        <v>202511</v>
      </c>
      <c r="B14739" s="163">
        <v>45987</v>
      </c>
      <c r="C14739" s="162" t="s">
        <v>2258</v>
      </c>
      <c r="D14739" s="162" t="s">
        <v>7014</v>
      </c>
      <c r="E14739" s="162">
        <v>24.79</v>
      </c>
      <c r="F14739" t="str">
        <f>IF(Table2[[#This Row],[Manual Cat Value]]="",Table2[[#This Row],[Suggested Cat Value]],VLOOKUP(Table2[[#This Row],[Manual Cat Value]],Lookup!G:H,2,0))</f>
        <v>Amazon</v>
      </c>
      <c r="G14739" t="e">
        <f>VLOOKUP(D14739,Lookup!G:H,2,0)</f>
        <v>#N/A</v>
      </c>
      <c r="H14739" s="164" t="s">
        <v>37</v>
      </c>
      <c r="I14739" s="8"/>
      <c r="O14739" t="str">
        <f>LEFT(Table2[[#This Row],[Description]],75)</f>
        <v>AMAZON.COM*B27QT1SW1 AMZN.COM/BILLWA56Z59SG3ATI</v>
      </c>
    </row>
    <row r="14740" spans="1:15" hidden="1">
      <c r="A14740" s="165">
        <v>202511</v>
      </c>
      <c r="B14740" s="166">
        <v>45974</v>
      </c>
      <c r="C14740" s="165" t="s">
        <v>2258</v>
      </c>
      <c r="D14740" s="165" t="s">
        <v>7015</v>
      </c>
      <c r="E14740" s="165">
        <v>13.16</v>
      </c>
      <c r="F14740" t="str">
        <f>IF(Table2[[#This Row],[Manual Cat Value]]="",Table2[[#This Row],[Suggested Cat Value]],VLOOKUP(Table2[[#This Row],[Manual Cat Value]],Lookup!G:H,2,0))</f>
        <v>Amazon</v>
      </c>
      <c r="G14740" t="e">
        <f>VLOOKUP(D14740,Lookup!G:H,2,0)</f>
        <v>#N/A</v>
      </c>
      <c r="H14740" s="164" t="s">
        <v>37</v>
      </c>
      <c r="I14740" s="8"/>
      <c r="O14740" t="str">
        <f>LEFT(Table2[[#This Row],[Description]],75)</f>
        <v>AMAZON.COM*B82FU7M11 AMZN.COM/BILLWA4831OD21CLU</v>
      </c>
    </row>
    <row r="14741" spans="1:15" hidden="1">
      <c r="A14741" s="162">
        <v>202512</v>
      </c>
      <c r="B14741" s="163">
        <v>45993</v>
      </c>
      <c r="C14741" s="162" t="s">
        <v>2258</v>
      </c>
      <c r="D14741" s="162" t="s">
        <v>7016</v>
      </c>
      <c r="E14741" s="162">
        <v>20.62</v>
      </c>
      <c r="F14741" t="str">
        <f>IF(Table2[[#This Row],[Manual Cat Value]]="",Table2[[#This Row],[Suggested Cat Value]],VLOOKUP(Table2[[#This Row],[Manual Cat Value]],Lookup!G:H,2,0))</f>
        <v>Amazon</v>
      </c>
      <c r="G14741" t="e">
        <f>VLOOKUP(D14741,Lookup!G:H,2,0)</f>
        <v>#N/A</v>
      </c>
      <c r="H14741" s="164" t="s">
        <v>37</v>
      </c>
      <c r="I14741" s="8"/>
      <c r="O14741" t="str">
        <f>LEFT(Table2[[#This Row],[Description]],75)</f>
        <v>AMAZON.COM*BB2EM9YE2 AMZN.COM/BILLWA1V99X8NU6NS</v>
      </c>
    </row>
    <row r="14742" spans="1:15" hidden="1">
      <c r="A14742" s="165">
        <v>202512</v>
      </c>
      <c r="B14742" s="166">
        <v>45999</v>
      </c>
      <c r="C14742" s="165" t="s">
        <v>2258</v>
      </c>
      <c r="D14742" s="165" t="s">
        <v>7017</v>
      </c>
      <c r="E14742" s="165">
        <v>45.32</v>
      </c>
      <c r="F14742" t="str">
        <f>IF(Table2[[#This Row],[Manual Cat Value]]="",Table2[[#This Row],[Suggested Cat Value]],VLOOKUP(Table2[[#This Row],[Manual Cat Value]],Lookup!G:H,2,0))</f>
        <v>Amazon</v>
      </c>
      <c r="G14742" t="e">
        <f>VLOOKUP(D14742,Lookup!G:H,2,0)</f>
        <v>#N/A</v>
      </c>
      <c r="H14742" s="164" t="s">
        <v>37</v>
      </c>
      <c r="I14742" s="8"/>
      <c r="O14742" t="str">
        <f>LEFT(Table2[[#This Row],[Description]],75)</f>
        <v>AMAZON.COM*BI79G7IY0 AMZN.COM/BILLWA2E399CJZSRD</v>
      </c>
    </row>
    <row r="14743" spans="1:15" hidden="1">
      <c r="A14743" s="162">
        <v>202512</v>
      </c>
      <c r="B14743" s="163">
        <v>46020</v>
      </c>
      <c r="C14743" s="162" t="s">
        <v>2258</v>
      </c>
      <c r="D14743" s="162" t="s">
        <v>7018</v>
      </c>
      <c r="E14743" s="162">
        <v>69</v>
      </c>
      <c r="F14743" t="str">
        <f>IF(Table2[[#This Row],[Manual Cat Value]]="",Table2[[#This Row],[Suggested Cat Value]],VLOOKUP(Table2[[#This Row],[Manual Cat Value]],Lookup!G:H,2,0))</f>
        <v>Amazon</v>
      </c>
      <c r="G14743" t="e">
        <f>VLOOKUP(D14743,Lookup!G:H,2,0)</f>
        <v>#N/A</v>
      </c>
      <c r="H14743" s="164" t="s">
        <v>37</v>
      </c>
      <c r="I14743" s="8"/>
      <c r="O14743" t="str">
        <f>LEFT(Table2[[#This Row],[Description]],75)</f>
        <v>AMAZON.COM*DY9DX8W83 AMZN.COM/BILLWAVB9TGNSG9XC</v>
      </c>
    </row>
    <row r="14744" spans="1:15" hidden="1">
      <c r="A14744" s="165">
        <v>202512</v>
      </c>
      <c r="B14744" s="166">
        <v>46006</v>
      </c>
      <c r="C14744" s="165" t="s">
        <v>2258</v>
      </c>
      <c r="D14744" s="165" t="s">
        <v>7019</v>
      </c>
      <c r="E14744" s="165">
        <v>80</v>
      </c>
      <c r="F14744" t="str">
        <f>IF(Table2[[#This Row],[Manual Cat Value]]="",Table2[[#This Row],[Suggested Cat Value]],VLOOKUP(Table2[[#This Row],[Manual Cat Value]],Lookup!G:H,2,0))</f>
        <v>Amazon</v>
      </c>
      <c r="G14744" t="e">
        <f>VLOOKUP(D14744,Lookup!G:H,2,0)</f>
        <v>#N/A</v>
      </c>
      <c r="H14744" s="164" t="s">
        <v>37</v>
      </c>
      <c r="I14744" s="8"/>
      <c r="O14744" t="str">
        <f>LEFT(Table2[[#This Row],[Description]],75)</f>
        <v>AMAZON.COM*I63KP2OD3 AMZN.COM/BILLWACHNJVCN8G9O</v>
      </c>
    </row>
    <row r="14745" spans="1:15" hidden="1">
      <c r="A14745" s="162">
        <v>202512</v>
      </c>
      <c r="B14745" s="163">
        <v>46007</v>
      </c>
      <c r="C14745" s="162" t="s">
        <v>2258</v>
      </c>
      <c r="D14745" s="162" t="s">
        <v>7020</v>
      </c>
      <c r="E14745" s="162">
        <v>59.87</v>
      </c>
      <c r="F14745" t="str">
        <f>IF(Table2[[#This Row],[Manual Cat Value]]="",Table2[[#This Row],[Suggested Cat Value]],VLOOKUP(Table2[[#This Row],[Manual Cat Value]],Lookup!G:H,2,0))</f>
        <v>Amazon</v>
      </c>
      <c r="G14745" t="e">
        <f>VLOOKUP(D14745,Lookup!G:H,2,0)</f>
        <v>#N/A</v>
      </c>
      <c r="H14745" s="164" t="s">
        <v>37</v>
      </c>
      <c r="I14745" s="8"/>
      <c r="O14745" t="str">
        <f>LEFT(Table2[[#This Row],[Description]],75)</f>
        <v>AMAZON.COM*KK8KG64J3 AMZN.COM/BILLWA2Q9C69X1L9V</v>
      </c>
    </row>
    <row r="14746" spans="1:15" hidden="1">
      <c r="A14746" s="165">
        <v>202512</v>
      </c>
      <c r="B14746" s="166">
        <v>46003</v>
      </c>
      <c r="C14746" s="165" t="s">
        <v>2258</v>
      </c>
      <c r="D14746" s="165" t="s">
        <v>7021</v>
      </c>
      <c r="E14746" s="165">
        <v>20.62</v>
      </c>
      <c r="F14746" t="str">
        <f>IF(Table2[[#This Row],[Manual Cat Value]]="",Table2[[#This Row],[Suggested Cat Value]],VLOOKUP(Table2[[#This Row],[Manual Cat Value]],Lookup!G:H,2,0))</f>
        <v>Amazon</v>
      </c>
      <c r="G14746" t="e">
        <f>VLOOKUP(D14746,Lookup!G:H,2,0)</f>
        <v>#N/A</v>
      </c>
      <c r="H14746" s="164" t="s">
        <v>37</v>
      </c>
      <c r="I14746" s="8"/>
      <c r="O14746" t="str">
        <f>LEFT(Table2[[#This Row],[Description]],75)</f>
        <v>AMAZON.COM*O53OS86H3 AMZN.COM/BILLWA3HORW548B44</v>
      </c>
    </row>
    <row r="14747" spans="1:15" hidden="1">
      <c r="A14747" s="162">
        <v>202512</v>
      </c>
      <c r="B14747" s="163">
        <v>46009</v>
      </c>
      <c r="C14747" s="162" t="s">
        <v>2258</v>
      </c>
      <c r="D14747" s="162" t="s">
        <v>7022</v>
      </c>
      <c r="E14747" s="162">
        <v>87.34</v>
      </c>
      <c r="F14747" t="str">
        <f>IF(Table2[[#This Row],[Manual Cat Value]]="",Table2[[#This Row],[Suggested Cat Value]],VLOOKUP(Table2[[#This Row],[Manual Cat Value]],Lookup!G:H,2,0))</f>
        <v>Amazon</v>
      </c>
      <c r="G14747" t="e">
        <f>VLOOKUP(D14747,Lookup!G:H,2,0)</f>
        <v>#N/A</v>
      </c>
      <c r="H14747" s="164" t="s">
        <v>37</v>
      </c>
      <c r="I14747" s="8"/>
      <c r="O14747" t="str">
        <f>LEFT(Table2[[#This Row],[Description]],75)</f>
        <v>AMAZON.COM*Q44QK3UG3 AMZN.COM/BILLWA90F440ILAB6</v>
      </c>
    </row>
    <row r="14748" spans="1:15" hidden="1">
      <c r="A14748" s="165">
        <v>202511</v>
      </c>
      <c r="B14748" s="166">
        <v>45989</v>
      </c>
      <c r="C14748" s="165" t="s">
        <v>130</v>
      </c>
      <c r="D14748" s="165" t="s">
        <v>5847</v>
      </c>
      <c r="E14748" s="165">
        <v>55</v>
      </c>
      <c r="F14748" t="str">
        <f>IF(Table2[[#This Row],[Manual Cat Value]]="",Table2[[#This Row],[Suggested Cat Value]],VLOOKUP(Table2[[#This Row],[Manual Cat Value]],Lookup!G:H,2,0))</f>
        <v>Shopping</v>
      </c>
      <c r="G14748" t="e">
        <f>VLOOKUP(D14748,Lookup!G:H,2,0)</f>
        <v>#N/A</v>
      </c>
      <c r="H14748" s="164" t="s">
        <v>36</v>
      </c>
      <c r="I14748" s="8"/>
      <c r="O14748" t="str">
        <f>LEFT(Table2[[#This Row],[Description]],75)</f>
        <v>ANTHROPOLOGIE.COM   PHILADELPHIA        PA</v>
      </c>
    </row>
    <row r="14749" spans="1:15" hidden="1">
      <c r="A14749" s="162">
        <v>202512</v>
      </c>
      <c r="B14749" s="163">
        <v>46011</v>
      </c>
      <c r="C14749" s="162" t="s">
        <v>130</v>
      </c>
      <c r="D14749" s="162" t="s">
        <v>6331</v>
      </c>
      <c r="E14749" s="162">
        <v>64.02</v>
      </c>
      <c r="F14749" t="str">
        <f>IF(Table2[[#This Row],[Manual Cat Value]]="",Table2[[#This Row],[Suggested Cat Value]],VLOOKUP(Table2[[#This Row],[Manual Cat Value]],Lookup!G:H,2,0))</f>
        <v>Entertainment</v>
      </c>
      <c r="G14749" t="e">
        <f>VLOOKUP(D14749,Lookup!G:H,2,0)</f>
        <v>#N/A</v>
      </c>
      <c r="H14749" s="164" t="s">
        <v>39</v>
      </c>
      <c r="I14749" s="8"/>
      <c r="O14749" t="str">
        <f>LEFT(Table2[[#This Row],[Description]],75)</f>
        <v>AplPay AMC 9640 ONLILEAWOOD             KS</v>
      </c>
    </row>
    <row r="14750" spans="1:15" hidden="1">
      <c r="A14750" s="165">
        <v>202512</v>
      </c>
      <c r="B14750" s="166">
        <v>46010</v>
      </c>
      <c r="C14750" s="165" t="s">
        <v>130</v>
      </c>
      <c r="D14750" s="165" t="s">
        <v>6031</v>
      </c>
      <c r="E14750" s="165">
        <v>11.76</v>
      </c>
      <c r="F14750" t="str">
        <f>IF(Table2[[#This Row],[Manual Cat Value]]="",Table2[[#This Row],[Suggested Cat Value]],VLOOKUP(Table2[[#This Row],[Manual Cat Value]],Lookup!G:H,2,0))</f>
        <v>Entertainment</v>
      </c>
      <c r="G14750" t="e">
        <f>VLOOKUP(D14750,Lookup!G:H,2,0)</f>
        <v>#N/A</v>
      </c>
      <c r="H14750" s="164" t="s">
        <v>39</v>
      </c>
      <c r="I14750" s="8"/>
      <c r="O14750" t="str">
        <f>LEFT(Table2[[#This Row],[Description]],75)</f>
        <v>AplPay AMC SOUTHDALEEDINA               MN</v>
      </c>
    </row>
    <row r="14751" spans="1:15" hidden="1">
      <c r="A14751" s="162">
        <v>202511</v>
      </c>
      <c r="B14751" s="163">
        <v>45985</v>
      </c>
      <c r="C14751" s="162" t="s">
        <v>130</v>
      </c>
      <c r="D14751" s="162" t="s">
        <v>6031</v>
      </c>
      <c r="E14751" s="162">
        <v>19.71</v>
      </c>
      <c r="F14751" t="str">
        <f>IF(Table2[[#This Row],[Manual Cat Value]]="",Table2[[#This Row],[Suggested Cat Value]],VLOOKUP(Table2[[#This Row],[Manual Cat Value]],Lookup!G:H,2,0))</f>
        <v>Entertainment</v>
      </c>
      <c r="G14751" t="e">
        <f>VLOOKUP(D14751,Lookup!G:H,2,0)</f>
        <v>#N/A</v>
      </c>
      <c r="H14751" s="164" t="s">
        <v>39</v>
      </c>
      <c r="I14751" s="8"/>
      <c r="O14751" t="str">
        <f>LEFT(Table2[[#This Row],[Description]],75)</f>
        <v>AplPay AMC SOUTHDALEEDINA               MN</v>
      </c>
    </row>
    <row r="14752" spans="1:15" hidden="1">
      <c r="A14752" s="165">
        <v>202512</v>
      </c>
      <c r="B14752" s="166">
        <v>45992</v>
      </c>
      <c r="C14752" s="165" t="s">
        <v>130</v>
      </c>
      <c r="D14752" s="165" t="s">
        <v>7023</v>
      </c>
      <c r="E14752" s="165">
        <v>134</v>
      </c>
      <c r="F14752" t="str">
        <f>IF(Table2[[#This Row],[Manual Cat Value]]="",Table2[[#This Row],[Suggested Cat Value]],VLOOKUP(Table2[[#This Row],[Manual Cat Value]],Lookup!G:H,2,0))</f>
        <v>Restaurants</v>
      </c>
      <c r="G14752" t="e">
        <f>VLOOKUP(D14752,Lookup!G:H,2,0)</f>
        <v>#N/A</v>
      </c>
      <c r="H14752" s="164" t="s">
        <v>25</v>
      </c>
      <c r="I14752" s="8"/>
      <c r="O14752" t="str">
        <f>LEFT(Table2[[#This Row],[Description]],75)</f>
        <v>AplPay BLVD   *FACEFEDINA               MN</v>
      </c>
    </row>
    <row r="14753" spans="1:15" hidden="1">
      <c r="A14753" s="162">
        <v>202511</v>
      </c>
      <c r="B14753" s="163">
        <v>45991</v>
      </c>
      <c r="C14753" s="162" t="s">
        <v>130</v>
      </c>
      <c r="D14753" s="162" t="s">
        <v>7024</v>
      </c>
      <c r="E14753" s="162">
        <v>81</v>
      </c>
      <c r="F14753" t="str">
        <f>IF(Table2[[#This Row],[Manual Cat Value]]="",Table2[[#This Row],[Suggested Cat Value]],VLOOKUP(Table2[[#This Row],[Manual Cat Value]],Lookup!G:H,2,0))</f>
        <v>Gifts</v>
      </c>
      <c r="G14753" t="e">
        <f>VLOOKUP(D14753,Lookup!G:H,2,0)</f>
        <v>#N/A</v>
      </c>
      <c r="H14753" s="164" t="s">
        <v>44</v>
      </c>
      <c r="I14753" s="8"/>
      <c r="O14753" t="str">
        <f>LEFT(Table2[[#This Row],[Description]],75)</f>
        <v>AplPay BOMBAS LLC   NEW YORK            NY</v>
      </c>
    </row>
    <row r="14754" spans="1:15" hidden="1">
      <c r="A14754" s="165">
        <v>202511</v>
      </c>
      <c r="B14754" s="166">
        <v>45985</v>
      </c>
      <c r="C14754" s="165" t="s">
        <v>130</v>
      </c>
      <c r="D14754" s="165" t="s">
        <v>7025</v>
      </c>
      <c r="E14754" s="165">
        <v>45.17</v>
      </c>
      <c r="F14754" t="str">
        <f>IF(Table2[[#This Row],[Manual Cat Value]]="",Table2[[#This Row],[Suggested Cat Value]],VLOOKUP(Table2[[#This Row],[Manual Cat Value]],Lookup!G:H,2,0))</f>
        <v>Transportation</v>
      </c>
      <c r="G14754" t="e">
        <f>VLOOKUP(D14754,Lookup!G:H,2,0)</f>
        <v>#N/A</v>
      </c>
      <c r="H14754" s="164" t="s">
        <v>22</v>
      </c>
      <c r="I14754" s="8"/>
      <c r="O14754" t="str">
        <f>LEFT(Table2[[#This Row],[Description]],75)</f>
        <v>AplPay BP#1370200CHACHANHASSEN          MN</v>
      </c>
    </row>
    <row r="14755" spans="1:15" hidden="1">
      <c r="A14755" s="162">
        <v>202511</v>
      </c>
      <c r="B14755" s="163">
        <v>45975</v>
      </c>
      <c r="C14755" s="162" t="s">
        <v>130</v>
      </c>
      <c r="D14755" s="162" t="s">
        <v>6793</v>
      </c>
      <c r="E14755" s="162">
        <v>27.47</v>
      </c>
      <c r="F14755" t="str">
        <f>IF(Table2[[#This Row],[Manual Cat Value]]="",Table2[[#This Row],[Suggested Cat Value]],VLOOKUP(Table2[[#This Row],[Manual Cat Value]],Lookup!G:H,2,0))</f>
        <v>Restaurants</v>
      </c>
      <c r="G14755" t="e">
        <f>VLOOKUP(D14755,Lookup!G:H,2,0)</f>
        <v>#N/A</v>
      </c>
      <c r="H14755" s="164" t="s">
        <v>25</v>
      </c>
      <c r="I14755" s="8"/>
      <c r="O14755" t="str">
        <f>LEFT(Table2[[#This Row],[Description]],75)</f>
        <v>AplPay CHIPOTLE MEX NEWPORT BEACH       CA</v>
      </c>
    </row>
    <row r="14756" spans="1:15" hidden="1">
      <c r="A14756" s="165">
        <v>202512</v>
      </c>
      <c r="B14756" s="166">
        <v>45994</v>
      </c>
      <c r="C14756" s="165" t="s">
        <v>130</v>
      </c>
      <c r="D14756" s="165" t="s">
        <v>7026</v>
      </c>
      <c r="E14756" s="165">
        <v>25.78</v>
      </c>
      <c r="F14756" t="str">
        <f>IF(Table2[[#This Row],[Manual Cat Value]]="",Table2[[#This Row],[Suggested Cat Value]],VLOOKUP(Table2[[#This Row],[Manual Cat Value]],Lookup!G:H,2,0))</f>
        <v>Travel</v>
      </c>
      <c r="G14756" t="e">
        <f>VLOOKUP(D14756,Lookup!G:H,2,0)</f>
        <v>#N/A</v>
      </c>
      <c r="H14756" s="164" t="s">
        <v>52</v>
      </c>
      <c r="I14756" s="8"/>
      <c r="O14756" t="str">
        <f>LEFT(Table2[[#This Row],[Description]],75)</f>
        <v>AplPay CIRCO TIMES SMANHATTAN           NY</v>
      </c>
    </row>
    <row r="14757" spans="1:15" hidden="1">
      <c r="A14757" s="162">
        <v>202511</v>
      </c>
      <c r="B14757" s="163">
        <v>45986</v>
      </c>
      <c r="C14757" s="162" t="s">
        <v>130</v>
      </c>
      <c r="D14757" s="162" t="s">
        <v>5818</v>
      </c>
      <c r="E14757" s="162">
        <v>6.5</v>
      </c>
      <c r="F14757" t="str">
        <f>IF(Table2[[#This Row],[Manual Cat Value]]="",Table2[[#This Row],[Suggested Cat Value]],VLOOKUP(Table2[[#This Row],[Manual Cat Value]],Lookup!G:H,2,0))</f>
        <v>Groceries</v>
      </c>
      <c r="G14757" t="e">
        <f>VLOOKUP(D14757,Lookup!G:H,2,0)</f>
        <v>#N/A</v>
      </c>
      <c r="H14757" s="164" t="s">
        <v>27</v>
      </c>
      <c r="I14757" s="8"/>
      <c r="O14757" t="str">
        <f>LEFT(Table2[[#This Row],[Description]],75)</f>
        <v>AplPay CUB FOODS #16SHOREWOOD           MN</v>
      </c>
    </row>
    <row r="14758" spans="1:15" hidden="1">
      <c r="A14758" s="165">
        <v>202511</v>
      </c>
      <c r="B14758" s="166">
        <v>45986</v>
      </c>
      <c r="C14758" s="165" t="s">
        <v>130</v>
      </c>
      <c r="D14758" s="165" t="s">
        <v>5818</v>
      </c>
      <c r="E14758" s="165">
        <v>10</v>
      </c>
      <c r="F14758" t="str">
        <f>IF(Table2[[#This Row],[Manual Cat Value]]="",Table2[[#This Row],[Suggested Cat Value]],VLOOKUP(Table2[[#This Row],[Manual Cat Value]],Lookup!G:H,2,0))</f>
        <v>Groceries</v>
      </c>
      <c r="G14758" t="e">
        <f>VLOOKUP(D14758,Lookup!G:H,2,0)</f>
        <v>#N/A</v>
      </c>
      <c r="H14758" s="164" t="s">
        <v>27</v>
      </c>
      <c r="I14758" s="8"/>
      <c r="O14758" t="str">
        <f>LEFT(Table2[[#This Row],[Description]],75)</f>
        <v>AplPay CUB FOODS #16SHOREWOOD           MN</v>
      </c>
    </row>
    <row r="14759" spans="1:15" hidden="1">
      <c r="A14759" s="162">
        <v>202511</v>
      </c>
      <c r="B14759" s="163">
        <v>45978</v>
      </c>
      <c r="C14759" s="162" t="s">
        <v>130</v>
      </c>
      <c r="D14759" s="162" t="s">
        <v>5818</v>
      </c>
      <c r="E14759" s="162">
        <v>44.5</v>
      </c>
      <c r="F14759" t="str">
        <f>IF(Table2[[#This Row],[Manual Cat Value]]="",Table2[[#This Row],[Suggested Cat Value]],VLOOKUP(Table2[[#This Row],[Manual Cat Value]],Lookup!G:H,2,0))</f>
        <v>Groceries</v>
      </c>
      <c r="G14759" t="e">
        <f>VLOOKUP(D14759,Lookup!G:H,2,0)</f>
        <v>#N/A</v>
      </c>
      <c r="H14759" s="164" t="s">
        <v>27</v>
      </c>
      <c r="I14759" s="8"/>
      <c r="O14759" t="str">
        <f>LEFT(Table2[[#This Row],[Description]],75)</f>
        <v>AplPay CUB FOODS #16SHOREWOOD           MN</v>
      </c>
    </row>
    <row r="14760" spans="1:15" hidden="1">
      <c r="A14760" s="165">
        <v>202511</v>
      </c>
      <c r="B14760" s="166">
        <v>45977</v>
      </c>
      <c r="C14760" s="165" t="s">
        <v>130</v>
      </c>
      <c r="D14760" s="165" t="s">
        <v>7027</v>
      </c>
      <c r="E14760" s="165">
        <v>19.690000000000001</v>
      </c>
      <c r="F14760" t="str">
        <f>IF(Table2[[#This Row],[Manual Cat Value]]="",Table2[[#This Row],[Suggested Cat Value]],VLOOKUP(Table2[[#This Row],[Manual Cat Value]],Lookup!G:H,2,0))</f>
        <v>Restaurants</v>
      </c>
      <c r="G14760" t="e">
        <f>VLOOKUP(D14760,Lookup!G:H,2,0)</f>
        <v>#N/A</v>
      </c>
      <c r="H14760" s="164" t="s">
        <v>25</v>
      </c>
      <c r="I14760" s="8"/>
      <c r="O14760" t="str">
        <f>LEFT(Table2[[#This Row],[Description]],75)</f>
        <v>AplPay CULVERS OF CHCHASKA              MN</v>
      </c>
    </row>
    <row r="14761" spans="1:15" hidden="1">
      <c r="A14761" s="162">
        <v>202511</v>
      </c>
      <c r="B14761" s="163">
        <v>45985</v>
      </c>
      <c r="C14761" s="162" t="s">
        <v>130</v>
      </c>
      <c r="D14761" s="162" t="s">
        <v>7028</v>
      </c>
      <c r="E14761" s="162">
        <v>73</v>
      </c>
      <c r="F14761" t="str">
        <f>IF(Table2[[#This Row],[Manual Cat Value]]="",Table2[[#This Row],[Suggested Cat Value]],VLOOKUP(Table2[[#This Row],[Manual Cat Value]],Lookup!G:H,2,0))</f>
        <v>Misc</v>
      </c>
      <c r="G14761" t="e">
        <f>VLOOKUP(D14761,Lookup!G:H,2,0)</f>
        <v>#N/A</v>
      </c>
      <c r="H14761" s="164" t="s">
        <v>46</v>
      </c>
      <c r="I14761" s="8"/>
      <c r="O14761" t="str">
        <f>LEFT(Table2[[#This Row],[Description]],75)</f>
        <v>AplPay ELITE NAILS LCHANHASSEN          MN</v>
      </c>
    </row>
    <row r="14762" spans="1:15" hidden="1">
      <c r="A14762" s="165">
        <v>202512</v>
      </c>
      <c r="B14762" s="166">
        <v>45998</v>
      </c>
      <c r="C14762" s="165" t="s">
        <v>130</v>
      </c>
      <c r="D14762" s="165" t="s">
        <v>7029</v>
      </c>
      <c r="E14762" s="165">
        <v>13.99</v>
      </c>
      <c r="F14762" t="str">
        <f>IF(Table2[[#This Row],[Manual Cat Value]]="",Table2[[#This Row],[Suggested Cat Value]],VLOOKUP(Table2[[#This Row],[Manual Cat Value]],Lookup!G:H,2,0))</f>
        <v>Shopping</v>
      </c>
      <c r="G14762" t="e">
        <f>VLOOKUP(D14762,Lookup!G:H,2,0)</f>
        <v>#N/A</v>
      </c>
      <c r="H14762" s="164" t="s">
        <v>36</v>
      </c>
      <c r="I14762" s="8"/>
      <c r="O14762" t="str">
        <f>LEFT(Table2[[#This Row],[Description]],75)</f>
        <v>AplPay GALATEA      SAN FRANCISCO       CA</v>
      </c>
    </row>
    <row r="14763" spans="1:15" hidden="1">
      <c r="A14763" s="162">
        <v>202512</v>
      </c>
      <c r="B14763" s="163">
        <v>45997</v>
      </c>
      <c r="C14763" s="162" t="s">
        <v>130</v>
      </c>
      <c r="D14763" s="162" t="s">
        <v>7029</v>
      </c>
      <c r="E14763" s="162">
        <v>7.99</v>
      </c>
      <c r="F14763" t="str">
        <f>IF(Table2[[#This Row],[Manual Cat Value]]="",Table2[[#This Row],[Suggested Cat Value]],VLOOKUP(Table2[[#This Row],[Manual Cat Value]],Lookup!G:H,2,0))</f>
        <v>Shopping</v>
      </c>
      <c r="G14763" t="e">
        <f>VLOOKUP(D14763,Lookup!G:H,2,0)</f>
        <v>#N/A</v>
      </c>
      <c r="H14763" s="164" t="s">
        <v>36</v>
      </c>
      <c r="I14763" s="8"/>
      <c r="O14763" t="str">
        <f>LEFT(Table2[[#This Row],[Description]],75)</f>
        <v>AplPay GALATEA      SAN FRANCISCO       CA</v>
      </c>
    </row>
    <row r="14764" spans="1:15" hidden="1">
      <c r="A14764" s="165">
        <v>202512</v>
      </c>
      <c r="B14764" s="166">
        <v>45996</v>
      </c>
      <c r="C14764" s="165" t="s">
        <v>130</v>
      </c>
      <c r="D14764" s="165" t="s">
        <v>7029</v>
      </c>
      <c r="E14764" s="165">
        <v>7.99</v>
      </c>
      <c r="F14764" t="str">
        <f>IF(Table2[[#This Row],[Manual Cat Value]]="",Table2[[#This Row],[Suggested Cat Value]],VLOOKUP(Table2[[#This Row],[Manual Cat Value]],Lookup!G:H,2,0))</f>
        <v>Shopping</v>
      </c>
      <c r="G14764" t="e">
        <f>VLOOKUP(D14764,Lookup!G:H,2,0)</f>
        <v>#N/A</v>
      </c>
      <c r="H14764" s="164" t="s">
        <v>36</v>
      </c>
      <c r="I14764" s="8"/>
      <c r="O14764" t="str">
        <f>LEFT(Table2[[#This Row],[Description]],75)</f>
        <v>AplPay GALATEA      SAN FRANCISCO       CA</v>
      </c>
    </row>
    <row r="14765" spans="1:15" hidden="1">
      <c r="A14765" s="162">
        <v>202512</v>
      </c>
      <c r="B14765" s="163">
        <v>46018</v>
      </c>
      <c r="C14765" s="162" t="s">
        <v>130</v>
      </c>
      <c r="D14765" s="162" t="s">
        <v>7030</v>
      </c>
      <c r="E14765" s="162">
        <v>14.16</v>
      </c>
      <c r="F14765" t="str">
        <f>IF(Table2[[#This Row],[Manual Cat Value]]="",Table2[[#This Row],[Suggested Cat Value]],VLOOKUP(Table2[[#This Row],[Manual Cat Value]],Lookup!G:H,2,0))</f>
        <v>Transportation</v>
      </c>
      <c r="G14765" t="e">
        <f>VLOOKUP(D14765,Lookup!G:H,2,0)</f>
        <v>#N/A</v>
      </c>
      <c r="H14765" s="164" t="s">
        <v>22</v>
      </c>
      <c r="I14765" s="8"/>
      <c r="O14765" t="str">
        <f>LEFT(Table2[[#This Row],[Description]],75)</f>
        <v>AplPay HOLIDAY STATIFOREST LAKE         MN</v>
      </c>
    </row>
    <row r="14766" spans="1:15" hidden="1">
      <c r="A14766" s="165">
        <v>202512</v>
      </c>
      <c r="B14766" s="166">
        <v>46018</v>
      </c>
      <c r="C14766" s="165" t="s">
        <v>130</v>
      </c>
      <c r="D14766" s="165" t="s">
        <v>7030</v>
      </c>
      <c r="E14766" s="165">
        <v>23.84</v>
      </c>
      <c r="F14766" t="str">
        <f>IF(Table2[[#This Row],[Manual Cat Value]]="",Table2[[#This Row],[Suggested Cat Value]],VLOOKUP(Table2[[#This Row],[Manual Cat Value]],Lookup!G:H,2,0))</f>
        <v>Transportation</v>
      </c>
      <c r="G14766" t="e">
        <f>VLOOKUP(D14766,Lookup!G:H,2,0)</f>
        <v>#N/A</v>
      </c>
      <c r="H14766" s="164" t="s">
        <v>22</v>
      </c>
      <c r="I14766" s="8"/>
      <c r="O14766" t="str">
        <f>LEFT(Table2[[#This Row],[Description]],75)</f>
        <v>AplPay HOLIDAY STATIFOREST LAKE         MN</v>
      </c>
    </row>
    <row r="14767" spans="1:15" hidden="1">
      <c r="A14767" s="162">
        <v>202511</v>
      </c>
      <c r="B14767" s="163">
        <v>45979</v>
      </c>
      <c r="C14767" s="162" t="s">
        <v>130</v>
      </c>
      <c r="D14767" s="162" t="s">
        <v>6350</v>
      </c>
      <c r="E14767" s="162">
        <v>45.66</v>
      </c>
      <c r="F14767" t="str">
        <f>IF(Table2[[#This Row],[Manual Cat Value]]="",Table2[[#This Row],[Suggested Cat Value]],VLOOKUP(Table2[[#This Row],[Manual Cat Value]],Lookup!G:H,2,0))</f>
        <v>House Maintenance</v>
      </c>
      <c r="G14767" t="e">
        <f>VLOOKUP(D14767,Lookup!G:H,2,0)</f>
        <v>#N/A</v>
      </c>
      <c r="H14767" s="164" t="s">
        <v>1</v>
      </c>
      <c r="I14767" s="8"/>
      <c r="O14767" t="str">
        <f>LEFT(Table2[[#This Row],[Description]],75)</f>
        <v>AplPay HOMEDEPOT.COM800-430-3376        GA</v>
      </c>
    </row>
    <row r="14768" spans="1:15" hidden="1">
      <c r="A14768" s="165">
        <v>202511</v>
      </c>
      <c r="B14768" s="166">
        <v>45970</v>
      </c>
      <c r="C14768" s="165" t="s">
        <v>130</v>
      </c>
      <c r="D14768" s="165" t="s">
        <v>6350</v>
      </c>
      <c r="E14768" s="165">
        <v>22.83</v>
      </c>
      <c r="F14768" t="str">
        <f>IF(Table2[[#This Row],[Manual Cat Value]]="",Table2[[#This Row],[Suggested Cat Value]],VLOOKUP(Table2[[#This Row],[Manual Cat Value]],Lookup!G:H,2,0))</f>
        <v>House Maintenance</v>
      </c>
      <c r="G14768" t="e">
        <f>VLOOKUP(D14768,Lookup!G:H,2,0)</f>
        <v>#N/A</v>
      </c>
      <c r="H14768" s="164" t="s">
        <v>1</v>
      </c>
      <c r="I14768" s="8"/>
      <c r="O14768" t="str">
        <f>LEFT(Table2[[#This Row],[Description]],75)</f>
        <v>AplPay HOMEDEPOT.COM800-430-3376        GA</v>
      </c>
    </row>
    <row r="14769" spans="1:15" hidden="1">
      <c r="A14769" s="162">
        <v>202511</v>
      </c>
      <c r="B14769" s="163">
        <v>45969</v>
      </c>
      <c r="C14769" s="162" t="s">
        <v>130</v>
      </c>
      <c r="D14769" s="162" t="s">
        <v>6350</v>
      </c>
      <c r="E14769" s="162">
        <v>53.32</v>
      </c>
      <c r="F14769" t="str">
        <f>IF(Table2[[#This Row],[Manual Cat Value]]="",Table2[[#This Row],[Suggested Cat Value]],VLOOKUP(Table2[[#This Row],[Manual Cat Value]],Lookup!G:H,2,0))</f>
        <v>House Maintenance</v>
      </c>
      <c r="G14769" t="e">
        <f>VLOOKUP(D14769,Lookup!G:H,2,0)</f>
        <v>#N/A</v>
      </c>
      <c r="H14769" s="164" t="s">
        <v>1</v>
      </c>
      <c r="I14769" s="8"/>
      <c r="O14769" t="str">
        <f>LEFT(Table2[[#This Row],[Description]],75)</f>
        <v>AplPay HOMEDEPOT.COM800-430-3376        GA</v>
      </c>
    </row>
    <row r="14770" spans="1:15" hidden="1">
      <c r="A14770" s="165">
        <v>202511</v>
      </c>
      <c r="B14770" s="166">
        <v>45968</v>
      </c>
      <c r="C14770" s="165" t="s">
        <v>130</v>
      </c>
      <c r="D14770" s="165" t="s">
        <v>5771</v>
      </c>
      <c r="E14770" s="165">
        <v>1.31</v>
      </c>
      <c r="F14770" t="str">
        <f>IF(Table2[[#This Row],[Manual Cat Value]]="",Table2[[#This Row],[Suggested Cat Value]],VLOOKUP(Table2[[#This Row],[Manual Cat Value]],Lookup!G:H,2,0))</f>
        <v>Restaurants</v>
      </c>
      <c r="G14770" t="e">
        <f>VLOOKUP(D14770,Lookup!G:H,2,0)</f>
        <v>#N/A</v>
      </c>
      <c r="H14770" s="164" t="s">
        <v>25</v>
      </c>
      <c r="I14770" s="8"/>
      <c r="O14770" t="str">
        <f>LEFT(Table2[[#This Row],[Description]],75)</f>
        <v>AplPay JIMMY JOHNS -CHANHASSEN          MN</v>
      </c>
    </row>
    <row r="14771" spans="1:15" hidden="1">
      <c r="A14771" s="162">
        <v>202512</v>
      </c>
      <c r="B14771" s="163">
        <v>46013</v>
      </c>
      <c r="C14771" s="162" t="s">
        <v>130</v>
      </c>
      <c r="D14771" s="162" t="s">
        <v>7031</v>
      </c>
      <c r="E14771" s="162">
        <v>46.24</v>
      </c>
      <c r="F14771" t="str">
        <f>IF(Table2[[#This Row],[Manual Cat Value]]="",Table2[[#This Row],[Suggested Cat Value]],VLOOKUP(Table2[[#This Row],[Manual Cat Value]],Lookup!G:H,2,0))</f>
        <v>Shopping</v>
      </c>
      <c r="G14771" t="e">
        <f>VLOOKUP(D14771,Lookup!G:H,2,0)</f>
        <v>#N/A</v>
      </c>
      <c r="H14771" s="164" t="s">
        <v>36</v>
      </c>
      <c r="I14771" s="8"/>
      <c r="O14771" t="str">
        <f>LEFT(Table2[[#This Row],[Description]],75)</f>
        <v>AplPay KOHL'S       CHASKA              MN</v>
      </c>
    </row>
    <row r="14772" spans="1:15" hidden="1">
      <c r="A14772" s="165">
        <v>202511</v>
      </c>
      <c r="B14772" s="166">
        <v>45982</v>
      </c>
      <c r="C14772" s="165" t="s">
        <v>130</v>
      </c>
      <c r="D14772" s="165" t="s">
        <v>5849</v>
      </c>
      <c r="E14772" s="165">
        <v>33.32</v>
      </c>
      <c r="F14772" t="str">
        <f>IF(Table2[[#This Row],[Manual Cat Value]]="",Table2[[#This Row],[Suggested Cat Value]],VLOOKUP(Table2[[#This Row],[Manual Cat Value]],Lookup!G:H,2,0))</f>
        <v>Groceries</v>
      </c>
      <c r="G14772" t="e">
        <f>VLOOKUP(D14772,Lookup!G:H,2,0)</f>
        <v>#N/A</v>
      </c>
      <c r="H14772" s="164" t="s">
        <v>27</v>
      </c>
      <c r="I14772" s="8"/>
      <c r="O14772" t="str">
        <f>LEFT(Table2[[#This Row],[Description]],75)</f>
        <v>AplPay KOWALSKI'S EXEXCELSIOR           MN</v>
      </c>
    </row>
    <row r="14773" spans="1:15" hidden="1">
      <c r="A14773" s="162">
        <v>202511</v>
      </c>
      <c r="B14773" s="163">
        <v>45968</v>
      </c>
      <c r="C14773" s="162" t="s">
        <v>130</v>
      </c>
      <c r="D14773" s="162" t="s">
        <v>5849</v>
      </c>
      <c r="E14773" s="162">
        <v>23.54</v>
      </c>
      <c r="F14773" t="str">
        <f>IF(Table2[[#This Row],[Manual Cat Value]]="",Table2[[#This Row],[Suggested Cat Value]],VLOOKUP(Table2[[#This Row],[Manual Cat Value]],Lookup!G:H,2,0))</f>
        <v>Groceries</v>
      </c>
      <c r="G14773" t="e">
        <f>VLOOKUP(D14773,Lookup!G:H,2,0)</f>
        <v>#N/A</v>
      </c>
      <c r="H14773" s="164" t="s">
        <v>27</v>
      </c>
      <c r="I14773" s="8"/>
      <c r="O14773" t="str">
        <f>LEFT(Table2[[#This Row],[Description]],75)</f>
        <v>AplPay KOWALSKI'S EXEXCELSIOR           MN</v>
      </c>
    </row>
    <row r="14774" spans="1:15" hidden="1">
      <c r="A14774" s="165">
        <v>202511</v>
      </c>
      <c r="B14774" s="166">
        <v>45975</v>
      </c>
      <c r="C14774" s="165" t="s">
        <v>130</v>
      </c>
      <c r="D14774" s="165" t="s">
        <v>6327</v>
      </c>
      <c r="E14774" s="165">
        <v>41.12</v>
      </c>
      <c r="F14774" t="str">
        <f>IF(Table2[[#This Row],[Manual Cat Value]]="",Table2[[#This Row],[Suggested Cat Value]],VLOOKUP(Table2[[#This Row],[Manual Cat Value]],Lookup!G:H,2,0))</f>
        <v>Groceries</v>
      </c>
      <c r="G14774" t="e">
        <f>VLOOKUP(D14774,Lookup!G:H,2,0)</f>
        <v>#N/A</v>
      </c>
      <c r="H14774" s="164" t="s">
        <v>27</v>
      </c>
      <c r="I14774" s="8"/>
      <c r="O14774" t="str">
        <f>LEFT(Table2[[#This Row],[Description]],75)</f>
        <v>AplPay LEEANN CHIN 0CHANHASSEN          MN</v>
      </c>
    </row>
    <row r="14775" spans="1:15" hidden="1">
      <c r="A14775" s="162">
        <v>202512</v>
      </c>
      <c r="B14775" s="163">
        <v>45997</v>
      </c>
      <c r="C14775" s="162" t="s">
        <v>130</v>
      </c>
      <c r="D14775" s="162" t="s">
        <v>7032</v>
      </c>
      <c r="E14775" s="162">
        <v>203.84</v>
      </c>
      <c r="F14775" t="str">
        <f>IF(Table2[[#This Row],[Manual Cat Value]]="",Table2[[#This Row],[Suggested Cat Value]],VLOOKUP(Table2[[#This Row],[Manual Cat Value]],Lookup!G:H,2,0))</f>
        <v>Groceries</v>
      </c>
      <c r="G14775" t="e">
        <f>VLOOKUP(D14775,Lookup!G:H,2,0)</f>
        <v>#N/A</v>
      </c>
      <c r="H14775" s="164" t="s">
        <v>27</v>
      </c>
      <c r="I14775" s="8"/>
      <c r="O14775" t="str">
        <f>LEFT(Table2[[#This Row],[Description]],75)</f>
        <v>AplPay LLBEAN-DIRECT207-8654761         ME</v>
      </c>
    </row>
    <row r="14776" spans="1:15" hidden="1">
      <c r="A14776" s="165">
        <v>202511</v>
      </c>
      <c r="B14776" s="166">
        <v>45986</v>
      </c>
      <c r="C14776" s="165" t="s">
        <v>130</v>
      </c>
      <c r="D14776" s="165" t="s">
        <v>6009</v>
      </c>
      <c r="E14776" s="165">
        <v>194.66</v>
      </c>
      <c r="F14776" t="str">
        <f>IF(Table2[[#This Row],[Manual Cat Value]]="",Table2[[#This Row],[Suggested Cat Value]],VLOOKUP(Table2[[#This Row],[Manual Cat Value]],Lookup!G:H,2,0))</f>
        <v>Groceries</v>
      </c>
      <c r="G14776" t="e">
        <f>VLOOKUP(D14776,Lookup!G:H,2,0)</f>
        <v>#N/A</v>
      </c>
      <c r="H14776" s="164" t="s">
        <v>27</v>
      </c>
      <c r="I14776" s="8"/>
      <c r="O14776" t="str">
        <f>LEFT(Table2[[#This Row],[Description]],75)</f>
        <v>AplPay LUNDS&amp;BYERLYSCHANHASSEN          MN</v>
      </c>
    </row>
    <row r="14777" spans="1:15" hidden="1">
      <c r="A14777" s="162">
        <v>202512</v>
      </c>
      <c r="B14777" s="163">
        <v>46012</v>
      </c>
      <c r="C14777" s="162" t="s">
        <v>130</v>
      </c>
      <c r="D14777" s="162" t="s">
        <v>7033</v>
      </c>
      <c r="E14777" s="162">
        <v>10.48</v>
      </c>
      <c r="F14777" t="str">
        <f>IF(Table2[[#This Row],[Manual Cat Value]]="",Table2[[#This Row],[Suggested Cat Value]],VLOOKUP(Table2[[#This Row],[Manual Cat Value]],Lookup!G:H,2,0))</f>
        <v>Groceries</v>
      </c>
      <c r="G14777" t="e">
        <f>VLOOKUP(D14777,Lookup!G:H,2,0)</f>
        <v>#N/A</v>
      </c>
      <c r="H14777" s="164" t="s">
        <v>27</v>
      </c>
      <c r="I14777" s="8"/>
      <c r="O14777" t="str">
        <f>LEFT(Table2[[#This Row],[Description]],75)</f>
        <v>AplPay LUNDS&amp;BYERLYSMINNETONKA          MN</v>
      </c>
    </row>
    <row r="14778" spans="1:15" hidden="1">
      <c r="A14778" s="165">
        <v>202512</v>
      </c>
      <c r="B14778" s="166">
        <v>46003</v>
      </c>
      <c r="C14778" s="165" t="s">
        <v>130</v>
      </c>
      <c r="D14778" s="165" t="s">
        <v>7034</v>
      </c>
      <c r="E14778" s="165">
        <v>48</v>
      </c>
      <c r="F14778" t="str">
        <f>IF(Table2[[#This Row],[Manual Cat Value]]="",Table2[[#This Row],[Suggested Cat Value]],VLOOKUP(Table2[[#This Row],[Manual Cat Value]],Lookup!G:H,2,0))</f>
        <v>Day Care</v>
      </c>
      <c r="G14778" t="e">
        <f>VLOOKUP(D14778,Lookup!G:H,2,0)</f>
        <v>#N/A</v>
      </c>
      <c r="H14778" s="164" t="s">
        <v>19</v>
      </c>
      <c r="I14778" s="8"/>
      <c r="O14778" t="str">
        <f>LEFT(Table2[[#This Row],[Description]],75)</f>
        <v>AplPay MINNETONKA SKMinnetonka          MN</v>
      </c>
    </row>
    <row r="14779" spans="1:15" hidden="1">
      <c r="A14779" s="162">
        <v>202511</v>
      </c>
      <c r="B14779" s="163">
        <v>45987</v>
      </c>
      <c r="C14779" s="162" t="s">
        <v>130</v>
      </c>
      <c r="D14779" s="162" t="s">
        <v>6752</v>
      </c>
      <c r="E14779" s="162">
        <v>32.450000000000003</v>
      </c>
      <c r="F14779" t="str">
        <f>IF(Table2[[#This Row],[Manual Cat Value]]="",Table2[[#This Row],[Suggested Cat Value]],VLOOKUP(Table2[[#This Row],[Manual Cat Value]],Lookup!G:H,2,0))</f>
        <v>Restaurants</v>
      </c>
      <c r="G14779" t="e">
        <f>VLOOKUP(D14779,Lookup!G:H,2,0)</f>
        <v>#N/A</v>
      </c>
      <c r="H14779" s="164" t="s">
        <v>25</v>
      </c>
      <c r="I14779" s="8"/>
      <c r="O14779" t="str">
        <f>LEFT(Table2[[#This Row],[Description]],75)</f>
        <v>AplPay NOODLES AND CBROOMFIELD          CO</v>
      </c>
    </row>
    <row r="14780" spans="1:15" hidden="1">
      <c r="A14780" s="165">
        <v>202512</v>
      </c>
      <c r="B14780" s="166">
        <v>45996</v>
      </c>
      <c r="C14780" s="165" t="s">
        <v>130</v>
      </c>
      <c r="D14780" s="165" t="s">
        <v>7035</v>
      </c>
      <c r="E14780" s="165">
        <v>2.9</v>
      </c>
      <c r="F14780" t="str">
        <f>IF(Table2[[#This Row],[Manual Cat Value]]="",Table2[[#This Row],[Suggested Cat Value]],VLOOKUP(Table2[[#This Row],[Manual Cat Value]],Lookup!G:H,2,0))</f>
        <v>Shopping</v>
      </c>
      <c r="G14780" t="e">
        <f>VLOOKUP(D14780,Lookup!G:H,2,0)</f>
        <v>#N/A</v>
      </c>
      <c r="H14780" s="164" t="s">
        <v>36</v>
      </c>
      <c r="I14780" s="8"/>
      <c r="O14780" t="str">
        <f>LEFT(Table2[[#This Row],[Description]],75)</f>
        <v>AplPay NYCT PAYGO   NEW YORK            NY</v>
      </c>
    </row>
    <row r="14781" spans="1:15" hidden="1">
      <c r="A14781" s="162">
        <v>202512</v>
      </c>
      <c r="B14781" s="163">
        <v>45996</v>
      </c>
      <c r="C14781" s="162" t="s">
        <v>130</v>
      </c>
      <c r="D14781" s="162" t="s">
        <v>7036</v>
      </c>
      <c r="E14781" s="162">
        <v>13.61</v>
      </c>
      <c r="F14781" t="str">
        <f>IF(Table2[[#This Row],[Manual Cat Value]]="",Table2[[#This Row],[Suggested Cat Value]],VLOOKUP(Table2[[#This Row],[Manual Cat Value]],Lookup!G:H,2,0))</f>
        <v>Shopping</v>
      </c>
      <c r="G14781" t="e">
        <f>VLOOKUP(D14781,Lookup!G:H,2,0)</f>
        <v>#N/A</v>
      </c>
      <c r="H14781" s="164" t="s">
        <v>36</v>
      </c>
      <c r="I14781" s="8"/>
      <c r="O14781" t="str">
        <f>LEFT(Table2[[#This Row],[Description]],75)</f>
        <v>AplPay OGX MEDIA EXPNEW YORK            NY</v>
      </c>
    </row>
    <row r="14782" spans="1:15" hidden="1">
      <c r="A14782" s="165">
        <v>202511</v>
      </c>
      <c r="B14782" s="166">
        <v>45990</v>
      </c>
      <c r="C14782" s="165" t="s">
        <v>130</v>
      </c>
      <c r="D14782" s="165" t="s">
        <v>7037</v>
      </c>
      <c r="E14782" s="165">
        <v>8.06</v>
      </c>
      <c r="F14782" t="str">
        <f>IF(Table2[[#This Row],[Manual Cat Value]]="",Table2[[#This Row],[Suggested Cat Value]],VLOOKUP(Table2[[#This Row],[Manual Cat Value]],Lookup!G:H,2,0))</f>
        <v>Shopping</v>
      </c>
      <c r="G14782" t="e">
        <f>VLOOKUP(D14782,Lookup!G:H,2,0)</f>
        <v>#N/A</v>
      </c>
      <c r="H14782" s="164" t="s">
        <v>36</v>
      </c>
      <c r="I14782" s="8"/>
      <c r="O14782" t="str">
        <f>LEFT(Table2[[#This Row],[Description]],75)</f>
        <v>AplPay PARKING* EXCEMILWAUKEE           WI</v>
      </c>
    </row>
    <row r="14783" spans="1:15" hidden="1">
      <c r="A14783" s="162">
        <v>202512</v>
      </c>
      <c r="B14783" s="163">
        <v>46013</v>
      </c>
      <c r="C14783" s="162" t="s">
        <v>130</v>
      </c>
      <c r="D14783" s="162" t="s">
        <v>5934</v>
      </c>
      <c r="E14783" s="162">
        <v>143.99</v>
      </c>
      <c r="F14783" t="str">
        <f>IF(Table2[[#This Row],[Manual Cat Value]]="",Table2[[#This Row],[Suggested Cat Value]],VLOOKUP(Table2[[#This Row],[Manual Cat Value]],Lookup!G:H,2,0))</f>
        <v>Shopping</v>
      </c>
      <c r="G14783" t="e">
        <f>VLOOKUP(D14783,Lookup!G:H,2,0)</f>
        <v>#N/A</v>
      </c>
      <c r="H14783" s="164" t="s">
        <v>36</v>
      </c>
      <c r="I14783" s="8"/>
      <c r="O14783" t="str">
        <f>LEFT(Table2[[#This Row],[Description]],75)</f>
        <v>AplPay SAMPLER STORELENEXA              KS</v>
      </c>
    </row>
    <row r="14784" spans="1:15" hidden="1">
      <c r="A14784" s="165">
        <v>202512</v>
      </c>
      <c r="B14784" s="166">
        <v>46018</v>
      </c>
      <c r="C14784" s="165" t="s">
        <v>130</v>
      </c>
      <c r="D14784" s="165" t="s">
        <v>7038</v>
      </c>
      <c r="E14784" s="165">
        <v>128</v>
      </c>
      <c r="F14784" t="str">
        <f>IF(Table2[[#This Row],[Manual Cat Value]]="",Table2[[#This Row],[Suggested Cat Value]],VLOOKUP(Table2[[#This Row],[Manual Cat Value]],Lookup!G:H,2,0))</f>
        <v>Shopping</v>
      </c>
      <c r="G14784" t="e">
        <f>VLOOKUP(D14784,Lookup!G:H,2,0)</f>
        <v>#N/A</v>
      </c>
      <c r="H14784" s="164" t="s">
        <v>36</v>
      </c>
      <c r="I14784" s="8"/>
      <c r="O14784" t="str">
        <f>LEFT(Table2[[#This Row],[Description]],75)</f>
        <v>AplPay SP EVEREVE   EDINA               MN</v>
      </c>
    </row>
    <row r="14785" spans="1:15" hidden="1">
      <c r="A14785" s="162">
        <v>202511</v>
      </c>
      <c r="B14785" s="163">
        <v>45988</v>
      </c>
      <c r="C14785" s="162" t="s">
        <v>130</v>
      </c>
      <c r="D14785" s="162" t="s">
        <v>7038</v>
      </c>
      <c r="E14785" s="162">
        <v>-532</v>
      </c>
      <c r="F14785" t="str">
        <f>IF(Table2[[#This Row],[Manual Cat Value]]="",Table2[[#This Row],[Suggested Cat Value]],VLOOKUP(Table2[[#This Row],[Manual Cat Value]],Lookup!G:H,2,0))</f>
        <v>Shopping</v>
      </c>
      <c r="G14785" t="e">
        <f>VLOOKUP(D14785,Lookup!G:H,2,0)</f>
        <v>#N/A</v>
      </c>
      <c r="H14785" s="164" t="s">
        <v>36</v>
      </c>
      <c r="I14785" s="8"/>
      <c r="O14785" t="str">
        <f>LEFT(Table2[[#This Row],[Description]],75)</f>
        <v>AplPay SP EVEREVE   EDINA               MN</v>
      </c>
    </row>
    <row r="14786" spans="1:15" hidden="1">
      <c r="A14786" s="165">
        <v>202511</v>
      </c>
      <c r="B14786" s="166">
        <v>45988</v>
      </c>
      <c r="C14786" s="165" t="s">
        <v>130</v>
      </c>
      <c r="D14786" s="165" t="s">
        <v>7038</v>
      </c>
      <c r="E14786" s="165">
        <v>-26</v>
      </c>
      <c r="F14786" t="str">
        <f>IF(Table2[[#This Row],[Manual Cat Value]]="",Table2[[#This Row],[Suggested Cat Value]],VLOOKUP(Table2[[#This Row],[Manual Cat Value]],Lookup!G:H,2,0))</f>
        <v>Shopping</v>
      </c>
      <c r="G14786" t="e">
        <f>VLOOKUP(D14786,Lookup!G:H,2,0)</f>
        <v>#N/A</v>
      </c>
      <c r="H14786" s="164" t="s">
        <v>36</v>
      </c>
      <c r="I14786" s="8"/>
      <c r="O14786" t="str">
        <f>LEFT(Table2[[#This Row],[Description]],75)</f>
        <v>AplPay SP EVEREVE   EDINA               MN</v>
      </c>
    </row>
    <row r="14787" spans="1:15" hidden="1">
      <c r="A14787" s="162">
        <v>202511</v>
      </c>
      <c r="B14787" s="163">
        <v>45987</v>
      </c>
      <c r="C14787" s="162" t="s">
        <v>130</v>
      </c>
      <c r="D14787" s="162" t="s">
        <v>7038</v>
      </c>
      <c r="E14787" s="162">
        <v>32</v>
      </c>
      <c r="F14787" t="str">
        <f>IF(Table2[[#This Row],[Manual Cat Value]]="",Table2[[#This Row],[Suggested Cat Value]],VLOOKUP(Table2[[#This Row],[Manual Cat Value]],Lookup!G:H,2,0))</f>
        <v>Shopping</v>
      </c>
      <c r="G14787" t="e">
        <f>VLOOKUP(D14787,Lookup!G:H,2,0)</f>
        <v>#N/A</v>
      </c>
      <c r="H14787" s="164" t="s">
        <v>36</v>
      </c>
      <c r="I14787" s="8"/>
      <c r="O14787" t="str">
        <f>LEFT(Table2[[#This Row],[Description]],75)</f>
        <v>AplPay SP EVEREVE   EDINA               MN</v>
      </c>
    </row>
    <row r="14788" spans="1:15" hidden="1">
      <c r="A14788" s="165">
        <v>202511</v>
      </c>
      <c r="B14788" s="166">
        <v>45982</v>
      </c>
      <c r="C14788" s="165" t="s">
        <v>130</v>
      </c>
      <c r="D14788" s="165" t="s">
        <v>7038</v>
      </c>
      <c r="E14788" s="165">
        <v>1605.77</v>
      </c>
      <c r="F14788" t="str">
        <f>IF(Table2[[#This Row],[Manual Cat Value]]="",Table2[[#This Row],[Suggested Cat Value]],VLOOKUP(Table2[[#This Row],[Manual Cat Value]],Lookup!G:H,2,0))</f>
        <v>Shopping</v>
      </c>
      <c r="G14788" t="e">
        <f>VLOOKUP(D14788,Lookup!G:H,2,0)</f>
        <v>#N/A</v>
      </c>
      <c r="H14788" s="164" t="s">
        <v>36</v>
      </c>
      <c r="I14788" s="8"/>
      <c r="O14788" t="str">
        <f>LEFT(Table2[[#This Row],[Description]],75)</f>
        <v>AplPay SP EVEREVE   EDINA               MN</v>
      </c>
    </row>
    <row r="14789" spans="1:15" hidden="1">
      <c r="A14789" s="162">
        <v>202512</v>
      </c>
      <c r="B14789" s="163">
        <v>46003</v>
      </c>
      <c r="C14789" s="162" t="s">
        <v>130</v>
      </c>
      <c r="D14789" s="162" t="s">
        <v>6062</v>
      </c>
      <c r="E14789" s="162">
        <v>7.63</v>
      </c>
      <c r="F14789" t="str">
        <f>IF(Table2[[#This Row],[Manual Cat Value]]="",Table2[[#This Row],[Suggested Cat Value]],VLOOKUP(Table2[[#This Row],[Manual Cat Value]],Lookup!G:H,2,0))</f>
        <v>Shopping</v>
      </c>
      <c r="G14789" t="e">
        <f>VLOOKUP(D14789,Lookup!G:H,2,0)</f>
        <v>#N/A</v>
      </c>
      <c r="H14789" s="164" t="s">
        <v>36</v>
      </c>
      <c r="I14789" s="8"/>
      <c r="O14789" t="str">
        <f>LEFT(Table2[[#This Row],[Description]],75)</f>
        <v>AplPay SP FLEURISH LEXCELSIOR           MN</v>
      </c>
    </row>
    <row r="14790" spans="1:15" hidden="1">
      <c r="A14790" s="165">
        <v>202511</v>
      </c>
      <c r="B14790" s="166">
        <v>45987</v>
      </c>
      <c r="C14790" s="165" t="s">
        <v>130</v>
      </c>
      <c r="D14790" s="165" t="s">
        <v>7039</v>
      </c>
      <c r="E14790" s="165">
        <v>50.4</v>
      </c>
      <c r="F14790" t="str">
        <f>IF(Table2[[#This Row],[Manual Cat Value]]="",Table2[[#This Row],[Suggested Cat Value]],VLOOKUP(Table2[[#This Row],[Manual Cat Value]],Lookup!G:H,2,0))</f>
        <v>Shopping</v>
      </c>
      <c r="G14790" t="e">
        <f>VLOOKUP(D14790,Lookup!G:H,2,0)</f>
        <v>#N/A</v>
      </c>
      <c r="H14790" s="164" t="s">
        <v>36</v>
      </c>
      <c r="I14790" s="8"/>
      <c r="O14790" t="str">
        <f>LEFT(Table2[[#This Row],[Description]],75)</f>
        <v>AplPay SP LITTLE SLESHERMAN OAKS        CA</v>
      </c>
    </row>
    <row r="14791" spans="1:15" hidden="1">
      <c r="A14791" s="162">
        <v>202511</v>
      </c>
      <c r="B14791" s="163">
        <v>45986</v>
      </c>
      <c r="C14791" s="162" t="s">
        <v>130</v>
      </c>
      <c r="D14791" s="162" t="s">
        <v>7039</v>
      </c>
      <c r="E14791" s="162">
        <v>104.1</v>
      </c>
      <c r="F14791" t="str">
        <f>IF(Table2[[#This Row],[Manual Cat Value]]="",Table2[[#This Row],[Suggested Cat Value]],VLOOKUP(Table2[[#This Row],[Manual Cat Value]],Lookup!G:H,2,0))</f>
        <v>Shopping</v>
      </c>
      <c r="G14791" t="e">
        <f>VLOOKUP(D14791,Lookup!G:H,2,0)</f>
        <v>#N/A</v>
      </c>
      <c r="H14791" s="164" t="s">
        <v>36</v>
      </c>
      <c r="I14791" s="8"/>
      <c r="O14791" t="str">
        <f>LEFT(Table2[[#This Row],[Description]],75)</f>
        <v>AplPay SP LITTLE SLESHERMAN OAKS        CA</v>
      </c>
    </row>
    <row r="14792" spans="1:15" hidden="1">
      <c r="A14792" s="165">
        <v>202511</v>
      </c>
      <c r="B14792" s="166">
        <v>45970</v>
      </c>
      <c r="C14792" s="165" t="s">
        <v>130</v>
      </c>
      <c r="D14792" s="165" t="s">
        <v>7040</v>
      </c>
      <c r="E14792" s="165">
        <v>102.84</v>
      </c>
      <c r="F14792" t="str">
        <f>IF(Table2[[#This Row],[Manual Cat Value]]="",Table2[[#This Row],[Suggested Cat Value]],VLOOKUP(Table2[[#This Row],[Manual Cat Value]],Lookup!G:H,2,0))</f>
        <v>Shopping</v>
      </c>
      <c r="G14792" t="e">
        <f>VLOOKUP(D14792,Lookup!G:H,2,0)</f>
        <v>#N/A</v>
      </c>
      <c r="H14792" s="164" t="s">
        <v>36</v>
      </c>
      <c r="I14792" s="8"/>
      <c r="O14792" t="str">
        <f>LEFT(Table2[[#This Row],[Description]],75)</f>
        <v>AplPay SP TECOVAS   AUSTIN              TX</v>
      </c>
    </row>
    <row r="14793" spans="1:15" hidden="1">
      <c r="A14793" s="162">
        <v>202512</v>
      </c>
      <c r="B14793" s="163">
        <v>45992</v>
      </c>
      <c r="C14793" s="162" t="s">
        <v>130</v>
      </c>
      <c r="D14793" s="162" t="s">
        <v>7041</v>
      </c>
      <c r="E14793" s="162">
        <v>15.54</v>
      </c>
      <c r="F14793" t="str">
        <f>IF(Table2[[#This Row],[Manual Cat Value]]="",Table2[[#This Row],[Suggested Cat Value]],VLOOKUP(Table2[[#This Row],[Manual Cat Value]],Lookup!G:H,2,0))</f>
        <v>Restaurants</v>
      </c>
      <c r="G14793" t="e">
        <f>VLOOKUP(D14793,Lookup!G:H,2,0)</f>
        <v>#N/A</v>
      </c>
      <c r="H14793" s="164" t="s">
        <v>25</v>
      </c>
      <c r="I14793" s="8"/>
      <c r="O14793" t="str">
        <f>LEFT(Table2[[#This Row],[Description]],75)</f>
        <v>AplPay SWEETGREEN GAEDINA               MN</v>
      </c>
    </row>
    <row r="14794" spans="1:15" hidden="1">
      <c r="A14794" s="165">
        <v>202511</v>
      </c>
      <c r="B14794" s="166">
        <v>45987</v>
      </c>
      <c r="C14794" s="165" t="s">
        <v>130</v>
      </c>
      <c r="D14794" s="165" t="s">
        <v>6831</v>
      </c>
      <c r="E14794" s="165">
        <v>26.81</v>
      </c>
      <c r="F14794" t="str">
        <f>IF(Table2[[#This Row],[Manual Cat Value]]="",Table2[[#This Row],[Suggested Cat Value]],VLOOKUP(Table2[[#This Row],[Manual Cat Value]],Lookup!G:H,2,0))</f>
        <v>Target</v>
      </c>
      <c r="G14794" t="e">
        <f>VLOOKUP(D14794,Lookup!G:H,2,0)</f>
        <v>#N/A</v>
      </c>
      <c r="H14794" s="164" t="s">
        <v>30</v>
      </c>
      <c r="I14794" s="8"/>
      <c r="O14794" t="str">
        <f>LEFT(Table2[[#This Row],[Description]],75)</f>
        <v>AplPay TARGET       MINNETONKA          MN</v>
      </c>
    </row>
    <row r="14795" spans="1:15" hidden="1">
      <c r="A14795" s="162">
        <v>202511</v>
      </c>
      <c r="B14795" s="163">
        <v>45985</v>
      </c>
      <c r="C14795" s="162" t="s">
        <v>130</v>
      </c>
      <c r="D14795" s="162" t="s">
        <v>6831</v>
      </c>
      <c r="E14795" s="162">
        <v>127.35</v>
      </c>
      <c r="F14795" t="str">
        <f>IF(Table2[[#This Row],[Manual Cat Value]]="",Table2[[#This Row],[Suggested Cat Value]],VLOOKUP(Table2[[#This Row],[Manual Cat Value]],Lookup!G:H,2,0))</f>
        <v>Target</v>
      </c>
      <c r="G14795" t="e">
        <f>VLOOKUP(D14795,Lookup!G:H,2,0)</f>
        <v>#N/A</v>
      </c>
      <c r="H14795" s="164" t="s">
        <v>30</v>
      </c>
      <c r="I14795" s="8"/>
      <c r="O14795" t="str">
        <f>LEFT(Table2[[#This Row],[Description]],75)</f>
        <v>AplPay TARGET       MINNETONKA          MN</v>
      </c>
    </row>
    <row r="14796" spans="1:15" hidden="1">
      <c r="A14796" s="165">
        <v>202511</v>
      </c>
      <c r="B14796" s="166">
        <v>45977</v>
      </c>
      <c r="C14796" s="165" t="s">
        <v>130</v>
      </c>
      <c r="D14796" s="165" t="s">
        <v>6184</v>
      </c>
      <c r="E14796" s="165">
        <v>17.309999999999999</v>
      </c>
      <c r="F14796" t="str">
        <f>IF(Table2[[#This Row],[Manual Cat Value]]="",Table2[[#This Row],[Suggested Cat Value]],VLOOKUP(Table2[[#This Row],[Manual Cat Value]],Lookup!G:H,2,0))</f>
        <v>House Maintenance</v>
      </c>
      <c r="G14796" t="e">
        <f>VLOOKUP(D14796,Lookup!G:H,2,0)</f>
        <v>#N/A</v>
      </c>
      <c r="H14796" s="164" t="s">
        <v>1</v>
      </c>
      <c r="I14796" s="8"/>
      <c r="O14796" t="str">
        <f>LEFT(Table2[[#This Row],[Description]],75)</f>
        <v>AplPay THE HOME DEPOCHASKA              MN</v>
      </c>
    </row>
    <row r="14797" spans="1:15" hidden="1">
      <c r="A14797" s="162">
        <v>202512</v>
      </c>
      <c r="B14797" s="163">
        <v>45995</v>
      </c>
      <c r="C14797" s="162" t="s">
        <v>130</v>
      </c>
      <c r="D14797" s="162" t="s">
        <v>7042</v>
      </c>
      <c r="E14797" s="162">
        <v>41.36</v>
      </c>
      <c r="F14797" t="str">
        <f>IF(Table2[[#This Row],[Manual Cat Value]]="",Table2[[#This Row],[Suggested Cat Value]],VLOOKUP(Table2[[#This Row],[Manual Cat Value]],Lookup!G:H,2,0))</f>
        <v>Shopping</v>
      </c>
      <c r="G14797" t="e">
        <f>VLOOKUP(D14797,Lookup!G:H,2,0)</f>
        <v>#N/A</v>
      </c>
      <c r="H14797" s="164" t="s">
        <v>36</v>
      </c>
      <c r="I14797" s="8"/>
      <c r="O14797" t="str">
        <f>LEFT(Table2[[#This Row],[Description]],75)</f>
        <v>AplPay TOP OF THE RONEW YORK            NY</v>
      </c>
    </row>
    <row r="14798" spans="1:15" hidden="1">
      <c r="A14798" s="165">
        <v>202512</v>
      </c>
      <c r="B14798" s="166">
        <v>46004</v>
      </c>
      <c r="C14798" s="165" t="s">
        <v>130</v>
      </c>
      <c r="D14798" s="165" t="s">
        <v>7043</v>
      </c>
      <c r="E14798" s="165">
        <v>82.85</v>
      </c>
      <c r="F14798" t="str">
        <f>IF(Table2[[#This Row],[Manual Cat Value]]="",Table2[[#This Row],[Suggested Cat Value]],VLOOKUP(Table2[[#This Row],[Manual Cat Value]],Lookup!G:H,2,0))</f>
        <v>Groceries</v>
      </c>
      <c r="G14798" t="e">
        <f>VLOOKUP(D14798,Lookup!G:H,2,0)</f>
        <v>#N/A</v>
      </c>
      <c r="H14798" s="164" t="s">
        <v>27</v>
      </c>
      <c r="I14798" s="8"/>
      <c r="O14798" t="str">
        <f>LEFT(Table2[[#This Row],[Description]],75)</f>
        <v>AplPay TRADER JOE S MINNEAPOLIS         MN</v>
      </c>
    </row>
    <row r="14799" spans="1:15" hidden="1">
      <c r="A14799" s="162">
        <v>202512</v>
      </c>
      <c r="B14799" s="163">
        <v>46006</v>
      </c>
      <c r="C14799" s="162" t="s">
        <v>130</v>
      </c>
      <c r="D14799" s="162" t="s">
        <v>7044</v>
      </c>
      <c r="E14799" s="162">
        <v>141.61000000000001</v>
      </c>
      <c r="F14799" t="str">
        <f>IF(Table2[[#This Row],[Manual Cat Value]]="",Table2[[#This Row],[Suggested Cat Value]],VLOOKUP(Table2[[#This Row],[Manual Cat Value]],Lookup!G:H,2,0))</f>
        <v>Groceries</v>
      </c>
      <c r="G14799" t="e">
        <f>VLOOKUP(D14799,Lookup!G:H,2,0)</f>
        <v>#N/A</v>
      </c>
      <c r="H14799" s="164" t="s">
        <v>27</v>
      </c>
      <c r="I14799" s="8"/>
      <c r="O14799" t="str">
        <f>LEFT(Table2[[#This Row],[Description]],75)</f>
        <v>AplPay TST* CATHY MASAINT BONIFAC       MN</v>
      </c>
    </row>
    <row r="14800" spans="1:15" hidden="1">
      <c r="A14800" s="165">
        <v>202512</v>
      </c>
      <c r="B14800" s="166">
        <v>46022</v>
      </c>
      <c r="C14800" s="165" t="s">
        <v>130</v>
      </c>
      <c r="D14800" s="165" t="s">
        <v>7045</v>
      </c>
      <c r="E14800" s="165">
        <v>8.5</v>
      </c>
      <c r="F14800" t="str">
        <f>IF(Table2[[#This Row],[Manual Cat Value]]="",Table2[[#This Row],[Suggested Cat Value]],VLOOKUP(Table2[[#This Row],[Manual Cat Value]],Lookup!G:H,2,0))</f>
        <v>Restaurants</v>
      </c>
      <c r="G14800" t="e">
        <f>VLOOKUP(D14800,Lookup!G:H,2,0)</f>
        <v>#N/A</v>
      </c>
      <c r="H14800" s="164" t="s">
        <v>25</v>
      </c>
      <c r="I14800" s="8"/>
      <c r="O14800" t="str">
        <f>LEFT(Table2[[#This Row],[Description]],75)</f>
        <v>AplPay TST* CHRISTIEBRUCE               WI</v>
      </c>
    </row>
    <row r="14801" spans="1:15" hidden="1">
      <c r="A14801" s="162">
        <v>202512</v>
      </c>
      <c r="B14801" s="163">
        <v>46022</v>
      </c>
      <c r="C14801" s="162" t="s">
        <v>130</v>
      </c>
      <c r="D14801" s="162" t="s">
        <v>7045</v>
      </c>
      <c r="E14801" s="162">
        <v>10</v>
      </c>
      <c r="F14801" t="str">
        <f>IF(Table2[[#This Row],[Manual Cat Value]]="",Table2[[#This Row],[Suggested Cat Value]],VLOOKUP(Table2[[#This Row],[Manual Cat Value]],Lookup!G:H,2,0))</f>
        <v>Restaurants</v>
      </c>
      <c r="G14801" t="e">
        <f>VLOOKUP(D14801,Lookup!G:H,2,0)</f>
        <v>#N/A</v>
      </c>
      <c r="H14801" s="164" t="s">
        <v>25</v>
      </c>
      <c r="I14801" s="8"/>
      <c r="O14801" t="str">
        <f>LEFT(Table2[[#This Row],[Description]],75)</f>
        <v>AplPay TST* CHRISTIEBRUCE               WI</v>
      </c>
    </row>
    <row r="14802" spans="1:15" hidden="1">
      <c r="A14802" s="165">
        <v>202511</v>
      </c>
      <c r="B14802" s="166">
        <v>45991</v>
      </c>
      <c r="C14802" s="165" t="s">
        <v>130</v>
      </c>
      <c r="D14802" s="165" t="s">
        <v>7046</v>
      </c>
      <c r="E14802" s="165">
        <v>100</v>
      </c>
      <c r="F14802" t="str">
        <f>IF(Table2[[#This Row],[Manual Cat Value]]="",Table2[[#This Row],[Suggested Cat Value]],VLOOKUP(Table2[[#This Row],[Manual Cat Value]],Lookup!G:H,2,0))</f>
        <v>Restaurants</v>
      </c>
      <c r="G14802" t="e">
        <f>VLOOKUP(D14802,Lookup!G:H,2,0)</f>
        <v>#N/A</v>
      </c>
      <c r="H14802" s="164" t="s">
        <v>25</v>
      </c>
      <c r="I14802" s="8"/>
      <c r="O14802" t="str">
        <f>LEFT(Table2[[#This Row],[Description]],75)</f>
        <v>AplPay TST* MIRABELLEXCELSIOR           MN</v>
      </c>
    </row>
    <row r="14803" spans="1:15" hidden="1">
      <c r="A14803" s="162">
        <v>202511</v>
      </c>
      <c r="B14803" s="163">
        <v>45977</v>
      </c>
      <c r="C14803" s="162" t="s">
        <v>130</v>
      </c>
      <c r="D14803" s="162" t="s">
        <v>5853</v>
      </c>
      <c r="E14803" s="162">
        <v>16</v>
      </c>
      <c r="F14803" t="str">
        <f>IF(Table2[[#This Row],[Manual Cat Value]]="",Table2[[#This Row],[Suggested Cat Value]],VLOOKUP(Table2[[#This Row],[Manual Cat Value]],Lookup!G:H,2,0))</f>
        <v>Entertainment</v>
      </c>
      <c r="G14803" t="e">
        <f>VLOOKUP(D14803,Lookup!G:H,2,0)</f>
        <v>#N/A</v>
      </c>
      <c r="H14803" s="164" t="s">
        <v>39</v>
      </c>
      <c r="I14803" s="8"/>
      <c r="O14803" t="str">
        <f>LEFT(Table2[[#This Row],[Description]],75)</f>
        <v>AplPay U OF M-ARB APCHASKA              MN</v>
      </c>
    </row>
    <row r="14804" spans="1:15" hidden="1">
      <c r="A14804" s="165">
        <v>202512</v>
      </c>
      <c r="B14804" s="166">
        <v>46012</v>
      </c>
      <c r="C14804" s="165" t="s">
        <v>130</v>
      </c>
      <c r="D14804" s="165" t="s">
        <v>7047</v>
      </c>
      <c r="E14804" s="165">
        <v>10.91</v>
      </c>
      <c r="F14804" t="str">
        <f>IF(Table2[[#This Row],[Manual Cat Value]]="",Table2[[#This Row],[Suggested Cat Value]],VLOOKUP(Table2[[#This Row],[Manual Cat Value]],Lookup!G:H,2,0))</f>
        <v>Transportation</v>
      </c>
      <c r="G14804" t="e">
        <f>VLOOKUP(D14804,Lookup!G:H,2,0)</f>
        <v>#N/A</v>
      </c>
      <c r="H14804" s="164" t="s">
        <v>22</v>
      </c>
      <c r="I14804" s="8"/>
      <c r="O14804" t="str">
        <f>LEFT(Table2[[#This Row],[Description]],75)</f>
        <v>AplPay WATERWERKS CAMINNEAPOLIS         MN</v>
      </c>
    </row>
    <row r="14805" spans="1:15" hidden="1">
      <c r="A14805" s="162">
        <v>202512</v>
      </c>
      <c r="B14805" s="163">
        <v>46000</v>
      </c>
      <c r="C14805" s="162" t="s">
        <v>130</v>
      </c>
      <c r="D14805" s="162" t="s">
        <v>5925</v>
      </c>
      <c r="E14805" s="162">
        <v>9.5500000000000007</v>
      </c>
      <c r="F14805" t="str">
        <f>IF(Table2[[#This Row],[Manual Cat Value]]="",Table2[[#This Row],[Suggested Cat Value]],VLOOKUP(Table2[[#This Row],[Manual Cat Value]],Lookup!G:H,2,0))</f>
        <v>Restaurants</v>
      </c>
      <c r="G14805" t="e">
        <f>VLOOKUP(D14805,Lookup!G:H,2,0)</f>
        <v>#N/A</v>
      </c>
      <c r="H14805" s="164" t="s">
        <v>25</v>
      </c>
      <c r="I14805" s="8"/>
      <c r="O14805" t="str">
        <f>LEFT(Table2[[#This Row],[Description]],75)</f>
        <v>AplPay WAYZATA CAFE WAYZATA             MN</v>
      </c>
    </row>
    <row r="14806" spans="1:15" hidden="1">
      <c r="A14806" s="165">
        <v>202512</v>
      </c>
      <c r="B14806" s="166">
        <v>45992</v>
      </c>
      <c r="C14806" s="165" t="s">
        <v>130</v>
      </c>
      <c r="D14806" s="165" t="s">
        <v>5925</v>
      </c>
      <c r="E14806" s="165">
        <v>10.029999999999999</v>
      </c>
      <c r="F14806" t="str">
        <f>IF(Table2[[#This Row],[Manual Cat Value]]="",Table2[[#This Row],[Suggested Cat Value]],VLOOKUP(Table2[[#This Row],[Manual Cat Value]],Lookup!G:H,2,0))</f>
        <v>Restaurants</v>
      </c>
      <c r="G14806" t="e">
        <f>VLOOKUP(D14806,Lookup!G:H,2,0)</f>
        <v>#N/A</v>
      </c>
      <c r="H14806" s="164" t="s">
        <v>25</v>
      </c>
      <c r="I14806" s="8"/>
      <c r="O14806" t="str">
        <f>LEFT(Table2[[#This Row],[Description]],75)</f>
        <v>AplPay WAYZATA CAFE WAYZATA             MN</v>
      </c>
    </row>
    <row r="14807" spans="1:15" hidden="1">
      <c r="A14807" s="162">
        <v>202511</v>
      </c>
      <c r="B14807" s="163">
        <v>45980</v>
      </c>
      <c r="C14807" s="162" t="s">
        <v>130</v>
      </c>
      <c r="D14807" s="162" t="s">
        <v>5925</v>
      </c>
      <c r="E14807" s="162">
        <v>5.59</v>
      </c>
      <c r="F14807" t="str">
        <f>IF(Table2[[#This Row],[Manual Cat Value]]="",Table2[[#This Row],[Suggested Cat Value]],VLOOKUP(Table2[[#This Row],[Manual Cat Value]],Lookup!G:H,2,0))</f>
        <v>Restaurants</v>
      </c>
      <c r="G14807" t="e">
        <f>VLOOKUP(D14807,Lookup!G:H,2,0)</f>
        <v>#N/A</v>
      </c>
      <c r="H14807" s="164" t="s">
        <v>25</v>
      </c>
      <c r="I14807" s="8"/>
      <c r="O14807" t="str">
        <f>LEFT(Table2[[#This Row],[Description]],75)</f>
        <v>AplPay WAYZATA CAFE WAYZATA             MN</v>
      </c>
    </row>
    <row r="14808" spans="1:15" hidden="1">
      <c r="A14808" s="165">
        <v>202512</v>
      </c>
      <c r="B14808" s="166">
        <v>45992</v>
      </c>
      <c r="C14808" s="165" t="s">
        <v>130</v>
      </c>
      <c r="D14808" s="165" t="s">
        <v>6488</v>
      </c>
      <c r="E14808" s="165">
        <v>6.49</v>
      </c>
      <c r="F14808" t="str">
        <f>IF(Table2[[#This Row],[Manual Cat Value]]="",Table2[[#This Row],[Suggested Cat Value]],VLOOKUP(Table2[[#This Row],[Manual Cat Value]],Lookup!G:H,2,0))</f>
        <v>Restaurants</v>
      </c>
      <c r="G14808" t="e">
        <f>VLOOKUP(D14808,Lookup!G:H,2,0)</f>
        <v>#N/A</v>
      </c>
      <c r="H14808" s="164" t="s">
        <v>25</v>
      </c>
      <c r="I14808" s="8"/>
      <c r="O14808" t="str">
        <f>LEFT(Table2[[#This Row],[Description]],75)</f>
        <v>AplPay WAYZATA COFFEWAYZATA             MN</v>
      </c>
    </row>
    <row r="14809" spans="1:15" hidden="1">
      <c r="A14809" s="162">
        <v>202511</v>
      </c>
      <c r="B14809" s="163">
        <v>45980</v>
      </c>
      <c r="C14809" s="162" t="s">
        <v>130</v>
      </c>
      <c r="D14809" s="162" t="s">
        <v>6488</v>
      </c>
      <c r="E14809" s="162">
        <v>7.78</v>
      </c>
      <c r="F14809" t="str">
        <f>IF(Table2[[#This Row],[Manual Cat Value]]="",Table2[[#This Row],[Suggested Cat Value]],VLOOKUP(Table2[[#This Row],[Manual Cat Value]],Lookup!G:H,2,0))</f>
        <v>Restaurants</v>
      </c>
      <c r="G14809" t="e">
        <f>VLOOKUP(D14809,Lookup!G:H,2,0)</f>
        <v>#N/A</v>
      </c>
      <c r="H14809" s="164" t="s">
        <v>25</v>
      </c>
      <c r="I14809" s="8"/>
      <c r="O14809" t="str">
        <f>LEFT(Table2[[#This Row],[Description]],75)</f>
        <v>AplPay WAYZATA COFFEWAYZATA             MN</v>
      </c>
    </row>
    <row r="14810" spans="1:15" hidden="1">
      <c r="A14810" s="165">
        <v>202512</v>
      </c>
      <c r="B14810" s="166">
        <v>45996</v>
      </c>
      <c r="C14810" s="165" t="s">
        <v>130</v>
      </c>
      <c r="D14810" s="165" t="s">
        <v>7048</v>
      </c>
      <c r="E14810" s="165">
        <v>108</v>
      </c>
      <c r="F14810" t="str">
        <f>IF(Table2[[#This Row],[Manual Cat Value]]="",Table2[[#This Row],[Suggested Cat Value]],VLOOKUP(Table2[[#This Row],[Manual Cat Value]],Lookup!G:H,2,0))</f>
        <v>Shopping</v>
      </c>
      <c r="G14810" t="e">
        <f>VLOOKUP(D14810,Lookup!G:H,2,0)</f>
        <v>#N/A</v>
      </c>
      <c r="H14810" s="164" t="s">
        <v>36</v>
      </c>
      <c r="I14810" s="8"/>
      <c r="O14810" t="str">
        <f>LEFT(Table2[[#This Row],[Description]],75)</f>
        <v>AplPay WWW.OGXPRO* TNEW YORK            NY</v>
      </c>
    </row>
    <row r="14811" spans="1:15" hidden="1">
      <c r="A14811" s="162">
        <v>202511</v>
      </c>
      <c r="B14811" s="163">
        <v>45990</v>
      </c>
      <c r="C14811" s="162" t="s">
        <v>130</v>
      </c>
      <c r="D14811" s="162" t="s">
        <v>7049</v>
      </c>
      <c r="E14811" s="162">
        <v>52.33</v>
      </c>
      <c r="F14811" t="str">
        <f>IF(Table2[[#This Row],[Manual Cat Value]]="",Table2[[#This Row],[Suggested Cat Value]],VLOOKUP(Table2[[#This Row],[Manual Cat Value]],Lookup!G:H,2,0))</f>
        <v>Shopping</v>
      </c>
      <c r="G14811" t="e">
        <f>VLOOKUP(D14811,Lookup!G:H,2,0)</f>
        <v>#N/A</v>
      </c>
      <c r="H14811" s="164" t="s">
        <v>36</v>
      </c>
      <c r="I14811" s="8"/>
      <c r="O14811" t="str">
        <f>LEFT(Table2[[#This Row],[Description]],75)</f>
        <v>AplPay YETI COOLERS,WILMINGTON          DE</v>
      </c>
    </row>
    <row r="14812" spans="1:15" hidden="1">
      <c r="A14812" s="165">
        <v>202511</v>
      </c>
      <c r="B14812" s="166">
        <v>45975</v>
      </c>
      <c r="C14812" s="165" t="s">
        <v>130</v>
      </c>
      <c r="D14812" s="165" t="s">
        <v>6362</v>
      </c>
      <c r="E14812" s="165">
        <v>54</v>
      </c>
      <c r="F14812" t="str">
        <f>IF(Table2[[#This Row],[Manual Cat Value]]="",Table2[[#This Row],[Suggested Cat Value]],VLOOKUP(Table2[[#This Row],[Manual Cat Value]],Lookup!G:H,2,0))</f>
        <v>Shopping</v>
      </c>
      <c r="G14812" t="e">
        <f>VLOOKUP(D14812,Lookup!G:H,2,0)</f>
        <v>#N/A</v>
      </c>
      <c r="H14812" s="164" t="s">
        <v>36</v>
      </c>
      <c r="I14812" s="8"/>
      <c r="O14812" t="str">
        <f>LEFT(Table2[[#This Row],[Description]],75)</f>
        <v>AplPay ZENOTIUSA_POSCHANHASSEN          MN</v>
      </c>
    </row>
    <row r="14813" spans="1:15" hidden="1">
      <c r="A14813" s="162">
        <v>202512</v>
      </c>
      <c r="B14813" s="163">
        <v>46006</v>
      </c>
      <c r="C14813" s="162" t="s">
        <v>130</v>
      </c>
      <c r="D14813" s="162" t="s">
        <v>7050</v>
      </c>
      <c r="E14813" s="162">
        <v>122.07</v>
      </c>
      <c r="F14813" t="str">
        <f>IF(Table2[[#This Row],[Manual Cat Value]]="",Table2[[#This Row],[Suggested Cat Value]],VLOOKUP(Table2[[#This Row],[Manual Cat Value]],Lookup!G:H,2,0))</f>
        <v>Shopping</v>
      </c>
      <c r="G14813" t="e">
        <f>VLOOKUP(D14813,Lookup!G:H,2,0)</f>
        <v>#N/A</v>
      </c>
      <c r="H14813" s="164" t="s">
        <v>36</v>
      </c>
      <c r="I14813" s="8"/>
      <c r="O14813" t="str">
        <f>LEFT(Table2[[#This Row],[Description]],75)</f>
        <v>AT&amp;T 157138 O1L8    CHASKA              MN</v>
      </c>
    </row>
    <row r="14814" spans="1:15" hidden="1">
      <c r="A14814" s="165">
        <v>202512</v>
      </c>
      <c r="B14814" s="166">
        <v>46006</v>
      </c>
      <c r="C14814" s="165" t="s">
        <v>130</v>
      </c>
      <c r="D14814" s="165" t="s">
        <v>7050</v>
      </c>
      <c r="E14814" s="165">
        <v>159.86000000000001</v>
      </c>
      <c r="F14814" t="str">
        <f>IF(Table2[[#This Row],[Manual Cat Value]]="",Table2[[#This Row],[Suggested Cat Value]],VLOOKUP(Table2[[#This Row],[Manual Cat Value]],Lookup!G:H,2,0))</f>
        <v>Shopping</v>
      </c>
      <c r="G14814" t="e">
        <f>VLOOKUP(D14814,Lookup!G:H,2,0)</f>
        <v>#N/A</v>
      </c>
      <c r="H14814" s="164" t="s">
        <v>36</v>
      </c>
      <c r="I14814" s="8"/>
      <c r="O14814" t="str">
        <f>LEFT(Table2[[#This Row],[Description]],75)</f>
        <v>AT&amp;T 157138 O1L8    CHASKA              MN</v>
      </c>
    </row>
    <row r="14815" spans="1:15" hidden="1">
      <c r="A14815" s="162">
        <v>202512</v>
      </c>
      <c r="B14815" s="163">
        <v>46001</v>
      </c>
      <c r="C14815" s="162" t="s">
        <v>130</v>
      </c>
      <c r="D14815" s="162" t="s">
        <v>7051</v>
      </c>
      <c r="E14815" s="162">
        <v>22.65</v>
      </c>
      <c r="F14815" t="str">
        <f>IF(Table2[[#This Row],[Manual Cat Value]]="",Table2[[#This Row],[Suggested Cat Value]],VLOOKUP(Table2[[#This Row],[Manual Cat Value]],Lookup!G:H,2,0))</f>
        <v>Shopping</v>
      </c>
      <c r="G14815" t="e">
        <f>VLOOKUP(D14815,Lookup!G:H,2,0)</f>
        <v>#N/A</v>
      </c>
      <c r="H14815" s="164" t="s">
        <v>36</v>
      </c>
      <c r="I14815" s="8"/>
      <c r="O14815" t="str">
        <f>LEFT(Table2[[#This Row],[Description]],75)</f>
        <v>BACIO               MINNETONKA          MN</v>
      </c>
    </row>
    <row r="14816" spans="1:15" hidden="1">
      <c r="A14816" s="165">
        <v>202511</v>
      </c>
      <c r="B14816" s="166">
        <v>45990</v>
      </c>
      <c r="C14816" s="165" t="s">
        <v>130</v>
      </c>
      <c r="D14816" s="165" t="s">
        <v>7052</v>
      </c>
      <c r="E14816" s="165">
        <v>270.52</v>
      </c>
      <c r="F14816" t="str">
        <f>IF(Table2[[#This Row],[Manual Cat Value]]="",Table2[[#This Row],[Suggested Cat Value]],VLOOKUP(Table2[[#This Row],[Manual Cat Value]],Lookup!G:H,2,0))</f>
        <v>Shopping</v>
      </c>
      <c r="G14816" t="e">
        <f>VLOOKUP(D14816,Lookup!G:H,2,0)</f>
        <v>#N/A</v>
      </c>
      <c r="H14816" s="164" t="s">
        <v>36</v>
      </c>
      <c r="I14816" s="8"/>
      <c r="O14816" t="str">
        <f>LEFT(Table2[[#This Row],[Description]],75)</f>
        <v>BACKCOUNTRY.COM     COTTONWOOD HE       UT</v>
      </c>
    </row>
    <row r="14817" spans="1:15" hidden="1">
      <c r="A14817" s="162">
        <v>202512</v>
      </c>
      <c r="B14817" s="163">
        <v>46005</v>
      </c>
      <c r="C14817" s="162" t="s">
        <v>130</v>
      </c>
      <c r="D14817" s="162" t="s">
        <v>5890</v>
      </c>
      <c r="E14817" s="162">
        <v>109</v>
      </c>
      <c r="F14817" t="str">
        <f>IF(Table2[[#This Row],[Manual Cat Value]]="",Table2[[#This Row],[Suggested Cat Value]],VLOOKUP(Table2[[#This Row],[Manual Cat Value]],Lookup!G:H,2,0))</f>
        <v>Day Care</v>
      </c>
      <c r="G14817" t="e">
        <f>VLOOKUP(D14817,Lookup!G:H,2,0)</f>
        <v>#N/A</v>
      </c>
      <c r="H14817" s="164" t="s">
        <v>19</v>
      </c>
      <c r="I14817" s="8"/>
      <c r="O14817" t="str">
        <f>LEFT(Table2[[#This Row],[Description]],75)</f>
        <v>BCS*MINNETONKA COMMUEXCELSIOR           MN</v>
      </c>
    </row>
    <row r="14818" spans="1:15" hidden="1">
      <c r="A14818" s="165">
        <v>202512</v>
      </c>
      <c r="B14818" s="166">
        <v>45994</v>
      </c>
      <c r="C14818" s="165" t="s">
        <v>130</v>
      </c>
      <c r="D14818" s="165" t="s">
        <v>5890</v>
      </c>
      <c r="E14818" s="165">
        <v>-31</v>
      </c>
      <c r="F14818" t="str">
        <f>IF(Table2[[#This Row],[Manual Cat Value]]="",Table2[[#This Row],[Suggested Cat Value]],VLOOKUP(Table2[[#This Row],[Manual Cat Value]],Lookup!G:H,2,0))</f>
        <v>Day Care</v>
      </c>
      <c r="G14818" t="e">
        <f>VLOOKUP(D14818,Lookup!G:H,2,0)</f>
        <v>#N/A</v>
      </c>
      <c r="H14818" s="164" t="s">
        <v>19</v>
      </c>
      <c r="I14818" s="8"/>
      <c r="O14818" t="str">
        <f>LEFT(Table2[[#This Row],[Description]],75)</f>
        <v>BCS*MINNETONKA COMMUEXCELSIOR           MN</v>
      </c>
    </row>
    <row r="14819" spans="1:15" hidden="1">
      <c r="A14819" s="162">
        <v>202512</v>
      </c>
      <c r="B14819" s="163">
        <v>45994</v>
      </c>
      <c r="C14819" s="162" t="s">
        <v>130</v>
      </c>
      <c r="D14819" s="162" t="s">
        <v>5890</v>
      </c>
      <c r="E14819" s="162">
        <v>-31</v>
      </c>
      <c r="F14819" t="str">
        <f>IF(Table2[[#This Row],[Manual Cat Value]]="",Table2[[#This Row],[Suggested Cat Value]],VLOOKUP(Table2[[#This Row],[Manual Cat Value]],Lookup!G:H,2,0))</f>
        <v>Day Care</v>
      </c>
      <c r="G14819" t="e">
        <f>VLOOKUP(D14819,Lookup!G:H,2,0)</f>
        <v>#N/A</v>
      </c>
      <c r="H14819" s="164" t="s">
        <v>19</v>
      </c>
      <c r="I14819" s="8"/>
      <c r="O14819" t="str">
        <f>LEFT(Table2[[#This Row],[Description]],75)</f>
        <v>BCS*MINNETONKA COMMUEXCELSIOR           MN</v>
      </c>
    </row>
    <row r="14820" spans="1:15" hidden="1">
      <c r="A14820" s="165">
        <v>202511</v>
      </c>
      <c r="B14820" s="166">
        <v>45979</v>
      </c>
      <c r="C14820" s="165" t="s">
        <v>130</v>
      </c>
      <c r="D14820" s="165" t="s">
        <v>5890</v>
      </c>
      <c r="E14820" s="165">
        <v>270</v>
      </c>
      <c r="F14820" t="str">
        <f>IF(Table2[[#This Row],[Manual Cat Value]]="",Table2[[#This Row],[Suggested Cat Value]],VLOOKUP(Table2[[#This Row],[Manual Cat Value]],Lookup!G:H,2,0))</f>
        <v>Day Care</v>
      </c>
      <c r="G14820" t="e">
        <f>VLOOKUP(D14820,Lookup!G:H,2,0)</f>
        <v>#N/A</v>
      </c>
      <c r="H14820" s="164" t="s">
        <v>19</v>
      </c>
      <c r="I14820" s="8"/>
      <c r="O14820" t="str">
        <f>LEFT(Table2[[#This Row],[Description]],75)</f>
        <v>BCS*MINNETONKA COMMUEXCELSIOR           MN</v>
      </c>
    </row>
    <row r="14821" spans="1:15" hidden="1">
      <c r="A14821" s="162">
        <v>202511</v>
      </c>
      <c r="B14821" s="163">
        <v>45979</v>
      </c>
      <c r="C14821" s="162" t="s">
        <v>130</v>
      </c>
      <c r="D14821" s="162" t="s">
        <v>5890</v>
      </c>
      <c r="E14821" s="162">
        <v>731</v>
      </c>
      <c r="F14821" t="str">
        <f>IF(Table2[[#This Row],[Manual Cat Value]]="",Table2[[#This Row],[Suggested Cat Value]],VLOOKUP(Table2[[#This Row],[Manual Cat Value]],Lookup!G:H,2,0))</f>
        <v>Day Care</v>
      </c>
      <c r="G14821" t="e">
        <f>VLOOKUP(D14821,Lookup!G:H,2,0)</f>
        <v>#N/A</v>
      </c>
      <c r="H14821" s="164" t="s">
        <v>19</v>
      </c>
      <c r="I14821" s="8"/>
      <c r="O14821" t="str">
        <f>LEFT(Table2[[#This Row],[Description]],75)</f>
        <v>BCS*MINNETONKA COMMUEXCELSIOR           MN</v>
      </c>
    </row>
    <row r="14822" spans="1:15" hidden="1">
      <c r="A14822" s="165">
        <v>202511</v>
      </c>
      <c r="B14822" s="166">
        <v>45982</v>
      </c>
      <c r="C14822" s="165" t="s">
        <v>3938</v>
      </c>
      <c r="D14822" s="165" t="s">
        <v>7053</v>
      </c>
      <c r="E14822" s="165">
        <v>11</v>
      </c>
      <c r="F14822" t="str">
        <f>IF(Table2[[#This Row],[Manual Cat Value]]="",Table2[[#This Row],[Suggested Cat Value]],VLOOKUP(Table2[[#This Row],[Manual Cat Value]],Lookup!G:H,2,0))</f>
        <v>House Maintenance</v>
      </c>
      <c r="G14822" t="e">
        <f>VLOOKUP(D14822,Lookup!G:H,2,0)</f>
        <v>#N/A</v>
      </c>
      <c r="H14822" s="164" t="s">
        <v>1</v>
      </c>
      <c r="I14822" s="8"/>
      <c r="O14822" t="str">
        <f>LEFT(Table2[[#This Row],[Description]],75)</f>
        <v>BONFES PLUMBING HEATING AXX6633 MN REF #XX7539A4S66D9NT5</v>
      </c>
    </row>
    <row r="14823" spans="1:15" hidden="1">
      <c r="A14823" s="162">
        <v>202512</v>
      </c>
      <c r="B14823" s="163">
        <v>46013</v>
      </c>
      <c r="C14823" s="162" t="s">
        <v>3938</v>
      </c>
      <c r="D14823" s="162" t="s">
        <v>7054</v>
      </c>
      <c r="E14823" s="162">
        <v>11</v>
      </c>
      <c r="F14823" t="str">
        <f>IF(Table2[[#This Row],[Manual Cat Value]]="",Table2[[#This Row],[Suggested Cat Value]],VLOOKUP(Table2[[#This Row],[Manual Cat Value]],Lookup!G:H,2,0))</f>
        <v>House Maintenance</v>
      </c>
      <c r="G14823" t="e">
        <f>VLOOKUP(D14823,Lookup!G:H,2,0)</f>
        <v>#N/A</v>
      </c>
      <c r="H14823" s="164" t="s">
        <v>1</v>
      </c>
      <c r="I14823" s="8"/>
      <c r="O14823" t="str">
        <f>LEFT(Table2[[#This Row],[Description]],75)</f>
        <v>BONFES PLUMBING HEATING AXX6633 MN REF #XX7539B3S66LY49Z</v>
      </c>
    </row>
    <row r="14824" spans="1:15" hidden="1">
      <c r="A14824" s="165">
        <v>202512</v>
      </c>
      <c r="B14824" s="166">
        <v>46012</v>
      </c>
      <c r="C14824" s="165" t="s">
        <v>130</v>
      </c>
      <c r="D14824" s="165" t="s">
        <v>7055</v>
      </c>
      <c r="E14824" s="165">
        <v>45.02</v>
      </c>
      <c r="F14824" t="str">
        <f>IF(Table2[[#This Row],[Manual Cat Value]]="",Table2[[#This Row],[Suggested Cat Value]],VLOOKUP(Table2[[#This Row],[Manual Cat Value]],Lookup!G:H,2,0))</f>
        <v>Transportation</v>
      </c>
      <c r="G14824" t="e">
        <f>VLOOKUP(D14824,Lookup!G:H,2,0)</f>
        <v>#N/A</v>
      </c>
      <c r="H14824" s="164" t="s">
        <v>22</v>
      </c>
      <c r="I14824" s="8"/>
      <c r="O14824" t="str">
        <f>LEFT(Table2[[#This Row],[Description]],75)</f>
        <v>BP#9274721VERNON BP EDINA               MN</v>
      </c>
    </row>
    <row r="14825" spans="1:15" hidden="1">
      <c r="A14825" s="162">
        <v>202512</v>
      </c>
      <c r="B14825" s="163">
        <v>46012</v>
      </c>
      <c r="C14825" s="162" t="s">
        <v>130</v>
      </c>
      <c r="D14825" s="162" t="s">
        <v>7055</v>
      </c>
      <c r="E14825" s="162">
        <v>80.540000000000006</v>
      </c>
      <c r="F14825" t="str">
        <f>IF(Table2[[#This Row],[Manual Cat Value]]="",Table2[[#This Row],[Suggested Cat Value]],VLOOKUP(Table2[[#This Row],[Manual Cat Value]],Lookup!G:H,2,0))</f>
        <v>Transportation</v>
      </c>
      <c r="G14825" t="e">
        <f>VLOOKUP(D14825,Lookup!G:H,2,0)</f>
        <v>#N/A</v>
      </c>
      <c r="H14825" s="164" t="s">
        <v>22</v>
      </c>
      <c r="I14825" s="8"/>
      <c r="O14825" t="str">
        <f>LEFT(Table2[[#This Row],[Description]],75)</f>
        <v>BP#9274721VERNON BP EDINA               MN</v>
      </c>
    </row>
    <row r="14826" spans="1:15" hidden="1">
      <c r="A14826" s="165">
        <v>202512</v>
      </c>
      <c r="B14826" s="166">
        <v>45997</v>
      </c>
      <c r="C14826" s="165" t="s">
        <v>130</v>
      </c>
      <c r="D14826" s="165" t="s">
        <v>7056</v>
      </c>
      <c r="E14826" s="165">
        <v>109.05</v>
      </c>
      <c r="F14826" t="str">
        <f>IF(Table2[[#This Row],[Manual Cat Value]]="",Table2[[#This Row],[Suggested Cat Value]],VLOOKUP(Table2[[#This Row],[Manual Cat Value]],Lookup!G:H,2,0))</f>
        <v>Restaurants</v>
      </c>
      <c r="G14826" t="e">
        <f>VLOOKUP(D14826,Lookup!G:H,2,0)</f>
        <v>#N/A</v>
      </c>
      <c r="H14826" s="164" t="s">
        <v>25</v>
      </c>
      <c r="I14826" s="8"/>
      <c r="O14826" t="str">
        <f>LEFT(Table2[[#This Row],[Description]],75)</f>
        <v>BROOKLYN BAGELS - CHNEW YORK            NY</v>
      </c>
    </row>
    <row r="14827" spans="1:15" hidden="1">
      <c r="A14827" s="162">
        <v>202512</v>
      </c>
      <c r="B14827" s="163">
        <v>46014</v>
      </c>
      <c r="C14827" s="162" t="s">
        <v>130</v>
      </c>
      <c r="D14827" s="162" t="s">
        <v>5972</v>
      </c>
      <c r="E14827" s="162">
        <v>102.16</v>
      </c>
      <c r="F14827" t="str">
        <f>IF(Table2[[#This Row],[Manual Cat Value]]="",Table2[[#This Row],[Suggested Cat Value]],VLOOKUP(Table2[[#This Row],[Manual Cat Value]],Lookup!G:H,2,0))</f>
        <v>Gifts</v>
      </c>
      <c r="G14827" t="e">
        <f>VLOOKUP(D14827,Lookup!G:H,2,0)</f>
        <v>#N/A</v>
      </c>
      <c r="H14827" s="164" t="s">
        <v>44</v>
      </c>
      <c r="I14827" s="8"/>
      <c r="O14827" t="str">
        <f>LEFT(Table2[[#This Row],[Description]],75)</f>
        <v>BT*SHUTTERFLY, INC. REDWOOD CITY        CA</v>
      </c>
    </row>
    <row r="14828" spans="1:15" hidden="1">
      <c r="A14828" s="165">
        <v>202512</v>
      </c>
      <c r="B14828" s="166">
        <v>45998</v>
      </c>
      <c r="C14828" s="165" t="s">
        <v>130</v>
      </c>
      <c r="D14828" s="165" t="s">
        <v>7057</v>
      </c>
      <c r="E14828" s="165">
        <v>167.55</v>
      </c>
      <c r="F14828" t="str">
        <f>IF(Table2[[#This Row],[Manual Cat Value]]="",Table2[[#This Row],[Suggested Cat Value]],VLOOKUP(Table2[[#This Row],[Manual Cat Value]],Lookup!G:H,2,0))</f>
        <v>Restaurants</v>
      </c>
      <c r="G14828" t="e">
        <f>VLOOKUP(D14828,Lookup!G:H,2,0)</f>
        <v>#N/A</v>
      </c>
      <c r="H14828" s="164" t="s">
        <v>25</v>
      </c>
      <c r="I14828" s="8"/>
      <c r="O14828" t="str">
        <f>LEFT(Table2[[#This Row],[Description]],75)</f>
        <v>BUCA-EDEN PRAIRIE   EDEN PRAIRIE        MN</v>
      </c>
    </row>
    <row r="14829" spans="1:15" hidden="1">
      <c r="A14829" s="162">
        <v>202511</v>
      </c>
      <c r="B14829" s="163">
        <v>45991</v>
      </c>
      <c r="C14829" s="162" t="s">
        <v>130</v>
      </c>
      <c r="D14829" s="162" t="s">
        <v>6200</v>
      </c>
      <c r="E14829" s="162">
        <v>75.72</v>
      </c>
      <c r="F14829" t="str">
        <f>IF(Table2[[#This Row],[Manual Cat Value]]="",Table2[[#This Row],[Suggested Cat Value]],VLOOKUP(Table2[[#This Row],[Manual Cat Value]],Lookup!G:H,2,0))</f>
        <v>Entertainment</v>
      </c>
      <c r="G14829" t="e">
        <f>VLOOKUP(D14829,Lookup!G:H,2,0)</f>
        <v>#N/A</v>
      </c>
      <c r="H14829" s="164" t="s">
        <v>39</v>
      </c>
      <c r="I14829" s="8"/>
      <c r="O14829" t="str">
        <f>LEFT(Table2[[#This Row],[Description]],75)</f>
        <v>BUCK HILL WEBSITE 65BURNSVILLE          MN</v>
      </c>
    </row>
    <row r="14830" spans="1:15" hidden="1">
      <c r="A14830" s="165">
        <v>202512</v>
      </c>
      <c r="B14830" s="166">
        <v>46006</v>
      </c>
      <c r="C14830" s="165" t="s">
        <v>130</v>
      </c>
      <c r="D14830" s="165" t="s">
        <v>7058</v>
      </c>
      <c r="E14830" s="165">
        <v>45</v>
      </c>
      <c r="F14830" t="str">
        <f>IF(Table2[[#This Row],[Manual Cat Value]]="",Table2[[#This Row],[Suggested Cat Value]],VLOOKUP(Table2[[#This Row],[Manual Cat Value]],Lookup!G:H,2,0))</f>
        <v>Entertainment</v>
      </c>
      <c r="G14830" t="e">
        <f>VLOOKUP(D14830,Lookup!G:H,2,0)</f>
        <v>#N/A</v>
      </c>
      <c r="H14830" s="164" t="s">
        <v>39</v>
      </c>
      <c r="I14830" s="8"/>
      <c r="O14830" t="str">
        <f>LEFT(Table2[[#This Row],[Description]],75)</f>
        <v>BUCK HILL-* BUCK HILBURNSVILLE          MN</v>
      </c>
    </row>
    <row r="14831" spans="1:15" hidden="1">
      <c r="A14831" s="162">
        <v>202512</v>
      </c>
      <c r="B14831" s="163">
        <v>46006</v>
      </c>
      <c r="C14831" s="162" t="s">
        <v>130</v>
      </c>
      <c r="D14831" s="162" t="s">
        <v>7058</v>
      </c>
      <c r="E14831" s="162">
        <v>50.24</v>
      </c>
      <c r="F14831" t="str">
        <f>IF(Table2[[#This Row],[Manual Cat Value]]="",Table2[[#This Row],[Suggested Cat Value]],VLOOKUP(Table2[[#This Row],[Manual Cat Value]],Lookup!G:H,2,0))</f>
        <v>Entertainment</v>
      </c>
      <c r="G14831" t="e">
        <f>VLOOKUP(D14831,Lookup!G:H,2,0)</f>
        <v>#N/A</v>
      </c>
      <c r="H14831" s="164" t="s">
        <v>39</v>
      </c>
      <c r="I14831" s="8"/>
      <c r="O14831" t="str">
        <f>LEFT(Table2[[#This Row],[Description]],75)</f>
        <v>BUCK HILL-* BUCK HILBURNSVILLE          MN</v>
      </c>
    </row>
    <row r="14832" spans="1:15" hidden="1">
      <c r="A14832" s="165">
        <v>202512</v>
      </c>
      <c r="B14832" s="166">
        <v>46006</v>
      </c>
      <c r="C14832" s="165" t="s">
        <v>130</v>
      </c>
      <c r="D14832" s="165" t="s">
        <v>7058</v>
      </c>
      <c r="E14832" s="165">
        <v>107.82</v>
      </c>
      <c r="F14832" t="str">
        <f>IF(Table2[[#This Row],[Manual Cat Value]]="",Table2[[#This Row],[Suggested Cat Value]],VLOOKUP(Table2[[#This Row],[Manual Cat Value]],Lookup!G:H,2,0))</f>
        <v>Entertainment</v>
      </c>
      <c r="G14832" t="e">
        <f>VLOOKUP(D14832,Lookup!G:H,2,0)</f>
        <v>#N/A</v>
      </c>
      <c r="H14832" s="164" t="s">
        <v>39</v>
      </c>
      <c r="I14832" s="8"/>
      <c r="O14832" t="str">
        <f>LEFT(Table2[[#This Row],[Description]],75)</f>
        <v>BUCK HILL-* BUCK HILBURNSVILLE          MN</v>
      </c>
    </row>
    <row r="14833" spans="1:15" hidden="1">
      <c r="A14833" s="162">
        <v>202512</v>
      </c>
      <c r="B14833" s="163">
        <v>46010</v>
      </c>
      <c r="C14833" s="162" t="s">
        <v>130</v>
      </c>
      <c r="D14833" s="162" t="s">
        <v>6230</v>
      </c>
      <c r="E14833" s="162">
        <v>38.380000000000003</v>
      </c>
      <c r="F14833" t="str">
        <f>IF(Table2[[#This Row],[Manual Cat Value]]="",Table2[[#This Row],[Suggested Cat Value]],VLOOKUP(Table2[[#This Row],[Manual Cat Value]],Lookup!G:H,2,0))</f>
        <v>Restaurants</v>
      </c>
      <c r="G14833" t="e">
        <f>VLOOKUP(D14833,Lookup!G:H,2,0)</f>
        <v>#N/A</v>
      </c>
      <c r="H14833" s="164" t="s">
        <v>25</v>
      </c>
      <c r="I14833" s="8"/>
      <c r="O14833" t="str">
        <f>LEFT(Table2[[#This Row],[Description]],75)</f>
        <v>BUDDY BOY FINE BARBE612-4660340         MN</v>
      </c>
    </row>
    <row r="14834" spans="1:15" hidden="1">
      <c r="A14834" s="165">
        <v>202512</v>
      </c>
      <c r="B14834" s="166">
        <v>46000</v>
      </c>
      <c r="C14834" s="165" t="s">
        <v>130</v>
      </c>
      <c r="D14834" s="165" t="s">
        <v>6230</v>
      </c>
      <c r="E14834" s="165">
        <v>317.17</v>
      </c>
      <c r="F14834" t="str">
        <f>IF(Table2[[#This Row],[Manual Cat Value]]="",Table2[[#This Row],[Suggested Cat Value]],VLOOKUP(Table2[[#This Row],[Manual Cat Value]],Lookup!G:H,2,0))</f>
        <v>Restaurants</v>
      </c>
      <c r="G14834" t="e">
        <f>VLOOKUP(D14834,Lookup!G:H,2,0)</f>
        <v>#N/A</v>
      </c>
      <c r="H14834" s="164" t="s">
        <v>25</v>
      </c>
      <c r="I14834" s="8"/>
      <c r="O14834" t="str">
        <f>LEFT(Table2[[#This Row],[Description]],75)</f>
        <v>BUDDY BOY FINE BARBE612-4660340         MN</v>
      </c>
    </row>
    <row r="14835" spans="1:15">
      <c r="A14835" s="162">
        <v>202512</v>
      </c>
      <c r="B14835" s="163">
        <v>45992</v>
      </c>
      <c r="C14835" s="162" t="s">
        <v>2519</v>
      </c>
      <c r="D14835" s="162" t="s">
        <v>4283</v>
      </c>
      <c r="E14835" s="162">
        <v>-97.7</v>
      </c>
      <c r="F14835" t="e">
        <f>IF(Table2[[#This Row],[Manual Cat Value]]="",Table2[[#This Row],[Suggested Cat Value]],VLOOKUP(Table2[[#This Row],[Manual Cat Value]],Lookup!G:H,2,0))</f>
        <v>#N/A</v>
      </c>
      <c r="G14835" t="e">
        <f>VLOOKUP(D14835,Lookup!G:H,2,0)</f>
        <v>#N/A</v>
      </c>
      <c r="H14835" s="164"/>
      <c r="I14835" s="164"/>
      <c r="O14835" t="str">
        <f>LEFT(Table2[[#This Row],[Description]],75)</f>
        <v>Cargill Deposit</v>
      </c>
    </row>
    <row r="14836" spans="1:15" hidden="1">
      <c r="A14836" s="165">
        <v>202512</v>
      </c>
      <c r="B14836" s="166">
        <v>46018</v>
      </c>
      <c r="C14836" s="165" t="s">
        <v>2258</v>
      </c>
      <c r="D14836" s="165" t="s">
        <v>459</v>
      </c>
      <c r="E14836" s="165">
        <v>-76</v>
      </c>
      <c r="F14836" t="str">
        <f>IF(Table2[[#This Row],[Manual Cat Value]]="",Table2[[#This Row],[Suggested Cat Value]],VLOOKUP(Table2[[#This Row],[Manual Cat Value]],Lookup!G:H,2,0))</f>
        <v>Delete</v>
      </c>
      <c r="G14836" t="str">
        <f>VLOOKUP(D14836,Lookup!G:H,2,0)</f>
        <v>Delete</v>
      </c>
      <c r="H14836" s="164"/>
      <c r="I14836" s="8"/>
      <c r="O14836" t="str">
        <f>LEFT(Table2[[#This Row],[Description]],75)</f>
        <v>CASHBACK BONUS REDEMPTION PYMT/STMT CRDT</v>
      </c>
    </row>
    <row r="14837" spans="1:15">
      <c r="A14837" s="162">
        <v>202511</v>
      </c>
      <c r="B14837" s="163">
        <v>45981</v>
      </c>
      <c r="C14837" s="162" t="s">
        <v>2519</v>
      </c>
      <c r="D14837" s="162" t="s">
        <v>6537</v>
      </c>
      <c r="E14837" s="162">
        <v>-9484.18</v>
      </c>
      <c r="F14837" t="e">
        <f>IF(Table2[[#This Row],[Manual Cat Value]]="",Table2[[#This Row],[Suggested Cat Value]],VLOOKUP(Table2[[#This Row],[Manual Cat Value]],Lookup!G:H,2,0))</f>
        <v>#N/A</v>
      </c>
      <c r="G14837" t="e">
        <f>VLOOKUP(D14837,Lookup!G:H,2,0)</f>
        <v>#N/A</v>
      </c>
      <c r="I14837" s="8"/>
      <c r="O14837" t="str">
        <f>LEFT(Table2[[#This Row],[Description]],75)</f>
        <v>Charles Schwab</v>
      </c>
    </row>
    <row r="14838" spans="1:15">
      <c r="A14838" s="165">
        <v>202512</v>
      </c>
      <c r="B14838" s="166">
        <v>46006</v>
      </c>
      <c r="C14838" s="165" t="s">
        <v>2519</v>
      </c>
      <c r="D14838" s="165" t="s">
        <v>4470</v>
      </c>
      <c r="E14838" s="165">
        <v>-179.95</v>
      </c>
      <c r="F14838" t="e">
        <f>IF(Table2[[#This Row],[Manual Cat Value]]="",Table2[[#This Row],[Suggested Cat Value]],VLOOKUP(Table2[[#This Row],[Manual Cat Value]],Lookup!G:H,2,0))</f>
        <v>#N/A</v>
      </c>
      <c r="G14838" t="e">
        <f>VLOOKUP(D14838,Lookup!G:H,2,0)</f>
        <v>#N/A</v>
      </c>
      <c r="H14838" s="164"/>
      <c r="I14838" s="8"/>
      <c r="O14838" t="str">
        <f>LEFT(Table2[[#This Row],[Description]],75)</f>
        <v>Connectyourcare Deposit</v>
      </c>
    </row>
    <row r="14839" spans="1:15">
      <c r="A14839" s="162">
        <v>202511</v>
      </c>
      <c r="B14839" s="163">
        <v>45991</v>
      </c>
      <c r="C14839" s="162" t="s">
        <v>2519</v>
      </c>
      <c r="D14839" s="162" t="s">
        <v>4470</v>
      </c>
      <c r="E14839" s="162">
        <v>-73.62</v>
      </c>
      <c r="F14839" t="e">
        <f>IF(Table2[[#This Row],[Manual Cat Value]]="",Table2[[#This Row],[Suggested Cat Value]],VLOOKUP(Table2[[#This Row],[Manual Cat Value]],Lookup!G:H,2,0))</f>
        <v>#N/A</v>
      </c>
      <c r="G14839" t="e">
        <f>VLOOKUP(D14839,Lookup!G:H,2,0)</f>
        <v>#N/A</v>
      </c>
      <c r="H14839" s="164"/>
      <c r="I14839" s="8"/>
      <c r="O14839" t="str">
        <f>LEFT(Table2[[#This Row],[Description]],75)</f>
        <v>Connectyourcare Deposit</v>
      </c>
    </row>
    <row r="14840" spans="1:15">
      <c r="A14840" s="165">
        <v>202511</v>
      </c>
      <c r="B14840" s="166">
        <v>45978</v>
      </c>
      <c r="C14840" s="165" t="s">
        <v>2519</v>
      </c>
      <c r="D14840" s="165" t="s">
        <v>4470</v>
      </c>
      <c r="E14840" s="165">
        <v>-279</v>
      </c>
      <c r="F14840" t="e">
        <f>IF(Table2[[#This Row],[Manual Cat Value]]="",Table2[[#This Row],[Suggested Cat Value]],VLOOKUP(Table2[[#This Row],[Manual Cat Value]],Lookup!G:H,2,0))</f>
        <v>#N/A</v>
      </c>
      <c r="G14840" t="e">
        <f>VLOOKUP(D14840,Lookup!G:H,2,0)</f>
        <v>#N/A</v>
      </c>
      <c r="H14840" s="164"/>
      <c r="I14840" s="8"/>
      <c r="O14840" t="str">
        <f>LEFT(Table2[[#This Row],[Description]],75)</f>
        <v>Connectyourcare Deposit</v>
      </c>
    </row>
    <row r="14841" spans="1:15" hidden="1">
      <c r="A14841" s="162">
        <v>202512</v>
      </c>
      <c r="B14841" s="163">
        <v>46014</v>
      </c>
      <c r="C14841" s="162" t="s">
        <v>3938</v>
      </c>
      <c r="D14841" s="162" t="s">
        <v>648</v>
      </c>
      <c r="E14841" s="162">
        <v>222.26</v>
      </c>
      <c r="F14841" t="str">
        <f>IF(Table2[[#This Row],[Manual Cat Value]]="",Table2[[#This Row],[Suggested Cat Value]],VLOOKUP(Table2[[#This Row],[Manual Cat Value]],Lookup!G:H,2,0))</f>
        <v>Groceries</v>
      </c>
      <c r="G14841" t="str">
        <f>VLOOKUP(D14841,Lookup!G:H,2,0)</f>
        <v>Groceries</v>
      </c>
      <c r="H14841" s="164"/>
      <c r="I14841" s="8"/>
      <c r="O14841" t="str">
        <f>LEFT(Table2[[#This Row],[Description]],75)</f>
        <v>Costco</v>
      </c>
    </row>
    <row r="14842" spans="1:15" hidden="1">
      <c r="A14842" s="165">
        <v>202512</v>
      </c>
      <c r="B14842" s="166">
        <v>46014</v>
      </c>
      <c r="C14842" s="165" t="s">
        <v>3938</v>
      </c>
      <c r="D14842" s="165" t="s">
        <v>648</v>
      </c>
      <c r="E14842" s="165">
        <v>25.91</v>
      </c>
      <c r="F14842" t="str">
        <f>IF(Table2[[#This Row],[Manual Cat Value]]="",Table2[[#This Row],[Suggested Cat Value]],VLOOKUP(Table2[[#This Row],[Manual Cat Value]],Lookup!G:H,2,0))</f>
        <v>Groceries</v>
      </c>
      <c r="G14842" t="str">
        <f>VLOOKUP(D14842,Lookup!G:H,2,0)</f>
        <v>Groceries</v>
      </c>
      <c r="H14842" s="164"/>
      <c r="I14842" s="8"/>
      <c r="O14842" t="str">
        <f>LEFT(Table2[[#This Row],[Description]],75)</f>
        <v>Costco</v>
      </c>
    </row>
    <row r="14843" spans="1:15" hidden="1">
      <c r="A14843" s="162">
        <v>202512</v>
      </c>
      <c r="B14843" s="163">
        <v>46000</v>
      </c>
      <c r="C14843" s="162" t="s">
        <v>3938</v>
      </c>
      <c r="D14843" s="162" t="s">
        <v>648</v>
      </c>
      <c r="E14843" s="162">
        <v>228.38</v>
      </c>
      <c r="F14843" t="str">
        <f>IF(Table2[[#This Row],[Manual Cat Value]]="",Table2[[#This Row],[Suggested Cat Value]],VLOOKUP(Table2[[#This Row],[Manual Cat Value]],Lookup!G:H,2,0))</f>
        <v>Groceries</v>
      </c>
      <c r="G14843" t="str">
        <f>VLOOKUP(D14843,Lookup!G:H,2,0)</f>
        <v>Groceries</v>
      </c>
      <c r="H14843" s="164"/>
      <c r="I14843" s="8"/>
      <c r="O14843" t="str">
        <f>LEFT(Table2[[#This Row],[Description]],75)</f>
        <v>Costco</v>
      </c>
    </row>
    <row r="14844" spans="1:15" hidden="1">
      <c r="A14844" s="165">
        <v>202512</v>
      </c>
      <c r="B14844" s="166">
        <v>46000</v>
      </c>
      <c r="C14844" s="165" t="s">
        <v>3938</v>
      </c>
      <c r="D14844" s="165" t="s">
        <v>648</v>
      </c>
      <c r="E14844" s="165">
        <v>11.89</v>
      </c>
      <c r="F14844" t="str">
        <f>IF(Table2[[#This Row],[Manual Cat Value]]="",Table2[[#This Row],[Suggested Cat Value]],VLOOKUP(Table2[[#This Row],[Manual Cat Value]],Lookup!G:H,2,0))</f>
        <v>Groceries</v>
      </c>
      <c r="G14844" t="str">
        <f>VLOOKUP(D14844,Lookup!G:H,2,0)</f>
        <v>Groceries</v>
      </c>
      <c r="H14844" s="164"/>
      <c r="I14844" s="8"/>
      <c r="O14844" t="str">
        <f>LEFT(Table2[[#This Row],[Description]],75)</f>
        <v>Costco</v>
      </c>
    </row>
    <row r="14845" spans="1:15" hidden="1">
      <c r="A14845" s="162">
        <v>202511</v>
      </c>
      <c r="B14845" s="163">
        <v>45974</v>
      </c>
      <c r="C14845" s="162" t="s">
        <v>3938</v>
      </c>
      <c r="D14845" s="162" t="s">
        <v>648</v>
      </c>
      <c r="E14845" s="162">
        <v>79.75</v>
      </c>
      <c r="F14845" t="str">
        <f>IF(Table2[[#This Row],[Manual Cat Value]]="",Table2[[#This Row],[Suggested Cat Value]],VLOOKUP(Table2[[#This Row],[Manual Cat Value]],Lookup!G:H,2,0))</f>
        <v>Groceries</v>
      </c>
      <c r="G14845" t="str">
        <f>VLOOKUP(D14845,Lookup!G:H,2,0)</f>
        <v>Groceries</v>
      </c>
      <c r="H14845" s="164"/>
      <c r="I14845" s="8"/>
      <c r="O14845" t="str">
        <f>LEFT(Table2[[#This Row],[Description]],75)</f>
        <v>Costco</v>
      </c>
    </row>
    <row r="14846" spans="1:15" hidden="1">
      <c r="A14846" s="165">
        <v>202511</v>
      </c>
      <c r="B14846" s="166">
        <v>45974</v>
      </c>
      <c r="C14846" s="165" t="s">
        <v>3938</v>
      </c>
      <c r="D14846" s="165" t="s">
        <v>648</v>
      </c>
      <c r="E14846" s="165">
        <v>71.45</v>
      </c>
      <c r="F14846" t="str">
        <f>IF(Table2[[#This Row],[Manual Cat Value]]="",Table2[[#This Row],[Suggested Cat Value]],VLOOKUP(Table2[[#This Row],[Manual Cat Value]],Lookup!G:H,2,0))</f>
        <v>Groceries</v>
      </c>
      <c r="G14846" t="str">
        <f>VLOOKUP(D14846,Lookup!G:H,2,0)</f>
        <v>Groceries</v>
      </c>
      <c r="H14846" s="164"/>
      <c r="I14846" s="8"/>
      <c r="O14846" t="str">
        <f>LEFT(Table2[[#This Row],[Description]],75)</f>
        <v>Costco</v>
      </c>
    </row>
    <row r="14847" spans="1:15" hidden="1">
      <c r="A14847" s="162">
        <v>202511</v>
      </c>
      <c r="B14847" s="163">
        <v>45970</v>
      </c>
      <c r="C14847" s="162" t="s">
        <v>3938</v>
      </c>
      <c r="D14847" s="162" t="s">
        <v>648</v>
      </c>
      <c r="E14847" s="162">
        <v>213.85</v>
      </c>
      <c r="F14847" t="str">
        <f>IF(Table2[[#This Row],[Manual Cat Value]]="",Table2[[#This Row],[Suggested Cat Value]],VLOOKUP(Table2[[#This Row],[Manual Cat Value]],Lookup!G:H,2,0))</f>
        <v>Groceries</v>
      </c>
      <c r="G14847" t="str">
        <f>VLOOKUP(D14847,Lookup!G:H,2,0)</f>
        <v>Groceries</v>
      </c>
      <c r="H14847" s="164"/>
      <c r="I14847" s="8"/>
      <c r="O14847" t="str">
        <f>LEFT(Table2[[#This Row],[Description]],75)</f>
        <v>Costco</v>
      </c>
    </row>
    <row r="14848" spans="1:15" hidden="1">
      <c r="A14848" s="165">
        <v>202511</v>
      </c>
      <c r="B14848" s="166">
        <v>45970</v>
      </c>
      <c r="C14848" s="165" t="s">
        <v>3938</v>
      </c>
      <c r="D14848" s="165" t="s">
        <v>648</v>
      </c>
      <c r="E14848" s="165">
        <v>2.16</v>
      </c>
      <c r="F14848" t="str">
        <f>IF(Table2[[#This Row],[Manual Cat Value]]="",Table2[[#This Row],[Suggested Cat Value]],VLOOKUP(Table2[[#This Row],[Manual Cat Value]],Lookup!G:H,2,0))</f>
        <v>Groceries</v>
      </c>
      <c r="G14848" t="str">
        <f>VLOOKUP(D14848,Lookup!G:H,2,0)</f>
        <v>Groceries</v>
      </c>
      <c r="H14848" s="164"/>
      <c r="I14848" s="8"/>
      <c r="O14848" t="str">
        <f>LEFT(Table2[[#This Row],[Description]],75)</f>
        <v>Costco</v>
      </c>
    </row>
    <row r="14849" spans="1:15">
      <c r="A14849" s="162">
        <v>202511</v>
      </c>
      <c r="B14849" s="163">
        <v>45974</v>
      </c>
      <c r="C14849" s="162" t="s">
        <v>3938</v>
      </c>
      <c r="D14849" s="162" t="s">
        <v>4887</v>
      </c>
      <c r="E14849" s="162">
        <v>29.07</v>
      </c>
      <c r="F14849" t="str">
        <f>IF(Table2[[#This Row],[Manual Cat Value]]="",Table2[[#This Row],[Suggested Cat Value]],VLOOKUP(Table2[[#This Row],[Manual Cat Value]],Lookup!G:H,2,0))</f>
        <v>Transportation</v>
      </c>
      <c r="G14849" t="e">
        <f>VLOOKUP(D14849,Lookup!G:H,2,0)</f>
        <v>#N/A</v>
      </c>
      <c r="H14849" s="164" t="s">
        <v>22</v>
      </c>
      <c r="I14849" s="8"/>
      <c r="O14849" t="str">
        <f>LEFT(Table2[[#This Row],[Description]],75)</f>
        <v>Costco Gas Stations</v>
      </c>
    </row>
    <row r="14850" spans="1:15">
      <c r="A14850" s="165">
        <v>202511</v>
      </c>
      <c r="B14850" s="166">
        <v>45970</v>
      </c>
      <c r="C14850" s="165" t="s">
        <v>3938</v>
      </c>
      <c r="D14850" s="165" t="s">
        <v>4887</v>
      </c>
      <c r="E14850" s="165">
        <v>61.04</v>
      </c>
      <c r="F14850" t="str">
        <f>IF(Table2[[#This Row],[Manual Cat Value]]="",Table2[[#This Row],[Suggested Cat Value]],VLOOKUP(Table2[[#This Row],[Manual Cat Value]],Lookup!G:H,2,0))</f>
        <v>Transportation</v>
      </c>
      <c r="G14850" t="e">
        <f>VLOOKUP(D14850,Lookup!G:H,2,0)</f>
        <v>#N/A</v>
      </c>
      <c r="H14850" s="164" t="s">
        <v>22</v>
      </c>
      <c r="I14850" s="8"/>
      <c r="O14850" t="str">
        <f>LEFT(Table2[[#This Row],[Description]],75)</f>
        <v>Costco Gas Stations</v>
      </c>
    </row>
    <row r="14851" spans="1:15" hidden="1">
      <c r="A14851" s="162">
        <v>202511</v>
      </c>
      <c r="B14851" s="163">
        <v>45991</v>
      </c>
      <c r="C14851" s="162" t="s">
        <v>3938</v>
      </c>
      <c r="D14851" s="162" t="s">
        <v>649</v>
      </c>
      <c r="E14851" s="162">
        <v>64</v>
      </c>
      <c r="F14851" t="str">
        <f>IF(Table2[[#This Row],[Manual Cat Value]]="",Table2[[#This Row],[Suggested Cat Value]],VLOOKUP(Table2[[#This Row],[Manual Cat Value]],Lookup!G:H,2,0))</f>
        <v>Entertainment</v>
      </c>
      <c r="G14851" t="str">
        <f>VLOOKUP(D14851,Lookup!G:H,2,0)</f>
        <v>Entertainment</v>
      </c>
      <c r="H14851" s="164" t="s">
        <v>39</v>
      </c>
      <c r="I14851" s="8"/>
      <c r="O14851" t="str">
        <f>LEFT(Table2[[#This Row],[Description]],75)</f>
        <v>Country Club Lanes</v>
      </c>
    </row>
    <row r="14852" spans="1:15" hidden="1">
      <c r="A14852" s="165">
        <v>202512</v>
      </c>
      <c r="B14852" s="166">
        <v>46010</v>
      </c>
      <c r="C14852" s="165" t="s">
        <v>3938</v>
      </c>
      <c r="D14852" s="165" t="s">
        <v>673</v>
      </c>
      <c r="E14852" s="165">
        <v>-327.75</v>
      </c>
      <c r="F14852" t="str">
        <f>IF(Table2[[#This Row],[Manual Cat Value]]="",Table2[[#This Row],[Suggested Cat Value]],VLOOKUP(Table2[[#This Row],[Manual Cat Value]],Lookup!G:H,2,0))</f>
        <v>Delete</v>
      </c>
      <c r="G14852" t="str">
        <f>VLOOKUP(D14852,Lookup!G:H,2,0)</f>
        <v>Delete</v>
      </c>
      <c r="H14852" s="164"/>
      <c r="I14852" s="8"/>
      <c r="O14852" t="str">
        <f>LEFT(Table2[[#This Row],[Description]],75)</f>
        <v>Credit Card Payment Received</v>
      </c>
    </row>
    <row r="14853" spans="1:15" hidden="1">
      <c r="A14853" s="162">
        <v>202512</v>
      </c>
      <c r="B14853" s="163">
        <v>46009</v>
      </c>
      <c r="C14853" s="162" t="s">
        <v>3938</v>
      </c>
      <c r="D14853" s="162" t="s">
        <v>673</v>
      </c>
      <c r="E14853" s="162">
        <v>-327.75</v>
      </c>
      <c r="F14853" t="str">
        <f>IF(Table2[[#This Row],[Manual Cat Value]]="",Table2[[#This Row],[Suggested Cat Value]],VLOOKUP(Table2[[#This Row],[Manual Cat Value]],Lookup!G:H,2,0))</f>
        <v>Delete</v>
      </c>
      <c r="G14853" t="str">
        <f>VLOOKUP(D14853,Lookup!G:H,2,0)</f>
        <v>Delete</v>
      </c>
      <c r="H14853" s="164"/>
      <c r="I14853" s="8"/>
      <c r="O14853" t="str">
        <f>LEFT(Table2[[#This Row],[Description]],75)</f>
        <v>Credit Card Payment Received</v>
      </c>
    </row>
    <row r="14854" spans="1:15" hidden="1">
      <c r="A14854" s="165">
        <v>202512</v>
      </c>
      <c r="B14854" s="166">
        <v>45992</v>
      </c>
      <c r="C14854" s="165" t="s">
        <v>3938</v>
      </c>
      <c r="D14854" s="165" t="s">
        <v>673</v>
      </c>
      <c r="E14854" s="165">
        <v>-1001.03</v>
      </c>
      <c r="F14854" t="str">
        <f>IF(Table2[[#This Row],[Manual Cat Value]]="",Table2[[#This Row],[Suggested Cat Value]],VLOOKUP(Table2[[#This Row],[Manual Cat Value]],Lookup!G:H,2,0))</f>
        <v>Delete</v>
      </c>
      <c r="G14854" t="str">
        <f>VLOOKUP(D14854,Lookup!G:H,2,0)</f>
        <v>Delete</v>
      </c>
      <c r="H14854" s="164"/>
      <c r="I14854" s="8"/>
      <c r="O14854" t="str">
        <f>LEFT(Table2[[#This Row],[Description]],75)</f>
        <v>Credit Card Payment Received</v>
      </c>
    </row>
    <row r="14855" spans="1:15" hidden="1">
      <c r="A14855" s="162">
        <v>202512</v>
      </c>
      <c r="B14855" s="163">
        <v>46005</v>
      </c>
      <c r="C14855" s="162" t="s">
        <v>130</v>
      </c>
      <c r="D14855" s="162" t="s">
        <v>6075</v>
      </c>
      <c r="E14855" s="162">
        <v>58.57</v>
      </c>
      <c r="F14855" t="str">
        <f>IF(Table2[[#This Row],[Manual Cat Value]]="",Table2[[#This Row],[Suggested Cat Value]],VLOOKUP(Table2[[#This Row],[Manual Cat Value]],Lookup!G:H,2,0))</f>
        <v>Restaurants</v>
      </c>
      <c r="G14855" t="e">
        <f>VLOOKUP(D14855,Lookup!G:H,2,0)</f>
        <v>#N/A</v>
      </c>
      <c r="H14855" s="164" t="s">
        <v>25</v>
      </c>
      <c r="I14855" s="8"/>
      <c r="O14855" t="str">
        <f>LEFT(Table2[[#This Row],[Description]],75)</f>
        <v>CROOKED PINT - CHASK952-3616794         MN</v>
      </c>
    </row>
    <row r="14856" spans="1:15" hidden="1">
      <c r="A14856" s="165">
        <v>202512</v>
      </c>
      <c r="B14856" s="166">
        <v>46015</v>
      </c>
      <c r="C14856" s="165" t="s">
        <v>3938</v>
      </c>
      <c r="D14856" s="165" t="s">
        <v>684</v>
      </c>
      <c r="E14856" s="165">
        <v>12.88</v>
      </c>
      <c r="F14856" t="str">
        <f>IF(Table2[[#This Row],[Manual Cat Value]]="",Table2[[#This Row],[Suggested Cat Value]],VLOOKUP(Table2[[#This Row],[Manual Cat Value]],Lookup!G:H,2,0))</f>
        <v>Groceries</v>
      </c>
      <c r="G14856" t="str">
        <f>VLOOKUP(D14856,Lookup!G:H,2,0)</f>
        <v>Groceries</v>
      </c>
      <c r="H14856" s="164"/>
      <c r="I14856" s="8"/>
      <c r="O14856" t="str">
        <f>LEFT(Table2[[#This Row],[Description]],75)</f>
        <v>Cub Foods</v>
      </c>
    </row>
    <row r="14857" spans="1:15" hidden="1">
      <c r="A14857" s="162">
        <v>202511</v>
      </c>
      <c r="B14857" s="163">
        <v>45987</v>
      </c>
      <c r="C14857" s="162" t="s">
        <v>130</v>
      </c>
      <c r="D14857" s="162" t="s">
        <v>5788</v>
      </c>
      <c r="E14857" s="162">
        <v>9.75</v>
      </c>
      <c r="F14857" t="str">
        <f>IF(Table2[[#This Row],[Manual Cat Value]]="",Table2[[#This Row],[Suggested Cat Value]],VLOOKUP(Table2[[#This Row],[Manual Cat Value]],Lookup!G:H,2,0))</f>
        <v>Groceries</v>
      </c>
      <c r="G14857" t="e">
        <f>VLOOKUP(D14857,Lookup!G:H,2,0)</f>
        <v>#N/A</v>
      </c>
      <c r="H14857" s="164" t="s">
        <v>27</v>
      </c>
      <c r="I14857" s="8"/>
      <c r="O14857" t="str">
        <f>LEFT(Table2[[#This Row],[Description]],75)</f>
        <v>CUB FOODS #1636 0000SHOREWOOD           MN</v>
      </c>
    </row>
    <row r="14858" spans="1:15" hidden="1">
      <c r="A14858" s="165">
        <v>202511</v>
      </c>
      <c r="B14858" s="166">
        <v>45986</v>
      </c>
      <c r="C14858" s="165" t="s">
        <v>3938</v>
      </c>
      <c r="D14858" s="165" t="s">
        <v>692</v>
      </c>
      <c r="E14858" s="165">
        <v>16.57</v>
      </c>
      <c r="F14858" t="str">
        <f>IF(Table2[[#This Row],[Manual Cat Value]]="",Table2[[#This Row],[Suggested Cat Value]],VLOOKUP(Table2[[#This Row],[Manual Cat Value]],Lookup!G:H,2,0))</f>
        <v>Restaurants</v>
      </c>
      <c r="G14858" t="str">
        <f>VLOOKUP(D14858,Lookup!G:H,2,0)</f>
        <v>Restaurants</v>
      </c>
      <c r="H14858" s="164"/>
      <c r="I14858" s="8"/>
      <c r="O14858" t="str">
        <f>LEFT(Table2[[#This Row],[Description]],75)</f>
        <v>Dairy Queen</v>
      </c>
    </row>
    <row r="14859" spans="1:15" hidden="1">
      <c r="A14859" s="162">
        <v>202511</v>
      </c>
      <c r="B14859" s="163">
        <v>45979</v>
      </c>
      <c r="C14859" s="162" t="s">
        <v>130</v>
      </c>
      <c r="D14859" s="162" t="s">
        <v>5392</v>
      </c>
      <c r="E14859" s="162">
        <v>738.97</v>
      </c>
      <c r="F14859" t="str">
        <f>IF(Table2[[#This Row],[Manual Cat Value]]="",Table2[[#This Row],[Suggested Cat Value]],VLOOKUP(Table2[[#This Row],[Manual Cat Value]],Lookup!G:H,2,0))</f>
        <v>Travel</v>
      </c>
      <c r="G14859" t="str">
        <f>VLOOKUP(D14859,Lookup!G:H,2,0)</f>
        <v>Travel</v>
      </c>
      <c r="H14859" s="164"/>
      <c r="I14859" s="8"/>
      <c r="O14859" t="str">
        <f>LEFT(Table2[[#This Row],[Description]],75)</f>
        <v>DELTA AIR LINES</v>
      </c>
    </row>
    <row r="14860" spans="1:15" hidden="1">
      <c r="A14860" s="165">
        <v>202512</v>
      </c>
      <c r="B14860" s="166">
        <v>46008</v>
      </c>
      <c r="C14860" s="165" t="s">
        <v>130</v>
      </c>
      <c r="D14860" s="165" t="s">
        <v>5418</v>
      </c>
      <c r="E14860" s="165">
        <v>-11.2</v>
      </c>
      <c r="F14860" t="str">
        <f>IF(Table2[[#This Row],[Manual Cat Value]]="",Table2[[#This Row],[Suggested Cat Value]],VLOOKUP(Table2[[#This Row],[Manual Cat Value]],Lookup!G:H,2,0))</f>
        <v>Delete</v>
      </c>
      <c r="G14860" t="e">
        <f>VLOOKUP(D14860,Lookup!G:H,2,0)</f>
        <v>#N/A</v>
      </c>
      <c r="H14860" s="164" t="s">
        <v>9</v>
      </c>
      <c r="I14860" s="8"/>
      <c r="O14860" t="str">
        <f>LEFT(Table2[[#This Row],[Description]],75)</f>
        <v>DELTA AIR LINES     ATLANTA</v>
      </c>
    </row>
    <row r="14861" spans="1:15" hidden="1">
      <c r="A14861" s="162">
        <v>202512</v>
      </c>
      <c r="B14861" s="163">
        <v>46008</v>
      </c>
      <c r="C14861" s="162" t="s">
        <v>130</v>
      </c>
      <c r="D14861" s="162" t="s">
        <v>5418</v>
      </c>
      <c r="E14861" s="162">
        <v>-11.2</v>
      </c>
      <c r="F14861" t="str">
        <f>IF(Table2[[#This Row],[Manual Cat Value]]="",Table2[[#This Row],[Suggested Cat Value]],VLOOKUP(Table2[[#This Row],[Manual Cat Value]],Lookup!G:H,2,0))</f>
        <v>Delete</v>
      </c>
      <c r="G14861" t="e">
        <f>VLOOKUP(D14861,Lookup!G:H,2,0)</f>
        <v>#N/A</v>
      </c>
      <c r="H14861" s="164" t="s">
        <v>9</v>
      </c>
      <c r="I14861" s="8"/>
      <c r="O14861" t="str">
        <f>LEFT(Table2[[#This Row],[Description]],75)</f>
        <v>DELTA AIR LINES     ATLANTA</v>
      </c>
    </row>
    <row r="14862" spans="1:15" hidden="1">
      <c r="A14862" s="165">
        <v>202512</v>
      </c>
      <c r="B14862" s="166">
        <v>46008</v>
      </c>
      <c r="C14862" s="165" t="s">
        <v>130</v>
      </c>
      <c r="D14862" s="165" t="s">
        <v>5418</v>
      </c>
      <c r="E14862" s="165">
        <v>-11.2</v>
      </c>
      <c r="F14862" t="str">
        <f>IF(Table2[[#This Row],[Manual Cat Value]]="",Table2[[#This Row],[Suggested Cat Value]],VLOOKUP(Table2[[#This Row],[Manual Cat Value]],Lookup!G:H,2,0))</f>
        <v>Delete</v>
      </c>
      <c r="G14862" t="e">
        <f>VLOOKUP(D14862,Lookup!G:H,2,0)</f>
        <v>#N/A</v>
      </c>
      <c r="H14862" s="164" t="s">
        <v>9</v>
      </c>
      <c r="I14862" s="8"/>
      <c r="O14862" t="str">
        <f>LEFT(Table2[[#This Row],[Description]],75)</f>
        <v>DELTA AIR LINES     ATLANTA</v>
      </c>
    </row>
    <row r="14863" spans="1:15" hidden="1">
      <c r="A14863" s="162">
        <v>202512</v>
      </c>
      <c r="B14863" s="163">
        <v>46008</v>
      </c>
      <c r="C14863" s="162" t="s">
        <v>130</v>
      </c>
      <c r="D14863" s="162" t="s">
        <v>5418</v>
      </c>
      <c r="E14863" s="162">
        <v>-11.2</v>
      </c>
      <c r="F14863" t="str">
        <f>IF(Table2[[#This Row],[Manual Cat Value]]="",Table2[[#This Row],[Suggested Cat Value]],VLOOKUP(Table2[[#This Row],[Manual Cat Value]],Lookup!G:H,2,0))</f>
        <v>Delete</v>
      </c>
      <c r="G14863" t="e">
        <f>VLOOKUP(D14863,Lookup!G:H,2,0)</f>
        <v>#N/A</v>
      </c>
      <c r="H14863" s="164" t="s">
        <v>9</v>
      </c>
      <c r="I14863" s="8"/>
      <c r="O14863" t="str">
        <f>LEFT(Table2[[#This Row],[Description]],75)</f>
        <v>DELTA AIR LINES     ATLANTA</v>
      </c>
    </row>
    <row r="14864" spans="1:15" hidden="1">
      <c r="A14864" s="165">
        <v>202512</v>
      </c>
      <c r="B14864" s="166">
        <v>46001</v>
      </c>
      <c r="C14864" s="165" t="s">
        <v>130</v>
      </c>
      <c r="D14864" s="165" t="s">
        <v>5418</v>
      </c>
      <c r="E14864" s="165">
        <v>1683.13</v>
      </c>
      <c r="F14864" t="str">
        <f>IF(Table2[[#This Row],[Manual Cat Value]]="",Table2[[#This Row],[Suggested Cat Value]],VLOOKUP(Table2[[#This Row],[Manual Cat Value]],Lookup!G:H,2,0))</f>
        <v>Delete</v>
      </c>
      <c r="G14864" t="e">
        <f>VLOOKUP(D14864,Lookup!G:H,2,0)</f>
        <v>#N/A</v>
      </c>
      <c r="H14864" s="164" t="s">
        <v>9</v>
      </c>
      <c r="I14864" s="8"/>
      <c r="O14864" t="str">
        <f>LEFT(Table2[[#This Row],[Description]],75)</f>
        <v>DELTA AIR LINES     ATLANTA</v>
      </c>
    </row>
    <row r="14865" spans="1:15">
      <c r="A14865" s="162">
        <v>202512</v>
      </c>
      <c r="B14865" s="163">
        <v>46021</v>
      </c>
      <c r="C14865" s="162" t="s">
        <v>2519</v>
      </c>
      <c r="D14865" s="162" t="s">
        <v>7059</v>
      </c>
      <c r="E14865" s="162">
        <v>-3378.61</v>
      </c>
      <c r="F14865" t="e">
        <f>IF(Table2[[#This Row],[Manual Cat Value]]="",Table2[[#This Row],[Suggested Cat Value]],VLOOKUP(Table2[[#This Row],[Manual Cat Value]],Lookup!G:H,2,0))</f>
        <v>#N/A</v>
      </c>
      <c r="G14865" t="e">
        <f>VLOOKUP(D14865,Lookup!G:H,2,0)</f>
        <v>#N/A</v>
      </c>
      <c r="H14865" s="164"/>
      <c r="I14865" s="8"/>
      <c r="O14865" t="str">
        <f>LEFT(Table2[[#This Row],[Description]],75)</f>
        <v>Deposit ACH EMPYREAN SOLUTIO TYPE: ACH ID: XX3620 CO: EMPYREAN SOLUTIO Entr</v>
      </c>
    </row>
    <row r="14866" spans="1:15">
      <c r="A14866" s="165">
        <v>202512</v>
      </c>
      <c r="B14866" s="166">
        <v>46021</v>
      </c>
      <c r="C14866" s="165" t="s">
        <v>2519</v>
      </c>
      <c r="D14866" s="165" t="s">
        <v>7060</v>
      </c>
      <c r="E14866" s="165">
        <v>-75</v>
      </c>
      <c r="F14866" t="e">
        <f>IF(Table2[[#This Row],[Manual Cat Value]]="",Table2[[#This Row],[Suggested Cat Value]],VLOOKUP(Table2[[#This Row],[Manual Cat Value]],Lookup!G:H,2,0))</f>
        <v>#N/A</v>
      </c>
      <c r="G14866" t="e">
        <f>VLOOKUP(D14866,Lookup!G:H,2,0)</f>
        <v>#N/A</v>
      </c>
      <c r="H14866" s="164"/>
      <c r="I14866" s="8"/>
      <c r="O14866" t="str">
        <f>LEFT(Table2[[#This Row],[Description]],75)</f>
        <v>Deposit ACH EMPYREAN SOLUTIO TYPE: ACH ID: XX3620 CO: EMPYREAN SOLUTIO Entr</v>
      </c>
    </row>
    <row r="14867" spans="1:15">
      <c r="A14867" s="162">
        <v>202511</v>
      </c>
      <c r="B14867" s="163">
        <v>45981</v>
      </c>
      <c r="C14867" s="162" t="s">
        <v>2519</v>
      </c>
      <c r="D14867" s="162" t="s">
        <v>7061</v>
      </c>
      <c r="E14867" s="162">
        <v>-1966.11</v>
      </c>
      <c r="F14867" t="e">
        <f>IF(Table2[[#This Row],[Manual Cat Value]]="",Table2[[#This Row],[Suggested Cat Value]],VLOOKUP(Table2[[#This Row],[Manual Cat Value]],Lookup!G:H,2,0))</f>
        <v>#N/A</v>
      </c>
      <c r="G14867" t="e">
        <f>VLOOKUP(D14867,Lookup!G:H,2,0)</f>
        <v>#N/A</v>
      </c>
      <c r="H14867" s="164"/>
      <c r="I14867" s="8"/>
      <c r="O14867" t="str">
        <f>LEFT(Table2[[#This Row],[Description]],75)</f>
        <v>Deposit ACH EMPYREAN SOLUTIO TYPE: ACH ID: XX3620 CO: EMPYREAN SOLUTIO Entr</v>
      </c>
    </row>
    <row r="14868" spans="1:15">
      <c r="A14868" s="165">
        <v>202512</v>
      </c>
      <c r="B14868" s="166">
        <v>46022</v>
      </c>
      <c r="C14868" s="165" t="s">
        <v>2519</v>
      </c>
      <c r="D14868" s="165" t="s">
        <v>2896</v>
      </c>
      <c r="E14868" s="165">
        <v>-3.5</v>
      </c>
      <c r="F14868" t="e">
        <f>IF(Table2[[#This Row],[Manual Cat Value]]="",Table2[[#This Row],[Suggested Cat Value]],VLOOKUP(Table2[[#This Row],[Manual Cat Value]],Lookup!G:H,2,0))</f>
        <v>#N/A</v>
      </c>
      <c r="G14868" t="e">
        <f>VLOOKUP(D14868,Lookup!G:H,2,0)</f>
        <v>#N/A</v>
      </c>
      <c r="H14868" s="164"/>
      <c r="I14868" s="8"/>
      <c r="O14868" t="str">
        <f>LEFT(Table2[[#This Row],[Description]],75)</f>
        <v>Deposit ATM FEE REFUND</v>
      </c>
    </row>
    <row r="14869" spans="1:15">
      <c r="A14869" s="162">
        <v>202511</v>
      </c>
      <c r="B14869" s="163">
        <v>45991</v>
      </c>
      <c r="C14869" s="162" t="s">
        <v>2519</v>
      </c>
      <c r="D14869" s="162" t="s">
        <v>7062</v>
      </c>
      <c r="E14869" s="162">
        <v>-48.58</v>
      </c>
      <c r="F14869" t="e">
        <f>IF(Table2[[#This Row],[Manual Cat Value]]="",Table2[[#This Row],[Suggested Cat Value]],VLOOKUP(Table2[[#This Row],[Manual Cat Value]],Lookup!G:H,2,0))</f>
        <v>#N/A</v>
      </c>
      <c r="G14869" t="e">
        <f>VLOOKUP(D14869,Lookup!G:H,2,0)</f>
        <v>#N/A</v>
      </c>
      <c r="H14869" s="164"/>
      <c r="I14869" s="8"/>
      <c r="O14869" t="str">
        <f>LEFT(Table2[[#This Row],[Description]],75)</f>
        <v>Deposit Dividend Split Rate Annual Percentage Yield Earned 1.78% from 11/01</v>
      </c>
    </row>
    <row r="14870" spans="1:15">
      <c r="A14870" s="165">
        <v>202512</v>
      </c>
      <c r="B14870" s="166">
        <v>46022</v>
      </c>
      <c r="C14870" s="165" t="s">
        <v>2519</v>
      </c>
      <c r="D14870" s="165" t="s">
        <v>7063</v>
      </c>
      <c r="E14870" s="165">
        <v>-47.13</v>
      </c>
      <c r="F14870" t="e">
        <f>IF(Table2[[#This Row],[Manual Cat Value]]="",Table2[[#This Row],[Suggested Cat Value]],VLOOKUP(Table2[[#This Row],[Manual Cat Value]],Lookup!G:H,2,0))</f>
        <v>#N/A</v>
      </c>
      <c r="G14870" t="e">
        <f>VLOOKUP(D14870,Lookup!G:H,2,0)</f>
        <v>#N/A</v>
      </c>
      <c r="H14870" s="164"/>
      <c r="I14870" s="8"/>
      <c r="O14870" t="str">
        <f>LEFT(Table2[[#This Row],[Description]],75)</f>
        <v>Deposit Dividend Split Rate Annual Percentage Yield Earned 3.61% from 12/01</v>
      </c>
    </row>
    <row r="14871" spans="1:15">
      <c r="A14871" s="162">
        <v>202512</v>
      </c>
      <c r="B14871" s="163">
        <v>46020</v>
      </c>
      <c r="C14871" s="162" t="s">
        <v>2519</v>
      </c>
      <c r="D14871" s="162" t="s">
        <v>7064</v>
      </c>
      <c r="E14871" s="162">
        <v>-1075</v>
      </c>
      <c r="F14871" t="e">
        <f>IF(Table2[[#This Row],[Manual Cat Value]]="",Table2[[#This Row],[Suggested Cat Value]],VLOOKUP(Table2[[#This Row],[Manual Cat Value]],Lookup!G:H,2,0))</f>
        <v>#N/A</v>
      </c>
      <c r="G14871" t="e">
        <f>VLOOKUP(D14871,Lookup!G:H,2,0)</f>
        <v>#N/A</v>
      </c>
      <c r="H14871" s="164"/>
      <c r="I14871" s="8"/>
      <c r="O14871" t="str">
        <f>LEFT(Table2[[#This Row],[Description]],75)</f>
        <v>Deposit Home Banking Transfer From Share 01 REF # XX8695</v>
      </c>
    </row>
    <row r="14872" spans="1:15" hidden="1">
      <c r="A14872" s="165">
        <v>202512</v>
      </c>
      <c r="B14872" s="166">
        <v>46006</v>
      </c>
      <c r="C14872" s="165" t="s">
        <v>130</v>
      </c>
      <c r="D14872" s="165" t="s">
        <v>6063</v>
      </c>
      <c r="E14872" s="165">
        <v>10.84</v>
      </c>
      <c r="F14872" t="str">
        <f>IF(Table2[[#This Row],[Manual Cat Value]]="",Table2[[#This Row],[Suggested Cat Value]],VLOOKUP(Table2[[#This Row],[Manual Cat Value]],Lookup!G:H,2,0))</f>
        <v>Shopping</v>
      </c>
      <c r="G14872" t="e">
        <f>VLOOKUP(D14872,Lookup!G:H,2,0)</f>
        <v>#N/A</v>
      </c>
      <c r="H14872" s="164" t="s">
        <v>36</v>
      </c>
      <c r="I14872" s="8"/>
      <c r="O14872" t="str">
        <f>LEFT(Table2[[#This Row],[Description]],75)</f>
        <v>DICK'S SPORTING GOODCORAOPOLIS          PA</v>
      </c>
    </row>
    <row r="14873" spans="1:15">
      <c r="A14873" s="162">
        <v>202512</v>
      </c>
      <c r="B14873" s="163">
        <v>46009</v>
      </c>
      <c r="C14873" s="162" t="s">
        <v>2258</v>
      </c>
      <c r="D14873" s="162" t="s">
        <v>5773</v>
      </c>
      <c r="E14873" s="162">
        <v>-360.52</v>
      </c>
      <c r="F14873" t="e">
        <f>IF(Table2[[#This Row],[Manual Cat Value]]="",Table2[[#This Row],[Suggested Cat Value]],VLOOKUP(Table2[[#This Row],[Manual Cat Value]],Lookup!G:H,2,0))</f>
        <v>#N/A</v>
      </c>
      <c r="G14873" t="e">
        <f>VLOOKUP(D14873,Lookup!G:H,2,0)</f>
        <v>#N/A</v>
      </c>
      <c r="H14873" s="164"/>
      <c r="I14873" s="8"/>
      <c r="O14873" t="str">
        <f>LEFT(Table2[[#This Row],[Description]],75)</f>
        <v>DIRECTPAY FULL BALANCESEE DETAILS OF YOUR NEXT DIRECTPAY BELOW</v>
      </c>
    </row>
    <row r="14874" spans="1:15" hidden="1">
      <c r="A14874" s="165">
        <v>202512</v>
      </c>
      <c r="B14874" s="166">
        <v>45995</v>
      </c>
      <c r="C14874" s="165" t="s">
        <v>130</v>
      </c>
      <c r="D14874" s="165" t="s">
        <v>7065</v>
      </c>
      <c r="E14874" s="165">
        <v>223.04</v>
      </c>
      <c r="F14874" t="str">
        <f>IF(Table2[[#This Row],[Manual Cat Value]]="",Table2[[#This Row],[Suggested Cat Value]],VLOOKUP(Table2[[#This Row],[Manual Cat Value]],Lookup!G:H,2,0))</f>
        <v>Healthcare</v>
      </c>
      <c r="G14874" t="e">
        <f>VLOOKUP(D14874,Lookup!G:H,2,0)</f>
        <v>#N/A</v>
      </c>
      <c r="H14874" s="164" t="s">
        <v>47</v>
      </c>
      <c r="I14874" s="8"/>
      <c r="O14874" t="str">
        <f>LEFT(Table2[[#This Row],[Description]],75)</f>
        <v>DR. DENNIS GROSS    NEW YORK            NY</v>
      </c>
    </row>
    <row r="14875" spans="1:15" hidden="1">
      <c r="A14875" s="162">
        <v>202512</v>
      </c>
      <c r="B14875" s="163">
        <v>45994</v>
      </c>
      <c r="C14875" s="162" t="s">
        <v>130</v>
      </c>
      <c r="D14875" s="162" t="s">
        <v>7065</v>
      </c>
      <c r="E14875" s="162">
        <v>247.31</v>
      </c>
      <c r="F14875" t="str">
        <f>IF(Table2[[#This Row],[Manual Cat Value]]="",Table2[[#This Row],[Suggested Cat Value]],VLOOKUP(Table2[[#This Row],[Manual Cat Value]],Lookup!G:H,2,0))</f>
        <v>Healthcare</v>
      </c>
      <c r="G14875" t="e">
        <f>VLOOKUP(D14875,Lookup!G:H,2,0)</f>
        <v>#N/A</v>
      </c>
      <c r="H14875" s="164" t="s">
        <v>47</v>
      </c>
      <c r="I14875" s="8"/>
      <c r="O14875" t="str">
        <f>LEFT(Table2[[#This Row],[Description]],75)</f>
        <v>DR. DENNIS GROSS    NEW YORK            NY</v>
      </c>
    </row>
    <row r="14876" spans="1:15">
      <c r="A14876" s="165">
        <v>202512</v>
      </c>
      <c r="B14876" s="166">
        <v>45999</v>
      </c>
      <c r="C14876" s="165" t="s">
        <v>2519</v>
      </c>
      <c r="D14876" s="165" t="s">
        <v>7066</v>
      </c>
      <c r="E14876" s="165">
        <v>85</v>
      </c>
      <c r="F14876" t="e">
        <f>IF(Table2[[#This Row],[Manual Cat Value]]="",Table2[[#This Row],[Suggested Cat Value]],VLOOKUP(Table2[[#This Row],[Manual Cat Value]],Lookup!G:H,2,0))</f>
        <v>#N/A</v>
      </c>
      <c r="G14876" t="e">
        <f>VLOOKUP(D14876,Lookup!G:H,2,0)</f>
        <v>#N/A</v>
      </c>
      <c r="H14876" s="164"/>
      <c r="I14876" s="8"/>
      <c r="O14876" t="str">
        <f>LEFT(Table2[[#This Row],[Description]],75)</f>
        <v>Draft 2327 Tracer XXXXX0765</v>
      </c>
    </row>
    <row r="14877" spans="1:15">
      <c r="A14877" s="162">
        <v>202512</v>
      </c>
      <c r="B14877" s="163">
        <v>45992</v>
      </c>
      <c r="C14877" s="162" t="s">
        <v>2519</v>
      </c>
      <c r="D14877" s="162" t="s">
        <v>7067</v>
      </c>
      <c r="E14877" s="162">
        <v>22375</v>
      </c>
      <c r="F14877" t="e">
        <f>IF(Table2[[#This Row],[Manual Cat Value]]="",Table2[[#This Row],[Suggested Cat Value]],VLOOKUP(Table2[[#This Row],[Manual Cat Value]],Lookup!G:H,2,0))</f>
        <v>#N/A</v>
      </c>
      <c r="G14877" t="e">
        <f>VLOOKUP(D14877,Lookup!G:H,2,0)</f>
        <v>#N/A</v>
      </c>
      <c r="H14877" s="164"/>
      <c r="I14877" s="8"/>
      <c r="O14877" t="str">
        <f>LEFT(Table2[[#This Row],[Description]],75)</f>
        <v>Draft 2328 Tracer XXXXX2077</v>
      </c>
    </row>
    <row r="14878" spans="1:15" hidden="1">
      <c r="A14878" s="165">
        <v>202512</v>
      </c>
      <c r="B14878" s="166">
        <v>45994</v>
      </c>
      <c r="C14878" s="165" t="s">
        <v>2519</v>
      </c>
      <c r="D14878" s="165" t="s">
        <v>799</v>
      </c>
      <c r="E14878" s="165">
        <v>-23.39</v>
      </c>
      <c r="F14878" t="str">
        <f>IF(Table2[[#This Row],[Manual Cat Value]]="",Table2[[#This Row],[Suggested Cat Value]],VLOOKUP(Table2[[#This Row],[Manual Cat Value]],Lookup!G:H,2,0))</f>
        <v>Shopping</v>
      </c>
      <c r="G14878" t="str">
        <f>VLOOKUP(D14878,Lookup!G:H,2,0)</f>
        <v>Inc - Other</v>
      </c>
      <c r="H14878" s="164" t="s">
        <v>36</v>
      </c>
      <c r="I14878" s="8"/>
      <c r="O14878" t="str">
        <f>LEFT(Table2[[#This Row],[Description]],75)</f>
        <v>eBay</v>
      </c>
    </row>
    <row r="14879" spans="1:15" hidden="1">
      <c r="A14879" s="162">
        <v>202512</v>
      </c>
      <c r="B14879" s="163">
        <v>46006</v>
      </c>
      <c r="C14879" s="162" t="s">
        <v>3938</v>
      </c>
      <c r="D14879" s="162" t="s">
        <v>7068</v>
      </c>
      <c r="E14879" s="162">
        <v>45</v>
      </c>
      <c r="F14879" t="str">
        <f>IF(Table2[[#This Row],[Manual Cat Value]]="",Table2[[#This Row],[Suggested Cat Value]],VLOOKUP(Table2[[#This Row],[Manual Cat Value]],Lookup!G:H,2,0))</f>
        <v>Shopping</v>
      </c>
      <c r="G14879" t="e">
        <f>VLOOKUP(D14879,Lookup!G:H,2,0)</f>
        <v>#N/A</v>
      </c>
      <c r="H14879" s="164" t="s">
        <v>36</v>
      </c>
      <c r="I14879" s="8"/>
      <c r="O14879" t="str">
        <f>LEFT(Table2[[#This Row],[Description]],75)</f>
        <v>ELITE NAILS LLC CHANHASSEN MN REF #XX1705AX3WAB4B4P</v>
      </c>
    </row>
    <row r="14880" spans="1:15" hidden="1">
      <c r="A14880" s="165">
        <v>202512</v>
      </c>
      <c r="B14880" s="166">
        <v>45997</v>
      </c>
      <c r="C14880" s="165" t="s">
        <v>130</v>
      </c>
      <c r="D14880" s="165" t="s">
        <v>6043</v>
      </c>
      <c r="E14880" s="165">
        <v>249.99</v>
      </c>
      <c r="F14880" t="str">
        <f>IF(Table2[[#This Row],[Manual Cat Value]]="",Table2[[#This Row],[Suggested Cat Value]],VLOOKUP(Table2[[#This Row],[Manual Cat Value]],Lookup!G:H,2,0))</f>
        <v>Utilities</v>
      </c>
      <c r="G14880" t="e">
        <f>VLOOKUP(D14880,Lookup!G:H,2,0)</f>
        <v>#N/A</v>
      </c>
      <c r="H14880" s="164" t="s">
        <v>6</v>
      </c>
      <c r="I14880" s="8"/>
      <c r="O14880" t="str">
        <f>LEFT(Table2[[#This Row],[Description]],75)</f>
        <v>EVERNOTE            REDWOOD CITY        CA</v>
      </c>
    </row>
    <row r="14881" spans="1:15" hidden="1">
      <c r="A14881" s="162">
        <v>202512</v>
      </c>
      <c r="B14881" s="163">
        <v>45994</v>
      </c>
      <c r="C14881" s="162" t="s">
        <v>130</v>
      </c>
      <c r="D14881" s="162" t="s">
        <v>5892</v>
      </c>
      <c r="E14881" s="162">
        <v>330</v>
      </c>
      <c r="F14881" t="str">
        <f>IF(Table2[[#This Row],[Manual Cat Value]]="",Table2[[#This Row],[Suggested Cat Value]],VLOOKUP(Table2[[#This Row],[Manual Cat Value]],Lookup!G:H,2,0))</f>
        <v>Day Care</v>
      </c>
      <c r="G14881" t="e">
        <f>VLOOKUP(D14881,Lookup!G:H,2,0)</f>
        <v>#N/A</v>
      </c>
      <c r="H14881" s="164" t="s">
        <v>19</v>
      </c>
      <c r="I14881" s="8"/>
      <c r="O14881" t="str">
        <f>LEFT(Table2[[#This Row],[Description]],75)</f>
        <v>FOSS SWIM SCHOOL    EDEN PRAIRIE        MN</v>
      </c>
    </row>
    <row r="14882" spans="1:15" hidden="1">
      <c r="A14882" s="165">
        <v>202512</v>
      </c>
      <c r="B14882" s="166">
        <v>45997</v>
      </c>
      <c r="C14882" s="165" t="s">
        <v>130</v>
      </c>
      <c r="D14882" s="165" t="s">
        <v>7069</v>
      </c>
      <c r="E14882" s="165">
        <v>-28.17</v>
      </c>
      <c r="F14882" t="str">
        <f>IF(Table2[[#This Row],[Manual Cat Value]]="",Table2[[#This Row],[Suggested Cat Value]],VLOOKUP(Table2[[#This Row],[Manual Cat Value]],Lookup!G:H,2,0))</f>
        <v>Shopping</v>
      </c>
      <c r="G14882" t="e">
        <f>VLOOKUP(D14882,Lookup!G:H,2,0)</f>
        <v>#N/A</v>
      </c>
      <c r="H14882" s="164" t="s">
        <v>36</v>
      </c>
      <c r="I14882" s="8"/>
      <c r="O14882" t="str">
        <f>LEFT(Table2[[#This Row],[Description]],75)</f>
        <v>FRG*NFLSHOP.COM     JACKSONVILLE        FL</v>
      </c>
    </row>
    <row r="14883" spans="1:15" hidden="1">
      <c r="A14883" s="162">
        <v>202511</v>
      </c>
      <c r="B14883" s="163">
        <v>45989</v>
      </c>
      <c r="C14883" s="162" t="s">
        <v>130</v>
      </c>
      <c r="D14883" s="162" t="s">
        <v>7069</v>
      </c>
      <c r="E14883" s="162">
        <v>112.46</v>
      </c>
      <c r="F14883" t="str">
        <f>IF(Table2[[#This Row],[Manual Cat Value]]="",Table2[[#This Row],[Suggested Cat Value]],VLOOKUP(Table2[[#This Row],[Manual Cat Value]],Lookup!G:H,2,0))</f>
        <v>Shopping</v>
      </c>
      <c r="G14883" t="e">
        <f>VLOOKUP(D14883,Lookup!G:H,2,0)</f>
        <v>#N/A</v>
      </c>
      <c r="H14883" s="164" t="s">
        <v>36</v>
      </c>
      <c r="I14883" s="8"/>
      <c r="O14883" t="str">
        <f>LEFT(Table2[[#This Row],[Description]],75)</f>
        <v>FRG*NFLSHOP.COM     JACKSONVILLE        FL</v>
      </c>
    </row>
    <row r="14884" spans="1:15" hidden="1">
      <c r="A14884" s="165">
        <v>202512</v>
      </c>
      <c r="B14884" s="166">
        <v>45994</v>
      </c>
      <c r="C14884" s="165" t="s">
        <v>130</v>
      </c>
      <c r="D14884" s="165" t="s">
        <v>7070</v>
      </c>
      <c r="E14884" s="165">
        <v>37.35</v>
      </c>
      <c r="F14884" t="str">
        <f>IF(Table2[[#This Row],[Manual Cat Value]]="",Table2[[#This Row],[Suggested Cat Value]],VLOOKUP(Table2[[#This Row],[Manual Cat Value]],Lookup!G:H,2,0))</f>
        <v>Shopping</v>
      </c>
      <c r="G14884" t="e">
        <f>VLOOKUP(D14884,Lookup!G:H,2,0)</f>
        <v>#N/A</v>
      </c>
      <c r="H14884" s="164" t="s">
        <v>36</v>
      </c>
      <c r="I14884" s="8"/>
      <c r="O14884" t="str">
        <f>LEFT(Table2[[#This Row],[Description]],75)</f>
        <v>FROSTYSCHRISTMASBARNSAN DIEGO           CA</v>
      </c>
    </row>
    <row r="14885" spans="1:15" hidden="1">
      <c r="A14885" s="162">
        <v>202511</v>
      </c>
      <c r="B14885" s="163">
        <v>45988</v>
      </c>
      <c r="C14885" s="162" t="s">
        <v>130</v>
      </c>
      <c r="D14885" s="162" t="s">
        <v>6827</v>
      </c>
      <c r="E14885" s="162">
        <v>156.69999999999999</v>
      </c>
      <c r="F14885" t="str">
        <f>IF(Table2[[#This Row],[Manual Cat Value]]="",Table2[[#This Row],[Suggested Cat Value]],VLOOKUP(Table2[[#This Row],[Manual Cat Value]],Lookup!G:H,2,0))</f>
        <v>Restaurants</v>
      </c>
      <c r="G14885" t="e">
        <f>VLOOKUP(D14885,Lookup!G:H,2,0)</f>
        <v>#N/A</v>
      </c>
      <c r="H14885" s="164" t="s">
        <v>25</v>
      </c>
      <c r="I14885" s="8"/>
      <c r="O14885" t="str">
        <f>LEFT(Table2[[#This Row],[Description]],75)</f>
        <v>FSP*OMNI BREWERY &amp; TVICTORIA            MN</v>
      </c>
    </row>
    <row r="14886" spans="1:15" hidden="1">
      <c r="A14886" s="165">
        <v>202512</v>
      </c>
      <c r="B14886" s="166">
        <v>46000</v>
      </c>
      <c r="C14886" s="165" t="s">
        <v>130</v>
      </c>
      <c r="D14886" s="165" t="s">
        <v>7071</v>
      </c>
      <c r="E14886" s="165">
        <v>48.99</v>
      </c>
      <c r="F14886" t="str">
        <f>IF(Table2[[#This Row],[Manual Cat Value]]="",Table2[[#This Row],[Suggested Cat Value]],VLOOKUP(Table2[[#This Row],[Manual Cat Value]],Lookup!G:H,2,0))</f>
        <v>Shopping</v>
      </c>
      <c r="G14886" t="e">
        <f>VLOOKUP(D14886,Lookup!G:H,2,0)</f>
        <v>#N/A</v>
      </c>
      <c r="H14886" s="164" t="s">
        <v>36</v>
      </c>
      <c r="I14886" s="8"/>
      <c r="O14886" t="str">
        <f>LEFT(Table2[[#This Row],[Description]],75)</f>
        <v>GALATEA             SAN FRANCISCO       CA</v>
      </c>
    </row>
    <row r="14887" spans="1:15">
      <c r="A14887" s="162">
        <v>202511</v>
      </c>
      <c r="B14887" s="163">
        <v>45981</v>
      </c>
      <c r="C14887" s="162" t="s">
        <v>3938</v>
      </c>
      <c r="D14887" s="162" t="s">
        <v>4899</v>
      </c>
      <c r="E14887" s="162">
        <v>1.99</v>
      </c>
      <c r="F14887" t="str">
        <f>IF(Table2[[#This Row],[Manual Cat Value]]="",Table2[[#This Row],[Suggested Cat Value]],VLOOKUP(Table2[[#This Row],[Manual Cat Value]],Lookup!G:H,2,0))</f>
        <v>Utilities</v>
      </c>
      <c r="G14887" t="e">
        <f>VLOOKUP(D14887,Lookup!G:H,2,0)</f>
        <v>#N/A</v>
      </c>
      <c r="H14887" s="164" t="s">
        <v>6</v>
      </c>
      <c r="I14887" s="8"/>
      <c r="O14887" t="str">
        <f>LEFT(Table2[[#This Row],[Description]],75)</f>
        <v>Google Cloud Storage</v>
      </c>
    </row>
    <row r="14888" spans="1:15" hidden="1">
      <c r="A14888" s="165">
        <v>202512</v>
      </c>
      <c r="B14888" s="166">
        <v>46012</v>
      </c>
      <c r="C14888" s="165" t="s">
        <v>3938</v>
      </c>
      <c r="D14888" s="165" t="s">
        <v>7072</v>
      </c>
      <c r="E14888" s="165">
        <v>1.99</v>
      </c>
      <c r="F14888" t="str">
        <f>IF(Table2[[#This Row],[Manual Cat Value]]="",Table2[[#This Row],[Suggested Cat Value]],VLOOKUP(Table2[[#This Row],[Manual Cat Value]],Lookup!G:H,2,0))</f>
        <v>Utilities</v>
      </c>
      <c r="G14888" t="e">
        <f>VLOOKUP(D14888,Lookup!G:H,2,0)</f>
        <v>#N/A</v>
      </c>
      <c r="H14888" s="164" t="s">
        <v>6</v>
      </c>
      <c r="I14888" s="8"/>
      <c r="O14888" t="str">
        <f>LEFT(Table2[[#This Row],[Description]],75)</f>
        <v>GOOGLE*GOOGLE ONE G.CO/HELPPAY#CA REF #XX0394B2SFG9J8HE</v>
      </c>
    </row>
    <row r="14889" spans="1:15" hidden="1">
      <c r="A14889" s="162">
        <v>202511</v>
      </c>
      <c r="B14889" s="163">
        <v>45989</v>
      </c>
      <c r="C14889" s="162" t="s">
        <v>130</v>
      </c>
      <c r="D14889" s="162" t="s">
        <v>7073</v>
      </c>
      <c r="E14889" s="162">
        <v>305.26</v>
      </c>
      <c r="F14889" t="str">
        <f>IF(Table2[[#This Row],[Manual Cat Value]]="",Table2[[#This Row],[Suggested Cat Value]],VLOOKUP(Table2[[#This Row],[Manual Cat Value]],Lookup!G:H,2,0))</f>
        <v>House Maintenance</v>
      </c>
      <c r="G14889" t="e">
        <f>VLOOKUP(D14889,Lookup!G:H,2,0)</f>
        <v>#N/A</v>
      </c>
      <c r="H14889" s="164" t="s">
        <v>1</v>
      </c>
      <c r="I14889" s="8"/>
      <c r="O14889" t="str">
        <f>LEFT(Table2[[#This Row],[Description]],75)</f>
        <v>GOOGLE*GOOGLE STORE  G.CO HELPPAY#</v>
      </c>
    </row>
    <row r="14890" spans="1:15" hidden="1">
      <c r="A14890" s="165">
        <v>202511</v>
      </c>
      <c r="B14890" s="166">
        <v>45973</v>
      </c>
      <c r="C14890" s="165" t="s">
        <v>130</v>
      </c>
      <c r="D14890" s="165" t="s">
        <v>7074</v>
      </c>
      <c r="E14890" s="165">
        <v>146.81</v>
      </c>
      <c r="F14890" t="str">
        <f>IF(Table2[[#This Row],[Manual Cat Value]]="",Table2[[#This Row],[Suggested Cat Value]],VLOOKUP(Table2[[#This Row],[Manual Cat Value]],Lookup!G:H,2,0))</f>
        <v>Healthcare</v>
      </c>
      <c r="G14890" t="e">
        <f>VLOOKUP(D14890,Lookup!G:H,2,0)</f>
        <v>#N/A</v>
      </c>
      <c r="H14890" s="164" t="s">
        <v>47</v>
      </c>
      <c r="I14890" s="8"/>
      <c r="O14890" t="str">
        <f>LEFT(Table2[[#This Row],[Description]],75)</f>
        <v>GUNDRY MD, LLC      Encino              CA</v>
      </c>
    </row>
    <row r="14891" spans="1:15" hidden="1">
      <c r="A14891" s="162">
        <v>202512</v>
      </c>
      <c r="B14891" s="163">
        <v>46003</v>
      </c>
      <c r="C14891" s="162" t="s">
        <v>3938</v>
      </c>
      <c r="D14891" s="162" t="s">
        <v>5756</v>
      </c>
      <c r="E14891" s="162">
        <v>8.7100000000000009</v>
      </c>
      <c r="F14891" t="str">
        <f>IF(Table2[[#This Row],[Manual Cat Value]]="",Table2[[#This Row],[Suggested Cat Value]],VLOOKUP(Table2[[#This Row],[Manual Cat Value]],Lookup!G:H,2,0))</f>
        <v>Utilities</v>
      </c>
      <c r="G14891" t="e">
        <f>VLOOKUP(D14891,Lookup!G:H,2,0)</f>
        <v>#N/A</v>
      </c>
      <c r="H14891" s="164" t="s">
        <v>6</v>
      </c>
      <c r="I14891" s="8"/>
      <c r="O14891" t="str">
        <f>LEFT(Table2[[#This Row],[Description]],75)</f>
        <v>Hallmark</v>
      </c>
    </row>
    <row r="14892" spans="1:15" hidden="1">
      <c r="A14892" s="165">
        <v>202511</v>
      </c>
      <c r="B14892" s="166">
        <v>45973</v>
      </c>
      <c r="C14892" s="165" t="s">
        <v>3938</v>
      </c>
      <c r="D14892" s="165" t="s">
        <v>5756</v>
      </c>
      <c r="E14892" s="165">
        <v>8.7100000000000009</v>
      </c>
      <c r="F14892" t="str">
        <f>IF(Table2[[#This Row],[Manual Cat Value]]="",Table2[[#This Row],[Suggested Cat Value]],VLOOKUP(Table2[[#This Row],[Manual Cat Value]],Lookup!G:H,2,0))</f>
        <v>Utilities</v>
      </c>
      <c r="G14892" t="e">
        <f>VLOOKUP(D14892,Lookup!G:H,2,0)</f>
        <v>#N/A</v>
      </c>
      <c r="H14892" s="164" t="s">
        <v>6</v>
      </c>
      <c r="I14892" s="8"/>
      <c r="O14892" t="str">
        <f>LEFT(Table2[[#This Row],[Description]],75)</f>
        <v>Hallmark</v>
      </c>
    </row>
    <row r="14893" spans="1:15" hidden="1">
      <c r="A14893" s="162">
        <v>202512</v>
      </c>
      <c r="B14893" s="163">
        <v>45997</v>
      </c>
      <c r="C14893" s="162" t="s">
        <v>130</v>
      </c>
      <c r="D14893" s="162" t="s">
        <v>7075</v>
      </c>
      <c r="E14893" s="162">
        <v>839.62</v>
      </c>
      <c r="F14893" t="str">
        <f>IF(Table2[[#This Row],[Manual Cat Value]]="",Table2[[#This Row],[Suggested Cat Value]],VLOOKUP(Table2[[#This Row],[Manual Cat Value]],Lookup!G:H,2,0))</f>
        <v>Travel</v>
      </c>
      <c r="G14893" t="e">
        <f>VLOOKUP(D14893,Lookup!G:H,2,0)</f>
        <v>#N/A</v>
      </c>
      <c r="H14893" s="164" t="s">
        <v>52</v>
      </c>
      <c r="I14893" s="8"/>
      <c r="O14893" t="str">
        <f>LEFT(Table2[[#This Row],[Description]],75)</f>
        <v>HAMPTON INN CHELSEA NEW YORK            NY</v>
      </c>
    </row>
    <row r="14894" spans="1:15" hidden="1">
      <c r="A14894" s="165">
        <v>202511</v>
      </c>
      <c r="B14894" s="166">
        <v>45970</v>
      </c>
      <c r="C14894" s="165" t="s">
        <v>130</v>
      </c>
      <c r="D14894" s="165" t="s">
        <v>7076</v>
      </c>
      <c r="E14894" s="165">
        <v>20</v>
      </c>
      <c r="F14894" t="str">
        <f>IF(Table2[[#This Row],[Manual Cat Value]]="",Table2[[#This Row],[Suggested Cat Value]],VLOOKUP(Table2[[#This Row],[Manual Cat Value]],Lookup!G:H,2,0))</f>
        <v>Shopping</v>
      </c>
      <c r="G14894" t="e">
        <f>VLOOKUP(D14894,Lookup!G:H,2,0)</f>
        <v>#N/A</v>
      </c>
      <c r="H14894" s="164" t="s">
        <v>36</v>
      </c>
      <c r="I14894" s="8"/>
      <c r="O14894" t="str">
        <f>LEFT(Table2[[#This Row],[Description]],75)</f>
        <v>HEARTFELT LLC       MINNEAPOLIS         MN</v>
      </c>
    </row>
    <row r="14895" spans="1:15" hidden="1">
      <c r="A14895" s="162">
        <v>202512</v>
      </c>
      <c r="B14895" s="163">
        <v>46018</v>
      </c>
      <c r="C14895" s="162" t="s">
        <v>2258</v>
      </c>
      <c r="D14895" s="162" t="s">
        <v>997</v>
      </c>
      <c r="E14895" s="162">
        <v>-1231.0999999999999</v>
      </c>
      <c r="F14895" t="str">
        <f>IF(Table2[[#This Row],[Manual Cat Value]]="",Table2[[#This Row],[Suggested Cat Value]],VLOOKUP(Table2[[#This Row],[Manual Cat Value]],Lookup!G:H,2,0))</f>
        <v>Delete</v>
      </c>
      <c r="G14895" t="str">
        <f>VLOOKUP(D14895,Lookup!G:H,2,0)</f>
        <v>Delete</v>
      </c>
      <c r="H14895" s="164"/>
      <c r="I14895" s="8"/>
      <c r="O14895" t="str">
        <f>LEFT(Table2[[#This Row],[Description]],75)</f>
        <v>INTERNET PAYMENT - THANK YOU</v>
      </c>
    </row>
    <row r="14896" spans="1:15" hidden="1">
      <c r="A14896" s="165">
        <v>202512</v>
      </c>
      <c r="B14896" s="166">
        <v>46019</v>
      </c>
      <c r="C14896" s="165" t="s">
        <v>3938</v>
      </c>
      <c r="D14896" s="165" t="s">
        <v>7077</v>
      </c>
      <c r="E14896" s="165">
        <v>227</v>
      </c>
      <c r="F14896" t="str">
        <f>IF(Table2[[#This Row],[Manual Cat Value]]="",Table2[[#This Row],[Suggested Cat Value]],VLOOKUP(Table2[[#This Row],[Manual Cat Value]],Lookup!G:H,2,0))</f>
        <v>Shopping</v>
      </c>
      <c r="G14896" t="e">
        <f>VLOOKUP(D14896,Lookup!G:H,2,0)</f>
        <v>#N/A</v>
      </c>
      <c r="H14896" s="164" t="s">
        <v>36</v>
      </c>
      <c r="I14896" s="8"/>
      <c r="O14896" t="str">
        <f>LEFT(Table2[[#This Row],[Description]],75)</f>
        <v>JAXEN GREY RIDGEDALE HOPKINS MN REF #XX1339B905ASFN9K</v>
      </c>
    </row>
    <row r="14897" spans="1:15">
      <c r="A14897" s="162">
        <v>202511</v>
      </c>
      <c r="B14897" s="163">
        <v>45991</v>
      </c>
      <c r="C14897" s="162" t="s">
        <v>3938</v>
      </c>
      <c r="D14897" s="162" t="s">
        <v>4093</v>
      </c>
      <c r="E14897" s="162">
        <v>33.1</v>
      </c>
      <c r="F14897" t="str">
        <f>IF(Table2[[#This Row],[Manual Cat Value]]="",Table2[[#This Row],[Suggested Cat Value]],VLOOKUP(Table2[[#This Row],[Manual Cat Value]],Lookup!G:H,2,0))</f>
        <v>Groceries</v>
      </c>
      <c r="G14897" t="e">
        <f>VLOOKUP(D14897,Lookup!G:H,2,0)</f>
        <v>#N/A</v>
      </c>
      <c r="H14897" s="164" t="s">
        <v>27</v>
      </c>
      <c r="I14897" s="8"/>
      <c r="O14897" t="str">
        <f>LEFT(Table2[[#This Row],[Description]],75)</f>
        <v>Kowalski's Market</v>
      </c>
    </row>
    <row r="14898" spans="1:15" hidden="1">
      <c r="A14898" s="165">
        <v>202511</v>
      </c>
      <c r="B14898" s="166">
        <v>45975</v>
      </c>
      <c r="C14898" s="165" t="s">
        <v>130</v>
      </c>
      <c r="D14898" s="165" t="s">
        <v>7078</v>
      </c>
      <c r="E14898" s="165">
        <v>279</v>
      </c>
      <c r="F14898" t="str">
        <f>IF(Table2[[#This Row],[Manual Cat Value]]="",Table2[[#This Row],[Suggested Cat Value]],VLOOKUP(Table2[[#This Row],[Manual Cat Value]],Lookup!G:H,2,0))</f>
        <v>Healthcare</v>
      </c>
      <c r="G14898" t="e">
        <f>VLOOKUP(D14898,Lookup!G:H,2,0)</f>
        <v>#N/A</v>
      </c>
      <c r="H14898" s="164" t="s">
        <v>47</v>
      </c>
      <c r="I14898" s="8"/>
      <c r="O14898" t="str">
        <f>LEFT(Table2[[#This Row],[Description]],75)</f>
        <v>LADIBUGS INC 0000000HOPKINS             MN</v>
      </c>
    </row>
    <row r="14899" spans="1:15" hidden="1">
      <c r="A14899" s="162">
        <v>202512</v>
      </c>
      <c r="B14899" s="163">
        <v>45997</v>
      </c>
      <c r="C14899" s="162" t="s">
        <v>130</v>
      </c>
      <c r="D14899" s="162" t="s">
        <v>7079</v>
      </c>
      <c r="E14899" s="162">
        <v>65.47</v>
      </c>
      <c r="F14899" t="str">
        <f>IF(Table2[[#This Row],[Manual Cat Value]]="",Table2[[#This Row],[Suggested Cat Value]],VLOOKUP(Table2[[#This Row],[Manual Cat Value]],Lookup!G:H,2,0))</f>
        <v>Groceries</v>
      </c>
      <c r="G14899" t="e">
        <f>VLOOKUP(D14899,Lookup!G:H,2,0)</f>
        <v>#N/A</v>
      </c>
      <c r="H14899" s="164" t="s">
        <v>27</v>
      </c>
      <c r="I14899" s="8"/>
      <c r="O14899" t="str">
        <f>LEFT(Table2[[#This Row],[Description]],75)</f>
        <v>MAC'S LIQUOR        HOPKINS             MN</v>
      </c>
    </row>
    <row r="14900" spans="1:15" hidden="1">
      <c r="A14900" s="165">
        <v>202511</v>
      </c>
      <c r="B14900" s="166">
        <v>45975</v>
      </c>
      <c r="C14900" s="165" t="s">
        <v>130</v>
      </c>
      <c r="D14900" s="165" t="s">
        <v>6422</v>
      </c>
      <c r="E14900" s="165">
        <v>14.82</v>
      </c>
      <c r="F14900" t="str">
        <f>IF(Table2[[#This Row],[Manual Cat Value]]="",Table2[[#This Row],[Suggested Cat Value]],VLOOKUP(Table2[[#This Row],[Manual Cat Value]],Lookup!G:H,2,0))</f>
        <v>Restaurants</v>
      </c>
      <c r="G14900" t="e">
        <f>VLOOKUP(D14900,Lookup!G:H,2,0)</f>
        <v>#N/A</v>
      </c>
      <c r="H14900" s="164" t="s">
        <v>25</v>
      </c>
      <c r="I14900" s="8"/>
      <c r="O14900" t="str">
        <f>LEFT(Table2[[#This Row],[Description]],75)</f>
        <v>MCDONALD'S F5629 000EXCELSIOR           MN</v>
      </c>
    </row>
    <row r="14901" spans="1:15" hidden="1">
      <c r="A14901" s="162">
        <v>202512</v>
      </c>
      <c r="B14901" s="163">
        <v>46000</v>
      </c>
      <c r="C14901" s="162" t="s">
        <v>130</v>
      </c>
      <c r="D14901" s="162" t="s">
        <v>6548</v>
      </c>
      <c r="E14901" s="162">
        <v>635.4</v>
      </c>
      <c r="F14901" t="str">
        <f>IF(Table2[[#This Row],[Manual Cat Value]]="",Table2[[#This Row],[Suggested Cat Value]],VLOOKUP(Table2[[#This Row],[Manual Cat Value]],Lookup!G:H,2,0))</f>
        <v>Healthcare</v>
      </c>
      <c r="G14901" t="e">
        <f>VLOOKUP(D14901,Lookup!G:H,2,0)</f>
        <v>#N/A</v>
      </c>
      <c r="H14901" s="164" t="s">
        <v>47</v>
      </c>
      <c r="I14901" s="8"/>
      <c r="O14901" t="str">
        <f>LEFT(Table2[[#This Row],[Description]],75)</f>
        <v>MED*RIDGEVIEW WACONIWACONIA             MN</v>
      </c>
    </row>
    <row r="14902" spans="1:15" hidden="1">
      <c r="A14902" s="165">
        <v>202512</v>
      </c>
      <c r="B14902" s="166">
        <v>46019</v>
      </c>
      <c r="C14902" s="165" t="s">
        <v>3938</v>
      </c>
      <c r="D14902" s="165" t="s">
        <v>7080</v>
      </c>
      <c r="E14902" s="165">
        <v>7.49</v>
      </c>
      <c r="F14902" t="str">
        <f>IF(Table2[[#This Row],[Manual Cat Value]]="",Table2[[#This Row],[Suggested Cat Value]],VLOOKUP(Table2[[#This Row],[Manual Cat Value]],Lookup!G:H,2,0))</f>
        <v>Groceries</v>
      </c>
      <c r="G14902" t="e">
        <f>VLOOKUP(D14902,Lookup!G:H,2,0)</f>
        <v>#N/A</v>
      </c>
      <c r="H14902" s="164" t="s">
        <v>27</v>
      </c>
      <c r="I14902" s="8"/>
      <c r="O14902" t="str">
        <f>LEFT(Table2[[#This Row],[Description]],75)</f>
        <v>MIKE'S BAIT ON 8 FOREST LAKE MN REF #XX0197B9HB7JN520</v>
      </c>
    </row>
    <row r="14903" spans="1:15" hidden="1">
      <c r="A14903" s="162">
        <v>202511</v>
      </c>
      <c r="B14903" s="163">
        <v>45976</v>
      </c>
      <c r="C14903" s="162" t="s">
        <v>130</v>
      </c>
      <c r="D14903" s="162" t="s">
        <v>7081</v>
      </c>
      <c r="E14903" s="162">
        <v>161.53</v>
      </c>
      <c r="F14903" t="str">
        <f>IF(Table2[[#This Row],[Manual Cat Value]]="",Table2[[#This Row],[Suggested Cat Value]],VLOOKUP(Table2[[#This Row],[Manual Cat Value]],Lookup!G:H,2,0))</f>
        <v>Restaurants</v>
      </c>
      <c r="G14903" t="e">
        <f>VLOOKUP(D14903,Lookup!G:H,2,0)</f>
        <v>#N/A</v>
      </c>
      <c r="H14903" s="164" t="s">
        <v>25</v>
      </c>
      <c r="I14903" s="8"/>
      <c r="O14903" t="str">
        <f>LEFT(Table2[[#This Row],[Description]],75)</f>
        <v>MINNESOTA HORSE AND PRIOR LAKE          MN</v>
      </c>
    </row>
    <row r="14904" spans="1:15" hidden="1">
      <c r="A14904" s="165">
        <v>202511</v>
      </c>
      <c r="B14904" s="166">
        <v>45975</v>
      </c>
      <c r="C14904" s="165" t="s">
        <v>130</v>
      </c>
      <c r="D14904" s="165" t="s">
        <v>7082</v>
      </c>
      <c r="E14904" s="165">
        <v>231.03</v>
      </c>
      <c r="F14904" t="str">
        <f>IF(Table2[[#This Row],[Manual Cat Value]]="",Table2[[#This Row],[Suggested Cat Value]],VLOOKUP(Table2[[#This Row],[Manual Cat Value]],Lookup!G:H,2,0))</f>
        <v>Gifts</v>
      </c>
      <c r="G14904" t="e">
        <f>VLOOKUP(D14904,Lookup!G:H,2,0)</f>
        <v>#N/A</v>
      </c>
      <c r="H14904" s="164" t="s">
        <v>44</v>
      </c>
      <c r="I14904" s="8"/>
      <c r="O14904" t="str">
        <f>LEFT(Table2[[#This Row],[Description]],75)</f>
        <v>MINTED LLC          SAN FRANCISCO       CA</v>
      </c>
    </row>
    <row r="14905" spans="1:15" hidden="1">
      <c r="A14905" s="162">
        <v>202511</v>
      </c>
      <c r="B14905" s="163">
        <v>45982</v>
      </c>
      <c r="C14905" s="162" t="s">
        <v>130</v>
      </c>
      <c r="D14905" s="162" t="s">
        <v>6717</v>
      </c>
      <c r="E14905" s="162">
        <v>63.93</v>
      </c>
      <c r="F14905" t="str">
        <f>IF(Table2[[#This Row],[Manual Cat Value]]="",Table2[[#This Row],[Suggested Cat Value]],VLOOKUP(Table2[[#This Row],[Manual Cat Value]],Lookup!G:H,2,0))</f>
        <v>Restaurants</v>
      </c>
      <c r="G14905" t="e">
        <f>VLOOKUP(D14905,Lookup!G:H,2,0)</f>
        <v>#N/A</v>
      </c>
      <c r="H14905" s="164" t="s">
        <v>25</v>
      </c>
      <c r="I14905" s="8"/>
      <c r="O14905" t="str">
        <f>LEFT(Table2[[#This Row],[Description]],75)</f>
        <v>MIYABI              EXCELSIOR           MN</v>
      </c>
    </row>
    <row r="14906" spans="1:15" hidden="1">
      <c r="A14906" s="165">
        <v>202511</v>
      </c>
      <c r="B14906" s="166">
        <v>45968</v>
      </c>
      <c r="C14906" s="165" t="s">
        <v>130</v>
      </c>
      <c r="D14906" s="165" t="s">
        <v>6717</v>
      </c>
      <c r="E14906" s="165">
        <v>59.05</v>
      </c>
      <c r="F14906" t="str">
        <f>IF(Table2[[#This Row],[Manual Cat Value]]="",Table2[[#This Row],[Suggested Cat Value]],VLOOKUP(Table2[[#This Row],[Manual Cat Value]],Lookup!G:H,2,0))</f>
        <v>Restaurants</v>
      </c>
      <c r="G14906" t="e">
        <f>VLOOKUP(D14906,Lookup!G:H,2,0)</f>
        <v>#N/A</v>
      </c>
      <c r="H14906" s="164" t="s">
        <v>25</v>
      </c>
      <c r="I14906" s="8"/>
      <c r="O14906" t="str">
        <f>LEFT(Table2[[#This Row],[Description]],75)</f>
        <v>MIYABI              EXCELSIOR           MN</v>
      </c>
    </row>
    <row r="14907" spans="1:15">
      <c r="A14907" s="162">
        <v>202512</v>
      </c>
      <c r="B14907" s="163">
        <v>46009</v>
      </c>
      <c r="C14907" s="162" t="s">
        <v>130</v>
      </c>
      <c r="D14907" s="162" t="s">
        <v>5534</v>
      </c>
      <c r="E14907" s="162">
        <v>-7811.32</v>
      </c>
      <c r="F14907" t="e">
        <f>IF(Table2[[#This Row],[Manual Cat Value]]="",Table2[[#This Row],[Suggested Cat Value]],VLOOKUP(Table2[[#This Row],[Manual Cat Value]],Lookup!G:H,2,0))</f>
        <v>#N/A</v>
      </c>
      <c r="G14907" t="e">
        <f>VLOOKUP(D14907,Lookup!G:H,2,0)</f>
        <v>#N/A</v>
      </c>
      <c r="H14907" s="164"/>
      <c r="I14907" s="8"/>
      <c r="O14907" t="str">
        <f>LEFT(Table2[[#This Row],[Description]],75)</f>
        <v>MOBILE PAYMENT - THANK YOU</v>
      </c>
    </row>
    <row r="14908" spans="1:15">
      <c r="A14908" s="165">
        <v>202512</v>
      </c>
      <c r="B14908" s="166">
        <v>45993</v>
      </c>
      <c r="C14908" s="165" t="s">
        <v>130</v>
      </c>
      <c r="D14908" s="165" t="s">
        <v>5534</v>
      </c>
      <c r="E14908" s="165">
        <v>-7110.91</v>
      </c>
      <c r="F14908" t="e">
        <f>IF(Table2[[#This Row],[Manual Cat Value]]="",Table2[[#This Row],[Suggested Cat Value]],VLOOKUP(Table2[[#This Row],[Manual Cat Value]],Lookup!G:H,2,0))</f>
        <v>#N/A</v>
      </c>
      <c r="G14908" t="e">
        <f>VLOOKUP(D14908,Lookup!G:H,2,0)</f>
        <v>#N/A</v>
      </c>
      <c r="H14908" s="164"/>
      <c r="I14908" s="8"/>
      <c r="O14908" t="str">
        <f>LEFT(Table2[[#This Row],[Description]],75)</f>
        <v>MOBILE PAYMENT - THANK YOU</v>
      </c>
    </row>
    <row r="14909" spans="1:15" hidden="1">
      <c r="A14909" s="162">
        <v>202511</v>
      </c>
      <c r="B14909" s="163">
        <v>45970</v>
      </c>
      <c r="C14909" s="162" t="s">
        <v>130</v>
      </c>
      <c r="D14909" s="162" t="s">
        <v>7083</v>
      </c>
      <c r="E14909" s="162">
        <v>107.88</v>
      </c>
      <c r="F14909" t="str">
        <f>IF(Table2[[#This Row],[Manual Cat Value]]="",Table2[[#This Row],[Suggested Cat Value]],VLOOKUP(Table2[[#This Row],[Manual Cat Value]],Lookup!G:H,2,0))</f>
        <v>Utilities</v>
      </c>
      <c r="G14909" t="e">
        <f>VLOOKUP(D14909,Lookup!G:H,2,0)</f>
        <v>#N/A</v>
      </c>
      <c r="H14909" s="164" t="s">
        <v>6</v>
      </c>
      <c r="I14909" s="8"/>
      <c r="O14909" t="str">
        <f>LEFT(Table2[[#This Row],[Description]],75)</f>
        <v>MOULTRIE            BIRMINGHAM          AL</v>
      </c>
    </row>
    <row r="14910" spans="1:15" hidden="1">
      <c r="A14910" s="165">
        <v>202512</v>
      </c>
      <c r="B14910" s="166">
        <v>45996</v>
      </c>
      <c r="C14910" s="165" t="s">
        <v>2258</v>
      </c>
      <c r="D14910" s="165" t="s">
        <v>7084</v>
      </c>
      <c r="E14910" s="165">
        <v>2.9</v>
      </c>
      <c r="F14910" t="str">
        <f>IF(Table2[[#This Row],[Manual Cat Value]]="",Table2[[#This Row],[Suggested Cat Value]],VLOOKUP(Table2[[#This Row],[Manual Cat Value]],Lookup!G:H,2,0))</f>
        <v>Misc</v>
      </c>
      <c r="G14910" t="e">
        <f>VLOOKUP(D14910,Lookup!G:H,2,0)</f>
        <v>#N/A</v>
      </c>
      <c r="H14910" s="164" t="s">
        <v>46</v>
      </c>
      <c r="I14910" s="8"/>
      <c r="O14910" t="str">
        <f>LEFT(Table2[[#This Row],[Description]],75)</f>
        <v>MTA*NYCT PAYGO NEW YORK NYAPPLE PAY ENDING IN 9748008751531493</v>
      </c>
    </row>
    <row r="14911" spans="1:15" hidden="1">
      <c r="A14911" s="162">
        <v>202511</v>
      </c>
      <c r="B14911" s="163">
        <v>45989</v>
      </c>
      <c r="C14911" s="162" t="s">
        <v>130</v>
      </c>
      <c r="D14911" s="162" t="s">
        <v>7085</v>
      </c>
      <c r="E14911" s="162">
        <v>165</v>
      </c>
      <c r="F14911" t="str">
        <f>IF(Table2[[#This Row],[Manual Cat Value]]="",Table2[[#This Row],[Suggested Cat Value]],VLOOKUP(Table2[[#This Row],[Manual Cat Value]],Lookup!G:H,2,0))</f>
        <v>Shopping</v>
      </c>
      <c r="G14911" t="e">
        <f>VLOOKUP(D14911,Lookup!G:H,2,0)</f>
        <v>#N/A</v>
      </c>
      <c r="H14911" s="164" t="s">
        <v>36</v>
      </c>
      <c r="I14911" s="8"/>
      <c r="O14911" t="str">
        <f>LEFT(Table2[[#This Row],[Description]],75)</f>
        <v>NESPRESSO           (888)637-7737       NY</v>
      </c>
    </row>
    <row r="14912" spans="1:15" hidden="1">
      <c r="A14912" s="165">
        <v>202512</v>
      </c>
      <c r="B14912" s="166">
        <v>46002</v>
      </c>
      <c r="C14912" s="165" t="s">
        <v>3938</v>
      </c>
      <c r="D14912" s="165" t="s">
        <v>1350</v>
      </c>
      <c r="E14912" s="165">
        <v>29.41</v>
      </c>
      <c r="F14912" t="str">
        <f>IF(Table2[[#This Row],[Manual Cat Value]]="",Table2[[#This Row],[Suggested Cat Value]],VLOOKUP(Table2[[#This Row],[Manual Cat Value]],Lookup!G:H,2,0))</f>
        <v>Utilities</v>
      </c>
      <c r="G14912" t="str">
        <f>VLOOKUP(D14912,Lookup!G:H,2,0)</f>
        <v>Utilities</v>
      </c>
      <c r="H14912" s="164"/>
      <c r="I14912" s="8"/>
      <c r="O14912" t="str">
        <f>LEFT(Table2[[#This Row],[Description]],75)</f>
        <v>Netflix</v>
      </c>
    </row>
    <row r="14913" spans="1:15" hidden="1">
      <c r="A14913" s="162">
        <v>202511</v>
      </c>
      <c r="B14913" s="163">
        <v>45972</v>
      </c>
      <c r="C14913" s="162" t="s">
        <v>3938</v>
      </c>
      <c r="D14913" s="162" t="s">
        <v>1350</v>
      </c>
      <c r="E14913" s="162">
        <v>29.41</v>
      </c>
      <c r="F14913" t="str">
        <f>IF(Table2[[#This Row],[Manual Cat Value]]="",Table2[[#This Row],[Suggested Cat Value]],VLOOKUP(Table2[[#This Row],[Manual Cat Value]],Lookup!G:H,2,0))</f>
        <v>Utilities</v>
      </c>
      <c r="G14913" t="str">
        <f>VLOOKUP(D14913,Lookup!G:H,2,0)</f>
        <v>Utilities</v>
      </c>
      <c r="H14913" s="164"/>
      <c r="I14913" s="8"/>
      <c r="O14913" t="str">
        <f>LEFT(Table2[[#This Row],[Description]],75)</f>
        <v>Netflix</v>
      </c>
    </row>
    <row r="14914" spans="1:15" hidden="1">
      <c r="A14914" s="165">
        <v>202512</v>
      </c>
      <c r="B14914" s="166">
        <v>46014</v>
      </c>
      <c r="C14914" s="165" t="s">
        <v>3938</v>
      </c>
      <c r="D14914" s="165" t="s">
        <v>7086</v>
      </c>
      <c r="E14914" s="165">
        <v>235.84</v>
      </c>
      <c r="F14914" t="str">
        <f>IF(Table2[[#This Row],[Manual Cat Value]]="",Table2[[#This Row],[Suggested Cat Value]],VLOOKUP(Table2[[#This Row],[Manual Cat Value]],Lookup!G:H,2,0))</f>
        <v>Restaurants</v>
      </c>
      <c r="G14914" t="e">
        <f>VLOOKUP(D14914,Lookup!G:H,2,0)</f>
        <v>#N/A</v>
      </c>
      <c r="H14914" s="164" t="s">
        <v>25</v>
      </c>
      <c r="I14914" s="8"/>
      <c r="O14914" t="str">
        <f>LEFT(Table2[[#This Row],[Description]],75)</f>
        <v>NOBLE LION VICTORIA MN REF #XX4285B40FVE7Z2G</v>
      </c>
    </row>
    <row r="14915" spans="1:15" hidden="1">
      <c r="A14915" s="162">
        <v>202512</v>
      </c>
      <c r="B14915" s="163">
        <v>46006</v>
      </c>
      <c r="C14915" s="162" t="s">
        <v>2519</v>
      </c>
      <c r="D14915" s="162" t="s">
        <v>1355</v>
      </c>
      <c r="E14915" s="162">
        <v>335.4</v>
      </c>
      <c r="F14915" t="str">
        <f>IF(Table2[[#This Row],[Manual Cat Value]]="",Table2[[#This Row],[Suggested Cat Value]],VLOOKUP(Table2[[#This Row],[Manual Cat Value]],Lookup!G:H,2,0))</f>
        <v>Shopping</v>
      </c>
      <c r="G14915" t="str">
        <f>VLOOKUP(D14915,Lookup!G:H,2,0)</f>
        <v>Shopping</v>
      </c>
      <c r="H14915" s="164"/>
      <c r="I14915" s="8"/>
      <c r="O14915" t="str">
        <f>LEFT(Table2[[#This Row],[Description]],75)</f>
        <v>Nordstrom</v>
      </c>
    </row>
    <row r="14916" spans="1:15">
      <c r="A14916" s="165">
        <v>202511</v>
      </c>
      <c r="B14916" s="166">
        <v>45974</v>
      </c>
      <c r="C14916" s="165" t="s">
        <v>130</v>
      </c>
      <c r="D14916" s="165" t="s">
        <v>5625</v>
      </c>
      <c r="E14916" s="165">
        <v>-1446.25</v>
      </c>
      <c r="F14916" t="e">
        <f>IF(Table2[[#This Row],[Manual Cat Value]]="",Table2[[#This Row],[Suggested Cat Value]],VLOOKUP(Table2[[#This Row],[Manual Cat Value]],Lookup!G:H,2,0))</f>
        <v>#N/A</v>
      </c>
      <c r="G14916" t="e">
        <f>VLOOKUP(D14916,Lookup!G:H,2,0)</f>
        <v>#N/A</v>
      </c>
      <c r="H14916" s="164"/>
      <c r="I14916" s="8"/>
      <c r="O14916" t="str">
        <f>LEFT(Table2[[#This Row],[Description]],75)</f>
        <v>ONLINE PAYMENT - THANK YOU</v>
      </c>
    </row>
    <row r="14917" spans="1:15" hidden="1">
      <c r="A14917" s="162">
        <v>202512</v>
      </c>
      <c r="B14917" s="163">
        <v>46005</v>
      </c>
      <c r="C14917" s="162" t="s">
        <v>130</v>
      </c>
      <c r="D14917" s="162" t="s">
        <v>6520</v>
      </c>
      <c r="E14917" s="162">
        <v>5.25</v>
      </c>
      <c r="F14917" t="str">
        <f>IF(Table2[[#This Row],[Manual Cat Value]]="",Table2[[#This Row],[Suggested Cat Value]],VLOOKUP(Table2[[#This Row],[Manual Cat Value]],Lookup!G:H,2,0))</f>
        <v>Misc</v>
      </c>
      <c r="G14917" t="e">
        <f>VLOOKUP(D14917,Lookup!G:H,2,0)</f>
        <v>#N/A</v>
      </c>
      <c r="H14917" s="164" t="s">
        <v>46</v>
      </c>
      <c r="I14917" s="8"/>
      <c r="O14917" t="str">
        <f>LEFT(Table2[[#This Row],[Description]],75)</f>
        <v>ONSTREET 8090 084870MINNEAPOLIS         MN</v>
      </c>
    </row>
    <row r="14918" spans="1:15" hidden="1">
      <c r="A14918" s="165">
        <v>202511</v>
      </c>
      <c r="B14918" s="166">
        <v>45975</v>
      </c>
      <c r="C14918" s="165" t="s">
        <v>130</v>
      </c>
      <c r="D14918" s="165" t="s">
        <v>5762</v>
      </c>
      <c r="E14918" s="165">
        <v>20</v>
      </c>
      <c r="F14918" t="str">
        <f>IF(Table2[[#This Row],[Manual Cat Value]]="",Table2[[#This Row],[Suggested Cat Value]],VLOOKUP(Table2[[#This Row],[Manual Cat Value]],Lookup!G:H,2,0))</f>
        <v>Utilities</v>
      </c>
      <c r="G14918" t="e">
        <f>VLOOKUP(D14918,Lookup!G:H,2,0)</f>
        <v>#N/A</v>
      </c>
      <c r="H14918" s="164" t="s">
        <v>6</v>
      </c>
      <c r="I14918" s="8"/>
      <c r="O14918" t="str">
        <f>LEFT(Table2[[#This Row],[Description]],75)</f>
        <v>OPENAI *CHATGPT SUBSSAN FRANCISCO       CA</v>
      </c>
    </row>
    <row r="14919" spans="1:15" hidden="1">
      <c r="A14919" s="162">
        <v>202512</v>
      </c>
      <c r="B14919" s="163">
        <v>46010</v>
      </c>
      <c r="C14919" s="162" t="s">
        <v>2519</v>
      </c>
      <c r="D14919" s="162" t="s">
        <v>1458</v>
      </c>
      <c r="E14919" s="162">
        <v>7811.32</v>
      </c>
      <c r="F14919" t="str">
        <f>IF(Table2[[#This Row],[Manual Cat Value]]="",Table2[[#This Row],[Suggested Cat Value]],VLOOKUP(Table2[[#This Row],[Manual Cat Value]],Lookup!G:H,2,0))</f>
        <v>delete</v>
      </c>
      <c r="G14919" t="str">
        <f>VLOOKUP(D14919,Lookup!G:H,2,0)</f>
        <v>delete</v>
      </c>
      <c r="H14919" s="164"/>
      <c r="I14919" s="8"/>
      <c r="O14919" t="str">
        <f>LEFT(Table2[[#This Row],[Description]],75)</f>
        <v>Payment to American Express</v>
      </c>
    </row>
    <row r="14920" spans="1:15" hidden="1">
      <c r="A14920" s="165">
        <v>202512</v>
      </c>
      <c r="B14920" s="166">
        <v>45994</v>
      </c>
      <c r="C14920" s="165" t="s">
        <v>2519</v>
      </c>
      <c r="D14920" s="165" t="s">
        <v>1458</v>
      </c>
      <c r="E14920" s="165">
        <v>7110.91</v>
      </c>
      <c r="F14920" t="str">
        <f>IF(Table2[[#This Row],[Manual Cat Value]]="",Table2[[#This Row],[Suggested Cat Value]],VLOOKUP(Table2[[#This Row],[Manual Cat Value]],Lookup!G:H,2,0))</f>
        <v>delete</v>
      </c>
      <c r="G14920" t="str">
        <f>VLOOKUP(D14920,Lookup!G:H,2,0)</f>
        <v>delete</v>
      </c>
      <c r="H14920" s="164"/>
      <c r="I14920" s="8"/>
      <c r="O14920" t="str">
        <f>LEFT(Table2[[#This Row],[Description]],75)</f>
        <v>Payment to American Express</v>
      </c>
    </row>
    <row r="14921" spans="1:15" hidden="1">
      <c r="A14921" s="162">
        <v>202511</v>
      </c>
      <c r="B14921" s="163">
        <v>45975</v>
      </c>
      <c r="C14921" s="162" t="s">
        <v>2519</v>
      </c>
      <c r="D14921" s="162" t="s">
        <v>1458</v>
      </c>
      <c r="E14921" s="162">
        <v>1446.25</v>
      </c>
      <c r="F14921" t="str">
        <f>IF(Table2[[#This Row],[Manual Cat Value]]="",Table2[[#This Row],[Suggested Cat Value]],VLOOKUP(Table2[[#This Row],[Manual Cat Value]],Lookup!G:H,2,0))</f>
        <v>delete</v>
      </c>
      <c r="G14921" t="str">
        <f>VLOOKUP(D14921,Lookup!G:H,2,0)</f>
        <v>delete</v>
      </c>
      <c r="H14921" s="164"/>
      <c r="I14921" s="8"/>
      <c r="O14921" t="str">
        <f>LEFT(Table2[[#This Row],[Description]],75)</f>
        <v>Payment to American Express</v>
      </c>
    </row>
    <row r="14922" spans="1:15">
      <c r="A14922" s="165">
        <v>202512</v>
      </c>
      <c r="B14922" s="166">
        <v>46020</v>
      </c>
      <c r="C14922" s="165" t="s">
        <v>2519</v>
      </c>
      <c r="D14922" s="165" t="s">
        <v>4356</v>
      </c>
      <c r="E14922" s="165">
        <v>54.33</v>
      </c>
      <c r="F14922" t="str">
        <f>IF(Table2[[#This Row],[Manual Cat Value]]="",Table2[[#This Row],[Suggested Cat Value]],VLOOKUP(Table2[[#This Row],[Manual Cat Value]],Lookup!G:H,2,0))</f>
        <v>Utilities</v>
      </c>
      <c r="G14922" t="e">
        <f>VLOOKUP(D14922,Lookup!G:H,2,0)</f>
        <v>#N/A</v>
      </c>
      <c r="H14922" s="164" t="s">
        <v>6</v>
      </c>
      <c r="I14922" s="8"/>
      <c r="O14922" t="str">
        <f>LEFT(Table2[[#This Row],[Description]],75)</f>
        <v>Payment to American Family Insurance</v>
      </c>
    </row>
    <row r="14923" spans="1:15">
      <c r="A14923" s="162">
        <v>202512</v>
      </c>
      <c r="B14923" s="163">
        <v>46006</v>
      </c>
      <c r="C14923" s="162" t="s">
        <v>2519</v>
      </c>
      <c r="D14923" s="162" t="s">
        <v>4356</v>
      </c>
      <c r="E14923" s="162">
        <v>55.26</v>
      </c>
      <c r="F14923" t="str">
        <f>IF(Table2[[#This Row],[Manual Cat Value]]="",Table2[[#This Row],[Suggested Cat Value]],VLOOKUP(Table2[[#This Row],[Manual Cat Value]],Lookup!G:H,2,0))</f>
        <v>Utilities</v>
      </c>
      <c r="G14923" t="e">
        <f>VLOOKUP(D14923,Lookup!G:H,2,0)</f>
        <v>#N/A</v>
      </c>
      <c r="H14923" s="164" t="s">
        <v>6</v>
      </c>
      <c r="I14923" s="8"/>
      <c r="O14923" t="str">
        <f>LEFT(Table2[[#This Row],[Description]],75)</f>
        <v>Payment to American Family Insurance</v>
      </c>
    </row>
    <row r="14924" spans="1:15">
      <c r="A14924" s="165">
        <v>202511</v>
      </c>
      <c r="B14924" s="166">
        <v>45989</v>
      </c>
      <c r="C14924" s="165" t="s">
        <v>2519</v>
      </c>
      <c r="D14924" s="165" t="s">
        <v>4356</v>
      </c>
      <c r="E14924" s="165">
        <v>54.33</v>
      </c>
      <c r="F14924" t="str">
        <f>IF(Table2[[#This Row],[Manual Cat Value]]="",Table2[[#This Row],[Suggested Cat Value]],VLOOKUP(Table2[[#This Row],[Manual Cat Value]],Lookup!G:H,2,0))</f>
        <v>Utilities</v>
      </c>
      <c r="G14924" t="e">
        <f>VLOOKUP(D14924,Lookup!G:H,2,0)</f>
        <v>#N/A</v>
      </c>
      <c r="H14924" s="164" t="s">
        <v>6</v>
      </c>
      <c r="I14924" s="8"/>
      <c r="O14924" t="str">
        <f>LEFT(Table2[[#This Row],[Description]],75)</f>
        <v>Payment to American Family Insurance</v>
      </c>
    </row>
    <row r="14925" spans="1:15">
      <c r="A14925" s="162">
        <v>202512</v>
      </c>
      <c r="B14925" s="163">
        <v>46022</v>
      </c>
      <c r="C14925" s="162" t="s">
        <v>2519</v>
      </c>
      <c r="D14925" s="162" t="s">
        <v>5148</v>
      </c>
      <c r="E14925" s="162">
        <v>3.79</v>
      </c>
      <c r="F14925" t="str">
        <f>IF(Table2[[#This Row],[Manual Cat Value]]="",Table2[[#This Row],[Suggested Cat Value]],VLOOKUP(Table2[[#This Row],[Manual Cat Value]],Lookup!G:H,2,0))</f>
        <v>Utilities</v>
      </c>
      <c r="G14925" t="e">
        <f>VLOOKUP(D14925,Lookup!G:H,2,0)</f>
        <v>#N/A</v>
      </c>
      <c r="H14925" s="164" t="s">
        <v>6</v>
      </c>
      <c r="I14925" s="8"/>
      <c r="O14925" t="str">
        <f>LEFT(Table2[[#This Row],[Description]],75)</f>
        <v>Payment to AT&amp;T</v>
      </c>
    </row>
    <row r="14926" spans="1:15">
      <c r="A14926" s="165">
        <v>202512</v>
      </c>
      <c r="B14926" s="166">
        <v>45993</v>
      </c>
      <c r="C14926" s="165" t="s">
        <v>2519</v>
      </c>
      <c r="D14926" s="165" t="s">
        <v>5148</v>
      </c>
      <c r="E14926" s="165">
        <v>391.51</v>
      </c>
      <c r="F14926" t="str">
        <f>IF(Table2[[#This Row],[Manual Cat Value]]="",Table2[[#This Row],[Suggested Cat Value]],VLOOKUP(Table2[[#This Row],[Manual Cat Value]],Lookup!G:H,2,0))</f>
        <v>Utilities</v>
      </c>
      <c r="G14926" t="e">
        <f>VLOOKUP(D14926,Lookup!G:H,2,0)</f>
        <v>#N/A</v>
      </c>
      <c r="H14926" s="164" t="s">
        <v>6</v>
      </c>
      <c r="I14926" s="8"/>
      <c r="O14926" t="str">
        <f>LEFT(Table2[[#This Row],[Description]],75)</f>
        <v>Payment to AT&amp;T</v>
      </c>
    </row>
    <row r="14927" spans="1:15">
      <c r="A14927" s="162">
        <v>202512</v>
      </c>
      <c r="B14927" s="163">
        <v>46006</v>
      </c>
      <c r="C14927" s="162" t="s">
        <v>2519</v>
      </c>
      <c r="D14927" s="162" t="s">
        <v>4523</v>
      </c>
      <c r="E14927" s="162">
        <v>57.93</v>
      </c>
      <c r="F14927" t="str">
        <f>IF(Table2[[#This Row],[Manual Cat Value]]="",Table2[[#This Row],[Suggested Cat Value]],VLOOKUP(Table2[[#This Row],[Manual Cat Value]],Lookup!G:H,2,0))</f>
        <v>Shopping</v>
      </c>
      <c r="G14927" t="e">
        <f>VLOOKUP(D14927,Lookup!G:H,2,0)</f>
        <v>#N/A</v>
      </c>
      <c r="H14927" s="164" t="s">
        <v>36</v>
      </c>
      <c r="I14927" s="8"/>
      <c r="O14927" t="str">
        <f>LEFT(Table2[[#This Row],[Description]],75)</f>
        <v>Payment to Barclaycard US</v>
      </c>
    </row>
    <row r="14928" spans="1:15" hidden="1">
      <c r="A14928" s="165">
        <v>202512</v>
      </c>
      <c r="B14928" s="166">
        <v>45992</v>
      </c>
      <c r="C14928" s="165" t="s">
        <v>2519</v>
      </c>
      <c r="D14928" s="165" t="s">
        <v>1460</v>
      </c>
      <c r="E14928" s="165">
        <v>3378.51</v>
      </c>
      <c r="F14928" t="str">
        <f>IF(Table2[[#This Row],[Manual Cat Value]]="",Table2[[#This Row],[Suggested Cat Value]],VLOOKUP(Table2[[#This Row],[Manual Cat Value]],Lookup!G:H,2,0))</f>
        <v>Rent</v>
      </c>
      <c r="G14928" t="str">
        <f>VLOOKUP(D14928,Lookup!G:H,2,0)</f>
        <v>Rent</v>
      </c>
      <c r="H14928" s="164"/>
      <c r="I14928" s="8"/>
      <c r="O14928" t="str">
        <f>LEFT(Table2[[#This Row],[Description]],75)</f>
        <v>Payment to Baxter Credit Union</v>
      </c>
    </row>
    <row r="14929" spans="1:15" hidden="1">
      <c r="A14929" s="162">
        <v>202512</v>
      </c>
      <c r="B14929" s="163">
        <v>46020</v>
      </c>
      <c r="C14929" s="162" t="s">
        <v>2519</v>
      </c>
      <c r="D14929" s="162" t="s">
        <v>1461</v>
      </c>
      <c r="E14929" s="162">
        <v>173.38</v>
      </c>
      <c r="F14929" t="str">
        <f>IF(Table2[[#This Row],[Manual Cat Value]]="",Table2[[#This Row],[Suggested Cat Value]],VLOOKUP(Table2[[#This Row],[Manual Cat Value]],Lookup!G:H,2,0))</f>
        <v>Utilities</v>
      </c>
      <c r="G14929" t="str">
        <f>VLOOKUP(D14929,Lookup!G:H,2,0)</f>
        <v>Utilities</v>
      </c>
      <c r="H14929" s="164"/>
      <c r="I14929" s="8"/>
      <c r="O14929" t="str">
        <f>LEFT(Table2[[#This Row],[Description]],75)</f>
        <v>Payment to CenterPoint Energy</v>
      </c>
    </row>
    <row r="14930" spans="1:15" hidden="1">
      <c r="A14930" s="165">
        <v>202512</v>
      </c>
      <c r="B14930" s="166">
        <v>46020</v>
      </c>
      <c r="C14930" s="165" t="s">
        <v>2519</v>
      </c>
      <c r="D14930" s="165" t="s">
        <v>1464</v>
      </c>
      <c r="E14930" s="165">
        <v>1231.0999999999999</v>
      </c>
      <c r="F14930" t="str">
        <f>IF(Table2[[#This Row],[Manual Cat Value]]="",Table2[[#This Row],[Suggested Cat Value]],VLOOKUP(Table2[[#This Row],[Manual Cat Value]],Lookup!G:H,2,0))</f>
        <v>Delete</v>
      </c>
      <c r="G14930" t="str">
        <f>VLOOKUP(D14930,Lookup!G:H,2,0)</f>
        <v>Delete</v>
      </c>
      <c r="H14930" s="164"/>
      <c r="I14930" s="8"/>
      <c r="O14930" t="str">
        <f>LEFT(Table2[[#This Row],[Description]],75)</f>
        <v>Payment to Discover Bank</v>
      </c>
    </row>
    <row r="14931" spans="1:15" hidden="1">
      <c r="A14931" s="162">
        <v>202512</v>
      </c>
      <c r="B14931" s="163">
        <v>46017</v>
      </c>
      <c r="C14931" s="162" t="s">
        <v>2519</v>
      </c>
      <c r="D14931" s="162" t="s">
        <v>1464</v>
      </c>
      <c r="E14931" s="162">
        <v>800</v>
      </c>
      <c r="F14931" t="str">
        <f>IF(Table2[[#This Row],[Manual Cat Value]]="",Table2[[#This Row],[Suggested Cat Value]],VLOOKUP(Table2[[#This Row],[Manual Cat Value]],Lookup!G:H,2,0))</f>
        <v>Delete</v>
      </c>
      <c r="G14931" t="str">
        <f>VLOOKUP(D14931,Lookup!G:H,2,0)</f>
        <v>Delete</v>
      </c>
      <c r="H14931" s="164"/>
      <c r="I14931" s="8"/>
      <c r="O14931" t="str">
        <f>LEFT(Table2[[#This Row],[Description]],75)</f>
        <v>Payment to Discover Bank</v>
      </c>
    </row>
    <row r="14932" spans="1:15" hidden="1">
      <c r="A14932" s="165">
        <v>202512</v>
      </c>
      <c r="B14932" s="166">
        <v>46010</v>
      </c>
      <c r="C14932" s="165" t="s">
        <v>2519</v>
      </c>
      <c r="D14932" s="165" t="s">
        <v>1464</v>
      </c>
      <c r="E14932" s="165">
        <v>360.52</v>
      </c>
      <c r="F14932" t="str">
        <f>IF(Table2[[#This Row],[Manual Cat Value]]="",Table2[[#This Row],[Suggested Cat Value]],VLOOKUP(Table2[[#This Row],[Manual Cat Value]],Lookup!G:H,2,0))</f>
        <v>Delete</v>
      </c>
      <c r="G14932" t="str">
        <f>VLOOKUP(D14932,Lookup!G:H,2,0)</f>
        <v>Delete</v>
      </c>
      <c r="H14932" s="164"/>
      <c r="I14932" s="8"/>
      <c r="O14932" t="str">
        <f>LEFT(Table2[[#This Row],[Description]],75)</f>
        <v>Payment to Discover Bank</v>
      </c>
    </row>
    <row r="14933" spans="1:15" hidden="1">
      <c r="A14933" s="162">
        <v>202512</v>
      </c>
      <c r="B14933" s="163">
        <v>46017</v>
      </c>
      <c r="C14933" s="162" t="s">
        <v>2519</v>
      </c>
      <c r="D14933" s="162" t="s">
        <v>1466</v>
      </c>
      <c r="E14933" s="162">
        <v>818.16</v>
      </c>
      <c r="F14933" t="str">
        <f>IF(Table2[[#This Row],[Manual Cat Value]]="",Table2[[#This Row],[Suggested Cat Value]],VLOOKUP(Table2[[#This Row],[Manual Cat Value]],Lookup!G:H,2,0))</f>
        <v>Target</v>
      </c>
      <c r="G14933" t="str">
        <f>VLOOKUP(D14933,Lookup!G:H,2,0)</f>
        <v>Target</v>
      </c>
      <c r="H14933" s="164" t="s">
        <v>30</v>
      </c>
      <c r="I14933" s="8"/>
      <c r="O14933" t="str">
        <f>LEFT(Table2[[#This Row],[Description]],75)</f>
        <v>Payment to Target</v>
      </c>
    </row>
    <row r="14934" spans="1:15" hidden="1">
      <c r="A14934" s="165">
        <v>202511</v>
      </c>
      <c r="B14934" s="166">
        <v>45986</v>
      </c>
      <c r="C14934" s="165" t="s">
        <v>2519</v>
      </c>
      <c r="D14934" s="165" t="s">
        <v>1466</v>
      </c>
      <c r="E14934" s="165">
        <v>677.97</v>
      </c>
      <c r="F14934" t="str">
        <f>IF(Table2[[#This Row],[Manual Cat Value]]="",Table2[[#This Row],[Suggested Cat Value]],VLOOKUP(Table2[[#This Row],[Manual Cat Value]],Lookup!G:H,2,0))</f>
        <v>Target</v>
      </c>
      <c r="G14934" t="str">
        <f>VLOOKUP(D14934,Lookup!G:H,2,0)</f>
        <v>Target</v>
      </c>
      <c r="H14934" s="164" t="s">
        <v>30</v>
      </c>
      <c r="I14934" s="8"/>
      <c r="O14934" t="str">
        <f>LEFT(Table2[[#This Row],[Description]],75)</f>
        <v>Payment to Target</v>
      </c>
    </row>
    <row r="14935" spans="1:15" hidden="1">
      <c r="A14935" s="162">
        <v>202512</v>
      </c>
      <c r="B14935" s="163">
        <v>45999</v>
      </c>
      <c r="C14935" s="162" t="s">
        <v>2519</v>
      </c>
      <c r="D14935" s="162" t="s">
        <v>1470</v>
      </c>
      <c r="E14935" s="162">
        <v>131.80000000000001</v>
      </c>
      <c r="F14935" t="str">
        <f>IF(Table2[[#This Row],[Manual Cat Value]]="",Table2[[#This Row],[Suggested Cat Value]],VLOOKUP(Table2[[#This Row],[Manual Cat Value]],Lookup!G:H,2,0))</f>
        <v>Utilities</v>
      </c>
      <c r="G14935" t="str">
        <f>VLOOKUP(D14935,Lookup!G:H,2,0)</f>
        <v>Utilities</v>
      </c>
      <c r="H14935" s="164"/>
      <c r="I14935" s="8"/>
      <c r="O14935" t="str">
        <f>LEFT(Table2[[#This Row],[Description]],75)</f>
        <v>Payment to Xcel Energy</v>
      </c>
    </row>
    <row r="14936" spans="1:15" hidden="1">
      <c r="A14936" s="165">
        <v>202512</v>
      </c>
      <c r="B14936" s="166">
        <v>46017</v>
      </c>
      <c r="C14936" s="165" t="s">
        <v>2519</v>
      </c>
      <c r="D14936" s="165" t="s">
        <v>7087</v>
      </c>
      <c r="E14936" s="165">
        <v>86.34</v>
      </c>
      <c r="F14936" t="str">
        <f>IF(Table2[[#This Row],[Manual Cat Value]]="",Table2[[#This Row],[Suggested Cat Value]],VLOOKUP(Table2[[#This Row],[Manual Cat Value]],Lookup!G:H,2,0))</f>
        <v>Utilities</v>
      </c>
      <c r="G14936" t="e">
        <f>VLOOKUP(D14936,Lookup!G:H,2,0)</f>
        <v>#N/A</v>
      </c>
      <c r="H14936" s="164" t="s">
        <v>6</v>
      </c>
      <c r="I14936" s="8"/>
      <c r="O14936" t="str">
        <f>LEFT(Table2[[#This Row],[Description]],75)</f>
        <v>Payment to xfinity</v>
      </c>
    </row>
    <row r="14937" spans="1:15" hidden="1">
      <c r="A14937" s="162">
        <v>202511</v>
      </c>
      <c r="B14937" s="163">
        <v>45986</v>
      </c>
      <c r="C14937" s="162" t="s">
        <v>2519</v>
      </c>
      <c r="D14937" s="162" t="s">
        <v>7087</v>
      </c>
      <c r="E14937" s="162">
        <v>86.34</v>
      </c>
      <c r="F14937" t="str">
        <f>IF(Table2[[#This Row],[Manual Cat Value]]="",Table2[[#This Row],[Suggested Cat Value]],VLOOKUP(Table2[[#This Row],[Manual Cat Value]],Lookup!G:H,2,0))</f>
        <v>Utilities</v>
      </c>
      <c r="G14937" t="e">
        <f>VLOOKUP(D14937,Lookup!G:H,2,0)</f>
        <v>#N/A</v>
      </c>
      <c r="H14937" s="164" t="s">
        <v>6</v>
      </c>
      <c r="I14937" s="8"/>
      <c r="O14937" t="str">
        <f>LEFT(Table2[[#This Row],[Description]],75)</f>
        <v>Payment to xfinity</v>
      </c>
    </row>
    <row r="14938" spans="1:15" hidden="1">
      <c r="A14938" s="165">
        <v>202512</v>
      </c>
      <c r="B14938" s="166">
        <v>46019</v>
      </c>
      <c r="C14938" s="165" t="s">
        <v>3938</v>
      </c>
      <c r="D14938" s="165" t="s">
        <v>7088</v>
      </c>
      <c r="E14938" s="165">
        <v>51.38</v>
      </c>
      <c r="F14938" t="str">
        <f>IF(Table2[[#This Row],[Manual Cat Value]]="",Table2[[#This Row],[Suggested Cat Value]],VLOOKUP(Table2[[#This Row],[Manual Cat Value]],Lookup!G:H,2,0))</f>
        <v>Restaurants</v>
      </c>
      <c r="G14938" t="e">
        <f>VLOOKUP(D14938,Lookup!G:H,2,0)</f>
        <v>#N/A</v>
      </c>
      <c r="H14938" s="164" t="s">
        <v>25</v>
      </c>
      <c r="I14938" s="8"/>
      <c r="O14938" t="str">
        <f>LEFT(Table2[[#This Row],[Description]],75)</f>
        <v>Pinstripes</v>
      </c>
    </row>
    <row r="14939" spans="1:15" hidden="1">
      <c r="A14939" s="162">
        <v>202512</v>
      </c>
      <c r="B14939" s="163">
        <v>46005</v>
      </c>
      <c r="C14939" s="162" t="s">
        <v>130</v>
      </c>
      <c r="D14939" s="162" t="s">
        <v>6280</v>
      </c>
      <c r="E14939" s="162">
        <v>80.59</v>
      </c>
      <c r="F14939" t="str">
        <f>IF(Table2[[#This Row],[Manual Cat Value]]="",Table2[[#This Row],[Suggested Cat Value]],VLOOKUP(Table2[[#This Row],[Manual Cat Value]],Lookup!G:H,2,0))</f>
        <v>Gifts</v>
      </c>
      <c r="G14939" t="e">
        <f>VLOOKUP(D14939,Lookup!G:H,2,0)</f>
        <v>#N/A</v>
      </c>
      <c r="H14939" s="164" t="s">
        <v>44</v>
      </c>
      <c r="I14939" s="8"/>
      <c r="O14939" t="str">
        <f>LEFT(Table2[[#This Row],[Description]],75)</f>
        <v>PLAY IT AGAIN SPORTSCHASKA              MN</v>
      </c>
    </row>
    <row r="14940" spans="1:15" hidden="1">
      <c r="A14940" s="165">
        <v>202512</v>
      </c>
      <c r="B14940" s="166">
        <v>46000</v>
      </c>
      <c r="C14940" s="165" t="s">
        <v>130</v>
      </c>
      <c r="D14940" s="165" t="s">
        <v>6546</v>
      </c>
      <c r="E14940" s="165">
        <v>959.54</v>
      </c>
      <c r="F14940" t="str">
        <f>IF(Table2[[#This Row],[Manual Cat Value]]="",Table2[[#This Row],[Suggested Cat Value]],VLOOKUP(Table2[[#This Row],[Manual Cat Value]],Lookup!G:H,2,0))</f>
        <v>Delete</v>
      </c>
      <c r="G14940" t="e">
        <f>VLOOKUP(D14940,Lookup!G:H,2,0)</f>
        <v>#N/A</v>
      </c>
      <c r="H14940" s="164" t="s">
        <v>9</v>
      </c>
      <c r="I14940" s="8"/>
      <c r="O14940" t="str">
        <f>LEFT(Table2[[#This Row],[Description]],75)</f>
        <v>RAILWAY STREET IE000CORK                IR</v>
      </c>
    </row>
    <row r="14941" spans="1:15" hidden="1">
      <c r="A14941" s="162">
        <v>202512</v>
      </c>
      <c r="B14941" s="163">
        <v>45996</v>
      </c>
      <c r="C14941" s="162" t="s">
        <v>130</v>
      </c>
      <c r="D14941" s="162" t="s">
        <v>7089</v>
      </c>
      <c r="E14941" s="162">
        <v>58.64</v>
      </c>
      <c r="F14941" t="str">
        <f>IF(Table2[[#This Row],[Manual Cat Value]]="",Table2[[#This Row],[Suggested Cat Value]],VLOOKUP(Table2[[#This Row],[Manual Cat Value]],Lookup!G:H,2,0))</f>
        <v>Restaurants</v>
      </c>
      <c r="G14941" t="e">
        <f>VLOOKUP(D14941,Lookup!G:H,2,0)</f>
        <v>#N/A</v>
      </c>
      <c r="H14941" s="164" t="s">
        <v>25</v>
      </c>
      <c r="I14941" s="8"/>
      <c r="O14941" t="str">
        <f>LEFT(Table2[[#This Row],[Description]],75)</f>
        <v>ROLFS RESTAURANT 941212-4774750         NY</v>
      </c>
    </row>
    <row r="14942" spans="1:15">
      <c r="A14942" s="165">
        <v>202512</v>
      </c>
      <c r="B14942" s="166">
        <v>46009</v>
      </c>
      <c r="C14942" s="165" t="s">
        <v>2519</v>
      </c>
      <c r="D14942" s="165" t="s">
        <v>6975</v>
      </c>
      <c r="E14942" s="165">
        <v>-4304.74</v>
      </c>
      <c r="F14942" t="e">
        <f>IF(Table2[[#This Row],[Manual Cat Value]]="",Table2[[#This Row],[Suggested Cat Value]],VLOOKUP(Table2[[#This Row],[Manual Cat Value]],Lookup!G:H,2,0))</f>
        <v>#N/A</v>
      </c>
      <c r="G14942" t="e">
        <f>VLOOKUP(D14942,Lookup!G:H,2,0)</f>
        <v>#N/A</v>
      </c>
      <c r="H14942" s="164"/>
      <c r="I14942" s="8"/>
      <c r="O14942" t="str">
        <f>LEFT(Table2[[#This Row],[Description]],75)</f>
        <v>Salary/Regular Income from Cargill Inc</v>
      </c>
    </row>
    <row r="14943" spans="1:15">
      <c r="A14943" s="162">
        <v>202512</v>
      </c>
      <c r="B14943" s="163">
        <v>45995</v>
      </c>
      <c r="C14943" s="162" t="s">
        <v>2519</v>
      </c>
      <c r="D14943" s="162" t="s">
        <v>6975</v>
      </c>
      <c r="E14943" s="162">
        <v>-4304.74</v>
      </c>
      <c r="F14943" t="e">
        <f>IF(Table2[[#This Row],[Manual Cat Value]]="",Table2[[#This Row],[Suggested Cat Value]],VLOOKUP(Table2[[#This Row],[Manual Cat Value]],Lookup!G:H,2,0))</f>
        <v>#N/A</v>
      </c>
      <c r="G14943" t="e">
        <f>VLOOKUP(D14943,Lookup!G:H,2,0)</f>
        <v>#N/A</v>
      </c>
      <c r="H14943" s="164"/>
      <c r="I14943" s="8"/>
      <c r="O14943" t="str">
        <f>LEFT(Table2[[#This Row],[Description]],75)</f>
        <v>Salary/Regular Income from Cargill Inc</v>
      </c>
    </row>
    <row r="14944" spans="1:15">
      <c r="A14944" s="165">
        <v>202511</v>
      </c>
      <c r="B14944" s="166">
        <v>45981</v>
      </c>
      <c r="C14944" s="165" t="s">
        <v>2519</v>
      </c>
      <c r="D14944" s="165" t="s">
        <v>6975</v>
      </c>
      <c r="E14944" s="165">
        <v>-4221.2700000000004</v>
      </c>
      <c r="F14944" t="e">
        <f>IF(Table2[[#This Row],[Manual Cat Value]]="",Table2[[#This Row],[Suggested Cat Value]],VLOOKUP(Table2[[#This Row],[Manual Cat Value]],Lookup!G:H,2,0))</f>
        <v>#N/A</v>
      </c>
      <c r="G14944" t="e">
        <f>VLOOKUP(D14944,Lookup!G:H,2,0)</f>
        <v>#N/A</v>
      </c>
      <c r="H14944" s="164"/>
      <c r="I14944" s="8"/>
      <c r="O14944" t="str">
        <f>LEFT(Table2[[#This Row],[Description]],75)</f>
        <v>Salary/Regular Income from Cargill Inc</v>
      </c>
    </row>
    <row r="14945" spans="1:15">
      <c r="A14945" s="162">
        <v>202512</v>
      </c>
      <c r="B14945" s="163">
        <v>46021</v>
      </c>
      <c r="C14945" s="162" t="s">
        <v>2519</v>
      </c>
      <c r="D14945" s="162" t="s">
        <v>4343</v>
      </c>
      <c r="E14945" s="162">
        <v>-4903.1099999999997</v>
      </c>
      <c r="F14945" t="e">
        <f>IF(Table2[[#This Row],[Manual Cat Value]]="",Table2[[#This Row],[Suggested Cat Value]],VLOOKUP(Table2[[#This Row],[Manual Cat Value]],Lookup!G:H,2,0))</f>
        <v>#N/A</v>
      </c>
      <c r="G14945" t="e">
        <f>VLOOKUP(D14945,Lookup!G:H,2,0)</f>
        <v>#N/A</v>
      </c>
      <c r="H14945" s="164"/>
      <c r="I14945" s="8"/>
      <c r="O14945" t="str">
        <f>LEFT(Table2[[#This Row],[Description]],75)</f>
        <v>Salary/Regular Income from TriNet</v>
      </c>
    </row>
    <row r="14946" spans="1:15">
      <c r="A14946" s="165">
        <v>202512</v>
      </c>
      <c r="B14946" s="166">
        <v>46005</v>
      </c>
      <c r="C14946" s="165" t="s">
        <v>2519</v>
      </c>
      <c r="D14946" s="165" t="s">
        <v>4343</v>
      </c>
      <c r="E14946" s="165">
        <v>-4928.6000000000004</v>
      </c>
      <c r="F14946" t="e">
        <f>IF(Table2[[#This Row],[Manual Cat Value]]="",Table2[[#This Row],[Suggested Cat Value]],VLOOKUP(Table2[[#This Row],[Manual Cat Value]],Lookup!G:H,2,0))</f>
        <v>#N/A</v>
      </c>
      <c r="G14946" t="e">
        <f>VLOOKUP(D14946,Lookup!G:H,2,0)</f>
        <v>#N/A</v>
      </c>
      <c r="H14946" s="164"/>
      <c r="I14946" s="8"/>
      <c r="O14946" t="str">
        <f>LEFT(Table2[[#This Row],[Description]],75)</f>
        <v>Salary/Regular Income from TriNet</v>
      </c>
    </row>
    <row r="14947" spans="1:15">
      <c r="A14947" s="162">
        <v>202511</v>
      </c>
      <c r="B14947" s="163">
        <v>45987</v>
      </c>
      <c r="C14947" s="162" t="s">
        <v>2519</v>
      </c>
      <c r="D14947" s="162" t="s">
        <v>4343</v>
      </c>
      <c r="E14947" s="162">
        <v>-4973.29</v>
      </c>
      <c r="F14947" t="e">
        <f>IF(Table2[[#This Row],[Manual Cat Value]]="",Table2[[#This Row],[Suggested Cat Value]],VLOOKUP(Table2[[#This Row],[Manual Cat Value]],Lookup!G:H,2,0))</f>
        <v>#N/A</v>
      </c>
      <c r="G14947" t="e">
        <f>VLOOKUP(D14947,Lookup!G:H,2,0)</f>
        <v>#N/A</v>
      </c>
      <c r="H14947" s="164"/>
      <c r="I14947" s="8"/>
      <c r="O14947" t="str">
        <f>LEFT(Table2[[#This Row],[Description]],75)</f>
        <v>Salary/Regular Income from TriNet</v>
      </c>
    </row>
    <row r="14948" spans="1:15">
      <c r="A14948" s="165">
        <v>202511</v>
      </c>
      <c r="B14948" s="166">
        <v>45974</v>
      </c>
      <c r="C14948" s="165" t="s">
        <v>2519</v>
      </c>
      <c r="D14948" s="165" t="s">
        <v>4343</v>
      </c>
      <c r="E14948" s="165">
        <v>-4973.28</v>
      </c>
      <c r="F14948" t="e">
        <f>IF(Table2[[#This Row],[Manual Cat Value]]="",Table2[[#This Row],[Suggested Cat Value]],VLOOKUP(Table2[[#This Row],[Manual Cat Value]],Lookup!G:H,2,0))</f>
        <v>#N/A</v>
      </c>
      <c r="G14948" t="e">
        <f>VLOOKUP(D14948,Lookup!G:H,2,0)</f>
        <v>#N/A</v>
      </c>
      <c r="H14948" s="164"/>
      <c r="I14948" s="8"/>
      <c r="O14948" t="str">
        <f>LEFT(Table2[[#This Row],[Description]],75)</f>
        <v>Salary/Regular Income from TriNet</v>
      </c>
    </row>
    <row r="14949" spans="1:15" hidden="1">
      <c r="A14949" s="162">
        <v>202511</v>
      </c>
      <c r="B14949" s="163">
        <v>45970</v>
      </c>
      <c r="C14949" s="162" t="s">
        <v>130</v>
      </c>
      <c r="D14949" s="162" t="s">
        <v>7090</v>
      </c>
      <c r="E14949" s="162">
        <v>111.06</v>
      </c>
      <c r="F14949" t="str">
        <f>IF(Table2[[#This Row],[Manual Cat Value]]="",Table2[[#This Row],[Suggested Cat Value]],VLOOKUP(Table2[[#This Row],[Manual Cat Value]],Lookup!G:H,2,0))</f>
        <v>Entertainment</v>
      </c>
      <c r="G14949" t="e">
        <f>VLOOKUP(D14949,Lookup!G:H,2,0)</f>
        <v>#N/A</v>
      </c>
      <c r="H14949" s="164" t="s">
        <v>39</v>
      </c>
      <c r="I14949" s="8"/>
      <c r="O14949" t="str">
        <f>LEFT(Table2[[#This Row],[Description]],75)</f>
        <v>SANDBOX VR DOMAIN   Austin              TX</v>
      </c>
    </row>
    <row r="14950" spans="1:15" hidden="1">
      <c r="A14950" s="165">
        <v>202511</v>
      </c>
      <c r="B14950" s="166">
        <v>45989</v>
      </c>
      <c r="C14950" s="165" t="s">
        <v>130</v>
      </c>
      <c r="D14950" s="165" t="s">
        <v>5917</v>
      </c>
      <c r="E14950" s="165">
        <v>88.15</v>
      </c>
      <c r="F14950" t="str">
        <f>IF(Table2[[#This Row],[Manual Cat Value]]="",Table2[[#This Row],[Suggested Cat Value]],VLOOKUP(Table2[[#This Row],[Manual Cat Value]],Lookup!G:H,2,0))</f>
        <v>Shopping</v>
      </c>
      <c r="G14950" t="e">
        <f>VLOOKUP(D14950,Lookup!G:H,2,0)</f>
        <v>#N/A</v>
      </c>
      <c r="H14950" s="164" t="s">
        <v>36</v>
      </c>
      <c r="I14950" s="8"/>
      <c r="O14950" t="str">
        <f>LEFT(Table2[[#This Row],[Description]],75)</f>
        <v>SCHEELS ALL SPORTS  FARGO               ND</v>
      </c>
    </row>
    <row r="14951" spans="1:15" hidden="1">
      <c r="A14951" s="162">
        <v>202511</v>
      </c>
      <c r="B14951" s="163">
        <v>45978</v>
      </c>
      <c r="C14951" s="162" t="s">
        <v>130</v>
      </c>
      <c r="D14951" s="162" t="s">
        <v>5917</v>
      </c>
      <c r="E14951" s="162">
        <v>49</v>
      </c>
      <c r="F14951" t="str">
        <f>IF(Table2[[#This Row],[Manual Cat Value]]="",Table2[[#This Row],[Suggested Cat Value]],VLOOKUP(Table2[[#This Row],[Manual Cat Value]],Lookup!G:H,2,0))</f>
        <v>Shopping</v>
      </c>
      <c r="G14951" t="e">
        <f>VLOOKUP(D14951,Lookup!G:H,2,0)</f>
        <v>#N/A</v>
      </c>
      <c r="H14951" s="164" t="s">
        <v>36</v>
      </c>
      <c r="I14951" s="8"/>
      <c r="O14951" t="str">
        <f>LEFT(Table2[[#This Row],[Description]],75)</f>
        <v>SCHEELS ALL SPORTS  FARGO               ND</v>
      </c>
    </row>
    <row r="14952" spans="1:15" hidden="1">
      <c r="A14952" s="165">
        <v>202512</v>
      </c>
      <c r="B14952" s="166">
        <v>46001</v>
      </c>
      <c r="C14952" s="165" t="s">
        <v>130</v>
      </c>
      <c r="D14952" s="165" t="s">
        <v>6164</v>
      </c>
      <c r="E14952" s="165">
        <v>179.95</v>
      </c>
      <c r="F14952" t="str">
        <f>IF(Table2[[#This Row],[Manual Cat Value]]="",Table2[[#This Row],[Suggested Cat Value]],VLOOKUP(Table2[[#This Row],[Manual Cat Value]],Lookup!G:H,2,0))</f>
        <v>Healthcare</v>
      </c>
      <c r="G14952" t="e">
        <f>VLOOKUP(D14952,Lookup!G:H,2,0)</f>
        <v>#N/A</v>
      </c>
      <c r="H14952" s="164" t="s">
        <v>47</v>
      </c>
      <c r="I14952" s="8"/>
      <c r="O14952" t="str">
        <f>LEFT(Table2[[#This Row],[Description]],75)</f>
        <v>SOUTH LAKE PEDIATRICMINNETONKA          MN</v>
      </c>
    </row>
    <row r="14953" spans="1:15" hidden="1">
      <c r="A14953" s="162">
        <v>202512</v>
      </c>
      <c r="B14953" s="163">
        <v>46007</v>
      </c>
      <c r="C14953" s="162" t="s">
        <v>130</v>
      </c>
      <c r="D14953" s="162" t="s">
        <v>5954</v>
      </c>
      <c r="E14953" s="162">
        <v>-82.55</v>
      </c>
      <c r="F14953" t="str">
        <f>IF(Table2[[#This Row],[Manual Cat Value]]="",Table2[[#This Row],[Suggested Cat Value]],VLOOKUP(Table2[[#This Row],[Manual Cat Value]],Lookup!G:H,2,0))</f>
        <v>Shopping</v>
      </c>
      <c r="G14953" t="e">
        <f>VLOOKUP(D14953,Lookup!G:H,2,0)</f>
        <v>#N/A</v>
      </c>
      <c r="H14953" s="164" t="s">
        <v>36</v>
      </c>
      <c r="I14953" s="8"/>
      <c r="O14953" t="str">
        <f>LEFT(Table2[[#This Row],[Description]],75)</f>
        <v>SP 7DIAMONDS APPARELTUSTIN              CA</v>
      </c>
    </row>
    <row r="14954" spans="1:15" hidden="1">
      <c r="A14954" s="165">
        <v>202511</v>
      </c>
      <c r="B14954" s="166">
        <v>45989</v>
      </c>
      <c r="C14954" s="165" t="s">
        <v>130</v>
      </c>
      <c r="D14954" s="165" t="s">
        <v>5954</v>
      </c>
      <c r="E14954" s="165">
        <v>301.7</v>
      </c>
      <c r="F14954" t="str">
        <f>IF(Table2[[#This Row],[Manual Cat Value]]="",Table2[[#This Row],[Suggested Cat Value]],VLOOKUP(Table2[[#This Row],[Manual Cat Value]],Lookup!G:H,2,0))</f>
        <v>Shopping</v>
      </c>
      <c r="G14954" t="e">
        <f>VLOOKUP(D14954,Lookup!G:H,2,0)</f>
        <v>#N/A</v>
      </c>
      <c r="H14954" s="164" t="s">
        <v>36</v>
      </c>
      <c r="I14954" s="8"/>
      <c r="O14954" t="str">
        <f>LEFT(Table2[[#This Row],[Description]],75)</f>
        <v>SP 7DIAMONDS APPARELTUSTIN              CA</v>
      </c>
    </row>
    <row r="14955" spans="1:15" hidden="1">
      <c r="A14955" s="162">
        <v>202512</v>
      </c>
      <c r="B14955" s="163">
        <v>46002</v>
      </c>
      <c r="C14955" s="162" t="s">
        <v>130</v>
      </c>
      <c r="D14955" s="162" t="s">
        <v>7091</v>
      </c>
      <c r="E14955" s="162">
        <v>-57.6</v>
      </c>
      <c r="F14955" t="str">
        <f>IF(Table2[[#This Row],[Manual Cat Value]]="",Table2[[#This Row],[Suggested Cat Value]],VLOOKUP(Table2[[#This Row],[Manual Cat Value]],Lookup!G:H,2,0))</f>
        <v>Shopping</v>
      </c>
      <c r="G14955" t="e">
        <f>VLOOKUP(D14955,Lookup!G:H,2,0)</f>
        <v>#N/A</v>
      </c>
      <c r="H14955" s="164" t="s">
        <v>36</v>
      </c>
      <c r="I14955" s="8"/>
      <c r="O14955" t="str">
        <f>LEFT(Table2[[#This Row],[Description]],75)</f>
        <v>SP HOMAGE           COLUMBUS            OH</v>
      </c>
    </row>
    <row r="14956" spans="1:15" hidden="1">
      <c r="A14956" s="165">
        <v>202511</v>
      </c>
      <c r="B14956" s="166">
        <v>45989</v>
      </c>
      <c r="C14956" s="165" t="s">
        <v>130</v>
      </c>
      <c r="D14956" s="165" t="s">
        <v>7091</v>
      </c>
      <c r="E14956" s="165">
        <v>65.55</v>
      </c>
      <c r="F14956" t="str">
        <f>IF(Table2[[#This Row],[Manual Cat Value]]="",Table2[[#This Row],[Suggested Cat Value]],VLOOKUP(Table2[[#This Row],[Manual Cat Value]],Lookup!G:H,2,0))</f>
        <v>Shopping</v>
      </c>
      <c r="G14956" t="e">
        <f>VLOOKUP(D14956,Lookup!G:H,2,0)</f>
        <v>#N/A</v>
      </c>
      <c r="H14956" s="164" t="s">
        <v>36</v>
      </c>
      <c r="I14956" s="8"/>
      <c r="O14956" t="str">
        <f>LEFT(Table2[[#This Row],[Description]],75)</f>
        <v>SP HOMAGE           COLUMBUS            OH</v>
      </c>
    </row>
    <row r="14957" spans="1:15" hidden="1">
      <c r="A14957" s="162">
        <v>202512</v>
      </c>
      <c r="B14957" s="163">
        <v>45997</v>
      </c>
      <c r="C14957" s="162" t="s">
        <v>130</v>
      </c>
      <c r="D14957" s="162" t="s">
        <v>6585</v>
      </c>
      <c r="E14957" s="162">
        <v>19</v>
      </c>
      <c r="F14957" t="str">
        <f>IF(Table2[[#This Row],[Manual Cat Value]]="",Table2[[#This Row],[Suggested Cat Value]],VLOOKUP(Table2[[#This Row],[Manual Cat Value]],Lookup!G:H,2,0))</f>
        <v>Shopping</v>
      </c>
      <c r="G14957" t="e">
        <f>VLOOKUP(D14957,Lookup!G:H,2,0)</f>
        <v>#N/A</v>
      </c>
      <c r="H14957" s="164" t="s">
        <v>36</v>
      </c>
      <c r="I14957" s="8"/>
      <c r="O14957" t="str">
        <f>LEFT(Table2[[#This Row],[Description]],75)</f>
        <v>SP LUMEN.ME         CLAYMONT            DE</v>
      </c>
    </row>
    <row r="14958" spans="1:15" hidden="1">
      <c r="A14958" s="165">
        <v>202512</v>
      </c>
      <c r="B14958" s="166">
        <v>46004</v>
      </c>
      <c r="C14958" s="165" t="s">
        <v>130</v>
      </c>
      <c r="D14958" s="165" t="s">
        <v>6641</v>
      </c>
      <c r="E14958" s="165">
        <v>-138</v>
      </c>
      <c r="F14958" t="str">
        <f>IF(Table2[[#This Row],[Manual Cat Value]]="",Table2[[#This Row],[Suggested Cat Value]],VLOOKUP(Table2[[#This Row],[Manual Cat Value]],Lookup!G:H,2,0))</f>
        <v>Shopping</v>
      </c>
      <c r="G14958" t="e">
        <f>VLOOKUP(D14958,Lookup!G:H,2,0)</f>
        <v>#N/A</v>
      </c>
      <c r="H14958" s="164" t="s">
        <v>36</v>
      </c>
      <c r="I14958" s="8"/>
      <c r="O14958" t="str">
        <f>LEFT(Table2[[#This Row],[Description]],75)</f>
        <v>SP MARINE LAYER     SAN FRANCISCO       CA</v>
      </c>
    </row>
    <row r="14959" spans="1:15" hidden="1">
      <c r="A14959" s="162">
        <v>202511</v>
      </c>
      <c r="B14959" s="163">
        <v>45971</v>
      </c>
      <c r="C14959" s="162" t="s">
        <v>130</v>
      </c>
      <c r="D14959" s="162" t="s">
        <v>6641</v>
      </c>
      <c r="E14959" s="162">
        <v>138.5</v>
      </c>
      <c r="F14959" t="str">
        <f>IF(Table2[[#This Row],[Manual Cat Value]]="",Table2[[#This Row],[Suggested Cat Value]],VLOOKUP(Table2[[#This Row],[Manual Cat Value]],Lookup!G:H,2,0))</f>
        <v>Shopping</v>
      </c>
      <c r="G14959" t="e">
        <f>VLOOKUP(D14959,Lookup!G:H,2,0)</f>
        <v>#N/A</v>
      </c>
      <c r="H14959" s="164" t="s">
        <v>36</v>
      </c>
      <c r="I14959" s="8"/>
      <c r="O14959" t="str">
        <f>LEFT(Table2[[#This Row],[Description]],75)</f>
        <v>SP MARINE LAYER     SAN FRANCISCO       CA</v>
      </c>
    </row>
    <row r="14960" spans="1:15" hidden="1">
      <c r="A14960" s="165">
        <v>202512</v>
      </c>
      <c r="B14960" s="166">
        <v>46016</v>
      </c>
      <c r="C14960" s="165" t="s">
        <v>130</v>
      </c>
      <c r="D14960" s="165" t="s">
        <v>6624</v>
      </c>
      <c r="E14960" s="165">
        <v>56.95</v>
      </c>
      <c r="F14960" t="str">
        <f>IF(Table2[[#This Row],[Manual Cat Value]]="",Table2[[#This Row],[Suggested Cat Value]],VLOOKUP(Table2[[#This Row],[Manual Cat Value]],Lookup!G:H,2,0))</f>
        <v>Shopping</v>
      </c>
      <c r="G14960" t="e">
        <f>VLOOKUP(D14960,Lookup!G:H,2,0)</f>
        <v>#N/A</v>
      </c>
      <c r="H14960" s="164" t="s">
        <v>36</v>
      </c>
      <c r="I14960" s="8"/>
      <c r="O14960" t="str">
        <f>LEFT(Table2[[#This Row],[Description]],75)</f>
        <v>SP SPORTIQE APPAREL TEMPE               AZ</v>
      </c>
    </row>
    <row r="14961" spans="1:15" hidden="1">
      <c r="A14961" s="162">
        <v>202511</v>
      </c>
      <c r="B14961" s="163">
        <v>45971</v>
      </c>
      <c r="C14961" s="162" t="s">
        <v>130</v>
      </c>
      <c r="D14961" s="162" t="s">
        <v>7092</v>
      </c>
      <c r="E14961" s="162">
        <v>31.62</v>
      </c>
      <c r="F14961" t="str">
        <f>IF(Table2[[#This Row],[Manual Cat Value]]="",Table2[[#This Row],[Suggested Cat Value]],VLOOKUP(Table2[[#This Row],[Manual Cat Value]],Lookup!G:H,2,0))</f>
        <v>Restaurants</v>
      </c>
      <c r="G14961" t="e">
        <f>VLOOKUP(D14961,Lookup!G:H,2,0)</f>
        <v>#N/A</v>
      </c>
      <c r="H14961" s="164" t="s">
        <v>25</v>
      </c>
      <c r="I14961" s="8"/>
      <c r="O14961" t="str">
        <f>LEFT(Table2[[#This Row],[Description]],75)</f>
        <v>SPO*LEBURGER4304 000MINNEAPOLIS         MN</v>
      </c>
    </row>
    <row r="14962" spans="1:15" hidden="1">
      <c r="A14962" s="165">
        <v>202511</v>
      </c>
      <c r="B14962" s="166">
        <v>45970</v>
      </c>
      <c r="C14962" s="165" t="s">
        <v>130</v>
      </c>
      <c r="D14962" s="165" t="s">
        <v>7093</v>
      </c>
      <c r="E14962" s="165">
        <v>50.71</v>
      </c>
      <c r="F14962" t="str">
        <f>IF(Table2[[#This Row],[Manual Cat Value]]="",Table2[[#This Row],[Suggested Cat Value]],VLOOKUP(Table2[[#This Row],[Manual Cat Value]],Lookup!G:H,2,0))</f>
        <v>Restaurants</v>
      </c>
      <c r="G14962" t="e">
        <f>VLOOKUP(D14962,Lookup!G:H,2,0)</f>
        <v>#N/A</v>
      </c>
      <c r="H14962" s="164" t="s">
        <v>25</v>
      </c>
      <c r="I14962" s="8"/>
      <c r="O14962" t="str">
        <f>LEFT(Table2[[#This Row],[Description]],75)</f>
        <v>Sushi A Go Go AUS   Austin              TX</v>
      </c>
    </row>
    <row r="14963" spans="1:15" hidden="1">
      <c r="A14963" s="162">
        <v>202512</v>
      </c>
      <c r="B14963" s="163">
        <v>46021</v>
      </c>
      <c r="C14963" s="162" t="s">
        <v>3938</v>
      </c>
      <c r="D14963" s="162" t="s">
        <v>7094</v>
      </c>
      <c r="E14963" s="162">
        <v>75.709999999999994</v>
      </c>
      <c r="F14963" t="str">
        <f>IF(Table2[[#This Row],[Manual Cat Value]]="",Table2[[#This Row],[Suggested Cat Value]],VLOOKUP(Table2[[#This Row],[Manual Cat Value]],Lookup!G:H,2,0))</f>
        <v>Groceries</v>
      </c>
      <c r="G14963" t="e">
        <f>VLOOKUP(D14963,Lookup!G:H,2,0)</f>
        <v>#N/A</v>
      </c>
      <c r="H14963" s="164" t="s">
        <v>27</v>
      </c>
      <c r="I14963" s="8"/>
      <c r="O14963" t="str">
        <f>LEFT(Table2[[#This Row],[Description]],75)</f>
        <v>THE HIGHWAY 46 STORE BALSAM LAKE WI REF #XX3454BB05J8D6V4</v>
      </c>
    </row>
    <row r="14964" spans="1:15" hidden="1">
      <c r="A14964" s="165">
        <v>202512</v>
      </c>
      <c r="B14964" s="166">
        <v>45992</v>
      </c>
      <c r="C14964" s="165" t="s">
        <v>3938</v>
      </c>
      <c r="D14964" s="165" t="s">
        <v>1849</v>
      </c>
      <c r="E14964" s="165">
        <v>21.64</v>
      </c>
      <c r="F14964" t="str">
        <f>IF(Table2[[#This Row],[Manual Cat Value]]="",Table2[[#This Row],[Suggested Cat Value]],VLOOKUP(Table2[[#This Row],[Manual Cat Value]],Lookup!G:H,2,0))</f>
        <v>House Maintenance</v>
      </c>
      <c r="G14964" t="str">
        <f>VLOOKUP(D14964,Lookup!G:H,2,0)</f>
        <v>House Maintenance</v>
      </c>
      <c r="H14964" s="164"/>
      <c r="I14964" s="8"/>
      <c r="O14964" t="str">
        <f>LEFT(Table2[[#This Row],[Description]],75)</f>
        <v>The Home Depot</v>
      </c>
    </row>
    <row r="14965" spans="1:15" hidden="1">
      <c r="A14965" s="162">
        <v>202511</v>
      </c>
      <c r="B14965" s="163">
        <v>45985</v>
      </c>
      <c r="C14965" s="162" t="s">
        <v>130</v>
      </c>
      <c r="D14965" s="162" t="s">
        <v>7095</v>
      </c>
      <c r="E14965" s="162">
        <v>108.05</v>
      </c>
      <c r="F14965" t="str">
        <f>IF(Table2[[#This Row],[Manual Cat Value]]="",Table2[[#This Row],[Suggested Cat Value]],VLOOKUP(Table2[[#This Row],[Manual Cat Value]],Lookup!G:H,2,0))</f>
        <v>Groceries</v>
      </c>
      <c r="G14965" t="e">
        <f>VLOOKUP(D14965,Lookup!G:H,2,0)</f>
        <v>#N/A</v>
      </c>
      <c r="H14965" s="164" t="s">
        <v>27</v>
      </c>
      <c r="I14965" s="8"/>
      <c r="O14965" t="str">
        <f>LEFT(Table2[[#This Row],[Description]],75)</f>
        <v>TOTALWINE 1606 DIGITCHANHASSEN          MN</v>
      </c>
    </row>
    <row r="14966" spans="1:15" hidden="1">
      <c r="A14966" s="165">
        <v>202512</v>
      </c>
      <c r="B14966" s="166">
        <v>45997</v>
      </c>
      <c r="C14966" s="165" t="s">
        <v>130</v>
      </c>
      <c r="D14966" s="165" t="s">
        <v>6614</v>
      </c>
      <c r="E14966" s="165">
        <v>50.29</v>
      </c>
      <c r="F14966" t="str">
        <f>IF(Table2[[#This Row],[Manual Cat Value]]="",Table2[[#This Row],[Suggested Cat Value]],VLOOKUP(Table2[[#This Row],[Manual Cat Value]],Lookup!G:H,2,0))</f>
        <v>Groceries</v>
      </c>
      <c r="G14966" t="e">
        <f>VLOOKUP(D14966,Lookup!G:H,2,0)</f>
        <v>#N/A</v>
      </c>
      <c r="H14966" s="164" t="s">
        <v>27</v>
      </c>
      <c r="I14966" s="8"/>
      <c r="O14966" t="str">
        <f>LEFT(Table2[[#This Row],[Description]],75)</f>
        <v>TRADER JOE S #714 00MINNETONKA          MN</v>
      </c>
    </row>
    <row r="14967" spans="1:15" hidden="1">
      <c r="A14967" s="162">
        <v>202512</v>
      </c>
      <c r="B14967" s="163">
        <v>46020</v>
      </c>
      <c r="C14967" s="162" t="s">
        <v>2519</v>
      </c>
      <c r="D14967" s="162" t="s">
        <v>1955</v>
      </c>
      <c r="E14967" s="162">
        <v>174.19</v>
      </c>
      <c r="F14967" t="str">
        <f>IF(Table2[[#This Row],[Manual Cat Value]]="",Table2[[#This Row],[Suggested Cat Value]],VLOOKUP(Table2[[#This Row],[Manual Cat Value]],Lookup!G:H,2,0))</f>
        <v>Shopping</v>
      </c>
      <c r="G14967" t="str">
        <f>VLOOKUP(D14967,Lookup!G:H,2,0)</f>
        <v>Shopping</v>
      </c>
      <c r="H14967" s="164"/>
      <c r="I14967" s="8"/>
      <c r="O14967" t="str">
        <f>LEFT(Table2[[#This Row],[Description]],75)</f>
        <v>Transfer to PayPal</v>
      </c>
    </row>
    <row r="14968" spans="1:15" hidden="1">
      <c r="A14968" s="165">
        <v>202512</v>
      </c>
      <c r="B14968" s="166">
        <v>46020</v>
      </c>
      <c r="C14968" s="165" t="s">
        <v>2519</v>
      </c>
      <c r="D14968" s="165" t="s">
        <v>1955</v>
      </c>
      <c r="E14968" s="165">
        <v>0.99</v>
      </c>
      <c r="F14968" t="str">
        <f>IF(Table2[[#This Row],[Manual Cat Value]]="",Table2[[#This Row],[Suggested Cat Value]],VLOOKUP(Table2[[#This Row],[Manual Cat Value]],Lookup!G:H,2,0))</f>
        <v>Shopping</v>
      </c>
      <c r="G14968" t="str">
        <f>VLOOKUP(D14968,Lookup!G:H,2,0)</f>
        <v>Shopping</v>
      </c>
      <c r="H14968" s="164"/>
      <c r="I14968" s="8"/>
      <c r="O14968" t="str">
        <f>LEFT(Table2[[#This Row],[Description]],75)</f>
        <v>Transfer to PayPal</v>
      </c>
    </row>
    <row r="14969" spans="1:15" hidden="1">
      <c r="A14969" s="162">
        <v>202512</v>
      </c>
      <c r="B14969" s="163">
        <v>46010</v>
      </c>
      <c r="C14969" s="162" t="s">
        <v>2519</v>
      </c>
      <c r="D14969" s="162" t="s">
        <v>1955</v>
      </c>
      <c r="E14969" s="162">
        <v>2.99</v>
      </c>
      <c r="F14969" t="str">
        <f>IF(Table2[[#This Row],[Manual Cat Value]]="",Table2[[#This Row],[Suggested Cat Value]],VLOOKUP(Table2[[#This Row],[Manual Cat Value]],Lookup!G:H,2,0))</f>
        <v>Shopping</v>
      </c>
      <c r="G14969" t="str">
        <f>VLOOKUP(D14969,Lookup!G:H,2,0)</f>
        <v>Shopping</v>
      </c>
      <c r="H14969" s="164"/>
      <c r="I14969" s="8"/>
      <c r="O14969" t="str">
        <f>LEFT(Table2[[#This Row],[Description]],75)</f>
        <v>Transfer to PayPal</v>
      </c>
    </row>
    <row r="14970" spans="1:15" hidden="1">
      <c r="A14970" s="165">
        <v>202512</v>
      </c>
      <c r="B14970" s="166">
        <v>46006</v>
      </c>
      <c r="C14970" s="165" t="s">
        <v>2519</v>
      </c>
      <c r="D14970" s="165" t="s">
        <v>1955</v>
      </c>
      <c r="E14970" s="165">
        <v>17.43</v>
      </c>
      <c r="F14970" t="str">
        <f>IF(Table2[[#This Row],[Manual Cat Value]]="",Table2[[#This Row],[Suggested Cat Value]],VLOOKUP(Table2[[#This Row],[Manual Cat Value]],Lookup!G:H,2,0))</f>
        <v>Shopping</v>
      </c>
      <c r="G14970" t="str">
        <f>VLOOKUP(D14970,Lookup!G:H,2,0)</f>
        <v>Shopping</v>
      </c>
      <c r="H14970" s="164"/>
      <c r="I14970" s="8"/>
      <c r="O14970" t="str">
        <f>LEFT(Table2[[#This Row],[Description]],75)</f>
        <v>Transfer to PayPal</v>
      </c>
    </row>
    <row r="14971" spans="1:15" hidden="1">
      <c r="A14971" s="162">
        <v>202512</v>
      </c>
      <c r="B14971" s="163">
        <v>46003</v>
      </c>
      <c r="C14971" s="162" t="s">
        <v>2519</v>
      </c>
      <c r="D14971" s="162" t="s">
        <v>1955</v>
      </c>
      <c r="E14971" s="162">
        <v>15.25</v>
      </c>
      <c r="F14971" t="str">
        <f>IF(Table2[[#This Row],[Manual Cat Value]]="",Table2[[#This Row],[Suggested Cat Value]],VLOOKUP(Table2[[#This Row],[Manual Cat Value]],Lookup!G:H,2,0))</f>
        <v>Shopping</v>
      </c>
      <c r="G14971" t="str">
        <f>VLOOKUP(D14971,Lookup!G:H,2,0)</f>
        <v>Shopping</v>
      </c>
      <c r="H14971" s="164"/>
      <c r="I14971" s="8"/>
      <c r="O14971" t="str">
        <f>LEFT(Table2[[#This Row],[Description]],75)</f>
        <v>Transfer to PayPal</v>
      </c>
    </row>
    <row r="14972" spans="1:15" hidden="1">
      <c r="A14972" s="165">
        <v>202512</v>
      </c>
      <c r="B14972" s="166">
        <v>45994</v>
      </c>
      <c r="C14972" s="165" t="s">
        <v>2519</v>
      </c>
      <c r="D14972" s="165" t="s">
        <v>1955</v>
      </c>
      <c r="E14972" s="165">
        <v>13.07</v>
      </c>
      <c r="F14972" t="str">
        <f>IF(Table2[[#This Row],[Manual Cat Value]]="",Table2[[#This Row],[Suggested Cat Value]],VLOOKUP(Table2[[#This Row],[Manual Cat Value]],Lookup!G:H,2,0))</f>
        <v>Shopping</v>
      </c>
      <c r="G14972" t="str">
        <f>VLOOKUP(D14972,Lookup!G:H,2,0)</f>
        <v>Shopping</v>
      </c>
      <c r="H14972" s="164"/>
      <c r="I14972" s="8"/>
      <c r="O14972" t="str">
        <f>LEFT(Table2[[#This Row],[Description]],75)</f>
        <v>Transfer to PayPal</v>
      </c>
    </row>
    <row r="14973" spans="1:15" hidden="1">
      <c r="A14973" s="162">
        <v>202511</v>
      </c>
      <c r="B14973" s="163">
        <v>45989</v>
      </c>
      <c r="C14973" s="162" t="s">
        <v>2519</v>
      </c>
      <c r="D14973" s="162" t="s">
        <v>1955</v>
      </c>
      <c r="E14973" s="162">
        <v>0.99</v>
      </c>
      <c r="F14973" t="str">
        <f>IF(Table2[[#This Row],[Manual Cat Value]]="",Table2[[#This Row],[Suggested Cat Value]],VLOOKUP(Table2[[#This Row],[Manual Cat Value]],Lookup!G:H,2,0))</f>
        <v>Shopping</v>
      </c>
      <c r="G14973" t="str">
        <f>VLOOKUP(D14973,Lookup!G:H,2,0)</f>
        <v>Shopping</v>
      </c>
      <c r="H14973" s="164"/>
      <c r="I14973" s="8"/>
      <c r="O14973" t="str">
        <f>LEFT(Table2[[#This Row],[Description]],75)</f>
        <v>Transfer to PayPal</v>
      </c>
    </row>
    <row r="14974" spans="1:15" hidden="1">
      <c r="A14974" s="165">
        <v>202511</v>
      </c>
      <c r="B14974" s="166">
        <v>45986</v>
      </c>
      <c r="C14974" s="165" t="s">
        <v>2519</v>
      </c>
      <c r="D14974" s="165" t="s">
        <v>1955</v>
      </c>
      <c r="E14974" s="165">
        <v>23.39</v>
      </c>
      <c r="F14974" t="str">
        <f>IF(Table2[[#This Row],[Manual Cat Value]]="",Table2[[#This Row],[Suggested Cat Value]],VLOOKUP(Table2[[#This Row],[Manual Cat Value]],Lookup!G:H,2,0))</f>
        <v>Shopping</v>
      </c>
      <c r="G14974" t="str">
        <f>VLOOKUP(D14974,Lookup!G:H,2,0)</f>
        <v>Shopping</v>
      </c>
      <c r="H14974" s="164"/>
      <c r="I14974" s="8"/>
      <c r="O14974" t="str">
        <f>LEFT(Table2[[#This Row],[Description]],75)</f>
        <v>Transfer to PayPal</v>
      </c>
    </row>
    <row r="14975" spans="1:15" hidden="1">
      <c r="A14975" s="162">
        <v>202511</v>
      </c>
      <c r="B14975" s="163">
        <v>45985</v>
      </c>
      <c r="C14975" s="162" t="s">
        <v>2519</v>
      </c>
      <c r="D14975" s="162" t="s">
        <v>1955</v>
      </c>
      <c r="E14975" s="162">
        <v>133.63999999999999</v>
      </c>
      <c r="F14975" t="str">
        <f>IF(Table2[[#This Row],[Manual Cat Value]]="",Table2[[#This Row],[Suggested Cat Value]],VLOOKUP(Table2[[#This Row],[Manual Cat Value]],Lookup!G:H,2,0))</f>
        <v>Shopping</v>
      </c>
      <c r="G14975" t="str">
        <f>VLOOKUP(D14975,Lookup!G:H,2,0)</f>
        <v>Shopping</v>
      </c>
      <c r="H14975" s="164"/>
      <c r="I14975" s="8"/>
      <c r="O14975" t="str">
        <f>LEFT(Table2[[#This Row],[Description]],75)</f>
        <v>Transfer to PayPal</v>
      </c>
    </row>
    <row r="14976" spans="1:15" hidden="1">
      <c r="A14976" s="165">
        <v>202511</v>
      </c>
      <c r="B14976" s="166">
        <v>45985</v>
      </c>
      <c r="C14976" s="165" t="s">
        <v>2519</v>
      </c>
      <c r="D14976" s="165" t="s">
        <v>1955</v>
      </c>
      <c r="E14976" s="165">
        <v>23.39</v>
      </c>
      <c r="F14976" t="str">
        <f>IF(Table2[[#This Row],[Manual Cat Value]]="",Table2[[#This Row],[Suggested Cat Value]],VLOOKUP(Table2[[#This Row],[Manual Cat Value]],Lookup!G:H,2,0))</f>
        <v>Shopping</v>
      </c>
      <c r="G14976" t="str">
        <f>VLOOKUP(D14976,Lookup!G:H,2,0)</f>
        <v>Shopping</v>
      </c>
      <c r="H14976" s="164"/>
      <c r="I14976" s="8"/>
      <c r="O14976" t="str">
        <f>LEFT(Table2[[#This Row],[Description]],75)</f>
        <v>Transfer to PayPal</v>
      </c>
    </row>
    <row r="14977" spans="1:15" hidden="1">
      <c r="A14977" s="162">
        <v>202511</v>
      </c>
      <c r="B14977" s="163">
        <v>45985</v>
      </c>
      <c r="C14977" s="162" t="s">
        <v>2519</v>
      </c>
      <c r="D14977" s="162" t="s">
        <v>1955</v>
      </c>
      <c r="E14977" s="162">
        <v>21.76</v>
      </c>
      <c r="F14977" t="str">
        <f>IF(Table2[[#This Row],[Manual Cat Value]]="",Table2[[#This Row],[Suggested Cat Value]],VLOOKUP(Table2[[#This Row],[Manual Cat Value]],Lookup!G:H,2,0))</f>
        <v>Shopping</v>
      </c>
      <c r="G14977" t="str">
        <f>VLOOKUP(D14977,Lookup!G:H,2,0)</f>
        <v>Shopping</v>
      </c>
      <c r="H14977" s="164"/>
      <c r="I14977" s="8"/>
      <c r="O14977" t="str">
        <f>LEFT(Table2[[#This Row],[Description]],75)</f>
        <v>Transfer to PayPal</v>
      </c>
    </row>
    <row r="14978" spans="1:15" hidden="1">
      <c r="A14978" s="165">
        <v>202511</v>
      </c>
      <c r="B14978" s="166">
        <v>45980</v>
      </c>
      <c r="C14978" s="165" t="s">
        <v>2519</v>
      </c>
      <c r="D14978" s="165" t="s">
        <v>1955</v>
      </c>
      <c r="E14978" s="165">
        <v>2.99</v>
      </c>
      <c r="F14978" t="str">
        <f>IF(Table2[[#This Row],[Manual Cat Value]]="",Table2[[#This Row],[Suggested Cat Value]],VLOOKUP(Table2[[#This Row],[Manual Cat Value]],Lookup!G:H,2,0))</f>
        <v>Shopping</v>
      </c>
      <c r="G14978" t="str">
        <f>VLOOKUP(D14978,Lookup!G:H,2,0)</f>
        <v>Shopping</v>
      </c>
      <c r="H14978" s="164"/>
      <c r="I14978" s="8"/>
      <c r="O14978" t="str">
        <f>LEFT(Table2[[#This Row],[Description]],75)</f>
        <v>Transfer to PayPal</v>
      </c>
    </row>
    <row r="14979" spans="1:15" hidden="1">
      <c r="A14979" s="162">
        <v>202511</v>
      </c>
      <c r="B14979" s="163">
        <v>45978</v>
      </c>
      <c r="C14979" s="162" t="s">
        <v>2519</v>
      </c>
      <c r="D14979" s="162" t="s">
        <v>1955</v>
      </c>
      <c r="E14979" s="162">
        <v>17.43</v>
      </c>
      <c r="F14979" t="str">
        <f>IF(Table2[[#This Row],[Manual Cat Value]]="",Table2[[#This Row],[Suggested Cat Value]],VLOOKUP(Table2[[#This Row],[Manual Cat Value]],Lookup!G:H,2,0))</f>
        <v>Shopping</v>
      </c>
      <c r="G14979" t="str">
        <f>VLOOKUP(D14979,Lookup!G:H,2,0)</f>
        <v>Shopping</v>
      </c>
      <c r="H14979" s="164"/>
      <c r="I14979" s="8"/>
      <c r="O14979" t="str">
        <f>LEFT(Table2[[#This Row],[Description]],75)</f>
        <v>Transfer to PayPal</v>
      </c>
    </row>
    <row r="14980" spans="1:15" hidden="1">
      <c r="A14980" s="165">
        <v>202511</v>
      </c>
      <c r="B14980" s="166">
        <v>45971</v>
      </c>
      <c r="C14980" s="165" t="s">
        <v>2519</v>
      </c>
      <c r="D14980" s="165" t="s">
        <v>1955</v>
      </c>
      <c r="E14980" s="165">
        <v>41.92</v>
      </c>
      <c r="F14980" t="str">
        <f>IF(Table2[[#This Row],[Manual Cat Value]]="",Table2[[#This Row],[Suggested Cat Value]],VLOOKUP(Table2[[#This Row],[Manual Cat Value]],Lookup!G:H,2,0))</f>
        <v>Shopping</v>
      </c>
      <c r="G14980" t="str">
        <f>VLOOKUP(D14980,Lookup!G:H,2,0)</f>
        <v>Shopping</v>
      </c>
      <c r="H14980" s="164"/>
      <c r="I14980" s="8"/>
      <c r="O14980" t="str">
        <f>LEFT(Table2[[#This Row],[Description]],75)</f>
        <v>Transfer to PayPal</v>
      </c>
    </row>
    <row r="14981" spans="1:15" hidden="1">
      <c r="A14981" s="162">
        <v>202511</v>
      </c>
      <c r="B14981" s="163">
        <v>45971</v>
      </c>
      <c r="C14981" s="162" t="s">
        <v>2519</v>
      </c>
      <c r="D14981" s="162" t="s">
        <v>1955</v>
      </c>
      <c r="E14981" s="162">
        <v>34.17</v>
      </c>
      <c r="F14981" t="str">
        <f>IF(Table2[[#This Row],[Manual Cat Value]]="",Table2[[#This Row],[Suggested Cat Value]],VLOOKUP(Table2[[#This Row],[Manual Cat Value]],Lookup!G:H,2,0))</f>
        <v>Shopping</v>
      </c>
      <c r="G14981" t="str">
        <f>VLOOKUP(D14981,Lookup!G:H,2,0)</f>
        <v>Shopping</v>
      </c>
      <c r="H14981" s="164"/>
      <c r="I14981" s="8"/>
      <c r="O14981" t="str">
        <f>LEFT(Table2[[#This Row],[Description]],75)</f>
        <v>Transfer to PayPal</v>
      </c>
    </row>
    <row r="14982" spans="1:15" hidden="1">
      <c r="A14982" s="165">
        <v>202511</v>
      </c>
      <c r="B14982" s="166">
        <v>45971</v>
      </c>
      <c r="C14982" s="165" t="s">
        <v>2519</v>
      </c>
      <c r="D14982" s="165" t="s">
        <v>1955</v>
      </c>
      <c r="E14982" s="165">
        <v>10</v>
      </c>
      <c r="F14982" t="str">
        <f>IF(Table2[[#This Row],[Manual Cat Value]]="",Table2[[#This Row],[Suggested Cat Value]],VLOOKUP(Table2[[#This Row],[Manual Cat Value]],Lookup!G:H,2,0))</f>
        <v>Shopping</v>
      </c>
      <c r="G14982" t="str">
        <f>VLOOKUP(D14982,Lookup!G:H,2,0)</f>
        <v>Shopping</v>
      </c>
      <c r="H14982" s="164"/>
      <c r="I14982" s="8"/>
      <c r="O14982" t="str">
        <f>LEFT(Table2[[#This Row],[Description]],75)</f>
        <v>Transfer to PayPal</v>
      </c>
    </row>
    <row r="14983" spans="1:15" hidden="1">
      <c r="A14983" s="162">
        <v>202512</v>
      </c>
      <c r="B14983" s="163">
        <v>45992</v>
      </c>
      <c r="C14983" s="162" t="s">
        <v>2519</v>
      </c>
      <c r="D14983" s="162" t="s">
        <v>7096</v>
      </c>
      <c r="E14983" s="162">
        <v>284</v>
      </c>
      <c r="F14983" t="str">
        <f>IF(Table2[[#This Row],[Manual Cat Value]]="",Table2[[#This Row],[Suggested Cat Value]],VLOOKUP(Table2[[#This Row],[Manual Cat Value]],Lookup!G:H,2,0))</f>
        <v>Shopping</v>
      </c>
      <c r="G14983" t="e">
        <f>VLOOKUP(D14983,Lookup!G:H,2,0)</f>
        <v>#N/A</v>
      </c>
      <c r="H14983" s="164" t="s">
        <v>36</v>
      </c>
      <c r="I14983" s="8"/>
      <c r="O14983" t="str">
        <f>LEFT(Table2[[#This Row],[Description]],75)</f>
        <v>Transfer to Shenzhen Shi</v>
      </c>
    </row>
    <row r="14984" spans="1:15" hidden="1">
      <c r="A14984" s="165">
        <v>202512</v>
      </c>
      <c r="B14984" s="166">
        <v>46003</v>
      </c>
      <c r="C14984" s="165" t="s">
        <v>2519</v>
      </c>
      <c r="D14984" s="165" t="s">
        <v>1958</v>
      </c>
      <c r="E14984" s="165">
        <v>125</v>
      </c>
      <c r="F14984" t="str">
        <f>IF(Table2[[#This Row],[Manual Cat Value]]="",Table2[[#This Row],[Suggested Cat Value]],VLOOKUP(Table2[[#This Row],[Manual Cat Value]],Lookup!G:H,2,0))</f>
        <v>Travel</v>
      </c>
      <c r="G14984" t="str">
        <f>VLOOKUP(D14984,Lookup!G:H,2,0)</f>
        <v>Travel</v>
      </c>
      <c r="H14984" s="164"/>
      <c r="I14984" s="8"/>
      <c r="O14984" t="str">
        <f>LEFT(Table2[[#This Row],[Description]],75)</f>
        <v>Transfer to Venmo</v>
      </c>
    </row>
    <row r="14985" spans="1:15" hidden="1">
      <c r="A14985" s="162">
        <v>202512</v>
      </c>
      <c r="B14985" s="163">
        <v>46002</v>
      </c>
      <c r="C14985" s="162" t="s">
        <v>2519</v>
      </c>
      <c r="D14985" s="162" t="s">
        <v>1958</v>
      </c>
      <c r="E14985" s="162">
        <v>195</v>
      </c>
      <c r="F14985" t="str">
        <f>IF(Table2[[#This Row],[Manual Cat Value]]="",Table2[[#This Row],[Suggested Cat Value]],VLOOKUP(Table2[[#This Row],[Manual Cat Value]],Lookup!G:H,2,0))</f>
        <v>Travel</v>
      </c>
      <c r="G14985" t="str">
        <f>VLOOKUP(D14985,Lookup!G:H,2,0)</f>
        <v>Travel</v>
      </c>
      <c r="H14985" s="164"/>
      <c r="I14985" s="8"/>
      <c r="O14985" t="str">
        <f>LEFT(Table2[[#This Row],[Description]],75)</f>
        <v>Transfer to Venmo</v>
      </c>
    </row>
    <row r="14986" spans="1:15" hidden="1">
      <c r="A14986" s="165">
        <v>202512</v>
      </c>
      <c r="B14986" s="166">
        <v>45993</v>
      </c>
      <c r="C14986" s="165" t="s">
        <v>2519</v>
      </c>
      <c r="D14986" s="165" t="s">
        <v>1958</v>
      </c>
      <c r="E14986" s="165">
        <v>155</v>
      </c>
      <c r="F14986" t="str">
        <f>IF(Table2[[#This Row],[Manual Cat Value]]="",Table2[[#This Row],[Suggested Cat Value]],VLOOKUP(Table2[[#This Row],[Manual Cat Value]],Lookup!G:H,2,0))</f>
        <v>Travel</v>
      </c>
      <c r="G14986" t="str">
        <f>VLOOKUP(D14986,Lookup!G:H,2,0)</f>
        <v>Travel</v>
      </c>
      <c r="H14986" s="164"/>
      <c r="I14986" s="8"/>
      <c r="O14986" t="str">
        <f>LEFT(Table2[[#This Row],[Description]],75)</f>
        <v>Transfer to Venmo</v>
      </c>
    </row>
    <row r="14987" spans="1:15" hidden="1">
      <c r="A14987" s="162">
        <v>202512</v>
      </c>
      <c r="B14987" s="163">
        <v>45992</v>
      </c>
      <c r="C14987" s="162" t="s">
        <v>2519</v>
      </c>
      <c r="D14987" s="162" t="s">
        <v>1958</v>
      </c>
      <c r="E14987" s="162">
        <v>62.5</v>
      </c>
      <c r="F14987" t="str">
        <f>IF(Table2[[#This Row],[Manual Cat Value]]="",Table2[[#This Row],[Suggested Cat Value]],VLOOKUP(Table2[[#This Row],[Manual Cat Value]],Lookup!G:H,2,0))</f>
        <v>Travel</v>
      </c>
      <c r="G14987" t="str">
        <f>VLOOKUP(D14987,Lookup!G:H,2,0)</f>
        <v>Travel</v>
      </c>
      <c r="H14987" s="164"/>
      <c r="I14987" s="8"/>
      <c r="O14987" t="str">
        <f>LEFT(Table2[[#This Row],[Description]],75)</f>
        <v>Transfer to Venmo</v>
      </c>
    </row>
    <row r="14988" spans="1:15" hidden="1">
      <c r="A14988" s="165">
        <v>202511</v>
      </c>
      <c r="B14988" s="166">
        <v>45975</v>
      </c>
      <c r="C14988" s="165" t="s">
        <v>2519</v>
      </c>
      <c r="D14988" s="165" t="s">
        <v>1958</v>
      </c>
      <c r="E14988" s="165">
        <v>125</v>
      </c>
      <c r="F14988" t="str">
        <f>IF(Table2[[#This Row],[Manual Cat Value]]="",Table2[[#This Row],[Suggested Cat Value]],VLOOKUP(Table2[[#This Row],[Manual Cat Value]],Lookup!G:H,2,0))</f>
        <v>Travel</v>
      </c>
      <c r="G14988" t="str">
        <f>VLOOKUP(D14988,Lookup!G:H,2,0)</f>
        <v>Travel</v>
      </c>
      <c r="H14988" s="164"/>
      <c r="I14988" s="8"/>
      <c r="O14988" t="str">
        <f>LEFT(Table2[[#This Row],[Description]],75)</f>
        <v>Transfer to Venmo</v>
      </c>
    </row>
    <row r="14989" spans="1:15" hidden="1">
      <c r="A14989" s="162">
        <v>202511</v>
      </c>
      <c r="B14989" s="163">
        <v>45974</v>
      </c>
      <c r="C14989" s="162" t="s">
        <v>2519</v>
      </c>
      <c r="D14989" s="162" t="s">
        <v>1958</v>
      </c>
      <c r="E14989" s="162">
        <v>194</v>
      </c>
      <c r="F14989" t="str">
        <f>IF(Table2[[#This Row],[Manual Cat Value]]="",Table2[[#This Row],[Suggested Cat Value]],VLOOKUP(Table2[[#This Row],[Manual Cat Value]],Lookup!G:H,2,0))</f>
        <v>Travel</v>
      </c>
      <c r="G14989" t="str">
        <f>VLOOKUP(D14989,Lookup!G:H,2,0)</f>
        <v>Travel</v>
      </c>
      <c r="H14989" s="164"/>
      <c r="I14989" s="8"/>
      <c r="O14989" t="str">
        <f>LEFT(Table2[[#This Row],[Description]],75)</f>
        <v>Transfer to Venmo</v>
      </c>
    </row>
    <row r="14990" spans="1:15" hidden="1">
      <c r="A14990" s="165">
        <v>202512</v>
      </c>
      <c r="B14990" s="166">
        <v>46019</v>
      </c>
      <c r="C14990" s="165" t="s">
        <v>130</v>
      </c>
      <c r="D14990" s="165" t="s">
        <v>7097</v>
      </c>
      <c r="E14990" s="165">
        <v>256</v>
      </c>
      <c r="F14990" t="str">
        <f>IF(Table2[[#This Row],[Manual Cat Value]]="",Table2[[#This Row],[Suggested Cat Value]],VLOOKUP(Table2[[#This Row],[Manual Cat Value]],Lookup!G:H,2,0))</f>
        <v>Travel</v>
      </c>
      <c r="G14990" t="e">
        <f>VLOOKUP(D14990,Lookup!G:H,2,0)</f>
        <v>#N/A</v>
      </c>
      <c r="H14990" s="164" t="s">
        <v>52</v>
      </c>
      <c r="I14990" s="8"/>
      <c r="O14990" t="str">
        <f>LEFT(Table2[[#This Row],[Description]],75)</f>
        <v>TROLLHAUGEN - ECOM 0DRESSER             WI</v>
      </c>
    </row>
    <row r="14991" spans="1:15" hidden="1">
      <c r="A14991" s="162">
        <v>202512</v>
      </c>
      <c r="B14991" s="163">
        <v>46012</v>
      </c>
      <c r="C14991" s="162" t="s">
        <v>130</v>
      </c>
      <c r="D14991" s="162" t="s">
        <v>7098</v>
      </c>
      <c r="E14991" s="162">
        <v>17</v>
      </c>
      <c r="F14991" t="str">
        <f>IF(Table2[[#This Row],[Manual Cat Value]]="",Table2[[#This Row],[Suggested Cat Value]],VLOOKUP(Table2[[#This Row],[Manual Cat Value]],Lookup!G:H,2,0))</f>
        <v>Restaurants</v>
      </c>
      <c r="G14991" t="e">
        <f>VLOOKUP(D14991,Lookup!G:H,2,0)</f>
        <v>#N/A</v>
      </c>
      <c r="H14991" s="164" t="s">
        <v>25</v>
      </c>
      <c r="I14991" s="8"/>
      <c r="O14991" t="str">
        <f>LEFT(Table2[[#This Row],[Description]],75)</f>
        <v>TST* BUCK '54 BAR &amp; BURNSVILLE          MN</v>
      </c>
    </row>
    <row r="14992" spans="1:15" hidden="1">
      <c r="A14992" s="165">
        <v>202512</v>
      </c>
      <c r="B14992" s="166">
        <v>46022</v>
      </c>
      <c r="C14992" s="165" t="s">
        <v>130</v>
      </c>
      <c r="D14992" s="165" t="s">
        <v>7099</v>
      </c>
      <c r="E14992" s="165">
        <v>17</v>
      </c>
      <c r="F14992" t="str">
        <f>IF(Table2[[#This Row],[Manual Cat Value]]="",Table2[[#This Row],[Suggested Cat Value]],VLOOKUP(Table2[[#This Row],[Manual Cat Value]],Lookup!G:H,2,0))</f>
        <v>Travel</v>
      </c>
      <c r="G14992" t="e">
        <f>VLOOKUP(D14992,Lookup!G:H,2,0)</f>
        <v>#N/A</v>
      </c>
      <c r="H14992" s="164" t="s">
        <v>52</v>
      </c>
      <c r="I14992" s="8"/>
      <c r="O14992" t="str">
        <f>LEFT(Table2[[#This Row],[Description]],75)</f>
        <v>TST* CHRISTIE MOUNTABRUCE               WI</v>
      </c>
    </row>
    <row r="14993" spans="1:15" hidden="1">
      <c r="A14993" s="162">
        <v>202512</v>
      </c>
      <c r="B14993" s="163">
        <v>46022</v>
      </c>
      <c r="C14993" s="162" t="s">
        <v>130</v>
      </c>
      <c r="D14993" s="162" t="s">
        <v>7099</v>
      </c>
      <c r="E14993" s="162">
        <v>17.5</v>
      </c>
      <c r="F14993" t="str">
        <f>IF(Table2[[#This Row],[Manual Cat Value]]="",Table2[[#This Row],[Suggested Cat Value]],VLOOKUP(Table2[[#This Row],[Manual Cat Value]],Lookup!G:H,2,0))</f>
        <v>Travel</v>
      </c>
      <c r="G14993" t="e">
        <f>VLOOKUP(D14993,Lookup!G:H,2,0)</f>
        <v>#N/A</v>
      </c>
      <c r="H14993" s="164" t="s">
        <v>52</v>
      </c>
      <c r="I14993" s="8"/>
      <c r="O14993" t="str">
        <f>LEFT(Table2[[#This Row],[Description]],75)</f>
        <v>TST* CHRISTIE MOUNTABRUCE               WI</v>
      </c>
    </row>
    <row r="14994" spans="1:15" hidden="1">
      <c r="A14994" s="165">
        <v>202512</v>
      </c>
      <c r="B14994" s="166">
        <v>46022</v>
      </c>
      <c r="C14994" s="165" t="s">
        <v>130</v>
      </c>
      <c r="D14994" s="165" t="s">
        <v>7099</v>
      </c>
      <c r="E14994" s="165">
        <v>94.94</v>
      </c>
      <c r="F14994" t="str">
        <f>IF(Table2[[#This Row],[Manual Cat Value]]="",Table2[[#This Row],[Suggested Cat Value]],VLOOKUP(Table2[[#This Row],[Manual Cat Value]],Lookup!G:H,2,0))</f>
        <v>Travel</v>
      </c>
      <c r="G14994" t="e">
        <f>VLOOKUP(D14994,Lookup!G:H,2,0)</f>
        <v>#N/A</v>
      </c>
      <c r="H14994" s="164" t="s">
        <v>52</v>
      </c>
      <c r="I14994" s="8"/>
      <c r="O14994" t="str">
        <f>LEFT(Table2[[#This Row],[Description]],75)</f>
        <v>TST* CHRISTIE MOUNTABRUCE               WI</v>
      </c>
    </row>
    <row r="14995" spans="1:15" hidden="1">
      <c r="A14995" s="162">
        <v>202511</v>
      </c>
      <c r="B14995" s="163">
        <v>45979</v>
      </c>
      <c r="C14995" s="162" t="s">
        <v>130</v>
      </c>
      <c r="D14995" s="162" t="s">
        <v>7100</v>
      </c>
      <c r="E14995" s="162">
        <v>158.9</v>
      </c>
      <c r="F14995" t="str">
        <f>IF(Table2[[#This Row],[Manual Cat Value]]="",Table2[[#This Row],[Suggested Cat Value]],VLOOKUP(Table2[[#This Row],[Manual Cat Value]],Lookup!G:H,2,0))</f>
        <v>Restaurants</v>
      </c>
      <c r="G14995" t="e">
        <f>VLOOKUP(D14995,Lookup!G:H,2,0)</f>
        <v>#N/A</v>
      </c>
      <c r="H14995" s="164" t="s">
        <v>25</v>
      </c>
      <c r="I14995" s="8"/>
      <c r="O14995" t="str">
        <f>LEFT(Table2[[#This Row],[Description]],75)</f>
        <v>TST* HEATHERS 2 0019MINNETONKA          MN</v>
      </c>
    </row>
    <row r="14996" spans="1:15" hidden="1">
      <c r="A14996" s="165">
        <v>202511</v>
      </c>
      <c r="B14996" s="166">
        <v>45970</v>
      </c>
      <c r="C14996" s="165" t="s">
        <v>130</v>
      </c>
      <c r="D14996" s="165" t="s">
        <v>7101</v>
      </c>
      <c r="E14996" s="165">
        <v>33.31</v>
      </c>
      <c r="F14996" t="str">
        <f>IF(Table2[[#This Row],[Manual Cat Value]]="",Table2[[#This Row],[Suggested Cat Value]],VLOOKUP(Table2[[#This Row],[Manual Cat Value]],Lookup!G:H,2,0))</f>
        <v>Restaurants</v>
      </c>
      <c r="G14996" t="e">
        <f>VLOOKUP(D14996,Lookup!G:H,2,0)</f>
        <v>#N/A</v>
      </c>
      <c r="H14996" s="164" t="s">
        <v>25</v>
      </c>
      <c r="I14996" s="8"/>
      <c r="O14996" t="str">
        <f>LEFT(Table2[[#This Row],[Description]],75)</f>
        <v>TST* JACK &amp; GINGERS AUSTIN              TX</v>
      </c>
    </row>
    <row r="14997" spans="1:15" hidden="1">
      <c r="A14997" s="162">
        <v>202512</v>
      </c>
      <c r="B14997" s="163">
        <v>46007</v>
      </c>
      <c r="C14997" s="162" t="s">
        <v>130</v>
      </c>
      <c r="D14997" s="162" t="s">
        <v>7102</v>
      </c>
      <c r="E14997" s="162">
        <v>59.04</v>
      </c>
      <c r="F14997" t="str">
        <f>IF(Table2[[#This Row],[Manual Cat Value]]="",Table2[[#This Row],[Suggested Cat Value]],VLOOKUP(Table2[[#This Row],[Manual Cat Value]],Lookup!G:H,2,0))</f>
        <v>Restaurants</v>
      </c>
      <c r="G14997" t="e">
        <f>VLOOKUP(D14997,Lookup!G:H,2,0)</f>
        <v>#N/A</v>
      </c>
      <c r="H14997" s="164" t="s">
        <v>25</v>
      </c>
      <c r="I14997" s="8"/>
      <c r="O14997" t="str">
        <f>LEFT(Table2[[#This Row],[Description]],75)</f>
        <v>TST* MCCORMICKS PUB WAYZATA             MN</v>
      </c>
    </row>
    <row r="14998" spans="1:15" hidden="1">
      <c r="A14998" s="165">
        <v>202511</v>
      </c>
      <c r="B14998" s="166">
        <v>45984</v>
      </c>
      <c r="C14998" s="165" t="s">
        <v>130</v>
      </c>
      <c r="D14998" s="165" t="s">
        <v>6605</v>
      </c>
      <c r="E14998" s="165">
        <v>65.13</v>
      </c>
      <c r="F14998" t="str">
        <f>IF(Table2[[#This Row],[Manual Cat Value]]="",Table2[[#This Row],[Suggested Cat Value]],VLOOKUP(Table2[[#This Row],[Manual Cat Value]],Lookup!G:H,2,0))</f>
        <v>Restaurants</v>
      </c>
      <c r="G14998" t="e">
        <f>VLOOKUP(D14998,Lookup!G:H,2,0)</f>
        <v>#N/A</v>
      </c>
      <c r="H14998" s="164" t="s">
        <v>25</v>
      </c>
      <c r="I14998" s="8"/>
      <c r="O14998" t="str">
        <f>LEFT(Table2[[#This Row],[Description]],75)</f>
        <v>TST* MIRABELLE &amp; PAREXCELSIOR           MN</v>
      </c>
    </row>
    <row r="14999" spans="1:15" hidden="1">
      <c r="A14999" s="162">
        <v>202512</v>
      </c>
      <c r="B14999" s="163">
        <v>46011</v>
      </c>
      <c r="C14999" s="162" t="s">
        <v>130</v>
      </c>
      <c r="D14999" s="162" t="s">
        <v>6204</v>
      </c>
      <c r="E14999" s="162">
        <v>35.75</v>
      </c>
      <c r="F14999" t="str">
        <f>IF(Table2[[#This Row],[Manual Cat Value]]="",Table2[[#This Row],[Suggested Cat Value]],VLOOKUP(Table2[[#This Row],[Manual Cat Value]],Lookup!G:H,2,0))</f>
        <v>Restaurants</v>
      </c>
      <c r="G14999" t="e">
        <f>VLOOKUP(D14999,Lookup!G:H,2,0)</f>
        <v>#N/A</v>
      </c>
      <c r="H14999" s="164" t="s">
        <v>25</v>
      </c>
      <c r="I14999" s="8"/>
      <c r="O14999" t="str">
        <f>LEFT(Table2[[#This Row],[Description]],75)</f>
        <v>TST* RED COW - WAYZAWAYZATA             MN</v>
      </c>
    </row>
    <row r="15000" spans="1:15" hidden="1">
      <c r="A15000" s="165">
        <v>202512</v>
      </c>
      <c r="B15000" s="166">
        <v>46011</v>
      </c>
      <c r="C15000" s="165" t="s">
        <v>130</v>
      </c>
      <c r="D15000" s="165" t="s">
        <v>6204</v>
      </c>
      <c r="E15000" s="165">
        <v>117.64</v>
      </c>
      <c r="F15000" t="str">
        <f>IF(Table2[[#This Row],[Manual Cat Value]]="",Table2[[#This Row],[Suggested Cat Value]],VLOOKUP(Table2[[#This Row],[Manual Cat Value]],Lookup!G:H,2,0))</f>
        <v>Restaurants</v>
      </c>
      <c r="G15000" t="e">
        <f>VLOOKUP(D15000,Lookup!G:H,2,0)</f>
        <v>#N/A</v>
      </c>
      <c r="H15000" s="164" t="s">
        <v>25</v>
      </c>
      <c r="I15000" s="8"/>
      <c r="O15000" t="str">
        <f>LEFT(Table2[[#This Row],[Description]],75)</f>
        <v>TST* RED COW - WAYZAWAYZATA             MN</v>
      </c>
    </row>
    <row r="15001" spans="1:15" hidden="1">
      <c r="A15001" s="162">
        <v>202511</v>
      </c>
      <c r="B15001" s="163">
        <v>45983</v>
      </c>
      <c r="C15001" s="162" t="s">
        <v>130</v>
      </c>
      <c r="D15001" s="162" t="s">
        <v>7103</v>
      </c>
      <c r="E15001" s="162">
        <v>230.86</v>
      </c>
      <c r="F15001" t="str">
        <f>IF(Table2[[#This Row],[Manual Cat Value]]="",Table2[[#This Row],[Suggested Cat Value]],VLOOKUP(Table2[[#This Row],[Manual Cat Value]],Lookup!G:H,2,0))</f>
        <v>Restaurants</v>
      </c>
      <c r="G15001" t="e">
        <f>VLOOKUP(D15001,Lookup!G:H,2,0)</f>
        <v>#N/A</v>
      </c>
      <c r="H15001" s="164" t="s">
        <v>25</v>
      </c>
      <c r="I15001" s="8"/>
      <c r="O15001" t="str">
        <f>LEFT(Table2[[#This Row],[Description]],75)</f>
        <v>TST* VAGABONDO 00245EXCELSIOR           MN</v>
      </c>
    </row>
    <row r="15002" spans="1:15" hidden="1">
      <c r="A15002" s="165">
        <v>202512</v>
      </c>
      <c r="B15002" s="166">
        <v>45997</v>
      </c>
      <c r="C15002" s="165" t="s">
        <v>130</v>
      </c>
      <c r="D15002" s="165" t="s">
        <v>6698</v>
      </c>
      <c r="E15002" s="165">
        <v>40.07</v>
      </c>
      <c r="F15002" t="str">
        <f>IF(Table2[[#This Row],[Manual Cat Value]]="",Table2[[#This Row],[Suggested Cat Value]],VLOOKUP(Table2[[#This Row],[Manual Cat Value]],Lookup!G:H,2,0))</f>
        <v>Transportation</v>
      </c>
      <c r="G15002" t="str">
        <f>VLOOKUP(D15002,Lookup!G:H,2,0)</f>
        <v>Transportation</v>
      </c>
      <c r="H15002" s="164"/>
      <c r="I15002" s="8"/>
      <c r="O15002" t="str">
        <f>LEFT(Table2[[#This Row],[Description]],75)</f>
        <v>UBER</v>
      </c>
    </row>
    <row r="15003" spans="1:15" hidden="1">
      <c r="A15003" s="162">
        <v>202512</v>
      </c>
      <c r="B15003" s="163">
        <v>46005</v>
      </c>
      <c r="C15003" s="162" t="s">
        <v>130</v>
      </c>
      <c r="D15003" s="162" t="s">
        <v>6344</v>
      </c>
      <c r="E15003" s="162">
        <v>70</v>
      </c>
      <c r="F15003" t="str">
        <f>IF(Table2[[#This Row],[Manual Cat Value]]="",Table2[[#This Row],[Suggested Cat Value]],VLOOKUP(Table2[[#This Row],[Manual Cat Value]],Lookup!G:H,2,0))</f>
        <v>Day Care</v>
      </c>
      <c r="G15003" t="e">
        <f>VLOOKUP(D15003,Lookup!G:H,2,0)</f>
        <v>#N/A</v>
      </c>
      <c r="H15003" s="164" t="s">
        <v>19</v>
      </c>
      <c r="I15003" s="8"/>
      <c r="O15003" t="str">
        <f>LEFT(Table2[[#This Row],[Description]],75)</f>
        <v>US LACROSSE, INC    BALTIMORE           MA</v>
      </c>
    </row>
    <row r="15004" spans="1:15" hidden="1">
      <c r="A15004" s="165">
        <v>202511</v>
      </c>
      <c r="B15004" s="166">
        <v>45985</v>
      </c>
      <c r="C15004" s="165" t="s">
        <v>130</v>
      </c>
      <c r="D15004" s="165" t="s">
        <v>7104</v>
      </c>
      <c r="E15004" s="165">
        <v>62.4</v>
      </c>
      <c r="F15004" t="str">
        <f>IF(Table2[[#This Row],[Manual Cat Value]]="",Table2[[#This Row],[Suggested Cat Value]],VLOOKUP(Table2[[#This Row],[Manual Cat Value]],Lookup!G:H,2,0))</f>
        <v>Misc</v>
      </c>
      <c r="G15004" t="e">
        <f>VLOOKUP(D15004,Lookup!G:H,2,0)</f>
        <v>#N/A</v>
      </c>
      <c r="H15004" s="164" t="s">
        <v>46</v>
      </c>
      <c r="I15004" s="8"/>
      <c r="O15004" t="str">
        <f>LEFT(Table2[[#This Row],[Description]],75)</f>
        <v>USPS PO 2630600331 0EXCELSIOR           MN</v>
      </c>
    </row>
    <row r="15005" spans="1:15">
      <c r="A15005" s="162">
        <v>202512</v>
      </c>
      <c r="B15005" s="163">
        <v>46007</v>
      </c>
      <c r="C15005" s="162" t="s">
        <v>3938</v>
      </c>
      <c r="D15005" s="162" t="s">
        <v>4002</v>
      </c>
      <c r="E15005" s="162">
        <v>4.3600000000000003</v>
      </c>
      <c r="F15005" t="str">
        <f>IF(Table2[[#This Row],[Manual Cat Value]]="",Table2[[#This Row],[Suggested Cat Value]],VLOOKUP(Table2[[#This Row],[Manual Cat Value]],Lookup!G:H,2,0))</f>
        <v>Utilities</v>
      </c>
      <c r="G15005" t="e">
        <f>VLOOKUP(D15005,Lookup!G:H,2,0)</f>
        <v>#N/A</v>
      </c>
      <c r="H15005" s="164" t="s">
        <v>6</v>
      </c>
      <c r="I15005" s="8"/>
      <c r="O15005" t="str">
        <f>LEFT(Table2[[#This Row],[Description]],75)</f>
        <v>Wall Street Journal</v>
      </c>
    </row>
    <row r="15006" spans="1:15">
      <c r="A15006" s="165">
        <v>202511</v>
      </c>
      <c r="B15006" s="166">
        <v>45979</v>
      </c>
      <c r="C15006" s="165" t="s">
        <v>3938</v>
      </c>
      <c r="D15006" s="165" t="s">
        <v>4002</v>
      </c>
      <c r="E15006" s="165">
        <v>4.3600000000000003</v>
      </c>
      <c r="F15006" t="str">
        <f>IF(Table2[[#This Row],[Manual Cat Value]]="",Table2[[#This Row],[Suggested Cat Value]],VLOOKUP(Table2[[#This Row],[Manual Cat Value]],Lookup!G:H,2,0))</f>
        <v>Utilities</v>
      </c>
      <c r="G15006" t="e">
        <f>VLOOKUP(D15006,Lookup!G:H,2,0)</f>
        <v>#N/A</v>
      </c>
      <c r="H15006" s="164" t="s">
        <v>6</v>
      </c>
      <c r="I15006" s="8"/>
      <c r="O15006" t="str">
        <f>LEFT(Table2[[#This Row],[Description]],75)</f>
        <v>Wall Street Journal</v>
      </c>
    </row>
    <row r="15007" spans="1:15" hidden="1">
      <c r="A15007" s="162">
        <v>202512</v>
      </c>
      <c r="B15007" s="163">
        <v>46012</v>
      </c>
      <c r="C15007" s="162" t="s">
        <v>130</v>
      </c>
      <c r="D15007" s="162" t="s">
        <v>7105</v>
      </c>
      <c r="E15007" s="162">
        <v>10.91</v>
      </c>
      <c r="F15007" t="str">
        <f>IF(Table2[[#This Row],[Manual Cat Value]]="",Table2[[#This Row],[Suggested Cat Value]],VLOOKUP(Table2[[#This Row],[Manual Cat Value]],Lookup!G:H,2,0))</f>
        <v>Transportation</v>
      </c>
      <c r="G15007" t="e">
        <f>VLOOKUP(D15007,Lookup!G:H,2,0)</f>
        <v>#N/A</v>
      </c>
      <c r="H15007" s="164" t="s">
        <v>22</v>
      </c>
      <c r="I15007" s="8"/>
      <c r="O15007" t="str">
        <f>LEFT(Table2[[#This Row],[Description]],75)</f>
        <v>WATERWERKS CAR WASH MINNEAPOLIS         MN</v>
      </c>
    </row>
    <row r="15008" spans="1:15" hidden="1">
      <c r="A15008" s="165">
        <v>202511</v>
      </c>
      <c r="B15008" s="166">
        <v>45987</v>
      </c>
      <c r="C15008" s="165" t="s">
        <v>130</v>
      </c>
      <c r="D15008" s="165" t="s">
        <v>7106</v>
      </c>
      <c r="E15008" s="165">
        <v>19.239999999999998</v>
      </c>
      <c r="F15008" t="str">
        <f>IF(Table2[[#This Row],[Manual Cat Value]]="",Table2[[#This Row],[Suggested Cat Value]],VLOOKUP(Table2[[#This Row],[Manual Cat Value]],Lookup!G:H,2,0))</f>
        <v>Restaurants</v>
      </c>
      <c r="G15008" t="e">
        <f>VLOOKUP(D15008,Lookup!G:H,2,0)</f>
        <v>#N/A</v>
      </c>
      <c r="H15008" s="164" t="s">
        <v>25</v>
      </c>
      <c r="I15008" s="8"/>
      <c r="O15008" t="str">
        <f>LEFT(Table2[[#This Row],[Description]],75)</f>
        <v>WENDY S 419 00000041CHANHASSEN          MN</v>
      </c>
    </row>
    <row r="15009" spans="1:15" hidden="1">
      <c r="A15009" s="162">
        <v>202512</v>
      </c>
      <c r="B15009" s="163">
        <v>45992</v>
      </c>
      <c r="C15009" s="162" t="s">
        <v>130</v>
      </c>
      <c r="D15009" s="162" t="s">
        <v>7107</v>
      </c>
      <c r="E15009" s="162">
        <v>59.88</v>
      </c>
      <c r="F15009" t="str">
        <f>IF(Table2[[#This Row],[Manual Cat Value]]="",Table2[[#This Row],[Suggested Cat Value]],VLOOKUP(Table2[[#This Row],[Manual Cat Value]],Lookup!G:H,2,0))</f>
        <v>Shopping</v>
      </c>
      <c r="G15009" t="e">
        <f>VLOOKUP(D15009,Lookup!G:H,2,0)</f>
        <v>#N/A</v>
      </c>
      <c r="H15009" s="164" t="s">
        <v>36</v>
      </c>
      <c r="I15009" s="8"/>
      <c r="O15009" t="str">
        <f>LEFT(Table2[[#This Row],[Description]],75)</f>
        <v>WESTELM.COM         866-937-8356        CA</v>
      </c>
    </row>
    <row r="15010" spans="1:15" hidden="1">
      <c r="A15010" s="165">
        <v>202512</v>
      </c>
      <c r="B15010" s="166">
        <v>46015</v>
      </c>
      <c r="C15010" s="165" t="s">
        <v>2258</v>
      </c>
      <c r="D15010" s="165" t="s">
        <v>7108</v>
      </c>
      <c r="E15010" s="165">
        <v>100</v>
      </c>
      <c r="F15010" t="str">
        <f>IF(Table2[[#This Row],[Manual Cat Value]]="",Table2[[#This Row],[Suggested Cat Value]],VLOOKUP(Table2[[#This Row],[Manual Cat Value]],Lookup!G:H,2,0))</f>
        <v>Gifts</v>
      </c>
      <c r="G15010" t="e">
        <f>VLOOKUP(D15010,Lookup!G:H,2,0)</f>
        <v>#N/A</v>
      </c>
      <c r="H15010" s="164" t="s">
        <v>44</v>
      </c>
      <c r="I15010" s="8"/>
      <c r="O15010" t="str">
        <f>LEFT(Table2[[#This Row],[Description]],75)</f>
        <v>WESTWOODCC.ORG 9522247300 MNAPPLE PAY ENDING IN 4748</v>
      </c>
    </row>
    <row r="15011" spans="1:15" hidden="1">
      <c r="A15011" s="162">
        <v>202511</v>
      </c>
      <c r="B15011" s="163">
        <v>45970</v>
      </c>
      <c r="C15011" s="162" t="s">
        <v>130</v>
      </c>
      <c r="D15011" s="162" t="s">
        <v>7109</v>
      </c>
      <c r="E15011" s="162">
        <v>43.58</v>
      </c>
      <c r="F15011" t="str">
        <f>IF(Table2[[#This Row],[Manual Cat Value]]="",Table2[[#This Row],[Suggested Cat Value]],VLOOKUP(Table2[[#This Row],[Manual Cat Value]],Lookup!G:H,2,0))</f>
        <v>Restaurants</v>
      </c>
      <c r="G15011" t="e">
        <f>VLOOKUP(D15011,Lookup!G:H,2,0)</f>
        <v>#N/A</v>
      </c>
      <c r="H15011" s="164" t="s">
        <v>25</v>
      </c>
      <c r="I15011" s="8"/>
      <c r="O15011" t="str">
        <f>LEFT(Table2[[#This Row],[Description]],75)</f>
        <v>WILD RUMPUS 25233553MINNEAPOLIS         MN</v>
      </c>
    </row>
    <row r="15012" spans="1:15" hidden="1">
      <c r="A15012" s="165">
        <v>202512</v>
      </c>
      <c r="B15012" s="166">
        <v>46013</v>
      </c>
      <c r="C15012" s="165" t="s">
        <v>3938</v>
      </c>
      <c r="D15012" s="165" t="s">
        <v>7110</v>
      </c>
      <c r="E15012" s="165">
        <v>57.11</v>
      </c>
      <c r="F15012" t="str">
        <f>IF(Table2[[#This Row],[Manual Cat Value]]="",Table2[[#This Row],[Suggested Cat Value]],VLOOKUP(Table2[[#This Row],[Manual Cat Value]],Lookup!G:H,2,0))</f>
        <v>Restaurants</v>
      </c>
      <c r="G15012" t="e">
        <f>VLOOKUP(D15012,Lookup!G:H,2,0)</f>
        <v>#N/A</v>
      </c>
      <c r="H15012" s="164" t="s">
        <v>25</v>
      </c>
      <c r="I15012" s="8"/>
      <c r="O15012" t="str">
        <f>LEFT(Table2[[#This Row],[Description]],75)</f>
        <v>WINCHESTER AND RYE VICTORIA MN REF #XX2300B479SKV74G</v>
      </c>
    </row>
    <row r="15013" spans="1:15" hidden="1">
      <c r="A15013" s="162">
        <v>202512</v>
      </c>
      <c r="B15013" s="163">
        <v>46013</v>
      </c>
      <c r="C15013" s="162" t="s">
        <v>2519</v>
      </c>
      <c r="D15013" s="162" t="s">
        <v>7111</v>
      </c>
      <c r="E15013" s="162">
        <v>59.59</v>
      </c>
      <c r="F15013" t="str">
        <f>IF(Table2[[#This Row],[Manual Cat Value]]="",Table2[[#This Row],[Suggested Cat Value]],VLOOKUP(Table2[[#This Row],[Manual Cat Value]],Lookup!G:H,2,0))</f>
        <v>Delete</v>
      </c>
      <c r="G15013" t="e">
        <f>VLOOKUP(D15013,Lookup!G:H,2,0)</f>
        <v>#N/A</v>
      </c>
      <c r="H15013" s="164" t="s">
        <v>9</v>
      </c>
      <c r="I15013" s="8"/>
      <c r="O15013" t="str">
        <f>LEFT(Table2[[#This Row],[Description]],75)</f>
        <v>Withdrawal ACH CITY OF CHANHASS TYPE: UTIL BILL ID: XX5331 CO: CITY OF CHAN</v>
      </c>
    </row>
    <row r="15014" spans="1:15" hidden="1">
      <c r="A15014" s="165">
        <v>202511</v>
      </c>
      <c r="B15014" s="166">
        <v>45982</v>
      </c>
      <c r="C15014" s="165" t="s">
        <v>2519</v>
      </c>
      <c r="D15014" s="165" t="s">
        <v>7112</v>
      </c>
      <c r="E15014" s="165">
        <v>74.03</v>
      </c>
      <c r="F15014" t="str">
        <f>IF(Table2[[#This Row],[Manual Cat Value]]="",Table2[[#This Row],[Suggested Cat Value]],VLOOKUP(Table2[[#This Row],[Manual Cat Value]],Lookup!G:H,2,0))</f>
        <v>Delete</v>
      </c>
      <c r="G15014" t="e">
        <f>VLOOKUP(D15014,Lookup!G:H,2,0)</f>
        <v>#N/A</v>
      </c>
      <c r="H15014" s="164" t="s">
        <v>9</v>
      </c>
      <c r="I15014" s="8"/>
      <c r="O15014" t="str">
        <f>LEFT(Table2[[#This Row],[Description]],75)</f>
        <v>Withdrawal ACH CITY OF CHANHASS TYPE: UTIL BILL ID: XX5331 CO: CITY OF CHAN</v>
      </c>
    </row>
    <row r="15015" spans="1:15" hidden="1">
      <c r="A15015" s="162">
        <v>202511</v>
      </c>
      <c r="B15015" s="163">
        <v>45987</v>
      </c>
      <c r="C15015" s="162" t="s">
        <v>2519</v>
      </c>
      <c r="D15015" s="162" t="s">
        <v>7113</v>
      </c>
      <c r="E15015" s="162">
        <v>800</v>
      </c>
      <c r="F15015" t="str">
        <f>IF(Table2[[#This Row],[Manual Cat Value]]="",Table2[[#This Row],[Suggested Cat Value]],VLOOKUP(Table2[[#This Row],[Manual Cat Value]],Lookup!G:H,2,0))</f>
        <v>Delete</v>
      </c>
      <c r="G15015" t="e">
        <f>VLOOKUP(D15015,Lookup!G:H,2,0)</f>
        <v>#N/A</v>
      </c>
      <c r="H15015" s="164" t="s">
        <v>9</v>
      </c>
      <c r="I15015" s="8"/>
      <c r="O15015" t="str">
        <f>LEFT(Table2[[#This Row],[Description]],75)</f>
        <v>Withdrawal ACH Discover (CONA) TYPE: NET/MOBILE ID: XX0271 CO: Discover (CO</v>
      </c>
    </row>
    <row r="15016" spans="1:15" hidden="1">
      <c r="A15016" s="165">
        <v>202512</v>
      </c>
      <c r="B15016" s="166">
        <v>45992</v>
      </c>
      <c r="C15016" s="165" t="s">
        <v>2519</v>
      </c>
      <c r="D15016" s="165" t="s">
        <v>7114</v>
      </c>
      <c r="E15016" s="165">
        <v>650</v>
      </c>
      <c r="F15016" t="str">
        <f>IF(Table2[[#This Row],[Manual Cat Value]]="",Table2[[#This Row],[Suggested Cat Value]],VLOOKUP(Table2[[#This Row],[Manual Cat Value]],Lookup!G:H,2,0))</f>
        <v>Delete</v>
      </c>
      <c r="G15016" t="e">
        <f>VLOOKUP(D15016,Lookup!G:H,2,0)</f>
        <v>#N/A</v>
      </c>
      <c r="H15016" s="164" t="s">
        <v>9</v>
      </c>
      <c r="I15016" s="8"/>
      <c r="O15016" t="str">
        <f>LEFT(Table2[[#This Row],[Description]],75)</f>
        <v>Withdrawal ACH ILD529 DIR ACH TYPE: CONTRIB ID: XX2584 CO: ILD529 DIR ACH E</v>
      </c>
    </row>
    <row r="15017" spans="1:15" hidden="1">
      <c r="A15017" s="162">
        <v>202512</v>
      </c>
      <c r="B15017" s="163">
        <v>46021</v>
      </c>
      <c r="C15017" s="162" t="s">
        <v>2519</v>
      </c>
      <c r="D15017" s="162" t="s">
        <v>7115</v>
      </c>
      <c r="E15017" s="162">
        <v>100</v>
      </c>
      <c r="F15017" t="str">
        <f>IF(Table2[[#This Row],[Manual Cat Value]]="",Table2[[#This Row],[Suggested Cat Value]],VLOOKUP(Table2[[#This Row],[Manual Cat Value]],Lookup!G:H,2,0))</f>
        <v>Delete</v>
      </c>
      <c r="G15017" t="e">
        <f>VLOOKUP(D15017,Lookup!G:H,2,0)</f>
        <v>#N/A</v>
      </c>
      <c r="H15017" s="164" t="s">
        <v>9</v>
      </c>
      <c r="I15017" s="8"/>
      <c r="O15017" t="str">
        <f>LEFT(Table2[[#This Row],[Description]],75)</f>
        <v>Withdrawal ACH ILD529 DIR ACH TYPE: CONTRIB ID: XX2584 CO: ILD529 DIR ACH N</v>
      </c>
    </row>
    <row r="15018" spans="1:15" hidden="1">
      <c r="A15018" s="165">
        <v>202511</v>
      </c>
      <c r="B15018" s="166">
        <v>45979</v>
      </c>
      <c r="C15018" s="165" t="s">
        <v>2519</v>
      </c>
      <c r="D15018" s="165" t="s">
        <v>7116</v>
      </c>
      <c r="E15018" s="165">
        <v>650</v>
      </c>
      <c r="F15018" t="str">
        <f>IF(Table2[[#This Row],[Manual Cat Value]]="",Table2[[#This Row],[Suggested Cat Value]],VLOOKUP(Table2[[#This Row],[Manual Cat Value]],Lookup!G:H,2,0))</f>
        <v>Delete</v>
      </c>
      <c r="G15018" t="e">
        <f>VLOOKUP(D15018,Lookup!G:H,2,0)</f>
        <v>#N/A</v>
      </c>
      <c r="H15018" s="164" t="s">
        <v>9</v>
      </c>
      <c r="I15018" s="8"/>
      <c r="O15018" t="str">
        <f>LEFT(Table2[[#This Row],[Description]],75)</f>
        <v>Withdrawal ACH MN DIR ACH TYPE: CONTRIB ID: XX7162 CO: MN DIR ACH NAME: XX2</v>
      </c>
    </row>
    <row r="15019" spans="1:15" hidden="1">
      <c r="A15019" s="162">
        <v>202512</v>
      </c>
      <c r="B15019" s="163">
        <v>46021</v>
      </c>
      <c r="C15019" s="162" t="s">
        <v>2519</v>
      </c>
      <c r="D15019" s="162" t="s">
        <v>7117</v>
      </c>
      <c r="E15019" s="162">
        <v>100</v>
      </c>
      <c r="F15019" t="str">
        <f>IF(Table2[[#This Row],[Manual Cat Value]]="",Table2[[#This Row],[Suggested Cat Value]],VLOOKUP(Table2[[#This Row],[Manual Cat Value]],Lookup!G:H,2,0))</f>
        <v>Delete</v>
      </c>
      <c r="G15019" t="e">
        <f>VLOOKUP(D15019,Lookup!G:H,2,0)</f>
        <v>#N/A</v>
      </c>
      <c r="H15019" s="164" t="s">
        <v>9</v>
      </c>
      <c r="I15019" s="8"/>
      <c r="O15019" t="str">
        <f>LEFT(Table2[[#This Row],[Description]],75)</f>
        <v>Withdrawal ACH MN DIR ACH TYPE: CONTRIB ID: XX7162 CO: MN DIR ACH NAME: XX2</v>
      </c>
    </row>
    <row r="15020" spans="1:15" hidden="1">
      <c r="A15020" s="165">
        <v>202512</v>
      </c>
      <c r="B15020" s="166">
        <v>46009</v>
      </c>
      <c r="C15020" s="165" t="s">
        <v>2519</v>
      </c>
      <c r="D15020" s="165" t="s">
        <v>7118</v>
      </c>
      <c r="E15020" s="165">
        <v>650</v>
      </c>
      <c r="F15020" t="str">
        <f>IF(Table2[[#This Row],[Manual Cat Value]]="",Table2[[#This Row],[Suggested Cat Value]],VLOOKUP(Table2[[#This Row],[Manual Cat Value]],Lookup!G:H,2,0))</f>
        <v>Delete</v>
      </c>
      <c r="G15020" t="e">
        <f>VLOOKUP(D15020,Lookup!G:H,2,0)</f>
        <v>#N/A</v>
      </c>
      <c r="H15020" s="164" t="s">
        <v>9</v>
      </c>
      <c r="I15020" s="8"/>
      <c r="O15020" t="str">
        <f>LEFT(Table2[[#This Row],[Description]],75)</f>
        <v>Withdrawal ACH MN DIR ACH TYPE: CONTRIB ID: XX7162 CO: MN DIR ACH NAME: XX2</v>
      </c>
    </row>
    <row r="15021" spans="1:15" hidden="1">
      <c r="A15021" s="162">
        <v>202512</v>
      </c>
      <c r="B15021" s="163">
        <v>46006</v>
      </c>
      <c r="C15021" s="162" t="s">
        <v>2519</v>
      </c>
      <c r="D15021" s="162" t="s">
        <v>7119</v>
      </c>
      <c r="E15021" s="162">
        <v>385</v>
      </c>
      <c r="F15021" t="str">
        <f>IF(Table2[[#This Row],[Manual Cat Value]]="",Table2[[#This Row],[Suggested Cat Value]],VLOOKUP(Table2[[#This Row],[Manual Cat Value]],Lookup!G:H,2,0))</f>
        <v>Delete</v>
      </c>
      <c r="G15021" t="e">
        <f>VLOOKUP(D15021,Lookup!G:H,2,0)</f>
        <v>#N/A</v>
      </c>
      <c r="H15021" s="164" t="s">
        <v>9</v>
      </c>
      <c r="I15021" s="8"/>
      <c r="O15021" t="str">
        <f>LEFT(Table2[[#This Row],[Description]],75)</f>
        <v>Withdrawal ACH mtkalax.org TYPE: mtkalax.or ID: XX5600 CO: mtkalax.org NAME</v>
      </c>
    </row>
    <row r="15022" spans="1:15" hidden="1">
      <c r="A15022" s="165">
        <v>202512</v>
      </c>
      <c r="B15022" s="166">
        <v>46006</v>
      </c>
      <c r="C15022" s="165" t="s">
        <v>2519</v>
      </c>
      <c r="D15022" s="165" t="s">
        <v>7120</v>
      </c>
      <c r="E15022" s="165">
        <v>485</v>
      </c>
      <c r="F15022" t="str">
        <f>IF(Table2[[#This Row],[Manual Cat Value]]="",Table2[[#This Row],[Suggested Cat Value]],VLOOKUP(Table2[[#This Row],[Manual Cat Value]],Lookup!G:H,2,0))</f>
        <v>Delete</v>
      </c>
      <c r="G15022" t="e">
        <f>VLOOKUP(D15022,Lookup!G:H,2,0)</f>
        <v>#N/A</v>
      </c>
      <c r="H15022" s="164" t="s">
        <v>9</v>
      </c>
      <c r="I15022" s="8"/>
      <c r="O15022" t="str">
        <f>LEFT(Table2[[#This Row],[Description]],75)</f>
        <v>Withdrawal ACH mtkalax.org TYPE: mtkalax.or ID: XX8598 CO: mtkalax.org NAME</v>
      </c>
    </row>
    <row r="15023" spans="1:15" hidden="1">
      <c r="A15023" s="162">
        <v>202512</v>
      </c>
      <c r="B15023" s="163">
        <v>46006</v>
      </c>
      <c r="C15023" s="162" t="s">
        <v>2519</v>
      </c>
      <c r="D15023" s="162" t="s">
        <v>7121</v>
      </c>
      <c r="E15023" s="162">
        <v>100</v>
      </c>
      <c r="F15023" t="str">
        <f>IF(Table2[[#This Row],[Manual Cat Value]]="",Table2[[#This Row],[Suggested Cat Value]],VLOOKUP(Table2[[#This Row],[Manual Cat Value]],Lookup!G:H,2,0))</f>
        <v>Delete</v>
      </c>
      <c r="G15023" t="e">
        <f>VLOOKUP(D15023,Lookup!G:H,2,0)</f>
        <v>#N/A</v>
      </c>
      <c r="H15023" s="164" t="s">
        <v>9</v>
      </c>
      <c r="I15023" s="8"/>
      <c r="O15023" t="str">
        <f>LEFT(Table2[[#This Row],[Description]],75)</f>
        <v>Withdrawal ACH mtkalax.org TYPE: mtkalax.or ID: XX8598 CO: mtkalax.org NAME</v>
      </c>
    </row>
    <row r="15024" spans="1:15" hidden="1">
      <c r="A15024" s="165">
        <v>202512</v>
      </c>
      <c r="B15024" s="166">
        <v>46012</v>
      </c>
      <c r="C15024" s="165" t="s">
        <v>2519</v>
      </c>
      <c r="D15024" s="165" t="s">
        <v>7122</v>
      </c>
      <c r="E15024" s="165">
        <v>203.5</v>
      </c>
      <c r="F15024" t="str">
        <f>IF(Table2[[#This Row],[Manual Cat Value]]="",Table2[[#This Row],[Suggested Cat Value]],VLOOKUP(Table2[[#This Row],[Manual Cat Value]],Lookup!G:H,2,0))</f>
        <v>Delete</v>
      </c>
      <c r="G15024" t="e">
        <f>VLOOKUP(D15024,Lookup!G:H,2,0)</f>
        <v>#N/A</v>
      </c>
      <c r="H15024" s="164" t="s">
        <v>9</v>
      </c>
      <c r="I15024" s="8"/>
      <c r="O15024" t="str">
        <f>LEFT(Table2[[#This Row],[Description]],75)</f>
        <v>Withdrawal at ATM #XX3276 Edina Gas 5209 VERNON AVE EDINA MN Card 5404</v>
      </c>
    </row>
    <row r="15025" spans="1:15">
      <c r="A15025" s="162">
        <v>202512</v>
      </c>
      <c r="B15025" s="163">
        <v>46010</v>
      </c>
      <c r="C15025" s="162" t="s">
        <v>2519</v>
      </c>
      <c r="D15025" s="162" t="s">
        <v>4293</v>
      </c>
      <c r="E15025" s="162">
        <v>327.75</v>
      </c>
      <c r="F15025" t="e">
        <f>IF(Table2[[#This Row],[Manual Cat Value]]="",Table2[[#This Row],[Suggested Cat Value]],VLOOKUP(Table2[[#This Row],[Manual Cat Value]],Lookup!G:H,2,0))</f>
        <v>#N/A</v>
      </c>
      <c r="G15025" t="e">
        <f>VLOOKUP(D15025,Lookup!G:H,2,0)</f>
        <v>#N/A</v>
      </c>
      <c r="H15025" s="164"/>
      <c r="I15025" s="8"/>
      <c r="O15025" t="str">
        <f>LEFT(Table2[[#This Row],[Description]],75)</f>
        <v>Withdrawal Home Banking Pmt to card XX5913</v>
      </c>
    </row>
    <row r="15026" spans="1:15">
      <c r="A15026" s="165">
        <v>202512</v>
      </c>
      <c r="B15026" s="166">
        <v>46009</v>
      </c>
      <c r="C15026" s="165" t="s">
        <v>2519</v>
      </c>
      <c r="D15026" s="165" t="s">
        <v>4293</v>
      </c>
      <c r="E15026" s="165">
        <v>327.75</v>
      </c>
      <c r="F15026" t="e">
        <f>IF(Table2[[#This Row],[Manual Cat Value]]="",Table2[[#This Row],[Suggested Cat Value]],VLOOKUP(Table2[[#This Row],[Manual Cat Value]],Lookup!G:H,2,0))</f>
        <v>#N/A</v>
      </c>
      <c r="G15026" t="e">
        <f>VLOOKUP(D15026,Lookup!G:H,2,0)</f>
        <v>#N/A</v>
      </c>
      <c r="H15026" s="164"/>
      <c r="I15026" s="8"/>
      <c r="O15026" t="str">
        <f>LEFT(Table2[[#This Row],[Description]],75)</f>
        <v>Withdrawal Home Banking Pmt to card XX5913</v>
      </c>
    </row>
    <row r="15027" spans="1:15">
      <c r="A15027" s="167">
        <v>202512</v>
      </c>
      <c r="B15027" s="168">
        <v>45992</v>
      </c>
      <c r="C15027" s="167" t="s">
        <v>2519</v>
      </c>
      <c r="D15027" s="167" t="s">
        <v>4293</v>
      </c>
      <c r="E15027" s="167">
        <v>1001.03</v>
      </c>
      <c r="F15027" t="e">
        <f>IF(Table2[[#This Row],[Manual Cat Value]]="",Table2[[#This Row],[Suggested Cat Value]],VLOOKUP(Table2[[#This Row],[Manual Cat Value]],Lookup!G:H,2,0))</f>
        <v>#N/A</v>
      </c>
      <c r="G15027" t="e">
        <f>VLOOKUP(D15027,Lookup!G:H,2,0)</f>
        <v>#N/A</v>
      </c>
      <c r="H15027" s="169"/>
      <c r="I15027" s="8"/>
      <c r="O15027" t="str">
        <f>LEFT(Table2[[#This Row],[Description]],75)</f>
        <v>Withdrawal Home Banking Pmt to card XX5913</v>
      </c>
    </row>
  </sheetData>
  <dataValidations count="1">
    <dataValidation allowBlank="1" showInputMessage="1" showErrorMessage="1" sqref="I2:I1048576" xr:uid="{92BB3F3F-F51F-4B79-ADB9-49F7C55BB247}"/>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A1F1ADB-72F8-4B81-BEAD-06F12F890D9F}">
          <x14:formula1>
            <xm:f>Lookup!$A$2:$A$31</xm:f>
          </x14:formula1>
          <xm:sqref>H5188:H5192 H5031:H5037 H4632:H4633 H4696 H4698 H4725 H4738 H4887 H5001:H5005 H5008:H5009 H62:H64 H8409:I8409 H706 H791 H834:H836 H823 H909:H914 H1123 H1125:H1131 H1201:H1203 H1205:H1206 H1278:H1280 H1141:H1149 H1275:H1276 H1525 H1566 H1627 H1688 H1290:H1291 H1974 H1739 H2143 H1994:H1998 H2272 H2353 H2414:H2415 H2427 H2542 H2697 H2692:H2695 H2777 H2179:H2181 H2849 H2890:H2892 H3108:H3109 H3321 H3392:H3395 H3411:H3413 H3446:H3447 H3505:H3582 H3758 H3877 H3929:H3930 H3961 H4003 H4099 H4456 H4497 H4667 H4705 H4709 H4773:H4775 H4783 H4966 H5026:H5029 H2838:H2839 H5063:H5087 H5049:H5061 H5158 H5194:H5247 H5250:H5291 H5293:H5296 H5298:H5349 H5107:H5108 H5110 H5154:H5155 H5162 H5353:H5525 H5527:H5659 H5039:H5045 H5047 H5090:H5104 H5661:H5819 H5113:H5115 H5012:H5023 H5821:H5957 H6:H7 H10 H17 H28:H38 H46 H48:H49 H197:H201 H57 H71 H75 H79 H81:H82 H73 H90 H105:H113 H117:H120 H172:H181 H192:H194 H184:H187 H203:H205 H210:H221 H226:H228 H224 H230:H243 H245:H265 H269:H275 H279:H290 H313 H316:H323 H326:H331 H335:H340 H344:H346 H354:H356 H359:H361 H365:H367 H370:H376 H380:H381 H383:H392 H396:H400 H402:H403 H431:H432 H434 H445:H446 H449 H460:H465 H467 H477 H493 H499 H501 H504:H506 H511 H515 H521 H528:H529 H532:H534 H536:H538 H541 H548:H549 H563:H564 H590 H593:H594 H596 H607 H623 H628:H630 H633 H640:H641 H643:H644 H648:H653 H657:H662 H667:H668 H675 H677 H680:H681 H684:H685 H687:H689 H691:H693 H695:H696 H698:H699 H702:H704 H708:H715 H719:H722 H728:H730 H738:H740 H744:H750 H757:H763 H776:H777 H785 H801 H809:H814 H818:H821 H827:H828 H832 H851 H858 H860 H866:H869 H877:H880 H889 H896:H899 H902:H905 H917:H927 H930:H933 H936:H939 H942:H943 H946 H948:H949 H955:H959 H961 H988:H990 H995:H999 H1002:H1009 H1016:H1021 H1023:H1026 H1028 H1033:H1035 H1038:H1039 H1041:H1042 H1048 H1050 H1053:H1057 H1059 H1061 H1063:H1065 H1067:H1069 H1074:H1080 H1083:H1084 H1086 H1088 H1090:H1091 H1093 H1096:H1098 H1106 H1109 H1111 H1113 H1116 H1118:H1121 H1134:H1139 H1152:H1153 H1155:H1160 H1162 H1165:H1172 H1174 H1177:H1178 H1180:H1182 H1184:H1185 H1187:H1189 H1196 H1198 H1210 H1212:H1214 H1216 H1220 H1224:H1227 H1230 H1232:H1233 H1235:H1240 H1244 H1246 H1248:H1249 H1253 H1258:H1259 H1261 H1266:H1268 H1285:H1288 H1295 H1298:H1300 H1302 H1304 H1306:H1308 H1312:H1314 H1317 H1322 H1324:H1325 H1327:H1333 H1335:H1337 H1339 H1341:H1342 H1344:H1353 H1360:H1364 H1372:H1381 H1383:H1394 H1397:H1398 H1400 H1402:H1411 H1414:H1415 H1418:H1432 H1434:H1435 H1437:H1449 H1452:H1453 H1455:H1460 H1469:H1470 H1475 H1477 H1486 H1491 H1495 H1503 H1508 H1513:H1514 H1518 H1532 H1540 H1544:H1545 H1551 H1557 H1569 H1576 H1591 H1609 H1612 H1619 H1642 H1646 H1657 H1667:H1668 H1673 H1675 H1678:H1679 H1691:H1693 H1697 H1709 H1716 H1724 H1731 H1742:H1745 H1748:H1749 H1752 H1757:H1758 H1763:H1764 H1766 H1768 H1773 H1791 H1803 H1817 H1828 H1836 H1840:H1842 H1845 H1849 H1856 H1862 H1866 H1875 H1884 H1887 H1889 H1895 H1897 H1902:H1905 H1907:H1908 H1916 H1918 H1921 H1928 H1932 H1935 H1941 H1943 H1947 H1953:H1956 H1959:H1964 H1967 H1972 H1976 H1980:H1981 H1984 H1988 H1990 H2000:H2024 H2044 H2050:H2053 H2056 H2062:H2063 H2071 H2078:H2079 H2084 H2090:H2091 H2095 H2098 H2112 H2114 H2116:H2117 H2121 H2126 H2128 H2136 H2145:H2148 H2150 H2152:H2154 H2158:H2159 H2164 H2172 H2174 H2186 H2188 H2190 H2193:H2194 H2199 H2209:H2211 H2219:H2222 H2225 H2234 H2236 H2248 H2266 H2277:H2278 H2280:H2282 H2291 H2293 H2295 H2298 H2300 H2302 H2306 H2314:H2315 H2317:H2322 H2328 H2330:H2331 H2334:H2336 H2341:H2342 H2346:H2347 H2355:H2359 H2364 H2367 H2369:H2370 H2375 H2380 H2385:H2386 H2398 H2400:H2401 H2403 H2410 H2412 H2417 H2424:H2425 H2429:H2433 H2435:H2436 H2456 H2459 H2461 H2464 H2466:H2468 H2471 H2474 H2476 H2483 H2485 H2491:H2492 H2504 H2508 H2510 H2513 H2516:H2517 H2521:H2522 H2537 H2544:H2545 H2569 H2576:H2580 H2582 H2601 H2604 H2606 H2609 H2614 H2617:H2618 H2644 H2647:H2649 H2652:H2653 H2660 H2665 H2675 H2679 H2688 H2701:H2702 H2722 H2727:H2728 H2735:H2737 H2744 H2754 H2779:H2780 H2788:H2789 H2792 H2804 H2817:H2818 H2830 H2833:H2834 H2847 H2853 H2865 H2870 H2877 H2887 H2894 H2897:H2898 H2901:H2902 H2912:H2914 H2924 H2926 H2929 H2933 H2938 H2951 H2960:H2962 H2966:H2968 H2970 H2989 H2991 H3001:H3002 H3005:H3006 H3021:H3022 H3026:H3028 H3057:H3058 H3062:H3063 H3065 H3067 H3070:H3072 H3077:H3079 H3084:H3086 H3089:H3091 H3100 H3116:H3118 H3123 H3128 H3131 H3141:H3142 H3144 H3147 H3158:H3159 H3163:H3164 H3166 H3169:H3170 H3175 H3330:H3335 H3339:H3340 H3342:H3343 H3350:H3351 H3359:H3362 H3364:H3365 H3374:H3379 H3382:H3389 H3400:H3401 H3407:H3408 H3419:H3420 H3431:H3432 H3437:H3438 H3440:H3441 H3450:H3451 H3467:H3468 H3471:H3472 H3474:H3475 H3478:H3485 H3491:H3492 H3502:H3503 H3584:H3658 H3661:H3669 H3671:H3685 H3687:H3696 H3943 H4030 H4117 H4164 H4239:H4240 H4294 H4302 H4317 H4377 H4481 H4492 H4505 H4602:H4603 H4617 H4625:H4627 H5959:H8408 H52:H55 H60 H92:H102 H124:H170 H292:H311 H13029:I13029 H13030:H13191 H13430:H13515 H13192:I13192 H8410:H13028 H13322:I13322 H13323:H13428 H13429:I13429 H13193:H13321 H13516:I13516 I14835 H13517:H14836 H14838:H1048576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855E-D197-44CE-846A-C21594498687}">
  <sheetPr>
    <tabColor theme="9"/>
  </sheetPr>
  <dimension ref="A1:F2590"/>
  <sheetViews>
    <sheetView workbookViewId="0">
      <selection activeCell="D1" sqref="D1"/>
    </sheetView>
  </sheetViews>
  <sheetFormatPr defaultRowHeight="15"/>
  <cols>
    <col min="2" max="2" width="11.42578125" style="6" bestFit="1" customWidth="1"/>
    <col min="4" max="4" width="9.140625" bestFit="1" customWidth="1"/>
    <col min="6" max="6" width="9.140625" bestFit="1" customWidth="1"/>
  </cols>
  <sheetData>
    <row r="1" spans="1:6">
      <c r="A1" t="s">
        <v>2243</v>
      </c>
      <c r="B1" s="6" t="s">
        <v>2244</v>
      </c>
      <c r="C1" t="s">
        <v>2245</v>
      </c>
      <c r="D1" t="s">
        <v>71</v>
      </c>
      <c r="E1" t="s">
        <v>2246</v>
      </c>
      <c r="F1" t="s">
        <v>72</v>
      </c>
    </row>
    <row r="2" spans="1:6">
      <c r="A2">
        <v>202301</v>
      </c>
      <c r="B2" s="6">
        <v>44927</v>
      </c>
      <c r="C2" t="s">
        <v>2447</v>
      </c>
      <c r="D2" t="s">
        <v>3600</v>
      </c>
      <c r="E2">
        <v>5.36</v>
      </c>
      <c r="F2" t="s">
        <v>38</v>
      </c>
    </row>
    <row r="3" spans="1:6">
      <c r="A3">
        <v>202301</v>
      </c>
      <c r="B3" s="6">
        <v>44927</v>
      </c>
      <c r="C3" t="s">
        <v>2262</v>
      </c>
      <c r="D3" t="s">
        <v>3601</v>
      </c>
      <c r="E3">
        <v>-6.43</v>
      </c>
      <c r="F3" t="s">
        <v>26</v>
      </c>
    </row>
    <row r="4" spans="1:6">
      <c r="A4">
        <v>202301</v>
      </c>
      <c r="B4" s="6">
        <v>44927</v>
      </c>
      <c r="C4" t="s">
        <v>2262</v>
      </c>
      <c r="D4" t="s">
        <v>3590</v>
      </c>
      <c r="E4">
        <v>-25</v>
      </c>
      <c r="F4" t="s">
        <v>43</v>
      </c>
    </row>
    <row r="5" spans="1:6">
      <c r="A5">
        <v>202301</v>
      </c>
      <c r="B5" s="6">
        <v>44927</v>
      </c>
      <c r="C5" t="s">
        <v>2447</v>
      </c>
      <c r="D5" t="s">
        <v>3602</v>
      </c>
      <c r="E5">
        <v>194.66</v>
      </c>
      <c r="F5" t="s">
        <v>28</v>
      </c>
    </row>
    <row r="6" spans="1:6">
      <c r="A6">
        <v>202301</v>
      </c>
      <c r="B6" s="6">
        <v>44927</v>
      </c>
      <c r="C6" t="s">
        <v>2314</v>
      </c>
      <c r="D6" t="s">
        <v>3605</v>
      </c>
      <c r="E6">
        <v>-618.65</v>
      </c>
      <c r="F6" t="s">
        <v>9</v>
      </c>
    </row>
    <row r="7" spans="1:6">
      <c r="A7">
        <v>202301</v>
      </c>
      <c r="B7" s="6">
        <v>44927</v>
      </c>
      <c r="C7" t="s">
        <v>2262</v>
      </c>
      <c r="D7" t="s">
        <v>3603</v>
      </c>
      <c r="E7">
        <v>57.01</v>
      </c>
      <c r="F7" t="s">
        <v>26</v>
      </c>
    </row>
    <row r="8" spans="1:6">
      <c r="A8">
        <v>202301</v>
      </c>
      <c r="B8" s="6">
        <v>44927</v>
      </c>
      <c r="C8" t="s">
        <v>2265</v>
      </c>
      <c r="D8" t="s">
        <v>3415</v>
      </c>
      <c r="E8">
        <v>618.65</v>
      </c>
      <c r="F8" t="s">
        <v>11</v>
      </c>
    </row>
    <row r="9" spans="1:6">
      <c r="A9">
        <v>202301</v>
      </c>
      <c r="B9" s="6">
        <v>44927</v>
      </c>
      <c r="C9" t="s">
        <v>2265</v>
      </c>
      <c r="D9" t="s">
        <v>3604</v>
      </c>
      <c r="E9">
        <v>618.65</v>
      </c>
      <c r="F9" t="s">
        <v>9</v>
      </c>
    </row>
    <row r="10" spans="1:6">
      <c r="A10">
        <v>202301</v>
      </c>
      <c r="B10" s="6">
        <v>44928</v>
      </c>
      <c r="C10" t="s">
        <v>2262</v>
      </c>
      <c r="D10" t="s">
        <v>3606</v>
      </c>
      <c r="E10">
        <v>15.66</v>
      </c>
      <c r="F10" t="s">
        <v>26</v>
      </c>
    </row>
    <row r="11" spans="1:6">
      <c r="A11">
        <v>202301</v>
      </c>
      <c r="B11" s="6">
        <v>44928</v>
      </c>
      <c r="C11" t="s">
        <v>2262</v>
      </c>
      <c r="D11" t="s">
        <v>3607</v>
      </c>
      <c r="E11">
        <v>20</v>
      </c>
      <c r="F11" t="s">
        <v>7</v>
      </c>
    </row>
    <row r="12" spans="1:6">
      <c r="A12">
        <v>202301</v>
      </c>
      <c r="B12" s="6">
        <v>44928</v>
      </c>
      <c r="C12" t="s">
        <v>2262</v>
      </c>
      <c r="D12" t="s">
        <v>3608</v>
      </c>
      <c r="E12">
        <v>84.2</v>
      </c>
      <c r="F12" t="s">
        <v>40</v>
      </c>
    </row>
    <row r="13" spans="1:6">
      <c r="A13">
        <v>202301</v>
      </c>
      <c r="B13" s="6">
        <v>44929</v>
      </c>
      <c r="C13" t="s">
        <v>2447</v>
      </c>
      <c r="D13" t="s">
        <v>3609</v>
      </c>
      <c r="E13">
        <v>32.200000000000003</v>
      </c>
      <c r="F13" t="s">
        <v>38</v>
      </c>
    </row>
    <row r="14" spans="1:6">
      <c r="A14">
        <v>202301</v>
      </c>
      <c r="B14" s="6">
        <v>44929</v>
      </c>
      <c r="C14" t="s">
        <v>2262</v>
      </c>
      <c r="D14" t="s">
        <v>3606</v>
      </c>
      <c r="E14">
        <v>48.05</v>
      </c>
      <c r="F14" t="s">
        <v>28</v>
      </c>
    </row>
    <row r="15" spans="1:6">
      <c r="A15">
        <v>202301</v>
      </c>
      <c r="B15" s="6">
        <v>44929</v>
      </c>
      <c r="C15" t="s">
        <v>2262</v>
      </c>
      <c r="D15" t="s">
        <v>3606</v>
      </c>
      <c r="E15">
        <v>13.4</v>
      </c>
      <c r="F15" t="s">
        <v>28</v>
      </c>
    </row>
    <row r="16" spans="1:6">
      <c r="A16">
        <v>202301</v>
      </c>
      <c r="B16" s="6">
        <v>44929</v>
      </c>
      <c r="C16" t="s">
        <v>2265</v>
      </c>
      <c r="D16" t="s">
        <v>3610</v>
      </c>
      <c r="E16">
        <v>-24.79</v>
      </c>
      <c r="F16" t="s">
        <v>69</v>
      </c>
    </row>
    <row r="17" spans="1:6">
      <c r="A17">
        <v>202301</v>
      </c>
      <c r="B17" s="6">
        <v>44929</v>
      </c>
      <c r="C17" t="s">
        <v>2710</v>
      </c>
      <c r="D17" t="s">
        <v>3611</v>
      </c>
      <c r="E17">
        <v>4219</v>
      </c>
      <c r="F17" t="s">
        <v>9</v>
      </c>
    </row>
    <row r="18" spans="1:6">
      <c r="A18">
        <v>202301</v>
      </c>
      <c r="B18" s="6">
        <v>44929</v>
      </c>
      <c r="C18" t="s">
        <v>2710</v>
      </c>
      <c r="D18" t="s">
        <v>1410</v>
      </c>
      <c r="E18">
        <v>2606.27</v>
      </c>
      <c r="F18" t="s">
        <v>9</v>
      </c>
    </row>
    <row r="19" spans="1:6">
      <c r="A19">
        <v>202301</v>
      </c>
      <c r="B19" s="6">
        <v>44929</v>
      </c>
      <c r="C19" t="s">
        <v>2262</v>
      </c>
      <c r="D19" t="s">
        <v>3612</v>
      </c>
      <c r="E19">
        <v>75</v>
      </c>
      <c r="F19" t="s">
        <v>21</v>
      </c>
    </row>
    <row r="20" spans="1:6">
      <c r="A20">
        <v>202301</v>
      </c>
      <c r="B20" s="6">
        <v>44929</v>
      </c>
      <c r="C20" t="s">
        <v>2262</v>
      </c>
      <c r="D20" t="s">
        <v>3613</v>
      </c>
      <c r="E20">
        <v>63.36</v>
      </c>
      <c r="F20" t="s">
        <v>28</v>
      </c>
    </row>
    <row r="21" spans="1:6">
      <c r="A21">
        <v>202301</v>
      </c>
      <c r="B21" s="6">
        <v>44929</v>
      </c>
      <c r="C21" t="s">
        <v>2265</v>
      </c>
      <c r="D21" t="s">
        <v>5880</v>
      </c>
      <c r="E21">
        <v>2606.27</v>
      </c>
      <c r="F21" t="s">
        <v>5</v>
      </c>
    </row>
    <row r="22" spans="1:6">
      <c r="A22">
        <v>202301</v>
      </c>
      <c r="B22" s="6">
        <v>44929</v>
      </c>
      <c r="C22" t="s">
        <v>2265</v>
      </c>
      <c r="D22" t="s">
        <v>3614</v>
      </c>
      <c r="E22">
        <v>300</v>
      </c>
      <c r="F22" t="s">
        <v>9</v>
      </c>
    </row>
    <row r="23" spans="1:6">
      <c r="A23">
        <v>202301</v>
      </c>
      <c r="B23" s="6">
        <v>44929</v>
      </c>
      <c r="C23" t="s">
        <v>2265</v>
      </c>
      <c r="D23" t="s">
        <v>3615</v>
      </c>
      <c r="E23">
        <v>58</v>
      </c>
      <c r="F23" t="s">
        <v>21</v>
      </c>
    </row>
    <row r="24" spans="1:6">
      <c r="A24">
        <v>202301</v>
      </c>
      <c r="B24" s="6">
        <v>44929</v>
      </c>
      <c r="C24" t="s">
        <v>2265</v>
      </c>
      <c r="D24" t="s">
        <v>3616</v>
      </c>
      <c r="E24">
        <v>55</v>
      </c>
      <c r="F24" t="s">
        <v>21</v>
      </c>
    </row>
    <row r="25" spans="1:6">
      <c r="A25">
        <v>202301</v>
      </c>
      <c r="B25" s="6">
        <v>44930</v>
      </c>
      <c r="C25" t="s">
        <v>2262</v>
      </c>
      <c r="D25" t="s">
        <v>3618</v>
      </c>
      <c r="E25">
        <v>-1626.54</v>
      </c>
      <c r="F25" t="s">
        <v>9</v>
      </c>
    </row>
    <row r="26" spans="1:6">
      <c r="A26">
        <v>202301</v>
      </c>
      <c r="B26" s="6">
        <v>44930</v>
      </c>
      <c r="C26" t="s">
        <v>2265</v>
      </c>
      <c r="D26" t="s">
        <v>3617</v>
      </c>
      <c r="E26">
        <v>330</v>
      </c>
      <c r="F26" t="s">
        <v>20</v>
      </c>
    </row>
    <row r="27" spans="1:6">
      <c r="A27">
        <v>202301</v>
      </c>
      <c r="B27" s="6">
        <v>44930</v>
      </c>
      <c r="C27" t="s">
        <v>2265</v>
      </c>
      <c r="D27" t="s">
        <v>2640</v>
      </c>
      <c r="E27">
        <v>1626.54</v>
      </c>
      <c r="F27" t="s">
        <v>9</v>
      </c>
    </row>
    <row r="28" spans="1:6">
      <c r="A28">
        <v>202301</v>
      </c>
      <c r="B28" s="6">
        <v>44931</v>
      </c>
      <c r="C28" t="s">
        <v>2447</v>
      </c>
      <c r="D28" t="s">
        <v>3619</v>
      </c>
      <c r="E28">
        <v>12.98</v>
      </c>
      <c r="F28" t="s">
        <v>38</v>
      </c>
    </row>
    <row r="29" spans="1:6">
      <c r="A29">
        <v>202301</v>
      </c>
      <c r="B29" s="6">
        <v>44931</v>
      </c>
      <c r="C29" t="s">
        <v>2262</v>
      </c>
      <c r="D29" t="s">
        <v>3606</v>
      </c>
      <c r="E29">
        <v>157.38999999999999</v>
      </c>
      <c r="F29" t="s">
        <v>28</v>
      </c>
    </row>
    <row r="30" spans="1:6">
      <c r="A30">
        <v>202301</v>
      </c>
      <c r="B30" s="6">
        <v>44931</v>
      </c>
      <c r="C30" t="s">
        <v>2262</v>
      </c>
      <c r="D30" t="s">
        <v>3606</v>
      </c>
      <c r="E30">
        <v>0.86</v>
      </c>
      <c r="F30" t="s">
        <v>28</v>
      </c>
    </row>
    <row r="31" spans="1:6">
      <c r="A31">
        <v>202301</v>
      </c>
      <c r="B31" s="6">
        <v>44931</v>
      </c>
      <c r="C31" t="s">
        <v>2265</v>
      </c>
      <c r="D31" t="s">
        <v>3620</v>
      </c>
      <c r="E31">
        <v>-2453.23</v>
      </c>
      <c r="F31" t="s">
        <v>66</v>
      </c>
    </row>
    <row r="32" spans="1:6">
      <c r="A32">
        <v>202301</v>
      </c>
      <c r="B32" s="6">
        <v>44931</v>
      </c>
      <c r="C32" t="s">
        <v>2265</v>
      </c>
      <c r="D32" t="s">
        <v>3621</v>
      </c>
      <c r="E32">
        <v>-694.2</v>
      </c>
      <c r="F32" t="s">
        <v>9</v>
      </c>
    </row>
    <row r="33" spans="1:6">
      <c r="A33">
        <v>202301</v>
      </c>
      <c r="B33" s="6">
        <v>44931</v>
      </c>
      <c r="C33" t="s">
        <v>2265</v>
      </c>
      <c r="D33" t="s">
        <v>3622</v>
      </c>
      <c r="E33">
        <v>-7.4</v>
      </c>
      <c r="F33" t="s">
        <v>21</v>
      </c>
    </row>
    <row r="34" spans="1:6">
      <c r="A34">
        <v>202301</v>
      </c>
      <c r="B34" s="6">
        <v>44931</v>
      </c>
      <c r="C34" t="s">
        <v>2262</v>
      </c>
      <c r="D34" t="s">
        <v>3623</v>
      </c>
      <c r="E34">
        <v>22.36</v>
      </c>
      <c r="F34" t="s">
        <v>23</v>
      </c>
    </row>
    <row r="35" spans="1:6">
      <c r="A35">
        <v>202301</v>
      </c>
      <c r="B35" s="6">
        <v>44931</v>
      </c>
      <c r="C35" t="s">
        <v>2262</v>
      </c>
      <c r="D35" t="s">
        <v>3623</v>
      </c>
      <c r="E35">
        <v>5.29</v>
      </c>
      <c r="F35" t="s">
        <v>23</v>
      </c>
    </row>
    <row r="36" spans="1:6">
      <c r="A36">
        <v>202301</v>
      </c>
      <c r="B36" s="6">
        <v>44931</v>
      </c>
      <c r="C36" t="s">
        <v>2262</v>
      </c>
      <c r="D36" t="s">
        <v>3624</v>
      </c>
      <c r="E36">
        <v>-64.8</v>
      </c>
      <c r="F36" t="s">
        <v>21</v>
      </c>
    </row>
    <row r="37" spans="1:6">
      <c r="A37">
        <v>202301</v>
      </c>
      <c r="B37" s="6">
        <v>44932</v>
      </c>
      <c r="C37" t="s">
        <v>2262</v>
      </c>
      <c r="D37" t="s">
        <v>3625</v>
      </c>
      <c r="E37">
        <v>-21.99</v>
      </c>
      <c r="F37" t="s">
        <v>38</v>
      </c>
    </row>
    <row r="38" spans="1:6">
      <c r="A38">
        <v>202301</v>
      </c>
      <c r="B38" s="6">
        <v>44932</v>
      </c>
      <c r="C38" t="s">
        <v>2262</v>
      </c>
      <c r="D38" t="s">
        <v>3625</v>
      </c>
      <c r="E38">
        <v>-25.99</v>
      </c>
      <c r="F38" t="s">
        <v>38</v>
      </c>
    </row>
    <row r="39" spans="1:6">
      <c r="A39">
        <v>202301</v>
      </c>
      <c r="B39" s="6">
        <v>44932</v>
      </c>
      <c r="C39" t="s">
        <v>2262</v>
      </c>
      <c r="D39" t="s">
        <v>3626</v>
      </c>
      <c r="E39">
        <v>55.15</v>
      </c>
      <c r="F39" t="s">
        <v>38</v>
      </c>
    </row>
    <row r="40" spans="1:6">
      <c r="A40">
        <v>202301</v>
      </c>
      <c r="B40" s="6">
        <v>44932</v>
      </c>
      <c r="C40" t="s">
        <v>2265</v>
      </c>
      <c r="D40" t="s">
        <v>3627</v>
      </c>
      <c r="E40">
        <v>-6150</v>
      </c>
      <c r="F40" t="s">
        <v>9</v>
      </c>
    </row>
    <row r="41" spans="1:6">
      <c r="A41">
        <v>202301</v>
      </c>
      <c r="B41" s="6">
        <v>44932</v>
      </c>
      <c r="C41" t="s">
        <v>2262</v>
      </c>
      <c r="D41" t="s">
        <v>3628</v>
      </c>
      <c r="E41">
        <v>48</v>
      </c>
      <c r="F41" t="s">
        <v>21</v>
      </c>
    </row>
    <row r="42" spans="1:6">
      <c r="A42">
        <v>202301</v>
      </c>
      <c r="B42" s="6">
        <v>44932</v>
      </c>
      <c r="C42" t="s">
        <v>2262</v>
      </c>
      <c r="D42" t="s">
        <v>3629</v>
      </c>
      <c r="E42">
        <v>9.6</v>
      </c>
      <c r="F42" t="s">
        <v>26</v>
      </c>
    </row>
    <row r="43" spans="1:6">
      <c r="A43">
        <v>202301</v>
      </c>
      <c r="B43" s="6">
        <v>44932</v>
      </c>
      <c r="C43" t="s">
        <v>2262</v>
      </c>
      <c r="D43" t="s">
        <v>3630</v>
      </c>
      <c r="E43">
        <v>96.58</v>
      </c>
      <c r="F43" t="s">
        <v>21</v>
      </c>
    </row>
    <row r="44" spans="1:6">
      <c r="A44">
        <v>202301</v>
      </c>
      <c r="B44" s="6">
        <v>44932</v>
      </c>
      <c r="C44" t="s">
        <v>2265</v>
      </c>
      <c r="D44" t="s">
        <v>3632</v>
      </c>
      <c r="E44">
        <v>151.6</v>
      </c>
      <c r="F44" t="s">
        <v>7</v>
      </c>
    </row>
    <row r="45" spans="1:6">
      <c r="A45">
        <v>202301</v>
      </c>
      <c r="B45" s="6">
        <v>44932</v>
      </c>
      <c r="C45" t="s">
        <v>2300</v>
      </c>
      <c r="D45" t="s">
        <v>3631</v>
      </c>
      <c r="E45">
        <v>6150</v>
      </c>
      <c r="F45" t="s">
        <v>9</v>
      </c>
    </row>
    <row r="46" spans="1:6">
      <c r="A46">
        <v>202301</v>
      </c>
      <c r="B46" s="6">
        <v>44933</v>
      </c>
      <c r="C46" t="s">
        <v>2262</v>
      </c>
      <c r="D46" t="s">
        <v>3633</v>
      </c>
      <c r="E46">
        <v>13.17</v>
      </c>
      <c r="F46" t="s">
        <v>21</v>
      </c>
    </row>
    <row r="47" spans="1:6">
      <c r="A47">
        <v>202301</v>
      </c>
      <c r="B47" s="6">
        <v>44933</v>
      </c>
      <c r="C47" t="s">
        <v>2262</v>
      </c>
      <c r="D47" t="s">
        <v>3634</v>
      </c>
      <c r="E47">
        <v>149.25</v>
      </c>
      <c r="F47" t="s">
        <v>38</v>
      </c>
    </row>
    <row r="48" spans="1:6">
      <c r="A48">
        <v>202301</v>
      </c>
      <c r="B48" s="6">
        <v>44933</v>
      </c>
      <c r="C48" t="s">
        <v>2447</v>
      </c>
      <c r="D48" t="s">
        <v>3635</v>
      </c>
      <c r="E48">
        <v>67.62</v>
      </c>
      <c r="F48" t="s">
        <v>38</v>
      </c>
    </row>
    <row r="49" spans="1:6">
      <c r="A49">
        <v>202301</v>
      </c>
      <c r="B49" s="6">
        <v>44933</v>
      </c>
      <c r="C49" t="s">
        <v>2447</v>
      </c>
      <c r="D49" t="s">
        <v>3636</v>
      </c>
      <c r="E49">
        <v>59.98</v>
      </c>
      <c r="F49" t="s">
        <v>38</v>
      </c>
    </row>
    <row r="50" spans="1:6">
      <c r="A50">
        <v>202301</v>
      </c>
      <c r="B50" s="6">
        <v>44933</v>
      </c>
      <c r="C50" t="s">
        <v>2262</v>
      </c>
      <c r="D50" t="s">
        <v>3637</v>
      </c>
      <c r="E50">
        <v>-47.99</v>
      </c>
      <c r="F50" t="s">
        <v>21</v>
      </c>
    </row>
    <row r="51" spans="1:6">
      <c r="A51">
        <v>202301</v>
      </c>
      <c r="B51" s="6">
        <v>44933</v>
      </c>
      <c r="C51" t="s">
        <v>2262</v>
      </c>
      <c r="D51" t="s">
        <v>3638</v>
      </c>
      <c r="E51">
        <v>2.4500000000000002</v>
      </c>
      <c r="F51" t="s">
        <v>26</v>
      </c>
    </row>
    <row r="52" spans="1:6">
      <c r="A52">
        <v>202301</v>
      </c>
      <c r="B52" s="6">
        <v>44933</v>
      </c>
      <c r="C52" t="s">
        <v>2262</v>
      </c>
      <c r="D52" t="s">
        <v>3638</v>
      </c>
      <c r="E52">
        <v>10.26</v>
      </c>
      <c r="F52" t="s">
        <v>26</v>
      </c>
    </row>
    <row r="53" spans="1:6">
      <c r="A53">
        <v>202301</v>
      </c>
      <c r="B53" s="6">
        <v>44934</v>
      </c>
      <c r="C53" t="s">
        <v>2265</v>
      </c>
      <c r="D53" t="s">
        <v>3639</v>
      </c>
      <c r="E53">
        <v>-13.96</v>
      </c>
      <c r="F53" t="s">
        <v>21</v>
      </c>
    </row>
    <row r="54" spans="1:6">
      <c r="A54">
        <v>202301</v>
      </c>
      <c r="B54" s="6">
        <v>44934</v>
      </c>
      <c r="C54" t="s">
        <v>2262</v>
      </c>
      <c r="D54" t="s">
        <v>3640</v>
      </c>
      <c r="E54">
        <v>47.25</v>
      </c>
      <c r="F54" t="s">
        <v>34</v>
      </c>
    </row>
    <row r="55" spans="1:6">
      <c r="A55">
        <v>202301</v>
      </c>
      <c r="B55" s="6">
        <v>44934</v>
      </c>
      <c r="C55" t="s">
        <v>2262</v>
      </c>
      <c r="D55" t="s">
        <v>3641</v>
      </c>
      <c r="E55">
        <v>156.06</v>
      </c>
      <c r="F55" t="s">
        <v>48</v>
      </c>
    </row>
    <row r="56" spans="1:6">
      <c r="A56">
        <v>202301</v>
      </c>
      <c r="B56" s="6">
        <v>44935</v>
      </c>
      <c r="C56" t="s">
        <v>2447</v>
      </c>
      <c r="D56" t="s">
        <v>3642</v>
      </c>
      <c r="E56">
        <v>16.100000000000001</v>
      </c>
      <c r="F56" t="s">
        <v>38</v>
      </c>
    </row>
    <row r="57" spans="1:6">
      <c r="A57">
        <v>202301</v>
      </c>
      <c r="B57" s="6">
        <v>44935</v>
      </c>
      <c r="C57" t="s">
        <v>2447</v>
      </c>
      <c r="D57" t="s">
        <v>3643</v>
      </c>
      <c r="E57">
        <v>21.46</v>
      </c>
      <c r="F57" t="s">
        <v>38</v>
      </c>
    </row>
    <row r="58" spans="1:6">
      <c r="A58">
        <v>202301</v>
      </c>
      <c r="B58" s="6">
        <v>44935</v>
      </c>
      <c r="C58" t="s">
        <v>2265</v>
      </c>
      <c r="D58" t="s">
        <v>3644</v>
      </c>
      <c r="E58">
        <v>-156.91999999999999</v>
      </c>
      <c r="F58" t="s">
        <v>9</v>
      </c>
    </row>
    <row r="59" spans="1:6">
      <c r="A59">
        <v>202301</v>
      </c>
      <c r="B59" s="6">
        <v>44935</v>
      </c>
      <c r="C59" t="s">
        <v>2262</v>
      </c>
      <c r="D59" t="s">
        <v>3645</v>
      </c>
      <c r="E59">
        <v>13.5</v>
      </c>
      <c r="F59" t="s">
        <v>21</v>
      </c>
    </row>
    <row r="60" spans="1:6">
      <c r="A60">
        <v>202301</v>
      </c>
      <c r="B60" s="6">
        <v>44935</v>
      </c>
      <c r="C60" t="s">
        <v>2447</v>
      </c>
      <c r="D60" t="s">
        <v>3646</v>
      </c>
      <c r="E60">
        <v>38.9</v>
      </c>
      <c r="F60" t="s">
        <v>28</v>
      </c>
    </row>
    <row r="61" spans="1:6">
      <c r="A61">
        <v>202301</v>
      </c>
      <c r="B61" s="6">
        <v>44935</v>
      </c>
      <c r="C61" t="s">
        <v>2265</v>
      </c>
      <c r="D61" t="s">
        <v>3647</v>
      </c>
      <c r="E61">
        <v>25.94</v>
      </c>
      <c r="F61" t="s">
        <v>21</v>
      </c>
    </row>
    <row r="62" spans="1:6">
      <c r="A62">
        <v>202301</v>
      </c>
      <c r="B62" s="6">
        <v>44936</v>
      </c>
      <c r="C62" t="s">
        <v>2262</v>
      </c>
      <c r="D62" t="s">
        <v>3648</v>
      </c>
      <c r="E62">
        <v>-116.54</v>
      </c>
      <c r="F62" t="s">
        <v>21</v>
      </c>
    </row>
    <row r="63" spans="1:6">
      <c r="A63">
        <v>202301</v>
      </c>
      <c r="B63" s="6">
        <v>44936</v>
      </c>
      <c r="C63" t="s">
        <v>2447</v>
      </c>
      <c r="D63" t="s">
        <v>3649</v>
      </c>
      <c r="E63">
        <v>45.2</v>
      </c>
      <c r="F63" t="s">
        <v>28</v>
      </c>
    </row>
    <row r="64" spans="1:6">
      <c r="A64">
        <v>202301</v>
      </c>
      <c r="B64" s="6">
        <v>44936</v>
      </c>
      <c r="C64" t="s">
        <v>2447</v>
      </c>
      <c r="D64" t="s">
        <v>3650</v>
      </c>
      <c r="E64">
        <v>75.849999999999994</v>
      </c>
      <c r="F64" t="s">
        <v>28</v>
      </c>
    </row>
    <row r="65" spans="1:6">
      <c r="A65">
        <v>202301</v>
      </c>
      <c r="B65" s="6">
        <v>44936</v>
      </c>
      <c r="C65" t="s">
        <v>2265</v>
      </c>
      <c r="D65" t="s">
        <v>3651</v>
      </c>
      <c r="E65">
        <v>-27.68</v>
      </c>
      <c r="F65" t="s">
        <v>9</v>
      </c>
    </row>
    <row r="66" spans="1:6">
      <c r="A66">
        <v>202301</v>
      </c>
      <c r="B66" s="6">
        <v>44936</v>
      </c>
      <c r="C66" t="s">
        <v>2305</v>
      </c>
      <c r="D66" t="s">
        <v>710</v>
      </c>
      <c r="E66">
        <v>-400</v>
      </c>
      <c r="F66" t="s">
        <v>9</v>
      </c>
    </row>
    <row r="67" spans="1:6">
      <c r="A67">
        <v>202301</v>
      </c>
      <c r="B67" s="6">
        <v>44936</v>
      </c>
      <c r="C67" t="s">
        <v>2262</v>
      </c>
      <c r="D67" t="s">
        <v>3652</v>
      </c>
      <c r="E67">
        <v>1.82</v>
      </c>
      <c r="F67" t="s">
        <v>26</v>
      </c>
    </row>
    <row r="68" spans="1:6">
      <c r="A68">
        <v>202301</v>
      </c>
      <c r="B68" s="6">
        <v>44936</v>
      </c>
      <c r="C68" t="s">
        <v>2262</v>
      </c>
      <c r="D68" t="s">
        <v>3653</v>
      </c>
      <c r="E68">
        <v>4.72</v>
      </c>
      <c r="F68" t="s">
        <v>26</v>
      </c>
    </row>
    <row r="69" spans="1:6">
      <c r="A69">
        <v>202301</v>
      </c>
      <c r="B69" s="6">
        <v>44936</v>
      </c>
      <c r="C69" t="s">
        <v>2262</v>
      </c>
      <c r="D69" t="s">
        <v>3654</v>
      </c>
      <c r="E69">
        <v>13.33</v>
      </c>
      <c r="F69" t="s">
        <v>40</v>
      </c>
    </row>
    <row r="70" spans="1:6">
      <c r="A70">
        <v>202301</v>
      </c>
      <c r="B70" s="6">
        <v>44936</v>
      </c>
      <c r="C70" t="s">
        <v>2265</v>
      </c>
      <c r="D70" t="s">
        <v>3655</v>
      </c>
      <c r="E70">
        <v>6150</v>
      </c>
      <c r="F70" t="s">
        <v>9</v>
      </c>
    </row>
    <row r="71" spans="1:6">
      <c r="A71">
        <v>202301</v>
      </c>
      <c r="B71" s="6">
        <v>44937</v>
      </c>
      <c r="C71" t="s">
        <v>2262</v>
      </c>
      <c r="D71" t="s">
        <v>3656</v>
      </c>
      <c r="E71">
        <v>820</v>
      </c>
      <c r="F71" t="s">
        <v>20</v>
      </c>
    </row>
    <row r="72" spans="1:6">
      <c r="A72">
        <v>202301</v>
      </c>
      <c r="B72" s="6">
        <v>44937</v>
      </c>
      <c r="C72" t="s">
        <v>2447</v>
      </c>
      <c r="D72" t="s">
        <v>3657</v>
      </c>
      <c r="E72">
        <v>47.98</v>
      </c>
      <c r="F72" t="s">
        <v>38</v>
      </c>
    </row>
    <row r="73" spans="1:6">
      <c r="A73">
        <v>202301</v>
      </c>
      <c r="B73" s="6">
        <v>44937</v>
      </c>
      <c r="C73" t="s">
        <v>2265</v>
      </c>
      <c r="D73" t="s">
        <v>3658</v>
      </c>
      <c r="E73">
        <v>-455</v>
      </c>
      <c r="F73" t="s">
        <v>9</v>
      </c>
    </row>
    <row r="74" spans="1:6">
      <c r="A74">
        <v>202301</v>
      </c>
      <c r="B74" s="6">
        <v>44937</v>
      </c>
      <c r="C74" t="s">
        <v>2262</v>
      </c>
      <c r="D74" t="s">
        <v>3659</v>
      </c>
      <c r="E74">
        <v>100</v>
      </c>
      <c r="F74" t="s">
        <v>20</v>
      </c>
    </row>
    <row r="75" spans="1:6">
      <c r="A75">
        <v>202301</v>
      </c>
      <c r="B75" s="6">
        <v>44937</v>
      </c>
      <c r="C75" t="s">
        <v>2447</v>
      </c>
      <c r="D75" t="s">
        <v>3660</v>
      </c>
      <c r="E75">
        <v>66.510000000000005</v>
      </c>
      <c r="F75" t="s">
        <v>23</v>
      </c>
    </row>
    <row r="76" spans="1:6">
      <c r="A76">
        <v>202301</v>
      </c>
      <c r="B76" s="6">
        <v>44937</v>
      </c>
      <c r="C76" t="s">
        <v>2262</v>
      </c>
      <c r="D76" t="s">
        <v>3661</v>
      </c>
      <c r="E76">
        <v>44.48</v>
      </c>
      <c r="F76" t="s">
        <v>23</v>
      </c>
    </row>
    <row r="77" spans="1:6">
      <c r="A77">
        <v>202301</v>
      </c>
      <c r="B77" s="6">
        <v>44937</v>
      </c>
      <c r="C77" t="s">
        <v>2447</v>
      </c>
      <c r="D77" t="s">
        <v>1850</v>
      </c>
      <c r="E77">
        <v>6.42</v>
      </c>
      <c r="F77" t="s">
        <v>2</v>
      </c>
    </row>
    <row r="78" spans="1:6">
      <c r="A78">
        <v>202301</v>
      </c>
      <c r="B78" s="6">
        <v>44937</v>
      </c>
      <c r="C78" t="s">
        <v>2265</v>
      </c>
      <c r="D78" t="s">
        <v>3662</v>
      </c>
      <c r="E78">
        <v>330</v>
      </c>
      <c r="F78" t="s">
        <v>20</v>
      </c>
    </row>
    <row r="79" spans="1:6">
      <c r="A79">
        <v>202301</v>
      </c>
      <c r="B79" s="6">
        <v>44937</v>
      </c>
      <c r="C79" t="s">
        <v>2265</v>
      </c>
      <c r="D79" t="s">
        <v>3663</v>
      </c>
      <c r="E79">
        <v>200</v>
      </c>
      <c r="F79" t="s">
        <v>9</v>
      </c>
    </row>
    <row r="80" spans="1:6">
      <c r="A80">
        <v>202301</v>
      </c>
      <c r="B80" s="6">
        <v>44937</v>
      </c>
      <c r="C80" t="s">
        <v>2305</v>
      </c>
      <c r="D80" t="s">
        <v>3664</v>
      </c>
      <c r="E80">
        <v>455</v>
      </c>
      <c r="F80" t="s">
        <v>9</v>
      </c>
    </row>
    <row r="81" spans="1:6">
      <c r="A81">
        <v>202301</v>
      </c>
      <c r="B81" s="6">
        <v>44938</v>
      </c>
      <c r="C81" t="s">
        <v>2262</v>
      </c>
      <c r="D81" t="s">
        <v>3665</v>
      </c>
      <c r="E81">
        <v>45</v>
      </c>
      <c r="F81" t="s">
        <v>7</v>
      </c>
    </row>
    <row r="82" spans="1:6">
      <c r="A82">
        <v>202301</v>
      </c>
      <c r="B82" s="6">
        <v>44938</v>
      </c>
      <c r="C82" t="s">
        <v>2265</v>
      </c>
      <c r="D82" t="s">
        <v>3666</v>
      </c>
      <c r="E82">
        <v>-2922.79</v>
      </c>
      <c r="F82" t="s">
        <v>64</v>
      </c>
    </row>
    <row r="83" spans="1:6">
      <c r="A83">
        <v>202301</v>
      </c>
      <c r="B83" s="6">
        <v>44939</v>
      </c>
      <c r="C83" t="s">
        <v>2262</v>
      </c>
      <c r="D83" t="s">
        <v>3667</v>
      </c>
      <c r="E83">
        <v>-52.79</v>
      </c>
      <c r="F83" t="s">
        <v>21</v>
      </c>
    </row>
    <row r="84" spans="1:6">
      <c r="A84">
        <v>202301</v>
      </c>
      <c r="B84" s="6">
        <v>44939</v>
      </c>
      <c r="C84" t="s">
        <v>2262</v>
      </c>
      <c r="D84" t="s">
        <v>3667</v>
      </c>
      <c r="E84">
        <v>-95.39</v>
      </c>
      <c r="F84" t="s">
        <v>21</v>
      </c>
    </row>
    <row r="85" spans="1:6">
      <c r="A85">
        <v>202301</v>
      </c>
      <c r="B85" s="6">
        <v>44939</v>
      </c>
      <c r="C85" t="s">
        <v>2265</v>
      </c>
      <c r="D85" t="s">
        <v>3668</v>
      </c>
      <c r="E85">
        <v>100</v>
      </c>
      <c r="F85" t="s">
        <v>9</v>
      </c>
    </row>
    <row r="86" spans="1:6">
      <c r="A86">
        <v>202301</v>
      </c>
      <c r="B86" s="6">
        <v>44940</v>
      </c>
      <c r="C86" t="s">
        <v>2447</v>
      </c>
      <c r="D86" t="s">
        <v>3669</v>
      </c>
      <c r="E86">
        <v>-31.99</v>
      </c>
      <c r="F86" t="s">
        <v>38</v>
      </c>
    </row>
    <row r="87" spans="1:6">
      <c r="A87">
        <v>202301</v>
      </c>
      <c r="B87" s="6">
        <v>44940</v>
      </c>
      <c r="C87" t="s">
        <v>2447</v>
      </c>
      <c r="D87" t="s">
        <v>3670</v>
      </c>
      <c r="E87">
        <v>-27.99</v>
      </c>
      <c r="F87" t="s">
        <v>38</v>
      </c>
    </row>
    <row r="88" spans="1:6">
      <c r="A88">
        <v>202301</v>
      </c>
      <c r="B88" s="6">
        <v>44940</v>
      </c>
      <c r="C88" t="s">
        <v>2262</v>
      </c>
      <c r="D88" t="s">
        <v>3671</v>
      </c>
      <c r="E88">
        <v>146.19999999999999</v>
      </c>
      <c r="F88" t="s">
        <v>21</v>
      </c>
    </row>
    <row r="89" spans="1:6">
      <c r="A89">
        <v>202301</v>
      </c>
      <c r="B89" s="6">
        <v>44940</v>
      </c>
      <c r="C89" t="s">
        <v>2262</v>
      </c>
      <c r="D89" t="s">
        <v>3672</v>
      </c>
      <c r="E89">
        <v>2903.18</v>
      </c>
      <c r="F89" t="s">
        <v>21</v>
      </c>
    </row>
    <row r="90" spans="1:6">
      <c r="A90">
        <v>202301</v>
      </c>
      <c r="B90" s="6">
        <v>44940</v>
      </c>
      <c r="C90" t="s">
        <v>2262</v>
      </c>
      <c r="D90" t="s">
        <v>3673</v>
      </c>
      <c r="E90">
        <v>36.56</v>
      </c>
      <c r="F90" t="s">
        <v>23</v>
      </c>
    </row>
    <row r="91" spans="1:6">
      <c r="A91">
        <v>202301</v>
      </c>
      <c r="B91" s="6">
        <v>44940</v>
      </c>
      <c r="C91" t="s">
        <v>2262</v>
      </c>
      <c r="D91" t="s">
        <v>3674</v>
      </c>
      <c r="E91">
        <v>7.51</v>
      </c>
      <c r="F91" t="s">
        <v>40</v>
      </c>
    </row>
    <row r="92" spans="1:6">
      <c r="A92">
        <v>202301</v>
      </c>
      <c r="B92" s="6">
        <v>44940</v>
      </c>
      <c r="C92" t="s">
        <v>2262</v>
      </c>
      <c r="D92" t="s">
        <v>3675</v>
      </c>
      <c r="E92">
        <v>57.85</v>
      </c>
      <c r="F92" t="s">
        <v>26</v>
      </c>
    </row>
    <row r="93" spans="1:6">
      <c r="A93">
        <v>202301</v>
      </c>
      <c r="B93" s="6">
        <v>44940</v>
      </c>
      <c r="C93" t="s">
        <v>2262</v>
      </c>
      <c r="D93" t="s">
        <v>3676</v>
      </c>
      <c r="E93">
        <v>9.09</v>
      </c>
      <c r="F93" t="s">
        <v>2</v>
      </c>
    </row>
    <row r="94" spans="1:6">
      <c r="A94">
        <v>202301</v>
      </c>
      <c r="B94" s="6">
        <v>44940</v>
      </c>
      <c r="C94" t="s">
        <v>2447</v>
      </c>
      <c r="D94" t="s">
        <v>3677</v>
      </c>
      <c r="E94">
        <v>184.59</v>
      </c>
      <c r="F94" t="s">
        <v>28</v>
      </c>
    </row>
    <row r="95" spans="1:6">
      <c r="A95">
        <v>202301</v>
      </c>
      <c r="B95" s="6">
        <v>44941</v>
      </c>
      <c r="C95" t="s">
        <v>2447</v>
      </c>
      <c r="D95" t="s">
        <v>3678</v>
      </c>
      <c r="E95">
        <v>6.41</v>
      </c>
      <c r="F95" t="s">
        <v>38</v>
      </c>
    </row>
    <row r="96" spans="1:6">
      <c r="A96">
        <v>202301</v>
      </c>
      <c r="B96" s="6">
        <v>44941</v>
      </c>
      <c r="C96" t="s">
        <v>2262</v>
      </c>
      <c r="D96" t="s">
        <v>3679</v>
      </c>
      <c r="E96">
        <v>267.36</v>
      </c>
      <c r="F96" t="s">
        <v>21</v>
      </c>
    </row>
    <row r="97" spans="1:6">
      <c r="A97">
        <v>202301</v>
      </c>
      <c r="B97" s="6">
        <v>44941</v>
      </c>
      <c r="C97" t="s">
        <v>2262</v>
      </c>
      <c r="D97" t="s">
        <v>3606</v>
      </c>
      <c r="E97">
        <v>61.9</v>
      </c>
      <c r="F97" t="s">
        <v>28</v>
      </c>
    </row>
    <row r="98" spans="1:6">
      <c r="A98">
        <v>202301</v>
      </c>
      <c r="B98" s="6">
        <v>44941</v>
      </c>
      <c r="C98" t="s">
        <v>2262</v>
      </c>
      <c r="D98" t="s">
        <v>3680</v>
      </c>
      <c r="E98">
        <v>54</v>
      </c>
      <c r="F98" t="s">
        <v>29</v>
      </c>
    </row>
    <row r="99" spans="1:6">
      <c r="A99">
        <v>202301</v>
      </c>
      <c r="B99" s="6">
        <v>44941</v>
      </c>
      <c r="C99" t="s">
        <v>2262</v>
      </c>
      <c r="D99" t="s">
        <v>3681</v>
      </c>
      <c r="E99">
        <v>7.3</v>
      </c>
      <c r="F99" t="s">
        <v>2</v>
      </c>
    </row>
    <row r="100" spans="1:6">
      <c r="A100">
        <v>202301</v>
      </c>
      <c r="B100" s="6">
        <v>44942</v>
      </c>
      <c r="C100" t="s">
        <v>2447</v>
      </c>
      <c r="D100" t="s">
        <v>3682</v>
      </c>
      <c r="E100">
        <v>19.12</v>
      </c>
      <c r="F100" t="s">
        <v>38</v>
      </c>
    </row>
    <row r="101" spans="1:6">
      <c r="A101">
        <v>202301</v>
      </c>
      <c r="B101" s="6">
        <v>44942</v>
      </c>
      <c r="C101" t="s">
        <v>2262</v>
      </c>
      <c r="D101" t="s">
        <v>3683</v>
      </c>
      <c r="E101">
        <v>9</v>
      </c>
      <c r="F101" t="s">
        <v>7</v>
      </c>
    </row>
    <row r="102" spans="1:6">
      <c r="A102">
        <v>202301</v>
      </c>
      <c r="B102" s="6">
        <v>44942</v>
      </c>
      <c r="C102" t="s">
        <v>2262</v>
      </c>
      <c r="D102" t="s">
        <v>3606</v>
      </c>
      <c r="E102">
        <v>11.98</v>
      </c>
      <c r="F102" t="s">
        <v>28</v>
      </c>
    </row>
    <row r="103" spans="1:6">
      <c r="A103">
        <v>202301</v>
      </c>
      <c r="B103" s="6">
        <v>44942</v>
      </c>
      <c r="C103" t="s">
        <v>2262</v>
      </c>
      <c r="D103" t="s">
        <v>3618</v>
      </c>
      <c r="E103">
        <v>-2402.6799999999998</v>
      </c>
      <c r="F103" t="s">
        <v>9</v>
      </c>
    </row>
    <row r="104" spans="1:6">
      <c r="A104">
        <v>202301</v>
      </c>
      <c r="B104" s="6">
        <v>44942</v>
      </c>
      <c r="C104" t="s">
        <v>2262</v>
      </c>
      <c r="D104" t="s">
        <v>3684</v>
      </c>
      <c r="E104">
        <v>27.34</v>
      </c>
      <c r="F104" t="s">
        <v>26</v>
      </c>
    </row>
    <row r="105" spans="1:6">
      <c r="A105">
        <v>202301</v>
      </c>
      <c r="B105" s="6">
        <v>44942</v>
      </c>
      <c r="C105" t="s">
        <v>2262</v>
      </c>
      <c r="D105" t="s">
        <v>3685</v>
      </c>
      <c r="E105">
        <v>129</v>
      </c>
      <c r="F105" t="s">
        <v>21</v>
      </c>
    </row>
    <row r="106" spans="1:6">
      <c r="A106">
        <v>202301</v>
      </c>
      <c r="B106" s="6">
        <v>44942</v>
      </c>
      <c r="C106" t="s">
        <v>2262</v>
      </c>
      <c r="D106" t="s">
        <v>3686</v>
      </c>
      <c r="E106">
        <v>8.99</v>
      </c>
      <c r="F106" t="s">
        <v>26</v>
      </c>
    </row>
    <row r="107" spans="1:6">
      <c r="A107">
        <v>202301</v>
      </c>
      <c r="B107" s="6">
        <v>44942</v>
      </c>
      <c r="C107" t="s">
        <v>2265</v>
      </c>
      <c r="D107" t="s">
        <v>2640</v>
      </c>
      <c r="E107">
        <v>2402.6799999999998</v>
      </c>
      <c r="F107" t="s">
        <v>9</v>
      </c>
    </row>
    <row r="108" spans="1:6">
      <c r="A108">
        <v>202301</v>
      </c>
      <c r="B108" s="6">
        <v>44943</v>
      </c>
      <c r="C108" t="s">
        <v>2447</v>
      </c>
      <c r="D108" t="s">
        <v>3687</v>
      </c>
      <c r="E108">
        <v>36.51</v>
      </c>
      <c r="F108" t="s">
        <v>38</v>
      </c>
    </row>
    <row r="109" spans="1:6">
      <c r="A109">
        <v>202301</v>
      </c>
      <c r="B109" s="6">
        <v>44943</v>
      </c>
      <c r="C109" t="s">
        <v>2447</v>
      </c>
      <c r="D109" t="s">
        <v>3688</v>
      </c>
      <c r="E109">
        <v>40.79</v>
      </c>
      <c r="F109" t="s">
        <v>38</v>
      </c>
    </row>
    <row r="110" spans="1:6">
      <c r="A110">
        <v>202301</v>
      </c>
      <c r="B110" s="6">
        <v>44943</v>
      </c>
      <c r="C110" t="s">
        <v>2447</v>
      </c>
      <c r="D110" t="s">
        <v>3689</v>
      </c>
      <c r="E110">
        <v>21.99</v>
      </c>
      <c r="F110" t="s">
        <v>38</v>
      </c>
    </row>
    <row r="111" spans="1:6">
      <c r="A111">
        <v>202301</v>
      </c>
      <c r="B111" s="6">
        <v>44943</v>
      </c>
      <c r="C111" t="s">
        <v>2447</v>
      </c>
      <c r="D111" t="s">
        <v>3690</v>
      </c>
      <c r="E111">
        <v>33.29</v>
      </c>
      <c r="F111" t="s">
        <v>38</v>
      </c>
    </row>
    <row r="112" spans="1:6">
      <c r="A112">
        <v>202301</v>
      </c>
      <c r="B112" s="6">
        <v>44943</v>
      </c>
      <c r="C112" t="s">
        <v>2447</v>
      </c>
      <c r="D112" t="s">
        <v>459</v>
      </c>
      <c r="E112">
        <v>-14.84</v>
      </c>
      <c r="F112" t="s">
        <v>69</v>
      </c>
    </row>
    <row r="113" spans="1:6">
      <c r="A113">
        <v>202301</v>
      </c>
      <c r="B113" s="6">
        <v>44943</v>
      </c>
      <c r="C113" t="s">
        <v>2447</v>
      </c>
      <c r="D113" t="s">
        <v>997</v>
      </c>
      <c r="E113">
        <v>-572.97</v>
      </c>
      <c r="F113" t="s">
        <v>9</v>
      </c>
    </row>
    <row r="114" spans="1:6">
      <c r="A114">
        <v>202301</v>
      </c>
      <c r="B114" s="6">
        <v>44943</v>
      </c>
      <c r="C114" t="s">
        <v>2265</v>
      </c>
      <c r="D114" t="s">
        <v>3691</v>
      </c>
      <c r="E114">
        <v>90.4</v>
      </c>
      <c r="F114" t="s">
        <v>18</v>
      </c>
    </row>
    <row r="115" spans="1:6">
      <c r="A115">
        <v>202301</v>
      </c>
      <c r="B115" s="6">
        <v>44943</v>
      </c>
      <c r="C115" t="s">
        <v>2265</v>
      </c>
      <c r="D115" t="s">
        <v>3692</v>
      </c>
      <c r="E115">
        <v>351.62</v>
      </c>
      <c r="F115" t="s">
        <v>18</v>
      </c>
    </row>
    <row r="116" spans="1:6">
      <c r="A116">
        <v>202301</v>
      </c>
      <c r="B116" s="6">
        <v>44944</v>
      </c>
      <c r="C116" t="s">
        <v>2262</v>
      </c>
      <c r="D116" t="s">
        <v>3693</v>
      </c>
      <c r="E116">
        <v>7.08</v>
      </c>
      <c r="F116" t="s">
        <v>38</v>
      </c>
    </row>
    <row r="117" spans="1:6">
      <c r="A117">
        <v>202301</v>
      </c>
      <c r="B117" s="6">
        <v>44944</v>
      </c>
      <c r="C117" t="s">
        <v>2447</v>
      </c>
      <c r="D117" t="s">
        <v>3694</v>
      </c>
      <c r="E117">
        <v>21.46</v>
      </c>
      <c r="F117" t="s">
        <v>38</v>
      </c>
    </row>
    <row r="118" spans="1:6">
      <c r="A118">
        <v>202301</v>
      </c>
      <c r="B118" s="6">
        <v>44944</v>
      </c>
      <c r="C118" t="s">
        <v>2262</v>
      </c>
      <c r="D118" t="s">
        <v>3695</v>
      </c>
      <c r="E118">
        <v>149.97999999999999</v>
      </c>
      <c r="F118" t="s">
        <v>21</v>
      </c>
    </row>
    <row r="119" spans="1:6">
      <c r="A119">
        <v>202301</v>
      </c>
      <c r="B119" s="6">
        <v>44944</v>
      </c>
      <c r="C119" t="s">
        <v>2262</v>
      </c>
      <c r="D119" t="s">
        <v>3641</v>
      </c>
      <c r="E119">
        <v>156.06</v>
      </c>
      <c r="F119" t="s">
        <v>48</v>
      </c>
    </row>
    <row r="120" spans="1:6">
      <c r="A120">
        <v>202301</v>
      </c>
      <c r="B120" s="6">
        <v>44944</v>
      </c>
      <c r="C120" t="s">
        <v>2265</v>
      </c>
      <c r="D120" t="s">
        <v>3698</v>
      </c>
      <c r="E120">
        <v>572.97</v>
      </c>
      <c r="F120" t="s">
        <v>9</v>
      </c>
    </row>
    <row r="121" spans="1:6">
      <c r="A121">
        <v>202301</v>
      </c>
      <c r="B121" s="6">
        <v>44944</v>
      </c>
      <c r="C121" t="s">
        <v>2265</v>
      </c>
      <c r="D121" t="s">
        <v>3696</v>
      </c>
      <c r="E121">
        <v>330</v>
      </c>
      <c r="F121" t="s">
        <v>20</v>
      </c>
    </row>
    <row r="122" spans="1:6">
      <c r="A122">
        <v>202301</v>
      </c>
      <c r="B122" s="6">
        <v>44944</v>
      </c>
      <c r="C122" t="s">
        <v>2265</v>
      </c>
      <c r="D122" t="s">
        <v>3697</v>
      </c>
      <c r="E122">
        <v>200</v>
      </c>
      <c r="F122" t="s">
        <v>20</v>
      </c>
    </row>
    <row r="123" spans="1:6">
      <c r="A123">
        <v>202301</v>
      </c>
      <c r="B123" s="6">
        <v>44945</v>
      </c>
      <c r="C123" t="s">
        <v>2262</v>
      </c>
      <c r="D123" t="s">
        <v>3699</v>
      </c>
      <c r="E123">
        <v>22.53</v>
      </c>
      <c r="F123" t="s">
        <v>38</v>
      </c>
    </row>
    <row r="124" spans="1:6">
      <c r="A124">
        <v>202301</v>
      </c>
      <c r="B124" s="6">
        <v>44945</v>
      </c>
      <c r="C124" t="s">
        <v>2447</v>
      </c>
      <c r="D124" t="s">
        <v>3649</v>
      </c>
      <c r="E124">
        <v>67.27</v>
      </c>
      <c r="F124" t="s">
        <v>28</v>
      </c>
    </row>
    <row r="125" spans="1:6">
      <c r="A125">
        <v>202301</v>
      </c>
      <c r="B125" s="6">
        <v>44945</v>
      </c>
      <c r="C125" t="s">
        <v>2265</v>
      </c>
      <c r="D125" t="s">
        <v>3700</v>
      </c>
      <c r="E125">
        <v>-2453.2199999999998</v>
      </c>
      <c r="F125" t="s">
        <v>66</v>
      </c>
    </row>
    <row r="126" spans="1:6">
      <c r="A126">
        <v>202301</v>
      </c>
      <c r="B126" s="6">
        <v>44946</v>
      </c>
      <c r="C126" t="s">
        <v>2262</v>
      </c>
      <c r="D126" t="s">
        <v>3701</v>
      </c>
      <c r="E126">
        <v>149.97999999999999</v>
      </c>
      <c r="F126" t="s">
        <v>21</v>
      </c>
    </row>
    <row r="127" spans="1:6">
      <c r="A127">
        <v>202301</v>
      </c>
      <c r="B127" s="6">
        <v>44946</v>
      </c>
      <c r="C127" t="s">
        <v>2262</v>
      </c>
      <c r="D127" t="s">
        <v>3702</v>
      </c>
      <c r="E127">
        <v>53</v>
      </c>
      <c r="F127" t="s">
        <v>21</v>
      </c>
    </row>
    <row r="128" spans="1:6">
      <c r="A128">
        <v>202301</v>
      </c>
      <c r="B128" s="6">
        <v>44946</v>
      </c>
      <c r="C128" t="s">
        <v>2262</v>
      </c>
      <c r="D128" t="s">
        <v>3703</v>
      </c>
      <c r="E128">
        <v>36.159999999999997</v>
      </c>
      <c r="F128" t="s">
        <v>26</v>
      </c>
    </row>
    <row r="129" spans="1:6">
      <c r="A129">
        <v>202301</v>
      </c>
      <c r="B129" s="6">
        <v>44946</v>
      </c>
      <c r="C129" t="s">
        <v>2262</v>
      </c>
      <c r="D129" t="s">
        <v>3705</v>
      </c>
      <c r="E129">
        <v>3557.43</v>
      </c>
      <c r="F129" t="s">
        <v>9</v>
      </c>
    </row>
    <row r="130" spans="1:6">
      <c r="A130">
        <v>202301</v>
      </c>
      <c r="B130" s="6">
        <v>44946</v>
      </c>
      <c r="C130" t="s">
        <v>2262</v>
      </c>
      <c r="D130" t="s">
        <v>3704</v>
      </c>
      <c r="E130">
        <v>56.94</v>
      </c>
      <c r="F130" t="s">
        <v>21</v>
      </c>
    </row>
    <row r="131" spans="1:6">
      <c r="A131">
        <v>202301</v>
      </c>
      <c r="B131" s="6">
        <v>44946</v>
      </c>
      <c r="C131" t="s">
        <v>2265</v>
      </c>
      <c r="D131" t="s">
        <v>3706</v>
      </c>
      <c r="E131">
        <v>125</v>
      </c>
      <c r="F131" t="s">
        <v>21</v>
      </c>
    </row>
    <row r="132" spans="1:6">
      <c r="A132">
        <v>202301</v>
      </c>
      <c r="B132" s="6">
        <v>44946</v>
      </c>
      <c r="C132" t="s">
        <v>2265</v>
      </c>
      <c r="D132" t="s">
        <v>2640</v>
      </c>
      <c r="E132">
        <v>3557.43</v>
      </c>
      <c r="F132" t="s">
        <v>9</v>
      </c>
    </row>
    <row r="133" spans="1:6">
      <c r="A133">
        <v>202301</v>
      </c>
      <c r="B133" s="6">
        <v>44948</v>
      </c>
      <c r="C133" t="s">
        <v>2262</v>
      </c>
      <c r="D133" t="s">
        <v>3707</v>
      </c>
      <c r="E133">
        <v>11</v>
      </c>
      <c r="F133" t="s">
        <v>2</v>
      </c>
    </row>
    <row r="134" spans="1:6">
      <c r="A134">
        <v>202301</v>
      </c>
      <c r="B134" s="6">
        <v>44948</v>
      </c>
      <c r="C134" t="s">
        <v>2262</v>
      </c>
      <c r="D134" t="s">
        <v>3708</v>
      </c>
      <c r="E134">
        <v>8</v>
      </c>
      <c r="F134" t="s">
        <v>7</v>
      </c>
    </row>
    <row r="135" spans="1:6">
      <c r="A135">
        <v>202301</v>
      </c>
      <c r="B135" s="6">
        <v>44948</v>
      </c>
      <c r="C135" t="s">
        <v>2262</v>
      </c>
      <c r="D135" t="s">
        <v>3709</v>
      </c>
      <c r="E135">
        <v>43.68</v>
      </c>
      <c r="F135" t="s">
        <v>23</v>
      </c>
    </row>
    <row r="136" spans="1:6">
      <c r="A136">
        <v>202301</v>
      </c>
      <c r="B136" s="6">
        <v>44948</v>
      </c>
      <c r="C136" t="s">
        <v>2262</v>
      </c>
      <c r="D136" t="s">
        <v>3710</v>
      </c>
      <c r="E136">
        <v>71.790000000000006</v>
      </c>
      <c r="F136" t="s">
        <v>26</v>
      </c>
    </row>
    <row r="137" spans="1:6">
      <c r="A137">
        <v>202301</v>
      </c>
      <c r="B137" s="6">
        <v>44948</v>
      </c>
      <c r="C137" t="s">
        <v>2262</v>
      </c>
      <c r="D137" t="s">
        <v>3711</v>
      </c>
      <c r="E137">
        <v>16.73</v>
      </c>
      <c r="F137" t="s">
        <v>7</v>
      </c>
    </row>
    <row r="138" spans="1:6">
      <c r="A138">
        <v>202301</v>
      </c>
      <c r="B138" s="6">
        <v>44948</v>
      </c>
      <c r="C138" t="s">
        <v>2262</v>
      </c>
      <c r="D138" t="s">
        <v>3712</v>
      </c>
      <c r="E138">
        <v>-156.06</v>
      </c>
      <c r="F138" t="s">
        <v>48</v>
      </c>
    </row>
    <row r="139" spans="1:6">
      <c r="A139">
        <v>202301</v>
      </c>
      <c r="B139" s="6">
        <v>44949</v>
      </c>
      <c r="C139" t="s">
        <v>2262</v>
      </c>
      <c r="D139" t="s">
        <v>3713</v>
      </c>
      <c r="E139">
        <v>40.79</v>
      </c>
      <c r="F139" t="s">
        <v>26</v>
      </c>
    </row>
    <row r="140" spans="1:6">
      <c r="A140">
        <v>202301</v>
      </c>
      <c r="B140" s="6">
        <v>44949</v>
      </c>
      <c r="C140" t="s">
        <v>2265</v>
      </c>
      <c r="D140" t="s">
        <v>3714</v>
      </c>
      <c r="E140">
        <v>55.5</v>
      </c>
      <c r="F140" t="s">
        <v>7</v>
      </c>
    </row>
    <row r="141" spans="1:6">
      <c r="A141">
        <v>202301</v>
      </c>
      <c r="B141" s="6">
        <v>44949</v>
      </c>
      <c r="C141" t="s">
        <v>2265</v>
      </c>
      <c r="D141" t="s">
        <v>3715</v>
      </c>
      <c r="E141">
        <v>165</v>
      </c>
      <c r="F141" t="s">
        <v>21</v>
      </c>
    </row>
    <row r="142" spans="1:6">
      <c r="A142">
        <v>202301</v>
      </c>
      <c r="B142" s="6">
        <v>44950</v>
      </c>
      <c r="C142" t="s">
        <v>2262</v>
      </c>
      <c r="D142" t="s">
        <v>3716</v>
      </c>
      <c r="E142">
        <v>52.49</v>
      </c>
      <c r="F142" t="s">
        <v>40</v>
      </c>
    </row>
    <row r="143" spans="1:6">
      <c r="A143">
        <v>202301</v>
      </c>
      <c r="B143" s="6">
        <v>44950</v>
      </c>
      <c r="C143" t="s">
        <v>2262</v>
      </c>
      <c r="D143" t="s">
        <v>3717</v>
      </c>
      <c r="E143">
        <v>1.99</v>
      </c>
      <c r="F143" t="s">
        <v>20</v>
      </c>
    </row>
    <row r="144" spans="1:6">
      <c r="A144">
        <v>202301</v>
      </c>
      <c r="B144" s="6">
        <v>44950</v>
      </c>
      <c r="C144" t="s">
        <v>2262</v>
      </c>
      <c r="D144" t="s">
        <v>3718</v>
      </c>
      <c r="E144">
        <v>210</v>
      </c>
      <c r="F144" t="s">
        <v>20</v>
      </c>
    </row>
    <row r="145" spans="1:6">
      <c r="A145">
        <v>202301</v>
      </c>
      <c r="B145" s="6">
        <v>44950</v>
      </c>
      <c r="C145" t="s">
        <v>2265</v>
      </c>
      <c r="D145" t="s">
        <v>3719</v>
      </c>
      <c r="E145">
        <v>330</v>
      </c>
      <c r="F145" t="s">
        <v>20</v>
      </c>
    </row>
    <row r="146" spans="1:6">
      <c r="A146">
        <v>202301</v>
      </c>
      <c r="B146" s="6">
        <v>44951</v>
      </c>
      <c r="C146" t="s">
        <v>2447</v>
      </c>
      <c r="D146" t="s">
        <v>3720</v>
      </c>
      <c r="E146">
        <v>-21.99</v>
      </c>
      <c r="F146" t="s">
        <v>38</v>
      </c>
    </row>
    <row r="147" spans="1:6">
      <c r="A147">
        <v>202301</v>
      </c>
      <c r="B147" s="6">
        <v>44951</v>
      </c>
      <c r="C147" t="s">
        <v>2447</v>
      </c>
      <c r="D147" t="s">
        <v>3721</v>
      </c>
      <c r="E147">
        <v>21.99</v>
      </c>
      <c r="F147" t="s">
        <v>38</v>
      </c>
    </row>
    <row r="148" spans="1:6">
      <c r="A148">
        <v>202301</v>
      </c>
      <c r="B148" s="6">
        <v>44951</v>
      </c>
      <c r="C148" t="s">
        <v>2447</v>
      </c>
      <c r="D148" t="s">
        <v>3722</v>
      </c>
      <c r="E148">
        <v>13.95</v>
      </c>
      <c r="F148" t="s">
        <v>38</v>
      </c>
    </row>
    <row r="149" spans="1:6">
      <c r="A149">
        <v>202301</v>
      </c>
      <c r="B149" s="6">
        <v>44951</v>
      </c>
      <c r="C149" t="s">
        <v>2447</v>
      </c>
      <c r="D149" t="s">
        <v>3723</v>
      </c>
      <c r="E149">
        <v>183.05</v>
      </c>
      <c r="F149" t="s">
        <v>38</v>
      </c>
    </row>
    <row r="150" spans="1:6">
      <c r="A150">
        <v>202301</v>
      </c>
      <c r="B150" s="6">
        <v>44951</v>
      </c>
      <c r="C150" t="s">
        <v>2447</v>
      </c>
      <c r="D150" t="s">
        <v>3724</v>
      </c>
      <c r="E150">
        <v>24.43</v>
      </c>
      <c r="F150" t="s">
        <v>26</v>
      </c>
    </row>
    <row r="151" spans="1:6">
      <c r="A151">
        <v>202301</v>
      </c>
      <c r="B151" s="6">
        <v>44951</v>
      </c>
      <c r="C151" t="s">
        <v>2265</v>
      </c>
      <c r="D151" t="s">
        <v>3725</v>
      </c>
      <c r="E151">
        <v>36.5</v>
      </c>
      <c r="F151" t="s">
        <v>21</v>
      </c>
    </row>
    <row r="152" spans="1:6">
      <c r="A152">
        <v>202301</v>
      </c>
      <c r="B152" s="6">
        <v>44951</v>
      </c>
      <c r="C152" t="s">
        <v>2265</v>
      </c>
      <c r="D152" t="s">
        <v>3726</v>
      </c>
      <c r="E152">
        <v>1310.3499999999999</v>
      </c>
      <c r="F152" t="s">
        <v>31</v>
      </c>
    </row>
    <row r="153" spans="1:6">
      <c r="A153">
        <v>202301</v>
      </c>
      <c r="B153" s="6">
        <v>44952</v>
      </c>
      <c r="C153" t="s">
        <v>2262</v>
      </c>
      <c r="D153" t="s">
        <v>3727</v>
      </c>
      <c r="E153">
        <v>-9.65</v>
      </c>
      <c r="F153" t="s">
        <v>38</v>
      </c>
    </row>
    <row r="154" spans="1:6">
      <c r="A154">
        <v>202301</v>
      </c>
      <c r="B154" s="6">
        <v>44952</v>
      </c>
      <c r="C154" t="s">
        <v>2262</v>
      </c>
      <c r="D154" t="s">
        <v>3728</v>
      </c>
      <c r="E154">
        <v>-22.53</v>
      </c>
      <c r="F154" t="s">
        <v>38</v>
      </c>
    </row>
    <row r="155" spans="1:6">
      <c r="A155">
        <v>202301</v>
      </c>
      <c r="B155" s="6">
        <v>44952</v>
      </c>
      <c r="C155" t="s">
        <v>2447</v>
      </c>
      <c r="D155" t="s">
        <v>3729</v>
      </c>
      <c r="E155">
        <v>103.41</v>
      </c>
      <c r="F155" t="s">
        <v>38</v>
      </c>
    </row>
    <row r="156" spans="1:6">
      <c r="A156">
        <v>202301</v>
      </c>
      <c r="B156" s="6">
        <v>44952</v>
      </c>
      <c r="C156" t="s">
        <v>2262</v>
      </c>
      <c r="D156" t="s">
        <v>3730</v>
      </c>
      <c r="E156">
        <v>45.23</v>
      </c>
      <c r="F156" t="s">
        <v>26</v>
      </c>
    </row>
    <row r="157" spans="1:6">
      <c r="A157">
        <v>202301</v>
      </c>
      <c r="B157" s="6">
        <v>44952</v>
      </c>
      <c r="C157" t="s">
        <v>2447</v>
      </c>
      <c r="D157" t="s">
        <v>3731</v>
      </c>
      <c r="E157">
        <v>5.1100000000000003</v>
      </c>
      <c r="F157" t="s">
        <v>26</v>
      </c>
    </row>
    <row r="158" spans="1:6">
      <c r="A158">
        <v>202301</v>
      </c>
      <c r="B158" s="6">
        <v>44952</v>
      </c>
      <c r="C158" t="s">
        <v>2262</v>
      </c>
      <c r="D158" t="s">
        <v>3732</v>
      </c>
      <c r="E158">
        <v>5.25</v>
      </c>
      <c r="F158" t="s">
        <v>26</v>
      </c>
    </row>
    <row r="159" spans="1:6">
      <c r="A159">
        <v>202301</v>
      </c>
      <c r="B159" s="6">
        <v>44952</v>
      </c>
      <c r="C159" t="s">
        <v>2265</v>
      </c>
      <c r="D159" t="s">
        <v>3733</v>
      </c>
      <c r="E159">
        <v>500</v>
      </c>
      <c r="F159" t="s">
        <v>9</v>
      </c>
    </row>
    <row r="160" spans="1:6">
      <c r="A160">
        <v>202301</v>
      </c>
      <c r="B160" s="6">
        <v>44953</v>
      </c>
      <c r="C160" t="s">
        <v>2447</v>
      </c>
      <c r="D160" t="s">
        <v>3734</v>
      </c>
      <c r="E160">
        <v>6.97</v>
      </c>
      <c r="F160" t="s">
        <v>38</v>
      </c>
    </row>
    <row r="161" spans="1:6">
      <c r="A161">
        <v>202301</v>
      </c>
      <c r="B161" s="6">
        <v>44953</v>
      </c>
      <c r="C161" t="s">
        <v>2262</v>
      </c>
      <c r="D161" t="s">
        <v>3735</v>
      </c>
      <c r="E161">
        <v>49.88</v>
      </c>
      <c r="F161" t="s">
        <v>23</v>
      </c>
    </row>
    <row r="162" spans="1:6">
      <c r="A162">
        <v>202301</v>
      </c>
      <c r="B162" s="6">
        <v>44953</v>
      </c>
      <c r="C162" t="s">
        <v>2262</v>
      </c>
      <c r="D162" t="s">
        <v>3736</v>
      </c>
      <c r="E162">
        <v>9.42</v>
      </c>
      <c r="F162" t="s">
        <v>26</v>
      </c>
    </row>
    <row r="163" spans="1:6">
      <c r="A163">
        <v>202301</v>
      </c>
      <c r="B163" s="6">
        <v>44954</v>
      </c>
      <c r="C163" t="s">
        <v>2447</v>
      </c>
      <c r="D163" t="s">
        <v>3737</v>
      </c>
      <c r="E163">
        <v>19.32</v>
      </c>
      <c r="F163" t="s">
        <v>38</v>
      </c>
    </row>
    <row r="164" spans="1:6">
      <c r="A164">
        <v>202301</v>
      </c>
      <c r="B164" s="6">
        <v>44954</v>
      </c>
      <c r="C164" t="s">
        <v>2447</v>
      </c>
      <c r="D164" t="s">
        <v>459</v>
      </c>
      <c r="E164">
        <v>-35.299999999999997</v>
      </c>
      <c r="F164" t="s">
        <v>9</v>
      </c>
    </row>
    <row r="165" spans="1:6">
      <c r="A165">
        <v>202301</v>
      </c>
      <c r="B165" s="6">
        <v>44954</v>
      </c>
      <c r="C165" t="s">
        <v>2447</v>
      </c>
      <c r="D165" t="s">
        <v>997</v>
      </c>
      <c r="E165">
        <v>-535.08000000000004</v>
      </c>
      <c r="F165" t="s">
        <v>9</v>
      </c>
    </row>
    <row r="166" spans="1:6">
      <c r="A166">
        <v>202301</v>
      </c>
      <c r="B166" s="6">
        <v>44954</v>
      </c>
      <c r="C166" t="s">
        <v>2447</v>
      </c>
      <c r="D166" t="s">
        <v>3738</v>
      </c>
      <c r="E166">
        <v>43.17</v>
      </c>
      <c r="F166" t="s">
        <v>28</v>
      </c>
    </row>
    <row r="167" spans="1:6">
      <c r="A167">
        <v>202301</v>
      </c>
      <c r="B167" s="6">
        <v>44955</v>
      </c>
      <c r="C167" t="s">
        <v>2265</v>
      </c>
      <c r="D167" t="s">
        <v>3739</v>
      </c>
      <c r="E167">
        <v>-2922.8</v>
      </c>
      <c r="F167" t="s">
        <v>64</v>
      </c>
    </row>
    <row r="168" spans="1:6">
      <c r="A168">
        <v>202301</v>
      </c>
      <c r="B168" s="6">
        <v>44955</v>
      </c>
      <c r="C168" t="s">
        <v>2262</v>
      </c>
      <c r="D168" t="s">
        <v>3740</v>
      </c>
      <c r="E168">
        <v>27.43</v>
      </c>
      <c r="F168" t="s">
        <v>26</v>
      </c>
    </row>
    <row r="169" spans="1:6">
      <c r="A169">
        <v>202301</v>
      </c>
      <c r="B169" s="6">
        <v>44955</v>
      </c>
      <c r="C169" t="s">
        <v>2262</v>
      </c>
      <c r="D169" t="s">
        <v>3741</v>
      </c>
      <c r="E169">
        <v>82.68</v>
      </c>
      <c r="F169" t="s">
        <v>26</v>
      </c>
    </row>
    <row r="170" spans="1:6">
      <c r="A170">
        <v>202301</v>
      </c>
      <c r="B170" s="6">
        <v>44956</v>
      </c>
      <c r="C170" t="s">
        <v>2447</v>
      </c>
      <c r="D170" t="s">
        <v>3742</v>
      </c>
      <c r="E170">
        <v>24.64</v>
      </c>
      <c r="F170" t="s">
        <v>38</v>
      </c>
    </row>
    <row r="171" spans="1:6">
      <c r="A171">
        <v>202301</v>
      </c>
      <c r="B171" s="6">
        <v>44956</v>
      </c>
      <c r="C171" t="s">
        <v>2447</v>
      </c>
      <c r="D171" t="s">
        <v>3743</v>
      </c>
      <c r="E171">
        <v>6.58</v>
      </c>
      <c r="F171" t="s">
        <v>38</v>
      </c>
    </row>
    <row r="172" spans="1:6">
      <c r="A172">
        <v>202301</v>
      </c>
      <c r="B172" s="6">
        <v>44956</v>
      </c>
      <c r="C172" t="s">
        <v>2447</v>
      </c>
      <c r="D172" t="s">
        <v>3744</v>
      </c>
      <c r="E172">
        <v>18.64</v>
      </c>
      <c r="F172" t="s">
        <v>38</v>
      </c>
    </row>
    <row r="173" spans="1:6">
      <c r="A173">
        <v>202301</v>
      </c>
      <c r="B173" s="6">
        <v>44956</v>
      </c>
      <c r="C173" t="s">
        <v>2262</v>
      </c>
      <c r="D173" t="s">
        <v>3745</v>
      </c>
      <c r="E173">
        <v>58.5</v>
      </c>
      <c r="F173" t="s">
        <v>21</v>
      </c>
    </row>
    <row r="174" spans="1:6">
      <c r="A174">
        <v>202301</v>
      </c>
      <c r="B174" s="6">
        <v>44956</v>
      </c>
      <c r="C174" t="s">
        <v>2262</v>
      </c>
      <c r="D174" t="s">
        <v>3746</v>
      </c>
      <c r="E174">
        <v>24.31</v>
      </c>
      <c r="F174" t="s">
        <v>21</v>
      </c>
    </row>
    <row r="175" spans="1:6">
      <c r="A175">
        <v>202301</v>
      </c>
      <c r="B175" s="6">
        <v>44956</v>
      </c>
      <c r="C175" t="s">
        <v>2262</v>
      </c>
      <c r="D175" t="s">
        <v>3747</v>
      </c>
      <c r="E175">
        <v>150</v>
      </c>
      <c r="F175" t="s">
        <v>20</v>
      </c>
    </row>
    <row r="176" spans="1:6">
      <c r="A176">
        <v>202301</v>
      </c>
      <c r="B176" s="6">
        <v>44956</v>
      </c>
      <c r="C176" t="s">
        <v>2262</v>
      </c>
      <c r="D176" t="s">
        <v>3748</v>
      </c>
      <c r="E176">
        <v>27.09</v>
      </c>
      <c r="F176" t="s">
        <v>26</v>
      </c>
    </row>
    <row r="177" spans="1:6">
      <c r="A177">
        <v>202301</v>
      </c>
      <c r="B177" s="6">
        <v>44956</v>
      </c>
      <c r="C177" t="s">
        <v>2265</v>
      </c>
      <c r="D177" t="s">
        <v>3751</v>
      </c>
      <c r="E177">
        <v>535.08000000000004</v>
      </c>
      <c r="F177" t="s">
        <v>9</v>
      </c>
    </row>
    <row r="178" spans="1:6">
      <c r="A178">
        <v>202301</v>
      </c>
      <c r="B178" s="6">
        <v>44956</v>
      </c>
      <c r="C178" t="s">
        <v>2265</v>
      </c>
      <c r="D178" t="s">
        <v>3749</v>
      </c>
      <c r="E178">
        <v>0.99</v>
      </c>
      <c r="F178" t="s">
        <v>21</v>
      </c>
    </row>
    <row r="179" spans="1:6">
      <c r="A179">
        <v>202301</v>
      </c>
      <c r="B179" s="6">
        <v>44956</v>
      </c>
      <c r="C179" t="s">
        <v>2265</v>
      </c>
      <c r="D179" t="s">
        <v>3750</v>
      </c>
      <c r="E179">
        <v>0.99</v>
      </c>
      <c r="F179" t="s">
        <v>21</v>
      </c>
    </row>
    <row r="180" spans="1:6">
      <c r="A180">
        <v>202301</v>
      </c>
      <c r="B180" s="6">
        <v>44957</v>
      </c>
      <c r="C180" t="s">
        <v>2447</v>
      </c>
      <c r="D180" t="s">
        <v>3752</v>
      </c>
      <c r="E180">
        <v>-31.01</v>
      </c>
      <c r="F180" t="s">
        <v>38</v>
      </c>
    </row>
    <row r="181" spans="1:6">
      <c r="A181">
        <v>202301</v>
      </c>
      <c r="B181" s="6">
        <v>44957</v>
      </c>
      <c r="C181" t="s">
        <v>2447</v>
      </c>
      <c r="D181" t="s">
        <v>3753</v>
      </c>
      <c r="E181">
        <v>-25.99</v>
      </c>
      <c r="F181" t="s">
        <v>38</v>
      </c>
    </row>
    <row r="182" spans="1:6">
      <c r="A182">
        <v>202301</v>
      </c>
      <c r="B182" s="6">
        <v>44957</v>
      </c>
      <c r="C182" t="s">
        <v>2447</v>
      </c>
      <c r="D182" t="s">
        <v>3754</v>
      </c>
      <c r="E182">
        <v>-13.95</v>
      </c>
      <c r="F182" t="s">
        <v>38</v>
      </c>
    </row>
    <row r="183" spans="1:6">
      <c r="A183">
        <v>202301</v>
      </c>
      <c r="B183" s="6">
        <v>44957</v>
      </c>
      <c r="C183" t="s">
        <v>2447</v>
      </c>
      <c r="D183" t="s">
        <v>3755</v>
      </c>
      <c r="E183">
        <v>1.46</v>
      </c>
      <c r="F183" t="s">
        <v>38</v>
      </c>
    </row>
    <row r="184" spans="1:6">
      <c r="A184">
        <v>202301</v>
      </c>
      <c r="B184" s="6">
        <v>44957</v>
      </c>
      <c r="C184" t="s">
        <v>2447</v>
      </c>
      <c r="D184" t="s">
        <v>3756</v>
      </c>
      <c r="E184">
        <v>12.87</v>
      </c>
      <c r="F184" t="s">
        <v>38</v>
      </c>
    </row>
    <row r="185" spans="1:6">
      <c r="A185">
        <v>202301</v>
      </c>
      <c r="B185" s="6">
        <v>44957</v>
      </c>
      <c r="C185" t="s">
        <v>2447</v>
      </c>
      <c r="D185" t="s">
        <v>3757</v>
      </c>
      <c r="E185">
        <v>24.69</v>
      </c>
      <c r="F185" t="s">
        <v>38</v>
      </c>
    </row>
    <row r="186" spans="1:6">
      <c r="A186">
        <v>202301</v>
      </c>
      <c r="B186" s="6">
        <v>44957</v>
      </c>
      <c r="C186" t="s">
        <v>2447</v>
      </c>
      <c r="D186" t="s">
        <v>3758</v>
      </c>
      <c r="E186">
        <v>51.14</v>
      </c>
      <c r="F186" t="s">
        <v>38</v>
      </c>
    </row>
    <row r="187" spans="1:6">
      <c r="A187">
        <v>202301</v>
      </c>
      <c r="B187" s="6">
        <v>44957</v>
      </c>
      <c r="C187" t="s">
        <v>2265</v>
      </c>
      <c r="D187" t="s">
        <v>3759</v>
      </c>
      <c r="E187">
        <v>-4076.82</v>
      </c>
      <c r="F187" t="s">
        <v>9</v>
      </c>
    </row>
    <row r="188" spans="1:6">
      <c r="A188">
        <v>202301</v>
      </c>
      <c r="B188" s="6">
        <v>44957</v>
      </c>
      <c r="C188" t="s">
        <v>2300</v>
      </c>
      <c r="D188" t="s">
        <v>3760</v>
      </c>
      <c r="E188">
        <v>-0.01</v>
      </c>
      <c r="F188" t="s">
        <v>9</v>
      </c>
    </row>
    <row r="189" spans="1:6">
      <c r="A189">
        <v>202301</v>
      </c>
      <c r="B189" s="6">
        <v>44957</v>
      </c>
      <c r="C189" t="s">
        <v>2265</v>
      </c>
      <c r="D189" t="s">
        <v>3761</v>
      </c>
      <c r="E189">
        <v>-50.23</v>
      </c>
      <c r="F189" t="s">
        <v>9</v>
      </c>
    </row>
    <row r="190" spans="1:6">
      <c r="A190">
        <v>202301</v>
      </c>
      <c r="B190" s="6">
        <v>44957</v>
      </c>
      <c r="C190" t="s">
        <v>2262</v>
      </c>
      <c r="D190" t="s">
        <v>3762</v>
      </c>
      <c r="E190">
        <v>3.43</v>
      </c>
      <c r="F190" t="s">
        <v>26</v>
      </c>
    </row>
    <row r="191" spans="1:6">
      <c r="A191">
        <v>202301</v>
      </c>
      <c r="B191" s="6">
        <v>44957</v>
      </c>
      <c r="C191" t="s">
        <v>2262</v>
      </c>
      <c r="D191" t="s">
        <v>3763</v>
      </c>
      <c r="E191">
        <v>41</v>
      </c>
      <c r="F191" t="s">
        <v>26</v>
      </c>
    </row>
    <row r="192" spans="1:6">
      <c r="A192">
        <v>202301</v>
      </c>
      <c r="B192" s="6">
        <v>44957</v>
      </c>
      <c r="C192" t="s">
        <v>2262</v>
      </c>
      <c r="D192" t="s">
        <v>3764</v>
      </c>
      <c r="E192">
        <v>28.38</v>
      </c>
      <c r="F192" t="s">
        <v>9</v>
      </c>
    </row>
    <row r="193" spans="1:6">
      <c r="A193">
        <v>202301</v>
      </c>
      <c r="B193" s="6">
        <v>44957</v>
      </c>
      <c r="C193" t="s">
        <v>2262</v>
      </c>
      <c r="D193" t="s">
        <v>3765</v>
      </c>
      <c r="E193">
        <v>258.11</v>
      </c>
      <c r="F193" t="s">
        <v>21</v>
      </c>
    </row>
    <row r="194" spans="1:6">
      <c r="A194">
        <v>202301</v>
      </c>
      <c r="B194" s="6">
        <v>44957</v>
      </c>
      <c r="C194" t="s">
        <v>2262</v>
      </c>
      <c r="D194" t="s">
        <v>3766</v>
      </c>
      <c r="E194">
        <v>14.21</v>
      </c>
      <c r="F194" t="s">
        <v>23</v>
      </c>
    </row>
    <row r="195" spans="1:6">
      <c r="A195">
        <v>202302</v>
      </c>
      <c r="B195" s="6">
        <v>44958</v>
      </c>
      <c r="C195" t="s">
        <v>2447</v>
      </c>
      <c r="D195" t="s">
        <v>3767</v>
      </c>
      <c r="E195">
        <v>5.36</v>
      </c>
      <c r="F195" t="s">
        <v>38</v>
      </c>
    </row>
    <row r="196" spans="1:6">
      <c r="A196">
        <v>202302</v>
      </c>
      <c r="B196" s="6">
        <v>44958</v>
      </c>
      <c r="C196" t="s">
        <v>2447</v>
      </c>
      <c r="D196" t="s">
        <v>3768</v>
      </c>
      <c r="E196">
        <v>-20.86</v>
      </c>
      <c r="F196" t="s">
        <v>38</v>
      </c>
    </row>
    <row r="197" spans="1:6">
      <c r="A197">
        <v>202302</v>
      </c>
      <c r="B197" s="6">
        <v>44958</v>
      </c>
      <c r="C197" t="s">
        <v>2447</v>
      </c>
      <c r="D197" t="s">
        <v>3769</v>
      </c>
      <c r="E197">
        <v>-25.99</v>
      </c>
      <c r="F197" t="s">
        <v>38</v>
      </c>
    </row>
    <row r="198" spans="1:6">
      <c r="A198">
        <v>202302</v>
      </c>
      <c r="B198" s="6">
        <v>44958</v>
      </c>
      <c r="C198" t="s">
        <v>2447</v>
      </c>
      <c r="D198" t="s">
        <v>3770</v>
      </c>
      <c r="E198">
        <v>-35.99</v>
      </c>
      <c r="F198" t="s">
        <v>38</v>
      </c>
    </row>
    <row r="199" spans="1:6">
      <c r="A199">
        <v>202302</v>
      </c>
      <c r="B199" s="6">
        <v>44958</v>
      </c>
      <c r="C199" t="s">
        <v>2447</v>
      </c>
      <c r="D199" t="s">
        <v>3771</v>
      </c>
      <c r="E199">
        <v>-18.239999999999998</v>
      </c>
      <c r="F199" t="s">
        <v>38</v>
      </c>
    </row>
    <row r="200" spans="1:6">
      <c r="A200">
        <v>202302</v>
      </c>
      <c r="B200" s="6">
        <v>44958</v>
      </c>
      <c r="C200" t="s">
        <v>2447</v>
      </c>
      <c r="D200" t="s">
        <v>3772</v>
      </c>
      <c r="E200">
        <v>65.98</v>
      </c>
      <c r="F200" t="s">
        <v>38</v>
      </c>
    </row>
    <row r="201" spans="1:6">
      <c r="A201">
        <v>202302</v>
      </c>
      <c r="B201" s="6">
        <v>44958</v>
      </c>
      <c r="C201" t="s">
        <v>2262</v>
      </c>
      <c r="D201" t="s">
        <v>14</v>
      </c>
      <c r="E201">
        <v>250</v>
      </c>
      <c r="F201" t="s">
        <v>14</v>
      </c>
    </row>
    <row r="202" spans="1:6">
      <c r="A202">
        <v>202302</v>
      </c>
      <c r="B202" s="6">
        <v>44958</v>
      </c>
      <c r="C202" t="s">
        <v>2262</v>
      </c>
      <c r="D202" t="s">
        <v>3773</v>
      </c>
      <c r="E202">
        <v>40.85</v>
      </c>
      <c r="F202" t="s">
        <v>9</v>
      </c>
    </row>
    <row r="203" spans="1:6">
      <c r="A203">
        <v>202302</v>
      </c>
      <c r="B203" s="6">
        <v>44958</v>
      </c>
      <c r="C203" t="s">
        <v>2262</v>
      </c>
      <c r="D203" t="s">
        <v>3774</v>
      </c>
      <c r="E203">
        <v>135.75</v>
      </c>
      <c r="F203" t="s">
        <v>48</v>
      </c>
    </row>
    <row r="204" spans="1:6">
      <c r="A204">
        <v>202302</v>
      </c>
      <c r="B204" s="6">
        <v>44958</v>
      </c>
      <c r="C204" t="s">
        <v>2262</v>
      </c>
      <c r="D204" t="s">
        <v>3775</v>
      </c>
      <c r="E204">
        <v>3881.07</v>
      </c>
      <c r="F204" t="s">
        <v>48</v>
      </c>
    </row>
    <row r="205" spans="1:6">
      <c r="A205">
        <v>202302</v>
      </c>
      <c r="B205" s="6">
        <v>44958</v>
      </c>
      <c r="C205" t="s">
        <v>2262</v>
      </c>
      <c r="D205" t="s">
        <v>3776</v>
      </c>
      <c r="E205">
        <v>60</v>
      </c>
      <c r="F205" t="s">
        <v>48</v>
      </c>
    </row>
    <row r="206" spans="1:6">
      <c r="A206">
        <v>202302</v>
      </c>
      <c r="B206" s="6">
        <v>44958</v>
      </c>
      <c r="C206" t="s">
        <v>2262</v>
      </c>
      <c r="D206" t="s">
        <v>3777</v>
      </c>
      <c r="E206">
        <v>21.97</v>
      </c>
      <c r="F206" t="s">
        <v>9</v>
      </c>
    </row>
    <row r="207" spans="1:6">
      <c r="A207">
        <v>202302</v>
      </c>
      <c r="B207" s="6">
        <v>44958</v>
      </c>
      <c r="C207" t="s">
        <v>2262</v>
      </c>
      <c r="D207" t="s">
        <v>3778</v>
      </c>
      <c r="E207">
        <v>18.54</v>
      </c>
      <c r="F207" t="s">
        <v>9</v>
      </c>
    </row>
    <row r="208" spans="1:6">
      <c r="A208">
        <v>202302</v>
      </c>
      <c r="B208" s="6">
        <v>44958</v>
      </c>
      <c r="C208" t="s">
        <v>2262</v>
      </c>
      <c r="D208" t="s">
        <v>3779</v>
      </c>
      <c r="E208">
        <v>15</v>
      </c>
      <c r="F208" t="s">
        <v>20</v>
      </c>
    </row>
    <row r="209" spans="1:6">
      <c r="A209">
        <v>202302</v>
      </c>
      <c r="B209" s="6">
        <v>44958</v>
      </c>
      <c r="C209" t="s">
        <v>2262</v>
      </c>
      <c r="D209" t="s">
        <v>3780</v>
      </c>
      <c r="E209">
        <v>52.79</v>
      </c>
      <c r="F209" t="s">
        <v>21</v>
      </c>
    </row>
    <row r="210" spans="1:6">
      <c r="A210">
        <v>202302</v>
      </c>
      <c r="B210" s="6">
        <v>44958</v>
      </c>
      <c r="C210" t="s">
        <v>2262</v>
      </c>
      <c r="D210" t="s">
        <v>3781</v>
      </c>
      <c r="E210">
        <v>49.8</v>
      </c>
      <c r="F210" t="s">
        <v>21</v>
      </c>
    </row>
    <row r="211" spans="1:6">
      <c r="A211">
        <v>202302</v>
      </c>
      <c r="B211" s="6">
        <v>44958</v>
      </c>
      <c r="C211" t="s">
        <v>2265</v>
      </c>
      <c r="D211" t="s">
        <v>6091</v>
      </c>
      <c r="E211">
        <v>2606.27</v>
      </c>
      <c r="F211" t="s">
        <v>5</v>
      </c>
    </row>
    <row r="212" spans="1:6">
      <c r="A212">
        <v>202302</v>
      </c>
      <c r="B212" s="6">
        <v>44958</v>
      </c>
      <c r="C212" t="s">
        <v>2265</v>
      </c>
      <c r="D212" t="s">
        <v>3782</v>
      </c>
      <c r="E212">
        <v>300</v>
      </c>
      <c r="F212" t="s">
        <v>61</v>
      </c>
    </row>
    <row r="213" spans="1:6">
      <c r="A213">
        <v>202302</v>
      </c>
      <c r="B213" s="6">
        <v>44958</v>
      </c>
      <c r="C213" t="s">
        <v>2265</v>
      </c>
      <c r="D213" t="s">
        <v>3783</v>
      </c>
      <c r="E213">
        <v>330</v>
      </c>
      <c r="F213" t="s">
        <v>20</v>
      </c>
    </row>
    <row r="214" spans="1:6">
      <c r="A214">
        <v>202302</v>
      </c>
      <c r="B214" s="6">
        <v>44958</v>
      </c>
      <c r="C214" t="s">
        <v>2265</v>
      </c>
      <c r="D214" t="s">
        <v>3784</v>
      </c>
      <c r="E214">
        <v>618.65</v>
      </c>
      <c r="F214" t="s">
        <v>11</v>
      </c>
    </row>
    <row r="215" spans="1:6">
      <c r="A215">
        <v>202302</v>
      </c>
      <c r="B215" s="6">
        <v>44959</v>
      </c>
      <c r="C215" t="s">
        <v>2265</v>
      </c>
      <c r="D215" t="s">
        <v>3785</v>
      </c>
      <c r="E215">
        <v>75</v>
      </c>
      <c r="F215" t="s">
        <v>66</v>
      </c>
    </row>
    <row r="216" spans="1:6">
      <c r="A216">
        <v>202302</v>
      </c>
      <c r="B216" s="6">
        <v>44959</v>
      </c>
      <c r="C216" t="s">
        <v>2265</v>
      </c>
      <c r="D216" t="s">
        <v>3786</v>
      </c>
      <c r="E216">
        <v>2465</v>
      </c>
      <c r="F216" t="s">
        <v>66</v>
      </c>
    </row>
    <row r="217" spans="1:6">
      <c r="A217">
        <v>202302</v>
      </c>
      <c r="B217" s="6">
        <v>44959</v>
      </c>
      <c r="C217" t="s">
        <v>2262</v>
      </c>
      <c r="D217" t="s">
        <v>3787</v>
      </c>
      <c r="E217">
        <v>59.98</v>
      </c>
      <c r="F217" t="s">
        <v>45</v>
      </c>
    </row>
    <row r="218" spans="1:6">
      <c r="A218">
        <v>202302</v>
      </c>
      <c r="B218" s="6">
        <v>44959</v>
      </c>
      <c r="C218" t="s">
        <v>2262</v>
      </c>
      <c r="D218" t="s">
        <v>3788</v>
      </c>
      <c r="E218">
        <v>185.01</v>
      </c>
      <c r="F218" t="s">
        <v>9</v>
      </c>
    </row>
    <row r="219" spans="1:6">
      <c r="A219">
        <v>202302</v>
      </c>
      <c r="B219" s="6">
        <v>44959</v>
      </c>
      <c r="C219" t="s">
        <v>2262</v>
      </c>
      <c r="D219" t="s">
        <v>3789</v>
      </c>
      <c r="E219">
        <v>396.68</v>
      </c>
      <c r="F219" t="s">
        <v>9</v>
      </c>
    </row>
    <row r="220" spans="1:6">
      <c r="A220">
        <v>202302</v>
      </c>
      <c r="B220" s="6">
        <v>44959</v>
      </c>
      <c r="C220" t="s">
        <v>2262</v>
      </c>
      <c r="D220" t="s">
        <v>3792</v>
      </c>
      <c r="E220">
        <v>5045.9799999999996</v>
      </c>
      <c r="F220" t="s">
        <v>9</v>
      </c>
    </row>
    <row r="221" spans="1:6">
      <c r="A221">
        <v>202302</v>
      </c>
      <c r="B221" s="6">
        <v>44959</v>
      </c>
      <c r="C221" t="s">
        <v>2262</v>
      </c>
      <c r="D221" t="s">
        <v>3790</v>
      </c>
      <c r="E221">
        <v>45.99</v>
      </c>
      <c r="F221" t="s">
        <v>9</v>
      </c>
    </row>
    <row r="222" spans="1:6">
      <c r="A222">
        <v>202302</v>
      </c>
      <c r="B222" s="6">
        <v>44959</v>
      </c>
      <c r="C222" t="s">
        <v>2262</v>
      </c>
      <c r="D222" t="s">
        <v>3791</v>
      </c>
      <c r="E222">
        <v>6.89</v>
      </c>
      <c r="F222" t="s">
        <v>23</v>
      </c>
    </row>
    <row r="223" spans="1:6">
      <c r="A223">
        <v>202302</v>
      </c>
      <c r="B223" s="6">
        <v>44959</v>
      </c>
      <c r="C223" t="s">
        <v>2265</v>
      </c>
      <c r="D223" t="s">
        <v>3793</v>
      </c>
      <c r="E223">
        <v>136</v>
      </c>
      <c r="F223" t="s">
        <v>21</v>
      </c>
    </row>
    <row r="224" spans="1:6">
      <c r="A224">
        <v>202302</v>
      </c>
      <c r="B224" s="6">
        <v>44959</v>
      </c>
      <c r="C224" t="s">
        <v>2265</v>
      </c>
      <c r="D224" t="s">
        <v>3794</v>
      </c>
      <c r="E224">
        <v>125</v>
      </c>
      <c r="F224" t="s">
        <v>21</v>
      </c>
    </row>
    <row r="225" spans="1:6">
      <c r="A225">
        <v>202302</v>
      </c>
      <c r="B225" s="6">
        <v>44959</v>
      </c>
      <c r="C225" t="s">
        <v>2265</v>
      </c>
      <c r="D225" t="s">
        <v>2640</v>
      </c>
      <c r="E225">
        <v>5045.9799999999996</v>
      </c>
      <c r="F225" t="s">
        <v>9</v>
      </c>
    </row>
    <row r="226" spans="1:6">
      <c r="A226">
        <v>202302</v>
      </c>
      <c r="B226" s="6">
        <v>44960</v>
      </c>
      <c r="C226" t="s">
        <v>2262</v>
      </c>
      <c r="D226" t="s">
        <v>3795</v>
      </c>
      <c r="E226">
        <v>20</v>
      </c>
      <c r="F226" t="s">
        <v>7</v>
      </c>
    </row>
    <row r="227" spans="1:6">
      <c r="A227">
        <v>202302</v>
      </c>
      <c r="B227" s="6">
        <v>44960</v>
      </c>
      <c r="C227" t="s">
        <v>2262</v>
      </c>
      <c r="D227" t="s">
        <v>3796</v>
      </c>
      <c r="E227">
        <v>48.24</v>
      </c>
      <c r="F227" t="s">
        <v>9</v>
      </c>
    </row>
    <row r="228" spans="1:6">
      <c r="A228">
        <v>202302</v>
      </c>
      <c r="B228" s="6">
        <v>44960</v>
      </c>
      <c r="C228" t="s">
        <v>2262</v>
      </c>
      <c r="D228" t="s">
        <v>3797</v>
      </c>
      <c r="E228">
        <v>10.73</v>
      </c>
      <c r="F228" t="s">
        <v>26</v>
      </c>
    </row>
    <row r="229" spans="1:6">
      <c r="A229">
        <v>202302</v>
      </c>
      <c r="B229" s="6">
        <v>44960</v>
      </c>
      <c r="C229" t="s">
        <v>2447</v>
      </c>
      <c r="D229" t="s">
        <v>3798</v>
      </c>
      <c r="E229">
        <v>55.3</v>
      </c>
      <c r="F229" t="s">
        <v>26</v>
      </c>
    </row>
    <row r="230" spans="1:6">
      <c r="A230">
        <v>202302</v>
      </c>
      <c r="B230" s="6">
        <v>44960</v>
      </c>
      <c r="C230" t="s">
        <v>2262</v>
      </c>
      <c r="D230" t="s">
        <v>3799</v>
      </c>
      <c r="E230">
        <v>4840</v>
      </c>
      <c r="F230" t="s">
        <v>43</v>
      </c>
    </row>
    <row r="231" spans="1:6">
      <c r="A231">
        <v>202302</v>
      </c>
      <c r="B231" s="6">
        <v>44960</v>
      </c>
      <c r="C231" t="s">
        <v>2447</v>
      </c>
      <c r="D231" t="s">
        <v>3800</v>
      </c>
      <c r="E231">
        <v>170.53</v>
      </c>
      <c r="F231" t="s">
        <v>2</v>
      </c>
    </row>
    <row r="232" spans="1:6">
      <c r="A232">
        <v>202302</v>
      </c>
      <c r="B232" s="6">
        <v>44960</v>
      </c>
      <c r="C232" t="s">
        <v>2265</v>
      </c>
      <c r="D232" t="s">
        <v>3801</v>
      </c>
      <c r="E232">
        <v>1330.99</v>
      </c>
      <c r="F232" t="s">
        <v>43</v>
      </c>
    </row>
    <row r="233" spans="1:6">
      <c r="A233">
        <v>202302</v>
      </c>
      <c r="B233" s="6">
        <v>44961</v>
      </c>
      <c r="C233" t="s">
        <v>2447</v>
      </c>
      <c r="D233" t="s">
        <v>3802</v>
      </c>
      <c r="E233">
        <v>1.49</v>
      </c>
      <c r="F233" t="s">
        <v>26</v>
      </c>
    </row>
    <row r="234" spans="1:6">
      <c r="A234">
        <v>202302</v>
      </c>
      <c r="B234" s="6">
        <v>44961</v>
      </c>
      <c r="C234" t="s">
        <v>2447</v>
      </c>
      <c r="D234" t="s">
        <v>3803</v>
      </c>
      <c r="E234">
        <v>0.79</v>
      </c>
      <c r="F234" t="s">
        <v>38</v>
      </c>
    </row>
    <row r="235" spans="1:6">
      <c r="A235">
        <v>202302</v>
      </c>
      <c r="B235" s="6">
        <v>44961</v>
      </c>
      <c r="C235" t="s">
        <v>2447</v>
      </c>
      <c r="D235" t="s">
        <v>3804</v>
      </c>
      <c r="E235">
        <v>37.4</v>
      </c>
      <c r="F235" t="s">
        <v>28</v>
      </c>
    </row>
    <row r="236" spans="1:6">
      <c r="A236">
        <v>202302</v>
      </c>
      <c r="B236" s="6">
        <v>44961</v>
      </c>
      <c r="C236" t="s">
        <v>2447</v>
      </c>
      <c r="D236" t="s">
        <v>3805</v>
      </c>
      <c r="E236">
        <v>36.119999999999997</v>
      </c>
      <c r="F236" t="s">
        <v>26</v>
      </c>
    </row>
    <row r="237" spans="1:6">
      <c r="A237">
        <v>202302</v>
      </c>
      <c r="B237" s="6">
        <v>44962</v>
      </c>
      <c r="C237" t="s">
        <v>2262</v>
      </c>
      <c r="D237" t="s">
        <v>3806</v>
      </c>
      <c r="E237">
        <v>3557.43</v>
      </c>
      <c r="F237" t="s">
        <v>9</v>
      </c>
    </row>
    <row r="238" spans="1:6">
      <c r="A238">
        <v>202302</v>
      </c>
      <c r="B238" s="6">
        <v>44962</v>
      </c>
      <c r="C238" t="s">
        <v>2447</v>
      </c>
      <c r="D238" t="s">
        <v>3807</v>
      </c>
      <c r="E238">
        <v>45.7</v>
      </c>
      <c r="F238" t="s">
        <v>26</v>
      </c>
    </row>
    <row r="239" spans="1:6">
      <c r="A239">
        <v>202302</v>
      </c>
      <c r="B239" s="6">
        <v>44963</v>
      </c>
      <c r="C239" t="s">
        <v>2262</v>
      </c>
      <c r="D239" t="s">
        <v>3808</v>
      </c>
      <c r="E239">
        <v>149.25</v>
      </c>
      <c r="F239" t="s">
        <v>38</v>
      </c>
    </row>
    <row r="240" spans="1:6">
      <c r="A240">
        <v>202302</v>
      </c>
      <c r="B240" s="6">
        <v>44963</v>
      </c>
      <c r="C240" t="s">
        <v>2447</v>
      </c>
      <c r="D240" t="s">
        <v>3809</v>
      </c>
      <c r="E240">
        <v>12.83</v>
      </c>
      <c r="F240" t="s">
        <v>38</v>
      </c>
    </row>
    <row r="241" spans="1:6">
      <c r="A241">
        <v>202302</v>
      </c>
      <c r="B241" s="6">
        <v>44963</v>
      </c>
      <c r="C241" t="s">
        <v>2265</v>
      </c>
      <c r="D241" t="s">
        <v>3810</v>
      </c>
      <c r="E241">
        <v>333</v>
      </c>
      <c r="F241" t="s">
        <v>16</v>
      </c>
    </row>
    <row r="242" spans="1:6">
      <c r="A242">
        <v>202302</v>
      </c>
      <c r="B242" s="6">
        <v>44963</v>
      </c>
      <c r="C242" t="s">
        <v>2262</v>
      </c>
      <c r="D242" t="s">
        <v>3811</v>
      </c>
      <c r="E242">
        <v>129</v>
      </c>
      <c r="F242" t="s">
        <v>9</v>
      </c>
    </row>
    <row r="243" spans="1:6">
      <c r="A243">
        <v>202302</v>
      </c>
      <c r="B243" s="6">
        <v>44963</v>
      </c>
      <c r="C243" t="s">
        <v>2262</v>
      </c>
      <c r="D243" t="s">
        <v>3816</v>
      </c>
      <c r="E243">
        <v>5613.52</v>
      </c>
      <c r="F243" t="s">
        <v>9</v>
      </c>
    </row>
    <row r="244" spans="1:6">
      <c r="A244">
        <v>202302</v>
      </c>
      <c r="B244" s="6">
        <v>44963</v>
      </c>
      <c r="C244" t="s">
        <v>2262</v>
      </c>
      <c r="D244" t="s">
        <v>3812</v>
      </c>
      <c r="E244">
        <v>695.22</v>
      </c>
      <c r="F244" t="s">
        <v>9</v>
      </c>
    </row>
    <row r="245" spans="1:6">
      <c r="A245">
        <v>202302</v>
      </c>
      <c r="B245" s="6">
        <v>44963</v>
      </c>
      <c r="C245" t="s">
        <v>2262</v>
      </c>
      <c r="D245" t="s">
        <v>3813</v>
      </c>
      <c r="E245">
        <v>95.25</v>
      </c>
      <c r="F245" t="s">
        <v>45</v>
      </c>
    </row>
    <row r="246" spans="1:6">
      <c r="A246">
        <v>202302</v>
      </c>
      <c r="B246" s="6">
        <v>44963</v>
      </c>
      <c r="C246" t="s">
        <v>2265</v>
      </c>
      <c r="D246" t="s">
        <v>3817</v>
      </c>
      <c r="E246">
        <v>315.69</v>
      </c>
      <c r="F246" t="s">
        <v>43</v>
      </c>
    </row>
    <row r="247" spans="1:6">
      <c r="A247">
        <v>202302</v>
      </c>
      <c r="B247" s="6">
        <v>44963</v>
      </c>
      <c r="C247" t="s">
        <v>2265</v>
      </c>
      <c r="D247" t="s">
        <v>3814</v>
      </c>
      <c r="E247">
        <v>47.94</v>
      </c>
      <c r="F247" t="s">
        <v>23</v>
      </c>
    </row>
    <row r="248" spans="1:6">
      <c r="A248">
        <v>202302</v>
      </c>
      <c r="B248" s="6">
        <v>44963</v>
      </c>
      <c r="C248" t="s">
        <v>2265</v>
      </c>
      <c r="D248" t="s">
        <v>3815</v>
      </c>
      <c r="E248">
        <v>5613.52</v>
      </c>
      <c r="F248" t="s">
        <v>9</v>
      </c>
    </row>
    <row r="249" spans="1:6">
      <c r="A249">
        <v>202302</v>
      </c>
      <c r="B249" s="6">
        <v>44964</v>
      </c>
      <c r="C249" t="s">
        <v>2447</v>
      </c>
      <c r="D249" t="s">
        <v>3818</v>
      </c>
      <c r="E249">
        <v>27.91</v>
      </c>
      <c r="F249" t="s">
        <v>38</v>
      </c>
    </row>
    <row r="250" spans="1:6">
      <c r="A250">
        <v>202302</v>
      </c>
      <c r="B250" s="6">
        <v>44964</v>
      </c>
      <c r="C250" t="s">
        <v>2447</v>
      </c>
      <c r="D250" t="s">
        <v>3819</v>
      </c>
      <c r="E250">
        <v>59.54</v>
      </c>
      <c r="F250" t="s">
        <v>38</v>
      </c>
    </row>
    <row r="251" spans="1:6">
      <c r="A251">
        <v>202302</v>
      </c>
      <c r="B251" s="6">
        <v>44964</v>
      </c>
      <c r="C251" t="s">
        <v>2447</v>
      </c>
      <c r="D251" t="s">
        <v>3820</v>
      </c>
      <c r="E251">
        <v>16.100000000000001</v>
      </c>
      <c r="F251" t="s">
        <v>38</v>
      </c>
    </row>
    <row r="252" spans="1:6">
      <c r="A252">
        <v>202302</v>
      </c>
      <c r="B252" s="6">
        <v>44964</v>
      </c>
      <c r="C252" t="s">
        <v>2447</v>
      </c>
      <c r="D252" t="s">
        <v>3821</v>
      </c>
      <c r="E252">
        <v>94.98</v>
      </c>
      <c r="F252" t="s">
        <v>38</v>
      </c>
    </row>
    <row r="253" spans="1:6">
      <c r="A253">
        <v>202302</v>
      </c>
      <c r="B253" s="6">
        <v>44964</v>
      </c>
      <c r="C253" t="s">
        <v>2447</v>
      </c>
      <c r="D253" t="s">
        <v>3822</v>
      </c>
      <c r="E253">
        <v>80.34</v>
      </c>
      <c r="F253" t="s">
        <v>48</v>
      </c>
    </row>
    <row r="254" spans="1:6">
      <c r="A254">
        <v>202302</v>
      </c>
      <c r="B254" s="6">
        <v>44964</v>
      </c>
      <c r="C254" t="s">
        <v>2447</v>
      </c>
      <c r="D254" t="s">
        <v>3823</v>
      </c>
      <c r="E254">
        <v>16.21</v>
      </c>
      <c r="F254" t="s">
        <v>21</v>
      </c>
    </row>
    <row r="255" spans="1:6">
      <c r="A255">
        <v>202302</v>
      </c>
      <c r="B255" s="6">
        <v>44964</v>
      </c>
      <c r="C255" t="s">
        <v>2447</v>
      </c>
      <c r="D255" t="s">
        <v>3824</v>
      </c>
      <c r="E255">
        <v>29</v>
      </c>
      <c r="F255" t="s">
        <v>21</v>
      </c>
    </row>
    <row r="256" spans="1:6">
      <c r="A256">
        <v>202302</v>
      </c>
      <c r="B256" s="6">
        <v>44964</v>
      </c>
      <c r="C256" t="s">
        <v>2265</v>
      </c>
      <c r="D256" t="s">
        <v>3825</v>
      </c>
      <c r="E256">
        <v>330</v>
      </c>
      <c r="F256" t="s">
        <v>20</v>
      </c>
    </row>
    <row r="257" spans="1:6">
      <c r="A257">
        <v>202302</v>
      </c>
      <c r="B257" s="6">
        <v>44964</v>
      </c>
      <c r="C257" t="s">
        <v>2265</v>
      </c>
      <c r="D257" t="s">
        <v>3826</v>
      </c>
      <c r="E257">
        <v>181.86</v>
      </c>
      <c r="F257" t="s">
        <v>7</v>
      </c>
    </row>
    <row r="258" spans="1:6">
      <c r="A258">
        <v>202302</v>
      </c>
      <c r="B258" s="6">
        <v>44965</v>
      </c>
      <c r="C258" t="s">
        <v>2447</v>
      </c>
      <c r="D258" t="s">
        <v>3827</v>
      </c>
      <c r="E258">
        <v>-24.69</v>
      </c>
      <c r="F258" t="s">
        <v>38</v>
      </c>
    </row>
    <row r="259" spans="1:6">
      <c r="A259">
        <v>202302</v>
      </c>
      <c r="B259" s="6">
        <v>44965</v>
      </c>
      <c r="C259" t="s">
        <v>2447</v>
      </c>
      <c r="D259" t="s">
        <v>3828</v>
      </c>
      <c r="E259">
        <v>-18.64</v>
      </c>
      <c r="F259" t="s">
        <v>38</v>
      </c>
    </row>
    <row r="260" spans="1:6">
      <c r="A260">
        <v>202302</v>
      </c>
      <c r="B260" s="6">
        <v>44965</v>
      </c>
      <c r="C260" t="s">
        <v>2447</v>
      </c>
      <c r="D260" t="s">
        <v>3829</v>
      </c>
      <c r="E260">
        <v>-13.15</v>
      </c>
      <c r="F260" t="s">
        <v>38</v>
      </c>
    </row>
    <row r="261" spans="1:6">
      <c r="A261">
        <v>202302</v>
      </c>
      <c r="B261" s="6">
        <v>44965</v>
      </c>
      <c r="C261" t="s">
        <v>2447</v>
      </c>
      <c r="D261" t="s">
        <v>3830</v>
      </c>
      <c r="E261">
        <v>-29.99</v>
      </c>
      <c r="F261" t="s">
        <v>38</v>
      </c>
    </row>
    <row r="262" spans="1:6">
      <c r="A262">
        <v>202302</v>
      </c>
      <c r="B262" s="6">
        <v>44965</v>
      </c>
      <c r="C262" t="s">
        <v>2447</v>
      </c>
      <c r="D262" t="s">
        <v>3831</v>
      </c>
      <c r="E262">
        <v>-29.99</v>
      </c>
      <c r="F262" t="s">
        <v>38</v>
      </c>
    </row>
    <row r="263" spans="1:6">
      <c r="A263">
        <v>202302</v>
      </c>
      <c r="B263" s="6">
        <v>44965</v>
      </c>
      <c r="C263" t="s">
        <v>2447</v>
      </c>
      <c r="D263" t="s">
        <v>3832</v>
      </c>
      <c r="E263">
        <v>-35.99</v>
      </c>
      <c r="F263" t="s">
        <v>38</v>
      </c>
    </row>
    <row r="264" spans="1:6">
      <c r="A264">
        <v>202302</v>
      </c>
      <c r="B264" s="6">
        <v>44965</v>
      </c>
      <c r="C264" t="s">
        <v>2447</v>
      </c>
      <c r="D264" t="s">
        <v>3833</v>
      </c>
      <c r="E264">
        <v>11.8</v>
      </c>
      <c r="F264" t="s">
        <v>38</v>
      </c>
    </row>
    <row r="265" spans="1:6">
      <c r="A265">
        <v>202302</v>
      </c>
      <c r="B265" s="6">
        <v>44965</v>
      </c>
      <c r="C265" t="s">
        <v>2447</v>
      </c>
      <c r="D265" t="s">
        <v>3834</v>
      </c>
      <c r="E265">
        <v>33.26</v>
      </c>
      <c r="F265" t="s">
        <v>38</v>
      </c>
    </row>
    <row r="266" spans="1:6">
      <c r="A266">
        <v>202302</v>
      </c>
      <c r="B266" s="6">
        <v>44965</v>
      </c>
      <c r="C266" t="s">
        <v>2447</v>
      </c>
      <c r="D266" t="s">
        <v>3835</v>
      </c>
      <c r="E266">
        <v>21.99</v>
      </c>
      <c r="F266" t="s">
        <v>38</v>
      </c>
    </row>
    <row r="267" spans="1:6">
      <c r="A267">
        <v>202302</v>
      </c>
      <c r="B267" s="6">
        <v>44965</v>
      </c>
      <c r="C267" t="s">
        <v>2265</v>
      </c>
      <c r="D267" t="s">
        <v>3836</v>
      </c>
      <c r="E267">
        <v>80.34</v>
      </c>
      <c r="F267" t="s">
        <v>48</v>
      </c>
    </row>
    <row r="268" spans="1:6">
      <c r="A268">
        <v>202302</v>
      </c>
      <c r="B268" s="6">
        <v>44965</v>
      </c>
      <c r="C268" t="s">
        <v>2262</v>
      </c>
      <c r="D268" t="s">
        <v>3840</v>
      </c>
      <c r="E268">
        <v>1068.72</v>
      </c>
      <c r="F268" t="s">
        <v>9</v>
      </c>
    </row>
    <row r="269" spans="1:6">
      <c r="A269">
        <v>202302</v>
      </c>
      <c r="B269" s="6">
        <v>44965</v>
      </c>
      <c r="C269" t="s">
        <v>2447</v>
      </c>
      <c r="D269" t="s">
        <v>3837</v>
      </c>
      <c r="E269">
        <v>69.92</v>
      </c>
      <c r="F269" t="s">
        <v>26</v>
      </c>
    </row>
    <row r="270" spans="1:6">
      <c r="A270">
        <v>202302</v>
      </c>
      <c r="B270" s="6">
        <v>44965</v>
      </c>
      <c r="C270" t="s">
        <v>2265</v>
      </c>
      <c r="D270" t="s">
        <v>3838</v>
      </c>
      <c r="E270">
        <v>492.07</v>
      </c>
      <c r="F270" t="s">
        <v>7</v>
      </c>
    </row>
    <row r="271" spans="1:6">
      <c r="A271">
        <v>202302</v>
      </c>
      <c r="B271" s="6">
        <v>44965</v>
      </c>
      <c r="C271" t="s">
        <v>2265</v>
      </c>
      <c r="D271" t="s">
        <v>3839</v>
      </c>
      <c r="E271">
        <v>14.03</v>
      </c>
      <c r="F271" t="s">
        <v>21</v>
      </c>
    </row>
    <row r="272" spans="1:6">
      <c r="A272">
        <v>202302</v>
      </c>
      <c r="B272" s="6">
        <v>44965</v>
      </c>
      <c r="C272" t="s">
        <v>2265</v>
      </c>
      <c r="D272" t="s">
        <v>3841</v>
      </c>
      <c r="E272">
        <v>111.81</v>
      </c>
      <c r="F272" t="s">
        <v>21</v>
      </c>
    </row>
    <row r="273" spans="1:6">
      <c r="A273">
        <v>202302</v>
      </c>
      <c r="B273" s="6">
        <v>44965</v>
      </c>
      <c r="C273" t="s">
        <v>2265</v>
      </c>
      <c r="D273" t="s">
        <v>3842</v>
      </c>
      <c r="E273">
        <v>153.55000000000001</v>
      </c>
      <c r="F273" t="s">
        <v>7</v>
      </c>
    </row>
    <row r="274" spans="1:6">
      <c r="A274">
        <v>202302</v>
      </c>
      <c r="B274" s="6">
        <v>44965</v>
      </c>
      <c r="C274" t="s">
        <v>2265</v>
      </c>
      <c r="D274" t="s">
        <v>3815</v>
      </c>
      <c r="E274">
        <v>1068.72</v>
      </c>
      <c r="F274" t="s">
        <v>9</v>
      </c>
    </row>
    <row r="275" spans="1:6">
      <c r="A275">
        <v>202302</v>
      </c>
      <c r="B275" s="6">
        <v>44966</v>
      </c>
      <c r="C275" t="s">
        <v>2447</v>
      </c>
      <c r="D275" t="s">
        <v>3843</v>
      </c>
      <c r="E275">
        <v>25</v>
      </c>
      <c r="F275" t="s">
        <v>41</v>
      </c>
    </row>
    <row r="276" spans="1:6">
      <c r="A276">
        <v>202302</v>
      </c>
      <c r="B276" s="6">
        <v>44967</v>
      </c>
      <c r="C276" t="s">
        <v>2447</v>
      </c>
      <c r="D276" t="s">
        <v>3844</v>
      </c>
      <c r="E276">
        <v>178.37</v>
      </c>
      <c r="F276" t="s">
        <v>28</v>
      </c>
    </row>
    <row r="277" spans="1:6">
      <c r="A277">
        <v>202302</v>
      </c>
      <c r="B277" s="6">
        <v>44967</v>
      </c>
      <c r="C277" t="s">
        <v>2447</v>
      </c>
      <c r="D277" t="s">
        <v>3845</v>
      </c>
      <c r="E277">
        <v>38.89</v>
      </c>
      <c r="F277" t="s">
        <v>28</v>
      </c>
    </row>
    <row r="278" spans="1:6">
      <c r="A278">
        <v>202302</v>
      </c>
      <c r="B278" s="6">
        <v>44967</v>
      </c>
      <c r="C278" t="s">
        <v>2262</v>
      </c>
      <c r="D278" t="s">
        <v>3846</v>
      </c>
      <c r="E278">
        <v>47.25</v>
      </c>
      <c r="F278" t="s">
        <v>34</v>
      </c>
    </row>
    <row r="279" spans="1:6">
      <c r="A279">
        <v>202302</v>
      </c>
      <c r="B279" s="6">
        <v>44969</v>
      </c>
      <c r="C279" t="s">
        <v>2262</v>
      </c>
      <c r="D279" t="s">
        <v>3847</v>
      </c>
      <c r="E279">
        <v>55.92</v>
      </c>
      <c r="F279" t="s">
        <v>26</v>
      </c>
    </row>
    <row r="280" spans="1:6">
      <c r="A280">
        <v>202302</v>
      </c>
      <c r="B280" s="6">
        <v>44969</v>
      </c>
      <c r="C280" t="s">
        <v>2262</v>
      </c>
      <c r="D280" t="s">
        <v>3848</v>
      </c>
      <c r="E280">
        <v>19</v>
      </c>
      <c r="F280" t="s">
        <v>40</v>
      </c>
    </row>
    <row r="281" spans="1:6">
      <c r="A281">
        <v>202302</v>
      </c>
      <c r="B281" s="6">
        <v>44969</v>
      </c>
      <c r="C281" t="s">
        <v>2262</v>
      </c>
      <c r="D281" t="s">
        <v>3849</v>
      </c>
      <c r="E281">
        <v>42.22</v>
      </c>
      <c r="F281" t="s">
        <v>28</v>
      </c>
    </row>
    <row r="282" spans="1:6">
      <c r="A282">
        <v>202302</v>
      </c>
      <c r="B282" s="6">
        <v>44969</v>
      </c>
      <c r="C282" t="s">
        <v>2262</v>
      </c>
      <c r="D282" t="s">
        <v>3850</v>
      </c>
      <c r="E282">
        <v>104.5</v>
      </c>
      <c r="F282" t="s">
        <v>20</v>
      </c>
    </row>
    <row r="283" spans="1:6">
      <c r="A283">
        <v>202302</v>
      </c>
      <c r="B283" s="6">
        <v>44969</v>
      </c>
      <c r="C283" t="s">
        <v>2262</v>
      </c>
      <c r="D283" t="s">
        <v>3851</v>
      </c>
      <c r="E283">
        <v>19.11</v>
      </c>
      <c r="F283" t="s">
        <v>45</v>
      </c>
    </row>
    <row r="284" spans="1:6">
      <c r="A284">
        <v>202302</v>
      </c>
      <c r="B284" s="6">
        <v>44969</v>
      </c>
      <c r="C284" t="s">
        <v>2262</v>
      </c>
      <c r="D284" t="s">
        <v>3852</v>
      </c>
      <c r="E284">
        <v>46.48</v>
      </c>
      <c r="F284" t="s">
        <v>23</v>
      </c>
    </row>
    <row r="285" spans="1:6">
      <c r="A285">
        <v>202302</v>
      </c>
      <c r="B285" s="6">
        <v>44969</v>
      </c>
      <c r="C285" t="s">
        <v>2262</v>
      </c>
      <c r="D285" t="s">
        <v>3853</v>
      </c>
      <c r="E285">
        <v>29.14</v>
      </c>
      <c r="F285" t="s">
        <v>26</v>
      </c>
    </row>
    <row r="286" spans="1:6">
      <c r="A286">
        <v>202302</v>
      </c>
      <c r="B286" s="6">
        <v>44970</v>
      </c>
      <c r="C286" t="s">
        <v>2447</v>
      </c>
      <c r="D286" t="s">
        <v>3854</v>
      </c>
      <c r="E286">
        <v>86.96</v>
      </c>
      <c r="F286" t="s">
        <v>38</v>
      </c>
    </row>
    <row r="287" spans="1:6">
      <c r="A287">
        <v>202302</v>
      </c>
      <c r="B287" s="6">
        <v>44970</v>
      </c>
      <c r="C287" t="s">
        <v>2447</v>
      </c>
      <c r="D287" t="s">
        <v>3855</v>
      </c>
      <c r="E287">
        <v>5</v>
      </c>
      <c r="F287" t="s">
        <v>26</v>
      </c>
    </row>
    <row r="288" spans="1:6">
      <c r="A288">
        <v>202302</v>
      </c>
      <c r="B288" s="6">
        <v>44970</v>
      </c>
      <c r="C288" t="s">
        <v>2447</v>
      </c>
      <c r="D288" t="s">
        <v>997</v>
      </c>
      <c r="E288">
        <v>-1019.81</v>
      </c>
      <c r="F288" t="s">
        <v>9</v>
      </c>
    </row>
    <row r="289" spans="1:6">
      <c r="A289">
        <v>202302</v>
      </c>
      <c r="B289" s="6">
        <v>44970</v>
      </c>
      <c r="C289" t="s">
        <v>2262</v>
      </c>
      <c r="D289" t="s">
        <v>3856</v>
      </c>
      <c r="E289">
        <v>36.47</v>
      </c>
      <c r="F289" t="s">
        <v>21</v>
      </c>
    </row>
    <row r="290" spans="1:6">
      <c r="A290">
        <v>202302</v>
      </c>
      <c r="B290" s="6">
        <v>44970</v>
      </c>
      <c r="C290" t="s">
        <v>2262</v>
      </c>
      <c r="D290" t="s">
        <v>3857</v>
      </c>
      <c r="E290">
        <v>48.24</v>
      </c>
      <c r="F290" t="s">
        <v>9</v>
      </c>
    </row>
    <row r="291" spans="1:6">
      <c r="A291">
        <v>202302</v>
      </c>
      <c r="B291" s="6">
        <v>44971</v>
      </c>
      <c r="C291" t="s">
        <v>2265</v>
      </c>
      <c r="D291" t="s">
        <v>3858</v>
      </c>
      <c r="E291">
        <v>2922.78</v>
      </c>
      <c r="F291" t="s">
        <v>64</v>
      </c>
    </row>
    <row r="292" spans="1:6">
      <c r="A292">
        <v>202302</v>
      </c>
      <c r="B292" s="6">
        <v>44971</v>
      </c>
      <c r="C292" t="s">
        <v>2447</v>
      </c>
      <c r="D292" t="s">
        <v>3859</v>
      </c>
      <c r="E292">
        <v>17.989999999999998</v>
      </c>
      <c r="F292" t="s">
        <v>26</v>
      </c>
    </row>
    <row r="293" spans="1:6">
      <c r="A293">
        <v>202302</v>
      </c>
      <c r="B293" s="6">
        <v>44971</v>
      </c>
      <c r="C293" t="s">
        <v>2262</v>
      </c>
      <c r="D293" t="s">
        <v>3860</v>
      </c>
      <c r="E293">
        <v>115.4</v>
      </c>
      <c r="F293" t="s">
        <v>48</v>
      </c>
    </row>
    <row r="294" spans="1:6">
      <c r="A294">
        <v>202302</v>
      </c>
      <c r="B294" s="6">
        <v>44971</v>
      </c>
      <c r="C294" t="s">
        <v>2265</v>
      </c>
      <c r="D294" t="s">
        <v>3862</v>
      </c>
      <c r="E294">
        <v>90.4</v>
      </c>
      <c r="F294" t="s">
        <v>18</v>
      </c>
    </row>
    <row r="295" spans="1:6">
      <c r="A295">
        <v>202302</v>
      </c>
      <c r="B295" s="6">
        <v>44971</v>
      </c>
      <c r="C295" t="s">
        <v>2265</v>
      </c>
      <c r="D295" t="s">
        <v>3863</v>
      </c>
      <c r="E295">
        <v>1019.81</v>
      </c>
      <c r="F295" t="s">
        <v>9</v>
      </c>
    </row>
    <row r="296" spans="1:6">
      <c r="A296">
        <v>202302</v>
      </c>
      <c r="B296" s="6">
        <v>44971</v>
      </c>
      <c r="C296" t="s">
        <v>2265</v>
      </c>
      <c r="D296" t="s">
        <v>3861</v>
      </c>
      <c r="E296">
        <v>330</v>
      </c>
      <c r="F296" t="s">
        <v>20</v>
      </c>
    </row>
    <row r="297" spans="1:6">
      <c r="A297">
        <v>202302</v>
      </c>
      <c r="B297" s="6">
        <v>44972</v>
      </c>
      <c r="C297" t="s">
        <v>2447</v>
      </c>
      <c r="D297" t="s">
        <v>3864</v>
      </c>
      <c r="E297">
        <v>-14.87</v>
      </c>
      <c r="F297" t="s">
        <v>38</v>
      </c>
    </row>
    <row r="298" spans="1:6">
      <c r="A298">
        <v>202302</v>
      </c>
      <c r="B298" s="6">
        <v>44972</v>
      </c>
      <c r="C298" t="s">
        <v>2262</v>
      </c>
      <c r="D298" t="s">
        <v>3865</v>
      </c>
      <c r="E298">
        <v>45</v>
      </c>
      <c r="F298" t="s">
        <v>7</v>
      </c>
    </row>
    <row r="299" spans="1:6">
      <c r="A299">
        <v>202302</v>
      </c>
      <c r="B299" s="6">
        <v>44972</v>
      </c>
      <c r="C299" t="s">
        <v>2265</v>
      </c>
      <c r="D299" t="s">
        <v>3866</v>
      </c>
      <c r="E299">
        <v>31.5</v>
      </c>
      <c r="F299" t="s">
        <v>21</v>
      </c>
    </row>
    <row r="300" spans="1:6">
      <c r="A300">
        <v>202302</v>
      </c>
      <c r="B300" s="6">
        <v>44972</v>
      </c>
      <c r="C300" t="s">
        <v>2262</v>
      </c>
      <c r="D300" t="s">
        <v>3867</v>
      </c>
      <c r="E300">
        <v>46.67</v>
      </c>
      <c r="F300" t="s">
        <v>26</v>
      </c>
    </row>
    <row r="301" spans="1:6">
      <c r="A301">
        <v>202302</v>
      </c>
      <c r="B301" s="6">
        <v>44973</v>
      </c>
      <c r="C301" t="s">
        <v>2447</v>
      </c>
      <c r="D301" t="s">
        <v>3868</v>
      </c>
      <c r="E301">
        <v>300.56</v>
      </c>
      <c r="F301" t="s">
        <v>26</v>
      </c>
    </row>
    <row r="302" spans="1:6">
      <c r="A302">
        <v>202302</v>
      </c>
      <c r="B302" s="6">
        <v>44973</v>
      </c>
      <c r="C302" t="s">
        <v>2265</v>
      </c>
      <c r="D302" t="s">
        <v>3869</v>
      </c>
      <c r="E302">
        <v>91.74</v>
      </c>
      <c r="F302" t="s">
        <v>66</v>
      </c>
    </row>
    <row r="303" spans="1:6">
      <c r="A303">
        <v>202302</v>
      </c>
      <c r="B303" s="6">
        <v>44973</v>
      </c>
      <c r="C303" t="s">
        <v>2265</v>
      </c>
      <c r="D303" t="s">
        <v>3870</v>
      </c>
      <c r="E303">
        <v>2434.23</v>
      </c>
      <c r="F303" t="s">
        <v>66</v>
      </c>
    </row>
    <row r="304" spans="1:6">
      <c r="A304">
        <v>202302</v>
      </c>
      <c r="B304" s="6">
        <v>44973</v>
      </c>
      <c r="C304" t="s">
        <v>2265</v>
      </c>
      <c r="D304" t="s">
        <v>3871</v>
      </c>
      <c r="E304">
        <v>1990.12</v>
      </c>
      <c r="F304" t="s">
        <v>9</v>
      </c>
    </row>
    <row r="305" spans="1:6">
      <c r="A305">
        <v>202302</v>
      </c>
      <c r="B305" s="6">
        <v>44973</v>
      </c>
      <c r="C305" t="s">
        <v>2262</v>
      </c>
      <c r="D305" t="s">
        <v>3872</v>
      </c>
      <c r="E305">
        <v>34.25</v>
      </c>
      <c r="F305" t="s">
        <v>28</v>
      </c>
    </row>
    <row r="306" spans="1:6">
      <c r="A306">
        <v>202302</v>
      </c>
      <c r="B306" s="6">
        <v>44973</v>
      </c>
      <c r="C306" t="s">
        <v>2262</v>
      </c>
      <c r="D306" t="s">
        <v>3873</v>
      </c>
      <c r="E306">
        <v>109.06</v>
      </c>
      <c r="F306" t="s">
        <v>28</v>
      </c>
    </row>
    <row r="307" spans="1:6">
      <c r="A307">
        <v>202302</v>
      </c>
      <c r="B307" s="6">
        <v>44973</v>
      </c>
      <c r="C307" t="s">
        <v>2262</v>
      </c>
      <c r="D307" t="s">
        <v>3874</v>
      </c>
      <c r="E307">
        <v>37.799999999999997</v>
      </c>
      <c r="F307" t="s">
        <v>23</v>
      </c>
    </row>
    <row r="308" spans="1:6">
      <c r="A308">
        <v>202302</v>
      </c>
      <c r="B308" s="6">
        <v>44973</v>
      </c>
      <c r="C308" t="s">
        <v>2262</v>
      </c>
      <c r="D308" t="s">
        <v>3875</v>
      </c>
      <c r="E308">
        <v>12</v>
      </c>
      <c r="F308" t="s">
        <v>23</v>
      </c>
    </row>
    <row r="309" spans="1:6">
      <c r="A309">
        <v>202302</v>
      </c>
      <c r="B309" s="6">
        <v>44973</v>
      </c>
      <c r="C309" t="s">
        <v>2262</v>
      </c>
      <c r="D309" t="s">
        <v>3876</v>
      </c>
      <c r="E309">
        <v>7.89</v>
      </c>
      <c r="F309" t="s">
        <v>26</v>
      </c>
    </row>
    <row r="310" spans="1:6">
      <c r="A310">
        <v>202302</v>
      </c>
      <c r="B310" s="6">
        <v>44974</v>
      </c>
      <c r="C310" t="s">
        <v>2262</v>
      </c>
      <c r="D310" t="s">
        <v>3877</v>
      </c>
      <c r="E310">
        <v>696</v>
      </c>
      <c r="F310" t="s">
        <v>20</v>
      </c>
    </row>
    <row r="311" spans="1:6">
      <c r="A311">
        <v>202302</v>
      </c>
      <c r="B311" s="6">
        <v>44974</v>
      </c>
      <c r="C311" t="s">
        <v>2262</v>
      </c>
      <c r="D311" t="s">
        <v>3878</v>
      </c>
      <c r="E311">
        <v>414.52</v>
      </c>
      <c r="F311" t="s">
        <v>43</v>
      </c>
    </row>
    <row r="312" spans="1:6">
      <c r="A312">
        <v>202302</v>
      </c>
      <c r="B312" s="6">
        <v>44974</v>
      </c>
      <c r="C312" t="s">
        <v>2262</v>
      </c>
      <c r="D312" t="s">
        <v>3879</v>
      </c>
      <c r="E312">
        <v>23.34</v>
      </c>
      <c r="F312" t="s">
        <v>28</v>
      </c>
    </row>
    <row r="313" spans="1:6">
      <c r="A313">
        <v>202302</v>
      </c>
      <c r="B313" s="6">
        <v>44974</v>
      </c>
      <c r="C313" t="s">
        <v>2262</v>
      </c>
      <c r="D313" t="s">
        <v>3880</v>
      </c>
      <c r="E313">
        <v>59.88</v>
      </c>
      <c r="F313" t="s">
        <v>28</v>
      </c>
    </row>
    <row r="314" spans="1:6">
      <c r="A314">
        <v>202302</v>
      </c>
      <c r="B314" s="6">
        <v>44976</v>
      </c>
      <c r="C314" t="s">
        <v>2262</v>
      </c>
      <c r="D314" t="s">
        <v>3881</v>
      </c>
      <c r="E314">
        <v>50</v>
      </c>
      <c r="F314" t="s">
        <v>20</v>
      </c>
    </row>
    <row r="315" spans="1:6">
      <c r="A315">
        <v>202302</v>
      </c>
      <c r="B315" s="6">
        <v>44976</v>
      </c>
      <c r="C315" t="s">
        <v>2262</v>
      </c>
      <c r="D315" t="s">
        <v>3882</v>
      </c>
      <c r="E315">
        <v>45</v>
      </c>
      <c r="F315" t="s">
        <v>26</v>
      </c>
    </row>
    <row r="316" spans="1:6">
      <c r="A316">
        <v>202302</v>
      </c>
      <c r="B316" s="6">
        <v>44976</v>
      </c>
      <c r="C316" t="s">
        <v>2262</v>
      </c>
      <c r="D316" t="s">
        <v>3883</v>
      </c>
      <c r="E316">
        <v>54.13</v>
      </c>
      <c r="F316" t="s">
        <v>21</v>
      </c>
    </row>
    <row r="317" spans="1:6">
      <c r="A317">
        <v>202302</v>
      </c>
      <c r="B317" s="6">
        <v>44976</v>
      </c>
      <c r="C317" t="s">
        <v>2262</v>
      </c>
      <c r="D317" t="s">
        <v>3884</v>
      </c>
      <c r="E317">
        <v>97.53</v>
      </c>
      <c r="F317" t="s">
        <v>21</v>
      </c>
    </row>
    <row r="318" spans="1:6">
      <c r="A318">
        <v>202302</v>
      </c>
      <c r="B318" s="6">
        <v>44976</v>
      </c>
      <c r="C318" t="s">
        <v>2262</v>
      </c>
      <c r="D318" t="s">
        <v>3885</v>
      </c>
      <c r="E318">
        <v>27</v>
      </c>
      <c r="F318" t="s">
        <v>26</v>
      </c>
    </row>
    <row r="319" spans="1:6">
      <c r="A319">
        <v>202302</v>
      </c>
      <c r="B319" s="6">
        <v>44977</v>
      </c>
      <c r="C319" t="s">
        <v>2262</v>
      </c>
      <c r="D319" t="s">
        <v>3886</v>
      </c>
      <c r="E319">
        <v>2001.92</v>
      </c>
      <c r="F319" t="s">
        <v>43</v>
      </c>
    </row>
    <row r="320" spans="1:6">
      <c r="A320">
        <v>202302</v>
      </c>
      <c r="B320" s="6">
        <v>44977</v>
      </c>
      <c r="C320" t="s">
        <v>2262</v>
      </c>
      <c r="D320" t="s">
        <v>3887</v>
      </c>
      <c r="E320">
        <v>21.85</v>
      </c>
      <c r="F320" t="s">
        <v>26</v>
      </c>
    </row>
    <row r="321" spans="1:6">
      <c r="A321">
        <v>202302</v>
      </c>
      <c r="B321" s="6">
        <v>44977</v>
      </c>
      <c r="C321" t="s">
        <v>2262</v>
      </c>
      <c r="D321" t="s">
        <v>3888</v>
      </c>
      <c r="E321">
        <v>43.2</v>
      </c>
      <c r="F321" t="s">
        <v>26</v>
      </c>
    </row>
    <row r="322" spans="1:6">
      <c r="A322">
        <v>202302</v>
      </c>
      <c r="B322" s="6">
        <v>44977</v>
      </c>
      <c r="C322" t="s">
        <v>2262</v>
      </c>
      <c r="D322" t="s">
        <v>3889</v>
      </c>
      <c r="E322">
        <v>7</v>
      </c>
      <c r="F322" t="s">
        <v>26</v>
      </c>
    </row>
    <row r="323" spans="1:6">
      <c r="A323">
        <v>202302</v>
      </c>
      <c r="B323" s="6">
        <v>44977</v>
      </c>
      <c r="C323" t="s">
        <v>2262</v>
      </c>
      <c r="D323" t="s">
        <v>3890</v>
      </c>
      <c r="E323">
        <v>42.21</v>
      </c>
      <c r="F323" t="s">
        <v>26</v>
      </c>
    </row>
    <row r="324" spans="1:6">
      <c r="A324">
        <v>202302</v>
      </c>
      <c r="B324" s="6">
        <v>44977</v>
      </c>
      <c r="C324" t="s">
        <v>2265</v>
      </c>
      <c r="D324" t="s">
        <v>3891</v>
      </c>
      <c r="E324">
        <v>205</v>
      </c>
      <c r="F324" t="s">
        <v>9</v>
      </c>
    </row>
    <row r="325" spans="1:6">
      <c r="A325">
        <v>202302</v>
      </c>
      <c r="B325" s="6">
        <v>44978</v>
      </c>
      <c r="C325" t="s">
        <v>2262</v>
      </c>
      <c r="D325" t="s">
        <v>3892</v>
      </c>
      <c r="E325">
        <v>47.02</v>
      </c>
      <c r="F325" t="s">
        <v>23</v>
      </c>
    </row>
    <row r="326" spans="1:6">
      <c r="A326">
        <v>202302</v>
      </c>
      <c r="B326" s="6">
        <v>44978</v>
      </c>
      <c r="C326" t="s">
        <v>2262</v>
      </c>
      <c r="D326" t="s">
        <v>3893</v>
      </c>
      <c r="E326">
        <v>256</v>
      </c>
      <c r="F326" t="s">
        <v>21</v>
      </c>
    </row>
    <row r="327" spans="1:6">
      <c r="A327">
        <v>202302</v>
      </c>
      <c r="B327" s="6">
        <v>44978</v>
      </c>
      <c r="C327" t="s">
        <v>2262</v>
      </c>
      <c r="D327" t="s">
        <v>3894</v>
      </c>
      <c r="E327">
        <v>13.62</v>
      </c>
      <c r="F327" t="s">
        <v>26</v>
      </c>
    </row>
    <row r="328" spans="1:6">
      <c r="A328">
        <v>202302</v>
      </c>
      <c r="B328" s="6">
        <v>44978</v>
      </c>
      <c r="C328" t="s">
        <v>2262</v>
      </c>
      <c r="D328" t="s">
        <v>3895</v>
      </c>
      <c r="E328">
        <v>30</v>
      </c>
      <c r="F328" t="s">
        <v>48</v>
      </c>
    </row>
    <row r="329" spans="1:6">
      <c r="A329">
        <v>202302</v>
      </c>
      <c r="B329" s="6">
        <v>44978</v>
      </c>
      <c r="C329" t="s">
        <v>2265</v>
      </c>
      <c r="D329" t="s">
        <v>3896</v>
      </c>
      <c r="E329">
        <v>53.43</v>
      </c>
      <c r="F329" t="s">
        <v>21</v>
      </c>
    </row>
    <row r="330" spans="1:6">
      <c r="A330">
        <v>202302</v>
      </c>
      <c r="B330" s="6">
        <v>44978</v>
      </c>
      <c r="C330" t="s">
        <v>2265</v>
      </c>
      <c r="D330" t="s">
        <v>3897</v>
      </c>
      <c r="E330">
        <v>70.349999999999994</v>
      </c>
      <c r="F330" t="s">
        <v>7</v>
      </c>
    </row>
    <row r="331" spans="1:6">
      <c r="A331">
        <v>202302</v>
      </c>
      <c r="B331" s="6">
        <v>44978</v>
      </c>
      <c r="C331" t="s">
        <v>2265</v>
      </c>
      <c r="D331" t="s">
        <v>3898</v>
      </c>
      <c r="E331">
        <v>100</v>
      </c>
      <c r="F331" t="s">
        <v>9</v>
      </c>
    </row>
    <row r="332" spans="1:6">
      <c r="A332">
        <v>202302</v>
      </c>
      <c r="B332" s="6">
        <v>44978</v>
      </c>
      <c r="C332" t="s">
        <v>2265</v>
      </c>
      <c r="D332" t="s">
        <v>3899</v>
      </c>
      <c r="E332">
        <v>500</v>
      </c>
      <c r="F332" t="s">
        <v>61</v>
      </c>
    </row>
    <row r="333" spans="1:6">
      <c r="A333">
        <v>202302</v>
      </c>
      <c r="B333" s="6">
        <v>44978</v>
      </c>
      <c r="C333" t="s">
        <v>2265</v>
      </c>
      <c r="D333" t="s">
        <v>3901</v>
      </c>
      <c r="E333">
        <v>403.57</v>
      </c>
      <c r="F333" t="s">
        <v>21</v>
      </c>
    </row>
    <row r="334" spans="1:6">
      <c r="A334">
        <v>202302</v>
      </c>
      <c r="B334" s="6">
        <v>44978</v>
      </c>
      <c r="C334" t="s">
        <v>2265</v>
      </c>
      <c r="D334" t="s">
        <v>3900</v>
      </c>
      <c r="E334">
        <v>18.350000000000001</v>
      </c>
      <c r="F334" t="s">
        <v>21</v>
      </c>
    </row>
    <row r="335" spans="1:6">
      <c r="A335">
        <v>202302</v>
      </c>
      <c r="B335" s="6">
        <v>44979</v>
      </c>
      <c r="C335" t="s">
        <v>2447</v>
      </c>
      <c r="D335" t="s">
        <v>3902</v>
      </c>
      <c r="E335">
        <v>14.99</v>
      </c>
      <c r="F335" t="s">
        <v>38</v>
      </c>
    </row>
    <row r="336" spans="1:6">
      <c r="A336">
        <v>202302</v>
      </c>
      <c r="B336" s="6">
        <v>44979</v>
      </c>
      <c r="C336" t="s">
        <v>2262</v>
      </c>
      <c r="D336" t="s">
        <v>3903</v>
      </c>
      <c r="E336">
        <v>8</v>
      </c>
      <c r="F336" t="s">
        <v>7</v>
      </c>
    </row>
    <row r="337" spans="1:6">
      <c r="A337">
        <v>202302</v>
      </c>
      <c r="B337" s="6">
        <v>44979</v>
      </c>
      <c r="C337" t="s">
        <v>2265</v>
      </c>
      <c r="D337" t="s">
        <v>3904</v>
      </c>
      <c r="E337">
        <v>38.19</v>
      </c>
      <c r="F337" t="s">
        <v>48</v>
      </c>
    </row>
    <row r="338" spans="1:6">
      <c r="A338">
        <v>202302</v>
      </c>
      <c r="B338" s="6">
        <v>44979</v>
      </c>
      <c r="C338" t="s">
        <v>2265</v>
      </c>
      <c r="D338" t="s">
        <v>3905</v>
      </c>
      <c r="E338">
        <v>330</v>
      </c>
      <c r="F338" t="s">
        <v>20</v>
      </c>
    </row>
    <row r="339" spans="1:6">
      <c r="A339">
        <v>202302</v>
      </c>
      <c r="B339" s="6">
        <v>44980</v>
      </c>
      <c r="C339" t="s">
        <v>2262</v>
      </c>
      <c r="D339" t="s">
        <v>3906</v>
      </c>
      <c r="E339">
        <v>57.57</v>
      </c>
      <c r="F339" t="s">
        <v>38</v>
      </c>
    </row>
    <row r="340" spans="1:6">
      <c r="A340">
        <v>202302</v>
      </c>
      <c r="B340" s="6">
        <v>44980</v>
      </c>
      <c r="C340" t="s">
        <v>2262</v>
      </c>
      <c r="D340" t="s">
        <v>3907</v>
      </c>
      <c r="E340">
        <v>16.73</v>
      </c>
      <c r="F340" t="s">
        <v>7</v>
      </c>
    </row>
    <row r="341" spans="1:6">
      <c r="A341">
        <v>202302</v>
      </c>
      <c r="B341" s="6">
        <v>44980</v>
      </c>
      <c r="C341" t="s">
        <v>2262</v>
      </c>
      <c r="D341" t="s">
        <v>3908</v>
      </c>
      <c r="E341">
        <v>76.599999999999994</v>
      </c>
      <c r="F341" t="s">
        <v>21</v>
      </c>
    </row>
    <row r="342" spans="1:6">
      <c r="A342">
        <v>202302</v>
      </c>
      <c r="B342" s="6">
        <v>44981</v>
      </c>
      <c r="C342" t="s">
        <v>2262</v>
      </c>
      <c r="D342" t="s">
        <v>3909</v>
      </c>
      <c r="E342">
        <v>128</v>
      </c>
      <c r="F342" t="s">
        <v>21</v>
      </c>
    </row>
    <row r="343" spans="1:6">
      <c r="A343">
        <v>202302</v>
      </c>
      <c r="B343" s="6">
        <v>44981</v>
      </c>
      <c r="C343" t="s">
        <v>2262</v>
      </c>
      <c r="D343" t="s">
        <v>3910</v>
      </c>
      <c r="E343">
        <v>95.83</v>
      </c>
      <c r="F343" t="s">
        <v>43</v>
      </c>
    </row>
    <row r="344" spans="1:6">
      <c r="A344">
        <v>202302</v>
      </c>
      <c r="B344" s="6">
        <v>44981</v>
      </c>
      <c r="C344" t="s">
        <v>2262</v>
      </c>
      <c r="D344" t="s">
        <v>3911</v>
      </c>
      <c r="E344">
        <v>4.78</v>
      </c>
      <c r="F344" t="s">
        <v>29</v>
      </c>
    </row>
    <row r="345" spans="1:6">
      <c r="A345">
        <v>202302</v>
      </c>
      <c r="B345" s="6">
        <v>44983</v>
      </c>
      <c r="C345" t="s">
        <v>2262</v>
      </c>
      <c r="D345" t="s">
        <v>3912</v>
      </c>
      <c r="E345">
        <v>56.9</v>
      </c>
      <c r="F345" t="s">
        <v>38</v>
      </c>
    </row>
    <row r="346" spans="1:6">
      <c r="A346">
        <v>202302</v>
      </c>
      <c r="B346" s="6">
        <v>44983</v>
      </c>
      <c r="C346" t="s">
        <v>2265</v>
      </c>
      <c r="D346" t="s">
        <v>3913</v>
      </c>
      <c r="E346">
        <v>3402.84</v>
      </c>
      <c r="F346" t="s">
        <v>64</v>
      </c>
    </row>
    <row r="347" spans="1:6">
      <c r="A347">
        <v>202302</v>
      </c>
      <c r="B347" s="6">
        <v>44983</v>
      </c>
      <c r="C347" t="s">
        <v>2262</v>
      </c>
      <c r="D347" t="s">
        <v>3914</v>
      </c>
      <c r="E347">
        <v>27</v>
      </c>
      <c r="F347" t="s">
        <v>20</v>
      </c>
    </row>
    <row r="348" spans="1:6">
      <c r="A348">
        <v>202302</v>
      </c>
      <c r="B348" s="6">
        <v>44983</v>
      </c>
      <c r="C348" t="s">
        <v>2262</v>
      </c>
      <c r="D348" t="s">
        <v>3915</v>
      </c>
      <c r="E348">
        <v>42.55</v>
      </c>
      <c r="F348" t="s">
        <v>28</v>
      </c>
    </row>
    <row r="349" spans="1:6">
      <c r="A349">
        <v>202302</v>
      </c>
      <c r="B349" s="6">
        <v>44983</v>
      </c>
      <c r="C349" t="s">
        <v>2262</v>
      </c>
      <c r="D349" t="s">
        <v>3916</v>
      </c>
      <c r="E349">
        <v>84.31</v>
      </c>
      <c r="F349" t="s">
        <v>28</v>
      </c>
    </row>
    <row r="350" spans="1:6">
      <c r="A350">
        <v>202302</v>
      </c>
      <c r="B350" s="6">
        <v>44983</v>
      </c>
      <c r="C350" t="s">
        <v>2262</v>
      </c>
      <c r="D350" t="s">
        <v>3917</v>
      </c>
      <c r="E350">
        <v>175.03</v>
      </c>
      <c r="F350" t="s">
        <v>40</v>
      </c>
    </row>
    <row r="351" spans="1:6">
      <c r="A351">
        <v>202302</v>
      </c>
      <c r="B351" s="6">
        <v>44984</v>
      </c>
      <c r="C351" t="s">
        <v>2262</v>
      </c>
      <c r="D351" t="s">
        <v>3918</v>
      </c>
      <c r="E351">
        <v>11.34</v>
      </c>
      <c r="F351" t="s">
        <v>40</v>
      </c>
    </row>
    <row r="352" spans="1:6">
      <c r="A352">
        <v>202302</v>
      </c>
      <c r="B352" s="6">
        <v>44984</v>
      </c>
      <c r="C352" t="s">
        <v>2262</v>
      </c>
      <c r="D352" t="s">
        <v>3919</v>
      </c>
      <c r="E352">
        <v>22.88</v>
      </c>
      <c r="F352" t="s">
        <v>40</v>
      </c>
    </row>
    <row r="353" spans="1:6">
      <c r="A353">
        <v>202302</v>
      </c>
      <c r="B353" s="6">
        <v>44984</v>
      </c>
      <c r="C353" t="s">
        <v>2262</v>
      </c>
      <c r="D353" t="s">
        <v>3920</v>
      </c>
      <c r="E353">
        <v>76.36</v>
      </c>
      <c r="F353" t="s">
        <v>38</v>
      </c>
    </row>
    <row r="354" spans="1:6">
      <c r="A354">
        <v>202302</v>
      </c>
      <c r="B354" s="6">
        <v>44984</v>
      </c>
      <c r="C354" t="s">
        <v>2262</v>
      </c>
      <c r="D354" t="s">
        <v>3921</v>
      </c>
      <c r="E354">
        <v>97.65</v>
      </c>
      <c r="F354" t="s">
        <v>28</v>
      </c>
    </row>
    <row r="355" spans="1:6">
      <c r="A355">
        <v>202302</v>
      </c>
      <c r="B355" s="6">
        <v>44984</v>
      </c>
      <c r="C355" t="s">
        <v>2262</v>
      </c>
      <c r="D355" t="s">
        <v>3922</v>
      </c>
      <c r="E355">
        <v>256</v>
      </c>
      <c r="F355" t="s">
        <v>21</v>
      </c>
    </row>
    <row r="356" spans="1:6">
      <c r="A356">
        <v>202302</v>
      </c>
      <c r="B356" s="6">
        <v>44984</v>
      </c>
      <c r="C356" t="s">
        <v>2262</v>
      </c>
      <c r="D356" t="s">
        <v>3923</v>
      </c>
      <c r="E356">
        <v>90.2</v>
      </c>
      <c r="F356" t="s">
        <v>9</v>
      </c>
    </row>
    <row r="357" spans="1:6">
      <c r="A357">
        <v>202302</v>
      </c>
      <c r="B357" s="6">
        <v>44984</v>
      </c>
      <c r="C357" t="s">
        <v>2265</v>
      </c>
      <c r="D357" t="s">
        <v>3924</v>
      </c>
      <c r="E357">
        <v>630.07000000000005</v>
      </c>
      <c r="F357" t="s">
        <v>31</v>
      </c>
    </row>
    <row r="358" spans="1:6">
      <c r="A358">
        <v>202302</v>
      </c>
      <c r="B358" s="6">
        <v>44985</v>
      </c>
      <c r="C358" t="s">
        <v>2265</v>
      </c>
      <c r="D358" t="s">
        <v>2896</v>
      </c>
      <c r="E358">
        <v>5</v>
      </c>
      <c r="F358" t="s">
        <v>16</v>
      </c>
    </row>
    <row r="359" spans="1:6">
      <c r="A359">
        <v>202302</v>
      </c>
      <c r="B359" s="6">
        <v>44985</v>
      </c>
      <c r="C359" t="s">
        <v>2265</v>
      </c>
      <c r="D359" t="s">
        <v>3925</v>
      </c>
      <c r="E359">
        <v>45.29</v>
      </c>
      <c r="F359" t="s">
        <v>16</v>
      </c>
    </row>
    <row r="360" spans="1:6">
      <c r="A360">
        <v>202302</v>
      </c>
      <c r="B360" s="6">
        <v>44985</v>
      </c>
      <c r="C360" t="s">
        <v>2262</v>
      </c>
      <c r="D360" t="s">
        <v>3926</v>
      </c>
      <c r="E360">
        <v>40.479999999999997</v>
      </c>
      <c r="F360" t="s">
        <v>23</v>
      </c>
    </row>
    <row r="361" spans="1:6">
      <c r="A361">
        <v>202302</v>
      </c>
      <c r="B361" s="6">
        <v>44985</v>
      </c>
      <c r="C361" t="s">
        <v>2262</v>
      </c>
      <c r="D361" t="s">
        <v>3927</v>
      </c>
      <c r="E361">
        <v>256</v>
      </c>
      <c r="F361" t="s">
        <v>21</v>
      </c>
    </row>
    <row r="362" spans="1:6">
      <c r="A362">
        <v>202302</v>
      </c>
      <c r="B362" s="6">
        <v>44985</v>
      </c>
      <c r="C362" t="s">
        <v>2262</v>
      </c>
      <c r="D362" t="s">
        <v>3928</v>
      </c>
      <c r="E362">
        <v>2</v>
      </c>
      <c r="F362" t="s">
        <v>28</v>
      </c>
    </row>
    <row r="363" spans="1:6">
      <c r="A363">
        <v>202302</v>
      </c>
      <c r="B363" s="6">
        <v>44985</v>
      </c>
      <c r="C363" t="s">
        <v>2265</v>
      </c>
      <c r="D363" t="s">
        <v>3929</v>
      </c>
      <c r="E363">
        <v>330</v>
      </c>
      <c r="F363" t="s">
        <v>20</v>
      </c>
    </row>
    <row r="364" spans="1:6">
      <c r="A364">
        <v>202302</v>
      </c>
      <c r="B364" s="6">
        <v>44985</v>
      </c>
      <c r="C364" t="s">
        <v>2265</v>
      </c>
      <c r="D364" t="s">
        <v>3930</v>
      </c>
      <c r="E364">
        <v>0.99</v>
      </c>
      <c r="F364" t="s">
        <v>21</v>
      </c>
    </row>
    <row r="365" spans="1:6">
      <c r="A365">
        <v>202302</v>
      </c>
      <c r="B365" s="6">
        <v>44985</v>
      </c>
      <c r="C365" t="s">
        <v>2265</v>
      </c>
      <c r="D365" t="s">
        <v>3931</v>
      </c>
      <c r="E365">
        <v>0.99</v>
      </c>
      <c r="F365" t="s">
        <v>21</v>
      </c>
    </row>
    <row r="366" spans="1:6">
      <c r="A366">
        <v>202303</v>
      </c>
      <c r="B366" s="6">
        <v>44986</v>
      </c>
      <c r="C366" t="s">
        <v>3932</v>
      </c>
      <c r="D366" t="s">
        <v>38</v>
      </c>
      <c r="E366">
        <v>121.8</v>
      </c>
      <c r="F366" t="s">
        <v>38</v>
      </c>
    </row>
    <row r="367" spans="1:6">
      <c r="A367">
        <v>202303</v>
      </c>
      <c r="B367" s="6">
        <v>44986</v>
      </c>
      <c r="C367" t="s">
        <v>3933</v>
      </c>
      <c r="D367" t="s">
        <v>254</v>
      </c>
      <c r="E367">
        <v>2606.27</v>
      </c>
      <c r="F367" t="s">
        <v>5</v>
      </c>
    </row>
    <row r="368" spans="1:6">
      <c r="A368">
        <v>202303</v>
      </c>
      <c r="B368" s="6">
        <v>44986</v>
      </c>
      <c r="C368" t="s">
        <v>2281</v>
      </c>
      <c r="D368" t="s">
        <v>3934</v>
      </c>
      <c r="E368">
        <v>250</v>
      </c>
      <c r="F368" t="s">
        <v>14</v>
      </c>
    </row>
    <row r="369" spans="1:6">
      <c r="A369">
        <v>202303</v>
      </c>
      <c r="B369" s="6">
        <v>44986</v>
      </c>
      <c r="C369" t="s">
        <v>3938</v>
      </c>
      <c r="D369" t="s">
        <v>3939</v>
      </c>
      <c r="E369">
        <v>-5804.35</v>
      </c>
      <c r="F369" t="s">
        <v>9</v>
      </c>
    </row>
    <row r="370" spans="1:6">
      <c r="A370">
        <v>202303</v>
      </c>
      <c r="B370" s="6">
        <v>44986</v>
      </c>
      <c r="C370" t="s">
        <v>3933</v>
      </c>
      <c r="D370" t="s">
        <v>3935</v>
      </c>
      <c r="E370">
        <v>500</v>
      </c>
      <c r="F370" t="s">
        <v>59</v>
      </c>
    </row>
    <row r="371" spans="1:6">
      <c r="A371">
        <v>202303</v>
      </c>
      <c r="B371" s="6">
        <v>44986</v>
      </c>
      <c r="C371" t="s">
        <v>3933</v>
      </c>
      <c r="D371" t="s">
        <v>3936</v>
      </c>
      <c r="E371">
        <v>5804.35</v>
      </c>
      <c r="F371" t="s">
        <v>9</v>
      </c>
    </row>
    <row r="372" spans="1:6">
      <c r="A372">
        <v>202303</v>
      </c>
      <c r="B372" s="6">
        <v>44986</v>
      </c>
      <c r="C372" t="s">
        <v>3933</v>
      </c>
      <c r="D372" t="s">
        <v>3937</v>
      </c>
      <c r="E372">
        <v>618.65</v>
      </c>
      <c r="F372" t="s">
        <v>11</v>
      </c>
    </row>
    <row r="373" spans="1:6">
      <c r="A373">
        <v>202303</v>
      </c>
      <c r="B373" s="6">
        <v>44987</v>
      </c>
      <c r="C373" t="s">
        <v>3938</v>
      </c>
      <c r="D373" t="s">
        <v>3940</v>
      </c>
      <c r="E373">
        <v>74</v>
      </c>
      <c r="F373" t="s">
        <v>7</v>
      </c>
    </row>
    <row r="374" spans="1:6">
      <c r="A374">
        <v>202303</v>
      </c>
      <c r="B374" s="6">
        <v>44987</v>
      </c>
      <c r="C374" t="s">
        <v>3938</v>
      </c>
      <c r="D374" t="s">
        <v>3941</v>
      </c>
      <c r="E374">
        <v>74</v>
      </c>
      <c r="F374" t="s">
        <v>7</v>
      </c>
    </row>
    <row r="375" spans="1:6">
      <c r="A375">
        <v>202303</v>
      </c>
      <c r="B375" s="6">
        <v>44987</v>
      </c>
      <c r="C375" t="s">
        <v>3938</v>
      </c>
      <c r="D375" t="s">
        <v>114</v>
      </c>
      <c r="E375">
        <v>5.36</v>
      </c>
      <c r="F375" t="s">
        <v>40</v>
      </c>
    </row>
    <row r="376" spans="1:6">
      <c r="A376">
        <v>202303</v>
      </c>
      <c r="B376" s="6">
        <v>44987</v>
      </c>
      <c r="C376" t="s">
        <v>3933</v>
      </c>
      <c r="D376" t="s">
        <v>3942</v>
      </c>
      <c r="E376">
        <v>-2434.23</v>
      </c>
      <c r="F376" t="s">
        <v>9</v>
      </c>
    </row>
    <row r="377" spans="1:6">
      <c r="A377">
        <v>202303</v>
      </c>
      <c r="B377" s="6">
        <v>44987</v>
      </c>
      <c r="C377" t="s">
        <v>3938</v>
      </c>
      <c r="D377" t="s">
        <v>3943</v>
      </c>
      <c r="E377">
        <v>5.55</v>
      </c>
      <c r="F377" t="s">
        <v>21</v>
      </c>
    </row>
    <row r="378" spans="1:6">
      <c r="A378">
        <v>202303</v>
      </c>
      <c r="B378" s="6">
        <v>44987</v>
      </c>
      <c r="C378" t="s">
        <v>3938</v>
      </c>
      <c r="D378" t="s">
        <v>1159</v>
      </c>
      <c r="E378">
        <v>128</v>
      </c>
      <c r="F378" t="s">
        <v>21</v>
      </c>
    </row>
    <row r="379" spans="1:6">
      <c r="A379">
        <v>202303</v>
      </c>
      <c r="B379" s="6">
        <v>44988</v>
      </c>
      <c r="C379" t="s">
        <v>3938</v>
      </c>
      <c r="D379" t="s">
        <v>3944</v>
      </c>
      <c r="E379">
        <v>3.36</v>
      </c>
      <c r="F379" t="s">
        <v>43</v>
      </c>
    </row>
    <row r="380" spans="1:6">
      <c r="A380">
        <v>202303</v>
      </c>
      <c r="B380" s="6">
        <v>44988</v>
      </c>
      <c r="C380" t="s">
        <v>3938</v>
      </c>
      <c r="D380" t="s">
        <v>3945</v>
      </c>
      <c r="E380">
        <v>26.02</v>
      </c>
      <c r="F380" t="s">
        <v>26</v>
      </c>
    </row>
    <row r="381" spans="1:6">
      <c r="A381">
        <v>202303</v>
      </c>
      <c r="B381" s="6">
        <v>44990</v>
      </c>
      <c r="C381" t="s">
        <v>3938</v>
      </c>
      <c r="D381" t="s">
        <v>3946</v>
      </c>
      <c r="E381">
        <v>80.599999999999994</v>
      </c>
      <c r="F381" t="s">
        <v>26</v>
      </c>
    </row>
    <row r="382" spans="1:6">
      <c r="A382">
        <v>202303</v>
      </c>
      <c r="B382" s="6">
        <v>44990</v>
      </c>
      <c r="C382" t="s">
        <v>3938</v>
      </c>
      <c r="D382" t="s">
        <v>3947</v>
      </c>
      <c r="E382">
        <v>127.44</v>
      </c>
      <c r="F382" t="s">
        <v>21</v>
      </c>
    </row>
    <row r="383" spans="1:6">
      <c r="A383">
        <v>202303</v>
      </c>
      <c r="B383" s="6">
        <v>44990</v>
      </c>
      <c r="C383" t="s">
        <v>3938</v>
      </c>
      <c r="D383" t="s">
        <v>3948</v>
      </c>
      <c r="E383">
        <v>34.450000000000003</v>
      </c>
      <c r="F383" t="s">
        <v>26</v>
      </c>
    </row>
    <row r="384" spans="1:6">
      <c r="A384">
        <v>202303</v>
      </c>
      <c r="B384" s="6">
        <v>44990</v>
      </c>
      <c r="C384" t="s">
        <v>3938</v>
      </c>
      <c r="D384" t="s">
        <v>3949</v>
      </c>
      <c r="E384">
        <v>20.23</v>
      </c>
      <c r="F384" t="s">
        <v>26</v>
      </c>
    </row>
    <row r="385" spans="1:6">
      <c r="A385">
        <v>202303</v>
      </c>
      <c r="B385" s="6">
        <v>44990</v>
      </c>
      <c r="C385" t="s">
        <v>3938</v>
      </c>
      <c r="D385" t="s">
        <v>3950</v>
      </c>
      <c r="E385">
        <v>-83.3</v>
      </c>
      <c r="F385" t="s">
        <v>21</v>
      </c>
    </row>
    <row r="386" spans="1:6">
      <c r="A386">
        <v>202303</v>
      </c>
      <c r="B386" s="6">
        <v>44990</v>
      </c>
      <c r="C386" t="s">
        <v>3938</v>
      </c>
      <c r="D386" t="s">
        <v>3951</v>
      </c>
      <c r="E386">
        <v>10.27</v>
      </c>
      <c r="F386" t="s">
        <v>26</v>
      </c>
    </row>
    <row r="387" spans="1:6">
      <c r="A387">
        <v>202303</v>
      </c>
      <c r="B387" s="6">
        <v>44990</v>
      </c>
      <c r="C387" t="s">
        <v>3938</v>
      </c>
      <c r="D387" t="s">
        <v>3951</v>
      </c>
      <c r="E387">
        <v>35.619999999999997</v>
      </c>
      <c r="F387" t="s">
        <v>26</v>
      </c>
    </row>
    <row r="388" spans="1:6">
      <c r="A388">
        <v>202303</v>
      </c>
      <c r="B388" s="6">
        <v>44990</v>
      </c>
      <c r="C388" t="s">
        <v>3938</v>
      </c>
      <c r="D388" t="s">
        <v>3945</v>
      </c>
      <c r="E388">
        <v>49.2</v>
      </c>
      <c r="F388" t="s">
        <v>26</v>
      </c>
    </row>
    <row r="389" spans="1:6">
      <c r="A389">
        <v>202303</v>
      </c>
      <c r="B389" s="6">
        <v>44990</v>
      </c>
      <c r="C389" t="s">
        <v>3938</v>
      </c>
      <c r="D389" t="s">
        <v>3952</v>
      </c>
      <c r="E389">
        <v>-68.599999999999994</v>
      </c>
      <c r="F389" t="s">
        <v>21</v>
      </c>
    </row>
    <row r="390" spans="1:6">
      <c r="A390">
        <v>202303</v>
      </c>
      <c r="B390" s="6">
        <v>44990</v>
      </c>
      <c r="C390" t="s">
        <v>3938</v>
      </c>
      <c r="D390" t="s">
        <v>3953</v>
      </c>
      <c r="E390">
        <v>9.07</v>
      </c>
      <c r="F390" t="s">
        <v>26</v>
      </c>
    </row>
    <row r="391" spans="1:6">
      <c r="A391">
        <v>202303</v>
      </c>
      <c r="B391" s="6">
        <v>44991</v>
      </c>
      <c r="C391" t="s">
        <v>3938</v>
      </c>
      <c r="D391" t="s">
        <v>3954</v>
      </c>
      <c r="E391">
        <v>31.46</v>
      </c>
      <c r="F391" t="s">
        <v>26</v>
      </c>
    </row>
    <row r="392" spans="1:6">
      <c r="A392">
        <v>202303</v>
      </c>
      <c r="B392" s="6">
        <v>44991</v>
      </c>
      <c r="C392" t="s">
        <v>3938</v>
      </c>
      <c r="D392" t="s">
        <v>3955</v>
      </c>
      <c r="E392">
        <v>27.15</v>
      </c>
      <c r="F392" t="s">
        <v>26</v>
      </c>
    </row>
    <row r="393" spans="1:6">
      <c r="A393">
        <v>202303</v>
      </c>
      <c r="B393" s="6">
        <v>44991</v>
      </c>
      <c r="C393" t="s">
        <v>3938</v>
      </c>
      <c r="D393" t="s">
        <v>3945</v>
      </c>
      <c r="E393">
        <v>38.840000000000003</v>
      </c>
      <c r="F393" t="s">
        <v>26</v>
      </c>
    </row>
    <row r="394" spans="1:6">
      <c r="A394">
        <v>202303</v>
      </c>
      <c r="B394" s="6">
        <v>44991</v>
      </c>
      <c r="C394" t="s">
        <v>3938</v>
      </c>
      <c r="D394" t="s">
        <v>3956</v>
      </c>
      <c r="E394">
        <v>78.88</v>
      </c>
      <c r="F394" t="s">
        <v>26</v>
      </c>
    </row>
    <row r="395" spans="1:6">
      <c r="A395">
        <v>202303</v>
      </c>
      <c r="B395" s="6">
        <v>44991</v>
      </c>
      <c r="C395" t="s">
        <v>3938</v>
      </c>
      <c r="D395" t="s">
        <v>3957</v>
      </c>
      <c r="E395">
        <v>16.91</v>
      </c>
      <c r="F395" t="s">
        <v>26</v>
      </c>
    </row>
    <row r="396" spans="1:6">
      <c r="A396">
        <v>202303</v>
      </c>
      <c r="B396" s="6">
        <v>44991</v>
      </c>
      <c r="C396" t="s">
        <v>3938</v>
      </c>
      <c r="D396" t="s">
        <v>3958</v>
      </c>
      <c r="E396">
        <v>8.56</v>
      </c>
      <c r="F396" t="s">
        <v>26</v>
      </c>
    </row>
    <row r="397" spans="1:6">
      <c r="A397">
        <v>202303</v>
      </c>
      <c r="B397" s="6">
        <v>44991</v>
      </c>
      <c r="C397" t="s">
        <v>3938</v>
      </c>
      <c r="D397" t="s">
        <v>3959</v>
      </c>
      <c r="E397">
        <v>42.77</v>
      </c>
      <c r="F397" t="s">
        <v>21</v>
      </c>
    </row>
    <row r="398" spans="1:6">
      <c r="A398">
        <v>202303</v>
      </c>
      <c r="B398" s="6">
        <v>44991</v>
      </c>
      <c r="C398" t="s">
        <v>3938</v>
      </c>
      <c r="D398" t="s">
        <v>3960</v>
      </c>
      <c r="E398">
        <v>18.45</v>
      </c>
      <c r="F398" t="s">
        <v>26</v>
      </c>
    </row>
    <row r="399" spans="1:6">
      <c r="A399">
        <v>202303</v>
      </c>
      <c r="B399" s="6">
        <v>44991</v>
      </c>
      <c r="C399" t="s">
        <v>3933</v>
      </c>
      <c r="D399" t="s">
        <v>2109</v>
      </c>
      <c r="E399">
        <v>2</v>
      </c>
      <c r="F399" t="s">
        <v>21</v>
      </c>
    </row>
    <row r="400" spans="1:6">
      <c r="A400">
        <v>202303</v>
      </c>
      <c r="B400" s="6">
        <v>44991</v>
      </c>
      <c r="C400" t="s">
        <v>3938</v>
      </c>
      <c r="D400" t="s">
        <v>3961</v>
      </c>
      <c r="E400">
        <v>25.94</v>
      </c>
      <c r="F400" t="s">
        <v>21</v>
      </c>
    </row>
    <row r="401" spans="1:6">
      <c r="A401">
        <v>202303</v>
      </c>
      <c r="B401" s="6">
        <v>44992</v>
      </c>
      <c r="C401" t="s">
        <v>3938</v>
      </c>
      <c r="D401" t="s">
        <v>3962</v>
      </c>
      <c r="E401">
        <v>48.11</v>
      </c>
      <c r="F401" t="s">
        <v>26</v>
      </c>
    </row>
    <row r="402" spans="1:6">
      <c r="A402">
        <v>202303</v>
      </c>
      <c r="B402" s="6">
        <v>44992</v>
      </c>
      <c r="C402" t="s">
        <v>3938</v>
      </c>
      <c r="D402" t="s">
        <v>3963</v>
      </c>
      <c r="E402">
        <v>108.88</v>
      </c>
      <c r="F402" t="s">
        <v>26</v>
      </c>
    </row>
    <row r="403" spans="1:6">
      <c r="A403">
        <v>202303</v>
      </c>
      <c r="B403" s="6">
        <v>44992</v>
      </c>
      <c r="C403" t="s">
        <v>3938</v>
      </c>
      <c r="D403" t="s">
        <v>3964</v>
      </c>
      <c r="E403">
        <v>10.69</v>
      </c>
      <c r="F403" t="s">
        <v>21</v>
      </c>
    </row>
    <row r="404" spans="1:6">
      <c r="A404">
        <v>202303</v>
      </c>
      <c r="B404" s="6">
        <v>44992</v>
      </c>
      <c r="C404" t="s">
        <v>3938</v>
      </c>
      <c r="D404" t="s">
        <v>3959</v>
      </c>
      <c r="E404">
        <v>163.65</v>
      </c>
      <c r="F404" t="s">
        <v>21</v>
      </c>
    </row>
    <row r="405" spans="1:6">
      <c r="A405">
        <v>202303</v>
      </c>
      <c r="B405" s="6">
        <v>44992</v>
      </c>
      <c r="C405" t="s">
        <v>3933</v>
      </c>
      <c r="D405" t="s">
        <v>2109</v>
      </c>
      <c r="E405">
        <v>25</v>
      </c>
      <c r="F405" t="s">
        <v>21</v>
      </c>
    </row>
    <row r="406" spans="1:6">
      <c r="A406">
        <v>202303</v>
      </c>
      <c r="B406" s="6">
        <v>44992</v>
      </c>
      <c r="C406" t="s">
        <v>3933</v>
      </c>
      <c r="D406" t="s">
        <v>2109</v>
      </c>
      <c r="E406">
        <v>19</v>
      </c>
      <c r="F406" t="s">
        <v>21</v>
      </c>
    </row>
    <row r="407" spans="1:6">
      <c r="A407">
        <v>202303</v>
      </c>
      <c r="B407" s="6">
        <v>44992</v>
      </c>
      <c r="C407" t="s">
        <v>3933</v>
      </c>
      <c r="D407" t="s">
        <v>2109</v>
      </c>
      <c r="E407">
        <v>125</v>
      </c>
      <c r="F407" t="s">
        <v>21</v>
      </c>
    </row>
    <row r="408" spans="1:6">
      <c r="A408">
        <v>202303</v>
      </c>
      <c r="B408" s="6">
        <v>44992</v>
      </c>
      <c r="C408" t="s">
        <v>3933</v>
      </c>
      <c r="D408" t="s">
        <v>3965</v>
      </c>
      <c r="E408">
        <v>330</v>
      </c>
      <c r="F408" t="s">
        <v>20</v>
      </c>
    </row>
    <row r="409" spans="1:6">
      <c r="A409">
        <v>202303</v>
      </c>
      <c r="B409" s="6">
        <v>44993</v>
      </c>
      <c r="C409" t="s">
        <v>3938</v>
      </c>
      <c r="D409" t="s">
        <v>3966</v>
      </c>
      <c r="E409">
        <v>9.59</v>
      </c>
      <c r="F409" t="s">
        <v>23</v>
      </c>
    </row>
    <row r="410" spans="1:6">
      <c r="A410">
        <v>202303</v>
      </c>
      <c r="B410" s="6">
        <v>44993</v>
      </c>
      <c r="C410" t="s">
        <v>3938</v>
      </c>
      <c r="D410" t="s">
        <v>3967</v>
      </c>
      <c r="E410">
        <v>33.049999999999997</v>
      </c>
      <c r="F410" t="s">
        <v>26</v>
      </c>
    </row>
    <row r="411" spans="1:6">
      <c r="A411">
        <v>202303</v>
      </c>
      <c r="B411" s="6">
        <v>44993</v>
      </c>
      <c r="C411" t="s">
        <v>3938</v>
      </c>
      <c r="D411" t="s">
        <v>3968</v>
      </c>
      <c r="E411">
        <v>59.61</v>
      </c>
      <c r="F411" t="s">
        <v>26</v>
      </c>
    </row>
    <row r="412" spans="1:6">
      <c r="A412">
        <v>202303</v>
      </c>
      <c r="B412" s="6">
        <v>44993</v>
      </c>
      <c r="C412" t="s">
        <v>3938</v>
      </c>
      <c r="D412" t="s">
        <v>3969</v>
      </c>
      <c r="E412">
        <v>272.52999999999997</v>
      </c>
      <c r="F412" t="s">
        <v>43</v>
      </c>
    </row>
    <row r="413" spans="1:6">
      <c r="A413">
        <v>202303</v>
      </c>
      <c r="B413" s="6">
        <v>44993</v>
      </c>
      <c r="C413" t="s">
        <v>3938</v>
      </c>
      <c r="D413" t="s">
        <v>3970</v>
      </c>
      <c r="E413">
        <v>8.98</v>
      </c>
      <c r="F413" t="s">
        <v>26</v>
      </c>
    </row>
    <row r="414" spans="1:6">
      <c r="A414">
        <v>202303</v>
      </c>
      <c r="B414" s="6">
        <v>44993</v>
      </c>
      <c r="C414" t="s">
        <v>3938</v>
      </c>
      <c r="D414" t="s">
        <v>3971</v>
      </c>
      <c r="E414">
        <v>4.43</v>
      </c>
      <c r="F414" t="s">
        <v>26</v>
      </c>
    </row>
    <row r="415" spans="1:6">
      <c r="A415">
        <v>202303</v>
      </c>
      <c r="B415" s="6">
        <v>44994</v>
      </c>
      <c r="C415" t="s">
        <v>3938</v>
      </c>
      <c r="D415" t="s">
        <v>38</v>
      </c>
      <c r="E415">
        <v>31.14</v>
      </c>
      <c r="F415" t="s">
        <v>38</v>
      </c>
    </row>
    <row r="416" spans="1:6">
      <c r="A416">
        <v>202303</v>
      </c>
      <c r="B416" s="6">
        <v>44994</v>
      </c>
      <c r="C416" t="s">
        <v>3938</v>
      </c>
      <c r="D416" t="s">
        <v>3972</v>
      </c>
      <c r="E416">
        <v>210.59</v>
      </c>
      <c r="F416" t="s">
        <v>7</v>
      </c>
    </row>
    <row r="417" spans="1:6">
      <c r="A417">
        <v>202303</v>
      </c>
      <c r="B417" s="6">
        <v>44994</v>
      </c>
      <c r="C417" t="s">
        <v>3938</v>
      </c>
      <c r="D417" t="s">
        <v>3973</v>
      </c>
      <c r="E417">
        <v>50</v>
      </c>
      <c r="F417" t="s">
        <v>20</v>
      </c>
    </row>
    <row r="418" spans="1:6">
      <c r="A418">
        <v>202303</v>
      </c>
      <c r="B418" s="6">
        <v>44994</v>
      </c>
      <c r="C418" t="s">
        <v>3938</v>
      </c>
      <c r="D418" t="s">
        <v>1353</v>
      </c>
      <c r="E418">
        <v>45.63</v>
      </c>
      <c r="F418" t="s">
        <v>26</v>
      </c>
    </row>
    <row r="419" spans="1:6">
      <c r="A419">
        <v>202303</v>
      </c>
      <c r="B419" s="6">
        <v>44994</v>
      </c>
      <c r="C419" t="s">
        <v>3938</v>
      </c>
      <c r="D419" t="s">
        <v>1477</v>
      </c>
      <c r="E419">
        <v>47.25</v>
      </c>
      <c r="F419" t="s">
        <v>34</v>
      </c>
    </row>
    <row r="420" spans="1:6">
      <c r="A420">
        <v>202303</v>
      </c>
      <c r="B420" s="6">
        <v>44995</v>
      </c>
      <c r="C420" t="s">
        <v>3938</v>
      </c>
      <c r="D420" t="s">
        <v>3974</v>
      </c>
      <c r="E420">
        <v>10.99</v>
      </c>
      <c r="F420" t="s">
        <v>43</v>
      </c>
    </row>
    <row r="421" spans="1:6">
      <c r="A421">
        <v>202303</v>
      </c>
      <c r="B421" s="6">
        <v>44995</v>
      </c>
      <c r="C421" t="s">
        <v>3938</v>
      </c>
      <c r="D421" t="s">
        <v>703</v>
      </c>
      <c r="E421">
        <v>527.79999999999995</v>
      </c>
      <c r="F421" t="s">
        <v>9</v>
      </c>
    </row>
    <row r="422" spans="1:6">
      <c r="A422">
        <v>202303</v>
      </c>
      <c r="B422" s="6">
        <v>44995</v>
      </c>
      <c r="C422" t="s">
        <v>3938</v>
      </c>
      <c r="D422" t="s">
        <v>1408</v>
      </c>
      <c r="E422">
        <v>129</v>
      </c>
      <c r="F422" t="s">
        <v>21</v>
      </c>
    </row>
    <row r="423" spans="1:6">
      <c r="A423">
        <v>202303</v>
      </c>
      <c r="B423" s="6">
        <v>44996</v>
      </c>
      <c r="C423" t="s">
        <v>3932</v>
      </c>
      <c r="D423" t="s">
        <v>684</v>
      </c>
      <c r="E423">
        <v>62.88</v>
      </c>
      <c r="F423" t="s">
        <v>28</v>
      </c>
    </row>
    <row r="424" spans="1:6">
      <c r="A424">
        <v>202303</v>
      </c>
      <c r="B424" s="6">
        <v>44997</v>
      </c>
      <c r="C424" t="s">
        <v>3938</v>
      </c>
      <c r="D424" t="s">
        <v>3975</v>
      </c>
      <c r="E424">
        <v>11.32</v>
      </c>
      <c r="F424" t="s">
        <v>41</v>
      </c>
    </row>
    <row r="425" spans="1:6">
      <c r="A425">
        <v>202303</v>
      </c>
      <c r="B425" s="6">
        <v>44997</v>
      </c>
      <c r="C425" t="s">
        <v>3938</v>
      </c>
      <c r="D425" t="s">
        <v>3976</v>
      </c>
      <c r="E425">
        <v>7</v>
      </c>
      <c r="F425" t="s">
        <v>43</v>
      </c>
    </row>
    <row r="426" spans="1:6">
      <c r="A426">
        <v>202303</v>
      </c>
      <c r="B426" s="6">
        <v>44997</v>
      </c>
      <c r="C426" t="s">
        <v>3938</v>
      </c>
      <c r="D426" t="s">
        <v>38</v>
      </c>
      <c r="E426">
        <v>292.89999999999998</v>
      </c>
      <c r="F426" t="s">
        <v>38</v>
      </c>
    </row>
    <row r="427" spans="1:6">
      <c r="A427">
        <v>202303</v>
      </c>
      <c r="B427" s="6">
        <v>44997</v>
      </c>
      <c r="C427" t="s">
        <v>3938</v>
      </c>
      <c r="D427" t="s">
        <v>3977</v>
      </c>
      <c r="E427">
        <v>42.39</v>
      </c>
      <c r="F427" t="s">
        <v>26</v>
      </c>
    </row>
    <row r="428" spans="1:6">
      <c r="A428">
        <v>202303</v>
      </c>
      <c r="B428" s="6">
        <v>44997</v>
      </c>
      <c r="C428" t="s">
        <v>3938</v>
      </c>
      <c r="D428" t="s">
        <v>3978</v>
      </c>
      <c r="E428">
        <v>101.38</v>
      </c>
      <c r="F428" t="s">
        <v>43</v>
      </c>
    </row>
    <row r="429" spans="1:6">
      <c r="A429">
        <v>202303</v>
      </c>
      <c r="B429" s="6">
        <v>44997</v>
      </c>
      <c r="C429" t="s">
        <v>3938</v>
      </c>
      <c r="D429" t="s">
        <v>1778</v>
      </c>
      <c r="E429">
        <v>108.54</v>
      </c>
      <c r="F429" t="s">
        <v>26</v>
      </c>
    </row>
    <row r="430" spans="1:6">
      <c r="A430">
        <v>202303</v>
      </c>
      <c r="B430" s="6">
        <v>44997</v>
      </c>
      <c r="C430" t="s">
        <v>3938</v>
      </c>
      <c r="D430" t="s">
        <v>3979</v>
      </c>
      <c r="E430">
        <v>26.7</v>
      </c>
      <c r="F430" t="s">
        <v>26</v>
      </c>
    </row>
    <row r="431" spans="1:6">
      <c r="A431">
        <v>202303</v>
      </c>
      <c r="B431" s="6">
        <v>44998</v>
      </c>
      <c r="C431" t="s">
        <v>3938</v>
      </c>
      <c r="D431" t="s">
        <v>3980</v>
      </c>
      <c r="E431">
        <v>25</v>
      </c>
      <c r="F431" t="s">
        <v>40</v>
      </c>
    </row>
    <row r="432" spans="1:6">
      <c r="A432">
        <v>202303</v>
      </c>
      <c r="B432" s="6">
        <v>44998</v>
      </c>
      <c r="C432" t="s">
        <v>3933</v>
      </c>
      <c r="D432" t="s">
        <v>130</v>
      </c>
      <c r="E432">
        <v>10.73</v>
      </c>
      <c r="F432" t="s">
        <v>9</v>
      </c>
    </row>
    <row r="433" spans="1:6">
      <c r="A433">
        <v>202303</v>
      </c>
      <c r="B433" s="6">
        <v>44998</v>
      </c>
      <c r="C433" t="s">
        <v>3938</v>
      </c>
      <c r="D433" t="s">
        <v>3981</v>
      </c>
      <c r="E433">
        <v>146</v>
      </c>
      <c r="F433" t="s">
        <v>26</v>
      </c>
    </row>
    <row r="434" spans="1:6">
      <c r="A434">
        <v>202303</v>
      </c>
      <c r="B434" s="6">
        <v>44998</v>
      </c>
      <c r="C434" t="s">
        <v>3938</v>
      </c>
      <c r="D434" t="s">
        <v>3982</v>
      </c>
      <c r="E434">
        <v>204.4</v>
      </c>
      <c r="F434" t="s">
        <v>26</v>
      </c>
    </row>
    <row r="435" spans="1:6">
      <c r="A435">
        <v>202303</v>
      </c>
      <c r="B435" s="6">
        <v>44998</v>
      </c>
      <c r="C435" t="s">
        <v>3938</v>
      </c>
      <c r="D435" t="s">
        <v>3983</v>
      </c>
      <c r="E435">
        <v>8.15</v>
      </c>
      <c r="F435" t="s">
        <v>28</v>
      </c>
    </row>
    <row r="436" spans="1:6">
      <c r="A436">
        <v>202303</v>
      </c>
      <c r="B436" s="6">
        <v>44998</v>
      </c>
      <c r="C436" t="s">
        <v>3938</v>
      </c>
      <c r="D436" t="s">
        <v>3984</v>
      </c>
      <c r="E436">
        <v>45</v>
      </c>
      <c r="F436" t="s">
        <v>7</v>
      </c>
    </row>
    <row r="437" spans="1:6">
      <c r="A437">
        <v>202303</v>
      </c>
      <c r="B437" s="6">
        <v>44998</v>
      </c>
      <c r="C437" t="s">
        <v>3938</v>
      </c>
      <c r="D437" t="s">
        <v>3985</v>
      </c>
      <c r="E437">
        <v>156</v>
      </c>
      <c r="F437" t="s">
        <v>21</v>
      </c>
    </row>
    <row r="438" spans="1:6">
      <c r="A438">
        <v>202303</v>
      </c>
      <c r="B438" s="6">
        <v>44998</v>
      </c>
      <c r="C438" t="s">
        <v>3938</v>
      </c>
      <c r="D438" t="s">
        <v>3986</v>
      </c>
      <c r="E438">
        <v>18.739999999999998</v>
      </c>
      <c r="F438" t="s">
        <v>26</v>
      </c>
    </row>
    <row r="439" spans="1:6">
      <c r="A439">
        <v>202303</v>
      </c>
      <c r="B439" s="6">
        <v>44998</v>
      </c>
      <c r="C439" t="s">
        <v>3933</v>
      </c>
      <c r="D439" t="s">
        <v>2109</v>
      </c>
      <c r="E439">
        <v>111.81</v>
      </c>
      <c r="F439" t="s">
        <v>21</v>
      </c>
    </row>
    <row r="440" spans="1:6">
      <c r="A440">
        <v>202303</v>
      </c>
      <c r="B440" s="6">
        <v>44998</v>
      </c>
      <c r="C440" t="s">
        <v>3933</v>
      </c>
      <c r="D440" t="s">
        <v>2221</v>
      </c>
      <c r="E440">
        <v>149.46</v>
      </c>
      <c r="F440" t="s">
        <v>7</v>
      </c>
    </row>
    <row r="441" spans="1:6">
      <c r="A441">
        <v>202303</v>
      </c>
      <c r="B441" s="6">
        <v>44999</v>
      </c>
      <c r="C441" t="s">
        <v>3938</v>
      </c>
      <c r="D441" t="s">
        <v>113</v>
      </c>
      <c r="E441">
        <v>-39.99</v>
      </c>
      <c r="F441" t="s">
        <v>38</v>
      </c>
    </row>
    <row r="442" spans="1:6">
      <c r="A442">
        <v>202303</v>
      </c>
      <c r="B442" s="6">
        <v>44999</v>
      </c>
      <c r="C442" t="s">
        <v>3938</v>
      </c>
      <c r="D442" t="s">
        <v>113</v>
      </c>
      <c r="E442">
        <v>-63.34</v>
      </c>
      <c r="F442" t="s">
        <v>38</v>
      </c>
    </row>
    <row r="443" spans="1:6">
      <c r="A443">
        <v>202303</v>
      </c>
      <c r="B443" s="6">
        <v>44999</v>
      </c>
      <c r="C443" t="s">
        <v>3938</v>
      </c>
      <c r="D443" t="s">
        <v>113</v>
      </c>
      <c r="E443">
        <v>-56.9</v>
      </c>
      <c r="F443" t="s">
        <v>38</v>
      </c>
    </row>
    <row r="444" spans="1:6">
      <c r="A444">
        <v>202303</v>
      </c>
      <c r="B444" s="6">
        <v>44999</v>
      </c>
      <c r="C444" t="s">
        <v>3938</v>
      </c>
      <c r="D444" t="s">
        <v>113</v>
      </c>
      <c r="E444">
        <v>-32.99</v>
      </c>
      <c r="F444" t="s">
        <v>38</v>
      </c>
    </row>
    <row r="445" spans="1:6">
      <c r="A445">
        <v>202303</v>
      </c>
      <c r="B445" s="6">
        <v>44999</v>
      </c>
      <c r="C445" t="s">
        <v>3938</v>
      </c>
      <c r="D445" t="s">
        <v>113</v>
      </c>
      <c r="E445">
        <v>-55.96</v>
      </c>
      <c r="F445" t="s">
        <v>38</v>
      </c>
    </row>
    <row r="446" spans="1:6">
      <c r="A446">
        <v>202303</v>
      </c>
      <c r="B446" s="6">
        <v>44999</v>
      </c>
      <c r="C446" t="s">
        <v>3938</v>
      </c>
      <c r="D446" t="s">
        <v>113</v>
      </c>
      <c r="E446">
        <v>-28.78</v>
      </c>
      <c r="F446" t="s">
        <v>38</v>
      </c>
    </row>
    <row r="447" spans="1:6">
      <c r="A447">
        <v>202303</v>
      </c>
      <c r="B447" s="6">
        <v>44999</v>
      </c>
      <c r="C447" t="s">
        <v>3933</v>
      </c>
      <c r="D447" t="s">
        <v>131</v>
      </c>
      <c r="E447">
        <v>90.39</v>
      </c>
      <c r="F447" t="s">
        <v>18</v>
      </c>
    </row>
    <row r="448" spans="1:6">
      <c r="A448">
        <v>202303</v>
      </c>
      <c r="B448" s="6">
        <v>44999</v>
      </c>
      <c r="C448" t="s">
        <v>3938</v>
      </c>
      <c r="D448" t="s">
        <v>545</v>
      </c>
      <c r="E448">
        <v>31.51</v>
      </c>
      <c r="F448" t="s">
        <v>26</v>
      </c>
    </row>
    <row r="449" spans="1:6">
      <c r="A449">
        <v>202303</v>
      </c>
      <c r="B449" s="6">
        <v>44999</v>
      </c>
      <c r="C449" t="s">
        <v>3932</v>
      </c>
      <c r="D449" t="s">
        <v>3988</v>
      </c>
      <c r="E449">
        <v>-557.91999999999996</v>
      </c>
      <c r="F449" t="s">
        <v>9</v>
      </c>
    </row>
    <row r="450" spans="1:6">
      <c r="A450">
        <v>202303</v>
      </c>
      <c r="B450" s="6">
        <v>44999</v>
      </c>
      <c r="C450" t="s">
        <v>3938</v>
      </c>
      <c r="D450" t="s">
        <v>3989</v>
      </c>
      <c r="E450">
        <v>-3785.67</v>
      </c>
      <c r="F450" t="s">
        <v>9</v>
      </c>
    </row>
    <row r="451" spans="1:6">
      <c r="A451">
        <v>202303</v>
      </c>
      <c r="B451" s="6">
        <v>44999</v>
      </c>
      <c r="C451" t="s">
        <v>3933</v>
      </c>
      <c r="D451" t="s">
        <v>3987</v>
      </c>
      <c r="E451">
        <v>-8733.2800000000007</v>
      </c>
      <c r="F451" t="s">
        <v>16</v>
      </c>
    </row>
    <row r="452" spans="1:6">
      <c r="A452">
        <v>202303</v>
      </c>
      <c r="B452" s="6">
        <v>44999</v>
      </c>
      <c r="C452" t="s">
        <v>3933</v>
      </c>
      <c r="D452" t="s">
        <v>3936</v>
      </c>
      <c r="E452">
        <v>3785.67</v>
      </c>
      <c r="F452" t="s">
        <v>9</v>
      </c>
    </row>
    <row r="453" spans="1:6">
      <c r="A453">
        <v>202303</v>
      </c>
      <c r="B453" s="6">
        <v>45000</v>
      </c>
      <c r="C453" t="s">
        <v>3938</v>
      </c>
      <c r="D453" t="s">
        <v>38</v>
      </c>
      <c r="E453">
        <v>14.16</v>
      </c>
      <c r="F453" t="s">
        <v>38</v>
      </c>
    </row>
    <row r="454" spans="1:6">
      <c r="A454">
        <v>202303</v>
      </c>
      <c r="B454" s="6">
        <v>45000</v>
      </c>
      <c r="C454" t="s">
        <v>3932</v>
      </c>
      <c r="D454" t="s">
        <v>38</v>
      </c>
      <c r="E454">
        <v>19.28</v>
      </c>
      <c r="F454" t="s">
        <v>38</v>
      </c>
    </row>
    <row r="455" spans="1:6">
      <c r="A455">
        <v>202303</v>
      </c>
      <c r="B455" s="6">
        <v>45000</v>
      </c>
      <c r="C455" t="s">
        <v>3933</v>
      </c>
      <c r="D455" t="s">
        <v>3990</v>
      </c>
      <c r="E455">
        <v>65.900000000000006</v>
      </c>
      <c r="F455" t="s">
        <v>21</v>
      </c>
    </row>
    <row r="456" spans="1:6">
      <c r="A456">
        <v>202303</v>
      </c>
      <c r="B456" s="6">
        <v>45000</v>
      </c>
      <c r="C456" t="s">
        <v>3933</v>
      </c>
      <c r="D456" t="s">
        <v>3991</v>
      </c>
      <c r="E456">
        <v>557.91999999999996</v>
      </c>
      <c r="F456" t="s">
        <v>9</v>
      </c>
    </row>
    <row r="457" spans="1:6">
      <c r="A457">
        <v>202303</v>
      </c>
      <c r="B457" s="6">
        <v>45000</v>
      </c>
      <c r="C457" t="s">
        <v>3938</v>
      </c>
      <c r="D457" t="s">
        <v>1083</v>
      </c>
      <c r="E457">
        <v>51.32</v>
      </c>
      <c r="F457" t="s">
        <v>23</v>
      </c>
    </row>
    <row r="458" spans="1:6">
      <c r="A458">
        <v>202303</v>
      </c>
      <c r="B458" s="6">
        <v>45000</v>
      </c>
      <c r="C458" t="s">
        <v>3933</v>
      </c>
      <c r="D458" t="s">
        <v>1355</v>
      </c>
      <c r="E458">
        <v>96</v>
      </c>
      <c r="F458" t="s">
        <v>21</v>
      </c>
    </row>
    <row r="459" spans="1:6">
      <c r="A459">
        <v>202303</v>
      </c>
      <c r="B459" s="6">
        <v>45000</v>
      </c>
      <c r="C459" t="s">
        <v>3932</v>
      </c>
      <c r="D459" t="s">
        <v>3992</v>
      </c>
      <c r="E459">
        <v>34.43</v>
      </c>
      <c r="F459" t="s">
        <v>21</v>
      </c>
    </row>
    <row r="460" spans="1:6">
      <c r="A460">
        <v>202303</v>
      </c>
      <c r="B460" s="6">
        <v>45000</v>
      </c>
      <c r="C460" t="s">
        <v>3933</v>
      </c>
      <c r="D460" t="s">
        <v>2109</v>
      </c>
      <c r="E460">
        <v>20</v>
      </c>
      <c r="F460" t="s">
        <v>21</v>
      </c>
    </row>
    <row r="461" spans="1:6">
      <c r="A461">
        <v>202303</v>
      </c>
      <c r="B461" s="6">
        <v>45000</v>
      </c>
      <c r="C461" t="s">
        <v>3933</v>
      </c>
      <c r="D461" t="s">
        <v>2109</v>
      </c>
      <c r="E461">
        <v>20</v>
      </c>
      <c r="F461" t="s">
        <v>40</v>
      </c>
    </row>
    <row r="462" spans="1:6">
      <c r="A462">
        <v>202303</v>
      </c>
      <c r="B462" s="6">
        <v>45000</v>
      </c>
      <c r="C462" t="s">
        <v>3933</v>
      </c>
      <c r="D462" t="s">
        <v>2109</v>
      </c>
      <c r="E462">
        <v>20</v>
      </c>
      <c r="F462" t="s">
        <v>40</v>
      </c>
    </row>
    <row r="463" spans="1:6">
      <c r="A463">
        <v>202303</v>
      </c>
      <c r="B463" s="6">
        <v>45000</v>
      </c>
      <c r="C463" t="s">
        <v>3933</v>
      </c>
      <c r="D463" t="s">
        <v>2109</v>
      </c>
      <c r="E463">
        <v>335.03</v>
      </c>
      <c r="F463" t="s">
        <v>21</v>
      </c>
    </row>
    <row r="464" spans="1:6">
      <c r="A464">
        <v>202303</v>
      </c>
      <c r="B464" s="6">
        <v>45000</v>
      </c>
      <c r="C464" t="s">
        <v>3933</v>
      </c>
      <c r="D464" t="s">
        <v>3993</v>
      </c>
      <c r="E464">
        <v>330</v>
      </c>
      <c r="F464" t="s">
        <v>20</v>
      </c>
    </row>
    <row r="465" spans="1:6">
      <c r="A465">
        <v>202303</v>
      </c>
      <c r="B465" s="6">
        <v>45001</v>
      </c>
      <c r="C465" t="s">
        <v>3938</v>
      </c>
      <c r="D465" t="s">
        <v>38</v>
      </c>
      <c r="E465">
        <v>32.99</v>
      </c>
      <c r="F465" t="s">
        <v>38</v>
      </c>
    </row>
    <row r="466" spans="1:6">
      <c r="A466">
        <v>202303</v>
      </c>
      <c r="B466" s="6">
        <v>45001</v>
      </c>
      <c r="C466" t="s">
        <v>3938</v>
      </c>
      <c r="D466" t="s">
        <v>38</v>
      </c>
      <c r="E466">
        <v>44.99</v>
      </c>
      <c r="F466" t="s">
        <v>38</v>
      </c>
    </row>
    <row r="467" spans="1:6">
      <c r="A467">
        <v>202303</v>
      </c>
      <c r="B467" s="6">
        <v>45001</v>
      </c>
      <c r="C467" t="s">
        <v>3932</v>
      </c>
      <c r="D467" t="s">
        <v>38</v>
      </c>
      <c r="E467">
        <v>4.5999999999999996</v>
      </c>
      <c r="F467" t="s">
        <v>38</v>
      </c>
    </row>
    <row r="468" spans="1:6">
      <c r="A468">
        <v>202303</v>
      </c>
      <c r="B468" s="6">
        <v>45001</v>
      </c>
      <c r="C468" t="s">
        <v>3932</v>
      </c>
      <c r="D468" t="s">
        <v>3994</v>
      </c>
      <c r="E468">
        <v>19.32</v>
      </c>
      <c r="F468" t="s">
        <v>38</v>
      </c>
    </row>
    <row r="469" spans="1:6">
      <c r="A469">
        <v>202303</v>
      </c>
      <c r="B469" s="6">
        <v>45001</v>
      </c>
      <c r="C469" t="s">
        <v>3933</v>
      </c>
      <c r="D469" t="s">
        <v>3942</v>
      </c>
      <c r="E469">
        <v>-2434.2199999999998</v>
      </c>
      <c r="F469" t="s">
        <v>9</v>
      </c>
    </row>
    <row r="470" spans="1:6">
      <c r="A470">
        <v>202303</v>
      </c>
      <c r="B470" s="6">
        <v>45001</v>
      </c>
      <c r="C470" t="s">
        <v>3933</v>
      </c>
      <c r="D470" t="s">
        <v>3995</v>
      </c>
      <c r="E470">
        <v>100</v>
      </c>
      <c r="F470" t="s">
        <v>9</v>
      </c>
    </row>
    <row r="471" spans="1:6">
      <c r="A471">
        <v>202303</v>
      </c>
      <c r="B471" s="6">
        <v>45001</v>
      </c>
      <c r="C471" t="s">
        <v>3932</v>
      </c>
      <c r="D471" t="s">
        <v>1014</v>
      </c>
      <c r="E471">
        <v>25.7</v>
      </c>
      <c r="F471" t="s">
        <v>26</v>
      </c>
    </row>
    <row r="472" spans="1:6">
      <c r="A472">
        <v>202303</v>
      </c>
      <c r="B472" s="6">
        <v>45001</v>
      </c>
      <c r="C472" t="s">
        <v>3938</v>
      </c>
      <c r="D472" t="s">
        <v>1849</v>
      </c>
      <c r="E472">
        <v>75.33</v>
      </c>
      <c r="F472" t="s">
        <v>2</v>
      </c>
    </row>
    <row r="473" spans="1:6">
      <c r="A473">
        <v>202303</v>
      </c>
      <c r="B473" s="6">
        <v>45002</v>
      </c>
      <c r="C473" t="s">
        <v>3938</v>
      </c>
      <c r="D473" t="s">
        <v>38</v>
      </c>
      <c r="E473">
        <v>54.08</v>
      </c>
      <c r="F473" t="s">
        <v>38</v>
      </c>
    </row>
    <row r="474" spans="1:6">
      <c r="A474">
        <v>202303</v>
      </c>
      <c r="B474" s="6">
        <v>45002</v>
      </c>
      <c r="C474" t="s">
        <v>3938</v>
      </c>
      <c r="D474" t="s">
        <v>1159</v>
      </c>
      <c r="E474">
        <v>-128</v>
      </c>
      <c r="F474" t="s">
        <v>21</v>
      </c>
    </row>
    <row r="475" spans="1:6">
      <c r="A475">
        <v>202303</v>
      </c>
      <c r="B475" s="6">
        <v>45002</v>
      </c>
      <c r="C475" t="s">
        <v>3933</v>
      </c>
      <c r="D475" t="s">
        <v>2109</v>
      </c>
      <c r="E475">
        <v>30</v>
      </c>
      <c r="F475" t="s">
        <v>21</v>
      </c>
    </row>
    <row r="476" spans="1:6">
      <c r="A476">
        <v>202303</v>
      </c>
      <c r="B476" s="6">
        <v>45002</v>
      </c>
      <c r="C476" t="s">
        <v>3933</v>
      </c>
      <c r="D476" t="s">
        <v>2109</v>
      </c>
      <c r="E476">
        <v>125</v>
      </c>
      <c r="F476" t="s">
        <v>21</v>
      </c>
    </row>
    <row r="477" spans="1:6">
      <c r="A477">
        <v>202303</v>
      </c>
      <c r="B477" s="6">
        <v>45004</v>
      </c>
      <c r="C477" t="s">
        <v>3938</v>
      </c>
      <c r="D477" t="s">
        <v>38</v>
      </c>
      <c r="E477">
        <v>37.1</v>
      </c>
      <c r="F477" t="s">
        <v>38</v>
      </c>
    </row>
    <row r="478" spans="1:6">
      <c r="A478">
        <v>202303</v>
      </c>
      <c r="B478" s="6">
        <v>45004</v>
      </c>
      <c r="C478" t="s">
        <v>3938</v>
      </c>
      <c r="D478" t="s">
        <v>38</v>
      </c>
      <c r="E478">
        <v>18.989999999999998</v>
      </c>
      <c r="F478" t="s">
        <v>38</v>
      </c>
    </row>
    <row r="479" spans="1:6">
      <c r="A479">
        <v>202303</v>
      </c>
      <c r="B479" s="6">
        <v>45004</v>
      </c>
      <c r="C479" t="s">
        <v>3938</v>
      </c>
      <c r="D479" t="s">
        <v>38</v>
      </c>
      <c r="E479">
        <v>29.99</v>
      </c>
      <c r="F479" t="s">
        <v>38</v>
      </c>
    </row>
    <row r="480" spans="1:6">
      <c r="A480">
        <v>202303</v>
      </c>
      <c r="B480" s="6">
        <v>45004</v>
      </c>
      <c r="C480" t="s">
        <v>3938</v>
      </c>
      <c r="D480" t="s">
        <v>113</v>
      </c>
      <c r="E480">
        <v>-14.16</v>
      </c>
      <c r="F480" t="s">
        <v>38</v>
      </c>
    </row>
    <row r="481" spans="1:6">
      <c r="A481">
        <v>202303</v>
      </c>
      <c r="B481" s="6">
        <v>45004</v>
      </c>
      <c r="C481" t="s">
        <v>3938</v>
      </c>
      <c r="D481" t="s">
        <v>113</v>
      </c>
      <c r="E481">
        <v>-40.99</v>
      </c>
      <c r="F481" t="s">
        <v>38</v>
      </c>
    </row>
    <row r="482" spans="1:6">
      <c r="A482">
        <v>202303</v>
      </c>
      <c r="B482" s="6">
        <v>45004</v>
      </c>
      <c r="C482" t="s">
        <v>3933</v>
      </c>
      <c r="D482" t="s">
        <v>3996</v>
      </c>
      <c r="E482">
        <v>-121.87</v>
      </c>
      <c r="F482" t="s">
        <v>9</v>
      </c>
    </row>
    <row r="483" spans="1:6">
      <c r="A483">
        <v>202303</v>
      </c>
      <c r="B483" s="6">
        <v>45004</v>
      </c>
      <c r="C483" t="s">
        <v>3938</v>
      </c>
      <c r="D483" t="s">
        <v>3997</v>
      </c>
      <c r="E483">
        <v>588</v>
      </c>
      <c r="F483" t="s">
        <v>21</v>
      </c>
    </row>
    <row r="484" spans="1:6">
      <c r="A484">
        <v>202303</v>
      </c>
      <c r="B484" s="6">
        <v>45004</v>
      </c>
      <c r="C484" t="s">
        <v>3938</v>
      </c>
      <c r="D484" t="s">
        <v>3998</v>
      </c>
      <c r="E484">
        <v>32.99</v>
      </c>
      <c r="F484" t="s">
        <v>28</v>
      </c>
    </row>
    <row r="485" spans="1:6">
      <c r="A485">
        <v>202303</v>
      </c>
      <c r="B485" s="6">
        <v>45004</v>
      </c>
      <c r="C485" t="s">
        <v>3938</v>
      </c>
      <c r="D485" t="s">
        <v>3999</v>
      </c>
      <c r="E485">
        <v>-58</v>
      </c>
      <c r="F485" t="s">
        <v>21</v>
      </c>
    </row>
    <row r="486" spans="1:6">
      <c r="A486">
        <v>202303</v>
      </c>
      <c r="B486" s="6">
        <v>45004</v>
      </c>
      <c r="C486" t="s">
        <v>3938</v>
      </c>
      <c r="D486" t="s">
        <v>1925</v>
      </c>
      <c r="E486">
        <v>9.8800000000000008</v>
      </c>
      <c r="F486" t="s">
        <v>28</v>
      </c>
    </row>
    <row r="487" spans="1:6">
      <c r="A487">
        <v>202303</v>
      </c>
      <c r="B487" s="6">
        <v>45005</v>
      </c>
      <c r="C487" t="s">
        <v>3938</v>
      </c>
      <c r="D487" t="s">
        <v>38</v>
      </c>
      <c r="E487">
        <v>34.99</v>
      </c>
      <c r="F487" t="s">
        <v>38</v>
      </c>
    </row>
    <row r="488" spans="1:6">
      <c r="A488">
        <v>202303</v>
      </c>
      <c r="B488" s="6">
        <v>45005</v>
      </c>
      <c r="C488" t="s">
        <v>3938</v>
      </c>
      <c r="D488" t="s">
        <v>38</v>
      </c>
      <c r="E488">
        <v>19.989999999999998</v>
      </c>
      <c r="F488" t="s">
        <v>38</v>
      </c>
    </row>
    <row r="489" spans="1:6">
      <c r="A489">
        <v>202303</v>
      </c>
      <c r="B489" s="6">
        <v>45005</v>
      </c>
      <c r="C489" t="s">
        <v>3938</v>
      </c>
      <c r="D489" t="s">
        <v>4000</v>
      </c>
      <c r="E489">
        <v>33.049999999999997</v>
      </c>
      <c r="F489" t="s">
        <v>26</v>
      </c>
    </row>
    <row r="490" spans="1:6">
      <c r="A490">
        <v>202303</v>
      </c>
      <c r="B490" s="6">
        <v>45005</v>
      </c>
      <c r="C490" t="s">
        <v>3933</v>
      </c>
      <c r="D490" t="s">
        <v>2109</v>
      </c>
      <c r="E490">
        <v>38</v>
      </c>
      <c r="F490" t="s">
        <v>21</v>
      </c>
    </row>
    <row r="491" spans="1:6">
      <c r="A491">
        <v>202303</v>
      </c>
      <c r="B491" s="6">
        <v>45005</v>
      </c>
      <c r="C491" t="s">
        <v>3933</v>
      </c>
      <c r="D491" t="s">
        <v>4001</v>
      </c>
      <c r="E491">
        <v>500</v>
      </c>
      <c r="F491" t="s">
        <v>59</v>
      </c>
    </row>
    <row r="492" spans="1:6">
      <c r="A492">
        <v>202303</v>
      </c>
      <c r="B492" s="6">
        <v>45006</v>
      </c>
      <c r="C492" t="s">
        <v>3938</v>
      </c>
      <c r="D492" t="s">
        <v>1350</v>
      </c>
      <c r="E492">
        <v>16.73</v>
      </c>
      <c r="F492" t="s">
        <v>7</v>
      </c>
    </row>
    <row r="493" spans="1:6">
      <c r="A493">
        <v>202303</v>
      </c>
      <c r="B493" s="6">
        <v>45006</v>
      </c>
      <c r="C493" t="s">
        <v>3938</v>
      </c>
      <c r="D493" t="s">
        <v>4002</v>
      </c>
      <c r="E493">
        <v>8</v>
      </c>
      <c r="F493" t="s">
        <v>7</v>
      </c>
    </row>
    <row r="494" spans="1:6">
      <c r="A494">
        <v>202303</v>
      </c>
      <c r="B494" s="6">
        <v>45006</v>
      </c>
      <c r="C494" t="s">
        <v>3933</v>
      </c>
      <c r="D494" t="s">
        <v>4003</v>
      </c>
      <c r="E494">
        <v>80.58</v>
      </c>
      <c r="F494" t="s">
        <v>7</v>
      </c>
    </row>
    <row r="495" spans="1:6">
      <c r="A495">
        <v>202303</v>
      </c>
      <c r="B495" s="6">
        <v>45006</v>
      </c>
      <c r="C495" t="s">
        <v>3933</v>
      </c>
      <c r="D495" t="s">
        <v>4004</v>
      </c>
      <c r="E495">
        <v>330</v>
      </c>
      <c r="F495" t="s">
        <v>20</v>
      </c>
    </row>
    <row r="496" spans="1:6">
      <c r="A496">
        <v>202303</v>
      </c>
      <c r="B496" s="6">
        <v>45007</v>
      </c>
      <c r="C496" t="s">
        <v>3938</v>
      </c>
      <c r="D496" t="s">
        <v>38</v>
      </c>
      <c r="E496">
        <v>51.06</v>
      </c>
      <c r="F496" t="s">
        <v>38</v>
      </c>
    </row>
    <row r="497" spans="1:6">
      <c r="A497">
        <v>202303</v>
      </c>
      <c r="B497" s="6">
        <v>45007</v>
      </c>
      <c r="C497" t="s">
        <v>3938</v>
      </c>
      <c r="D497" t="s">
        <v>4005</v>
      </c>
      <c r="E497">
        <v>22</v>
      </c>
      <c r="F497" t="s">
        <v>2</v>
      </c>
    </row>
    <row r="498" spans="1:6">
      <c r="A498">
        <v>202303</v>
      </c>
      <c r="B498" s="6">
        <v>45007</v>
      </c>
      <c r="C498" t="s">
        <v>4006</v>
      </c>
      <c r="D498" t="s">
        <v>703</v>
      </c>
      <c r="E498">
        <v>734.6</v>
      </c>
      <c r="F498" t="s">
        <v>43</v>
      </c>
    </row>
    <row r="499" spans="1:6">
      <c r="A499">
        <v>202303</v>
      </c>
      <c r="B499" s="6">
        <v>45007</v>
      </c>
      <c r="C499" t="s">
        <v>4006</v>
      </c>
      <c r="D499" t="s">
        <v>703</v>
      </c>
      <c r="E499">
        <v>734.6</v>
      </c>
      <c r="F499" t="s">
        <v>43</v>
      </c>
    </row>
    <row r="500" spans="1:6">
      <c r="A500">
        <v>202303</v>
      </c>
      <c r="B500" s="6">
        <v>45007</v>
      </c>
      <c r="C500" t="s">
        <v>4006</v>
      </c>
      <c r="D500" t="s">
        <v>703</v>
      </c>
      <c r="E500">
        <v>734.6</v>
      </c>
      <c r="F500" t="s">
        <v>43</v>
      </c>
    </row>
    <row r="501" spans="1:6">
      <c r="A501">
        <v>202303</v>
      </c>
      <c r="B501" s="6">
        <v>45007</v>
      </c>
      <c r="C501" t="s">
        <v>4006</v>
      </c>
      <c r="D501" t="s">
        <v>703</v>
      </c>
      <c r="E501">
        <v>734.6</v>
      </c>
      <c r="F501" t="s">
        <v>43</v>
      </c>
    </row>
    <row r="502" spans="1:6">
      <c r="A502">
        <v>202303</v>
      </c>
      <c r="B502" s="6">
        <v>45007</v>
      </c>
      <c r="C502" t="s">
        <v>3938</v>
      </c>
      <c r="D502" t="s">
        <v>4007</v>
      </c>
      <c r="E502">
        <v>98</v>
      </c>
      <c r="F502" t="s">
        <v>21</v>
      </c>
    </row>
    <row r="503" spans="1:6">
      <c r="A503">
        <v>202303</v>
      </c>
      <c r="B503" s="6">
        <v>45008</v>
      </c>
      <c r="C503" t="s">
        <v>3938</v>
      </c>
      <c r="D503" t="s">
        <v>38</v>
      </c>
      <c r="E503">
        <v>16.989999999999998</v>
      </c>
      <c r="F503" t="s">
        <v>38</v>
      </c>
    </row>
    <row r="504" spans="1:6">
      <c r="A504">
        <v>202303</v>
      </c>
      <c r="B504" s="6">
        <v>45008</v>
      </c>
      <c r="C504" t="s">
        <v>3938</v>
      </c>
      <c r="D504" t="s">
        <v>38</v>
      </c>
      <c r="E504">
        <v>9.65</v>
      </c>
      <c r="F504" t="s">
        <v>38</v>
      </c>
    </row>
    <row r="505" spans="1:6">
      <c r="A505">
        <v>202303</v>
      </c>
      <c r="B505" s="6">
        <v>45008</v>
      </c>
      <c r="C505" t="s">
        <v>3933</v>
      </c>
      <c r="D505" t="s">
        <v>254</v>
      </c>
      <c r="E505">
        <v>-1014.84</v>
      </c>
      <c r="F505" t="s">
        <v>16</v>
      </c>
    </row>
    <row r="506" spans="1:6">
      <c r="A506">
        <v>202303</v>
      </c>
      <c r="B506" s="6">
        <v>45009</v>
      </c>
      <c r="C506" t="s">
        <v>3938</v>
      </c>
      <c r="D506" t="s">
        <v>38</v>
      </c>
      <c r="E506">
        <v>17.989999999999998</v>
      </c>
      <c r="F506" t="s">
        <v>38</v>
      </c>
    </row>
    <row r="507" spans="1:6">
      <c r="A507">
        <v>202303</v>
      </c>
      <c r="B507" s="6">
        <v>45009</v>
      </c>
      <c r="C507" t="s">
        <v>3938</v>
      </c>
      <c r="D507" t="s">
        <v>113</v>
      </c>
      <c r="E507">
        <v>-17.09</v>
      </c>
      <c r="F507" t="s">
        <v>38</v>
      </c>
    </row>
    <row r="508" spans="1:6">
      <c r="A508">
        <v>202303</v>
      </c>
      <c r="B508" s="6">
        <v>45009</v>
      </c>
      <c r="C508" t="s">
        <v>3938</v>
      </c>
      <c r="D508" t="s">
        <v>113</v>
      </c>
      <c r="E508">
        <v>-44.99</v>
      </c>
      <c r="F508" t="s">
        <v>38</v>
      </c>
    </row>
    <row r="509" spans="1:6">
      <c r="A509">
        <v>202303</v>
      </c>
      <c r="B509" s="6">
        <v>45009</v>
      </c>
      <c r="C509" t="s">
        <v>3938</v>
      </c>
      <c r="D509" t="s">
        <v>113</v>
      </c>
      <c r="E509">
        <v>-18.989999999999998</v>
      </c>
      <c r="F509" t="s">
        <v>38</v>
      </c>
    </row>
    <row r="510" spans="1:6">
      <c r="A510">
        <v>202303</v>
      </c>
      <c r="B510" s="6">
        <v>45009</v>
      </c>
      <c r="C510" t="s">
        <v>3938</v>
      </c>
      <c r="D510" t="s">
        <v>113</v>
      </c>
      <c r="E510">
        <v>-23.98</v>
      </c>
      <c r="F510" t="s">
        <v>38</v>
      </c>
    </row>
    <row r="511" spans="1:6">
      <c r="A511">
        <v>202303</v>
      </c>
      <c r="B511" s="6">
        <v>45009</v>
      </c>
      <c r="C511" t="s">
        <v>3938</v>
      </c>
      <c r="D511" t="s">
        <v>113</v>
      </c>
      <c r="E511">
        <v>-36.99</v>
      </c>
      <c r="F511" t="s">
        <v>38</v>
      </c>
    </row>
    <row r="512" spans="1:6">
      <c r="A512">
        <v>202303</v>
      </c>
      <c r="B512" s="6">
        <v>45009</v>
      </c>
      <c r="C512" t="s">
        <v>3938</v>
      </c>
      <c r="D512" t="s">
        <v>113</v>
      </c>
      <c r="E512">
        <v>-34.99</v>
      </c>
      <c r="F512" t="s">
        <v>38</v>
      </c>
    </row>
    <row r="513" spans="1:6">
      <c r="A513">
        <v>202303</v>
      </c>
      <c r="B513" s="6">
        <v>45009</v>
      </c>
      <c r="C513" t="s">
        <v>3938</v>
      </c>
      <c r="D513" t="s">
        <v>113</v>
      </c>
      <c r="E513">
        <v>-29.99</v>
      </c>
      <c r="F513" t="s">
        <v>38</v>
      </c>
    </row>
    <row r="514" spans="1:6">
      <c r="A514">
        <v>202303</v>
      </c>
      <c r="B514" s="6">
        <v>45009</v>
      </c>
      <c r="C514" t="s">
        <v>3938</v>
      </c>
      <c r="D514" t="s">
        <v>113</v>
      </c>
      <c r="E514">
        <v>-19.989999999999998</v>
      </c>
      <c r="F514" t="s">
        <v>38</v>
      </c>
    </row>
    <row r="515" spans="1:6">
      <c r="A515">
        <v>202303</v>
      </c>
      <c r="B515" s="6">
        <v>45009</v>
      </c>
      <c r="C515" t="s">
        <v>4006</v>
      </c>
      <c r="D515" t="s">
        <v>4008</v>
      </c>
      <c r="E515">
        <v>13.29</v>
      </c>
      <c r="F515" t="s">
        <v>28</v>
      </c>
    </row>
    <row r="516" spans="1:6">
      <c r="A516">
        <v>202303</v>
      </c>
      <c r="B516" s="6">
        <v>45009</v>
      </c>
      <c r="C516" t="s">
        <v>3933</v>
      </c>
      <c r="D516" t="s">
        <v>3991</v>
      </c>
      <c r="E516">
        <v>500</v>
      </c>
      <c r="F516" t="s">
        <v>9</v>
      </c>
    </row>
    <row r="517" spans="1:6">
      <c r="A517">
        <v>202303</v>
      </c>
      <c r="B517" s="6">
        <v>45009</v>
      </c>
      <c r="C517" t="s">
        <v>3938</v>
      </c>
      <c r="D517" t="s">
        <v>854</v>
      </c>
      <c r="E517">
        <v>75.95</v>
      </c>
      <c r="F517" t="s">
        <v>21</v>
      </c>
    </row>
    <row r="518" spans="1:6">
      <c r="A518">
        <v>202303</v>
      </c>
      <c r="B518" s="6">
        <v>45009</v>
      </c>
      <c r="C518" t="s">
        <v>3938</v>
      </c>
      <c r="D518" t="s">
        <v>1083</v>
      </c>
      <c r="E518">
        <v>50.11</v>
      </c>
      <c r="F518" t="s">
        <v>23</v>
      </c>
    </row>
    <row r="519" spans="1:6">
      <c r="A519">
        <v>202303</v>
      </c>
      <c r="B519" s="6">
        <v>45009</v>
      </c>
      <c r="C519" t="s">
        <v>3938</v>
      </c>
      <c r="D519" t="s">
        <v>1275</v>
      </c>
      <c r="E519">
        <v>38.56</v>
      </c>
      <c r="F519" t="s">
        <v>23</v>
      </c>
    </row>
    <row r="520" spans="1:6">
      <c r="A520">
        <v>202303</v>
      </c>
      <c r="B520" s="6">
        <v>45009</v>
      </c>
      <c r="C520" t="s">
        <v>4006</v>
      </c>
      <c r="D520" t="s">
        <v>4009</v>
      </c>
      <c r="E520">
        <v>29.43</v>
      </c>
      <c r="F520" t="s">
        <v>26</v>
      </c>
    </row>
    <row r="521" spans="1:6">
      <c r="A521">
        <v>202303</v>
      </c>
      <c r="B521" s="6">
        <v>45009</v>
      </c>
      <c r="C521" t="s">
        <v>3938</v>
      </c>
      <c r="D521" t="s">
        <v>1929</v>
      </c>
      <c r="E521">
        <v>168.39</v>
      </c>
      <c r="F521" t="s">
        <v>23</v>
      </c>
    </row>
    <row r="522" spans="1:6">
      <c r="A522">
        <v>202303</v>
      </c>
      <c r="B522" s="6">
        <v>45009</v>
      </c>
      <c r="C522" t="s">
        <v>3933</v>
      </c>
      <c r="D522" t="s">
        <v>2109</v>
      </c>
      <c r="E522">
        <v>92.5</v>
      </c>
      <c r="F522" t="s">
        <v>21</v>
      </c>
    </row>
    <row r="523" spans="1:6">
      <c r="A523">
        <v>202303</v>
      </c>
      <c r="B523" s="6">
        <v>45011</v>
      </c>
      <c r="C523" t="s">
        <v>3938</v>
      </c>
      <c r="D523" t="s">
        <v>4010</v>
      </c>
      <c r="E523">
        <v>111.82</v>
      </c>
      <c r="F523" t="s">
        <v>7</v>
      </c>
    </row>
    <row r="524" spans="1:6">
      <c r="A524">
        <v>202303</v>
      </c>
      <c r="B524" s="6">
        <v>45011</v>
      </c>
      <c r="C524" t="s">
        <v>3938</v>
      </c>
      <c r="D524" t="s">
        <v>4010</v>
      </c>
      <c r="E524">
        <v>82.83</v>
      </c>
      <c r="F524" t="s">
        <v>7</v>
      </c>
    </row>
    <row r="525" spans="1:6">
      <c r="A525">
        <v>202303</v>
      </c>
      <c r="B525" s="6">
        <v>45011</v>
      </c>
      <c r="C525" t="s">
        <v>3938</v>
      </c>
      <c r="D525" t="s">
        <v>1159</v>
      </c>
      <c r="E525">
        <v>-128</v>
      </c>
      <c r="F525" t="s">
        <v>21</v>
      </c>
    </row>
    <row r="526" spans="1:6">
      <c r="A526">
        <v>202303</v>
      </c>
      <c r="B526" s="6">
        <v>45011</v>
      </c>
      <c r="C526" t="s">
        <v>4006</v>
      </c>
      <c r="D526" t="s">
        <v>4012</v>
      </c>
      <c r="E526">
        <v>-2938.4</v>
      </c>
      <c r="F526" t="s">
        <v>9</v>
      </c>
    </row>
    <row r="527" spans="1:6">
      <c r="A527">
        <v>202303</v>
      </c>
      <c r="B527" s="6">
        <v>45011</v>
      </c>
      <c r="C527" t="s">
        <v>4006</v>
      </c>
      <c r="D527" t="s">
        <v>4011</v>
      </c>
      <c r="E527">
        <v>112.18</v>
      </c>
      <c r="F527" t="s">
        <v>26</v>
      </c>
    </row>
    <row r="528" spans="1:6">
      <c r="A528">
        <v>202303</v>
      </c>
      <c r="B528" s="6">
        <v>45012</v>
      </c>
      <c r="C528" t="s">
        <v>3932</v>
      </c>
      <c r="D528" t="s">
        <v>38</v>
      </c>
      <c r="E528">
        <v>10.69</v>
      </c>
      <c r="F528" t="s">
        <v>38</v>
      </c>
    </row>
    <row r="529" spans="1:6">
      <c r="A529">
        <v>202303</v>
      </c>
      <c r="B529" s="6">
        <v>45012</v>
      </c>
      <c r="C529" t="s">
        <v>3933</v>
      </c>
      <c r="D529" t="s">
        <v>130</v>
      </c>
      <c r="E529">
        <v>2938.4</v>
      </c>
      <c r="F529" t="s">
        <v>9</v>
      </c>
    </row>
    <row r="530" spans="1:6">
      <c r="A530">
        <v>202303</v>
      </c>
      <c r="B530" s="6">
        <v>45012</v>
      </c>
      <c r="C530" t="s">
        <v>3938</v>
      </c>
      <c r="D530" t="s">
        <v>161</v>
      </c>
      <c r="E530">
        <v>293.44</v>
      </c>
      <c r="F530" t="s">
        <v>21</v>
      </c>
    </row>
    <row r="531" spans="1:6">
      <c r="A531">
        <v>202303</v>
      </c>
      <c r="B531" s="6">
        <v>45012</v>
      </c>
      <c r="C531" t="s">
        <v>4006</v>
      </c>
      <c r="D531" t="s">
        <v>681</v>
      </c>
      <c r="E531">
        <v>30.98</v>
      </c>
      <c r="F531" t="s">
        <v>26</v>
      </c>
    </row>
    <row r="532" spans="1:6">
      <c r="A532">
        <v>202303</v>
      </c>
      <c r="B532" s="6">
        <v>45012</v>
      </c>
      <c r="C532" t="s">
        <v>3933</v>
      </c>
      <c r="D532" t="s">
        <v>3991</v>
      </c>
      <c r="E532">
        <v>500</v>
      </c>
      <c r="F532" t="s">
        <v>9</v>
      </c>
    </row>
    <row r="533" spans="1:6">
      <c r="A533">
        <v>202303</v>
      </c>
      <c r="B533" s="6">
        <v>45012</v>
      </c>
      <c r="C533" t="s">
        <v>4006</v>
      </c>
      <c r="D533" t="s">
        <v>1014</v>
      </c>
      <c r="E533">
        <v>15.56</v>
      </c>
      <c r="F533" t="s">
        <v>26</v>
      </c>
    </row>
    <row r="534" spans="1:6">
      <c r="A534">
        <v>202303</v>
      </c>
      <c r="B534" s="6">
        <v>45012</v>
      </c>
      <c r="C534" t="s">
        <v>3933</v>
      </c>
      <c r="D534" t="s">
        <v>31</v>
      </c>
      <c r="E534">
        <v>678.28</v>
      </c>
      <c r="F534" t="s">
        <v>31</v>
      </c>
    </row>
    <row r="535" spans="1:6">
      <c r="A535">
        <v>202303</v>
      </c>
      <c r="B535" s="6">
        <v>45012</v>
      </c>
      <c r="C535" t="s">
        <v>3938</v>
      </c>
      <c r="D535" t="s">
        <v>1849</v>
      </c>
      <c r="E535">
        <v>-5.62</v>
      </c>
      <c r="F535" t="s">
        <v>2</v>
      </c>
    </row>
    <row r="536" spans="1:6">
      <c r="A536">
        <v>202303</v>
      </c>
      <c r="B536" s="6">
        <v>45012</v>
      </c>
      <c r="C536" t="s">
        <v>3938</v>
      </c>
      <c r="D536" t="s">
        <v>4013</v>
      </c>
      <c r="E536">
        <v>44.31</v>
      </c>
      <c r="F536" t="s">
        <v>26</v>
      </c>
    </row>
    <row r="537" spans="1:6">
      <c r="A537">
        <v>202303</v>
      </c>
      <c r="B537" s="6">
        <v>45013</v>
      </c>
      <c r="C537" t="s">
        <v>3938</v>
      </c>
      <c r="D537" t="s">
        <v>38</v>
      </c>
      <c r="E537">
        <v>25.99</v>
      </c>
      <c r="F537" t="s">
        <v>41</v>
      </c>
    </row>
    <row r="538" spans="1:6">
      <c r="A538">
        <v>202303</v>
      </c>
      <c r="B538" s="6">
        <v>45013</v>
      </c>
      <c r="C538" t="s">
        <v>3938</v>
      </c>
      <c r="D538" t="s">
        <v>113</v>
      </c>
      <c r="E538">
        <v>-17.989999999999998</v>
      </c>
      <c r="F538" t="s">
        <v>41</v>
      </c>
    </row>
    <row r="539" spans="1:6">
      <c r="A539">
        <v>202303</v>
      </c>
      <c r="B539" s="6">
        <v>45013</v>
      </c>
      <c r="C539" t="s">
        <v>4006</v>
      </c>
      <c r="D539" t="s">
        <v>4014</v>
      </c>
      <c r="E539">
        <v>964.92</v>
      </c>
      <c r="F539" t="s">
        <v>43</v>
      </c>
    </row>
    <row r="540" spans="1:6">
      <c r="A540">
        <v>202303</v>
      </c>
      <c r="B540" s="6">
        <v>45013</v>
      </c>
      <c r="C540" t="s">
        <v>3933</v>
      </c>
      <c r="D540" t="s">
        <v>3992</v>
      </c>
      <c r="E540">
        <v>77.459999999999994</v>
      </c>
      <c r="F540" t="s">
        <v>21</v>
      </c>
    </row>
    <row r="541" spans="1:6">
      <c r="A541">
        <v>202303</v>
      </c>
      <c r="B541" s="6">
        <v>45013</v>
      </c>
      <c r="C541" t="s">
        <v>3933</v>
      </c>
      <c r="D541" t="s">
        <v>3992</v>
      </c>
      <c r="E541">
        <v>0.99</v>
      </c>
      <c r="F541" t="s">
        <v>21</v>
      </c>
    </row>
    <row r="542" spans="1:6">
      <c r="A542">
        <v>202303</v>
      </c>
      <c r="B542" s="6">
        <v>45013</v>
      </c>
      <c r="C542" t="s">
        <v>3933</v>
      </c>
      <c r="D542" t="s">
        <v>4015</v>
      </c>
      <c r="E542">
        <v>330</v>
      </c>
      <c r="F542" t="s">
        <v>20</v>
      </c>
    </row>
    <row r="543" spans="1:6">
      <c r="A543">
        <v>202303</v>
      </c>
      <c r="B543" s="6">
        <v>45014</v>
      </c>
      <c r="C543" t="s">
        <v>3932</v>
      </c>
      <c r="D543" t="s">
        <v>38</v>
      </c>
      <c r="E543">
        <v>28.99</v>
      </c>
      <c r="F543" t="s">
        <v>41</v>
      </c>
    </row>
    <row r="544" spans="1:6">
      <c r="A544">
        <v>202303</v>
      </c>
      <c r="B544" s="6">
        <v>45014</v>
      </c>
      <c r="C544" t="s">
        <v>3933</v>
      </c>
      <c r="D544" t="s">
        <v>3990</v>
      </c>
      <c r="E544">
        <v>60.18</v>
      </c>
      <c r="F544" t="s">
        <v>21</v>
      </c>
    </row>
    <row r="545" spans="1:6">
      <c r="A545">
        <v>202303</v>
      </c>
      <c r="B545" s="6">
        <v>45014</v>
      </c>
      <c r="C545" t="s">
        <v>4006</v>
      </c>
      <c r="D545" t="s">
        <v>4016</v>
      </c>
      <c r="E545">
        <v>15.35</v>
      </c>
      <c r="F545" t="s">
        <v>26</v>
      </c>
    </row>
    <row r="546" spans="1:6">
      <c r="A546">
        <v>202303</v>
      </c>
      <c r="B546" s="6">
        <v>45014</v>
      </c>
      <c r="C546" t="s">
        <v>3932</v>
      </c>
      <c r="D546" t="s">
        <v>4017</v>
      </c>
      <c r="E546">
        <v>58.49</v>
      </c>
      <c r="F546" t="s">
        <v>28</v>
      </c>
    </row>
    <row r="547" spans="1:6">
      <c r="A547">
        <v>202303</v>
      </c>
      <c r="B547" s="6">
        <v>45014</v>
      </c>
      <c r="C547" t="s">
        <v>3933</v>
      </c>
      <c r="D547" t="s">
        <v>3992</v>
      </c>
      <c r="E547">
        <v>0.99</v>
      </c>
      <c r="F547" t="s">
        <v>21</v>
      </c>
    </row>
    <row r="548" spans="1:6">
      <c r="A548">
        <v>202303</v>
      </c>
      <c r="B548" s="6">
        <v>45014</v>
      </c>
      <c r="C548" t="s">
        <v>4006</v>
      </c>
      <c r="D548" t="s">
        <v>4018</v>
      </c>
      <c r="E548">
        <v>19.18</v>
      </c>
      <c r="F548" t="s">
        <v>26</v>
      </c>
    </row>
    <row r="549" spans="1:6">
      <c r="A549">
        <v>202303</v>
      </c>
      <c r="B549" s="6">
        <v>45015</v>
      </c>
      <c r="C549" t="s">
        <v>3933</v>
      </c>
      <c r="D549" t="s">
        <v>3942</v>
      </c>
      <c r="E549">
        <v>-2434.23</v>
      </c>
      <c r="F549" t="s">
        <v>9</v>
      </c>
    </row>
    <row r="550" spans="1:6">
      <c r="A550">
        <v>202303</v>
      </c>
      <c r="B550" s="6">
        <v>45015</v>
      </c>
      <c r="C550" t="s">
        <v>4006</v>
      </c>
      <c r="D550" t="s">
        <v>4019</v>
      </c>
      <c r="E550">
        <v>38.619999999999997</v>
      </c>
      <c r="F550" t="s">
        <v>26</v>
      </c>
    </row>
    <row r="551" spans="1:6">
      <c r="A551">
        <v>202303</v>
      </c>
      <c r="B551" s="6">
        <v>45015</v>
      </c>
      <c r="C551" t="s">
        <v>3933</v>
      </c>
      <c r="D551" t="s">
        <v>1355</v>
      </c>
      <c r="E551">
        <v>453.8</v>
      </c>
      <c r="F551" t="s">
        <v>21</v>
      </c>
    </row>
    <row r="552" spans="1:6">
      <c r="A552">
        <v>202303</v>
      </c>
      <c r="B552" s="6">
        <v>45015</v>
      </c>
      <c r="C552" t="s">
        <v>4006</v>
      </c>
      <c r="D552" t="s">
        <v>4012</v>
      </c>
      <c r="E552">
        <v>-1185.54</v>
      </c>
      <c r="F552" t="s">
        <v>9</v>
      </c>
    </row>
    <row r="553" spans="1:6">
      <c r="A553">
        <v>202303</v>
      </c>
      <c r="B553" s="6">
        <v>45015</v>
      </c>
      <c r="C553" t="s">
        <v>3933</v>
      </c>
      <c r="D553" t="s">
        <v>3987</v>
      </c>
      <c r="E553">
        <v>-3171.34</v>
      </c>
      <c r="F553" t="s">
        <v>16</v>
      </c>
    </row>
    <row r="554" spans="1:6">
      <c r="A554">
        <v>202303</v>
      </c>
      <c r="B554" s="6">
        <v>45015</v>
      </c>
      <c r="C554" t="s">
        <v>3933</v>
      </c>
      <c r="D554" t="s">
        <v>2109</v>
      </c>
      <c r="E554">
        <v>215</v>
      </c>
      <c r="F554" t="s">
        <v>21</v>
      </c>
    </row>
    <row r="555" spans="1:6">
      <c r="A555">
        <v>202303</v>
      </c>
      <c r="B555" s="6">
        <v>45015</v>
      </c>
      <c r="C555" t="s">
        <v>3933</v>
      </c>
      <c r="D555" t="s">
        <v>4020</v>
      </c>
      <c r="E555">
        <v>104</v>
      </c>
      <c r="F555" t="s">
        <v>29</v>
      </c>
    </row>
    <row r="556" spans="1:6">
      <c r="A556">
        <v>202303</v>
      </c>
      <c r="B556" s="6">
        <v>45015</v>
      </c>
      <c r="C556" t="s">
        <v>3933</v>
      </c>
      <c r="D556" t="s">
        <v>3936</v>
      </c>
      <c r="E556">
        <v>1343.45</v>
      </c>
      <c r="F556" t="s">
        <v>9</v>
      </c>
    </row>
    <row r="557" spans="1:6">
      <c r="A557">
        <v>202303</v>
      </c>
      <c r="B557" s="6">
        <v>45016</v>
      </c>
      <c r="C557" t="s">
        <v>3933</v>
      </c>
      <c r="D557" t="s">
        <v>130</v>
      </c>
      <c r="E557">
        <v>1185.54</v>
      </c>
      <c r="F557" t="s">
        <v>9</v>
      </c>
    </row>
    <row r="558" spans="1:6">
      <c r="A558">
        <v>202303</v>
      </c>
      <c r="B558" s="6">
        <v>45016</v>
      </c>
      <c r="C558" t="s">
        <v>3933</v>
      </c>
      <c r="D558" t="s">
        <v>4021</v>
      </c>
      <c r="E558">
        <v>-4</v>
      </c>
      <c r="F558" t="s">
        <v>9</v>
      </c>
    </row>
    <row r="559" spans="1:6">
      <c r="A559">
        <v>202303</v>
      </c>
      <c r="B559" s="6">
        <v>45016</v>
      </c>
      <c r="C559" t="s">
        <v>3933</v>
      </c>
      <c r="D559" t="s">
        <v>4022</v>
      </c>
      <c r="E559">
        <v>-50.13</v>
      </c>
      <c r="F559" t="s">
        <v>16</v>
      </c>
    </row>
    <row r="560" spans="1:6">
      <c r="A560">
        <v>202303</v>
      </c>
      <c r="B560" s="6">
        <v>45016</v>
      </c>
      <c r="C560" t="s">
        <v>3933</v>
      </c>
      <c r="D560" t="s">
        <v>3991</v>
      </c>
      <c r="E560">
        <v>-11500</v>
      </c>
      <c r="F560" t="s">
        <v>9</v>
      </c>
    </row>
    <row r="561" spans="1:6">
      <c r="A561">
        <v>202304</v>
      </c>
      <c r="B561" s="6">
        <v>45017</v>
      </c>
      <c r="D561" t="s">
        <v>14</v>
      </c>
      <c r="E561">
        <v>250</v>
      </c>
      <c r="F561" t="s">
        <v>14</v>
      </c>
    </row>
    <row r="562" spans="1:6">
      <c r="A562">
        <v>202304</v>
      </c>
      <c r="B562" s="6">
        <v>45017</v>
      </c>
      <c r="C562" t="s">
        <v>4006</v>
      </c>
      <c r="D562" t="s">
        <v>4023</v>
      </c>
      <c r="E562">
        <v>45.41</v>
      </c>
      <c r="F562" t="s">
        <v>26</v>
      </c>
    </row>
    <row r="563" spans="1:6">
      <c r="A563">
        <v>202304</v>
      </c>
      <c r="B563" s="6">
        <v>45017</v>
      </c>
      <c r="C563" t="s">
        <v>4006</v>
      </c>
      <c r="D563" t="s">
        <v>4023</v>
      </c>
      <c r="E563">
        <v>-45.41</v>
      </c>
      <c r="F563" t="s">
        <v>26</v>
      </c>
    </row>
    <row r="564" spans="1:6">
      <c r="A564">
        <v>202304</v>
      </c>
      <c r="B564" s="6">
        <v>45017</v>
      </c>
      <c r="C564" t="s">
        <v>3932</v>
      </c>
      <c r="D564" t="s">
        <v>4024</v>
      </c>
      <c r="E564">
        <v>267.01</v>
      </c>
      <c r="F564" t="s">
        <v>28</v>
      </c>
    </row>
    <row r="565" spans="1:6">
      <c r="A565">
        <v>202304</v>
      </c>
      <c r="B565" s="6">
        <v>45017</v>
      </c>
      <c r="C565" t="s">
        <v>3932</v>
      </c>
      <c r="D565" t="s">
        <v>4024</v>
      </c>
      <c r="E565">
        <v>-267.01</v>
      </c>
      <c r="F565" t="s">
        <v>28</v>
      </c>
    </row>
    <row r="566" spans="1:6">
      <c r="A566">
        <v>202304</v>
      </c>
      <c r="B566" s="6">
        <v>45017</v>
      </c>
      <c r="C566" t="s">
        <v>4006</v>
      </c>
      <c r="D566" t="s">
        <v>4025</v>
      </c>
      <c r="E566">
        <v>41.5</v>
      </c>
      <c r="F566" t="s">
        <v>26</v>
      </c>
    </row>
    <row r="567" spans="1:6">
      <c r="A567">
        <v>202304</v>
      </c>
      <c r="B567" s="6">
        <v>45017</v>
      </c>
      <c r="C567" t="s">
        <v>4006</v>
      </c>
      <c r="D567" t="s">
        <v>4025</v>
      </c>
      <c r="E567">
        <v>-41.5</v>
      </c>
      <c r="F567" t="s">
        <v>26</v>
      </c>
    </row>
    <row r="568" spans="1:6">
      <c r="A568">
        <v>202304</v>
      </c>
      <c r="B568" s="6">
        <v>45017</v>
      </c>
      <c r="C568" t="s">
        <v>4026</v>
      </c>
      <c r="D568" t="s">
        <v>4027</v>
      </c>
      <c r="E568">
        <v>618.65</v>
      </c>
      <c r="F568" t="s">
        <v>11</v>
      </c>
    </row>
    <row r="569" spans="1:6">
      <c r="A569">
        <v>202304</v>
      </c>
      <c r="B569" s="6">
        <v>45018</v>
      </c>
      <c r="C569" t="s">
        <v>4028</v>
      </c>
      <c r="D569" t="s">
        <v>4029</v>
      </c>
      <c r="E569">
        <v>5.36</v>
      </c>
      <c r="F569" t="s">
        <v>21</v>
      </c>
    </row>
    <row r="570" spans="1:6">
      <c r="A570">
        <v>202304</v>
      </c>
      <c r="B570" s="6">
        <v>45018</v>
      </c>
      <c r="C570" t="s">
        <v>4030</v>
      </c>
      <c r="D570" t="s">
        <v>4031</v>
      </c>
      <c r="E570">
        <v>15.96</v>
      </c>
      <c r="F570" t="s">
        <v>38</v>
      </c>
    </row>
    <row r="571" spans="1:6">
      <c r="A571">
        <v>202304</v>
      </c>
      <c r="B571" s="6">
        <v>45018</v>
      </c>
      <c r="C571" t="s">
        <v>4006</v>
      </c>
      <c r="D571" t="s">
        <v>4032</v>
      </c>
      <c r="E571">
        <v>15.85</v>
      </c>
      <c r="F571" t="s">
        <v>26</v>
      </c>
    </row>
    <row r="572" spans="1:6">
      <c r="A572">
        <v>202304</v>
      </c>
      <c r="B572" s="6">
        <v>45018</v>
      </c>
      <c r="C572" t="s">
        <v>4006</v>
      </c>
      <c r="D572" t="s">
        <v>4032</v>
      </c>
      <c r="E572">
        <v>-15.85</v>
      </c>
      <c r="F572" t="s">
        <v>26</v>
      </c>
    </row>
    <row r="573" spans="1:6">
      <c r="A573">
        <v>202304</v>
      </c>
      <c r="B573" s="6">
        <v>45018</v>
      </c>
      <c r="C573" t="s">
        <v>4033</v>
      </c>
      <c r="D573" t="s">
        <v>4034</v>
      </c>
      <c r="E573">
        <v>-89</v>
      </c>
      <c r="F573" t="s">
        <v>40</v>
      </c>
    </row>
    <row r="574" spans="1:6">
      <c r="A574">
        <v>202304</v>
      </c>
      <c r="B574" s="6">
        <v>45019</v>
      </c>
      <c r="C574" t="s">
        <v>4006</v>
      </c>
      <c r="D574" t="s">
        <v>4035</v>
      </c>
      <c r="E574">
        <v>73.36</v>
      </c>
      <c r="F574" t="s">
        <v>26</v>
      </c>
    </row>
    <row r="575" spans="1:6">
      <c r="A575">
        <v>202304</v>
      </c>
      <c r="B575" s="6">
        <v>45019</v>
      </c>
      <c r="C575" t="s">
        <v>4006</v>
      </c>
      <c r="D575" t="s">
        <v>4035</v>
      </c>
      <c r="E575">
        <v>-73.36</v>
      </c>
      <c r="F575" t="s">
        <v>26</v>
      </c>
    </row>
    <row r="576" spans="1:6">
      <c r="A576">
        <v>202304</v>
      </c>
      <c r="B576" s="6">
        <v>45019</v>
      </c>
      <c r="C576" t="s">
        <v>4429</v>
      </c>
      <c r="D576" t="s">
        <v>5879</v>
      </c>
      <c r="E576">
        <v>2606.27</v>
      </c>
      <c r="F576" t="s">
        <v>5</v>
      </c>
    </row>
    <row r="577" spans="1:6">
      <c r="A577">
        <v>202304</v>
      </c>
      <c r="B577" s="6">
        <v>45019</v>
      </c>
      <c r="C577" t="s">
        <v>4036</v>
      </c>
      <c r="D577" t="s">
        <v>4037</v>
      </c>
      <c r="E577">
        <v>500</v>
      </c>
      <c r="F577" t="s">
        <v>61</v>
      </c>
    </row>
    <row r="578" spans="1:6">
      <c r="A578">
        <v>202304</v>
      </c>
      <c r="B578" s="6">
        <v>45020</v>
      </c>
      <c r="C578" t="s">
        <v>4038</v>
      </c>
      <c r="D578" t="s">
        <v>4039</v>
      </c>
      <c r="E578">
        <v>75.27</v>
      </c>
      <c r="F578" t="s">
        <v>43</v>
      </c>
    </row>
    <row r="579" spans="1:6">
      <c r="A579">
        <v>202304</v>
      </c>
      <c r="B579" s="6">
        <v>45021</v>
      </c>
      <c r="C579" t="s">
        <v>4040</v>
      </c>
      <c r="D579" t="s">
        <v>4041</v>
      </c>
      <c r="E579">
        <v>42.5</v>
      </c>
      <c r="F579" t="s">
        <v>23</v>
      </c>
    </row>
    <row r="580" spans="1:6">
      <c r="A580">
        <v>202304</v>
      </c>
      <c r="B580" s="6">
        <v>45021</v>
      </c>
      <c r="C580" t="s">
        <v>4042</v>
      </c>
      <c r="D580" t="s">
        <v>4043</v>
      </c>
      <c r="E580">
        <v>198</v>
      </c>
      <c r="F580" t="s">
        <v>43</v>
      </c>
    </row>
    <row r="581" spans="1:6">
      <c r="A581">
        <v>202304</v>
      </c>
      <c r="B581" s="6">
        <v>45022</v>
      </c>
      <c r="C581" t="s">
        <v>4044</v>
      </c>
      <c r="D581" t="s">
        <v>4045</v>
      </c>
      <c r="E581">
        <v>-602.79999999999995</v>
      </c>
      <c r="F581" t="s">
        <v>9</v>
      </c>
    </row>
    <row r="582" spans="1:6">
      <c r="A582">
        <v>202304</v>
      </c>
      <c r="B582" s="6">
        <v>45023</v>
      </c>
      <c r="C582" t="s">
        <v>4006</v>
      </c>
      <c r="D582" t="s">
        <v>4046</v>
      </c>
      <c r="E582">
        <v>1171.8900000000001</v>
      </c>
      <c r="F582" t="s">
        <v>43</v>
      </c>
    </row>
    <row r="583" spans="1:6">
      <c r="A583">
        <v>202304</v>
      </c>
      <c r="B583" s="6">
        <v>45023</v>
      </c>
      <c r="C583" t="s">
        <v>4006</v>
      </c>
      <c r="D583" t="s">
        <v>4046</v>
      </c>
      <c r="E583">
        <v>-1171.8900000000001</v>
      </c>
      <c r="F583" t="s">
        <v>43</v>
      </c>
    </row>
    <row r="584" spans="1:6">
      <c r="A584">
        <v>202304</v>
      </c>
      <c r="B584" s="6">
        <v>45025</v>
      </c>
      <c r="C584" t="s">
        <v>4047</v>
      </c>
      <c r="D584" t="s">
        <v>4048</v>
      </c>
      <c r="E584">
        <v>36</v>
      </c>
      <c r="F584" t="s">
        <v>26</v>
      </c>
    </row>
    <row r="585" spans="1:6">
      <c r="A585">
        <v>202304</v>
      </c>
      <c r="B585" s="6">
        <v>45025</v>
      </c>
      <c r="C585" t="s">
        <v>4049</v>
      </c>
      <c r="D585" t="s">
        <v>4050</v>
      </c>
      <c r="E585">
        <v>34.75</v>
      </c>
      <c r="F585" t="s">
        <v>26</v>
      </c>
    </row>
    <row r="586" spans="1:6">
      <c r="A586">
        <v>202304</v>
      </c>
      <c r="B586" s="6">
        <v>45025</v>
      </c>
      <c r="C586" t="s">
        <v>4051</v>
      </c>
      <c r="D586" t="s">
        <v>4052</v>
      </c>
      <c r="E586">
        <v>47.25</v>
      </c>
      <c r="F586" t="s">
        <v>34</v>
      </c>
    </row>
    <row r="587" spans="1:6">
      <c r="A587">
        <v>202304</v>
      </c>
      <c r="B587" s="6">
        <v>45025</v>
      </c>
      <c r="C587" t="s">
        <v>4053</v>
      </c>
      <c r="D587" t="s">
        <v>4054</v>
      </c>
      <c r="E587">
        <v>33.42</v>
      </c>
      <c r="F587" t="s">
        <v>23</v>
      </c>
    </row>
    <row r="588" spans="1:6">
      <c r="A588">
        <v>202304</v>
      </c>
      <c r="B588" s="6">
        <v>45025</v>
      </c>
      <c r="C588" t="s">
        <v>4055</v>
      </c>
      <c r="D588" t="s">
        <v>4056</v>
      </c>
      <c r="E588">
        <v>8.67</v>
      </c>
      <c r="F588" t="s">
        <v>23</v>
      </c>
    </row>
    <row r="589" spans="1:6">
      <c r="A589">
        <v>202304</v>
      </c>
      <c r="B589" s="6">
        <v>45027</v>
      </c>
      <c r="C589" t="s">
        <v>4057</v>
      </c>
      <c r="D589" t="s">
        <v>4058</v>
      </c>
      <c r="E589">
        <v>54.28</v>
      </c>
      <c r="F589" t="s">
        <v>23</v>
      </c>
    </row>
    <row r="590" spans="1:6">
      <c r="A590">
        <v>202304</v>
      </c>
      <c r="B590" s="6">
        <v>45027</v>
      </c>
      <c r="C590" t="s">
        <v>4059</v>
      </c>
      <c r="D590" t="s">
        <v>4060</v>
      </c>
      <c r="E590">
        <v>-1601</v>
      </c>
      <c r="F590" t="s">
        <v>9</v>
      </c>
    </row>
    <row r="591" spans="1:6">
      <c r="A591">
        <v>202304</v>
      </c>
      <c r="B591" s="6">
        <v>45027</v>
      </c>
      <c r="C591" t="s">
        <v>4006</v>
      </c>
      <c r="D591" t="s">
        <v>4061</v>
      </c>
      <c r="E591">
        <v>1.78</v>
      </c>
      <c r="F591" t="s">
        <v>26</v>
      </c>
    </row>
    <row r="592" spans="1:6">
      <c r="A592">
        <v>202304</v>
      </c>
      <c r="B592" s="6">
        <v>45027</v>
      </c>
      <c r="C592" t="s">
        <v>4006</v>
      </c>
      <c r="D592" t="s">
        <v>4061</v>
      </c>
      <c r="E592">
        <v>-1.78</v>
      </c>
      <c r="F592" t="s">
        <v>26</v>
      </c>
    </row>
    <row r="593" spans="1:6">
      <c r="A593">
        <v>202304</v>
      </c>
      <c r="B593" s="6">
        <v>45027</v>
      </c>
      <c r="C593" t="s">
        <v>4006</v>
      </c>
      <c r="D593" t="s">
        <v>1707</v>
      </c>
      <c r="E593">
        <v>52.82</v>
      </c>
      <c r="F593" t="s">
        <v>23</v>
      </c>
    </row>
    <row r="594" spans="1:6">
      <c r="A594">
        <v>202304</v>
      </c>
      <c r="B594" s="6">
        <v>45027</v>
      </c>
      <c r="C594" t="s">
        <v>4006</v>
      </c>
      <c r="D594" t="s">
        <v>1707</v>
      </c>
      <c r="E594">
        <v>-52.82</v>
      </c>
      <c r="F594" t="s">
        <v>23</v>
      </c>
    </row>
    <row r="595" spans="1:6">
      <c r="A595">
        <v>202304</v>
      </c>
      <c r="B595" s="6">
        <v>45027</v>
      </c>
      <c r="C595" t="s">
        <v>4062</v>
      </c>
      <c r="D595" t="s">
        <v>4063</v>
      </c>
      <c r="E595">
        <v>116.21</v>
      </c>
      <c r="F595" t="s">
        <v>7</v>
      </c>
    </row>
    <row r="596" spans="1:6">
      <c r="A596">
        <v>202304</v>
      </c>
      <c r="B596" s="6">
        <v>45028</v>
      </c>
      <c r="C596" t="s">
        <v>3932</v>
      </c>
      <c r="D596" t="s">
        <v>103</v>
      </c>
      <c r="E596">
        <v>192.93</v>
      </c>
      <c r="F596" t="s">
        <v>48</v>
      </c>
    </row>
    <row r="597" spans="1:6">
      <c r="A597">
        <v>202304</v>
      </c>
      <c r="B597" s="6">
        <v>45028</v>
      </c>
      <c r="C597" t="s">
        <v>3932</v>
      </c>
      <c r="D597" t="s">
        <v>103</v>
      </c>
      <c r="E597">
        <v>-192.93</v>
      </c>
      <c r="F597" t="s">
        <v>48</v>
      </c>
    </row>
    <row r="598" spans="1:6">
      <c r="A598">
        <v>202304</v>
      </c>
      <c r="B598" s="6">
        <v>45028</v>
      </c>
      <c r="C598" t="s">
        <v>4064</v>
      </c>
      <c r="D598" t="s">
        <v>4065</v>
      </c>
      <c r="E598">
        <v>148</v>
      </c>
      <c r="F598" t="s">
        <v>29</v>
      </c>
    </row>
    <row r="599" spans="1:6">
      <c r="A599">
        <v>202304</v>
      </c>
      <c r="B599" s="6">
        <v>45028</v>
      </c>
      <c r="C599" t="s">
        <v>2519</v>
      </c>
      <c r="D599" t="s">
        <v>4066</v>
      </c>
      <c r="E599">
        <v>330</v>
      </c>
      <c r="F599" t="s">
        <v>20</v>
      </c>
    </row>
    <row r="600" spans="1:6">
      <c r="A600">
        <v>202304</v>
      </c>
      <c r="B600" s="6">
        <v>45029</v>
      </c>
      <c r="C600" t="s">
        <v>4067</v>
      </c>
      <c r="D600" t="s">
        <v>4068</v>
      </c>
      <c r="E600">
        <v>45</v>
      </c>
      <c r="F600" t="s">
        <v>7</v>
      </c>
    </row>
    <row r="601" spans="1:6">
      <c r="A601">
        <v>202304</v>
      </c>
      <c r="B601" s="6">
        <v>45029</v>
      </c>
      <c r="C601" t="s">
        <v>4069</v>
      </c>
      <c r="D601" t="s">
        <v>4070</v>
      </c>
      <c r="E601">
        <v>-2484.2199999999998</v>
      </c>
      <c r="F601" t="s">
        <v>66</v>
      </c>
    </row>
    <row r="602" spans="1:6">
      <c r="A602">
        <v>202304</v>
      </c>
      <c r="B602" s="6">
        <v>45029</v>
      </c>
      <c r="C602" t="s">
        <v>4071</v>
      </c>
      <c r="D602" t="s">
        <v>4072</v>
      </c>
      <c r="E602">
        <v>-3180.72</v>
      </c>
      <c r="F602" t="s">
        <v>64</v>
      </c>
    </row>
    <row r="603" spans="1:6">
      <c r="A603">
        <v>202304</v>
      </c>
      <c r="B603" s="6">
        <v>45029</v>
      </c>
      <c r="C603" t="s">
        <v>4073</v>
      </c>
      <c r="D603" t="s">
        <v>4074</v>
      </c>
      <c r="E603">
        <v>52.25</v>
      </c>
      <c r="F603" t="s">
        <v>2</v>
      </c>
    </row>
    <row r="604" spans="1:6">
      <c r="A604">
        <v>202304</v>
      </c>
      <c r="B604" s="6">
        <v>45029</v>
      </c>
      <c r="C604" t="s">
        <v>4075</v>
      </c>
      <c r="D604" t="s">
        <v>4076</v>
      </c>
      <c r="E604">
        <v>42.59</v>
      </c>
      <c r="F604" t="s">
        <v>2</v>
      </c>
    </row>
    <row r="605" spans="1:6">
      <c r="A605">
        <v>202304</v>
      </c>
      <c r="B605" s="6">
        <v>45029</v>
      </c>
      <c r="C605" t="s">
        <v>4077</v>
      </c>
      <c r="D605" t="s">
        <v>4078</v>
      </c>
      <c r="E605">
        <v>3424</v>
      </c>
      <c r="F605" t="s">
        <v>9</v>
      </c>
    </row>
    <row r="606" spans="1:6">
      <c r="A606">
        <v>202304</v>
      </c>
      <c r="B606" s="6">
        <v>45030</v>
      </c>
      <c r="C606" t="s">
        <v>3932</v>
      </c>
      <c r="D606" t="s">
        <v>4079</v>
      </c>
      <c r="E606">
        <v>-8.48</v>
      </c>
      <c r="F606" t="s">
        <v>16</v>
      </c>
    </row>
    <row r="607" spans="1:6">
      <c r="A607">
        <v>202304</v>
      </c>
      <c r="B607" s="6">
        <v>45030</v>
      </c>
      <c r="C607" t="s">
        <v>3932</v>
      </c>
      <c r="D607" t="s">
        <v>4079</v>
      </c>
      <c r="E607">
        <v>8.48</v>
      </c>
      <c r="F607" t="s">
        <v>16</v>
      </c>
    </row>
    <row r="608" spans="1:6">
      <c r="A608">
        <v>202304</v>
      </c>
      <c r="B608" s="6">
        <v>45030</v>
      </c>
      <c r="C608" t="s">
        <v>3932</v>
      </c>
      <c r="D608" t="s">
        <v>3988</v>
      </c>
      <c r="E608">
        <v>-652.96</v>
      </c>
      <c r="F608" t="s">
        <v>9</v>
      </c>
    </row>
    <row r="609" spans="1:6">
      <c r="A609">
        <v>202304</v>
      </c>
      <c r="B609" s="6">
        <v>45030</v>
      </c>
      <c r="C609" t="s">
        <v>3932</v>
      </c>
      <c r="D609" t="s">
        <v>3988</v>
      </c>
      <c r="E609">
        <v>652.96</v>
      </c>
      <c r="F609" t="s">
        <v>9</v>
      </c>
    </row>
    <row r="610" spans="1:6">
      <c r="A610">
        <v>202304</v>
      </c>
      <c r="B610" s="6">
        <v>45030</v>
      </c>
      <c r="C610" t="s">
        <v>4006</v>
      </c>
      <c r="D610" t="s">
        <v>4080</v>
      </c>
      <c r="E610">
        <v>63.32</v>
      </c>
      <c r="F610" t="s">
        <v>28</v>
      </c>
    </row>
    <row r="611" spans="1:6">
      <c r="A611">
        <v>202304</v>
      </c>
      <c r="B611" s="6">
        <v>45030</v>
      </c>
      <c r="C611" t="s">
        <v>4006</v>
      </c>
      <c r="D611" t="s">
        <v>4080</v>
      </c>
      <c r="E611">
        <v>-63.32</v>
      </c>
      <c r="F611" t="s">
        <v>28</v>
      </c>
    </row>
    <row r="612" spans="1:6">
      <c r="A612">
        <v>202304</v>
      </c>
      <c r="B612" s="6">
        <v>45030</v>
      </c>
      <c r="C612" t="s">
        <v>4083</v>
      </c>
      <c r="D612" t="s">
        <v>4084</v>
      </c>
      <c r="E612">
        <v>90.39</v>
      </c>
      <c r="F612" t="s">
        <v>18</v>
      </c>
    </row>
    <row r="613" spans="1:6">
      <c r="A613">
        <v>202304</v>
      </c>
      <c r="B613" s="6">
        <v>45030</v>
      </c>
      <c r="C613" t="s">
        <v>4081</v>
      </c>
      <c r="D613" t="s">
        <v>4082</v>
      </c>
      <c r="E613">
        <v>140.52000000000001</v>
      </c>
      <c r="F613" t="s">
        <v>7</v>
      </c>
    </row>
    <row r="614" spans="1:6">
      <c r="A614">
        <v>202304</v>
      </c>
      <c r="B614" s="6">
        <v>45031</v>
      </c>
      <c r="C614" t="s">
        <v>4006</v>
      </c>
      <c r="D614" t="s">
        <v>4085</v>
      </c>
      <c r="E614">
        <v>50</v>
      </c>
      <c r="F614" t="s">
        <v>43</v>
      </c>
    </row>
    <row r="615" spans="1:6">
      <c r="A615">
        <v>202304</v>
      </c>
      <c r="B615" s="6">
        <v>45031</v>
      </c>
      <c r="C615" t="s">
        <v>4006</v>
      </c>
      <c r="D615" t="s">
        <v>4085</v>
      </c>
      <c r="E615">
        <v>-50</v>
      </c>
      <c r="F615" t="s">
        <v>43</v>
      </c>
    </row>
    <row r="616" spans="1:6">
      <c r="A616">
        <v>202304</v>
      </c>
      <c r="B616" s="6">
        <v>45031</v>
      </c>
      <c r="C616" t="s">
        <v>4006</v>
      </c>
      <c r="D616" t="s">
        <v>4086</v>
      </c>
      <c r="E616">
        <v>71.739999999999995</v>
      </c>
      <c r="F616" t="s">
        <v>26</v>
      </c>
    </row>
    <row r="617" spans="1:6">
      <c r="A617">
        <v>202304</v>
      </c>
      <c r="B617" s="6">
        <v>45031</v>
      </c>
      <c r="C617" t="s">
        <v>4006</v>
      </c>
      <c r="D617" t="s">
        <v>4086</v>
      </c>
      <c r="E617">
        <v>-71.739999999999995</v>
      </c>
      <c r="F617" t="s">
        <v>26</v>
      </c>
    </row>
    <row r="618" spans="1:6">
      <c r="A618">
        <v>202304</v>
      </c>
      <c r="B618" s="6">
        <v>45031</v>
      </c>
      <c r="C618" t="s">
        <v>4006</v>
      </c>
      <c r="D618" t="s">
        <v>4087</v>
      </c>
      <c r="E618">
        <v>20.63</v>
      </c>
      <c r="F618" t="s">
        <v>26</v>
      </c>
    </row>
    <row r="619" spans="1:6">
      <c r="A619">
        <v>202304</v>
      </c>
      <c r="B619" s="6">
        <v>45031</v>
      </c>
      <c r="C619" t="s">
        <v>4006</v>
      </c>
      <c r="D619" t="s">
        <v>4087</v>
      </c>
      <c r="E619">
        <v>-20.63</v>
      </c>
      <c r="F619" t="s">
        <v>26</v>
      </c>
    </row>
    <row r="620" spans="1:6">
      <c r="A620">
        <v>202304</v>
      </c>
      <c r="B620" s="6">
        <v>45031</v>
      </c>
      <c r="C620" t="s">
        <v>4006</v>
      </c>
      <c r="D620" t="s">
        <v>4088</v>
      </c>
      <c r="E620">
        <v>44.56</v>
      </c>
      <c r="F620" t="s">
        <v>26</v>
      </c>
    </row>
    <row r="621" spans="1:6">
      <c r="A621">
        <v>202304</v>
      </c>
      <c r="B621" s="6">
        <v>45031</v>
      </c>
      <c r="C621" t="s">
        <v>4006</v>
      </c>
      <c r="D621" t="s">
        <v>4088</v>
      </c>
      <c r="E621">
        <v>-44.56</v>
      </c>
      <c r="F621" t="s">
        <v>26</v>
      </c>
    </row>
    <row r="622" spans="1:6">
      <c r="A622">
        <v>202304</v>
      </c>
      <c r="B622" s="6">
        <v>45032</v>
      </c>
      <c r="C622" t="s">
        <v>4089</v>
      </c>
      <c r="D622" t="s">
        <v>4090</v>
      </c>
      <c r="E622">
        <v>100.98</v>
      </c>
      <c r="F622" t="s">
        <v>38</v>
      </c>
    </row>
    <row r="623" spans="1:6">
      <c r="A623">
        <v>202304</v>
      </c>
      <c r="B623" s="6">
        <v>45032</v>
      </c>
      <c r="C623" t="s">
        <v>4091</v>
      </c>
      <c r="D623" t="s">
        <v>4092</v>
      </c>
      <c r="E623">
        <v>83.96</v>
      </c>
      <c r="F623" t="s">
        <v>28</v>
      </c>
    </row>
    <row r="624" spans="1:6">
      <c r="A624">
        <v>202304</v>
      </c>
      <c r="B624" s="6">
        <v>45032</v>
      </c>
      <c r="C624" t="s">
        <v>4006</v>
      </c>
      <c r="D624" t="s">
        <v>703</v>
      </c>
      <c r="E624">
        <v>132</v>
      </c>
      <c r="F624" t="s">
        <v>43</v>
      </c>
    </row>
    <row r="625" spans="1:6">
      <c r="A625">
        <v>202304</v>
      </c>
      <c r="B625" s="6">
        <v>45032</v>
      </c>
      <c r="C625" t="s">
        <v>4006</v>
      </c>
      <c r="D625" t="s">
        <v>703</v>
      </c>
      <c r="E625">
        <v>-132</v>
      </c>
      <c r="F625" t="s">
        <v>43</v>
      </c>
    </row>
    <row r="626" spans="1:6">
      <c r="A626">
        <v>202304</v>
      </c>
      <c r="B626" s="6">
        <v>45032</v>
      </c>
      <c r="C626" t="s">
        <v>4006</v>
      </c>
      <c r="D626" t="s">
        <v>4093</v>
      </c>
      <c r="E626">
        <v>55.46</v>
      </c>
      <c r="F626" t="s">
        <v>28</v>
      </c>
    </row>
    <row r="627" spans="1:6">
      <c r="A627">
        <v>202304</v>
      </c>
      <c r="B627" s="6">
        <v>45032</v>
      </c>
      <c r="C627" t="s">
        <v>4006</v>
      </c>
      <c r="D627" t="s">
        <v>4093</v>
      </c>
      <c r="E627">
        <v>-55.46</v>
      </c>
      <c r="F627" t="s">
        <v>28</v>
      </c>
    </row>
    <row r="628" spans="1:6">
      <c r="A628">
        <v>202304</v>
      </c>
      <c r="B628" s="6">
        <v>45032</v>
      </c>
      <c r="C628" t="s">
        <v>4094</v>
      </c>
      <c r="D628" t="s">
        <v>4095</v>
      </c>
      <c r="E628">
        <v>23.6</v>
      </c>
      <c r="F628" t="s">
        <v>20</v>
      </c>
    </row>
    <row r="629" spans="1:6">
      <c r="A629">
        <v>202304</v>
      </c>
      <c r="B629" s="6">
        <v>45032</v>
      </c>
      <c r="C629" t="s">
        <v>4096</v>
      </c>
      <c r="D629" t="s">
        <v>4097</v>
      </c>
      <c r="E629">
        <v>-68</v>
      </c>
      <c r="F629" t="s">
        <v>21</v>
      </c>
    </row>
    <row r="630" spans="1:6">
      <c r="A630">
        <v>202304</v>
      </c>
      <c r="B630" s="6">
        <v>45033</v>
      </c>
      <c r="C630" t="s">
        <v>4098</v>
      </c>
      <c r="D630" t="s">
        <v>4099</v>
      </c>
      <c r="E630">
        <v>-75.7</v>
      </c>
      <c r="F630" t="s">
        <v>21</v>
      </c>
    </row>
    <row r="631" spans="1:6">
      <c r="A631">
        <v>202304</v>
      </c>
      <c r="B631" s="6">
        <v>45033</v>
      </c>
      <c r="C631" t="s">
        <v>4100</v>
      </c>
      <c r="D631" t="s">
        <v>4101</v>
      </c>
      <c r="E631">
        <v>89.04</v>
      </c>
      <c r="F631" t="s">
        <v>40</v>
      </c>
    </row>
    <row r="632" spans="1:6">
      <c r="A632">
        <v>202304</v>
      </c>
      <c r="B632" s="6">
        <v>45033</v>
      </c>
      <c r="C632" t="s">
        <v>3932</v>
      </c>
      <c r="D632" t="s">
        <v>808</v>
      </c>
      <c r="E632">
        <v>29</v>
      </c>
      <c r="F632" t="s">
        <v>29</v>
      </c>
    </row>
    <row r="633" spans="1:6">
      <c r="A633">
        <v>202304</v>
      </c>
      <c r="B633" s="6">
        <v>45033</v>
      </c>
      <c r="C633" t="s">
        <v>3932</v>
      </c>
      <c r="D633" t="s">
        <v>808</v>
      </c>
      <c r="E633">
        <v>-29</v>
      </c>
      <c r="F633" t="s">
        <v>29</v>
      </c>
    </row>
    <row r="634" spans="1:6">
      <c r="A634">
        <v>202304</v>
      </c>
      <c r="B634" s="6">
        <v>45033</v>
      </c>
      <c r="C634" t="s">
        <v>4110</v>
      </c>
      <c r="D634" t="s">
        <v>4111</v>
      </c>
      <c r="E634">
        <v>652.96</v>
      </c>
      <c r="F634" t="s">
        <v>9</v>
      </c>
    </row>
    <row r="635" spans="1:6">
      <c r="A635">
        <v>202304</v>
      </c>
      <c r="B635" s="6">
        <v>45033</v>
      </c>
      <c r="C635" t="s">
        <v>4102</v>
      </c>
      <c r="D635" t="s">
        <v>4103</v>
      </c>
      <c r="E635">
        <v>4.75</v>
      </c>
      <c r="F635" t="s">
        <v>21</v>
      </c>
    </row>
    <row r="636" spans="1:6">
      <c r="A636">
        <v>202304</v>
      </c>
      <c r="B636" s="6">
        <v>45033</v>
      </c>
      <c r="C636" t="s">
        <v>4104</v>
      </c>
      <c r="D636" t="s">
        <v>4105</v>
      </c>
      <c r="E636">
        <v>3.25</v>
      </c>
      <c r="F636" t="s">
        <v>21</v>
      </c>
    </row>
    <row r="637" spans="1:6">
      <c r="A637">
        <v>202304</v>
      </c>
      <c r="B637" s="6">
        <v>45033</v>
      </c>
      <c r="C637" t="s">
        <v>4106</v>
      </c>
      <c r="D637" t="s">
        <v>4107</v>
      </c>
      <c r="E637">
        <v>1.75</v>
      </c>
      <c r="F637" t="s">
        <v>21</v>
      </c>
    </row>
    <row r="638" spans="1:6">
      <c r="A638">
        <v>202304</v>
      </c>
      <c r="B638" s="6">
        <v>45033</v>
      </c>
      <c r="C638" t="s">
        <v>4108</v>
      </c>
      <c r="D638" t="s">
        <v>4109</v>
      </c>
      <c r="E638">
        <v>1.75</v>
      </c>
      <c r="F638" t="s">
        <v>21</v>
      </c>
    </row>
    <row r="639" spans="1:6">
      <c r="A639">
        <v>202304</v>
      </c>
      <c r="B639" s="6">
        <v>45034</v>
      </c>
      <c r="C639" t="s">
        <v>3932</v>
      </c>
      <c r="D639" t="s">
        <v>103</v>
      </c>
      <c r="E639">
        <v>139.38</v>
      </c>
      <c r="F639" t="s">
        <v>28</v>
      </c>
    </row>
    <row r="640" spans="1:6">
      <c r="A640">
        <v>202304</v>
      </c>
      <c r="B640" s="6">
        <v>45034</v>
      </c>
      <c r="C640" t="s">
        <v>3932</v>
      </c>
      <c r="D640" t="s">
        <v>103</v>
      </c>
      <c r="E640">
        <v>-139.38</v>
      </c>
      <c r="F640" t="s">
        <v>28</v>
      </c>
    </row>
    <row r="641" spans="1:6">
      <c r="A641">
        <v>202304</v>
      </c>
      <c r="B641" s="6">
        <v>45034</v>
      </c>
      <c r="C641" t="s">
        <v>4112</v>
      </c>
      <c r="D641" t="s">
        <v>4113</v>
      </c>
      <c r="E641">
        <v>9.77</v>
      </c>
      <c r="F641" t="s">
        <v>38</v>
      </c>
    </row>
    <row r="642" spans="1:6">
      <c r="A642">
        <v>202304</v>
      </c>
      <c r="B642" s="6">
        <v>45034</v>
      </c>
      <c r="C642" t="s">
        <v>4114</v>
      </c>
      <c r="D642" t="s">
        <v>4115</v>
      </c>
      <c r="E642">
        <v>-161.15</v>
      </c>
      <c r="F642" t="s">
        <v>48</v>
      </c>
    </row>
    <row r="643" spans="1:6">
      <c r="A643">
        <v>202304</v>
      </c>
      <c r="B643" s="6">
        <v>45034</v>
      </c>
      <c r="C643" t="s">
        <v>4116</v>
      </c>
      <c r="D643" t="s">
        <v>4117</v>
      </c>
      <c r="E643">
        <v>-3636.35</v>
      </c>
      <c r="F643" t="s">
        <v>16</v>
      </c>
    </row>
    <row r="644" spans="1:6">
      <c r="A644">
        <v>202304</v>
      </c>
      <c r="B644" s="6">
        <v>45034</v>
      </c>
      <c r="C644" t="s">
        <v>4006</v>
      </c>
      <c r="D644" t="s">
        <v>4012</v>
      </c>
      <c r="E644">
        <v>-1838.83</v>
      </c>
      <c r="F644" t="s">
        <v>9</v>
      </c>
    </row>
    <row r="645" spans="1:6">
      <c r="A645">
        <v>202304</v>
      </c>
      <c r="B645" s="6">
        <v>45034</v>
      </c>
      <c r="C645" t="s">
        <v>4006</v>
      </c>
      <c r="D645" t="s">
        <v>4012</v>
      </c>
      <c r="E645">
        <v>1838.83</v>
      </c>
      <c r="F645" t="s">
        <v>9</v>
      </c>
    </row>
    <row r="646" spans="1:6">
      <c r="A646">
        <v>202304</v>
      </c>
      <c r="B646" s="6">
        <v>45034</v>
      </c>
      <c r="C646" t="s">
        <v>4123</v>
      </c>
      <c r="D646" t="s">
        <v>4124</v>
      </c>
      <c r="E646">
        <v>-1306.32</v>
      </c>
      <c r="F646" t="s">
        <v>9</v>
      </c>
    </row>
    <row r="647" spans="1:6">
      <c r="A647">
        <v>202304</v>
      </c>
      <c r="B647" s="6">
        <v>45034</v>
      </c>
      <c r="C647" t="s">
        <v>4118</v>
      </c>
      <c r="D647" t="s">
        <v>4119</v>
      </c>
      <c r="E647">
        <v>500</v>
      </c>
      <c r="F647" t="s">
        <v>9</v>
      </c>
    </row>
    <row r="648" spans="1:6">
      <c r="A648">
        <v>202304</v>
      </c>
      <c r="B648" s="6">
        <v>45034</v>
      </c>
      <c r="C648" t="s">
        <v>4120</v>
      </c>
      <c r="D648" t="s">
        <v>3815</v>
      </c>
      <c r="E648">
        <v>1306.32</v>
      </c>
      <c r="F648" t="s">
        <v>9</v>
      </c>
    </row>
    <row r="649" spans="1:6">
      <c r="A649">
        <v>202304</v>
      </c>
      <c r="B649" s="6">
        <v>45034</v>
      </c>
      <c r="C649" t="s">
        <v>4121</v>
      </c>
      <c r="D649" t="s">
        <v>4122</v>
      </c>
      <c r="E649">
        <v>8</v>
      </c>
      <c r="F649" t="s">
        <v>7</v>
      </c>
    </row>
    <row r="650" spans="1:6">
      <c r="A650">
        <v>202304</v>
      </c>
      <c r="B650" s="6">
        <v>45035</v>
      </c>
      <c r="C650" t="s">
        <v>4125</v>
      </c>
      <c r="D650" t="s">
        <v>4126</v>
      </c>
      <c r="E650">
        <v>22.64</v>
      </c>
      <c r="F650" t="s">
        <v>41</v>
      </c>
    </row>
    <row r="651" spans="1:6">
      <c r="A651">
        <v>202304</v>
      </c>
      <c r="B651" s="6">
        <v>45035</v>
      </c>
      <c r="C651" t="s">
        <v>3932</v>
      </c>
      <c r="D651" t="s">
        <v>38</v>
      </c>
      <c r="E651">
        <v>45.61</v>
      </c>
      <c r="F651" t="s">
        <v>41</v>
      </c>
    </row>
    <row r="652" spans="1:6">
      <c r="A652">
        <v>202304</v>
      </c>
      <c r="B652" s="6">
        <v>45035</v>
      </c>
      <c r="C652" t="s">
        <v>3932</v>
      </c>
      <c r="D652" t="s">
        <v>38</v>
      </c>
      <c r="E652">
        <v>-45.61</v>
      </c>
      <c r="F652" t="s">
        <v>41</v>
      </c>
    </row>
    <row r="653" spans="1:6">
      <c r="A653">
        <v>202304</v>
      </c>
      <c r="B653" s="6">
        <v>45035</v>
      </c>
      <c r="C653" t="s">
        <v>4127</v>
      </c>
      <c r="D653" t="s">
        <v>4128</v>
      </c>
      <c r="E653">
        <v>18.2</v>
      </c>
      <c r="F653" t="s">
        <v>38</v>
      </c>
    </row>
    <row r="654" spans="1:6">
      <c r="A654">
        <v>202304</v>
      </c>
      <c r="B654" s="6">
        <v>45035</v>
      </c>
      <c r="C654" t="s">
        <v>4129</v>
      </c>
      <c r="D654" t="s">
        <v>4130</v>
      </c>
      <c r="E654">
        <v>-98</v>
      </c>
      <c r="F654" t="s">
        <v>21</v>
      </c>
    </row>
    <row r="655" spans="1:6">
      <c r="A655">
        <v>202304</v>
      </c>
      <c r="B655" s="6">
        <v>45035</v>
      </c>
      <c r="C655" t="s">
        <v>4133</v>
      </c>
      <c r="D655" t="s">
        <v>4134</v>
      </c>
      <c r="E655">
        <v>1838.83</v>
      </c>
      <c r="F655" t="s">
        <v>9</v>
      </c>
    </row>
    <row r="656" spans="1:6">
      <c r="A656">
        <v>202304</v>
      </c>
      <c r="B656" s="6">
        <v>45035</v>
      </c>
      <c r="C656" t="s">
        <v>4131</v>
      </c>
      <c r="D656" t="s">
        <v>4132</v>
      </c>
      <c r="E656">
        <v>330</v>
      </c>
      <c r="F656" t="s">
        <v>20</v>
      </c>
    </row>
    <row r="657" spans="1:6">
      <c r="A657">
        <v>202304</v>
      </c>
      <c r="B657" s="6">
        <v>45036</v>
      </c>
      <c r="C657" t="s">
        <v>4135</v>
      </c>
      <c r="D657" t="s">
        <v>4136</v>
      </c>
      <c r="E657">
        <v>20.69</v>
      </c>
      <c r="F657" t="s">
        <v>38</v>
      </c>
    </row>
    <row r="658" spans="1:6">
      <c r="A658">
        <v>202304</v>
      </c>
      <c r="B658" s="6">
        <v>45036</v>
      </c>
      <c r="C658" t="s">
        <v>4137</v>
      </c>
      <c r="D658" t="s">
        <v>4138</v>
      </c>
      <c r="E658">
        <v>22.38</v>
      </c>
      <c r="F658" t="s">
        <v>38</v>
      </c>
    </row>
    <row r="659" spans="1:6">
      <c r="A659">
        <v>202304</v>
      </c>
      <c r="B659" s="6">
        <v>45036</v>
      </c>
      <c r="C659" t="s">
        <v>4139</v>
      </c>
      <c r="D659" t="s">
        <v>4140</v>
      </c>
      <c r="E659">
        <v>2.67</v>
      </c>
      <c r="F659" t="s">
        <v>21</v>
      </c>
    </row>
    <row r="660" spans="1:6">
      <c r="A660">
        <v>202304</v>
      </c>
      <c r="B660" s="6">
        <v>45037</v>
      </c>
      <c r="C660" t="s">
        <v>4141</v>
      </c>
      <c r="D660" t="s">
        <v>4142</v>
      </c>
      <c r="E660">
        <v>74.63</v>
      </c>
      <c r="F660" t="s">
        <v>38</v>
      </c>
    </row>
    <row r="661" spans="1:6">
      <c r="A661">
        <v>202304</v>
      </c>
      <c r="B661" s="6">
        <v>45037</v>
      </c>
      <c r="C661" t="s">
        <v>4143</v>
      </c>
      <c r="D661" t="s">
        <v>4144</v>
      </c>
      <c r="E661">
        <v>11</v>
      </c>
      <c r="F661" t="s">
        <v>7</v>
      </c>
    </row>
    <row r="662" spans="1:6">
      <c r="A662">
        <v>202304</v>
      </c>
      <c r="B662" s="6">
        <v>45037</v>
      </c>
      <c r="C662" t="s">
        <v>4145</v>
      </c>
      <c r="D662" t="s">
        <v>4146</v>
      </c>
      <c r="E662">
        <v>54.03</v>
      </c>
      <c r="F662" t="s">
        <v>23</v>
      </c>
    </row>
    <row r="663" spans="1:6">
      <c r="A663">
        <v>202304</v>
      </c>
      <c r="B663" s="6">
        <v>45037</v>
      </c>
      <c r="C663" t="s">
        <v>4006</v>
      </c>
      <c r="D663" t="s">
        <v>4147</v>
      </c>
      <c r="E663">
        <v>250</v>
      </c>
      <c r="F663" t="s">
        <v>29</v>
      </c>
    </row>
    <row r="664" spans="1:6">
      <c r="A664">
        <v>202304</v>
      </c>
      <c r="B664" s="6">
        <v>45037</v>
      </c>
      <c r="C664" t="s">
        <v>4006</v>
      </c>
      <c r="D664" t="s">
        <v>4147</v>
      </c>
      <c r="E664">
        <v>-250</v>
      </c>
      <c r="F664" t="s">
        <v>29</v>
      </c>
    </row>
    <row r="665" spans="1:6">
      <c r="A665">
        <v>202304</v>
      </c>
      <c r="B665" s="6">
        <v>45037</v>
      </c>
      <c r="C665" t="s">
        <v>4148</v>
      </c>
      <c r="D665" t="s">
        <v>4149</v>
      </c>
      <c r="E665">
        <v>16.73</v>
      </c>
      <c r="F665" t="s">
        <v>7</v>
      </c>
    </row>
    <row r="666" spans="1:6">
      <c r="A666">
        <v>202304</v>
      </c>
      <c r="B666" s="6">
        <v>45037</v>
      </c>
      <c r="C666" t="s">
        <v>4150</v>
      </c>
      <c r="D666" t="s">
        <v>4151</v>
      </c>
      <c r="E666">
        <v>83</v>
      </c>
      <c r="F666" t="s">
        <v>21</v>
      </c>
    </row>
    <row r="667" spans="1:6">
      <c r="A667">
        <v>202304</v>
      </c>
      <c r="B667" s="6">
        <v>45037</v>
      </c>
      <c r="C667" t="s">
        <v>4152</v>
      </c>
      <c r="D667" t="s">
        <v>4153</v>
      </c>
      <c r="E667">
        <v>116.42</v>
      </c>
      <c r="F667" t="s">
        <v>31</v>
      </c>
    </row>
    <row r="668" spans="1:6">
      <c r="A668">
        <v>202304</v>
      </c>
      <c r="B668" s="6">
        <v>45037</v>
      </c>
      <c r="C668" t="s">
        <v>4154</v>
      </c>
      <c r="D668" t="s">
        <v>4155</v>
      </c>
      <c r="E668">
        <v>51.21</v>
      </c>
      <c r="F668" t="s">
        <v>7</v>
      </c>
    </row>
    <row r="669" spans="1:6">
      <c r="A669">
        <v>202304</v>
      </c>
      <c r="B669" s="6">
        <v>45038</v>
      </c>
      <c r="C669" t="s">
        <v>4006</v>
      </c>
      <c r="D669" t="s">
        <v>1396</v>
      </c>
      <c r="E669">
        <v>24.49</v>
      </c>
      <c r="F669" t="s">
        <v>26</v>
      </c>
    </row>
    <row r="670" spans="1:6">
      <c r="A670">
        <v>202304</v>
      </c>
      <c r="B670" s="6">
        <v>45038</v>
      </c>
      <c r="C670" t="s">
        <v>4006</v>
      </c>
      <c r="D670" t="s">
        <v>1396</v>
      </c>
      <c r="E670">
        <v>-24.49</v>
      </c>
      <c r="F670" t="s">
        <v>26</v>
      </c>
    </row>
    <row r="671" spans="1:6">
      <c r="A671">
        <v>202304</v>
      </c>
      <c r="B671" s="6">
        <v>45039</v>
      </c>
      <c r="C671" t="s">
        <v>4156</v>
      </c>
      <c r="D671" t="s">
        <v>4157</v>
      </c>
      <c r="E671">
        <v>47.62</v>
      </c>
      <c r="F671" t="s">
        <v>41</v>
      </c>
    </row>
    <row r="672" spans="1:6">
      <c r="A672">
        <v>202304</v>
      </c>
      <c r="B672" s="6">
        <v>45039</v>
      </c>
      <c r="C672" t="s">
        <v>3932</v>
      </c>
      <c r="D672" t="s">
        <v>38</v>
      </c>
      <c r="E672">
        <v>4.28</v>
      </c>
      <c r="F672" t="s">
        <v>41</v>
      </c>
    </row>
    <row r="673" spans="1:6">
      <c r="A673">
        <v>202304</v>
      </c>
      <c r="B673" s="6">
        <v>45039</v>
      </c>
      <c r="C673" t="s">
        <v>3932</v>
      </c>
      <c r="D673" t="s">
        <v>38</v>
      </c>
      <c r="E673">
        <v>-4.28</v>
      </c>
      <c r="F673" t="s">
        <v>41</v>
      </c>
    </row>
    <row r="674" spans="1:6">
      <c r="A674">
        <v>202304</v>
      </c>
      <c r="B674" s="6">
        <v>45039</v>
      </c>
      <c r="C674" t="s">
        <v>4158</v>
      </c>
      <c r="D674" t="s">
        <v>4159</v>
      </c>
      <c r="E674">
        <v>17.940000000000001</v>
      </c>
      <c r="F674" t="s">
        <v>40</v>
      </c>
    </row>
    <row r="675" spans="1:6">
      <c r="A675">
        <v>202304</v>
      </c>
      <c r="B675" s="6">
        <v>45039</v>
      </c>
      <c r="C675" t="s">
        <v>4160</v>
      </c>
      <c r="D675" t="s">
        <v>4161</v>
      </c>
      <c r="E675">
        <v>64.47</v>
      </c>
      <c r="F675" t="s">
        <v>40</v>
      </c>
    </row>
    <row r="676" spans="1:6">
      <c r="A676">
        <v>202304</v>
      </c>
      <c r="B676" s="6">
        <v>45039</v>
      </c>
      <c r="C676" t="s">
        <v>4162</v>
      </c>
      <c r="D676" t="s">
        <v>4163</v>
      </c>
      <c r="E676">
        <v>-1823</v>
      </c>
      <c r="F676" t="s">
        <v>16</v>
      </c>
    </row>
    <row r="677" spans="1:6">
      <c r="A677">
        <v>202304</v>
      </c>
      <c r="B677" s="6">
        <v>45039</v>
      </c>
      <c r="C677" t="s">
        <v>4164</v>
      </c>
      <c r="D677" t="s">
        <v>4165</v>
      </c>
      <c r="E677">
        <v>9.99</v>
      </c>
      <c r="F677" t="s">
        <v>26</v>
      </c>
    </row>
    <row r="678" spans="1:6">
      <c r="A678">
        <v>202304</v>
      </c>
      <c r="B678" s="6">
        <v>45039</v>
      </c>
      <c r="C678" t="s">
        <v>4006</v>
      </c>
      <c r="D678" t="s">
        <v>4166</v>
      </c>
      <c r="E678">
        <v>145.69999999999999</v>
      </c>
      <c r="F678" t="s">
        <v>26</v>
      </c>
    </row>
    <row r="679" spans="1:6">
      <c r="A679">
        <v>202304</v>
      </c>
      <c r="B679" s="6">
        <v>45039</v>
      </c>
      <c r="C679" t="s">
        <v>4006</v>
      </c>
      <c r="D679" t="s">
        <v>4166</v>
      </c>
      <c r="E679">
        <v>-145.69999999999999</v>
      </c>
      <c r="F679" t="s">
        <v>26</v>
      </c>
    </row>
    <row r="680" spans="1:6">
      <c r="A680">
        <v>202304</v>
      </c>
      <c r="B680" s="6">
        <v>45039</v>
      </c>
      <c r="C680" t="s">
        <v>4167</v>
      </c>
      <c r="D680" t="s">
        <v>4168</v>
      </c>
      <c r="E680">
        <v>50</v>
      </c>
      <c r="F680" t="s">
        <v>21</v>
      </c>
    </row>
    <row r="681" spans="1:6">
      <c r="A681">
        <v>202304</v>
      </c>
      <c r="B681" s="6">
        <v>45039</v>
      </c>
      <c r="C681" t="s">
        <v>4169</v>
      </c>
      <c r="D681" t="s">
        <v>4170</v>
      </c>
      <c r="E681">
        <v>59.29</v>
      </c>
      <c r="F681" t="s">
        <v>28</v>
      </c>
    </row>
    <row r="682" spans="1:6">
      <c r="A682">
        <v>202304</v>
      </c>
      <c r="B682" s="6">
        <v>45040</v>
      </c>
      <c r="C682" t="s">
        <v>4006</v>
      </c>
      <c r="D682" t="s">
        <v>4171</v>
      </c>
      <c r="E682">
        <v>26.92</v>
      </c>
      <c r="F682" t="s">
        <v>26</v>
      </c>
    </row>
    <row r="683" spans="1:6">
      <c r="A683">
        <v>202304</v>
      </c>
      <c r="B683" s="6">
        <v>45040</v>
      </c>
      <c r="C683" t="s">
        <v>4006</v>
      </c>
      <c r="D683" t="s">
        <v>4171</v>
      </c>
      <c r="E683">
        <v>-26.92</v>
      </c>
      <c r="F683" t="s">
        <v>26</v>
      </c>
    </row>
    <row r="684" spans="1:6">
      <c r="A684">
        <v>202304</v>
      </c>
      <c r="B684" s="6">
        <v>45041</v>
      </c>
      <c r="C684" t="s">
        <v>4172</v>
      </c>
      <c r="D684" t="s">
        <v>4173</v>
      </c>
      <c r="E684">
        <v>136.5</v>
      </c>
      <c r="F684" t="s">
        <v>21</v>
      </c>
    </row>
    <row r="685" spans="1:6">
      <c r="A685">
        <v>202304</v>
      </c>
      <c r="B685" s="6">
        <v>45041</v>
      </c>
      <c r="C685" t="s">
        <v>4174</v>
      </c>
      <c r="D685" t="s">
        <v>4175</v>
      </c>
      <c r="E685">
        <v>19.600000000000001</v>
      </c>
      <c r="F685" t="s">
        <v>21</v>
      </c>
    </row>
    <row r="686" spans="1:6">
      <c r="A686">
        <v>202304</v>
      </c>
      <c r="B686" s="6">
        <v>45041</v>
      </c>
      <c r="C686" t="s">
        <v>4176</v>
      </c>
      <c r="D686" t="s">
        <v>4177</v>
      </c>
      <c r="E686">
        <v>96.63</v>
      </c>
      <c r="F686" t="s">
        <v>38</v>
      </c>
    </row>
    <row r="687" spans="1:6">
      <c r="A687">
        <v>202304</v>
      </c>
      <c r="B687" s="6">
        <v>45041</v>
      </c>
      <c r="C687" t="s">
        <v>4178</v>
      </c>
      <c r="D687" t="s">
        <v>4179</v>
      </c>
      <c r="E687">
        <v>50.8</v>
      </c>
      <c r="F687" t="s">
        <v>38</v>
      </c>
    </row>
    <row r="688" spans="1:6">
      <c r="A688">
        <v>202304</v>
      </c>
      <c r="B688" s="6">
        <v>45041</v>
      </c>
      <c r="C688" t="s">
        <v>4180</v>
      </c>
      <c r="D688" t="s">
        <v>4181</v>
      </c>
      <c r="E688">
        <v>60.8</v>
      </c>
      <c r="F688" t="s">
        <v>21</v>
      </c>
    </row>
    <row r="689" spans="1:6">
      <c r="A689">
        <v>202304</v>
      </c>
      <c r="B689" s="6">
        <v>45041</v>
      </c>
      <c r="C689" t="s">
        <v>4182</v>
      </c>
      <c r="D689" t="s">
        <v>4183</v>
      </c>
      <c r="E689">
        <v>500</v>
      </c>
      <c r="F689" t="s">
        <v>9</v>
      </c>
    </row>
    <row r="690" spans="1:6">
      <c r="A690">
        <v>202304</v>
      </c>
      <c r="B690" s="6">
        <v>45041</v>
      </c>
      <c r="C690" t="s">
        <v>4184</v>
      </c>
      <c r="D690" t="s">
        <v>4185</v>
      </c>
      <c r="E690">
        <v>512.04999999999995</v>
      </c>
      <c r="F690" t="s">
        <v>31</v>
      </c>
    </row>
    <row r="691" spans="1:6">
      <c r="A691">
        <v>202304</v>
      </c>
      <c r="B691" s="6">
        <v>45042</v>
      </c>
      <c r="C691" t="s">
        <v>4186</v>
      </c>
      <c r="D691" t="s">
        <v>4187</v>
      </c>
      <c r="E691">
        <v>36.99</v>
      </c>
      <c r="F691" t="s">
        <v>38</v>
      </c>
    </row>
    <row r="692" spans="1:6">
      <c r="A692">
        <v>202304</v>
      </c>
      <c r="B692" s="6">
        <v>45042</v>
      </c>
      <c r="C692" t="s">
        <v>4188</v>
      </c>
      <c r="D692" t="s">
        <v>4189</v>
      </c>
      <c r="E692">
        <v>73.89</v>
      </c>
      <c r="F692" t="s">
        <v>38</v>
      </c>
    </row>
    <row r="693" spans="1:6">
      <c r="A693">
        <v>202304</v>
      </c>
      <c r="B693" s="6">
        <v>45042</v>
      </c>
      <c r="C693" t="s">
        <v>4190</v>
      </c>
      <c r="D693" t="s">
        <v>4191</v>
      </c>
      <c r="E693">
        <v>65</v>
      </c>
      <c r="F693" t="s">
        <v>38</v>
      </c>
    </row>
    <row r="694" spans="1:6">
      <c r="A694">
        <v>202304</v>
      </c>
      <c r="B694" s="6">
        <v>45042</v>
      </c>
      <c r="C694" t="s">
        <v>4192</v>
      </c>
      <c r="D694" t="s">
        <v>4193</v>
      </c>
      <c r="E694">
        <v>14.79</v>
      </c>
      <c r="F694" t="s">
        <v>38</v>
      </c>
    </row>
    <row r="695" spans="1:6">
      <c r="A695">
        <v>202304</v>
      </c>
      <c r="B695" s="6">
        <v>45042</v>
      </c>
      <c r="C695" t="s">
        <v>4194</v>
      </c>
      <c r="D695" t="s">
        <v>4195</v>
      </c>
      <c r="E695">
        <v>36.909999999999997</v>
      </c>
      <c r="F695" t="s">
        <v>38</v>
      </c>
    </row>
    <row r="696" spans="1:6">
      <c r="A696">
        <v>202304</v>
      </c>
      <c r="B696" s="6">
        <v>45042</v>
      </c>
      <c r="C696" t="s">
        <v>4196</v>
      </c>
      <c r="D696" t="s">
        <v>4197</v>
      </c>
      <c r="E696">
        <v>56.52</v>
      </c>
      <c r="F696" t="s">
        <v>9</v>
      </c>
    </row>
    <row r="697" spans="1:6">
      <c r="A697">
        <v>202304</v>
      </c>
      <c r="B697" s="6">
        <v>45042</v>
      </c>
      <c r="C697" t="s">
        <v>4198</v>
      </c>
      <c r="D697" t="s">
        <v>4199</v>
      </c>
      <c r="E697">
        <v>330</v>
      </c>
      <c r="F697" t="s">
        <v>20</v>
      </c>
    </row>
    <row r="698" spans="1:6">
      <c r="A698">
        <v>202304</v>
      </c>
      <c r="B698" s="6">
        <v>45042</v>
      </c>
      <c r="C698" t="s">
        <v>4200</v>
      </c>
      <c r="D698" t="s">
        <v>4201</v>
      </c>
      <c r="E698">
        <v>30</v>
      </c>
      <c r="F698" t="s">
        <v>21</v>
      </c>
    </row>
    <row r="699" spans="1:6">
      <c r="A699">
        <v>202304</v>
      </c>
      <c r="B699" s="6">
        <v>45043</v>
      </c>
      <c r="C699" t="s">
        <v>4006</v>
      </c>
      <c r="D699" t="s">
        <v>701</v>
      </c>
      <c r="E699">
        <v>15.88</v>
      </c>
      <c r="F699" t="s">
        <v>26</v>
      </c>
    </row>
    <row r="700" spans="1:6">
      <c r="A700">
        <v>202304</v>
      </c>
      <c r="B700" s="6">
        <v>45043</v>
      </c>
      <c r="C700" t="s">
        <v>4006</v>
      </c>
      <c r="D700" t="s">
        <v>701</v>
      </c>
      <c r="E700">
        <v>-15.88</v>
      </c>
      <c r="F700" t="s">
        <v>26</v>
      </c>
    </row>
    <row r="701" spans="1:6">
      <c r="A701">
        <v>202304</v>
      </c>
      <c r="B701" s="6">
        <v>45043</v>
      </c>
      <c r="C701" t="s">
        <v>4202</v>
      </c>
      <c r="D701" t="s">
        <v>4203</v>
      </c>
      <c r="E701">
        <v>-2434.23</v>
      </c>
      <c r="F701" t="s">
        <v>66</v>
      </c>
    </row>
    <row r="702" spans="1:6">
      <c r="A702">
        <v>202304</v>
      </c>
      <c r="B702" s="6">
        <v>45043</v>
      </c>
      <c r="C702" t="s">
        <v>4204</v>
      </c>
      <c r="D702" t="s">
        <v>4205</v>
      </c>
      <c r="E702">
        <v>-3180.73</v>
      </c>
      <c r="F702" t="s">
        <v>64</v>
      </c>
    </row>
    <row r="703" spans="1:6">
      <c r="A703">
        <v>202304</v>
      </c>
      <c r="B703" s="6">
        <v>45043</v>
      </c>
      <c r="C703" t="s">
        <v>4006</v>
      </c>
      <c r="D703" t="s">
        <v>4206</v>
      </c>
      <c r="E703">
        <v>16</v>
      </c>
      <c r="F703" t="s">
        <v>43</v>
      </c>
    </row>
    <row r="704" spans="1:6">
      <c r="A704">
        <v>202304</v>
      </c>
      <c r="B704" s="6">
        <v>45043</v>
      </c>
      <c r="C704" t="s">
        <v>4006</v>
      </c>
      <c r="D704" t="s">
        <v>4206</v>
      </c>
      <c r="E704">
        <v>-16</v>
      </c>
      <c r="F704" t="s">
        <v>43</v>
      </c>
    </row>
    <row r="705" spans="1:6">
      <c r="A705">
        <v>202304</v>
      </c>
      <c r="B705" s="6">
        <v>45044</v>
      </c>
      <c r="C705" t="s">
        <v>4207</v>
      </c>
      <c r="D705" t="s">
        <v>4208</v>
      </c>
      <c r="E705">
        <v>209.14</v>
      </c>
      <c r="F705" t="s">
        <v>9</v>
      </c>
    </row>
    <row r="706" spans="1:6">
      <c r="A706">
        <v>202304</v>
      </c>
      <c r="B706" s="6">
        <v>45044</v>
      </c>
      <c r="C706" t="s">
        <v>4006</v>
      </c>
      <c r="D706" t="s">
        <v>4209</v>
      </c>
      <c r="E706">
        <v>182.49</v>
      </c>
      <c r="F706" t="s">
        <v>26</v>
      </c>
    </row>
    <row r="707" spans="1:6">
      <c r="A707">
        <v>202304</v>
      </c>
      <c r="B707" s="6">
        <v>45044</v>
      </c>
      <c r="C707" t="s">
        <v>4006</v>
      </c>
      <c r="D707" t="s">
        <v>4209</v>
      </c>
      <c r="E707">
        <v>-182.49</v>
      </c>
      <c r="F707" t="s">
        <v>26</v>
      </c>
    </row>
    <row r="708" spans="1:6">
      <c r="A708">
        <v>202304</v>
      </c>
      <c r="B708" s="6">
        <v>45044</v>
      </c>
      <c r="C708" t="s">
        <v>4210</v>
      </c>
      <c r="D708" t="s">
        <v>4211</v>
      </c>
      <c r="E708">
        <v>0.99</v>
      </c>
      <c r="F708" t="s">
        <v>21</v>
      </c>
    </row>
    <row r="709" spans="1:6">
      <c r="A709">
        <v>202304</v>
      </c>
      <c r="B709" s="6">
        <v>45044</v>
      </c>
      <c r="C709" t="s">
        <v>4212</v>
      </c>
      <c r="D709" t="s">
        <v>4213</v>
      </c>
      <c r="E709">
        <v>125</v>
      </c>
      <c r="F709" t="s">
        <v>21</v>
      </c>
    </row>
    <row r="710" spans="1:6">
      <c r="A710">
        <v>202304</v>
      </c>
      <c r="B710" s="6">
        <v>45045</v>
      </c>
      <c r="C710" t="s">
        <v>4006</v>
      </c>
      <c r="D710" t="s">
        <v>703</v>
      </c>
      <c r="E710">
        <v>1914.85</v>
      </c>
      <c r="F710" t="s">
        <v>9</v>
      </c>
    </row>
    <row r="711" spans="1:6">
      <c r="A711">
        <v>202304</v>
      </c>
      <c r="B711" s="6">
        <v>45045</v>
      </c>
      <c r="C711" t="s">
        <v>4006</v>
      </c>
      <c r="D711" t="s">
        <v>703</v>
      </c>
      <c r="E711">
        <v>-1914.85</v>
      </c>
      <c r="F711" t="s">
        <v>9</v>
      </c>
    </row>
    <row r="712" spans="1:6">
      <c r="A712">
        <v>202304</v>
      </c>
      <c r="B712" s="6">
        <v>45045</v>
      </c>
      <c r="C712" t="s">
        <v>4006</v>
      </c>
      <c r="D712" t="s">
        <v>4214</v>
      </c>
      <c r="E712">
        <v>80.33</v>
      </c>
      <c r="F712" t="s">
        <v>26</v>
      </c>
    </row>
    <row r="713" spans="1:6">
      <c r="A713">
        <v>202304</v>
      </c>
      <c r="B713" s="6">
        <v>45045</v>
      </c>
      <c r="C713" t="s">
        <v>4006</v>
      </c>
      <c r="D713" t="s">
        <v>4214</v>
      </c>
      <c r="E713">
        <v>-80.33</v>
      </c>
      <c r="F713" t="s">
        <v>26</v>
      </c>
    </row>
    <row r="714" spans="1:6">
      <c r="A714">
        <v>202304</v>
      </c>
      <c r="B714" s="6">
        <v>45046</v>
      </c>
      <c r="C714" t="s">
        <v>3932</v>
      </c>
      <c r="D714" t="s">
        <v>38</v>
      </c>
      <c r="E714">
        <v>29.26</v>
      </c>
      <c r="F714" t="s">
        <v>38</v>
      </c>
    </row>
    <row r="715" spans="1:6">
      <c r="A715">
        <v>202304</v>
      </c>
      <c r="B715" s="6">
        <v>45046</v>
      </c>
      <c r="C715" t="s">
        <v>3932</v>
      </c>
      <c r="D715" t="s">
        <v>38</v>
      </c>
      <c r="E715">
        <v>-29.26</v>
      </c>
      <c r="F715" t="s">
        <v>38</v>
      </c>
    </row>
    <row r="716" spans="1:6">
      <c r="A716">
        <v>202304</v>
      </c>
      <c r="B716" s="6">
        <v>45046</v>
      </c>
      <c r="C716" t="s">
        <v>4006</v>
      </c>
      <c r="D716" t="s">
        <v>4215</v>
      </c>
      <c r="E716">
        <v>29.03</v>
      </c>
      <c r="F716" t="s">
        <v>26</v>
      </c>
    </row>
    <row r="717" spans="1:6">
      <c r="A717">
        <v>202304</v>
      </c>
      <c r="B717" s="6">
        <v>45046</v>
      </c>
      <c r="C717" t="s">
        <v>4006</v>
      </c>
      <c r="D717" t="s">
        <v>4215</v>
      </c>
      <c r="E717">
        <v>-29.03</v>
      </c>
      <c r="F717" t="s">
        <v>26</v>
      </c>
    </row>
    <row r="718" spans="1:6">
      <c r="A718">
        <v>202304</v>
      </c>
      <c r="B718" s="6">
        <v>45046</v>
      </c>
      <c r="C718" t="s">
        <v>4216</v>
      </c>
      <c r="D718" t="s">
        <v>4217</v>
      </c>
      <c r="E718">
        <v>3.21</v>
      </c>
      <c r="F718" t="s">
        <v>9</v>
      </c>
    </row>
    <row r="719" spans="1:6">
      <c r="A719">
        <v>202304</v>
      </c>
      <c r="B719" s="6">
        <v>45046</v>
      </c>
      <c r="C719" t="s">
        <v>4218</v>
      </c>
      <c r="D719" t="s">
        <v>4219</v>
      </c>
      <c r="E719">
        <v>7.92</v>
      </c>
      <c r="F719" t="s">
        <v>9</v>
      </c>
    </row>
    <row r="720" spans="1:6">
      <c r="A720">
        <v>202304</v>
      </c>
      <c r="B720" s="6">
        <v>45046</v>
      </c>
      <c r="C720" t="s">
        <v>3933</v>
      </c>
      <c r="D720" t="s">
        <v>4220</v>
      </c>
      <c r="E720">
        <v>-48.6</v>
      </c>
      <c r="F720" t="s">
        <v>16</v>
      </c>
    </row>
    <row r="721" spans="1:6">
      <c r="A721">
        <v>202304</v>
      </c>
      <c r="B721" s="6">
        <v>45046</v>
      </c>
      <c r="C721" t="s">
        <v>4221</v>
      </c>
      <c r="D721" t="s">
        <v>4222</v>
      </c>
      <c r="E721">
        <v>687.04</v>
      </c>
      <c r="F721" t="s">
        <v>9</v>
      </c>
    </row>
    <row r="722" spans="1:6">
      <c r="A722">
        <v>202304</v>
      </c>
      <c r="B722" s="6">
        <v>45046</v>
      </c>
      <c r="C722" t="s">
        <v>4223</v>
      </c>
      <c r="D722" t="s">
        <v>4224</v>
      </c>
      <c r="E722">
        <v>55.83</v>
      </c>
      <c r="F722" t="s">
        <v>23</v>
      </c>
    </row>
    <row r="723" spans="1:6">
      <c r="A723">
        <v>202304</v>
      </c>
      <c r="B723" s="6">
        <v>45046</v>
      </c>
      <c r="C723" t="s">
        <v>4006</v>
      </c>
      <c r="D723" t="s">
        <v>4240</v>
      </c>
      <c r="E723">
        <v>-2631.79</v>
      </c>
      <c r="F723" t="s">
        <v>9</v>
      </c>
    </row>
    <row r="724" spans="1:6">
      <c r="A724">
        <v>202304</v>
      </c>
      <c r="B724" s="6">
        <v>45046</v>
      </c>
      <c r="C724" t="s">
        <v>4006</v>
      </c>
      <c r="D724" t="s">
        <v>4240</v>
      </c>
      <c r="E724">
        <v>2631.79</v>
      </c>
      <c r="F724" t="s">
        <v>9</v>
      </c>
    </row>
    <row r="725" spans="1:6">
      <c r="A725">
        <v>202304</v>
      </c>
      <c r="B725" s="6">
        <v>45046</v>
      </c>
      <c r="C725" t="s">
        <v>4225</v>
      </c>
      <c r="D725" t="s">
        <v>4226</v>
      </c>
      <c r="E725">
        <v>126</v>
      </c>
      <c r="F725" t="s">
        <v>9</v>
      </c>
    </row>
    <row r="726" spans="1:6">
      <c r="A726">
        <v>202304</v>
      </c>
      <c r="B726" s="6">
        <v>45046</v>
      </c>
      <c r="C726" t="s">
        <v>3938</v>
      </c>
      <c r="D726" t="s">
        <v>4241</v>
      </c>
      <c r="E726">
        <v>-1466.37</v>
      </c>
      <c r="F726" t="s">
        <v>9</v>
      </c>
    </row>
    <row r="727" spans="1:6">
      <c r="A727">
        <v>202304</v>
      </c>
      <c r="B727" s="6">
        <v>45046</v>
      </c>
      <c r="C727" t="s">
        <v>4227</v>
      </c>
      <c r="D727" t="s">
        <v>4228</v>
      </c>
      <c r="E727">
        <v>567.28</v>
      </c>
      <c r="F727" t="s">
        <v>21</v>
      </c>
    </row>
    <row r="728" spans="1:6">
      <c r="A728">
        <v>202304</v>
      </c>
      <c r="B728" s="6">
        <v>45046</v>
      </c>
      <c r="C728" t="s">
        <v>4229</v>
      </c>
      <c r="D728" t="s">
        <v>4230</v>
      </c>
      <c r="E728">
        <v>11.63</v>
      </c>
      <c r="F728" t="s">
        <v>23</v>
      </c>
    </row>
    <row r="729" spans="1:6">
      <c r="A729">
        <v>202304</v>
      </c>
      <c r="B729" s="6">
        <v>45046</v>
      </c>
      <c r="C729" t="s">
        <v>4231</v>
      </c>
      <c r="D729" t="s">
        <v>4232</v>
      </c>
      <c r="E729">
        <v>110</v>
      </c>
      <c r="F729" t="s">
        <v>21</v>
      </c>
    </row>
    <row r="730" spans="1:6">
      <c r="A730">
        <v>202304</v>
      </c>
      <c r="B730" s="6">
        <v>45046</v>
      </c>
      <c r="C730" t="s">
        <v>4233</v>
      </c>
      <c r="D730" t="s">
        <v>4234</v>
      </c>
      <c r="E730">
        <v>236.8</v>
      </c>
      <c r="F730" t="s">
        <v>21</v>
      </c>
    </row>
    <row r="731" spans="1:6">
      <c r="A731">
        <v>202304</v>
      </c>
      <c r="B731" s="6">
        <v>45046</v>
      </c>
      <c r="C731" t="s">
        <v>4235</v>
      </c>
      <c r="D731" t="s">
        <v>4236</v>
      </c>
      <c r="E731">
        <v>60</v>
      </c>
      <c r="F731" t="s">
        <v>21</v>
      </c>
    </row>
    <row r="732" spans="1:6">
      <c r="A732">
        <v>202304</v>
      </c>
      <c r="B732" s="6">
        <v>45046</v>
      </c>
      <c r="C732" t="s">
        <v>4237</v>
      </c>
      <c r="D732" t="s">
        <v>4238</v>
      </c>
      <c r="E732">
        <v>17.12</v>
      </c>
      <c r="F732" t="s">
        <v>9</v>
      </c>
    </row>
    <row r="733" spans="1:6">
      <c r="A733">
        <v>202304</v>
      </c>
      <c r="B733" s="6">
        <v>45046</v>
      </c>
      <c r="C733" t="s">
        <v>4239</v>
      </c>
      <c r="D733" t="s">
        <v>3815</v>
      </c>
      <c r="E733">
        <v>1466.37</v>
      </c>
      <c r="F733" t="s">
        <v>9</v>
      </c>
    </row>
    <row r="734" spans="1:6">
      <c r="A734">
        <v>202305</v>
      </c>
      <c r="B734" s="6">
        <v>45047</v>
      </c>
      <c r="C734" t="s">
        <v>4242</v>
      </c>
      <c r="D734" t="s">
        <v>4243</v>
      </c>
      <c r="E734">
        <v>5.36</v>
      </c>
      <c r="F734" t="s">
        <v>21</v>
      </c>
    </row>
    <row r="735" spans="1:6">
      <c r="A735">
        <v>202305</v>
      </c>
      <c r="B735" s="6">
        <v>45047</v>
      </c>
      <c r="C735" t="s">
        <v>4244</v>
      </c>
      <c r="D735" t="s">
        <v>4245</v>
      </c>
      <c r="E735">
        <v>-37.99</v>
      </c>
      <c r="F735" t="s">
        <v>38</v>
      </c>
    </row>
    <row r="736" spans="1:6">
      <c r="A736">
        <v>202305</v>
      </c>
      <c r="B736" s="6">
        <v>45047</v>
      </c>
      <c r="C736" t="s">
        <v>4246</v>
      </c>
      <c r="D736" t="s">
        <v>4247</v>
      </c>
      <c r="E736">
        <v>-65</v>
      </c>
      <c r="F736" t="s">
        <v>38</v>
      </c>
    </row>
    <row r="737" spans="1:6">
      <c r="A737">
        <v>202305</v>
      </c>
      <c r="B737" s="6">
        <v>45047</v>
      </c>
      <c r="C737" t="s">
        <v>4248</v>
      </c>
      <c r="D737" t="s">
        <v>4249</v>
      </c>
      <c r="E737">
        <v>-21.46</v>
      </c>
      <c r="F737" t="s">
        <v>38</v>
      </c>
    </row>
    <row r="738" spans="1:6">
      <c r="A738">
        <v>202305</v>
      </c>
      <c r="B738" s="6">
        <v>45047</v>
      </c>
      <c r="C738" t="s">
        <v>4250</v>
      </c>
      <c r="D738" t="s">
        <v>4251</v>
      </c>
      <c r="E738">
        <v>-50.8</v>
      </c>
      <c r="F738" t="s">
        <v>38</v>
      </c>
    </row>
    <row r="739" spans="1:6">
      <c r="A739">
        <v>202305</v>
      </c>
      <c r="B739" s="6">
        <v>45047</v>
      </c>
      <c r="C739" t="s">
        <v>4252</v>
      </c>
      <c r="D739" t="s">
        <v>4253</v>
      </c>
      <c r="E739">
        <v>77.98</v>
      </c>
      <c r="F739" t="s">
        <v>38</v>
      </c>
    </row>
    <row r="740" spans="1:6">
      <c r="A740">
        <v>202305</v>
      </c>
      <c r="B740" s="6">
        <v>45047</v>
      </c>
      <c r="D740" t="s">
        <v>14</v>
      </c>
      <c r="E740">
        <v>250</v>
      </c>
      <c r="F740" t="s">
        <v>14</v>
      </c>
    </row>
    <row r="741" spans="1:6">
      <c r="A741">
        <v>202305</v>
      </c>
      <c r="B741" s="6">
        <v>45047</v>
      </c>
      <c r="C741" t="s">
        <v>4254</v>
      </c>
      <c r="D741" t="s">
        <v>4255</v>
      </c>
      <c r="E741">
        <v>301.14999999999998</v>
      </c>
      <c r="F741" t="s">
        <v>9</v>
      </c>
    </row>
    <row r="742" spans="1:6">
      <c r="A742">
        <v>202305</v>
      </c>
      <c r="B742" s="6">
        <v>45047</v>
      </c>
      <c r="C742" t="s">
        <v>4256</v>
      </c>
      <c r="D742" t="s">
        <v>4257</v>
      </c>
      <c r="E742">
        <v>392</v>
      </c>
      <c r="F742" t="s">
        <v>21</v>
      </c>
    </row>
    <row r="743" spans="1:6">
      <c r="A743">
        <v>202305</v>
      </c>
      <c r="B743" s="6">
        <v>45047</v>
      </c>
      <c r="C743" t="s">
        <v>4268</v>
      </c>
      <c r="D743" t="s">
        <v>1458</v>
      </c>
      <c r="E743">
        <v>2631.79</v>
      </c>
      <c r="F743" t="s">
        <v>9</v>
      </c>
    </row>
    <row r="744" spans="1:6">
      <c r="A744">
        <v>202305</v>
      </c>
      <c r="B744" s="6">
        <v>45047</v>
      </c>
      <c r="C744" t="s">
        <v>4269</v>
      </c>
      <c r="D744" t="s">
        <v>1460</v>
      </c>
      <c r="E744">
        <v>2606.27</v>
      </c>
      <c r="F744" t="s">
        <v>5</v>
      </c>
    </row>
    <row r="745" spans="1:6">
      <c r="A745">
        <v>202305</v>
      </c>
      <c r="B745" s="6">
        <v>45047</v>
      </c>
      <c r="C745" t="s">
        <v>4258</v>
      </c>
      <c r="D745" t="s">
        <v>4259</v>
      </c>
      <c r="E745">
        <v>-54</v>
      </c>
      <c r="F745" t="s">
        <v>21</v>
      </c>
    </row>
    <row r="746" spans="1:6">
      <c r="A746">
        <v>202305</v>
      </c>
      <c r="B746" s="6">
        <v>45047</v>
      </c>
      <c r="C746" t="s">
        <v>4260</v>
      </c>
      <c r="D746" t="s">
        <v>1955</v>
      </c>
      <c r="E746">
        <v>6.47</v>
      </c>
      <c r="F746" t="s">
        <v>21</v>
      </c>
    </row>
    <row r="747" spans="1:6">
      <c r="A747">
        <v>202305</v>
      </c>
      <c r="B747" s="6">
        <v>45047</v>
      </c>
      <c r="C747" t="s">
        <v>4261</v>
      </c>
      <c r="D747" t="s">
        <v>1958</v>
      </c>
      <c r="E747">
        <v>35</v>
      </c>
      <c r="F747" t="s">
        <v>21</v>
      </c>
    </row>
    <row r="748" spans="1:6">
      <c r="A748">
        <v>202305</v>
      </c>
      <c r="B748" s="6">
        <v>45047</v>
      </c>
      <c r="C748" t="s">
        <v>4262</v>
      </c>
      <c r="D748" t="s">
        <v>4263</v>
      </c>
      <c r="E748">
        <v>58.81</v>
      </c>
      <c r="F748" t="s">
        <v>26</v>
      </c>
    </row>
    <row r="749" spans="1:6">
      <c r="A749">
        <v>202305</v>
      </c>
      <c r="B749" s="6">
        <v>45047</v>
      </c>
      <c r="C749" t="s">
        <v>4264</v>
      </c>
      <c r="D749" t="s">
        <v>4265</v>
      </c>
      <c r="E749">
        <v>500</v>
      </c>
      <c r="F749" t="s">
        <v>9</v>
      </c>
    </row>
    <row r="750" spans="1:6">
      <c r="A750">
        <v>202305</v>
      </c>
      <c r="B750" s="6">
        <v>45047</v>
      </c>
      <c r="C750" t="s">
        <v>4266</v>
      </c>
      <c r="D750" t="s">
        <v>4267</v>
      </c>
      <c r="E750">
        <v>618.65</v>
      </c>
      <c r="F750" t="s">
        <v>11</v>
      </c>
    </row>
    <row r="751" spans="1:6">
      <c r="A751">
        <v>202305</v>
      </c>
      <c r="B751" s="6">
        <v>45048</v>
      </c>
      <c r="C751" t="s">
        <v>4270</v>
      </c>
      <c r="D751" t="s">
        <v>4271</v>
      </c>
      <c r="E751">
        <v>82.64</v>
      </c>
      <c r="F751" t="s">
        <v>38</v>
      </c>
    </row>
    <row r="752" spans="1:6">
      <c r="A752">
        <v>202305</v>
      </c>
      <c r="B752" s="6">
        <v>45048</v>
      </c>
      <c r="C752" t="s">
        <v>4272</v>
      </c>
      <c r="D752" t="s">
        <v>4273</v>
      </c>
      <c r="E752">
        <v>68</v>
      </c>
      <c r="F752" t="s">
        <v>21</v>
      </c>
    </row>
    <row r="753" spans="1:6">
      <c r="A753">
        <v>202305</v>
      </c>
      <c r="B753" s="6">
        <v>45048</v>
      </c>
      <c r="C753" t="s">
        <v>4277</v>
      </c>
      <c r="D753" t="s">
        <v>1464</v>
      </c>
      <c r="E753">
        <v>218.27</v>
      </c>
      <c r="F753" t="s">
        <v>9</v>
      </c>
    </row>
    <row r="754" spans="1:6">
      <c r="A754">
        <v>202305</v>
      </c>
      <c r="B754" s="6">
        <v>45048</v>
      </c>
      <c r="C754" t="s">
        <v>4274</v>
      </c>
      <c r="D754" t="s">
        <v>4275</v>
      </c>
      <c r="E754">
        <v>74</v>
      </c>
      <c r="F754" t="s">
        <v>21</v>
      </c>
    </row>
    <row r="755" spans="1:6">
      <c r="A755">
        <v>202305</v>
      </c>
      <c r="B755" s="6">
        <v>45048</v>
      </c>
      <c r="C755" t="s">
        <v>4276</v>
      </c>
      <c r="D755" t="s">
        <v>1958</v>
      </c>
      <c r="E755">
        <v>171.45</v>
      </c>
      <c r="F755" t="s">
        <v>21</v>
      </c>
    </row>
    <row r="756" spans="1:6">
      <c r="A756">
        <v>202305</v>
      </c>
      <c r="B756" s="6">
        <v>45049</v>
      </c>
      <c r="C756" t="s">
        <v>4278</v>
      </c>
      <c r="D756" t="s">
        <v>4279</v>
      </c>
      <c r="E756">
        <v>-47.6</v>
      </c>
      <c r="F756" t="s">
        <v>21</v>
      </c>
    </row>
    <row r="757" spans="1:6">
      <c r="A757">
        <v>202305</v>
      </c>
      <c r="B757" s="6">
        <v>45049</v>
      </c>
      <c r="C757" t="s">
        <v>4280</v>
      </c>
      <c r="D757" t="s">
        <v>4281</v>
      </c>
      <c r="E757">
        <v>42.54</v>
      </c>
      <c r="F757" t="s">
        <v>38</v>
      </c>
    </row>
    <row r="758" spans="1:6">
      <c r="A758">
        <v>202305</v>
      </c>
      <c r="B758" s="6">
        <v>45049</v>
      </c>
      <c r="C758" t="s">
        <v>4282</v>
      </c>
      <c r="D758" t="s">
        <v>4283</v>
      </c>
      <c r="E758">
        <v>-130.02000000000001</v>
      </c>
      <c r="F758" t="s">
        <v>66</v>
      </c>
    </row>
    <row r="759" spans="1:6">
      <c r="A759">
        <v>202305</v>
      </c>
      <c r="B759" s="6">
        <v>45049</v>
      </c>
      <c r="C759" t="s">
        <v>4284</v>
      </c>
      <c r="D759" t="s">
        <v>4285</v>
      </c>
      <c r="E759">
        <v>6.58</v>
      </c>
      <c r="F759" t="s">
        <v>26</v>
      </c>
    </row>
    <row r="760" spans="1:6">
      <c r="A760">
        <v>202305</v>
      </c>
      <c r="B760" s="6">
        <v>45049</v>
      </c>
      <c r="C760" t="s">
        <v>4286</v>
      </c>
      <c r="D760" t="s">
        <v>4287</v>
      </c>
      <c r="E760">
        <v>330</v>
      </c>
      <c r="F760" t="s">
        <v>20</v>
      </c>
    </row>
    <row r="761" spans="1:6">
      <c r="A761">
        <v>202305</v>
      </c>
      <c r="B761" s="6">
        <v>45051</v>
      </c>
      <c r="C761" t="s">
        <v>4288</v>
      </c>
      <c r="D761" t="s">
        <v>4289</v>
      </c>
      <c r="E761">
        <v>98.1</v>
      </c>
      <c r="F761" t="s">
        <v>28</v>
      </c>
    </row>
    <row r="762" spans="1:6">
      <c r="A762">
        <v>202305</v>
      </c>
      <c r="B762" s="6">
        <v>45051</v>
      </c>
      <c r="C762" t="s">
        <v>4294</v>
      </c>
      <c r="D762" t="s">
        <v>4295</v>
      </c>
      <c r="E762">
        <v>-2715.04</v>
      </c>
      <c r="F762" t="s">
        <v>9</v>
      </c>
    </row>
    <row r="763" spans="1:6">
      <c r="A763">
        <v>202305</v>
      </c>
      <c r="B763" s="6">
        <v>45051</v>
      </c>
      <c r="C763" t="s">
        <v>4290</v>
      </c>
      <c r="D763" t="s">
        <v>4291</v>
      </c>
      <c r="E763">
        <v>75.23</v>
      </c>
      <c r="F763" t="s">
        <v>28</v>
      </c>
    </row>
    <row r="764" spans="1:6">
      <c r="A764">
        <v>202305</v>
      </c>
      <c r="B764" s="6">
        <v>45051</v>
      </c>
      <c r="C764" t="s">
        <v>4292</v>
      </c>
      <c r="D764" t="s">
        <v>4293</v>
      </c>
      <c r="E764">
        <v>2715.04</v>
      </c>
      <c r="F764" t="s">
        <v>9</v>
      </c>
    </row>
    <row r="765" spans="1:6">
      <c r="A765">
        <v>202305</v>
      </c>
      <c r="B765" s="6">
        <v>45053</v>
      </c>
      <c r="C765" t="s">
        <v>4296</v>
      </c>
      <c r="D765" t="s">
        <v>4297</v>
      </c>
      <c r="E765">
        <v>-36.99</v>
      </c>
      <c r="F765" t="s">
        <v>38</v>
      </c>
    </row>
    <row r="766" spans="1:6">
      <c r="A766">
        <v>202305</v>
      </c>
      <c r="B766" s="6">
        <v>45053</v>
      </c>
      <c r="C766" t="s">
        <v>4298</v>
      </c>
      <c r="D766" t="s">
        <v>4299</v>
      </c>
      <c r="E766">
        <v>-25.99</v>
      </c>
      <c r="F766" t="s">
        <v>38</v>
      </c>
    </row>
    <row r="767" spans="1:6">
      <c r="A767">
        <v>202305</v>
      </c>
      <c r="B767" s="6">
        <v>45053</v>
      </c>
      <c r="C767" t="s">
        <v>4300</v>
      </c>
      <c r="D767" t="s">
        <v>4301</v>
      </c>
      <c r="E767">
        <v>-89.99</v>
      </c>
      <c r="F767" t="s">
        <v>38</v>
      </c>
    </row>
    <row r="768" spans="1:6">
      <c r="A768">
        <v>202305</v>
      </c>
      <c r="B768" s="6">
        <v>45053</v>
      </c>
      <c r="C768" t="s">
        <v>4302</v>
      </c>
      <c r="D768" t="s">
        <v>4303</v>
      </c>
      <c r="E768">
        <v>-8.1999999999999993</v>
      </c>
      <c r="F768" t="s">
        <v>38</v>
      </c>
    </row>
    <row r="769" spans="1:6">
      <c r="A769">
        <v>202305</v>
      </c>
      <c r="B769" s="6">
        <v>45053</v>
      </c>
      <c r="C769" t="s">
        <v>4304</v>
      </c>
      <c r="D769" t="s">
        <v>4305</v>
      </c>
      <c r="E769">
        <v>9.9499999999999993</v>
      </c>
      <c r="F769" t="s">
        <v>21</v>
      </c>
    </row>
    <row r="770" spans="1:6">
      <c r="A770">
        <v>202305</v>
      </c>
      <c r="B770" s="6">
        <v>45053</v>
      </c>
      <c r="C770" t="s">
        <v>4306</v>
      </c>
      <c r="D770" t="s">
        <v>4307</v>
      </c>
      <c r="E770">
        <v>40.86</v>
      </c>
      <c r="F770" t="s">
        <v>21</v>
      </c>
    </row>
    <row r="771" spans="1:6">
      <c r="A771">
        <v>202305</v>
      </c>
      <c r="B771" s="6">
        <v>45053</v>
      </c>
      <c r="C771" t="s">
        <v>4308</v>
      </c>
      <c r="D771" t="s">
        <v>4309</v>
      </c>
      <c r="E771">
        <v>49.79</v>
      </c>
      <c r="F771" t="s">
        <v>23</v>
      </c>
    </row>
    <row r="772" spans="1:6">
      <c r="A772">
        <v>202305</v>
      </c>
      <c r="B772" s="6">
        <v>45053</v>
      </c>
      <c r="C772" t="s">
        <v>4310</v>
      </c>
      <c r="D772" t="s">
        <v>4311</v>
      </c>
      <c r="E772">
        <v>2.79</v>
      </c>
      <c r="F772" t="s">
        <v>23</v>
      </c>
    </row>
    <row r="773" spans="1:6">
      <c r="A773">
        <v>202305</v>
      </c>
      <c r="B773" s="6">
        <v>45053</v>
      </c>
      <c r="C773" t="s">
        <v>4312</v>
      </c>
      <c r="D773" t="s">
        <v>4313</v>
      </c>
      <c r="E773">
        <v>15</v>
      </c>
      <c r="F773" t="s">
        <v>9</v>
      </c>
    </row>
    <row r="774" spans="1:6">
      <c r="A774">
        <v>202305</v>
      </c>
      <c r="B774" s="6">
        <v>45054</v>
      </c>
      <c r="C774" t="s">
        <v>4314</v>
      </c>
      <c r="D774" t="s">
        <v>4315</v>
      </c>
      <c r="E774">
        <v>2</v>
      </c>
      <c r="F774" t="s">
        <v>9</v>
      </c>
    </row>
    <row r="775" spans="1:6">
      <c r="A775">
        <v>202305</v>
      </c>
      <c r="B775" s="6">
        <v>45054</v>
      </c>
      <c r="C775" t="s">
        <v>4321</v>
      </c>
      <c r="D775" t="s">
        <v>1470</v>
      </c>
      <c r="E775">
        <v>112.94</v>
      </c>
      <c r="F775" t="s">
        <v>7</v>
      </c>
    </row>
    <row r="776" spans="1:6">
      <c r="A776">
        <v>202305</v>
      </c>
      <c r="B776" s="6">
        <v>45054</v>
      </c>
      <c r="C776" t="s">
        <v>4033</v>
      </c>
      <c r="D776" t="s">
        <v>4316</v>
      </c>
      <c r="E776">
        <v>270.92</v>
      </c>
      <c r="F776" t="s">
        <v>2</v>
      </c>
    </row>
    <row r="777" spans="1:6">
      <c r="A777">
        <v>202305</v>
      </c>
      <c r="B777" s="6">
        <v>45054</v>
      </c>
      <c r="C777" t="s">
        <v>4317</v>
      </c>
      <c r="D777" t="s">
        <v>4318</v>
      </c>
      <c r="E777">
        <v>61.88</v>
      </c>
      <c r="F777" t="s">
        <v>23</v>
      </c>
    </row>
    <row r="778" spans="1:6">
      <c r="A778">
        <v>202305</v>
      </c>
      <c r="B778" s="6">
        <v>45054</v>
      </c>
      <c r="C778" t="s">
        <v>4319</v>
      </c>
      <c r="D778" t="s">
        <v>4320</v>
      </c>
      <c r="E778">
        <v>10</v>
      </c>
      <c r="F778" t="s">
        <v>23</v>
      </c>
    </row>
    <row r="779" spans="1:6">
      <c r="A779">
        <v>202305</v>
      </c>
      <c r="B779" s="6">
        <v>45055</v>
      </c>
      <c r="C779" t="s">
        <v>4327</v>
      </c>
      <c r="D779" t="s">
        <v>1461</v>
      </c>
      <c r="E779">
        <v>84.64</v>
      </c>
      <c r="F779" t="s">
        <v>9</v>
      </c>
    </row>
    <row r="780" spans="1:6">
      <c r="A780">
        <v>202305</v>
      </c>
      <c r="B780" s="6">
        <v>45055</v>
      </c>
      <c r="C780" t="s">
        <v>4328</v>
      </c>
      <c r="D780" t="s">
        <v>1469</v>
      </c>
      <c r="E780">
        <v>177.67</v>
      </c>
      <c r="F780" t="s">
        <v>7</v>
      </c>
    </row>
    <row r="781" spans="1:6">
      <c r="A781">
        <v>202305</v>
      </c>
      <c r="B781" s="6">
        <v>45055</v>
      </c>
      <c r="C781" t="s">
        <v>4028</v>
      </c>
      <c r="D781" t="s">
        <v>4322</v>
      </c>
      <c r="E781">
        <v>47.25</v>
      </c>
      <c r="F781" t="s">
        <v>34</v>
      </c>
    </row>
    <row r="782" spans="1:6">
      <c r="A782">
        <v>202305</v>
      </c>
      <c r="B782" s="6">
        <v>45055</v>
      </c>
      <c r="C782" t="s">
        <v>4030</v>
      </c>
      <c r="D782" t="s">
        <v>4323</v>
      </c>
      <c r="E782">
        <v>109.75</v>
      </c>
      <c r="F782" t="s">
        <v>31</v>
      </c>
    </row>
    <row r="783" spans="1:6">
      <c r="A783">
        <v>202305</v>
      </c>
      <c r="B783" s="6">
        <v>45055</v>
      </c>
      <c r="C783" t="s">
        <v>4038</v>
      </c>
      <c r="D783" t="s">
        <v>4324</v>
      </c>
      <c r="E783">
        <v>20.51</v>
      </c>
      <c r="F783" t="s">
        <v>26</v>
      </c>
    </row>
    <row r="784" spans="1:6">
      <c r="A784">
        <v>202305</v>
      </c>
      <c r="B784" s="6">
        <v>45055</v>
      </c>
      <c r="C784" t="s">
        <v>4325</v>
      </c>
      <c r="D784" t="s">
        <v>4326</v>
      </c>
      <c r="E784">
        <v>330</v>
      </c>
      <c r="F784" t="s">
        <v>20</v>
      </c>
    </row>
    <row r="785" spans="1:6">
      <c r="A785">
        <v>202305</v>
      </c>
      <c r="B785" s="6">
        <v>45057</v>
      </c>
      <c r="C785" t="s">
        <v>4040</v>
      </c>
      <c r="D785" t="s">
        <v>4329</v>
      </c>
      <c r="E785">
        <v>32.049999999999997</v>
      </c>
      <c r="F785" t="s">
        <v>38</v>
      </c>
    </row>
    <row r="786" spans="1:6">
      <c r="A786">
        <v>202305</v>
      </c>
      <c r="B786" s="6">
        <v>45057</v>
      </c>
      <c r="C786" t="s">
        <v>4330</v>
      </c>
      <c r="D786" t="s">
        <v>404</v>
      </c>
      <c r="E786">
        <v>-2465</v>
      </c>
      <c r="F786" t="s">
        <v>66</v>
      </c>
    </row>
    <row r="787" spans="1:6">
      <c r="A787">
        <v>202305</v>
      </c>
      <c r="B787" s="6">
        <v>45057</v>
      </c>
      <c r="C787" t="s">
        <v>4042</v>
      </c>
      <c r="D787" t="s">
        <v>4331</v>
      </c>
      <c r="E787">
        <v>149.29</v>
      </c>
      <c r="F787" t="s">
        <v>2</v>
      </c>
    </row>
    <row r="788" spans="1:6">
      <c r="A788">
        <v>202305</v>
      </c>
      <c r="B788" s="6">
        <v>45057</v>
      </c>
      <c r="C788" t="s">
        <v>4332</v>
      </c>
      <c r="D788" t="s">
        <v>1955</v>
      </c>
      <c r="E788">
        <v>6.47</v>
      </c>
      <c r="F788" t="s">
        <v>21</v>
      </c>
    </row>
    <row r="789" spans="1:6">
      <c r="A789">
        <v>202305</v>
      </c>
      <c r="B789" s="6">
        <v>45057</v>
      </c>
      <c r="C789" t="s">
        <v>4333</v>
      </c>
      <c r="D789" t="s">
        <v>1958</v>
      </c>
      <c r="E789">
        <v>125</v>
      </c>
      <c r="F789" t="s">
        <v>21</v>
      </c>
    </row>
    <row r="790" spans="1:6">
      <c r="A790">
        <v>202305</v>
      </c>
      <c r="B790" s="6">
        <v>45058</v>
      </c>
      <c r="C790" t="s">
        <v>4055</v>
      </c>
      <c r="D790" t="s">
        <v>4334</v>
      </c>
      <c r="E790">
        <v>5.99</v>
      </c>
      <c r="F790" t="s">
        <v>40</v>
      </c>
    </row>
    <row r="791" spans="1:6">
      <c r="A791">
        <v>202305</v>
      </c>
      <c r="B791" s="6">
        <v>45058</v>
      </c>
      <c r="C791" t="s">
        <v>4051</v>
      </c>
      <c r="D791" t="s">
        <v>4338</v>
      </c>
      <c r="E791">
        <v>-834.2</v>
      </c>
      <c r="F791" t="s">
        <v>9</v>
      </c>
    </row>
    <row r="792" spans="1:6">
      <c r="A792">
        <v>202305</v>
      </c>
      <c r="B792" s="6">
        <v>45058</v>
      </c>
      <c r="C792" t="s">
        <v>4053</v>
      </c>
      <c r="D792" t="s">
        <v>4335</v>
      </c>
      <c r="E792">
        <v>60</v>
      </c>
      <c r="F792" t="s">
        <v>21</v>
      </c>
    </row>
    <row r="793" spans="1:6">
      <c r="A793">
        <v>202305</v>
      </c>
      <c r="B793" s="6">
        <v>45058</v>
      </c>
      <c r="C793" t="s">
        <v>4336</v>
      </c>
      <c r="D793" t="s">
        <v>1955</v>
      </c>
      <c r="E793">
        <v>6.47</v>
      </c>
      <c r="F793" t="s">
        <v>21</v>
      </c>
    </row>
    <row r="794" spans="1:6">
      <c r="A794">
        <v>202305</v>
      </c>
      <c r="B794" s="6">
        <v>45058</v>
      </c>
      <c r="C794" t="s">
        <v>4337</v>
      </c>
      <c r="D794" t="s">
        <v>4293</v>
      </c>
      <c r="E794">
        <v>834.2</v>
      </c>
      <c r="F794" t="s">
        <v>9</v>
      </c>
    </row>
    <row r="795" spans="1:6">
      <c r="A795">
        <v>202305</v>
      </c>
      <c r="B795" s="6">
        <v>45060</v>
      </c>
      <c r="C795" t="s">
        <v>4073</v>
      </c>
      <c r="D795" t="s">
        <v>4339</v>
      </c>
      <c r="E795">
        <v>-15.45</v>
      </c>
      <c r="F795" t="s">
        <v>38</v>
      </c>
    </row>
    <row r="796" spans="1:6">
      <c r="A796">
        <v>202305</v>
      </c>
      <c r="B796" s="6">
        <v>45060</v>
      </c>
      <c r="C796" t="s">
        <v>4067</v>
      </c>
      <c r="D796" t="s">
        <v>4340</v>
      </c>
      <c r="E796">
        <v>45</v>
      </c>
      <c r="F796" t="s">
        <v>7</v>
      </c>
    </row>
    <row r="797" spans="1:6">
      <c r="A797">
        <v>202305</v>
      </c>
      <c r="B797" s="6">
        <v>45060</v>
      </c>
      <c r="C797" t="s">
        <v>4049</v>
      </c>
      <c r="D797" t="s">
        <v>4341</v>
      </c>
      <c r="E797">
        <v>30.26</v>
      </c>
      <c r="F797" t="s">
        <v>21</v>
      </c>
    </row>
    <row r="798" spans="1:6">
      <c r="A798">
        <v>202305</v>
      </c>
      <c r="B798" s="6">
        <v>45060</v>
      </c>
      <c r="C798" t="s">
        <v>4342</v>
      </c>
      <c r="D798" t="s">
        <v>4343</v>
      </c>
      <c r="E798">
        <v>-3180.71</v>
      </c>
      <c r="F798" t="s">
        <v>64</v>
      </c>
    </row>
    <row r="799" spans="1:6">
      <c r="A799">
        <v>202305</v>
      </c>
      <c r="B799" s="6">
        <v>45060</v>
      </c>
      <c r="C799" t="s">
        <v>4047</v>
      </c>
      <c r="D799" t="s">
        <v>4344</v>
      </c>
      <c r="E799">
        <v>267.8</v>
      </c>
      <c r="F799" t="s">
        <v>26</v>
      </c>
    </row>
    <row r="800" spans="1:6">
      <c r="A800">
        <v>202305</v>
      </c>
      <c r="B800" s="6">
        <v>45060</v>
      </c>
      <c r="C800" t="s">
        <v>4057</v>
      </c>
      <c r="D800" t="s">
        <v>4345</v>
      </c>
      <c r="E800">
        <v>12.5</v>
      </c>
      <c r="F800" t="s">
        <v>26</v>
      </c>
    </row>
    <row r="801" spans="1:6">
      <c r="A801">
        <v>202305</v>
      </c>
      <c r="B801" s="6">
        <v>45060</v>
      </c>
      <c r="C801" t="s">
        <v>4064</v>
      </c>
      <c r="D801" t="s">
        <v>4346</v>
      </c>
      <c r="E801">
        <v>12.5</v>
      </c>
      <c r="F801" t="s">
        <v>26</v>
      </c>
    </row>
    <row r="802" spans="1:6">
      <c r="A802">
        <v>202305</v>
      </c>
      <c r="B802" s="6">
        <v>45061</v>
      </c>
      <c r="C802" t="s">
        <v>4091</v>
      </c>
      <c r="D802" t="s">
        <v>4347</v>
      </c>
      <c r="E802">
        <v>217.8</v>
      </c>
      <c r="F802" t="s">
        <v>26</v>
      </c>
    </row>
    <row r="803" spans="1:6">
      <c r="A803">
        <v>202305</v>
      </c>
      <c r="B803" s="6">
        <v>45061</v>
      </c>
      <c r="C803" t="s">
        <v>4075</v>
      </c>
      <c r="D803" t="s">
        <v>4348</v>
      </c>
      <c r="E803">
        <v>63</v>
      </c>
      <c r="F803" t="s">
        <v>21</v>
      </c>
    </row>
    <row r="804" spans="1:6">
      <c r="A804">
        <v>202305</v>
      </c>
      <c r="B804" s="6">
        <v>45061</v>
      </c>
      <c r="C804" t="s">
        <v>4094</v>
      </c>
      <c r="D804" t="s">
        <v>4349</v>
      </c>
      <c r="E804">
        <v>686</v>
      </c>
      <c r="F804" t="s">
        <v>21</v>
      </c>
    </row>
    <row r="805" spans="1:6">
      <c r="A805">
        <v>202305</v>
      </c>
      <c r="B805" s="6">
        <v>45061</v>
      </c>
      <c r="C805" t="s">
        <v>4355</v>
      </c>
      <c r="D805" t="s">
        <v>4356</v>
      </c>
      <c r="E805">
        <v>90.39</v>
      </c>
      <c r="F805" t="s">
        <v>18</v>
      </c>
    </row>
    <row r="806" spans="1:6">
      <c r="A806">
        <v>202305</v>
      </c>
      <c r="B806" s="6">
        <v>45061</v>
      </c>
      <c r="C806" t="s">
        <v>4350</v>
      </c>
      <c r="D806" t="s">
        <v>1955</v>
      </c>
      <c r="E806">
        <v>43.2</v>
      </c>
      <c r="F806" t="s">
        <v>21</v>
      </c>
    </row>
    <row r="807" spans="1:6">
      <c r="A807">
        <v>202305</v>
      </c>
      <c r="B807" s="6">
        <v>45061</v>
      </c>
      <c r="C807" t="s">
        <v>4351</v>
      </c>
      <c r="D807" t="s">
        <v>1958</v>
      </c>
      <c r="E807">
        <v>30</v>
      </c>
      <c r="F807" t="s">
        <v>21</v>
      </c>
    </row>
    <row r="808" spans="1:6">
      <c r="A808">
        <v>202305</v>
      </c>
      <c r="B808" s="6">
        <v>45061</v>
      </c>
      <c r="C808" t="s">
        <v>4352</v>
      </c>
      <c r="D808" t="s">
        <v>1958</v>
      </c>
      <c r="E808">
        <v>105</v>
      </c>
      <c r="F808" t="s">
        <v>21</v>
      </c>
    </row>
    <row r="809" spans="1:6">
      <c r="A809">
        <v>202305</v>
      </c>
      <c r="B809" s="6">
        <v>45061</v>
      </c>
      <c r="C809" t="s">
        <v>4089</v>
      </c>
      <c r="D809" t="s">
        <v>4353</v>
      </c>
      <c r="E809">
        <v>65.81</v>
      </c>
      <c r="F809" t="s">
        <v>26</v>
      </c>
    </row>
    <row r="810" spans="1:6">
      <c r="A810">
        <v>202305</v>
      </c>
      <c r="B810" s="6">
        <v>45061</v>
      </c>
      <c r="C810" t="s">
        <v>4096</v>
      </c>
      <c r="D810" t="s">
        <v>4354</v>
      </c>
      <c r="E810">
        <v>42.74</v>
      </c>
      <c r="F810" t="s">
        <v>9</v>
      </c>
    </row>
    <row r="811" spans="1:6">
      <c r="A811">
        <v>202305</v>
      </c>
      <c r="B811" s="6">
        <v>45062</v>
      </c>
      <c r="C811" t="s">
        <v>4121</v>
      </c>
      <c r="D811" t="s">
        <v>4357</v>
      </c>
      <c r="E811">
        <v>6.6</v>
      </c>
      <c r="F811" t="s">
        <v>9</v>
      </c>
    </row>
    <row r="812" spans="1:6">
      <c r="A812">
        <v>202305</v>
      </c>
      <c r="B812" s="6">
        <v>45062</v>
      </c>
      <c r="C812" t="s">
        <v>4100</v>
      </c>
      <c r="D812" t="s">
        <v>4358</v>
      </c>
      <c r="E812">
        <v>42.23</v>
      </c>
      <c r="F812" t="s">
        <v>40</v>
      </c>
    </row>
    <row r="813" spans="1:6">
      <c r="A813">
        <v>202305</v>
      </c>
      <c r="B813" s="6">
        <v>45062</v>
      </c>
      <c r="C813" t="s">
        <v>4112</v>
      </c>
      <c r="D813" t="s">
        <v>4359</v>
      </c>
      <c r="E813">
        <v>34.15</v>
      </c>
      <c r="F813" t="s">
        <v>26</v>
      </c>
    </row>
    <row r="814" spans="1:6">
      <c r="A814">
        <v>202305</v>
      </c>
      <c r="B814" s="6">
        <v>45062</v>
      </c>
      <c r="C814" t="s">
        <v>4360</v>
      </c>
      <c r="D814" t="s">
        <v>1934</v>
      </c>
      <c r="E814">
        <v>-6.47</v>
      </c>
      <c r="F814" t="s">
        <v>21</v>
      </c>
    </row>
    <row r="815" spans="1:6">
      <c r="A815">
        <v>202305</v>
      </c>
      <c r="B815" s="6">
        <v>45062</v>
      </c>
      <c r="C815" t="s">
        <v>4098</v>
      </c>
      <c r="D815" t="s">
        <v>4361</v>
      </c>
      <c r="E815">
        <v>8</v>
      </c>
      <c r="F815" t="s">
        <v>7</v>
      </c>
    </row>
    <row r="816" spans="1:6">
      <c r="A816">
        <v>202305</v>
      </c>
      <c r="B816" s="6">
        <v>45063</v>
      </c>
      <c r="C816" t="s">
        <v>4123</v>
      </c>
      <c r="D816" t="s">
        <v>4362</v>
      </c>
      <c r="E816">
        <v>17.170000000000002</v>
      </c>
      <c r="F816" t="s">
        <v>38</v>
      </c>
    </row>
    <row r="817" spans="1:6">
      <c r="A817">
        <v>202305</v>
      </c>
      <c r="B817" s="6">
        <v>45063</v>
      </c>
      <c r="C817" t="s">
        <v>4363</v>
      </c>
      <c r="D817" t="s">
        <v>4364</v>
      </c>
      <c r="E817">
        <v>-3334.58</v>
      </c>
      <c r="F817" t="s">
        <v>64</v>
      </c>
    </row>
    <row r="818" spans="1:6">
      <c r="A818">
        <v>202305</v>
      </c>
      <c r="B818" s="6">
        <v>45063</v>
      </c>
      <c r="C818" t="s">
        <v>4127</v>
      </c>
      <c r="D818" t="s">
        <v>4365</v>
      </c>
      <c r="E818">
        <v>-35.799999999999997</v>
      </c>
      <c r="F818" t="s">
        <v>21</v>
      </c>
    </row>
    <row r="819" spans="1:6">
      <c r="A819">
        <v>202305</v>
      </c>
      <c r="B819" s="6">
        <v>45063</v>
      </c>
      <c r="C819" t="s">
        <v>4370</v>
      </c>
      <c r="D819" t="s">
        <v>1458</v>
      </c>
      <c r="E819">
        <v>1315.63</v>
      </c>
      <c r="F819" t="s">
        <v>9</v>
      </c>
    </row>
    <row r="820" spans="1:6">
      <c r="A820">
        <v>202305</v>
      </c>
      <c r="B820" s="6">
        <v>45063</v>
      </c>
      <c r="C820" t="s">
        <v>4371</v>
      </c>
      <c r="D820" t="s">
        <v>1464</v>
      </c>
      <c r="E820">
        <v>369.12</v>
      </c>
      <c r="F820" t="s">
        <v>9</v>
      </c>
    </row>
    <row r="821" spans="1:6">
      <c r="A821">
        <v>202305</v>
      </c>
      <c r="B821" s="6">
        <v>45063</v>
      </c>
      <c r="C821" t="s">
        <v>4125</v>
      </c>
      <c r="D821" t="s">
        <v>4366</v>
      </c>
      <c r="E821">
        <v>46.5</v>
      </c>
      <c r="F821" t="s">
        <v>20</v>
      </c>
    </row>
    <row r="822" spans="1:6">
      <c r="A822">
        <v>202305</v>
      </c>
      <c r="B822" s="6">
        <v>45063</v>
      </c>
      <c r="C822" t="s">
        <v>4129</v>
      </c>
      <c r="D822" t="s">
        <v>4367</v>
      </c>
      <c r="E822">
        <v>12.84</v>
      </c>
      <c r="F822" t="s">
        <v>7</v>
      </c>
    </row>
    <row r="823" spans="1:6">
      <c r="A823">
        <v>202305</v>
      </c>
      <c r="B823" s="6">
        <v>45063</v>
      </c>
      <c r="C823" t="s">
        <v>4368</v>
      </c>
      <c r="D823" t="s">
        <v>1955</v>
      </c>
      <c r="E823">
        <v>12.95</v>
      </c>
      <c r="F823" t="s">
        <v>21</v>
      </c>
    </row>
    <row r="824" spans="1:6">
      <c r="A824">
        <v>202305</v>
      </c>
      <c r="B824" s="6">
        <v>45063</v>
      </c>
      <c r="C824" t="s">
        <v>4369</v>
      </c>
      <c r="D824" t="s">
        <v>1958</v>
      </c>
      <c r="E824">
        <v>30</v>
      </c>
      <c r="F824" t="s">
        <v>21</v>
      </c>
    </row>
    <row r="825" spans="1:6">
      <c r="A825">
        <v>202305</v>
      </c>
      <c r="B825" s="6">
        <v>45064</v>
      </c>
      <c r="C825" t="s">
        <v>2712</v>
      </c>
      <c r="D825" t="s">
        <v>4283</v>
      </c>
      <c r="E825">
        <v>-156.22</v>
      </c>
      <c r="F825" t="s">
        <v>66</v>
      </c>
    </row>
    <row r="826" spans="1:6">
      <c r="A826">
        <v>202305</v>
      </c>
      <c r="B826" s="6">
        <v>45064</v>
      </c>
      <c r="C826" t="s">
        <v>4145</v>
      </c>
      <c r="D826" t="s">
        <v>4372</v>
      </c>
      <c r="E826">
        <v>16.36</v>
      </c>
      <c r="F826" t="s">
        <v>9</v>
      </c>
    </row>
    <row r="827" spans="1:6">
      <c r="A827">
        <v>202305</v>
      </c>
      <c r="B827" s="6">
        <v>45064</v>
      </c>
      <c r="C827" t="s">
        <v>4135</v>
      </c>
      <c r="D827" t="s">
        <v>4373</v>
      </c>
      <c r="E827">
        <v>63.86</v>
      </c>
      <c r="F827" t="s">
        <v>45</v>
      </c>
    </row>
    <row r="828" spans="1:6">
      <c r="A828">
        <v>202305</v>
      </c>
      <c r="B828" s="6">
        <v>45064</v>
      </c>
      <c r="C828" t="s">
        <v>4137</v>
      </c>
      <c r="D828" t="s">
        <v>4374</v>
      </c>
      <c r="E828">
        <v>10.14</v>
      </c>
      <c r="F828" t="s">
        <v>9</v>
      </c>
    </row>
    <row r="829" spans="1:6">
      <c r="A829">
        <v>202305</v>
      </c>
      <c r="B829" s="6">
        <v>45064</v>
      </c>
      <c r="C829" t="s">
        <v>4375</v>
      </c>
      <c r="D829" t="s">
        <v>4376</v>
      </c>
      <c r="E829">
        <v>500</v>
      </c>
      <c r="F829" t="s">
        <v>9</v>
      </c>
    </row>
    <row r="830" spans="1:6">
      <c r="A830">
        <v>202305</v>
      </c>
      <c r="B830" s="6">
        <v>45065</v>
      </c>
      <c r="C830" t="s">
        <v>4152</v>
      </c>
      <c r="D830" t="s">
        <v>4377</v>
      </c>
      <c r="E830">
        <v>21.05</v>
      </c>
      <c r="F830" t="s">
        <v>9</v>
      </c>
    </row>
    <row r="831" spans="1:6">
      <c r="A831">
        <v>202305</v>
      </c>
      <c r="B831" s="6">
        <v>45065</v>
      </c>
      <c r="C831" t="s">
        <v>4141</v>
      </c>
      <c r="D831" t="s">
        <v>4378</v>
      </c>
      <c r="E831">
        <v>84.22</v>
      </c>
      <c r="F831" t="s">
        <v>21</v>
      </c>
    </row>
    <row r="832" spans="1:6">
      <c r="A832">
        <v>202305</v>
      </c>
      <c r="B832" s="6">
        <v>45065</v>
      </c>
      <c r="C832" t="s">
        <v>4143</v>
      </c>
      <c r="D832" t="s">
        <v>4379</v>
      </c>
      <c r="E832">
        <v>66.81</v>
      </c>
      <c r="F832" t="s">
        <v>21</v>
      </c>
    </row>
    <row r="833" spans="1:6">
      <c r="A833">
        <v>202305</v>
      </c>
      <c r="B833" s="6">
        <v>45065</v>
      </c>
      <c r="C833" t="s">
        <v>4380</v>
      </c>
      <c r="D833" t="s">
        <v>1955</v>
      </c>
      <c r="E833">
        <v>2.99</v>
      </c>
      <c r="F833" t="s">
        <v>21</v>
      </c>
    </row>
    <row r="834" spans="1:6">
      <c r="A834">
        <v>202305</v>
      </c>
      <c r="B834" s="6">
        <v>45065</v>
      </c>
      <c r="C834" t="s">
        <v>4381</v>
      </c>
      <c r="D834" t="s">
        <v>1958</v>
      </c>
      <c r="E834">
        <v>550</v>
      </c>
      <c r="F834" t="s">
        <v>21</v>
      </c>
    </row>
    <row r="835" spans="1:6">
      <c r="A835">
        <v>202305</v>
      </c>
      <c r="B835" s="6">
        <v>45065</v>
      </c>
      <c r="C835" t="s">
        <v>4150</v>
      </c>
      <c r="D835" t="s">
        <v>4384</v>
      </c>
      <c r="E835">
        <v>259.75</v>
      </c>
      <c r="F835" t="s">
        <v>45</v>
      </c>
    </row>
    <row r="836" spans="1:6">
      <c r="A836">
        <v>202305</v>
      </c>
      <c r="B836" s="6">
        <v>45065</v>
      </c>
      <c r="C836" t="s">
        <v>4382</v>
      </c>
      <c r="D836" t="s">
        <v>4383</v>
      </c>
      <c r="E836">
        <v>330</v>
      </c>
      <c r="F836" t="s">
        <v>20</v>
      </c>
    </row>
    <row r="837" spans="1:6">
      <c r="A837">
        <v>202305</v>
      </c>
      <c r="B837" s="6">
        <v>45067</v>
      </c>
      <c r="C837" t="s">
        <v>4156</v>
      </c>
      <c r="D837" t="s">
        <v>4385</v>
      </c>
      <c r="E837">
        <v>31.8</v>
      </c>
      <c r="F837" t="s">
        <v>38</v>
      </c>
    </row>
    <row r="838" spans="1:6">
      <c r="A838">
        <v>202305</v>
      </c>
      <c r="B838" s="6">
        <v>45067</v>
      </c>
      <c r="C838" t="s">
        <v>4167</v>
      </c>
      <c r="D838" t="s">
        <v>4386</v>
      </c>
      <c r="E838">
        <v>23.64</v>
      </c>
      <c r="F838" t="s">
        <v>28</v>
      </c>
    </row>
    <row r="839" spans="1:6">
      <c r="A839">
        <v>202305</v>
      </c>
      <c r="B839" s="6">
        <v>45067</v>
      </c>
      <c r="C839" t="s">
        <v>4174</v>
      </c>
      <c r="D839" t="s">
        <v>4387</v>
      </c>
      <c r="E839">
        <v>-322.2</v>
      </c>
      <c r="F839" t="s">
        <v>21</v>
      </c>
    </row>
    <row r="840" spans="1:6">
      <c r="A840">
        <v>202305</v>
      </c>
      <c r="B840" s="6">
        <v>45067</v>
      </c>
      <c r="C840" t="s">
        <v>4180</v>
      </c>
      <c r="D840" t="s">
        <v>4388</v>
      </c>
      <c r="E840">
        <v>-63</v>
      </c>
      <c r="F840" t="s">
        <v>21</v>
      </c>
    </row>
    <row r="841" spans="1:6">
      <c r="A841">
        <v>202305</v>
      </c>
      <c r="B841" s="6">
        <v>45067</v>
      </c>
      <c r="C841" t="s">
        <v>4164</v>
      </c>
      <c r="D841" t="s">
        <v>4389</v>
      </c>
      <c r="E841">
        <v>26</v>
      </c>
      <c r="F841" t="s">
        <v>20</v>
      </c>
    </row>
    <row r="842" spans="1:6">
      <c r="A842">
        <v>202305</v>
      </c>
      <c r="B842" s="6">
        <v>45067</v>
      </c>
      <c r="C842" t="s">
        <v>4169</v>
      </c>
      <c r="D842" t="s">
        <v>4390</v>
      </c>
      <c r="E842">
        <v>48.71</v>
      </c>
      <c r="F842" t="s">
        <v>23</v>
      </c>
    </row>
    <row r="843" spans="1:6">
      <c r="A843">
        <v>202305</v>
      </c>
      <c r="B843" s="6">
        <v>45067</v>
      </c>
      <c r="C843" t="s">
        <v>4148</v>
      </c>
      <c r="D843" t="s">
        <v>4391</v>
      </c>
      <c r="E843">
        <v>16.73</v>
      </c>
      <c r="F843" t="s">
        <v>7</v>
      </c>
    </row>
    <row r="844" spans="1:6">
      <c r="A844">
        <v>202305</v>
      </c>
      <c r="B844" s="6">
        <v>45067</v>
      </c>
      <c r="C844" t="s">
        <v>4158</v>
      </c>
      <c r="D844" t="s">
        <v>4392</v>
      </c>
      <c r="E844">
        <v>85.04</v>
      </c>
      <c r="F844" t="s">
        <v>9</v>
      </c>
    </row>
    <row r="845" spans="1:6">
      <c r="A845">
        <v>202305</v>
      </c>
      <c r="B845" s="6">
        <v>45067</v>
      </c>
      <c r="C845" t="s">
        <v>4176</v>
      </c>
      <c r="D845" t="s">
        <v>4393</v>
      </c>
      <c r="E845">
        <v>21.48</v>
      </c>
      <c r="F845" t="s">
        <v>9</v>
      </c>
    </row>
    <row r="846" spans="1:6">
      <c r="A846">
        <v>202305</v>
      </c>
      <c r="B846" s="6">
        <v>45067</v>
      </c>
      <c r="C846" t="s">
        <v>4172</v>
      </c>
      <c r="D846" t="s">
        <v>4394</v>
      </c>
      <c r="E846">
        <v>13.02</v>
      </c>
      <c r="F846" t="s">
        <v>9</v>
      </c>
    </row>
    <row r="847" spans="1:6">
      <c r="A847">
        <v>202305</v>
      </c>
      <c r="B847" s="6">
        <v>45067</v>
      </c>
      <c r="C847" t="s">
        <v>4160</v>
      </c>
      <c r="D847" t="s">
        <v>4395</v>
      </c>
      <c r="E847">
        <v>47.19</v>
      </c>
      <c r="F847" t="s">
        <v>26</v>
      </c>
    </row>
    <row r="848" spans="1:6">
      <c r="A848">
        <v>202305</v>
      </c>
      <c r="B848" s="6">
        <v>45068</v>
      </c>
      <c r="C848" t="s">
        <v>4178</v>
      </c>
      <c r="D848" t="s">
        <v>4396</v>
      </c>
      <c r="E848">
        <v>11</v>
      </c>
      <c r="F848" t="s">
        <v>7</v>
      </c>
    </row>
    <row r="849" spans="1:6">
      <c r="A849">
        <v>202305</v>
      </c>
      <c r="B849" s="6">
        <v>45068</v>
      </c>
      <c r="C849" t="s">
        <v>4188</v>
      </c>
      <c r="D849" t="s">
        <v>4397</v>
      </c>
      <c r="E849">
        <v>31.99</v>
      </c>
      <c r="F849" t="s">
        <v>21</v>
      </c>
    </row>
    <row r="850" spans="1:6">
      <c r="A850">
        <v>202305</v>
      </c>
      <c r="B850" s="6">
        <v>45068</v>
      </c>
      <c r="C850" t="s">
        <v>4186</v>
      </c>
      <c r="D850" t="s">
        <v>4398</v>
      </c>
      <c r="E850">
        <v>48.24</v>
      </c>
      <c r="F850" t="s">
        <v>2</v>
      </c>
    </row>
    <row r="851" spans="1:6">
      <c r="A851">
        <v>202305</v>
      </c>
      <c r="B851" s="6">
        <v>45068</v>
      </c>
      <c r="C851" t="s">
        <v>4192</v>
      </c>
      <c r="D851" t="s">
        <v>4399</v>
      </c>
      <c r="E851">
        <v>21.46</v>
      </c>
      <c r="F851" t="s">
        <v>2</v>
      </c>
    </row>
    <row r="852" spans="1:6">
      <c r="A852">
        <v>202305</v>
      </c>
      <c r="B852" s="6">
        <v>45068</v>
      </c>
      <c r="C852" t="s">
        <v>4400</v>
      </c>
      <c r="D852" t="s">
        <v>1958</v>
      </c>
      <c r="E852">
        <v>57.9</v>
      </c>
      <c r="F852" t="s">
        <v>21</v>
      </c>
    </row>
    <row r="853" spans="1:6">
      <c r="A853">
        <v>202305</v>
      </c>
      <c r="B853" s="6">
        <v>45068</v>
      </c>
      <c r="C853" t="s">
        <v>3199</v>
      </c>
      <c r="D853" t="s">
        <v>4401</v>
      </c>
      <c r="E853">
        <v>51.21</v>
      </c>
      <c r="F853" t="s">
        <v>9</v>
      </c>
    </row>
    <row r="854" spans="1:6">
      <c r="A854">
        <v>202305</v>
      </c>
      <c r="B854" s="6">
        <v>45069</v>
      </c>
      <c r="C854" t="s">
        <v>4194</v>
      </c>
      <c r="D854" t="s">
        <v>4402</v>
      </c>
      <c r="E854">
        <v>136</v>
      </c>
      <c r="F854" t="s">
        <v>21</v>
      </c>
    </row>
    <row r="855" spans="1:6">
      <c r="A855">
        <v>202305</v>
      </c>
      <c r="B855" s="6">
        <v>45069</v>
      </c>
      <c r="C855" t="s">
        <v>4403</v>
      </c>
      <c r="D855" t="s">
        <v>4404</v>
      </c>
      <c r="E855">
        <v>1200</v>
      </c>
      <c r="F855" t="s">
        <v>9</v>
      </c>
    </row>
    <row r="856" spans="1:6">
      <c r="A856">
        <v>202305</v>
      </c>
      <c r="B856" s="6">
        <v>45070</v>
      </c>
      <c r="C856" t="s">
        <v>4405</v>
      </c>
      <c r="D856" t="s">
        <v>1958</v>
      </c>
      <c r="E856">
        <v>42.5</v>
      </c>
      <c r="F856" t="s">
        <v>21</v>
      </c>
    </row>
    <row r="857" spans="1:6">
      <c r="A857">
        <v>202305</v>
      </c>
      <c r="B857" s="6">
        <v>45070</v>
      </c>
      <c r="C857" t="s">
        <v>4406</v>
      </c>
      <c r="D857" t="s">
        <v>4407</v>
      </c>
      <c r="E857">
        <v>330</v>
      </c>
      <c r="F857" t="s">
        <v>20</v>
      </c>
    </row>
    <row r="858" spans="1:6">
      <c r="A858">
        <v>202305</v>
      </c>
      <c r="B858" s="6">
        <v>45071</v>
      </c>
      <c r="C858" t="s">
        <v>4408</v>
      </c>
      <c r="D858" t="s">
        <v>404</v>
      </c>
      <c r="E858">
        <v>-2434.23</v>
      </c>
      <c r="F858" t="s">
        <v>66</v>
      </c>
    </row>
    <row r="859" spans="1:6">
      <c r="A859">
        <v>202305</v>
      </c>
      <c r="B859" s="6">
        <v>45071</v>
      </c>
      <c r="C859" t="s">
        <v>4207</v>
      </c>
      <c r="D859" t="s">
        <v>4409</v>
      </c>
      <c r="E859">
        <v>9.92</v>
      </c>
      <c r="F859" t="s">
        <v>26</v>
      </c>
    </row>
    <row r="860" spans="1:6">
      <c r="A860">
        <v>202305</v>
      </c>
      <c r="B860" s="6">
        <v>45071</v>
      </c>
      <c r="C860" t="s">
        <v>4190</v>
      </c>
      <c r="D860" t="s">
        <v>4410</v>
      </c>
      <c r="E860">
        <v>33.590000000000003</v>
      </c>
      <c r="F860" t="s">
        <v>28</v>
      </c>
    </row>
    <row r="861" spans="1:6">
      <c r="A861">
        <v>202305</v>
      </c>
      <c r="B861" s="6">
        <v>45071</v>
      </c>
      <c r="C861" t="s">
        <v>4196</v>
      </c>
      <c r="D861" t="s">
        <v>4411</v>
      </c>
      <c r="E861">
        <v>420.92</v>
      </c>
      <c r="F861" t="s">
        <v>23</v>
      </c>
    </row>
    <row r="862" spans="1:6">
      <c r="A862">
        <v>202305</v>
      </c>
      <c r="B862" s="6">
        <v>45071</v>
      </c>
      <c r="C862" t="s">
        <v>4414</v>
      </c>
      <c r="D862" t="s">
        <v>4415</v>
      </c>
      <c r="E862">
        <v>475.58</v>
      </c>
      <c r="F862" t="s">
        <v>31</v>
      </c>
    </row>
    <row r="863" spans="1:6">
      <c r="A863">
        <v>202305</v>
      </c>
      <c r="B863" s="6">
        <v>45071</v>
      </c>
      <c r="C863" t="s">
        <v>4412</v>
      </c>
      <c r="D863" t="s">
        <v>4404</v>
      </c>
      <c r="E863">
        <v>500</v>
      </c>
      <c r="F863" t="s">
        <v>9</v>
      </c>
    </row>
    <row r="864" spans="1:6">
      <c r="A864">
        <v>202305</v>
      </c>
      <c r="B864" s="6">
        <v>45071</v>
      </c>
      <c r="C864" t="s">
        <v>4413</v>
      </c>
      <c r="D864" t="s">
        <v>1958</v>
      </c>
      <c r="E864">
        <v>125</v>
      </c>
      <c r="F864" t="s">
        <v>21</v>
      </c>
    </row>
    <row r="865" spans="1:6">
      <c r="A865">
        <v>202305</v>
      </c>
      <c r="B865" s="6">
        <v>45072</v>
      </c>
      <c r="C865" t="s">
        <v>4221</v>
      </c>
      <c r="D865" t="s">
        <v>4416</v>
      </c>
      <c r="E865">
        <v>3.32</v>
      </c>
      <c r="F865" t="s">
        <v>26</v>
      </c>
    </row>
    <row r="866" spans="1:6">
      <c r="A866">
        <v>202305</v>
      </c>
      <c r="B866" s="6">
        <v>45072</v>
      </c>
      <c r="C866" t="s">
        <v>4223</v>
      </c>
      <c r="D866" t="s">
        <v>4421</v>
      </c>
      <c r="E866">
        <v>-2789.36</v>
      </c>
      <c r="F866" t="s">
        <v>9</v>
      </c>
    </row>
    <row r="867" spans="1:6">
      <c r="A867">
        <v>202305</v>
      </c>
      <c r="B867" s="6">
        <v>45072</v>
      </c>
      <c r="C867" t="s">
        <v>4227</v>
      </c>
      <c r="D867" t="s">
        <v>4417</v>
      </c>
      <c r="E867">
        <v>31.91</v>
      </c>
      <c r="F867" t="s">
        <v>45</v>
      </c>
    </row>
    <row r="868" spans="1:6">
      <c r="A868">
        <v>202305</v>
      </c>
      <c r="B868" s="6">
        <v>45072</v>
      </c>
      <c r="C868" t="s">
        <v>4237</v>
      </c>
      <c r="D868" t="s">
        <v>4418</v>
      </c>
      <c r="E868">
        <v>126</v>
      </c>
      <c r="F868" t="s">
        <v>21</v>
      </c>
    </row>
    <row r="869" spans="1:6">
      <c r="A869">
        <v>202305</v>
      </c>
      <c r="B869" s="6">
        <v>45072</v>
      </c>
      <c r="C869" t="s">
        <v>4225</v>
      </c>
      <c r="D869" t="s">
        <v>4419</v>
      </c>
      <c r="E869">
        <v>74.62</v>
      </c>
      <c r="F869" t="s">
        <v>28</v>
      </c>
    </row>
    <row r="870" spans="1:6">
      <c r="A870">
        <v>202305</v>
      </c>
      <c r="B870" s="6">
        <v>45072</v>
      </c>
      <c r="C870" t="s">
        <v>4420</v>
      </c>
      <c r="D870" t="s">
        <v>4293</v>
      </c>
      <c r="E870">
        <v>2789.36</v>
      </c>
      <c r="F870" t="s">
        <v>9</v>
      </c>
    </row>
    <row r="871" spans="1:6">
      <c r="A871">
        <v>202305</v>
      </c>
      <c r="B871" s="6">
        <v>45074</v>
      </c>
      <c r="C871" t="s">
        <v>4233</v>
      </c>
      <c r="D871" t="s">
        <v>4422</v>
      </c>
      <c r="E871">
        <v>65</v>
      </c>
      <c r="F871" t="s">
        <v>40</v>
      </c>
    </row>
    <row r="872" spans="1:6">
      <c r="A872">
        <v>202305</v>
      </c>
      <c r="B872" s="6">
        <v>45074</v>
      </c>
      <c r="C872" t="s">
        <v>4231</v>
      </c>
      <c r="D872" t="s">
        <v>4423</v>
      </c>
      <c r="E872">
        <v>1.3</v>
      </c>
      <c r="F872" t="s">
        <v>40</v>
      </c>
    </row>
    <row r="873" spans="1:6">
      <c r="A873">
        <v>202305</v>
      </c>
      <c r="B873" s="6">
        <v>45074</v>
      </c>
      <c r="C873" t="s">
        <v>4235</v>
      </c>
      <c r="D873" t="s">
        <v>4424</v>
      </c>
      <c r="E873">
        <v>47</v>
      </c>
      <c r="F873" t="s">
        <v>21</v>
      </c>
    </row>
    <row r="874" spans="1:6">
      <c r="A874">
        <v>202305</v>
      </c>
      <c r="B874" s="6">
        <v>45074</v>
      </c>
      <c r="C874" t="s">
        <v>4229</v>
      </c>
      <c r="D874" t="s">
        <v>4425</v>
      </c>
      <c r="E874">
        <v>161.06</v>
      </c>
      <c r="F874" t="s">
        <v>2</v>
      </c>
    </row>
    <row r="875" spans="1:6">
      <c r="A875">
        <v>202305</v>
      </c>
      <c r="B875" s="6">
        <v>45074</v>
      </c>
      <c r="C875" t="s">
        <v>3938</v>
      </c>
      <c r="D875" t="s">
        <v>4426</v>
      </c>
      <c r="E875">
        <v>12.46</v>
      </c>
      <c r="F875" t="s">
        <v>2</v>
      </c>
    </row>
    <row r="876" spans="1:6">
      <c r="A876">
        <v>202305</v>
      </c>
      <c r="B876" s="6">
        <v>45074</v>
      </c>
      <c r="C876" t="s">
        <v>4216</v>
      </c>
      <c r="D876" t="s">
        <v>4427</v>
      </c>
      <c r="E876">
        <v>102</v>
      </c>
      <c r="F876" t="s">
        <v>21</v>
      </c>
    </row>
    <row r="877" spans="1:6">
      <c r="A877">
        <v>202305</v>
      </c>
      <c r="B877" s="6">
        <v>45074</v>
      </c>
      <c r="C877" t="s">
        <v>4218</v>
      </c>
      <c r="D877" t="s">
        <v>4428</v>
      </c>
      <c r="E877">
        <v>14.21</v>
      </c>
      <c r="F877" t="s">
        <v>26</v>
      </c>
    </row>
    <row r="878" spans="1:6">
      <c r="A878">
        <v>202305</v>
      </c>
      <c r="B878" s="6">
        <v>45075</v>
      </c>
      <c r="C878" t="s">
        <v>4026</v>
      </c>
      <c r="D878" t="s">
        <v>4343</v>
      </c>
      <c r="E878">
        <v>-3180.72</v>
      </c>
      <c r="F878" t="s">
        <v>64</v>
      </c>
    </row>
    <row r="879" spans="1:6">
      <c r="A879">
        <v>202305</v>
      </c>
      <c r="B879" s="6">
        <v>45076</v>
      </c>
      <c r="C879" t="s">
        <v>4062</v>
      </c>
      <c r="D879" t="s">
        <v>1458</v>
      </c>
      <c r="E879">
        <v>1304.5</v>
      </c>
      <c r="F879" t="s">
        <v>9</v>
      </c>
    </row>
    <row r="880" spans="1:6">
      <c r="A880">
        <v>202305</v>
      </c>
      <c r="B880" s="6">
        <v>45076</v>
      </c>
      <c r="C880" t="s">
        <v>4044</v>
      </c>
      <c r="D880" t="s">
        <v>1464</v>
      </c>
      <c r="E880">
        <v>42.94</v>
      </c>
      <c r="F880" t="s">
        <v>9</v>
      </c>
    </row>
    <row r="881" spans="1:6">
      <c r="A881">
        <v>202305</v>
      </c>
      <c r="B881" s="6">
        <v>45076</v>
      </c>
      <c r="C881" t="s">
        <v>4036</v>
      </c>
      <c r="D881" t="s">
        <v>1955</v>
      </c>
      <c r="E881">
        <v>0.99</v>
      </c>
      <c r="F881" t="s">
        <v>21</v>
      </c>
    </row>
    <row r="882" spans="1:6">
      <c r="A882">
        <v>202305</v>
      </c>
      <c r="B882" s="6">
        <v>45076</v>
      </c>
      <c r="C882" t="s">
        <v>4429</v>
      </c>
      <c r="D882" t="s">
        <v>1958</v>
      </c>
      <c r="E882">
        <v>32</v>
      </c>
      <c r="F882" t="s">
        <v>21</v>
      </c>
    </row>
    <row r="883" spans="1:6">
      <c r="A883">
        <v>202305</v>
      </c>
      <c r="B883" s="6">
        <v>45077</v>
      </c>
      <c r="C883" t="s">
        <v>2519</v>
      </c>
      <c r="D883" t="s">
        <v>4430</v>
      </c>
      <c r="E883">
        <v>-50.19</v>
      </c>
      <c r="F883" t="s">
        <v>16</v>
      </c>
    </row>
    <row r="884" spans="1:6">
      <c r="A884">
        <v>202305</v>
      </c>
      <c r="B884" s="6">
        <v>45077</v>
      </c>
      <c r="C884" t="s">
        <v>4059</v>
      </c>
      <c r="D884" t="s">
        <v>4431</v>
      </c>
      <c r="E884">
        <v>330</v>
      </c>
      <c r="F884" t="s">
        <v>20</v>
      </c>
    </row>
    <row r="885" spans="1:6">
      <c r="A885">
        <v>202306</v>
      </c>
      <c r="B885" s="6">
        <v>45078</v>
      </c>
      <c r="C885" t="s">
        <v>2916</v>
      </c>
      <c r="D885" t="s">
        <v>4432</v>
      </c>
      <c r="E885">
        <v>5.36</v>
      </c>
      <c r="F885" t="s">
        <v>38</v>
      </c>
    </row>
    <row r="886" spans="1:6">
      <c r="A886">
        <v>202306</v>
      </c>
      <c r="B886" s="6">
        <v>45078</v>
      </c>
      <c r="C886" t="s">
        <v>2916</v>
      </c>
      <c r="D886" t="s">
        <v>1460</v>
      </c>
      <c r="E886">
        <v>2606.27</v>
      </c>
      <c r="F886" t="s">
        <v>5</v>
      </c>
    </row>
    <row r="887" spans="1:6">
      <c r="A887">
        <v>202306</v>
      </c>
      <c r="B887" s="6">
        <v>45078</v>
      </c>
      <c r="C887" t="s">
        <v>2916</v>
      </c>
      <c r="D887" t="s">
        <v>4433</v>
      </c>
      <c r="E887">
        <v>29.62</v>
      </c>
      <c r="F887" t="s">
        <v>45</v>
      </c>
    </row>
    <row r="888" spans="1:6">
      <c r="A888">
        <v>202306</v>
      </c>
      <c r="B888" s="6">
        <v>45078</v>
      </c>
      <c r="C888" t="s">
        <v>2916</v>
      </c>
      <c r="D888" t="s">
        <v>4434</v>
      </c>
      <c r="E888">
        <v>60</v>
      </c>
      <c r="F888" t="s">
        <v>21</v>
      </c>
    </row>
    <row r="889" spans="1:6">
      <c r="A889">
        <v>202306</v>
      </c>
      <c r="B889" s="6">
        <v>45078</v>
      </c>
      <c r="C889" t="s">
        <v>2916</v>
      </c>
      <c r="D889" t="s">
        <v>4435</v>
      </c>
      <c r="E889">
        <v>60</v>
      </c>
      <c r="F889" t="s">
        <v>21</v>
      </c>
    </row>
    <row r="890" spans="1:6">
      <c r="A890">
        <v>202306</v>
      </c>
      <c r="B890" s="6">
        <v>45078</v>
      </c>
      <c r="C890" t="s">
        <v>2916</v>
      </c>
      <c r="D890" t="s">
        <v>1958</v>
      </c>
      <c r="E890">
        <v>63.36</v>
      </c>
      <c r="F890" t="s">
        <v>21</v>
      </c>
    </row>
    <row r="891" spans="1:6">
      <c r="A891">
        <v>202306</v>
      </c>
      <c r="B891" s="6">
        <v>45078</v>
      </c>
      <c r="C891" t="s">
        <v>2916</v>
      </c>
      <c r="D891" t="s">
        <v>4436</v>
      </c>
      <c r="E891">
        <v>6.12</v>
      </c>
      <c r="F891" t="s">
        <v>26</v>
      </c>
    </row>
    <row r="892" spans="1:6">
      <c r="A892">
        <v>202306</v>
      </c>
      <c r="B892" s="6">
        <v>45078</v>
      </c>
      <c r="C892" t="s">
        <v>2916</v>
      </c>
      <c r="D892" t="s">
        <v>4437</v>
      </c>
      <c r="E892">
        <v>500</v>
      </c>
      <c r="F892" t="s">
        <v>61</v>
      </c>
    </row>
    <row r="893" spans="1:6">
      <c r="A893">
        <v>202306</v>
      </c>
      <c r="B893" s="6">
        <v>45078</v>
      </c>
      <c r="C893" t="s">
        <v>2916</v>
      </c>
      <c r="D893" t="s">
        <v>4438</v>
      </c>
      <c r="E893">
        <v>618.65</v>
      </c>
      <c r="F893" t="s">
        <v>11</v>
      </c>
    </row>
    <row r="894" spans="1:6">
      <c r="A894">
        <v>202306</v>
      </c>
      <c r="B894" s="6">
        <v>45079</v>
      </c>
      <c r="C894" t="s">
        <v>2916</v>
      </c>
      <c r="D894" t="s">
        <v>4439</v>
      </c>
      <c r="E894">
        <v>-1142.3900000000001</v>
      </c>
      <c r="F894" t="s">
        <v>64</v>
      </c>
    </row>
    <row r="895" spans="1:6">
      <c r="A895">
        <v>202306</v>
      </c>
      <c r="B895" s="6">
        <v>45079</v>
      </c>
      <c r="C895" t="s">
        <v>4006</v>
      </c>
      <c r="D895" t="s">
        <v>4440</v>
      </c>
      <c r="E895">
        <v>131.63999999999999</v>
      </c>
      <c r="F895" t="s">
        <v>28</v>
      </c>
    </row>
    <row r="896" spans="1:6">
      <c r="A896">
        <v>202306</v>
      </c>
      <c r="B896" s="6">
        <v>45079</v>
      </c>
      <c r="C896" t="s">
        <v>2916</v>
      </c>
      <c r="D896" t="s">
        <v>4441</v>
      </c>
      <c r="E896">
        <v>212.4</v>
      </c>
      <c r="F896" t="s">
        <v>21</v>
      </c>
    </row>
    <row r="897" spans="1:6">
      <c r="A897">
        <v>202306</v>
      </c>
      <c r="B897" s="6">
        <v>45080</v>
      </c>
      <c r="C897" t="s">
        <v>4006</v>
      </c>
      <c r="D897" t="s">
        <v>4442</v>
      </c>
      <c r="E897">
        <v>372.42</v>
      </c>
      <c r="F897" t="s">
        <v>26</v>
      </c>
    </row>
    <row r="898" spans="1:6">
      <c r="A898">
        <v>202306</v>
      </c>
      <c r="B898" s="6">
        <v>45080</v>
      </c>
      <c r="C898" t="s">
        <v>3932</v>
      </c>
      <c r="D898" t="s">
        <v>4443</v>
      </c>
      <c r="E898">
        <v>11.83</v>
      </c>
      <c r="F898" t="s">
        <v>23</v>
      </c>
    </row>
    <row r="899" spans="1:6">
      <c r="A899">
        <v>202306</v>
      </c>
      <c r="B899" s="6">
        <v>45081</v>
      </c>
      <c r="C899" t="s">
        <v>4006</v>
      </c>
      <c r="D899" t="s">
        <v>701</v>
      </c>
      <c r="E899">
        <v>7.93</v>
      </c>
      <c r="F899" t="s">
        <v>9</v>
      </c>
    </row>
    <row r="900" spans="1:6">
      <c r="A900">
        <v>202306</v>
      </c>
      <c r="B900" s="6">
        <v>45081</v>
      </c>
      <c r="C900" t="s">
        <v>4006</v>
      </c>
      <c r="D900" t="s">
        <v>701</v>
      </c>
      <c r="E900">
        <v>15.85</v>
      </c>
      <c r="F900" t="s">
        <v>9</v>
      </c>
    </row>
    <row r="901" spans="1:6">
      <c r="A901">
        <v>202306</v>
      </c>
      <c r="B901" s="6">
        <v>45081</v>
      </c>
      <c r="C901" t="s">
        <v>2916</v>
      </c>
      <c r="D901" t="s">
        <v>4444</v>
      </c>
      <c r="E901">
        <v>35</v>
      </c>
      <c r="F901" t="s">
        <v>21</v>
      </c>
    </row>
    <row r="902" spans="1:6">
      <c r="A902">
        <v>202306</v>
      </c>
      <c r="B902" s="6">
        <v>45081</v>
      </c>
      <c r="C902" t="s">
        <v>2916</v>
      </c>
      <c r="D902" t="s">
        <v>4445</v>
      </c>
      <c r="E902">
        <v>62.73</v>
      </c>
      <c r="F902" t="s">
        <v>23</v>
      </c>
    </row>
    <row r="903" spans="1:6">
      <c r="A903">
        <v>202306</v>
      </c>
      <c r="B903" s="6">
        <v>45081</v>
      </c>
      <c r="C903" t="s">
        <v>2916</v>
      </c>
      <c r="D903" t="s">
        <v>4446</v>
      </c>
      <c r="E903">
        <v>25</v>
      </c>
      <c r="F903" t="s">
        <v>23</v>
      </c>
    </row>
    <row r="904" spans="1:6">
      <c r="A904">
        <v>202306</v>
      </c>
      <c r="B904" s="6">
        <v>45081</v>
      </c>
      <c r="C904" t="s">
        <v>2916</v>
      </c>
      <c r="D904" t="s">
        <v>4447</v>
      </c>
      <c r="E904">
        <v>161.05000000000001</v>
      </c>
      <c r="F904" t="s">
        <v>21</v>
      </c>
    </row>
    <row r="905" spans="1:6">
      <c r="A905">
        <v>202306</v>
      </c>
      <c r="B905" s="6">
        <v>45081</v>
      </c>
      <c r="C905" t="s">
        <v>2916</v>
      </c>
      <c r="D905" t="s">
        <v>4448</v>
      </c>
      <c r="E905">
        <v>11.17</v>
      </c>
      <c r="F905" t="s">
        <v>40</v>
      </c>
    </row>
    <row r="906" spans="1:6">
      <c r="A906">
        <v>202306</v>
      </c>
      <c r="B906" s="6">
        <v>45081</v>
      </c>
      <c r="C906" t="s">
        <v>2916</v>
      </c>
      <c r="D906" t="s">
        <v>4449</v>
      </c>
      <c r="E906">
        <v>3.85</v>
      </c>
      <c r="F906" t="s">
        <v>23</v>
      </c>
    </row>
    <row r="907" spans="1:6">
      <c r="A907">
        <v>202306</v>
      </c>
      <c r="B907" s="6">
        <v>45081</v>
      </c>
      <c r="C907" t="s">
        <v>4006</v>
      </c>
      <c r="D907" t="s">
        <v>4206</v>
      </c>
      <c r="E907">
        <v>16</v>
      </c>
      <c r="F907" t="s">
        <v>43</v>
      </c>
    </row>
    <row r="908" spans="1:6">
      <c r="A908">
        <v>202306</v>
      </c>
      <c r="B908" s="6">
        <v>45081</v>
      </c>
      <c r="C908" t="s">
        <v>4006</v>
      </c>
      <c r="D908" t="s">
        <v>1707</v>
      </c>
      <c r="E908">
        <v>15.45</v>
      </c>
      <c r="F908" t="s">
        <v>23</v>
      </c>
    </row>
    <row r="909" spans="1:6">
      <c r="A909">
        <v>202306</v>
      </c>
      <c r="B909" s="6">
        <v>45081</v>
      </c>
      <c r="C909" t="s">
        <v>2916</v>
      </c>
      <c r="D909" t="s">
        <v>4450</v>
      </c>
      <c r="E909">
        <v>-60</v>
      </c>
      <c r="F909" t="s">
        <v>21</v>
      </c>
    </row>
    <row r="910" spans="1:6">
      <c r="A910">
        <v>202306</v>
      </c>
      <c r="B910" s="6">
        <v>45082</v>
      </c>
      <c r="C910" t="s">
        <v>3932</v>
      </c>
      <c r="D910" t="s">
        <v>38</v>
      </c>
      <c r="E910">
        <v>6.42</v>
      </c>
      <c r="F910" t="s">
        <v>38</v>
      </c>
    </row>
    <row r="911" spans="1:6">
      <c r="A911">
        <v>202306</v>
      </c>
      <c r="B911" s="6">
        <v>45082</v>
      </c>
      <c r="C911" t="s">
        <v>4006</v>
      </c>
      <c r="D911" t="s">
        <v>684</v>
      </c>
      <c r="E911">
        <v>36.619999999999997</v>
      </c>
      <c r="F911" t="s">
        <v>28</v>
      </c>
    </row>
    <row r="912" spans="1:6">
      <c r="A912">
        <v>202306</v>
      </c>
      <c r="B912" s="6">
        <v>45082</v>
      </c>
      <c r="C912" t="s">
        <v>4006</v>
      </c>
      <c r="D912" t="s">
        <v>690</v>
      </c>
      <c r="E912">
        <v>12.64</v>
      </c>
      <c r="F912" t="s">
        <v>26</v>
      </c>
    </row>
    <row r="913" spans="1:6">
      <c r="A913">
        <v>202306</v>
      </c>
      <c r="B913" s="6">
        <v>45083</v>
      </c>
      <c r="C913" t="s">
        <v>2916</v>
      </c>
      <c r="D913" t="s">
        <v>4451</v>
      </c>
      <c r="E913">
        <v>63.01</v>
      </c>
      <c r="F913" t="s">
        <v>21</v>
      </c>
    </row>
    <row r="914" spans="1:6">
      <c r="A914">
        <v>202306</v>
      </c>
      <c r="B914" s="6">
        <v>45083</v>
      </c>
      <c r="C914" t="s">
        <v>2916</v>
      </c>
      <c r="D914" t="s">
        <v>4452</v>
      </c>
      <c r="E914">
        <v>16</v>
      </c>
      <c r="F914" t="s">
        <v>40</v>
      </c>
    </row>
    <row r="915" spans="1:6">
      <c r="A915">
        <v>202306</v>
      </c>
      <c r="B915" s="6">
        <v>45083</v>
      </c>
      <c r="C915" t="s">
        <v>2916</v>
      </c>
      <c r="D915" t="s">
        <v>4453</v>
      </c>
      <c r="E915">
        <v>100</v>
      </c>
      <c r="F915" t="s">
        <v>61</v>
      </c>
    </row>
    <row r="916" spans="1:6">
      <c r="A916">
        <v>202306</v>
      </c>
      <c r="B916" s="6">
        <v>45083</v>
      </c>
      <c r="C916" t="s">
        <v>2916</v>
      </c>
      <c r="D916" t="s">
        <v>4454</v>
      </c>
      <c r="E916">
        <v>330</v>
      </c>
      <c r="F916" t="s">
        <v>20</v>
      </c>
    </row>
    <row r="917" spans="1:6">
      <c r="A917">
        <v>202306</v>
      </c>
      <c r="B917" s="6">
        <v>45084</v>
      </c>
      <c r="C917" t="s">
        <v>2916</v>
      </c>
      <c r="D917" t="s">
        <v>4455</v>
      </c>
      <c r="E917">
        <v>208.62</v>
      </c>
      <c r="F917" t="s">
        <v>28</v>
      </c>
    </row>
    <row r="918" spans="1:6">
      <c r="A918">
        <v>202306</v>
      </c>
      <c r="B918" s="6">
        <v>45084</v>
      </c>
      <c r="C918" t="s">
        <v>2916</v>
      </c>
      <c r="D918" t="s">
        <v>1470</v>
      </c>
      <c r="E918">
        <v>137.22999999999999</v>
      </c>
      <c r="F918" t="s">
        <v>7</v>
      </c>
    </row>
    <row r="919" spans="1:6">
      <c r="A919">
        <v>202306</v>
      </c>
      <c r="B919" s="6">
        <v>45084</v>
      </c>
      <c r="C919" t="s">
        <v>2916</v>
      </c>
      <c r="D919" t="s">
        <v>4456</v>
      </c>
      <c r="E919">
        <v>193.22</v>
      </c>
      <c r="F919" t="s">
        <v>21</v>
      </c>
    </row>
    <row r="920" spans="1:6">
      <c r="A920">
        <v>202306</v>
      </c>
      <c r="B920" s="6">
        <v>45084</v>
      </c>
      <c r="C920" t="s">
        <v>2916</v>
      </c>
      <c r="D920" t="s">
        <v>4457</v>
      </c>
      <c r="E920">
        <v>550.11</v>
      </c>
      <c r="F920" t="s">
        <v>43</v>
      </c>
    </row>
    <row r="921" spans="1:6">
      <c r="A921">
        <v>202306</v>
      </c>
      <c r="B921" s="6">
        <v>45085</v>
      </c>
      <c r="C921" t="s">
        <v>3932</v>
      </c>
      <c r="D921" t="s">
        <v>38</v>
      </c>
      <c r="E921">
        <v>11.8</v>
      </c>
      <c r="F921" t="s">
        <v>38</v>
      </c>
    </row>
    <row r="922" spans="1:6">
      <c r="A922">
        <v>202306</v>
      </c>
      <c r="B922" s="6">
        <v>45085</v>
      </c>
      <c r="C922" t="s">
        <v>3932</v>
      </c>
      <c r="D922" t="s">
        <v>38</v>
      </c>
      <c r="E922">
        <v>35.76</v>
      </c>
      <c r="F922" t="s">
        <v>38</v>
      </c>
    </row>
    <row r="923" spans="1:6">
      <c r="A923">
        <v>202306</v>
      </c>
      <c r="B923" s="6">
        <v>45085</v>
      </c>
      <c r="C923" t="s">
        <v>3932</v>
      </c>
      <c r="D923" t="s">
        <v>38</v>
      </c>
      <c r="E923">
        <v>42.94</v>
      </c>
      <c r="F923" t="s">
        <v>38</v>
      </c>
    </row>
    <row r="924" spans="1:6">
      <c r="A924">
        <v>202306</v>
      </c>
      <c r="B924" s="6">
        <v>45085</v>
      </c>
      <c r="C924" t="s">
        <v>2916</v>
      </c>
      <c r="D924" t="s">
        <v>404</v>
      </c>
      <c r="E924">
        <v>-2434.2199999999998</v>
      </c>
      <c r="F924" t="s">
        <v>66</v>
      </c>
    </row>
    <row r="925" spans="1:6">
      <c r="A925">
        <v>202306</v>
      </c>
      <c r="B925" s="6">
        <v>45085</v>
      </c>
      <c r="C925" t="s">
        <v>2916</v>
      </c>
      <c r="D925" t="s">
        <v>1958</v>
      </c>
      <c r="E925">
        <v>59.67</v>
      </c>
      <c r="F925" t="s">
        <v>21</v>
      </c>
    </row>
    <row r="926" spans="1:6">
      <c r="A926">
        <v>202306</v>
      </c>
      <c r="B926" s="6">
        <v>45085</v>
      </c>
      <c r="C926" t="s">
        <v>2916</v>
      </c>
      <c r="D926" t="s">
        <v>1958</v>
      </c>
      <c r="E926">
        <v>20</v>
      </c>
      <c r="F926" t="s">
        <v>21</v>
      </c>
    </row>
    <row r="927" spans="1:6">
      <c r="A927">
        <v>202306</v>
      </c>
      <c r="B927" s="6">
        <v>45086</v>
      </c>
      <c r="C927" t="s">
        <v>4006</v>
      </c>
      <c r="D927" t="s">
        <v>4458</v>
      </c>
      <c r="E927">
        <v>33.71</v>
      </c>
      <c r="F927" t="s">
        <v>26</v>
      </c>
    </row>
    <row r="928" spans="1:6">
      <c r="A928">
        <v>202306</v>
      </c>
      <c r="B928" s="6">
        <v>45086</v>
      </c>
      <c r="C928" t="s">
        <v>4006</v>
      </c>
      <c r="D928" t="s">
        <v>4458</v>
      </c>
      <c r="E928">
        <v>84.62</v>
      </c>
      <c r="F928" t="s">
        <v>26</v>
      </c>
    </row>
    <row r="929" spans="1:6">
      <c r="A929">
        <v>202306</v>
      </c>
      <c r="B929" s="6">
        <v>45086</v>
      </c>
      <c r="C929" t="s">
        <v>2916</v>
      </c>
      <c r="D929" t="s">
        <v>4459</v>
      </c>
      <c r="E929">
        <v>-130</v>
      </c>
      <c r="F929" t="s">
        <v>21</v>
      </c>
    </row>
    <row r="930" spans="1:6">
      <c r="A930">
        <v>202306</v>
      </c>
      <c r="B930" s="6">
        <v>45086</v>
      </c>
      <c r="C930" t="s">
        <v>2916</v>
      </c>
      <c r="D930" t="s">
        <v>4460</v>
      </c>
      <c r="E930">
        <v>47.25</v>
      </c>
      <c r="F930" t="s">
        <v>34</v>
      </c>
    </row>
    <row r="931" spans="1:6">
      <c r="A931">
        <v>202306</v>
      </c>
      <c r="B931" s="6">
        <v>45086</v>
      </c>
      <c r="C931" t="s">
        <v>2916</v>
      </c>
      <c r="D931" t="s">
        <v>1958</v>
      </c>
      <c r="E931">
        <v>125</v>
      </c>
      <c r="F931" t="s">
        <v>21</v>
      </c>
    </row>
    <row r="932" spans="1:6">
      <c r="A932">
        <v>202306</v>
      </c>
      <c r="B932" s="6">
        <v>45087</v>
      </c>
      <c r="C932" t="s">
        <v>4006</v>
      </c>
      <c r="D932" t="s">
        <v>4461</v>
      </c>
      <c r="E932">
        <v>33.229999999999997</v>
      </c>
      <c r="F932" t="s">
        <v>26</v>
      </c>
    </row>
    <row r="933" spans="1:6">
      <c r="A933">
        <v>202306</v>
      </c>
      <c r="B933" s="6">
        <v>45087</v>
      </c>
      <c r="C933" t="s">
        <v>4006</v>
      </c>
      <c r="D933" t="s">
        <v>1707</v>
      </c>
      <c r="E933">
        <v>54.02</v>
      </c>
      <c r="F933" t="s">
        <v>23</v>
      </c>
    </row>
    <row r="934" spans="1:6">
      <c r="A934">
        <v>202306</v>
      </c>
      <c r="B934" s="6">
        <v>45088</v>
      </c>
      <c r="C934" t="s">
        <v>4006</v>
      </c>
      <c r="D934" t="s">
        <v>4462</v>
      </c>
      <c r="E934">
        <v>101.58</v>
      </c>
      <c r="F934" t="s">
        <v>26</v>
      </c>
    </row>
    <row r="935" spans="1:6">
      <c r="A935">
        <v>202306</v>
      </c>
      <c r="B935" s="6">
        <v>45088</v>
      </c>
      <c r="C935" t="s">
        <v>2916</v>
      </c>
      <c r="D935" t="s">
        <v>4463</v>
      </c>
      <c r="E935">
        <v>128</v>
      </c>
      <c r="F935" t="s">
        <v>21</v>
      </c>
    </row>
    <row r="936" spans="1:6">
      <c r="A936">
        <v>202306</v>
      </c>
      <c r="B936" s="6">
        <v>45089</v>
      </c>
      <c r="C936" t="s">
        <v>3932</v>
      </c>
      <c r="D936" t="s">
        <v>38</v>
      </c>
      <c r="E936">
        <v>26.42</v>
      </c>
      <c r="F936" t="s">
        <v>38</v>
      </c>
    </row>
    <row r="937" spans="1:6">
      <c r="A937">
        <v>202306</v>
      </c>
      <c r="B937" s="6">
        <v>45089</v>
      </c>
      <c r="C937" t="s">
        <v>4006</v>
      </c>
      <c r="D937" t="s">
        <v>4464</v>
      </c>
      <c r="E937">
        <v>8.7899999999999991</v>
      </c>
      <c r="F937" t="s">
        <v>9</v>
      </c>
    </row>
    <row r="938" spans="1:6">
      <c r="A938">
        <v>202306</v>
      </c>
      <c r="B938" s="6">
        <v>45089</v>
      </c>
      <c r="C938" t="s">
        <v>2916</v>
      </c>
      <c r="D938" t="s">
        <v>4465</v>
      </c>
      <c r="E938">
        <v>188.12</v>
      </c>
      <c r="F938" t="s">
        <v>28</v>
      </c>
    </row>
    <row r="939" spans="1:6">
      <c r="A939">
        <v>202306</v>
      </c>
      <c r="B939" s="6">
        <v>45089</v>
      </c>
      <c r="C939" t="s">
        <v>2916</v>
      </c>
      <c r="D939" t="s">
        <v>4466</v>
      </c>
      <c r="E939">
        <v>5.99</v>
      </c>
      <c r="F939" t="s">
        <v>40</v>
      </c>
    </row>
    <row r="940" spans="1:6">
      <c r="A940">
        <v>202306</v>
      </c>
      <c r="B940" s="6">
        <v>45089</v>
      </c>
      <c r="C940" t="s">
        <v>2916</v>
      </c>
      <c r="D940" t="s">
        <v>4467</v>
      </c>
      <c r="E940">
        <v>51.01</v>
      </c>
      <c r="F940" t="s">
        <v>43</v>
      </c>
    </row>
    <row r="941" spans="1:6">
      <c r="A941">
        <v>202306</v>
      </c>
      <c r="B941" s="6">
        <v>45089</v>
      </c>
      <c r="C941" t="s">
        <v>4006</v>
      </c>
      <c r="D941" t="s">
        <v>1931</v>
      </c>
      <c r="E941">
        <v>30.42</v>
      </c>
      <c r="F941" t="s">
        <v>28</v>
      </c>
    </row>
    <row r="942" spans="1:6">
      <c r="A942">
        <v>202306</v>
      </c>
      <c r="B942" s="6">
        <v>45090</v>
      </c>
      <c r="C942" t="s">
        <v>2916</v>
      </c>
      <c r="D942" t="s">
        <v>4468</v>
      </c>
      <c r="E942">
        <v>560.57000000000005</v>
      </c>
      <c r="F942" t="s">
        <v>43</v>
      </c>
    </row>
    <row r="943" spans="1:6">
      <c r="A943">
        <v>202306</v>
      </c>
      <c r="B943" s="6">
        <v>45090</v>
      </c>
      <c r="C943" t="s">
        <v>2916</v>
      </c>
      <c r="D943" t="s">
        <v>4469</v>
      </c>
      <c r="E943">
        <v>45</v>
      </c>
      <c r="F943" t="s">
        <v>7</v>
      </c>
    </row>
    <row r="944" spans="1:6">
      <c r="A944">
        <v>202306</v>
      </c>
      <c r="B944" s="6">
        <v>45090</v>
      </c>
      <c r="C944" t="s">
        <v>2916</v>
      </c>
      <c r="D944" t="s">
        <v>4470</v>
      </c>
      <c r="E944">
        <v>-67.14</v>
      </c>
      <c r="F944" t="s">
        <v>9</v>
      </c>
    </row>
    <row r="945" spans="1:6">
      <c r="A945">
        <v>202306</v>
      </c>
      <c r="B945" s="6">
        <v>45090</v>
      </c>
      <c r="C945" t="s">
        <v>2916</v>
      </c>
      <c r="D945" t="s">
        <v>4471</v>
      </c>
      <c r="E945">
        <v>258.05</v>
      </c>
      <c r="F945" t="s">
        <v>28</v>
      </c>
    </row>
    <row r="946" spans="1:6">
      <c r="A946">
        <v>202306</v>
      </c>
      <c r="B946" s="6">
        <v>45090</v>
      </c>
      <c r="C946" t="s">
        <v>2916</v>
      </c>
      <c r="D946" t="s">
        <v>4472</v>
      </c>
      <c r="E946">
        <v>80.930000000000007</v>
      </c>
      <c r="F946" t="s">
        <v>28</v>
      </c>
    </row>
    <row r="947" spans="1:6">
      <c r="A947">
        <v>202306</v>
      </c>
      <c r="B947" s="6">
        <v>45090</v>
      </c>
      <c r="C947" t="s">
        <v>2916</v>
      </c>
      <c r="D947" t="s">
        <v>4473</v>
      </c>
      <c r="E947">
        <v>52.96</v>
      </c>
      <c r="F947" t="s">
        <v>48</v>
      </c>
    </row>
    <row r="948" spans="1:6">
      <c r="A948">
        <v>202306</v>
      </c>
      <c r="B948" s="6">
        <v>45090</v>
      </c>
      <c r="C948" t="s">
        <v>2916</v>
      </c>
      <c r="D948" t="s">
        <v>4476</v>
      </c>
      <c r="E948">
        <v>-2572.5100000000002</v>
      </c>
      <c r="F948" t="s">
        <v>9</v>
      </c>
    </row>
    <row r="949" spans="1:6">
      <c r="A949">
        <v>202306</v>
      </c>
      <c r="B949" s="6">
        <v>45090</v>
      </c>
      <c r="C949" t="s">
        <v>2916</v>
      </c>
      <c r="D949" t="s">
        <v>1955</v>
      </c>
      <c r="E949">
        <v>6.47</v>
      </c>
      <c r="F949" t="s">
        <v>21</v>
      </c>
    </row>
    <row r="950" spans="1:6">
      <c r="A950">
        <v>202306</v>
      </c>
      <c r="B950" s="6">
        <v>45090</v>
      </c>
      <c r="C950" t="s">
        <v>2916</v>
      </c>
      <c r="D950" t="s">
        <v>1958</v>
      </c>
      <c r="E950">
        <v>147.38</v>
      </c>
      <c r="F950" t="s">
        <v>21</v>
      </c>
    </row>
    <row r="951" spans="1:6">
      <c r="A951">
        <v>202306</v>
      </c>
      <c r="B951" s="6">
        <v>45090</v>
      </c>
      <c r="C951" t="s">
        <v>2916</v>
      </c>
      <c r="D951" t="s">
        <v>4474</v>
      </c>
      <c r="E951">
        <v>265</v>
      </c>
      <c r="F951" t="s">
        <v>20</v>
      </c>
    </row>
    <row r="952" spans="1:6">
      <c r="A952">
        <v>202306</v>
      </c>
      <c r="B952" s="6">
        <v>45090</v>
      </c>
      <c r="C952" t="s">
        <v>2916</v>
      </c>
      <c r="D952" t="s">
        <v>4293</v>
      </c>
      <c r="E952">
        <v>2572.5100000000002</v>
      </c>
      <c r="F952" t="s">
        <v>9</v>
      </c>
    </row>
    <row r="953" spans="1:6">
      <c r="A953">
        <v>202306</v>
      </c>
      <c r="B953" s="6">
        <v>45090</v>
      </c>
      <c r="C953" t="s">
        <v>2916</v>
      </c>
      <c r="D953" t="s">
        <v>4475</v>
      </c>
      <c r="E953">
        <v>8</v>
      </c>
      <c r="F953" t="s">
        <v>7</v>
      </c>
    </row>
    <row r="954" spans="1:6">
      <c r="A954">
        <v>202306</v>
      </c>
      <c r="B954" s="6">
        <v>45091</v>
      </c>
      <c r="C954" t="s">
        <v>2916</v>
      </c>
      <c r="D954" t="s">
        <v>4477</v>
      </c>
      <c r="E954">
        <v>260.26</v>
      </c>
      <c r="F954" t="s">
        <v>38</v>
      </c>
    </row>
    <row r="955" spans="1:6">
      <c r="A955">
        <v>202306</v>
      </c>
      <c r="B955" s="6">
        <v>45091</v>
      </c>
      <c r="C955" t="s">
        <v>2916</v>
      </c>
      <c r="D955" t="s">
        <v>4283</v>
      </c>
      <c r="E955">
        <v>-114.72</v>
      </c>
      <c r="F955" t="s">
        <v>66</v>
      </c>
    </row>
    <row r="956" spans="1:6">
      <c r="A956">
        <v>202306</v>
      </c>
      <c r="B956" s="6">
        <v>45091</v>
      </c>
      <c r="C956" t="s">
        <v>2916</v>
      </c>
      <c r="D956" t="s">
        <v>4356</v>
      </c>
      <c r="E956">
        <v>116.77</v>
      </c>
      <c r="F956" t="s">
        <v>18</v>
      </c>
    </row>
    <row r="957" spans="1:6">
      <c r="A957">
        <v>202306</v>
      </c>
      <c r="B957" s="6">
        <v>45091</v>
      </c>
      <c r="C957" t="s">
        <v>2916</v>
      </c>
      <c r="D957" t="s">
        <v>4343</v>
      </c>
      <c r="E957">
        <v>-3180.72</v>
      </c>
      <c r="F957" t="s">
        <v>64</v>
      </c>
    </row>
    <row r="958" spans="1:6">
      <c r="A958">
        <v>202306</v>
      </c>
      <c r="B958" s="6">
        <v>45091</v>
      </c>
      <c r="C958" t="s">
        <v>2916</v>
      </c>
      <c r="D958" t="s">
        <v>4478</v>
      </c>
      <c r="E958">
        <v>108.95</v>
      </c>
      <c r="F958" t="s">
        <v>21</v>
      </c>
    </row>
    <row r="959" spans="1:6">
      <c r="A959">
        <v>202306</v>
      </c>
      <c r="B959" s="6">
        <v>45091</v>
      </c>
      <c r="C959" t="s">
        <v>2916</v>
      </c>
      <c r="D959" t="s">
        <v>1958</v>
      </c>
      <c r="E959">
        <v>20</v>
      </c>
      <c r="F959" t="s">
        <v>21</v>
      </c>
    </row>
    <row r="960" spans="1:6">
      <c r="A960">
        <v>202306</v>
      </c>
      <c r="B960" s="6">
        <v>45091</v>
      </c>
      <c r="C960" t="s">
        <v>2916</v>
      </c>
      <c r="D960" t="s">
        <v>1958</v>
      </c>
      <c r="E960">
        <v>20</v>
      </c>
      <c r="F960" t="s">
        <v>21</v>
      </c>
    </row>
    <row r="961" spans="1:6">
      <c r="A961">
        <v>202306</v>
      </c>
      <c r="B961" s="6">
        <v>45091</v>
      </c>
      <c r="C961" t="s">
        <v>2916</v>
      </c>
      <c r="D961" t="s">
        <v>1958</v>
      </c>
      <c r="E961">
        <v>20</v>
      </c>
      <c r="F961" t="s">
        <v>21</v>
      </c>
    </row>
    <row r="962" spans="1:6">
      <c r="A962">
        <v>202306</v>
      </c>
      <c r="B962" s="6">
        <v>45092</v>
      </c>
      <c r="C962" t="s">
        <v>2916</v>
      </c>
      <c r="D962" t="s">
        <v>4479</v>
      </c>
      <c r="E962">
        <v>62.16</v>
      </c>
      <c r="F962" t="s">
        <v>28</v>
      </c>
    </row>
    <row r="963" spans="1:6">
      <c r="A963">
        <v>202306</v>
      </c>
      <c r="B963" s="6">
        <v>45093</v>
      </c>
      <c r="C963" t="s">
        <v>3932</v>
      </c>
      <c r="D963" t="s">
        <v>4480</v>
      </c>
      <c r="E963">
        <v>15</v>
      </c>
      <c r="F963" t="s">
        <v>26</v>
      </c>
    </row>
    <row r="964" spans="1:6">
      <c r="A964">
        <v>202306</v>
      </c>
      <c r="B964" s="6">
        <v>45093</v>
      </c>
      <c r="C964" t="s">
        <v>4006</v>
      </c>
      <c r="D964" t="s">
        <v>1014</v>
      </c>
      <c r="E964">
        <v>19.350000000000001</v>
      </c>
      <c r="F964" t="s">
        <v>26</v>
      </c>
    </row>
    <row r="965" spans="1:6">
      <c r="A965">
        <v>202306</v>
      </c>
      <c r="B965" s="6">
        <v>45093</v>
      </c>
      <c r="C965" t="s">
        <v>2916</v>
      </c>
      <c r="D965" t="s">
        <v>4481</v>
      </c>
      <c r="E965">
        <v>-126</v>
      </c>
      <c r="F965" t="s">
        <v>21</v>
      </c>
    </row>
    <row r="966" spans="1:6">
      <c r="A966">
        <v>202306</v>
      </c>
      <c r="B966" s="6">
        <v>45095</v>
      </c>
      <c r="C966" t="s">
        <v>4006</v>
      </c>
      <c r="D966" t="s">
        <v>4482</v>
      </c>
      <c r="E966">
        <v>34.92</v>
      </c>
      <c r="F966" t="s">
        <v>9</v>
      </c>
    </row>
    <row r="967" spans="1:6">
      <c r="A967">
        <v>202306</v>
      </c>
      <c r="B967" s="6">
        <v>45095</v>
      </c>
      <c r="C967" t="s">
        <v>2916</v>
      </c>
      <c r="D967" t="s">
        <v>4483</v>
      </c>
      <c r="E967">
        <v>4.62</v>
      </c>
      <c r="F967" t="s">
        <v>43</v>
      </c>
    </row>
    <row r="968" spans="1:6">
      <c r="A968">
        <v>202306</v>
      </c>
      <c r="B968" s="6">
        <v>45095</v>
      </c>
      <c r="C968" t="s">
        <v>4006</v>
      </c>
      <c r="D968" t="s">
        <v>453</v>
      </c>
      <c r="E968">
        <v>21.63</v>
      </c>
      <c r="F968" t="s">
        <v>26</v>
      </c>
    </row>
    <row r="969" spans="1:6">
      <c r="A969">
        <v>202306</v>
      </c>
      <c r="B969" s="6">
        <v>45095</v>
      </c>
      <c r="C969" t="s">
        <v>4006</v>
      </c>
      <c r="D969" t="s">
        <v>453</v>
      </c>
      <c r="E969">
        <v>4.87</v>
      </c>
      <c r="F969" t="s">
        <v>26</v>
      </c>
    </row>
    <row r="970" spans="1:6">
      <c r="A970">
        <v>202306</v>
      </c>
      <c r="B970" s="6">
        <v>45095</v>
      </c>
      <c r="C970" t="s">
        <v>2916</v>
      </c>
      <c r="D970" t="s">
        <v>4484</v>
      </c>
      <c r="E970">
        <v>18.59</v>
      </c>
      <c r="F970" t="s">
        <v>21</v>
      </c>
    </row>
    <row r="971" spans="1:6">
      <c r="A971">
        <v>202306</v>
      </c>
      <c r="B971" s="6">
        <v>45095</v>
      </c>
      <c r="C971" t="s">
        <v>4006</v>
      </c>
      <c r="D971" t="s">
        <v>4485</v>
      </c>
      <c r="E971">
        <v>914.98</v>
      </c>
      <c r="F971" t="s">
        <v>43</v>
      </c>
    </row>
    <row r="972" spans="1:6">
      <c r="A972">
        <v>202306</v>
      </c>
      <c r="B972" s="6">
        <v>45095</v>
      </c>
      <c r="C972" t="s">
        <v>2916</v>
      </c>
      <c r="D972" t="s">
        <v>4486</v>
      </c>
      <c r="E972">
        <v>63.5</v>
      </c>
      <c r="F972" t="s">
        <v>21</v>
      </c>
    </row>
    <row r="973" spans="1:6">
      <c r="A973">
        <v>202306</v>
      </c>
      <c r="B973" s="6">
        <v>45095</v>
      </c>
      <c r="C973" t="s">
        <v>4006</v>
      </c>
      <c r="D973" t="s">
        <v>4487</v>
      </c>
      <c r="E973">
        <v>5.88</v>
      </c>
      <c r="F973" t="s">
        <v>40</v>
      </c>
    </row>
    <row r="974" spans="1:6">
      <c r="A974">
        <v>202306</v>
      </c>
      <c r="B974" s="6">
        <v>45095</v>
      </c>
      <c r="C974" t="s">
        <v>2916</v>
      </c>
      <c r="D974" t="s">
        <v>4488</v>
      </c>
      <c r="E974">
        <v>38.869999999999997</v>
      </c>
      <c r="F974" t="s">
        <v>23</v>
      </c>
    </row>
    <row r="975" spans="1:6">
      <c r="A975">
        <v>202306</v>
      </c>
      <c r="B975" s="6">
        <v>45095</v>
      </c>
      <c r="C975" t="s">
        <v>2916</v>
      </c>
      <c r="D975" t="s">
        <v>4489</v>
      </c>
      <c r="E975">
        <v>4.1900000000000004</v>
      </c>
      <c r="F975" t="s">
        <v>23</v>
      </c>
    </row>
    <row r="976" spans="1:6">
      <c r="A976">
        <v>202306</v>
      </c>
      <c r="B976" s="6">
        <v>45095</v>
      </c>
      <c r="C976" t="s">
        <v>4006</v>
      </c>
      <c r="D976" t="s">
        <v>4490</v>
      </c>
      <c r="E976">
        <v>42.42</v>
      </c>
      <c r="F976" t="s">
        <v>26</v>
      </c>
    </row>
    <row r="977" spans="1:6">
      <c r="A977">
        <v>202306</v>
      </c>
      <c r="B977" s="6">
        <v>45095</v>
      </c>
      <c r="C977" t="s">
        <v>4006</v>
      </c>
      <c r="D977" t="s">
        <v>4240</v>
      </c>
      <c r="E977">
        <v>-1720.89</v>
      </c>
      <c r="F977" t="s">
        <v>9</v>
      </c>
    </row>
    <row r="978" spans="1:6">
      <c r="A978">
        <v>202306</v>
      </c>
      <c r="B978" s="6">
        <v>45095</v>
      </c>
      <c r="C978" t="s">
        <v>4006</v>
      </c>
      <c r="D978" t="s">
        <v>4491</v>
      </c>
      <c r="E978">
        <v>56.52</v>
      </c>
      <c r="F978" t="s">
        <v>26</v>
      </c>
    </row>
    <row r="979" spans="1:6">
      <c r="A979">
        <v>202306</v>
      </c>
      <c r="B979" s="6">
        <v>45095</v>
      </c>
      <c r="C979" t="s">
        <v>2916</v>
      </c>
      <c r="D979" t="s">
        <v>4492</v>
      </c>
      <c r="E979">
        <v>44.45</v>
      </c>
      <c r="F979" t="s">
        <v>40</v>
      </c>
    </row>
    <row r="980" spans="1:6">
      <c r="A980">
        <v>202306</v>
      </c>
      <c r="B980" s="6">
        <v>45095</v>
      </c>
      <c r="C980" t="s">
        <v>2916</v>
      </c>
      <c r="D980" t="s">
        <v>4493</v>
      </c>
      <c r="E980">
        <v>9.99</v>
      </c>
      <c r="F980" t="s">
        <v>21</v>
      </c>
    </row>
    <row r="981" spans="1:6">
      <c r="A981">
        <v>202306</v>
      </c>
      <c r="B981" s="6">
        <v>45095</v>
      </c>
      <c r="C981" t="s">
        <v>2916</v>
      </c>
      <c r="D981" t="s">
        <v>4494</v>
      </c>
      <c r="E981">
        <v>32.97</v>
      </c>
      <c r="F981" t="s">
        <v>21</v>
      </c>
    </row>
    <row r="982" spans="1:6">
      <c r="A982">
        <v>202306</v>
      </c>
      <c r="B982" s="6">
        <v>45096</v>
      </c>
      <c r="C982" t="s">
        <v>2916</v>
      </c>
      <c r="D982" t="s">
        <v>4495</v>
      </c>
      <c r="E982">
        <v>4.34</v>
      </c>
      <c r="F982" t="s">
        <v>28</v>
      </c>
    </row>
    <row r="983" spans="1:6">
      <c r="A983">
        <v>202306</v>
      </c>
      <c r="B983" s="6">
        <v>45096</v>
      </c>
      <c r="C983" t="s">
        <v>4006</v>
      </c>
      <c r="D983" t="s">
        <v>4496</v>
      </c>
      <c r="E983">
        <v>31.34</v>
      </c>
      <c r="F983" t="s">
        <v>28</v>
      </c>
    </row>
    <row r="984" spans="1:6">
      <c r="A984">
        <v>202306</v>
      </c>
      <c r="B984" s="6">
        <v>45096</v>
      </c>
      <c r="C984" t="s">
        <v>4006</v>
      </c>
      <c r="D984" t="s">
        <v>1165</v>
      </c>
      <c r="E984">
        <v>127.54</v>
      </c>
      <c r="F984" t="s">
        <v>43</v>
      </c>
    </row>
    <row r="985" spans="1:6">
      <c r="A985">
        <v>202306</v>
      </c>
      <c r="B985" s="6">
        <v>45096</v>
      </c>
      <c r="C985" t="s">
        <v>4006</v>
      </c>
      <c r="D985" t="s">
        <v>4497</v>
      </c>
      <c r="E985">
        <v>23.66</v>
      </c>
      <c r="F985" t="s">
        <v>26</v>
      </c>
    </row>
    <row r="986" spans="1:6">
      <c r="A986">
        <v>202306</v>
      </c>
      <c r="B986" s="6">
        <v>45096</v>
      </c>
      <c r="C986" t="s">
        <v>2916</v>
      </c>
      <c r="D986" t="s">
        <v>4498</v>
      </c>
      <c r="E986">
        <v>27.58</v>
      </c>
      <c r="F986" t="s">
        <v>21</v>
      </c>
    </row>
    <row r="987" spans="1:6">
      <c r="A987">
        <v>202306</v>
      </c>
      <c r="B987" s="6">
        <v>45097</v>
      </c>
      <c r="C987" t="s">
        <v>2916</v>
      </c>
      <c r="D987" t="s">
        <v>4499</v>
      </c>
      <c r="E987">
        <v>21.46</v>
      </c>
      <c r="F987" t="s">
        <v>38</v>
      </c>
    </row>
    <row r="988" spans="1:6">
      <c r="A988">
        <v>202306</v>
      </c>
      <c r="B988" s="6">
        <v>45097</v>
      </c>
      <c r="C988" t="s">
        <v>2916</v>
      </c>
      <c r="D988" t="s">
        <v>4500</v>
      </c>
      <c r="E988">
        <v>560.57000000000005</v>
      </c>
      <c r="F988" t="s">
        <v>43</v>
      </c>
    </row>
    <row r="989" spans="1:6">
      <c r="A989">
        <v>202306</v>
      </c>
      <c r="B989" s="6">
        <v>45097</v>
      </c>
      <c r="C989" t="s">
        <v>2916</v>
      </c>
      <c r="D989" t="s">
        <v>4501</v>
      </c>
      <c r="E989">
        <v>11.81</v>
      </c>
      <c r="F989" t="s">
        <v>28</v>
      </c>
    </row>
    <row r="990" spans="1:6">
      <c r="A990">
        <v>202306</v>
      </c>
      <c r="B990" s="6">
        <v>45097</v>
      </c>
      <c r="C990" t="s">
        <v>4006</v>
      </c>
      <c r="D990" t="s">
        <v>692</v>
      </c>
      <c r="E990">
        <v>4.07</v>
      </c>
      <c r="F990" t="s">
        <v>26</v>
      </c>
    </row>
    <row r="991" spans="1:6">
      <c r="A991">
        <v>202306</v>
      </c>
      <c r="B991" s="6">
        <v>45097</v>
      </c>
      <c r="C991" t="s">
        <v>4006</v>
      </c>
      <c r="D991" t="s">
        <v>692</v>
      </c>
      <c r="E991">
        <v>28.53</v>
      </c>
      <c r="F991" t="s">
        <v>26</v>
      </c>
    </row>
    <row r="992" spans="1:6">
      <c r="A992">
        <v>202306</v>
      </c>
      <c r="B992" s="6">
        <v>45097</v>
      </c>
      <c r="C992" t="s">
        <v>3932</v>
      </c>
      <c r="D992" t="s">
        <v>692</v>
      </c>
      <c r="E992">
        <v>18.86</v>
      </c>
      <c r="F992" t="s">
        <v>26</v>
      </c>
    </row>
    <row r="993" spans="1:6">
      <c r="A993">
        <v>202306</v>
      </c>
      <c r="B993" s="6">
        <v>45097</v>
      </c>
      <c r="C993" t="s">
        <v>2916</v>
      </c>
      <c r="D993" t="s">
        <v>2917</v>
      </c>
      <c r="E993">
        <v>50</v>
      </c>
      <c r="F993" t="s">
        <v>9</v>
      </c>
    </row>
    <row r="994" spans="1:6">
      <c r="A994">
        <v>202306</v>
      </c>
      <c r="B994" s="6">
        <v>45097</v>
      </c>
      <c r="C994" t="s">
        <v>2916</v>
      </c>
      <c r="D994" t="s">
        <v>4502</v>
      </c>
      <c r="E994">
        <v>10.69</v>
      </c>
      <c r="F994" t="s">
        <v>23</v>
      </c>
    </row>
    <row r="995" spans="1:6">
      <c r="A995">
        <v>202306</v>
      </c>
      <c r="B995" s="6">
        <v>45097</v>
      </c>
      <c r="C995" t="s">
        <v>4006</v>
      </c>
      <c r="D995" t="s">
        <v>945</v>
      </c>
      <c r="E995">
        <v>35.33</v>
      </c>
      <c r="F995" t="s">
        <v>28</v>
      </c>
    </row>
    <row r="996" spans="1:6">
      <c r="A996">
        <v>202306</v>
      </c>
      <c r="B996" s="6">
        <v>45097</v>
      </c>
      <c r="C996" t="s">
        <v>4006</v>
      </c>
      <c r="D996" t="s">
        <v>4503</v>
      </c>
      <c r="E996">
        <v>77.78</v>
      </c>
      <c r="F996" t="s">
        <v>26</v>
      </c>
    </row>
    <row r="997" spans="1:6">
      <c r="A997">
        <v>202306</v>
      </c>
      <c r="B997" s="6">
        <v>45097</v>
      </c>
      <c r="C997" t="s">
        <v>3932</v>
      </c>
      <c r="D997" t="s">
        <v>1267</v>
      </c>
      <c r="E997">
        <v>76.11</v>
      </c>
      <c r="F997" t="s">
        <v>40</v>
      </c>
    </row>
    <row r="998" spans="1:6">
      <c r="A998">
        <v>202306</v>
      </c>
      <c r="B998" s="6">
        <v>45097</v>
      </c>
      <c r="C998" t="s">
        <v>2916</v>
      </c>
      <c r="D998" t="s">
        <v>4504</v>
      </c>
      <c r="E998">
        <v>44</v>
      </c>
      <c r="F998" t="s">
        <v>21</v>
      </c>
    </row>
    <row r="999" spans="1:6">
      <c r="A999">
        <v>202306</v>
      </c>
      <c r="B999" s="6">
        <v>45097</v>
      </c>
      <c r="C999" t="s">
        <v>2916</v>
      </c>
      <c r="D999" t="s">
        <v>1458</v>
      </c>
      <c r="E999">
        <v>1720.89</v>
      </c>
      <c r="F999" t="s">
        <v>9</v>
      </c>
    </row>
    <row r="1000" spans="1:6">
      <c r="A1000">
        <v>202306</v>
      </c>
      <c r="B1000" s="6">
        <v>45097</v>
      </c>
      <c r="C1000" t="s">
        <v>2916</v>
      </c>
      <c r="D1000" t="s">
        <v>1955</v>
      </c>
      <c r="E1000">
        <v>2.99</v>
      </c>
      <c r="F1000" t="s">
        <v>21</v>
      </c>
    </row>
    <row r="1001" spans="1:6">
      <c r="A1001">
        <v>202306</v>
      </c>
      <c r="B1001" s="6">
        <v>45097</v>
      </c>
      <c r="C1001" t="s">
        <v>2916</v>
      </c>
      <c r="D1001" t="s">
        <v>4505</v>
      </c>
      <c r="E1001">
        <v>500</v>
      </c>
      <c r="F1001" t="s">
        <v>20</v>
      </c>
    </row>
    <row r="1002" spans="1:6">
      <c r="A1002">
        <v>202306</v>
      </c>
      <c r="B1002" s="6">
        <v>45098</v>
      </c>
      <c r="C1002" t="s">
        <v>2916</v>
      </c>
      <c r="D1002" t="s">
        <v>4506</v>
      </c>
      <c r="E1002">
        <v>-21.46</v>
      </c>
      <c r="F1002" t="s">
        <v>38</v>
      </c>
    </row>
    <row r="1003" spans="1:6">
      <c r="A1003">
        <v>202306</v>
      </c>
      <c r="B1003" s="6">
        <v>45098</v>
      </c>
      <c r="C1003" t="s">
        <v>2916</v>
      </c>
      <c r="D1003" t="s">
        <v>4507</v>
      </c>
      <c r="E1003">
        <v>11</v>
      </c>
      <c r="F1003" t="s">
        <v>7</v>
      </c>
    </row>
    <row r="1004" spans="1:6">
      <c r="A1004">
        <v>202306</v>
      </c>
      <c r="B1004" s="6">
        <v>45098</v>
      </c>
      <c r="C1004" t="s">
        <v>2916</v>
      </c>
      <c r="D1004" t="s">
        <v>4508</v>
      </c>
      <c r="E1004">
        <v>8.2899999999999991</v>
      </c>
      <c r="F1004" t="s">
        <v>28</v>
      </c>
    </row>
    <row r="1005" spans="1:6">
      <c r="A1005">
        <v>202306</v>
      </c>
      <c r="B1005" s="6">
        <v>45098</v>
      </c>
      <c r="C1005" t="s">
        <v>2916</v>
      </c>
      <c r="D1005" t="s">
        <v>4509</v>
      </c>
      <c r="E1005">
        <v>44.73</v>
      </c>
      <c r="F1005" t="s">
        <v>28</v>
      </c>
    </row>
    <row r="1006" spans="1:6">
      <c r="A1006">
        <v>202306</v>
      </c>
      <c r="B1006" s="6">
        <v>45098</v>
      </c>
      <c r="C1006" t="s">
        <v>4006</v>
      </c>
      <c r="D1006" t="s">
        <v>1014</v>
      </c>
      <c r="E1006">
        <v>34.33</v>
      </c>
      <c r="F1006" t="s">
        <v>26</v>
      </c>
    </row>
    <row r="1007" spans="1:6">
      <c r="A1007">
        <v>202306</v>
      </c>
      <c r="B1007" s="6">
        <v>45098</v>
      </c>
      <c r="C1007" t="s">
        <v>2916</v>
      </c>
      <c r="D1007" t="s">
        <v>4510</v>
      </c>
      <c r="E1007">
        <v>16.73</v>
      </c>
      <c r="F1007" t="s">
        <v>7</v>
      </c>
    </row>
    <row r="1008" spans="1:6">
      <c r="A1008">
        <v>202306</v>
      </c>
      <c r="B1008" s="6">
        <v>45098</v>
      </c>
      <c r="C1008" t="s">
        <v>2916</v>
      </c>
      <c r="D1008" t="s">
        <v>4511</v>
      </c>
      <c r="E1008">
        <v>25.98</v>
      </c>
      <c r="F1008" t="s">
        <v>26</v>
      </c>
    </row>
    <row r="1009" spans="1:6">
      <c r="A1009">
        <v>202306</v>
      </c>
      <c r="B1009" s="6">
        <v>45098</v>
      </c>
      <c r="C1009" t="s">
        <v>2916</v>
      </c>
      <c r="D1009" t="s">
        <v>1958</v>
      </c>
      <c r="E1009">
        <v>154.63</v>
      </c>
      <c r="F1009" t="s">
        <v>21</v>
      </c>
    </row>
    <row r="1010" spans="1:6">
      <c r="A1010">
        <v>202306</v>
      </c>
      <c r="B1010" s="6">
        <v>45098</v>
      </c>
      <c r="C1010" t="s">
        <v>2916</v>
      </c>
      <c r="D1010" t="s">
        <v>4512</v>
      </c>
      <c r="E1010">
        <v>70.349999999999994</v>
      </c>
      <c r="F1010" t="s">
        <v>7</v>
      </c>
    </row>
    <row r="1011" spans="1:6">
      <c r="A1011">
        <v>202306</v>
      </c>
      <c r="B1011" s="6">
        <v>45098</v>
      </c>
      <c r="C1011" t="s">
        <v>2916</v>
      </c>
      <c r="D1011" t="s">
        <v>4513</v>
      </c>
      <c r="E1011">
        <v>200</v>
      </c>
      <c r="F1011" t="s">
        <v>20</v>
      </c>
    </row>
    <row r="1012" spans="1:6">
      <c r="A1012">
        <v>202306</v>
      </c>
      <c r="B1012" s="6">
        <v>45099</v>
      </c>
      <c r="C1012" t="s">
        <v>2916</v>
      </c>
      <c r="D1012" t="s">
        <v>404</v>
      </c>
      <c r="E1012">
        <v>-2434.23</v>
      </c>
      <c r="F1012" t="s">
        <v>66</v>
      </c>
    </row>
    <row r="1013" spans="1:6">
      <c r="A1013">
        <v>202306</v>
      </c>
      <c r="B1013" s="6">
        <v>45099</v>
      </c>
      <c r="C1013" t="s">
        <v>2916</v>
      </c>
      <c r="D1013" t="s">
        <v>4514</v>
      </c>
      <c r="E1013">
        <v>5.66</v>
      </c>
      <c r="F1013" t="s">
        <v>28</v>
      </c>
    </row>
    <row r="1014" spans="1:6">
      <c r="A1014">
        <v>202306</v>
      </c>
      <c r="B1014" s="6">
        <v>45099</v>
      </c>
      <c r="C1014" t="s">
        <v>4006</v>
      </c>
      <c r="D1014" t="s">
        <v>4515</v>
      </c>
      <c r="E1014">
        <v>37.01</v>
      </c>
      <c r="F1014" t="s">
        <v>26</v>
      </c>
    </row>
    <row r="1015" spans="1:6">
      <c r="A1015">
        <v>202306</v>
      </c>
      <c r="B1015" s="6">
        <v>45099</v>
      </c>
      <c r="C1015" t="s">
        <v>4006</v>
      </c>
      <c r="D1015" t="s">
        <v>4017</v>
      </c>
      <c r="E1015">
        <v>94.59</v>
      </c>
      <c r="F1015" t="s">
        <v>28</v>
      </c>
    </row>
    <row r="1016" spans="1:6">
      <c r="A1016">
        <v>202306</v>
      </c>
      <c r="B1016" s="6">
        <v>45099</v>
      </c>
      <c r="C1016" t="s">
        <v>2916</v>
      </c>
      <c r="D1016" t="s">
        <v>4516</v>
      </c>
      <c r="E1016">
        <v>10.74</v>
      </c>
      <c r="F1016" t="s">
        <v>26</v>
      </c>
    </row>
    <row r="1017" spans="1:6">
      <c r="A1017">
        <v>202306</v>
      </c>
      <c r="B1017" s="6">
        <v>45099</v>
      </c>
      <c r="C1017" t="s">
        <v>2916</v>
      </c>
      <c r="D1017" t="s">
        <v>4517</v>
      </c>
      <c r="E1017">
        <v>5.34</v>
      </c>
      <c r="F1017" t="s">
        <v>40</v>
      </c>
    </row>
    <row r="1018" spans="1:6">
      <c r="A1018">
        <v>202306</v>
      </c>
      <c r="B1018" s="6">
        <v>45099</v>
      </c>
      <c r="C1018" t="s">
        <v>2916</v>
      </c>
      <c r="D1018" t="s">
        <v>4518</v>
      </c>
      <c r="E1018">
        <v>-106.2</v>
      </c>
      <c r="F1018" t="s">
        <v>21</v>
      </c>
    </row>
    <row r="1019" spans="1:6">
      <c r="A1019">
        <v>202306</v>
      </c>
      <c r="B1019" s="6">
        <v>45099</v>
      </c>
      <c r="C1019" t="s">
        <v>2916</v>
      </c>
      <c r="D1019" t="s">
        <v>4519</v>
      </c>
      <c r="E1019">
        <v>64.5</v>
      </c>
      <c r="F1019" t="s">
        <v>40</v>
      </c>
    </row>
    <row r="1020" spans="1:6">
      <c r="A1020">
        <v>202306</v>
      </c>
      <c r="B1020" s="6">
        <v>45100</v>
      </c>
      <c r="C1020" t="s">
        <v>2916</v>
      </c>
      <c r="D1020" t="s">
        <v>4520</v>
      </c>
      <c r="E1020">
        <v>125.07</v>
      </c>
      <c r="F1020" t="s">
        <v>43</v>
      </c>
    </row>
    <row r="1021" spans="1:6">
      <c r="A1021">
        <v>202306</v>
      </c>
      <c r="B1021" s="6">
        <v>45100</v>
      </c>
      <c r="C1021" t="s">
        <v>2916</v>
      </c>
      <c r="D1021" t="s">
        <v>4521</v>
      </c>
      <c r="E1021">
        <v>451.5</v>
      </c>
      <c r="F1021" t="s">
        <v>21</v>
      </c>
    </row>
    <row r="1022" spans="1:6">
      <c r="A1022">
        <v>202306</v>
      </c>
      <c r="B1022" s="6">
        <v>45100</v>
      </c>
      <c r="C1022" t="s">
        <v>2916</v>
      </c>
      <c r="D1022" t="s">
        <v>4522</v>
      </c>
      <c r="E1022">
        <v>130</v>
      </c>
      <c r="F1022" t="s">
        <v>21</v>
      </c>
    </row>
    <row r="1023" spans="1:6">
      <c r="A1023">
        <v>202306</v>
      </c>
      <c r="B1023" s="6">
        <v>45100</v>
      </c>
      <c r="C1023" t="s">
        <v>2916</v>
      </c>
      <c r="D1023" t="s">
        <v>4523</v>
      </c>
      <c r="E1023">
        <v>56.87</v>
      </c>
      <c r="F1023" t="s">
        <v>21</v>
      </c>
    </row>
    <row r="1024" spans="1:6">
      <c r="A1024">
        <v>202306</v>
      </c>
      <c r="B1024" s="6">
        <v>45101</v>
      </c>
      <c r="C1024" t="s">
        <v>4006</v>
      </c>
      <c r="D1024" t="s">
        <v>4524</v>
      </c>
      <c r="E1024">
        <v>15.81</v>
      </c>
      <c r="F1024" t="s">
        <v>26</v>
      </c>
    </row>
    <row r="1025" spans="1:6">
      <c r="A1025">
        <v>202306</v>
      </c>
      <c r="B1025" s="6">
        <v>45101</v>
      </c>
      <c r="C1025" t="s">
        <v>4006</v>
      </c>
      <c r="D1025" t="s">
        <v>4525</v>
      </c>
      <c r="E1025">
        <v>106.94</v>
      </c>
      <c r="F1025" t="s">
        <v>26</v>
      </c>
    </row>
    <row r="1026" spans="1:6">
      <c r="A1026">
        <v>202306</v>
      </c>
      <c r="B1026" s="6">
        <v>45102</v>
      </c>
      <c r="C1026" t="s">
        <v>2916</v>
      </c>
      <c r="D1026" t="s">
        <v>4526</v>
      </c>
      <c r="E1026">
        <v>268</v>
      </c>
      <c r="F1026" t="s">
        <v>21</v>
      </c>
    </row>
    <row r="1027" spans="1:6">
      <c r="A1027">
        <v>202306</v>
      </c>
      <c r="B1027" s="6">
        <v>45102</v>
      </c>
      <c r="C1027" t="s">
        <v>2916</v>
      </c>
      <c r="D1027" t="s">
        <v>4527</v>
      </c>
      <c r="E1027">
        <v>238</v>
      </c>
      <c r="F1027" t="s">
        <v>20</v>
      </c>
    </row>
    <row r="1028" spans="1:6">
      <c r="A1028">
        <v>202306</v>
      </c>
      <c r="B1028" s="6">
        <v>45102</v>
      </c>
      <c r="C1028" t="s">
        <v>2916</v>
      </c>
      <c r="D1028" t="s">
        <v>4528</v>
      </c>
      <c r="E1028">
        <v>26.3</v>
      </c>
      <c r="F1028" t="s">
        <v>43</v>
      </c>
    </row>
    <row r="1029" spans="1:6">
      <c r="A1029">
        <v>202306</v>
      </c>
      <c r="B1029" s="6">
        <v>45102</v>
      </c>
      <c r="C1029" t="s">
        <v>4006</v>
      </c>
      <c r="D1029" t="s">
        <v>4529</v>
      </c>
      <c r="E1029">
        <v>110.74</v>
      </c>
      <c r="F1029" t="s">
        <v>28</v>
      </c>
    </row>
    <row r="1030" spans="1:6">
      <c r="A1030">
        <v>202306</v>
      </c>
      <c r="B1030" s="6">
        <v>45102</v>
      </c>
      <c r="C1030" t="s">
        <v>2916</v>
      </c>
      <c r="D1030" t="s">
        <v>4530</v>
      </c>
      <c r="E1030">
        <v>-193.22</v>
      </c>
      <c r="F1030" t="s">
        <v>21</v>
      </c>
    </row>
    <row r="1031" spans="1:6">
      <c r="A1031">
        <v>202306</v>
      </c>
      <c r="B1031" s="6">
        <v>45102</v>
      </c>
      <c r="C1031" t="s">
        <v>2916</v>
      </c>
      <c r="D1031" t="s">
        <v>4531</v>
      </c>
      <c r="E1031">
        <v>7</v>
      </c>
      <c r="F1031" t="s">
        <v>26</v>
      </c>
    </row>
    <row r="1032" spans="1:6">
      <c r="A1032">
        <v>202306</v>
      </c>
      <c r="B1032" s="6">
        <v>45103</v>
      </c>
      <c r="C1032" t="s">
        <v>3932</v>
      </c>
      <c r="D1032" t="s">
        <v>38</v>
      </c>
      <c r="E1032">
        <v>6.97</v>
      </c>
      <c r="F1032" t="s">
        <v>38</v>
      </c>
    </row>
    <row r="1033" spans="1:6">
      <c r="A1033">
        <v>202306</v>
      </c>
      <c r="B1033" s="6">
        <v>45103</v>
      </c>
      <c r="C1033" t="s">
        <v>2916</v>
      </c>
      <c r="D1033" t="s">
        <v>4532</v>
      </c>
      <c r="E1033">
        <v>360.34</v>
      </c>
      <c r="F1033" t="s">
        <v>28</v>
      </c>
    </row>
    <row r="1034" spans="1:6">
      <c r="A1034">
        <v>202306</v>
      </c>
      <c r="B1034" s="6">
        <v>45103</v>
      </c>
      <c r="C1034" t="s">
        <v>4006</v>
      </c>
      <c r="D1034" t="s">
        <v>1353</v>
      </c>
      <c r="E1034">
        <v>26.24</v>
      </c>
      <c r="F1034" t="s">
        <v>26</v>
      </c>
    </row>
    <row r="1035" spans="1:6">
      <c r="A1035">
        <v>202306</v>
      </c>
      <c r="B1035" s="6">
        <v>45103</v>
      </c>
      <c r="C1035" t="s">
        <v>2916</v>
      </c>
      <c r="D1035" t="s">
        <v>1355</v>
      </c>
      <c r="E1035">
        <v>50</v>
      </c>
      <c r="F1035" t="s">
        <v>21</v>
      </c>
    </row>
    <row r="1036" spans="1:6">
      <c r="A1036">
        <v>202306</v>
      </c>
      <c r="B1036" s="6">
        <v>45103</v>
      </c>
      <c r="C1036" t="s">
        <v>2916</v>
      </c>
      <c r="D1036" t="s">
        <v>4415</v>
      </c>
      <c r="E1036">
        <v>738.03</v>
      </c>
      <c r="F1036" t="s">
        <v>31</v>
      </c>
    </row>
    <row r="1037" spans="1:6">
      <c r="A1037">
        <v>202306</v>
      </c>
      <c r="B1037" s="6">
        <v>45103</v>
      </c>
      <c r="C1037" t="s">
        <v>4006</v>
      </c>
      <c r="D1037" t="s">
        <v>1922</v>
      </c>
      <c r="E1037">
        <v>65.97</v>
      </c>
      <c r="F1037" t="s">
        <v>40</v>
      </c>
    </row>
    <row r="1038" spans="1:6">
      <c r="A1038">
        <v>202306</v>
      </c>
      <c r="B1038" s="6">
        <v>45103</v>
      </c>
      <c r="C1038" t="s">
        <v>2916</v>
      </c>
      <c r="D1038" t="s">
        <v>4404</v>
      </c>
      <c r="E1038">
        <v>500</v>
      </c>
      <c r="F1038" t="s">
        <v>9</v>
      </c>
    </row>
    <row r="1039" spans="1:6">
      <c r="A1039">
        <v>202306</v>
      </c>
      <c r="B1039" s="6">
        <v>45104</v>
      </c>
      <c r="C1039" t="s">
        <v>2916</v>
      </c>
      <c r="D1039" t="s">
        <v>4533</v>
      </c>
      <c r="E1039">
        <v>51.8</v>
      </c>
      <c r="F1039" t="s">
        <v>38</v>
      </c>
    </row>
    <row r="1040" spans="1:6">
      <c r="A1040">
        <v>202306</v>
      </c>
      <c r="B1040" s="6">
        <v>45104</v>
      </c>
      <c r="C1040" t="s">
        <v>2916</v>
      </c>
      <c r="D1040" t="s">
        <v>4534</v>
      </c>
      <c r="E1040">
        <v>74.959999999999994</v>
      </c>
      <c r="F1040" t="s">
        <v>38</v>
      </c>
    </row>
    <row r="1041" spans="1:6">
      <c r="A1041">
        <v>202306</v>
      </c>
      <c r="B1041" s="6">
        <v>45104</v>
      </c>
      <c r="C1041" t="s">
        <v>2916</v>
      </c>
      <c r="D1041" t="s">
        <v>4535</v>
      </c>
      <c r="E1041">
        <v>21.99</v>
      </c>
      <c r="F1041" t="s">
        <v>38</v>
      </c>
    </row>
    <row r="1042" spans="1:6">
      <c r="A1042">
        <v>202306</v>
      </c>
      <c r="B1042" s="6">
        <v>45104</v>
      </c>
      <c r="C1042" t="s">
        <v>2916</v>
      </c>
      <c r="D1042" t="s">
        <v>4536</v>
      </c>
      <c r="E1042">
        <v>129.07</v>
      </c>
      <c r="F1042" t="s">
        <v>28</v>
      </c>
    </row>
    <row r="1043" spans="1:6">
      <c r="A1043">
        <v>202306</v>
      </c>
      <c r="B1043" s="6">
        <v>45104</v>
      </c>
      <c r="C1043" t="s">
        <v>2916</v>
      </c>
      <c r="D1043" t="s">
        <v>4470</v>
      </c>
      <c r="E1043">
        <v>-29.8</v>
      </c>
      <c r="F1043" t="s">
        <v>9</v>
      </c>
    </row>
    <row r="1044" spans="1:6">
      <c r="A1044">
        <v>202306</v>
      </c>
      <c r="B1044" s="6">
        <v>45104</v>
      </c>
      <c r="C1044" t="s">
        <v>2916</v>
      </c>
      <c r="D1044" t="s">
        <v>4537</v>
      </c>
      <c r="E1044">
        <v>52</v>
      </c>
      <c r="F1044" t="s">
        <v>20</v>
      </c>
    </row>
    <row r="1045" spans="1:6">
      <c r="A1045">
        <v>202306</v>
      </c>
      <c r="B1045" s="6">
        <v>45104</v>
      </c>
      <c r="C1045" t="s">
        <v>2916</v>
      </c>
      <c r="D1045" t="s">
        <v>4538</v>
      </c>
      <c r="E1045">
        <v>1609.45</v>
      </c>
      <c r="F1045" t="s">
        <v>23</v>
      </c>
    </row>
    <row r="1046" spans="1:6">
      <c r="A1046">
        <v>202306</v>
      </c>
      <c r="B1046" s="6">
        <v>45105</v>
      </c>
      <c r="C1046" t="s">
        <v>2916</v>
      </c>
      <c r="D1046" t="s">
        <v>4539</v>
      </c>
      <c r="E1046">
        <v>144.69999999999999</v>
      </c>
      <c r="F1046" t="s">
        <v>38</v>
      </c>
    </row>
    <row r="1047" spans="1:6">
      <c r="A1047">
        <v>202306</v>
      </c>
      <c r="B1047" s="6">
        <v>45105</v>
      </c>
      <c r="C1047" t="s">
        <v>4006</v>
      </c>
      <c r="D1047" t="s">
        <v>4540</v>
      </c>
      <c r="E1047">
        <v>70.8</v>
      </c>
      <c r="F1047" t="s">
        <v>26</v>
      </c>
    </row>
    <row r="1048" spans="1:6">
      <c r="A1048">
        <v>202306</v>
      </c>
      <c r="B1048" s="6">
        <v>45105</v>
      </c>
      <c r="C1048" t="s">
        <v>4006</v>
      </c>
      <c r="D1048" t="s">
        <v>4541</v>
      </c>
      <c r="E1048">
        <v>27.81</v>
      </c>
      <c r="F1048" t="s">
        <v>26</v>
      </c>
    </row>
    <row r="1049" spans="1:6">
      <c r="A1049">
        <v>202306</v>
      </c>
      <c r="B1049" s="6">
        <v>45105</v>
      </c>
      <c r="C1049" t="s">
        <v>2916</v>
      </c>
      <c r="D1049" t="s">
        <v>4542</v>
      </c>
      <c r="E1049">
        <v>274</v>
      </c>
      <c r="F1049" t="s">
        <v>21</v>
      </c>
    </row>
    <row r="1050" spans="1:6">
      <c r="A1050">
        <v>202306</v>
      </c>
      <c r="B1050" s="6">
        <v>45105</v>
      </c>
      <c r="C1050" t="s">
        <v>4006</v>
      </c>
      <c r="D1050" t="s">
        <v>4543</v>
      </c>
      <c r="E1050">
        <v>36</v>
      </c>
      <c r="F1050" t="s">
        <v>9</v>
      </c>
    </row>
    <row r="1051" spans="1:6">
      <c r="A1051">
        <v>202306</v>
      </c>
      <c r="B1051" s="6">
        <v>45105</v>
      </c>
      <c r="C1051" t="s">
        <v>2916</v>
      </c>
      <c r="D1051" t="s">
        <v>1955</v>
      </c>
      <c r="E1051">
        <v>0.99</v>
      </c>
      <c r="F1051" t="s">
        <v>21</v>
      </c>
    </row>
    <row r="1052" spans="1:6">
      <c r="A1052">
        <v>202306</v>
      </c>
      <c r="B1052" s="6">
        <v>45105</v>
      </c>
      <c r="C1052" t="s">
        <v>2916</v>
      </c>
      <c r="D1052" t="s">
        <v>4544</v>
      </c>
      <c r="E1052">
        <v>10.41</v>
      </c>
      <c r="F1052" t="s">
        <v>26</v>
      </c>
    </row>
    <row r="1053" spans="1:6">
      <c r="A1053">
        <v>202306</v>
      </c>
      <c r="B1053" s="6">
        <v>45105</v>
      </c>
      <c r="C1053" t="s">
        <v>4006</v>
      </c>
      <c r="D1053" t="s">
        <v>4545</v>
      </c>
      <c r="E1053">
        <v>20.03</v>
      </c>
      <c r="F1053" t="s">
        <v>26</v>
      </c>
    </row>
    <row r="1054" spans="1:6">
      <c r="A1054">
        <v>202306</v>
      </c>
      <c r="B1054" s="6">
        <v>45106</v>
      </c>
      <c r="C1054" t="s">
        <v>3932</v>
      </c>
      <c r="D1054" t="s">
        <v>38</v>
      </c>
      <c r="E1054">
        <v>85.52</v>
      </c>
      <c r="F1054" t="s">
        <v>38</v>
      </c>
    </row>
    <row r="1055" spans="1:6">
      <c r="A1055">
        <v>202306</v>
      </c>
      <c r="B1055" s="6">
        <v>45106</v>
      </c>
      <c r="C1055" t="s">
        <v>3932</v>
      </c>
      <c r="D1055" t="s">
        <v>38</v>
      </c>
      <c r="E1055">
        <v>118.62</v>
      </c>
      <c r="F1055" t="s">
        <v>38</v>
      </c>
    </row>
    <row r="1056" spans="1:6">
      <c r="A1056">
        <v>202306</v>
      </c>
      <c r="B1056" s="6">
        <v>45106</v>
      </c>
      <c r="C1056" t="s">
        <v>3932</v>
      </c>
      <c r="D1056" t="s">
        <v>38</v>
      </c>
      <c r="E1056">
        <v>56.02</v>
      </c>
      <c r="F1056" t="s">
        <v>38</v>
      </c>
    </row>
    <row r="1057" spans="1:6">
      <c r="A1057">
        <v>202306</v>
      </c>
      <c r="B1057" s="6">
        <v>45106</v>
      </c>
      <c r="C1057" t="s">
        <v>2916</v>
      </c>
      <c r="D1057" t="s">
        <v>4546</v>
      </c>
      <c r="E1057">
        <v>-9.36</v>
      </c>
      <c r="F1057" t="s">
        <v>9</v>
      </c>
    </row>
    <row r="1058" spans="1:6">
      <c r="A1058">
        <v>202306</v>
      </c>
      <c r="B1058" s="6">
        <v>45106</v>
      </c>
      <c r="C1058" t="s">
        <v>2916</v>
      </c>
      <c r="D1058" t="s">
        <v>3072</v>
      </c>
      <c r="E1058">
        <v>3480</v>
      </c>
      <c r="F1058" t="s">
        <v>9</v>
      </c>
    </row>
    <row r="1059" spans="1:6">
      <c r="A1059">
        <v>202306</v>
      </c>
      <c r="B1059" s="6">
        <v>45106</v>
      </c>
      <c r="C1059" t="s">
        <v>4006</v>
      </c>
      <c r="D1059" t="s">
        <v>4547</v>
      </c>
      <c r="E1059">
        <v>312.82</v>
      </c>
      <c r="F1059" t="s">
        <v>9</v>
      </c>
    </row>
    <row r="1060" spans="1:6">
      <c r="A1060">
        <v>202306</v>
      </c>
      <c r="B1060" s="6">
        <v>45106</v>
      </c>
      <c r="C1060" t="s">
        <v>4006</v>
      </c>
      <c r="D1060" t="s">
        <v>4547</v>
      </c>
      <c r="E1060">
        <v>4.79</v>
      </c>
      <c r="F1060" t="s">
        <v>9</v>
      </c>
    </row>
    <row r="1061" spans="1:6">
      <c r="A1061">
        <v>202306</v>
      </c>
      <c r="B1061" s="6">
        <v>45106</v>
      </c>
      <c r="C1061" t="s">
        <v>2916</v>
      </c>
      <c r="D1061" t="s">
        <v>4548</v>
      </c>
      <c r="E1061">
        <v>217.41</v>
      </c>
      <c r="F1061" t="s">
        <v>21</v>
      </c>
    </row>
    <row r="1062" spans="1:6">
      <c r="A1062">
        <v>202306</v>
      </c>
      <c r="B1062" s="6">
        <v>45106</v>
      </c>
      <c r="C1062" t="s">
        <v>2916</v>
      </c>
      <c r="D1062" t="s">
        <v>4343</v>
      </c>
      <c r="E1062">
        <v>-3180.72</v>
      </c>
      <c r="F1062" t="s">
        <v>64</v>
      </c>
    </row>
    <row r="1063" spans="1:6">
      <c r="A1063">
        <v>202306</v>
      </c>
      <c r="B1063" s="6">
        <v>45106</v>
      </c>
      <c r="C1063" t="s">
        <v>2916</v>
      </c>
      <c r="D1063" t="s">
        <v>4549</v>
      </c>
      <c r="E1063">
        <v>49.16</v>
      </c>
      <c r="F1063" t="s">
        <v>21</v>
      </c>
    </row>
    <row r="1064" spans="1:6">
      <c r="A1064">
        <v>202306</v>
      </c>
      <c r="B1064" s="6">
        <v>45106</v>
      </c>
      <c r="C1064" t="s">
        <v>4006</v>
      </c>
      <c r="D1064" t="s">
        <v>4550</v>
      </c>
      <c r="E1064">
        <v>55.75</v>
      </c>
      <c r="F1064" t="s">
        <v>26</v>
      </c>
    </row>
    <row r="1065" spans="1:6">
      <c r="A1065">
        <v>202306</v>
      </c>
      <c r="B1065" s="6">
        <v>45106</v>
      </c>
      <c r="C1065" t="s">
        <v>4006</v>
      </c>
      <c r="D1065" t="s">
        <v>4551</v>
      </c>
      <c r="E1065">
        <v>35.06</v>
      </c>
      <c r="F1065" t="s">
        <v>26</v>
      </c>
    </row>
    <row r="1066" spans="1:6">
      <c r="A1066">
        <v>202306</v>
      </c>
      <c r="B1066" s="6">
        <v>45106</v>
      </c>
      <c r="C1066" t="s">
        <v>4006</v>
      </c>
      <c r="D1066" t="s">
        <v>4552</v>
      </c>
      <c r="E1066">
        <v>104.78</v>
      </c>
      <c r="F1066" t="s">
        <v>9</v>
      </c>
    </row>
    <row r="1067" spans="1:6">
      <c r="A1067">
        <v>202306</v>
      </c>
      <c r="B1067" s="6">
        <v>45106</v>
      </c>
      <c r="C1067" t="s">
        <v>2916</v>
      </c>
      <c r="D1067" t="s">
        <v>4553</v>
      </c>
      <c r="E1067">
        <v>265</v>
      </c>
      <c r="F1067" t="s">
        <v>20</v>
      </c>
    </row>
    <row r="1068" spans="1:6">
      <c r="A1068">
        <v>202306</v>
      </c>
      <c r="B1068" s="6">
        <v>45107</v>
      </c>
      <c r="C1068" t="s">
        <v>3932</v>
      </c>
      <c r="D1068" t="s">
        <v>38</v>
      </c>
      <c r="E1068">
        <v>37.65</v>
      </c>
      <c r="F1068" t="s">
        <v>38</v>
      </c>
    </row>
    <row r="1069" spans="1:6">
      <c r="A1069">
        <v>202306</v>
      </c>
      <c r="B1069" s="6">
        <v>45107</v>
      </c>
      <c r="C1069" t="s">
        <v>3932</v>
      </c>
      <c r="D1069" t="s">
        <v>3994</v>
      </c>
      <c r="E1069">
        <v>3.21</v>
      </c>
      <c r="F1069" t="s">
        <v>40</v>
      </c>
    </row>
    <row r="1070" spans="1:6">
      <c r="A1070">
        <v>202306</v>
      </c>
      <c r="B1070" s="6">
        <v>45107</v>
      </c>
      <c r="C1070" t="s">
        <v>3932</v>
      </c>
      <c r="D1070" t="s">
        <v>3994</v>
      </c>
      <c r="E1070">
        <v>3.2</v>
      </c>
      <c r="F1070" t="s">
        <v>40</v>
      </c>
    </row>
    <row r="1071" spans="1:6">
      <c r="A1071">
        <v>202306</v>
      </c>
      <c r="B1071" s="6">
        <v>45107</v>
      </c>
      <c r="C1071" t="s">
        <v>2916</v>
      </c>
      <c r="D1071" t="s">
        <v>4554</v>
      </c>
      <c r="E1071">
        <v>-48.56</v>
      </c>
      <c r="F1071" t="s">
        <v>16</v>
      </c>
    </row>
    <row r="1072" spans="1:6">
      <c r="A1072">
        <v>202306</v>
      </c>
      <c r="B1072" s="6">
        <v>45107</v>
      </c>
      <c r="C1072" t="s">
        <v>4006</v>
      </c>
      <c r="D1072" t="s">
        <v>4555</v>
      </c>
      <c r="E1072">
        <v>20.57</v>
      </c>
      <c r="F1072" t="s">
        <v>26</v>
      </c>
    </row>
    <row r="1073" spans="1:6">
      <c r="A1073">
        <v>202306</v>
      </c>
      <c r="B1073" s="6">
        <v>45107</v>
      </c>
      <c r="C1073" t="s">
        <v>4006</v>
      </c>
      <c r="D1073" t="s">
        <v>916</v>
      </c>
      <c r="E1073">
        <v>277.95</v>
      </c>
      <c r="F1073" t="s">
        <v>9</v>
      </c>
    </row>
    <row r="1074" spans="1:6">
      <c r="A1074">
        <v>202306</v>
      </c>
      <c r="B1074" s="6">
        <v>45107</v>
      </c>
      <c r="C1074" t="s">
        <v>3932</v>
      </c>
      <c r="D1074" t="s">
        <v>3988</v>
      </c>
      <c r="E1074">
        <v>-366.15</v>
      </c>
      <c r="F1074" t="s">
        <v>9</v>
      </c>
    </row>
    <row r="1075" spans="1:6">
      <c r="A1075">
        <v>202306</v>
      </c>
      <c r="B1075" s="6">
        <v>45107</v>
      </c>
      <c r="C1075" t="s">
        <v>4006</v>
      </c>
      <c r="D1075" t="s">
        <v>4556</v>
      </c>
      <c r="E1075">
        <v>3.82</v>
      </c>
      <c r="F1075" t="s">
        <v>26</v>
      </c>
    </row>
    <row r="1076" spans="1:6">
      <c r="A1076">
        <v>202306</v>
      </c>
      <c r="B1076" s="6">
        <v>45107</v>
      </c>
      <c r="C1076" t="s">
        <v>4006</v>
      </c>
      <c r="D1076" t="s">
        <v>4240</v>
      </c>
      <c r="E1076">
        <v>-1948.26</v>
      </c>
      <c r="F1076" t="s">
        <v>9</v>
      </c>
    </row>
    <row r="1077" spans="1:6">
      <c r="A1077">
        <v>202306</v>
      </c>
      <c r="B1077" s="6">
        <v>45107</v>
      </c>
      <c r="C1077" t="s">
        <v>2916</v>
      </c>
      <c r="D1077" t="s">
        <v>4561</v>
      </c>
      <c r="E1077">
        <v>-6321.76</v>
      </c>
      <c r="F1077" t="s">
        <v>9</v>
      </c>
    </row>
    <row r="1078" spans="1:6">
      <c r="A1078">
        <v>202306</v>
      </c>
      <c r="B1078" s="6">
        <v>45107</v>
      </c>
      <c r="C1078" t="s">
        <v>2916</v>
      </c>
      <c r="D1078" t="s">
        <v>4557</v>
      </c>
      <c r="E1078">
        <v>5.91</v>
      </c>
      <c r="F1078" t="s">
        <v>21</v>
      </c>
    </row>
    <row r="1079" spans="1:6">
      <c r="A1079">
        <v>202306</v>
      </c>
      <c r="B1079" s="6">
        <v>45107</v>
      </c>
      <c r="C1079" t="s">
        <v>2916</v>
      </c>
      <c r="D1079" t="s">
        <v>1958</v>
      </c>
      <c r="E1079">
        <v>57.47</v>
      </c>
      <c r="F1079" t="s">
        <v>21</v>
      </c>
    </row>
    <row r="1080" spans="1:6">
      <c r="A1080">
        <v>202306</v>
      </c>
      <c r="B1080" s="6">
        <v>45107</v>
      </c>
      <c r="C1080" t="s">
        <v>4006</v>
      </c>
      <c r="D1080" t="s">
        <v>4558</v>
      </c>
      <c r="E1080">
        <v>44.42</v>
      </c>
      <c r="F1080" t="s">
        <v>9</v>
      </c>
    </row>
    <row r="1081" spans="1:6">
      <c r="A1081">
        <v>202306</v>
      </c>
      <c r="B1081" s="6">
        <v>45107</v>
      </c>
      <c r="C1081" t="s">
        <v>4006</v>
      </c>
      <c r="D1081" t="s">
        <v>4559</v>
      </c>
      <c r="E1081">
        <v>28.42</v>
      </c>
      <c r="F1081" t="s">
        <v>26</v>
      </c>
    </row>
    <row r="1082" spans="1:6">
      <c r="A1082">
        <v>202306</v>
      </c>
      <c r="B1082" s="6">
        <v>45107</v>
      </c>
      <c r="C1082" t="s">
        <v>2916</v>
      </c>
      <c r="D1082" t="s">
        <v>4560</v>
      </c>
      <c r="E1082">
        <v>203.95</v>
      </c>
      <c r="F1082" t="s">
        <v>9</v>
      </c>
    </row>
    <row r="1083" spans="1:6">
      <c r="A1083">
        <v>202306</v>
      </c>
      <c r="B1083" s="6">
        <v>45107</v>
      </c>
      <c r="C1083" t="s">
        <v>2916</v>
      </c>
      <c r="D1083" t="s">
        <v>4293</v>
      </c>
      <c r="E1083">
        <v>6321.76</v>
      </c>
      <c r="F1083" t="s">
        <v>9</v>
      </c>
    </row>
    <row r="1084" spans="1:6">
      <c r="A1084">
        <v>202307</v>
      </c>
      <c r="B1084" s="6">
        <v>45108</v>
      </c>
      <c r="C1084" t="s">
        <v>4006</v>
      </c>
      <c r="D1084" t="s">
        <v>703</v>
      </c>
      <c r="E1084">
        <v>368.8</v>
      </c>
      <c r="F1084" t="s">
        <v>43</v>
      </c>
    </row>
    <row r="1085" spans="1:6">
      <c r="A1085">
        <v>202307</v>
      </c>
      <c r="B1085" s="6">
        <v>45108</v>
      </c>
      <c r="C1085" t="s">
        <v>4006</v>
      </c>
      <c r="D1085" t="s">
        <v>4562</v>
      </c>
      <c r="E1085">
        <v>72.47</v>
      </c>
      <c r="F1085" t="s">
        <v>26</v>
      </c>
    </row>
    <row r="1086" spans="1:6">
      <c r="A1086">
        <v>202307</v>
      </c>
      <c r="B1086" s="6">
        <v>45108</v>
      </c>
      <c r="C1086" t="s">
        <v>2916</v>
      </c>
      <c r="D1086" t="s">
        <v>4563</v>
      </c>
      <c r="E1086">
        <v>618.65</v>
      </c>
      <c r="F1086" t="s">
        <v>11</v>
      </c>
    </row>
    <row r="1087" spans="1:6">
      <c r="A1087">
        <v>202307</v>
      </c>
      <c r="B1087" s="6">
        <v>45109</v>
      </c>
      <c r="C1087" t="s">
        <v>4564</v>
      </c>
      <c r="D1087" t="s">
        <v>4565</v>
      </c>
      <c r="E1087">
        <v>5.36</v>
      </c>
      <c r="F1087" t="s">
        <v>38</v>
      </c>
    </row>
    <row r="1088" spans="1:6">
      <c r="A1088">
        <v>202307</v>
      </c>
      <c r="B1088" s="6">
        <v>45109</v>
      </c>
      <c r="C1088" t="s">
        <v>4566</v>
      </c>
      <c r="D1088" t="s">
        <v>4567</v>
      </c>
      <c r="E1088">
        <v>-268</v>
      </c>
      <c r="F1088" t="s">
        <v>38</v>
      </c>
    </row>
    <row r="1089" spans="1:6">
      <c r="A1089">
        <v>202307</v>
      </c>
      <c r="B1089" s="6">
        <v>45109</v>
      </c>
      <c r="C1089" t="s">
        <v>4568</v>
      </c>
      <c r="D1089" t="s">
        <v>4569</v>
      </c>
      <c r="E1089">
        <v>-128</v>
      </c>
      <c r="F1089" t="s">
        <v>21</v>
      </c>
    </row>
    <row r="1090" spans="1:6">
      <c r="A1090">
        <v>202307</v>
      </c>
      <c r="B1090" s="6">
        <v>45109</v>
      </c>
      <c r="C1090" t="s">
        <v>4570</v>
      </c>
      <c r="D1090" t="s">
        <v>4571</v>
      </c>
      <c r="E1090">
        <v>11.34</v>
      </c>
      <c r="F1090" t="s">
        <v>21</v>
      </c>
    </row>
    <row r="1091" spans="1:6">
      <c r="A1091">
        <v>202307</v>
      </c>
      <c r="B1091" s="6">
        <v>45109</v>
      </c>
      <c r="C1091" t="s">
        <v>4572</v>
      </c>
      <c r="D1091" t="s">
        <v>4573</v>
      </c>
      <c r="E1091">
        <v>41.25</v>
      </c>
      <c r="F1091" t="s">
        <v>23</v>
      </c>
    </row>
    <row r="1092" spans="1:6">
      <c r="A1092">
        <v>202307</v>
      </c>
      <c r="B1092" s="6">
        <v>45110</v>
      </c>
      <c r="C1092" t="s">
        <v>4006</v>
      </c>
      <c r="D1092" t="s">
        <v>4574</v>
      </c>
      <c r="E1092">
        <v>24.74</v>
      </c>
      <c r="F1092" t="s">
        <v>26</v>
      </c>
    </row>
    <row r="1093" spans="1:6">
      <c r="A1093">
        <v>202307</v>
      </c>
      <c r="B1093" s="6">
        <v>45110</v>
      </c>
      <c r="C1093" t="s">
        <v>2916</v>
      </c>
      <c r="D1093" t="s">
        <v>1458</v>
      </c>
      <c r="E1093">
        <v>1948.26</v>
      </c>
      <c r="F1093" t="s">
        <v>9</v>
      </c>
    </row>
    <row r="1094" spans="1:6">
      <c r="A1094">
        <v>202307</v>
      </c>
      <c r="B1094" s="6">
        <v>45110</v>
      </c>
      <c r="C1094" t="s">
        <v>2916</v>
      </c>
      <c r="D1094" t="s">
        <v>1460</v>
      </c>
      <c r="E1094">
        <v>2606.27</v>
      </c>
      <c r="F1094" t="s">
        <v>5</v>
      </c>
    </row>
    <row r="1095" spans="1:6">
      <c r="A1095">
        <v>202307</v>
      </c>
      <c r="B1095" s="6">
        <v>45110</v>
      </c>
      <c r="C1095" t="s">
        <v>2916</v>
      </c>
      <c r="D1095" t="s">
        <v>1464</v>
      </c>
      <c r="E1095">
        <v>366.15</v>
      </c>
      <c r="F1095" t="s">
        <v>9</v>
      </c>
    </row>
    <row r="1096" spans="1:6">
      <c r="A1096">
        <v>202307</v>
      </c>
      <c r="B1096" s="6">
        <v>45110</v>
      </c>
      <c r="C1096" t="s">
        <v>4575</v>
      </c>
      <c r="D1096" t="s">
        <v>4576</v>
      </c>
      <c r="E1096">
        <v>9.31</v>
      </c>
      <c r="F1096" t="s">
        <v>28</v>
      </c>
    </row>
    <row r="1097" spans="1:6">
      <c r="A1097">
        <v>202307</v>
      </c>
      <c r="B1097" s="6">
        <v>45110</v>
      </c>
      <c r="C1097" t="s">
        <v>2916</v>
      </c>
      <c r="D1097" t="s">
        <v>4577</v>
      </c>
      <c r="E1097">
        <v>500</v>
      </c>
      <c r="F1097" t="s">
        <v>61</v>
      </c>
    </row>
    <row r="1098" spans="1:6">
      <c r="A1098">
        <v>202307</v>
      </c>
      <c r="B1098" s="6">
        <v>45112</v>
      </c>
      <c r="C1098" t="s">
        <v>3932</v>
      </c>
      <c r="D1098" t="s">
        <v>38</v>
      </c>
      <c r="E1098">
        <v>29.25</v>
      </c>
      <c r="F1098" t="s">
        <v>38</v>
      </c>
    </row>
    <row r="1099" spans="1:6">
      <c r="A1099">
        <v>202307</v>
      </c>
      <c r="B1099" s="6">
        <v>45112</v>
      </c>
      <c r="C1099" t="s">
        <v>3932</v>
      </c>
      <c r="D1099" t="s">
        <v>38</v>
      </c>
      <c r="E1099">
        <v>48.86</v>
      </c>
      <c r="F1099" t="s">
        <v>41</v>
      </c>
    </row>
    <row r="1100" spans="1:6">
      <c r="A1100">
        <v>202307</v>
      </c>
      <c r="B1100" s="6">
        <v>45112</v>
      </c>
      <c r="C1100" t="s">
        <v>4578</v>
      </c>
      <c r="D1100" t="s">
        <v>4579</v>
      </c>
      <c r="E1100">
        <v>143.79</v>
      </c>
      <c r="F1100" t="s">
        <v>38</v>
      </c>
    </row>
    <row r="1101" spans="1:6">
      <c r="A1101">
        <v>202307</v>
      </c>
      <c r="B1101" s="6">
        <v>45112</v>
      </c>
      <c r="C1101" t="s">
        <v>4580</v>
      </c>
      <c r="D1101" t="s">
        <v>4581</v>
      </c>
      <c r="E1101">
        <v>-91.5</v>
      </c>
      <c r="F1101" t="s">
        <v>21</v>
      </c>
    </row>
    <row r="1102" spans="1:6">
      <c r="A1102">
        <v>202307</v>
      </c>
      <c r="B1102" s="6">
        <v>45112</v>
      </c>
      <c r="C1102" t="s">
        <v>4582</v>
      </c>
      <c r="D1102" t="s">
        <v>4583</v>
      </c>
      <c r="E1102">
        <v>60</v>
      </c>
      <c r="F1102" t="s">
        <v>21</v>
      </c>
    </row>
    <row r="1103" spans="1:6">
      <c r="A1103">
        <v>202307</v>
      </c>
      <c r="B1103" s="6">
        <v>45112</v>
      </c>
      <c r="C1103" t="s">
        <v>4584</v>
      </c>
      <c r="D1103" t="s">
        <v>4585</v>
      </c>
      <c r="E1103">
        <v>140.07</v>
      </c>
      <c r="F1103" t="s">
        <v>28</v>
      </c>
    </row>
    <row r="1104" spans="1:6">
      <c r="A1104">
        <v>202307</v>
      </c>
      <c r="B1104" s="6">
        <v>45113</v>
      </c>
      <c r="C1104" t="s">
        <v>4586</v>
      </c>
      <c r="D1104" t="s">
        <v>4587</v>
      </c>
      <c r="E1104">
        <v>161.01</v>
      </c>
      <c r="F1104" t="s">
        <v>21</v>
      </c>
    </row>
    <row r="1105" spans="1:6">
      <c r="A1105">
        <v>202307</v>
      </c>
      <c r="B1105" s="6">
        <v>45113</v>
      </c>
      <c r="C1105" t="s">
        <v>4588</v>
      </c>
      <c r="D1105" t="s">
        <v>4589</v>
      </c>
      <c r="E1105">
        <v>59.62</v>
      </c>
      <c r="F1105" t="s">
        <v>23</v>
      </c>
    </row>
    <row r="1106" spans="1:6">
      <c r="A1106">
        <v>202307</v>
      </c>
      <c r="B1106" s="6">
        <v>45113</v>
      </c>
      <c r="C1106" t="s">
        <v>4590</v>
      </c>
      <c r="D1106" t="s">
        <v>4591</v>
      </c>
      <c r="E1106">
        <v>1.89</v>
      </c>
      <c r="F1106" t="s">
        <v>23</v>
      </c>
    </row>
    <row r="1107" spans="1:6">
      <c r="A1107">
        <v>202307</v>
      </c>
      <c r="B1107" s="6">
        <v>45113</v>
      </c>
      <c r="C1107" t="s">
        <v>4592</v>
      </c>
      <c r="D1107" t="s">
        <v>4593</v>
      </c>
      <c r="E1107">
        <v>92.72</v>
      </c>
      <c r="F1107" t="s">
        <v>21</v>
      </c>
    </row>
    <row r="1108" spans="1:6">
      <c r="A1108">
        <v>202307</v>
      </c>
      <c r="B1108" s="6">
        <v>45113</v>
      </c>
      <c r="C1108" t="s">
        <v>2916</v>
      </c>
      <c r="D1108" t="s">
        <v>1958</v>
      </c>
      <c r="E1108">
        <v>125</v>
      </c>
      <c r="F1108" t="s">
        <v>21</v>
      </c>
    </row>
    <row r="1109" spans="1:6">
      <c r="A1109">
        <v>202307</v>
      </c>
      <c r="B1109" s="6">
        <v>45113</v>
      </c>
      <c r="C1109" t="s">
        <v>2916</v>
      </c>
      <c r="D1109" t="s">
        <v>4594</v>
      </c>
      <c r="E1109">
        <v>330</v>
      </c>
      <c r="F1109" t="s">
        <v>20</v>
      </c>
    </row>
    <row r="1110" spans="1:6">
      <c r="A1110">
        <v>202307</v>
      </c>
      <c r="B1110" s="6">
        <v>45114</v>
      </c>
      <c r="C1110" t="s">
        <v>2916</v>
      </c>
      <c r="D1110" t="s">
        <v>404</v>
      </c>
      <c r="E1110">
        <v>-2434.23</v>
      </c>
      <c r="F1110" t="s">
        <v>66</v>
      </c>
    </row>
    <row r="1111" spans="1:6">
      <c r="A1111">
        <v>202307</v>
      </c>
      <c r="B1111" s="6">
        <v>45114</v>
      </c>
      <c r="C1111" t="s">
        <v>4006</v>
      </c>
      <c r="D1111" t="s">
        <v>684</v>
      </c>
      <c r="E1111">
        <v>128.58000000000001</v>
      </c>
      <c r="F1111" t="s">
        <v>28</v>
      </c>
    </row>
    <row r="1112" spans="1:6">
      <c r="A1112">
        <v>202307</v>
      </c>
      <c r="B1112" s="6">
        <v>45114</v>
      </c>
      <c r="C1112" t="s">
        <v>2916</v>
      </c>
      <c r="D1112" t="s">
        <v>4595</v>
      </c>
      <c r="E1112">
        <v>-1201.23</v>
      </c>
      <c r="F1112" t="s">
        <v>64</v>
      </c>
    </row>
    <row r="1113" spans="1:6">
      <c r="A1113">
        <v>202307</v>
      </c>
      <c r="B1113" s="6">
        <v>45114</v>
      </c>
      <c r="C1113" t="s">
        <v>4596</v>
      </c>
      <c r="D1113" t="s">
        <v>4597</v>
      </c>
      <c r="E1113">
        <v>-340</v>
      </c>
      <c r="F1113" t="s">
        <v>21</v>
      </c>
    </row>
    <row r="1114" spans="1:6">
      <c r="A1114">
        <v>202307</v>
      </c>
      <c r="B1114" s="6">
        <v>45114</v>
      </c>
      <c r="C1114" t="s">
        <v>4006</v>
      </c>
      <c r="D1114" t="s">
        <v>4598</v>
      </c>
      <c r="E1114">
        <v>234.92</v>
      </c>
      <c r="F1114" t="s">
        <v>26</v>
      </c>
    </row>
    <row r="1115" spans="1:6">
      <c r="A1115">
        <v>202307</v>
      </c>
      <c r="B1115" s="6">
        <v>45115</v>
      </c>
      <c r="C1115" t="s">
        <v>3932</v>
      </c>
      <c r="D1115" t="s">
        <v>38</v>
      </c>
      <c r="E1115">
        <v>10.73</v>
      </c>
      <c r="F1115" t="s">
        <v>41</v>
      </c>
    </row>
    <row r="1116" spans="1:6">
      <c r="A1116">
        <v>202307</v>
      </c>
      <c r="B1116" s="6">
        <v>45116</v>
      </c>
      <c r="C1116" t="s">
        <v>4599</v>
      </c>
      <c r="D1116" t="s">
        <v>4600</v>
      </c>
      <c r="E1116">
        <v>12.87</v>
      </c>
      <c r="F1116" t="s">
        <v>38</v>
      </c>
    </row>
    <row r="1117" spans="1:6">
      <c r="A1117">
        <v>202307</v>
      </c>
      <c r="B1117" s="6">
        <v>45116</v>
      </c>
      <c r="C1117" t="s">
        <v>4006</v>
      </c>
      <c r="D1117" t="s">
        <v>785</v>
      </c>
      <c r="E1117">
        <v>52.82</v>
      </c>
      <c r="F1117" t="s">
        <v>26</v>
      </c>
    </row>
    <row r="1118" spans="1:6">
      <c r="A1118">
        <v>202307</v>
      </c>
      <c r="B1118" s="6">
        <v>45116</v>
      </c>
      <c r="C1118" t="s">
        <v>4601</v>
      </c>
      <c r="D1118" t="s">
        <v>4602</v>
      </c>
      <c r="E1118">
        <v>28.98</v>
      </c>
      <c r="F1118" t="s">
        <v>23</v>
      </c>
    </row>
    <row r="1119" spans="1:6">
      <c r="A1119">
        <v>202307</v>
      </c>
      <c r="B1119" s="6">
        <v>45116</v>
      </c>
      <c r="C1119" t="s">
        <v>4603</v>
      </c>
      <c r="D1119" t="s">
        <v>4604</v>
      </c>
      <c r="E1119">
        <v>47.25</v>
      </c>
      <c r="F1119" t="s">
        <v>34</v>
      </c>
    </row>
    <row r="1120" spans="1:6">
      <c r="A1120">
        <v>202307</v>
      </c>
      <c r="B1120" s="6">
        <v>45117</v>
      </c>
      <c r="C1120" t="s">
        <v>4605</v>
      </c>
      <c r="D1120" t="s">
        <v>4606</v>
      </c>
      <c r="E1120">
        <v>48.54</v>
      </c>
      <c r="F1120" t="s">
        <v>28</v>
      </c>
    </row>
    <row r="1121" spans="1:6">
      <c r="A1121">
        <v>202307</v>
      </c>
      <c r="B1121" s="6">
        <v>45117</v>
      </c>
      <c r="C1121" t="s">
        <v>4607</v>
      </c>
      <c r="D1121" t="s">
        <v>4608</v>
      </c>
      <c r="E1121">
        <v>60.4</v>
      </c>
      <c r="F1121" t="s">
        <v>28</v>
      </c>
    </row>
    <row r="1122" spans="1:6">
      <c r="A1122">
        <v>202307</v>
      </c>
      <c r="B1122" s="6">
        <v>45117</v>
      </c>
      <c r="C1122" t="s">
        <v>4609</v>
      </c>
      <c r="D1122" t="s">
        <v>4610</v>
      </c>
      <c r="E1122">
        <v>70.86</v>
      </c>
      <c r="F1122" t="s">
        <v>31</v>
      </c>
    </row>
    <row r="1123" spans="1:6">
      <c r="A1123">
        <v>202307</v>
      </c>
      <c r="B1123" s="6">
        <v>45118</v>
      </c>
      <c r="C1123" t="s">
        <v>4611</v>
      </c>
      <c r="D1123" t="s">
        <v>4612</v>
      </c>
      <c r="E1123">
        <v>74.92</v>
      </c>
      <c r="F1123" t="s">
        <v>38</v>
      </c>
    </row>
    <row r="1124" spans="1:6">
      <c r="A1124">
        <v>202307</v>
      </c>
      <c r="B1124" s="6">
        <v>45118</v>
      </c>
      <c r="C1124" t="s">
        <v>4006</v>
      </c>
      <c r="D1124" t="s">
        <v>4613</v>
      </c>
      <c r="E1124">
        <v>748</v>
      </c>
      <c r="F1124" t="s">
        <v>21</v>
      </c>
    </row>
    <row r="1125" spans="1:6">
      <c r="A1125">
        <v>202307</v>
      </c>
      <c r="B1125" s="6">
        <v>45118</v>
      </c>
      <c r="C1125" t="s">
        <v>2916</v>
      </c>
      <c r="D1125" t="s">
        <v>4614</v>
      </c>
      <c r="E1125">
        <v>265</v>
      </c>
      <c r="F1125" t="s">
        <v>20</v>
      </c>
    </row>
    <row r="1126" spans="1:6">
      <c r="A1126">
        <v>202307</v>
      </c>
      <c r="B1126" s="6">
        <v>45118</v>
      </c>
      <c r="C1126" t="s">
        <v>4615</v>
      </c>
      <c r="D1126" t="s">
        <v>4616</v>
      </c>
      <c r="E1126">
        <v>8</v>
      </c>
      <c r="F1126" t="s">
        <v>7</v>
      </c>
    </row>
    <row r="1127" spans="1:6">
      <c r="A1127">
        <v>202307</v>
      </c>
      <c r="B1127" s="6">
        <v>45119</v>
      </c>
      <c r="C1127" t="s">
        <v>2916</v>
      </c>
      <c r="D1127" t="s">
        <v>4470</v>
      </c>
      <c r="E1127">
        <v>-141.88999999999999</v>
      </c>
      <c r="F1127" t="s">
        <v>48</v>
      </c>
    </row>
    <row r="1128" spans="1:6">
      <c r="A1128">
        <v>202307</v>
      </c>
      <c r="B1128" s="6">
        <v>45119</v>
      </c>
      <c r="C1128" t="s">
        <v>4006</v>
      </c>
      <c r="D1128" t="s">
        <v>703</v>
      </c>
      <c r="E1128">
        <v>582.79999999999995</v>
      </c>
      <c r="F1128" t="s">
        <v>9</v>
      </c>
    </row>
    <row r="1129" spans="1:6">
      <c r="A1129">
        <v>202307</v>
      </c>
      <c r="B1129" s="6">
        <v>45119</v>
      </c>
      <c r="C1129" t="s">
        <v>4624</v>
      </c>
      <c r="D1129" t="s">
        <v>4625</v>
      </c>
      <c r="E1129">
        <v>141.88999999999999</v>
      </c>
      <c r="F1129" t="s">
        <v>48</v>
      </c>
    </row>
    <row r="1130" spans="1:6">
      <c r="A1130">
        <v>202307</v>
      </c>
      <c r="B1130" s="6">
        <v>45119</v>
      </c>
      <c r="C1130" t="s">
        <v>4618</v>
      </c>
      <c r="D1130" t="s">
        <v>4619</v>
      </c>
      <c r="E1130">
        <v>55</v>
      </c>
      <c r="F1130" t="s">
        <v>21</v>
      </c>
    </row>
    <row r="1131" spans="1:6">
      <c r="A1131">
        <v>202307</v>
      </c>
      <c r="B1131" s="6">
        <v>45119</v>
      </c>
      <c r="C1131" t="s">
        <v>4620</v>
      </c>
      <c r="D1131" t="s">
        <v>4621</v>
      </c>
      <c r="E1131">
        <v>5.99</v>
      </c>
      <c r="F1131" t="s">
        <v>21</v>
      </c>
    </row>
    <row r="1132" spans="1:6">
      <c r="A1132">
        <v>202307</v>
      </c>
      <c r="B1132" s="6">
        <v>45119</v>
      </c>
      <c r="C1132" t="s">
        <v>4622</v>
      </c>
      <c r="D1132" t="s">
        <v>4623</v>
      </c>
      <c r="E1132">
        <v>4.08</v>
      </c>
      <c r="F1132" t="s">
        <v>21</v>
      </c>
    </row>
    <row r="1133" spans="1:6">
      <c r="A1133">
        <v>202307</v>
      </c>
      <c r="B1133" s="6">
        <v>45119</v>
      </c>
      <c r="C1133" t="s">
        <v>2916</v>
      </c>
      <c r="D1133" t="s">
        <v>1470</v>
      </c>
      <c r="E1133">
        <v>201.25</v>
      </c>
      <c r="F1133" t="s">
        <v>7</v>
      </c>
    </row>
    <row r="1134" spans="1:6">
      <c r="A1134">
        <v>202307</v>
      </c>
      <c r="B1134" s="6">
        <v>45119</v>
      </c>
      <c r="C1134" t="s">
        <v>4006</v>
      </c>
      <c r="D1134" t="s">
        <v>1925</v>
      </c>
      <c r="E1134">
        <v>41.73</v>
      </c>
      <c r="F1134" t="s">
        <v>28</v>
      </c>
    </row>
    <row r="1135" spans="1:6">
      <c r="A1135">
        <v>202307</v>
      </c>
      <c r="B1135" s="6">
        <v>45120</v>
      </c>
      <c r="C1135" t="s">
        <v>4626</v>
      </c>
      <c r="D1135" t="s">
        <v>4627</v>
      </c>
      <c r="E1135">
        <v>-31.33</v>
      </c>
      <c r="F1135" t="s">
        <v>38</v>
      </c>
    </row>
    <row r="1136" spans="1:6">
      <c r="A1136">
        <v>202307</v>
      </c>
      <c r="B1136" s="6">
        <v>45120</v>
      </c>
      <c r="C1136" t="s">
        <v>4628</v>
      </c>
      <c r="D1136" t="s">
        <v>4629</v>
      </c>
      <c r="E1136">
        <v>-14.99</v>
      </c>
      <c r="F1136" t="s">
        <v>38</v>
      </c>
    </row>
    <row r="1137" spans="1:6">
      <c r="A1137">
        <v>202307</v>
      </c>
      <c r="B1137" s="6">
        <v>45120</v>
      </c>
      <c r="C1137" t="s">
        <v>4630</v>
      </c>
      <c r="D1137" t="s">
        <v>4631</v>
      </c>
      <c r="E1137">
        <v>-32.979999999999997</v>
      </c>
      <c r="F1137" t="s">
        <v>38</v>
      </c>
    </row>
    <row r="1138" spans="1:6">
      <c r="A1138">
        <v>202307</v>
      </c>
      <c r="B1138" s="6">
        <v>45120</v>
      </c>
      <c r="C1138" t="s">
        <v>4632</v>
      </c>
      <c r="D1138" t="s">
        <v>4633</v>
      </c>
      <c r="E1138">
        <v>-21.99</v>
      </c>
      <c r="F1138" t="s">
        <v>38</v>
      </c>
    </row>
    <row r="1139" spans="1:6">
      <c r="A1139">
        <v>202307</v>
      </c>
      <c r="B1139" s="6">
        <v>45120</v>
      </c>
      <c r="C1139" t="s">
        <v>4634</v>
      </c>
      <c r="D1139" t="s">
        <v>4635</v>
      </c>
      <c r="E1139">
        <v>-31.33</v>
      </c>
      <c r="F1139" t="s">
        <v>38</v>
      </c>
    </row>
    <row r="1140" spans="1:6">
      <c r="A1140">
        <v>202307</v>
      </c>
      <c r="B1140" s="6">
        <v>45120</v>
      </c>
      <c r="C1140" t="s">
        <v>4636</v>
      </c>
      <c r="D1140" t="s">
        <v>4637</v>
      </c>
      <c r="E1140">
        <v>-17.170000000000002</v>
      </c>
      <c r="F1140" t="s">
        <v>38</v>
      </c>
    </row>
    <row r="1141" spans="1:6">
      <c r="A1141">
        <v>202307</v>
      </c>
      <c r="B1141" s="6">
        <v>45120</v>
      </c>
      <c r="C1141" t="s">
        <v>4638</v>
      </c>
      <c r="D1141" t="s">
        <v>4639</v>
      </c>
      <c r="E1141">
        <v>-39.99</v>
      </c>
      <c r="F1141" t="s">
        <v>38</v>
      </c>
    </row>
    <row r="1142" spans="1:6">
      <c r="A1142">
        <v>202307</v>
      </c>
      <c r="B1142" s="6">
        <v>45120</v>
      </c>
      <c r="C1142" t="s">
        <v>4640</v>
      </c>
      <c r="D1142" t="s">
        <v>4641</v>
      </c>
      <c r="E1142">
        <v>45</v>
      </c>
      <c r="F1142" t="s">
        <v>7</v>
      </c>
    </row>
    <row r="1143" spans="1:6">
      <c r="A1143">
        <v>202307</v>
      </c>
      <c r="B1143" s="6">
        <v>45120</v>
      </c>
      <c r="C1143" t="s">
        <v>2916</v>
      </c>
      <c r="D1143" t="s">
        <v>4642</v>
      </c>
      <c r="E1143">
        <v>64.25</v>
      </c>
      <c r="F1143" t="s">
        <v>43</v>
      </c>
    </row>
    <row r="1144" spans="1:6">
      <c r="A1144">
        <v>202307</v>
      </c>
      <c r="B1144" s="6">
        <v>45120</v>
      </c>
      <c r="C1144" t="s">
        <v>4006</v>
      </c>
      <c r="D1144" t="s">
        <v>4085</v>
      </c>
      <c r="E1144">
        <v>116.14</v>
      </c>
      <c r="F1144" t="s">
        <v>43</v>
      </c>
    </row>
    <row r="1145" spans="1:6">
      <c r="A1145">
        <v>202307</v>
      </c>
      <c r="B1145" s="6">
        <v>45120</v>
      </c>
      <c r="C1145" t="s">
        <v>2916</v>
      </c>
      <c r="D1145" t="s">
        <v>4343</v>
      </c>
      <c r="E1145">
        <v>-3342.8</v>
      </c>
      <c r="F1145" t="s">
        <v>64</v>
      </c>
    </row>
    <row r="1146" spans="1:6">
      <c r="A1146">
        <v>202307</v>
      </c>
      <c r="B1146" s="6">
        <v>45120</v>
      </c>
      <c r="C1146" t="s">
        <v>4006</v>
      </c>
      <c r="D1146" t="s">
        <v>4643</v>
      </c>
      <c r="E1146">
        <v>7</v>
      </c>
      <c r="F1146" t="s">
        <v>26</v>
      </c>
    </row>
    <row r="1147" spans="1:6">
      <c r="A1147">
        <v>202307</v>
      </c>
      <c r="B1147" s="6">
        <v>45120</v>
      </c>
      <c r="C1147" t="s">
        <v>2916</v>
      </c>
      <c r="D1147" t="s">
        <v>1955</v>
      </c>
      <c r="E1147">
        <v>6.47</v>
      </c>
      <c r="F1147" t="s">
        <v>21</v>
      </c>
    </row>
    <row r="1148" spans="1:6">
      <c r="A1148">
        <v>202307</v>
      </c>
      <c r="B1148" s="6">
        <v>45120</v>
      </c>
      <c r="C1148" t="s">
        <v>2916</v>
      </c>
      <c r="D1148" t="s">
        <v>1958</v>
      </c>
      <c r="E1148">
        <v>45</v>
      </c>
      <c r="F1148" t="s">
        <v>21</v>
      </c>
    </row>
    <row r="1149" spans="1:6">
      <c r="A1149">
        <v>202307</v>
      </c>
      <c r="B1149" s="6">
        <v>45120</v>
      </c>
      <c r="C1149" t="s">
        <v>2916</v>
      </c>
      <c r="D1149" t="s">
        <v>1958</v>
      </c>
      <c r="E1149">
        <v>60.89</v>
      </c>
      <c r="F1149" t="s">
        <v>21</v>
      </c>
    </row>
    <row r="1150" spans="1:6">
      <c r="A1150">
        <v>202307</v>
      </c>
      <c r="B1150" s="6">
        <v>45121</v>
      </c>
      <c r="C1150" t="s">
        <v>4286</v>
      </c>
      <c r="D1150" t="s">
        <v>4644</v>
      </c>
      <c r="E1150">
        <v>-18.98</v>
      </c>
      <c r="F1150" t="s">
        <v>38</v>
      </c>
    </row>
    <row r="1151" spans="1:6">
      <c r="A1151">
        <v>202307</v>
      </c>
      <c r="B1151" s="6">
        <v>45121</v>
      </c>
      <c r="C1151" t="s">
        <v>4006</v>
      </c>
      <c r="D1151" t="s">
        <v>4645</v>
      </c>
      <c r="E1151">
        <v>7.61</v>
      </c>
      <c r="F1151" t="s">
        <v>26</v>
      </c>
    </row>
    <row r="1152" spans="1:6">
      <c r="A1152">
        <v>202307</v>
      </c>
      <c r="B1152" s="6">
        <v>45121</v>
      </c>
      <c r="C1152" t="s">
        <v>4260</v>
      </c>
      <c r="D1152" t="s">
        <v>4646</v>
      </c>
      <c r="E1152">
        <v>30.05</v>
      </c>
      <c r="F1152" t="s">
        <v>23</v>
      </c>
    </row>
    <row r="1153" spans="1:6">
      <c r="A1153">
        <v>202307</v>
      </c>
      <c r="B1153" s="6">
        <v>45121</v>
      </c>
      <c r="C1153" t="s">
        <v>4261</v>
      </c>
      <c r="D1153" t="s">
        <v>4647</v>
      </c>
      <c r="E1153">
        <v>4.9800000000000004</v>
      </c>
      <c r="F1153" t="s">
        <v>23</v>
      </c>
    </row>
    <row r="1154" spans="1:6">
      <c r="A1154">
        <v>202307</v>
      </c>
      <c r="B1154" s="6">
        <v>45121</v>
      </c>
      <c r="C1154" t="s">
        <v>4276</v>
      </c>
      <c r="D1154" t="s">
        <v>4648</v>
      </c>
      <c r="E1154">
        <v>40.89</v>
      </c>
      <c r="F1154" t="s">
        <v>23</v>
      </c>
    </row>
    <row r="1155" spans="1:6">
      <c r="A1155">
        <v>202307</v>
      </c>
      <c r="B1155" s="6">
        <v>45121</v>
      </c>
      <c r="C1155" t="s">
        <v>4266</v>
      </c>
      <c r="D1155" t="s">
        <v>4649</v>
      </c>
      <c r="E1155">
        <v>218.7</v>
      </c>
      <c r="F1155" t="s">
        <v>28</v>
      </c>
    </row>
    <row r="1156" spans="1:6">
      <c r="A1156">
        <v>202307</v>
      </c>
      <c r="B1156" s="6">
        <v>45121</v>
      </c>
      <c r="C1156" t="s">
        <v>4264</v>
      </c>
      <c r="D1156" t="s">
        <v>4650</v>
      </c>
      <c r="E1156">
        <v>72</v>
      </c>
      <c r="F1156" t="s">
        <v>26</v>
      </c>
    </row>
    <row r="1157" spans="1:6">
      <c r="A1157">
        <v>202307</v>
      </c>
      <c r="B1157" s="6">
        <v>45121</v>
      </c>
      <c r="C1157" t="s">
        <v>4269</v>
      </c>
      <c r="D1157" t="s">
        <v>4651</v>
      </c>
      <c r="E1157">
        <v>67.62</v>
      </c>
      <c r="F1157" t="s">
        <v>21</v>
      </c>
    </row>
    <row r="1158" spans="1:6">
      <c r="A1158">
        <v>202307</v>
      </c>
      <c r="B1158" s="6">
        <v>45121</v>
      </c>
      <c r="C1158" t="s">
        <v>4006</v>
      </c>
      <c r="D1158" t="s">
        <v>4032</v>
      </c>
      <c r="E1158">
        <v>10.5</v>
      </c>
      <c r="F1158" t="s">
        <v>26</v>
      </c>
    </row>
    <row r="1159" spans="1:6">
      <c r="A1159">
        <v>202307</v>
      </c>
      <c r="B1159" s="6">
        <v>45121</v>
      </c>
      <c r="C1159" t="s">
        <v>4277</v>
      </c>
      <c r="D1159" t="s">
        <v>4652</v>
      </c>
      <c r="E1159">
        <v>-130</v>
      </c>
      <c r="F1159" t="s">
        <v>21</v>
      </c>
    </row>
    <row r="1160" spans="1:6">
      <c r="A1160">
        <v>202307</v>
      </c>
      <c r="B1160" s="6">
        <v>45121</v>
      </c>
      <c r="C1160" t="s">
        <v>2916</v>
      </c>
      <c r="D1160" t="s">
        <v>4356</v>
      </c>
      <c r="E1160">
        <v>116.77</v>
      </c>
      <c r="F1160" t="s">
        <v>18</v>
      </c>
    </row>
    <row r="1161" spans="1:6">
      <c r="A1161">
        <v>202307</v>
      </c>
      <c r="B1161" s="6">
        <v>45121</v>
      </c>
      <c r="C1161" t="s">
        <v>4268</v>
      </c>
      <c r="D1161" t="s">
        <v>4653</v>
      </c>
      <c r="E1161">
        <v>35.549999999999997</v>
      </c>
      <c r="F1161" t="s">
        <v>26</v>
      </c>
    </row>
    <row r="1162" spans="1:6">
      <c r="A1162">
        <v>202307</v>
      </c>
      <c r="B1162" s="6">
        <v>45121</v>
      </c>
      <c r="C1162" t="s">
        <v>2916</v>
      </c>
      <c r="D1162" t="s">
        <v>1958</v>
      </c>
      <c r="E1162">
        <v>42</v>
      </c>
      <c r="F1162" t="s">
        <v>21</v>
      </c>
    </row>
    <row r="1163" spans="1:6">
      <c r="A1163">
        <v>202307</v>
      </c>
      <c r="B1163" s="6">
        <v>45121</v>
      </c>
      <c r="C1163" t="s">
        <v>2916</v>
      </c>
      <c r="D1163" t="s">
        <v>1958</v>
      </c>
      <c r="E1163">
        <v>342</v>
      </c>
      <c r="F1163" t="s">
        <v>21</v>
      </c>
    </row>
    <row r="1164" spans="1:6">
      <c r="A1164">
        <v>202307</v>
      </c>
      <c r="B1164" s="6">
        <v>45123</v>
      </c>
      <c r="C1164" t="s">
        <v>4321</v>
      </c>
      <c r="D1164" t="s">
        <v>4654</v>
      </c>
      <c r="E1164">
        <v>7.15</v>
      </c>
      <c r="F1164" t="s">
        <v>28</v>
      </c>
    </row>
    <row r="1165" spans="1:6">
      <c r="A1165">
        <v>202307</v>
      </c>
      <c r="B1165" s="6">
        <v>45123</v>
      </c>
      <c r="C1165" t="s">
        <v>4292</v>
      </c>
      <c r="D1165" t="s">
        <v>4655</v>
      </c>
      <c r="E1165">
        <v>45.51</v>
      </c>
      <c r="F1165" t="s">
        <v>43</v>
      </c>
    </row>
    <row r="1166" spans="1:6">
      <c r="A1166">
        <v>202307</v>
      </c>
      <c r="B1166" s="6">
        <v>45123</v>
      </c>
      <c r="C1166" t="s">
        <v>4282</v>
      </c>
      <c r="D1166" t="s">
        <v>4656</v>
      </c>
      <c r="E1166">
        <v>8.93</v>
      </c>
      <c r="F1166" t="s">
        <v>28</v>
      </c>
    </row>
    <row r="1167" spans="1:6">
      <c r="A1167">
        <v>202307</v>
      </c>
      <c r="B1167" s="6">
        <v>45124</v>
      </c>
      <c r="C1167" t="s">
        <v>4327</v>
      </c>
      <c r="D1167" t="s">
        <v>4657</v>
      </c>
      <c r="E1167">
        <v>45.93</v>
      </c>
      <c r="F1167" t="s">
        <v>38</v>
      </c>
    </row>
    <row r="1168" spans="1:6">
      <c r="A1168">
        <v>202307</v>
      </c>
      <c r="B1168" s="6">
        <v>45125</v>
      </c>
      <c r="C1168" t="s">
        <v>4006</v>
      </c>
      <c r="D1168" t="s">
        <v>4658</v>
      </c>
      <c r="E1168">
        <v>189.85</v>
      </c>
      <c r="F1168" t="s">
        <v>26</v>
      </c>
    </row>
    <row r="1169" spans="1:6">
      <c r="A1169">
        <v>202307</v>
      </c>
      <c r="B1169" s="6">
        <v>45125</v>
      </c>
      <c r="C1169" t="s">
        <v>2916</v>
      </c>
      <c r="D1169" t="s">
        <v>4659</v>
      </c>
      <c r="E1169">
        <v>500</v>
      </c>
      <c r="F1169" t="s">
        <v>20</v>
      </c>
    </row>
    <row r="1170" spans="1:6">
      <c r="A1170">
        <v>202307</v>
      </c>
      <c r="B1170" s="6">
        <v>45126</v>
      </c>
      <c r="C1170" t="s">
        <v>4325</v>
      </c>
      <c r="D1170" t="s">
        <v>4660</v>
      </c>
      <c r="E1170">
        <v>951</v>
      </c>
      <c r="F1170" t="s">
        <v>20</v>
      </c>
    </row>
    <row r="1171" spans="1:6">
      <c r="A1171">
        <v>202307</v>
      </c>
      <c r="B1171" s="6">
        <v>45126</v>
      </c>
      <c r="C1171" t="s">
        <v>4006</v>
      </c>
      <c r="D1171" t="s">
        <v>288</v>
      </c>
      <c r="E1171">
        <v>161.24</v>
      </c>
      <c r="F1171" t="s">
        <v>43</v>
      </c>
    </row>
    <row r="1172" spans="1:6">
      <c r="A1172">
        <v>202307</v>
      </c>
      <c r="B1172" s="6">
        <v>45126</v>
      </c>
      <c r="C1172" t="s">
        <v>4006</v>
      </c>
      <c r="D1172" t="s">
        <v>4661</v>
      </c>
      <c r="E1172">
        <v>12.42</v>
      </c>
      <c r="F1172" t="s">
        <v>26</v>
      </c>
    </row>
    <row r="1173" spans="1:6">
      <c r="A1173">
        <v>202307</v>
      </c>
      <c r="B1173" s="6">
        <v>45126</v>
      </c>
      <c r="C1173" t="s">
        <v>4006</v>
      </c>
      <c r="D1173" t="s">
        <v>4661</v>
      </c>
      <c r="E1173">
        <v>21.75</v>
      </c>
      <c r="F1173" t="s">
        <v>43</v>
      </c>
    </row>
    <row r="1174" spans="1:6">
      <c r="A1174">
        <v>202307</v>
      </c>
      <c r="B1174" s="6">
        <v>45126</v>
      </c>
      <c r="C1174" t="s">
        <v>4328</v>
      </c>
      <c r="D1174" t="s">
        <v>4662</v>
      </c>
      <c r="E1174">
        <v>-59.5</v>
      </c>
      <c r="F1174" t="s">
        <v>21</v>
      </c>
    </row>
    <row r="1175" spans="1:6">
      <c r="A1175">
        <v>202307</v>
      </c>
      <c r="B1175" s="6">
        <v>45126</v>
      </c>
      <c r="C1175" t="s">
        <v>4006</v>
      </c>
      <c r="D1175" t="s">
        <v>4663</v>
      </c>
      <c r="E1175">
        <v>79.73</v>
      </c>
      <c r="F1175" t="s">
        <v>26</v>
      </c>
    </row>
    <row r="1176" spans="1:6">
      <c r="A1176">
        <v>202307</v>
      </c>
      <c r="B1176" s="6">
        <v>45126</v>
      </c>
      <c r="C1176" t="s">
        <v>2916</v>
      </c>
      <c r="D1176" t="s">
        <v>1955</v>
      </c>
      <c r="E1176">
        <v>2.99</v>
      </c>
      <c r="F1176" t="s">
        <v>21</v>
      </c>
    </row>
    <row r="1177" spans="1:6">
      <c r="A1177">
        <v>202307</v>
      </c>
      <c r="B1177" s="6">
        <v>45126</v>
      </c>
      <c r="C1177" t="s">
        <v>2916</v>
      </c>
      <c r="D1177" t="s">
        <v>1958</v>
      </c>
      <c r="E1177">
        <v>30</v>
      </c>
      <c r="F1177" t="s">
        <v>21</v>
      </c>
    </row>
    <row r="1178" spans="1:6">
      <c r="A1178">
        <v>202307</v>
      </c>
      <c r="B1178" s="6">
        <v>45127</v>
      </c>
      <c r="C1178" t="s">
        <v>3932</v>
      </c>
      <c r="D1178" t="s">
        <v>38</v>
      </c>
      <c r="E1178">
        <v>10.73</v>
      </c>
      <c r="F1178" t="s">
        <v>41</v>
      </c>
    </row>
    <row r="1179" spans="1:6">
      <c r="A1179">
        <v>202307</v>
      </c>
      <c r="B1179" s="6">
        <v>45127</v>
      </c>
      <c r="C1179" t="s">
        <v>3932</v>
      </c>
      <c r="D1179" t="s">
        <v>38</v>
      </c>
      <c r="E1179">
        <v>23.07</v>
      </c>
      <c r="F1179" t="s">
        <v>41</v>
      </c>
    </row>
    <row r="1180" spans="1:6">
      <c r="A1180">
        <v>202307</v>
      </c>
      <c r="B1180" s="6">
        <v>45127</v>
      </c>
      <c r="C1180" t="s">
        <v>2916</v>
      </c>
      <c r="D1180" t="s">
        <v>404</v>
      </c>
      <c r="E1180">
        <v>-2434.2199999999998</v>
      </c>
      <c r="F1180" t="s">
        <v>66</v>
      </c>
    </row>
    <row r="1181" spans="1:6">
      <c r="A1181">
        <v>202307</v>
      </c>
      <c r="B1181" s="6">
        <v>45127</v>
      </c>
      <c r="C1181" t="s">
        <v>4332</v>
      </c>
      <c r="D1181" t="s">
        <v>4664</v>
      </c>
      <c r="E1181">
        <v>52</v>
      </c>
      <c r="F1181" t="s">
        <v>45</v>
      </c>
    </row>
    <row r="1182" spans="1:6">
      <c r="A1182">
        <v>202307</v>
      </c>
      <c r="B1182" s="6">
        <v>45127</v>
      </c>
      <c r="C1182" t="s">
        <v>4006</v>
      </c>
      <c r="D1182" t="s">
        <v>4665</v>
      </c>
      <c r="E1182">
        <v>74.36</v>
      </c>
      <c r="F1182" t="s">
        <v>26</v>
      </c>
    </row>
    <row r="1183" spans="1:6">
      <c r="A1183">
        <v>202307</v>
      </c>
      <c r="B1183" s="6">
        <v>45127</v>
      </c>
      <c r="C1183" t="s">
        <v>4006</v>
      </c>
      <c r="D1183" t="s">
        <v>4012</v>
      </c>
      <c r="E1183">
        <v>-3411.32</v>
      </c>
      <c r="F1183" t="s">
        <v>9</v>
      </c>
    </row>
    <row r="1184" spans="1:6">
      <c r="A1184">
        <v>202307</v>
      </c>
      <c r="B1184" s="6">
        <v>45127</v>
      </c>
      <c r="C1184" t="s">
        <v>4333</v>
      </c>
      <c r="D1184" t="s">
        <v>4666</v>
      </c>
      <c r="E1184">
        <v>4.25</v>
      </c>
      <c r="F1184" t="s">
        <v>26</v>
      </c>
    </row>
    <row r="1185" spans="1:6">
      <c r="A1185">
        <v>202307</v>
      </c>
      <c r="B1185" s="6">
        <v>45127</v>
      </c>
      <c r="C1185" t="s">
        <v>4006</v>
      </c>
      <c r="D1185" t="s">
        <v>4667</v>
      </c>
      <c r="E1185">
        <v>70</v>
      </c>
      <c r="F1185" t="s">
        <v>21</v>
      </c>
    </row>
    <row r="1186" spans="1:6">
      <c r="A1186">
        <v>202307</v>
      </c>
      <c r="B1186" s="6">
        <v>45127</v>
      </c>
      <c r="C1186" t="s">
        <v>2916</v>
      </c>
      <c r="D1186" t="s">
        <v>1958</v>
      </c>
      <c r="E1186">
        <v>125</v>
      </c>
      <c r="F1186" t="s">
        <v>21</v>
      </c>
    </row>
    <row r="1187" spans="1:6">
      <c r="A1187">
        <v>202307</v>
      </c>
      <c r="B1187" s="6">
        <v>45128</v>
      </c>
      <c r="C1187" t="s">
        <v>4330</v>
      </c>
      <c r="D1187" t="s">
        <v>4668</v>
      </c>
      <c r="E1187">
        <v>11</v>
      </c>
      <c r="F1187" t="s">
        <v>7</v>
      </c>
    </row>
    <row r="1188" spans="1:6">
      <c r="A1188">
        <v>202307</v>
      </c>
      <c r="B1188" s="6">
        <v>45128</v>
      </c>
      <c r="C1188" t="s">
        <v>4336</v>
      </c>
      <c r="D1188" t="s">
        <v>4669</v>
      </c>
      <c r="E1188">
        <v>16.73</v>
      </c>
      <c r="F1188" t="s">
        <v>7</v>
      </c>
    </row>
    <row r="1189" spans="1:6">
      <c r="A1189">
        <v>202307</v>
      </c>
      <c r="B1189" s="6">
        <v>45128</v>
      </c>
      <c r="C1189" t="s">
        <v>4337</v>
      </c>
      <c r="D1189" t="s">
        <v>4671</v>
      </c>
      <c r="E1189">
        <v>-1638.6</v>
      </c>
      <c r="F1189" t="s">
        <v>9</v>
      </c>
    </row>
    <row r="1190" spans="1:6">
      <c r="A1190">
        <v>202307</v>
      </c>
      <c r="B1190" s="6">
        <v>45128</v>
      </c>
      <c r="C1190" t="s">
        <v>2916</v>
      </c>
      <c r="D1190" t="s">
        <v>1458</v>
      </c>
      <c r="E1190">
        <v>3411.32</v>
      </c>
      <c r="F1190" t="s">
        <v>9</v>
      </c>
    </row>
    <row r="1191" spans="1:6">
      <c r="A1191">
        <v>202307</v>
      </c>
      <c r="B1191" s="6">
        <v>45128</v>
      </c>
      <c r="C1191" t="s">
        <v>2916</v>
      </c>
      <c r="D1191" t="s">
        <v>4670</v>
      </c>
      <c r="E1191">
        <v>77.849999999999994</v>
      </c>
      <c r="F1191" t="s">
        <v>7</v>
      </c>
    </row>
    <row r="1192" spans="1:6">
      <c r="A1192">
        <v>202307</v>
      </c>
      <c r="B1192" s="6">
        <v>45128</v>
      </c>
      <c r="C1192" t="s">
        <v>2916</v>
      </c>
      <c r="D1192" t="s">
        <v>4293</v>
      </c>
      <c r="E1192">
        <v>1638.6</v>
      </c>
      <c r="F1192" t="s">
        <v>9</v>
      </c>
    </row>
    <row r="1193" spans="1:6">
      <c r="A1193">
        <v>202307</v>
      </c>
      <c r="B1193" s="6">
        <v>45129</v>
      </c>
      <c r="C1193" t="s">
        <v>3932</v>
      </c>
      <c r="D1193" t="s">
        <v>4079</v>
      </c>
      <c r="E1193">
        <v>-8.6</v>
      </c>
      <c r="F1193" t="s">
        <v>16</v>
      </c>
    </row>
    <row r="1194" spans="1:6">
      <c r="A1194">
        <v>202307</v>
      </c>
      <c r="B1194" s="6">
        <v>45129</v>
      </c>
      <c r="C1194" t="s">
        <v>3932</v>
      </c>
      <c r="D1194" t="s">
        <v>3988</v>
      </c>
      <c r="E1194">
        <v>-384.46</v>
      </c>
      <c r="F1194" t="s">
        <v>9</v>
      </c>
    </row>
    <row r="1195" spans="1:6">
      <c r="A1195">
        <v>202307</v>
      </c>
      <c r="B1195" s="6">
        <v>45129</v>
      </c>
      <c r="C1195" t="s">
        <v>4006</v>
      </c>
      <c r="D1195" t="s">
        <v>4672</v>
      </c>
      <c r="E1195">
        <v>16.86</v>
      </c>
      <c r="F1195" t="s">
        <v>28</v>
      </c>
    </row>
    <row r="1196" spans="1:6">
      <c r="A1196">
        <v>202307</v>
      </c>
      <c r="B1196" s="6">
        <v>45130</v>
      </c>
      <c r="C1196" t="s">
        <v>4351</v>
      </c>
      <c r="D1196" t="s">
        <v>4673</v>
      </c>
      <c r="E1196">
        <v>476</v>
      </c>
      <c r="F1196" t="s">
        <v>20</v>
      </c>
    </row>
    <row r="1197" spans="1:6">
      <c r="A1197">
        <v>202307</v>
      </c>
      <c r="B1197" s="6">
        <v>45130</v>
      </c>
      <c r="C1197" t="s">
        <v>4350</v>
      </c>
      <c r="D1197" t="s">
        <v>4674</v>
      </c>
      <c r="E1197">
        <v>44.29</v>
      </c>
      <c r="F1197" t="s">
        <v>23</v>
      </c>
    </row>
    <row r="1198" spans="1:6">
      <c r="A1198">
        <v>202307</v>
      </c>
      <c r="B1198" s="6">
        <v>45130</v>
      </c>
      <c r="C1198" t="s">
        <v>4355</v>
      </c>
      <c r="D1198" t="s">
        <v>4675</v>
      </c>
      <c r="E1198">
        <v>5.37</v>
      </c>
      <c r="F1198" t="s">
        <v>23</v>
      </c>
    </row>
    <row r="1199" spans="1:6">
      <c r="A1199">
        <v>202307</v>
      </c>
      <c r="B1199" s="6">
        <v>45130</v>
      </c>
      <c r="C1199" t="s">
        <v>4342</v>
      </c>
      <c r="D1199" t="s">
        <v>4676</v>
      </c>
      <c r="E1199">
        <v>35.47</v>
      </c>
      <c r="F1199" t="s">
        <v>20</v>
      </c>
    </row>
    <row r="1200" spans="1:6">
      <c r="A1200">
        <v>202307</v>
      </c>
      <c r="B1200" s="6">
        <v>45131</v>
      </c>
      <c r="C1200" t="s">
        <v>4360</v>
      </c>
      <c r="D1200" t="s">
        <v>4677</v>
      </c>
      <c r="E1200">
        <v>20.38</v>
      </c>
      <c r="F1200" t="s">
        <v>38</v>
      </c>
    </row>
    <row r="1201" spans="1:6">
      <c r="A1201">
        <v>202307</v>
      </c>
      <c r="B1201" s="6">
        <v>45131</v>
      </c>
      <c r="C1201" t="s">
        <v>4368</v>
      </c>
      <c r="D1201" t="s">
        <v>4678</v>
      </c>
      <c r="E1201">
        <v>135.87</v>
      </c>
      <c r="F1201" t="s">
        <v>38</v>
      </c>
    </row>
    <row r="1202" spans="1:6">
      <c r="A1202">
        <v>202307</v>
      </c>
      <c r="B1202" s="6">
        <v>45131</v>
      </c>
      <c r="C1202" t="s">
        <v>4363</v>
      </c>
      <c r="D1202" t="s">
        <v>4679</v>
      </c>
      <c r="E1202">
        <v>33.979999999999997</v>
      </c>
      <c r="F1202" t="s">
        <v>38</v>
      </c>
    </row>
    <row r="1203" spans="1:6">
      <c r="A1203">
        <v>202307</v>
      </c>
      <c r="B1203" s="6">
        <v>45131</v>
      </c>
      <c r="C1203" t="s">
        <v>4369</v>
      </c>
      <c r="D1203" t="s">
        <v>4680</v>
      </c>
      <c r="E1203">
        <v>17.170000000000002</v>
      </c>
      <c r="F1203" t="s">
        <v>38</v>
      </c>
    </row>
    <row r="1204" spans="1:6">
      <c r="A1204">
        <v>202307</v>
      </c>
      <c r="B1204" s="6">
        <v>45131</v>
      </c>
      <c r="C1204" t="s">
        <v>4352</v>
      </c>
      <c r="D1204" t="s">
        <v>4681</v>
      </c>
      <c r="E1204">
        <v>11.26</v>
      </c>
      <c r="F1204" t="s">
        <v>38</v>
      </c>
    </row>
    <row r="1205" spans="1:6">
      <c r="A1205">
        <v>202307</v>
      </c>
      <c r="B1205" s="6">
        <v>45131</v>
      </c>
      <c r="C1205" t="s">
        <v>4006</v>
      </c>
      <c r="D1205" t="s">
        <v>4017</v>
      </c>
      <c r="E1205">
        <v>59.5</v>
      </c>
      <c r="F1205" t="s">
        <v>28</v>
      </c>
    </row>
    <row r="1206" spans="1:6">
      <c r="A1206">
        <v>202307</v>
      </c>
      <c r="B1206" s="6">
        <v>45131</v>
      </c>
      <c r="C1206" t="s">
        <v>2916</v>
      </c>
      <c r="D1206" t="s">
        <v>1464</v>
      </c>
      <c r="E1206">
        <v>384.46</v>
      </c>
      <c r="F1206" t="s">
        <v>9</v>
      </c>
    </row>
    <row r="1207" spans="1:6">
      <c r="A1207">
        <v>202307</v>
      </c>
      <c r="B1207" s="6">
        <v>45131</v>
      </c>
      <c r="C1207" t="s">
        <v>4006</v>
      </c>
      <c r="D1207" t="s">
        <v>1925</v>
      </c>
      <c r="E1207">
        <v>147.13999999999999</v>
      </c>
      <c r="F1207" t="s">
        <v>28</v>
      </c>
    </row>
    <row r="1208" spans="1:6">
      <c r="A1208">
        <v>202307</v>
      </c>
      <c r="B1208" s="6">
        <v>45131</v>
      </c>
      <c r="C1208" t="s">
        <v>2916</v>
      </c>
      <c r="D1208" t="s">
        <v>1955</v>
      </c>
      <c r="E1208">
        <v>177</v>
      </c>
      <c r="F1208" t="s">
        <v>21</v>
      </c>
    </row>
    <row r="1209" spans="1:6">
      <c r="A1209">
        <v>202307</v>
      </c>
      <c r="B1209" s="6">
        <v>45131</v>
      </c>
      <c r="C1209" t="s">
        <v>2916</v>
      </c>
      <c r="D1209" t="s">
        <v>1958</v>
      </c>
      <c r="E1209">
        <v>100</v>
      </c>
      <c r="F1209" t="s">
        <v>21</v>
      </c>
    </row>
    <row r="1210" spans="1:6">
      <c r="A1210">
        <v>202307</v>
      </c>
      <c r="B1210" s="6">
        <v>45132</v>
      </c>
      <c r="C1210" t="s">
        <v>3932</v>
      </c>
      <c r="D1210" t="s">
        <v>113</v>
      </c>
      <c r="E1210">
        <v>-118.62</v>
      </c>
      <c r="F1210" t="s">
        <v>41</v>
      </c>
    </row>
    <row r="1211" spans="1:6">
      <c r="A1211">
        <v>202307</v>
      </c>
      <c r="B1211" s="6">
        <v>45132</v>
      </c>
      <c r="C1211" t="s">
        <v>4371</v>
      </c>
      <c r="D1211" t="s">
        <v>4682</v>
      </c>
      <c r="E1211">
        <v>32.619999999999997</v>
      </c>
      <c r="F1211" t="s">
        <v>28</v>
      </c>
    </row>
    <row r="1212" spans="1:6">
      <c r="A1212">
        <v>202307</v>
      </c>
      <c r="B1212" s="6">
        <v>45132</v>
      </c>
      <c r="C1212" t="s">
        <v>2916</v>
      </c>
      <c r="D1212" t="s">
        <v>4415</v>
      </c>
      <c r="E1212">
        <v>665.76</v>
      </c>
      <c r="F1212" t="s">
        <v>9</v>
      </c>
    </row>
    <row r="1213" spans="1:6">
      <c r="A1213">
        <v>202307</v>
      </c>
      <c r="B1213" s="6">
        <v>45132</v>
      </c>
      <c r="C1213" t="s">
        <v>4375</v>
      </c>
      <c r="D1213" t="s">
        <v>4683</v>
      </c>
      <c r="E1213">
        <v>17.010000000000002</v>
      </c>
      <c r="F1213" t="s">
        <v>21</v>
      </c>
    </row>
    <row r="1214" spans="1:6">
      <c r="A1214">
        <v>202307</v>
      </c>
      <c r="B1214" s="6">
        <v>45132</v>
      </c>
      <c r="C1214" t="s">
        <v>4006</v>
      </c>
      <c r="D1214" t="s">
        <v>1929</v>
      </c>
      <c r="E1214">
        <v>84.02</v>
      </c>
      <c r="F1214" t="s">
        <v>23</v>
      </c>
    </row>
    <row r="1215" spans="1:6">
      <c r="A1215">
        <v>202307</v>
      </c>
      <c r="B1215" s="6">
        <v>45132</v>
      </c>
      <c r="C1215" t="s">
        <v>2916</v>
      </c>
      <c r="D1215" t="s">
        <v>4404</v>
      </c>
      <c r="E1215">
        <v>500</v>
      </c>
      <c r="F1215" t="s">
        <v>59</v>
      </c>
    </row>
    <row r="1216" spans="1:6">
      <c r="A1216">
        <v>202307</v>
      </c>
      <c r="B1216" s="6">
        <v>45132</v>
      </c>
      <c r="C1216" t="s">
        <v>4006</v>
      </c>
      <c r="D1216" t="s">
        <v>4684</v>
      </c>
      <c r="E1216">
        <v>-70</v>
      </c>
      <c r="F1216" t="s">
        <v>16</v>
      </c>
    </row>
    <row r="1217" spans="1:6">
      <c r="A1217">
        <v>202307</v>
      </c>
      <c r="B1217" s="6">
        <v>45132</v>
      </c>
      <c r="C1217" t="s">
        <v>4370</v>
      </c>
      <c r="D1217" t="s">
        <v>4685</v>
      </c>
      <c r="E1217">
        <v>16.96</v>
      </c>
      <c r="F1217" t="s">
        <v>23</v>
      </c>
    </row>
    <row r="1218" spans="1:6">
      <c r="A1218">
        <v>202307</v>
      </c>
      <c r="B1218" s="6">
        <v>45132</v>
      </c>
      <c r="C1218" t="s">
        <v>2916</v>
      </c>
      <c r="D1218" t="s">
        <v>4686</v>
      </c>
      <c r="E1218">
        <v>530</v>
      </c>
      <c r="F1218" t="s">
        <v>20</v>
      </c>
    </row>
    <row r="1219" spans="1:6">
      <c r="A1219">
        <v>202307</v>
      </c>
      <c r="B1219" s="6">
        <v>45133</v>
      </c>
      <c r="C1219" t="s">
        <v>3932</v>
      </c>
      <c r="D1219" t="s">
        <v>38</v>
      </c>
      <c r="E1219">
        <v>32.15</v>
      </c>
      <c r="F1219" t="s">
        <v>38</v>
      </c>
    </row>
    <row r="1220" spans="1:6">
      <c r="A1220">
        <v>202307</v>
      </c>
      <c r="B1220" s="6">
        <v>45133</v>
      </c>
      <c r="C1220" t="s">
        <v>2712</v>
      </c>
      <c r="D1220" t="s">
        <v>4687</v>
      </c>
      <c r="E1220">
        <v>23.99</v>
      </c>
      <c r="F1220" t="s">
        <v>38</v>
      </c>
    </row>
    <row r="1221" spans="1:6">
      <c r="A1221">
        <v>202307</v>
      </c>
      <c r="B1221" s="6">
        <v>45133</v>
      </c>
      <c r="C1221" t="s">
        <v>4382</v>
      </c>
      <c r="D1221" t="s">
        <v>4688</v>
      </c>
      <c r="E1221">
        <v>544.63</v>
      </c>
      <c r="F1221" t="s">
        <v>28</v>
      </c>
    </row>
    <row r="1222" spans="1:6">
      <c r="A1222">
        <v>202307</v>
      </c>
      <c r="B1222" s="6">
        <v>45133</v>
      </c>
      <c r="C1222" t="s">
        <v>4381</v>
      </c>
      <c r="D1222" t="s">
        <v>4689</v>
      </c>
      <c r="E1222">
        <v>39.03</v>
      </c>
      <c r="F1222" t="s">
        <v>28</v>
      </c>
    </row>
    <row r="1223" spans="1:6">
      <c r="A1223">
        <v>202307</v>
      </c>
      <c r="B1223" s="6">
        <v>45133</v>
      </c>
      <c r="C1223" t="s">
        <v>4380</v>
      </c>
      <c r="D1223" t="s">
        <v>4690</v>
      </c>
      <c r="E1223">
        <v>57.5</v>
      </c>
      <c r="F1223" t="s">
        <v>23</v>
      </c>
    </row>
    <row r="1224" spans="1:6">
      <c r="A1224">
        <v>202307</v>
      </c>
      <c r="B1224" s="6">
        <v>45133</v>
      </c>
      <c r="C1224" t="s">
        <v>2916</v>
      </c>
      <c r="D1224" t="s">
        <v>1958</v>
      </c>
      <c r="E1224">
        <v>125</v>
      </c>
      <c r="F1224" t="s">
        <v>21</v>
      </c>
    </row>
    <row r="1225" spans="1:6">
      <c r="A1225">
        <v>202307</v>
      </c>
      <c r="B1225" s="6">
        <v>45133</v>
      </c>
      <c r="C1225" t="s">
        <v>2916</v>
      </c>
      <c r="D1225" t="s">
        <v>1958</v>
      </c>
      <c r="E1225">
        <v>125</v>
      </c>
      <c r="F1225" t="s">
        <v>21</v>
      </c>
    </row>
    <row r="1226" spans="1:6">
      <c r="A1226">
        <v>202307</v>
      </c>
      <c r="B1226" s="6">
        <v>45134</v>
      </c>
      <c r="C1226" t="s">
        <v>4403</v>
      </c>
      <c r="D1226" t="s">
        <v>4691</v>
      </c>
      <c r="E1226">
        <v>58.98</v>
      </c>
      <c r="F1226" t="s">
        <v>38</v>
      </c>
    </row>
    <row r="1227" spans="1:6">
      <c r="A1227">
        <v>202307</v>
      </c>
      <c r="B1227" s="6">
        <v>45134</v>
      </c>
      <c r="C1227" t="s">
        <v>4405</v>
      </c>
      <c r="D1227" t="s">
        <v>4692</v>
      </c>
      <c r="E1227">
        <v>26.81</v>
      </c>
      <c r="F1227" t="s">
        <v>38</v>
      </c>
    </row>
    <row r="1228" spans="1:6">
      <c r="A1228">
        <v>202307</v>
      </c>
      <c r="B1228" s="6">
        <v>45134</v>
      </c>
      <c r="C1228" t="s">
        <v>2916</v>
      </c>
      <c r="D1228" t="s">
        <v>404</v>
      </c>
      <c r="E1228">
        <v>-60362.77</v>
      </c>
      <c r="F1228" t="s">
        <v>66</v>
      </c>
    </row>
    <row r="1229" spans="1:6">
      <c r="A1229">
        <v>202307</v>
      </c>
      <c r="B1229" s="6">
        <v>45134</v>
      </c>
      <c r="C1229" t="s">
        <v>4400</v>
      </c>
      <c r="D1229" t="s">
        <v>4693</v>
      </c>
      <c r="E1229">
        <v>24.35</v>
      </c>
      <c r="F1229" t="s">
        <v>28</v>
      </c>
    </row>
    <row r="1230" spans="1:6">
      <c r="A1230">
        <v>202307</v>
      </c>
      <c r="B1230" s="6">
        <v>45134</v>
      </c>
      <c r="C1230" t="s">
        <v>3199</v>
      </c>
      <c r="D1230" t="s">
        <v>4694</v>
      </c>
      <c r="E1230">
        <v>10.74</v>
      </c>
      <c r="F1230" t="s">
        <v>20</v>
      </c>
    </row>
    <row r="1231" spans="1:6">
      <c r="A1231">
        <v>202307</v>
      </c>
      <c r="B1231" s="6">
        <v>45134</v>
      </c>
      <c r="C1231" t="s">
        <v>2916</v>
      </c>
      <c r="D1231" t="s">
        <v>1958</v>
      </c>
      <c r="E1231">
        <v>40.28</v>
      </c>
      <c r="F1231" t="s">
        <v>21</v>
      </c>
    </row>
    <row r="1232" spans="1:6">
      <c r="A1232">
        <v>202307</v>
      </c>
      <c r="B1232" s="6">
        <v>45134</v>
      </c>
      <c r="C1232" t="s">
        <v>4006</v>
      </c>
      <c r="D1232" t="s">
        <v>4695</v>
      </c>
      <c r="E1232">
        <v>100</v>
      </c>
      <c r="F1232" t="s">
        <v>43</v>
      </c>
    </row>
    <row r="1233" spans="1:6">
      <c r="A1233">
        <v>202307</v>
      </c>
      <c r="B1233" s="6">
        <v>45135</v>
      </c>
      <c r="C1233" t="s">
        <v>4412</v>
      </c>
      <c r="D1233" t="s">
        <v>4696</v>
      </c>
      <c r="E1233">
        <v>-45.93</v>
      </c>
      <c r="F1233" t="s">
        <v>38</v>
      </c>
    </row>
    <row r="1234" spans="1:6">
      <c r="A1234">
        <v>202307</v>
      </c>
      <c r="B1234" s="6">
        <v>45135</v>
      </c>
      <c r="C1234" t="s">
        <v>4420</v>
      </c>
      <c r="D1234" t="s">
        <v>4697</v>
      </c>
      <c r="E1234">
        <v>-33.979999999999997</v>
      </c>
      <c r="F1234" t="s">
        <v>38</v>
      </c>
    </row>
    <row r="1235" spans="1:6">
      <c r="A1235">
        <v>202307</v>
      </c>
      <c r="B1235" s="6">
        <v>45135</v>
      </c>
      <c r="C1235" t="s">
        <v>4026</v>
      </c>
      <c r="D1235" t="s">
        <v>4698</v>
      </c>
      <c r="E1235">
        <v>-28</v>
      </c>
      <c r="F1235" t="s">
        <v>38</v>
      </c>
    </row>
    <row r="1236" spans="1:6">
      <c r="A1236">
        <v>202307</v>
      </c>
      <c r="B1236" s="6">
        <v>45135</v>
      </c>
      <c r="C1236" t="s">
        <v>4036</v>
      </c>
      <c r="D1236" t="s">
        <v>4699</v>
      </c>
      <c r="E1236">
        <v>-16.91</v>
      </c>
      <c r="F1236" t="s">
        <v>38</v>
      </c>
    </row>
    <row r="1237" spans="1:6">
      <c r="A1237">
        <v>202307</v>
      </c>
      <c r="B1237" s="6">
        <v>45135</v>
      </c>
      <c r="C1237" t="s">
        <v>4408</v>
      </c>
      <c r="D1237" t="s">
        <v>4700</v>
      </c>
      <c r="E1237">
        <v>-29.99</v>
      </c>
      <c r="F1237" t="s">
        <v>38</v>
      </c>
    </row>
    <row r="1238" spans="1:6">
      <c r="A1238">
        <v>202307</v>
      </c>
      <c r="B1238" s="6">
        <v>45135</v>
      </c>
      <c r="C1238" t="s">
        <v>4414</v>
      </c>
      <c r="D1238" t="s">
        <v>4701</v>
      </c>
      <c r="E1238">
        <v>71.97</v>
      </c>
      <c r="F1238" t="s">
        <v>38</v>
      </c>
    </row>
    <row r="1239" spans="1:6">
      <c r="A1239">
        <v>202307</v>
      </c>
      <c r="B1239" s="6">
        <v>45135</v>
      </c>
      <c r="C1239" t="s">
        <v>4413</v>
      </c>
      <c r="D1239" t="s">
        <v>4702</v>
      </c>
      <c r="E1239">
        <v>28.96</v>
      </c>
      <c r="F1239" t="s">
        <v>38</v>
      </c>
    </row>
    <row r="1240" spans="1:6">
      <c r="A1240">
        <v>202307</v>
      </c>
      <c r="B1240" s="6">
        <v>45135</v>
      </c>
      <c r="C1240" t="s">
        <v>4406</v>
      </c>
      <c r="D1240" t="s">
        <v>4703</v>
      </c>
      <c r="E1240">
        <v>14.02</v>
      </c>
      <c r="F1240" t="s">
        <v>28</v>
      </c>
    </row>
    <row r="1241" spans="1:6">
      <c r="A1241">
        <v>202307</v>
      </c>
      <c r="B1241" s="6">
        <v>45135</v>
      </c>
      <c r="C1241" t="s">
        <v>4006</v>
      </c>
      <c r="D1241" t="s">
        <v>4093</v>
      </c>
      <c r="E1241">
        <v>20.97</v>
      </c>
      <c r="F1241" t="s">
        <v>28</v>
      </c>
    </row>
    <row r="1242" spans="1:6">
      <c r="A1242">
        <v>202307</v>
      </c>
      <c r="B1242" s="6">
        <v>45135</v>
      </c>
      <c r="C1242" t="s">
        <v>4006</v>
      </c>
      <c r="D1242" t="s">
        <v>4093</v>
      </c>
      <c r="E1242">
        <v>27.56</v>
      </c>
      <c r="F1242" t="s">
        <v>28</v>
      </c>
    </row>
    <row r="1243" spans="1:6">
      <c r="A1243">
        <v>202307</v>
      </c>
      <c r="B1243" s="6">
        <v>45135</v>
      </c>
      <c r="C1243" t="s">
        <v>4006</v>
      </c>
      <c r="D1243" t="s">
        <v>1380</v>
      </c>
      <c r="E1243">
        <v>75.930000000000007</v>
      </c>
      <c r="F1243" t="s">
        <v>26</v>
      </c>
    </row>
    <row r="1244" spans="1:6">
      <c r="A1244">
        <v>202307</v>
      </c>
      <c r="B1244" s="6">
        <v>45135</v>
      </c>
      <c r="C1244" t="s">
        <v>4429</v>
      </c>
      <c r="D1244" t="s">
        <v>4704</v>
      </c>
      <c r="E1244">
        <v>-1638.6</v>
      </c>
      <c r="F1244" t="s">
        <v>9</v>
      </c>
    </row>
    <row r="1245" spans="1:6">
      <c r="A1245">
        <v>202307</v>
      </c>
      <c r="B1245" s="6">
        <v>45135</v>
      </c>
      <c r="C1245" t="s">
        <v>2916</v>
      </c>
      <c r="D1245" t="s">
        <v>1955</v>
      </c>
      <c r="E1245">
        <v>0.99</v>
      </c>
      <c r="F1245" t="s">
        <v>21</v>
      </c>
    </row>
    <row r="1246" spans="1:6">
      <c r="A1246">
        <v>202307</v>
      </c>
      <c r="B1246" s="6">
        <v>45135</v>
      </c>
      <c r="C1246" t="s">
        <v>2916</v>
      </c>
      <c r="D1246" t="s">
        <v>4293</v>
      </c>
      <c r="E1246">
        <v>1638.6</v>
      </c>
      <c r="F1246" t="s">
        <v>9</v>
      </c>
    </row>
    <row r="1247" spans="1:6">
      <c r="A1247">
        <v>202307</v>
      </c>
      <c r="B1247" s="6">
        <v>45136</v>
      </c>
      <c r="C1247" t="s">
        <v>4006</v>
      </c>
      <c r="D1247" t="s">
        <v>4705</v>
      </c>
      <c r="E1247">
        <v>37.85</v>
      </c>
      <c r="F1247" t="s">
        <v>28</v>
      </c>
    </row>
    <row r="1248" spans="1:6">
      <c r="A1248">
        <v>202307</v>
      </c>
      <c r="B1248" s="6">
        <v>45136</v>
      </c>
      <c r="C1248" t="s">
        <v>4006</v>
      </c>
      <c r="D1248" t="s">
        <v>703</v>
      </c>
      <c r="E1248">
        <v>1835.05</v>
      </c>
      <c r="F1248" t="s">
        <v>9</v>
      </c>
    </row>
    <row r="1249" spans="1:6">
      <c r="A1249">
        <v>202307</v>
      </c>
      <c r="B1249" s="6">
        <v>45137</v>
      </c>
      <c r="C1249" t="s">
        <v>3932</v>
      </c>
      <c r="D1249" t="s">
        <v>38</v>
      </c>
      <c r="E1249">
        <v>18.239999999999998</v>
      </c>
      <c r="F1249" t="s">
        <v>41</v>
      </c>
    </row>
    <row r="1250" spans="1:6">
      <c r="A1250">
        <v>202307</v>
      </c>
      <c r="B1250" s="6">
        <v>45137</v>
      </c>
      <c r="C1250" t="s">
        <v>4059</v>
      </c>
      <c r="D1250" t="s">
        <v>4707</v>
      </c>
      <c r="E1250">
        <v>7.18</v>
      </c>
      <c r="F1250" t="s">
        <v>38</v>
      </c>
    </row>
    <row r="1251" spans="1:6">
      <c r="A1251">
        <v>202307</v>
      </c>
      <c r="B1251" s="6">
        <v>45137</v>
      </c>
      <c r="C1251" t="s">
        <v>4006</v>
      </c>
      <c r="D1251" t="s">
        <v>318</v>
      </c>
      <c r="E1251">
        <v>46.75</v>
      </c>
      <c r="F1251" t="s">
        <v>26</v>
      </c>
    </row>
    <row r="1252" spans="1:6">
      <c r="A1252">
        <v>202307</v>
      </c>
      <c r="B1252" s="6">
        <v>45137</v>
      </c>
      <c r="C1252" t="s">
        <v>2519</v>
      </c>
      <c r="D1252" t="s">
        <v>4708</v>
      </c>
      <c r="E1252">
        <v>6.29</v>
      </c>
      <c r="F1252" t="s">
        <v>23</v>
      </c>
    </row>
    <row r="1253" spans="1:6">
      <c r="A1253">
        <v>202307</v>
      </c>
      <c r="B1253" s="6">
        <v>45137</v>
      </c>
      <c r="C1253" t="s">
        <v>4044</v>
      </c>
      <c r="D1253" t="s">
        <v>4709</v>
      </c>
      <c r="E1253">
        <v>78</v>
      </c>
      <c r="F1253" t="s">
        <v>21</v>
      </c>
    </row>
    <row r="1254" spans="1:6">
      <c r="A1254">
        <v>202307</v>
      </c>
      <c r="B1254" s="6">
        <v>45137</v>
      </c>
      <c r="C1254" t="s">
        <v>2916</v>
      </c>
      <c r="D1254" t="s">
        <v>4343</v>
      </c>
      <c r="E1254">
        <v>-3342.8</v>
      </c>
      <c r="F1254" t="s">
        <v>64</v>
      </c>
    </row>
    <row r="1255" spans="1:6">
      <c r="A1255">
        <v>202307</v>
      </c>
      <c r="B1255" s="6">
        <v>45137</v>
      </c>
      <c r="C1255" t="s">
        <v>4062</v>
      </c>
      <c r="D1255" t="s">
        <v>4710</v>
      </c>
      <c r="E1255">
        <v>10.73</v>
      </c>
      <c r="F1255" t="s">
        <v>40</v>
      </c>
    </row>
    <row r="1256" spans="1:6">
      <c r="A1256">
        <v>202307</v>
      </c>
      <c r="B1256" s="6">
        <v>45138</v>
      </c>
      <c r="C1256" t="s">
        <v>4006</v>
      </c>
      <c r="D1256" t="s">
        <v>4711</v>
      </c>
      <c r="E1256">
        <v>8.1199999999999992</v>
      </c>
      <c r="F1256" t="s">
        <v>26</v>
      </c>
    </row>
    <row r="1257" spans="1:6">
      <c r="A1257">
        <v>202307</v>
      </c>
      <c r="B1257" s="6">
        <v>45138</v>
      </c>
      <c r="C1257" t="s">
        <v>4712</v>
      </c>
      <c r="D1257" t="s">
        <v>14</v>
      </c>
      <c r="E1257">
        <v>250</v>
      </c>
      <c r="F1257" t="s">
        <v>14</v>
      </c>
    </row>
    <row r="1258" spans="1:6">
      <c r="A1258">
        <v>202307</v>
      </c>
      <c r="B1258" s="6">
        <v>45138</v>
      </c>
      <c r="C1258" t="s">
        <v>2916</v>
      </c>
      <c r="D1258" t="s">
        <v>2896</v>
      </c>
      <c r="E1258">
        <v>-3.95</v>
      </c>
      <c r="F1258" t="s">
        <v>16</v>
      </c>
    </row>
    <row r="1259" spans="1:6">
      <c r="A1259">
        <v>202307</v>
      </c>
      <c r="B1259" s="6">
        <v>45138</v>
      </c>
      <c r="C1259" t="s">
        <v>2916</v>
      </c>
      <c r="D1259" t="s">
        <v>4713</v>
      </c>
      <c r="E1259">
        <v>-50.17</v>
      </c>
      <c r="F1259" t="s">
        <v>16</v>
      </c>
    </row>
    <row r="1260" spans="1:6">
      <c r="A1260">
        <v>202308</v>
      </c>
      <c r="B1260" s="6">
        <v>45139</v>
      </c>
      <c r="C1260" t="s">
        <v>3932</v>
      </c>
      <c r="D1260" t="s">
        <v>38</v>
      </c>
      <c r="E1260">
        <v>21.42</v>
      </c>
      <c r="F1260" t="s">
        <v>38</v>
      </c>
    </row>
    <row r="1261" spans="1:6">
      <c r="A1261">
        <v>202308</v>
      </c>
      <c r="B1261" s="6">
        <v>45139</v>
      </c>
      <c r="C1261" t="s">
        <v>4607</v>
      </c>
      <c r="D1261" t="s">
        <v>4714</v>
      </c>
      <c r="E1261">
        <v>5.36</v>
      </c>
      <c r="F1261" t="s">
        <v>38</v>
      </c>
    </row>
    <row r="1262" spans="1:6">
      <c r="A1262">
        <v>202308</v>
      </c>
      <c r="B1262" s="6">
        <v>45139</v>
      </c>
      <c r="C1262" t="s">
        <v>4611</v>
      </c>
      <c r="D1262" t="s">
        <v>4715</v>
      </c>
      <c r="E1262">
        <v>40</v>
      </c>
      <c r="F1262" t="s">
        <v>40</v>
      </c>
    </row>
    <row r="1263" spans="1:6">
      <c r="A1263">
        <v>202308</v>
      </c>
      <c r="B1263" s="6">
        <v>45139</v>
      </c>
      <c r="C1263" t="s">
        <v>4333</v>
      </c>
      <c r="D1263" t="s">
        <v>1460</v>
      </c>
      <c r="E1263">
        <v>2606.27</v>
      </c>
      <c r="F1263" t="s">
        <v>5</v>
      </c>
    </row>
    <row r="1264" spans="1:6">
      <c r="A1264">
        <v>202308</v>
      </c>
      <c r="B1264" s="6">
        <v>45139</v>
      </c>
      <c r="C1264" t="s">
        <v>4006</v>
      </c>
      <c r="D1264" t="s">
        <v>31</v>
      </c>
      <c r="E1264">
        <v>102.55</v>
      </c>
      <c r="F1264" t="s">
        <v>31</v>
      </c>
    </row>
    <row r="1265" spans="1:6">
      <c r="A1265">
        <v>202308</v>
      </c>
      <c r="B1265" s="6">
        <v>45139</v>
      </c>
      <c r="C1265" t="s">
        <v>4332</v>
      </c>
      <c r="D1265" t="s">
        <v>4716</v>
      </c>
      <c r="E1265">
        <v>500</v>
      </c>
      <c r="F1265" t="e">
        <v>#N/A</v>
      </c>
    </row>
    <row r="1266" spans="1:6">
      <c r="A1266">
        <v>202308</v>
      </c>
      <c r="B1266" s="6">
        <v>45139</v>
      </c>
      <c r="C1266" t="s">
        <v>4325</v>
      </c>
      <c r="D1266" t="s">
        <v>4717</v>
      </c>
      <c r="E1266">
        <v>265</v>
      </c>
      <c r="F1266" t="s">
        <v>20</v>
      </c>
    </row>
    <row r="1267" spans="1:6">
      <c r="A1267">
        <v>202308</v>
      </c>
      <c r="B1267" s="6">
        <v>45139</v>
      </c>
      <c r="C1267" t="s">
        <v>4328</v>
      </c>
      <c r="D1267" t="s">
        <v>4718</v>
      </c>
      <c r="E1267">
        <v>618.65</v>
      </c>
      <c r="F1267" t="s">
        <v>11</v>
      </c>
    </row>
    <row r="1268" spans="1:6">
      <c r="A1268">
        <v>202308</v>
      </c>
      <c r="B1268" s="6">
        <v>45140</v>
      </c>
      <c r="C1268" t="s">
        <v>4618</v>
      </c>
      <c r="D1268" t="s">
        <v>4719</v>
      </c>
      <c r="E1268">
        <v>-154.02000000000001</v>
      </c>
      <c r="F1268" t="s">
        <v>21</v>
      </c>
    </row>
    <row r="1269" spans="1:6">
      <c r="A1269">
        <v>202308</v>
      </c>
      <c r="B1269" s="6">
        <v>45140</v>
      </c>
      <c r="C1269" t="s">
        <v>4615</v>
      </c>
      <c r="D1269" t="s">
        <v>4720</v>
      </c>
      <c r="E1269">
        <v>37.840000000000003</v>
      </c>
      <c r="F1269" t="s">
        <v>28</v>
      </c>
    </row>
    <row r="1270" spans="1:6">
      <c r="A1270">
        <v>202308</v>
      </c>
      <c r="B1270" s="6">
        <v>45140</v>
      </c>
      <c r="C1270" t="s">
        <v>4006</v>
      </c>
      <c r="D1270" t="s">
        <v>4721</v>
      </c>
      <c r="E1270">
        <v>-216</v>
      </c>
      <c r="F1270" t="s">
        <v>21</v>
      </c>
    </row>
    <row r="1271" spans="1:6">
      <c r="A1271">
        <v>202308</v>
      </c>
      <c r="B1271" s="6">
        <v>45140</v>
      </c>
      <c r="C1271" t="s">
        <v>4330</v>
      </c>
      <c r="D1271" t="s">
        <v>4404</v>
      </c>
      <c r="E1271">
        <v>40000</v>
      </c>
      <c r="F1271" t="s">
        <v>9</v>
      </c>
    </row>
    <row r="1272" spans="1:6">
      <c r="A1272">
        <v>202308</v>
      </c>
      <c r="B1272" s="6">
        <v>45140</v>
      </c>
      <c r="C1272" t="s">
        <v>4006</v>
      </c>
      <c r="D1272" t="s">
        <v>4723</v>
      </c>
      <c r="E1272">
        <v>127.78</v>
      </c>
      <c r="F1272" t="s">
        <v>21</v>
      </c>
    </row>
    <row r="1273" spans="1:6">
      <c r="A1273">
        <v>202308</v>
      </c>
      <c r="B1273" s="6">
        <v>45141</v>
      </c>
      <c r="C1273" t="s">
        <v>4622</v>
      </c>
      <c r="D1273" t="s">
        <v>4724</v>
      </c>
      <c r="E1273">
        <v>24.99</v>
      </c>
      <c r="F1273" t="s">
        <v>38</v>
      </c>
    </row>
    <row r="1274" spans="1:6">
      <c r="A1274">
        <v>202308</v>
      </c>
      <c r="B1274" s="6">
        <v>45141</v>
      </c>
      <c r="C1274" t="s">
        <v>4620</v>
      </c>
      <c r="D1274" t="s">
        <v>4725</v>
      </c>
      <c r="E1274">
        <v>10.19</v>
      </c>
      <c r="F1274" t="s">
        <v>38</v>
      </c>
    </row>
    <row r="1275" spans="1:6">
      <c r="A1275">
        <v>202308</v>
      </c>
      <c r="B1275" s="6">
        <v>45141</v>
      </c>
      <c r="C1275" t="s">
        <v>4006</v>
      </c>
      <c r="D1275" t="s">
        <v>4726</v>
      </c>
      <c r="E1275">
        <v>766.62</v>
      </c>
      <c r="F1275" t="s">
        <v>23</v>
      </c>
    </row>
    <row r="1276" spans="1:6">
      <c r="A1276">
        <v>202308</v>
      </c>
      <c r="B1276" s="6">
        <v>45141</v>
      </c>
      <c r="C1276" t="s">
        <v>4336</v>
      </c>
      <c r="D1276" t="s">
        <v>404</v>
      </c>
      <c r="E1276">
        <v>-3524.05</v>
      </c>
      <c r="F1276" t="s">
        <v>66</v>
      </c>
    </row>
    <row r="1277" spans="1:6">
      <c r="A1277">
        <v>202308</v>
      </c>
      <c r="B1277" s="6">
        <v>45141</v>
      </c>
      <c r="C1277" t="s">
        <v>4006</v>
      </c>
      <c r="D1277" t="s">
        <v>4727</v>
      </c>
      <c r="E1277">
        <v>15.55</v>
      </c>
      <c r="F1277" t="s">
        <v>26</v>
      </c>
    </row>
    <row r="1278" spans="1:6">
      <c r="A1278">
        <v>202308</v>
      </c>
      <c r="B1278" s="6">
        <v>45141</v>
      </c>
      <c r="C1278" t="s">
        <v>4006</v>
      </c>
      <c r="D1278" t="s">
        <v>545</v>
      </c>
      <c r="E1278">
        <v>17.309999999999999</v>
      </c>
      <c r="F1278" t="s">
        <v>26</v>
      </c>
    </row>
    <row r="1279" spans="1:6">
      <c r="A1279">
        <v>202308</v>
      </c>
      <c r="B1279" s="6">
        <v>45141</v>
      </c>
      <c r="C1279" t="s">
        <v>4624</v>
      </c>
      <c r="D1279" t="s">
        <v>4728</v>
      </c>
      <c r="E1279">
        <v>892.5</v>
      </c>
      <c r="F1279" t="s">
        <v>20</v>
      </c>
    </row>
    <row r="1280" spans="1:6">
      <c r="A1280">
        <v>202308</v>
      </c>
      <c r="B1280" s="6">
        <v>45141</v>
      </c>
      <c r="C1280" t="s">
        <v>4006</v>
      </c>
      <c r="D1280" t="s">
        <v>1849</v>
      </c>
      <c r="E1280">
        <v>40</v>
      </c>
      <c r="F1280" t="s">
        <v>2</v>
      </c>
    </row>
    <row r="1281" spans="1:6">
      <c r="A1281">
        <v>202308</v>
      </c>
      <c r="B1281" s="6">
        <v>45142</v>
      </c>
      <c r="C1281" t="s">
        <v>4006</v>
      </c>
      <c r="D1281" t="s">
        <v>4729</v>
      </c>
      <c r="E1281">
        <v>21.14</v>
      </c>
      <c r="F1281" t="s">
        <v>26</v>
      </c>
    </row>
    <row r="1282" spans="1:6">
      <c r="A1282">
        <v>202308</v>
      </c>
      <c r="B1282" s="6">
        <v>45142</v>
      </c>
      <c r="C1282" t="s">
        <v>4006</v>
      </c>
      <c r="D1282" t="s">
        <v>453</v>
      </c>
      <c r="E1282">
        <v>20.57</v>
      </c>
      <c r="F1282" t="s">
        <v>26</v>
      </c>
    </row>
    <row r="1283" spans="1:6">
      <c r="A1283">
        <v>202308</v>
      </c>
      <c r="B1283" s="6">
        <v>45142</v>
      </c>
      <c r="C1283" t="s">
        <v>4006</v>
      </c>
      <c r="D1283" t="s">
        <v>1014</v>
      </c>
      <c r="E1283">
        <v>10.199999999999999</v>
      </c>
      <c r="F1283" t="s">
        <v>26</v>
      </c>
    </row>
    <row r="1284" spans="1:6">
      <c r="A1284">
        <v>202308</v>
      </c>
      <c r="B1284" s="6">
        <v>45142</v>
      </c>
      <c r="C1284" t="s">
        <v>4006</v>
      </c>
      <c r="D1284" t="s">
        <v>1707</v>
      </c>
      <c r="E1284">
        <v>61.33</v>
      </c>
      <c r="F1284" t="s">
        <v>23</v>
      </c>
    </row>
    <row r="1285" spans="1:6">
      <c r="A1285">
        <v>202308</v>
      </c>
      <c r="B1285" s="6">
        <v>45142</v>
      </c>
      <c r="C1285" t="s">
        <v>4006</v>
      </c>
      <c r="D1285" t="s">
        <v>4730</v>
      </c>
      <c r="E1285">
        <v>73.94</v>
      </c>
      <c r="F1285" t="s">
        <v>26</v>
      </c>
    </row>
    <row r="1286" spans="1:6">
      <c r="A1286">
        <v>202308</v>
      </c>
      <c r="B1286" s="6">
        <v>45143</v>
      </c>
      <c r="C1286" t="s">
        <v>4006</v>
      </c>
      <c r="D1286" t="s">
        <v>4731</v>
      </c>
      <c r="E1286">
        <v>4.99</v>
      </c>
      <c r="F1286" t="s">
        <v>23</v>
      </c>
    </row>
    <row r="1287" spans="1:6">
      <c r="A1287">
        <v>202308</v>
      </c>
      <c r="B1287" s="6">
        <v>45143</v>
      </c>
      <c r="C1287" t="s">
        <v>4006</v>
      </c>
      <c r="D1287" t="s">
        <v>4731</v>
      </c>
      <c r="E1287">
        <v>57.44</v>
      </c>
      <c r="F1287" t="s">
        <v>23</v>
      </c>
    </row>
    <row r="1288" spans="1:6">
      <c r="A1288">
        <v>202308</v>
      </c>
      <c r="B1288" s="6">
        <v>45143</v>
      </c>
      <c r="C1288" t="s">
        <v>4006</v>
      </c>
      <c r="D1288" t="s">
        <v>684</v>
      </c>
      <c r="E1288">
        <v>38.090000000000003</v>
      </c>
      <c r="F1288" t="s">
        <v>28</v>
      </c>
    </row>
    <row r="1289" spans="1:6">
      <c r="A1289">
        <v>202308</v>
      </c>
      <c r="B1289" s="6">
        <v>45144</v>
      </c>
      <c r="C1289" t="s">
        <v>4006</v>
      </c>
      <c r="D1289" t="s">
        <v>103</v>
      </c>
      <c r="E1289">
        <v>307.47000000000003</v>
      </c>
      <c r="F1289" t="s">
        <v>28</v>
      </c>
    </row>
    <row r="1290" spans="1:6">
      <c r="A1290">
        <v>202308</v>
      </c>
      <c r="B1290" s="6">
        <v>45144</v>
      </c>
      <c r="C1290" t="s">
        <v>4626</v>
      </c>
      <c r="D1290" t="s">
        <v>4732</v>
      </c>
      <c r="E1290">
        <v>18.77</v>
      </c>
      <c r="F1290" t="s">
        <v>40</v>
      </c>
    </row>
    <row r="1291" spans="1:6">
      <c r="A1291">
        <v>202308</v>
      </c>
      <c r="B1291" s="6">
        <v>45144</v>
      </c>
      <c r="C1291" t="s">
        <v>4006</v>
      </c>
      <c r="D1291" t="s">
        <v>453</v>
      </c>
      <c r="E1291">
        <v>23.31</v>
      </c>
      <c r="F1291" t="s">
        <v>26</v>
      </c>
    </row>
    <row r="1292" spans="1:6">
      <c r="A1292">
        <v>202308</v>
      </c>
      <c r="B1292" s="6">
        <v>45144</v>
      </c>
      <c r="C1292" t="s">
        <v>4640</v>
      </c>
      <c r="D1292" t="s">
        <v>4733</v>
      </c>
      <c r="E1292">
        <v>17.61</v>
      </c>
      <c r="F1292" t="s">
        <v>23</v>
      </c>
    </row>
    <row r="1293" spans="1:6">
      <c r="A1293">
        <v>202308</v>
      </c>
      <c r="B1293" s="6">
        <v>45144</v>
      </c>
      <c r="C1293" t="s">
        <v>4630</v>
      </c>
      <c r="D1293" t="s">
        <v>4734</v>
      </c>
      <c r="E1293">
        <v>93.96</v>
      </c>
      <c r="F1293" t="s">
        <v>21</v>
      </c>
    </row>
    <row r="1294" spans="1:6">
      <c r="A1294">
        <v>202308</v>
      </c>
      <c r="B1294" s="6">
        <v>45144</v>
      </c>
      <c r="C1294" t="s">
        <v>4636</v>
      </c>
      <c r="D1294" t="s">
        <v>4735</v>
      </c>
      <c r="E1294">
        <v>15.37</v>
      </c>
      <c r="F1294" t="s">
        <v>26</v>
      </c>
    </row>
    <row r="1295" spans="1:6">
      <c r="A1295">
        <v>202308</v>
      </c>
      <c r="B1295" s="6">
        <v>45144</v>
      </c>
      <c r="C1295" t="s">
        <v>4632</v>
      </c>
      <c r="D1295" t="s">
        <v>4736</v>
      </c>
      <c r="E1295">
        <v>227.95</v>
      </c>
      <c r="F1295" t="s">
        <v>21</v>
      </c>
    </row>
    <row r="1296" spans="1:6">
      <c r="A1296">
        <v>202308</v>
      </c>
      <c r="B1296" s="6">
        <v>45144</v>
      </c>
      <c r="C1296" t="s">
        <v>4006</v>
      </c>
      <c r="D1296" t="s">
        <v>1925</v>
      </c>
      <c r="E1296">
        <v>105.97</v>
      </c>
      <c r="F1296" t="s">
        <v>28</v>
      </c>
    </row>
    <row r="1297" spans="1:6">
      <c r="A1297">
        <v>202308</v>
      </c>
      <c r="B1297" s="6">
        <v>45144</v>
      </c>
      <c r="C1297" t="s">
        <v>4634</v>
      </c>
      <c r="D1297" t="s">
        <v>4737</v>
      </c>
      <c r="E1297">
        <v>9</v>
      </c>
      <c r="F1297" t="s">
        <v>26</v>
      </c>
    </row>
    <row r="1298" spans="1:6">
      <c r="A1298">
        <v>202308</v>
      </c>
      <c r="B1298" s="6">
        <v>45144</v>
      </c>
      <c r="C1298" t="s">
        <v>4628</v>
      </c>
      <c r="D1298" t="s">
        <v>4738</v>
      </c>
      <c r="E1298">
        <v>31.94</v>
      </c>
      <c r="F1298" t="s">
        <v>9</v>
      </c>
    </row>
    <row r="1299" spans="1:6">
      <c r="A1299">
        <v>202308</v>
      </c>
      <c r="B1299" s="6">
        <v>45145</v>
      </c>
      <c r="C1299" t="s">
        <v>3932</v>
      </c>
      <c r="D1299" t="s">
        <v>38</v>
      </c>
      <c r="E1299">
        <v>19.27</v>
      </c>
      <c r="F1299" t="s">
        <v>38</v>
      </c>
    </row>
    <row r="1300" spans="1:6">
      <c r="A1300">
        <v>202308</v>
      </c>
      <c r="B1300" s="6">
        <v>45145</v>
      </c>
      <c r="C1300" t="s">
        <v>4006</v>
      </c>
      <c r="D1300" t="s">
        <v>4739</v>
      </c>
      <c r="E1300">
        <v>59.85</v>
      </c>
      <c r="F1300" t="s">
        <v>28</v>
      </c>
    </row>
    <row r="1301" spans="1:6">
      <c r="A1301">
        <v>202308</v>
      </c>
      <c r="B1301" s="6">
        <v>45145</v>
      </c>
      <c r="C1301" t="s">
        <v>4006</v>
      </c>
      <c r="D1301" t="s">
        <v>1925</v>
      </c>
      <c r="E1301">
        <v>60.4</v>
      </c>
      <c r="F1301" t="s">
        <v>28</v>
      </c>
    </row>
    <row r="1302" spans="1:6">
      <c r="A1302">
        <v>202308</v>
      </c>
      <c r="B1302" s="6">
        <v>45146</v>
      </c>
      <c r="C1302" t="s">
        <v>3932</v>
      </c>
      <c r="D1302" t="s">
        <v>38</v>
      </c>
      <c r="E1302">
        <v>139.58000000000001</v>
      </c>
      <c r="F1302" t="s">
        <v>38</v>
      </c>
    </row>
    <row r="1303" spans="1:6">
      <c r="A1303">
        <v>202308</v>
      </c>
      <c r="B1303" s="6">
        <v>45146</v>
      </c>
      <c r="C1303" t="s">
        <v>4264</v>
      </c>
      <c r="D1303" t="s">
        <v>4740</v>
      </c>
      <c r="E1303">
        <v>13.42</v>
      </c>
      <c r="F1303" t="s">
        <v>38</v>
      </c>
    </row>
    <row r="1304" spans="1:6">
      <c r="A1304">
        <v>202308</v>
      </c>
      <c r="B1304" s="6">
        <v>45146</v>
      </c>
      <c r="C1304" t="s">
        <v>4260</v>
      </c>
      <c r="D1304" t="s">
        <v>4741</v>
      </c>
      <c r="E1304">
        <v>37.56</v>
      </c>
      <c r="F1304" t="s">
        <v>38</v>
      </c>
    </row>
    <row r="1305" spans="1:6">
      <c r="A1305">
        <v>202308</v>
      </c>
      <c r="B1305" s="6">
        <v>45146</v>
      </c>
      <c r="C1305" t="s">
        <v>4269</v>
      </c>
      <c r="D1305" t="s">
        <v>4742</v>
      </c>
      <c r="E1305">
        <v>11.8</v>
      </c>
      <c r="F1305" t="s">
        <v>38</v>
      </c>
    </row>
    <row r="1306" spans="1:6">
      <c r="A1306">
        <v>202308</v>
      </c>
      <c r="B1306" s="6">
        <v>45146</v>
      </c>
      <c r="C1306" t="s">
        <v>4261</v>
      </c>
      <c r="D1306" t="s">
        <v>4743</v>
      </c>
      <c r="E1306">
        <v>36.99</v>
      </c>
      <c r="F1306" t="s">
        <v>38</v>
      </c>
    </row>
    <row r="1307" spans="1:6">
      <c r="A1307">
        <v>202308</v>
      </c>
      <c r="B1307" s="6">
        <v>45146</v>
      </c>
      <c r="C1307" t="s">
        <v>4006</v>
      </c>
      <c r="D1307" t="s">
        <v>4744</v>
      </c>
      <c r="E1307">
        <v>27</v>
      </c>
      <c r="F1307" t="s">
        <v>20</v>
      </c>
    </row>
    <row r="1308" spans="1:6">
      <c r="A1308">
        <v>202308</v>
      </c>
      <c r="B1308" s="6">
        <v>45146</v>
      </c>
      <c r="C1308" t="s">
        <v>4638</v>
      </c>
      <c r="D1308" t="s">
        <v>4746</v>
      </c>
      <c r="E1308">
        <v>8.09</v>
      </c>
      <c r="F1308" t="s">
        <v>23</v>
      </c>
    </row>
    <row r="1309" spans="1:6">
      <c r="A1309">
        <v>202308</v>
      </c>
      <c r="B1309" s="6">
        <v>45146</v>
      </c>
      <c r="C1309" t="s">
        <v>4006</v>
      </c>
      <c r="D1309" t="s">
        <v>1353</v>
      </c>
      <c r="E1309">
        <v>36.24</v>
      </c>
      <c r="F1309" t="s">
        <v>26</v>
      </c>
    </row>
    <row r="1310" spans="1:6">
      <c r="A1310">
        <v>202308</v>
      </c>
      <c r="B1310" s="6">
        <v>45146</v>
      </c>
      <c r="C1310" t="s">
        <v>4337</v>
      </c>
      <c r="D1310" t="s">
        <v>1469</v>
      </c>
      <c r="E1310">
        <v>174.78</v>
      </c>
      <c r="F1310" t="s">
        <v>7</v>
      </c>
    </row>
    <row r="1311" spans="1:6">
      <c r="A1311">
        <v>202308</v>
      </c>
      <c r="B1311" s="6">
        <v>45146</v>
      </c>
      <c r="C1311" t="s">
        <v>4006</v>
      </c>
      <c r="D1311" t="s">
        <v>4747</v>
      </c>
      <c r="E1311">
        <v>22.44</v>
      </c>
      <c r="F1311" t="s">
        <v>26</v>
      </c>
    </row>
    <row r="1312" spans="1:6">
      <c r="A1312">
        <v>202308</v>
      </c>
      <c r="B1312" s="6">
        <v>45146</v>
      </c>
      <c r="C1312" t="s">
        <v>4342</v>
      </c>
      <c r="D1312" t="s">
        <v>4748</v>
      </c>
      <c r="E1312">
        <v>265</v>
      </c>
      <c r="F1312" t="s">
        <v>20</v>
      </c>
    </row>
    <row r="1313" spans="1:6">
      <c r="A1313">
        <v>202308</v>
      </c>
      <c r="B1313" s="6">
        <v>45146</v>
      </c>
      <c r="C1313" t="s">
        <v>4268</v>
      </c>
      <c r="D1313" t="s">
        <v>4749</v>
      </c>
      <c r="E1313">
        <v>38.99</v>
      </c>
      <c r="F1313" t="s">
        <v>7</v>
      </c>
    </row>
    <row r="1314" spans="1:6">
      <c r="A1314">
        <v>202308</v>
      </c>
      <c r="B1314" s="6">
        <v>45147</v>
      </c>
      <c r="C1314" t="s">
        <v>4276</v>
      </c>
      <c r="D1314" t="s">
        <v>4750</v>
      </c>
      <c r="E1314">
        <v>12</v>
      </c>
      <c r="F1314" t="s">
        <v>40</v>
      </c>
    </row>
    <row r="1315" spans="1:6">
      <c r="A1315">
        <v>202308</v>
      </c>
      <c r="B1315" s="6">
        <v>45147</v>
      </c>
      <c r="C1315" t="s">
        <v>4006</v>
      </c>
      <c r="D1315" t="s">
        <v>4017</v>
      </c>
      <c r="E1315">
        <v>49.98</v>
      </c>
      <c r="F1315" t="s">
        <v>28</v>
      </c>
    </row>
    <row r="1316" spans="1:6">
      <c r="A1316">
        <v>202308</v>
      </c>
      <c r="B1316" s="6">
        <v>45147</v>
      </c>
      <c r="C1316" t="s">
        <v>4351</v>
      </c>
      <c r="D1316" t="s">
        <v>1461</v>
      </c>
      <c r="E1316">
        <v>116.84</v>
      </c>
      <c r="F1316" t="s">
        <v>7</v>
      </c>
    </row>
    <row r="1317" spans="1:6">
      <c r="A1317">
        <v>202308</v>
      </c>
      <c r="B1317" s="6">
        <v>45147</v>
      </c>
      <c r="C1317" t="s">
        <v>4350</v>
      </c>
      <c r="D1317" t="s">
        <v>1470</v>
      </c>
      <c r="E1317">
        <v>193.55</v>
      </c>
      <c r="F1317" t="s">
        <v>7</v>
      </c>
    </row>
    <row r="1318" spans="1:6">
      <c r="A1318">
        <v>202308</v>
      </c>
      <c r="B1318" s="6">
        <v>45147</v>
      </c>
      <c r="C1318" t="s">
        <v>4266</v>
      </c>
      <c r="D1318" t="s">
        <v>4751</v>
      </c>
      <c r="E1318">
        <v>47.25</v>
      </c>
      <c r="F1318" t="s">
        <v>34</v>
      </c>
    </row>
    <row r="1319" spans="1:6">
      <c r="A1319">
        <v>202308</v>
      </c>
      <c r="B1319" s="6">
        <v>45147</v>
      </c>
      <c r="C1319" t="s">
        <v>4006</v>
      </c>
      <c r="D1319" t="s">
        <v>31</v>
      </c>
      <c r="E1319">
        <v>47.74</v>
      </c>
      <c r="F1319" t="s">
        <v>31</v>
      </c>
    </row>
    <row r="1320" spans="1:6">
      <c r="A1320">
        <v>202308</v>
      </c>
      <c r="B1320" s="6">
        <v>45147</v>
      </c>
      <c r="C1320" t="s">
        <v>4277</v>
      </c>
      <c r="D1320" t="s">
        <v>4752</v>
      </c>
      <c r="E1320">
        <v>6.18</v>
      </c>
      <c r="F1320" t="s">
        <v>2</v>
      </c>
    </row>
    <row r="1321" spans="1:6">
      <c r="A1321">
        <v>202308</v>
      </c>
      <c r="B1321" s="6">
        <v>45148</v>
      </c>
      <c r="C1321" t="s">
        <v>4292</v>
      </c>
      <c r="D1321" t="s">
        <v>4753</v>
      </c>
      <c r="E1321">
        <v>33.54</v>
      </c>
      <c r="F1321" t="s">
        <v>23</v>
      </c>
    </row>
    <row r="1322" spans="1:6">
      <c r="A1322">
        <v>202308</v>
      </c>
      <c r="B1322" s="6">
        <v>45148</v>
      </c>
      <c r="C1322" t="s">
        <v>4282</v>
      </c>
      <c r="D1322" t="s">
        <v>4754</v>
      </c>
      <c r="E1322">
        <v>130</v>
      </c>
      <c r="F1322" t="s">
        <v>21</v>
      </c>
    </row>
    <row r="1323" spans="1:6">
      <c r="A1323">
        <v>202308</v>
      </c>
      <c r="B1323" s="6">
        <v>45148</v>
      </c>
      <c r="C1323" t="s">
        <v>4286</v>
      </c>
      <c r="D1323" t="s">
        <v>4755</v>
      </c>
      <c r="E1323">
        <v>123.36</v>
      </c>
      <c r="F1323" t="e">
        <v>#REF!</v>
      </c>
    </row>
    <row r="1324" spans="1:6">
      <c r="A1324">
        <v>202308</v>
      </c>
      <c r="B1324" s="6">
        <v>45148</v>
      </c>
      <c r="C1324" t="s">
        <v>4006</v>
      </c>
      <c r="D1324" t="s">
        <v>1925</v>
      </c>
      <c r="E1324">
        <v>51.6</v>
      </c>
      <c r="F1324" t="s">
        <v>28</v>
      </c>
    </row>
    <row r="1325" spans="1:6">
      <c r="A1325">
        <v>202308</v>
      </c>
      <c r="B1325" s="6">
        <v>45149</v>
      </c>
      <c r="C1325" t="s">
        <v>4006</v>
      </c>
      <c r="D1325" t="s">
        <v>4756</v>
      </c>
      <c r="E1325">
        <v>3.46</v>
      </c>
      <c r="F1325" t="s">
        <v>23</v>
      </c>
    </row>
    <row r="1326" spans="1:6">
      <c r="A1326">
        <v>202308</v>
      </c>
      <c r="B1326" s="6">
        <v>45149</v>
      </c>
      <c r="C1326" t="s">
        <v>4327</v>
      </c>
      <c r="D1326" t="s">
        <v>4757</v>
      </c>
      <c r="E1326">
        <v>3.75</v>
      </c>
      <c r="F1326" t="s">
        <v>28</v>
      </c>
    </row>
    <row r="1327" spans="1:6">
      <c r="A1327">
        <v>202308</v>
      </c>
      <c r="B1327" s="6">
        <v>45149</v>
      </c>
      <c r="C1327" t="s">
        <v>4328</v>
      </c>
      <c r="D1327" t="s">
        <v>4758</v>
      </c>
      <c r="E1327">
        <v>122.46</v>
      </c>
      <c r="F1327" t="s">
        <v>28</v>
      </c>
    </row>
    <row r="1328" spans="1:6">
      <c r="A1328">
        <v>202308</v>
      </c>
      <c r="B1328" s="6">
        <v>45149</v>
      </c>
      <c r="C1328" t="s">
        <v>4006</v>
      </c>
      <c r="D1328" t="s">
        <v>684</v>
      </c>
      <c r="E1328">
        <v>43.61</v>
      </c>
      <c r="F1328" t="s">
        <v>28</v>
      </c>
    </row>
    <row r="1329" spans="1:6">
      <c r="A1329">
        <v>202308</v>
      </c>
      <c r="B1329" s="6">
        <v>45149</v>
      </c>
      <c r="C1329" t="s">
        <v>4006</v>
      </c>
      <c r="D1329" t="s">
        <v>4093</v>
      </c>
      <c r="E1329">
        <v>7.13</v>
      </c>
      <c r="F1329" t="s">
        <v>28</v>
      </c>
    </row>
    <row r="1330" spans="1:6">
      <c r="A1330">
        <v>202308</v>
      </c>
      <c r="B1330" s="6">
        <v>45149</v>
      </c>
      <c r="C1330" t="s">
        <v>4006</v>
      </c>
      <c r="D1330" t="s">
        <v>1277</v>
      </c>
      <c r="E1330">
        <v>49.61</v>
      </c>
      <c r="F1330" t="s">
        <v>26</v>
      </c>
    </row>
    <row r="1331" spans="1:6">
      <c r="A1331">
        <v>202308</v>
      </c>
      <c r="B1331" s="6">
        <v>45149</v>
      </c>
      <c r="C1331" t="s">
        <v>4006</v>
      </c>
      <c r="D1331" t="s">
        <v>4759</v>
      </c>
      <c r="E1331">
        <v>57.98</v>
      </c>
      <c r="F1331" t="s">
        <v>7</v>
      </c>
    </row>
    <row r="1332" spans="1:6">
      <c r="A1332">
        <v>202308</v>
      </c>
      <c r="B1332" s="6">
        <v>45149</v>
      </c>
      <c r="C1332" t="s">
        <v>4321</v>
      </c>
      <c r="D1332" t="s">
        <v>4760</v>
      </c>
      <c r="E1332">
        <v>25.36</v>
      </c>
      <c r="F1332" t="s">
        <v>7</v>
      </c>
    </row>
    <row r="1333" spans="1:6">
      <c r="A1333">
        <v>202308</v>
      </c>
      <c r="B1333" s="6">
        <v>45149</v>
      </c>
      <c r="C1333" t="s">
        <v>4325</v>
      </c>
      <c r="D1333" t="s">
        <v>4761</v>
      </c>
      <c r="E1333">
        <v>-57.68</v>
      </c>
      <c r="F1333" t="s">
        <v>21</v>
      </c>
    </row>
    <row r="1334" spans="1:6">
      <c r="A1334">
        <v>202308</v>
      </c>
      <c r="B1334" s="6">
        <v>45149</v>
      </c>
      <c r="C1334" t="s">
        <v>4006</v>
      </c>
      <c r="D1334" t="s">
        <v>4762</v>
      </c>
      <c r="E1334">
        <v>28</v>
      </c>
      <c r="F1334" t="s">
        <v>40</v>
      </c>
    </row>
    <row r="1335" spans="1:6">
      <c r="A1335">
        <v>202308</v>
      </c>
      <c r="B1335" s="6">
        <v>45149</v>
      </c>
      <c r="C1335" t="s">
        <v>4006</v>
      </c>
      <c r="D1335" t="s">
        <v>4762</v>
      </c>
      <c r="E1335">
        <v>48</v>
      </c>
      <c r="F1335" t="s">
        <v>40</v>
      </c>
    </row>
    <row r="1336" spans="1:6">
      <c r="A1336">
        <v>202308</v>
      </c>
      <c r="B1336" s="6">
        <v>45149</v>
      </c>
      <c r="C1336" t="s">
        <v>4355</v>
      </c>
      <c r="D1336" t="s">
        <v>1958</v>
      </c>
      <c r="E1336">
        <v>125</v>
      </c>
      <c r="F1336" t="s">
        <v>21</v>
      </c>
    </row>
    <row r="1337" spans="1:6">
      <c r="A1337">
        <v>202308</v>
      </c>
      <c r="B1337" s="6">
        <v>45149</v>
      </c>
      <c r="C1337" t="s">
        <v>4006</v>
      </c>
      <c r="D1337" t="s">
        <v>4763</v>
      </c>
      <c r="E1337">
        <v>23.83</v>
      </c>
      <c r="F1337" t="s">
        <v>26</v>
      </c>
    </row>
    <row r="1338" spans="1:6">
      <c r="A1338">
        <v>202308</v>
      </c>
      <c r="B1338" s="6">
        <v>45150</v>
      </c>
      <c r="C1338" t="s">
        <v>4006</v>
      </c>
      <c r="D1338" t="s">
        <v>684</v>
      </c>
      <c r="E1338">
        <v>68.62</v>
      </c>
      <c r="F1338" t="s">
        <v>28</v>
      </c>
    </row>
    <row r="1339" spans="1:6">
      <c r="A1339">
        <v>202308</v>
      </c>
      <c r="B1339" s="6">
        <v>45151</v>
      </c>
      <c r="C1339" t="s">
        <v>4006</v>
      </c>
      <c r="D1339" t="s">
        <v>4764</v>
      </c>
      <c r="E1339">
        <v>23.67</v>
      </c>
      <c r="F1339" t="s">
        <v>23</v>
      </c>
    </row>
    <row r="1340" spans="1:6">
      <c r="A1340">
        <v>202308</v>
      </c>
      <c r="B1340" s="6">
        <v>45151</v>
      </c>
      <c r="C1340" t="s">
        <v>4006</v>
      </c>
      <c r="D1340" t="s">
        <v>4765</v>
      </c>
      <c r="E1340">
        <v>5.68</v>
      </c>
      <c r="F1340" t="s">
        <v>23</v>
      </c>
    </row>
    <row r="1341" spans="1:6">
      <c r="A1341">
        <v>202308</v>
      </c>
      <c r="B1341" s="6">
        <v>45151</v>
      </c>
      <c r="C1341" t="s">
        <v>4333</v>
      </c>
      <c r="D1341" t="s">
        <v>4766</v>
      </c>
      <c r="E1341">
        <v>45</v>
      </c>
      <c r="F1341" t="s">
        <v>7</v>
      </c>
    </row>
    <row r="1342" spans="1:6">
      <c r="A1342">
        <v>202308</v>
      </c>
      <c r="B1342" s="6">
        <v>45151</v>
      </c>
      <c r="C1342" t="s">
        <v>4330</v>
      </c>
      <c r="D1342" t="s">
        <v>4767</v>
      </c>
      <c r="E1342">
        <v>5.99</v>
      </c>
      <c r="F1342" t="s">
        <v>40</v>
      </c>
    </row>
    <row r="1343" spans="1:6">
      <c r="A1343">
        <v>202308</v>
      </c>
      <c r="B1343" s="6">
        <v>45151</v>
      </c>
      <c r="C1343" t="s">
        <v>4006</v>
      </c>
      <c r="D1343" t="s">
        <v>4768</v>
      </c>
      <c r="E1343">
        <v>36.92</v>
      </c>
      <c r="F1343" t="s">
        <v>26</v>
      </c>
    </row>
    <row r="1344" spans="1:6">
      <c r="A1344">
        <v>202308</v>
      </c>
      <c r="B1344" s="6">
        <v>45151</v>
      </c>
      <c r="C1344" t="s">
        <v>4352</v>
      </c>
      <c r="D1344" t="s">
        <v>4343</v>
      </c>
      <c r="E1344">
        <v>-3342.8</v>
      </c>
      <c r="F1344" t="s">
        <v>64</v>
      </c>
    </row>
    <row r="1345" spans="1:6">
      <c r="A1345">
        <v>202308</v>
      </c>
      <c r="B1345" s="6">
        <v>45151</v>
      </c>
      <c r="C1345" t="s">
        <v>4332</v>
      </c>
      <c r="D1345" t="s">
        <v>4770</v>
      </c>
      <c r="E1345">
        <v>19.440000000000001</v>
      </c>
      <c r="F1345" t="s">
        <v>48</v>
      </c>
    </row>
    <row r="1346" spans="1:6">
      <c r="A1346">
        <v>202308</v>
      </c>
      <c r="B1346" s="6">
        <v>45152</v>
      </c>
      <c r="C1346" t="s">
        <v>4368</v>
      </c>
      <c r="D1346" t="s">
        <v>4470</v>
      </c>
      <c r="E1346">
        <v>-61.97</v>
      </c>
      <c r="F1346" t="s">
        <v>64</v>
      </c>
    </row>
    <row r="1347" spans="1:6">
      <c r="A1347">
        <v>202308</v>
      </c>
      <c r="B1347" s="6">
        <v>45152</v>
      </c>
      <c r="C1347" t="s">
        <v>4337</v>
      </c>
      <c r="D1347" t="s">
        <v>4771</v>
      </c>
      <c r="E1347">
        <v>35.950000000000003</v>
      </c>
      <c r="F1347" t="s">
        <v>50</v>
      </c>
    </row>
    <row r="1348" spans="1:6">
      <c r="A1348">
        <v>202308</v>
      </c>
      <c r="B1348" s="6">
        <v>45152</v>
      </c>
      <c r="C1348" t="s">
        <v>4006</v>
      </c>
      <c r="D1348" t="s">
        <v>4012</v>
      </c>
      <c r="E1348">
        <v>-5262.85</v>
      </c>
      <c r="F1348" t="s">
        <v>9</v>
      </c>
    </row>
    <row r="1349" spans="1:6">
      <c r="A1349">
        <v>202308</v>
      </c>
      <c r="B1349" s="6">
        <v>45152</v>
      </c>
      <c r="C1349" t="s">
        <v>4342</v>
      </c>
      <c r="D1349" t="s">
        <v>4773</v>
      </c>
      <c r="E1349">
        <v>-2075.09</v>
      </c>
      <c r="F1349" t="s">
        <v>9</v>
      </c>
    </row>
    <row r="1350" spans="1:6">
      <c r="A1350">
        <v>202308</v>
      </c>
      <c r="B1350" s="6">
        <v>45152</v>
      </c>
      <c r="C1350" t="s">
        <v>4360</v>
      </c>
      <c r="D1350" t="s">
        <v>4356</v>
      </c>
      <c r="E1350">
        <v>116.77</v>
      </c>
      <c r="F1350" t="s">
        <v>18</v>
      </c>
    </row>
    <row r="1351" spans="1:6">
      <c r="A1351">
        <v>202308</v>
      </c>
      <c r="B1351" s="6">
        <v>45152</v>
      </c>
      <c r="C1351" t="s">
        <v>4336</v>
      </c>
      <c r="D1351" t="s">
        <v>4772</v>
      </c>
      <c r="E1351">
        <v>11.76</v>
      </c>
      <c r="F1351" t="s">
        <v>9</v>
      </c>
    </row>
    <row r="1352" spans="1:6">
      <c r="A1352">
        <v>202308</v>
      </c>
      <c r="B1352" s="6">
        <v>45152</v>
      </c>
      <c r="C1352" t="s">
        <v>4363</v>
      </c>
      <c r="D1352" t="s">
        <v>4293</v>
      </c>
      <c r="E1352">
        <v>2075.09</v>
      </c>
      <c r="F1352" t="s">
        <v>9</v>
      </c>
    </row>
    <row r="1353" spans="1:6">
      <c r="A1353">
        <v>202308</v>
      </c>
      <c r="B1353" s="6">
        <v>45153</v>
      </c>
      <c r="C1353" t="s">
        <v>3932</v>
      </c>
      <c r="D1353" t="s">
        <v>38</v>
      </c>
      <c r="E1353">
        <v>15.02</v>
      </c>
      <c r="F1353" t="s">
        <v>38</v>
      </c>
    </row>
    <row r="1354" spans="1:6">
      <c r="A1354">
        <v>202308</v>
      </c>
      <c r="B1354" s="6">
        <v>45153</v>
      </c>
      <c r="C1354" t="s">
        <v>4371</v>
      </c>
      <c r="D1354" t="s">
        <v>1458</v>
      </c>
      <c r="E1354">
        <v>5262.85</v>
      </c>
      <c r="F1354" t="s">
        <v>9</v>
      </c>
    </row>
    <row r="1355" spans="1:6">
      <c r="A1355">
        <v>202308</v>
      </c>
      <c r="B1355" s="6">
        <v>45153</v>
      </c>
      <c r="C1355" t="s">
        <v>4369</v>
      </c>
      <c r="D1355" t="s">
        <v>4774</v>
      </c>
      <c r="E1355">
        <v>265</v>
      </c>
      <c r="F1355" t="s">
        <v>20</v>
      </c>
    </row>
    <row r="1356" spans="1:6">
      <c r="A1356">
        <v>202308</v>
      </c>
      <c r="B1356" s="6">
        <v>45154</v>
      </c>
      <c r="C1356" t="s">
        <v>3932</v>
      </c>
      <c r="D1356" t="s">
        <v>38</v>
      </c>
      <c r="E1356">
        <v>32.200000000000003</v>
      </c>
      <c r="F1356" t="s">
        <v>38</v>
      </c>
    </row>
    <row r="1357" spans="1:6">
      <c r="A1357">
        <v>202308</v>
      </c>
      <c r="B1357" s="6">
        <v>45154</v>
      </c>
      <c r="C1357" t="s">
        <v>4351</v>
      </c>
      <c r="D1357" t="s">
        <v>4775</v>
      </c>
      <c r="E1357">
        <v>7.74</v>
      </c>
      <c r="F1357" t="s">
        <v>26</v>
      </c>
    </row>
    <row r="1358" spans="1:6">
      <c r="A1358">
        <v>202308</v>
      </c>
      <c r="B1358" s="6">
        <v>45154</v>
      </c>
      <c r="C1358" t="s">
        <v>4370</v>
      </c>
      <c r="D1358" t="s">
        <v>4776</v>
      </c>
      <c r="E1358">
        <v>205</v>
      </c>
      <c r="F1358" t="e">
        <v>#N/A</v>
      </c>
    </row>
    <row r="1359" spans="1:6">
      <c r="A1359">
        <v>202308</v>
      </c>
      <c r="B1359" s="6">
        <v>45155</v>
      </c>
      <c r="C1359" t="s">
        <v>2712</v>
      </c>
      <c r="D1359" t="s">
        <v>404</v>
      </c>
      <c r="E1359">
        <v>-3630.74</v>
      </c>
      <c r="F1359" t="s">
        <v>66</v>
      </c>
    </row>
    <row r="1360" spans="1:6">
      <c r="A1360">
        <v>202308</v>
      </c>
      <c r="B1360" s="6">
        <v>45155</v>
      </c>
      <c r="C1360" t="s">
        <v>4375</v>
      </c>
      <c r="D1360" t="s">
        <v>4777</v>
      </c>
      <c r="E1360">
        <v>-2417.85</v>
      </c>
      <c r="F1360" t="s">
        <v>64</v>
      </c>
    </row>
    <row r="1361" spans="1:6">
      <c r="A1361">
        <v>202308</v>
      </c>
      <c r="B1361" s="6">
        <v>45155</v>
      </c>
      <c r="C1361" t="s">
        <v>4006</v>
      </c>
      <c r="D1361" t="s">
        <v>4778</v>
      </c>
      <c r="E1361">
        <v>39.159999999999997</v>
      </c>
      <c r="F1361" t="s">
        <v>26</v>
      </c>
    </row>
    <row r="1362" spans="1:6">
      <c r="A1362">
        <v>202308</v>
      </c>
      <c r="B1362" s="6">
        <v>45156</v>
      </c>
      <c r="C1362" t="s">
        <v>3932</v>
      </c>
      <c r="D1362" t="s">
        <v>4779</v>
      </c>
      <c r="E1362">
        <v>-33.799999999999997</v>
      </c>
      <c r="F1362" t="s">
        <v>9</v>
      </c>
    </row>
    <row r="1363" spans="1:6">
      <c r="A1363">
        <v>202308</v>
      </c>
      <c r="B1363" s="6">
        <v>45156</v>
      </c>
      <c r="C1363" t="s">
        <v>4006</v>
      </c>
      <c r="D1363" t="s">
        <v>4780</v>
      </c>
      <c r="E1363">
        <v>14.96</v>
      </c>
      <c r="F1363" t="s">
        <v>40</v>
      </c>
    </row>
    <row r="1364" spans="1:6">
      <c r="A1364">
        <v>202308</v>
      </c>
      <c r="B1364" s="6">
        <v>45156</v>
      </c>
      <c r="C1364" t="s">
        <v>4006</v>
      </c>
      <c r="D1364" t="s">
        <v>945</v>
      </c>
      <c r="E1364">
        <v>56.25</v>
      </c>
      <c r="F1364" t="s">
        <v>28</v>
      </c>
    </row>
    <row r="1365" spans="1:6">
      <c r="A1365">
        <v>202308</v>
      </c>
      <c r="B1365" s="6">
        <v>45156</v>
      </c>
      <c r="C1365" t="s">
        <v>4380</v>
      </c>
      <c r="D1365" t="s">
        <v>4781</v>
      </c>
      <c r="E1365">
        <v>650</v>
      </c>
      <c r="F1365" t="s">
        <v>20</v>
      </c>
    </row>
    <row r="1366" spans="1:6">
      <c r="A1366">
        <v>202308</v>
      </c>
      <c r="B1366" s="6">
        <v>45158</v>
      </c>
      <c r="C1366" t="s">
        <v>4350</v>
      </c>
      <c r="D1366" t="s">
        <v>4782</v>
      </c>
      <c r="E1366">
        <v>178.5</v>
      </c>
      <c r="F1366" t="s">
        <v>20</v>
      </c>
    </row>
    <row r="1367" spans="1:6">
      <c r="A1367">
        <v>202308</v>
      </c>
      <c r="B1367" s="6">
        <v>45158</v>
      </c>
      <c r="C1367" t="s">
        <v>4006</v>
      </c>
      <c r="D1367" t="s">
        <v>4783</v>
      </c>
      <c r="E1367">
        <v>116.2</v>
      </c>
      <c r="F1367" t="s">
        <v>26</v>
      </c>
    </row>
    <row r="1368" spans="1:6">
      <c r="A1368">
        <v>202308</v>
      </c>
      <c r="B1368" s="6">
        <v>45159</v>
      </c>
      <c r="C1368" t="s">
        <v>4355</v>
      </c>
      <c r="D1368" t="s">
        <v>4784</v>
      </c>
      <c r="E1368">
        <v>11</v>
      </c>
      <c r="F1368" t="s">
        <v>7</v>
      </c>
    </row>
    <row r="1369" spans="1:6">
      <c r="A1369">
        <v>202308</v>
      </c>
      <c r="B1369" s="6">
        <v>45159</v>
      </c>
      <c r="C1369" t="s">
        <v>4006</v>
      </c>
      <c r="D1369" t="s">
        <v>453</v>
      </c>
      <c r="E1369">
        <v>12.24</v>
      </c>
      <c r="F1369" t="s">
        <v>26</v>
      </c>
    </row>
    <row r="1370" spans="1:6">
      <c r="A1370">
        <v>202308</v>
      </c>
      <c r="B1370" s="6">
        <v>45159</v>
      </c>
      <c r="C1370" t="s">
        <v>4400</v>
      </c>
      <c r="D1370" t="s">
        <v>4785</v>
      </c>
      <c r="E1370">
        <v>-3000</v>
      </c>
      <c r="F1370" t="s">
        <v>9</v>
      </c>
    </row>
    <row r="1371" spans="1:6">
      <c r="A1371">
        <v>202308</v>
      </c>
      <c r="B1371" s="6">
        <v>45159</v>
      </c>
      <c r="C1371" t="s">
        <v>4006</v>
      </c>
      <c r="D1371" t="s">
        <v>4786</v>
      </c>
      <c r="E1371">
        <v>518</v>
      </c>
      <c r="F1371" t="s">
        <v>40</v>
      </c>
    </row>
    <row r="1372" spans="1:6">
      <c r="A1372">
        <v>202308</v>
      </c>
      <c r="B1372" s="6">
        <v>45159</v>
      </c>
      <c r="C1372" t="s">
        <v>4006</v>
      </c>
      <c r="D1372" t="s">
        <v>1083</v>
      </c>
      <c r="E1372">
        <v>69.39</v>
      </c>
      <c r="F1372" t="s">
        <v>23</v>
      </c>
    </row>
    <row r="1373" spans="1:6">
      <c r="A1373">
        <v>202308</v>
      </c>
      <c r="B1373" s="6">
        <v>45159</v>
      </c>
      <c r="C1373" t="s">
        <v>4006</v>
      </c>
      <c r="D1373" t="s">
        <v>1356</v>
      </c>
      <c r="E1373">
        <v>123.38</v>
      </c>
      <c r="F1373" t="s">
        <v>26</v>
      </c>
    </row>
    <row r="1374" spans="1:6">
      <c r="A1374">
        <v>202308</v>
      </c>
      <c r="B1374" s="6">
        <v>45159</v>
      </c>
      <c r="C1374" t="s">
        <v>4381</v>
      </c>
      <c r="D1374" t="s">
        <v>1464</v>
      </c>
      <c r="E1374">
        <v>33.799999999999997</v>
      </c>
      <c r="F1374" t="s">
        <v>9</v>
      </c>
    </row>
    <row r="1375" spans="1:6">
      <c r="A1375">
        <v>202308</v>
      </c>
      <c r="B1375" s="6">
        <v>45159</v>
      </c>
      <c r="C1375" t="s">
        <v>4382</v>
      </c>
      <c r="D1375" t="s">
        <v>1955</v>
      </c>
      <c r="E1375">
        <v>2.99</v>
      </c>
      <c r="F1375" t="s">
        <v>21</v>
      </c>
    </row>
    <row r="1376" spans="1:6">
      <c r="A1376">
        <v>202308</v>
      </c>
      <c r="B1376" s="6">
        <v>45159</v>
      </c>
      <c r="C1376" t="s">
        <v>3199</v>
      </c>
      <c r="D1376" t="s">
        <v>4787</v>
      </c>
      <c r="E1376">
        <v>89.8</v>
      </c>
      <c r="F1376" t="s">
        <v>7</v>
      </c>
    </row>
    <row r="1377" spans="1:6">
      <c r="A1377">
        <v>202308</v>
      </c>
      <c r="B1377" s="6">
        <v>45160</v>
      </c>
      <c r="C1377" t="s">
        <v>4006</v>
      </c>
      <c r="D1377" t="s">
        <v>4788</v>
      </c>
      <c r="E1377">
        <v>47.65</v>
      </c>
      <c r="F1377" t="s">
        <v>40</v>
      </c>
    </row>
    <row r="1378" spans="1:6">
      <c r="A1378">
        <v>202308</v>
      </c>
      <c r="B1378" s="6">
        <v>45160</v>
      </c>
      <c r="C1378" t="s">
        <v>4352</v>
      </c>
      <c r="D1378" t="s">
        <v>4789</v>
      </c>
      <c r="E1378">
        <v>35.47</v>
      </c>
      <c r="F1378" t="s">
        <v>20</v>
      </c>
    </row>
    <row r="1379" spans="1:6">
      <c r="A1379">
        <v>202308</v>
      </c>
      <c r="B1379" s="6">
        <v>45160</v>
      </c>
      <c r="C1379" t="s">
        <v>4403</v>
      </c>
      <c r="D1379" t="s">
        <v>4790</v>
      </c>
      <c r="E1379">
        <v>265</v>
      </c>
      <c r="F1379" t="s">
        <v>20</v>
      </c>
    </row>
    <row r="1380" spans="1:6">
      <c r="A1380">
        <v>202308</v>
      </c>
      <c r="B1380" s="6">
        <v>45161</v>
      </c>
      <c r="C1380" t="s">
        <v>4006</v>
      </c>
      <c r="D1380" t="s">
        <v>4791</v>
      </c>
      <c r="E1380">
        <v>240.42</v>
      </c>
      <c r="F1380" t="s">
        <v>21</v>
      </c>
    </row>
    <row r="1381" spans="1:6">
      <c r="A1381">
        <v>202308</v>
      </c>
      <c r="B1381" s="6">
        <v>45161</v>
      </c>
      <c r="C1381" t="s">
        <v>4360</v>
      </c>
      <c r="D1381" t="s">
        <v>4792</v>
      </c>
      <c r="E1381">
        <v>115.95</v>
      </c>
      <c r="F1381" t="s">
        <v>21</v>
      </c>
    </row>
    <row r="1382" spans="1:6">
      <c r="A1382">
        <v>202308</v>
      </c>
      <c r="B1382" s="6">
        <v>45161</v>
      </c>
      <c r="C1382" t="s">
        <v>4363</v>
      </c>
      <c r="D1382" t="s">
        <v>4793</v>
      </c>
      <c r="E1382">
        <v>146</v>
      </c>
      <c r="F1382" t="s">
        <v>21</v>
      </c>
    </row>
    <row r="1383" spans="1:6">
      <c r="A1383">
        <v>202308</v>
      </c>
      <c r="B1383" s="6">
        <v>45162</v>
      </c>
      <c r="C1383" t="s">
        <v>4368</v>
      </c>
      <c r="D1383" t="s">
        <v>4794</v>
      </c>
      <c r="E1383">
        <v>78.98</v>
      </c>
      <c r="F1383" t="s">
        <v>38</v>
      </c>
    </row>
    <row r="1384" spans="1:6">
      <c r="A1384">
        <v>202308</v>
      </c>
      <c r="B1384" s="6">
        <v>45163</v>
      </c>
      <c r="C1384" t="s">
        <v>4369</v>
      </c>
      <c r="D1384" t="s">
        <v>4795</v>
      </c>
      <c r="E1384">
        <v>17.170000000000002</v>
      </c>
      <c r="F1384" t="s">
        <v>38</v>
      </c>
    </row>
    <row r="1385" spans="1:6">
      <c r="A1385">
        <v>202308</v>
      </c>
      <c r="B1385" s="6">
        <v>45163</v>
      </c>
      <c r="C1385" t="s">
        <v>4413</v>
      </c>
      <c r="D1385" t="s">
        <v>1355</v>
      </c>
      <c r="E1385">
        <v>466.57</v>
      </c>
      <c r="F1385" t="s">
        <v>21</v>
      </c>
    </row>
    <row r="1386" spans="1:6">
      <c r="A1386">
        <v>202308</v>
      </c>
      <c r="B1386" s="6">
        <v>45163</v>
      </c>
      <c r="C1386" t="s">
        <v>4405</v>
      </c>
      <c r="D1386" t="s">
        <v>4523</v>
      </c>
      <c r="E1386">
        <v>67.03</v>
      </c>
      <c r="F1386" t="s">
        <v>21</v>
      </c>
    </row>
    <row r="1387" spans="1:6">
      <c r="A1387">
        <v>202308</v>
      </c>
      <c r="B1387" s="6">
        <v>45163</v>
      </c>
      <c r="C1387" t="s">
        <v>4414</v>
      </c>
      <c r="D1387" t="s">
        <v>4415</v>
      </c>
      <c r="E1387">
        <v>479.24</v>
      </c>
      <c r="F1387" t="s">
        <v>9</v>
      </c>
    </row>
    <row r="1388" spans="1:6">
      <c r="A1388">
        <v>202308</v>
      </c>
      <c r="B1388" s="6">
        <v>45163</v>
      </c>
      <c r="C1388" t="s">
        <v>4412</v>
      </c>
      <c r="D1388" t="s">
        <v>4404</v>
      </c>
      <c r="E1388">
        <v>500</v>
      </c>
      <c r="F1388" t="s">
        <v>9</v>
      </c>
    </row>
    <row r="1389" spans="1:6">
      <c r="A1389">
        <v>202308</v>
      </c>
      <c r="B1389" s="6">
        <v>45163</v>
      </c>
      <c r="C1389" t="s">
        <v>4406</v>
      </c>
      <c r="D1389" t="s">
        <v>1958</v>
      </c>
      <c r="E1389">
        <v>100</v>
      </c>
      <c r="F1389" t="s">
        <v>21</v>
      </c>
    </row>
    <row r="1390" spans="1:6">
      <c r="A1390">
        <v>202308</v>
      </c>
      <c r="B1390" s="6">
        <v>45163</v>
      </c>
      <c r="C1390" t="s">
        <v>4006</v>
      </c>
      <c r="D1390" t="s">
        <v>4796</v>
      </c>
      <c r="E1390">
        <v>30.03</v>
      </c>
      <c r="F1390" t="s">
        <v>26</v>
      </c>
    </row>
    <row r="1391" spans="1:6">
      <c r="A1391">
        <v>202308</v>
      </c>
      <c r="B1391" s="6">
        <v>45164</v>
      </c>
      <c r="C1391" t="s">
        <v>3932</v>
      </c>
      <c r="D1391" t="s">
        <v>38</v>
      </c>
      <c r="E1391">
        <v>158.25</v>
      </c>
      <c r="F1391" t="s">
        <v>38</v>
      </c>
    </row>
    <row r="1392" spans="1:6">
      <c r="A1392">
        <v>202308</v>
      </c>
      <c r="B1392" s="6">
        <v>45164</v>
      </c>
      <c r="C1392" t="s">
        <v>4006</v>
      </c>
      <c r="D1392" t="s">
        <v>4797</v>
      </c>
      <c r="E1392">
        <v>37.69</v>
      </c>
      <c r="F1392" t="s">
        <v>21</v>
      </c>
    </row>
    <row r="1393" spans="1:6">
      <c r="A1393">
        <v>202308</v>
      </c>
      <c r="B1393" s="6">
        <v>45164</v>
      </c>
      <c r="C1393" t="s">
        <v>4006</v>
      </c>
      <c r="D1393" t="s">
        <v>4798</v>
      </c>
      <c r="E1393">
        <v>34</v>
      </c>
      <c r="F1393" t="s">
        <v>40</v>
      </c>
    </row>
    <row r="1394" spans="1:6">
      <c r="A1394">
        <v>202308</v>
      </c>
      <c r="B1394" s="6">
        <v>45165</v>
      </c>
      <c r="C1394" t="s">
        <v>4400</v>
      </c>
      <c r="D1394" t="s">
        <v>4799</v>
      </c>
      <c r="E1394">
        <v>-13.42</v>
      </c>
      <c r="F1394" t="s">
        <v>38</v>
      </c>
    </row>
    <row r="1395" spans="1:6">
      <c r="A1395">
        <v>202308</v>
      </c>
      <c r="B1395" s="6">
        <v>45165</v>
      </c>
      <c r="C1395" t="s">
        <v>4403</v>
      </c>
      <c r="D1395" t="s">
        <v>4800</v>
      </c>
      <c r="E1395">
        <v>-17.989999999999998</v>
      </c>
      <c r="F1395" t="s">
        <v>38</v>
      </c>
    </row>
    <row r="1396" spans="1:6">
      <c r="A1396">
        <v>202308</v>
      </c>
      <c r="B1396" s="6">
        <v>45165</v>
      </c>
      <c r="C1396" t="s">
        <v>4405</v>
      </c>
      <c r="D1396" t="s">
        <v>4801</v>
      </c>
      <c r="E1396">
        <v>-36.99</v>
      </c>
      <c r="F1396" t="s">
        <v>38</v>
      </c>
    </row>
    <row r="1397" spans="1:6">
      <c r="A1397">
        <v>202308</v>
      </c>
      <c r="B1397" s="6">
        <v>45165</v>
      </c>
      <c r="C1397" t="s">
        <v>4406</v>
      </c>
      <c r="D1397" t="s">
        <v>4802</v>
      </c>
      <c r="E1397">
        <v>-7.18</v>
      </c>
      <c r="F1397" t="s">
        <v>38</v>
      </c>
    </row>
    <row r="1398" spans="1:6">
      <c r="A1398">
        <v>202308</v>
      </c>
      <c r="B1398" s="6">
        <v>45165</v>
      </c>
      <c r="C1398" t="s">
        <v>4413</v>
      </c>
      <c r="D1398" t="s">
        <v>4803</v>
      </c>
      <c r="E1398">
        <v>-10.19</v>
      </c>
      <c r="F1398" t="s">
        <v>38</v>
      </c>
    </row>
    <row r="1399" spans="1:6">
      <c r="A1399">
        <v>202308</v>
      </c>
      <c r="B1399" s="6">
        <v>45165</v>
      </c>
      <c r="C1399" t="s">
        <v>4414</v>
      </c>
      <c r="D1399" t="s">
        <v>4804</v>
      </c>
      <c r="E1399">
        <v>-13.99</v>
      </c>
      <c r="F1399" t="s">
        <v>38</v>
      </c>
    </row>
    <row r="1400" spans="1:6">
      <c r="A1400">
        <v>202308</v>
      </c>
      <c r="B1400" s="6">
        <v>45165</v>
      </c>
      <c r="C1400" t="s">
        <v>4412</v>
      </c>
      <c r="D1400" t="s">
        <v>4805</v>
      </c>
      <c r="E1400">
        <v>-24.99</v>
      </c>
      <c r="F1400" t="s">
        <v>38</v>
      </c>
    </row>
    <row r="1401" spans="1:6">
      <c r="A1401">
        <v>202308</v>
      </c>
      <c r="B1401" s="6">
        <v>45165</v>
      </c>
      <c r="C1401" t="s">
        <v>4380</v>
      </c>
      <c r="D1401" t="s">
        <v>4806</v>
      </c>
      <c r="E1401">
        <v>50.49</v>
      </c>
      <c r="F1401" t="s">
        <v>38</v>
      </c>
    </row>
    <row r="1402" spans="1:6">
      <c r="A1402">
        <v>202308</v>
      </c>
      <c r="B1402" s="6">
        <v>45165</v>
      </c>
      <c r="C1402" t="s">
        <v>4381</v>
      </c>
      <c r="D1402" t="s">
        <v>4807</v>
      </c>
      <c r="E1402">
        <v>38.49</v>
      </c>
      <c r="F1402" t="s">
        <v>38</v>
      </c>
    </row>
    <row r="1403" spans="1:6">
      <c r="A1403">
        <v>202308</v>
      </c>
      <c r="B1403" s="6">
        <v>45165</v>
      </c>
      <c r="C1403" t="s">
        <v>4408</v>
      </c>
      <c r="D1403" t="s">
        <v>4283</v>
      </c>
      <c r="E1403">
        <v>-210.26</v>
      </c>
      <c r="F1403" t="s">
        <v>66</v>
      </c>
    </row>
    <row r="1404" spans="1:6">
      <c r="A1404">
        <v>202308</v>
      </c>
      <c r="B1404" s="6">
        <v>45165</v>
      </c>
      <c r="C1404" t="s">
        <v>4371</v>
      </c>
      <c r="D1404" t="s">
        <v>4808</v>
      </c>
      <c r="E1404">
        <v>3.22</v>
      </c>
      <c r="F1404" t="s">
        <v>23</v>
      </c>
    </row>
    <row r="1405" spans="1:6">
      <c r="A1405">
        <v>202308</v>
      </c>
      <c r="B1405" s="6">
        <v>45165</v>
      </c>
      <c r="C1405" t="s">
        <v>2712</v>
      </c>
      <c r="D1405" t="s">
        <v>4809</v>
      </c>
      <c r="E1405">
        <v>35.47</v>
      </c>
      <c r="F1405" t="s">
        <v>20</v>
      </c>
    </row>
    <row r="1406" spans="1:6">
      <c r="A1406">
        <v>202308</v>
      </c>
      <c r="B1406" s="6">
        <v>45165</v>
      </c>
      <c r="C1406" t="s">
        <v>4006</v>
      </c>
      <c r="D1406" t="s">
        <v>4810</v>
      </c>
      <c r="E1406">
        <v>89.78</v>
      </c>
      <c r="F1406" t="s">
        <v>21</v>
      </c>
    </row>
    <row r="1407" spans="1:6">
      <c r="A1407">
        <v>202308</v>
      </c>
      <c r="B1407" s="6">
        <v>45165</v>
      </c>
      <c r="C1407" t="s">
        <v>4370</v>
      </c>
      <c r="D1407" t="s">
        <v>4811</v>
      </c>
      <c r="E1407">
        <v>57.03</v>
      </c>
      <c r="F1407" t="s">
        <v>26</v>
      </c>
    </row>
    <row r="1408" spans="1:6">
      <c r="A1408">
        <v>202308</v>
      </c>
      <c r="B1408" s="6">
        <v>45165</v>
      </c>
      <c r="C1408" t="s">
        <v>3199</v>
      </c>
      <c r="D1408" t="s">
        <v>4812</v>
      </c>
      <c r="E1408">
        <v>16.100000000000001</v>
      </c>
      <c r="F1408" t="s">
        <v>26</v>
      </c>
    </row>
    <row r="1409" spans="1:6">
      <c r="A1409">
        <v>202308</v>
      </c>
      <c r="B1409" s="6">
        <v>45165</v>
      </c>
      <c r="C1409" t="s">
        <v>4382</v>
      </c>
      <c r="D1409" t="s">
        <v>4813</v>
      </c>
      <c r="E1409">
        <v>12</v>
      </c>
      <c r="F1409" t="s">
        <v>26</v>
      </c>
    </row>
    <row r="1410" spans="1:6">
      <c r="A1410">
        <v>202308</v>
      </c>
      <c r="B1410" s="6">
        <v>45165</v>
      </c>
      <c r="C1410" t="s">
        <v>4375</v>
      </c>
      <c r="D1410" t="s">
        <v>4814</v>
      </c>
      <c r="E1410">
        <v>19.61</v>
      </c>
      <c r="F1410" t="s">
        <v>26</v>
      </c>
    </row>
    <row r="1411" spans="1:6">
      <c r="A1411">
        <v>202308</v>
      </c>
      <c r="B1411" s="6">
        <v>45166</v>
      </c>
      <c r="C1411" t="s">
        <v>3932</v>
      </c>
      <c r="D1411" t="s">
        <v>38</v>
      </c>
      <c r="E1411">
        <v>31.99</v>
      </c>
      <c r="F1411" t="s">
        <v>38</v>
      </c>
    </row>
    <row r="1412" spans="1:6">
      <c r="A1412">
        <v>202308</v>
      </c>
      <c r="B1412" s="6">
        <v>45166</v>
      </c>
      <c r="C1412" t="s">
        <v>4036</v>
      </c>
      <c r="D1412" t="s">
        <v>4815</v>
      </c>
      <c r="E1412">
        <v>11.8</v>
      </c>
      <c r="F1412" t="s">
        <v>38</v>
      </c>
    </row>
    <row r="1413" spans="1:6">
      <c r="A1413">
        <v>202308</v>
      </c>
      <c r="B1413" s="6">
        <v>45166</v>
      </c>
      <c r="C1413" t="s">
        <v>4026</v>
      </c>
      <c r="D1413" t="s">
        <v>4816</v>
      </c>
      <c r="E1413">
        <v>26.98</v>
      </c>
      <c r="F1413" t="s">
        <v>28</v>
      </c>
    </row>
    <row r="1414" spans="1:6">
      <c r="A1414">
        <v>202308</v>
      </c>
      <c r="B1414" s="6">
        <v>45166</v>
      </c>
      <c r="C1414" t="s">
        <v>4026</v>
      </c>
      <c r="D1414" t="s">
        <v>4642</v>
      </c>
      <c r="E1414">
        <v>219.25</v>
      </c>
      <c r="F1414" t="s">
        <v>23</v>
      </c>
    </row>
    <row r="1415" spans="1:6">
      <c r="A1415">
        <v>202308</v>
      </c>
      <c r="B1415" s="6">
        <v>45166</v>
      </c>
      <c r="C1415" t="s">
        <v>4006</v>
      </c>
      <c r="D1415" t="s">
        <v>1083</v>
      </c>
      <c r="E1415">
        <v>56.62</v>
      </c>
      <c r="F1415" t="s">
        <v>23</v>
      </c>
    </row>
    <row r="1416" spans="1:6">
      <c r="A1416">
        <v>202308</v>
      </c>
      <c r="B1416" s="6">
        <v>45166</v>
      </c>
      <c r="C1416" t="s">
        <v>4006</v>
      </c>
      <c r="D1416" t="s">
        <v>4817</v>
      </c>
      <c r="E1416">
        <v>69.33</v>
      </c>
      <c r="F1416" t="s">
        <v>40</v>
      </c>
    </row>
    <row r="1417" spans="1:6">
      <c r="A1417">
        <v>202308</v>
      </c>
      <c r="B1417" s="6">
        <v>45166</v>
      </c>
      <c r="C1417" t="s">
        <v>4420</v>
      </c>
      <c r="D1417" t="s">
        <v>4818</v>
      </c>
      <c r="E1417">
        <v>1.5</v>
      </c>
      <c r="F1417" t="s">
        <v>23</v>
      </c>
    </row>
    <row r="1418" spans="1:6">
      <c r="A1418">
        <v>202308</v>
      </c>
      <c r="B1418" s="6">
        <v>45166</v>
      </c>
      <c r="C1418" t="s">
        <v>4408</v>
      </c>
      <c r="D1418" t="s">
        <v>4819</v>
      </c>
      <c r="E1418">
        <v>7.99</v>
      </c>
      <c r="F1418" t="s">
        <v>23</v>
      </c>
    </row>
    <row r="1419" spans="1:6">
      <c r="A1419">
        <v>202308</v>
      </c>
      <c r="B1419" s="6">
        <v>45166</v>
      </c>
      <c r="C1419" t="s">
        <v>4429</v>
      </c>
      <c r="D1419" t="s">
        <v>4820</v>
      </c>
      <c r="E1419">
        <v>97.98</v>
      </c>
      <c r="F1419" t="s">
        <v>21</v>
      </c>
    </row>
    <row r="1420" spans="1:6">
      <c r="A1420">
        <v>202308</v>
      </c>
      <c r="B1420" s="6">
        <v>45166</v>
      </c>
      <c r="C1420" t="s">
        <v>4044</v>
      </c>
      <c r="D1420" t="s">
        <v>4821</v>
      </c>
      <c r="E1420">
        <v>14.71</v>
      </c>
      <c r="F1420" t="s">
        <v>26</v>
      </c>
    </row>
    <row r="1421" spans="1:6">
      <c r="A1421">
        <v>202308</v>
      </c>
      <c r="B1421" s="6">
        <v>45166</v>
      </c>
      <c r="C1421" t="s">
        <v>4420</v>
      </c>
      <c r="D1421" t="s">
        <v>1955</v>
      </c>
      <c r="E1421">
        <v>0.99</v>
      </c>
      <c r="F1421" t="s">
        <v>9</v>
      </c>
    </row>
    <row r="1422" spans="1:6">
      <c r="A1422">
        <v>202308</v>
      </c>
      <c r="B1422" s="6">
        <v>45167</v>
      </c>
      <c r="C1422" t="s">
        <v>3932</v>
      </c>
      <c r="D1422" t="s">
        <v>38</v>
      </c>
      <c r="E1422">
        <v>80.14</v>
      </c>
      <c r="F1422" t="s">
        <v>38</v>
      </c>
    </row>
    <row r="1423" spans="1:6">
      <c r="A1423">
        <v>202308</v>
      </c>
      <c r="B1423" s="6">
        <v>45167</v>
      </c>
      <c r="C1423" t="s">
        <v>4006</v>
      </c>
      <c r="D1423" t="s">
        <v>4822</v>
      </c>
      <c r="E1423">
        <v>40.9</v>
      </c>
      <c r="F1423" t="s">
        <v>23</v>
      </c>
    </row>
    <row r="1424" spans="1:6">
      <c r="A1424">
        <v>202308</v>
      </c>
      <c r="B1424" s="6">
        <v>45167</v>
      </c>
      <c r="C1424" t="s">
        <v>4006</v>
      </c>
      <c r="D1424" t="s">
        <v>4017</v>
      </c>
      <c r="E1424">
        <v>84.63</v>
      </c>
      <c r="F1424" t="s">
        <v>28</v>
      </c>
    </row>
    <row r="1425" spans="1:6">
      <c r="A1425">
        <v>202308</v>
      </c>
      <c r="B1425" s="6">
        <v>45167</v>
      </c>
      <c r="C1425" t="s">
        <v>4006</v>
      </c>
      <c r="D1425" t="s">
        <v>4035</v>
      </c>
      <c r="E1425">
        <v>3.36</v>
      </c>
      <c r="F1425" t="s">
        <v>26</v>
      </c>
    </row>
    <row r="1426" spans="1:6">
      <c r="A1426">
        <v>202308</v>
      </c>
      <c r="B1426" s="6">
        <v>45167</v>
      </c>
      <c r="C1426" t="s">
        <v>4036</v>
      </c>
      <c r="D1426" t="s">
        <v>4823</v>
      </c>
      <c r="E1426">
        <v>265</v>
      </c>
      <c r="F1426" t="s">
        <v>20</v>
      </c>
    </row>
    <row r="1427" spans="1:6">
      <c r="A1427">
        <v>202308</v>
      </c>
      <c r="B1427" s="6">
        <v>45168</v>
      </c>
      <c r="C1427" t="s">
        <v>4429</v>
      </c>
      <c r="D1427" t="s">
        <v>4343</v>
      </c>
      <c r="E1427">
        <v>-3342.79</v>
      </c>
      <c r="F1427" t="s">
        <v>64</v>
      </c>
    </row>
    <row r="1428" spans="1:6">
      <c r="A1428">
        <v>202308</v>
      </c>
      <c r="B1428" s="6">
        <v>45168</v>
      </c>
      <c r="C1428" t="s">
        <v>4006</v>
      </c>
      <c r="D1428" t="s">
        <v>4824</v>
      </c>
      <c r="E1428">
        <v>28.47</v>
      </c>
      <c r="F1428" t="s">
        <v>26</v>
      </c>
    </row>
    <row r="1429" spans="1:6">
      <c r="A1429">
        <v>202308</v>
      </c>
      <c r="B1429" s="6">
        <v>45169</v>
      </c>
      <c r="C1429" t="s">
        <v>4062</v>
      </c>
      <c r="D1429" t="s">
        <v>4825</v>
      </c>
      <c r="E1429">
        <v>27.76</v>
      </c>
      <c r="F1429" t="s">
        <v>38</v>
      </c>
    </row>
    <row r="1430" spans="1:6">
      <c r="A1430">
        <v>202308</v>
      </c>
      <c r="B1430" s="6">
        <v>45169</v>
      </c>
      <c r="C1430" t="s">
        <v>4059</v>
      </c>
      <c r="D1430" t="s">
        <v>4826</v>
      </c>
      <c r="E1430">
        <v>71.81</v>
      </c>
      <c r="F1430" t="s">
        <v>38</v>
      </c>
    </row>
    <row r="1431" spans="1:6">
      <c r="A1431">
        <v>202308</v>
      </c>
      <c r="B1431" s="6">
        <v>45169</v>
      </c>
      <c r="C1431" t="s">
        <v>4059</v>
      </c>
      <c r="D1431" t="s">
        <v>404</v>
      </c>
      <c r="E1431">
        <v>-3611.22</v>
      </c>
      <c r="F1431" t="s">
        <v>66</v>
      </c>
    </row>
    <row r="1432" spans="1:6">
      <c r="A1432">
        <v>202308</v>
      </c>
      <c r="B1432" s="6">
        <v>45169</v>
      </c>
      <c r="C1432" t="s">
        <v>2519</v>
      </c>
      <c r="D1432" t="s">
        <v>4827</v>
      </c>
      <c r="E1432">
        <v>49.52</v>
      </c>
      <c r="F1432" t="s">
        <v>23</v>
      </c>
    </row>
    <row r="1433" spans="1:6">
      <c r="A1433">
        <v>202308</v>
      </c>
      <c r="B1433" s="6">
        <v>45169</v>
      </c>
      <c r="C1433" t="s">
        <v>2519</v>
      </c>
      <c r="D1433" t="s">
        <v>4828</v>
      </c>
      <c r="E1433">
        <v>-50.25</v>
      </c>
      <c r="F1433" t="s">
        <v>16</v>
      </c>
    </row>
    <row r="1434" spans="1:6">
      <c r="A1434">
        <v>202308</v>
      </c>
      <c r="B1434" s="6">
        <v>45169</v>
      </c>
      <c r="C1434" t="s">
        <v>4006</v>
      </c>
      <c r="D1434" t="s">
        <v>4547</v>
      </c>
      <c r="E1434">
        <v>228.78</v>
      </c>
      <c r="F1434" t="s">
        <v>9</v>
      </c>
    </row>
    <row r="1435" spans="1:6">
      <c r="A1435">
        <v>202308</v>
      </c>
      <c r="B1435" s="6">
        <v>45169</v>
      </c>
      <c r="C1435" t="s">
        <v>4006</v>
      </c>
      <c r="D1435" t="s">
        <v>4829</v>
      </c>
      <c r="E1435">
        <v>90</v>
      </c>
      <c r="F1435" t="s">
        <v>9</v>
      </c>
    </row>
    <row r="1436" spans="1:6">
      <c r="A1436">
        <v>202308</v>
      </c>
      <c r="B1436" s="6">
        <v>45169</v>
      </c>
      <c r="C1436" t="s">
        <v>4062</v>
      </c>
      <c r="D1436" t="s">
        <v>1958</v>
      </c>
      <c r="E1436">
        <v>409.89</v>
      </c>
      <c r="F1436" t="s">
        <v>21</v>
      </c>
    </row>
    <row r="1437" spans="1:6">
      <c r="A1437">
        <v>202308</v>
      </c>
      <c r="B1437" s="6">
        <v>45169</v>
      </c>
      <c r="C1437" t="s">
        <v>4044</v>
      </c>
      <c r="D1437" t="s">
        <v>1958</v>
      </c>
      <c r="E1437">
        <v>88.89</v>
      </c>
      <c r="F1437" t="s">
        <v>21</v>
      </c>
    </row>
    <row r="1438" spans="1:6">
      <c r="A1438">
        <v>202308</v>
      </c>
      <c r="B1438" s="6">
        <v>45169</v>
      </c>
      <c r="C1438" t="s">
        <v>4006</v>
      </c>
      <c r="D1438" t="s">
        <v>4830</v>
      </c>
      <c r="E1438">
        <v>31.75</v>
      </c>
      <c r="F1438" t="s">
        <v>9</v>
      </c>
    </row>
    <row r="1439" spans="1:6">
      <c r="A1439">
        <v>202309</v>
      </c>
      <c r="B1439" s="6">
        <v>45170</v>
      </c>
      <c r="C1439" t="s">
        <v>4006</v>
      </c>
      <c r="D1439" t="s">
        <v>4831</v>
      </c>
      <c r="E1439">
        <v>243.39</v>
      </c>
      <c r="F1439" t="s">
        <v>9</v>
      </c>
    </row>
    <row r="1440" spans="1:6">
      <c r="A1440">
        <v>202309</v>
      </c>
      <c r="B1440" s="6">
        <v>45170</v>
      </c>
      <c r="C1440" t="s">
        <v>4033</v>
      </c>
      <c r="D1440" t="s">
        <v>114</v>
      </c>
      <c r="E1440">
        <v>5.36</v>
      </c>
      <c r="F1440" t="s">
        <v>38</v>
      </c>
    </row>
    <row r="1441" spans="1:6">
      <c r="A1441">
        <v>202309</v>
      </c>
      <c r="B1441" s="6">
        <v>45170</v>
      </c>
      <c r="C1441" t="s">
        <v>4325</v>
      </c>
      <c r="D1441" t="s">
        <v>1460</v>
      </c>
      <c r="E1441">
        <v>2741.74</v>
      </c>
      <c r="F1441" t="s">
        <v>5</v>
      </c>
    </row>
    <row r="1442" spans="1:6">
      <c r="A1442">
        <v>202309</v>
      </c>
      <c r="B1442" s="6">
        <v>45170</v>
      </c>
      <c r="C1442" t="s">
        <v>4328</v>
      </c>
      <c r="D1442" t="s">
        <v>4716</v>
      </c>
      <c r="E1442">
        <v>650</v>
      </c>
      <c r="F1442" t="s">
        <v>61</v>
      </c>
    </row>
    <row r="1443" spans="1:6">
      <c r="A1443">
        <v>202309</v>
      </c>
      <c r="B1443" s="6">
        <v>45170</v>
      </c>
      <c r="C1443" t="s">
        <v>4332</v>
      </c>
      <c r="D1443" t="s">
        <v>4832</v>
      </c>
      <c r="E1443">
        <v>618.65</v>
      </c>
      <c r="F1443" t="s">
        <v>11</v>
      </c>
    </row>
    <row r="1444" spans="1:6">
      <c r="A1444">
        <v>202309</v>
      </c>
      <c r="B1444" s="6">
        <v>45171</v>
      </c>
      <c r="C1444" t="s">
        <v>4006</v>
      </c>
      <c r="D1444" t="s">
        <v>4833</v>
      </c>
      <c r="E1444">
        <v>5.58</v>
      </c>
      <c r="F1444" t="s">
        <v>26</v>
      </c>
    </row>
    <row r="1445" spans="1:6">
      <c r="A1445">
        <v>202309</v>
      </c>
      <c r="B1445" s="6">
        <v>45171</v>
      </c>
      <c r="C1445" t="s">
        <v>4006</v>
      </c>
      <c r="D1445" t="s">
        <v>4834</v>
      </c>
      <c r="E1445">
        <v>12.08</v>
      </c>
      <c r="F1445" t="s">
        <v>21</v>
      </c>
    </row>
    <row r="1446" spans="1:6">
      <c r="A1446">
        <v>202309</v>
      </c>
      <c r="B1446" s="6">
        <v>45171</v>
      </c>
      <c r="C1446" t="s">
        <v>4006</v>
      </c>
      <c r="D1446" t="s">
        <v>4835</v>
      </c>
      <c r="E1446">
        <v>247.13</v>
      </c>
      <c r="F1446" t="s">
        <v>21</v>
      </c>
    </row>
    <row r="1447" spans="1:6">
      <c r="A1447">
        <v>202309</v>
      </c>
      <c r="B1447" s="6">
        <v>45171</v>
      </c>
      <c r="C1447" t="s">
        <v>4006</v>
      </c>
      <c r="D1447" t="s">
        <v>4836</v>
      </c>
      <c r="E1447">
        <v>5.65</v>
      </c>
      <c r="F1447" t="s">
        <v>26</v>
      </c>
    </row>
    <row r="1448" spans="1:6">
      <c r="A1448">
        <v>202309</v>
      </c>
      <c r="B1448" s="6">
        <v>45172</v>
      </c>
      <c r="C1448" t="s">
        <v>3932</v>
      </c>
      <c r="D1448" t="s">
        <v>38</v>
      </c>
      <c r="E1448">
        <v>55.23</v>
      </c>
      <c r="F1448" t="s">
        <v>38</v>
      </c>
    </row>
    <row r="1449" spans="1:6">
      <c r="A1449">
        <v>202309</v>
      </c>
      <c r="B1449" s="6">
        <v>45172</v>
      </c>
      <c r="C1449" t="s">
        <v>4006</v>
      </c>
      <c r="D1449" t="s">
        <v>4837</v>
      </c>
      <c r="E1449">
        <v>60.79</v>
      </c>
      <c r="F1449" t="s">
        <v>40</v>
      </c>
    </row>
    <row r="1450" spans="1:6">
      <c r="A1450">
        <v>202309</v>
      </c>
      <c r="B1450" s="6">
        <v>45172</v>
      </c>
      <c r="C1450" t="s">
        <v>4006</v>
      </c>
      <c r="D1450" t="s">
        <v>4838</v>
      </c>
      <c r="E1450">
        <v>26.47</v>
      </c>
      <c r="F1450" t="s">
        <v>28</v>
      </c>
    </row>
    <row r="1451" spans="1:6">
      <c r="A1451">
        <v>202309</v>
      </c>
      <c r="B1451" s="6">
        <v>45172</v>
      </c>
      <c r="C1451" t="s">
        <v>4006</v>
      </c>
      <c r="D1451" t="s">
        <v>4838</v>
      </c>
      <c r="E1451">
        <v>94.31</v>
      </c>
      <c r="F1451" t="s">
        <v>28</v>
      </c>
    </row>
    <row r="1452" spans="1:6">
      <c r="A1452">
        <v>202309</v>
      </c>
      <c r="B1452" s="6">
        <v>45173</v>
      </c>
      <c r="C1452" t="s">
        <v>4006</v>
      </c>
      <c r="D1452" t="s">
        <v>1083</v>
      </c>
      <c r="E1452">
        <v>1.98</v>
      </c>
      <c r="F1452" t="s">
        <v>23</v>
      </c>
    </row>
    <row r="1453" spans="1:6">
      <c r="A1453">
        <v>202309</v>
      </c>
      <c r="B1453" s="6">
        <v>45173</v>
      </c>
      <c r="C1453" t="s">
        <v>4006</v>
      </c>
      <c r="D1453" t="s">
        <v>1083</v>
      </c>
      <c r="E1453">
        <v>48.12</v>
      </c>
      <c r="F1453" t="s">
        <v>23</v>
      </c>
    </row>
    <row r="1454" spans="1:6">
      <c r="A1454">
        <v>202309</v>
      </c>
      <c r="B1454" s="6">
        <v>45173</v>
      </c>
      <c r="C1454" t="s">
        <v>4006</v>
      </c>
      <c r="D1454" t="s">
        <v>4839</v>
      </c>
      <c r="E1454">
        <v>26.35</v>
      </c>
      <c r="F1454" t="s">
        <v>2</v>
      </c>
    </row>
    <row r="1455" spans="1:6">
      <c r="A1455">
        <v>202309</v>
      </c>
      <c r="B1455" s="6">
        <v>45174</v>
      </c>
      <c r="C1455" t="s">
        <v>4006</v>
      </c>
      <c r="D1455" t="s">
        <v>4841</v>
      </c>
      <c r="E1455">
        <v>27.9</v>
      </c>
      <c r="F1455" t="s">
        <v>40</v>
      </c>
    </row>
    <row r="1456" spans="1:6">
      <c r="A1456">
        <v>202309</v>
      </c>
      <c r="B1456" s="6">
        <v>45174</v>
      </c>
      <c r="C1456" t="s">
        <v>4006</v>
      </c>
      <c r="D1456" t="s">
        <v>1014</v>
      </c>
      <c r="E1456">
        <v>27.01</v>
      </c>
      <c r="F1456" t="s">
        <v>26</v>
      </c>
    </row>
    <row r="1457" spans="1:6">
      <c r="A1457">
        <v>202309</v>
      </c>
      <c r="B1457" s="6">
        <v>45174</v>
      </c>
      <c r="C1457" t="s">
        <v>4006</v>
      </c>
      <c r="D1457" t="s">
        <v>1356</v>
      </c>
      <c r="E1457">
        <v>55.6</v>
      </c>
      <c r="F1457" t="s">
        <v>26</v>
      </c>
    </row>
    <row r="1458" spans="1:6">
      <c r="A1458">
        <v>202309</v>
      </c>
      <c r="B1458" s="6">
        <v>45174</v>
      </c>
      <c r="C1458" t="s">
        <v>4006</v>
      </c>
      <c r="D1458" t="s">
        <v>31</v>
      </c>
      <c r="E1458">
        <v>23.23</v>
      </c>
      <c r="F1458" t="s">
        <v>31</v>
      </c>
    </row>
    <row r="1459" spans="1:6">
      <c r="A1459">
        <v>202309</v>
      </c>
      <c r="B1459" s="6">
        <v>45174</v>
      </c>
      <c r="C1459" t="s">
        <v>4333</v>
      </c>
      <c r="D1459" t="s">
        <v>1955</v>
      </c>
      <c r="E1459">
        <v>52.45</v>
      </c>
      <c r="F1459" t="s">
        <v>21</v>
      </c>
    </row>
    <row r="1460" spans="1:6">
      <c r="A1460">
        <v>202309</v>
      </c>
      <c r="B1460" s="6">
        <v>45174</v>
      </c>
      <c r="C1460" t="s">
        <v>4330</v>
      </c>
      <c r="D1460" t="s">
        <v>1958</v>
      </c>
      <c r="E1460">
        <v>1598</v>
      </c>
      <c r="F1460" t="s">
        <v>43</v>
      </c>
    </row>
    <row r="1461" spans="1:6">
      <c r="A1461">
        <v>202309</v>
      </c>
      <c r="B1461" s="6">
        <v>45174</v>
      </c>
      <c r="C1461" t="s">
        <v>4028</v>
      </c>
      <c r="D1461" t="s">
        <v>4002</v>
      </c>
      <c r="E1461">
        <v>38.99</v>
      </c>
      <c r="F1461" t="s">
        <v>7</v>
      </c>
    </row>
    <row r="1462" spans="1:6">
      <c r="A1462">
        <v>202309</v>
      </c>
      <c r="B1462" s="6">
        <v>45175</v>
      </c>
      <c r="C1462" t="s">
        <v>4006</v>
      </c>
      <c r="D1462" t="s">
        <v>703</v>
      </c>
      <c r="E1462">
        <v>792.8</v>
      </c>
      <c r="F1462" t="s">
        <v>9</v>
      </c>
    </row>
    <row r="1463" spans="1:6">
      <c r="A1463">
        <v>202309</v>
      </c>
      <c r="B1463" s="6">
        <v>45175</v>
      </c>
      <c r="C1463" t="s">
        <v>4006</v>
      </c>
      <c r="D1463" t="s">
        <v>703</v>
      </c>
      <c r="E1463">
        <v>792.8</v>
      </c>
      <c r="F1463" t="s">
        <v>9</v>
      </c>
    </row>
    <row r="1464" spans="1:6">
      <c r="A1464">
        <v>202309</v>
      </c>
      <c r="B1464" s="6">
        <v>45175</v>
      </c>
      <c r="C1464" t="s">
        <v>4006</v>
      </c>
      <c r="D1464" t="s">
        <v>703</v>
      </c>
      <c r="E1464">
        <v>792.8</v>
      </c>
      <c r="F1464" t="s">
        <v>9</v>
      </c>
    </row>
    <row r="1465" spans="1:6">
      <c r="A1465">
        <v>202309</v>
      </c>
      <c r="B1465" s="6">
        <v>45175</v>
      </c>
      <c r="C1465" t="s">
        <v>4006</v>
      </c>
      <c r="D1465" t="s">
        <v>703</v>
      </c>
      <c r="E1465">
        <v>792.8</v>
      </c>
      <c r="F1465" t="s">
        <v>9</v>
      </c>
    </row>
    <row r="1466" spans="1:6">
      <c r="A1466">
        <v>202309</v>
      </c>
      <c r="B1466" s="6">
        <v>45175</v>
      </c>
      <c r="C1466" t="s">
        <v>4030</v>
      </c>
      <c r="D1466" t="s">
        <v>808</v>
      </c>
      <c r="E1466">
        <v>42</v>
      </c>
      <c r="F1466" t="s">
        <v>21</v>
      </c>
    </row>
    <row r="1467" spans="1:6">
      <c r="A1467">
        <v>202309</v>
      </c>
      <c r="B1467" s="6">
        <v>45175</v>
      </c>
      <c r="C1467" t="s">
        <v>4038</v>
      </c>
      <c r="D1467" t="s">
        <v>1068</v>
      </c>
      <c r="E1467">
        <v>27</v>
      </c>
      <c r="F1467" t="s">
        <v>29</v>
      </c>
    </row>
    <row r="1468" spans="1:6">
      <c r="A1468">
        <v>202309</v>
      </c>
      <c r="B1468" s="6">
        <v>45175</v>
      </c>
      <c r="C1468" t="s">
        <v>4337</v>
      </c>
      <c r="D1468" t="s">
        <v>1470</v>
      </c>
      <c r="E1468">
        <v>248.17</v>
      </c>
      <c r="F1468" t="s">
        <v>7</v>
      </c>
    </row>
    <row r="1469" spans="1:6">
      <c r="A1469">
        <v>202309</v>
      </c>
      <c r="B1469" s="6">
        <v>45175</v>
      </c>
      <c r="C1469" t="s">
        <v>4336</v>
      </c>
      <c r="D1469" t="s">
        <v>1955</v>
      </c>
      <c r="E1469">
        <v>44.97</v>
      </c>
      <c r="F1469" t="s">
        <v>21</v>
      </c>
    </row>
    <row r="1470" spans="1:6">
      <c r="A1470">
        <v>202309</v>
      </c>
      <c r="B1470" s="6">
        <v>45175</v>
      </c>
      <c r="C1470" t="s">
        <v>4342</v>
      </c>
      <c r="D1470" t="s">
        <v>4843</v>
      </c>
      <c r="E1470">
        <v>330</v>
      </c>
      <c r="F1470" t="s">
        <v>20</v>
      </c>
    </row>
    <row r="1471" spans="1:6">
      <c r="A1471">
        <v>202309</v>
      </c>
      <c r="B1471" s="6">
        <v>45176</v>
      </c>
      <c r="C1471" t="s">
        <v>4040</v>
      </c>
      <c r="D1471" t="s">
        <v>4844</v>
      </c>
      <c r="E1471">
        <v>22.52</v>
      </c>
      <c r="F1471" t="s">
        <v>21</v>
      </c>
    </row>
    <row r="1472" spans="1:6">
      <c r="A1472">
        <v>202309</v>
      </c>
      <c r="B1472" s="6">
        <v>45177</v>
      </c>
      <c r="C1472" t="s">
        <v>4006</v>
      </c>
      <c r="D1472" t="s">
        <v>4845</v>
      </c>
      <c r="E1472">
        <v>-71.989999999999995</v>
      </c>
      <c r="F1472" t="s">
        <v>40</v>
      </c>
    </row>
    <row r="1473" spans="1:6">
      <c r="A1473">
        <v>202309</v>
      </c>
      <c r="B1473" s="6">
        <v>45177</v>
      </c>
      <c r="C1473" t="s">
        <v>4006</v>
      </c>
      <c r="D1473" t="s">
        <v>4846</v>
      </c>
      <c r="E1473">
        <v>35.659999999999997</v>
      </c>
      <c r="F1473" t="s">
        <v>21</v>
      </c>
    </row>
    <row r="1474" spans="1:6">
      <c r="A1474">
        <v>202309</v>
      </c>
      <c r="B1474" s="6">
        <v>45177</v>
      </c>
      <c r="C1474" t="s">
        <v>4006</v>
      </c>
      <c r="D1474" t="s">
        <v>4847</v>
      </c>
      <c r="E1474">
        <v>34.58</v>
      </c>
      <c r="F1474" t="s">
        <v>21</v>
      </c>
    </row>
    <row r="1475" spans="1:6">
      <c r="A1475">
        <v>202309</v>
      </c>
      <c r="B1475" s="6">
        <v>45177</v>
      </c>
      <c r="C1475" t="s">
        <v>4006</v>
      </c>
      <c r="D1475" t="s">
        <v>4848</v>
      </c>
      <c r="E1475">
        <v>20.69</v>
      </c>
      <c r="F1475" t="s">
        <v>28</v>
      </c>
    </row>
    <row r="1476" spans="1:6">
      <c r="A1476">
        <v>202309</v>
      </c>
      <c r="B1476" s="6">
        <v>45177</v>
      </c>
      <c r="C1476" t="s">
        <v>4006</v>
      </c>
      <c r="D1476" t="s">
        <v>4849</v>
      </c>
      <c r="E1476">
        <v>43.29</v>
      </c>
      <c r="F1476" t="s">
        <v>26</v>
      </c>
    </row>
    <row r="1477" spans="1:6">
      <c r="A1477">
        <v>202309</v>
      </c>
      <c r="B1477" s="6">
        <v>45177</v>
      </c>
      <c r="C1477" t="s">
        <v>4006</v>
      </c>
      <c r="D1477" t="s">
        <v>4850</v>
      </c>
      <c r="E1477">
        <v>22</v>
      </c>
      <c r="F1477" t="s">
        <v>21</v>
      </c>
    </row>
    <row r="1478" spans="1:6">
      <c r="A1478">
        <v>202309</v>
      </c>
      <c r="B1478" s="6">
        <v>45177</v>
      </c>
      <c r="C1478" t="s">
        <v>4006</v>
      </c>
      <c r="D1478" t="s">
        <v>4850</v>
      </c>
      <c r="E1478">
        <v>15.3</v>
      </c>
      <c r="F1478" t="s">
        <v>21</v>
      </c>
    </row>
    <row r="1479" spans="1:6">
      <c r="A1479">
        <v>202309</v>
      </c>
      <c r="B1479" s="6">
        <v>45177</v>
      </c>
      <c r="C1479" t="s">
        <v>4006</v>
      </c>
      <c r="D1479" t="s">
        <v>3978</v>
      </c>
      <c r="E1479">
        <v>36.64</v>
      </c>
      <c r="F1479" t="s">
        <v>43</v>
      </c>
    </row>
    <row r="1480" spans="1:6">
      <c r="A1480">
        <v>202309</v>
      </c>
      <c r="B1480" s="6">
        <v>45177</v>
      </c>
      <c r="C1480" t="s">
        <v>4006</v>
      </c>
      <c r="D1480" t="s">
        <v>4851</v>
      </c>
      <c r="E1480">
        <v>32.72</v>
      </c>
      <c r="F1480" t="s">
        <v>26</v>
      </c>
    </row>
    <row r="1481" spans="1:6">
      <c r="A1481">
        <v>202309</v>
      </c>
      <c r="B1481" s="6">
        <v>45177</v>
      </c>
      <c r="C1481" t="s">
        <v>4006</v>
      </c>
      <c r="D1481" t="s">
        <v>4852</v>
      </c>
      <c r="E1481">
        <v>13.99</v>
      </c>
      <c r="F1481" t="s">
        <v>43</v>
      </c>
    </row>
    <row r="1482" spans="1:6">
      <c r="A1482">
        <v>202309</v>
      </c>
      <c r="B1482" s="6">
        <v>45177</v>
      </c>
      <c r="C1482" t="s">
        <v>4351</v>
      </c>
      <c r="D1482" t="s">
        <v>1958</v>
      </c>
      <c r="E1482">
        <v>1064.2</v>
      </c>
      <c r="F1482" t="s">
        <v>43</v>
      </c>
    </row>
    <row r="1483" spans="1:6">
      <c r="A1483">
        <v>202309</v>
      </c>
      <c r="B1483" s="6">
        <v>45177</v>
      </c>
      <c r="C1483" t="s">
        <v>4350</v>
      </c>
      <c r="D1483" t="s">
        <v>4854</v>
      </c>
      <c r="E1483">
        <v>204</v>
      </c>
      <c r="F1483" t="s">
        <v>43</v>
      </c>
    </row>
    <row r="1484" spans="1:6">
      <c r="A1484">
        <v>202309</v>
      </c>
      <c r="B1484" s="6">
        <v>45178</v>
      </c>
      <c r="C1484" t="s">
        <v>4006</v>
      </c>
      <c r="D1484" t="s">
        <v>4855</v>
      </c>
      <c r="E1484">
        <v>17.649999999999999</v>
      </c>
      <c r="F1484" t="s">
        <v>26</v>
      </c>
    </row>
    <row r="1485" spans="1:6">
      <c r="A1485">
        <v>202309</v>
      </c>
      <c r="B1485" s="6">
        <v>45178</v>
      </c>
      <c r="C1485" t="s">
        <v>4006</v>
      </c>
      <c r="D1485" t="s">
        <v>4856</v>
      </c>
      <c r="E1485">
        <v>56.62</v>
      </c>
      <c r="F1485" t="s">
        <v>26</v>
      </c>
    </row>
    <row r="1486" spans="1:6">
      <c r="A1486">
        <v>202309</v>
      </c>
      <c r="B1486" s="6">
        <v>45178</v>
      </c>
      <c r="C1486" t="s">
        <v>4006</v>
      </c>
      <c r="D1486" t="s">
        <v>4857</v>
      </c>
      <c r="E1486">
        <v>14</v>
      </c>
      <c r="F1486" t="s">
        <v>26</v>
      </c>
    </row>
    <row r="1487" spans="1:6">
      <c r="A1487">
        <v>202309</v>
      </c>
      <c r="B1487" s="6">
        <v>45178</v>
      </c>
      <c r="C1487" t="s">
        <v>4006</v>
      </c>
      <c r="D1487" t="s">
        <v>4858</v>
      </c>
      <c r="E1487">
        <v>18</v>
      </c>
      <c r="F1487" t="s">
        <v>26</v>
      </c>
    </row>
    <row r="1488" spans="1:6">
      <c r="A1488">
        <v>202309</v>
      </c>
      <c r="B1488" s="6">
        <v>45178</v>
      </c>
      <c r="C1488" t="s">
        <v>4006</v>
      </c>
      <c r="D1488" t="s">
        <v>4859</v>
      </c>
      <c r="E1488">
        <v>36.06</v>
      </c>
      <c r="F1488" t="s">
        <v>26</v>
      </c>
    </row>
    <row r="1489" spans="1:6">
      <c r="A1489">
        <v>202309</v>
      </c>
      <c r="B1489" s="6">
        <v>45179</v>
      </c>
      <c r="C1489" t="s">
        <v>4006</v>
      </c>
      <c r="D1489" t="s">
        <v>4860</v>
      </c>
      <c r="E1489">
        <v>60.32</v>
      </c>
      <c r="F1489" t="s">
        <v>21</v>
      </c>
    </row>
    <row r="1490" spans="1:6">
      <c r="A1490">
        <v>202309</v>
      </c>
      <c r="B1490" s="6">
        <v>45179</v>
      </c>
      <c r="C1490" t="s">
        <v>4053</v>
      </c>
      <c r="D1490" t="s">
        <v>4861</v>
      </c>
      <c r="E1490">
        <v>20</v>
      </c>
      <c r="F1490" t="s">
        <v>21</v>
      </c>
    </row>
    <row r="1491" spans="1:6">
      <c r="A1491">
        <v>202309</v>
      </c>
      <c r="B1491" s="6">
        <v>45179</v>
      </c>
      <c r="C1491" t="s">
        <v>4006</v>
      </c>
      <c r="D1491" t="s">
        <v>4862</v>
      </c>
      <c r="E1491">
        <v>7.28</v>
      </c>
      <c r="F1491" t="s">
        <v>26</v>
      </c>
    </row>
    <row r="1492" spans="1:6">
      <c r="A1492">
        <v>202309</v>
      </c>
      <c r="B1492" s="6">
        <v>45179</v>
      </c>
      <c r="C1492" t="s">
        <v>4006</v>
      </c>
      <c r="D1492" t="s">
        <v>553</v>
      </c>
      <c r="E1492">
        <v>10.08</v>
      </c>
      <c r="F1492" t="s">
        <v>23</v>
      </c>
    </row>
    <row r="1493" spans="1:6">
      <c r="A1493">
        <v>202309</v>
      </c>
      <c r="B1493" s="6">
        <v>45179</v>
      </c>
      <c r="C1493" t="s">
        <v>4006</v>
      </c>
      <c r="D1493" t="s">
        <v>945</v>
      </c>
      <c r="E1493">
        <v>59.88</v>
      </c>
      <c r="F1493" t="s">
        <v>23</v>
      </c>
    </row>
    <row r="1494" spans="1:6">
      <c r="A1494">
        <v>202309</v>
      </c>
      <c r="B1494" s="6">
        <v>45179</v>
      </c>
      <c r="C1494" t="s">
        <v>4006</v>
      </c>
      <c r="D1494" t="s">
        <v>4863</v>
      </c>
      <c r="E1494">
        <v>68.08</v>
      </c>
      <c r="F1494" t="s">
        <v>26</v>
      </c>
    </row>
    <row r="1495" spans="1:6">
      <c r="A1495">
        <v>202309</v>
      </c>
      <c r="B1495" s="6">
        <v>45179</v>
      </c>
      <c r="C1495" t="s">
        <v>4006</v>
      </c>
      <c r="D1495" t="s">
        <v>4864</v>
      </c>
      <c r="E1495">
        <v>114.1</v>
      </c>
      <c r="F1495" t="s">
        <v>43</v>
      </c>
    </row>
    <row r="1496" spans="1:6">
      <c r="A1496">
        <v>202309</v>
      </c>
      <c r="B1496" s="6">
        <v>45179</v>
      </c>
      <c r="C1496" t="s">
        <v>4006</v>
      </c>
      <c r="D1496" t="s">
        <v>3978</v>
      </c>
      <c r="E1496">
        <v>18.27</v>
      </c>
      <c r="F1496" t="s">
        <v>43</v>
      </c>
    </row>
    <row r="1497" spans="1:6">
      <c r="A1497">
        <v>202309</v>
      </c>
      <c r="B1497" s="6">
        <v>45179</v>
      </c>
      <c r="C1497" t="s">
        <v>4047</v>
      </c>
      <c r="D1497" t="s">
        <v>4865</v>
      </c>
      <c r="E1497">
        <v>2.1</v>
      </c>
      <c r="F1497" t="s">
        <v>43</v>
      </c>
    </row>
    <row r="1498" spans="1:6">
      <c r="A1498">
        <v>202309</v>
      </c>
      <c r="B1498" s="6">
        <v>45179</v>
      </c>
      <c r="C1498" t="s">
        <v>4051</v>
      </c>
      <c r="D1498" t="s">
        <v>4865</v>
      </c>
      <c r="E1498">
        <v>1.6</v>
      </c>
      <c r="F1498" t="s">
        <v>43</v>
      </c>
    </row>
    <row r="1499" spans="1:6">
      <c r="A1499">
        <v>202309</v>
      </c>
      <c r="B1499" s="6">
        <v>45179</v>
      </c>
      <c r="C1499" t="s">
        <v>4042</v>
      </c>
      <c r="D1499" t="s">
        <v>1477</v>
      </c>
      <c r="E1499">
        <v>47.25</v>
      </c>
      <c r="F1499" t="s">
        <v>34</v>
      </c>
    </row>
    <row r="1500" spans="1:6">
      <c r="A1500">
        <v>202309</v>
      </c>
      <c r="B1500" s="6">
        <v>45179</v>
      </c>
      <c r="C1500" t="s">
        <v>4049</v>
      </c>
      <c r="D1500" t="s">
        <v>4866</v>
      </c>
      <c r="E1500">
        <v>37.590000000000003</v>
      </c>
      <c r="F1500" t="s">
        <v>21</v>
      </c>
    </row>
    <row r="1501" spans="1:6">
      <c r="A1501">
        <v>202309</v>
      </c>
      <c r="B1501" s="6">
        <v>45179</v>
      </c>
      <c r="C1501" t="s">
        <v>4055</v>
      </c>
      <c r="D1501" t="s">
        <v>2078</v>
      </c>
      <c r="E1501">
        <v>7.9</v>
      </c>
      <c r="F1501" t="s">
        <v>23</v>
      </c>
    </row>
    <row r="1502" spans="1:6">
      <c r="A1502">
        <v>202309</v>
      </c>
      <c r="B1502" s="6">
        <v>45180</v>
      </c>
      <c r="C1502" t="s">
        <v>4064</v>
      </c>
      <c r="D1502" t="s">
        <v>38</v>
      </c>
      <c r="E1502">
        <v>36.590000000000003</v>
      </c>
      <c r="F1502" t="s">
        <v>38</v>
      </c>
    </row>
    <row r="1503" spans="1:6">
      <c r="A1503">
        <v>202309</v>
      </c>
      <c r="B1503" s="6">
        <v>45180</v>
      </c>
      <c r="C1503" t="s">
        <v>4006</v>
      </c>
      <c r="D1503" t="s">
        <v>681</v>
      </c>
      <c r="E1503">
        <v>50.57</v>
      </c>
      <c r="F1503" t="s">
        <v>26</v>
      </c>
    </row>
    <row r="1504" spans="1:6">
      <c r="A1504">
        <v>202309</v>
      </c>
      <c r="B1504" s="6">
        <v>45180</v>
      </c>
      <c r="C1504" t="s">
        <v>4057</v>
      </c>
      <c r="D1504" t="s">
        <v>1350</v>
      </c>
      <c r="E1504">
        <v>25.36</v>
      </c>
      <c r="F1504" t="s">
        <v>7</v>
      </c>
    </row>
    <row r="1505" spans="1:6">
      <c r="A1505">
        <v>202309</v>
      </c>
      <c r="B1505" s="6">
        <v>45180</v>
      </c>
      <c r="C1505" t="s">
        <v>4006</v>
      </c>
      <c r="D1505" t="s">
        <v>4852</v>
      </c>
      <c r="E1505">
        <v>509.4</v>
      </c>
      <c r="F1505" t="s">
        <v>43</v>
      </c>
    </row>
    <row r="1506" spans="1:6">
      <c r="A1506">
        <v>202309</v>
      </c>
      <c r="B1506" s="6">
        <v>45181</v>
      </c>
      <c r="C1506" t="s">
        <v>4006</v>
      </c>
      <c r="D1506" t="s">
        <v>4867</v>
      </c>
      <c r="E1506">
        <v>66.180000000000007</v>
      </c>
      <c r="F1506" t="s">
        <v>9</v>
      </c>
    </row>
    <row r="1507" spans="1:6">
      <c r="A1507">
        <v>202309</v>
      </c>
      <c r="B1507" s="6">
        <v>45181</v>
      </c>
      <c r="C1507" t="s">
        <v>4067</v>
      </c>
      <c r="D1507" t="s">
        <v>38</v>
      </c>
      <c r="E1507">
        <v>10.73</v>
      </c>
      <c r="F1507" t="s">
        <v>38</v>
      </c>
    </row>
    <row r="1508" spans="1:6">
      <c r="A1508">
        <v>202309</v>
      </c>
      <c r="B1508" s="6">
        <v>45181</v>
      </c>
      <c r="C1508" t="s">
        <v>3932</v>
      </c>
      <c r="D1508" t="s">
        <v>38</v>
      </c>
      <c r="E1508">
        <v>13.92</v>
      </c>
      <c r="F1508" t="s">
        <v>38</v>
      </c>
    </row>
    <row r="1509" spans="1:6">
      <c r="A1509">
        <v>202309</v>
      </c>
      <c r="B1509" s="6">
        <v>45181</v>
      </c>
      <c r="C1509" t="s">
        <v>4073</v>
      </c>
      <c r="D1509" t="s">
        <v>4868</v>
      </c>
      <c r="E1509">
        <v>5.99</v>
      </c>
      <c r="F1509" t="s">
        <v>40</v>
      </c>
    </row>
    <row r="1510" spans="1:6">
      <c r="A1510">
        <v>202309</v>
      </c>
      <c r="B1510" s="6">
        <v>45181</v>
      </c>
      <c r="C1510" t="s">
        <v>4355</v>
      </c>
      <c r="D1510" t="s">
        <v>1955</v>
      </c>
      <c r="E1510">
        <v>51.74</v>
      </c>
      <c r="F1510" t="s">
        <v>21</v>
      </c>
    </row>
    <row r="1511" spans="1:6">
      <c r="A1511">
        <v>202309</v>
      </c>
      <c r="B1511" s="6">
        <v>45182</v>
      </c>
      <c r="C1511" t="s">
        <v>4006</v>
      </c>
      <c r="D1511" t="s">
        <v>4869</v>
      </c>
      <c r="E1511">
        <v>80.5</v>
      </c>
      <c r="F1511" t="s">
        <v>40</v>
      </c>
    </row>
    <row r="1512" spans="1:6">
      <c r="A1512">
        <v>202309</v>
      </c>
      <c r="B1512" s="6">
        <v>45182</v>
      </c>
      <c r="C1512" t="s">
        <v>4006</v>
      </c>
      <c r="D1512" t="s">
        <v>4870</v>
      </c>
      <c r="E1512">
        <v>9.9600000000000009</v>
      </c>
      <c r="F1512" t="s">
        <v>26</v>
      </c>
    </row>
    <row r="1513" spans="1:6">
      <c r="A1513">
        <v>202309</v>
      </c>
      <c r="B1513" s="6">
        <v>45182</v>
      </c>
      <c r="C1513" t="s">
        <v>4075</v>
      </c>
      <c r="D1513" t="s">
        <v>1462</v>
      </c>
      <c r="E1513">
        <v>45</v>
      </c>
      <c r="F1513" t="s">
        <v>7</v>
      </c>
    </row>
    <row r="1514" spans="1:6">
      <c r="A1514">
        <v>202309</v>
      </c>
      <c r="B1514" s="6">
        <v>45182</v>
      </c>
      <c r="C1514" t="s">
        <v>4352</v>
      </c>
      <c r="D1514" t="s">
        <v>4871</v>
      </c>
      <c r="E1514">
        <v>330</v>
      </c>
      <c r="F1514" t="s">
        <v>20</v>
      </c>
    </row>
    <row r="1515" spans="1:6">
      <c r="A1515">
        <v>202309</v>
      </c>
      <c r="B1515" s="6">
        <v>45183</v>
      </c>
      <c r="C1515" t="s">
        <v>4369</v>
      </c>
      <c r="D1515" t="s">
        <v>404</v>
      </c>
      <c r="E1515">
        <v>-3594.81</v>
      </c>
      <c r="F1515" t="s">
        <v>66</v>
      </c>
    </row>
    <row r="1516" spans="1:6">
      <c r="A1516">
        <v>202309</v>
      </c>
      <c r="B1516" s="6">
        <v>45183</v>
      </c>
      <c r="C1516" t="s">
        <v>4094</v>
      </c>
      <c r="D1516" t="s">
        <v>673</v>
      </c>
      <c r="E1516">
        <v>-1432.21</v>
      </c>
      <c r="F1516" t="s">
        <v>9</v>
      </c>
    </row>
    <row r="1517" spans="1:6">
      <c r="A1517">
        <v>202309</v>
      </c>
      <c r="B1517" s="6">
        <v>45183</v>
      </c>
      <c r="C1517" t="s">
        <v>4363</v>
      </c>
      <c r="D1517" t="s">
        <v>4872</v>
      </c>
      <c r="E1517">
        <v>-658.29</v>
      </c>
      <c r="F1517" t="s">
        <v>9</v>
      </c>
    </row>
    <row r="1518" spans="1:6">
      <c r="A1518">
        <v>202309</v>
      </c>
      <c r="B1518" s="6">
        <v>45183</v>
      </c>
      <c r="C1518" t="s">
        <v>4006</v>
      </c>
      <c r="D1518" t="s">
        <v>4873</v>
      </c>
      <c r="E1518">
        <v>61.68</v>
      </c>
      <c r="F1518" t="s">
        <v>26</v>
      </c>
    </row>
    <row r="1519" spans="1:6">
      <c r="A1519">
        <v>202309</v>
      </c>
      <c r="B1519" s="6">
        <v>45183</v>
      </c>
      <c r="C1519" t="s">
        <v>4006</v>
      </c>
      <c r="D1519" t="s">
        <v>4873</v>
      </c>
      <c r="E1519">
        <v>1232.99</v>
      </c>
      <c r="F1519" t="s">
        <v>9</v>
      </c>
    </row>
    <row r="1520" spans="1:6">
      <c r="A1520">
        <v>202309</v>
      </c>
      <c r="B1520" s="6">
        <v>45183</v>
      </c>
      <c r="C1520" t="s">
        <v>4006</v>
      </c>
      <c r="D1520" t="s">
        <v>4829</v>
      </c>
      <c r="E1520">
        <v>90</v>
      </c>
      <c r="F1520" t="s">
        <v>9</v>
      </c>
    </row>
    <row r="1521" spans="1:6">
      <c r="A1521">
        <v>202309</v>
      </c>
      <c r="B1521" s="6">
        <v>45183</v>
      </c>
      <c r="C1521" t="s">
        <v>4006</v>
      </c>
      <c r="D1521" t="s">
        <v>4874</v>
      </c>
      <c r="E1521">
        <v>41.54</v>
      </c>
      <c r="F1521" t="s">
        <v>26</v>
      </c>
    </row>
    <row r="1522" spans="1:6">
      <c r="A1522">
        <v>202309</v>
      </c>
      <c r="B1522" s="6">
        <v>45183</v>
      </c>
      <c r="C1522" t="s">
        <v>4368</v>
      </c>
      <c r="D1522" t="s">
        <v>4356</v>
      </c>
      <c r="E1522">
        <v>116.77</v>
      </c>
      <c r="F1522" t="s">
        <v>18</v>
      </c>
    </row>
    <row r="1523" spans="1:6">
      <c r="A1523">
        <v>202309</v>
      </c>
      <c r="B1523" s="6">
        <v>45183</v>
      </c>
      <c r="C1523" t="s">
        <v>4360</v>
      </c>
      <c r="D1523" t="s">
        <v>4343</v>
      </c>
      <c r="E1523">
        <v>-3342.81</v>
      </c>
      <c r="F1523" t="s">
        <v>64</v>
      </c>
    </row>
    <row r="1524" spans="1:6">
      <c r="A1524">
        <v>202309</v>
      </c>
      <c r="B1524" s="6">
        <v>45183</v>
      </c>
      <c r="C1524" t="s">
        <v>4006</v>
      </c>
      <c r="D1524" t="s">
        <v>1773</v>
      </c>
      <c r="E1524">
        <v>13.93</v>
      </c>
      <c r="F1524" t="s">
        <v>26</v>
      </c>
    </row>
    <row r="1525" spans="1:6">
      <c r="A1525">
        <v>202309</v>
      </c>
      <c r="B1525" s="6">
        <v>45183</v>
      </c>
      <c r="C1525" t="s">
        <v>4371</v>
      </c>
      <c r="D1525" t="s">
        <v>4293</v>
      </c>
      <c r="E1525">
        <v>1432.21</v>
      </c>
      <c r="F1525" t="s">
        <v>9</v>
      </c>
    </row>
    <row r="1526" spans="1:6">
      <c r="A1526">
        <v>202309</v>
      </c>
      <c r="B1526" s="6">
        <v>45184</v>
      </c>
      <c r="C1526" t="s">
        <v>4096</v>
      </c>
      <c r="D1526" t="s">
        <v>38</v>
      </c>
      <c r="E1526">
        <v>36.99</v>
      </c>
      <c r="F1526" t="s">
        <v>38</v>
      </c>
    </row>
    <row r="1527" spans="1:6">
      <c r="A1527">
        <v>202309</v>
      </c>
      <c r="B1527" s="6">
        <v>45184</v>
      </c>
      <c r="C1527" t="s">
        <v>4006</v>
      </c>
      <c r="D1527" t="s">
        <v>4875</v>
      </c>
      <c r="E1527">
        <v>32.729999999999997</v>
      </c>
      <c r="F1527" t="s">
        <v>40</v>
      </c>
    </row>
    <row r="1528" spans="1:6">
      <c r="A1528">
        <v>202309</v>
      </c>
      <c r="B1528" s="6">
        <v>45184</v>
      </c>
      <c r="C1528" t="s">
        <v>4006</v>
      </c>
      <c r="D1528" t="s">
        <v>4876</v>
      </c>
      <c r="E1528">
        <v>92.6</v>
      </c>
      <c r="F1528" t="s">
        <v>28</v>
      </c>
    </row>
    <row r="1529" spans="1:6">
      <c r="A1529">
        <v>202309</v>
      </c>
      <c r="B1529" s="6">
        <v>45184</v>
      </c>
      <c r="C1529" t="s">
        <v>4006</v>
      </c>
      <c r="D1529" t="s">
        <v>4873</v>
      </c>
      <c r="E1529">
        <v>84.28</v>
      </c>
      <c r="F1529" t="s">
        <v>21</v>
      </c>
    </row>
    <row r="1530" spans="1:6">
      <c r="A1530">
        <v>202309</v>
      </c>
      <c r="B1530" s="6">
        <v>45184</v>
      </c>
      <c r="C1530" t="s">
        <v>4006</v>
      </c>
      <c r="D1530" t="s">
        <v>4877</v>
      </c>
      <c r="E1530">
        <v>428.6</v>
      </c>
      <c r="F1530" t="s">
        <v>40</v>
      </c>
    </row>
    <row r="1531" spans="1:6">
      <c r="A1531">
        <v>202309</v>
      </c>
      <c r="B1531" s="6">
        <v>45184</v>
      </c>
      <c r="C1531" t="s">
        <v>4091</v>
      </c>
      <c r="D1531" t="s">
        <v>2078</v>
      </c>
      <c r="E1531">
        <v>43.94</v>
      </c>
      <c r="F1531" t="s">
        <v>23</v>
      </c>
    </row>
    <row r="1532" spans="1:6">
      <c r="A1532">
        <v>202309</v>
      </c>
      <c r="B1532" s="6">
        <v>45185</v>
      </c>
      <c r="C1532" t="s">
        <v>4006</v>
      </c>
      <c r="D1532" t="s">
        <v>4878</v>
      </c>
      <c r="E1532">
        <v>182.79</v>
      </c>
      <c r="F1532" t="s">
        <v>2</v>
      </c>
    </row>
    <row r="1533" spans="1:6">
      <c r="A1533">
        <v>202309</v>
      </c>
      <c r="B1533" s="6">
        <v>45185</v>
      </c>
      <c r="C1533" t="s">
        <v>4006</v>
      </c>
      <c r="D1533" t="s">
        <v>1083</v>
      </c>
      <c r="E1533">
        <v>54.67</v>
      </c>
      <c r="F1533" t="s">
        <v>23</v>
      </c>
    </row>
    <row r="1534" spans="1:6">
      <c r="A1534">
        <v>202309</v>
      </c>
      <c r="B1534" s="6">
        <v>45185</v>
      </c>
      <c r="C1534" t="s">
        <v>4006</v>
      </c>
      <c r="D1534" t="s">
        <v>4879</v>
      </c>
      <c r="E1534">
        <v>29</v>
      </c>
      <c r="F1534" t="s">
        <v>29</v>
      </c>
    </row>
    <row r="1535" spans="1:6">
      <c r="A1535">
        <v>202309</v>
      </c>
      <c r="B1535" s="6">
        <v>45186</v>
      </c>
      <c r="C1535" t="s">
        <v>4089</v>
      </c>
      <c r="D1535" t="s">
        <v>38</v>
      </c>
      <c r="E1535">
        <v>65.98</v>
      </c>
      <c r="F1535" t="s">
        <v>38</v>
      </c>
    </row>
    <row r="1536" spans="1:6">
      <c r="A1536">
        <v>202309</v>
      </c>
      <c r="B1536" s="6">
        <v>45186</v>
      </c>
      <c r="C1536" t="s">
        <v>4006</v>
      </c>
      <c r="D1536" t="s">
        <v>4880</v>
      </c>
      <c r="E1536">
        <v>20</v>
      </c>
      <c r="F1536" t="s">
        <v>40</v>
      </c>
    </row>
    <row r="1537" spans="1:6">
      <c r="A1537">
        <v>202309</v>
      </c>
      <c r="B1537" s="6">
        <v>45186</v>
      </c>
      <c r="C1537" t="s">
        <v>4006</v>
      </c>
      <c r="D1537" t="s">
        <v>4540</v>
      </c>
      <c r="E1537">
        <v>63</v>
      </c>
      <c r="F1537" t="s">
        <v>26</v>
      </c>
    </row>
    <row r="1538" spans="1:6">
      <c r="A1538">
        <v>202309</v>
      </c>
      <c r="B1538" s="6">
        <v>45186</v>
      </c>
      <c r="C1538" t="s">
        <v>4112</v>
      </c>
      <c r="D1538" t="s">
        <v>4881</v>
      </c>
      <c r="E1538">
        <v>12</v>
      </c>
      <c r="F1538" t="s">
        <v>26</v>
      </c>
    </row>
    <row r="1539" spans="1:6">
      <c r="A1539">
        <v>202309</v>
      </c>
      <c r="B1539" s="6">
        <v>45186</v>
      </c>
      <c r="C1539" t="s">
        <v>4100</v>
      </c>
      <c r="D1539" t="s">
        <v>4882</v>
      </c>
      <c r="E1539">
        <v>15</v>
      </c>
      <c r="F1539" t="s">
        <v>40</v>
      </c>
    </row>
    <row r="1540" spans="1:6">
      <c r="A1540">
        <v>202309</v>
      </c>
      <c r="B1540" s="6">
        <v>45186</v>
      </c>
      <c r="C1540" t="s">
        <v>4098</v>
      </c>
      <c r="D1540" t="s">
        <v>4883</v>
      </c>
      <c r="E1540">
        <v>9</v>
      </c>
      <c r="F1540" t="s">
        <v>26</v>
      </c>
    </row>
    <row r="1541" spans="1:6">
      <c r="A1541">
        <v>202309</v>
      </c>
      <c r="B1541" s="6">
        <v>45186</v>
      </c>
      <c r="C1541" t="s">
        <v>4006</v>
      </c>
      <c r="D1541" t="s">
        <v>4884</v>
      </c>
      <c r="E1541">
        <v>147.19</v>
      </c>
      <c r="F1541" t="s">
        <v>21</v>
      </c>
    </row>
    <row r="1542" spans="1:6">
      <c r="A1542">
        <v>202309</v>
      </c>
      <c r="B1542" s="6">
        <v>45187</v>
      </c>
      <c r="C1542" t="s">
        <v>4006</v>
      </c>
      <c r="D1542" t="s">
        <v>103</v>
      </c>
      <c r="E1542">
        <v>148.76</v>
      </c>
      <c r="F1542" t="s">
        <v>28</v>
      </c>
    </row>
    <row r="1543" spans="1:6">
      <c r="A1543">
        <v>202309</v>
      </c>
      <c r="B1543" s="6">
        <v>45187</v>
      </c>
      <c r="C1543" t="s">
        <v>4152</v>
      </c>
      <c r="D1543" t="s">
        <v>113</v>
      </c>
      <c r="E1543">
        <v>-26.79</v>
      </c>
      <c r="F1543" t="s">
        <v>38</v>
      </c>
    </row>
    <row r="1544" spans="1:6">
      <c r="A1544">
        <v>202309</v>
      </c>
      <c r="B1544" s="6">
        <v>45187</v>
      </c>
      <c r="C1544" t="s">
        <v>4145</v>
      </c>
      <c r="D1544" t="s">
        <v>113</v>
      </c>
      <c r="E1544">
        <v>-29.57</v>
      </c>
      <c r="F1544" t="s">
        <v>38</v>
      </c>
    </row>
    <row r="1545" spans="1:6">
      <c r="A1545">
        <v>202309</v>
      </c>
      <c r="B1545" s="6">
        <v>45187</v>
      </c>
      <c r="C1545" t="s">
        <v>4135</v>
      </c>
      <c r="D1545" t="s">
        <v>113</v>
      </c>
      <c r="E1545">
        <v>-36.99</v>
      </c>
      <c r="F1545" t="s">
        <v>38</v>
      </c>
    </row>
    <row r="1546" spans="1:6">
      <c r="A1546">
        <v>202309</v>
      </c>
      <c r="B1546" s="6">
        <v>45187</v>
      </c>
      <c r="C1546" t="s">
        <v>4137</v>
      </c>
      <c r="D1546" t="s">
        <v>113</v>
      </c>
      <c r="E1546">
        <v>-36.590000000000003</v>
      </c>
      <c r="F1546" t="s">
        <v>38</v>
      </c>
    </row>
    <row r="1547" spans="1:6">
      <c r="A1547">
        <v>202309</v>
      </c>
      <c r="B1547" s="6">
        <v>45187</v>
      </c>
      <c r="C1547" t="s">
        <v>4127</v>
      </c>
      <c r="D1547" t="s">
        <v>113</v>
      </c>
      <c r="E1547">
        <v>-15.45</v>
      </c>
      <c r="F1547" t="s">
        <v>38</v>
      </c>
    </row>
    <row r="1548" spans="1:6">
      <c r="A1548">
        <v>202309</v>
      </c>
      <c r="B1548" s="6">
        <v>45187</v>
      </c>
      <c r="C1548" t="s">
        <v>4129</v>
      </c>
      <c r="D1548" t="s">
        <v>113</v>
      </c>
      <c r="E1548">
        <v>-38.49</v>
      </c>
      <c r="F1548" t="s">
        <v>38</v>
      </c>
    </row>
    <row r="1549" spans="1:6">
      <c r="A1549">
        <v>202309</v>
      </c>
      <c r="B1549" s="6">
        <v>45187</v>
      </c>
      <c r="C1549" t="s">
        <v>4125</v>
      </c>
      <c r="D1549" t="s">
        <v>113</v>
      </c>
      <c r="E1549">
        <v>-44.99</v>
      </c>
      <c r="F1549" t="s">
        <v>38</v>
      </c>
    </row>
    <row r="1550" spans="1:6">
      <c r="A1550">
        <v>202309</v>
      </c>
      <c r="B1550" s="6">
        <v>45187</v>
      </c>
      <c r="C1550" t="s">
        <v>4380</v>
      </c>
      <c r="D1550" t="s">
        <v>4283</v>
      </c>
      <c r="E1550">
        <v>-75</v>
      </c>
      <c r="F1550" t="s">
        <v>66</v>
      </c>
    </row>
    <row r="1551" spans="1:6">
      <c r="A1551">
        <v>202309</v>
      </c>
      <c r="B1551" s="6">
        <v>45187</v>
      </c>
      <c r="C1551" t="s">
        <v>4006</v>
      </c>
      <c r="D1551" t="s">
        <v>4885</v>
      </c>
      <c r="E1551">
        <v>957.5</v>
      </c>
      <c r="F1551" t="s">
        <v>9</v>
      </c>
    </row>
    <row r="1552" spans="1:6">
      <c r="A1552">
        <v>202309</v>
      </c>
      <c r="B1552" s="6">
        <v>45187</v>
      </c>
      <c r="C1552" t="s">
        <v>4006</v>
      </c>
      <c r="D1552" t="s">
        <v>4886</v>
      </c>
      <c r="E1552">
        <v>16.02</v>
      </c>
      <c r="F1552" t="s">
        <v>9</v>
      </c>
    </row>
    <row r="1553" spans="1:6">
      <c r="A1553">
        <v>202309</v>
      </c>
      <c r="B1553" s="6">
        <v>45187</v>
      </c>
      <c r="C1553" t="s">
        <v>4121</v>
      </c>
      <c r="D1553" t="s">
        <v>648</v>
      </c>
      <c r="E1553">
        <v>172.77</v>
      </c>
      <c r="F1553" t="s">
        <v>28</v>
      </c>
    </row>
    <row r="1554" spans="1:6">
      <c r="A1554">
        <v>202309</v>
      </c>
      <c r="B1554" s="6">
        <v>45187</v>
      </c>
      <c r="C1554" t="s">
        <v>4123</v>
      </c>
      <c r="D1554" t="s">
        <v>4887</v>
      </c>
      <c r="E1554">
        <v>48.94</v>
      </c>
      <c r="F1554" t="s">
        <v>28</v>
      </c>
    </row>
    <row r="1555" spans="1:6">
      <c r="A1555">
        <v>202309</v>
      </c>
      <c r="B1555" s="6">
        <v>45187</v>
      </c>
      <c r="C1555" t="s">
        <v>3932</v>
      </c>
      <c r="D1555" t="s">
        <v>4779</v>
      </c>
      <c r="E1555">
        <v>-159.26</v>
      </c>
      <c r="F1555" t="s">
        <v>9</v>
      </c>
    </row>
    <row r="1556" spans="1:6">
      <c r="A1556">
        <v>202309</v>
      </c>
      <c r="B1556" s="6">
        <v>45187</v>
      </c>
      <c r="C1556" t="s">
        <v>4006</v>
      </c>
      <c r="D1556" t="s">
        <v>4888</v>
      </c>
      <c r="E1556">
        <v>12.4</v>
      </c>
      <c r="F1556" t="s">
        <v>26</v>
      </c>
    </row>
    <row r="1557" spans="1:6">
      <c r="A1557">
        <v>202309</v>
      </c>
      <c r="B1557" s="6">
        <v>45187</v>
      </c>
      <c r="C1557" t="s">
        <v>4006</v>
      </c>
      <c r="D1557" t="s">
        <v>4012</v>
      </c>
      <c r="E1557">
        <v>-9950.69</v>
      </c>
      <c r="F1557" t="s">
        <v>9</v>
      </c>
    </row>
    <row r="1558" spans="1:6">
      <c r="A1558">
        <v>202309</v>
      </c>
      <c r="B1558" s="6">
        <v>45187</v>
      </c>
      <c r="C1558" t="s">
        <v>4375</v>
      </c>
      <c r="D1558" t="s">
        <v>1955</v>
      </c>
      <c r="E1558">
        <v>59.97</v>
      </c>
      <c r="F1558" t="s">
        <v>21</v>
      </c>
    </row>
    <row r="1559" spans="1:6">
      <c r="A1559">
        <v>202309</v>
      </c>
      <c r="B1559" s="6">
        <v>45187</v>
      </c>
      <c r="C1559" t="s">
        <v>4370</v>
      </c>
      <c r="D1559" t="s">
        <v>1955</v>
      </c>
      <c r="E1559">
        <v>7.79</v>
      </c>
      <c r="F1559" t="s">
        <v>21</v>
      </c>
    </row>
    <row r="1560" spans="1:6">
      <c r="A1560">
        <v>202309</v>
      </c>
      <c r="B1560" s="6">
        <v>45187</v>
      </c>
      <c r="C1560" t="s">
        <v>2712</v>
      </c>
      <c r="D1560" t="s">
        <v>4889</v>
      </c>
      <c r="E1560">
        <v>650</v>
      </c>
      <c r="F1560" t="s">
        <v>61</v>
      </c>
    </row>
    <row r="1561" spans="1:6">
      <c r="A1561">
        <v>202309</v>
      </c>
      <c r="B1561" s="6">
        <v>45188</v>
      </c>
      <c r="C1561" t="s">
        <v>4143</v>
      </c>
      <c r="D1561" t="s">
        <v>38</v>
      </c>
      <c r="E1561">
        <v>47.35</v>
      </c>
      <c r="F1561" t="s">
        <v>38</v>
      </c>
    </row>
    <row r="1562" spans="1:6">
      <c r="A1562">
        <v>202309</v>
      </c>
      <c r="B1562" s="6">
        <v>45188</v>
      </c>
      <c r="C1562" t="s">
        <v>3932</v>
      </c>
      <c r="D1562" t="s">
        <v>3994</v>
      </c>
      <c r="E1562">
        <v>1.06</v>
      </c>
      <c r="F1562" t="s">
        <v>38</v>
      </c>
    </row>
    <row r="1563" spans="1:6">
      <c r="A1563">
        <v>202309</v>
      </c>
      <c r="B1563" s="6">
        <v>45188</v>
      </c>
      <c r="C1563" t="s">
        <v>4006</v>
      </c>
      <c r="D1563" t="s">
        <v>4890</v>
      </c>
      <c r="E1563">
        <v>1437.36</v>
      </c>
      <c r="F1563" t="s">
        <v>43</v>
      </c>
    </row>
    <row r="1564" spans="1:6">
      <c r="A1564">
        <v>202309</v>
      </c>
      <c r="B1564" s="6">
        <v>45188</v>
      </c>
      <c r="C1564" t="s">
        <v>4006</v>
      </c>
      <c r="D1564" t="s">
        <v>4892</v>
      </c>
      <c r="E1564">
        <v>32.479999999999997</v>
      </c>
      <c r="F1564" t="s">
        <v>26</v>
      </c>
    </row>
    <row r="1565" spans="1:6">
      <c r="A1565">
        <v>202309</v>
      </c>
      <c r="B1565" s="6">
        <v>45188</v>
      </c>
      <c r="C1565" t="s">
        <v>4006</v>
      </c>
      <c r="D1565" t="s">
        <v>4893</v>
      </c>
      <c r="E1565">
        <v>10.68</v>
      </c>
      <c r="F1565" t="e">
        <v>#N/A</v>
      </c>
    </row>
    <row r="1566" spans="1:6">
      <c r="A1566">
        <v>202309</v>
      </c>
      <c r="B1566" s="6">
        <v>45188</v>
      </c>
      <c r="C1566" t="s">
        <v>3199</v>
      </c>
      <c r="D1566" t="s">
        <v>3200</v>
      </c>
      <c r="E1566">
        <v>53</v>
      </c>
      <c r="F1566" t="s">
        <v>21</v>
      </c>
    </row>
    <row r="1567" spans="1:6">
      <c r="A1567">
        <v>202309</v>
      </c>
      <c r="B1567" s="6">
        <v>45188</v>
      </c>
      <c r="C1567" t="s">
        <v>4150</v>
      </c>
      <c r="D1567" t="s">
        <v>4894</v>
      </c>
      <c r="E1567">
        <v>3.53</v>
      </c>
      <c r="F1567" t="s">
        <v>26</v>
      </c>
    </row>
    <row r="1568" spans="1:6">
      <c r="A1568">
        <v>202309</v>
      </c>
      <c r="B1568" s="6">
        <v>45188</v>
      </c>
      <c r="C1568" t="s">
        <v>4381</v>
      </c>
      <c r="D1568" t="s">
        <v>1464</v>
      </c>
      <c r="E1568">
        <v>159.26</v>
      </c>
      <c r="F1568" t="s">
        <v>9</v>
      </c>
    </row>
    <row r="1569" spans="1:6">
      <c r="A1569">
        <v>202309</v>
      </c>
      <c r="B1569" s="6">
        <v>45188</v>
      </c>
      <c r="C1569" t="s">
        <v>4141</v>
      </c>
      <c r="D1569" t="s">
        <v>4895</v>
      </c>
      <c r="E1569">
        <v>29.93</v>
      </c>
      <c r="F1569" t="s">
        <v>9</v>
      </c>
    </row>
    <row r="1570" spans="1:6">
      <c r="A1570">
        <v>202309</v>
      </c>
      <c r="B1570" s="6">
        <v>45188</v>
      </c>
      <c r="C1570" t="s">
        <v>4400</v>
      </c>
      <c r="D1570" t="s">
        <v>4896</v>
      </c>
      <c r="E1570">
        <v>-3173.88</v>
      </c>
      <c r="F1570" t="s">
        <v>9</v>
      </c>
    </row>
    <row r="1571" spans="1:6">
      <c r="A1571">
        <v>202309</v>
      </c>
      <c r="B1571" s="6">
        <v>45188</v>
      </c>
      <c r="C1571" t="s">
        <v>4382</v>
      </c>
      <c r="D1571" t="s">
        <v>1955</v>
      </c>
      <c r="E1571">
        <v>2.99</v>
      </c>
      <c r="F1571" t="s">
        <v>21</v>
      </c>
    </row>
    <row r="1572" spans="1:6">
      <c r="A1572">
        <v>202309</v>
      </c>
      <c r="B1572" s="6">
        <v>45189</v>
      </c>
      <c r="C1572" t="s">
        <v>4160</v>
      </c>
      <c r="D1572" t="s">
        <v>4897</v>
      </c>
      <c r="E1572">
        <v>45.27</v>
      </c>
      <c r="F1572" t="s">
        <v>9</v>
      </c>
    </row>
    <row r="1573" spans="1:6">
      <c r="A1573">
        <v>202309</v>
      </c>
      <c r="B1573" s="6">
        <v>45189</v>
      </c>
      <c r="C1573" t="s">
        <v>4167</v>
      </c>
      <c r="D1573" t="s">
        <v>4898</v>
      </c>
      <c r="E1573">
        <v>45.48</v>
      </c>
      <c r="F1573" t="s">
        <v>9</v>
      </c>
    </row>
    <row r="1574" spans="1:6">
      <c r="A1574">
        <v>202309</v>
      </c>
      <c r="B1574" s="6">
        <v>45189</v>
      </c>
      <c r="C1574" t="s">
        <v>4169</v>
      </c>
      <c r="D1574" t="s">
        <v>4899</v>
      </c>
      <c r="E1574">
        <v>0.49</v>
      </c>
      <c r="F1574" t="s">
        <v>7</v>
      </c>
    </row>
    <row r="1575" spans="1:6">
      <c r="A1575">
        <v>202309</v>
      </c>
      <c r="B1575" s="6">
        <v>45189</v>
      </c>
      <c r="C1575" t="s">
        <v>4158</v>
      </c>
      <c r="D1575" t="s">
        <v>4900</v>
      </c>
      <c r="E1575">
        <v>-0.7</v>
      </c>
      <c r="F1575" t="s">
        <v>20</v>
      </c>
    </row>
    <row r="1576" spans="1:6">
      <c r="A1576">
        <v>202309</v>
      </c>
      <c r="B1576" s="6">
        <v>45189</v>
      </c>
      <c r="C1576" t="s">
        <v>4148</v>
      </c>
      <c r="D1576" t="s">
        <v>1353</v>
      </c>
      <c r="E1576">
        <v>3.76</v>
      </c>
      <c r="F1576" t="s">
        <v>26</v>
      </c>
    </row>
    <row r="1577" spans="1:6">
      <c r="A1577">
        <v>202309</v>
      </c>
      <c r="B1577" s="6">
        <v>45189</v>
      </c>
      <c r="C1577" t="s">
        <v>4405</v>
      </c>
      <c r="D1577" t="s">
        <v>1458</v>
      </c>
      <c r="E1577">
        <v>9950.69</v>
      </c>
      <c r="F1577" t="s">
        <v>9</v>
      </c>
    </row>
    <row r="1578" spans="1:6">
      <c r="A1578">
        <v>202309</v>
      </c>
      <c r="B1578" s="6">
        <v>45189</v>
      </c>
      <c r="C1578" t="s">
        <v>4156</v>
      </c>
      <c r="D1578" t="s">
        <v>4901</v>
      </c>
      <c r="E1578">
        <v>7.48</v>
      </c>
      <c r="F1578" t="s">
        <v>26</v>
      </c>
    </row>
    <row r="1579" spans="1:6">
      <c r="A1579">
        <v>202309</v>
      </c>
      <c r="B1579" s="6">
        <v>45189</v>
      </c>
      <c r="C1579" t="s">
        <v>4164</v>
      </c>
      <c r="D1579" t="s">
        <v>4902</v>
      </c>
      <c r="E1579">
        <v>3.9</v>
      </c>
      <c r="F1579" t="s">
        <v>21</v>
      </c>
    </row>
    <row r="1580" spans="1:6">
      <c r="A1580">
        <v>202309</v>
      </c>
      <c r="B1580" s="6">
        <v>45189</v>
      </c>
      <c r="C1580" t="s">
        <v>4403</v>
      </c>
      <c r="D1580" t="s">
        <v>4903</v>
      </c>
      <c r="E1580">
        <v>330</v>
      </c>
      <c r="F1580" t="s">
        <v>20</v>
      </c>
    </row>
    <row r="1581" spans="1:6">
      <c r="A1581">
        <v>202309</v>
      </c>
      <c r="B1581" s="6">
        <v>45190</v>
      </c>
      <c r="C1581" t="s">
        <v>4172</v>
      </c>
      <c r="D1581" t="s">
        <v>4904</v>
      </c>
      <c r="E1581">
        <v>11</v>
      </c>
      <c r="F1581" t="s">
        <v>2</v>
      </c>
    </row>
    <row r="1582" spans="1:6">
      <c r="A1582">
        <v>202309</v>
      </c>
      <c r="B1582" s="6">
        <v>45190</v>
      </c>
      <c r="C1582" t="s">
        <v>4176</v>
      </c>
      <c r="D1582" t="s">
        <v>4905</v>
      </c>
      <c r="E1582">
        <v>13.61</v>
      </c>
      <c r="F1582" t="s">
        <v>26</v>
      </c>
    </row>
    <row r="1583" spans="1:6">
      <c r="A1583">
        <v>202309</v>
      </c>
      <c r="B1583" s="6">
        <v>45190</v>
      </c>
      <c r="C1583" t="s">
        <v>4006</v>
      </c>
      <c r="D1583" t="s">
        <v>4906</v>
      </c>
      <c r="E1583">
        <v>75.239999999999995</v>
      </c>
      <c r="F1583" t="s">
        <v>29</v>
      </c>
    </row>
    <row r="1584" spans="1:6">
      <c r="A1584">
        <v>202309</v>
      </c>
      <c r="B1584" s="6">
        <v>45190</v>
      </c>
      <c r="C1584" t="s">
        <v>4188</v>
      </c>
      <c r="D1584" t="s">
        <v>4907</v>
      </c>
      <c r="E1584">
        <v>17.690000000000001</v>
      </c>
      <c r="F1584" t="s">
        <v>9</v>
      </c>
    </row>
    <row r="1585" spans="1:6">
      <c r="A1585">
        <v>202309</v>
      </c>
      <c r="B1585" s="6">
        <v>45190</v>
      </c>
      <c r="C1585" t="s">
        <v>4178</v>
      </c>
      <c r="D1585" t="s">
        <v>4908</v>
      </c>
      <c r="E1585">
        <v>13.72</v>
      </c>
      <c r="F1585" t="s">
        <v>9</v>
      </c>
    </row>
    <row r="1586" spans="1:6">
      <c r="A1586">
        <v>202309</v>
      </c>
      <c r="B1586" s="6">
        <v>45190</v>
      </c>
      <c r="C1586" t="s">
        <v>4174</v>
      </c>
      <c r="D1586" t="s">
        <v>4909</v>
      </c>
      <c r="E1586">
        <v>10.61</v>
      </c>
      <c r="F1586" t="s">
        <v>28</v>
      </c>
    </row>
    <row r="1587" spans="1:6">
      <c r="A1587">
        <v>202309</v>
      </c>
      <c r="B1587" s="6">
        <v>45190</v>
      </c>
      <c r="C1587" t="s">
        <v>4180</v>
      </c>
      <c r="D1587" t="s">
        <v>4910</v>
      </c>
      <c r="E1587">
        <v>21.44</v>
      </c>
      <c r="F1587" t="s">
        <v>28</v>
      </c>
    </row>
    <row r="1588" spans="1:6">
      <c r="A1588">
        <v>202309</v>
      </c>
      <c r="B1588" s="6">
        <v>45190</v>
      </c>
      <c r="C1588" t="s">
        <v>4406</v>
      </c>
      <c r="D1588" t="s">
        <v>4911</v>
      </c>
      <c r="E1588">
        <v>85.35</v>
      </c>
      <c r="F1588" t="s">
        <v>7</v>
      </c>
    </row>
    <row r="1589" spans="1:6">
      <c r="A1589">
        <v>202309</v>
      </c>
      <c r="B1589" s="6">
        <v>45191</v>
      </c>
      <c r="C1589" t="s">
        <v>4006</v>
      </c>
      <c r="D1589" t="s">
        <v>4540</v>
      </c>
      <c r="E1589">
        <v>63</v>
      </c>
      <c r="F1589" t="s">
        <v>26</v>
      </c>
    </row>
    <row r="1590" spans="1:6">
      <c r="A1590">
        <v>202309</v>
      </c>
      <c r="B1590" s="6">
        <v>45191</v>
      </c>
      <c r="C1590" t="s">
        <v>4186</v>
      </c>
      <c r="D1590" t="s">
        <v>4912</v>
      </c>
      <c r="E1590">
        <v>24.72</v>
      </c>
      <c r="F1590" t="s">
        <v>20</v>
      </c>
    </row>
    <row r="1591" spans="1:6">
      <c r="A1591">
        <v>202309</v>
      </c>
      <c r="B1591" s="6">
        <v>45191</v>
      </c>
      <c r="C1591" t="s">
        <v>4006</v>
      </c>
      <c r="D1591" t="s">
        <v>1356</v>
      </c>
      <c r="E1591">
        <v>112.94</v>
      </c>
      <c r="F1591" t="s">
        <v>26</v>
      </c>
    </row>
    <row r="1592" spans="1:6">
      <c r="A1592">
        <v>202309</v>
      </c>
      <c r="B1592" s="6">
        <v>45191</v>
      </c>
      <c r="C1592" t="s">
        <v>4192</v>
      </c>
      <c r="D1592" t="s">
        <v>1773</v>
      </c>
      <c r="E1592">
        <v>3.76</v>
      </c>
      <c r="F1592" t="s">
        <v>26</v>
      </c>
    </row>
    <row r="1593" spans="1:6">
      <c r="A1593">
        <v>202309</v>
      </c>
      <c r="B1593" s="6">
        <v>45191</v>
      </c>
      <c r="C1593" t="s">
        <v>4194</v>
      </c>
      <c r="D1593" t="s">
        <v>4913</v>
      </c>
      <c r="E1593">
        <v>25.61</v>
      </c>
      <c r="F1593" t="s">
        <v>26</v>
      </c>
    </row>
    <row r="1594" spans="1:6">
      <c r="A1594">
        <v>202309</v>
      </c>
      <c r="B1594" s="6">
        <v>45191</v>
      </c>
      <c r="C1594" t="s">
        <v>4190</v>
      </c>
      <c r="D1594" t="s">
        <v>4914</v>
      </c>
      <c r="E1594">
        <v>24.54</v>
      </c>
      <c r="F1594" t="s">
        <v>9</v>
      </c>
    </row>
    <row r="1595" spans="1:6">
      <c r="A1595">
        <v>202309</v>
      </c>
      <c r="B1595" s="6">
        <v>45191</v>
      </c>
      <c r="C1595" t="s">
        <v>4413</v>
      </c>
      <c r="D1595" t="s">
        <v>1958</v>
      </c>
      <c r="E1595">
        <v>125</v>
      </c>
      <c r="F1595" t="s">
        <v>21</v>
      </c>
    </row>
    <row r="1596" spans="1:6">
      <c r="A1596">
        <v>202309</v>
      </c>
      <c r="B1596" s="6">
        <v>45191</v>
      </c>
      <c r="C1596" t="s">
        <v>4006</v>
      </c>
      <c r="D1596" t="s">
        <v>2149</v>
      </c>
      <c r="E1596">
        <v>13.08</v>
      </c>
      <c r="F1596" t="s">
        <v>26</v>
      </c>
    </row>
    <row r="1597" spans="1:6">
      <c r="A1597">
        <v>202309</v>
      </c>
      <c r="B1597" s="6">
        <v>45192</v>
      </c>
      <c r="C1597" t="s">
        <v>4006</v>
      </c>
      <c r="D1597" t="s">
        <v>161</v>
      </c>
      <c r="E1597">
        <v>145.5</v>
      </c>
      <c r="F1597" t="s">
        <v>21</v>
      </c>
    </row>
    <row r="1598" spans="1:6">
      <c r="A1598">
        <v>202309</v>
      </c>
      <c r="B1598" s="6">
        <v>45192</v>
      </c>
      <c r="C1598" t="s">
        <v>4006</v>
      </c>
      <c r="D1598" t="s">
        <v>4915</v>
      </c>
      <c r="E1598">
        <v>59.43</v>
      </c>
      <c r="F1598" t="s">
        <v>26</v>
      </c>
    </row>
    <row r="1599" spans="1:6">
      <c r="A1599">
        <v>202309</v>
      </c>
      <c r="B1599" s="6">
        <v>45192</v>
      </c>
      <c r="C1599" t="s">
        <v>4006</v>
      </c>
      <c r="D1599" t="s">
        <v>4916</v>
      </c>
      <c r="E1599">
        <v>2.16</v>
      </c>
      <c r="F1599" t="s">
        <v>26</v>
      </c>
    </row>
    <row r="1600" spans="1:6">
      <c r="A1600">
        <v>202309</v>
      </c>
      <c r="B1600" s="6">
        <v>45192</v>
      </c>
      <c r="C1600" t="s">
        <v>4006</v>
      </c>
      <c r="D1600" t="s">
        <v>4917</v>
      </c>
      <c r="E1600">
        <v>161.91</v>
      </c>
      <c r="F1600" t="s">
        <v>28</v>
      </c>
    </row>
    <row r="1601" spans="1:6">
      <c r="A1601">
        <v>202309</v>
      </c>
      <c r="B1601" s="6">
        <v>45192</v>
      </c>
      <c r="C1601" t="s">
        <v>4006</v>
      </c>
      <c r="D1601" t="s">
        <v>4918</v>
      </c>
      <c r="E1601">
        <v>130.05000000000001</v>
      </c>
      <c r="F1601" t="s">
        <v>21</v>
      </c>
    </row>
    <row r="1602" spans="1:6">
      <c r="A1602">
        <v>202309</v>
      </c>
      <c r="B1602" s="6">
        <v>45192</v>
      </c>
      <c r="C1602" t="s">
        <v>4006</v>
      </c>
      <c r="D1602" t="s">
        <v>4919</v>
      </c>
      <c r="E1602">
        <v>8.32</v>
      </c>
      <c r="F1602" t="s">
        <v>26</v>
      </c>
    </row>
    <row r="1603" spans="1:6">
      <c r="A1603">
        <v>202309</v>
      </c>
      <c r="B1603" s="6">
        <v>45192</v>
      </c>
      <c r="C1603" t="s">
        <v>4006</v>
      </c>
      <c r="D1603" t="s">
        <v>4920</v>
      </c>
      <c r="E1603">
        <v>704</v>
      </c>
      <c r="F1603" t="s">
        <v>21</v>
      </c>
    </row>
    <row r="1604" spans="1:6">
      <c r="A1604">
        <v>202309</v>
      </c>
      <c r="B1604" s="6">
        <v>45193</v>
      </c>
      <c r="C1604" t="s">
        <v>4196</v>
      </c>
      <c r="D1604" t="s">
        <v>4921</v>
      </c>
      <c r="E1604">
        <v>178.89</v>
      </c>
      <c r="F1604" t="s">
        <v>21</v>
      </c>
    </row>
    <row r="1605" spans="1:6">
      <c r="A1605">
        <v>202309</v>
      </c>
      <c r="B1605" s="6">
        <v>45193</v>
      </c>
      <c r="C1605" t="s">
        <v>4006</v>
      </c>
      <c r="D1605" t="s">
        <v>945</v>
      </c>
      <c r="E1605">
        <v>41.27</v>
      </c>
      <c r="F1605" t="s">
        <v>23</v>
      </c>
    </row>
    <row r="1606" spans="1:6">
      <c r="A1606">
        <v>202309</v>
      </c>
      <c r="B1606" s="6">
        <v>45193</v>
      </c>
      <c r="C1606" t="s">
        <v>4006</v>
      </c>
      <c r="D1606" t="s">
        <v>945</v>
      </c>
      <c r="E1606">
        <v>22.56</v>
      </c>
      <c r="F1606" t="s">
        <v>23</v>
      </c>
    </row>
    <row r="1607" spans="1:6">
      <c r="A1607">
        <v>202309</v>
      </c>
      <c r="B1607" s="6">
        <v>45193</v>
      </c>
      <c r="C1607" t="s">
        <v>4216</v>
      </c>
      <c r="D1607" t="s">
        <v>4922</v>
      </c>
      <c r="E1607">
        <v>21.14</v>
      </c>
      <c r="F1607" t="s">
        <v>21</v>
      </c>
    </row>
    <row r="1608" spans="1:6">
      <c r="A1608">
        <v>202309</v>
      </c>
      <c r="B1608" s="6">
        <v>45193</v>
      </c>
      <c r="C1608" t="s">
        <v>4207</v>
      </c>
      <c r="D1608" t="s">
        <v>4923</v>
      </c>
      <c r="E1608">
        <v>6.34</v>
      </c>
      <c r="F1608" t="s">
        <v>26</v>
      </c>
    </row>
    <row r="1609" spans="1:6">
      <c r="A1609">
        <v>202309</v>
      </c>
      <c r="B1609" s="6">
        <v>45193</v>
      </c>
      <c r="C1609" t="s">
        <v>4225</v>
      </c>
      <c r="D1609" t="s">
        <v>4924</v>
      </c>
      <c r="E1609">
        <v>25.24</v>
      </c>
      <c r="F1609" t="s">
        <v>9</v>
      </c>
    </row>
    <row r="1610" spans="1:6">
      <c r="A1610">
        <v>202309</v>
      </c>
      <c r="B1610" s="6">
        <v>45193</v>
      </c>
      <c r="C1610" t="s">
        <v>4221</v>
      </c>
      <c r="D1610" t="s">
        <v>4925</v>
      </c>
      <c r="E1610">
        <v>6.34</v>
      </c>
      <c r="F1610" t="s">
        <v>26</v>
      </c>
    </row>
    <row r="1611" spans="1:6">
      <c r="A1611">
        <v>202309</v>
      </c>
      <c r="B1611" s="6">
        <v>45193</v>
      </c>
      <c r="C1611" t="s">
        <v>4237</v>
      </c>
      <c r="D1611" t="s">
        <v>4926</v>
      </c>
      <c r="E1611">
        <v>14.28</v>
      </c>
      <c r="F1611" t="s">
        <v>26</v>
      </c>
    </row>
    <row r="1612" spans="1:6">
      <c r="A1612">
        <v>202309</v>
      </c>
      <c r="B1612" s="6">
        <v>45193</v>
      </c>
      <c r="C1612" t="s">
        <v>4227</v>
      </c>
      <c r="D1612" t="s">
        <v>4927</v>
      </c>
      <c r="E1612">
        <v>16.12</v>
      </c>
      <c r="F1612" t="s">
        <v>26</v>
      </c>
    </row>
    <row r="1613" spans="1:6">
      <c r="A1613">
        <v>202309</v>
      </c>
      <c r="B1613" s="6">
        <v>45193</v>
      </c>
      <c r="C1613" t="s">
        <v>4223</v>
      </c>
      <c r="D1613" t="s">
        <v>4928</v>
      </c>
      <c r="E1613">
        <v>16.12</v>
      </c>
      <c r="F1613" t="s">
        <v>26</v>
      </c>
    </row>
    <row r="1614" spans="1:6">
      <c r="A1614">
        <v>202309</v>
      </c>
      <c r="B1614" s="6">
        <v>45193</v>
      </c>
      <c r="C1614" t="s">
        <v>4229</v>
      </c>
      <c r="D1614" t="s">
        <v>4929</v>
      </c>
      <c r="E1614">
        <v>5.66</v>
      </c>
      <c r="F1614" t="s">
        <v>26</v>
      </c>
    </row>
    <row r="1615" spans="1:6">
      <c r="A1615">
        <v>202309</v>
      </c>
      <c r="B1615" s="6">
        <v>45194</v>
      </c>
      <c r="C1615" t="s">
        <v>4218</v>
      </c>
      <c r="D1615" t="s">
        <v>673</v>
      </c>
      <c r="E1615">
        <v>-819.07</v>
      </c>
      <c r="F1615" t="s">
        <v>9</v>
      </c>
    </row>
    <row r="1616" spans="1:6">
      <c r="A1616">
        <v>202309</v>
      </c>
      <c r="B1616" s="6">
        <v>45194</v>
      </c>
      <c r="C1616" t="s">
        <v>4408</v>
      </c>
      <c r="D1616" t="s">
        <v>4415</v>
      </c>
      <c r="E1616">
        <v>588.4</v>
      </c>
      <c r="F1616" t="s">
        <v>9</v>
      </c>
    </row>
    <row r="1617" spans="1:6">
      <c r="A1617">
        <v>202309</v>
      </c>
      <c r="B1617" s="6">
        <v>45194</v>
      </c>
      <c r="C1617" t="s">
        <v>4412</v>
      </c>
      <c r="D1617" t="s">
        <v>4404</v>
      </c>
      <c r="E1617">
        <v>500</v>
      </c>
      <c r="F1617" t="s">
        <v>59</v>
      </c>
    </row>
    <row r="1618" spans="1:6">
      <c r="A1618">
        <v>202309</v>
      </c>
      <c r="B1618" s="6">
        <v>45194</v>
      </c>
      <c r="C1618" t="s">
        <v>4414</v>
      </c>
      <c r="D1618" t="s">
        <v>1958</v>
      </c>
      <c r="E1618">
        <v>144</v>
      </c>
      <c r="F1618" t="s">
        <v>21</v>
      </c>
    </row>
    <row r="1619" spans="1:6">
      <c r="A1619">
        <v>202309</v>
      </c>
      <c r="B1619" s="6">
        <v>45194</v>
      </c>
      <c r="C1619" t="s">
        <v>4420</v>
      </c>
      <c r="D1619" t="s">
        <v>4293</v>
      </c>
      <c r="E1619">
        <v>819.07</v>
      </c>
      <c r="F1619" t="s">
        <v>9</v>
      </c>
    </row>
    <row r="1620" spans="1:6">
      <c r="A1620">
        <v>202309</v>
      </c>
      <c r="B1620" s="6">
        <v>45195</v>
      </c>
      <c r="C1620" t="s">
        <v>4006</v>
      </c>
      <c r="D1620" t="s">
        <v>4930</v>
      </c>
      <c r="E1620">
        <v>195</v>
      </c>
      <c r="F1620" t="s">
        <v>21</v>
      </c>
    </row>
    <row r="1621" spans="1:6">
      <c r="A1621">
        <v>202309</v>
      </c>
      <c r="B1621" s="6">
        <v>45195</v>
      </c>
      <c r="C1621" t="s">
        <v>4006</v>
      </c>
      <c r="D1621" t="s">
        <v>4931</v>
      </c>
      <c r="E1621">
        <v>82.66</v>
      </c>
      <c r="F1621" t="s">
        <v>28</v>
      </c>
    </row>
    <row r="1622" spans="1:6">
      <c r="A1622">
        <v>202309</v>
      </c>
      <c r="B1622" s="6">
        <v>45195</v>
      </c>
      <c r="C1622" t="s">
        <v>4026</v>
      </c>
      <c r="D1622" t="s">
        <v>4932</v>
      </c>
      <c r="E1622">
        <v>330</v>
      </c>
      <c r="F1622" t="s">
        <v>20</v>
      </c>
    </row>
    <row r="1623" spans="1:6">
      <c r="A1623">
        <v>202309</v>
      </c>
      <c r="B1623" s="6">
        <v>45196</v>
      </c>
      <c r="C1623" t="s">
        <v>3932</v>
      </c>
      <c r="D1623" t="s">
        <v>38</v>
      </c>
      <c r="E1623">
        <v>47.23</v>
      </c>
      <c r="F1623" t="s">
        <v>38</v>
      </c>
    </row>
    <row r="1624" spans="1:6">
      <c r="A1624">
        <v>202309</v>
      </c>
      <c r="B1624" s="6">
        <v>45196</v>
      </c>
      <c r="C1624" t="s">
        <v>4006</v>
      </c>
      <c r="D1624" t="s">
        <v>4880</v>
      </c>
      <c r="E1624">
        <v>122.41</v>
      </c>
      <c r="F1624" t="s">
        <v>40</v>
      </c>
    </row>
    <row r="1625" spans="1:6">
      <c r="A1625">
        <v>202309</v>
      </c>
      <c r="B1625" s="6">
        <v>45196</v>
      </c>
      <c r="C1625" t="s">
        <v>4036</v>
      </c>
      <c r="D1625" t="s">
        <v>1958</v>
      </c>
      <c r="E1625">
        <v>85</v>
      </c>
      <c r="F1625" t="s">
        <v>21</v>
      </c>
    </row>
    <row r="1626" spans="1:6">
      <c r="A1626">
        <v>202309</v>
      </c>
      <c r="B1626" s="6">
        <v>45197</v>
      </c>
      <c r="C1626" t="s">
        <v>4006</v>
      </c>
      <c r="D1626" t="s">
        <v>4933</v>
      </c>
      <c r="E1626">
        <v>5.99</v>
      </c>
      <c r="F1626" t="s">
        <v>21</v>
      </c>
    </row>
    <row r="1627" spans="1:6">
      <c r="A1627">
        <v>202309</v>
      </c>
      <c r="B1627" s="6">
        <v>45197</v>
      </c>
      <c r="C1627" t="s">
        <v>4062</v>
      </c>
      <c r="D1627" t="s">
        <v>404</v>
      </c>
      <c r="E1627">
        <v>-3594.81</v>
      </c>
      <c r="F1627" t="s">
        <v>66</v>
      </c>
    </row>
    <row r="1628" spans="1:6">
      <c r="A1628">
        <v>202309</v>
      </c>
      <c r="B1628" s="6">
        <v>45197</v>
      </c>
      <c r="C1628" t="s">
        <v>4231</v>
      </c>
      <c r="D1628" t="s">
        <v>956</v>
      </c>
      <c r="E1628">
        <v>10.72</v>
      </c>
      <c r="F1628" t="s">
        <v>28</v>
      </c>
    </row>
    <row r="1629" spans="1:6">
      <c r="A1629">
        <v>202309</v>
      </c>
      <c r="B1629" s="6">
        <v>45197</v>
      </c>
      <c r="C1629" t="s">
        <v>4006</v>
      </c>
      <c r="D1629" t="s">
        <v>4934</v>
      </c>
      <c r="E1629">
        <v>50.7</v>
      </c>
      <c r="F1629" t="s">
        <v>26</v>
      </c>
    </row>
    <row r="1630" spans="1:6">
      <c r="A1630">
        <v>202309</v>
      </c>
      <c r="B1630" s="6">
        <v>45197</v>
      </c>
      <c r="C1630" t="s">
        <v>4429</v>
      </c>
      <c r="D1630" t="s">
        <v>4343</v>
      </c>
      <c r="E1630">
        <v>-3342.79</v>
      </c>
      <c r="F1630" t="s">
        <v>64</v>
      </c>
    </row>
    <row r="1631" spans="1:6">
      <c r="A1631">
        <v>202309</v>
      </c>
      <c r="B1631" s="6">
        <v>45197</v>
      </c>
      <c r="C1631" t="s">
        <v>4006</v>
      </c>
      <c r="D1631" t="s">
        <v>31</v>
      </c>
      <c r="E1631">
        <v>35.78</v>
      </c>
      <c r="F1631" t="s">
        <v>31</v>
      </c>
    </row>
    <row r="1632" spans="1:6">
      <c r="A1632">
        <v>202309</v>
      </c>
      <c r="B1632" s="6">
        <v>45197</v>
      </c>
      <c r="C1632" t="s">
        <v>4044</v>
      </c>
      <c r="D1632" t="s">
        <v>1955</v>
      </c>
      <c r="E1632">
        <v>0.99</v>
      </c>
      <c r="F1632" t="s">
        <v>21</v>
      </c>
    </row>
    <row r="1633" spans="1:6">
      <c r="A1633">
        <v>202309</v>
      </c>
      <c r="B1633" s="6">
        <v>45198</v>
      </c>
      <c r="C1633" t="s">
        <v>4006</v>
      </c>
      <c r="D1633" t="s">
        <v>4935</v>
      </c>
      <c r="E1633">
        <v>14.95</v>
      </c>
      <c r="F1633" t="s">
        <v>26</v>
      </c>
    </row>
    <row r="1634" spans="1:6">
      <c r="A1634">
        <v>202309</v>
      </c>
      <c r="B1634" s="6">
        <v>45198</v>
      </c>
      <c r="C1634" t="s">
        <v>4006</v>
      </c>
      <c r="D1634" t="s">
        <v>1083</v>
      </c>
      <c r="E1634">
        <v>107.21</v>
      </c>
      <c r="F1634" t="s">
        <v>23</v>
      </c>
    </row>
    <row r="1635" spans="1:6">
      <c r="A1635">
        <v>202309</v>
      </c>
      <c r="B1635" s="6">
        <v>45198</v>
      </c>
      <c r="C1635" t="s">
        <v>4233</v>
      </c>
      <c r="D1635" t="s">
        <v>1707</v>
      </c>
      <c r="E1635">
        <v>40.22</v>
      </c>
      <c r="F1635" t="s">
        <v>23</v>
      </c>
    </row>
    <row r="1636" spans="1:6">
      <c r="A1636">
        <v>202309</v>
      </c>
      <c r="B1636" s="6">
        <v>45198</v>
      </c>
      <c r="C1636" t="s">
        <v>4006</v>
      </c>
      <c r="D1636" t="s">
        <v>4936</v>
      </c>
      <c r="E1636">
        <v>40.93</v>
      </c>
      <c r="F1636" t="s">
        <v>26</v>
      </c>
    </row>
    <row r="1637" spans="1:6">
      <c r="A1637">
        <v>202309</v>
      </c>
      <c r="B1637" s="6">
        <v>45198</v>
      </c>
      <c r="C1637" t="s">
        <v>4006</v>
      </c>
      <c r="D1637" t="s">
        <v>1849</v>
      </c>
      <c r="E1637">
        <v>122.41</v>
      </c>
      <c r="F1637" t="s">
        <v>2</v>
      </c>
    </row>
    <row r="1638" spans="1:6">
      <c r="A1638">
        <v>202309</v>
      </c>
      <c r="B1638" s="6">
        <v>45199</v>
      </c>
      <c r="C1638" t="s">
        <v>4006</v>
      </c>
      <c r="D1638" t="s">
        <v>4937</v>
      </c>
      <c r="E1638">
        <v>55.82</v>
      </c>
      <c r="F1638" t="s">
        <v>26</v>
      </c>
    </row>
    <row r="1639" spans="1:6">
      <c r="A1639">
        <v>202309</v>
      </c>
      <c r="B1639" s="6">
        <v>45199</v>
      </c>
      <c r="C1639" t="s">
        <v>4059</v>
      </c>
      <c r="D1639" t="s">
        <v>2896</v>
      </c>
      <c r="E1639">
        <v>-4</v>
      </c>
      <c r="F1639" t="s">
        <v>9</v>
      </c>
    </row>
    <row r="1640" spans="1:6">
      <c r="A1640">
        <v>202309</v>
      </c>
      <c r="B1640" s="6">
        <v>45199</v>
      </c>
      <c r="C1640" t="s">
        <v>2519</v>
      </c>
      <c r="D1640" t="s">
        <v>4938</v>
      </c>
      <c r="E1640">
        <v>-48.63</v>
      </c>
      <c r="F1640" t="s">
        <v>16</v>
      </c>
    </row>
    <row r="1641" spans="1:6">
      <c r="A1641">
        <v>202309</v>
      </c>
      <c r="B1641" s="6">
        <v>45199</v>
      </c>
      <c r="C1641" t="s">
        <v>3938</v>
      </c>
      <c r="D1641" t="s">
        <v>945</v>
      </c>
      <c r="E1641">
        <v>2.25</v>
      </c>
      <c r="F1641" t="s">
        <v>23</v>
      </c>
    </row>
    <row r="1642" spans="1:6">
      <c r="A1642">
        <v>202309</v>
      </c>
      <c r="B1642" s="6">
        <v>45199</v>
      </c>
      <c r="C1642" t="s">
        <v>4006</v>
      </c>
      <c r="D1642" t="s">
        <v>945</v>
      </c>
      <c r="E1642">
        <v>9.66</v>
      </c>
      <c r="F1642" t="s">
        <v>23</v>
      </c>
    </row>
    <row r="1643" spans="1:6">
      <c r="A1643">
        <v>202309</v>
      </c>
      <c r="B1643" s="6">
        <v>45199</v>
      </c>
      <c r="C1643" t="s">
        <v>4235</v>
      </c>
      <c r="D1643" t="s">
        <v>4939</v>
      </c>
      <c r="E1643">
        <v>39.67</v>
      </c>
      <c r="F1643" t="s">
        <v>21</v>
      </c>
    </row>
    <row r="1644" spans="1:6">
      <c r="A1644">
        <v>202310</v>
      </c>
      <c r="B1644" s="6">
        <v>45200</v>
      </c>
      <c r="C1644" t="s">
        <v>4006</v>
      </c>
      <c r="D1644" t="s">
        <v>684</v>
      </c>
      <c r="E1644">
        <v>95.34</v>
      </c>
      <c r="F1644" t="s">
        <v>28</v>
      </c>
    </row>
    <row r="1645" spans="1:6">
      <c r="A1645">
        <v>202310</v>
      </c>
      <c r="B1645" s="6">
        <v>45200</v>
      </c>
      <c r="C1645" t="s">
        <v>3932</v>
      </c>
      <c r="D1645" t="s">
        <v>808</v>
      </c>
      <c r="E1645">
        <v>108</v>
      </c>
      <c r="F1645" t="s">
        <v>21</v>
      </c>
    </row>
    <row r="1646" spans="1:6">
      <c r="A1646">
        <v>202310</v>
      </c>
      <c r="B1646" s="6">
        <v>45200</v>
      </c>
      <c r="C1646" t="s">
        <v>4006</v>
      </c>
      <c r="D1646" t="s">
        <v>1849</v>
      </c>
      <c r="E1646">
        <v>247.1</v>
      </c>
      <c r="F1646" t="s">
        <v>2</v>
      </c>
    </row>
    <row r="1647" spans="1:6">
      <c r="A1647">
        <v>202310</v>
      </c>
      <c r="B1647" s="6">
        <v>45200</v>
      </c>
      <c r="C1647" t="s">
        <v>2519</v>
      </c>
      <c r="D1647" t="s">
        <v>4940</v>
      </c>
      <c r="E1647">
        <v>618.65</v>
      </c>
      <c r="F1647" t="s">
        <v>11</v>
      </c>
    </row>
    <row r="1648" spans="1:6">
      <c r="A1648">
        <v>202310</v>
      </c>
      <c r="B1648" s="6">
        <v>45201</v>
      </c>
      <c r="C1648" t="s">
        <v>3938</v>
      </c>
      <c r="D1648" t="s">
        <v>114</v>
      </c>
      <c r="E1648">
        <v>5.36</v>
      </c>
      <c r="F1648" t="s">
        <v>38</v>
      </c>
    </row>
    <row r="1649" spans="1:6">
      <c r="A1649">
        <v>202310</v>
      </c>
      <c r="B1649" s="6">
        <v>45201</v>
      </c>
      <c r="C1649" t="s">
        <v>3938</v>
      </c>
      <c r="D1649" t="s">
        <v>4941</v>
      </c>
      <c r="E1649">
        <v>43.16</v>
      </c>
      <c r="F1649" t="s">
        <v>26</v>
      </c>
    </row>
    <row r="1650" spans="1:6">
      <c r="A1650">
        <v>202310</v>
      </c>
      <c r="B1650" s="6">
        <v>45201</v>
      </c>
      <c r="C1650" t="s">
        <v>3938</v>
      </c>
      <c r="D1650" t="s">
        <v>792</v>
      </c>
      <c r="E1650">
        <v>107.98</v>
      </c>
      <c r="F1650" t="s">
        <v>21</v>
      </c>
    </row>
    <row r="1651" spans="1:6">
      <c r="A1651">
        <v>202310</v>
      </c>
      <c r="B1651" s="6">
        <v>45201</v>
      </c>
      <c r="C1651" t="s">
        <v>2519</v>
      </c>
      <c r="D1651" t="s">
        <v>1460</v>
      </c>
      <c r="E1651">
        <v>2741.74</v>
      </c>
      <c r="F1651" t="s">
        <v>5</v>
      </c>
    </row>
    <row r="1652" spans="1:6">
      <c r="A1652">
        <v>202310</v>
      </c>
      <c r="B1652" s="6">
        <v>45201</v>
      </c>
      <c r="C1652" t="s">
        <v>2519</v>
      </c>
      <c r="D1652" t="s">
        <v>4942</v>
      </c>
      <c r="E1652">
        <v>-5636</v>
      </c>
      <c r="F1652" t="s">
        <v>9</v>
      </c>
    </row>
    <row r="1653" spans="1:6">
      <c r="A1653">
        <v>202310</v>
      </c>
      <c r="B1653" s="6">
        <v>45201</v>
      </c>
      <c r="C1653" t="s">
        <v>2519</v>
      </c>
      <c r="D1653" t="s">
        <v>4942</v>
      </c>
      <c r="E1653">
        <v>-1124</v>
      </c>
      <c r="F1653" t="s">
        <v>9</v>
      </c>
    </row>
    <row r="1654" spans="1:6">
      <c r="A1654">
        <v>202310</v>
      </c>
      <c r="B1654" s="6">
        <v>45201</v>
      </c>
      <c r="C1654" t="s">
        <v>2519</v>
      </c>
      <c r="D1654" t="s">
        <v>4942</v>
      </c>
      <c r="E1654">
        <v>-112.72</v>
      </c>
      <c r="F1654" t="s">
        <v>9</v>
      </c>
    </row>
    <row r="1655" spans="1:6">
      <c r="A1655">
        <v>202310</v>
      </c>
      <c r="B1655" s="6">
        <v>45201</v>
      </c>
      <c r="C1655" t="s">
        <v>3938</v>
      </c>
      <c r="D1655" t="s">
        <v>4943</v>
      </c>
      <c r="E1655">
        <v>9</v>
      </c>
      <c r="F1655" t="s">
        <v>26</v>
      </c>
    </row>
    <row r="1656" spans="1:6">
      <c r="A1656">
        <v>202310</v>
      </c>
      <c r="B1656" s="6">
        <v>45201</v>
      </c>
      <c r="C1656" t="s">
        <v>2519</v>
      </c>
      <c r="D1656" t="s">
        <v>4716</v>
      </c>
      <c r="E1656">
        <v>650</v>
      </c>
      <c r="F1656" t="s">
        <v>61</v>
      </c>
    </row>
    <row r="1657" spans="1:6">
      <c r="A1657">
        <v>202310</v>
      </c>
      <c r="B1657" s="6">
        <v>45202</v>
      </c>
      <c r="C1657" t="s">
        <v>4006</v>
      </c>
      <c r="D1657" t="s">
        <v>703</v>
      </c>
      <c r="E1657">
        <v>572.79999999999995</v>
      </c>
      <c r="F1657" t="s">
        <v>43</v>
      </c>
    </row>
    <row r="1658" spans="1:6">
      <c r="A1658">
        <v>202310</v>
      </c>
      <c r="B1658" s="6">
        <v>45202</v>
      </c>
      <c r="C1658" t="s">
        <v>4006</v>
      </c>
      <c r="D1658" t="s">
        <v>4012</v>
      </c>
      <c r="E1658">
        <v>-2900.63</v>
      </c>
      <c r="F1658" t="s">
        <v>9</v>
      </c>
    </row>
    <row r="1659" spans="1:6">
      <c r="A1659">
        <v>202310</v>
      </c>
      <c r="B1659" s="6">
        <v>45202</v>
      </c>
      <c r="C1659" t="s">
        <v>3938</v>
      </c>
      <c r="D1659" t="s">
        <v>4945</v>
      </c>
      <c r="E1659">
        <v>44.72</v>
      </c>
      <c r="F1659" t="s">
        <v>45</v>
      </c>
    </row>
    <row r="1660" spans="1:6">
      <c r="A1660">
        <v>202310</v>
      </c>
      <c r="B1660" s="6">
        <v>45202</v>
      </c>
      <c r="C1660" t="s">
        <v>2519</v>
      </c>
      <c r="D1660" t="s">
        <v>4946</v>
      </c>
      <c r="E1660">
        <v>330</v>
      </c>
      <c r="F1660" t="s">
        <v>20</v>
      </c>
    </row>
    <row r="1661" spans="1:6">
      <c r="A1661">
        <v>202310</v>
      </c>
      <c r="B1661" s="6">
        <v>45203</v>
      </c>
      <c r="C1661" t="s">
        <v>4006</v>
      </c>
      <c r="D1661" t="s">
        <v>4947</v>
      </c>
      <c r="E1661">
        <v>200.67</v>
      </c>
      <c r="F1661" t="s">
        <v>40</v>
      </c>
    </row>
    <row r="1662" spans="1:6">
      <c r="A1662">
        <v>202310</v>
      </c>
      <c r="B1662" s="6">
        <v>45203</v>
      </c>
      <c r="C1662" t="s">
        <v>3938</v>
      </c>
      <c r="D1662" t="s">
        <v>1076</v>
      </c>
      <c r="E1662">
        <v>74.989999999999995</v>
      </c>
      <c r="F1662" t="s">
        <v>21</v>
      </c>
    </row>
    <row r="1663" spans="1:6">
      <c r="A1663">
        <v>202310</v>
      </c>
      <c r="B1663" s="6">
        <v>45203</v>
      </c>
      <c r="C1663" t="s">
        <v>2519</v>
      </c>
      <c r="D1663" t="s">
        <v>1458</v>
      </c>
      <c r="E1663">
        <v>2900.63</v>
      </c>
      <c r="F1663" t="s">
        <v>9</v>
      </c>
    </row>
    <row r="1664" spans="1:6">
      <c r="A1664">
        <v>202310</v>
      </c>
      <c r="B1664" s="6">
        <v>45203</v>
      </c>
      <c r="C1664" t="s">
        <v>2519</v>
      </c>
      <c r="D1664" t="s">
        <v>4404</v>
      </c>
      <c r="E1664">
        <v>6872.72</v>
      </c>
      <c r="F1664" t="s">
        <v>9</v>
      </c>
    </row>
    <row r="1665" spans="1:6">
      <c r="A1665">
        <v>202310</v>
      </c>
      <c r="B1665" s="6">
        <v>45203</v>
      </c>
      <c r="C1665" t="s">
        <v>3938</v>
      </c>
      <c r="D1665" t="s">
        <v>2135</v>
      </c>
      <c r="E1665">
        <v>18.39</v>
      </c>
      <c r="F1665" t="s">
        <v>28</v>
      </c>
    </row>
    <row r="1666" spans="1:6">
      <c r="A1666">
        <v>202310</v>
      </c>
      <c r="B1666" s="6">
        <v>45204</v>
      </c>
      <c r="C1666" t="s">
        <v>2519</v>
      </c>
      <c r="D1666" t="s">
        <v>1470</v>
      </c>
      <c r="E1666">
        <v>229.41</v>
      </c>
      <c r="F1666" t="s">
        <v>7</v>
      </c>
    </row>
    <row r="1667" spans="1:6">
      <c r="A1667">
        <v>202310</v>
      </c>
      <c r="B1667" s="6">
        <v>45205</v>
      </c>
      <c r="C1667" t="s">
        <v>2519</v>
      </c>
      <c r="D1667" t="s">
        <v>1955</v>
      </c>
      <c r="E1667">
        <v>65.400000000000006</v>
      </c>
      <c r="F1667" t="s">
        <v>21</v>
      </c>
    </row>
    <row r="1668" spans="1:6">
      <c r="A1668">
        <v>202310</v>
      </c>
      <c r="B1668" s="6">
        <v>45205</v>
      </c>
      <c r="C1668" t="s">
        <v>2519</v>
      </c>
      <c r="D1668" t="s">
        <v>1958</v>
      </c>
      <c r="E1668">
        <v>60</v>
      </c>
      <c r="F1668" t="s">
        <v>21</v>
      </c>
    </row>
    <row r="1669" spans="1:6">
      <c r="A1669">
        <v>202310</v>
      </c>
      <c r="B1669" s="6">
        <v>45206</v>
      </c>
      <c r="C1669" t="s">
        <v>4006</v>
      </c>
      <c r="D1669" t="s">
        <v>4948</v>
      </c>
      <c r="E1669">
        <v>87.83</v>
      </c>
      <c r="F1669" t="s">
        <v>41</v>
      </c>
    </row>
    <row r="1670" spans="1:6">
      <c r="A1670">
        <v>202310</v>
      </c>
      <c r="B1670" s="6">
        <v>45206</v>
      </c>
      <c r="C1670" t="s">
        <v>4006</v>
      </c>
      <c r="D1670" t="s">
        <v>4949</v>
      </c>
      <c r="E1670">
        <v>59.47</v>
      </c>
      <c r="F1670" t="s">
        <v>23</v>
      </c>
    </row>
    <row r="1671" spans="1:6">
      <c r="A1671">
        <v>202310</v>
      </c>
      <c r="B1671" s="6">
        <v>45206</v>
      </c>
      <c r="C1671" t="s">
        <v>4006</v>
      </c>
      <c r="D1671" t="s">
        <v>4950</v>
      </c>
      <c r="E1671">
        <v>211.58</v>
      </c>
      <c r="F1671" t="s">
        <v>45</v>
      </c>
    </row>
    <row r="1672" spans="1:6">
      <c r="A1672">
        <v>202310</v>
      </c>
      <c r="B1672" s="6">
        <v>45206</v>
      </c>
      <c r="C1672" t="s">
        <v>4006</v>
      </c>
      <c r="D1672" t="s">
        <v>4920</v>
      </c>
      <c r="E1672">
        <v>-147.19999999999999</v>
      </c>
      <c r="F1672" t="s">
        <v>21</v>
      </c>
    </row>
    <row r="1673" spans="1:6">
      <c r="A1673">
        <v>202310</v>
      </c>
      <c r="B1673" s="6">
        <v>45207</v>
      </c>
      <c r="C1673" t="s">
        <v>3938</v>
      </c>
      <c r="D1673" t="s">
        <v>792</v>
      </c>
      <c r="E1673">
        <v>-32.68</v>
      </c>
      <c r="F1673" t="s">
        <v>21</v>
      </c>
    </row>
    <row r="1674" spans="1:6">
      <c r="A1674">
        <v>202310</v>
      </c>
      <c r="B1674" s="6">
        <v>45207</v>
      </c>
      <c r="C1674" t="s">
        <v>3938</v>
      </c>
      <c r="D1674" t="s">
        <v>4951</v>
      </c>
      <c r="E1674">
        <v>-138.91</v>
      </c>
      <c r="F1674" t="s">
        <v>21</v>
      </c>
    </row>
    <row r="1675" spans="1:6">
      <c r="A1675">
        <v>202310</v>
      </c>
      <c r="B1675" s="6">
        <v>45207</v>
      </c>
      <c r="C1675" t="s">
        <v>3938</v>
      </c>
      <c r="D1675" t="s">
        <v>1396</v>
      </c>
      <c r="E1675">
        <v>28.73</v>
      </c>
      <c r="F1675" t="s">
        <v>26</v>
      </c>
    </row>
    <row r="1676" spans="1:6">
      <c r="A1676">
        <v>202310</v>
      </c>
      <c r="B1676" s="6">
        <v>45207</v>
      </c>
      <c r="C1676" t="s">
        <v>3932</v>
      </c>
      <c r="D1676" t="s">
        <v>3992</v>
      </c>
      <c r="E1676">
        <v>76.3</v>
      </c>
      <c r="F1676" t="s">
        <v>21</v>
      </c>
    </row>
    <row r="1677" spans="1:6">
      <c r="A1677">
        <v>202310</v>
      </c>
      <c r="B1677" s="6">
        <v>45207</v>
      </c>
      <c r="C1677" t="s">
        <v>3938</v>
      </c>
      <c r="D1677" t="s">
        <v>4952</v>
      </c>
      <c r="E1677">
        <v>169.12</v>
      </c>
      <c r="F1677" t="s">
        <v>7</v>
      </c>
    </row>
    <row r="1678" spans="1:6">
      <c r="A1678">
        <v>202310</v>
      </c>
      <c r="B1678" s="6">
        <v>45207</v>
      </c>
      <c r="C1678" t="s">
        <v>3938</v>
      </c>
      <c r="D1678" t="s">
        <v>4953</v>
      </c>
      <c r="E1678">
        <v>4.3499999999999996</v>
      </c>
      <c r="F1678" t="s">
        <v>26</v>
      </c>
    </row>
    <row r="1679" spans="1:6">
      <c r="A1679">
        <v>202310</v>
      </c>
      <c r="B1679" s="6">
        <v>45208</v>
      </c>
      <c r="C1679" t="s">
        <v>3938</v>
      </c>
      <c r="D1679" t="s">
        <v>38</v>
      </c>
      <c r="E1679">
        <v>5.95</v>
      </c>
      <c r="F1679" t="s">
        <v>38</v>
      </c>
    </row>
    <row r="1680" spans="1:6">
      <c r="A1680">
        <v>202310</v>
      </c>
      <c r="B1680" s="6">
        <v>45208</v>
      </c>
      <c r="C1680" t="s">
        <v>3938</v>
      </c>
      <c r="D1680" t="s">
        <v>38</v>
      </c>
      <c r="E1680">
        <v>12.99</v>
      </c>
      <c r="F1680" t="s">
        <v>38</v>
      </c>
    </row>
    <row r="1681" spans="1:6">
      <c r="A1681">
        <v>202310</v>
      </c>
      <c r="B1681" s="6">
        <v>45208</v>
      </c>
      <c r="C1681" t="s">
        <v>3938</v>
      </c>
      <c r="D1681" t="s">
        <v>4954</v>
      </c>
      <c r="E1681">
        <v>134</v>
      </c>
      <c r="F1681" t="s">
        <v>26</v>
      </c>
    </row>
    <row r="1682" spans="1:6">
      <c r="A1682">
        <v>202310</v>
      </c>
      <c r="B1682" s="6">
        <v>45208</v>
      </c>
      <c r="C1682" t="s">
        <v>3938</v>
      </c>
      <c r="D1682" t="s">
        <v>4955</v>
      </c>
      <c r="E1682">
        <v>98.48</v>
      </c>
      <c r="F1682" t="s">
        <v>28</v>
      </c>
    </row>
    <row r="1683" spans="1:6">
      <c r="A1683">
        <v>202310</v>
      </c>
      <c r="B1683" s="6">
        <v>45208</v>
      </c>
      <c r="C1683" t="s">
        <v>3938</v>
      </c>
      <c r="D1683" t="s">
        <v>4956</v>
      </c>
      <c r="E1683">
        <v>8.48</v>
      </c>
      <c r="F1683" t="s">
        <v>21</v>
      </c>
    </row>
    <row r="1684" spans="1:6">
      <c r="A1684">
        <v>202310</v>
      </c>
      <c r="B1684" s="6">
        <v>45208</v>
      </c>
      <c r="C1684" t="s">
        <v>3938</v>
      </c>
      <c r="D1684" t="s">
        <v>1477</v>
      </c>
      <c r="E1684">
        <v>47.69</v>
      </c>
      <c r="F1684" t="s">
        <v>34</v>
      </c>
    </row>
    <row r="1685" spans="1:6">
      <c r="A1685">
        <v>202310</v>
      </c>
      <c r="B1685" s="6">
        <v>45208</v>
      </c>
      <c r="C1685" t="s">
        <v>3932</v>
      </c>
      <c r="D1685" t="s">
        <v>4957</v>
      </c>
      <c r="E1685">
        <v>27.86</v>
      </c>
      <c r="F1685" t="s">
        <v>21</v>
      </c>
    </row>
    <row r="1686" spans="1:6">
      <c r="A1686">
        <v>202310</v>
      </c>
      <c r="B1686" s="6">
        <v>45208</v>
      </c>
      <c r="C1686" t="s">
        <v>3938</v>
      </c>
      <c r="D1686" t="s">
        <v>4920</v>
      </c>
      <c r="E1686">
        <v>174</v>
      </c>
      <c r="F1686" t="s">
        <v>21</v>
      </c>
    </row>
    <row r="1687" spans="1:6">
      <c r="A1687">
        <v>202310</v>
      </c>
      <c r="B1687" s="6">
        <v>45209</v>
      </c>
      <c r="C1687" t="s">
        <v>3932</v>
      </c>
      <c r="D1687" t="s">
        <v>3988</v>
      </c>
      <c r="E1687">
        <v>-572.12</v>
      </c>
      <c r="F1687" t="s">
        <v>9</v>
      </c>
    </row>
    <row r="1688" spans="1:6">
      <c r="A1688">
        <v>202310</v>
      </c>
      <c r="B1688" s="6">
        <v>45209</v>
      </c>
      <c r="C1688" t="s">
        <v>4006</v>
      </c>
      <c r="D1688" t="s">
        <v>4958</v>
      </c>
      <c r="E1688">
        <v>55</v>
      </c>
      <c r="F1688" t="s">
        <v>21</v>
      </c>
    </row>
    <row r="1689" spans="1:6">
      <c r="A1689">
        <v>202310</v>
      </c>
      <c r="B1689" s="6">
        <v>45209</v>
      </c>
      <c r="C1689" t="s">
        <v>3938</v>
      </c>
      <c r="D1689" t="s">
        <v>1350</v>
      </c>
      <c r="E1689">
        <v>25.6</v>
      </c>
      <c r="F1689" t="s">
        <v>7</v>
      </c>
    </row>
    <row r="1690" spans="1:6">
      <c r="A1690">
        <v>202310</v>
      </c>
      <c r="B1690" s="6">
        <v>45209</v>
      </c>
      <c r="C1690" t="s">
        <v>4006</v>
      </c>
      <c r="D1690" t="s">
        <v>1393</v>
      </c>
      <c r="E1690">
        <v>3.03</v>
      </c>
      <c r="F1690" t="s">
        <v>26</v>
      </c>
    </row>
    <row r="1691" spans="1:6">
      <c r="A1691">
        <v>202310</v>
      </c>
      <c r="B1691" s="6">
        <v>45209</v>
      </c>
      <c r="C1691" t="s">
        <v>4006</v>
      </c>
      <c r="D1691" t="s">
        <v>4959</v>
      </c>
      <c r="E1691">
        <v>9.99</v>
      </c>
      <c r="F1691" t="s">
        <v>21</v>
      </c>
    </row>
    <row r="1692" spans="1:6">
      <c r="A1692">
        <v>202310</v>
      </c>
      <c r="B1692" s="6">
        <v>45209</v>
      </c>
      <c r="C1692" t="s">
        <v>4006</v>
      </c>
      <c r="D1692" t="s">
        <v>1849</v>
      </c>
      <c r="E1692">
        <v>814.7</v>
      </c>
      <c r="F1692" t="s">
        <v>2</v>
      </c>
    </row>
    <row r="1693" spans="1:6">
      <c r="A1693">
        <v>202310</v>
      </c>
      <c r="B1693" s="6">
        <v>45209</v>
      </c>
      <c r="C1693" t="s">
        <v>2519</v>
      </c>
      <c r="D1693" t="s">
        <v>4404</v>
      </c>
      <c r="E1693">
        <v>1500</v>
      </c>
      <c r="F1693" t="s">
        <v>59</v>
      </c>
    </row>
    <row r="1694" spans="1:6">
      <c r="A1694">
        <v>202310</v>
      </c>
      <c r="B1694" s="6">
        <v>45209</v>
      </c>
      <c r="C1694" t="s">
        <v>2519</v>
      </c>
      <c r="D1694" t="s">
        <v>1955</v>
      </c>
      <c r="E1694">
        <v>55.4</v>
      </c>
      <c r="F1694" t="s">
        <v>21</v>
      </c>
    </row>
    <row r="1695" spans="1:6">
      <c r="A1695">
        <v>202310</v>
      </c>
      <c r="B1695" s="6">
        <v>45209</v>
      </c>
      <c r="C1695" t="s">
        <v>2519</v>
      </c>
      <c r="D1695" t="s">
        <v>1958</v>
      </c>
      <c r="E1695">
        <v>360</v>
      </c>
      <c r="F1695" t="s">
        <v>21</v>
      </c>
    </row>
    <row r="1696" spans="1:6">
      <c r="A1696">
        <v>202310</v>
      </c>
      <c r="B1696" s="6">
        <v>45209</v>
      </c>
      <c r="C1696" t="s">
        <v>2519</v>
      </c>
      <c r="D1696" t="s">
        <v>1958</v>
      </c>
      <c r="E1696">
        <v>134</v>
      </c>
      <c r="F1696" t="s">
        <v>21</v>
      </c>
    </row>
    <row r="1697" spans="1:6">
      <c r="A1697">
        <v>202310</v>
      </c>
      <c r="B1697" s="6">
        <v>45209</v>
      </c>
      <c r="C1697" t="s">
        <v>2519</v>
      </c>
      <c r="D1697" t="s">
        <v>1958</v>
      </c>
      <c r="E1697">
        <v>75</v>
      </c>
      <c r="F1697" t="s">
        <v>21</v>
      </c>
    </row>
    <row r="1698" spans="1:6">
      <c r="A1698">
        <v>202310</v>
      </c>
      <c r="B1698" s="6">
        <v>45209</v>
      </c>
      <c r="C1698" t="s">
        <v>4006</v>
      </c>
      <c r="D1698" t="s">
        <v>4920</v>
      </c>
      <c r="E1698">
        <v>98</v>
      </c>
      <c r="F1698" t="s">
        <v>21</v>
      </c>
    </row>
    <row r="1699" spans="1:6">
      <c r="A1699">
        <v>202310</v>
      </c>
      <c r="B1699" s="6">
        <v>45210</v>
      </c>
      <c r="C1699" t="s">
        <v>3938</v>
      </c>
      <c r="D1699" t="s">
        <v>38</v>
      </c>
      <c r="E1699">
        <v>49.79</v>
      </c>
      <c r="F1699" t="s">
        <v>38</v>
      </c>
    </row>
    <row r="1700" spans="1:6">
      <c r="A1700">
        <v>202310</v>
      </c>
      <c r="B1700" s="6">
        <v>45210</v>
      </c>
      <c r="C1700" t="s">
        <v>3938</v>
      </c>
      <c r="D1700" t="s">
        <v>4093</v>
      </c>
      <c r="E1700">
        <v>14.1</v>
      </c>
      <c r="F1700" t="s">
        <v>28</v>
      </c>
    </row>
    <row r="1701" spans="1:6">
      <c r="A1701">
        <v>202310</v>
      </c>
      <c r="B1701" s="6">
        <v>45210</v>
      </c>
      <c r="C1701" t="s">
        <v>4006</v>
      </c>
      <c r="D1701" t="s">
        <v>4012</v>
      </c>
      <c r="E1701">
        <v>-3803.14</v>
      </c>
      <c r="F1701" t="s">
        <v>9</v>
      </c>
    </row>
    <row r="1702" spans="1:6">
      <c r="A1702">
        <v>202310</v>
      </c>
      <c r="B1702" s="6">
        <v>45210</v>
      </c>
      <c r="C1702" t="s">
        <v>2519</v>
      </c>
      <c r="D1702" t="s">
        <v>1464</v>
      </c>
      <c r="E1702">
        <v>572.12</v>
      </c>
      <c r="F1702" t="s">
        <v>9</v>
      </c>
    </row>
    <row r="1703" spans="1:6">
      <c r="A1703">
        <v>202310</v>
      </c>
      <c r="B1703" s="6">
        <v>45210</v>
      </c>
      <c r="C1703" t="s">
        <v>4006</v>
      </c>
      <c r="D1703" t="s">
        <v>4960</v>
      </c>
      <c r="E1703">
        <v>23.16</v>
      </c>
      <c r="F1703" t="s">
        <v>26</v>
      </c>
    </row>
    <row r="1704" spans="1:6">
      <c r="A1704">
        <v>202310</v>
      </c>
      <c r="B1704" s="6">
        <v>45210</v>
      </c>
      <c r="C1704" t="s">
        <v>2519</v>
      </c>
      <c r="D1704" t="s">
        <v>4961</v>
      </c>
      <c r="E1704">
        <v>330</v>
      </c>
      <c r="F1704" t="s">
        <v>20</v>
      </c>
    </row>
    <row r="1705" spans="1:6">
      <c r="A1705">
        <v>202310</v>
      </c>
      <c r="B1705" s="6">
        <v>45211</v>
      </c>
      <c r="C1705" t="s">
        <v>4006</v>
      </c>
      <c r="D1705" t="s">
        <v>4726</v>
      </c>
      <c r="E1705">
        <v>2029.28</v>
      </c>
      <c r="F1705" t="s">
        <v>23</v>
      </c>
    </row>
    <row r="1706" spans="1:6">
      <c r="A1706">
        <v>202310</v>
      </c>
      <c r="B1706" s="6">
        <v>45211</v>
      </c>
      <c r="C1706" t="s">
        <v>2519</v>
      </c>
      <c r="D1706" t="s">
        <v>404</v>
      </c>
      <c r="E1706">
        <v>-3594.83</v>
      </c>
      <c r="F1706" t="s">
        <v>66</v>
      </c>
    </row>
    <row r="1707" spans="1:6">
      <c r="A1707">
        <v>202310</v>
      </c>
      <c r="B1707" s="6">
        <v>45211</v>
      </c>
      <c r="C1707" t="s">
        <v>3938</v>
      </c>
      <c r="D1707" t="s">
        <v>673</v>
      </c>
      <c r="E1707">
        <v>-998.15</v>
      </c>
      <c r="F1707" t="s">
        <v>9</v>
      </c>
    </row>
    <row r="1708" spans="1:6">
      <c r="A1708">
        <v>202310</v>
      </c>
      <c r="B1708" s="6">
        <v>45211</v>
      </c>
      <c r="C1708" t="s">
        <v>4006</v>
      </c>
      <c r="D1708" t="s">
        <v>4540</v>
      </c>
      <c r="E1708">
        <v>79.989999999999995</v>
      </c>
      <c r="F1708" t="s">
        <v>26</v>
      </c>
    </row>
    <row r="1709" spans="1:6">
      <c r="A1709">
        <v>202310</v>
      </c>
      <c r="B1709" s="6">
        <v>45211</v>
      </c>
      <c r="C1709" t="s">
        <v>3938</v>
      </c>
      <c r="D1709" t="s">
        <v>4868</v>
      </c>
      <c r="E1709">
        <v>5.99</v>
      </c>
      <c r="F1709" t="s">
        <v>40</v>
      </c>
    </row>
    <row r="1710" spans="1:6">
      <c r="A1710">
        <v>202310</v>
      </c>
      <c r="B1710" s="6">
        <v>45211</v>
      </c>
      <c r="C1710" t="s">
        <v>4006</v>
      </c>
      <c r="D1710" t="s">
        <v>4962</v>
      </c>
      <c r="E1710">
        <v>45.31</v>
      </c>
      <c r="F1710" t="s">
        <v>26</v>
      </c>
    </row>
    <row r="1711" spans="1:6">
      <c r="A1711">
        <v>202310</v>
      </c>
      <c r="B1711" s="6">
        <v>45211</v>
      </c>
      <c r="C1711" t="s">
        <v>2519</v>
      </c>
      <c r="D1711" t="s">
        <v>1458</v>
      </c>
      <c r="E1711">
        <v>3803.14</v>
      </c>
      <c r="F1711" t="s">
        <v>9</v>
      </c>
    </row>
    <row r="1712" spans="1:6">
      <c r="A1712">
        <v>202310</v>
      </c>
      <c r="B1712" s="6">
        <v>45211</v>
      </c>
      <c r="C1712" t="s">
        <v>3932</v>
      </c>
      <c r="D1712" t="s">
        <v>3992</v>
      </c>
      <c r="E1712">
        <v>-76.3</v>
      </c>
      <c r="F1712" t="s">
        <v>21</v>
      </c>
    </row>
    <row r="1713" spans="1:6">
      <c r="A1713">
        <v>202310</v>
      </c>
      <c r="B1713" s="6">
        <v>45211</v>
      </c>
      <c r="C1713" t="s">
        <v>2519</v>
      </c>
      <c r="D1713" t="s">
        <v>4343</v>
      </c>
      <c r="E1713">
        <v>-3342.8</v>
      </c>
      <c r="F1713" t="s">
        <v>64</v>
      </c>
    </row>
    <row r="1714" spans="1:6">
      <c r="A1714">
        <v>202310</v>
      </c>
      <c r="B1714" s="6">
        <v>45211</v>
      </c>
      <c r="C1714" t="s">
        <v>2519</v>
      </c>
      <c r="D1714" t="s">
        <v>1958</v>
      </c>
      <c r="E1714">
        <v>266.66000000000003</v>
      </c>
      <c r="F1714" t="s">
        <v>21</v>
      </c>
    </row>
    <row r="1715" spans="1:6">
      <c r="A1715">
        <v>202310</v>
      </c>
      <c r="B1715" s="6">
        <v>45211</v>
      </c>
      <c r="C1715" t="s">
        <v>2519</v>
      </c>
      <c r="D1715" t="s">
        <v>1958</v>
      </c>
      <c r="E1715">
        <v>22</v>
      </c>
      <c r="F1715" t="s">
        <v>21</v>
      </c>
    </row>
    <row r="1716" spans="1:6">
      <c r="A1716">
        <v>202310</v>
      </c>
      <c r="B1716" s="6">
        <v>45211</v>
      </c>
      <c r="C1716" t="s">
        <v>4006</v>
      </c>
      <c r="D1716" t="s">
        <v>4963</v>
      </c>
      <c r="E1716">
        <v>525.66</v>
      </c>
      <c r="F1716" t="s">
        <v>26</v>
      </c>
    </row>
    <row r="1717" spans="1:6">
      <c r="A1717">
        <v>202310</v>
      </c>
      <c r="B1717" s="6">
        <v>45211</v>
      </c>
      <c r="C1717" t="s">
        <v>2519</v>
      </c>
      <c r="D1717" t="s">
        <v>4293</v>
      </c>
      <c r="E1717">
        <v>998.15</v>
      </c>
      <c r="F1717" t="s">
        <v>9</v>
      </c>
    </row>
    <row r="1718" spans="1:6">
      <c r="A1718">
        <v>202310</v>
      </c>
      <c r="B1718" s="6">
        <v>45212</v>
      </c>
      <c r="C1718" t="s">
        <v>2519</v>
      </c>
      <c r="D1718" t="s">
        <v>4964</v>
      </c>
      <c r="E1718">
        <v>-2828.63</v>
      </c>
      <c r="F1718" t="s">
        <v>64</v>
      </c>
    </row>
    <row r="1719" spans="1:6">
      <c r="A1719">
        <v>202310</v>
      </c>
      <c r="B1719" s="6">
        <v>45212</v>
      </c>
      <c r="C1719" t="s">
        <v>4006</v>
      </c>
      <c r="D1719" t="s">
        <v>4810</v>
      </c>
      <c r="E1719">
        <v>57.22</v>
      </c>
      <c r="F1719" t="s">
        <v>21</v>
      </c>
    </row>
    <row r="1720" spans="1:6">
      <c r="A1720">
        <v>202310</v>
      </c>
      <c r="B1720" s="6">
        <v>45212</v>
      </c>
      <c r="C1720" t="s">
        <v>3938</v>
      </c>
      <c r="D1720" t="s">
        <v>3973</v>
      </c>
      <c r="E1720">
        <v>70</v>
      </c>
      <c r="F1720" t="s">
        <v>20</v>
      </c>
    </row>
    <row r="1721" spans="1:6">
      <c r="A1721">
        <v>202310</v>
      </c>
      <c r="B1721" s="6">
        <v>45212</v>
      </c>
      <c r="C1721" t="s">
        <v>2519</v>
      </c>
      <c r="D1721" t="s">
        <v>1355</v>
      </c>
      <c r="E1721">
        <v>497.23</v>
      </c>
      <c r="F1721" t="s">
        <v>21</v>
      </c>
    </row>
    <row r="1722" spans="1:6">
      <c r="A1722">
        <v>202310</v>
      </c>
      <c r="B1722" s="6">
        <v>45212</v>
      </c>
      <c r="C1722" t="s">
        <v>2519</v>
      </c>
      <c r="D1722" t="s">
        <v>1461</v>
      </c>
      <c r="E1722">
        <v>65.349999999999994</v>
      </c>
      <c r="F1722" t="s">
        <v>7</v>
      </c>
    </row>
    <row r="1723" spans="1:6">
      <c r="A1723">
        <v>202310</v>
      </c>
      <c r="B1723" s="6">
        <v>45212</v>
      </c>
      <c r="C1723" t="s">
        <v>3938</v>
      </c>
      <c r="D1723" t="s">
        <v>1462</v>
      </c>
      <c r="E1723">
        <v>45</v>
      </c>
      <c r="F1723" t="s">
        <v>7</v>
      </c>
    </row>
    <row r="1724" spans="1:6">
      <c r="A1724">
        <v>202310</v>
      </c>
      <c r="B1724" s="6">
        <v>45212</v>
      </c>
      <c r="C1724" t="s">
        <v>4006</v>
      </c>
      <c r="D1724" t="s">
        <v>1849</v>
      </c>
      <c r="E1724">
        <v>11.68</v>
      </c>
      <c r="F1724" t="s">
        <v>2</v>
      </c>
    </row>
    <row r="1725" spans="1:6">
      <c r="A1725">
        <v>202310</v>
      </c>
      <c r="B1725" s="6">
        <v>45212</v>
      </c>
      <c r="C1725" t="s">
        <v>4006</v>
      </c>
      <c r="D1725" t="s">
        <v>4965</v>
      </c>
      <c r="E1725">
        <v>65.489999999999995</v>
      </c>
      <c r="F1725" t="s">
        <v>26</v>
      </c>
    </row>
    <row r="1726" spans="1:6">
      <c r="A1726">
        <v>202310</v>
      </c>
      <c r="B1726" s="6">
        <v>45213</v>
      </c>
      <c r="C1726" t="s">
        <v>4006</v>
      </c>
      <c r="D1726" t="s">
        <v>4966</v>
      </c>
      <c r="E1726">
        <v>17</v>
      </c>
      <c r="F1726" t="s">
        <v>26</v>
      </c>
    </row>
    <row r="1727" spans="1:6">
      <c r="A1727">
        <v>202310</v>
      </c>
      <c r="B1727" s="6">
        <v>45213</v>
      </c>
      <c r="C1727" t="s">
        <v>4006</v>
      </c>
      <c r="D1727" t="s">
        <v>545</v>
      </c>
      <c r="E1727">
        <v>19.559999999999999</v>
      </c>
      <c r="F1727" t="s">
        <v>26</v>
      </c>
    </row>
    <row r="1728" spans="1:6">
      <c r="A1728">
        <v>202310</v>
      </c>
      <c r="B1728" s="6">
        <v>45213</v>
      </c>
      <c r="C1728" t="s">
        <v>4006</v>
      </c>
      <c r="D1728" t="s">
        <v>1707</v>
      </c>
      <c r="E1728">
        <v>39.96</v>
      </c>
      <c r="F1728" t="s">
        <v>23</v>
      </c>
    </row>
    <row r="1729" spans="1:6">
      <c r="A1729">
        <v>202310</v>
      </c>
      <c r="B1729" s="6">
        <v>45214</v>
      </c>
      <c r="C1729" t="s">
        <v>4006</v>
      </c>
      <c r="D1729" t="s">
        <v>333</v>
      </c>
      <c r="E1729">
        <v>13.26</v>
      </c>
      <c r="F1729" t="s">
        <v>26</v>
      </c>
    </row>
    <row r="1730" spans="1:6">
      <c r="A1730">
        <v>202310</v>
      </c>
      <c r="B1730" s="6">
        <v>45214</v>
      </c>
      <c r="C1730" t="s">
        <v>4006</v>
      </c>
      <c r="D1730" t="s">
        <v>453</v>
      </c>
      <c r="E1730">
        <v>3.53</v>
      </c>
      <c r="F1730" t="s">
        <v>26</v>
      </c>
    </row>
    <row r="1731" spans="1:6">
      <c r="A1731">
        <v>202310</v>
      </c>
      <c r="B1731" s="6">
        <v>45214</v>
      </c>
      <c r="C1731" t="s">
        <v>4006</v>
      </c>
      <c r="D1731" t="s">
        <v>684</v>
      </c>
      <c r="E1731">
        <v>70.98</v>
      </c>
      <c r="F1731" t="s">
        <v>28</v>
      </c>
    </row>
    <row r="1732" spans="1:6">
      <c r="A1732">
        <v>202310</v>
      </c>
      <c r="B1732" s="6">
        <v>45214</v>
      </c>
      <c r="C1732" t="s">
        <v>4006</v>
      </c>
      <c r="D1732" t="s">
        <v>4864</v>
      </c>
      <c r="E1732">
        <v>369.57</v>
      </c>
      <c r="F1732" t="s">
        <v>43</v>
      </c>
    </row>
    <row r="1733" spans="1:6">
      <c r="A1733">
        <v>202310</v>
      </c>
      <c r="B1733" s="6">
        <v>45214</v>
      </c>
      <c r="C1733" t="s">
        <v>3938</v>
      </c>
      <c r="D1733" t="s">
        <v>4967</v>
      </c>
      <c r="E1733">
        <v>43</v>
      </c>
      <c r="F1733" t="s">
        <v>23</v>
      </c>
    </row>
    <row r="1734" spans="1:6">
      <c r="A1734">
        <v>202310</v>
      </c>
      <c r="B1734" s="6">
        <v>45215</v>
      </c>
      <c r="C1734" t="s">
        <v>3932</v>
      </c>
      <c r="D1734" t="s">
        <v>38</v>
      </c>
      <c r="E1734">
        <v>32.46</v>
      </c>
      <c r="F1734" t="s">
        <v>38</v>
      </c>
    </row>
    <row r="1735" spans="1:6">
      <c r="A1735">
        <v>202310</v>
      </c>
      <c r="B1735" s="6">
        <v>45215</v>
      </c>
      <c r="C1735" t="s">
        <v>2519</v>
      </c>
      <c r="D1735" t="s">
        <v>4283</v>
      </c>
      <c r="E1735">
        <v>-107.75</v>
      </c>
      <c r="F1735" t="s">
        <v>66</v>
      </c>
    </row>
    <row r="1736" spans="1:6">
      <c r="A1736">
        <v>202310</v>
      </c>
      <c r="B1736" s="6">
        <v>45215</v>
      </c>
      <c r="C1736" t="s">
        <v>2519</v>
      </c>
      <c r="D1736" t="s">
        <v>4356</v>
      </c>
      <c r="E1736">
        <v>116.77</v>
      </c>
      <c r="F1736" t="s">
        <v>18</v>
      </c>
    </row>
    <row r="1737" spans="1:6">
      <c r="A1737">
        <v>202310</v>
      </c>
      <c r="B1737" s="6">
        <v>45215</v>
      </c>
      <c r="C1737" t="s">
        <v>3938</v>
      </c>
      <c r="D1737" t="s">
        <v>4968</v>
      </c>
      <c r="E1737">
        <v>256.45999999999998</v>
      </c>
      <c r="F1737" t="s">
        <v>9</v>
      </c>
    </row>
    <row r="1738" spans="1:6">
      <c r="A1738">
        <v>202310</v>
      </c>
      <c r="B1738" s="6">
        <v>45216</v>
      </c>
      <c r="C1738" t="s">
        <v>4006</v>
      </c>
      <c r="D1738" t="s">
        <v>4870</v>
      </c>
      <c r="E1738">
        <v>8.77</v>
      </c>
      <c r="F1738" t="s">
        <v>26</v>
      </c>
    </row>
    <row r="1739" spans="1:6">
      <c r="A1739">
        <v>202310</v>
      </c>
      <c r="B1739" s="6">
        <v>45216</v>
      </c>
      <c r="C1739" t="s">
        <v>3938</v>
      </c>
      <c r="D1739" t="s">
        <v>4969</v>
      </c>
      <c r="E1739">
        <v>-256.45999999999998</v>
      </c>
      <c r="F1739" t="s">
        <v>9</v>
      </c>
    </row>
    <row r="1740" spans="1:6">
      <c r="A1740">
        <v>202310</v>
      </c>
      <c r="B1740" s="6">
        <v>45216</v>
      </c>
      <c r="C1740" t="s">
        <v>4006</v>
      </c>
      <c r="D1740" t="s">
        <v>1707</v>
      </c>
      <c r="E1740">
        <v>62.44</v>
      </c>
      <c r="F1740" t="s">
        <v>23</v>
      </c>
    </row>
    <row r="1741" spans="1:6">
      <c r="A1741">
        <v>202310</v>
      </c>
      <c r="B1741" s="6">
        <v>45216</v>
      </c>
      <c r="C1741" t="s">
        <v>4006</v>
      </c>
      <c r="D1741" t="s">
        <v>31</v>
      </c>
      <c r="E1741">
        <v>34.93</v>
      </c>
      <c r="F1741" t="e">
        <v>#N/A</v>
      </c>
    </row>
    <row r="1742" spans="1:6">
      <c r="A1742">
        <v>202310</v>
      </c>
      <c r="B1742" s="6">
        <v>45216</v>
      </c>
      <c r="C1742" t="s">
        <v>2519</v>
      </c>
      <c r="D1742" t="s">
        <v>1958</v>
      </c>
      <c r="E1742">
        <v>132</v>
      </c>
      <c r="F1742" t="s">
        <v>21</v>
      </c>
    </row>
    <row r="1743" spans="1:6">
      <c r="A1743">
        <v>202310</v>
      </c>
      <c r="B1743" s="6">
        <v>45216</v>
      </c>
      <c r="C1743" t="s">
        <v>2519</v>
      </c>
      <c r="D1743" t="s">
        <v>4970</v>
      </c>
      <c r="E1743">
        <v>330</v>
      </c>
      <c r="F1743" t="s">
        <v>20</v>
      </c>
    </row>
    <row r="1744" spans="1:6">
      <c r="A1744">
        <v>202310</v>
      </c>
      <c r="B1744" s="6">
        <v>45217</v>
      </c>
      <c r="C1744" t="s">
        <v>4006</v>
      </c>
      <c r="D1744" t="s">
        <v>4726</v>
      </c>
      <c r="E1744">
        <v>507.63</v>
      </c>
      <c r="F1744" t="s">
        <v>23</v>
      </c>
    </row>
    <row r="1745" spans="1:6">
      <c r="A1745">
        <v>202310</v>
      </c>
      <c r="B1745" s="6">
        <v>45217</v>
      </c>
      <c r="C1745" t="s">
        <v>4006</v>
      </c>
      <c r="D1745" t="s">
        <v>703</v>
      </c>
      <c r="E1745">
        <v>562.79999999999995</v>
      </c>
      <c r="F1745" t="s">
        <v>9</v>
      </c>
    </row>
    <row r="1746" spans="1:6">
      <c r="A1746">
        <v>202310</v>
      </c>
      <c r="B1746" s="6">
        <v>45217</v>
      </c>
      <c r="C1746" t="s">
        <v>4006</v>
      </c>
      <c r="D1746" t="s">
        <v>4017</v>
      </c>
      <c r="E1746">
        <v>29.25</v>
      </c>
      <c r="F1746" t="s">
        <v>28</v>
      </c>
    </row>
    <row r="1747" spans="1:6">
      <c r="A1747">
        <v>202310</v>
      </c>
      <c r="B1747" s="6">
        <v>45217</v>
      </c>
      <c r="C1747" t="s">
        <v>2519</v>
      </c>
      <c r="D1747" t="s">
        <v>4971</v>
      </c>
      <c r="E1747">
        <v>650</v>
      </c>
      <c r="F1747" t="s">
        <v>61</v>
      </c>
    </row>
    <row r="1748" spans="1:6">
      <c r="A1748">
        <v>202310</v>
      </c>
      <c r="B1748" s="6">
        <v>45218</v>
      </c>
      <c r="C1748" t="s">
        <v>3938</v>
      </c>
      <c r="D1748" t="s">
        <v>38</v>
      </c>
      <c r="E1748">
        <v>8.64</v>
      </c>
      <c r="F1748" t="s">
        <v>38</v>
      </c>
    </row>
    <row r="1749" spans="1:6">
      <c r="A1749">
        <v>202310</v>
      </c>
      <c r="B1749" s="6">
        <v>45218</v>
      </c>
      <c r="C1749" t="s">
        <v>4006</v>
      </c>
      <c r="D1749" t="s">
        <v>4705</v>
      </c>
      <c r="E1749">
        <v>52.45</v>
      </c>
      <c r="F1749" t="s">
        <v>23</v>
      </c>
    </row>
    <row r="1750" spans="1:6">
      <c r="A1750">
        <v>202310</v>
      </c>
      <c r="B1750" s="6">
        <v>45218</v>
      </c>
      <c r="C1750" t="s">
        <v>4006</v>
      </c>
      <c r="D1750" t="s">
        <v>4972</v>
      </c>
      <c r="E1750">
        <v>51</v>
      </c>
      <c r="F1750" t="s">
        <v>29</v>
      </c>
    </row>
    <row r="1751" spans="1:6">
      <c r="A1751">
        <v>202310</v>
      </c>
      <c r="B1751" s="6">
        <v>45218</v>
      </c>
      <c r="C1751" t="s">
        <v>4006</v>
      </c>
      <c r="D1751" t="s">
        <v>1102</v>
      </c>
      <c r="E1751">
        <v>46.59</v>
      </c>
      <c r="F1751" t="s">
        <v>26</v>
      </c>
    </row>
    <row r="1752" spans="1:6">
      <c r="A1752">
        <v>202310</v>
      </c>
      <c r="B1752" s="6">
        <v>45218</v>
      </c>
      <c r="C1752" t="s">
        <v>4006</v>
      </c>
      <c r="D1752" t="s">
        <v>4012</v>
      </c>
      <c r="E1752">
        <v>-4923.3100000000004</v>
      </c>
      <c r="F1752" t="s">
        <v>9</v>
      </c>
    </row>
    <row r="1753" spans="1:6">
      <c r="A1753">
        <v>202310</v>
      </c>
      <c r="B1753" s="6">
        <v>45218</v>
      </c>
      <c r="C1753" t="s">
        <v>2519</v>
      </c>
      <c r="D1753" t="s">
        <v>1955</v>
      </c>
      <c r="E1753">
        <v>2.99</v>
      </c>
      <c r="F1753" t="s">
        <v>21</v>
      </c>
    </row>
    <row r="1754" spans="1:6">
      <c r="A1754">
        <v>202310</v>
      </c>
      <c r="B1754" s="6">
        <v>45219</v>
      </c>
      <c r="C1754" t="s">
        <v>3938</v>
      </c>
      <c r="D1754" t="s">
        <v>38</v>
      </c>
      <c r="E1754">
        <v>54.52</v>
      </c>
      <c r="F1754" t="s">
        <v>38</v>
      </c>
    </row>
    <row r="1755" spans="1:6">
      <c r="A1755">
        <v>202310</v>
      </c>
      <c r="B1755" s="6">
        <v>45219</v>
      </c>
      <c r="C1755" t="s">
        <v>3938</v>
      </c>
      <c r="D1755" t="s">
        <v>38</v>
      </c>
      <c r="E1755">
        <v>28.87</v>
      </c>
      <c r="F1755" t="s">
        <v>38</v>
      </c>
    </row>
    <row r="1756" spans="1:6">
      <c r="A1756">
        <v>202310</v>
      </c>
      <c r="B1756" s="6">
        <v>45219</v>
      </c>
      <c r="C1756" t="s">
        <v>4006</v>
      </c>
      <c r="D1756" t="s">
        <v>4973</v>
      </c>
      <c r="E1756">
        <v>22.79</v>
      </c>
      <c r="F1756" t="s">
        <v>26</v>
      </c>
    </row>
    <row r="1757" spans="1:6">
      <c r="A1757">
        <v>202310</v>
      </c>
      <c r="B1757" s="6">
        <v>45219</v>
      </c>
      <c r="C1757" t="s">
        <v>4006</v>
      </c>
      <c r="D1757" t="s">
        <v>4973</v>
      </c>
      <c r="E1757">
        <v>40.97</v>
      </c>
      <c r="F1757" t="s">
        <v>26</v>
      </c>
    </row>
    <row r="1758" spans="1:6">
      <c r="A1758">
        <v>202310</v>
      </c>
      <c r="B1758" s="6">
        <v>45219</v>
      </c>
      <c r="C1758" t="s">
        <v>2519</v>
      </c>
      <c r="D1758" t="s">
        <v>4974</v>
      </c>
      <c r="E1758">
        <v>-1363.65</v>
      </c>
      <c r="F1758" t="s">
        <v>64</v>
      </c>
    </row>
    <row r="1759" spans="1:6">
      <c r="A1759">
        <v>202310</v>
      </c>
      <c r="B1759" s="6">
        <v>45219</v>
      </c>
      <c r="C1759" t="s">
        <v>4006</v>
      </c>
      <c r="D1759" t="s">
        <v>808</v>
      </c>
      <c r="E1759">
        <v>56</v>
      </c>
      <c r="F1759" t="s">
        <v>21</v>
      </c>
    </row>
    <row r="1760" spans="1:6">
      <c r="A1760">
        <v>202310</v>
      </c>
      <c r="B1760" s="6">
        <v>45219</v>
      </c>
      <c r="C1760" t="s">
        <v>4006</v>
      </c>
      <c r="D1760" t="s">
        <v>4975</v>
      </c>
      <c r="E1760">
        <v>4</v>
      </c>
      <c r="F1760" t="s">
        <v>7</v>
      </c>
    </row>
    <row r="1761" spans="1:6">
      <c r="A1761">
        <v>202310</v>
      </c>
      <c r="B1761" s="6">
        <v>45219</v>
      </c>
      <c r="C1761" t="s">
        <v>3938</v>
      </c>
      <c r="D1761" t="s">
        <v>4899</v>
      </c>
      <c r="E1761">
        <v>0.49</v>
      </c>
      <c r="F1761" t="s">
        <v>7</v>
      </c>
    </row>
    <row r="1762" spans="1:6">
      <c r="A1762">
        <v>202310</v>
      </c>
      <c r="B1762" s="6">
        <v>45219</v>
      </c>
      <c r="C1762" t="s">
        <v>2519</v>
      </c>
      <c r="D1762" t="s">
        <v>1458</v>
      </c>
      <c r="E1762">
        <v>4923.3100000000004</v>
      </c>
      <c r="F1762" t="s">
        <v>9</v>
      </c>
    </row>
    <row r="1763" spans="1:6">
      <c r="A1763">
        <v>202310</v>
      </c>
      <c r="B1763" s="6">
        <v>45219</v>
      </c>
      <c r="C1763" t="s">
        <v>4006</v>
      </c>
      <c r="D1763" t="s">
        <v>31</v>
      </c>
      <c r="E1763">
        <v>24.67</v>
      </c>
      <c r="F1763" t="e">
        <v>#N/A</v>
      </c>
    </row>
    <row r="1764" spans="1:6">
      <c r="A1764">
        <v>202310</v>
      </c>
      <c r="B1764" s="6">
        <v>45219</v>
      </c>
      <c r="C1764" t="s">
        <v>4006</v>
      </c>
      <c r="D1764" t="s">
        <v>4976</v>
      </c>
      <c r="E1764">
        <v>101</v>
      </c>
      <c r="F1764" t="s">
        <v>21</v>
      </c>
    </row>
    <row r="1765" spans="1:6">
      <c r="A1765">
        <v>202310</v>
      </c>
      <c r="B1765" s="6">
        <v>45220</v>
      </c>
      <c r="C1765" t="s">
        <v>4006</v>
      </c>
      <c r="D1765" t="s">
        <v>4977</v>
      </c>
      <c r="E1765">
        <v>34.43</v>
      </c>
      <c r="F1765" t="s">
        <v>26</v>
      </c>
    </row>
    <row r="1766" spans="1:6">
      <c r="A1766">
        <v>202310</v>
      </c>
      <c r="B1766" s="6">
        <v>45220</v>
      </c>
      <c r="C1766" t="s">
        <v>4006</v>
      </c>
      <c r="D1766" t="s">
        <v>4978</v>
      </c>
      <c r="E1766">
        <v>1.1599999999999999</v>
      </c>
      <c r="F1766" t="s">
        <v>26</v>
      </c>
    </row>
    <row r="1767" spans="1:6">
      <c r="A1767">
        <v>202310</v>
      </c>
      <c r="B1767" s="6">
        <v>45220</v>
      </c>
      <c r="C1767" t="s">
        <v>4006</v>
      </c>
      <c r="D1767" t="s">
        <v>4978</v>
      </c>
      <c r="E1767">
        <v>31.05</v>
      </c>
      <c r="F1767" t="s">
        <v>26</v>
      </c>
    </row>
    <row r="1768" spans="1:6">
      <c r="A1768">
        <v>202310</v>
      </c>
      <c r="B1768" s="6">
        <v>45220</v>
      </c>
      <c r="C1768" t="s">
        <v>4006</v>
      </c>
      <c r="D1768" t="s">
        <v>4979</v>
      </c>
      <c r="E1768">
        <v>45.44</v>
      </c>
      <c r="F1768" t="s">
        <v>26</v>
      </c>
    </row>
    <row r="1769" spans="1:6">
      <c r="A1769">
        <v>202310</v>
      </c>
      <c r="B1769" s="6">
        <v>45221</v>
      </c>
      <c r="C1769" t="s">
        <v>4006</v>
      </c>
      <c r="D1769" t="s">
        <v>4980</v>
      </c>
      <c r="E1769">
        <v>161.29</v>
      </c>
      <c r="F1769" t="s">
        <v>43</v>
      </c>
    </row>
    <row r="1770" spans="1:6">
      <c r="A1770">
        <v>202310</v>
      </c>
      <c r="B1770" s="6">
        <v>45221</v>
      </c>
      <c r="C1770" t="s">
        <v>3938</v>
      </c>
      <c r="D1770" t="s">
        <v>4981</v>
      </c>
      <c r="E1770">
        <v>11</v>
      </c>
      <c r="F1770" t="s">
        <v>2</v>
      </c>
    </row>
    <row r="1771" spans="1:6">
      <c r="A1771">
        <v>202310</v>
      </c>
      <c r="B1771" s="6">
        <v>45221</v>
      </c>
      <c r="C1771" t="s">
        <v>4006</v>
      </c>
      <c r="D1771" t="s">
        <v>4982</v>
      </c>
      <c r="E1771">
        <v>55.5</v>
      </c>
      <c r="F1771" t="s">
        <v>21</v>
      </c>
    </row>
    <row r="1772" spans="1:6">
      <c r="A1772">
        <v>202310</v>
      </c>
      <c r="B1772" s="6">
        <v>45221</v>
      </c>
      <c r="C1772" t="s">
        <v>3938</v>
      </c>
      <c r="D1772" t="s">
        <v>4983</v>
      </c>
      <c r="E1772">
        <v>402.07</v>
      </c>
      <c r="F1772" t="s">
        <v>43</v>
      </c>
    </row>
    <row r="1773" spans="1:6">
      <c r="A1773">
        <v>202310</v>
      </c>
      <c r="B1773" s="6">
        <v>45221</v>
      </c>
      <c r="C1773" t="s">
        <v>4006</v>
      </c>
      <c r="D1773" t="s">
        <v>4906</v>
      </c>
      <c r="E1773">
        <v>30.06</v>
      </c>
      <c r="F1773" t="s">
        <v>29</v>
      </c>
    </row>
    <row r="1774" spans="1:6">
      <c r="A1774">
        <v>202310</v>
      </c>
      <c r="B1774" s="6">
        <v>45221</v>
      </c>
      <c r="C1774" t="s">
        <v>4006</v>
      </c>
      <c r="D1774" t="s">
        <v>4984</v>
      </c>
      <c r="E1774">
        <v>52.51</v>
      </c>
      <c r="F1774" t="s">
        <v>26</v>
      </c>
    </row>
    <row r="1775" spans="1:6">
      <c r="A1775">
        <v>202310</v>
      </c>
      <c r="B1775" s="6">
        <v>45221</v>
      </c>
      <c r="C1775" t="s">
        <v>4006</v>
      </c>
      <c r="D1775" t="s">
        <v>4985</v>
      </c>
      <c r="E1775">
        <v>50.91</v>
      </c>
      <c r="F1775" t="s">
        <v>28</v>
      </c>
    </row>
    <row r="1776" spans="1:6">
      <c r="A1776">
        <v>202310</v>
      </c>
      <c r="B1776" s="6">
        <v>45221</v>
      </c>
      <c r="C1776" t="s">
        <v>3938</v>
      </c>
      <c r="D1776" t="s">
        <v>4986</v>
      </c>
      <c r="E1776">
        <v>24.72</v>
      </c>
      <c r="F1776" t="s">
        <v>20</v>
      </c>
    </row>
    <row r="1777" spans="1:6">
      <c r="A1777">
        <v>202310</v>
      </c>
      <c r="B1777" s="6">
        <v>45221</v>
      </c>
      <c r="C1777" t="s">
        <v>4006</v>
      </c>
      <c r="D1777" t="s">
        <v>4987</v>
      </c>
      <c r="E1777">
        <v>109.36</v>
      </c>
      <c r="F1777" t="s">
        <v>26</v>
      </c>
    </row>
    <row r="1778" spans="1:6">
      <c r="A1778">
        <v>202310</v>
      </c>
      <c r="B1778" s="6">
        <v>45221</v>
      </c>
      <c r="C1778" t="s">
        <v>2519</v>
      </c>
      <c r="D1778" t="s">
        <v>4988</v>
      </c>
      <c r="E1778">
        <v>204.25</v>
      </c>
      <c r="F1778" t="s">
        <v>9</v>
      </c>
    </row>
    <row r="1779" spans="1:6">
      <c r="A1779">
        <v>202310</v>
      </c>
      <c r="B1779" s="6">
        <v>45222</v>
      </c>
      <c r="C1779" t="s">
        <v>4006</v>
      </c>
      <c r="D1779" t="s">
        <v>4890</v>
      </c>
      <c r="E1779">
        <v>-1437.36</v>
      </c>
      <c r="F1779" t="e">
        <v>#N/A</v>
      </c>
    </row>
    <row r="1780" spans="1:6">
      <c r="A1780">
        <v>202310</v>
      </c>
      <c r="B1780" s="6">
        <v>45222</v>
      </c>
      <c r="C1780" t="s">
        <v>4006</v>
      </c>
      <c r="D1780" t="s">
        <v>703</v>
      </c>
      <c r="E1780">
        <v>1097.5</v>
      </c>
      <c r="F1780" t="s">
        <v>9</v>
      </c>
    </row>
    <row r="1781" spans="1:6">
      <c r="A1781">
        <v>202310</v>
      </c>
      <c r="B1781" s="6">
        <v>45222</v>
      </c>
      <c r="C1781" t="s">
        <v>4006</v>
      </c>
      <c r="D1781" t="s">
        <v>4989</v>
      </c>
      <c r="E1781">
        <v>1437.36</v>
      </c>
      <c r="F1781" t="s">
        <v>43</v>
      </c>
    </row>
    <row r="1782" spans="1:6">
      <c r="A1782">
        <v>202310</v>
      </c>
      <c r="B1782" s="6">
        <v>45222</v>
      </c>
      <c r="C1782" t="s">
        <v>2519</v>
      </c>
      <c r="D1782" t="s">
        <v>1955</v>
      </c>
      <c r="E1782">
        <v>32.700000000000003</v>
      </c>
      <c r="F1782" t="s">
        <v>21</v>
      </c>
    </row>
    <row r="1783" spans="1:6">
      <c r="A1783">
        <v>202310</v>
      </c>
      <c r="B1783" s="6">
        <v>45222</v>
      </c>
      <c r="C1783" t="s">
        <v>2519</v>
      </c>
      <c r="D1783" t="s">
        <v>1958</v>
      </c>
      <c r="E1783">
        <v>20</v>
      </c>
      <c r="F1783" t="s">
        <v>21</v>
      </c>
    </row>
    <row r="1784" spans="1:6">
      <c r="A1784">
        <v>202310</v>
      </c>
      <c r="B1784" s="6">
        <v>45222</v>
      </c>
      <c r="C1784" t="s">
        <v>2519</v>
      </c>
      <c r="D1784" t="s">
        <v>4990</v>
      </c>
      <c r="E1784">
        <v>81.599999999999994</v>
      </c>
      <c r="F1784" t="s">
        <v>7</v>
      </c>
    </row>
    <row r="1785" spans="1:6">
      <c r="A1785">
        <v>202310</v>
      </c>
      <c r="B1785" s="6">
        <v>45223</v>
      </c>
      <c r="C1785" t="s">
        <v>4006</v>
      </c>
      <c r="D1785" t="s">
        <v>4991</v>
      </c>
      <c r="E1785">
        <v>22.44</v>
      </c>
      <c r="F1785" t="s">
        <v>26</v>
      </c>
    </row>
    <row r="1786" spans="1:6">
      <c r="A1786">
        <v>202310</v>
      </c>
      <c r="B1786" s="6">
        <v>45223</v>
      </c>
      <c r="C1786" t="s">
        <v>3938</v>
      </c>
      <c r="D1786" t="s">
        <v>4992</v>
      </c>
      <c r="E1786">
        <v>109.84</v>
      </c>
      <c r="F1786" t="s">
        <v>21</v>
      </c>
    </row>
    <row r="1787" spans="1:6">
      <c r="A1787">
        <v>202310</v>
      </c>
      <c r="B1787" s="6">
        <v>45223</v>
      </c>
      <c r="C1787" t="s">
        <v>4006</v>
      </c>
      <c r="D1787" t="s">
        <v>4993</v>
      </c>
      <c r="E1787">
        <v>456.39</v>
      </c>
      <c r="F1787" t="s">
        <v>26</v>
      </c>
    </row>
    <row r="1788" spans="1:6">
      <c r="A1788">
        <v>202310</v>
      </c>
      <c r="B1788" s="6">
        <v>45223</v>
      </c>
      <c r="C1788" t="s">
        <v>4006</v>
      </c>
      <c r="D1788" t="s">
        <v>4989</v>
      </c>
      <c r="E1788">
        <v>248.64</v>
      </c>
      <c r="F1788" t="s">
        <v>43</v>
      </c>
    </row>
    <row r="1789" spans="1:6">
      <c r="A1789">
        <v>202310</v>
      </c>
      <c r="B1789" s="6">
        <v>45223</v>
      </c>
      <c r="C1789" t="s">
        <v>3938</v>
      </c>
      <c r="D1789" t="s">
        <v>4994</v>
      </c>
      <c r="E1789">
        <v>41.83</v>
      </c>
      <c r="F1789" t="s">
        <v>21</v>
      </c>
    </row>
    <row r="1790" spans="1:6">
      <c r="A1790">
        <v>202310</v>
      </c>
      <c r="B1790" s="6">
        <v>45223</v>
      </c>
      <c r="C1790" t="s">
        <v>4006</v>
      </c>
      <c r="D1790" t="s">
        <v>4995</v>
      </c>
      <c r="E1790">
        <v>67.44</v>
      </c>
      <c r="F1790" t="s">
        <v>26</v>
      </c>
    </row>
    <row r="1791" spans="1:6">
      <c r="A1791">
        <v>202310</v>
      </c>
      <c r="B1791" s="6">
        <v>45223</v>
      </c>
      <c r="C1791" t="s">
        <v>4006</v>
      </c>
      <c r="D1791" t="s">
        <v>4985</v>
      </c>
      <c r="E1791">
        <v>73.03</v>
      </c>
      <c r="F1791" t="s">
        <v>28</v>
      </c>
    </row>
    <row r="1792" spans="1:6">
      <c r="A1792">
        <v>202310</v>
      </c>
      <c r="B1792" s="6">
        <v>45224</v>
      </c>
      <c r="C1792" t="s">
        <v>4006</v>
      </c>
      <c r="D1792" t="s">
        <v>4996</v>
      </c>
      <c r="E1792">
        <v>40.840000000000003</v>
      </c>
      <c r="F1792" t="s">
        <v>43</v>
      </c>
    </row>
    <row r="1793" spans="1:6">
      <c r="A1793">
        <v>202310</v>
      </c>
      <c r="B1793" s="6">
        <v>45224</v>
      </c>
      <c r="C1793" t="s">
        <v>4006</v>
      </c>
      <c r="D1793" t="s">
        <v>4996</v>
      </c>
      <c r="E1793">
        <v>455.5</v>
      </c>
      <c r="F1793" t="s">
        <v>43</v>
      </c>
    </row>
    <row r="1794" spans="1:6">
      <c r="A1794">
        <v>202310</v>
      </c>
      <c r="B1794" s="6">
        <v>45224</v>
      </c>
      <c r="C1794" t="s">
        <v>3938</v>
      </c>
      <c r="D1794" t="s">
        <v>4997</v>
      </c>
      <c r="E1794">
        <v>55.26</v>
      </c>
      <c r="F1794" t="s">
        <v>43</v>
      </c>
    </row>
    <row r="1795" spans="1:6">
      <c r="A1795">
        <v>202310</v>
      </c>
      <c r="B1795" s="6">
        <v>45224</v>
      </c>
      <c r="C1795" t="s">
        <v>4006</v>
      </c>
      <c r="D1795" t="s">
        <v>4014</v>
      </c>
      <c r="E1795">
        <v>85.5</v>
      </c>
      <c r="F1795" t="s">
        <v>43</v>
      </c>
    </row>
    <row r="1796" spans="1:6">
      <c r="A1796">
        <v>202310</v>
      </c>
      <c r="B1796" s="6">
        <v>45224</v>
      </c>
      <c r="C1796" t="s">
        <v>4006</v>
      </c>
      <c r="D1796" t="s">
        <v>4014</v>
      </c>
      <c r="E1796">
        <v>60.21</v>
      </c>
      <c r="F1796" t="s">
        <v>43</v>
      </c>
    </row>
    <row r="1797" spans="1:6">
      <c r="A1797">
        <v>202310</v>
      </c>
      <c r="B1797" s="6">
        <v>45224</v>
      </c>
      <c r="C1797" t="s">
        <v>4006</v>
      </c>
      <c r="D1797" t="s">
        <v>4998</v>
      </c>
      <c r="E1797">
        <v>82.68</v>
      </c>
      <c r="F1797" t="s">
        <v>21</v>
      </c>
    </row>
    <row r="1798" spans="1:6">
      <c r="A1798">
        <v>202310</v>
      </c>
      <c r="B1798" s="6">
        <v>45224</v>
      </c>
      <c r="C1798" t="s">
        <v>2519</v>
      </c>
      <c r="D1798" t="s">
        <v>1355</v>
      </c>
      <c r="E1798">
        <v>654.61</v>
      </c>
      <c r="F1798" t="s">
        <v>21</v>
      </c>
    </row>
    <row r="1799" spans="1:6">
      <c r="A1799">
        <v>202310</v>
      </c>
      <c r="B1799" s="6">
        <v>45224</v>
      </c>
      <c r="C1799" t="s">
        <v>2519</v>
      </c>
      <c r="D1799" t="s">
        <v>4415</v>
      </c>
      <c r="E1799">
        <v>678.87</v>
      </c>
      <c r="F1799" t="s">
        <v>9</v>
      </c>
    </row>
    <row r="1800" spans="1:6">
      <c r="A1800">
        <v>202310</v>
      </c>
      <c r="B1800" s="6">
        <v>45224</v>
      </c>
      <c r="C1800" t="s">
        <v>2519</v>
      </c>
      <c r="D1800" t="s">
        <v>1934</v>
      </c>
      <c r="E1800">
        <v>-15.95</v>
      </c>
      <c r="F1800" t="s">
        <v>21</v>
      </c>
    </row>
    <row r="1801" spans="1:6">
      <c r="A1801">
        <v>202310</v>
      </c>
      <c r="B1801" s="6">
        <v>45224</v>
      </c>
      <c r="C1801" t="s">
        <v>3938</v>
      </c>
      <c r="D1801" t="s">
        <v>2078</v>
      </c>
      <c r="E1801">
        <v>15.91</v>
      </c>
      <c r="F1801" t="s">
        <v>23</v>
      </c>
    </row>
    <row r="1802" spans="1:6">
      <c r="A1802">
        <v>202310</v>
      </c>
      <c r="B1802" s="6">
        <v>45224</v>
      </c>
      <c r="C1802" t="s">
        <v>3938</v>
      </c>
      <c r="D1802" t="s">
        <v>2078</v>
      </c>
      <c r="E1802">
        <v>55.91</v>
      </c>
      <c r="F1802" t="s">
        <v>23</v>
      </c>
    </row>
    <row r="1803" spans="1:6">
      <c r="A1803">
        <v>202310</v>
      </c>
      <c r="B1803" s="6">
        <v>45224</v>
      </c>
      <c r="C1803" t="s">
        <v>2519</v>
      </c>
      <c r="D1803" t="s">
        <v>4999</v>
      </c>
      <c r="E1803">
        <v>330</v>
      </c>
      <c r="F1803" t="s">
        <v>20</v>
      </c>
    </row>
    <row r="1804" spans="1:6">
      <c r="A1804">
        <v>202310</v>
      </c>
      <c r="B1804" s="6">
        <v>45225</v>
      </c>
      <c r="C1804" t="s">
        <v>2519</v>
      </c>
      <c r="D1804" t="s">
        <v>404</v>
      </c>
      <c r="E1804">
        <v>-3594.82</v>
      </c>
      <c r="F1804" t="s">
        <v>66</v>
      </c>
    </row>
    <row r="1805" spans="1:6">
      <c r="A1805">
        <v>202310</v>
      </c>
      <c r="B1805" s="6">
        <v>45225</v>
      </c>
      <c r="C1805" t="s">
        <v>2519</v>
      </c>
      <c r="D1805" t="s">
        <v>5000</v>
      </c>
      <c r="E1805">
        <v>-562.79999999999995</v>
      </c>
      <c r="F1805" t="s">
        <v>64</v>
      </c>
    </row>
    <row r="1806" spans="1:6">
      <c r="A1806">
        <v>202310</v>
      </c>
      <c r="B1806" s="6">
        <v>45225</v>
      </c>
      <c r="C1806" t="s">
        <v>2519</v>
      </c>
      <c r="D1806" t="s">
        <v>4404</v>
      </c>
      <c r="E1806">
        <v>800</v>
      </c>
      <c r="F1806" t="s">
        <v>9</v>
      </c>
    </row>
    <row r="1807" spans="1:6">
      <c r="A1807">
        <v>202310</v>
      </c>
      <c r="B1807" s="6">
        <v>45226</v>
      </c>
      <c r="C1807" t="s">
        <v>4006</v>
      </c>
      <c r="D1807" t="s">
        <v>4996</v>
      </c>
      <c r="E1807">
        <v>188.48</v>
      </c>
      <c r="F1807" t="s">
        <v>43</v>
      </c>
    </row>
    <row r="1808" spans="1:6">
      <c r="A1808">
        <v>202310</v>
      </c>
      <c r="B1808" s="6">
        <v>45226</v>
      </c>
      <c r="C1808" t="s">
        <v>4006</v>
      </c>
      <c r="D1808" t="s">
        <v>4012</v>
      </c>
      <c r="E1808">
        <v>-4198.2299999999996</v>
      </c>
      <c r="F1808" t="s">
        <v>9</v>
      </c>
    </row>
    <row r="1809" spans="1:6">
      <c r="A1809">
        <v>202310</v>
      </c>
      <c r="B1809" s="6">
        <v>45227</v>
      </c>
      <c r="C1809" t="s">
        <v>4006</v>
      </c>
      <c r="D1809" t="s">
        <v>5001</v>
      </c>
      <c r="E1809">
        <v>6.28</v>
      </c>
      <c r="F1809" t="s">
        <v>26</v>
      </c>
    </row>
    <row r="1810" spans="1:6">
      <c r="A1810">
        <v>202310</v>
      </c>
      <c r="B1810" s="6">
        <v>45228</v>
      </c>
      <c r="C1810" t="s">
        <v>4006</v>
      </c>
      <c r="D1810" t="s">
        <v>5002</v>
      </c>
      <c r="E1810">
        <v>10.45</v>
      </c>
      <c r="F1810" t="s">
        <v>26</v>
      </c>
    </row>
    <row r="1811" spans="1:6">
      <c r="A1811">
        <v>202310</v>
      </c>
      <c r="B1811" s="6">
        <v>45228</v>
      </c>
      <c r="C1811" t="s">
        <v>4006</v>
      </c>
      <c r="D1811" t="s">
        <v>5003</v>
      </c>
      <c r="E1811">
        <v>87.18</v>
      </c>
      <c r="F1811" t="s">
        <v>26</v>
      </c>
    </row>
    <row r="1812" spans="1:6">
      <c r="A1812">
        <v>202310</v>
      </c>
      <c r="B1812" s="6">
        <v>45228</v>
      </c>
      <c r="C1812" t="s">
        <v>3938</v>
      </c>
      <c r="D1812" t="s">
        <v>673</v>
      </c>
      <c r="E1812">
        <v>-978.28</v>
      </c>
      <c r="F1812" t="s">
        <v>9</v>
      </c>
    </row>
    <row r="1813" spans="1:6">
      <c r="A1813">
        <v>202310</v>
      </c>
      <c r="B1813" s="6">
        <v>45228</v>
      </c>
      <c r="C1813" t="s">
        <v>4006</v>
      </c>
      <c r="D1813" t="s">
        <v>4014</v>
      </c>
      <c r="E1813">
        <v>1276.02</v>
      </c>
      <c r="F1813" t="s">
        <v>43</v>
      </c>
    </row>
    <row r="1814" spans="1:6">
      <c r="A1814">
        <v>202310</v>
      </c>
      <c r="B1814" s="6">
        <v>45228</v>
      </c>
      <c r="C1814" t="s">
        <v>3938</v>
      </c>
      <c r="D1814" t="s">
        <v>4985</v>
      </c>
      <c r="E1814">
        <v>5.23</v>
      </c>
      <c r="F1814" t="s">
        <v>28</v>
      </c>
    </row>
    <row r="1815" spans="1:6">
      <c r="A1815">
        <v>202310</v>
      </c>
      <c r="B1815" s="6">
        <v>45228</v>
      </c>
      <c r="C1815" t="s">
        <v>2519</v>
      </c>
      <c r="D1815" t="s">
        <v>4343</v>
      </c>
      <c r="E1815">
        <v>-3342.8</v>
      </c>
      <c r="F1815" t="s">
        <v>64</v>
      </c>
    </row>
    <row r="1816" spans="1:6">
      <c r="A1816">
        <v>202310</v>
      </c>
      <c r="B1816" s="6">
        <v>45228</v>
      </c>
      <c r="C1816" t="s">
        <v>4006</v>
      </c>
      <c r="D1816" t="s">
        <v>1650</v>
      </c>
      <c r="E1816">
        <v>41.88</v>
      </c>
      <c r="F1816" t="s">
        <v>23</v>
      </c>
    </row>
    <row r="1817" spans="1:6">
      <c r="A1817">
        <v>202310</v>
      </c>
      <c r="B1817" s="6">
        <v>45228</v>
      </c>
      <c r="C1817" t="s">
        <v>2519</v>
      </c>
      <c r="D1817" t="s">
        <v>4293</v>
      </c>
      <c r="E1817">
        <v>978.28</v>
      </c>
      <c r="F1817" t="s">
        <v>9</v>
      </c>
    </row>
    <row r="1818" spans="1:6">
      <c r="A1818">
        <v>202310</v>
      </c>
      <c r="B1818" s="6">
        <v>45229</v>
      </c>
      <c r="C1818" t="s">
        <v>3938</v>
      </c>
      <c r="D1818" t="s">
        <v>5004</v>
      </c>
      <c r="E1818">
        <v>36.46</v>
      </c>
      <c r="F1818" t="s">
        <v>43</v>
      </c>
    </row>
    <row r="1819" spans="1:6">
      <c r="A1819">
        <v>202310</v>
      </c>
      <c r="B1819" s="6">
        <v>45229</v>
      </c>
      <c r="C1819" t="s">
        <v>4006</v>
      </c>
      <c r="D1819" t="s">
        <v>1168</v>
      </c>
      <c r="E1819">
        <v>82.09</v>
      </c>
      <c r="F1819" t="s">
        <v>23</v>
      </c>
    </row>
    <row r="1820" spans="1:6">
      <c r="A1820">
        <v>202310</v>
      </c>
      <c r="B1820" s="6">
        <v>45229</v>
      </c>
      <c r="C1820" t="s">
        <v>4006</v>
      </c>
      <c r="D1820" t="s">
        <v>4864</v>
      </c>
      <c r="E1820">
        <v>525.71</v>
      </c>
      <c r="F1820" t="s">
        <v>43</v>
      </c>
    </row>
    <row r="1821" spans="1:6">
      <c r="A1821">
        <v>202310</v>
      </c>
      <c r="B1821" s="6">
        <v>45229</v>
      </c>
      <c r="C1821" t="s">
        <v>2519</v>
      </c>
      <c r="D1821" t="s">
        <v>1458</v>
      </c>
      <c r="E1821">
        <v>4198.2299999999996</v>
      </c>
      <c r="F1821" t="s">
        <v>9</v>
      </c>
    </row>
    <row r="1822" spans="1:6">
      <c r="A1822">
        <v>202310</v>
      </c>
      <c r="B1822" s="6">
        <v>45229</v>
      </c>
      <c r="C1822" t="s">
        <v>4006</v>
      </c>
      <c r="D1822" t="s">
        <v>5005</v>
      </c>
      <c r="E1822">
        <v>570</v>
      </c>
      <c r="F1822" t="s">
        <v>21</v>
      </c>
    </row>
    <row r="1823" spans="1:6">
      <c r="A1823">
        <v>202310</v>
      </c>
      <c r="B1823" s="6">
        <v>45229</v>
      </c>
      <c r="C1823" t="s">
        <v>2519</v>
      </c>
      <c r="D1823" t="s">
        <v>1955</v>
      </c>
      <c r="E1823">
        <v>0.99</v>
      </c>
      <c r="F1823" t="s">
        <v>21</v>
      </c>
    </row>
    <row r="1824" spans="1:6">
      <c r="A1824">
        <v>202310</v>
      </c>
      <c r="B1824" s="6">
        <v>45230</v>
      </c>
      <c r="C1824" t="s">
        <v>4006</v>
      </c>
      <c r="D1824" t="s">
        <v>684</v>
      </c>
      <c r="E1824">
        <v>144.41</v>
      </c>
      <c r="F1824" t="s">
        <v>28</v>
      </c>
    </row>
    <row r="1825" spans="1:6">
      <c r="A1825">
        <v>202310</v>
      </c>
      <c r="B1825" s="6">
        <v>45230</v>
      </c>
      <c r="C1825" t="s">
        <v>2519</v>
      </c>
      <c r="D1825" t="s">
        <v>2896</v>
      </c>
      <c r="E1825">
        <v>-4.25</v>
      </c>
      <c r="F1825" t="s">
        <v>16</v>
      </c>
    </row>
    <row r="1826" spans="1:6">
      <c r="A1826">
        <v>202310</v>
      </c>
      <c r="B1826" s="6">
        <v>45230</v>
      </c>
      <c r="C1826" t="s">
        <v>2519</v>
      </c>
      <c r="D1826" t="s">
        <v>5006</v>
      </c>
      <c r="E1826">
        <v>-50.19</v>
      </c>
      <c r="F1826" t="s">
        <v>16</v>
      </c>
    </row>
    <row r="1827" spans="1:6">
      <c r="A1827">
        <v>202310</v>
      </c>
      <c r="B1827" s="6">
        <v>45230</v>
      </c>
      <c r="C1827" t="s">
        <v>4006</v>
      </c>
      <c r="D1827" t="s">
        <v>31</v>
      </c>
      <c r="E1827">
        <v>24.27</v>
      </c>
      <c r="F1827" t="e">
        <v>#N/A</v>
      </c>
    </row>
    <row r="1828" spans="1:6">
      <c r="A1828">
        <v>202310</v>
      </c>
      <c r="B1828" s="6">
        <v>45230</v>
      </c>
      <c r="C1828" t="s">
        <v>2519</v>
      </c>
      <c r="D1828" t="s">
        <v>5007</v>
      </c>
      <c r="E1828">
        <v>330</v>
      </c>
      <c r="F1828" t="s">
        <v>20</v>
      </c>
    </row>
    <row r="1829" spans="1:6">
      <c r="A1829">
        <v>202311</v>
      </c>
      <c r="B1829" s="6">
        <v>45231</v>
      </c>
      <c r="C1829" t="s">
        <v>3932</v>
      </c>
      <c r="D1829" t="s">
        <v>38</v>
      </c>
      <c r="E1829">
        <v>77</v>
      </c>
      <c r="F1829" t="s">
        <v>38</v>
      </c>
    </row>
    <row r="1830" spans="1:6">
      <c r="A1830">
        <v>202311</v>
      </c>
      <c r="B1830" s="6">
        <v>45231</v>
      </c>
      <c r="C1830" t="s">
        <v>3932</v>
      </c>
      <c r="D1830" t="s">
        <v>38</v>
      </c>
      <c r="E1830">
        <v>69.989999999999995</v>
      </c>
      <c r="F1830" t="s">
        <v>38</v>
      </c>
    </row>
    <row r="1831" spans="1:6">
      <c r="A1831">
        <v>202311</v>
      </c>
      <c r="B1831" s="6">
        <v>45231</v>
      </c>
      <c r="C1831" t="s">
        <v>3932</v>
      </c>
      <c r="D1831" t="s">
        <v>38</v>
      </c>
      <c r="E1831">
        <v>90.83</v>
      </c>
      <c r="F1831" t="s">
        <v>38</v>
      </c>
    </row>
    <row r="1832" spans="1:6">
      <c r="A1832">
        <v>202311</v>
      </c>
      <c r="B1832" s="6">
        <v>45231</v>
      </c>
      <c r="C1832" t="s">
        <v>4129</v>
      </c>
      <c r="D1832" t="s">
        <v>113</v>
      </c>
      <c r="E1832">
        <v>-8.66</v>
      </c>
      <c r="F1832" t="s">
        <v>38</v>
      </c>
    </row>
    <row r="1833" spans="1:6">
      <c r="A1833">
        <v>202311</v>
      </c>
      <c r="B1833" s="6">
        <v>45231</v>
      </c>
      <c r="C1833" t="s">
        <v>4125</v>
      </c>
      <c r="D1833" t="s">
        <v>113</v>
      </c>
      <c r="E1833">
        <v>-10.47</v>
      </c>
      <c r="F1833" t="s">
        <v>38</v>
      </c>
    </row>
    <row r="1834" spans="1:6">
      <c r="A1834">
        <v>202311</v>
      </c>
      <c r="B1834" s="6">
        <v>45231</v>
      </c>
      <c r="C1834" t="s">
        <v>4123</v>
      </c>
      <c r="D1834" t="s">
        <v>113</v>
      </c>
      <c r="E1834">
        <v>-6.13</v>
      </c>
      <c r="F1834" t="s">
        <v>38</v>
      </c>
    </row>
    <row r="1835" spans="1:6">
      <c r="A1835">
        <v>202311</v>
      </c>
      <c r="B1835" s="6">
        <v>45231</v>
      </c>
      <c r="C1835" t="s">
        <v>4121</v>
      </c>
      <c r="D1835" t="s">
        <v>113</v>
      </c>
      <c r="E1835">
        <v>-16.25</v>
      </c>
      <c r="F1835" t="s">
        <v>38</v>
      </c>
    </row>
    <row r="1836" spans="1:6">
      <c r="A1836">
        <v>202311</v>
      </c>
      <c r="B1836" s="6">
        <v>45231</v>
      </c>
      <c r="C1836" t="s">
        <v>4112</v>
      </c>
      <c r="D1836" t="s">
        <v>5008</v>
      </c>
      <c r="E1836">
        <v>5.41</v>
      </c>
      <c r="F1836" t="s">
        <v>40</v>
      </c>
    </row>
    <row r="1837" spans="1:6">
      <c r="A1837">
        <v>202311</v>
      </c>
      <c r="B1837" s="6">
        <v>45231</v>
      </c>
      <c r="C1837" t="s">
        <v>4098</v>
      </c>
      <c r="D1837" t="s">
        <v>545</v>
      </c>
      <c r="E1837">
        <v>25.41</v>
      </c>
      <c r="F1837" t="s">
        <v>26</v>
      </c>
    </row>
    <row r="1838" spans="1:6">
      <c r="A1838">
        <v>202311</v>
      </c>
      <c r="B1838" s="6">
        <v>45231</v>
      </c>
      <c r="C1838" t="s">
        <v>4100</v>
      </c>
      <c r="D1838" t="s">
        <v>684</v>
      </c>
      <c r="E1838">
        <v>12.42</v>
      </c>
      <c r="F1838" t="s">
        <v>28</v>
      </c>
    </row>
    <row r="1839" spans="1:6">
      <c r="A1839">
        <v>202311</v>
      </c>
      <c r="B1839" s="6">
        <v>45231</v>
      </c>
      <c r="C1839" t="s">
        <v>2519</v>
      </c>
      <c r="D1839" t="s">
        <v>1460</v>
      </c>
      <c r="E1839">
        <v>2741.74</v>
      </c>
      <c r="F1839" t="s">
        <v>5</v>
      </c>
    </row>
    <row r="1840" spans="1:6">
      <c r="A1840">
        <v>202311</v>
      </c>
      <c r="B1840" s="6">
        <v>45231</v>
      </c>
      <c r="C1840" t="s">
        <v>2519</v>
      </c>
      <c r="D1840" t="s">
        <v>4716</v>
      </c>
      <c r="E1840">
        <v>650</v>
      </c>
      <c r="F1840" t="s">
        <v>61</v>
      </c>
    </row>
    <row r="1841" spans="1:6">
      <c r="A1841">
        <v>202311</v>
      </c>
      <c r="B1841" s="6">
        <v>45231</v>
      </c>
      <c r="C1841" t="s">
        <v>2519</v>
      </c>
      <c r="D1841" t="s">
        <v>5009</v>
      </c>
      <c r="E1841">
        <v>618.14</v>
      </c>
      <c r="F1841" t="s">
        <v>9</v>
      </c>
    </row>
    <row r="1842" spans="1:6">
      <c r="A1842">
        <v>202311</v>
      </c>
      <c r="B1842" s="6">
        <v>45232</v>
      </c>
      <c r="C1842" t="s">
        <v>2519</v>
      </c>
      <c r="D1842" t="s">
        <v>5010</v>
      </c>
      <c r="E1842">
        <v>-71</v>
      </c>
      <c r="F1842" t="s">
        <v>9</v>
      </c>
    </row>
    <row r="1843" spans="1:6">
      <c r="A1843">
        <v>202311</v>
      </c>
      <c r="B1843" s="6">
        <v>45232</v>
      </c>
      <c r="C1843" t="s">
        <v>2519</v>
      </c>
      <c r="D1843" t="s">
        <v>5011</v>
      </c>
      <c r="E1843">
        <v>-210</v>
      </c>
      <c r="F1843" t="s">
        <v>9</v>
      </c>
    </row>
    <row r="1844" spans="1:6">
      <c r="A1844">
        <v>202311</v>
      </c>
      <c r="B1844" s="6">
        <v>45232</v>
      </c>
      <c r="C1844" t="s">
        <v>4127</v>
      </c>
      <c r="D1844" t="s">
        <v>4017</v>
      </c>
      <c r="E1844">
        <v>58.24</v>
      </c>
      <c r="F1844" t="s">
        <v>28</v>
      </c>
    </row>
    <row r="1845" spans="1:6">
      <c r="A1845">
        <v>202311</v>
      </c>
      <c r="B1845" s="6">
        <v>45232</v>
      </c>
      <c r="C1845" t="s">
        <v>5013</v>
      </c>
      <c r="D1845" t="s">
        <v>4012</v>
      </c>
      <c r="E1845">
        <v>-2362.5</v>
      </c>
      <c r="F1845" t="s">
        <v>9</v>
      </c>
    </row>
    <row r="1846" spans="1:6">
      <c r="A1846">
        <v>202311</v>
      </c>
      <c r="B1846" s="6">
        <v>45232</v>
      </c>
      <c r="C1846" t="s">
        <v>4137</v>
      </c>
      <c r="D1846" t="s">
        <v>5012</v>
      </c>
      <c r="E1846">
        <v>100</v>
      </c>
      <c r="F1846" t="s">
        <v>21</v>
      </c>
    </row>
    <row r="1847" spans="1:6">
      <c r="A1847">
        <v>202311</v>
      </c>
      <c r="B1847" s="6">
        <v>45233</v>
      </c>
      <c r="C1847" t="s">
        <v>3932</v>
      </c>
      <c r="D1847" t="s">
        <v>113</v>
      </c>
      <c r="E1847">
        <v>-38.479999999999997</v>
      </c>
      <c r="F1847" t="s">
        <v>38</v>
      </c>
    </row>
    <row r="1848" spans="1:6">
      <c r="A1848">
        <v>202311</v>
      </c>
      <c r="B1848" s="6">
        <v>45233</v>
      </c>
      <c r="C1848" t="s">
        <v>5013</v>
      </c>
      <c r="D1848" t="s">
        <v>684</v>
      </c>
      <c r="E1848">
        <v>23.89</v>
      </c>
      <c r="F1848" t="s">
        <v>28</v>
      </c>
    </row>
    <row r="1849" spans="1:6">
      <c r="A1849">
        <v>202311</v>
      </c>
      <c r="B1849" s="6">
        <v>45233</v>
      </c>
      <c r="C1849" t="s">
        <v>2519</v>
      </c>
      <c r="D1849" t="s">
        <v>1458</v>
      </c>
      <c r="E1849">
        <v>2362.5</v>
      </c>
      <c r="F1849" t="s">
        <v>9</v>
      </c>
    </row>
    <row r="1850" spans="1:6">
      <c r="A1850">
        <v>202311</v>
      </c>
      <c r="B1850" s="6">
        <v>45233</v>
      </c>
      <c r="C1850" t="s">
        <v>2519</v>
      </c>
      <c r="D1850" t="s">
        <v>1470</v>
      </c>
      <c r="E1850">
        <v>159.54</v>
      </c>
      <c r="F1850" t="s">
        <v>2</v>
      </c>
    </row>
    <row r="1851" spans="1:6">
      <c r="A1851">
        <v>202311</v>
      </c>
      <c r="B1851" s="6">
        <v>45233</v>
      </c>
      <c r="C1851" t="s">
        <v>4135</v>
      </c>
      <c r="D1851" t="s">
        <v>5014</v>
      </c>
      <c r="E1851">
        <v>9.67</v>
      </c>
      <c r="F1851" t="s">
        <v>26</v>
      </c>
    </row>
    <row r="1852" spans="1:6">
      <c r="A1852">
        <v>202311</v>
      </c>
      <c r="B1852" s="6">
        <v>45234</v>
      </c>
      <c r="C1852" t="s">
        <v>3932</v>
      </c>
      <c r="D1852" t="s">
        <v>38</v>
      </c>
      <c r="E1852">
        <v>15.16</v>
      </c>
      <c r="F1852" t="s">
        <v>38</v>
      </c>
    </row>
    <row r="1853" spans="1:6">
      <c r="A1853">
        <v>202311</v>
      </c>
      <c r="B1853" s="6">
        <v>45234</v>
      </c>
      <c r="C1853" t="s">
        <v>5013</v>
      </c>
      <c r="D1853" t="s">
        <v>4012</v>
      </c>
      <c r="E1853">
        <v>-594.27</v>
      </c>
      <c r="F1853" t="s">
        <v>9</v>
      </c>
    </row>
    <row r="1854" spans="1:6">
      <c r="A1854">
        <v>202311</v>
      </c>
      <c r="B1854" s="6">
        <v>45234</v>
      </c>
      <c r="C1854" t="s">
        <v>5013</v>
      </c>
      <c r="D1854" t="s">
        <v>5015</v>
      </c>
      <c r="E1854">
        <v>17.34</v>
      </c>
      <c r="F1854" t="s">
        <v>26</v>
      </c>
    </row>
    <row r="1855" spans="1:6">
      <c r="A1855">
        <v>202311</v>
      </c>
      <c r="B1855" s="6">
        <v>45235</v>
      </c>
      <c r="C1855" t="s">
        <v>5013</v>
      </c>
      <c r="D1855" t="s">
        <v>5016</v>
      </c>
      <c r="E1855">
        <v>10.08</v>
      </c>
      <c r="F1855" t="s">
        <v>26</v>
      </c>
    </row>
    <row r="1856" spans="1:6">
      <c r="A1856">
        <v>202311</v>
      </c>
      <c r="B1856" s="6">
        <v>45235</v>
      </c>
      <c r="C1856" t="s">
        <v>5013</v>
      </c>
      <c r="D1856" t="s">
        <v>5016</v>
      </c>
      <c r="E1856">
        <v>21.19</v>
      </c>
      <c r="F1856" t="s">
        <v>26</v>
      </c>
    </row>
    <row r="1857" spans="1:6">
      <c r="A1857">
        <v>202311</v>
      </c>
      <c r="B1857" s="6">
        <v>45235</v>
      </c>
      <c r="C1857" t="s">
        <v>5013</v>
      </c>
      <c r="D1857" t="s">
        <v>5016</v>
      </c>
      <c r="E1857">
        <v>108.84</v>
      </c>
      <c r="F1857" t="s">
        <v>26</v>
      </c>
    </row>
    <row r="1858" spans="1:6">
      <c r="A1858">
        <v>202311</v>
      </c>
      <c r="B1858" s="6">
        <v>45236</v>
      </c>
      <c r="C1858" t="s">
        <v>3932</v>
      </c>
      <c r="D1858" t="s">
        <v>38</v>
      </c>
      <c r="E1858">
        <v>14.08</v>
      </c>
      <c r="F1858" t="s">
        <v>38</v>
      </c>
    </row>
    <row r="1859" spans="1:6">
      <c r="A1859">
        <v>202311</v>
      </c>
      <c r="B1859" s="6">
        <v>45236</v>
      </c>
      <c r="C1859" t="s">
        <v>4145</v>
      </c>
      <c r="D1859" t="s">
        <v>684</v>
      </c>
      <c r="E1859">
        <v>36.700000000000003</v>
      </c>
      <c r="F1859" t="s">
        <v>28</v>
      </c>
    </row>
    <row r="1860" spans="1:6">
      <c r="A1860">
        <v>202311</v>
      </c>
      <c r="B1860" s="6">
        <v>45236</v>
      </c>
      <c r="C1860" t="s">
        <v>5013</v>
      </c>
      <c r="D1860" t="s">
        <v>684</v>
      </c>
      <c r="E1860">
        <v>26.64</v>
      </c>
      <c r="F1860" t="s">
        <v>28</v>
      </c>
    </row>
    <row r="1861" spans="1:6">
      <c r="A1861">
        <v>202311</v>
      </c>
      <c r="B1861" s="6">
        <v>45236</v>
      </c>
      <c r="C1861" t="s">
        <v>5013</v>
      </c>
      <c r="D1861" t="s">
        <v>703</v>
      </c>
      <c r="E1861">
        <v>11.2</v>
      </c>
      <c r="F1861" t="s">
        <v>9</v>
      </c>
    </row>
    <row r="1862" spans="1:6">
      <c r="A1862">
        <v>202311</v>
      </c>
      <c r="B1862" s="6">
        <v>45236</v>
      </c>
      <c r="C1862" t="s">
        <v>5013</v>
      </c>
      <c r="D1862" t="s">
        <v>703</v>
      </c>
      <c r="E1862">
        <v>11.2</v>
      </c>
      <c r="F1862" t="s">
        <v>9</v>
      </c>
    </row>
    <row r="1863" spans="1:6">
      <c r="A1863">
        <v>202311</v>
      </c>
      <c r="B1863" s="6">
        <v>45236</v>
      </c>
      <c r="C1863" t="s">
        <v>2519</v>
      </c>
      <c r="D1863" t="s">
        <v>1458</v>
      </c>
      <c r="E1863">
        <v>594.27</v>
      </c>
      <c r="F1863" t="s">
        <v>9</v>
      </c>
    </row>
    <row r="1864" spans="1:6">
      <c r="A1864">
        <v>202311</v>
      </c>
      <c r="B1864" s="6">
        <v>45236</v>
      </c>
      <c r="C1864" t="s">
        <v>2519</v>
      </c>
      <c r="D1864" t="s">
        <v>4523</v>
      </c>
      <c r="E1864">
        <v>271.64999999999998</v>
      </c>
      <c r="F1864" t="s">
        <v>21</v>
      </c>
    </row>
    <row r="1865" spans="1:6">
      <c r="A1865">
        <v>202311</v>
      </c>
      <c r="B1865" s="6">
        <v>45237</v>
      </c>
      <c r="C1865" t="s">
        <v>3932</v>
      </c>
      <c r="D1865" t="s">
        <v>38</v>
      </c>
      <c r="E1865">
        <v>17.329999999999998</v>
      </c>
      <c r="F1865" t="s">
        <v>38</v>
      </c>
    </row>
    <row r="1866" spans="1:6">
      <c r="A1866">
        <v>202311</v>
      </c>
      <c r="B1866" s="6">
        <v>45237</v>
      </c>
      <c r="C1866" t="s">
        <v>5013</v>
      </c>
      <c r="D1866" t="s">
        <v>684</v>
      </c>
      <c r="E1866">
        <v>2.57</v>
      </c>
      <c r="F1866" t="s">
        <v>28</v>
      </c>
    </row>
    <row r="1867" spans="1:6">
      <c r="A1867">
        <v>202311</v>
      </c>
      <c r="B1867" s="6">
        <v>45237</v>
      </c>
      <c r="C1867" t="s">
        <v>5013</v>
      </c>
      <c r="D1867" t="s">
        <v>1083</v>
      </c>
      <c r="E1867">
        <v>51.18</v>
      </c>
      <c r="F1867" t="s">
        <v>23</v>
      </c>
    </row>
    <row r="1868" spans="1:6">
      <c r="A1868">
        <v>202311</v>
      </c>
      <c r="B1868" s="6">
        <v>45237</v>
      </c>
      <c r="C1868" t="s">
        <v>2519</v>
      </c>
      <c r="D1868" t="s">
        <v>1469</v>
      </c>
      <c r="E1868">
        <v>180.85</v>
      </c>
      <c r="F1868" t="s">
        <v>7</v>
      </c>
    </row>
    <row r="1869" spans="1:6">
      <c r="A1869">
        <v>202311</v>
      </c>
      <c r="B1869" s="6">
        <v>45237</v>
      </c>
      <c r="C1869" t="s">
        <v>4152</v>
      </c>
      <c r="D1869" t="s">
        <v>1621</v>
      </c>
      <c r="E1869">
        <v>285.49</v>
      </c>
      <c r="F1869" t="s">
        <v>21</v>
      </c>
    </row>
    <row r="1870" spans="1:6">
      <c r="A1870">
        <v>202311</v>
      </c>
      <c r="B1870" s="6">
        <v>45237</v>
      </c>
      <c r="C1870" t="s">
        <v>2519</v>
      </c>
      <c r="D1870" t="s">
        <v>1958</v>
      </c>
      <c r="E1870">
        <v>125</v>
      </c>
      <c r="F1870" t="s">
        <v>21</v>
      </c>
    </row>
    <row r="1871" spans="1:6">
      <c r="A1871">
        <v>202311</v>
      </c>
      <c r="B1871" s="6">
        <v>45237</v>
      </c>
      <c r="C1871" t="s">
        <v>2519</v>
      </c>
      <c r="D1871" t="s">
        <v>5017</v>
      </c>
      <c r="E1871">
        <v>330</v>
      </c>
      <c r="F1871" t="s">
        <v>20</v>
      </c>
    </row>
    <row r="1872" spans="1:6">
      <c r="A1872">
        <v>202311</v>
      </c>
      <c r="B1872" s="6">
        <v>45238</v>
      </c>
      <c r="C1872" t="s">
        <v>3932</v>
      </c>
      <c r="D1872" t="s">
        <v>38</v>
      </c>
      <c r="E1872">
        <v>7.58</v>
      </c>
      <c r="F1872" t="s">
        <v>38</v>
      </c>
    </row>
    <row r="1873" spans="1:6">
      <c r="A1873">
        <v>202311</v>
      </c>
      <c r="B1873" s="6">
        <v>45238</v>
      </c>
      <c r="C1873" t="s">
        <v>3932</v>
      </c>
      <c r="D1873" t="s">
        <v>38</v>
      </c>
      <c r="E1873">
        <v>5.36</v>
      </c>
      <c r="F1873" t="s">
        <v>38</v>
      </c>
    </row>
    <row r="1874" spans="1:6">
      <c r="A1874">
        <v>202311</v>
      </c>
      <c r="B1874" s="6">
        <v>45239</v>
      </c>
      <c r="C1874" t="s">
        <v>2519</v>
      </c>
      <c r="D1874" t="s">
        <v>404</v>
      </c>
      <c r="E1874">
        <v>-3828.79</v>
      </c>
      <c r="F1874" t="s">
        <v>66</v>
      </c>
    </row>
    <row r="1875" spans="1:6">
      <c r="A1875">
        <v>202311</v>
      </c>
      <c r="B1875" s="6">
        <v>45239</v>
      </c>
      <c r="C1875" t="s">
        <v>5013</v>
      </c>
      <c r="D1875" t="s">
        <v>5018</v>
      </c>
      <c r="E1875">
        <v>5.82</v>
      </c>
      <c r="F1875" t="s">
        <v>9</v>
      </c>
    </row>
    <row r="1876" spans="1:6">
      <c r="A1876">
        <v>202311</v>
      </c>
      <c r="B1876" s="6">
        <v>45239</v>
      </c>
      <c r="C1876" t="s">
        <v>4143</v>
      </c>
      <c r="D1876" t="s">
        <v>1477</v>
      </c>
      <c r="E1876">
        <v>47.69</v>
      </c>
      <c r="F1876" t="s">
        <v>34</v>
      </c>
    </row>
    <row r="1877" spans="1:6">
      <c r="A1877">
        <v>202311</v>
      </c>
      <c r="B1877" s="6">
        <v>45239</v>
      </c>
      <c r="C1877" t="s">
        <v>4141</v>
      </c>
      <c r="D1877" t="s">
        <v>5019</v>
      </c>
      <c r="E1877">
        <v>-32</v>
      </c>
      <c r="F1877" t="s">
        <v>21</v>
      </c>
    </row>
    <row r="1878" spans="1:6">
      <c r="A1878">
        <v>202311</v>
      </c>
      <c r="B1878" s="6">
        <v>45240</v>
      </c>
      <c r="C1878" t="s">
        <v>3932</v>
      </c>
      <c r="D1878" t="s">
        <v>38</v>
      </c>
      <c r="E1878">
        <v>26</v>
      </c>
      <c r="F1878" t="s">
        <v>38</v>
      </c>
    </row>
    <row r="1879" spans="1:6">
      <c r="A1879">
        <v>202311</v>
      </c>
      <c r="B1879" s="6">
        <v>45240</v>
      </c>
      <c r="C1879" t="s">
        <v>5013</v>
      </c>
      <c r="D1879" t="s">
        <v>5020</v>
      </c>
      <c r="E1879">
        <v>31.03</v>
      </c>
      <c r="F1879" t="s">
        <v>40</v>
      </c>
    </row>
    <row r="1880" spans="1:6">
      <c r="A1880">
        <v>202311</v>
      </c>
      <c r="B1880" s="6">
        <v>45240</v>
      </c>
      <c r="C1880" t="s">
        <v>4169</v>
      </c>
      <c r="D1880" t="s">
        <v>648</v>
      </c>
      <c r="E1880">
        <v>-43</v>
      </c>
      <c r="F1880" t="s">
        <v>28</v>
      </c>
    </row>
    <row r="1881" spans="1:6">
      <c r="A1881">
        <v>202311</v>
      </c>
      <c r="B1881" s="6">
        <v>45240</v>
      </c>
      <c r="C1881" t="s">
        <v>4148</v>
      </c>
      <c r="D1881" t="s">
        <v>673</v>
      </c>
      <c r="E1881">
        <v>-543.98</v>
      </c>
      <c r="F1881" t="s">
        <v>9</v>
      </c>
    </row>
    <row r="1882" spans="1:6">
      <c r="A1882">
        <v>202311</v>
      </c>
      <c r="B1882" s="6">
        <v>45240</v>
      </c>
      <c r="C1882" t="s">
        <v>5013</v>
      </c>
      <c r="D1882" t="s">
        <v>684</v>
      </c>
      <c r="E1882">
        <v>47.55</v>
      </c>
      <c r="F1882" t="s">
        <v>28</v>
      </c>
    </row>
    <row r="1883" spans="1:6">
      <c r="A1883">
        <v>202311</v>
      </c>
      <c r="B1883" s="6">
        <v>45240</v>
      </c>
      <c r="C1883" t="s">
        <v>5013</v>
      </c>
      <c r="D1883" t="s">
        <v>5021</v>
      </c>
      <c r="E1883">
        <v>22.49</v>
      </c>
      <c r="F1883" t="s">
        <v>26</v>
      </c>
    </row>
    <row r="1884" spans="1:6">
      <c r="A1884">
        <v>202311</v>
      </c>
      <c r="B1884" s="6">
        <v>45240</v>
      </c>
      <c r="C1884" t="s">
        <v>4150</v>
      </c>
      <c r="D1884" t="s">
        <v>2078</v>
      </c>
      <c r="E1884">
        <v>40.93</v>
      </c>
      <c r="F1884" t="s">
        <v>23</v>
      </c>
    </row>
    <row r="1885" spans="1:6">
      <c r="A1885">
        <v>202311</v>
      </c>
      <c r="B1885" s="6">
        <v>45240</v>
      </c>
      <c r="C1885" t="s">
        <v>2519</v>
      </c>
      <c r="D1885" t="s">
        <v>4293</v>
      </c>
      <c r="E1885">
        <v>543.98</v>
      </c>
      <c r="F1885" t="s">
        <v>9</v>
      </c>
    </row>
    <row r="1886" spans="1:6">
      <c r="A1886">
        <v>202311</v>
      </c>
      <c r="B1886" s="6">
        <v>45241</v>
      </c>
      <c r="C1886" t="s">
        <v>5013</v>
      </c>
      <c r="D1886" t="s">
        <v>5022</v>
      </c>
      <c r="E1886">
        <v>-200</v>
      </c>
      <c r="F1886" t="s">
        <v>7</v>
      </c>
    </row>
    <row r="1887" spans="1:6">
      <c r="A1887">
        <v>202311</v>
      </c>
      <c r="B1887" s="6">
        <v>45242</v>
      </c>
      <c r="C1887" t="s">
        <v>4156</v>
      </c>
      <c r="D1887" t="s">
        <v>5023</v>
      </c>
      <c r="E1887">
        <v>64.27</v>
      </c>
      <c r="F1887" t="s">
        <v>28</v>
      </c>
    </row>
    <row r="1888" spans="1:6">
      <c r="A1888">
        <v>202311</v>
      </c>
      <c r="B1888" s="6">
        <v>45242</v>
      </c>
      <c r="C1888" t="s">
        <v>5013</v>
      </c>
      <c r="D1888" t="s">
        <v>5024</v>
      </c>
      <c r="E1888">
        <v>8.98</v>
      </c>
      <c r="F1888" t="s">
        <v>28</v>
      </c>
    </row>
    <row r="1889" spans="1:6">
      <c r="A1889">
        <v>202311</v>
      </c>
      <c r="B1889" s="6">
        <v>45242</v>
      </c>
      <c r="C1889" t="s">
        <v>5013</v>
      </c>
      <c r="D1889" t="s">
        <v>5025</v>
      </c>
      <c r="E1889">
        <v>4.32</v>
      </c>
      <c r="F1889" t="s">
        <v>23</v>
      </c>
    </row>
    <row r="1890" spans="1:6">
      <c r="A1890">
        <v>202311</v>
      </c>
      <c r="B1890" s="6">
        <v>45242</v>
      </c>
      <c r="C1890" t="s">
        <v>4160</v>
      </c>
      <c r="D1890" t="s">
        <v>4868</v>
      </c>
      <c r="E1890">
        <v>5.99</v>
      </c>
      <c r="F1890" t="s">
        <v>40</v>
      </c>
    </row>
    <row r="1891" spans="1:6">
      <c r="A1891">
        <v>202311</v>
      </c>
      <c r="B1891" s="6">
        <v>45242</v>
      </c>
      <c r="C1891" t="s">
        <v>4158</v>
      </c>
      <c r="D1891" t="s">
        <v>1350</v>
      </c>
      <c r="E1891">
        <v>25.6</v>
      </c>
      <c r="F1891" t="s">
        <v>7</v>
      </c>
    </row>
    <row r="1892" spans="1:6">
      <c r="A1892">
        <v>202311</v>
      </c>
      <c r="B1892" s="6">
        <v>45243</v>
      </c>
      <c r="C1892" t="s">
        <v>4164</v>
      </c>
      <c r="D1892" t="s">
        <v>2594</v>
      </c>
      <c r="E1892">
        <v>134.01</v>
      </c>
      <c r="F1892" t="s">
        <v>26</v>
      </c>
    </row>
    <row r="1893" spans="1:6">
      <c r="A1893">
        <v>202311</v>
      </c>
      <c r="B1893" s="6">
        <v>45243</v>
      </c>
      <c r="C1893" t="s">
        <v>5013</v>
      </c>
      <c r="D1893" t="s">
        <v>5026</v>
      </c>
      <c r="E1893">
        <v>33.700000000000003</v>
      </c>
      <c r="F1893" t="s">
        <v>23</v>
      </c>
    </row>
    <row r="1894" spans="1:6">
      <c r="A1894">
        <v>202311</v>
      </c>
      <c r="B1894" s="6">
        <v>45243</v>
      </c>
      <c r="C1894" t="s">
        <v>5013</v>
      </c>
      <c r="D1894" t="s">
        <v>5027</v>
      </c>
      <c r="E1894">
        <v>3.73</v>
      </c>
      <c r="F1894" t="s">
        <v>26</v>
      </c>
    </row>
    <row r="1895" spans="1:6">
      <c r="A1895">
        <v>202311</v>
      </c>
      <c r="B1895" s="6">
        <v>45243</v>
      </c>
      <c r="C1895" t="s">
        <v>5013</v>
      </c>
      <c r="D1895" t="s">
        <v>5028</v>
      </c>
      <c r="E1895">
        <v>27.45</v>
      </c>
      <c r="F1895" t="s">
        <v>9</v>
      </c>
    </row>
    <row r="1896" spans="1:6">
      <c r="A1896">
        <v>202311</v>
      </c>
      <c r="B1896" s="6">
        <v>45243</v>
      </c>
      <c r="C1896" t="s">
        <v>5013</v>
      </c>
      <c r="D1896" t="s">
        <v>5029</v>
      </c>
      <c r="E1896">
        <v>4.1500000000000004</v>
      </c>
      <c r="F1896" t="s">
        <v>26</v>
      </c>
    </row>
    <row r="1897" spans="1:6">
      <c r="A1897">
        <v>202311</v>
      </c>
      <c r="B1897" s="6">
        <v>45243</v>
      </c>
      <c r="C1897" t="s">
        <v>4167</v>
      </c>
      <c r="D1897" t="s">
        <v>1462</v>
      </c>
      <c r="E1897">
        <v>45</v>
      </c>
      <c r="F1897" t="s">
        <v>7</v>
      </c>
    </row>
    <row r="1898" spans="1:6">
      <c r="A1898">
        <v>202311</v>
      </c>
      <c r="B1898" s="6">
        <v>45243</v>
      </c>
      <c r="C1898" t="s">
        <v>5013</v>
      </c>
      <c r="D1898" t="s">
        <v>5030</v>
      </c>
      <c r="E1898">
        <v>144.71</v>
      </c>
      <c r="F1898" t="s">
        <v>21</v>
      </c>
    </row>
    <row r="1899" spans="1:6">
      <c r="A1899">
        <v>202311</v>
      </c>
      <c r="B1899" s="6">
        <v>45243</v>
      </c>
      <c r="C1899" t="s">
        <v>5013</v>
      </c>
      <c r="D1899" t="s">
        <v>5031</v>
      </c>
      <c r="E1899">
        <v>95.85</v>
      </c>
      <c r="F1899" t="s">
        <v>26</v>
      </c>
    </row>
    <row r="1900" spans="1:6">
      <c r="A1900">
        <v>202311</v>
      </c>
      <c r="B1900" s="6">
        <v>45244</v>
      </c>
      <c r="C1900" t="s">
        <v>5013</v>
      </c>
      <c r="D1900" t="s">
        <v>5032</v>
      </c>
      <c r="E1900">
        <v>897.45</v>
      </c>
      <c r="F1900" t="s">
        <v>9</v>
      </c>
    </row>
    <row r="1901" spans="1:6">
      <c r="A1901">
        <v>202311</v>
      </c>
      <c r="B1901" s="6">
        <v>45244</v>
      </c>
      <c r="C1901" t="s">
        <v>3932</v>
      </c>
      <c r="D1901" t="s">
        <v>38</v>
      </c>
      <c r="E1901">
        <v>-0.81</v>
      </c>
      <c r="F1901" t="s">
        <v>38</v>
      </c>
    </row>
    <row r="1902" spans="1:6">
      <c r="A1902">
        <v>202311</v>
      </c>
      <c r="B1902" s="6">
        <v>45244</v>
      </c>
      <c r="C1902" t="s">
        <v>5013</v>
      </c>
      <c r="D1902" t="s">
        <v>684</v>
      </c>
      <c r="E1902">
        <v>17.43</v>
      </c>
      <c r="F1902" t="s">
        <v>28</v>
      </c>
    </row>
    <row r="1903" spans="1:6">
      <c r="A1903">
        <v>202311</v>
      </c>
      <c r="B1903" s="6">
        <v>45244</v>
      </c>
      <c r="C1903" t="s">
        <v>2519</v>
      </c>
      <c r="D1903" t="s">
        <v>4356</v>
      </c>
      <c r="E1903">
        <v>116.77</v>
      </c>
      <c r="F1903" t="s">
        <v>18</v>
      </c>
    </row>
    <row r="1904" spans="1:6">
      <c r="A1904">
        <v>202311</v>
      </c>
      <c r="B1904" s="6">
        <v>45244</v>
      </c>
      <c r="C1904" t="s">
        <v>2519</v>
      </c>
      <c r="D1904" t="s">
        <v>4343</v>
      </c>
      <c r="E1904">
        <v>-3518.6</v>
      </c>
      <c r="F1904" t="s">
        <v>64</v>
      </c>
    </row>
    <row r="1905" spans="1:6">
      <c r="A1905">
        <v>202311</v>
      </c>
      <c r="B1905" s="6">
        <v>45244</v>
      </c>
      <c r="C1905" t="s">
        <v>2519</v>
      </c>
      <c r="D1905" t="s">
        <v>5033</v>
      </c>
      <c r="E1905">
        <v>100</v>
      </c>
      <c r="F1905" t="s">
        <v>9</v>
      </c>
    </row>
    <row r="1906" spans="1:6">
      <c r="A1906">
        <v>202311</v>
      </c>
      <c r="B1906" s="6">
        <v>45244</v>
      </c>
      <c r="C1906" t="s">
        <v>2519</v>
      </c>
      <c r="D1906" t="s">
        <v>1958</v>
      </c>
      <c r="E1906">
        <v>175</v>
      </c>
      <c r="F1906" t="s">
        <v>21</v>
      </c>
    </row>
    <row r="1907" spans="1:6">
      <c r="A1907">
        <v>202311</v>
      </c>
      <c r="B1907" s="6">
        <v>45244</v>
      </c>
      <c r="C1907" t="s">
        <v>2519</v>
      </c>
      <c r="D1907" t="s">
        <v>1958</v>
      </c>
      <c r="E1907">
        <v>137.53</v>
      </c>
      <c r="F1907" t="s">
        <v>21</v>
      </c>
    </row>
    <row r="1908" spans="1:6">
      <c r="A1908">
        <v>202311</v>
      </c>
      <c r="B1908" s="6">
        <v>45245</v>
      </c>
      <c r="C1908" t="s">
        <v>3932</v>
      </c>
      <c r="D1908" t="s">
        <v>38</v>
      </c>
      <c r="E1908">
        <v>24.25</v>
      </c>
      <c r="F1908" t="s">
        <v>38</v>
      </c>
    </row>
    <row r="1909" spans="1:6">
      <c r="A1909">
        <v>202311</v>
      </c>
      <c r="B1909" s="6">
        <v>45245</v>
      </c>
      <c r="C1909" t="s">
        <v>4172</v>
      </c>
      <c r="D1909" t="s">
        <v>851</v>
      </c>
      <c r="E1909">
        <v>263.37</v>
      </c>
      <c r="F1909" t="s">
        <v>20</v>
      </c>
    </row>
    <row r="1910" spans="1:6">
      <c r="A1910">
        <v>202311</v>
      </c>
      <c r="B1910" s="6">
        <v>45245</v>
      </c>
      <c r="C1910" t="s">
        <v>2519</v>
      </c>
      <c r="D1910" t="s">
        <v>1955</v>
      </c>
      <c r="E1910">
        <v>350</v>
      </c>
      <c r="F1910" t="s">
        <v>21</v>
      </c>
    </row>
    <row r="1911" spans="1:6">
      <c r="A1911">
        <v>202311</v>
      </c>
      <c r="B1911" s="6">
        <v>45245</v>
      </c>
      <c r="C1911" t="s">
        <v>4174</v>
      </c>
      <c r="D1911" t="s">
        <v>2078</v>
      </c>
      <c r="E1911">
        <v>27.34</v>
      </c>
      <c r="F1911" t="s">
        <v>23</v>
      </c>
    </row>
    <row r="1912" spans="1:6">
      <c r="A1912">
        <v>202311</v>
      </c>
      <c r="B1912" s="6">
        <v>45245</v>
      </c>
      <c r="C1912" t="s">
        <v>2519</v>
      </c>
      <c r="D1912" t="s">
        <v>5034</v>
      </c>
      <c r="E1912">
        <v>330</v>
      </c>
      <c r="F1912" t="s">
        <v>20</v>
      </c>
    </row>
    <row r="1913" spans="1:6">
      <c r="A1913">
        <v>202311</v>
      </c>
      <c r="B1913" s="6">
        <v>45246</v>
      </c>
      <c r="C1913" t="s">
        <v>5013</v>
      </c>
      <c r="D1913" t="s">
        <v>5035</v>
      </c>
      <c r="E1913">
        <v>65.08</v>
      </c>
      <c r="F1913" t="s">
        <v>26</v>
      </c>
    </row>
    <row r="1914" spans="1:6">
      <c r="A1914">
        <v>202311</v>
      </c>
      <c r="B1914" s="6">
        <v>45246</v>
      </c>
      <c r="C1914" t="s">
        <v>5013</v>
      </c>
      <c r="D1914" t="s">
        <v>5036</v>
      </c>
      <c r="E1914">
        <v>4</v>
      </c>
      <c r="F1914" t="s">
        <v>7</v>
      </c>
    </row>
    <row r="1915" spans="1:6">
      <c r="A1915">
        <v>202311</v>
      </c>
      <c r="B1915" s="6">
        <v>45246</v>
      </c>
      <c r="C1915" t="s">
        <v>5013</v>
      </c>
      <c r="D1915" t="s">
        <v>4829</v>
      </c>
      <c r="E1915">
        <v>114</v>
      </c>
      <c r="F1915" t="s">
        <v>9</v>
      </c>
    </row>
    <row r="1916" spans="1:6">
      <c r="A1916">
        <v>202311</v>
      </c>
      <c r="B1916" s="6">
        <v>45246</v>
      </c>
      <c r="C1916" t="s">
        <v>5013</v>
      </c>
      <c r="D1916" t="s">
        <v>5037</v>
      </c>
      <c r="E1916">
        <v>41.38</v>
      </c>
      <c r="F1916" t="s">
        <v>26</v>
      </c>
    </row>
    <row r="1917" spans="1:6">
      <c r="A1917">
        <v>202311</v>
      </c>
      <c r="B1917" s="6">
        <v>45247</v>
      </c>
      <c r="C1917" t="s">
        <v>5013</v>
      </c>
      <c r="D1917" t="s">
        <v>5032</v>
      </c>
      <c r="E1917">
        <v>0.03</v>
      </c>
      <c r="F1917" t="s">
        <v>9</v>
      </c>
    </row>
    <row r="1918" spans="1:6">
      <c r="A1918">
        <v>202311</v>
      </c>
      <c r="B1918" s="6">
        <v>45247</v>
      </c>
      <c r="C1918" t="s">
        <v>5013</v>
      </c>
      <c r="D1918" t="s">
        <v>5038</v>
      </c>
      <c r="E1918">
        <v>459.87</v>
      </c>
      <c r="F1918" t="s">
        <v>43</v>
      </c>
    </row>
    <row r="1919" spans="1:6">
      <c r="A1919">
        <v>202311</v>
      </c>
      <c r="B1919" s="6">
        <v>45247</v>
      </c>
      <c r="C1919" t="s">
        <v>4180</v>
      </c>
      <c r="D1919" t="s">
        <v>1664</v>
      </c>
      <c r="E1919">
        <v>177.19</v>
      </c>
      <c r="F1919" t="s">
        <v>45</v>
      </c>
    </row>
    <row r="1920" spans="1:6">
      <c r="A1920">
        <v>202311</v>
      </c>
      <c r="B1920" s="6">
        <v>45247</v>
      </c>
      <c r="C1920" t="s">
        <v>5013</v>
      </c>
      <c r="D1920" t="s">
        <v>5005</v>
      </c>
      <c r="E1920">
        <v>-570</v>
      </c>
      <c r="F1920" t="s">
        <v>21</v>
      </c>
    </row>
    <row r="1921" spans="1:6">
      <c r="A1921">
        <v>202311</v>
      </c>
      <c r="B1921" s="6">
        <v>45247</v>
      </c>
      <c r="C1921" t="s">
        <v>5013</v>
      </c>
      <c r="D1921" t="s">
        <v>5039</v>
      </c>
      <c r="E1921">
        <v>5.18</v>
      </c>
      <c r="F1921" t="s">
        <v>26</v>
      </c>
    </row>
    <row r="1922" spans="1:6">
      <c r="A1922">
        <v>202311</v>
      </c>
      <c r="B1922" s="6">
        <v>45247</v>
      </c>
      <c r="C1922" t="s">
        <v>4176</v>
      </c>
      <c r="D1922" t="s">
        <v>2078</v>
      </c>
      <c r="E1922">
        <v>34.56</v>
      </c>
      <c r="F1922" t="s">
        <v>23</v>
      </c>
    </row>
    <row r="1923" spans="1:6">
      <c r="A1923">
        <v>202311</v>
      </c>
      <c r="B1923" s="6">
        <v>45248</v>
      </c>
      <c r="C1923" t="s">
        <v>5013</v>
      </c>
      <c r="D1923" t="s">
        <v>703</v>
      </c>
      <c r="E1923">
        <v>1076.4000000000001</v>
      </c>
      <c r="F1923" t="s">
        <v>9</v>
      </c>
    </row>
    <row r="1924" spans="1:6">
      <c r="A1924">
        <v>202311</v>
      </c>
      <c r="B1924" s="6">
        <v>45249</v>
      </c>
      <c r="C1924" t="s">
        <v>5013</v>
      </c>
      <c r="D1924" t="s">
        <v>5040</v>
      </c>
      <c r="E1924">
        <v>6</v>
      </c>
      <c r="F1924" t="s">
        <v>23</v>
      </c>
    </row>
    <row r="1925" spans="1:6">
      <c r="A1925">
        <v>202311</v>
      </c>
      <c r="B1925" s="6">
        <v>45249</v>
      </c>
      <c r="C1925" t="s">
        <v>5013</v>
      </c>
      <c r="D1925" t="s">
        <v>4093</v>
      </c>
      <c r="E1925">
        <v>45.17</v>
      </c>
      <c r="F1925" t="s">
        <v>28</v>
      </c>
    </row>
    <row r="1926" spans="1:6">
      <c r="A1926">
        <v>202311</v>
      </c>
      <c r="B1926" s="6">
        <v>45249</v>
      </c>
      <c r="C1926" t="s">
        <v>4178</v>
      </c>
      <c r="D1926" t="s">
        <v>1168</v>
      </c>
      <c r="E1926">
        <v>54.81</v>
      </c>
      <c r="F1926" t="s">
        <v>23</v>
      </c>
    </row>
    <row r="1927" spans="1:6">
      <c r="A1927">
        <v>202311</v>
      </c>
      <c r="B1927" s="6">
        <v>45249</v>
      </c>
      <c r="C1927" t="s">
        <v>4188</v>
      </c>
      <c r="D1927" t="s">
        <v>1380</v>
      </c>
      <c r="E1927">
        <v>58.64</v>
      </c>
      <c r="F1927" t="s">
        <v>26</v>
      </c>
    </row>
    <row r="1928" spans="1:6">
      <c r="A1928">
        <v>202311</v>
      </c>
      <c r="B1928" s="6">
        <v>45250</v>
      </c>
      <c r="C1928" t="s">
        <v>3932</v>
      </c>
      <c r="D1928" t="s">
        <v>38</v>
      </c>
      <c r="E1928">
        <v>62.48</v>
      </c>
      <c r="F1928" t="s">
        <v>38</v>
      </c>
    </row>
    <row r="1929" spans="1:6">
      <c r="A1929">
        <v>202311</v>
      </c>
      <c r="B1929" s="6">
        <v>45250</v>
      </c>
      <c r="C1929" t="s">
        <v>2519</v>
      </c>
      <c r="D1929" t="s">
        <v>4283</v>
      </c>
      <c r="E1929">
        <v>-91.38</v>
      </c>
      <c r="F1929" t="s">
        <v>66</v>
      </c>
    </row>
    <row r="1930" spans="1:6">
      <c r="A1930">
        <v>202311</v>
      </c>
      <c r="B1930" s="6">
        <v>45250</v>
      </c>
      <c r="C1930" t="s">
        <v>5013</v>
      </c>
      <c r="D1930" t="s">
        <v>684</v>
      </c>
      <c r="E1930">
        <v>71.17</v>
      </c>
      <c r="F1930" t="s">
        <v>28</v>
      </c>
    </row>
    <row r="1931" spans="1:6">
      <c r="A1931">
        <v>202311</v>
      </c>
      <c r="B1931" s="6">
        <v>45250</v>
      </c>
      <c r="C1931" t="s">
        <v>4186</v>
      </c>
      <c r="D1931" t="s">
        <v>4899</v>
      </c>
      <c r="E1931">
        <v>0.49</v>
      </c>
      <c r="F1931" t="s">
        <v>7</v>
      </c>
    </row>
    <row r="1932" spans="1:6">
      <c r="A1932">
        <v>202311</v>
      </c>
      <c r="B1932" s="6">
        <v>45250</v>
      </c>
      <c r="C1932" t="s">
        <v>5013</v>
      </c>
      <c r="D1932" t="s">
        <v>5041</v>
      </c>
      <c r="E1932">
        <v>76.05</v>
      </c>
      <c r="F1932" t="s">
        <v>21</v>
      </c>
    </row>
    <row r="1933" spans="1:6">
      <c r="A1933">
        <v>202311</v>
      </c>
      <c r="B1933" s="6">
        <v>45250</v>
      </c>
      <c r="C1933" t="s">
        <v>2519</v>
      </c>
      <c r="D1933" t="s">
        <v>1955</v>
      </c>
      <c r="E1933">
        <v>19.399999999999999</v>
      </c>
      <c r="F1933" t="s">
        <v>21</v>
      </c>
    </row>
    <row r="1934" spans="1:6">
      <c r="A1934">
        <v>202311</v>
      </c>
      <c r="B1934" s="6">
        <v>45250</v>
      </c>
      <c r="C1934" t="s">
        <v>2519</v>
      </c>
      <c r="D1934" t="s">
        <v>1955</v>
      </c>
      <c r="E1934">
        <v>2.99</v>
      </c>
      <c r="F1934" t="s">
        <v>21</v>
      </c>
    </row>
    <row r="1935" spans="1:6">
      <c r="A1935">
        <v>202311</v>
      </c>
      <c r="B1935" s="6">
        <v>45250</v>
      </c>
      <c r="C1935" t="s">
        <v>2519</v>
      </c>
      <c r="D1935" t="s">
        <v>1958</v>
      </c>
      <c r="E1935">
        <v>148.75</v>
      </c>
      <c r="F1935" t="s">
        <v>21</v>
      </c>
    </row>
    <row r="1936" spans="1:6">
      <c r="A1936">
        <v>202311</v>
      </c>
      <c r="B1936" s="6">
        <v>45250</v>
      </c>
      <c r="C1936" t="s">
        <v>2519</v>
      </c>
      <c r="D1936" t="s">
        <v>5042</v>
      </c>
      <c r="E1936">
        <v>650</v>
      </c>
      <c r="F1936" t="s">
        <v>61</v>
      </c>
    </row>
    <row r="1937" spans="1:6">
      <c r="A1937">
        <v>202311</v>
      </c>
      <c r="B1937" s="6">
        <v>45251</v>
      </c>
      <c r="C1937" t="s">
        <v>3932</v>
      </c>
      <c r="D1937" t="s">
        <v>38</v>
      </c>
      <c r="E1937">
        <v>25.03</v>
      </c>
      <c r="F1937" t="s">
        <v>38</v>
      </c>
    </row>
    <row r="1938" spans="1:6">
      <c r="A1938">
        <v>202311</v>
      </c>
      <c r="B1938" s="6">
        <v>45251</v>
      </c>
      <c r="C1938" t="s">
        <v>3932</v>
      </c>
      <c r="D1938" t="s">
        <v>38</v>
      </c>
      <c r="E1938">
        <v>221.18</v>
      </c>
      <c r="F1938" t="s">
        <v>38</v>
      </c>
    </row>
    <row r="1939" spans="1:6">
      <c r="A1939">
        <v>202311</v>
      </c>
      <c r="B1939" s="6">
        <v>45251</v>
      </c>
      <c r="C1939" t="s">
        <v>4192</v>
      </c>
      <c r="D1939" t="s">
        <v>5043</v>
      </c>
      <c r="E1939">
        <v>11</v>
      </c>
      <c r="F1939" t="s">
        <v>2</v>
      </c>
    </row>
    <row r="1940" spans="1:6">
      <c r="A1940">
        <v>202311</v>
      </c>
      <c r="B1940" s="6">
        <v>45251</v>
      </c>
      <c r="C1940" t="s">
        <v>5013</v>
      </c>
      <c r="D1940" t="s">
        <v>3998</v>
      </c>
      <c r="E1940">
        <v>108.59</v>
      </c>
      <c r="F1940" t="s">
        <v>28</v>
      </c>
    </row>
    <row r="1941" spans="1:6">
      <c r="A1941">
        <v>202311</v>
      </c>
      <c r="B1941" s="6">
        <v>45251</v>
      </c>
      <c r="C1941" t="s">
        <v>2519</v>
      </c>
      <c r="D1941" t="s">
        <v>5044</v>
      </c>
      <c r="E1941">
        <v>60.12</v>
      </c>
      <c r="F1941" t="s">
        <v>7</v>
      </c>
    </row>
    <row r="1942" spans="1:6">
      <c r="A1942">
        <v>202311</v>
      </c>
      <c r="B1942" s="6">
        <v>45251</v>
      </c>
      <c r="C1942" t="s">
        <v>2519</v>
      </c>
      <c r="D1942" t="s">
        <v>5045</v>
      </c>
      <c r="E1942">
        <v>330</v>
      </c>
      <c r="F1942" t="s">
        <v>20</v>
      </c>
    </row>
    <row r="1943" spans="1:6">
      <c r="A1943">
        <v>202311</v>
      </c>
      <c r="B1943" s="6">
        <v>45252</v>
      </c>
      <c r="C1943" t="s">
        <v>3932</v>
      </c>
      <c r="D1943" t="s">
        <v>38</v>
      </c>
      <c r="E1943">
        <v>10.83</v>
      </c>
      <c r="F1943" t="s">
        <v>38</v>
      </c>
    </row>
    <row r="1944" spans="1:6">
      <c r="A1944">
        <v>202311</v>
      </c>
      <c r="B1944" s="6">
        <v>45252</v>
      </c>
      <c r="C1944" t="s">
        <v>3932</v>
      </c>
      <c r="D1944" t="s">
        <v>38</v>
      </c>
      <c r="E1944">
        <v>8.66</v>
      </c>
      <c r="F1944" t="s">
        <v>38</v>
      </c>
    </row>
    <row r="1945" spans="1:6">
      <c r="A1945">
        <v>202311</v>
      </c>
      <c r="B1945" s="6">
        <v>45252</v>
      </c>
      <c r="C1945" t="s">
        <v>4225</v>
      </c>
      <c r="D1945" t="s">
        <v>5046</v>
      </c>
      <c r="E1945">
        <v>42.8</v>
      </c>
      <c r="F1945" t="s">
        <v>38</v>
      </c>
    </row>
    <row r="1946" spans="1:6">
      <c r="A1946">
        <v>202311</v>
      </c>
      <c r="B1946" s="6">
        <v>45252</v>
      </c>
      <c r="C1946" t="s">
        <v>4207</v>
      </c>
      <c r="D1946" t="s">
        <v>5047</v>
      </c>
      <c r="E1946">
        <v>117.99</v>
      </c>
      <c r="F1946" t="s">
        <v>28</v>
      </c>
    </row>
    <row r="1947" spans="1:6">
      <c r="A1947">
        <v>202311</v>
      </c>
      <c r="B1947" s="6">
        <v>45252</v>
      </c>
      <c r="C1947" t="s">
        <v>4190</v>
      </c>
      <c r="D1947" t="s">
        <v>5048</v>
      </c>
      <c r="E1947">
        <v>463</v>
      </c>
      <c r="F1947" t="s">
        <v>20</v>
      </c>
    </row>
    <row r="1948" spans="1:6">
      <c r="A1948">
        <v>202311</v>
      </c>
      <c r="B1948" s="6">
        <v>45252</v>
      </c>
      <c r="C1948" t="s">
        <v>4196</v>
      </c>
      <c r="D1948" t="s">
        <v>5049</v>
      </c>
      <c r="E1948">
        <v>245</v>
      </c>
      <c r="F1948" t="s">
        <v>20</v>
      </c>
    </row>
    <row r="1949" spans="1:6">
      <c r="A1949">
        <v>202311</v>
      </c>
      <c r="B1949" s="6">
        <v>45252</v>
      </c>
      <c r="C1949" t="s">
        <v>5013</v>
      </c>
      <c r="D1949" t="s">
        <v>545</v>
      </c>
      <c r="E1949">
        <v>31.75</v>
      </c>
      <c r="F1949" t="s">
        <v>26</v>
      </c>
    </row>
    <row r="1950" spans="1:6">
      <c r="A1950">
        <v>202311</v>
      </c>
      <c r="B1950" s="6">
        <v>45252</v>
      </c>
      <c r="C1950" t="s">
        <v>5013</v>
      </c>
      <c r="D1950" t="s">
        <v>545</v>
      </c>
      <c r="E1950">
        <v>6.07</v>
      </c>
      <c r="F1950" t="s">
        <v>26</v>
      </c>
    </row>
    <row r="1951" spans="1:6">
      <c r="A1951">
        <v>202311</v>
      </c>
      <c r="B1951" s="6">
        <v>45252</v>
      </c>
      <c r="C1951" t="s">
        <v>5013</v>
      </c>
      <c r="D1951" t="s">
        <v>5050</v>
      </c>
      <c r="E1951">
        <v>52.69</v>
      </c>
      <c r="F1951" t="s">
        <v>43</v>
      </c>
    </row>
    <row r="1952" spans="1:6">
      <c r="A1952">
        <v>202311</v>
      </c>
      <c r="B1952" s="6">
        <v>45252</v>
      </c>
      <c r="C1952" t="s">
        <v>5013</v>
      </c>
      <c r="D1952" t="s">
        <v>681</v>
      </c>
      <c r="E1952">
        <v>28.39</v>
      </c>
      <c r="F1952" t="s">
        <v>26</v>
      </c>
    </row>
    <row r="1953" spans="1:6">
      <c r="A1953">
        <v>202311</v>
      </c>
      <c r="B1953" s="6">
        <v>45252</v>
      </c>
      <c r="C1953" t="s">
        <v>4221</v>
      </c>
      <c r="D1953" t="s">
        <v>1068</v>
      </c>
      <c r="E1953">
        <v>52</v>
      </c>
      <c r="F1953" t="s">
        <v>29</v>
      </c>
    </row>
    <row r="1954" spans="1:6">
      <c r="A1954">
        <v>202311</v>
      </c>
      <c r="B1954" s="6">
        <v>45252</v>
      </c>
      <c r="C1954" t="s">
        <v>5013</v>
      </c>
      <c r="D1954" t="s">
        <v>1083</v>
      </c>
      <c r="E1954">
        <v>82.92</v>
      </c>
      <c r="F1954" t="s">
        <v>23</v>
      </c>
    </row>
    <row r="1955" spans="1:6">
      <c r="A1955">
        <v>202311</v>
      </c>
      <c r="B1955" s="6">
        <v>45252</v>
      </c>
      <c r="C1955" t="s">
        <v>4194</v>
      </c>
      <c r="D1955" t="s">
        <v>5051</v>
      </c>
      <c r="E1955">
        <v>24.72</v>
      </c>
      <c r="F1955" t="s">
        <v>28</v>
      </c>
    </row>
    <row r="1956" spans="1:6">
      <c r="A1956">
        <v>202311</v>
      </c>
      <c r="B1956" s="6">
        <v>45252</v>
      </c>
      <c r="C1956" t="s">
        <v>5013</v>
      </c>
      <c r="D1956" t="s">
        <v>5052</v>
      </c>
      <c r="E1956">
        <v>16</v>
      </c>
      <c r="F1956" t="s">
        <v>43</v>
      </c>
    </row>
    <row r="1957" spans="1:6">
      <c r="A1957">
        <v>202311</v>
      </c>
      <c r="B1957" s="6">
        <v>45252</v>
      </c>
      <c r="C1957" t="s">
        <v>5013</v>
      </c>
      <c r="D1957" t="s">
        <v>5053</v>
      </c>
      <c r="E1957">
        <v>43.22</v>
      </c>
      <c r="F1957" t="s">
        <v>26</v>
      </c>
    </row>
    <row r="1958" spans="1:6">
      <c r="A1958">
        <v>202311</v>
      </c>
      <c r="B1958" s="6">
        <v>45252</v>
      </c>
      <c r="C1958" t="s">
        <v>5013</v>
      </c>
      <c r="D1958" t="s">
        <v>5054</v>
      </c>
      <c r="E1958">
        <v>21.59</v>
      </c>
      <c r="F1958" t="s">
        <v>26</v>
      </c>
    </row>
    <row r="1959" spans="1:6">
      <c r="A1959">
        <v>202311</v>
      </c>
      <c r="B1959" s="6">
        <v>45252</v>
      </c>
      <c r="C1959" t="s">
        <v>4237</v>
      </c>
      <c r="D1959" t="s">
        <v>5055</v>
      </c>
      <c r="E1959">
        <v>7.91</v>
      </c>
      <c r="F1959" t="s">
        <v>26</v>
      </c>
    </row>
    <row r="1960" spans="1:6">
      <c r="A1960">
        <v>202311</v>
      </c>
      <c r="B1960" s="6">
        <v>45253</v>
      </c>
      <c r="C1960" t="s">
        <v>4223</v>
      </c>
      <c r="D1960" t="s">
        <v>38</v>
      </c>
      <c r="E1960">
        <v>119.2</v>
      </c>
      <c r="F1960" t="s">
        <v>38</v>
      </c>
    </row>
    <row r="1961" spans="1:6">
      <c r="A1961">
        <v>202311</v>
      </c>
      <c r="B1961" s="6">
        <v>45253</v>
      </c>
      <c r="C1961" t="s">
        <v>2519</v>
      </c>
      <c r="D1961" t="s">
        <v>404</v>
      </c>
      <c r="E1961">
        <v>-3594.81</v>
      </c>
      <c r="F1961" t="s">
        <v>66</v>
      </c>
    </row>
    <row r="1962" spans="1:6">
      <c r="A1962">
        <v>202311</v>
      </c>
      <c r="B1962" s="6">
        <v>45253</v>
      </c>
      <c r="C1962" t="s">
        <v>5013</v>
      </c>
      <c r="D1962" t="s">
        <v>684</v>
      </c>
      <c r="E1962">
        <v>9.15</v>
      </c>
      <c r="F1962" t="s">
        <v>28</v>
      </c>
    </row>
    <row r="1963" spans="1:6">
      <c r="A1963">
        <v>202311</v>
      </c>
      <c r="B1963" s="6">
        <v>45253</v>
      </c>
      <c r="C1963" t="s">
        <v>5013</v>
      </c>
      <c r="D1963" t="s">
        <v>1707</v>
      </c>
      <c r="E1963">
        <v>49.03</v>
      </c>
      <c r="F1963" t="s">
        <v>23</v>
      </c>
    </row>
    <row r="1964" spans="1:6">
      <c r="A1964">
        <v>202311</v>
      </c>
      <c r="B1964" s="6">
        <v>45253</v>
      </c>
      <c r="C1964" t="s">
        <v>4227</v>
      </c>
      <c r="D1964" t="s">
        <v>2101</v>
      </c>
      <c r="E1964">
        <v>52.8</v>
      </c>
      <c r="F1964" t="s">
        <v>29</v>
      </c>
    </row>
    <row r="1965" spans="1:6">
      <c r="A1965">
        <v>202311</v>
      </c>
      <c r="B1965" s="6">
        <v>45254</v>
      </c>
      <c r="C1965" t="s">
        <v>3932</v>
      </c>
      <c r="D1965" t="s">
        <v>113</v>
      </c>
      <c r="E1965">
        <v>-10.83</v>
      </c>
      <c r="F1965" t="s">
        <v>38</v>
      </c>
    </row>
    <row r="1966" spans="1:6">
      <c r="A1966">
        <v>202311</v>
      </c>
      <c r="B1966" s="6">
        <v>45254</v>
      </c>
      <c r="C1966" t="s">
        <v>3932</v>
      </c>
      <c r="D1966" t="s">
        <v>113</v>
      </c>
      <c r="E1966">
        <v>-18.41</v>
      </c>
      <c r="F1966" t="s">
        <v>38</v>
      </c>
    </row>
    <row r="1967" spans="1:6">
      <c r="A1967">
        <v>202311</v>
      </c>
      <c r="B1967" s="6">
        <v>45254</v>
      </c>
      <c r="C1967" t="s">
        <v>3932</v>
      </c>
      <c r="D1967" t="s">
        <v>113</v>
      </c>
      <c r="E1967">
        <v>-33.15</v>
      </c>
      <c r="F1967" t="s">
        <v>38</v>
      </c>
    </row>
    <row r="1968" spans="1:6">
      <c r="A1968">
        <v>202311</v>
      </c>
      <c r="B1968" s="6">
        <v>45254</v>
      </c>
      <c r="C1968" t="s">
        <v>3932</v>
      </c>
      <c r="D1968" t="s">
        <v>5056</v>
      </c>
      <c r="E1968">
        <v>420</v>
      </c>
      <c r="F1968" t="s">
        <v>21</v>
      </c>
    </row>
    <row r="1969" spans="1:6">
      <c r="A1969">
        <v>202311</v>
      </c>
      <c r="B1969" s="6">
        <v>45254</v>
      </c>
      <c r="C1969" t="s">
        <v>2519</v>
      </c>
      <c r="D1969" t="s">
        <v>1958</v>
      </c>
      <c r="E1969">
        <v>125</v>
      </c>
      <c r="F1969" t="s">
        <v>21</v>
      </c>
    </row>
    <row r="1970" spans="1:6">
      <c r="A1970">
        <v>202311</v>
      </c>
      <c r="B1970" s="6">
        <v>45254</v>
      </c>
      <c r="C1970" t="s">
        <v>2519</v>
      </c>
      <c r="D1970" t="s">
        <v>1958</v>
      </c>
      <c r="E1970">
        <v>80</v>
      </c>
      <c r="F1970" t="s">
        <v>21</v>
      </c>
    </row>
    <row r="1971" spans="1:6">
      <c r="A1971">
        <v>202311</v>
      </c>
      <c r="B1971" s="6">
        <v>45254</v>
      </c>
      <c r="C1971" t="s">
        <v>5013</v>
      </c>
      <c r="D1971" t="s">
        <v>5057</v>
      </c>
      <c r="E1971">
        <v>124.63</v>
      </c>
      <c r="F1971" t="s">
        <v>45</v>
      </c>
    </row>
    <row r="1972" spans="1:6">
      <c r="A1972">
        <v>202311</v>
      </c>
      <c r="B1972" s="6">
        <v>45255</v>
      </c>
      <c r="C1972" t="s">
        <v>3932</v>
      </c>
      <c r="D1972" t="s">
        <v>38</v>
      </c>
      <c r="E1972">
        <v>7.91</v>
      </c>
      <c r="F1972" t="s">
        <v>38</v>
      </c>
    </row>
    <row r="1973" spans="1:6">
      <c r="A1973">
        <v>202311</v>
      </c>
      <c r="B1973" s="6">
        <v>45255</v>
      </c>
      <c r="C1973" t="s">
        <v>5013</v>
      </c>
      <c r="D1973" t="s">
        <v>5058</v>
      </c>
      <c r="E1973">
        <v>69.87</v>
      </c>
      <c r="F1973" t="s">
        <v>26</v>
      </c>
    </row>
    <row r="1974" spans="1:6">
      <c r="A1974">
        <v>202311</v>
      </c>
      <c r="B1974" s="6">
        <v>45255</v>
      </c>
      <c r="C1974" t="s">
        <v>5013</v>
      </c>
      <c r="D1974" t="s">
        <v>5058</v>
      </c>
      <c r="E1974">
        <v>59.12</v>
      </c>
      <c r="F1974" t="s">
        <v>26</v>
      </c>
    </row>
    <row r="1975" spans="1:6">
      <c r="A1975">
        <v>202311</v>
      </c>
      <c r="B1975" s="6">
        <v>45255</v>
      </c>
      <c r="C1975" t="s">
        <v>5013</v>
      </c>
      <c r="D1975" t="s">
        <v>5059</v>
      </c>
      <c r="E1975">
        <v>528.20000000000005</v>
      </c>
      <c r="F1975" t="s">
        <v>21</v>
      </c>
    </row>
    <row r="1976" spans="1:6">
      <c r="A1976">
        <v>202311</v>
      </c>
      <c r="B1976" s="6">
        <v>45255</v>
      </c>
      <c r="C1976" t="s">
        <v>5013</v>
      </c>
      <c r="D1976" t="s">
        <v>5060</v>
      </c>
      <c r="E1976">
        <v>70.290000000000006</v>
      </c>
      <c r="F1976" t="s">
        <v>26</v>
      </c>
    </row>
    <row r="1977" spans="1:6">
      <c r="A1977">
        <v>202311</v>
      </c>
      <c r="B1977" s="6">
        <v>45255</v>
      </c>
      <c r="C1977" t="s">
        <v>4229</v>
      </c>
      <c r="D1977" t="s">
        <v>673</v>
      </c>
      <c r="E1977">
        <v>-2025.62</v>
      </c>
      <c r="F1977" t="s">
        <v>9</v>
      </c>
    </row>
    <row r="1978" spans="1:6">
      <c r="A1978">
        <v>202311</v>
      </c>
      <c r="B1978" s="6">
        <v>45255</v>
      </c>
      <c r="C1978" t="s">
        <v>3932</v>
      </c>
      <c r="D1978" t="s">
        <v>3988</v>
      </c>
      <c r="E1978">
        <v>-620.49</v>
      </c>
      <c r="F1978" t="s">
        <v>9</v>
      </c>
    </row>
    <row r="1979" spans="1:6">
      <c r="A1979">
        <v>202311</v>
      </c>
      <c r="B1979" s="6">
        <v>45255</v>
      </c>
      <c r="C1979" t="s">
        <v>5013</v>
      </c>
      <c r="D1979" t="s">
        <v>4240</v>
      </c>
      <c r="E1979">
        <v>-3198.34</v>
      </c>
      <c r="F1979" t="s">
        <v>9</v>
      </c>
    </row>
    <row r="1980" spans="1:6">
      <c r="A1980">
        <v>202311</v>
      </c>
      <c r="B1980" s="6">
        <v>45255</v>
      </c>
      <c r="C1980" t="s">
        <v>5013</v>
      </c>
      <c r="D1980" t="s">
        <v>5061</v>
      </c>
      <c r="E1980">
        <v>1213.8800000000001</v>
      </c>
      <c r="F1980" t="s">
        <v>21</v>
      </c>
    </row>
    <row r="1981" spans="1:6">
      <c r="A1981">
        <v>202311</v>
      </c>
      <c r="B1981" s="6">
        <v>45255</v>
      </c>
      <c r="C1981" t="s">
        <v>2519</v>
      </c>
      <c r="D1981" t="s">
        <v>4293</v>
      </c>
      <c r="E1981">
        <v>2025.62</v>
      </c>
      <c r="F1981" t="s">
        <v>9</v>
      </c>
    </row>
    <row r="1982" spans="1:6">
      <c r="A1982">
        <v>202311</v>
      </c>
      <c r="B1982" s="6">
        <v>45256</v>
      </c>
      <c r="C1982" t="s">
        <v>3938</v>
      </c>
      <c r="D1982" t="s">
        <v>38</v>
      </c>
      <c r="E1982">
        <v>11.26</v>
      </c>
      <c r="F1982" t="s">
        <v>38</v>
      </c>
    </row>
    <row r="1983" spans="1:6">
      <c r="A1983">
        <v>202311</v>
      </c>
      <c r="B1983" s="6">
        <v>45256</v>
      </c>
      <c r="C1983" t="s">
        <v>3932</v>
      </c>
      <c r="D1983" t="s">
        <v>38</v>
      </c>
      <c r="E1983">
        <v>17.329999999999998</v>
      </c>
      <c r="F1983" t="s">
        <v>38</v>
      </c>
    </row>
    <row r="1984" spans="1:6">
      <c r="A1984">
        <v>202311</v>
      </c>
      <c r="B1984" s="6">
        <v>45256</v>
      </c>
      <c r="C1984" t="s">
        <v>4231</v>
      </c>
      <c r="D1984" t="s">
        <v>161</v>
      </c>
      <c r="E1984">
        <v>93.2</v>
      </c>
      <c r="F1984" t="s">
        <v>21</v>
      </c>
    </row>
    <row r="1985" spans="1:6">
      <c r="A1985">
        <v>202311</v>
      </c>
      <c r="B1985" s="6">
        <v>45256</v>
      </c>
      <c r="C1985" t="s">
        <v>4218</v>
      </c>
      <c r="D1985" t="s">
        <v>161</v>
      </c>
      <c r="E1985">
        <v>106.24</v>
      </c>
      <c r="F1985" t="s">
        <v>21</v>
      </c>
    </row>
    <row r="1986" spans="1:6">
      <c r="A1986">
        <v>202311</v>
      </c>
      <c r="B1986" s="6">
        <v>45256</v>
      </c>
      <c r="C1986" t="s">
        <v>4216</v>
      </c>
      <c r="D1986" t="s">
        <v>161</v>
      </c>
      <c r="E1986">
        <v>187.6</v>
      </c>
      <c r="F1986" t="s">
        <v>21</v>
      </c>
    </row>
    <row r="1987" spans="1:6">
      <c r="A1987">
        <v>202311</v>
      </c>
      <c r="B1987" s="6">
        <v>45256</v>
      </c>
      <c r="C1987" t="s">
        <v>5013</v>
      </c>
      <c r="D1987" t="s">
        <v>5062</v>
      </c>
      <c r="E1987">
        <v>3.75</v>
      </c>
      <c r="F1987" t="s">
        <v>23</v>
      </c>
    </row>
    <row r="1988" spans="1:6">
      <c r="A1988">
        <v>202311</v>
      </c>
      <c r="B1988" s="6">
        <v>45256</v>
      </c>
      <c r="C1988" t="s">
        <v>5013</v>
      </c>
      <c r="D1988" t="s">
        <v>5063</v>
      </c>
      <c r="E1988">
        <v>7.35</v>
      </c>
      <c r="F1988" t="s">
        <v>23</v>
      </c>
    </row>
    <row r="1989" spans="1:6">
      <c r="A1989">
        <v>202311</v>
      </c>
      <c r="B1989" s="6">
        <v>45256</v>
      </c>
      <c r="C1989" t="s">
        <v>4233</v>
      </c>
      <c r="D1989" t="s">
        <v>5065</v>
      </c>
      <c r="E1989">
        <v>64.010000000000005</v>
      </c>
      <c r="F1989" t="s">
        <v>26</v>
      </c>
    </row>
    <row r="1990" spans="1:6">
      <c r="A1990">
        <v>202311</v>
      </c>
      <c r="B1990" s="6">
        <v>45256</v>
      </c>
      <c r="C1990" t="s">
        <v>5013</v>
      </c>
      <c r="D1990" t="s">
        <v>1347</v>
      </c>
      <c r="E1990">
        <v>97</v>
      </c>
      <c r="F1990" t="s">
        <v>28</v>
      </c>
    </row>
    <row r="1991" spans="1:6">
      <c r="A1991">
        <v>202311</v>
      </c>
      <c r="B1991" s="6">
        <v>45256</v>
      </c>
      <c r="C1991" t="s">
        <v>4235</v>
      </c>
      <c r="D1991" t="s">
        <v>1508</v>
      </c>
      <c r="E1991">
        <v>218.38</v>
      </c>
      <c r="F1991" t="s">
        <v>21</v>
      </c>
    </row>
    <row r="1992" spans="1:6">
      <c r="A1992">
        <v>202311</v>
      </c>
      <c r="B1992" s="6">
        <v>45256</v>
      </c>
      <c r="C1992" t="s">
        <v>5013</v>
      </c>
      <c r="D1992" t="s">
        <v>5066</v>
      </c>
      <c r="E1992">
        <v>8</v>
      </c>
      <c r="F1992" t="s">
        <v>21</v>
      </c>
    </row>
    <row r="1993" spans="1:6">
      <c r="A1993">
        <v>202311</v>
      </c>
      <c r="B1993" s="6">
        <v>45256</v>
      </c>
      <c r="C1993" t="s">
        <v>3938</v>
      </c>
      <c r="D1993" t="s">
        <v>1849</v>
      </c>
      <c r="E1993">
        <v>843.16</v>
      </c>
      <c r="F1993" t="s">
        <v>2</v>
      </c>
    </row>
    <row r="1994" spans="1:6">
      <c r="A1994">
        <v>202311</v>
      </c>
      <c r="B1994" s="6">
        <v>45256</v>
      </c>
      <c r="C1994" t="s">
        <v>5013</v>
      </c>
      <c r="D1994" t="s">
        <v>5067</v>
      </c>
      <c r="E1994">
        <v>111.13</v>
      </c>
      <c r="F1994" t="s">
        <v>26</v>
      </c>
    </row>
    <row r="1995" spans="1:6">
      <c r="A1995">
        <v>202311</v>
      </c>
      <c r="B1995" s="6">
        <v>45256</v>
      </c>
      <c r="C1995" t="s">
        <v>5013</v>
      </c>
      <c r="D1995" t="s">
        <v>5068</v>
      </c>
      <c r="E1995">
        <v>21.81</v>
      </c>
      <c r="F1995" t="s">
        <v>45</v>
      </c>
    </row>
    <row r="1996" spans="1:6">
      <c r="A1996">
        <v>202311</v>
      </c>
      <c r="B1996" s="6">
        <v>45257</v>
      </c>
      <c r="C1996" t="s">
        <v>3932</v>
      </c>
      <c r="D1996" t="s">
        <v>38</v>
      </c>
      <c r="E1996">
        <v>81.27</v>
      </c>
      <c r="F1996" t="s">
        <v>38</v>
      </c>
    </row>
    <row r="1997" spans="1:6">
      <c r="A1997">
        <v>202311</v>
      </c>
      <c r="B1997" s="6">
        <v>45257</v>
      </c>
      <c r="C1997" t="s">
        <v>5013</v>
      </c>
      <c r="D1997" t="s">
        <v>5070</v>
      </c>
      <c r="E1997">
        <v>127.5</v>
      </c>
      <c r="F1997" t="s">
        <v>2</v>
      </c>
    </row>
    <row r="1998" spans="1:6">
      <c r="A1998">
        <v>202311</v>
      </c>
      <c r="B1998" s="6">
        <v>45257</v>
      </c>
      <c r="C1998" t="s">
        <v>5013</v>
      </c>
      <c r="D1998" t="s">
        <v>5071</v>
      </c>
      <c r="E1998">
        <v>352</v>
      </c>
      <c r="F1998" t="s">
        <v>21</v>
      </c>
    </row>
    <row r="1999" spans="1:6">
      <c r="A1999">
        <v>202311</v>
      </c>
      <c r="B1999" s="6">
        <v>45257</v>
      </c>
      <c r="C1999" t="s">
        <v>5013</v>
      </c>
      <c r="D1999" t="s">
        <v>4829</v>
      </c>
      <c r="E1999">
        <v>5</v>
      </c>
      <c r="F1999" t="s">
        <v>9</v>
      </c>
    </row>
    <row r="2000" spans="1:6">
      <c r="A2000">
        <v>202311</v>
      </c>
      <c r="B2000" s="6">
        <v>45257</v>
      </c>
      <c r="C2000" t="s">
        <v>2519</v>
      </c>
      <c r="D2000" t="s">
        <v>1458</v>
      </c>
      <c r="E2000">
        <v>3198.34</v>
      </c>
      <c r="F2000" t="s">
        <v>9</v>
      </c>
    </row>
    <row r="2001" spans="1:6">
      <c r="A2001">
        <v>202311</v>
      </c>
      <c r="B2001" s="6">
        <v>45257</v>
      </c>
      <c r="C2001" t="s">
        <v>2519</v>
      </c>
      <c r="D2001" t="s">
        <v>1464</v>
      </c>
      <c r="E2001">
        <v>620.49</v>
      </c>
      <c r="F2001" t="s">
        <v>9</v>
      </c>
    </row>
    <row r="2002" spans="1:6">
      <c r="A2002">
        <v>202311</v>
      </c>
      <c r="B2002" s="6">
        <v>45257</v>
      </c>
      <c r="C2002" t="s">
        <v>2519</v>
      </c>
      <c r="D2002" t="s">
        <v>4415</v>
      </c>
      <c r="E2002">
        <v>177.74</v>
      </c>
      <c r="F2002" t="s">
        <v>9</v>
      </c>
    </row>
    <row r="2003" spans="1:6">
      <c r="A2003">
        <v>202311</v>
      </c>
      <c r="B2003" s="6">
        <v>45257</v>
      </c>
      <c r="C2003" t="s">
        <v>5013</v>
      </c>
      <c r="D2003" t="s">
        <v>5072</v>
      </c>
      <c r="E2003">
        <v>330.48</v>
      </c>
      <c r="F2003" t="s">
        <v>26</v>
      </c>
    </row>
    <row r="2004" spans="1:6">
      <c r="A2004">
        <v>202311</v>
      </c>
      <c r="B2004" s="6">
        <v>45257</v>
      </c>
      <c r="C2004" t="s">
        <v>5013</v>
      </c>
      <c r="D2004" t="s">
        <v>5061</v>
      </c>
      <c r="E2004">
        <v>329.29</v>
      </c>
      <c r="F2004" t="s">
        <v>21</v>
      </c>
    </row>
    <row r="2005" spans="1:6">
      <c r="A2005">
        <v>202311</v>
      </c>
      <c r="B2005" s="6">
        <v>45257</v>
      </c>
      <c r="C2005" t="s">
        <v>2519</v>
      </c>
      <c r="D2005" t="s">
        <v>4404</v>
      </c>
      <c r="E2005">
        <v>800</v>
      </c>
      <c r="F2005" t="s">
        <v>9</v>
      </c>
    </row>
    <row r="2006" spans="1:6">
      <c r="A2006">
        <v>202311</v>
      </c>
      <c r="B2006" s="6">
        <v>45257</v>
      </c>
      <c r="C2006" t="s">
        <v>2519</v>
      </c>
      <c r="D2006" t="s">
        <v>1955</v>
      </c>
      <c r="E2006">
        <v>273.75</v>
      </c>
      <c r="F2006" t="s">
        <v>21</v>
      </c>
    </row>
    <row r="2007" spans="1:6">
      <c r="A2007">
        <v>202311</v>
      </c>
      <c r="B2007" s="6">
        <v>45257</v>
      </c>
      <c r="C2007" t="s">
        <v>2519</v>
      </c>
      <c r="D2007" t="s">
        <v>1955</v>
      </c>
      <c r="E2007">
        <v>216</v>
      </c>
      <c r="F2007" t="s">
        <v>21</v>
      </c>
    </row>
    <row r="2008" spans="1:6">
      <c r="A2008">
        <v>202311</v>
      </c>
      <c r="B2008" s="6">
        <v>45257</v>
      </c>
      <c r="C2008" t="s">
        <v>2519</v>
      </c>
      <c r="D2008" t="s">
        <v>1955</v>
      </c>
      <c r="E2008">
        <v>122.48</v>
      </c>
      <c r="F2008" t="s">
        <v>21</v>
      </c>
    </row>
    <row r="2009" spans="1:6">
      <c r="A2009">
        <v>202311</v>
      </c>
      <c r="B2009" s="6">
        <v>45257</v>
      </c>
      <c r="C2009" t="s">
        <v>2519</v>
      </c>
      <c r="D2009" t="s">
        <v>1955</v>
      </c>
      <c r="E2009">
        <v>93.02</v>
      </c>
      <c r="F2009" t="s">
        <v>21</v>
      </c>
    </row>
    <row r="2010" spans="1:6">
      <c r="A2010">
        <v>202311</v>
      </c>
      <c r="B2010" s="6">
        <v>45258</v>
      </c>
      <c r="C2010" t="s">
        <v>3932</v>
      </c>
      <c r="D2010" t="s">
        <v>38</v>
      </c>
      <c r="E2010">
        <v>19.899999999999999</v>
      </c>
      <c r="F2010" t="s">
        <v>38</v>
      </c>
    </row>
    <row r="2011" spans="1:6">
      <c r="A2011">
        <v>202311</v>
      </c>
      <c r="B2011" s="6">
        <v>45258</v>
      </c>
      <c r="C2011" t="s">
        <v>3932</v>
      </c>
      <c r="D2011" t="s">
        <v>38</v>
      </c>
      <c r="E2011">
        <v>64.98</v>
      </c>
      <c r="F2011" t="s">
        <v>38</v>
      </c>
    </row>
    <row r="2012" spans="1:6">
      <c r="A2012">
        <v>202311</v>
      </c>
      <c r="B2012" s="6">
        <v>45258</v>
      </c>
      <c r="C2012" t="s">
        <v>3932</v>
      </c>
      <c r="D2012" t="s">
        <v>113</v>
      </c>
      <c r="E2012">
        <v>92.08</v>
      </c>
      <c r="F2012" t="s">
        <v>38</v>
      </c>
    </row>
    <row r="2013" spans="1:6">
      <c r="A2013">
        <v>202311</v>
      </c>
      <c r="B2013" s="6">
        <v>45258</v>
      </c>
      <c r="C2013" t="s">
        <v>5013</v>
      </c>
      <c r="D2013" t="s">
        <v>5073</v>
      </c>
      <c r="E2013">
        <v>256.14</v>
      </c>
      <c r="F2013" t="s">
        <v>21</v>
      </c>
    </row>
    <row r="2014" spans="1:6">
      <c r="A2014">
        <v>202311</v>
      </c>
      <c r="B2014" s="6">
        <v>45258</v>
      </c>
      <c r="C2014" t="s">
        <v>5013</v>
      </c>
      <c r="D2014" t="s">
        <v>5074</v>
      </c>
      <c r="E2014">
        <v>14.19</v>
      </c>
      <c r="F2014" t="s">
        <v>26</v>
      </c>
    </row>
    <row r="2015" spans="1:6">
      <c r="A2015">
        <v>202311</v>
      </c>
      <c r="B2015" s="6">
        <v>45258</v>
      </c>
      <c r="C2015" t="s">
        <v>5013</v>
      </c>
      <c r="D2015" t="s">
        <v>5075</v>
      </c>
      <c r="E2015">
        <v>46.51</v>
      </c>
      <c r="F2015" t="s">
        <v>28</v>
      </c>
    </row>
    <row r="2016" spans="1:6">
      <c r="A2016">
        <v>202311</v>
      </c>
      <c r="B2016" s="6">
        <v>45258</v>
      </c>
      <c r="C2016" t="s">
        <v>2519</v>
      </c>
      <c r="D2016" t="s">
        <v>1955</v>
      </c>
      <c r="E2016">
        <v>0.99</v>
      </c>
      <c r="F2016" t="s">
        <v>21</v>
      </c>
    </row>
    <row r="2017" spans="1:6">
      <c r="A2017">
        <v>202311</v>
      </c>
      <c r="B2017" s="6">
        <v>45258</v>
      </c>
      <c r="C2017" t="s">
        <v>2519</v>
      </c>
      <c r="D2017" t="s">
        <v>1958</v>
      </c>
      <c r="E2017">
        <v>1350</v>
      </c>
      <c r="F2017" t="s">
        <v>21</v>
      </c>
    </row>
    <row r="2018" spans="1:6">
      <c r="A2018">
        <v>202311</v>
      </c>
      <c r="B2018" s="6">
        <v>45258</v>
      </c>
      <c r="C2018" t="s">
        <v>2519</v>
      </c>
      <c r="D2018" t="s">
        <v>5076</v>
      </c>
      <c r="E2018">
        <v>330</v>
      </c>
      <c r="F2018" t="s">
        <v>20</v>
      </c>
    </row>
    <row r="2019" spans="1:6">
      <c r="A2019">
        <v>202311</v>
      </c>
      <c r="B2019" s="6">
        <v>45259</v>
      </c>
      <c r="C2019" t="s">
        <v>5013</v>
      </c>
      <c r="D2019" t="s">
        <v>4948</v>
      </c>
      <c r="E2019">
        <v>68.7</v>
      </c>
      <c r="F2019" t="s">
        <v>41</v>
      </c>
    </row>
    <row r="2020" spans="1:6">
      <c r="A2020">
        <v>202311</v>
      </c>
      <c r="B2020" s="6">
        <v>45259</v>
      </c>
      <c r="C2020" t="s">
        <v>3932</v>
      </c>
      <c r="D2020" t="s">
        <v>38</v>
      </c>
      <c r="E2020">
        <v>28.11</v>
      </c>
      <c r="F2020" t="s">
        <v>38</v>
      </c>
    </row>
    <row r="2021" spans="1:6">
      <c r="A2021">
        <v>202311</v>
      </c>
      <c r="B2021" s="6">
        <v>45259</v>
      </c>
      <c r="C2021" t="s">
        <v>3932</v>
      </c>
      <c r="D2021" t="s">
        <v>4079</v>
      </c>
      <c r="E2021">
        <v>-42.54</v>
      </c>
      <c r="F2021" t="s">
        <v>9</v>
      </c>
    </row>
    <row r="2022" spans="1:6">
      <c r="A2022">
        <v>202311</v>
      </c>
      <c r="B2022" s="6">
        <v>45259</v>
      </c>
      <c r="C2022" t="s">
        <v>3938</v>
      </c>
      <c r="D2022" t="s">
        <v>673</v>
      </c>
      <c r="E2022">
        <v>-1523.85</v>
      </c>
      <c r="F2022" t="s">
        <v>9</v>
      </c>
    </row>
    <row r="2023" spans="1:6">
      <c r="A2023">
        <v>202311</v>
      </c>
      <c r="B2023" s="6">
        <v>45259</v>
      </c>
      <c r="C2023" t="s">
        <v>5013</v>
      </c>
      <c r="D2023" t="s">
        <v>684</v>
      </c>
      <c r="E2023">
        <v>3.99</v>
      </c>
      <c r="F2023" t="s">
        <v>28</v>
      </c>
    </row>
    <row r="2024" spans="1:6">
      <c r="A2024">
        <v>202311</v>
      </c>
      <c r="B2024" s="6">
        <v>45259</v>
      </c>
      <c r="C2024" t="s">
        <v>5013</v>
      </c>
      <c r="D2024" t="s">
        <v>5077</v>
      </c>
      <c r="E2024">
        <v>2689.84</v>
      </c>
      <c r="F2024" t="s">
        <v>2</v>
      </c>
    </row>
    <row r="2025" spans="1:6">
      <c r="A2025">
        <v>202311</v>
      </c>
      <c r="B2025" s="6">
        <v>45259</v>
      </c>
      <c r="C2025" t="s">
        <v>3932</v>
      </c>
      <c r="D2025" t="s">
        <v>3988</v>
      </c>
      <c r="E2025">
        <v>-421.58</v>
      </c>
      <c r="F2025" t="s">
        <v>9</v>
      </c>
    </row>
    <row r="2026" spans="1:6">
      <c r="A2026">
        <v>202311</v>
      </c>
      <c r="B2026" s="6">
        <v>45259</v>
      </c>
      <c r="C2026" t="s">
        <v>5013</v>
      </c>
      <c r="D2026" t="s">
        <v>1353</v>
      </c>
      <c r="E2026">
        <v>13.28</v>
      </c>
      <c r="F2026" t="s">
        <v>26</v>
      </c>
    </row>
    <row r="2027" spans="1:6">
      <c r="A2027">
        <v>202311</v>
      </c>
      <c r="B2027" s="6">
        <v>45259</v>
      </c>
      <c r="C2027" t="s">
        <v>5013</v>
      </c>
      <c r="D2027" t="s">
        <v>4012</v>
      </c>
      <c r="E2027">
        <v>-2847.19</v>
      </c>
      <c r="F2027" t="s">
        <v>9</v>
      </c>
    </row>
    <row r="2028" spans="1:6">
      <c r="A2028">
        <v>202311</v>
      </c>
      <c r="B2028" s="6">
        <v>45259</v>
      </c>
      <c r="C2028" t="s">
        <v>2519</v>
      </c>
      <c r="D2028" t="s">
        <v>4343</v>
      </c>
      <c r="E2028">
        <v>-4343.58</v>
      </c>
      <c r="F2028" t="s">
        <v>64</v>
      </c>
    </row>
    <row r="2029" spans="1:6">
      <c r="A2029">
        <v>202311</v>
      </c>
      <c r="B2029" s="6">
        <v>45259</v>
      </c>
      <c r="C2029" t="s">
        <v>5013</v>
      </c>
      <c r="D2029" t="s">
        <v>5078</v>
      </c>
      <c r="E2029">
        <v>10.47</v>
      </c>
      <c r="F2029" t="s">
        <v>2</v>
      </c>
    </row>
    <row r="2030" spans="1:6">
      <c r="A2030">
        <v>202311</v>
      </c>
      <c r="B2030" s="6">
        <v>45259</v>
      </c>
      <c r="C2030" t="s">
        <v>2519</v>
      </c>
      <c r="D2030" t="s">
        <v>4293</v>
      </c>
      <c r="E2030">
        <v>1523.85</v>
      </c>
      <c r="F2030" t="s">
        <v>9</v>
      </c>
    </row>
    <row r="2031" spans="1:6">
      <c r="A2031">
        <v>202311</v>
      </c>
      <c r="B2031" s="6">
        <v>45260</v>
      </c>
      <c r="C2031" t="s">
        <v>2519</v>
      </c>
      <c r="D2031" t="s">
        <v>5079</v>
      </c>
      <c r="E2031">
        <v>-48.5</v>
      </c>
      <c r="F2031" t="s">
        <v>9</v>
      </c>
    </row>
    <row r="2032" spans="1:6">
      <c r="A2032">
        <v>202311</v>
      </c>
      <c r="B2032" s="6">
        <v>45260</v>
      </c>
      <c r="C2032" t="s">
        <v>2519</v>
      </c>
      <c r="D2032" t="s">
        <v>5080</v>
      </c>
      <c r="E2032">
        <v>-1350</v>
      </c>
      <c r="F2032" t="s">
        <v>9</v>
      </c>
    </row>
    <row r="2033" spans="1:6">
      <c r="A2033">
        <v>202311</v>
      </c>
      <c r="B2033" s="6">
        <v>45260</v>
      </c>
      <c r="C2033" t="s">
        <v>2519</v>
      </c>
      <c r="D2033" t="s">
        <v>1355</v>
      </c>
      <c r="E2033">
        <v>21.21</v>
      </c>
      <c r="F2033" t="s">
        <v>21</v>
      </c>
    </row>
    <row r="2034" spans="1:6">
      <c r="A2034">
        <v>202311</v>
      </c>
      <c r="B2034" s="6">
        <v>45260</v>
      </c>
      <c r="C2034" t="s">
        <v>2519</v>
      </c>
      <c r="D2034" t="s">
        <v>1458</v>
      </c>
      <c r="E2034">
        <v>2847.19</v>
      </c>
      <c r="F2034" t="s">
        <v>9</v>
      </c>
    </row>
    <row r="2035" spans="1:6">
      <c r="A2035">
        <v>202311</v>
      </c>
      <c r="B2035" s="6">
        <v>45260</v>
      </c>
      <c r="C2035" t="s">
        <v>2519</v>
      </c>
      <c r="D2035" t="s">
        <v>4523</v>
      </c>
      <c r="E2035">
        <v>187.81</v>
      </c>
      <c r="F2035" t="s">
        <v>21</v>
      </c>
    </row>
    <row r="2036" spans="1:6">
      <c r="A2036">
        <v>202311</v>
      </c>
      <c r="B2036" s="6">
        <v>45260</v>
      </c>
      <c r="C2036" t="s">
        <v>2519</v>
      </c>
      <c r="D2036" t="s">
        <v>1464</v>
      </c>
      <c r="E2036">
        <v>421.58</v>
      </c>
      <c r="F2036" t="s">
        <v>9</v>
      </c>
    </row>
    <row r="2037" spans="1:6">
      <c r="A2037">
        <v>202311</v>
      </c>
      <c r="B2037" s="6">
        <v>45260</v>
      </c>
      <c r="C2037" t="s">
        <v>5013</v>
      </c>
      <c r="D2037" t="s">
        <v>5081</v>
      </c>
      <c r="E2037">
        <v>533</v>
      </c>
      <c r="F2037" t="s">
        <v>21</v>
      </c>
    </row>
    <row r="2038" spans="1:6">
      <c r="A2038">
        <v>202312</v>
      </c>
      <c r="B2038" s="6">
        <v>45261</v>
      </c>
      <c r="C2038" t="s">
        <v>3938</v>
      </c>
      <c r="D2038" t="s">
        <v>5082</v>
      </c>
      <c r="E2038">
        <v>5.41</v>
      </c>
      <c r="F2038" t="s">
        <v>38</v>
      </c>
    </row>
    <row r="2039" spans="1:6">
      <c r="A2039">
        <v>202312</v>
      </c>
      <c r="B2039" s="6">
        <v>45261</v>
      </c>
      <c r="C2039" t="s">
        <v>2519</v>
      </c>
      <c r="D2039" t="s">
        <v>1460</v>
      </c>
      <c r="E2039">
        <v>2741.74</v>
      </c>
      <c r="F2039" t="s">
        <v>5</v>
      </c>
    </row>
    <row r="2040" spans="1:6">
      <c r="A2040">
        <v>202312</v>
      </c>
      <c r="B2040" s="6">
        <v>45261</v>
      </c>
      <c r="C2040" t="s">
        <v>5013</v>
      </c>
      <c r="D2040" t="s">
        <v>1849</v>
      </c>
      <c r="E2040">
        <v>30.65</v>
      </c>
      <c r="F2040" t="s">
        <v>2</v>
      </c>
    </row>
    <row r="2041" spans="1:6">
      <c r="A2041">
        <v>202312</v>
      </c>
      <c r="B2041" s="6">
        <v>45261</v>
      </c>
      <c r="C2041" t="s">
        <v>2519</v>
      </c>
      <c r="D2041" t="s">
        <v>4716</v>
      </c>
      <c r="E2041">
        <v>650</v>
      </c>
      <c r="F2041" t="s">
        <v>61</v>
      </c>
    </row>
    <row r="2042" spans="1:6">
      <c r="A2042">
        <v>202312</v>
      </c>
      <c r="B2042" s="6">
        <v>45261</v>
      </c>
      <c r="C2042" t="s">
        <v>2519</v>
      </c>
      <c r="D2042" t="s">
        <v>1958</v>
      </c>
      <c r="E2042">
        <v>125</v>
      </c>
      <c r="F2042" t="s">
        <v>21</v>
      </c>
    </row>
    <row r="2043" spans="1:6">
      <c r="A2043">
        <v>202312</v>
      </c>
      <c r="B2043" s="6">
        <v>45262</v>
      </c>
      <c r="C2043" t="s">
        <v>3932</v>
      </c>
      <c r="D2043" t="s">
        <v>38</v>
      </c>
      <c r="E2043">
        <v>52.01</v>
      </c>
      <c r="F2043" t="s">
        <v>38</v>
      </c>
    </row>
    <row r="2044" spans="1:6">
      <c r="A2044">
        <v>202312</v>
      </c>
      <c r="B2044" s="6">
        <v>45262</v>
      </c>
      <c r="C2044" t="s">
        <v>5013</v>
      </c>
      <c r="D2044" t="s">
        <v>5041</v>
      </c>
      <c r="E2044">
        <v>36.25</v>
      </c>
      <c r="F2044" t="s">
        <v>21</v>
      </c>
    </row>
    <row r="2045" spans="1:6">
      <c r="A2045">
        <v>202312</v>
      </c>
      <c r="B2045" s="6">
        <v>45262</v>
      </c>
      <c r="C2045" t="s">
        <v>5013</v>
      </c>
      <c r="D2045" t="s">
        <v>4663</v>
      </c>
      <c r="E2045">
        <v>156.62</v>
      </c>
      <c r="F2045" t="s">
        <v>26</v>
      </c>
    </row>
    <row r="2046" spans="1:6">
      <c r="A2046">
        <v>202312</v>
      </c>
      <c r="B2046" s="6">
        <v>45262</v>
      </c>
      <c r="C2046" t="s">
        <v>5013</v>
      </c>
      <c r="D2046" t="s">
        <v>1849</v>
      </c>
      <c r="E2046">
        <v>5.59</v>
      </c>
      <c r="F2046" t="s">
        <v>2</v>
      </c>
    </row>
    <row r="2047" spans="1:6">
      <c r="A2047">
        <v>202312</v>
      </c>
      <c r="B2047" s="6">
        <v>45263</v>
      </c>
      <c r="C2047" t="s">
        <v>3938</v>
      </c>
      <c r="D2047" t="s">
        <v>38</v>
      </c>
      <c r="E2047">
        <v>4.32</v>
      </c>
      <c r="F2047" t="s">
        <v>38</v>
      </c>
    </row>
    <row r="2048" spans="1:6">
      <c r="A2048">
        <v>202312</v>
      </c>
      <c r="B2048" s="6">
        <v>45263</v>
      </c>
      <c r="C2048" t="s">
        <v>3938</v>
      </c>
      <c r="D2048" t="s">
        <v>5083</v>
      </c>
      <c r="E2048">
        <v>10.83</v>
      </c>
      <c r="F2048" t="s">
        <v>38</v>
      </c>
    </row>
    <row r="2049" spans="1:6">
      <c r="A2049">
        <v>202312</v>
      </c>
      <c r="B2049" s="6">
        <v>45263</v>
      </c>
      <c r="C2049" t="s">
        <v>5013</v>
      </c>
      <c r="D2049" t="s">
        <v>5084</v>
      </c>
      <c r="E2049">
        <v>286.39</v>
      </c>
      <c r="F2049" t="s">
        <v>28</v>
      </c>
    </row>
    <row r="2050" spans="1:6">
      <c r="A2050">
        <v>202312</v>
      </c>
      <c r="B2050" s="6">
        <v>45264</v>
      </c>
      <c r="C2050" t="s">
        <v>3938</v>
      </c>
      <c r="D2050" t="s">
        <v>4887</v>
      </c>
      <c r="E2050">
        <v>44.32</v>
      </c>
      <c r="F2050" t="s">
        <v>23</v>
      </c>
    </row>
    <row r="2051" spans="1:6">
      <c r="A2051">
        <v>202312</v>
      </c>
      <c r="B2051" s="6">
        <v>45264</v>
      </c>
      <c r="C2051" t="s">
        <v>3938</v>
      </c>
      <c r="D2051" t="s">
        <v>684</v>
      </c>
      <c r="E2051">
        <v>8.01</v>
      </c>
      <c r="F2051" t="s">
        <v>28</v>
      </c>
    </row>
    <row r="2052" spans="1:6">
      <c r="A2052">
        <v>202312</v>
      </c>
      <c r="B2052" s="6">
        <v>45264</v>
      </c>
      <c r="C2052" t="s">
        <v>3938</v>
      </c>
      <c r="D2052" t="s">
        <v>684</v>
      </c>
      <c r="E2052">
        <v>6.49</v>
      </c>
      <c r="F2052" t="s">
        <v>28</v>
      </c>
    </row>
    <row r="2053" spans="1:6">
      <c r="A2053">
        <v>202312</v>
      </c>
      <c r="B2053" s="6">
        <v>45264</v>
      </c>
      <c r="C2053" t="s">
        <v>5013</v>
      </c>
      <c r="D2053" t="s">
        <v>1083</v>
      </c>
      <c r="E2053">
        <v>54.46</v>
      </c>
      <c r="F2053" t="s">
        <v>23</v>
      </c>
    </row>
    <row r="2054" spans="1:6">
      <c r="A2054">
        <v>202312</v>
      </c>
      <c r="B2054" s="6">
        <v>45264</v>
      </c>
      <c r="C2054" t="s">
        <v>3938</v>
      </c>
      <c r="D2054" t="s">
        <v>5085</v>
      </c>
      <c r="E2054">
        <v>45</v>
      </c>
      <c r="F2054" t="s">
        <v>48</v>
      </c>
    </row>
    <row r="2055" spans="1:6">
      <c r="A2055">
        <v>202312</v>
      </c>
      <c r="B2055" s="6">
        <v>45264</v>
      </c>
      <c r="C2055" t="s">
        <v>2519</v>
      </c>
      <c r="D2055" t="s">
        <v>1958</v>
      </c>
      <c r="E2055">
        <v>60</v>
      </c>
      <c r="F2055" t="s">
        <v>21</v>
      </c>
    </row>
    <row r="2056" spans="1:6">
      <c r="A2056">
        <v>202312</v>
      </c>
      <c r="B2056" s="6">
        <v>45264</v>
      </c>
      <c r="C2056" t="s">
        <v>2519</v>
      </c>
      <c r="D2056" t="s">
        <v>1958</v>
      </c>
      <c r="E2056">
        <v>4</v>
      </c>
      <c r="F2056" t="s">
        <v>21</v>
      </c>
    </row>
    <row r="2057" spans="1:6">
      <c r="A2057">
        <v>202312</v>
      </c>
      <c r="B2057" s="6">
        <v>45265</v>
      </c>
      <c r="C2057" t="s">
        <v>3938</v>
      </c>
      <c r="D2057" t="s">
        <v>5086</v>
      </c>
      <c r="E2057">
        <v>38.99</v>
      </c>
      <c r="F2057" t="s">
        <v>38</v>
      </c>
    </row>
    <row r="2058" spans="1:6">
      <c r="A2058">
        <v>202312</v>
      </c>
      <c r="B2058" s="6">
        <v>45265</v>
      </c>
      <c r="C2058" t="s">
        <v>3938</v>
      </c>
      <c r="D2058" t="s">
        <v>5087</v>
      </c>
      <c r="E2058">
        <v>79.72</v>
      </c>
      <c r="F2058" t="s">
        <v>28</v>
      </c>
    </row>
    <row r="2059" spans="1:6">
      <c r="A2059">
        <v>202312</v>
      </c>
      <c r="B2059" s="6">
        <v>45265</v>
      </c>
      <c r="C2059" t="s">
        <v>2519</v>
      </c>
      <c r="D2059" t="s">
        <v>4470</v>
      </c>
      <c r="E2059">
        <v>-8.01</v>
      </c>
      <c r="F2059" t="s">
        <v>9</v>
      </c>
    </row>
    <row r="2060" spans="1:6">
      <c r="A2060">
        <v>202312</v>
      </c>
      <c r="B2060" s="6">
        <v>45265</v>
      </c>
      <c r="C2060" t="s">
        <v>5013</v>
      </c>
      <c r="D2060" t="s">
        <v>4032</v>
      </c>
      <c r="E2060">
        <v>15.36</v>
      </c>
      <c r="F2060" t="s">
        <v>26</v>
      </c>
    </row>
    <row r="2061" spans="1:6">
      <c r="A2061">
        <v>202312</v>
      </c>
      <c r="B2061" s="6">
        <v>45265</v>
      </c>
      <c r="C2061" t="s">
        <v>5013</v>
      </c>
      <c r="D2061" t="s">
        <v>4012</v>
      </c>
      <c r="E2061">
        <v>-4837.91</v>
      </c>
      <c r="F2061" t="s">
        <v>9</v>
      </c>
    </row>
    <row r="2062" spans="1:6">
      <c r="A2062">
        <v>202312</v>
      </c>
      <c r="B2062" s="6">
        <v>45265</v>
      </c>
      <c r="C2062" t="s">
        <v>2519</v>
      </c>
      <c r="D2062" t="s">
        <v>5088</v>
      </c>
      <c r="E2062">
        <v>330</v>
      </c>
      <c r="F2062" t="s">
        <v>20</v>
      </c>
    </row>
    <row r="2063" spans="1:6">
      <c r="A2063">
        <v>202312</v>
      </c>
      <c r="B2063" s="6">
        <v>45266</v>
      </c>
      <c r="C2063" t="s">
        <v>5013</v>
      </c>
      <c r="D2063" t="s">
        <v>703</v>
      </c>
      <c r="E2063">
        <v>457.8</v>
      </c>
      <c r="F2063" t="s">
        <v>9</v>
      </c>
    </row>
    <row r="2064" spans="1:6">
      <c r="A2064">
        <v>202312</v>
      </c>
      <c r="B2064" s="6">
        <v>45266</v>
      </c>
      <c r="C2064" t="s">
        <v>2519</v>
      </c>
      <c r="D2064" t="s">
        <v>5080</v>
      </c>
      <c r="E2064">
        <v>-2689.84</v>
      </c>
      <c r="F2064" t="s">
        <v>9</v>
      </c>
    </row>
    <row r="2065" spans="1:6">
      <c r="A2065">
        <v>202312</v>
      </c>
      <c r="B2065" s="6">
        <v>45266</v>
      </c>
      <c r="C2065" t="s">
        <v>5013</v>
      </c>
      <c r="D2065" t="s">
        <v>5089</v>
      </c>
      <c r="E2065">
        <v>129.99</v>
      </c>
      <c r="F2065" t="s">
        <v>29</v>
      </c>
    </row>
    <row r="2066" spans="1:6">
      <c r="A2066">
        <v>202312</v>
      </c>
      <c r="B2066" s="6">
        <v>45266</v>
      </c>
      <c r="C2066" t="s">
        <v>5013</v>
      </c>
      <c r="D2066" t="s">
        <v>5073</v>
      </c>
      <c r="E2066">
        <v>-86.02</v>
      </c>
      <c r="F2066" t="s">
        <v>21</v>
      </c>
    </row>
    <row r="2067" spans="1:6">
      <c r="A2067">
        <v>202312</v>
      </c>
      <c r="B2067" s="6">
        <v>45266</v>
      </c>
      <c r="C2067" t="s">
        <v>2519</v>
      </c>
      <c r="D2067" t="s">
        <v>1458</v>
      </c>
      <c r="E2067">
        <v>4837.91</v>
      </c>
      <c r="F2067" t="s">
        <v>9</v>
      </c>
    </row>
    <row r="2068" spans="1:6">
      <c r="A2068">
        <v>202312</v>
      </c>
      <c r="B2068" s="6">
        <v>45266</v>
      </c>
      <c r="C2068" t="s">
        <v>3938</v>
      </c>
      <c r="D2068" t="s">
        <v>1621</v>
      </c>
      <c r="E2068">
        <v>-95.99</v>
      </c>
      <c r="F2068" t="s">
        <v>21</v>
      </c>
    </row>
    <row r="2069" spans="1:6">
      <c r="A2069">
        <v>202312</v>
      </c>
      <c r="B2069" s="6">
        <v>45266</v>
      </c>
      <c r="C2069" t="s">
        <v>3938</v>
      </c>
      <c r="D2069" t="s">
        <v>1843</v>
      </c>
      <c r="E2069">
        <v>7.99</v>
      </c>
      <c r="F2069" t="s">
        <v>21</v>
      </c>
    </row>
    <row r="2070" spans="1:6">
      <c r="A2070">
        <v>202312</v>
      </c>
      <c r="B2070" s="6">
        <v>45266</v>
      </c>
      <c r="C2070" t="s">
        <v>5013</v>
      </c>
      <c r="D2070" t="s">
        <v>1849</v>
      </c>
      <c r="E2070">
        <v>5.59</v>
      </c>
      <c r="F2070" t="s">
        <v>2</v>
      </c>
    </row>
    <row r="2071" spans="1:6">
      <c r="A2071">
        <v>202312</v>
      </c>
      <c r="B2071" s="6">
        <v>45266</v>
      </c>
      <c r="C2071" t="s">
        <v>5013</v>
      </c>
      <c r="D2071" t="s">
        <v>5090</v>
      </c>
      <c r="E2071">
        <v>8.2799999999999994</v>
      </c>
      <c r="F2071" t="s">
        <v>41</v>
      </c>
    </row>
    <row r="2072" spans="1:6">
      <c r="A2072">
        <v>202312</v>
      </c>
      <c r="B2072" s="6">
        <v>45266</v>
      </c>
      <c r="C2072" t="s">
        <v>2519</v>
      </c>
      <c r="D2072" t="s">
        <v>1955</v>
      </c>
      <c r="E2072">
        <v>17.489999999999998</v>
      </c>
      <c r="F2072" t="s">
        <v>21</v>
      </c>
    </row>
    <row r="2073" spans="1:6">
      <c r="A2073">
        <v>202312</v>
      </c>
      <c r="B2073" s="6">
        <v>45266</v>
      </c>
      <c r="C2073" t="s">
        <v>2519</v>
      </c>
      <c r="D2073" t="s">
        <v>1958</v>
      </c>
      <c r="E2073">
        <v>10</v>
      </c>
      <c r="F2073" t="s">
        <v>21</v>
      </c>
    </row>
    <row r="2074" spans="1:6">
      <c r="A2074">
        <v>202312</v>
      </c>
      <c r="B2074" s="6">
        <v>45266</v>
      </c>
      <c r="C2074" t="s">
        <v>5013</v>
      </c>
      <c r="D2074" t="s">
        <v>5057</v>
      </c>
      <c r="E2074">
        <v>-124.63</v>
      </c>
      <c r="F2074" t="s">
        <v>21</v>
      </c>
    </row>
    <row r="2075" spans="1:6">
      <c r="A2075">
        <v>202312</v>
      </c>
      <c r="B2075" s="6">
        <v>45267</v>
      </c>
      <c r="C2075" t="s">
        <v>2519</v>
      </c>
      <c r="D2075" t="s">
        <v>404</v>
      </c>
      <c r="E2075">
        <v>-3594.82</v>
      </c>
      <c r="F2075" t="s">
        <v>66</v>
      </c>
    </row>
    <row r="2076" spans="1:6">
      <c r="A2076">
        <v>202312</v>
      </c>
      <c r="B2076" s="6">
        <v>45267</v>
      </c>
      <c r="C2076" t="s">
        <v>2519</v>
      </c>
      <c r="D2076" t="s">
        <v>5091</v>
      </c>
      <c r="E2076">
        <v>-2362.33</v>
      </c>
      <c r="F2076" t="s">
        <v>64</v>
      </c>
    </row>
    <row r="2077" spans="1:6">
      <c r="A2077">
        <v>202312</v>
      </c>
      <c r="B2077" s="6">
        <v>45267</v>
      </c>
      <c r="C2077" t="s">
        <v>3938</v>
      </c>
      <c r="D2077" t="s">
        <v>825</v>
      </c>
      <c r="E2077">
        <v>145</v>
      </c>
      <c r="F2077" t="s">
        <v>21</v>
      </c>
    </row>
    <row r="2078" spans="1:6">
      <c r="A2078">
        <v>202312</v>
      </c>
      <c r="B2078" s="6">
        <v>45267</v>
      </c>
      <c r="C2078" t="s">
        <v>3938</v>
      </c>
      <c r="D2078" t="s">
        <v>825</v>
      </c>
      <c r="E2078">
        <v>129</v>
      </c>
      <c r="F2078" t="s">
        <v>21</v>
      </c>
    </row>
    <row r="2079" spans="1:6">
      <c r="A2079">
        <v>202312</v>
      </c>
      <c r="B2079" s="6">
        <v>45267</v>
      </c>
      <c r="C2079" t="s">
        <v>3932</v>
      </c>
      <c r="D2079" t="s">
        <v>3988</v>
      </c>
      <c r="E2079">
        <v>-257.08</v>
      </c>
      <c r="F2079" t="s">
        <v>9</v>
      </c>
    </row>
    <row r="2080" spans="1:6">
      <c r="A2080">
        <v>202312</v>
      </c>
      <c r="B2080" s="6">
        <v>45267</v>
      </c>
      <c r="C2080" t="s">
        <v>2519</v>
      </c>
      <c r="D2080" t="s">
        <v>5092</v>
      </c>
      <c r="E2080">
        <v>60.97</v>
      </c>
      <c r="F2080" t="s">
        <v>26</v>
      </c>
    </row>
    <row r="2081" spans="1:6">
      <c r="A2081">
        <v>202312</v>
      </c>
      <c r="B2081" s="6">
        <v>45267</v>
      </c>
      <c r="C2081" t="s">
        <v>2519</v>
      </c>
      <c r="D2081" t="s">
        <v>1470</v>
      </c>
      <c r="E2081">
        <v>113.41</v>
      </c>
      <c r="F2081" t="s">
        <v>7</v>
      </c>
    </row>
    <row r="2082" spans="1:6">
      <c r="A2082">
        <v>202312</v>
      </c>
      <c r="B2082" s="6">
        <v>45267</v>
      </c>
      <c r="C2082" t="s">
        <v>2519</v>
      </c>
      <c r="D2082" t="s">
        <v>1958</v>
      </c>
      <c r="E2082">
        <v>125</v>
      </c>
      <c r="F2082" t="s">
        <v>21</v>
      </c>
    </row>
    <row r="2083" spans="1:6">
      <c r="A2083">
        <v>202312</v>
      </c>
      <c r="B2083" s="6">
        <v>45267</v>
      </c>
      <c r="C2083" t="s">
        <v>2519</v>
      </c>
      <c r="D2083" t="s">
        <v>1958</v>
      </c>
      <c r="E2083">
        <v>93</v>
      </c>
      <c r="F2083" t="s">
        <v>21</v>
      </c>
    </row>
    <row r="2084" spans="1:6">
      <c r="A2084">
        <v>202312</v>
      </c>
      <c r="B2084" s="6">
        <v>45268</v>
      </c>
      <c r="C2084" t="s">
        <v>3938</v>
      </c>
      <c r="D2084" t="s">
        <v>5093</v>
      </c>
      <c r="E2084">
        <v>24.85</v>
      </c>
      <c r="F2084" t="s">
        <v>38</v>
      </c>
    </row>
    <row r="2085" spans="1:6">
      <c r="A2085">
        <v>202312</v>
      </c>
      <c r="B2085" s="6">
        <v>45268</v>
      </c>
      <c r="C2085" t="s">
        <v>3938</v>
      </c>
      <c r="D2085" t="s">
        <v>5094</v>
      </c>
      <c r="E2085">
        <v>23.68</v>
      </c>
      <c r="F2085" t="s">
        <v>38</v>
      </c>
    </row>
    <row r="2086" spans="1:6">
      <c r="A2086">
        <v>202312</v>
      </c>
      <c r="B2086" s="6">
        <v>45268</v>
      </c>
      <c r="C2086" t="s">
        <v>3938</v>
      </c>
      <c r="D2086" t="s">
        <v>673</v>
      </c>
      <c r="E2086">
        <v>-429.09</v>
      </c>
      <c r="F2086" t="s">
        <v>9</v>
      </c>
    </row>
    <row r="2087" spans="1:6">
      <c r="A2087">
        <v>202312</v>
      </c>
      <c r="B2087" s="6">
        <v>45268</v>
      </c>
      <c r="C2087" t="s">
        <v>2519</v>
      </c>
      <c r="D2087" t="s">
        <v>1464</v>
      </c>
      <c r="E2087">
        <v>257.08</v>
      </c>
      <c r="F2087" t="s">
        <v>9</v>
      </c>
    </row>
    <row r="2088" spans="1:6">
      <c r="A2088">
        <v>202312</v>
      </c>
      <c r="B2088" s="6">
        <v>45268</v>
      </c>
      <c r="C2088" t="s">
        <v>5013</v>
      </c>
      <c r="D2088" t="s">
        <v>5095</v>
      </c>
      <c r="E2088">
        <v>30.48</v>
      </c>
      <c r="F2088" t="s">
        <v>26</v>
      </c>
    </row>
    <row r="2089" spans="1:6">
      <c r="A2089">
        <v>202312</v>
      </c>
      <c r="B2089" s="6">
        <v>45268</v>
      </c>
      <c r="C2089" t="s">
        <v>3938</v>
      </c>
      <c r="D2089" t="s">
        <v>5096</v>
      </c>
      <c r="E2089">
        <v>15.97</v>
      </c>
      <c r="F2089" t="s">
        <v>26</v>
      </c>
    </row>
    <row r="2090" spans="1:6">
      <c r="A2090">
        <v>202312</v>
      </c>
      <c r="B2090" s="6">
        <v>45268</v>
      </c>
      <c r="C2090" t="s">
        <v>5013</v>
      </c>
      <c r="D2090" t="s">
        <v>5061</v>
      </c>
      <c r="E2090">
        <v>-545.46</v>
      </c>
      <c r="F2090" t="s">
        <v>21</v>
      </c>
    </row>
    <row r="2091" spans="1:6">
      <c r="A2091">
        <v>202312</v>
      </c>
      <c r="B2091" s="6">
        <v>45268</v>
      </c>
      <c r="C2091" t="s">
        <v>5013</v>
      </c>
      <c r="D2091" t="s">
        <v>1849</v>
      </c>
      <c r="E2091">
        <v>57.4</v>
      </c>
      <c r="F2091" t="s">
        <v>2</v>
      </c>
    </row>
    <row r="2092" spans="1:6">
      <c r="A2092">
        <v>202312</v>
      </c>
      <c r="B2092" s="6">
        <v>45268</v>
      </c>
      <c r="C2092" t="s">
        <v>2519</v>
      </c>
      <c r="D2092" t="s">
        <v>1958</v>
      </c>
      <c r="E2092">
        <v>159.09</v>
      </c>
      <c r="F2092" t="s">
        <v>21</v>
      </c>
    </row>
    <row r="2093" spans="1:6">
      <c r="A2093">
        <v>202312</v>
      </c>
      <c r="B2093" s="6">
        <v>45268</v>
      </c>
      <c r="C2093" t="s">
        <v>5013</v>
      </c>
      <c r="D2093" t="s">
        <v>5097</v>
      </c>
      <c r="E2093">
        <v>13.51</v>
      </c>
      <c r="F2093" t="s">
        <v>26</v>
      </c>
    </row>
    <row r="2094" spans="1:6">
      <c r="A2094">
        <v>202312</v>
      </c>
      <c r="B2094" s="6">
        <v>45268</v>
      </c>
      <c r="C2094" t="s">
        <v>3938</v>
      </c>
      <c r="D2094" t="s">
        <v>5098</v>
      </c>
      <c r="E2094">
        <v>9.74</v>
      </c>
      <c r="F2094" t="s">
        <v>40</v>
      </c>
    </row>
    <row r="2095" spans="1:6">
      <c r="A2095">
        <v>202312</v>
      </c>
      <c r="B2095" s="6">
        <v>45268</v>
      </c>
      <c r="C2095" t="s">
        <v>3938</v>
      </c>
      <c r="D2095" t="s">
        <v>5099</v>
      </c>
      <c r="E2095">
        <v>7</v>
      </c>
      <c r="F2095" t="s">
        <v>40</v>
      </c>
    </row>
    <row r="2096" spans="1:6">
      <c r="A2096">
        <v>202312</v>
      </c>
      <c r="B2096" s="6">
        <v>45268</v>
      </c>
      <c r="C2096" t="s">
        <v>2519</v>
      </c>
      <c r="D2096" t="s">
        <v>5100</v>
      </c>
      <c r="E2096">
        <v>56</v>
      </c>
      <c r="F2096" t="s">
        <v>40</v>
      </c>
    </row>
    <row r="2097" spans="1:6">
      <c r="A2097">
        <v>202312</v>
      </c>
      <c r="B2097" s="6">
        <v>45268</v>
      </c>
      <c r="C2097" t="s">
        <v>2519</v>
      </c>
      <c r="D2097" t="s">
        <v>4293</v>
      </c>
      <c r="E2097">
        <v>429.09</v>
      </c>
      <c r="F2097" t="s">
        <v>9</v>
      </c>
    </row>
    <row r="2098" spans="1:6">
      <c r="A2098">
        <v>202312</v>
      </c>
      <c r="B2098" s="6">
        <v>45269</v>
      </c>
      <c r="C2098" t="s">
        <v>5013</v>
      </c>
      <c r="D2098" t="s">
        <v>4010</v>
      </c>
      <c r="E2098">
        <v>10.85</v>
      </c>
      <c r="F2098" t="s">
        <v>7</v>
      </c>
    </row>
    <row r="2099" spans="1:6">
      <c r="A2099">
        <v>202312</v>
      </c>
      <c r="B2099" s="6">
        <v>45269</v>
      </c>
      <c r="C2099" t="s">
        <v>5013</v>
      </c>
      <c r="D2099" t="s">
        <v>4010</v>
      </c>
      <c r="E2099">
        <v>10.85</v>
      </c>
      <c r="F2099" t="s">
        <v>9</v>
      </c>
    </row>
    <row r="2100" spans="1:6">
      <c r="A2100">
        <v>202312</v>
      </c>
      <c r="B2100" s="6">
        <v>45269</v>
      </c>
      <c r="C2100" t="s">
        <v>5013</v>
      </c>
      <c r="D2100" t="s">
        <v>4917</v>
      </c>
      <c r="E2100">
        <v>59.72</v>
      </c>
      <c r="F2100" t="s">
        <v>26</v>
      </c>
    </row>
    <row r="2101" spans="1:6">
      <c r="A2101">
        <v>202312</v>
      </c>
      <c r="B2101" s="6">
        <v>45269</v>
      </c>
      <c r="C2101" t="s">
        <v>5013</v>
      </c>
      <c r="D2101" t="s">
        <v>4917</v>
      </c>
      <c r="E2101">
        <v>59.72</v>
      </c>
      <c r="F2101" t="s">
        <v>28</v>
      </c>
    </row>
    <row r="2102" spans="1:6">
      <c r="A2102">
        <v>202312</v>
      </c>
      <c r="B2102" s="6">
        <v>45270</v>
      </c>
      <c r="C2102" t="s">
        <v>2519</v>
      </c>
      <c r="D2102" t="s">
        <v>5101</v>
      </c>
      <c r="E2102">
        <v>-184.69</v>
      </c>
      <c r="F2102" t="s">
        <v>9</v>
      </c>
    </row>
    <row r="2103" spans="1:6">
      <c r="A2103">
        <v>202312</v>
      </c>
      <c r="B2103" s="6">
        <v>45270</v>
      </c>
      <c r="C2103" t="s">
        <v>3938</v>
      </c>
      <c r="D2103" t="s">
        <v>945</v>
      </c>
      <c r="E2103">
        <v>40.36</v>
      </c>
      <c r="F2103" t="s">
        <v>23</v>
      </c>
    </row>
    <row r="2104" spans="1:6">
      <c r="A2104">
        <v>202312</v>
      </c>
      <c r="B2104" s="6">
        <v>45270</v>
      </c>
      <c r="C2104" t="s">
        <v>3938</v>
      </c>
      <c r="D2104" t="s">
        <v>1350</v>
      </c>
      <c r="E2104">
        <v>25.6</v>
      </c>
      <c r="F2104" t="s">
        <v>7</v>
      </c>
    </row>
    <row r="2105" spans="1:6">
      <c r="A2105">
        <v>202312</v>
      </c>
      <c r="B2105" s="6">
        <v>45270</v>
      </c>
      <c r="C2105" t="s">
        <v>3938</v>
      </c>
      <c r="D2105" t="s">
        <v>1477</v>
      </c>
      <c r="E2105">
        <v>47.69</v>
      </c>
      <c r="F2105" t="s">
        <v>34</v>
      </c>
    </row>
    <row r="2106" spans="1:6">
      <c r="A2106">
        <v>202312</v>
      </c>
      <c r="B2106" s="6">
        <v>45270</v>
      </c>
      <c r="C2106" t="s">
        <v>5013</v>
      </c>
      <c r="D2106" t="s">
        <v>4663</v>
      </c>
      <c r="E2106">
        <v>67.650000000000006</v>
      </c>
      <c r="F2106" t="s">
        <v>26</v>
      </c>
    </row>
    <row r="2107" spans="1:6">
      <c r="A2107">
        <v>202312</v>
      </c>
      <c r="B2107" s="6">
        <v>45270</v>
      </c>
      <c r="C2107" t="s">
        <v>5013</v>
      </c>
      <c r="D2107" t="s">
        <v>4663</v>
      </c>
      <c r="E2107">
        <v>67.650000000000006</v>
      </c>
      <c r="F2107" t="s">
        <v>26</v>
      </c>
    </row>
    <row r="2108" spans="1:6">
      <c r="A2108">
        <v>202312</v>
      </c>
      <c r="B2108" s="6">
        <v>45271</v>
      </c>
      <c r="C2108" t="s">
        <v>5013</v>
      </c>
      <c r="D2108" t="s">
        <v>3967</v>
      </c>
      <c r="E2108">
        <v>27.84</v>
      </c>
      <c r="F2108" t="s">
        <v>26</v>
      </c>
    </row>
    <row r="2109" spans="1:6">
      <c r="A2109">
        <v>202312</v>
      </c>
      <c r="B2109" s="6">
        <v>45271</v>
      </c>
      <c r="C2109" t="s">
        <v>5013</v>
      </c>
      <c r="D2109" t="s">
        <v>3967</v>
      </c>
      <c r="E2109">
        <v>27.84</v>
      </c>
      <c r="F2109" t="s">
        <v>26</v>
      </c>
    </row>
    <row r="2110" spans="1:6">
      <c r="A2110">
        <v>202312</v>
      </c>
      <c r="B2110" s="6">
        <v>45271</v>
      </c>
      <c r="C2110" t="s">
        <v>2519</v>
      </c>
      <c r="D2110" t="s">
        <v>5102</v>
      </c>
      <c r="E2110">
        <v>-57.71</v>
      </c>
      <c r="F2110" t="s">
        <v>9</v>
      </c>
    </row>
    <row r="2111" spans="1:6">
      <c r="A2111">
        <v>202312</v>
      </c>
      <c r="B2111" s="6">
        <v>45271</v>
      </c>
      <c r="C2111" t="s">
        <v>5013</v>
      </c>
      <c r="D2111" t="s">
        <v>5041</v>
      </c>
      <c r="E2111">
        <v>-29.25</v>
      </c>
      <c r="F2111" t="s">
        <v>21</v>
      </c>
    </row>
    <row r="2112" spans="1:6">
      <c r="A2112">
        <v>202312</v>
      </c>
      <c r="B2112" s="6">
        <v>45271</v>
      </c>
      <c r="C2112" t="s">
        <v>5013</v>
      </c>
      <c r="D2112" t="s">
        <v>5041</v>
      </c>
      <c r="E2112">
        <v>-29.25</v>
      </c>
      <c r="F2112" t="s">
        <v>21</v>
      </c>
    </row>
    <row r="2113" spans="1:6">
      <c r="A2113">
        <v>202312</v>
      </c>
      <c r="B2113" s="6">
        <v>45271</v>
      </c>
      <c r="C2113" t="s">
        <v>2519</v>
      </c>
      <c r="D2113" t="s">
        <v>1958</v>
      </c>
      <c r="E2113">
        <v>571.20000000000005</v>
      </c>
      <c r="F2113" t="s">
        <v>21</v>
      </c>
    </row>
    <row r="2114" spans="1:6">
      <c r="A2114">
        <v>202312</v>
      </c>
      <c r="B2114" s="6">
        <v>45271</v>
      </c>
      <c r="C2114" t="s">
        <v>2519</v>
      </c>
      <c r="D2114" t="s">
        <v>1958</v>
      </c>
      <c r="E2114">
        <v>20</v>
      </c>
      <c r="F2114" t="s">
        <v>21</v>
      </c>
    </row>
    <row r="2115" spans="1:6">
      <c r="A2115">
        <v>202312</v>
      </c>
      <c r="B2115" s="6">
        <v>45271</v>
      </c>
      <c r="C2115" t="s">
        <v>3938</v>
      </c>
      <c r="D2115" t="s">
        <v>2078</v>
      </c>
      <c r="E2115">
        <v>27.16</v>
      </c>
      <c r="F2115" t="s">
        <v>23</v>
      </c>
    </row>
    <row r="2116" spans="1:6">
      <c r="A2116">
        <v>202312</v>
      </c>
      <c r="B2116" s="6">
        <v>45272</v>
      </c>
      <c r="C2116" t="s">
        <v>2519</v>
      </c>
      <c r="D2116" t="s">
        <v>4470</v>
      </c>
      <c r="E2116">
        <v>-38.43</v>
      </c>
      <c r="F2116" t="s">
        <v>9</v>
      </c>
    </row>
    <row r="2117" spans="1:6">
      <c r="A2117">
        <v>202312</v>
      </c>
      <c r="B2117" s="6">
        <v>45272</v>
      </c>
      <c r="C2117" t="s">
        <v>3938</v>
      </c>
      <c r="D2117" t="s">
        <v>4868</v>
      </c>
      <c r="E2117">
        <v>5.99</v>
      </c>
      <c r="F2117" t="s">
        <v>40</v>
      </c>
    </row>
    <row r="2118" spans="1:6">
      <c r="A2118">
        <v>202312</v>
      </c>
      <c r="B2118" s="6">
        <v>45272</v>
      </c>
      <c r="C2118" t="s">
        <v>3938</v>
      </c>
      <c r="D2118" t="s">
        <v>1168</v>
      </c>
      <c r="E2118">
        <v>23.83</v>
      </c>
      <c r="F2118" t="s">
        <v>23</v>
      </c>
    </row>
    <row r="2119" spans="1:6">
      <c r="A2119">
        <v>202312</v>
      </c>
      <c r="B2119" s="6">
        <v>45272</v>
      </c>
      <c r="C2119" t="s">
        <v>5013</v>
      </c>
      <c r="D2119" t="s">
        <v>5103</v>
      </c>
      <c r="E2119">
        <v>192.81</v>
      </c>
      <c r="F2119" t="s">
        <v>48</v>
      </c>
    </row>
    <row r="2120" spans="1:6">
      <c r="A2120">
        <v>202312</v>
      </c>
      <c r="B2120" s="6">
        <v>45272</v>
      </c>
      <c r="C2120" t="s">
        <v>5013</v>
      </c>
      <c r="D2120" t="s">
        <v>5103</v>
      </c>
      <c r="E2120">
        <v>192.81</v>
      </c>
      <c r="F2120" t="s">
        <v>48</v>
      </c>
    </row>
    <row r="2121" spans="1:6">
      <c r="A2121">
        <v>202312</v>
      </c>
      <c r="B2121" s="6">
        <v>45272</v>
      </c>
      <c r="C2121" t="s">
        <v>5013</v>
      </c>
      <c r="D2121" t="s">
        <v>5081</v>
      </c>
      <c r="E2121">
        <v>-259</v>
      </c>
      <c r="F2121" t="s">
        <v>21</v>
      </c>
    </row>
    <row r="2122" spans="1:6">
      <c r="A2122">
        <v>202312</v>
      </c>
      <c r="B2122" s="6">
        <v>45272</v>
      </c>
      <c r="C2122" t="s">
        <v>5013</v>
      </c>
      <c r="D2122" t="s">
        <v>5081</v>
      </c>
      <c r="E2122">
        <v>-259</v>
      </c>
      <c r="F2122" t="e">
        <v>#N/A</v>
      </c>
    </row>
    <row r="2123" spans="1:6">
      <c r="A2123">
        <v>202312</v>
      </c>
      <c r="B2123" s="6">
        <v>45272</v>
      </c>
      <c r="C2123" t="s">
        <v>3938</v>
      </c>
      <c r="D2123" t="s">
        <v>1682</v>
      </c>
      <c r="E2123">
        <v>38.43</v>
      </c>
      <c r="F2123" t="s">
        <v>48</v>
      </c>
    </row>
    <row r="2124" spans="1:6">
      <c r="A2124">
        <v>202312</v>
      </c>
      <c r="B2124" s="6">
        <v>45272</v>
      </c>
      <c r="C2124" t="s">
        <v>5013</v>
      </c>
      <c r="D2124" t="s">
        <v>5104</v>
      </c>
      <c r="E2124">
        <v>25.5</v>
      </c>
      <c r="F2124" t="s">
        <v>26</v>
      </c>
    </row>
    <row r="2125" spans="1:6">
      <c r="A2125">
        <v>202312</v>
      </c>
      <c r="B2125" s="6">
        <v>45272</v>
      </c>
      <c r="C2125" t="s">
        <v>5013</v>
      </c>
      <c r="D2125" t="s">
        <v>5104</v>
      </c>
      <c r="E2125">
        <v>25.5</v>
      </c>
      <c r="F2125" t="s">
        <v>28</v>
      </c>
    </row>
    <row r="2126" spans="1:6">
      <c r="A2126">
        <v>202312</v>
      </c>
      <c r="B2126" s="6">
        <v>45272</v>
      </c>
      <c r="C2126" t="s">
        <v>2519</v>
      </c>
      <c r="D2126" t="s">
        <v>1934</v>
      </c>
      <c r="E2126">
        <v>-93.75</v>
      </c>
      <c r="F2126" t="s">
        <v>21</v>
      </c>
    </row>
    <row r="2127" spans="1:6">
      <c r="A2127">
        <v>202312</v>
      </c>
      <c r="B2127" s="6">
        <v>45272</v>
      </c>
      <c r="C2127" t="s">
        <v>2519</v>
      </c>
      <c r="D2127" t="s">
        <v>1958</v>
      </c>
      <c r="E2127">
        <v>20</v>
      </c>
      <c r="F2127" t="s">
        <v>21</v>
      </c>
    </row>
    <row r="2128" spans="1:6">
      <c r="A2128">
        <v>202312</v>
      </c>
      <c r="B2128" s="6">
        <v>45272</v>
      </c>
      <c r="C2128" t="s">
        <v>2519</v>
      </c>
      <c r="D2128" t="s">
        <v>5105</v>
      </c>
      <c r="E2128">
        <v>330</v>
      </c>
      <c r="F2128" t="s">
        <v>20</v>
      </c>
    </row>
    <row r="2129" spans="1:6">
      <c r="A2129">
        <v>202312</v>
      </c>
      <c r="B2129" s="6">
        <v>45273</v>
      </c>
      <c r="C2129" t="s">
        <v>2519</v>
      </c>
      <c r="D2129" t="s">
        <v>4283</v>
      </c>
      <c r="E2129">
        <v>-129.37</v>
      </c>
      <c r="F2129" t="s">
        <v>66</v>
      </c>
    </row>
    <row r="2130" spans="1:6">
      <c r="A2130">
        <v>202312</v>
      </c>
      <c r="B2130" s="6">
        <v>45273</v>
      </c>
      <c r="C2130" t="s">
        <v>3938</v>
      </c>
      <c r="D2130" t="s">
        <v>5106</v>
      </c>
      <c r="E2130">
        <v>113.39</v>
      </c>
      <c r="F2130" t="s">
        <v>21</v>
      </c>
    </row>
    <row r="2131" spans="1:6">
      <c r="A2131">
        <v>202312</v>
      </c>
      <c r="B2131" s="6">
        <v>45273</v>
      </c>
      <c r="C2131" t="s">
        <v>5013</v>
      </c>
      <c r="D2131" t="s">
        <v>5107</v>
      </c>
      <c r="E2131">
        <v>21.65</v>
      </c>
      <c r="F2131" t="s">
        <v>26</v>
      </c>
    </row>
    <row r="2132" spans="1:6">
      <c r="A2132">
        <v>202312</v>
      </c>
      <c r="B2132" s="6">
        <v>45273</v>
      </c>
      <c r="C2132" t="s">
        <v>5013</v>
      </c>
      <c r="D2132" t="s">
        <v>5107</v>
      </c>
      <c r="E2132">
        <v>21.65</v>
      </c>
      <c r="F2132" t="e">
        <v>#N/A</v>
      </c>
    </row>
    <row r="2133" spans="1:6">
      <c r="A2133">
        <v>202312</v>
      </c>
      <c r="B2133" s="6">
        <v>45273</v>
      </c>
      <c r="C2133" t="s">
        <v>3938</v>
      </c>
      <c r="D2133" t="s">
        <v>1462</v>
      </c>
      <c r="E2133">
        <v>45</v>
      </c>
      <c r="F2133" t="s">
        <v>7</v>
      </c>
    </row>
    <row r="2134" spans="1:6">
      <c r="A2134">
        <v>202312</v>
      </c>
      <c r="B2134" s="6">
        <v>45273</v>
      </c>
      <c r="C2134" t="s">
        <v>3938</v>
      </c>
      <c r="D2134" t="s">
        <v>5104</v>
      </c>
      <c r="E2134">
        <v>19.510000000000002</v>
      </c>
      <c r="F2134" t="s">
        <v>26</v>
      </c>
    </row>
    <row r="2135" spans="1:6">
      <c r="A2135">
        <v>202312</v>
      </c>
      <c r="B2135" s="6">
        <v>45273</v>
      </c>
      <c r="C2135" t="s">
        <v>5013</v>
      </c>
      <c r="D2135" t="s">
        <v>5104</v>
      </c>
      <c r="E2135">
        <v>9.8699999999999992</v>
      </c>
      <c r="F2135" t="s">
        <v>26</v>
      </c>
    </row>
    <row r="2136" spans="1:6">
      <c r="A2136">
        <v>202312</v>
      </c>
      <c r="B2136" s="6">
        <v>45273</v>
      </c>
      <c r="C2136" t="s">
        <v>5013</v>
      </c>
      <c r="D2136" t="s">
        <v>5104</v>
      </c>
      <c r="E2136">
        <v>9.8699999999999992</v>
      </c>
      <c r="F2136" t="s">
        <v>28</v>
      </c>
    </row>
    <row r="2137" spans="1:6">
      <c r="A2137">
        <v>202312</v>
      </c>
      <c r="B2137" s="6">
        <v>45273</v>
      </c>
      <c r="C2137" t="s">
        <v>2519</v>
      </c>
      <c r="D2137" t="s">
        <v>1934</v>
      </c>
      <c r="E2137">
        <v>-350</v>
      </c>
      <c r="F2137" t="s">
        <v>21</v>
      </c>
    </row>
    <row r="2138" spans="1:6">
      <c r="A2138">
        <v>202312</v>
      </c>
      <c r="B2138" s="6">
        <v>45274</v>
      </c>
      <c r="C2138" t="s">
        <v>3932</v>
      </c>
      <c r="D2138" t="s">
        <v>38</v>
      </c>
      <c r="E2138">
        <v>49.23</v>
      </c>
      <c r="F2138" t="s">
        <v>38</v>
      </c>
    </row>
    <row r="2139" spans="1:6">
      <c r="A2139">
        <v>202312</v>
      </c>
      <c r="B2139" s="6">
        <v>45274</v>
      </c>
      <c r="C2139" t="s">
        <v>3932</v>
      </c>
      <c r="D2139" t="s">
        <v>38</v>
      </c>
      <c r="E2139">
        <v>49.23</v>
      </c>
      <c r="F2139" t="s">
        <v>41</v>
      </c>
    </row>
    <row r="2140" spans="1:6">
      <c r="A2140">
        <v>202312</v>
      </c>
      <c r="B2140" s="6">
        <v>45274</v>
      </c>
      <c r="C2140" t="s">
        <v>2519</v>
      </c>
      <c r="D2140" t="s">
        <v>5109</v>
      </c>
      <c r="E2140">
        <v>1003</v>
      </c>
      <c r="F2140" t="s">
        <v>2</v>
      </c>
    </row>
    <row r="2141" spans="1:6">
      <c r="A2141">
        <v>202312</v>
      </c>
      <c r="B2141" s="6">
        <v>45274</v>
      </c>
      <c r="C2141" t="s">
        <v>2519</v>
      </c>
      <c r="D2141" t="s">
        <v>4470</v>
      </c>
      <c r="E2141">
        <v>-192.81</v>
      </c>
      <c r="F2141" t="s">
        <v>9</v>
      </c>
    </row>
    <row r="2142" spans="1:6">
      <c r="A2142">
        <v>202312</v>
      </c>
      <c r="B2142" s="6">
        <v>45274</v>
      </c>
      <c r="C2142" t="s">
        <v>3938</v>
      </c>
      <c r="D2142" t="s">
        <v>673</v>
      </c>
      <c r="E2142">
        <v>-468.2</v>
      </c>
      <c r="F2142" t="s">
        <v>9</v>
      </c>
    </row>
    <row r="2143" spans="1:6">
      <c r="A2143">
        <v>202312</v>
      </c>
      <c r="B2143" s="6">
        <v>45274</v>
      </c>
      <c r="C2143" t="s">
        <v>2519</v>
      </c>
      <c r="D2143" t="s">
        <v>5080</v>
      </c>
      <c r="E2143">
        <v>-2689.85</v>
      </c>
      <c r="F2143" t="s">
        <v>9</v>
      </c>
    </row>
    <row r="2144" spans="1:6">
      <c r="A2144">
        <v>202312</v>
      </c>
      <c r="B2144" s="6">
        <v>45274</v>
      </c>
      <c r="C2144" t="s">
        <v>5013</v>
      </c>
      <c r="D2144" t="s">
        <v>5036</v>
      </c>
      <c r="E2144">
        <v>4</v>
      </c>
      <c r="F2144" t="s">
        <v>7</v>
      </c>
    </row>
    <row r="2145" spans="1:6">
      <c r="A2145">
        <v>202312</v>
      </c>
      <c r="B2145" s="6">
        <v>45274</v>
      </c>
      <c r="C2145" t="s">
        <v>5013</v>
      </c>
      <c r="D2145" t="s">
        <v>5036</v>
      </c>
      <c r="E2145">
        <v>4</v>
      </c>
      <c r="F2145" t="s">
        <v>9</v>
      </c>
    </row>
    <row r="2146" spans="1:6">
      <c r="A2146">
        <v>202312</v>
      </c>
      <c r="B2146" s="6">
        <v>45274</v>
      </c>
      <c r="C2146" t="s">
        <v>5013</v>
      </c>
      <c r="D2146" t="s">
        <v>4012</v>
      </c>
      <c r="E2146">
        <v>-122.75</v>
      </c>
      <c r="F2146" t="s">
        <v>9</v>
      </c>
    </row>
    <row r="2147" spans="1:6">
      <c r="A2147">
        <v>202312</v>
      </c>
      <c r="B2147" s="6">
        <v>45274</v>
      </c>
      <c r="C2147" t="s">
        <v>5013</v>
      </c>
      <c r="D2147" t="s">
        <v>4012</v>
      </c>
      <c r="E2147">
        <v>-122.75</v>
      </c>
      <c r="F2147" t="s">
        <v>9</v>
      </c>
    </row>
    <row r="2148" spans="1:6">
      <c r="A2148">
        <v>202312</v>
      </c>
      <c r="B2148" s="6">
        <v>45274</v>
      </c>
      <c r="C2148" t="s">
        <v>2519</v>
      </c>
      <c r="D2148" t="s">
        <v>4356</v>
      </c>
      <c r="E2148">
        <v>116.77</v>
      </c>
      <c r="F2148" t="s">
        <v>18</v>
      </c>
    </row>
    <row r="2149" spans="1:6">
      <c r="A2149">
        <v>202312</v>
      </c>
      <c r="B2149" s="6">
        <v>45274</v>
      </c>
      <c r="C2149" t="s">
        <v>2519</v>
      </c>
      <c r="D2149" t="s">
        <v>4343</v>
      </c>
      <c r="E2149">
        <v>-4481.55</v>
      </c>
      <c r="F2149" t="s">
        <v>64</v>
      </c>
    </row>
    <row r="2150" spans="1:6">
      <c r="A2150">
        <v>202312</v>
      </c>
      <c r="B2150" s="6">
        <v>45274</v>
      </c>
      <c r="C2150" t="s">
        <v>5013</v>
      </c>
      <c r="D2150" t="s">
        <v>5110</v>
      </c>
      <c r="E2150">
        <v>53.58</v>
      </c>
      <c r="F2150" t="s">
        <v>26</v>
      </c>
    </row>
    <row r="2151" spans="1:6">
      <c r="A2151">
        <v>202312</v>
      </c>
      <c r="B2151" s="6">
        <v>45274</v>
      </c>
      <c r="C2151" t="s">
        <v>5013</v>
      </c>
      <c r="D2151" t="s">
        <v>5110</v>
      </c>
      <c r="E2151">
        <v>53.58</v>
      </c>
      <c r="F2151" t="s">
        <v>26</v>
      </c>
    </row>
    <row r="2152" spans="1:6">
      <c r="A2152">
        <v>202312</v>
      </c>
      <c r="B2152" s="6">
        <v>45274</v>
      </c>
      <c r="C2152" t="s">
        <v>2519</v>
      </c>
      <c r="D2152" t="s">
        <v>4293</v>
      </c>
      <c r="E2152">
        <v>468.2</v>
      </c>
      <c r="F2152" t="s">
        <v>9</v>
      </c>
    </row>
    <row r="2153" spans="1:6">
      <c r="A2153">
        <v>202312</v>
      </c>
      <c r="B2153" s="6">
        <v>45275</v>
      </c>
      <c r="C2153" t="s">
        <v>3938</v>
      </c>
      <c r="D2153" t="s">
        <v>2594</v>
      </c>
      <c r="E2153">
        <v>137.96</v>
      </c>
      <c r="F2153" t="s">
        <v>28</v>
      </c>
    </row>
    <row r="2154" spans="1:6">
      <c r="A2154">
        <v>202312</v>
      </c>
      <c r="B2154" s="6">
        <v>45275</v>
      </c>
      <c r="C2154" t="s">
        <v>3938</v>
      </c>
      <c r="D2154" t="s">
        <v>5111</v>
      </c>
      <c r="E2154">
        <v>44.01</v>
      </c>
      <c r="F2154" t="s">
        <v>38</v>
      </c>
    </row>
    <row r="2155" spans="1:6">
      <c r="A2155">
        <v>202312</v>
      </c>
      <c r="B2155" s="6">
        <v>45275</v>
      </c>
      <c r="C2155" t="s">
        <v>3938</v>
      </c>
      <c r="D2155" t="s">
        <v>5112</v>
      </c>
      <c r="E2155">
        <v>14.99</v>
      </c>
      <c r="F2155" t="s">
        <v>38</v>
      </c>
    </row>
    <row r="2156" spans="1:6">
      <c r="A2156">
        <v>202312</v>
      </c>
      <c r="B2156" s="6">
        <v>45275</v>
      </c>
      <c r="C2156" t="s">
        <v>3938</v>
      </c>
      <c r="D2156" t="s">
        <v>5113</v>
      </c>
      <c r="E2156">
        <v>33.21</v>
      </c>
      <c r="F2156" t="s">
        <v>23</v>
      </c>
    </row>
    <row r="2157" spans="1:6">
      <c r="A2157">
        <v>202312</v>
      </c>
      <c r="B2157" s="6">
        <v>45275</v>
      </c>
      <c r="C2157" t="s">
        <v>5013</v>
      </c>
      <c r="D2157" t="s">
        <v>1014</v>
      </c>
      <c r="E2157">
        <v>19.18</v>
      </c>
      <c r="F2157" t="s">
        <v>26</v>
      </c>
    </row>
    <row r="2158" spans="1:6">
      <c r="A2158">
        <v>202312</v>
      </c>
      <c r="B2158" s="6">
        <v>45275</v>
      </c>
      <c r="C2158" t="s">
        <v>5013</v>
      </c>
      <c r="D2158" t="s">
        <v>1014</v>
      </c>
      <c r="E2158">
        <v>19.18</v>
      </c>
      <c r="F2158" t="s">
        <v>26</v>
      </c>
    </row>
    <row r="2159" spans="1:6">
      <c r="A2159">
        <v>202312</v>
      </c>
      <c r="B2159" s="6">
        <v>45275</v>
      </c>
      <c r="C2159" t="s">
        <v>5013</v>
      </c>
      <c r="D2159" t="s">
        <v>1083</v>
      </c>
      <c r="E2159">
        <v>38.49</v>
      </c>
      <c r="F2159" t="s">
        <v>23</v>
      </c>
    </row>
    <row r="2160" spans="1:6">
      <c r="A2160">
        <v>202312</v>
      </c>
      <c r="B2160" s="6">
        <v>45275</v>
      </c>
      <c r="C2160" t="s">
        <v>5013</v>
      </c>
      <c r="D2160" t="s">
        <v>1083</v>
      </c>
      <c r="E2160">
        <v>38.49</v>
      </c>
      <c r="F2160" t="s">
        <v>23</v>
      </c>
    </row>
    <row r="2161" spans="1:6">
      <c r="A2161">
        <v>202312</v>
      </c>
      <c r="B2161" s="6">
        <v>45275</v>
      </c>
      <c r="C2161" t="s">
        <v>2519</v>
      </c>
      <c r="D2161" t="s">
        <v>1458</v>
      </c>
      <c r="E2161">
        <v>122.75</v>
      </c>
      <c r="F2161" t="s">
        <v>9</v>
      </c>
    </row>
    <row r="2162" spans="1:6">
      <c r="A2162">
        <v>202312</v>
      </c>
      <c r="B2162" s="6">
        <v>45275</v>
      </c>
      <c r="C2162" t="s">
        <v>2519</v>
      </c>
      <c r="D2162" t="s">
        <v>5114</v>
      </c>
      <c r="E2162">
        <v>1000</v>
      </c>
      <c r="F2162" t="s">
        <v>2</v>
      </c>
    </row>
    <row r="2163" spans="1:6">
      <c r="A2163">
        <v>202312</v>
      </c>
      <c r="B2163" s="6">
        <v>45276</v>
      </c>
      <c r="C2163" t="s">
        <v>5013</v>
      </c>
      <c r="D2163" t="s">
        <v>5115</v>
      </c>
      <c r="E2163">
        <v>48.77</v>
      </c>
      <c r="F2163" t="s">
        <v>26</v>
      </c>
    </row>
    <row r="2164" spans="1:6">
      <c r="A2164">
        <v>202312</v>
      </c>
      <c r="B2164" s="6">
        <v>45276</v>
      </c>
      <c r="C2164" t="s">
        <v>5013</v>
      </c>
      <c r="D2164" t="s">
        <v>5115</v>
      </c>
      <c r="E2164">
        <v>48.77</v>
      </c>
      <c r="F2164" t="s">
        <v>26</v>
      </c>
    </row>
    <row r="2165" spans="1:6">
      <c r="A2165">
        <v>202312</v>
      </c>
      <c r="B2165" s="6">
        <v>45276</v>
      </c>
      <c r="C2165" t="s">
        <v>5013</v>
      </c>
      <c r="D2165" t="s">
        <v>5078</v>
      </c>
      <c r="E2165">
        <v>144.96</v>
      </c>
      <c r="F2165" t="s">
        <v>2</v>
      </c>
    </row>
    <row r="2166" spans="1:6">
      <c r="A2166">
        <v>202312</v>
      </c>
      <c r="B2166" s="6">
        <v>45276</v>
      </c>
      <c r="C2166" t="s">
        <v>5013</v>
      </c>
      <c r="D2166" t="s">
        <v>5078</v>
      </c>
      <c r="E2166">
        <v>144.96</v>
      </c>
      <c r="F2166" t="s">
        <v>2</v>
      </c>
    </row>
    <row r="2167" spans="1:6">
      <c r="A2167">
        <v>202312</v>
      </c>
      <c r="B2167" s="6">
        <v>45276</v>
      </c>
      <c r="C2167" t="s">
        <v>5013</v>
      </c>
      <c r="D2167" t="s">
        <v>1849</v>
      </c>
      <c r="E2167">
        <v>20.54</v>
      </c>
      <c r="F2167" t="s">
        <v>2</v>
      </c>
    </row>
    <row r="2168" spans="1:6">
      <c r="A2168">
        <v>202312</v>
      </c>
      <c r="B2168" s="6">
        <v>45276</v>
      </c>
      <c r="C2168" t="s">
        <v>5013</v>
      </c>
      <c r="D2168" t="s">
        <v>1849</v>
      </c>
      <c r="E2168">
        <v>20.54</v>
      </c>
      <c r="F2168" t="s">
        <v>2</v>
      </c>
    </row>
    <row r="2169" spans="1:6">
      <c r="A2169">
        <v>202312</v>
      </c>
      <c r="B2169" s="6">
        <v>45277</v>
      </c>
      <c r="C2169" t="s">
        <v>3938</v>
      </c>
      <c r="D2169" t="s">
        <v>684</v>
      </c>
      <c r="E2169">
        <v>5</v>
      </c>
      <c r="F2169" t="s">
        <v>28</v>
      </c>
    </row>
    <row r="2170" spans="1:6">
      <c r="A2170">
        <v>202312</v>
      </c>
      <c r="B2170" s="6">
        <v>45277</v>
      </c>
      <c r="C2170" t="s">
        <v>5013</v>
      </c>
      <c r="D2170" t="s">
        <v>684</v>
      </c>
      <c r="E2170">
        <v>87.78</v>
      </c>
      <c r="F2170" t="s">
        <v>28</v>
      </c>
    </row>
    <row r="2171" spans="1:6">
      <c r="A2171">
        <v>202312</v>
      </c>
      <c r="B2171" s="6">
        <v>45277</v>
      </c>
      <c r="C2171" t="s">
        <v>5013</v>
      </c>
      <c r="D2171" t="s">
        <v>684</v>
      </c>
      <c r="E2171">
        <v>87.78</v>
      </c>
      <c r="F2171" t="s">
        <v>28</v>
      </c>
    </row>
    <row r="2172" spans="1:6">
      <c r="A2172">
        <v>202312</v>
      </c>
      <c r="B2172" s="6">
        <v>45277</v>
      </c>
      <c r="C2172" t="s">
        <v>3938</v>
      </c>
      <c r="D2172" t="s">
        <v>5116</v>
      </c>
      <c r="E2172">
        <v>5.5</v>
      </c>
      <c r="F2172" t="s">
        <v>21</v>
      </c>
    </row>
    <row r="2173" spans="1:6">
      <c r="A2173">
        <v>202312</v>
      </c>
      <c r="B2173" s="6">
        <v>45278</v>
      </c>
      <c r="C2173" t="s">
        <v>2519</v>
      </c>
      <c r="D2173" t="s">
        <v>1955</v>
      </c>
      <c r="E2173">
        <v>73.099999999999994</v>
      </c>
      <c r="F2173" t="s">
        <v>21</v>
      </c>
    </row>
    <row r="2174" spans="1:6">
      <c r="A2174">
        <v>202312</v>
      </c>
      <c r="B2174" s="6">
        <v>45278</v>
      </c>
      <c r="C2174" t="s">
        <v>2519</v>
      </c>
      <c r="D2174" t="s">
        <v>5117</v>
      </c>
      <c r="E2174">
        <v>650</v>
      </c>
      <c r="F2174" t="s">
        <v>20</v>
      </c>
    </row>
    <row r="2175" spans="1:6">
      <c r="A2175">
        <v>202312</v>
      </c>
      <c r="B2175" s="6">
        <v>45279</v>
      </c>
      <c r="C2175" t="s">
        <v>5013</v>
      </c>
      <c r="D2175" t="s">
        <v>4870</v>
      </c>
      <c r="E2175">
        <v>10.58</v>
      </c>
      <c r="F2175" t="s">
        <v>26</v>
      </c>
    </row>
    <row r="2176" spans="1:6">
      <c r="A2176">
        <v>202312</v>
      </c>
      <c r="B2176" s="6">
        <v>45279</v>
      </c>
      <c r="C2176" t="s">
        <v>5013</v>
      </c>
      <c r="D2176" t="s">
        <v>4870</v>
      </c>
      <c r="E2176">
        <v>10.58</v>
      </c>
      <c r="F2176" t="s">
        <v>26</v>
      </c>
    </row>
    <row r="2177" spans="1:6">
      <c r="A2177">
        <v>202312</v>
      </c>
      <c r="B2177" s="6">
        <v>45279</v>
      </c>
      <c r="C2177" t="s">
        <v>2519</v>
      </c>
      <c r="D2177" t="s">
        <v>1955</v>
      </c>
      <c r="E2177">
        <v>2.99</v>
      </c>
      <c r="F2177" t="s">
        <v>21</v>
      </c>
    </row>
    <row r="2178" spans="1:6">
      <c r="A2178">
        <v>202312</v>
      </c>
      <c r="B2178" s="6">
        <v>45279</v>
      </c>
      <c r="C2178" t="s">
        <v>2519</v>
      </c>
      <c r="D2178" t="s">
        <v>1958</v>
      </c>
      <c r="E2178">
        <v>76.08</v>
      </c>
      <c r="F2178" t="s">
        <v>21</v>
      </c>
    </row>
    <row r="2179" spans="1:6">
      <c r="A2179">
        <v>202312</v>
      </c>
      <c r="B2179" s="6">
        <v>45279</v>
      </c>
      <c r="C2179" t="s">
        <v>2519</v>
      </c>
      <c r="D2179" t="s">
        <v>5118</v>
      </c>
      <c r="E2179">
        <v>330</v>
      </c>
      <c r="F2179" t="s">
        <v>20</v>
      </c>
    </row>
    <row r="2180" spans="1:6">
      <c r="A2180">
        <v>202312</v>
      </c>
      <c r="B2180" s="6">
        <v>45280</v>
      </c>
      <c r="C2180" t="s">
        <v>3932</v>
      </c>
      <c r="D2180" t="s">
        <v>113</v>
      </c>
      <c r="E2180">
        <v>-8.06</v>
      </c>
      <c r="F2180" t="s">
        <v>41</v>
      </c>
    </row>
    <row r="2181" spans="1:6">
      <c r="A2181">
        <v>202312</v>
      </c>
      <c r="B2181" s="6">
        <v>45280</v>
      </c>
      <c r="C2181" t="s">
        <v>3932</v>
      </c>
      <c r="D2181" t="s">
        <v>5119</v>
      </c>
      <c r="E2181">
        <v>-8.06</v>
      </c>
      <c r="F2181" t="s">
        <v>38</v>
      </c>
    </row>
    <row r="2182" spans="1:6">
      <c r="A2182">
        <v>202312</v>
      </c>
      <c r="B2182" s="6">
        <v>45280</v>
      </c>
      <c r="C2182" t="s">
        <v>3938</v>
      </c>
      <c r="D2182" t="s">
        <v>5120</v>
      </c>
      <c r="E2182">
        <v>57</v>
      </c>
      <c r="F2182" t="s">
        <v>40</v>
      </c>
    </row>
    <row r="2183" spans="1:6">
      <c r="A2183">
        <v>202312</v>
      </c>
      <c r="B2183" s="6">
        <v>45280</v>
      </c>
      <c r="C2183" t="s">
        <v>3938</v>
      </c>
      <c r="D2183" t="s">
        <v>4899</v>
      </c>
      <c r="E2183">
        <v>1.99</v>
      </c>
      <c r="F2183" t="s">
        <v>7</v>
      </c>
    </row>
    <row r="2184" spans="1:6">
      <c r="A2184">
        <v>202312</v>
      </c>
      <c r="B2184" s="6">
        <v>45280</v>
      </c>
      <c r="C2184" t="s">
        <v>5013</v>
      </c>
      <c r="D2184" t="s">
        <v>1925</v>
      </c>
      <c r="E2184">
        <v>158.4</v>
      </c>
      <c r="F2184" t="s">
        <v>28</v>
      </c>
    </row>
    <row r="2185" spans="1:6">
      <c r="A2185">
        <v>202312</v>
      </c>
      <c r="B2185" s="6">
        <v>45280</v>
      </c>
      <c r="C2185" t="s">
        <v>5013</v>
      </c>
      <c r="D2185" t="s">
        <v>1925</v>
      </c>
      <c r="E2185">
        <v>158.4</v>
      </c>
      <c r="F2185" t="s">
        <v>28</v>
      </c>
    </row>
    <row r="2186" spans="1:6">
      <c r="A2186">
        <v>202312</v>
      </c>
      <c r="B2186" s="6">
        <v>45280</v>
      </c>
      <c r="C2186" t="s">
        <v>2519</v>
      </c>
      <c r="D2186" t="s">
        <v>5121</v>
      </c>
      <c r="E2186">
        <v>503</v>
      </c>
      <c r="F2186" t="s">
        <v>2</v>
      </c>
    </row>
    <row r="2187" spans="1:6">
      <c r="A2187">
        <v>202312</v>
      </c>
      <c r="B2187" s="6">
        <v>45281</v>
      </c>
      <c r="C2187" t="s">
        <v>3938</v>
      </c>
      <c r="D2187" t="s">
        <v>5122</v>
      </c>
      <c r="E2187">
        <v>11</v>
      </c>
      <c r="F2187" t="s">
        <v>2</v>
      </c>
    </row>
    <row r="2188" spans="1:6">
      <c r="A2188">
        <v>202312</v>
      </c>
      <c r="B2188" s="6">
        <v>45281</v>
      </c>
      <c r="C2188" t="s">
        <v>5013</v>
      </c>
      <c r="D2188" t="s">
        <v>5123</v>
      </c>
      <c r="E2188">
        <v>94.27</v>
      </c>
      <c r="F2188" t="s">
        <v>21</v>
      </c>
    </row>
    <row r="2189" spans="1:6">
      <c r="A2189">
        <v>202312</v>
      </c>
      <c r="B2189" s="6">
        <v>45281</v>
      </c>
      <c r="C2189" t="s">
        <v>2519</v>
      </c>
      <c r="D2189" t="s">
        <v>404</v>
      </c>
      <c r="E2189">
        <v>-3594.82</v>
      </c>
      <c r="F2189" t="s">
        <v>66</v>
      </c>
    </row>
    <row r="2190" spans="1:6">
      <c r="A2190">
        <v>202312</v>
      </c>
      <c r="B2190" s="6">
        <v>45281</v>
      </c>
      <c r="C2190" t="s">
        <v>3938</v>
      </c>
      <c r="D2190" t="s">
        <v>4887</v>
      </c>
      <c r="E2190">
        <v>29.67</v>
      </c>
      <c r="F2190" t="s">
        <v>23</v>
      </c>
    </row>
    <row r="2191" spans="1:6">
      <c r="A2191">
        <v>202312</v>
      </c>
      <c r="B2191" s="6">
        <v>45281</v>
      </c>
      <c r="C2191" t="s">
        <v>2519</v>
      </c>
      <c r="D2191" t="s">
        <v>5124</v>
      </c>
      <c r="E2191">
        <v>-457.8</v>
      </c>
      <c r="F2191" t="s">
        <v>64</v>
      </c>
    </row>
    <row r="2192" spans="1:6">
      <c r="A2192">
        <v>202312</v>
      </c>
      <c r="B2192" s="6">
        <v>45281</v>
      </c>
      <c r="C2192" t="s">
        <v>5013</v>
      </c>
      <c r="D2192" t="s">
        <v>5125</v>
      </c>
      <c r="E2192">
        <v>83.3</v>
      </c>
      <c r="F2192" t="s">
        <v>26</v>
      </c>
    </row>
    <row r="2193" spans="1:6">
      <c r="A2193">
        <v>202312</v>
      </c>
      <c r="B2193" s="6">
        <v>45281</v>
      </c>
      <c r="C2193" t="s">
        <v>3938</v>
      </c>
      <c r="D2193" t="s">
        <v>5126</v>
      </c>
      <c r="E2193">
        <v>211.95</v>
      </c>
      <c r="F2193" t="s">
        <v>21</v>
      </c>
    </row>
    <row r="2194" spans="1:6">
      <c r="A2194">
        <v>202312</v>
      </c>
      <c r="B2194" s="6">
        <v>45281</v>
      </c>
      <c r="C2194" t="s">
        <v>3932</v>
      </c>
      <c r="D2194" t="s">
        <v>5056</v>
      </c>
      <c r="E2194">
        <v>-408.05</v>
      </c>
      <c r="F2194" t="e">
        <v>#N/A</v>
      </c>
    </row>
    <row r="2195" spans="1:6">
      <c r="A2195">
        <v>202312</v>
      </c>
      <c r="B2195" s="6">
        <v>45281</v>
      </c>
      <c r="C2195" t="s">
        <v>2519</v>
      </c>
      <c r="D2195" t="s">
        <v>1958</v>
      </c>
      <c r="E2195">
        <v>125</v>
      </c>
      <c r="F2195" t="s">
        <v>21</v>
      </c>
    </row>
    <row r="2196" spans="1:6">
      <c r="A2196">
        <v>202312</v>
      </c>
      <c r="B2196" s="6">
        <v>45281</v>
      </c>
      <c r="C2196" t="s">
        <v>2519</v>
      </c>
      <c r="D2196" t="s">
        <v>1958</v>
      </c>
      <c r="E2196">
        <v>109</v>
      </c>
      <c r="F2196" t="s">
        <v>21</v>
      </c>
    </row>
    <row r="2197" spans="1:6">
      <c r="A2197">
        <v>202312</v>
      </c>
      <c r="B2197" s="6">
        <v>45281</v>
      </c>
      <c r="C2197" t="s">
        <v>2519</v>
      </c>
      <c r="D2197" t="s">
        <v>5127</v>
      </c>
      <c r="E2197">
        <v>51.21</v>
      </c>
      <c r="F2197" t="s">
        <v>7</v>
      </c>
    </row>
    <row r="2198" spans="1:6">
      <c r="A2198">
        <v>202312</v>
      </c>
      <c r="B2198" s="6">
        <v>45282</v>
      </c>
      <c r="C2198" t="s">
        <v>3932</v>
      </c>
      <c r="D2198" t="s">
        <v>38</v>
      </c>
      <c r="E2198">
        <v>35.71</v>
      </c>
      <c r="F2198" t="s">
        <v>41</v>
      </c>
    </row>
    <row r="2199" spans="1:6">
      <c r="A2199">
        <v>202312</v>
      </c>
      <c r="B2199" s="6">
        <v>45282</v>
      </c>
      <c r="C2199" t="s">
        <v>3932</v>
      </c>
      <c r="D2199" t="s">
        <v>38</v>
      </c>
      <c r="E2199">
        <v>9.31</v>
      </c>
      <c r="F2199" t="s">
        <v>41</v>
      </c>
    </row>
    <row r="2200" spans="1:6">
      <c r="A2200">
        <v>202312</v>
      </c>
      <c r="B2200" s="6">
        <v>45282</v>
      </c>
      <c r="C2200" t="s">
        <v>5013</v>
      </c>
      <c r="D2200" t="s">
        <v>4093</v>
      </c>
      <c r="E2200">
        <v>41.32</v>
      </c>
      <c r="F2200" t="s">
        <v>28</v>
      </c>
    </row>
    <row r="2201" spans="1:6">
      <c r="A2201">
        <v>202312</v>
      </c>
      <c r="B2201" s="6">
        <v>45282</v>
      </c>
      <c r="C2201" t="s">
        <v>5013</v>
      </c>
      <c r="D2201" t="s">
        <v>1083</v>
      </c>
      <c r="E2201">
        <v>76.44</v>
      </c>
      <c r="F2201" t="s">
        <v>23</v>
      </c>
    </row>
    <row r="2202" spans="1:6">
      <c r="A2202">
        <v>202312</v>
      </c>
      <c r="B2202" s="6">
        <v>45282</v>
      </c>
      <c r="C2202" t="s">
        <v>5013</v>
      </c>
      <c r="D2202" t="s">
        <v>1277</v>
      </c>
      <c r="E2202">
        <v>74.37</v>
      </c>
      <c r="F2202" t="s">
        <v>26</v>
      </c>
    </row>
    <row r="2203" spans="1:6">
      <c r="A2203">
        <v>202312</v>
      </c>
      <c r="B2203" s="6">
        <v>45282</v>
      </c>
      <c r="C2203" t="s">
        <v>2519</v>
      </c>
      <c r="D2203" t="s">
        <v>4293</v>
      </c>
      <c r="E2203">
        <v>552.28</v>
      </c>
      <c r="F2203" t="s">
        <v>9</v>
      </c>
    </row>
    <row r="2204" spans="1:6">
      <c r="A2204">
        <v>202312</v>
      </c>
      <c r="B2204" s="6">
        <v>45283</v>
      </c>
      <c r="C2204" t="s">
        <v>5013</v>
      </c>
      <c r="D2204" t="s">
        <v>5128</v>
      </c>
      <c r="E2204">
        <v>181.63</v>
      </c>
      <c r="F2204" t="s">
        <v>26</v>
      </c>
    </row>
    <row r="2205" spans="1:6">
      <c r="A2205">
        <v>202312</v>
      </c>
      <c r="B2205" s="6">
        <v>45284</v>
      </c>
      <c r="C2205" t="s">
        <v>5013</v>
      </c>
      <c r="D2205" t="s">
        <v>684</v>
      </c>
      <c r="E2205">
        <v>1.04</v>
      </c>
      <c r="F2205" t="s">
        <v>28</v>
      </c>
    </row>
    <row r="2206" spans="1:6">
      <c r="A2206">
        <v>202312</v>
      </c>
      <c r="B2206" s="6">
        <v>45284</v>
      </c>
      <c r="C2206" t="s">
        <v>5013</v>
      </c>
      <c r="D2206" t="s">
        <v>1849</v>
      </c>
      <c r="E2206">
        <v>30.82</v>
      </c>
      <c r="F2206" t="s">
        <v>2</v>
      </c>
    </row>
    <row r="2207" spans="1:6">
      <c r="A2207">
        <v>202312</v>
      </c>
      <c r="B2207" s="6">
        <v>45286</v>
      </c>
      <c r="C2207" t="s">
        <v>5013</v>
      </c>
      <c r="D2207" t="s">
        <v>5078</v>
      </c>
      <c r="E2207">
        <v>319.51</v>
      </c>
      <c r="F2207" t="s">
        <v>2</v>
      </c>
    </row>
    <row r="2208" spans="1:6">
      <c r="A2208">
        <v>202312</v>
      </c>
      <c r="B2208" s="6">
        <v>45287</v>
      </c>
      <c r="C2208" t="s">
        <v>3932</v>
      </c>
      <c r="D2208" t="s">
        <v>38</v>
      </c>
      <c r="E2208">
        <v>19.5</v>
      </c>
      <c r="F2208" t="s">
        <v>41</v>
      </c>
    </row>
    <row r="2209" spans="1:6">
      <c r="A2209">
        <v>202312</v>
      </c>
      <c r="B2209" s="6">
        <v>45287</v>
      </c>
      <c r="C2209" t="s">
        <v>5013</v>
      </c>
      <c r="D2209" t="s">
        <v>1929</v>
      </c>
      <c r="E2209">
        <v>365.19</v>
      </c>
      <c r="F2209" t="s">
        <v>23</v>
      </c>
    </row>
    <row r="2210" spans="1:6">
      <c r="A2210">
        <v>202312</v>
      </c>
      <c r="B2210" s="6">
        <v>45288</v>
      </c>
      <c r="C2210" t="s">
        <v>3932</v>
      </c>
      <c r="D2210" t="s">
        <v>38</v>
      </c>
      <c r="E2210">
        <v>187.98</v>
      </c>
      <c r="F2210" t="s">
        <v>41</v>
      </c>
    </row>
    <row r="2211" spans="1:6">
      <c r="A2211">
        <v>202312</v>
      </c>
      <c r="B2211" s="6">
        <v>45288</v>
      </c>
      <c r="C2211" t="s">
        <v>3932</v>
      </c>
      <c r="D2211" t="s">
        <v>38</v>
      </c>
      <c r="E2211">
        <v>41.51</v>
      </c>
      <c r="F2211" t="s">
        <v>41</v>
      </c>
    </row>
    <row r="2212" spans="1:6">
      <c r="A2212">
        <v>202312</v>
      </c>
      <c r="B2212" s="6">
        <v>45289</v>
      </c>
      <c r="C2212" t="s">
        <v>3932</v>
      </c>
      <c r="D2212" t="s">
        <v>38</v>
      </c>
      <c r="E2212">
        <v>1.71</v>
      </c>
      <c r="F2212" t="s">
        <v>38</v>
      </c>
    </row>
    <row r="2213" spans="1:6">
      <c r="A2213">
        <v>202312</v>
      </c>
      <c r="B2213" s="6">
        <v>45289</v>
      </c>
      <c r="C2213" t="s">
        <v>5013</v>
      </c>
      <c r="D2213" t="s">
        <v>5129</v>
      </c>
      <c r="E2213">
        <v>47.95</v>
      </c>
      <c r="F2213" t="s">
        <v>26</v>
      </c>
    </row>
    <row r="2214" spans="1:6">
      <c r="A2214">
        <v>202312</v>
      </c>
      <c r="B2214" s="6">
        <v>45289</v>
      </c>
      <c r="C2214" t="s">
        <v>5013</v>
      </c>
      <c r="D2214" t="s">
        <v>5130</v>
      </c>
      <c r="E2214">
        <v>36.799999999999997</v>
      </c>
      <c r="F2214" t="s">
        <v>21</v>
      </c>
    </row>
    <row r="2215" spans="1:6">
      <c r="A2215">
        <v>202312</v>
      </c>
      <c r="B2215" s="6">
        <v>45289</v>
      </c>
      <c r="C2215" t="s">
        <v>5013</v>
      </c>
      <c r="D2215" t="s">
        <v>5131</v>
      </c>
      <c r="E2215">
        <v>208.53</v>
      </c>
      <c r="F2215" t="s">
        <v>28</v>
      </c>
    </row>
    <row r="2216" spans="1:6">
      <c r="A2216">
        <v>202312</v>
      </c>
      <c r="B2216" s="6">
        <v>45289</v>
      </c>
      <c r="C2216" t="s">
        <v>5013</v>
      </c>
      <c r="D2216" t="s">
        <v>5132</v>
      </c>
      <c r="E2216">
        <v>62.51</v>
      </c>
      <c r="F2216" t="s">
        <v>26</v>
      </c>
    </row>
    <row r="2217" spans="1:6">
      <c r="A2217">
        <v>202312</v>
      </c>
      <c r="B2217" s="6">
        <v>45290</v>
      </c>
      <c r="C2217" t="s">
        <v>5013</v>
      </c>
      <c r="D2217" t="s">
        <v>318</v>
      </c>
      <c r="E2217">
        <v>62.66</v>
      </c>
      <c r="F2217" t="s">
        <v>26</v>
      </c>
    </row>
    <row r="2218" spans="1:6">
      <c r="A2218">
        <v>202312</v>
      </c>
      <c r="B2218" s="6">
        <v>45290</v>
      </c>
      <c r="C2218" t="s">
        <v>5013</v>
      </c>
      <c r="D2218" t="s">
        <v>5133</v>
      </c>
      <c r="E2218">
        <v>48.65</v>
      </c>
      <c r="F2218" t="s">
        <v>43</v>
      </c>
    </row>
    <row r="2219" spans="1:6">
      <c r="A2219">
        <v>202312</v>
      </c>
      <c r="B2219" s="6">
        <v>45290</v>
      </c>
      <c r="C2219" t="s">
        <v>5013</v>
      </c>
      <c r="D2219" t="s">
        <v>5133</v>
      </c>
      <c r="E2219">
        <v>35.200000000000003</v>
      </c>
      <c r="F2219" t="s">
        <v>43</v>
      </c>
    </row>
    <row r="2220" spans="1:6">
      <c r="A2220">
        <v>202312</v>
      </c>
      <c r="B2220" s="6">
        <v>45290</v>
      </c>
      <c r="C2220" t="s">
        <v>5013</v>
      </c>
      <c r="D2220" t="s">
        <v>5133</v>
      </c>
      <c r="E2220">
        <v>39.549999999999997</v>
      </c>
      <c r="F2220" t="s">
        <v>43</v>
      </c>
    </row>
    <row r="2221" spans="1:6">
      <c r="A2221">
        <v>202312</v>
      </c>
      <c r="B2221" s="6">
        <v>45290</v>
      </c>
      <c r="C2221" t="s">
        <v>5013</v>
      </c>
      <c r="D2221" t="s">
        <v>5134</v>
      </c>
      <c r="E2221">
        <v>23.5</v>
      </c>
      <c r="F2221" t="s">
        <v>26</v>
      </c>
    </row>
    <row r="2222" spans="1:6">
      <c r="A2222">
        <v>202312</v>
      </c>
      <c r="B2222" s="6">
        <v>45290</v>
      </c>
      <c r="C2222" t="s">
        <v>5013</v>
      </c>
      <c r="D2222" t="s">
        <v>5135</v>
      </c>
      <c r="E2222">
        <v>494</v>
      </c>
      <c r="F2222" t="s">
        <v>43</v>
      </c>
    </row>
    <row r="2223" spans="1:6">
      <c r="A2223">
        <v>202312</v>
      </c>
      <c r="B2223" s="6">
        <v>45291</v>
      </c>
      <c r="C2223" t="s">
        <v>5013</v>
      </c>
      <c r="D2223" t="s">
        <v>5136</v>
      </c>
      <c r="E2223">
        <v>33.56</v>
      </c>
      <c r="F2223" t="s">
        <v>26</v>
      </c>
    </row>
    <row r="2224" spans="1:6">
      <c r="A2224">
        <v>202312</v>
      </c>
      <c r="B2224" s="6">
        <v>45291</v>
      </c>
      <c r="C2224" t="s">
        <v>5013</v>
      </c>
      <c r="D2224" t="s">
        <v>5137</v>
      </c>
      <c r="E2224">
        <v>322.02999999999997</v>
      </c>
      <c r="F2224" t="s">
        <v>28</v>
      </c>
    </row>
    <row r="2225" spans="1:6">
      <c r="A2225">
        <v>202312</v>
      </c>
      <c r="B2225" s="6">
        <v>45291</v>
      </c>
      <c r="C2225" t="s">
        <v>5013</v>
      </c>
      <c r="D2225" t="s">
        <v>5138</v>
      </c>
      <c r="E2225">
        <v>30</v>
      </c>
      <c r="F2225" t="s">
        <v>26</v>
      </c>
    </row>
    <row r="2226" spans="1:6">
      <c r="A2226">
        <v>202312</v>
      </c>
      <c r="B2226" s="6">
        <v>45291</v>
      </c>
      <c r="C2226" t="s">
        <v>5013</v>
      </c>
      <c r="D2226" t="s">
        <v>5139</v>
      </c>
      <c r="E2226">
        <v>27.98</v>
      </c>
      <c r="F2226" t="s">
        <v>26</v>
      </c>
    </row>
    <row r="2227" spans="1:6">
      <c r="A2227">
        <v>202312</v>
      </c>
      <c r="B2227" s="6">
        <v>45291</v>
      </c>
      <c r="C2227" t="s">
        <v>5013</v>
      </c>
      <c r="D2227" t="s">
        <v>5140</v>
      </c>
      <c r="E2227">
        <v>571.96</v>
      </c>
      <c r="F2227" t="s">
        <v>26</v>
      </c>
    </row>
    <row r="2228" spans="1:6">
      <c r="A2228">
        <v>202312</v>
      </c>
      <c r="B2228" s="6">
        <v>45291</v>
      </c>
      <c r="C2228" t="s">
        <v>5013</v>
      </c>
      <c r="D2228" t="s">
        <v>5141</v>
      </c>
      <c r="E2228">
        <v>75.760000000000005</v>
      </c>
      <c r="F2228" t="s">
        <v>26</v>
      </c>
    </row>
    <row r="2229" spans="1:6">
      <c r="A2229">
        <v>202401</v>
      </c>
      <c r="B2229" s="6">
        <v>45292</v>
      </c>
      <c r="C2229" t="s">
        <v>4250</v>
      </c>
      <c r="D2229" t="s">
        <v>5142</v>
      </c>
      <c r="E2229">
        <v>5.41</v>
      </c>
      <c r="F2229" t="s">
        <v>38</v>
      </c>
    </row>
    <row r="2230" spans="1:6">
      <c r="A2230">
        <v>202401</v>
      </c>
      <c r="B2230" s="6">
        <v>45292</v>
      </c>
      <c r="C2230" t="s">
        <v>5013</v>
      </c>
      <c r="D2230" t="s">
        <v>4014</v>
      </c>
      <c r="E2230">
        <v>405.37</v>
      </c>
      <c r="F2230" t="s">
        <v>43</v>
      </c>
    </row>
    <row r="2231" spans="1:6">
      <c r="A2231">
        <v>202401</v>
      </c>
      <c r="B2231" s="6">
        <v>45292</v>
      </c>
      <c r="C2231" t="s">
        <v>5013</v>
      </c>
      <c r="D2231" t="s">
        <v>5144</v>
      </c>
      <c r="E2231">
        <v>22.34</v>
      </c>
      <c r="F2231" t="s">
        <v>43</v>
      </c>
    </row>
    <row r="2232" spans="1:6">
      <c r="A2232">
        <v>202401</v>
      </c>
      <c r="B2232" s="6">
        <v>45292</v>
      </c>
      <c r="C2232" t="s">
        <v>5013</v>
      </c>
      <c r="D2232" t="s">
        <v>5146</v>
      </c>
      <c r="E2232">
        <v>1617.69</v>
      </c>
      <c r="F2232" t="s">
        <v>43</v>
      </c>
    </row>
    <row r="2233" spans="1:6">
      <c r="A2233">
        <v>202401</v>
      </c>
      <c r="B2233" s="6">
        <v>45292</v>
      </c>
      <c r="C2233" t="s">
        <v>5013</v>
      </c>
      <c r="D2233" t="s">
        <v>4864</v>
      </c>
      <c r="E2233">
        <v>248.28</v>
      </c>
      <c r="F2233" t="s">
        <v>54</v>
      </c>
    </row>
    <row r="2234" spans="1:6">
      <c r="A2234">
        <v>202401</v>
      </c>
      <c r="B2234" s="6">
        <v>45292</v>
      </c>
      <c r="C2234" t="s">
        <v>5013</v>
      </c>
      <c r="D2234" t="s">
        <v>1408</v>
      </c>
      <c r="E2234">
        <v>214.2</v>
      </c>
      <c r="F2234" t="s">
        <v>21</v>
      </c>
    </row>
    <row r="2235" spans="1:6">
      <c r="A2235">
        <v>202401</v>
      </c>
      <c r="B2235" s="6">
        <v>45293</v>
      </c>
      <c r="C2235" t="s">
        <v>4369</v>
      </c>
      <c r="D2235" t="s">
        <v>5148</v>
      </c>
      <c r="E2235">
        <v>96.5</v>
      </c>
      <c r="F2235" t="s">
        <v>7</v>
      </c>
    </row>
    <row r="2236" spans="1:6">
      <c r="A2236">
        <v>202401</v>
      </c>
      <c r="B2236" s="6">
        <v>45293</v>
      </c>
      <c r="C2236" t="s">
        <v>4370</v>
      </c>
      <c r="D2236" t="s">
        <v>1460</v>
      </c>
      <c r="E2236">
        <v>2741.74</v>
      </c>
      <c r="F2236" t="s">
        <v>5</v>
      </c>
    </row>
    <row r="2237" spans="1:6">
      <c r="A2237">
        <v>202401</v>
      </c>
      <c r="B2237" s="6">
        <v>45293</v>
      </c>
      <c r="C2237" t="s">
        <v>4371</v>
      </c>
      <c r="D2237" t="s">
        <v>4716</v>
      </c>
      <c r="E2237">
        <v>650</v>
      </c>
      <c r="F2237" t="s">
        <v>61</v>
      </c>
    </row>
    <row r="2238" spans="1:6">
      <c r="A2238">
        <v>202401</v>
      </c>
      <c r="B2238" s="6">
        <v>45293</v>
      </c>
      <c r="C2238" t="s">
        <v>4368</v>
      </c>
      <c r="D2238" t="s">
        <v>1955</v>
      </c>
      <c r="E2238">
        <v>40.22</v>
      </c>
      <c r="F2238" t="s">
        <v>21</v>
      </c>
    </row>
    <row r="2239" spans="1:6">
      <c r="A2239">
        <v>202401</v>
      </c>
      <c r="B2239" s="6">
        <v>45294</v>
      </c>
      <c r="C2239" t="s">
        <v>2712</v>
      </c>
      <c r="D2239" t="s">
        <v>2713</v>
      </c>
      <c r="E2239">
        <v>7433.71</v>
      </c>
      <c r="F2239" t="s">
        <v>9</v>
      </c>
    </row>
    <row r="2240" spans="1:6">
      <c r="A2240">
        <v>202401</v>
      </c>
      <c r="B2240" s="6">
        <v>45294</v>
      </c>
      <c r="C2240" t="s">
        <v>4272</v>
      </c>
      <c r="D2240" t="s">
        <v>1168</v>
      </c>
      <c r="E2240">
        <v>9.6999999999999993</v>
      </c>
      <c r="F2240" t="s">
        <v>23</v>
      </c>
    </row>
    <row r="2241" spans="1:6">
      <c r="A2241">
        <v>202401</v>
      </c>
      <c r="B2241" s="6">
        <v>45294</v>
      </c>
      <c r="C2241" t="s">
        <v>5013</v>
      </c>
      <c r="D2241" t="s">
        <v>1849</v>
      </c>
      <c r="E2241">
        <v>38.79</v>
      </c>
      <c r="F2241" t="s">
        <v>2</v>
      </c>
    </row>
    <row r="2242" spans="1:6">
      <c r="A2242">
        <v>202401</v>
      </c>
      <c r="B2242" s="6">
        <v>45294</v>
      </c>
      <c r="C2242" t="s">
        <v>4375</v>
      </c>
      <c r="D2242" t="s">
        <v>5150</v>
      </c>
      <c r="E2242">
        <v>346</v>
      </c>
      <c r="F2242" t="s">
        <v>20</v>
      </c>
    </row>
    <row r="2243" spans="1:6">
      <c r="A2243">
        <v>202401</v>
      </c>
      <c r="B2243" s="6">
        <v>45295</v>
      </c>
      <c r="C2243" t="s">
        <v>3932</v>
      </c>
      <c r="D2243" t="s">
        <v>38</v>
      </c>
      <c r="E2243">
        <v>57.86</v>
      </c>
      <c r="F2243" t="s">
        <v>38</v>
      </c>
    </row>
    <row r="2244" spans="1:6">
      <c r="A2244">
        <v>202401</v>
      </c>
      <c r="B2244" s="6">
        <v>45295</v>
      </c>
      <c r="C2244" t="s">
        <v>3932</v>
      </c>
      <c r="D2244" t="s">
        <v>38</v>
      </c>
      <c r="E2244">
        <v>27.18</v>
      </c>
      <c r="F2244" t="s">
        <v>38</v>
      </c>
    </row>
    <row r="2245" spans="1:6">
      <c r="A2245">
        <v>202401</v>
      </c>
      <c r="B2245" s="6">
        <v>45295</v>
      </c>
      <c r="C2245" t="s">
        <v>5013</v>
      </c>
      <c r="D2245" t="s">
        <v>5151</v>
      </c>
      <c r="E2245">
        <v>60</v>
      </c>
      <c r="F2245" t="s">
        <v>21</v>
      </c>
    </row>
    <row r="2246" spans="1:6">
      <c r="A2246">
        <v>202401</v>
      </c>
      <c r="B2246" s="6">
        <v>45295</v>
      </c>
      <c r="C2246" t="s">
        <v>4380</v>
      </c>
      <c r="D2246" t="s">
        <v>404</v>
      </c>
      <c r="E2246">
        <v>-2681.91</v>
      </c>
      <c r="F2246" t="s">
        <v>16</v>
      </c>
    </row>
    <row r="2247" spans="1:6">
      <c r="A2247">
        <v>202401</v>
      </c>
      <c r="B2247" s="6">
        <v>45295</v>
      </c>
      <c r="C2247" t="s">
        <v>4270</v>
      </c>
      <c r="D2247" t="s">
        <v>3973</v>
      </c>
      <c r="E2247">
        <v>100</v>
      </c>
      <c r="F2247" t="s">
        <v>20</v>
      </c>
    </row>
    <row r="2248" spans="1:6">
      <c r="A2248">
        <v>202401</v>
      </c>
      <c r="B2248" s="6">
        <v>45295</v>
      </c>
      <c r="C2248" t="s">
        <v>4274</v>
      </c>
      <c r="D2248" t="s">
        <v>4920</v>
      </c>
      <c r="E2248">
        <v>126</v>
      </c>
      <c r="F2248" t="s">
        <v>21</v>
      </c>
    </row>
    <row r="2249" spans="1:6">
      <c r="A2249">
        <v>202401</v>
      </c>
      <c r="B2249" s="6">
        <v>45296</v>
      </c>
      <c r="C2249" t="s">
        <v>3932</v>
      </c>
      <c r="D2249" t="s">
        <v>38</v>
      </c>
      <c r="E2249">
        <v>151.5</v>
      </c>
      <c r="F2249" t="s">
        <v>38</v>
      </c>
    </row>
    <row r="2250" spans="1:6">
      <c r="A2250">
        <v>202401</v>
      </c>
      <c r="B2250" s="6">
        <v>45296</v>
      </c>
      <c r="C2250" t="s">
        <v>4280</v>
      </c>
      <c r="D2250" t="s">
        <v>5152</v>
      </c>
      <c r="E2250">
        <v>42.89</v>
      </c>
      <c r="F2250" t="s">
        <v>23</v>
      </c>
    </row>
    <row r="2251" spans="1:6">
      <c r="A2251">
        <v>202401</v>
      </c>
      <c r="B2251" s="6">
        <v>45296</v>
      </c>
      <c r="C2251" t="s">
        <v>4284</v>
      </c>
      <c r="D2251" t="s">
        <v>5153</v>
      </c>
      <c r="E2251">
        <v>36</v>
      </c>
      <c r="F2251" t="s">
        <v>26</v>
      </c>
    </row>
    <row r="2252" spans="1:6">
      <c r="A2252">
        <v>202401</v>
      </c>
      <c r="B2252" s="6">
        <v>45296</v>
      </c>
      <c r="C2252" t="s">
        <v>4278</v>
      </c>
      <c r="D2252" t="s">
        <v>5154</v>
      </c>
      <c r="E2252">
        <v>217.5</v>
      </c>
      <c r="F2252" t="s">
        <v>21</v>
      </c>
    </row>
    <row r="2253" spans="1:6">
      <c r="A2253">
        <v>202401</v>
      </c>
      <c r="B2253" s="6">
        <v>45296</v>
      </c>
      <c r="C2253" t="s">
        <v>5013</v>
      </c>
      <c r="D2253" t="s">
        <v>1849</v>
      </c>
      <c r="E2253">
        <v>30.48</v>
      </c>
      <c r="F2253" t="s">
        <v>2</v>
      </c>
    </row>
    <row r="2254" spans="1:6">
      <c r="A2254">
        <v>202401</v>
      </c>
      <c r="B2254" s="6">
        <v>45296</v>
      </c>
      <c r="C2254" t="s">
        <v>5013</v>
      </c>
      <c r="D2254" t="s">
        <v>1849</v>
      </c>
      <c r="E2254">
        <v>-38.79</v>
      </c>
      <c r="F2254" t="s">
        <v>2</v>
      </c>
    </row>
    <row r="2255" spans="1:6">
      <c r="A2255">
        <v>202401</v>
      </c>
      <c r="B2255" s="6">
        <v>45297</v>
      </c>
      <c r="C2255" t="s">
        <v>5013</v>
      </c>
      <c r="D2255" t="s">
        <v>5155</v>
      </c>
      <c r="E2255">
        <v>54.13</v>
      </c>
      <c r="F2255" t="s">
        <v>26</v>
      </c>
    </row>
    <row r="2256" spans="1:6">
      <c r="A2256">
        <v>202401</v>
      </c>
      <c r="B2256" s="6">
        <v>45297</v>
      </c>
      <c r="C2256" t="s">
        <v>5013</v>
      </c>
      <c r="D2256" t="s">
        <v>5199</v>
      </c>
      <c r="E2256">
        <v>-785.5</v>
      </c>
      <c r="F2256" t="s">
        <v>9</v>
      </c>
    </row>
    <row r="2257" spans="1:6">
      <c r="A2257">
        <v>202401</v>
      </c>
      <c r="B2257" s="6">
        <v>45297</v>
      </c>
      <c r="C2257" t="s">
        <v>5013</v>
      </c>
      <c r="D2257" t="s">
        <v>5123</v>
      </c>
      <c r="E2257">
        <v>146.78</v>
      </c>
      <c r="F2257" t="s">
        <v>40</v>
      </c>
    </row>
    <row r="2258" spans="1:6">
      <c r="A2258">
        <v>202401</v>
      </c>
      <c r="B2258" s="6">
        <v>45298</v>
      </c>
      <c r="C2258" t="s">
        <v>4288</v>
      </c>
      <c r="D2258" t="s">
        <v>113</v>
      </c>
      <c r="E2258">
        <v>-21.94</v>
      </c>
      <c r="F2258" t="s">
        <v>38</v>
      </c>
    </row>
    <row r="2259" spans="1:6">
      <c r="A2259">
        <v>202401</v>
      </c>
      <c r="B2259" s="6">
        <v>45298</v>
      </c>
      <c r="C2259" t="s">
        <v>4290</v>
      </c>
      <c r="D2259" t="s">
        <v>5157</v>
      </c>
      <c r="E2259">
        <v>9.74</v>
      </c>
      <c r="F2259" t="s">
        <v>38</v>
      </c>
    </row>
    <row r="2260" spans="1:6">
      <c r="A2260">
        <v>202401</v>
      </c>
      <c r="B2260" s="6">
        <v>45298</v>
      </c>
      <c r="C2260" t="s">
        <v>4382</v>
      </c>
      <c r="D2260" t="s">
        <v>4283</v>
      </c>
      <c r="E2260">
        <v>-75</v>
      </c>
      <c r="F2260" t="s">
        <v>16</v>
      </c>
    </row>
    <row r="2261" spans="1:6">
      <c r="A2261">
        <v>202401</v>
      </c>
      <c r="B2261" s="6">
        <v>45298</v>
      </c>
      <c r="C2261" t="s">
        <v>5013</v>
      </c>
      <c r="D2261" t="s">
        <v>4017</v>
      </c>
      <c r="E2261">
        <v>120.54</v>
      </c>
      <c r="F2261" t="s">
        <v>28</v>
      </c>
    </row>
    <row r="2262" spans="1:6">
      <c r="A2262">
        <v>202401</v>
      </c>
      <c r="B2262" s="6">
        <v>45298</v>
      </c>
      <c r="C2262" t="s">
        <v>4294</v>
      </c>
      <c r="D2262" t="s">
        <v>1849</v>
      </c>
      <c r="E2262">
        <v>-32.479999999999997</v>
      </c>
      <c r="F2262" t="s">
        <v>2</v>
      </c>
    </row>
    <row r="2263" spans="1:6">
      <c r="A2263">
        <v>202401</v>
      </c>
      <c r="B2263" s="6">
        <v>45299</v>
      </c>
      <c r="C2263" t="s">
        <v>5013</v>
      </c>
      <c r="D2263" t="s">
        <v>3967</v>
      </c>
      <c r="E2263">
        <v>32.700000000000003</v>
      </c>
      <c r="F2263" t="s">
        <v>26</v>
      </c>
    </row>
    <row r="2264" spans="1:6">
      <c r="A2264">
        <v>202401</v>
      </c>
      <c r="B2264" s="6">
        <v>45299</v>
      </c>
      <c r="C2264" t="s">
        <v>5013</v>
      </c>
      <c r="D2264" t="s">
        <v>5026</v>
      </c>
      <c r="E2264">
        <v>29.3</v>
      </c>
      <c r="F2264" t="s">
        <v>9</v>
      </c>
    </row>
    <row r="2265" spans="1:6">
      <c r="A2265">
        <v>202401</v>
      </c>
      <c r="B2265" s="6">
        <v>45299</v>
      </c>
      <c r="C2265" t="s">
        <v>4310</v>
      </c>
      <c r="D2265" t="s">
        <v>673</v>
      </c>
      <c r="E2265">
        <v>-904.66</v>
      </c>
      <c r="F2265" t="s">
        <v>9</v>
      </c>
    </row>
    <row r="2266" spans="1:6">
      <c r="A2266">
        <v>202401</v>
      </c>
      <c r="B2266" s="6">
        <v>45299</v>
      </c>
      <c r="C2266" t="s">
        <v>5013</v>
      </c>
      <c r="D2266" t="s">
        <v>5159</v>
      </c>
      <c r="E2266">
        <v>13.2</v>
      </c>
      <c r="F2266" t="s">
        <v>48</v>
      </c>
    </row>
    <row r="2267" spans="1:6">
      <c r="A2267">
        <v>202401</v>
      </c>
      <c r="B2267" s="6">
        <v>45299</v>
      </c>
      <c r="C2267" t="s">
        <v>5013</v>
      </c>
      <c r="D2267" t="s">
        <v>4012</v>
      </c>
      <c r="E2267">
        <v>-6010.23</v>
      </c>
      <c r="F2267" t="s">
        <v>9</v>
      </c>
    </row>
    <row r="2268" spans="1:6">
      <c r="A2268">
        <v>202401</v>
      </c>
      <c r="B2268" s="6">
        <v>45299</v>
      </c>
      <c r="C2268" t="s">
        <v>4308</v>
      </c>
      <c r="D2268" t="s">
        <v>5161</v>
      </c>
      <c r="E2268">
        <v>150.63999999999999</v>
      </c>
      <c r="F2268" t="s">
        <v>38</v>
      </c>
    </row>
    <row r="2269" spans="1:6">
      <c r="A2269">
        <v>202401</v>
      </c>
      <c r="B2269" s="6">
        <v>45299</v>
      </c>
      <c r="C2269" t="s">
        <v>4400</v>
      </c>
      <c r="D2269" t="s">
        <v>1458</v>
      </c>
      <c r="E2269">
        <v>785.5</v>
      </c>
      <c r="F2269" t="s">
        <v>9</v>
      </c>
    </row>
    <row r="2270" spans="1:6">
      <c r="A2270">
        <v>202401</v>
      </c>
      <c r="B2270" s="6">
        <v>45299</v>
      </c>
      <c r="C2270" t="s">
        <v>3199</v>
      </c>
      <c r="D2270" t="s">
        <v>1470</v>
      </c>
      <c r="E2270">
        <v>152.30000000000001</v>
      </c>
      <c r="F2270" t="s">
        <v>7</v>
      </c>
    </row>
    <row r="2271" spans="1:6">
      <c r="A2271">
        <v>202401</v>
      </c>
      <c r="B2271" s="6">
        <v>45299</v>
      </c>
      <c r="C2271" t="s">
        <v>4381</v>
      </c>
      <c r="D2271" t="s">
        <v>1958</v>
      </c>
      <c r="E2271">
        <v>114.75</v>
      </c>
      <c r="F2271" t="s">
        <v>21</v>
      </c>
    </row>
    <row r="2272" spans="1:6">
      <c r="A2272">
        <v>202401</v>
      </c>
      <c r="B2272" s="6">
        <v>45299</v>
      </c>
      <c r="C2272" t="s">
        <v>4403</v>
      </c>
      <c r="D2272" t="s">
        <v>4293</v>
      </c>
      <c r="E2272">
        <v>904.66</v>
      </c>
      <c r="F2272" t="s">
        <v>9</v>
      </c>
    </row>
    <row r="2273" spans="1:6">
      <c r="A2273">
        <v>202401</v>
      </c>
      <c r="B2273" s="6">
        <v>45300</v>
      </c>
      <c r="C2273" t="s">
        <v>4406</v>
      </c>
      <c r="D2273" t="s">
        <v>1458</v>
      </c>
      <c r="E2273">
        <v>6010.23</v>
      </c>
      <c r="F2273" t="s">
        <v>9</v>
      </c>
    </row>
    <row r="2274" spans="1:6">
      <c r="A2274">
        <v>202401</v>
      </c>
      <c r="B2274" s="6">
        <v>45300</v>
      </c>
      <c r="C2274" t="s">
        <v>4306</v>
      </c>
      <c r="D2274" t="s">
        <v>1477</v>
      </c>
      <c r="E2274">
        <v>47.69</v>
      </c>
      <c r="F2274" t="s">
        <v>34</v>
      </c>
    </row>
    <row r="2275" spans="1:6">
      <c r="A2275">
        <v>202401</v>
      </c>
      <c r="B2275" s="6">
        <v>45300</v>
      </c>
      <c r="C2275" t="s">
        <v>4405</v>
      </c>
      <c r="D2275" t="s">
        <v>5165</v>
      </c>
      <c r="E2275">
        <v>346</v>
      </c>
      <c r="F2275" t="s">
        <v>20</v>
      </c>
    </row>
    <row r="2276" spans="1:6">
      <c r="A2276">
        <v>202401</v>
      </c>
      <c r="B2276" s="6">
        <v>45301</v>
      </c>
      <c r="C2276" t="s">
        <v>5013</v>
      </c>
      <c r="D2276" t="s">
        <v>5166</v>
      </c>
      <c r="E2276">
        <v>5.7</v>
      </c>
      <c r="F2276" t="s">
        <v>28</v>
      </c>
    </row>
    <row r="2277" spans="1:6">
      <c r="A2277">
        <v>202401</v>
      </c>
      <c r="B2277" s="6">
        <v>45301</v>
      </c>
      <c r="C2277" t="s">
        <v>4312</v>
      </c>
      <c r="D2277" t="s">
        <v>5167</v>
      </c>
      <c r="E2277">
        <v>42</v>
      </c>
      <c r="F2277" t="s">
        <v>20</v>
      </c>
    </row>
    <row r="2278" spans="1:6">
      <c r="A2278">
        <v>202401</v>
      </c>
      <c r="B2278" s="6">
        <v>45302</v>
      </c>
      <c r="C2278" t="s">
        <v>4304</v>
      </c>
      <c r="D2278" t="s">
        <v>5168</v>
      </c>
      <c r="E2278">
        <v>443</v>
      </c>
      <c r="F2278" t="s">
        <v>20</v>
      </c>
    </row>
    <row r="2279" spans="1:6">
      <c r="A2279">
        <v>202401</v>
      </c>
      <c r="B2279" s="6">
        <v>45302</v>
      </c>
      <c r="C2279" t="s">
        <v>5013</v>
      </c>
      <c r="D2279" t="s">
        <v>103</v>
      </c>
      <c r="E2279">
        <v>137.15</v>
      </c>
      <c r="F2279" t="s">
        <v>28</v>
      </c>
    </row>
    <row r="2280" spans="1:6">
      <c r="A2280">
        <v>202401</v>
      </c>
      <c r="B2280" s="6">
        <v>45302</v>
      </c>
      <c r="C2280" t="s">
        <v>5013</v>
      </c>
      <c r="D2280" t="s">
        <v>453</v>
      </c>
      <c r="E2280">
        <v>3.85</v>
      </c>
      <c r="F2280" t="s">
        <v>26</v>
      </c>
    </row>
    <row r="2281" spans="1:6">
      <c r="A2281">
        <v>202401</v>
      </c>
      <c r="B2281" s="6">
        <v>45302</v>
      </c>
      <c r="C2281" t="s">
        <v>5013</v>
      </c>
      <c r="D2281" t="s">
        <v>5027</v>
      </c>
      <c r="E2281">
        <v>8.23</v>
      </c>
      <c r="F2281" t="s">
        <v>26</v>
      </c>
    </row>
    <row r="2282" spans="1:6">
      <c r="A2282">
        <v>202401</v>
      </c>
      <c r="B2282" s="6">
        <v>45302</v>
      </c>
      <c r="C2282" t="s">
        <v>5013</v>
      </c>
      <c r="D2282" t="s">
        <v>5036</v>
      </c>
      <c r="E2282">
        <v>4</v>
      </c>
      <c r="F2282" t="s">
        <v>7</v>
      </c>
    </row>
    <row r="2283" spans="1:6">
      <c r="A2283">
        <v>202401</v>
      </c>
      <c r="B2283" s="6">
        <v>45302</v>
      </c>
      <c r="C2283" t="s">
        <v>5013</v>
      </c>
      <c r="D2283" t="s">
        <v>4829</v>
      </c>
      <c r="E2283">
        <v>93</v>
      </c>
      <c r="F2283" t="s">
        <v>9</v>
      </c>
    </row>
    <row r="2284" spans="1:6">
      <c r="A2284">
        <v>202401</v>
      </c>
      <c r="B2284" s="6">
        <v>45302</v>
      </c>
      <c r="C2284" t="s">
        <v>4298</v>
      </c>
      <c r="D2284" t="s">
        <v>1350</v>
      </c>
      <c r="E2284">
        <v>25.6</v>
      </c>
      <c r="F2284" t="s">
        <v>7</v>
      </c>
    </row>
    <row r="2285" spans="1:6">
      <c r="A2285">
        <v>202401</v>
      </c>
      <c r="B2285" s="6">
        <v>45302</v>
      </c>
      <c r="C2285" t="s">
        <v>5013</v>
      </c>
      <c r="D2285" t="s">
        <v>4663</v>
      </c>
      <c r="E2285">
        <v>24.37</v>
      </c>
      <c r="F2285" t="s">
        <v>26</v>
      </c>
    </row>
    <row r="2286" spans="1:6">
      <c r="A2286">
        <v>202401</v>
      </c>
      <c r="B2286" s="6">
        <v>45302</v>
      </c>
      <c r="C2286" t="s">
        <v>4413</v>
      </c>
      <c r="D2286" t="s">
        <v>4343</v>
      </c>
      <c r="E2286">
        <v>-3251.21</v>
      </c>
      <c r="F2286" t="s">
        <v>64</v>
      </c>
    </row>
    <row r="2287" spans="1:6">
      <c r="A2287">
        <v>202401</v>
      </c>
      <c r="B2287" s="6">
        <v>45302</v>
      </c>
      <c r="C2287" t="s">
        <v>3932</v>
      </c>
      <c r="D2287" t="s">
        <v>5170</v>
      </c>
      <c r="E2287">
        <v>112.39</v>
      </c>
      <c r="F2287" t="s">
        <v>20</v>
      </c>
    </row>
    <row r="2288" spans="1:6">
      <c r="A2288">
        <v>202401</v>
      </c>
      <c r="B2288" s="6">
        <v>45302</v>
      </c>
      <c r="C2288" t="s">
        <v>4296</v>
      </c>
      <c r="D2288" t="s">
        <v>5171</v>
      </c>
      <c r="E2288">
        <v>85</v>
      </c>
      <c r="F2288" t="s">
        <v>40</v>
      </c>
    </row>
    <row r="2289" spans="1:6">
      <c r="A2289">
        <v>202401</v>
      </c>
      <c r="B2289" s="6">
        <v>45303</v>
      </c>
      <c r="C2289" t="s">
        <v>5013</v>
      </c>
      <c r="D2289" t="s">
        <v>4831</v>
      </c>
      <c r="E2289">
        <v>485.61</v>
      </c>
      <c r="F2289" t="s">
        <v>9</v>
      </c>
    </row>
    <row r="2290" spans="1:6">
      <c r="A2290">
        <v>202401</v>
      </c>
      <c r="B2290" s="6">
        <v>45303</v>
      </c>
      <c r="C2290" t="s">
        <v>4300</v>
      </c>
      <c r="D2290" t="s">
        <v>5173</v>
      </c>
      <c r="E2290">
        <v>116.82</v>
      </c>
      <c r="F2290" t="s">
        <v>26</v>
      </c>
    </row>
    <row r="2291" spans="1:6">
      <c r="A2291">
        <v>202401</v>
      </c>
      <c r="B2291" s="6">
        <v>45303</v>
      </c>
      <c r="C2291" t="s">
        <v>4319</v>
      </c>
      <c r="D2291" t="s">
        <v>4868</v>
      </c>
      <c r="E2291">
        <v>5.99</v>
      </c>
      <c r="F2291" t="s">
        <v>40</v>
      </c>
    </row>
    <row r="2292" spans="1:6">
      <c r="A2292">
        <v>202401</v>
      </c>
      <c r="B2292" s="6">
        <v>45303</v>
      </c>
      <c r="C2292" t="s">
        <v>4314</v>
      </c>
      <c r="D2292" t="s">
        <v>5174</v>
      </c>
      <c r="E2292">
        <v>284.95</v>
      </c>
      <c r="F2292" t="s">
        <v>28</v>
      </c>
    </row>
    <row r="2293" spans="1:6">
      <c r="A2293">
        <v>202401</v>
      </c>
      <c r="B2293" s="6">
        <v>45303</v>
      </c>
      <c r="C2293" t="s">
        <v>4317</v>
      </c>
      <c r="D2293" t="s">
        <v>5171</v>
      </c>
      <c r="E2293">
        <v>19</v>
      </c>
      <c r="F2293" t="s">
        <v>40</v>
      </c>
    </row>
    <row r="2294" spans="1:6">
      <c r="A2294">
        <v>202401</v>
      </c>
      <c r="B2294" s="6">
        <v>45303</v>
      </c>
      <c r="C2294" t="s">
        <v>4302</v>
      </c>
      <c r="D2294" t="s">
        <v>2078</v>
      </c>
      <c r="E2294">
        <v>18.91</v>
      </c>
      <c r="F2294" t="s">
        <v>23</v>
      </c>
    </row>
    <row r="2295" spans="1:6">
      <c r="A2295">
        <v>202401</v>
      </c>
      <c r="B2295" s="6">
        <v>45304</v>
      </c>
      <c r="C2295" t="s">
        <v>3932</v>
      </c>
      <c r="D2295" t="s">
        <v>113</v>
      </c>
      <c r="E2295">
        <v>-16.670000000000002</v>
      </c>
      <c r="F2295" t="s">
        <v>38</v>
      </c>
    </row>
    <row r="2296" spans="1:6">
      <c r="A2296">
        <v>202401</v>
      </c>
      <c r="B2296" s="6">
        <v>45304</v>
      </c>
      <c r="C2296" t="s">
        <v>3932</v>
      </c>
      <c r="D2296" t="s">
        <v>113</v>
      </c>
      <c r="E2296">
        <v>-37.92</v>
      </c>
      <c r="F2296" t="s">
        <v>38</v>
      </c>
    </row>
    <row r="2297" spans="1:6">
      <c r="A2297">
        <v>202401</v>
      </c>
      <c r="B2297" s="6">
        <v>45304</v>
      </c>
      <c r="C2297" t="s">
        <v>5013</v>
      </c>
      <c r="D2297" t="s">
        <v>3967</v>
      </c>
      <c r="E2297">
        <v>16.5</v>
      </c>
      <c r="F2297" t="s">
        <v>26</v>
      </c>
    </row>
    <row r="2298" spans="1:6">
      <c r="A2298">
        <v>202401</v>
      </c>
      <c r="B2298" s="6">
        <v>45304</v>
      </c>
      <c r="C2298" t="s">
        <v>5013</v>
      </c>
      <c r="D2298" t="s">
        <v>5175</v>
      </c>
      <c r="E2298">
        <v>47.26</v>
      </c>
      <c r="F2298" t="s">
        <v>26</v>
      </c>
    </row>
    <row r="2299" spans="1:6">
      <c r="A2299">
        <v>202401</v>
      </c>
      <c r="B2299" s="6">
        <v>45304</v>
      </c>
      <c r="C2299" t="s">
        <v>5013</v>
      </c>
      <c r="D2299" t="s">
        <v>5176</v>
      </c>
      <c r="E2299">
        <v>338.59</v>
      </c>
      <c r="F2299" t="s">
        <v>21</v>
      </c>
    </row>
    <row r="2300" spans="1:6">
      <c r="A2300">
        <v>202401</v>
      </c>
      <c r="B2300" s="6">
        <v>45305</v>
      </c>
      <c r="C2300" t="s">
        <v>4055</v>
      </c>
      <c r="D2300" t="s">
        <v>38</v>
      </c>
      <c r="E2300">
        <v>-11.26</v>
      </c>
      <c r="F2300" t="s">
        <v>38</v>
      </c>
    </row>
    <row r="2301" spans="1:6">
      <c r="A2301">
        <v>202401</v>
      </c>
      <c r="B2301" s="6">
        <v>45305</v>
      </c>
      <c r="C2301" t="s">
        <v>4038</v>
      </c>
      <c r="D2301" t="s">
        <v>5178</v>
      </c>
      <c r="E2301">
        <v>27.01</v>
      </c>
      <c r="F2301" t="s">
        <v>38</v>
      </c>
    </row>
    <row r="2302" spans="1:6">
      <c r="A2302">
        <v>202401</v>
      </c>
      <c r="B2302" s="6">
        <v>45305</v>
      </c>
      <c r="C2302" t="s">
        <v>4033</v>
      </c>
      <c r="D2302" t="s">
        <v>5179</v>
      </c>
      <c r="E2302">
        <v>28.88</v>
      </c>
      <c r="F2302" t="s">
        <v>38</v>
      </c>
    </row>
    <row r="2303" spans="1:6">
      <c r="A2303">
        <v>202401</v>
      </c>
      <c r="B2303" s="6">
        <v>45305</v>
      </c>
      <c r="C2303" t="s">
        <v>4053</v>
      </c>
      <c r="D2303" t="s">
        <v>161</v>
      </c>
      <c r="E2303">
        <v>-193.2</v>
      </c>
      <c r="F2303" t="s">
        <v>21</v>
      </c>
    </row>
    <row r="2304" spans="1:6">
      <c r="A2304">
        <v>202401</v>
      </c>
      <c r="B2304" s="6">
        <v>45305</v>
      </c>
      <c r="C2304" t="s">
        <v>5013</v>
      </c>
      <c r="D2304" t="s">
        <v>5180</v>
      </c>
      <c r="E2304">
        <v>48</v>
      </c>
      <c r="F2304" t="s">
        <v>26</v>
      </c>
    </row>
    <row r="2305" spans="1:6">
      <c r="A2305">
        <v>202401</v>
      </c>
      <c r="B2305" s="6">
        <v>45305</v>
      </c>
      <c r="C2305" t="s">
        <v>4042</v>
      </c>
      <c r="D2305" t="s">
        <v>4887</v>
      </c>
      <c r="E2305">
        <v>33.200000000000003</v>
      </c>
      <c r="F2305" t="s">
        <v>23</v>
      </c>
    </row>
    <row r="2306" spans="1:6">
      <c r="A2306">
        <v>202401</v>
      </c>
      <c r="B2306" s="6">
        <v>45305</v>
      </c>
      <c r="C2306" t="s">
        <v>4040</v>
      </c>
      <c r="D2306" t="s">
        <v>808</v>
      </c>
      <c r="E2306">
        <v>30</v>
      </c>
      <c r="F2306" t="s">
        <v>40</v>
      </c>
    </row>
    <row r="2307" spans="1:6">
      <c r="A2307">
        <v>202401</v>
      </c>
      <c r="B2307" s="6">
        <v>45305</v>
      </c>
      <c r="C2307" t="s">
        <v>4030</v>
      </c>
      <c r="D2307" t="s">
        <v>1462</v>
      </c>
      <c r="E2307">
        <v>45</v>
      </c>
      <c r="F2307" t="s">
        <v>7</v>
      </c>
    </row>
    <row r="2308" spans="1:6">
      <c r="A2308">
        <v>202401</v>
      </c>
      <c r="B2308" s="6">
        <v>45305</v>
      </c>
      <c r="C2308" t="s">
        <v>5013</v>
      </c>
      <c r="D2308" t="s">
        <v>1849</v>
      </c>
      <c r="E2308">
        <v>60.64</v>
      </c>
      <c r="F2308" t="s">
        <v>2</v>
      </c>
    </row>
    <row r="2309" spans="1:6">
      <c r="A2309">
        <v>202401</v>
      </c>
      <c r="B2309" s="6">
        <v>45305</v>
      </c>
      <c r="C2309" t="s">
        <v>4028</v>
      </c>
      <c r="D2309" t="s">
        <v>4920</v>
      </c>
      <c r="E2309">
        <v>-108</v>
      </c>
      <c r="F2309" t="s">
        <v>21</v>
      </c>
    </row>
    <row r="2310" spans="1:6">
      <c r="A2310">
        <v>202401</v>
      </c>
      <c r="B2310" s="6">
        <v>45306</v>
      </c>
      <c r="C2310" t="s">
        <v>4047</v>
      </c>
      <c r="D2310" t="s">
        <v>5181</v>
      </c>
      <c r="E2310">
        <v>24.91</v>
      </c>
      <c r="F2310" t="s">
        <v>38</v>
      </c>
    </row>
    <row r="2311" spans="1:6">
      <c r="A2311">
        <v>202401</v>
      </c>
      <c r="B2311" s="6">
        <v>45306</v>
      </c>
      <c r="C2311" t="s">
        <v>4051</v>
      </c>
      <c r="D2311" t="s">
        <v>5182</v>
      </c>
      <c r="E2311">
        <v>16.989999999999998</v>
      </c>
      <c r="F2311" t="s">
        <v>38</v>
      </c>
    </row>
    <row r="2312" spans="1:6">
      <c r="A2312">
        <v>202401</v>
      </c>
      <c r="B2312" s="6">
        <v>45306</v>
      </c>
      <c r="C2312" t="s">
        <v>5013</v>
      </c>
      <c r="D2312" t="s">
        <v>684</v>
      </c>
      <c r="E2312">
        <v>69.09</v>
      </c>
      <c r="F2312" t="s">
        <v>28</v>
      </c>
    </row>
    <row r="2313" spans="1:6">
      <c r="A2313">
        <v>202401</v>
      </c>
      <c r="B2313" s="6">
        <v>45306</v>
      </c>
      <c r="C2313" t="s">
        <v>4049</v>
      </c>
      <c r="D2313" t="s">
        <v>5183</v>
      </c>
      <c r="E2313">
        <v>119.07</v>
      </c>
      <c r="F2313" t="s">
        <v>2</v>
      </c>
    </row>
    <row r="2314" spans="1:6">
      <c r="A2314">
        <v>202401</v>
      </c>
      <c r="B2314" s="6">
        <v>45306</v>
      </c>
      <c r="C2314" t="s">
        <v>5013</v>
      </c>
      <c r="D2314" t="s">
        <v>5078</v>
      </c>
      <c r="E2314">
        <v>14.62</v>
      </c>
      <c r="F2314" t="s">
        <v>2</v>
      </c>
    </row>
    <row r="2315" spans="1:6">
      <c r="A2315">
        <v>202401</v>
      </c>
      <c r="B2315" s="6">
        <v>45307</v>
      </c>
      <c r="C2315" t="s">
        <v>4408</v>
      </c>
      <c r="D2315" t="s">
        <v>4356</v>
      </c>
      <c r="E2315">
        <v>127.3</v>
      </c>
      <c r="F2315" t="s">
        <v>18</v>
      </c>
    </row>
    <row r="2316" spans="1:6">
      <c r="A2316">
        <v>202401</v>
      </c>
      <c r="B2316" s="6">
        <v>45307</v>
      </c>
      <c r="C2316" t="s">
        <v>4412</v>
      </c>
      <c r="D2316" t="s">
        <v>1955</v>
      </c>
      <c r="E2316">
        <v>48.81</v>
      </c>
      <c r="F2316" t="s">
        <v>21</v>
      </c>
    </row>
    <row r="2317" spans="1:6">
      <c r="A2317">
        <v>202401</v>
      </c>
      <c r="B2317" s="6">
        <v>45307</v>
      </c>
      <c r="C2317" t="s">
        <v>4414</v>
      </c>
      <c r="D2317" t="s">
        <v>1955</v>
      </c>
      <c r="E2317">
        <v>38.049999999999997</v>
      </c>
      <c r="F2317" t="s">
        <v>21</v>
      </c>
    </row>
    <row r="2318" spans="1:6">
      <c r="A2318">
        <v>202401</v>
      </c>
      <c r="B2318" s="6">
        <v>45308</v>
      </c>
      <c r="C2318" t="s">
        <v>5013</v>
      </c>
      <c r="D2318" t="s">
        <v>4948</v>
      </c>
      <c r="E2318">
        <v>33.76</v>
      </c>
      <c r="F2318" t="s">
        <v>41</v>
      </c>
    </row>
    <row r="2319" spans="1:6">
      <c r="A2319">
        <v>202401</v>
      </c>
      <c r="B2319" s="6">
        <v>45308</v>
      </c>
      <c r="C2319" t="s">
        <v>5013</v>
      </c>
      <c r="D2319" t="s">
        <v>5184</v>
      </c>
      <c r="E2319">
        <v>31.55</v>
      </c>
      <c r="F2319" t="s">
        <v>28</v>
      </c>
    </row>
    <row r="2320" spans="1:6">
      <c r="A2320">
        <v>202401</v>
      </c>
      <c r="B2320" s="6">
        <v>45308</v>
      </c>
      <c r="C2320" t="s">
        <v>4026</v>
      </c>
      <c r="D2320" t="s">
        <v>1955</v>
      </c>
      <c r="E2320">
        <v>123.55</v>
      </c>
      <c r="F2320" t="s">
        <v>21</v>
      </c>
    </row>
    <row r="2321" spans="1:6">
      <c r="A2321">
        <v>202401</v>
      </c>
      <c r="B2321" s="6">
        <v>45308</v>
      </c>
      <c r="C2321" t="s">
        <v>5013</v>
      </c>
      <c r="D2321" t="s">
        <v>2142</v>
      </c>
      <c r="E2321">
        <v>853.97</v>
      </c>
      <c r="F2321" t="s">
        <v>50</v>
      </c>
    </row>
    <row r="2322" spans="1:6">
      <c r="A2322">
        <v>202401</v>
      </c>
      <c r="B2322" s="6">
        <v>45308</v>
      </c>
      <c r="C2322" t="s">
        <v>4036</v>
      </c>
      <c r="D2322" t="s">
        <v>5185</v>
      </c>
      <c r="E2322">
        <v>346</v>
      </c>
      <c r="F2322" t="s">
        <v>20</v>
      </c>
    </row>
    <row r="2323" spans="1:6">
      <c r="A2323">
        <v>202401</v>
      </c>
      <c r="B2323" s="6">
        <v>45308</v>
      </c>
      <c r="C2323" t="s">
        <v>4420</v>
      </c>
      <c r="D2323" t="s">
        <v>5186</v>
      </c>
      <c r="E2323">
        <v>30</v>
      </c>
      <c r="F2323" t="s">
        <v>20</v>
      </c>
    </row>
    <row r="2324" spans="1:6">
      <c r="A2324">
        <v>202401</v>
      </c>
      <c r="B2324" s="6">
        <v>45309</v>
      </c>
      <c r="C2324" t="s">
        <v>4062</v>
      </c>
      <c r="D2324" t="s">
        <v>404</v>
      </c>
      <c r="E2324">
        <v>-2681.89</v>
      </c>
      <c r="F2324" t="s">
        <v>16</v>
      </c>
    </row>
    <row r="2325" spans="1:6">
      <c r="A2325">
        <v>202401</v>
      </c>
      <c r="B2325" s="6">
        <v>45309</v>
      </c>
      <c r="C2325" t="s">
        <v>4429</v>
      </c>
      <c r="D2325" t="s">
        <v>1958</v>
      </c>
      <c r="E2325">
        <v>125</v>
      </c>
      <c r="F2325" t="s">
        <v>21</v>
      </c>
    </row>
    <row r="2326" spans="1:6">
      <c r="A2326">
        <v>202401</v>
      </c>
      <c r="B2326" s="6">
        <v>45309</v>
      </c>
      <c r="C2326" t="s">
        <v>4044</v>
      </c>
      <c r="D2326" t="s">
        <v>5187</v>
      </c>
      <c r="E2326">
        <v>650</v>
      </c>
      <c r="F2326" t="s">
        <v>20</v>
      </c>
    </row>
    <row r="2327" spans="1:6">
      <c r="A2327">
        <v>202401</v>
      </c>
      <c r="B2327" s="6">
        <v>45310</v>
      </c>
      <c r="C2327" t="s">
        <v>5013</v>
      </c>
      <c r="D2327" t="s">
        <v>4980</v>
      </c>
      <c r="E2327">
        <v>9.7899999999999991</v>
      </c>
      <c r="F2327" t="s">
        <v>43</v>
      </c>
    </row>
    <row r="2328" spans="1:6">
      <c r="A2328">
        <v>202401</v>
      </c>
      <c r="B2328" s="6">
        <v>45310</v>
      </c>
      <c r="C2328" t="s">
        <v>5013</v>
      </c>
      <c r="D2328" t="s">
        <v>945</v>
      </c>
      <c r="E2328">
        <v>38.369999999999997</v>
      </c>
      <c r="F2328" t="s">
        <v>23</v>
      </c>
    </row>
    <row r="2329" spans="1:6">
      <c r="A2329">
        <v>202401</v>
      </c>
      <c r="B2329" s="6">
        <v>45310</v>
      </c>
      <c r="C2329" t="s">
        <v>4059</v>
      </c>
      <c r="D2329" t="s">
        <v>1955</v>
      </c>
      <c r="E2329">
        <v>2.99</v>
      </c>
      <c r="F2329" t="s">
        <v>21</v>
      </c>
    </row>
    <row r="2330" spans="1:6">
      <c r="A2330">
        <v>202401</v>
      </c>
      <c r="B2330" s="6">
        <v>45311</v>
      </c>
      <c r="C2330" t="s">
        <v>5013</v>
      </c>
      <c r="D2330" t="s">
        <v>684</v>
      </c>
      <c r="E2330">
        <v>24.55</v>
      </c>
      <c r="F2330" t="s">
        <v>28</v>
      </c>
    </row>
    <row r="2331" spans="1:6">
      <c r="A2331">
        <v>202401</v>
      </c>
      <c r="B2331" s="6">
        <v>45311</v>
      </c>
      <c r="C2331" t="s">
        <v>5013</v>
      </c>
      <c r="D2331" t="s">
        <v>684</v>
      </c>
      <c r="E2331">
        <v>21.46</v>
      </c>
      <c r="F2331" t="s">
        <v>28</v>
      </c>
    </row>
    <row r="2332" spans="1:6">
      <c r="A2332">
        <v>202401</v>
      </c>
      <c r="B2332" s="6">
        <v>45311</v>
      </c>
      <c r="C2332" t="s">
        <v>5013</v>
      </c>
      <c r="D2332" t="s">
        <v>5188</v>
      </c>
      <c r="E2332">
        <v>68.650000000000006</v>
      </c>
      <c r="F2332" t="s">
        <v>28</v>
      </c>
    </row>
    <row r="2333" spans="1:6">
      <c r="A2333">
        <v>202401</v>
      </c>
      <c r="B2333" s="6">
        <v>45311</v>
      </c>
      <c r="C2333" t="s">
        <v>5013</v>
      </c>
      <c r="D2333" t="s">
        <v>1380</v>
      </c>
      <c r="E2333">
        <v>33.090000000000003</v>
      </c>
      <c r="F2333" t="s">
        <v>26</v>
      </c>
    </row>
    <row r="2334" spans="1:6">
      <c r="A2334">
        <v>202401</v>
      </c>
      <c r="B2334" s="6">
        <v>45311</v>
      </c>
      <c r="C2334" t="s">
        <v>5013</v>
      </c>
      <c r="D2334" t="s">
        <v>1849</v>
      </c>
      <c r="E2334">
        <v>-28.16</v>
      </c>
      <c r="F2334" t="s">
        <v>2</v>
      </c>
    </row>
    <row r="2335" spans="1:6">
      <c r="A2335">
        <v>202401</v>
      </c>
      <c r="B2335" s="6">
        <v>45311</v>
      </c>
      <c r="C2335" t="s">
        <v>5013</v>
      </c>
      <c r="D2335" t="s">
        <v>1849</v>
      </c>
      <c r="E2335">
        <v>107.18</v>
      </c>
      <c r="F2335" t="s">
        <v>2</v>
      </c>
    </row>
    <row r="2336" spans="1:6">
      <c r="A2336">
        <v>202401</v>
      </c>
      <c r="B2336" s="6">
        <v>45312</v>
      </c>
      <c r="C2336" t="s">
        <v>5013</v>
      </c>
      <c r="D2336" t="s">
        <v>5189</v>
      </c>
      <c r="E2336">
        <v>25.64</v>
      </c>
      <c r="F2336" t="s">
        <v>21</v>
      </c>
    </row>
    <row r="2337" spans="1:6">
      <c r="A2337">
        <v>202401</v>
      </c>
      <c r="B2337" s="6">
        <v>45312</v>
      </c>
      <c r="C2337" t="s">
        <v>5013</v>
      </c>
      <c r="D2337" t="s">
        <v>5190</v>
      </c>
      <c r="E2337">
        <v>29.99</v>
      </c>
      <c r="F2337" t="s">
        <v>21</v>
      </c>
    </row>
    <row r="2338" spans="1:6">
      <c r="A2338">
        <v>202401</v>
      </c>
      <c r="B2338" s="6">
        <v>45312</v>
      </c>
      <c r="C2338" t="s">
        <v>4067</v>
      </c>
      <c r="D2338" t="s">
        <v>4899</v>
      </c>
      <c r="E2338">
        <v>1.99</v>
      </c>
      <c r="F2338" t="s">
        <v>40</v>
      </c>
    </row>
    <row r="2339" spans="1:6">
      <c r="A2339">
        <v>202401</v>
      </c>
      <c r="B2339" s="6">
        <v>45312</v>
      </c>
      <c r="C2339" t="s">
        <v>4064</v>
      </c>
      <c r="D2339" t="s">
        <v>5191</v>
      </c>
      <c r="E2339">
        <v>-217.5</v>
      </c>
      <c r="F2339" t="s">
        <v>21</v>
      </c>
    </row>
    <row r="2340" spans="1:6">
      <c r="A2340">
        <v>202401</v>
      </c>
      <c r="B2340" s="6">
        <v>45312</v>
      </c>
      <c r="C2340" t="s">
        <v>5013</v>
      </c>
      <c r="D2340" t="s">
        <v>5587</v>
      </c>
      <c r="E2340">
        <v>68.67</v>
      </c>
      <c r="F2340" t="s">
        <v>9</v>
      </c>
    </row>
    <row r="2341" spans="1:6">
      <c r="A2341">
        <v>202401</v>
      </c>
      <c r="B2341" s="6">
        <v>45312</v>
      </c>
      <c r="C2341" t="s">
        <v>5013</v>
      </c>
      <c r="D2341" t="s">
        <v>5193</v>
      </c>
      <c r="E2341">
        <v>162.07</v>
      </c>
      <c r="F2341" t="s">
        <v>40</v>
      </c>
    </row>
    <row r="2342" spans="1:6">
      <c r="A2342">
        <v>202401</v>
      </c>
      <c r="B2342" s="6">
        <v>45312</v>
      </c>
      <c r="C2342" t="s">
        <v>4057</v>
      </c>
      <c r="D2342" t="s">
        <v>5194</v>
      </c>
      <c r="E2342">
        <v>128.53</v>
      </c>
      <c r="F2342" t="s">
        <v>40</v>
      </c>
    </row>
    <row r="2343" spans="1:6">
      <c r="A2343">
        <v>202401</v>
      </c>
      <c r="B2343" s="6">
        <v>45312</v>
      </c>
      <c r="C2343" t="s">
        <v>5013</v>
      </c>
      <c r="D2343" t="s">
        <v>1931</v>
      </c>
      <c r="E2343">
        <v>108.86</v>
      </c>
      <c r="F2343" t="s">
        <v>28</v>
      </c>
    </row>
    <row r="2344" spans="1:6">
      <c r="A2344">
        <v>202401</v>
      </c>
      <c r="B2344" s="6">
        <v>45312</v>
      </c>
      <c r="C2344" t="s">
        <v>2519</v>
      </c>
      <c r="D2344" t="s">
        <v>1934</v>
      </c>
      <c r="E2344">
        <v>-48.81</v>
      </c>
      <c r="F2344" t="s">
        <v>21</v>
      </c>
    </row>
    <row r="2345" spans="1:6">
      <c r="A2345">
        <v>202401</v>
      </c>
      <c r="B2345" s="6">
        <v>45312</v>
      </c>
      <c r="C2345" t="s">
        <v>5013</v>
      </c>
      <c r="D2345" t="s">
        <v>4920</v>
      </c>
      <c r="E2345">
        <v>266</v>
      </c>
      <c r="F2345" t="s">
        <v>21</v>
      </c>
    </row>
    <row r="2346" spans="1:6">
      <c r="A2346">
        <v>202401</v>
      </c>
      <c r="B2346" s="6">
        <v>45312</v>
      </c>
      <c r="C2346" t="s">
        <v>5013</v>
      </c>
      <c r="D2346" t="s">
        <v>5195</v>
      </c>
      <c r="E2346">
        <v>381.28</v>
      </c>
      <c r="F2346" t="s">
        <v>40</v>
      </c>
    </row>
    <row r="2347" spans="1:6">
      <c r="A2347">
        <v>202401</v>
      </c>
      <c r="B2347" s="6">
        <v>45312</v>
      </c>
      <c r="C2347" t="s">
        <v>2519</v>
      </c>
      <c r="D2347" t="s">
        <v>5196</v>
      </c>
      <c r="E2347">
        <v>0.35</v>
      </c>
      <c r="F2347" t="s">
        <v>29</v>
      </c>
    </row>
    <row r="2348" spans="1:6">
      <c r="A2348">
        <v>202401</v>
      </c>
      <c r="B2348" s="6">
        <v>45312</v>
      </c>
      <c r="C2348" t="s">
        <v>2519</v>
      </c>
      <c r="D2348" t="s">
        <v>5197</v>
      </c>
      <c r="E2348">
        <v>34.880000000000003</v>
      </c>
      <c r="F2348" t="s">
        <v>40</v>
      </c>
    </row>
    <row r="2349" spans="1:6">
      <c r="A2349">
        <v>202401</v>
      </c>
      <c r="B2349" s="6">
        <v>45313</v>
      </c>
      <c r="C2349" t="s">
        <v>4075</v>
      </c>
      <c r="D2349" t="s">
        <v>5198</v>
      </c>
      <c r="E2349">
        <v>11</v>
      </c>
      <c r="F2349" t="s">
        <v>7</v>
      </c>
    </row>
    <row r="2350" spans="1:6">
      <c r="A2350">
        <v>202401</v>
      </c>
      <c r="B2350" s="6">
        <v>45313</v>
      </c>
      <c r="C2350" t="s">
        <v>5013</v>
      </c>
      <c r="D2350" t="s">
        <v>4885</v>
      </c>
      <c r="E2350">
        <v>943.2</v>
      </c>
      <c r="F2350" t="s">
        <v>9</v>
      </c>
    </row>
    <row r="2351" spans="1:6">
      <c r="A2351">
        <v>202401</v>
      </c>
      <c r="B2351" s="6">
        <v>45313</v>
      </c>
      <c r="C2351" t="s">
        <v>5013</v>
      </c>
      <c r="D2351" t="s">
        <v>4888</v>
      </c>
      <c r="E2351">
        <v>24.74</v>
      </c>
      <c r="F2351" t="s">
        <v>26</v>
      </c>
    </row>
    <row r="2352" spans="1:6">
      <c r="A2352">
        <v>202401</v>
      </c>
      <c r="B2352" s="6">
        <v>45313</v>
      </c>
      <c r="C2352" t="s">
        <v>5013</v>
      </c>
      <c r="D2352" t="s">
        <v>4888</v>
      </c>
      <c r="E2352">
        <v>5.72</v>
      </c>
      <c r="F2352" t="s">
        <v>26</v>
      </c>
    </row>
    <row r="2353" spans="1:6">
      <c r="A2353">
        <v>202401</v>
      </c>
      <c r="B2353" s="6">
        <v>45313</v>
      </c>
      <c r="C2353" t="s">
        <v>4073</v>
      </c>
      <c r="D2353" t="s">
        <v>5200</v>
      </c>
      <c r="E2353">
        <v>24.72</v>
      </c>
      <c r="F2353" t="s">
        <v>20</v>
      </c>
    </row>
    <row r="2354" spans="1:6">
      <c r="A2354">
        <v>202401</v>
      </c>
      <c r="B2354" s="6">
        <v>45313</v>
      </c>
      <c r="C2354" t="s">
        <v>5013</v>
      </c>
      <c r="D2354" t="s">
        <v>3944</v>
      </c>
      <c r="E2354">
        <v>3.98</v>
      </c>
      <c r="F2354" t="s">
        <v>43</v>
      </c>
    </row>
    <row r="2355" spans="1:6">
      <c r="A2355">
        <v>202401</v>
      </c>
      <c r="B2355" s="6">
        <v>45313</v>
      </c>
      <c r="C2355" t="s">
        <v>3932</v>
      </c>
      <c r="D2355" t="s">
        <v>5620</v>
      </c>
      <c r="E2355">
        <v>96.86</v>
      </c>
      <c r="F2355" t="s">
        <v>9</v>
      </c>
    </row>
    <row r="2356" spans="1:6">
      <c r="A2356">
        <v>202401</v>
      </c>
      <c r="B2356" s="6">
        <v>45313</v>
      </c>
      <c r="C2356" t="s">
        <v>5013</v>
      </c>
      <c r="D2356" t="s">
        <v>4543</v>
      </c>
      <c r="E2356">
        <v>17</v>
      </c>
      <c r="F2356" t="s">
        <v>43</v>
      </c>
    </row>
    <row r="2357" spans="1:6">
      <c r="A2357">
        <v>202401</v>
      </c>
      <c r="B2357" s="6">
        <v>45313</v>
      </c>
      <c r="C2357" t="s">
        <v>2519</v>
      </c>
      <c r="D2357" t="s">
        <v>1955</v>
      </c>
      <c r="E2357">
        <v>38.880000000000003</v>
      </c>
      <c r="F2357" t="s">
        <v>21</v>
      </c>
    </row>
    <row r="2358" spans="1:6">
      <c r="A2358">
        <v>202401</v>
      </c>
      <c r="B2358" s="6">
        <v>45313</v>
      </c>
      <c r="C2358" t="s">
        <v>2519</v>
      </c>
      <c r="D2358" t="s">
        <v>1955</v>
      </c>
      <c r="E2358">
        <v>32.700000000000003</v>
      </c>
      <c r="F2358" t="s">
        <v>21</v>
      </c>
    </row>
    <row r="2359" spans="1:6">
      <c r="A2359">
        <v>202401</v>
      </c>
      <c r="B2359" s="6">
        <v>45313</v>
      </c>
      <c r="C2359" t="s">
        <v>2519</v>
      </c>
      <c r="D2359" t="s">
        <v>1955</v>
      </c>
      <c r="E2359">
        <v>4.75</v>
      </c>
      <c r="F2359" t="s">
        <v>21</v>
      </c>
    </row>
    <row r="2360" spans="1:6">
      <c r="A2360">
        <v>202401</v>
      </c>
      <c r="B2360" s="6">
        <v>45313</v>
      </c>
      <c r="C2360" t="s">
        <v>2519</v>
      </c>
      <c r="D2360" t="s">
        <v>5203</v>
      </c>
      <c r="E2360">
        <v>60.12</v>
      </c>
      <c r="F2360" t="s">
        <v>7</v>
      </c>
    </row>
    <row r="2361" spans="1:6">
      <c r="A2361">
        <v>202401</v>
      </c>
      <c r="B2361" s="6">
        <v>45314</v>
      </c>
      <c r="C2361" t="s">
        <v>3932</v>
      </c>
      <c r="D2361" t="s">
        <v>5204</v>
      </c>
      <c r="E2361">
        <v>12.37</v>
      </c>
      <c r="F2361" t="s">
        <v>26</v>
      </c>
    </row>
    <row r="2362" spans="1:6">
      <c r="A2362">
        <v>202401</v>
      </c>
      <c r="B2362" s="6">
        <v>45314</v>
      </c>
      <c r="C2362" t="s">
        <v>4094</v>
      </c>
      <c r="D2362" t="s">
        <v>38</v>
      </c>
      <c r="E2362">
        <v>35.76</v>
      </c>
      <c r="F2362" t="s">
        <v>38</v>
      </c>
    </row>
    <row r="2363" spans="1:6">
      <c r="A2363">
        <v>202401</v>
      </c>
      <c r="B2363" s="6">
        <v>45314</v>
      </c>
      <c r="C2363" t="s">
        <v>3932</v>
      </c>
      <c r="D2363" t="s">
        <v>38</v>
      </c>
      <c r="E2363">
        <v>7.09</v>
      </c>
      <c r="F2363" t="s">
        <v>38</v>
      </c>
    </row>
    <row r="2364" spans="1:6">
      <c r="A2364">
        <v>202401</v>
      </c>
      <c r="B2364" s="6">
        <v>45314</v>
      </c>
      <c r="C2364" t="s">
        <v>4091</v>
      </c>
      <c r="D2364" t="s">
        <v>113</v>
      </c>
      <c r="E2364">
        <v>-9.19</v>
      </c>
      <c r="F2364" t="s">
        <v>38</v>
      </c>
    </row>
    <row r="2365" spans="1:6">
      <c r="A2365">
        <v>202401</v>
      </c>
      <c r="B2365" s="6">
        <v>45314</v>
      </c>
      <c r="C2365" t="s">
        <v>2519</v>
      </c>
      <c r="D2365" t="s">
        <v>4470</v>
      </c>
      <c r="E2365">
        <v>-17.989999999999998</v>
      </c>
      <c r="F2365" t="s">
        <v>48</v>
      </c>
    </row>
    <row r="2366" spans="1:6">
      <c r="A2366">
        <v>202401</v>
      </c>
      <c r="B2366" s="6">
        <v>45314</v>
      </c>
      <c r="C2366" t="s">
        <v>2519</v>
      </c>
      <c r="D2366" t="s">
        <v>1958</v>
      </c>
      <c r="E2366">
        <v>100</v>
      </c>
      <c r="F2366" t="s">
        <v>21</v>
      </c>
    </row>
    <row r="2367" spans="1:6">
      <c r="A2367">
        <v>202401</v>
      </c>
      <c r="B2367" s="6">
        <v>45314</v>
      </c>
      <c r="C2367" t="s">
        <v>2519</v>
      </c>
      <c r="D2367" t="s">
        <v>5205</v>
      </c>
      <c r="E2367">
        <v>346</v>
      </c>
      <c r="F2367" t="s">
        <v>20</v>
      </c>
    </row>
    <row r="2368" spans="1:6">
      <c r="A2368">
        <v>202401</v>
      </c>
      <c r="B2368" s="6">
        <v>45315</v>
      </c>
      <c r="C2368" t="s">
        <v>4100</v>
      </c>
      <c r="D2368" t="s">
        <v>38</v>
      </c>
      <c r="E2368">
        <v>26.01</v>
      </c>
      <c r="F2368" t="s">
        <v>38</v>
      </c>
    </row>
    <row r="2369" spans="1:6">
      <c r="A2369">
        <v>202401</v>
      </c>
      <c r="B2369" s="6">
        <v>45315</v>
      </c>
      <c r="C2369" t="s">
        <v>3932</v>
      </c>
      <c r="D2369" t="s">
        <v>38</v>
      </c>
      <c r="E2369">
        <v>7.73</v>
      </c>
      <c r="F2369" t="s">
        <v>38</v>
      </c>
    </row>
    <row r="2370" spans="1:6">
      <c r="A2370">
        <v>202401</v>
      </c>
      <c r="B2370" s="6">
        <v>45315</v>
      </c>
      <c r="C2370" t="s">
        <v>3932</v>
      </c>
      <c r="D2370" t="s">
        <v>38</v>
      </c>
      <c r="E2370">
        <v>37.869999999999997</v>
      </c>
      <c r="F2370" t="s">
        <v>38</v>
      </c>
    </row>
    <row r="2371" spans="1:6">
      <c r="A2371">
        <v>202401</v>
      </c>
      <c r="B2371" s="6">
        <v>45315</v>
      </c>
      <c r="C2371" t="s">
        <v>4089</v>
      </c>
      <c r="D2371" t="s">
        <v>5206</v>
      </c>
      <c r="E2371">
        <v>9.99</v>
      </c>
      <c r="F2371" t="s">
        <v>38</v>
      </c>
    </row>
    <row r="2372" spans="1:6">
      <c r="A2372">
        <v>202401</v>
      </c>
      <c r="B2372" s="6">
        <v>45315</v>
      </c>
      <c r="C2372" t="s">
        <v>4096</v>
      </c>
      <c r="D2372" t="s">
        <v>5207</v>
      </c>
      <c r="E2372">
        <v>24.98</v>
      </c>
      <c r="F2372" t="s">
        <v>38</v>
      </c>
    </row>
    <row r="2373" spans="1:6">
      <c r="A2373">
        <v>202401</v>
      </c>
      <c r="B2373" s="6">
        <v>45315</v>
      </c>
      <c r="C2373" t="s">
        <v>2519</v>
      </c>
      <c r="D2373" t="s">
        <v>4470</v>
      </c>
      <c r="E2373">
        <v>-168.61</v>
      </c>
      <c r="F2373" t="s">
        <v>48</v>
      </c>
    </row>
    <row r="2374" spans="1:6">
      <c r="A2374">
        <v>202401</v>
      </c>
      <c r="B2374" s="6">
        <v>45315</v>
      </c>
      <c r="C2374" t="s">
        <v>2519</v>
      </c>
      <c r="D2374" t="s">
        <v>5208</v>
      </c>
      <c r="E2374">
        <v>-641.02</v>
      </c>
      <c r="F2374" t="s">
        <v>64</v>
      </c>
    </row>
    <row r="2375" spans="1:6">
      <c r="A2375">
        <v>202401</v>
      </c>
      <c r="B2375" s="6">
        <v>45315</v>
      </c>
      <c r="C2375" t="s">
        <v>2519</v>
      </c>
      <c r="D2375" t="s">
        <v>1958</v>
      </c>
      <c r="E2375">
        <v>146.19999999999999</v>
      </c>
      <c r="F2375" t="s">
        <v>21</v>
      </c>
    </row>
    <row r="2376" spans="1:6">
      <c r="A2376">
        <v>202401</v>
      </c>
      <c r="B2376" s="6">
        <v>45316</v>
      </c>
      <c r="C2376" t="s">
        <v>4112</v>
      </c>
      <c r="D2376" t="s">
        <v>5209</v>
      </c>
      <c r="E2376">
        <v>10.9</v>
      </c>
      <c r="F2376" t="s">
        <v>38</v>
      </c>
    </row>
    <row r="2377" spans="1:6">
      <c r="A2377">
        <v>202401</v>
      </c>
      <c r="B2377" s="6">
        <v>45316</v>
      </c>
      <c r="C2377" t="s">
        <v>4121</v>
      </c>
      <c r="D2377" t="s">
        <v>673</v>
      </c>
      <c r="E2377">
        <v>-1252.2</v>
      </c>
      <c r="F2377" t="s">
        <v>9</v>
      </c>
    </row>
    <row r="2378" spans="1:6">
      <c r="A2378">
        <v>202401</v>
      </c>
      <c r="B2378" s="6">
        <v>45316</v>
      </c>
      <c r="C2378" t="s">
        <v>4098</v>
      </c>
      <c r="D2378" t="s">
        <v>782</v>
      </c>
      <c r="E2378">
        <v>9.5</v>
      </c>
      <c r="F2378" t="s">
        <v>28</v>
      </c>
    </row>
    <row r="2379" spans="1:6">
      <c r="A2379">
        <v>202401</v>
      </c>
      <c r="B2379" s="6">
        <v>45316</v>
      </c>
      <c r="C2379" t="s">
        <v>5013</v>
      </c>
      <c r="D2379" t="s">
        <v>4012</v>
      </c>
      <c r="E2379">
        <v>-4783.71</v>
      </c>
      <c r="F2379" t="s">
        <v>9</v>
      </c>
    </row>
    <row r="2380" spans="1:6">
      <c r="A2380">
        <v>202401</v>
      </c>
      <c r="B2380" s="6">
        <v>45316</v>
      </c>
      <c r="C2380" t="s">
        <v>2519</v>
      </c>
      <c r="D2380" t="s">
        <v>4415</v>
      </c>
      <c r="E2380">
        <v>921.65</v>
      </c>
      <c r="F2380" t="s">
        <v>31</v>
      </c>
    </row>
    <row r="2381" spans="1:6">
      <c r="A2381">
        <v>202401</v>
      </c>
      <c r="B2381" s="6">
        <v>45316</v>
      </c>
      <c r="C2381" t="s">
        <v>2519</v>
      </c>
      <c r="D2381" t="s">
        <v>1955</v>
      </c>
      <c r="E2381">
        <v>21.25</v>
      </c>
      <c r="F2381" t="s">
        <v>21</v>
      </c>
    </row>
    <row r="2382" spans="1:6">
      <c r="A2382">
        <v>202401</v>
      </c>
      <c r="B2382" s="6">
        <v>45316</v>
      </c>
      <c r="C2382" t="s">
        <v>2519</v>
      </c>
      <c r="D2382" t="s">
        <v>5196</v>
      </c>
      <c r="E2382">
        <v>0.05</v>
      </c>
      <c r="F2382" t="s">
        <v>29</v>
      </c>
    </row>
    <row r="2383" spans="1:6">
      <c r="A2383">
        <v>202401</v>
      </c>
      <c r="B2383" s="6">
        <v>45316</v>
      </c>
      <c r="C2383" t="s">
        <v>2519</v>
      </c>
      <c r="D2383" t="s">
        <v>5196</v>
      </c>
      <c r="E2383">
        <v>0.13</v>
      </c>
      <c r="F2383" t="s">
        <v>29</v>
      </c>
    </row>
    <row r="2384" spans="1:6">
      <c r="A2384">
        <v>202401</v>
      </c>
      <c r="B2384" s="6">
        <v>45316</v>
      </c>
      <c r="C2384" t="s">
        <v>2519</v>
      </c>
      <c r="D2384" t="s">
        <v>5196</v>
      </c>
      <c r="E2384">
        <v>0.11</v>
      </c>
      <c r="F2384" t="s">
        <v>29</v>
      </c>
    </row>
    <row r="2385" spans="1:6">
      <c r="A2385">
        <v>202401</v>
      </c>
      <c r="B2385" s="6">
        <v>45316</v>
      </c>
      <c r="C2385" t="s">
        <v>2519</v>
      </c>
      <c r="D2385" t="s">
        <v>5196</v>
      </c>
      <c r="E2385">
        <v>0.39</v>
      </c>
      <c r="F2385" t="s">
        <v>29</v>
      </c>
    </row>
    <row r="2386" spans="1:6">
      <c r="A2386">
        <v>202401</v>
      </c>
      <c r="B2386" s="6">
        <v>45316</v>
      </c>
      <c r="C2386" t="s">
        <v>2519</v>
      </c>
      <c r="D2386" t="s">
        <v>6015</v>
      </c>
      <c r="E2386">
        <v>13.1</v>
      </c>
      <c r="F2386" t="s">
        <v>9</v>
      </c>
    </row>
    <row r="2387" spans="1:6">
      <c r="A2387">
        <v>202401</v>
      </c>
      <c r="B2387" s="6">
        <v>45316</v>
      </c>
      <c r="C2387" t="s">
        <v>2519</v>
      </c>
      <c r="D2387" t="s">
        <v>4293</v>
      </c>
      <c r="E2387">
        <v>1252.2</v>
      </c>
      <c r="F2387" t="s">
        <v>9</v>
      </c>
    </row>
    <row r="2388" spans="1:6">
      <c r="A2388">
        <v>202401</v>
      </c>
      <c r="B2388" s="6">
        <v>45316</v>
      </c>
      <c r="C2388" t="s">
        <v>2519</v>
      </c>
      <c r="D2388" t="s">
        <v>6084</v>
      </c>
      <c r="E2388">
        <v>5.46</v>
      </c>
      <c r="F2388" t="s">
        <v>9</v>
      </c>
    </row>
    <row r="2389" spans="1:6">
      <c r="A2389">
        <v>202401</v>
      </c>
      <c r="B2389" s="6">
        <v>45316</v>
      </c>
      <c r="C2389" t="s">
        <v>2519</v>
      </c>
      <c r="D2389" t="s">
        <v>6093</v>
      </c>
      <c r="E2389">
        <v>38.979999999999997</v>
      </c>
      <c r="F2389" t="s">
        <v>9</v>
      </c>
    </row>
    <row r="2390" spans="1:6">
      <c r="A2390">
        <v>202401</v>
      </c>
      <c r="B2390" s="6">
        <v>45316</v>
      </c>
      <c r="C2390" t="s">
        <v>2519</v>
      </c>
      <c r="D2390" t="s">
        <v>6094</v>
      </c>
      <c r="E2390">
        <v>10.92</v>
      </c>
      <c r="F2390" t="s">
        <v>9</v>
      </c>
    </row>
    <row r="2391" spans="1:6">
      <c r="A2391">
        <v>202401</v>
      </c>
      <c r="B2391" s="6">
        <v>45317</v>
      </c>
      <c r="C2391" t="s">
        <v>5013</v>
      </c>
      <c r="D2391" t="s">
        <v>5213</v>
      </c>
      <c r="E2391">
        <v>21.94</v>
      </c>
      <c r="F2391" t="s">
        <v>26</v>
      </c>
    </row>
    <row r="2392" spans="1:6">
      <c r="A2392">
        <v>202401</v>
      </c>
      <c r="B2392" s="6">
        <v>45317</v>
      </c>
      <c r="C2392" t="s">
        <v>2519</v>
      </c>
      <c r="D2392" t="s">
        <v>1458</v>
      </c>
      <c r="E2392">
        <v>4783.71</v>
      </c>
      <c r="F2392" t="s">
        <v>9</v>
      </c>
    </row>
    <row r="2393" spans="1:6">
      <c r="A2393">
        <v>202401</v>
      </c>
      <c r="B2393" s="6">
        <v>45317</v>
      </c>
      <c r="C2393" t="s">
        <v>2519</v>
      </c>
      <c r="D2393" t="s">
        <v>4404</v>
      </c>
      <c r="E2393">
        <v>800</v>
      </c>
      <c r="F2393" t="s">
        <v>59</v>
      </c>
    </row>
    <row r="2394" spans="1:6">
      <c r="A2394">
        <v>202401</v>
      </c>
      <c r="B2394" s="6">
        <v>45317</v>
      </c>
      <c r="C2394" t="s">
        <v>4123</v>
      </c>
      <c r="D2394" t="s">
        <v>5214</v>
      </c>
      <c r="E2394">
        <v>2.57</v>
      </c>
      <c r="F2394" t="s">
        <v>26</v>
      </c>
    </row>
    <row r="2395" spans="1:6">
      <c r="A2395">
        <v>202401</v>
      </c>
      <c r="B2395" s="6">
        <v>45317</v>
      </c>
      <c r="C2395" t="s">
        <v>2519</v>
      </c>
      <c r="D2395" t="s">
        <v>5196</v>
      </c>
      <c r="E2395">
        <v>0.67</v>
      </c>
      <c r="F2395" t="s">
        <v>29</v>
      </c>
    </row>
    <row r="2396" spans="1:6">
      <c r="A2396">
        <v>202401</v>
      </c>
      <c r="B2396" s="6">
        <v>45317</v>
      </c>
      <c r="C2396" t="s">
        <v>2519</v>
      </c>
      <c r="D2396" t="s">
        <v>6085</v>
      </c>
      <c r="E2396">
        <v>66.81</v>
      </c>
      <c r="F2396" t="s">
        <v>9</v>
      </c>
    </row>
    <row r="2397" spans="1:6">
      <c r="A2397">
        <v>202401</v>
      </c>
      <c r="B2397" s="6">
        <v>45318</v>
      </c>
      <c r="C2397" t="s">
        <v>5013</v>
      </c>
      <c r="D2397" t="s">
        <v>31</v>
      </c>
      <c r="E2397">
        <v>9.1999999999999993</v>
      </c>
      <c r="F2397" t="s">
        <v>31</v>
      </c>
    </row>
    <row r="2398" spans="1:6">
      <c r="A2398">
        <v>202401</v>
      </c>
      <c r="B2398" s="6">
        <v>45319</v>
      </c>
      <c r="C2398" t="s">
        <v>4127</v>
      </c>
      <c r="D2398" t="s">
        <v>4887</v>
      </c>
      <c r="E2398">
        <v>39.049999999999997</v>
      </c>
      <c r="F2398" t="s">
        <v>23</v>
      </c>
    </row>
    <row r="2399" spans="1:6">
      <c r="A2399">
        <v>202401</v>
      </c>
      <c r="B2399" s="6">
        <v>45319</v>
      </c>
      <c r="C2399" t="s">
        <v>4125</v>
      </c>
      <c r="D2399" t="s">
        <v>5215</v>
      </c>
      <c r="E2399">
        <v>7.89</v>
      </c>
      <c r="F2399" t="s">
        <v>26</v>
      </c>
    </row>
    <row r="2400" spans="1:6">
      <c r="A2400">
        <v>202401</v>
      </c>
      <c r="B2400" s="6">
        <v>45319</v>
      </c>
      <c r="C2400" t="s">
        <v>4129</v>
      </c>
      <c r="D2400" t="s">
        <v>31</v>
      </c>
      <c r="E2400">
        <v>2.29</v>
      </c>
      <c r="F2400" t="s">
        <v>31</v>
      </c>
    </row>
    <row r="2401" spans="1:6">
      <c r="A2401">
        <v>202401</v>
      </c>
      <c r="B2401" s="6">
        <v>45319</v>
      </c>
      <c r="C2401" t="s">
        <v>2519</v>
      </c>
      <c r="D2401" t="s">
        <v>5216</v>
      </c>
      <c r="E2401">
        <v>25.24</v>
      </c>
      <c r="F2401" t="s">
        <v>28</v>
      </c>
    </row>
    <row r="2402" spans="1:6">
      <c r="A2402">
        <v>202401</v>
      </c>
      <c r="B2402" s="6">
        <v>45319</v>
      </c>
      <c r="C2402" t="s">
        <v>2519</v>
      </c>
      <c r="D2402" t="s">
        <v>5196</v>
      </c>
      <c r="E2402">
        <v>0.32</v>
      </c>
      <c r="F2402" t="s">
        <v>29</v>
      </c>
    </row>
    <row r="2403" spans="1:6">
      <c r="A2403">
        <v>202401</v>
      </c>
      <c r="B2403" s="6">
        <v>45319</v>
      </c>
      <c r="C2403" t="s">
        <v>2519</v>
      </c>
      <c r="D2403" t="s">
        <v>5196</v>
      </c>
      <c r="E2403">
        <v>0.25</v>
      </c>
      <c r="F2403" t="s">
        <v>29</v>
      </c>
    </row>
    <row r="2404" spans="1:6">
      <c r="A2404">
        <v>202401</v>
      </c>
      <c r="B2404" s="6">
        <v>45319</v>
      </c>
      <c r="C2404" t="s">
        <v>2519</v>
      </c>
      <c r="D2404" t="s">
        <v>6088</v>
      </c>
      <c r="E2404">
        <v>32.04</v>
      </c>
      <c r="F2404" t="s">
        <v>9</v>
      </c>
    </row>
    <row r="2405" spans="1:6">
      <c r="A2405">
        <v>202401</v>
      </c>
      <c r="B2405" s="6">
        <v>45320</v>
      </c>
      <c r="C2405" t="s">
        <v>5013</v>
      </c>
      <c r="D2405" t="s">
        <v>4888</v>
      </c>
      <c r="E2405">
        <v>16.23</v>
      </c>
      <c r="F2405" t="s">
        <v>26</v>
      </c>
    </row>
    <row r="2406" spans="1:6">
      <c r="A2406">
        <v>202401</v>
      </c>
      <c r="B2406" s="6">
        <v>45320</v>
      </c>
      <c r="C2406" t="s">
        <v>2519</v>
      </c>
      <c r="D2406" t="s">
        <v>1955</v>
      </c>
      <c r="E2406">
        <v>0.99</v>
      </c>
      <c r="F2406" t="s">
        <v>21</v>
      </c>
    </row>
    <row r="2407" spans="1:6">
      <c r="A2407">
        <v>202401</v>
      </c>
      <c r="B2407" s="6">
        <v>45320</v>
      </c>
      <c r="C2407" t="s">
        <v>2519</v>
      </c>
      <c r="D2407" t="s">
        <v>5196</v>
      </c>
      <c r="E2407">
        <v>0.03</v>
      </c>
      <c r="F2407" t="s">
        <v>29</v>
      </c>
    </row>
    <row r="2408" spans="1:6">
      <c r="A2408">
        <v>202401</v>
      </c>
      <c r="B2408" s="6">
        <v>45320</v>
      </c>
      <c r="C2408" t="s">
        <v>2519</v>
      </c>
      <c r="D2408" t="s">
        <v>6086</v>
      </c>
      <c r="E2408">
        <v>3.27</v>
      </c>
      <c r="F2408" t="s">
        <v>9</v>
      </c>
    </row>
    <row r="2409" spans="1:6">
      <c r="A2409">
        <v>202401</v>
      </c>
      <c r="B2409" s="6">
        <v>45321</v>
      </c>
      <c r="C2409" t="s">
        <v>4137</v>
      </c>
      <c r="D2409" t="s">
        <v>38</v>
      </c>
      <c r="E2409">
        <v>101.63</v>
      </c>
      <c r="F2409" t="s">
        <v>38</v>
      </c>
    </row>
    <row r="2410" spans="1:6">
      <c r="A2410">
        <v>202401</v>
      </c>
      <c r="B2410" s="6">
        <v>45321</v>
      </c>
      <c r="C2410" t="s">
        <v>2519</v>
      </c>
      <c r="D2410" t="s">
        <v>4470</v>
      </c>
      <c r="E2410">
        <v>-49.97</v>
      </c>
      <c r="F2410" t="s">
        <v>48</v>
      </c>
    </row>
    <row r="2411" spans="1:6">
      <c r="A2411">
        <v>202401</v>
      </c>
      <c r="B2411" s="6">
        <v>45321</v>
      </c>
      <c r="C2411" t="s">
        <v>4135</v>
      </c>
      <c r="D2411" t="s">
        <v>5217</v>
      </c>
      <c r="E2411">
        <v>1.5</v>
      </c>
      <c r="F2411" t="s">
        <v>26</v>
      </c>
    </row>
    <row r="2412" spans="1:6">
      <c r="A2412">
        <v>202401</v>
      </c>
      <c r="B2412" s="6">
        <v>45321</v>
      </c>
      <c r="C2412" t="s">
        <v>2519</v>
      </c>
      <c r="D2412" t="s">
        <v>4343</v>
      </c>
      <c r="E2412">
        <v>-3251.22</v>
      </c>
      <c r="F2412" t="s">
        <v>64</v>
      </c>
    </row>
    <row r="2413" spans="1:6">
      <c r="A2413">
        <v>202401</v>
      </c>
      <c r="B2413" s="6">
        <v>45321</v>
      </c>
      <c r="C2413" t="s">
        <v>2519</v>
      </c>
      <c r="D2413" t="s">
        <v>5196</v>
      </c>
      <c r="E2413">
        <v>7.0000000000000007E-2</v>
      </c>
      <c r="F2413" t="s">
        <v>29</v>
      </c>
    </row>
    <row r="2414" spans="1:6">
      <c r="A2414">
        <v>202401</v>
      </c>
      <c r="B2414" s="6">
        <v>45321</v>
      </c>
      <c r="C2414" t="s">
        <v>2519</v>
      </c>
      <c r="D2414" t="s">
        <v>5218</v>
      </c>
      <c r="E2414">
        <v>7.08</v>
      </c>
      <c r="F2414" t="s">
        <v>43</v>
      </c>
    </row>
    <row r="2415" spans="1:6">
      <c r="A2415">
        <v>202401</v>
      </c>
      <c r="B2415" s="6">
        <v>45322</v>
      </c>
      <c r="C2415" t="s">
        <v>2519</v>
      </c>
      <c r="D2415" t="s">
        <v>4470</v>
      </c>
      <c r="E2415">
        <v>-9.1999999999999993</v>
      </c>
      <c r="F2415" t="s">
        <v>48</v>
      </c>
    </row>
    <row r="2416" spans="1:6">
      <c r="A2416">
        <v>202401</v>
      </c>
      <c r="B2416" s="6">
        <v>45322</v>
      </c>
      <c r="C2416" t="s">
        <v>5013</v>
      </c>
      <c r="D2416" t="s">
        <v>684</v>
      </c>
      <c r="E2416">
        <v>27.08</v>
      </c>
      <c r="F2416" t="s">
        <v>28</v>
      </c>
    </row>
    <row r="2417" spans="1:6">
      <c r="A2417">
        <v>202401</v>
      </c>
      <c r="B2417" s="6">
        <v>45322</v>
      </c>
      <c r="C2417" t="s">
        <v>2519</v>
      </c>
      <c r="D2417" t="s">
        <v>5219</v>
      </c>
      <c r="E2417">
        <v>-50.08</v>
      </c>
      <c r="F2417" t="s">
        <v>16</v>
      </c>
    </row>
    <row r="2418" spans="1:6">
      <c r="A2418">
        <v>202401</v>
      </c>
      <c r="B2418" s="6">
        <v>45322</v>
      </c>
      <c r="C2418" t="s">
        <v>2519</v>
      </c>
      <c r="D2418" t="s">
        <v>5148</v>
      </c>
      <c r="E2418">
        <v>217.73</v>
      </c>
      <c r="F2418" t="s">
        <v>7</v>
      </c>
    </row>
    <row r="2419" spans="1:6">
      <c r="A2419">
        <v>202401</v>
      </c>
      <c r="B2419" s="6">
        <v>45322</v>
      </c>
      <c r="C2419" t="s">
        <v>2519</v>
      </c>
      <c r="D2419" t="s">
        <v>1955</v>
      </c>
      <c r="E2419">
        <v>38</v>
      </c>
      <c r="F2419" t="s">
        <v>21</v>
      </c>
    </row>
    <row r="2420" spans="1:6">
      <c r="A2420">
        <v>202401</v>
      </c>
      <c r="B2420" s="6">
        <v>45322</v>
      </c>
      <c r="C2420" t="s">
        <v>2519</v>
      </c>
      <c r="D2420" t="s">
        <v>5220</v>
      </c>
      <c r="E2420">
        <v>346</v>
      </c>
      <c r="F2420" t="s">
        <v>20</v>
      </c>
    </row>
    <row r="2421" spans="1:6">
      <c r="A2421">
        <v>202401</v>
      </c>
      <c r="C2421" t="s">
        <v>5143</v>
      </c>
      <c r="E2421">
        <v>250</v>
      </c>
      <c r="F2421" t="s">
        <v>14</v>
      </c>
    </row>
    <row r="2422" spans="1:6">
      <c r="A2422">
        <v>202402</v>
      </c>
      <c r="B2422" s="6">
        <v>45292</v>
      </c>
      <c r="C2422" t="s">
        <v>2519</v>
      </c>
      <c r="D2422" t="s">
        <v>5147</v>
      </c>
      <c r="E2422">
        <v>237.3</v>
      </c>
      <c r="F2422" t="s">
        <v>7</v>
      </c>
    </row>
    <row r="2423" spans="1:6">
      <c r="A2423">
        <v>202402</v>
      </c>
      <c r="B2423" s="6">
        <v>45323</v>
      </c>
      <c r="C2423" t="s">
        <v>4145</v>
      </c>
      <c r="D2423" t="s">
        <v>5221</v>
      </c>
      <c r="E2423">
        <v>6.49</v>
      </c>
      <c r="F2423" t="s">
        <v>38</v>
      </c>
    </row>
    <row r="2424" spans="1:6">
      <c r="A2424">
        <v>202402</v>
      </c>
      <c r="B2424" s="6">
        <v>45323</v>
      </c>
      <c r="C2424" t="s">
        <v>2519</v>
      </c>
      <c r="D2424" t="s">
        <v>404</v>
      </c>
      <c r="E2424">
        <v>-2697.11</v>
      </c>
      <c r="F2424" t="s">
        <v>66</v>
      </c>
    </row>
    <row r="2425" spans="1:6">
      <c r="A2425">
        <v>202402</v>
      </c>
      <c r="B2425" s="6">
        <v>45323</v>
      </c>
      <c r="C2425" t="s">
        <v>5013</v>
      </c>
      <c r="D2425" t="s">
        <v>5222</v>
      </c>
      <c r="E2425">
        <v>24.52</v>
      </c>
      <c r="F2425" t="s">
        <v>26</v>
      </c>
    </row>
    <row r="2426" spans="1:6">
      <c r="A2426">
        <v>202402</v>
      </c>
      <c r="B2426" s="6">
        <v>45323</v>
      </c>
      <c r="C2426" t="s">
        <v>2519</v>
      </c>
      <c r="D2426" t="s">
        <v>1460</v>
      </c>
      <c r="E2426">
        <v>2741.74</v>
      </c>
      <c r="F2426" t="s">
        <v>5</v>
      </c>
    </row>
    <row r="2427" spans="1:6">
      <c r="A2427">
        <v>202402</v>
      </c>
      <c r="B2427" s="6">
        <v>45323</v>
      </c>
      <c r="C2427" t="s">
        <v>5013</v>
      </c>
      <c r="D2427" t="s">
        <v>1931</v>
      </c>
      <c r="E2427">
        <v>148.81</v>
      </c>
      <c r="F2427" t="s">
        <v>28</v>
      </c>
    </row>
    <row r="2428" spans="1:6">
      <c r="A2428">
        <v>202402</v>
      </c>
      <c r="B2428" s="6">
        <v>45323</v>
      </c>
      <c r="C2428" t="s">
        <v>2519</v>
      </c>
      <c r="D2428" t="s">
        <v>4716</v>
      </c>
      <c r="E2428">
        <v>650</v>
      </c>
      <c r="F2428" t="s">
        <v>61</v>
      </c>
    </row>
    <row r="2429" spans="1:6">
      <c r="A2429">
        <v>202402</v>
      </c>
      <c r="B2429" s="6">
        <v>45323</v>
      </c>
      <c r="C2429" t="s">
        <v>5013</v>
      </c>
      <c r="D2429" t="s">
        <v>2094</v>
      </c>
      <c r="E2429">
        <v>35</v>
      </c>
      <c r="F2429" t="s">
        <v>20</v>
      </c>
    </row>
    <row r="2430" spans="1:6">
      <c r="A2430">
        <v>202402</v>
      </c>
      <c r="B2430" s="6">
        <v>45323</v>
      </c>
      <c r="C2430" t="s">
        <v>2519</v>
      </c>
      <c r="D2430" t="s">
        <v>6014</v>
      </c>
      <c r="E2430">
        <v>16.510000000000002</v>
      </c>
      <c r="F2430" t="s">
        <v>9</v>
      </c>
    </row>
    <row r="2431" spans="1:6">
      <c r="A2431">
        <v>202402</v>
      </c>
      <c r="B2431" s="6">
        <v>45323</v>
      </c>
      <c r="C2431" t="s">
        <v>2519</v>
      </c>
      <c r="D2431" t="s">
        <v>5196</v>
      </c>
      <c r="E2431">
        <v>0.17</v>
      </c>
      <c r="F2431" t="s">
        <v>21</v>
      </c>
    </row>
    <row r="2432" spans="1:6">
      <c r="A2432">
        <v>202402</v>
      </c>
      <c r="B2432" s="6">
        <v>45324</v>
      </c>
      <c r="C2432" t="s">
        <v>2519</v>
      </c>
      <c r="D2432" t="s">
        <v>710</v>
      </c>
      <c r="E2432">
        <v>-108.83</v>
      </c>
      <c r="F2432" t="s">
        <v>9</v>
      </c>
    </row>
    <row r="2433" spans="1:6">
      <c r="A2433">
        <v>202402</v>
      </c>
      <c r="B2433" s="6">
        <v>45324</v>
      </c>
      <c r="C2433" t="s">
        <v>4152</v>
      </c>
      <c r="D2433" t="s">
        <v>782</v>
      </c>
      <c r="E2433">
        <v>5.43</v>
      </c>
      <c r="F2433" t="s">
        <v>21</v>
      </c>
    </row>
    <row r="2434" spans="1:6">
      <c r="A2434">
        <v>202402</v>
      </c>
      <c r="B2434" s="6">
        <v>45325</v>
      </c>
      <c r="C2434" t="s">
        <v>5013</v>
      </c>
      <c r="D2434" t="s">
        <v>4869</v>
      </c>
      <c r="E2434">
        <v>202.4</v>
      </c>
      <c r="F2434" t="s">
        <v>21</v>
      </c>
    </row>
    <row r="2435" spans="1:6">
      <c r="A2435">
        <v>202402</v>
      </c>
      <c r="B2435" s="6">
        <v>45325</v>
      </c>
      <c r="C2435" t="s">
        <v>5013</v>
      </c>
      <c r="D2435" t="s">
        <v>5223</v>
      </c>
      <c r="E2435">
        <v>80</v>
      </c>
      <c r="F2435" t="s">
        <v>21</v>
      </c>
    </row>
    <row r="2436" spans="1:6">
      <c r="A2436">
        <v>202402</v>
      </c>
      <c r="B2436" s="6">
        <v>45325</v>
      </c>
      <c r="C2436" t="s">
        <v>5013</v>
      </c>
      <c r="D2436" t="s">
        <v>4663</v>
      </c>
      <c r="E2436">
        <v>58.88</v>
      </c>
      <c r="F2436" t="s">
        <v>26</v>
      </c>
    </row>
    <row r="2437" spans="1:6">
      <c r="A2437">
        <v>202402</v>
      </c>
      <c r="B2437" s="6">
        <v>45325</v>
      </c>
      <c r="C2437" t="s">
        <v>5013</v>
      </c>
      <c r="D2437" t="s">
        <v>4663</v>
      </c>
      <c r="E2437">
        <v>110.86</v>
      </c>
      <c r="F2437" t="s">
        <v>26</v>
      </c>
    </row>
    <row r="2438" spans="1:6">
      <c r="A2438">
        <v>202402</v>
      </c>
      <c r="B2438" s="6">
        <v>45326</v>
      </c>
      <c r="C2438" t="s">
        <v>2519</v>
      </c>
      <c r="D2438" t="s">
        <v>5161</v>
      </c>
      <c r="E2438">
        <v>150.63999999999999</v>
      </c>
      <c r="F2438" t="s">
        <v>38</v>
      </c>
    </row>
    <row r="2439" spans="1:6">
      <c r="A2439">
        <v>202402</v>
      </c>
      <c r="B2439" s="6">
        <v>45326</v>
      </c>
      <c r="C2439" t="s">
        <v>5013</v>
      </c>
      <c r="D2439" t="s">
        <v>5224</v>
      </c>
      <c r="E2439">
        <v>720.33</v>
      </c>
      <c r="F2439" t="s">
        <v>50</v>
      </c>
    </row>
    <row r="2440" spans="1:6">
      <c r="A2440">
        <v>202402</v>
      </c>
      <c r="B2440" s="6">
        <v>45326</v>
      </c>
      <c r="C2440" t="s">
        <v>5013</v>
      </c>
      <c r="D2440" t="s">
        <v>31</v>
      </c>
      <c r="E2440">
        <v>21.66</v>
      </c>
      <c r="F2440" t="s">
        <v>31</v>
      </c>
    </row>
    <row r="2441" spans="1:6">
      <c r="A2441">
        <v>202402</v>
      </c>
      <c r="B2441" s="6">
        <v>45326</v>
      </c>
      <c r="C2441" t="s">
        <v>5013</v>
      </c>
      <c r="D2441" t="s">
        <v>1849</v>
      </c>
      <c r="E2441">
        <v>-41.15</v>
      </c>
      <c r="F2441" t="s">
        <v>2</v>
      </c>
    </row>
    <row r="2442" spans="1:6">
      <c r="A2442">
        <v>202402</v>
      </c>
      <c r="B2442" s="6">
        <v>45327</v>
      </c>
      <c r="C2442" t="s">
        <v>5013</v>
      </c>
      <c r="D2442" t="s">
        <v>5225</v>
      </c>
      <c r="E2442">
        <v>20</v>
      </c>
      <c r="F2442" t="s">
        <v>21</v>
      </c>
    </row>
    <row r="2443" spans="1:6">
      <c r="A2443">
        <v>202402</v>
      </c>
      <c r="B2443" s="6">
        <v>45327</v>
      </c>
      <c r="C2443" t="s">
        <v>2519</v>
      </c>
      <c r="D2443" t="s">
        <v>4642</v>
      </c>
      <c r="E2443">
        <v>13.5</v>
      </c>
      <c r="F2443" t="s">
        <v>29</v>
      </c>
    </row>
    <row r="2444" spans="1:6">
      <c r="A2444">
        <v>202402</v>
      </c>
      <c r="B2444" s="6">
        <v>45327</v>
      </c>
      <c r="C2444" t="s">
        <v>5013</v>
      </c>
      <c r="D2444" t="s">
        <v>945</v>
      </c>
      <c r="E2444">
        <v>43.35</v>
      </c>
      <c r="F2444" t="s">
        <v>23</v>
      </c>
    </row>
    <row r="2445" spans="1:6">
      <c r="A2445">
        <v>202402</v>
      </c>
      <c r="B2445" s="6">
        <v>45327</v>
      </c>
      <c r="C2445" t="s">
        <v>5013</v>
      </c>
      <c r="D2445" t="s">
        <v>1925</v>
      </c>
      <c r="E2445">
        <v>49.85</v>
      </c>
      <c r="F2445" t="s">
        <v>28</v>
      </c>
    </row>
    <row r="2446" spans="1:6">
      <c r="A2446">
        <v>202402</v>
      </c>
      <c r="B2446" s="6">
        <v>45327</v>
      </c>
      <c r="C2446" t="s">
        <v>2519</v>
      </c>
      <c r="D2446" t="s">
        <v>1958</v>
      </c>
      <c r="E2446">
        <v>125</v>
      </c>
      <c r="F2446" t="s">
        <v>21</v>
      </c>
    </row>
    <row r="2447" spans="1:6">
      <c r="A2447">
        <v>202402</v>
      </c>
      <c r="B2447" s="6">
        <v>45328</v>
      </c>
      <c r="C2447" t="s">
        <v>4143</v>
      </c>
      <c r="D2447" t="s">
        <v>5226</v>
      </c>
      <c r="E2447">
        <v>31.94</v>
      </c>
      <c r="F2447" t="s">
        <v>38</v>
      </c>
    </row>
    <row r="2448" spans="1:6">
      <c r="A2448">
        <v>202402</v>
      </c>
      <c r="B2448" s="6">
        <v>45328</v>
      </c>
      <c r="C2448" t="s">
        <v>5013</v>
      </c>
      <c r="D2448" t="s">
        <v>5227</v>
      </c>
      <c r="E2448">
        <v>87</v>
      </c>
      <c r="F2448" t="s">
        <v>21</v>
      </c>
    </row>
    <row r="2449" spans="1:6">
      <c r="A2449">
        <v>202402</v>
      </c>
      <c r="B2449" s="6">
        <v>45328</v>
      </c>
      <c r="C2449" t="s">
        <v>5013</v>
      </c>
      <c r="D2449" t="s">
        <v>5228</v>
      </c>
      <c r="E2449">
        <v>214.2</v>
      </c>
      <c r="F2449" t="s">
        <v>20</v>
      </c>
    </row>
    <row r="2450" spans="1:6">
      <c r="A2450">
        <v>202402</v>
      </c>
      <c r="B2450" s="6">
        <v>45328</v>
      </c>
      <c r="C2450" t="s">
        <v>2519</v>
      </c>
      <c r="D2450" t="s">
        <v>1469</v>
      </c>
      <c r="E2450">
        <v>193.93</v>
      </c>
      <c r="F2450" t="s">
        <v>7</v>
      </c>
    </row>
    <row r="2451" spans="1:6">
      <c r="A2451">
        <v>202402</v>
      </c>
      <c r="B2451" s="6">
        <v>45328</v>
      </c>
      <c r="C2451" t="s">
        <v>2519</v>
      </c>
      <c r="D2451" t="s">
        <v>5229</v>
      </c>
      <c r="E2451">
        <v>346</v>
      </c>
      <c r="F2451" t="s">
        <v>20</v>
      </c>
    </row>
    <row r="2452" spans="1:6">
      <c r="A2452">
        <v>202402</v>
      </c>
      <c r="B2452" s="6">
        <v>45329</v>
      </c>
      <c r="C2452" t="s">
        <v>4141</v>
      </c>
      <c r="D2452" t="s">
        <v>38</v>
      </c>
      <c r="E2452">
        <v>37.89</v>
      </c>
      <c r="F2452" t="s">
        <v>38</v>
      </c>
    </row>
    <row r="2453" spans="1:6">
      <c r="A2453">
        <v>202402</v>
      </c>
      <c r="B2453" s="6">
        <v>45329</v>
      </c>
      <c r="C2453" t="s">
        <v>5013</v>
      </c>
      <c r="D2453" t="s">
        <v>113</v>
      </c>
      <c r="E2453">
        <v>119.2</v>
      </c>
      <c r="F2453" t="s">
        <v>38</v>
      </c>
    </row>
    <row r="2454" spans="1:6">
      <c r="A2454">
        <v>202402</v>
      </c>
      <c r="B2454" s="6">
        <v>45329</v>
      </c>
      <c r="C2454" t="s">
        <v>4156</v>
      </c>
      <c r="D2454" t="s">
        <v>5230</v>
      </c>
      <c r="E2454">
        <v>126.7</v>
      </c>
      <c r="F2454" t="s">
        <v>38</v>
      </c>
    </row>
    <row r="2455" spans="1:6">
      <c r="A2455">
        <v>202402</v>
      </c>
      <c r="B2455" s="6">
        <v>45329</v>
      </c>
      <c r="C2455" t="s">
        <v>4169</v>
      </c>
      <c r="D2455" t="s">
        <v>5231</v>
      </c>
      <c r="E2455">
        <v>49.74</v>
      </c>
      <c r="F2455" t="s">
        <v>38</v>
      </c>
    </row>
    <row r="2456" spans="1:6">
      <c r="A2456">
        <v>202402</v>
      </c>
      <c r="B2456" s="6">
        <v>45329</v>
      </c>
      <c r="C2456" t="s">
        <v>4148</v>
      </c>
      <c r="D2456" t="s">
        <v>5232</v>
      </c>
      <c r="E2456">
        <v>30.15</v>
      </c>
      <c r="F2456" t="s">
        <v>38</v>
      </c>
    </row>
    <row r="2457" spans="1:6">
      <c r="A2457">
        <v>202402</v>
      </c>
      <c r="B2457" s="6">
        <v>45329</v>
      </c>
      <c r="C2457" t="s">
        <v>5013</v>
      </c>
      <c r="D2457" t="s">
        <v>4878</v>
      </c>
      <c r="E2457">
        <v>74.86</v>
      </c>
      <c r="F2457" t="s">
        <v>26</v>
      </c>
    </row>
    <row r="2458" spans="1:6">
      <c r="A2458">
        <v>202402</v>
      </c>
      <c r="B2458" s="6">
        <v>45329</v>
      </c>
      <c r="C2458" t="s">
        <v>5013</v>
      </c>
      <c r="D2458" t="s">
        <v>684</v>
      </c>
      <c r="E2458">
        <v>72.290000000000006</v>
      </c>
      <c r="F2458" t="s">
        <v>28</v>
      </c>
    </row>
    <row r="2459" spans="1:6">
      <c r="A2459">
        <v>202402</v>
      </c>
      <c r="B2459" s="6">
        <v>45329</v>
      </c>
      <c r="C2459" t="s">
        <v>4150</v>
      </c>
      <c r="D2459" t="s">
        <v>782</v>
      </c>
      <c r="E2459">
        <v>17.64</v>
      </c>
      <c r="F2459" t="s">
        <v>21</v>
      </c>
    </row>
    <row r="2460" spans="1:6">
      <c r="A2460">
        <v>202402</v>
      </c>
      <c r="B2460" s="6">
        <v>45329</v>
      </c>
      <c r="C2460" t="s">
        <v>5013</v>
      </c>
      <c r="D2460" t="s">
        <v>5233</v>
      </c>
      <c r="E2460">
        <v>61</v>
      </c>
      <c r="F2460" t="s">
        <v>20</v>
      </c>
    </row>
    <row r="2461" spans="1:6">
      <c r="A2461">
        <v>202402</v>
      </c>
      <c r="B2461" s="6">
        <v>45329</v>
      </c>
      <c r="C2461" t="s">
        <v>3932</v>
      </c>
      <c r="D2461" t="s">
        <v>5234</v>
      </c>
      <c r="E2461">
        <v>155.75</v>
      </c>
      <c r="F2461" t="s">
        <v>20</v>
      </c>
    </row>
    <row r="2462" spans="1:6">
      <c r="A2462">
        <v>202402</v>
      </c>
      <c r="B2462" s="6">
        <v>45329</v>
      </c>
      <c r="C2462" t="s">
        <v>2519</v>
      </c>
      <c r="D2462" t="s">
        <v>1955</v>
      </c>
      <c r="E2462">
        <v>13.07</v>
      </c>
      <c r="F2462" t="s">
        <v>21</v>
      </c>
    </row>
    <row r="2463" spans="1:6">
      <c r="A2463">
        <v>202402</v>
      </c>
      <c r="B2463" s="6">
        <v>45329</v>
      </c>
      <c r="C2463" t="s">
        <v>5013</v>
      </c>
      <c r="D2463" t="s">
        <v>2149</v>
      </c>
      <c r="E2463">
        <v>35.630000000000003</v>
      </c>
      <c r="F2463" t="s">
        <v>26</v>
      </c>
    </row>
    <row r="2464" spans="1:6">
      <c r="A2464">
        <v>202402</v>
      </c>
      <c r="B2464" s="6">
        <v>45330</v>
      </c>
      <c r="C2464" t="s">
        <v>3932</v>
      </c>
      <c r="D2464" t="s">
        <v>4079</v>
      </c>
      <c r="E2464">
        <v>-35.770000000000003</v>
      </c>
      <c r="F2464" t="s">
        <v>16</v>
      </c>
    </row>
    <row r="2465" spans="1:6">
      <c r="A2465">
        <v>202402</v>
      </c>
      <c r="B2465" s="6">
        <v>45330</v>
      </c>
      <c r="C2465" t="s">
        <v>4158</v>
      </c>
      <c r="D2465" t="s">
        <v>648</v>
      </c>
      <c r="E2465">
        <v>446.12</v>
      </c>
      <c r="F2465" t="s">
        <v>28</v>
      </c>
    </row>
    <row r="2466" spans="1:6">
      <c r="A2466">
        <v>202402</v>
      </c>
      <c r="B2466" s="6">
        <v>45330</v>
      </c>
      <c r="C2466" t="s">
        <v>4160</v>
      </c>
      <c r="D2466" t="s">
        <v>4887</v>
      </c>
      <c r="E2466">
        <v>77.2</v>
      </c>
      <c r="F2466" t="s">
        <v>23</v>
      </c>
    </row>
    <row r="2467" spans="1:6">
      <c r="A2467">
        <v>202402</v>
      </c>
      <c r="B2467" s="6">
        <v>45330</v>
      </c>
      <c r="C2467" t="s">
        <v>5013</v>
      </c>
      <c r="D2467" t="s">
        <v>5036</v>
      </c>
      <c r="E2467">
        <v>4</v>
      </c>
      <c r="F2467" t="s">
        <v>7</v>
      </c>
    </row>
    <row r="2468" spans="1:6">
      <c r="A2468">
        <v>202402</v>
      </c>
      <c r="B2468" s="6">
        <v>45330</v>
      </c>
      <c r="C2468" t="s">
        <v>3932</v>
      </c>
      <c r="D2468" t="s">
        <v>3988</v>
      </c>
      <c r="E2468">
        <v>-474.32</v>
      </c>
      <c r="F2468" t="s">
        <v>9</v>
      </c>
    </row>
    <row r="2469" spans="1:6">
      <c r="A2469">
        <v>202402</v>
      </c>
      <c r="B2469" s="6">
        <v>45330</v>
      </c>
      <c r="C2469" t="s">
        <v>2519</v>
      </c>
      <c r="D2469" t="s">
        <v>1470</v>
      </c>
      <c r="E2469">
        <v>163.75</v>
      </c>
      <c r="F2469" t="s">
        <v>7</v>
      </c>
    </row>
    <row r="2470" spans="1:6">
      <c r="A2470">
        <v>202402</v>
      </c>
      <c r="B2470" s="6">
        <v>45330</v>
      </c>
      <c r="C2470" t="s">
        <v>2519</v>
      </c>
      <c r="D2470" t="s">
        <v>1958</v>
      </c>
      <c r="E2470">
        <v>75</v>
      </c>
      <c r="F2470" t="s">
        <v>21</v>
      </c>
    </row>
    <row r="2471" spans="1:6">
      <c r="A2471">
        <v>202402</v>
      </c>
      <c r="B2471" s="6">
        <v>45331</v>
      </c>
      <c r="C2471" t="s">
        <v>5013</v>
      </c>
      <c r="D2471" t="s">
        <v>5235</v>
      </c>
      <c r="E2471">
        <v>33.83</v>
      </c>
      <c r="F2471" t="s">
        <v>29</v>
      </c>
    </row>
    <row r="2472" spans="1:6">
      <c r="A2472">
        <v>202402</v>
      </c>
      <c r="B2472" s="6">
        <v>45331</v>
      </c>
      <c r="C2472" t="s">
        <v>4174</v>
      </c>
      <c r="D2472" t="s">
        <v>5236</v>
      </c>
      <c r="E2472">
        <v>119.2</v>
      </c>
      <c r="F2472" t="s">
        <v>38</v>
      </c>
    </row>
    <row r="2473" spans="1:6">
      <c r="A2473">
        <v>202402</v>
      </c>
      <c r="B2473" s="6">
        <v>45331</v>
      </c>
      <c r="C2473" t="s">
        <v>4180</v>
      </c>
      <c r="D2473" t="s">
        <v>5237</v>
      </c>
      <c r="E2473">
        <v>57.35</v>
      </c>
      <c r="F2473" t="s">
        <v>38</v>
      </c>
    </row>
    <row r="2474" spans="1:6">
      <c r="A2474">
        <v>202402</v>
      </c>
      <c r="B2474" s="6">
        <v>45331</v>
      </c>
      <c r="C2474" t="s">
        <v>4172</v>
      </c>
      <c r="D2474" t="s">
        <v>5238</v>
      </c>
      <c r="E2474">
        <v>119.2</v>
      </c>
      <c r="F2474" t="s">
        <v>38</v>
      </c>
    </row>
    <row r="2475" spans="1:6">
      <c r="A2475">
        <v>202402</v>
      </c>
      <c r="B2475" s="6">
        <v>45331</v>
      </c>
      <c r="C2475" t="s">
        <v>4167</v>
      </c>
      <c r="D2475" t="s">
        <v>5239</v>
      </c>
      <c r="E2475">
        <v>15.16</v>
      </c>
      <c r="F2475" t="s">
        <v>38</v>
      </c>
    </row>
    <row r="2476" spans="1:6">
      <c r="A2476">
        <v>202402</v>
      </c>
      <c r="B2476" s="6">
        <v>45331</v>
      </c>
      <c r="C2476" t="s">
        <v>2519</v>
      </c>
      <c r="D2476" t="s">
        <v>1464</v>
      </c>
      <c r="E2476">
        <v>474.32</v>
      </c>
      <c r="F2476" t="s">
        <v>9</v>
      </c>
    </row>
    <row r="2477" spans="1:6">
      <c r="A2477">
        <v>202402</v>
      </c>
      <c r="B2477" s="6">
        <v>45331</v>
      </c>
      <c r="C2477" t="s">
        <v>4164</v>
      </c>
      <c r="D2477" t="s">
        <v>1477</v>
      </c>
      <c r="E2477">
        <v>47.69</v>
      </c>
      <c r="F2477" t="s">
        <v>34</v>
      </c>
    </row>
    <row r="2478" spans="1:6">
      <c r="A2478">
        <v>202402</v>
      </c>
      <c r="B2478" s="6">
        <v>45331</v>
      </c>
      <c r="C2478" t="s">
        <v>2519</v>
      </c>
      <c r="D2478" t="s">
        <v>1955</v>
      </c>
      <c r="E2478">
        <v>7.62</v>
      </c>
      <c r="F2478" t="s">
        <v>21</v>
      </c>
    </row>
    <row r="2479" spans="1:6">
      <c r="A2479">
        <v>202402</v>
      </c>
      <c r="B2479" s="6">
        <v>45331</v>
      </c>
      <c r="C2479" t="s">
        <v>2519</v>
      </c>
      <c r="D2479" t="s">
        <v>1958</v>
      </c>
      <c r="E2479">
        <v>22</v>
      </c>
      <c r="F2479" t="s">
        <v>21</v>
      </c>
    </row>
    <row r="2480" spans="1:6">
      <c r="A2480">
        <v>202402</v>
      </c>
      <c r="B2480" s="6">
        <v>45331</v>
      </c>
      <c r="C2480" t="s">
        <v>5013</v>
      </c>
      <c r="D2480" t="s">
        <v>4965</v>
      </c>
      <c r="E2480">
        <v>44.39</v>
      </c>
      <c r="F2480" t="s">
        <v>26</v>
      </c>
    </row>
    <row r="2481" spans="1:6">
      <c r="A2481">
        <v>202402</v>
      </c>
      <c r="B2481" s="6">
        <v>45331</v>
      </c>
      <c r="C2481" t="s">
        <v>2519</v>
      </c>
      <c r="D2481" t="s">
        <v>5240</v>
      </c>
      <c r="E2481">
        <v>208.13</v>
      </c>
      <c r="F2481" t="s">
        <v>7</v>
      </c>
    </row>
    <row r="2482" spans="1:6">
      <c r="A2482">
        <v>202402</v>
      </c>
      <c r="B2482" s="6">
        <v>45332</v>
      </c>
      <c r="C2482" t="s">
        <v>5013</v>
      </c>
      <c r="D2482" t="s">
        <v>703</v>
      </c>
      <c r="E2482">
        <v>501.2</v>
      </c>
      <c r="F2482" t="s">
        <v>9</v>
      </c>
    </row>
    <row r="2483" spans="1:6">
      <c r="A2483">
        <v>202402</v>
      </c>
      <c r="B2483" s="6">
        <v>45332</v>
      </c>
      <c r="C2483" t="s">
        <v>5013</v>
      </c>
      <c r="D2483" t="s">
        <v>4093</v>
      </c>
      <c r="E2483">
        <v>40.21</v>
      </c>
      <c r="F2483" t="s">
        <v>28</v>
      </c>
    </row>
    <row r="2484" spans="1:6">
      <c r="A2484">
        <v>202402</v>
      </c>
      <c r="B2484" s="6">
        <v>45332</v>
      </c>
      <c r="C2484" t="s">
        <v>3932</v>
      </c>
      <c r="D2484" t="s">
        <v>5234</v>
      </c>
      <c r="E2484">
        <v>-50</v>
      </c>
      <c r="F2484" t="s">
        <v>20</v>
      </c>
    </row>
    <row r="2485" spans="1:6">
      <c r="A2485">
        <v>202402</v>
      </c>
      <c r="B2485" s="6">
        <v>45333</v>
      </c>
      <c r="C2485" t="s">
        <v>4188</v>
      </c>
      <c r="D2485" t="s">
        <v>5241</v>
      </c>
      <c r="E2485">
        <v>15.43</v>
      </c>
      <c r="F2485" t="s">
        <v>38</v>
      </c>
    </row>
    <row r="2486" spans="1:6">
      <c r="A2486">
        <v>202402</v>
      </c>
      <c r="B2486" s="6">
        <v>45333</v>
      </c>
      <c r="C2486" t="s">
        <v>4178</v>
      </c>
      <c r="D2486" t="s">
        <v>5242</v>
      </c>
      <c r="E2486">
        <v>21.66</v>
      </c>
      <c r="F2486" t="s">
        <v>38</v>
      </c>
    </row>
    <row r="2487" spans="1:6">
      <c r="A2487">
        <v>202402</v>
      </c>
      <c r="B2487" s="6">
        <v>45333</v>
      </c>
      <c r="C2487" t="s">
        <v>5013</v>
      </c>
      <c r="D2487" t="s">
        <v>684</v>
      </c>
      <c r="E2487">
        <v>7.99</v>
      </c>
      <c r="F2487" t="s">
        <v>28</v>
      </c>
    </row>
    <row r="2488" spans="1:6">
      <c r="A2488">
        <v>202402</v>
      </c>
      <c r="B2488" s="6">
        <v>45333</v>
      </c>
      <c r="C2488" t="s">
        <v>4186</v>
      </c>
      <c r="D2488" t="s">
        <v>5243</v>
      </c>
      <c r="E2488">
        <v>146.58000000000001</v>
      </c>
      <c r="F2488" t="s">
        <v>48</v>
      </c>
    </row>
    <row r="2489" spans="1:6">
      <c r="A2489">
        <v>202402</v>
      </c>
      <c r="B2489" s="6">
        <v>45333</v>
      </c>
      <c r="C2489" t="s">
        <v>4176</v>
      </c>
      <c r="D2489" t="s">
        <v>1350</v>
      </c>
      <c r="E2489">
        <v>25.6</v>
      </c>
      <c r="F2489" t="s">
        <v>7</v>
      </c>
    </row>
    <row r="2490" spans="1:6">
      <c r="A2490">
        <v>202402</v>
      </c>
      <c r="B2490" s="6">
        <v>45333</v>
      </c>
      <c r="C2490" t="s">
        <v>5013</v>
      </c>
      <c r="D2490" t="s">
        <v>5244</v>
      </c>
      <c r="E2490">
        <v>56.36</v>
      </c>
      <c r="F2490" t="s">
        <v>26</v>
      </c>
    </row>
    <row r="2491" spans="1:6">
      <c r="A2491">
        <v>202402</v>
      </c>
      <c r="B2491" s="6">
        <v>45334</v>
      </c>
      <c r="C2491" t="s">
        <v>5013</v>
      </c>
      <c r="D2491" t="s">
        <v>5245</v>
      </c>
      <c r="E2491">
        <v>185</v>
      </c>
      <c r="F2491" t="s">
        <v>26</v>
      </c>
    </row>
    <row r="2492" spans="1:6">
      <c r="A2492">
        <v>202402</v>
      </c>
      <c r="B2492" s="6">
        <v>45334</v>
      </c>
      <c r="C2492" t="s">
        <v>2519</v>
      </c>
      <c r="D2492" t="s">
        <v>4470</v>
      </c>
      <c r="E2492">
        <v>-146.58000000000001</v>
      </c>
      <c r="F2492" t="s">
        <v>48</v>
      </c>
    </row>
    <row r="2493" spans="1:6">
      <c r="A2493">
        <v>202402</v>
      </c>
      <c r="B2493" s="6">
        <v>45334</v>
      </c>
      <c r="C2493" t="s">
        <v>4192</v>
      </c>
      <c r="D2493" t="s">
        <v>4868</v>
      </c>
      <c r="E2493">
        <v>5.99</v>
      </c>
      <c r="F2493" t="s">
        <v>40</v>
      </c>
    </row>
    <row r="2494" spans="1:6">
      <c r="A2494">
        <v>202402</v>
      </c>
      <c r="B2494" s="6">
        <v>45334</v>
      </c>
      <c r="C2494" t="s">
        <v>5013</v>
      </c>
      <c r="D2494" t="s">
        <v>5159</v>
      </c>
      <c r="E2494">
        <v>112.11</v>
      </c>
      <c r="F2494" t="s">
        <v>48</v>
      </c>
    </row>
    <row r="2495" spans="1:6">
      <c r="A2495">
        <v>202402</v>
      </c>
      <c r="B2495" s="6">
        <v>45334</v>
      </c>
      <c r="C2495" t="s">
        <v>5013</v>
      </c>
      <c r="D2495" t="s">
        <v>5159</v>
      </c>
      <c r="E2495">
        <v>130.63999999999999</v>
      </c>
      <c r="F2495" t="s">
        <v>48</v>
      </c>
    </row>
    <row r="2496" spans="1:6">
      <c r="A2496">
        <v>202402</v>
      </c>
      <c r="B2496" s="6">
        <v>45334</v>
      </c>
      <c r="C2496" t="s">
        <v>2519</v>
      </c>
      <c r="D2496" t="s">
        <v>1958</v>
      </c>
      <c r="E2496">
        <v>576</v>
      </c>
      <c r="F2496" t="s">
        <v>21</v>
      </c>
    </row>
    <row r="2497" spans="1:6">
      <c r="A2497">
        <v>202402</v>
      </c>
      <c r="B2497" s="6">
        <v>45335</v>
      </c>
      <c r="C2497" t="s">
        <v>3932</v>
      </c>
      <c r="D2497" t="s">
        <v>38</v>
      </c>
      <c r="E2497">
        <v>25.1</v>
      </c>
      <c r="F2497" t="s">
        <v>38</v>
      </c>
    </row>
    <row r="2498" spans="1:6">
      <c r="A2498">
        <v>202402</v>
      </c>
      <c r="B2498" s="6">
        <v>45335</v>
      </c>
      <c r="C2498" t="s">
        <v>3932</v>
      </c>
      <c r="D2498" t="s">
        <v>38</v>
      </c>
      <c r="E2498">
        <v>650.24</v>
      </c>
      <c r="F2498" t="s">
        <v>38</v>
      </c>
    </row>
    <row r="2499" spans="1:6">
      <c r="A2499">
        <v>202402</v>
      </c>
      <c r="B2499" s="6">
        <v>45335</v>
      </c>
      <c r="C2499" t="s">
        <v>5013</v>
      </c>
      <c r="D2499" t="s">
        <v>5246</v>
      </c>
      <c r="E2499">
        <v>1332</v>
      </c>
      <c r="F2499" t="s">
        <v>20</v>
      </c>
    </row>
    <row r="2500" spans="1:6">
      <c r="A2500">
        <v>202402</v>
      </c>
      <c r="B2500" s="6">
        <v>45335</v>
      </c>
      <c r="C2500" t="s">
        <v>2519</v>
      </c>
      <c r="D2500" t="s">
        <v>4470</v>
      </c>
      <c r="E2500">
        <v>-112.11</v>
      </c>
      <c r="F2500" t="s">
        <v>48</v>
      </c>
    </row>
    <row r="2501" spans="1:6">
      <c r="A2501">
        <v>202402</v>
      </c>
      <c r="B2501" s="6">
        <v>45335</v>
      </c>
      <c r="C2501" t="s">
        <v>5013</v>
      </c>
      <c r="D2501" t="s">
        <v>5159</v>
      </c>
      <c r="E2501">
        <v>130.63999999999999</v>
      </c>
      <c r="F2501" t="s">
        <v>48</v>
      </c>
    </row>
    <row r="2502" spans="1:6">
      <c r="A2502">
        <v>202402</v>
      </c>
      <c r="B2502" s="6">
        <v>45335</v>
      </c>
      <c r="C2502" t="s">
        <v>4194</v>
      </c>
      <c r="D2502" t="s">
        <v>1462</v>
      </c>
      <c r="E2502">
        <v>45</v>
      </c>
      <c r="F2502" t="s">
        <v>7</v>
      </c>
    </row>
    <row r="2503" spans="1:6">
      <c r="A2503">
        <v>202402</v>
      </c>
      <c r="B2503" s="6">
        <v>45335</v>
      </c>
      <c r="C2503" t="s">
        <v>2519</v>
      </c>
      <c r="D2503" t="s">
        <v>4896</v>
      </c>
      <c r="E2503">
        <v>-600</v>
      </c>
      <c r="F2503" t="s">
        <v>21</v>
      </c>
    </row>
    <row r="2504" spans="1:6">
      <c r="A2504">
        <v>202402</v>
      </c>
      <c r="B2504" s="6">
        <v>45335</v>
      </c>
      <c r="C2504" t="s">
        <v>2519</v>
      </c>
      <c r="D2504" t="s">
        <v>1958</v>
      </c>
      <c r="E2504">
        <v>5</v>
      </c>
      <c r="F2504" t="s">
        <v>21</v>
      </c>
    </row>
    <row r="2505" spans="1:6">
      <c r="A2505">
        <v>202402</v>
      </c>
      <c r="B2505" s="6">
        <v>45335</v>
      </c>
      <c r="C2505" t="s">
        <v>2519</v>
      </c>
      <c r="D2505" t="s">
        <v>5247</v>
      </c>
      <c r="E2505">
        <v>346</v>
      </c>
      <c r="F2505" t="s">
        <v>20</v>
      </c>
    </row>
    <row r="2506" spans="1:6">
      <c r="A2506">
        <v>202402</v>
      </c>
      <c r="B2506" s="6">
        <v>45336</v>
      </c>
      <c r="C2506" t="s">
        <v>4190</v>
      </c>
      <c r="D2506" t="s">
        <v>851</v>
      </c>
      <c r="E2506">
        <v>714</v>
      </c>
      <c r="F2506" t="s">
        <v>20</v>
      </c>
    </row>
    <row r="2507" spans="1:6">
      <c r="A2507">
        <v>202402</v>
      </c>
      <c r="B2507" s="6">
        <v>45336</v>
      </c>
      <c r="C2507" t="s">
        <v>5013</v>
      </c>
      <c r="D2507" t="s">
        <v>1083</v>
      </c>
      <c r="E2507">
        <v>47.72</v>
      </c>
      <c r="F2507" t="s">
        <v>23</v>
      </c>
    </row>
    <row r="2508" spans="1:6">
      <c r="A2508">
        <v>202402</v>
      </c>
      <c r="B2508" s="6">
        <v>45336</v>
      </c>
      <c r="C2508" t="s">
        <v>2519</v>
      </c>
      <c r="D2508" t="s">
        <v>4356</v>
      </c>
      <c r="E2508">
        <v>127.3</v>
      </c>
      <c r="F2508" t="s">
        <v>18</v>
      </c>
    </row>
    <row r="2509" spans="1:6">
      <c r="A2509">
        <v>202402</v>
      </c>
      <c r="B2509" s="6">
        <v>45336</v>
      </c>
      <c r="C2509" t="s">
        <v>2519</v>
      </c>
      <c r="D2509" t="s">
        <v>4343</v>
      </c>
      <c r="E2509">
        <v>-3251.2</v>
      </c>
      <c r="F2509" t="s">
        <v>64</v>
      </c>
    </row>
    <row r="2510" spans="1:6">
      <c r="A2510">
        <v>202402</v>
      </c>
      <c r="B2510" s="6">
        <v>45336</v>
      </c>
      <c r="C2510" t="s">
        <v>2519</v>
      </c>
      <c r="D2510" t="s">
        <v>1958</v>
      </c>
      <c r="E2510">
        <v>19.600000000000001</v>
      </c>
      <c r="F2510" t="s">
        <v>21</v>
      </c>
    </row>
    <row r="2511" spans="1:6">
      <c r="A2511">
        <v>202402</v>
      </c>
      <c r="B2511" s="6">
        <v>45336</v>
      </c>
      <c r="C2511" t="s">
        <v>5013</v>
      </c>
      <c r="D2511" t="s">
        <v>5248</v>
      </c>
      <c r="E2511">
        <v>31.2</v>
      </c>
      <c r="F2511" t="s">
        <v>48</v>
      </c>
    </row>
    <row r="2512" spans="1:6">
      <c r="A2512">
        <v>202402</v>
      </c>
      <c r="B2512" s="6">
        <v>45337</v>
      </c>
      <c r="C2512" t="s">
        <v>4196</v>
      </c>
      <c r="D2512" t="s">
        <v>5249</v>
      </c>
      <c r="E2512">
        <v>110</v>
      </c>
      <c r="F2512" t="s">
        <v>40</v>
      </c>
    </row>
    <row r="2513" spans="1:6">
      <c r="A2513">
        <v>202402</v>
      </c>
      <c r="B2513" s="6">
        <v>45337</v>
      </c>
      <c r="C2513" t="s">
        <v>5013</v>
      </c>
      <c r="D2513" t="s">
        <v>5250</v>
      </c>
      <c r="E2513">
        <v>16.3</v>
      </c>
      <c r="F2513" t="s">
        <v>26</v>
      </c>
    </row>
    <row r="2514" spans="1:6">
      <c r="A2514">
        <v>202402</v>
      </c>
      <c r="B2514" s="6">
        <v>45337</v>
      </c>
      <c r="C2514" t="s">
        <v>2519</v>
      </c>
      <c r="D2514" t="s">
        <v>404</v>
      </c>
      <c r="E2514">
        <v>-2666.31</v>
      </c>
      <c r="F2514" t="s">
        <v>66</v>
      </c>
    </row>
    <row r="2515" spans="1:6">
      <c r="A2515">
        <v>202402</v>
      </c>
      <c r="B2515" s="6">
        <v>45337</v>
      </c>
      <c r="C2515" t="s">
        <v>5013</v>
      </c>
      <c r="D2515" t="s">
        <v>453</v>
      </c>
      <c r="E2515">
        <v>13.06</v>
      </c>
      <c r="F2515" t="s">
        <v>26</v>
      </c>
    </row>
    <row r="2516" spans="1:6">
      <c r="A2516">
        <v>202402</v>
      </c>
      <c r="B2516" s="6">
        <v>45337</v>
      </c>
      <c r="C2516" t="s">
        <v>2519</v>
      </c>
      <c r="D2516" t="s">
        <v>4470</v>
      </c>
      <c r="E2516">
        <v>-31.2</v>
      </c>
      <c r="F2516" t="s">
        <v>48</v>
      </c>
    </row>
    <row r="2517" spans="1:6">
      <c r="A2517">
        <v>202402</v>
      </c>
      <c r="B2517" s="6">
        <v>45337</v>
      </c>
      <c r="C2517" t="s">
        <v>4207</v>
      </c>
      <c r="D2517" t="s">
        <v>673</v>
      </c>
      <c r="E2517">
        <v>-2373.7800000000002</v>
      </c>
      <c r="F2517" t="s">
        <v>9</v>
      </c>
    </row>
    <row r="2518" spans="1:6">
      <c r="A2518">
        <v>202402</v>
      </c>
      <c r="B2518" s="6">
        <v>45337</v>
      </c>
      <c r="C2518" t="s">
        <v>2519</v>
      </c>
      <c r="D2518" t="s">
        <v>5251</v>
      </c>
      <c r="E2518">
        <v>-1375.26</v>
      </c>
      <c r="F2518" t="s">
        <v>64</v>
      </c>
    </row>
    <row r="2519" spans="1:6">
      <c r="A2519">
        <v>202402</v>
      </c>
      <c r="B2519" s="6">
        <v>45337</v>
      </c>
      <c r="C2519" t="s">
        <v>5013</v>
      </c>
      <c r="D2519" t="s">
        <v>4012</v>
      </c>
      <c r="E2519">
        <v>-3328.87</v>
      </c>
      <c r="F2519" t="s">
        <v>9</v>
      </c>
    </row>
    <row r="2520" spans="1:6">
      <c r="A2520">
        <v>202402</v>
      </c>
      <c r="B2520" s="6">
        <v>45337</v>
      </c>
      <c r="C2520" t="s">
        <v>2519</v>
      </c>
      <c r="D2520" t="s">
        <v>1955</v>
      </c>
      <c r="E2520">
        <v>1.75</v>
      </c>
      <c r="F2520" t="s">
        <v>21</v>
      </c>
    </row>
    <row r="2521" spans="1:6">
      <c r="A2521">
        <v>202402</v>
      </c>
      <c r="B2521" s="6">
        <v>45337</v>
      </c>
      <c r="C2521" t="s">
        <v>2519</v>
      </c>
      <c r="D2521" t="s">
        <v>1955</v>
      </c>
      <c r="E2521">
        <v>1.39</v>
      </c>
      <c r="F2521" t="s">
        <v>21</v>
      </c>
    </row>
    <row r="2522" spans="1:6">
      <c r="A2522">
        <v>202402</v>
      </c>
      <c r="B2522" s="6">
        <v>45337</v>
      </c>
      <c r="C2522" t="s">
        <v>2519</v>
      </c>
      <c r="D2522" t="s">
        <v>1958</v>
      </c>
      <c r="E2522">
        <v>125</v>
      </c>
      <c r="F2522" t="s">
        <v>21</v>
      </c>
    </row>
    <row r="2523" spans="1:6">
      <c r="A2523">
        <v>202402</v>
      </c>
      <c r="B2523" s="6">
        <v>45337</v>
      </c>
      <c r="C2523" t="s">
        <v>5013</v>
      </c>
      <c r="D2523" t="s">
        <v>5252</v>
      </c>
      <c r="E2523">
        <v>42.32</v>
      </c>
      <c r="F2523" t="s">
        <v>26</v>
      </c>
    </row>
    <row r="2524" spans="1:6">
      <c r="A2524">
        <v>202402</v>
      </c>
      <c r="B2524" s="6">
        <v>45337</v>
      </c>
      <c r="C2524" t="s">
        <v>2519</v>
      </c>
      <c r="D2524" t="s">
        <v>4293</v>
      </c>
      <c r="E2524">
        <v>2373.7800000000002</v>
      </c>
      <c r="F2524" t="s">
        <v>9</v>
      </c>
    </row>
    <row r="2525" spans="1:6">
      <c r="A2525">
        <v>202402</v>
      </c>
      <c r="B2525" s="6">
        <v>45338</v>
      </c>
      <c r="C2525" t="s">
        <v>4221</v>
      </c>
      <c r="D2525" t="s">
        <v>648</v>
      </c>
      <c r="E2525">
        <v>162.05000000000001</v>
      </c>
      <c r="F2525" t="s">
        <v>28</v>
      </c>
    </row>
    <row r="2526" spans="1:6">
      <c r="A2526">
        <v>202402</v>
      </c>
      <c r="B2526" s="6">
        <v>45338</v>
      </c>
      <c r="C2526" t="s">
        <v>5013</v>
      </c>
      <c r="D2526" t="s">
        <v>703</v>
      </c>
      <c r="E2526">
        <v>716.2</v>
      </c>
      <c r="F2526" t="s">
        <v>9</v>
      </c>
    </row>
    <row r="2527" spans="1:6">
      <c r="A2527">
        <v>202402</v>
      </c>
      <c r="B2527" s="6">
        <v>45338</v>
      </c>
      <c r="C2527" t="s">
        <v>5013</v>
      </c>
      <c r="D2527" t="s">
        <v>4461</v>
      </c>
      <c r="E2527">
        <v>37.840000000000003</v>
      </c>
      <c r="F2527" t="s">
        <v>21</v>
      </c>
    </row>
    <row r="2528" spans="1:6">
      <c r="A2528">
        <v>202402</v>
      </c>
      <c r="B2528" s="6">
        <v>45338</v>
      </c>
      <c r="C2528" t="s">
        <v>2519</v>
      </c>
      <c r="D2528" t="s">
        <v>1458</v>
      </c>
      <c r="E2528">
        <v>3328.87</v>
      </c>
      <c r="F2528" t="s">
        <v>9</v>
      </c>
    </row>
    <row r="2529" spans="1:6">
      <c r="A2529">
        <v>202402</v>
      </c>
      <c r="B2529" s="6">
        <v>45338</v>
      </c>
      <c r="C2529" t="s">
        <v>4225</v>
      </c>
      <c r="D2529" t="s">
        <v>31</v>
      </c>
      <c r="E2529">
        <v>30.38</v>
      </c>
      <c r="F2529" t="s">
        <v>31</v>
      </c>
    </row>
    <row r="2530" spans="1:6">
      <c r="A2530">
        <v>202402</v>
      </c>
      <c r="B2530" s="6">
        <v>45338</v>
      </c>
      <c r="C2530" t="s">
        <v>2519</v>
      </c>
      <c r="D2530" t="s">
        <v>1958</v>
      </c>
      <c r="E2530">
        <v>150</v>
      </c>
      <c r="F2530" t="s">
        <v>21</v>
      </c>
    </row>
    <row r="2531" spans="1:6">
      <c r="A2531">
        <v>202402</v>
      </c>
      <c r="B2531" s="6">
        <v>45339</v>
      </c>
      <c r="C2531" t="s">
        <v>3932</v>
      </c>
      <c r="D2531" t="s">
        <v>38</v>
      </c>
      <c r="E2531">
        <v>12.99</v>
      </c>
      <c r="F2531" t="s">
        <v>38</v>
      </c>
    </row>
    <row r="2532" spans="1:6">
      <c r="A2532">
        <v>202402</v>
      </c>
      <c r="B2532" s="6">
        <v>45339</v>
      </c>
      <c r="C2532" t="s">
        <v>3932</v>
      </c>
      <c r="D2532" t="s">
        <v>38</v>
      </c>
      <c r="E2532">
        <v>46.6</v>
      </c>
      <c r="F2532" t="s">
        <v>38</v>
      </c>
    </row>
    <row r="2533" spans="1:6">
      <c r="A2533">
        <v>202402</v>
      </c>
      <c r="B2533" s="6">
        <v>45339</v>
      </c>
      <c r="C2533" t="s">
        <v>5013</v>
      </c>
      <c r="D2533" t="s">
        <v>113</v>
      </c>
      <c r="E2533">
        <v>107.67</v>
      </c>
      <c r="F2533" t="s">
        <v>38</v>
      </c>
    </row>
    <row r="2534" spans="1:6">
      <c r="A2534">
        <v>202402</v>
      </c>
      <c r="B2534" s="6">
        <v>45339</v>
      </c>
      <c r="C2534" t="s">
        <v>5013</v>
      </c>
      <c r="D2534" t="s">
        <v>5123</v>
      </c>
      <c r="E2534">
        <v>199.25</v>
      </c>
      <c r="F2534" t="s">
        <v>40</v>
      </c>
    </row>
    <row r="2535" spans="1:6">
      <c r="A2535">
        <v>202402</v>
      </c>
      <c r="B2535" s="6">
        <v>45339</v>
      </c>
      <c r="C2535" t="s">
        <v>5013</v>
      </c>
      <c r="D2535" t="s">
        <v>684</v>
      </c>
      <c r="E2535">
        <v>59.57</v>
      </c>
      <c r="F2535" t="s">
        <v>28</v>
      </c>
    </row>
    <row r="2536" spans="1:6">
      <c r="A2536">
        <v>202402</v>
      </c>
      <c r="B2536" s="6">
        <v>45340</v>
      </c>
      <c r="C2536" t="s">
        <v>5013</v>
      </c>
      <c r="D2536" t="s">
        <v>5253</v>
      </c>
      <c r="E2536">
        <v>10</v>
      </c>
      <c r="F2536" t="s">
        <v>21</v>
      </c>
    </row>
    <row r="2537" spans="1:6">
      <c r="A2537">
        <v>202402</v>
      </c>
      <c r="B2537" s="6">
        <v>45340</v>
      </c>
      <c r="C2537" t="s">
        <v>5013</v>
      </c>
      <c r="D2537" t="s">
        <v>5254</v>
      </c>
      <c r="E2537">
        <v>134.61000000000001</v>
      </c>
      <c r="F2537" t="s">
        <v>26</v>
      </c>
    </row>
    <row r="2538" spans="1:6">
      <c r="A2538">
        <v>202402</v>
      </c>
      <c r="B2538" s="6">
        <v>45340</v>
      </c>
      <c r="C2538" t="s">
        <v>5013</v>
      </c>
      <c r="D2538" t="s">
        <v>5255</v>
      </c>
      <c r="E2538">
        <v>730.25</v>
      </c>
      <c r="F2538" t="s">
        <v>21</v>
      </c>
    </row>
    <row r="2539" spans="1:6">
      <c r="A2539">
        <v>202402</v>
      </c>
      <c r="B2539" s="6">
        <v>45340</v>
      </c>
      <c r="C2539" t="s">
        <v>5013</v>
      </c>
      <c r="D2539" t="s">
        <v>5256</v>
      </c>
      <c r="E2539">
        <v>27</v>
      </c>
      <c r="F2539" t="s">
        <v>26</v>
      </c>
    </row>
    <row r="2540" spans="1:6">
      <c r="A2540">
        <v>202402</v>
      </c>
      <c r="B2540" s="6">
        <v>45341</v>
      </c>
      <c r="C2540" t="s">
        <v>5013</v>
      </c>
      <c r="D2540" t="s">
        <v>5257</v>
      </c>
      <c r="E2540">
        <v>94.6</v>
      </c>
      <c r="F2540" t="s">
        <v>26</v>
      </c>
    </row>
    <row r="2541" spans="1:6">
      <c r="A2541">
        <v>202402</v>
      </c>
      <c r="B2541" s="6">
        <v>45341</v>
      </c>
      <c r="C2541" t="s">
        <v>5013</v>
      </c>
      <c r="D2541" t="s">
        <v>1925</v>
      </c>
      <c r="E2541">
        <v>105.82</v>
      </c>
      <c r="F2541" t="s">
        <v>28</v>
      </c>
    </row>
    <row r="2542" spans="1:6">
      <c r="A2542">
        <v>202402</v>
      </c>
      <c r="B2542" s="6">
        <v>45341</v>
      </c>
      <c r="C2542" t="s">
        <v>2519</v>
      </c>
      <c r="D2542" t="s">
        <v>1934</v>
      </c>
      <c r="E2542">
        <v>-31.97</v>
      </c>
      <c r="F2542" t="s">
        <v>21</v>
      </c>
    </row>
    <row r="2543" spans="1:6">
      <c r="A2543">
        <v>202402</v>
      </c>
      <c r="B2543" s="6">
        <v>45341</v>
      </c>
      <c r="C2543" t="s">
        <v>5013</v>
      </c>
      <c r="D2543" t="s">
        <v>5258</v>
      </c>
      <c r="E2543">
        <v>42.67</v>
      </c>
      <c r="F2543" t="s">
        <v>26</v>
      </c>
    </row>
    <row r="2544" spans="1:6">
      <c r="A2544">
        <v>202402</v>
      </c>
      <c r="B2544" s="6">
        <v>45342</v>
      </c>
      <c r="C2544" t="s">
        <v>4229</v>
      </c>
      <c r="D2544" t="s">
        <v>113</v>
      </c>
      <c r="E2544">
        <v>-49.74</v>
      </c>
      <c r="F2544" t="s">
        <v>38</v>
      </c>
    </row>
    <row r="2545" spans="1:6">
      <c r="A2545">
        <v>202402</v>
      </c>
      <c r="B2545" s="6">
        <v>45342</v>
      </c>
      <c r="C2545" t="s">
        <v>4223</v>
      </c>
      <c r="D2545" t="s">
        <v>113</v>
      </c>
      <c r="E2545">
        <v>-18.41</v>
      </c>
      <c r="F2545" t="s">
        <v>38</v>
      </c>
    </row>
    <row r="2546" spans="1:6">
      <c r="A2546">
        <v>202402</v>
      </c>
      <c r="B2546" s="6">
        <v>45342</v>
      </c>
      <c r="C2546" t="s">
        <v>5013</v>
      </c>
      <c r="D2546" t="s">
        <v>113</v>
      </c>
      <c r="E2546">
        <v>54.97</v>
      </c>
      <c r="F2546" t="s">
        <v>38</v>
      </c>
    </row>
    <row r="2547" spans="1:6">
      <c r="A2547">
        <v>202402</v>
      </c>
      <c r="B2547" s="6">
        <v>45342</v>
      </c>
      <c r="C2547" t="s">
        <v>4237</v>
      </c>
      <c r="D2547" t="s">
        <v>4899</v>
      </c>
      <c r="E2547">
        <v>1.99</v>
      </c>
      <c r="F2547" t="s">
        <v>7</v>
      </c>
    </row>
    <row r="2548" spans="1:6">
      <c r="A2548">
        <v>202402</v>
      </c>
      <c r="B2548" s="6">
        <v>45342</v>
      </c>
      <c r="C2548" t="s">
        <v>5013</v>
      </c>
      <c r="D2548" t="s">
        <v>4032</v>
      </c>
      <c r="E2548">
        <v>12.29</v>
      </c>
      <c r="F2548" t="s">
        <v>26</v>
      </c>
    </row>
    <row r="2549" spans="1:6">
      <c r="A2549">
        <v>202402</v>
      </c>
      <c r="B2549" s="6">
        <v>45342</v>
      </c>
      <c r="C2549" t="s">
        <v>4227</v>
      </c>
      <c r="D2549" t="s">
        <v>5259</v>
      </c>
      <c r="E2549">
        <v>2.25</v>
      </c>
      <c r="F2549" t="s">
        <v>26</v>
      </c>
    </row>
    <row r="2550" spans="1:6">
      <c r="A2550">
        <v>202402</v>
      </c>
      <c r="B2550" s="6">
        <v>45342</v>
      </c>
      <c r="C2550" t="s">
        <v>2519</v>
      </c>
      <c r="D2550" t="s">
        <v>1955</v>
      </c>
      <c r="E2550">
        <v>2.99</v>
      </c>
      <c r="F2550" t="s">
        <v>21</v>
      </c>
    </row>
    <row r="2551" spans="1:6">
      <c r="A2551">
        <v>202402</v>
      </c>
      <c r="B2551" s="6">
        <v>45342</v>
      </c>
      <c r="C2551" t="s">
        <v>2519</v>
      </c>
      <c r="D2551" t="s">
        <v>1958</v>
      </c>
      <c r="E2551">
        <v>46</v>
      </c>
      <c r="F2551" t="s">
        <v>21</v>
      </c>
    </row>
    <row r="2552" spans="1:6">
      <c r="A2552">
        <v>202402</v>
      </c>
      <c r="B2552" s="6">
        <v>45342</v>
      </c>
      <c r="C2552" t="s">
        <v>2519</v>
      </c>
      <c r="D2552" t="s">
        <v>5260</v>
      </c>
      <c r="E2552">
        <v>650</v>
      </c>
      <c r="F2552" t="s">
        <v>61</v>
      </c>
    </row>
    <row r="2553" spans="1:6">
      <c r="A2553">
        <v>202402</v>
      </c>
      <c r="B2553" s="6">
        <v>45343</v>
      </c>
      <c r="C2553" t="s">
        <v>4218</v>
      </c>
      <c r="D2553" t="s">
        <v>5261</v>
      </c>
      <c r="E2553">
        <v>12.95</v>
      </c>
      <c r="F2553" t="s">
        <v>38</v>
      </c>
    </row>
    <row r="2554" spans="1:6">
      <c r="A2554">
        <v>202402</v>
      </c>
      <c r="B2554" s="6">
        <v>45343</v>
      </c>
      <c r="C2554" t="s">
        <v>4216</v>
      </c>
      <c r="D2554" t="s">
        <v>5262</v>
      </c>
      <c r="E2554">
        <v>11</v>
      </c>
      <c r="F2554" t="s">
        <v>7</v>
      </c>
    </row>
    <row r="2555" spans="1:6">
      <c r="A2555">
        <v>202402</v>
      </c>
      <c r="B2555" s="6">
        <v>45343</v>
      </c>
      <c r="C2555" t="s">
        <v>2519</v>
      </c>
      <c r="D2555" t="s">
        <v>5263</v>
      </c>
      <c r="E2555">
        <v>75.8</v>
      </c>
      <c r="F2555" t="s">
        <v>7</v>
      </c>
    </row>
    <row r="2556" spans="1:6">
      <c r="A2556">
        <v>202402</v>
      </c>
      <c r="B2556" s="6">
        <v>45343</v>
      </c>
      <c r="C2556" t="s">
        <v>2519</v>
      </c>
      <c r="D2556" t="s">
        <v>5264</v>
      </c>
      <c r="E2556">
        <v>346</v>
      </c>
      <c r="F2556" t="s">
        <v>20</v>
      </c>
    </row>
    <row r="2557" spans="1:6">
      <c r="A2557">
        <v>202402</v>
      </c>
      <c r="B2557" s="6">
        <v>45344</v>
      </c>
      <c r="C2557" t="s">
        <v>3932</v>
      </c>
      <c r="D2557" t="s">
        <v>38</v>
      </c>
      <c r="E2557">
        <v>7.48</v>
      </c>
      <c r="F2557" t="s">
        <v>38</v>
      </c>
    </row>
    <row r="2558" spans="1:6">
      <c r="A2558">
        <v>202402</v>
      </c>
      <c r="B2558" s="6">
        <v>45344</v>
      </c>
      <c r="C2558" t="s">
        <v>4233</v>
      </c>
      <c r="D2558" t="s">
        <v>4887</v>
      </c>
      <c r="E2558">
        <v>42.03</v>
      </c>
      <c r="F2558" t="s">
        <v>23</v>
      </c>
    </row>
    <row r="2559" spans="1:6">
      <c r="A2559">
        <v>202402</v>
      </c>
      <c r="B2559" s="6">
        <v>45344</v>
      </c>
      <c r="C2559" t="s">
        <v>3932</v>
      </c>
      <c r="D2559" t="s">
        <v>3988</v>
      </c>
      <c r="E2559">
        <v>-840.68</v>
      </c>
      <c r="F2559" t="s">
        <v>9</v>
      </c>
    </row>
    <row r="2560" spans="1:6">
      <c r="A2560">
        <v>202402</v>
      </c>
      <c r="B2560" s="6">
        <v>45344</v>
      </c>
      <c r="C2560" t="s">
        <v>4231</v>
      </c>
      <c r="D2560" t="s">
        <v>1275</v>
      </c>
      <c r="E2560">
        <v>24.72</v>
      </c>
      <c r="F2560" t="s">
        <v>23</v>
      </c>
    </row>
    <row r="2561" spans="1:6">
      <c r="A2561">
        <v>202402</v>
      </c>
      <c r="B2561" s="6">
        <v>45344</v>
      </c>
      <c r="C2561" t="s">
        <v>5013</v>
      </c>
      <c r="D2561" t="s">
        <v>1353</v>
      </c>
      <c r="E2561">
        <v>30.35</v>
      </c>
      <c r="F2561" t="s">
        <v>26</v>
      </c>
    </row>
    <row r="2562" spans="1:6">
      <c r="A2562">
        <v>202402</v>
      </c>
      <c r="B2562" s="6">
        <v>45344</v>
      </c>
      <c r="C2562" t="s">
        <v>5013</v>
      </c>
      <c r="D2562" t="s">
        <v>1931</v>
      </c>
      <c r="E2562">
        <v>91.11</v>
      </c>
      <c r="F2562" t="s">
        <v>28</v>
      </c>
    </row>
    <row r="2563" spans="1:6">
      <c r="A2563">
        <v>202402</v>
      </c>
      <c r="B2563" s="6">
        <v>45345</v>
      </c>
      <c r="C2563" t="s">
        <v>2519</v>
      </c>
      <c r="D2563" t="s">
        <v>1464</v>
      </c>
      <c r="E2563">
        <v>840.68</v>
      </c>
      <c r="F2563" t="s">
        <v>9</v>
      </c>
    </row>
    <row r="2564" spans="1:6">
      <c r="A2564">
        <v>202402</v>
      </c>
      <c r="B2564" s="6">
        <v>45346</v>
      </c>
      <c r="C2564" t="s">
        <v>3932</v>
      </c>
      <c r="D2564" t="s">
        <v>38</v>
      </c>
      <c r="E2564">
        <v>70.430000000000007</v>
      </c>
      <c r="F2564" t="s">
        <v>38</v>
      </c>
    </row>
    <row r="2565" spans="1:6">
      <c r="A2565">
        <v>202402</v>
      </c>
      <c r="B2565" s="6">
        <v>45347</v>
      </c>
      <c r="C2565" t="s">
        <v>5013</v>
      </c>
      <c r="D2565" t="s">
        <v>5265</v>
      </c>
      <c r="E2565">
        <v>305.29000000000002</v>
      </c>
      <c r="F2565" t="s">
        <v>21</v>
      </c>
    </row>
    <row r="2566" spans="1:6">
      <c r="A2566">
        <v>202402</v>
      </c>
      <c r="B2566" s="6">
        <v>45347</v>
      </c>
      <c r="C2566" t="s">
        <v>5013</v>
      </c>
      <c r="D2566" t="s">
        <v>2079</v>
      </c>
      <c r="E2566">
        <v>72.930000000000007</v>
      </c>
      <c r="F2566" t="s">
        <v>26</v>
      </c>
    </row>
    <row r="2567" spans="1:6">
      <c r="A2567">
        <v>202402</v>
      </c>
      <c r="B2567" s="6">
        <v>45348</v>
      </c>
      <c r="C2567" t="s">
        <v>5013</v>
      </c>
      <c r="D2567" t="s">
        <v>113</v>
      </c>
      <c r="E2567">
        <v>295.56</v>
      </c>
      <c r="F2567" t="s">
        <v>38</v>
      </c>
    </row>
    <row r="2568" spans="1:6">
      <c r="A2568">
        <v>202402</v>
      </c>
      <c r="B2568" s="6">
        <v>45348</v>
      </c>
      <c r="C2568" t="s">
        <v>4235</v>
      </c>
      <c r="D2568" t="s">
        <v>5619</v>
      </c>
      <c r="E2568">
        <v>5.5</v>
      </c>
      <c r="F2568" t="s">
        <v>9</v>
      </c>
    </row>
    <row r="2569" spans="1:6">
      <c r="A2569">
        <v>202402</v>
      </c>
      <c r="B2569" s="6">
        <v>45348</v>
      </c>
      <c r="C2569" t="s">
        <v>5013</v>
      </c>
      <c r="D2569" t="s">
        <v>4012</v>
      </c>
      <c r="E2569">
        <v>-4140.37</v>
      </c>
      <c r="F2569" t="s">
        <v>9</v>
      </c>
    </row>
    <row r="2570" spans="1:6">
      <c r="A2570">
        <v>202402</v>
      </c>
      <c r="B2570" s="6">
        <v>45348</v>
      </c>
      <c r="C2570" t="s">
        <v>2519</v>
      </c>
      <c r="D2570" t="s">
        <v>4415</v>
      </c>
      <c r="E2570">
        <v>987.93</v>
      </c>
      <c r="F2570" t="s">
        <v>31</v>
      </c>
    </row>
    <row r="2571" spans="1:6">
      <c r="A2571">
        <v>202402</v>
      </c>
      <c r="B2571" s="6">
        <v>45348</v>
      </c>
      <c r="C2571" t="s">
        <v>2519</v>
      </c>
      <c r="D2571" t="s">
        <v>4404</v>
      </c>
      <c r="E2571">
        <v>800</v>
      </c>
      <c r="F2571" t="s">
        <v>59</v>
      </c>
    </row>
    <row r="2572" spans="1:6">
      <c r="A2572">
        <v>202402</v>
      </c>
      <c r="B2572" s="6">
        <v>45348</v>
      </c>
      <c r="C2572" t="s">
        <v>2519</v>
      </c>
      <c r="D2572" t="s">
        <v>1955</v>
      </c>
      <c r="E2572">
        <v>133.18</v>
      </c>
      <c r="F2572" t="s">
        <v>21</v>
      </c>
    </row>
    <row r="2573" spans="1:6">
      <c r="A2573">
        <v>202402</v>
      </c>
      <c r="B2573" s="6">
        <v>45348</v>
      </c>
      <c r="C2573" t="s">
        <v>2519</v>
      </c>
      <c r="D2573" t="s">
        <v>1955</v>
      </c>
      <c r="E2573">
        <v>21.25</v>
      </c>
      <c r="F2573" t="s">
        <v>21</v>
      </c>
    </row>
    <row r="2574" spans="1:6">
      <c r="A2574">
        <v>202402</v>
      </c>
      <c r="B2574" s="6">
        <v>45349</v>
      </c>
      <c r="C2574" t="s">
        <v>3938</v>
      </c>
      <c r="D2574" t="s">
        <v>5267</v>
      </c>
      <c r="E2574">
        <v>38.81</v>
      </c>
      <c r="F2574" t="s">
        <v>23</v>
      </c>
    </row>
    <row r="2575" spans="1:6">
      <c r="A2575">
        <v>202402</v>
      </c>
      <c r="B2575" s="6">
        <v>45349</v>
      </c>
      <c r="C2575" t="s">
        <v>2519</v>
      </c>
      <c r="D2575" t="s">
        <v>1458</v>
      </c>
      <c r="E2575">
        <v>4140.37</v>
      </c>
      <c r="F2575" t="s">
        <v>9</v>
      </c>
    </row>
    <row r="2576" spans="1:6">
      <c r="A2576">
        <v>202402</v>
      </c>
      <c r="B2576" s="6">
        <v>45349</v>
      </c>
      <c r="C2576" t="s">
        <v>2519</v>
      </c>
      <c r="D2576" t="s">
        <v>5268</v>
      </c>
      <c r="E2576">
        <v>346</v>
      </c>
      <c r="F2576" t="s">
        <v>20</v>
      </c>
    </row>
    <row r="2577" spans="1:6">
      <c r="A2577">
        <v>202402</v>
      </c>
      <c r="B2577" s="6">
        <v>45350</v>
      </c>
      <c r="C2577" t="s">
        <v>3932</v>
      </c>
      <c r="D2577" t="s">
        <v>38</v>
      </c>
      <c r="E2577">
        <v>15.16</v>
      </c>
      <c r="F2577" t="s">
        <v>38</v>
      </c>
    </row>
    <row r="2578" spans="1:6">
      <c r="A2578">
        <v>202402</v>
      </c>
      <c r="B2578" s="6">
        <v>45350</v>
      </c>
      <c r="C2578" t="s">
        <v>3932</v>
      </c>
      <c r="D2578" t="s">
        <v>38</v>
      </c>
      <c r="E2578">
        <v>97.52</v>
      </c>
      <c r="F2578" t="s">
        <v>38</v>
      </c>
    </row>
    <row r="2579" spans="1:6">
      <c r="A2579">
        <v>202402</v>
      </c>
      <c r="B2579" s="6">
        <v>45350</v>
      </c>
      <c r="C2579" t="s">
        <v>5013</v>
      </c>
      <c r="D2579" t="s">
        <v>5528</v>
      </c>
      <c r="E2579">
        <v>1299.54</v>
      </c>
      <c r="F2579" t="s">
        <v>9</v>
      </c>
    </row>
    <row r="2580" spans="1:6">
      <c r="A2580">
        <v>202402</v>
      </c>
      <c r="B2580" s="6">
        <v>45350</v>
      </c>
      <c r="C2580" t="s">
        <v>5013</v>
      </c>
      <c r="D2580" t="s">
        <v>5528</v>
      </c>
      <c r="E2580">
        <v>310.8</v>
      </c>
      <c r="F2580" t="s">
        <v>9</v>
      </c>
    </row>
    <row r="2581" spans="1:6">
      <c r="A2581">
        <v>202402</v>
      </c>
      <c r="B2581" s="6">
        <v>45350</v>
      </c>
      <c r="C2581" t="s">
        <v>2519</v>
      </c>
      <c r="D2581" t="s">
        <v>4343</v>
      </c>
      <c r="E2581">
        <v>-3805.79</v>
      </c>
      <c r="F2581" t="s">
        <v>64</v>
      </c>
    </row>
    <row r="2582" spans="1:6">
      <c r="A2582">
        <v>202402</v>
      </c>
      <c r="B2582" s="6">
        <v>45350</v>
      </c>
      <c r="C2582" t="s">
        <v>2519</v>
      </c>
      <c r="D2582" t="s">
        <v>1955</v>
      </c>
      <c r="E2582">
        <v>6.47</v>
      </c>
      <c r="F2582" t="s">
        <v>21</v>
      </c>
    </row>
    <row r="2583" spans="1:6">
      <c r="A2583">
        <v>202402</v>
      </c>
      <c r="B2583" s="6">
        <v>45350</v>
      </c>
      <c r="C2583" t="s">
        <v>2519</v>
      </c>
      <c r="D2583" t="s">
        <v>1955</v>
      </c>
      <c r="E2583">
        <v>0.99</v>
      </c>
      <c r="F2583" t="s">
        <v>21</v>
      </c>
    </row>
    <row r="2584" spans="1:6">
      <c r="A2584">
        <v>202402</v>
      </c>
      <c r="B2584" s="6">
        <v>45351</v>
      </c>
      <c r="C2584" t="s">
        <v>2519</v>
      </c>
      <c r="D2584" t="s">
        <v>404</v>
      </c>
      <c r="E2584">
        <v>-2666.33</v>
      </c>
      <c r="F2584" t="s">
        <v>66</v>
      </c>
    </row>
    <row r="2585" spans="1:6">
      <c r="A2585">
        <v>202402</v>
      </c>
      <c r="B2585" s="6">
        <v>45351</v>
      </c>
      <c r="C2585" t="s">
        <v>2519</v>
      </c>
      <c r="D2585" t="s">
        <v>5271</v>
      </c>
      <c r="E2585">
        <v>-45.1</v>
      </c>
      <c r="F2585" t="s">
        <v>16</v>
      </c>
    </row>
    <row r="2586" spans="1:6">
      <c r="A2586">
        <v>202402</v>
      </c>
      <c r="B2586" s="6">
        <v>45351</v>
      </c>
      <c r="C2586" t="s">
        <v>2519</v>
      </c>
      <c r="D2586" t="s">
        <v>5148</v>
      </c>
      <c r="E2586">
        <v>255.46</v>
      </c>
      <c r="F2586" t="s">
        <v>7</v>
      </c>
    </row>
    <row r="2587" spans="1:6">
      <c r="A2587">
        <v>202402</v>
      </c>
      <c r="B2587" s="6">
        <v>45351</v>
      </c>
      <c r="C2587" t="s">
        <v>2519</v>
      </c>
      <c r="D2587" t="s">
        <v>4942</v>
      </c>
      <c r="E2587">
        <v>-9017.6</v>
      </c>
      <c r="F2587" t="s">
        <v>9</v>
      </c>
    </row>
    <row r="2588" spans="1:6">
      <c r="A2588">
        <v>202402</v>
      </c>
      <c r="B2588" s="6">
        <v>45351</v>
      </c>
      <c r="C2588" t="s">
        <v>2519</v>
      </c>
      <c r="D2588" t="s">
        <v>4942</v>
      </c>
      <c r="E2588">
        <v>-2254.4</v>
      </c>
      <c r="F2588" t="s">
        <v>9</v>
      </c>
    </row>
    <row r="2589" spans="1:6">
      <c r="A2589">
        <v>202402</v>
      </c>
      <c r="B2589" s="6">
        <v>45351</v>
      </c>
      <c r="C2589" t="s">
        <v>5013</v>
      </c>
      <c r="D2589" t="s">
        <v>1626</v>
      </c>
      <c r="E2589">
        <v>20</v>
      </c>
      <c r="F2589" t="s">
        <v>21</v>
      </c>
    </row>
    <row r="2590" spans="1:6">
      <c r="A2590">
        <v>202402</v>
      </c>
      <c r="C2590" t="s">
        <v>5143</v>
      </c>
      <c r="E2590">
        <v>250</v>
      </c>
      <c r="F2590" t="s">
        <v>14</v>
      </c>
    </row>
  </sheetData>
  <autoFilter ref="A1:F1" xr:uid="{86CE855E-D197-44CE-846A-C2159449868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C60C-AFC1-4C37-B5BE-B7933C1F6105}">
  <sheetPr>
    <tabColor rgb="FF264478"/>
    <pageSetUpPr fitToPage="1"/>
  </sheetPr>
  <dimension ref="B2:R193"/>
  <sheetViews>
    <sheetView showGridLines="0" topLeftCell="A79" workbookViewId="0">
      <selection activeCell="N27" sqref="N27"/>
    </sheetView>
  </sheetViews>
  <sheetFormatPr defaultRowHeight="15"/>
  <cols>
    <col min="2" max="2" width="1.5703125" customWidth="1"/>
    <col min="3" max="3" width="20.28515625" customWidth="1"/>
    <col min="4" max="4" width="14.85546875" customWidth="1"/>
    <col min="5" max="5" width="11.5703125" customWidth="1"/>
    <col min="6" max="6" width="11" customWidth="1"/>
    <col min="8" max="8" width="20.28515625" customWidth="1"/>
    <col min="9" max="9" width="14.85546875" customWidth="1"/>
    <col min="11" max="11" width="14" customWidth="1"/>
    <col min="12" max="12" width="1.5703125" customWidth="1"/>
  </cols>
  <sheetData>
    <row r="2" spans="2:18">
      <c r="C2" s="6">
        <f>'1 MO'!C2</f>
        <v>45992</v>
      </c>
    </row>
    <row r="4" spans="2:18" ht="23.25">
      <c r="C4" s="29" t="str">
        <f>"Truitt Financials "&amp;TEXT(C2,"MMMM")&amp;" "&amp;TEXT(C2,"YYYY")</f>
        <v>Truitt Financials December 2025</v>
      </c>
      <c r="F4" s="29"/>
      <c r="I4" s="29"/>
    </row>
    <row r="5" spans="2:18" ht="15" customHeight="1">
      <c r="B5" s="31"/>
      <c r="C5" s="31"/>
      <c r="D5" s="31"/>
      <c r="E5" s="31"/>
      <c r="F5" s="31"/>
      <c r="G5" s="31"/>
      <c r="H5" s="31"/>
      <c r="I5" s="31"/>
      <c r="J5" s="31"/>
      <c r="K5" s="31"/>
      <c r="L5" s="31"/>
    </row>
    <row r="6" spans="2:18" ht="3" customHeight="1">
      <c r="B6" s="22"/>
      <c r="C6" s="22"/>
      <c r="D6" s="22"/>
      <c r="E6" s="22"/>
      <c r="F6" s="22"/>
      <c r="G6" s="22"/>
      <c r="H6" s="22"/>
      <c r="I6" s="22"/>
      <c r="J6" s="22"/>
      <c r="K6" s="22"/>
      <c r="L6" s="22"/>
    </row>
    <row r="7" spans="2:18">
      <c r="J7" s="46"/>
      <c r="Q7" t="s">
        <v>7123</v>
      </c>
      <c r="R7" t="s">
        <v>7124</v>
      </c>
    </row>
    <row r="8" spans="2:18" ht="18.75">
      <c r="C8" s="86" t="s">
        <v>7125</v>
      </c>
      <c r="J8" s="46"/>
    </row>
    <row r="9" spans="2:18">
      <c r="C9" t="s">
        <v>7126</v>
      </c>
      <c r="D9" s="46">
        <f>'1 MO'!D35</f>
        <v>13150</v>
      </c>
      <c r="H9" t="s">
        <v>7127</v>
      </c>
      <c r="I9" s="99">
        <f>YTD!D31</f>
        <v>157800</v>
      </c>
      <c r="P9" t="s">
        <v>48</v>
      </c>
      <c r="Q9" s="46">
        <f>'2025 Budget'!O31</f>
        <v>2400</v>
      </c>
      <c r="R9" s="46">
        <f>YTD!C33</f>
        <v>3948.01</v>
      </c>
    </row>
    <row r="10" spans="2:18">
      <c r="C10" t="s">
        <v>7128</v>
      </c>
      <c r="D10" s="46">
        <f>'1 MO'!C35</f>
        <v>12529.330000000002</v>
      </c>
      <c r="H10" t="s">
        <v>7129</v>
      </c>
      <c r="I10" s="99">
        <f>YTD!C31</f>
        <v>164559.50000000003</v>
      </c>
      <c r="P10" t="s">
        <v>50</v>
      </c>
      <c r="Q10" s="46">
        <f>'2025 Budget'!O32</f>
        <v>81132</v>
      </c>
      <c r="R10" s="46">
        <f>YTD!C34</f>
        <v>265799.33</v>
      </c>
    </row>
    <row r="11" spans="2:18">
      <c r="P11" s="14" t="s">
        <v>43</v>
      </c>
      <c r="Q11" s="46">
        <f>'2025 Budget'!O33</f>
        <v>13500</v>
      </c>
      <c r="R11" s="46">
        <f>YTD!C35</f>
        <v>16470.36</v>
      </c>
    </row>
    <row r="14" spans="2:18">
      <c r="P14" s="16" t="s">
        <v>7130</v>
      </c>
    </row>
    <row r="15" spans="2:18">
      <c r="P15" t="s">
        <v>7131</v>
      </c>
    </row>
    <row r="16" spans="2:18">
      <c r="P16" t="s">
        <v>7132</v>
      </c>
    </row>
    <row r="17" spans="3:17">
      <c r="P17" t="s">
        <v>7133</v>
      </c>
    </row>
    <row r="18" spans="3:17">
      <c r="P18" t="s">
        <v>7134</v>
      </c>
    </row>
    <row r="21" spans="3:17">
      <c r="P21">
        <v>2023</v>
      </c>
      <c r="Q21" s="46">
        <v>-27700</v>
      </c>
    </row>
    <row r="22" spans="3:17">
      <c r="P22">
        <v>2022</v>
      </c>
      <c r="Q22" s="46">
        <v>371119</v>
      </c>
    </row>
    <row r="23" spans="3:17">
      <c r="C23" t="s">
        <v>7135</v>
      </c>
      <c r="D23" s="46">
        <f>'2025 Budget'!O34</f>
        <v>97032</v>
      </c>
      <c r="H23" t="s">
        <v>7136</v>
      </c>
      <c r="I23" s="46">
        <f>'2025 Budget'!O36</f>
        <v>254832</v>
      </c>
      <c r="P23">
        <v>2021</v>
      </c>
      <c r="Q23" s="59">
        <v>327571</v>
      </c>
    </row>
    <row r="24" spans="3:17">
      <c r="C24" t="s">
        <v>7137</v>
      </c>
      <c r="D24" s="46">
        <f>YTD!C36</f>
        <v>286217.7</v>
      </c>
      <c r="H24" t="s">
        <v>7138</v>
      </c>
      <c r="I24" s="99">
        <f>Revised!P47</f>
        <v>450777.2</v>
      </c>
      <c r="P24">
        <v>2020</v>
      </c>
      <c r="Q24" s="59">
        <v>253416</v>
      </c>
    </row>
    <row r="25" spans="3:17">
      <c r="P25">
        <v>2019</v>
      </c>
      <c r="Q25" s="59">
        <v>229415</v>
      </c>
    </row>
    <row r="26" spans="3:17">
      <c r="P26">
        <v>2018</v>
      </c>
      <c r="Q26" s="59">
        <v>188488</v>
      </c>
    </row>
    <row r="27" spans="3:17">
      <c r="P27">
        <v>2017</v>
      </c>
      <c r="Q27" s="46">
        <v>149370</v>
      </c>
    </row>
    <row r="37" spans="3:9" ht="18.75">
      <c r="C37" s="86" t="s">
        <v>7139</v>
      </c>
      <c r="H37" s="86" t="s">
        <v>59</v>
      </c>
    </row>
    <row r="38" spans="3:9">
      <c r="C38" t="s">
        <v>7140</v>
      </c>
      <c r="D38" s="46">
        <f>'Main Detail'!D42</f>
        <v>391496.07</v>
      </c>
      <c r="H38" t="s">
        <v>7140</v>
      </c>
      <c r="I38" s="46">
        <f>'Main Detail'!D69</f>
        <v>112569</v>
      </c>
    </row>
    <row r="39" spans="3:9">
      <c r="C39" t="s">
        <v>7124</v>
      </c>
      <c r="D39" s="46">
        <f>'Main Detail'!D51</f>
        <v>496800.83</v>
      </c>
      <c r="H39" t="s">
        <v>7124</v>
      </c>
      <c r="I39" s="46">
        <f>'Main Detail'!D89</f>
        <v>117472</v>
      </c>
    </row>
    <row r="52" spans="3:3" ht="18.75">
      <c r="C52" s="86" t="s">
        <v>7141</v>
      </c>
    </row>
    <row r="80" spans="3:7" ht="21">
      <c r="C80" s="173" t="s">
        <v>7142</v>
      </c>
      <c r="D80" s="173"/>
      <c r="F80" s="174"/>
      <c r="G80" s="174"/>
    </row>
    <row r="81" spans="3:17" ht="15" customHeight="1">
      <c r="C81" s="31"/>
      <c r="D81" s="31"/>
      <c r="E81" s="31"/>
      <c r="F81" s="31"/>
      <c r="G81" s="31"/>
      <c r="H81" s="31"/>
      <c r="I81" s="31"/>
      <c r="J81" s="31"/>
      <c r="K81" s="31"/>
    </row>
    <row r="82" spans="3:17" ht="3" customHeight="1">
      <c r="C82" s="22"/>
      <c r="D82" s="22"/>
      <c r="E82" s="22"/>
      <c r="F82" s="22"/>
      <c r="G82" s="22"/>
      <c r="H82" s="22"/>
      <c r="I82" s="22"/>
      <c r="J82" s="22"/>
      <c r="K82" s="22"/>
    </row>
    <row r="83" spans="3:17" ht="15" customHeight="1"/>
    <row r="84" spans="3:17">
      <c r="C84" s="16" t="s">
        <v>7143</v>
      </c>
      <c r="D84" s="110">
        <f>EOMONTH(C2,0)</f>
        <v>46022</v>
      </c>
      <c r="E84" s="111">
        <v>45657</v>
      </c>
      <c r="F84" s="112" t="s">
        <v>7144</v>
      </c>
      <c r="G84" s="112" t="s">
        <v>7145</v>
      </c>
      <c r="O84" s="16"/>
      <c r="P84" s="110"/>
      <c r="Q84" s="111"/>
    </row>
    <row r="85" spans="3:17">
      <c r="C85" t="s">
        <v>7146</v>
      </c>
      <c r="D85" s="45">
        <v>533442.75</v>
      </c>
      <c r="E85" s="108">
        <v>563767.81000000006</v>
      </c>
      <c r="F85" s="108">
        <f>D85-E85</f>
        <v>-30325.060000000056</v>
      </c>
      <c r="G85" s="113">
        <f t="shared" ref="G85:G95" si="0">(D85-E85)/E85</f>
        <v>-5.3789981375488703E-2</v>
      </c>
      <c r="P85" s="45"/>
      <c r="Q85" s="108"/>
    </row>
    <row r="86" spans="3:17">
      <c r="C86" t="s">
        <v>7147</v>
      </c>
      <c r="D86" s="45">
        <v>555402.23999999999</v>
      </c>
      <c r="E86" s="108">
        <v>448660.4</v>
      </c>
      <c r="F86" s="108">
        <f t="shared" ref="F86:F95" si="1">D86-E86</f>
        <v>106741.83999999997</v>
      </c>
      <c r="G86" s="113">
        <f t="shared" si="0"/>
        <v>0.23791232745301338</v>
      </c>
      <c r="P86" s="45"/>
      <c r="Q86" s="108"/>
    </row>
    <row r="87" spans="3:17">
      <c r="C87" t="s">
        <v>7148</v>
      </c>
      <c r="D87" s="45">
        <v>511072.69</v>
      </c>
      <c r="E87" s="108">
        <v>397733.35</v>
      </c>
      <c r="F87" s="108">
        <f t="shared" si="1"/>
        <v>113339.34000000003</v>
      </c>
      <c r="G87" s="113">
        <f t="shared" si="0"/>
        <v>0.28496312919195743</v>
      </c>
      <c r="M87" t="s">
        <v>7149</v>
      </c>
      <c r="Q87" s="108" t="s">
        <v>2338</v>
      </c>
    </row>
    <row r="88" spans="3:17">
      <c r="C88" t="s">
        <v>7150</v>
      </c>
      <c r="D88" s="45">
        <v>19355.62</v>
      </c>
      <c r="E88" s="108">
        <v>22997</v>
      </c>
      <c r="F88" s="108">
        <f t="shared" si="1"/>
        <v>-3641.380000000001</v>
      </c>
      <c r="G88" s="113">
        <f t="shared" si="0"/>
        <v>-0.15834152280732275</v>
      </c>
      <c r="Q88" s="108" t="s">
        <v>2359</v>
      </c>
    </row>
    <row r="89" spans="3:17">
      <c r="C89" t="s">
        <v>7151</v>
      </c>
      <c r="D89" s="45">
        <f>12330.52+8282.39</f>
        <v>20612.91</v>
      </c>
      <c r="E89" s="108">
        <v>15167.42</v>
      </c>
      <c r="F89" s="108">
        <f t="shared" si="1"/>
        <v>5445.49</v>
      </c>
      <c r="G89" s="113">
        <f t="shared" si="0"/>
        <v>0.35902546379015021</v>
      </c>
      <c r="Q89" s="108"/>
    </row>
    <row r="90" spans="3:17">
      <c r="C90" t="s">
        <v>2258</v>
      </c>
      <c r="D90" s="45">
        <v>5682.5</v>
      </c>
      <c r="E90" s="108">
        <v>77311.72</v>
      </c>
      <c r="F90" s="108">
        <f t="shared" si="1"/>
        <v>-71629.22</v>
      </c>
      <c r="G90" s="113">
        <f t="shared" si="0"/>
        <v>-0.92649885424874778</v>
      </c>
      <c r="H90" s="135"/>
      <c r="Q90" s="108"/>
    </row>
    <row r="91" spans="3:17">
      <c r="C91" t="s">
        <v>3996</v>
      </c>
      <c r="D91" s="45">
        <v>32232.83</v>
      </c>
      <c r="E91" s="108">
        <v>23000</v>
      </c>
      <c r="F91" s="108">
        <f t="shared" si="1"/>
        <v>9232.8300000000017</v>
      </c>
      <c r="G91" s="113">
        <f t="shared" si="0"/>
        <v>0.4014273913043479</v>
      </c>
    </row>
    <row r="92" spans="3:17">
      <c r="C92" t="s">
        <v>50</v>
      </c>
      <c r="D92" s="45">
        <f>705400*0.94</f>
        <v>663076</v>
      </c>
      <c r="E92" s="108">
        <v>659128</v>
      </c>
      <c r="F92" s="108">
        <f t="shared" si="1"/>
        <v>3948</v>
      </c>
      <c r="G92" s="113">
        <f t="shared" si="0"/>
        <v>5.9897318881916711E-3</v>
      </c>
      <c r="P92" s="45"/>
      <c r="Q92" s="108"/>
    </row>
    <row r="93" spans="3:17">
      <c r="C93" t="s">
        <v>7152</v>
      </c>
      <c r="D93" s="45">
        <f>19766*0.9</f>
        <v>17789.400000000001</v>
      </c>
      <c r="E93" s="108">
        <v>17789.400000000001</v>
      </c>
      <c r="F93" s="108">
        <f t="shared" si="1"/>
        <v>0</v>
      </c>
      <c r="G93" s="113">
        <f t="shared" si="0"/>
        <v>0</v>
      </c>
      <c r="P93" s="45"/>
      <c r="Q93" s="108"/>
    </row>
    <row r="94" spans="3:17">
      <c r="C94" t="s">
        <v>301</v>
      </c>
      <c r="D94" s="45">
        <v>7114</v>
      </c>
      <c r="E94" s="108">
        <v>7114</v>
      </c>
      <c r="F94" s="108">
        <f t="shared" si="1"/>
        <v>0</v>
      </c>
      <c r="G94" s="113">
        <f t="shared" si="0"/>
        <v>0</v>
      </c>
      <c r="P94" s="45"/>
      <c r="Q94" s="108"/>
    </row>
    <row r="95" spans="3:17">
      <c r="C95" s="54" t="s">
        <v>7153</v>
      </c>
      <c r="D95" s="55">
        <f>SUM(D85:D94)</f>
        <v>2365780.94</v>
      </c>
      <c r="E95" s="109">
        <v>2232669.1</v>
      </c>
      <c r="F95" s="109">
        <f t="shared" si="1"/>
        <v>133111.83999999985</v>
      </c>
      <c r="G95" s="114">
        <f t="shared" si="0"/>
        <v>5.962004848815252E-2</v>
      </c>
      <c r="O95" s="54"/>
      <c r="P95" s="55"/>
      <c r="Q95" s="109"/>
    </row>
    <row r="96" spans="3:17">
      <c r="E96" s="108"/>
      <c r="F96" s="108"/>
      <c r="G96" s="115"/>
      <c r="Q96" s="157"/>
    </row>
    <row r="97" spans="3:17">
      <c r="C97" s="16" t="s">
        <v>7154</v>
      </c>
      <c r="E97" s="108"/>
      <c r="F97" s="108"/>
      <c r="G97" s="115"/>
      <c r="O97" s="16"/>
      <c r="Q97" s="108"/>
    </row>
    <row r="98" spans="3:17">
      <c r="C98" t="s">
        <v>50</v>
      </c>
      <c r="D98" s="45">
        <v>358864.86</v>
      </c>
      <c r="E98" s="108">
        <v>368980.21</v>
      </c>
      <c r="F98" s="108">
        <f t="shared" ref="F98:F99" si="2">D98-E98</f>
        <v>-10115.350000000035</v>
      </c>
      <c r="G98" s="113">
        <f>(D98-E98)/E98</f>
        <v>-2.7414342899311685E-2</v>
      </c>
      <c r="P98" s="45"/>
      <c r="Q98" s="108"/>
    </row>
    <row r="99" spans="3:17">
      <c r="C99" s="54" t="s">
        <v>7153</v>
      </c>
      <c r="D99" s="55">
        <f>SUM(D98:D98)</f>
        <v>358864.86</v>
      </c>
      <c r="E99" s="109">
        <v>368980.21</v>
      </c>
      <c r="F99" s="109">
        <f t="shared" si="2"/>
        <v>-10115.350000000035</v>
      </c>
      <c r="G99" s="114">
        <f>(D99-E99)/E99</f>
        <v>-2.7414342899311685E-2</v>
      </c>
      <c r="O99" s="54"/>
      <c r="P99" s="55"/>
      <c r="Q99" s="109"/>
    </row>
    <row r="100" spans="3:17">
      <c r="E100" s="108"/>
      <c r="F100" s="108"/>
      <c r="G100" s="115"/>
      <c r="Q100" s="157" t="s">
        <v>7155</v>
      </c>
    </row>
    <row r="101" spans="3:17">
      <c r="C101" s="16" t="s">
        <v>7156</v>
      </c>
      <c r="D101" s="45"/>
      <c r="E101" s="108"/>
      <c r="F101" s="108"/>
      <c r="G101" s="115"/>
      <c r="O101" s="16"/>
      <c r="P101" s="45"/>
      <c r="Q101" s="108" t="s">
        <v>7157</v>
      </c>
    </row>
    <row r="102" spans="3:17">
      <c r="C102" t="s">
        <v>50</v>
      </c>
      <c r="D102" s="45">
        <f>D92-D98</f>
        <v>304211.14</v>
      </c>
      <c r="E102" s="108">
        <v>290147.78999999998</v>
      </c>
      <c r="F102" s="108">
        <f t="shared" ref="F102:F109" si="3">D102-E102</f>
        <v>14063.350000000035</v>
      </c>
      <c r="G102" s="113">
        <f t="shared" ref="G102:G107" si="4">(D102-E102)/E102</f>
        <v>4.8469609229145033E-2</v>
      </c>
      <c r="P102" s="45"/>
      <c r="Q102" s="108" t="s">
        <v>7158</v>
      </c>
    </row>
    <row r="103" spans="3:17">
      <c r="C103" t="s">
        <v>7159</v>
      </c>
      <c r="D103" s="45">
        <f>SUM(D93:D94)</f>
        <v>24903.4</v>
      </c>
      <c r="E103" s="108">
        <v>24903.4</v>
      </c>
      <c r="F103" s="108">
        <f t="shared" si="3"/>
        <v>0</v>
      </c>
      <c r="G103" s="113">
        <f t="shared" si="4"/>
        <v>0</v>
      </c>
      <c r="P103" s="45"/>
      <c r="Q103" s="45"/>
    </row>
    <row r="104" spans="3:17">
      <c r="C104" t="s">
        <v>7160</v>
      </c>
      <c r="D104" s="45">
        <f>SUM(D86:D87)</f>
        <v>1066474.93</v>
      </c>
      <c r="E104" s="108">
        <v>846393.75</v>
      </c>
      <c r="F104" s="108">
        <f t="shared" si="3"/>
        <v>220081.17999999993</v>
      </c>
      <c r="G104" s="113">
        <f t="shared" si="4"/>
        <v>0.26002221779166013</v>
      </c>
      <c r="P104" s="45"/>
      <c r="Q104" s="45"/>
    </row>
    <row r="105" spans="3:17">
      <c r="C105" t="s">
        <v>7161</v>
      </c>
      <c r="D105" s="45">
        <f>SUM(D85,D91)</f>
        <v>565675.57999999996</v>
      </c>
      <c r="E105" s="108">
        <v>586767.81000000006</v>
      </c>
      <c r="F105" s="108">
        <f>D105-E105</f>
        <v>-21092.230000000098</v>
      </c>
      <c r="G105" s="113">
        <f t="shared" si="4"/>
        <v>-3.5946467479189247E-2</v>
      </c>
      <c r="P105" s="45"/>
      <c r="Q105" s="45"/>
    </row>
    <row r="106" spans="3:17">
      <c r="C106" t="s">
        <v>59</v>
      </c>
      <c r="D106" s="45">
        <f>SUM(D90,D89)</f>
        <v>26295.41</v>
      </c>
      <c r="E106" s="108">
        <v>92479.14</v>
      </c>
      <c r="F106" s="108">
        <f t="shared" si="3"/>
        <v>-66183.73</v>
      </c>
      <c r="G106" s="113">
        <f t="shared" si="4"/>
        <v>-0.71566117504985449</v>
      </c>
      <c r="P106" s="45"/>
      <c r="Q106" s="45"/>
    </row>
    <row r="107" spans="3:17">
      <c r="C107" t="s">
        <v>7162</v>
      </c>
      <c r="D107" s="45">
        <f>D88</f>
        <v>19355.62</v>
      </c>
      <c r="E107" s="108">
        <v>22997</v>
      </c>
      <c r="F107" s="108">
        <f t="shared" si="3"/>
        <v>-3641.380000000001</v>
      </c>
      <c r="G107" s="113">
        <f t="shared" si="4"/>
        <v>-0.15834152280732275</v>
      </c>
      <c r="P107" s="45"/>
      <c r="Q107" s="45"/>
    </row>
    <row r="108" spans="3:17">
      <c r="E108" s="108"/>
      <c r="F108" s="108"/>
      <c r="G108" s="115"/>
    </row>
    <row r="109" spans="3:17">
      <c r="C109" s="54" t="s">
        <v>7163</v>
      </c>
      <c r="D109" s="55">
        <f>SUM(D102:D107)</f>
        <v>2006916.0799999998</v>
      </c>
      <c r="E109" s="109">
        <v>1863688.89</v>
      </c>
      <c r="F109" s="109">
        <f t="shared" si="3"/>
        <v>143227.18999999994</v>
      </c>
      <c r="G109" s="114">
        <f>(D109-E109)/E109</f>
        <v>7.6851448097648933E-2</v>
      </c>
    </row>
    <row r="111" spans="3:17">
      <c r="E111" s="26"/>
    </row>
    <row r="140" spans="3:11" ht="21">
      <c r="C140" s="173" t="s">
        <v>7160</v>
      </c>
      <c r="D140" s="173"/>
      <c r="F140" s="174"/>
      <c r="G140" s="174"/>
    </row>
    <row r="141" spans="3:11" ht="15" customHeight="1">
      <c r="C141" s="31"/>
      <c r="D141" s="31"/>
      <c r="E141" s="31"/>
      <c r="F141" s="31"/>
      <c r="G141" s="31"/>
      <c r="H141" s="31"/>
      <c r="I141" s="31"/>
      <c r="J141" s="31"/>
      <c r="K141" s="31"/>
    </row>
    <row r="142" spans="3:11" ht="3" customHeight="1">
      <c r="C142" s="22"/>
      <c r="D142" s="22"/>
      <c r="E142" s="22"/>
      <c r="F142" s="22"/>
      <c r="G142" s="22"/>
      <c r="H142" s="22"/>
      <c r="I142" s="22"/>
      <c r="J142" s="22"/>
      <c r="K142" s="22"/>
    </row>
    <row r="144" spans="3:11">
      <c r="C144" t="s">
        <v>7164</v>
      </c>
      <c r="D144" s="45">
        <f>'Retire Graph'!C6</f>
        <v>1156474.93</v>
      </c>
    </row>
    <row r="145" spans="3:4">
      <c r="C145" t="s">
        <v>7165</v>
      </c>
      <c r="D145" s="45">
        <f>SUM('Main Detail'!D72:D73,'Main Detail'!D76:D77)</f>
        <v>61999.999999999993</v>
      </c>
    </row>
    <row r="146" spans="3:4">
      <c r="C146" t="s">
        <v>7166</v>
      </c>
      <c r="D146" s="45">
        <f>(D147-YEAR(C2))*D145</f>
        <v>1673999.9999999998</v>
      </c>
    </row>
    <row r="147" spans="3:4">
      <c r="C147" t="s">
        <v>7167</v>
      </c>
      <c r="D147">
        <f>'Retire Graph'!C3</f>
        <v>2052</v>
      </c>
    </row>
    <row r="187" spans="3:4">
      <c r="C187" s="121" t="s">
        <v>7168</v>
      </c>
    </row>
    <row r="189" spans="3:4">
      <c r="C189" s="16" t="s">
        <v>7169</v>
      </c>
    </row>
    <row r="190" spans="3:4">
      <c r="C190" t="s">
        <v>7170</v>
      </c>
      <c r="D190" s="46">
        <f>Revised!P34+Revised!P36+Revised!P38</f>
        <v>184977.87</v>
      </c>
    </row>
    <row r="191" spans="3:4">
      <c r="C191" t="s">
        <v>7171</v>
      </c>
      <c r="D191" s="46">
        <f>D190*25</f>
        <v>4624446.75</v>
      </c>
    </row>
    <row r="192" spans="3:4">
      <c r="C192" t="s">
        <v>7172</v>
      </c>
      <c r="D192" s="45">
        <f>D144</f>
        <v>1156474.93</v>
      </c>
    </row>
    <row r="193" spans="3:4">
      <c r="C193" t="s">
        <v>7173</v>
      </c>
      <c r="D193" s="134">
        <f>D192/D190</f>
        <v>6.2519637078748929</v>
      </c>
    </row>
  </sheetData>
  <mergeCells count="4">
    <mergeCell ref="C80:D80"/>
    <mergeCell ref="F80:G80"/>
    <mergeCell ref="C140:D140"/>
    <mergeCell ref="F140:G140"/>
  </mergeCells>
  <pageMargins left="0.25" right="0.25" top="0.75" bottom="0.75" header="0.3" footer="0.3"/>
  <pageSetup fitToHeight="0" orientation="portrait"/>
  <rowBreaks count="2" manualBreakCount="2">
    <brk id="50" min="1" max="11" man="1"/>
    <brk id="78"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1DEC-8FA4-4C36-B8AE-1469B3C4FE04}">
  <dimension ref="B2:N46"/>
  <sheetViews>
    <sheetView workbookViewId="0">
      <selection activeCell="M9" sqref="M9"/>
    </sheetView>
  </sheetViews>
  <sheetFormatPr defaultRowHeight="15"/>
  <cols>
    <col min="2" max="2" width="15.28515625" customWidth="1"/>
    <col min="3" max="3" width="13.7109375" bestFit="1" customWidth="1"/>
    <col min="4" max="4" width="10.5703125" bestFit="1" customWidth="1"/>
    <col min="5" max="5" width="10.5703125" customWidth="1"/>
    <col min="6" max="6" width="12.140625" customWidth="1"/>
    <col min="7" max="7" width="14.140625" customWidth="1"/>
    <col min="11" max="11" width="10.140625" bestFit="1" customWidth="1"/>
    <col min="12" max="12" width="11.42578125" customWidth="1"/>
    <col min="14" max="14" width="13.140625" customWidth="1"/>
  </cols>
  <sheetData>
    <row r="2" spans="2:4">
      <c r="B2" s="16" t="s">
        <v>7174</v>
      </c>
    </row>
    <row r="3" spans="2:4">
      <c r="B3" t="s">
        <v>7175</v>
      </c>
    </row>
    <row r="4" spans="2:4">
      <c r="B4" t="s">
        <v>7176</v>
      </c>
      <c r="C4" s="46"/>
    </row>
    <row r="5" spans="2:4">
      <c r="B5" t="s">
        <v>7177</v>
      </c>
    </row>
    <row r="7" spans="2:4">
      <c r="B7" t="s">
        <v>7178</v>
      </c>
      <c r="C7" s="46">
        <v>189000</v>
      </c>
    </row>
    <row r="10" spans="2:4">
      <c r="B10" s="16" t="s">
        <v>4712</v>
      </c>
    </row>
    <row r="11" spans="2:4">
      <c r="B11" t="s">
        <v>2258</v>
      </c>
      <c r="C11" s="160">
        <v>0</v>
      </c>
    </row>
    <row r="12" spans="2:4">
      <c r="B12" t="s">
        <v>7150</v>
      </c>
      <c r="C12" s="160">
        <v>71347</v>
      </c>
      <c r="D12" t="s">
        <v>7179</v>
      </c>
    </row>
    <row r="13" spans="2:4">
      <c r="B13" s="158" t="s">
        <v>7146</v>
      </c>
      <c r="C13" s="159">
        <v>0</v>
      </c>
    </row>
    <row r="14" spans="2:4">
      <c r="C14" s="46">
        <f>SUM(C11:C13)</f>
        <v>71347</v>
      </c>
    </row>
    <row r="16" spans="2:4">
      <c r="B16" t="s">
        <v>4712</v>
      </c>
      <c r="C16" t="s">
        <v>2244</v>
      </c>
    </row>
    <row r="17" spans="2:14">
      <c r="E17" s="46"/>
      <c r="K17" t="s">
        <v>7180</v>
      </c>
    </row>
    <row r="19" spans="2:14">
      <c r="K19" t="s">
        <v>7181</v>
      </c>
    </row>
    <row r="20" spans="2:14">
      <c r="K20" t="s">
        <v>2244</v>
      </c>
    </row>
    <row r="21" spans="2:14">
      <c r="B21" t="s">
        <v>7182</v>
      </c>
      <c r="C21" t="s">
        <v>7183</v>
      </c>
      <c r="D21" t="s">
        <v>7184</v>
      </c>
      <c r="E21" t="s">
        <v>7153</v>
      </c>
      <c r="F21" t="s">
        <v>7185</v>
      </c>
      <c r="K21" t="s">
        <v>7186</v>
      </c>
      <c r="L21" s="46">
        <v>43250</v>
      </c>
      <c r="M21" t="s">
        <v>7187</v>
      </c>
    </row>
    <row r="22" spans="2:14">
      <c r="B22" s="6">
        <v>45779</v>
      </c>
      <c r="C22" s="46">
        <f ca="1">IF(B22&lt;TODAY(),0,6000)</f>
        <v>0</v>
      </c>
      <c r="E22" s="46">
        <f>C14</f>
        <v>71347</v>
      </c>
      <c r="K22" s="6">
        <v>45852</v>
      </c>
      <c r="L22" s="46">
        <v>43250</v>
      </c>
      <c r="M22" t="s">
        <v>7187</v>
      </c>
    </row>
    <row r="23" spans="2:14">
      <c r="B23" s="6">
        <f>B22+7</f>
        <v>45786</v>
      </c>
      <c r="C23" s="46">
        <f t="shared" ref="C23:C29" ca="1" si="0">IF(B23&lt;TODAY(),0,6000)</f>
        <v>0</v>
      </c>
      <c r="E23" s="46">
        <f t="shared" ref="E23:E46" ca="1" si="1">E22+SUM(C23:D23)-F23</f>
        <v>71347</v>
      </c>
      <c r="K23" t="s">
        <v>7188</v>
      </c>
      <c r="L23" s="134">
        <v>20000</v>
      </c>
    </row>
    <row r="24" spans="2:14">
      <c r="B24" s="6">
        <f t="shared" ref="B24:B46" si="2">B23+7</f>
        <v>45793</v>
      </c>
      <c r="C24" s="46">
        <f t="shared" ca="1" si="0"/>
        <v>0</v>
      </c>
      <c r="E24" s="46">
        <f t="shared" ca="1" si="1"/>
        <v>71347</v>
      </c>
      <c r="K24" s="6">
        <v>45902</v>
      </c>
      <c r="L24" s="46">
        <v>43250</v>
      </c>
    </row>
    <row r="25" spans="2:14">
      <c r="B25" s="6">
        <f t="shared" si="2"/>
        <v>45800</v>
      </c>
      <c r="C25" s="46">
        <f t="shared" ca="1" si="0"/>
        <v>0</v>
      </c>
      <c r="E25" s="46">
        <f t="shared" ca="1" si="1"/>
        <v>71347</v>
      </c>
      <c r="K25" s="6">
        <v>45914</v>
      </c>
      <c r="L25" s="46">
        <v>43250</v>
      </c>
      <c r="M25" s="58"/>
      <c r="N25" s="58"/>
    </row>
    <row r="26" spans="2:14">
      <c r="B26" s="6">
        <f t="shared" si="2"/>
        <v>45807</v>
      </c>
      <c r="C26" s="46">
        <f t="shared" ca="1" si="0"/>
        <v>0</v>
      </c>
      <c r="E26" s="46">
        <f t="shared" ca="1" si="1"/>
        <v>71347</v>
      </c>
      <c r="F26" s="58"/>
      <c r="K26" t="s">
        <v>7189</v>
      </c>
      <c r="L26" s="46">
        <v>10000</v>
      </c>
    </row>
    <row r="27" spans="2:14">
      <c r="B27" s="6">
        <f t="shared" si="2"/>
        <v>45814</v>
      </c>
      <c r="C27" s="46">
        <f t="shared" ca="1" si="0"/>
        <v>0</v>
      </c>
      <c r="E27" s="46">
        <f t="shared" ca="1" si="1"/>
        <v>71347</v>
      </c>
    </row>
    <row r="28" spans="2:14">
      <c r="B28" s="6">
        <f t="shared" si="2"/>
        <v>45821</v>
      </c>
      <c r="C28" s="46">
        <f t="shared" ca="1" si="0"/>
        <v>0</v>
      </c>
      <c r="E28" s="46">
        <f t="shared" ca="1" si="1"/>
        <v>71347</v>
      </c>
    </row>
    <row r="29" spans="2:14">
      <c r="B29" s="6">
        <f>B28+7</f>
        <v>45828</v>
      </c>
      <c r="C29" s="46">
        <f t="shared" ca="1" si="0"/>
        <v>0</v>
      </c>
      <c r="E29" s="46">
        <f t="shared" ca="1" si="1"/>
        <v>71347</v>
      </c>
      <c r="F29" s="58"/>
    </row>
    <row r="30" spans="2:14">
      <c r="B30" s="6">
        <f t="shared" si="2"/>
        <v>45835</v>
      </c>
      <c r="C30" s="46"/>
      <c r="E30" s="46">
        <f t="shared" ca="1" si="1"/>
        <v>71347</v>
      </c>
    </row>
    <row r="31" spans="2:14">
      <c r="B31" s="6">
        <f t="shared" si="2"/>
        <v>45842</v>
      </c>
      <c r="C31" s="46"/>
      <c r="E31" s="46">
        <f t="shared" ca="1" si="1"/>
        <v>71347</v>
      </c>
    </row>
    <row r="32" spans="2:14">
      <c r="B32" s="6">
        <f t="shared" si="2"/>
        <v>45849</v>
      </c>
      <c r="C32" s="46"/>
      <c r="E32" s="46">
        <f t="shared" ca="1" si="1"/>
        <v>71347</v>
      </c>
      <c r="F32" s="46"/>
    </row>
    <row r="33" spans="2:6">
      <c r="B33" s="6">
        <f t="shared" si="2"/>
        <v>45856</v>
      </c>
      <c r="C33" s="46"/>
      <c r="E33" s="46">
        <f t="shared" ca="1" si="1"/>
        <v>71347</v>
      </c>
      <c r="F33" s="46"/>
    </row>
    <row r="34" spans="2:6">
      <c r="B34" s="6">
        <f t="shared" si="2"/>
        <v>45863</v>
      </c>
      <c r="C34" s="46"/>
      <c r="E34" s="46">
        <f t="shared" ca="1" si="1"/>
        <v>71347</v>
      </c>
    </row>
    <row r="35" spans="2:6">
      <c r="B35" s="6">
        <f t="shared" si="2"/>
        <v>45870</v>
      </c>
      <c r="C35" s="46"/>
      <c r="D35" s="46">
        <f>D17</f>
        <v>0</v>
      </c>
      <c r="E35" s="46">
        <f t="shared" ca="1" si="1"/>
        <v>71347</v>
      </c>
      <c r="F35" s="58"/>
    </row>
    <row r="36" spans="2:6">
      <c r="B36" s="6">
        <f t="shared" si="2"/>
        <v>45877</v>
      </c>
      <c r="C36" s="46"/>
      <c r="E36" s="46">
        <f t="shared" ca="1" si="1"/>
        <v>71347</v>
      </c>
    </row>
    <row r="37" spans="2:6">
      <c r="B37" s="6">
        <f t="shared" si="2"/>
        <v>45884</v>
      </c>
      <c r="C37" s="46"/>
      <c r="E37" s="46">
        <f t="shared" ca="1" si="1"/>
        <v>71347</v>
      </c>
    </row>
    <row r="38" spans="2:6">
      <c r="B38" s="6">
        <f t="shared" si="2"/>
        <v>45891</v>
      </c>
      <c r="C38" s="46"/>
      <c r="E38" s="46">
        <f t="shared" ca="1" si="1"/>
        <v>71347</v>
      </c>
    </row>
    <row r="39" spans="2:6">
      <c r="B39" s="6">
        <f t="shared" si="2"/>
        <v>45898</v>
      </c>
      <c r="C39" s="46"/>
      <c r="E39" s="46">
        <f t="shared" ca="1" si="1"/>
        <v>71347</v>
      </c>
      <c r="F39" s="58"/>
    </row>
    <row r="40" spans="2:6">
      <c r="B40" s="6">
        <f t="shared" si="2"/>
        <v>45905</v>
      </c>
      <c r="C40" s="46">
        <v>9000</v>
      </c>
      <c r="E40" s="46">
        <f t="shared" ca="1" si="1"/>
        <v>37097</v>
      </c>
      <c r="F40" s="46">
        <f>L24</f>
        <v>43250</v>
      </c>
    </row>
    <row r="41" spans="2:6">
      <c r="B41" s="6">
        <f t="shared" si="2"/>
        <v>45912</v>
      </c>
      <c r="C41" s="46">
        <v>9000</v>
      </c>
      <c r="E41" s="46">
        <f t="shared" ca="1" si="1"/>
        <v>26097</v>
      </c>
      <c r="F41" s="134">
        <f>L23</f>
        <v>20000</v>
      </c>
    </row>
    <row r="42" spans="2:6">
      <c r="B42" s="6">
        <f t="shared" si="2"/>
        <v>45919</v>
      </c>
      <c r="C42" s="46">
        <v>9000</v>
      </c>
      <c r="E42" s="46">
        <f t="shared" ca="1" si="1"/>
        <v>35097</v>
      </c>
      <c r="F42" s="134"/>
    </row>
    <row r="43" spans="2:6">
      <c r="B43" s="6">
        <f t="shared" si="2"/>
        <v>45926</v>
      </c>
      <c r="C43" s="46">
        <v>9000</v>
      </c>
      <c r="E43" s="46">
        <f t="shared" ca="1" si="1"/>
        <v>847</v>
      </c>
      <c r="F43" s="46">
        <f>L25</f>
        <v>43250</v>
      </c>
    </row>
    <row r="44" spans="2:6">
      <c r="B44" s="6">
        <f t="shared" si="2"/>
        <v>45933</v>
      </c>
      <c r="C44" s="46">
        <v>9000</v>
      </c>
      <c r="E44" s="46">
        <f t="shared" ca="1" si="1"/>
        <v>9847</v>
      </c>
    </row>
    <row r="45" spans="2:6">
      <c r="B45" s="6">
        <f t="shared" si="2"/>
        <v>45940</v>
      </c>
      <c r="E45" s="46">
        <f t="shared" ca="1" si="1"/>
        <v>-153</v>
      </c>
      <c r="F45" s="46">
        <f>L26</f>
        <v>10000</v>
      </c>
    </row>
    <row r="46" spans="2:6">
      <c r="B46" s="6">
        <f t="shared" si="2"/>
        <v>45947</v>
      </c>
      <c r="E46" s="46">
        <f t="shared" ca="1" si="1"/>
        <v>-153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50B2-3BB6-41F9-BB6E-537B35981A8E}">
  <sheetPr>
    <tabColor rgb="FF264478"/>
    <pageSetUpPr fitToPage="1"/>
  </sheetPr>
  <dimension ref="B4:Y120"/>
  <sheetViews>
    <sheetView topLeftCell="A6" workbookViewId="0">
      <selection activeCell="D33" sqref="D33"/>
    </sheetView>
  </sheetViews>
  <sheetFormatPr defaultRowHeight="15"/>
  <cols>
    <col min="1" max="1" width="12.5703125" customWidth="1"/>
    <col min="2" max="2" width="2" customWidth="1"/>
    <col min="3" max="3" width="23.28515625" customWidth="1"/>
    <col min="4" max="4" width="12" bestFit="1" customWidth="1"/>
    <col min="5" max="5" width="8.7109375" bestFit="1" customWidth="1"/>
    <col min="7" max="7" width="9.5703125" bestFit="1" customWidth="1"/>
    <col min="11" max="11" width="9.85546875" bestFit="1" customWidth="1"/>
    <col min="16" max="16" width="9.85546875" customWidth="1"/>
    <col min="20" max="20" width="10.85546875" customWidth="1"/>
    <col min="21" max="21" width="10.5703125" customWidth="1"/>
  </cols>
  <sheetData>
    <row r="4" spans="18:25">
      <c r="T4" t="s">
        <v>7190</v>
      </c>
      <c r="U4" t="s">
        <v>7191</v>
      </c>
    </row>
    <row r="5" spans="18:25">
      <c r="R5" t="s">
        <v>7139</v>
      </c>
      <c r="S5" t="s">
        <v>7139</v>
      </c>
      <c r="T5" s="46">
        <f>D42</f>
        <v>391496.07</v>
      </c>
      <c r="U5" s="46">
        <f>D51</f>
        <v>496800.83</v>
      </c>
    </row>
    <row r="6" spans="18:25">
      <c r="R6" t="s">
        <v>7192</v>
      </c>
      <c r="S6" t="s">
        <v>7192</v>
      </c>
      <c r="T6" s="46">
        <f>-D30</f>
        <v>-109618.89960000002</v>
      </c>
      <c r="U6" s="46">
        <f>-U5*D92</f>
        <v>-144072.24069999999</v>
      </c>
    </row>
    <row r="7" spans="18:25">
      <c r="R7" t="s">
        <v>7193</v>
      </c>
      <c r="S7" t="s">
        <v>7193</v>
      </c>
      <c r="T7" s="46">
        <f>-'2025 Budget'!O36</f>
        <v>-254832</v>
      </c>
      <c r="U7" s="46">
        <f>-Revised!P47</f>
        <v>-450777.2</v>
      </c>
    </row>
    <row r="8" spans="18:25">
      <c r="R8" t="s">
        <v>59</v>
      </c>
      <c r="S8" t="s">
        <v>59</v>
      </c>
      <c r="T8" s="46">
        <f>-D69</f>
        <v>-112569</v>
      </c>
      <c r="U8" s="46">
        <f>-D89</f>
        <v>-117472</v>
      </c>
    </row>
    <row r="9" spans="18:25">
      <c r="R9" t="s">
        <v>7194</v>
      </c>
      <c r="S9" t="s">
        <v>7194</v>
      </c>
      <c r="T9" s="46">
        <f>-SUM(T5:T8)</f>
        <v>85523.829599999997</v>
      </c>
      <c r="U9" s="46">
        <f>-SUM(U5:U8)</f>
        <v>215520.61070000002</v>
      </c>
    </row>
    <row r="11" spans="18:25">
      <c r="T11" s="46"/>
      <c r="X11" t="s">
        <v>7195</v>
      </c>
      <c r="Y11" t="s">
        <v>7124</v>
      </c>
    </row>
    <row r="12" spans="18:25">
      <c r="S12" t="s">
        <v>7192</v>
      </c>
      <c r="T12" s="46">
        <f>-T6</f>
        <v>109618.89960000002</v>
      </c>
      <c r="U12" s="46">
        <f>-U6</f>
        <v>144072.24069999999</v>
      </c>
      <c r="W12" t="s">
        <v>7192</v>
      </c>
      <c r="X12" s="80">
        <f>T12/$T$5</f>
        <v>0.28000000000000003</v>
      </c>
      <c r="Y12" s="80">
        <f>U12/$U$5</f>
        <v>0.28999999999999998</v>
      </c>
    </row>
    <row r="13" spans="18:25">
      <c r="S13" t="s">
        <v>7193</v>
      </c>
      <c r="T13" s="46">
        <f>-T7</f>
        <v>254832</v>
      </c>
      <c r="U13" s="46">
        <f t="shared" ref="T13:U15" si="0">-U7</f>
        <v>450777.2</v>
      </c>
      <c r="W13" t="s">
        <v>7193</v>
      </c>
      <c r="X13" s="80">
        <f>T13/$T$5</f>
        <v>0.65091841151815388</v>
      </c>
      <c r="Y13" s="80">
        <f>U13/$U$5</f>
        <v>0.90735999776811971</v>
      </c>
    </row>
    <row r="14" spans="18:25">
      <c r="S14" t="s">
        <v>59</v>
      </c>
      <c r="T14" s="46">
        <f t="shared" si="0"/>
        <v>112569</v>
      </c>
      <c r="U14" s="46">
        <f t="shared" si="0"/>
        <v>117472</v>
      </c>
      <c r="W14" t="s">
        <v>59</v>
      </c>
      <c r="X14" s="80">
        <f>T14/$T$5</f>
        <v>0.28753545342102665</v>
      </c>
      <c r="Y14" s="80">
        <f>U14/$U$5</f>
        <v>0.23645693184530306</v>
      </c>
    </row>
    <row r="15" spans="18:25">
      <c r="S15" t="s">
        <v>7194</v>
      </c>
      <c r="T15" s="46">
        <f t="shared" si="0"/>
        <v>-85523.829599999997</v>
      </c>
      <c r="U15" s="46">
        <f t="shared" si="0"/>
        <v>-215520.61070000002</v>
      </c>
      <c r="W15" t="s">
        <v>7194</v>
      </c>
      <c r="X15" s="80">
        <f>T15/$T$5</f>
        <v>-0.21845386493918059</v>
      </c>
      <c r="Y15" s="80">
        <f>U15/$U$5</f>
        <v>-0.43381692961342277</v>
      </c>
    </row>
    <row r="21" spans="2:16" ht="23.25">
      <c r="C21" s="29" t="s">
        <v>7196</v>
      </c>
      <c r="F21" s="29"/>
      <c r="I21" s="29"/>
    </row>
    <row r="22" spans="2:16" ht="15" customHeight="1">
      <c r="B22" s="31"/>
      <c r="C22" s="31"/>
      <c r="D22" s="31"/>
      <c r="E22" s="31"/>
      <c r="F22" s="31"/>
      <c r="G22" s="31"/>
      <c r="H22" s="31"/>
      <c r="I22" s="31"/>
      <c r="J22" s="31"/>
      <c r="K22" s="31"/>
      <c r="L22" s="31"/>
      <c r="M22" s="31"/>
      <c r="N22" s="31"/>
      <c r="O22" s="31"/>
      <c r="P22" s="31"/>
    </row>
    <row r="23" spans="2:16" ht="3" customHeight="1">
      <c r="B23" s="22"/>
      <c r="C23" s="22"/>
      <c r="D23" s="22"/>
      <c r="E23" s="22"/>
      <c r="F23" s="22"/>
      <c r="G23" s="22"/>
      <c r="H23" s="22"/>
      <c r="I23" s="22"/>
      <c r="J23" s="22"/>
      <c r="K23" s="22"/>
      <c r="L23" s="22"/>
      <c r="M23" s="22"/>
      <c r="N23" s="22"/>
      <c r="O23" s="22"/>
      <c r="P23" s="22"/>
    </row>
    <row r="27" spans="2:16">
      <c r="C27" s="16" t="s">
        <v>7197</v>
      </c>
      <c r="D27" s="16" t="s">
        <v>7140</v>
      </c>
      <c r="E27" s="16" t="s">
        <v>7124</v>
      </c>
    </row>
    <row r="28" spans="2:16">
      <c r="C28" t="s">
        <v>7139</v>
      </c>
      <c r="D28" s="46">
        <f>D42</f>
        <v>391496.07</v>
      </c>
      <c r="E28" s="46">
        <f>D51</f>
        <v>496800.83</v>
      </c>
    </row>
    <row r="29" spans="2:16">
      <c r="C29" t="s">
        <v>7198</v>
      </c>
      <c r="D29" s="85">
        <v>0.28000000000000003</v>
      </c>
      <c r="E29" s="85">
        <v>0.28000000000000003</v>
      </c>
    </row>
    <row r="30" spans="2:16">
      <c r="C30" t="s">
        <v>7199</v>
      </c>
      <c r="D30" s="46">
        <f>D28*D29</f>
        <v>109618.89960000002</v>
      </c>
      <c r="E30" s="46">
        <f>E28*E29</f>
        <v>139104.23240000001</v>
      </c>
    </row>
    <row r="31" spans="2:16">
      <c r="C31" t="s">
        <v>7200</v>
      </c>
      <c r="D31" s="85">
        <v>0.28000000000000003</v>
      </c>
      <c r="E31" s="85">
        <v>0.28000000000000003</v>
      </c>
    </row>
    <row r="32" spans="2:16">
      <c r="C32" t="s">
        <v>7201</v>
      </c>
      <c r="D32" s="46">
        <f>D31*D28</f>
        <v>109618.89960000002</v>
      </c>
      <c r="E32" s="46">
        <f>E31*E28</f>
        <v>139104.23240000001</v>
      </c>
    </row>
    <row r="33" spans="3:16">
      <c r="C33" t="s">
        <v>7202</v>
      </c>
      <c r="D33" s="46">
        <f>D28-D30-D32</f>
        <v>172258.2708</v>
      </c>
      <c r="E33" s="46">
        <f>E28-E30-E32</f>
        <v>218592.36519999997</v>
      </c>
    </row>
    <row r="37" spans="3:16">
      <c r="C37" s="16" t="s">
        <v>7203</v>
      </c>
    </row>
    <row r="38" spans="3:16">
      <c r="C38" t="s">
        <v>7204</v>
      </c>
      <c r="D38" s="84">
        <v>160000</v>
      </c>
      <c r="F38" s="46"/>
    </row>
    <row r="39" spans="3:16">
      <c r="C39" t="s">
        <v>7184</v>
      </c>
      <c r="D39" s="84">
        <v>25000</v>
      </c>
    </row>
    <row r="40" spans="3:16">
      <c r="C40" t="s">
        <v>7205</v>
      </c>
      <c r="D40" s="84">
        <v>181496.07</v>
      </c>
      <c r="G40" s="59"/>
    </row>
    <row r="41" spans="3:16">
      <c r="C41" t="s">
        <v>7206</v>
      </c>
      <c r="D41" s="84">
        <v>25000</v>
      </c>
    </row>
    <row r="42" spans="3:16">
      <c r="C42" s="16" t="s">
        <v>7153</v>
      </c>
      <c r="D42" s="39">
        <f>SUM(D38:D41)</f>
        <v>391496.07</v>
      </c>
      <c r="K42" s="46"/>
      <c r="L42" s="46"/>
    </row>
    <row r="43" spans="3:16">
      <c r="C43" s="16"/>
    </row>
    <row r="44" spans="3:16">
      <c r="C44" s="16" t="s">
        <v>7207</v>
      </c>
      <c r="D44" s="170" t="s">
        <v>7153</v>
      </c>
      <c r="E44" s="170" t="s">
        <v>7208</v>
      </c>
      <c r="F44" s="170" t="s">
        <v>7209</v>
      </c>
      <c r="G44" s="170" t="s">
        <v>7210</v>
      </c>
      <c r="H44" s="170" t="s">
        <v>7211</v>
      </c>
      <c r="I44" s="170" t="s">
        <v>7212</v>
      </c>
      <c r="J44" s="170" t="s">
        <v>7213</v>
      </c>
      <c r="K44" s="170" t="s">
        <v>7214</v>
      </c>
      <c r="L44" s="170" t="s">
        <v>7215</v>
      </c>
      <c r="M44" s="170" t="s">
        <v>7216</v>
      </c>
      <c r="N44" s="170" t="s">
        <v>7217</v>
      </c>
      <c r="O44" s="170" t="s">
        <v>7218</v>
      </c>
      <c r="P44" s="170" t="s">
        <v>7219</v>
      </c>
    </row>
    <row r="45" spans="3:16">
      <c r="C45" t="s">
        <v>7204</v>
      </c>
      <c r="D45" s="46">
        <f t="shared" ref="D45:D50" si="1">SUM(E45:P45)</f>
        <v>172000</v>
      </c>
      <c r="E45" s="84">
        <f>172000/12</f>
        <v>14333.333333333334</v>
      </c>
      <c r="F45" s="84">
        <f t="shared" ref="F45:P45" si="2">172000/12</f>
        <v>14333.333333333334</v>
      </c>
      <c r="G45" s="84">
        <f t="shared" si="2"/>
        <v>14333.333333333334</v>
      </c>
      <c r="H45" s="84">
        <f t="shared" si="2"/>
        <v>14333.333333333334</v>
      </c>
      <c r="I45" s="84">
        <f t="shared" si="2"/>
        <v>14333.333333333334</v>
      </c>
      <c r="J45" s="84">
        <f t="shared" si="2"/>
        <v>14333.333333333334</v>
      </c>
      <c r="K45" s="84">
        <f t="shared" si="2"/>
        <v>14333.333333333334</v>
      </c>
      <c r="L45" s="84">
        <f t="shared" si="2"/>
        <v>14333.333333333334</v>
      </c>
      <c r="M45" s="84">
        <f t="shared" si="2"/>
        <v>14333.333333333334</v>
      </c>
      <c r="N45" s="84">
        <f t="shared" si="2"/>
        <v>14333.333333333334</v>
      </c>
      <c r="O45" s="84">
        <f t="shared" si="2"/>
        <v>14333.333333333334</v>
      </c>
      <c r="P45" s="84">
        <f t="shared" si="2"/>
        <v>14333.333333333334</v>
      </c>
    </row>
    <row r="46" spans="3:16">
      <c r="C46" t="s">
        <v>7184</v>
      </c>
      <c r="D46" s="46">
        <f t="shared" si="1"/>
        <v>50000</v>
      </c>
      <c r="E46" s="84"/>
      <c r="F46" s="84"/>
      <c r="G46" s="84"/>
      <c r="H46" s="84"/>
      <c r="I46" s="84"/>
      <c r="J46" s="84"/>
      <c r="K46" s="84"/>
      <c r="L46" s="84">
        <v>50000</v>
      </c>
      <c r="M46" s="84"/>
      <c r="N46" s="84"/>
      <c r="O46" s="84"/>
      <c r="P46" s="84"/>
    </row>
    <row r="47" spans="3:16">
      <c r="C47" t="s">
        <v>7220</v>
      </c>
      <c r="D47" s="46">
        <f t="shared" si="1"/>
        <v>55000</v>
      </c>
      <c r="E47" s="84"/>
      <c r="F47" s="84"/>
      <c r="G47" s="84"/>
      <c r="H47" s="84"/>
      <c r="I47" s="84"/>
      <c r="J47" s="84"/>
      <c r="K47" s="84"/>
      <c r="L47" s="84">
        <v>55000</v>
      </c>
      <c r="M47" s="84"/>
      <c r="N47" s="84"/>
      <c r="O47" s="84"/>
      <c r="P47" s="84"/>
    </row>
    <row r="48" spans="3:16">
      <c r="C48" t="s">
        <v>7205</v>
      </c>
      <c r="D48" s="46">
        <f t="shared" si="1"/>
        <v>187725</v>
      </c>
      <c r="E48" s="84">
        <f>187725/12</f>
        <v>15643.75</v>
      </c>
      <c r="F48" s="84">
        <f t="shared" ref="F48:P48" si="3">187725/12</f>
        <v>15643.75</v>
      </c>
      <c r="G48" s="84">
        <f t="shared" si="3"/>
        <v>15643.75</v>
      </c>
      <c r="H48" s="84">
        <f t="shared" si="3"/>
        <v>15643.75</v>
      </c>
      <c r="I48" s="84">
        <f t="shared" si="3"/>
        <v>15643.75</v>
      </c>
      <c r="J48" s="84">
        <f t="shared" si="3"/>
        <v>15643.75</v>
      </c>
      <c r="K48" s="84">
        <f t="shared" si="3"/>
        <v>15643.75</v>
      </c>
      <c r="L48" s="84">
        <f t="shared" si="3"/>
        <v>15643.75</v>
      </c>
      <c r="M48" s="84">
        <f t="shared" si="3"/>
        <v>15643.75</v>
      </c>
      <c r="N48" s="84">
        <f t="shared" si="3"/>
        <v>15643.75</v>
      </c>
      <c r="O48" s="84">
        <f t="shared" si="3"/>
        <v>15643.75</v>
      </c>
      <c r="P48" s="84">
        <f t="shared" si="3"/>
        <v>15643.75</v>
      </c>
    </row>
    <row r="49" spans="3:16">
      <c r="C49" t="s">
        <v>7206</v>
      </c>
      <c r="D49" s="46">
        <f t="shared" si="1"/>
        <v>32075.83</v>
      </c>
      <c r="E49" s="84"/>
      <c r="F49" s="84"/>
      <c r="G49" s="84">
        <f>32075.83</f>
        <v>32075.83</v>
      </c>
      <c r="H49" s="84"/>
      <c r="I49" s="84"/>
      <c r="J49" s="84"/>
      <c r="K49" s="84"/>
      <c r="L49" s="84"/>
      <c r="M49" s="84"/>
      <c r="N49" s="84"/>
      <c r="O49" s="84"/>
      <c r="P49" s="84"/>
    </row>
    <row r="50" spans="3:16">
      <c r="C50" t="s">
        <v>7221</v>
      </c>
      <c r="D50" s="46">
        <f t="shared" si="1"/>
        <v>0</v>
      </c>
      <c r="E50" s="84"/>
      <c r="F50" s="84"/>
      <c r="G50" s="84"/>
      <c r="H50" s="84"/>
      <c r="I50" s="84"/>
      <c r="J50" s="84"/>
      <c r="K50" s="84"/>
      <c r="L50" s="84"/>
      <c r="M50" s="84"/>
      <c r="N50" s="84"/>
      <c r="O50" s="84"/>
      <c r="P50" s="84"/>
    </row>
    <row r="51" spans="3:16">
      <c r="C51" s="16" t="s">
        <v>7153</v>
      </c>
      <c r="D51" s="39">
        <f>SUM(D45:D50)</f>
        <v>496800.83</v>
      </c>
    </row>
    <row r="54" spans="3:16">
      <c r="C54" s="16" t="s">
        <v>7222</v>
      </c>
      <c r="D54" s="170" t="s">
        <v>7153</v>
      </c>
    </row>
    <row r="55" spans="3:16">
      <c r="C55" t="s">
        <v>7223</v>
      </c>
      <c r="D55" s="84">
        <v>23500</v>
      </c>
      <c r="E55" s="72">
        <f>D55/D45</f>
        <v>0.13662790697674418</v>
      </c>
    </row>
    <row r="56" spans="3:16">
      <c r="C56" t="s">
        <v>7224</v>
      </c>
      <c r="D56" s="84">
        <v>7000</v>
      </c>
    </row>
    <row r="57" spans="3:16">
      <c r="C57" t="s">
        <v>7225</v>
      </c>
      <c r="D57" s="84">
        <v>5200</v>
      </c>
    </row>
    <row r="58" spans="3:16">
      <c r="C58" t="s">
        <v>7226</v>
      </c>
      <c r="D58" s="84">
        <v>23500</v>
      </c>
      <c r="E58" s="72">
        <f>D58/D48</f>
        <v>0.12518311359701692</v>
      </c>
    </row>
    <row r="59" spans="3:16">
      <c r="C59" t="s">
        <v>7227</v>
      </c>
      <c r="D59" s="84">
        <v>7000</v>
      </c>
    </row>
    <row r="60" spans="3:16">
      <c r="C60" t="s">
        <v>7228</v>
      </c>
      <c r="D60" s="84">
        <v>14400</v>
      </c>
    </row>
    <row r="61" spans="3:16">
      <c r="C61" t="s">
        <v>7151</v>
      </c>
      <c r="D61" s="84">
        <v>1042</v>
      </c>
    </row>
    <row r="62" spans="3:16">
      <c r="C62" t="s">
        <v>7229</v>
      </c>
      <c r="D62" s="84">
        <f>650*12</f>
        <v>7800</v>
      </c>
    </row>
    <row r="63" spans="3:16">
      <c r="C63" t="s">
        <v>7230</v>
      </c>
      <c r="D63" s="84">
        <f>650*12</f>
        <v>7800</v>
      </c>
    </row>
    <row r="64" spans="3:16">
      <c r="C64" t="s">
        <v>7231</v>
      </c>
      <c r="D64" s="84"/>
    </row>
    <row r="65" spans="3:16">
      <c r="C65" t="s">
        <v>7232</v>
      </c>
      <c r="D65" s="84">
        <v>9327</v>
      </c>
    </row>
    <row r="66" spans="3:16">
      <c r="C66" t="s">
        <v>7233</v>
      </c>
      <c r="D66" s="84"/>
    </row>
    <row r="67" spans="3:16">
      <c r="C67" t="s">
        <v>7234</v>
      </c>
      <c r="D67" s="84"/>
    </row>
    <row r="68" spans="3:16">
      <c r="C68" t="s">
        <v>2258</v>
      </c>
      <c r="D68" s="84">
        <v>6000</v>
      </c>
    </row>
    <row r="69" spans="3:16">
      <c r="C69" s="16" t="s">
        <v>7153</v>
      </c>
      <c r="D69" s="39">
        <f>SUM(D55:D68)</f>
        <v>112569</v>
      </c>
    </row>
    <row r="71" spans="3:16">
      <c r="C71" s="16" t="s">
        <v>7235</v>
      </c>
      <c r="D71" s="170" t="s">
        <v>7153</v>
      </c>
      <c r="E71" s="170" t="s">
        <v>7208</v>
      </c>
      <c r="F71" s="170" t="s">
        <v>7209</v>
      </c>
      <c r="G71" s="170" t="s">
        <v>7210</v>
      </c>
      <c r="H71" s="170" t="s">
        <v>7211</v>
      </c>
      <c r="I71" s="170" t="s">
        <v>7212</v>
      </c>
      <c r="J71" s="170" t="s">
        <v>7213</v>
      </c>
      <c r="K71" s="170" t="s">
        <v>7214</v>
      </c>
      <c r="L71" s="170" t="s">
        <v>7215</v>
      </c>
      <c r="M71" s="170" t="s">
        <v>7216</v>
      </c>
      <c r="N71" s="170" t="s">
        <v>7217</v>
      </c>
      <c r="O71" s="170" t="s">
        <v>7218</v>
      </c>
      <c r="P71" s="170" t="s">
        <v>7219</v>
      </c>
    </row>
    <row r="72" spans="3:16">
      <c r="C72" t="s">
        <v>7223</v>
      </c>
      <c r="D72" s="46">
        <f t="shared" ref="D72:D88" si="4">SUM(E72:P72)</f>
        <v>23499.999999999996</v>
      </c>
      <c r="E72" s="84">
        <f>23500/12</f>
        <v>1958.3333333333333</v>
      </c>
      <c r="F72" s="84">
        <f t="shared" ref="F72:P72" si="5">23500/12</f>
        <v>1958.3333333333333</v>
      </c>
      <c r="G72" s="84">
        <f t="shared" si="5"/>
        <v>1958.3333333333333</v>
      </c>
      <c r="H72" s="84">
        <f t="shared" si="5"/>
        <v>1958.3333333333333</v>
      </c>
      <c r="I72" s="84">
        <f t="shared" si="5"/>
        <v>1958.3333333333333</v>
      </c>
      <c r="J72" s="84">
        <f t="shared" si="5"/>
        <v>1958.3333333333333</v>
      </c>
      <c r="K72" s="84">
        <f t="shared" si="5"/>
        <v>1958.3333333333333</v>
      </c>
      <c r="L72" s="84">
        <f t="shared" si="5"/>
        <v>1958.3333333333333</v>
      </c>
      <c r="M72" s="84">
        <f t="shared" si="5"/>
        <v>1958.3333333333333</v>
      </c>
      <c r="N72" s="84">
        <f t="shared" si="5"/>
        <v>1958.3333333333333</v>
      </c>
      <c r="O72" s="84">
        <f t="shared" si="5"/>
        <v>1958.3333333333333</v>
      </c>
      <c r="P72" s="84">
        <f t="shared" si="5"/>
        <v>1958.3333333333333</v>
      </c>
    </row>
    <row r="73" spans="3:16">
      <c r="C73" t="s">
        <v>7224</v>
      </c>
      <c r="D73" s="46">
        <f t="shared" si="4"/>
        <v>7500</v>
      </c>
      <c r="E73" s="84">
        <f>7500/12</f>
        <v>625</v>
      </c>
      <c r="F73" s="84">
        <f t="shared" ref="F73:P73" si="6">7500/12</f>
        <v>625</v>
      </c>
      <c r="G73" s="84">
        <f t="shared" si="6"/>
        <v>625</v>
      </c>
      <c r="H73" s="84">
        <f t="shared" si="6"/>
        <v>625</v>
      </c>
      <c r="I73" s="84">
        <f t="shared" si="6"/>
        <v>625</v>
      </c>
      <c r="J73" s="84">
        <f t="shared" si="6"/>
        <v>625</v>
      </c>
      <c r="K73" s="84">
        <f t="shared" si="6"/>
        <v>625</v>
      </c>
      <c r="L73" s="84">
        <f t="shared" si="6"/>
        <v>625</v>
      </c>
      <c r="M73" s="84">
        <f t="shared" si="6"/>
        <v>625</v>
      </c>
      <c r="N73" s="84">
        <f t="shared" si="6"/>
        <v>625</v>
      </c>
      <c r="O73" s="84">
        <f t="shared" si="6"/>
        <v>625</v>
      </c>
      <c r="P73" s="84">
        <f t="shared" si="6"/>
        <v>625</v>
      </c>
    </row>
    <row r="74" spans="3:16">
      <c r="C74" t="s">
        <v>7225</v>
      </c>
      <c r="D74" s="46">
        <f t="shared" si="4"/>
        <v>4800</v>
      </c>
      <c r="E74" s="84">
        <v>400</v>
      </c>
      <c r="F74" s="84">
        <v>400</v>
      </c>
      <c r="G74" s="84">
        <v>400</v>
      </c>
      <c r="H74" s="84">
        <v>400</v>
      </c>
      <c r="I74" s="84">
        <v>400</v>
      </c>
      <c r="J74" s="84">
        <v>400</v>
      </c>
      <c r="K74" s="84">
        <v>400</v>
      </c>
      <c r="L74" s="84">
        <v>400</v>
      </c>
      <c r="M74" s="84">
        <v>400</v>
      </c>
      <c r="N74" s="84">
        <v>400</v>
      </c>
      <c r="O74" s="84">
        <v>400</v>
      </c>
      <c r="P74" s="84">
        <v>400</v>
      </c>
    </row>
    <row r="75" spans="3:16">
      <c r="C75" t="s">
        <v>7236</v>
      </c>
      <c r="D75" s="46">
        <f t="shared" si="4"/>
        <v>0</v>
      </c>
      <c r="E75" s="84"/>
      <c r="F75" s="84"/>
      <c r="G75" s="84"/>
      <c r="H75" s="84"/>
      <c r="I75" s="84"/>
      <c r="J75" s="84"/>
      <c r="K75" s="84"/>
      <c r="L75" s="84"/>
      <c r="M75" s="84"/>
      <c r="N75" s="84"/>
      <c r="O75" s="84"/>
      <c r="P75" s="84"/>
    </row>
    <row r="76" spans="3:16">
      <c r="C76" t="s">
        <v>7226</v>
      </c>
      <c r="D76" s="46">
        <f t="shared" si="4"/>
        <v>23499.999999999996</v>
      </c>
      <c r="E76" s="84">
        <f t="shared" ref="E76:P76" si="7">23500/12</f>
        <v>1958.3333333333333</v>
      </c>
      <c r="F76" s="84">
        <f t="shared" si="7"/>
        <v>1958.3333333333333</v>
      </c>
      <c r="G76" s="84">
        <f t="shared" si="7"/>
        <v>1958.3333333333333</v>
      </c>
      <c r="H76" s="84">
        <f t="shared" si="7"/>
        <v>1958.3333333333333</v>
      </c>
      <c r="I76" s="84">
        <f t="shared" si="7"/>
        <v>1958.3333333333333</v>
      </c>
      <c r="J76" s="84">
        <f t="shared" si="7"/>
        <v>1958.3333333333333</v>
      </c>
      <c r="K76" s="84">
        <f t="shared" si="7"/>
        <v>1958.3333333333333</v>
      </c>
      <c r="L76" s="84">
        <f t="shared" si="7"/>
        <v>1958.3333333333333</v>
      </c>
      <c r="M76" s="84">
        <f t="shared" si="7"/>
        <v>1958.3333333333333</v>
      </c>
      <c r="N76" s="84">
        <f t="shared" si="7"/>
        <v>1958.3333333333333</v>
      </c>
      <c r="O76" s="84">
        <f t="shared" si="7"/>
        <v>1958.3333333333333</v>
      </c>
      <c r="P76" s="84">
        <f t="shared" si="7"/>
        <v>1958.3333333333333</v>
      </c>
    </row>
    <row r="77" spans="3:16">
      <c r="C77" t="s">
        <v>7227</v>
      </c>
      <c r="D77" s="46">
        <f t="shared" si="4"/>
        <v>7500</v>
      </c>
      <c r="E77" s="84">
        <f>7500/12</f>
        <v>625</v>
      </c>
      <c r="F77" s="84">
        <f t="shared" ref="F77:P77" si="8">7500/12</f>
        <v>625</v>
      </c>
      <c r="G77" s="84">
        <f t="shared" si="8"/>
        <v>625</v>
      </c>
      <c r="H77" s="84">
        <f t="shared" si="8"/>
        <v>625</v>
      </c>
      <c r="I77" s="84">
        <f t="shared" si="8"/>
        <v>625</v>
      </c>
      <c r="J77" s="84">
        <f t="shared" si="8"/>
        <v>625</v>
      </c>
      <c r="K77" s="84">
        <f t="shared" si="8"/>
        <v>625</v>
      </c>
      <c r="L77" s="84">
        <f t="shared" si="8"/>
        <v>625</v>
      </c>
      <c r="M77" s="84">
        <f t="shared" si="8"/>
        <v>625</v>
      </c>
      <c r="N77" s="84">
        <f t="shared" si="8"/>
        <v>625</v>
      </c>
      <c r="O77" s="84">
        <f t="shared" si="8"/>
        <v>625</v>
      </c>
      <c r="P77" s="84">
        <f t="shared" si="8"/>
        <v>625</v>
      </c>
    </row>
    <row r="78" spans="3:16">
      <c r="C78" t="s">
        <v>7228</v>
      </c>
      <c r="D78" s="46">
        <f t="shared" si="4"/>
        <v>7200</v>
      </c>
      <c r="E78" s="84">
        <v>600</v>
      </c>
      <c r="F78" s="84">
        <v>600</v>
      </c>
      <c r="G78" s="84">
        <v>600</v>
      </c>
      <c r="H78" s="84">
        <v>600</v>
      </c>
      <c r="I78" s="84">
        <v>600</v>
      </c>
      <c r="J78" s="84">
        <v>600</v>
      </c>
      <c r="K78" s="84">
        <v>600</v>
      </c>
      <c r="L78" s="84">
        <v>600</v>
      </c>
      <c r="M78" s="84">
        <v>600</v>
      </c>
      <c r="N78" s="84">
        <v>600</v>
      </c>
      <c r="O78" s="84">
        <v>600</v>
      </c>
      <c r="P78" s="84">
        <v>600</v>
      </c>
    </row>
    <row r="79" spans="3:16">
      <c r="C79" t="s">
        <v>7151</v>
      </c>
      <c r="D79" s="46">
        <f t="shared" si="4"/>
        <v>8300.0000000000018</v>
      </c>
      <c r="E79" s="84">
        <f>8300/12</f>
        <v>691.66666666666663</v>
      </c>
      <c r="F79" s="84">
        <f t="shared" ref="F79:P79" si="9">8300/12</f>
        <v>691.66666666666663</v>
      </c>
      <c r="G79" s="84">
        <f t="shared" si="9"/>
        <v>691.66666666666663</v>
      </c>
      <c r="H79" s="84">
        <f t="shared" si="9"/>
        <v>691.66666666666663</v>
      </c>
      <c r="I79" s="84">
        <f t="shared" si="9"/>
        <v>691.66666666666663</v>
      </c>
      <c r="J79" s="84">
        <f t="shared" si="9"/>
        <v>691.66666666666663</v>
      </c>
      <c r="K79" s="84">
        <f t="shared" si="9"/>
        <v>691.66666666666663</v>
      </c>
      <c r="L79" s="84">
        <f t="shared" si="9"/>
        <v>691.66666666666663</v>
      </c>
      <c r="M79" s="84">
        <f t="shared" si="9"/>
        <v>691.66666666666663</v>
      </c>
      <c r="N79" s="84">
        <f t="shared" si="9"/>
        <v>691.66666666666663</v>
      </c>
      <c r="O79" s="84">
        <f t="shared" si="9"/>
        <v>691.66666666666663</v>
      </c>
      <c r="P79" s="84">
        <f t="shared" si="9"/>
        <v>691.66666666666663</v>
      </c>
    </row>
    <row r="80" spans="3:16">
      <c r="C80" t="s">
        <v>7237</v>
      </c>
      <c r="D80" s="46">
        <f t="shared" si="4"/>
        <v>0</v>
      </c>
      <c r="E80" s="84"/>
      <c r="F80" s="84"/>
      <c r="G80" s="84"/>
      <c r="H80" s="84"/>
      <c r="I80" s="84"/>
      <c r="J80" s="84"/>
      <c r="K80" s="84"/>
      <c r="L80" s="84"/>
      <c r="M80" s="84"/>
      <c r="N80" s="84"/>
      <c r="O80" s="84"/>
      <c r="P80" s="84"/>
    </row>
    <row r="81" spans="3:16">
      <c r="C81" t="s">
        <v>7229</v>
      </c>
      <c r="D81" s="46">
        <f t="shared" si="4"/>
        <v>7800</v>
      </c>
      <c r="E81" s="84">
        <v>650</v>
      </c>
      <c r="F81" s="84">
        <v>650</v>
      </c>
      <c r="G81" s="84">
        <v>650</v>
      </c>
      <c r="H81" s="84">
        <v>650</v>
      </c>
      <c r="I81" s="84">
        <v>650</v>
      </c>
      <c r="J81" s="84">
        <v>650</v>
      </c>
      <c r="K81" s="84">
        <v>650</v>
      </c>
      <c r="L81" s="84">
        <v>650</v>
      </c>
      <c r="M81" s="84">
        <v>650</v>
      </c>
      <c r="N81" s="84">
        <v>650</v>
      </c>
      <c r="O81" s="84">
        <v>650</v>
      </c>
      <c r="P81" s="84">
        <v>650</v>
      </c>
    </row>
    <row r="82" spans="3:16">
      <c r="C82" t="s">
        <v>7230</v>
      </c>
      <c r="D82" s="46">
        <f t="shared" si="4"/>
        <v>7800</v>
      </c>
      <c r="E82" s="84">
        <v>650</v>
      </c>
      <c r="F82" s="84">
        <v>650</v>
      </c>
      <c r="G82" s="84">
        <v>650</v>
      </c>
      <c r="H82" s="84">
        <v>650</v>
      </c>
      <c r="I82" s="84">
        <v>650</v>
      </c>
      <c r="J82" s="84">
        <v>650</v>
      </c>
      <c r="K82" s="84">
        <v>650</v>
      </c>
      <c r="L82" s="84">
        <v>650</v>
      </c>
      <c r="M82" s="84">
        <v>650</v>
      </c>
      <c r="N82" s="84">
        <v>650</v>
      </c>
      <c r="O82" s="84">
        <v>650</v>
      </c>
      <c r="P82" s="84">
        <v>650</v>
      </c>
    </row>
    <row r="83" spans="3:16">
      <c r="C83" t="s">
        <v>7231</v>
      </c>
      <c r="D83" s="46">
        <f t="shared" si="4"/>
        <v>0</v>
      </c>
      <c r="E83" s="84"/>
      <c r="F83" s="84"/>
      <c r="G83" s="84"/>
      <c r="H83" s="84"/>
      <c r="I83" s="84"/>
      <c r="J83" s="84"/>
      <c r="K83" s="84"/>
      <c r="L83" s="84"/>
      <c r="M83" s="84"/>
      <c r="N83" s="84"/>
      <c r="O83" s="84"/>
      <c r="P83" s="84"/>
    </row>
    <row r="84" spans="3:16">
      <c r="C84" t="s">
        <v>7232</v>
      </c>
      <c r="D84" s="46">
        <f t="shared" si="4"/>
        <v>9972</v>
      </c>
      <c r="E84" s="84">
        <v>831</v>
      </c>
      <c r="F84" s="84">
        <v>831</v>
      </c>
      <c r="G84" s="84">
        <v>831</v>
      </c>
      <c r="H84" s="84">
        <v>831</v>
      </c>
      <c r="I84" s="84">
        <v>831</v>
      </c>
      <c r="J84" s="84">
        <v>831</v>
      </c>
      <c r="K84" s="84">
        <v>831</v>
      </c>
      <c r="L84" s="84">
        <v>831</v>
      </c>
      <c r="M84" s="84">
        <v>831</v>
      </c>
      <c r="N84" s="84">
        <v>831</v>
      </c>
      <c r="O84" s="84">
        <v>831</v>
      </c>
      <c r="P84" s="84">
        <v>831</v>
      </c>
    </row>
    <row r="85" spans="3:16">
      <c r="C85" t="s">
        <v>7233</v>
      </c>
      <c r="D85" s="46">
        <f t="shared" si="4"/>
        <v>0</v>
      </c>
      <c r="E85" s="84"/>
      <c r="F85" s="84"/>
      <c r="G85" s="84"/>
      <c r="H85" s="84"/>
      <c r="I85" s="84"/>
      <c r="J85" s="84"/>
      <c r="K85" s="84"/>
      <c r="L85" s="84"/>
      <c r="M85" s="84"/>
      <c r="N85" s="84"/>
      <c r="O85" s="84"/>
      <c r="P85" s="84"/>
    </row>
    <row r="86" spans="3:16">
      <c r="C86" t="s">
        <v>7234</v>
      </c>
      <c r="D86" s="46">
        <f t="shared" si="4"/>
        <v>0</v>
      </c>
      <c r="E86" s="84"/>
      <c r="F86" s="84"/>
      <c r="G86" s="84"/>
      <c r="H86" s="84"/>
      <c r="I86" s="84"/>
      <c r="J86" s="84"/>
      <c r="K86" s="84"/>
      <c r="L86" s="84"/>
      <c r="M86" s="84"/>
      <c r="N86" s="84"/>
      <c r="O86" s="84"/>
      <c r="P86" s="84"/>
    </row>
    <row r="87" spans="3:16">
      <c r="C87" t="s">
        <v>2258</v>
      </c>
      <c r="D87" s="46">
        <f t="shared" si="4"/>
        <v>9600</v>
      </c>
      <c r="E87" s="84">
        <v>800</v>
      </c>
      <c r="F87" s="84">
        <v>800</v>
      </c>
      <c r="G87" s="84">
        <v>800</v>
      </c>
      <c r="H87" s="84">
        <v>800</v>
      </c>
      <c r="I87" s="84">
        <v>800</v>
      </c>
      <c r="J87" s="84">
        <v>800</v>
      </c>
      <c r="K87" s="84">
        <v>800</v>
      </c>
      <c r="L87" s="84">
        <v>800</v>
      </c>
      <c r="M87" s="84">
        <v>800</v>
      </c>
      <c r="N87" s="84">
        <v>800</v>
      </c>
      <c r="O87" s="84">
        <v>800</v>
      </c>
      <c r="P87" s="84">
        <v>800</v>
      </c>
    </row>
    <row r="88" spans="3:16">
      <c r="C88" t="s">
        <v>7238</v>
      </c>
      <c r="D88" s="46">
        <f t="shared" si="4"/>
        <v>0</v>
      </c>
      <c r="E88" s="84"/>
      <c r="F88" s="84"/>
      <c r="G88" s="84"/>
      <c r="H88" s="84"/>
      <c r="I88" s="84"/>
      <c r="J88" s="84"/>
      <c r="K88" s="84"/>
      <c r="L88" s="84"/>
      <c r="M88" s="84"/>
      <c r="N88" s="84"/>
      <c r="O88" s="84"/>
      <c r="P88" s="84"/>
    </row>
    <row r="89" spans="3:16">
      <c r="C89" s="16" t="s">
        <v>7153</v>
      </c>
      <c r="D89" s="39">
        <f>SUM(D72:D88)</f>
        <v>117472</v>
      </c>
      <c r="E89" s="46">
        <f>SUM(E72:E88)</f>
        <v>9789.3333333333321</v>
      </c>
      <c r="F89" s="46">
        <f t="shared" ref="F89:P89" si="10">SUM(F72:F88)</f>
        <v>9789.3333333333321</v>
      </c>
      <c r="G89" s="46">
        <f t="shared" si="10"/>
        <v>9789.3333333333321</v>
      </c>
      <c r="H89" s="46">
        <f t="shared" si="10"/>
        <v>9789.3333333333321</v>
      </c>
      <c r="I89" s="46">
        <f t="shared" si="10"/>
        <v>9789.3333333333321</v>
      </c>
      <c r="J89" s="46">
        <f t="shared" si="10"/>
        <v>9789.3333333333321</v>
      </c>
      <c r="K89" s="46">
        <f t="shared" si="10"/>
        <v>9789.3333333333321</v>
      </c>
      <c r="L89" s="46">
        <f t="shared" si="10"/>
        <v>9789.3333333333321</v>
      </c>
      <c r="M89" s="46">
        <f t="shared" si="10"/>
        <v>9789.3333333333321</v>
      </c>
      <c r="N89" s="46">
        <f t="shared" si="10"/>
        <v>9789.3333333333321</v>
      </c>
      <c r="O89" s="46">
        <f t="shared" si="10"/>
        <v>9789.3333333333321</v>
      </c>
      <c r="P89" s="46">
        <f t="shared" si="10"/>
        <v>9789.3333333333321</v>
      </c>
    </row>
    <row r="90" spans="3:16">
      <c r="C90" s="16"/>
      <c r="D90" s="16"/>
    </row>
    <row r="91" spans="3:16">
      <c r="C91" s="16" t="s">
        <v>7239</v>
      </c>
      <c r="D91" s="16"/>
    </row>
    <row r="92" spans="3:16">
      <c r="C92" t="s">
        <v>7198</v>
      </c>
      <c r="D92" s="85">
        <v>0.28999999999999998</v>
      </c>
      <c r="G92" s="46"/>
      <c r="H92" s="46"/>
    </row>
    <row r="93" spans="3:16">
      <c r="C93" t="s">
        <v>7199</v>
      </c>
      <c r="D93" s="46">
        <f>D92*D42</f>
        <v>113533.8603</v>
      </c>
    </row>
    <row r="94" spans="3:16">
      <c r="C94" t="s">
        <v>7240</v>
      </c>
      <c r="D94" s="72">
        <f>D106</f>
        <v>0.16547286307228048</v>
      </c>
      <c r="H94" s="46"/>
    </row>
    <row r="95" spans="3:16">
      <c r="C95" t="s">
        <v>7241</v>
      </c>
      <c r="D95" s="72">
        <f>D113</f>
        <v>5.8037839254515888E-2</v>
      </c>
    </row>
    <row r="96" spans="3:16">
      <c r="C96" t="s">
        <v>7242</v>
      </c>
      <c r="D96" s="72">
        <f>D119</f>
        <v>5.6364632216370059E-2</v>
      </c>
    </row>
    <row r="97" spans="3:4">
      <c r="C97" t="s">
        <v>7243</v>
      </c>
      <c r="D97" s="72">
        <f>D120</f>
        <v>1.4068229546374322E-2</v>
      </c>
    </row>
    <row r="98" spans="3:4">
      <c r="C98" t="s">
        <v>7153</v>
      </c>
      <c r="D98" s="72">
        <f>SUM(D94:D97)</f>
        <v>0.29394356408954075</v>
      </c>
    </row>
    <row r="99" spans="3:4">
      <c r="D99" s="46"/>
    </row>
    <row r="101" spans="3:4">
      <c r="C101" s="16" t="s">
        <v>7244</v>
      </c>
    </row>
    <row r="102" spans="3:4">
      <c r="C102" t="s">
        <v>7245</v>
      </c>
      <c r="D102" s="84">
        <f>Tax!E153</f>
        <v>369879.38</v>
      </c>
    </row>
    <row r="103" spans="3:4">
      <c r="C103" t="s">
        <v>7246</v>
      </c>
      <c r="D103" s="84">
        <v>302463</v>
      </c>
    </row>
    <row r="104" spans="3:4">
      <c r="C104" t="s">
        <v>7247</v>
      </c>
      <c r="D104" s="84">
        <v>61205</v>
      </c>
    </row>
    <row r="105" spans="3:4">
      <c r="C105" t="s">
        <v>7248</v>
      </c>
      <c r="D105" s="72">
        <f>D104/D103</f>
        <v>0.20235532941219256</v>
      </c>
    </row>
    <row r="106" spans="3:4">
      <c r="C106" t="s">
        <v>7249</v>
      </c>
      <c r="D106" s="72">
        <f>D104/D102</f>
        <v>0.16547286307228048</v>
      </c>
    </row>
    <row r="108" spans="3:4">
      <c r="C108" s="16" t="s">
        <v>7250</v>
      </c>
    </row>
    <row r="109" spans="3:4">
      <c r="C109" t="s">
        <v>7245</v>
      </c>
      <c r="D109" s="84">
        <f>Tax!E153</f>
        <v>369879.38</v>
      </c>
    </row>
    <row r="110" spans="3:4">
      <c r="C110" t="s">
        <v>7246</v>
      </c>
      <c r="D110" s="84">
        <v>296741</v>
      </c>
    </row>
    <row r="111" spans="3:4">
      <c r="C111" t="s">
        <v>7247</v>
      </c>
      <c r="D111" s="84">
        <v>21467</v>
      </c>
    </row>
    <row r="112" spans="3:4">
      <c r="C112" t="s">
        <v>7248</v>
      </c>
      <c r="D112" s="66">
        <f>D111/D110</f>
        <v>7.2342547878452929E-2</v>
      </c>
    </row>
    <row r="113" spans="3:7">
      <c r="C113" t="s">
        <v>7249</v>
      </c>
      <c r="D113" s="72">
        <f>D111/D109</f>
        <v>5.8037839254515888E-2</v>
      </c>
    </row>
    <row r="115" spans="3:7">
      <c r="C115" s="16" t="s">
        <v>7251</v>
      </c>
      <c r="D115" s="16" t="s">
        <v>66</v>
      </c>
      <c r="F115" s="32" t="s">
        <v>64</v>
      </c>
    </row>
    <row r="116" spans="3:7">
      <c r="C116" t="s">
        <v>7252</v>
      </c>
      <c r="D116" s="84">
        <v>169499.63</v>
      </c>
      <c r="F116" s="84">
        <f>86747.28+28333.32</f>
        <v>115080.6</v>
      </c>
    </row>
    <row r="117" spans="3:7">
      <c r="C117" t="s">
        <v>7253</v>
      </c>
      <c r="D117" s="84">
        <v>9114</v>
      </c>
      <c r="E117" s="72">
        <f>D117/D116</f>
        <v>5.3770028878529115E-2</v>
      </c>
      <c r="F117" s="84">
        <f>5223.33+1702.93</f>
        <v>6926.26</v>
      </c>
      <c r="G117" s="72">
        <f>F117/F116</f>
        <v>6.0186165174668883E-2</v>
      </c>
    </row>
    <row r="118" spans="3:7">
      <c r="C118" t="s">
        <v>7254</v>
      </c>
      <c r="D118" s="84">
        <v>2383.6799999999998</v>
      </c>
      <c r="E118" s="72">
        <f>D118/D116</f>
        <v>1.406303954763795E-2</v>
      </c>
      <c r="F118" s="84">
        <f>1221.59+398.27</f>
        <v>1619.86</v>
      </c>
      <c r="G118" s="72">
        <f>F118/F116</f>
        <v>1.4075873778899309E-2</v>
      </c>
    </row>
    <row r="119" spans="3:7">
      <c r="C119" t="s">
        <v>7255</v>
      </c>
      <c r="D119" s="72">
        <f>SUM(D117,F117)/SUM(D116,F116)</f>
        <v>5.6364632216370059E-2</v>
      </c>
      <c r="E119" s="72"/>
    </row>
    <row r="120" spans="3:7">
      <c r="C120" t="s">
        <v>7256</v>
      </c>
      <c r="D120" s="72">
        <f>SUM(D118,F118)/SUM(D116,F116)</f>
        <v>1.4068229546374322E-2</v>
      </c>
    </row>
  </sheetData>
  <pageMargins left="0.25" right="0.25" top="0.75" bottom="0.75" header="0.3" footer="0.3"/>
  <pageSetup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A2C8-EBD5-40B7-AFEB-9A8A6EBA0A54}">
  <sheetPr>
    <tabColor rgb="FF264478"/>
    <pageSetUpPr fitToPage="1"/>
  </sheetPr>
  <dimension ref="B1:E42"/>
  <sheetViews>
    <sheetView tabSelected="1" topLeftCell="A7" workbookViewId="0">
      <selection activeCell="C39" sqref="C39"/>
    </sheetView>
  </sheetViews>
  <sheetFormatPr defaultRowHeight="15"/>
  <cols>
    <col min="2" max="2" width="22.7109375" customWidth="1"/>
    <col min="3" max="3" width="15" customWidth="1"/>
    <col min="4" max="4" width="16" customWidth="1"/>
    <col min="5" max="5" width="16.85546875" customWidth="1"/>
  </cols>
  <sheetData>
    <row r="1" spans="2:5">
      <c r="B1" t="s">
        <v>2243</v>
      </c>
      <c r="C1" s="71">
        <v>202512</v>
      </c>
    </row>
    <row r="2" spans="2:5">
      <c r="C2" s="6">
        <f>DATE(LEFT(C1,4),RIGHT(C1,2),1)</f>
        <v>45992</v>
      </c>
    </row>
    <row r="3" spans="2:5">
      <c r="B3" t="s">
        <v>7257</v>
      </c>
      <c r="C3" t="str">
        <f>LEFT(C1,4)</f>
        <v>2025</v>
      </c>
    </row>
    <row r="9" spans="2:5">
      <c r="B9" s="9" t="str">
        <f>TEXT(C2,"MMMM YYYY")</f>
        <v>December 2025</v>
      </c>
      <c r="C9" s="10" t="s">
        <v>7124</v>
      </c>
      <c r="D9" s="10" t="s">
        <v>7123</v>
      </c>
      <c r="E9" s="10" t="s">
        <v>7258</v>
      </c>
    </row>
    <row r="10" spans="2:5" ht="3" customHeight="1">
      <c r="B10" s="11"/>
      <c r="C10" s="12"/>
      <c r="D10" s="12"/>
      <c r="E10" s="12"/>
    </row>
    <row r="11" spans="2:5">
      <c r="B11" t="s">
        <v>5</v>
      </c>
      <c r="C11" s="13">
        <f>SUMIFS(Actuals!E:E,Actuals!A:A,'1 MO'!$C$1,Actuals!$F:$F,'1 MO'!B11)</f>
        <v>3378.51</v>
      </c>
      <c r="D11" s="13">
        <f>INDEX('2025 Budget'!$B$3:$N$36,MATCH('1 MO'!B11,'2025 Budget'!$B$3:$B$36,0),MATCH('1 MO'!$C$1,'2025 Budget'!$B$3:$N$3,0))</f>
        <v>2745</v>
      </c>
      <c r="E11" s="13">
        <f>C11-D11</f>
        <v>633.51000000000022</v>
      </c>
    </row>
    <row r="12" spans="2:5">
      <c r="B12" t="s">
        <v>2</v>
      </c>
      <c r="C12" s="13">
        <f>SUMIFS(Actuals!E:E,Actuals!A:A,'1 MO'!$C$1,Actuals!$F:$F,'1 MO'!B12)</f>
        <v>32.64</v>
      </c>
      <c r="D12" s="13">
        <f>INDEX('2025 Budget'!$B$3:$N$36,MATCH('1 MO'!B12,'2025 Budget'!$B$3:$B$36,0),MATCH('1 MO'!$C$1,'2025 Budget'!$B$3:$N$3,0))</f>
        <v>350</v>
      </c>
      <c r="E12" s="13">
        <f t="shared" ref="E12:E18" si="0">C12-D12</f>
        <v>-317.36</v>
      </c>
    </row>
    <row r="13" spans="2:5">
      <c r="B13" t="s">
        <v>7</v>
      </c>
      <c r="C13" s="13">
        <f>SUMIFS(Actuals!E:E,Actuals!A:A,'1 MO'!$C$1,Actuals!$F:$F,'1 MO'!B13)</f>
        <v>1190.8699999999999</v>
      </c>
      <c r="D13" s="13">
        <f>INDEX('2025 Budget'!$B$3:$N$36,MATCH('1 MO'!B13,'2025 Budget'!$B$3:$B$36,0),MATCH('1 MO'!$C$1,'2025 Budget'!$B$3:$N$3,0))</f>
        <v>700</v>
      </c>
      <c r="E13" s="13">
        <f t="shared" si="0"/>
        <v>490.86999999999989</v>
      </c>
    </row>
    <row r="14" spans="2:5">
      <c r="B14" t="s">
        <v>11</v>
      </c>
      <c r="C14" s="13">
        <f>SUMIFS(Actuals!E:E,Actuals!A:A,'1 MO'!$C$1,Actuals!$F:$F,'1 MO'!B14)</f>
        <v>0</v>
      </c>
      <c r="D14" s="13">
        <f>INDEX('2025 Budget'!$B$3:$N$36,MATCH('1 MO'!B14,'2025 Budget'!$B$3:$B$36,0),MATCH('1 MO'!$C$1,'2025 Budget'!$B$3:$N$3,0))</f>
        <v>0</v>
      </c>
      <c r="E14" s="13">
        <f t="shared" si="0"/>
        <v>0</v>
      </c>
    </row>
    <row r="15" spans="2:5">
      <c r="B15" t="s">
        <v>14</v>
      </c>
      <c r="C15" s="13">
        <f>SUMIFS(Actuals!E:E,Actuals!A:A,'1 MO'!$C$1,Actuals!$F:$F,'1 MO'!B15)</f>
        <v>0</v>
      </c>
      <c r="D15" s="13">
        <f>INDEX('2025 Budget'!$B$3:$N$36,MATCH('1 MO'!B15,'2025 Budget'!$B$3:$B$36,0),MATCH('1 MO'!$C$1,'2025 Budget'!$B$3:$N$3,0))</f>
        <v>250</v>
      </c>
      <c r="E15" s="13">
        <f t="shared" si="0"/>
        <v>-250</v>
      </c>
    </row>
    <row r="16" spans="2:5">
      <c r="B16" t="s">
        <v>18</v>
      </c>
      <c r="C16" s="13">
        <f>SUMIFS(Actuals!E:E,Actuals!A:A,'1 MO'!$C$1,Actuals!$F:$F,'1 MO'!B16)</f>
        <v>0</v>
      </c>
      <c r="D16" s="13">
        <f>INDEX('2025 Budget'!$B$3:$N$36,MATCH('1 MO'!B16,'2025 Budget'!$B$3:$B$36,0),MATCH('1 MO'!$C$1,'2025 Budget'!$B$3:$N$3,0))</f>
        <v>135</v>
      </c>
      <c r="E16" s="13">
        <f t="shared" si="0"/>
        <v>-135</v>
      </c>
    </row>
    <row r="17" spans="2:5">
      <c r="B17" s="14" t="s">
        <v>20</v>
      </c>
      <c r="C17" s="21">
        <f>SUMIFS(Actuals!E:E,Actuals!A:A,'1 MO'!$C$1,Actuals!$F:$F,'1 MO'!B17)</f>
        <v>495</v>
      </c>
      <c r="D17" s="21">
        <f>INDEX('2025 Budget'!$B$3:$N$36,MATCH('1 MO'!B17,'2025 Budget'!$B$3:$B$36,0),MATCH('1 MO'!$C$1,'2025 Budget'!$B$3:$N$3,0))</f>
        <v>2275</v>
      </c>
      <c r="E17" s="15">
        <f t="shared" si="0"/>
        <v>-1780</v>
      </c>
    </row>
    <row r="18" spans="2:5">
      <c r="B18" s="16" t="s">
        <v>7259</v>
      </c>
      <c r="C18" s="17">
        <f>SUM(C11:C17)</f>
        <v>5097.0200000000004</v>
      </c>
      <c r="D18" s="17">
        <f>SUM(D11:D17)</f>
        <v>6455</v>
      </c>
      <c r="E18" s="17">
        <f t="shared" si="0"/>
        <v>-1357.9799999999996</v>
      </c>
    </row>
    <row r="19" spans="2:5">
      <c r="C19" s="13"/>
      <c r="D19" s="13"/>
      <c r="E19" s="13"/>
    </row>
    <row r="20" spans="2:5">
      <c r="B20" t="s">
        <v>23</v>
      </c>
      <c r="C20" s="13">
        <f>SUMIFS(Actuals!E:E,Actuals!A:A,'1 MO'!$C$1,Actuals!$F:$F,'1 MO'!B20)</f>
        <v>225.45000000000002</v>
      </c>
      <c r="D20" s="13">
        <f>INDEX('2025 Budget'!$B$3:$N$36,MATCH('1 MO'!B20,'2025 Budget'!$B$3:$B$36,0),MATCH('1 MO'!$C$1,'2025 Budget'!$B$3:$N$3,0))</f>
        <v>400</v>
      </c>
      <c r="E20" s="13">
        <f t="shared" ref="E20:E23" si="1">C20-D20</f>
        <v>-174.54999999999998</v>
      </c>
    </row>
    <row r="21" spans="2:5">
      <c r="B21" t="s">
        <v>26</v>
      </c>
      <c r="C21" s="13">
        <f>SUMIFS(Actuals!E:E,Actuals!A:A,'1 MO'!$C$1,Actuals!$F:$F,'1 MO'!B21)</f>
        <v>1564.6100000000004</v>
      </c>
      <c r="D21" s="13">
        <f>INDEX('2025 Budget'!$B$3:$N$36,MATCH('1 MO'!B21,'2025 Budget'!$B$3:$B$36,0),MATCH('1 MO'!$C$1,'2025 Budget'!$B$3:$N$3,0))</f>
        <v>1300</v>
      </c>
      <c r="E21" s="13">
        <f t="shared" si="1"/>
        <v>264.61000000000035</v>
      </c>
    </row>
    <row r="22" spans="2:5">
      <c r="B22" t="s">
        <v>28</v>
      </c>
      <c r="C22" s="13">
        <f>SUMIFS(Actuals!E:E,Actuals!A:A,'1 MO'!$C$1,Actuals!$F:$F,'1 MO'!B22)</f>
        <v>1139.06</v>
      </c>
      <c r="D22" s="13">
        <f>INDEX('2025 Budget'!$B$3:$N$36,MATCH('1 MO'!B22,'2025 Budget'!$B$3:$B$36,0),MATCH('1 MO'!$C$1,'2025 Budget'!$B$3:$N$3,0))</f>
        <v>1000</v>
      </c>
      <c r="E22" s="13">
        <f t="shared" si="1"/>
        <v>139.05999999999995</v>
      </c>
    </row>
    <row r="23" spans="2:5">
      <c r="B23" s="14" t="s">
        <v>31</v>
      </c>
      <c r="C23" s="21">
        <f>SUMIFS(Actuals!E:E,Actuals!A:A,'1 MO'!$C$1,Actuals!$F:$F,'1 MO'!B23)</f>
        <v>818.16</v>
      </c>
      <c r="D23" s="21">
        <f>INDEX('2025 Budget'!$B$3:$N$36,MATCH('1 MO'!B23,'2025 Budget'!$B$3:$B$36,0),MATCH('1 MO'!$C$1,'2025 Budget'!$B$3:$N$3,0))</f>
        <v>675</v>
      </c>
      <c r="E23" s="15">
        <f t="shared" si="1"/>
        <v>143.15999999999997</v>
      </c>
    </row>
    <row r="24" spans="2:5">
      <c r="B24" s="16" t="s">
        <v>7260</v>
      </c>
      <c r="C24" s="17">
        <f>SUM(C20:C23)</f>
        <v>3747.28</v>
      </c>
      <c r="D24" s="17">
        <f>SUM(D20:D23)</f>
        <v>3375</v>
      </c>
      <c r="E24" s="17">
        <f t="shared" ref="E24" si="2">SUM(E20:E23)</f>
        <v>372.28000000000031</v>
      </c>
    </row>
    <row r="25" spans="2:5">
      <c r="C25" s="13"/>
      <c r="D25" s="13"/>
      <c r="E25" s="13"/>
    </row>
    <row r="26" spans="2:5">
      <c r="B26" t="s">
        <v>34</v>
      </c>
      <c r="C26" s="13">
        <f>SUMIFS(Actuals!E:E,Actuals!A:A,'1 MO'!$C$1,Actuals!$F:$F,'1 MO'!B26)</f>
        <v>0</v>
      </c>
      <c r="D26" s="13">
        <f>INDEX('2025 Budget'!$B$3:$N$36,MATCH('1 MO'!B26,'2025 Budget'!$B$3:$B$36,0),MATCH('1 MO'!$C$1,'2025 Budget'!$B$3:$N$3,0))</f>
        <v>0</v>
      </c>
      <c r="E26" s="13">
        <f t="shared" ref="E26:E33" si="3">C26-D26</f>
        <v>0</v>
      </c>
    </row>
    <row r="27" spans="2:5">
      <c r="B27" t="s">
        <v>21</v>
      </c>
      <c r="C27" s="13">
        <f>SUMIFS(Actuals!E:E,Actuals!A:A,'1 MO'!$C$1,Actuals!$F:$F,'1 MO'!B27)</f>
        <v>1902.8300000000006</v>
      </c>
      <c r="D27" s="13">
        <f>INDEX('2025 Budget'!$B$3:$N$36,MATCH('1 MO'!B27,'2025 Budget'!$B$3:$B$36,0),MATCH('1 MO'!$C$1,'2025 Budget'!$B$3:$N$3,0))</f>
        <v>2000</v>
      </c>
      <c r="E27" s="13">
        <f t="shared" si="3"/>
        <v>-97.169999999999391</v>
      </c>
    </row>
    <row r="28" spans="2:5">
      <c r="B28" t="s">
        <v>38</v>
      </c>
      <c r="C28" s="13">
        <f>SUMIFS(Actuals!E:E,Actuals!A:A,'1 MO'!$C$1,Actuals!$F:$F,'1 MO'!B28)</f>
        <v>1212.4599999999998</v>
      </c>
      <c r="D28" s="13">
        <f>INDEX('2025 Budget'!$B$3:$N$36,MATCH('1 MO'!B28,'2025 Budget'!$B$3:$B$36,0),MATCH('1 MO'!$C$1,'2025 Budget'!$B$3:$N$3,0))</f>
        <v>580</v>
      </c>
      <c r="E28" s="13">
        <f t="shared" si="3"/>
        <v>632.45999999999981</v>
      </c>
    </row>
    <row r="29" spans="2:5">
      <c r="B29" t="s">
        <v>40</v>
      </c>
      <c r="C29" s="13">
        <f>SUMIFS(Actuals!E:E,Actuals!A:A,'1 MO'!$C$1,Actuals!$F:$F,'1 MO'!B29)</f>
        <v>278.84000000000003</v>
      </c>
      <c r="D29" s="13">
        <f>INDEX('2025 Budget'!$B$3:$N$36,MATCH('1 MO'!B29,'2025 Budget'!$B$3:$B$36,0),MATCH('1 MO'!$C$1,'2025 Budget'!$B$3:$N$3,0))</f>
        <v>550</v>
      </c>
      <c r="E29" s="13">
        <f t="shared" si="3"/>
        <v>-271.15999999999997</v>
      </c>
    </row>
    <row r="30" spans="2:5">
      <c r="B30" t="s">
        <v>41</v>
      </c>
      <c r="C30" s="13">
        <f>SUMIFS(Actuals!E:E,Actuals!A:A,'1 MO'!$C$1,Actuals!$F:$F,'1 MO'!B30)</f>
        <v>0</v>
      </c>
      <c r="D30" s="13">
        <f>INDEX('2025 Budget'!$B$3:$N$36,MATCH('1 MO'!B30,'2025 Budget'!$B$3:$B$36,0),MATCH('1 MO'!$C$1,'2025 Budget'!$B$3:$N$3,0))</f>
        <v>45</v>
      </c>
      <c r="E30" s="13">
        <f t="shared" si="3"/>
        <v>-45</v>
      </c>
    </row>
    <row r="31" spans="2:5">
      <c r="B31" t="s">
        <v>45</v>
      </c>
      <c r="C31" s="13">
        <f>SUMIFS(Actuals!E:E,Actuals!A:A,'1 MO'!$C$1,Actuals!$F:$F,'1 MO'!B31)</f>
        <v>282.75</v>
      </c>
      <c r="D31" s="13">
        <f>INDEX('2025 Budget'!$B$3:$N$36,MATCH('1 MO'!B31,'2025 Budget'!$B$3:$B$36,0),MATCH('1 MO'!$C$1,'2025 Budget'!$B$3:$N$3,0))</f>
        <v>100</v>
      </c>
      <c r="E31" s="13">
        <f t="shared" si="3"/>
        <v>182.75</v>
      </c>
    </row>
    <row r="32" spans="2:5">
      <c r="B32" s="14" t="s">
        <v>29</v>
      </c>
      <c r="C32" s="15">
        <f>SUMIFS(Actuals!E:E,Actuals!A:A,'1 MO'!$C$1,Actuals!$F:$F,'1 MO'!B32)</f>
        <v>8.15</v>
      </c>
      <c r="D32" s="15">
        <f>INDEX('2025 Budget'!$B$3:$N$36,MATCH('1 MO'!B32,'2025 Budget'!$B$3:$B$36,0),MATCH('1 MO'!$C$1,'2025 Budget'!$B$3:$N$3,0))</f>
        <v>45</v>
      </c>
      <c r="E32" s="15">
        <f t="shared" si="3"/>
        <v>-36.85</v>
      </c>
    </row>
    <row r="33" spans="2:5">
      <c r="B33" s="16" t="s">
        <v>7261</v>
      </c>
      <c r="C33" s="18">
        <f>SUM(C26:C32)</f>
        <v>3685.0300000000007</v>
      </c>
      <c r="D33" s="18">
        <f>SUM(D26:D32)</f>
        <v>3320</v>
      </c>
      <c r="E33" s="18">
        <f t="shared" si="3"/>
        <v>365.03000000000065</v>
      </c>
    </row>
    <row r="34" spans="2:5">
      <c r="B34" s="19"/>
      <c r="C34" s="20"/>
      <c r="D34" s="20"/>
      <c r="E34" s="20"/>
    </row>
    <row r="35" spans="2:5">
      <c r="B35" s="16" t="s">
        <v>7153</v>
      </c>
      <c r="C35" s="17">
        <f>SUM(C33,C24,C18)</f>
        <v>12529.330000000002</v>
      </c>
      <c r="D35" s="17">
        <f>SUM(D33,D24,D18)</f>
        <v>13150</v>
      </c>
      <c r="E35" s="17">
        <f>C35-D35</f>
        <v>-620.66999999999825</v>
      </c>
    </row>
    <row r="37" spans="2:5">
      <c r="B37" t="s">
        <v>48</v>
      </c>
      <c r="C37" s="13">
        <f>SUMIFS(Actuals!E:E,Actuals!A:A,'1 MO'!$C$1,Actuals!$F:$F,'1 MO'!B37)</f>
        <v>1285.7</v>
      </c>
    </row>
    <row r="38" spans="2:5">
      <c r="B38" t="s">
        <v>50</v>
      </c>
      <c r="C38" s="13">
        <f>SUMIFS(Actuals!E:E,Actuals!A:A,'1 MO'!$C$1,Actuals!$F:$F,'1 MO'!B38)</f>
        <v>0</v>
      </c>
    </row>
    <row r="39" spans="2:5">
      <c r="B39" s="14" t="s">
        <v>43</v>
      </c>
      <c r="C39" s="15">
        <f>SUMIFS(Actuals!E:E,Actuals!A:A,'1 MO'!$C$1,Actuals!$F:$F,'1 MO'!B39)</f>
        <v>1788.3400000000001</v>
      </c>
    </row>
    <row r="40" spans="2:5">
      <c r="B40" s="16" t="s">
        <v>7153</v>
      </c>
      <c r="C40" s="17">
        <f>SUM(C37:C39)</f>
        <v>3074.04</v>
      </c>
    </row>
    <row r="41" spans="2:5">
      <c r="B41" s="19"/>
      <c r="C41" s="20"/>
    </row>
    <row r="42" spans="2:5">
      <c r="B42" s="16" t="s">
        <v>7262</v>
      </c>
      <c r="C42" s="17">
        <f>SUM(C40,C35)</f>
        <v>15603.370000000003</v>
      </c>
      <c r="D42" s="13"/>
    </row>
  </sheetData>
  <pageMargins left="0.25" right="0.25" top="0.75" bottom="0.75" header="0.3" footer="0.3"/>
  <pageSetup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4407-C119-4B3B-AD8E-F641998D1A89}">
  <sheetPr>
    <tabColor rgb="FF264478"/>
    <pageSetUpPr fitToPage="1"/>
  </sheetPr>
  <dimension ref="B1:H38"/>
  <sheetViews>
    <sheetView showGridLines="0" workbookViewId="0">
      <selection activeCell="K21" sqref="K21"/>
    </sheetView>
  </sheetViews>
  <sheetFormatPr defaultRowHeight="15"/>
  <cols>
    <col min="2" max="2" width="22.7109375" customWidth="1"/>
    <col min="3" max="3" width="15" customWidth="1"/>
    <col min="4" max="4" width="16" customWidth="1"/>
    <col min="5" max="5" width="16.85546875" customWidth="1"/>
    <col min="6" max="6" width="9.85546875" bestFit="1" customWidth="1"/>
    <col min="7" max="7" width="13.42578125" customWidth="1"/>
    <col min="8" max="8" width="14.42578125" customWidth="1"/>
  </cols>
  <sheetData>
    <row r="1" spans="2:8">
      <c r="B1" t="s">
        <v>2243</v>
      </c>
      <c r="C1">
        <f>'1 MO'!C1</f>
        <v>202512</v>
      </c>
      <c r="G1" t="str">
        <f>LEFT(C1,4)-1&amp;RIGHT(C1,2)</f>
        <v>202412</v>
      </c>
    </row>
    <row r="2" spans="2:8">
      <c r="C2" s="6">
        <f>DATE(LEFT(C1,4),RIGHT(C1,2),1)</f>
        <v>45992</v>
      </c>
    </row>
    <row r="3" spans="2:8">
      <c r="B3" t="s">
        <v>7208</v>
      </c>
      <c r="C3" t="str">
        <f>LEFT(C1,4)&amp;"01"</f>
        <v>202501</v>
      </c>
      <c r="G3" t="str">
        <f>LEFT(C3,4)-1&amp;RIGHT(C3,2)</f>
        <v>202401</v>
      </c>
    </row>
    <row r="5" spans="2:8">
      <c r="B5" s="9" t="str">
        <f>"YTD "&amp;TEXT(C2,"MMMM YYYY")</f>
        <v>YTD December 2025</v>
      </c>
      <c r="C5" s="10" t="s">
        <v>7124</v>
      </c>
      <c r="D5" s="10" t="s">
        <v>7123</v>
      </c>
      <c r="E5" s="10" t="s">
        <v>7258</v>
      </c>
      <c r="G5" s="10" t="s">
        <v>7263</v>
      </c>
      <c r="H5" s="10" t="s">
        <v>7258</v>
      </c>
    </row>
    <row r="6" spans="2:8" ht="3" customHeight="1">
      <c r="B6" s="11"/>
      <c r="C6" s="12"/>
      <c r="D6" s="12"/>
      <c r="E6" s="12"/>
      <c r="G6" s="12"/>
      <c r="H6" s="12"/>
    </row>
    <row r="7" spans="2:8">
      <c r="B7" t="s">
        <v>5</v>
      </c>
      <c r="C7" s="13">
        <f>SUMIFS(Actuals!E:E,Actuals!A:A,"&lt;="&amp;YTD!$C$1,Actuals!A:A,"&gt;="&amp;YTD!$C$3,Actuals!$F:$F,YTD!B7)</f>
        <v>34502.090000000004</v>
      </c>
      <c r="D7" s="13">
        <f>SUMIFS('2025 Budget'!S:S,'2025 Budget'!Q:Q,YTD!B7,'2025 Budget'!R:R,"&lt;="&amp;YTD!$C$1,'2025 Budget'!R:R,"&gt;="&amp;YTD!$C$3)</f>
        <v>32940</v>
      </c>
      <c r="E7" s="13">
        <f>C7-D7</f>
        <v>1562.0900000000038</v>
      </c>
      <c r="G7" s="13">
        <f>SUMIFS(Actuals!E:E,Actuals!A:A,"&lt;="&amp;YTD!$G$1,Actuals!A:A,"&gt;="&amp;YTD!$G$3,Actuals!$F:$F,YTD!B7)</f>
        <v>32915.64</v>
      </c>
      <c r="H7" s="13">
        <f>C7-G7</f>
        <v>1586.4500000000044</v>
      </c>
    </row>
    <row r="8" spans="2:8">
      <c r="B8" t="s">
        <v>2</v>
      </c>
      <c r="C8" s="13">
        <f>SUMIFS(Actuals!E:E,Actuals!A:A,"&lt;="&amp;YTD!$C$1,Actuals!A:A,"&gt;="&amp;YTD!$C$3,Actuals!$F:$F,YTD!B8)</f>
        <v>4152.4900000000007</v>
      </c>
      <c r="D8" s="13">
        <f>SUMIFS('2025 Budget'!S:S,'2025 Budget'!Q:Q,YTD!B8,'2025 Budget'!R:R,"&lt;="&amp;YTD!$C$1,'2025 Budget'!R:R,"&gt;="&amp;YTD!$C$3)</f>
        <v>4200</v>
      </c>
      <c r="E8" s="13">
        <f t="shared" ref="E8:E14" si="0">C8-D8</f>
        <v>-47.509999999999309</v>
      </c>
      <c r="G8" s="13">
        <f>SUMIFS(Actuals!E:E,Actuals!A:A,"&lt;="&amp;YTD!$G$1,Actuals!A:A,"&gt;="&amp;YTD!$G$3,Actuals!$F:$F,YTD!B8)</f>
        <v>4195.6899999999996</v>
      </c>
      <c r="H8" s="13">
        <f t="shared" ref="H8:H38" si="1">C8-G8</f>
        <v>-43.199999999998909</v>
      </c>
    </row>
    <row r="9" spans="2:8">
      <c r="B9" t="s">
        <v>7</v>
      </c>
      <c r="C9" s="13">
        <f>SUMIFS(Actuals!E:E,Actuals!A:A,"&lt;="&amp;YTD!$C$1,Actuals!A:A,"&gt;="&amp;YTD!$C$3,Actuals!$F:$F,YTD!B9)</f>
        <v>20671.470000000008</v>
      </c>
      <c r="D9" s="13">
        <f>SUMIFS('2025 Budget'!S:S,'2025 Budget'!Q:Q,YTD!B9,'2025 Budget'!R:R,"&lt;="&amp;YTD!$C$1,'2025 Budget'!R:R,"&gt;="&amp;YTD!$C$3)</f>
        <v>8400</v>
      </c>
      <c r="E9" s="13">
        <f t="shared" si="0"/>
        <v>12271.470000000008</v>
      </c>
      <c r="G9" s="13">
        <f>SUMIFS(Actuals!E:E,Actuals!A:A,"&lt;="&amp;YTD!$G$1,Actuals!A:A,"&gt;="&amp;YTD!$G$3,Actuals!$F:$F,YTD!B9)</f>
        <v>8490</v>
      </c>
      <c r="H9" s="13">
        <f t="shared" si="1"/>
        <v>12181.470000000008</v>
      </c>
    </row>
    <row r="10" spans="2:8">
      <c r="B10" t="s">
        <v>11</v>
      </c>
      <c r="C10" s="13">
        <f>SUMIFS(Actuals!E:E,Actuals!A:A,"&lt;="&amp;YTD!$C$1,Actuals!A:A,"&gt;="&amp;YTD!$C$3,Actuals!$F:$F,YTD!B10)</f>
        <v>0</v>
      </c>
      <c r="D10" s="13">
        <f>SUMIFS('2025 Budget'!S:S,'2025 Budget'!Q:Q,YTD!B10,'2025 Budget'!R:R,"&lt;="&amp;YTD!$C$1,'2025 Budget'!R:R,"&gt;="&amp;YTD!$C$3)</f>
        <v>0</v>
      </c>
      <c r="E10" s="13">
        <f t="shared" si="0"/>
        <v>0</v>
      </c>
      <c r="G10" s="13">
        <f>SUMIFS(Actuals!E:E,Actuals!A:A,"&lt;="&amp;YTD!$G$1,Actuals!A:A,"&gt;="&amp;YTD!$G$3,Actuals!$F:$F,YTD!B10)</f>
        <v>0</v>
      </c>
      <c r="H10" s="13">
        <f t="shared" si="1"/>
        <v>0</v>
      </c>
    </row>
    <row r="11" spans="2:8">
      <c r="B11" t="s">
        <v>14</v>
      </c>
      <c r="C11" s="13">
        <f>SUMIFS(Actuals!E:E,Actuals!A:A,"&lt;="&amp;YTD!$C$1,Actuals!A:A,"&gt;="&amp;YTD!$C$3,Actuals!$F:$F,YTD!B11)</f>
        <v>241.71</v>
      </c>
      <c r="D11" s="13">
        <f>SUMIFS('2025 Budget'!S:S,'2025 Budget'!Q:Q,YTD!B11,'2025 Budget'!R:R,"&lt;="&amp;YTD!$C$1,'2025 Budget'!R:R,"&gt;="&amp;YTD!$C$3)</f>
        <v>3000</v>
      </c>
      <c r="E11" s="13">
        <f t="shared" si="0"/>
        <v>-2758.29</v>
      </c>
      <c r="G11" s="13">
        <f>SUMIFS(Actuals!E:E,Actuals!A:A,"&lt;="&amp;YTD!$G$1,Actuals!A:A,"&gt;="&amp;YTD!$G$3,Actuals!$F:$F,YTD!B11)</f>
        <v>3000</v>
      </c>
      <c r="H11" s="13">
        <f t="shared" si="1"/>
        <v>-2758.29</v>
      </c>
    </row>
    <row r="12" spans="2:8">
      <c r="B12" t="s">
        <v>18</v>
      </c>
      <c r="C12" s="13">
        <f>SUMIFS(Actuals!E:E,Actuals!A:A,"&lt;="&amp;YTD!$C$1,Actuals!A:A,"&gt;="&amp;YTD!$C$3,Actuals!$F:$F,YTD!B12)</f>
        <v>1089.47</v>
      </c>
      <c r="D12" s="13">
        <f>SUMIFS('2025 Budget'!S:S,'2025 Budget'!Q:Q,YTD!B12,'2025 Budget'!R:R,"&lt;="&amp;YTD!$C$1,'2025 Budget'!R:R,"&gt;="&amp;YTD!$C$3)</f>
        <v>1620</v>
      </c>
      <c r="E12" s="13">
        <f t="shared" si="0"/>
        <v>-530.53</v>
      </c>
      <c r="G12" s="13">
        <f>SUMIFS(Actuals!E:E,Actuals!A:A,"&lt;="&amp;YTD!$G$1,Actuals!A:A,"&gt;="&amp;YTD!$G$3,Actuals!$F:$F,YTD!B12)</f>
        <v>1631.6500000000003</v>
      </c>
      <c r="H12" s="13">
        <f t="shared" si="1"/>
        <v>-542.18000000000029</v>
      </c>
    </row>
    <row r="13" spans="2:8">
      <c r="B13" s="14" t="s">
        <v>20</v>
      </c>
      <c r="C13" s="21">
        <f>SUMIFS(Actuals!E:E,Actuals!A:A,"&lt;="&amp;YTD!$C$1,Actuals!A:A,"&gt;="&amp;YTD!$C$3,Actuals!$F:$F,YTD!B13)</f>
        <v>23875.179999999997</v>
      </c>
      <c r="D13" s="21">
        <f>SUMIFS('2025 Budget'!S:S,'2025 Budget'!Q:Q,YTD!B13,'2025 Budget'!R:R,"&lt;="&amp;YTD!$C$1,'2025 Budget'!R:R,"&gt;="&amp;YTD!$C$3)</f>
        <v>27300</v>
      </c>
      <c r="E13" s="15">
        <f t="shared" si="0"/>
        <v>-3424.8200000000033</v>
      </c>
      <c r="G13" s="21">
        <f>SUMIFS(Actuals!E:E,Actuals!A:A,"&lt;="&amp;YTD!$G$1,Actuals!A:A,"&gt;="&amp;YTD!$G$3,Actuals!$F:$F,YTD!B13)</f>
        <v>27362.99</v>
      </c>
      <c r="H13" s="21">
        <f t="shared" si="1"/>
        <v>-3487.8100000000049</v>
      </c>
    </row>
    <row r="14" spans="2:8">
      <c r="B14" s="16" t="s">
        <v>7259</v>
      </c>
      <c r="C14" s="17">
        <f>SUM(C7:C13)</f>
        <v>84532.41</v>
      </c>
      <c r="D14" s="17">
        <f>SUM(D7:D13)</f>
        <v>77460</v>
      </c>
      <c r="E14" s="17">
        <f t="shared" si="0"/>
        <v>7072.4100000000035</v>
      </c>
      <c r="G14" s="17">
        <f>SUM(G7:G13)</f>
        <v>77595.97</v>
      </c>
      <c r="H14" s="17">
        <f t="shared" si="1"/>
        <v>6936.4400000000023</v>
      </c>
    </row>
    <row r="15" spans="2:8">
      <c r="C15" s="13"/>
      <c r="D15" s="13"/>
      <c r="E15" s="13"/>
      <c r="G15" s="13"/>
      <c r="H15" s="13"/>
    </row>
    <row r="16" spans="2:8">
      <c r="B16" t="s">
        <v>23</v>
      </c>
      <c r="C16" s="13">
        <f>SUMIFS(Actuals!E:E,Actuals!A:A,"&lt;="&amp;YTD!$C$1,Actuals!A:A,"&gt;="&amp;YTD!$C$3,Actuals!$F:$F,YTD!B16)</f>
        <v>4745.2499999999973</v>
      </c>
      <c r="D16" s="13">
        <f>SUMIFS('2025 Budget'!S:S,'2025 Budget'!Q:Q,YTD!B16,'2025 Budget'!R:R,"&lt;="&amp;YTD!$C$1,'2025 Budget'!R:R,"&gt;="&amp;YTD!$C$3)</f>
        <v>4800</v>
      </c>
      <c r="E16" s="13">
        <f t="shared" ref="E16:E19" si="2">C16-D16</f>
        <v>-54.750000000002728</v>
      </c>
      <c r="G16" s="13">
        <f>SUMIFS(Actuals!E:E,Actuals!A:A,"&lt;="&amp;YTD!$G$1,Actuals!A:A,"&gt;="&amp;YTD!$G$3,Actuals!$F:$F,YTD!B16)</f>
        <v>4295.8399999999992</v>
      </c>
      <c r="H16" s="13">
        <f t="shared" si="1"/>
        <v>449.40999999999804</v>
      </c>
    </row>
    <row r="17" spans="2:8">
      <c r="B17" t="s">
        <v>26</v>
      </c>
      <c r="C17" s="13">
        <f>SUMIFS(Actuals!E:E,Actuals!A:A,"&lt;="&amp;YTD!$C$1,Actuals!A:A,"&gt;="&amp;YTD!$C$3,Actuals!$F:$F,YTD!B17)</f>
        <v>23100.659999999993</v>
      </c>
      <c r="D17" s="13">
        <f>SUMIFS('2025 Budget'!S:S,'2025 Budget'!Q:Q,YTD!B17,'2025 Budget'!R:R,"&lt;="&amp;YTD!$C$1,'2025 Budget'!R:R,"&gt;="&amp;YTD!$C$3)</f>
        <v>15600</v>
      </c>
      <c r="E17" s="13">
        <f t="shared" si="2"/>
        <v>7500.6599999999926</v>
      </c>
      <c r="G17" s="13">
        <f>SUMIFS(Actuals!E:E,Actuals!A:A,"&lt;="&amp;YTD!$G$1,Actuals!A:A,"&gt;="&amp;YTD!$G$3,Actuals!$F:$F,YTD!B17)</f>
        <v>16610.649999999994</v>
      </c>
      <c r="H17" s="13">
        <f t="shared" si="1"/>
        <v>6490.0099999999984</v>
      </c>
    </row>
    <row r="18" spans="2:8">
      <c r="B18" t="s">
        <v>28</v>
      </c>
      <c r="C18" s="13">
        <f>SUMIFS(Actuals!E:E,Actuals!A:A,"&lt;="&amp;YTD!$C$1,Actuals!A:A,"&gt;="&amp;YTD!$C$3,Actuals!$F:$F,YTD!B18)</f>
        <v>11355.959999999995</v>
      </c>
      <c r="D18" s="13">
        <f>SUMIFS('2025 Budget'!S:S,'2025 Budget'!Q:Q,YTD!B18,'2025 Budget'!R:R,"&lt;="&amp;YTD!$C$1,'2025 Budget'!R:R,"&gt;="&amp;YTD!$C$3)</f>
        <v>12000</v>
      </c>
      <c r="E18" s="13">
        <f t="shared" si="2"/>
        <v>-644.04000000000451</v>
      </c>
      <c r="G18" s="13">
        <f>SUMIFS(Actuals!E:E,Actuals!A:A,"&lt;="&amp;YTD!$G$1,Actuals!A:A,"&gt;="&amp;YTD!$G$3,Actuals!$F:$F,YTD!B18)</f>
        <v>11506.020000000004</v>
      </c>
      <c r="H18" s="13">
        <f t="shared" si="1"/>
        <v>-150.06000000000859</v>
      </c>
    </row>
    <row r="19" spans="2:8">
      <c r="B19" s="14" t="s">
        <v>31</v>
      </c>
      <c r="C19" s="21">
        <f>SUMIFS(Actuals!E:E,Actuals!A:A,"&lt;="&amp;YTD!$C$1,Actuals!A:A,"&gt;="&amp;YTD!$C$3,Actuals!$F:$F,YTD!B19)</f>
        <v>8438.8700000000008</v>
      </c>
      <c r="D19" s="15">
        <f>SUMIFS('2025 Budget'!S:S,'2025 Budget'!Q:Q,YTD!B19,'2025 Budget'!R:R,"&lt;="&amp;YTD!$C$1,'2025 Budget'!R:R,"&gt;="&amp;YTD!$C$3)</f>
        <v>8100</v>
      </c>
      <c r="E19" s="15">
        <f t="shared" si="2"/>
        <v>338.8700000000008</v>
      </c>
      <c r="G19" s="21">
        <f>SUMIFS(Actuals!E:E,Actuals!A:A,"&lt;="&amp;YTD!$G$1,Actuals!A:A,"&gt;="&amp;YTD!$G$3,Actuals!$F:$F,YTD!B19)</f>
        <v>8093.3100000000013</v>
      </c>
      <c r="H19" s="21">
        <f t="shared" si="1"/>
        <v>345.55999999999949</v>
      </c>
    </row>
    <row r="20" spans="2:8">
      <c r="B20" s="16" t="s">
        <v>7260</v>
      </c>
      <c r="C20" s="17">
        <f>SUM(C16:C19)</f>
        <v>47640.739999999983</v>
      </c>
      <c r="D20" s="17">
        <f>SUM(D16:D19)</f>
        <v>40500</v>
      </c>
      <c r="E20" s="17">
        <f t="shared" ref="E20" si="3">SUM(E16:E19)</f>
        <v>7140.7399999999861</v>
      </c>
      <c r="G20" s="17">
        <f>SUM(G16:G19)</f>
        <v>40505.82</v>
      </c>
      <c r="H20" s="17">
        <f t="shared" si="1"/>
        <v>7134.9199999999837</v>
      </c>
    </row>
    <row r="21" spans="2:8">
      <c r="C21" s="13"/>
      <c r="D21" s="13"/>
      <c r="E21" s="13"/>
      <c r="G21" s="13"/>
      <c r="H21" s="13"/>
    </row>
    <row r="22" spans="2:8">
      <c r="B22" t="s">
        <v>34</v>
      </c>
      <c r="C22" s="13">
        <f>SUMIFS(Actuals!E:E,Actuals!A:A,"&lt;="&amp;YTD!$C$1,Actuals!A:A,"&gt;="&amp;YTD!$C$3,Actuals!$F:$F,YTD!B22)</f>
        <v>25</v>
      </c>
      <c r="D22" s="13">
        <f>SUMIFS('2025 Budget'!S:S,'2025 Budget'!Q:Q,YTD!B22,'2025 Budget'!R:R,"&lt;="&amp;YTD!$C$1,'2025 Budget'!R:R,"&gt;="&amp;YTD!$C$3)</f>
        <v>0</v>
      </c>
      <c r="E22" s="13">
        <f t="shared" ref="E22:E29" si="4">C22-D22</f>
        <v>25</v>
      </c>
      <c r="G22" s="13">
        <f>SUMIFS(Actuals!E:E,Actuals!A:A,"&lt;="&amp;YTD!$G$1,Actuals!A:A,"&gt;="&amp;YTD!$G$3,Actuals!$F:$F,YTD!B22)</f>
        <v>381.52</v>
      </c>
      <c r="H22" s="13">
        <f t="shared" si="1"/>
        <v>-356.52</v>
      </c>
    </row>
    <row r="23" spans="2:8">
      <c r="B23" t="s">
        <v>21</v>
      </c>
      <c r="C23" s="13">
        <f>SUMIFS(Actuals!E:E,Actuals!A:A,"&lt;="&amp;YTD!$C$1,Actuals!A:A,"&gt;="&amp;YTD!$C$3,Actuals!$F:$F,YTD!B23)</f>
        <v>21636.390000000036</v>
      </c>
      <c r="D23" s="13">
        <f>SUMIFS('2025 Budget'!S:S,'2025 Budget'!Q:Q,YTD!B23,'2025 Budget'!R:R,"&lt;="&amp;YTD!$C$1,'2025 Budget'!R:R,"&gt;="&amp;YTD!$C$3)</f>
        <v>24000</v>
      </c>
      <c r="E23" s="13">
        <f t="shared" si="4"/>
        <v>-2363.6099999999642</v>
      </c>
      <c r="G23" s="13">
        <f>SUMIFS(Actuals!E:E,Actuals!A:A,"&lt;="&amp;YTD!$G$1,Actuals!A:A,"&gt;="&amp;YTD!$G$3,Actuals!$F:$F,YTD!B23)</f>
        <v>24464.170000000006</v>
      </c>
      <c r="H23" s="13">
        <f t="shared" si="1"/>
        <v>-2827.7799999999697</v>
      </c>
    </row>
    <row r="24" spans="2:8">
      <c r="B24" t="s">
        <v>38</v>
      </c>
      <c r="C24" s="13">
        <f>SUMIFS(Actuals!E:E,Actuals!A:A,"&lt;="&amp;YTD!$C$1,Actuals!A:A,"&gt;="&amp;YTD!$C$3,Actuals!$F:$F,YTD!B24)</f>
        <v>5621.1600000000026</v>
      </c>
      <c r="D24" s="13">
        <f>SUMIFS('2025 Budget'!S:S,'2025 Budget'!Q:Q,YTD!B24,'2025 Budget'!R:R,"&lt;="&amp;YTD!$C$1,'2025 Budget'!R:R,"&gt;="&amp;YTD!$C$3)</f>
        <v>6960</v>
      </c>
      <c r="E24" s="13">
        <f t="shared" si="4"/>
        <v>-1338.8399999999974</v>
      </c>
      <c r="G24" s="13">
        <f>SUMIFS(Actuals!E:E,Actuals!A:A,"&lt;="&amp;YTD!$G$1,Actuals!A:A,"&gt;="&amp;YTD!$G$3,Actuals!$F:$F,YTD!B24)</f>
        <v>7001.7399999999971</v>
      </c>
      <c r="H24" s="13">
        <f t="shared" si="1"/>
        <v>-1380.5799999999945</v>
      </c>
    </row>
    <row r="25" spans="2:8">
      <c r="B25" t="s">
        <v>40</v>
      </c>
      <c r="C25" s="13">
        <f>SUMIFS(Actuals!E:E,Actuals!A:A,"&lt;="&amp;YTD!$C$1,Actuals!A:A,"&gt;="&amp;YTD!$C$3,Actuals!$F:$F,YTD!B25)</f>
        <v>3681.4200000000005</v>
      </c>
      <c r="D25" s="13">
        <f>SUMIFS('2025 Budget'!S:S,'2025 Budget'!Q:Q,YTD!B25,'2025 Budget'!R:R,"&lt;="&amp;YTD!$C$1,'2025 Budget'!R:R,"&gt;="&amp;YTD!$C$3)</f>
        <v>6600</v>
      </c>
      <c r="E25" s="13">
        <f t="shared" si="4"/>
        <v>-2918.5799999999995</v>
      </c>
      <c r="G25" s="13">
        <f>SUMIFS(Actuals!E:E,Actuals!A:A,"&lt;="&amp;YTD!$G$1,Actuals!A:A,"&gt;="&amp;YTD!$G$3,Actuals!$F:$F,YTD!B25)</f>
        <v>7135.1299999999974</v>
      </c>
      <c r="H25" s="13">
        <f t="shared" si="1"/>
        <v>-3453.7099999999969</v>
      </c>
    </row>
    <row r="26" spans="2:8">
      <c r="B26" t="s">
        <v>41</v>
      </c>
      <c r="C26" s="13">
        <f>SUMIFS(Actuals!E:E,Actuals!A:A,"&lt;="&amp;YTD!$C$1,Actuals!A:A,"&gt;="&amp;YTD!$C$3,Actuals!$F:$F,YTD!B26)</f>
        <v>406.58</v>
      </c>
      <c r="D26" s="13">
        <f>SUMIFS('2025 Budget'!S:S,'2025 Budget'!Q:Q,YTD!B26,'2025 Budget'!R:R,"&lt;="&amp;YTD!$C$1,'2025 Budget'!R:R,"&gt;="&amp;YTD!$C$3)</f>
        <v>540</v>
      </c>
      <c r="E26" s="13">
        <f t="shared" si="4"/>
        <v>-133.42000000000002</v>
      </c>
      <c r="G26" s="13">
        <f>SUMIFS(Actuals!E:E,Actuals!A:A,"&lt;="&amp;YTD!$G$1,Actuals!A:A,"&gt;="&amp;YTD!$G$3,Actuals!$F:$F,YTD!B26)</f>
        <v>537.86</v>
      </c>
      <c r="H26" s="13">
        <f t="shared" si="1"/>
        <v>-131.28000000000003</v>
      </c>
    </row>
    <row r="27" spans="2:8">
      <c r="B27" t="s">
        <v>45</v>
      </c>
      <c r="C27" s="13">
        <f>SUMIFS(Actuals!E:E,Actuals!A:A,"&lt;="&amp;YTD!$C$1,Actuals!A:A,"&gt;="&amp;YTD!$C$3,Actuals!$F:$F,YTD!B27)</f>
        <v>594.78</v>
      </c>
      <c r="D27" s="13">
        <f>SUMIFS('2025 Budget'!S:S,'2025 Budget'!Q:Q,YTD!B27,'2025 Budget'!R:R,"&lt;="&amp;YTD!$C$1,'2025 Budget'!R:R,"&gt;="&amp;YTD!$C$3)</f>
        <v>1200</v>
      </c>
      <c r="E27" s="13">
        <f t="shared" si="4"/>
        <v>-605.22</v>
      </c>
      <c r="G27" s="13">
        <f>SUMIFS(Actuals!E:E,Actuals!A:A,"&lt;="&amp;YTD!$G$1,Actuals!A:A,"&gt;="&amp;YTD!$G$3,Actuals!$F:$F,YTD!B27)</f>
        <v>780.65</v>
      </c>
      <c r="H27" s="13">
        <f t="shared" si="1"/>
        <v>-185.87</v>
      </c>
    </row>
    <row r="28" spans="2:8">
      <c r="B28" s="14" t="s">
        <v>29</v>
      </c>
      <c r="C28" s="15">
        <f>SUMIFS(Actuals!E:E,Actuals!A:A,"&lt;="&amp;YTD!$C$1,Actuals!A:A,"&gt;="&amp;YTD!$C$3,Actuals!$F:$F,YTD!B28)</f>
        <v>421.02</v>
      </c>
      <c r="D28" s="15">
        <f>SUMIFS('2025 Budget'!S:S,'2025 Budget'!Q:Q,YTD!B28,'2025 Budget'!R:R,"&lt;="&amp;YTD!$C$1,'2025 Budget'!R:R,"&gt;="&amp;YTD!$C$3)</f>
        <v>540</v>
      </c>
      <c r="E28" s="15">
        <f t="shared" si="4"/>
        <v>-118.98000000000002</v>
      </c>
      <c r="G28" s="15">
        <f>SUMIFS(Actuals!E:E,Actuals!A:A,"&lt;="&amp;YTD!$G$1,Actuals!A:A,"&gt;="&amp;YTD!$G$3,Actuals!$F:$F,YTD!B28)</f>
        <v>527.85</v>
      </c>
      <c r="H28" s="15">
        <f t="shared" si="1"/>
        <v>-106.83000000000004</v>
      </c>
    </row>
    <row r="29" spans="2:8">
      <c r="B29" s="16" t="s">
        <v>7261</v>
      </c>
      <c r="C29" s="18">
        <f>SUM(C22:C28)</f>
        <v>32386.350000000042</v>
      </c>
      <c r="D29" s="18">
        <f>SUM(D22:D28)</f>
        <v>39840</v>
      </c>
      <c r="E29" s="18">
        <f t="shared" si="4"/>
        <v>-7453.6499999999578</v>
      </c>
      <c r="G29" s="18">
        <f>SUM(G22:G28)</f>
        <v>40828.92</v>
      </c>
      <c r="H29" s="18">
        <f t="shared" si="1"/>
        <v>-8442.5699999999561</v>
      </c>
    </row>
    <row r="30" spans="2:8">
      <c r="B30" s="19"/>
      <c r="C30" s="20"/>
      <c r="D30" s="20"/>
      <c r="E30" s="20"/>
      <c r="G30" s="20"/>
      <c r="H30" s="20"/>
    </row>
    <row r="31" spans="2:8">
      <c r="B31" s="16" t="s">
        <v>7153</v>
      </c>
      <c r="C31" s="17">
        <f>SUM(C29,C20,C14)</f>
        <v>164559.50000000003</v>
      </c>
      <c r="D31" s="17">
        <f>SUM(D29,D20,D14)</f>
        <v>157800</v>
      </c>
      <c r="E31" s="17">
        <f>C31-D31</f>
        <v>6759.5000000000291</v>
      </c>
      <c r="F31" s="66"/>
      <c r="G31" s="17">
        <f>SUM(G29,G20,G14)</f>
        <v>158930.71</v>
      </c>
      <c r="H31" s="17">
        <f t="shared" si="1"/>
        <v>5628.7900000000373</v>
      </c>
    </row>
    <row r="33" spans="2:8">
      <c r="B33" t="s">
        <v>48</v>
      </c>
      <c r="C33" s="13">
        <f>SUMIFS(Actuals!E:E,Actuals!A:A,"&lt;="&amp;YTD!$C$1,Actuals!A:A,"&gt;="&amp;YTD!$C$3,Actuals!$F:$F,YTD!B33)</f>
        <v>3948.01</v>
      </c>
      <c r="G33" s="13">
        <f>SUMIFS(Actuals!E:E,Actuals!A:A,"&lt;="&amp;YTD!$G$1,Actuals!A:A,"&gt;="&amp;YTD!$G$3,Actuals!$F:$F,YTD!B33)</f>
        <v>2527.4399999999996</v>
      </c>
      <c r="H33" s="13">
        <f t="shared" si="1"/>
        <v>1420.5700000000006</v>
      </c>
    </row>
    <row r="34" spans="2:8">
      <c r="B34" t="s">
        <v>50</v>
      </c>
      <c r="C34" s="13">
        <f>SUMIFS(Actuals!E:E,Actuals!A:A,"&lt;="&amp;YTD!$C$1,Actuals!A:A,"&gt;="&amp;YTD!$C$3,Actuals!$F:$F,YTD!B34)</f>
        <v>265799.33</v>
      </c>
      <c r="G34" s="13">
        <f>SUMIFS(Actuals!E:E,Actuals!A:A,"&lt;="&amp;YTD!$G$1,Actuals!A:A,"&gt;="&amp;YTD!$G$3,Actuals!$F:$F,YTD!B34)</f>
        <v>11572.24</v>
      </c>
      <c r="H34" s="13">
        <f t="shared" si="1"/>
        <v>254227.09000000003</v>
      </c>
    </row>
    <row r="35" spans="2:8">
      <c r="B35" s="14" t="s">
        <v>43</v>
      </c>
      <c r="C35" s="15">
        <f>SUMIFS(Actuals!E:E,Actuals!A:A,"&lt;="&amp;YTD!$C$1,Actuals!A:A,"&gt;="&amp;YTD!$C$3,Actuals!$F:$F,YTD!B35)</f>
        <v>16470.36</v>
      </c>
      <c r="G35" s="15">
        <f>SUMIFS(Actuals!E:E,Actuals!A:A,"&lt;="&amp;YTD!$G$1,Actuals!A:A,"&gt;="&amp;YTD!$G$3,Actuals!$F:$F,YTD!B35)</f>
        <v>18097.969999999994</v>
      </c>
      <c r="H35" s="15">
        <f t="shared" si="1"/>
        <v>-1627.6099999999933</v>
      </c>
    </row>
    <row r="36" spans="2:8">
      <c r="B36" s="16" t="s">
        <v>7153</v>
      </c>
      <c r="C36" s="17">
        <f>SUM(C33:C35)</f>
        <v>286217.7</v>
      </c>
      <c r="G36" s="17">
        <f>SUM(G33:G35)</f>
        <v>32197.649999999994</v>
      </c>
      <c r="H36" s="17">
        <f t="shared" si="1"/>
        <v>254020.05000000002</v>
      </c>
    </row>
    <row r="37" spans="2:8">
      <c r="B37" s="19"/>
      <c r="C37" s="20"/>
      <c r="G37" s="20">
        <f>SUMIFS(Actuals!E:E,Actuals!A:A,"&lt;="&amp;YTD!$G$1,Actuals!A:A,"&gt;="&amp;YTD!$G$3,Actuals!$F:$F,YTD!B37)</f>
        <v>0</v>
      </c>
      <c r="H37" s="20">
        <f t="shared" si="1"/>
        <v>0</v>
      </c>
    </row>
    <row r="38" spans="2:8">
      <c r="B38" s="16" t="s">
        <v>7262</v>
      </c>
      <c r="C38" s="17">
        <f>SUM(C36,C31)</f>
        <v>450777.20000000007</v>
      </c>
      <c r="D38" s="13"/>
      <c r="G38" s="17">
        <f>SUM(G36,G31)</f>
        <v>191128.36</v>
      </c>
      <c r="H38" s="17">
        <f t="shared" si="1"/>
        <v>259648.84000000008</v>
      </c>
    </row>
  </sheetData>
  <pageMargins left="0.25" right="0.25" top="0.75" bottom="0.75" header="0.3" footer="0.3"/>
  <pageSetup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4A05-DFF0-4155-8F8B-8AFB1EBF3219}">
  <sheetPr>
    <tabColor rgb="FF70AD47"/>
    <pageSetUpPr fitToPage="1"/>
  </sheetPr>
  <dimension ref="B1:S338"/>
  <sheetViews>
    <sheetView workbookViewId="0">
      <selection activeCell="J54" sqref="J54"/>
    </sheetView>
  </sheetViews>
  <sheetFormatPr defaultRowHeight="15"/>
  <cols>
    <col min="2" max="2" width="20.7109375" bestFit="1" customWidth="1"/>
    <col min="17" max="17" width="25.85546875" customWidth="1"/>
  </cols>
  <sheetData>
    <row r="1" spans="2:19">
      <c r="B1" t="s">
        <v>7264</v>
      </c>
    </row>
    <row r="3" spans="2:19">
      <c r="B3" s="9" t="s">
        <v>7123</v>
      </c>
      <c r="C3" s="10">
        <v>202501</v>
      </c>
      <c r="D3" s="10">
        <v>202502</v>
      </c>
      <c r="E3" s="10">
        <v>202503</v>
      </c>
      <c r="F3" s="10">
        <v>202504</v>
      </c>
      <c r="G3" s="10">
        <v>202505</v>
      </c>
      <c r="H3" s="10">
        <v>202506</v>
      </c>
      <c r="I3" s="10">
        <v>202507</v>
      </c>
      <c r="J3" s="10">
        <v>202508</v>
      </c>
      <c r="K3" s="10">
        <v>202509</v>
      </c>
      <c r="L3" s="10">
        <v>202510</v>
      </c>
      <c r="M3" s="10">
        <v>202511</v>
      </c>
      <c r="N3" s="10">
        <v>202512</v>
      </c>
      <c r="O3" s="10" t="s">
        <v>7153</v>
      </c>
    </row>
    <row r="4" spans="2:19" ht="3" customHeight="1">
      <c r="B4" s="22"/>
      <c r="C4" s="22"/>
      <c r="D4" s="23"/>
      <c r="E4" s="23"/>
      <c r="F4" s="23"/>
      <c r="G4" s="23"/>
      <c r="H4" s="23"/>
      <c r="I4" s="23"/>
      <c r="J4" s="23"/>
      <c r="K4" s="23"/>
      <c r="L4" s="23"/>
      <c r="M4" s="23"/>
      <c r="N4" s="23"/>
      <c r="O4" s="23"/>
      <c r="P4" s="170"/>
    </row>
    <row r="5" spans="2:19">
      <c r="B5" t="s">
        <v>5</v>
      </c>
      <c r="C5" s="13">
        <v>2745</v>
      </c>
      <c r="D5" s="13">
        <v>2745</v>
      </c>
      <c r="E5" s="13">
        <v>2745</v>
      </c>
      <c r="F5" s="13">
        <v>2745</v>
      </c>
      <c r="G5" s="13">
        <v>2745</v>
      </c>
      <c r="H5" s="13">
        <v>2745</v>
      </c>
      <c r="I5" s="13">
        <v>2745</v>
      </c>
      <c r="J5" s="13">
        <v>2745</v>
      </c>
      <c r="K5" s="13">
        <v>2745</v>
      </c>
      <c r="L5" s="13">
        <v>2745</v>
      </c>
      <c r="M5" s="13">
        <v>2745</v>
      </c>
      <c r="N5" s="13">
        <v>2745</v>
      </c>
      <c r="O5" s="13">
        <f>SUM(C5:N5)</f>
        <v>32940</v>
      </c>
      <c r="Q5" t="s">
        <v>5</v>
      </c>
      <c r="R5">
        <f>$C$3</f>
        <v>202501</v>
      </c>
      <c r="S5">
        <f t="shared" ref="S5:S68" si="0">INDEX($B$3:$O$36,MATCH(Q5,$B$3:$B$36,0),MATCH(R5,$B$3:$O$3,0))</f>
        <v>2745</v>
      </c>
    </row>
    <row r="6" spans="2:19">
      <c r="B6" t="s">
        <v>2</v>
      </c>
      <c r="C6" s="13">
        <v>350</v>
      </c>
      <c r="D6" s="13">
        <v>350</v>
      </c>
      <c r="E6" s="13">
        <v>350</v>
      </c>
      <c r="F6" s="13">
        <v>350</v>
      </c>
      <c r="G6" s="13">
        <v>350</v>
      </c>
      <c r="H6" s="13">
        <v>350</v>
      </c>
      <c r="I6" s="13">
        <v>350</v>
      </c>
      <c r="J6" s="13">
        <v>350</v>
      </c>
      <c r="K6" s="13">
        <v>350</v>
      </c>
      <c r="L6" s="13">
        <v>350</v>
      </c>
      <c r="M6" s="13">
        <v>350</v>
      </c>
      <c r="N6" s="13">
        <v>350</v>
      </c>
      <c r="O6" s="13">
        <f t="shared" ref="O6:O28" si="1">SUM(C6:N6)</f>
        <v>4200</v>
      </c>
      <c r="Q6" t="s">
        <v>2</v>
      </c>
      <c r="R6">
        <f t="shared" ref="R6:R36" si="2">$C$3</f>
        <v>202501</v>
      </c>
      <c r="S6">
        <f t="shared" si="0"/>
        <v>350</v>
      </c>
    </row>
    <row r="7" spans="2:19">
      <c r="B7" t="s">
        <v>7</v>
      </c>
      <c r="C7" s="13">
        <v>700</v>
      </c>
      <c r="D7" s="13">
        <v>700</v>
      </c>
      <c r="E7" s="13">
        <v>700</v>
      </c>
      <c r="F7" s="13">
        <v>700</v>
      </c>
      <c r="G7" s="13">
        <v>700</v>
      </c>
      <c r="H7" s="13">
        <v>700</v>
      </c>
      <c r="I7" s="13">
        <v>700</v>
      </c>
      <c r="J7" s="13">
        <v>700</v>
      </c>
      <c r="K7" s="13">
        <v>700</v>
      </c>
      <c r="L7" s="13">
        <v>700</v>
      </c>
      <c r="M7" s="13">
        <v>700</v>
      </c>
      <c r="N7" s="13">
        <v>700</v>
      </c>
      <c r="O7" s="13">
        <f t="shared" si="1"/>
        <v>8400</v>
      </c>
      <c r="Q7" t="s">
        <v>7</v>
      </c>
      <c r="R7">
        <f t="shared" si="2"/>
        <v>202501</v>
      </c>
      <c r="S7">
        <f t="shared" si="0"/>
        <v>700</v>
      </c>
    </row>
    <row r="8" spans="2:19">
      <c r="B8" t="s">
        <v>11</v>
      </c>
      <c r="C8" s="13"/>
      <c r="D8" s="13"/>
      <c r="E8" s="13"/>
      <c r="F8" s="13"/>
      <c r="G8" s="13"/>
      <c r="H8" s="13"/>
      <c r="I8" s="13"/>
      <c r="J8" s="13"/>
      <c r="K8" s="13"/>
      <c r="L8" s="13"/>
      <c r="M8" s="13"/>
      <c r="N8" s="13"/>
      <c r="O8" s="13">
        <f t="shared" si="1"/>
        <v>0</v>
      </c>
      <c r="Q8" t="s">
        <v>11</v>
      </c>
      <c r="R8">
        <f t="shared" si="2"/>
        <v>202501</v>
      </c>
      <c r="S8">
        <f t="shared" si="0"/>
        <v>0</v>
      </c>
    </row>
    <row r="9" spans="2:19">
      <c r="B9" t="s">
        <v>14</v>
      </c>
      <c r="C9" s="13">
        <f>125*2</f>
        <v>250</v>
      </c>
      <c r="D9" s="13">
        <f t="shared" ref="D9:N9" si="3">125*2</f>
        <v>250</v>
      </c>
      <c r="E9" s="13">
        <f t="shared" si="3"/>
        <v>250</v>
      </c>
      <c r="F9" s="13">
        <f t="shared" si="3"/>
        <v>250</v>
      </c>
      <c r="G9" s="13">
        <f t="shared" si="3"/>
        <v>250</v>
      </c>
      <c r="H9" s="13">
        <f t="shared" si="3"/>
        <v>250</v>
      </c>
      <c r="I9" s="13">
        <f t="shared" si="3"/>
        <v>250</v>
      </c>
      <c r="J9" s="13">
        <f t="shared" si="3"/>
        <v>250</v>
      </c>
      <c r="K9" s="13">
        <f t="shared" si="3"/>
        <v>250</v>
      </c>
      <c r="L9" s="13">
        <f t="shared" si="3"/>
        <v>250</v>
      </c>
      <c r="M9" s="13">
        <f t="shared" si="3"/>
        <v>250</v>
      </c>
      <c r="N9" s="13">
        <f t="shared" si="3"/>
        <v>250</v>
      </c>
      <c r="O9" s="13">
        <f t="shared" si="1"/>
        <v>3000</v>
      </c>
      <c r="Q9" t="s">
        <v>14</v>
      </c>
      <c r="R9">
        <f t="shared" si="2"/>
        <v>202501</v>
      </c>
      <c r="S9">
        <f t="shared" si="0"/>
        <v>250</v>
      </c>
    </row>
    <row r="10" spans="2:19">
      <c r="B10" t="s">
        <v>18</v>
      </c>
      <c r="C10" s="13">
        <v>135</v>
      </c>
      <c r="D10" s="13">
        <v>135</v>
      </c>
      <c r="E10" s="13">
        <v>135</v>
      </c>
      <c r="F10" s="13">
        <v>135</v>
      </c>
      <c r="G10" s="13">
        <v>135</v>
      </c>
      <c r="H10" s="13">
        <v>135</v>
      </c>
      <c r="I10" s="13">
        <v>135</v>
      </c>
      <c r="J10" s="13">
        <v>135</v>
      </c>
      <c r="K10" s="13">
        <v>135</v>
      </c>
      <c r="L10" s="13">
        <v>135</v>
      </c>
      <c r="M10" s="13">
        <v>135</v>
      </c>
      <c r="N10" s="13">
        <v>135</v>
      </c>
      <c r="O10" s="13">
        <f t="shared" si="1"/>
        <v>1620</v>
      </c>
      <c r="Q10" t="s">
        <v>18</v>
      </c>
      <c r="R10">
        <f t="shared" si="2"/>
        <v>202501</v>
      </c>
      <c r="S10">
        <f t="shared" si="0"/>
        <v>135</v>
      </c>
    </row>
    <row r="11" spans="2:19">
      <c r="B11" s="14" t="s">
        <v>20</v>
      </c>
      <c r="C11" s="15">
        <v>2275</v>
      </c>
      <c r="D11" s="15">
        <v>2275</v>
      </c>
      <c r="E11" s="15">
        <v>2275</v>
      </c>
      <c r="F11" s="15">
        <v>2275</v>
      </c>
      <c r="G11" s="15">
        <v>2275</v>
      </c>
      <c r="H11" s="15">
        <v>2275</v>
      </c>
      <c r="I11" s="15">
        <v>2275</v>
      </c>
      <c r="J11" s="15">
        <v>2275</v>
      </c>
      <c r="K11" s="15">
        <v>2275</v>
      </c>
      <c r="L11" s="15">
        <v>2275</v>
      </c>
      <c r="M11" s="15">
        <v>2275</v>
      </c>
      <c r="N11" s="15">
        <v>2275</v>
      </c>
      <c r="O11" s="15">
        <f t="shared" si="1"/>
        <v>27300</v>
      </c>
      <c r="Q11" s="14" t="s">
        <v>20</v>
      </c>
      <c r="R11">
        <f t="shared" si="2"/>
        <v>202501</v>
      </c>
      <c r="S11">
        <f t="shared" si="0"/>
        <v>2275</v>
      </c>
    </row>
    <row r="12" spans="2:19">
      <c r="B12" s="16" t="s">
        <v>7259</v>
      </c>
      <c r="C12" s="17">
        <f t="shared" ref="C12:N12" si="4">SUM(C5:C11)</f>
        <v>6455</v>
      </c>
      <c r="D12" s="17">
        <f t="shared" si="4"/>
        <v>6455</v>
      </c>
      <c r="E12" s="17">
        <f t="shared" si="4"/>
        <v>6455</v>
      </c>
      <c r="F12" s="17">
        <f t="shared" si="4"/>
        <v>6455</v>
      </c>
      <c r="G12" s="17">
        <f t="shared" si="4"/>
        <v>6455</v>
      </c>
      <c r="H12" s="17">
        <f t="shared" si="4"/>
        <v>6455</v>
      </c>
      <c r="I12" s="17">
        <f t="shared" si="4"/>
        <v>6455</v>
      </c>
      <c r="J12" s="17">
        <f t="shared" si="4"/>
        <v>6455</v>
      </c>
      <c r="K12" s="17">
        <f t="shared" si="4"/>
        <v>6455</v>
      </c>
      <c r="L12" s="17">
        <f t="shared" si="4"/>
        <v>6455</v>
      </c>
      <c r="M12" s="17">
        <f t="shared" si="4"/>
        <v>6455</v>
      </c>
      <c r="N12" s="17">
        <f t="shared" si="4"/>
        <v>6455</v>
      </c>
      <c r="O12" s="17">
        <f>SUM(C12:N12)</f>
        <v>77460</v>
      </c>
      <c r="Q12" s="16" t="s">
        <v>7259</v>
      </c>
      <c r="R12">
        <f t="shared" si="2"/>
        <v>202501</v>
      </c>
      <c r="S12">
        <f t="shared" si="0"/>
        <v>6455</v>
      </c>
    </row>
    <row r="13" spans="2:19">
      <c r="C13" s="13"/>
      <c r="D13" s="13"/>
      <c r="E13" s="13"/>
      <c r="F13" s="13"/>
      <c r="G13" s="13"/>
      <c r="H13" s="13"/>
      <c r="I13" s="13"/>
      <c r="J13" s="13"/>
      <c r="K13" s="13"/>
      <c r="L13" s="13"/>
      <c r="M13" s="13"/>
      <c r="N13" s="13"/>
      <c r="O13" s="13"/>
      <c r="R13">
        <f t="shared" si="2"/>
        <v>202501</v>
      </c>
      <c r="S13" t="e">
        <f t="shared" si="0"/>
        <v>#N/A</v>
      </c>
    </row>
    <row r="14" spans="2:19">
      <c r="B14" t="s">
        <v>23</v>
      </c>
      <c r="C14" s="13">
        <v>400</v>
      </c>
      <c r="D14" s="13">
        <v>400</v>
      </c>
      <c r="E14" s="13">
        <v>400</v>
      </c>
      <c r="F14" s="13">
        <v>400</v>
      </c>
      <c r="G14" s="13">
        <v>400</v>
      </c>
      <c r="H14" s="13">
        <v>400</v>
      </c>
      <c r="I14" s="13">
        <v>400</v>
      </c>
      <c r="J14" s="13">
        <v>400</v>
      </c>
      <c r="K14" s="13">
        <v>400</v>
      </c>
      <c r="L14" s="13">
        <v>400</v>
      </c>
      <c r="M14" s="13">
        <v>400</v>
      </c>
      <c r="N14" s="13">
        <v>400</v>
      </c>
      <c r="O14" s="13">
        <f t="shared" si="1"/>
        <v>4800</v>
      </c>
      <c r="Q14" t="s">
        <v>23</v>
      </c>
      <c r="R14">
        <f t="shared" si="2"/>
        <v>202501</v>
      </c>
      <c r="S14">
        <f t="shared" si="0"/>
        <v>400</v>
      </c>
    </row>
    <row r="15" spans="2:19">
      <c r="B15" t="s">
        <v>26</v>
      </c>
      <c r="C15" s="13">
        <v>1300</v>
      </c>
      <c r="D15" s="13">
        <v>1300</v>
      </c>
      <c r="E15" s="13">
        <v>1300</v>
      </c>
      <c r="F15" s="13">
        <v>1300</v>
      </c>
      <c r="G15" s="13">
        <v>1300</v>
      </c>
      <c r="H15" s="13">
        <v>1300</v>
      </c>
      <c r="I15" s="13">
        <v>1300</v>
      </c>
      <c r="J15" s="13">
        <v>1300</v>
      </c>
      <c r="K15" s="13">
        <v>1300</v>
      </c>
      <c r="L15" s="13">
        <v>1300</v>
      </c>
      <c r="M15" s="13">
        <v>1300</v>
      </c>
      <c r="N15" s="13">
        <v>1300</v>
      </c>
      <c r="O15" s="13">
        <f t="shared" si="1"/>
        <v>15600</v>
      </c>
      <c r="Q15" t="s">
        <v>26</v>
      </c>
      <c r="R15">
        <f t="shared" si="2"/>
        <v>202501</v>
      </c>
      <c r="S15">
        <f t="shared" si="0"/>
        <v>1300</v>
      </c>
    </row>
    <row r="16" spans="2:19">
      <c r="B16" t="s">
        <v>28</v>
      </c>
      <c r="C16" s="13">
        <v>1000</v>
      </c>
      <c r="D16" s="13">
        <v>1000</v>
      </c>
      <c r="E16" s="13">
        <v>1000</v>
      </c>
      <c r="F16" s="13">
        <v>1000</v>
      </c>
      <c r="G16" s="13">
        <v>1000</v>
      </c>
      <c r="H16" s="13">
        <v>1000</v>
      </c>
      <c r="I16" s="13">
        <v>1000</v>
      </c>
      <c r="J16" s="13">
        <v>1000</v>
      </c>
      <c r="K16" s="13">
        <v>1000</v>
      </c>
      <c r="L16" s="13">
        <v>1000</v>
      </c>
      <c r="M16" s="13">
        <v>1000</v>
      </c>
      <c r="N16" s="13">
        <v>1000</v>
      </c>
      <c r="O16" s="13">
        <f t="shared" si="1"/>
        <v>12000</v>
      </c>
      <c r="Q16" t="s">
        <v>28</v>
      </c>
      <c r="R16">
        <f t="shared" si="2"/>
        <v>202501</v>
      </c>
      <c r="S16">
        <f t="shared" si="0"/>
        <v>1000</v>
      </c>
    </row>
    <row r="17" spans="2:19">
      <c r="B17" s="14" t="s">
        <v>31</v>
      </c>
      <c r="C17" s="15">
        <v>675</v>
      </c>
      <c r="D17" s="15">
        <v>675</v>
      </c>
      <c r="E17" s="15">
        <v>675</v>
      </c>
      <c r="F17" s="15">
        <v>675</v>
      </c>
      <c r="G17" s="15">
        <v>675</v>
      </c>
      <c r="H17" s="15">
        <v>675</v>
      </c>
      <c r="I17" s="15">
        <v>675</v>
      </c>
      <c r="J17" s="15">
        <v>675</v>
      </c>
      <c r="K17" s="15">
        <v>675</v>
      </c>
      <c r="L17" s="15">
        <v>675</v>
      </c>
      <c r="M17" s="15">
        <v>675</v>
      </c>
      <c r="N17" s="15">
        <v>675</v>
      </c>
      <c r="O17" s="15">
        <f t="shared" si="1"/>
        <v>8100</v>
      </c>
      <c r="Q17" s="14" t="s">
        <v>31</v>
      </c>
      <c r="R17">
        <f t="shared" si="2"/>
        <v>202501</v>
      </c>
      <c r="S17">
        <f t="shared" si="0"/>
        <v>675</v>
      </c>
    </row>
    <row r="18" spans="2:19">
      <c r="B18" s="16" t="s">
        <v>7260</v>
      </c>
      <c r="C18" s="17">
        <f t="shared" ref="C18:N18" si="5">SUM(C14:C17)</f>
        <v>3375</v>
      </c>
      <c r="D18" s="17">
        <f t="shared" si="5"/>
        <v>3375</v>
      </c>
      <c r="E18" s="17">
        <f t="shared" si="5"/>
        <v>3375</v>
      </c>
      <c r="F18" s="17">
        <f t="shared" si="5"/>
        <v>3375</v>
      </c>
      <c r="G18" s="17">
        <f t="shared" si="5"/>
        <v>3375</v>
      </c>
      <c r="H18" s="17">
        <f t="shared" si="5"/>
        <v>3375</v>
      </c>
      <c r="I18" s="17">
        <f t="shared" si="5"/>
        <v>3375</v>
      </c>
      <c r="J18" s="17">
        <f t="shared" si="5"/>
        <v>3375</v>
      </c>
      <c r="K18" s="17">
        <f t="shared" si="5"/>
        <v>3375</v>
      </c>
      <c r="L18" s="17">
        <f t="shared" si="5"/>
        <v>3375</v>
      </c>
      <c r="M18" s="17">
        <f t="shared" si="5"/>
        <v>3375</v>
      </c>
      <c r="N18" s="17">
        <f t="shared" si="5"/>
        <v>3375</v>
      </c>
      <c r="O18" s="17">
        <f t="shared" si="1"/>
        <v>40500</v>
      </c>
      <c r="Q18" s="16" t="s">
        <v>7260</v>
      </c>
      <c r="R18">
        <f t="shared" si="2"/>
        <v>202501</v>
      </c>
      <c r="S18">
        <f t="shared" si="0"/>
        <v>3375</v>
      </c>
    </row>
    <row r="19" spans="2:19">
      <c r="C19" s="13"/>
      <c r="D19" s="13"/>
      <c r="E19" s="13"/>
      <c r="F19" s="13"/>
      <c r="G19" s="13"/>
      <c r="H19" s="13"/>
      <c r="I19" s="13"/>
      <c r="J19" s="13"/>
      <c r="K19" s="13"/>
      <c r="L19" s="13"/>
      <c r="M19" s="13"/>
      <c r="N19" s="13"/>
      <c r="O19" s="13"/>
      <c r="R19">
        <f t="shared" si="2"/>
        <v>202501</v>
      </c>
      <c r="S19" t="e">
        <f t="shared" si="0"/>
        <v>#N/A</v>
      </c>
    </row>
    <row r="20" spans="2:19">
      <c r="B20" t="s">
        <v>34</v>
      </c>
      <c r="C20" s="13">
        <v>0</v>
      </c>
      <c r="D20" s="13">
        <v>0</v>
      </c>
      <c r="E20" s="13">
        <v>0</v>
      </c>
      <c r="F20" s="13">
        <v>0</v>
      </c>
      <c r="G20" s="13">
        <v>0</v>
      </c>
      <c r="H20" s="13">
        <v>0</v>
      </c>
      <c r="I20" s="13">
        <v>0</v>
      </c>
      <c r="J20" s="13">
        <v>0</v>
      </c>
      <c r="K20" s="13">
        <v>0</v>
      </c>
      <c r="L20" s="13">
        <v>0</v>
      </c>
      <c r="M20" s="13">
        <v>0</v>
      </c>
      <c r="N20" s="13">
        <v>0</v>
      </c>
      <c r="O20" s="13">
        <f t="shared" si="1"/>
        <v>0</v>
      </c>
      <c r="Q20" t="s">
        <v>34</v>
      </c>
      <c r="R20">
        <f t="shared" si="2"/>
        <v>202501</v>
      </c>
      <c r="S20">
        <f t="shared" si="0"/>
        <v>0</v>
      </c>
    </row>
    <row r="21" spans="2:19">
      <c r="B21" t="s">
        <v>21</v>
      </c>
      <c r="C21" s="13">
        <v>2000</v>
      </c>
      <c r="D21" s="13">
        <v>2000</v>
      </c>
      <c r="E21" s="13">
        <v>2000</v>
      </c>
      <c r="F21" s="13">
        <v>2000</v>
      </c>
      <c r="G21" s="13">
        <v>2000</v>
      </c>
      <c r="H21" s="13">
        <v>2000</v>
      </c>
      <c r="I21" s="13">
        <v>2000</v>
      </c>
      <c r="J21" s="13">
        <v>2000</v>
      </c>
      <c r="K21" s="13">
        <v>2000</v>
      </c>
      <c r="L21" s="13">
        <v>2000</v>
      </c>
      <c r="M21" s="13">
        <v>2000</v>
      </c>
      <c r="N21" s="13">
        <v>2000</v>
      </c>
      <c r="O21" s="13">
        <f t="shared" si="1"/>
        <v>24000</v>
      </c>
      <c r="Q21" t="s">
        <v>21</v>
      </c>
      <c r="R21">
        <f t="shared" si="2"/>
        <v>202501</v>
      </c>
      <c r="S21">
        <f t="shared" si="0"/>
        <v>2000</v>
      </c>
    </row>
    <row r="22" spans="2:19">
      <c r="B22" t="s">
        <v>38</v>
      </c>
      <c r="C22" s="13">
        <v>580</v>
      </c>
      <c r="D22" s="13">
        <v>580</v>
      </c>
      <c r="E22" s="13">
        <v>580</v>
      </c>
      <c r="F22" s="13">
        <v>580</v>
      </c>
      <c r="G22" s="13">
        <v>580</v>
      </c>
      <c r="H22" s="13">
        <v>580</v>
      </c>
      <c r="I22" s="13">
        <v>580</v>
      </c>
      <c r="J22" s="13">
        <v>580</v>
      </c>
      <c r="K22" s="13">
        <v>580</v>
      </c>
      <c r="L22" s="13">
        <v>580</v>
      </c>
      <c r="M22" s="13">
        <v>580</v>
      </c>
      <c r="N22" s="13">
        <v>580</v>
      </c>
      <c r="O22" s="13">
        <f t="shared" si="1"/>
        <v>6960</v>
      </c>
      <c r="Q22" t="s">
        <v>38</v>
      </c>
      <c r="R22">
        <f t="shared" si="2"/>
        <v>202501</v>
      </c>
      <c r="S22">
        <f t="shared" si="0"/>
        <v>580</v>
      </c>
    </row>
    <row r="23" spans="2:19">
      <c r="B23" t="s">
        <v>40</v>
      </c>
      <c r="C23" s="13">
        <v>550</v>
      </c>
      <c r="D23" s="13">
        <v>550</v>
      </c>
      <c r="E23" s="13">
        <v>550</v>
      </c>
      <c r="F23" s="13">
        <v>550</v>
      </c>
      <c r="G23" s="13">
        <v>550</v>
      </c>
      <c r="H23" s="13">
        <v>550</v>
      </c>
      <c r="I23" s="13">
        <v>550</v>
      </c>
      <c r="J23" s="13">
        <v>550</v>
      </c>
      <c r="K23" s="13">
        <v>550</v>
      </c>
      <c r="L23" s="13">
        <v>550</v>
      </c>
      <c r="M23" s="13">
        <v>550</v>
      </c>
      <c r="N23" s="13">
        <v>550</v>
      </c>
      <c r="O23" s="13">
        <f t="shared" si="1"/>
        <v>6600</v>
      </c>
      <c r="Q23" t="s">
        <v>40</v>
      </c>
      <c r="R23">
        <f t="shared" si="2"/>
        <v>202501</v>
      </c>
      <c r="S23">
        <f t="shared" si="0"/>
        <v>550</v>
      </c>
    </row>
    <row r="24" spans="2:19">
      <c r="B24" t="s">
        <v>41</v>
      </c>
      <c r="C24" s="13">
        <v>45</v>
      </c>
      <c r="D24" s="13">
        <v>45</v>
      </c>
      <c r="E24" s="13">
        <v>45</v>
      </c>
      <c r="F24" s="13">
        <v>45</v>
      </c>
      <c r="G24" s="13">
        <v>45</v>
      </c>
      <c r="H24" s="13">
        <v>45</v>
      </c>
      <c r="I24" s="13">
        <v>45</v>
      </c>
      <c r="J24" s="13">
        <v>45</v>
      </c>
      <c r="K24" s="13">
        <v>45</v>
      </c>
      <c r="L24" s="13">
        <v>45</v>
      </c>
      <c r="M24" s="13">
        <v>45</v>
      </c>
      <c r="N24" s="13">
        <v>45</v>
      </c>
      <c r="O24" s="13">
        <f t="shared" si="1"/>
        <v>540</v>
      </c>
      <c r="Q24" t="s">
        <v>41</v>
      </c>
      <c r="R24">
        <f t="shared" si="2"/>
        <v>202501</v>
      </c>
      <c r="S24">
        <f t="shared" si="0"/>
        <v>45</v>
      </c>
    </row>
    <row r="25" spans="2:19">
      <c r="B25" t="s">
        <v>45</v>
      </c>
      <c r="C25" s="13">
        <v>100</v>
      </c>
      <c r="D25" s="13">
        <v>100</v>
      </c>
      <c r="E25" s="13">
        <v>100</v>
      </c>
      <c r="F25" s="13">
        <v>100</v>
      </c>
      <c r="G25" s="13">
        <v>100</v>
      </c>
      <c r="H25" s="13">
        <v>100</v>
      </c>
      <c r="I25" s="13">
        <v>100</v>
      </c>
      <c r="J25" s="13">
        <v>100</v>
      </c>
      <c r="K25" s="13">
        <v>100</v>
      </c>
      <c r="L25" s="13">
        <v>100</v>
      </c>
      <c r="M25" s="13">
        <v>100</v>
      </c>
      <c r="N25" s="13">
        <v>100</v>
      </c>
      <c r="O25" s="13">
        <f t="shared" si="1"/>
        <v>1200</v>
      </c>
      <c r="Q25" t="s">
        <v>45</v>
      </c>
      <c r="R25">
        <f t="shared" si="2"/>
        <v>202501</v>
      </c>
      <c r="S25">
        <f t="shared" si="0"/>
        <v>100</v>
      </c>
    </row>
    <row r="26" spans="2:19">
      <c r="B26" s="14" t="s">
        <v>29</v>
      </c>
      <c r="C26" s="15">
        <v>45</v>
      </c>
      <c r="D26" s="15">
        <v>45</v>
      </c>
      <c r="E26" s="15">
        <v>45</v>
      </c>
      <c r="F26" s="15">
        <v>45</v>
      </c>
      <c r="G26" s="15">
        <v>45</v>
      </c>
      <c r="H26" s="15">
        <v>45</v>
      </c>
      <c r="I26" s="15">
        <v>45</v>
      </c>
      <c r="J26" s="15">
        <v>45</v>
      </c>
      <c r="K26" s="15">
        <v>45</v>
      </c>
      <c r="L26" s="15">
        <v>45</v>
      </c>
      <c r="M26" s="15">
        <v>45</v>
      </c>
      <c r="N26" s="15">
        <v>45</v>
      </c>
      <c r="O26" s="15">
        <f t="shared" si="1"/>
        <v>540</v>
      </c>
      <c r="Q26" s="14" t="s">
        <v>29</v>
      </c>
      <c r="R26">
        <f t="shared" si="2"/>
        <v>202501</v>
      </c>
      <c r="S26">
        <f t="shared" si="0"/>
        <v>45</v>
      </c>
    </row>
    <row r="27" spans="2:19">
      <c r="B27" s="16" t="s">
        <v>7261</v>
      </c>
      <c r="C27" s="17">
        <f t="shared" ref="C27:N27" si="6">SUM(C20:C26)</f>
        <v>3320</v>
      </c>
      <c r="D27" s="17">
        <f t="shared" si="6"/>
        <v>3320</v>
      </c>
      <c r="E27" s="17">
        <f t="shared" si="6"/>
        <v>3320</v>
      </c>
      <c r="F27" s="17">
        <f t="shared" si="6"/>
        <v>3320</v>
      </c>
      <c r="G27" s="17">
        <f t="shared" si="6"/>
        <v>3320</v>
      </c>
      <c r="H27" s="17">
        <f t="shared" si="6"/>
        <v>3320</v>
      </c>
      <c r="I27" s="17">
        <f t="shared" si="6"/>
        <v>3320</v>
      </c>
      <c r="J27" s="17">
        <f t="shared" si="6"/>
        <v>3320</v>
      </c>
      <c r="K27" s="17">
        <f t="shared" si="6"/>
        <v>3320</v>
      </c>
      <c r="L27" s="17">
        <f t="shared" si="6"/>
        <v>3320</v>
      </c>
      <c r="M27" s="17">
        <f t="shared" si="6"/>
        <v>3320</v>
      </c>
      <c r="N27" s="17">
        <f t="shared" si="6"/>
        <v>3320</v>
      </c>
      <c r="O27" s="17">
        <f t="shared" si="1"/>
        <v>39840</v>
      </c>
      <c r="Q27" s="16" t="s">
        <v>7261</v>
      </c>
      <c r="R27">
        <f t="shared" si="2"/>
        <v>202501</v>
      </c>
      <c r="S27">
        <f t="shared" si="0"/>
        <v>3320</v>
      </c>
    </row>
    <row r="28" spans="2:19">
      <c r="B28" s="19"/>
      <c r="C28" s="20"/>
      <c r="D28" s="20"/>
      <c r="E28" s="20"/>
      <c r="F28" s="20"/>
      <c r="G28" s="20"/>
      <c r="H28" s="20"/>
      <c r="I28" s="20"/>
      <c r="J28" s="20"/>
      <c r="K28" s="20"/>
      <c r="L28" s="20"/>
      <c r="M28" s="20"/>
      <c r="N28" s="20"/>
      <c r="O28" s="20">
        <f t="shared" si="1"/>
        <v>0</v>
      </c>
      <c r="Q28" s="19"/>
      <c r="R28">
        <f t="shared" si="2"/>
        <v>202501</v>
      </c>
      <c r="S28" t="e">
        <f t="shared" si="0"/>
        <v>#N/A</v>
      </c>
    </row>
    <row r="29" spans="2:19">
      <c r="B29" s="16" t="s">
        <v>7153</v>
      </c>
      <c r="C29" s="17">
        <f>SUM(C27,C18,C12)</f>
        <v>13150</v>
      </c>
      <c r="D29" s="17">
        <f t="shared" ref="D29:N29" si="7">SUM(D27,D18,D12)</f>
        <v>13150</v>
      </c>
      <c r="E29" s="17">
        <f t="shared" si="7"/>
        <v>13150</v>
      </c>
      <c r="F29" s="17">
        <f t="shared" si="7"/>
        <v>13150</v>
      </c>
      <c r="G29" s="17">
        <f t="shared" si="7"/>
        <v>13150</v>
      </c>
      <c r="H29" s="17">
        <f t="shared" si="7"/>
        <v>13150</v>
      </c>
      <c r="I29" s="17">
        <f t="shared" si="7"/>
        <v>13150</v>
      </c>
      <c r="J29" s="17">
        <f t="shared" si="7"/>
        <v>13150</v>
      </c>
      <c r="K29" s="17">
        <f t="shared" si="7"/>
        <v>13150</v>
      </c>
      <c r="L29" s="17">
        <f t="shared" si="7"/>
        <v>13150</v>
      </c>
      <c r="M29" s="17">
        <f t="shared" si="7"/>
        <v>13150</v>
      </c>
      <c r="N29" s="17">
        <f t="shared" si="7"/>
        <v>13150</v>
      </c>
      <c r="O29" s="17">
        <f>SUM(C29:N29)</f>
        <v>157800</v>
      </c>
      <c r="Q29" s="16" t="s">
        <v>7153</v>
      </c>
      <c r="R29">
        <f t="shared" si="2"/>
        <v>202501</v>
      </c>
      <c r="S29">
        <f t="shared" si="0"/>
        <v>13150</v>
      </c>
    </row>
    <row r="30" spans="2:19">
      <c r="C30" s="13"/>
      <c r="D30" s="13"/>
      <c r="E30" s="13"/>
      <c r="F30" s="13"/>
      <c r="G30" s="13"/>
      <c r="H30" s="13"/>
      <c r="I30" s="13"/>
      <c r="J30" s="13"/>
      <c r="K30" s="13"/>
      <c r="L30" s="13"/>
      <c r="M30" s="13"/>
      <c r="N30" s="13"/>
      <c r="O30" s="13"/>
      <c r="R30">
        <f t="shared" si="2"/>
        <v>202501</v>
      </c>
      <c r="S30" t="e">
        <f t="shared" si="0"/>
        <v>#N/A</v>
      </c>
    </row>
    <row r="31" spans="2:19">
      <c r="B31" t="s">
        <v>48</v>
      </c>
      <c r="C31" s="13">
        <v>200</v>
      </c>
      <c r="D31" s="13">
        <v>200</v>
      </c>
      <c r="E31" s="13">
        <v>200</v>
      </c>
      <c r="F31" s="13">
        <v>200</v>
      </c>
      <c r="G31" s="13">
        <v>200</v>
      </c>
      <c r="H31" s="13">
        <v>200</v>
      </c>
      <c r="I31" s="13">
        <v>200</v>
      </c>
      <c r="J31" s="13">
        <v>200</v>
      </c>
      <c r="K31" s="13">
        <v>200</v>
      </c>
      <c r="L31" s="13">
        <v>200</v>
      </c>
      <c r="M31" s="13">
        <v>200</v>
      </c>
      <c r="N31" s="13">
        <v>200</v>
      </c>
      <c r="O31" s="13">
        <f>SUM(C31:N31)</f>
        <v>2400</v>
      </c>
      <c r="P31" s="13"/>
      <c r="Q31" t="s">
        <v>48</v>
      </c>
      <c r="R31">
        <f t="shared" si="2"/>
        <v>202501</v>
      </c>
      <c r="S31">
        <f t="shared" si="0"/>
        <v>200</v>
      </c>
    </row>
    <row r="32" spans="2:19">
      <c r="B32" t="s">
        <v>50</v>
      </c>
      <c r="C32" s="13">
        <f>30245</f>
        <v>30245</v>
      </c>
      <c r="D32" s="13">
        <v>19919.5</v>
      </c>
      <c r="E32" s="13">
        <v>13299.5</v>
      </c>
      <c r="F32" s="13">
        <v>17668</v>
      </c>
      <c r="G32" s="13"/>
      <c r="H32" s="13"/>
      <c r="I32" s="13"/>
      <c r="J32" s="13"/>
      <c r="K32" s="13"/>
      <c r="L32" s="13"/>
      <c r="M32" s="13"/>
      <c r="N32" s="13"/>
      <c r="O32" s="13">
        <f t="shared" ref="O32:O33" si="8">SUM(C32:N32)</f>
        <v>81132</v>
      </c>
      <c r="Q32" t="s">
        <v>50</v>
      </c>
      <c r="R32">
        <f t="shared" si="2"/>
        <v>202501</v>
      </c>
      <c r="S32">
        <f t="shared" si="0"/>
        <v>30245</v>
      </c>
    </row>
    <row r="33" spans="2:19">
      <c r="B33" s="14" t="s">
        <v>43</v>
      </c>
      <c r="C33" s="15"/>
      <c r="D33" s="15"/>
      <c r="E33" s="15">
        <v>2000</v>
      </c>
      <c r="F33" s="15">
        <v>4000</v>
      </c>
      <c r="G33" s="15"/>
      <c r="H33" s="15">
        <v>1500</v>
      </c>
      <c r="I33" s="15"/>
      <c r="J33" s="15"/>
      <c r="K33" s="15">
        <v>2000</v>
      </c>
      <c r="L33" s="15">
        <v>2000</v>
      </c>
      <c r="M33" s="15">
        <v>2000</v>
      </c>
      <c r="N33" s="15"/>
      <c r="O33" s="21">
        <f t="shared" si="8"/>
        <v>13500</v>
      </c>
      <c r="Q33" s="14" t="s">
        <v>43</v>
      </c>
      <c r="R33">
        <f t="shared" si="2"/>
        <v>202501</v>
      </c>
      <c r="S33">
        <f t="shared" si="0"/>
        <v>0</v>
      </c>
    </row>
    <row r="34" spans="2:19">
      <c r="B34" s="16" t="s">
        <v>7265</v>
      </c>
      <c r="C34" s="13">
        <f>SUM(C31:C33)</f>
        <v>30445</v>
      </c>
      <c r="D34" s="13">
        <f t="shared" ref="D34:N34" si="9">SUM(D31:D33)</f>
        <v>20119.5</v>
      </c>
      <c r="E34" s="13">
        <f t="shared" si="9"/>
        <v>15499.5</v>
      </c>
      <c r="F34" s="13">
        <f t="shared" si="9"/>
        <v>21868</v>
      </c>
      <c r="G34" s="13">
        <f t="shared" si="9"/>
        <v>200</v>
      </c>
      <c r="H34" s="13">
        <f t="shared" si="9"/>
        <v>1700</v>
      </c>
      <c r="I34" s="13">
        <f t="shared" si="9"/>
        <v>200</v>
      </c>
      <c r="J34" s="13">
        <f t="shared" si="9"/>
        <v>200</v>
      </c>
      <c r="K34" s="13">
        <f t="shared" si="9"/>
        <v>2200</v>
      </c>
      <c r="L34" s="13">
        <f t="shared" si="9"/>
        <v>2200</v>
      </c>
      <c r="M34" s="13">
        <f t="shared" si="9"/>
        <v>2200</v>
      </c>
      <c r="N34" s="13">
        <f t="shared" si="9"/>
        <v>200</v>
      </c>
      <c r="O34" s="13">
        <f>SUM(O31:O33)</f>
        <v>97032</v>
      </c>
      <c r="Q34" s="16" t="s">
        <v>7265</v>
      </c>
      <c r="R34">
        <f t="shared" si="2"/>
        <v>202501</v>
      </c>
      <c r="S34">
        <f t="shared" si="0"/>
        <v>30445</v>
      </c>
    </row>
    <row r="35" spans="2:19">
      <c r="B35" s="19"/>
      <c r="C35" s="20"/>
      <c r="D35" s="20"/>
      <c r="E35" s="20"/>
      <c r="F35" s="20"/>
      <c r="G35" s="20"/>
      <c r="H35" s="20"/>
      <c r="I35" s="20"/>
      <c r="J35" s="20"/>
      <c r="K35" s="20"/>
      <c r="L35" s="20"/>
      <c r="M35" s="20"/>
      <c r="N35" s="20"/>
      <c r="O35" s="20"/>
      <c r="Q35" s="19"/>
      <c r="R35">
        <f t="shared" si="2"/>
        <v>202501</v>
      </c>
      <c r="S35" t="e">
        <f t="shared" si="0"/>
        <v>#N/A</v>
      </c>
    </row>
    <row r="36" spans="2:19">
      <c r="B36" s="16" t="s">
        <v>7266</v>
      </c>
      <c r="C36" s="17">
        <f t="shared" ref="C36:O36" si="10">SUM(C34,C29)</f>
        <v>43595</v>
      </c>
      <c r="D36" s="17">
        <f t="shared" si="10"/>
        <v>33269.5</v>
      </c>
      <c r="E36" s="17">
        <f t="shared" si="10"/>
        <v>28649.5</v>
      </c>
      <c r="F36" s="17">
        <f t="shared" si="10"/>
        <v>35018</v>
      </c>
      <c r="G36" s="17">
        <f t="shared" si="10"/>
        <v>13350</v>
      </c>
      <c r="H36" s="17">
        <f t="shared" si="10"/>
        <v>14850</v>
      </c>
      <c r="I36" s="17">
        <f t="shared" si="10"/>
        <v>13350</v>
      </c>
      <c r="J36" s="17">
        <f t="shared" si="10"/>
        <v>13350</v>
      </c>
      <c r="K36" s="17">
        <f t="shared" si="10"/>
        <v>15350</v>
      </c>
      <c r="L36" s="17">
        <f t="shared" si="10"/>
        <v>15350</v>
      </c>
      <c r="M36" s="17">
        <f t="shared" si="10"/>
        <v>15350</v>
      </c>
      <c r="N36" s="17">
        <f>SUM(N34,N29)</f>
        <v>13350</v>
      </c>
      <c r="O36" s="17">
        <f t="shared" si="10"/>
        <v>254832</v>
      </c>
      <c r="Q36" s="16" t="s">
        <v>7266</v>
      </c>
      <c r="R36">
        <f t="shared" si="2"/>
        <v>202501</v>
      </c>
      <c r="S36">
        <f t="shared" si="0"/>
        <v>43595</v>
      </c>
    </row>
    <row r="37" spans="2:19">
      <c r="Q37" t="s">
        <v>5</v>
      </c>
      <c r="R37">
        <f t="shared" ref="R37:R68" si="11">$D$3</f>
        <v>202502</v>
      </c>
      <c r="S37">
        <f t="shared" si="0"/>
        <v>2745</v>
      </c>
    </row>
    <row r="38" spans="2:19">
      <c r="Q38" t="s">
        <v>2</v>
      </c>
      <c r="R38">
        <f t="shared" si="11"/>
        <v>202502</v>
      </c>
      <c r="S38">
        <f t="shared" si="0"/>
        <v>350</v>
      </c>
    </row>
    <row r="39" spans="2:19">
      <c r="B39" s="9" t="s">
        <v>7123</v>
      </c>
      <c r="C39" s="10">
        <v>202401</v>
      </c>
      <c r="D39" s="10">
        <v>202402</v>
      </c>
      <c r="E39" s="10">
        <v>202403</v>
      </c>
      <c r="F39" s="10">
        <v>202404</v>
      </c>
      <c r="G39" s="10">
        <v>202405</v>
      </c>
      <c r="H39" s="10">
        <v>202406</v>
      </c>
      <c r="I39" s="10">
        <v>202407</v>
      </c>
      <c r="J39" s="10">
        <v>202408</v>
      </c>
      <c r="K39" s="10">
        <v>202409</v>
      </c>
      <c r="L39" s="10">
        <v>202410</v>
      </c>
      <c r="M39" s="10">
        <v>202411</v>
      </c>
      <c r="N39" s="10">
        <v>202412</v>
      </c>
      <c r="O39" s="10" t="s">
        <v>7153</v>
      </c>
      <c r="Q39" t="s">
        <v>7</v>
      </c>
      <c r="R39">
        <f t="shared" si="11"/>
        <v>202502</v>
      </c>
      <c r="S39">
        <f t="shared" si="0"/>
        <v>700</v>
      </c>
    </row>
    <row r="40" spans="2:19">
      <c r="B40" s="22"/>
      <c r="C40" s="22"/>
      <c r="D40" s="23"/>
      <c r="E40" s="23"/>
      <c r="F40" s="23"/>
      <c r="G40" s="23"/>
      <c r="H40" s="23"/>
      <c r="I40" s="23"/>
      <c r="J40" s="23"/>
      <c r="K40" s="23"/>
      <c r="L40" s="23"/>
      <c r="M40" s="23"/>
      <c r="N40" s="23"/>
      <c r="O40" s="23"/>
      <c r="Q40" t="s">
        <v>11</v>
      </c>
      <c r="R40">
        <f t="shared" si="11"/>
        <v>202502</v>
      </c>
      <c r="S40">
        <f t="shared" si="0"/>
        <v>0</v>
      </c>
    </row>
    <row r="41" spans="2:19">
      <c r="B41" t="s">
        <v>5</v>
      </c>
      <c r="C41" s="13">
        <v>2572.94</v>
      </c>
      <c r="D41" s="13">
        <v>2572.94</v>
      </c>
      <c r="E41" s="13">
        <v>2572.94</v>
      </c>
      <c r="F41" s="13">
        <v>2572.94</v>
      </c>
      <c r="G41" s="13">
        <v>2572.94</v>
      </c>
      <c r="H41" s="13">
        <v>2572.94</v>
      </c>
      <c r="I41" s="13">
        <v>2572.94</v>
      </c>
      <c r="J41" s="13">
        <v>2572.94</v>
      </c>
      <c r="K41" s="13">
        <v>2572.94</v>
      </c>
      <c r="L41" s="13">
        <v>2572.94</v>
      </c>
      <c r="M41" s="13">
        <v>2572.94</v>
      </c>
      <c r="N41" s="13">
        <v>2572.94</v>
      </c>
      <c r="O41" s="13">
        <f>SUM(C41:N41)</f>
        <v>30875.279999999995</v>
      </c>
      <c r="Q41" t="s">
        <v>14</v>
      </c>
      <c r="R41">
        <f t="shared" si="11"/>
        <v>202502</v>
      </c>
      <c r="S41">
        <f t="shared" si="0"/>
        <v>250</v>
      </c>
    </row>
    <row r="42" spans="2:19">
      <c r="B42" t="s">
        <v>2</v>
      </c>
      <c r="C42" s="13">
        <v>500</v>
      </c>
      <c r="D42" s="13">
        <v>500</v>
      </c>
      <c r="E42" s="13">
        <v>500</v>
      </c>
      <c r="F42" s="13">
        <v>500</v>
      </c>
      <c r="G42" s="13">
        <v>500</v>
      </c>
      <c r="H42" s="13">
        <v>500</v>
      </c>
      <c r="I42" s="13">
        <v>500</v>
      </c>
      <c r="J42" s="13">
        <v>500</v>
      </c>
      <c r="K42" s="13">
        <v>500</v>
      </c>
      <c r="L42" s="13">
        <v>500</v>
      </c>
      <c r="M42" s="13">
        <v>500</v>
      </c>
      <c r="N42" s="13">
        <v>500</v>
      </c>
      <c r="O42" s="13">
        <f t="shared" ref="O42:O47" si="12">SUM(C42:N42)</f>
        <v>6000</v>
      </c>
      <c r="Q42" t="s">
        <v>18</v>
      </c>
      <c r="R42">
        <f t="shared" si="11"/>
        <v>202502</v>
      </c>
      <c r="S42">
        <f t="shared" si="0"/>
        <v>135</v>
      </c>
    </row>
    <row r="43" spans="2:19">
      <c r="B43" t="s">
        <v>7</v>
      </c>
      <c r="C43" s="13">
        <v>400</v>
      </c>
      <c r="D43" s="13">
        <v>400</v>
      </c>
      <c r="E43" s="13">
        <v>400</v>
      </c>
      <c r="F43" s="13">
        <v>400</v>
      </c>
      <c r="G43" s="13">
        <v>400</v>
      </c>
      <c r="H43" s="13">
        <v>400</v>
      </c>
      <c r="I43" s="13">
        <v>400</v>
      </c>
      <c r="J43" s="13">
        <v>400</v>
      </c>
      <c r="K43" s="13">
        <v>400</v>
      </c>
      <c r="L43" s="13">
        <v>400</v>
      </c>
      <c r="M43" s="13">
        <v>400</v>
      </c>
      <c r="N43" s="13">
        <v>400</v>
      </c>
      <c r="O43" s="13">
        <f t="shared" si="12"/>
        <v>4800</v>
      </c>
      <c r="Q43" s="14" t="s">
        <v>20</v>
      </c>
      <c r="R43">
        <f t="shared" si="11"/>
        <v>202502</v>
      </c>
      <c r="S43">
        <f t="shared" si="0"/>
        <v>2275</v>
      </c>
    </row>
    <row r="44" spans="2:19">
      <c r="B44" t="s">
        <v>11</v>
      </c>
      <c r="C44" s="13"/>
      <c r="D44" s="13"/>
      <c r="E44" s="13"/>
      <c r="F44" s="13"/>
      <c r="G44" s="13"/>
      <c r="H44" s="13"/>
      <c r="I44" s="13"/>
      <c r="J44" s="13"/>
      <c r="K44" s="13"/>
      <c r="L44" s="13"/>
      <c r="M44" s="13"/>
      <c r="N44" s="13"/>
      <c r="O44" s="13">
        <f t="shared" si="12"/>
        <v>0</v>
      </c>
      <c r="Q44" s="16" t="s">
        <v>7259</v>
      </c>
      <c r="R44">
        <f t="shared" si="11"/>
        <v>202502</v>
      </c>
      <c r="S44">
        <f t="shared" si="0"/>
        <v>6455</v>
      </c>
    </row>
    <row r="45" spans="2:19">
      <c r="B45" t="s">
        <v>14</v>
      </c>
      <c r="C45" s="13">
        <f>125*2</f>
        <v>250</v>
      </c>
      <c r="D45" s="13">
        <f t="shared" ref="D45:N45" si="13">125*2</f>
        <v>250</v>
      </c>
      <c r="E45" s="13">
        <f t="shared" si="13"/>
        <v>250</v>
      </c>
      <c r="F45" s="13">
        <f t="shared" si="13"/>
        <v>250</v>
      </c>
      <c r="G45" s="13">
        <f t="shared" si="13"/>
        <v>250</v>
      </c>
      <c r="H45" s="13">
        <f t="shared" si="13"/>
        <v>250</v>
      </c>
      <c r="I45" s="13">
        <f t="shared" si="13"/>
        <v>250</v>
      </c>
      <c r="J45" s="13">
        <f t="shared" si="13"/>
        <v>250</v>
      </c>
      <c r="K45" s="13">
        <f t="shared" si="13"/>
        <v>250</v>
      </c>
      <c r="L45" s="13">
        <f t="shared" si="13"/>
        <v>250</v>
      </c>
      <c r="M45" s="13">
        <f t="shared" si="13"/>
        <v>250</v>
      </c>
      <c r="N45" s="13">
        <f t="shared" si="13"/>
        <v>250</v>
      </c>
      <c r="O45" s="13">
        <f t="shared" si="12"/>
        <v>3000</v>
      </c>
      <c r="R45">
        <f t="shared" si="11"/>
        <v>202502</v>
      </c>
      <c r="S45" t="e">
        <f t="shared" si="0"/>
        <v>#N/A</v>
      </c>
    </row>
    <row r="46" spans="2:19">
      <c r="B46" t="s">
        <v>18</v>
      </c>
      <c r="C46" s="13">
        <v>117</v>
      </c>
      <c r="D46" s="13">
        <v>117</v>
      </c>
      <c r="E46" s="13">
        <v>117</v>
      </c>
      <c r="F46" s="13">
        <v>117</v>
      </c>
      <c r="G46" s="13">
        <v>117</v>
      </c>
      <c r="H46" s="13">
        <v>117</v>
      </c>
      <c r="I46" s="13">
        <v>117</v>
      </c>
      <c r="J46" s="13">
        <v>117</v>
      </c>
      <c r="K46" s="13">
        <v>117</v>
      </c>
      <c r="L46" s="13">
        <v>117</v>
      </c>
      <c r="M46" s="13">
        <v>117</v>
      </c>
      <c r="N46" s="13">
        <v>117</v>
      </c>
      <c r="O46" s="13">
        <f t="shared" si="12"/>
        <v>1404</v>
      </c>
      <c r="Q46" t="s">
        <v>23</v>
      </c>
      <c r="R46">
        <f t="shared" si="11"/>
        <v>202502</v>
      </c>
      <c r="S46">
        <f t="shared" si="0"/>
        <v>400</v>
      </c>
    </row>
    <row r="47" spans="2:19">
      <c r="B47" s="14" t="s">
        <v>20</v>
      </c>
      <c r="C47" s="15">
        <v>2000</v>
      </c>
      <c r="D47" s="15">
        <v>2000</v>
      </c>
      <c r="E47" s="15">
        <v>2000</v>
      </c>
      <c r="F47" s="15">
        <v>2000</v>
      </c>
      <c r="G47" s="15">
        <v>2000</v>
      </c>
      <c r="H47" s="15">
        <v>2000</v>
      </c>
      <c r="I47" s="15">
        <v>2000</v>
      </c>
      <c r="J47" s="15">
        <v>2000</v>
      </c>
      <c r="K47" s="15">
        <v>2000</v>
      </c>
      <c r="L47" s="15">
        <v>2000</v>
      </c>
      <c r="M47" s="15">
        <v>2000</v>
      </c>
      <c r="N47" s="15">
        <v>2000</v>
      </c>
      <c r="O47" s="15">
        <f t="shared" si="12"/>
        <v>24000</v>
      </c>
      <c r="Q47" t="s">
        <v>26</v>
      </c>
      <c r="R47">
        <f t="shared" si="11"/>
        <v>202502</v>
      </c>
      <c r="S47">
        <f t="shared" si="0"/>
        <v>1300</v>
      </c>
    </row>
    <row r="48" spans="2:19">
      <c r="B48" s="16" t="s">
        <v>7259</v>
      </c>
      <c r="C48" s="17">
        <f t="shared" ref="C48:N48" si="14">SUM(C41:C47)</f>
        <v>5839.9400000000005</v>
      </c>
      <c r="D48" s="17">
        <f t="shared" si="14"/>
        <v>5839.9400000000005</v>
      </c>
      <c r="E48" s="17">
        <f t="shared" si="14"/>
        <v>5839.9400000000005</v>
      </c>
      <c r="F48" s="17">
        <f t="shared" si="14"/>
        <v>5839.9400000000005</v>
      </c>
      <c r="G48" s="17">
        <f t="shared" si="14"/>
        <v>5839.9400000000005</v>
      </c>
      <c r="H48" s="17">
        <f t="shared" si="14"/>
        <v>5839.9400000000005</v>
      </c>
      <c r="I48" s="17">
        <f t="shared" si="14"/>
        <v>5839.9400000000005</v>
      </c>
      <c r="J48" s="17">
        <f t="shared" si="14"/>
        <v>5839.9400000000005</v>
      </c>
      <c r="K48" s="17">
        <f t="shared" si="14"/>
        <v>5839.9400000000005</v>
      </c>
      <c r="L48" s="17">
        <f t="shared" si="14"/>
        <v>5839.9400000000005</v>
      </c>
      <c r="M48" s="17">
        <f t="shared" si="14"/>
        <v>5839.9400000000005</v>
      </c>
      <c r="N48" s="17">
        <f t="shared" si="14"/>
        <v>5839.9400000000005</v>
      </c>
      <c r="O48" s="17">
        <f>SUM(C48:N48)</f>
        <v>70079.280000000013</v>
      </c>
      <c r="Q48" t="s">
        <v>28</v>
      </c>
      <c r="R48">
        <f t="shared" si="11"/>
        <v>202502</v>
      </c>
      <c r="S48">
        <f t="shared" si="0"/>
        <v>1000</v>
      </c>
    </row>
    <row r="49" spans="2:19">
      <c r="C49" s="13"/>
      <c r="D49" s="13"/>
      <c r="E49" s="13"/>
      <c r="F49" s="13"/>
      <c r="G49" s="13"/>
      <c r="H49" s="13"/>
      <c r="I49" s="13"/>
      <c r="J49" s="13"/>
      <c r="K49" s="13"/>
      <c r="L49" s="13"/>
      <c r="M49" s="13"/>
      <c r="N49" s="13"/>
      <c r="O49" s="13"/>
      <c r="Q49" s="14" t="s">
        <v>31</v>
      </c>
      <c r="R49">
        <f t="shared" si="11"/>
        <v>202502</v>
      </c>
      <c r="S49">
        <f t="shared" si="0"/>
        <v>675</v>
      </c>
    </row>
    <row r="50" spans="2:19">
      <c r="B50" t="s">
        <v>23</v>
      </c>
      <c r="C50" s="13">
        <v>800</v>
      </c>
      <c r="D50" s="13">
        <v>800</v>
      </c>
      <c r="E50" s="13">
        <v>800</v>
      </c>
      <c r="F50" s="13">
        <v>800</v>
      </c>
      <c r="G50" s="13">
        <v>800</v>
      </c>
      <c r="H50" s="13">
        <v>800</v>
      </c>
      <c r="I50" s="13">
        <v>800</v>
      </c>
      <c r="J50" s="13">
        <v>800</v>
      </c>
      <c r="K50" s="13">
        <v>800</v>
      </c>
      <c r="L50" s="13">
        <v>800</v>
      </c>
      <c r="M50" s="13">
        <v>800</v>
      </c>
      <c r="N50" s="13">
        <v>800</v>
      </c>
      <c r="O50" s="13">
        <f t="shared" ref="O50:O54" si="15">SUM(C50:N50)</f>
        <v>9600</v>
      </c>
      <c r="Q50" s="16" t="s">
        <v>7260</v>
      </c>
      <c r="R50">
        <f t="shared" si="11"/>
        <v>202502</v>
      </c>
      <c r="S50">
        <f t="shared" si="0"/>
        <v>3375</v>
      </c>
    </row>
    <row r="51" spans="2:19">
      <c r="B51" t="s">
        <v>26</v>
      </c>
      <c r="C51" s="13">
        <v>1100</v>
      </c>
      <c r="D51" s="13">
        <v>1100</v>
      </c>
      <c r="E51" s="13">
        <v>1100</v>
      </c>
      <c r="F51" s="13">
        <v>1100</v>
      </c>
      <c r="G51" s="13">
        <v>1100</v>
      </c>
      <c r="H51" s="13">
        <v>1100</v>
      </c>
      <c r="I51" s="13">
        <v>1100</v>
      </c>
      <c r="J51" s="13">
        <v>1100</v>
      </c>
      <c r="K51" s="13">
        <v>1100</v>
      </c>
      <c r="L51" s="13">
        <v>1100</v>
      </c>
      <c r="M51" s="13">
        <v>1100</v>
      </c>
      <c r="N51" s="13">
        <v>1100</v>
      </c>
      <c r="O51" s="13">
        <f t="shared" si="15"/>
        <v>13200</v>
      </c>
      <c r="R51">
        <f t="shared" si="11"/>
        <v>202502</v>
      </c>
      <c r="S51" t="e">
        <f t="shared" si="0"/>
        <v>#N/A</v>
      </c>
    </row>
    <row r="52" spans="2:19">
      <c r="B52" t="s">
        <v>28</v>
      </c>
      <c r="C52" s="13">
        <v>900</v>
      </c>
      <c r="D52" s="13">
        <v>900</v>
      </c>
      <c r="E52" s="13">
        <v>900</v>
      </c>
      <c r="F52" s="13">
        <v>900</v>
      </c>
      <c r="G52" s="13">
        <v>900</v>
      </c>
      <c r="H52" s="13">
        <v>900</v>
      </c>
      <c r="I52" s="13">
        <v>900</v>
      </c>
      <c r="J52" s="13">
        <v>900</v>
      </c>
      <c r="K52" s="13">
        <v>900</v>
      </c>
      <c r="L52" s="13">
        <v>900</v>
      </c>
      <c r="M52" s="13">
        <v>900</v>
      </c>
      <c r="N52" s="13">
        <v>900</v>
      </c>
      <c r="O52" s="13">
        <f t="shared" si="15"/>
        <v>10800</v>
      </c>
      <c r="Q52" t="s">
        <v>34</v>
      </c>
      <c r="R52">
        <f t="shared" si="11"/>
        <v>202502</v>
      </c>
      <c r="S52">
        <f t="shared" si="0"/>
        <v>0</v>
      </c>
    </row>
    <row r="53" spans="2:19">
      <c r="B53" s="14" t="s">
        <v>31</v>
      </c>
      <c r="C53" s="15">
        <v>600</v>
      </c>
      <c r="D53" s="15">
        <v>600</v>
      </c>
      <c r="E53" s="15">
        <v>600</v>
      </c>
      <c r="F53" s="15">
        <v>600</v>
      </c>
      <c r="G53" s="15">
        <v>600</v>
      </c>
      <c r="H53" s="15">
        <v>600</v>
      </c>
      <c r="I53" s="15">
        <v>600</v>
      </c>
      <c r="J53" s="15">
        <v>600</v>
      </c>
      <c r="K53" s="15">
        <v>600</v>
      </c>
      <c r="L53" s="15">
        <v>600</v>
      </c>
      <c r="M53" s="15">
        <v>600</v>
      </c>
      <c r="N53" s="15">
        <v>600</v>
      </c>
      <c r="O53" s="15">
        <f t="shared" si="15"/>
        <v>7200</v>
      </c>
      <c r="Q53" t="s">
        <v>21</v>
      </c>
      <c r="R53">
        <f t="shared" si="11"/>
        <v>202502</v>
      </c>
      <c r="S53">
        <f t="shared" si="0"/>
        <v>2000</v>
      </c>
    </row>
    <row r="54" spans="2:19">
      <c r="B54" s="16" t="s">
        <v>7260</v>
      </c>
      <c r="C54" s="17">
        <f t="shared" ref="C54:N54" si="16">SUM(C50:C53)</f>
        <v>3400</v>
      </c>
      <c r="D54" s="17">
        <f t="shared" si="16"/>
        <v>3400</v>
      </c>
      <c r="E54" s="17">
        <f t="shared" si="16"/>
        <v>3400</v>
      </c>
      <c r="F54" s="17">
        <f t="shared" si="16"/>
        <v>3400</v>
      </c>
      <c r="G54" s="17">
        <f t="shared" si="16"/>
        <v>3400</v>
      </c>
      <c r="H54" s="17">
        <f t="shared" si="16"/>
        <v>3400</v>
      </c>
      <c r="I54" s="17">
        <f t="shared" si="16"/>
        <v>3400</v>
      </c>
      <c r="J54" s="17">
        <f t="shared" si="16"/>
        <v>3400</v>
      </c>
      <c r="K54" s="17">
        <f t="shared" si="16"/>
        <v>3400</v>
      </c>
      <c r="L54" s="17">
        <f t="shared" si="16"/>
        <v>3400</v>
      </c>
      <c r="M54" s="17">
        <f t="shared" si="16"/>
        <v>3400</v>
      </c>
      <c r="N54" s="17">
        <f t="shared" si="16"/>
        <v>3400</v>
      </c>
      <c r="O54" s="17">
        <f t="shared" si="15"/>
        <v>40800</v>
      </c>
      <c r="Q54" t="s">
        <v>38</v>
      </c>
      <c r="R54">
        <f t="shared" si="11"/>
        <v>202502</v>
      </c>
      <c r="S54">
        <f t="shared" si="0"/>
        <v>580</v>
      </c>
    </row>
    <row r="55" spans="2:19">
      <c r="C55" s="13"/>
      <c r="D55" s="13"/>
      <c r="E55" s="13"/>
      <c r="F55" s="13"/>
      <c r="G55" s="13"/>
      <c r="H55" s="13"/>
      <c r="I55" s="13"/>
      <c r="J55" s="13"/>
      <c r="K55" s="13"/>
      <c r="L55" s="13"/>
      <c r="M55" s="13"/>
      <c r="N55" s="13"/>
      <c r="O55" s="13"/>
      <c r="Q55" t="s">
        <v>40</v>
      </c>
      <c r="R55">
        <f t="shared" si="11"/>
        <v>202502</v>
      </c>
      <c r="S55">
        <f t="shared" si="0"/>
        <v>550</v>
      </c>
    </row>
    <row r="56" spans="2:19">
      <c r="B56" t="s">
        <v>34</v>
      </c>
      <c r="C56" s="13">
        <v>47</v>
      </c>
      <c r="D56" s="13">
        <v>47</v>
      </c>
      <c r="E56" s="13">
        <v>47</v>
      </c>
      <c r="F56" s="13">
        <v>47</v>
      </c>
      <c r="G56" s="13">
        <v>47</v>
      </c>
      <c r="H56" s="13">
        <v>47</v>
      </c>
      <c r="I56" s="13">
        <v>47</v>
      </c>
      <c r="J56" s="13">
        <v>47</v>
      </c>
      <c r="K56" s="13">
        <v>47</v>
      </c>
      <c r="L56" s="13">
        <v>47</v>
      </c>
      <c r="M56" s="13">
        <v>47</v>
      </c>
      <c r="N56" s="13">
        <v>47</v>
      </c>
      <c r="O56" s="13">
        <f t="shared" ref="O56:O64" si="17">SUM(C56:N56)</f>
        <v>564</v>
      </c>
      <c r="Q56" t="s">
        <v>41</v>
      </c>
      <c r="R56">
        <f t="shared" si="11"/>
        <v>202502</v>
      </c>
      <c r="S56">
        <f t="shared" si="0"/>
        <v>45</v>
      </c>
    </row>
    <row r="57" spans="2:19">
      <c r="B57" t="s">
        <v>21</v>
      </c>
      <c r="C57" s="13">
        <v>2500</v>
      </c>
      <c r="D57" s="13">
        <v>2500</v>
      </c>
      <c r="E57" s="13">
        <v>2500</v>
      </c>
      <c r="F57" s="13">
        <v>2500</v>
      </c>
      <c r="G57" s="13">
        <v>2500</v>
      </c>
      <c r="H57" s="13">
        <v>2500</v>
      </c>
      <c r="I57" s="13">
        <v>2500</v>
      </c>
      <c r="J57" s="13">
        <v>2500</v>
      </c>
      <c r="K57" s="13">
        <v>2500</v>
      </c>
      <c r="L57" s="13">
        <v>2500</v>
      </c>
      <c r="M57" s="13">
        <v>2500</v>
      </c>
      <c r="N57" s="13">
        <v>2500</v>
      </c>
      <c r="O57" s="13">
        <f t="shared" si="17"/>
        <v>30000</v>
      </c>
      <c r="Q57" t="s">
        <v>45</v>
      </c>
      <c r="R57">
        <f t="shared" si="11"/>
        <v>202502</v>
      </c>
      <c r="S57">
        <f t="shared" si="0"/>
        <v>100</v>
      </c>
    </row>
    <row r="58" spans="2:19">
      <c r="B58" t="s">
        <v>38</v>
      </c>
      <c r="C58" s="13">
        <v>500</v>
      </c>
      <c r="D58" s="13">
        <v>500</v>
      </c>
      <c r="E58" s="13">
        <v>500</v>
      </c>
      <c r="F58" s="13">
        <v>500</v>
      </c>
      <c r="G58" s="13">
        <v>500</v>
      </c>
      <c r="H58" s="13">
        <v>500</v>
      </c>
      <c r="I58" s="13">
        <v>500</v>
      </c>
      <c r="J58" s="13">
        <v>500</v>
      </c>
      <c r="K58" s="13">
        <v>500</v>
      </c>
      <c r="L58" s="13">
        <v>500</v>
      </c>
      <c r="M58" s="13">
        <v>500</v>
      </c>
      <c r="N58" s="13">
        <v>500</v>
      </c>
      <c r="O58" s="13">
        <f t="shared" si="17"/>
        <v>6000</v>
      </c>
      <c r="Q58" s="14" t="s">
        <v>29</v>
      </c>
      <c r="R58">
        <f t="shared" si="11"/>
        <v>202502</v>
      </c>
      <c r="S58">
        <f t="shared" si="0"/>
        <v>45</v>
      </c>
    </row>
    <row r="59" spans="2:19">
      <c r="B59" t="s">
        <v>40</v>
      </c>
      <c r="C59" s="13">
        <v>200</v>
      </c>
      <c r="D59" s="13">
        <v>200</v>
      </c>
      <c r="E59" s="13">
        <v>200</v>
      </c>
      <c r="F59" s="13">
        <v>200</v>
      </c>
      <c r="G59" s="13">
        <v>200</v>
      </c>
      <c r="H59" s="13">
        <v>200</v>
      </c>
      <c r="I59" s="13">
        <v>200</v>
      </c>
      <c r="J59" s="13">
        <v>200</v>
      </c>
      <c r="K59" s="13">
        <v>200</v>
      </c>
      <c r="L59" s="13">
        <v>200</v>
      </c>
      <c r="M59" s="13">
        <v>200</v>
      </c>
      <c r="N59" s="13">
        <v>200</v>
      </c>
      <c r="O59" s="13">
        <f t="shared" si="17"/>
        <v>2400</v>
      </c>
      <c r="Q59" s="16" t="s">
        <v>7261</v>
      </c>
      <c r="R59">
        <f t="shared" si="11"/>
        <v>202502</v>
      </c>
      <c r="S59">
        <f t="shared" si="0"/>
        <v>3320</v>
      </c>
    </row>
    <row r="60" spans="2:19">
      <c r="B60" t="s">
        <v>41</v>
      </c>
      <c r="C60" s="13">
        <v>30</v>
      </c>
      <c r="D60" s="13">
        <v>30</v>
      </c>
      <c r="E60" s="13">
        <v>30</v>
      </c>
      <c r="F60" s="13">
        <v>30</v>
      </c>
      <c r="G60" s="13">
        <v>30</v>
      </c>
      <c r="H60" s="13">
        <v>30</v>
      </c>
      <c r="I60" s="13">
        <v>30</v>
      </c>
      <c r="J60" s="13">
        <v>30</v>
      </c>
      <c r="K60" s="13">
        <v>30</v>
      </c>
      <c r="L60" s="13">
        <v>30</v>
      </c>
      <c r="M60" s="13">
        <v>30</v>
      </c>
      <c r="N60" s="13">
        <v>30</v>
      </c>
      <c r="O60" s="13">
        <f t="shared" si="17"/>
        <v>360</v>
      </c>
      <c r="Q60" s="19"/>
      <c r="R60">
        <f t="shared" si="11"/>
        <v>202502</v>
      </c>
      <c r="S60" t="e">
        <f t="shared" si="0"/>
        <v>#N/A</v>
      </c>
    </row>
    <row r="61" spans="2:19">
      <c r="B61" t="s">
        <v>45</v>
      </c>
      <c r="C61" s="13">
        <v>130</v>
      </c>
      <c r="D61" s="13">
        <v>130</v>
      </c>
      <c r="E61" s="13">
        <v>130</v>
      </c>
      <c r="F61" s="13">
        <v>130</v>
      </c>
      <c r="G61" s="13">
        <v>130</v>
      </c>
      <c r="H61" s="13">
        <v>130</v>
      </c>
      <c r="I61" s="13">
        <v>130</v>
      </c>
      <c r="J61" s="13">
        <v>130</v>
      </c>
      <c r="K61" s="13">
        <v>130</v>
      </c>
      <c r="L61" s="13">
        <v>130</v>
      </c>
      <c r="M61" s="13">
        <v>130</v>
      </c>
      <c r="N61" s="13">
        <v>130</v>
      </c>
      <c r="O61" s="13">
        <f t="shared" si="17"/>
        <v>1560</v>
      </c>
      <c r="Q61" s="16" t="s">
        <v>7153</v>
      </c>
      <c r="R61">
        <f t="shared" si="11"/>
        <v>202502</v>
      </c>
      <c r="S61">
        <f t="shared" si="0"/>
        <v>13150</v>
      </c>
    </row>
    <row r="62" spans="2:19">
      <c r="B62" s="14" t="s">
        <v>29</v>
      </c>
      <c r="C62" s="15">
        <v>65</v>
      </c>
      <c r="D62" s="15">
        <v>65</v>
      </c>
      <c r="E62" s="15">
        <v>65</v>
      </c>
      <c r="F62" s="15">
        <v>65</v>
      </c>
      <c r="G62" s="15">
        <v>65</v>
      </c>
      <c r="H62" s="15">
        <v>65</v>
      </c>
      <c r="I62" s="15">
        <v>65</v>
      </c>
      <c r="J62" s="15">
        <v>65</v>
      </c>
      <c r="K62" s="15">
        <v>65</v>
      </c>
      <c r="L62" s="15">
        <v>65</v>
      </c>
      <c r="M62" s="15">
        <v>65</v>
      </c>
      <c r="N62" s="15">
        <v>65</v>
      </c>
      <c r="O62" s="15">
        <f t="shared" si="17"/>
        <v>780</v>
      </c>
      <c r="R62">
        <f t="shared" si="11"/>
        <v>202502</v>
      </c>
      <c r="S62" t="e">
        <f t="shared" si="0"/>
        <v>#N/A</v>
      </c>
    </row>
    <row r="63" spans="2:19">
      <c r="B63" s="16" t="s">
        <v>7261</v>
      </c>
      <c r="C63" s="17">
        <f t="shared" ref="C63:N63" si="18">SUM(C56:C62)</f>
        <v>3472</v>
      </c>
      <c r="D63" s="17">
        <f t="shared" si="18"/>
        <v>3472</v>
      </c>
      <c r="E63" s="17">
        <f t="shared" si="18"/>
        <v>3472</v>
      </c>
      <c r="F63" s="17">
        <f t="shared" si="18"/>
        <v>3472</v>
      </c>
      <c r="G63" s="17">
        <f t="shared" si="18"/>
        <v>3472</v>
      </c>
      <c r="H63" s="17">
        <f t="shared" si="18"/>
        <v>3472</v>
      </c>
      <c r="I63" s="17">
        <f t="shared" si="18"/>
        <v>3472</v>
      </c>
      <c r="J63" s="17">
        <f t="shared" si="18"/>
        <v>3472</v>
      </c>
      <c r="K63" s="17">
        <f t="shared" si="18"/>
        <v>3472</v>
      </c>
      <c r="L63" s="17">
        <f t="shared" si="18"/>
        <v>3472</v>
      </c>
      <c r="M63" s="17">
        <f t="shared" si="18"/>
        <v>3472</v>
      </c>
      <c r="N63" s="17">
        <f t="shared" si="18"/>
        <v>3472</v>
      </c>
      <c r="O63" s="17">
        <f t="shared" si="17"/>
        <v>41664</v>
      </c>
      <c r="Q63" t="s">
        <v>48</v>
      </c>
      <c r="R63">
        <f t="shared" si="11"/>
        <v>202502</v>
      </c>
      <c r="S63">
        <f t="shared" si="0"/>
        <v>200</v>
      </c>
    </row>
    <row r="64" spans="2:19">
      <c r="B64" s="19"/>
      <c r="C64" s="20"/>
      <c r="D64" s="20"/>
      <c r="E64" s="20"/>
      <c r="F64" s="20"/>
      <c r="G64" s="20"/>
      <c r="H64" s="20"/>
      <c r="I64" s="20"/>
      <c r="J64" s="20"/>
      <c r="K64" s="20"/>
      <c r="L64" s="20"/>
      <c r="M64" s="20"/>
      <c r="N64" s="20"/>
      <c r="O64" s="20">
        <f t="shared" si="17"/>
        <v>0</v>
      </c>
      <c r="Q64" t="s">
        <v>50</v>
      </c>
      <c r="R64">
        <f t="shared" si="11"/>
        <v>202502</v>
      </c>
      <c r="S64">
        <f t="shared" si="0"/>
        <v>19919.5</v>
      </c>
    </row>
    <row r="65" spans="2:19">
      <c r="B65" s="16" t="s">
        <v>7153</v>
      </c>
      <c r="C65" s="17">
        <f>SUM(C63,C54,C48)</f>
        <v>12711.94</v>
      </c>
      <c r="D65" s="17">
        <f t="shared" ref="D65:N65" si="19">SUM(D63,D54,D48)</f>
        <v>12711.94</v>
      </c>
      <c r="E65" s="17">
        <f t="shared" si="19"/>
        <v>12711.94</v>
      </c>
      <c r="F65" s="17">
        <f t="shared" si="19"/>
        <v>12711.94</v>
      </c>
      <c r="G65" s="17">
        <f t="shared" si="19"/>
        <v>12711.94</v>
      </c>
      <c r="H65" s="17">
        <f t="shared" si="19"/>
        <v>12711.94</v>
      </c>
      <c r="I65" s="17">
        <f t="shared" si="19"/>
        <v>12711.94</v>
      </c>
      <c r="J65" s="17">
        <f t="shared" si="19"/>
        <v>12711.94</v>
      </c>
      <c r="K65" s="17">
        <f t="shared" si="19"/>
        <v>12711.94</v>
      </c>
      <c r="L65" s="17">
        <f t="shared" si="19"/>
        <v>12711.94</v>
      </c>
      <c r="M65" s="17">
        <f t="shared" si="19"/>
        <v>12711.94</v>
      </c>
      <c r="N65" s="17">
        <f t="shared" si="19"/>
        <v>12711.94</v>
      </c>
      <c r="O65" s="17">
        <f>SUM(C65:N65)</f>
        <v>152543.28</v>
      </c>
      <c r="Q65" s="14" t="s">
        <v>43</v>
      </c>
      <c r="R65">
        <f t="shared" si="11"/>
        <v>202502</v>
      </c>
      <c r="S65">
        <f t="shared" si="0"/>
        <v>0</v>
      </c>
    </row>
    <row r="66" spans="2:19">
      <c r="C66" s="13"/>
      <c r="D66" s="13"/>
      <c r="E66" s="13"/>
      <c r="F66" s="13"/>
      <c r="G66" s="13"/>
      <c r="H66" s="13"/>
      <c r="I66" s="13"/>
      <c r="J66" s="13"/>
      <c r="K66" s="13"/>
      <c r="L66" s="13"/>
      <c r="M66" s="13"/>
      <c r="N66" s="13"/>
      <c r="O66" s="13"/>
      <c r="Q66" s="16" t="s">
        <v>7265</v>
      </c>
      <c r="R66">
        <f t="shared" si="11"/>
        <v>202502</v>
      </c>
      <c r="S66">
        <f t="shared" si="0"/>
        <v>20119.5</v>
      </c>
    </row>
    <row r="67" spans="2:19">
      <c r="B67" t="s">
        <v>48</v>
      </c>
      <c r="C67" s="13"/>
      <c r="D67" s="13"/>
      <c r="E67" s="13"/>
      <c r="F67" s="13"/>
      <c r="G67" s="13"/>
      <c r="H67" s="13"/>
      <c r="I67" s="13">
        <v>5000</v>
      </c>
      <c r="J67" s="13"/>
      <c r="K67" s="13"/>
      <c r="L67" s="13"/>
      <c r="M67" s="13"/>
      <c r="N67" s="13"/>
      <c r="O67" s="13">
        <f>SUM(C67:N67)</f>
        <v>5000</v>
      </c>
      <c r="Q67" s="19"/>
      <c r="R67">
        <f t="shared" si="11"/>
        <v>202502</v>
      </c>
      <c r="S67" t="e">
        <f t="shared" si="0"/>
        <v>#N/A</v>
      </c>
    </row>
    <row r="68" spans="2:19">
      <c r="B68" t="s">
        <v>50</v>
      </c>
      <c r="C68" s="13"/>
      <c r="D68" s="13"/>
      <c r="E68" s="13"/>
      <c r="F68" s="13"/>
      <c r="G68" s="13"/>
      <c r="H68" s="13"/>
      <c r="I68" s="13">
        <v>10000</v>
      </c>
      <c r="J68" s="13"/>
      <c r="K68" s="13"/>
      <c r="L68" s="13"/>
      <c r="M68" s="13"/>
      <c r="N68" s="13"/>
      <c r="O68" s="13">
        <f t="shared" ref="O68:O69" si="20">SUM(C68:N68)</f>
        <v>10000</v>
      </c>
      <c r="Q68" s="16" t="s">
        <v>7266</v>
      </c>
      <c r="R68">
        <f t="shared" si="11"/>
        <v>202502</v>
      </c>
      <c r="S68">
        <f t="shared" si="0"/>
        <v>33269.5</v>
      </c>
    </row>
    <row r="69" spans="2:19">
      <c r="B69" s="14" t="s">
        <v>43</v>
      </c>
      <c r="C69" s="15">
        <v>1000</v>
      </c>
      <c r="D69" s="15"/>
      <c r="E69" s="15"/>
      <c r="F69" s="15"/>
      <c r="G69" s="15"/>
      <c r="H69" s="15"/>
      <c r="I69" s="15">
        <v>20000</v>
      </c>
      <c r="J69" s="15"/>
      <c r="K69" s="15"/>
      <c r="L69" s="15"/>
      <c r="M69" s="15"/>
      <c r="N69" s="15"/>
      <c r="O69" s="21">
        <f t="shared" si="20"/>
        <v>21000</v>
      </c>
      <c r="Q69" t="s">
        <v>5</v>
      </c>
      <c r="R69">
        <f>$E$3</f>
        <v>202503</v>
      </c>
      <c r="S69">
        <f t="shared" ref="S69:S132" si="21">INDEX($B$3:$O$36,MATCH(Q69,$B$3:$B$36,0),MATCH(R69,$B$3:$O$3,0))</f>
        <v>2745</v>
      </c>
    </row>
    <row r="70" spans="2:19">
      <c r="B70" s="16" t="s">
        <v>7265</v>
      </c>
      <c r="C70" s="13">
        <f>SUM(C67:C69)</f>
        <v>1000</v>
      </c>
      <c r="D70" s="13">
        <f t="shared" ref="D70:N70" si="22">SUM(D67:D69)</f>
        <v>0</v>
      </c>
      <c r="E70" s="13">
        <f t="shared" si="22"/>
        <v>0</v>
      </c>
      <c r="F70" s="13">
        <f t="shared" si="22"/>
        <v>0</v>
      </c>
      <c r="G70" s="13">
        <f t="shared" si="22"/>
        <v>0</v>
      </c>
      <c r="H70" s="13">
        <f t="shared" si="22"/>
        <v>0</v>
      </c>
      <c r="I70" s="13">
        <f t="shared" si="22"/>
        <v>35000</v>
      </c>
      <c r="J70" s="13">
        <f t="shared" si="22"/>
        <v>0</v>
      </c>
      <c r="K70" s="13">
        <f t="shared" si="22"/>
        <v>0</v>
      </c>
      <c r="L70" s="13">
        <f t="shared" si="22"/>
        <v>0</v>
      </c>
      <c r="M70" s="13">
        <f t="shared" si="22"/>
        <v>0</v>
      </c>
      <c r="N70" s="13">
        <f t="shared" si="22"/>
        <v>0</v>
      </c>
      <c r="O70" s="13">
        <f>SUM(O67:O69)</f>
        <v>36000</v>
      </c>
      <c r="Q70" t="s">
        <v>2</v>
      </c>
      <c r="R70">
        <f t="shared" ref="R70:R95" si="23">$E$3</f>
        <v>202503</v>
      </c>
      <c r="S70">
        <f t="shared" si="21"/>
        <v>350</v>
      </c>
    </row>
    <row r="71" spans="2:19">
      <c r="B71" s="19"/>
      <c r="C71" s="20"/>
      <c r="D71" s="20"/>
      <c r="E71" s="20"/>
      <c r="F71" s="20"/>
      <c r="G71" s="20"/>
      <c r="H71" s="20"/>
      <c r="I71" s="20"/>
      <c r="J71" s="20"/>
      <c r="K71" s="20"/>
      <c r="L71" s="20"/>
      <c r="M71" s="20"/>
      <c r="N71" s="20"/>
      <c r="O71" s="20"/>
      <c r="Q71" t="s">
        <v>7</v>
      </c>
      <c r="R71">
        <f t="shared" si="23"/>
        <v>202503</v>
      </c>
      <c r="S71">
        <f t="shared" si="21"/>
        <v>700</v>
      </c>
    </row>
    <row r="72" spans="2:19">
      <c r="B72" s="16" t="s">
        <v>7266</v>
      </c>
      <c r="C72" s="17">
        <f t="shared" ref="C72:M72" si="24">SUM(C70,C65)</f>
        <v>13711.94</v>
      </c>
      <c r="D72" s="17">
        <f t="shared" si="24"/>
        <v>12711.94</v>
      </c>
      <c r="E72" s="17">
        <f t="shared" si="24"/>
        <v>12711.94</v>
      </c>
      <c r="F72" s="17">
        <f t="shared" si="24"/>
        <v>12711.94</v>
      </c>
      <c r="G72" s="17">
        <f t="shared" si="24"/>
        <v>12711.94</v>
      </c>
      <c r="H72" s="17">
        <f t="shared" si="24"/>
        <v>12711.94</v>
      </c>
      <c r="I72" s="17">
        <f t="shared" si="24"/>
        <v>47711.94</v>
      </c>
      <c r="J72" s="17">
        <f t="shared" si="24"/>
        <v>12711.94</v>
      </c>
      <c r="K72" s="17">
        <f t="shared" si="24"/>
        <v>12711.94</v>
      </c>
      <c r="L72" s="17">
        <f t="shared" si="24"/>
        <v>12711.94</v>
      </c>
      <c r="M72" s="17">
        <f t="shared" si="24"/>
        <v>12711.94</v>
      </c>
      <c r="N72" s="17">
        <f>SUM(N70,N65)</f>
        <v>12711.94</v>
      </c>
      <c r="O72" s="17">
        <f t="shared" ref="O72" si="25">SUM(O70,O65)</f>
        <v>188543.28</v>
      </c>
      <c r="Q72" t="s">
        <v>11</v>
      </c>
      <c r="R72">
        <f t="shared" si="23"/>
        <v>202503</v>
      </c>
      <c r="S72">
        <f t="shared" si="21"/>
        <v>0</v>
      </c>
    </row>
    <row r="73" spans="2:19">
      <c r="Q73" t="s">
        <v>14</v>
      </c>
      <c r="R73">
        <f t="shared" si="23"/>
        <v>202503</v>
      </c>
      <c r="S73">
        <f t="shared" si="21"/>
        <v>250</v>
      </c>
    </row>
    <row r="74" spans="2:19">
      <c r="Q74" t="s">
        <v>18</v>
      </c>
      <c r="R74">
        <f t="shared" si="23"/>
        <v>202503</v>
      </c>
      <c r="S74">
        <f t="shared" si="21"/>
        <v>135</v>
      </c>
    </row>
    <row r="75" spans="2:19">
      <c r="B75" s="9" t="s">
        <v>7123</v>
      </c>
      <c r="C75" s="10">
        <v>202301</v>
      </c>
      <c r="D75" s="10">
        <v>202302</v>
      </c>
      <c r="E75" s="10">
        <v>202303</v>
      </c>
      <c r="F75" s="10">
        <v>202304</v>
      </c>
      <c r="G75" s="10">
        <v>202305</v>
      </c>
      <c r="H75" s="10">
        <v>202306</v>
      </c>
      <c r="I75" s="10">
        <v>202307</v>
      </c>
      <c r="J75" s="10">
        <v>202308</v>
      </c>
      <c r="K75" s="10">
        <v>202309</v>
      </c>
      <c r="L75" s="10">
        <v>202310</v>
      </c>
      <c r="M75" s="10">
        <v>202311</v>
      </c>
      <c r="N75" s="10">
        <v>202312</v>
      </c>
      <c r="O75" s="10" t="s">
        <v>7153</v>
      </c>
      <c r="Q75" s="14" t="s">
        <v>20</v>
      </c>
      <c r="R75">
        <f t="shared" si="23"/>
        <v>202503</v>
      </c>
      <c r="S75">
        <f t="shared" si="21"/>
        <v>2275</v>
      </c>
    </row>
    <row r="76" spans="2:19">
      <c r="B76" s="22"/>
      <c r="C76" s="22"/>
      <c r="D76" s="23"/>
      <c r="E76" s="23"/>
      <c r="F76" s="23"/>
      <c r="G76" s="23"/>
      <c r="H76" s="23"/>
      <c r="I76" s="23"/>
      <c r="J76" s="23"/>
      <c r="K76" s="23"/>
      <c r="L76" s="23"/>
      <c r="M76" s="23"/>
      <c r="N76" s="23"/>
      <c r="O76" s="23"/>
      <c r="Q76" s="16" t="s">
        <v>7259</v>
      </c>
      <c r="R76">
        <f t="shared" si="23"/>
        <v>202503</v>
      </c>
      <c r="S76">
        <f t="shared" si="21"/>
        <v>6455</v>
      </c>
    </row>
    <row r="77" spans="2:19">
      <c r="B77" t="s">
        <v>5</v>
      </c>
      <c r="C77" s="13">
        <v>2572.94</v>
      </c>
      <c r="D77" s="13">
        <v>2572.94</v>
      </c>
      <c r="E77" s="13">
        <v>2572.94</v>
      </c>
      <c r="F77" s="13">
        <v>2572.94</v>
      </c>
      <c r="G77" s="13">
        <v>2572.94</v>
      </c>
      <c r="H77" s="13">
        <v>2572.94</v>
      </c>
      <c r="I77" s="13">
        <v>2572.94</v>
      </c>
      <c r="J77" s="13">
        <v>2572.94</v>
      </c>
      <c r="K77" s="13">
        <v>2572.94</v>
      </c>
      <c r="L77" s="13">
        <v>2572.94</v>
      </c>
      <c r="M77" s="13">
        <v>2572.94</v>
      </c>
      <c r="N77" s="13">
        <v>2572.94</v>
      </c>
      <c r="O77" s="13">
        <f>SUM(C77:N77)</f>
        <v>30875.279999999995</v>
      </c>
      <c r="Q77" t="s">
        <v>23</v>
      </c>
      <c r="R77">
        <f t="shared" si="23"/>
        <v>202503</v>
      </c>
      <c r="S77">
        <f t="shared" si="21"/>
        <v>400</v>
      </c>
    </row>
    <row r="78" spans="2:19">
      <c r="B78" t="s">
        <v>2</v>
      </c>
      <c r="C78" s="13">
        <v>300</v>
      </c>
      <c r="D78" s="13">
        <v>300</v>
      </c>
      <c r="E78" s="13">
        <v>300</v>
      </c>
      <c r="F78" s="13">
        <v>300</v>
      </c>
      <c r="G78" s="13">
        <v>300</v>
      </c>
      <c r="H78" s="13">
        <v>300</v>
      </c>
      <c r="I78" s="13">
        <v>300</v>
      </c>
      <c r="J78" s="13">
        <v>300</v>
      </c>
      <c r="K78" s="13">
        <v>300</v>
      </c>
      <c r="L78" s="13">
        <v>300</v>
      </c>
      <c r="M78" s="13">
        <v>300</v>
      </c>
      <c r="N78" s="13">
        <v>300</v>
      </c>
      <c r="O78" s="13">
        <f t="shared" ref="O78:O100" si="26">SUM(C78:N78)</f>
        <v>3600</v>
      </c>
      <c r="Q78" t="s">
        <v>26</v>
      </c>
      <c r="R78">
        <f t="shared" si="23"/>
        <v>202503</v>
      </c>
      <c r="S78">
        <f t="shared" si="21"/>
        <v>1300</v>
      </c>
    </row>
    <row r="79" spans="2:19">
      <c r="B79" t="s">
        <v>7</v>
      </c>
      <c r="C79" s="13">
        <v>450</v>
      </c>
      <c r="D79" s="13">
        <v>450</v>
      </c>
      <c r="E79" s="13">
        <v>450</v>
      </c>
      <c r="F79" s="13">
        <v>450</v>
      </c>
      <c r="G79" s="13">
        <v>450</v>
      </c>
      <c r="H79" s="13">
        <v>450</v>
      </c>
      <c r="I79" s="13">
        <v>450</v>
      </c>
      <c r="J79" s="13">
        <v>450</v>
      </c>
      <c r="K79" s="13">
        <v>450</v>
      </c>
      <c r="L79" s="13">
        <v>450</v>
      </c>
      <c r="M79" s="13">
        <v>450</v>
      </c>
      <c r="N79" s="13">
        <v>450</v>
      </c>
      <c r="O79" s="13">
        <f t="shared" si="26"/>
        <v>5400</v>
      </c>
      <c r="Q79" t="s">
        <v>28</v>
      </c>
      <c r="R79">
        <f t="shared" si="23"/>
        <v>202503</v>
      </c>
      <c r="S79">
        <f t="shared" si="21"/>
        <v>1000</v>
      </c>
    </row>
    <row r="80" spans="2:19">
      <c r="B80" t="s">
        <v>11</v>
      </c>
      <c r="C80" s="13">
        <v>619</v>
      </c>
      <c r="D80" s="13">
        <v>619</v>
      </c>
      <c r="E80" s="13">
        <v>619</v>
      </c>
      <c r="F80" s="13">
        <v>619</v>
      </c>
      <c r="G80" s="13">
        <v>619</v>
      </c>
      <c r="H80" s="13">
        <v>619</v>
      </c>
      <c r="I80" s="13">
        <v>619</v>
      </c>
      <c r="J80" s="13">
        <v>619</v>
      </c>
      <c r="K80" s="13">
        <v>619</v>
      </c>
      <c r="L80" s="13">
        <v>619</v>
      </c>
      <c r="M80" s="13">
        <v>619</v>
      </c>
      <c r="N80" s="13">
        <v>619</v>
      </c>
      <c r="O80" s="13">
        <f t="shared" si="26"/>
        <v>7428</v>
      </c>
      <c r="Q80" s="14" t="s">
        <v>31</v>
      </c>
      <c r="R80">
        <f t="shared" si="23"/>
        <v>202503</v>
      </c>
      <c r="S80">
        <f t="shared" si="21"/>
        <v>675</v>
      </c>
    </row>
    <row r="81" spans="2:19">
      <c r="B81" t="s">
        <v>14</v>
      </c>
      <c r="C81" s="13">
        <f>125*2</f>
        <v>250</v>
      </c>
      <c r="D81" s="13">
        <f t="shared" ref="D81:N81" si="27">125*2</f>
        <v>250</v>
      </c>
      <c r="E81" s="13">
        <f t="shared" si="27"/>
        <v>250</v>
      </c>
      <c r="F81" s="13">
        <f t="shared" si="27"/>
        <v>250</v>
      </c>
      <c r="G81" s="13">
        <f t="shared" si="27"/>
        <v>250</v>
      </c>
      <c r="H81" s="13">
        <f t="shared" si="27"/>
        <v>250</v>
      </c>
      <c r="I81" s="13">
        <f t="shared" si="27"/>
        <v>250</v>
      </c>
      <c r="J81" s="13">
        <f t="shared" si="27"/>
        <v>250</v>
      </c>
      <c r="K81" s="13">
        <f t="shared" si="27"/>
        <v>250</v>
      </c>
      <c r="L81" s="13">
        <f t="shared" si="27"/>
        <v>250</v>
      </c>
      <c r="M81" s="13">
        <f t="shared" si="27"/>
        <v>250</v>
      </c>
      <c r="N81" s="13">
        <f t="shared" si="27"/>
        <v>250</v>
      </c>
      <c r="O81" s="13">
        <f t="shared" si="26"/>
        <v>3000</v>
      </c>
      <c r="Q81" s="16" t="s">
        <v>7260</v>
      </c>
      <c r="R81">
        <f t="shared" si="23"/>
        <v>202503</v>
      </c>
      <c r="S81">
        <f t="shared" si="21"/>
        <v>3375</v>
      </c>
    </row>
    <row r="82" spans="2:19">
      <c r="B82" t="s">
        <v>18</v>
      </c>
      <c r="C82" s="13">
        <v>90</v>
      </c>
      <c r="D82" s="13">
        <v>90</v>
      </c>
      <c r="E82" s="13">
        <v>90</v>
      </c>
      <c r="F82" s="13">
        <v>90</v>
      </c>
      <c r="G82" s="13">
        <v>90</v>
      </c>
      <c r="H82" s="13">
        <v>90</v>
      </c>
      <c r="I82" s="13">
        <v>90</v>
      </c>
      <c r="J82" s="13">
        <v>90</v>
      </c>
      <c r="K82" s="13">
        <v>90</v>
      </c>
      <c r="L82" s="13">
        <v>90</v>
      </c>
      <c r="M82" s="13">
        <v>90</v>
      </c>
      <c r="N82" s="13">
        <v>90</v>
      </c>
      <c r="O82" s="13">
        <f t="shared" si="26"/>
        <v>1080</v>
      </c>
      <c r="Q82" t="s">
        <v>34</v>
      </c>
      <c r="R82">
        <f t="shared" si="23"/>
        <v>202503</v>
      </c>
      <c r="S82">
        <f t="shared" si="21"/>
        <v>0</v>
      </c>
    </row>
    <row r="83" spans="2:19">
      <c r="B83" s="14" t="s">
        <v>20</v>
      </c>
      <c r="C83" s="15">
        <v>2250</v>
      </c>
      <c r="D83" s="15">
        <v>2250</v>
      </c>
      <c r="E83" s="15">
        <v>2250</v>
      </c>
      <c r="F83" s="15">
        <v>2250</v>
      </c>
      <c r="G83" s="15">
        <v>2250</v>
      </c>
      <c r="H83" s="15">
        <v>2250</v>
      </c>
      <c r="I83" s="15">
        <v>2250</v>
      </c>
      <c r="J83" s="15">
        <v>2250</v>
      </c>
      <c r="K83" s="15">
        <v>2250</v>
      </c>
      <c r="L83" s="15">
        <v>2250</v>
      </c>
      <c r="M83" s="15">
        <v>2250</v>
      </c>
      <c r="N83" s="15">
        <v>2250</v>
      </c>
      <c r="O83" s="15">
        <f t="shared" si="26"/>
        <v>27000</v>
      </c>
      <c r="Q83" t="s">
        <v>21</v>
      </c>
      <c r="R83">
        <f t="shared" si="23"/>
        <v>202503</v>
      </c>
      <c r="S83">
        <f t="shared" si="21"/>
        <v>2000</v>
      </c>
    </row>
    <row r="84" spans="2:19">
      <c r="B84" s="16" t="s">
        <v>7259</v>
      </c>
      <c r="C84" s="17">
        <f t="shared" ref="C84:N84" si="28">SUM(C77:C83)</f>
        <v>6531.9400000000005</v>
      </c>
      <c r="D84" s="17">
        <f t="shared" si="28"/>
        <v>6531.9400000000005</v>
      </c>
      <c r="E84" s="17">
        <f t="shared" si="28"/>
        <v>6531.9400000000005</v>
      </c>
      <c r="F84" s="17">
        <f t="shared" si="28"/>
        <v>6531.9400000000005</v>
      </c>
      <c r="G84" s="17">
        <f t="shared" si="28"/>
        <v>6531.9400000000005</v>
      </c>
      <c r="H84" s="17">
        <f t="shared" si="28"/>
        <v>6531.9400000000005</v>
      </c>
      <c r="I84" s="17">
        <f t="shared" si="28"/>
        <v>6531.9400000000005</v>
      </c>
      <c r="J84" s="17">
        <f t="shared" si="28"/>
        <v>6531.9400000000005</v>
      </c>
      <c r="K84" s="17">
        <f t="shared" si="28"/>
        <v>6531.9400000000005</v>
      </c>
      <c r="L84" s="17">
        <f t="shared" si="28"/>
        <v>6531.9400000000005</v>
      </c>
      <c r="M84" s="17">
        <f t="shared" si="28"/>
        <v>6531.9400000000005</v>
      </c>
      <c r="N84" s="17">
        <f t="shared" si="28"/>
        <v>6531.9400000000005</v>
      </c>
      <c r="O84" s="17">
        <f>SUM(C84:N84)</f>
        <v>78383.280000000013</v>
      </c>
      <c r="Q84" t="s">
        <v>38</v>
      </c>
      <c r="R84">
        <f t="shared" si="23"/>
        <v>202503</v>
      </c>
      <c r="S84">
        <f t="shared" si="21"/>
        <v>580</v>
      </c>
    </row>
    <row r="85" spans="2:19">
      <c r="C85" s="13"/>
      <c r="D85" s="13"/>
      <c r="E85" s="13"/>
      <c r="F85" s="13"/>
      <c r="G85" s="13"/>
      <c r="H85" s="13"/>
      <c r="I85" s="13"/>
      <c r="J85" s="13"/>
      <c r="K85" s="13"/>
      <c r="L85" s="13"/>
      <c r="M85" s="13"/>
      <c r="N85" s="13"/>
      <c r="O85" s="13"/>
      <c r="Q85" t="s">
        <v>40</v>
      </c>
      <c r="R85">
        <f t="shared" si="23"/>
        <v>202503</v>
      </c>
      <c r="S85">
        <f t="shared" si="21"/>
        <v>550</v>
      </c>
    </row>
    <row r="86" spans="2:19">
      <c r="B86" t="s">
        <v>23</v>
      </c>
      <c r="C86" s="13">
        <v>600</v>
      </c>
      <c r="D86" s="13">
        <v>600</v>
      </c>
      <c r="E86" s="13">
        <v>600</v>
      </c>
      <c r="F86" s="13">
        <v>600</v>
      </c>
      <c r="G86" s="13">
        <v>600</v>
      </c>
      <c r="H86" s="13">
        <v>600</v>
      </c>
      <c r="I86" s="13">
        <v>600</v>
      </c>
      <c r="J86" s="13">
        <v>600</v>
      </c>
      <c r="K86" s="13">
        <v>600</v>
      </c>
      <c r="L86" s="13">
        <v>600</v>
      </c>
      <c r="M86" s="13">
        <v>600</v>
      </c>
      <c r="N86" s="13">
        <v>600</v>
      </c>
      <c r="O86" s="13">
        <f t="shared" si="26"/>
        <v>7200</v>
      </c>
      <c r="Q86" t="s">
        <v>41</v>
      </c>
      <c r="R86">
        <f t="shared" si="23"/>
        <v>202503</v>
      </c>
      <c r="S86">
        <f t="shared" si="21"/>
        <v>45</v>
      </c>
    </row>
    <row r="87" spans="2:19">
      <c r="B87" t="s">
        <v>26</v>
      </c>
      <c r="C87" s="13">
        <v>1070</v>
      </c>
      <c r="D87" s="13">
        <v>1070</v>
      </c>
      <c r="E87" s="13">
        <v>1070</v>
      </c>
      <c r="F87" s="13">
        <v>1070</v>
      </c>
      <c r="G87" s="13">
        <v>1070</v>
      </c>
      <c r="H87" s="13">
        <v>1070</v>
      </c>
      <c r="I87" s="13">
        <v>1070</v>
      </c>
      <c r="J87" s="13">
        <v>1070</v>
      </c>
      <c r="K87" s="13">
        <v>1070</v>
      </c>
      <c r="L87" s="13">
        <v>1070</v>
      </c>
      <c r="M87" s="13">
        <v>1070</v>
      </c>
      <c r="N87" s="13">
        <v>1070</v>
      </c>
      <c r="O87" s="13">
        <f t="shared" si="26"/>
        <v>12840</v>
      </c>
      <c r="Q87" t="s">
        <v>45</v>
      </c>
      <c r="R87">
        <f t="shared" si="23"/>
        <v>202503</v>
      </c>
      <c r="S87">
        <f t="shared" si="21"/>
        <v>100</v>
      </c>
    </row>
    <row r="88" spans="2:19">
      <c r="B88" t="s">
        <v>28</v>
      </c>
      <c r="C88" s="13">
        <v>900</v>
      </c>
      <c r="D88" s="13">
        <v>900</v>
      </c>
      <c r="E88" s="13">
        <v>900</v>
      </c>
      <c r="F88" s="13">
        <v>900</v>
      </c>
      <c r="G88" s="13">
        <v>900</v>
      </c>
      <c r="H88" s="13">
        <v>900</v>
      </c>
      <c r="I88" s="13">
        <v>900</v>
      </c>
      <c r="J88" s="13">
        <v>900</v>
      </c>
      <c r="K88" s="13">
        <v>900</v>
      </c>
      <c r="L88" s="13">
        <v>900</v>
      </c>
      <c r="M88" s="13">
        <v>900</v>
      </c>
      <c r="N88" s="13">
        <v>900</v>
      </c>
      <c r="O88" s="13">
        <f t="shared" si="26"/>
        <v>10800</v>
      </c>
      <c r="Q88" s="14" t="s">
        <v>29</v>
      </c>
      <c r="R88">
        <f t="shared" si="23"/>
        <v>202503</v>
      </c>
      <c r="S88">
        <f t="shared" si="21"/>
        <v>45</v>
      </c>
    </row>
    <row r="89" spans="2:19">
      <c r="B89" s="14" t="s">
        <v>31</v>
      </c>
      <c r="C89" s="15">
        <v>600</v>
      </c>
      <c r="D89" s="15">
        <v>600</v>
      </c>
      <c r="E89" s="15">
        <v>600</v>
      </c>
      <c r="F89" s="15">
        <v>600</v>
      </c>
      <c r="G89" s="15">
        <v>600</v>
      </c>
      <c r="H89" s="15">
        <v>600</v>
      </c>
      <c r="I89" s="15">
        <v>600</v>
      </c>
      <c r="J89" s="15">
        <v>600</v>
      </c>
      <c r="K89" s="15">
        <v>600</v>
      </c>
      <c r="L89" s="15">
        <v>600</v>
      </c>
      <c r="M89" s="15">
        <v>600</v>
      </c>
      <c r="N89" s="15">
        <v>600</v>
      </c>
      <c r="O89" s="15">
        <f t="shared" si="26"/>
        <v>7200</v>
      </c>
      <c r="Q89" s="16" t="s">
        <v>7261</v>
      </c>
      <c r="R89">
        <f t="shared" si="23"/>
        <v>202503</v>
      </c>
      <c r="S89">
        <f t="shared" si="21"/>
        <v>3320</v>
      </c>
    </row>
    <row r="90" spans="2:19">
      <c r="B90" s="16" t="s">
        <v>7260</v>
      </c>
      <c r="C90" s="17">
        <f t="shared" ref="C90:N90" si="29">SUM(C86:C89)</f>
        <v>3170</v>
      </c>
      <c r="D90" s="17">
        <f t="shared" si="29"/>
        <v>3170</v>
      </c>
      <c r="E90" s="17">
        <f t="shared" si="29"/>
        <v>3170</v>
      </c>
      <c r="F90" s="17">
        <f t="shared" si="29"/>
        <v>3170</v>
      </c>
      <c r="G90" s="17">
        <f t="shared" si="29"/>
        <v>3170</v>
      </c>
      <c r="H90" s="17">
        <f t="shared" si="29"/>
        <v>3170</v>
      </c>
      <c r="I90" s="17">
        <f t="shared" si="29"/>
        <v>3170</v>
      </c>
      <c r="J90" s="17">
        <f t="shared" si="29"/>
        <v>3170</v>
      </c>
      <c r="K90" s="17">
        <f t="shared" si="29"/>
        <v>3170</v>
      </c>
      <c r="L90" s="17">
        <f t="shared" si="29"/>
        <v>3170</v>
      </c>
      <c r="M90" s="17">
        <f t="shared" si="29"/>
        <v>3170</v>
      </c>
      <c r="N90" s="17">
        <f t="shared" si="29"/>
        <v>3170</v>
      </c>
      <c r="O90" s="17">
        <f t="shared" si="26"/>
        <v>38040</v>
      </c>
      <c r="Q90" s="16" t="s">
        <v>7153</v>
      </c>
      <c r="R90">
        <f t="shared" si="23"/>
        <v>202503</v>
      </c>
      <c r="S90">
        <f t="shared" si="21"/>
        <v>13150</v>
      </c>
    </row>
    <row r="91" spans="2:19">
      <c r="C91" s="13"/>
      <c r="D91" s="13"/>
      <c r="E91" s="13"/>
      <c r="F91" s="13"/>
      <c r="G91" s="13"/>
      <c r="H91" s="13"/>
      <c r="I91" s="13"/>
      <c r="J91" s="13"/>
      <c r="K91" s="13"/>
      <c r="L91" s="13"/>
      <c r="M91" s="13"/>
      <c r="N91" s="13"/>
      <c r="O91" s="13"/>
      <c r="Q91" t="s">
        <v>48</v>
      </c>
      <c r="R91">
        <f t="shared" si="23"/>
        <v>202503</v>
      </c>
      <c r="S91">
        <f t="shared" si="21"/>
        <v>200</v>
      </c>
    </row>
    <row r="92" spans="2:19">
      <c r="B92" t="s">
        <v>34</v>
      </c>
      <c r="C92" s="13">
        <v>40</v>
      </c>
      <c r="D92" s="13">
        <v>40</v>
      </c>
      <c r="E92" s="13">
        <v>40</v>
      </c>
      <c r="F92" s="13">
        <v>40</v>
      </c>
      <c r="G92" s="13">
        <v>40</v>
      </c>
      <c r="H92" s="13">
        <v>40</v>
      </c>
      <c r="I92" s="13">
        <v>40</v>
      </c>
      <c r="J92" s="13">
        <v>40</v>
      </c>
      <c r="K92" s="13">
        <v>40</v>
      </c>
      <c r="L92" s="13">
        <v>40</v>
      </c>
      <c r="M92" s="13">
        <v>40</v>
      </c>
      <c r="N92" s="13">
        <v>40</v>
      </c>
      <c r="O92" s="13">
        <f t="shared" si="26"/>
        <v>480</v>
      </c>
      <c r="Q92" t="s">
        <v>50</v>
      </c>
      <c r="R92">
        <f t="shared" si="23"/>
        <v>202503</v>
      </c>
      <c r="S92">
        <f t="shared" si="21"/>
        <v>13299.5</v>
      </c>
    </row>
    <row r="93" spans="2:19">
      <c r="B93" t="s">
        <v>21</v>
      </c>
      <c r="C93" s="13">
        <v>2000</v>
      </c>
      <c r="D93" s="13">
        <v>2000</v>
      </c>
      <c r="E93" s="13">
        <v>2000</v>
      </c>
      <c r="F93" s="13">
        <v>2000</v>
      </c>
      <c r="G93" s="13">
        <v>2000</v>
      </c>
      <c r="H93" s="13">
        <v>2000</v>
      </c>
      <c r="I93" s="13">
        <v>2000</v>
      </c>
      <c r="J93" s="13">
        <v>2000</v>
      </c>
      <c r="K93" s="13">
        <v>2000</v>
      </c>
      <c r="L93" s="13">
        <v>2000</v>
      </c>
      <c r="M93" s="13">
        <v>2000</v>
      </c>
      <c r="N93" s="13">
        <v>2000</v>
      </c>
      <c r="O93" s="13">
        <f t="shared" si="26"/>
        <v>24000</v>
      </c>
      <c r="Q93" s="14" t="s">
        <v>43</v>
      </c>
      <c r="R93">
        <f t="shared" si="23"/>
        <v>202503</v>
      </c>
      <c r="S93">
        <f t="shared" si="21"/>
        <v>2000</v>
      </c>
    </row>
    <row r="94" spans="2:19">
      <c r="B94" t="s">
        <v>38</v>
      </c>
      <c r="C94" s="13">
        <v>400</v>
      </c>
      <c r="D94" s="13">
        <v>400</v>
      </c>
      <c r="E94" s="13">
        <v>400</v>
      </c>
      <c r="F94" s="13">
        <v>400</v>
      </c>
      <c r="G94" s="13">
        <v>400</v>
      </c>
      <c r="H94" s="13">
        <v>400</v>
      </c>
      <c r="I94" s="13">
        <v>400</v>
      </c>
      <c r="J94" s="13">
        <v>400</v>
      </c>
      <c r="K94" s="13">
        <v>400</v>
      </c>
      <c r="L94" s="13">
        <v>400</v>
      </c>
      <c r="M94" s="13">
        <v>400</v>
      </c>
      <c r="N94" s="13">
        <v>400</v>
      </c>
      <c r="O94" s="13">
        <f t="shared" si="26"/>
        <v>4800</v>
      </c>
      <c r="Q94" s="16" t="s">
        <v>7265</v>
      </c>
      <c r="R94">
        <f t="shared" si="23"/>
        <v>202503</v>
      </c>
      <c r="S94">
        <f t="shared" si="21"/>
        <v>15499.5</v>
      </c>
    </row>
    <row r="95" spans="2:19">
      <c r="B95" t="s">
        <v>40</v>
      </c>
      <c r="C95" s="13">
        <v>200</v>
      </c>
      <c r="D95" s="13">
        <v>200</v>
      </c>
      <c r="E95" s="13">
        <v>200</v>
      </c>
      <c r="F95" s="13">
        <v>200</v>
      </c>
      <c r="G95" s="13">
        <v>200</v>
      </c>
      <c r="H95" s="13">
        <v>200</v>
      </c>
      <c r="I95" s="13">
        <v>200</v>
      </c>
      <c r="J95" s="13">
        <v>200</v>
      </c>
      <c r="K95" s="13">
        <v>200</v>
      </c>
      <c r="L95" s="13">
        <v>200</v>
      </c>
      <c r="M95" s="13">
        <v>200</v>
      </c>
      <c r="N95" s="13">
        <v>200</v>
      </c>
      <c r="O95" s="13">
        <f t="shared" si="26"/>
        <v>2400</v>
      </c>
      <c r="Q95" s="16" t="s">
        <v>7266</v>
      </c>
      <c r="R95">
        <f t="shared" si="23"/>
        <v>202503</v>
      </c>
      <c r="S95">
        <f t="shared" si="21"/>
        <v>28649.5</v>
      </c>
    </row>
    <row r="96" spans="2:19">
      <c r="B96" t="s">
        <v>41</v>
      </c>
      <c r="C96" s="13">
        <v>30</v>
      </c>
      <c r="D96" s="13">
        <v>30</v>
      </c>
      <c r="E96" s="13">
        <v>30</v>
      </c>
      <c r="F96" s="13">
        <v>30</v>
      </c>
      <c r="G96" s="13">
        <v>30</v>
      </c>
      <c r="H96" s="13">
        <v>30</v>
      </c>
      <c r="I96" s="13">
        <v>30</v>
      </c>
      <c r="J96" s="13">
        <v>30</v>
      </c>
      <c r="K96" s="13">
        <v>30</v>
      </c>
      <c r="L96" s="13">
        <v>30</v>
      </c>
      <c r="M96" s="13">
        <v>30</v>
      </c>
      <c r="N96" s="13">
        <v>30</v>
      </c>
      <c r="O96" s="13">
        <f t="shared" si="26"/>
        <v>360</v>
      </c>
      <c r="Q96" t="s">
        <v>5</v>
      </c>
      <c r="R96">
        <f t="shared" ref="R96:R121" si="30">$F$3</f>
        <v>202504</v>
      </c>
      <c r="S96">
        <f t="shared" si="21"/>
        <v>2745</v>
      </c>
    </row>
    <row r="97" spans="2:19">
      <c r="B97" t="s">
        <v>45</v>
      </c>
      <c r="C97" s="13">
        <v>130</v>
      </c>
      <c r="D97" s="13">
        <v>130</v>
      </c>
      <c r="E97" s="13">
        <v>130</v>
      </c>
      <c r="F97" s="13">
        <v>130</v>
      </c>
      <c r="G97" s="13">
        <v>130</v>
      </c>
      <c r="H97" s="13">
        <v>130</v>
      </c>
      <c r="I97" s="13">
        <v>130</v>
      </c>
      <c r="J97" s="13">
        <v>130</v>
      </c>
      <c r="K97" s="13">
        <v>130</v>
      </c>
      <c r="L97" s="13">
        <v>130</v>
      </c>
      <c r="M97" s="13">
        <v>130</v>
      </c>
      <c r="N97" s="13">
        <v>130</v>
      </c>
      <c r="O97" s="13">
        <f t="shared" si="26"/>
        <v>1560</v>
      </c>
      <c r="Q97" t="s">
        <v>2</v>
      </c>
      <c r="R97">
        <f t="shared" si="30"/>
        <v>202504</v>
      </c>
      <c r="S97">
        <f t="shared" si="21"/>
        <v>350</v>
      </c>
    </row>
    <row r="98" spans="2:19">
      <c r="B98" s="14" t="s">
        <v>29</v>
      </c>
      <c r="C98" s="15">
        <v>0</v>
      </c>
      <c r="D98" s="15">
        <v>0</v>
      </c>
      <c r="E98" s="15">
        <v>0</v>
      </c>
      <c r="F98" s="15">
        <v>0</v>
      </c>
      <c r="G98" s="15">
        <v>0</v>
      </c>
      <c r="H98" s="15">
        <v>0</v>
      </c>
      <c r="I98" s="15">
        <v>0</v>
      </c>
      <c r="J98" s="15">
        <v>0</v>
      </c>
      <c r="K98" s="15">
        <v>0</v>
      </c>
      <c r="L98" s="15">
        <v>0</v>
      </c>
      <c r="M98" s="15">
        <v>0</v>
      </c>
      <c r="N98" s="15">
        <v>0</v>
      </c>
      <c r="O98" s="15">
        <f t="shared" si="26"/>
        <v>0</v>
      </c>
      <c r="Q98" t="s">
        <v>7</v>
      </c>
      <c r="R98">
        <f t="shared" si="30"/>
        <v>202504</v>
      </c>
      <c r="S98">
        <f t="shared" si="21"/>
        <v>700</v>
      </c>
    </row>
    <row r="99" spans="2:19">
      <c r="B99" s="16" t="s">
        <v>7261</v>
      </c>
      <c r="C99" s="17">
        <f t="shared" ref="C99:N99" si="31">SUM(C92:C98)</f>
        <v>2800</v>
      </c>
      <c r="D99" s="17">
        <f t="shared" si="31"/>
        <v>2800</v>
      </c>
      <c r="E99" s="17">
        <f t="shared" si="31"/>
        <v>2800</v>
      </c>
      <c r="F99" s="17">
        <f t="shared" si="31"/>
        <v>2800</v>
      </c>
      <c r="G99" s="17">
        <f t="shared" si="31"/>
        <v>2800</v>
      </c>
      <c r="H99" s="17">
        <f t="shared" si="31"/>
        <v>2800</v>
      </c>
      <c r="I99" s="17">
        <f t="shared" si="31"/>
        <v>2800</v>
      </c>
      <c r="J99" s="17">
        <f t="shared" si="31"/>
        <v>2800</v>
      </c>
      <c r="K99" s="17">
        <f t="shared" si="31"/>
        <v>2800</v>
      </c>
      <c r="L99" s="17">
        <f t="shared" si="31"/>
        <v>2800</v>
      </c>
      <c r="M99" s="17">
        <f t="shared" si="31"/>
        <v>2800</v>
      </c>
      <c r="N99" s="17">
        <f t="shared" si="31"/>
        <v>2800</v>
      </c>
      <c r="O99" s="17">
        <f t="shared" si="26"/>
        <v>33600</v>
      </c>
      <c r="Q99" t="s">
        <v>11</v>
      </c>
      <c r="R99">
        <f t="shared" si="30"/>
        <v>202504</v>
      </c>
      <c r="S99">
        <f t="shared" si="21"/>
        <v>0</v>
      </c>
    </row>
    <row r="100" spans="2:19">
      <c r="B100" s="19"/>
      <c r="C100" s="20"/>
      <c r="D100" s="20"/>
      <c r="E100" s="20"/>
      <c r="F100" s="20"/>
      <c r="G100" s="20"/>
      <c r="H100" s="20"/>
      <c r="I100" s="20"/>
      <c r="J100" s="20"/>
      <c r="K100" s="20"/>
      <c r="L100" s="20"/>
      <c r="M100" s="20"/>
      <c r="N100" s="20"/>
      <c r="O100" s="20">
        <f t="shared" si="26"/>
        <v>0</v>
      </c>
      <c r="Q100" t="s">
        <v>14</v>
      </c>
      <c r="R100">
        <f t="shared" si="30"/>
        <v>202504</v>
      </c>
      <c r="S100">
        <f t="shared" si="21"/>
        <v>250</v>
      </c>
    </row>
    <row r="101" spans="2:19">
      <c r="B101" s="16" t="s">
        <v>7153</v>
      </c>
      <c r="C101" s="17">
        <f>SUM(C99,C90,C84)</f>
        <v>12501.94</v>
      </c>
      <c r="D101" s="17">
        <f t="shared" ref="D101:N101" si="32">SUM(D99,D90,D84)</f>
        <v>12501.94</v>
      </c>
      <c r="E101" s="17">
        <f t="shared" si="32"/>
        <v>12501.94</v>
      </c>
      <c r="F101" s="17">
        <f t="shared" si="32"/>
        <v>12501.94</v>
      </c>
      <c r="G101" s="17">
        <f t="shared" si="32"/>
        <v>12501.94</v>
      </c>
      <c r="H101" s="17">
        <f t="shared" si="32"/>
        <v>12501.94</v>
      </c>
      <c r="I101" s="17">
        <f t="shared" si="32"/>
        <v>12501.94</v>
      </c>
      <c r="J101" s="17">
        <f t="shared" si="32"/>
        <v>12501.94</v>
      </c>
      <c r="K101" s="17">
        <f t="shared" si="32"/>
        <v>12501.94</v>
      </c>
      <c r="L101" s="17">
        <f t="shared" si="32"/>
        <v>12501.94</v>
      </c>
      <c r="M101" s="17">
        <f t="shared" si="32"/>
        <v>12501.94</v>
      </c>
      <c r="N101" s="17">
        <f t="shared" si="32"/>
        <v>12501.94</v>
      </c>
      <c r="O101" s="17">
        <f>SUM(C101:N101)</f>
        <v>150023.28</v>
      </c>
      <c r="Q101" t="s">
        <v>18</v>
      </c>
      <c r="R101">
        <f t="shared" si="30"/>
        <v>202504</v>
      </c>
      <c r="S101">
        <f t="shared" si="21"/>
        <v>135</v>
      </c>
    </row>
    <row r="102" spans="2:19">
      <c r="C102" s="13"/>
      <c r="D102" s="13"/>
      <c r="E102" s="13"/>
      <c r="F102" s="13"/>
      <c r="G102" s="13"/>
      <c r="H102" s="13"/>
      <c r="I102" s="13"/>
      <c r="J102" s="13"/>
      <c r="K102" s="13"/>
      <c r="L102" s="13"/>
      <c r="M102" s="13"/>
      <c r="N102" s="13"/>
      <c r="O102" s="13"/>
      <c r="Q102" s="14" t="s">
        <v>20</v>
      </c>
      <c r="R102">
        <f t="shared" si="30"/>
        <v>202504</v>
      </c>
      <c r="S102">
        <f t="shared" si="21"/>
        <v>2275</v>
      </c>
    </row>
    <row r="103" spans="2:19">
      <c r="B103" t="s">
        <v>48</v>
      </c>
      <c r="C103" s="13"/>
      <c r="D103" s="13"/>
      <c r="E103" s="13"/>
      <c r="F103" s="13"/>
      <c r="G103" s="13"/>
      <c r="H103" s="13"/>
      <c r="I103" s="13"/>
      <c r="J103" s="13"/>
      <c r="K103" s="13"/>
      <c r="L103" s="13"/>
      <c r="M103" s="13"/>
      <c r="N103" s="13">
        <v>4000</v>
      </c>
      <c r="O103" s="13">
        <f>SUM(C103:N103)</f>
        <v>4000</v>
      </c>
      <c r="Q103" s="16" t="s">
        <v>7259</v>
      </c>
      <c r="R103">
        <f t="shared" si="30"/>
        <v>202504</v>
      </c>
      <c r="S103">
        <f t="shared" si="21"/>
        <v>6455</v>
      </c>
    </row>
    <row r="104" spans="2:19">
      <c r="B104" t="s">
        <v>50</v>
      </c>
      <c r="C104" s="13"/>
      <c r="D104" s="13"/>
      <c r="E104" s="13"/>
      <c r="F104" s="13"/>
      <c r="G104" s="13"/>
      <c r="H104" s="13"/>
      <c r="I104" s="13"/>
      <c r="J104" s="13"/>
      <c r="K104" s="13"/>
      <c r="L104" s="13"/>
      <c r="M104" s="13"/>
      <c r="N104" s="13">
        <v>3000</v>
      </c>
      <c r="O104" s="13">
        <f t="shared" ref="O104:O105" si="33">SUM(C104:N104)</f>
        <v>3000</v>
      </c>
      <c r="Q104" t="s">
        <v>23</v>
      </c>
      <c r="R104">
        <f t="shared" si="30"/>
        <v>202504</v>
      </c>
      <c r="S104">
        <f t="shared" si="21"/>
        <v>400</v>
      </c>
    </row>
    <row r="105" spans="2:19">
      <c r="B105" s="14" t="s">
        <v>43</v>
      </c>
      <c r="C105" s="15"/>
      <c r="D105" s="15"/>
      <c r="E105" s="15">
        <v>2000</v>
      </c>
      <c r="F105" s="15">
        <v>6000</v>
      </c>
      <c r="G105" s="15"/>
      <c r="H105" s="15"/>
      <c r="I105" s="15"/>
      <c r="J105" s="15"/>
      <c r="K105" s="15"/>
      <c r="L105" s="15"/>
      <c r="M105" s="15"/>
      <c r="N105" s="15">
        <v>5000</v>
      </c>
      <c r="O105" s="21">
        <f t="shared" si="33"/>
        <v>13000</v>
      </c>
      <c r="Q105" t="s">
        <v>26</v>
      </c>
      <c r="R105">
        <f t="shared" si="30"/>
        <v>202504</v>
      </c>
      <c r="S105">
        <f t="shared" si="21"/>
        <v>1300</v>
      </c>
    </row>
    <row r="106" spans="2:19">
      <c r="B106" s="16" t="s">
        <v>7265</v>
      </c>
      <c r="C106" s="13">
        <f>SUM(C103:C105)</f>
        <v>0</v>
      </c>
      <c r="D106" s="13">
        <f t="shared" ref="D106:N106" si="34">SUM(D103:D105)</f>
        <v>0</v>
      </c>
      <c r="E106" s="13">
        <f t="shared" si="34"/>
        <v>2000</v>
      </c>
      <c r="F106" s="13">
        <f t="shared" si="34"/>
        <v>6000</v>
      </c>
      <c r="G106" s="13">
        <f t="shared" si="34"/>
        <v>0</v>
      </c>
      <c r="H106" s="13">
        <f t="shared" si="34"/>
        <v>0</v>
      </c>
      <c r="I106" s="13">
        <f t="shared" si="34"/>
        <v>0</v>
      </c>
      <c r="J106" s="13">
        <f t="shared" si="34"/>
        <v>0</v>
      </c>
      <c r="K106" s="13">
        <f t="shared" si="34"/>
        <v>0</v>
      </c>
      <c r="L106" s="13">
        <f t="shared" si="34"/>
        <v>0</v>
      </c>
      <c r="M106" s="13">
        <f t="shared" si="34"/>
        <v>0</v>
      </c>
      <c r="N106" s="13">
        <f t="shared" si="34"/>
        <v>12000</v>
      </c>
      <c r="O106" s="13">
        <f>SUM(O103:O105)</f>
        <v>20000</v>
      </c>
      <c r="Q106" t="s">
        <v>28</v>
      </c>
      <c r="R106">
        <f t="shared" si="30"/>
        <v>202504</v>
      </c>
      <c r="S106">
        <f t="shared" si="21"/>
        <v>1000</v>
      </c>
    </row>
    <row r="107" spans="2:19">
      <c r="B107" s="19"/>
      <c r="C107" s="20"/>
      <c r="D107" s="20"/>
      <c r="E107" s="20"/>
      <c r="F107" s="20"/>
      <c r="G107" s="20"/>
      <c r="H107" s="20"/>
      <c r="I107" s="20"/>
      <c r="J107" s="20"/>
      <c r="K107" s="20"/>
      <c r="L107" s="20"/>
      <c r="M107" s="20"/>
      <c r="N107" s="20"/>
      <c r="O107" s="20"/>
      <c r="Q107" s="14" t="s">
        <v>31</v>
      </c>
      <c r="R107">
        <f t="shared" si="30"/>
        <v>202504</v>
      </c>
      <c r="S107">
        <f t="shared" si="21"/>
        <v>675</v>
      </c>
    </row>
    <row r="108" spans="2:19">
      <c r="B108" s="16" t="s">
        <v>7266</v>
      </c>
      <c r="C108" s="17">
        <f t="shared" ref="C108:O108" si="35">SUM(C106,C101)</f>
        <v>12501.94</v>
      </c>
      <c r="D108" s="17">
        <f t="shared" si="35"/>
        <v>12501.94</v>
      </c>
      <c r="E108" s="17">
        <f t="shared" si="35"/>
        <v>14501.94</v>
      </c>
      <c r="F108" s="17">
        <f t="shared" si="35"/>
        <v>18501.940000000002</v>
      </c>
      <c r="G108" s="17">
        <f t="shared" si="35"/>
        <v>12501.94</v>
      </c>
      <c r="H108" s="17">
        <f t="shared" si="35"/>
        <v>12501.94</v>
      </c>
      <c r="I108" s="17">
        <f t="shared" si="35"/>
        <v>12501.94</v>
      </c>
      <c r="J108" s="17">
        <f t="shared" si="35"/>
        <v>12501.94</v>
      </c>
      <c r="K108" s="17">
        <f t="shared" si="35"/>
        <v>12501.94</v>
      </c>
      <c r="L108" s="17">
        <f t="shared" si="35"/>
        <v>12501.94</v>
      </c>
      <c r="M108" s="17">
        <f t="shared" si="35"/>
        <v>12501.94</v>
      </c>
      <c r="N108" s="17">
        <f>SUM(N106,N101)</f>
        <v>24501.940000000002</v>
      </c>
      <c r="O108" s="17">
        <f t="shared" si="35"/>
        <v>170023.28</v>
      </c>
      <c r="Q108" s="16" t="s">
        <v>7260</v>
      </c>
      <c r="R108">
        <f t="shared" si="30"/>
        <v>202504</v>
      </c>
      <c r="S108">
        <f t="shared" si="21"/>
        <v>3375</v>
      </c>
    </row>
    <row r="109" spans="2:19">
      <c r="Q109" t="s">
        <v>34</v>
      </c>
      <c r="R109">
        <f t="shared" si="30"/>
        <v>202504</v>
      </c>
      <c r="S109">
        <f t="shared" si="21"/>
        <v>0</v>
      </c>
    </row>
    <row r="110" spans="2:19">
      <c r="Q110" t="s">
        <v>21</v>
      </c>
      <c r="R110">
        <f t="shared" si="30"/>
        <v>202504</v>
      </c>
      <c r="S110">
        <f t="shared" si="21"/>
        <v>2000</v>
      </c>
    </row>
    <row r="111" spans="2:19">
      <c r="Q111" t="s">
        <v>38</v>
      </c>
      <c r="R111">
        <f t="shared" si="30"/>
        <v>202504</v>
      </c>
      <c r="S111">
        <f t="shared" si="21"/>
        <v>580</v>
      </c>
    </row>
    <row r="112" spans="2:19">
      <c r="Q112" t="s">
        <v>40</v>
      </c>
      <c r="R112">
        <f t="shared" si="30"/>
        <v>202504</v>
      </c>
      <c r="S112">
        <f t="shared" si="21"/>
        <v>550</v>
      </c>
    </row>
    <row r="113" spans="17:19">
      <c r="Q113" t="s">
        <v>41</v>
      </c>
      <c r="R113">
        <f t="shared" si="30"/>
        <v>202504</v>
      </c>
      <c r="S113">
        <f t="shared" si="21"/>
        <v>45</v>
      </c>
    </row>
    <row r="114" spans="17:19">
      <c r="Q114" t="s">
        <v>45</v>
      </c>
      <c r="R114">
        <f t="shared" si="30"/>
        <v>202504</v>
      </c>
      <c r="S114">
        <f t="shared" si="21"/>
        <v>100</v>
      </c>
    </row>
    <row r="115" spans="17:19">
      <c r="Q115" s="14" t="s">
        <v>29</v>
      </c>
      <c r="R115">
        <f t="shared" si="30"/>
        <v>202504</v>
      </c>
      <c r="S115">
        <f t="shared" si="21"/>
        <v>45</v>
      </c>
    </row>
    <row r="116" spans="17:19">
      <c r="Q116" s="16" t="s">
        <v>7261</v>
      </c>
      <c r="R116">
        <f t="shared" si="30"/>
        <v>202504</v>
      </c>
      <c r="S116">
        <f t="shared" si="21"/>
        <v>3320</v>
      </c>
    </row>
    <row r="117" spans="17:19">
      <c r="Q117" s="16" t="s">
        <v>7153</v>
      </c>
      <c r="R117">
        <f t="shared" si="30"/>
        <v>202504</v>
      </c>
      <c r="S117">
        <f t="shared" si="21"/>
        <v>13150</v>
      </c>
    </row>
    <row r="118" spans="17:19">
      <c r="Q118" t="s">
        <v>48</v>
      </c>
      <c r="R118">
        <f t="shared" si="30"/>
        <v>202504</v>
      </c>
      <c r="S118">
        <f t="shared" si="21"/>
        <v>200</v>
      </c>
    </row>
    <row r="119" spans="17:19">
      <c r="Q119" t="s">
        <v>50</v>
      </c>
      <c r="R119">
        <f t="shared" si="30"/>
        <v>202504</v>
      </c>
      <c r="S119">
        <f t="shared" si="21"/>
        <v>17668</v>
      </c>
    </row>
    <row r="120" spans="17:19">
      <c r="Q120" s="14" t="s">
        <v>43</v>
      </c>
      <c r="R120">
        <f t="shared" si="30"/>
        <v>202504</v>
      </c>
      <c r="S120">
        <f t="shared" si="21"/>
        <v>4000</v>
      </c>
    </row>
    <row r="121" spans="17:19">
      <c r="Q121" s="16" t="s">
        <v>7265</v>
      </c>
      <c r="R121">
        <f t="shared" si="30"/>
        <v>202504</v>
      </c>
      <c r="S121">
        <f t="shared" si="21"/>
        <v>21868</v>
      </c>
    </row>
    <row r="122" spans="17:19">
      <c r="Q122" s="16" t="s">
        <v>7266</v>
      </c>
      <c r="R122">
        <f>$F$3</f>
        <v>202504</v>
      </c>
      <c r="S122">
        <f t="shared" si="21"/>
        <v>35018</v>
      </c>
    </row>
    <row r="123" spans="17:19">
      <c r="Q123" t="s">
        <v>5</v>
      </c>
      <c r="R123">
        <f>$G$3</f>
        <v>202505</v>
      </c>
      <c r="S123">
        <f t="shared" si="21"/>
        <v>2745</v>
      </c>
    </row>
    <row r="124" spans="17:19">
      <c r="Q124" t="s">
        <v>2</v>
      </c>
      <c r="R124">
        <f t="shared" ref="R124:R149" si="36">$G$3</f>
        <v>202505</v>
      </c>
      <c r="S124">
        <f t="shared" si="21"/>
        <v>350</v>
      </c>
    </row>
    <row r="125" spans="17:19">
      <c r="Q125" t="s">
        <v>7</v>
      </c>
      <c r="R125">
        <f t="shared" si="36"/>
        <v>202505</v>
      </c>
      <c r="S125">
        <f t="shared" si="21"/>
        <v>700</v>
      </c>
    </row>
    <row r="126" spans="17:19">
      <c r="Q126" t="s">
        <v>11</v>
      </c>
      <c r="R126">
        <f t="shared" si="36"/>
        <v>202505</v>
      </c>
      <c r="S126">
        <f t="shared" si="21"/>
        <v>0</v>
      </c>
    </row>
    <row r="127" spans="17:19">
      <c r="Q127" t="s">
        <v>14</v>
      </c>
      <c r="R127">
        <f t="shared" si="36"/>
        <v>202505</v>
      </c>
      <c r="S127">
        <f t="shared" si="21"/>
        <v>250</v>
      </c>
    </row>
    <row r="128" spans="17:19">
      <c r="Q128" t="s">
        <v>18</v>
      </c>
      <c r="R128">
        <f t="shared" si="36"/>
        <v>202505</v>
      </c>
      <c r="S128">
        <f t="shared" si="21"/>
        <v>135</v>
      </c>
    </row>
    <row r="129" spans="17:19">
      <c r="Q129" s="14" t="s">
        <v>20</v>
      </c>
      <c r="R129">
        <f t="shared" si="36"/>
        <v>202505</v>
      </c>
      <c r="S129">
        <f t="shared" si="21"/>
        <v>2275</v>
      </c>
    </row>
    <row r="130" spans="17:19">
      <c r="Q130" s="16" t="s">
        <v>7259</v>
      </c>
      <c r="R130">
        <f t="shared" si="36"/>
        <v>202505</v>
      </c>
      <c r="S130">
        <f t="shared" si="21"/>
        <v>6455</v>
      </c>
    </row>
    <row r="131" spans="17:19">
      <c r="Q131" t="s">
        <v>23</v>
      </c>
      <c r="R131">
        <f t="shared" si="36"/>
        <v>202505</v>
      </c>
      <c r="S131">
        <f t="shared" si="21"/>
        <v>400</v>
      </c>
    </row>
    <row r="132" spans="17:19">
      <c r="Q132" t="s">
        <v>26</v>
      </c>
      <c r="R132">
        <f t="shared" si="36"/>
        <v>202505</v>
      </c>
      <c r="S132">
        <f t="shared" si="21"/>
        <v>1300</v>
      </c>
    </row>
    <row r="133" spans="17:19">
      <c r="Q133" t="s">
        <v>28</v>
      </c>
      <c r="R133">
        <f t="shared" si="36"/>
        <v>202505</v>
      </c>
      <c r="S133">
        <f t="shared" ref="S133:S196" si="37">INDEX($B$3:$O$36,MATCH(Q133,$B$3:$B$36,0),MATCH(R133,$B$3:$O$3,0))</f>
        <v>1000</v>
      </c>
    </row>
    <row r="134" spans="17:19">
      <c r="Q134" s="14" t="s">
        <v>31</v>
      </c>
      <c r="R134">
        <f t="shared" si="36"/>
        <v>202505</v>
      </c>
      <c r="S134">
        <f t="shared" si="37"/>
        <v>675</v>
      </c>
    </row>
    <row r="135" spans="17:19">
      <c r="Q135" s="16" t="s">
        <v>7260</v>
      </c>
      <c r="R135">
        <f t="shared" si="36"/>
        <v>202505</v>
      </c>
      <c r="S135">
        <f t="shared" si="37"/>
        <v>3375</v>
      </c>
    </row>
    <row r="136" spans="17:19">
      <c r="Q136" t="s">
        <v>34</v>
      </c>
      <c r="R136">
        <f t="shared" si="36"/>
        <v>202505</v>
      </c>
      <c r="S136">
        <f t="shared" si="37"/>
        <v>0</v>
      </c>
    </row>
    <row r="137" spans="17:19">
      <c r="Q137" t="s">
        <v>21</v>
      </c>
      <c r="R137">
        <f t="shared" si="36"/>
        <v>202505</v>
      </c>
      <c r="S137">
        <f t="shared" si="37"/>
        <v>2000</v>
      </c>
    </row>
    <row r="138" spans="17:19">
      <c r="Q138" t="s">
        <v>38</v>
      </c>
      <c r="R138">
        <f t="shared" si="36"/>
        <v>202505</v>
      </c>
      <c r="S138">
        <f t="shared" si="37"/>
        <v>580</v>
      </c>
    </row>
    <row r="139" spans="17:19">
      <c r="Q139" t="s">
        <v>40</v>
      </c>
      <c r="R139">
        <f t="shared" si="36"/>
        <v>202505</v>
      </c>
      <c r="S139">
        <f t="shared" si="37"/>
        <v>550</v>
      </c>
    </row>
    <row r="140" spans="17:19">
      <c r="Q140" t="s">
        <v>41</v>
      </c>
      <c r="R140">
        <f t="shared" si="36"/>
        <v>202505</v>
      </c>
      <c r="S140">
        <f t="shared" si="37"/>
        <v>45</v>
      </c>
    </row>
    <row r="141" spans="17:19">
      <c r="Q141" t="s">
        <v>45</v>
      </c>
      <c r="R141">
        <f t="shared" si="36"/>
        <v>202505</v>
      </c>
      <c r="S141">
        <f t="shared" si="37"/>
        <v>100</v>
      </c>
    </row>
    <row r="142" spans="17:19">
      <c r="Q142" s="14" t="s">
        <v>29</v>
      </c>
      <c r="R142">
        <f t="shared" si="36"/>
        <v>202505</v>
      </c>
      <c r="S142">
        <f t="shared" si="37"/>
        <v>45</v>
      </c>
    </row>
    <row r="143" spans="17:19">
      <c r="Q143" s="16" t="s">
        <v>7261</v>
      </c>
      <c r="R143">
        <f t="shared" si="36"/>
        <v>202505</v>
      </c>
      <c r="S143">
        <f t="shared" si="37"/>
        <v>3320</v>
      </c>
    </row>
    <row r="144" spans="17:19">
      <c r="Q144" s="16" t="s">
        <v>7153</v>
      </c>
      <c r="R144">
        <f t="shared" si="36"/>
        <v>202505</v>
      </c>
      <c r="S144">
        <f t="shared" si="37"/>
        <v>13150</v>
      </c>
    </row>
    <row r="145" spans="17:19">
      <c r="Q145" t="s">
        <v>48</v>
      </c>
      <c r="R145">
        <f t="shared" si="36"/>
        <v>202505</v>
      </c>
      <c r="S145">
        <f t="shared" si="37"/>
        <v>200</v>
      </c>
    </row>
    <row r="146" spans="17:19">
      <c r="Q146" t="s">
        <v>50</v>
      </c>
      <c r="R146">
        <f t="shared" si="36"/>
        <v>202505</v>
      </c>
      <c r="S146">
        <f t="shared" si="37"/>
        <v>0</v>
      </c>
    </row>
    <row r="147" spans="17:19">
      <c r="Q147" s="14" t="s">
        <v>43</v>
      </c>
      <c r="R147">
        <f t="shared" si="36"/>
        <v>202505</v>
      </c>
      <c r="S147">
        <f t="shared" si="37"/>
        <v>0</v>
      </c>
    </row>
    <row r="148" spans="17:19">
      <c r="Q148" s="16" t="s">
        <v>7265</v>
      </c>
      <c r="R148">
        <f t="shared" si="36"/>
        <v>202505</v>
      </c>
      <c r="S148">
        <f t="shared" si="37"/>
        <v>200</v>
      </c>
    </row>
    <row r="149" spans="17:19">
      <c r="Q149" s="16" t="s">
        <v>7266</v>
      </c>
      <c r="R149">
        <f t="shared" si="36"/>
        <v>202505</v>
      </c>
      <c r="S149">
        <f t="shared" si="37"/>
        <v>13350</v>
      </c>
    </row>
    <row r="150" spans="17:19">
      <c r="Q150" t="s">
        <v>5</v>
      </c>
      <c r="R150">
        <f>$H$3</f>
        <v>202506</v>
      </c>
      <c r="S150">
        <f t="shared" si="37"/>
        <v>2745</v>
      </c>
    </row>
    <row r="151" spans="17:19">
      <c r="Q151" t="s">
        <v>2</v>
      </c>
      <c r="R151">
        <f t="shared" ref="R151:R176" si="38">$H$3</f>
        <v>202506</v>
      </c>
      <c r="S151">
        <f t="shared" si="37"/>
        <v>350</v>
      </c>
    </row>
    <row r="152" spans="17:19">
      <c r="Q152" t="s">
        <v>7</v>
      </c>
      <c r="R152">
        <f t="shared" si="38"/>
        <v>202506</v>
      </c>
      <c r="S152">
        <f t="shared" si="37"/>
        <v>700</v>
      </c>
    </row>
    <row r="153" spans="17:19">
      <c r="Q153" t="s">
        <v>11</v>
      </c>
      <c r="R153">
        <f t="shared" si="38"/>
        <v>202506</v>
      </c>
      <c r="S153">
        <f t="shared" si="37"/>
        <v>0</v>
      </c>
    </row>
    <row r="154" spans="17:19">
      <c r="Q154" t="s">
        <v>14</v>
      </c>
      <c r="R154">
        <f t="shared" si="38"/>
        <v>202506</v>
      </c>
      <c r="S154">
        <f t="shared" si="37"/>
        <v>250</v>
      </c>
    </row>
    <row r="155" spans="17:19">
      <c r="Q155" t="s">
        <v>18</v>
      </c>
      <c r="R155">
        <f t="shared" si="38"/>
        <v>202506</v>
      </c>
      <c r="S155">
        <f t="shared" si="37"/>
        <v>135</v>
      </c>
    </row>
    <row r="156" spans="17:19">
      <c r="Q156" s="14" t="s">
        <v>20</v>
      </c>
      <c r="R156">
        <f t="shared" si="38"/>
        <v>202506</v>
      </c>
      <c r="S156">
        <f t="shared" si="37"/>
        <v>2275</v>
      </c>
    </row>
    <row r="157" spans="17:19">
      <c r="Q157" s="16" t="s">
        <v>7259</v>
      </c>
      <c r="R157">
        <f t="shared" si="38"/>
        <v>202506</v>
      </c>
      <c r="S157">
        <f t="shared" si="37"/>
        <v>6455</v>
      </c>
    </row>
    <row r="158" spans="17:19">
      <c r="Q158" t="s">
        <v>23</v>
      </c>
      <c r="R158">
        <f t="shared" si="38"/>
        <v>202506</v>
      </c>
      <c r="S158">
        <f t="shared" si="37"/>
        <v>400</v>
      </c>
    </row>
    <row r="159" spans="17:19">
      <c r="Q159" t="s">
        <v>26</v>
      </c>
      <c r="R159">
        <f t="shared" si="38"/>
        <v>202506</v>
      </c>
      <c r="S159">
        <f t="shared" si="37"/>
        <v>1300</v>
      </c>
    </row>
    <row r="160" spans="17:19">
      <c r="Q160" t="s">
        <v>28</v>
      </c>
      <c r="R160">
        <f t="shared" si="38"/>
        <v>202506</v>
      </c>
      <c r="S160">
        <f t="shared" si="37"/>
        <v>1000</v>
      </c>
    </row>
    <row r="161" spans="17:19">
      <c r="Q161" s="14" t="s">
        <v>31</v>
      </c>
      <c r="R161">
        <f t="shared" si="38"/>
        <v>202506</v>
      </c>
      <c r="S161">
        <f t="shared" si="37"/>
        <v>675</v>
      </c>
    </row>
    <row r="162" spans="17:19">
      <c r="Q162" s="16" t="s">
        <v>7260</v>
      </c>
      <c r="R162">
        <f t="shared" si="38"/>
        <v>202506</v>
      </c>
      <c r="S162">
        <f t="shared" si="37"/>
        <v>3375</v>
      </c>
    </row>
    <row r="163" spans="17:19">
      <c r="Q163" t="s">
        <v>34</v>
      </c>
      <c r="R163">
        <f t="shared" si="38"/>
        <v>202506</v>
      </c>
      <c r="S163">
        <f t="shared" si="37"/>
        <v>0</v>
      </c>
    </row>
    <row r="164" spans="17:19">
      <c r="Q164" t="s">
        <v>21</v>
      </c>
      <c r="R164">
        <f t="shared" si="38"/>
        <v>202506</v>
      </c>
      <c r="S164">
        <f t="shared" si="37"/>
        <v>2000</v>
      </c>
    </row>
    <row r="165" spans="17:19">
      <c r="Q165" t="s">
        <v>38</v>
      </c>
      <c r="R165">
        <f t="shared" si="38"/>
        <v>202506</v>
      </c>
      <c r="S165">
        <f t="shared" si="37"/>
        <v>580</v>
      </c>
    </row>
    <row r="166" spans="17:19">
      <c r="Q166" t="s">
        <v>40</v>
      </c>
      <c r="R166">
        <f t="shared" si="38"/>
        <v>202506</v>
      </c>
      <c r="S166">
        <f t="shared" si="37"/>
        <v>550</v>
      </c>
    </row>
    <row r="167" spans="17:19">
      <c r="Q167" t="s">
        <v>41</v>
      </c>
      <c r="R167">
        <f t="shared" si="38"/>
        <v>202506</v>
      </c>
      <c r="S167">
        <f t="shared" si="37"/>
        <v>45</v>
      </c>
    </row>
    <row r="168" spans="17:19">
      <c r="Q168" t="s">
        <v>45</v>
      </c>
      <c r="R168">
        <f t="shared" si="38"/>
        <v>202506</v>
      </c>
      <c r="S168">
        <f t="shared" si="37"/>
        <v>100</v>
      </c>
    </row>
    <row r="169" spans="17:19">
      <c r="Q169" s="14" t="s">
        <v>29</v>
      </c>
      <c r="R169">
        <f t="shared" si="38"/>
        <v>202506</v>
      </c>
      <c r="S169">
        <f t="shared" si="37"/>
        <v>45</v>
      </c>
    </row>
    <row r="170" spans="17:19">
      <c r="Q170" s="16" t="s">
        <v>7261</v>
      </c>
      <c r="R170">
        <f t="shared" si="38"/>
        <v>202506</v>
      </c>
      <c r="S170">
        <f t="shared" si="37"/>
        <v>3320</v>
      </c>
    </row>
    <row r="171" spans="17:19">
      <c r="Q171" s="16" t="s">
        <v>7153</v>
      </c>
      <c r="R171">
        <f t="shared" si="38"/>
        <v>202506</v>
      </c>
      <c r="S171">
        <f t="shared" si="37"/>
        <v>13150</v>
      </c>
    </row>
    <row r="172" spans="17:19">
      <c r="Q172" t="s">
        <v>48</v>
      </c>
      <c r="R172">
        <f t="shared" si="38"/>
        <v>202506</v>
      </c>
      <c r="S172">
        <f t="shared" si="37"/>
        <v>200</v>
      </c>
    </row>
    <row r="173" spans="17:19">
      <c r="Q173" t="s">
        <v>50</v>
      </c>
      <c r="R173">
        <f t="shared" si="38"/>
        <v>202506</v>
      </c>
      <c r="S173">
        <f t="shared" si="37"/>
        <v>0</v>
      </c>
    </row>
    <row r="174" spans="17:19">
      <c r="Q174" s="14" t="s">
        <v>43</v>
      </c>
      <c r="R174">
        <f t="shared" si="38"/>
        <v>202506</v>
      </c>
      <c r="S174">
        <f t="shared" si="37"/>
        <v>1500</v>
      </c>
    </row>
    <row r="175" spans="17:19">
      <c r="Q175" s="16" t="s">
        <v>7265</v>
      </c>
      <c r="R175">
        <f t="shared" si="38"/>
        <v>202506</v>
      </c>
      <c r="S175">
        <f t="shared" si="37"/>
        <v>1700</v>
      </c>
    </row>
    <row r="176" spans="17:19">
      <c r="Q176" s="16" t="s">
        <v>7266</v>
      </c>
      <c r="R176">
        <f t="shared" si="38"/>
        <v>202506</v>
      </c>
      <c r="S176">
        <f t="shared" si="37"/>
        <v>14850</v>
      </c>
    </row>
    <row r="177" spans="17:19">
      <c r="Q177" t="s">
        <v>5</v>
      </c>
      <c r="R177">
        <f>$I$3</f>
        <v>202507</v>
      </c>
      <c r="S177">
        <f t="shared" si="37"/>
        <v>2745</v>
      </c>
    </row>
    <row r="178" spans="17:19">
      <c r="Q178" t="s">
        <v>2</v>
      </c>
      <c r="R178">
        <f t="shared" ref="R178:R203" si="39">$I$3</f>
        <v>202507</v>
      </c>
      <c r="S178">
        <f t="shared" si="37"/>
        <v>350</v>
      </c>
    </row>
    <row r="179" spans="17:19">
      <c r="Q179" t="s">
        <v>7</v>
      </c>
      <c r="R179">
        <f t="shared" si="39"/>
        <v>202507</v>
      </c>
      <c r="S179">
        <f t="shared" si="37"/>
        <v>700</v>
      </c>
    </row>
    <row r="180" spans="17:19">
      <c r="Q180" t="s">
        <v>11</v>
      </c>
      <c r="R180">
        <f t="shared" si="39"/>
        <v>202507</v>
      </c>
      <c r="S180">
        <f t="shared" si="37"/>
        <v>0</v>
      </c>
    </row>
    <row r="181" spans="17:19">
      <c r="Q181" t="s">
        <v>14</v>
      </c>
      <c r="R181">
        <f t="shared" si="39"/>
        <v>202507</v>
      </c>
      <c r="S181">
        <f t="shared" si="37"/>
        <v>250</v>
      </c>
    </row>
    <row r="182" spans="17:19">
      <c r="Q182" t="s">
        <v>18</v>
      </c>
      <c r="R182">
        <f t="shared" si="39"/>
        <v>202507</v>
      </c>
      <c r="S182">
        <f t="shared" si="37"/>
        <v>135</v>
      </c>
    </row>
    <row r="183" spans="17:19">
      <c r="Q183" s="14" t="s">
        <v>20</v>
      </c>
      <c r="R183">
        <f t="shared" si="39"/>
        <v>202507</v>
      </c>
      <c r="S183">
        <f t="shared" si="37"/>
        <v>2275</v>
      </c>
    </row>
    <row r="184" spans="17:19">
      <c r="Q184" s="16" t="s">
        <v>7259</v>
      </c>
      <c r="R184">
        <f t="shared" si="39"/>
        <v>202507</v>
      </c>
      <c r="S184">
        <f t="shared" si="37"/>
        <v>6455</v>
      </c>
    </row>
    <row r="185" spans="17:19">
      <c r="Q185" t="s">
        <v>23</v>
      </c>
      <c r="R185">
        <f t="shared" si="39"/>
        <v>202507</v>
      </c>
      <c r="S185">
        <f t="shared" si="37"/>
        <v>400</v>
      </c>
    </row>
    <row r="186" spans="17:19">
      <c r="Q186" t="s">
        <v>26</v>
      </c>
      <c r="R186">
        <f t="shared" si="39"/>
        <v>202507</v>
      </c>
      <c r="S186">
        <f t="shared" si="37"/>
        <v>1300</v>
      </c>
    </row>
    <row r="187" spans="17:19">
      <c r="Q187" t="s">
        <v>28</v>
      </c>
      <c r="R187">
        <f t="shared" si="39"/>
        <v>202507</v>
      </c>
      <c r="S187">
        <f t="shared" si="37"/>
        <v>1000</v>
      </c>
    </row>
    <row r="188" spans="17:19">
      <c r="Q188" s="14" t="s">
        <v>31</v>
      </c>
      <c r="R188">
        <f t="shared" si="39"/>
        <v>202507</v>
      </c>
      <c r="S188">
        <f t="shared" si="37"/>
        <v>675</v>
      </c>
    </row>
    <row r="189" spans="17:19">
      <c r="Q189" s="16" t="s">
        <v>7260</v>
      </c>
      <c r="R189">
        <f t="shared" si="39"/>
        <v>202507</v>
      </c>
      <c r="S189">
        <f t="shared" si="37"/>
        <v>3375</v>
      </c>
    </row>
    <row r="190" spans="17:19">
      <c r="Q190" t="s">
        <v>34</v>
      </c>
      <c r="R190">
        <f t="shared" si="39"/>
        <v>202507</v>
      </c>
      <c r="S190">
        <f t="shared" si="37"/>
        <v>0</v>
      </c>
    </row>
    <row r="191" spans="17:19">
      <c r="Q191" t="s">
        <v>21</v>
      </c>
      <c r="R191">
        <f t="shared" si="39"/>
        <v>202507</v>
      </c>
      <c r="S191">
        <f t="shared" si="37"/>
        <v>2000</v>
      </c>
    </row>
    <row r="192" spans="17:19">
      <c r="Q192" t="s">
        <v>38</v>
      </c>
      <c r="R192">
        <f t="shared" si="39"/>
        <v>202507</v>
      </c>
      <c r="S192">
        <f t="shared" si="37"/>
        <v>580</v>
      </c>
    </row>
    <row r="193" spans="17:19">
      <c r="Q193" t="s">
        <v>40</v>
      </c>
      <c r="R193">
        <f t="shared" si="39"/>
        <v>202507</v>
      </c>
      <c r="S193">
        <f t="shared" si="37"/>
        <v>550</v>
      </c>
    </row>
    <row r="194" spans="17:19">
      <c r="Q194" t="s">
        <v>41</v>
      </c>
      <c r="R194">
        <f t="shared" si="39"/>
        <v>202507</v>
      </c>
      <c r="S194">
        <f t="shared" si="37"/>
        <v>45</v>
      </c>
    </row>
    <row r="195" spans="17:19">
      <c r="Q195" t="s">
        <v>45</v>
      </c>
      <c r="R195">
        <f t="shared" si="39"/>
        <v>202507</v>
      </c>
      <c r="S195">
        <f t="shared" si="37"/>
        <v>100</v>
      </c>
    </row>
    <row r="196" spans="17:19">
      <c r="Q196" s="14" t="s">
        <v>29</v>
      </c>
      <c r="R196">
        <f t="shared" si="39"/>
        <v>202507</v>
      </c>
      <c r="S196">
        <f t="shared" si="37"/>
        <v>45</v>
      </c>
    </row>
    <row r="197" spans="17:19">
      <c r="Q197" s="16" t="s">
        <v>7261</v>
      </c>
      <c r="R197">
        <f t="shared" si="39"/>
        <v>202507</v>
      </c>
      <c r="S197">
        <f t="shared" ref="S197:S260" si="40">INDEX($B$3:$O$36,MATCH(Q197,$B$3:$B$36,0),MATCH(R197,$B$3:$O$3,0))</f>
        <v>3320</v>
      </c>
    </row>
    <row r="198" spans="17:19">
      <c r="Q198" s="16" t="s">
        <v>7153</v>
      </c>
      <c r="R198">
        <f t="shared" si="39"/>
        <v>202507</v>
      </c>
      <c r="S198">
        <f t="shared" si="40"/>
        <v>13150</v>
      </c>
    </row>
    <row r="199" spans="17:19">
      <c r="Q199" t="s">
        <v>48</v>
      </c>
      <c r="R199">
        <f t="shared" si="39"/>
        <v>202507</v>
      </c>
      <c r="S199">
        <f t="shared" si="40"/>
        <v>200</v>
      </c>
    </row>
    <row r="200" spans="17:19">
      <c r="Q200" t="s">
        <v>50</v>
      </c>
      <c r="R200">
        <f t="shared" si="39"/>
        <v>202507</v>
      </c>
      <c r="S200">
        <f t="shared" si="40"/>
        <v>0</v>
      </c>
    </row>
    <row r="201" spans="17:19">
      <c r="Q201" s="14" t="s">
        <v>43</v>
      </c>
      <c r="R201">
        <f t="shared" si="39"/>
        <v>202507</v>
      </c>
      <c r="S201">
        <f t="shared" si="40"/>
        <v>0</v>
      </c>
    </row>
    <row r="202" spans="17:19">
      <c r="Q202" s="16" t="s">
        <v>7265</v>
      </c>
      <c r="R202">
        <f t="shared" si="39"/>
        <v>202507</v>
      </c>
      <c r="S202">
        <f t="shared" si="40"/>
        <v>200</v>
      </c>
    </row>
    <row r="203" spans="17:19">
      <c r="Q203" s="16" t="s">
        <v>7266</v>
      </c>
      <c r="R203">
        <f t="shared" si="39"/>
        <v>202507</v>
      </c>
      <c r="S203">
        <f t="shared" si="40"/>
        <v>13350</v>
      </c>
    </row>
    <row r="204" spans="17:19">
      <c r="Q204" t="s">
        <v>5</v>
      </c>
      <c r="R204">
        <f>$J$3</f>
        <v>202508</v>
      </c>
      <c r="S204">
        <f t="shared" si="40"/>
        <v>2745</v>
      </c>
    </row>
    <row r="205" spans="17:19">
      <c r="Q205" t="s">
        <v>2</v>
      </c>
      <c r="R205">
        <f t="shared" ref="R205:R230" si="41">$J$3</f>
        <v>202508</v>
      </c>
      <c r="S205">
        <f t="shared" si="40"/>
        <v>350</v>
      </c>
    </row>
    <row r="206" spans="17:19">
      <c r="Q206" t="s">
        <v>7</v>
      </c>
      <c r="R206">
        <f t="shared" si="41"/>
        <v>202508</v>
      </c>
      <c r="S206">
        <f t="shared" si="40"/>
        <v>700</v>
      </c>
    </row>
    <row r="207" spans="17:19">
      <c r="Q207" t="s">
        <v>11</v>
      </c>
      <c r="R207">
        <f t="shared" si="41"/>
        <v>202508</v>
      </c>
      <c r="S207">
        <f t="shared" si="40"/>
        <v>0</v>
      </c>
    </row>
    <row r="208" spans="17:19">
      <c r="Q208" t="s">
        <v>14</v>
      </c>
      <c r="R208">
        <f t="shared" si="41"/>
        <v>202508</v>
      </c>
      <c r="S208">
        <f t="shared" si="40"/>
        <v>250</v>
      </c>
    </row>
    <row r="209" spans="17:19">
      <c r="Q209" t="s">
        <v>18</v>
      </c>
      <c r="R209">
        <f t="shared" si="41"/>
        <v>202508</v>
      </c>
      <c r="S209">
        <f t="shared" si="40"/>
        <v>135</v>
      </c>
    </row>
    <row r="210" spans="17:19">
      <c r="Q210" s="14" t="s">
        <v>20</v>
      </c>
      <c r="R210">
        <f t="shared" si="41"/>
        <v>202508</v>
      </c>
      <c r="S210">
        <f t="shared" si="40"/>
        <v>2275</v>
      </c>
    </row>
    <row r="211" spans="17:19">
      <c r="Q211" s="16" t="s">
        <v>7259</v>
      </c>
      <c r="R211">
        <f t="shared" si="41"/>
        <v>202508</v>
      </c>
      <c r="S211">
        <f t="shared" si="40"/>
        <v>6455</v>
      </c>
    </row>
    <row r="212" spans="17:19">
      <c r="Q212" t="s">
        <v>23</v>
      </c>
      <c r="R212">
        <f t="shared" si="41"/>
        <v>202508</v>
      </c>
      <c r="S212">
        <f t="shared" si="40"/>
        <v>400</v>
      </c>
    </row>
    <row r="213" spans="17:19">
      <c r="Q213" t="s">
        <v>26</v>
      </c>
      <c r="R213">
        <f t="shared" si="41"/>
        <v>202508</v>
      </c>
      <c r="S213">
        <f t="shared" si="40"/>
        <v>1300</v>
      </c>
    </row>
    <row r="214" spans="17:19">
      <c r="Q214" t="s">
        <v>28</v>
      </c>
      <c r="R214">
        <f t="shared" si="41"/>
        <v>202508</v>
      </c>
      <c r="S214">
        <f t="shared" si="40"/>
        <v>1000</v>
      </c>
    </row>
    <row r="215" spans="17:19">
      <c r="Q215" s="14" t="s">
        <v>31</v>
      </c>
      <c r="R215">
        <f t="shared" si="41"/>
        <v>202508</v>
      </c>
      <c r="S215">
        <f t="shared" si="40"/>
        <v>675</v>
      </c>
    </row>
    <row r="216" spans="17:19">
      <c r="Q216" s="16" t="s">
        <v>7260</v>
      </c>
      <c r="R216">
        <f t="shared" si="41"/>
        <v>202508</v>
      </c>
      <c r="S216">
        <f t="shared" si="40"/>
        <v>3375</v>
      </c>
    </row>
    <row r="217" spans="17:19">
      <c r="Q217" t="s">
        <v>34</v>
      </c>
      <c r="R217">
        <f t="shared" si="41"/>
        <v>202508</v>
      </c>
      <c r="S217">
        <f t="shared" si="40"/>
        <v>0</v>
      </c>
    </row>
    <row r="218" spans="17:19">
      <c r="Q218" t="s">
        <v>21</v>
      </c>
      <c r="R218">
        <f t="shared" si="41"/>
        <v>202508</v>
      </c>
      <c r="S218">
        <f t="shared" si="40"/>
        <v>2000</v>
      </c>
    </row>
    <row r="219" spans="17:19">
      <c r="Q219" t="s">
        <v>38</v>
      </c>
      <c r="R219">
        <f t="shared" si="41"/>
        <v>202508</v>
      </c>
      <c r="S219">
        <f t="shared" si="40"/>
        <v>580</v>
      </c>
    </row>
    <row r="220" spans="17:19">
      <c r="Q220" t="s">
        <v>40</v>
      </c>
      <c r="R220">
        <f t="shared" si="41"/>
        <v>202508</v>
      </c>
      <c r="S220">
        <f t="shared" si="40"/>
        <v>550</v>
      </c>
    </row>
    <row r="221" spans="17:19">
      <c r="Q221" t="s">
        <v>41</v>
      </c>
      <c r="R221">
        <f t="shared" si="41"/>
        <v>202508</v>
      </c>
      <c r="S221">
        <f t="shared" si="40"/>
        <v>45</v>
      </c>
    </row>
    <row r="222" spans="17:19">
      <c r="Q222" t="s">
        <v>45</v>
      </c>
      <c r="R222">
        <f t="shared" si="41"/>
        <v>202508</v>
      </c>
      <c r="S222">
        <f t="shared" si="40"/>
        <v>100</v>
      </c>
    </row>
    <row r="223" spans="17:19">
      <c r="Q223" s="14" t="s">
        <v>29</v>
      </c>
      <c r="R223">
        <f t="shared" si="41"/>
        <v>202508</v>
      </c>
      <c r="S223">
        <f t="shared" si="40"/>
        <v>45</v>
      </c>
    </row>
    <row r="224" spans="17:19">
      <c r="Q224" s="16" t="s">
        <v>7261</v>
      </c>
      <c r="R224">
        <f t="shared" si="41"/>
        <v>202508</v>
      </c>
      <c r="S224">
        <f t="shared" si="40"/>
        <v>3320</v>
      </c>
    </row>
    <row r="225" spans="17:19">
      <c r="Q225" s="16" t="s">
        <v>7153</v>
      </c>
      <c r="R225">
        <f t="shared" si="41"/>
        <v>202508</v>
      </c>
      <c r="S225">
        <f t="shared" si="40"/>
        <v>13150</v>
      </c>
    </row>
    <row r="226" spans="17:19">
      <c r="Q226" t="s">
        <v>48</v>
      </c>
      <c r="R226">
        <f t="shared" si="41"/>
        <v>202508</v>
      </c>
      <c r="S226">
        <f t="shared" si="40"/>
        <v>200</v>
      </c>
    </row>
    <row r="227" spans="17:19">
      <c r="Q227" t="s">
        <v>50</v>
      </c>
      <c r="R227">
        <f t="shared" si="41"/>
        <v>202508</v>
      </c>
      <c r="S227">
        <f t="shared" si="40"/>
        <v>0</v>
      </c>
    </row>
    <row r="228" spans="17:19">
      <c r="Q228" s="14" t="s">
        <v>43</v>
      </c>
      <c r="R228">
        <f t="shared" si="41"/>
        <v>202508</v>
      </c>
      <c r="S228">
        <f t="shared" si="40"/>
        <v>0</v>
      </c>
    </row>
    <row r="229" spans="17:19">
      <c r="Q229" s="16" t="s">
        <v>7265</v>
      </c>
      <c r="R229">
        <f t="shared" si="41"/>
        <v>202508</v>
      </c>
      <c r="S229">
        <f t="shared" si="40"/>
        <v>200</v>
      </c>
    </row>
    <row r="230" spans="17:19">
      <c r="Q230" s="16" t="s">
        <v>7266</v>
      </c>
      <c r="R230">
        <f t="shared" si="41"/>
        <v>202508</v>
      </c>
      <c r="S230">
        <f t="shared" si="40"/>
        <v>13350</v>
      </c>
    </row>
    <row r="231" spans="17:19">
      <c r="Q231" t="s">
        <v>5</v>
      </c>
      <c r="R231">
        <f>$K$3</f>
        <v>202509</v>
      </c>
      <c r="S231">
        <f t="shared" si="40"/>
        <v>2745</v>
      </c>
    </row>
    <row r="232" spans="17:19">
      <c r="Q232" t="s">
        <v>2</v>
      </c>
      <c r="R232">
        <f t="shared" ref="R232:R257" si="42">$K$3</f>
        <v>202509</v>
      </c>
      <c r="S232">
        <f t="shared" si="40"/>
        <v>350</v>
      </c>
    </row>
    <row r="233" spans="17:19">
      <c r="Q233" t="s">
        <v>7</v>
      </c>
      <c r="R233">
        <f t="shared" si="42"/>
        <v>202509</v>
      </c>
      <c r="S233">
        <f t="shared" si="40"/>
        <v>700</v>
      </c>
    </row>
    <row r="234" spans="17:19">
      <c r="Q234" t="s">
        <v>11</v>
      </c>
      <c r="R234">
        <f t="shared" si="42"/>
        <v>202509</v>
      </c>
      <c r="S234">
        <f t="shared" si="40"/>
        <v>0</v>
      </c>
    </row>
    <row r="235" spans="17:19">
      <c r="Q235" t="s">
        <v>14</v>
      </c>
      <c r="R235">
        <f t="shared" si="42"/>
        <v>202509</v>
      </c>
      <c r="S235">
        <f t="shared" si="40"/>
        <v>250</v>
      </c>
    </row>
    <row r="236" spans="17:19">
      <c r="Q236" t="s">
        <v>18</v>
      </c>
      <c r="R236">
        <f t="shared" si="42"/>
        <v>202509</v>
      </c>
      <c r="S236">
        <f t="shared" si="40"/>
        <v>135</v>
      </c>
    </row>
    <row r="237" spans="17:19">
      <c r="Q237" s="14" t="s">
        <v>20</v>
      </c>
      <c r="R237">
        <f t="shared" si="42"/>
        <v>202509</v>
      </c>
      <c r="S237">
        <f t="shared" si="40"/>
        <v>2275</v>
      </c>
    </row>
    <row r="238" spans="17:19">
      <c r="Q238" s="16" t="s">
        <v>7259</v>
      </c>
      <c r="R238">
        <f t="shared" si="42"/>
        <v>202509</v>
      </c>
      <c r="S238">
        <f t="shared" si="40"/>
        <v>6455</v>
      </c>
    </row>
    <row r="239" spans="17:19">
      <c r="Q239" t="s">
        <v>23</v>
      </c>
      <c r="R239">
        <f t="shared" si="42"/>
        <v>202509</v>
      </c>
      <c r="S239">
        <f t="shared" si="40"/>
        <v>400</v>
      </c>
    </row>
    <row r="240" spans="17:19">
      <c r="Q240" t="s">
        <v>26</v>
      </c>
      <c r="R240">
        <f t="shared" si="42"/>
        <v>202509</v>
      </c>
      <c r="S240">
        <f t="shared" si="40"/>
        <v>1300</v>
      </c>
    </row>
    <row r="241" spans="17:19">
      <c r="Q241" t="s">
        <v>28</v>
      </c>
      <c r="R241">
        <f t="shared" si="42"/>
        <v>202509</v>
      </c>
      <c r="S241">
        <f t="shared" si="40"/>
        <v>1000</v>
      </c>
    </row>
    <row r="242" spans="17:19">
      <c r="Q242" s="14" t="s">
        <v>31</v>
      </c>
      <c r="R242">
        <f t="shared" si="42"/>
        <v>202509</v>
      </c>
      <c r="S242">
        <f t="shared" si="40"/>
        <v>675</v>
      </c>
    </row>
    <row r="243" spans="17:19">
      <c r="Q243" s="16" t="s">
        <v>7260</v>
      </c>
      <c r="R243">
        <f t="shared" si="42"/>
        <v>202509</v>
      </c>
      <c r="S243">
        <f t="shared" si="40"/>
        <v>3375</v>
      </c>
    </row>
    <row r="244" spans="17:19">
      <c r="Q244" t="s">
        <v>34</v>
      </c>
      <c r="R244">
        <f t="shared" si="42"/>
        <v>202509</v>
      </c>
      <c r="S244">
        <f t="shared" si="40"/>
        <v>0</v>
      </c>
    </row>
    <row r="245" spans="17:19">
      <c r="Q245" t="s">
        <v>21</v>
      </c>
      <c r="R245">
        <f t="shared" si="42"/>
        <v>202509</v>
      </c>
      <c r="S245">
        <f t="shared" si="40"/>
        <v>2000</v>
      </c>
    </row>
    <row r="246" spans="17:19">
      <c r="Q246" t="s">
        <v>38</v>
      </c>
      <c r="R246">
        <f t="shared" si="42"/>
        <v>202509</v>
      </c>
      <c r="S246">
        <f t="shared" si="40"/>
        <v>580</v>
      </c>
    </row>
    <row r="247" spans="17:19">
      <c r="Q247" t="s">
        <v>40</v>
      </c>
      <c r="R247">
        <f t="shared" si="42"/>
        <v>202509</v>
      </c>
      <c r="S247">
        <f t="shared" si="40"/>
        <v>550</v>
      </c>
    </row>
    <row r="248" spans="17:19">
      <c r="Q248" t="s">
        <v>41</v>
      </c>
      <c r="R248">
        <f t="shared" si="42"/>
        <v>202509</v>
      </c>
      <c r="S248">
        <f t="shared" si="40"/>
        <v>45</v>
      </c>
    </row>
    <row r="249" spans="17:19">
      <c r="Q249" t="s">
        <v>45</v>
      </c>
      <c r="R249">
        <f t="shared" si="42"/>
        <v>202509</v>
      </c>
      <c r="S249">
        <f t="shared" si="40"/>
        <v>100</v>
      </c>
    </row>
    <row r="250" spans="17:19">
      <c r="Q250" s="14" t="s">
        <v>29</v>
      </c>
      <c r="R250">
        <f t="shared" si="42"/>
        <v>202509</v>
      </c>
      <c r="S250">
        <f t="shared" si="40"/>
        <v>45</v>
      </c>
    </row>
    <row r="251" spans="17:19">
      <c r="Q251" s="16" t="s">
        <v>7261</v>
      </c>
      <c r="R251">
        <f t="shared" si="42"/>
        <v>202509</v>
      </c>
      <c r="S251">
        <f t="shared" si="40"/>
        <v>3320</v>
      </c>
    </row>
    <row r="252" spans="17:19">
      <c r="Q252" s="16" t="s">
        <v>7153</v>
      </c>
      <c r="R252">
        <f t="shared" si="42"/>
        <v>202509</v>
      </c>
      <c r="S252">
        <f t="shared" si="40"/>
        <v>13150</v>
      </c>
    </row>
    <row r="253" spans="17:19">
      <c r="Q253" t="s">
        <v>48</v>
      </c>
      <c r="R253">
        <f t="shared" si="42"/>
        <v>202509</v>
      </c>
      <c r="S253">
        <f t="shared" si="40"/>
        <v>200</v>
      </c>
    </row>
    <row r="254" spans="17:19">
      <c r="Q254" t="s">
        <v>50</v>
      </c>
      <c r="R254">
        <f t="shared" si="42"/>
        <v>202509</v>
      </c>
      <c r="S254">
        <f t="shared" si="40"/>
        <v>0</v>
      </c>
    </row>
    <row r="255" spans="17:19">
      <c r="Q255" s="14" t="s">
        <v>43</v>
      </c>
      <c r="R255">
        <f t="shared" si="42"/>
        <v>202509</v>
      </c>
      <c r="S255">
        <f t="shared" si="40"/>
        <v>2000</v>
      </c>
    </row>
    <row r="256" spans="17:19">
      <c r="Q256" s="16" t="s">
        <v>7265</v>
      </c>
      <c r="R256">
        <f t="shared" si="42"/>
        <v>202509</v>
      </c>
      <c r="S256">
        <f t="shared" si="40"/>
        <v>2200</v>
      </c>
    </row>
    <row r="257" spans="17:19">
      <c r="Q257" s="16" t="s">
        <v>7266</v>
      </c>
      <c r="R257">
        <f t="shared" si="42"/>
        <v>202509</v>
      </c>
      <c r="S257">
        <f t="shared" si="40"/>
        <v>15350</v>
      </c>
    </row>
    <row r="258" spans="17:19">
      <c r="Q258" t="s">
        <v>5</v>
      </c>
      <c r="R258">
        <f>$L$3</f>
        <v>202510</v>
      </c>
      <c r="S258">
        <f t="shared" si="40"/>
        <v>2745</v>
      </c>
    </row>
    <row r="259" spans="17:19">
      <c r="Q259" t="s">
        <v>2</v>
      </c>
      <c r="R259">
        <f t="shared" ref="R259:R284" si="43">$L$3</f>
        <v>202510</v>
      </c>
      <c r="S259">
        <f t="shared" si="40"/>
        <v>350</v>
      </c>
    </row>
    <row r="260" spans="17:19">
      <c r="Q260" t="s">
        <v>7</v>
      </c>
      <c r="R260">
        <f t="shared" si="43"/>
        <v>202510</v>
      </c>
      <c r="S260">
        <f t="shared" si="40"/>
        <v>700</v>
      </c>
    </row>
    <row r="261" spans="17:19">
      <c r="Q261" t="s">
        <v>11</v>
      </c>
      <c r="R261">
        <f t="shared" si="43"/>
        <v>202510</v>
      </c>
      <c r="S261">
        <f t="shared" ref="S261:S324" si="44">INDEX($B$3:$O$36,MATCH(Q261,$B$3:$B$36,0),MATCH(R261,$B$3:$O$3,0))</f>
        <v>0</v>
      </c>
    </row>
    <row r="262" spans="17:19">
      <c r="Q262" t="s">
        <v>14</v>
      </c>
      <c r="R262">
        <f t="shared" si="43"/>
        <v>202510</v>
      </c>
      <c r="S262">
        <f t="shared" si="44"/>
        <v>250</v>
      </c>
    </row>
    <row r="263" spans="17:19">
      <c r="Q263" t="s">
        <v>18</v>
      </c>
      <c r="R263">
        <f t="shared" si="43"/>
        <v>202510</v>
      </c>
      <c r="S263">
        <f t="shared" si="44"/>
        <v>135</v>
      </c>
    </row>
    <row r="264" spans="17:19">
      <c r="Q264" s="14" t="s">
        <v>20</v>
      </c>
      <c r="R264">
        <f t="shared" si="43"/>
        <v>202510</v>
      </c>
      <c r="S264">
        <f t="shared" si="44"/>
        <v>2275</v>
      </c>
    </row>
    <row r="265" spans="17:19">
      <c r="Q265" s="16" t="s">
        <v>7259</v>
      </c>
      <c r="R265">
        <f t="shared" si="43"/>
        <v>202510</v>
      </c>
      <c r="S265">
        <f t="shared" si="44"/>
        <v>6455</v>
      </c>
    </row>
    <row r="266" spans="17:19">
      <c r="Q266" t="s">
        <v>23</v>
      </c>
      <c r="R266">
        <f t="shared" si="43"/>
        <v>202510</v>
      </c>
      <c r="S266">
        <f t="shared" si="44"/>
        <v>400</v>
      </c>
    </row>
    <row r="267" spans="17:19">
      <c r="Q267" t="s">
        <v>26</v>
      </c>
      <c r="R267">
        <f t="shared" si="43"/>
        <v>202510</v>
      </c>
      <c r="S267">
        <f t="shared" si="44"/>
        <v>1300</v>
      </c>
    </row>
    <row r="268" spans="17:19">
      <c r="Q268" t="s">
        <v>28</v>
      </c>
      <c r="R268">
        <f t="shared" si="43"/>
        <v>202510</v>
      </c>
      <c r="S268">
        <f t="shared" si="44"/>
        <v>1000</v>
      </c>
    </row>
    <row r="269" spans="17:19">
      <c r="Q269" s="14" t="s">
        <v>31</v>
      </c>
      <c r="R269">
        <f t="shared" si="43"/>
        <v>202510</v>
      </c>
      <c r="S269">
        <f t="shared" si="44"/>
        <v>675</v>
      </c>
    </row>
    <row r="270" spans="17:19">
      <c r="Q270" s="16" t="s">
        <v>7260</v>
      </c>
      <c r="R270">
        <f t="shared" si="43"/>
        <v>202510</v>
      </c>
      <c r="S270">
        <f t="shared" si="44"/>
        <v>3375</v>
      </c>
    </row>
    <row r="271" spans="17:19">
      <c r="Q271" t="s">
        <v>34</v>
      </c>
      <c r="R271">
        <f t="shared" si="43"/>
        <v>202510</v>
      </c>
      <c r="S271">
        <f t="shared" si="44"/>
        <v>0</v>
      </c>
    </row>
    <row r="272" spans="17:19">
      <c r="Q272" t="s">
        <v>21</v>
      </c>
      <c r="R272">
        <f t="shared" si="43"/>
        <v>202510</v>
      </c>
      <c r="S272">
        <f t="shared" si="44"/>
        <v>2000</v>
      </c>
    </row>
    <row r="273" spans="17:19">
      <c r="Q273" t="s">
        <v>38</v>
      </c>
      <c r="R273">
        <f t="shared" si="43"/>
        <v>202510</v>
      </c>
      <c r="S273">
        <f t="shared" si="44"/>
        <v>580</v>
      </c>
    </row>
    <row r="274" spans="17:19">
      <c r="Q274" t="s">
        <v>40</v>
      </c>
      <c r="R274">
        <f t="shared" si="43"/>
        <v>202510</v>
      </c>
      <c r="S274">
        <f t="shared" si="44"/>
        <v>550</v>
      </c>
    </row>
    <row r="275" spans="17:19">
      <c r="Q275" t="s">
        <v>41</v>
      </c>
      <c r="R275">
        <f t="shared" si="43"/>
        <v>202510</v>
      </c>
      <c r="S275">
        <f t="shared" si="44"/>
        <v>45</v>
      </c>
    </row>
    <row r="276" spans="17:19">
      <c r="Q276" t="s">
        <v>45</v>
      </c>
      <c r="R276">
        <f t="shared" si="43"/>
        <v>202510</v>
      </c>
      <c r="S276">
        <f t="shared" si="44"/>
        <v>100</v>
      </c>
    </row>
    <row r="277" spans="17:19">
      <c r="Q277" s="14" t="s">
        <v>29</v>
      </c>
      <c r="R277">
        <f t="shared" si="43"/>
        <v>202510</v>
      </c>
      <c r="S277">
        <f t="shared" si="44"/>
        <v>45</v>
      </c>
    </row>
    <row r="278" spans="17:19">
      <c r="Q278" s="16" t="s">
        <v>7261</v>
      </c>
      <c r="R278">
        <f t="shared" si="43"/>
        <v>202510</v>
      </c>
      <c r="S278">
        <f t="shared" si="44"/>
        <v>3320</v>
      </c>
    </row>
    <row r="279" spans="17:19">
      <c r="Q279" s="16" t="s">
        <v>7153</v>
      </c>
      <c r="R279">
        <f t="shared" si="43"/>
        <v>202510</v>
      </c>
      <c r="S279">
        <f t="shared" si="44"/>
        <v>13150</v>
      </c>
    </row>
    <row r="280" spans="17:19">
      <c r="Q280" t="s">
        <v>48</v>
      </c>
      <c r="R280">
        <f t="shared" si="43"/>
        <v>202510</v>
      </c>
      <c r="S280">
        <f t="shared" si="44"/>
        <v>200</v>
      </c>
    </row>
    <row r="281" spans="17:19">
      <c r="Q281" t="s">
        <v>50</v>
      </c>
      <c r="R281">
        <f t="shared" si="43"/>
        <v>202510</v>
      </c>
      <c r="S281">
        <f t="shared" si="44"/>
        <v>0</v>
      </c>
    </row>
    <row r="282" spans="17:19">
      <c r="Q282" s="14" t="s">
        <v>43</v>
      </c>
      <c r="R282">
        <f t="shared" si="43"/>
        <v>202510</v>
      </c>
      <c r="S282">
        <f t="shared" si="44"/>
        <v>2000</v>
      </c>
    </row>
    <row r="283" spans="17:19">
      <c r="Q283" s="16" t="s">
        <v>7265</v>
      </c>
      <c r="R283">
        <f t="shared" si="43"/>
        <v>202510</v>
      </c>
      <c r="S283">
        <f t="shared" si="44"/>
        <v>2200</v>
      </c>
    </row>
    <row r="284" spans="17:19">
      <c r="Q284" s="16" t="s">
        <v>7266</v>
      </c>
      <c r="R284">
        <f t="shared" si="43"/>
        <v>202510</v>
      </c>
      <c r="S284">
        <f t="shared" si="44"/>
        <v>15350</v>
      </c>
    </row>
    <row r="285" spans="17:19">
      <c r="Q285" t="s">
        <v>5</v>
      </c>
      <c r="R285">
        <f>$M$3</f>
        <v>202511</v>
      </c>
      <c r="S285">
        <f t="shared" si="44"/>
        <v>2745</v>
      </c>
    </row>
    <row r="286" spans="17:19">
      <c r="Q286" t="s">
        <v>2</v>
      </c>
      <c r="R286">
        <f t="shared" ref="R286:R311" si="45">$M$3</f>
        <v>202511</v>
      </c>
      <c r="S286">
        <f t="shared" si="44"/>
        <v>350</v>
      </c>
    </row>
    <row r="287" spans="17:19">
      <c r="Q287" t="s">
        <v>7</v>
      </c>
      <c r="R287">
        <f t="shared" si="45"/>
        <v>202511</v>
      </c>
      <c r="S287">
        <f t="shared" si="44"/>
        <v>700</v>
      </c>
    </row>
    <row r="288" spans="17:19">
      <c r="Q288" t="s">
        <v>11</v>
      </c>
      <c r="R288">
        <f t="shared" si="45"/>
        <v>202511</v>
      </c>
      <c r="S288">
        <f t="shared" si="44"/>
        <v>0</v>
      </c>
    </row>
    <row r="289" spans="17:19">
      <c r="Q289" t="s">
        <v>14</v>
      </c>
      <c r="R289">
        <f t="shared" si="45"/>
        <v>202511</v>
      </c>
      <c r="S289">
        <f t="shared" si="44"/>
        <v>250</v>
      </c>
    </row>
    <row r="290" spans="17:19">
      <c r="Q290" t="s">
        <v>18</v>
      </c>
      <c r="R290">
        <f t="shared" si="45"/>
        <v>202511</v>
      </c>
      <c r="S290">
        <f t="shared" si="44"/>
        <v>135</v>
      </c>
    </row>
    <row r="291" spans="17:19">
      <c r="Q291" s="14" t="s">
        <v>20</v>
      </c>
      <c r="R291">
        <f t="shared" si="45"/>
        <v>202511</v>
      </c>
      <c r="S291">
        <f t="shared" si="44"/>
        <v>2275</v>
      </c>
    </row>
    <row r="292" spans="17:19">
      <c r="Q292" s="16" t="s">
        <v>7259</v>
      </c>
      <c r="R292">
        <f t="shared" si="45"/>
        <v>202511</v>
      </c>
      <c r="S292">
        <f t="shared" si="44"/>
        <v>6455</v>
      </c>
    </row>
    <row r="293" spans="17:19">
      <c r="Q293" t="s">
        <v>23</v>
      </c>
      <c r="R293">
        <f t="shared" si="45"/>
        <v>202511</v>
      </c>
      <c r="S293">
        <f t="shared" si="44"/>
        <v>400</v>
      </c>
    </row>
    <row r="294" spans="17:19">
      <c r="Q294" t="s">
        <v>26</v>
      </c>
      <c r="R294">
        <f t="shared" si="45"/>
        <v>202511</v>
      </c>
      <c r="S294">
        <f t="shared" si="44"/>
        <v>1300</v>
      </c>
    </row>
    <row r="295" spans="17:19">
      <c r="Q295" t="s">
        <v>28</v>
      </c>
      <c r="R295">
        <f t="shared" si="45"/>
        <v>202511</v>
      </c>
      <c r="S295">
        <f t="shared" si="44"/>
        <v>1000</v>
      </c>
    </row>
    <row r="296" spans="17:19">
      <c r="Q296" s="14" t="s">
        <v>31</v>
      </c>
      <c r="R296">
        <f t="shared" si="45"/>
        <v>202511</v>
      </c>
      <c r="S296">
        <f t="shared" si="44"/>
        <v>675</v>
      </c>
    </row>
    <row r="297" spans="17:19">
      <c r="Q297" s="16" t="s">
        <v>7260</v>
      </c>
      <c r="R297">
        <f t="shared" si="45"/>
        <v>202511</v>
      </c>
      <c r="S297">
        <f t="shared" si="44"/>
        <v>3375</v>
      </c>
    </row>
    <row r="298" spans="17:19">
      <c r="Q298" t="s">
        <v>34</v>
      </c>
      <c r="R298">
        <f t="shared" si="45"/>
        <v>202511</v>
      </c>
      <c r="S298">
        <f t="shared" si="44"/>
        <v>0</v>
      </c>
    </row>
    <row r="299" spans="17:19">
      <c r="Q299" t="s">
        <v>21</v>
      </c>
      <c r="R299">
        <f t="shared" si="45"/>
        <v>202511</v>
      </c>
      <c r="S299">
        <f t="shared" si="44"/>
        <v>2000</v>
      </c>
    </row>
    <row r="300" spans="17:19">
      <c r="Q300" t="s">
        <v>38</v>
      </c>
      <c r="R300">
        <f t="shared" si="45"/>
        <v>202511</v>
      </c>
      <c r="S300">
        <f t="shared" si="44"/>
        <v>580</v>
      </c>
    </row>
    <row r="301" spans="17:19">
      <c r="Q301" t="s">
        <v>40</v>
      </c>
      <c r="R301">
        <f t="shared" si="45"/>
        <v>202511</v>
      </c>
      <c r="S301">
        <f t="shared" si="44"/>
        <v>550</v>
      </c>
    </row>
    <row r="302" spans="17:19">
      <c r="Q302" t="s">
        <v>41</v>
      </c>
      <c r="R302">
        <f t="shared" si="45"/>
        <v>202511</v>
      </c>
      <c r="S302">
        <f t="shared" si="44"/>
        <v>45</v>
      </c>
    </row>
    <row r="303" spans="17:19">
      <c r="Q303" t="s">
        <v>45</v>
      </c>
      <c r="R303">
        <f t="shared" si="45"/>
        <v>202511</v>
      </c>
      <c r="S303">
        <f t="shared" si="44"/>
        <v>100</v>
      </c>
    </row>
    <row r="304" spans="17:19">
      <c r="Q304" s="14" t="s">
        <v>29</v>
      </c>
      <c r="R304">
        <f t="shared" si="45"/>
        <v>202511</v>
      </c>
      <c r="S304">
        <f t="shared" si="44"/>
        <v>45</v>
      </c>
    </row>
    <row r="305" spans="17:19">
      <c r="Q305" s="16" t="s">
        <v>7261</v>
      </c>
      <c r="R305">
        <f t="shared" si="45"/>
        <v>202511</v>
      </c>
      <c r="S305">
        <f t="shared" si="44"/>
        <v>3320</v>
      </c>
    </row>
    <row r="306" spans="17:19">
      <c r="Q306" s="16" t="s">
        <v>7153</v>
      </c>
      <c r="R306">
        <f t="shared" si="45"/>
        <v>202511</v>
      </c>
      <c r="S306">
        <f t="shared" si="44"/>
        <v>13150</v>
      </c>
    </row>
    <row r="307" spans="17:19">
      <c r="Q307" t="s">
        <v>48</v>
      </c>
      <c r="R307">
        <f t="shared" si="45"/>
        <v>202511</v>
      </c>
      <c r="S307">
        <f t="shared" si="44"/>
        <v>200</v>
      </c>
    </row>
    <row r="308" spans="17:19">
      <c r="Q308" t="s">
        <v>50</v>
      </c>
      <c r="R308">
        <f t="shared" si="45"/>
        <v>202511</v>
      </c>
      <c r="S308">
        <f t="shared" si="44"/>
        <v>0</v>
      </c>
    </row>
    <row r="309" spans="17:19">
      <c r="Q309" s="14" t="s">
        <v>43</v>
      </c>
      <c r="R309">
        <f t="shared" si="45"/>
        <v>202511</v>
      </c>
      <c r="S309">
        <f t="shared" si="44"/>
        <v>2000</v>
      </c>
    </row>
    <row r="310" spans="17:19">
      <c r="Q310" s="16" t="s">
        <v>7265</v>
      </c>
      <c r="R310">
        <f t="shared" si="45"/>
        <v>202511</v>
      </c>
      <c r="S310">
        <f t="shared" si="44"/>
        <v>2200</v>
      </c>
    </row>
    <row r="311" spans="17:19">
      <c r="Q311" s="16" t="s">
        <v>7266</v>
      </c>
      <c r="R311">
        <f t="shared" si="45"/>
        <v>202511</v>
      </c>
      <c r="S311">
        <f t="shared" si="44"/>
        <v>15350</v>
      </c>
    </row>
    <row r="312" spans="17:19">
      <c r="Q312" t="s">
        <v>5</v>
      </c>
      <c r="R312">
        <f>$N$3</f>
        <v>202512</v>
      </c>
      <c r="S312">
        <f t="shared" si="44"/>
        <v>2745</v>
      </c>
    </row>
    <row r="313" spans="17:19">
      <c r="Q313" t="s">
        <v>2</v>
      </c>
      <c r="R313">
        <f t="shared" ref="R313:R338" si="46">$N$3</f>
        <v>202512</v>
      </c>
      <c r="S313">
        <f t="shared" si="44"/>
        <v>350</v>
      </c>
    </row>
    <row r="314" spans="17:19">
      <c r="Q314" t="s">
        <v>7</v>
      </c>
      <c r="R314">
        <f t="shared" si="46"/>
        <v>202512</v>
      </c>
      <c r="S314">
        <f t="shared" si="44"/>
        <v>700</v>
      </c>
    </row>
    <row r="315" spans="17:19">
      <c r="Q315" t="s">
        <v>11</v>
      </c>
      <c r="R315">
        <f t="shared" si="46"/>
        <v>202512</v>
      </c>
      <c r="S315">
        <f t="shared" si="44"/>
        <v>0</v>
      </c>
    </row>
    <row r="316" spans="17:19">
      <c r="Q316" t="s">
        <v>14</v>
      </c>
      <c r="R316">
        <f t="shared" si="46"/>
        <v>202512</v>
      </c>
      <c r="S316">
        <f t="shared" si="44"/>
        <v>250</v>
      </c>
    </row>
    <row r="317" spans="17:19">
      <c r="Q317" t="s">
        <v>18</v>
      </c>
      <c r="R317">
        <f t="shared" si="46"/>
        <v>202512</v>
      </c>
      <c r="S317">
        <f t="shared" si="44"/>
        <v>135</v>
      </c>
    </row>
    <row r="318" spans="17:19">
      <c r="Q318" s="14" t="s">
        <v>20</v>
      </c>
      <c r="R318">
        <f t="shared" si="46"/>
        <v>202512</v>
      </c>
      <c r="S318">
        <f t="shared" si="44"/>
        <v>2275</v>
      </c>
    </row>
    <row r="319" spans="17:19">
      <c r="Q319" s="16" t="s">
        <v>7259</v>
      </c>
      <c r="R319">
        <f t="shared" si="46"/>
        <v>202512</v>
      </c>
      <c r="S319">
        <f t="shared" si="44"/>
        <v>6455</v>
      </c>
    </row>
    <row r="320" spans="17:19">
      <c r="Q320" t="s">
        <v>23</v>
      </c>
      <c r="R320">
        <f t="shared" si="46"/>
        <v>202512</v>
      </c>
      <c r="S320">
        <f t="shared" si="44"/>
        <v>400</v>
      </c>
    </row>
    <row r="321" spans="17:19">
      <c r="Q321" t="s">
        <v>26</v>
      </c>
      <c r="R321">
        <f t="shared" si="46"/>
        <v>202512</v>
      </c>
      <c r="S321">
        <f t="shared" si="44"/>
        <v>1300</v>
      </c>
    </row>
    <row r="322" spans="17:19">
      <c r="Q322" t="s">
        <v>28</v>
      </c>
      <c r="R322">
        <f t="shared" si="46"/>
        <v>202512</v>
      </c>
      <c r="S322">
        <f t="shared" si="44"/>
        <v>1000</v>
      </c>
    </row>
    <row r="323" spans="17:19">
      <c r="Q323" s="14" t="s">
        <v>31</v>
      </c>
      <c r="R323">
        <f t="shared" si="46"/>
        <v>202512</v>
      </c>
      <c r="S323">
        <f t="shared" si="44"/>
        <v>675</v>
      </c>
    </row>
    <row r="324" spans="17:19">
      <c r="Q324" s="16" t="s">
        <v>7260</v>
      </c>
      <c r="R324">
        <f t="shared" si="46"/>
        <v>202512</v>
      </c>
      <c r="S324">
        <f t="shared" si="44"/>
        <v>3375</v>
      </c>
    </row>
    <row r="325" spans="17:19">
      <c r="Q325" t="s">
        <v>34</v>
      </c>
      <c r="R325">
        <f t="shared" si="46"/>
        <v>202512</v>
      </c>
      <c r="S325">
        <f t="shared" ref="S325:S338" si="47">INDEX($B$3:$O$36,MATCH(Q325,$B$3:$B$36,0),MATCH(R325,$B$3:$O$3,0))</f>
        <v>0</v>
      </c>
    </row>
    <row r="326" spans="17:19">
      <c r="Q326" t="s">
        <v>21</v>
      </c>
      <c r="R326">
        <f t="shared" si="46"/>
        <v>202512</v>
      </c>
      <c r="S326">
        <f t="shared" si="47"/>
        <v>2000</v>
      </c>
    </row>
    <row r="327" spans="17:19">
      <c r="Q327" t="s">
        <v>38</v>
      </c>
      <c r="R327">
        <f t="shared" si="46"/>
        <v>202512</v>
      </c>
      <c r="S327">
        <f t="shared" si="47"/>
        <v>580</v>
      </c>
    </row>
    <row r="328" spans="17:19">
      <c r="Q328" t="s">
        <v>40</v>
      </c>
      <c r="R328">
        <f t="shared" si="46"/>
        <v>202512</v>
      </c>
      <c r="S328">
        <f t="shared" si="47"/>
        <v>550</v>
      </c>
    </row>
    <row r="329" spans="17:19">
      <c r="Q329" t="s">
        <v>41</v>
      </c>
      <c r="R329">
        <f t="shared" si="46"/>
        <v>202512</v>
      </c>
      <c r="S329">
        <f t="shared" si="47"/>
        <v>45</v>
      </c>
    </row>
    <row r="330" spans="17:19">
      <c r="Q330" t="s">
        <v>45</v>
      </c>
      <c r="R330">
        <f t="shared" si="46"/>
        <v>202512</v>
      </c>
      <c r="S330">
        <f t="shared" si="47"/>
        <v>100</v>
      </c>
    </row>
    <row r="331" spans="17:19">
      <c r="Q331" s="14" t="s">
        <v>29</v>
      </c>
      <c r="R331">
        <f t="shared" si="46"/>
        <v>202512</v>
      </c>
      <c r="S331">
        <f t="shared" si="47"/>
        <v>45</v>
      </c>
    </row>
    <row r="332" spans="17:19">
      <c r="Q332" s="16" t="s">
        <v>7261</v>
      </c>
      <c r="R332">
        <f t="shared" si="46"/>
        <v>202512</v>
      </c>
      <c r="S332">
        <f t="shared" si="47"/>
        <v>3320</v>
      </c>
    </row>
    <row r="333" spans="17:19">
      <c r="Q333" s="16" t="s">
        <v>7153</v>
      </c>
      <c r="R333">
        <f t="shared" si="46"/>
        <v>202512</v>
      </c>
      <c r="S333">
        <f t="shared" si="47"/>
        <v>13150</v>
      </c>
    </row>
    <row r="334" spans="17:19">
      <c r="Q334" t="s">
        <v>48</v>
      </c>
      <c r="R334">
        <f t="shared" si="46"/>
        <v>202512</v>
      </c>
      <c r="S334">
        <f t="shared" si="47"/>
        <v>200</v>
      </c>
    </row>
    <row r="335" spans="17:19">
      <c r="Q335" t="s">
        <v>50</v>
      </c>
      <c r="R335">
        <f t="shared" si="46"/>
        <v>202512</v>
      </c>
      <c r="S335">
        <f t="shared" si="47"/>
        <v>0</v>
      </c>
    </row>
    <row r="336" spans="17:19">
      <c r="Q336" s="14" t="s">
        <v>43</v>
      </c>
      <c r="R336">
        <f t="shared" si="46"/>
        <v>202512</v>
      </c>
      <c r="S336">
        <f t="shared" si="47"/>
        <v>0</v>
      </c>
    </row>
    <row r="337" spans="17:19">
      <c r="Q337" s="16" t="s">
        <v>7265</v>
      </c>
      <c r="R337">
        <f t="shared" si="46"/>
        <v>202512</v>
      </c>
      <c r="S337">
        <f t="shared" si="47"/>
        <v>200</v>
      </c>
    </row>
    <row r="338" spans="17:19">
      <c r="Q338" s="16" t="s">
        <v>7266</v>
      </c>
      <c r="R338">
        <f t="shared" si="46"/>
        <v>202512</v>
      </c>
      <c r="S338">
        <f t="shared" si="47"/>
        <v>13350</v>
      </c>
    </row>
  </sheetData>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0B00-9EE2-4F71-A968-62F914907B2E}">
  <sheetPr>
    <tabColor rgb="FF264478"/>
    <pageSetUpPr fitToPage="1"/>
  </sheetPr>
  <dimension ref="C1:T40"/>
  <sheetViews>
    <sheetView workbookViewId="0">
      <pane xSplit="3" ySplit="8" topLeftCell="D25" activePane="bottomRight" state="frozen"/>
      <selection pane="topRight"/>
      <selection pane="bottomLeft"/>
      <selection pane="bottomRight" activeCell="D35" sqref="D35"/>
    </sheetView>
  </sheetViews>
  <sheetFormatPr defaultRowHeight="15"/>
  <cols>
    <col min="3" max="3" width="25" customWidth="1"/>
    <col min="4" max="15" width="10.28515625" customWidth="1"/>
    <col min="17" max="17" width="3.28515625" customWidth="1"/>
    <col min="18" max="18" width="11.42578125" customWidth="1"/>
  </cols>
  <sheetData>
    <row r="1" spans="3:20" hidden="1">
      <c r="D1">
        <f>VALUE('1 MO'!$C$3&amp;"01")</f>
        <v>202501</v>
      </c>
      <c r="E1">
        <f>VALUE('1 MO'!$C$3&amp;"02")</f>
        <v>202502</v>
      </c>
      <c r="F1">
        <f>VALUE('1 MO'!$C$3&amp;"03")</f>
        <v>202503</v>
      </c>
      <c r="G1">
        <f>VALUE('1 MO'!$C$3&amp;"04")</f>
        <v>202504</v>
      </c>
      <c r="H1">
        <f>VALUE('1 MO'!$C$3&amp;"05")</f>
        <v>202505</v>
      </c>
      <c r="I1">
        <f>VALUE('1 MO'!$C$3&amp;"06")</f>
        <v>202506</v>
      </c>
      <c r="J1">
        <f>VALUE('1 MO'!$C$3&amp;"07")</f>
        <v>202507</v>
      </c>
      <c r="K1">
        <f>VALUE('1 MO'!$C$3&amp;"08")</f>
        <v>202508</v>
      </c>
      <c r="L1">
        <f>VALUE('1 MO'!$C$3&amp;"09")</f>
        <v>202509</v>
      </c>
      <c r="M1">
        <f>VALUE('1 MO'!$C$3&amp;"10")</f>
        <v>202510</v>
      </c>
      <c r="N1">
        <f>VALUE('1 MO'!$C$3&amp;"11")</f>
        <v>202511</v>
      </c>
      <c r="O1">
        <f>VALUE('1 MO'!$C$3&amp;"12")</f>
        <v>202512</v>
      </c>
    </row>
    <row r="2" spans="3:20" hidden="1">
      <c r="D2" s="6"/>
    </row>
    <row r="3" spans="3:20" hidden="1"/>
    <row r="7" spans="3:20">
      <c r="C7" s="9" t="s">
        <v>7267</v>
      </c>
      <c r="D7" s="10" t="str">
        <f>TEXT(DATE(LEFT(D1,4),RIGHT(D1,2),1),"MMM YYYY")</f>
        <v>Jan 2025</v>
      </c>
      <c r="E7" s="10" t="str">
        <f t="shared" ref="E7:O7" si="0">TEXT(DATE(LEFT(E1,4),RIGHT(E1,2),1),"MMM YYYY")</f>
        <v>Feb 2025</v>
      </c>
      <c r="F7" s="10" t="str">
        <f t="shared" si="0"/>
        <v>Mar 2025</v>
      </c>
      <c r="G7" s="10" t="str">
        <f t="shared" si="0"/>
        <v>Apr 2025</v>
      </c>
      <c r="H7" s="10" t="str">
        <f t="shared" si="0"/>
        <v>May 2025</v>
      </c>
      <c r="I7" s="10" t="str">
        <f t="shared" si="0"/>
        <v>Jun 2025</v>
      </c>
      <c r="J7" s="10" t="str">
        <f t="shared" si="0"/>
        <v>Jul 2025</v>
      </c>
      <c r="K7" s="10" t="str">
        <f t="shared" si="0"/>
        <v>Aug 2025</v>
      </c>
      <c r="L7" s="10" t="str">
        <f t="shared" si="0"/>
        <v>Sep 2025</v>
      </c>
      <c r="M7" s="10" t="str">
        <f t="shared" si="0"/>
        <v>Oct 2025</v>
      </c>
      <c r="N7" s="10" t="str">
        <f t="shared" si="0"/>
        <v>Nov 2025</v>
      </c>
      <c r="O7" s="10" t="str">
        <f t="shared" si="0"/>
        <v>Dec 2025</v>
      </c>
      <c r="P7" s="10" t="s">
        <v>7153</v>
      </c>
      <c r="R7" s="10">
        <v>2024</v>
      </c>
      <c r="S7" s="10">
        <v>2023</v>
      </c>
      <c r="T7" s="10" t="s">
        <v>7268</v>
      </c>
    </row>
    <row r="8" spans="3:20" ht="3" customHeight="1">
      <c r="C8" s="22"/>
      <c r="D8" s="23"/>
      <c r="E8" s="23"/>
      <c r="F8" s="23"/>
      <c r="G8" s="23"/>
      <c r="H8" s="23"/>
      <c r="I8" s="23"/>
      <c r="J8" s="23"/>
      <c r="K8" s="23"/>
      <c r="L8" s="23"/>
      <c r="M8" s="23"/>
      <c r="N8" s="23"/>
      <c r="O8" s="23"/>
      <c r="P8" s="23"/>
      <c r="R8" s="23"/>
      <c r="S8" s="23"/>
      <c r="T8" s="23"/>
    </row>
    <row r="9" spans="3:20">
      <c r="C9" t="s">
        <v>5</v>
      </c>
      <c r="D9" s="13">
        <f>SUMIFS(Actuals!$E:$E,Actuals!$F:$F,Year!$C9,Actuals!$A:$A,Year!D$1)</f>
        <v>2745.43</v>
      </c>
      <c r="E9" s="13">
        <f>SUMIFS(Actuals!$E:$E,Actuals!$F:$F,Year!$C9,Actuals!$A:$A,Year!E$1)</f>
        <v>2745.43</v>
      </c>
      <c r="F9" s="13">
        <f>SUMIFS(Actuals!$E:$E,Actuals!$F:$F,Year!$C9,Actuals!$A:$A,Year!F$1)</f>
        <v>1770.04</v>
      </c>
      <c r="G9" s="13">
        <f>SUMIFS(Actuals!$E:$E,Actuals!$F:$F,Year!$C9,Actuals!$A:$A,Year!G$1)</f>
        <v>2745.43</v>
      </c>
      <c r="H9" s="13">
        <f>SUMIFS(Actuals!$E:$E,Actuals!$F:$F,Year!$C9,Actuals!$A:$A,Year!H$1)</f>
        <v>2745.43</v>
      </c>
      <c r="I9" s="13">
        <f>SUMIFS(Actuals!$E:$E,Actuals!$F:$F,Year!$C9,Actuals!$A:$A,Year!I$1)</f>
        <v>2745.43</v>
      </c>
      <c r="J9" s="13">
        <f>SUMIFS(Actuals!$E:$E,Actuals!$F:$F,Year!$C9,Actuals!$A:$A,Year!J$1)</f>
        <v>2745.43</v>
      </c>
      <c r="K9" s="13">
        <f>SUMIFS(Actuals!$E:$E,Actuals!$F:$F,Year!$C9,Actuals!$A:$A,Year!K$1)</f>
        <v>2745.43</v>
      </c>
      <c r="L9" s="13">
        <f>SUMIFS(Actuals!$E:$E,Actuals!$F:$F,Year!$C9,Actuals!$A:$A,Year!L$1)</f>
        <v>3378.51</v>
      </c>
      <c r="M9" s="13">
        <f>SUMIFS(Actuals!$E:$E,Actuals!$F:$F,Year!$C9,Actuals!$A:$A,Year!M$1)</f>
        <v>3378.51</v>
      </c>
      <c r="N9" s="13">
        <f>SUMIFS(Actuals!$E:$E,Actuals!$F:$F,Year!$C9,Actuals!$A:$A,Year!N$1)</f>
        <v>3378.51</v>
      </c>
      <c r="O9" s="13">
        <f>SUMIFS(Actuals!$E:$E,Actuals!$F:$F,Year!$C9,Actuals!$A:$A,Year!O$1)</f>
        <v>3378.51</v>
      </c>
      <c r="P9" s="13">
        <f>SUM(D9:O9)</f>
        <v>34502.090000000004</v>
      </c>
      <c r="R9" s="13">
        <v>32915.64</v>
      </c>
      <c r="S9" s="13">
        <v>31817.119999999995</v>
      </c>
      <c r="T9" s="13">
        <f>R9-S9</f>
        <v>1098.5200000000041</v>
      </c>
    </row>
    <row r="10" spans="3:20">
      <c r="C10" t="s">
        <v>2</v>
      </c>
      <c r="D10" s="13">
        <f>SUMIFS(Actuals!$E:$E,Actuals!$F:$F,Year!$C10,Actuals!$A:$A,Year!D$1)</f>
        <v>158.51</v>
      </c>
      <c r="E10" s="13">
        <f>SUMIFS(Actuals!$E:$E,Actuals!$F:$F,Year!$C10,Actuals!$A:$A,Year!E$1)</f>
        <v>72.41</v>
      </c>
      <c r="F10" s="13">
        <f>SUMIFS(Actuals!$E:$E,Actuals!$F:$F,Year!$C10,Actuals!$A:$A,Year!F$1)</f>
        <v>432.06</v>
      </c>
      <c r="G10" s="13">
        <f>SUMIFS(Actuals!$E:$E,Actuals!$F:$F,Year!$C10,Actuals!$A:$A,Year!G$1)</f>
        <v>532.5200000000001</v>
      </c>
      <c r="H10" s="13">
        <f>SUMIFS(Actuals!$E:$E,Actuals!$F:$F,Year!$C10,Actuals!$A:$A,Year!H$1)</f>
        <v>296.67999999999995</v>
      </c>
      <c r="I10" s="13">
        <f>SUMIFS(Actuals!$E:$E,Actuals!$F:$F,Year!$C10,Actuals!$A:$A,Year!I$1)</f>
        <v>719.2600000000001</v>
      </c>
      <c r="J10" s="13">
        <f>SUMIFS(Actuals!$E:$E,Actuals!$F:$F,Year!$C10,Actuals!$A:$A,Year!J$1)</f>
        <v>373.78</v>
      </c>
      <c r="K10" s="13">
        <f>SUMIFS(Actuals!$E:$E,Actuals!$F:$F,Year!$C10,Actuals!$A:$A,Year!K$1)</f>
        <v>127.46</v>
      </c>
      <c r="L10" s="13">
        <f>SUMIFS(Actuals!$E:$E,Actuals!$F:$F,Year!$C10,Actuals!$A:$A,Year!L$1)</f>
        <v>812.79000000000008</v>
      </c>
      <c r="M10" s="13">
        <f>SUMIFS(Actuals!$E:$E,Actuals!$F:$F,Year!$C10,Actuals!$A:$A,Year!M$1)</f>
        <v>139</v>
      </c>
      <c r="N10" s="13">
        <f>SUMIFS(Actuals!$E:$E,Actuals!$F:$F,Year!$C10,Actuals!$A:$A,Year!N$1)</f>
        <v>455.38</v>
      </c>
      <c r="O10" s="13">
        <f>SUMIFS(Actuals!$E:$E,Actuals!$F:$F,Year!$C10,Actuals!$A:$A,Year!O$1)</f>
        <v>32.64</v>
      </c>
      <c r="P10" s="13">
        <f t="shared" ref="P10:P32" si="1">SUM(D10:O10)</f>
        <v>4152.4900000000007</v>
      </c>
      <c r="R10" s="13">
        <v>4195.6900000000005</v>
      </c>
      <c r="S10" s="13">
        <v>6575</v>
      </c>
      <c r="T10" s="13">
        <f t="shared" ref="T10:T40" si="2">R10-S10</f>
        <v>-2379.3099999999995</v>
      </c>
    </row>
    <row r="11" spans="3:20">
      <c r="C11" t="s">
        <v>7</v>
      </c>
      <c r="D11" s="13">
        <f>SUMIFS(Actuals!$E:$E,Actuals!$F:$F,Year!$C11,Actuals!$A:$A,Year!D$1)</f>
        <v>512.23</v>
      </c>
      <c r="E11" s="13">
        <f>SUMIFS(Actuals!$E:$E,Actuals!$F:$F,Year!$C11,Actuals!$A:$A,Year!E$1)</f>
        <v>1454.37</v>
      </c>
      <c r="F11" s="13">
        <f>SUMIFS(Actuals!$E:$E,Actuals!$F:$F,Year!$C11,Actuals!$A:$A,Year!F$1)</f>
        <v>404.5200000000001</v>
      </c>
      <c r="G11" s="13">
        <f>SUMIFS(Actuals!$E:$E,Actuals!$F:$F,Year!$C11,Actuals!$A:$A,Year!G$1)</f>
        <v>507.12000000000006</v>
      </c>
      <c r="H11" s="13">
        <f>SUMIFS(Actuals!$E:$E,Actuals!$F:$F,Year!$C11,Actuals!$A:$A,Year!H$1)</f>
        <v>726.93</v>
      </c>
      <c r="I11" s="13">
        <f>SUMIFS(Actuals!$E:$E,Actuals!$F:$F,Year!$C11,Actuals!$A:$A,Year!I$1)</f>
        <v>2595.9299999999994</v>
      </c>
      <c r="J11" s="13">
        <f>SUMIFS(Actuals!$E:$E,Actuals!$F:$F,Year!$C11,Actuals!$A:$A,Year!J$1)</f>
        <v>2949.6399999999994</v>
      </c>
      <c r="K11" s="13">
        <f>SUMIFS(Actuals!$E:$E,Actuals!$F:$F,Year!$C11,Actuals!$A:$A,Year!K$1)</f>
        <v>744.52</v>
      </c>
      <c r="L11" s="13">
        <f>SUMIFS(Actuals!$E:$E,Actuals!$F:$F,Year!$C11,Actuals!$A:$A,Year!L$1)</f>
        <v>1113.1600000000003</v>
      </c>
      <c r="M11" s="13">
        <f>SUMIFS(Actuals!$E:$E,Actuals!$F:$F,Year!$C11,Actuals!$A:$A,Year!M$1)</f>
        <v>684.63</v>
      </c>
      <c r="N11" s="13">
        <f>SUMIFS(Actuals!$E:$E,Actuals!$F:$F,Year!$C11,Actuals!$A:$A,Year!N$1)</f>
        <v>7787.5499999999993</v>
      </c>
      <c r="O11" s="13">
        <f>SUMIFS(Actuals!$E:$E,Actuals!$F:$F,Year!$C11,Actuals!$A:$A,Year!O$1)</f>
        <v>1190.8699999999999</v>
      </c>
      <c r="P11" s="13">
        <f t="shared" si="1"/>
        <v>20671.469999999998</v>
      </c>
      <c r="R11" s="13">
        <v>8490</v>
      </c>
      <c r="S11" s="13">
        <v>5694.76</v>
      </c>
      <c r="T11" s="13">
        <f t="shared" si="2"/>
        <v>2795.24</v>
      </c>
    </row>
    <row r="12" spans="3:20">
      <c r="C12" t="s">
        <v>11</v>
      </c>
      <c r="D12" s="13">
        <f>SUMIFS(Actuals!$E:$E,Actuals!$F:$F,Year!$C12,Actuals!$A:$A,Year!D$1)</f>
        <v>0</v>
      </c>
      <c r="E12" s="13">
        <f>SUMIFS(Actuals!$E:$E,Actuals!$F:$F,Year!$C12,Actuals!$A:$A,Year!E$1)</f>
        <v>0</v>
      </c>
      <c r="F12" s="13">
        <f>SUMIFS(Actuals!$E:$E,Actuals!$F:$F,Year!$C12,Actuals!$A:$A,Year!F$1)</f>
        <v>0</v>
      </c>
      <c r="G12" s="13">
        <f>SUMIFS(Actuals!$E:$E,Actuals!$F:$F,Year!$C12,Actuals!$A:$A,Year!G$1)</f>
        <v>0</v>
      </c>
      <c r="H12" s="13">
        <f>SUMIFS(Actuals!$E:$E,Actuals!$F:$F,Year!$C12,Actuals!$A:$A,Year!H$1)</f>
        <v>0</v>
      </c>
      <c r="I12" s="13">
        <f>SUMIFS(Actuals!$E:$E,Actuals!$F:$F,Year!$C12,Actuals!$A:$A,Year!I$1)</f>
        <v>0</v>
      </c>
      <c r="J12" s="13">
        <f>SUMIFS(Actuals!$E:$E,Actuals!$F:$F,Year!$C12,Actuals!$A:$A,Year!J$1)</f>
        <v>0</v>
      </c>
      <c r="K12" s="13">
        <f>SUMIFS(Actuals!$E:$E,Actuals!$F:$F,Year!$C12,Actuals!$A:$A,Year!K$1)</f>
        <v>0</v>
      </c>
      <c r="L12" s="13">
        <f>SUMIFS(Actuals!$E:$E,Actuals!$F:$F,Year!$C12,Actuals!$A:$A,Year!L$1)</f>
        <v>0</v>
      </c>
      <c r="M12" s="13">
        <f>SUMIFS(Actuals!$E:$E,Actuals!$F:$F,Year!$C12,Actuals!$A:$A,Year!M$1)</f>
        <v>0</v>
      </c>
      <c r="N12" s="13">
        <f>SUMIFS(Actuals!$E:$E,Actuals!$F:$F,Year!$C12,Actuals!$A:$A,Year!N$1)</f>
        <v>0</v>
      </c>
      <c r="O12" s="13">
        <f>SUMIFS(Actuals!$E:$E,Actuals!$F:$F,Year!$C12,Actuals!$A:$A,Year!O$1)</f>
        <v>0</v>
      </c>
      <c r="P12" s="13">
        <f t="shared" si="1"/>
        <v>0</v>
      </c>
      <c r="R12" s="13">
        <v>0</v>
      </c>
      <c r="S12" s="13">
        <v>6186.4999999999991</v>
      </c>
      <c r="T12" s="13">
        <f t="shared" si="2"/>
        <v>-6186.4999999999991</v>
      </c>
    </row>
    <row r="13" spans="3:20">
      <c r="C13" t="s">
        <v>14</v>
      </c>
      <c r="D13" s="13">
        <f>SUMIFS(Actuals!$E:$E,Actuals!$F:$F,Year!$C13,Actuals!$A:$A,Year!D$1)</f>
        <v>0</v>
      </c>
      <c r="E13" s="13">
        <f>SUMIFS(Actuals!$E:$E,Actuals!$F:$F,Year!$C13,Actuals!$A:$A,Year!E$1)</f>
        <v>0</v>
      </c>
      <c r="F13" s="13">
        <f>SUMIFS(Actuals!$E:$E,Actuals!$F:$F,Year!$C13,Actuals!$A:$A,Year!F$1)</f>
        <v>0</v>
      </c>
      <c r="G13" s="13">
        <f>SUMIFS(Actuals!$E:$E,Actuals!$F:$F,Year!$C13,Actuals!$A:$A,Year!G$1)</f>
        <v>0</v>
      </c>
      <c r="H13" s="13">
        <f>SUMIFS(Actuals!$E:$E,Actuals!$F:$F,Year!$C13,Actuals!$A:$A,Year!H$1)</f>
        <v>0</v>
      </c>
      <c r="I13" s="13">
        <f>SUMIFS(Actuals!$E:$E,Actuals!$F:$F,Year!$C13,Actuals!$A:$A,Year!I$1)</f>
        <v>0</v>
      </c>
      <c r="J13" s="13">
        <f>SUMIFS(Actuals!$E:$E,Actuals!$F:$F,Year!$C13,Actuals!$A:$A,Year!J$1)</f>
        <v>0</v>
      </c>
      <c r="K13" s="13">
        <f>SUMIFS(Actuals!$E:$E,Actuals!$F:$F,Year!$C13,Actuals!$A:$A,Year!K$1)</f>
        <v>0</v>
      </c>
      <c r="L13" s="13">
        <f>SUMIFS(Actuals!$E:$E,Actuals!$F:$F,Year!$C13,Actuals!$A:$A,Year!L$1)</f>
        <v>0</v>
      </c>
      <c r="M13" s="13">
        <f>SUMIFS(Actuals!$E:$E,Actuals!$F:$F,Year!$C13,Actuals!$A:$A,Year!M$1)</f>
        <v>241.71</v>
      </c>
      <c r="N13" s="13">
        <f>SUMIFS(Actuals!$E:$E,Actuals!$F:$F,Year!$C13,Actuals!$A:$A,Year!N$1)</f>
        <v>0</v>
      </c>
      <c r="O13" s="13">
        <f>SUMIFS(Actuals!$E:$E,Actuals!$F:$F,Year!$C13,Actuals!$A:$A,Year!O$1)</f>
        <v>0</v>
      </c>
      <c r="P13" s="13">
        <f t="shared" si="1"/>
        <v>241.71</v>
      </c>
      <c r="R13" s="13">
        <v>3000</v>
      </c>
      <c r="S13" s="13">
        <v>1750</v>
      </c>
      <c r="T13" s="13">
        <f t="shared" si="2"/>
        <v>1250</v>
      </c>
    </row>
    <row r="14" spans="3:20">
      <c r="C14" t="s">
        <v>18</v>
      </c>
      <c r="D14" s="13">
        <f>SUMIFS(Actuals!$E:$E,Actuals!$F:$F,Year!$C14,Actuals!$A:$A,Year!D$1)</f>
        <v>163.66</v>
      </c>
      <c r="E14" s="13">
        <f>SUMIFS(Actuals!$E:$E,Actuals!$F:$F,Year!$C14,Actuals!$A:$A,Year!E$1)</f>
        <v>163.66</v>
      </c>
      <c r="F14" s="13">
        <f>SUMIFS(Actuals!$E:$E,Actuals!$F:$F,Year!$C14,Actuals!$A:$A,Year!F$1)</f>
        <v>158.66</v>
      </c>
      <c r="G14" s="13">
        <f>SUMIFS(Actuals!$E:$E,Actuals!$F:$F,Year!$C14,Actuals!$A:$A,Year!G$1)</f>
        <v>165.12</v>
      </c>
      <c r="H14" s="13">
        <f>SUMIFS(Actuals!$E:$E,Actuals!$F:$F,Year!$C14,Actuals!$A:$A,Year!H$1)</f>
        <v>165.07999999999998</v>
      </c>
      <c r="I14" s="13">
        <f>SUMIFS(Actuals!$E:$E,Actuals!$F:$F,Year!$C14,Actuals!$A:$A,Year!I$1)</f>
        <v>54.33</v>
      </c>
      <c r="J14" s="13">
        <f>SUMIFS(Actuals!$E:$E,Actuals!$F:$F,Year!$C14,Actuals!$A:$A,Year!J$1)</f>
        <v>55.97</v>
      </c>
      <c r="K14" s="13">
        <f>SUMIFS(Actuals!$E:$E,Actuals!$F:$F,Year!$C14,Actuals!$A:$A,Year!K$1)</f>
        <v>54.33</v>
      </c>
      <c r="L14" s="13">
        <f>SUMIFS(Actuals!$E:$E,Actuals!$F:$F,Year!$C14,Actuals!$A:$A,Year!L$1)</f>
        <v>54.33</v>
      </c>
      <c r="M14" s="13">
        <f>SUMIFS(Actuals!$E:$E,Actuals!$F:$F,Year!$C14,Actuals!$A:$A,Year!M$1)</f>
        <v>54.33</v>
      </c>
      <c r="N14" s="13">
        <f>SUMIFS(Actuals!$E:$E,Actuals!$F:$F,Year!$C14,Actuals!$A:$A,Year!N$1)</f>
        <v>0</v>
      </c>
      <c r="O14" s="13">
        <f>SUMIFS(Actuals!$E:$E,Actuals!$F:$F,Year!$C14,Actuals!$A:$A,Year!O$1)</f>
        <v>0</v>
      </c>
      <c r="P14" s="13">
        <f t="shared" si="1"/>
        <v>1089.47</v>
      </c>
      <c r="R14" s="13">
        <v>1631.65</v>
      </c>
      <c r="S14" s="13">
        <v>1620.9799999999998</v>
      </c>
      <c r="T14" s="13">
        <f t="shared" si="2"/>
        <v>10.6700000000003</v>
      </c>
    </row>
    <row r="15" spans="3:20">
      <c r="C15" s="14" t="s">
        <v>20</v>
      </c>
      <c r="D15" s="15">
        <f>SUMIFS(Actuals!$E:$E,Actuals!$F:$F,Year!$C15,Actuals!$A:$A,Year!D$1)</f>
        <v>4201.12</v>
      </c>
      <c r="E15" s="15">
        <f>SUMIFS(Actuals!$E:$E,Actuals!$F:$F,Year!$C15,Actuals!$A:$A,Year!E$1)</f>
        <v>2625.59</v>
      </c>
      <c r="F15" s="15">
        <f>SUMIFS(Actuals!$E:$E,Actuals!$F:$F,Year!$C15,Actuals!$A:$A,Year!F$1)</f>
        <v>2505.21</v>
      </c>
      <c r="G15" s="15">
        <f>SUMIFS(Actuals!$E:$E,Actuals!$F:$F,Year!$C15,Actuals!$A:$A,Year!G$1)</f>
        <v>2173.3599999999997</v>
      </c>
      <c r="H15" s="15">
        <f>SUMIFS(Actuals!$E:$E,Actuals!$F:$F,Year!$C15,Actuals!$A:$A,Year!H$1)</f>
        <v>797.3</v>
      </c>
      <c r="I15" s="15">
        <f>SUMIFS(Actuals!$E:$E,Actuals!$F:$F,Year!$C15,Actuals!$A:$A,Year!I$1)</f>
        <v>1371.1</v>
      </c>
      <c r="J15" s="15">
        <f>SUMIFS(Actuals!$E:$E,Actuals!$F:$F,Year!$C15,Actuals!$A:$A,Year!J$1)</f>
        <v>2393</v>
      </c>
      <c r="K15" s="15">
        <f>SUMIFS(Actuals!$E:$E,Actuals!$F:$F,Year!$C15,Actuals!$A:$A,Year!K$1)</f>
        <v>2344.5100000000002</v>
      </c>
      <c r="L15" s="15">
        <f>SUMIFS(Actuals!$E:$E,Actuals!$F:$F,Year!$C15,Actuals!$A:$A,Year!L$1)</f>
        <v>1720.2999999999997</v>
      </c>
      <c r="M15" s="15">
        <f>SUMIFS(Actuals!$E:$E,Actuals!$F:$F,Year!$C15,Actuals!$A:$A,Year!M$1)</f>
        <v>1597.6899999999998</v>
      </c>
      <c r="N15" s="15">
        <f>SUMIFS(Actuals!$E:$E,Actuals!$F:$F,Year!$C15,Actuals!$A:$A,Year!N$1)</f>
        <v>1651</v>
      </c>
      <c r="O15" s="15">
        <f>SUMIFS(Actuals!$E:$E,Actuals!$F:$F,Year!$C15,Actuals!$A:$A,Year!O$1)</f>
        <v>495</v>
      </c>
      <c r="P15" s="15">
        <f t="shared" si="1"/>
        <v>23875.179999999997</v>
      </c>
      <c r="R15" s="15">
        <v>27362.989999999998</v>
      </c>
      <c r="S15" s="15">
        <v>24892.85</v>
      </c>
      <c r="T15" s="15">
        <f t="shared" si="2"/>
        <v>2470.1399999999994</v>
      </c>
    </row>
    <row r="16" spans="3:20">
      <c r="C16" s="16" t="s">
        <v>7259</v>
      </c>
      <c r="D16" s="17">
        <f t="shared" ref="D16:O16" si="3">SUM(D9:D15)</f>
        <v>7780.9499999999989</v>
      </c>
      <c r="E16" s="17">
        <f t="shared" si="3"/>
        <v>7061.4599999999991</v>
      </c>
      <c r="F16" s="17">
        <f t="shared" si="3"/>
        <v>5270.49</v>
      </c>
      <c r="G16" s="17">
        <f t="shared" si="3"/>
        <v>6123.5499999999993</v>
      </c>
      <c r="H16" s="17">
        <f t="shared" si="3"/>
        <v>4731.4199999999992</v>
      </c>
      <c r="I16" s="17">
        <f t="shared" si="3"/>
        <v>7486.0499999999993</v>
      </c>
      <c r="J16" s="17">
        <f t="shared" si="3"/>
        <v>8517.82</v>
      </c>
      <c r="K16" s="17">
        <f t="shared" si="3"/>
        <v>6016.25</v>
      </c>
      <c r="L16" s="17">
        <f t="shared" si="3"/>
        <v>7079.09</v>
      </c>
      <c r="M16" s="17">
        <f t="shared" si="3"/>
        <v>6095.87</v>
      </c>
      <c r="N16" s="17">
        <f t="shared" si="3"/>
        <v>13272.439999999999</v>
      </c>
      <c r="O16" s="17">
        <f t="shared" si="3"/>
        <v>5097.0200000000004</v>
      </c>
      <c r="P16" s="17">
        <f>SUM(D16:O16)</f>
        <v>84532.41</v>
      </c>
      <c r="R16" s="17">
        <v>77595.969999999987</v>
      </c>
      <c r="S16" s="17">
        <v>78537.210000000006</v>
      </c>
      <c r="T16" s="17">
        <f t="shared" si="2"/>
        <v>-941.24000000001979</v>
      </c>
    </row>
    <row r="17" spans="3:20">
      <c r="D17" s="13"/>
      <c r="E17" s="13"/>
      <c r="F17" s="13"/>
      <c r="G17" s="13"/>
      <c r="H17" s="13"/>
      <c r="I17" s="13"/>
      <c r="J17" s="13"/>
      <c r="K17" s="13"/>
      <c r="L17" s="13"/>
      <c r="M17" s="13"/>
      <c r="N17" s="13"/>
      <c r="O17" s="13"/>
      <c r="P17" s="13"/>
      <c r="R17" s="13"/>
      <c r="S17" s="13"/>
      <c r="T17" s="13">
        <f t="shared" si="2"/>
        <v>0</v>
      </c>
    </row>
    <row r="18" spans="3:20">
      <c r="C18" t="s">
        <v>23</v>
      </c>
      <c r="D18" s="13">
        <f>SUMIFS(Actuals!$E:$E,Actuals!$F:$F,Year!$C18,Actuals!$A:$A,Year!D$1)</f>
        <v>36.35</v>
      </c>
      <c r="E18" s="13">
        <f>SUMIFS(Actuals!$E:$E,Actuals!$F:$F,Year!$C18,Actuals!$A:$A,Year!E$1)</f>
        <v>1290.29</v>
      </c>
      <c r="F18" s="13">
        <f>SUMIFS(Actuals!$E:$E,Actuals!$F:$F,Year!$C18,Actuals!$A:$A,Year!F$1)</f>
        <v>133.96</v>
      </c>
      <c r="G18" s="13">
        <f>SUMIFS(Actuals!$E:$E,Actuals!$F:$F,Year!$C18,Actuals!$A:$A,Year!G$1)</f>
        <v>60.28</v>
      </c>
      <c r="H18" s="13">
        <f>SUMIFS(Actuals!$E:$E,Actuals!$F:$F,Year!$C18,Actuals!$A:$A,Year!H$1)</f>
        <v>1459.98</v>
      </c>
      <c r="I18" s="13">
        <f>SUMIFS(Actuals!$E:$E,Actuals!$F:$F,Year!$C18,Actuals!$A:$A,Year!I$1)</f>
        <v>86.91</v>
      </c>
      <c r="J18" s="13">
        <f>SUMIFS(Actuals!$E:$E,Actuals!$F:$F,Year!$C18,Actuals!$A:$A,Year!J$1)</f>
        <v>993.97</v>
      </c>
      <c r="K18" s="13">
        <f>SUMIFS(Actuals!$E:$E,Actuals!$F:$F,Year!$C18,Actuals!$A:$A,Year!K$1)</f>
        <v>47.12</v>
      </c>
      <c r="L18" s="13">
        <f>SUMIFS(Actuals!$E:$E,Actuals!$F:$F,Year!$C18,Actuals!$A:$A,Year!L$1)</f>
        <v>61</v>
      </c>
      <c r="M18" s="13">
        <f>SUMIFS(Actuals!$E:$E,Actuals!$F:$F,Year!$C18,Actuals!$A:$A,Year!M$1)</f>
        <v>214.66</v>
      </c>
      <c r="N18" s="13">
        <f>SUMIFS(Actuals!$E:$E,Actuals!$F:$F,Year!$C18,Actuals!$A:$A,Year!N$1)</f>
        <v>135.28</v>
      </c>
      <c r="O18" s="13">
        <f>SUMIFS(Actuals!$E:$E,Actuals!$F:$F,Year!$C18,Actuals!$A:$A,Year!O$1)</f>
        <v>225.45000000000002</v>
      </c>
      <c r="P18" s="13">
        <f t="shared" si="1"/>
        <v>4745.2499999999991</v>
      </c>
      <c r="R18" s="13">
        <v>4295.8400000000011</v>
      </c>
      <c r="S18" s="13">
        <v>9951.7699999999986</v>
      </c>
      <c r="T18" s="13">
        <f t="shared" si="2"/>
        <v>-5655.9299999999976</v>
      </c>
    </row>
    <row r="19" spans="3:20">
      <c r="C19" t="s">
        <v>26</v>
      </c>
      <c r="D19" s="13">
        <f>SUMIFS(Actuals!$E:$E,Actuals!$F:$F,Year!$C19,Actuals!$A:$A,Year!D$1)</f>
        <v>1256.5199999999998</v>
      </c>
      <c r="E19" s="13">
        <f>SUMIFS(Actuals!$E:$E,Actuals!$F:$F,Year!$C19,Actuals!$A:$A,Year!E$1)</f>
        <v>1258.33</v>
      </c>
      <c r="F19" s="13">
        <f>SUMIFS(Actuals!$E:$E,Actuals!$F:$F,Year!$C19,Actuals!$A:$A,Year!F$1)</f>
        <v>2190.3699999999994</v>
      </c>
      <c r="G19" s="13">
        <f>SUMIFS(Actuals!$E:$E,Actuals!$F:$F,Year!$C19,Actuals!$A:$A,Year!G$1)</f>
        <v>1732.92</v>
      </c>
      <c r="H19" s="13">
        <f>SUMIFS(Actuals!$E:$E,Actuals!$F:$F,Year!$C19,Actuals!$A:$A,Year!H$1)</f>
        <v>1195.7899999999997</v>
      </c>
      <c r="I19" s="13">
        <f>SUMIFS(Actuals!$E:$E,Actuals!$F:$F,Year!$C19,Actuals!$A:$A,Year!I$1)</f>
        <v>2520.2900000000009</v>
      </c>
      <c r="J19" s="13">
        <f>SUMIFS(Actuals!$E:$E,Actuals!$F:$F,Year!$C19,Actuals!$A:$A,Year!J$1)</f>
        <v>2280.7600000000002</v>
      </c>
      <c r="K19" s="13">
        <f>SUMIFS(Actuals!$E:$E,Actuals!$F:$F,Year!$C19,Actuals!$A:$A,Year!K$1)</f>
        <v>1833.4499999999998</v>
      </c>
      <c r="L19" s="13">
        <f>SUMIFS(Actuals!$E:$E,Actuals!$F:$F,Year!$C19,Actuals!$A:$A,Year!L$1)</f>
        <v>2412.6700000000005</v>
      </c>
      <c r="M19" s="13">
        <f>SUMIFS(Actuals!$E:$E,Actuals!$F:$F,Year!$C19,Actuals!$A:$A,Year!M$1)</f>
        <v>3444.78</v>
      </c>
      <c r="N19" s="13">
        <f>SUMIFS(Actuals!$E:$E,Actuals!$F:$F,Year!$C19,Actuals!$A:$A,Year!N$1)</f>
        <v>1410.1699999999998</v>
      </c>
      <c r="O19" s="13">
        <f>SUMIFS(Actuals!$E:$E,Actuals!$F:$F,Year!$C19,Actuals!$A:$A,Year!O$1)</f>
        <v>1564.6100000000004</v>
      </c>
      <c r="P19" s="13">
        <f t="shared" si="1"/>
        <v>23100.66</v>
      </c>
      <c r="R19" s="13">
        <v>16610.649999999998</v>
      </c>
      <c r="S19" s="13">
        <v>14017.98</v>
      </c>
      <c r="T19" s="13">
        <f t="shared" si="2"/>
        <v>2592.6699999999983</v>
      </c>
    </row>
    <row r="20" spans="3:20">
      <c r="C20" t="s">
        <v>28</v>
      </c>
      <c r="D20" s="13">
        <f>SUMIFS(Actuals!$E:$E,Actuals!$F:$F,Year!$C20,Actuals!$A:$A,Year!D$1)</f>
        <v>1032.5399999999997</v>
      </c>
      <c r="E20" s="13">
        <f>SUMIFS(Actuals!$E:$E,Actuals!$F:$F,Year!$C20,Actuals!$A:$A,Year!E$1)</f>
        <v>813.71</v>
      </c>
      <c r="F20" s="13">
        <f>SUMIFS(Actuals!$E:$E,Actuals!$F:$F,Year!$C20,Actuals!$A:$A,Year!F$1)</f>
        <v>579.15000000000009</v>
      </c>
      <c r="G20" s="13">
        <f>SUMIFS(Actuals!$E:$E,Actuals!$F:$F,Year!$C20,Actuals!$A:$A,Year!G$1)</f>
        <v>1295</v>
      </c>
      <c r="H20" s="13">
        <f>SUMIFS(Actuals!$E:$E,Actuals!$F:$F,Year!$C20,Actuals!$A:$A,Year!H$1)</f>
        <v>1047.99</v>
      </c>
      <c r="I20" s="13">
        <f>SUMIFS(Actuals!$E:$E,Actuals!$F:$F,Year!$C20,Actuals!$A:$A,Year!I$1)</f>
        <v>1176.2800000000002</v>
      </c>
      <c r="J20" s="13">
        <f>SUMIFS(Actuals!$E:$E,Actuals!$F:$F,Year!$C20,Actuals!$A:$A,Year!J$1)</f>
        <v>341.28000000000003</v>
      </c>
      <c r="K20" s="13">
        <f>SUMIFS(Actuals!$E:$E,Actuals!$F:$F,Year!$C20,Actuals!$A:$A,Year!K$1)</f>
        <v>1051.6399999999999</v>
      </c>
      <c r="L20" s="13">
        <f>SUMIFS(Actuals!$E:$E,Actuals!$F:$F,Year!$C20,Actuals!$A:$A,Year!L$1)</f>
        <v>865.15</v>
      </c>
      <c r="M20" s="13">
        <f>SUMIFS(Actuals!$E:$E,Actuals!$F:$F,Year!$C20,Actuals!$A:$A,Year!M$1)</f>
        <v>1031.3100000000002</v>
      </c>
      <c r="N20" s="13">
        <f>SUMIFS(Actuals!$E:$E,Actuals!$F:$F,Year!$C20,Actuals!$A:$A,Year!N$1)</f>
        <v>982.85</v>
      </c>
      <c r="O20" s="13">
        <f>SUMIFS(Actuals!$E:$E,Actuals!$F:$F,Year!$C20,Actuals!$A:$A,Year!O$1)</f>
        <v>1139.06</v>
      </c>
      <c r="P20" s="13">
        <f t="shared" si="1"/>
        <v>11355.96</v>
      </c>
      <c r="R20" s="13">
        <v>11506.019999999999</v>
      </c>
      <c r="S20" s="13">
        <v>10268.6</v>
      </c>
      <c r="T20" s="13">
        <f t="shared" si="2"/>
        <v>1237.4199999999983</v>
      </c>
    </row>
    <row r="21" spans="3:20">
      <c r="C21" s="14" t="s">
        <v>31</v>
      </c>
      <c r="D21" s="15">
        <f>SUMIFS(Actuals!$E:$E,Actuals!$F:$F,Year!$C21,Actuals!$A:$A,Year!D$1)</f>
        <v>0</v>
      </c>
      <c r="E21" s="15">
        <f>SUMIFS(Actuals!$E:$E,Actuals!$F:$F,Year!$C21,Actuals!$A:$A,Year!E$1)</f>
        <v>1466.2</v>
      </c>
      <c r="F21" s="15">
        <f>SUMIFS(Actuals!$E:$E,Actuals!$F:$F,Year!$C21,Actuals!$A:$A,Year!F$1)</f>
        <v>1203.6100000000001</v>
      </c>
      <c r="G21" s="15">
        <f>SUMIFS(Actuals!$E:$E,Actuals!$F:$F,Year!$C21,Actuals!$A:$A,Year!G$1)</f>
        <v>858.99999999999989</v>
      </c>
      <c r="H21" s="15">
        <f>SUMIFS(Actuals!$E:$E,Actuals!$F:$F,Year!$C21,Actuals!$A:$A,Year!H$1)</f>
        <v>141.71</v>
      </c>
      <c r="I21" s="15">
        <f>SUMIFS(Actuals!$E:$E,Actuals!$F:$F,Year!$C21,Actuals!$A:$A,Year!I$1)</f>
        <v>863.6</v>
      </c>
      <c r="J21" s="15">
        <f>SUMIFS(Actuals!$E:$E,Actuals!$F:$F,Year!$C21,Actuals!$A:$A,Year!J$1)</f>
        <v>138.78</v>
      </c>
      <c r="K21" s="15">
        <f>SUMIFS(Actuals!$E:$E,Actuals!$F:$F,Year!$C21,Actuals!$A:$A,Year!K$1)</f>
        <v>519.11</v>
      </c>
      <c r="L21" s="15">
        <f>SUMIFS(Actuals!$E:$E,Actuals!$F:$F,Year!$C21,Actuals!$A:$A,Year!L$1)</f>
        <v>664.94</v>
      </c>
      <c r="M21" s="15">
        <f>SUMIFS(Actuals!$E:$E,Actuals!$F:$F,Year!$C21,Actuals!$A:$A,Year!M$1)</f>
        <v>931.63</v>
      </c>
      <c r="N21" s="15">
        <f>SUMIFS(Actuals!$E:$E,Actuals!$F:$F,Year!$C21,Actuals!$A:$A,Year!N$1)</f>
        <v>832.13</v>
      </c>
      <c r="O21" s="15">
        <f>SUMIFS(Actuals!$E:$E,Actuals!$F:$F,Year!$C21,Actuals!$A:$A,Year!O$1)</f>
        <v>818.16</v>
      </c>
      <c r="P21" s="15">
        <f t="shared" si="1"/>
        <v>8438.8700000000008</v>
      </c>
      <c r="R21" s="15">
        <v>8093.31</v>
      </c>
      <c r="S21" s="15">
        <v>4850.6899999999996</v>
      </c>
      <c r="T21" s="15">
        <f t="shared" si="2"/>
        <v>3242.6200000000008</v>
      </c>
    </row>
    <row r="22" spans="3:20">
      <c r="C22" s="16" t="s">
        <v>7260</v>
      </c>
      <c r="D22" s="17">
        <f t="shared" ref="D22:O22" si="4">SUM(D18:D21)</f>
        <v>2325.4099999999994</v>
      </c>
      <c r="E22" s="17">
        <f t="shared" si="4"/>
        <v>4828.53</v>
      </c>
      <c r="F22" s="17">
        <f t="shared" si="4"/>
        <v>4107.09</v>
      </c>
      <c r="G22" s="17">
        <f t="shared" si="4"/>
        <v>3947.2</v>
      </c>
      <c r="H22" s="17">
        <f t="shared" si="4"/>
        <v>3845.4699999999993</v>
      </c>
      <c r="I22" s="17">
        <f t="shared" si="4"/>
        <v>4647.0800000000008</v>
      </c>
      <c r="J22" s="17">
        <f t="shared" si="4"/>
        <v>3754.7900000000009</v>
      </c>
      <c r="K22" s="17">
        <f t="shared" si="4"/>
        <v>3451.3199999999997</v>
      </c>
      <c r="L22" s="17">
        <f t="shared" si="4"/>
        <v>4003.7600000000007</v>
      </c>
      <c r="M22" s="17">
        <f t="shared" si="4"/>
        <v>5622.38</v>
      </c>
      <c r="N22" s="17">
        <f t="shared" si="4"/>
        <v>3360.43</v>
      </c>
      <c r="O22" s="17">
        <f t="shared" si="4"/>
        <v>3747.28</v>
      </c>
      <c r="P22" s="17">
        <f t="shared" si="1"/>
        <v>47640.74</v>
      </c>
      <c r="R22" s="17">
        <v>40505.82</v>
      </c>
      <c r="S22" s="17">
        <v>39089.039999999994</v>
      </c>
      <c r="T22" s="17">
        <f t="shared" si="2"/>
        <v>1416.7800000000061</v>
      </c>
    </row>
    <row r="23" spans="3:20">
      <c r="D23" s="13"/>
      <c r="E23" s="13"/>
      <c r="F23" s="13"/>
      <c r="G23" s="13"/>
      <c r="H23" s="13"/>
      <c r="I23" s="13"/>
      <c r="J23" s="13"/>
      <c r="K23" s="13"/>
      <c r="L23" s="13"/>
      <c r="M23" s="13"/>
      <c r="N23" s="13"/>
      <c r="O23" s="13"/>
      <c r="P23" s="13"/>
      <c r="R23" s="13"/>
      <c r="S23" s="13"/>
      <c r="T23" s="13">
        <f t="shared" si="2"/>
        <v>0</v>
      </c>
    </row>
    <row r="24" spans="3:20">
      <c r="C24" t="s">
        <v>34</v>
      </c>
      <c r="D24" s="13">
        <f>SUMIFS(Actuals!$E:$E,Actuals!$F:$F,Year!$C24,Actuals!$A:$A,Year!D$1)</f>
        <v>0</v>
      </c>
      <c r="E24" s="13">
        <f>SUMIFS(Actuals!$E:$E,Actuals!$F:$F,Year!$C24,Actuals!$A:$A,Year!E$1)</f>
        <v>0</v>
      </c>
      <c r="F24" s="13">
        <f>SUMIFS(Actuals!$E:$E,Actuals!$F:$F,Year!$C24,Actuals!$A:$A,Year!F$1)</f>
        <v>0</v>
      </c>
      <c r="G24" s="13">
        <f>SUMIFS(Actuals!$E:$E,Actuals!$F:$F,Year!$C24,Actuals!$A:$A,Year!G$1)</f>
        <v>0</v>
      </c>
      <c r="H24" s="13">
        <f>SUMIFS(Actuals!$E:$E,Actuals!$F:$F,Year!$C24,Actuals!$A:$A,Year!H$1)</f>
        <v>0</v>
      </c>
      <c r="I24" s="13">
        <f>SUMIFS(Actuals!$E:$E,Actuals!$F:$F,Year!$C24,Actuals!$A:$A,Year!I$1)</f>
        <v>25</v>
      </c>
      <c r="J24" s="13">
        <f>SUMIFS(Actuals!$E:$E,Actuals!$F:$F,Year!$C24,Actuals!$A:$A,Year!J$1)</f>
        <v>0</v>
      </c>
      <c r="K24" s="13">
        <f>SUMIFS(Actuals!$E:$E,Actuals!$F:$F,Year!$C24,Actuals!$A:$A,Year!K$1)</f>
        <v>0</v>
      </c>
      <c r="L24" s="13">
        <f>SUMIFS(Actuals!$E:$E,Actuals!$F:$F,Year!$C24,Actuals!$A:$A,Year!L$1)</f>
        <v>0</v>
      </c>
      <c r="M24" s="13">
        <f>SUMIFS(Actuals!$E:$E,Actuals!$F:$F,Year!$C24,Actuals!$A:$A,Year!M$1)</f>
        <v>0</v>
      </c>
      <c r="N24" s="13">
        <f>SUMIFS(Actuals!$E:$E,Actuals!$F:$F,Year!$C24,Actuals!$A:$A,Year!N$1)</f>
        <v>0</v>
      </c>
      <c r="O24" s="13">
        <f>SUMIFS(Actuals!$E:$E,Actuals!$F:$F,Year!$C24,Actuals!$A:$A,Year!O$1)</f>
        <v>0</v>
      </c>
      <c r="P24" s="13">
        <f t="shared" si="1"/>
        <v>25</v>
      </c>
      <c r="R24" s="13">
        <v>381.52</v>
      </c>
      <c r="S24" s="13">
        <v>568.31999999999994</v>
      </c>
      <c r="T24" s="13">
        <f t="shared" si="2"/>
        <v>-186.79999999999995</v>
      </c>
    </row>
    <row r="25" spans="3:20">
      <c r="C25" t="s">
        <v>21</v>
      </c>
      <c r="D25" s="13">
        <f>SUMIFS(Actuals!$E:$E,Actuals!$F:$F,Year!$C25,Actuals!$A:$A,Year!D$1)</f>
        <v>1297.5600000000002</v>
      </c>
      <c r="E25" s="13">
        <f>SUMIFS(Actuals!$E:$E,Actuals!$F:$F,Year!$C25,Actuals!$A:$A,Year!E$1)</f>
        <v>2152.23</v>
      </c>
      <c r="F25" s="13">
        <f>SUMIFS(Actuals!$E:$E,Actuals!$F:$F,Year!$C25,Actuals!$A:$A,Year!F$1)</f>
        <v>2367.6299999999992</v>
      </c>
      <c r="G25" s="13">
        <f>SUMIFS(Actuals!$E:$E,Actuals!$F:$F,Year!$C25,Actuals!$A:$A,Year!G$1)</f>
        <v>944.13999999999965</v>
      </c>
      <c r="H25" s="13">
        <f>SUMIFS(Actuals!$E:$E,Actuals!$F:$F,Year!$C25,Actuals!$A:$A,Year!H$1)</f>
        <v>2600.9999999999995</v>
      </c>
      <c r="I25" s="13">
        <f>SUMIFS(Actuals!$E:$E,Actuals!$F:$F,Year!$C25,Actuals!$A:$A,Year!I$1)</f>
        <v>1527.9499999999996</v>
      </c>
      <c r="J25" s="13">
        <f>SUMIFS(Actuals!$E:$E,Actuals!$F:$F,Year!$C25,Actuals!$A:$A,Year!J$1)</f>
        <v>-26.289999999999992</v>
      </c>
      <c r="K25" s="13">
        <f>SUMIFS(Actuals!$E:$E,Actuals!$F:$F,Year!$C25,Actuals!$A:$A,Year!K$1)</f>
        <v>2243.56</v>
      </c>
      <c r="L25" s="13">
        <f>SUMIFS(Actuals!$E:$E,Actuals!$F:$F,Year!$C25,Actuals!$A:$A,Year!L$1)</f>
        <v>2632.31</v>
      </c>
      <c r="M25" s="13">
        <f>SUMIFS(Actuals!$E:$E,Actuals!$F:$F,Year!$C25,Actuals!$A:$A,Year!M$1)</f>
        <v>920.69999999999982</v>
      </c>
      <c r="N25" s="13">
        <f>SUMIFS(Actuals!$E:$E,Actuals!$F:$F,Year!$C25,Actuals!$A:$A,Year!N$1)</f>
        <v>3072.7699999999991</v>
      </c>
      <c r="O25" s="13">
        <f>SUMIFS(Actuals!$E:$E,Actuals!$F:$F,Year!$C25,Actuals!$A:$A,Year!O$1)</f>
        <v>1902.8300000000006</v>
      </c>
      <c r="P25" s="13">
        <f t="shared" si="1"/>
        <v>21636.389999999996</v>
      </c>
      <c r="R25" s="13">
        <v>24464.17</v>
      </c>
      <c r="S25" s="13">
        <v>36968.909999999996</v>
      </c>
      <c r="T25" s="13">
        <f t="shared" si="2"/>
        <v>-12504.739999999998</v>
      </c>
    </row>
    <row r="26" spans="3:20">
      <c r="C26" t="s">
        <v>38</v>
      </c>
      <c r="D26" s="13">
        <f>SUMIFS(Actuals!$E:$E,Actuals!$F:$F,Year!$C26,Actuals!$A:$A,Year!D$1)</f>
        <v>1330.2099999999998</v>
      </c>
      <c r="E26" s="13">
        <f>SUMIFS(Actuals!$E:$E,Actuals!$F:$F,Year!$C26,Actuals!$A:$A,Year!E$1)</f>
        <v>628.87000000000023</v>
      </c>
      <c r="F26" s="13">
        <f>SUMIFS(Actuals!$E:$E,Actuals!$F:$F,Year!$C26,Actuals!$A:$A,Year!F$1)</f>
        <v>468.29000000000008</v>
      </c>
      <c r="G26" s="13">
        <f>SUMIFS(Actuals!$E:$E,Actuals!$F:$F,Year!$C26,Actuals!$A:$A,Year!G$1)</f>
        <v>883.32999999999993</v>
      </c>
      <c r="H26" s="13">
        <f>SUMIFS(Actuals!$E:$E,Actuals!$F:$F,Year!$C26,Actuals!$A:$A,Year!H$1)</f>
        <v>361.53999999999996</v>
      </c>
      <c r="I26" s="13">
        <f>SUMIFS(Actuals!$E:$E,Actuals!$F:$F,Year!$C26,Actuals!$A:$A,Year!I$1)</f>
        <v>4.0099999999999909</v>
      </c>
      <c r="J26" s="13">
        <f>SUMIFS(Actuals!$E:$E,Actuals!$F:$F,Year!$C26,Actuals!$A:$A,Year!J$1)</f>
        <v>-0.15000000000001279</v>
      </c>
      <c r="K26" s="13">
        <f>SUMIFS(Actuals!$E:$E,Actuals!$F:$F,Year!$C26,Actuals!$A:$A,Year!K$1)</f>
        <v>26.489999999999988</v>
      </c>
      <c r="L26" s="13">
        <f>SUMIFS(Actuals!$E:$E,Actuals!$F:$F,Year!$C26,Actuals!$A:$A,Year!L$1)</f>
        <v>356.57999999999993</v>
      </c>
      <c r="M26" s="13">
        <f>SUMIFS(Actuals!$E:$E,Actuals!$F:$F,Year!$C26,Actuals!$A:$A,Year!M$1)</f>
        <v>52.839999999999989</v>
      </c>
      <c r="N26" s="13">
        <f>SUMIFS(Actuals!$E:$E,Actuals!$F:$F,Year!$C26,Actuals!$A:$A,Year!N$1)</f>
        <v>296.69000000000005</v>
      </c>
      <c r="O26" s="13">
        <f>SUMIFS(Actuals!$E:$E,Actuals!$F:$F,Year!$C26,Actuals!$A:$A,Year!O$1)</f>
        <v>1212.4599999999998</v>
      </c>
      <c r="P26" s="13">
        <f t="shared" si="1"/>
        <v>5621.1599999999989</v>
      </c>
      <c r="R26" s="13">
        <v>7001.7400000000007</v>
      </c>
      <c r="S26" s="13">
        <v>6149.75</v>
      </c>
      <c r="T26" s="13">
        <f t="shared" si="2"/>
        <v>851.99000000000069</v>
      </c>
    </row>
    <row r="27" spans="3:20">
      <c r="C27" t="s">
        <v>40</v>
      </c>
      <c r="D27" s="13">
        <f>SUMIFS(Actuals!$E:$E,Actuals!$F:$F,Year!$C27,Actuals!$A:$A,Year!D$1)</f>
        <v>452.17</v>
      </c>
      <c r="E27" s="13">
        <f>SUMIFS(Actuals!$E:$E,Actuals!$F:$F,Year!$C27,Actuals!$A:$A,Year!E$1)</f>
        <v>213.46</v>
      </c>
      <c r="F27" s="13">
        <f>SUMIFS(Actuals!$E:$E,Actuals!$F:$F,Year!$C27,Actuals!$A:$A,Year!F$1)</f>
        <v>547.24</v>
      </c>
      <c r="G27" s="13">
        <f>SUMIFS(Actuals!$E:$E,Actuals!$F:$F,Year!$C27,Actuals!$A:$A,Year!G$1)</f>
        <v>214.29</v>
      </c>
      <c r="H27" s="13">
        <f>SUMIFS(Actuals!$E:$E,Actuals!$F:$F,Year!$C27,Actuals!$A:$A,Year!H$1)</f>
        <v>151.35</v>
      </c>
      <c r="I27" s="13">
        <f>SUMIFS(Actuals!$E:$E,Actuals!$F:$F,Year!$C27,Actuals!$A:$A,Year!I$1)</f>
        <v>365.79</v>
      </c>
      <c r="J27" s="13">
        <f>SUMIFS(Actuals!$E:$E,Actuals!$F:$F,Year!$C27,Actuals!$A:$A,Year!J$1)</f>
        <v>447.18999999999994</v>
      </c>
      <c r="K27" s="13">
        <f>SUMIFS(Actuals!$E:$E,Actuals!$F:$F,Year!$C27,Actuals!$A:$A,Year!K$1)</f>
        <v>522.79999999999995</v>
      </c>
      <c r="L27" s="13">
        <f>SUMIFS(Actuals!$E:$E,Actuals!$F:$F,Year!$C27,Actuals!$A:$A,Year!L$1)</f>
        <v>49.09</v>
      </c>
      <c r="M27" s="13">
        <f>SUMIFS(Actuals!$E:$E,Actuals!$F:$F,Year!$C27,Actuals!$A:$A,Year!M$1)</f>
        <v>115.16</v>
      </c>
      <c r="N27" s="13">
        <f>SUMIFS(Actuals!$E:$E,Actuals!$F:$F,Year!$C27,Actuals!$A:$A,Year!N$1)</f>
        <v>324.03999999999996</v>
      </c>
      <c r="O27" s="13">
        <f>SUMIFS(Actuals!$E:$E,Actuals!$F:$F,Year!$C27,Actuals!$A:$A,Year!O$1)</f>
        <v>278.84000000000003</v>
      </c>
      <c r="P27" s="13">
        <f t="shared" si="1"/>
        <v>3681.42</v>
      </c>
      <c r="R27" s="13">
        <v>7135.1299999999992</v>
      </c>
      <c r="S27" s="13">
        <v>3003.3799999999997</v>
      </c>
      <c r="T27" s="13">
        <f t="shared" si="2"/>
        <v>4131.75</v>
      </c>
    </row>
    <row r="28" spans="3:20">
      <c r="C28" t="s">
        <v>41</v>
      </c>
      <c r="D28" s="13">
        <f>SUMIFS(Actuals!$E:$E,Actuals!$F:$F,Year!$C28,Actuals!$A:$A,Year!D$1)</f>
        <v>0</v>
      </c>
      <c r="E28" s="13">
        <f>SUMIFS(Actuals!$E:$E,Actuals!$F:$F,Year!$C28,Actuals!$A:$A,Year!E$1)</f>
        <v>0</v>
      </c>
      <c r="F28" s="13">
        <f>SUMIFS(Actuals!$E:$E,Actuals!$F:$F,Year!$C28,Actuals!$A:$A,Year!F$1)</f>
        <v>0</v>
      </c>
      <c r="G28" s="13">
        <f>SUMIFS(Actuals!$E:$E,Actuals!$F:$F,Year!$C28,Actuals!$A:$A,Year!G$1)</f>
        <v>36.599999999999994</v>
      </c>
      <c r="H28" s="13">
        <f>SUMIFS(Actuals!$E:$E,Actuals!$F:$F,Year!$C28,Actuals!$A:$A,Year!H$1)</f>
        <v>0</v>
      </c>
      <c r="I28" s="13">
        <f>SUMIFS(Actuals!$E:$E,Actuals!$F:$F,Year!$C28,Actuals!$A:$A,Year!I$1)</f>
        <v>35.93</v>
      </c>
      <c r="J28" s="13">
        <f>SUMIFS(Actuals!$E:$E,Actuals!$F:$F,Year!$C28,Actuals!$A:$A,Year!J$1)</f>
        <v>113.36</v>
      </c>
      <c r="K28" s="13">
        <f>SUMIFS(Actuals!$E:$E,Actuals!$F:$F,Year!$C28,Actuals!$A:$A,Year!K$1)</f>
        <v>59.35</v>
      </c>
      <c r="L28" s="13">
        <f>SUMIFS(Actuals!$E:$E,Actuals!$F:$F,Year!$C28,Actuals!$A:$A,Year!L$1)</f>
        <v>0</v>
      </c>
      <c r="M28" s="13">
        <f>SUMIFS(Actuals!$E:$E,Actuals!$F:$F,Year!$C28,Actuals!$A:$A,Year!M$1)</f>
        <v>118.68</v>
      </c>
      <c r="N28" s="13">
        <f>SUMIFS(Actuals!$E:$E,Actuals!$F:$F,Year!$C28,Actuals!$A:$A,Year!N$1)</f>
        <v>42.66</v>
      </c>
      <c r="O28" s="13">
        <f>SUMIFS(Actuals!$E:$E,Actuals!$F:$F,Year!$C28,Actuals!$A:$A,Year!O$1)</f>
        <v>0</v>
      </c>
      <c r="P28" s="13">
        <f t="shared" si="1"/>
        <v>406.57999999999993</v>
      </c>
      <c r="R28" s="13">
        <v>537.86</v>
      </c>
      <c r="S28" s="13">
        <v>346.40999999999997</v>
      </c>
      <c r="T28" s="13">
        <f t="shared" si="2"/>
        <v>191.45000000000005</v>
      </c>
    </row>
    <row r="29" spans="3:20">
      <c r="C29" t="s">
        <v>45</v>
      </c>
      <c r="D29" s="13">
        <f>SUMIFS(Actuals!$E:$E,Actuals!$F:$F,Year!$C29,Actuals!$A:$A,Year!D$1)</f>
        <v>0</v>
      </c>
      <c r="E29" s="13">
        <f>SUMIFS(Actuals!$E:$E,Actuals!$F:$F,Year!$C29,Actuals!$A:$A,Year!E$1)</f>
        <v>0</v>
      </c>
      <c r="F29" s="13">
        <f>SUMIFS(Actuals!$E:$E,Actuals!$F:$F,Year!$C29,Actuals!$A:$A,Year!F$1)</f>
        <v>0</v>
      </c>
      <c r="G29" s="13">
        <f>SUMIFS(Actuals!$E:$E,Actuals!$F:$F,Year!$C29,Actuals!$A:$A,Year!G$1)</f>
        <v>0</v>
      </c>
      <c r="H29" s="13">
        <f>SUMIFS(Actuals!$E:$E,Actuals!$F:$F,Year!$C29,Actuals!$A:$A,Year!H$1)</f>
        <v>0</v>
      </c>
      <c r="I29" s="13">
        <f>SUMIFS(Actuals!$E:$E,Actuals!$F:$F,Year!$C29,Actuals!$A:$A,Year!I$1)</f>
        <v>0</v>
      </c>
      <c r="J29" s="13">
        <f>SUMIFS(Actuals!$E:$E,Actuals!$F:$F,Year!$C29,Actuals!$A:$A,Year!J$1)</f>
        <v>0</v>
      </c>
      <c r="K29" s="13">
        <f>SUMIFS(Actuals!$E:$E,Actuals!$F:$F,Year!$C29,Actuals!$A:$A,Year!K$1)</f>
        <v>0</v>
      </c>
      <c r="L29" s="13">
        <f>SUMIFS(Actuals!$E:$E,Actuals!$F:$F,Year!$C29,Actuals!$A:$A,Year!L$1)</f>
        <v>0</v>
      </c>
      <c r="M29" s="13">
        <f>SUMIFS(Actuals!$E:$E,Actuals!$F:$F,Year!$C29,Actuals!$A:$A,Year!M$1)</f>
        <v>0</v>
      </c>
      <c r="N29" s="13">
        <f>SUMIFS(Actuals!$E:$E,Actuals!$F:$F,Year!$C29,Actuals!$A:$A,Year!N$1)</f>
        <v>312.02999999999997</v>
      </c>
      <c r="O29" s="13">
        <f>SUMIFS(Actuals!$E:$E,Actuals!$F:$F,Year!$C29,Actuals!$A:$A,Year!O$1)</f>
        <v>282.75</v>
      </c>
      <c r="P29" s="13">
        <f t="shared" si="1"/>
        <v>594.78</v>
      </c>
      <c r="R29" s="13">
        <v>780.65</v>
      </c>
      <c r="S29" s="13">
        <v>1066.7799999999997</v>
      </c>
      <c r="T29" s="13">
        <f t="shared" si="2"/>
        <v>-286.12999999999977</v>
      </c>
    </row>
    <row r="30" spans="3:20">
      <c r="C30" s="14" t="s">
        <v>29</v>
      </c>
      <c r="D30" s="15">
        <f>SUMIFS(Actuals!$E:$E,Actuals!$F:$F,Year!$C30,Actuals!$A:$A,Year!D$1)</f>
        <v>110</v>
      </c>
      <c r="E30" s="15">
        <f>SUMIFS(Actuals!$E:$E,Actuals!$F:$F,Year!$C30,Actuals!$A:$A,Year!E$1)</f>
        <v>0</v>
      </c>
      <c r="F30" s="15">
        <f>SUMIFS(Actuals!$E:$E,Actuals!$F:$F,Year!$C30,Actuals!$A:$A,Year!F$1)</f>
        <v>0</v>
      </c>
      <c r="G30" s="15">
        <f>SUMIFS(Actuals!$E:$E,Actuals!$F:$F,Year!$C30,Actuals!$A:$A,Year!G$1)</f>
        <v>124</v>
      </c>
      <c r="H30" s="15">
        <f>SUMIFS(Actuals!$E:$E,Actuals!$F:$F,Year!$C30,Actuals!$A:$A,Year!H$1)</f>
        <v>0</v>
      </c>
      <c r="I30" s="15">
        <f>SUMIFS(Actuals!$E:$E,Actuals!$F:$F,Year!$C30,Actuals!$A:$A,Year!I$1)</f>
        <v>5</v>
      </c>
      <c r="J30" s="15">
        <f>SUMIFS(Actuals!$E:$E,Actuals!$F:$F,Year!$C30,Actuals!$A:$A,Year!J$1)</f>
        <v>0</v>
      </c>
      <c r="K30" s="15">
        <f>SUMIFS(Actuals!$E:$E,Actuals!$F:$F,Year!$C30,Actuals!$A:$A,Year!K$1)</f>
        <v>0</v>
      </c>
      <c r="L30" s="15">
        <f>SUMIFS(Actuals!$E:$E,Actuals!$F:$F,Year!$C30,Actuals!$A:$A,Year!L$1)</f>
        <v>0</v>
      </c>
      <c r="M30" s="15">
        <f>SUMIFS(Actuals!$E:$E,Actuals!$F:$F,Year!$C30,Actuals!$A:$A,Year!M$1)</f>
        <v>38.47</v>
      </c>
      <c r="N30" s="15">
        <f>SUMIFS(Actuals!$E:$E,Actuals!$F:$F,Year!$C30,Actuals!$A:$A,Year!N$1)</f>
        <v>135.4</v>
      </c>
      <c r="O30" s="15">
        <f>SUMIFS(Actuals!$E:$E,Actuals!$F:$F,Year!$C30,Actuals!$A:$A,Year!O$1)</f>
        <v>8.15</v>
      </c>
      <c r="P30" s="15">
        <f t="shared" si="1"/>
        <v>421.02</v>
      </c>
      <c r="R30" s="15">
        <v>527.85</v>
      </c>
      <c r="S30" s="15">
        <v>793.33999999999992</v>
      </c>
      <c r="T30" s="15">
        <f t="shared" si="2"/>
        <v>-265.4899999999999</v>
      </c>
    </row>
    <row r="31" spans="3:20">
      <c r="C31" s="16" t="s">
        <v>7261</v>
      </c>
      <c r="D31" s="17">
        <f t="shared" ref="D31:O31" si="5">SUM(D24:D30)</f>
        <v>3189.94</v>
      </c>
      <c r="E31" s="17">
        <f t="shared" si="5"/>
        <v>2994.5600000000004</v>
      </c>
      <c r="F31" s="17">
        <f t="shared" si="5"/>
        <v>3383.1599999999989</v>
      </c>
      <c r="G31" s="17">
        <f t="shared" si="5"/>
        <v>2202.3599999999997</v>
      </c>
      <c r="H31" s="17">
        <f t="shared" si="5"/>
        <v>3113.8899999999994</v>
      </c>
      <c r="I31" s="17">
        <f t="shared" si="5"/>
        <v>1963.6799999999996</v>
      </c>
      <c r="J31" s="17">
        <f t="shared" si="5"/>
        <v>534.1099999999999</v>
      </c>
      <c r="K31" s="17">
        <f t="shared" si="5"/>
        <v>2852.1999999999994</v>
      </c>
      <c r="L31" s="17">
        <f t="shared" si="5"/>
        <v>3037.98</v>
      </c>
      <c r="M31" s="17">
        <f t="shared" si="5"/>
        <v>1245.8499999999999</v>
      </c>
      <c r="N31" s="17">
        <f t="shared" si="5"/>
        <v>4183.5899999999983</v>
      </c>
      <c r="O31" s="17">
        <f t="shared" si="5"/>
        <v>3685.0300000000007</v>
      </c>
      <c r="P31" s="17">
        <f t="shared" si="1"/>
        <v>32386.35</v>
      </c>
      <c r="R31" s="17">
        <v>40828.92</v>
      </c>
      <c r="S31" s="17">
        <v>48896.89</v>
      </c>
      <c r="T31" s="17">
        <f t="shared" si="2"/>
        <v>-8067.9700000000012</v>
      </c>
    </row>
    <row r="32" spans="3:20">
      <c r="C32" s="19"/>
      <c r="D32" s="20"/>
      <c r="E32" s="20"/>
      <c r="F32" s="20"/>
      <c r="G32" s="20"/>
      <c r="H32" s="20"/>
      <c r="I32" s="20"/>
      <c r="J32" s="20"/>
      <c r="K32" s="20"/>
      <c r="L32" s="20"/>
      <c r="M32" s="20"/>
      <c r="N32" s="20"/>
      <c r="O32" s="20"/>
      <c r="P32" s="20">
        <f t="shared" si="1"/>
        <v>0</v>
      </c>
      <c r="R32" s="20">
        <v>0</v>
      </c>
      <c r="S32" s="20">
        <v>0</v>
      </c>
      <c r="T32" s="20">
        <f t="shared" si="2"/>
        <v>0</v>
      </c>
    </row>
    <row r="33" spans="3:20">
      <c r="C33" s="16" t="s">
        <v>7153</v>
      </c>
      <c r="D33" s="17">
        <f t="shared" ref="D33:O33" si="6">SUM(D31,D22,D16)</f>
        <v>13296.3</v>
      </c>
      <c r="E33" s="17">
        <f t="shared" si="6"/>
        <v>14884.55</v>
      </c>
      <c r="F33" s="17">
        <f t="shared" si="6"/>
        <v>12760.739999999998</v>
      </c>
      <c r="G33" s="17">
        <f t="shared" si="6"/>
        <v>12273.109999999999</v>
      </c>
      <c r="H33" s="17">
        <f t="shared" si="6"/>
        <v>11690.779999999999</v>
      </c>
      <c r="I33" s="17">
        <f t="shared" si="6"/>
        <v>14096.81</v>
      </c>
      <c r="J33" s="17">
        <f t="shared" si="6"/>
        <v>12806.720000000001</v>
      </c>
      <c r="K33" s="17">
        <f t="shared" si="6"/>
        <v>12319.769999999999</v>
      </c>
      <c r="L33" s="17">
        <f t="shared" si="6"/>
        <v>14120.830000000002</v>
      </c>
      <c r="M33" s="17">
        <f t="shared" si="6"/>
        <v>12964.099999999999</v>
      </c>
      <c r="N33" s="17">
        <f t="shared" si="6"/>
        <v>20816.46</v>
      </c>
      <c r="O33" s="17">
        <f t="shared" si="6"/>
        <v>12529.330000000002</v>
      </c>
      <c r="P33" s="17">
        <f>SUM(D33:O33)</f>
        <v>164559.5</v>
      </c>
      <c r="R33" s="17">
        <v>158930.70999999996</v>
      </c>
      <c r="S33" s="17">
        <v>166523.14000000001</v>
      </c>
      <c r="T33" s="17">
        <f t="shared" si="2"/>
        <v>-7592.4300000000512</v>
      </c>
    </row>
    <row r="34" spans="3:20">
      <c r="D34" s="13"/>
      <c r="E34" s="13"/>
      <c r="F34" s="13"/>
      <c r="G34" s="13"/>
      <c r="H34" s="13"/>
      <c r="I34" s="13"/>
      <c r="J34" s="13"/>
      <c r="K34" s="13"/>
      <c r="L34" s="13"/>
      <c r="M34" s="13"/>
      <c r="N34" s="13"/>
      <c r="O34" s="13"/>
      <c r="P34" s="13"/>
      <c r="R34" s="13"/>
      <c r="S34" s="13"/>
      <c r="T34" s="13">
        <f t="shared" si="2"/>
        <v>0</v>
      </c>
    </row>
    <row r="35" spans="3:20">
      <c r="C35" t="s">
        <v>48</v>
      </c>
      <c r="D35" s="13">
        <f>SUMIFS(Actuals!$E:$E,Actuals!$F:$F,Year!$C35,Actuals!$A:$A,Year!D$1)</f>
        <v>555.18000000000006</v>
      </c>
      <c r="E35" s="13">
        <f>SUMIFS(Actuals!$E:$E,Actuals!$F:$F,Year!$C35,Actuals!$A:$A,Year!E$1)</f>
        <v>246.17000000000002</v>
      </c>
      <c r="F35" s="13">
        <f>SUMIFS(Actuals!$E:$E,Actuals!$F:$F,Year!$C35,Actuals!$A:$A,Year!F$1)</f>
        <v>227.94</v>
      </c>
      <c r="G35" s="13">
        <f>SUMIFS(Actuals!$E:$E,Actuals!$F:$F,Year!$C35,Actuals!$A:$A,Year!G$1)</f>
        <v>0</v>
      </c>
      <c r="H35" s="13">
        <f>SUMIFS(Actuals!$E:$E,Actuals!$F:$F,Year!$C35,Actuals!$A:$A,Year!H$1)</f>
        <v>253.53</v>
      </c>
      <c r="I35" s="13">
        <f>SUMIFS(Actuals!$E:$E,Actuals!$F:$F,Year!$C35,Actuals!$A:$A,Year!I$1)</f>
        <v>-14.1</v>
      </c>
      <c r="J35" s="13">
        <f>SUMIFS(Actuals!$E:$E,Actuals!$F:$F,Year!$C35,Actuals!$A:$A,Year!J$1)</f>
        <v>124.06</v>
      </c>
      <c r="K35" s="13">
        <f>SUMIFS(Actuals!$E:$E,Actuals!$F:$F,Year!$C35,Actuals!$A:$A,Year!K$1)</f>
        <v>0</v>
      </c>
      <c r="L35" s="13">
        <f>SUMIFS(Actuals!$E:$E,Actuals!$F:$F,Year!$C35,Actuals!$A:$A,Year!L$1)</f>
        <v>-12.49</v>
      </c>
      <c r="M35" s="13">
        <f>SUMIFS(Actuals!$E:$E,Actuals!$F:$F,Year!$C35,Actuals!$A:$A,Year!M$1)</f>
        <v>856.21</v>
      </c>
      <c r="N35" s="13">
        <f>SUMIFS(Actuals!$E:$E,Actuals!$F:$F,Year!$C35,Actuals!$A:$A,Year!N$1)</f>
        <v>425.81</v>
      </c>
      <c r="O35" s="13">
        <f>SUMIFS(Actuals!$E:$E,Actuals!$F:$F,Year!$C35,Actuals!$A:$A,Year!O$1)</f>
        <v>1285.7</v>
      </c>
      <c r="P35" s="13">
        <f t="shared" ref="P35:P37" si="7">SUM(D35:O35)</f>
        <v>3948.01</v>
      </c>
      <c r="R35" s="13">
        <v>2527.44</v>
      </c>
      <c r="S35" s="13">
        <v>4800.5900000000011</v>
      </c>
      <c r="T35" s="13">
        <f t="shared" si="2"/>
        <v>-2273.150000000001</v>
      </c>
    </row>
    <row r="36" spans="3:20">
      <c r="C36" t="s">
        <v>50</v>
      </c>
      <c r="D36" s="13">
        <f>SUMIFS(Actuals!$E:$E,Actuals!$F:$F,Year!$C36,Actuals!$A:$A,Year!D$1)</f>
        <v>30245.75</v>
      </c>
      <c r="E36" s="13">
        <f>SUMIFS(Actuals!$E:$E,Actuals!$F:$F,Year!$C36,Actuals!$A:$A,Year!E$1)</f>
        <v>8816.9699999999993</v>
      </c>
      <c r="F36" s="13">
        <f>SUMIFS(Actuals!$E:$E,Actuals!$F:$F,Year!$C36,Actuals!$A:$A,Year!F$1)</f>
        <v>24509</v>
      </c>
      <c r="G36" s="13">
        <f>SUMIFS(Actuals!$E:$E,Actuals!$F:$F,Year!$C36,Actuals!$A:$A,Year!G$1)</f>
        <v>18027</v>
      </c>
      <c r="H36" s="13">
        <f>SUMIFS(Actuals!$E:$E,Actuals!$F:$F,Year!$C36,Actuals!$A:$A,Year!H$1)</f>
        <v>5053.1100000000006</v>
      </c>
      <c r="I36" s="13">
        <f>SUMIFS(Actuals!$E:$E,Actuals!$F:$F,Year!$C36,Actuals!$A:$A,Year!I$1)</f>
        <v>43385.5</v>
      </c>
      <c r="J36" s="13">
        <f>SUMIFS(Actuals!$E:$E,Actuals!$F:$F,Year!$C36,Actuals!$A:$A,Year!J$1)</f>
        <v>48339</v>
      </c>
      <c r="K36" s="13">
        <f>SUMIFS(Actuals!$E:$E,Actuals!$F:$F,Year!$C36,Actuals!$A:$A,Year!K$1)</f>
        <v>52</v>
      </c>
      <c r="L36" s="13">
        <f>SUMIFS(Actuals!$E:$E,Actuals!$F:$F,Year!$C36,Actuals!$A:$A,Year!L$1)</f>
        <v>43385.5</v>
      </c>
      <c r="M36" s="13">
        <f>SUMIFS(Actuals!$E:$E,Actuals!$F:$F,Year!$C36,Actuals!$A:$A,Year!M$1)</f>
        <v>43985.5</v>
      </c>
      <c r="N36" s="13">
        <f>SUMIFS(Actuals!$E:$E,Actuals!$F:$F,Year!$C36,Actuals!$A:$A,Year!N$1)</f>
        <v>0</v>
      </c>
      <c r="O36" s="13">
        <f>SUMIFS(Actuals!$E:$E,Actuals!$F:$F,Year!$C36,Actuals!$A:$A,Year!O$1)</f>
        <v>0</v>
      </c>
      <c r="P36" s="13">
        <f t="shared" si="7"/>
        <v>265799.33</v>
      </c>
      <c r="R36" s="13">
        <v>11572.240000000002</v>
      </c>
      <c r="S36" s="13">
        <v>2970.4700000000003</v>
      </c>
      <c r="T36" s="13">
        <f t="shared" si="2"/>
        <v>8601.77</v>
      </c>
    </row>
    <row r="37" spans="3:20">
      <c r="C37" s="14" t="s">
        <v>43</v>
      </c>
      <c r="D37" s="15">
        <f>SUMIFS(Actuals!$E:$E,Actuals!$F:$F,Year!$C37,Actuals!$A:$A,Year!D$1)</f>
        <v>2336.15</v>
      </c>
      <c r="E37" s="15">
        <f>SUMIFS(Actuals!$E:$E,Actuals!$F:$F,Year!$C37,Actuals!$A:$A,Year!E$1)</f>
        <v>213.11</v>
      </c>
      <c r="F37" s="15">
        <f>SUMIFS(Actuals!$E:$E,Actuals!$F:$F,Year!$C37,Actuals!$A:$A,Year!F$1)</f>
        <v>908.1</v>
      </c>
      <c r="G37" s="15">
        <f>SUMIFS(Actuals!$E:$E,Actuals!$F:$F,Year!$C37,Actuals!$A:$A,Year!G$1)</f>
        <v>513.21</v>
      </c>
      <c r="H37" s="15">
        <f>SUMIFS(Actuals!$E:$E,Actuals!$F:$F,Year!$C37,Actuals!$A:$A,Year!H$1)</f>
        <v>997.66000000000008</v>
      </c>
      <c r="I37" s="15">
        <f>SUMIFS(Actuals!$E:$E,Actuals!$F:$F,Year!$C37,Actuals!$A:$A,Year!I$1)</f>
        <v>468.68999999999988</v>
      </c>
      <c r="J37" s="15">
        <f>SUMIFS(Actuals!$E:$E,Actuals!$F:$F,Year!$C37,Actuals!$A:$A,Year!J$1)</f>
        <v>744.33</v>
      </c>
      <c r="K37" s="15">
        <f>SUMIFS(Actuals!$E:$E,Actuals!$F:$F,Year!$C37,Actuals!$A:$A,Year!K$1)</f>
        <v>2249.7099999999996</v>
      </c>
      <c r="L37" s="15">
        <f>SUMIFS(Actuals!$E:$E,Actuals!$F:$F,Year!$C37,Actuals!$A:$A,Year!L$1)</f>
        <v>862.4</v>
      </c>
      <c r="M37" s="15">
        <f>SUMIFS(Actuals!$E:$E,Actuals!$F:$F,Year!$C37,Actuals!$A:$A,Year!M$1)</f>
        <v>4330.6899999999996</v>
      </c>
      <c r="N37" s="15">
        <f>SUMIFS(Actuals!$E:$E,Actuals!$F:$F,Year!$C37,Actuals!$A:$A,Year!N$1)</f>
        <v>1057.97</v>
      </c>
      <c r="O37" s="15">
        <f>SUMIFS(Actuals!$E:$E,Actuals!$F:$F,Year!$C37,Actuals!$A:$A,Year!O$1)</f>
        <v>1788.3400000000001</v>
      </c>
      <c r="P37" s="15">
        <f t="shared" si="7"/>
        <v>16470.36</v>
      </c>
      <c r="R37" s="15">
        <v>18097.97</v>
      </c>
      <c r="S37" s="15">
        <v>29958.75</v>
      </c>
      <c r="T37" s="15">
        <f t="shared" si="2"/>
        <v>-11860.779999999999</v>
      </c>
    </row>
    <row r="38" spans="3:20">
      <c r="C38" s="16" t="s">
        <v>7265</v>
      </c>
      <c r="D38" s="13">
        <f>SUM(D35:D37)</f>
        <v>33137.08</v>
      </c>
      <c r="E38" s="13">
        <f t="shared" ref="E38:O38" si="8">SUM(E35:E37)</f>
        <v>9276.25</v>
      </c>
      <c r="F38" s="13">
        <f t="shared" si="8"/>
        <v>25645.039999999997</v>
      </c>
      <c r="G38" s="13">
        <f t="shared" si="8"/>
        <v>18540.21</v>
      </c>
      <c r="H38" s="13">
        <f t="shared" si="8"/>
        <v>6304.3</v>
      </c>
      <c r="I38" s="13">
        <f t="shared" si="8"/>
        <v>43840.090000000004</v>
      </c>
      <c r="J38" s="13">
        <f t="shared" si="8"/>
        <v>49207.39</v>
      </c>
      <c r="K38" s="13">
        <f t="shared" si="8"/>
        <v>2301.7099999999996</v>
      </c>
      <c r="L38" s="13">
        <f t="shared" si="8"/>
        <v>44235.41</v>
      </c>
      <c r="M38" s="13">
        <f t="shared" si="8"/>
        <v>49172.4</v>
      </c>
      <c r="N38" s="13">
        <f t="shared" si="8"/>
        <v>1483.78</v>
      </c>
      <c r="O38" s="13">
        <f t="shared" si="8"/>
        <v>3074.04</v>
      </c>
      <c r="P38" s="13">
        <f>SUM(P35:P37)</f>
        <v>286217.7</v>
      </c>
      <c r="R38" s="13">
        <v>32197.65</v>
      </c>
      <c r="S38" s="13">
        <v>37729.81</v>
      </c>
      <c r="T38" s="13">
        <f t="shared" si="2"/>
        <v>-5532.1599999999962</v>
      </c>
    </row>
    <row r="39" spans="3:20">
      <c r="C39" s="19"/>
      <c r="D39" s="20"/>
      <c r="E39" s="20"/>
      <c r="F39" s="20"/>
      <c r="G39" s="20"/>
      <c r="H39" s="20"/>
      <c r="I39" s="20"/>
      <c r="J39" s="20"/>
      <c r="K39" s="20"/>
      <c r="L39" s="20"/>
      <c r="M39" s="20"/>
      <c r="N39" s="20"/>
      <c r="O39" s="20"/>
      <c r="P39" s="20"/>
      <c r="R39" s="20"/>
      <c r="S39" s="20"/>
      <c r="T39" s="20">
        <f t="shared" si="2"/>
        <v>0</v>
      </c>
    </row>
    <row r="40" spans="3:20">
      <c r="C40" s="16" t="s">
        <v>7266</v>
      </c>
      <c r="D40" s="17">
        <f t="shared" ref="D40:P40" si="9">SUM(D38,D33)</f>
        <v>46433.380000000005</v>
      </c>
      <c r="E40" s="17">
        <f t="shared" si="9"/>
        <v>24160.799999999999</v>
      </c>
      <c r="F40" s="17">
        <f>SUM(F38,F33)</f>
        <v>38405.78</v>
      </c>
      <c r="G40" s="17">
        <f t="shared" si="9"/>
        <v>30813.32</v>
      </c>
      <c r="H40" s="17">
        <f t="shared" si="9"/>
        <v>17995.079999999998</v>
      </c>
      <c r="I40" s="17">
        <f t="shared" si="9"/>
        <v>57936.9</v>
      </c>
      <c r="J40" s="17">
        <f t="shared" si="9"/>
        <v>62014.11</v>
      </c>
      <c r="K40" s="17">
        <f t="shared" si="9"/>
        <v>14621.479999999998</v>
      </c>
      <c r="L40" s="17">
        <f t="shared" si="9"/>
        <v>58356.240000000005</v>
      </c>
      <c r="M40" s="17">
        <f t="shared" si="9"/>
        <v>62136.5</v>
      </c>
      <c r="N40" s="17">
        <f t="shared" si="9"/>
        <v>22300.239999999998</v>
      </c>
      <c r="O40" s="17">
        <f>SUM(O38,O33)</f>
        <v>15603.370000000003</v>
      </c>
      <c r="P40" s="17">
        <f t="shared" si="9"/>
        <v>450777.2</v>
      </c>
      <c r="R40" s="17">
        <v>191128.35999999996</v>
      </c>
      <c r="S40" s="17">
        <v>204252.95</v>
      </c>
      <c r="T40" s="17">
        <f t="shared" si="2"/>
        <v>-13124.590000000055</v>
      </c>
    </row>
  </sheetData>
  <pageMargins left="0.7" right="0.7" top="0.75" bottom="0.75" header="0.3" footer="0.3"/>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5047-2D3E-468E-9661-7EE641007157}">
  <sheetPr>
    <tabColor rgb="FF264478"/>
    <pageSetUpPr fitToPage="1"/>
  </sheetPr>
  <dimension ref="C1:P64"/>
  <sheetViews>
    <sheetView topLeftCell="B6" workbookViewId="0">
      <pane xSplit="2" ySplit="4" topLeftCell="D16" activePane="bottomRight" state="frozen"/>
      <selection pane="topRight"/>
      <selection pane="bottomLeft"/>
      <selection pane="bottomRight" activeCell="E15" sqref="E15:E16"/>
    </sheetView>
  </sheetViews>
  <sheetFormatPr defaultRowHeight="15"/>
  <cols>
    <col min="2" max="2" width="5.28515625" customWidth="1"/>
    <col min="3" max="3" width="25" customWidth="1"/>
    <col min="4" max="15" width="10.28515625" customWidth="1"/>
  </cols>
  <sheetData>
    <row r="1" spans="3:16">
      <c r="D1">
        <f>VALUE('1 MO'!$C$3&amp;"01")</f>
        <v>202501</v>
      </c>
      <c r="E1">
        <f>VALUE('1 MO'!$C$3&amp;"02")</f>
        <v>202502</v>
      </c>
      <c r="F1">
        <f>VALUE('1 MO'!$C$3&amp;"03")</f>
        <v>202503</v>
      </c>
      <c r="G1">
        <f>VALUE('1 MO'!$C$3&amp;"04")</f>
        <v>202504</v>
      </c>
      <c r="H1">
        <f>VALUE('1 MO'!$C$3&amp;"05")</f>
        <v>202505</v>
      </c>
      <c r="I1">
        <f>VALUE('1 MO'!$C$3&amp;"06")</f>
        <v>202506</v>
      </c>
      <c r="J1">
        <f>VALUE('1 MO'!$C$3&amp;"07")</f>
        <v>202507</v>
      </c>
      <c r="K1">
        <f>VALUE('1 MO'!$C$3&amp;"08")</f>
        <v>202508</v>
      </c>
      <c r="L1">
        <f>VALUE('1 MO'!$C$3&amp;"09")</f>
        <v>202509</v>
      </c>
      <c r="M1">
        <f>VALUE('1 MO'!$C$3&amp;"10")</f>
        <v>202510</v>
      </c>
      <c r="N1">
        <f>VALUE('1 MO'!$C$3&amp;"11")</f>
        <v>202511</v>
      </c>
      <c r="O1">
        <f>VALUE('1 MO'!$C$3&amp;"12")</f>
        <v>202512</v>
      </c>
    </row>
    <row r="2" spans="3:16">
      <c r="D2" s="6"/>
    </row>
    <row r="6" spans="3:16" ht="23.25">
      <c r="C6" s="29" t="s">
        <v>7269</v>
      </c>
      <c r="D6" s="145" t="s">
        <v>7270</v>
      </c>
    </row>
    <row r="7" spans="3:16" ht="15.75" customHeight="1">
      <c r="C7" s="29"/>
      <c r="D7" s="175" t="s">
        <v>7124</v>
      </c>
      <c r="E7" s="175"/>
      <c r="F7" s="175"/>
      <c r="G7" s="175"/>
      <c r="H7" s="175"/>
      <c r="I7" s="175"/>
      <c r="J7" s="175"/>
      <c r="K7" s="175"/>
      <c r="L7" s="175"/>
      <c r="M7" s="175"/>
      <c r="N7" s="175"/>
      <c r="O7" s="175"/>
    </row>
    <row r="8" spans="3:16">
      <c r="C8" s="9"/>
      <c r="D8" s="10" t="str">
        <f>TEXT(DATE(LEFT(D1,4),RIGHT(D1,2),1),"MMM YYYY")</f>
        <v>Jan 2025</v>
      </c>
      <c r="E8" s="10" t="str">
        <f t="shared" ref="E8:O8" si="0">TEXT(DATE(LEFT(E1,4),RIGHT(E1,2),1),"MMM YYYY")</f>
        <v>Feb 2025</v>
      </c>
      <c r="F8" s="10" t="str">
        <f t="shared" si="0"/>
        <v>Mar 2025</v>
      </c>
      <c r="G8" s="10" t="str">
        <f t="shared" si="0"/>
        <v>Apr 2025</v>
      </c>
      <c r="H8" s="10" t="str">
        <f t="shared" si="0"/>
        <v>May 2025</v>
      </c>
      <c r="I8" s="10" t="str">
        <f t="shared" si="0"/>
        <v>Jun 2025</v>
      </c>
      <c r="J8" s="10" t="str">
        <f t="shared" si="0"/>
        <v>Jul 2025</v>
      </c>
      <c r="K8" s="10" t="str">
        <f t="shared" si="0"/>
        <v>Aug 2025</v>
      </c>
      <c r="L8" s="10" t="str">
        <f t="shared" si="0"/>
        <v>Sep 2025</v>
      </c>
      <c r="M8" s="10" t="str">
        <f t="shared" si="0"/>
        <v>Oct 2025</v>
      </c>
      <c r="N8" s="10" t="str">
        <f t="shared" si="0"/>
        <v>Nov 2025</v>
      </c>
      <c r="O8" s="10" t="str">
        <f t="shared" si="0"/>
        <v>Dec 2025</v>
      </c>
      <c r="P8" s="10" t="s">
        <v>7153</v>
      </c>
    </row>
    <row r="9" spans="3:16" ht="3" customHeight="1">
      <c r="C9" s="22"/>
      <c r="D9" s="23"/>
      <c r="E9" s="23"/>
      <c r="F9" s="23"/>
      <c r="G9" s="23"/>
      <c r="H9" s="23"/>
      <c r="I9" s="23"/>
      <c r="J9" s="23"/>
      <c r="K9" s="23"/>
      <c r="L9" s="23"/>
      <c r="M9" s="23"/>
      <c r="N9" s="23"/>
      <c r="O9" s="23"/>
      <c r="P9" s="23"/>
    </row>
    <row r="10" spans="3:16">
      <c r="C10" t="s">
        <v>5</v>
      </c>
      <c r="D10" s="40">
        <f>Year!D9</f>
        <v>2745.43</v>
      </c>
      <c r="E10" s="40">
        <f>Year!E9</f>
        <v>2745.43</v>
      </c>
      <c r="F10" s="40">
        <f>Year!F9</f>
        <v>1770.04</v>
      </c>
      <c r="G10" s="40">
        <f>Year!G9</f>
        <v>2745.43</v>
      </c>
      <c r="H10" s="40">
        <f>Year!H9</f>
        <v>2745.43</v>
      </c>
      <c r="I10" s="40">
        <f>Year!I9</f>
        <v>2745.43</v>
      </c>
      <c r="J10" s="40">
        <f>Year!J9</f>
        <v>2745.43</v>
      </c>
      <c r="K10" s="40">
        <f>Year!K9</f>
        <v>2745.43</v>
      </c>
      <c r="L10" s="40">
        <f>Year!L9</f>
        <v>3378.51</v>
      </c>
      <c r="M10" s="40">
        <f>Year!M9</f>
        <v>3378.51</v>
      </c>
      <c r="N10" s="40">
        <f>Year!N9</f>
        <v>3378.51</v>
      </c>
      <c r="O10" s="40">
        <f>Year!O9</f>
        <v>3378.51</v>
      </c>
      <c r="P10" s="13">
        <f>SUM(D10:O10)</f>
        <v>34502.090000000004</v>
      </c>
    </row>
    <row r="11" spans="3:16">
      <c r="C11" t="s">
        <v>2</v>
      </c>
      <c r="D11" s="40">
        <f>Year!D10</f>
        <v>158.51</v>
      </c>
      <c r="E11" s="40">
        <f>Year!E10</f>
        <v>72.41</v>
      </c>
      <c r="F11" s="40">
        <f>Year!F10</f>
        <v>432.06</v>
      </c>
      <c r="G11" s="40">
        <f>Year!G10</f>
        <v>532.5200000000001</v>
      </c>
      <c r="H11" s="40">
        <f>Year!H10</f>
        <v>296.67999999999995</v>
      </c>
      <c r="I11" s="40">
        <f>Year!I10</f>
        <v>719.2600000000001</v>
      </c>
      <c r="J11" s="40">
        <f>Year!J10</f>
        <v>373.78</v>
      </c>
      <c r="K11" s="40">
        <f>Year!K10</f>
        <v>127.46</v>
      </c>
      <c r="L11" s="40">
        <f>Year!L10</f>
        <v>812.79000000000008</v>
      </c>
      <c r="M11" s="40">
        <f>Year!M10</f>
        <v>139</v>
      </c>
      <c r="N11" s="40">
        <f>Year!N10</f>
        <v>455.38</v>
      </c>
      <c r="O11" s="40">
        <f>Year!O10</f>
        <v>32.64</v>
      </c>
      <c r="P11" s="13">
        <f t="shared" ref="P11:P33" si="1">SUM(D11:O11)</f>
        <v>4152.4900000000007</v>
      </c>
    </row>
    <row r="12" spans="3:16">
      <c r="C12" t="s">
        <v>7</v>
      </c>
      <c r="D12" s="40">
        <f>Year!D11</f>
        <v>512.23</v>
      </c>
      <c r="E12" s="40">
        <f>Year!E11</f>
        <v>1454.37</v>
      </c>
      <c r="F12" s="40">
        <f>Year!F11</f>
        <v>404.5200000000001</v>
      </c>
      <c r="G12" s="40">
        <f>Year!G11</f>
        <v>507.12000000000006</v>
      </c>
      <c r="H12" s="40">
        <f>Year!H11</f>
        <v>726.93</v>
      </c>
      <c r="I12" s="40">
        <f>Year!I11</f>
        <v>2595.9299999999994</v>
      </c>
      <c r="J12" s="40">
        <f>Year!J11</f>
        <v>2949.6399999999994</v>
      </c>
      <c r="K12" s="40">
        <f>Year!K11</f>
        <v>744.52</v>
      </c>
      <c r="L12" s="40">
        <f>Year!L11</f>
        <v>1113.1600000000003</v>
      </c>
      <c r="M12" s="40">
        <f>Year!M11</f>
        <v>684.63</v>
      </c>
      <c r="N12" s="40">
        <f>Year!N11</f>
        <v>7787.5499999999993</v>
      </c>
      <c r="O12" s="40">
        <f>Year!O11</f>
        <v>1190.8699999999999</v>
      </c>
      <c r="P12" s="13">
        <f t="shared" si="1"/>
        <v>20671.469999999998</v>
      </c>
    </row>
    <row r="13" spans="3:16">
      <c r="C13" t="s">
        <v>11</v>
      </c>
      <c r="D13" s="40">
        <f>Year!D12</f>
        <v>0</v>
      </c>
      <c r="E13" s="40">
        <f>Year!E12</f>
        <v>0</v>
      </c>
      <c r="F13" s="40">
        <f>Year!F12</f>
        <v>0</v>
      </c>
      <c r="G13" s="40">
        <f>Year!G12</f>
        <v>0</v>
      </c>
      <c r="H13" s="40">
        <f>Year!H12</f>
        <v>0</v>
      </c>
      <c r="I13" s="40">
        <f>Year!I12</f>
        <v>0</v>
      </c>
      <c r="J13" s="40">
        <f>Year!J12</f>
        <v>0</v>
      </c>
      <c r="K13" s="40">
        <f>Year!K12</f>
        <v>0</v>
      </c>
      <c r="L13" s="40">
        <f>Year!L12</f>
        <v>0</v>
      </c>
      <c r="M13" s="40">
        <f>Year!M12</f>
        <v>0</v>
      </c>
      <c r="N13" s="40">
        <f>Year!N12</f>
        <v>0</v>
      </c>
      <c r="O13" s="40">
        <f>Year!O12</f>
        <v>0</v>
      </c>
      <c r="P13" s="13">
        <f t="shared" si="1"/>
        <v>0</v>
      </c>
    </row>
    <row r="14" spans="3:16">
      <c r="C14" t="s">
        <v>14</v>
      </c>
      <c r="D14" s="40">
        <f>Year!D13</f>
        <v>0</v>
      </c>
      <c r="E14" s="40">
        <f>Year!E13</f>
        <v>0</v>
      </c>
      <c r="F14" s="40">
        <f>Year!F13</f>
        <v>0</v>
      </c>
      <c r="G14" s="40">
        <f>Year!G13</f>
        <v>0</v>
      </c>
      <c r="H14" s="40">
        <f>Year!H13</f>
        <v>0</v>
      </c>
      <c r="I14" s="40">
        <f>Year!I13</f>
        <v>0</v>
      </c>
      <c r="J14" s="40">
        <f>Year!J13</f>
        <v>0</v>
      </c>
      <c r="K14" s="40">
        <f>Year!K13</f>
        <v>0</v>
      </c>
      <c r="L14" s="40">
        <f>Year!L13</f>
        <v>0</v>
      </c>
      <c r="M14" s="40">
        <f>Year!M13</f>
        <v>241.71</v>
      </c>
      <c r="N14" s="40">
        <f>Year!N13</f>
        <v>0</v>
      </c>
      <c r="O14" s="40">
        <f>Year!O13</f>
        <v>0</v>
      </c>
      <c r="P14" s="13">
        <f t="shared" si="1"/>
        <v>241.71</v>
      </c>
    </row>
    <row r="15" spans="3:16">
      <c r="C15" t="s">
        <v>18</v>
      </c>
      <c r="D15" s="40">
        <f>Year!D14</f>
        <v>163.66</v>
      </c>
      <c r="E15" s="40">
        <f>Year!E14</f>
        <v>163.66</v>
      </c>
      <c r="F15" s="40">
        <f>Year!F14</f>
        <v>158.66</v>
      </c>
      <c r="G15" s="40">
        <f>Year!G14</f>
        <v>165.12</v>
      </c>
      <c r="H15" s="40">
        <f>Year!H14</f>
        <v>165.07999999999998</v>
      </c>
      <c r="I15" s="40">
        <f>Year!I14</f>
        <v>54.33</v>
      </c>
      <c r="J15" s="40">
        <f>Year!J14</f>
        <v>55.97</v>
      </c>
      <c r="K15" s="40">
        <f>Year!K14</f>
        <v>54.33</v>
      </c>
      <c r="L15" s="40">
        <f>Year!L14</f>
        <v>54.33</v>
      </c>
      <c r="M15" s="40">
        <f>Year!M14</f>
        <v>54.33</v>
      </c>
      <c r="N15" s="40">
        <f>Year!N14</f>
        <v>0</v>
      </c>
      <c r="O15" s="40">
        <f>Year!O14</f>
        <v>0</v>
      </c>
      <c r="P15" s="13">
        <f t="shared" si="1"/>
        <v>1089.47</v>
      </c>
    </row>
    <row r="16" spans="3:16">
      <c r="C16" s="14" t="s">
        <v>20</v>
      </c>
      <c r="D16" s="40">
        <f>Year!D15</f>
        <v>4201.12</v>
      </c>
      <c r="E16" s="40">
        <f>Year!E15</f>
        <v>2625.59</v>
      </c>
      <c r="F16" s="40">
        <f>Year!F15</f>
        <v>2505.21</v>
      </c>
      <c r="G16" s="40">
        <f>Year!G15</f>
        <v>2173.3599999999997</v>
      </c>
      <c r="H16" s="40">
        <f>Year!H15</f>
        <v>797.3</v>
      </c>
      <c r="I16" s="40">
        <f>Year!I15</f>
        <v>1371.1</v>
      </c>
      <c r="J16" s="40">
        <f>Year!J15</f>
        <v>2393</v>
      </c>
      <c r="K16" s="40">
        <f>Year!K15</f>
        <v>2344.5100000000002</v>
      </c>
      <c r="L16" s="40">
        <f>Year!L15</f>
        <v>1720.2999999999997</v>
      </c>
      <c r="M16" s="40">
        <f>Year!M15</f>
        <v>1597.6899999999998</v>
      </c>
      <c r="N16" s="40">
        <f>Year!N15</f>
        <v>1651</v>
      </c>
      <c r="O16" s="40">
        <f>Year!O15</f>
        <v>495</v>
      </c>
      <c r="P16" s="15">
        <f t="shared" si="1"/>
        <v>23875.179999999997</v>
      </c>
    </row>
    <row r="17" spans="3:16">
      <c r="C17" s="16" t="s">
        <v>7259</v>
      </c>
      <c r="D17" s="21">
        <f>SUM(D10:D16)</f>
        <v>7780.9499999999989</v>
      </c>
      <c r="E17" s="21">
        <f t="shared" ref="E17:O17" si="2">SUM(E10:E16)</f>
        <v>7061.4599999999991</v>
      </c>
      <c r="F17" s="21">
        <f t="shared" si="2"/>
        <v>5270.49</v>
      </c>
      <c r="G17" s="21">
        <f t="shared" si="2"/>
        <v>6123.5499999999993</v>
      </c>
      <c r="H17" s="21">
        <f t="shared" si="2"/>
        <v>4731.4199999999992</v>
      </c>
      <c r="I17" s="21">
        <f t="shared" si="2"/>
        <v>7486.0499999999993</v>
      </c>
      <c r="J17" s="21">
        <f t="shared" si="2"/>
        <v>8517.82</v>
      </c>
      <c r="K17" s="21">
        <f t="shared" si="2"/>
        <v>6016.25</v>
      </c>
      <c r="L17" s="21">
        <f t="shared" si="2"/>
        <v>7079.09</v>
      </c>
      <c r="M17" s="21">
        <f t="shared" si="2"/>
        <v>6095.87</v>
      </c>
      <c r="N17" s="13">
        <f t="shared" si="2"/>
        <v>13272.439999999999</v>
      </c>
      <c r="O17" s="13">
        <f t="shared" si="2"/>
        <v>5097.0200000000004</v>
      </c>
      <c r="P17" s="13">
        <f>SUM(D17:O17)</f>
        <v>84532.41</v>
      </c>
    </row>
    <row r="18" spans="3:16">
      <c r="D18" s="13"/>
      <c r="E18" s="13"/>
      <c r="F18" s="13"/>
      <c r="G18" s="13"/>
      <c r="H18" s="13"/>
      <c r="I18" s="13"/>
      <c r="J18" s="13"/>
      <c r="K18" s="13"/>
      <c r="L18" s="13"/>
      <c r="M18" s="13"/>
      <c r="N18" s="13"/>
      <c r="O18" s="13"/>
      <c r="P18" s="13"/>
    </row>
    <row r="19" spans="3:16">
      <c r="C19" t="s">
        <v>23</v>
      </c>
      <c r="D19" s="40">
        <f>Year!D18</f>
        <v>36.35</v>
      </c>
      <c r="E19" s="40">
        <f>Year!E18</f>
        <v>1290.29</v>
      </c>
      <c r="F19" s="40">
        <f>Year!F18</f>
        <v>133.96</v>
      </c>
      <c r="G19" s="40">
        <f>Year!G18</f>
        <v>60.28</v>
      </c>
      <c r="H19" s="40">
        <f>Year!H18</f>
        <v>1459.98</v>
      </c>
      <c r="I19" s="40">
        <f>Year!I18</f>
        <v>86.91</v>
      </c>
      <c r="J19" s="40">
        <f>Year!J18</f>
        <v>993.97</v>
      </c>
      <c r="K19" s="40">
        <f>Year!K18</f>
        <v>47.12</v>
      </c>
      <c r="L19" s="40">
        <f>Year!L18</f>
        <v>61</v>
      </c>
      <c r="M19" s="40">
        <f>Year!M18</f>
        <v>214.66</v>
      </c>
      <c r="N19" s="40">
        <f>Year!N18</f>
        <v>135.28</v>
      </c>
      <c r="O19" s="40">
        <f>Year!O18</f>
        <v>225.45000000000002</v>
      </c>
      <c r="P19" s="13">
        <f t="shared" si="1"/>
        <v>4745.2499999999991</v>
      </c>
    </row>
    <row r="20" spans="3:16">
      <c r="C20" t="s">
        <v>26</v>
      </c>
      <c r="D20" s="40">
        <f>Year!D19</f>
        <v>1256.5199999999998</v>
      </c>
      <c r="E20" s="40">
        <f>Year!E19</f>
        <v>1258.33</v>
      </c>
      <c r="F20" s="40">
        <f>Year!F19</f>
        <v>2190.3699999999994</v>
      </c>
      <c r="G20" s="40">
        <f>Year!G19</f>
        <v>1732.92</v>
      </c>
      <c r="H20" s="40">
        <f>Year!H19</f>
        <v>1195.7899999999997</v>
      </c>
      <c r="I20" s="40">
        <f>Year!I19</f>
        <v>2520.2900000000009</v>
      </c>
      <c r="J20" s="40">
        <f>Year!J19</f>
        <v>2280.7600000000002</v>
      </c>
      <c r="K20" s="40">
        <f>Year!K19</f>
        <v>1833.4499999999998</v>
      </c>
      <c r="L20" s="40">
        <f>Year!L19</f>
        <v>2412.6700000000005</v>
      </c>
      <c r="M20" s="40">
        <f>Year!M19</f>
        <v>3444.78</v>
      </c>
      <c r="N20" s="40">
        <f>Year!N19</f>
        <v>1410.1699999999998</v>
      </c>
      <c r="O20" s="40">
        <f>Year!O19</f>
        <v>1564.6100000000004</v>
      </c>
      <c r="P20" s="13">
        <f t="shared" si="1"/>
        <v>23100.66</v>
      </c>
    </row>
    <row r="21" spans="3:16">
      <c r="C21" t="s">
        <v>28</v>
      </c>
      <c r="D21" s="40">
        <f>Year!D20</f>
        <v>1032.5399999999997</v>
      </c>
      <c r="E21" s="40">
        <f>Year!E20</f>
        <v>813.71</v>
      </c>
      <c r="F21" s="40">
        <f>Year!F20</f>
        <v>579.15000000000009</v>
      </c>
      <c r="G21" s="40">
        <f>Year!G20</f>
        <v>1295</v>
      </c>
      <c r="H21" s="40">
        <f>Year!H20</f>
        <v>1047.99</v>
      </c>
      <c r="I21" s="40">
        <f>Year!I20</f>
        <v>1176.2800000000002</v>
      </c>
      <c r="J21" s="40">
        <f>Year!J20</f>
        <v>341.28000000000003</v>
      </c>
      <c r="K21" s="40">
        <f>Year!K20</f>
        <v>1051.6399999999999</v>
      </c>
      <c r="L21" s="40">
        <f>Year!L20</f>
        <v>865.15</v>
      </c>
      <c r="M21" s="40">
        <f>Year!M20</f>
        <v>1031.3100000000002</v>
      </c>
      <c r="N21" s="40">
        <f>Year!N20</f>
        <v>982.85</v>
      </c>
      <c r="O21" s="40">
        <f>Year!O20</f>
        <v>1139.06</v>
      </c>
      <c r="P21" s="13">
        <f t="shared" si="1"/>
        <v>11355.96</v>
      </c>
    </row>
    <row r="22" spans="3:16">
      <c r="C22" s="14" t="s">
        <v>31</v>
      </c>
      <c r="D22" s="40">
        <f>Year!D21</f>
        <v>0</v>
      </c>
      <c r="E22" s="40">
        <f>Year!E21</f>
        <v>1466.2</v>
      </c>
      <c r="F22" s="40">
        <f>Year!F21</f>
        <v>1203.6100000000001</v>
      </c>
      <c r="G22" s="40">
        <f>Year!G21</f>
        <v>858.99999999999989</v>
      </c>
      <c r="H22" s="40">
        <f>Year!H21</f>
        <v>141.71</v>
      </c>
      <c r="I22" s="40">
        <f>Year!I21</f>
        <v>863.6</v>
      </c>
      <c r="J22" s="40">
        <f>Year!J21</f>
        <v>138.78</v>
      </c>
      <c r="K22" s="40">
        <f>Year!K21</f>
        <v>519.11</v>
      </c>
      <c r="L22" s="40">
        <f>Year!L21</f>
        <v>664.94</v>
      </c>
      <c r="M22" s="40">
        <f>Year!M21</f>
        <v>931.63</v>
      </c>
      <c r="N22" s="40">
        <f>Year!N21</f>
        <v>832.13</v>
      </c>
      <c r="O22" s="40">
        <f>Year!O21</f>
        <v>818.16</v>
      </c>
      <c r="P22" s="15">
        <f t="shared" si="1"/>
        <v>8438.8700000000008</v>
      </c>
    </row>
    <row r="23" spans="3:16">
      <c r="C23" s="16" t="s">
        <v>7260</v>
      </c>
      <c r="D23" s="13">
        <f t="shared" ref="D23:M23" si="3">SUM(D19:D22)</f>
        <v>2325.4099999999994</v>
      </c>
      <c r="E23" s="13">
        <f t="shared" si="3"/>
        <v>4828.53</v>
      </c>
      <c r="F23" s="13">
        <f t="shared" si="3"/>
        <v>4107.09</v>
      </c>
      <c r="G23" s="13">
        <f t="shared" si="3"/>
        <v>3947.2</v>
      </c>
      <c r="H23" s="13">
        <f t="shared" si="3"/>
        <v>3845.4699999999993</v>
      </c>
      <c r="I23" s="13">
        <f t="shared" si="3"/>
        <v>4647.0800000000008</v>
      </c>
      <c r="J23" s="13">
        <f t="shared" si="3"/>
        <v>3754.7900000000009</v>
      </c>
      <c r="K23" s="13">
        <f t="shared" si="3"/>
        <v>3451.3199999999997</v>
      </c>
      <c r="L23" s="13">
        <f t="shared" si="3"/>
        <v>4003.7600000000007</v>
      </c>
      <c r="M23" s="13">
        <f t="shared" si="3"/>
        <v>5622.38</v>
      </c>
      <c r="N23" s="13">
        <f t="shared" ref="N23:O23" si="4">SUM(N19:N22)</f>
        <v>3360.43</v>
      </c>
      <c r="O23" s="13">
        <f t="shared" si="4"/>
        <v>3747.28</v>
      </c>
      <c r="P23" s="13">
        <f t="shared" si="1"/>
        <v>47640.74</v>
      </c>
    </row>
    <row r="24" spans="3:16">
      <c r="D24" s="13"/>
      <c r="E24" s="13"/>
      <c r="F24" s="13"/>
      <c r="G24" s="13"/>
      <c r="H24" s="13"/>
      <c r="I24" s="13"/>
      <c r="J24" s="13"/>
      <c r="K24" s="13"/>
      <c r="L24" s="13"/>
      <c r="M24" s="13"/>
      <c r="N24" s="13"/>
      <c r="O24" s="13"/>
      <c r="P24" s="13"/>
    </row>
    <row r="25" spans="3:16">
      <c r="C25" t="s">
        <v>34</v>
      </c>
      <c r="D25" s="40">
        <f>Year!D24</f>
        <v>0</v>
      </c>
      <c r="E25" s="40">
        <f>Year!E24</f>
        <v>0</v>
      </c>
      <c r="F25" s="40">
        <f>Year!F24</f>
        <v>0</v>
      </c>
      <c r="G25" s="40">
        <f>Year!G24</f>
        <v>0</v>
      </c>
      <c r="H25" s="40">
        <f>Year!H24</f>
        <v>0</v>
      </c>
      <c r="I25" s="40">
        <f>Year!I24</f>
        <v>25</v>
      </c>
      <c r="J25" s="40">
        <f>Year!J24</f>
        <v>0</v>
      </c>
      <c r="K25" s="40">
        <f>Year!K24</f>
        <v>0</v>
      </c>
      <c r="L25" s="40">
        <f>Year!L24</f>
        <v>0</v>
      </c>
      <c r="M25" s="40">
        <f>Year!M24</f>
        <v>0</v>
      </c>
      <c r="N25" s="40">
        <f>Year!N24</f>
        <v>0</v>
      </c>
      <c r="O25" s="40">
        <f>Year!O24</f>
        <v>0</v>
      </c>
      <c r="P25" s="13">
        <f t="shared" si="1"/>
        <v>25</v>
      </c>
    </row>
    <row r="26" spans="3:16">
      <c r="C26" t="s">
        <v>21</v>
      </c>
      <c r="D26" s="40">
        <f>Year!D25</f>
        <v>1297.5600000000002</v>
      </c>
      <c r="E26" s="40">
        <f>Year!E25</f>
        <v>2152.23</v>
      </c>
      <c r="F26" s="40">
        <f>Year!F25</f>
        <v>2367.6299999999992</v>
      </c>
      <c r="G26" s="40">
        <f>Year!G25</f>
        <v>944.13999999999965</v>
      </c>
      <c r="H26" s="40">
        <f>Year!H25</f>
        <v>2600.9999999999995</v>
      </c>
      <c r="I26" s="40">
        <f>Year!I25</f>
        <v>1527.9499999999996</v>
      </c>
      <c r="J26" s="40">
        <f>Year!J25</f>
        <v>-26.289999999999992</v>
      </c>
      <c r="K26" s="40">
        <f>Year!K25</f>
        <v>2243.56</v>
      </c>
      <c r="L26" s="40">
        <f>Year!L25</f>
        <v>2632.31</v>
      </c>
      <c r="M26" s="40">
        <f>Year!M25</f>
        <v>920.69999999999982</v>
      </c>
      <c r="N26" s="40">
        <f>Year!N25</f>
        <v>3072.7699999999991</v>
      </c>
      <c r="O26" s="40">
        <f>Year!O25</f>
        <v>1902.8300000000006</v>
      </c>
      <c r="P26" s="13">
        <f t="shared" si="1"/>
        <v>21636.389999999996</v>
      </c>
    </row>
    <row r="27" spans="3:16">
      <c r="C27" t="s">
        <v>38</v>
      </c>
      <c r="D27" s="40">
        <f>Year!D26</f>
        <v>1330.2099999999998</v>
      </c>
      <c r="E27" s="40">
        <f>Year!E26</f>
        <v>628.87000000000023</v>
      </c>
      <c r="F27" s="40">
        <f>Year!F26</f>
        <v>468.29000000000008</v>
      </c>
      <c r="G27" s="40">
        <f>Year!G26</f>
        <v>883.32999999999993</v>
      </c>
      <c r="H27" s="40">
        <f>Year!H26</f>
        <v>361.53999999999996</v>
      </c>
      <c r="I27" s="40">
        <f>Year!I26</f>
        <v>4.0099999999999909</v>
      </c>
      <c r="J27" s="40">
        <f>Year!J26</f>
        <v>-0.15000000000001279</v>
      </c>
      <c r="K27" s="40">
        <f>Year!K26</f>
        <v>26.489999999999988</v>
      </c>
      <c r="L27" s="40">
        <f>Year!L26</f>
        <v>356.57999999999993</v>
      </c>
      <c r="M27" s="40">
        <f>Year!M26</f>
        <v>52.839999999999989</v>
      </c>
      <c r="N27" s="40">
        <f>Year!N26</f>
        <v>296.69000000000005</v>
      </c>
      <c r="O27" s="40">
        <f>Year!O26</f>
        <v>1212.4599999999998</v>
      </c>
      <c r="P27" s="13">
        <f t="shared" si="1"/>
        <v>5621.1599999999989</v>
      </c>
    </row>
    <row r="28" spans="3:16">
      <c r="C28" t="s">
        <v>40</v>
      </c>
      <c r="D28" s="40">
        <f>Year!D27</f>
        <v>452.17</v>
      </c>
      <c r="E28" s="40">
        <f>Year!E27</f>
        <v>213.46</v>
      </c>
      <c r="F28" s="40">
        <f>Year!F27</f>
        <v>547.24</v>
      </c>
      <c r="G28" s="40">
        <f>Year!G27</f>
        <v>214.29</v>
      </c>
      <c r="H28" s="40">
        <f>Year!H27</f>
        <v>151.35</v>
      </c>
      <c r="I28" s="40">
        <f>Year!I27</f>
        <v>365.79</v>
      </c>
      <c r="J28" s="40">
        <f>Year!J27</f>
        <v>447.18999999999994</v>
      </c>
      <c r="K28" s="40">
        <f>Year!K27</f>
        <v>522.79999999999995</v>
      </c>
      <c r="L28" s="40">
        <f>Year!L27</f>
        <v>49.09</v>
      </c>
      <c r="M28" s="40">
        <f>Year!M27</f>
        <v>115.16</v>
      </c>
      <c r="N28" s="40">
        <f>Year!N27</f>
        <v>324.03999999999996</v>
      </c>
      <c r="O28" s="40">
        <f>Year!O27</f>
        <v>278.84000000000003</v>
      </c>
      <c r="P28" s="13">
        <f t="shared" si="1"/>
        <v>3681.42</v>
      </c>
    </row>
    <row r="29" spans="3:16">
      <c r="C29" t="s">
        <v>41</v>
      </c>
      <c r="D29" s="40">
        <f>Year!D28</f>
        <v>0</v>
      </c>
      <c r="E29" s="40">
        <f>Year!E28</f>
        <v>0</v>
      </c>
      <c r="F29" s="40">
        <f>Year!F28</f>
        <v>0</v>
      </c>
      <c r="G29" s="40">
        <f>Year!G28</f>
        <v>36.599999999999994</v>
      </c>
      <c r="H29" s="40">
        <f>Year!H28</f>
        <v>0</v>
      </c>
      <c r="I29" s="40">
        <f>Year!I28</f>
        <v>35.93</v>
      </c>
      <c r="J29" s="40">
        <f>Year!J28</f>
        <v>113.36</v>
      </c>
      <c r="K29" s="40">
        <f>Year!K28</f>
        <v>59.35</v>
      </c>
      <c r="L29" s="40">
        <f>Year!L28</f>
        <v>0</v>
      </c>
      <c r="M29" s="40">
        <f>Year!M28</f>
        <v>118.68</v>
      </c>
      <c r="N29" s="40">
        <f>Year!N28</f>
        <v>42.66</v>
      </c>
      <c r="O29" s="40">
        <f>Year!O28</f>
        <v>0</v>
      </c>
      <c r="P29" s="13">
        <f t="shared" si="1"/>
        <v>406.57999999999993</v>
      </c>
    </row>
    <row r="30" spans="3:16">
      <c r="C30" t="s">
        <v>45</v>
      </c>
      <c r="D30" s="40">
        <f>Year!D29</f>
        <v>0</v>
      </c>
      <c r="E30" s="40">
        <f>Year!E29</f>
        <v>0</v>
      </c>
      <c r="F30" s="40">
        <f>Year!F29</f>
        <v>0</v>
      </c>
      <c r="G30" s="40">
        <f>Year!G29</f>
        <v>0</v>
      </c>
      <c r="H30" s="40">
        <f>Year!H29</f>
        <v>0</v>
      </c>
      <c r="I30" s="40">
        <f>Year!I29</f>
        <v>0</v>
      </c>
      <c r="J30" s="40">
        <f>Year!J29</f>
        <v>0</v>
      </c>
      <c r="K30" s="40">
        <f>Year!K29</f>
        <v>0</v>
      </c>
      <c r="L30" s="40">
        <f>Year!L29</f>
        <v>0</v>
      </c>
      <c r="M30" s="40">
        <f>Year!M29</f>
        <v>0</v>
      </c>
      <c r="N30" s="40">
        <f>Year!N29</f>
        <v>312.02999999999997</v>
      </c>
      <c r="O30" s="40">
        <f>Year!O29</f>
        <v>282.75</v>
      </c>
      <c r="P30" s="13">
        <f t="shared" si="1"/>
        <v>594.78</v>
      </c>
    </row>
    <row r="31" spans="3:16">
      <c r="C31" s="14" t="s">
        <v>29</v>
      </c>
      <c r="D31" s="40">
        <f>Year!D30</f>
        <v>110</v>
      </c>
      <c r="E31" s="40">
        <f>Year!E30</f>
        <v>0</v>
      </c>
      <c r="F31" s="40">
        <f>Year!F30</f>
        <v>0</v>
      </c>
      <c r="G31" s="40">
        <f>Year!G30</f>
        <v>124</v>
      </c>
      <c r="H31" s="40">
        <f>Year!H30</f>
        <v>0</v>
      </c>
      <c r="I31" s="40">
        <f>Year!I30</f>
        <v>5</v>
      </c>
      <c r="J31" s="40">
        <f>Year!J30</f>
        <v>0</v>
      </c>
      <c r="K31" s="40">
        <f>Year!K30</f>
        <v>0</v>
      </c>
      <c r="L31" s="40">
        <f>Year!L30</f>
        <v>0</v>
      </c>
      <c r="M31" s="40">
        <f>Year!M30</f>
        <v>38.47</v>
      </c>
      <c r="N31" s="40">
        <f>Year!N30</f>
        <v>135.4</v>
      </c>
      <c r="O31" s="40">
        <f>Year!O30</f>
        <v>8.15</v>
      </c>
      <c r="P31" s="15">
        <f t="shared" si="1"/>
        <v>421.02</v>
      </c>
    </row>
    <row r="32" spans="3:16">
      <c r="C32" s="16" t="s">
        <v>7261</v>
      </c>
      <c r="D32" s="13">
        <f t="shared" ref="D32:M32" si="5">SUM(D25:D31)</f>
        <v>3189.94</v>
      </c>
      <c r="E32" s="13">
        <f t="shared" si="5"/>
        <v>2994.5600000000004</v>
      </c>
      <c r="F32" s="13">
        <f t="shared" si="5"/>
        <v>3383.1599999999989</v>
      </c>
      <c r="G32" s="13">
        <f t="shared" si="5"/>
        <v>2202.3599999999997</v>
      </c>
      <c r="H32" s="13">
        <f t="shared" si="5"/>
        <v>3113.8899999999994</v>
      </c>
      <c r="I32" s="13">
        <f t="shared" si="5"/>
        <v>1963.6799999999996</v>
      </c>
      <c r="J32" s="13">
        <f t="shared" si="5"/>
        <v>534.1099999999999</v>
      </c>
      <c r="K32" s="13">
        <f t="shared" si="5"/>
        <v>2852.1999999999994</v>
      </c>
      <c r="L32" s="13">
        <f t="shared" si="5"/>
        <v>3037.98</v>
      </c>
      <c r="M32" s="13">
        <f t="shared" si="5"/>
        <v>1245.8499999999999</v>
      </c>
      <c r="N32" s="13">
        <f t="shared" ref="N32:O32" si="6">SUM(N25:N31)</f>
        <v>4183.5899999999983</v>
      </c>
      <c r="O32" s="13">
        <f t="shared" si="6"/>
        <v>3685.0300000000007</v>
      </c>
      <c r="P32" s="13">
        <f t="shared" si="1"/>
        <v>32386.35</v>
      </c>
    </row>
    <row r="33" spans="3:16">
      <c r="C33" s="19"/>
      <c r="D33" s="20"/>
      <c r="E33" s="20"/>
      <c r="F33" s="20"/>
      <c r="G33" s="20"/>
      <c r="H33" s="20"/>
      <c r="I33" s="20"/>
      <c r="J33" s="20"/>
      <c r="K33" s="20"/>
      <c r="L33" s="20"/>
      <c r="M33" s="20"/>
      <c r="N33" s="20"/>
      <c r="O33" s="20"/>
      <c r="P33" s="20">
        <f t="shared" si="1"/>
        <v>0</v>
      </c>
    </row>
    <row r="34" spans="3:16">
      <c r="C34" s="16" t="s">
        <v>7153</v>
      </c>
      <c r="D34" s="17">
        <f t="shared" ref="D34:M34" si="7">SUM(D32,D23,D17)</f>
        <v>13296.3</v>
      </c>
      <c r="E34" s="17">
        <f t="shared" si="7"/>
        <v>14884.55</v>
      </c>
      <c r="F34" s="17">
        <f t="shared" si="7"/>
        <v>12760.739999999998</v>
      </c>
      <c r="G34" s="17">
        <f t="shared" si="7"/>
        <v>12273.109999999999</v>
      </c>
      <c r="H34" s="17">
        <f t="shared" si="7"/>
        <v>11690.779999999999</v>
      </c>
      <c r="I34" s="17">
        <f t="shared" si="7"/>
        <v>14096.81</v>
      </c>
      <c r="J34" s="17">
        <f t="shared" si="7"/>
        <v>12806.720000000001</v>
      </c>
      <c r="K34" s="17">
        <f t="shared" si="7"/>
        <v>12319.769999999999</v>
      </c>
      <c r="L34" s="17">
        <f t="shared" si="7"/>
        <v>14120.830000000002</v>
      </c>
      <c r="M34" s="17">
        <f t="shared" si="7"/>
        <v>12964.099999999999</v>
      </c>
      <c r="N34" s="17">
        <f t="shared" ref="N34:O34" si="8">SUM(N32,N23,N17)</f>
        <v>20816.46</v>
      </c>
      <c r="O34" s="17">
        <f t="shared" si="8"/>
        <v>12529.330000000002</v>
      </c>
      <c r="P34" s="17">
        <f>SUM(D34:O34)</f>
        <v>164559.5</v>
      </c>
    </row>
    <row r="35" spans="3:16">
      <c r="D35" s="13"/>
      <c r="E35" s="13"/>
      <c r="F35" s="13"/>
      <c r="G35" s="13"/>
      <c r="H35" s="13"/>
      <c r="I35" s="13"/>
      <c r="J35" s="13"/>
      <c r="K35" s="13"/>
      <c r="L35" s="13"/>
      <c r="M35" s="13"/>
      <c r="N35" s="13"/>
      <c r="O35" s="13"/>
      <c r="P35" s="13"/>
    </row>
    <row r="36" spans="3:16">
      <c r="C36" t="s">
        <v>48</v>
      </c>
      <c r="D36" s="13">
        <f>Year!D35</f>
        <v>555.18000000000006</v>
      </c>
      <c r="E36" s="13">
        <f>Year!E35</f>
        <v>246.17000000000002</v>
      </c>
      <c r="F36" s="13">
        <f>Year!F35</f>
        <v>227.94</v>
      </c>
      <c r="G36" s="13">
        <f>Year!G35</f>
        <v>0</v>
      </c>
      <c r="H36" s="13">
        <f>Year!H35</f>
        <v>253.53</v>
      </c>
      <c r="I36" s="13">
        <f>Year!I35</f>
        <v>-14.1</v>
      </c>
      <c r="J36" s="13">
        <f>Year!J35</f>
        <v>124.06</v>
      </c>
      <c r="K36" s="13">
        <f>Year!K35</f>
        <v>0</v>
      </c>
      <c r="L36" s="13">
        <f>Year!L35</f>
        <v>-12.49</v>
      </c>
      <c r="M36" s="13">
        <f>Year!M35</f>
        <v>856.21</v>
      </c>
      <c r="N36" s="13">
        <f>Year!N35</f>
        <v>425.81</v>
      </c>
      <c r="O36" s="13">
        <f>Year!O35</f>
        <v>1285.7</v>
      </c>
      <c r="P36" s="13">
        <f t="shared" ref="P36:P37" si="9">SUM(D36:O36)</f>
        <v>3948.01</v>
      </c>
    </row>
    <row r="37" spans="3:16">
      <c r="C37" t="s">
        <v>50</v>
      </c>
      <c r="D37" s="13">
        <f>Year!D36</f>
        <v>30245.75</v>
      </c>
      <c r="E37" s="13">
        <f>Year!E36</f>
        <v>8816.9699999999993</v>
      </c>
      <c r="F37" s="13">
        <f>Year!F36</f>
        <v>24509</v>
      </c>
      <c r="G37" s="13">
        <f>Year!G36</f>
        <v>18027</v>
      </c>
      <c r="H37" s="13">
        <f>Year!H36</f>
        <v>5053.1100000000006</v>
      </c>
      <c r="I37" s="13">
        <f>Year!I36</f>
        <v>43385.5</v>
      </c>
      <c r="J37" s="13">
        <f>Year!J36</f>
        <v>48339</v>
      </c>
      <c r="K37" s="13">
        <f>Year!K36</f>
        <v>52</v>
      </c>
      <c r="L37" s="13">
        <f>Year!L36</f>
        <v>43385.5</v>
      </c>
      <c r="M37" s="13">
        <f>Year!M36</f>
        <v>43985.5</v>
      </c>
      <c r="N37" s="13">
        <f>Year!N36</f>
        <v>0</v>
      </c>
      <c r="O37" s="13">
        <f>Year!O36</f>
        <v>0</v>
      </c>
      <c r="P37" s="13">
        <f t="shared" si="9"/>
        <v>265799.33</v>
      </c>
    </row>
    <row r="38" spans="3:16">
      <c r="C38" s="14" t="s">
        <v>43</v>
      </c>
      <c r="D38" s="13">
        <f>Year!D37</f>
        <v>2336.15</v>
      </c>
      <c r="E38" s="13">
        <f>Year!E37</f>
        <v>213.11</v>
      </c>
      <c r="F38" s="13">
        <f>Year!F37</f>
        <v>908.1</v>
      </c>
      <c r="G38" s="13">
        <f>Year!G37</f>
        <v>513.21</v>
      </c>
      <c r="H38" s="13">
        <f>Year!H37</f>
        <v>997.66000000000008</v>
      </c>
      <c r="I38" s="13">
        <f>Year!I37</f>
        <v>468.68999999999988</v>
      </c>
      <c r="J38" s="13">
        <f>Year!J37</f>
        <v>744.33</v>
      </c>
      <c r="K38" s="13">
        <f>Year!K37</f>
        <v>2249.7099999999996</v>
      </c>
      <c r="L38" s="13">
        <f>Year!L37</f>
        <v>862.4</v>
      </c>
      <c r="M38" s="13">
        <f>Year!M37</f>
        <v>4330.6899999999996</v>
      </c>
      <c r="N38" s="13">
        <f>Year!N37</f>
        <v>1057.97</v>
      </c>
      <c r="O38" s="13">
        <f>Year!O37</f>
        <v>1788.3400000000001</v>
      </c>
      <c r="P38" s="15">
        <f>SUM(D38:O38)</f>
        <v>16470.36</v>
      </c>
    </row>
    <row r="39" spans="3:16">
      <c r="C39" s="16" t="s">
        <v>7265</v>
      </c>
      <c r="D39" s="13">
        <f t="shared" ref="D39:M39" si="10">SUM(D36:D38)</f>
        <v>33137.08</v>
      </c>
      <c r="E39" s="13">
        <f t="shared" si="10"/>
        <v>9276.25</v>
      </c>
      <c r="F39" s="13">
        <f t="shared" si="10"/>
        <v>25645.039999999997</v>
      </c>
      <c r="G39" s="13">
        <f t="shared" si="10"/>
        <v>18540.21</v>
      </c>
      <c r="H39" s="13">
        <f t="shared" si="10"/>
        <v>6304.3</v>
      </c>
      <c r="I39" s="13">
        <f t="shared" si="10"/>
        <v>43840.090000000004</v>
      </c>
      <c r="J39" s="13">
        <f t="shared" si="10"/>
        <v>49207.39</v>
      </c>
      <c r="K39" s="13">
        <f t="shared" si="10"/>
        <v>2301.7099999999996</v>
      </c>
      <c r="L39" s="13">
        <f t="shared" si="10"/>
        <v>44235.41</v>
      </c>
      <c r="M39" s="13">
        <f t="shared" si="10"/>
        <v>49172.4</v>
      </c>
      <c r="N39" s="13">
        <f t="shared" ref="N39:O39" si="11">SUM(N36:N38)</f>
        <v>1483.78</v>
      </c>
      <c r="O39" s="13">
        <f t="shared" si="11"/>
        <v>3074.04</v>
      </c>
      <c r="P39" s="13">
        <f>SUM(P36:P38)</f>
        <v>286217.7</v>
      </c>
    </row>
    <row r="40" spans="3:16">
      <c r="C40" s="16"/>
      <c r="D40" s="13"/>
      <c r="E40" s="13"/>
      <c r="F40" s="13"/>
      <c r="G40" s="13"/>
      <c r="H40" s="13"/>
      <c r="I40" s="13"/>
      <c r="J40" s="13"/>
      <c r="K40" s="13"/>
      <c r="L40" s="13"/>
      <c r="M40" s="13"/>
      <c r="N40" s="13"/>
      <c r="O40" s="13"/>
      <c r="P40" s="13"/>
    </row>
    <row r="41" spans="3:16">
      <c r="C41" s="16"/>
      <c r="D41" s="40"/>
      <c r="E41" s="40"/>
      <c r="F41" s="40"/>
      <c r="G41" s="40"/>
      <c r="H41" s="40"/>
      <c r="I41" s="40"/>
      <c r="J41" s="40"/>
      <c r="K41" s="40"/>
      <c r="L41" s="40"/>
      <c r="M41" s="40"/>
      <c r="N41" s="40"/>
      <c r="O41" s="40"/>
      <c r="P41" s="13">
        <f>SUM(D41:O41)</f>
        <v>0</v>
      </c>
    </row>
    <row r="42" spans="3:16">
      <c r="C42" s="16"/>
      <c r="D42" s="40"/>
      <c r="E42" s="40"/>
      <c r="F42" s="40"/>
      <c r="G42" s="40"/>
      <c r="H42" s="40"/>
      <c r="I42" s="40"/>
      <c r="J42" s="40"/>
      <c r="K42" s="40"/>
      <c r="L42" s="40"/>
      <c r="M42" s="40"/>
      <c r="N42" s="40"/>
      <c r="O42" s="40"/>
      <c r="P42" s="13">
        <f t="shared" ref="P42:P44" si="12">SUM(D42:O42)</f>
        <v>0</v>
      </c>
    </row>
    <row r="43" spans="3:16">
      <c r="C43" s="16"/>
      <c r="D43" s="40"/>
      <c r="E43" s="40"/>
      <c r="F43" s="40"/>
      <c r="G43" s="40"/>
      <c r="H43" s="40"/>
      <c r="I43" s="40"/>
      <c r="J43" s="40"/>
      <c r="K43" s="40"/>
      <c r="L43" s="40"/>
      <c r="M43" s="40"/>
      <c r="N43" s="40"/>
      <c r="O43" s="40"/>
      <c r="P43" s="13">
        <f t="shared" si="12"/>
        <v>0</v>
      </c>
    </row>
    <row r="44" spans="3:16">
      <c r="C44" s="28"/>
      <c r="D44" s="116"/>
      <c r="E44" s="116"/>
      <c r="F44" s="116"/>
      <c r="G44" s="116"/>
      <c r="H44" s="116"/>
      <c r="I44" s="116"/>
      <c r="J44" s="116"/>
      <c r="K44" s="116"/>
      <c r="L44" s="116"/>
      <c r="M44" s="116"/>
      <c r="N44" s="116"/>
      <c r="O44" s="116"/>
      <c r="P44" s="21">
        <f t="shared" si="12"/>
        <v>0</v>
      </c>
    </row>
    <row r="45" spans="3:16">
      <c r="C45" s="16" t="s">
        <v>7271</v>
      </c>
      <c r="D45" s="13">
        <f>SUM(D41:D44)</f>
        <v>0</v>
      </c>
      <c r="E45" s="13">
        <f t="shared" ref="E45:O45" si="13">SUM(E41:E44)</f>
        <v>0</v>
      </c>
      <c r="F45" s="13">
        <f t="shared" si="13"/>
        <v>0</v>
      </c>
      <c r="G45" s="13">
        <f t="shared" si="13"/>
        <v>0</v>
      </c>
      <c r="H45" s="13">
        <f t="shared" si="13"/>
        <v>0</v>
      </c>
      <c r="I45" s="13">
        <f t="shared" si="13"/>
        <v>0</v>
      </c>
      <c r="J45" s="13">
        <f t="shared" si="13"/>
        <v>0</v>
      </c>
      <c r="K45" s="13">
        <f t="shared" si="13"/>
        <v>0</v>
      </c>
      <c r="L45" s="13">
        <f t="shared" si="13"/>
        <v>0</v>
      </c>
      <c r="M45" s="13">
        <f t="shared" si="13"/>
        <v>0</v>
      </c>
      <c r="N45" s="13">
        <f t="shared" si="13"/>
        <v>0</v>
      </c>
      <c r="O45" s="13">
        <f t="shared" si="13"/>
        <v>0</v>
      </c>
      <c r="P45" s="17">
        <f>SUM(D45:O45)</f>
        <v>0</v>
      </c>
    </row>
    <row r="46" spans="3:16">
      <c r="C46" s="19"/>
      <c r="D46" s="20"/>
      <c r="E46" s="20"/>
      <c r="F46" s="20"/>
      <c r="G46" s="20"/>
      <c r="H46" s="20"/>
      <c r="I46" s="20"/>
      <c r="J46" s="20"/>
      <c r="K46" s="20"/>
      <c r="L46" s="20"/>
      <c r="M46" s="20"/>
      <c r="N46" s="20"/>
      <c r="O46" s="20"/>
      <c r="P46" s="20"/>
    </row>
    <row r="47" spans="3:16">
      <c r="C47" s="16" t="s">
        <v>7266</v>
      </c>
      <c r="D47" s="17">
        <f t="shared" ref="D47:O47" si="14">SUM(D39,D34)</f>
        <v>46433.380000000005</v>
      </c>
      <c r="E47" s="17">
        <f t="shared" si="14"/>
        <v>24160.799999999999</v>
      </c>
      <c r="F47" s="17">
        <f t="shared" si="14"/>
        <v>38405.78</v>
      </c>
      <c r="G47" s="17">
        <f t="shared" si="14"/>
        <v>30813.32</v>
      </c>
      <c r="H47" s="17">
        <f t="shared" si="14"/>
        <v>17995.079999999998</v>
      </c>
      <c r="I47" s="17">
        <f t="shared" si="14"/>
        <v>57936.9</v>
      </c>
      <c r="J47" s="17">
        <f t="shared" si="14"/>
        <v>62014.11</v>
      </c>
      <c r="K47" s="17">
        <f t="shared" si="14"/>
        <v>14621.479999999998</v>
      </c>
      <c r="L47" s="17">
        <f t="shared" si="14"/>
        <v>58356.240000000005</v>
      </c>
      <c r="M47" s="17">
        <f t="shared" si="14"/>
        <v>62136.5</v>
      </c>
      <c r="N47" s="17">
        <f t="shared" si="14"/>
        <v>22300.239999999998</v>
      </c>
      <c r="O47" s="17">
        <f t="shared" si="14"/>
        <v>15603.370000000003</v>
      </c>
      <c r="P47" s="17">
        <f>SUM(P39,P34,P45)</f>
        <v>450777.2</v>
      </c>
    </row>
    <row r="48" spans="3:16">
      <c r="C48" s="83" t="s">
        <v>7272</v>
      </c>
    </row>
    <row r="53" spans="3:4">
      <c r="D53" s="46"/>
    </row>
    <row r="54" spans="3:4">
      <c r="D54" s="46"/>
    </row>
    <row r="55" spans="3:4">
      <c r="D55" s="46"/>
    </row>
    <row r="56" spans="3:4">
      <c r="C56" t="s">
        <v>7273</v>
      </c>
    </row>
    <row r="57" spans="3:4">
      <c r="C57" s="146" t="s">
        <v>7274</v>
      </c>
      <c r="D57" s="46"/>
    </row>
    <row r="60" spans="3:4">
      <c r="D60" s="46"/>
    </row>
    <row r="61" spans="3:4">
      <c r="D61" s="46"/>
    </row>
    <row r="62" spans="3:4">
      <c r="D62" s="46"/>
    </row>
    <row r="63" spans="3:4">
      <c r="D63" s="46"/>
    </row>
    <row r="64" spans="3:4">
      <c r="D64" s="46"/>
    </row>
  </sheetData>
  <mergeCells count="1">
    <mergeCell ref="D7:O7"/>
  </mergeCells>
  <pageMargins left="0.7" right="0.7" top="0.75" bottom="0.75" header="0.3" footer="0.3"/>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13D12-D60A-4B29-A8D5-DEA0D87E85D8}">
  <sheetPr>
    <tabColor rgb="FF264478"/>
    <pageSetUpPr fitToPage="1"/>
  </sheetPr>
  <dimension ref="B2:E507"/>
  <sheetViews>
    <sheetView topLeftCell="C15" workbookViewId="0">
      <selection activeCell="C15" sqref="C15"/>
    </sheetView>
  </sheetViews>
  <sheetFormatPr defaultRowHeight="15"/>
  <cols>
    <col min="1" max="1" width="2.28515625" customWidth="1"/>
    <col min="2" max="2" width="18.85546875" customWidth="1"/>
    <col min="3" max="3" width="79" customWidth="1"/>
    <col min="4" max="4" width="14.42578125" bestFit="1" customWidth="1"/>
    <col min="5" max="5" width="27" style="26" customWidth="1"/>
  </cols>
  <sheetData>
    <row r="2" spans="2:5">
      <c r="B2" s="16"/>
    </row>
    <row r="3" spans="2:5">
      <c r="B3" s="9" t="str">
        <f>'1 MO'!B9&amp;" Detail"</f>
        <v>December 2025 Detail</v>
      </c>
      <c r="C3" s="10"/>
      <c r="D3" s="10"/>
      <c r="E3" s="10"/>
    </row>
    <row r="4" spans="2:5" ht="3" customHeight="1">
      <c r="B4" s="22"/>
      <c r="C4" s="23"/>
      <c r="D4" s="23"/>
      <c r="E4" s="23"/>
    </row>
    <row r="5" spans="2:5">
      <c r="B5" s="24" t="s">
        <v>72</v>
      </c>
      <c r="C5" s="24" t="s">
        <v>2255</v>
      </c>
      <c r="D5" s="26" t="s">
        <v>7275</v>
      </c>
      <c r="E5"/>
    </row>
    <row r="6" spans="2:5">
      <c r="B6" t="s">
        <v>38</v>
      </c>
      <c r="D6" s="26">
        <v>3672.24</v>
      </c>
      <c r="E6"/>
    </row>
    <row r="7" spans="2:5">
      <c r="C7" t="s">
        <v>5721</v>
      </c>
      <c r="D7" s="26">
        <v>-297.35000000000002</v>
      </c>
      <c r="E7"/>
    </row>
    <row r="8" spans="2:5">
      <c r="C8" t="s">
        <v>5765</v>
      </c>
      <c r="D8" s="26">
        <v>33.409999999999997</v>
      </c>
      <c r="E8"/>
    </row>
    <row r="9" spans="2:5">
      <c r="C9" t="s">
        <v>6355</v>
      </c>
      <c r="D9" s="26">
        <v>30.17</v>
      </c>
      <c r="E9"/>
    </row>
    <row r="10" spans="2:5">
      <c r="C10" t="s">
        <v>6351</v>
      </c>
      <c r="D10" s="26">
        <v>31.33</v>
      </c>
      <c r="E10"/>
    </row>
    <row r="11" spans="2:5">
      <c r="C11" t="s">
        <v>6183</v>
      </c>
      <c r="D11" s="26">
        <v>1515.41</v>
      </c>
      <c r="E11"/>
    </row>
    <row r="12" spans="2:5">
      <c r="C12" t="s">
        <v>6503</v>
      </c>
      <c r="D12" s="26">
        <v>4.13</v>
      </c>
      <c r="E12"/>
    </row>
    <row r="13" spans="2:5">
      <c r="C13" t="s">
        <v>6482</v>
      </c>
      <c r="D13" s="26">
        <v>6.52</v>
      </c>
      <c r="E13"/>
    </row>
    <row r="14" spans="2:5">
      <c r="C14" t="s">
        <v>6481</v>
      </c>
      <c r="D14" s="26">
        <v>6.52</v>
      </c>
      <c r="E14"/>
    </row>
    <row r="15" spans="2:5">
      <c r="C15" t="s">
        <v>6206</v>
      </c>
      <c r="D15" s="26">
        <v>193.37</v>
      </c>
      <c r="E15"/>
    </row>
    <row r="16" spans="2:5">
      <c r="C16" t="s">
        <v>6480</v>
      </c>
      <c r="D16" s="26">
        <v>6.52</v>
      </c>
      <c r="E16"/>
    </row>
    <row r="17" spans="3:5">
      <c r="C17" t="s">
        <v>6487</v>
      </c>
      <c r="D17" s="26">
        <v>6.49</v>
      </c>
      <c r="E17"/>
    </row>
    <row r="18" spans="3:5">
      <c r="C18" t="s">
        <v>6486</v>
      </c>
      <c r="D18" s="26">
        <v>6.49</v>
      </c>
      <c r="E18"/>
    </row>
    <row r="19" spans="3:5">
      <c r="C19" t="s">
        <v>6430</v>
      </c>
      <c r="D19" s="26">
        <v>15.42</v>
      </c>
      <c r="E19"/>
    </row>
    <row r="20" spans="3:5">
      <c r="C20" t="s">
        <v>6384</v>
      </c>
      <c r="D20" s="26">
        <v>24.69</v>
      </c>
      <c r="E20"/>
    </row>
    <row r="21" spans="3:5">
      <c r="C21" t="s">
        <v>6485</v>
      </c>
      <c r="D21" s="26">
        <v>6.49</v>
      </c>
      <c r="E21"/>
    </row>
    <row r="22" spans="3:5">
      <c r="C22" t="s">
        <v>6500</v>
      </c>
      <c r="D22" s="26">
        <v>4.32</v>
      </c>
      <c r="E22"/>
    </row>
    <row r="23" spans="3:5">
      <c r="C23" t="s">
        <v>6499</v>
      </c>
      <c r="D23" s="26">
        <v>4.32</v>
      </c>
      <c r="E23"/>
    </row>
    <row r="24" spans="3:5">
      <c r="C24" t="s">
        <v>6484</v>
      </c>
      <c r="D24" s="26">
        <v>6.49</v>
      </c>
      <c r="E24"/>
    </row>
    <row r="25" spans="3:5">
      <c r="C25" t="s">
        <v>6504</v>
      </c>
      <c r="D25" s="26">
        <v>4.1100000000000003</v>
      </c>
      <c r="E25"/>
    </row>
    <row r="26" spans="3:5">
      <c r="C26" t="s">
        <v>6483</v>
      </c>
      <c r="D26" s="26">
        <v>6.49</v>
      </c>
      <c r="E26"/>
    </row>
    <row r="27" spans="3:5">
      <c r="C27" t="s">
        <v>6207</v>
      </c>
      <c r="D27" s="26">
        <v>150.63999999999999</v>
      </c>
      <c r="E27"/>
    </row>
    <row r="28" spans="3:5">
      <c r="C28" t="s">
        <v>6260</v>
      </c>
      <c r="D28" s="26">
        <v>84.48</v>
      </c>
      <c r="E28"/>
    </row>
    <row r="29" spans="3:5">
      <c r="C29" t="s">
        <v>6307</v>
      </c>
      <c r="D29" s="26">
        <v>53.14</v>
      </c>
      <c r="E29"/>
    </row>
    <row r="30" spans="3:5">
      <c r="C30" t="s">
        <v>6249</v>
      </c>
      <c r="D30" s="26">
        <v>94.67</v>
      </c>
      <c r="E30"/>
    </row>
    <row r="31" spans="3:5">
      <c r="C31" t="s">
        <v>6222</v>
      </c>
      <c r="D31" s="26">
        <v>129.97999999999999</v>
      </c>
      <c r="E31"/>
    </row>
    <row r="32" spans="3:5">
      <c r="C32" t="s">
        <v>6515</v>
      </c>
      <c r="D32" s="26">
        <v>2.0299999999999998</v>
      </c>
      <c r="E32"/>
    </row>
    <row r="33" spans="3:5">
      <c r="C33" t="s">
        <v>6325</v>
      </c>
      <c r="D33" s="26">
        <v>45.9</v>
      </c>
      <c r="E33"/>
    </row>
    <row r="34" spans="3:5">
      <c r="C34" t="s">
        <v>6208</v>
      </c>
      <c r="D34" s="26">
        <v>150.63999999999999</v>
      </c>
      <c r="E34"/>
    </row>
    <row r="35" spans="3:5">
      <c r="C35" t="s">
        <v>6408</v>
      </c>
      <c r="D35" s="26">
        <v>21.63</v>
      </c>
      <c r="E35"/>
    </row>
    <row r="36" spans="3:5">
      <c r="C36" t="s">
        <v>6255</v>
      </c>
      <c r="D36" s="26">
        <v>88.87</v>
      </c>
      <c r="E36"/>
    </row>
    <row r="37" spans="3:5">
      <c r="C37" t="s">
        <v>6505</v>
      </c>
      <c r="D37" s="26">
        <v>4.1100000000000003</v>
      </c>
      <c r="E37"/>
    </row>
    <row r="38" spans="3:5">
      <c r="C38" t="s">
        <v>6221</v>
      </c>
      <c r="D38" s="26">
        <v>134.69</v>
      </c>
      <c r="E38"/>
    </row>
    <row r="39" spans="3:5">
      <c r="C39" t="s">
        <v>6382</v>
      </c>
      <c r="D39" s="26">
        <v>24.99</v>
      </c>
      <c r="E39"/>
    </row>
    <row r="40" spans="3:5">
      <c r="C40" t="s">
        <v>6417</v>
      </c>
      <c r="D40" s="26">
        <v>18.93</v>
      </c>
      <c r="E40"/>
    </row>
    <row r="41" spans="3:5">
      <c r="C41" t="s">
        <v>6464</v>
      </c>
      <c r="D41" s="26">
        <v>9.74</v>
      </c>
      <c r="E41"/>
    </row>
    <row r="42" spans="3:5">
      <c r="C42" t="s">
        <v>6261</v>
      </c>
      <c r="D42" s="26">
        <v>84.41</v>
      </c>
      <c r="E42"/>
    </row>
    <row r="43" spans="3:5">
      <c r="C43" t="s">
        <v>6376</v>
      </c>
      <c r="D43" s="26">
        <v>25.49</v>
      </c>
      <c r="E43"/>
    </row>
    <row r="44" spans="3:5">
      <c r="C44" t="s">
        <v>6262</v>
      </c>
      <c r="D44" s="26">
        <v>84.05</v>
      </c>
      <c r="E44"/>
    </row>
    <row r="45" spans="3:5">
      <c r="C45" t="s">
        <v>6225</v>
      </c>
      <c r="D45" s="26">
        <v>123.93</v>
      </c>
      <c r="E45"/>
    </row>
    <row r="46" spans="3:5">
      <c r="C46" t="s">
        <v>6315</v>
      </c>
      <c r="D46" s="26">
        <v>49.83</v>
      </c>
      <c r="E46"/>
    </row>
    <row r="47" spans="3:5">
      <c r="C47" t="s">
        <v>6286</v>
      </c>
      <c r="D47" s="26">
        <v>65.55</v>
      </c>
      <c r="E47"/>
    </row>
    <row r="48" spans="3:5">
      <c r="C48" t="s">
        <v>6511</v>
      </c>
      <c r="D48" s="26">
        <v>3</v>
      </c>
      <c r="E48"/>
    </row>
    <row r="49" spans="2:5">
      <c r="C49" t="s">
        <v>6469</v>
      </c>
      <c r="D49" s="26">
        <v>8.6999999999999993</v>
      </c>
      <c r="E49"/>
    </row>
    <row r="50" spans="2:5">
      <c r="C50" t="s">
        <v>6264</v>
      </c>
      <c r="D50" s="26">
        <v>82.32</v>
      </c>
      <c r="E50"/>
    </row>
    <row r="51" spans="2:5">
      <c r="C51" t="s">
        <v>6375</v>
      </c>
      <c r="D51" s="26">
        <v>25.78</v>
      </c>
      <c r="E51"/>
    </row>
    <row r="52" spans="2:5">
      <c r="C52" t="s">
        <v>6431</v>
      </c>
      <c r="D52" s="26">
        <v>15.23</v>
      </c>
      <c r="E52"/>
    </row>
    <row r="53" spans="2:5">
      <c r="C53" t="s">
        <v>6237</v>
      </c>
      <c r="D53" s="26">
        <v>106.21</v>
      </c>
      <c r="E53"/>
    </row>
    <row r="54" spans="2:5">
      <c r="C54" t="s">
        <v>6329</v>
      </c>
      <c r="D54" s="26">
        <v>43.52</v>
      </c>
      <c r="E54"/>
    </row>
    <row r="55" spans="2:5">
      <c r="C55" t="s">
        <v>6436</v>
      </c>
      <c r="D55" s="26">
        <v>14.14</v>
      </c>
      <c r="E55"/>
    </row>
    <row r="56" spans="2:5">
      <c r="C56" t="s">
        <v>6257</v>
      </c>
      <c r="D56" s="26">
        <v>87.03</v>
      </c>
      <c r="E56"/>
    </row>
    <row r="57" spans="2:5">
      <c r="C57" t="s">
        <v>6306</v>
      </c>
      <c r="D57" s="26">
        <v>53.34</v>
      </c>
      <c r="E57"/>
    </row>
    <row r="58" spans="2:5">
      <c r="C58" t="s">
        <v>6291</v>
      </c>
      <c r="D58" s="26">
        <v>61.38</v>
      </c>
      <c r="E58"/>
    </row>
    <row r="59" spans="2:5">
      <c r="C59" t="s">
        <v>6247</v>
      </c>
      <c r="D59" s="26">
        <v>99.95</v>
      </c>
      <c r="E59"/>
    </row>
    <row r="60" spans="2:5">
      <c r="C60" t="s">
        <v>6470</v>
      </c>
      <c r="D60" s="26">
        <v>8.6</v>
      </c>
      <c r="E60"/>
    </row>
    <row r="61" spans="2:5">
      <c r="B61" t="s">
        <v>61</v>
      </c>
      <c r="D61" s="26">
        <v>6500</v>
      </c>
      <c r="E61"/>
    </row>
    <row r="62" spans="2:5">
      <c r="C62" t="s">
        <v>7276</v>
      </c>
      <c r="D62" s="26">
        <v>3250</v>
      </c>
      <c r="E62"/>
    </row>
    <row r="63" spans="2:5">
      <c r="C63" t="s">
        <v>7277</v>
      </c>
      <c r="D63" s="26">
        <v>3250</v>
      </c>
      <c r="E63"/>
    </row>
    <row r="64" spans="2:5">
      <c r="B64" t="s">
        <v>20</v>
      </c>
      <c r="D64" s="26">
        <v>12302.58</v>
      </c>
      <c r="E64"/>
    </row>
    <row r="65" spans="3:5">
      <c r="C65" t="s">
        <v>7278</v>
      </c>
      <c r="D65" s="26">
        <v>125</v>
      </c>
      <c r="E65"/>
    </row>
    <row r="66" spans="3:5">
      <c r="C66" t="s">
        <v>7279</v>
      </c>
      <c r="D66" s="26">
        <v>347.99000000000007</v>
      </c>
      <c r="E66"/>
    </row>
    <row r="67" spans="3:5">
      <c r="C67" t="s">
        <v>7276</v>
      </c>
      <c r="D67" s="26">
        <v>100</v>
      </c>
      <c r="E67"/>
    </row>
    <row r="68" spans="3:5">
      <c r="C68" t="s">
        <v>7280</v>
      </c>
      <c r="D68" s="26">
        <v>335.87</v>
      </c>
      <c r="E68"/>
    </row>
    <row r="69" spans="3:5">
      <c r="C69" t="s">
        <v>5890</v>
      </c>
      <c r="D69" s="26">
        <v>846.2</v>
      </c>
      <c r="E69"/>
    </row>
    <row r="70" spans="3:5">
      <c r="C70" t="s">
        <v>7281</v>
      </c>
      <c r="D70" s="26">
        <v>7210</v>
      </c>
      <c r="E70"/>
    </row>
    <row r="71" spans="3:5">
      <c r="C71" t="s">
        <v>7282</v>
      </c>
      <c r="D71" s="26">
        <v>400</v>
      </c>
      <c r="E71"/>
    </row>
    <row r="72" spans="3:5">
      <c r="C72" t="s">
        <v>7283</v>
      </c>
      <c r="D72" s="26">
        <v>21</v>
      </c>
      <c r="E72"/>
    </row>
    <row r="73" spans="3:5">
      <c r="C73" t="s">
        <v>7284</v>
      </c>
      <c r="D73" s="26">
        <v>250</v>
      </c>
      <c r="E73"/>
    </row>
    <row r="74" spans="3:5">
      <c r="C74" t="s">
        <v>6529</v>
      </c>
      <c r="D74" s="26">
        <v>148.52000000000001</v>
      </c>
      <c r="E74"/>
    </row>
    <row r="75" spans="3:5">
      <c r="C75" t="s">
        <v>6224</v>
      </c>
      <c r="D75" s="26">
        <v>430</v>
      </c>
      <c r="E75"/>
    </row>
    <row r="76" spans="3:5">
      <c r="C76" t="s">
        <v>6148</v>
      </c>
      <c r="D76" s="26">
        <v>53.099999999999994</v>
      </c>
      <c r="E76"/>
    </row>
    <row r="77" spans="3:5">
      <c r="C77" t="s">
        <v>6132</v>
      </c>
      <c r="D77" s="26">
        <v>1405</v>
      </c>
      <c r="E77"/>
    </row>
    <row r="78" spans="3:5">
      <c r="C78" t="s">
        <v>6137</v>
      </c>
      <c r="D78" s="26">
        <v>428.4</v>
      </c>
      <c r="E78"/>
    </row>
    <row r="79" spans="3:5">
      <c r="C79" t="s">
        <v>6129</v>
      </c>
      <c r="D79" s="26">
        <v>149</v>
      </c>
      <c r="E79"/>
    </row>
    <row r="80" spans="3:5">
      <c r="C80" t="s">
        <v>6139</v>
      </c>
      <c r="D80" s="26">
        <v>52.5</v>
      </c>
      <c r="E80"/>
    </row>
    <row r="81" spans="2:5">
      <c r="B81" t="s">
        <v>9</v>
      </c>
      <c r="D81" s="26">
        <v>-46187.650000000016</v>
      </c>
      <c r="E81"/>
    </row>
    <row r="82" spans="2:5">
      <c r="C82" t="s">
        <v>168</v>
      </c>
      <c r="D82" s="26">
        <v>40.299999999999997</v>
      </c>
      <c r="E82"/>
    </row>
    <row r="83" spans="2:5">
      <c r="C83" t="s">
        <v>673</v>
      </c>
      <c r="D83" s="26">
        <v>-7275.6399999999994</v>
      </c>
      <c r="E83"/>
    </row>
    <row r="84" spans="2:5">
      <c r="C84" t="s">
        <v>703</v>
      </c>
      <c r="D84" s="26">
        <v>4432.3899999999994</v>
      </c>
      <c r="E84"/>
    </row>
    <row r="85" spans="2:5">
      <c r="C85" t="s">
        <v>710</v>
      </c>
      <c r="D85" s="26">
        <v>-1094</v>
      </c>
      <c r="E85"/>
    </row>
    <row r="86" spans="2:5">
      <c r="C86" t="s">
        <v>997</v>
      </c>
      <c r="D86" s="26">
        <v>-1811.81</v>
      </c>
      <c r="E86"/>
    </row>
    <row r="87" spans="2:5">
      <c r="C87" t="s">
        <v>1458</v>
      </c>
      <c r="D87" s="26">
        <v>43223.630000000005</v>
      </c>
      <c r="E87"/>
    </row>
    <row r="88" spans="2:5">
      <c r="C88" t="s">
        <v>1464</v>
      </c>
      <c r="D88" s="26">
        <v>2775.6</v>
      </c>
      <c r="E88"/>
    </row>
    <row r="89" spans="2:5">
      <c r="C89" t="s">
        <v>2078</v>
      </c>
      <c r="D89" s="26">
        <v>61.67</v>
      </c>
      <c r="E89"/>
    </row>
    <row r="90" spans="2:5">
      <c r="C90" t="s">
        <v>7285</v>
      </c>
      <c r="D90" s="26">
        <v>2405.09</v>
      </c>
      <c r="E90"/>
    </row>
    <row r="91" spans="2:5">
      <c r="C91" t="s">
        <v>4012</v>
      </c>
      <c r="D91" s="26">
        <v>-44416.720000000008</v>
      </c>
      <c r="E91"/>
    </row>
    <row r="92" spans="2:5">
      <c r="C92" t="s">
        <v>3996</v>
      </c>
      <c r="D92" s="26">
        <v>2.16</v>
      </c>
      <c r="E92"/>
    </row>
    <row r="93" spans="2:5">
      <c r="C93" t="s">
        <v>4415</v>
      </c>
      <c r="D93" s="26">
        <v>977.51</v>
      </c>
      <c r="E93"/>
    </row>
    <row r="94" spans="2:5">
      <c r="C94" t="s">
        <v>4404</v>
      </c>
      <c r="D94" s="26">
        <v>3200</v>
      </c>
      <c r="E94"/>
    </row>
    <row r="95" spans="2:5">
      <c r="C95" t="s">
        <v>4293</v>
      </c>
      <c r="D95" s="26">
        <v>8123.8</v>
      </c>
      <c r="E95"/>
    </row>
    <row r="96" spans="2:5">
      <c r="C96" t="s">
        <v>4470</v>
      </c>
      <c r="D96" s="26">
        <v>-1052.53</v>
      </c>
      <c r="E96"/>
    </row>
    <row r="97" spans="3:5">
      <c r="C97" t="s">
        <v>4829</v>
      </c>
      <c r="D97" s="26">
        <v>100.93</v>
      </c>
      <c r="E97"/>
    </row>
    <row r="98" spans="3:5">
      <c r="C98" t="s">
        <v>5080</v>
      </c>
      <c r="D98" s="26">
        <v>-57198.75</v>
      </c>
      <c r="E98"/>
    </row>
    <row r="99" spans="3:5">
      <c r="C99" t="s">
        <v>5033</v>
      </c>
      <c r="D99" s="26">
        <v>100</v>
      </c>
      <c r="E99"/>
    </row>
    <row r="100" spans="3:5">
      <c r="C100" t="s">
        <v>5199</v>
      </c>
      <c r="D100" s="26">
        <v>-1212</v>
      </c>
      <c r="E100"/>
    </row>
    <row r="101" spans="3:5">
      <c r="C101" t="s">
        <v>5920</v>
      </c>
      <c r="D101" s="26">
        <v>223.3</v>
      </c>
      <c r="E101"/>
    </row>
    <row r="102" spans="3:5">
      <c r="C102" t="s">
        <v>5418</v>
      </c>
      <c r="D102" s="26">
        <v>33.799999999999997</v>
      </c>
      <c r="E102"/>
    </row>
    <row r="103" spans="3:5">
      <c r="C103" t="s">
        <v>5577</v>
      </c>
      <c r="D103" s="26">
        <v>38.4</v>
      </c>
      <c r="E103"/>
    </row>
    <row r="104" spans="3:5">
      <c r="C104" t="s">
        <v>5795</v>
      </c>
      <c r="D104" s="26">
        <v>392.36999999999995</v>
      </c>
      <c r="E104"/>
    </row>
    <row r="105" spans="3:5">
      <c r="C105" t="s">
        <v>5827</v>
      </c>
      <c r="D105" s="26">
        <v>2083.64</v>
      </c>
      <c r="E105"/>
    </row>
    <row r="106" spans="3:5">
      <c r="C106" t="s">
        <v>6528</v>
      </c>
      <c r="D106" s="26">
        <v>-859</v>
      </c>
      <c r="E106"/>
    </row>
    <row r="107" spans="3:5">
      <c r="C107" t="s">
        <v>6537</v>
      </c>
      <c r="D107" s="26">
        <v>-4339</v>
      </c>
      <c r="E107"/>
    </row>
    <row r="108" spans="3:5">
      <c r="C108" t="s">
        <v>6279</v>
      </c>
      <c r="D108" s="26">
        <v>70.53</v>
      </c>
      <c r="E108"/>
    </row>
    <row r="109" spans="3:5">
      <c r="C109" t="s">
        <v>6438</v>
      </c>
      <c r="D109" s="26">
        <v>13.83</v>
      </c>
      <c r="E109"/>
    </row>
    <row r="110" spans="3:5">
      <c r="C110" t="s">
        <v>6332</v>
      </c>
      <c r="D110" s="26">
        <v>41.49</v>
      </c>
      <c r="E110"/>
    </row>
    <row r="111" spans="3:5">
      <c r="C111" t="s">
        <v>6174</v>
      </c>
      <c r="D111" s="26">
        <v>321.41000000000003</v>
      </c>
      <c r="E111"/>
    </row>
    <row r="112" spans="3:5">
      <c r="C112" t="s">
        <v>6277</v>
      </c>
      <c r="D112" s="26">
        <v>73.150000000000006</v>
      </c>
      <c r="E112"/>
    </row>
    <row r="113" spans="3:5">
      <c r="C113" t="s">
        <v>6476</v>
      </c>
      <c r="D113" s="26">
        <v>7.34</v>
      </c>
      <c r="E113"/>
    </row>
    <row r="114" spans="3:5">
      <c r="C114" t="s">
        <v>6250</v>
      </c>
      <c r="D114" s="26">
        <v>94.62</v>
      </c>
      <c r="E114"/>
    </row>
    <row r="115" spans="3:5">
      <c r="C115" t="s">
        <v>6454</v>
      </c>
      <c r="D115" s="26">
        <v>10.91</v>
      </c>
      <c r="E115"/>
    </row>
    <row r="116" spans="3:5">
      <c r="C116" t="s">
        <v>6341</v>
      </c>
      <c r="D116" s="26">
        <v>36.15</v>
      </c>
      <c r="E116"/>
    </row>
    <row r="117" spans="3:5">
      <c r="C117" t="s">
        <v>6495</v>
      </c>
      <c r="D117" s="26">
        <v>4.6500000000000004</v>
      </c>
      <c r="E117"/>
    </row>
    <row r="118" spans="3:5">
      <c r="C118" t="s">
        <v>6416</v>
      </c>
      <c r="D118" s="26">
        <v>19.04</v>
      </c>
      <c r="E118"/>
    </row>
    <row r="119" spans="3:5">
      <c r="C119" t="s">
        <v>6397</v>
      </c>
      <c r="D119" s="26">
        <v>23.57</v>
      </c>
      <c r="E119"/>
    </row>
    <row r="120" spans="3:5">
      <c r="C120" t="s">
        <v>6494</v>
      </c>
      <c r="D120" s="26">
        <v>5.63</v>
      </c>
      <c r="E120"/>
    </row>
    <row r="121" spans="3:5">
      <c r="C121" t="s">
        <v>6288</v>
      </c>
      <c r="D121" s="26">
        <v>64.099999999999994</v>
      </c>
      <c r="E121"/>
    </row>
    <row r="122" spans="3:5">
      <c r="C122" t="s">
        <v>6390</v>
      </c>
      <c r="D122" s="26">
        <v>24.29</v>
      </c>
      <c r="E122"/>
    </row>
    <row r="123" spans="3:5">
      <c r="C123" t="s">
        <v>6459</v>
      </c>
      <c r="D123" s="26">
        <v>10.4</v>
      </c>
      <c r="E123"/>
    </row>
    <row r="124" spans="3:5">
      <c r="C124" t="s">
        <v>6287</v>
      </c>
      <c r="D124" s="26">
        <v>64.39</v>
      </c>
      <c r="E124"/>
    </row>
    <row r="125" spans="3:5">
      <c r="C125" t="s">
        <v>6173</v>
      </c>
      <c r="D125" s="26">
        <v>321.44</v>
      </c>
      <c r="E125"/>
    </row>
    <row r="126" spans="3:5">
      <c r="C126" t="s">
        <v>6258</v>
      </c>
      <c r="D126" s="26">
        <v>86.19</v>
      </c>
      <c r="E126"/>
    </row>
    <row r="127" spans="3:5">
      <c r="C127" t="s">
        <v>6377</v>
      </c>
      <c r="D127" s="26">
        <v>25.38</v>
      </c>
      <c r="E127"/>
    </row>
    <row r="128" spans="3:5">
      <c r="C128" t="s">
        <v>6366</v>
      </c>
      <c r="D128" s="26">
        <v>28.48</v>
      </c>
      <c r="E128"/>
    </row>
    <row r="129" spans="3:5">
      <c r="C129" t="s">
        <v>6216</v>
      </c>
      <c r="D129" s="26">
        <v>143.84</v>
      </c>
      <c r="E129"/>
    </row>
    <row r="130" spans="3:5">
      <c r="C130" t="s">
        <v>6345</v>
      </c>
      <c r="D130" s="26">
        <v>74.7</v>
      </c>
      <c r="E130"/>
    </row>
    <row r="131" spans="3:5">
      <c r="C131" t="s">
        <v>6368</v>
      </c>
      <c r="D131" s="26">
        <v>28.24</v>
      </c>
      <c r="E131"/>
    </row>
    <row r="132" spans="3:5">
      <c r="C132" t="s">
        <v>6234</v>
      </c>
      <c r="D132" s="26">
        <v>136.26</v>
      </c>
      <c r="E132"/>
    </row>
    <row r="133" spans="3:5">
      <c r="C133" t="s">
        <v>6458</v>
      </c>
      <c r="D133" s="26">
        <v>10.4</v>
      </c>
      <c r="E133"/>
    </row>
    <row r="134" spans="3:5">
      <c r="C134" t="s">
        <v>6298</v>
      </c>
      <c r="D134" s="26">
        <v>57.36</v>
      </c>
      <c r="E134"/>
    </row>
    <row r="135" spans="3:5">
      <c r="C135" t="s">
        <v>6471</v>
      </c>
      <c r="D135" s="26">
        <v>8</v>
      </c>
      <c r="E135"/>
    </row>
    <row r="136" spans="3:5">
      <c r="C136" t="s">
        <v>6440</v>
      </c>
      <c r="D136" s="26">
        <v>13.57</v>
      </c>
      <c r="E136"/>
    </row>
    <row r="137" spans="3:5">
      <c r="C137" t="s">
        <v>6170</v>
      </c>
      <c r="D137" s="26">
        <v>352.26</v>
      </c>
      <c r="E137"/>
    </row>
    <row r="138" spans="3:5">
      <c r="C138" t="s">
        <v>6265</v>
      </c>
      <c r="D138" s="26">
        <v>82.22</v>
      </c>
      <c r="E138"/>
    </row>
    <row r="139" spans="3:5">
      <c r="C139" t="s">
        <v>6383</v>
      </c>
      <c r="D139" s="26">
        <v>24.77</v>
      </c>
      <c r="E139"/>
    </row>
    <row r="140" spans="3:5">
      <c r="C140" t="s">
        <v>6512</v>
      </c>
      <c r="D140" s="26">
        <v>2.99</v>
      </c>
      <c r="E140"/>
    </row>
    <row r="141" spans="3:5">
      <c r="C141" t="s">
        <v>6385</v>
      </c>
      <c r="D141" s="26">
        <v>24.59</v>
      </c>
      <c r="E141"/>
    </row>
    <row r="142" spans="3:5">
      <c r="C142" t="s">
        <v>6378</v>
      </c>
      <c r="D142" s="26">
        <v>25.04</v>
      </c>
      <c r="E142"/>
    </row>
    <row r="143" spans="3:5">
      <c r="C143" t="s">
        <v>6443</v>
      </c>
      <c r="D143" s="26">
        <v>11.95</v>
      </c>
      <c r="E143"/>
    </row>
    <row r="144" spans="3:5">
      <c r="C144" t="s">
        <v>6268</v>
      </c>
      <c r="D144" s="26">
        <v>130.24</v>
      </c>
      <c r="E144"/>
    </row>
    <row r="145" spans="3:5">
      <c r="C145" t="s">
        <v>6391</v>
      </c>
      <c r="D145" s="26">
        <v>24.23</v>
      </c>
      <c r="E145"/>
    </row>
    <row r="146" spans="3:5">
      <c r="C146" t="s">
        <v>6510</v>
      </c>
      <c r="D146" s="26">
        <v>3.27</v>
      </c>
      <c r="E146"/>
    </row>
    <row r="147" spans="3:5">
      <c r="C147" t="s">
        <v>6414</v>
      </c>
      <c r="D147" s="26">
        <v>19.649999999999999</v>
      </c>
      <c r="E147"/>
    </row>
    <row r="148" spans="3:5">
      <c r="C148" t="s">
        <v>6403</v>
      </c>
      <c r="D148" s="26">
        <v>22.67</v>
      </c>
      <c r="E148"/>
    </row>
    <row r="149" spans="3:5">
      <c r="C149" t="s">
        <v>6333</v>
      </c>
      <c r="D149" s="26">
        <v>76.56</v>
      </c>
      <c r="E149"/>
    </row>
    <row r="150" spans="3:5">
      <c r="C150" t="s">
        <v>6254</v>
      </c>
      <c r="D150" s="26">
        <v>89.36</v>
      </c>
      <c r="E150"/>
    </row>
    <row r="151" spans="3:5">
      <c r="C151" t="s">
        <v>6460</v>
      </c>
      <c r="D151" s="26">
        <v>10</v>
      </c>
      <c r="E151"/>
    </row>
    <row r="152" spans="3:5">
      <c r="C152" t="s">
        <v>6490</v>
      </c>
      <c r="D152" s="26">
        <v>5.86</v>
      </c>
      <c r="E152"/>
    </row>
    <row r="153" spans="3:5">
      <c r="C153" t="s">
        <v>6501</v>
      </c>
      <c r="D153" s="26">
        <v>4.3099999999999996</v>
      </c>
      <c r="E153"/>
    </row>
    <row r="154" spans="3:5">
      <c r="C154" t="s">
        <v>6231</v>
      </c>
      <c r="D154" s="26">
        <v>114.14</v>
      </c>
      <c r="E154"/>
    </row>
    <row r="155" spans="3:5">
      <c r="C155" t="s">
        <v>6232</v>
      </c>
      <c r="D155" s="26">
        <v>113.92</v>
      </c>
      <c r="E155"/>
    </row>
    <row r="156" spans="3:5">
      <c r="C156" t="s">
        <v>6447</v>
      </c>
      <c r="D156" s="26">
        <v>11.27</v>
      </c>
      <c r="E156"/>
    </row>
    <row r="157" spans="3:5">
      <c r="C157" t="s">
        <v>6282</v>
      </c>
      <c r="D157" s="26">
        <v>68.86</v>
      </c>
      <c r="E157"/>
    </row>
    <row r="158" spans="3:5">
      <c r="C158" t="s">
        <v>6182</v>
      </c>
      <c r="D158" s="26">
        <v>242.78</v>
      </c>
      <c r="E158"/>
    </row>
    <row r="159" spans="3:5">
      <c r="C159" t="s">
        <v>6266</v>
      </c>
      <c r="D159" s="26">
        <v>81.7</v>
      </c>
      <c r="E159"/>
    </row>
    <row r="160" spans="3:5">
      <c r="C160" t="s">
        <v>6379</v>
      </c>
      <c r="D160" s="26">
        <v>25.01</v>
      </c>
      <c r="E160"/>
    </row>
    <row r="161" spans="2:5">
      <c r="C161" t="s">
        <v>6335</v>
      </c>
      <c r="D161" s="26">
        <v>40.049999999999997</v>
      </c>
      <c r="E161"/>
    </row>
    <row r="162" spans="2:5">
      <c r="C162" t="s">
        <v>6423</v>
      </c>
      <c r="D162" s="26">
        <v>16.79</v>
      </c>
      <c r="E162"/>
    </row>
    <row r="163" spans="2:5">
      <c r="C163" t="s">
        <v>6506</v>
      </c>
      <c r="D163" s="26">
        <v>3.76</v>
      </c>
      <c r="E163"/>
    </row>
    <row r="164" spans="2:5">
      <c r="C164" t="s">
        <v>6252</v>
      </c>
      <c r="D164" s="26">
        <v>93.76</v>
      </c>
      <c r="E164"/>
    </row>
    <row r="165" spans="2:5">
      <c r="C165" t="s">
        <v>6181</v>
      </c>
      <c r="D165" s="26">
        <v>248.38</v>
      </c>
      <c r="E165"/>
    </row>
    <row r="166" spans="2:5">
      <c r="C166" t="s">
        <v>6425</v>
      </c>
      <c r="D166" s="26">
        <v>16.45</v>
      </c>
      <c r="E166"/>
    </row>
    <row r="167" spans="2:5">
      <c r="C167" t="s">
        <v>6373</v>
      </c>
      <c r="D167" s="26">
        <v>40.58</v>
      </c>
      <c r="E167"/>
    </row>
    <row r="168" spans="2:5">
      <c r="C168" t="s">
        <v>6130</v>
      </c>
      <c r="D168" s="26">
        <v>722.39</v>
      </c>
      <c r="E168"/>
    </row>
    <row r="169" spans="2:5">
      <c r="C169" t="s">
        <v>6474</v>
      </c>
      <c r="D169" s="26">
        <v>7.52</v>
      </c>
      <c r="E169"/>
    </row>
    <row r="170" spans="2:5">
      <c r="C170" t="s">
        <v>6419</v>
      </c>
      <c r="D170" s="26">
        <v>18.670000000000002</v>
      </c>
      <c r="E170"/>
    </row>
    <row r="171" spans="2:5">
      <c r="C171" t="s">
        <v>6491</v>
      </c>
      <c r="D171" s="26">
        <v>5.83</v>
      </c>
      <c r="E171"/>
    </row>
    <row r="172" spans="2:5">
      <c r="C172" t="s">
        <v>6395</v>
      </c>
      <c r="D172" s="26">
        <v>23.82</v>
      </c>
      <c r="E172"/>
    </row>
    <row r="173" spans="2:5">
      <c r="C173" t="s">
        <v>6380</v>
      </c>
      <c r="D173" s="26">
        <v>25</v>
      </c>
      <c r="E173"/>
    </row>
    <row r="174" spans="2:5">
      <c r="C174" t="s">
        <v>6129</v>
      </c>
      <c r="D174" s="26">
        <v>149</v>
      </c>
      <c r="E174"/>
    </row>
    <row r="175" spans="2:5">
      <c r="C175" t="s">
        <v>7286</v>
      </c>
      <c r="D175" s="26">
        <v>58.2</v>
      </c>
      <c r="E175"/>
    </row>
    <row r="176" spans="2:5">
      <c r="B176" t="s">
        <v>41</v>
      </c>
      <c r="D176" s="26">
        <v>36.599999999999994</v>
      </c>
      <c r="E176"/>
    </row>
    <row r="177" spans="2:5">
      <c r="C177" t="s">
        <v>6389</v>
      </c>
      <c r="D177" s="26">
        <v>36.599999999999994</v>
      </c>
      <c r="E177"/>
    </row>
    <row r="178" spans="2:5">
      <c r="B178" t="s">
        <v>40</v>
      </c>
      <c r="D178" s="26">
        <v>1578.5100000000002</v>
      </c>
      <c r="E178"/>
    </row>
    <row r="179" spans="2:5">
      <c r="C179" t="s">
        <v>1267</v>
      </c>
      <c r="D179" s="26">
        <v>31</v>
      </c>
      <c r="E179"/>
    </row>
    <row r="180" spans="2:5">
      <c r="C180" t="s">
        <v>5756</v>
      </c>
      <c r="D180" s="26">
        <v>43.550000000000004</v>
      </c>
      <c r="E180"/>
    </row>
    <row r="181" spans="2:5">
      <c r="C181" t="s">
        <v>5958</v>
      </c>
      <c r="D181" s="26">
        <v>21.26</v>
      </c>
      <c r="E181"/>
    </row>
    <row r="182" spans="2:5">
      <c r="C182" t="s">
        <v>6071</v>
      </c>
      <c r="D182" s="26">
        <v>93</v>
      </c>
      <c r="E182"/>
    </row>
    <row r="183" spans="2:5">
      <c r="C183" t="s">
        <v>6199</v>
      </c>
      <c r="D183" s="26">
        <v>165</v>
      </c>
      <c r="E183"/>
    </row>
    <row r="184" spans="2:5">
      <c r="C184" t="s">
        <v>6509</v>
      </c>
      <c r="D184" s="26">
        <v>3.29</v>
      </c>
      <c r="E184"/>
    </row>
    <row r="185" spans="2:5">
      <c r="C185" t="s">
        <v>6319</v>
      </c>
      <c r="D185" s="26">
        <v>48.72</v>
      </c>
      <c r="E185"/>
    </row>
    <row r="186" spans="2:5">
      <c r="C186" t="s">
        <v>6227</v>
      </c>
      <c r="D186" s="26">
        <v>121.38</v>
      </c>
      <c r="E186"/>
    </row>
    <row r="187" spans="2:5">
      <c r="C187" t="s">
        <v>6340</v>
      </c>
      <c r="D187" s="26">
        <v>37.29</v>
      </c>
      <c r="E187"/>
    </row>
    <row r="188" spans="2:5">
      <c r="C188" t="s">
        <v>6145</v>
      </c>
      <c r="D188" s="26">
        <v>480</v>
      </c>
      <c r="E188"/>
    </row>
    <row r="189" spans="2:5">
      <c r="C189" t="s">
        <v>6370</v>
      </c>
      <c r="D189" s="26">
        <v>27.53</v>
      </c>
      <c r="E189"/>
    </row>
    <row r="190" spans="2:5">
      <c r="C190" t="s">
        <v>6242</v>
      </c>
      <c r="D190" s="26">
        <v>103</v>
      </c>
      <c r="E190"/>
    </row>
    <row r="191" spans="2:5">
      <c r="C191" t="s">
        <v>6468</v>
      </c>
      <c r="D191" s="26">
        <v>8.75</v>
      </c>
      <c r="E191"/>
    </row>
    <row r="192" spans="2:5">
      <c r="C192" t="s">
        <v>6186</v>
      </c>
      <c r="D192" s="26">
        <v>230.38</v>
      </c>
      <c r="E192"/>
    </row>
    <row r="193" spans="2:5">
      <c r="C193" t="s">
        <v>6200</v>
      </c>
      <c r="D193" s="26">
        <v>164.36</v>
      </c>
      <c r="E193"/>
    </row>
    <row r="194" spans="2:5">
      <c r="B194" t="s">
        <v>28</v>
      </c>
      <c r="D194" s="26">
        <v>4768.3900000000003</v>
      </c>
      <c r="E194"/>
    </row>
    <row r="195" spans="2:5">
      <c r="C195" t="s">
        <v>648</v>
      </c>
      <c r="D195" s="26">
        <v>1196.3399999999999</v>
      </c>
      <c r="E195"/>
    </row>
    <row r="196" spans="2:5">
      <c r="C196" t="s">
        <v>782</v>
      </c>
      <c r="D196" s="26">
        <v>1.36</v>
      </c>
      <c r="E196"/>
    </row>
    <row r="197" spans="2:5">
      <c r="C197" t="s">
        <v>945</v>
      </c>
      <c r="D197" s="26">
        <v>42.6</v>
      </c>
      <c r="E197"/>
    </row>
    <row r="198" spans="2:5">
      <c r="C198" t="s">
        <v>2135</v>
      </c>
      <c r="D198" s="26">
        <v>28.13</v>
      </c>
      <c r="E198"/>
    </row>
    <row r="199" spans="2:5">
      <c r="C199" t="s">
        <v>4887</v>
      </c>
      <c r="D199" s="26">
        <v>344.63999999999993</v>
      </c>
      <c r="E199"/>
    </row>
    <row r="200" spans="2:5">
      <c r="C200" t="s">
        <v>5759</v>
      </c>
      <c r="D200" s="26">
        <v>1637.98</v>
      </c>
      <c r="E200"/>
    </row>
    <row r="201" spans="2:5">
      <c r="C201" t="s">
        <v>5788</v>
      </c>
      <c r="D201" s="26">
        <v>340.64</v>
      </c>
      <c r="E201"/>
    </row>
    <row r="202" spans="2:5">
      <c r="C202" t="s">
        <v>5818</v>
      </c>
      <c r="D202" s="26">
        <v>85.289999999999992</v>
      </c>
      <c r="E202"/>
    </row>
    <row r="203" spans="2:5">
      <c r="C203" t="s">
        <v>5886</v>
      </c>
      <c r="D203" s="26">
        <v>82.5</v>
      </c>
      <c r="E203"/>
    </row>
    <row r="204" spans="2:5">
      <c r="C204" t="s">
        <v>5898</v>
      </c>
      <c r="D204" s="26">
        <v>232.97000000000003</v>
      </c>
      <c r="E204"/>
    </row>
    <row r="205" spans="2:5">
      <c r="C205" t="s">
        <v>5998</v>
      </c>
      <c r="D205" s="26">
        <v>108.39</v>
      </c>
      <c r="E205"/>
    </row>
    <row r="206" spans="2:5">
      <c r="C206" t="s">
        <v>6035</v>
      </c>
      <c r="D206" s="26">
        <v>3.22</v>
      </c>
      <c r="E206"/>
    </row>
    <row r="207" spans="2:5">
      <c r="C207" t="s">
        <v>6502</v>
      </c>
      <c r="D207" s="26">
        <v>4.1399999999999997</v>
      </c>
      <c r="E207"/>
    </row>
    <row r="208" spans="2:5">
      <c r="C208" t="s">
        <v>6472</v>
      </c>
      <c r="D208" s="26">
        <v>7.95</v>
      </c>
      <c r="E208"/>
    </row>
    <row r="209" spans="2:5">
      <c r="C209" t="s">
        <v>6326</v>
      </c>
      <c r="D209" s="26">
        <v>45.84</v>
      </c>
      <c r="E209"/>
    </row>
    <row r="210" spans="2:5">
      <c r="C210" t="s">
        <v>6303</v>
      </c>
      <c r="D210" s="26">
        <v>54.59</v>
      </c>
      <c r="E210"/>
    </row>
    <row r="211" spans="2:5">
      <c r="C211" t="s">
        <v>6343</v>
      </c>
      <c r="D211" s="26">
        <v>35.5</v>
      </c>
      <c r="E211"/>
    </row>
    <row r="212" spans="2:5">
      <c r="C212" t="s">
        <v>6176</v>
      </c>
      <c r="D212" s="26">
        <v>295.04000000000002</v>
      </c>
      <c r="E212"/>
    </row>
    <row r="213" spans="2:5">
      <c r="C213" t="s">
        <v>6285</v>
      </c>
      <c r="D213" s="26">
        <v>66.47</v>
      </c>
      <c r="E213"/>
    </row>
    <row r="214" spans="2:5">
      <c r="C214" t="s">
        <v>6271</v>
      </c>
      <c r="D214" s="26">
        <v>138.26999999999998</v>
      </c>
      <c r="E214"/>
    </row>
    <row r="215" spans="2:5">
      <c r="C215" t="s">
        <v>6424</v>
      </c>
      <c r="D215" s="26">
        <v>16.53</v>
      </c>
      <c r="E215"/>
    </row>
    <row r="216" spans="2:5">
      <c r="B216" t="s">
        <v>48</v>
      </c>
      <c r="D216" s="26">
        <v>1282.8200000000002</v>
      </c>
      <c r="E216"/>
    </row>
    <row r="217" spans="2:5">
      <c r="C217" t="s">
        <v>103</v>
      </c>
      <c r="D217" s="26">
        <v>425.90999999999997</v>
      </c>
      <c r="E217"/>
    </row>
    <row r="218" spans="2:5">
      <c r="C218" t="s">
        <v>6228</v>
      </c>
      <c r="D218" s="26">
        <v>119</v>
      </c>
      <c r="E218"/>
    </row>
    <row r="219" spans="2:5">
      <c r="C219" t="s">
        <v>6164</v>
      </c>
      <c r="D219" s="26">
        <v>451.57</v>
      </c>
      <c r="E219"/>
    </row>
    <row r="220" spans="2:5">
      <c r="C220" t="s">
        <v>6456</v>
      </c>
      <c r="D220" s="26">
        <v>10.76</v>
      </c>
      <c r="E220"/>
    </row>
    <row r="221" spans="2:5">
      <c r="C221" t="s">
        <v>6293</v>
      </c>
      <c r="D221" s="26">
        <v>60.19</v>
      </c>
      <c r="E221"/>
    </row>
    <row r="222" spans="2:5">
      <c r="C222" t="s">
        <v>6300</v>
      </c>
      <c r="D222" s="26">
        <v>55.89</v>
      </c>
      <c r="E222"/>
    </row>
    <row r="223" spans="2:5">
      <c r="C223" t="s">
        <v>6203</v>
      </c>
      <c r="D223" s="26">
        <v>159.5</v>
      </c>
      <c r="E223"/>
    </row>
    <row r="224" spans="2:5">
      <c r="B224" t="s">
        <v>50</v>
      </c>
      <c r="D224" s="26">
        <v>86651.83</v>
      </c>
      <c r="E224"/>
    </row>
    <row r="225" spans="2:5">
      <c r="C225" t="s">
        <v>6123</v>
      </c>
      <c r="D225" s="26">
        <v>1953.5</v>
      </c>
      <c r="E225"/>
    </row>
    <row r="226" spans="2:5">
      <c r="C226" t="s">
        <v>6114</v>
      </c>
      <c r="D226" s="26">
        <v>17568</v>
      </c>
      <c r="E226"/>
    </row>
    <row r="227" spans="2:5">
      <c r="C227" t="s">
        <v>6146</v>
      </c>
      <c r="D227" s="26">
        <v>459</v>
      </c>
      <c r="E227"/>
    </row>
    <row r="228" spans="2:5">
      <c r="C228" t="s">
        <v>6116</v>
      </c>
      <c r="D228" s="26">
        <v>11229.5</v>
      </c>
      <c r="E228"/>
    </row>
    <row r="229" spans="2:5">
      <c r="C229" t="s">
        <v>6115</v>
      </c>
      <c r="D229" s="26">
        <v>13279.5</v>
      </c>
      <c r="E229"/>
    </row>
    <row r="230" spans="2:5">
      <c r="C230" t="s">
        <v>6117</v>
      </c>
      <c r="D230" s="26">
        <v>8690</v>
      </c>
      <c r="E230"/>
    </row>
    <row r="231" spans="2:5">
      <c r="C231" t="s">
        <v>6112</v>
      </c>
      <c r="D231" s="26">
        <v>30245.75</v>
      </c>
      <c r="E231"/>
    </row>
    <row r="232" spans="2:5">
      <c r="C232" t="s">
        <v>6308</v>
      </c>
      <c r="D232" s="26">
        <v>53.01</v>
      </c>
      <c r="E232"/>
    </row>
    <row r="233" spans="2:5">
      <c r="C233" t="s">
        <v>6118</v>
      </c>
      <c r="D233" s="26">
        <v>3000</v>
      </c>
      <c r="E233"/>
    </row>
    <row r="234" spans="2:5">
      <c r="C234" t="s">
        <v>6323</v>
      </c>
      <c r="D234" s="26">
        <v>46.6</v>
      </c>
      <c r="E234"/>
    </row>
    <row r="235" spans="2:5">
      <c r="C235" t="s">
        <v>6223</v>
      </c>
      <c r="D235" s="26">
        <v>126.97</v>
      </c>
      <c r="E235"/>
    </row>
    <row r="236" spans="2:5">
      <c r="B236" t="s">
        <v>2</v>
      </c>
      <c r="D236" s="26">
        <v>1492.18</v>
      </c>
      <c r="E236"/>
    </row>
    <row r="237" spans="2:5">
      <c r="C237" t="s">
        <v>1849</v>
      </c>
      <c r="D237" s="26">
        <v>143.58000000000001</v>
      </c>
      <c r="E237"/>
    </row>
    <row r="238" spans="2:5">
      <c r="C238" t="s">
        <v>5750</v>
      </c>
      <c r="D238" s="26">
        <v>310.36</v>
      </c>
      <c r="E238"/>
    </row>
    <row r="239" spans="2:5">
      <c r="C239" t="s">
        <v>5884</v>
      </c>
      <c r="D239" s="26">
        <v>45.09</v>
      </c>
      <c r="E239"/>
    </row>
    <row r="240" spans="2:5">
      <c r="C240" t="s">
        <v>5894</v>
      </c>
      <c r="D240" s="26">
        <v>355.04</v>
      </c>
      <c r="E240"/>
    </row>
    <row r="241" spans="2:5">
      <c r="C241" t="s">
        <v>6453</v>
      </c>
      <c r="D241" s="26">
        <v>11</v>
      </c>
      <c r="E241"/>
    </row>
    <row r="242" spans="2:5">
      <c r="C242" t="s">
        <v>6452</v>
      </c>
      <c r="D242" s="26">
        <v>11</v>
      </c>
      <c r="E242"/>
    </row>
    <row r="243" spans="2:5">
      <c r="C243" t="s">
        <v>6451</v>
      </c>
      <c r="D243" s="26">
        <v>11</v>
      </c>
      <c r="E243"/>
    </row>
    <row r="244" spans="2:5">
      <c r="C244" t="s">
        <v>6450</v>
      </c>
      <c r="D244" s="26">
        <v>11</v>
      </c>
      <c r="E244"/>
    </row>
    <row r="245" spans="2:5">
      <c r="C245" t="s">
        <v>6449</v>
      </c>
      <c r="D245" s="26">
        <v>11</v>
      </c>
      <c r="E245"/>
    </row>
    <row r="246" spans="2:5">
      <c r="C246" t="s">
        <v>6404</v>
      </c>
      <c r="D246" s="26">
        <v>38.769999999999996</v>
      </c>
      <c r="E246"/>
    </row>
    <row r="247" spans="2:5">
      <c r="C247" t="s">
        <v>6323</v>
      </c>
      <c r="D247" s="26">
        <v>35.21</v>
      </c>
      <c r="E247"/>
    </row>
    <row r="248" spans="2:5">
      <c r="C248" t="s">
        <v>6350</v>
      </c>
      <c r="D248" s="26">
        <v>31.41</v>
      </c>
      <c r="E248"/>
    </row>
    <row r="249" spans="2:5">
      <c r="C249" t="s">
        <v>6184</v>
      </c>
      <c r="D249" s="26">
        <v>234.19</v>
      </c>
    </row>
    <row r="250" spans="2:5">
      <c r="C250" t="s">
        <v>6305</v>
      </c>
      <c r="D250" s="26">
        <v>84</v>
      </c>
    </row>
    <row r="251" spans="2:5">
      <c r="C251" t="s">
        <v>6441</v>
      </c>
      <c r="D251" s="26">
        <v>12.02</v>
      </c>
    </row>
    <row r="252" spans="2:5">
      <c r="C252" t="s">
        <v>6219</v>
      </c>
      <c r="D252" s="26">
        <v>136.34</v>
      </c>
    </row>
    <row r="253" spans="2:5">
      <c r="C253" t="s">
        <v>6448</v>
      </c>
      <c r="D253" s="26">
        <v>11.17</v>
      </c>
    </row>
    <row r="254" spans="2:5">
      <c r="B254" t="s">
        <v>18</v>
      </c>
      <c r="D254" s="26">
        <v>816.18000000000006</v>
      </c>
    </row>
    <row r="255" spans="2:5">
      <c r="C255" t="s">
        <v>4356</v>
      </c>
      <c r="D255" s="26">
        <v>816.18000000000006</v>
      </c>
    </row>
    <row r="256" spans="2:5">
      <c r="B256" t="s">
        <v>29</v>
      </c>
      <c r="D256" s="26">
        <v>234</v>
      </c>
    </row>
    <row r="257" spans="2:4">
      <c r="C257" t="s">
        <v>808</v>
      </c>
      <c r="D257" s="26">
        <v>234</v>
      </c>
    </row>
    <row r="258" spans="2:4">
      <c r="B258" t="s">
        <v>5</v>
      </c>
      <c r="D258" s="26">
        <v>12751.76</v>
      </c>
    </row>
    <row r="259" spans="2:4">
      <c r="C259" t="s">
        <v>1460</v>
      </c>
      <c r="D259" s="26">
        <v>13727.15</v>
      </c>
    </row>
    <row r="260" spans="2:4">
      <c r="C260" t="s">
        <v>6531</v>
      </c>
      <c r="D260" s="26">
        <v>-998.67</v>
      </c>
    </row>
    <row r="261" spans="2:4">
      <c r="C261" t="s">
        <v>6400</v>
      </c>
      <c r="D261" s="26">
        <v>23.28</v>
      </c>
    </row>
    <row r="262" spans="2:4">
      <c r="B262" t="s">
        <v>26</v>
      </c>
      <c r="D262" s="26">
        <v>7633.9300000000012</v>
      </c>
    </row>
    <row r="263" spans="2:4">
      <c r="C263" t="s">
        <v>690</v>
      </c>
      <c r="D263" s="26">
        <v>20.02</v>
      </c>
    </row>
    <row r="264" spans="2:4">
      <c r="C264" t="s">
        <v>1188</v>
      </c>
      <c r="D264" s="26">
        <v>11.32</v>
      </c>
    </row>
    <row r="265" spans="2:4">
      <c r="C265" t="s">
        <v>1773</v>
      </c>
      <c r="D265" s="26">
        <v>122.23</v>
      </c>
    </row>
    <row r="266" spans="2:4">
      <c r="C266" t="s">
        <v>5244</v>
      </c>
      <c r="D266" s="26">
        <v>100.69</v>
      </c>
    </row>
    <row r="267" spans="2:4">
      <c r="C267" t="s">
        <v>5605</v>
      </c>
      <c r="D267" s="26">
        <v>19.989999999999998</v>
      </c>
    </row>
    <row r="268" spans="2:4">
      <c r="C268" t="s">
        <v>5532</v>
      </c>
      <c r="D268" s="26">
        <v>3.96</v>
      </c>
    </row>
    <row r="269" spans="2:4">
      <c r="C269" t="s">
        <v>5760</v>
      </c>
      <c r="D269" s="26">
        <v>11.37</v>
      </c>
    </row>
    <row r="270" spans="2:4">
      <c r="C270" t="s">
        <v>5771</v>
      </c>
      <c r="D270" s="26">
        <v>41.87</v>
      </c>
    </row>
    <row r="271" spans="2:4">
      <c r="C271" t="s">
        <v>5772</v>
      </c>
      <c r="D271" s="26">
        <v>96.69</v>
      </c>
    </row>
    <row r="272" spans="2:4">
      <c r="C272" t="s">
        <v>5816</v>
      </c>
      <c r="D272" s="26">
        <v>123.92</v>
      </c>
    </row>
    <row r="273" spans="3:4">
      <c r="C273" t="s">
        <v>5849</v>
      </c>
      <c r="D273" s="26">
        <v>35.380000000000003</v>
      </c>
    </row>
    <row r="274" spans="3:4">
      <c r="C274" t="s">
        <v>5862</v>
      </c>
      <c r="D274" s="26">
        <v>61.78</v>
      </c>
    </row>
    <row r="275" spans="3:4">
      <c r="C275" t="s">
        <v>5883</v>
      </c>
      <c r="D275" s="26">
        <v>21.7</v>
      </c>
    </row>
    <row r="276" spans="3:4">
      <c r="C276" t="s">
        <v>5897</v>
      </c>
      <c r="D276" s="26">
        <v>12.61</v>
      </c>
    </row>
    <row r="277" spans="3:4">
      <c r="C277" t="s">
        <v>5925</v>
      </c>
      <c r="D277" s="26">
        <v>20.25</v>
      </c>
    </row>
    <row r="278" spans="3:4">
      <c r="C278" t="s">
        <v>5941</v>
      </c>
      <c r="D278" s="26">
        <v>8.16</v>
      </c>
    </row>
    <row r="279" spans="3:4">
      <c r="C279" t="s">
        <v>5943</v>
      </c>
      <c r="D279" s="26">
        <v>144.84</v>
      </c>
    </row>
    <row r="280" spans="3:4">
      <c r="C280" t="s">
        <v>5977</v>
      </c>
      <c r="D280" s="26">
        <v>31.090000000000003</v>
      </c>
    </row>
    <row r="281" spans="3:4">
      <c r="C281" t="s">
        <v>5990</v>
      </c>
      <c r="D281" s="26">
        <v>62.26</v>
      </c>
    </row>
    <row r="282" spans="3:4">
      <c r="C282" t="s">
        <v>6069</v>
      </c>
      <c r="D282" s="26">
        <v>59.09</v>
      </c>
    </row>
    <row r="283" spans="3:4">
      <c r="C283" t="s">
        <v>6381</v>
      </c>
      <c r="D283" s="26">
        <v>25</v>
      </c>
    </row>
    <row r="284" spans="3:4">
      <c r="C284" t="s">
        <v>6427</v>
      </c>
      <c r="D284" s="26">
        <v>16</v>
      </c>
    </row>
    <row r="285" spans="3:4">
      <c r="C285" t="s">
        <v>6433</v>
      </c>
      <c r="D285" s="26">
        <v>15</v>
      </c>
    </row>
    <row r="286" spans="3:4">
      <c r="C286" t="s">
        <v>6428</v>
      </c>
      <c r="D286" s="26">
        <v>15.87</v>
      </c>
    </row>
    <row r="287" spans="3:4">
      <c r="C287" t="s">
        <v>6353</v>
      </c>
      <c r="D287" s="26">
        <v>30.99</v>
      </c>
    </row>
    <row r="288" spans="3:4">
      <c r="C288" t="s">
        <v>6292</v>
      </c>
      <c r="D288" s="26">
        <v>60.91</v>
      </c>
    </row>
    <row r="289" spans="3:4">
      <c r="C289" t="s">
        <v>6527</v>
      </c>
      <c r="D289" s="26">
        <v>-99.17</v>
      </c>
    </row>
    <row r="290" spans="3:4">
      <c r="C290" t="s">
        <v>6240</v>
      </c>
      <c r="D290" s="26">
        <v>104.45</v>
      </c>
    </row>
    <row r="291" spans="3:4">
      <c r="C291" t="s">
        <v>6302</v>
      </c>
      <c r="D291" s="26">
        <v>54.98</v>
      </c>
    </row>
    <row r="292" spans="3:4">
      <c r="C292" t="s">
        <v>6348</v>
      </c>
      <c r="D292" s="26">
        <v>32</v>
      </c>
    </row>
    <row r="293" spans="3:4">
      <c r="C293" t="s">
        <v>6324</v>
      </c>
      <c r="D293" s="26">
        <v>46.58</v>
      </c>
    </row>
    <row r="294" spans="3:4">
      <c r="C294" t="s">
        <v>6365</v>
      </c>
      <c r="D294" s="26">
        <v>28.62</v>
      </c>
    </row>
    <row r="295" spans="3:4">
      <c r="C295" t="s">
        <v>6435</v>
      </c>
      <c r="D295" s="26">
        <v>14.42</v>
      </c>
    </row>
    <row r="296" spans="3:4">
      <c r="C296" t="s">
        <v>6273</v>
      </c>
      <c r="D296" s="26">
        <v>76.58</v>
      </c>
    </row>
    <row r="297" spans="3:4">
      <c r="C297" t="s">
        <v>6463</v>
      </c>
      <c r="D297" s="26">
        <v>9.83</v>
      </c>
    </row>
    <row r="298" spans="3:4">
      <c r="C298" t="s">
        <v>6312</v>
      </c>
      <c r="D298" s="26">
        <v>51.62</v>
      </c>
    </row>
    <row r="299" spans="3:4">
      <c r="C299" t="s">
        <v>6233</v>
      </c>
      <c r="D299" s="26">
        <v>110.17</v>
      </c>
    </row>
    <row r="300" spans="3:4">
      <c r="C300" t="s">
        <v>6388</v>
      </c>
      <c r="D300" s="26">
        <v>24.43</v>
      </c>
    </row>
    <row r="301" spans="3:4">
      <c r="C301" t="s">
        <v>6410</v>
      </c>
      <c r="D301" s="26">
        <v>20.51</v>
      </c>
    </row>
    <row r="302" spans="3:4">
      <c r="C302" t="s">
        <v>6214</v>
      </c>
      <c r="D302" s="26">
        <v>148.4</v>
      </c>
    </row>
    <row r="303" spans="3:4">
      <c r="C303" t="s">
        <v>6346</v>
      </c>
      <c r="D303" s="26">
        <v>34</v>
      </c>
    </row>
    <row r="304" spans="3:4">
      <c r="C304" t="s">
        <v>6304</v>
      </c>
      <c r="D304" s="26">
        <v>54</v>
      </c>
    </row>
    <row r="305" spans="3:4">
      <c r="C305" t="s">
        <v>6336</v>
      </c>
      <c r="D305" s="26">
        <v>39</v>
      </c>
    </row>
    <row r="306" spans="3:4">
      <c r="C306" t="s">
        <v>6420</v>
      </c>
      <c r="D306" s="26">
        <v>18.170000000000002</v>
      </c>
    </row>
    <row r="307" spans="3:4">
      <c r="C307" t="s">
        <v>6178</v>
      </c>
      <c r="D307" s="26">
        <v>272.37</v>
      </c>
    </row>
    <row r="308" spans="3:4">
      <c r="C308" t="s">
        <v>6406</v>
      </c>
      <c r="D308" s="26">
        <v>22</v>
      </c>
    </row>
    <row r="309" spans="3:4">
      <c r="C309" t="s">
        <v>6301</v>
      </c>
      <c r="D309" s="26">
        <v>55.39</v>
      </c>
    </row>
    <row r="310" spans="3:4">
      <c r="C310" t="s">
        <v>6479</v>
      </c>
      <c r="D310" s="26">
        <v>6.53</v>
      </c>
    </row>
    <row r="311" spans="3:4">
      <c r="C311" t="s">
        <v>6354</v>
      </c>
      <c r="D311" s="26">
        <v>30.81</v>
      </c>
    </row>
    <row r="312" spans="3:4">
      <c r="C312" t="s">
        <v>6462</v>
      </c>
      <c r="D312" s="26">
        <v>9.85</v>
      </c>
    </row>
    <row r="313" spans="3:4">
      <c r="C313" t="s">
        <v>6256</v>
      </c>
      <c r="D313" s="26">
        <v>87.9</v>
      </c>
    </row>
    <row r="314" spans="3:4">
      <c r="C314" t="s">
        <v>6363</v>
      </c>
      <c r="D314" s="26">
        <v>28.89</v>
      </c>
    </row>
    <row r="315" spans="3:4">
      <c r="C315" t="s">
        <v>6339</v>
      </c>
      <c r="D315" s="26">
        <v>38.03</v>
      </c>
    </row>
    <row r="316" spans="3:4">
      <c r="C316" t="s">
        <v>6442</v>
      </c>
      <c r="D316" s="26">
        <v>12</v>
      </c>
    </row>
    <row r="317" spans="3:4">
      <c r="C317" t="s">
        <v>6429</v>
      </c>
      <c r="D317" s="26">
        <v>15.49</v>
      </c>
    </row>
    <row r="318" spans="3:4">
      <c r="C318" t="s">
        <v>6488</v>
      </c>
      <c r="D318" s="26">
        <v>11.24</v>
      </c>
    </row>
    <row r="319" spans="3:4">
      <c r="C319" t="s">
        <v>6342</v>
      </c>
      <c r="D319" s="26">
        <v>35.83</v>
      </c>
    </row>
    <row r="320" spans="3:4">
      <c r="C320" t="s">
        <v>6405</v>
      </c>
      <c r="D320" s="26">
        <v>22.48</v>
      </c>
    </row>
    <row r="321" spans="3:4">
      <c r="C321" t="s">
        <v>6521</v>
      </c>
      <c r="D321" s="26">
        <v>-13.01</v>
      </c>
    </row>
    <row r="322" spans="3:4">
      <c r="C322" t="s">
        <v>6330</v>
      </c>
      <c r="D322" s="26">
        <v>42.98</v>
      </c>
    </row>
    <row r="323" spans="3:4">
      <c r="C323" t="s">
        <v>6404</v>
      </c>
      <c r="D323" s="26">
        <v>-15.44</v>
      </c>
    </row>
    <row r="324" spans="3:4">
      <c r="C324" t="s">
        <v>6309</v>
      </c>
      <c r="D324" s="26">
        <v>132.10999999999999</v>
      </c>
    </row>
    <row r="325" spans="3:4">
      <c r="C325" t="s">
        <v>6323</v>
      </c>
      <c r="D325" s="26">
        <v>-42.99</v>
      </c>
    </row>
    <row r="326" spans="3:4">
      <c r="C326" t="s">
        <v>6310</v>
      </c>
      <c r="D326" s="26">
        <v>52.67</v>
      </c>
    </row>
    <row r="327" spans="3:4">
      <c r="C327" t="s">
        <v>6193</v>
      </c>
      <c r="D327" s="26">
        <v>198</v>
      </c>
    </row>
    <row r="328" spans="3:4">
      <c r="C328" t="s">
        <v>6374</v>
      </c>
      <c r="D328" s="26">
        <v>25.93</v>
      </c>
    </row>
    <row r="329" spans="3:4">
      <c r="C329" t="s">
        <v>6350</v>
      </c>
      <c r="D329" s="26">
        <v>12.43</v>
      </c>
    </row>
    <row r="330" spans="3:4">
      <c r="C330" t="s">
        <v>6478</v>
      </c>
      <c r="D330" s="26">
        <v>6.73</v>
      </c>
    </row>
    <row r="331" spans="3:4">
      <c r="C331" t="s">
        <v>6362</v>
      </c>
      <c r="D331" s="26">
        <v>57</v>
      </c>
    </row>
    <row r="332" spans="3:4">
      <c r="C332" t="s">
        <v>6422</v>
      </c>
      <c r="D332" s="26">
        <v>27.73</v>
      </c>
    </row>
    <row r="333" spans="3:4">
      <c r="C333" t="s">
        <v>6289</v>
      </c>
      <c r="D333" s="26">
        <v>78.180000000000007</v>
      </c>
    </row>
    <row r="334" spans="3:4">
      <c r="C334" t="s">
        <v>6352</v>
      </c>
      <c r="D334" s="26">
        <v>39.71</v>
      </c>
    </row>
    <row r="335" spans="3:4">
      <c r="C335" t="s">
        <v>6322</v>
      </c>
      <c r="D335" s="26">
        <v>46.89</v>
      </c>
    </row>
    <row r="336" spans="3:4">
      <c r="C336" t="s">
        <v>6196</v>
      </c>
      <c r="D336" s="26">
        <v>192.86</v>
      </c>
    </row>
    <row r="337" spans="3:4">
      <c r="C337" t="s">
        <v>6321</v>
      </c>
      <c r="D337" s="26">
        <v>92.759999999999991</v>
      </c>
    </row>
    <row r="338" spans="3:4">
      <c r="C338" t="s">
        <v>6473</v>
      </c>
      <c r="D338" s="26">
        <v>7.72</v>
      </c>
    </row>
    <row r="339" spans="3:4">
      <c r="C339" t="s">
        <v>6230</v>
      </c>
      <c r="D339" s="26">
        <v>137.94999999999999</v>
      </c>
    </row>
    <row r="340" spans="3:4">
      <c r="C340" t="s">
        <v>6446</v>
      </c>
      <c r="D340" s="26">
        <v>11.75</v>
      </c>
    </row>
    <row r="341" spans="3:4">
      <c r="C341" t="s">
        <v>6475</v>
      </c>
      <c r="D341" s="26">
        <v>7.42</v>
      </c>
    </row>
    <row r="342" spans="3:4">
      <c r="C342" t="s">
        <v>6367</v>
      </c>
      <c r="D342" s="26">
        <v>28.32</v>
      </c>
    </row>
    <row r="343" spans="3:4">
      <c r="C343" t="s">
        <v>6457</v>
      </c>
      <c r="D343" s="26">
        <v>10.48</v>
      </c>
    </row>
    <row r="344" spans="3:4">
      <c r="C344" t="s">
        <v>6398</v>
      </c>
      <c r="D344" s="26">
        <v>23.48</v>
      </c>
    </row>
    <row r="345" spans="3:4">
      <c r="C345" t="s">
        <v>6320</v>
      </c>
      <c r="D345" s="26">
        <v>48.68</v>
      </c>
    </row>
    <row r="346" spans="3:4">
      <c r="C346" t="s">
        <v>6220</v>
      </c>
      <c r="D346" s="26">
        <v>136.07</v>
      </c>
    </row>
    <row r="347" spans="3:4">
      <c r="C347" t="s">
        <v>6334</v>
      </c>
      <c r="D347" s="26">
        <v>40.14</v>
      </c>
    </row>
    <row r="348" spans="3:4">
      <c r="C348" t="s">
        <v>6179</v>
      </c>
      <c r="D348" s="26">
        <v>260.99</v>
      </c>
    </row>
    <row r="349" spans="3:4">
      <c r="C349" t="s">
        <v>6197</v>
      </c>
      <c r="D349" s="26">
        <v>181.05</v>
      </c>
    </row>
    <row r="350" spans="3:4">
      <c r="C350" t="s">
        <v>6489</v>
      </c>
      <c r="D350" s="26">
        <v>6.06</v>
      </c>
    </row>
    <row r="351" spans="3:4">
      <c r="C351" t="s">
        <v>6359</v>
      </c>
      <c r="D351" s="26">
        <v>29.82</v>
      </c>
    </row>
    <row r="352" spans="3:4">
      <c r="C352" t="s">
        <v>6187</v>
      </c>
      <c r="D352" s="26">
        <v>227.74</v>
      </c>
    </row>
    <row r="353" spans="3:4">
      <c r="C353" t="s">
        <v>6259</v>
      </c>
      <c r="D353" s="26">
        <v>96.81</v>
      </c>
    </row>
    <row r="354" spans="3:4">
      <c r="C354" t="s">
        <v>6461</v>
      </c>
      <c r="D354" s="26">
        <v>10</v>
      </c>
    </row>
    <row r="355" spans="3:4">
      <c r="C355" t="s">
        <v>6269</v>
      </c>
      <c r="D355" s="26">
        <v>80</v>
      </c>
    </row>
    <row r="356" spans="3:4">
      <c r="C356" t="s">
        <v>6514</v>
      </c>
      <c r="D356" s="26">
        <v>2.16</v>
      </c>
    </row>
    <row r="357" spans="3:4">
      <c r="C357" t="s">
        <v>6251</v>
      </c>
      <c r="D357" s="26">
        <v>94.04</v>
      </c>
    </row>
    <row r="358" spans="3:4">
      <c r="C358" t="s">
        <v>6331</v>
      </c>
      <c r="D358" s="26">
        <v>42.91</v>
      </c>
    </row>
    <row r="359" spans="3:4">
      <c r="C359" t="s">
        <v>6492</v>
      </c>
      <c r="D359" s="26">
        <v>5.68</v>
      </c>
    </row>
    <row r="360" spans="3:4">
      <c r="C360" t="s">
        <v>6364</v>
      </c>
      <c r="D360" s="26">
        <v>28.73</v>
      </c>
    </row>
    <row r="361" spans="3:4">
      <c r="C361" t="s">
        <v>6317</v>
      </c>
      <c r="D361" s="26">
        <v>50.2</v>
      </c>
    </row>
    <row r="362" spans="3:4">
      <c r="C362" t="s">
        <v>6412</v>
      </c>
      <c r="D362" s="26">
        <v>20</v>
      </c>
    </row>
    <row r="363" spans="3:4">
      <c r="C363" t="s">
        <v>6328</v>
      </c>
      <c r="D363" s="26">
        <v>43.72</v>
      </c>
    </row>
    <row r="364" spans="3:4">
      <c r="C364" t="s">
        <v>6369</v>
      </c>
      <c r="D364" s="26">
        <v>27.6</v>
      </c>
    </row>
    <row r="365" spans="3:4">
      <c r="C365" t="s">
        <v>6349</v>
      </c>
      <c r="D365" s="26">
        <v>31.98</v>
      </c>
    </row>
    <row r="366" spans="3:4">
      <c r="C366" t="s">
        <v>6508</v>
      </c>
      <c r="D366" s="26">
        <v>3.5</v>
      </c>
    </row>
    <row r="367" spans="3:4">
      <c r="C367" t="s">
        <v>6371</v>
      </c>
      <c r="D367" s="26">
        <v>27</v>
      </c>
    </row>
    <row r="368" spans="3:4">
      <c r="C368" t="s">
        <v>6290</v>
      </c>
      <c r="D368" s="26">
        <v>62.34</v>
      </c>
    </row>
    <row r="369" spans="3:4">
      <c r="C369" t="s">
        <v>6172</v>
      </c>
      <c r="D369" s="26">
        <v>323.89999999999998</v>
      </c>
    </row>
    <row r="370" spans="3:4">
      <c r="C370" t="s">
        <v>6294</v>
      </c>
      <c r="D370" s="26">
        <v>60</v>
      </c>
    </row>
    <row r="371" spans="3:4">
      <c r="C371" t="s">
        <v>6229</v>
      </c>
      <c r="D371" s="26">
        <v>118.08</v>
      </c>
    </row>
    <row r="372" spans="3:4">
      <c r="C372" t="s">
        <v>6204</v>
      </c>
      <c r="D372" s="26">
        <v>291.57000000000005</v>
      </c>
    </row>
    <row r="373" spans="3:4">
      <c r="C373" t="s">
        <v>6191</v>
      </c>
      <c r="D373" s="26">
        <v>421</v>
      </c>
    </row>
    <row r="374" spans="3:4">
      <c r="C374" t="s">
        <v>6432</v>
      </c>
      <c r="D374" s="26">
        <v>15.1</v>
      </c>
    </row>
    <row r="375" spans="3:4">
      <c r="C375" t="s">
        <v>6218</v>
      </c>
      <c r="D375" s="26">
        <v>139.1</v>
      </c>
    </row>
    <row r="376" spans="3:4">
      <c r="C376" t="s">
        <v>6434</v>
      </c>
      <c r="D376" s="26">
        <v>14.69</v>
      </c>
    </row>
    <row r="377" spans="3:4">
      <c r="C377" t="s">
        <v>6272</v>
      </c>
      <c r="D377" s="26">
        <v>76.84</v>
      </c>
    </row>
    <row r="378" spans="3:4">
      <c r="C378" t="s">
        <v>6386</v>
      </c>
      <c r="D378" s="26">
        <v>24.54</v>
      </c>
    </row>
    <row r="379" spans="3:4">
      <c r="C379" t="s">
        <v>6399</v>
      </c>
      <c r="D379" s="26">
        <v>23.3</v>
      </c>
    </row>
    <row r="380" spans="3:4">
      <c r="C380" t="s">
        <v>6239</v>
      </c>
      <c r="D380" s="26">
        <v>105</v>
      </c>
    </row>
    <row r="381" spans="3:4">
      <c r="C381" t="s">
        <v>6467</v>
      </c>
      <c r="D381" s="26">
        <v>8.77</v>
      </c>
    </row>
    <row r="382" spans="3:4">
      <c r="C382" t="s">
        <v>6276</v>
      </c>
      <c r="D382" s="26">
        <v>73.55</v>
      </c>
    </row>
    <row r="383" spans="3:4">
      <c r="C383" t="s">
        <v>6415</v>
      </c>
      <c r="D383" s="26">
        <v>19.62</v>
      </c>
    </row>
    <row r="384" spans="3:4">
      <c r="C384" t="s">
        <v>6455</v>
      </c>
      <c r="D384" s="26">
        <v>10.85</v>
      </c>
    </row>
    <row r="385" spans="2:4">
      <c r="C385" t="s">
        <v>6238</v>
      </c>
      <c r="D385" s="26">
        <v>105.38</v>
      </c>
    </row>
    <row r="386" spans="2:4">
      <c r="C386" t="s">
        <v>6496</v>
      </c>
      <c r="D386" s="26">
        <v>4.47</v>
      </c>
    </row>
    <row r="387" spans="2:4">
      <c r="C387" t="s">
        <v>6407</v>
      </c>
      <c r="D387" s="26">
        <v>21.75</v>
      </c>
    </row>
    <row r="388" spans="2:4">
      <c r="C388" t="s">
        <v>6507</v>
      </c>
      <c r="D388" s="26">
        <v>3.73</v>
      </c>
    </row>
    <row r="389" spans="2:4">
      <c r="C389" t="s">
        <v>6418</v>
      </c>
      <c r="D389" s="26">
        <v>18.8</v>
      </c>
    </row>
    <row r="390" spans="2:4">
      <c r="C390" t="s">
        <v>6396</v>
      </c>
      <c r="D390" s="26">
        <v>23.81</v>
      </c>
    </row>
    <row r="391" spans="2:4">
      <c r="C391" t="s">
        <v>6426</v>
      </c>
      <c r="D391" s="26">
        <v>16</v>
      </c>
    </row>
    <row r="392" spans="2:4">
      <c r="C392" t="s">
        <v>6327</v>
      </c>
      <c r="D392" s="26">
        <v>44.39</v>
      </c>
    </row>
    <row r="393" spans="2:4">
      <c r="C393" t="s">
        <v>6356</v>
      </c>
      <c r="D393" s="26">
        <v>30</v>
      </c>
    </row>
    <row r="394" spans="2:4">
      <c r="C394" t="s">
        <v>6217</v>
      </c>
      <c r="D394" s="26">
        <v>142.26</v>
      </c>
    </row>
    <row r="395" spans="2:4">
      <c r="C395" t="s">
        <v>6283</v>
      </c>
      <c r="D395" s="26">
        <v>66.98</v>
      </c>
    </row>
    <row r="396" spans="2:4">
      <c r="C396" t="s">
        <v>6411</v>
      </c>
      <c r="D396" s="26">
        <v>20</v>
      </c>
    </row>
    <row r="397" spans="2:4">
      <c r="C397" t="s">
        <v>6243</v>
      </c>
      <c r="D397" s="26">
        <v>101.18</v>
      </c>
    </row>
    <row r="398" spans="2:4">
      <c r="B398" t="s">
        <v>21</v>
      </c>
      <c r="D398" s="26">
        <v>9362.56</v>
      </c>
    </row>
    <row r="399" spans="2:4">
      <c r="C399" t="s">
        <v>1076</v>
      </c>
      <c r="D399" s="26">
        <v>0</v>
      </c>
    </row>
    <row r="400" spans="2:4">
      <c r="C400" t="s">
        <v>1355</v>
      </c>
      <c r="D400" s="26">
        <v>613.91999999999996</v>
      </c>
    </row>
    <row r="401" spans="3:4">
      <c r="C401" t="s">
        <v>1508</v>
      </c>
      <c r="D401" s="26">
        <v>75.12</v>
      </c>
    </row>
    <row r="402" spans="3:4">
      <c r="C402" t="s">
        <v>1621</v>
      </c>
      <c r="D402" s="26">
        <v>2</v>
      </c>
    </row>
    <row r="403" spans="3:4">
      <c r="C403" t="s">
        <v>1876</v>
      </c>
      <c r="D403" s="26">
        <v>14.1</v>
      </c>
    </row>
    <row r="404" spans="3:4">
      <c r="C404" t="s">
        <v>1955</v>
      </c>
      <c r="D404" s="26">
        <v>329.45000000000005</v>
      </c>
    </row>
    <row r="405" spans="3:4">
      <c r="C405" t="s">
        <v>1958</v>
      </c>
      <c r="D405" s="26">
        <v>2741.4500000000003</v>
      </c>
    </row>
    <row r="406" spans="3:4">
      <c r="C406" t="s">
        <v>4920</v>
      </c>
      <c r="D406" s="26">
        <v>169</v>
      </c>
    </row>
    <row r="407" spans="3:4">
      <c r="C407" t="s">
        <v>5349</v>
      </c>
      <c r="D407" s="26">
        <v>350</v>
      </c>
    </row>
    <row r="408" spans="3:4">
      <c r="C408" t="s">
        <v>5847</v>
      </c>
      <c r="D408" s="26">
        <v>-98</v>
      </c>
    </row>
    <row r="409" spans="3:4">
      <c r="C409" t="s">
        <v>5900</v>
      </c>
      <c r="D409" s="26">
        <v>181.7</v>
      </c>
    </row>
    <row r="410" spans="3:4">
      <c r="C410" t="s">
        <v>5901</v>
      </c>
      <c r="D410" s="26">
        <v>-129</v>
      </c>
    </row>
    <row r="411" spans="3:4">
      <c r="C411" t="s">
        <v>5942</v>
      </c>
      <c r="D411" s="26">
        <v>17</v>
      </c>
    </row>
    <row r="412" spans="3:4">
      <c r="C412" t="s">
        <v>6050</v>
      </c>
      <c r="D412" s="26">
        <v>27.5</v>
      </c>
    </row>
    <row r="413" spans="3:4">
      <c r="C413" t="s">
        <v>6061</v>
      </c>
      <c r="D413" s="26">
        <v>37.340000000000003</v>
      </c>
    </row>
    <row r="414" spans="3:4">
      <c r="C414" t="s">
        <v>6498</v>
      </c>
      <c r="D414" s="26">
        <v>4.3600000000000003</v>
      </c>
    </row>
    <row r="415" spans="3:4">
      <c r="C415" t="s">
        <v>6497</v>
      </c>
      <c r="D415" s="26">
        <v>4.3600000000000003</v>
      </c>
    </row>
    <row r="416" spans="3:4">
      <c r="C416" t="s">
        <v>6226</v>
      </c>
      <c r="D416" s="26">
        <v>123.6</v>
      </c>
    </row>
    <row r="417" spans="3:4">
      <c r="C417" t="s">
        <v>6195</v>
      </c>
      <c r="D417" s="26">
        <v>194.15</v>
      </c>
    </row>
    <row r="418" spans="3:4">
      <c r="C418" t="s">
        <v>6236</v>
      </c>
      <c r="D418" s="26">
        <v>106.26</v>
      </c>
    </row>
    <row r="419" spans="3:4">
      <c r="C419" t="s">
        <v>6338</v>
      </c>
      <c r="D419" s="26">
        <v>38.57</v>
      </c>
    </row>
    <row r="420" spans="3:4">
      <c r="C420" t="s">
        <v>6205</v>
      </c>
      <c r="D420" s="26">
        <v>177.99</v>
      </c>
    </row>
    <row r="421" spans="3:4">
      <c r="C421" t="s">
        <v>6194</v>
      </c>
      <c r="D421" s="26">
        <v>197.08</v>
      </c>
    </row>
    <row r="422" spans="3:4">
      <c r="C422" t="s">
        <v>6278</v>
      </c>
      <c r="D422" s="26">
        <v>138.69999999999999</v>
      </c>
    </row>
    <row r="423" spans="3:4">
      <c r="C423" t="s">
        <v>6175</v>
      </c>
      <c r="D423" s="26">
        <v>299.5</v>
      </c>
    </row>
    <row r="424" spans="3:4">
      <c r="C424" t="s">
        <v>6177</v>
      </c>
      <c r="D424" s="26">
        <v>354</v>
      </c>
    </row>
    <row r="425" spans="3:4">
      <c r="C425" t="s">
        <v>6235</v>
      </c>
      <c r="D425" s="26">
        <v>108.5</v>
      </c>
    </row>
    <row r="426" spans="3:4">
      <c r="C426" t="s">
        <v>6263</v>
      </c>
      <c r="D426" s="26">
        <v>82.46</v>
      </c>
    </row>
    <row r="427" spans="3:4">
      <c r="C427" t="s">
        <v>6201</v>
      </c>
      <c r="D427" s="26">
        <v>163</v>
      </c>
    </row>
    <row r="428" spans="3:4">
      <c r="C428" t="s">
        <v>6337</v>
      </c>
      <c r="D428" s="26">
        <v>38.93</v>
      </c>
    </row>
    <row r="429" spans="3:4">
      <c r="C429" t="s">
        <v>6211</v>
      </c>
      <c r="D429" s="26">
        <v>149.5</v>
      </c>
    </row>
    <row r="430" spans="3:4">
      <c r="C430" t="s">
        <v>6402</v>
      </c>
      <c r="D430" s="26">
        <v>23</v>
      </c>
    </row>
    <row r="431" spans="3:4">
      <c r="C431" t="s">
        <v>6357</v>
      </c>
      <c r="D431" s="26">
        <v>30</v>
      </c>
    </row>
    <row r="432" spans="3:4">
      <c r="C432" t="s">
        <v>6314</v>
      </c>
      <c r="D432" s="26">
        <v>49.86</v>
      </c>
    </row>
    <row r="433" spans="2:4">
      <c r="C433" t="s">
        <v>6360</v>
      </c>
      <c r="D433" s="26">
        <v>29.64</v>
      </c>
    </row>
    <row r="434" spans="2:4">
      <c r="C434" t="s">
        <v>6347</v>
      </c>
      <c r="D434" s="26">
        <v>32</v>
      </c>
    </row>
    <row r="435" spans="2:4">
      <c r="C435" t="s">
        <v>6143</v>
      </c>
      <c r="D435" s="26">
        <v>492.84</v>
      </c>
    </row>
    <row r="436" spans="2:4">
      <c r="C436" t="s">
        <v>6189</v>
      </c>
      <c r="D436" s="26">
        <v>216.32</v>
      </c>
    </row>
    <row r="437" spans="2:4">
      <c r="C437" t="s">
        <v>6215</v>
      </c>
      <c r="D437" s="26">
        <v>145.30000000000001</v>
      </c>
    </row>
    <row r="438" spans="2:4">
      <c r="C438" t="s">
        <v>6392</v>
      </c>
      <c r="D438" s="26">
        <v>24</v>
      </c>
    </row>
    <row r="439" spans="2:4">
      <c r="C439" t="s">
        <v>6372</v>
      </c>
      <c r="D439" s="26">
        <v>26.88</v>
      </c>
    </row>
    <row r="440" spans="2:4">
      <c r="C440" t="s">
        <v>6126</v>
      </c>
      <c r="D440" s="26">
        <v>922.46</v>
      </c>
    </row>
    <row r="441" spans="2:4">
      <c r="C441" t="s">
        <v>6299</v>
      </c>
      <c r="D441" s="26">
        <v>56.75</v>
      </c>
    </row>
    <row r="442" spans="2:4">
      <c r="C442" t="s">
        <v>6421</v>
      </c>
      <c r="D442" s="26">
        <v>18.07</v>
      </c>
    </row>
    <row r="443" spans="2:4">
      <c r="C443" t="s">
        <v>6477</v>
      </c>
      <c r="D443" s="26">
        <v>6.9</v>
      </c>
    </row>
    <row r="444" spans="2:4">
      <c r="C444" t="s">
        <v>6192</v>
      </c>
      <c r="D444" s="26">
        <v>200</v>
      </c>
    </row>
    <row r="445" spans="2:4">
      <c r="C445" t="s">
        <v>6147</v>
      </c>
      <c r="D445" s="26">
        <v>435.58</v>
      </c>
    </row>
    <row r="446" spans="2:4">
      <c r="C446" t="s">
        <v>6344</v>
      </c>
      <c r="D446" s="26">
        <v>70</v>
      </c>
    </row>
    <row r="447" spans="2:4">
      <c r="C447" t="s">
        <v>6280</v>
      </c>
      <c r="D447" s="26">
        <v>70.42</v>
      </c>
    </row>
    <row r="448" spans="2:4">
      <c r="B448" t="s">
        <v>31</v>
      </c>
      <c r="D448" s="26">
        <v>3670.52</v>
      </c>
    </row>
    <row r="449" spans="2:4">
      <c r="C449" t="s">
        <v>1466</v>
      </c>
      <c r="D449" s="26">
        <v>1643.29</v>
      </c>
    </row>
    <row r="450" spans="2:4">
      <c r="C450" t="s">
        <v>31</v>
      </c>
      <c r="D450" s="26">
        <v>376.49</v>
      </c>
    </row>
    <row r="451" spans="2:4">
      <c r="C451" t="s">
        <v>4415</v>
      </c>
      <c r="D451" s="26">
        <v>1466.2</v>
      </c>
    </row>
    <row r="452" spans="2:4">
      <c r="C452" t="s">
        <v>6202</v>
      </c>
      <c r="D452" s="26">
        <v>160.05000000000001</v>
      </c>
    </row>
    <row r="453" spans="2:4">
      <c r="C453" t="s">
        <v>6387</v>
      </c>
      <c r="D453" s="26">
        <v>24.49</v>
      </c>
    </row>
    <row r="454" spans="2:4">
      <c r="B454" t="s">
        <v>23</v>
      </c>
      <c r="D454" s="26">
        <v>2980.8599999999997</v>
      </c>
    </row>
    <row r="455" spans="2:4">
      <c r="C455" t="s">
        <v>1275</v>
      </c>
      <c r="D455" s="26">
        <v>39.07</v>
      </c>
    </row>
    <row r="456" spans="2:4">
      <c r="C456" t="s">
        <v>1707</v>
      </c>
      <c r="D456" s="26">
        <v>46.14</v>
      </c>
    </row>
    <row r="457" spans="2:4">
      <c r="C457" t="s">
        <v>2078</v>
      </c>
      <c r="D457" s="26">
        <v>36.35</v>
      </c>
    </row>
    <row r="458" spans="2:4">
      <c r="C458" t="s">
        <v>5267</v>
      </c>
      <c r="D458" s="26">
        <v>45.68</v>
      </c>
    </row>
    <row r="459" spans="2:4">
      <c r="C459" t="s">
        <v>6078</v>
      </c>
      <c r="D459" s="26">
        <v>53.73</v>
      </c>
    </row>
    <row r="460" spans="2:4">
      <c r="C460" t="s">
        <v>6519</v>
      </c>
      <c r="D460" s="26">
        <v>1</v>
      </c>
    </row>
    <row r="461" spans="2:4">
      <c r="C461" t="s">
        <v>6513</v>
      </c>
      <c r="D461" s="26">
        <v>2.75</v>
      </c>
    </row>
    <row r="462" spans="2:4">
      <c r="C462" t="s">
        <v>6142</v>
      </c>
      <c r="D462" s="26">
        <v>495.7</v>
      </c>
    </row>
    <row r="463" spans="2:4">
      <c r="C463" t="s">
        <v>6125</v>
      </c>
      <c r="D463" s="26">
        <v>963.28</v>
      </c>
    </row>
    <row r="464" spans="2:4">
      <c r="C464" t="s">
        <v>6444</v>
      </c>
      <c r="D464" s="26">
        <v>11.85</v>
      </c>
    </row>
    <row r="465" spans="2:4">
      <c r="C465" t="s">
        <v>6318</v>
      </c>
      <c r="D465" s="26">
        <v>48.75</v>
      </c>
    </row>
    <row r="466" spans="2:4">
      <c r="C466" t="s">
        <v>6169</v>
      </c>
      <c r="D466" s="26">
        <v>355</v>
      </c>
    </row>
    <row r="467" spans="2:4">
      <c r="C467" t="s">
        <v>6520</v>
      </c>
      <c r="D467" s="26">
        <v>0.75</v>
      </c>
    </row>
    <row r="468" spans="2:4">
      <c r="C468" t="s">
        <v>6127</v>
      </c>
      <c r="D468" s="26">
        <v>880.81</v>
      </c>
    </row>
    <row r="469" spans="2:4">
      <c r="B469" t="s">
        <v>43</v>
      </c>
      <c r="D469" s="26">
        <v>4968.2299999999996</v>
      </c>
    </row>
    <row r="470" spans="2:4">
      <c r="C470" t="s">
        <v>703</v>
      </c>
      <c r="D470" s="26">
        <v>745.94</v>
      </c>
    </row>
    <row r="471" spans="2:4">
      <c r="C471" t="s">
        <v>1407</v>
      </c>
      <c r="D471" s="26">
        <v>51.95</v>
      </c>
    </row>
    <row r="472" spans="2:4">
      <c r="C472" t="s">
        <v>5280</v>
      </c>
      <c r="D472" s="26">
        <v>14</v>
      </c>
    </row>
    <row r="473" spans="2:4">
      <c r="C473" t="s">
        <v>5820</v>
      </c>
      <c r="D473" s="26">
        <v>538.69000000000005</v>
      </c>
    </row>
    <row r="474" spans="2:4">
      <c r="C474" t="s">
        <v>6121</v>
      </c>
      <c r="D474" s="26">
        <v>2100</v>
      </c>
    </row>
    <row r="475" spans="2:4">
      <c r="C475" t="s">
        <v>6270</v>
      </c>
      <c r="D475" s="26">
        <v>79</v>
      </c>
    </row>
    <row r="476" spans="2:4">
      <c r="C476" t="s">
        <v>6246</v>
      </c>
      <c r="D476" s="26">
        <v>100</v>
      </c>
    </row>
    <row r="477" spans="2:4">
      <c r="C477" t="s">
        <v>6248</v>
      </c>
      <c r="D477" s="26">
        <v>96.99</v>
      </c>
    </row>
    <row r="478" spans="2:4">
      <c r="C478" t="s">
        <v>6465</v>
      </c>
      <c r="D478" s="26">
        <v>9.57</v>
      </c>
    </row>
    <row r="479" spans="2:4">
      <c r="C479" t="s">
        <v>6140</v>
      </c>
      <c r="D479" s="26">
        <v>643.13</v>
      </c>
    </row>
    <row r="480" spans="2:4">
      <c r="C480" t="s">
        <v>6198</v>
      </c>
      <c r="D480" s="26">
        <v>166.1</v>
      </c>
    </row>
    <row r="481" spans="2:4">
      <c r="C481" t="s">
        <v>6313</v>
      </c>
      <c r="D481" s="26">
        <v>50</v>
      </c>
    </row>
    <row r="482" spans="2:4">
      <c r="C482" t="s">
        <v>6437</v>
      </c>
      <c r="D482" s="26">
        <v>14.07</v>
      </c>
    </row>
    <row r="483" spans="2:4">
      <c r="C483" t="s">
        <v>6401</v>
      </c>
      <c r="D483" s="26">
        <v>23</v>
      </c>
    </row>
    <row r="484" spans="2:4">
      <c r="C484" t="s">
        <v>6445</v>
      </c>
      <c r="D484" s="26">
        <v>11.8</v>
      </c>
    </row>
    <row r="485" spans="2:4">
      <c r="C485" t="s">
        <v>6190</v>
      </c>
      <c r="D485" s="26">
        <v>213.11</v>
      </c>
    </row>
    <row r="486" spans="2:4">
      <c r="C486" t="s">
        <v>6267</v>
      </c>
      <c r="D486" s="26">
        <v>81.319999999999993</v>
      </c>
    </row>
    <row r="487" spans="2:4">
      <c r="C487" t="s">
        <v>6393</v>
      </c>
      <c r="D487" s="26">
        <v>23.88</v>
      </c>
    </row>
    <row r="488" spans="2:4">
      <c r="C488" t="s">
        <v>6493</v>
      </c>
      <c r="D488" s="26">
        <v>5.68</v>
      </c>
    </row>
    <row r="489" spans="2:4">
      <c r="B489" t="s">
        <v>7</v>
      </c>
      <c r="D489" s="26">
        <v>3605.1699999999992</v>
      </c>
    </row>
    <row r="490" spans="2:4">
      <c r="C490" t="s">
        <v>1350</v>
      </c>
      <c r="D490" s="26">
        <v>139.43</v>
      </c>
    </row>
    <row r="491" spans="2:4">
      <c r="C491" t="s">
        <v>1462</v>
      </c>
      <c r="D491" s="26">
        <v>225</v>
      </c>
    </row>
    <row r="492" spans="2:4">
      <c r="C492" t="s">
        <v>1469</v>
      </c>
      <c r="D492" s="26">
        <v>409.9</v>
      </c>
    </row>
    <row r="493" spans="2:4">
      <c r="C493" t="s">
        <v>1470</v>
      </c>
      <c r="D493" s="26">
        <v>766.94999999999993</v>
      </c>
    </row>
    <row r="494" spans="2:4">
      <c r="C494" t="s">
        <v>4899</v>
      </c>
      <c r="D494" s="26">
        <v>3.98</v>
      </c>
    </row>
    <row r="495" spans="2:4">
      <c r="C495" t="s">
        <v>5148</v>
      </c>
      <c r="D495" s="26">
        <v>1232.69</v>
      </c>
    </row>
    <row r="496" spans="2:4">
      <c r="C496" t="s">
        <v>7280</v>
      </c>
      <c r="D496" s="26">
        <v>485.17</v>
      </c>
    </row>
    <row r="497" spans="2:4">
      <c r="C497" t="s">
        <v>5762</v>
      </c>
      <c r="D497" s="26">
        <v>100</v>
      </c>
    </row>
    <row r="498" spans="2:4">
      <c r="C498" t="s">
        <v>5773</v>
      </c>
      <c r="D498" s="26">
        <v>-163.79</v>
      </c>
    </row>
    <row r="499" spans="2:4">
      <c r="C499" t="s">
        <v>6466</v>
      </c>
      <c r="D499" s="26">
        <v>11.75</v>
      </c>
    </row>
    <row r="500" spans="2:4">
      <c r="C500" t="s">
        <v>6518</v>
      </c>
      <c r="D500" s="26">
        <v>1.99</v>
      </c>
    </row>
    <row r="501" spans="2:4">
      <c r="C501" t="s">
        <v>6284</v>
      </c>
      <c r="D501" s="26">
        <v>66.790000000000006</v>
      </c>
    </row>
    <row r="502" spans="2:4">
      <c r="C502" t="s">
        <v>6517</v>
      </c>
      <c r="D502" s="26">
        <v>1.99</v>
      </c>
    </row>
    <row r="503" spans="2:4">
      <c r="C503" t="s">
        <v>6516</v>
      </c>
      <c r="D503" s="26">
        <v>1.99</v>
      </c>
    </row>
    <row r="504" spans="2:4">
      <c r="C504" t="s">
        <v>6188</v>
      </c>
      <c r="D504" s="26">
        <v>223.2</v>
      </c>
    </row>
    <row r="505" spans="2:4">
      <c r="C505" t="s">
        <v>6274</v>
      </c>
      <c r="D505" s="26">
        <v>76.55</v>
      </c>
    </row>
    <row r="506" spans="2:4">
      <c r="C506" t="s">
        <v>6409</v>
      </c>
      <c r="D506" s="26">
        <v>21.58</v>
      </c>
    </row>
    <row r="507" spans="2:4">
      <c r="B507" t="s">
        <v>7287</v>
      </c>
      <c r="D507" s="26">
        <v>118120.71</v>
      </c>
    </row>
  </sheetData>
  <pageMargins left="0.25" right="0.25" top="0.75" bottom="0.75" header="0.3" footer="0.3"/>
  <pageSetup fitToHeight="0" orientation="portrait"/>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6E8B-6654-4A50-B485-8C9B3207989C}">
  <dimension ref="B1:C5"/>
  <sheetViews>
    <sheetView workbookViewId="0">
      <pane xSplit="2" ySplit="4" topLeftCell="C5" activePane="bottomRight" state="frozen"/>
      <selection pane="topRight"/>
      <selection pane="bottomLeft"/>
      <selection pane="bottomRight" activeCell="C14" sqref="C14"/>
    </sheetView>
  </sheetViews>
  <sheetFormatPr defaultRowHeight="15"/>
  <cols>
    <col min="2" max="2" width="14.85546875" bestFit="1" customWidth="1"/>
    <col min="3" max="3" width="14.28515625" bestFit="1" customWidth="1"/>
    <col min="4" max="4" width="9" bestFit="1" customWidth="1"/>
    <col min="5" max="5" width="9.5703125" bestFit="1" customWidth="1"/>
    <col min="6" max="6" width="9" bestFit="1" customWidth="1"/>
    <col min="7" max="7" width="9.5703125" bestFit="1" customWidth="1"/>
    <col min="8" max="8" width="8.5703125" bestFit="1" customWidth="1"/>
    <col min="9" max="10" width="9.5703125" bestFit="1" customWidth="1"/>
    <col min="11" max="14" width="8.5703125" bestFit="1" customWidth="1"/>
    <col min="15" max="15" width="9.5703125" bestFit="1" customWidth="1"/>
    <col min="16" max="16" width="8.5703125" bestFit="1" customWidth="1"/>
    <col min="17" max="17" width="8.85546875" bestFit="1" customWidth="1"/>
    <col min="18" max="24" width="8.5703125" bestFit="1" customWidth="1"/>
    <col min="25" max="28" width="9.5703125" bestFit="1" customWidth="1"/>
    <col min="29" max="29" width="8.85546875" bestFit="1" customWidth="1"/>
    <col min="30" max="30" width="8.5703125" bestFit="1" customWidth="1"/>
    <col min="31" max="31" width="9.5703125" bestFit="1" customWidth="1"/>
    <col min="32" max="32" width="8.5703125" bestFit="1" customWidth="1"/>
    <col min="33" max="34" width="8.85546875" bestFit="1" customWidth="1"/>
    <col min="35" max="38" width="8.5703125" bestFit="1" customWidth="1"/>
    <col min="39" max="40" width="9.5703125" bestFit="1" customWidth="1"/>
    <col min="41" max="42" width="8.85546875" bestFit="1" customWidth="1"/>
    <col min="43" max="43" width="8.5703125" bestFit="1" customWidth="1"/>
    <col min="44" max="46" width="8.85546875" bestFit="1" customWidth="1"/>
    <col min="47" max="47" width="9.5703125" bestFit="1" customWidth="1"/>
    <col min="48" max="50" width="8.5703125" bestFit="1" customWidth="1"/>
    <col min="51" max="52" width="9.5703125" bestFit="1" customWidth="1"/>
    <col min="53" max="53" width="8.5703125" bestFit="1" customWidth="1"/>
    <col min="54" max="54" width="9.5703125" bestFit="1" customWidth="1"/>
    <col min="55" max="56" width="8.5703125" bestFit="1" customWidth="1"/>
    <col min="57" max="57" width="9.5703125" bestFit="1" customWidth="1"/>
    <col min="58" max="58" width="8.5703125" bestFit="1" customWidth="1"/>
    <col min="59" max="59" width="9.5703125" bestFit="1" customWidth="1"/>
    <col min="60" max="62" width="8.5703125" bestFit="1" customWidth="1"/>
    <col min="63" max="64" width="9.5703125" bestFit="1" customWidth="1"/>
    <col min="65" max="68" width="8.5703125" bestFit="1" customWidth="1"/>
    <col min="69" max="69" width="9.5703125" bestFit="1" customWidth="1"/>
    <col min="70" max="70" width="8.85546875" bestFit="1" customWidth="1"/>
    <col min="71" max="71" width="9.5703125" bestFit="1" customWidth="1"/>
    <col min="72" max="72" width="8.85546875" bestFit="1" customWidth="1"/>
    <col min="73" max="73" width="9.5703125" bestFit="1" customWidth="1"/>
    <col min="74" max="74" width="8.5703125" bestFit="1" customWidth="1"/>
    <col min="75" max="76" width="9.5703125" bestFit="1" customWidth="1"/>
    <col min="77" max="79" width="8.5703125" bestFit="1" customWidth="1"/>
  </cols>
  <sheetData>
    <row r="1" spans="2:3">
      <c r="B1" s="24" t="s">
        <v>72</v>
      </c>
      <c r="C1" t="s">
        <v>49</v>
      </c>
    </row>
    <row r="3" spans="2:3">
      <c r="B3" s="24" t="s">
        <v>7275</v>
      </c>
      <c r="C3" s="24" t="s">
        <v>2243</v>
      </c>
    </row>
    <row r="4" spans="2:3">
      <c r="B4" s="24" t="s">
        <v>71</v>
      </c>
    </row>
    <row r="5" spans="2:3">
      <c r="B5" t="s">
        <v>7287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4B4E-D574-401B-968C-1A8D0A1239C5}">
  <sheetPr>
    <pageSetUpPr fitToPage="1"/>
  </sheetPr>
  <dimension ref="C1:AC48"/>
  <sheetViews>
    <sheetView topLeftCell="E2" workbookViewId="0">
      <selection activeCell="H2" sqref="H2"/>
    </sheetView>
  </sheetViews>
  <sheetFormatPr defaultRowHeight="15"/>
  <cols>
    <col min="3" max="3" width="25" customWidth="1"/>
    <col min="4" max="6" width="11.7109375" customWidth="1"/>
    <col min="7" max="7" width="5.28515625" customWidth="1"/>
    <col min="8" max="18" width="10.28515625" customWidth="1"/>
    <col min="20" max="20" width="11.140625" customWidth="1"/>
    <col min="22" max="22" width="33.5703125" customWidth="1"/>
    <col min="23" max="23" width="8.7109375" bestFit="1" customWidth="1"/>
  </cols>
  <sheetData>
    <row r="1" spans="3:29">
      <c r="H1">
        <f>IF(H2="",'1 MO'!C1,H2)</f>
        <v>202412</v>
      </c>
      <c r="I1">
        <f>IF(RIGHT(H1,2)="01",VALUE(LEFT(H1,4)-1&amp;"12"),VALUE(LEFT(H1,4)&amp;TEXT(RIGHT(H1,2)-1,"00")))</f>
        <v>202411</v>
      </c>
      <c r="J1">
        <f t="shared" ref="J1:S1" si="0">IF(RIGHT(I1,2)="01",VALUE(LEFT(I1,4)-1&amp;"12"),VALUE(LEFT(I1,4)&amp;TEXT(RIGHT(I1,2)-1,"00")))</f>
        <v>202410</v>
      </c>
      <c r="K1">
        <f t="shared" si="0"/>
        <v>202409</v>
      </c>
      <c r="L1">
        <f t="shared" si="0"/>
        <v>202408</v>
      </c>
      <c r="M1">
        <f t="shared" si="0"/>
        <v>202407</v>
      </c>
      <c r="N1">
        <f t="shared" si="0"/>
        <v>202406</v>
      </c>
      <c r="O1">
        <f t="shared" si="0"/>
        <v>202405</v>
      </c>
      <c r="P1">
        <f t="shared" si="0"/>
        <v>202404</v>
      </c>
      <c r="Q1">
        <f t="shared" si="0"/>
        <v>202403</v>
      </c>
      <c r="R1">
        <f t="shared" si="0"/>
        <v>202402</v>
      </c>
      <c r="S1">
        <f t="shared" si="0"/>
        <v>202401</v>
      </c>
    </row>
    <row r="2" spans="3:29">
      <c r="D2" s="6"/>
      <c r="E2" s="6"/>
      <c r="F2" s="6"/>
      <c r="G2" s="6"/>
      <c r="H2">
        <v>202412</v>
      </c>
    </row>
    <row r="6" spans="3:29" ht="23.25">
      <c r="C6" s="29" t="s">
        <v>7288</v>
      </c>
      <c r="V6" s="29" t="s">
        <v>7289</v>
      </c>
    </row>
    <row r="7" spans="3:29">
      <c r="C7" s="9"/>
      <c r="D7" s="10" t="s">
        <v>7290</v>
      </c>
      <c r="E7" s="10" t="s">
        <v>7291</v>
      </c>
      <c r="F7" s="10" t="s">
        <v>7292</v>
      </c>
      <c r="G7" s="10"/>
      <c r="H7" s="10" t="str">
        <f>TEXT(DATE(LEFT(H1,4),RIGHT(H1,2),1),"MMM YYYY")</f>
        <v>Dec 2024</v>
      </c>
      <c r="I7" s="10" t="str">
        <f t="shared" ref="I7:Q7" si="1">TEXT(DATE(LEFT(I1,4),RIGHT(I1,2),1),"MMM YYYY")</f>
        <v>Nov 2024</v>
      </c>
      <c r="J7" s="10" t="str">
        <f t="shared" si="1"/>
        <v>Oct 2024</v>
      </c>
      <c r="K7" s="10" t="str">
        <f t="shared" si="1"/>
        <v>Sep 2024</v>
      </c>
      <c r="L7" s="10" t="str">
        <f t="shared" si="1"/>
        <v>Aug 2024</v>
      </c>
      <c r="M7" s="10" t="str">
        <f t="shared" si="1"/>
        <v>Jul 2024</v>
      </c>
      <c r="N7" s="10" t="str">
        <f t="shared" si="1"/>
        <v>Jun 2024</v>
      </c>
      <c r="O7" s="10" t="str">
        <f t="shared" si="1"/>
        <v>May 2024</v>
      </c>
      <c r="P7" s="10" t="str">
        <f t="shared" si="1"/>
        <v>Apr 2024</v>
      </c>
      <c r="Q7" s="10" t="str">
        <f t="shared" si="1"/>
        <v>Mar 2024</v>
      </c>
      <c r="R7" s="10" t="str">
        <f>TEXT(DATE(LEFT(R1,4),RIGHT(R1,2),1),"MMM YYYY")</f>
        <v>Feb 2024</v>
      </c>
      <c r="S7" s="10" t="str">
        <f>TEXT(DATE(LEFT(S1,4),RIGHT(S1,2),1),"MMM YYYY")</f>
        <v>Jan 2024</v>
      </c>
      <c r="T7" s="10" t="s">
        <v>7293</v>
      </c>
      <c r="V7" s="9"/>
      <c r="W7" s="10" t="s">
        <v>7294</v>
      </c>
      <c r="X7" s="10" t="s">
        <v>7295</v>
      </c>
    </row>
    <row r="8" spans="3:29" ht="3" customHeight="1">
      <c r="C8" s="22"/>
      <c r="D8" s="23"/>
      <c r="E8" s="23"/>
      <c r="F8" s="23"/>
      <c r="G8" s="23"/>
      <c r="H8" s="23"/>
      <c r="I8" s="23"/>
      <c r="J8" s="23"/>
      <c r="K8" s="23"/>
      <c r="L8" s="23"/>
      <c r="M8" s="23"/>
      <c r="N8" s="23"/>
      <c r="O8" s="23"/>
      <c r="P8" s="23"/>
      <c r="Q8" s="23"/>
      <c r="R8" s="23"/>
      <c r="S8" s="23"/>
      <c r="T8" s="23"/>
      <c r="V8" s="22"/>
      <c r="W8" s="23"/>
      <c r="X8" s="23"/>
    </row>
    <row r="9" spans="3:29">
      <c r="C9" t="s">
        <v>5</v>
      </c>
      <c r="D9" s="13">
        <f>AVERAGE(H9:J9)</f>
        <v>2745.43</v>
      </c>
      <c r="E9" s="13">
        <f>AVERAGE(H9:M9)</f>
        <v>2744.1999999999994</v>
      </c>
      <c r="F9" s="13">
        <f>AVERAGE(H9:S9)</f>
        <v>2742.9699999999989</v>
      </c>
      <c r="G9" s="13"/>
      <c r="H9" s="13">
        <f>SUMIFS(Actuals!$E:$E,Actuals!$F:$F,Avg!$C9,Actuals!$A:$A,Avg!H$1)</f>
        <v>2745.43</v>
      </c>
      <c r="I9" s="13">
        <f>SUMIFS(Actuals!$E:$E,Actuals!$F:$F,Avg!$C9,Actuals!$A:$A,Avg!I$1)</f>
        <v>2745.43</v>
      </c>
      <c r="J9" s="13">
        <f>SUMIFS(Actuals!$E:$E,Actuals!$F:$F,Avg!$C9,Actuals!$A:$A,Avg!J$1)</f>
        <v>2745.43</v>
      </c>
      <c r="K9" s="13">
        <f>SUMIFS(Actuals!$E:$E,Actuals!$F:$F,Avg!$C9,Actuals!$A:$A,Avg!K$1)</f>
        <v>2745.43</v>
      </c>
      <c r="L9" s="13">
        <f>SUMIFS(Actuals!$E:$E,Actuals!$F:$F,Avg!$C9,Actuals!$A:$A,Avg!L$1)</f>
        <v>2741.74</v>
      </c>
      <c r="M9" s="13">
        <f>SUMIFS(Actuals!$E:$E,Actuals!$F:$F,Avg!$C9,Actuals!$A:$A,Avg!M$1)</f>
        <v>2741.74</v>
      </c>
      <c r="N9" s="13">
        <f>SUMIFS(Actuals!$E:$E,Actuals!$F:$F,Avg!$C9,Actuals!$A:$A,Avg!N$1)</f>
        <v>2741.74</v>
      </c>
      <c r="O9" s="13">
        <f>SUMIFS(Actuals!$E:$E,Actuals!$F:$F,Avg!$C9,Actuals!$A:$A,Avg!O$1)</f>
        <v>2741.74</v>
      </c>
      <c r="P9" s="13">
        <f>SUMIFS(Actuals!$E:$E,Actuals!$F:$F,Avg!$C9,Actuals!$A:$A,Avg!P$1)</f>
        <v>2741.74</v>
      </c>
      <c r="Q9" s="13">
        <f>SUMIFS(Actuals!$E:$E,Actuals!$F:$F,Avg!$C9,Actuals!$A:$A,Avg!Q$1)</f>
        <v>2741.74</v>
      </c>
      <c r="R9" s="13">
        <f>SUMIFS(Actuals!$E:$E,Actuals!$F:$F,Avg!$C9,Actuals!$A:$A,Avg!R$1)</f>
        <v>2741.74</v>
      </c>
      <c r="S9" s="13">
        <f>SUMIFS(Actuals!$E:$E,Actuals!$F:$F,Avg!$C9,Actuals!$A:$A,Avg!S$1)</f>
        <v>2741.74</v>
      </c>
      <c r="T9" s="13">
        <f>SUM(H9:S9)</f>
        <v>32915.639999999985</v>
      </c>
      <c r="V9" t="s">
        <v>7296</v>
      </c>
      <c r="W9" s="46">
        <f>SUM(H16:J16,H22:J22)</f>
        <v>28192.18</v>
      </c>
      <c r="X9" s="46">
        <f>SUM(H16:M16,H22:M22)</f>
        <v>58391.990000000005</v>
      </c>
      <c r="Z9" s="46"/>
      <c r="AA9" s="46"/>
      <c r="AC9" s="46"/>
    </row>
    <row r="10" spans="3:29">
      <c r="C10" t="s">
        <v>2</v>
      </c>
      <c r="D10" s="13">
        <f t="shared" ref="D10:D15" si="2">AVERAGE(H10:J10)</f>
        <v>158.58000000000001</v>
      </c>
      <c r="E10" s="13">
        <f t="shared" ref="E10:E15" si="3">AVERAGE(H10:M10)</f>
        <v>245.50833333333335</v>
      </c>
      <c r="F10" s="13">
        <f t="shared" ref="F10:F15" si="4">AVERAGE(H10:S10)</f>
        <v>349.64083333333332</v>
      </c>
      <c r="G10" s="13"/>
      <c r="H10" s="13">
        <f>SUMIFS(Actuals!$E:$E,Actuals!$F:$F,Avg!$C10,Actuals!$A:$A,Avg!H$1)</f>
        <v>11</v>
      </c>
      <c r="I10" s="13">
        <f>SUMIFS(Actuals!$E:$E,Actuals!$F:$F,Avg!$C10,Actuals!$A:$A,Avg!I$1)</f>
        <v>11</v>
      </c>
      <c r="J10" s="13">
        <f>SUMIFS(Actuals!$E:$E,Actuals!$F:$F,Avg!$C10,Actuals!$A:$A,Avg!J$1)</f>
        <v>453.74</v>
      </c>
      <c r="K10" s="13">
        <f>SUMIFS(Actuals!$E:$E,Actuals!$F:$F,Avg!$C10,Actuals!$A:$A,Avg!K$1)</f>
        <v>486.96999999999997</v>
      </c>
      <c r="L10" s="13">
        <f>SUMIFS(Actuals!$E:$E,Actuals!$F:$F,Avg!$C10,Actuals!$A:$A,Avg!L$1)</f>
        <v>44.59</v>
      </c>
      <c r="M10" s="13">
        <f>SUMIFS(Actuals!$E:$E,Actuals!$F:$F,Avg!$C10,Actuals!$A:$A,Avg!M$1)</f>
        <v>465.75</v>
      </c>
      <c r="N10" s="13">
        <f>SUMIFS(Actuals!$E:$E,Actuals!$F:$F,Avg!$C10,Actuals!$A:$A,Avg!N$1)</f>
        <v>738.0200000000001</v>
      </c>
      <c r="O10" s="13">
        <f>SUMIFS(Actuals!$E:$E,Actuals!$F:$F,Avg!$C10,Actuals!$A:$A,Avg!O$1)</f>
        <v>769.43000000000006</v>
      </c>
      <c r="P10" s="13">
        <f>SUMIFS(Actuals!$E:$E,Actuals!$F:$F,Avg!$C10,Actuals!$A:$A,Avg!P$1)</f>
        <v>603.30999999999995</v>
      </c>
      <c r="Q10" s="13">
        <f>SUMIFS(Actuals!$E:$E,Actuals!$F:$F,Avg!$C10,Actuals!$A:$A,Avg!Q$1)</f>
        <v>381.68</v>
      </c>
      <c r="R10" s="13">
        <f>SUMIFS(Actuals!$E:$E,Actuals!$F:$F,Avg!$C10,Actuals!$A:$A,Avg!R$1)</f>
        <v>-41.15</v>
      </c>
      <c r="S10" s="13">
        <f>SUMIFS(Actuals!$E:$E,Actuals!$F:$F,Avg!$C10,Actuals!$A:$A,Avg!S$1)</f>
        <v>271.35000000000002</v>
      </c>
      <c r="T10" s="13">
        <f t="shared" ref="T10:T40" si="5">SUM(H10:S10)</f>
        <v>4195.6899999999996</v>
      </c>
      <c r="V10" t="s">
        <v>7297</v>
      </c>
      <c r="W10" s="46">
        <f>SUM(H16:J16,H22:J22,H31:J31)</f>
        <v>41300.57</v>
      </c>
      <c r="X10" s="46">
        <f>SUM(H16:M16,H22:M22,H31:M31)</f>
        <v>78378.179999999993</v>
      </c>
      <c r="AA10" s="46"/>
    </row>
    <row r="11" spans="3:29">
      <c r="C11" t="s">
        <v>7</v>
      </c>
      <c r="D11" s="13">
        <f t="shared" si="2"/>
        <v>771.99000000000012</v>
      </c>
      <c r="E11" s="13">
        <f t="shared" si="3"/>
        <v>670.78666666666675</v>
      </c>
      <c r="F11" s="13">
        <f t="shared" si="4"/>
        <v>707.5</v>
      </c>
      <c r="G11" s="13"/>
      <c r="H11" s="13">
        <f>SUMIFS(Actuals!$E:$E,Actuals!$F:$F,Avg!$C11,Actuals!$A:$A,Avg!H$1)</f>
        <v>877.36000000000013</v>
      </c>
      <c r="I11" s="13">
        <f>SUMIFS(Actuals!$E:$E,Actuals!$F:$F,Avg!$C11,Actuals!$A:$A,Avg!I$1)</f>
        <v>584.33000000000004</v>
      </c>
      <c r="J11" s="13">
        <f>SUMIFS(Actuals!$E:$E,Actuals!$F:$F,Avg!$C11,Actuals!$A:$A,Avg!J$1)</f>
        <v>854.28000000000009</v>
      </c>
      <c r="K11" s="13">
        <f>SUMIFS(Actuals!$E:$E,Actuals!$F:$F,Avg!$C11,Actuals!$A:$A,Avg!K$1)</f>
        <v>639.18000000000006</v>
      </c>
      <c r="L11" s="13">
        <f>SUMIFS(Actuals!$E:$E,Actuals!$F:$F,Avg!$C11,Actuals!$A:$A,Avg!L$1)</f>
        <v>335.09000000000003</v>
      </c>
      <c r="M11" s="13">
        <f>SUMIFS(Actuals!$E:$E,Actuals!$F:$F,Avg!$C11,Actuals!$A:$A,Avg!M$1)</f>
        <v>734.48</v>
      </c>
      <c r="N11" s="13">
        <f>SUMIFS(Actuals!$E:$E,Actuals!$F:$F,Avg!$C11,Actuals!$A:$A,Avg!N$1)</f>
        <v>502.44000000000005</v>
      </c>
      <c r="O11" s="13">
        <f>SUMIFS(Actuals!$E:$E,Actuals!$F:$F,Avg!$C11,Actuals!$A:$A,Avg!O$1)</f>
        <v>1017.52</v>
      </c>
      <c r="P11" s="13">
        <f>SUMIFS(Actuals!$E:$E,Actuals!$F:$F,Avg!$C11,Actuals!$A:$A,Avg!P$1)</f>
        <v>634</v>
      </c>
      <c r="Q11" s="13">
        <f>SUMIFS(Actuals!$E:$E,Actuals!$F:$F,Avg!$C11,Actuals!$A:$A,Avg!Q$1)</f>
        <v>477.11</v>
      </c>
      <c r="R11" s="13">
        <f>SUMIFS(Actuals!$E:$E,Actuals!$F:$F,Avg!$C11,Actuals!$A:$A,Avg!R$1)</f>
        <v>1221.96</v>
      </c>
      <c r="S11" s="13">
        <f>SUMIFS(Actuals!$E:$E,Actuals!$F:$F,Avg!$C11,Actuals!$A:$A,Avg!S$1)</f>
        <v>612.25</v>
      </c>
      <c r="T11" s="13">
        <f t="shared" si="5"/>
        <v>8490</v>
      </c>
    </row>
    <row r="12" spans="3:29">
      <c r="C12" t="s">
        <v>11</v>
      </c>
      <c r="D12" s="13">
        <f t="shared" si="2"/>
        <v>0</v>
      </c>
      <c r="E12" s="13">
        <f t="shared" si="3"/>
        <v>0</v>
      </c>
      <c r="F12" s="13">
        <f t="shared" si="4"/>
        <v>0</v>
      </c>
      <c r="G12" s="13"/>
      <c r="H12" s="13">
        <f>SUMIFS(Actuals!$E:$E,Actuals!$F:$F,Avg!$C12,Actuals!$A:$A,Avg!H$1)</f>
        <v>0</v>
      </c>
      <c r="I12" s="13">
        <f>SUMIFS(Actuals!$E:$E,Actuals!$F:$F,Avg!$C12,Actuals!$A:$A,Avg!I$1)</f>
        <v>0</v>
      </c>
      <c r="J12" s="13">
        <f>SUMIFS(Actuals!$E:$E,Actuals!$F:$F,Avg!$C12,Actuals!$A:$A,Avg!J$1)</f>
        <v>0</v>
      </c>
      <c r="K12" s="13">
        <f>SUMIFS(Actuals!$E:$E,Actuals!$F:$F,Avg!$C12,Actuals!$A:$A,Avg!K$1)</f>
        <v>0</v>
      </c>
      <c r="L12" s="13">
        <f>SUMIFS(Actuals!$E:$E,Actuals!$F:$F,Avg!$C12,Actuals!$A:$A,Avg!L$1)</f>
        <v>0</v>
      </c>
      <c r="M12" s="13">
        <f>SUMIFS(Actuals!$E:$E,Actuals!$F:$F,Avg!$C12,Actuals!$A:$A,Avg!M$1)</f>
        <v>0</v>
      </c>
      <c r="N12" s="13">
        <f>SUMIFS(Actuals!$E:$E,Actuals!$F:$F,Avg!$C12,Actuals!$A:$A,Avg!N$1)</f>
        <v>0</v>
      </c>
      <c r="O12" s="13">
        <f>SUMIFS(Actuals!$E:$E,Actuals!$F:$F,Avg!$C12,Actuals!$A:$A,Avg!O$1)</f>
        <v>0</v>
      </c>
      <c r="P12" s="13">
        <f>SUMIFS(Actuals!$E:$E,Actuals!$F:$F,Avg!$C12,Actuals!$A:$A,Avg!P$1)</f>
        <v>0</v>
      </c>
      <c r="Q12" s="13">
        <f>SUMIFS(Actuals!$E:$E,Actuals!$F:$F,Avg!$C12,Actuals!$A:$A,Avg!Q$1)</f>
        <v>0</v>
      </c>
      <c r="R12" s="13">
        <f>SUMIFS(Actuals!$E:$E,Actuals!$F:$F,Avg!$C12,Actuals!$A:$A,Avg!R$1)</f>
        <v>0</v>
      </c>
      <c r="S12" s="13">
        <f>SUMIFS(Actuals!$E:$E,Actuals!$F:$F,Avg!$C12,Actuals!$A:$A,Avg!S$1)</f>
        <v>0</v>
      </c>
      <c r="T12" s="13">
        <f t="shared" si="5"/>
        <v>0</v>
      </c>
    </row>
    <row r="13" spans="3:29">
      <c r="C13" t="s">
        <v>14</v>
      </c>
      <c r="D13" s="13">
        <f t="shared" si="2"/>
        <v>250</v>
      </c>
      <c r="E13" s="13">
        <f t="shared" si="3"/>
        <v>250</v>
      </c>
      <c r="F13" s="13">
        <f t="shared" si="4"/>
        <v>250</v>
      </c>
      <c r="G13" s="13"/>
      <c r="H13" s="13">
        <f>SUMIFS(Actuals!$E:$E,Actuals!$F:$F,Avg!$C13,Actuals!$A:$A,Avg!H$1)</f>
        <v>250</v>
      </c>
      <c r="I13" s="13">
        <f>SUMIFS(Actuals!$E:$E,Actuals!$F:$F,Avg!$C13,Actuals!$A:$A,Avg!I$1)</f>
        <v>250</v>
      </c>
      <c r="J13" s="13">
        <f>SUMIFS(Actuals!$E:$E,Actuals!$F:$F,Avg!$C13,Actuals!$A:$A,Avg!J$1)</f>
        <v>250</v>
      </c>
      <c r="K13" s="13">
        <f>SUMIFS(Actuals!$E:$E,Actuals!$F:$F,Avg!$C13,Actuals!$A:$A,Avg!K$1)</f>
        <v>250</v>
      </c>
      <c r="L13" s="13">
        <f>SUMIFS(Actuals!$E:$E,Actuals!$F:$F,Avg!$C13,Actuals!$A:$A,Avg!L$1)</f>
        <v>250</v>
      </c>
      <c r="M13" s="13">
        <f>SUMIFS(Actuals!$E:$E,Actuals!$F:$F,Avg!$C13,Actuals!$A:$A,Avg!M$1)</f>
        <v>250</v>
      </c>
      <c r="N13" s="13">
        <f>SUMIFS(Actuals!$E:$E,Actuals!$F:$F,Avg!$C13,Actuals!$A:$A,Avg!N$1)</f>
        <v>250</v>
      </c>
      <c r="O13" s="13">
        <f>SUMIFS(Actuals!$E:$E,Actuals!$F:$F,Avg!$C13,Actuals!$A:$A,Avg!O$1)</f>
        <v>250</v>
      </c>
      <c r="P13" s="13">
        <f>SUMIFS(Actuals!$E:$E,Actuals!$F:$F,Avg!$C13,Actuals!$A:$A,Avg!P$1)</f>
        <v>250</v>
      </c>
      <c r="Q13" s="13">
        <f>SUMIFS(Actuals!$E:$E,Actuals!$F:$F,Avg!$C13,Actuals!$A:$A,Avg!Q$1)</f>
        <v>250</v>
      </c>
      <c r="R13" s="13">
        <f>SUMIFS(Actuals!$E:$E,Actuals!$F:$F,Avg!$C13,Actuals!$A:$A,Avg!R$1)</f>
        <v>250</v>
      </c>
      <c r="S13" s="13">
        <f>SUMIFS(Actuals!$E:$E,Actuals!$F:$F,Avg!$C13,Actuals!$A:$A,Avg!S$1)</f>
        <v>250</v>
      </c>
      <c r="T13" s="13">
        <f t="shared" si="5"/>
        <v>3000</v>
      </c>
      <c r="V13" s="16" t="s">
        <v>7124</v>
      </c>
    </row>
    <row r="14" spans="3:29">
      <c r="C14" t="s">
        <v>18</v>
      </c>
      <c r="D14" s="13">
        <f t="shared" si="2"/>
        <v>163.9</v>
      </c>
      <c r="E14" s="13">
        <f t="shared" si="3"/>
        <v>168.63666666666666</v>
      </c>
      <c r="F14" s="13">
        <f t="shared" si="4"/>
        <v>135.97083333333333</v>
      </c>
      <c r="G14" s="13"/>
      <c r="H14" s="13">
        <f>SUMIFS(Actuals!$E:$E,Actuals!$F:$F,Avg!$C14,Actuals!$A:$A,Avg!H$1)</f>
        <v>144.94</v>
      </c>
      <c r="I14" s="13">
        <f>SUMIFS(Actuals!$E:$E,Actuals!$F:$F,Avg!$C14,Actuals!$A:$A,Avg!I$1)</f>
        <v>173.38</v>
      </c>
      <c r="J14" s="13">
        <f>SUMIFS(Actuals!$E:$E,Actuals!$F:$F,Avg!$C14,Actuals!$A:$A,Avg!J$1)</f>
        <v>173.38</v>
      </c>
      <c r="K14" s="13">
        <f>SUMIFS(Actuals!$E:$E,Actuals!$F:$F,Avg!$C14,Actuals!$A:$A,Avg!K$1)</f>
        <v>173.38</v>
      </c>
      <c r="L14" s="13">
        <f>SUMIFS(Actuals!$E:$E,Actuals!$F:$F,Avg!$C14,Actuals!$A:$A,Avg!L$1)</f>
        <v>173.37</v>
      </c>
      <c r="M14" s="13">
        <f>SUMIFS(Actuals!$E:$E,Actuals!$F:$F,Avg!$C14,Actuals!$A:$A,Avg!M$1)</f>
        <v>173.37</v>
      </c>
      <c r="N14" s="13">
        <f>SUMIFS(Actuals!$E:$E,Actuals!$F:$F,Avg!$C14,Actuals!$A:$A,Avg!N$1)</f>
        <v>201.42000000000002</v>
      </c>
      <c r="O14" s="13">
        <f>SUMIFS(Actuals!$E:$E,Actuals!$F:$F,Avg!$C14,Actuals!$A:$A,Avg!O$1)</f>
        <v>0</v>
      </c>
      <c r="P14" s="13">
        <f>SUMIFS(Actuals!$E:$E,Actuals!$F:$F,Avg!$C14,Actuals!$A:$A,Avg!P$1)</f>
        <v>163.81</v>
      </c>
      <c r="Q14" s="13">
        <f>SUMIFS(Actuals!$E:$E,Actuals!$F:$F,Avg!$C14,Actuals!$A:$A,Avg!Q$1)</f>
        <v>0</v>
      </c>
      <c r="R14" s="13">
        <f>SUMIFS(Actuals!$E:$E,Actuals!$F:$F,Avg!$C14,Actuals!$A:$A,Avg!R$1)</f>
        <v>127.3</v>
      </c>
      <c r="S14" s="13">
        <f>SUMIFS(Actuals!$E:$E,Actuals!$F:$F,Avg!$C14,Actuals!$A:$A,Avg!S$1)</f>
        <v>127.3</v>
      </c>
      <c r="T14" s="13">
        <f t="shared" si="5"/>
        <v>1631.6499999999999</v>
      </c>
      <c r="V14" t="s">
        <v>7298</v>
      </c>
      <c r="W14" s="46">
        <v>0</v>
      </c>
      <c r="X14" s="46"/>
    </row>
    <row r="15" spans="3:29">
      <c r="C15" s="14" t="s">
        <v>20</v>
      </c>
      <c r="D15" s="154">
        <f t="shared" si="2"/>
        <v>2274.1566666666668</v>
      </c>
      <c r="E15" s="154">
        <f t="shared" si="3"/>
        <v>1948.2</v>
      </c>
      <c r="F15" s="154">
        <f t="shared" si="4"/>
        <v>2280.249166666667</v>
      </c>
      <c r="G15" s="15"/>
      <c r="H15" s="15">
        <f>SUMIFS(Actuals!$E:$E,Actuals!$F:$F,Avg!$C15,Actuals!$A:$A,Avg!H$1)</f>
        <v>2034</v>
      </c>
      <c r="I15" s="15">
        <f>SUMIFS(Actuals!$E:$E,Actuals!$F:$F,Avg!$C15,Actuals!$A:$A,Avg!I$1)</f>
        <v>2263.85</v>
      </c>
      <c r="J15" s="15">
        <f>SUMIFS(Actuals!$E:$E,Actuals!$F:$F,Avg!$C15,Actuals!$A:$A,Avg!J$1)</f>
        <v>2524.62</v>
      </c>
      <c r="K15" s="15">
        <f>SUMIFS(Actuals!$E:$E,Actuals!$F:$F,Avg!$C15,Actuals!$A:$A,Avg!K$1)</f>
        <v>2281.1999999999998</v>
      </c>
      <c r="L15" s="15">
        <f>SUMIFS(Actuals!$E:$E,Actuals!$F:$F,Avg!$C15,Actuals!$A:$A,Avg!L$1)</f>
        <v>732.53</v>
      </c>
      <c r="M15" s="15">
        <f>SUMIFS(Actuals!$E:$E,Actuals!$F:$F,Avg!$C15,Actuals!$A:$A,Avg!M$1)</f>
        <v>1853</v>
      </c>
      <c r="N15" s="15">
        <f>SUMIFS(Actuals!$E:$E,Actuals!$F:$F,Avg!$C15,Actuals!$A:$A,Avg!N$1)</f>
        <v>2889.0699999999997</v>
      </c>
      <c r="O15" s="15">
        <f>SUMIFS(Actuals!$E:$E,Actuals!$F:$F,Avg!$C15,Actuals!$A:$A,Avg!O$1)</f>
        <v>2058.9899999999998</v>
      </c>
      <c r="P15" s="15">
        <f>SUMIFS(Actuals!$E:$E,Actuals!$F:$F,Avg!$C15,Actuals!$A:$A,Avg!P$1)</f>
        <v>1713.67</v>
      </c>
      <c r="Q15" s="15">
        <f>SUMIFS(Actuals!$E:$E,Actuals!$F:$F,Avg!$C15,Actuals!$A:$A,Avg!Q$1)</f>
        <v>2034</v>
      </c>
      <c r="R15" s="15">
        <f>SUMIFS(Actuals!$E:$E,Actuals!$F:$F,Avg!$C15,Actuals!$A:$A,Avg!R$1)</f>
        <v>3845.95</v>
      </c>
      <c r="S15" s="15">
        <f>SUMIFS(Actuals!$E:$E,Actuals!$F:$F,Avg!$C15,Actuals!$A:$A,Avg!S$1)</f>
        <v>3132.11</v>
      </c>
      <c r="T15" s="15">
        <f t="shared" si="5"/>
        <v>27362.99</v>
      </c>
      <c r="V15" t="s">
        <v>7234</v>
      </c>
      <c r="W15" s="46">
        <f>0</f>
        <v>0</v>
      </c>
    </row>
    <row r="16" spans="3:29">
      <c r="C16" s="16" t="s">
        <v>7259</v>
      </c>
      <c r="D16" s="17">
        <f t="shared" ref="D16:F16" si="6">SUM(D9:D15)</f>
        <v>6364.0566666666673</v>
      </c>
      <c r="E16" s="17">
        <f t="shared" si="6"/>
        <v>6027.331666666666</v>
      </c>
      <c r="F16" s="17">
        <f t="shared" si="6"/>
        <v>6466.3308333333334</v>
      </c>
      <c r="G16" s="17"/>
      <c r="H16" s="17">
        <f t="shared" ref="H16:R16" si="7">SUM(H9:H15)</f>
        <v>6062.73</v>
      </c>
      <c r="I16" s="17">
        <f t="shared" si="7"/>
        <v>6027.99</v>
      </c>
      <c r="J16" s="17">
        <f t="shared" si="7"/>
        <v>7001.4500000000007</v>
      </c>
      <c r="K16" s="17">
        <f t="shared" si="7"/>
        <v>6576.16</v>
      </c>
      <c r="L16" s="17">
        <f t="shared" si="7"/>
        <v>4277.32</v>
      </c>
      <c r="M16" s="17">
        <f t="shared" si="7"/>
        <v>6218.3399999999992</v>
      </c>
      <c r="N16" s="17">
        <f t="shared" si="7"/>
        <v>7322.69</v>
      </c>
      <c r="O16" s="17">
        <f t="shared" si="7"/>
        <v>6837.68</v>
      </c>
      <c r="P16" s="17">
        <f t="shared" si="7"/>
        <v>6106.53</v>
      </c>
      <c r="Q16" s="17">
        <f t="shared" si="7"/>
        <v>5884.53</v>
      </c>
      <c r="R16" s="17">
        <f t="shared" si="7"/>
        <v>8145.7999999999993</v>
      </c>
      <c r="S16" s="17">
        <f t="shared" ref="S16" si="8">SUM(S9:S15)</f>
        <v>7134.75</v>
      </c>
      <c r="T16" s="17">
        <f t="shared" si="5"/>
        <v>77595.97</v>
      </c>
      <c r="V16" t="s">
        <v>7299</v>
      </c>
      <c r="W16" s="46">
        <f>'Main 2'!D90-20000</f>
        <v>-14317.5</v>
      </c>
    </row>
    <row r="17" spans="3:26">
      <c r="D17" s="13"/>
      <c r="E17" s="13"/>
      <c r="F17" s="13"/>
      <c r="G17" s="13"/>
      <c r="H17" s="13"/>
      <c r="I17" s="13"/>
      <c r="J17" s="13"/>
      <c r="K17" s="13"/>
      <c r="L17" s="13"/>
      <c r="M17" s="13"/>
      <c r="N17" s="13"/>
      <c r="O17" s="13"/>
      <c r="P17" s="13"/>
      <c r="Q17" s="13"/>
      <c r="R17" s="13"/>
      <c r="S17" s="13"/>
      <c r="T17" s="13"/>
      <c r="V17" s="81" t="s">
        <v>7153</v>
      </c>
      <c r="W17" s="82">
        <f>SUM(W14:W16)</f>
        <v>-14317.5</v>
      </c>
    </row>
    <row r="18" spans="3:26">
      <c r="C18" t="s">
        <v>23</v>
      </c>
      <c r="D18" s="13">
        <f>AVERAGE(H18:J18)</f>
        <v>231.88333333333335</v>
      </c>
      <c r="E18" s="13">
        <f t="shared" ref="E18:E21" si="9">AVERAGE(H18:M18)</f>
        <v>419.93666666666667</v>
      </c>
      <c r="F18" s="13">
        <f>AVERAGE(H18:S18)</f>
        <v>357.98666666666668</v>
      </c>
      <c r="G18" s="13"/>
      <c r="H18" s="13">
        <f>SUMIFS(Actuals!$E:$E,Actuals!$F:$F,Avg!$C18,Actuals!$A:$A,Avg!H$1)</f>
        <v>230.47</v>
      </c>
      <c r="I18" s="13">
        <f>SUMIFS(Actuals!$E:$E,Actuals!$F:$F,Avg!$C18,Actuals!$A:$A,Avg!I$1)</f>
        <v>199.96</v>
      </c>
      <c r="J18" s="13">
        <f>SUMIFS(Actuals!$E:$E,Actuals!$F:$F,Avg!$C18,Actuals!$A:$A,Avg!J$1)</f>
        <v>265.22000000000003</v>
      </c>
      <c r="K18" s="13">
        <f>SUMIFS(Actuals!$E:$E,Actuals!$F:$F,Avg!$C18,Actuals!$A:$A,Avg!K$1)</f>
        <v>471.58999999999992</v>
      </c>
      <c r="L18" s="13">
        <f>SUMIFS(Actuals!$E:$E,Actuals!$F:$F,Avg!$C18,Actuals!$A:$A,Avg!L$1)</f>
        <v>969.74</v>
      </c>
      <c r="M18" s="13">
        <f>SUMIFS(Actuals!$E:$E,Actuals!$F:$F,Avg!$C18,Actuals!$A:$A,Avg!M$1)</f>
        <v>382.64</v>
      </c>
      <c r="N18" s="13">
        <f>SUMIFS(Actuals!$E:$E,Actuals!$F:$F,Avg!$C18,Actuals!$A:$A,Avg!N$1)</f>
        <v>392.69</v>
      </c>
      <c r="O18" s="13">
        <f>SUMIFS(Actuals!$E:$E,Actuals!$F:$F,Avg!$C18,Actuals!$A:$A,Avg!O$1)</f>
        <v>374.09</v>
      </c>
      <c r="P18" s="13">
        <f>SUMIFS(Actuals!$E:$E,Actuals!$F:$F,Avg!$C18,Actuals!$A:$A,Avg!P$1)</f>
        <v>111.44999999999999</v>
      </c>
      <c r="Q18" s="13">
        <f>SUMIFS(Actuals!$E:$E,Actuals!$F:$F,Avg!$C18,Actuals!$A:$A,Avg!Q$1)</f>
        <v>442.04</v>
      </c>
      <c r="R18" s="13">
        <f>SUMIFS(Actuals!$E:$E,Actuals!$F:$F,Avg!$C18,Actuals!$A:$A,Avg!R$1)</f>
        <v>273.83000000000004</v>
      </c>
      <c r="S18" s="13">
        <f>SUMIFS(Actuals!$E:$E,Actuals!$F:$F,Avg!$C18,Actuals!$A:$A,Avg!S$1)</f>
        <v>182.12</v>
      </c>
      <c r="T18" s="13">
        <f t="shared" si="5"/>
        <v>4295.84</v>
      </c>
    </row>
    <row r="19" spans="3:26">
      <c r="C19" t="s">
        <v>26</v>
      </c>
      <c r="D19" s="13">
        <f t="shared" ref="D19:D21" si="10">AVERAGE(H19:J19)</f>
        <v>1158.9399999999998</v>
      </c>
      <c r="E19" s="13">
        <f t="shared" si="9"/>
        <v>1703.1866666666667</v>
      </c>
      <c r="F19" s="13">
        <f>AVERAGE(H19:S19)</f>
        <v>1384.2208333333335</v>
      </c>
      <c r="G19" s="13"/>
      <c r="H19" s="13">
        <f>SUMIFS(Actuals!$E:$E,Actuals!$F:$F,Avg!$C19,Actuals!$A:$A,Avg!H$1)</f>
        <v>1822.7999999999997</v>
      </c>
      <c r="I19" s="13">
        <f>SUMIFS(Actuals!$E:$E,Actuals!$F:$F,Avg!$C19,Actuals!$A:$A,Avg!I$1)</f>
        <v>510.14</v>
      </c>
      <c r="J19" s="13">
        <f>SUMIFS(Actuals!$E:$E,Actuals!$F:$F,Avg!$C19,Actuals!$A:$A,Avg!J$1)</f>
        <v>1143.8800000000001</v>
      </c>
      <c r="K19" s="13">
        <f>SUMIFS(Actuals!$E:$E,Actuals!$F:$F,Avg!$C19,Actuals!$A:$A,Avg!K$1)</f>
        <v>1847.6600000000003</v>
      </c>
      <c r="L19" s="13">
        <f>SUMIFS(Actuals!$E:$E,Actuals!$F:$F,Avg!$C19,Actuals!$A:$A,Avg!L$1)</f>
        <v>3551.0500000000015</v>
      </c>
      <c r="M19" s="13">
        <f>SUMIFS(Actuals!$E:$E,Actuals!$F:$F,Avg!$C19,Actuals!$A:$A,Avg!M$1)</f>
        <v>1343.5899999999997</v>
      </c>
      <c r="N19" s="13">
        <f>SUMIFS(Actuals!$E:$E,Actuals!$F:$F,Avg!$C19,Actuals!$A:$A,Avg!N$1)</f>
        <v>1425.91</v>
      </c>
      <c r="O19" s="13">
        <f>SUMIFS(Actuals!$E:$E,Actuals!$F:$F,Avg!$C19,Actuals!$A:$A,Avg!O$1)</f>
        <v>892.74</v>
      </c>
      <c r="P19" s="13">
        <f>SUMIFS(Actuals!$E:$E,Actuals!$F:$F,Avg!$C19,Actuals!$A:$A,Avg!P$1)</f>
        <v>1421.1899999999998</v>
      </c>
      <c r="Q19" s="13">
        <f>SUMIFS(Actuals!$E:$E,Actuals!$F:$F,Avg!$C19,Actuals!$A:$A,Avg!Q$1)</f>
        <v>1058.9000000000003</v>
      </c>
      <c r="R19" s="13">
        <f>SUMIFS(Actuals!$E:$E,Actuals!$F:$F,Avg!$C19,Actuals!$A:$A,Avg!R$1)</f>
        <v>1078.8799999999999</v>
      </c>
      <c r="S19" s="13">
        <f>SUMIFS(Actuals!$E:$E,Actuals!$F:$F,Avg!$C19,Actuals!$A:$A,Avg!S$1)</f>
        <v>513.91000000000008</v>
      </c>
      <c r="T19" s="13">
        <f t="shared" si="5"/>
        <v>16610.650000000001</v>
      </c>
    </row>
    <row r="20" spans="3:26">
      <c r="C20" t="s">
        <v>28</v>
      </c>
      <c r="D20" s="13">
        <f t="shared" si="10"/>
        <v>1177.3833333333334</v>
      </c>
      <c r="E20" s="13">
        <f t="shared" si="9"/>
        <v>1116.3883333333331</v>
      </c>
      <c r="F20" s="13">
        <f t="shared" ref="F20:F21" si="11">AVERAGE(H20:S20)</f>
        <v>958.83499999999992</v>
      </c>
      <c r="G20" s="13"/>
      <c r="H20" s="13">
        <f>SUMIFS(Actuals!$E:$E,Actuals!$F:$F,Avg!$C20,Actuals!$A:$A,Avg!H$1)</f>
        <v>1134.5999999999999</v>
      </c>
      <c r="I20" s="13">
        <f>SUMIFS(Actuals!$E:$E,Actuals!$F:$F,Avg!$C20,Actuals!$A:$A,Avg!I$1)</f>
        <v>1344.48</v>
      </c>
      <c r="J20" s="13">
        <f>SUMIFS(Actuals!$E:$E,Actuals!$F:$F,Avg!$C20,Actuals!$A:$A,Avg!J$1)</f>
        <v>1053.0700000000002</v>
      </c>
      <c r="K20" s="13">
        <f>SUMIFS(Actuals!$E:$E,Actuals!$F:$F,Avg!$C20,Actuals!$A:$A,Avg!K$1)</f>
        <v>1201.08</v>
      </c>
      <c r="L20" s="13">
        <f>SUMIFS(Actuals!$E:$E,Actuals!$F:$F,Avg!$C20,Actuals!$A:$A,Avg!L$1)</f>
        <v>1043.3200000000002</v>
      </c>
      <c r="M20" s="13">
        <f>SUMIFS(Actuals!$E:$E,Actuals!$F:$F,Avg!$C20,Actuals!$A:$A,Avg!M$1)</f>
        <v>921.78</v>
      </c>
      <c r="N20" s="13">
        <f>SUMIFS(Actuals!$E:$E,Actuals!$F:$F,Avg!$C20,Actuals!$A:$A,Avg!N$1)</f>
        <v>1004.0299999999999</v>
      </c>
      <c r="O20" s="13">
        <f>SUMIFS(Actuals!$E:$E,Actuals!$F:$F,Avg!$C20,Actuals!$A:$A,Avg!O$1)</f>
        <v>714.52</v>
      </c>
      <c r="P20" s="13">
        <f>SUMIFS(Actuals!$E:$E,Actuals!$F:$F,Avg!$C20,Actuals!$A:$A,Avg!P$1)</f>
        <v>865.75999999999988</v>
      </c>
      <c r="Q20" s="13">
        <f>SUMIFS(Actuals!$E:$E,Actuals!$F:$F,Avg!$C20,Actuals!$A:$A,Avg!Q$1)</f>
        <v>242.39000000000001</v>
      </c>
      <c r="R20" s="13">
        <f>SUMIFS(Actuals!$E:$E,Actuals!$F:$F,Avg!$C20,Actuals!$A:$A,Avg!R$1)</f>
        <v>1183.82</v>
      </c>
      <c r="S20" s="13">
        <f>SUMIFS(Actuals!$E:$E,Actuals!$F:$F,Avg!$C20,Actuals!$A:$A,Avg!S$1)</f>
        <v>797.17000000000007</v>
      </c>
      <c r="T20" s="13">
        <f t="shared" si="5"/>
        <v>11506.019999999999</v>
      </c>
    </row>
    <row r="21" spans="3:26">
      <c r="C21" s="14" t="s">
        <v>31</v>
      </c>
      <c r="D21" s="15">
        <f t="shared" si="10"/>
        <v>465.12999999999994</v>
      </c>
      <c r="E21" s="15">
        <f t="shared" si="9"/>
        <v>465.15499999999997</v>
      </c>
      <c r="F21" s="15">
        <f t="shared" si="11"/>
        <v>674.4425</v>
      </c>
      <c r="G21" s="15"/>
      <c r="H21" s="15">
        <f>SUMIFS(Actuals!$E:$E,Actuals!$F:$F,Avg!$C21,Actuals!$A:$A,Avg!H$1)</f>
        <v>529.78</v>
      </c>
      <c r="I21" s="15">
        <f>SUMIFS(Actuals!$E:$E,Actuals!$F:$F,Avg!$C21,Actuals!$A:$A,Avg!I$1)</f>
        <v>269.02</v>
      </c>
      <c r="J21" s="15">
        <f>SUMIFS(Actuals!$E:$E,Actuals!$F:$F,Avg!$C21,Actuals!$A:$A,Avg!J$1)</f>
        <v>596.59</v>
      </c>
      <c r="K21" s="15">
        <f>SUMIFS(Actuals!$E:$E,Actuals!$F:$F,Avg!$C21,Actuals!$A:$A,Avg!K$1)</f>
        <v>472.05</v>
      </c>
      <c r="L21" s="15">
        <f>SUMIFS(Actuals!$E:$E,Actuals!$F:$F,Avg!$C21,Actuals!$A:$A,Avg!L$1)</f>
        <v>485.45</v>
      </c>
      <c r="M21" s="15">
        <f>SUMIFS(Actuals!$E:$E,Actuals!$F:$F,Avg!$C21,Actuals!$A:$A,Avg!M$1)</f>
        <v>438.04</v>
      </c>
      <c r="N21" s="15">
        <f>SUMIFS(Actuals!$E:$E,Actuals!$F:$F,Avg!$C21,Actuals!$A:$A,Avg!N$1)</f>
        <v>860.05</v>
      </c>
      <c r="O21" s="15">
        <f>SUMIFS(Actuals!$E:$E,Actuals!$F:$F,Avg!$C21,Actuals!$A:$A,Avg!O$1)</f>
        <v>543.80999999999995</v>
      </c>
      <c r="P21" s="15">
        <f>SUMIFS(Actuals!$E:$E,Actuals!$F:$F,Avg!$C21,Actuals!$A:$A,Avg!P$1)</f>
        <v>1146.92</v>
      </c>
      <c r="Q21" s="15">
        <f>SUMIFS(Actuals!$E:$E,Actuals!$F:$F,Avg!$C21,Actuals!$A:$A,Avg!Q$1)</f>
        <v>778.49</v>
      </c>
      <c r="R21" s="15">
        <f>SUMIFS(Actuals!$E:$E,Actuals!$F:$F,Avg!$C21,Actuals!$A:$A,Avg!R$1)</f>
        <v>1039.97</v>
      </c>
      <c r="S21" s="15">
        <f>SUMIFS(Actuals!$E:$E,Actuals!$F:$F,Avg!$C21,Actuals!$A:$A,Avg!S$1)</f>
        <v>933.14</v>
      </c>
      <c r="T21" s="15">
        <f t="shared" si="5"/>
        <v>8093.3099999999995</v>
      </c>
    </row>
    <row r="22" spans="3:26">
      <c r="C22" s="16" t="s">
        <v>7260</v>
      </c>
      <c r="D22" s="17">
        <f t="shared" ref="D22:F22" si="12">SUM(D18:D21)</f>
        <v>3033.336666666667</v>
      </c>
      <c r="E22" s="17">
        <f t="shared" si="12"/>
        <v>3704.6666666666661</v>
      </c>
      <c r="F22" s="17">
        <f t="shared" si="12"/>
        <v>3375.4850000000001</v>
      </c>
      <c r="G22" s="17"/>
      <c r="H22" s="17">
        <f t="shared" ref="H22:R22" si="13">SUM(H18:H21)</f>
        <v>3717.6499999999996</v>
      </c>
      <c r="I22" s="17">
        <f t="shared" si="13"/>
        <v>2323.6</v>
      </c>
      <c r="J22" s="17">
        <f t="shared" si="13"/>
        <v>3058.76</v>
      </c>
      <c r="K22" s="17">
        <f t="shared" si="13"/>
        <v>3992.38</v>
      </c>
      <c r="L22" s="17">
        <f t="shared" si="13"/>
        <v>6049.5600000000022</v>
      </c>
      <c r="M22" s="17">
        <f t="shared" si="13"/>
        <v>3086.0499999999993</v>
      </c>
      <c r="N22" s="17">
        <f t="shared" si="13"/>
        <v>3682.6800000000003</v>
      </c>
      <c r="O22" s="17">
        <f t="shared" si="13"/>
        <v>2525.16</v>
      </c>
      <c r="P22" s="17">
        <f t="shared" si="13"/>
        <v>3545.3199999999997</v>
      </c>
      <c r="Q22" s="17">
        <f t="shared" si="13"/>
        <v>2521.8200000000006</v>
      </c>
      <c r="R22" s="17">
        <f t="shared" si="13"/>
        <v>3576.5</v>
      </c>
      <c r="S22" s="17">
        <f t="shared" ref="S22" si="14">SUM(S18:S21)</f>
        <v>2426.34</v>
      </c>
      <c r="T22" s="17">
        <f t="shared" si="5"/>
        <v>40505.820000000007</v>
      </c>
    </row>
    <row r="23" spans="3:26">
      <c r="D23" s="13"/>
      <c r="E23" s="13"/>
      <c r="F23" s="13"/>
      <c r="G23" s="13"/>
      <c r="H23" s="13"/>
      <c r="I23" s="13"/>
      <c r="J23" s="13"/>
      <c r="K23" s="13"/>
      <c r="L23" s="13"/>
      <c r="M23" s="13"/>
      <c r="N23" s="13"/>
      <c r="O23" s="13"/>
      <c r="P23" s="13"/>
      <c r="Q23" s="13"/>
      <c r="R23" s="13"/>
      <c r="S23" s="13"/>
      <c r="T23" s="13"/>
    </row>
    <row r="24" spans="3:26">
      <c r="C24" t="s">
        <v>34</v>
      </c>
      <c r="D24" s="13">
        <f>AVERAGE(H24:J24)</f>
        <v>0</v>
      </c>
      <c r="E24" s="13">
        <f t="shared" ref="E24:E30" si="15">AVERAGE(H24:M24)</f>
        <v>15.896666666666667</v>
      </c>
      <c r="F24" s="13">
        <f t="shared" ref="F24:F30" si="16">AVERAGE(H24:S24)</f>
        <v>31.793333333333333</v>
      </c>
      <c r="G24" s="13"/>
      <c r="H24" s="13">
        <f>SUMIFS(Actuals!$E:$E,Actuals!$F:$F,Avg!$C24,Actuals!$A:$A,Avg!H$1)</f>
        <v>0</v>
      </c>
      <c r="I24" s="13">
        <f>SUMIFS(Actuals!$E:$E,Actuals!$F:$F,Avg!$C24,Actuals!$A:$A,Avg!I$1)</f>
        <v>0</v>
      </c>
      <c r="J24" s="13">
        <f>SUMIFS(Actuals!$E:$E,Actuals!$F:$F,Avg!$C24,Actuals!$A:$A,Avg!J$1)</f>
        <v>0</v>
      </c>
      <c r="K24" s="13">
        <f>SUMIFS(Actuals!$E:$E,Actuals!$F:$F,Avg!$C24,Actuals!$A:$A,Avg!K$1)</f>
        <v>0</v>
      </c>
      <c r="L24" s="13">
        <f>SUMIFS(Actuals!$E:$E,Actuals!$F:$F,Avg!$C24,Actuals!$A:$A,Avg!L$1)</f>
        <v>47.69</v>
      </c>
      <c r="M24" s="13">
        <f>SUMIFS(Actuals!$E:$E,Actuals!$F:$F,Avg!$C24,Actuals!$A:$A,Avg!M$1)</f>
        <v>47.69</v>
      </c>
      <c r="N24" s="13">
        <f>SUMIFS(Actuals!$E:$E,Actuals!$F:$F,Avg!$C24,Actuals!$A:$A,Avg!N$1)</f>
        <v>47.69</v>
      </c>
      <c r="O24" s="13">
        <f>SUMIFS(Actuals!$E:$E,Actuals!$F:$F,Avg!$C24,Actuals!$A:$A,Avg!O$1)</f>
        <v>47.69</v>
      </c>
      <c r="P24" s="13">
        <f>SUMIFS(Actuals!$E:$E,Actuals!$F:$F,Avg!$C24,Actuals!$A:$A,Avg!P$1)</f>
        <v>47.69</v>
      </c>
      <c r="Q24" s="13">
        <f>SUMIFS(Actuals!$E:$E,Actuals!$F:$F,Avg!$C24,Actuals!$A:$A,Avg!Q$1)</f>
        <v>47.69</v>
      </c>
      <c r="R24" s="13">
        <f>SUMIFS(Actuals!$E:$E,Actuals!$F:$F,Avg!$C24,Actuals!$A:$A,Avg!R$1)</f>
        <v>47.69</v>
      </c>
      <c r="S24" s="13">
        <f>SUMIFS(Actuals!$E:$E,Actuals!$F:$F,Avg!$C24,Actuals!$A:$A,Avg!S$1)</f>
        <v>47.69</v>
      </c>
      <c r="T24" s="13">
        <f t="shared" si="5"/>
        <v>381.52</v>
      </c>
    </row>
    <row r="25" spans="3:26">
      <c r="C25" t="s">
        <v>21</v>
      </c>
      <c r="D25" s="13">
        <f>AVERAGE(H25:J25)</f>
        <v>2839.6933333333327</v>
      </c>
      <c r="E25" s="13">
        <f t="shared" si="15"/>
        <v>2228.5666666666662</v>
      </c>
      <c r="F25" s="13">
        <f t="shared" si="16"/>
        <v>2038.6808333333331</v>
      </c>
      <c r="G25" s="13"/>
      <c r="H25" s="13">
        <f>SUMIFS(Actuals!$E:$E,Actuals!$F:$F,Avg!$C25,Actuals!$A:$A,Avg!H$1)</f>
        <v>3247.4399999999987</v>
      </c>
      <c r="I25" s="13">
        <f>SUMIFS(Actuals!$E:$E,Actuals!$F:$F,Avg!$C25,Actuals!$A:$A,Avg!I$1)</f>
        <v>2288.1099999999997</v>
      </c>
      <c r="J25" s="13">
        <f>SUMIFS(Actuals!$E:$E,Actuals!$F:$F,Avg!$C25,Actuals!$A:$A,Avg!J$1)</f>
        <v>2983.5299999999997</v>
      </c>
      <c r="K25" s="13">
        <f>SUMIFS(Actuals!$E:$E,Actuals!$F:$F,Avg!$C25,Actuals!$A:$A,Avg!K$1)</f>
        <v>1003.1099999999999</v>
      </c>
      <c r="L25" s="13">
        <f>SUMIFS(Actuals!$E:$E,Actuals!$F:$F,Avg!$C25,Actuals!$A:$A,Avg!L$1)</f>
        <v>881.13</v>
      </c>
      <c r="M25" s="13">
        <f>SUMIFS(Actuals!$E:$E,Actuals!$F:$F,Avg!$C25,Actuals!$A:$A,Avg!M$1)</f>
        <v>2968.0799999999995</v>
      </c>
      <c r="N25" s="13">
        <f>SUMIFS(Actuals!$E:$E,Actuals!$F:$F,Avg!$C25,Actuals!$A:$A,Avg!N$1)</f>
        <v>1317.9</v>
      </c>
      <c r="O25" s="13">
        <f>SUMIFS(Actuals!$E:$E,Actuals!$F:$F,Avg!$C25,Actuals!$A:$A,Avg!O$1)</f>
        <v>2255.6800000000007</v>
      </c>
      <c r="P25" s="13">
        <f>SUMIFS(Actuals!$E:$E,Actuals!$F:$F,Avg!$C25,Actuals!$A:$A,Avg!P$1)</f>
        <v>1376.7800000000002</v>
      </c>
      <c r="Q25" s="13">
        <f>SUMIFS(Actuals!$E:$E,Actuals!$F:$F,Avg!$C25,Actuals!$A:$A,Avg!Q$1)</f>
        <v>2339.5</v>
      </c>
      <c r="R25" s="13">
        <f>SUMIFS(Actuals!$E:$E,Actuals!$F:$F,Avg!$C25,Actuals!$A:$A,Avg!R$1)</f>
        <v>2216.3599999999992</v>
      </c>
      <c r="S25" s="13">
        <f>SUMIFS(Actuals!$E:$E,Actuals!$F:$F,Avg!$C25,Actuals!$A:$A,Avg!S$1)</f>
        <v>1586.5500000000002</v>
      </c>
      <c r="T25" s="13">
        <f t="shared" si="5"/>
        <v>24464.17</v>
      </c>
    </row>
    <row r="26" spans="3:26">
      <c r="C26" t="s">
        <v>38</v>
      </c>
      <c r="D26" s="13">
        <f t="shared" ref="D26:D30" si="17">AVERAGE(H26:J26)</f>
        <v>547.41000000000008</v>
      </c>
      <c r="E26" s="13">
        <f t="shared" si="15"/>
        <v>403.35833333333341</v>
      </c>
      <c r="F26" s="13">
        <f t="shared" si="16"/>
        <v>583.47833333333347</v>
      </c>
      <c r="G26" s="13"/>
      <c r="H26" s="13">
        <f>SUMIFS(Actuals!$E:$E,Actuals!$F:$F,Avg!$C26,Actuals!$A:$A,Avg!H$1)</f>
        <v>-126.78</v>
      </c>
      <c r="I26" s="13">
        <f>SUMIFS(Actuals!$E:$E,Actuals!$F:$F,Avg!$C26,Actuals!$A:$A,Avg!I$1)</f>
        <v>1075.8100000000002</v>
      </c>
      <c r="J26" s="13">
        <f>SUMIFS(Actuals!$E:$E,Actuals!$F:$F,Avg!$C26,Actuals!$A:$A,Avg!J$1)</f>
        <v>693.2</v>
      </c>
      <c r="K26" s="13">
        <f>SUMIFS(Actuals!$E:$E,Actuals!$F:$F,Avg!$C26,Actuals!$A:$A,Avg!K$1)</f>
        <v>60.170000000000009</v>
      </c>
      <c r="L26" s="13">
        <f>SUMIFS(Actuals!$E:$E,Actuals!$F:$F,Avg!$C26,Actuals!$A:$A,Avg!L$1)</f>
        <v>259.60000000000002</v>
      </c>
      <c r="M26" s="13">
        <f>SUMIFS(Actuals!$E:$E,Actuals!$F:$F,Avg!$C26,Actuals!$A:$A,Avg!M$1)</f>
        <v>458.15000000000003</v>
      </c>
      <c r="N26" s="13">
        <f>SUMIFS(Actuals!$E:$E,Actuals!$F:$F,Avg!$C26,Actuals!$A:$A,Avg!N$1)</f>
        <v>605.96</v>
      </c>
      <c r="O26" s="13">
        <f>SUMIFS(Actuals!$E:$E,Actuals!$F:$F,Avg!$C26,Actuals!$A:$A,Avg!O$1)</f>
        <v>547.84</v>
      </c>
      <c r="P26" s="13">
        <f>SUMIFS(Actuals!$E:$E,Actuals!$F:$F,Avg!$C26,Actuals!$A:$A,Avg!P$1)</f>
        <v>599.94999999999993</v>
      </c>
      <c r="Q26" s="13">
        <f>SUMIFS(Actuals!$E:$E,Actuals!$F:$F,Avg!$C26,Actuals!$A:$A,Avg!Q$1)</f>
        <v>-66.530000000000072</v>
      </c>
      <c r="R26" s="13">
        <f>SUMIFS(Actuals!$E:$E,Actuals!$F:$F,Avg!$C26,Actuals!$A:$A,Avg!R$1)</f>
        <v>2229.27</v>
      </c>
      <c r="S26" s="13">
        <f>SUMIFS(Actuals!$E:$E,Actuals!$F:$F,Avg!$C26,Actuals!$A:$A,Avg!S$1)</f>
        <v>665.09999999999991</v>
      </c>
      <c r="T26" s="13">
        <f t="shared" si="5"/>
        <v>7001.7400000000016</v>
      </c>
    </row>
    <row r="27" spans="3:26">
      <c r="C27" t="s">
        <v>40</v>
      </c>
      <c r="D27" s="13">
        <f t="shared" si="17"/>
        <v>712.46333333333325</v>
      </c>
      <c r="E27" s="13">
        <f t="shared" si="15"/>
        <v>502.00833333333327</v>
      </c>
      <c r="F27" s="13">
        <f t="shared" si="16"/>
        <v>594.59416666666664</v>
      </c>
      <c r="G27" s="13"/>
      <c r="H27" s="13">
        <f>SUMIFS(Actuals!$E:$E,Actuals!$F:$F,Avg!$C27,Actuals!$A:$A,Avg!H$1)</f>
        <v>557.01</v>
      </c>
      <c r="I27" s="13">
        <f>SUMIFS(Actuals!$E:$E,Actuals!$F:$F,Avg!$C27,Actuals!$A:$A,Avg!I$1)</f>
        <v>866.3599999999999</v>
      </c>
      <c r="J27" s="13">
        <f>SUMIFS(Actuals!$E:$E,Actuals!$F:$F,Avg!$C27,Actuals!$A:$A,Avg!J$1)</f>
        <v>714.01999999999987</v>
      </c>
      <c r="K27" s="13">
        <f>SUMIFS(Actuals!$E:$E,Actuals!$F:$F,Avg!$C27,Actuals!$A:$A,Avg!K$1)</f>
        <v>334.69</v>
      </c>
      <c r="L27" s="13">
        <f>SUMIFS(Actuals!$E:$E,Actuals!$F:$F,Avg!$C27,Actuals!$A:$A,Avg!L$1)</f>
        <v>287.21999999999997</v>
      </c>
      <c r="M27" s="13">
        <f>SUMIFS(Actuals!$E:$E,Actuals!$F:$F,Avg!$C27,Actuals!$A:$A,Avg!M$1)</f>
        <v>252.75</v>
      </c>
      <c r="N27" s="13">
        <f>SUMIFS(Actuals!$E:$E,Actuals!$F:$F,Avg!$C27,Actuals!$A:$A,Avg!N$1)</f>
        <v>759.52999999999986</v>
      </c>
      <c r="O27" s="13">
        <f>SUMIFS(Actuals!$E:$E,Actuals!$F:$F,Avg!$C27,Actuals!$A:$A,Avg!O$1)</f>
        <v>348.54</v>
      </c>
      <c r="P27" s="13">
        <f>SUMIFS(Actuals!$E:$E,Actuals!$F:$F,Avg!$C27,Actuals!$A:$A,Avg!P$1)</f>
        <v>1279.17</v>
      </c>
      <c r="Q27" s="13">
        <f>SUMIFS(Actuals!$E:$E,Actuals!$F:$F,Avg!$C27,Actuals!$A:$A,Avg!Q$1)</f>
        <v>425.08</v>
      </c>
      <c r="R27" s="13">
        <f>SUMIFS(Actuals!$E:$E,Actuals!$F:$F,Avg!$C27,Actuals!$A:$A,Avg!R$1)</f>
        <v>315.24</v>
      </c>
      <c r="S27" s="13">
        <f>SUMIFS(Actuals!$E:$E,Actuals!$F:$F,Avg!$C27,Actuals!$A:$A,Avg!S$1)</f>
        <v>995.52</v>
      </c>
      <c r="T27" s="13">
        <f t="shared" si="5"/>
        <v>7135.1299999999992</v>
      </c>
    </row>
    <row r="28" spans="3:26">
      <c r="C28" t="s">
        <v>41</v>
      </c>
      <c r="D28" s="13">
        <f t="shared" si="17"/>
        <v>19.976666666666667</v>
      </c>
      <c r="E28" s="13">
        <f t="shared" si="15"/>
        <v>32.568333333333335</v>
      </c>
      <c r="F28" s="13">
        <f t="shared" si="16"/>
        <v>44.821666666666665</v>
      </c>
      <c r="G28" s="13"/>
      <c r="H28" s="13">
        <f>SUMIFS(Actuals!$E:$E,Actuals!$F:$F,Avg!$C28,Actuals!$A:$A,Avg!H$1)</f>
        <v>0</v>
      </c>
      <c r="I28" s="13">
        <f>SUMIFS(Actuals!$E:$E,Actuals!$F:$F,Avg!$C28,Actuals!$A:$A,Avg!I$1)</f>
        <v>59.93</v>
      </c>
      <c r="J28" s="13">
        <f>SUMIFS(Actuals!$E:$E,Actuals!$F:$F,Avg!$C28,Actuals!$A:$A,Avg!J$1)</f>
        <v>0</v>
      </c>
      <c r="K28" s="13">
        <f>SUMIFS(Actuals!$E:$E,Actuals!$F:$F,Avg!$C28,Actuals!$A:$A,Avg!K$1)</f>
        <v>23.86</v>
      </c>
      <c r="L28" s="13">
        <f>SUMIFS(Actuals!$E:$E,Actuals!$F:$F,Avg!$C28,Actuals!$A:$A,Avg!L$1)</f>
        <v>0</v>
      </c>
      <c r="M28" s="13">
        <f>SUMIFS(Actuals!$E:$E,Actuals!$F:$F,Avg!$C28,Actuals!$A:$A,Avg!M$1)</f>
        <v>111.62</v>
      </c>
      <c r="N28" s="13">
        <f>SUMIFS(Actuals!$E:$E,Actuals!$F:$F,Avg!$C28,Actuals!$A:$A,Avg!N$1)</f>
        <v>109.81</v>
      </c>
      <c r="O28" s="13">
        <f>SUMIFS(Actuals!$E:$E,Actuals!$F:$F,Avg!$C28,Actuals!$A:$A,Avg!O$1)</f>
        <v>181.53</v>
      </c>
      <c r="P28" s="13">
        <f>SUMIFS(Actuals!$E:$E,Actuals!$F:$F,Avg!$C28,Actuals!$A:$A,Avg!P$1)</f>
        <v>17.350000000000001</v>
      </c>
      <c r="Q28" s="13">
        <f>SUMIFS(Actuals!$E:$E,Actuals!$F:$F,Avg!$C28,Actuals!$A:$A,Avg!Q$1)</f>
        <v>0</v>
      </c>
      <c r="R28" s="13">
        <f>SUMIFS(Actuals!$E:$E,Actuals!$F:$F,Avg!$C28,Actuals!$A:$A,Avg!R$1)</f>
        <v>0</v>
      </c>
      <c r="S28" s="13">
        <f>SUMIFS(Actuals!$E:$E,Actuals!$F:$F,Avg!$C28,Actuals!$A:$A,Avg!S$1)</f>
        <v>33.76</v>
      </c>
      <c r="T28" s="13">
        <f t="shared" si="5"/>
        <v>537.86</v>
      </c>
    </row>
    <row r="29" spans="3:26">
      <c r="C29" t="s">
        <v>45</v>
      </c>
      <c r="D29" s="13">
        <f t="shared" si="17"/>
        <v>225.85333333333332</v>
      </c>
      <c r="E29" s="13">
        <f t="shared" si="15"/>
        <v>130.10833333333332</v>
      </c>
      <c r="F29" s="13">
        <f t="shared" si="16"/>
        <v>65.05416666666666</v>
      </c>
      <c r="G29" s="13"/>
      <c r="H29" s="13">
        <f>SUMIFS(Actuals!$E:$E,Actuals!$F:$F,Avg!$C29,Actuals!$A:$A,Avg!H$1)</f>
        <v>97.41</v>
      </c>
      <c r="I29" s="13">
        <f>SUMIFS(Actuals!$E:$E,Actuals!$F:$F,Avg!$C29,Actuals!$A:$A,Avg!I$1)</f>
        <v>162.4</v>
      </c>
      <c r="J29" s="13">
        <f>SUMIFS(Actuals!$E:$E,Actuals!$F:$F,Avg!$C29,Actuals!$A:$A,Avg!J$1)</f>
        <v>417.75</v>
      </c>
      <c r="K29" s="13">
        <f>SUMIFS(Actuals!$E:$E,Actuals!$F:$F,Avg!$C29,Actuals!$A:$A,Avg!K$1)</f>
        <v>0</v>
      </c>
      <c r="L29" s="13">
        <f>SUMIFS(Actuals!$E:$E,Actuals!$F:$F,Avg!$C29,Actuals!$A:$A,Avg!L$1)</f>
        <v>103.09</v>
      </c>
      <c r="M29" s="13">
        <f>SUMIFS(Actuals!$E:$E,Actuals!$F:$F,Avg!$C29,Actuals!$A:$A,Avg!M$1)</f>
        <v>0</v>
      </c>
      <c r="N29" s="13">
        <f>SUMIFS(Actuals!$E:$E,Actuals!$F:$F,Avg!$C29,Actuals!$A:$A,Avg!N$1)</f>
        <v>0</v>
      </c>
      <c r="O29" s="13">
        <f>SUMIFS(Actuals!$E:$E,Actuals!$F:$F,Avg!$C29,Actuals!$A:$A,Avg!O$1)</f>
        <v>0</v>
      </c>
      <c r="P29" s="13">
        <f>SUMIFS(Actuals!$E:$E,Actuals!$F:$F,Avg!$C29,Actuals!$A:$A,Avg!P$1)</f>
        <v>0</v>
      </c>
      <c r="Q29" s="13">
        <f>SUMIFS(Actuals!$E:$E,Actuals!$F:$F,Avg!$C29,Actuals!$A:$A,Avg!Q$1)</f>
        <v>0</v>
      </c>
      <c r="R29" s="13">
        <f>SUMIFS(Actuals!$E:$E,Actuals!$F:$F,Avg!$C29,Actuals!$A:$A,Avg!R$1)</f>
        <v>0</v>
      </c>
      <c r="S29" s="13">
        <f>SUMIFS(Actuals!$E:$E,Actuals!$F:$F,Avg!$C29,Actuals!$A:$A,Avg!S$1)</f>
        <v>0</v>
      </c>
      <c r="T29" s="13">
        <f t="shared" si="5"/>
        <v>780.65</v>
      </c>
    </row>
    <row r="30" spans="3:26">
      <c r="C30" s="14" t="s">
        <v>29</v>
      </c>
      <c r="D30" s="15">
        <f t="shared" si="17"/>
        <v>24.066666666666666</v>
      </c>
      <c r="E30" s="15">
        <f t="shared" si="15"/>
        <v>18.525000000000002</v>
      </c>
      <c r="F30" s="15">
        <f t="shared" si="16"/>
        <v>43.987500000000004</v>
      </c>
      <c r="G30" s="15"/>
      <c r="H30" s="15">
        <f>SUMIFS(Actuals!$E:$E,Actuals!$F:$F,Avg!$C30,Actuals!$A:$A,Avg!H$1)</f>
        <v>10.5</v>
      </c>
      <c r="I30" s="15">
        <f>SUMIFS(Actuals!$E:$E,Actuals!$F:$F,Avg!$C30,Actuals!$A:$A,Avg!I$1)</f>
        <v>61.7</v>
      </c>
      <c r="J30" s="15">
        <f>SUMIFS(Actuals!$E:$E,Actuals!$F:$F,Avg!$C30,Actuals!$A:$A,Avg!J$1)</f>
        <v>0</v>
      </c>
      <c r="K30" s="15">
        <f>SUMIFS(Actuals!$E:$E,Actuals!$F:$F,Avg!$C30,Actuals!$A:$A,Avg!K$1)</f>
        <v>0</v>
      </c>
      <c r="L30" s="15">
        <f>SUMIFS(Actuals!$E:$E,Actuals!$F:$F,Avg!$C30,Actuals!$A:$A,Avg!L$1)</f>
        <v>38.950000000000003</v>
      </c>
      <c r="M30" s="15">
        <f>SUMIFS(Actuals!$E:$E,Actuals!$F:$F,Avg!$C30,Actuals!$A:$A,Avg!M$1)</f>
        <v>0</v>
      </c>
      <c r="N30" s="15">
        <f>SUMIFS(Actuals!$E:$E,Actuals!$F:$F,Avg!$C30,Actuals!$A:$A,Avg!N$1)</f>
        <v>339.8</v>
      </c>
      <c r="O30" s="15">
        <f>SUMIFS(Actuals!$E:$E,Actuals!$F:$F,Avg!$C30,Actuals!$A:$A,Avg!O$1)</f>
        <v>27.2</v>
      </c>
      <c r="P30" s="15">
        <f>SUMIFS(Actuals!$E:$E,Actuals!$F:$F,Avg!$C30,Actuals!$A:$A,Avg!P$1)</f>
        <v>0</v>
      </c>
      <c r="Q30" s="15">
        <f>SUMIFS(Actuals!$E:$E,Actuals!$F:$F,Avg!$C30,Actuals!$A:$A,Avg!Q$1)</f>
        <v>0</v>
      </c>
      <c r="R30" s="15">
        <f>SUMIFS(Actuals!$E:$E,Actuals!$F:$F,Avg!$C30,Actuals!$A:$A,Avg!R$1)</f>
        <v>47.33</v>
      </c>
      <c r="S30" s="15">
        <f>SUMIFS(Actuals!$E:$E,Actuals!$F:$F,Avg!$C30,Actuals!$A:$A,Avg!S$1)</f>
        <v>2.3699999999999997</v>
      </c>
      <c r="T30" s="15">
        <f t="shared" si="5"/>
        <v>527.85</v>
      </c>
    </row>
    <row r="31" spans="3:26">
      <c r="C31" s="16" t="s">
        <v>7261</v>
      </c>
      <c r="D31" s="17">
        <f t="shared" ref="D31:F31" si="18">SUM(D24:D30)</f>
        <v>4369.4633333333322</v>
      </c>
      <c r="E31" s="17">
        <f t="shared" si="18"/>
        <v>3331.0316666666658</v>
      </c>
      <c r="F31" s="17">
        <f t="shared" si="18"/>
        <v>3402.4100000000003</v>
      </c>
      <c r="G31" s="17"/>
      <c r="H31" s="17">
        <f t="shared" ref="H31:R31" si="19">SUM(H24:H30)</f>
        <v>3785.5799999999981</v>
      </c>
      <c r="I31" s="17">
        <f t="shared" si="19"/>
        <v>4514.3099999999995</v>
      </c>
      <c r="J31" s="17">
        <f t="shared" si="19"/>
        <v>4808.4999999999991</v>
      </c>
      <c r="K31" s="17">
        <f t="shared" si="19"/>
        <v>1421.83</v>
      </c>
      <c r="L31" s="17">
        <f t="shared" si="19"/>
        <v>1617.68</v>
      </c>
      <c r="M31" s="17">
        <f t="shared" si="19"/>
        <v>3838.2899999999995</v>
      </c>
      <c r="N31" s="17">
        <f t="shared" si="19"/>
        <v>3180.69</v>
      </c>
      <c r="O31" s="17">
        <f t="shared" si="19"/>
        <v>3408.4800000000009</v>
      </c>
      <c r="P31" s="17">
        <f t="shared" si="19"/>
        <v>3320.94</v>
      </c>
      <c r="Q31" s="17">
        <f t="shared" si="19"/>
        <v>2745.74</v>
      </c>
      <c r="R31" s="17">
        <f t="shared" si="19"/>
        <v>4855.8899999999994</v>
      </c>
      <c r="S31" s="17">
        <f t="shared" ref="S31" si="20">SUM(S24:S30)</f>
        <v>3330.9900000000002</v>
      </c>
      <c r="T31" s="17">
        <f t="shared" si="5"/>
        <v>40828.919999999991</v>
      </c>
      <c r="Z31" s="45"/>
    </row>
    <row r="32" spans="3:26">
      <c r="C32" s="19"/>
      <c r="D32" s="20"/>
      <c r="E32" s="20"/>
      <c r="F32" s="20"/>
      <c r="G32" s="20"/>
      <c r="H32" s="20"/>
      <c r="I32" s="20"/>
      <c r="J32" s="20"/>
      <c r="K32" s="20"/>
      <c r="L32" s="20"/>
      <c r="M32" s="20"/>
      <c r="N32" s="20"/>
      <c r="O32" s="20"/>
      <c r="P32" s="20"/>
      <c r="Q32" s="20"/>
      <c r="R32" s="20"/>
      <c r="S32" s="20"/>
      <c r="T32" s="20"/>
      <c r="Z32" s="45"/>
    </row>
    <row r="33" spans="3:23">
      <c r="C33" s="16" t="s">
        <v>7153</v>
      </c>
      <c r="D33" s="17">
        <f t="shared" ref="D33:F33" si="21">SUM(D31,D22,D16)</f>
        <v>13766.856666666667</v>
      </c>
      <c r="E33" s="17">
        <f t="shared" si="21"/>
        <v>13063.029999999999</v>
      </c>
      <c r="F33" s="17">
        <f t="shared" si="21"/>
        <v>13244.225833333334</v>
      </c>
      <c r="G33" s="17"/>
      <c r="H33" s="17">
        <f t="shared" ref="H33:R33" si="22">SUM(H31,H22,H16)</f>
        <v>13565.959999999997</v>
      </c>
      <c r="I33" s="17">
        <f t="shared" si="22"/>
        <v>12865.9</v>
      </c>
      <c r="J33" s="17">
        <f t="shared" si="22"/>
        <v>14868.71</v>
      </c>
      <c r="K33" s="17">
        <f t="shared" si="22"/>
        <v>11990.369999999999</v>
      </c>
      <c r="L33" s="17">
        <f t="shared" si="22"/>
        <v>11944.560000000001</v>
      </c>
      <c r="M33" s="17">
        <f t="shared" si="22"/>
        <v>13142.679999999997</v>
      </c>
      <c r="N33" s="17">
        <f t="shared" si="22"/>
        <v>14186.060000000001</v>
      </c>
      <c r="O33" s="17">
        <f t="shared" si="22"/>
        <v>12771.320000000002</v>
      </c>
      <c r="P33" s="17">
        <f t="shared" si="22"/>
        <v>12972.79</v>
      </c>
      <c r="Q33" s="17">
        <f t="shared" si="22"/>
        <v>11152.09</v>
      </c>
      <c r="R33" s="17">
        <f t="shared" si="22"/>
        <v>16578.189999999999</v>
      </c>
      <c r="S33" s="17">
        <f t="shared" ref="S33" si="23">SUM(S31,S22,S16)</f>
        <v>12892.08</v>
      </c>
      <c r="T33" s="17">
        <f t="shared" si="5"/>
        <v>158930.70999999996</v>
      </c>
    </row>
    <row r="34" spans="3:23">
      <c r="D34" s="13"/>
      <c r="E34" s="13"/>
      <c r="F34" s="13"/>
      <c r="G34" s="13"/>
      <c r="H34" s="13"/>
      <c r="I34" s="13"/>
      <c r="J34" s="13"/>
      <c r="K34" s="13"/>
      <c r="L34" s="13"/>
      <c r="M34" s="13"/>
      <c r="N34" s="13"/>
      <c r="O34" s="13"/>
      <c r="P34" s="13"/>
      <c r="Q34" s="13"/>
      <c r="R34" s="13"/>
      <c r="S34" s="13"/>
      <c r="T34" s="13"/>
      <c r="V34" s="122" t="s">
        <v>7300</v>
      </c>
    </row>
    <row r="35" spans="3:23">
      <c r="C35" t="s">
        <v>48</v>
      </c>
      <c r="D35" s="13">
        <f t="shared" ref="D35:D37" si="24">AVERAGE(H35:J35)</f>
        <v>82.096666666666664</v>
      </c>
      <c r="E35" s="13">
        <f t="shared" ref="E35:E37" si="25">AVERAGE(H35:M35)</f>
        <v>167.13333333333335</v>
      </c>
      <c r="F35" s="13">
        <f t="shared" ref="F35:F37" si="26">AVERAGE(H35:S35)</f>
        <v>210.61999999999998</v>
      </c>
      <c r="G35" s="13"/>
      <c r="H35" s="13">
        <f>SUMIFS(Actuals!$E:$E,Actuals!$F:$F,Avg!$C35,Actuals!$A:$A,Avg!H$1)</f>
        <v>0</v>
      </c>
      <c r="I35" s="13">
        <f>SUMIFS(Actuals!$E:$E,Actuals!$F:$F,Avg!$C35,Actuals!$A:$A,Avg!I$1)</f>
        <v>246.29</v>
      </c>
      <c r="J35" s="13">
        <f>SUMIFS(Actuals!$E:$E,Actuals!$F:$F,Avg!$C35,Actuals!$A:$A,Avg!J$1)</f>
        <v>0</v>
      </c>
      <c r="K35" s="13">
        <f>SUMIFS(Actuals!$E:$E,Actuals!$F:$F,Avg!$C35,Actuals!$A:$A,Avg!K$1)</f>
        <v>0</v>
      </c>
      <c r="L35" s="13">
        <f>SUMIFS(Actuals!$E:$E,Actuals!$F:$F,Avg!$C35,Actuals!$A:$A,Avg!L$1)</f>
        <v>756.5100000000001</v>
      </c>
      <c r="M35" s="13">
        <f>SUMIFS(Actuals!$E:$E,Actuals!$F:$F,Avg!$C35,Actuals!$A:$A,Avg!M$1)</f>
        <v>0</v>
      </c>
      <c r="N35" s="13">
        <f>SUMIFS(Actuals!$E:$E,Actuals!$F:$F,Avg!$C35,Actuals!$A:$A,Avg!N$1)</f>
        <v>225.58</v>
      </c>
      <c r="O35" s="13">
        <f>SUMIFS(Actuals!$E:$E,Actuals!$F:$F,Avg!$C35,Actuals!$A:$A,Avg!O$1)</f>
        <v>33.500000000000014</v>
      </c>
      <c r="P35" s="13">
        <f>SUMIFS(Actuals!$E:$E,Actuals!$F:$F,Avg!$C35,Actuals!$A:$A,Avg!P$1)</f>
        <v>831.68</v>
      </c>
      <c r="Q35" s="13">
        <f>SUMIFS(Actuals!$E:$E,Actuals!$F:$F,Avg!$C35,Actuals!$A:$A,Avg!Q$1)</f>
        <v>268.02</v>
      </c>
      <c r="R35" s="13">
        <f>SUMIFS(Actuals!$E:$E,Actuals!$F:$F,Avg!$C35,Actuals!$A:$A,Avg!R$1)</f>
        <v>261.27999999999997</v>
      </c>
      <c r="S35" s="13">
        <f>SUMIFS(Actuals!$E:$E,Actuals!$F:$F,Avg!$C35,Actuals!$A:$A,Avg!S$1)</f>
        <v>-95.42000000000003</v>
      </c>
      <c r="T35" s="13">
        <f t="shared" si="5"/>
        <v>2527.4399999999996</v>
      </c>
    </row>
    <row r="36" spans="3:23">
      <c r="C36" t="s">
        <v>50</v>
      </c>
      <c r="D36" s="13">
        <f t="shared" si="24"/>
        <v>0</v>
      </c>
      <c r="E36" s="13">
        <f t="shared" si="25"/>
        <v>0</v>
      </c>
      <c r="F36" s="13">
        <f t="shared" si="26"/>
        <v>964.35333333333335</v>
      </c>
      <c r="G36" s="13"/>
      <c r="H36" s="13">
        <f>SUMIFS(Actuals!$E:$E,Actuals!$F:$F,Avg!$C36,Actuals!$A:$A,Avg!H$1)</f>
        <v>0</v>
      </c>
      <c r="I36" s="13">
        <f>SUMIFS(Actuals!$E:$E,Actuals!$F:$F,Avg!$C36,Actuals!$A:$A,Avg!I$1)</f>
        <v>0</v>
      </c>
      <c r="J36" s="13">
        <f>SUMIFS(Actuals!$E:$E,Actuals!$F:$F,Avg!$C36,Actuals!$A:$A,Avg!J$1)</f>
        <v>0</v>
      </c>
      <c r="K36" s="13">
        <f>SUMIFS(Actuals!$E:$E,Actuals!$F:$F,Avg!$C36,Actuals!$A:$A,Avg!K$1)</f>
        <v>0</v>
      </c>
      <c r="L36" s="13">
        <f>SUMIFS(Actuals!$E:$E,Actuals!$F:$F,Avg!$C36,Actuals!$A:$A,Avg!L$1)</f>
        <v>0</v>
      </c>
      <c r="M36" s="13">
        <f>SUMIFS(Actuals!$E:$E,Actuals!$F:$F,Avg!$C36,Actuals!$A:$A,Avg!M$1)</f>
        <v>0</v>
      </c>
      <c r="N36" s="13">
        <f>SUMIFS(Actuals!$E:$E,Actuals!$F:$F,Avg!$C36,Actuals!$A:$A,Avg!N$1)</f>
        <v>0</v>
      </c>
      <c r="O36" s="13">
        <f>SUMIFS(Actuals!$E:$E,Actuals!$F:$F,Avg!$C36,Actuals!$A:$A,Avg!O$1)</f>
        <v>367</v>
      </c>
      <c r="P36" s="13">
        <f>SUMIFS(Actuals!$E:$E,Actuals!$F:$F,Avg!$C36,Actuals!$A:$A,Avg!P$1)</f>
        <v>0</v>
      </c>
      <c r="Q36" s="13">
        <f>SUMIFS(Actuals!$E:$E,Actuals!$F:$F,Avg!$C36,Actuals!$A:$A,Avg!Q$1)</f>
        <v>9630.94</v>
      </c>
      <c r="R36" s="13">
        <f>SUMIFS(Actuals!$E:$E,Actuals!$F:$F,Avg!$C36,Actuals!$A:$A,Avg!R$1)</f>
        <v>720.33</v>
      </c>
      <c r="S36" s="13">
        <f>SUMIFS(Actuals!$E:$E,Actuals!$F:$F,Avg!$C36,Actuals!$A:$A,Avg!S$1)</f>
        <v>853.97</v>
      </c>
      <c r="T36" s="13">
        <f t="shared" si="5"/>
        <v>11572.24</v>
      </c>
      <c r="V36" t="s">
        <v>7301</v>
      </c>
    </row>
    <row r="37" spans="3:23">
      <c r="C37" s="14" t="s">
        <v>43</v>
      </c>
      <c r="D37" s="15">
        <f t="shared" si="24"/>
        <v>1311.41</v>
      </c>
      <c r="E37" s="15">
        <f t="shared" si="25"/>
        <v>2017.1216666666671</v>
      </c>
      <c r="F37" s="15">
        <f t="shared" si="26"/>
        <v>1508.1641666666667</v>
      </c>
      <c r="G37" s="15"/>
      <c r="H37" s="15">
        <f>SUMIFS(Actuals!$E:$E,Actuals!$F:$F,Avg!$C37,Actuals!$A:$A,Avg!H$1)</f>
        <v>593.6400000000001</v>
      </c>
      <c r="I37" s="15">
        <f>SUMIFS(Actuals!$E:$E,Actuals!$F:$F,Avg!$C37,Actuals!$A:$A,Avg!I$1)</f>
        <v>1848.3100000000002</v>
      </c>
      <c r="J37" s="15">
        <f>SUMIFS(Actuals!$E:$E,Actuals!$F:$F,Avg!$C37,Actuals!$A:$A,Avg!J$1)</f>
        <v>1492.28</v>
      </c>
      <c r="K37" s="15">
        <f>SUMIFS(Actuals!$E:$E,Actuals!$F:$F,Avg!$C37,Actuals!$A:$A,Avg!K$1)</f>
        <v>4167.0400000000009</v>
      </c>
      <c r="L37" s="15">
        <f>SUMIFS(Actuals!$E:$E,Actuals!$F:$F,Avg!$C37,Actuals!$A:$A,Avg!L$1)</f>
        <v>2189.9400000000005</v>
      </c>
      <c r="M37" s="15">
        <f>SUMIFS(Actuals!$E:$E,Actuals!$F:$F,Avg!$C37,Actuals!$A:$A,Avg!M$1)</f>
        <v>1811.52</v>
      </c>
      <c r="N37" s="15">
        <f>SUMIFS(Actuals!$E:$E,Actuals!$F:$F,Avg!$C37,Actuals!$A:$A,Avg!N$1)</f>
        <v>2312.8399999999997</v>
      </c>
      <c r="O37" s="15">
        <f>SUMIFS(Actuals!$E:$E,Actuals!$F:$F,Avg!$C37,Actuals!$A:$A,Avg!O$1)</f>
        <v>21.68</v>
      </c>
      <c r="P37" s="15">
        <f>SUMIFS(Actuals!$E:$E,Actuals!$F:$F,Avg!$C37,Actuals!$A:$A,Avg!P$1)</f>
        <v>1073.5</v>
      </c>
      <c r="Q37" s="15">
        <f>SUMIFS(Actuals!$E:$E,Actuals!$F:$F,Avg!$C37,Actuals!$A:$A,Avg!Q$1)</f>
        <v>520.97</v>
      </c>
      <c r="R37" s="15">
        <f>SUMIFS(Actuals!$E:$E,Actuals!$F:$F,Avg!$C37,Actuals!$A:$A,Avg!R$1)</f>
        <v>0</v>
      </c>
      <c r="S37" s="15">
        <f>SUMIFS(Actuals!$E:$E,Actuals!$F:$F,Avg!$C37,Actuals!$A:$A,Avg!S$1)</f>
        <v>2066.25</v>
      </c>
      <c r="T37" s="15">
        <f t="shared" si="5"/>
        <v>18097.97</v>
      </c>
      <c r="V37" s="46">
        <f>(X10-W17)</f>
        <v>92695.679999999993</v>
      </c>
      <c r="W37" s="46"/>
    </row>
    <row r="38" spans="3:23">
      <c r="C38" s="16" t="s">
        <v>7265</v>
      </c>
      <c r="D38" s="13">
        <f>SUM(D35:D37)</f>
        <v>1393.5066666666667</v>
      </c>
      <c r="E38" s="13">
        <f t="shared" ref="E38:S38" si="27">SUM(E35:E37)</f>
        <v>2184.2550000000006</v>
      </c>
      <c r="F38" s="13">
        <f t="shared" si="27"/>
        <v>2683.1374999999998</v>
      </c>
      <c r="G38" s="13">
        <f t="shared" si="27"/>
        <v>0</v>
      </c>
      <c r="H38" s="13">
        <f t="shared" si="27"/>
        <v>593.6400000000001</v>
      </c>
      <c r="I38" s="13">
        <f t="shared" si="27"/>
        <v>2094.6000000000004</v>
      </c>
      <c r="J38" s="13">
        <f t="shared" si="27"/>
        <v>1492.28</v>
      </c>
      <c r="K38" s="13">
        <f t="shared" si="27"/>
        <v>4167.0400000000009</v>
      </c>
      <c r="L38" s="13">
        <f t="shared" si="27"/>
        <v>2946.4500000000007</v>
      </c>
      <c r="M38" s="13">
        <f t="shared" si="27"/>
        <v>1811.52</v>
      </c>
      <c r="N38" s="13">
        <f t="shared" si="27"/>
        <v>2538.4199999999996</v>
      </c>
      <c r="O38" s="13">
        <f t="shared" si="27"/>
        <v>422.18</v>
      </c>
      <c r="P38" s="13">
        <f t="shared" si="27"/>
        <v>1905.1799999999998</v>
      </c>
      <c r="Q38" s="13">
        <f t="shared" si="27"/>
        <v>10419.93</v>
      </c>
      <c r="R38" s="13">
        <f t="shared" si="27"/>
        <v>981.61</v>
      </c>
      <c r="S38" s="13">
        <f t="shared" si="27"/>
        <v>2824.8</v>
      </c>
      <c r="T38" s="13">
        <f t="shared" si="5"/>
        <v>32197.65</v>
      </c>
    </row>
    <row r="39" spans="3:23">
      <c r="C39" s="19"/>
      <c r="D39" s="20"/>
      <c r="E39" s="20"/>
      <c r="F39" s="20"/>
      <c r="G39" s="20"/>
      <c r="H39" s="20"/>
      <c r="I39" s="20"/>
      <c r="J39" s="20"/>
      <c r="K39" s="20"/>
      <c r="L39" s="20"/>
      <c r="M39" s="20"/>
      <c r="N39" s="20"/>
      <c r="O39" s="20"/>
      <c r="P39" s="20"/>
      <c r="Q39" s="20"/>
      <c r="R39" s="20"/>
      <c r="S39" s="20"/>
      <c r="T39" s="20"/>
    </row>
    <row r="40" spans="3:23">
      <c r="C40" s="16" t="s">
        <v>7266</v>
      </c>
      <c r="D40" s="17">
        <f t="shared" ref="D40:F40" si="28">SUM(D38,D33)</f>
        <v>15160.363333333333</v>
      </c>
      <c r="E40" s="17">
        <f t="shared" si="28"/>
        <v>15247.285</v>
      </c>
      <c r="F40" s="17">
        <f t="shared" si="28"/>
        <v>15927.363333333335</v>
      </c>
      <c r="G40" s="17"/>
      <c r="H40" s="17">
        <f t="shared" ref="H40:R40" si="29">SUM(H38,H33)</f>
        <v>14159.599999999997</v>
      </c>
      <c r="I40" s="17">
        <f>SUM(I38,I33)</f>
        <v>14960.5</v>
      </c>
      <c r="J40" s="17">
        <f t="shared" si="29"/>
        <v>16360.99</v>
      </c>
      <c r="K40" s="17">
        <f t="shared" si="29"/>
        <v>16157.41</v>
      </c>
      <c r="L40" s="17">
        <f t="shared" si="29"/>
        <v>14891.010000000002</v>
      </c>
      <c r="M40" s="17">
        <f t="shared" si="29"/>
        <v>14954.199999999997</v>
      </c>
      <c r="N40" s="17">
        <f t="shared" si="29"/>
        <v>16724.48</v>
      </c>
      <c r="O40" s="17">
        <f t="shared" si="29"/>
        <v>13193.500000000002</v>
      </c>
      <c r="P40" s="17">
        <f t="shared" si="29"/>
        <v>14877.970000000001</v>
      </c>
      <c r="Q40" s="17">
        <f t="shared" si="29"/>
        <v>21572.02</v>
      </c>
      <c r="R40" s="17">
        <f t="shared" si="29"/>
        <v>17559.8</v>
      </c>
      <c r="S40" s="17">
        <f t="shared" ref="S40" si="30">SUM(S38,S33)</f>
        <v>15716.880000000001</v>
      </c>
      <c r="T40" s="17">
        <f t="shared" si="5"/>
        <v>191128.36</v>
      </c>
    </row>
    <row r="41" spans="3:23">
      <c r="I41" s="46"/>
    </row>
    <row r="45" spans="3:23">
      <c r="V45" t="s">
        <v>7302</v>
      </c>
    </row>
    <row r="46" spans="3:23">
      <c r="V46" s="46" t="s">
        <v>7124</v>
      </c>
      <c r="W46" s="46">
        <f>W17</f>
        <v>-14317.5</v>
      </c>
    </row>
    <row r="47" spans="3:23">
      <c r="V47" s="46" t="s">
        <v>7294</v>
      </c>
      <c r="W47" s="46">
        <f>W10</f>
        <v>41300.57</v>
      </c>
    </row>
    <row r="48" spans="3:23">
      <c r="V48" s="46" t="s">
        <v>7295</v>
      </c>
      <c r="W48" s="46">
        <f>X10</f>
        <v>78378.179999999993</v>
      </c>
    </row>
  </sheetData>
  <pageMargins left="0.25" right="0.25" top="0.75" bottom="0.75" header="0.3" footer="0.3"/>
  <pageSetup fitToHeight="0"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B229-C812-418F-BB99-276B636356CF}">
  <sheetPr>
    <pageSetUpPr fitToPage="1"/>
  </sheetPr>
  <dimension ref="C1:P47"/>
  <sheetViews>
    <sheetView topLeftCell="B6" workbookViewId="0">
      <pane xSplit="2" ySplit="3" topLeftCell="G21" activePane="bottomRight" state="frozen"/>
      <selection pane="topRight"/>
      <selection pane="bottomLeft"/>
      <selection pane="bottomRight"/>
    </sheetView>
  </sheetViews>
  <sheetFormatPr defaultRowHeight="15"/>
  <cols>
    <col min="2" max="2" width="5.28515625" customWidth="1"/>
    <col min="3" max="3" width="25" customWidth="1"/>
    <col min="4" max="15" width="10.28515625" customWidth="1"/>
  </cols>
  <sheetData>
    <row r="1" spans="3:16">
      <c r="D1">
        <f>VALUE('1 MO'!$C$3&amp;"01")</f>
        <v>202501</v>
      </c>
      <c r="E1">
        <f>VALUE('1 MO'!$C$3&amp;"02")</f>
        <v>202502</v>
      </c>
      <c r="F1">
        <f>VALUE('1 MO'!$C$3&amp;"03")</f>
        <v>202503</v>
      </c>
      <c r="G1">
        <f>VALUE('1 MO'!$C$3&amp;"04")</f>
        <v>202504</v>
      </c>
      <c r="H1">
        <f>VALUE('1 MO'!$C$3&amp;"05")</f>
        <v>202505</v>
      </c>
      <c r="I1">
        <f>VALUE('1 MO'!$C$3&amp;"06")</f>
        <v>202506</v>
      </c>
      <c r="J1">
        <f>VALUE('1 MO'!$C$3&amp;"07")</f>
        <v>202507</v>
      </c>
      <c r="K1">
        <f>VALUE('1 MO'!$C$3&amp;"08")</f>
        <v>202508</v>
      </c>
      <c r="L1">
        <f>VALUE('1 MO'!$C$3&amp;"09")</f>
        <v>202509</v>
      </c>
      <c r="M1">
        <f>VALUE('1 MO'!$C$3&amp;"10")</f>
        <v>202510</v>
      </c>
      <c r="N1">
        <f>VALUE('1 MO'!$C$3&amp;"11")</f>
        <v>202511</v>
      </c>
      <c r="O1">
        <f>VALUE('1 MO'!$C$3&amp;"12")</f>
        <v>202512</v>
      </c>
    </row>
    <row r="2" spans="3:16">
      <c r="D2" s="6"/>
    </row>
    <row r="6" spans="3:16" ht="23.25">
      <c r="C6" s="29" t="s">
        <v>7303</v>
      </c>
    </row>
    <row r="7" spans="3:16">
      <c r="C7" s="9"/>
      <c r="D7" s="10" t="str">
        <f>TEXT(DATE(LEFT(D1,4),RIGHT(D1,2),1),"MMM YYYY")</f>
        <v>Jan 2025</v>
      </c>
      <c r="E7" s="10" t="str">
        <f t="shared" ref="E7:O7" si="0">TEXT(DATE(LEFT(E1,4),RIGHT(E1,2),1),"MMM YYYY")</f>
        <v>Feb 2025</v>
      </c>
      <c r="F7" s="10" t="str">
        <f t="shared" si="0"/>
        <v>Mar 2025</v>
      </c>
      <c r="G7" s="10" t="str">
        <f t="shared" si="0"/>
        <v>Apr 2025</v>
      </c>
      <c r="H7" s="10" t="str">
        <f t="shared" si="0"/>
        <v>May 2025</v>
      </c>
      <c r="I7" s="10" t="str">
        <f t="shared" si="0"/>
        <v>Jun 2025</v>
      </c>
      <c r="J7" s="10" t="str">
        <f t="shared" si="0"/>
        <v>Jul 2025</v>
      </c>
      <c r="K7" s="10" t="str">
        <f t="shared" si="0"/>
        <v>Aug 2025</v>
      </c>
      <c r="L7" s="10" t="str">
        <f t="shared" si="0"/>
        <v>Sep 2025</v>
      </c>
      <c r="M7" s="27" t="str">
        <f t="shared" si="0"/>
        <v>Oct 2025</v>
      </c>
      <c r="N7" s="27" t="str">
        <f t="shared" si="0"/>
        <v>Nov 2025</v>
      </c>
      <c r="O7" s="27" t="str">
        <f t="shared" si="0"/>
        <v>Dec 2025</v>
      </c>
      <c r="P7" s="10" t="s">
        <v>7153</v>
      </c>
    </row>
    <row r="8" spans="3:16" ht="3" customHeight="1">
      <c r="C8" s="22"/>
      <c r="D8" s="23"/>
      <c r="E8" s="23"/>
      <c r="F8" s="23"/>
      <c r="G8" s="23"/>
      <c r="H8" s="23"/>
      <c r="I8" s="23"/>
      <c r="J8" s="23"/>
      <c r="K8" s="23"/>
      <c r="L8" s="23"/>
      <c r="M8" s="23"/>
      <c r="N8" s="23"/>
      <c r="O8" s="23"/>
      <c r="P8" s="23"/>
    </row>
    <row r="9" spans="3:16">
      <c r="C9" t="s">
        <v>5</v>
      </c>
      <c r="D9" s="40">
        <v>1816</v>
      </c>
      <c r="E9" s="40">
        <v>1816</v>
      </c>
      <c r="F9" s="40">
        <v>1816</v>
      </c>
      <c r="G9" s="40">
        <v>1816</v>
      </c>
      <c r="H9" s="40">
        <v>1816</v>
      </c>
      <c r="I9" s="40">
        <v>1816</v>
      </c>
      <c r="J9" s="40">
        <v>1817</v>
      </c>
      <c r="K9" s="40">
        <v>1816</v>
      </c>
      <c r="L9" s="40">
        <v>1816</v>
      </c>
      <c r="M9" s="40">
        <v>1816</v>
      </c>
      <c r="N9" s="40">
        <v>1816</v>
      </c>
      <c r="O9" s="40">
        <v>1816</v>
      </c>
      <c r="P9" s="13">
        <f>SUM(D9:O9)</f>
        <v>21793</v>
      </c>
    </row>
    <row r="10" spans="3:16">
      <c r="C10" t="s">
        <v>2</v>
      </c>
      <c r="D10" s="13">
        <f>SUMIFS(Actuals!$E:$E,Actuals!$F:$F,'Proj 9.22'!$C10,Actuals!$A:$A,'Proj 9.22'!D$1)</f>
        <v>158.51</v>
      </c>
      <c r="E10" s="13">
        <f>SUMIFS(Actuals!$E:$E,Actuals!$F:$F,'Proj 9.22'!$C10,Actuals!$A:$A,'Proj 9.22'!E$1)</f>
        <v>72.41</v>
      </c>
      <c r="F10" s="13">
        <f>SUMIFS(Actuals!$E:$E,Actuals!$F:$F,'Proj 9.22'!$C10,Actuals!$A:$A,'Proj 9.22'!F$1)</f>
        <v>432.06</v>
      </c>
      <c r="G10" s="13">
        <f>SUMIFS(Actuals!$E:$E,Actuals!$F:$F,'Proj 9.22'!$C10,Actuals!$A:$A,'Proj 9.22'!G$1)</f>
        <v>532.5200000000001</v>
      </c>
      <c r="H10" s="13">
        <f>SUMIFS(Actuals!$E:$E,Actuals!$F:$F,'Proj 9.22'!$C10,Actuals!$A:$A,'Proj 9.22'!H$1)</f>
        <v>296.67999999999995</v>
      </c>
      <c r="I10" s="13">
        <f>SUMIFS(Actuals!$E:$E,Actuals!$F:$F,'Proj 9.22'!$C10,Actuals!$A:$A,'Proj 9.22'!I$1)</f>
        <v>719.2600000000001</v>
      </c>
      <c r="J10" s="13">
        <f>SUMIFS(Actuals!$E:$E,Actuals!$F:$F,'Proj 9.22'!$C10,Actuals!$A:$A,'Proj 9.22'!J$1)</f>
        <v>373.78</v>
      </c>
      <c r="K10" s="13">
        <f>SUMIFS(Actuals!$E:$E,Actuals!$F:$F,'Proj 9.22'!$C10,Actuals!$A:$A,'Proj 9.22'!K$1)</f>
        <v>127.46</v>
      </c>
      <c r="L10" s="13">
        <f>SUMIFS(Actuals!$E:$E,Actuals!$F:$F,'Proj 9.22'!$C10,Actuals!$A:$A,'Proj 9.22'!L$1)</f>
        <v>812.79000000000008</v>
      </c>
      <c r="M10" s="40">
        <v>433.32333333333332</v>
      </c>
      <c r="N10" s="40">
        <v>433.32333333333332</v>
      </c>
      <c r="O10" s="40">
        <v>433.32333333333332</v>
      </c>
      <c r="P10" s="13">
        <f t="shared" ref="P10:P32" si="1">SUM(D10:O10)</f>
        <v>4825.4400000000005</v>
      </c>
    </row>
    <row r="11" spans="3:16">
      <c r="C11" t="s">
        <v>7</v>
      </c>
      <c r="D11" s="13">
        <f>SUMIFS(Actuals!$E:$E,Actuals!$F:$F,'Proj 9.22'!$C11,Actuals!$A:$A,'Proj 9.22'!D$1)</f>
        <v>512.23</v>
      </c>
      <c r="E11" s="13">
        <f>SUMIFS(Actuals!$E:$E,Actuals!$F:$F,'Proj 9.22'!$C11,Actuals!$A:$A,'Proj 9.22'!E$1)</f>
        <v>1454.37</v>
      </c>
      <c r="F11" s="13">
        <f>SUMIFS(Actuals!$E:$E,Actuals!$F:$F,'Proj 9.22'!$C11,Actuals!$A:$A,'Proj 9.22'!F$1)</f>
        <v>404.5200000000001</v>
      </c>
      <c r="G11" s="13">
        <f>SUMIFS(Actuals!$E:$E,Actuals!$F:$F,'Proj 9.22'!$C11,Actuals!$A:$A,'Proj 9.22'!G$1)</f>
        <v>507.12000000000006</v>
      </c>
      <c r="H11" s="13">
        <f>SUMIFS(Actuals!$E:$E,Actuals!$F:$F,'Proj 9.22'!$C11,Actuals!$A:$A,'Proj 9.22'!H$1)</f>
        <v>726.93</v>
      </c>
      <c r="I11" s="13">
        <f>SUMIFS(Actuals!$E:$E,Actuals!$F:$F,'Proj 9.22'!$C11,Actuals!$A:$A,'Proj 9.22'!I$1)</f>
        <v>2595.9299999999994</v>
      </c>
      <c r="J11" s="13">
        <f>SUMIFS(Actuals!$E:$E,Actuals!$F:$F,'Proj 9.22'!$C11,Actuals!$A:$A,'Proj 9.22'!J$1)</f>
        <v>2949.6399999999994</v>
      </c>
      <c r="K11" s="13">
        <f>SUMIFS(Actuals!$E:$E,Actuals!$F:$F,'Proj 9.22'!$C11,Actuals!$A:$A,'Proj 9.22'!K$1)</f>
        <v>744.52</v>
      </c>
      <c r="L11" s="13">
        <f>SUMIFS(Actuals!$E:$E,Actuals!$F:$F,'Proj 9.22'!$C11,Actuals!$A:$A,'Proj 9.22'!L$1)</f>
        <v>1113.1600000000003</v>
      </c>
      <c r="M11" s="40">
        <v>615.33000000000004</v>
      </c>
      <c r="N11" s="40">
        <v>615.33000000000004</v>
      </c>
      <c r="O11" s="40">
        <v>615.33000000000004</v>
      </c>
      <c r="P11" s="13">
        <f t="shared" si="1"/>
        <v>12854.409999999998</v>
      </c>
    </row>
    <row r="12" spans="3:16">
      <c r="C12" t="s">
        <v>11</v>
      </c>
      <c r="D12" s="13">
        <f>SUMIFS(Actuals!$E:$E,Actuals!$F:$F,'Proj 9.22'!$C12,Actuals!$A:$A,'Proj 9.22'!D$1)</f>
        <v>0</v>
      </c>
      <c r="E12" s="13">
        <f>SUMIFS(Actuals!$E:$E,Actuals!$F:$F,'Proj 9.22'!$C12,Actuals!$A:$A,'Proj 9.22'!E$1)</f>
        <v>0</v>
      </c>
      <c r="F12" s="13">
        <f>SUMIFS(Actuals!$E:$E,Actuals!$F:$F,'Proj 9.22'!$C12,Actuals!$A:$A,'Proj 9.22'!F$1)</f>
        <v>0</v>
      </c>
      <c r="G12" s="13">
        <f>SUMIFS(Actuals!$E:$E,Actuals!$F:$F,'Proj 9.22'!$C12,Actuals!$A:$A,'Proj 9.22'!G$1)</f>
        <v>0</v>
      </c>
      <c r="H12" s="13">
        <f>SUMIFS(Actuals!$E:$E,Actuals!$F:$F,'Proj 9.22'!$C12,Actuals!$A:$A,'Proj 9.22'!H$1)</f>
        <v>0</v>
      </c>
      <c r="I12" s="13">
        <f>SUMIFS(Actuals!$E:$E,Actuals!$F:$F,'Proj 9.22'!$C12,Actuals!$A:$A,'Proj 9.22'!I$1)</f>
        <v>0</v>
      </c>
      <c r="J12" s="13">
        <f>SUMIFS(Actuals!$E:$E,Actuals!$F:$F,'Proj 9.22'!$C12,Actuals!$A:$A,'Proj 9.22'!J$1)</f>
        <v>0</v>
      </c>
      <c r="K12" s="13">
        <f>SUMIFS(Actuals!$E:$E,Actuals!$F:$F,'Proj 9.22'!$C12,Actuals!$A:$A,'Proj 9.22'!K$1)</f>
        <v>0</v>
      </c>
      <c r="L12" s="13">
        <f>SUMIFS(Actuals!$E:$E,Actuals!$F:$F,'Proj 9.22'!$C12,Actuals!$A:$A,'Proj 9.22'!L$1)</f>
        <v>0</v>
      </c>
      <c r="M12" s="40">
        <v>585.31666666666661</v>
      </c>
      <c r="N12" s="40">
        <v>585.31666666666661</v>
      </c>
      <c r="O12" s="40">
        <v>585.31666666666661</v>
      </c>
      <c r="P12" s="13">
        <f t="shared" si="1"/>
        <v>1755.9499999999998</v>
      </c>
    </row>
    <row r="13" spans="3:16">
      <c r="C13" t="s">
        <v>14</v>
      </c>
      <c r="D13" s="13">
        <f>SUMIFS(Actuals!$E:$E,Actuals!$F:$F,'Proj 9.22'!$C13,Actuals!$A:$A,'Proj 9.22'!D$1)</f>
        <v>0</v>
      </c>
      <c r="E13" s="13">
        <f>SUMIFS(Actuals!$E:$E,Actuals!$F:$F,'Proj 9.22'!$C13,Actuals!$A:$A,'Proj 9.22'!E$1)</f>
        <v>0</v>
      </c>
      <c r="F13" s="13">
        <f>SUMIFS(Actuals!$E:$E,Actuals!$F:$F,'Proj 9.22'!$C13,Actuals!$A:$A,'Proj 9.22'!F$1)</f>
        <v>0</v>
      </c>
      <c r="G13" s="13">
        <f>SUMIFS(Actuals!$E:$E,Actuals!$F:$F,'Proj 9.22'!$C13,Actuals!$A:$A,'Proj 9.22'!G$1)</f>
        <v>0</v>
      </c>
      <c r="H13" s="13">
        <f>SUMIFS(Actuals!$E:$E,Actuals!$F:$F,'Proj 9.22'!$C13,Actuals!$A:$A,'Proj 9.22'!H$1)</f>
        <v>0</v>
      </c>
      <c r="I13" s="13">
        <f>SUMIFS(Actuals!$E:$E,Actuals!$F:$F,'Proj 9.22'!$C13,Actuals!$A:$A,'Proj 9.22'!I$1)</f>
        <v>0</v>
      </c>
      <c r="J13" s="13">
        <f>SUMIFS(Actuals!$E:$E,Actuals!$F:$F,'Proj 9.22'!$C13,Actuals!$A:$A,'Proj 9.22'!J$1)</f>
        <v>0</v>
      </c>
      <c r="K13" s="13">
        <f>SUMIFS(Actuals!$E:$E,Actuals!$F:$F,'Proj 9.22'!$C13,Actuals!$A:$A,'Proj 9.22'!K$1)</f>
        <v>0</v>
      </c>
      <c r="L13" s="13">
        <f>SUMIFS(Actuals!$E:$E,Actuals!$F:$F,'Proj 9.22'!$C13,Actuals!$A:$A,'Proj 9.22'!L$1)</f>
        <v>0</v>
      </c>
      <c r="M13" s="40">
        <v>250</v>
      </c>
      <c r="N13" s="40">
        <v>250</v>
      </c>
      <c r="O13" s="40">
        <v>250</v>
      </c>
      <c r="P13" s="13">
        <f t="shared" si="1"/>
        <v>750</v>
      </c>
    </row>
    <row r="14" spans="3:16">
      <c r="C14" t="s">
        <v>18</v>
      </c>
      <c r="D14" s="13">
        <f>SUMIFS(Actuals!$E:$E,Actuals!$F:$F,'Proj 9.22'!$C14,Actuals!$A:$A,'Proj 9.22'!D$1)</f>
        <v>163.66</v>
      </c>
      <c r="E14" s="13">
        <f>SUMIFS(Actuals!$E:$E,Actuals!$F:$F,'Proj 9.22'!$C14,Actuals!$A:$A,'Proj 9.22'!E$1)</f>
        <v>163.66</v>
      </c>
      <c r="F14" s="13">
        <f>SUMIFS(Actuals!$E:$E,Actuals!$F:$F,'Proj 9.22'!$C14,Actuals!$A:$A,'Proj 9.22'!F$1)</f>
        <v>158.66</v>
      </c>
      <c r="G14" s="13">
        <f>SUMIFS(Actuals!$E:$E,Actuals!$F:$F,'Proj 9.22'!$C14,Actuals!$A:$A,'Proj 9.22'!G$1)</f>
        <v>165.12</v>
      </c>
      <c r="H14" s="13">
        <f>SUMIFS(Actuals!$E:$E,Actuals!$F:$F,'Proj 9.22'!$C14,Actuals!$A:$A,'Proj 9.22'!H$1)</f>
        <v>165.07999999999998</v>
      </c>
      <c r="I14" s="13">
        <f>SUMIFS(Actuals!$E:$E,Actuals!$F:$F,'Proj 9.22'!$C14,Actuals!$A:$A,'Proj 9.22'!I$1)</f>
        <v>54.33</v>
      </c>
      <c r="J14" s="13">
        <f>SUMIFS(Actuals!$E:$E,Actuals!$F:$F,'Proj 9.22'!$C14,Actuals!$A:$A,'Proj 9.22'!J$1)</f>
        <v>55.97</v>
      </c>
      <c r="K14" s="13">
        <f>SUMIFS(Actuals!$E:$E,Actuals!$F:$F,'Proj 9.22'!$C14,Actuals!$A:$A,'Proj 9.22'!K$1)</f>
        <v>54.33</v>
      </c>
      <c r="L14" s="13">
        <f>SUMIFS(Actuals!$E:$E,Actuals!$F:$F,'Proj 9.22'!$C14,Actuals!$A:$A,'Proj 9.22'!L$1)</f>
        <v>54.33</v>
      </c>
      <c r="M14" s="40">
        <v>102.48666666666666</v>
      </c>
      <c r="N14" s="40">
        <v>102.48666666666666</v>
      </c>
      <c r="O14" s="40">
        <v>102.48666666666666</v>
      </c>
      <c r="P14" s="13">
        <f t="shared" si="1"/>
        <v>1342.6000000000001</v>
      </c>
    </row>
    <row r="15" spans="3:16">
      <c r="C15" s="14" t="s">
        <v>20</v>
      </c>
      <c r="D15" s="15">
        <f>SUMIFS(Actuals!$E:$E,Actuals!$F:$F,'Proj 9.22'!$C15,Actuals!$A:$A,'Proj 9.22'!D$1)</f>
        <v>4201.12</v>
      </c>
      <c r="E15" s="15">
        <f>SUMIFS(Actuals!$E:$E,Actuals!$F:$F,'Proj 9.22'!$C15,Actuals!$A:$A,'Proj 9.22'!E$1)</f>
        <v>2625.59</v>
      </c>
      <c r="F15" s="15">
        <f>SUMIFS(Actuals!$E:$E,Actuals!$F:$F,'Proj 9.22'!$C15,Actuals!$A:$A,'Proj 9.22'!F$1)</f>
        <v>2505.21</v>
      </c>
      <c r="G15" s="15">
        <f>SUMIFS(Actuals!$E:$E,Actuals!$F:$F,'Proj 9.22'!$C15,Actuals!$A:$A,'Proj 9.22'!G$1)</f>
        <v>2173.3599999999997</v>
      </c>
      <c r="H15" s="15">
        <f>SUMIFS(Actuals!$E:$E,Actuals!$F:$F,'Proj 9.22'!$C15,Actuals!$A:$A,'Proj 9.22'!H$1)</f>
        <v>797.3</v>
      </c>
      <c r="I15" s="15">
        <f>SUMIFS(Actuals!$E:$E,Actuals!$F:$F,'Proj 9.22'!$C15,Actuals!$A:$A,'Proj 9.22'!I$1)</f>
        <v>1371.1</v>
      </c>
      <c r="J15" s="15">
        <f>SUMIFS(Actuals!$E:$E,Actuals!$F:$F,'Proj 9.22'!$C15,Actuals!$A:$A,'Proj 9.22'!J$1)</f>
        <v>2393</v>
      </c>
      <c r="K15" s="15">
        <f>SUMIFS(Actuals!$E:$E,Actuals!$F:$F,'Proj 9.22'!$C15,Actuals!$A:$A,'Proj 9.22'!K$1)</f>
        <v>2344.5100000000002</v>
      </c>
      <c r="L15" s="15">
        <f>SUMIFS(Actuals!$E:$E,Actuals!$F:$F,'Proj 9.22'!$C15,Actuals!$A:$A,'Proj 9.22'!L$1)</f>
        <v>1720.2999999999997</v>
      </c>
      <c r="M15" s="41">
        <v>1111.5</v>
      </c>
      <c r="N15" s="41">
        <v>1111.5</v>
      </c>
      <c r="O15" s="41">
        <v>1111.5</v>
      </c>
      <c r="P15" s="15">
        <f t="shared" si="1"/>
        <v>23465.989999999998</v>
      </c>
    </row>
    <row r="16" spans="3:16">
      <c r="C16" s="16" t="s">
        <v>7259</v>
      </c>
      <c r="D16" s="13">
        <f t="shared" ref="D16:N16" si="2">SUM(D9:D15)</f>
        <v>6851.5199999999995</v>
      </c>
      <c r="E16" s="13">
        <f t="shared" si="2"/>
        <v>6132.03</v>
      </c>
      <c r="F16" s="13">
        <f t="shared" si="2"/>
        <v>5316.45</v>
      </c>
      <c r="G16" s="13">
        <f t="shared" si="2"/>
        <v>5194.119999999999</v>
      </c>
      <c r="H16" s="13">
        <f t="shared" si="2"/>
        <v>3801.99</v>
      </c>
      <c r="I16" s="13">
        <f t="shared" si="2"/>
        <v>6556.619999999999</v>
      </c>
      <c r="J16" s="13">
        <f t="shared" si="2"/>
        <v>7589.3899999999994</v>
      </c>
      <c r="K16" s="13">
        <f t="shared" si="2"/>
        <v>5086.82</v>
      </c>
      <c r="L16" s="13">
        <f t="shared" si="2"/>
        <v>5516.58</v>
      </c>
      <c r="M16" s="13">
        <f t="shared" si="2"/>
        <v>4913.9566666666669</v>
      </c>
      <c r="N16" s="13">
        <f t="shared" si="2"/>
        <v>4913.9566666666669</v>
      </c>
      <c r="O16" s="13">
        <f>SUM(O9:O15)</f>
        <v>4913.9566666666669</v>
      </c>
      <c r="P16" s="13">
        <f>SUM(D16:O16)</f>
        <v>66787.39</v>
      </c>
    </row>
    <row r="17" spans="3:16">
      <c r="D17" s="13"/>
      <c r="E17" s="13"/>
      <c r="F17" s="13"/>
      <c r="G17" s="13"/>
      <c r="H17" s="13"/>
      <c r="I17" s="13"/>
      <c r="J17" s="13"/>
      <c r="K17" s="13"/>
      <c r="L17" s="13"/>
      <c r="M17" s="13"/>
      <c r="N17" s="13"/>
      <c r="O17" s="13"/>
      <c r="P17" s="13"/>
    </row>
    <row r="18" spans="3:16">
      <c r="C18" t="s">
        <v>23</v>
      </c>
      <c r="D18" s="13">
        <f>SUMIFS(Actuals!$E:$E,Actuals!$F:$F,'Proj 9.22'!$C18,Actuals!$A:$A,'Proj 9.22'!D$1)</f>
        <v>36.35</v>
      </c>
      <c r="E18" s="13">
        <f>SUMIFS(Actuals!$E:$E,Actuals!$F:$F,'Proj 9.22'!$C18,Actuals!$A:$A,'Proj 9.22'!E$1)</f>
        <v>1290.29</v>
      </c>
      <c r="F18" s="13">
        <f>SUMIFS(Actuals!$E:$E,Actuals!$F:$F,'Proj 9.22'!$C18,Actuals!$A:$A,'Proj 9.22'!F$1)</f>
        <v>133.96</v>
      </c>
      <c r="G18" s="13">
        <f>SUMIFS(Actuals!$E:$E,Actuals!$F:$F,'Proj 9.22'!$C18,Actuals!$A:$A,'Proj 9.22'!G$1)</f>
        <v>60.28</v>
      </c>
      <c r="H18" s="13">
        <f>SUMIFS(Actuals!$E:$E,Actuals!$F:$F,'Proj 9.22'!$C18,Actuals!$A:$A,'Proj 9.22'!H$1)</f>
        <v>1459.98</v>
      </c>
      <c r="I18" s="13">
        <f>SUMIFS(Actuals!$E:$E,Actuals!$F:$F,'Proj 9.22'!$C18,Actuals!$A:$A,'Proj 9.22'!I$1)</f>
        <v>86.91</v>
      </c>
      <c r="J18" s="13">
        <f>SUMIFS(Actuals!$E:$E,Actuals!$F:$F,'Proj 9.22'!$C18,Actuals!$A:$A,'Proj 9.22'!J$1)</f>
        <v>993.97</v>
      </c>
      <c r="K18" s="13">
        <f>SUMIFS(Actuals!$E:$E,Actuals!$F:$F,'Proj 9.22'!$C18,Actuals!$A:$A,'Proj 9.22'!K$1)</f>
        <v>47.12</v>
      </c>
      <c r="L18" s="13">
        <f>SUMIFS(Actuals!$E:$E,Actuals!$F:$F,'Proj 9.22'!$C18,Actuals!$A:$A,'Proj 9.22'!L$1)</f>
        <v>61</v>
      </c>
      <c r="M18" s="40">
        <v>836.31666666666661</v>
      </c>
      <c r="N18" s="40">
        <v>836.31666666666661</v>
      </c>
      <c r="O18" s="40">
        <v>836.31666666666661</v>
      </c>
      <c r="P18" s="13">
        <f t="shared" si="1"/>
        <v>6678.8099999999995</v>
      </c>
    </row>
    <row r="19" spans="3:16">
      <c r="C19" t="s">
        <v>26</v>
      </c>
      <c r="D19" s="13">
        <f>SUMIFS(Actuals!$E:$E,Actuals!$F:$F,'Proj 9.22'!$C19,Actuals!$A:$A,'Proj 9.22'!D$1)</f>
        <v>1256.5199999999998</v>
      </c>
      <c r="E19" s="13">
        <f>SUMIFS(Actuals!$E:$E,Actuals!$F:$F,'Proj 9.22'!$C19,Actuals!$A:$A,'Proj 9.22'!E$1)</f>
        <v>1258.33</v>
      </c>
      <c r="F19" s="13">
        <f>SUMIFS(Actuals!$E:$E,Actuals!$F:$F,'Proj 9.22'!$C19,Actuals!$A:$A,'Proj 9.22'!F$1)</f>
        <v>2190.3699999999994</v>
      </c>
      <c r="G19" s="13">
        <f>SUMIFS(Actuals!$E:$E,Actuals!$F:$F,'Proj 9.22'!$C19,Actuals!$A:$A,'Proj 9.22'!G$1)</f>
        <v>1732.92</v>
      </c>
      <c r="H19" s="13">
        <f>SUMIFS(Actuals!$E:$E,Actuals!$F:$F,'Proj 9.22'!$C19,Actuals!$A:$A,'Proj 9.22'!H$1)</f>
        <v>1195.7899999999997</v>
      </c>
      <c r="I19" s="13">
        <f>SUMIFS(Actuals!$E:$E,Actuals!$F:$F,'Proj 9.22'!$C19,Actuals!$A:$A,'Proj 9.22'!I$1)</f>
        <v>2520.2900000000009</v>
      </c>
      <c r="J19" s="13">
        <f>SUMIFS(Actuals!$E:$E,Actuals!$F:$F,'Proj 9.22'!$C19,Actuals!$A:$A,'Proj 9.22'!J$1)</f>
        <v>2280.7600000000002</v>
      </c>
      <c r="K19" s="13">
        <f>SUMIFS(Actuals!$E:$E,Actuals!$F:$F,'Proj 9.22'!$C19,Actuals!$A:$A,'Proj 9.22'!K$1)</f>
        <v>1833.4499999999998</v>
      </c>
      <c r="L19" s="13">
        <f>SUMIFS(Actuals!$E:$E,Actuals!$F:$F,'Proj 9.22'!$C19,Actuals!$A:$A,'Proj 9.22'!L$1)</f>
        <v>2412.6700000000005</v>
      </c>
      <c r="M19" s="40">
        <v>1275.2466666666669</v>
      </c>
      <c r="N19" s="40">
        <v>1275.2466666666669</v>
      </c>
      <c r="O19" s="40">
        <v>1275.2466666666669</v>
      </c>
      <c r="P19" s="13">
        <f t="shared" si="1"/>
        <v>20506.84</v>
      </c>
    </row>
    <row r="20" spans="3:16">
      <c r="C20" t="s">
        <v>28</v>
      </c>
      <c r="D20" s="13">
        <f>SUMIFS(Actuals!$E:$E,Actuals!$F:$F,'Proj 9.22'!$C20,Actuals!$A:$A,'Proj 9.22'!D$1)</f>
        <v>1032.5399999999997</v>
      </c>
      <c r="E20" s="13">
        <f>SUMIFS(Actuals!$E:$E,Actuals!$F:$F,'Proj 9.22'!$C20,Actuals!$A:$A,'Proj 9.22'!E$1)</f>
        <v>813.71</v>
      </c>
      <c r="F20" s="13">
        <f>SUMIFS(Actuals!$E:$E,Actuals!$F:$F,'Proj 9.22'!$C20,Actuals!$A:$A,'Proj 9.22'!F$1)</f>
        <v>579.15000000000009</v>
      </c>
      <c r="G20" s="13">
        <f>SUMIFS(Actuals!$E:$E,Actuals!$F:$F,'Proj 9.22'!$C20,Actuals!$A:$A,'Proj 9.22'!G$1)</f>
        <v>1295</v>
      </c>
      <c r="H20" s="13">
        <f>SUMIFS(Actuals!$E:$E,Actuals!$F:$F,'Proj 9.22'!$C20,Actuals!$A:$A,'Proj 9.22'!H$1)</f>
        <v>1047.99</v>
      </c>
      <c r="I20" s="13">
        <f>SUMIFS(Actuals!$E:$E,Actuals!$F:$F,'Proj 9.22'!$C20,Actuals!$A:$A,'Proj 9.22'!I$1)</f>
        <v>1176.2800000000002</v>
      </c>
      <c r="J20" s="13">
        <f>SUMIFS(Actuals!$E:$E,Actuals!$F:$F,'Proj 9.22'!$C20,Actuals!$A:$A,'Proj 9.22'!J$1)</f>
        <v>341.28000000000003</v>
      </c>
      <c r="K20" s="13">
        <f>SUMIFS(Actuals!$E:$E,Actuals!$F:$F,'Proj 9.22'!$C20,Actuals!$A:$A,'Proj 9.22'!K$1)</f>
        <v>1051.6399999999999</v>
      </c>
      <c r="L20" s="13">
        <f>SUMIFS(Actuals!$E:$E,Actuals!$F:$F,'Proj 9.22'!$C20,Actuals!$A:$A,'Proj 9.22'!L$1)</f>
        <v>865.15</v>
      </c>
      <c r="M20" s="40">
        <v>888.73333333333323</v>
      </c>
      <c r="N20" s="40">
        <v>888.73333333333323</v>
      </c>
      <c r="O20" s="40">
        <v>888.73333333333323</v>
      </c>
      <c r="P20" s="13">
        <f t="shared" si="1"/>
        <v>10868.94</v>
      </c>
    </row>
    <row r="21" spans="3:16">
      <c r="C21" s="14" t="s">
        <v>31</v>
      </c>
      <c r="D21" s="15">
        <f>SUMIFS(Actuals!$E:$E,Actuals!$F:$F,'Proj 9.22'!$C21,Actuals!$A:$A,'Proj 9.22'!D$1)</f>
        <v>0</v>
      </c>
      <c r="E21" s="15">
        <f>SUMIFS(Actuals!$E:$E,Actuals!$F:$F,'Proj 9.22'!$C21,Actuals!$A:$A,'Proj 9.22'!E$1)</f>
        <v>1466.2</v>
      </c>
      <c r="F21" s="15">
        <f>SUMIFS(Actuals!$E:$E,Actuals!$F:$F,'Proj 9.22'!$C21,Actuals!$A:$A,'Proj 9.22'!F$1)</f>
        <v>1203.6100000000001</v>
      </c>
      <c r="G21" s="15">
        <f>SUMIFS(Actuals!$E:$E,Actuals!$F:$F,'Proj 9.22'!$C21,Actuals!$A:$A,'Proj 9.22'!G$1)</f>
        <v>858.99999999999989</v>
      </c>
      <c r="H21" s="15">
        <f>SUMIFS(Actuals!$E:$E,Actuals!$F:$F,'Proj 9.22'!$C21,Actuals!$A:$A,'Proj 9.22'!H$1)</f>
        <v>141.71</v>
      </c>
      <c r="I21" s="15">
        <f>SUMIFS(Actuals!$E:$E,Actuals!$F:$F,'Proj 9.22'!$C21,Actuals!$A:$A,'Proj 9.22'!I$1)</f>
        <v>863.6</v>
      </c>
      <c r="J21" s="15">
        <f>SUMIFS(Actuals!$E:$E,Actuals!$F:$F,'Proj 9.22'!$C21,Actuals!$A:$A,'Proj 9.22'!J$1)</f>
        <v>138.78</v>
      </c>
      <c r="K21" s="15">
        <f>SUMIFS(Actuals!$E:$E,Actuals!$F:$F,'Proj 9.22'!$C21,Actuals!$A:$A,'Proj 9.22'!K$1)</f>
        <v>519.11</v>
      </c>
      <c r="L21" s="15">
        <f>SUMIFS(Actuals!$E:$E,Actuals!$F:$F,'Proj 9.22'!$C21,Actuals!$A:$A,'Proj 9.22'!L$1)</f>
        <v>664.94</v>
      </c>
      <c r="M21" s="41">
        <v>459.88333333333338</v>
      </c>
      <c r="N21" s="41">
        <v>459.88333333333338</v>
      </c>
      <c r="O21" s="41">
        <v>459.88333333333338</v>
      </c>
      <c r="P21" s="15">
        <f t="shared" si="1"/>
        <v>7236.6</v>
      </c>
    </row>
    <row r="22" spans="3:16">
      <c r="C22" s="16" t="s">
        <v>7260</v>
      </c>
      <c r="D22" s="13">
        <f t="shared" ref="D22:O22" si="3">SUM(D18:D21)</f>
        <v>2325.4099999999994</v>
      </c>
      <c r="E22" s="13">
        <f t="shared" si="3"/>
        <v>4828.53</v>
      </c>
      <c r="F22" s="13">
        <f t="shared" si="3"/>
        <v>4107.09</v>
      </c>
      <c r="G22" s="13">
        <f t="shared" si="3"/>
        <v>3947.2</v>
      </c>
      <c r="H22" s="13">
        <f t="shared" si="3"/>
        <v>3845.4699999999993</v>
      </c>
      <c r="I22" s="13">
        <f t="shared" si="3"/>
        <v>4647.0800000000008</v>
      </c>
      <c r="J22" s="13">
        <f t="shared" si="3"/>
        <v>3754.7900000000009</v>
      </c>
      <c r="K22" s="13">
        <f t="shared" si="3"/>
        <v>3451.3199999999997</v>
      </c>
      <c r="L22" s="13">
        <f t="shared" si="3"/>
        <v>4003.7600000000007</v>
      </c>
      <c r="M22" s="13">
        <f t="shared" si="3"/>
        <v>3460.18</v>
      </c>
      <c r="N22" s="13">
        <f t="shared" si="3"/>
        <v>3460.18</v>
      </c>
      <c r="O22" s="13">
        <f t="shared" si="3"/>
        <v>3460.18</v>
      </c>
      <c r="P22" s="13">
        <f t="shared" si="1"/>
        <v>45291.19</v>
      </c>
    </row>
    <row r="23" spans="3:16">
      <c r="D23" s="13"/>
      <c r="E23" s="13"/>
      <c r="F23" s="13"/>
      <c r="G23" s="13"/>
      <c r="H23" s="13"/>
      <c r="I23" s="13"/>
      <c r="J23" s="13"/>
      <c r="K23" s="13"/>
      <c r="L23" s="13"/>
      <c r="M23" s="13"/>
      <c r="N23" s="13"/>
      <c r="O23" s="13"/>
      <c r="P23" s="13"/>
    </row>
    <row r="24" spans="3:16">
      <c r="C24" t="s">
        <v>34</v>
      </c>
      <c r="D24" s="13">
        <f>SUMIFS(Actuals!$E:$E,Actuals!$F:$F,'Proj 9.22'!$C24,Actuals!$A:$A,'Proj 9.22'!D$1)</f>
        <v>0</v>
      </c>
      <c r="E24" s="13">
        <f>SUMIFS(Actuals!$E:$E,Actuals!$F:$F,'Proj 9.22'!$C24,Actuals!$A:$A,'Proj 9.22'!E$1)</f>
        <v>0</v>
      </c>
      <c r="F24" s="13">
        <f>SUMIFS(Actuals!$E:$E,Actuals!$F:$F,'Proj 9.22'!$C24,Actuals!$A:$A,'Proj 9.22'!F$1)</f>
        <v>0</v>
      </c>
      <c r="G24" s="13">
        <f>SUMIFS(Actuals!$E:$E,Actuals!$F:$F,'Proj 9.22'!$C24,Actuals!$A:$A,'Proj 9.22'!G$1)</f>
        <v>0</v>
      </c>
      <c r="H24" s="13">
        <f>SUMIFS(Actuals!$E:$E,Actuals!$F:$F,'Proj 9.22'!$C24,Actuals!$A:$A,'Proj 9.22'!H$1)</f>
        <v>0</v>
      </c>
      <c r="I24" s="13">
        <f>SUMIFS(Actuals!$E:$E,Actuals!$F:$F,'Proj 9.22'!$C24,Actuals!$A:$A,'Proj 9.22'!I$1)</f>
        <v>25</v>
      </c>
      <c r="J24" s="13">
        <f>SUMIFS(Actuals!$E:$E,Actuals!$F:$F,'Proj 9.22'!$C24,Actuals!$A:$A,'Proj 9.22'!J$1)</f>
        <v>0</v>
      </c>
      <c r="K24" s="13">
        <f>SUMIFS(Actuals!$E:$E,Actuals!$F:$F,'Proj 9.22'!$C24,Actuals!$A:$A,'Proj 9.22'!K$1)</f>
        <v>0</v>
      </c>
      <c r="L24" s="13">
        <f>SUMIFS(Actuals!$E:$E,Actuals!$F:$F,'Proj 9.22'!$C24,Actuals!$A:$A,'Proj 9.22'!L$1)</f>
        <v>0</v>
      </c>
      <c r="M24" s="40">
        <v>34.94</v>
      </c>
      <c r="N24" s="40">
        <v>34.94</v>
      </c>
      <c r="O24" s="40">
        <v>34.94</v>
      </c>
      <c r="P24" s="13">
        <f t="shared" si="1"/>
        <v>129.82</v>
      </c>
    </row>
    <row r="25" spans="3:16">
      <c r="C25" t="s">
        <v>21</v>
      </c>
      <c r="D25" s="13">
        <f>SUMIFS(Actuals!$E:$E,Actuals!$F:$F,'Proj 9.22'!$C25,Actuals!$A:$A,'Proj 9.22'!D$1)</f>
        <v>1297.5600000000002</v>
      </c>
      <c r="E25" s="13">
        <f>SUMIFS(Actuals!$E:$E,Actuals!$F:$F,'Proj 9.22'!$C25,Actuals!$A:$A,'Proj 9.22'!E$1)</f>
        <v>2152.23</v>
      </c>
      <c r="F25" s="13">
        <f>SUMIFS(Actuals!$E:$E,Actuals!$F:$F,'Proj 9.22'!$C25,Actuals!$A:$A,'Proj 9.22'!F$1)</f>
        <v>2367.6299999999992</v>
      </c>
      <c r="G25" s="13">
        <f>SUMIFS(Actuals!$E:$E,Actuals!$F:$F,'Proj 9.22'!$C25,Actuals!$A:$A,'Proj 9.22'!G$1)</f>
        <v>944.13999999999965</v>
      </c>
      <c r="H25" s="13">
        <f>SUMIFS(Actuals!$E:$E,Actuals!$F:$F,'Proj 9.22'!$C25,Actuals!$A:$A,'Proj 9.22'!H$1)</f>
        <v>2600.9999999999995</v>
      </c>
      <c r="I25" s="13">
        <f>SUMIFS(Actuals!$E:$E,Actuals!$F:$F,'Proj 9.22'!$C25,Actuals!$A:$A,'Proj 9.22'!I$1)</f>
        <v>1527.9499999999996</v>
      </c>
      <c r="J25" s="13">
        <f>SUMIFS(Actuals!$E:$E,Actuals!$F:$F,'Proj 9.22'!$C25,Actuals!$A:$A,'Proj 9.22'!J$1)</f>
        <v>-26.289999999999992</v>
      </c>
      <c r="K25" s="13">
        <f>SUMIFS(Actuals!$E:$E,Actuals!$F:$F,'Proj 9.22'!$C25,Actuals!$A:$A,'Proj 9.22'!K$1)</f>
        <v>2243.56</v>
      </c>
      <c r="L25" s="13">
        <f>SUMIFS(Actuals!$E:$E,Actuals!$F:$F,'Proj 9.22'!$C25,Actuals!$A:$A,'Proj 9.22'!L$1)</f>
        <v>2632.31</v>
      </c>
      <c r="M25" s="40">
        <v>2000</v>
      </c>
      <c r="N25" s="40">
        <v>2000</v>
      </c>
      <c r="O25" s="40">
        <v>2000</v>
      </c>
      <c r="P25" s="13">
        <f t="shared" si="1"/>
        <v>21740.089999999997</v>
      </c>
    </row>
    <row r="26" spans="3:16">
      <c r="C26" t="s">
        <v>38</v>
      </c>
      <c r="D26" s="13">
        <f>SUMIFS(Actuals!$E:$E,Actuals!$F:$F,'Proj 9.22'!$C26,Actuals!$A:$A,'Proj 9.22'!D$1)</f>
        <v>1330.2099999999998</v>
      </c>
      <c r="E26" s="13">
        <f>SUMIFS(Actuals!$E:$E,Actuals!$F:$F,'Proj 9.22'!$C26,Actuals!$A:$A,'Proj 9.22'!E$1)</f>
        <v>628.87000000000023</v>
      </c>
      <c r="F26" s="13">
        <f>SUMIFS(Actuals!$E:$E,Actuals!$F:$F,'Proj 9.22'!$C26,Actuals!$A:$A,'Proj 9.22'!F$1)</f>
        <v>468.29000000000008</v>
      </c>
      <c r="G26" s="13">
        <f>SUMIFS(Actuals!$E:$E,Actuals!$F:$F,'Proj 9.22'!$C26,Actuals!$A:$A,'Proj 9.22'!G$1)</f>
        <v>883.32999999999993</v>
      </c>
      <c r="H26" s="13">
        <f>SUMIFS(Actuals!$E:$E,Actuals!$F:$F,'Proj 9.22'!$C26,Actuals!$A:$A,'Proj 9.22'!H$1)</f>
        <v>361.53999999999996</v>
      </c>
      <c r="I26" s="13">
        <f>SUMIFS(Actuals!$E:$E,Actuals!$F:$F,'Proj 9.22'!$C26,Actuals!$A:$A,'Proj 9.22'!I$1)</f>
        <v>4.0099999999999909</v>
      </c>
      <c r="J26" s="13">
        <f>SUMIFS(Actuals!$E:$E,Actuals!$F:$F,'Proj 9.22'!$C26,Actuals!$A:$A,'Proj 9.22'!J$1)</f>
        <v>-0.15000000000001279</v>
      </c>
      <c r="K26" s="13">
        <f>SUMIFS(Actuals!$E:$E,Actuals!$F:$F,'Proj 9.22'!$C26,Actuals!$A:$A,'Proj 9.22'!K$1)</f>
        <v>26.489999999999988</v>
      </c>
      <c r="L26" s="13">
        <f>SUMIFS(Actuals!$E:$E,Actuals!$F:$F,'Proj 9.22'!$C26,Actuals!$A:$A,'Proj 9.22'!L$1)</f>
        <v>356.57999999999993</v>
      </c>
      <c r="M26" s="40">
        <v>83.333333333333329</v>
      </c>
      <c r="N26" s="40">
        <v>83.333333333333329</v>
      </c>
      <c r="O26" s="40">
        <v>83.333333333333329</v>
      </c>
      <c r="P26" s="13">
        <f t="shared" si="1"/>
        <v>4309.1699999999992</v>
      </c>
    </row>
    <row r="27" spans="3:16">
      <c r="C27" t="s">
        <v>40</v>
      </c>
      <c r="D27" s="13">
        <f>SUMIFS(Actuals!$E:$E,Actuals!$F:$F,'Proj 9.22'!$C27,Actuals!$A:$A,'Proj 9.22'!D$1)</f>
        <v>452.17</v>
      </c>
      <c r="E27" s="13">
        <f>SUMIFS(Actuals!$E:$E,Actuals!$F:$F,'Proj 9.22'!$C27,Actuals!$A:$A,'Proj 9.22'!E$1)</f>
        <v>213.46</v>
      </c>
      <c r="F27" s="13">
        <f>SUMIFS(Actuals!$E:$E,Actuals!$F:$F,'Proj 9.22'!$C27,Actuals!$A:$A,'Proj 9.22'!F$1)</f>
        <v>547.24</v>
      </c>
      <c r="G27" s="13">
        <f>SUMIFS(Actuals!$E:$E,Actuals!$F:$F,'Proj 9.22'!$C27,Actuals!$A:$A,'Proj 9.22'!G$1)</f>
        <v>214.29</v>
      </c>
      <c r="H27" s="13">
        <f>SUMIFS(Actuals!$E:$E,Actuals!$F:$F,'Proj 9.22'!$C27,Actuals!$A:$A,'Proj 9.22'!H$1)</f>
        <v>151.35</v>
      </c>
      <c r="I27" s="13">
        <f>SUMIFS(Actuals!$E:$E,Actuals!$F:$F,'Proj 9.22'!$C27,Actuals!$A:$A,'Proj 9.22'!I$1)</f>
        <v>365.79</v>
      </c>
      <c r="J27" s="13">
        <f>SUMIFS(Actuals!$E:$E,Actuals!$F:$F,'Proj 9.22'!$C27,Actuals!$A:$A,'Proj 9.22'!J$1)</f>
        <v>447.18999999999994</v>
      </c>
      <c r="K27" s="13">
        <f>SUMIFS(Actuals!$E:$E,Actuals!$F:$F,'Proj 9.22'!$C27,Actuals!$A:$A,'Proj 9.22'!K$1)</f>
        <v>522.79999999999995</v>
      </c>
      <c r="L27" s="13">
        <f>SUMIFS(Actuals!$E:$E,Actuals!$F:$F,'Proj 9.22'!$C27,Actuals!$A:$A,'Proj 9.22'!L$1)</f>
        <v>49.09</v>
      </c>
      <c r="M27" s="40">
        <v>57.34</v>
      </c>
      <c r="N27" s="40">
        <v>57.34</v>
      </c>
      <c r="O27" s="40">
        <v>57.34</v>
      </c>
      <c r="P27" s="13">
        <f t="shared" si="1"/>
        <v>3135.4000000000005</v>
      </c>
    </row>
    <row r="28" spans="3:16">
      <c r="C28" t="s">
        <v>41</v>
      </c>
      <c r="D28" s="13">
        <f>SUMIFS(Actuals!$E:$E,Actuals!$F:$F,'Proj 9.22'!$C28,Actuals!$A:$A,'Proj 9.22'!D$1)</f>
        <v>0</v>
      </c>
      <c r="E28" s="13">
        <f>SUMIFS(Actuals!$E:$E,Actuals!$F:$F,'Proj 9.22'!$C28,Actuals!$A:$A,'Proj 9.22'!E$1)</f>
        <v>0</v>
      </c>
      <c r="F28" s="13">
        <f>SUMIFS(Actuals!$E:$E,Actuals!$F:$F,'Proj 9.22'!$C28,Actuals!$A:$A,'Proj 9.22'!F$1)</f>
        <v>0</v>
      </c>
      <c r="G28" s="13">
        <f>SUMIFS(Actuals!$E:$E,Actuals!$F:$F,'Proj 9.22'!$C28,Actuals!$A:$A,'Proj 9.22'!G$1)</f>
        <v>36.599999999999994</v>
      </c>
      <c r="H28" s="13">
        <f>SUMIFS(Actuals!$E:$E,Actuals!$F:$F,'Proj 9.22'!$C28,Actuals!$A:$A,'Proj 9.22'!H$1)</f>
        <v>0</v>
      </c>
      <c r="I28" s="13">
        <f>SUMIFS(Actuals!$E:$E,Actuals!$F:$F,'Proj 9.22'!$C28,Actuals!$A:$A,'Proj 9.22'!I$1)</f>
        <v>35.93</v>
      </c>
      <c r="J28" s="13">
        <f>SUMIFS(Actuals!$E:$E,Actuals!$F:$F,'Proj 9.22'!$C28,Actuals!$A:$A,'Proj 9.22'!J$1)</f>
        <v>113.36</v>
      </c>
      <c r="K28" s="13">
        <f>SUMIFS(Actuals!$E:$E,Actuals!$F:$F,'Proj 9.22'!$C28,Actuals!$A:$A,'Proj 9.22'!K$1)</f>
        <v>59.35</v>
      </c>
      <c r="L28" s="13">
        <f>SUMIFS(Actuals!$E:$E,Actuals!$F:$F,'Proj 9.22'!$C28,Actuals!$A:$A,'Proj 9.22'!L$1)</f>
        <v>0</v>
      </c>
      <c r="M28" s="40">
        <v>22.196666666666669</v>
      </c>
      <c r="N28" s="40">
        <v>22.196666666666669</v>
      </c>
      <c r="O28" s="40">
        <v>22.196666666666669</v>
      </c>
      <c r="P28" s="13">
        <f t="shared" si="1"/>
        <v>311.83</v>
      </c>
    </row>
    <row r="29" spans="3:16">
      <c r="C29" t="s">
        <v>45</v>
      </c>
      <c r="D29" s="13">
        <f>SUMIFS(Actuals!$E:$E,Actuals!$F:$F,'Proj 9.22'!$C29,Actuals!$A:$A,'Proj 9.22'!D$1)</f>
        <v>0</v>
      </c>
      <c r="E29" s="13">
        <f>SUMIFS(Actuals!$E:$E,Actuals!$F:$F,'Proj 9.22'!$C29,Actuals!$A:$A,'Proj 9.22'!E$1)</f>
        <v>0</v>
      </c>
      <c r="F29" s="13">
        <f>SUMIFS(Actuals!$E:$E,Actuals!$F:$F,'Proj 9.22'!$C29,Actuals!$A:$A,'Proj 9.22'!F$1)</f>
        <v>0</v>
      </c>
      <c r="G29" s="13">
        <f>SUMIFS(Actuals!$E:$E,Actuals!$F:$F,'Proj 9.22'!$C29,Actuals!$A:$A,'Proj 9.22'!G$1)</f>
        <v>0</v>
      </c>
      <c r="H29" s="13">
        <f>SUMIFS(Actuals!$E:$E,Actuals!$F:$F,'Proj 9.22'!$C29,Actuals!$A:$A,'Proj 9.22'!H$1)</f>
        <v>0</v>
      </c>
      <c r="I29" s="13">
        <f>SUMIFS(Actuals!$E:$E,Actuals!$F:$F,'Proj 9.22'!$C29,Actuals!$A:$A,'Proj 9.22'!I$1)</f>
        <v>0</v>
      </c>
      <c r="J29" s="13">
        <f>SUMIFS(Actuals!$E:$E,Actuals!$F:$F,'Proj 9.22'!$C29,Actuals!$A:$A,'Proj 9.22'!J$1)</f>
        <v>0</v>
      </c>
      <c r="K29" s="13">
        <f>SUMIFS(Actuals!$E:$E,Actuals!$F:$F,'Proj 9.22'!$C29,Actuals!$A:$A,'Proj 9.22'!K$1)</f>
        <v>0</v>
      </c>
      <c r="L29" s="13">
        <f>SUMIFS(Actuals!$E:$E,Actuals!$F:$F,'Proj 9.22'!$C29,Actuals!$A:$A,'Proj 9.22'!L$1)</f>
        <v>0</v>
      </c>
      <c r="M29" s="40">
        <v>103.60000000000001</v>
      </c>
      <c r="N29" s="40">
        <v>250</v>
      </c>
      <c r="O29" s="40">
        <v>250</v>
      </c>
      <c r="P29" s="13">
        <f t="shared" si="1"/>
        <v>603.6</v>
      </c>
    </row>
    <row r="30" spans="3:16">
      <c r="C30" s="14" t="s">
        <v>29</v>
      </c>
      <c r="D30" s="15">
        <f>SUMIFS(Actuals!$E:$E,Actuals!$F:$F,'Proj 9.22'!$C30,Actuals!$A:$A,'Proj 9.22'!D$1)</f>
        <v>110</v>
      </c>
      <c r="E30" s="15">
        <f>SUMIFS(Actuals!$E:$E,Actuals!$F:$F,'Proj 9.22'!$C30,Actuals!$A:$A,'Proj 9.22'!E$1)</f>
        <v>0</v>
      </c>
      <c r="F30" s="15">
        <f>SUMIFS(Actuals!$E:$E,Actuals!$F:$F,'Proj 9.22'!$C30,Actuals!$A:$A,'Proj 9.22'!F$1)</f>
        <v>0</v>
      </c>
      <c r="G30" s="15">
        <f>SUMIFS(Actuals!$E:$E,Actuals!$F:$F,'Proj 9.22'!$C30,Actuals!$A:$A,'Proj 9.22'!G$1)</f>
        <v>124</v>
      </c>
      <c r="H30" s="15">
        <f>SUMIFS(Actuals!$E:$E,Actuals!$F:$F,'Proj 9.22'!$C30,Actuals!$A:$A,'Proj 9.22'!H$1)</f>
        <v>0</v>
      </c>
      <c r="I30" s="15">
        <f>SUMIFS(Actuals!$E:$E,Actuals!$F:$F,'Proj 9.22'!$C30,Actuals!$A:$A,'Proj 9.22'!I$1)</f>
        <v>5</v>
      </c>
      <c r="J30" s="15">
        <f>SUMIFS(Actuals!$E:$E,Actuals!$F:$F,'Proj 9.22'!$C30,Actuals!$A:$A,'Proj 9.22'!J$1)</f>
        <v>0</v>
      </c>
      <c r="K30" s="15">
        <f>SUMIFS(Actuals!$E:$E,Actuals!$F:$F,'Proj 9.22'!$C30,Actuals!$A:$A,'Proj 9.22'!K$1)</f>
        <v>0</v>
      </c>
      <c r="L30" s="15">
        <f>SUMIFS(Actuals!$E:$E,Actuals!$F:$F,'Proj 9.22'!$C30,Actuals!$A:$A,'Proj 9.22'!L$1)</f>
        <v>0</v>
      </c>
      <c r="M30" s="41">
        <v>117.06333333333333</v>
      </c>
      <c r="N30" s="41">
        <v>117.06333333333333</v>
      </c>
      <c r="O30" s="41">
        <v>117.06333333333333</v>
      </c>
      <c r="P30" s="15">
        <f t="shared" si="1"/>
        <v>590.19000000000005</v>
      </c>
    </row>
    <row r="31" spans="3:16">
      <c r="C31" s="16" t="s">
        <v>7261</v>
      </c>
      <c r="D31" s="13">
        <f t="shared" ref="D31:O31" si="4">SUM(D24:D30)</f>
        <v>3189.94</v>
      </c>
      <c r="E31" s="13">
        <f t="shared" si="4"/>
        <v>2994.5600000000004</v>
      </c>
      <c r="F31" s="13">
        <f t="shared" si="4"/>
        <v>3383.1599999999989</v>
      </c>
      <c r="G31" s="13">
        <f t="shared" si="4"/>
        <v>2202.3599999999997</v>
      </c>
      <c r="H31" s="13">
        <f t="shared" si="4"/>
        <v>3113.8899999999994</v>
      </c>
      <c r="I31" s="13">
        <f t="shared" si="4"/>
        <v>1963.6799999999996</v>
      </c>
      <c r="J31" s="13">
        <f t="shared" si="4"/>
        <v>534.1099999999999</v>
      </c>
      <c r="K31" s="13">
        <f t="shared" si="4"/>
        <v>2852.1999999999994</v>
      </c>
      <c r="L31" s="13">
        <f t="shared" si="4"/>
        <v>3037.98</v>
      </c>
      <c r="M31" s="13">
        <f t="shared" si="4"/>
        <v>2418.4733333333338</v>
      </c>
      <c r="N31" s="13">
        <f t="shared" si="4"/>
        <v>2564.8733333333339</v>
      </c>
      <c r="O31" s="13">
        <f t="shared" si="4"/>
        <v>2564.8733333333339</v>
      </c>
      <c r="P31" s="13">
        <f t="shared" si="1"/>
        <v>30820.100000000002</v>
      </c>
    </row>
    <row r="32" spans="3:16">
      <c r="C32" s="19"/>
      <c r="D32" s="20"/>
      <c r="E32" s="20"/>
      <c r="F32" s="20"/>
      <c r="G32" s="20"/>
      <c r="H32" s="20"/>
      <c r="I32" s="20"/>
      <c r="J32" s="20"/>
      <c r="K32" s="20"/>
      <c r="L32" s="20"/>
      <c r="M32" s="20"/>
      <c r="N32" s="20"/>
      <c r="O32" s="20"/>
      <c r="P32" s="20">
        <f t="shared" si="1"/>
        <v>0</v>
      </c>
    </row>
    <row r="33" spans="3:16">
      <c r="C33" s="16" t="s">
        <v>7153</v>
      </c>
      <c r="D33" s="17">
        <f t="shared" ref="D33:O33" si="5">SUM(D31,D22,D16)</f>
        <v>12366.869999999999</v>
      </c>
      <c r="E33" s="17">
        <f t="shared" si="5"/>
        <v>13955.119999999999</v>
      </c>
      <c r="F33" s="17">
        <f t="shared" si="5"/>
        <v>12806.699999999999</v>
      </c>
      <c r="G33" s="17">
        <f t="shared" si="5"/>
        <v>11343.679999999998</v>
      </c>
      <c r="H33" s="17">
        <f t="shared" si="5"/>
        <v>10761.349999999999</v>
      </c>
      <c r="I33" s="17">
        <f t="shared" si="5"/>
        <v>13167.38</v>
      </c>
      <c r="J33" s="17">
        <f t="shared" si="5"/>
        <v>11878.29</v>
      </c>
      <c r="K33" s="17">
        <f t="shared" si="5"/>
        <v>11390.339999999998</v>
      </c>
      <c r="L33" s="17">
        <f t="shared" si="5"/>
        <v>12558.32</v>
      </c>
      <c r="M33" s="17">
        <f t="shared" si="5"/>
        <v>10792.61</v>
      </c>
      <c r="N33" s="17">
        <f t="shared" si="5"/>
        <v>10939.01</v>
      </c>
      <c r="O33" s="17">
        <f t="shared" si="5"/>
        <v>10939.01</v>
      </c>
      <c r="P33" s="17">
        <f>SUM(D33:O33)</f>
        <v>142898.68</v>
      </c>
    </row>
    <row r="34" spans="3:16">
      <c r="D34" s="13"/>
      <c r="E34" s="13"/>
      <c r="F34" s="13"/>
      <c r="G34" s="13"/>
      <c r="H34" s="13"/>
      <c r="I34" s="13"/>
      <c r="J34" s="13"/>
      <c r="K34" s="13"/>
      <c r="L34" s="13"/>
      <c r="M34" s="13"/>
      <c r="N34" s="13"/>
      <c r="O34" s="13"/>
      <c r="P34" s="13"/>
    </row>
    <row r="35" spans="3:16">
      <c r="C35" t="s">
        <v>48</v>
      </c>
      <c r="D35" s="13">
        <f>SUMIFS(Actuals!$E:$E,Actuals!$F:$F,'Proj 9.22'!$C35,Actuals!$A:$A,'Proj 9.22'!D$1)</f>
        <v>555.18000000000006</v>
      </c>
      <c r="E35" s="13">
        <f>SUMIFS(Actuals!$E:$E,Actuals!$F:$F,'Proj 9.22'!$C35,Actuals!$A:$A,'Proj 9.22'!E$1)</f>
        <v>246.17000000000002</v>
      </c>
      <c r="F35" s="13">
        <f>SUMIFS(Actuals!$E:$E,Actuals!$F:$F,'Proj 9.22'!$C35,Actuals!$A:$A,'Proj 9.22'!F$1)</f>
        <v>227.94</v>
      </c>
      <c r="G35" s="13">
        <f>SUMIFS(Actuals!$E:$E,Actuals!$F:$F,'Proj 9.22'!$C35,Actuals!$A:$A,'Proj 9.22'!G$1)</f>
        <v>0</v>
      </c>
      <c r="H35" s="13">
        <f>SUMIFS(Actuals!$E:$E,Actuals!$F:$F,'Proj 9.22'!$C35,Actuals!$A:$A,'Proj 9.22'!H$1)</f>
        <v>253.53</v>
      </c>
      <c r="I35" s="13">
        <f>SUMIFS(Actuals!$E:$E,Actuals!$F:$F,'Proj 9.22'!$C35,Actuals!$A:$A,'Proj 9.22'!I$1)</f>
        <v>-14.1</v>
      </c>
      <c r="J35" s="13">
        <f>SUMIFS(Actuals!$E:$E,Actuals!$F:$F,'Proj 9.22'!$C35,Actuals!$A:$A,'Proj 9.22'!J$1)</f>
        <v>124.06</v>
      </c>
      <c r="K35" s="13">
        <f>SUMIFS(Actuals!$E:$E,Actuals!$F:$F,'Proj 9.22'!$C35,Actuals!$A:$A,'Proj 9.22'!K$1)</f>
        <v>0</v>
      </c>
      <c r="L35" s="13">
        <f>SUMIFS(Actuals!$E:$E,Actuals!$F:$F,'Proj 9.22'!$C35,Actuals!$A:$A,'Proj 9.22'!L$1)</f>
        <v>-12.49</v>
      </c>
      <c r="M35" s="40">
        <f>SUMIFS(Actuals!$E:$E,Actuals!$F:$F,'Proj 9.22'!$C35,Actuals!$A:$A,'Proj 9.22'!M$1)</f>
        <v>856.21</v>
      </c>
      <c r="N35" s="40">
        <f>SUMIFS(Actuals!$E:$E,Actuals!$F:$F,'Proj 9.22'!$C35,Actuals!$A:$A,'Proj 9.22'!N$1)</f>
        <v>425.81</v>
      </c>
      <c r="O35" s="40">
        <f>SUMIFS(Actuals!$E:$E,Actuals!$F:$F,'Proj 9.22'!$C35,Actuals!$A:$A,'Proj 9.22'!O$1)</f>
        <v>1285.7</v>
      </c>
      <c r="P35" s="13">
        <f t="shared" ref="P35:P37" si="6">SUM(D35:O35)</f>
        <v>3948.01</v>
      </c>
    </row>
    <row r="36" spans="3:16">
      <c r="C36" t="s">
        <v>50</v>
      </c>
      <c r="D36" s="13">
        <f>SUMIFS(Actuals!$E:$E,Actuals!$F:$F,'Proj 9.22'!$C36,Actuals!$A:$A,'Proj 9.22'!D$1)</f>
        <v>30245.75</v>
      </c>
      <c r="E36" s="13">
        <f>SUMIFS(Actuals!$E:$E,Actuals!$F:$F,'Proj 9.22'!$C36,Actuals!$A:$A,'Proj 9.22'!E$1)</f>
        <v>8816.9699999999993</v>
      </c>
      <c r="F36" s="13">
        <f>SUMIFS(Actuals!$E:$E,Actuals!$F:$F,'Proj 9.22'!$C36,Actuals!$A:$A,'Proj 9.22'!F$1)</f>
        <v>24509</v>
      </c>
      <c r="G36" s="13">
        <f>SUMIFS(Actuals!$E:$E,Actuals!$F:$F,'Proj 9.22'!$C36,Actuals!$A:$A,'Proj 9.22'!G$1)</f>
        <v>18027</v>
      </c>
      <c r="H36" s="13">
        <f>SUMIFS(Actuals!$E:$E,Actuals!$F:$F,'Proj 9.22'!$C36,Actuals!$A:$A,'Proj 9.22'!H$1)</f>
        <v>5053.1100000000006</v>
      </c>
      <c r="I36" s="13">
        <f>SUMIFS(Actuals!$E:$E,Actuals!$F:$F,'Proj 9.22'!$C36,Actuals!$A:$A,'Proj 9.22'!I$1)</f>
        <v>43385.5</v>
      </c>
      <c r="J36" s="13">
        <f>SUMIFS(Actuals!$E:$E,Actuals!$F:$F,'Proj 9.22'!$C36,Actuals!$A:$A,'Proj 9.22'!J$1)</f>
        <v>48339</v>
      </c>
      <c r="K36" s="13">
        <f>SUMIFS(Actuals!$E:$E,Actuals!$F:$F,'Proj 9.22'!$C36,Actuals!$A:$A,'Proj 9.22'!K$1)</f>
        <v>52</v>
      </c>
      <c r="L36" s="13">
        <f>SUMIFS(Actuals!$E:$E,Actuals!$F:$F,'Proj 9.22'!$C36,Actuals!$A:$A,'Proj 9.22'!L$1)</f>
        <v>43385.5</v>
      </c>
      <c r="M36" s="40">
        <f>SUMIFS(Actuals!$E:$E,Actuals!$F:$F,'Proj 9.22'!$C36,Actuals!$A:$A,'Proj 9.22'!M$1)</f>
        <v>43985.5</v>
      </c>
      <c r="N36" s="40">
        <f>SUMIFS(Actuals!$E:$E,Actuals!$F:$F,'Proj 9.22'!$C36,Actuals!$A:$A,'Proj 9.22'!N$1)</f>
        <v>0</v>
      </c>
      <c r="O36" s="40">
        <f>SUMIFS(Actuals!$E:$E,Actuals!$F:$F,'Proj 9.22'!$C36,Actuals!$A:$A,'Proj 9.22'!O$1)</f>
        <v>0</v>
      </c>
      <c r="P36" s="13">
        <f t="shared" si="6"/>
        <v>265799.33</v>
      </c>
    </row>
    <row r="37" spans="3:16">
      <c r="C37" s="14" t="s">
        <v>43</v>
      </c>
      <c r="D37" s="15">
        <f>SUMIFS(Actuals!$E:$E,Actuals!$F:$F,'Proj 9.22'!$C37,Actuals!$A:$A,'Proj 9.22'!D$1)</f>
        <v>2336.15</v>
      </c>
      <c r="E37" s="15">
        <f>SUMIFS(Actuals!$E:$E,Actuals!$F:$F,'Proj 9.22'!$C37,Actuals!$A:$A,'Proj 9.22'!E$1)</f>
        <v>213.11</v>
      </c>
      <c r="F37" s="15">
        <f>SUMIFS(Actuals!$E:$E,Actuals!$F:$F,'Proj 9.22'!$C37,Actuals!$A:$A,'Proj 9.22'!F$1)</f>
        <v>908.1</v>
      </c>
      <c r="G37" s="15">
        <f>SUMIFS(Actuals!$E:$E,Actuals!$F:$F,'Proj 9.22'!$C37,Actuals!$A:$A,'Proj 9.22'!G$1)</f>
        <v>513.21</v>
      </c>
      <c r="H37" s="15">
        <f>SUMIFS(Actuals!$E:$E,Actuals!$F:$F,'Proj 9.22'!$C37,Actuals!$A:$A,'Proj 9.22'!H$1)</f>
        <v>997.66000000000008</v>
      </c>
      <c r="I37" s="15">
        <f>SUMIFS(Actuals!$E:$E,Actuals!$F:$F,'Proj 9.22'!$C37,Actuals!$A:$A,'Proj 9.22'!I$1)</f>
        <v>468.68999999999988</v>
      </c>
      <c r="J37" s="15">
        <f>SUMIFS(Actuals!$E:$E,Actuals!$F:$F,'Proj 9.22'!$C37,Actuals!$A:$A,'Proj 9.22'!J$1)</f>
        <v>744.33</v>
      </c>
      <c r="K37" s="15">
        <f>SUMIFS(Actuals!$E:$E,Actuals!$F:$F,'Proj 9.22'!$C37,Actuals!$A:$A,'Proj 9.22'!K$1)</f>
        <v>2249.7099999999996</v>
      </c>
      <c r="L37" s="15">
        <f>SUMIFS(Actuals!$E:$E,Actuals!$F:$F,'Proj 9.22'!$C37,Actuals!$A:$A,'Proj 9.22'!L$1)</f>
        <v>862.4</v>
      </c>
      <c r="M37" s="41">
        <f>SUMIFS(Actuals!$E:$E,Actuals!$F:$F,'Proj 9.22'!$C37,Actuals!$A:$A,'Proj 9.22'!M$1)</f>
        <v>4330.6899999999996</v>
      </c>
      <c r="N37" s="41">
        <v>1000</v>
      </c>
      <c r="O37" s="41">
        <f>SUMIFS(Actuals!$E:$E,Actuals!$F:$F,'Proj 9.22'!$C37,Actuals!$A:$A,'Proj 9.22'!O$1)</f>
        <v>1788.3400000000001</v>
      </c>
      <c r="P37" s="15">
        <f t="shared" si="6"/>
        <v>16412.39</v>
      </c>
    </row>
    <row r="38" spans="3:16">
      <c r="C38" s="16" t="s">
        <v>7265</v>
      </c>
      <c r="D38" s="13">
        <f>SUM(D35:D37)</f>
        <v>33137.08</v>
      </c>
      <c r="E38" s="13">
        <f t="shared" ref="E38:O38" si="7">SUM(E35:E37)</f>
        <v>9276.25</v>
      </c>
      <c r="F38" s="13">
        <f t="shared" si="7"/>
        <v>25645.039999999997</v>
      </c>
      <c r="G38" s="13">
        <f t="shared" si="7"/>
        <v>18540.21</v>
      </c>
      <c r="H38" s="13">
        <f t="shared" si="7"/>
        <v>6304.3</v>
      </c>
      <c r="I38" s="13">
        <f t="shared" si="7"/>
        <v>43840.090000000004</v>
      </c>
      <c r="J38" s="13">
        <f t="shared" si="7"/>
        <v>49207.39</v>
      </c>
      <c r="K38" s="13">
        <f t="shared" si="7"/>
        <v>2301.7099999999996</v>
      </c>
      <c r="L38" s="13">
        <f t="shared" si="7"/>
        <v>44235.41</v>
      </c>
      <c r="M38" s="13">
        <f t="shared" si="7"/>
        <v>49172.4</v>
      </c>
      <c r="N38" s="13">
        <f t="shared" si="7"/>
        <v>1425.81</v>
      </c>
      <c r="O38" s="13">
        <f t="shared" si="7"/>
        <v>3074.04</v>
      </c>
      <c r="P38" s="13">
        <f>SUM(P35:P37)</f>
        <v>286159.73000000004</v>
      </c>
    </row>
    <row r="39" spans="3:16">
      <c r="C39" s="16"/>
      <c r="D39" s="13"/>
      <c r="E39" s="13"/>
      <c r="F39" s="13"/>
      <c r="G39" s="13"/>
      <c r="H39" s="13"/>
      <c r="I39" s="13"/>
      <c r="J39" s="13"/>
      <c r="K39" s="13"/>
      <c r="L39" s="13"/>
      <c r="M39" s="13"/>
      <c r="N39" s="13"/>
      <c r="O39" s="13"/>
      <c r="P39" s="13"/>
    </row>
    <row r="40" spans="3:16">
      <c r="C40" s="16"/>
      <c r="D40" s="13"/>
      <c r="E40" s="13"/>
      <c r="F40" s="13"/>
      <c r="G40" s="13"/>
      <c r="H40" s="13"/>
      <c r="I40" s="13"/>
      <c r="J40" s="13"/>
      <c r="K40" s="13"/>
      <c r="L40" s="13"/>
      <c r="M40" s="13"/>
      <c r="N40" s="13"/>
      <c r="O40" s="13"/>
      <c r="P40" s="13"/>
    </row>
    <row r="41" spans="3:16">
      <c r="C41" s="16"/>
      <c r="D41" s="13"/>
      <c r="E41" s="13"/>
      <c r="F41" s="13"/>
      <c r="G41" s="13"/>
      <c r="H41" s="13"/>
      <c r="I41" s="13"/>
      <c r="J41" s="13"/>
      <c r="K41" s="13"/>
      <c r="L41" s="13"/>
      <c r="M41" s="13"/>
      <c r="N41" s="13"/>
      <c r="O41" s="13"/>
      <c r="P41" s="13"/>
    </row>
    <row r="42" spans="3:16">
      <c r="C42" s="16"/>
      <c r="D42" s="13"/>
      <c r="E42" s="13"/>
      <c r="F42" s="13"/>
      <c r="G42" s="13"/>
      <c r="H42" s="13"/>
      <c r="I42" s="13"/>
      <c r="J42" s="13"/>
      <c r="K42" s="13"/>
      <c r="L42" s="13"/>
      <c r="M42" s="13"/>
      <c r="N42" s="13"/>
      <c r="O42" s="13"/>
      <c r="P42" s="13"/>
    </row>
    <row r="43" spans="3:16">
      <c r="C43" s="28"/>
      <c r="D43" s="21"/>
      <c r="E43" s="21"/>
      <c r="F43" s="21"/>
      <c r="G43" s="21"/>
      <c r="H43" s="21"/>
      <c r="I43" s="21"/>
      <c r="J43" s="21"/>
      <c r="K43" s="21"/>
      <c r="L43" s="21"/>
      <c r="M43" s="21"/>
      <c r="N43" s="21"/>
      <c r="O43" s="21"/>
      <c r="P43" s="21"/>
    </row>
    <row r="44" spans="3:16">
      <c r="C44" s="16" t="s">
        <v>7271</v>
      </c>
      <c r="D44" s="13">
        <f>SUM(D40:D43)</f>
        <v>0</v>
      </c>
      <c r="E44" s="13">
        <f t="shared" ref="E44:O44" si="8">SUM(E40:E43)</f>
        <v>0</v>
      </c>
      <c r="F44" s="13">
        <f t="shared" si="8"/>
        <v>0</v>
      </c>
      <c r="G44" s="13">
        <f t="shared" si="8"/>
        <v>0</v>
      </c>
      <c r="H44" s="13">
        <f t="shared" si="8"/>
        <v>0</v>
      </c>
      <c r="I44" s="13">
        <f t="shared" si="8"/>
        <v>0</v>
      </c>
      <c r="J44" s="13">
        <f t="shared" si="8"/>
        <v>0</v>
      </c>
      <c r="K44" s="13">
        <f t="shared" si="8"/>
        <v>0</v>
      </c>
      <c r="L44" s="13">
        <f t="shared" si="8"/>
        <v>0</v>
      </c>
      <c r="M44" s="13">
        <f t="shared" si="8"/>
        <v>0</v>
      </c>
      <c r="N44" s="13">
        <f t="shared" si="8"/>
        <v>0</v>
      </c>
      <c r="O44" s="13">
        <f t="shared" si="8"/>
        <v>0</v>
      </c>
      <c r="P44" s="17">
        <f>SUM(D44:O44)</f>
        <v>0</v>
      </c>
    </row>
    <row r="45" spans="3:16">
      <c r="C45" s="19"/>
      <c r="D45" s="20"/>
      <c r="E45" s="20"/>
      <c r="F45" s="20"/>
      <c r="G45" s="20"/>
      <c r="H45" s="20"/>
      <c r="I45" s="20"/>
      <c r="J45" s="20"/>
      <c r="K45" s="20"/>
      <c r="L45" s="20"/>
      <c r="M45" s="20"/>
      <c r="N45" s="20"/>
      <c r="O45" s="20"/>
      <c r="P45" s="20"/>
    </row>
    <row r="46" spans="3:16">
      <c r="C46" s="16" t="s">
        <v>7266</v>
      </c>
      <c r="D46" s="17">
        <f t="shared" ref="D46:O46" si="9">SUM(D38,D33)</f>
        <v>45503.95</v>
      </c>
      <c r="E46" s="17">
        <f t="shared" si="9"/>
        <v>23231.37</v>
      </c>
      <c r="F46" s="17">
        <f t="shared" si="9"/>
        <v>38451.74</v>
      </c>
      <c r="G46" s="17">
        <f t="shared" si="9"/>
        <v>29883.89</v>
      </c>
      <c r="H46" s="17">
        <f t="shared" si="9"/>
        <v>17065.649999999998</v>
      </c>
      <c r="I46" s="17">
        <f t="shared" si="9"/>
        <v>57007.47</v>
      </c>
      <c r="J46" s="17">
        <f t="shared" si="9"/>
        <v>61085.68</v>
      </c>
      <c r="K46" s="17">
        <f t="shared" si="9"/>
        <v>13692.049999999997</v>
      </c>
      <c r="L46" s="17">
        <f t="shared" si="9"/>
        <v>56793.73</v>
      </c>
      <c r="M46" s="17">
        <f t="shared" si="9"/>
        <v>59965.01</v>
      </c>
      <c r="N46" s="17">
        <f t="shared" si="9"/>
        <v>12364.82</v>
      </c>
      <c r="O46" s="17">
        <f t="shared" si="9"/>
        <v>14013.05</v>
      </c>
      <c r="P46" s="17">
        <f>SUM(P38,P33,P44)</f>
        <v>429058.41000000003</v>
      </c>
    </row>
    <row r="47" spans="3:16">
      <c r="C47" s="83" t="s">
        <v>7304</v>
      </c>
    </row>
  </sheetData>
  <pageMargins left="0.7" right="0.7" top="0.75" bottom="0.75" header="0.3" footer="0.3"/>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7491-D0FE-4FEC-B5B7-2F6DCFF1E00F}">
  <sheetPr>
    <pageSetUpPr fitToPage="1"/>
  </sheetPr>
  <dimension ref="C1:P46"/>
  <sheetViews>
    <sheetView topLeftCell="B6" workbookViewId="0">
      <pane xSplit="2" ySplit="3" topLeftCell="D9" activePane="bottomRight" state="frozen"/>
      <selection pane="topRight"/>
      <selection pane="bottomLeft"/>
      <selection pane="bottomRight"/>
    </sheetView>
  </sheetViews>
  <sheetFormatPr defaultRowHeight="15"/>
  <cols>
    <col min="2" max="2" width="5.28515625" customWidth="1"/>
    <col min="3" max="3" width="25" customWidth="1"/>
    <col min="4" max="15" width="10.28515625" customWidth="1"/>
  </cols>
  <sheetData>
    <row r="1" spans="3:16">
      <c r="D1">
        <f>VALUE('1 MO'!$C$3&amp;"01")</f>
        <v>202501</v>
      </c>
      <c r="E1">
        <f>VALUE('1 MO'!$C$3&amp;"02")</f>
        <v>202502</v>
      </c>
      <c r="F1">
        <f>VALUE('1 MO'!$C$3&amp;"03")</f>
        <v>202503</v>
      </c>
      <c r="G1">
        <f>VALUE('1 MO'!$C$3&amp;"04")</f>
        <v>202504</v>
      </c>
      <c r="H1">
        <f>VALUE('1 MO'!$C$3&amp;"05")</f>
        <v>202505</v>
      </c>
      <c r="I1">
        <f>VALUE('1 MO'!$C$3&amp;"06")</f>
        <v>202506</v>
      </c>
      <c r="J1">
        <f>VALUE('1 MO'!$C$3&amp;"07")</f>
        <v>202507</v>
      </c>
      <c r="K1">
        <f>VALUE('1 MO'!$C$3&amp;"08")</f>
        <v>202508</v>
      </c>
      <c r="L1">
        <f>VALUE('1 MO'!$C$3&amp;"09")</f>
        <v>202509</v>
      </c>
      <c r="M1">
        <f>VALUE('1 MO'!$C$3&amp;"10")</f>
        <v>202510</v>
      </c>
      <c r="N1">
        <f>VALUE('1 MO'!$C$3&amp;"11")</f>
        <v>202511</v>
      </c>
      <c r="O1">
        <f>VALUE('1 MO'!$C$3&amp;"12")</f>
        <v>202512</v>
      </c>
    </row>
    <row r="2" spans="3:16">
      <c r="D2" s="6"/>
    </row>
    <row r="6" spans="3:16" ht="23.25">
      <c r="C6" s="29" t="s">
        <v>7305</v>
      </c>
    </row>
    <row r="7" spans="3:16">
      <c r="C7" s="9"/>
      <c r="D7" s="10" t="str">
        <f>TEXT(DATE(LEFT(D1,4),RIGHT(D1,2),1),"MMM YYYY")</f>
        <v>Jan 2025</v>
      </c>
      <c r="E7" s="10" t="str">
        <f t="shared" ref="E7:O7" si="0">TEXT(DATE(LEFT(E1,4),RIGHT(E1,2),1),"MMM YYYY")</f>
        <v>Feb 2025</v>
      </c>
      <c r="F7" s="10" t="str">
        <f t="shared" si="0"/>
        <v>Mar 2025</v>
      </c>
      <c r="G7" s="10" t="str">
        <f t="shared" si="0"/>
        <v>Apr 2025</v>
      </c>
      <c r="H7" s="10" t="str">
        <f t="shared" si="0"/>
        <v>May 2025</v>
      </c>
      <c r="I7" s="10" t="str">
        <f t="shared" si="0"/>
        <v>Jun 2025</v>
      </c>
      <c r="J7" s="10" t="str">
        <f t="shared" si="0"/>
        <v>Jul 2025</v>
      </c>
      <c r="K7" s="10" t="str">
        <f t="shared" si="0"/>
        <v>Aug 2025</v>
      </c>
      <c r="L7" s="27" t="str">
        <f t="shared" si="0"/>
        <v>Sep 2025</v>
      </c>
      <c r="M7" s="27" t="str">
        <f t="shared" si="0"/>
        <v>Oct 2025</v>
      </c>
      <c r="N7" s="27" t="str">
        <f t="shared" si="0"/>
        <v>Nov 2025</v>
      </c>
      <c r="O7" s="27" t="str">
        <f t="shared" si="0"/>
        <v>Dec 2025</v>
      </c>
      <c r="P7" s="10" t="s">
        <v>7153</v>
      </c>
    </row>
    <row r="8" spans="3:16" ht="3" customHeight="1">
      <c r="C8" s="22"/>
      <c r="D8" s="23"/>
      <c r="E8" s="23"/>
      <c r="F8" s="23"/>
      <c r="G8" s="23"/>
      <c r="H8" s="23"/>
      <c r="I8" s="23"/>
      <c r="J8" s="23"/>
      <c r="K8" s="23"/>
      <c r="L8" s="23"/>
      <c r="M8" s="23"/>
      <c r="N8" s="23"/>
      <c r="O8" s="23"/>
      <c r="P8" s="23"/>
    </row>
    <row r="9" spans="3:16">
      <c r="C9" t="s">
        <v>5</v>
      </c>
      <c r="D9" s="40">
        <v>1816</v>
      </c>
      <c r="E9" s="40">
        <v>1816</v>
      </c>
      <c r="F9" s="40">
        <v>1816</v>
      </c>
      <c r="G9" s="40">
        <v>1816</v>
      </c>
      <c r="H9" s="40">
        <v>1816</v>
      </c>
      <c r="I9" s="40">
        <v>1816</v>
      </c>
      <c r="J9" s="40">
        <v>1817</v>
      </c>
      <c r="K9" s="40">
        <v>1816</v>
      </c>
      <c r="L9" s="40">
        <v>1816</v>
      </c>
      <c r="M9" s="40">
        <v>1816</v>
      </c>
      <c r="N9" s="40">
        <v>1816</v>
      </c>
      <c r="O9" s="40">
        <v>1816</v>
      </c>
      <c r="P9" s="13">
        <f>SUM(D9:O9)</f>
        <v>21793</v>
      </c>
    </row>
    <row r="10" spans="3:16">
      <c r="C10" t="s">
        <v>2</v>
      </c>
      <c r="D10" s="13">
        <f>SUMIFS(Actuals!$E:$E,Actuals!$F:$F,'Proj 8.22'!$C10,Actuals!$A:$A,'Proj 8.22'!D$1)</f>
        <v>158.51</v>
      </c>
      <c r="E10" s="13">
        <f>SUMIFS(Actuals!$E:$E,Actuals!$F:$F,'Proj 8.22'!$C10,Actuals!$A:$A,'Proj 8.22'!E$1)</f>
        <v>72.41</v>
      </c>
      <c r="F10" s="13">
        <f>SUMIFS(Actuals!$E:$E,Actuals!$F:$F,'Proj 8.22'!$C10,Actuals!$A:$A,'Proj 8.22'!F$1)</f>
        <v>432.06</v>
      </c>
      <c r="G10" s="13">
        <f>SUMIFS(Actuals!$E:$E,Actuals!$F:$F,'Proj 8.22'!$C10,Actuals!$A:$A,'Proj 8.22'!G$1)</f>
        <v>532.5200000000001</v>
      </c>
      <c r="H10" s="13">
        <f>SUMIFS(Actuals!$E:$E,Actuals!$F:$F,'Proj 8.22'!$C10,Actuals!$A:$A,'Proj 8.22'!H$1)</f>
        <v>296.67999999999995</v>
      </c>
      <c r="I10" s="13">
        <f>SUMIFS(Actuals!$E:$E,Actuals!$F:$F,'Proj 8.22'!$C10,Actuals!$A:$A,'Proj 8.22'!I$1)</f>
        <v>719.2600000000001</v>
      </c>
      <c r="J10" s="13">
        <f>SUMIFS(Actuals!$E:$E,Actuals!$F:$F,'Proj 8.22'!$C10,Actuals!$A:$A,'Proj 8.22'!J$1)</f>
        <v>373.78</v>
      </c>
      <c r="K10" s="13">
        <f>SUMIFS(Actuals!$E:$E,Actuals!$F:$F,'Proj 8.22'!$C10,Actuals!$A:$A,'Proj 8.22'!K$1)</f>
        <v>127.46</v>
      </c>
      <c r="L10" s="40">
        <v>433.32333333333332</v>
      </c>
      <c r="M10" s="40">
        <v>433.32333333333332</v>
      </c>
      <c r="N10" s="40">
        <v>433.32333333333332</v>
      </c>
      <c r="O10" s="40">
        <v>433.32333333333332</v>
      </c>
      <c r="P10" s="13">
        <f t="shared" ref="P10:P32" si="1">SUM(D10:O10)</f>
        <v>4445.9733333333334</v>
      </c>
    </row>
    <row r="11" spans="3:16">
      <c r="C11" t="s">
        <v>7</v>
      </c>
      <c r="D11" s="13">
        <f>SUMIFS(Actuals!$E:$E,Actuals!$F:$F,'Proj 8.22'!$C11,Actuals!$A:$A,'Proj 8.22'!D$1)</f>
        <v>512.23</v>
      </c>
      <c r="E11" s="13">
        <f>SUMIFS(Actuals!$E:$E,Actuals!$F:$F,'Proj 8.22'!$C11,Actuals!$A:$A,'Proj 8.22'!E$1)</f>
        <v>1454.37</v>
      </c>
      <c r="F11" s="13">
        <f>SUMIFS(Actuals!$E:$E,Actuals!$F:$F,'Proj 8.22'!$C11,Actuals!$A:$A,'Proj 8.22'!F$1)</f>
        <v>404.5200000000001</v>
      </c>
      <c r="G11" s="13">
        <f>SUMIFS(Actuals!$E:$E,Actuals!$F:$F,'Proj 8.22'!$C11,Actuals!$A:$A,'Proj 8.22'!G$1)</f>
        <v>507.12000000000006</v>
      </c>
      <c r="H11" s="13">
        <f>SUMIFS(Actuals!$E:$E,Actuals!$F:$F,'Proj 8.22'!$C11,Actuals!$A:$A,'Proj 8.22'!H$1)</f>
        <v>726.93</v>
      </c>
      <c r="I11" s="13">
        <f>SUMIFS(Actuals!$E:$E,Actuals!$F:$F,'Proj 8.22'!$C11,Actuals!$A:$A,'Proj 8.22'!I$1)</f>
        <v>2595.9299999999994</v>
      </c>
      <c r="J11" s="13">
        <f>SUMIFS(Actuals!$E:$E,Actuals!$F:$F,'Proj 8.22'!$C11,Actuals!$A:$A,'Proj 8.22'!J$1)</f>
        <v>2949.6399999999994</v>
      </c>
      <c r="K11" s="13">
        <f>SUMIFS(Actuals!$E:$E,Actuals!$F:$F,'Proj 8.22'!$C11,Actuals!$A:$A,'Proj 8.22'!K$1)</f>
        <v>744.52</v>
      </c>
      <c r="L11" s="40">
        <v>615.33000000000004</v>
      </c>
      <c r="M11" s="40">
        <v>615.33000000000004</v>
      </c>
      <c r="N11" s="40">
        <v>615.33000000000004</v>
      </c>
      <c r="O11" s="40">
        <v>615.33000000000004</v>
      </c>
      <c r="P11" s="13">
        <f t="shared" si="1"/>
        <v>12356.579999999998</v>
      </c>
    </row>
    <row r="12" spans="3:16">
      <c r="C12" t="s">
        <v>11</v>
      </c>
      <c r="D12" s="13">
        <f>SUMIFS(Actuals!$E:$E,Actuals!$F:$F,'Proj 8.22'!$C12,Actuals!$A:$A,'Proj 8.22'!D$1)</f>
        <v>0</v>
      </c>
      <c r="E12" s="13">
        <f>SUMIFS(Actuals!$E:$E,Actuals!$F:$F,'Proj 8.22'!$C12,Actuals!$A:$A,'Proj 8.22'!E$1)</f>
        <v>0</v>
      </c>
      <c r="F12" s="13">
        <f>SUMIFS(Actuals!$E:$E,Actuals!$F:$F,'Proj 8.22'!$C12,Actuals!$A:$A,'Proj 8.22'!F$1)</f>
        <v>0</v>
      </c>
      <c r="G12" s="13">
        <f>SUMIFS(Actuals!$E:$E,Actuals!$F:$F,'Proj 8.22'!$C12,Actuals!$A:$A,'Proj 8.22'!G$1)</f>
        <v>0</v>
      </c>
      <c r="H12" s="13">
        <f>SUMIFS(Actuals!$E:$E,Actuals!$F:$F,'Proj 8.22'!$C12,Actuals!$A:$A,'Proj 8.22'!H$1)</f>
        <v>0</v>
      </c>
      <c r="I12" s="13">
        <f>SUMIFS(Actuals!$E:$E,Actuals!$F:$F,'Proj 8.22'!$C12,Actuals!$A:$A,'Proj 8.22'!I$1)</f>
        <v>0</v>
      </c>
      <c r="J12" s="13">
        <f>SUMIFS(Actuals!$E:$E,Actuals!$F:$F,'Proj 8.22'!$C12,Actuals!$A:$A,'Proj 8.22'!J$1)</f>
        <v>0</v>
      </c>
      <c r="K12" s="13">
        <f>SUMIFS(Actuals!$E:$E,Actuals!$F:$F,'Proj 8.22'!$C12,Actuals!$A:$A,'Proj 8.22'!K$1)</f>
        <v>0</v>
      </c>
      <c r="L12" s="40">
        <v>585.31666666666661</v>
      </c>
      <c r="M12" s="40">
        <v>585.31666666666661</v>
      </c>
      <c r="N12" s="40">
        <v>585.31666666666661</v>
      </c>
      <c r="O12" s="40">
        <v>585.31666666666661</v>
      </c>
      <c r="P12" s="13">
        <f t="shared" si="1"/>
        <v>2341.2666666666664</v>
      </c>
    </row>
    <row r="13" spans="3:16">
      <c r="C13" t="s">
        <v>14</v>
      </c>
      <c r="D13" s="13">
        <f>SUMIFS(Actuals!$E:$E,Actuals!$F:$F,'Proj 8.22'!$C13,Actuals!$A:$A,'Proj 8.22'!D$1)</f>
        <v>0</v>
      </c>
      <c r="E13" s="13">
        <f>SUMIFS(Actuals!$E:$E,Actuals!$F:$F,'Proj 8.22'!$C13,Actuals!$A:$A,'Proj 8.22'!E$1)</f>
        <v>0</v>
      </c>
      <c r="F13" s="13">
        <f>SUMIFS(Actuals!$E:$E,Actuals!$F:$F,'Proj 8.22'!$C13,Actuals!$A:$A,'Proj 8.22'!F$1)</f>
        <v>0</v>
      </c>
      <c r="G13" s="13">
        <f>SUMIFS(Actuals!$E:$E,Actuals!$F:$F,'Proj 8.22'!$C13,Actuals!$A:$A,'Proj 8.22'!G$1)</f>
        <v>0</v>
      </c>
      <c r="H13" s="13">
        <f>SUMIFS(Actuals!$E:$E,Actuals!$F:$F,'Proj 8.22'!$C13,Actuals!$A:$A,'Proj 8.22'!H$1)</f>
        <v>0</v>
      </c>
      <c r="I13" s="13">
        <f>SUMIFS(Actuals!$E:$E,Actuals!$F:$F,'Proj 8.22'!$C13,Actuals!$A:$A,'Proj 8.22'!I$1)</f>
        <v>0</v>
      </c>
      <c r="J13" s="13">
        <f>SUMIFS(Actuals!$E:$E,Actuals!$F:$F,'Proj 8.22'!$C13,Actuals!$A:$A,'Proj 8.22'!J$1)</f>
        <v>0</v>
      </c>
      <c r="K13" s="13">
        <f>SUMIFS(Actuals!$E:$E,Actuals!$F:$F,'Proj 8.22'!$C13,Actuals!$A:$A,'Proj 8.22'!K$1)</f>
        <v>0</v>
      </c>
      <c r="L13" s="40">
        <v>250</v>
      </c>
      <c r="M13" s="40">
        <v>250</v>
      </c>
      <c r="N13" s="40">
        <v>250</v>
      </c>
      <c r="O13" s="40">
        <v>250</v>
      </c>
      <c r="P13" s="13">
        <f t="shared" si="1"/>
        <v>1000</v>
      </c>
    </row>
    <row r="14" spans="3:16">
      <c r="C14" t="s">
        <v>18</v>
      </c>
      <c r="D14" s="13">
        <f>SUMIFS(Actuals!$E:$E,Actuals!$F:$F,'Proj 8.22'!$C14,Actuals!$A:$A,'Proj 8.22'!D$1)</f>
        <v>163.66</v>
      </c>
      <c r="E14" s="13">
        <f>SUMIFS(Actuals!$E:$E,Actuals!$F:$F,'Proj 8.22'!$C14,Actuals!$A:$A,'Proj 8.22'!E$1)</f>
        <v>163.66</v>
      </c>
      <c r="F14" s="13">
        <f>SUMIFS(Actuals!$E:$E,Actuals!$F:$F,'Proj 8.22'!$C14,Actuals!$A:$A,'Proj 8.22'!F$1)</f>
        <v>158.66</v>
      </c>
      <c r="G14" s="13">
        <f>SUMIFS(Actuals!$E:$E,Actuals!$F:$F,'Proj 8.22'!$C14,Actuals!$A:$A,'Proj 8.22'!G$1)</f>
        <v>165.12</v>
      </c>
      <c r="H14" s="13">
        <f>SUMIFS(Actuals!$E:$E,Actuals!$F:$F,'Proj 8.22'!$C14,Actuals!$A:$A,'Proj 8.22'!H$1)</f>
        <v>165.07999999999998</v>
      </c>
      <c r="I14" s="13">
        <f>SUMIFS(Actuals!$E:$E,Actuals!$F:$F,'Proj 8.22'!$C14,Actuals!$A:$A,'Proj 8.22'!I$1)</f>
        <v>54.33</v>
      </c>
      <c r="J14" s="13">
        <f>SUMIFS(Actuals!$E:$E,Actuals!$F:$F,'Proj 8.22'!$C14,Actuals!$A:$A,'Proj 8.22'!J$1)</f>
        <v>55.97</v>
      </c>
      <c r="K14" s="13">
        <f>SUMIFS(Actuals!$E:$E,Actuals!$F:$F,'Proj 8.22'!$C14,Actuals!$A:$A,'Proj 8.22'!K$1)</f>
        <v>54.33</v>
      </c>
      <c r="L14" s="40">
        <v>102.48666666666666</v>
      </c>
      <c r="M14" s="40">
        <v>102.48666666666666</v>
      </c>
      <c r="N14" s="40">
        <v>102.48666666666666</v>
      </c>
      <c r="O14" s="40">
        <v>102.48666666666666</v>
      </c>
      <c r="P14" s="13">
        <f t="shared" si="1"/>
        <v>1390.7566666666669</v>
      </c>
    </row>
    <row r="15" spans="3:16">
      <c r="C15" s="14" t="s">
        <v>20</v>
      </c>
      <c r="D15" s="15">
        <f>SUMIFS(Actuals!$E:$E,Actuals!$F:$F,'Proj 8.22'!$C15,Actuals!$A:$A,'Proj 8.22'!D$1)</f>
        <v>4201.12</v>
      </c>
      <c r="E15" s="15">
        <f>SUMIFS(Actuals!$E:$E,Actuals!$F:$F,'Proj 8.22'!$C15,Actuals!$A:$A,'Proj 8.22'!E$1)</f>
        <v>2625.59</v>
      </c>
      <c r="F15" s="15">
        <f>SUMIFS(Actuals!$E:$E,Actuals!$F:$F,'Proj 8.22'!$C15,Actuals!$A:$A,'Proj 8.22'!F$1)</f>
        <v>2505.21</v>
      </c>
      <c r="G15" s="15">
        <f>SUMIFS(Actuals!$E:$E,Actuals!$F:$F,'Proj 8.22'!$C15,Actuals!$A:$A,'Proj 8.22'!G$1)</f>
        <v>2173.3599999999997</v>
      </c>
      <c r="H15" s="15">
        <f>SUMIFS(Actuals!$E:$E,Actuals!$F:$F,'Proj 8.22'!$C15,Actuals!$A:$A,'Proj 8.22'!H$1)</f>
        <v>797.3</v>
      </c>
      <c r="I15" s="15">
        <f>SUMIFS(Actuals!$E:$E,Actuals!$F:$F,'Proj 8.22'!$C15,Actuals!$A:$A,'Proj 8.22'!I$1)</f>
        <v>1371.1</v>
      </c>
      <c r="J15" s="15">
        <f>SUMIFS(Actuals!$E:$E,Actuals!$F:$F,'Proj 8.22'!$C15,Actuals!$A:$A,'Proj 8.22'!J$1)</f>
        <v>2393</v>
      </c>
      <c r="K15" s="15">
        <f>SUMIFS(Actuals!$E:$E,Actuals!$F:$F,'Proj 8.22'!$C15,Actuals!$A:$A,'Proj 8.22'!K$1)</f>
        <v>2344.5100000000002</v>
      </c>
      <c r="L15" s="41">
        <v>1111.5</v>
      </c>
      <c r="M15" s="41">
        <v>1111.5</v>
      </c>
      <c r="N15" s="41">
        <v>1111.5</v>
      </c>
      <c r="O15" s="41">
        <v>1111.5</v>
      </c>
      <c r="P15" s="15">
        <f t="shared" si="1"/>
        <v>22857.19</v>
      </c>
    </row>
    <row r="16" spans="3:16">
      <c r="C16" s="16" t="s">
        <v>7259</v>
      </c>
      <c r="D16" s="13">
        <f t="shared" ref="D16:N16" si="2">SUM(D9:D15)</f>
        <v>6851.5199999999995</v>
      </c>
      <c r="E16" s="13">
        <f t="shared" si="2"/>
        <v>6132.03</v>
      </c>
      <c r="F16" s="13">
        <f t="shared" si="2"/>
        <v>5316.45</v>
      </c>
      <c r="G16" s="13">
        <f t="shared" si="2"/>
        <v>5194.119999999999</v>
      </c>
      <c r="H16" s="13">
        <f t="shared" si="2"/>
        <v>3801.99</v>
      </c>
      <c r="I16" s="13">
        <f t="shared" si="2"/>
        <v>6556.619999999999</v>
      </c>
      <c r="J16" s="13">
        <f t="shared" si="2"/>
        <v>7589.3899999999994</v>
      </c>
      <c r="K16" s="13">
        <f t="shared" si="2"/>
        <v>5086.82</v>
      </c>
      <c r="L16" s="13">
        <f t="shared" si="2"/>
        <v>4913.9566666666669</v>
      </c>
      <c r="M16" s="13">
        <f t="shared" si="2"/>
        <v>4913.9566666666669</v>
      </c>
      <c r="N16" s="13">
        <f t="shared" si="2"/>
        <v>4913.9566666666669</v>
      </c>
      <c r="O16" s="13">
        <f>SUM(O9:O15)</f>
        <v>4913.9566666666669</v>
      </c>
      <c r="P16" s="13">
        <f>SUM(D16:O16)</f>
        <v>66184.766666666663</v>
      </c>
    </row>
    <row r="17" spans="3:16">
      <c r="D17" s="13"/>
      <c r="E17" s="13"/>
      <c r="F17" s="13"/>
      <c r="G17" s="13"/>
      <c r="H17" s="13"/>
      <c r="I17" s="13"/>
      <c r="J17" s="13"/>
      <c r="K17" s="13"/>
      <c r="L17" s="13"/>
      <c r="M17" s="13"/>
      <c r="N17" s="13"/>
      <c r="O17" s="13"/>
      <c r="P17" s="13"/>
    </row>
    <row r="18" spans="3:16">
      <c r="C18" t="s">
        <v>23</v>
      </c>
      <c r="D18" s="13">
        <f>SUMIFS(Actuals!$E:$E,Actuals!$F:$F,'Proj 8.22'!$C18,Actuals!$A:$A,'Proj 8.22'!D$1)</f>
        <v>36.35</v>
      </c>
      <c r="E18" s="13">
        <f>SUMIFS(Actuals!$E:$E,Actuals!$F:$F,'Proj 8.22'!$C18,Actuals!$A:$A,'Proj 8.22'!E$1)</f>
        <v>1290.29</v>
      </c>
      <c r="F18" s="13">
        <f>SUMIFS(Actuals!$E:$E,Actuals!$F:$F,'Proj 8.22'!$C18,Actuals!$A:$A,'Proj 8.22'!F$1)</f>
        <v>133.96</v>
      </c>
      <c r="G18" s="13">
        <f>SUMIFS(Actuals!$E:$E,Actuals!$F:$F,'Proj 8.22'!$C18,Actuals!$A:$A,'Proj 8.22'!G$1)</f>
        <v>60.28</v>
      </c>
      <c r="H18" s="13">
        <f>SUMIFS(Actuals!$E:$E,Actuals!$F:$F,'Proj 8.22'!$C18,Actuals!$A:$A,'Proj 8.22'!H$1)</f>
        <v>1459.98</v>
      </c>
      <c r="I18" s="13">
        <f>SUMIFS(Actuals!$E:$E,Actuals!$F:$F,'Proj 8.22'!$C18,Actuals!$A:$A,'Proj 8.22'!I$1)</f>
        <v>86.91</v>
      </c>
      <c r="J18" s="13">
        <f>SUMIFS(Actuals!$E:$E,Actuals!$F:$F,'Proj 8.22'!$C18,Actuals!$A:$A,'Proj 8.22'!J$1)</f>
        <v>993.97</v>
      </c>
      <c r="K18" s="13">
        <f>SUMIFS(Actuals!$E:$E,Actuals!$F:$F,'Proj 8.22'!$C18,Actuals!$A:$A,'Proj 8.22'!K$1)</f>
        <v>47.12</v>
      </c>
      <c r="L18" s="40">
        <v>836.31666666666661</v>
      </c>
      <c r="M18" s="40">
        <v>836.31666666666661</v>
      </c>
      <c r="N18" s="40">
        <v>836.31666666666661</v>
      </c>
      <c r="O18" s="40">
        <v>836.31666666666661</v>
      </c>
      <c r="P18" s="13">
        <f t="shared" si="1"/>
        <v>7454.1266666666661</v>
      </c>
    </row>
    <row r="19" spans="3:16">
      <c r="C19" t="s">
        <v>26</v>
      </c>
      <c r="D19" s="13">
        <f>SUMIFS(Actuals!$E:$E,Actuals!$F:$F,'Proj 8.22'!$C19,Actuals!$A:$A,'Proj 8.22'!D$1)</f>
        <v>1256.5199999999998</v>
      </c>
      <c r="E19" s="13">
        <f>SUMIFS(Actuals!$E:$E,Actuals!$F:$F,'Proj 8.22'!$C19,Actuals!$A:$A,'Proj 8.22'!E$1)</f>
        <v>1258.33</v>
      </c>
      <c r="F19" s="13">
        <f>SUMIFS(Actuals!$E:$E,Actuals!$F:$F,'Proj 8.22'!$C19,Actuals!$A:$A,'Proj 8.22'!F$1)</f>
        <v>2190.3699999999994</v>
      </c>
      <c r="G19" s="13">
        <f>SUMIFS(Actuals!$E:$E,Actuals!$F:$F,'Proj 8.22'!$C19,Actuals!$A:$A,'Proj 8.22'!G$1)</f>
        <v>1732.92</v>
      </c>
      <c r="H19" s="13">
        <f>SUMIFS(Actuals!$E:$E,Actuals!$F:$F,'Proj 8.22'!$C19,Actuals!$A:$A,'Proj 8.22'!H$1)</f>
        <v>1195.7899999999997</v>
      </c>
      <c r="I19" s="13">
        <f>SUMIFS(Actuals!$E:$E,Actuals!$F:$F,'Proj 8.22'!$C19,Actuals!$A:$A,'Proj 8.22'!I$1)</f>
        <v>2520.2900000000009</v>
      </c>
      <c r="J19" s="13">
        <f>SUMIFS(Actuals!$E:$E,Actuals!$F:$F,'Proj 8.22'!$C19,Actuals!$A:$A,'Proj 8.22'!J$1)</f>
        <v>2280.7600000000002</v>
      </c>
      <c r="K19" s="13">
        <f>SUMIFS(Actuals!$E:$E,Actuals!$F:$F,'Proj 8.22'!$C19,Actuals!$A:$A,'Proj 8.22'!K$1)</f>
        <v>1833.4499999999998</v>
      </c>
      <c r="L19" s="40">
        <v>1275.2466666666669</v>
      </c>
      <c r="M19" s="40">
        <v>1275.2466666666669</v>
      </c>
      <c r="N19" s="40">
        <v>1275.2466666666669</v>
      </c>
      <c r="O19" s="40">
        <v>1275.2466666666669</v>
      </c>
      <c r="P19" s="13">
        <f t="shared" si="1"/>
        <v>19369.416666666664</v>
      </c>
    </row>
    <row r="20" spans="3:16">
      <c r="C20" t="s">
        <v>28</v>
      </c>
      <c r="D20" s="13">
        <f>SUMIFS(Actuals!$E:$E,Actuals!$F:$F,'Proj 8.22'!$C20,Actuals!$A:$A,'Proj 8.22'!D$1)</f>
        <v>1032.5399999999997</v>
      </c>
      <c r="E20" s="13">
        <f>SUMIFS(Actuals!$E:$E,Actuals!$F:$F,'Proj 8.22'!$C20,Actuals!$A:$A,'Proj 8.22'!E$1)</f>
        <v>813.71</v>
      </c>
      <c r="F20" s="13">
        <f>SUMIFS(Actuals!$E:$E,Actuals!$F:$F,'Proj 8.22'!$C20,Actuals!$A:$A,'Proj 8.22'!F$1)</f>
        <v>579.15000000000009</v>
      </c>
      <c r="G20" s="13">
        <f>SUMIFS(Actuals!$E:$E,Actuals!$F:$F,'Proj 8.22'!$C20,Actuals!$A:$A,'Proj 8.22'!G$1)</f>
        <v>1295</v>
      </c>
      <c r="H20" s="13">
        <f>SUMIFS(Actuals!$E:$E,Actuals!$F:$F,'Proj 8.22'!$C20,Actuals!$A:$A,'Proj 8.22'!H$1)</f>
        <v>1047.99</v>
      </c>
      <c r="I20" s="13">
        <f>SUMIFS(Actuals!$E:$E,Actuals!$F:$F,'Proj 8.22'!$C20,Actuals!$A:$A,'Proj 8.22'!I$1)</f>
        <v>1176.2800000000002</v>
      </c>
      <c r="J20" s="13">
        <f>SUMIFS(Actuals!$E:$E,Actuals!$F:$F,'Proj 8.22'!$C20,Actuals!$A:$A,'Proj 8.22'!J$1)</f>
        <v>341.28000000000003</v>
      </c>
      <c r="K20" s="13">
        <f>SUMIFS(Actuals!$E:$E,Actuals!$F:$F,'Proj 8.22'!$C20,Actuals!$A:$A,'Proj 8.22'!K$1)</f>
        <v>1051.6399999999999</v>
      </c>
      <c r="L20" s="40">
        <v>888.73333333333323</v>
      </c>
      <c r="M20" s="40">
        <v>888.73333333333323</v>
      </c>
      <c r="N20" s="40">
        <v>888.73333333333323</v>
      </c>
      <c r="O20" s="40">
        <v>888.73333333333323</v>
      </c>
      <c r="P20" s="13">
        <f t="shared" si="1"/>
        <v>10892.523333333334</v>
      </c>
    </row>
    <row r="21" spans="3:16">
      <c r="C21" s="14" t="s">
        <v>31</v>
      </c>
      <c r="D21" s="15">
        <f>SUMIFS(Actuals!$E:$E,Actuals!$F:$F,'Proj 8.22'!$C21,Actuals!$A:$A,'Proj 8.22'!D$1)</f>
        <v>0</v>
      </c>
      <c r="E21" s="15">
        <f>SUMIFS(Actuals!$E:$E,Actuals!$F:$F,'Proj 8.22'!$C21,Actuals!$A:$A,'Proj 8.22'!E$1)</f>
        <v>1466.2</v>
      </c>
      <c r="F21" s="15">
        <f>SUMIFS(Actuals!$E:$E,Actuals!$F:$F,'Proj 8.22'!$C21,Actuals!$A:$A,'Proj 8.22'!F$1)</f>
        <v>1203.6100000000001</v>
      </c>
      <c r="G21" s="15">
        <f>SUMIFS(Actuals!$E:$E,Actuals!$F:$F,'Proj 8.22'!$C21,Actuals!$A:$A,'Proj 8.22'!G$1)</f>
        <v>858.99999999999989</v>
      </c>
      <c r="H21" s="15">
        <f>SUMIFS(Actuals!$E:$E,Actuals!$F:$F,'Proj 8.22'!$C21,Actuals!$A:$A,'Proj 8.22'!H$1)</f>
        <v>141.71</v>
      </c>
      <c r="I21" s="15">
        <f>SUMIFS(Actuals!$E:$E,Actuals!$F:$F,'Proj 8.22'!$C21,Actuals!$A:$A,'Proj 8.22'!I$1)</f>
        <v>863.6</v>
      </c>
      <c r="J21" s="15">
        <f>SUMIFS(Actuals!$E:$E,Actuals!$F:$F,'Proj 8.22'!$C21,Actuals!$A:$A,'Proj 8.22'!J$1)</f>
        <v>138.78</v>
      </c>
      <c r="K21" s="15">
        <f>SUMIFS(Actuals!$E:$E,Actuals!$F:$F,'Proj 8.22'!$C21,Actuals!$A:$A,'Proj 8.22'!K$1)</f>
        <v>519.11</v>
      </c>
      <c r="L21" s="41">
        <v>459.88333333333338</v>
      </c>
      <c r="M21" s="41">
        <v>459.88333333333338</v>
      </c>
      <c r="N21" s="41">
        <v>459.88333333333338</v>
      </c>
      <c r="O21" s="41">
        <v>459.88333333333338</v>
      </c>
      <c r="P21" s="15">
        <f t="shared" si="1"/>
        <v>7031.5433333333331</v>
      </c>
    </row>
    <row r="22" spans="3:16">
      <c r="C22" s="16" t="s">
        <v>7260</v>
      </c>
      <c r="D22" s="13">
        <f t="shared" ref="D22:O22" si="3">SUM(D18:D21)</f>
        <v>2325.4099999999994</v>
      </c>
      <c r="E22" s="13">
        <f t="shared" si="3"/>
        <v>4828.53</v>
      </c>
      <c r="F22" s="13">
        <f t="shared" si="3"/>
        <v>4107.09</v>
      </c>
      <c r="G22" s="13">
        <f t="shared" si="3"/>
        <v>3947.2</v>
      </c>
      <c r="H22" s="13">
        <f t="shared" si="3"/>
        <v>3845.4699999999993</v>
      </c>
      <c r="I22" s="13">
        <f t="shared" si="3"/>
        <v>4647.0800000000008</v>
      </c>
      <c r="J22" s="13">
        <f t="shared" si="3"/>
        <v>3754.7900000000009</v>
      </c>
      <c r="K22" s="13">
        <f t="shared" si="3"/>
        <v>3451.3199999999997</v>
      </c>
      <c r="L22" s="13">
        <f t="shared" si="3"/>
        <v>3460.18</v>
      </c>
      <c r="M22" s="13">
        <f t="shared" si="3"/>
        <v>3460.18</v>
      </c>
      <c r="N22" s="13">
        <f t="shared" si="3"/>
        <v>3460.18</v>
      </c>
      <c r="O22" s="13">
        <f t="shared" si="3"/>
        <v>3460.18</v>
      </c>
      <c r="P22" s="13">
        <f t="shared" si="1"/>
        <v>44747.61</v>
      </c>
    </row>
    <row r="23" spans="3:16">
      <c r="D23" s="13"/>
      <c r="E23" s="13"/>
      <c r="F23" s="13"/>
      <c r="G23" s="13"/>
      <c r="H23" s="13"/>
      <c r="I23" s="13"/>
      <c r="J23" s="13"/>
      <c r="K23" s="13"/>
      <c r="L23" s="13"/>
      <c r="M23" s="13"/>
      <c r="N23" s="13"/>
      <c r="O23" s="13"/>
      <c r="P23" s="13"/>
    </row>
    <row r="24" spans="3:16">
      <c r="C24" t="s">
        <v>34</v>
      </c>
      <c r="D24" s="13">
        <f>SUMIFS(Actuals!$E:$E,Actuals!$F:$F,'Proj 8.22'!$C24,Actuals!$A:$A,'Proj 8.22'!D$1)</f>
        <v>0</v>
      </c>
      <c r="E24" s="13">
        <f>SUMIFS(Actuals!$E:$E,Actuals!$F:$F,'Proj 8.22'!$C24,Actuals!$A:$A,'Proj 8.22'!E$1)</f>
        <v>0</v>
      </c>
      <c r="F24" s="13">
        <f>SUMIFS(Actuals!$E:$E,Actuals!$F:$F,'Proj 8.22'!$C24,Actuals!$A:$A,'Proj 8.22'!F$1)</f>
        <v>0</v>
      </c>
      <c r="G24" s="13">
        <f>SUMIFS(Actuals!$E:$E,Actuals!$F:$F,'Proj 8.22'!$C24,Actuals!$A:$A,'Proj 8.22'!G$1)</f>
        <v>0</v>
      </c>
      <c r="H24" s="13">
        <f>SUMIFS(Actuals!$E:$E,Actuals!$F:$F,'Proj 8.22'!$C24,Actuals!$A:$A,'Proj 8.22'!H$1)</f>
        <v>0</v>
      </c>
      <c r="I24" s="13">
        <f>SUMIFS(Actuals!$E:$E,Actuals!$F:$F,'Proj 8.22'!$C24,Actuals!$A:$A,'Proj 8.22'!I$1)</f>
        <v>25</v>
      </c>
      <c r="J24" s="13">
        <f>SUMIFS(Actuals!$E:$E,Actuals!$F:$F,'Proj 8.22'!$C24,Actuals!$A:$A,'Proj 8.22'!J$1)</f>
        <v>0</v>
      </c>
      <c r="K24" s="13">
        <f>SUMIFS(Actuals!$E:$E,Actuals!$F:$F,'Proj 8.22'!$C24,Actuals!$A:$A,'Proj 8.22'!K$1)</f>
        <v>0</v>
      </c>
      <c r="L24" s="40">
        <v>34.94</v>
      </c>
      <c r="M24" s="40">
        <v>34.94</v>
      </c>
      <c r="N24" s="40">
        <v>34.94</v>
      </c>
      <c r="O24" s="40">
        <v>34.94</v>
      </c>
      <c r="P24" s="13">
        <f t="shared" si="1"/>
        <v>164.76</v>
      </c>
    </row>
    <row r="25" spans="3:16">
      <c r="C25" t="s">
        <v>21</v>
      </c>
      <c r="D25" s="13">
        <f>SUMIFS(Actuals!$E:$E,Actuals!$F:$F,'Proj 8.22'!$C25,Actuals!$A:$A,'Proj 8.22'!D$1)</f>
        <v>1297.5600000000002</v>
      </c>
      <c r="E25" s="13">
        <f>SUMIFS(Actuals!$E:$E,Actuals!$F:$F,'Proj 8.22'!$C25,Actuals!$A:$A,'Proj 8.22'!E$1)</f>
        <v>2152.23</v>
      </c>
      <c r="F25" s="13">
        <f>SUMIFS(Actuals!$E:$E,Actuals!$F:$F,'Proj 8.22'!$C25,Actuals!$A:$A,'Proj 8.22'!F$1)</f>
        <v>2367.6299999999992</v>
      </c>
      <c r="G25" s="13">
        <f>SUMIFS(Actuals!$E:$E,Actuals!$F:$F,'Proj 8.22'!$C25,Actuals!$A:$A,'Proj 8.22'!G$1)</f>
        <v>944.13999999999965</v>
      </c>
      <c r="H25" s="13">
        <f>SUMIFS(Actuals!$E:$E,Actuals!$F:$F,'Proj 8.22'!$C25,Actuals!$A:$A,'Proj 8.22'!H$1)</f>
        <v>2600.9999999999995</v>
      </c>
      <c r="I25" s="13">
        <f>SUMIFS(Actuals!$E:$E,Actuals!$F:$F,'Proj 8.22'!$C25,Actuals!$A:$A,'Proj 8.22'!I$1)</f>
        <v>1527.9499999999996</v>
      </c>
      <c r="J25" s="13">
        <f>SUMIFS(Actuals!$E:$E,Actuals!$F:$F,'Proj 8.22'!$C25,Actuals!$A:$A,'Proj 8.22'!J$1)</f>
        <v>-26.289999999999992</v>
      </c>
      <c r="K25" s="13">
        <f>SUMIFS(Actuals!$E:$E,Actuals!$F:$F,'Proj 8.22'!$C25,Actuals!$A:$A,'Proj 8.22'!K$1)</f>
        <v>2243.56</v>
      </c>
      <c r="L25" s="40">
        <v>2000</v>
      </c>
      <c r="M25" s="40">
        <v>2000</v>
      </c>
      <c r="N25" s="40">
        <v>2000</v>
      </c>
      <c r="O25" s="40">
        <v>2000</v>
      </c>
      <c r="P25" s="13">
        <f t="shared" si="1"/>
        <v>21107.779999999995</v>
      </c>
    </row>
    <row r="26" spans="3:16">
      <c r="C26" t="s">
        <v>38</v>
      </c>
      <c r="D26" s="13">
        <f>SUMIFS(Actuals!$E:$E,Actuals!$F:$F,'Proj 8.22'!$C26,Actuals!$A:$A,'Proj 8.22'!D$1)</f>
        <v>1330.2099999999998</v>
      </c>
      <c r="E26" s="13">
        <f>SUMIFS(Actuals!$E:$E,Actuals!$F:$F,'Proj 8.22'!$C26,Actuals!$A:$A,'Proj 8.22'!E$1)</f>
        <v>628.87000000000023</v>
      </c>
      <c r="F26" s="13">
        <f>SUMIFS(Actuals!$E:$E,Actuals!$F:$F,'Proj 8.22'!$C26,Actuals!$A:$A,'Proj 8.22'!F$1)</f>
        <v>468.29000000000008</v>
      </c>
      <c r="G26" s="13">
        <f>SUMIFS(Actuals!$E:$E,Actuals!$F:$F,'Proj 8.22'!$C26,Actuals!$A:$A,'Proj 8.22'!G$1)</f>
        <v>883.32999999999993</v>
      </c>
      <c r="H26" s="13">
        <f>SUMIFS(Actuals!$E:$E,Actuals!$F:$F,'Proj 8.22'!$C26,Actuals!$A:$A,'Proj 8.22'!H$1)</f>
        <v>361.53999999999996</v>
      </c>
      <c r="I26" s="13">
        <f>SUMIFS(Actuals!$E:$E,Actuals!$F:$F,'Proj 8.22'!$C26,Actuals!$A:$A,'Proj 8.22'!I$1)</f>
        <v>4.0099999999999909</v>
      </c>
      <c r="J26" s="13">
        <f>SUMIFS(Actuals!$E:$E,Actuals!$F:$F,'Proj 8.22'!$C26,Actuals!$A:$A,'Proj 8.22'!J$1)</f>
        <v>-0.15000000000001279</v>
      </c>
      <c r="K26" s="13">
        <f>SUMIFS(Actuals!$E:$E,Actuals!$F:$F,'Proj 8.22'!$C26,Actuals!$A:$A,'Proj 8.22'!K$1)</f>
        <v>26.489999999999988</v>
      </c>
      <c r="L26" s="40">
        <v>83.333333333333329</v>
      </c>
      <c r="M26" s="40">
        <v>83.333333333333329</v>
      </c>
      <c r="N26" s="40">
        <v>83.333333333333329</v>
      </c>
      <c r="O26" s="40">
        <v>83.333333333333329</v>
      </c>
      <c r="P26" s="13">
        <f t="shared" si="1"/>
        <v>4035.9233333333336</v>
      </c>
    </row>
    <row r="27" spans="3:16">
      <c r="C27" t="s">
        <v>40</v>
      </c>
      <c r="D27" s="13">
        <f>SUMIFS(Actuals!$E:$E,Actuals!$F:$F,'Proj 8.22'!$C27,Actuals!$A:$A,'Proj 8.22'!D$1)</f>
        <v>452.17</v>
      </c>
      <c r="E27" s="13">
        <f>SUMIFS(Actuals!$E:$E,Actuals!$F:$F,'Proj 8.22'!$C27,Actuals!$A:$A,'Proj 8.22'!E$1)</f>
        <v>213.46</v>
      </c>
      <c r="F27" s="13">
        <f>SUMIFS(Actuals!$E:$E,Actuals!$F:$F,'Proj 8.22'!$C27,Actuals!$A:$A,'Proj 8.22'!F$1)</f>
        <v>547.24</v>
      </c>
      <c r="G27" s="13">
        <f>SUMIFS(Actuals!$E:$E,Actuals!$F:$F,'Proj 8.22'!$C27,Actuals!$A:$A,'Proj 8.22'!G$1)</f>
        <v>214.29</v>
      </c>
      <c r="H27" s="13">
        <f>SUMIFS(Actuals!$E:$E,Actuals!$F:$F,'Proj 8.22'!$C27,Actuals!$A:$A,'Proj 8.22'!H$1)</f>
        <v>151.35</v>
      </c>
      <c r="I27" s="13">
        <f>SUMIFS(Actuals!$E:$E,Actuals!$F:$F,'Proj 8.22'!$C27,Actuals!$A:$A,'Proj 8.22'!I$1)</f>
        <v>365.79</v>
      </c>
      <c r="J27" s="13">
        <f>SUMIFS(Actuals!$E:$E,Actuals!$F:$F,'Proj 8.22'!$C27,Actuals!$A:$A,'Proj 8.22'!J$1)</f>
        <v>447.18999999999994</v>
      </c>
      <c r="K27" s="13">
        <f>SUMIFS(Actuals!$E:$E,Actuals!$F:$F,'Proj 8.22'!$C27,Actuals!$A:$A,'Proj 8.22'!K$1)</f>
        <v>522.79999999999995</v>
      </c>
      <c r="L27" s="40">
        <v>57.34</v>
      </c>
      <c r="M27" s="40">
        <v>57.34</v>
      </c>
      <c r="N27" s="40">
        <v>57.34</v>
      </c>
      <c r="O27" s="40">
        <v>57.34</v>
      </c>
      <c r="P27" s="13">
        <f t="shared" si="1"/>
        <v>3143.6500000000005</v>
      </c>
    </row>
    <row r="28" spans="3:16">
      <c r="C28" t="s">
        <v>41</v>
      </c>
      <c r="D28" s="13">
        <f>SUMIFS(Actuals!$E:$E,Actuals!$F:$F,'Proj 8.22'!$C28,Actuals!$A:$A,'Proj 8.22'!D$1)</f>
        <v>0</v>
      </c>
      <c r="E28" s="13">
        <f>SUMIFS(Actuals!$E:$E,Actuals!$F:$F,'Proj 8.22'!$C28,Actuals!$A:$A,'Proj 8.22'!E$1)</f>
        <v>0</v>
      </c>
      <c r="F28" s="13">
        <f>SUMIFS(Actuals!$E:$E,Actuals!$F:$F,'Proj 8.22'!$C28,Actuals!$A:$A,'Proj 8.22'!F$1)</f>
        <v>0</v>
      </c>
      <c r="G28" s="13">
        <f>SUMIFS(Actuals!$E:$E,Actuals!$F:$F,'Proj 8.22'!$C28,Actuals!$A:$A,'Proj 8.22'!G$1)</f>
        <v>36.599999999999994</v>
      </c>
      <c r="H28" s="13">
        <f>SUMIFS(Actuals!$E:$E,Actuals!$F:$F,'Proj 8.22'!$C28,Actuals!$A:$A,'Proj 8.22'!H$1)</f>
        <v>0</v>
      </c>
      <c r="I28" s="13">
        <f>SUMIFS(Actuals!$E:$E,Actuals!$F:$F,'Proj 8.22'!$C28,Actuals!$A:$A,'Proj 8.22'!I$1)</f>
        <v>35.93</v>
      </c>
      <c r="J28" s="13">
        <f>SUMIFS(Actuals!$E:$E,Actuals!$F:$F,'Proj 8.22'!$C28,Actuals!$A:$A,'Proj 8.22'!J$1)</f>
        <v>113.36</v>
      </c>
      <c r="K28" s="13">
        <f>SUMIFS(Actuals!$E:$E,Actuals!$F:$F,'Proj 8.22'!$C28,Actuals!$A:$A,'Proj 8.22'!K$1)</f>
        <v>59.35</v>
      </c>
      <c r="L28" s="40">
        <v>22.196666666666669</v>
      </c>
      <c r="M28" s="40">
        <v>22.196666666666669</v>
      </c>
      <c r="N28" s="40">
        <v>22.196666666666669</v>
      </c>
      <c r="O28" s="40">
        <v>22.196666666666669</v>
      </c>
      <c r="P28" s="13">
        <f t="shared" si="1"/>
        <v>334.02666666666664</v>
      </c>
    </row>
    <row r="29" spans="3:16">
      <c r="C29" t="s">
        <v>45</v>
      </c>
      <c r="D29" s="13">
        <f>SUMIFS(Actuals!$E:$E,Actuals!$F:$F,'Proj 8.22'!$C29,Actuals!$A:$A,'Proj 8.22'!D$1)</f>
        <v>0</v>
      </c>
      <c r="E29" s="13">
        <f>SUMIFS(Actuals!$E:$E,Actuals!$F:$F,'Proj 8.22'!$C29,Actuals!$A:$A,'Proj 8.22'!E$1)</f>
        <v>0</v>
      </c>
      <c r="F29" s="13">
        <f>SUMIFS(Actuals!$E:$E,Actuals!$F:$F,'Proj 8.22'!$C29,Actuals!$A:$A,'Proj 8.22'!F$1)</f>
        <v>0</v>
      </c>
      <c r="G29" s="13">
        <f>SUMIFS(Actuals!$E:$E,Actuals!$F:$F,'Proj 8.22'!$C29,Actuals!$A:$A,'Proj 8.22'!G$1)</f>
        <v>0</v>
      </c>
      <c r="H29" s="13">
        <f>SUMIFS(Actuals!$E:$E,Actuals!$F:$F,'Proj 8.22'!$C29,Actuals!$A:$A,'Proj 8.22'!H$1)</f>
        <v>0</v>
      </c>
      <c r="I29" s="13">
        <f>SUMIFS(Actuals!$E:$E,Actuals!$F:$F,'Proj 8.22'!$C29,Actuals!$A:$A,'Proj 8.22'!I$1)</f>
        <v>0</v>
      </c>
      <c r="J29" s="13">
        <f>SUMIFS(Actuals!$E:$E,Actuals!$F:$F,'Proj 8.22'!$C29,Actuals!$A:$A,'Proj 8.22'!J$1)</f>
        <v>0</v>
      </c>
      <c r="K29" s="13">
        <f>SUMIFS(Actuals!$E:$E,Actuals!$F:$F,'Proj 8.22'!$C29,Actuals!$A:$A,'Proj 8.22'!K$1)</f>
        <v>0</v>
      </c>
      <c r="L29" s="40">
        <v>103.60000000000001</v>
      </c>
      <c r="M29" s="40">
        <v>103.60000000000001</v>
      </c>
      <c r="N29" s="40">
        <v>250</v>
      </c>
      <c r="O29" s="40">
        <v>250</v>
      </c>
      <c r="P29" s="13">
        <f t="shared" si="1"/>
        <v>707.2</v>
      </c>
    </row>
    <row r="30" spans="3:16">
      <c r="C30" s="14" t="s">
        <v>29</v>
      </c>
      <c r="D30" s="15">
        <f>SUMIFS(Actuals!$E:$E,Actuals!$F:$F,'Proj 8.22'!$C30,Actuals!$A:$A,'Proj 8.22'!D$1)</f>
        <v>110</v>
      </c>
      <c r="E30" s="15">
        <f>SUMIFS(Actuals!$E:$E,Actuals!$F:$F,'Proj 8.22'!$C30,Actuals!$A:$A,'Proj 8.22'!E$1)</f>
        <v>0</v>
      </c>
      <c r="F30" s="15">
        <f>SUMIFS(Actuals!$E:$E,Actuals!$F:$F,'Proj 8.22'!$C30,Actuals!$A:$A,'Proj 8.22'!F$1)</f>
        <v>0</v>
      </c>
      <c r="G30" s="15">
        <f>SUMIFS(Actuals!$E:$E,Actuals!$F:$F,'Proj 8.22'!$C30,Actuals!$A:$A,'Proj 8.22'!G$1)</f>
        <v>124</v>
      </c>
      <c r="H30" s="15">
        <f>SUMIFS(Actuals!$E:$E,Actuals!$F:$F,'Proj 8.22'!$C30,Actuals!$A:$A,'Proj 8.22'!H$1)</f>
        <v>0</v>
      </c>
      <c r="I30" s="15">
        <f>SUMIFS(Actuals!$E:$E,Actuals!$F:$F,'Proj 8.22'!$C30,Actuals!$A:$A,'Proj 8.22'!I$1)</f>
        <v>5</v>
      </c>
      <c r="J30" s="15">
        <f>SUMIFS(Actuals!$E:$E,Actuals!$F:$F,'Proj 8.22'!$C30,Actuals!$A:$A,'Proj 8.22'!J$1)</f>
        <v>0</v>
      </c>
      <c r="K30" s="15">
        <f>SUMIFS(Actuals!$E:$E,Actuals!$F:$F,'Proj 8.22'!$C30,Actuals!$A:$A,'Proj 8.22'!K$1)</f>
        <v>0</v>
      </c>
      <c r="L30" s="41">
        <v>117.06333333333333</v>
      </c>
      <c r="M30" s="41">
        <v>117.06333333333333</v>
      </c>
      <c r="N30" s="41">
        <v>117.06333333333333</v>
      </c>
      <c r="O30" s="41">
        <v>117.06333333333333</v>
      </c>
      <c r="P30" s="15">
        <f t="shared" si="1"/>
        <v>707.25333333333333</v>
      </c>
    </row>
    <row r="31" spans="3:16">
      <c r="C31" s="16" t="s">
        <v>7261</v>
      </c>
      <c r="D31" s="13">
        <f t="shared" ref="D31:O31" si="4">SUM(D24:D30)</f>
        <v>3189.94</v>
      </c>
      <c r="E31" s="13">
        <f t="shared" si="4"/>
        <v>2994.5600000000004</v>
      </c>
      <c r="F31" s="13">
        <f t="shared" si="4"/>
        <v>3383.1599999999989</v>
      </c>
      <c r="G31" s="13">
        <f t="shared" si="4"/>
        <v>2202.3599999999997</v>
      </c>
      <c r="H31" s="13">
        <f t="shared" si="4"/>
        <v>3113.8899999999994</v>
      </c>
      <c r="I31" s="13">
        <f t="shared" si="4"/>
        <v>1963.6799999999996</v>
      </c>
      <c r="J31" s="13">
        <f t="shared" si="4"/>
        <v>534.1099999999999</v>
      </c>
      <c r="K31" s="13">
        <f t="shared" si="4"/>
        <v>2852.1999999999994</v>
      </c>
      <c r="L31" s="13">
        <f t="shared" si="4"/>
        <v>2418.4733333333338</v>
      </c>
      <c r="M31" s="13">
        <f t="shared" si="4"/>
        <v>2418.4733333333338</v>
      </c>
      <c r="N31" s="13">
        <f t="shared" si="4"/>
        <v>2564.8733333333339</v>
      </c>
      <c r="O31" s="13">
        <f t="shared" si="4"/>
        <v>2564.8733333333339</v>
      </c>
      <c r="P31" s="13">
        <f t="shared" si="1"/>
        <v>30200.593333333338</v>
      </c>
    </row>
    <row r="32" spans="3:16">
      <c r="C32" s="19"/>
      <c r="D32" s="20"/>
      <c r="E32" s="20"/>
      <c r="F32" s="20"/>
      <c r="G32" s="20"/>
      <c r="H32" s="20"/>
      <c r="I32" s="20"/>
      <c r="J32" s="20"/>
      <c r="K32" s="20"/>
      <c r="L32" s="20"/>
      <c r="M32" s="20"/>
      <c r="N32" s="20"/>
      <c r="O32" s="20"/>
      <c r="P32" s="20">
        <f t="shared" si="1"/>
        <v>0</v>
      </c>
    </row>
    <row r="33" spans="3:16">
      <c r="C33" s="16" t="s">
        <v>7153</v>
      </c>
      <c r="D33" s="17">
        <f t="shared" ref="D33:O33" si="5">SUM(D31,D22,D16)</f>
        <v>12366.869999999999</v>
      </c>
      <c r="E33" s="17">
        <f t="shared" si="5"/>
        <v>13955.119999999999</v>
      </c>
      <c r="F33" s="17">
        <f t="shared" si="5"/>
        <v>12806.699999999999</v>
      </c>
      <c r="G33" s="17">
        <f t="shared" si="5"/>
        <v>11343.679999999998</v>
      </c>
      <c r="H33" s="17">
        <f t="shared" si="5"/>
        <v>10761.349999999999</v>
      </c>
      <c r="I33" s="17">
        <f t="shared" si="5"/>
        <v>13167.38</v>
      </c>
      <c r="J33" s="17">
        <f t="shared" si="5"/>
        <v>11878.29</v>
      </c>
      <c r="K33" s="17">
        <f t="shared" si="5"/>
        <v>11390.339999999998</v>
      </c>
      <c r="L33" s="17">
        <f t="shared" si="5"/>
        <v>10792.61</v>
      </c>
      <c r="M33" s="17">
        <f t="shared" si="5"/>
        <v>10792.61</v>
      </c>
      <c r="N33" s="17">
        <f t="shared" si="5"/>
        <v>10939.01</v>
      </c>
      <c r="O33" s="17">
        <f t="shared" si="5"/>
        <v>10939.01</v>
      </c>
      <c r="P33" s="17">
        <f>SUM(D33:O33)</f>
        <v>141132.96999999997</v>
      </c>
    </row>
    <row r="34" spans="3:16">
      <c r="D34" s="13"/>
      <c r="E34" s="13"/>
      <c r="F34" s="13"/>
      <c r="G34" s="13"/>
      <c r="H34" s="13"/>
      <c r="I34" s="13"/>
      <c r="J34" s="13"/>
      <c r="K34" s="13"/>
      <c r="L34" s="13"/>
      <c r="M34" s="13"/>
      <c r="N34" s="13"/>
      <c r="O34" s="13"/>
      <c r="P34" s="13"/>
    </row>
    <row r="35" spans="3:16">
      <c r="C35" t="s">
        <v>48</v>
      </c>
      <c r="D35" s="13">
        <f>SUMIFS(Actuals!$E:$E,Actuals!$F:$F,'Proj 8.22'!$C35,Actuals!$A:$A,'Proj 8.22'!D$1)</f>
        <v>555.18000000000006</v>
      </c>
      <c r="E35" s="13">
        <f>SUMIFS(Actuals!$E:$E,Actuals!$F:$F,'Proj 8.22'!$C35,Actuals!$A:$A,'Proj 8.22'!E$1)</f>
        <v>246.17000000000002</v>
      </c>
      <c r="F35" s="13">
        <f>SUMIFS(Actuals!$E:$E,Actuals!$F:$F,'Proj 8.22'!$C35,Actuals!$A:$A,'Proj 8.22'!F$1)</f>
        <v>227.94</v>
      </c>
      <c r="G35" s="13">
        <f>SUMIFS(Actuals!$E:$E,Actuals!$F:$F,'Proj 8.22'!$C35,Actuals!$A:$A,'Proj 8.22'!G$1)</f>
        <v>0</v>
      </c>
      <c r="H35" s="13">
        <f>SUMIFS(Actuals!$E:$E,Actuals!$F:$F,'Proj 8.22'!$C35,Actuals!$A:$A,'Proj 8.22'!H$1)</f>
        <v>253.53</v>
      </c>
      <c r="I35" s="13">
        <f>SUMIFS(Actuals!$E:$E,Actuals!$F:$F,'Proj 8.22'!$C35,Actuals!$A:$A,'Proj 8.22'!I$1)</f>
        <v>-14.1</v>
      </c>
      <c r="J35" s="13">
        <f>SUMIFS(Actuals!$E:$E,Actuals!$F:$F,'Proj 8.22'!$C35,Actuals!$A:$A,'Proj 8.22'!J$1)</f>
        <v>124.06</v>
      </c>
      <c r="K35" s="13">
        <f>SUMIFS(Actuals!$E:$E,Actuals!$F:$F,'Proj 8.22'!$C35,Actuals!$A:$A,'Proj 8.22'!K$1)</f>
        <v>0</v>
      </c>
      <c r="L35" s="40">
        <f>SUMIFS(Actuals!$E:$E,Actuals!$F:$F,'Proj 8.22'!$C35,Actuals!$A:$A,'Proj 8.22'!L$1)</f>
        <v>-12.49</v>
      </c>
      <c r="M35" s="40">
        <f>SUMIFS(Actuals!$E:$E,Actuals!$F:$F,'Proj 8.22'!$C35,Actuals!$A:$A,'Proj 8.22'!M$1)</f>
        <v>856.21</v>
      </c>
      <c r="N35" s="40">
        <f>SUMIFS(Actuals!$E:$E,Actuals!$F:$F,'Proj 8.22'!$C35,Actuals!$A:$A,'Proj 8.22'!N$1)</f>
        <v>425.81</v>
      </c>
      <c r="O35" s="40">
        <f>SUMIFS(Actuals!$E:$E,Actuals!$F:$F,'Proj 8.22'!$C35,Actuals!$A:$A,'Proj 8.22'!O$1)</f>
        <v>1285.7</v>
      </c>
      <c r="P35" s="13">
        <f t="shared" ref="P35:P37" si="6">SUM(D35:O35)</f>
        <v>3948.01</v>
      </c>
    </row>
    <row r="36" spans="3:16">
      <c r="C36" t="s">
        <v>50</v>
      </c>
      <c r="D36" s="13">
        <f>SUMIFS(Actuals!$E:$E,Actuals!$F:$F,'Proj 8.22'!$C36,Actuals!$A:$A,'Proj 8.22'!D$1)</f>
        <v>30245.75</v>
      </c>
      <c r="E36" s="13">
        <f>SUMIFS(Actuals!$E:$E,Actuals!$F:$F,'Proj 8.22'!$C36,Actuals!$A:$A,'Proj 8.22'!E$1)</f>
        <v>8816.9699999999993</v>
      </c>
      <c r="F36" s="13">
        <f>SUMIFS(Actuals!$E:$E,Actuals!$F:$F,'Proj 8.22'!$C36,Actuals!$A:$A,'Proj 8.22'!F$1)</f>
        <v>24509</v>
      </c>
      <c r="G36" s="13">
        <f>SUMIFS(Actuals!$E:$E,Actuals!$F:$F,'Proj 8.22'!$C36,Actuals!$A:$A,'Proj 8.22'!G$1)</f>
        <v>18027</v>
      </c>
      <c r="H36" s="13">
        <f>SUMIFS(Actuals!$E:$E,Actuals!$F:$F,'Proj 8.22'!$C36,Actuals!$A:$A,'Proj 8.22'!H$1)</f>
        <v>5053.1100000000006</v>
      </c>
      <c r="I36" s="13">
        <f>SUMIFS(Actuals!$E:$E,Actuals!$F:$F,'Proj 8.22'!$C36,Actuals!$A:$A,'Proj 8.22'!I$1)</f>
        <v>43385.5</v>
      </c>
      <c r="J36" s="13">
        <f>SUMIFS(Actuals!$E:$E,Actuals!$F:$F,'Proj 8.22'!$C36,Actuals!$A:$A,'Proj 8.22'!J$1)</f>
        <v>48339</v>
      </c>
      <c r="K36" s="13">
        <f>SUMIFS(Actuals!$E:$E,Actuals!$F:$F,'Proj 8.22'!$C36,Actuals!$A:$A,'Proj 8.22'!K$1)</f>
        <v>52</v>
      </c>
      <c r="L36" s="40">
        <f>SUMIFS(Actuals!$E:$E,Actuals!$F:$F,'Proj 8.22'!$C36,Actuals!$A:$A,'Proj 8.22'!L$1)</f>
        <v>43385.5</v>
      </c>
      <c r="M36" s="40">
        <f>SUMIFS(Actuals!$E:$E,Actuals!$F:$F,'Proj 8.22'!$C36,Actuals!$A:$A,'Proj 8.22'!M$1)</f>
        <v>43985.5</v>
      </c>
      <c r="N36" s="40">
        <f>SUMIFS(Actuals!$E:$E,Actuals!$F:$F,'Proj 8.22'!$C36,Actuals!$A:$A,'Proj 8.22'!N$1)</f>
        <v>0</v>
      </c>
      <c r="O36" s="40">
        <f>SUMIFS(Actuals!$E:$E,Actuals!$F:$F,'Proj 8.22'!$C36,Actuals!$A:$A,'Proj 8.22'!O$1)</f>
        <v>0</v>
      </c>
      <c r="P36" s="13">
        <f t="shared" si="6"/>
        <v>265799.33</v>
      </c>
    </row>
    <row r="37" spans="3:16">
      <c r="C37" s="14" t="s">
        <v>43</v>
      </c>
      <c r="D37" s="15">
        <f>SUMIFS(Actuals!$E:$E,Actuals!$F:$F,'Proj 8.22'!$C37,Actuals!$A:$A,'Proj 8.22'!D$1)</f>
        <v>2336.15</v>
      </c>
      <c r="E37" s="15">
        <f>SUMIFS(Actuals!$E:$E,Actuals!$F:$F,'Proj 8.22'!$C37,Actuals!$A:$A,'Proj 8.22'!E$1)</f>
        <v>213.11</v>
      </c>
      <c r="F37" s="15">
        <f>SUMIFS(Actuals!$E:$E,Actuals!$F:$F,'Proj 8.22'!$C37,Actuals!$A:$A,'Proj 8.22'!F$1)</f>
        <v>908.1</v>
      </c>
      <c r="G37" s="15">
        <f>SUMIFS(Actuals!$E:$E,Actuals!$F:$F,'Proj 8.22'!$C37,Actuals!$A:$A,'Proj 8.22'!G$1)</f>
        <v>513.21</v>
      </c>
      <c r="H37" s="15">
        <f>SUMIFS(Actuals!$E:$E,Actuals!$F:$F,'Proj 8.22'!$C37,Actuals!$A:$A,'Proj 8.22'!H$1)</f>
        <v>997.66000000000008</v>
      </c>
      <c r="I37" s="15">
        <f>SUMIFS(Actuals!$E:$E,Actuals!$F:$F,'Proj 8.22'!$C37,Actuals!$A:$A,'Proj 8.22'!I$1)</f>
        <v>468.68999999999988</v>
      </c>
      <c r="J37" s="15">
        <f>SUMIFS(Actuals!$E:$E,Actuals!$F:$F,'Proj 8.22'!$C37,Actuals!$A:$A,'Proj 8.22'!J$1)</f>
        <v>744.33</v>
      </c>
      <c r="K37" s="15">
        <f>SUMIFS(Actuals!$E:$E,Actuals!$F:$F,'Proj 8.22'!$C37,Actuals!$A:$A,'Proj 8.22'!K$1)</f>
        <v>2249.7099999999996</v>
      </c>
      <c r="L37" s="41">
        <f>SUMIFS(Actuals!$E:$E,Actuals!$F:$F,'Proj 8.22'!$C37,Actuals!$A:$A,'Proj 8.22'!L$1)</f>
        <v>862.4</v>
      </c>
      <c r="M37" s="41">
        <f>SUMIFS(Actuals!$E:$E,Actuals!$F:$F,'Proj 8.22'!$C37,Actuals!$A:$A,'Proj 8.22'!M$1)</f>
        <v>4330.6899999999996</v>
      </c>
      <c r="N37" s="41">
        <v>1000</v>
      </c>
      <c r="O37" s="41">
        <f>SUMIFS(Actuals!$E:$E,Actuals!$F:$F,'Proj 8.22'!$C37,Actuals!$A:$A,'Proj 8.22'!O$1)</f>
        <v>1788.3400000000001</v>
      </c>
      <c r="P37" s="15">
        <f t="shared" si="6"/>
        <v>16412.39</v>
      </c>
    </row>
    <row r="38" spans="3:16">
      <c r="C38" s="16" t="s">
        <v>7265</v>
      </c>
      <c r="D38" s="13">
        <f>SUM(D35:D37)</f>
        <v>33137.08</v>
      </c>
      <c r="E38" s="13">
        <f t="shared" ref="E38:O38" si="7">SUM(E35:E37)</f>
        <v>9276.25</v>
      </c>
      <c r="F38" s="13">
        <f t="shared" si="7"/>
        <v>25645.039999999997</v>
      </c>
      <c r="G38" s="13">
        <f t="shared" si="7"/>
        <v>18540.21</v>
      </c>
      <c r="H38" s="13">
        <f t="shared" si="7"/>
        <v>6304.3</v>
      </c>
      <c r="I38" s="13">
        <f t="shared" si="7"/>
        <v>43840.090000000004</v>
      </c>
      <c r="J38" s="13">
        <f t="shared" si="7"/>
        <v>49207.39</v>
      </c>
      <c r="K38" s="13">
        <f t="shared" si="7"/>
        <v>2301.7099999999996</v>
      </c>
      <c r="L38" s="13">
        <f t="shared" si="7"/>
        <v>44235.41</v>
      </c>
      <c r="M38" s="13">
        <f t="shared" si="7"/>
        <v>49172.4</v>
      </c>
      <c r="N38" s="13">
        <f t="shared" si="7"/>
        <v>1425.81</v>
      </c>
      <c r="O38" s="13">
        <f t="shared" si="7"/>
        <v>3074.04</v>
      </c>
      <c r="P38" s="13">
        <f>SUM(P35:P37)</f>
        <v>286159.73000000004</v>
      </c>
    </row>
    <row r="39" spans="3:16">
      <c r="C39" s="16"/>
      <c r="D39" s="13"/>
      <c r="E39" s="13"/>
      <c r="F39" s="13"/>
      <c r="G39" s="13"/>
      <c r="H39" s="13"/>
      <c r="I39" s="13"/>
      <c r="J39" s="13"/>
      <c r="K39" s="13"/>
      <c r="L39" s="13"/>
      <c r="M39" s="13"/>
      <c r="N39" s="13"/>
      <c r="O39" s="13"/>
      <c r="P39" s="13"/>
    </row>
    <row r="40" spans="3:16">
      <c r="C40" s="16"/>
      <c r="D40" s="13"/>
      <c r="E40" s="13"/>
      <c r="F40" s="13"/>
      <c r="G40" s="13"/>
      <c r="H40" s="13"/>
      <c r="I40" s="13"/>
      <c r="J40" s="13"/>
      <c r="K40" s="13"/>
      <c r="L40" s="13"/>
      <c r="M40" s="13"/>
      <c r="N40" s="13"/>
      <c r="O40" s="13"/>
      <c r="P40" s="13"/>
    </row>
    <row r="41" spans="3:16">
      <c r="C41" s="16"/>
      <c r="D41" s="13"/>
      <c r="E41" s="13"/>
      <c r="F41" s="13"/>
      <c r="G41" s="13"/>
      <c r="H41" s="13"/>
      <c r="I41" s="13"/>
      <c r="J41" s="13"/>
      <c r="K41" s="13"/>
      <c r="L41" s="13"/>
      <c r="M41" s="13"/>
      <c r="N41" s="13"/>
      <c r="O41" s="13"/>
      <c r="P41" s="13"/>
    </row>
    <row r="42" spans="3:16">
      <c r="C42" s="16"/>
      <c r="D42" s="13"/>
      <c r="E42" s="13"/>
      <c r="F42" s="13"/>
      <c r="G42" s="13"/>
      <c r="H42" s="13"/>
      <c r="I42" s="13"/>
      <c r="J42" s="13"/>
      <c r="K42" s="13"/>
      <c r="L42" s="13"/>
      <c r="M42" s="13"/>
      <c r="N42" s="13"/>
      <c r="O42" s="13"/>
      <c r="P42" s="13"/>
    </row>
    <row r="43" spans="3:16">
      <c r="C43" s="28"/>
      <c r="D43" s="21"/>
      <c r="E43" s="21"/>
      <c r="F43" s="21"/>
      <c r="G43" s="21"/>
      <c r="H43" s="21"/>
      <c r="I43" s="21"/>
      <c r="J43" s="21"/>
      <c r="K43" s="21"/>
      <c r="L43" s="21"/>
      <c r="M43" s="21"/>
      <c r="N43" s="21"/>
      <c r="O43" s="21"/>
      <c r="P43" s="21"/>
    </row>
    <row r="44" spans="3:16">
      <c r="C44" s="16" t="s">
        <v>7271</v>
      </c>
      <c r="D44" s="13">
        <f>SUM(D40:D43)</f>
        <v>0</v>
      </c>
      <c r="E44" s="13">
        <f t="shared" ref="E44:O44" si="8">SUM(E40:E43)</f>
        <v>0</v>
      </c>
      <c r="F44" s="13">
        <f t="shared" si="8"/>
        <v>0</v>
      </c>
      <c r="G44" s="13">
        <f t="shared" si="8"/>
        <v>0</v>
      </c>
      <c r="H44" s="13">
        <f t="shared" si="8"/>
        <v>0</v>
      </c>
      <c r="I44" s="13">
        <f t="shared" si="8"/>
        <v>0</v>
      </c>
      <c r="J44" s="13">
        <f t="shared" si="8"/>
        <v>0</v>
      </c>
      <c r="K44" s="13">
        <f t="shared" si="8"/>
        <v>0</v>
      </c>
      <c r="L44" s="13">
        <f t="shared" si="8"/>
        <v>0</v>
      </c>
      <c r="M44" s="13">
        <f t="shared" si="8"/>
        <v>0</v>
      </c>
      <c r="N44" s="13">
        <f t="shared" si="8"/>
        <v>0</v>
      </c>
      <c r="O44" s="13">
        <f t="shared" si="8"/>
        <v>0</v>
      </c>
      <c r="P44" s="17">
        <f>SUM(D44:O44)</f>
        <v>0</v>
      </c>
    </row>
    <row r="45" spans="3:16">
      <c r="C45" s="19"/>
      <c r="D45" s="20"/>
      <c r="E45" s="20"/>
      <c r="F45" s="20"/>
      <c r="G45" s="20"/>
      <c r="H45" s="20"/>
      <c r="I45" s="20"/>
      <c r="J45" s="20"/>
      <c r="K45" s="20"/>
      <c r="L45" s="20"/>
      <c r="M45" s="20"/>
      <c r="N45" s="20"/>
      <c r="O45" s="20"/>
      <c r="P45" s="20"/>
    </row>
    <row r="46" spans="3:16">
      <c r="C46" s="16" t="s">
        <v>7266</v>
      </c>
      <c r="D46" s="17">
        <f t="shared" ref="D46:O46" si="9">SUM(D38,D33)</f>
        <v>45503.95</v>
      </c>
      <c r="E46" s="17">
        <f t="shared" si="9"/>
        <v>23231.37</v>
      </c>
      <c r="F46" s="17">
        <f t="shared" si="9"/>
        <v>38451.74</v>
      </c>
      <c r="G46" s="17">
        <f t="shared" si="9"/>
        <v>29883.89</v>
      </c>
      <c r="H46" s="17">
        <f t="shared" si="9"/>
        <v>17065.649999999998</v>
      </c>
      <c r="I46" s="17">
        <f t="shared" si="9"/>
        <v>57007.47</v>
      </c>
      <c r="J46" s="17">
        <f t="shared" si="9"/>
        <v>61085.68</v>
      </c>
      <c r="K46" s="17">
        <f t="shared" si="9"/>
        <v>13692.049999999997</v>
      </c>
      <c r="L46" s="17">
        <f t="shared" si="9"/>
        <v>55028.020000000004</v>
      </c>
      <c r="M46" s="17">
        <f t="shared" si="9"/>
        <v>59965.01</v>
      </c>
      <c r="N46" s="17">
        <f t="shared" si="9"/>
        <v>12364.82</v>
      </c>
      <c r="O46" s="17">
        <f t="shared" si="9"/>
        <v>14013.05</v>
      </c>
      <c r="P46" s="17">
        <f>SUM(P38,P33,P44)</f>
        <v>427292.7</v>
      </c>
    </row>
  </sheetData>
  <pageMargins left="0.7" right="0.7" top="0.75" bottom="0.75" header="0.3" footer="0.3"/>
  <pageSetup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33BF-BE67-4CA7-BEC7-C41E788D2F6E}">
  <sheetPr>
    <pageSetUpPr fitToPage="1"/>
  </sheetPr>
  <dimension ref="C1:P46"/>
  <sheetViews>
    <sheetView topLeftCell="B6" workbookViewId="0">
      <pane xSplit="2" ySplit="3" topLeftCell="D9" activePane="bottomRight" state="frozen"/>
      <selection pane="topRight"/>
      <selection pane="bottomLeft"/>
      <selection pane="bottomRight"/>
    </sheetView>
  </sheetViews>
  <sheetFormatPr defaultRowHeight="15"/>
  <cols>
    <col min="2" max="2" width="5.28515625" customWidth="1"/>
    <col min="3" max="3" width="25" customWidth="1"/>
    <col min="4" max="15" width="10.28515625" customWidth="1"/>
  </cols>
  <sheetData>
    <row r="1" spans="3:16">
      <c r="D1">
        <f>VALUE('1 MO'!$C$3&amp;"01")</f>
        <v>202501</v>
      </c>
      <c r="E1">
        <f>VALUE('1 MO'!$C$3&amp;"02")</f>
        <v>202502</v>
      </c>
      <c r="F1">
        <f>VALUE('1 MO'!$C$3&amp;"03")</f>
        <v>202503</v>
      </c>
      <c r="G1">
        <f>VALUE('1 MO'!$C$3&amp;"04")</f>
        <v>202504</v>
      </c>
      <c r="H1">
        <f>VALUE('1 MO'!$C$3&amp;"05")</f>
        <v>202505</v>
      </c>
      <c r="I1">
        <f>VALUE('1 MO'!$C$3&amp;"06")</f>
        <v>202506</v>
      </c>
      <c r="J1">
        <f>VALUE('1 MO'!$C$3&amp;"07")</f>
        <v>202507</v>
      </c>
      <c r="K1">
        <f>VALUE('1 MO'!$C$3&amp;"08")</f>
        <v>202508</v>
      </c>
      <c r="L1">
        <f>VALUE('1 MO'!$C$3&amp;"09")</f>
        <v>202509</v>
      </c>
      <c r="M1">
        <f>VALUE('1 MO'!$C$3&amp;"10")</f>
        <v>202510</v>
      </c>
      <c r="N1">
        <f>VALUE('1 MO'!$C$3&amp;"11")</f>
        <v>202511</v>
      </c>
      <c r="O1">
        <f>VALUE('1 MO'!$C$3&amp;"12")</f>
        <v>202512</v>
      </c>
    </row>
    <row r="2" spans="3:16">
      <c r="D2" s="6"/>
    </row>
    <row r="6" spans="3:16" ht="23.25">
      <c r="C6" s="29" t="s">
        <v>7306</v>
      </c>
    </row>
    <row r="7" spans="3:16">
      <c r="C7" s="9"/>
      <c r="D7" s="10" t="str">
        <f>TEXT(DATE(LEFT(D1,4),RIGHT(D1,2),1),"MMM YYYY")</f>
        <v>Jan 2025</v>
      </c>
      <c r="E7" s="10" t="str">
        <f t="shared" ref="E7:O7" si="0">TEXT(DATE(LEFT(E1,4),RIGHT(E1,2),1),"MMM YYYY")</f>
        <v>Feb 2025</v>
      </c>
      <c r="F7" s="10" t="str">
        <f t="shared" si="0"/>
        <v>Mar 2025</v>
      </c>
      <c r="G7" s="10" t="str">
        <f t="shared" si="0"/>
        <v>Apr 2025</v>
      </c>
      <c r="H7" s="10" t="str">
        <f t="shared" si="0"/>
        <v>May 2025</v>
      </c>
      <c r="I7" s="10" t="str">
        <f t="shared" si="0"/>
        <v>Jun 2025</v>
      </c>
      <c r="J7" s="10" t="str">
        <f t="shared" si="0"/>
        <v>Jul 2025</v>
      </c>
      <c r="K7" s="27" t="str">
        <f t="shared" si="0"/>
        <v>Aug 2025</v>
      </c>
      <c r="L7" s="27" t="str">
        <f t="shared" si="0"/>
        <v>Sep 2025</v>
      </c>
      <c r="M7" s="27" t="str">
        <f t="shared" si="0"/>
        <v>Oct 2025</v>
      </c>
      <c r="N7" s="27" t="str">
        <f t="shared" si="0"/>
        <v>Nov 2025</v>
      </c>
      <c r="O7" s="27" t="str">
        <f t="shared" si="0"/>
        <v>Dec 2025</v>
      </c>
      <c r="P7" s="10" t="s">
        <v>7153</v>
      </c>
    </row>
    <row r="8" spans="3:16" ht="3" customHeight="1">
      <c r="C8" s="22"/>
      <c r="D8" s="23"/>
      <c r="E8" s="23"/>
      <c r="F8" s="23"/>
      <c r="G8" s="23"/>
      <c r="H8" s="23"/>
      <c r="I8" s="23"/>
      <c r="J8" s="23"/>
      <c r="K8" s="23"/>
      <c r="L8" s="23"/>
      <c r="M8" s="23"/>
      <c r="N8" s="23"/>
      <c r="O8" s="23"/>
      <c r="P8" s="23"/>
    </row>
    <row r="9" spans="3:16">
      <c r="C9" t="s">
        <v>5</v>
      </c>
      <c r="D9" s="40">
        <v>1816</v>
      </c>
      <c r="E9" s="40">
        <v>1816</v>
      </c>
      <c r="F9" s="40">
        <v>1816</v>
      </c>
      <c r="G9" s="40">
        <v>1816</v>
      </c>
      <c r="H9" s="40">
        <v>1816</v>
      </c>
      <c r="I9" s="40">
        <v>1816</v>
      </c>
      <c r="J9" s="40">
        <v>1817</v>
      </c>
      <c r="K9" s="40">
        <v>1816</v>
      </c>
      <c r="L9" s="40">
        <v>1816</v>
      </c>
      <c r="M9" s="40">
        <v>1816</v>
      </c>
      <c r="N9" s="40">
        <v>1816</v>
      </c>
      <c r="O9" s="40">
        <v>1816</v>
      </c>
      <c r="P9" s="13">
        <f>SUM(D9:O9)</f>
        <v>21793</v>
      </c>
    </row>
    <row r="10" spans="3:16">
      <c r="C10" t="s">
        <v>2</v>
      </c>
      <c r="D10" s="13">
        <f>SUMIFS(Actuals!$E:$E,Actuals!$F:$F,'Proj 7.22'!$C10,Actuals!$A:$A,'Proj 7.22'!D$1)</f>
        <v>158.51</v>
      </c>
      <c r="E10" s="13">
        <f>SUMIFS(Actuals!$E:$E,Actuals!$F:$F,'Proj 7.22'!$C10,Actuals!$A:$A,'Proj 7.22'!E$1)</f>
        <v>72.41</v>
      </c>
      <c r="F10" s="13">
        <f>SUMIFS(Actuals!$E:$E,Actuals!$F:$F,'Proj 7.22'!$C10,Actuals!$A:$A,'Proj 7.22'!F$1)</f>
        <v>432.06</v>
      </c>
      <c r="G10" s="13">
        <f>SUMIFS(Actuals!$E:$E,Actuals!$F:$F,'Proj 7.22'!$C10,Actuals!$A:$A,'Proj 7.22'!G$1)</f>
        <v>532.5200000000001</v>
      </c>
      <c r="H10" s="13">
        <f>SUMIFS(Actuals!$E:$E,Actuals!$F:$F,'Proj 7.22'!$C10,Actuals!$A:$A,'Proj 7.22'!H$1)</f>
        <v>296.67999999999995</v>
      </c>
      <c r="I10" s="13">
        <f>SUMIFS(Actuals!$E:$E,Actuals!$F:$F,'Proj 7.22'!$C10,Actuals!$A:$A,'Proj 7.22'!I$1)</f>
        <v>719.2600000000001</v>
      </c>
      <c r="J10" s="13">
        <f>SUMIFS(Actuals!$E:$E,Actuals!$F:$F,'Proj 7.22'!$C10,Actuals!$A:$A,'Proj 7.22'!J$1)</f>
        <v>373.78</v>
      </c>
      <c r="K10" s="40">
        <v>433.32333333333332</v>
      </c>
      <c r="L10" s="40">
        <v>433.32333333333332</v>
      </c>
      <c r="M10" s="40">
        <v>433.32333333333332</v>
      </c>
      <c r="N10" s="40">
        <v>433.32333333333332</v>
      </c>
      <c r="O10" s="40">
        <v>433.32333333333332</v>
      </c>
      <c r="P10" s="13">
        <f t="shared" ref="P10:P32" si="1">SUM(D10:O10)</f>
        <v>4751.836666666667</v>
      </c>
    </row>
    <row r="11" spans="3:16">
      <c r="C11" t="s">
        <v>7</v>
      </c>
      <c r="D11" s="13">
        <f>SUMIFS(Actuals!$E:$E,Actuals!$F:$F,'Proj 7.22'!$C11,Actuals!$A:$A,'Proj 7.22'!D$1)</f>
        <v>512.23</v>
      </c>
      <c r="E11" s="13">
        <f>SUMIFS(Actuals!$E:$E,Actuals!$F:$F,'Proj 7.22'!$C11,Actuals!$A:$A,'Proj 7.22'!E$1)</f>
        <v>1454.37</v>
      </c>
      <c r="F11" s="13">
        <f>SUMIFS(Actuals!$E:$E,Actuals!$F:$F,'Proj 7.22'!$C11,Actuals!$A:$A,'Proj 7.22'!F$1)</f>
        <v>404.5200000000001</v>
      </c>
      <c r="G11" s="13">
        <f>SUMIFS(Actuals!$E:$E,Actuals!$F:$F,'Proj 7.22'!$C11,Actuals!$A:$A,'Proj 7.22'!G$1)</f>
        <v>507.12000000000006</v>
      </c>
      <c r="H11" s="13">
        <f>SUMIFS(Actuals!$E:$E,Actuals!$F:$F,'Proj 7.22'!$C11,Actuals!$A:$A,'Proj 7.22'!H$1)</f>
        <v>726.93</v>
      </c>
      <c r="I11" s="13">
        <f>SUMIFS(Actuals!$E:$E,Actuals!$F:$F,'Proj 7.22'!$C11,Actuals!$A:$A,'Proj 7.22'!I$1)</f>
        <v>2595.9299999999994</v>
      </c>
      <c r="J11" s="13">
        <f>SUMIFS(Actuals!$E:$E,Actuals!$F:$F,'Proj 7.22'!$C11,Actuals!$A:$A,'Proj 7.22'!J$1)</f>
        <v>2949.6399999999994</v>
      </c>
      <c r="K11" s="40">
        <v>615.33000000000004</v>
      </c>
      <c r="L11" s="40">
        <v>615.33000000000004</v>
      </c>
      <c r="M11" s="40">
        <v>615.33000000000004</v>
      </c>
      <c r="N11" s="40">
        <v>615.33000000000004</v>
      </c>
      <c r="O11" s="40">
        <v>615.33000000000004</v>
      </c>
      <c r="P11" s="13">
        <f t="shared" si="1"/>
        <v>12227.389999999998</v>
      </c>
    </row>
    <row r="12" spans="3:16">
      <c r="C12" t="s">
        <v>11</v>
      </c>
      <c r="D12" s="13">
        <f>SUMIFS(Actuals!$E:$E,Actuals!$F:$F,'Proj 7.22'!$C12,Actuals!$A:$A,'Proj 7.22'!D$1)</f>
        <v>0</v>
      </c>
      <c r="E12" s="13">
        <f>SUMIFS(Actuals!$E:$E,Actuals!$F:$F,'Proj 7.22'!$C12,Actuals!$A:$A,'Proj 7.22'!E$1)</f>
        <v>0</v>
      </c>
      <c r="F12" s="13">
        <f>SUMIFS(Actuals!$E:$E,Actuals!$F:$F,'Proj 7.22'!$C12,Actuals!$A:$A,'Proj 7.22'!F$1)</f>
        <v>0</v>
      </c>
      <c r="G12" s="13">
        <f>SUMIFS(Actuals!$E:$E,Actuals!$F:$F,'Proj 7.22'!$C12,Actuals!$A:$A,'Proj 7.22'!G$1)</f>
        <v>0</v>
      </c>
      <c r="H12" s="13">
        <f>SUMIFS(Actuals!$E:$E,Actuals!$F:$F,'Proj 7.22'!$C12,Actuals!$A:$A,'Proj 7.22'!H$1)</f>
        <v>0</v>
      </c>
      <c r="I12" s="13">
        <f>SUMIFS(Actuals!$E:$E,Actuals!$F:$F,'Proj 7.22'!$C12,Actuals!$A:$A,'Proj 7.22'!I$1)</f>
        <v>0</v>
      </c>
      <c r="J12" s="13">
        <f>SUMIFS(Actuals!$E:$E,Actuals!$F:$F,'Proj 7.22'!$C12,Actuals!$A:$A,'Proj 7.22'!J$1)</f>
        <v>0</v>
      </c>
      <c r="K12" s="40">
        <v>585.31666666666661</v>
      </c>
      <c r="L12" s="40">
        <v>585.31666666666661</v>
      </c>
      <c r="M12" s="40">
        <v>585.31666666666661</v>
      </c>
      <c r="N12" s="40">
        <v>585.31666666666661</v>
      </c>
      <c r="O12" s="40">
        <v>585.31666666666661</v>
      </c>
      <c r="P12" s="13">
        <f t="shared" si="1"/>
        <v>2926.583333333333</v>
      </c>
    </row>
    <row r="13" spans="3:16">
      <c r="C13" t="s">
        <v>14</v>
      </c>
      <c r="D13" s="13">
        <f>SUMIFS(Actuals!$E:$E,Actuals!$F:$F,'Proj 7.22'!$C13,Actuals!$A:$A,'Proj 7.22'!D$1)</f>
        <v>0</v>
      </c>
      <c r="E13" s="13">
        <f>SUMIFS(Actuals!$E:$E,Actuals!$F:$F,'Proj 7.22'!$C13,Actuals!$A:$A,'Proj 7.22'!E$1)</f>
        <v>0</v>
      </c>
      <c r="F13" s="13">
        <f>SUMIFS(Actuals!$E:$E,Actuals!$F:$F,'Proj 7.22'!$C13,Actuals!$A:$A,'Proj 7.22'!F$1)</f>
        <v>0</v>
      </c>
      <c r="G13" s="13">
        <f>SUMIFS(Actuals!$E:$E,Actuals!$F:$F,'Proj 7.22'!$C13,Actuals!$A:$A,'Proj 7.22'!G$1)</f>
        <v>0</v>
      </c>
      <c r="H13" s="13">
        <f>SUMIFS(Actuals!$E:$E,Actuals!$F:$F,'Proj 7.22'!$C13,Actuals!$A:$A,'Proj 7.22'!H$1)</f>
        <v>0</v>
      </c>
      <c r="I13" s="13">
        <f>SUMIFS(Actuals!$E:$E,Actuals!$F:$F,'Proj 7.22'!$C13,Actuals!$A:$A,'Proj 7.22'!I$1)</f>
        <v>0</v>
      </c>
      <c r="J13" s="13">
        <f>SUMIFS(Actuals!$E:$E,Actuals!$F:$F,'Proj 7.22'!$C13,Actuals!$A:$A,'Proj 7.22'!J$1)</f>
        <v>0</v>
      </c>
      <c r="K13" s="40">
        <v>250</v>
      </c>
      <c r="L13" s="40">
        <v>250</v>
      </c>
      <c r="M13" s="40">
        <v>250</v>
      </c>
      <c r="N13" s="40">
        <v>250</v>
      </c>
      <c r="O13" s="40">
        <v>250</v>
      </c>
      <c r="P13" s="13">
        <f t="shared" si="1"/>
        <v>1250</v>
      </c>
    </row>
    <row r="14" spans="3:16">
      <c r="C14" t="s">
        <v>18</v>
      </c>
      <c r="D14" s="13">
        <f>SUMIFS(Actuals!$E:$E,Actuals!$F:$F,'Proj 7.22'!$C14,Actuals!$A:$A,'Proj 7.22'!D$1)</f>
        <v>163.66</v>
      </c>
      <c r="E14" s="13">
        <f>SUMIFS(Actuals!$E:$E,Actuals!$F:$F,'Proj 7.22'!$C14,Actuals!$A:$A,'Proj 7.22'!E$1)</f>
        <v>163.66</v>
      </c>
      <c r="F14" s="13">
        <f>SUMIFS(Actuals!$E:$E,Actuals!$F:$F,'Proj 7.22'!$C14,Actuals!$A:$A,'Proj 7.22'!F$1)</f>
        <v>158.66</v>
      </c>
      <c r="G14" s="13">
        <f>SUMIFS(Actuals!$E:$E,Actuals!$F:$F,'Proj 7.22'!$C14,Actuals!$A:$A,'Proj 7.22'!G$1)</f>
        <v>165.12</v>
      </c>
      <c r="H14" s="13">
        <f>SUMIFS(Actuals!$E:$E,Actuals!$F:$F,'Proj 7.22'!$C14,Actuals!$A:$A,'Proj 7.22'!H$1)</f>
        <v>165.07999999999998</v>
      </c>
      <c r="I14" s="13">
        <f>SUMIFS(Actuals!$E:$E,Actuals!$F:$F,'Proj 7.22'!$C14,Actuals!$A:$A,'Proj 7.22'!I$1)</f>
        <v>54.33</v>
      </c>
      <c r="J14" s="13">
        <f>SUMIFS(Actuals!$E:$E,Actuals!$F:$F,'Proj 7.22'!$C14,Actuals!$A:$A,'Proj 7.22'!J$1)</f>
        <v>55.97</v>
      </c>
      <c r="K14" s="40">
        <v>102.48666666666666</v>
      </c>
      <c r="L14" s="40">
        <v>102.48666666666666</v>
      </c>
      <c r="M14" s="40">
        <v>102.48666666666666</v>
      </c>
      <c r="N14" s="40">
        <v>102.48666666666666</v>
      </c>
      <c r="O14" s="40">
        <v>102.48666666666666</v>
      </c>
      <c r="P14" s="13">
        <f t="shared" si="1"/>
        <v>1438.9133333333334</v>
      </c>
    </row>
    <row r="15" spans="3:16">
      <c r="C15" s="14" t="s">
        <v>20</v>
      </c>
      <c r="D15" s="15">
        <f>SUMIFS(Actuals!$E:$E,Actuals!$F:$F,'Proj 7.22'!$C15,Actuals!$A:$A,'Proj 7.22'!D$1)</f>
        <v>4201.12</v>
      </c>
      <c r="E15" s="15">
        <f>SUMIFS(Actuals!$E:$E,Actuals!$F:$F,'Proj 7.22'!$C15,Actuals!$A:$A,'Proj 7.22'!E$1)</f>
        <v>2625.59</v>
      </c>
      <c r="F15" s="15">
        <f>SUMIFS(Actuals!$E:$E,Actuals!$F:$F,'Proj 7.22'!$C15,Actuals!$A:$A,'Proj 7.22'!F$1)</f>
        <v>2505.21</v>
      </c>
      <c r="G15" s="15">
        <f>SUMIFS(Actuals!$E:$E,Actuals!$F:$F,'Proj 7.22'!$C15,Actuals!$A:$A,'Proj 7.22'!G$1)</f>
        <v>2173.3599999999997</v>
      </c>
      <c r="H15" s="15">
        <f>SUMIFS(Actuals!$E:$E,Actuals!$F:$F,'Proj 7.22'!$C15,Actuals!$A:$A,'Proj 7.22'!H$1)</f>
        <v>797.3</v>
      </c>
      <c r="I15" s="15">
        <f>SUMIFS(Actuals!$E:$E,Actuals!$F:$F,'Proj 7.22'!$C15,Actuals!$A:$A,'Proj 7.22'!I$1)</f>
        <v>1371.1</v>
      </c>
      <c r="J15" s="15">
        <f>SUMIFS(Actuals!$E:$E,Actuals!$F:$F,'Proj 7.22'!$C15,Actuals!$A:$A,'Proj 7.22'!J$1)</f>
        <v>2393</v>
      </c>
      <c r="K15" s="41">
        <v>2323.9666666666667</v>
      </c>
      <c r="L15" s="41">
        <v>1111.5</v>
      </c>
      <c r="M15" s="41">
        <v>1111.5</v>
      </c>
      <c r="N15" s="41">
        <v>1111.5</v>
      </c>
      <c r="O15" s="41">
        <v>1111.5</v>
      </c>
      <c r="P15" s="15">
        <f t="shared" si="1"/>
        <v>22836.646666666664</v>
      </c>
    </row>
    <row r="16" spans="3:16">
      <c r="C16" s="16" t="s">
        <v>7259</v>
      </c>
      <c r="D16" s="13">
        <f t="shared" ref="D16:N16" si="2">SUM(D9:D15)</f>
        <v>6851.5199999999995</v>
      </c>
      <c r="E16" s="13">
        <f t="shared" si="2"/>
        <v>6132.03</v>
      </c>
      <c r="F16" s="13">
        <f t="shared" si="2"/>
        <v>5316.45</v>
      </c>
      <c r="G16" s="13">
        <f t="shared" si="2"/>
        <v>5194.119999999999</v>
      </c>
      <c r="H16" s="13">
        <f t="shared" si="2"/>
        <v>3801.99</v>
      </c>
      <c r="I16" s="13">
        <f t="shared" si="2"/>
        <v>6556.619999999999</v>
      </c>
      <c r="J16" s="13">
        <f t="shared" si="2"/>
        <v>7589.3899999999994</v>
      </c>
      <c r="K16" s="13">
        <f t="shared" si="2"/>
        <v>6126.4233333333332</v>
      </c>
      <c r="L16" s="13">
        <f t="shared" si="2"/>
        <v>4913.9566666666669</v>
      </c>
      <c r="M16" s="13">
        <f t="shared" si="2"/>
        <v>4913.9566666666669</v>
      </c>
      <c r="N16" s="13">
        <f t="shared" si="2"/>
        <v>4913.9566666666669</v>
      </c>
      <c r="O16" s="13">
        <f>SUM(O9:O15)</f>
        <v>4913.9566666666669</v>
      </c>
      <c r="P16" s="13">
        <f>SUM(D16:O16)</f>
        <v>67224.37</v>
      </c>
    </row>
    <row r="17" spans="3:16">
      <c r="D17" s="13"/>
      <c r="E17" s="13"/>
      <c r="F17" s="13"/>
      <c r="G17" s="13"/>
      <c r="H17" s="13"/>
      <c r="I17" s="13"/>
      <c r="J17" s="13"/>
      <c r="K17" s="13"/>
      <c r="L17" s="13"/>
      <c r="M17" s="13"/>
      <c r="N17" s="13"/>
      <c r="O17" s="13"/>
      <c r="P17" s="13"/>
    </row>
    <row r="18" spans="3:16">
      <c r="C18" t="s">
        <v>23</v>
      </c>
      <c r="D18" s="13">
        <f>SUMIFS(Actuals!$E:$E,Actuals!$F:$F,'Proj 7.22'!$C18,Actuals!$A:$A,'Proj 7.22'!D$1)</f>
        <v>36.35</v>
      </c>
      <c r="E18" s="13">
        <f>SUMIFS(Actuals!$E:$E,Actuals!$F:$F,'Proj 7.22'!$C18,Actuals!$A:$A,'Proj 7.22'!E$1)</f>
        <v>1290.29</v>
      </c>
      <c r="F18" s="13">
        <f>SUMIFS(Actuals!$E:$E,Actuals!$F:$F,'Proj 7.22'!$C18,Actuals!$A:$A,'Proj 7.22'!F$1)</f>
        <v>133.96</v>
      </c>
      <c r="G18" s="13">
        <f>SUMIFS(Actuals!$E:$E,Actuals!$F:$F,'Proj 7.22'!$C18,Actuals!$A:$A,'Proj 7.22'!G$1)</f>
        <v>60.28</v>
      </c>
      <c r="H18" s="13">
        <f>SUMIFS(Actuals!$E:$E,Actuals!$F:$F,'Proj 7.22'!$C18,Actuals!$A:$A,'Proj 7.22'!H$1)</f>
        <v>1459.98</v>
      </c>
      <c r="I18" s="13">
        <f>SUMIFS(Actuals!$E:$E,Actuals!$F:$F,'Proj 7.22'!$C18,Actuals!$A:$A,'Proj 7.22'!I$1)</f>
        <v>86.91</v>
      </c>
      <c r="J18" s="13">
        <f>SUMIFS(Actuals!$E:$E,Actuals!$F:$F,'Proj 7.22'!$C18,Actuals!$A:$A,'Proj 7.22'!J$1)</f>
        <v>993.97</v>
      </c>
      <c r="K18" s="40">
        <v>836.31666666666661</v>
      </c>
      <c r="L18" s="40">
        <v>836.31666666666661</v>
      </c>
      <c r="M18" s="40">
        <v>836.31666666666661</v>
      </c>
      <c r="N18" s="40">
        <v>836.31666666666661</v>
      </c>
      <c r="O18" s="40">
        <v>836.31666666666661</v>
      </c>
      <c r="P18" s="13">
        <f t="shared" si="1"/>
        <v>8243.3233333333337</v>
      </c>
    </row>
    <row r="19" spans="3:16">
      <c r="C19" t="s">
        <v>26</v>
      </c>
      <c r="D19" s="13">
        <f>SUMIFS(Actuals!$E:$E,Actuals!$F:$F,'Proj 7.22'!$C19,Actuals!$A:$A,'Proj 7.22'!D$1)</f>
        <v>1256.5199999999998</v>
      </c>
      <c r="E19" s="13">
        <f>SUMIFS(Actuals!$E:$E,Actuals!$F:$F,'Proj 7.22'!$C19,Actuals!$A:$A,'Proj 7.22'!E$1)</f>
        <v>1258.33</v>
      </c>
      <c r="F19" s="13">
        <f>SUMIFS(Actuals!$E:$E,Actuals!$F:$F,'Proj 7.22'!$C19,Actuals!$A:$A,'Proj 7.22'!F$1)</f>
        <v>2190.3699999999994</v>
      </c>
      <c r="G19" s="13">
        <f>SUMIFS(Actuals!$E:$E,Actuals!$F:$F,'Proj 7.22'!$C19,Actuals!$A:$A,'Proj 7.22'!G$1)</f>
        <v>1732.92</v>
      </c>
      <c r="H19" s="13">
        <f>SUMIFS(Actuals!$E:$E,Actuals!$F:$F,'Proj 7.22'!$C19,Actuals!$A:$A,'Proj 7.22'!H$1)</f>
        <v>1195.7899999999997</v>
      </c>
      <c r="I19" s="13">
        <f>SUMIFS(Actuals!$E:$E,Actuals!$F:$F,'Proj 7.22'!$C19,Actuals!$A:$A,'Proj 7.22'!I$1)</f>
        <v>2520.2900000000009</v>
      </c>
      <c r="J19" s="13">
        <f>SUMIFS(Actuals!$E:$E,Actuals!$F:$F,'Proj 7.22'!$C19,Actuals!$A:$A,'Proj 7.22'!J$1)</f>
        <v>2280.7600000000002</v>
      </c>
      <c r="K19" s="40">
        <v>1275.2466666666669</v>
      </c>
      <c r="L19" s="40">
        <v>1275.2466666666669</v>
      </c>
      <c r="M19" s="40">
        <v>1275.2466666666669</v>
      </c>
      <c r="N19" s="40">
        <v>1275.2466666666669</v>
      </c>
      <c r="O19" s="40">
        <v>1275.2466666666669</v>
      </c>
      <c r="P19" s="13">
        <f t="shared" si="1"/>
        <v>18811.213333333333</v>
      </c>
    </row>
    <row r="20" spans="3:16">
      <c r="C20" t="s">
        <v>28</v>
      </c>
      <c r="D20" s="13">
        <f>SUMIFS(Actuals!$E:$E,Actuals!$F:$F,'Proj 7.22'!$C20,Actuals!$A:$A,'Proj 7.22'!D$1)</f>
        <v>1032.5399999999997</v>
      </c>
      <c r="E20" s="13">
        <f>SUMIFS(Actuals!$E:$E,Actuals!$F:$F,'Proj 7.22'!$C20,Actuals!$A:$A,'Proj 7.22'!E$1)</f>
        <v>813.71</v>
      </c>
      <c r="F20" s="13">
        <f>SUMIFS(Actuals!$E:$E,Actuals!$F:$F,'Proj 7.22'!$C20,Actuals!$A:$A,'Proj 7.22'!F$1)</f>
        <v>579.15000000000009</v>
      </c>
      <c r="G20" s="13">
        <f>SUMIFS(Actuals!$E:$E,Actuals!$F:$F,'Proj 7.22'!$C20,Actuals!$A:$A,'Proj 7.22'!G$1)</f>
        <v>1295</v>
      </c>
      <c r="H20" s="13">
        <f>SUMIFS(Actuals!$E:$E,Actuals!$F:$F,'Proj 7.22'!$C20,Actuals!$A:$A,'Proj 7.22'!H$1)</f>
        <v>1047.99</v>
      </c>
      <c r="I20" s="13">
        <f>SUMIFS(Actuals!$E:$E,Actuals!$F:$F,'Proj 7.22'!$C20,Actuals!$A:$A,'Proj 7.22'!I$1)</f>
        <v>1176.2800000000002</v>
      </c>
      <c r="J20" s="13">
        <f>SUMIFS(Actuals!$E:$E,Actuals!$F:$F,'Proj 7.22'!$C20,Actuals!$A:$A,'Proj 7.22'!J$1)</f>
        <v>341.28000000000003</v>
      </c>
      <c r="K20" s="40">
        <v>888.73333333333323</v>
      </c>
      <c r="L20" s="40">
        <v>888.73333333333323</v>
      </c>
      <c r="M20" s="40">
        <v>888.73333333333323</v>
      </c>
      <c r="N20" s="40">
        <v>888.73333333333323</v>
      </c>
      <c r="O20" s="40">
        <v>888.73333333333323</v>
      </c>
      <c r="P20" s="13">
        <f t="shared" si="1"/>
        <v>10729.616666666667</v>
      </c>
    </row>
    <row r="21" spans="3:16">
      <c r="C21" s="14" t="s">
        <v>31</v>
      </c>
      <c r="D21" s="15">
        <f>SUMIFS(Actuals!$E:$E,Actuals!$F:$F,'Proj 7.22'!$C21,Actuals!$A:$A,'Proj 7.22'!D$1)</f>
        <v>0</v>
      </c>
      <c r="E21" s="15">
        <f>SUMIFS(Actuals!$E:$E,Actuals!$F:$F,'Proj 7.22'!$C21,Actuals!$A:$A,'Proj 7.22'!E$1)</f>
        <v>1466.2</v>
      </c>
      <c r="F21" s="15">
        <f>SUMIFS(Actuals!$E:$E,Actuals!$F:$F,'Proj 7.22'!$C21,Actuals!$A:$A,'Proj 7.22'!F$1)</f>
        <v>1203.6100000000001</v>
      </c>
      <c r="G21" s="15">
        <f>SUMIFS(Actuals!$E:$E,Actuals!$F:$F,'Proj 7.22'!$C21,Actuals!$A:$A,'Proj 7.22'!G$1)</f>
        <v>858.99999999999989</v>
      </c>
      <c r="H21" s="15">
        <f>SUMIFS(Actuals!$E:$E,Actuals!$F:$F,'Proj 7.22'!$C21,Actuals!$A:$A,'Proj 7.22'!H$1)</f>
        <v>141.71</v>
      </c>
      <c r="I21" s="15">
        <f>SUMIFS(Actuals!$E:$E,Actuals!$F:$F,'Proj 7.22'!$C21,Actuals!$A:$A,'Proj 7.22'!I$1)</f>
        <v>863.6</v>
      </c>
      <c r="J21" s="15">
        <f>SUMIFS(Actuals!$E:$E,Actuals!$F:$F,'Proj 7.22'!$C21,Actuals!$A:$A,'Proj 7.22'!J$1)</f>
        <v>138.78</v>
      </c>
      <c r="K21" s="41">
        <v>459.88333333333338</v>
      </c>
      <c r="L21" s="41">
        <v>459.88333333333338</v>
      </c>
      <c r="M21" s="41">
        <v>459.88333333333338</v>
      </c>
      <c r="N21" s="41">
        <v>459.88333333333338</v>
      </c>
      <c r="O21" s="41">
        <v>459.88333333333338</v>
      </c>
      <c r="P21" s="15">
        <f t="shared" si="1"/>
        <v>6972.3166666666666</v>
      </c>
    </row>
    <row r="22" spans="3:16">
      <c r="C22" s="16" t="s">
        <v>7260</v>
      </c>
      <c r="D22" s="13">
        <f t="shared" ref="D22:O22" si="3">SUM(D18:D21)</f>
        <v>2325.4099999999994</v>
      </c>
      <c r="E22" s="13">
        <f t="shared" si="3"/>
        <v>4828.53</v>
      </c>
      <c r="F22" s="13">
        <f t="shared" si="3"/>
        <v>4107.09</v>
      </c>
      <c r="G22" s="13">
        <f t="shared" si="3"/>
        <v>3947.2</v>
      </c>
      <c r="H22" s="13">
        <f t="shared" si="3"/>
        <v>3845.4699999999993</v>
      </c>
      <c r="I22" s="13">
        <f t="shared" si="3"/>
        <v>4647.0800000000008</v>
      </c>
      <c r="J22" s="13">
        <f t="shared" si="3"/>
        <v>3754.7900000000009</v>
      </c>
      <c r="K22" s="13">
        <f t="shared" si="3"/>
        <v>3460.18</v>
      </c>
      <c r="L22" s="13">
        <f t="shared" si="3"/>
        <v>3460.18</v>
      </c>
      <c r="M22" s="13">
        <f t="shared" si="3"/>
        <v>3460.18</v>
      </c>
      <c r="N22" s="13">
        <f t="shared" si="3"/>
        <v>3460.18</v>
      </c>
      <c r="O22" s="13">
        <f t="shared" si="3"/>
        <v>3460.18</v>
      </c>
      <c r="P22" s="13">
        <f t="shared" si="1"/>
        <v>44756.47</v>
      </c>
    </row>
    <row r="23" spans="3:16">
      <c r="D23" s="13"/>
      <c r="E23" s="13"/>
      <c r="F23" s="13"/>
      <c r="G23" s="13"/>
      <c r="H23" s="13"/>
      <c r="I23" s="13"/>
      <c r="J23" s="13"/>
      <c r="K23" s="13"/>
      <c r="L23" s="13"/>
      <c r="M23" s="13"/>
      <c r="N23" s="13"/>
      <c r="O23" s="13"/>
      <c r="P23" s="13"/>
    </row>
    <row r="24" spans="3:16">
      <c r="C24" t="s">
        <v>34</v>
      </c>
      <c r="D24" s="13">
        <f>SUMIFS(Actuals!$E:$E,Actuals!$F:$F,'Proj 7.22'!$C24,Actuals!$A:$A,'Proj 7.22'!D$1)</f>
        <v>0</v>
      </c>
      <c r="E24" s="13">
        <f>SUMIFS(Actuals!$E:$E,Actuals!$F:$F,'Proj 7.22'!$C24,Actuals!$A:$A,'Proj 7.22'!E$1)</f>
        <v>0</v>
      </c>
      <c r="F24" s="13">
        <f>SUMIFS(Actuals!$E:$E,Actuals!$F:$F,'Proj 7.22'!$C24,Actuals!$A:$A,'Proj 7.22'!F$1)</f>
        <v>0</v>
      </c>
      <c r="G24" s="13">
        <f>SUMIFS(Actuals!$E:$E,Actuals!$F:$F,'Proj 7.22'!$C24,Actuals!$A:$A,'Proj 7.22'!G$1)</f>
        <v>0</v>
      </c>
      <c r="H24" s="13">
        <f>SUMIFS(Actuals!$E:$E,Actuals!$F:$F,'Proj 7.22'!$C24,Actuals!$A:$A,'Proj 7.22'!H$1)</f>
        <v>0</v>
      </c>
      <c r="I24" s="13">
        <f>SUMIFS(Actuals!$E:$E,Actuals!$F:$F,'Proj 7.22'!$C24,Actuals!$A:$A,'Proj 7.22'!I$1)</f>
        <v>25</v>
      </c>
      <c r="J24" s="13">
        <f>SUMIFS(Actuals!$E:$E,Actuals!$F:$F,'Proj 7.22'!$C24,Actuals!$A:$A,'Proj 7.22'!J$1)</f>
        <v>0</v>
      </c>
      <c r="K24" s="40">
        <v>34.94</v>
      </c>
      <c r="L24" s="40">
        <v>34.94</v>
      </c>
      <c r="M24" s="40">
        <v>34.94</v>
      </c>
      <c r="N24" s="40">
        <v>34.94</v>
      </c>
      <c r="O24" s="40">
        <v>34.94</v>
      </c>
      <c r="P24" s="13">
        <f t="shared" si="1"/>
        <v>199.7</v>
      </c>
    </row>
    <row r="25" spans="3:16">
      <c r="C25" t="s">
        <v>21</v>
      </c>
      <c r="D25" s="13">
        <f>SUMIFS(Actuals!$E:$E,Actuals!$F:$F,'Proj 7.22'!$C25,Actuals!$A:$A,'Proj 7.22'!D$1)</f>
        <v>1297.5600000000002</v>
      </c>
      <c r="E25" s="13">
        <f>SUMIFS(Actuals!$E:$E,Actuals!$F:$F,'Proj 7.22'!$C25,Actuals!$A:$A,'Proj 7.22'!E$1)</f>
        <v>2152.23</v>
      </c>
      <c r="F25" s="13">
        <f>SUMIFS(Actuals!$E:$E,Actuals!$F:$F,'Proj 7.22'!$C25,Actuals!$A:$A,'Proj 7.22'!F$1)</f>
        <v>2367.6299999999992</v>
      </c>
      <c r="G25" s="13">
        <f>SUMIFS(Actuals!$E:$E,Actuals!$F:$F,'Proj 7.22'!$C25,Actuals!$A:$A,'Proj 7.22'!G$1)</f>
        <v>944.13999999999965</v>
      </c>
      <c r="H25" s="13">
        <f>SUMIFS(Actuals!$E:$E,Actuals!$F:$F,'Proj 7.22'!$C25,Actuals!$A:$A,'Proj 7.22'!H$1)</f>
        <v>2600.9999999999995</v>
      </c>
      <c r="I25" s="13">
        <f>SUMIFS(Actuals!$E:$E,Actuals!$F:$F,'Proj 7.22'!$C25,Actuals!$A:$A,'Proj 7.22'!I$1)</f>
        <v>1527.9499999999996</v>
      </c>
      <c r="J25" s="13">
        <f>SUMIFS(Actuals!$E:$E,Actuals!$F:$F,'Proj 7.22'!$C25,Actuals!$A:$A,'Proj 7.22'!J$1)</f>
        <v>-26.289999999999992</v>
      </c>
      <c r="K25" s="40">
        <v>2000</v>
      </c>
      <c r="L25" s="40">
        <v>2000</v>
      </c>
      <c r="M25" s="40">
        <v>2000</v>
      </c>
      <c r="N25" s="40">
        <v>2000</v>
      </c>
      <c r="O25" s="40">
        <v>2000</v>
      </c>
      <c r="P25" s="13">
        <f t="shared" si="1"/>
        <v>20864.219999999994</v>
      </c>
    </row>
    <row r="26" spans="3:16">
      <c r="C26" t="s">
        <v>38</v>
      </c>
      <c r="D26" s="13">
        <f>SUMIFS(Actuals!$E:$E,Actuals!$F:$F,'Proj 7.22'!$C26,Actuals!$A:$A,'Proj 7.22'!D$1)</f>
        <v>1330.2099999999998</v>
      </c>
      <c r="E26" s="13">
        <f>SUMIFS(Actuals!$E:$E,Actuals!$F:$F,'Proj 7.22'!$C26,Actuals!$A:$A,'Proj 7.22'!E$1)</f>
        <v>628.87000000000023</v>
      </c>
      <c r="F26" s="13">
        <f>SUMIFS(Actuals!$E:$E,Actuals!$F:$F,'Proj 7.22'!$C26,Actuals!$A:$A,'Proj 7.22'!F$1)</f>
        <v>468.29000000000008</v>
      </c>
      <c r="G26" s="13">
        <f>SUMIFS(Actuals!$E:$E,Actuals!$F:$F,'Proj 7.22'!$C26,Actuals!$A:$A,'Proj 7.22'!G$1)</f>
        <v>883.32999999999993</v>
      </c>
      <c r="H26" s="13">
        <f>SUMIFS(Actuals!$E:$E,Actuals!$F:$F,'Proj 7.22'!$C26,Actuals!$A:$A,'Proj 7.22'!H$1)</f>
        <v>361.53999999999996</v>
      </c>
      <c r="I26" s="13">
        <f>SUMIFS(Actuals!$E:$E,Actuals!$F:$F,'Proj 7.22'!$C26,Actuals!$A:$A,'Proj 7.22'!I$1)</f>
        <v>4.0099999999999909</v>
      </c>
      <c r="J26" s="13">
        <f>SUMIFS(Actuals!$E:$E,Actuals!$F:$F,'Proj 7.22'!$C26,Actuals!$A:$A,'Proj 7.22'!J$1)</f>
        <v>-0.15000000000001279</v>
      </c>
      <c r="K26" s="40">
        <v>83.333333333333329</v>
      </c>
      <c r="L26" s="40">
        <v>83.333333333333329</v>
      </c>
      <c r="M26" s="40">
        <v>83.333333333333329</v>
      </c>
      <c r="N26" s="40">
        <v>83.333333333333329</v>
      </c>
      <c r="O26" s="40">
        <v>83.333333333333329</v>
      </c>
      <c r="P26" s="13">
        <f t="shared" si="1"/>
        <v>4092.7666666666673</v>
      </c>
    </row>
    <row r="27" spans="3:16">
      <c r="C27" t="s">
        <v>40</v>
      </c>
      <c r="D27" s="13">
        <f>SUMIFS(Actuals!$E:$E,Actuals!$F:$F,'Proj 7.22'!$C27,Actuals!$A:$A,'Proj 7.22'!D$1)</f>
        <v>452.17</v>
      </c>
      <c r="E27" s="13">
        <f>SUMIFS(Actuals!$E:$E,Actuals!$F:$F,'Proj 7.22'!$C27,Actuals!$A:$A,'Proj 7.22'!E$1)</f>
        <v>213.46</v>
      </c>
      <c r="F27" s="13">
        <f>SUMIFS(Actuals!$E:$E,Actuals!$F:$F,'Proj 7.22'!$C27,Actuals!$A:$A,'Proj 7.22'!F$1)</f>
        <v>547.24</v>
      </c>
      <c r="G27" s="13">
        <f>SUMIFS(Actuals!$E:$E,Actuals!$F:$F,'Proj 7.22'!$C27,Actuals!$A:$A,'Proj 7.22'!G$1)</f>
        <v>214.29</v>
      </c>
      <c r="H27" s="13">
        <f>SUMIFS(Actuals!$E:$E,Actuals!$F:$F,'Proj 7.22'!$C27,Actuals!$A:$A,'Proj 7.22'!H$1)</f>
        <v>151.35</v>
      </c>
      <c r="I27" s="13">
        <f>SUMIFS(Actuals!$E:$E,Actuals!$F:$F,'Proj 7.22'!$C27,Actuals!$A:$A,'Proj 7.22'!I$1)</f>
        <v>365.79</v>
      </c>
      <c r="J27" s="13">
        <f>SUMIFS(Actuals!$E:$E,Actuals!$F:$F,'Proj 7.22'!$C27,Actuals!$A:$A,'Proj 7.22'!J$1)</f>
        <v>447.18999999999994</v>
      </c>
      <c r="K27" s="40">
        <v>57.34</v>
      </c>
      <c r="L27" s="40">
        <v>57.34</v>
      </c>
      <c r="M27" s="40">
        <v>57.34</v>
      </c>
      <c r="N27" s="40">
        <v>57.34</v>
      </c>
      <c r="O27" s="40">
        <v>57.34</v>
      </c>
      <c r="P27" s="13">
        <f t="shared" si="1"/>
        <v>2678.1900000000005</v>
      </c>
    </row>
    <row r="28" spans="3:16">
      <c r="C28" t="s">
        <v>41</v>
      </c>
      <c r="D28" s="13">
        <f>SUMIFS(Actuals!$E:$E,Actuals!$F:$F,'Proj 7.22'!$C28,Actuals!$A:$A,'Proj 7.22'!D$1)</f>
        <v>0</v>
      </c>
      <c r="E28" s="13">
        <f>SUMIFS(Actuals!$E:$E,Actuals!$F:$F,'Proj 7.22'!$C28,Actuals!$A:$A,'Proj 7.22'!E$1)</f>
        <v>0</v>
      </c>
      <c r="F28" s="13">
        <f>SUMIFS(Actuals!$E:$E,Actuals!$F:$F,'Proj 7.22'!$C28,Actuals!$A:$A,'Proj 7.22'!F$1)</f>
        <v>0</v>
      </c>
      <c r="G28" s="13">
        <f>SUMIFS(Actuals!$E:$E,Actuals!$F:$F,'Proj 7.22'!$C28,Actuals!$A:$A,'Proj 7.22'!G$1)</f>
        <v>36.599999999999994</v>
      </c>
      <c r="H28" s="13">
        <f>SUMIFS(Actuals!$E:$E,Actuals!$F:$F,'Proj 7.22'!$C28,Actuals!$A:$A,'Proj 7.22'!H$1)</f>
        <v>0</v>
      </c>
      <c r="I28" s="13">
        <f>SUMIFS(Actuals!$E:$E,Actuals!$F:$F,'Proj 7.22'!$C28,Actuals!$A:$A,'Proj 7.22'!I$1)</f>
        <v>35.93</v>
      </c>
      <c r="J28" s="13">
        <f>SUMIFS(Actuals!$E:$E,Actuals!$F:$F,'Proj 7.22'!$C28,Actuals!$A:$A,'Proj 7.22'!J$1)</f>
        <v>113.36</v>
      </c>
      <c r="K28" s="40">
        <v>22.196666666666669</v>
      </c>
      <c r="L28" s="40">
        <v>22.196666666666669</v>
      </c>
      <c r="M28" s="40">
        <v>22.196666666666669</v>
      </c>
      <c r="N28" s="40">
        <v>22.196666666666669</v>
      </c>
      <c r="O28" s="40">
        <v>22.196666666666669</v>
      </c>
      <c r="P28" s="13">
        <f t="shared" si="1"/>
        <v>296.87333333333328</v>
      </c>
    </row>
    <row r="29" spans="3:16">
      <c r="C29" t="s">
        <v>45</v>
      </c>
      <c r="D29" s="13">
        <f>SUMIFS(Actuals!$E:$E,Actuals!$F:$F,'Proj 7.22'!$C29,Actuals!$A:$A,'Proj 7.22'!D$1)</f>
        <v>0</v>
      </c>
      <c r="E29" s="13">
        <f>SUMIFS(Actuals!$E:$E,Actuals!$F:$F,'Proj 7.22'!$C29,Actuals!$A:$A,'Proj 7.22'!E$1)</f>
        <v>0</v>
      </c>
      <c r="F29" s="13">
        <f>SUMIFS(Actuals!$E:$E,Actuals!$F:$F,'Proj 7.22'!$C29,Actuals!$A:$A,'Proj 7.22'!F$1)</f>
        <v>0</v>
      </c>
      <c r="G29" s="13">
        <f>SUMIFS(Actuals!$E:$E,Actuals!$F:$F,'Proj 7.22'!$C29,Actuals!$A:$A,'Proj 7.22'!G$1)</f>
        <v>0</v>
      </c>
      <c r="H29" s="13">
        <f>SUMIFS(Actuals!$E:$E,Actuals!$F:$F,'Proj 7.22'!$C29,Actuals!$A:$A,'Proj 7.22'!H$1)</f>
        <v>0</v>
      </c>
      <c r="I29" s="13">
        <f>SUMIFS(Actuals!$E:$E,Actuals!$F:$F,'Proj 7.22'!$C29,Actuals!$A:$A,'Proj 7.22'!I$1)</f>
        <v>0</v>
      </c>
      <c r="J29" s="13">
        <f>SUMIFS(Actuals!$E:$E,Actuals!$F:$F,'Proj 7.22'!$C29,Actuals!$A:$A,'Proj 7.22'!J$1)</f>
        <v>0</v>
      </c>
      <c r="K29" s="40">
        <v>103.60000000000001</v>
      </c>
      <c r="L29" s="40">
        <v>103.60000000000001</v>
      </c>
      <c r="M29" s="40">
        <v>103.60000000000001</v>
      </c>
      <c r="N29" s="40">
        <v>103.60000000000001</v>
      </c>
      <c r="O29" s="40">
        <v>103.60000000000001</v>
      </c>
      <c r="P29" s="13">
        <f t="shared" si="1"/>
        <v>518</v>
      </c>
    </row>
    <row r="30" spans="3:16">
      <c r="C30" s="14" t="s">
        <v>29</v>
      </c>
      <c r="D30" s="15">
        <f>SUMIFS(Actuals!$E:$E,Actuals!$F:$F,'Proj 7.22'!$C30,Actuals!$A:$A,'Proj 7.22'!D$1)</f>
        <v>110</v>
      </c>
      <c r="E30" s="15">
        <f>SUMIFS(Actuals!$E:$E,Actuals!$F:$F,'Proj 7.22'!$C30,Actuals!$A:$A,'Proj 7.22'!E$1)</f>
        <v>0</v>
      </c>
      <c r="F30" s="15">
        <f>SUMIFS(Actuals!$E:$E,Actuals!$F:$F,'Proj 7.22'!$C30,Actuals!$A:$A,'Proj 7.22'!F$1)</f>
        <v>0</v>
      </c>
      <c r="G30" s="15">
        <f>SUMIFS(Actuals!$E:$E,Actuals!$F:$F,'Proj 7.22'!$C30,Actuals!$A:$A,'Proj 7.22'!G$1)</f>
        <v>124</v>
      </c>
      <c r="H30" s="15">
        <f>SUMIFS(Actuals!$E:$E,Actuals!$F:$F,'Proj 7.22'!$C30,Actuals!$A:$A,'Proj 7.22'!H$1)</f>
        <v>0</v>
      </c>
      <c r="I30" s="15">
        <f>SUMIFS(Actuals!$E:$E,Actuals!$F:$F,'Proj 7.22'!$C30,Actuals!$A:$A,'Proj 7.22'!I$1)</f>
        <v>5</v>
      </c>
      <c r="J30" s="15">
        <f>SUMIFS(Actuals!$E:$E,Actuals!$F:$F,'Proj 7.22'!$C30,Actuals!$A:$A,'Proj 7.22'!J$1)</f>
        <v>0</v>
      </c>
      <c r="K30" s="41">
        <v>117.06333333333333</v>
      </c>
      <c r="L30" s="41">
        <v>117.06333333333333</v>
      </c>
      <c r="M30" s="41">
        <v>117.06333333333333</v>
      </c>
      <c r="N30" s="41">
        <v>117.06333333333333</v>
      </c>
      <c r="O30" s="41">
        <v>117.06333333333333</v>
      </c>
      <c r="P30" s="15">
        <f t="shared" si="1"/>
        <v>824.31666666666661</v>
      </c>
    </row>
    <row r="31" spans="3:16">
      <c r="C31" s="16" t="s">
        <v>7261</v>
      </c>
      <c r="D31" s="13">
        <f t="shared" ref="D31:O31" si="4">SUM(D24:D30)</f>
        <v>3189.94</v>
      </c>
      <c r="E31" s="13">
        <f t="shared" si="4"/>
        <v>2994.5600000000004</v>
      </c>
      <c r="F31" s="13">
        <f t="shared" si="4"/>
        <v>3383.1599999999989</v>
      </c>
      <c r="G31" s="13">
        <f t="shared" si="4"/>
        <v>2202.3599999999997</v>
      </c>
      <c r="H31" s="13">
        <f t="shared" si="4"/>
        <v>3113.8899999999994</v>
      </c>
      <c r="I31" s="13">
        <f t="shared" si="4"/>
        <v>1963.6799999999996</v>
      </c>
      <c r="J31" s="13">
        <f t="shared" si="4"/>
        <v>534.1099999999999</v>
      </c>
      <c r="K31" s="13">
        <f t="shared" si="4"/>
        <v>2418.4733333333338</v>
      </c>
      <c r="L31" s="13">
        <f t="shared" si="4"/>
        <v>2418.4733333333338</v>
      </c>
      <c r="M31" s="13">
        <f t="shared" si="4"/>
        <v>2418.4733333333338</v>
      </c>
      <c r="N31" s="13">
        <f t="shared" si="4"/>
        <v>2418.4733333333338</v>
      </c>
      <c r="O31" s="13">
        <f t="shared" si="4"/>
        <v>2418.4733333333338</v>
      </c>
      <c r="P31" s="13">
        <f t="shared" si="1"/>
        <v>29474.066666666677</v>
      </c>
    </row>
    <row r="32" spans="3:16">
      <c r="C32" s="19"/>
      <c r="D32" s="20"/>
      <c r="E32" s="20"/>
      <c r="F32" s="20"/>
      <c r="G32" s="20"/>
      <c r="H32" s="20"/>
      <c r="I32" s="20"/>
      <c r="J32" s="20"/>
      <c r="K32" s="20"/>
      <c r="L32" s="20"/>
      <c r="M32" s="20"/>
      <c r="N32" s="20"/>
      <c r="O32" s="20"/>
      <c r="P32" s="20">
        <f t="shared" si="1"/>
        <v>0</v>
      </c>
    </row>
    <row r="33" spans="3:16">
      <c r="C33" s="16" t="s">
        <v>7153</v>
      </c>
      <c r="D33" s="17">
        <f t="shared" ref="D33:O33" si="5">SUM(D31,D22,D16)</f>
        <v>12366.869999999999</v>
      </c>
      <c r="E33" s="17">
        <f t="shared" si="5"/>
        <v>13955.119999999999</v>
      </c>
      <c r="F33" s="17">
        <f t="shared" si="5"/>
        <v>12806.699999999999</v>
      </c>
      <c r="G33" s="17">
        <f t="shared" si="5"/>
        <v>11343.679999999998</v>
      </c>
      <c r="H33" s="17">
        <f t="shared" si="5"/>
        <v>10761.349999999999</v>
      </c>
      <c r="I33" s="17">
        <f t="shared" si="5"/>
        <v>13167.38</v>
      </c>
      <c r="J33" s="17">
        <f t="shared" si="5"/>
        <v>11878.29</v>
      </c>
      <c r="K33" s="17">
        <f t="shared" si="5"/>
        <v>12005.076666666668</v>
      </c>
      <c r="L33" s="17">
        <f t="shared" si="5"/>
        <v>10792.61</v>
      </c>
      <c r="M33" s="17">
        <f t="shared" si="5"/>
        <v>10792.61</v>
      </c>
      <c r="N33" s="17">
        <f t="shared" si="5"/>
        <v>10792.61</v>
      </c>
      <c r="O33" s="17">
        <f t="shared" si="5"/>
        <v>10792.61</v>
      </c>
      <c r="P33" s="17">
        <f>SUM(D33:O33)</f>
        <v>141454.90666666665</v>
      </c>
    </row>
    <row r="34" spans="3:16">
      <c r="D34" s="13"/>
      <c r="E34" s="13"/>
      <c r="F34" s="13"/>
      <c r="G34" s="13"/>
      <c r="H34" s="13"/>
      <c r="I34" s="13"/>
      <c r="J34" s="13"/>
      <c r="K34" s="13"/>
      <c r="L34" s="13"/>
      <c r="M34" s="13"/>
      <c r="N34" s="13"/>
      <c r="O34" s="13"/>
      <c r="P34" s="13"/>
    </row>
    <row r="35" spans="3:16">
      <c r="C35" t="s">
        <v>48</v>
      </c>
      <c r="D35" s="13">
        <f>SUMIFS(Actuals!$E:$E,Actuals!$F:$F,'Proj 7.22'!$C35,Actuals!$A:$A,'Proj 7.22'!D$1)</f>
        <v>555.18000000000006</v>
      </c>
      <c r="E35" s="13">
        <f>SUMIFS(Actuals!$E:$E,Actuals!$F:$F,'Proj 7.22'!$C35,Actuals!$A:$A,'Proj 7.22'!E$1)</f>
        <v>246.17000000000002</v>
      </c>
      <c r="F35" s="13">
        <f>SUMIFS(Actuals!$E:$E,Actuals!$F:$F,'Proj 7.22'!$C35,Actuals!$A:$A,'Proj 7.22'!F$1)</f>
        <v>227.94</v>
      </c>
      <c r="G35" s="13">
        <f>SUMIFS(Actuals!$E:$E,Actuals!$F:$F,'Proj 7.22'!$C35,Actuals!$A:$A,'Proj 7.22'!G$1)</f>
        <v>0</v>
      </c>
      <c r="H35" s="13">
        <f>SUMIFS(Actuals!$E:$E,Actuals!$F:$F,'Proj 7.22'!$C35,Actuals!$A:$A,'Proj 7.22'!H$1)</f>
        <v>253.53</v>
      </c>
      <c r="I35" s="13">
        <f>SUMIFS(Actuals!$E:$E,Actuals!$F:$F,'Proj 7.22'!$C35,Actuals!$A:$A,'Proj 7.22'!I$1)</f>
        <v>-14.1</v>
      </c>
      <c r="J35" s="13">
        <f>SUMIFS(Actuals!$E:$E,Actuals!$F:$F,'Proj 7.22'!$C35,Actuals!$A:$A,'Proj 7.22'!J$1)</f>
        <v>124.06</v>
      </c>
      <c r="K35" s="40">
        <f>SUMIFS(Actuals!$E:$E,Actuals!$F:$F,'Proj 7.22'!$C35,Actuals!$A:$A,'Proj 7.22'!K$1)</f>
        <v>0</v>
      </c>
      <c r="L35" s="40">
        <f>SUMIFS(Actuals!$E:$E,Actuals!$F:$F,'Proj 7.22'!$C35,Actuals!$A:$A,'Proj 7.22'!L$1)</f>
        <v>-12.49</v>
      </c>
      <c r="M35" s="40">
        <f>SUMIFS(Actuals!$E:$E,Actuals!$F:$F,'Proj 7.22'!$C35,Actuals!$A:$A,'Proj 7.22'!M$1)</f>
        <v>856.21</v>
      </c>
      <c r="N35" s="40">
        <f>SUMIFS(Actuals!$E:$E,Actuals!$F:$F,'Proj 7.22'!$C35,Actuals!$A:$A,'Proj 7.22'!N$1)</f>
        <v>425.81</v>
      </c>
      <c r="O35" s="40">
        <f>SUMIFS(Actuals!$E:$E,Actuals!$F:$F,'Proj 7.22'!$C35,Actuals!$A:$A,'Proj 7.22'!O$1)</f>
        <v>1285.7</v>
      </c>
      <c r="P35" s="13">
        <f t="shared" ref="P35:P37" si="6">SUM(D35:O35)</f>
        <v>3948.01</v>
      </c>
    </row>
    <row r="36" spans="3:16">
      <c r="C36" t="s">
        <v>50</v>
      </c>
      <c r="D36" s="13">
        <f>SUMIFS(Actuals!$E:$E,Actuals!$F:$F,'Proj 7.22'!$C36,Actuals!$A:$A,'Proj 7.22'!D$1)</f>
        <v>30245.75</v>
      </c>
      <c r="E36" s="13">
        <f>SUMIFS(Actuals!$E:$E,Actuals!$F:$F,'Proj 7.22'!$C36,Actuals!$A:$A,'Proj 7.22'!E$1)</f>
        <v>8816.9699999999993</v>
      </c>
      <c r="F36" s="13">
        <f>SUMIFS(Actuals!$E:$E,Actuals!$F:$F,'Proj 7.22'!$C36,Actuals!$A:$A,'Proj 7.22'!F$1)</f>
        <v>24509</v>
      </c>
      <c r="G36" s="13">
        <f>SUMIFS(Actuals!$E:$E,Actuals!$F:$F,'Proj 7.22'!$C36,Actuals!$A:$A,'Proj 7.22'!G$1)</f>
        <v>18027</v>
      </c>
      <c r="H36" s="13">
        <f>SUMIFS(Actuals!$E:$E,Actuals!$F:$F,'Proj 7.22'!$C36,Actuals!$A:$A,'Proj 7.22'!H$1)</f>
        <v>5053.1100000000006</v>
      </c>
      <c r="I36" s="13">
        <f>SUMIFS(Actuals!$E:$E,Actuals!$F:$F,'Proj 7.22'!$C36,Actuals!$A:$A,'Proj 7.22'!I$1)</f>
        <v>43385.5</v>
      </c>
      <c r="J36" s="13">
        <f>SUMIFS(Actuals!$E:$E,Actuals!$F:$F,'Proj 7.22'!$C36,Actuals!$A:$A,'Proj 7.22'!J$1)</f>
        <v>48339</v>
      </c>
      <c r="K36" s="40">
        <f>SUMIFS(Actuals!$E:$E,Actuals!$F:$F,'Proj 7.22'!$C36,Actuals!$A:$A,'Proj 7.22'!K$1)</f>
        <v>52</v>
      </c>
      <c r="L36" s="40">
        <f>SUMIFS(Actuals!$E:$E,Actuals!$F:$F,'Proj 7.22'!$C36,Actuals!$A:$A,'Proj 7.22'!L$1)</f>
        <v>43385.5</v>
      </c>
      <c r="M36" s="40">
        <f>SUMIFS(Actuals!$E:$E,Actuals!$F:$F,'Proj 7.22'!$C36,Actuals!$A:$A,'Proj 7.22'!M$1)</f>
        <v>43985.5</v>
      </c>
      <c r="N36" s="40">
        <f>SUMIFS(Actuals!$E:$E,Actuals!$F:$F,'Proj 7.22'!$C36,Actuals!$A:$A,'Proj 7.22'!N$1)</f>
        <v>0</v>
      </c>
      <c r="O36" s="40">
        <f>SUMIFS(Actuals!$E:$E,Actuals!$F:$F,'Proj 7.22'!$C36,Actuals!$A:$A,'Proj 7.22'!O$1)</f>
        <v>0</v>
      </c>
      <c r="P36" s="13">
        <f t="shared" si="6"/>
        <v>265799.33</v>
      </c>
    </row>
    <row r="37" spans="3:16">
      <c r="C37" s="14" t="s">
        <v>43</v>
      </c>
      <c r="D37" s="15">
        <f>SUMIFS(Actuals!$E:$E,Actuals!$F:$F,'Proj 7.22'!$C37,Actuals!$A:$A,'Proj 7.22'!D$1)</f>
        <v>2336.15</v>
      </c>
      <c r="E37" s="15">
        <f>SUMIFS(Actuals!$E:$E,Actuals!$F:$F,'Proj 7.22'!$C37,Actuals!$A:$A,'Proj 7.22'!E$1)</f>
        <v>213.11</v>
      </c>
      <c r="F37" s="15">
        <f>SUMIFS(Actuals!$E:$E,Actuals!$F:$F,'Proj 7.22'!$C37,Actuals!$A:$A,'Proj 7.22'!F$1)</f>
        <v>908.1</v>
      </c>
      <c r="G37" s="15">
        <f>SUMIFS(Actuals!$E:$E,Actuals!$F:$F,'Proj 7.22'!$C37,Actuals!$A:$A,'Proj 7.22'!G$1)</f>
        <v>513.21</v>
      </c>
      <c r="H37" s="15">
        <f>SUMIFS(Actuals!$E:$E,Actuals!$F:$F,'Proj 7.22'!$C37,Actuals!$A:$A,'Proj 7.22'!H$1)</f>
        <v>997.66000000000008</v>
      </c>
      <c r="I37" s="15">
        <f>SUMIFS(Actuals!$E:$E,Actuals!$F:$F,'Proj 7.22'!$C37,Actuals!$A:$A,'Proj 7.22'!I$1)</f>
        <v>468.68999999999988</v>
      </c>
      <c r="J37" s="15">
        <f>SUMIFS(Actuals!$E:$E,Actuals!$F:$F,'Proj 7.22'!$C37,Actuals!$A:$A,'Proj 7.22'!J$1)</f>
        <v>744.33</v>
      </c>
      <c r="K37" s="41">
        <v>2000</v>
      </c>
      <c r="L37" s="41">
        <f>SUMIFS(Actuals!$E:$E,Actuals!$F:$F,'Proj 7.22'!$C37,Actuals!$A:$A,'Proj 7.22'!L$1)</f>
        <v>862.4</v>
      </c>
      <c r="M37" s="41">
        <f>SUMIFS(Actuals!$E:$E,Actuals!$F:$F,'Proj 7.22'!$C37,Actuals!$A:$A,'Proj 7.22'!M$1)</f>
        <v>4330.6899999999996</v>
      </c>
      <c r="N37" s="41">
        <v>1000</v>
      </c>
      <c r="O37" s="41">
        <f>SUMIFS(Actuals!$E:$E,Actuals!$F:$F,'Proj 7.22'!$C37,Actuals!$A:$A,'Proj 7.22'!O$1)</f>
        <v>1788.3400000000001</v>
      </c>
      <c r="P37" s="15">
        <f t="shared" si="6"/>
        <v>16162.68</v>
      </c>
    </row>
    <row r="38" spans="3:16">
      <c r="C38" s="16" t="s">
        <v>7265</v>
      </c>
      <c r="D38" s="13">
        <f>SUM(D35:D37)</f>
        <v>33137.08</v>
      </c>
      <c r="E38" s="13">
        <f t="shared" ref="E38:O38" si="7">SUM(E35:E37)</f>
        <v>9276.25</v>
      </c>
      <c r="F38" s="13">
        <f t="shared" si="7"/>
        <v>25645.039999999997</v>
      </c>
      <c r="G38" s="13">
        <f t="shared" si="7"/>
        <v>18540.21</v>
      </c>
      <c r="H38" s="13">
        <f t="shared" si="7"/>
        <v>6304.3</v>
      </c>
      <c r="I38" s="13">
        <f t="shared" si="7"/>
        <v>43840.090000000004</v>
      </c>
      <c r="J38" s="13">
        <f t="shared" si="7"/>
        <v>49207.39</v>
      </c>
      <c r="K38" s="13">
        <f t="shared" si="7"/>
        <v>2052</v>
      </c>
      <c r="L38" s="13">
        <f t="shared" si="7"/>
        <v>44235.41</v>
      </c>
      <c r="M38" s="13">
        <f t="shared" si="7"/>
        <v>49172.4</v>
      </c>
      <c r="N38" s="13">
        <f t="shared" si="7"/>
        <v>1425.81</v>
      </c>
      <c r="O38" s="13">
        <f t="shared" si="7"/>
        <v>3074.04</v>
      </c>
      <c r="P38" s="13">
        <f>SUM(P35:P37)</f>
        <v>285910.02</v>
      </c>
    </row>
    <row r="39" spans="3:16">
      <c r="C39" s="16"/>
      <c r="D39" s="13"/>
      <c r="E39" s="13"/>
      <c r="F39" s="13"/>
      <c r="G39" s="13"/>
      <c r="H39" s="13"/>
      <c r="I39" s="13"/>
      <c r="J39" s="13"/>
      <c r="K39" s="13"/>
      <c r="L39" s="13"/>
      <c r="M39" s="13"/>
      <c r="N39" s="13"/>
      <c r="O39" s="13"/>
      <c r="P39" s="13"/>
    </row>
    <row r="40" spans="3:16">
      <c r="C40" s="16"/>
      <c r="D40" s="13"/>
      <c r="E40" s="13"/>
      <c r="F40" s="13"/>
      <c r="G40" s="13"/>
      <c r="H40" s="13"/>
      <c r="I40" s="13"/>
      <c r="J40" s="13"/>
      <c r="K40" s="13"/>
      <c r="L40" s="13"/>
      <c r="M40" s="13"/>
      <c r="N40" s="13"/>
      <c r="O40" s="13"/>
      <c r="P40" s="13"/>
    </row>
    <row r="41" spans="3:16">
      <c r="C41" s="16"/>
      <c r="D41" s="13"/>
      <c r="E41" s="13"/>
      <c r="F41" s="13"/>
      <c r="G41" s="13"/>
      <c r="H41" s="13"/>
      <c r="I41" s="13"/>
      <c r="J41" s="13"/>
      <c r="K41" s="13"/>
      <c r="L41" s="13"/>
      <c r="M41" s="13"/>
      <c r="N41" s="13"/>
      <c r="O41" s="13"/>
      <c r="P41" s="13"/>
    </row>
    <row r="42" spans="3:16">
      <c r="C42" s="16"/>
      <c r="D42" s="13"/>
      <c r="E42" s="13"/>
      <c r="F42" s="13"/>
      <c r="G42" s="13"/>
      <c r="H42" s="13"/>
      <c r="I42" s="13"/>
      <c r="J42" s="13"/>
      <c r="K42" s="13"/>
      <c r="L42" s="13"/>
      <c r="M42" s="13"/>
      <c r="N42" s="13"/>
      <c r="O42" s="13"/>
      <c r="P42" s="13"/>
    </row>
    <row r="43" spans="3:16">
      <c r="C43" s="28"/>
      <c r="D43" s="21"/>
      <c r="E43" s="21"/>
      <c r="F43" s="21"/>
      <c r="G43" s="21"/>
      <c r="H43" s="21"/>
      <c r="I43" s="21"/>
      <c r="J43" s="21"/>
      <c r="K43" s="21"/>
      <c r="L43" s="21"/>
      <c r="M43" s="21"/>
      <c r="N43" s="21"/>
      <c r="O43" s="21"/>
      <c r="P43" s="21"/>
    </row>
    <row r="44" spans="3:16">
      <c r="C44" s="16" t="s">
        <v>7271</v>
      </c>
      <c r="D44" s="13">
        <f>SUM(D40:D43)</f>
        <v>0</v>
      </c>
      <c r="E44" s="13">
        <f t="shared" ref="E44:O44" si="8">SUM(E40:E43)</f>
        <v>0</v>
      </c>
      <c r="F44" s="13">
        <f t="shared" si="8"/>
        <v>0</v>
      </c>
      <c r="G44" s="13">
        <f t="shared" si="8"/>
        <v>0</v>
      </c>
      <c r="H44" s="13">
        <f t="shared" si="8"/>
        <v>0</v>
      </c>
      <c r="I44" s="13">
        <f t="shared" si="8"/>
        <v>0</v>
      </c>
      <c r="J44" s="13">
        <f t="shared" si="8"/>
        <v>0</v>
      </c>
      <c r="K44" s="13">
        <f t="shared" si="8"/>
        <v>0</v>
      </c>
      <c r="L44" s="13">
        <f t="shared" si="8"/>
        <v>0</v>
      </c>
      <c r="M44" s="13">
        <f t="shared" si="8"/>
        <v>0</v>
      </c>
      <c r="N44" s="13">
        <f t="shared" si="8"/>
        <v>0</v>
      </c>
      <c r="O44" s="13">
        <f t="shared" si="8"/>
        <v>0</v>
      </c>
      <c r="P44" s="17">
        <f>SUM(D44:O44)</f>
        <v>0</v>
      </c>
    </row>
    <row r="45" spans="3:16">
      <c r="C45" s="19"/>
      <c r="D45" s="20"/>
      <c r="E45" s="20"/>
      <c r="F45" s="20"/>
      <c r="G45" s="20"/>
      <c r="H45" s="20"/>
      <c r="I45" s="20"/>
      <c r="J45" s="20"/>
      <c r="K45" s="20"/>
      <c r="L45" s="20"/>
      <c r="M45" s="20"/>
      <c r="N45" s="20"/>
      <c r="O45" s="20"/>
      <c r="P45" s="20"/>
    </row>
    <row r="46" spans="3:16">
      <c r="C46" s="16" t="s">
        <v>7266</v>
      </c>
      <c r="D46" s="17">
        <f t="shared" ref="D46:O46" si="9">SUM(D38,D33)</f>
        <v>45503.95</v>
      </c>
      <c r="E46" s="17">
        <f t="shared" si="9"/>
        <v>23231.37</v>
      </c>
      <c r="F46" s="17">
        <f t="shared" si="9"/>
        <v>38451.74</v>
      </c>
      <c r="G46" s="17">
        <f t="shared" si="9"/>
        <v>29883.89</v>
      </c>
      <c r="H46" s="17">
        <f t="shared" si="9"/>
        <v>17065.649999999998</v>
      </c>
      <c r="I46" s="17">
        <f t="shared" si="9"/>
        <v>57007.47</v>
      </c>
      <c r="J46" s="17">
        <f t="shared" si="9"/>
        <v>61085.68</v>
      </c>
      <c r="K46" s="17">
        <f t="shared" si="9"/>
        <v>14057.076666666668</v>
      </c>
      <c r="L46" s="17">
        <f t="shared" si="9"/>
        <v>55028.020000000004</v>
      </c>
      <c r="M46" s="17">
        <f t="shared" si="9"/>
        <v>59965.01</v>
      </c>
      <c r="N46" s="17">
        <f t="shared" si="9"/>
        <v>12218.42</v>
      </c>
      <c r="O46" s="17">
        <f t="shared" si="9"/>
        <v>13866.650000000001</v>
      </c>
      <c r="P46" s="17">
        <f>SUM(P38,P33,P44)</f>
        <v>427364.92666666664</v>
      </c>
    </row>
  </sheetData>
  <pageMargins left="0.7" right="0.7" top="0.75" bottom="0.75" header="0.3" footer="0.3"/>
  <pageSetup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81B0-59A9-40DB-B7D1-55175A8D2B2A}">
  <sheetPr>
    <pageSetUpPr fitToPage="1"/>
  </sheetPr>
  <dimension ref="C1:P46"/>
  <sheetViews>
    <sheetView topLeftCell="B6" workbookViewId="0">
      <pane xSplit="2" ySplit="3" topLeftCell="H16" activePane="bottomRight" state="frozen"/>
      <selection pane="topRight"/>
      <selection pane="bottomLeft"/>
      <selection pane="bottomRight"/>
    </sheetView>
  </sheetViews>
  <sheetFormatPr defaultRowHeight="15"/>
  <cols>
    <col min="2" max="2" width="5.28515625" customWidth="1"/>
    <col min="3" max="3" width="25" customWidth="1"/>
    <col min="4" max="15" width="10.28515625" customWidth="1"/>
  </cols>
  <sheetData>
    <row r="1" spans="3:16">
      <c r="D1">
        <f>VALUE('1 MO'!$C$3&amp;"01")</f>
        <v>202501</v>
      </c>
      <c r="E1">
        <f>VALUE('1 MO'!$C$3&amp;"02")</f>
        <v>202502</v>
      </c>
      <c r="F1">
        <f>VALUE('1 MO'!$C$3&amp;"03")</f>
        <v>202503</v>
      </c>
      <c r="G1">
        <f>VALUE('1 MO'!$C$3&amp;"04")</f>
        <v>202504</v>
      </c>
      <c r="H1">
        <f>VALUE('1 MO'!$C$3&amp;"05")</f>
        <v>202505</v>
      </c>
      <c r="I1">
        <f>VALUE('1 MO'!$C$3&amp;"06")</f>
        <v>202506</v>
      </c>
      <c r="J1">
        <f>VALUE('1 MO'!$C$3&amp;"07")</f>
        <v>202507</v>
      </c>
      <c r="K1">
        <f>VALUE('1 MO'!$C$3&amp;"08")</f>
        <v>202508</v>
      </c>
      <c r="L1">
        <f>VALUE('1 MO'!$C$3&amp;"09")</f>
        <v>202509</v>
      </c>
      <c r="M1">
        <f>VALUE('1 MO'!$C$3&amp;"10")</f>
        <v>202510</v>
      </c>
      <c r="N1">
        <f>VALUE('1 MO'!$C$3&amp;"11")</f>
        <v>202511</v>
      </c>
      <c r="O1">
        <f>VALUE('1 MO'!$C$3&amp;"12")</f>
        <v>202512</v>
      </c>
    </row>
    <row r="2" spans="3:16">
      <c r="D2" s="6"/>
    </row>
    <row r="6" spans="3:16" ht="23.25">
      <c r="C6" s="29" t="s">
        <v>7306</v>
      </c>
    </row>
    <row r="7" spans="3:16">
      <c r="C7" s="9"/>
      <c r="D7" s="10" t="str">
        <f>TEXT(DATE(LEFT(D1,4),RIGHT(D1,2),1),"MMM YYYY")</f>
        <v>Jan 2025</v>
      </c>
      <c r="E7" s="10" t="str">
        <f t="shared" ref="E7:O7" si="0">TEXT(DATE(LEFT(E1,4),RIGHT(E1,2),1),"MMM YYYY")</f>
        <v>Feb 2025</v>
      </c>
      <c r="F7" s="10" t="str">
        <f t="shared" si="0"/>
        <v>Mar 2025</v>
      </c>
      <c r="G7" s="10" t="str">
        <f t="shared" si="0"/>
        <v>Apr 2025</v>
      </c>
      <c r="H7" s="10" t="str">
        <f t="shared" si="0"/>
        <v>May 2025</v>
      </c>
      <c r="I7" s="10" t="str">
        <f t="shared" si="0"/>
        <v>Jun 2025</v>
      </c>
      <c r="J7" s="27" t="str">
        <f t="shared" si="0"/>
        <v>Jul 2025</v>
      </c>
      <c r="K7" s="27" t="str">
        <f t="shared" si="0"/>
        <v>Aug 2025</v>
      </c>
      <c r="L7" s="27" t="str">
        <f t="shared" si="0"/>
        <v>Sep 2025</v>
      </c>
      <c r="M7" s="27" t="str">
        <f t="shared" si="0"/>
        <v>Oct 2025</v>
      </c>
      <c r="N7" s="27" t="str">
        <f t="shared" si="0"/>
        <v>Nov 2025</v>
      </c>
      <c r="O7" s="27" t="str">
        <f t="shared" si="0"/>
        <v>Dec 2025</v>
      </c>
      <c r="P7" s="10" t="s">
        <v>7153</v>
      </c>
    </row>
    <row r="8" spans="3:16" ht="3" customHeight="1">
      <c r="C8" s="22"/>
      <c r="D8" s="23"/>
      <c r="E8" s="23"/>
      <c r="F8" s="23"/>
      <c r="G8" s="23"/>
      <c r="H8" s="23"/>
      <c r="I8" s="23"/>
      <c r="J8" s="23"/>
      <c r="K8" s="23"/>
      <c r="L8" s="23"/>
      <c r="M8" s="23"/>
      <c r="N8" s="23"/>
      <c r="O8" s="23"/>
      <c r="P8" s="23"/>
    </row>
    <row r="9" spans="3:16">
      <c r="C9" t="s">
        <v>5</v>
      </c>
      <c r="D9" s="40">
        <v>1816</v>
      </c>
      <c r="E9" s="40">
        <v>1816</v>
      </c>
      <c r="F9" s="40">
        <v>1816</v>
      </c>
      <c r="G9" s="40">
        <v>1816</v>
      </c>
      <c r="H9" s="40">
        <v>1816</v>
      </c>
      <c r="I9" s="40">
        <v>1816</v>
      </c>
      <c r="J9" s="40">
        <v>1816</v>
      </c>
      <c r="K9" s="40">
        <v>1816</v>
      </c>
      <c r="L9" s="40">
        <v>1816</v>
      </c>
      <c r="M9" s="40">
        <v>1816</v>
      </c>
      <c r="N9" s="40">
        <v>1816</v>
      </c>
      <c r="O9" s="40">
        <v>1816</v>
      </c>
      <c r="P9" s="13">
        <f>SUM(D9:O9)</f>
        <v>21792</v>
      </c>
    </row>
    <row r="10" spans="3:16">
      <c r="C10" t="s">
        <v>2</v>
      </c>
      <c r="D10" s="13">
        <f>SUMIFS(Actuals!$E:$E,Actuals!$F:$F,'Proj 6.22'!$C10,Actuals!$A:$A,'Proj 6.22'!D$1)</f>
        <v>158.51</v>
      </c>
      <c r="E10" s="13">
        <f>SUMIFS(Actuals!$E:$E,Actuals!$F:$F,'Proj 6.22'!$C10,Actuals!$A:$A,'Proj 6.22'!E$1)</f>
        <v>72.41</v>
      </c>
      <c r="F10" s="13">
        <f>SUMIFS(Actuals!$E:$E,Actuals!$F:$F,'Proj 6.22'!$C10,Actuals!$A:$A,'Proj 6.22'!F$1)</f>
        <v>432.06</v>
      </c>
      <c r="G10" s="13">
        <f>SUMIFS(Actuals!$E:$E,Actuals!$F:$F,'Proj 6.22'!$C10,Actuals!$A:$A,'Proj 6.22'!G$1)</f>
        <v>532.5200000000001</v>
      </c>
      <c r="H10" s="13">
        <f>SUMIFS(Actuals!$E:$E,Actuals!$F:$F,'Proj 6.22'!$C10,Actuals!$A:$A,'Proj 6.22'!H$1)</f>
        <v>296.67999999999995</v>
      </c>
      <c r="I10" s="13">
        <f>SUMIFS(Actuals!$E:$E,Actuals!$F:$F,'Proj 6.22'!$C10,Actuals!$A:$A,'Proj 6.22'!I$1)</f>
        <v>719.2600000000001</v>
      </c>
      <c r="J10" s="40">
        <v>433.32333333333332</v>
      </c>
      <c r="K10" s="40">
        <v>433.32333333333332</v>
      </c>
      <c r="L10" s="40">
        <v>433.32333333333332</v>
      </c>
      <c r="M10" s="40">
        <v>433.32333333333332</v>
      </c>
      <c r="N10" s="40">
        <v>433.32333333333332</v>
      </c>
      <c r="O10" s="40">
        <v>433.32333333333332</v>
      </c>
      <c r="P10" s="13">
        <f t="shared" ref="P10:P32" si="1">SUM(D10:O10)</f>
        <v>4811.38</v>
      </c>
    </row>
    <row r="11" spans="3:16">
      <c r="C11" t="s">
        <v>7</v>
      </c>
      <c r="D11" s="13">
        <f>SUMIFS(Actuals!$E:$E,Actuals!$F:$F,'Proj 6.22'!$C11,Actuals!$A:$A,'Proj 6.22'!D$1)</f>
        <v>512.23</v>
      </c>
      <c r="E11" s="13">
        <f>SUMIFS(Actuals!$E:$E,Actuals!$F:$F,'Proj 6.22'!$C11,Actuals!$A:$A,'Proj 6.22'!E$1)</f>
        <v>1454.37</v>
      </c>
      <c r="F11" s="13">
        <f>SUMIFS(Actuals!$E:$E,Actuals!$F:$F,'Proj 6.22'!$C11,Actuals!$A:$A,'Proj 6.22'!F$1)</f>
        <v>404.5200000000001</v>
      </c>
      <c r="G11" s="13">
        <f>SUMIFS(Actuals!$E:$E,Actuals!$F:$F,'Proj 6.22'!$C11,Actuals!$A:$A,'Proj 6.22'!G$1)</f>
        <v>507.12000000000006</v>
      </c>
      <c r="H11" s="13">
        <f>SUMIFS(Actuals!$E:$E,Actuals!$F:$F,'Proj 6.22'!$C11,Actuals!$A:$A,'Proj 6.22'!H$1)</f>
        <v>726.93</v>
      </c>
      <c r="I11" s="13">
        <f>SUMIFS(Actuals!$E:$E,Actuals!$F:$F,'Proj 6.22'!$C11,Actuals!$A:$A,'Proj 6.22'!I$1)</f>
        <v>2595.9299999999994</v>
      </c>
      <c r="J11" s="40">
        <v>615.33000000000004</v>
      </c>
      <c r="K11" s="40">
        <v>615.33000000000004</v>
      </c>
      <c r="L11" s="40">
        <v>615.33000000000004</v>
      </c>
      <c r="M11" s="40">
        <v>615.33000000000004</v>
      </c>
      <c r="N11" s="40">
        <v>615.33000000000004</v>
      </c>
      <c r="O11" s="40">
        <v>615.33000000000004</v>
      </c>
      <c r="P11" s="13">
        <f t="shared" si="1"/>
        <v>9893.0799999999981</v>
      </c>
    </row>
    <row r="12" spans="3:16">
      <c r="C12" t="s">
        <v>11</v>
      </c>
      <c r="D12" s="13">
        <f>SUMIFS(Actuals!$E:$E,Actuals!$F:$F,'Proj 6.22'!$C12,Actuals!$A:$A,'Proj 6.22'!D$1)</f>
        <v>0</v>
      </c>
      <c r="E12" s="13">
        <f>SUMIFS(Actuals!$E:$E,Actuals!$F:$F,'Proj 6.22'!$C12,Actuals!$A:$A,'Proj 6.22'!E$1)</f>
        <v>0</v>
      </c>
      <c r="F12" s="13">
        <f>SUMIFS(Actuals!$E:$E,Actuals!$F:$F,'Proj 6.22'!$C12,Actuals!$A:$A,'Proj 6.22'!F$1)</f>
        <v>0</v>
      </c>
      <c r="G12" s="13">
        <f>SUMIFS(Actuals!$E:$E,Actuals!$F:$F,'Proj 6.22'!$C12,Actuals!$A:$A,'Proj 6.22'!G$1)</f>
        <v>0</v>
      </c>
      <c r="H12" s="13">
        <f>SUMIFS(Actuals!$E:$E,Actuals!$F:$F,'Proj 6.22'!$C12,Actuals!$A:$A,'Proj 6.22'!H$1)</f>
        <v>0</v>
      </c>
      <c r="I12" s="13">
        <f>SUMIFS(Actuals!$E:$E,Actuals!$F:$F,'Proj 6.22'!$C12,Actuals!$A:$A,'Proj 6.22'!I$1)</f>
        <v>0</v>
      </c>
      <c r="J12" s="40">
        <v>585.31666666666661</v>
      </c>
      <c r="K12" s="40">
        <v>585.31666666666661</v>
      </c>
      <c r="L12" s="40">
        <v>585.31666666666661</v>
      </c>
      <c r="M12" s="40">
        <v>585.31666666666661</v>
      </c>
      <c r="N12" s="40">
        <v>585.31666666666661</v>
      </c>
      <c r="O12" s="40">
        <v>585.31666666666661</v>
      </c>
      <c r="P12" s="13">
        <f t="shared" si="1"/>
        <v>3511.8999999999996</v>
      </c>
    </row>
    <row r="13" spans="3:16">
      <c r="C13" t="s">
        <v>14</v>
      </c>
      <c r="D13" s="13">
        <f>SUMIFS(Actuals!$E:$E,Actuals!$F:$F,'Proj 6.22'!$C13,Actuals!$A:$A,'Proj 6.22'!D$1)</f>
        <v>0</v>
      </c>
      <c r="E13" s="13">
        <f>SUMIFS(Actuals!$E:$E,Actuals!$F:$F,'Proj 6.22'!$C13,Actuals!$A:$A,'Proj 6.22'!E$1)</f>
        <v>0</v>
      </c>
      <c r="F13" s="13">
        <f>SUMIFS(Actuals!$E:$E,Actuals!$F:$F,'Proj 6.22'!$C13,Actuals!$A:$A,'Proj 6.22'!F$1)</f>
        <v>0</v>
      </c>
      <c r="G13" s="13">
        <f>SUMIFS(Actuals!$E:$E,Actuals!$F:$F,'Proj 6.22'!$C13,Actuals!$A:$A,'Proj 6.22'!G$1)</f>
        <v>0</v>
      </c>
      <c r="H13" s="13">
        <f>SUMIFS(Actuals!$E:$E,Actuals!$F:$F,'Proj 6.22'!$C13,Actuals!$A:$A,'Proj 6.22'!H$1)</f>
        <v>0</v>
      </c>
      <c r="I13" s="13">
        <f>SUMIFS(Actuals!$E:$E,Actuals!$F:$F,'Proj 6.22'!$C13,Actuals!$A:$A,'Proj 6.22'!I$1)</f>
        <v>0</v>
      </c>
      <c r="J13" s="40">
        <v>250</v>
      </c>
      <c r="K13" s="40">
        <v>250</v>
      </c>
      <c r="L13" s="40">
        <v>250</v>
      </c>
      <c r="M13" s="40">
        <v>250</v>
      </c>
      <c r="N13" s="40">
        <v>250</v>
      </c>
      <c r="O13" s="40">
        <v>250</v>
      </c>
      <c r="P13" s="13">
        <f t="shared" si="1"/>
        <v>1500</v>
      </c>
    </row>
    <row r="14" spans="3:16">
      <c r="C14" t="s">
        <v>18</v>
      </c>
      <c r="D14" s="13">
        <f>SUMIFS(Actuals!$E:$E,Actuals!$F:$F,'Proj 6.22'!$C14,Actuals!$A:$A,'Proj 6.22'!D$1)</f>
        <v>163.66</v>
      </c>
      <c r="E14" s="13">
        <f>SUMIFS(Actuals!$E:$E,Actuals!$F:$F,'Proj 6.22'!$C14,Actuals!$A:$A,'Proj 6.22'!E$1)</f>
        <v>163.66</v>
      </c>
      <c r="F14" s="13">
        <f>SUMIFS(Actuals!$E:$E,Actuals!$F:$F,'Proj 6.22'!$C14,Actuals!$A:$A,'Proj 6.22'!F$1)</f>
        <v>158.66</v>
      </c>
      <c r="G14" s="13">
        <f>SUMIFS(Actuals!$E:$E,Actuals!$F:$F,'Proj 6.22'!$C14,Actuals!$A:$A,'Proj 6.22'!G$1)</f>
        <v>165.12</v>
      </c>
      <c r="H14" s="13">
        <f>SUMIFS(Actuals!$E:$E,Actuals!$F:$F,'Proj 6.22'!$C14,Actuals!$A:$A,'Proj 6.22'!H$1)</f>
        <v>165.07999999999998</v>
      </c>
      <c r="I14" s="13">
        <f>SUMIFS(Actuals!$E:$E,Actuals!$F:$F,'Proj 6.22'!$C14,Actuals!$A:$A,'Proj 6.22'!I$1)</f>
        <v>54.33</v>
      </c>
      <c r="J14" s="40">
        <v>102.48666666666666</v>
      </c>
      <c r="K14" s="40">
        <v>102.48666666666666</v>
      </c>
      <c r="L14" s="40">
        <v>102.48666666666666</v>
      </c>
      <c r="M14" s="40">
        <v>102.48666666666666</v>
      </c>
      <c r="N14" s="40">
        <v>102.48666666666666</v>
      </c>
      <c r="O14" s="40">
        <v>102.48666666666666</v>
      </c>
      <c r="P14" s="13">
        <f t="shared" si="1"/>
        <v>1485.43</v>
      </c>
    </row>
    <row r="15" spans="3:16">
      <c r="C15" s="14" t="s">
        <v>20</v>
      </c>
      <c r="D15" s="15">
        <f>SUMIFS(Actuals!$E:$E,Actuals!$F:$F,'Proj 6.22'!$C15,Actuals!$A:$A,'Proj 6.22'!D$1)</f>
        <v>4201.12</v>
      </c>
      <c r="E15" s="15">
        <f>SUMIFS(Actuals!$E:$E,Actuals!$F:$F,'Proj 6.22'!$C15,Actuals!$A:$A,'Proj 6.22'!E$1)</f>
        <v>2625.59</v>
      </c>
      <c r="F15" s="15">
        <f>SUMIFS(Actuals!$E:$E,Actuals!$F:$F,'Proj 6.22'!$C15,Actuals!$A:$A,'Proj 6.22'!F$1)</f>
        <v>2505.21</v>
      </c>
      <c r="G15" s="15">
        <f>SUMIFS(Actuals!$E:$E,Actuals!$F:$F,'Proj 6.22'!$C15,Actuals!$A:$A,'Proj 6.22'!G$1)</f>
        <v>2173.3599999999997</v>
      </c>
      <c r="H15" s="15">
        <f>SUMIFS(Actuals!$E:$E,Actuals!$F:$F,'Proj 6.22'!$C15,Actuals!$A:$A,'Proj 6.22'!H$1)</f>
        <v>797.3</v>
      </c>
      <c r="I15" s="15">
        <f>SUMIFS(Actuals!$E:$E,Actuals!$F:$F,'Proj 6.22'!$C15,Actuals!$A:$A,'Proj 6.22'!I$1)</f>
        <v>1371.1</v>
      </c>
      <c r="J15" s="41">
        <v>2323.9666666666667</v>
      </c>
      <c r="K15" s="41">
        <v>2323.9666666666667</v>
      </c>
      <c r="L15" s="41">
        <v>1111.5</v>
      </c>
      <c r="M15" s="41">
        <v>1111.5</v>
      </c>
      <c r="N15" s="41">
        <v>1111.5</v>
      </c>
      <c r="O15" s="41">
        <v>1111.5</v>
      </c>
      <c r="P15" s="15">
        <f t="shared" si="1"/>
        <v>22767.613333333331</v>
      </c>
    </row>
    <row r="16" spans="3:16">
      <c r="C16" s="16" t="s">
        <v>7259</v>
      </c>
      <c r="D16" s="13">
        <f t="shared" ref="D16:N16" si="2">SUM(D9:D15)</f>
        <v>6851.5199999999995</v>
      </c>
      <c r="E16" s="13">
        <f t="shared" si="2"/>
        <v>6132.03</v>
      </c>
      <c r="F16" s="13">
        <f t="shared" si="2"/>
        <v>5316.45</v>
      </c>
      <c r="G16" s="13">
        <f t="shared" si="2"/>
        <v>5194.119999999999</v>
      </c>
      <c r="H16" s="13">
        <f t="shared" si="2"/>
        <v>3801.99</v>
      </c>
      <c r="I16" s="13">
        <f t="shared" si="2"/>
        <v>6556.619999999999</v>
      </c>
      <c r="J16" s="13">
        <f t="shared" si="2"/>
        <v>6126.4233333333332</v>
      </c>
      <c r="K16" s="13">
        <f t="shared" si="2"/>
        <v>6126.4233333333332</v>
      </c>
      <c r="L16" s="13">
        <f t="shared" si="2"/>
        <v>4913.9566666666669</v>
      </c>
      <c r="M16" s="13">
        <f t="shared" si="2"/>
        <v>4913.9566666666669</v>
      </c>
      <c r="N16" s="13">
        <f t="shared" si="2"/>
        <v>4913.9566666666669</v>
      </c>
      <c r="O16" s="13">
        <f>SUM(O9:O15)</f>
        <v>4913.9566666666669</v>
      </c>
      <c r="P16" s="13">
        <f>SUM(D16:O16)</f>
        <v>65761.403333333321</v>
      </c>
    </row>
    <row r="17" spans="3:16">
      <c r="D17" s="13"/>
      <c r="E17" s="13"/>
      <c r="F17" s="13"/>
      <c r="G17" s="13"/>
      <c r="H17" s="13"/>
      <c r="I17" s="13"/>
      <c r="J17" s="13"/>
      <c r="K17" s="13"/>
      <c r="L17" s="13"/>
      <c r="M17" s="13"/>
      <c r="N17" s="13"/>
      <c r="O17" s="13"/>
      <c r="P17" s="13"/>
    </row>
    <row r="18" spans="3:16">
      <c r="C18" t="s">
        <v>23</v>
      </c>
      <c r="D18" s="13">
        <f>SUMIFS(Actuals!$E:$E,Actuals!$F:$F,'Proj 6.22'!$C18,Actuals!$A:$A,'Proj 6.22'!D$1)</f>
        <v>36.35</v>
      </c>
      <c r="E18" s="13">
        <f>SUMIFS(Actuals!$E:$E,Actuals!$F:$F,'Proj 6.22'!$C18,Actuals!$A:$A,'Proj 6.22'!E$1)</f>
        <v>1290.29</v>
      </c>
      <c r="F18" s="13">
        <f>SUMIFS(Actuals!$E:$E,Actuals!$F:$F,'Proj 6.22'!$C18,Actuals!$A:$A,'Proj 6.22'!F$1)</f>
        <v>133.96</v>
      </c>
      <c r="G18" s="13">
        <f>SUMIFS(Actuals!$E:$E,Actuals!$F:$F,'Proj 6.22'!$C18,Actuals!$A:$A,'Proj 6.22'!G$1)</f>
        <v>60.28</v>
      </c>
      <c r="H18" s="13">
        <f>SUMIFS(Actuals!$E:$E,Actuals!$F:$F,'Proj 6.22'!$C18,Actuals!$A:$A,'Proj 6.22'!H$1)</f>
        <v>1459.98</v>
      </c>
      <c r="I18" s="13">
        <f>SUMIFS(Actuals!$E:$E,Actuals!$F:$F,'Proj 6.22'!$C18,Actuals!$A:$A,'Proj 6.22'!I$1)</f>
        <v>86.91</v>
      </c>
      <c r="J18" s="40">
        <v>836.31666666666661</v>
      </c>
      <c r="K18" s="40">
        <v>836.31666666666661</v>
      </c>
      <c r="L18" s="40">
        <v>836.31666666666661</v>
      </c>
      <c r="M18" s="40">
        <v>836.31666666666661</v>
      </c>
      <c r="N18" s="40">
        <v>836.31666666666661</v>
      </c>
      <c r="O18" s="40">
        <v>836.31666666666661</v>
      </c>
      <c r="P18" s="13">
        <f t="shared" si="1"/>
        <v>8085.6699999999992</v>
      </c>
    </row>
    <row r="19" spans="3:16">
      <c r="C19" t="s">
        <v>26</v>
      </c>
      <c r="D19" s="13">
        <f>SUMIFS(Actuals!$E:$E,Actuals!$F:$F,'Proj 6.22'!$C19,Actuals!$A:$A,'Proj 6.22'!D$1)</f>
        <v>1256.5199999999998</v>
      </c>
      <c r="E19" s="13">
        <f>SUMIFS(Actuals!$E:$E,Actuals!$F:$F,'Proj 6.22'!$C19,Actuals!$A:$A,'Proj 6.22'!E$1)</f>
        <v>1258.33</v>
      </c>
      <c r="F19" s="13">
        <f>SUMIFS(Actuals!$E:$E,Actuals!$F:$F,'Proj 6.22'!$C19,Actuals!$A:$A,'Proj 6.22'!F$1)</f>
        <v>2190.3699999999994</v>
      </c>
      <c r="G19" s="13">
        <f>SUMIFS(Actuals!$E:$E,Actuals!$F:$F,'Proj 6.22'!$C19,Actuals!$A:$A,'Proj 6.22'!G$1)</f>
        <v>1732.92</v>
      </c>
      <c r="H19" s="13">
        <f>SUMIFS(Actuals!$E:$E,Actuals!$F:$F,'Proj 6.22'!$C19,Actuals!$A:$A,'Proj 6.22'!H$1)</f>
        <v>1195.7899999999997</v>
      </c>
      <c r="I19" s="13">
        <f>SUMIFS(Actuals!$E:$E,Actuals!$F:$F,'Proj 6.22'!$C19,Actuals!$A:$A,'Proj 6.22'!I$1)</f>
        <v>2520.2900000000009</v>
      </c>
      <c r="J19" s="40">
        <v>1275.2466666666669</v>
      </c>
      <c r="K19" s="40">
        <v>1275.2466666666669</v>
      </c>
      <c r="L19" s="40">
        <v>1275.2466666666669</v>
      </c>
      <c r="M19" s="40">
        <v>1275.2466666666669</v>
      </c>
      <c r="N19" s="40">
        <v>1275.2466666666669</v>
      </c>
      <c r="O19" s="40">
        <v>1275.2466666666669</v>
      </c>
      <c r="P19" s="13">
        <f t="shared" si="1"/>
        <v>17805.699999999997</v>
      </c>
    </row>
    <row r="20" spans="3:16">
      <c r="C20" t="s">
        <v>28</v>
      </c>
      <c r="D20" s="13">
        <f>SUMIFS(Actuals!$E:$E,Actuals!$F:$F,'Proj 6.22'!$C20,Actuals!$A:$A,'Proj 6.22'!D$1)</f>
        <v>1032.5399999999997</v>
      </c>
      <c r="E20" s="13">
        <f>SUMIFS(Actuals!$E:$E,Actuals!$F:$F,'Proj 6.22'!$C20,Actuals!$A:$A,'Proj 6.22'!E$1)</f>
        <v>813.71</v>
      </c>
      <c r="F20" s="13">
        <f>SUMIFS(Actuals!$E:$E,Actuals!$F:$F,'Proj 6.22'!$C20,Actuals!$A:$A,'Proj 6.22'!F$1)</f>
        <v>579.15000000000009</v>
      </c>
      <c r="G20" s="13">
        <f>SUMIFS(Actuals!$E:$E,Actuals!$F:$F,'Proj 6.22'!$C20,Actuals!$A:$A,'Proj 6.22'!G$1)</f>
        <v>1295</v>
      </c>
      <c r="H20" s="13">
        <f>SUMIFS(Actuals!$E:$E,Actuals!$F:$F,'Proj 6.22'!$C20,Actuals!$A:$A,'Proj 6.22'!H$1)</f>
        <v>1047.99</v>
      </c>
      <c r="I20" s="13">
        <f>SUMIFS(Actuals!$E:$E,Actuals!$F:$F,'Proj 6.22'!$C20,Actuals!$A:$A,'Proj 6.22'!I$1)</f>
        <v>1176.2800000000002</v>
      </c>
      <c r="J20" s="40">
        <v>888.73333333333323</v>
      </c>
      <c r="K20" s="40">
        <v>888.73333333333323</v>
      </c>
      <c r="L20" s="40">
        <v>888.73333333333323</v>
      </c>
      <c r="M20" s="40">
        <v>888.73333333333323</v>
      </c>
      <c r="N20" s="40">
        <v>888.73333333333323</v>
      </c>
      <c r="O20" s="40">
        <v>888.73333333333323</v>
      </c>
      <c r="P20" s="13">
        <f t="shared" si="1"/>
        <v>11277.070000000002</v>
      </c>
    </row>
    <row r="21" spans="3:16">
      <c r="C21" s="14" t="s">
        <v>31</v>
      </c>
      <c r="D21" s="15">
        <f>SUMIFS(Actuals!$E:$E,Actuals!$F:$F,'Proj 6.22'!$C21,Actuals!$A:$A,'Proj 6.22'!D$1)</f>
        <v>0</v>
      </c>
      <c r="E21" s="15">
        <f>SUMIFS(Actuals!$E:$E,Actuals!$F:$F,'Proj 6.22'!$C21,Actuals!$A:$A,'Proj 6.22'!E$1)</f>
        <v>1466.2</v>
      </c>
      <c r="F21" s="15">
        <f>SUMIFS(Actuals!$E:$E,Actuals!$F:$F,'Proj 6.22'!$C21,Actuals!$A:$A,'Proj 6.22'!F$1)</f>
        <v>1203.6100000000001</v>
      </c>
      <c r="G21" s="15">
        <f>SUMIFS(Actuals!$E:$E,Actuals!$F:$F,'Proj 6.22'!$C21,Actuals!$A:$A,'Proj 6.22'!G$1)</f>
        <v>858.99999999999989</v>
      </c>
      <c r="H21" s="15">
        <f>SUMIFS(Actuals!$E:$E,Actuals!$F:$F,'Proj 6.22'!$C21,Actuals!$A:$A,'Proj 6.22'!H$1)</f>
        <v>141.71</v>
      </c>
      <c r="I21" s="15">
        <f>SUMIFS(Actuals!$E:$E,Actuals!$F:$F,'Proj 6.22'!$C21,Actuals!$A:$A,'Proj 6.22'!I$1)</f>
        <v>863.6</v>
      </c>
      <c r="J21" s="41">
        <v>459.88333333333338</v>
      </c>
      <c r="K21" s="41">
        <v>459.88333333333338</v>
      </c>
      <c r="L21" s="41">
        <v>459.88333333333338</v>
      </c>
      <c r="M21" s="41">
        <v>459.88333333333338</v>
      </c>
      <c r="N21" s="41">
        <v>459.88333333333338</v>
      </c>
      <c r="O21" s="41">
        <v>459.88333333333338</v>
      </c>
      <c r="P21" s="15">
        <f t="shared" si="1"/>
        <v>7293.42</v>
      </c>
    </row>
    <row r="22" spans="3:16">
      <c r="C22" s="16" t="s">
        <v>7260</v>
      </c>
      <c r="D22" s="13">
        <f t="shared" ref="D22:O22" si="3">SUM(D18:D21)</f>
        <v>2325.4099999999994</v>
      </c>
      <c r="E22" s="13">
        <f t="shared" si="3"/>
        <v>4828.53</v>
      </c>
      <c r="F22" s="13">
        <f t="shared" si="3"/>
        <v>4107.09</v>
      </c>
      <c r="G22" s="13">
        <f t="shared" si="3"/>
        <v>3947.2</v>
      </c>
      <c r="H22" s="13">
        <f t="shared" si="3"/>
        <v>3845.4699999999993</v>
      </c>
      <c r="I22" s="13">
        <f t="shared" si="3"/>
        <v>4647.0800000000008</v>
      </c>
      <c r="J22" s="13">
        <f t="shared" si="3"/>
        <v>3460.18</v>
      </c>
      <c r="K22" s="13">
        <f t="shared" si="3"/>
        <v>3460.18</v>
      </c>
      <c r="L22" s="13">
        <f t="shared" si="3"/>
        <v>3460.18</v>
      </c>
      <c r="M22" s="13">
        <f t="shared" si="3"/>
        <v>3460.18</v>
      </c>
      <c r="N22" s="13">
        <f t="shared" si="3"/>
        <v>3460.18</v>
      </c>
      <c r="O22" s="13">
        <f t="shared" si="3"/>
        <v>3460.18</v>
      </c>
      <c r="P22" s="13">
        <f t="shared" si="1"/>
        <v>44461.86</v>
      </c>
    </row>
    <row r="23" spans="3:16">
      <c r="D23" s="13"/>
      <c r="E23" s="13"/>
      <c r="F23" s="13"/>
      <c r="G23" s="13"/>
      <c r="H23" s="13"/>
      <c r="I23" s="13"/>
      <c r="J23" s="13"/>
      <c r="K23" s="13"/>
      <c r="L23" s="13"/>
      <c r="M23" s="13"/>
      <c r="N23" s="13"/>
      <c r="O23" s="13"/>
      <c r="P23" s="13"/>
    </row>
    <row r="24" spans="3:16">
      <c r="C24" t="s">
        <v>34</v>
      </c>
      <c r="D24" s="13">
        <f>SUMIFS(Actuals!$E:$E,Actuals!$F:$F,'Proj 6.22'!$C24,Actuals!$A:$A,'Proj 6.22'!D$1)</f>
        <v>0</v>
      </c>
      <c r="E24" s="13">
        <f>SUMIFS(Actuals!$E:$E,Actuals!$F:$F,'Proj 6.22'!$C24,Actuals!$A:$A,'Proj 6.22'!E$1)</f>
        <v>0</v>
      </c>
      <c r="F24" s="13">
        <f>SUMIFS(Actuals!$E:$E,Actuals!$F:$F,'Proj 6.22'!$C24,Actuals!$A:$A,'Proj 6.22'!F$1)</f>
        <v>0</v>
      </c>
      <c r="G24" s="13">
        <f>SUMIFS(Actuals!$E:$E,Actuals!$F:$F,'Proj 6.22'!$C24,Actuals!$A:$A,'Proj 6.22'!G$1)</f>
        <v>0</v>
      </c>
      <c r="H24" s="13">
        <f>SUMIFS(Actuals!$E:$E,Actuals!$F:$F,'Proj 6.22'!$C24,Actuals!$A:$A,'Proj 6.22'!H$1)</f>
        <v>0</v>
      </c>
      <c r="I24" s="13">
        <f>SUMIFS(Actuals!$E:$E,Actuals!$F:$F,'Proj 6.22'!$C24,Actuals!$A:$A,'Proj 6.22'!I$1)</f>
        <v>25</v>
      </c>
      <c r="J24" s="40">
        <v>34.94</v>
      </c>
      <c r="K24" s="40">
        <v>34.94</v>
      </c>
      <c r="L24" s="40">
        <v>34.94</v>
      </c>
      <c r="M24" s="40">
        <v>34.94</v>
      </c>
      <c r="N24" s="40">
        <v>34.94</v>
      </c>
      <c r="O24" s="40">
        <v>34.94</v>
      </c>
      <c r="P24" s="13">
        <f t="shared" si="1"/>
        <v>234.64</v>
      </c>
    </row>
    <row r="25" spans="3:16">
      <c r="C25" t="s">
        <v>21</v>
      </c>
      <c r="D25" s="13">
        <f>SUMIFS(Actuals!$E:$E,Actuals!$F:$F,'Proj 6.22'!$C25,Actuals!$A:$A,'Proj 6.22'!D$1)</f>
        <v>1297.5600000000002</v>
      </c>
      <c r="E25" s="13">
        <f>SUMIFS(Actuals!$E:$E,Actuals!$F:$F,'Proj 6.22'!$C25,Actuals!$A:$A,'Proj 6.22'!E$1)</f>
        <v>2152.23</v>
      </c>
      <c r="F25" s="13">
        <f>SUMIFS(Actuals!$E:$E,Actuals!$F:$F,'Proj 6.22'!$C25,Actuals!$A:$A,'Proj 6.22'!F$1)</f>
        <v>2367.6299999999992</v>
      </c>
      <c r="G25" s="13">
        <f>SUMIFS(Actuals!$E:$E,Actuals!$F:$F,'Proj 6.22'!$C25,Actuals!$A:$A,'Proj 6.22'!G$1)</f>
        <v>944.13999999999965</v>
      </c>
      <c r="H25" s="13">
        <f>SUMIFS(Actuals!$E:$E,Actuals!$F:$F,'Proj 6.22'!$C25,Actuals!$A:$A,'Proj 6.22'!H$1)</f>
        <v>2600.9999999999995</v>
      </c>
      <c r="I25" s="13">
        <f>SUMIFS(Actuals!$E:$E,Actuals!$F:$F,'Proj 6.22'!$C25,Actuals!$A:$A,'Proj 6.22'!I$1)</f>
        <v>1527.9499999999996</v>
      </c>
      <c r="J25" s="40">
        <v>2000</v>
      </c>
      <c r="K25" s="40">
        <v>2000</v>
      </c>
      <c r="L25" s="40">
        <v>2000</v>
      </c>
      <c r="M25" s="40">
        <v>2000</v>
      </c>
      <c r="N25" s="40">
        <v>2000</v>
      </c>
      <c r="O25" s="40">
        <v>2000</v>
      </c>
      <c r="P25" s="13">
        <f t="shared" si="1"/>
        <v>22890.509999999995</v>
      </c>
    </row>
    <row r="26" spans="3:16">
      <c r="C26" t="s">
        <v>38</v>
      </c>
      <c r="D26" s="13">
        <f>SUMIFS(Actuals!$E:$E,Actuals!$F:$F,'Proj 6.22'!$C26,Actuals!$A:$A,'Proj 6.22'!D$1)</f>
        <v>1330.2099999999998</v>
      </c>
      <c r="E26" s="13">
        <f>SUMIFS(Actuals!$E:$E,Actuals!$F:$F,'Proj 6.22'!$C26,Actuals!$A:$A,'Proj 6.22'!E$1)</f>
        <v>628.87000000000023</v>
      </c>
      <c r="F26" s="13">
        <f>SUMIFS(Actuals!$E:$E,Actuals!$F:$F,'Proj 6.22'!$C26,Actuals!$A:$A,'Proj 6.22'!F$1)</f>
        <v>468.29000000000008</v>
      </c>
      <c r="G26" s="13">
        <f>SUMIFS(Actuals!$E:$E,Actuals!$F:$F,'Proj 6.22'!$C26,Actuals!$A:$A,'Proj 6.22'!G$1)</f>
        <v>883.32999999999993</v>
      </c>
      <c r="H26" s="13">
        <f>SUMIFS(Actuals!$E:$E,Actuals!$F:$F,'Proj 6.22'!$C26,Actuals!$A:$A,'Proj 6.22'!H$1)</f>
        <v>361.53999999999996</v>
      </c>
      <c r="I26" s="13">
        <f>SUMIFS(Actuals!$E:$E,Actuals!$F:$F,'Proj 6.22'!$C26,Actuals!$A:$A,'Proj 6.22'!I$1)</f>
        <v>4.0099999999999909</v>
      </c>
      <c r="J26" s="40">
        <v>83.333333333333329</v>
      </c>
      <c r="K26" s="40">
        <v>83.333333333333329</v>
      </c>
      <c r="L26" s="40">
        <v>83.333333333333329</v>
      </c>
      <c r="M26" s="40">
        <v>83.333333333333329</v>
      </c>
      <c r="N26" s="40">
        <v>83.333333333333329</v>
      </c>
      <c r="O26" s="40">
        <v>83.333333333333329</v>
      </c>
      <c r="P26" s="13">
        <f t="shared" si="1"/>
        <v>4176.2500000000009</v>
      </c>
    </row>
    <row r="27" spans="3:16">
      <c r="C27" t="s">
        <v>40</v>
      </c>
      <c r="D27" s="13">
        <f>SUMIFS(Actuals!$E:$E,Actuals!$F:$F,'Proj 6.22'!$C27,Actuals!$A:$A,'Proj 6.22'!D$1)</f>
        <v>452.17</v>
      </c>
      <c r="E27" s="13">
        <f>SUMIFS(Actuals!$E:$E,Actuals!$F:$F,'Proj 6.22'!$C27,Actuals!$A:$A,'Proj 6.22'!E$1)</f>
        <v>213.46</v>
      </c>
      <c r="F27" s="13">
        <f>SUMIFS(Actuals!$E:$E,Actuals!$F:$F,'Proj 6.22'!$C27,Actuals!$A:$A,'Proj 6.22'!F$1)</f>
        <v>547.24</v>
      </c>
      <c r="G27" s="13">
        <f>SUMIFS(Actuals!$E:$E,Actuals!$F:$F,'Proj 6.22'!$C27,Actuals!$A:$A,'Proj 6.22'!G$1)</f>
        <v>214.29</v>
      </c>
      <c r="H27" s="13">
        <f>SUMIFS(Actuals!$E:$E,Actuals!$F:$F,'Proj 6.22'!$C27,Actuals!$A:$A,'Proj 6.22'!H$1)</f>
        <v>151.35</v>
      </c>
      <c r="I27" s="13">
        <f>SUMIFS(Actuals!$E:$E,Actuals!$F:$F,'Proj 6.22'!$C27,Actuals!$A:$A,'Proj 6.22'!I$1)</f>
        <v>365.79</v>
      </c>
      <c r="J27" s="40">
        <v>57.34</v>
      </c>
      <c r="K27" s="40">
        <v>57.34</v>
      </c>
      <c r="L27" s="40">
        <v>57.34</v>
      </c>
      <c r="M27" s="40">
        <v>57.34</v>
      </c>
      <c r="N27" s="40">
        <v>57.34</v>
      </c>
      <c r="O27" s="40">
        <v>57.34</v>
      </c>
      <c r="P27" s="13">
        <f t="shared" si="1"/>
        <v>2288.34</v>
      </c>
    </row>
    <row r="28" spans="3:16">
      <c r="C28" t="s">
        <v>41</v>
      </c>
      <c r="D28" s="13">
        <f>SUMIFS(Actuals!$E:$E,Actuals!$F:$F,'Proj 6.22'!$C28,Actuals!$A:$A,'Proj 6.22'!D$1)</f>
        <v>0</v>
      </c>
      <c r="E28" s="13">
        <f>SUMIFS(Actuals!$E:$E,Actuals!$F:$F,'Proj 6.22'!$C28,Actuals!$A:$A,'Proj 6.22'!E$1)</f>
        <v>0</v>
      </c>
      <c r="F28" s="13">
        <f>SUMIFS(Actuals!$E:$E,Actuals!$F:$F,'Proj 6.22'!$C28,Actuals!$A:$A,'Proj 6.22'!F$1)</f>
        <v>0</v>
      </c>
      <c r="G28" s="13">
        <f>SUMIFS(Actuals!$E:$E,Actuals!$F:$F,'Proj 6.22'!$C28,Actuals!$A:$A,'Proj 6.22'!G$1)</f>
        <v>36.599999999999994</v>
      </c>
      <c r="H28" s="13">
        <f>SUMIFS(Actuals!$E:$E,Actuals!$F:$F,'Proj 6.22'!$C28,Actuals!$A:$A,'Proj 6.22'!H$1)</f>
        <v>0</v>
      </c>
      <c r="I28" s="13">
        <f>SUMIFS(Actuals!$E:$E,Actuals!$F:$F,'Proj 6.22'!$C28,Actuals!$A:$A,'Proj 6.22'!I$1)</f>
        <v>35.93</v>
      </c>
      <c r="J28" s="40">
        <v>22.196666666666669</v>
      </c>
      <c r="K28" s="40">
        <v>22.196666666666669</v>
      </c>
      <c r="L28" s="40">
        <v>22.196666666666669</v>
      </c>
      <c r="M28" s="40">
        <v>22.196666666666669</v>
      </c>
      <c r="N28" s="40">
        <v>22.196666666666669</v>
      </c>
      <c r="O28" s="40">
        <v>22.196666666666669</v>
      </c>
      <c r="P28" s="13">
        <f t="shared" si="1"/>
        <v>205.70999999999998</v>
      </c>
    </row>
    <row r="29" spans="3:16">
      <c r="C29" t="s">
        <v>45</v>
      </c>
      <c r="D29" s="13">
        <f>SUMIFS(Actuals!$E:$E,Actuals!$F:$F,'Proj 6.22'!$C29,Actuals!$A:$A,'Proj 6.22'!D$1)</f>
        <v>0</v>
      </c>
      <c r="E29" s="13">
        <f>SUMIFS(Actuals!$E:$E,Actuals!$F:$F,'Proj 6.22'!$C29,Actuals!$A:$A,'Proj 6.22'!E$1)</f>
        <v>0</v>
      </c>
      <c r="F29" s="13">
        <f>SUMIFS(Actuals!$E:$E,Actuals!$F:$F,'Proj 6.22'!$C29,Actuals!$A:$A,'Proj 6.22'!F$1)</f>
        <v>0</v>
      </c>
      <c r="G29" s="13">
        <f>SUMIFS(Actuals!$E:$E,Actuals!$F:$F,'Proj 6.22'!$C29,Actuals!$A:$A,'Proj 6.22'!G$1)</f>
        <v>0</v>
      </c>
      <c r="H29" s="13">
        <f>SUMIFS(Actuals!$E:$E,Actuals!$F:$F,'Proj 6.22'!$C29,Actuals!$A:$A,'Proj 6.22'!H$1)</f>
        <v>0</v>
      </c>
      <c r="I29" s="13">
        <f>SUMIFS(Actuals!$E:$E,Actuals!$F:$F,'Proj 6.22'!$C29,Actuals!$A:$A,'Proj 6.22'!I$1)</f>
        <v>0</v>
      </c>
      <c r="J29" s="40">
        <v>103.60000000000001</v>
      </c>
      <c r="K29" s="40">
        <v>103.60000000000001</v>
      </c>
      <c r="L29" s="40">
        <v>103.60000000000001</v>
      </c>
      <c r="M29" s="40">
        <v>103.60000000000001</v>
      </c>
      <c r="N29" s="40">
        <v>103.60000000000001</v>
      </c>
      <c r="O29" s="40">
        <v>103.60000000000001</v>
      </c>
      <c r="P29" s="13">
        <f t="shared" si="1"/>
        <v>621.6</v>
      </c>
    </row>
    <row r="30" spans="3:16">
      <c r="C30" s="14" t="s">
        <v>29</v>
      </c>
      <c r="D30" s="15">
        <f>SUMIFS(Actuals!$E:$E,Actuals!$F:$F,'Proj 6.22'!$C30,Actuals!$A:$A,'Proj 6.22'!D$1)</f>
        <v>110</v>
      </c>
      <c r="E30" s="15">
        <f>SUMIFS(Actuals!$E:$E,Actuals!$F:$F,'Proj 6.22'!$C30,Actuals!$A:$A,'Proj 6.22'!E$1)</f>
        <v>0</v>
      </c>
      <c r="F30" s="15">
        <f>SUMIFS(Actuals!$E:$E,Actuals!$F:$F,'Proj 6.22'!$C30,Actuals!$A:$A,'Proj 6.22'!F$1)</f>
        <v>0</v>
      </c>
      <c r="G30" s="15">
        <f>SUMIFS(Actuals!$E:$E,Actuals!$F:$F,'Proj 6.22'!$C30,Actuals!$A:$A,'Proj 6.22'!G$1)</f>
        <v>124</v>
      </c>
      <c r="H30" s="15">
        <f>SUMIFS(Actuals!$E:$E,Actuals!$F:$F,'Proj 6.22'!$C30,Actuals!$A:$A,'Proj 6.22'!H$1)</f>
        <v>0</v>
      </c>
      <c r="I30" s="15">
        <f>SUMIFS(Actuals!$E:$E,Actuals!$F:$F,'Proj 6.22'!$C30,Actuals!$A:$A,'Proj 6.22'!I$1)</f>
        <v>5</v>
      </c>
      <c r="J30" s="41">
        <v>117.06333333333333</v>
      </c>
      <c r="K30" s="41">
        <v>117.06333333333333</v>
      </c>
      <c r="L30" s="41">
        <v>117.06333333333333</v>
      </c>
      <c r="M30" s="41">
        <v>117.06333333333333</v>
      </c>
      <c r="N30" s="41">
        <v>117.06333333333333</v>
      </c>
      <c r="O30" s="41">
        <v>117.06333333333333</v>
      </c>
      <c r="P30" s="15">
        <f t="shared" si="1"/>
        <v>941.37999999999988</v>
      </c>
    </row>
    <row r="31" spans="3:16">
      <c r="C31" s="16" t="s">
        <v>7261</v>
      </c>
      <c r="D31" s="13">
        <f t="shared" ref="D31:O31" si="4">SUM(D24:D30)</f>
        <v>3189.94</v>
      </c>
      <c r="E31" s="13">
        <f t="shared" si="4"/>
        <v>2994.5600000000004</v>
      </c>
      <c r="F31" s="13">
        <f t="shared" si="4"/>
        <v>3383.1599999999989</v>
      </c>
      <c r="G31" s="13">
        <f t="shared" si="4"/>
        <v>2202.3599999999997</v>
      </c>
      <c r="H31" s="13">
        <f t="shared" si="4"/>
        <v>3113.8899999999994</v>
      </c>
      <c r="I31" s="13">
        <f t="shared" si="4"/>
        <v>1963.6799999999996</v>
      </c>
      <c r="J31" s="13">
        <f t="shared" si="4"/>
        <v>2418.4733333333338</v>
      </c>
      <c r="K31" s="13">
        <f t="shared" si="4"/>
        <v>2418.4733333333338</v>
      </c>
      <c r="L31" s="13">
        <f t="shared" si="4"/>
        <v>2418.4733333333338</v>
      </c>
      <c r="M31" s="13">
        <f t="shared" si="4"/>
        <v>2418.4733333333338</v>
      </c>
      <c r="N31" s="13">
        <f t="shared" si="4"/>
        <v>2418.4733333333338</v>
      </c>
      <c r="O31" s="13">
        <f t="shared" si="4"/>
        <v>2418.4733333333338</v>
      </c>
      <c r="P31" s="13">
        <f t="shared" si="1"/>
        <v>31358.430000000011</v>
      </c>
    </row>
    <row r="32" spans="3:16">
      <c r="C32" s="19"/>
      <c r="D32" s="20"/>
      <c r="E32" s="20"/>
      <c r="F32" s="20"/>
      <c r="G32" s="20"/>
      <c r="H32" s="20"/>
      <c r="I32" s="20"/>
      <c r="J32" s="20"/>
      <c r="K32" s="20"/>
      <c r="L32" s="20"/>
      <c r="M32" s="20"/>
      <c r="N32" s="20"/>
      <c r="O32" s="20"/>
      <c r="P32" s="20">
        <f t="shared" si="1"/>
        <v>0</v>
      </c>
    </row>
    <row r="33" spans="3:16">
      <c r="C33" s="16" t="s">
        <v>7153</v>
      </c>
      <c r="D33" s="17">
        <f t="shared" ref="D33:O33" si="5">SUM(D31,D22,D16)</f>
        <v>12366.869999999999</v>
      </c>
      <c r="E33" s="17">
        <f t="shared" si="5"/>
        <v>13955.119999999999</v>
      </c>
      <c r="F33" s="17">
        <f t="shared" si="5"/>
        <v>12806.699999999999</v>
      </c>
      <c r="G33" s="17">
        <f t="shared" si="5"/>
        <v>11343.679999999998</v>
      </c>
      <c r="H33" s="17">
        <f t="shared" si="5"/>
        <v>10761.349999999999</v>
      </c>
      <c r="I33" s="17">
        <f t="shared" si="5"/>
        <v>13167.38</v>
      </c>
      <c r="J33" s="17">
        <f t="shared" si="5"/>
        <v>12005.076666666668</v>
      </c>
      <c r="K33" s="17">
        <f t="shared" si="5"/>
        <v>12005.076666666668</v>
      </c>
      <c r="L33" s="17">
        <f t="shared" si="5"/>
        <v>10792.61</v>
      </c>
      <c r="M33" s="17">
        <f t="shared" si="5"/>
        <v>10792.61</v>
      </c>
      <c r="N33" s="17">
        <f t="shared" si="5"/>
        <v>10792.61</v>
      </c>
      <c r="O33" s="17">
        <f t="shared" si="5"/>
        <v>10792.61</v>
      </c>
      <c r="P33" s="17">
        <f>SUM(D33:O33)</f>
        <v>141581.69333333333</v>
      </c>
    </row>
    <row r="34" spans="3:16">
      <c r="D34" s="13"/>
      <c r="E34" s="13"/>
      <c r="F34" s="13"/>
      <c r="G34" s="13"/>
      <c r="H34" s="13"/>
      <c r="I34" s="13"/>
      <c r="J34" s="13"/>
      <c r="K34" s="13"/>
      <c r="L34" s="13"/>
      <c r="M34" s="13"/>
      <c r="N34" s="13"/>
      <c r="O34" s="13"/>
      <c r="P34" s="13"/>
    </row>
    <row r="35" spans="3:16">
      <c r="C35" t="s">
        <v>48</v>
      </c>
      <c r="D35" s="13">
        <f>SUMIFS(Actuals!$E:$E,Actuals!$F:$F,'Proj 6.22'!$C35,Actuals!$A:$A,'Proj 6.22'!D$1)</f>
        <v>555.18000000000006</v>
      </c>
      <c r="E35" s="13">
        <f>SUMIFS(Actuals!$E:$E,Actuals!$F:$F,'Proj 6.22'!$C35,Actuals!$A:$A,'Proj 6.22'!E$1)</f>
        <v>246.17000000000002</v>
      </c>
      <c r="F35" s="13">
        <f>SUMIFS(Actuals!$E:$E,Actuals!$F:$F,'Proj 6.22'!$C35,Actuals!$A:$A,'Proj 6.22'!F$1)</f>
        <v>227.94</v>
      </c>
      <c r="G35" s="13">
        <f>SUMIFS(Actuals!$E:$E,Actuals!$F:$F,'Proj 6.22'!$C35,Actuals!$A:$A,'Proj 6.22'!G$1)</f>
        <v>0</v>
      </c>
      <c r="H35" s="13">
        <f>SUMIFS(Actuals!$E:$E,Actuals!$F:$F,'Proj 6.22'!$C35,Actuals!$A:$A,'Proj 6.22'!H$1)</f>
        <v>253.53</v>
      </c>
      <c r="I35" s="13">
        <f>SUMIFS(Actuals!$E:$E,Actuals!$F:$F,'Proj 6.22'!$C35,Actuals!$A:$A,'Proj 6.22'!I$1)</f>
        <v>-14.1</v>
      </c>
      <c r="J35" s="40">
        <f>SUMIFS(Actuals!$E:$E,Actuals!$F:$F,'Proj 6.22'!$C35,Actuals!$A:$A,'Proj 6.22'!J$1)</f>
        <v>124.06</v>
      </c>
      <c r="K35" s="40">
        <f>SUMIFS(Actuals!$E:$E,Actuals!$F:$F,'Proj 6.22'!$C35,Actuals!$A:$A,'Proj 6.22'!K$1)</f>
        <v>0</v>
      </c>
      <c r="L35" s="40">
        <f>SUMIFS(Actuals!$E:$E,Actuals!$F:$F,'Proj 6.22'!$C35,Actuals!$A:$A,'Proj 6.22'!L$1)</f>
        <v>-12.49</v>
      </c>
      <c r="M35" s="40">
        <f>SUMIFS(Actuals!$E:$E,Actuals!$F:$F,'Proj 6.22'!$C35,Actuals!$A:$A,'Proj 6.22'!M$1)</f>
        <v>856.21</v>
      </c>
      <c r="N35" s="40">
        <f>SUMIFS(Actuals!$E:$E,Actuals!$F:$F,'Proj 6.22'!$C35,Actuals!$A:$A,'Proj 6.22'!N$1)</f>
        <v>425.81</v>
      </c>
      <c r="O35" s="40">
        <f>SUMIFS(Actuals!$E:$E,Actuals!$F:$F,'Proj 6.22'!$C35,Actuals!$A:$A,'Proj 6.22'!O$1)</f>
        <v>1285.7</v>
      </c>
      <c r="P35" s="13">
        <f t="shared" ref="P35:P37" si="6">SUM(D35:O35)</f>
        <v>3948.01</v>
      </c>
    </row>
    <row r="36" spans="3:16">
      <c r="C36" t="s">
        <v>50</v>
      </c>
      <c r="D36" s="13">
        <f>SUMIFS(Actuals!$E:$E,Actuals!$F:$F,'Proj 6.22'!$C36,Actuals!$A:$A,'Proj 6.22'!D$1)</f>
        <v>30245.75</v>
      </c>
      <c r="E36" s="13">
        <f>SUMIFS(Actuals!$E:$E,Actuals!$F:$F,'Proj 6.22'!$C36,Actuals!$A:$A,'Proj 6.22'!E$1)</f>
        <v>8816.9699999999993</v>
      </c>
      <c r="F36" s="13">
        <f>SUMIFS(Actuals!$E:$E,Actuals!$F:$F,'Proj 6.22'!$C36,Actuals!$A:$A,'Proj 6.22'!F$1)</f>
        <v>24509</v>
      </c>
      <c r="G36" s="13">
        <f>SUMIFS(Actuals!$E:$E,Actuals!$F:$F,'Proj 6.22'!$C36,Actuals!$A:$A,'Proj 6.22'!G$1)</f>
        <v>18027</v>
      </c>
      <c r="H36" s="13">
        <f>SUMIFS(Actuals!$E:$E,Actuals!$F:$F,'Proj 6.22'!$C36,Actuals!$A:$A,'Proj 6.22'!H$1)</f>
        <v>5053.1100000000006</v>
      </c>
      <c r="I36" s="13">
        <f>SUMIFS(Actuals!$E:$E,Actuals!$F:$F,'Proj 6.22'!$C36,Actuals!$A:$A,'Proj 6.22'!I$1)</f>
        <v>43385.5</v>
      </c>
      <c r="J36" s="40">
        <f>SUMIFS(Actuals!$E:$E,Actuals!$F:$F,'Proj 6.22'!$C36,Actuals!$A:$A,'Proj 6.22'!J$1)</f>
        <v>48339</v>
      </c>
      <c r="K36" s="40">
        <f>SUMIFS(Actuals!$E:$E,Actuals!$F:$F,'Proj 6.22'!$C36,Actuals!$A:$A,'Proj 6.22'!K$1)</f>
        <v>52</v>
      </c>
      <c r="L36" s="40">
        <f>SUMIFS(Actuals!$E:$E,Actuals!$F:$F,'Proj 6.22'!$C36,Actuals!$A:$A,'Proj 6.22'!L$1)</f>
        <v>43385.5</v>
      </c>
      <c r="M36" s="40">
        <f>SUMIFS(Actuals!$E:$E,Actuals!$F:$F,'Proj 6.22'!$C36,Actuals!$A:$A,'Proj 6.22'!M$1)</f>
        <v>43985.5</v>
      </c>
      <c r="N36" s="40">
        <f>SUMIFS(Actuals!$E:$E,Actuals!$F:$F,'Proj 6.22'!$C36,Actuals!$A:$A,'Proj 6.22'!N$1)</f>
        <v>0</v>
      </c>
      <c r="O36" s="40">
        <f>SUMIFS(Actuals!$E:$E,Actuals!$F:$F,'Proj 6.22'!$C36,Actuals!$A:$A,'Proj 6.22'!O$1)</f>
        <v>0</v>
      </c>
      <c r="P36" s="13">
        <f t="shared" si="6"/>
        <v>265799.33</v>
      </c>
    </row>
    <row r="37" spans="3:16">
      <c r="C37" s="14" t="s">
        <v>43</v>
      </c>
      <c r="D37" s="15">
        <f>SUMIFS(Actuals!$E:$E,Actuals!$F:$F,'Proj 6.22'!$C37,Actuals!$A:$A,'Proj 6.22'!D$1)</f>
        <v>2336.15</v>
      </c>
      <c r="E37" s="15">
        <f>SUMIFS(Actuals!$E:$E,Actuals!$F:$F,'Proj 6.22'!$C37,Actuals!$A:$A,'Proj 6.22'!E$1)</f>
        <v>213.11</v>
      </c>
      <c r="F37" s="15">
        <f>SUMIFS(Actuals!$E:$E,Actuals!$F:$F,'Proj 6.22'!$C37,Actuals!$A:$A,'Proj 6.22'!F$1)</f>
        <v>908.1</v>
      </c>
      <c r="G37" s="15">
        <f>SUMIFS(Actuals!$E:$E,Actuals!$F:$F,'Proj 6.22'!$C37,Actuals!$A:$A,'Proj 6.22'!G$1)</f>
        <v>513.21</v>
      </c>
      <c r="H37" s="15">
        <f>SUMIFS(Actuals!$E:$E,Actuals!$F:$F,'Proj 6.22'!$C37,Actuals!$A:$A,'Proj 6.22'!H$1)</f>
        <v>997.66000000000008</v>
      </c>
      <c r="I37" s="15">
        <f>SUMIFS(Actuals!$E:$E,Actuals!$F:$F,'Proj 6.22'!$C37,Actuals!$A:$A,'Proj 6.22'!I$1)</f>
        <v>468.68999999999988</v>
      </c>
      <c r="J37" s="41">
        <v>300</v>
      </c>
      <c r="K37" s="41">
        <v>2000</v>
      </c>
      <c r="L37" s="41">
        <f>SUMIFS(Actuals!$E:$E,Actuals!$F:$F,'Proj 6.22'!$C37,Actuals!$A:$A,'Proj 6.22'!L$1)</f>
        <v>862.4</v>
      </c>
      <c r="M37" s="41">
        <f>SUMIFS(Actuals!$E:$E,Actuals!$F:$F,'Proj 6.22'!$C37,Actuals!$A:$A,'Proj 6.22'!M$1)</f>
        <v>4330.6899999999996</v>
      </c>
      <c r="N37" s="41">
        <v>1000</v>
      </c>
      <c r="O37" s="41">
        <f>SUMIFS(Actuals!$E:$E,Actuals!$F:$F,'Proj 6.22'!$C37,Actuals!$A:$A,'Proj 6.22'!O$1)</f>
        <v>1788.3400000000001</v>
      </c>
      <c r="P37" s="15">
        <f t="shared" si="6"/>
        <v>15718.349999999999</v>
      </c>
    </row>
    <row r="38" spans="3:16">
      <c r="C38" s="16" t="s">
        <v>7265</v>
      </c>
      <c r="D38" s="13">
        <f>SUM(D35:D37)</f>
        <v>33137.08</v>
      </c>
      <c r="E38" s="13">
        <f t="shared" ref="E38:O38" si="7">SUM(E35:E37)</f>
        <v>9276.25</v>
      </c>
      <c r="F38" s="13">
        <f t="shared" si="7"/>
        <v>25645.039999999997</v>
      </c>
      <c r="G38" s="13">
        <f t="shared" si="7"/>
        <v>18540.21</v>
      </c>
      <c r="H38" s="13">
        <f t="shared" si="7"/>
        <v>6304.3</v>
      </c>
      <c r="I38" s="13">
        <f t="shared" si="7"/>
        <v>43840.090000000004</v>
      </c>
      <c r="J38" s="13">
        <f t="shared" si="7"/>
        <v>48763.06</v>
      </c>
      <c r="K38" s="13">
        <f t="shared" si="7"/>
        <v>2052</v>
      </c>
      <c r="L38" s="13">
        <f t="shared" si="7"/>
        <v>44235.41</v>
      </c>
      <c r="M38" s="13">
        <f t="shared" si="7"/>
        <v>49172.4</v>
      </c>
      <c r="N38" s="13">
        <f t="shared" si="7"/>
        <v>1425.81</v>
      </c>
      <c r="O38" s="13">
        <f t="shared" si="7"/>
        <v>3074.04</v>
      </c>
      <c r="P38" s="13">
        <f>SUM(P35:P37)</f>
        <v>285465.69</v>
      </c>
    </row>
    <row r="39" spans="3:16">
      <c r="C39" s="16"/>
      <c r="D39" s="13"/>
      <c r="E39" s="13"/>
      <c r="F39" s="13"/>
      <c r="G39" s="13"/>
      <c r="H39" s="13"/>
      <c r="I39" s="13"/>
      <c r="J39" s="13"/>
      <c r="K39" s="13"/>
      <c r="L39" s="13"/>
      <c r="M39" s="13"/>
      <c r="N39" s="13"/>
      <c r="O39" s="13"/>
      <c r="P39" s="13"/>
    </row>
    <row r="40" spans="3:16">
      <c r="C40" s="16"/>
      <c r="D40" s="13"/>
      <c r="E40" s="13"/>
      <c r="F40" s="13"/>
      <c r="G40" s="13"/>
      <c r="H40" s="13"/>
      <c r="I40" s="13"/>
      <c r="J40" s="13"/>
      <c r="K40" s="13"/>
      <c r="L40" s="13"/>
      <c r="M40" s="13"/>
      <c r="N40" s="13"/>
      <c r="O40" s="13"/>
      <c r="P40" s="13"/>
    </row>
    <row r="41" spans="3:16">
      <c r="C41" s="16"/>
      <c r="D41" s="13"/>
      <c r="E41" s="13"/>
      <c r="F41" s="13"/>
      <c r="G41" s="13"/>
      <c r="H41" s="13"/>
      <c r="I41" s="13"/>
      <c r="J41" s="13"/>
      <c r="K41" s="13"/>
      <c r="L41" s="13"/>
      <c r="M41" s="13"/>
      <c r="N41" s="13"/>
      <c r="O41" s="13"/>
      <c r="P41" s="13"/>
    </row>
    <row r="42" spans="3:16">
      <c r="C42" s="16"/>
      <c r="D42" s="13"/>
      <c r="E42" s="13"/>
      <c r="F42" s="13"/>
      <c r="G42" s="13"/>
      <c r="H42" s="13"/>
      <c r="I42" s="13"/>
      <c r="J42" s="13"/>
      <c r="K42" s="13"/>
      <c r="L42" s="13"/>
      <c r="M42" s="13"/>
      <c r="N42" s="13"/>
      <c r="O42" s="13"/>
      <c r="P42" s="13"/>
    </row>
    <row r="43" spans="3:16">
      <c r="C43" s="28"/>
      <c r="D43" s="21"/>
      <c r="E43" s="21"/>
      <c r="F43" s="21"/>
      <c r="G43" s="21"/>
      <c r="H43" s="21"/>
      <c r="I43" s="21"/>
      <c r="J43" s="21"/>
      <c r="K43" s="21"/>
      <c r="L43" s="21"/>
      <c r="M43" s="21"/>
      <c r="N43" s="21"/>
      <c r="O43" s="21"/>
      <c r="P43" s="21"/>
    </row>
    <row r="44" spans="3:16">
      <c r="C44" s="16" t="s">
        <v>7271</v>
      </c>
      <c r="D44" s="13">
        <f>SUM(D40:D43)</f>
        <v>0</v>
      </c>
      <c r="E44" s="13">
        <f t="shared" ref="E44:O44" si="8">SUM(E40:E43)</f>
        <v>0</v>
      </c>
      <c r="F44" s="13">
        <f t="shared" si="8"/>
        <v>0</v>
      </c>
      <c r="G44" s="13">
        <f t="shared" si="8"/>
        <v>0</v>
      </c>
      <c r="H44" s="13">
        <f t="shared" si="8"/>
        <v>0</v>
      </c>
      <c r="I44" s="13">
        <f t="shared" si="8"/>
        <v>0</v>
      </c>
      <c r="J44" s="13">
        <f t="shared" si="8"/>
        <v>0</v>
      </c>
      <c r="K44" s="13">
        <f t="shared" si="8"/>
        <v>0</v>
      </c>
      <c r="L44" s="13">
        <f t="shared" si="8"/>
        <v>0</v>
      </c>
      <c r="M44" s="13">
        <f t="shared" si="8"/>
        <v>0</v>
      </c>
      <c r="N44" s="13">
        <f t="shared" si="8"/>
        <v>0</v>
      </c>
      <c r="O44" s="13">
        <f t="shared" si="8"/>
        <v>0</v>
      </c>
      <c r="P44" s="17">
        <f>SUM(D44:O44)</f>
        <v>0</v>
      </c>
    </row>
    <row r="45" spans="3:16">
      <c r="C45" s="19"/>
      <c r="D45" s="20"/>
      <c r="E45" s="20"/>
      <c r="F45" s="20"/>
      <c r="G45" s="20"/>
      <c r="H45" s="20"/>
      <c r="I45" s="20"/>
      <c r="J45" s="20"/>
      <c r="K45" s="20"/>
      <c r="L45" s="20"/>
      <c r="M45" s="20"/>
      <c r="N45" s="20"/>
      <c r="O45" s="20"/>
      <c r="P45" s="20"/>
    </row>
    <row r="46" spans="3:16">
      <c r="C46" s="16" t="s">
        <v>7266</v>
      </c>
      <c r="D46" s="17">
        <f t="shared" ref="D46:O46" si="9">SUM(D38,D33)</f>
        <v>45503.95</v>
      </c>
      <c r="E46" s="17">
        <f t="shared" si="9"/>
        <v>23231.37</v>
      </c>
      <c r="F46" s="17">
        <f t="shared" si="9"/>
        <v>38451.74</v>
      </c>
      <c r="G46" s="17">
        <f t="shared" si="9"/>
        <v>29883.89</v>
      </c>
      <c r="H46" s="17">
        <f t="shared" si="9"/>
        <v>17065.649999999998</v>
      </c>
      <c r="I46" s="17">
        <f t="shared" si="9"/>
        <v>57007.47</v>
      </c>
      <c r="J46" s="17">
        <f t="shared" si="9"/>
        <v>60768.136666666665</v>
      </c>
      <c r="K46" s="17">
        <f t="shared" si="9"/>
        <v>14057.076666666668</v>
      </c>
      <c r="L46" s="17">
        <f t="shared" si="9"/>
        <v>55028.020000000004</v>
      </c>
      <c r="M46" s="17">
        <f t="shared" si="9"/>
        <v>59965.01</v>
      </c>
      <c r="N46" s="17">
        <f t="shared" si="9"/>
        <v>12218.42</v>
      </c>
      <c r="O46" s="17">
        <f t="shared" si="9"/>
        <v>13866.650000000001</v>
      </c>
      <c r="P46" s="17">
        <f>SUM(P38,P33,P44)</f>
        <v>427047.3833333333</v>
      </c>
    </row>
  </sheetData>
  <pageMargins left="0.7" right="0.7" top="0.75" bottom="0.75" header="0.3" footer="0.3"/>
  <pageSetup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0817-D650-4852-AACA-4A2DB0080E8A}">
  <sheetPr>
    <pageSetUpPr fitToPage="1"/>
  </sheetPr>
  <dimension ref="B2:Z43"/>
  <sheetViews>
    <sheetView topLeftCell="C6" workbookViewId="0">
      <selection activeCell="M11" sqref="M11"/>
    </sheetView>
  </sheetViews>
  <sheetFormatPr defaultRowHeight="15"/>
  <cols>
    <col min="1" max="1" width="16" customWidth="1"/>
    <col min="2" max="2" width="1.5703125" customWidth="1"/>
    <col min="3" max="3" width="26" customWidth="1"/>
    <col min="4" max="16" width="12.5703125" customWidth="1"/>
    <col min="17" max="17" width="1.5703125" customWidth="1"/>
  </cols>
  <sheetData>
    <row r="2" spans="2:26" ht="23.25">
      <c r="C2" s="29" t="s">
        <v>7307</v>
      </c>
      <c r="F2" s="29"/>
      <c r="I2" s="29"/>
      <c r="O2" s="30"/>
    </row>
    <row r="3" spans="2:26" ht="15" customHeight="1">
      <c r="B3" s="31"/>
      <c r="C3" s="31"/>
      <c r="D3" s="31"/>
      <c r="E3" s="31"/>
      <c r="F3" s="31"/>
      <c r="G3" s="31"/>
      <c r="H3" s="31"/>
      <c r="I3" s="31"/>
      <c r="J3" s="31"/>
      <c r="K3" s="31"/>
      <c r="L3" s="31"/>
      <c r="M3" s="31"/>
      <c r="N3" s="31"/>
      <c r="O3" s="31"/>
      <c r="P3" s="31"/>
      <c r="Q3" s="31"/>
      <c r="R3" s="31"/>
      <c r="S3" s="31"/>
      <c r="T3" s="31"/>
      <c r="U3" s="31"/>
      <c r="V3" s="31"/>
      <c r="W3" s="31"/>
      <c r="X3" s="31"/>
      <c r="Y3" s="31"/>
      <c r="Z3" s="31"/>
    </row>
    <row r="4" spans="2:26" ht="3" customHeight="1">
      <c r="B4" s="22"/>
      <c r="C4" s="22"/>
      <c r="D4" s="22"/>
      <c r="E4" s="22"/>
      <c r="F4" s="22"/>
      <c r="G4" s="22"/>
      <c r="H4" s="22"/>
      <c r="I4" s="22"/>
      <c r="J4" s="22"/>
      <c r="K4" s="22"/>
      <c r="L4" s="22"/>
      <c r="M4" s="22"/>
      <c r="N4" s="22"/>
      <c r="O4" s="22"/>
      <c r="P4" s="22"/>
      <c r="Q4" s="22"/>
      <c r="R4" s="22"/>
      <c r="S4" s="22"/>
      <c r="T4" s="22"/>
      <c r="U4" s="22"/>
      <c r="V4" s="22"/>
      <c r="W4" s="22"/>
      <c r="X4" s="22"/>
      <c r="Y4" s="22"/>
      <c r="Z4" s="22"/>
    </row>
    <row r="5" spans="2:26">
      <c r="D5" s="32" t="s">
        <v>7308</v>
      </c>
      <c r="E5" s="32" t="s">
        <v>7309</v>
      </c>
      <c r="F5" s="32" t="s">
        <v>7310</v>
      </c>
      <c r="G5" s="32" t="s">
        <v>7311</v>
      </c>
      <c r="H5" s="32" t="s">
        <v>7312</v>
      </c>
      <c r="I5" s="32" t="s">
        <v>7313</v>
      </c>
      <c r="J5" s="32" t="s">
        <v>7314</v>
      </c>
      <c r="K5" s="32" t="s">
        <v>7315</v>
      </c>
      <c r="L5" s="32" t="s">
        <v>7316</v>
      </c>
      <c r="M5" s="32" t="s">
        <v>7317</v>
      </c>
      <c r="N5" s="32" t="s">
        <v>7318</v>
      </c>
      <c r="O5" s="32" t="s">
        <v>7319</v>
      </c>
      <c r="P5" s="32" t="s">
        <v>7153</v>
      </c>
    </row>
    <row r="6" spans="2:26">
      <c r="C6" t="s">
        <v>5</v>
      </c>
      <c r="D6" s="33">
        <v>3004</v>
      </c>
      <c r="E6" s="33">
        <v>3004</v>
      </c>
      <c r="F6" s="33">
        <v>3004</v>
      </c>
      <c r="G6" s="33">
        <v>3004</v>
      </c>
      <c r="H6" s="33">
        <v>3004</v>
      </c>
      <c r="I6" s="33">
        <v>3004</v>
      </c>
      <c r="J6" s="33">
        <v>3004</v>
      </c>
      <c r="K6" s="33">
        <v>3004</v>
      </c>
      <c r="L6" s="33">
        <v>3004</v>
      </c>
      <c r="M6" s="33">
        <v>3004</v>
      </c>
      <c r="N6" s="33">
        <v>3004</v>
      </c>
      <c r="O6" s="33">
        <v>3004</v>
      </c>
      <c r="P6" s="33">
        <f>SUM(D6:O6)</f>
        <v>36048</v>
      </c>
    </row>
    <row r="7" spans="2:26">
      <c r="C7" s="34" t="s">
        <v>7320</v>
      </c>
      <c r="D7" s="33">
        <v>757</v>
      </c>
      <c r="E7" s="33">
        <v>757</v>
      </c>
      <c r="F7" s="33">
        <v>757</v>
      </c>
      <c r="G7" s="33">
        <v>757</v>
      </c>
      <c r="H7" s="33">
        <v>757</v>
      </c>
      <c r="I7" s="33">
        <v>757</v>
      </c>
      <c r="J7" s="33">
        <v>757</v>
      </c>
      <c r="K7" s="33">
        <v>757</v>
      </c>
      <c r="L7" s="33">
        <v>757</v>
      </c>
      <c r="M7" s="33">
        <v>757</v>
      </c>
      <c r="N7" s="33">
        <v>757</v>
      </c>
      <c r="O7" s="33">
        <v>757</v>
      </c>
      <c r="P7" s="33">
        <f>SUM(D7:O7)</f>
        <v>9084</v>
      </c>
    </row>
    <row r="8" spans="2:26">
      <c r="C8" s="34" t="s">
        <v>7321</v>
      </c>
      <c r="D8" s="33">
        <v>431</v>
      </c>
      <c r="E8" s="33">
        <v>431</v>
      </c>
      <c r="F8" s="33">
        <v>431</v>
      </c>
      <c r="G8" s="33">
        <v>431</v>
      </c>
      <c r="H8" s="33">
        <v>431</v>
      </c>
      <c r="I8" s="33">
        <v>431</v>
      </c>
      <c r="J8" s="33">
        <v>431</v>
      </c>
      <c r="K8" s="33">
        <v>431</v>
      </c>
      <c r="L8" s="33">
        <v>431</v>
      </c>
      <c r="M8" s="33">
        <v>431</v>
      </c>
      <c r="N8" s="33">
        <v>431</v>
      </c>
      <c r="O8" s="33">
        <v>431</v>
      </c>
      <c r="P8" s="33">
        <f>SUM(D8:O8)</f>
        <v>5172</v>
      </c>
    </row>
    <row r="9" spans="2:26">
      <c r="C9" s="34" t="s">
        <v>7322</v>
      </c>
      <c r="D9" s="33">
        <f>D6-D7-D8</f>
        <v>1816</v>
      </c>
      <c r="E9" s="33">
        <f t="shared" ref="E9:N9" si="0">E6-E7-E8</f>
        <v>1816</v>
      </c>
      <c r="F9" s="33">
        <f t="shared" si="0"/>
        <v>1816</v>
      </c>
      <c r="G9" s="33">
        <f t="shared" si="0"/>
        <v>1816</v>
      </c>
      <c r="H9" s="33">
        <f t="shared" si="0"/>
        <v>1816</v>
      </c>
      <c r="I9" s="33">
        <f t="shared" si="0"/>
        <v>1816</v>
      </c>
      <c r="J9" s="33">
        <f t="shared" si="0"/>
        <v>1816</v>
      </c>
      <c r="K9" s="33">
        <f t="shared" si="0"/>
        <v>1816</v>
      </c>
      <c r="L9" s="33">
        <f t="shared" si="0"/>
        <v>1816</v>
      </c>
      <c r="M9" s="33">
        <f t="shared" si="0"/>
        <v>1816</v>
      </c>
      <c r="N9" s="33">
        <f t="shared" si="0"/>
        <v>1816</v>
      </c>
      <c r="O9" s="33">
        <f>O6-O7-O8</f>
        <v>1816</v>
      </c>
      <c r="P9" s="33">
        <f>P6-P7-P8</f>
        <v>21792</v>
      </c>
    </row>
    <row r="10" spans="2:26">
      <c r="C10" t="s">
        <v>2</v>
      </c>
      <c r="D10" s="33">
        <v>360</v>
      </c>
      <c r="E10" s="33">
        <v>360</v>
      </c>
      <c r="F10" s="33">
        <v>360</v>
      </c>
      <c r="G10" s="33">
        <v>360</v>
      </c>
      <c r="H10" s="33">
        <v>360</v>
      </c>
      <c r="I10" s="33">
        <v>360</v>
      </c>
      <c r="J10" s="33">
        <v>360</v>
      </c>
      <c r="K10" s="33">
        <v>360</v>
      </c>
      <c r="L10" s="33">
        <v>360</v>
      </c>
      <c r="M10" s="33">
        <v>360</v>
      </c>
      <c r="N10" s="33">
        <v>360</v>
      </c>
      <c r="O10" s="33">
        <v>360</v>
      </c>
      <c r="P10" s="33">
        <f t="shared" ref="P10:P32" si="1">SUM(D10:O10)</f>
        <v>4320</v>
      </c>
    </row>
    <row r="11" spans="2:26">
      <c r="C11" t="s">
        <v>7</v>
      </c>
      <c r="D11" s="33">
        <v>445</v>
      </c>
      <c r="E11" s="33">
        <v>445</v>
      </c>
      <c r="F11" s="33">
        <v>445</v>
      </c>
      <c r="G11" s="33">
        <v>445</v>
      </c>
      <c r="H11" s="33">
        <v>445</v>
      </c>
      <c r="I11" s="33">
        <v>445</v>
      </c>
      <c r="J11" s="33">
        <v>445</v>
      </c>
      <c r="K11" s="33">
        <v>445</v>
      </c>
      <c r="L11" s="33">
        <v>445</v>
      </c>
      <c r="M11" s="33">
        <v>445</v>
      </c>
      <c r="N11" s="33">
        <v>445</v>
      </c>
      <c r="O11" s="33">
        <v>445</v>
      </c>
      <c r="P11" s="33">
        <f t="shared" si="1"/>
        <v>5340</v>
      </c>
    </row>
    <row r="12" spans="2:26">
      <c r="C12" t="s">
        <v>11</v>
      </c>
      <c r="D12" s="33">
        <v>619</v>
      </c>
      <c r="E12" s="33">
        <v>619</v>
      </c>
      <c r="F12" s="33">
        <v>619</v>
      </c>
      <c r="G12" s="33">
        <v>619</v>
      </c>
      <c r="H12" s="33">
        <v>619</v>
      </c>
      <c r="I12" s="33">
        <v>619</v>
      </c>
      <c r="J12" s="33">
        <v>619</v>
      </c>
      <c r="K12" s="33">
        <v>619</v>
      </c>
      <c r="L12" s="33">
        <v>619</v>
      </c>
      <c r="M12" s="33">
        <v>619</v>
      </c>
      <c r="N12" s="33">
        <v>619</v>
      </c>
      <c r="O12" s="33">
        <v>619</v>
      </c>
      <c r="P12" s="33">
        <f t="shared" si="1"/>
        <v>7428</v>
      </c>
    </row>
    <row r="13" spans="2:26">
      <c r="C13" t="s">
        <v>14</v>
      </c>
      <c r="D13" s="33">
        <f>(125*26)/12</f>
        <v>270.83333333333331</v>
      </c>
      <c r="E13" s="33">
        <f t="shared" ref="E13:O13" si="2">(125*26)/12</f>
        <v>270.83333333333331</v>
      </c>
      <c r="F13" s="33">
        <f t="shared" si="2"/>
        <v>270.83333333333331</v>
      </c>
      <c r="G13" s="33">
        <f t="shared" si="2"/>
        <v>270.83333333333331</v>
      </c>
      <c r="H13" s="33">
        <f t="shared" si="2"/>
        <v>270.83333333333331</v>
      </c>
      <c r="I13" s="33">
        <f t="shared" si="2"/>
        <v>270.83333333333331</v>
      </c>
      <c r="J13" s="33">
        <f t="shared" si="2"/>
        <v>270.83333333333331</v>
      </c>
      <c r="K13" s="33">
        <f t="shared" si="2"/>
        <v>270.83333333333331</v>
      </c>
      <c r="L13" s="33">
        <f t="shared" si="2"/>
        <v>270.83333333333331</v>
      </c>
      <c r="M13" s="33">
        <f t="shared" si="2"/>
        <v>270.83333333333331</v>
      </c>
      <c r="N13" s="33">
        <f t="shared" si="2"/>
        <v>270.83333333333331</v>
      </c>
      <c r="O13" s="33">
        <f t="shared" si="2"/>
        <v>270.83333333333331</v>
      </c>
      <c r="P13" s="33">
        <f t="shared" si="1"/>
        <v>3250.0000000000005</v>
      </c>
    </row>
    <row r="14" spans="2:26">
      <c r="C14" t="s">
        <v>18</v>
      </c>
      <c r="D14" s="33">
        <v>104</v>
      </c>
      <c r="E14" s="33">
        <v>104</v>
      </c>
      <c r="F14" s="33">
        <v>104</v>
      </c>
      <c r="G14" s="33">
        <v>104</v>
      </c>
      <c r="H14" s="33">
        <v>104</v>
      </c>
      <c r="I14" s="33">
        <v>104</v>
      </c>
      <c r="J14" s="33">
        <v>104</v>
      </c>
      <c r="K14" s="33">
        <v>104</v>
      </c>
      <c r="L14" s="33">
        <v>104</v>
      </c>
      <c r="M14" s="33">
        <v>104</v>
      </c>
      <c r="N14" s="33">
        <v>104</v>
      </c>
      <c r="O14" s="33">
        <v>104</v>
      </c>
      <c r="P14" s="33">
        <f t="shared" si="1"/>
        <v>1248</v>
      </c>
    </row>
    <row r="15" spans="2:26">
      <c r="C15" t="s">
        <v>20</v>
      </c>
      <c r="D15" s="33">
        <v>2223</v>
      </c>
      <c r="E15" s="33">
        <v>2223</v>
      </c>
      <c r="F15" s="33">
        <v>2223</v>
      </c>
      <c r="G15" s="33">
        <v>2223</v>
      </c>
      <c r="H15" s="33">
        <v>2223</v>
      </c>
      <c r="I15" s="33">
        <v>2223</v>
      </c>
      <c r="J15" s="33">
        <v>2223</v>
      </c>
      <c r="K15" s="33">
        <v>2223</v>
      </c>
      <c r="L15" s="33">
        <f t="shared" ref="L15:O15" si="3">2223/2</f>
        <v>1111.5</v>
      </c>
      <c r="M15" s="33">
        <f t="shared" si="3"/>
        <v>1111.5</v>
      </c>
      <c r="N15" s="33">
        <f t="shared" si="3"/>
        <v>1111.5</v>
      </c>
      <c r="O15" s="33">
        <f t="shared" si="3"/>
        <v>1111.5</v>
      </c>
      <c r="P15" s="33">
        <f t="shared" si="1"/>
        <v>22230</v>
      </c>
    </row>
    <row r="16" spans="2:26">
      <c r="C16" t="s">
        <v>61</v>
      </c>
      <c r="D16" s="33">
        <v>0</v>
      </c>
      <c r="E16" s="33">
        <v>0</v>
      </c>
      <c r="F16" s="33">
        <v>0</v>
      </c>
      <c r="G16" s="33">
        <v>0</v>
      </c>
      <c r="H16" s="33">
        <v>0</v>
      </c>
      <c r="I16" s="33">
        <v>0</v>
      </c>
      <c r="J16" s="33">
        <v>0</v>
      </c>
      <c r="K16" s="33">
        <v>0</v>
      </c>
      <c r="L16" s="33">
        <v>0</v>
      </c>
      <c r="M16" s="33">
        <v>0</v>
      </c>
      <c r="N16" s="33">
        <v>0</v>
      </c>
      <c r="O16" s="33">
        <v>0</v>
      </c>
      <c r="P16" s="33">
        <f t="shared" si="1"/>
        <v>0</v>
      </c>
    </row>
    <row r="17" spans="3:16">
      <c r="C17" s="35" t="s">
        <v>7259</v>
      </c>
      <c r="D17" s="36">
        <f>SUM(D9:D16)</f>
        <v>5837.8333333333339</v>
      </c>
      <c r="E17" s="36">
        <f t="shared" ref="E17:O17" si="4">SUM(E9:E16)</f>
        <v>5837.8333333333339</v>
      </c>
      <c r="F17" s="36">
        <f t="shared" si="4"/>
        <v>5837.8333333333339</v>
      </c>
      <c r="G17" s="36">
        <f t="shared" si="4"/>
        <v>5837.8333333333339</v>
      </c>
      <c r="H17" s="36">
        <f t="shared" si="4"/>
        <v>5837.8333333333339</v>
      </c>
      <c r="I17" s="36">
        <f t="shared" si="4"/>
        <v>5837.8333333333339</v>
      </c>
      <c r="J17" s="36">
        <f t="shared" si="4"/>
        <v>5837.8333333333339</v>
      </c>
      <c r="K17" s="36">
        <f t="shared" si="4"/>
        <v>5837.8333333333339</v>
      </c>
      <c r="L17" s="36">
        <f t="shared" si="4"/>
        <v>4726.3333333333339</v>
      </c>
      <c r="M17" s="36">
        <f t="shared" si="4"/>
        <v>4726.3333333333339</v>
      </c>
      <c r="N17" s="36">
        <f t="shared" si="4"/>
        <v>4726.3333333333339</v>
      </c>
      <c r="O17" s="36">
        <f t="shared" si="4"/>
        <v>4726.3333333333339</v>
      </c>
      <c r="P17" s="36">
        <f>SUM(P9:P16)</f>
        <v>65608</v>
      </c>
    </row>
    <row r="18" spans="3:16">
      <c r="D18" s="33"/>
      <c r="E18" s="33"/>
      <c r="F18" s="33"/>
      <c r="G18" s="33"/>
      <c r="H18" s="33"/>
      <c r="I18" s="33"/>
      <c r="J18" s="33"/>
      <c r="K18" s="33"/>
      <c r="L18" s="33"/>
      <c r="M18" s="33"/>
      <c r="N18" s="33"/>
      <c r="O18" s="33"/>
      <c r="P18" s="33"/>
    </row>
    <row r="19" spans="3:16">
      <c r="C19" t="s">
        <v>23</v>
      </c>
      <c r="D19" s="33">
        <v>550</v>
      </c>
      <c r="E19" s="33">
        <v>550</v>
      </c>
      <c r="F19" s="33">
        <v>550</v>
      </c>
      <c r="G19" s="33">
        <v>550</v>
      </c>
      <c r="H19" s="33">
        <v>550</v>
      </c>
      <c r="I19" s="33">
        <v>550</v>
      </c>
      <c r="J19" s="33">
        <v>550</v>
      </c>
      <c r="K19" s="33">
        <v>550</v>
      </c>
      <c r="L19" s="33">
        <v>550</v>
      </c>
      <c r="M19" s="33">
        <v>550</v>
      </c>
      <c r="N19" s="33">
        <v>550</v>
      </c>
      <c r="O19" s="33">
        <v>550</v>
      </c>
      <c r="P19" s="33">
        <f t="shared" si="1"/>
        <v>6600</v>
      </c>
    </row>
    <row r="20" spans="3:16">
      <c r="C20" t="s">
        <v>26</v>
      </c>
      <c r="D20" s="33">
        <v>1070</v>
      </c>
      <c r="E20" s="33">
        <v>1070</v>
      </c>
      <c r="F20" s="33">
        <v>1070</v>
      </c>
      <c r="G20" s="33">
        <v>1070</v>
      </c>
      <c r="H20" s="33">
        <v>1070</v>
      </c>
      <c r="I20" s="33">
        <v>1070</v>
      </c>
      <c r="J20" s="33">
        <v>1070</v>
      </c>
      <c r="K20" s="33">
        <v>1070</v>
      </c>
      <c r="L20" s="33">
        <v>1070</v>
      </c>
      <c r="M20" s="33">
        <v>1070</v>
      </c>
      <c r="N20" s="33">
        <v>1070</v>
      </c>
      <c r="O20" s="33">
        <v>1070</v>
      </c>
      <c r="P20" s="33">
        <f t="shared" si="1"/>
        <v>12840</v>
      </c>
    </row>
    <row r="21" spans="3:16">
      <c r="C21" t="s">
        <v>28</v>
      </c>
      <c r="D21" s="33">
        <v>877</v>
      </c>
      <c r="E21" s="33">
        <v>877</v>
      </c>
      <c r="F21" s="33">
        <v>877</v>
      </c>
      <c r="G21" s="33">
        <v>877</v>
      </c>
      <c r="H21" s="33">
        <v>877</v>
      </c>
      <c r="I21" s="33">
        <v>877</v>
      </c>
      <c r="J21" s="33">
        <v>877</v>
      </c>
      <c r="K21" s="33">
        <v>877</v>
      </c>
      <c r="L21" s="33">
        <v>877</v>
      </c>
      <c r="M21" s="33">
        <v>877</v>
      </c>
      <c r="N21" s="33">
        <v>877</v>
      </c>
      <c r="O21" s="33">
        <v>877</v>
      </c>
      <c r="P21" s="33">
        <f t="shared" si="1"/>
        <v>10524</v>
      </c>
    </row>
    <row r="22" spans="3:16">
      <c r="C22" t="s">
        <v>31</v>
      </c>
      <c r="D22" s="33">
        <v>575</v>
      </c>
      <c r="E22" s="33">
        <v>575</v>
      </c>
      <c r="F22" s="33">
        <v>575</v>
      </c>
      <c r="G22" s="33">
        <v>575</v>
      </c>
      <c r="H22" s="33">
        <v>575</v>
      </c>
      <c r="I22" s="33">
        <v>575</v>
      </c>
      <c r="J22" s="33">
        <v>575</v>
      </c>
      <c r="K22" s="33">
        <v>575</v>
      </c>
      <c r="L22" s="33">
        <v>575</v>
      </c>
      <c r="M22" s="33">
        <v>575</v>
      </c>
      <c r="N22" s="33">
        <v>575</v>
      </c>
      <c r="O22" s="33">
        <v>575</v>
      </c>
      <c r="P22" s="33">
        <f t="shared" si="1"/>
        <v>6900</v>
      </c>
    </row>
    <row r="23" spans="3:16">
      <c r="C23" s="35" t="s">
        <v>7260</v>
      </c>
      <c r="D23" s="36">
        <v>3072</v>
      </c>
      <c r="E23" s="36">
        <v>3072</v>
      </c>
      <c r="F23" s="36">
        <v>3072</v>
      </c>
      <c r="G23" s="36">
        <v>3072</v>
      </c>
      <c r="H23" s="36">
        <v>3072</v>
      </c>
      <c r="I23" s="36">
        <v>3072</v>
      </c>
      <c r="J23" s="36">
        <v>3072</v>
      </c>
      <c r="K23" s="36">
        <v>3072</v>
      </c>
      <c r="L23" s="36">
        <v>3072</v>
      </c>
      <c r="M23" s="36">
        <v>3072</v>
      </c>
      <c r="N23" s="36">
        <v>3072</v>
      </c>
      <c r="O23" s="36">
        <v>3072</v>
      </c>
      <c r="P23" s="36">
        <f t="shared" si="1"/>
        <v>36864</v>
      </c>
    </row>
    <row r="24" spans="3:16">
      <c r="D24" s="33"/>
      <c r="E24" s="33"/>
      <c r="F24" s="33"/>
      <c r="G24" s="33"/>
      <c r="H24" s="33"/>
      <c r="I24" s="33"/>
      <c r="J24" s="33"/>
      <c r="K24" s="33"/>
      <c r="L24" s="33"/>
      <c r="M24" s="33"/>
      <c r="N24" s="33"/>
      <c r="O24" s="33"/>
      <c r="P24" s="33"/>
    </row>
    <row r="25" spans="3:16">
      <c r="C25" t="s">
        <v>34</v>
      </c>
      <c r="D25" s="33">
        <v>40</v>
      </c>
      <c r="E25" s="33">
        <v>40</v>
      </c>
      <c r="F25" s="33">
        <v>40</v>
      </c>
      <c r="G25" s="33">
        <v>40</v>
      </c>
      <c r="H25" s="33">
        <v>40</v>
      </c>
      <c r="I25" s="33">
        <v>40</v>
      </c>
      <c r="J25" s="33">
        <v>40</v>
      </c>
      <c r="K25" s="33">
        <v>40</v>
      </c>
      <c r="L25" s="33">
        <v>40</v>
      </c>
      <c r="M25" s="33">
        <v>40</v>
      </c>
      <c r="N25" s="33">
        <v>40</v>
      </c>
      <c r="O25" s="33">
        <v>40</v>
      </c>
      <c r="P25" s="33">
        <f t="shared" si="1"/>
        <v>480</v>
      </c>
    </row>
    <row r="26" spans="3:16">
      <c r="C26" t="s">
        <v>21</v>
      </c>
      <c r="D26" s="33">
        <v>2042</v>
      </c>
      <c r="E26" s="33">
        <v>2042</v>
      </c>
      <c r="F26" s="33">
        <v>2042</v>
      </c>
      <c r="G26" s="33">
        <v>2042</v>
      </c>
      <c r="H26" s="33">
        <v>2042</v>
      </c>
      <c r="I26" s="33">
        <v>2042</v>
      </c>
      <c r="J26" s="33">
        <v>2042</v>
      </c>
      <c r="K26" s="33">
        <v>2042</v>
      </c>
      <c r="L26" s="33">
        <v>2042</v>
      </c>
      <c r="M26" s="33">
        <v>2042</v>
      </c>
      <c r="N26" s="33">
        <v>2042</v>
      </c>
      <c r="O26" s="33">
        <v>2042</v>
      </c>
      <c r="P26" s="33">
        <f t="shared" si="1"/>
        <v>24504</v>
      </c>
    </row>
    <row r="27" spans="3:16">
      <c r="C27" t="s">
        <v>38</v>
      </c>
      <c r="D27" s="33">
        <v>396</v>
      </c>
      <c r="E27" s="33">
        <v>396</v>
      </c>
      <c r="F27" s="33">
        <v>396</v>
      </c>
      <c r="G27" s="33">
        <v>396</v>
      </c>
      <c r="H27" s="33">
        <v>396</v>
      </c>
      <c r="I27" s="33">
        <v>396</v>
      </c>
      <c r="J27" s="33">
        <v>396</v>
      </c>
      <c r="K27" s="33">
        <v>396</v>
      </c>
      <c r="L27" s="33">
        <v>396</v>
      </c>
      <c r="M27" s="33">
        <v>396</v>
      </c>
      <c r="N27" s="33">
        <v>396</v>
      </c>
      <c r="O27" s="33">
        <v>396</v>
      </c>
      <c r="P27" s="33">
        <f t="shared" si="1"/>
        <v>4752</v>
      </c>
    </row>
    <row r="28" spans="3:16">
      <c r="C28" t="s">
        <v>40</v>
      </c>
      <c r="D28" s="33">
        <v>305</v>
      </c>
      <c r="E28" s="33">
        <v>305</v>
      </c>
      <c r="F28" s="33">
        <v>305</v>
      </c>
      <c r="G28" s="33">
        <v>305</v>
      </c>
      <c r="H28" s="33">
        <v>305</v>
      </c>
      <c r="I28" s="33">
        <v>305</v>
      </c>
      <c r="J28" s="33">
        <v>305</v>
      </c>
      <c r="K28" s="33">
        <v>305</v>
      </c>
      <c r="L28" s="33">
        <v>305</v>
      </c>
      <c r="M28" s="33">
        <v>305</v>
      </c>
      <c r="N28" s="33">
        <v>305</v>
      </c>
      <c r="O28" s="33">
        <v>305</v>
      </c>
      <c r="P28" s="33">
        <f t="shared" si="1"/>
        <v>3660</v>
      </c>
    </row>
    <row r="29" spans="3:16">
      <c r="C29" t="s">
        <v>41</v>
      </c>
      <c r="D29" s="33">
        <v>30</v>
      </c>
      <c r="E29" s="33">
        <v>30</v>
      </c>
      <c r="F29" s="33">
        <v>30</v>
      </c>
      <c r="G29" s="33">
        <v>30</v>
      </c>
      <c r="H29" s="33">
        <v>30</v>
      </c>
      <c r="I29" s="33">
        <v>30</v>
      </c>
      <c r="J29" s="33">
        <v>30</v>
      </c>
      <c r="K29" s="33">
        <v>30</v>
      </c>
      <c r="L29" s="33">
        <v>30</v>
      </c>
      <c r="M29" s="33">
        <v>30</v>
      </c>
      <c r="N29" s="33">
        <v>30</v>
      </c>
      <c r="O29" s="33">
        <v>30</v>
      </c>
      <c r="P29" s="33">
        <f t="shared" si="1"/>
        <v>360</v>
      </c>
    </row>
    <row r="30" spans="3:16">
      <c r="C30" t="s">
        <v>45</v>
      </c>
      <c r="D30" s="33">
        <v>130</v>
      </c>
      <c r="E30" s="33">
        <v>130</v>
      </c>
      <c r="F30" s="33">
        <v>130</v>
      </c>
      <c r="G30" s="33">
        <v>130</v>
      </c>
      <c r="H30" s="33">
        <v>130</v>
      </c>
      <c r="I30" s="33">
        <v>130</v>
      </c>
      <c r="J30" s="33">
        <v>130</v>
      </c>
      <c r="K30" s="33">
        <v>130</v>
      </c>
      <c r="L30" s="33">
        <v>130</v>
      </c>
      <c r="M30" s="33">
        <v>130</v>
      </c>
      <c r="N30" s="33">
        <v>130</v>
      </c>
      <c r="O30" s="33">
        <v>130</v>
      </c>
      <c r="P30" s="33">
        <f t="shared" si="1"/>
        <v>1560</v>
      </c>
    </row>
    <row r="31" spans="3:16">
      <c r="C31" t="s">
        <v>29</v>
      </c>
      <c r="D31" s="33">
        <v>0</v>
      </c>
      <c r="E31" s="33">
        <v>0</v>
      </c>
      <c r="F31" s="33">
        <v>0</v>
      </c>
      <c r="G31" s="33">
        <v>0</v>
      </c>
      <c r="H31" s="33">
        <v>0</v>
      </c>
      <c r="I31" s="33">
        <v>0</v>
      </c>
      <c r="J31" s="33">
        <v>0</v>
      </c>
      <c r="K31" s="33">
        <v>0</v>
      </c>
      <c r="L31" s="33">
        <v>0</v>
      </c>
      <c r="M31" s="33">
        <v>0</v>
      </c>
      <c r="N31" s="33">
        <v>0</v>
      </c>
      <c r="O31" s="33">
        <v>0</v>
      </c>
      <c r="P31" s="33">
        <f t="shared" si="1"/>
        <v>0</v>
      </c>
    </row>
    <row r="32" spans="3:16">
      <c r="C32" s="35" t="s">
        <v>7261</v>
      </c>
      <c r="D32" s="36">
        <v>2943</v>
      </c>
      <c r="E32" s="36">
        <v>2943</v>
      </c>
      <c r="F32" s="36">
        <v>2943</v>
      </c>
      <c r="G32" s="36">
        <v>2943</v>
      </c>
      <c r="H32" s="36">
        <v>2943</v>
      </c>
      <c r="I32" s="36">
        <v>2943</v>
      </c>
      <c r="J32" s="36">
        <v>2943</v>
      </c>
      <c r="K32" s="36">
        <v>2943</v>
      </c>
      <c r="L32" s="36">
        <v>2943</v>
      </c>
      <c r="M32" s="36">
        <v>2943</v>
      </c>
      <c r="N32" s="36">
        <v>2943</v>
      </c>
      <c r="O32" s="36">
        <v>2943</v>
      </c>
      <c r="P32" s="36">
        <f t="shared" si="1"/>
        <v>35316</v>
      </c>
    </row>
    <row r="33" spans="3:16">
      <c r="C33" s="19"/>
      <c r="D33" s="37"/>
      <c r="E33" s="37"/>
      <c r="F33" s="37"/>
      <c r="G33" s="37"/>
      <c r="H33" s="37"/>
      <c r="I33" s="37"/>
      <c r="J33" s="37"/>
      <c r="K33" s="37"/>
      <c r="L33" s="37"/>
      <c r="M33" s="37"/>
      <c r="N33" s="37"/>
      <c r="O33" s="37"/>
      <c r="P33" s="37"/>
    </row>
    <row r="34" spans="3:16">
      <c r="C34" s="16" t="s">
        <v>7153</v>
      </c>
      <c r="D34" s="38">
        <f>SUM(D17,D23,D32)</f>
        <v>11852.833333333334</v>
      </c>
      <c r="E34" s="38">
        <f t="shared" ref="E34:O34" si="5">SUM(E17,E23,E32)</f>
        <v>11852.833333333334</v>
      </c>
      <c r="F34" s="38">
        <f t="shared" si="5"/>
        <v>11852.833333333334</v>
      </c>
      <c r="G34" s="38">
        <f t="shared" si="5"/>
        <v>11852.833333333334</v>
      </c>
      <c r="H34" s="38">
        <f t="shared" si="5"/>
        <v>11852.833333333334</v>
      </c>
      <c r="I34" s="38">
        <f t="shared" si="5"/>
        <v>11852.833333333334</v>
      </c>
      <c r="J34" s="38">
        <f t="shared" si="5"/>
        <v>11852.833333333334</v>
      </c>
      <c r="K34" s="38">
        <f t="shared" si="5"/>
        <v>11852.833333333334</v>
      </c>
      <c r="L34" s="38">
        <f t="shared" si="5"/>
        <v>10741.333333333334</v>
      </c>
      <c r="M34" s="38">
        <f t="shared" si="5"/>
        <v>10741.333333333334</v>
      </c>
      <c r="N34" s="38">
        <f t="shared" si="5"/>
        <v>10741.333333333334</v>
      </c>
      <c r="O34" s="38">
        <f t="shared" si="5"/>
        <v>10741.333333333334</v>
      </c>
      <c r="P34" s="38">
        <f>SUM(P17,P23,P32)</f>
        <v>137788</v>
      </c>
    </row>
    <row r="36" spans="3:16">
      <c r="C36" t="s">
        <v>7323</v>
      </c>
    </row>
    <row r="37" spans="3:16">
      <c r="C37" t="s">
        <v>7324</v>
      </c>
      <c r="D37" s="33">
        <f>2000/12</f>
        <v>166.66666666666666</v>
      </c>
      <c r="E37" s="33">
        <f t="shared" ref="E37:O37" si="6">2000/12</f>
        <v>166.66666666666666</v>
      </c>
      <c r="F37" s="33">
        <f t="shared" si="6"/>
        <v>166.66666666666666</v>
      </c>
      <c r="G37" s="33">
        <f t="shared" si="6"/>
        <v>166.66666666666666</v>
      </c>
      <c r="H37" s="33">
        <f t="shared" si="6"/>
        <v>166.66666666666666</v>
      </c>
      <c r="I37" s="33">
        <f t="shared" si="6"/>
        <v>166.66666666666666</v>
      </c>
      <c r="J37" s="33">
        <f t="shared" si="6"/>
        <v>166.66666666666666</v>
      </c>
      <c r="K37" s="33">
        <f t="shared" si="6"/>
        <v>166.66666666666666</v>
      </c>
      <c r="L37" s="33">
        <f t="shared" si="6"/>
        <v>166.66666666666666</v>
      </c>
      <c r="M37" s="33">
        <f t="shared" si="6"/>
        <v>166.66666666666666</v>
      </c>
      <c r="N37" s="33">
        <f t="shared" si="6"/>
        <v>166.66666666666666</v>
      </c>
      <c r="O37" s="33">
        <f t="shared" si="6"/>
        <v>166.66666666666666</v>
      </c>
      <c r="P37" s="33">
        <f t="shared" ref="P37:P39" si="7">SUM(D37:O37)</f>
        <v>2000.0000000000002</v>
      </c>
    </row>
    <row r="38" spans="3:16">
      <c r="C38" t="s">
        <v>50</v>
      </c>
      <c r="D38" s="33"/>
      <c r="E38" s="33"/>
      <c r="F38" s="33"/>
      <c r="G38" s="33"/>
      <c r="H38" s="33"/>
      <c r="I38" s="33"/>
      <c r="J38" s="33"/>
      <c r="K38" s="33"/>
      <c r="L38" s="33"/>
      <c r="M38" s="33"/>
      <c r="N38" s="33"/>
      <c r="O38" s="33"/>
      <c r="P38" s="33">
        <f t="shared" si="7"/>
        <v>0</v>
      </c>
    </row>
    <row r="39" spans="3:16">
      <c r="C39" t="s">
        <v>43</v>
      </c>
      <c r="D39" s="33">
        <v>1100</v>
      </c>
      <c r="E39" s="33">
        <v>1500</v>
      </c>
      <c r="F39" s="33"/>
      <c r="G39" s="33"/>
      <c r="H39" s="33"/>
      <c r="I39" s="33"/>
      <c r="J39" s="33">
        <v>2000</v>
      </c>
      <c r="K39" s="33">
        <v>5000</v>
      </c>
      <c r="L39" s="33">
        <v>1000</v>
      </c>
      <c r="M39" s="33"/>
      <c r="N39" s="33"/>
      <c r="O39" s="33"/>
      <c r="P39" s="33">
        <f t="shared" si="7"/>
        <v>10600</v>
      </c>
    </row>
    <row r="40" spans="3:16">
      <c r="C40" s="35" t="s">
        <v>7153</v>
      </c>
      <c r="D40" s="36">
        <f>SUM(D36:D39)</f>
        <v>1266.6666666666667</v>
      </c>
      <c r="E40" s="36">
        <f t="shared" ref="E40:O40" si="8">SUM(E36:E39)</f>
        <v>1666.6666666666667</v>
      </c>
      <c r="F40" s="36">
        <f t="shared" si="8"/>
        <v>166.66666666666666</v>
      </c>
      <c r="G40" s="36">
        <f t="shared" si="8"/>
        <v>166.66666666666666</v>
      </c>
      <c r="H40" s="36">
        <f t="shared" si="8"/>
        <v>166.66666666666666</v>
      </c>
      <c r="I40" s="36">
        <f t="shared" si="8"/>
        <v>166.66666666666666</v>
      </c>
      <c r="J40" s="36">
        <f t="shared" si="8"/>
        <v>2166.6666666666665</v>
      </c>
      <c r="K40" s="36">
        <f t="shared" si="8"/>
        <v>5166.666666666667</v>
      </c>
      <c r="L40" s="36">
        <f t="shared" si="8"/>
        <v>1166.6666666666667</v>
      </c>
      <c r="M40" s="36">
        <f t="shared" si="8"/>
        <v>166.66666666666666</v>
      </c>
      <c r="N40" s="36">
        <f t="shared" si="8"/>
        <v>166.66666666666666</v>
      </c>
      <c r="O40" s="36">
        <f t="shared" si="8"/>
        <v>166.66666666666666</v>
      </c>
      <c r="P40" s="36">
        <f>SUM(D40:O40)</f>
        <v>12599.999999999996</v>
      </c>
    </row>
    <row r="42" spans="3:16" ht="3" customHeight="1">
      <c r="C42" s="31"/>
      <c r="D42" s="31"/>
      <c r="E42" s="31"/>
      <c r="F42" s="31"/>
      <c r="G42" s="31"/>
      <c r="H42" s="31"/>
      <c r="I42" s="31"/>
      <c r="J42" s="31"/>
      <c r="K42" s="31"/>
      <c r="L42" s="31"/>
      <c r="M42" s="31"/>
      <c r="N42" s="31"/>
      <c r="O42" s="31"/>
      <c r="P42" s="31"/>
    </row>
    <row r="43" spans="3:16">
      <c r="C43" s="16" t="s">
        <v>7262</v>
      </c>
      <c r="P43" s="39">
        <f>SUM(P40,P34)</f>
        <v>150388</v>
      </c>
    </row>
  </sheetData>
  <pageMargins left="0.7" right="0.7" top="0.75" bottom="0.75" header="0.3" footer="0.3"/>
  <pageSetup fitToHeight="0"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1170-1C9B-415E-8B73-0FDF83CFDCAA}">
  <sheetPr>
    <pageSetUpPr fitToPage="1"/>
  </sheetPr>
  <dimension ref="C1:P40"/>
  <sheetViews>
    <sheetView topLeftCell="A3" workbookViewId="0">
      <selection activeCell="G19" sqref="G19"/>
    </sheetView>
  </sheetViews>
  <sheetFormatPr defaultRowHeight="15"/>
  <cols>
    <col min="3" max="3" width="25" customWidth="1"/>
    <col min="4" max="4" width="11.140625" customWidth="1"/>
    <col min="5" max="7" width="10.28515625" customWidth="1"/>
    <col min="8" max="8" width="12.85546875" customWidth="1"/>
    <col min="9" max="9" width="12.28515625" customWidth="1"/>
    <col min="10" max="10" width="11.5703125" customWidth="1"/>
    <col min="11" max="15" width="10.28515625" customWidth="1"/>
  </cols>
  <sheetData>
    <row r="1" spans="3:16">
      <c r="D1" s="25">
        <f>VALUE(YEAR(D2)&amp;TEXT(MONTH(D2),"00"))</f>
        <v>202512</v>
      </c>
      <c r="E1" s="25">
        <f t="shared" ref="E1:O1" si="0">VALUE(YEAR(E2)&amp;TEXT(MONTH(E2),"00"))</f>
        <v>202511</v>
      </c>
      <c r="F1" s="25">
        <f t="shared" si="0"/>
        <v>202510</v>
      </c>
      <c r="G1" s="25">
        <f t="shared" si="0"/>
        <v>202509</v>
      </c>
      <c r="H1" s="25">
        <f t="shared" si="0"/>
        <v>202508</v>
      </c>
      <c r="I1" s="25">
        <f t="shared" si="0"/>
        <v>202507</v>
      </c>
      <c r="J1" s="25">
        <f t="shared" si="0"/>
        <v>202506</v>
      </c>
      <c r="K1" s="25">
        <f t="shared" si="0"/>
        <v>202505</v>
      </c>
      <c r="L1" s="25">
        <f t="shared" si="0"/>
        <v>202504</v>
      </c>
      <c r="M1" s="25">
        <f t="shared" si="0"/>
        <v>202503</v>
      </c>
      <c r="N1" s="25">
        <f t="shared" si="0"/>
        <v>202502</v>
      </c>
      <c r="O1" s="25">
        <f t="shared" si="0"/>
        <v>202501</v>
      </c>
    </row>
    <row r="2" spans="3:16">
      <c r="D2" s="6">
        <f>EOMONTH('1 MO'!C2-1,1)</f>
        <v>46022</v>
      </c>
      <c r="E2" s="6">
        <f>EOMONTH(D2,-1)</f>
        <v>45991</v>
      </c>
      <c r="F2" s="6">
        <f t="shared" ref="F2:O2" si="1">EOMONTH(E2,-1)</f>
        <v>45961</v>
      </c>
      <c r="G2" s="6">
        <f t="shared" si="1"/>
        <v>45930</v>
      </c>
      <c r="H2" s="6">
        <f t="shared" si="1"/>
        <v>45900</v>
      </c>
      <c r="I2" s="6">
        <f t="shared" si="1"/>
        <v>45869</v>
      </c>
      <c r="J2" s="6">
        <f t="shared" si="1"/>
        <v>45838</v>
      </c>
      <c r="K2" s="6">
        <f t="shared" si="1"/>
        <v>45808</v>
      </c>
      <c r="L2" s="6">
        <f t="shared" si="1"/>
        <v>45777</v>
      </c>
      <c r="M2" s="6">
        <f t="shared" si="1"/>
        <v>45747</v>
      </c>
      <c r="N2" s="6">
        <f t="shared" si="1"/>
        <v>45716</v>
      </c>
      <c r="O2" s="6">
        <f t="shared" si="1"/>
        <v>45688</v>
      </c>
    </row>
    <row r="7" spans="3:16">
      <c r="C7" s="9" t="s">
        <v>7267</v>
      </c>
      <c r="D7" s="10" t="str">
        <f>TEXT(DATE(LEFT(D1,4),RIGHT(D1,2),1),"MMM YYYY")</f>
        <v>Dec 2025</v>
      </c>
      <c r="E7" s="10" t="str">
        <f t="shared" ref="E7:O7" si="2">TEXT(DATE(LEFT(E1,4),RIGHT(E1,2),1),"MMM YYYY")</f>
        <v>Nov 2025</v>
      </c>
      <c r="F7" s="10" t="str">
        <f t="shared" si="2"/>
        <v>Oct 2025</v>
      </c>
      <c r="G7" s="10" t="str">
        <f t="shared" si="2"/>
        <v>Sep 2025</v>
      </c>
      <c r="H7" s="10" t="str">
        <f t="shared" si="2"/>
        <v>Aug 2025</v>
      </c>
      <c r="I7" s="10" t="str">
        <f t="shared" si="2"/>
        <v>Jul 2025</v>
      </c>
      <c r="J7" s="10" t="str">
        <f t="shared" si="2"/>
        <v>Jun 2025</v>
      </c>
      <c r="K7" s="10" t="str">
        <f t="shared" si="2"/>
        <v>May 2025</v>
      </c>
      <c r="L7" s="10" t="str">
        <f t="shared" si="2"/>
        <v>Apr 2025</v>
      </c>
      <c r="M7" s="10" t="str">
        <f t="shared" si="2"/>
        <v>Mar 2025</v>
      </c>
      <c r="N7" s="10" t="str">
        <f t="shared" si="2"/>
        <v>Feb 2025</v>
      </c>
      <c r="O7" s="10" t="str">
        <f t="shared" si="2"/>
        <v>Jan 2025</v>
      </c>
      <c r="P7" s="10" t="s">
        <v>7153</v>
      </c>
    </row>
    <row r="8" spans="3:16" ht="3" customHeight="1">
      <c r="C8" s="22"/>
      <c r="D8" s="23"/>
      <c r="E8" s="23"/>
      <c r="F8" s="23"/>
      <c r="G8" s="23"/>
      <c r="H8" s="23"/>
      <c r="I8" s="23"/>
      <c r="J8" s="23"/>
      <c r="K8" s="23"/>
      <c r="L8" s="23"/>
      <c r="M8" s="23"/>
      <c r="N8" s="23"/>
      <c r="O8" s="23"/>
      <c r="P8" s="23"/>
    </row>
    <row r="9" spans="3:16">
      <c r="C9" t="s">
        <v>5</v>
      </c>
      <c r="D9" s="13">
        <f>SUMIFS(Actuals!$E:$E,Actuals!$F:$F,'Year Filter'!$C9,Actuals!$A:$A,'Year Filter'!D$1)</f>
        <v>3378.51</v>
      </c>
      <c r="E9" s="13">
        <f>SUMIFS(Actuals!$E:$E,Actuals!$F:$F,'Year Filter'!$C9,Actuals!$A:$A,'Year Filter'!E$1)</f>
        <v>3378.51</v>
      </c>
      <c r="F9" s="13">
        <f>SUMIFS(Actuals!$E:$E,Actuals!$F:$F,'Year Filter'!$C9,Actuals!$A:$A,'Year Filter'!F$1)</f>
        <v>3378.51</v>
      </c>
      <c r="G9" s="13">
        <f>SUMIFS(Actuals!$E:$E,Actuals!$F:$F,'Year Filter'!$C9,Actuals!$A:$A,'Year Filter'!G$1)</f>
        <v>3378.51</v>
      </c>
      <c r="H9" s="13">
        <f>SUMIFS(Actuals!$E:$E,Actuals!$F:$F,'Year Filter'!$C9,Actuals!$A:$A,'Year Filter'!H$1)</f>
        <v>2745.43</v>
      </c>
      <c r="I9" s="13">
        <f>SUMIFS(Actuals!$E:$E,Actuals!$F:$F,'Year Filter'!$C9,Actuals!$A:$A,'Year Filter'!I$1)</f>
        <v>2745.43</v>
      </c>
      <c r="J9" s="13">
        <f>SUMIFS(Actuals!$E:$E,Actuals!$F:$F,'Year Filter'!$C9,Actuals!$A:$A,'Year Filter'!J$1)</f>
        <v>2745.43</v>
      </c>
      <c r="K9" s="13">
        <f>SUMIFS(Actuals!$E:$E,Actuals!$F:$F,'Year Filter'!$C9,Actuals!$A:$A,'Year Filter'!K$1)</f>
        <v>2745.43</v>
      </c>
      <c r="L9" s="13">
        <f>SUMIFS(Actuals!$E:$E,Actuals!$F:$F,'Year Filter'!$C9,Actuals!$A:$A,'Year Filter'!L$1)</f>
        <v>2745.43</v>
      </c>
      <c r="M9" s="13">
        <f>SUMIFS(Actuals!$E:$E,Actuals!$F:$F,'Year Filter'!$C9,Actuals!$A:$A,'Year Filter'!M$1)</f>
        <v>1770.04</v>
      </c>
      <c r="N9" s="13">
        <f>SUMIFS(Actuals!$E:$E,Actuals!$F:$F,'Year Filter'!$C9,Actuals!$A:$A,'Year Filter'!N$1)</f>
        <v>2745.43</v>
      </c>
      <c r="O9" s="13">
        <f>SUMIFS(Actuals!$E:$E,Actuals!$F:$F,'Year Filter'!$C9,Actuals!$A:$A,'Year Filter'!O$1)</f>
        <v>2745.43</v>
      </c>
      <c r="P9" s="13">
        <f>SUM(D9:O9)</f>
        <v>34502.090000000004</v>
      </c>
    </row>
    <row r="10" spans="3:16">
      <c r="C10" t="s">
        <v>2</v>
      </c>
      <c r="D10" s="13">
        <f>SUMIFS(Actuals!$E:$E,Actuals!$F:$F,'Year Filter'!$C10,Actuals!$A:$A,'Year Filter'!D$1)</f>
        <v>32.64</v>
      </c>
      <c r="E10" s="13">
        <f>SUMIFS(Actuals!$E:$E,Actuals!$F:$F,'Year Filter'!$C10,Actuals!$A:$A,'Year Filter'!E$1)</f>
        <v>455.38</v>
      </c>
      <c r="F10" s="13">
        <f>SUMIFS(Actuals!$E:$E,Actuals!$F:$F,'Year Filter'!$C10,Actuals!$A:$A,'Year Filter'!F$1)</f>
        <v>139</v>
      </c>
      <c r="G10" s="13">
        <f>SUMIFS(Actuals!$E:$E,Actuals!$F:$F,'Year Filter'!$C10,Actuals!$A:$A,'Year Filter'!G$1)</f>
        <v>812.79000000000008</v>
      </c>
      <c r="H10" s="13">
        <f>SUMIFS(Actuals!$E:$E,Actuals!$F:$F,'Year Filter'!$C10,Actuals!$A:$A,'Year Filter'!H$1)</f>
        <v>127.46</v>
      </c>
      <c r="I10" s="13">
        <f>SUMIFS(Actuals!$E:$E,Actuals!$F:$F,'Year Filter'!$C10,Actuals!$A:$A,'Year Filter'!I$1)</f>
        <v>373.78</v>
      </c>
      <c r="J10" s="13">
        <f>SUMIFS(Actuals!$E:$E,Actuals!$F:$F,'Year Filter'!$C10,Actuals!$A:$A,'Year Filter'!J$1)</f>
        <v>719.2600000000001</v>
      </c>
      <c r="K10" s="13">
        <f>SUMIFS(Actuals!$E:$E,Actuals!$F:$F,'Year Filter'!$C10,Actuals!$A:$A,'Year Filter'!K$1)</f>
        <v>296.67999999999995</v>
      </c>
      <c r="L10" s="13">
        <f>SUMIFS(Actuals!$E:$E,Actuals!$F:$F,'Year Filter'!$C10,Actuals!$A:$A,'Year Filter'!L$1)</f>
        <v>532.5200000000001</v>
      </c>
      <c r="M10" s="13">
        <f>SUMIFS(Actuals!$E:$E,Actuals!$F:$F,'Year Filter'!$C10,Actuals!$A:$A,'Year Filter'!M$1)</f>
        <v>432.06</v>
      </c>
      <c r="N10" s="13">
        <f>SUMIFS(Actuals!$E:$E,Actuals!$F:$F,'Year Filter'!$C10,Actuals!$A:$A,'Year Filter'!N$1)</f>
        <v>72.41</v>
      </c>
      <c r="O10" s="13">
        <f>SUMIFS(Actuals!$E:$E,Actuals!$F:$F,'Year Filter'!$C10,Actuals!$A:$A,'Year Filter'!O$1)</f>
        <v>158.51</v>
      </c>
      <c r="P10" s="13">
        <f t="shared" ref="P10:P32" si="3">SUM(D10:O10)</f>
        <v>4152.49</v>
      </c>
    </row>
    <row r="11" spans="3:16">
      <c r="C11" t="s">
        <v>7</v>
      </c>
      <c r="D11" s="13">
        <f>SUMIFS(Actuals!$E:$E,Actuals!$F:$F,'Year Filter'!$C11,Actuals!$A:$A,'Year Filter'!D$1)</f>
        <v>1190.8699999999999</v>
      </c>
      <c r="E11" s="13">
        <f>SUMIFS(Actuals!$E:$E,Actuals!$F:$F,'Year Filter'!$C11,Actuals!$A:$A,'Year Filter'!E$1)</f>
        <v>7787.5499999999993</v>
      </c>
      <c r="F11" s="13">
        <f>SUMIFS(Actuals!$E:$E,Actuals!$F:$F,'Year Filter'!$C11,Actuals!$A:$A,'Year Filter'!F$1)</f>
        <v>684.63</v>
      </c>
      <c r="G11" s="13">
        <f>SUMIFS(Actuals!$E:$E,Actuals!$F:$F,'Year Filter'!$C11,Actuals!$A:$A,'Year Filter'!G$1)</f>
        <v>1113.1600000000003</v>
      </c>
      <c r="H11" s="13">
        <f>SUMIFS(Actuals!$E:$E,Actuals!$F:$F,'Year Filter'!$C11,Actuals!$A:$A,'Year Filter'!H$1)</f>
        <v>744.52</v>
      </c>
      <c r="I11" s="13">
        <f>SUMIFS(Actuals!$E:$E,Actuals!$F:$F,'Year Filter'!$C11,Actuals!$A:$A,'Year Filter'!I$1)</f>
        <v>2949.6399999999994</v>
      </c>
      <c r="J11" s="13">
        <f>SUMIFS(Actuals!$E:$E,Actuals!$F:$F,'Year Filter'!$C11,Actuals!$A:$A,'Year Filter'!J$1)</f>
        <v>2595.9299999999994</v>
      </c>
      <c r="K11" s="13">
        <f>SUMIFS(Actuals!$E:$E,Actuals!$F:$F,'Year Filter'!$C11,Actuals!$A:$A,'Year Filter'!K$1)</f>
        <v>726.93</v>
      </c>
      <c r="L11" s="13">
        <f>SUMIFS(Actuals!$E:$E,Actuals!$F:$F,'Year Filter'!$C11,Actuals!$A:$A,'Year Filter'!L$1)</f>
        <v>507.12000000000006</v>
      </c>
      <c r="M11" s="13">
        <f>SUMIFS(Actuals!$E:$E,Actuals!$F:$F,'Year Filter'!$C11,Actuals!$A:$A,'Year Filter'!M$1)</f>
        <v>404.5200000000001</v>
      </c>
      <c r="N11" s="13">
        <f>SUMIFS(Actuals!$E:$E,Actuals!$F:$F,'Year Filter'!$C11,Actuals!$A:$A,'Year Filter'!N$1)</f>
        <v>1454.37</v>
      </c>
      <c r="O11" s="13">
        <f>SUMIFS(Actuals!$E:$E,Actuals!$F:$F,'Year Filter'!$C11,Actuals!$A:$A,'Year Filter'!O$1)</f>
        <v>512.23</v>
      </c>
      <c r="P11" s="13">
        <f t="shared" si="3"/>
        <v>20671.469999999994</v>
      </c>
    </row>
    <row r="12" spans="3:16">
      <c r="C12" t="s">
        <v>11</v>
      </c>
      <c r="D12" s="13">
        <f>SUMIFS(Actuals!$E:$E,Actuals!$F:$F,'Year Filter'!$C12,Actuals!$A:$A,'Year Filter'!D$1)</f>
        <v>0</v>
      </c>
      <c r="E12" s="13">
        <f>SUMIFS(Actuals!$E:$E,Actuals!$F:$F,'Year Filter'!$C12,Actuals!$A:$A,'Year Filter'!E$1)</f>
        <v>0</v>
      </c>
      <c r="F12" s="13">
        <f>SUMIFS(Actuals!$E:$E,Actuals!$F:$F,'Year Filter'!$C12,Actuals!$A:$A,'Year Filter'!F$1)</f>
        <v>0</v>
      </c>
      <c r="G12" s="13">
        <f>SUMIFS(Actuals!$E:$E,Actuals!$F:$F,'Year Filter'!$C12,Actuals!$A:$A,'Year Filter'!G$1)</f>
        <v>0</v>
      </c>
      <c r="H12" s="13">
        <f>SUMIFS(Actuals!$E:$E,Actuals!$F:$F,'Year Filter'!$C12,Actuals!$A:$A,'Year Filter'!H$1)</f>
        <v>0</v>
      </c>
      <c r="I12" s="13">
        <f>SUMIFS(Actuals!$E:$E,Actuals!$F:$F,'Year Filter'!$C12,Actuals!$A:$A,'Year Filter'!I$1)</f>
        <v>0</v>
      </c>
      <c r="J12" s="13">
        <f>SUMIFS(Actuals!$E:$E,Actuals!$F:$F,'Year Filter'!$C12,Actuals!$A:$A,'Year Filter'!J$1)</f>
        <v>0</v>
      </c>
      <c r="K12" s="13">
        <f>SUMIFS(Actuals!$E:$E,Actuals!$F:$F,'Year Filter'!$C12,Actuals!$A:$A,'Year Filter'!K$1)</f>
        <v>0</v>
      </c>
      <c r="L12" s="13">
        <f>SUMIFS(Actuals!$E:$E,Actuals!$F:$F,'Year Filter'!$C12,Actuals!$A:$A,'Year Filter'!L$1)</f>
        <v>0</v>
      </c>
      <c r="M12" s="13">
        <f>SUMIFS(Actuals!$E:$E,Actuals!$F:$F,'Year Filter'!$C12,Actuals!$A:$A,'Year Filter'!M$1)</f>
        <v>0</v>
      </c>
      <c r="N12" s="13">
        <f>SUMIFS(Actuals!$E:$E,Actuals!$F:$F,'Year Filter'!$C12,Actuals!$A:$A,'Year Filter'!N$1)</f>
        <v>0</v>
      </c>
      <c r="O12" s="13">
        <f>SUMIFS(Actuals!$E:$E,Actuals!$F:$F,'Year Filter'!$C12,Actuals!$A:$A,'Year Filter'!O$1)</f>
        <v>0</v>
      </c>
      <c r="P12" s="13">
        <f t="shared" si="3"/>
        <v>0</v>
      </c>
    </row>
    <row r="13" spans="3:16">
      <c r="C13" t="s">
        <v>14</v>
      </c>
      <c r="D13" s="13">
        <f>SUMIFS(Actuals!$E:$E,Actuals!$F:$F,'Year Filter'!$C13,Actuals!$A:$A,'Year Filter'!D$1)</f>
        <v>0</v>
      </c>
      <c r="E13" s="13">
        <f>SUMIFS(Actuals!$E:$E,Actuals!$F:$F,'Year Filter'!$C13,Actuals!$A:$A,'Year Filter'!E$1)</f>
        <v>0</v>
      </c>
      <c r="F13" s="13">
        <f>SUMIFS(Actuals!$E:$E,Actuals!$F:$F,'Year Filter'!$C13,Actuals!$A:$A,'Year Filter'!F$1)</f>
        <v>241.71</v>
      </c>
      <c r="G13" s="13">
        <f>SUMIFS(Actuals!$E:$E,Actuals!$F:$F,'Year Filter'!$C13,Actuals!$A:$A,'Year Filter'!G$1)</f>
        <v>0</v>
      </c>
      <c r="H13" s="13">
        <f>SUMIFS(Actuals!$E:$E,Actuals!$F:$F,'Year Filter'!$C13,Actuals!$A:$A,'Year Filter'!H$1)</f>
        <v>0</v>
      </c>
      <c r="I13" s="13">
        <f>SUMIFS(Actuals!$E:$E,Actuals!$F:$F,'Year Filter'!$C13,Actuals!$A:$A,'Year Filter'!I$1)</f>
        <v>0</v>
      </c>
      <c r="J13" s="13">
        <f>SUMIFS(Actuals!$E:$E,Actuals!$F:$F,'Year Filter'!$C13,Actuals!$A:$A,'Year Filter'!J$1)</f>
        <v>0</v>
      </c>
      <c r="K13" s="13">
        <f>SUMIFS(Actuals!$E:$E,Actuals!$F:$F,'Year Filter'!$C13,Actuals!$A:$A,'Year Filter'!K$1)</f>
        <v>0</v>
      </c>
      <c r="L13" s="13">
        <f>SUMIFS(Actuals!$E:$E,Actuals!$F:$F,'Year Filter'!$C13,Actuals!$A:$A,'Year Filter'!L$1)</f>
        <v>0</v>
      </c>
      <c r="M13" s="13">
        <f>SUMIFS(Actuals!$E:$E,Actuals!$F:$F,'Year Filter'!$C13,Actuals!$A:$A,'Year Filter'!M$1)</f>
        <v>0</v>
      </c>
      <c r="N13" s="13">
        <f>SUMIFS(Actuals!$E:$E,Actuals!$F:$F,'Year Filter'!$C13,Actuals!$A:$A,'Year Filter'!N$1)</f>
        <v>0</v>
      </c>
      <c r="O13" s="13">
        <f>SUMIFS(Actuals!$E:$E,Actuals!$F:$F,'Year Filter'!$C13,Actuals!$A:$A,'Year Filter'!O$1)</f>
        <v>0</v>
      </c>
      <c r="P13" s="13">
        <f t="shared" si="3"/>
        <v>241.71</v>
      </c>
    </row>
    <row r="14" spans="3:16">
      <c r="C14" t="s">
        <v>18</v>
      </c>
      <c r="D14" s="13">
        <f>SUMIFS(Actuals!$E:$E,Actuals!$F:$F,'Year Filter'!$C14,Actuals!$A:$A,'Year Filter'!D$1)</f>
        <v>0</v>
      </c>
      <c r="E14" s="13">
        <f>SUMIFS(Actuals!$E:$E,Actuals!$F:$F,'Year Filter'!$C14,Actuals!$A:$A,'Year Filter'!E$1)</f>
        <v>0</v>
      </c>
      <c r="F14" s="13">
        <f>SUMIFS(Actuals!$E:$E,Actuals!$F:$F,'Year Filter'!$C14,Actuals!$A:$A,'Year Filter'!F$1)</f>
        <v>54.33</v>
      </c>
      <c r="G14" s="13">
        <f>SUMIFS(Actuals!$E:$E,Actuals!$F:$F,'Year Filter'!$C14,Actuals!$A:$A,'Year Filter'!G$1)</f>
        <v>54.33</v>
      </c>
      <c r="H14" s="13">
        <f>SUMIFS(Actuals!$E:$E,Actuals!$F:$F,'Year Filter'!$C14,Actuals!$A:$A,'Year Filter'!H$1)</f>
        <v>54.33</v>
      </c>
      <c r="I14" s="13">
        <f>SUMIFS(Actuals!$E:$E,Actuals!$F:$F,'Year Filter'!$C14,Actuals!$A:$A,'Year Filter'!I$1)</f>
        <v>55.97</v>
      </c>
      <c r="J14" s="13">
        <f>SUMIFS(Actuals!$E:$E,Actuals!$F:$F,'Year Filter'!$C14,Actuals!$A:$A,'Year Filter'!J$1)</f>
        <v>54.33</v>
      </c>
      <c r="K14" s="13">
        <f>SUMIFS(Actuals!$E:$E,Actuals!$F:$F,'Year Filter'!$C14,Actuals!$A:$A,'Year Filter'!K$1)</f>
        <v>165.07999999999998</v>
      </c>
      <c r="L14" s="13">
        <f>SUMIFS(Actuals!$E:$E,Actuals!$F:$F,'Year Filter'!$C14,Actuals!$A:$A,'Year Filter'!L$1)</f>
        <v>165.12</v>
      </c>
      <c r="M14" s="13">
        <f>SUMIFS(Actuals!$E:$E,Actuals!$F:$F,'Year Filter'!$C14,Actuals!$A:$A,'Year Filter'!M$1)</f>
        <v>158.66</v>
      </c>
      <c r="N14" s="13">
        <f>SUMIFS(Actuals!$E:$E,Actuals!$F:$F,'Year Filter'!$C14,Actuals!$A:$A,'Year Filter'!N$1)</f>
        <v>163.66</v>
      </c>
      <c r="O14" s="13">
        <f>SUMIFS(Actuals!$E:$E,Actuals!$F:$F,'Year Filter'!$C14,Actuals!$A:$A,'Year Filter'!O$1)</f>
        <v>163.66</v>
      </c>
      <c r="P14" s="13">
        <f t="shared" si="3"/>
        <v>1089.47</v>
      </c>
    </row>
    <row r="15" spans="3:16">
      <c r="C15" s="14" t="s">
        <v>20</v>
      </c>
      <c r="D15" s="15">
        <f>SUMIFS(Actuals!$E:$E,Actuals!$F:$F,'Year Filter'!$C15,Actuals!$A:$A,'Year Filter'!D$1)</f>
        <v>495</v>
      </c>
      <c r="E15" s="15">
        <f>SUMIFS(Actuals!$E:$E,Actuals!$F:$F,'Year Filter'!$C15,Actuals!$A:$A,'Year Filter'!E$1)</f>
        <v>1651</v>
      </c>
      <c r="F15" s="15">
        <f>SUMIFS(Actuals!$E:$E,Actuals!$F:$F,'Year Filter'!$C15,Actuals!$A:$A,'Year Filter'!F$1)</f>
        <v>1597.6899999999998</v>
      </c>
      <c r="G15" s="15">
        <f>SUMIFS(Actuals!$E:$E,Actuals!$F:$F,'Year Filter'!$C15,Actuals!$A:$A,'Year Filter'!G$1)</f>
        <v>1720.2999999999997</v>
      </c>
      <c r="H15" s="15">
        <f>SUMIFS(Actuals!$E:$E,Actuals!$F:$F,'Year Filter'!$C15,Actuals!$A:$A,'Year Filter'!H$1)</f>
        <v>2344.5100000000002</v>
      </c>
      <c r="I15" s="15">
        <f>SUMIFS(Actuals!$E:$E,Actuals!$F:$F,'Year Filter'!$C15,Actuals!$A:$A,'Year Filter'!I$1)</f>
        <v>2393</v>
      </c>
      <c r="J15" s="15">
        <f>SUMIFS(Actuals!$E:$E,Actuals!$F:$F,'Year Filter'!$C15,Actuals!$A:$A,'Year Filter'!J$1)</f>
        <v>1371.1</v>
      </c>
      <c r="K15" s="15">
        <f>SUMIFS(Actuals!$E:$E,Actuals!$F:$F,'Year Filter'!$C15,Actuals!$A:$A,'Year Filter'!K$1)</f>
        <v>797.3</v>
      </c>
      <c r="L15" s="15">
        <f>SUMIFS(Actuals!$E:$E,Actuals!$F:$F,'Year Filter'!$C15,Actuals!$A:$A,'Year Filter'!L$1)</f>
        <v>2173.3599999999997</v>
      </c>
      <c r="M15" s="15">
        <f>SUMIFS(Actuals!$E:$E,Actuals!$F:$F,'Year Filter'!$C15,Actuals!$A:$A,'Year Filter'!M$1)</f>
        <v>2505.21</v>
      </c>
      <c r="N15" s="15">
        <f>SUMIFS(Actuals!$E:$E,Actuals!$F:$F,'Year Filter'!$C15,Actuals!$A:$A,'Year Filter'!N$1)</f>
        <v>2625.59</v>
      </c>
      <c r="O15" s="15">
        <f>SUMIFS(Actuals!$E:$E,Actuals!$F:$F,'Year Filter'!$C15,Actuals!$A:$A,'Year Filter'!O$1)</f>
        <v>4201.12</v>
      </c>
      <c r="P15" s="15">
        <f t="shared" si="3"/>
        <v>23875.179999999997</v>
      </c>
    </row>
    <row r="16" spans="3:16">
      <c r="C16" s="16" t="s">
        <v>7259</v>
      </c>
      <c r="D16" s="17">
        <f t="shared" ref="D16:O16" si="4">SUM(D9:D15)</f>
        <v>5097.0200000000004</v>
      </c>
      <c r="E16" s="17">
        <f t="shared" si="4"/>
        <v>13272.439999999999</v>
      </c>
      <c r="F16" s="17">
        <f t="shared" si="4"/>
        <v>6095.87</v>
      </c>
      <c r="G16" s="17">
        <f t="shared" si="4"/>
        <v>7079.09</v>
      </c>
      <c r="H16" s="17">
        <f t="shared" si="4"/>
        <v>6016.25</v>
      </c>
      <c r="I16" s="17">
        <f t="shared" si="4"/>
        <v>8517.82</v>
      </c>
      <c r="J16" s="17">
        <f t="shared" si="4"/>
        <v>7486.0499999999993</v>
      </c>
      <c r="K16" s="17">
        <f t="shared" si="4"/>
        <v>4731.4199999999992</v>
      </c>
      <c r="L16" s="17">
        <f t="shared" si="4"/>
        <v>6123.5499999999993</v>
      </c>
      <c r="M16" s="17">
        <f t="shared" si="4"/>
        <v>5270.49</v>
      </c>
      <c r="N16" s="17">
        <f t="shared" si="4"/>
        <v>7061.4599999999991</v>
      </c>
      <c r="O16" s="17">
        <f t="shared" si="4"/>
        <v>7780.9499999999989</v>
      </c>
      <c r="P16" s="17">
        <f>SUM(D16:O16)</f>
        <v>84532.409999999989</v>
      </c>
    </row>
    <row r="17" spans="3:16">
      <c r="D17" s="13"/>
      <c r="E17" s="13"/>
      <c r="F17" s="13"/>
      <c r="G17" s="13"/>
      <c r="H17" s="13"/>
      <c r="I17" s="13"/>
      <c r="J17" s="13"/>
      <c r="K17" s="13"/>
      <c r="L17" s="13"/>
      <c r="M17" s="13"/>
      <c r="N17" s="13"/>
      <c r="O17" s="13"/>
      <c r="P17" s="13"/>
    </row>
    <row r="18" spans="3:16">
      <c r="C18" t="s">
        <v>23</v>
      </c>
      <c r="D18" s="13">
        <f>SUMIFS(Actuals!$E:$E,Actuals!$F:$F,'Year Filter'!$C18,Actuals!$A:$A,'Year Filter'!D$1)</f>
        <v>225.45000000000002</v>
      </c>
      <c r="E18" s="13">
        <f>SUMIFS(Actuals!$E:$E,Actuals!$F:$F,'Year Filter'!$C18,Actuals!$A:$A,'Year Filter'!E$1)</f>
        <v>135.28</v>
      </c>
      <c r="F18" s="13">
        <f>SUMIFS(Actuals!$E:$E,Actuals!$F:$F,'Year Filter'!$C18,Actuals!$A:$A,'Year Filter'!F$1)</f>
        <v>214.66</v>
      </c>
      <c r="G18" s="13">
        <f>SUMIFS(Actuals!$E:$E,Actuals!$F:$F,'Year Filter'!$C18,Actuals!$A:$A,'Year Filter'!G$1)</f>
        <v>61</v>
      </c>
      <c r="H18" s="13">
        <f>SUMIFS(Actuals!$E:$E,Actuals!$F:$F,'Year Filter'!$C18,Actuals!$A:$A,'Year Filter'!H$1)</f>
        <v>47.12</v>
      </c>
      <c r="I18" s="13">
        <f>SUMIFS(Actuals!$E:$E,Actuals!$F:$F,'Year Filter'!$C18,Actuals!$A:$A,'Year Filter'!I$1)</f>
        <v>993.97</v>
      </c>
      <c r="J18" s="13">
        <f>SUMIFS(Actuals!$E:$E,Actuals!$F:$F,'Year Filter'!$C18,Actuals!$A:$A,'Year Filter'!J$1)</f>
        <v>86.91</v>
      </c>
      <c r="K18" s="13">
        <f>SUMIFS(Actuals!$E:$E,Actuals!$F:$F,'Year Filter'!$C18,Actuals!$A:$A,'Year Filter'!K$1)</f>
        <v>1459.98</v>
      </c>
      <c r="L18" s="13">
        <f>SUMIFS(Actuals!$E:$E,Actuals!$F:$F,'Year Filter'!$C18,Actuals!$A:$A,'Year Filter'!L$1)</f>
        <v>60.28</v>
      </c>
      <c r="M18" s="13">
        <f>SUMIFS(Actuals!$E:$E,Actuals!$F:$F,'Year Filter'!$C18,Actuals!$A:$A,'Year Filter'!M$1)</f>
        <v>133.96</v>
      </c>
      <c r="N18" s="13">
        <f>SUMIFS(Actuals!$E:$E,Actuals!$F:$F,'Year Filter'!$C18,Actuals!$A:$A,'Year Filter'!N$1)</f>
        <v>1290.29</v>
      </c>
      <c r="O18" s="13">
        <f>SUMIFS(Actuals!$E:$E,Actuals!$F:$F,'Year Filter'!$C18,Actuals!$A:$A,'Year Filter'!O$1)</f>
        <v>36.35</v>
      </c>
      <c r="P18" s="13">
        <f t="shared" si="3"/>
        <v>4745.25</v>
      </c>
    </row>
    <row r="19" spans="3:16">
      <c r="C19" t="s">
        <v>26</v>
      </c>
      <c r="D19" s="13">
        <f>SUMIFS(Actuals!$E:$E,Actuals!$F:$F,'Year Filter'!$C19,Actuals!$A:$A,'Year Filter'!D$1)</f>
        <v>1564.6100000000004</v>
      </c>
      <c r="E19" s="13">
        <f>SUMIFS(Actuals!$E:$E,Actuals!$F:$F,'Year Filter'!$C19,Actuals!$A:$A,'Year Filter'!E$1)</f>
        <v>1410.1699999999998</v>
      </c>
      <c r="F19" s="13">
        <f>SUMIFS(Actuals!$E:$E,Actuals!$F:$F,'Year Filter'!$C19,Actuals!$A:$A,'Year Filter'!F$1)</f>
        <v>3444.78</v>
      </c>
      <c r="G19" s="13">
        <f>SUMIFS(Actuals!$E:$E,Actuals!$F:$F,'Year Filter'!$C19,Actuals!$A:$A,'Year Filter'!G$1)</f>
        <v>2412.6700000000005</v>
      </c>
      <c r="H19" s="13">
        <f>SUMIFS(Actuals!$E:$E,Actuals!$F:$F,'Year Filter'!$C19,Actuals!$A:$A,'Year Filter'!H$1)</f>
        <v>1833.4499999999998</v>
      </c>
      <c r="I19" s="13">
        <f>SUMIFS(Actuals!$E:$E,Actuals!$F:$F,'Year Filter'!$C19,Actuals!$A:$A,'Year Filter'!I$1)</f>
        <v>2280.7600000000002</v>
      </c>
      <c r="J19" s="13">
        <f>SUMIFS(Actuals!$E:$E,Actuals!$F:$F,'Year Filter'!$C19,Actuals!$A:$A,'Year Filter'!J$1)</f>
        <v>2520.2900000000009</v>
      </c>
      <c r="K19" s="13">
        <f>SUMIFS(Actuals!$E:$E,Actuals!$F:$F,'Year Filter'!$C19,Actuals!$A:$A,'Year Filter'!K$1)</f>
        <v>1195.7899999999997</v>
      </c>
      <c r="L19" s="13">
        <f>SUMIFS(Actuals!$E:$E,Actuals!$F:$F,'Year Filter'!$C19,Actuals!$A:$A,'Year Filter'!L$1)</f>
        <v>1732.92</v>
      </c>
      <c r="M19" s="13">
        <f>SUMIFS(Actuals!$E:$E,Actuals!$F:$F,'Year Filter'!$C19,Actuals!$A:$A,'Year Filter'!M$1)</f>
        <v>2190.3699999999994</v>
      </c>
      <c r="N19" s="13">
        <f>SUMIFS(Actuals!$E:$E,Actuals!$F:$F,'Year Filter'!$C19,Actuals!$A:$A,'Year Filter'!N$1)</f>
        <v>1258.33</v>
      </c>
      <c r="O19" s="13">
        <f>SUMIFS(Actuals!$E:$E,Actuals!$F:$F,'Year Filter'!$C19,Actuals!$A:$A,'Year Filter'!O$1)</f>
        <v>1256.5199999999998</v>
      </c>
      <c r="P19" s="13">
        <f t="shared" si="3"/>
        <v>23100.66</v>
      </c>
    </row>
    <row r="20" spans="3:16">
      <c r="C20" t="s">
        <v>28</v>
      </c>
      <c r="D20" s="13">
        <f>SUMIFS(Actuals!$E:$E,Actuals!$F:$F,'Year Filter'!$C20,Actuals!$A:$A,'Year Filter'!D$1)</f>
        <v>1139.06</v>
      </c>
      <c r="E20" s="13">
        <f>SUMIFS(Actuals!$E:$E,Actuals!$F:$F,'Year Filter'!$C20,Actuals!$A:$A,'Year Filter'!E$1)</f>
        <v>982.85</v>
      </c>
      <c r="F20" s="13">
        <f>SUMIFS(Actuals!$E:$E,Actuals!$F:$F,'Year Filter'!$C20,Actuals!$A:$A,'Year Filter'!F$1)</f>
        <v>1031.3100000000002</v>
      </c>
      <c r="G20" s="13">
        <f>SUMIFS(Actuals!$E:$E,Actuals!$F:$F,'Year Filter'!$C20,Actuals!$A:$A,'Year Filter'!G$1)</f>
        <v>865.15</v>
      </c>
      <c r="H20" s="13">
        <f>SUMIFS(Actuals!$E:$E,Actuals!$F:$F,'Year Filter'!$C20,Actuals!$A:$A,'Year Filter'!H$1)</f>
        <v>1051.6399999999999</v>
      </c>
      <c r="I20" s="13">
        <f>SUMIFS(Actuals!$E:$E,Actuals!$F:$F,'Year Filter'!$C20,Actuals!$A:$A,'Year Filter'!I$1)</f>
        <v>341.28000000000003</v>
      </c>
      <c r="J20" s="13">
        <f>SUMIFS(Actuals!$E:$E,Actuals!$F:$F,'Year Filter'!$C20,Actuals!$A:$A,'Year Filter'!J$1)</f>
        <v>1176.2800000000002</v>
      </c>
      <c r="K20" s="13">
        <f>SUMIFS(Actuals!$E:$E,Actuals!$F:$F,'Year Filter'!$C20,Actuals!$A:$A,'Year Filter'!K$1)</f>
        <v>1047.99</v>
      </c>
      <c r="L20" s="13">
        <f>SUMIFS(Actuals!$E:$E,Actuals!$F:$F,'Year Filter'!$C20,Actuals!$A:$A,'Year Filter'!L$1)</f>
        <v>1295</v>
      </c>
      <c r="M20" s="13">
        <f>SUMIFS(Actuals!$E:$E,Actuals!$F:$F,'Year Filter'!$C20,Actuals!$A:$A,'Year Filter'!M$1)</f>
        <v>579.15000000000009</v>
      </c>
      <c r="N20" s="13">
        <f>SUMIFS(Actuals!$E:$E,Actuals!$F:$F,'Year Filter'!$C20,Actuals!$A:$A,'Year Filter'!N$1)</f>
        <v>813.71</v>
      </c>
      <c r="O20" s="13">
        <f>SUMIFS(Actuals!$E:$E,Actuals!$F:$F,'Year Filter'!$C20,Actuals!$A:$A,'Year Filter'!O$1)</f>
        <v>1032.5399999999997</v>
      </c>
      <c r="P20" s="13">
        <f t="shared" si="3"/>
        <v>11355.959999999997</v>
      </c>
    </row>
    <row r="21" spans="3:16">
      <c r="C21" s="14" t="s">
        <v>31</v>
      </c>
      <c r="D21" s="15">
        <f>SUMIFS(Actuals!$E:$E,Actuals!$F:$F,'Year Filter'!$C21,Actuals!$A:$A,'Year Filter'!D$1)</f>
        <v>818.16</v>
      </c>
      <c r="E21" s="15">
        <f>SUMIFS(Actuals!$E:$E,Actuals!$F:$F,'Year Filter'!$C21,Actuals!$A:$A,'Year Filter'!E$1)</f>
        <v>832.13</v>
      </c>
      <c r="F21" s="15">
        <f>SUMIFS(Actuals!$E:$E,Actuals!$F:$F,'Year Filter'!$C21,Actuals!$A:$A,'Year Filter'!F$1)</f>
        <v>931.63</v>
      </c>
      <c r="G21" s="15">
        <f>SUMIFS(Actuals!$E:$E,Actuals!$F:$F,'Year Filter'!$C21,Actuals!$A:$A,'Year Filter'!G$1)</f>
        <v>664.94</v>
      </c>
      <c r="H21" s="15">
        <f>SUMIFS(Actuals!$E:$E,Actuals!$F:$F,'Year Filter'!$C21,Actuals!$A:$A,'Year Filter'!H$1)</f>
        <v>519.11</v>
      </c>
      <c r="I21" s="15">
        <f>SUMIFS(Actuals!$E:$E,Actuals!$F:$F,'Year Filter'!$C21,Actuals!$A:$A,'Year Filter'!I$1)</f>
        <v>138.78</v>
      </c>
      <c r="J21" s="15">
        <f>SUMIFS(Actuals!$E:$E,Actuals!$F:$F,'Year Filter'!$C21,Actuals!$A:$A,'Year Filter'!J$1)</f>
        <v>863.6</v>
      </c>
      <c r="K21" s="15">
        <f>SUMIFS(Actuals!$E:$E,Actuals!$F:$F,'Year Filter'!$C21,Actuals!$A:$A,'Year Filter'!K$1)</f>
        <v>141.71</v>
      </c>
      <c r="L21" s="15">
        <f>SUMIFS(Actuals!$E:$E,Actuals!$F:$F,'Year Filter'!$C21,Actuals!$A:$A,'Year Filter'!L$1)</f>
        <v>858.99999999999989</v>
      </c>
      <c r="M21" s="15">
        <f>SUMIFS(Actuals!$E:$E,Actuals!$F:$F,'Year Filter'!$C21,Actuals!$A:$A,'Year Filter'!M$1)</f>
        <v>1203.6100000000001</v>
      </c>
      <c r="N21" s="15">
        <f>SUMIFS(Actuals!$E:$E,Actuals!$F:$F,'Year Filter'!$C21,Actuals!$A:$A,'Year Filter'!N$1)</f>
        <v>1466.2</v>
      </c>
      <c r="O21" s="15">
        <f>SUMIFS(Actuals!$E:$E,Actuals!$F:$F,'Year Filter'!$C21,Actuals!$A:$A,'Year Filter'!O$1)</f>
        <v>0</v>
      </c>
      <c r="P21" s="15">
        <f t="shared" si="3"/>
        <v>8438.8700000000008</v>
      </c>
    </row>
    <row r="22" spans="3:16">
      <c r="C22" s="16" t="s">
        <v>7260</v>
      </c>
      <c r="D22" s="17">
        <f t="shared" ref="D22:O22" si="5">SUM(D18:D21)</f>
        <v>3747.28</v>
      </c>
      <c r="E22" s="17">
        <f t="shared" si="5"/>
        <v>3360.43</v>
      </c>
      <c r="F22" s="17">
        <f t="shared" si="5"/>
        <v>5622.38</v>
      </c>
      <c r="G22" s="17">
        <f t="shared" si="5"/>
        <v>4003.7600000000007</v>
      </c>
      <c r="H22" s="17">
        <f t="shared" si="5"/>
        <v>3451.3199999999997</v>
      </c>
      <c r="I22" s="17">
        <f t="shared" si="5"/>
        <v>3754.7900000000009</v>
      </c>
      <c r="J22" s="17">
        <f t="shared" si="5"/>
        <v>4647.0800000000008</v>
      </c>
      <c r="K22" s="17">
        <f t="shared" si="5"/>
        <v>3845.4699999999993</v>
      </c>
      <c r="L22" s="17">
        <f t="shared" si="5"/>
        <v>3947.2</v>
      </c>
      <c r="M22" s="17">
        <f t="shared" si="5"/>
        <v>4107.09</v>
      </c>
      <c r="N22" s="17">
        <f t="shared" si="5"/>
        <v>4828.53</v>
      </c>
      <c r="O22" s="17">
        <f t="shared" si="5"/>
        <v>2325.4099999999994</v>
      </c>
      <c r="P22" s="17">
        <f t="shared" si="3"/>
        <v>47640.74</v>
      </c>
    </row>
    <row r="23" spans="3:16">
      <c r="D23" s="13"/>
      <c r="E23" s="13"/>
      <c r="F23" s="13"/>
      <c r="G23" s="13"/>
      <c r="H23" s="13"/>
      <c r="I23" s="13"/>
      <c r="J23" s="13"/>
      <c r="K23" s="13"/>
      <c r="L23" s="13"/>
      <c r="M23" s="13"/>
      <c r="N23" s="13"/>
      <c r="O23" s="13"/>
      <c r="P23" s="13"/>
    </row>
    <row r="24" spans="3:16">
      <c r="C24" t="s">
        <v>34</v>
      </c>
      <c r="D24" s="13">
        <f>SUMIFS(Actuals!$E:$E,Actuals!$F:$F,'Year Filter'!$C24,Actuals!$A:$A,'Year Filter'!D$1)</f>
        <v>0</v>
      </c>
      <c r="E24" s="13">
        <f>SUMIFS(Actuals!$E:$E,Actuals!$F:$F,'Year Filter'!$C24,Actuals!$A:$A,'Year Filter'!E$1)</f>
        <v>0</v>
      </c>
      <c r="F24" s="13">
        <f>SUMIFS(Actuals!$E:$E,Actuals!$F:$F,'Year Filter'!$C24,Actuals!$A:$A,'Year Filter'!F$1)</f>
        <v>0</v>
      </c>
      <c r="G24" s="13">
        <f>SUMIFS(Actuals!$E:$E,Actuals!$F:$F,'Year Filter'!$C24,Actuals!$A:$A,'Year Filter'!G$1)</f>
        <v>0</v>
      </c>
      <c r="H24" s="13">
        <f>SUMIFS(Actuals!$E:$E,Actuals!$F:$F,'Year Filter'!$C24,Actuals!$A:$A,'Year Filter'!H$1)</f>
        <v>0</v>
      </c>
      <c r="I24" s="13">
        <f>SUMIFS(Actuals!$E:$E,Actuals!$F:$F,'Year Filter'!$C24,Actuals!$A:$A,'Year Filter'!I$1)</f>
        <v>0</v>
      </c>
      <c r="J24" s="13">
        <f>SUMIFS(Actuals!$E:$E,Actuals!$F:$F,'Year Filter'!$C24,Actuals!$A:$A,'Year Filter'!J$1)</f>
        <v>25</v>
      </c>
      <c r="K24" s="13">
        <f>SUMIFS(Actuals!$E:$E,Actuals!$F:$F,'Year Filter'!$C24,Actuals!$A:$A,'Year Filter'!K$1)</f>
        <v>0</v>
      </c>
      <c r="L24" s="13">
        <f>SUMIFS(Actuals!$E:$E,Actuals!$F:$F,'Year Filter'!$C24,Actuals!$A:$A,'Year Filter'!L$1)</f>
        <v>0</v>
      </c>
      <c r="M24" s="13">
        <f>SUMIFS(Actuals!$E:$E,Actuals!$F:$F,'Year Filter'!$C24,Actuals!$A:$A,'Year Filter'!M$1)</f>
        <v>0</v>
      </c>
      <c r="N24" s="13">
        <f>SUMIFS(Actuals!$E:$E,Actuals!$F:$F,'Year Filter'!$C24,Actuals!$A:$A,'Year Filter'!N$1)</f>
        <v>0</v>
      </c>
      <c r="O24" s="13">
        <f>SUMIFS(Actuals!$E:$E,Actuals!$F:$F,'Year Filter'!$C24,Actuals!$A:$A,'Year Filter'!O$1)</f>
        <v>0</v>
      </c>
      <c r="P24" s="13">
        <f t="shared" si="3"/>
        <v>25</v>
      </c>
    </row>
    <row r="25" spans="3:16">
      <c r="C25" t="s">
        <v>21</v>
      </c>
      <c r="D25" s="13">
        <f>SUMIFS(Actuals!$E:$E,Actuals!$F:$F,'Year Filter'!$C25,Actuals!$A:$A,'Year Filter'!D$1)</f>
        <v>1902.8300000000006</v>
      </c>
      <c r="E25" s="13">
        <f>SUMIFS(Actuals!$E:$E,Actuals!$F:$F,'Year Filter'!$C25,Actuals!$A:$A,'Year Filter'!E$1)</f>
        <v>3072.7699999999991</v>
      </c>
      <c r="F25" s="13">
        <f>SUMIFS(Actuals!$E:$E,Actuals!$F:$F,'Year Filter'!$C25,Actuals!$A:$A,'Year Filter'!F$1)</f>
        <v>920.69999999999982</v>
      </c>
      <c r="G25" s="13">
        <f>SUMIFS(Actuals!$E:$E,Actuals!$F:$F,'Year Filter'!$C25,Actuals!$A:$A,'Year Filter'!G$1)</f>
        <v>2632.31</v>
      </c>
      <c r="H25" s="13">
        <f>SUMIFS(Actuals!$E:$E,Actuals!$F:$F,'Year Filter'!$C25,Actuals!$A:$A,'Year Filter'!H$1)</f>
        <v>2243.56</v>
      </c>
      <c r="I25" s="13">
        <f>SUMIFS(Actuals!$E:$E,Actuals!$F:$F,'Year Filter'!$C25,Actuals!$A:$A,'Year Filter'!I$1)</f>
        <v>-26.289999999999992</v>
      </c>
      <c r="J25" s="13">
        <f>SUMIFS(Actuals!$E:$E,Actuals!$F:$F,'Year Filter'!$C25,Actuals!$A:$A,'Year Filter'!J$1)</f>
        <v>1527.9499999999996</v>
      </c>
      <c r="K25" s="13">
        <f>SUMIFS(Actuals!$E:$E,Actuals!$F:$F,'Year Filter'!$C25,Actuals!$A:$A,'Year Filter'!K$1)</f>
        <v>2600.9999999999995</v>
      </c>
      <c r="L25" s="13">
        <f>SUMIFS(Actuals!$E:$E,Actuals!$F:$F,'Year Filter'!$C25,Actuals!$A:$A,'Year Filter'!L$1)</f>
        <v>944.13999999999965</v>
      </c>
      <c r="M25" s="13">
        <f>SUMIFS(Actuals!$E:$E,Actuals!$F:$F,'Year Filter'!$C25,Actuals!$A:$A,'Year Filter'!M$1)</f>
        <v>2367.6299999999992</v>
      </c>
      <c r="N25" s="13">
        <f>SUMIFS(Actuals!$E:$E,Actuals!$F:$F,'Year Filter'!$C25,Actuals!$A:$A,'Year Filter'!N$1)</f>
        <v>2152.23</v>
      </c>
      <c r="O25" s="13">
        <f>SUMIFS(Actuals!$E:$E,Actuals!$F:$F,'Year Filter'!$C25,Actuals!$A:$A,'Year Filter'!O$1)</f>
        <v>1297.5600000000002</v>
      </c>
      <c r="P25" s="13">
        <f t="shared" si="3"/>
        <v>21636.389999999996</v>
      </c>
    </row>
    <row r="26" spans="3:16">
      <c r="C26" t="s">
        <v>38</v>
      </c>
      <c r="D26" s="13">
        <f>SUMIFS(Actuals!$E:$E,Actuals!$F:$F,'Year Filter'!$C26,Actuals!$A:$A,'Year Filter'!D$1)</f>
        <v>1212.4599999999998</v>
      </c>
      <c r="E26" s="13">
        <f>SUMIFS(Actuals!$E:$E,Actuals!$F:$F,'Year Filter'!$C26,Actuals!$A:$A,'Year Filter'!E$1)</f>
        <v>296.69000000000005</v>
      </c>
      <c r="F26" s="13">
        <f>SUMIFS(Actuals!$E:$E,Actuals!$F:$F,'Year Filter'!$C26,Actuals!$A:$A,'Year Filter'!F$1)</f>
        <v>52.839999999999989</v>
      </c>
      <c r="G26" s="13">
        <f>SUMIFS(Actuals!$E:$E,Actuals!$F:$F,'Year Filter'!$C26,Actuals!$A:$A,'Year Filter'!G$1)</f>
        <v>356.57999999999993</v>
      </c>
      <c r="H26" s="13">
        <f>SUMIFS(Actuals!$E:$E,Actuals!$F:$F,'Year Filter'!$C26,Actuals!$A:$A,'Year Filter'!H$1)</f>
        <v>26.489999999999988</v>
      </c>
      <c r="I26" s="13">
        <f>SUMIFS(Actuals!$E:$E,Actuals!$F:$F,'Year Filter'!$C26,Actuals!$A:$A,'Year Filter'!I$1)</f>
        <v>-0.15000000000001279</v>
      </c>
      <c r="J26" s="13">
        <f>SUMIFS(Actuals!$E:$E,Actuals!$F:$F,'Year Filter'!$C26,Actuals!$A:$A,'Year Filter'!J$1)</f>
        <v>4.0099999999999909</v>
      </c>
      <c r="K26" s="13">
        <f>SUMIFS(Actuals!$E:$E,Actuals!$F:$F,'Year Filter'!$C26,Actuals!$A:$A,'Year Filter'!K$1)</f>
        <v>361.53999999999996</v>
      </c>
      <c r="L26" s="13">
        <f>SUMIFS(Actuals!$E:$E,Actuals!$F:$F,'Year Filter'!$C26,Actuals!$A:$A,'Year Filter'!L$1)</f>
        <v>883.32999999999993</v>
      </c>
      <c r="M26" s="13">
        <f>SUMIFS(Actuals!$E:$E,Actuals!$F:$F,'Year Filter'!$C26,Actuals!$A:$A,'Year Filter'!M$1)</f>
        <v>468.29000000000008</v>
      </c>
      <c r="N26" s="13">
        <f>SUMIFS(Actuals!$E:$E,Actuals!$F:$F,'Year Filter'!$C26,Actuals!$A:$A,'Year Filter'!N$1)</f>
        <v>628.87000000000023</v>
      </c>
      <c r="O26" s="13">
        <f>SUMIFS(Actuals!$E:$E,Actuals!$F:$F,'Year Filter'!$C26,Actuals!$A:$A,'Year Filter'!O$1)</f>
        <v>1330.2099999999998</v>
      </c>
      <c r="P26" s="13">
        <f t="shared" si="3"/>
        <v>5621.16</v>
      </c>
    </row>
    <row r="27" spans="3:16">
      <c r="C27" t="s">
        <v>40</v>
      </c>
      <c r="D27" s="13">
        <f>SUMIFS(Actuals!$E:$E,Actuals!$F:$F,'Year Filter'!$C27,Actuals!$A:$A,'Year Filter'!D$1)</f>
        <v>278.84000000000003</v>
      </c>
      <c r="E27" s="13">
        <f>SUMIFS(Actuals!$E:$E,Actuals!$F:$F,'Year Filter'!$C27,Actuals!$A:$A,'Year Filter'!E$1)</f>
        <v>324.03999999999996</v>
      </c>
      <c r="F27" s="13">
        <f>SUMIFS(Actuals!$E:$E,Actuals!$F:$F,'Year Filter'!$C27,Actuals!$A:$A,'Year Filter'!F$1)</f>
        <v>115.16</v>
      </c>
      <c r="G27" s="13">
        <f>SUMIFS(Actuals!$E:$E,Actuals!$F:$F,'Year Filter'!$C27,Actuals!$A:$A,'Year Filter'!G$1)</f>
        <v>49.09</v>
      </c>
      <c r="H27" s="13">
        <f>SUMIFS(Actuals!$E:$E,Actuals!$F:$F,'Year Filter'!$C27,Actuals!$A:$A,'Year Filter'!H$1)</f>
        <v>522.79999999999995</v>
      </c>
      <c r="I27" s="13">
        <f>SUMIFS(Actuals!$E:$E,Actuals!$F:$F,'Year Filter'!$C27,Actuals!$A:$A,'Year Filter'!I$1)</f>
        <v>447.18999999999994</v>
      </c>
      <c r="J27" s="13">
        <f>SUMIFS(Actuals!$E:$E,Actuals!$F:$F,'Year Filter'!$C27,Actuals!$A:$A,'Year Filter'!J$1)</f>
        <v>365.79</v>
      </c>
      <c r="K27" s="13">
        <f>SUMIFS(Actuals!$E:$E,Actuals!$F:$F,'Year Filter'!$C27,Actuals!$A:$A,'Year Filter'!K$1)</f>
        <v>151.35</v>
      </c>
      <c r="L27" s="13">
        <f>SUMIFS(Actuals!$E:$E,Actuals!$F:$F,'Year Filter'!$C27,Actuals!$A:$A,'Year Filter'!L$1)</f>
        <v>214.29</v>
      </c>
      <c r="M27" s="13">
        <f>SUMIFS(Actuals!$E:$E,Actuals!$F:$F,'Year Filter'!$C27,Actuals!$A:$A,'Year Filter'!M$1)</f>
        <v>547.24</v>
      </c>
      <c r="N27" s="13">
        <f>SUMIFS(Actuals!$E:$E,Actuals!$F:$F,'Year Filter'!$C27,Actuals!$A:$A,'Year Filter'!N$1)</f>
        <v>213.46</v>
      </c>
      <c r="O27" s="13">
        <f>SUMIFS(Actuals!$E:$E,Actuals!$F:$F,'Year Filter'!$C27,Actuals!$A:$A,'Year Filter'!O$1)</f>
        <v>452.17</v>
      </c>
      <c r="P27" s="13">
        <f t="shared" si="3"/>
        <v>3681.42</v>
      </c>
    </row>
    <row r="28" spans="3:16">
      <c r="C28" t="s">
        <v>41</v>
      </c>
      <c r="D28" s="13">
        <f>SUMIFS(Actuals!$E:$E,Actuals!$F:$F,'Year Filter'!$C28,Actuals!$A:$A,'Year Filter'!D$1)</f>
        <v>0</v>
      </c>
      <c r="E28" s="13">
        <f>SUMIFS(Actuals!$E:$E,Actuals!$F:$F,'Year Filter'!$C28,Actuals!$A:$A,'Year Filter'!E$1)</f>
        <v>42.66</v>
      </c>
      <c r="F28" s="13">
        <f>SUMIFS(Actuals!$E:$E,Actuals!$F:$F,'Year Filter'!$C28,Actuals!$A:$A,'Year Filter'!F$1)</f>
        <v>118.68</v>
      </c>
      <c r="G28" s="13">
        <f>SUMIFS(Actuals!$E:$E,Actuals!$F:$F,'Year Filter'!$C28,Actuals!$A:$A,'Year Filter'!G$1)</f>
        <v>0</v>
      </c>
      <c r="H28" s="13">
        <f>SUMIFS(Actuals!$E:$E,Actuals!$F:$F,'Year Filter'!$C28,Actuals!$A:$A,'Year Filter'!H$1)</f>
        <v>59.35</v>
      </c>
      <c r="I28" s="13">
        <f>SUMIFS(Actuals!$E:$E,Actuals!$F:$F,'Year Filter'!$C28,Actuals!$A:$A,'Year Filter'!I$1)</f>
        <v>113.36</v>
      </c>
      <c r="J28" s="13">
        <f>SUMIFS(Actuals!$E:$E,Actuals!$F:$F,'Year Filter'!$C28,Actuals!$A:$A,'Year Filter'!J$1)</f>
        <v>35.93</v>
      </c>
      <c r="K28" s="13">
        <f>SUMIFS(Actuals!$E:$E,Actuals!$F:$F,'Year Filter'!$C28,Actuals!$A:$A,'Year Filter'!K$1)</f>
        <v>0</v>
      </c>
      <c r="L28" s="13">
        <f>SUMIFS(Actuals!$E:$E,Actuals!$F:$F,'Year Filter'!$C28,Actuals!$A:$A,'Year Filter'!L$1)</f>
        <v>36.599999999999994</v>
      </c>
      <c r="M28" s="13">
        <f>SUMIFS(Actuals!$E:$E,Actuals!$F:$F,'Year Filter'!$C28,Actuals!$A:$A,'Year Filter'!M$1)</f>
        <v>0</v>
      </c>
      <c r="N28" s="13">
        <f>SUMIFS(Actuals!$E:$E,Actuals!$F:$F,'Year Filter'!$C28,Actuals!$A:$A,'Year Filter'!N$1)</f>
        <v>0</v>
      </c>
      <c r="O28" s="13">
        <f>SUMIFS(Actuals!$E:$E,Actuals!$F:$F,'Year Filter'!$C28,Actuals!$A:$A,'Year Filter'!O$1)</f>
        <v>0</v>
      </c>
      <c r="P28" s="13">
        <f t="shared" si="3"/>
        <v>406.58000000000004</v>
      </c>
    </row>
    <row r="29" spans="3:16">
      <c r="C29" t="s">
        <v>45</v>
      </c>
      <c r="D29" s="13">
        <f>SUMIFS(Actuals!$E:$E,Actuals!$F:$F,'Year Filter'!$C29,Actuals!$A:$A,'Year Filter'!D$1)</f>
        <v>282.75</v>
      </c>
      <c r="E29" s="13">
        <f>SUMIFS(Actuals!$E:$E,Actuals!$F:$F,'Year Filter'!$C29,Actuals!$A:$A,'Year Filter'!E$1)</f>
        <v>312.02999999999997</v>
      </c>
      <c r="F29" s="13">
        <f>SUMIFS(Actuals!$E:$E,Actuals!$F:$F,'Year Filter'!$C29,Actuals!$A:$A,'Year Filter'!F$1)</f>
        <v>0</v>
      </c>
      <c r="G29" s="13">
        <f>SUMIFS(Actuals!$E:$E,Actuals!$F:$F,'Year Filter'!$C29,Actuals!$A:$A,'Year Filter'!G$1)</f>
        <v>0</v>
      </c>
      <c r="H29" s="13">
        <f>SUMIFS(Actuals!$E:$E,Actuals!$F:$F,'Year Filter'!$C29,Actuals!$A:$A,'Year Filter'!H$1)</f>
        <v>0</v>
      </c>
      <c r="I29" s="13">
        <f>SUMIFS(Actuals!$E:$E,Actuals!$F:$F,'Year Filter'!$C29,Actuals!$A:$A,'Year Filter'!I$1)</f>
        <v>0</v>
      </c>
      <c r="J29" s="13">
        <f>SUMIFS(Actuals!$E:$E,Actuals!$F:$F,'Year Filter'!$C29,Actuals!$A:$A,'Year Filter'!J$1)</f>
        <v>0</v>
      </c>
      <c r="K29" s="13">
        <f>SUMIFS(Actuals!$E:$E,Actuals!$F:$F,'Year Filter'!$C29,Actuals!$A:$A,'Year Filter'!K$1)</f>
        <v>0</v>
      </c>
      <c r="L29" s="13">
        <f>SUMIFS(Actuals!$E:$E,Actuals!$F:$F,'Year Filter'!$C29,Actuals!$A:$A,'Year Filter'!L$1)</f>
        <v>0</v>
      </c>
      <c r="M29" s="13">
        <f>SUMIFS(Actuals!$E:$E,Actuals!$F:$F,'Year Filter'!$C29,Actuals!$A:$A,'Year Filter'!M$1)</f>
        <v>0</v>
      </c>
      <c r="N29" s="13">
        <f>SUMIFS(Actuals!$E:$E,Actuals!$F:$F,'Year Filter'!$C29,Actuals!$A:$A,'Year Filter'!N$1)</f>
        <v>0</v>
      </c>
      <c r="O29" s="13">
        <f>SUMIFS(Actuals!$E:$E,Actuals!$F:$F,'Year Filter'!$C29,Actuals!$A:$A,'Year Filter'!O$1)</f>
        <v>0</v>
      </c>
      <c r="P29" s="13">
        <f t="shared" si="3"/>
        <v>594.78</v>
      </c>
    </row>
    <row r="30" spans="3:16">
      <c r="C30" s="14" t="s">
        <v>29</v>
      </c>
      <c r="D30" s="15">
        <f>SUMIFS(Actuals!$E:$E,Actuals!$F:$F,'Year Filter'!$C30,Actuals!$A:$A,'Year Filter'!D$1)</f>
        <v>8.15</v>
      </c>
      <c r="E30" s="15">
        <f>SUMIFS(Actuals!$E:$E,Actuals!$F:$F,'Year Filter'!$C30,Actuals!$A:$A,'Year Filter'!E$1)</f>
        <v>135.4</v>
      </c>
      <c r="F30" s="15">
        <f>SUMIFS(Actuals!$E:$E,Actuals!$F:$F,'Year Filter'!$C30,Actuals!$A:$A,'Year Filter'!F$1)</f>
        <v>38.47</v>
      </c>
      <c r="G30" s="15">
        <f>SUMIFS(Actuals!$E:$E,Actuals!$F:$F,'Year Filter'!$C30,Actuals!$A:$A,'Year Filter'!G$1)</f>
        <v>0</v>
      </c>
      <c r="H30" s="15">
        <f>SUMIFS(Actuals!$E:$E,Actuals!$F:$F,'Year Filter'!$C30,Actuals!$A:$A,'Year Filter'!H$1)</f>
        <v>0</v>
      </c>
      <c r="I30" s="15">
        <f>SUMIFS(Actuals!$E:$E,Actuals!$F:$F,'Year Filter'!$C30,Actuals!$A:$A,'Year Filter'!I$1)</f>
        <v>0</v>
      </c>
      <c r="J30" s="15">
        <f>SUMIFS(Actuals!$E:$E,Actuals!$F:$F,'Year Filter'!$C30,Actuals!$A:$A,'Year Filter'!J$1)</f>
        <v>5</v>
      </c>
      <c r="K30" s="15">
        <f>SUMIFS(Actuals!$E:$E,Actuals!$F:$F,'Year Filter'!$C30,Actuals!$A:$A,'Year Filter'!K$1)</f>
        <v>0</v>
      </c>
      <c r="L30" s="15">
        <f>SUMIFS(Actuals!$E:$E,Actuals!$F:$F,'Year Filter'!$C30,Actuals!$A:$A,'Year Filter'!L$1)</f>
        <v>124</v>
      </c>
      <c r="M30" s="15">
        <f>SUMIFS(Actuals!$E:$E,Actuals!$F:$F,'Year Filter'!$C30,Actuals!$A:$A,'Year Filter'!M$1)</f>
        <v>0</v>
      </c>
      <c r="N30" s="15">
        <f>SUMIFS(Actuals!$E:$E,Actuals!$F:$F,'Year Filter'!$C30,Actuals!$A:$A,'Year Filter'!N$1)</f>
        <v>0</v>
      </c>
      <c r="O30" s="15">
        <f>SUMIFS(Actuals!$E:$E,Actuals!$F:$F,'Year Filter'!$C30,Actuals!$A:$A,'Year Filter'!O$1)</f>
        <v>110</v>
      </c>
      <c r="P30" s="15">
        <f t="shared" si="3"/>
        <v>421.02</v>
      </c>
    </row>
    <row r="31" spans="3:16">
      <c r="C31" s="16" t="s">
        <v>7261</v>
      </c>
      <c r="D31" s="17">
        <f t="shared" ref="D31:O31" si="6">SUM(D24:D30)</f>
        <v>3685.0300000000007</v>
      </c>
      <c r="E31" s="17">
        <f t="shared" si="6"/>
        <v>4183.5899999999983</v>
      </c>
      <c r="F31" s="17">
        <f t="shared" si="6"/>
        <v>1245.8499999999999</v>
      </c>
      <c r="G31" s="17">
        <f t="shared" si="6"/>
        <v>3037.98</v>
      </c>
      <c r="H31" s="17">
        <f t="shared" si="6"/>
        <v>2852.1999999999994</v>
      </c>
      <c r="I31" s="17">
        <f t="shared" si="6"/>
        <v>534.1099999999999</v>
      </c>
      <c r="J31" s="17">
        <f t="shared" si="6"/>
        <v>1963.6799999999996</v>
      </c>
      <c r="K31" s="17">
        <f t="shared" si="6"/>
        <v>3113.8899999999994</v>
      </c>
      <c r="L31" s="17">
        <f t="shared" si="6"/>
        <v>2202.3599999999997</v>
      </c>
      <c r="M31" s="17">
        <f t="shared" si="6"/>
        <v>3383.1599999999989</v>
      </c>
      <c r="N31" s="17">
        <f t="shared" si="6"/>
        <v>2994.5600000000004</v>
      </c>
      <c r="O31" s="17">
        <f t="shared" si="6"/>
        <v>3189.94</v>
      </c>
      <c r="P31" s="17">
        <f t="shared" si="3"/>
        <v>32386.35</v>
      </c>
    </row>
    <row r="32" spans="3:16">
      <c r="C32" s="19"/>
      <c r="D32" s="20"/>
      <c r="E32" s="20"/>
      <c r="F32" s="20"/>
      <c r="G32" s="20"/>
      <c r="H32" s="20"/>
      <c r="I32" s="20"/>
      <c r="J32" s="20"/>
      <c r="K32" s="20"/>
      <c r="L32" s="20"/>
      <c r="M32" s="20"/>
      <c r="N32" s="20"/>
      <c r="O32" s="20"/>
      <c r="P32" s="20">
        <f t="shared" si="3"/>
        <v>0</v>
      </c>
    </row>
    <row r="33" spans="3:16">
      <c r="C33" s="16" t="s">
        <v>7153</v>
      </c>
      <c r="D33" s="17">
        <f t="shared" ref="D33:O33" si="7">SUM(D31,D22,D16)</f>
        <v>12529.330000000002</v>
      </c>
      <c r="E33" s="17">
        <f t="shared" si="7"/>
        <v>20816.46</v>
      </c>
      <c r="F33" s="17">
        <f t="shared" si="7"/>
        <v>12964.099999999999</v>
      </c>
      <c r="G33" s="17">
        <f t="shared" si="7"/>
        <v>14120.830000000002</v>
      </c>
      <c r="H33" s="17">
        <f t="shared" si="7"/>
        <v>12319.769999999999</v>
      </c>
      <c r="I33" s="17">
        <f t="shared" si="7"/>
        <v>12806.720000000001</v>
      </c>
      <c r="J33" s="17">
        <f t="shared" si="7"/>
        <v>14096.81</v>
      </c>
      <c r="K33" s="17">
        <f t="shared" si="7"/>
        <v>11690.779999999999</v>
      </c>
      <c r="L33" s="17">
        <f t="shared" si="7"/>
        <v>12273.109999999999</v>
      </c>
      <c r="M33" s="17">
        <f t="shared" si="7"/>
        <v>12760.739999999998</v>
      </c>
      <c r="N33" s="17">
        <f t="shared" si="7"/>
        <v>14884.55</v>
      </c>
      <c r="O33" s="17">
        <f t="shared" si="7"/>
        <v>13296.3</v>
      </c>
      <c r="P33" s="17">
        <f>SUM(D33:O33)</f>
        <v>164559.49999999997</v>
      </c>
    </row>
    <row r="34" spans="3:16">
      <c r="D34" s="13"/>
      <c r="E34" s="13"/>
      <c r="F34" s="13"/>
      <c r="G34" s="13"/>
      <c r="H34" s="13"/>
      <c r="I34" s="13"/>
      <c r="J34" s="13"/>
      <c r="K34" s="13"/>
      <c r="L34" s="13"/>
      <c r="M34" s="13"/>
      <c r="N34" s="13"/>
      <c r="O34" s="13"/>
      <c r="P34" s="13"/>
    </row>
    <row r="35" spans="3:16">
      <c r="C35" t="s">
        <v>48</v>
      </c>
      <c r="D35" s="13">
        <f>SUMIFS(Actuals!$E:$E,Actuals!$F:$F,'Year Filter'!$C35,Actuals!$A:$A,'Year Filter'!D$1)</f>
        <v>1285.7</v>
      </c>
      <c r="E35" s="13">
        <f>SUMIFS(Actuals!$E:$E,Actuals!$F:$F,'Year Filter'!$C35,Actuals!$A:$A,'Year Filter'!E$1)</f>
        <v>425.81</v>
      </c>
      <c r="F35" s="13">
        <f>SUMIFS(Actuals!$E:$E,Actuals!$F:$F,'Year Filter'!$C35,Actuals!$A:$A,'Year Filter'!F$1)</f>
        <v>856.21</v>
      </c>
      <c r="G35" s="13">
        <f>SUMIFS(Actuals!$E:$E,Actuals!$F:$F,'Year Filter'!$C35,Actuals!$A:$A,'Year Filter'!G$1)</f>
        <v>-12.49</v>
      </c>
      <c r="H35" s="13">
        <f>SUMIFS(Actuals!$E:$E,Actuals!$F:$F,'Year Filter'!$C35,Actuals!$A:$A,'Year Filter'!H$1)</f>
        <v>0</v>
      </c>
      <c r="I35" s="13">
        <f>SUMIFS(Actuals!$E:$E,Actuals!$F:$F,'Year Filter'!$C35,Actuals!$A:$A,'Year Filter'!I$1)</f>
        <v>124.06</v>
      </c>
      <c r="J35" s="13">
        <f>SUMIFS(Actuals!$E:$E,Actuals!$F:$F,'Year Filter'!$C35,Actuals!$A:$A,'Year Filter'!J$1)</f>
        <v>-14.1</v>
      </c>
      <c r="K35" s="13">
        <f>SUMIFS(Actuals!$E:$E,Actuals!$F:$F,'Year Filter'!$C35,Actuals!$A:$A,'Year Filter'!K$1)</f>
        <v>253.53</v>
      </c>
      <c r="L35" s="13">
        <f>SUMIFS(Actuals!$E:$E,Actuals!$F:$F,'Year Filter'!$C35,Actuals!$A:$A,'Year Filter'!L$1)</f>
        <v>0</v>
      </c>
      <c r="M35" s="13">
        <f>SUMIFS(Actuals!$E:$E,Actuals!$F:$F,'Year Filter'!$C35,Actuals!$A:$A,'Year Filter'!M$1)</f>
        <v>227.94</v>
      </c>
      <c r="N35" s="13">
        <f>SUMIFS(Actuals!$E:$E,Actuals!$F:$F,'Year Filter'!$C35,Actuals!$A:$A,'Year Filter'!N$1)</f>
        <v>246.17000000000002</v>
      </c>
      <c r="O35" s="13">
        <f>SUMIFS(Actuals!$E:$E,Actuals!$F:$F,'Year Filter'!$C35,Actuals!$A:$A,'Year Filter'!O$1)</f>
        <v>555.18000000000006</v>
      </c>
      <c r="P35" s="13">
        <f t="shared" ref="P35:P37" si="8">SUM(D35:O35)</f>
        <v>3948.0100000000011</v>
      </c>
    </row>
    <row r="36" spans="3:16">
      <c r="C36" t="s">
        <v>50</v>
      </c>
      <c r="D36" s="13">
        <f>SUMIFS(Actuals!$E:$E,Actuals!$F:$F,'Year Filter'!$C36,Actuals!$A:$A,'Year Filter'!D$1)</f>
        <v>0</v>
      </c>
      <c r="E36" s="13">
        <f>SUMIFS(Actuals!$E:$E,Actuals!$F:$F,'Year Filter'!$C36,Actuals!$A:$A,'Year Filter'!E$1)</f>
        <v>0</v>
      </c>
      <c r="F36" s="13">
        <f>SUMIFS(Actuals!$E:$E,Actuals!$F:$F,'Year Filter'!$C36,Actuals!$A:$A,'Year Filter'!F$1)</f>
        <v>43985.5</v>
      </c>
      <c r="G36" s="13">
        <f>SUMIFS(Actuals!$E:$E,Actuals!$F:$F,'Year Filter'!$C36,Actuals!$A:$A,'Year Filter'!G$1)</f>
        <v>43385.5</v>
      </c>
      <c r="H36" s="13">
        <f>SUMIFS(Actuals!$E:$E,Actuals!$F:$F,'Year Filter'!$C36,Actuals!$A:$A,'Year Filter'!H$1)</f>
        <v>52</v>
      </c>
      <c r="I36" s="13">
        <f>SUMIFS(Actuals!$E:$E,Actuals!$F:$F,'Year Filter'!$C36,Actuals!$A:$A,'Year Filter'!I$1)</f>
        <v>48339</v>
      </c>
      <c r="J36" s="13">
        <f>SUMIFS(Actuals!$E:$E,Actuals!$F:$F,'Year Filter'!$C36,Actuals!$A:$A,'Year Filter'!J$1)</f>
        <v>43385.5</v>
      </c>
      <c r="K36" s="13">
        <f>SUMIFS(Actuals!$E:$E,Actuals!$F:$F,'Year Filter'!$C36,Actuals!$A:$A,'Year Filter'!K$1)</f>
        <v>5053.1100000000006</v>
      </c>
      <c r="L36" s="13">
        <f>SUMIFS(Actuals!$E:$E,Actuals!$F:$F,'Year Filter'!$C36,Actuals!$A:$A,'Year Filter'!L$1)</f>
        <v>18027</v>
      </c>
      <c r="M36" s="13">
        <f>SUMIFS(Actuals!$E:$E,Actuals!$F:$F,'Year Filter'!$C36,Actuals!$A:$A,'Year Filter'!M$1)</f>
        <v>24509</v>
      </c>
      <c r="N36" s="13">
        <f>SUMIFS(Actuals!$E:$E,Actuals!$F:$F,'Year Filter'!$C36,Actuals!$A:$A,'Year Filter'!N$1)</f>
        <v>8816.9699999999993</v>
      </c>
      <c r="O36" s="13">
        <f>SUMIFS(Actuals!$E:$E,Actuals!$F:$F,'Year Filter'!$C36,Actuals!$A:$A,'Year Filter'!O$1)</f>
        <v>30245.75</v>
      </c>
      <c r="P36" s="13">
        <f t="shared" si="8"/>
        <v>265799.32999999996</v>
      </c>
    </row>
    <row r="37" spans="3:16">
      <c r="C37" s="14" t="s">
        <v>43</v>
      </c>
      <c r="D37" s="15">
        <f>SUMIFS(Actuals!$E:$E,Actuals!$F:$F,'Year Filter'!$C37,Actuals!$A:$A,'Year Filter'!D$1)</f>
        <v>1788.3400000000001</v>
      </c>
      <c r="E37" s="15">
        <f>SUMIFS(Actuals!$E:$E,Actuals!$F:$F,'Year Filter'!$C37,Actuals!$A:$A,'Year Filter'!E$1)</f>
        <v>1057.97</v>
      </c>
      <c r="F37" s="15">
        <f>SUMIFS(Actuals!$E:$E,Actuals!$F:$F,'Year Filter'!$C37,Actuals!$A:$A,'Year Filter'!F$1)</f>
        <v>4330.6899999999996</v>
      </c>
      <c r="G37" s="15">
        <f>SUMIFS(Actuals!$E:$E,Actuals!$F:$F,'Year Filter'!$C37,Actuals!$A:$A,'Year Filter'!G$1)</f>
        <v>862.4</v>
      </c>
      <c r="H37" s="15">
        <f>SUMIFS(Actuals!$E:$E,Actuals!$F:$F,'Year Filter'!$C37,Actuals!$A:$A,'Year Filter'!H$1)</f>
        <v>2249.7099999999996</v>
      </c>
      <c r="I37" s="15">
        <f>SUMIFS(Actuals!$E:$E,Actuals!$F:$F,'Year Filter'!$C37,Actuals!$A:$A,'Year Filter'!I$1)</f>
        <v>744.33</v>
      </c>
      <c r="J37" s="15">
        <f>SUMIFS(Actuals!$E:$E,Actuals!$F:$F,'Year Filter'!$C37,Actuals!$A:$A,'Year Filter'!J$1)</f>
        <v>468.68999999999988</v>
      </c>
      <c r="K37" s="15">
        <f>SUMIFS(Actuals!$E:$E,Actuals!$F:$F,'Year Filter'!$C37,Actuals!$A:$A,'Year Filter'!K$1)</f>
        <v>997.66000000000008</v>
      </c>
      <c r="L37" s="15">
        <f>SUMIFS(Actuals!$E:$E,Actuals!$F:$F,'Year Filter'!$C37,Actuals!$A:$A,'Year Filter'!L$1)</f>
        <v>513.21</v>
      </c>
      <c r="M37" s="15">
        <f>SUMIFS(Actuals!$E:$E,Actuals!$F:$F,'Year Filter'!$C37,Actuals!$A:$A,'Year Filter'!M$1)</f>
        <v>908.1</v>
      </c>
      <c r="N37" s="15">
        <f>SUMIFS(Actuals!$E:$E,Actuals!$F:$F,'Year Filter'!$C37,Actuals!$A:$A,'Year Filter'!N$1)</f>
        <v>213.11</v>
      </c>
      <c r="O37" s="15">
        <f>SUMIFS(Actuals!$E:$E,Actuals!$F:$F,'Year Filter'!$C37,Actuals!$A:$A,'Year Filter'!O$1)</f>
        <v>2336.15</v>
      </c>
      <c r="P37" s="15">
        <f t="shared" si="8"/>
        <v>16470.36</v>
      </c>
    </row>
    <row r="38" spans="3:16">
      <c r="C38" s="16" t="s">
        <v>7265</v>
      </c>
      <c r="D38" s="13"/>
      <c r="E38" s="13"/>
      <c r="F38" s="13"/>
      <c r="G38" s="13"/>
      <c r="H38" s="13"/>
      <c r="I38" s="13"/>
      <c r="J38" s="13"/>
      <c r="K38" s="13"/>
      <c r="L38" s="13"/>
      <c r="M38" s="13"/>
      <c r="N38" s="13"/>
      <c r="O38" s="13"/>
      <c r="P38" s="13">
        <f>SUM(P35:P37)</f>
        <v>286217.69999999995</v>
      </c>
    </row>
    <row r="39" spans="3:16">
      <c r="C39" s="19"/>
      <c r="D39" s="20"/>
      <c r="E39" s="20"/>
      <c r="F39" s="20"/>
      <c r="G39" s="20"/>
      <c r="H39" s="20"/>
      <c r="I39" s="20"/>
      <c r="J39" s="20"/>
      <c r="K39" s="20"/>
      <c r="L39" s="20"/>
      <c r="M39" s="20"/>
      <c r="N39" s="20"/>
      <c r="O39" s="20"/>
      <c r="P39" s="20"/>
    </row>
    <row r="40" spans="3:16">
      <c r="C40" s="16" t="s">
        <v>7266</v>
      </c>
      <c r="D40" s="17">
        <f t="shared" ref="D40:P40" si="9">SUM(D38,D33)</f>
        <v>12529.330000000002</v>
      </c>
      <c r="E40" s="17">
        <f t="shared" si="9"/>
        <v>20816.46</v>
      </c>
      <c r="F40" s="17">
        <f t="shared" si="9"/>
        <v>12964.099999999999</v>
      </c>
      <c r="G40" s="17">
        <f t="shared" si="9"/>
        <v>14120.830000000002</v>
      </c>
      <c r="H40" s="17">
        <f t="shared" si="9"/>
        <v>12319.769999999999</v>
      </c>
      <c r="I40" s="17">
        <f t="shared" si="9"/>
        <v>12806.720000000001</v>
      </c>
      <c r="J40" s="17">
        <f t="shared" si="9"/>
        <v>14096.81</v>
      </c>
      <c r="K40" s="17">
        <f t="shared" si="9"/>
        <v>11690.779999999999</v>
      </c>
      <c r="L40" s="17">
        <f t="shared" si="9"/>
        <v>12273.109999999999</v>
      </c>
      <c r="M40" s="17">
        <f t="shared" si="9"/>
        <v>12760.739999999998</v>
      </c>
      <c r="N40" s="17">
        <f t="shared" si="9"/>
        <v>14884.55</v>
      </c>
      <c r="O40" s="17">
        <f>SUM(O38,O33)</f>
        <v>13296.3</v>
      </c>
      <c r="P40" s="17">
        <f t="shared" si="9"/>
        <v>450777.19999999995</v>
      </c>
    </row>
  </sheetData>
  <pageMargins left="0.7" right="0.7" top="0.75" bottom="0.75" header="0.3" footer="0.3"/>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9BAD-CFE8-4467-B90D-1B58A59D387F}">
  <dimension ref="B1:AB102"/>
  <sheetViews>
    <sheetView workbookViewId="0">
      <selection activeCell="D12" sqref="D12"/>
    </sheetView>
  </sheetViews>
  <sheetFormatPr defaultRowHeight="15"/>
  <cols>
    <col min="3" max="3" width="25.140625" customWidth="1"/>
    <col min="6" max="6" width="14.28515625" customWidth="1"/>
    <col min="7" max="7" width="19.85546875" customWidth="1"/>
    <col min="8" max="8" width="13.5703125" customWidth="1"/>
    <col min="9" max="10" width="14.28515625" customWidth="1"/>
    <col min="11" max="11" width="13" customWidth="1"/>
    <col min="12" max="12" width="12.85546875" customWidth="1"/>
    <col min="13" max="13" width="15.5703125" customWidth="1"/>
    <col min="14" max="17" width="13.42578125" customWidth="1"/>
    <col min="20" max="20" width="25.140625" customWidth="1"/>
    <col min="23" max="23" width="14.28515625" customWidth="1"/>
    <col min="24" max="24" width="14.85546875" customWidth="1"/>
    <col min="25" max="25" width="13" customWidth="1"/>
    <col min="26" max="26" width="12.85546875" customWidth="1"/>
    <col min="27" max="27" width="12.140625" customWidth="1"/>
    <col min="28" max="28" width="13.42578125" customWidth="1"/>
  </cols>
  <sheetData>
    <row r="1" spans="2:28">
      <c r="C1" s="138" t="s">
        <v>7325</v>
      </c>
    </row>
    <row r="2" spans="2:28">
      <c r="B2" s="87"/>
      <c r="C2" s="16" t="s">
        <v>7326</v>
      </c>
      <c r="D2" s="87"/>
      <c r="E2" s="87"/>
      <c r="F2" s="87"/>
      <c r="G2" s="16" t="s">
        <v>7327</v>
      </c>
      <c r="H2" s="87"/>
      <c r="I2" s="87"/>
      <c r="J2" s="87"/>
      <c r="L2" s="87"/>
      <c r="M2" s="87" t="s">
        <v>7328</v>
      </c>
      <c r="N2" s="87">
        <v>2061</v>
      </c>
      <c r="O2" s="87"/>
      <c r="P2" s="87"/>
      <c r="Q2" s="87"/>
      <c r="R2" s="87"/>
      <c r="S2" s="87"/>
      <c r="T2" s="90" t="s">
        <v>7329</v>
      </c>
      <c r="U2" s="87"/>
      <c r="V2" s="87"/>
      <c r="W2" s="87"/>
      <c r="X2" s="87"/>
      <c r="Y2" s="87"/>
      <c r="Z2" s="87"/>
      <c r="AA2" s="87"/>
      <c r="AB2" s="87"/>
    </row>
    <row r="3" spans="2:28">
      <c r="B3" s="87"/>
      <c r="C3" s="87" t="s">
        <v>7330</v>
      </c>
      <c r="D3" s="88">
        <f>SUM('Main Detail'!D58:D59)</f>
        <v>30500</v>
      </c>
      <c r="E3" s="88"/>
      <c r="F3" s="87"/>
      <c r="G3" t="s">
        <v>7331</v>
      </c>
      <c r="H3" s="59" t="str">
        <f ca="1">IF(H6="Never","Forever",H6-D9&amp;" Years")</f>
        <v>Forever</v>
      </c>
      <c r="I3" s="59"/>
      <c r="J3" s="87" t="s">
        <v>7332</v>
      </c>
      <c r="M3" s="87" t="s">
        <v>7333</v>
      </c>
      <c r="N3" s="141">
        <f ca="1">VLOOKUP((N2-1),$D$15:$O$101,12,0)</f>
        <v>13980261.116796486</v>
      </c>
      <c r="O3" s="87"/>
      <c r="P3" s="87"/>
      <c r="Q3" s="87"/>
      <c r="R3" s="87"/>
      <c r="S3" s="87"/>
      <c r="T3" s="87" t="s">
        <v>7330</v>
      </c>
      <c r="U3" s="88">
        <f>SUM('Main Detail'!D58:D60)</f>
        <v>44900</v>
      </c>
      <c r="V3" s="88"/>
      <c r="W3" s="87"/>
      <c r="X3" s="87"/>
      <c r="Y3" s="87"/>
      <c r="Z3" s="87"/>
      <c r="AA3" s="87"/>
      <c r="AB3" s="87"/>
    </row>
    <row r="4" spans="2:28">
      <c r="B4" s="87"/>
      <c r="C4" t="s">
        <v>7334</v>
      </c>
      <c r="D4" s="88">
        <f>SUM('Main Detail'!D58:D59)+9042</f>
        <v>39542</v>
      </c>
      <c r="E4" s="122" t="s">
        <v>7335</v>
      </c>
      <c r="F4" s="87"/>
      <c r="G4" t="s">
        <v>7336</v>
      </c>
      <c r="H4" s="26">
        <f ca="1">VLOOKUP(D9-1,E:O,11,0)</f>
        <v>8575649.6291808989</v>
      </c>
      <c r="I4" s="26"/>
      <c r="J4" s="79" t="s">
        <v>7337</v>
      </c>
      <c r="L4" s="120"/>
      <c r="M4" t="s">
        <v>7338</v>
      </c>
      <c r="N4" s="46">
        <f ca="1">VLOOKUP(N2,$D$15:$O$101,12,0)</f>
        <v>14546646.461850379</v>
      </c>
      <c r="O4" s="87"/>
      <c r="P4" s="87"/>
      <c r="Q4" s="87"/>
      <c r="R4" s="87"/>
      <c r="S4" s="87"/>
      <c r="T4" t="s">
        <v>7334</v>
      </c>
      <c r="U4" s="88">
        <f>SUM('Main Detail'!D55:D57)</f>
        <v>35700</v>
      </c>
      <c r="W4" s="87"/>
      <c r="X4" s="87"/>
      <c r="Y4" s="87"/>
      <c r="Z4" s="87"/>
      <c r="AA4" s="87"/>
      <c r="AB4" s="87"/>
    </row>
    <row r="5" spans="2:28">
      <c r="B5" s="87"/>
      <c r="C5" s="87" t="s">
        <v>7339</v>
      </c>
      <c r="D5" s="139">
        <v>7.8E-2</v>
      </c>
      <c r="E5" s="89"/>
      <c r="F5" s="87"/>
      <c r="G5" s="87" t="s">
        <v>7340</v>
      </c>
      <c r="H5" s="87"/>
      <c r="I5" s="87"/>
      <c r="J5" s="79" t="s">
        <v>7341</v>
      </c>
      <c r="L5" s="87"/>
      <c r="M5" s="87" t="s">
        <v>7342</v>
      </c>
      <c r="N5" s="141">
        <f ca="1">N4-N3</f>
        <v>566385.34505389258</v>
      </c>
      <c r="O5" s="141">
        <f ca="1">N6+N7+N8+N9-N10-N11+N12</f>
        <v>566385.34505389165</v>
      </c>
      <c r="P5" s="87"/>
      <c r="Q5" s="87"/>
      <c r="R5" s="87"/>
      <c r="S5" s="87"/>
      <c r="T5" s="87" t="s">
        <v>7339</v>
      </c>
      <c r="U5" s="89">
        <v>0.08</v>
      </c>
      <c r="V5" s="89"/>
      <c r="W5" s="87"/>
      <c r="X5" s="87"/>
      <c r="Y5" s="87"/>
      <c r="Z5" s="87"/>
      <c r="AA5" s="87"/>
      <c r="AB5" s="87"/>
    </row>
    <row r="6" spans="2:28">
      <c r="B6" s="87"/>
      <c r="C6" s="87" t="s">
        <v>7343</v>
      </c>
      <c r="D6" s="88">
        <f>SUM('Main 2'!D86:D87)+90000</f>
        <v>1156474.93</v>
      </c>
      <c r="E6" s="88"/>
      <c r="F6" s="87"/>
      <c r="G6" s="87" t="s">
        <v>64</v>
      </c>
      <c r="H6" s="87" t="str">
        <f ca="1">IF(ISNA(VLOOKUP(1,C:E,3,0)),"Never",VLOOKUP(1,C:E,3,0))</f>
        <v>Never</v>
      </c>
      <c r="I6" s="87"/>
      <c r="J6" s="87">
        <f>4820*12</f>
        <v>57840</v>
      </c>
      <c r="K6" s="89"/>
      <c r="L6" s="137"/>
      <c r="M6" s="142" t="s">
        <v>7344</v>
      </c>
      <c r="N6" s="141">
        <f ca="1">VLOOKUP(N2,$D$15:$O$101,4,0)</f>
        <v>0</v>
      </c>
      <c r="O6" s="87"/>
      <c r="P6" s="87"/>
      <c r="Q6" s="87"/>
      <c r="R6" s="87"/>
      <c r="S6" s="87"/>
      <c r="T6" s="87" t="s">
        <v>7343</v>
      </c>
      <c r="U6" s="88">
        <f>SUM('Main 2'!D85:D87)</f>
        <v>1599917.68</v>
      </c>
      <c r="V6" s="88"/>
      <c r="W6" s="87"/>
      <c r="X6" s="87"/>
      <c r="Y6" s="87"/>
      <c r="Z6" s="87"/>
      <c r="AA6" s="87"/>
      <c r="AB6" s="87"/>
    </row>
    <row r="7" spans="2:28">
      <c r="B7" s="87"/>
      <c r="C7" s="87" t="s">
        <v>7345</v>
      </c>
      <c r="D7" s="88">
        <v>0</v>
      </c>
      <c r="E7" s="140" t="s">
        <v>7346</v>
      </c>
      <c r="F7" s="79" t="s">
        <v>7347</v>
      </c>
      <c r="G7" s="87" t="s">
        <v>7348</v>
      </c>
      <c r="H7" s="87" t="str">
        <f ca="1">IF(ISNA(VLOOKUP(1,C:F,4,0)),"Never",VLOOKUP(1,C:F,4,0))</f>
        <v>Never</v>
      </c>
      <c r="I7" s="87"/>
      <c r="J7" s="87"/>
      <c r="K7" s="89"/>
      <c r="L7" s="137"/>
      <c r="M7" s="142" t="s">
        <v>7349</v>
      </c>
      <c r="N7" s="141">
        <f ca="1">VLOOKUP(N2,$D$15:$O$101,5,0)</f>
        <v>0</v>
      </c>
      <c r="O7" s="87"/>
      <c r="P7" s="87"/>
      <c r="Q7" s="87"/>
      <c r="R7" s="87"/>
      <c r="S7" s="87"/>
      <c r="T7" s="87"/>
      <c r="U7" s="88"/>
      <c r="V7" s="88"/>
      <c r="W7" s="87"/>
      <c r="X7" s="87"/>
      <c r="Y7" s="87"/>
      <c r="Z7" s="87"/>
      <c r="AA7" s="87"/>
      <c r="AB7" s="87"/>
    </row>
    <row r="8" spans="2:28">
      <c r="B8" s="87"/>
      <c r="C8" s="87" t="s">
        <v>7350</v>
      </c>
      <c r="D8" s="88">
        <f>D7*0.5</f>
        <v>0</v>
      </c>
      <c r="E8" s="88"/>
      <c r="F8" s="87"/>
      <c r="G8" s="87"/>
      <c r="H8" s="87"/>
      <c r="I8" s="87"/>
      <c r="J8" s="87"/>
      <c r="K8" s="89"/>
      <c r="L8" s="137"/>
      <c r="M8" s="142" t="s">
        <v>7351</v>
      </c>
      <c r="N8" s="141">
        <f ca="1">VLOOKUP(N2,$D$15:$O$101,6,0)</f>
        <v>0</v>
      </c>
      <c r="O8" s="141"/>
      <c r="P8" s="87"/>
      <c r="Q8" s="87"/>
      <c r="R8" s="87"/>
      <c r="S8" s="87"/>
      <c r="T8" s="87"/>
      <c r="U8" s="88"/>
      <c r="V8" s="88"/>
      <c r="W8" s="87"/>
      <c r="X8" s="87"/>
      <c r="Y8" s="87"/>
      <c r="Z8" s="87"/>
      <c r="AA8" s="87"/>
      <c r="AB8" s="87"/>
    </row>
    <row r="9" spans="2:28">
      <c r="B9" s="87"/>
      <c r="C9" s="87" t="s">
        <v>7352</v>
      </c>
      <c r="D9" s="88">
        <v>60</v>
      </c>
      <c r="E9" s="88"/>
      <c r="F9" s="87"/>
      <c r="I9" s="87"/>
      <c r="J9" s="87"/>
      <c r="K9" s="87"/>
      <c r="L9" s="87"/>
      <c r="M9" s="142" t="s">
        <v>7353</v>
      </c>
      <c r="N9" s="141">
        <f ca="1">VLOOKUP(N2,$D$15:$O$101,7,0)</f>
        <v>0</v>
      </c>
      <c r="O9" s="87"/>
      <c r="P9" s="87"/>
      <c r="Q9" s="87"/>
      <c r="R9" s="87"/>
      <c r="S9" s="87"/>
      <c r="T9" s="87" t="s">
        <v>7352</v>
      </c>
      <c r="U9" s="88">
        <v>65</v>
      </c>
      <c r="V9" s="88"/>
      <c r="W9" s="87"/>
      <c r="X9" s="87"/>
      <c r="Y9" s="87"/>
      <c r="Z9" s="87"/>
      <c r="AA9" s="87"/>
      <c r="AB9" s="87"/>
    </row>
    <row r="10" spans="2:28">
      <c r="B10" s="87"/>
      <c r="C10" t="s">
        <v>7354</v>
      </c>
      <c r="D10">
        <v>53</v>
      </c>
      <c r="F10" s="87"/>
      <c r="K10" s="87"/>
      <c r="L10" s="87"/>
      <c r="M10" s="142" t="s">
        <v>7355</v>
      </c>
      <c r="N10" s="141">
        <f ca="1">VLOOKUP(N2,$D$15:$O$101,8,0)</f>
        <v>377334.01588048873</v>
      </c>
      <c r="O10" s="87"/>
      <c r="P10" s="87"/>
      <c r="Q10" s="87"/>
      <c r="R10" s="87"/>
      <c r="S10" s="87"/>
      <c r="T10" t="s">
        <v>7354</v>
      </c>
      <c r="U10">
        <v>65</v>
      </c>
      <c r="W10" s="87"/>
      <c r="X10" s="87"/>
      <c r="Y10" s="87"/>
      <c r="Z10" s="87"/>
      <c r="AA10" s="87"/>
      <c r="AB10" s="87"/>
    </row>
    <row r="11" spans="2:28">
      <c r="B11" s="87"/>
      <c r="C11" s="87" t="s">
        <v>7356</v>
      </c>
      <c r="D11" s="88">
        <f>Revised!P34+Revised!P36+Revised!P38</f>
        <v>184977.87</v>
      </c>
      <c r="E11" s="88"/>
      <c r="F11" s="87"/>
      <c r="G11" s="87"/>
      <c r="H11" s="87"/>
      <c r="I11" s="87"/>
      <c r="J11" s="87"/>
      <c r="K11" s="87"/>
      <c r="L11" s="87"/>
      <c r="M11" s="142" t="s">
        <v>7357</v>
      </c>
      <c r="N11" s="141">
        <f ca="1">VLOOKUP(N2,$D$15:$O$101,9,0)</f>
        <v>146741.00617574563</v>
      </c>
      <c r="O11" s="143"/>
      <c r="P11" s="87"/>
      <c r="Q11" s="87"/>
      <c r="R11" s="87"/>
      <c r="S11" s="87"/>
      <c r="T11" s="87" t="s">
        <v>7358</v>
      </c>
      <c r="U11" s="88">
        <f>D11</f>
        <v>184977.87</v>
      </c>
      <c r="V11" s="88"/>
      <c r="W11" s="87"/>
      <c r="X11" s="87"/>
      <c r="Y11" s="87"/>
      <c r="Z11" s="87"/>
      <c r="AA11" s="87"/>
      <c r="AB11" s="87"/>
    </row>
    <row r="12" spans="2:28">
      <c r="B12" s="87"/>
      <c r="C12" s="87" t="s">
        <v>7359</v>
      </c>
      <c r="D12" s="89">
        <v>0.28000000000000003</v>
      </c>
      <c r="E12" s="88"/>
      <c r="F12" s="87"/>
      <c r="G12" s="87"/>
      <c r="H12" s="87"/>
      <c r="I12" s="87"/>
      <c r="J12" s="142"/>
      <c r="K12" s="87"/>
      <c r="L12" s="87"/>
      <c r="M12" s="142" t="s">
        <v>7360</v>
      </c>
      <c r="N12" s="141">
        <f ca="1">VLOOKUP(N2,$D$15:$O$101,11,0)</f>
        <v>1090460.367110126</v>
      </c>
      <c r="O12" s="144">
        <f ca="1">((N4+N3)/2)*D5</f>
        <v>1112549.3955672276</v>
      </c>
      <c r="P12" s="87"/>
      <c r="Q12" s="87"/>
      <c r="R12" s="87"/>
      <c r="S12" s="87"/>
      <c r="T12" s="87"/>
      <c r="U12" s="88"/>
      <c r="V12" s="88"/>
      <c r="W12" s="87"/>
      <c r="X12" s="87"/>
      <c r="Y12" s="87"/>
      <c r="Z12" s="87"/>
      <c r="AA12" s="87"/>
      <c r="AB12" s="87"/>
    </row>
    <row r="13" spans="2:28">
      <c r="B13" s="87"/>
      <c r="C13" s="87" t="s">
        <v>7361</v>
      </c>
      <c r="D13" s="120">
        <f ca="1">12-MONTH(TODAY())</f>
        <v>7</v>
      </c>
      <c r="E13" s="88"/>
      <c r="F13" s="87"/>
      <c r="G13" s="87"/>
      <c r="H13" s="87"/>
      <c r="I13" s="87"/>
      <c r="J13" s="87"/>
      <c r="K13" s="87"/>
      <c r="L13" s="87"/>
      <c r="M13" s="87"/>
      <c r="N13" s="87"/>
      <c r="O13" s="87"/>
      <c r="P13" s="87"/>
      <c r="Q13" s="87"/>
      <c r="R13" s="87"/>
      <c r="S13" s="87"/>
      <c r="T13" s="87"/>
      <c r="U13" s="88"/>
      <c r="V13" s="88"/>
      <c r="W13" s="87"/>
      <c r="X13" s="87"/>
      <c r="Y13" s="87"/>
      <c r="Z13" s="87"/>
      <c r="AA13" s="87"/>
      <c r="AB13" s="87"/>
    </row>
    <row r="14" spans="2:28">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row>
    <row r="15" spans="2:28">
      <c r="B15" s="91" t="s">
        <v>7362</v>
      </c>
      <c r="C15" s="91" t="s">
        <v>7363</v>
      </c>
      <c r="D15" s="91" t="s">
        <v>7257</v>
      </c>
      <c r="E15" s="91" t="s">
        <v>7364</v>
      </c>
      <c r="F15" s="91" t="s">
        <v>7365</v>
      </c>
      <c r="G15" s="91" t="s">
        <v>7366</v>
      </c>
      <c r="H15" s="91" t="s">
        <v>7367</v>
      </c>
      <c r="I15" s="91" t="s">
        <v>7368</v>
      </c>
      <c r="J15" s="91" t="s">
        <v>7369</v>
      </c>
      <c r="K15" s="91" t="s">
        <v>7370</v>
      </c>
      <c r="L15" s="91" t="s">
        <v>7371</v>
      </c>
      <c r="M15" s="91" t="s">
        <v>7372</v>
      </c>
      <c r="N15" s="91" t="s">
        <v>7373</v>
      </c>
      <c r="O15" s="91" t="s">
        <v>2238</v>
      </c>
      <c r="Q15" s="91"/>
      <c r="R15" s="87"/>
      <c r="S15" s="91" t="s">
        <v>7362</v>
      </c>
      <c r="T15" s="91" t="s">
        <v>7257</v>
      </c>
      <c r="U15" s="91" t="s">
        <v>7364</v>
      </c>
      <c r="V15" s="91" t="s">
        <v>7365</v>
      </c>
      <c r="W15" s="91" t="s">
        <v>7366</v>
      </c>
      <c r="X15" s="91" t="s">
        <v>7367</v>
      </c>
      <c r="Y15" s="91" t="s">
        <v>7370</v>
      </c>
      <c r="Z15" s="91" t="s">
        <v>7372</v>
      </c>
      <c r="AA15" s="91" t="s">
        <v>7374</v>
      </c>
      <c r="AB15" s="91" t="s">
        <v>2238</v>
      </c>
    </row>
    <row r="16" spans="2:28">
      <c r="B16" s="87">
        <v>1</v>
      </c>
      <c r="C16" s="88">
        <f t="shared" ref="C16:C47" ca="1" si="0">IF(O15&lt;0,0,IF(O16&lt;0,1,0))</f>
        <v>0</v>
      </c>
      <c r="D16" s="87">
        <f ca="1">YEAR(TODAY())</f>
        <v>2026</v>
      </c>
      <c r="E16" s="87">
        <f ca="1">D16-1987</f>
        <v>39</v>
      </c>
      <c r="F16" s="87">
        <f ca="1">D16-1988</f>
        <v>38</v>
      </c>
      <c r="G16" s="88">
        <f ca="1">IF(E16&lt;$D$9,$D$3,0)*(D13/12)</f>
        <v>17791.666666666668</v>
      </c>
      <c r="H16" s="88">
        <f ca="1">IF(F16&lt;$D$10,$D$4,0)*(D13/12)</f>
        <v>23066.166666666668</v>
      </c>
      <c r="I16" s="88">
        <f ca="1">IF(AND(E16&gt;72,E16&lt;85.5),$D$7,0)</f>
        <v>0</v>
      </c>
      <c r="J16" s="88">
        <f ca="1">IF(AND(F16&gt;72,F16&lt;88.8),$D$8,0)</f>
        <v>0</v>
      </c>
      <c r="K16" s="88">
        <f t="shared" ref="K16:K47" ca="1" si="1">IF(E16&gt;=$D$9,$D$11,0)*(1.02^B16)</f>
        <v>0</v>
      </c>
      <c r="L16" s="88">
        <f ca="1">(K16/(1-$D$12))-K16</f>
        <v>0</v>
      </c>
      <c r="M16" s="141">
        <f>D6</f>
        <v>1156474.93</v>
      </c>
      <c r="N16" s="141">
        <f ca="1">(SUM(G16:H16)/2)*($D$5*($D$13)/12)+($M$16*($D$5*($D$13)/12))</f>
        <v>53549.125023333334</v>
      </c>
      <c r="O16" s="141">
        <f ca="1">N16+M16+H16+G16+I16+J16-K16-L16</f>
        <v>1250881.8883566668</v>
      </c>
      <c r="Q16" s="88"/>
      <c r="R16" s="87"/>
      <c r="S16" s="87">
        <v>1</v>
      </c>
      <c r="T16" s="87">
        <v>2023</v>
      </c>
      <c r="U16" s="87">
        <v>36</v>
      </c>
      <c r="V16" s="87">
        <v>35</v>
      </c>
      <c r="W16" s="88">
        <f t="shared" ref="W16:W47" si="2">IF(U16&lt;$U$9,$U$3,0)</f>
        <v>44900</v>
      </c>
      <c r="X16" s="88">
        <f t="shared" ref="X16:X47" si="3">IF(V16&lt;$U$10,$U$4,0)</f>
        <v>35700</v>
      </c>
      <c r="Y16" s="88">
        <f t="shared" ref="Y16:Y47" si="4">IF(U16&gt;=$U$9,$U$11,0)*(1.02^S16)</f>
        <v>0</v>
      </c>
      <c r="Z16" s="88">
        <f>U6</f>
        <v>1599917.68</v>
      </c>
      <c r="AA16" s="88">
        <f ca="1">(SUM(W16:X16)/2)*($U$5*(12-MONTH(TODAY())/12))+(Z16*($U$5*(MONTH(TODAY())/12)))</f>
        <v>90675.255999999994</v>
      </c>
      <c r="AB16" s="88">
        <f ca="1">SUM(W16,X16,Z16,AA16)-Y16</f>
        <v>1771192.936</v>
      </c>
    </row>
    <row r="17" spans="2:28">
      <c r="B17" s="87">
        <v>2</v>
      </c>
      <c r="C17" s="88">
        <f t="shared" ca="1" si="0"/>
        <v>0</v>
      </c>
      <c r="D17" s="87">
        <f ca="1">D16+1</f>
        <v>2027</v>
      </c>
      <c r="E17" s="87">
        <f t="shared" ref="E17:E80" ca="1" si="5">D17-1987</f>
        <v>40</v>
      </c>
      <c r="F17" s="87">
        <f t="shared" ref="F17:F80" ca="1" si="6">D17-1988</f>
        <v>39</v>
      </c>
      <c r="G17" s="88">
        <f t="shared" ref="G17:G48" ca="1" si="7">IF(E17&lt;$D$9,$D$3,0)</f>
        <v>30500</v>
      </c>
      <c r="H17" s="88">
        <f t="shared" ref="H17:H48" ca="1" si="8">IF(F17&lt;$D$10,$D$4,0)</f>
        <v>39542</v>
      </c>
      <c r="I17" s="88">
        <f t="shared" ref="I17:I80" ca="1" si="9">IF(AND(E17&gt;72,E17&lt;85.5),$D$7,0)</f>
        <v>0</v>
      </c>
      <c r="J17" s="88">
        <f t="shared" ref="J17:J80" ca="1" si="10">IF(AND(F17&gt;72,F17&lt;88.8),$D$8,0)</f>
        <v>0</v>
      </c>
      <c r="K17" s="88">
        <f t="shared" ca="1" si="1"/>
        <v>0</v>
      </c>
      <c r="L17" s="88">
        <f t="shared" ref="L17:L80" ca="1" si="11">(K17/(1-$D$12))-K17</f>
        <v>0</v>
      </c>
      <c r="M17" s="141">
        <f ca="1">O16</f>
        <v>1250881.8883566668</v>
      </c>
      <c r="N17" s="141">
        <f ca="1">(O16+IF((G17+H17+I17+J17-K17-L17)&lt;0,0,(G17+H17+I17+J17-K17-L17)/2))*$D$5</f>
        <v>100300.42529182001</v>
      </c>
      <c r="O17" s="141">
        <f t="shared" ref="O17" ca="1" si="12">N17+M17+H17+G17+I17+J17-K17-L17</f>
        <v>1421224.3136484867</v>
      </c>
      <c r="P17" s="59"/>
      <c r="Q17" s="88"/>
      <c r="R17" s="87"/>
      <c r="S17" s="87">
        <v>2</v>
      </c>
      <c r="T17" s="87">
        <v>2024</v>
      </c>
      <c r="U17" s="87">
        <v>37</v>
      </c>
      <c r="V17" s="87">
        <v>36</v>
      </c>
      <c r="W17" s="88">
        <f t="shared" si="2"/>
        <v>44900</v>
      </c>
      <c r="X17" s="88">
        <f t="shared" si="3"/>
        <v>35700</v>
      </c>
      <c r="Y17" s="88">
        <f t="shared" si="4"/>
        <v>0</v>
      </c>
      <c r="Z17" s="88">
        <f ca="1">AB16</f>
        <v>1771192.936</v>
      </c>
      <c r="AA17" s="88">
        <f t="shared" ref="AA17:AA80" ca="1" si="13">(SUM(V17:W17)/2)*$U$5+(Z17*$U$5)</f>
        <v>143492.87488000002</v>
      </c>
      <c r="AB17" s="88">
        <f t="shared" ref="AB17:AB40" ca="1" si="14">SUM(W17,X17,Z17,AA17)-Y17</f>
        <v>1995285.81088</v>
      </c>
    </row>
    <row r="18" spans="2:28">
      <c r="B18" s="87">
        <v>3</v>
      </c>
      <c r="C18" s="88">
        <f t="shared" ca="1" si="0"/>
        <v>0</v>
      </c>
      <c r="D18" s="87">
        <f t="shared" ref="D18:D81" ca="1" si="15">D17+1</f>
        <v>2028</v>
      </c>
      <c r="E18" s="87">
        <f t="shared" ca="1" si="5"/>
        <v>41</v>
      </c>
      <c r="F18" s="87">
        <f t="shared" ca="1" si="6"/>
        <v>40</v>
      </c>
      <c r="G18" s="88">
        <f t="shared" ca="1" si="7"/>
        <v>30500</v>
      </c>
      <c r="H18" s="88">
        <f t="shared" ca="1" si="8"/>
        <v>39542</v>
      </c>
      <c r="I18" s="88">
        <f t="shared" ca="1" si="9"/>
        <v>0</v>
      </c>
      <c r="J18" s="88">
        <f t="shared" ca="1" si="10"/>
        <v>0</v>
      </c>
      <c r="K18" s="88">
        <f t="shared" ca="1" si="1"/>
        <v>0</v>
      </c>
      <c r="L18" s="88">
        <f t="shared" ca="1" si="11"/>
        <v>0</v>
      </c>
      <c r="M18" s="141">
        <f t="shared" ref="M18:M81" ca="1" si="16">O17</f>
        <v>1421224.3136484867</v>
      </c>
      <c r="N18" s="141">
        <f t="shared" ref="N18:N81" ca="1" si="17">(O17+IF((G18+H18+I18+J18-K18-L18)&lt;0,0,(G18+H18+I18+J18-K18-L18)/2))*$D$5</f>
        <v>113587.13446458196</v>
      </c>
      <c r="O18" s="141">
        <f t="shared" ref="O18:O81" ca="1" si="18">N18+M18+H18+G18+I18+J18-K18-L18</f>
        <v>1604853.4481130687</v>
      </c>
      <c r="Q18" s="88"/>
      <c r="R18" s="87"/>
      <c r="S18" s="87">
        <v>3</v>
      </c>
      <c r="T18" s="87">
        <v>2025</v>
      </c>
      <c r="U18" s="87">
        <v>38</v>
      </c>
      <c r="V18" s="87">
        <v>37</v>
      </c>
      <c r="W18" s="88">
        <f t="shared" si="2"/>
        <v>44900</v>
      </c>
      <c r="X18" s="88">
        <f t="shared" si="3"/>
        <v>35700</v>
      </c>
      <c r="Y18" s="88">
        <f t="shared" si="4"/>
        <v>0</v>
      </c>
      <c r="Z18" s="88">
        <f t="shared" ref="Z18:Z81" ca="1" si="19">AB17</f>
        <v>1995285.81088</v>
      </c>
      <c r="AA18" s="88">
        <f t="shared" ca="1" si="13"/>
        <v>161420.3448704</v>
      </c>
      <c r="AB18" s="88">
        <f t="shared" ca="1" si="14"/>
        <v>2237306.1557503999</v>
      </c>
    </row>
    <row r="19" spans="2:28">
      <c r="B19" s="87">
        <v>4</v>
      </c>
      <c r="C19" s="88">
        <f t="shared" ca="1" si="0"/>
        <v>0</v>
      </c>
      <c r="D19" s="87">
        <f t="shared" ca="1" si="15"/>
        <v>2029</v>
      </c>
      <c r="E19" s="87">
        <f t="shared" ca="1" si="5"/>
        <v>42</v>
      </c>
      <c r="F19" s="87">
        <f t="shared" ca="1" si="6"/>
        <v>41</v>
      </c>
      <c r="G19" s="88">
        <f t="shared" ca="1" si="7"/>
        <v>30500</v>
      </c>
      <c r="H19" s="88">
        <f t="shared" ca="1" si="8"/>
        <v>39542</v>
      </c>
      <c r="I19" s="88">
        <f t="shared" ca="1" si="9"/>
        <v>0</v>
      </c>
      <c r="J19" s="88">
        <f t="shared" ca="1" si="10"/>
        <v>0</v>
      </c>
      <c r="K19" s="88">
        <f t="shared" ca="1" si="1"/>
        <v>0</v>
      </c>
      <c r="L19" s="88">
        <f t="shared" ca="1" si="11"/>
        <v>0</v>
      </c>
      <c r="M19" s="141">
        <f t="shared" ca="1" si="16"/>
        <v>1604853.4481130687</v>
      </c>
      <c r="N19" s="141">
        <f t="shared" ca="1" si="17"/>
        <v>127910.20695281935</v>
      </c>
      <c r="O19" s="141">
        <f t="shared" ca="1" si="18"/>
        <v>1802805.6550658881</v>
      </c>
      <c r="Q19" s="88"/>
      <c r="R19" s="87"/>
      <c r="S19" s="87">
        <v>4</v>
      </c>
      <c r="T19" s="87">
        <v>2026</v>
      </c>
      <c r="U19" s="87">
        <v>39</v>
      </c>
      <c r="V19" s="87">
        <v>38</v>
      </c>
      <c r="W19" s="88">
        <f t="shared" si="2"/>
        <v>44900</v>
      </c>
      <c r="X19" s="88">
        <f t="shared" si="3"/>
        <v>35700</v>
      </c>
      <c r="Y19" s="88">
        <f t="shared" si="4"/>
        <v>0</v>
      </c>
      <c r="Z19" s="88">
        <f t="shared" ca="1" si="19"/>
        <v>2237306.1557503999</v>
      </c>
      <c r="AA19" s="88">
        <f t="shared" ca="1" si="13"/>
        <v>180782.01246003198</v>
      </c>
      <c r="AB19" s="88">
        <f t="shared" ca="1" si="14"/>
        <v>2498688.1682104319</v>
      </c>
    </row>
    <row r="20" spans="2:28">
      <c r="B20" s="87">
        <v>5</v>
      </c>
      <c r="C20" s="88">
        <f t="shared" ca="1" si="0"/>
        <v>0</v>
      </c>
      <c r="D20" s="87">
        <f t="shared" ca="1" si="15"/>
        <v>2030</v>
      </c>
      <c r="E20" s="87">
        <f t="shared" ca="1" si="5"/>
        <v>43</v>
      </c>
      <c r="F20" s="87">
        <f t="shared" ca="1" si="6"/>
        <v>42</v>
      </c>
      <c r="G20" s="88">
        <f t="shared" ca="1" si="7"/>
        <v>30500</v>
      </c>
      <c r="H20" s="88">
        <f t="shared" ca="1" si="8"/>
        <v>39542</v>
      </c>
      <c r="I20" s="88">
        <f t="shared" ca="1" si="9"/>
        <v>0</v>
      </c>
      <c r="J20" s="88">
        <f t="shared" ca="1" si="10"/>
        <v>0</v>
      </c>
      <c r="K20" s="88">
        <f t="shared" ca="1" si="1"/>
        <v>0</v>
      </c>
      <c r="L20" s="88">
        <f t="shared" ca="1" si="11"/>
        <v>0</v>
      </c>
      <c r="M20" s="141">
        <f t="shared" ca="1" si="16"/>
        <v>1802805.6550658881</v>
      </c>
      <c r="N20" s="141">
        <f t="shared" ca="1" si="17"/>
        <v>143350.47909513928</v>
      </c>
      <c r="O20" s="141">
        <f t="shared" ca="1" si="18"/>
        <v>2016198.1341610274</v>
      </c>
      <c r="Q20" s="88"/>
      <c r="R20" s="87"/>
      <c r="S20" s="87">
        <v>5</v>
      </c>
      <c r="T20" s="87">
        <v>2027</v>
      </c>
      <c r="U20" s="87">
        <v>40</v>
      </c>
      <c r="V20" s="87">
        <v>39</v>
      </c>
      <c r="W20" s="88">
        <f t="shared" si="2"/>
        <v>44900</v>
      </c>
      <c r="X20" s="88">
        <f t="shared" si="3"/>
        <v>35700</v>
      </c>
      <c r="Y20" s="88">
        <f t="shared" si="4"/>
        <v>0</v>
      </c>
      <c r="Z20" s="88">
        <f t="shared" ca="1" si="19"/>
        <v>2498688.1682104319</v>
      </c>
      <c r="AA20" s="88">
        <f t="shared" ca="1" si="13"/>
        <v>201692.61345683454</v>
      </c>
      <c r="AB20" s="88">
        <f t="shared" ca="1" si="14"/>
        <v>2780980.7816672665</v>
      </c>
    </row>
    <row r="21" spans="2:28">
      <c r="B21" s="87">
        <v>6</v>
      </c>
      <c r="C21" s="88">
        <f t="shared" ca="1" si="0"/>
        <v>0</v>
      </c>
      <c r="D21" s="87">
        <f t="shared" ca="1" si="15"/>
        <v>2031</v>
      </c>
      <c r="E21" s="87">
        <f t="shared" ca="1" si="5"/>
        <v>44</v>
      </c>
      <c r="F21" s="87">
        <f t="shared" ca="1" si="6"/>
        <v>43</v>
      </c>
      <c r="G21" s="88">
        <f t="shared" ca="1" si="7"/>
        <v>30500</v>
      </c>
      <c r="H21" s="88">
        <f t="shared" ca="1" si="8"/>
        <v>39542</v>
      </c>
      <c r="I21" s="88">
        <f t="shared" ca="1" si="9"/>
        <v>0</v>
      </c>
      <c r="J21" s="88">
        <f t="shared" ca="1" si="10"/>
        <v>0</v>
      </c>
      <c r="K21" s="88">
        <f t="shared" ca="1" si="1"/>
        <v>0</v>
      </c>
      <c r="L21" s="88">
        <f t="shared" ca="1" si="11"/>
        <v>0</v>
      </c>
      <c r="M21" s="141">
        <f t="shared" ca="1" si="16"/>
        <v>2016198.1341610274</v>
      </c>
      <c r="N21" s="141">
        <f t="shared" ca="1" si="17"/>
        <v>159995.09246456015</v>
      </c>
      <c r="O21" s="141">
        <f t="shared" ca="1" si="18"/>
        <v>2246235.2266255873</v>
      </c>
      <c r="Q21" s="88"/>
      <c r="R21" s="87"/>
      <c r="S21" s="87">
        <v>6</v>
      </c>
      <c r="T21" s="87">
        <v>2028</v>
      </c>
      <c r="U21" s="87">
        <v>41</v>
      </c>
      <c r="V21" s="87">
        <v>40</v>
      </c>
      <c r="W21" s="88">
        <f t="shared" si="2"/>
        <v>44900</v>
      </c>
      <c r="X21" s="88">
        <f t="shared" si="3"/>
        <v>35700</v>
      </c>
      <c r="Y21" s="88">
        <f t="shared" si="4"/>
        <v>0</v>
      </c>
      <c r="Z21" s="88">
        <f t="shared" ca="1" si="19"/>
        <v>2780980.7816672665</v>
      </c>
      <c r="AA21" s="88">
        <f t="shared" ca="1" si="13"/>
        <v>224276.06253338134</v>
      </c>
      <c r="AB21" s="88">
        <f t="shared" ca="1" si="14"/>
        <v>3085856.8442006479</v>
      </c>
    </row>
    <row r="22" spans="2:28">
      <c r="B22" s="87">
        <v>7</v>
      </c>
      <c r="C22" s="88">
        <f t="shared" ca="1" si="0"/>
        <v>0</v>
      </c>
      <c r="D22" s="87">
        <f t="shared" ca="1" si="15"/>
        <v>2032</v>
      </c>
      <c r="E22" s="87">
        <f t="shared" ca="1" si="5"/>
        <v>45</v>
      </c>
      <c r="F22" s="87">
        <f t="shared" ca="1" si="6"/>
        <v>44</v>
      </c>
      <c r="G22" s="88">
        <f t="shared" ca="1" si="7"/>
        <v>30500</v>
      </c>
      <c r="H22" s="88">
        <f t="shared" ca="1" si="8"/>
        <v>39542</v>
      </c>
      <c r="I22" s="88">
        <f t="shared" ca="1" si="9"/>
        <v>0</v>
      </c>
      <c r="J22" s="88">
        <f t="shared" ca="1" si="10"/>
        <v>0</v>
      </c>
      <c r="K22" s="88">
        <f t="shared" ca="1" si="1"/>
        <v>0</v>
      </c>
      <c r="L22" s="88">
        <f t="shared" ca="1" si="11"/>
        <v>0</v>
      </c>
      <c r="M22" s="141">
        <f t="shared" ca="1" si="16"/>
        <v>2246235.2266255873</v>
      </c>
      <c r="N22" s="141">
        <f t="shared" ca="1" si="17"/>
        <v>177937.9856767958</v>
      </c>
      <c r="O22" s="141">
        <f t="shared" ca="1" si="18"/>
        <v>2494215.212302383</v>
      </c>
      <c r="Q22" s="88"/>
      <c r="R22" s="87"/>
      <c r="S22" s="87">
        <v>7</v>
      </c>
      <c r="T22" s="87">
        <v>2029</v>
      </c>
      <c r="U22" s="87">
        <v>42</v>
      </c>
      <c r="V22" s="87">
        <v>41</v>
      </c>
      <c r="W22" s="88">
        <f t="shared" si="2"/>
        <v>44900</v>
      </c>
      <c r="X22" s="88">
        <f t="shared" si="3"/>
        <v>35700</v>
      </c>
      <c r="Y22" s="88">
        <f t="shared" si="4"/>
        <v>0</v>
      </c>
      <c r="Z22" s="88">
        <f t="shared" ca="1" si="19"/>
        <v>3085856.8442006479</v>
      </c>
      <c r="AA22" s="88">
        <f t="shared" ca="1" si="13"/>
        <v>248666.18753605185</v>
      </c>
      <c r="AB22" s="88">
        <f t="shared" ca="1" si="14"/>
        <v>3415123.0317366999</v>
      </c>
    </row>
    <row r="23" spans="2:28">
      <c r="B23" s="87">
        <v>8</v>
      </c>
      <c r="C23" s="88">
        <f t="shared" ca="1" si="0"/>
        <v>0</v>
      </c>
      <c r="D23" s="87">
        <f t="shared" ca="1" si="15"/>
        <v>2033</v>
      </c>
      <c r="E23" s="87">
        <f t="shared" ca="1" si="5"/>
        <v>46</v>
      </c>
      <c r="F23" s="87">
        <f t="shared" ca="1" si="6"/>
        <v>45</v>
      </c>
      <c r="G23" s="88">
        <f t="shared" ca="1" si="7"/>
        <v>30500</v>
      </c>
      <c r="H23" s="88">
        <f t="shared" ca="1" si="8"/>
        <v>39542</v>
      </c>
      <c r="I23" s="88">
        <f t="shared" ca="1" si="9"/>
        <v>0</v>
      </c>
      <c r="J23" s="88">
        <f t="shared" ca="1" si="10"/>
        <v>0</v>
      </c>
      <c r="K23" s="88">
        <f t="shared" ca="1" si="1"/>
        <v>0</v>
      </c>
      <c r="L23" s="88">
        <f t="shared" ca="1" si="11"/>
        <v>0</v>
      </c>
      <c r="M23" s="141">
        <f t="shared" ca="1" si="16"/>
        <v>2494215.212302383</v>
      </c>
      <c r="N23" s="141">
        <f t="shared" ca="1" si="17"/>
        <v>197280.42455958587</v>
      </c>
      <c r="O23" s="141">
        <f t="shared" ca="1" si="18"/>
        <v>2761537.6368619688</v>
      </c>
      <c r="Q23" s="88"/>
      <c r="R23" s="87"/>
      <c r="S23" s="87">
        <v>8</v>
      </c>
      <c r="T23" s="87">
        <v>2030</v>
      </c>
      <c r="U23" s="87">
        <v>43</v>
      </c>
      <c r="V23" s="87">
        <v>42</v>
      </c>
      <c r="W23" s="88">
        <f t="shared" si="2"/>
        <v>44900</v>
      </c>
      <c r="X23" s="88">
        <f t="shared" si="3"/>
        <v>35700</v>
      </c>
      <c r="Y23" s="88">
        <f t="shared" si="4"/>
        <v>0</v>
      </c>
      <c r="Z23" s="88">
        <f t="shared" ca="1" si="19"/>
        <v>3415123.0317366999</v>
      </c>
      <c r="AA23" s="88">
        <f t="shared" ca="1" si="13"/>
        <v>275007.522538936</v>
      </c>
      <c r="AB23" s="88">
        <f t="shared" ca="1" si="14"/>
        <v>3770730.5542756356</v>
      </c>
    </row>
    <row r="24" spans="2:28">
      <c r="B24" s="87">
        <v>9</v>
      </c>
      <c r="C24" s="88">
        <f t="shared" ca="1" si="0"/>
        <v>0</v>
      </c>
      <c r="D24" s="87">
        <f t="shared" ca="1" si="15"/>
        <v>2034</v>
      </c>
      <c r="E24" s="87">
        <f t="shared" ca="1" si="5"/>
        <v>47</v>
      </c>
      <c r="F24" s="87">
        <f t="shared" ca="1" si="6"/>
        <v>46</v>
      </c>
      <c r="G24" s="88">
        <f t="shared" ca="1" si="7"/>
        <v>30500</v>
      </c>
      <c r="H24" s="88">
        <f t="shared" ca="1" si="8"/>
        <v>39542</v>
      </c>
      <c r="I24" s="88">
        <f t="shared" ca="1" si="9"/>
        <v>0</v>
      </c>
      <c r="J24" s="88">
        <f t="shared" ca="1" si="10"/>
        <v>0</v>
      </c>
      <c r="K24" s="88">
        <f t="shared" ca="1" si="1"/>
        <v>0</v>
      </c>
      <c r="L24" s="88">
        <f t="shared" ca="1" si="11"/>
        <v>0</v>
      </c>
      <c r="M24" s="141">
        <f t="shared" ca="1" si="16"/>
        <v>2761537.6368619688</v>
      </c>
      <c r="N24" s="141">
        <f t="shared" ca="1" si="17"/>
        <v>218131.57367523355</v>
      </c>
      <c r="O24" s="141">
        <f t="shared" ca="1" si="18"/>
        <v>3049711.2105372022</v>
      </c>
      <c r="Q24" s="88"/>
      <c r="R24" s="87"/>
      <c r="S24" s="87">
        <v>9</v>
      </c>
      <c r="T24" s="87">
        <v>2031</v>
      </c>
      <c r="U24" s="87">
        <v>44</v>
      </c>
      <c r="V24" s="87">
        <v>43</v>
      </c>
      <c r="W24" s="88">
        <f t="shared" si="2"/>
        <v>44900</v>
      </c>
      <c r="X24" s="88">
        <f t="shared" si="3"/>
        <v>35700</v>
      </c>
      <c r="Y24" s="88">
        <f t="shared" si="4"/>
        <v>0</v>
      </c>
      <c r="Z24" s="88">
        <f t="shared" ca="1" si="19"/>
        <v>3770730.5542756356</v>
      </c>
      <c r="AA24" s="88">
        <f t="shared" ca="1" si="13"/>
        <v>303456.16434205085</v>
      </c>
      <c r="AB24" s="88">
        <f t="shared" ca="1" si="14"/>
        <v>4154786.7186176865</v>
      </c>
    </row>
    <row r="25" spans="2:28">
      <c r="B25" s="87">
        <v>10</v>
      </c>
      <c r="C25" s="88">
        <f t="shared" ca="1" si="0"/>
        <v>0</v>
      </c>
      <c r="D25" s="87">
        <f t="shared" ca="1" si="15"/>
        <v>2035</v>
      </c>
      <c r="E25" s="87">
        <f t="shared" ca="1" si="5"/>
        <v>48</v>
      </c>
      <c r="F25" s="87">
        <f t="shared" ca="1" si="6"/>
        <v>47</v>
      </c>
      <c r="G25" s="88">
        <f t="shared" ca="1" si="7"/>
        <v>30500</v>
      </c>
      <c r="H25" s="88">
        <f t="shared" ca="1" si="8"/>
        <v>39542</v>
      </c>
      <c r="I25" s="88">
        <f t="shared" ca="1" si="9"/>
        <v>0</v>
      </c>
      <c r="J25" s="88">
        <f t="shared" ca="1" si="10"/>
        <v>0</v>
      </c>
      <c r="K25" s="88">
        <f t="shared" ca="1" si="1"/>
        <v>0</v>
      </c>
      <c r="L25" s="88">
        <f t="shared" ca="1" si="11"/>
        <v>0</v>
      </c>
      <c r="M25" s="141">
        <f t="shared" ca="1" si="16"/>
        <v>3049711.2105372022</v>
      </c>
      <c r="N25" s="141">
        <f t="shared" ca="1" si="17"/>
        <v>240609.11242190178</v>
      </c>
      <c r="O25" s="141">
        <f t="shared" ca="1" si="18"/>
        <v>3360362.3229591041</v>
      </c>
      <c r="Q25" s="88"/>
      <c r="R25" s="87"/>
      <c r="S25" s="87">
        <v>10</v>
      </c>
      <c r="T25" s="87">
        <v>2032</v>
      </c>
      <c r="U25" s="87">
        <v>45</v>
      </c>
      <c r="V25" s="87">
        <v>44</v>
      </c>
      <c r="W25" s="88">
        <f t="shared" si="2"/>
        <v>44900</v>
      </c>
      <c r="X25" s="88">
        <f t="shared" si="3"/>
        <v>35700</v>
      </c>
      <c r="Y25" s="88">
        <f t="shared" si="4"/>
        <v>0</v>
      </c>
      <c r="Z25" s="88">
        <f t="shared" ca="1" si="19"/>
        <v>4154786.7186176865</v>
      </c>
      <c r="AA25" s="88">
        <f t="shared" ca="1" si="13"/>
        <v>334180.69748941495</v>
      </c>
      <c r="AB25" s="88">
        <f t="shared" ca="1" si="14"/>
        <v>4569567.4161071023</v>
      </c>
    </row>
    <row r="26" spans="2:28">
      <c r="B26" s="87">
        <v>11</v>
      </c>
      <c r="C26" s="88">
        <f t="shared" ca="1" si="0"/>
        <v>0</v>
      </c>
      <c r="D26" s="87">
        <f t="shared" ca="1" si="15"/>
        <v>2036</v>
      </c>
      <c r="E26" s="87">
        <f t="shared" ca="1" si="5"/>
        <v>49</v>
      </c>
      <c r="F26" s="87">
        <f t="shared" ca="1" si="6"/>
        <v>48</v>
      </c>
      <c r="G26" s="88">
        <f t="shared" ca="1" si="7"/>
        <v>30500</v>
      </c>
      <c r="H26" s="88">
        <f t="shared" ca="1" si="8"/>
        <v>39542</v>
      </c>
      <c r="I26" s="88">
        <f t="shared" ca="1" si="9"/>
        <v>0</v>
      </c>
      <c r="J26" s="88">
        <f t="shared" ca="1" si="10"/>
        <v>0</v>
      </c>
      <c r="K26" s="88">
        <f t="shared" ca="1" si="1"/>
        <v>0</v>
      </c>
      <c r="L26" s="88">
        <f t="shared" ca="1" si="11"/>
        <v>0</v>
      </c>
      <c r="M26" s="141">
        <f t="shared" ca="1" si="16"/>
        <v>3360362.3229591041</v>
      </c>
      <c r="N26" s="141">
        <f t="shared" ca="1" si="17"/>
        <v>264839.8991908101</v>
      </c>
      <c r="O26" s="141">
        <f t="shared" ca="1" si="18"/>
        <v>3695244.2221499141</v>
      </c>
      <c r="Q26" s="88"/>
      <c r="R26" s="87"/>
      <c r="S26" s="87">
        <v>11</v>
      </c>
      <c r="T26" s="87">
        <v>2033</v>
      </c>
      <c r="U26" s="87">
        <v>46</v>
      </c>
      <c r="V26" s="87">
        <v>45</v>
      </c>
      <c r="W26" s="88">
        <f t="shared" si="2"/>
        <v>44900</v>
      </c>
      <c r="X26" s="88">
        <f t="shared" si="3"/>
        <v>35700</v>
      </c>
      <c r="Y26" s="88">
        <f t="shared" si="4"/>
        <v>0</v>
      </c>
      <c r="Z26" s="88">
        <f t="shared" ca="1" si="19"/>
        <v>4569567.4161071023</v>
      </c>
      <c r="AA26" s="88">
        <f t="shared" ca="1" si="13"/>
        <v>367363.19328856817</v>
      </c>
      <c r="AB26" s="88">
        <f t="shared" ca="1" si="14"/>
        <v>5017530.6093956707</v>
      </c>
    </row>
    <row r="27" spans="2:28">
      <c r="B27" s="87">
        <v>12</v>
      </c>
      <c r="C27" s="88">
        <f t="shared" ca="1" si="0"/>
        <v>0</v>
      </c>
      <c r="D27" s="87">
        <f t="shared" ca="1" si="15"/>
        <v>2037</v>
      </c>
      <c r="E27" s="87">
        <f t="shared" ca="1" si="5"/>
        <v>50</v>
      </c>
      <c r="F27" s="87">
        <f t="shared" ca="1" si="6"/>
        <v>49</v>
      </c>
      <c r="G27" s="88">
        <f t="shared" ca="1" si="7"/>
        <v>30500</v>
      </c>
      <c r="H27" s="88">
        <f t="shared" ca="1" si="8"/>
        <v>39542</v>
      </c>
      <c r="I27" s="88">
        <f t="shared" ca="1" si="9"/>
        <v>0</v>
      </c>
      <c r="J27" s="88">
        <f t="shared" ca="1" si="10"/>
        <v>0</v>
      </c>
      <c r="K27" s="88">
        <f t="shared" ca="1" si="1"/>
        <v>0</v>
      </c>
      <c r="L27" s="88">
        <f t="shared" ca="1" si="11"/>
        <v>0</v>
      </c>
      <c r="M27" s="141">
        <f t="shared" ca="1" si="16"/>
        <v>3695244.2221499141</v>
      </c>
      <c r="N27" s="141">
        <f t="shared" ca="1" si="17"/>
        <v>290960.68732769327</v>
      </c>
      <c r="O27" s="141">
        <f t="shared" ca="1" si="18"/>
        <v>4056246.9094776073</v>
      </c>
      <c r="Q27" s="88"/>
      <c r="R27" s="87"/>
      <c r="S27" s="87">
        <v>12</v>
      </c>
      <c r="T27" s="87">
        <v>2034</v>
      </c>
      <c r="U27" s="87">
        <v>47</v>
      </c>
      <c r="V27" s="87">
        <v>46</v>
      </c>
      <c r="W27" s="88">
        <f t="shared" si="2"/>
        <v>44900</v>
      </c>
      <c r="X27" s="88">
        <f t="shared" si="3"/>
        <v>35700</v>
      </c>
      <c r="Y27" s="88">
        <f t="shared" si="4"/>
        <v>0</v>
      </c>
      <c r="Z27" s="88">
        <f t="shared" ca="1" si="19"/>
        <v>5017530.6093956707</v>
      </c>
      <c r="AA27" s="88">
        <f t="shared" ca="1" si="13"/>
        <v>403200.28875165369</v>
      </c>
      <c r="AB27" s="88">
        <f t="shared" ca="1" si="14"/>
        <v>5501330.8981473241</v>
      </c>
    </row>
    <row r="28" spans="2:28">
      <c r="B28" s="87">
        <v>13</v>
      </c>
      <c r="C28" s="88">
        <f t="shared" ca="1" si="0"/>
        <v>0</v>
      </c>
      <c r="D28" s="87">
        <f t="shared" ca="1" si="15"/>
        <v>2038</v>
      </c>
      <c r="E28" s="87">
        <f t="shared" ca="1" si="5"/>
        <v>51</v>
      </c>
      <c r="F28" s="87">
        <f t="shared" ca="1" si="6"/>
        <v>50</v>
      </c>
      <c r="G28" s="88">
        <f t="shared" ca="1" si="7"/>
        <v>30500</v>
      </c>
      <c r="H28" s="88">
        <f t="shared" ca="1" si="8"/>
        <v>39542</v>
      </c>
      <c r="I28" s="88">
        <f t="shared" ca="1" si="9"/>
        <v>0</v>
      </c>
      <c r="J28" s="88">
        <f t="shared" ca="1" si="10"/>
        <v>0</v>
      </c>
      <c r="K28" s="88">
        <f t="shared" ca="1" si="1"/>
        <v>0</v>
      </c>
      <c r="L28" s="88">
        <f t="shared" ca="1" si="11"/>
        <v>0</v>
      </c>
      <c r="M28" s="141">
        <f t="shared" ca="1" si="16"/>
        <v>4056246.9094776073</v>
      </c>
      <c r="N28" s="141">
        <f t="shared" ca="1" si="17"/>
        <v>319118.89693925338</v>
      </c>
      <c r="O28" s="141">
        <f t="shared" ca="1" si="18"/>
        <v>4445407.8064168608</v>
      </c>
      <c r="Q28" s="88"/>
      <c r="R28" s="87"/>
      <c r="S28" s="87">
        <v>13</v>
      </c>
      <c r="T28" s="87">
        <v>2035</v>
      </c>
      <c r="U28" s="87">
        <v>48</v>
      </c>
      <c r="V28" s="87">
        <v>47</v>
      </c>
      <c r="W28" s="88">
        <f t="shared" si="2"/>
        <v>44900</v>
      </c>
      <c r="X28" s="88">
        <f t="shared" si="3"/>
        <v>35700</v>
      </c>
      <c r="Y28" s="88">
        <f t="shared" si="4"/>
        <v>0</v>
      </c>
      <c r="Z28" s="88">
        <f t="shared" ca="1" si="19"/>
        <v>5501330.8981473241</v>
      </c>
      <c r="AA28" s="88">
        <f t="shared" ca="1" si="13"/>
        <v>441904.35185178596</v>
      </c>
      <c r="AB28" s="88">
        <f t="shared" ca="1" si="14"/>
        <v>6023835.2499991097</v>
      </c>
    </row>
    <row r="29" spans="2:28">
      <c r="B29" s="87">
        <v>14</v>
      </c>
      <c r="C29" s="88">
        <f t="shared" ca="1" si="0"/>
        <v>0</v>
      </c>
      <c r="D29" s="87">
        <f t="shared" ca="1" si="15"/>
        <v>2039</v>
      </c>
      <c r="E29" s="87">
        <f t="shared" ca="1" si="5"/>
        <v>52</v>
      </c>
      <c r="F29" s="87">
        <f t="shared" ca="1" si="6"/>
        <v>51</v>
      </c>
      <c r="G29" s="88">
        <f t="shared" ca="1" si="7"/>
        <v>30500</v>
      </c>
      <c r="H29" s="88">
        <f t="shared" ca="1" si="8"/>
        <v>39542</v>
      </c>
      <c r="I29" s="88">
        <f t="shared" ca="1" si="9"/>
        <v>0</v>
      </c>
      <c r="J29" s="88">
        <f t="shared" ca="1" si="10"/>
        <v>0</v>
      </c>
      <c r="K29" s="88">
        <f t="shared" ca="1" si="1"/>
        <v>0</v>
      </c>
      <c r="L29" s="88">
        <f t="shared" ca="1" si="11"/>
        <v>0</v>
      </c>
      <c r="M29" s="141">
        <f t="shared" ca="1" si="16"/>
        <v>4445407.8064168608</v>
      </c>
      <c r="N29" s="141">
        <f t="shared" ca="1" si="17"/>
        <v>349473.44690051512</v>
      </c>
      <c r="O29" s="141">
        <f t="shared" ca="1" si="18"/>
        <v>4864923.2533173757</v>
      </c>
      <c r="Q29" s="88"/>
      <c r="R29" s="87"/>
      <c r="S29" s="87">
        <v>14</v>
      </c>
      <c r="T29" s="87">
        <v>2036</v>
      </c>
      <c r="U29" s="87">
        <v>49</v>
      </c>
      <c r="V29" s="87">
        <v>48</v>
      </c>
      <c r="W29" s="88">
        <f t="shared" si="2"/>
        <v>44900</v>
      </c>
      <c r="X29" s="88">
        <f t="shared" si="3"/>
        <v>35700</v>
      </c>
      <c r="Y29" s="88">
        <f t="shared" si="4"/>
        <v>0</v>
      </c>
      <c r="Z29" s="88">
        <f t="shared" ca="1" si="19"/>
        <v>6023835.2499991097</v>
      </c>
      <c r="AA29" s="88">
        <f t="shared" ca="1" si="13"/>
        <v>483704.73999992874</v>
      </c>
      <c r="AB29" s="88">
        <f t="shared" ca="1" si="14"/>
        <v>6588139.9899990382</v>
      </c>
    </row>
    <row r="30" spans="2:28">
      <c r="B30" s="87">
        <v>15</v>
      </c>
      <c r="C30" s="88">
        <f t="shared" ca="1" si="0"/>
        <v>0</v>
      </c>
      <c r="D30" s="87">
        <f t="shared" ca="1" si="15"/>
        <v>2040</v>
      </c>
      <c r="E30" s="87">
        <f t="shared" ca="1" si="5"/>
        <v>53</v>
      </c>
      <c r="F30" s="87">
        <f t="shared" ca="1" si="6"/>
        <v>52</v>
      </c>
      <c r="G30" s="88">
        <f t="shared" ca="1" si="7"/>
        <v>30500</v>
      </c>
      <c r="H30" s="88">
        <f t="shared" ca="1" si="8"/>
        <v>39542</v>
      </c>
      <c r="I30" s="88">
        <f t="shared" ca="1" si="9"/>
        <v>0</v>
      </c>
      <c r="J30" s="88">
        <f t="shared" ca="1" si="10"/>
        <v>0</v>
      </c>
      <c r="K30" s="88">
        <f t="shared" ca="1" si="1"/>
        <v>0</v>
      </c>
      <c r="L30" s="88">
        <f t="shared" ca="1" si="11"/>
        <v>0</v>
      </c>
      <c r="M30" s="141">
        <f t="shared" ca="1" si="16"/>
        <v>4864923.2533173757</v>
      </c>
      <c r="N30" s="141">
        <f t="shared" ca="1" si="17"/>
        <v>382195.65175875532</v>
      </c>
      <c r="O30" s="141">
        <f t="shared" ca="1" si="18"/>
        <v>5317160.9050761312</v>
      </c>
      <c r="Q30" s="88"/>
      <c r="R30" s="87"/>
      <c r="S30" s="87">
        <v>15</v>
      </c>
      <c r="T30" s="87">
        <v>2037</v>
      </c>
      <c r="U30" s="87">
        <v>50</v>
      </c>
      <c r="V30" s="87">
        <v>49</v>
      </c>
      <c r="W30" s="88">
        <f t="shared" si="2"/>
        <v>44900</v>
      </c>
      <c r="X30" s="88">
        <f t="shared" si="3"/>
        <v>35700</v>
      </c>
      <c r="Y30" s="88">
        <f t="shared" si="4"/>
        <v>0</v>
      </c>
      <c r="Z30" s="88">
        <f t="shared" ca="1" si="19"/>
        <v>6588139.9899990382</v>
      </c>
      <c r="AA30" s="88">
        <f t="shared" ca="1" si="13"/>
        <v>528849.15919992304</v>
      </c>
      <c r="AB30" s="88">
        <f t="shared" ca="1" si="14"/>
        <v>7197589.1491989614</v>
      </c>
    </row>
    <row r="31" spans="2:28">
      <c r="B31" s="87">
        <v>16</v>
      </c>
      <c r="C31" s="88">
        <f t="shared" ca="1" si="0"/>
        <v>0</v>
      </c>
      <c r="D31" s="87">
        <f t="shared" ca="1" si="15"/>
        <v>2041</v>
      </c>
      <c r="E31" s="87">
        <f t="shared" ca="1" si="5"/>
        <v>54</v>
      </c>
      <c r="F31" s="87">
        <f t="shared" ca="1" si="6"/>
        <v>53</v>
      </c>
      <c r="G31" s="88">
        <f t="shared" ca="1" si="7"/>
        <v>30500</v>
      </c>
      <c r="H31" s="88">
        <f t="shared" ca="1" si="8"/>
        <v>0</v>
      </c>
      <c r="I31" s="88">
        <f t="shared" ca="1" si="9"/>
        <v>0</v>
      </c>
      <c r="J31" s="88">
        <f t="shared" ca="1" si="10"/>
        <v>0</v>
      </c>
      <c r="K31" s="88">
        <f t="shared" ca="1" si="1"/>
        <v>0</v>
      </c>
      <c r="L31" s="88">
        <f t="shared" ca="1" si="11"/>
        <v>0</v>
      </c>
      <c r="M31" s="141">
        <f t="shared" ca="1" si="16"/>
        <v>5317160.9050761312</v>
      </c>
      <c r="N31" s="141">
        <f t="shared" ca="1" si="17"/>
        <v>415928.05059593823</v>
      </c>
      <c r="O31" s="141">
        <f t="shared" ca="1" si="18"/>
        <v>5763588.9556720695</v>
      </c>
      <c r="Q31" s="88"/>
      <c r="R31" s="87"/>
      <c r="S31" s="87">
        <v>16</v>
      </c>
      <c r="T31" s="87">
        <v>2038</v>
      </c>
      <c r="U31" s="87">
        <v>51</v>
      </c>
      <c r="V31" s="87">
        <v>50</v>
      </c>
      <c r="W31" s="88">
        <f t="shared" si="2"/>
        <v>44900</v>
      </c>
      <c r="X31" s="88">
        <f t="shared" si="3"/>
        <v>35700</v>
      </c>
      <c r="Y31" s="88">
        <f t="shared" si="4"/>
        <v>0</v>
      </c>
      <c r="Z31" s="88">
        <f t="shared" ca="1" si="19"/>
        <v>7197589.1491989614</v>
      </c>
      <c r="AA31" s="88">
        <f t="shared" ca="1" si="13"/>
        <v>577605.13193591696</v>
      </c>
      <c r="AB31" s="88">
        <f t="shared" ca="1" si="14"/>
        <v>7855794.2811348783</v>
      </c>
    </row>
    <row r="32" spans="2:28">
      <c r="B32" s="87">
        <v>17</v>
      </c>
      <c r="C32" s="88">
        <f t="shared" ca="1" si="0"/>
        <v>0</v>
      </c>
      <c r="D32" s="87">
        <f t="shared" ca="1" si="15"/>
        <v>2042</v>
      </c>
      <c r="E32" s="87">
        <f t="shared" ca="1" si="5"/>
        <v>55</v>
      </c>
      <c r="F32" s="87">
        <f t="shared" ca="1" si="6"/>
        <v>54</v>
      </c>
      <c r="G32" s="88">
        <f t="shared" ca="1" si="7"/>
        <v>30500</v>
      </c>
      <c r="H32" s="88">
        <f t="shared" ca="1" si="8"/>
        <v>0</v>
      </c>
      <c r="I32" s="88">
        <f t="shared" ca="1" si="9"/>
        <v>0</v>
      </c>
      <c r="J32" s="88">
        <f t="shared" ca="1" si="10"/>
        <v>0</v>
      </c>
      <c r="K32" s="88">
        <f t="shared" ca="1" si="1"/>
        <v>0</v>
      </c>
      <c r="L32" s="88">
        <f t="shared" ca="1" si="11"/>
        <v>0</v>
      </c>
      <c r="M32" s="141">
        <f t="shared" ca="1" si="16"/>
        <v>5763588.9556720695</v>
      </c>
      <c r="N32" s="141">
        <f t="shared" ca="1" si="17"/>
        <v>450749.43854242144</v>
      </c>
      <c r="O32" s="141">
        <f t="shared" ca="1" si="18"/>
        <v>6244838.3942144904</v>
      </c>
      <c r="Q32" s="88"/>
      <c r="R32" s="87"/>
      <c r="S32" s="87">
        <v>17</v>
      </c>
      <c r="T32" s="87">
        <v>2039</v>
      </c>
      <c r="U32" s="87">
        <v>52</v>
      </c>
      <c r="V32" s="87">
        <v>51</v>
      </c>
      <c r="W32" s="88">
        <f t="shared" si="2"/>
        <v>44900</v>
      </c>
      <c r="X32" s="88">
        <f t="shared" si="3"/>
        <v>35700</v>
      </c>
      <c r="Y32" s="88">
        <f t="shared" si="4"/>
        <v>0</v>
      </c>
      <c r="Z32" s="88">
        <f t="shared" ca="1" si="19"/>
        <v>7855794.2811348783</v>
      </c>
      <c r="AA32" s="88">
        <f t="shared" ca="1" si="13"/>
        <v>630261.58249079029</v>
      </c>
      <c r="AB32" s="88">
        <f t="shared" ca="1" si="14"/>
        <v>8566655.863625668</v>
      </c>
    </row>
    <row r="33" spans="2:28">
      <c r="B33" s="87">
        <v>18</v>
      </c>
      <c r="C33" s="88">
        <f t="shared" ca="1" si="0"/>
        <v>0</v>
      </c>
      <c r="D33" s="87">
        <f t="shared" ca="1" si="15"/>
        <v>2043</v>
      </c>
      <c r="E33" s="87">
        <f t="shared" ca="1" si="5"/>
        <v>56</v>
      </c>
      <c r="F33" s="87">
        <f t="shared" ca="1" si="6"/>
        <v>55</v>
      </c>
      <c r="G33" s="88">
        <f t="shared" ca="1" si="7"/>
        <v>30500</v>
      </c>
      <c r="H33" s="88">
        <f t="shared" ca="1" si="8"/>
        <v>0</v>
      </c>
      <c r="I33" s="88">
        <f t="shared" ca="1" si="9"/>
        <v>0</v>
      </c>
      <c r="J33" s="88">
        <f t="shared" ca="1" si="10"/>
        <v>0</v>
      </c>
      <c r="K33" s="88">
        <f t="shared" ca="1" si="1"/>
        <v>0</v>
      </c>
      <c r="L33" s="88">
        <f ca="1">(K33/(1-$D$12))-K33</f>
        <v>0</v>
      </c>
      <c r="M33" s="141">
        <f t="shared" ca="1" si="16"/>
        <v>6244838.3942144904</v>
      </c>
      <c r="N33" s="141">
        <f t="shared" ca="1" si="17"/>
        <v>488286.89474873024</v>
      </c>
      <c r="O33" s="141">
        <f t="shared" ca="1" si="18"/>
        <v>6763625.288963221</v>
      </c>
      <c r="Q33" s="88"/>
      <c r="R33" s="87"/>
      <c r="S33" s="87">
        <v>18</v>
      </c>
      <c r="T33" s="87">
        <v>2040</v>
      </c>
      <c r="U33" s="87">
        <v>53</v>
      </c>
      <c r="V33" s="87">
        <v>52</v>
      </c>
      <c r="W33" s="88">
        <f t="shared" si="2"/>
        <v>44900</v>
      </c>
      <c r="X33" s="88">
        <f t="shared" si="3"/>
        <v>35700</v>
      </c>
      <c r="Y33" s="88">
        <f t="shared" si="4"/>
        <v>0</v>
      </c>
      <c r="Z33" s="88">
        <f t="shared" ca="1" si="19"/>
        <v>8566655.863625668</v>
      </c>
      <c r="AA33" s="88">
        <f t="shared" ca="1" si="13"/>
        <v>687130.54909005342</v>
      </c>
      <c r="AB33" s="88">
        <f t="shared" ca="1" si="14"/>
        <v>9334386.4127157219</v>
      </c>
    </row>
    <row r="34" spans="2:28">
      <c r="B34" s="87">
        <v>19</v>
      </c>
      <c r="C34" s="88">
        <f t="shared" ca="1" si="0"/>
        <v>0</v>
      </c>
      <c r="D34" s="87">
        <f t="shared" ca="1" si="15"/>
        <v>2044</v>
      </c>
      <c r="E34" s="87">
        <f t="shared" ca="1" si="5"/>
        <v>57</v>
      </c>
      <c r="F34" s="87">
        <f t="shared" ca="1" si="6"/>
        <v>56</v>
      </c>
      <c r="G34" s="88">
        <f t="shared" ca="1" si="7"/>
        <v>30500</v>
      </c>
      <c r="H34" s="88">
        <f t="shared" ca="1" si="8"/>
        <v>0</v>
      </c>
      <c r="I34" s="88">
        <f t="shared" ca="1" si="9"/>
        <v>0</v>
      </c>
      <c r="J34" s="88">
        <f t="shared" ca="1" si="10"/>
        <v>0</v>
      </c>
      <c r="K34" s="88">
        <f t="shared" ca="1" si="1"/>
        <v>0</v>
      </c>
      <c r="L34" s="88">
        <f t="shared" ca="1" si="11"/>
        <v>0</v>
      </c>
      <c r="M34" s="141">
        <f t="shared" ca="1" si="16"/>
        <v>6763625.288963221</v>
      </c>
      <c r="N34" s="141">
        <f t="shared" ca="1" si="17"/>
        <v>528752.27253913123</v>
      </c>
      <c r="O34" s="141">
        <f t="shared" ca="1" si="18"/>
        <v>7322877.5615023524</v>
      </c>
      <c r="Q34" s="88"/>
      <c r="R34" s="87"/>
      <c r="S34" s="87">
        <v>19</v>
      </c>
      <c r="T34" s="87">
        <v>2041</v>
      </c>
      <c r="U34" s="87">
        <v>54</v>
      </c>
      <c r="V34" s="87">
        <v>53</v>
      </c>
      <c r="W34" s="88">
        <f t="shared" si="2"/>
        <v>44900</v>
      </c>
      <c r="X34" s="88">
        <f t="shared" si="3"/>
        <v>35700</v>
      </c>
      <c r="Y34" s="88">
        <f t="shared" si="4"/>
        <v>0</v>
      </c>
      <c r="Z34" s="88">
        <f t="shared" ca="1" si="19"/>
        <v>9334386.4127157219</v>
      </c>
      <c r="AA34" s="88">
        <f t="shared" ca="1" si="13"/>
        <v>748549.03301725781</v>
      </c>
      <c r="AB34" s="88">
        <f t="shared" ca="1" si="14"/>
        <v>10163535.445732979</v>
      </c>
    </row>
    <row r="35" spans="2:28">
      <c r="B35" s="87">
        <v>20</v>
      </c>
      <c r="C35" s="88">
        <f t="shared" ca="1" si="0"/>
        <v>0</v>
      </c>
      <c r="D35" s="87">
        <f t="shared" ca="1" si="15"/>
        <v>2045</v>
      </c>
      <c r="E35" s="87">
        <f t="shared" ca="1" si="5"/>
        <v>58</v>
      </c>
      <c r="F35" s="87">
        <f t="shared" ca="1" si="6"/>
        <v>57</v>
      </c>
      <c r="G35" s="88">
        <f t="shared" ca="1" si="7"/>
        <v>30500</v>
      </c>
      <c r="H35" s="88">
        <f t="shared" ca="1" si="8"/>
        <v>0</v>
      </c>
      <c r="I35" s="88">
        <f t="shared" ca="1" si="9"/>
        <v>0</v>
      </c>
      <c r="J35" s="88">
        <f t="shared" ca="1" si="10"/>
        <v>0</v>
      </c>
      <c r="K35" s="88">
        <f t="shared" ca="1" si="1"/>
        <v>0</v>
      </c>
      <c r="L35" s="88">
        <f t="shared" ca="1" si="11"/>
        <v>0</v>
      </c>
      <c r="M35" s="141">
        <f t="shared" ca="1" si="16"/>
        <v>7322877.5615023524</v>
      </c>
      <c r="N35" s="141">
        <f t="shared" ca="1" si="17"/>
        <v>572373.94979718351</v>
      </c>
      <c r="O35" s="141">
        <f t="shared" ca="1" si="18"/>
        <v>7925751.5112995356</v>
      </c>
      <c r="Q35" s="88"/>
      <c r="R35" s="87"/>
      <c r="S35" s="87">
        <v>20</v>
      </c>
      <c r="T35" s="87">
        <v>2042</v>
      </c>
      <c r="U35" s="87">
        <v>55</v>
      </c>
      <c r="V35" s="87">
        <v>54</v>
      </c>
      <c r="W35" s="88">
        <f t="shared" si="2"/>
        <v>44900</v>
      </c>
      <c r="X35" s="88">
        <f t="shared" si="3"/>
        <v>35700</v>
      </c>
      <c r="Y35" s="88">
        <f t="shared" si="4"/>
        <v>0</v>
      </c>
      <c r="Z35" s="88">
        <f t="shared" ca="1" si="19"/>
        <v>10163535.445732979</v>
      </c>
      <c r="AA35" s="88">
        <f t="shared" ca="1" si="13"/>
        <v>814880.99565863842</v>
      </c>
      <c r="AB35" s="88">
        <f t="shared" ca="1" si="14"/>
        <v>11059016.441391617</v>
      </c>
    </row>
    <row r="36" spans="2:28">
      <c r="B36" s="87">
        <v>21</v>
      </c>
      <c r="C36" s="88">
        <f t="shared" ca="1" si="0"/>
        <v>0</v>
      </c>
      <c r="D36" s="87">
        <f t="shared" ca="1" si="15"/>
        <v>2046</v>
      </c>
      <c r="E36" s="87">
        <f t="shared" ca="1" si="5"/>
        <v>59</v>
      </c>
      <c r="F36" s="87">
        <f t="shared" ca="1" si="6"/>
        <v>58</v>
      </c>
      <c r="G36" s="88">
        <f t="shared" ca="1" si="7"/>
        <v>30500</v>
      </c>
      <c r="H36" s="88">
        <f t="shared" ca="1" si="8"/>
        <v>0</v>
      </c>
      <c r="I36" s="88">
        <f t="shared" ca="1" si="9"/>
        <v>0</v>
      </c>
      <c r="J36" s="88">
        <f t="shared" ca="1" si="10"/>
        <v>0</v>
      </c>
      <c r="K36" s="88">
        <f t="shared" ca="1" si="1"/>
        <v>0</v>
      </c>
      <c r="L36" s="88">
        <f t="shared" ca="1" si="11"/>
        <v>0</v>
      </c>
      <c r="M36" s="141">
        <f t="shared" ca="1" si="16"/>
        <v>7925751.5112995356</v>
      </c>
      <c r="N36" s="141">
        <f t="shared" ca="1" si="17"/>
        <v>619398.11788136372</v>
      </c>
      <c r="O36" s="141">
        <f t="shared" ca="1" si="18"/>
        <v>8575649.6291808989</v>
      </c>
      <c r="Q36" s="88"/>
      <c r="R36" s="87"/>
      <c r="S36" s="87">
        <v>21</v>
      </c>
      <c r="T36" s="87">
        <v>2043</v>
      </c>
      <c r="U36" s="87">
        <v>56</v>
      </c>
      <c r="V36" s="87">
        <v>55</v>
      </c>
      <c r="W36" s="88">
        <f t="shared" si="2"/>
        <v>44900</v>
      </c>
      <c r="X36" s="88">
        <f t="shared" si="3"/>
        <v>35700</v>
      </c>
      <c r="Y36" s="88">
        <f t="shared" si="4"/>
        <v>0</v>
      </c>
      <c r="Z36" s="88">
        <f t="shared" ca="1" si="19"/>
        <v>11059016.441391617</v>
      </c>
      <c r="AA36" s="88">
        <f t="shared" ca="1" si="13"/>
        <v>886519.51531132939</v>
      </c>
      <c r="AB36" s="88">
        <f t="shared" ca="1" si="14"/>
        <v>12026135.956702946</v>
      </c>
    </row>
    <row r="37" spans="2:28">
      <c r="B37" s="87">
        <v>22</v>
      </c>
      <c r="C37" s="88">
        <f t="shared" ca="1" si="0"/>
        <v>0</v>
      </c>
      <c r="D37" s="87">
        <f t="shared" ca="1" si="15"/>
        <v>2047</v>
      </c>
      <c r="E37" s="87">
        <f t="shared" ca="1" si="5"/>
        <v>60</v>
      </c>
      <c r="F37" s="87">
        <f t="shared" ca="1" si="6"/>
        <v>59</v>
      </c>
      <c r="G37" s="88">
        <f t="shared" ca="1" si="7"/>
        <v>0</v>
      </c>
      <c r="H37" s="88">
        <f t="shared" ca="1" si="8"/>
        <v>0</v>
      </c>
      <c r="I37" s="88">
        <f t="shared" ca="1" si="9"/>
        <v>0</v>
      </c>
      <c r="J37" s="88">
        <f t="shared" ca="1" si="10"/>
        <v>0</v>
      </c>
      <c r="K37" s="88">
        <f t="shared" ca="1" si="1"/>
        <v>285972.02656342345</v>
      </c>
      <c r="L37" s="88">
        <f t="shared" ca="1" si="11"/>
        <v>111211.34366355359</v>
      </c>
      <c r="M37" s="141">
        <f t="shared" ca="1" si="16"/>
        <v>8575649.6291808989</v>
      </c>
      <c r="N37" s="141">
        <f t="shared" ca="1" si="17"/>
        <v>668900.6710761101</v>
      </c>
      <c r="O37" s="141">
        <f t="shared" ca="1" si="18"/>
        <v>8847366.930030033</v>
      </c>
      <c r="Q37" s="88"/>
      <c r="R37" s="87"/>
      <c r="S37" s="87">
        <v>22</v>
      </c>
      <c r="T37" s="87">
        <v>2044</v>
      </c>
      <c r="U37" s="87">
        <v>57</v>
      </c>
      <c r="V37" s="87">
        <v>56</v>
      </c>
      <c r="W37" s="88">
        <f t="shared" si="2"/>
        <v>44900</v>
      </c>
      <c r="X37" s="88">
        <f t="shared" si="3"/>
        <v>35700</v>
      </c>
      <c r="Y37" s="88">
        <f t="shared" si="4"/>
        <v>0</v>
      </c>
      <c r="Z37" s="88">
        <f t="shared" ca="1" si="19"/>
        <v>12026135.956702946</v>
      </c>
      <c r="AA37" s="88">
        <f t="shared" ca="1" si="13"/>
        <v>963889.11653623567</v>
      </c>
      <c r="AB37" s="88">
        <f t="shared" ca="1" si="14"/>
        <v>13070625.073239181</v>
      </c>
    </row>
    <row r="38" spans="2:28">
      <c r="B38" s="87">
        <v>23</v>
      </c>
      <c r="C38" s="88">
        <f t="shared" ca="1" si="0"/>
        <v>0</v>
      </c>
      <c r="D38" s="87">
        <f t="shared" ca="1" si="15"/>
        <v>2048</v>
      </c>
      <c r="E38" s="87">
        <f t="shared" ca="1" si="5"/>
        <v>61</v>
      </c>
      <c r="F38" s="87">
        <f t="shared" ca="1" si="6"/>
        <v>60</v>
      </c>
      <c r="G38" s="88">
        <f t="shared" ca="1" si="7"/>
        <v>0</v>
      </c>
      <c r="H38" s="88">
        <f t="shared" ca="1" si="8"/>
        <v>0</v>
      </c>
      <c r="I38" s="88">
        <f t="shared" ca="1" si="9"/>
        <v>0</v>
      </c>
      <c r="J38" s="88">
        <f t="shared" ca="1" si="10"/>
        <v>0</v>
      </c>
      <c r="K38" s="88">
        <f t="shared" ca="1" si="1"/>
        <v>291691.46709469188</v>
      </c>
      <c r="L38" s="88">
        <f t="shared" ca="1" si="11"/>
        <v>113435.57053682464</v>
      </c>
      <c r="M38" s="141">
        <f t="shared" ca="1" si="16"/>
        <v>8847366.930030033</v>
      </c>
      <c r="N38" s="141">
        <f t="shared" ca="1" si="17"/>
        <v>690094.62054234254</v>
      </c>
      <c r="O38" s="141">
        <f t="shared" ca="1" si="18"/>
        <v>9132334.5129408594</v>
      </c>
      <c r="Q38" s="88"/>
      <c r="R38" s="87"/>
      <c r="S38" s="87">
        <v>23</v>
      </c>
      <c r="T38" s="87">
        <v>2045</v>
      </c>
      <c r="U38" s="87">
        <v>58</v>
      </c>
      <c r="V38" s="87">
        <v>57</v>
      </c>
      <c r="W38" s="88">
        <f t="shared" si="2"/>
        <v>44900</v>
      </c>
      <c r="X38" s="88">
        <f t="shared" si="3"/>
        <v>35700</v>
      </c>
      <c r="Y38" s="88">
        <f t="shared" si="4"/>
        <v>0</v>
      </c>
      <c r="Z38" s="88">
        <f t="shared" ca="1" si="19"/>
        <v>13070625.073239181</v>
      </c>
      <c r="AA38" s="88">
        <f t="shared" ca="1" si="13"/>
        <v>1047448.2858591345</v>
      </c>
      <c r="AB38" s="88">
        <f t="shared" ca="1" si="14"/>
        <v>14198673.359098315</v>
      </c>
    </row>
    <row r="39" spans="2:28">
      <c r="B39" s="87">
        <v>24</v>
      </c>
      <c r="C39" s="88">
        <f t="shared" ca="1" si="0"/>
        <v>0</v>
      </c>
      <c r="D39" s="87">
        <f t="shared" ca="1" si="15"/>
        <v>2049</v>
      </c>
      <c r="E39" s="87">
        <f t="shared" ca="1" si="5"/>
        <v>62</v>
      </c>
      <c r="F39" s="87">
        <f t="shared" ca="1" si="6"/>
        <v>61</v>
      </c>
      <c r="G39" s="88">
        <f t="shared" ca="1" si="7"/>
        <v>0</v>
      </c>
      <c r="H39" s="88">
        <f t="shared" ca="1" si="8"/>
        <v>0</v>
      </c>
      <c r="I39" s="88">
        <f t="shared" ca="1" si="9"/>
        <v>0</v>
      </c>
      <c r="J39" s="88">
        <f t="shared" ca="1" si="10"/>
        <v>0</v>
      </c>
      <c r="K39" s="88">
        <f t="shared" ca="1" si="1"/>
        <v>297525.29643658572</v>
      </c>
      <c r="L39" s="88">
        <f t="shared" ca="1" si="11"/>
        <v>115704.28194756113</v>
      </c>
      <c r="M39" s="141">
        <f t="shared" ca="1" si="16"/>
        <v>9132334.5129408594</v>
      </c>
      <c r="N39" s="141">
        <f t="shared" ca="1" si="17"/>
        <v>712322.09200938698</v>
      </c>
      <c r="O39" s="141">
        <f t="shared" ca="1" si="18"/>
        <v>9431427.0265660994</v>
      </c>
      <c r="Q39" s="88"/>
      <c r="R39" s="87"/>
      <c r="S39" s="87">
        <v>24</v>
      </c>
      <c r="T39" s="87">
        <v>2046</v>
      </c>
      <c r="U39" s="87">
        <v>59</v>
      </c>
      <c r="V39" s="87">
        <v>58</v>
      </c>
      <c r="W39" s="88">
        <f t="shared" si="2"/>
        <v>44900</v>
      </c>
      <c r="X39" s="88">
        <f t="shared" si="3"/>
        <v>35700</v>
      </c>
      <c r="Y39" s="88">
        <f t="shared" si="4"/>
        <v>0</v>
      </c>
      <c r="Z39" s="88">
        <f t="shared" ca="1" si="19"/>
        <v>14198673.359098315</v>
      </c>
      <c r="AA39" s="88">
        <f t="shared" ca="1" si="13"/>
        <v>1137692.1887278652</v>
      </c>
      <c r="AB39" s="88">
        <f t="shared" ca="1" si="14"/>
        <v>15416965.54782618</v>
      </c>
    </row>
    <row r="40" spans="2:28">
      <c r="B40" s="87">
        <v>25</v>
      </c>
      <c r="C40" s="88">
        <f t="shared" ca="1" si="0"/>
        <v>0</v>
      </c>
      <c r="D40" s="87">
        <f t="shared" ca="1" si="15"/>
        <v>2050</v>
      </c>
      <c r="E40" s="87">
        <f t="shared" ca="1" si="5"/>
        <v>63</v>
      </c>
      <c r="F40" s="87">
        <f t="shared" ca="1" si="6"/>
        <v>62</v>
      </c>
      <c r="G40" s="88">
        <f t="shared" ca="1" si="7"/>
        <v>0</v>
      </c>
      <c r="H40" s="88">
        <f t="shared" ca="1" si="8"/>
        <v>0</v>
      </c>
      <c r="I40" s="88">
        <f t="shared" ca="1" si="9"/>
        <v>0</v>
      </c>
      <c r="J40" s="88">
        <f t="shared" ca="1" si="10"/>
        <v>0</v>
      </c>
      <c r="K40" s="88">
        <f t="shared" ca="1" si="1"/>
        <v>303475.80236531748</v>
      </c>
      <c r="L40" s="88">
        <f t="shared" ca="1" si="11"/>
        <v>118018.36758651235</v>
      </c>
      <c r="M40" s="141">
        <f t="shared" ca="1" si="16"/>
        <v>9431427.0265660994</v>
      </c>
      <c r="N40" s="141">
        <f t="shared" ca="1" si="17"/>
        <v>735651.30807215581</v>
      </c>
      <c r="O40" s="141">
        <f t="shared" ca="1" si="18"/>
        <v>9745584.1646864247</v>
      </c>
      <c r="Q40" s="88"/>
      <c r="R40" s="87"/>
      <c r="S40" s="87">
        <v>25</v>
      </c>
      <c r="T40" s="87">
        <v>2047</v>
      </c>
      <c r="U40" s="87">
        <v>60</v>
      </c>
      <c r="V40" s="87">
        <v>59</v>
      </c>
      <c r="W40" s="88">
        <f t="shared" si="2"/>
        <v>44900</v>
      </c>
      <c r="X40" s="88">
        <f t="shared" si="3"/>
        <v>35700</v>
      </c>
      <c r="Y40" s="88">
        <f t="shared" si="4"/>
        <v>0</v>
      </c>
      <c r="Z40" s="88">
        <f t="shared" ca="1" si="19"/>
        <v>15416965.54782618</v>
      </c>
      <c r="AA40" s="88">
        <f t="shared" ca="1" si="13"/>
        <v>1235155.6038260947</v>
      </c>
      <c r="AB40" s="88">
        <f t="shared" ca="1" si="14"/>
        <v>16732721.151652275</v>
      </c>
    </row>
    <row r="41" spans="2:28">
      <c r="B41" s="87">
        <v>26</v>
      </c>
      <c r="C41" s="88">
        <f t="shared" ca="1" si="0"/>
        <v>0</v>
      </c>
      <c r="D41" s="87">
        <f t="shared" ca="1" si="15"/>
        <v>2051</v>
      </c>
      <c r="E41" s="87">
        <f t="shared" ca="1" si="5"/>
        <v>64</v>
      </c>
      <c r="F41" s="87">
        <f t="shared" ca="1" si="6"/>
        <v>63</v>
      </c>
      <c r="G41" s="88">
        <f t="shared" ca="1" si="7"/>
        <v>0</v>
      </c>
      <c r="H41" s="88">
        <f t="shared" ca="1" si="8"/>
        <v>0</v>
      </c>
      <c r="I41" s="88">
        <f t="shared" ca="1" si="9"/>
        <v>0</v>
      </c>
      <c r="J41" s="88">
        <f t="shared" ca="1" si="10"/>
        <v>0</v>
      </c>
      <c r="K41" s="88">
        <f t="shared" ca="1" si="1"/>
        <v>309545.31841262383</v>
      </c>
      <c r="L41" s="88">
        <f t="shared" ca="1" si="11"/>
        <v>120378.73493824259</v>
      </c>
      <c r="M41" s="141">
        <f t="shared" ca="1" si="16"/>
        <v>9745584.1646864247</v>
      </c>
      <c r="N41" s="141">
        <f t="shared" ca="1" si="17"/>
        <v>760155.56484554114</v>
      </c>
      <c r="O41" s="141">
        <f t="shared" ca="1" si="18"/>
        <v>10075815.676181098</v>
      </c>
      <c r="Q41" s="88"/>
      <c r="R41" s="87"/>
      <c r="S41" s="87">
        <v>26</v>
      </c>
      <c r="T41" s="87">
        <v>2048</v>
      </c>
      <c r="U41" s="87">
        <v>61</v>
      </c>
      <c r="V41" s="87">
        <v>60</v>
      </c>
      <c r="W41" s="88">
        <f t="shared" si="2"/>
        <v>44900</v>
      </c>
      <c r="X41" s="88">
        <f t="shared" si="3"/>
        <v>35700</v>
      </c>
      <c r="Y41" s="88">
        <f t="shared" si="4"/>
        <v>0</v>
      </c>
      <c r="Z41" s="88">
        <f t="shared" ca="1" si="19"/>
        <v>16732721.151652275</v>
      </c>
      <c r="AA41" s="88">
        <f t="shared" ca="1" si="13"/>
        <v>1340416.0921321819</v>
      </c>
      <c r="AB41" s="88">
        <f ca="1">SUM(W41,X41,Z41,AA41)-Y41</f>
        <v>18153737.243784457</v>
      </c>
    </row>
    <row r="42" spans="2:28">
      <c r="B42" s="87">
        <v>27</v>
      </c>
      <c r="C42" s="88">
        <f t="shared" ca="1" si="0"/>
        <v>0</v>
      </c>
      <c r="D42" s="87">
        <f t="shared" ca="1" si="15"/>
        <v>2052</v>
      </c>
      <c r="E42" s="87">
        <f t="shared" ca="1" si="5"/>
        <v>65</v>
      </c>
      <c r="F42" s="87">
        <f t="shared" ca="1" si="6"/>
        <v>64</v>
      </c>
      <c r="G42" s="88">
        <f t="shared" ca="1" si="7"/>
        <v>0</v>
      </c>
      <c r="H42" s="88">
        <f t="shared" ca="1" si="8"/>
        <v>0</v>
      </c>
      <c r="I42" s="88">
        <f t="shared" ca="1" si="9"/>
        <v>0</v>
      </c>
      <c r="J42" s="88">
        <f t="shared" ca="1" si="10"/>
        <v>0</v>
      </c>
      <c r="K42" s="88">
        <f t="shared" ca="1" si="1"/>
        <v>315736.22478087625</v>
      </c>
      <c r="L42" s="88">
        <f t="shared" ca="1" si="11"/>
        <v>122786.30963700742</v>
      </c>
      <c r="M42" s="141">
        <f t="shared" ca="1" si="16"/>
        <v>10075815.676181098</v>
      </c>
      <c r="N42" s="141">
        <f t="shared" ca="1" si="17"/>
        <v>785913.62274212565</v>
      </c>
      <c r="O42" s="141">
        <f t="shared" ca="1" si="18"/>
        <v>10423206.76450534</v>
      </c>
      <c r="Q42" s="88"/>
      <c r="R42" s="87"/>
      <c r="S42" s="87">
        <v>27</v>
      </c>
      <c r="T42" s="87">
        <v>2049</v>
      </c>
      <c r="U42" s="87">
        <v>62</v>
      </c>
      <c r="V42" s="87">
        <v>61</v>
      </c>
      <c r="W42" s="88">
        <f t="shared" si="2"/>
        <v>44900</v>
      </c>
      <c r="X42" s="88">
        <f t="shared" si="3"/>
        <v>35700</v>
      </c>
      <c r="Y42" s="88">
        <f t="shared" si="4"/>
        <v>0</v>
      </c>
      <c r="Z42" s="88">
        <f t="shared" ca="1" si="19"/>
        <v>18153737.243784457</v>
      </c>
      <c r="AA42" s="88">
        <f t="shared" ca="1" si="13"/>
        <v>1454097.4195027566</v>
      </c>
      <c r="AB42" s="88">
        <f t="shared" ref="AB42:AB88" ca="1" si="20">SUM(W42,X42,Z42,AA42)-Y42</f>
        <v>19688434.663287215</v>
      </c>
    </row>
    <row r="43" spans="2:28">
      <c r="B43" s="87">
        <v>28</v>
      </c>
      <c r="C43" s="88">
        <f t="shared" ca="1" si="0"/>
        <v>0</v>
      </c>
      <c r="D43" s="87">
        <f t="shared" ca="1" si="15"/>
        <v>2053</v>
      </c>
      <c r="E43" s="87">
        <f t="shared" ca="1" si="5"/>
        <v>66</v>
      </c>
      <c r="F43" s="87">
        <f t="shared" ca="1" si="6"/>
        <v>65</v>
      </c>
      <c r="G43" s="88">
        <f t="shared" ca="1" si="7"/>
        <v>0</v>
      </c>
      <c r="H43" s="88">
        <f t="shared" ca="1" si="8"/>
        <v>0</v>
      </c>
      <c r="I43" s="88">
        <f t="shared" ca="1" si="9"/>
        <v>0</v>
      </c>
      <c r="J43" s="88">
        <f t="shared" ca="1" si="10"/>
        <v>0</v>
      </c>
      <c r="K43" s="88">
        <f t="shared" ca="1" si="1"/>
        <v>322050.94927649386</v>
      </c>
      <c r="L43" s="88">
        <f t="shared" ca="1" si="11"/>
        <v>125242.03582974762</v>
      </c>
      <c r="M43" s="141">
        <f t="shared" ca="1" si="16"/>
        <v>10423206.76450534</v>
      </c>
      <c r="N43" s="141">
        <f t="shared" ca="1" si="17"/>
        <v>813010.12763141654</v>
      </c>
      <c r="O43" s="141">
        <f t="shared" ca="1" si="18"/>
        <v>10788923.907030515</v>
      </c>
      <c r="Q43" s="88"/>
      <c r="R43" s="87"/>
      <c r="S43" s="87">
        <v>28</v>
      </c>
      <c r="T43" s="87">
        <v>2050</v>
      </c>
      <c r="U43" s="87">
        <v>63</v>
      </c>
      <c r="V43" s="87">
        <v>62</v>
      </c>
      <c r="W43" s="88">
        <f t="shared" si="2"/>
        <v>44900</v>
      </c>
      <c r="X43" s="88">
        <f t="shared" si="3"/>
        <v>35700</v>
      </c>
      <c r="Y43" s="88">
        <f t="shared" si="4"/>
        <v>0</v>
      </c>
      <c r="Z43" s="88">
        <f t="shared" ca="1" si="19"/>
        <v>19688434.663287215</v>
      </c>
      <c r="AA43" s="88">
        <f t="shared" ca="1" si="13"/>
        <v>1576873.2530629772</v>
      </c>
      <c r="AB43" s="88">
        <f t="shared" ca="1" si="20"/>
        <v>21345907.916350193</v>
      </c>
    </row>
    <row r="44" spans="2:28">
      <c r="B44" s="87">
        <v>29</v>
      </c>
      <c r="C44" s="88">
        <f t="shared" ca="1" si="0"/>
        <v>0</v>
      </c>
      <c r="D44" s="87">
        <f t="shared" ca="1" si="15"/>
        <v>2054</v>
      </c>
      <c r="E44" s="87">
        <f t="shared" ca="1" si="5"/>
        <v>67</v>
      </c>
      <c r="F44" s="87">
        <f t="shared" ca="1" si="6"/>
        <v>66</v>
      </c>
      <c r="G44" s="88">
        <f t="shared" ca="1" si="7"/>
        <v>0</v>
      </c>
      <c r="H44" s="88">
        <f t="shared" ca="1" si="8"/>
        <v>0</v>
      </c>
      <c r="I44" s="88">
        <f t="shared" ca="1" si="9"/>
        <v>0</v>
      </c>
      <c r="J44" s="88">
        <f t="shared" ca="1" si="10"/>
        <v>0</v>
      </c>
      <c r="K44" s="88">
        <f t="shared" ca="1" si="1"/>
        <v>328491.9682620237</v>
      </c>
      <c r="L44" s="88">
        <f t="shared" ca="1" si="11"/>
        <v>127746.87654634257</v>
      </c>
      <c r="M44" s="141">
        <f t="shared" ca="1" si="16"/>
        <v>10788923.907030515</v>
      </c>
      <c r="N44" s="141">
        <f t="shared" ca="1" si="17"/>
        <v>841536.06474838022</v>
      </c>
      <c r="O44" s="141">
        <f t="shared" ca="1" si="18"/>
        <v>11174221.12697053</v>
      </c>
      <c r="Q44" s="88"/>
      <c r="R44" s="87"/>
      <c r="S44" s="87">
        <v>29</v>
      </c>
      <c r="T44" s="87">
        <v>2051</v>
      </c>
      <c r="U44" s="87">
        <v>64</v>
      </c>
      <c r="V44" s="87">
        <v>63</v>
      </c>
      <c r="W44" s="88">
        <f t="shared" si="2"/>
        <v>44900</v>
      </c>
      <c r="X44" s="88">
        <f t="shared" si="3"/>
        <v>35700</v>
      </c>
      <c r="Y44" s="88">
        <f t="shared" si="4"/>
        <v>0</v>
      </c>
      <c r="Z44" s="88">
        <f t="shared" ca="1" si="19"/>
        <v>21345907.916350193</v>
      </c>
      <c r="AA44" s="88">
        <f t="shared" ca="1" si="13"/>
        <v>1709471.1533080155</v>
      </c>
      <c r="AB44" s="88">
        <f t="shared" ca="1" si="20"/>
        <v>23135979.069658209</v>
      </c>
    </row>
    <row r="45" spans="2:28">
      <c r="B45" s="87">
        <v>30</v>
      </c>
      <c r="C45" s="88">
        <f t="shared" ca="1" si="0"/>
        <v>0</v>
      </c>
      <c r="D45" s="87">
        <f t="shared" ca="1" si="15"/>
        <v>2055</v>
      </c>
      <c r="E45" s="87">
        <f t="shared" ca="1" si="5"/>
        <v>68</v>
      </c>
      <c r="F45" s="87">
        <f t="shared" ca="1" si="6"/>
        <v>67</v>
      </c>
      <c r="G45" s="88">
        <f t="shared" ca="1" si="7"/>
        <v>0</v>
      </c>
      <c r="H45" s="88">
        <f t="shared" ca="1" si="8"/>
        <v>0</v>
      </c>
      <c r="I45" s="88">
        <f t="shared" ca="1" si="9"/>
        <v>0</v>
      </c>
      <c r="J45" s="88">
        <f t="shared" ca="1" si="10"/>
        <v>0</v>
      </c>
      <c r="K45" s="88">
        <f t="shared" ca="1" si="1"/>
        <v>335061.80762726418</v>
      </c>
      <c r="L45" s="88">
        <f t="shared" ca="1" si="11"/>
        <v>130301.8140772694</v>
      </c>
      <c r="M45" s="141">
        <f t="shared" ca="1" si="16"/>
        <v>11174221.12697053</v>
      </c>
      <c r="N45" s="141">
        <f t="shared" ca="1" si="17"/>
        <v>871589.24790370127</v>
      </c>
      <c r="O45" s="141">
        <f t="shared" ca="1" si="18"/>
        <v>11580446.753169697</v>
      </c>
      <c r="Q45" s="88"/>
      <c r="R45" s="87"/>
      <c r="S45" s="87">
        <v>30</v>
      </c>
      <c r="T45" s="87">
        <v>2052</v>
      </c>
      <c r="U45" s="87">
        <v>65</v>
      </c>
      <c r="V45" s="87">
        <v>64</v>
      </c>
      <c r="W45" s="88">
        <f t="shared" si="2"/>
        <v>0</v>
      </c>
      <c r="X45" s="88">
        <f t="shared" si="3"/>
        <v>35700</v>
      </c>
      <c r="Y45" s="88">
        <f t="shared" si="4"/>
        <v>335061.80762726418</v>
      </c>
      <c r="Z45" s="88">
        <f t="shared" ca="1" si="19"/>
        <v>23135979.069658209</v>
      </c>
      <c r="AA45" s="88">
        <f t="shared" ca="1" si="13"/>
        <v>1850880.8855726568</v>
      </c>
      <c r="AB45" s="88">
        <f t="shared" ca="1" si="20"/>
        <v>24687498.147603601</v>
      </c>
    </row>
    <row r="46" spans="2:28">
      <c r="B46" s="87">
        <v>31</v>
      </c>
      <c r="C46" s="88">
        <f t="shared" ca="1" si="0"/>
        <v>0</v>
      </c>
      <c r="D46" s="87">
        <f t="shared" ca="1" si="15"/>
        <v>2056</v>
      </c>
      <c r="E46" s="87">
        <f t="shared" ca="1" si="5"/>
        <v>69</v>
      </c>
      <c r="F46" s="87">
        <f t="shared" ca="1" si="6"/>
        <v>68</v>
      </c>
      <c r="G46" s="88">
        <f t="shared" ca="1" si="7"/>
        <v>0</v>
      </c>
      <c r="H46" s="88">
        <f t="shared" ca="1" si="8"/>
        <v>0</v>
      </c>
      <c r="I46" s="88">
        <f t="shared" ca="1" si="9"/>
        <v>0</v>
      </c>
      <c r="J46" s="88">
        <f t="shared" ca="1" si="10"/>
        <v>0</v>
      </c>
      <c r="K46" s="88">
        <f t="shared" ca="1" si="1"/>
        <v>341763.04377980938</v>
      </c>
      <c r="L46" s="88">
        <f t="shared" ca="1" si="11"/>
        <v>132907.85035881476</v>
      </c>
      <c r="M46" s="141">
        <f t="shared" ca="1" si="16"/>
        <v>11580446.753169697</v>
      </c>
      <c r="N46" s="141">
        <f t="shared" ca="1" si="17"/>
        <v>903274.84674723633</v>
      </c>
      <c r="O46" s="141">
        <f t="shared" ca="1" si="18"/>
        <v>12009050.70577831</v>
      </c>
      <c r="Q46" s="88"/>
      <c r="R46" s="87"/>
      <c r="S46" s="87">
        <v>31</v>
      </c>
      <c r="T46" s="87">
        <v>2053</v>
      </c>
      <c r="U46" s="87">
        <v>66</v>
      </c>
      <c r="V46" s="87">
        <v>65</v>
      </c>
      <c r="W46" s="88">
        <f t="shared" si="2"/>
        <v>0</v>
      </c>
      <c r="X46" s="88">
        <f t="shared" si="3"/>
        <v>0</v>
      </c>
      <c r="Y46" s="88">
        <f t="shared" si="4"/>
        <v>341763.04377980938</v>
      </c>
      <c r="Z46" s="88">
        <f t="shared" ca="1" si="19"/>
        <v>24687498.147603601</v>
      </c>
      <c r="AA46" s="88">
        <f t="shared" ca="1" si="13"/>
        <v>1975002.4518082882</v>
      </c>
      <c r="AB46" s="88">
        <f t="shared" ca="1" si="20"/>
        <v>26320737.555632081</v>
      </c>
    </row>
    <row r="47" spans="2:28">
      <c r="B47" s="87">
        <v>32</v>
      </c>
      <c r="C47" s="88">
        <f t="shared" ca="1" si="0"/>
        <v>0</v>
      </c>
      <c r="D47" s="87">
        <f t="shared" ca="1" si="15"/>
        <v>2057</v>
      </c>
      <c r="E47" s="87">
        <f t="shared" ca="1" si="5"/>
        <v>70</v>
      </c>
      <c r="F47" s="87">
        <f t="shared" ca="1" si="6"/>
        <v>69</v>
      </c>
      <c r="G47" s="88">
        <f t="shared" ca="1" si="7"/>
        <v>0</v>
      </c>
      <c r="H47" s="88">
        <f t="shared" ca="1" si="8"/>
        <v>0</v>
      </c>
      <c r="I47" s="88">
        <f t="shared" ca="1" si="9"/>
        <v>0</v>
      </c>
      <c r="J47" s="88">
        <f t="shared" ca="1" si="10"/>
        <v>0</v>
      </c>
      <c r="K47" s="88">
        <f t="shared" ca="1" si="1"/>
        <v>348598.30465540563</v>
      </c>
      <c r="L47" s="88">
        <f t="shared" ca="1" si="11"/>
        <v>135566.00736599107</v>
      </c>
      <c r="M47" s="141">
        <f t="shared" ca="1" si="16"/>
        <v>12009050.70577831</v>
      </c>
      <c r="N47" s="141">
        <f t="shared" ca="1" si="17"/>
        <v>936705.95505070814</v>
      </c>
      <c r="O47" s="141">
        <f t="shared" ca="1" si="18"/>
        <v>12461592.348807624</v>
      </c>
      <c r="Q47" s="88"/>
      <c r="R47" s="87"/>
      <c r="S47" s="87">
        <v>32</v>
      </c>
      <c r="T47" s="87">
        <v>2054</v>
      </c>
      <c r="U47" s="87">
        <v>67</v>
      </c>
      <c r="V47" s="87">
        <v>66</v>
      </c>
      <c r="W47" s="88">
        <f t="shared" si="2"/>
        <v>0</v>
      </c>
      <c r="X47" s="88">
        <f t="shared" si="3"/>
        <v>0</v>
      </c>
      <c r="Y47" s="88">
        <f t="shared" si="4"/>
        <v>348598.30465540563</v>
      </c>
      <c r="Z47" s="88">
        <f t="shared" ca="1" si="19"/>
        <v>26320737.555632081</v>
      </c>
      <c r="AA47" s="88">
        <f t="shared" ca="1" si="13"/>
        <v>2105661.6444505667</v>
      </c>
      <c r="AB47" s="88">
        <f t="shared" ca="1" si="20"/>
        <v>28077800.895427242</v>
      </c>
    </row>
    <row r="48" spans="2:28">
      <c r="B48" s="87">
        <v>33</v>
      </c>
      <c r="C48" s="88">
        <f t="shared" ref="C48:C79" ca="1" si="21">IF(O47&lt;0,0,IF(O48&lt;0,1,0))</f>
        <v>0</v>
      </c>
      <c r="D48" s="87">
        <f t="shared" ca="1" si="15"/>
        <v>2058</v>
      </c>
      <c r="E48" s="87">
        <f t="shared" ca="1" si="5"/>
        <v>71</v>
      </c>
      <c r="F48" s="87">
        <f t="shared" ca="1" si="6"/>
        <v>70</v>
      </c>
      <c r="G48" s="88">
        <f t="shared" ca="1" si="7"/>
        <v>0</v>
      </c>
      <c r="H48" s="88">
        <f t="shared" ca="1" si="8"/>
        <v>0</v>
      </c>
      <c r="I48" s="88">
        <f t="shared" ca="1" si="9"/>
        <v>0</v>
      </c>
      <c r="J48" s="88">
        <f t="shared" ca="1" si="10"/>
        <v>0</v>
      </c>
      <c r="K48" s="88">
        <f t="shared" ref="K48:K79" ca="1" si="22">IF(E48&gt;=$D$9,$D$11,0)*(1.02^B48)</f>
        <v>355570.27074851375</v>
      </c>
      <c r="L48" s="88">
        <f t="shared" ca="1" si="11"/>
        <v>138277.32751331094</v>
      </c>
      <c r="M48" s="141">
        <f t="shared" ca="1" si="16"/>
        <v>12461592.348807624</v>
      </c>
      <c r="N48" s="141">
        <f t="shared" ca="1" si="17"/>
        <v>972004.20320699469</v>
      </c>
      <c r="O48" s="141">
        <f t="shared" ca="1" si="18"/>
        <v>12939748.953752793</v>
      </c>
      <c r="Q48" s="88"/>
      <c r="R48" s="87"/>
      <c r="S48" s="87">
        <v>33</v>
      </c>
      <c r="T48" s="87">
        <v>2055</v>
      </c>
      <c r="U48" s="87">
        <v>68</v>
      </c>
      <c r="V48" s="87">
        <v>67</v>
      </c>
      <c r="W48" s="88">
        <f t="shared" ref="W48:W79" si="23">IF(U48&lt;$U$9,$U$3,0)</f>
        <v>0</v>
      </c>
      <c r="X48" s="88">
        <f t="shared" ref="X48:X79" si="24">IF(V48&lt;$U$10,$U$4,0)</f>
        <v>0</v>
      </c>
      <c r="Y48" s="88">
        <f t="shared" ref="Y48:Y79" si="25">IF(U48&gt;=$U$9,$U$11,0)*(1.02^S48)</f>
        <v>355570.27074851375</v>
      </c>
      <c r="Z48" s="88">
        <f t="shared" ca="1" si="19"/>
        <v>28077800.895427242</v>
      </c>
      <c r="AA48" s="88">
        <f t="shared" ca="1" si="13"/>
        <v>2246226.7516341796</v>
      </c>
      <c r="AB48" s="88">
        <f t="shared" ca="1" si="20"/>
        <v>29968457.376312908</v>
      </c>
    </row>
    <row r="49" spans="2:28">
      <c r="B49" s="87">
        <v>34</v>
      </c>
      <c r="C49" s="88">
        <f t="shared" ca="1" si="21"/>
        <v>0</v>
      </c>
      <c r="D49" s="87">
        <f t="shared" ca="1" si="15"/>
        <v>2059</v>
      </c>
      <c r="E49" s="87">
        <f t="shared" ca="1" si="5"/>
        <v>72</v>
      </c>
      <c r="F49" s="87">
        <f t="shared" ca="1" si="6"/>
        <v>71</v>
      </c>
      <c r="G49" s="88">
        <f t="shared" ref="G49:G80" ca="1" si="26">IF(E49&lt;$D$9,$D$3,0)</f>
        <v>0</v>
      </c>
      <c r="H49" s="88">
        <f t="shared" ref="H49:H80" ca="1" si="27">IF(F49&lt;$D$10,$D$4,0)</f>
        <v>0</v>
      </c>
      <c r="I49" s="88">
        <f t="shared" ca="1" si="9"/>
        <v>0</v>
      </c>
      <c r="J49" s="88">
        <f t="shared" ca="1" si="10"/>
        <v>0</v>
      </c>
      <c r="K49" s="88">
        <f t="shared" ca="1" si="22"/>
        <v>362681.67616348399</v>
      </c>
      <c r="L49" s="88">
        <f t="shared" ca="1" si="11"/>
        <v>141042.87406357715</v>
      </c>
      <c r="M49" s="141">
        <f t="shared" ca="1" si="16"/>
        <v>12939748.953752793</v>
      </c>
      <c r="N49" s="141">
        <f t="shared" ca="1" si="17"/>
        <v>1009300.4183927178</v>
      </c>
      <c r="O49" s="141">
        <f t="shared" ca="1" si="18"/>
        <v>13445324.82191845</v>
      </c>
      <c r="Q49" s="88"/>
      <c r="R49" s="87"/>
      <c r="S49" s="87">
        <v>34</v>
      </c>
      <c r="T49" s="87">
        <v>2056</v>
      </c>
      <c r="U49" s="87">
        <v>69</v>
      </c>
      <c r="V49" s="87">
        <v>68</v>
      </c>
      <c r="W49" s="88">
        <f t="shared" si="23"/>
        <v>0</v>
      </c>
      <c r="X49" s="88">
        <f t="shared" si="24"/>
        <v>0</v>
      </c>
      <c r="Y49" s="88">
        <f t="shared" si="25"/>
        <v>362681.67616348399</v>
      </c>
      <c r="Z49" s="88">
        <f t="shared" ca="1" si="19"/>
        <v>29968457.376312908</v>
      </c>
      <c r="AA49" s="88">
        <f t="shared" ca="1" si="13"/>
        <v>2397479.3101050328</v>
      </c>
      <c r="AB49" s="88">
        <f t="shared" ca="1" si="20"/>
        <v>32003255.010254458</v>
      </c>
    </row>
    <row r="50" spans="2:28">
      <c r="B50" s="87">
        <v>35</v>
      </c>
      <c r="C50" s="88">
        <f t="shared" ca="1" si="21"/>
        <v>0</v>
      </c>
      <c r="D50" s="87">
        <f t="shared" ca="1" si="15"/>
        <v>2060</v>
      </c>
      <c r="E50" s="87">
        <f t="shared" ca="1" si="5"/>
        <v>73</v>
      </c>
      <c r="F50" s="87">
        <f t="shared" ca="1" si="6"/>
        <v>72</v>
      </c>
      <c r="G50" s="88">
        <f t="shared" ca="1" si="26"/>
        <v>0</v>
      </c>
      <c r="H50" s="88">
        <f t="shared" ca="1" si="27"/>
        <v>0</v>
      </c>
      <c r="I50" s="88">
        <f t="shared" ca="1" si="9"/>
        <v>0</v>
      </c>
      <c r="J50" s="88">
        <f t="shared" ca="1" si="10"/>
        <v>0</v>
      </c>
      <c r="K50" s="88">
        <f t="shared" ca="1" si="22"/>
        <v>369935.30968675367</v>
      </c>
      <c r="L50" s="88">
        <f t="shared" ca="1" si="11"/>
        <v>143863.73154484865</v>
      </c>
      <c r="M50" s="141">
        <f t="shared" ca="1" si="16"/>
        <v>13445324.82191845</v>
      </c>
      <c r="N50" s="141">
        <f t="shared" ca="1" si="17"/>
        <v>1048735.3361096391</v>
      </c>
      <c r="O50" s="141">
        <f t="shared" ca="1" si="18"/>
        <v>13980261.116796486</v>
      </c>
      <c r="Q50" s="88"/>
      <c r="R50" s="87"/>
      <c r="S50" s="87">
        <v>35</v>
      </c>
      <c r="T50" s="87">
        <v>2057</v>
      </c>
      <c r="U50" s="87">
        <v>70</v>
      </c>
      <c r="V50" s="87">
        <v>69</v>
      </c>
      <c r="W50" s="88">
        <f t="shared" si="23"/>
        <v>0</v>
      </c>
      <c r="X50" s="88">
        <f t="shared" si="24"/>
        <v>0</v>
      </c>
      <c r="Y50" s="88">
        <f t="shared" si="25"/>
        <v>369935.30968675367</v>
      </c>
      <c r="Z50" s="88">
        <f t="shared" ca="1" si="19"/>
        <v>32003255.010254458</v>
      </c>
      <c r="AA50" s="88">
        <f t="shared" ca="1" si="13"/>
        <v>2560263.1608203566</v>
      </c>
      <c r="AB50" s="88">
        <f t="shared" ca="1" si="20"/>
        <v>34193582.861388065</v>
      </c>
    </row>
    <row r="51" spans="2:28">
      <c r="B51" s="87">
        <v>36</v>
      </c>
      <c r="C51" s="88">
        <f t="shared" ca="1" si="21"/>
        <v>0</v>
      </c>
      <c r="D51" s="87">
        <f t="shared" ca="1" si="15"/>
        <v>2061</v>
      </c>
      <c r="E51" s="87">
        <f t="shared" ca="1" si="5"/>
        <v>74</v>
      </c>
      <c r="F51" s="87">
        <f t="shared" ca="1" si="6"/>
        <v>73</v>
      </c>
      <c r="G51" s="88">
        <f t="shared" ca="1" si="26"/>
        <v>0</v>
      </c>
      <c r="H51" s="88">
        <f t="shared" ca="1" si="27"/>
        <v>0</v>
      </c>
      <c r="I51" s="88">
        <f t="shared" ca="1" si="9"/>
        <v>0</v>
      </c>
      <c r="J51" s="88">
        <f t="shared" ca="1" si="10"/>
        <v>0</v>
      </c>
      <c r="K51" s="88">
        <f t="shared" ca="1" si="22"/>
        <v>377334.01588048873</v>
      </c>
      <c r="L51" s="88">
        <f t="shared" ca="1" si="11"/>
        <v>146741.00617574563</v>
      </c>
      <c r="M51" s="141">
        <f t="shared" ca="1" si="16"/>
        <v>13980261.116796486</v>
      </c>
      <c r="N51" s="141">
        <f t="shared" ca="1" si="17"/>
        <v>1090460.367110126</v>
      </c>
      <c r="O51" s="141">
        <f t="shared" ca="1" si="18"/>
        <v>14546646.461850379</v>
      </c>
      <c r="Q51" s="88"/>
      <c r="S51" s="87">
        <v>36</v>
      </c>
      <c r="T51" s="87">
        <v>2058</v>
      </c>
      <c r="U51" s="87">
        <v>71</v>
      </c>
      <c r="V51" s="87">
        <v>70</v>
      </c>
      <c r="W51" s="88">
        <f t="shared" si="23"/>
        <v>0</v>
      </c>
      <c r="X51" s="88">
        <f t="shared" si="24"/>
        <v>0</v>
      </c>
      <c r="Y51" s="88">
        <f t="shared" si="25"/>
        <v>377334.01588048873</v>
      </c>
      <c r="Z51" s="88">
        <f t="shared" ca="1" si="19"/>
        <v>34193582.861388065</v>
      </c>
      <c r="AA51" s="88">
        <f t="shared" ca="1" si="13"/>
        <v>2735489.4289110452</v>
      </c>
      <c r="AB51" s="88">
        <f t="shared" ca="1" si="20"/>
        <v>36551738.274418622</v>
      </c>
    </row>
    <row r="52" spans="2:28">
      <c r="B52" s="87">
        <v>37</v>
      </c>
      <c r="C52" s="88">
        <f t="shared" ca="1" si="21"/>
        <v>0</v>
      </c>
      <c r="D52" s="87">
        <f t="shared" ca="1" si="15"/>
        <v>2062</v>
      </c>
      <c r="E52" s="87">
        <f t="shared" ca="1" si="5"/>
        <v>75</v>
      </c>
      <c r="F52" s="87">
        <f t="shared" ca="1" si="6"/>
        <v>74</v>
      </c>
      <c r="G52" s="88">
        <f t="shared" ca="1" si="26"/>
        <v>0</v>
      </c>
      <c r="H52" s="88">
        <f t="shared" ca="1" si="27"/>
        <v>0</v>
      </c>
      <c r="I52" s="88">
        <f t="shared" ca="1" si="9"/>
        <v>0</v>
      </c>
      <c r="J52" s="88">
        <f t="shared" ca="1" si="10"/>
        <v>0</v>
      </c>
      <c r="K52" s="88">
        <f t="shared" ca="1" si="22"/>
        <v>384880.69619809859</v>
      </c>
      <c r="L52" s="88">
        <f t="shared" ca="1" si="11"/>
        <v>149675.8262992606</v>
      </c>
      <c r="M52" s="141">
        <f t="shared" ca="1" si="16"/>
        <v>14546646.461850379</v>
      </c>
      <c r="N52" s="141">
        <f t="shared" ca="1" si="17"/>
        <v>1134638.4240243295</v>
      </c>
      <c r="O52" s="141">
        <f t="shared" ca="1" si="18"/>
        <v>15146728.363377348</v>
      </c>
      <c r="Q52" s="88"/>
      <c r="S52" s="87">
        <v>37</v>
      </c>
      <c r="T52" s="87">
        <v>2059</v>
      </c>
      <c r="U52" s="87">
        <v>72</v>
      </c>
      <c r="V52" s="87">
        <v>71</v>
      </c>
      <c r="W52" s="88">
        <f t="shared" si="23"/>
        <v>0</v>
      </c>
      <c r="X52" s="88">
        <f t="shared" si="24"/>
        <v>0</v>
      </c>
      <c r="Y52" s="88">
        <f t="shared" si="25"/>
        <v>384880.69619809859</v>
      </c>
      <c r="Z52" s="88">
        <f t="shared" ca="1" si="19"/>
        <v>36551738.274418622</v>
      </c>
      <c r="AA52" s="88">
        <f t="shared" ca="1" si="13"/>
        <v>2924141.9019534895</v>
      </c>
      <c r="AB52" s="88">
        <f t="shared" ca="1" si="20"/>
        <v>39090999.480174012</v>
      </c>
    </row>
    <row r="53" spans="2:28">
      <c r="B53" s="87">
        <v>38</v>
      </c>
      <c r="C53" s="88">
        <f t="shared" ca="1" si="21"/>
        <v>0</v>
      </c>
      <c r="D53" s="87">
        <f t="shared" ca="1" si="15"/>
        <v>2063</v>
      </c>
      <c r="E53" s="87">
        <f t="shared" ca="1" si="5"/>
        <v>76</v>
      </c>
      <c r="F53" s="87">
        <f t="shared" ca="1" si="6"/>
        <v>75</v>
      </c>
      <c r="G53" s="88">
        <f t="shared" ca="1" si="26"/>
        <v>0</v>
      </c>
      <c r="H53" s="88">
        <f t="shared" ca="1" si="27"/>
        <v>0</v>
      </c>
      <c r="I53" s="88">
        <f ca="1">IF(AND(E53&gt;72,E53&lt;85.5),$D$7,0)</f>
        <v>0</v>
      </c>
      <c r="J53" s="88">
        <f t="shared" ca="1" si="10"/>
        <v>0</v>
      </c>
      <c r="K53" s="88">
        <f t="shared" ca="1" si="22"/>
        <v>392578.31012206059</v>
      </c>
      <c r="L53" s="88">
        <f t="shared" ca="1" si="11"/>
        <v>152669.34282524581</v>
      </c>
      <c r="M53" s="141">
        <f t="shared" ca="1" si="16"/>
        <v>15146728.363377348</v>
      </c>
      <c r="N53" s="141">
        <f t="shared" ca="1" si="17"/>
        <v>1181444.812343433</v>
      </c>
      <c r="O53" s="141">
        <f t="shared" ca="1" si="18"/>
        <v>15782925.522773474</v>
      </c>
      <c r="Q53" s="88"/>
      <c r="S53" s="87">
        <v>38</v>
      </c>
      <c r="T53" s="87">
        <v>2060</v>
      </c>
      <c r="U53" s="87">
        <v>73</v>
      </c>
      <c r="V53" s="87">
        <v>72</v>
      </c>
      <c r="W53" s="88">
        <f t="shared" si="23"/>
        <v>0</v>
      </c>
      <c r="X53" s="88">
        <f t="shared" si="24"/>
        <v>0</v>
      </c>
      <c r="Y53" s="88">
        <f t="shared" si="25"/>
        <v>392578.31012206059</v>
      </c>
      <c r="Z53" s="88">
        <f t="shared" ca="1" si="19"/>
        <v>39090999.480174012</v>
      </c>
      <c r="AA53" s="88">
        <f t="shared" ca="1" si="13"/>
        <v>3127282.8384139212</v>
      </c>
      <c r="AB53" s="88">
        <f t="shared" ca="1" si="20"/>
        <v>41825704.008465879</v>
      </c>
    </row>
    <row r="54" spans="2:28">
      <c r="B54" s="87">
        <v>39</v>
      </c>
      <c r="C54" s="88">
        <f t="shared" ca="1" si="21"/>
        <v>0</v>
      </c>
      <c r="D54" s="87">
        <f t="shared" ca="1" si="15"/>
        <v>2064</v>
      </c>
      <c r="E54" s="87">
        <f t="shared" ca="1" si="5"/>
        <v>77</v>
      </c>
      <c r="F54" s="87">
        <f t="shared" ca="1" si="6"/>
        <v>76</v>
      </c>
      <c r="G54" s="88">
        <f t="shared" ca="1" si="26"/>
        <v>0</v>
      </c>
      <c r="H54" s="88">
        <f t="shared" ca="1" si="27"/>
        <v>0</v>
      </c>
      <c r="I54" s="88">
        <f t="shared" ca="1" si="9"/>
        <v>0</v>
      </c>
      <c r="J54" s="88">
        <f t="shared" ca="1" si="10"/>
        <v>0</v>
      </c>
      <c r="K54" s="88">
        <f t="shared" ca="1" si="22"/>
        <v>400429.87632450165</v>
      </c>
      <c r="L54" s="88">
        <f ca="1">(K54/(1-$D$12))-K54</f>
        <v>155722.7296817507</v>
      </c>
      <c r="M54" s="141">
        <f t="shared" ca="1" si="16"/>
        <v>15782925.522773474</v>
      </c>
      <c r="N54" s="141">
        <f t="shared" ca="1" si="17"/>
        <v>1231068.1907763311</v>
      </c>
      <c r="O54" s="141">
        <f t="shared" ca="1" si="18"/>
        <v>16457841.107543552</v>
      </c>
      <c r="P54" s="59"/>
      <c r="Q54" s="88"/>
      <c r="S54" s="87">
        <v>39</v>
      </c>
      <c r="T54" s="87">
        <v>2061</v>
      </c>
      <c r="U54" s="87">
        <v>74</v>
      </c>
      <c r="V54" s="87">
        <v>73</v>
      </c>
      <c r="W54" s="88">
        <f t="shared" si="23"/>
        <v>0</v>
      </c>
      <c r="X54" s="88">
        <f t="shared" si="24"/>
        <v>0</v>
      </c>
      <c r="Y54" s="88">
        <f t="shared" si="25"/>
        <v>400429.87632450165</v>
      </c>
      <c r="Z54" s="88">
        <f t="shared" ca="1" si="19"/>
        <v>41825704.008465879</v>
      </c>
      <c r="AA54" s="88">
        <f t="shared" ca="1" si="13"/>
        <v>3346059.2406772701</v>
      </c>
      <c r="AB54" s="88">
        <f t="shared" ca="1" si="20"/>
        <v>44771333.372818641</v>
      </c>
    </row>
    <row r="55" spans="2:28">
      <c r="B55" s="87">
        <v>40</v>
      </c>
      <c r="C55" s="88">
        <f t="shared" ca="1" si="21"/>
        <v>0</v>
      </c>
      <c r="D55" s="87">
        <f t="shared" ca="1" si="15"/>
        <v>2065</v>
      </c>
      <c r="E55" s="87">
        <f t="shared" ca="1" si="5"/>
        <v>78</v>
      </c>
      <c r="F55" s="87">
        <f t="shared" ca="1" si="6"/>
        <v>77</v>
      </c>
      <c r="G55" s="88">
        <f t="shared" ca="1" si="26"/>
        <v>0</v>
      </c>
      <c r="H55" s="88">
        <f t="shared" ca="1" si="27"/>
        <v>0</v>
      </c>
      <c r="I55" s="88">
        <f t="shared" ca="1" si="9"/>
        <v>0</v>
      </c>
      <c r="J55" s="88">
        <f t="shared" ca="1" si="10"/>
        <v>0</v>
      </c>
      <c r="K55" s="88">
        <f t="shared" ca="1" si="22"/>
        <v>408438.47385099175</v>
      </c>
      <c r="L55" s="88">
        <f t="shared" ca="1" si="11"/>
        <v>158837.18427538575</v>
      </c>
      <c r="M55" s="141">
        <f t="shared" ca="1" si="16"/>
        <v>16457841.107543552</v>
      </c>
      <c r="N55" s="141">
        <f t="shared" ca="1" si="17"/>
        <v>1283711.606388397</v>
      </c>
      <c r="O55" s="141">
        <f t="shared" ca="1" si="18"/>
        <v>17174277.055805571</v>
      </c>
      <c r="Q55" s="88"/>
      <c r="S55" s="87">
        <v>40</v>
      </c>
      <c r="T55" s="87">
        <v>2062</v>
      </c>
      <c r="U55" s="87">
        <v>75</v>
      </c>
      <c r="V55" s="87">
        <v>74</v>
      </c>
      <c r="W55" s="88">
        <f t="shared" si="23"/>
        <v>0</v>
      </c>
      <c r="X55" s="88">
        <f t="shared" si="24"/>
        <v>0</v>
      </c>
      <c r="Y55" s="88">
        <f t="shared" si="25"/>
        <v>408438.47385099175</v>
      </c>
      <c r="Z55" s="88">
        <f t="shared" ca="1" si="19"/>
        <v>44771333.372818641</v>
      </c>
      <c r="AA55" s="88">
        <f t="shared" ca="1" si="13"/>
        <v>3581709.6298254915</v>
      </c>
      <c r="AB55" s="88">
        <f t="shared" ca="1" si="20"/>
        <v>47944604.528793141</v>
      </c>
    </row>
    <row r="56" spans="2:28">
      <c r="B56" s="87">
        <v>41</v>
      </c>
      <c r="C56" s="88">
        <f t="shared" ca="1" si="21"/>
        <v>0</v>
      </c>
      <c r="D56" s="87">
        <f t="shared" ca="1" si="15"/>
        <v>2066</v>
      </c>
      <c r="E56" s="87">
        <f t="shared" ca="1" si="5"/>
        <v>79</v>
      </c>
      <c r="F56" s="87">
        <f t="shared" ca="1" si="6"/>
        <v>78</v>
      </c>
      <c r="G56" s="88">
        <f t="shared" ca="1" si="26"/>
        <v>0</v>
      </c>
      <c r="H56" s="88">
        <f t="shared" ca="1" si="27"/>
        <v>0</v>
      </c>
      <c r="I56" s="88">
        <f t="shared" ca="1" si="9"/>
        <v>0</v>
      </c>
      <c r="J56" s="88">
        <f t="shared" ca="1" si="10"/>
        <v>0</v>
      </c>
      <c r="K56" s="88">
        <f t="shared" ca="1" si="22"/>
        <v>416607.24332801159</v>
      </c>
      <c r="L56" s="88">
        <f t="shared" ca="1" si="11"/>
        <v>162013.92796089337</v>
      </c>
      <c r="M56" s="141">
        <f t="shared" ca="1" si="16"/>
        <v>17174277.055805571</v>
      </c>
      <c r="N56" s="141">
        <f t="shared" ca="1" si="17"/>
        <v>1339593.6103528345</v>
      </c>
      <c r="O56" s="141">
        <f t="shared" ca="1" si="18"/>
        <v>17935249.494869497</v>
      </c>
      <c r="Q56" s="88"/>
      <c r="S56" s="87">
        <v>41</v>
      </c>
      <c r="T56" s="87">
        <v>2063</v>
      </c>
      <c r="U56" s="87">
        <v>76</v>
      </c>
      <c r="V56" s="87">
        <v>75</v>
      </c>
      <c r="W56" s="88">
        <f t="shared" si="23"/>
        <v>0</v>
      </c>
      <c r="X56" s="88">
        <f t="shared" si="24"/>
        <v>0</v>
      </c>
      <c r="Y56" s="88">
        <f t="shared" si="25"/>
        <v>416607.24332801159</v>
      </c>
      <c r="Z56" s="88">
        <f t="shared" ca="1" si="19"/>
        <v>47944604.528793141</v>
      </c>
      <c r="AA56" s="88">
        <f t="shared" ca="1" si="13"/>
        <v>3835571.3623034512</v>
      </c>
      <c r="AB56" s="88">
        <f t="shared" ca="1" si="20"/>
        <v>51363568.647768579</v>
      </c>
    </row>
    <row r="57" spans="2:28">
      <c r="B57" s="87">
        <v>42</v>
      </c>
      <c r="C57" s="88">
        <f t="shared" ca="1" si="21"/>
        <v>0</v>
      </c>
      <c r="D57" s="87">
        <f t="shared" ca="1" si="15"/>
        <v>2067</v>
      </c>
      <c r="E57" s="87">
        <f t="shared" ca="1" si="5"/>
        <v>80</v>
      </c>
      <c r="F57" s="87">
        <f t="shared" ca="1" si="6"/>
        <v>79</v>
      </c>
      <c r="G57" s="88">
        <f t="shared" ca="1" si="26"/>
        <v>0</v>
      </c>
      <c r="H57" s="88">
        <f t="shared" ca="1" si="27"/>
        <v>0</v>
      </c>
      <c r="I57" s="88">
        <f t="shared" ca="1" si="9"/>
        <v>0</v>
      </c>
      <c r="J57" s="88">
        <f t="shared" ca="1" si="10"/>
        <v>0</v>
      </c>
      <c r="K57" s="88">
        <f t="shared" ca="1" si="22"/>
        <v>424939.38819457183</v>
      </c>
      <c r="L57" s="88">
        <f t="shared" ca="1" si="11"/>
        <v>165254.2065201113</v>
      </c>
      <c r="M57" s="141">
        <f t="shared" ca="1" si="16"/>
        <v>17935249.494869497</v>
      </c>
      <c r="N57" s="141">
        <f t="shared" ca="1" si="17"/>
        <v>1398949.4605998208</v>
      </c>
      <c r="O57" s="141">
        <f t="shared" ca="1" si="18"/>
        <v>18744005.360754635</v>
      </c>
      <c r="Q57" s="88"/>
      <c r="S57" s="87">
        <v>42</v>
      </c>
      <c r="T57" s="87">
        <v>2064</v>
      </c>
      <c r="U57" s="87">
        <v>77</v>
      </c>
      <c r="V57" s="87">
        <v>76</v>
      </c>
      <c r="W57" s="88">
        <f t="shared" si="23"/>
        <v>0</v>
      </c>
      <c r="X57" s="88">
        <f t="shared" si="24"/>
        <v>0</v>
      </c>
      <c r="Y57" s="88">
        <f t="shared" si="25"/>
        <v>424939.38819457183</v>
      </c>
      <c r="Z57" s="88">
        <f t="shared" ca="1" si="19"/>
        <v>51363568.647768579</v>
      </c>
      <c r="AA57" s="88">
        <f t="shared" ca="1" si="13"/>
        <v>4109088.5318214865</v>
      </c>
      <c r="AB57" s="88">
        <f t="shared" ca="1" si="20"/>
        <v>55047717.7913955</v>
      </c>
    </row>
    <row r="58" spans="2:28">
      <c r="B58" s="87">
        <v>43</v>
      </c>
      <c r="C58" s="88">
        <f t="shared" ca="1" si="21"/>
        <v>0</v>
      </c>
      <c r="D58" s="87">
        <f t="shared" ca="1" si="15"/>
        <v>2068</v>
      </c>
      <c r="E58" s="87">
        <f t="shared" ca="1" si="5"/>
        <v>81</v>
      </c>
      <c r="F58" s="87">
        <f t="shared" ca="1" si="6"/>
        <v>80</v>
      </c>
      <c r="G58" s="88">
        <f t="shared" ca="1" si="26"/>
        <v>0</v>
      </c>
      <c r="H58" s="88">
        <f t="shared" ca="1" si="27"/>
        <v>0</v>
      </c>
      <c r="I58" s="88">
        <f t="shared" ca="1" si="9"/>
        <v>0</v>
      </c>
      <c r="J58" s="88">
        <f t="shared" ca="1" si="10"/>
        <v>0</v>
      </c>
      <c r="K58" s="88">
        <f t="shared" ca="1" si="22"/>
        <v>433438.17595846322</v>
      </c>
      <c r="L58" s="88">
        <f t="shared" ca="1" si="11"/>
        <v>168559.29065051349</v>
      </c>
      <c r="M58" s="141">
        <f t="shared" ca="1" si="16"/>
        <v>18744005.360754635</v>
      </c>
      <c r="N58" s="141">
        <f t="shared" ca="1" si="17"/>
        <v>1462032.4181388617</v>
      </c>
      <c r="O58" s="141">
        <f t="shared" ca="1" si="18"/>
        <v>19604040.312284522</v>
      </c>
      <c r="Q58" s="88"/>
      <c r="S58" s="87">
        <v>43</v>
      </c>
      <c r="T58" s="87">
        <v>2065</v>
      </c>
      <c r="U58" s="87">
        <v>78</v>
      </c>
      <c r="V58" s="87">
        <v>77</v>
      </c>
      <c r="W58" s="88">
        <f t="shared" si="23"/>
        <v>0</v>
      </c>
      <c r="X58" s="88">
        <f t="shared" si="24"/>
        <v>0</v>
      </c>
      <c r="Y58" s="88">
        <f t="shared" si="25"/>
        <v>433438.17595846322</v>
      </c>
      <c r="Z58" s="88">
        <f t="shared" ca="1" si="19"/>
        <v>55047717.7913955</v>
      </c>
      <c r="AA58" s="88">
        <f t="shared" ca="1" si="13"/>
        <v>4403820.5033116406</v>
      </c>
      <c r="AB58" s="88">
        <f t="shared" ca="1" si="20"/>
        <v>59018100.11874868</v>
      </c>
    </row>
    <row r="59" spans="2:28">
      <c r="B59" s="87">
        <v>44</v>
      </c>
      <c r="C59" s="88">
        <f t="shared" ca="1" si="21"/>
        <v>0</v>
      </c>
      <c r="D59" s="87">
        <f t="shared" ca="1" si="15"/>
        <v>2069</v>
      </c>
      <c r="E59" s="87">
        <f t="shared" ca="1" si="5"/>
        <v>82</v>
      </c>
      <c r="F59" s="87">
        <f t="shared" ca="1" si="6"/>
        <v>81</v>
      </c>
      <c r="G59" s="88">
        <f t="shared" ca="1" si="26"/>
        <v>0</v>
      </c>
      <c r="H59" s="88">
        <f t="shared" ca="1" si="27"/>
        <v>0</v>
      </c>
      <c r="I59" s="88">
        <f t="shared" ca="1" si="9"/>
        <v>0</v>
      </c>
      <c r="J59" s="88">
        <f t="shared" ca="1" si="10"/>
        <v>0</v>
      </c>
      <c r="K59" s="88">
        <f t="shared" ca="1" si="22"/>
        <v>442106.93947763258</v>
      </c>
      <c r="L59" s="88">
        <f t="shared" ca="1" si="11"/>
        <v>171930.47646352375</v>
      </c>
      <c r="M59" s="141">
        <f t="shared" ca="1" si="16"/>
        <v>19604040.312284522</v>
      </c>
      <c r="N59" s="141">
        <f t="shared" ca="1" si="17"/>
        <v>1529115.1443581928</v>
      </c>
      <c r="O59" s="141">
        <f t="shared" ca="1" si="18"/>
        <v>20519118.040701557</v>
      </c>
      <c r="Q59" s="88"/>
      <c r="S59" s="87">
        <v>44</v>
      </c>
      <c r="T59" s="87">
        <v>2066</v>
      </c>
      <c r="U59" s="87">
        <v>79</v>
      </c>
      <c r="V59" s="87">
        <v>78</v>
      </c>
      <c r="W59" s="88">
        <f t="shared" si="23"/>
        <v>0</v>
      </c>
      <c r="X59" s="88">
        <f t="shared" si="24"/>
        <v>0</v>
      </c>
      <c r="Y59" s="88">
        <f t="shared" si="25"/>
        <v>442106.93947763258</v>
      </c>
      <c r="Z59" s="88">
        <f t="shared" ca="1" si="19"/>
        <v>59018100.11874868</v>
      </c>
      <c r="AA59" s="88">
        <f t="shared" ca="1" si="13"/>
        <v>4721451.1294998946</v>
      </c>
      <c r="AB59" s="88">
        <f t="shared" ca="1" si="20"/>
        <v>63297444.308770947</v>
      </c>
    </row>
    <row r="60" spans="2:28">
      <c r="B60" s="87">
        <v>45</v>
      </c>
      <c r="C60" s="88">
        <f t="shared" ca="1" si="21"/>
        <v>0</v>
      </c>
      <c r="D60" s="87">
        <f t="shared" ca="1" si="15"/>
        <v>2070</v>
      </c>
      <c r="E60" s="87">
        <f t="shared" ca="1" si="5"/>
        <v>83</v>
      </c>
      <c r="F60" s="87">
        <f t="shared" ca="1" si="6"/>
        <v>82</v>
      </c>
      <c r="G60" s="88">
        <f t="shared" ca="1" si="26"/>
        <v>0</v>
      </c>
      <c r="H60" s="88">
        <f t="shared" ca="1" si="27"/>
        <v>0</v>
      </c>
      <c r="I60" s="88">
        <f t="shared" ca="1" si="9"/>
        <v>0</v>
      </c>
      <c r="J60" s="88">
        <f t="shared" ca="1" si="10"/>
        <v>0</v>
      </c>
      <c r="K60" s="88">
        <f t="shared" ca="1" si="22"/>
        <v>450949.07826718519</v>
      </c>
      <c r="L60" s="88">
        <f t="shared" ca="1" si="11"/>
        <v>175369.08599279431</v>
      </c>
      <c r="M60" s="141">
        <f t="shared" ca="1" si="16"/>
        <v>20519118.040701557</v>
      </c>
      <c r="N60" s="141">
        <f t="shared" ca="1" si="17"/>
        <v>1600491.2071747214</v>
      </c>
      <c r="O60" s="141">
        <f t="shared" ca="1" si="18"/>
        <v>21493291.083616298</v>
      </c>
      <c r="Q60" s="88"/>
      <c r="S60" s="87">
        <v>45</v>
      </c>
      <c r="T60" s="87">
        <v>2067</v>
      </c>
      <c r="U60" s="87">
        <v>80</v>
      </c>
      <c r="V60" s="87">
        <v>79</v>
      </c>
      <c r="W60" s="88">
        <f t="shared" si="23"/>
        <v>0</v>
      </c>
      <c r="X60" s="88">
        <f t="shared" si="24"/>
        <v>0</v>
      </c>
      <c r="Y60" s="88">
        <f t="shared" si="25"/>
        <v>450949.07826718519</v>
      </c>
      <c r="Z60" s="88">
        <f t="shared" ca="1" si="19"/>
        <v>63297444.308770947</v>
      </c>
      <c r="AA60" s="88">
        <f t="shared" ca="1" si="13"/>
        <v>5063798.704701676</v>
      </c>
      <c r="AB60" s="88">
        <f t="shared" ca="1" si="20"/>
        <v>67910293.93520543</v>
      </c>
    </row>
    <row r="61" spans="2:28">
      <c r="B61" s="87">
        <v>46</v>
      </c>
      <c r="C61" s="88">
        <f t="shared" ca="1" si="21"/>
        <v>0</v>
      </c>
      <c r="D61" s="87">
        <f t="shared" ca="1" si="15"/>
        <v>2071</v>
      </c>
      <c r="E61" s="87">
        <f t="shared" ca="1" si="5"/>
        <v>84</v>
      </c>
      <c r="F61" s="87">
        <f t="shared" ca="1" si="6"/>
        <v>83</v>
      </c>
      <c r="G61" s="88">
        <f t="shared" ca="1" si="26"/>
        <v>0</v>
      </c>
      <c r="H61" s="88">
        <f t="shared" ca="1" si="27"/>
        <v>0</v>
      </c>
      <c r="I61" s="88">
        <f t="shared" ca="1" si="9"/>
        <v>0</v>
      </c>
      <c r="J61" s="88">
        <f t="shared" ca="1" si="10"/>
        <v>0</v>
      </c>
      <c r="K61" s="88">
        <f t="shared" ca="1" si="22"/>
        <v>459968.05983252893</v>
      </c>
      <c r="L61" s="88">
        <f t="shared" ca="1" si="11"/>
        <v>178876.46771265019</v>
      </c>
      <c r="M61" s="141">
        <f t="shared" ca="1" si="16"/>
        <v>21493291.083616298</v>
      </c>
      <c r="N61" s="141">
        <f t="shared" ca="1" si="17"/>
        <v>1676476.7045220712</v>
      </c>
      <c r="O61" s="141">
        <f t="shared" ca="1" si="18"/>
        <v>22530923.260593187</v>
      </c>
      <c r="Q61" s="88"/>
      <c r="S61" s="87">
        <v>46</v>
      </c>
      <c r="T61" s="87">
        <v>2068</v>
      </c>
      <c r="U61" s="87">
        <v>81</v>
      </c>
      <c r="V61" s="87">
        <v>80</v>
      </c>
      <c r="W61" s="88">
        <f t="shared" si="23"/>
        <v>0</v>
      </c>
      <c r="X61" s="88">
        <f t="shared" si="24"/>
        <v>0</v>
      </c>
      <c r="Y61" s="88">
        <f t="shared" si="25"/>
        <v>459968.05983252893</v>
      </c>
      <c r="Z61" s="88">
        <f t="shared" ca="1" si="19"/>
        <v>67910293.93520543</v>
      </c>
      <c r="AA61" s="88">
        <f t="shared" ca="1" si="13"/>
        <v>5432826.7148164343</v>
      </c>
      <c r="AB61" s="88">
        <f t="shared" ca="1" si="20"/>
        <v>72883152.590189338</v>
      </c>
    </row>
    <row r="62" spans="2:28">
      <c r="B62" s="87">
        <v>47</v>
      </c>
      <c r="C62" s="88">
        <f t="shared" ca="1" si="21"/>
        <v>0</v>
      </c>
      <c r="D62" s="87">
        <f t="shared" ca="1" si="15"/>
        <v>2072</v>
      </c>
      <c r="E62" s="87">
        <f t="shared" ca="1" si="5"/>
        <v>85</v>
      </c>
      <c r="F62" s="87">
        <f t="shared" ca="1" si="6"/>
        <v>84</v>
      </c>
      <c r="G62" s="88">
        <f t="shared" ca="1" si="26"/>
        <v>0</v>
      </c>
      <c r="H62" s="88">
        <f t="shared" ca="1" si="27"/>
        <v>0</v>
      </c>
      <c r="I62" s="88">
        <f t="shared" ca="1" si="9"/>
        <v>0</v>
      </c>
      <c r="J62" s="88">
        <f t="shared" ca="1" si="10"/>
        <v>0</v>
      </c>
      <c r="K62" s="88">
        <f t="shared" ca="1" si="22"/>
        <v>469167.42102917936</v>
      </c>
      <c r="L62" s="88">
        <f t="shared" ca="1" si="11"/>
        <v>182453.99706690316</v>
      </c>
      <c r="M62" s="141">
        <f t="shared" ca="1" si="16"/>
        <v>22530923.260593187</v>
      </c>
      <c r="N62" s="141">
        <f t="shared" ca="1" si="17"/>
        <v>1757412.0143262686</v>
      </c>
      <c r="O62" s="141">
        <f t="shared" ca="1" si="18"/>
        <v>23636713.85682337</v>
      </c>
      <c r="Q62" s="88"/>
      <c r="S62" s="87">
        <v>47</v>
      </c>
      <c r="T62" s="87">
        <v>2069</v>
      </c>
      <c r="U62" s="87">
        <v>82</v>
      </c>
      <c r="V62" s="87">
        <v>81</v>
      </c>
      <c r="W62" s="88">
        <f t="shared" si="23"/>
        <v>0</v>
      </c>
      <c r="X62" s="88">
        <f t="shared" si="24"/>
        <v>0</v>
      </c>
      <c r="Y62" s="88">
        <f t="shared" si="25"/>
        <v>469167.42102917936</v>
      </c>
      <c r="Z62" s="88">
        <f t="shared" ca="1" si="19"/>
        <v>72883152.590189338</v>
      </c>
      <c r="AA62" s="88">
        <f t="shared" ca="1" si="13"/>
        <v>5830655.4472151473</v>
      </c>
      <c r="AB62" s="88">
        <f t="shared" ca="1" si="20"/>
        <v>78244640.616375297</v>
      </c>
    </row>
    <row r="63" spans="2:28">
      <c r="B63" s="87">
        <v>48</v>
      </c>
      <c r="C63" s="88">
        <f t="shared" ca="1" si="21"/>
        <v>0</v>
      </c>
      <c r="D63" s="87">
        <f t="shared" ca="1" si="15"/>
        <v>2073</v>
      </c>
      <c r="E63" s="87">
        <f t="shared" ca="1" si="5"/>
        <v>86</v>
      </c>
      <c r="F63" s="87">
        <f t="shared" ca="1" si="6"/>
        <v>85</v>
      </c>
      <c r="G63" s="88">
        <f t="shared" ca="1" si="26"/>
        <v>0</v>
      </c>
      <c r="H63" s="88">
        <f t="shared" ca="1" si="27"/>
        <v>0</v>
      </c>
      <c r="I63" s="88">
        <f t="shared" ca="1" si="9"/>
        <v>0</v>
      </c>
      <c r="J63" s="88">
        <f t="shared" ca="1" si="10"/>
        <v>0</v>
      </c>
      <c r="K63" s="88">
        <f t="shared" ca="1" si="22"/>
        <v>478550.769449763</v>
      </c>
      <c r="L63" s="88">
        <f t="shared" ca="1" si="11"/>
        <v>186103.07700824121</v>
      </c>
      <c r="M63" s="141">
        <f t="shared" ca="1" si="16"/>
        <v>23636713.85682337</v>
      </c>
      <c r="N63" s="141">
        <f t="shared" ca="1" si="17"/>
        <v>1843663.6808322228</v>
      </c>
      <c r="O63" s="141">
        <f t="shared" ca="1" si="18"/>
        <v>24815723.691197589</v>
      </c>
      <c r="Q63" s="88"/>
      <c r="S63" s="87">
        <v>48</v>
      </c>
      <c r="T63" s="87">
        <v>2070</v>
      </c>
      <c r="U63" s="87">
        <v>83</v>
      </c>
      <c r="V63" s="87">
        <v>82</v>
      </c>
      <c r="W63" s="88">
        <f t="shared" si="23"/>
        <v>0</v>
      </c>
      <c r="X63" s="88">
        <f t="shared" si="24"/>
        <v>0</v>
      </c>
      <c r="Y63" s="88">
        <f t="shared" si="25"/>
        <v>478550.769449763</v>
      </c>
      <c r="Z63" s="88">
        <f t="shared" ca="1" si="19"/>
        <v>78244640.616375297</v>
      </c>
      <c r="AA63" s="88">
        <f t="shared" ca="1" si="13"/>
        <v>6259574.5293100243</v>
      </c>
      <c r="AB63" s="88">
        <f t="shared" ca="1" si="20"/>
        <v>84025664.376235545</v>
      </c>
    </row>
    <row r="64" spans="2:28">
      <c r="B64" s="87">
        <v>49</v>
      </c>
      <c r="C64" s="88">
        <f t="shared" ca="1" si="21"/>
        <v>0</v>
      </c>
      <c r="D64" s="87">
        <f t="shared" ca="1" si="15"/>
        <v>2074</v>
      </c>
      <c r="E64" s="87">
        <f t="shared" ca="1" si="5"/>
        <v>87</v>
      </c>
      <c r="F64" s="87">
        <f t="shared" ca="1" si="6"/>
        <v>86</v>
      </c>
      <c r="G64" s="88">
        <f t="shared" ca="1" si="26"/>
        <v>0</v>
      </c>
      <c r="H64" s="88">
        <f t="shared" ca="1" si="27"/>
        <v>0</v>
      </c>
      <c r="I64" s="88">
        <f t="shared" ca="1" si="9"/>
        <v>0</v>
      </c>
      <c r="J64" s="88">
        <f t="shared" ca="1" si="10"/>
        <v>0</v>
      </c>
      <c r="K64" s="88">
        <f t="shared" ca="1" si="22"/>
        <v>488121.78483875829</v>
      </c>
      <c r="L64" s="88">
        <f t="shared" ca="1" si="11"/>
        <v>189825.13854840607</v>
      </c>
      <c r="M64" s="141">
        <f t="shared" ca="1" si="16"/>
        <v>24815723.691197589</v>
      </c>
      <c r="N64" s="141">
        <f t="shared" ca="1" si="17"/>
        <v>1935626.447913412</v>
      </c>
      <c r="O64" s="141">
        <f t="shared" ca="1" si="18"/>
        <v>26073403.215723835</v>
      </c>
      <c r="Q64" s="88"/>
      <c r="S64" s="87">
        <v>49</v>
      </c>
      <c r="T64" s="87">
        <v>2071</v>
      </c>
      <c r="U64" s="87">
        <v>84</v>
      </c>
      <c r="V64" s="87">
        <v>83</v>
      </c>
      <c r="W64" s="88">
        <f t="shared" si="23"/>
        <v>0</v>
      </c>
      <c r="X64" s="88">
        <f t="shared" si="24"/>
        <v>0</v>
      </c>
      <c r="Y64" s="88">
        <f t="shared" si="25"/>
        <v>488121.78483875829</v>
      </c>
      <c r="Z64" s="88">
        <f t="shared" ca="1" si="19"/>
        <v>84025664.376235545</v>
      </c>
      <c r="AA64" s="88">
        <f t="shared" ca="1" si="13"/>
        <v>6722056.4700988438</v>
      </c>
      <c r="AB64" s="88">
        <f t="shared" ca="1" si="20"/>
        <v>90259599.061495632</v>
      </c>
    </row>
    <row r="65" spans="2:28">
      <c r="B65" s="87">
        <v>50</v>
      </c>
      <c r="C65" s="88">
        <f t="shared" ca="1" si="21"/>
        <v>0</v>
      </c>
      <c r="D65" s="87">
        <f t="shared" ca="1" si="15"/>
        <v>2075</v>
      </c>
      <c r="E65" s="87">
        <f t="shared" ca="1" si="5"/>
        <v>88</v>
      </c>
      <c r="F65" s="87">
        <f t="shared" ca="1" si="6"/>
        <v>87</v>
      </c>
      <c r="G65" s="88">
        <f t="shared" ca="1" si="26"/>
        <v>0</v>
      </c>
      <c r="H65" s="88">
        <f t="shared" ca="1" si="27"/>
        <v>0</v>
      </c>
      <c r="I65" s="88">
        <f t="shared" ca="1" si="9"/>
        <v>0</v>
      </c>
      <c r="J65" s="88">
        <f t="shared" ca="1" si="10"/>
        <v>0</v>
      </c>
      <c r="K65" s="88">
        <f t="shared" ca="1" si="22"/>
        <v>497884.22053553344</v>
      </c>
      <c r="L65" s="88">
        <f t="shared" ca="1" si="11"/>
        <v>193621.64131937415</v>
      </c>
      <c r="M65" s="141">
        <f t="shared" ca="1" si="16"/>
        <v>26073403.215723835</v>
      </c>
      <c r="N65" s="141">
        <f t="shared" ca="1" si="17"/>
        <v>2033725.4508264591</v>
      </c>
      <c r="O65" s="141">
        <f t="shared" ca="1" si="18"/>
        <v>27415622.804695386</v>
      </c>
      <c r="Q65" s="88"/>
      <c r="S65" s="87">
        <v>50</v>
      </c>
      <c r="T65" s="87">
        <v>2072</v>
      </c>
      <c r="U65" s="87">
        <v>85</v>
      </c>
      <c r="V65" s="87">
        <v>84</v>
      </c>
      <c r="W65" s="88">
        <f t="shared" si="23"/>
        <v>0</v>
      </c>
      <c r="X65" s="88">
        <f t="shared" si="24"/>
        <v>0</v>
      </c>
      <c r="Y65" s="88">
        <f t="shared" si="25"/>
        <v>497884.22053553344</v>
      </c>
      <c r="Z65" s="88">
        <f t="shared" ca="1" si="19"/>
        <v>90259599.061495632</v>
      </c>
      <c r="AA65" s="88">
        <f t="shared" ca="1" si="13"/>
        <v>7220771.2849196512</v>
      </c>
      <c r="AB65" s="88">
        <f t="shared" ca="1" si="20"/>
        <v>96982486.12587975</v>
      </c>
    </row>
    <row r="66" spans="2:28">
      <c r="B66" s="87">
        <v>51</v>
      </c>
      <c r="C66" s="88">
        <f t="shared" ca="1" si="21"/>
        <v>0</v>
      </c>
      <c r="D66" s="87">
        <f t="shared" ca="1" si="15"/>
        <v>2076</v>
      </c>
      <c r="E66" s="87">
        <f t="shared" ca="1" si="5"/>
        <v>89</v>
      </c>
      <c r="F66" s="87">
        <f t="shared" ca="1" si="6"/>
        <v>88</v>
      </c>
      <c r="G66" s="88">
        <f t="shared" ca="1" si="26"/>
        <v>0</v>
      </c>
      <c r="H66" s="88">
        <f t="shared" ca="1" si="27"/>
        <v>0</v>
      </c>
      <c r="I66" s="88">
        <f t="shared" ca="1" si="9"/>
        <v>0</v>
      </c>
      <c r="J66" s="88">
        <f t="shared" ca="1" si="10"/>
        <v>0</v>
      </c>
      <c r="K66" s="88">
        <f t="shared" ca="1" si="22"/>
        <v>507841.90494624409</v>
      </c>
      <c r="L66" s="88">
        <f t="shared" ca="1" si="11"/>
        <v>197494.07414576167</v>
      </c>
      <c r="M66" s="141">
        <f t="shared" ca="1" si="16"/>
        <v>27415622.804695386</v>
      </c>
      <c r="N66" s="141">
        <f t="shared" ca="1" si="17"/>
        <v>2138418.5787662403</v>
      </c>
      <c r="O66" s="141">
        <f t="shared" ca="1" si="18"/>
        <v>28848705.404369622</v>
      </c>
      <c r="Q66" s="88"/>
      <c r="S66" s="87">
        <v>51</v>
      </c>
      <c r="T66" s="87">
        <v>2073</v>
      </c>
      <c r="U66" s="87">
        <v>86</v>
      </c>
      <c r="V66" s="87">
        <v>85</v>
      </c>
      <c r="W66" s="88">
        <f t="shared" si="23"/>
        <v>0</v>
      </c>
      <c r="X66" s="88">
        <f t="shared" si="24"/>
        <v>0</v>
      </c>
      <c r="Y66" s="88">
        <f t="shared" si="25"/>
        <v>507841.90494624409</v>
      </c>
      <c r="Z66" s="88">
        <f t="shared" ca="1" si="19"/>
        <v>96982486.12587975</v>
      </c>
      <c r="AA66" s="88">
        <f t="shared" ca="1" si="13"/>
        <v>7758602.2900703801</v>
      </c>
      <c r="AB66" s="88">
        <f t="shared" ca="1" si="20"/>
        <v>104233246.5110039</v>
      </c>
    </row>
    <row r="67" spans="2:28">
      <c r="B67" s="87">
        <v>52</v>
      </c>
      <c r="C67" s="88">
        <f t="shared" ca="1" si="21"/>
        <v>0</v>
      </c>
      <c r="D67" s="87">
        <f t="shared" ca="1" si="15"/>
        <v>2077</v>
      </c>
      <c r="E67" s="87">
        <f t="shared" ca="1" si="5"/>
        <v>90</v>
      </c>
      <c r="F67" s="87">
        <f t="shared" ca="1" si="6"/>
        <v>89</v>
      </c>
      <c r="G67" s="88">
        <f t="shared" ca="1" si="26"/>
        <v>0</v>
      </c>
      <c r="H67" s="88">
        <f t="shared" ca="1" si="27"/>
        <v>0</v>
      </c>
      <c r="I67" s="88">
        <f t="shared" ca="1" si="9"/>
        <v>0</v>
      </c>
      <c r="J67" s="88">
        <f t="shared" ca="1" si="10"/>
        <v>0</v>
      </c>
      <c r="K67" s="88">
        <f t="shared" ca="1" si="22"/>
        <v>517998.74304516905</v>
      </c>
      <c r="L67" s="88">
        <f t="shared" ca="1" si="11"/>
        <v>201443.95562867692</v>
      </c>
      <c r="M67" s="141">
        <f t="shared" ca="1" si="16"/>
        <v>28848705.404369622</v>
      </c>
      <c r="N67" s="141">
        <f t="shared" ca="1" si="17"/>
        <v>2250199.0215408304</v>
      </c>
      <c r="O67" s="141">
        <f t="shared" ca="1" si="18"/>
        <v>30379461.727236606</v>
      </c>
      <c r="Q67" s="88"/>
      <c r="S67" s="87">
        <v>52</v>
      </c>
      <c r="T67" s="87">
        <v>2074</v>
      </c>
      <c r="U67" s="87">
        <v>87</v>
      </c>
      <c r="V67" s="87">
        <v>86</v>
      </c>
      <c r="W67" s="88">
        <f t="shared" si="23"/>
        <v>0</v>
      </c>
      <c r="X67" s="88">
        <f t="shared" si="24"/>
        <v>0</v>
      </c>
      <c r="Y67" s="88">
        <f t="shared" si="25"/>
        <v>517998.74304516905</v>
      </c>
      <c r="Z67" s="88">
        <f t="shared" ca="1" si="19"/>
        <v>104233246.5110039</v>
      </c>
      <c r="AA67" s="88">
        <f t="shared" ca="1" si="13"/>
        <v>8338663.1608803123</v>
      </c>
      <c r="AB67" s="88">
        <f t="shared" ca="1" si="20"/>
        <v>112053910.92883904</v>
      </c>
    </row>
    <row r="68" spans="2:28">
      <c r="B68" s="87">
        <v>53</v>
      </c>
      <c r="C68" s="88">
        <f t="shared" ca="1" si="21"/>
        <v>0</v>
      </c>
      <c r="D68" s="87">
        <f t="shared" ca="1" si="15"/>
        <v>2078</v>
      </c>
      <c r="E68" s="87">
        <f t="shared" ca="1" si="5"/>
        <v>91</v>
      </c>
      <c r="F68" s="87">
        <f t="shared" ca="1" si="6"/>
        <v>90</v>
      </c>
      <c r="G68" s="88">
        <f t="shared" ca="1" si="26"/>
        <v>0</v>
      </c>
      <c r="H68" s="88">
        <f t="shared" ca="1" si="27"/>
        <v>0</v>
      </c>
      <c r="I68" s="88">
        <f t="shared" ca="1" si="9"/>
        <v>0</v>
      </c>
      <c r="J68" s="88">
        <f t="shared" ca="1" si="10"/>
        <v>0</v>
      </c>
      <c r="K68" s="88">
        <f t="shared" ca="1" si="22"/>
        <v>528358.71790607239</v>
      </c>
      <c r="L68" s="88">
        <f t="shared" ca="1" si="11"/>
        <v>205472.83474125038</v>
      </c>
      <c r="M68" s="141">
        <f t="shared" ca="1" si="16"/>
        <v>30379461.727236606</v>
      </c>
      <c r="N68" s="141">
        <f t="shared" ca="1" si="17"/>
        <v>2369598.0147244553</v>
      </c>
      <c r="O68" s="141">
        <f t="shared" ca="1" si="18"/>
        <v>32015228.18931374</v>
      </c>
      <c r="Q68" s="88"/>
      <c r="S68" s="87">
        <v>53</v>
      </c>
      <c r="T68" s="87">
        <v>2075</v>
      </c>
      <c r="U68" s="87">
        <v>88</v>
      </c>
      <c r="V68" s="87">
        <v>87</v>
      </c>
      <c r="W68" s="88">
        <f t="shared" si="23"/>
        <v>0</v>
      </c>
      <c r="X68" s="88">
        <f t="shared" si="24"/>
        <v>0</v>
      </c>
      <c r="Y68" s="88">
        <f t="shared" si="25"/>
        <v>528358.71790607239</v>
      </c>
      <c r="Z68" s="88">
        <f t="shared" ca="1" si="19"/>
        <v>112053910.92883904</v>
      </c>
      <c r="AA68" s="88">
        <f t="shared" ca="1" si="13"/>
        <v>8964316.3543071244</v>
      </c>
      <c r="AB68" s="88">
        <f t="shared" ca="1" si="20"/>
        <v>120489868.5652401</v>
      </c>
    </row>
    <row r="69" spans="2:28">
      <c r="B69" s="87">
        <v>54</v>
      </c>
      <c r="C69" s="88">
        <f t="shared" ca="1" si="21"/>
        <v>0</v>
      </c>
      <c r="D69" s="87">
        <f t="shared" ca="1" si="15"/>
        <v>2079</v>
      </c>
      <c r="E69" s="87">
        <f t="shared" ca="1" si="5"/>
        <v>92</v>
      </c>
      <c r="F69" s="87">
        <f t="shared" ca="1" si="6"/>
        <v>91</v>
      </c>
      <c r="G69" s="88">
        <f t="shared" ca="1" si="26"/>
        <v>0</v>
      </c>
      <c r="H69" s="88">
        <f t="shared" ca="1" si="27"/>
        <v>0</v>
      </c>
      <c r="I69" s="88">
        <f t="shared" ca="1" si="9"/>
        <v>0</v>
      </c>
      <c r="J69" s="88">
        <f t="shared" ca="1" si="10"/>
        <v>0</v>
      </c>
      <c r="K69" s="88">
        <f t="shared" ca="1" si="22"/>
        <v>538925.89226419386</v>
      </c>
      <c r="L69" s="88">
        <f t="shared" ca="1" si="11"/>
        <v>209582.29143607547</v>
      </c>
      <c r="M69" s="141">
        <f t="shared" ca="1" si="16"/>
        <v>32015228.18931374</v>
      </c>
      <c r="N69" s="141">
        <f t="shared" ca="1" si="17"/>
        <v>2497187.7987664719</v>
      </c>
      <c r="O69" s="141">
        <f t="shared" ca="1" si="18"/>
        <v>33763907.80437994</v>
      </c>
      <c r="Q69" s="88"/>
      <c r="S69" s="87">
        <v>54</v>
      </c>
      <c r="T69" s="87">
        <v>2075</v>
      </c>
      <c r="U69" s="87">
        <v>89</v>
      </c>
      <c r="V69" s="87">
        <v>88</v>
      </c>
      <c r="W69" s="88">
        <f t="shared" si="23"/>
        <v>0</v>
      </c>
      <c r="X69" s="88">
        <f t="shared" si="24"/>
        <v>0</v>
      </c>
      <c r="Y69" s="88">
        <f t="shared" si="25"/>
        <v>538925.89226419386</v>
      </c>
      <c r="Z69" s="88">
        <f t="shared" ca="1" si="19"/>
        <v>120489868.5652401</v>
      </c>
      <c r="AA69" s="88">
        <f t="shared" ca="1" si="13"/>
        <v>9639193.0052192081</v>
      </c>
      <c r="AB69" s="88">
        <f t="shared" ca="1" si="20"/>
        <v>129590135.67819512</v>
      </c>
    </row>
    <row r="70" spans="2:28">
      <c r="B70" s="87">
        <v>55</v>
      </c>
      <c r="C70" s="88">
        <f t="shared" ca="1" si="21"/>
        <v>0</v>
      </c>
      <c r="D70" s="87">
        <f t="shared" ca="1" si="15"/>
        <v>2080</v>
      </c>
      <c r="E70" s="87">
        <f t="shared" ca="1" si="5"/>
        <v>93</v>
      </c>
      <c r="F70" s="87">
        <f t="shared" ca="1" si="6"/>
        <v>92</v>
      </c>
      <c r="G70" s="88">
        <f t="shared" ca="1" si="26"/>
        <v>0</v>
      </c>
      <c r="H70" s="88">
        <f t="shared" ca="1" si="27"/>
        <v>0</v>
      </c>
      <c r="I70" s="88">
        <f t="shared" ca="1" si="9"/>
        <v>0</v>
      </c>
      <c r="J70" s="88">
        <f t="shared" ca="1" si="10"/>
        <v>0</v>
      </c>
      <c r="K70" s="88">
        <f t="shared" ca="1" si="22"/>
        <v>549704.41010947758</v>
      </c>
      <c r="L70" s="88">
        <f t="shared" ca="1" si="11"/>
        <v>213773.93726479681</v>
      </c>
      <c r="M70" s="141">
        <f t="shared" ca="1" si="16"/>
        <v>33763907.80437994</v>
      </c>
      <c r="N70" s="141">
        <f t="shared" ca="1" si="17"/>
        <v>2633584.8087416352</v>
      </c>
      <c r="O70" s="141">
        <f t="shared" ca="1" si="18"/>
        <v>35634014.265747301</v>
      </c>
      <c r="Q70" s="88"/>
      <c r="S70" s="87">
        <v>55</v>
      </c>
      <c r="T70" s="87">
        <v>2075</v>
      </c>
      <c r="U70" s="87">
        <v>90</v>
      </c>
      <c r="V70" s="87">
        <v>89</v>
      </c>
      <c r="W70" s="88">
        <f t="shared" si="23"/>
        <v>0</v>
      </c>
      <c r="X70" s="88">
        <f t="shared" si="24"/>
        <v>0</v>
      </c>
      <c r="Y70" s="88">
        <f t="shared" si="25"/>
        <v>549704.41010947758</v>
      </c>
      <c r="Z70" s="88">
        <f t="shared" ca="1" si="19"/>
        <v>129590135.67819512</v>
      </c>
      <c r="AA70" s="88">
        <f t="shared" ca="1" si="13"/>
        <v>10367214.41425561</v>
      </c>
      <c r="AB70" s="88">
        <f t="shared" ca="1" si="20"/>
        <v>139407645.68234125</v>
      </c>
    </row>
    <row r="71" spans="2:28">
      <c r="B71" s="87">
        <v>56</v>
      </c>
      <c r="C71" s="88">
        <f t="shared" ca="1" si="21"/>
        <v>0</v>
      </c>
      <c r="D71" s="87">
        <f t="shared" ca="1" si="15"/>
        <v>2081</v>
      </c>
      <c r="E71" s="87">
        <f t="shared" ca="1" si="5"/>
        <v>94</v>
      </c>
      <c r="F71" s="87">
        <f t="shared" ca="1" si="6"/>
        <v>93</v>
      </c>
      <c r="G71" s="88">
        <f t="shared" ca="1" si="26"/>
        <v>0</v>
      </c>
      <c r="H71" s="88">
        <f t="shared" ca="1" si="27"/>
        <v>0</v>
      </c>
      <c r="I71" s="88">
        <f t="shared" ca="1" si="9"/>
        <v>0</v>
      </c>
      <c r="J71" s="88">
        <f t="shared" ca="1" si="10"/>
        <v>0</v>
      </c>
      <c r="K71" s="88">
        <f t="shared" ca="1" si="22"/>
        <v>560698.49831166712</v>
      </c>
      <c r="L71" s="88">
        <f t="shared" ca="1" si="11"/>
        <v>218049.41601009283</v>
      </c>
      <c r="M71" s="141">
        <f t="shared" ca="1" si="16"/>
        <v>35634014.265747301</v>
      </c>
      <c r="N71" s="141">
        <f t="shared" ca="1" si="17"/>
        <v>2779453.1127282893</v>
      </c>
      <c r="O71" s="141">
        <f t="shared" ca="1" si="18"/>
        <v>37634719.464153834</v>
      </c>
      <c r="Q71" s="88"/>
      <c r="S71" s="87">
        <v>56</v>
      </c>
      <c r="T71" s="87">
        <v>2075</v>
      </c>
      <c r="U71" s="87">
        <v>91</v>
      </c>
      <c r="V71" s="87">
        <v>90</v>
      </c>
      <c r="W71" s="88">
        <f t="shared" si="23"/>
        <v>0</v>
      </c>
      <c r="X71" s="88">
        <f t="shared" si="24"/>
        <v>0</v>
      </c>
      <c r="Y71" s="88">
        <f t="shared" si="25"/>
        <v>560698.49831166712</v>
      </c>
      <c r="Z71" s="88">
        <f t="shared" ca="1" si="19"/>
        <v>139407645.68234125</v>
      </c>
      <c r="AA71" s="88">
        <f t="shared" ca="1" si="13"/>
        <v>11152615.2545873</v>
      </c>
      <c r="AB71" s="88">
        <f t="shared" ca="1" si="20"/>
        <v>149999562.43861687</v>
      </c>
    </row>
    <row r="72" spans="2:28">
      <c r="B72" s="87">
        <v>57</v>
      </c>
      <c r="C72" s="88">
        <f t="shared" ca="1" si="21"/>
        <v>0</v>
      </c>
      <c r="D72" s="87">
        <f t="shared" ca="1" si="15"/>
        <v>2082</v>
      </c>
      <c r="E72" s="87">
        <f t="shared" ca="1" si="5"/>
        <v>95</v>
      </c>
      <c r="F72" s="87">
        <f t="shared" ca="1" si="6"/>
        <v>94</v>
      </c>
      <c r="G72" s="88">
        <f t="shared" ca="1" si="26"/>
        <v>0</v>
      </c>
      <c r="H72" s="88">
        <f t="shared" ca="1" si="27"/>
        <v>0</v>
      </c>
      <c r="I72" s="88">
        <f t="shared" ca="1" si="9"/>
        <v>0</v>
      </c>
      <c r="J72" s="88">
        <f t="shared" ca="1" si="10"/>
        <v>0</v>
      </c>
      <c r="K72" s="88">
        <f t="shared" ca="1" si="22"/>
        <v>571912.46827790048</v>
      </c>
      <c r="L72" s="88">
        <f t="shared" ca="1" si="11"/>
        <v>222410.4043302947</v>
      </c>
      <c r="M72" s="141">
        <f t="shared" ca="1" si="16"/>
        <v>37634719.464153834</v>
      </c>
      <c r="N72" s="141">
        <f t="shared" ca="1" si="17"/>
        <v>2935508.118203999</v>
      </c>
      <c r="O72" s="141">
        <f t="shared" ca="1" si="18"/>
        <v>39775904.709749632</v>
      </c>
      <c r="Q72" s="88"/>
      <c r="S72" s="87">
        <v>57</v>
      </c>
      <c r="T72" s="87">
        <v>2075</v>
      </c>
      <c r="U72" s="87">
        <v>92</v>
      </c>
      <c r="V72" s="87">
        <v>91</v>
      </c>
      <c r="W72" s="88">
        <f t="shared" si="23"/>
        <v>0</v>
      </c>
      <c r="X72" s="88">
        <f t="shared" si="24"/>
        <v>0</v>
      </c>
      <c r="Y72" s="88">
        <f t="shared" si="25"/>
        <v>571912.46827790048</v>
      </c>
      <c r="Z72" s="88">
        <f t="shared" ca="1" si="19"/>
        <v>149999562.43861687</v>
      </c>
      <c r="AA72" s="88">
        <f t="shared" ca="1" si="13"/>
        <v>11999968.635089351</v>
      </c>
      <c r="AB72" s="88">
        <f t="shared" ca="1" si="20"/>
        <v>161427618.60542831</v>
      </c>
    </row>
    <row r="73" spans="2:28">
      <c r="B73" s="87">
        <v>58</v>
      </c>
      <c r="C73" s="88">
        <f t="shared" ca="1" si="21"/>
        <v>0</v>
      </c>
      <c r="D73" s="87">
        <f t="shared" ca="1" si="15"/>
        <v>2083</v>
      </c>
      <c r="E73" s="87">
        <f t="shared" ca="1" si="5"/>
        <v>96</v>
      </c>
      <c r="F73" s="87">
        <f t="shared" ca="1" si="6"/>
        <v>95</v>
      </c>
      <c r="G73" s="88">
        <f t="shared" ca="1" si="26"/>
        <v>0</v>
      </c>
      <c r="H73" s="88">
        <f t="shared" ca="1" si="27"/>
        <v>0</v>
      </c>
      <c r="I73" s="88">
        <f t="shared" ca="1" si="9"/>
        <v>0</v>
      </c>
      <c r="J73" s="88">
        <f t="shared" ca="1" si="10"/>
        <v>0</v>
      </c>
      <c r="K73" s="88">
        <f t="shared" ca="1" si="22"/>
        <v>583350.71764345863</v>
      </c>
      <c r="L73" s="88">
        <f t="shared" ca="1" si="11"/>
        <v>226858.61241690058</v>
      </c>
      <c r="M73" s="141">
        <f t="shared" ca="1" si="16"/>
        <v>39775904.709749632</v>
      </c>
      <c r="N73" s="141">
        <f t="shared" ca="1" si="17"/>
        <v>3102520.5673604715</v>
      </c>
      <c r="O73" s="141">
        <f t="shared" ca="1" si="18"/>
        <v>42068215.947049737</v>
      </c>
      <c r="Q73" s="88"/>
      <c r="S73" s="87">
        <v>58</v>
      </c>
      <c r="T73" s="87">
        <v>2075</v>
      </c>
      <c r="U73" s="87">
        <v>93</v>
      </c>
      <c r="V73" s="87">
        <v>92</v>
      </c>
      <c r="W73" s="88">
        <f t="shared" si="23"/>
        <v>0</v>
      </c>
      <c r="X73" s="88">
        <f t="shared" si="24"/>
        <v>0</v>
      </c>
      <c r="Y73" s="88">
        <f t="shared" si="25"/>
        <v>583350.71764345863</v>
      </c>
      <c r="Z73" s="88">
        <f t="shared" ca="1" si="19"/>
        <v>161427618.60542831</v>
      </c>
      <c r="AA73" s="88">
        <f t="shared" ca="1" si="13"/>
        <v>12914213.168434264</v>
      </c>
      <c r="AB73" s="88">
        <f t="shared" ca="1" si="20"/>
        <v>173758481.0562191</v>
      </c>
    </row>
    <row r="74" spans="2:28">
      <c r="B74" s="87">
        <v>59</v>
      </c>
      <c r="C74" s="88">
        <f t="shared" ca="1" si="21"/>
        <v>0</v>
      </c>
      <c r="D74" s="87">
        <f t="shared" ca="1" si="15"/>
        <v>2084</v>
      </c>
      <c r="E74" s="87">
        <f t="shared" ca="1" si="5"/>
        <v>97</v>
      </c>
      <c r="F74" s="87">
        <f t="shared" ca="1" si="6"/>
        <v>96</v>
      </c>
      <c r="G74" s="88">
        <f t="shared" ca="1" si="26"/>
        <v>0</v>
      </c>
      <c r="H74" s="88">
        <f t="shared" ca="1" si="27"/>
        <v>0</v>
      </c>
      <c r="I74" s="88">
        <f t="shared" ca="1" si="9"/>
        <v>0</v>
      </c>
      <c r="J74" s="88">
        <f t="shared" ca="1" si="10"/>
        <v>0</v>
      </c>
      <c r="K74" s="88">
        <f t="shared" ca="1" si="22"/>
        <v>595017.73199632764</v>
      </c>
      <c r="L74" s="88">
        <f t="shared" ca="1" si="11"/>
        <v>231395.78466523858</v>
      </c>
      <c r="M74" s="141">
        <f t="shared" ca="1" si="16"/>
        <v>42068215.947049737</v>
      </c>
      <c r="N74" s="141">
        <f t="shared" ca="1" si="17"/>
        <v>3281320.8438698794</v>
      </c>
      <c r="O74" s="141">
        <f t="shared" ca="1" si="18"/>
        <v>44523123.274258047</v>
      </c>
      <c r="Q74" s="88"/>
      <c r="S74" s="87">
        <v>59</v>
      </c>
      <c r="T74" s="87">
        <v>2075</v>
      </c>
      <c r="U74" s="87">
        <v>94</v>
      </c>
      <c r="V74" s="87">
        <v>93</v>
      </c>
      <c r="W74" s="88">
        <f t="shared" si="23"/>
        <v>0</v>
      </c>
      <c r="X74" s="88">
        <f t="shared" si="24"/>
        <v>0</v>
      </c>
      <c r="Y74" s="88">
        <f t="shared" si="25"/>
        <v>595017.73199632764</v>
      </c>
      <c r="Z74" s="88">
        <f t="shared" ca="1" si="19"/>
        <v>173758481.0562191</v>
      </c>
      <c r="AA74" s="88">
        <f t="shared" ca="1" si="13"/>
        <v>13900682.204497529</v>
      </c>
      <c r="AB74" s="88">
        <f t="shared" ca="1" si="20"/>
        <v>187064145.52872029</v>
      </c>
    </row>
    <row r="75" spans="2:28">
      <c r="B75" s="87">
        <v>60</v>
      </c>
      <c r="C75" s="88">
        <f t="shared" ca="1" si="21"/>
        <v>0</v>
      </c>
      <c r="D75" s="87">
        <f t="shared" ca="1" si="15"/>
        <v>2085</v>
      </c>
      <c r="E75" s="87">
        <f t="shared" ca="1" si="5"/>
        <v>98</v>
      </c>
      <c r="F75" s="87">
        <f t="shared" ca="1" si="6"/>
        <v>97</v>
      </c>
      <c r="G75" s="88">
        <f t="shared" ca="1" si="26"/>
        <v>0</v>
      </c>
      <c r="H75" s="88">
        <f t="shared" ca="1" si="27"/>
        <v>0</v>
      </c>
      <c r="I75" s="88">
        <f t="shared" ca="1" si="9"/>
        <v>0</v>
      </c>
      <c r="J75" s="88">
        <f t="shared" ca="1" si="10"/>
        <v>0</v>
      </c>
      <c r="K75" s="88">
        <f t="shared" ca="1" si="22"/>
        <v>606918.08663625433</v>
      </c>
      <c r="L75" s="88">
        <f t="shared" ca="1" si="11"/>
        <v>236023.70035854343</v>
      </c>
      <c r="M75" s="141">
        <f t="shared" ca="1" si="16"/>
        <v>44523123.274258047</v>
      </c>
      <c r="N75" s="141">
        <f t="shared" ca="1" si="17"/>
        <v>3472803.6153921275</v>
      </c>
      <c r="O75" s="141">
        <f t="shared" ca="1" si="18"/>
        <v>47152985.102655381</v>
      </c>
      <c r="Q75" s="88"/>
      <c r="S75" s="87">
        <v>60</v>
      </c>
      <c r="T75" s="87">
        <v>2075</v>
      </c>
      <c r="U75" s="87">
        <v>95</v>
      </c>
      <c r="V75" s="87">
        <v>94</v>
      </c>
      <c r="W75" s="88">
        <f t="shared" si="23"/>
        <v>0</v>
      </c>
      <c r="X75" s="88">
        <f t="shared" si="24"/>
        <v>0</v>
      </c>
      <c r="Y75" s="88">
        <f t="shared" si="25"/>
        <v>606918.08663625433</v>
      </c>
      <c r="Z75" s="88">
        <f t="shared" ca="1" si="19"/>
        <v>187064145.52872029</v>
      </c>
      <c r="AA75" s="88">
        <f t="shared" ca="1" si="13"/>
        <v>14965135.402297623</v>
      </c>
      <c r="AB75" s="88">
        <f t="shared" ca="1" si="20"/>
        <v>201422362.84438166</v>
      </c>
    </row>
    <row r="76" spans="2:28">
      <c r="B76" s="87">
        <v>61</v>
      </c>
      <c r="C76" s="88">
        <f t="shared" ca="1" si="21"/>
        <v>0</v>
      </c>
      <c r="D76" s="87">
        <f t="shared" ca="1" si="15"/>
        <v>2086</v>
      </c>
      <c r="E76" s="87">
        <f t="shared" ca="1" si="5"/>
        <v>99</v>
      </c>
      <c r="F76" s="87">
        <f t="shared" ca="1" si="6"/>
        <v>98</v>
      </c>
      <c r="G76" s="88">
        <f t="shared" ca="1" si="26"/>
        <v>0</v>
      </c>
      <c r="H76" s="88">
        <f t="shared" ca="1" si="27"/>
        <v>0</v>
      </c>
      <c r="I76" s="88">
        <f t="shared" ca="1" si="9"/>
        <v>0</v>
      </c>
      <c r="J76" s="88">
        <f t="shared" ca="1" si="10"/>
        <v>0</v>
      </c>
      <c r="K76" s="88">
        <f t="shared" ca="1" si="22"/>
        <v>619056.44836897939</v>
      </c>
      <c r="L76" s="88">
        <f t="shared" ca="1" si="11"/>
        <v>240744.17436571419</v>
      </c>
      <c r="M76" s="141">
        <f t="shared" ca="1" si="16"/>
        <v>47152985.102655381</v>
      </c>
      <c r="N76" s="141">
        <f t="shared" ca="1" si="17"/>
        <v>3677932.8380071195</v>
      </c>
      <c r="O76" s="141">
        <f t="shared" ca="1" si="18"/>
        <v>49971117.317927808</v>
      </c>
      <c r="Q76" s="88"/>
      <c r="S76" s="87">
        <v>61</v>
      </c>
      <c r="T76" s="87">
        <v>2075</v>
      </c>
      <c r="U76" s="87">
        <v>96</v>
      </c>
      <c r="V76" s="87">
        <v>95</v>
      </c>
      <c r="W76" s="88">
        <f t="shared" si="23"/>
        <v>0</v>
      </c>
      <c r="X76" s="88">
        <f t="shared" si="24"/>
        <v>0</v>
      </c>
      <c r="Y76" s="88">
        <f t="shared" si="25"/>
        <v>619056.44836897939</v>
      </c>
      <c r="Z76" s="88">
        <f t="shared" ca="1" si="19"/>
        <v>201422362.84438166</v>
      </c>
      <c r="AA76" s="88">
        <f t="shared" ca="1" si="13"/>
        <v>16113792.827550534</v>
      </c>
      <c r="AB76" s="88">
        <f t="shared" ca="1" si="20"/>
        <v>216917099.22356322</v>
      </c>
    </row>
    <row r="77" spans="2:28">
      <c r="B77" s="87">
        <v>62</v>
      </c>
      <c r="C77" s="88">
        <f t="shared" ca="1" si="21"/>
        <v>0</v>
      </c>
      <c r="D77" s="87">
        <f t="shared" ca="1" si="15"/>
        <v>2087</v>
      </c>
      <c r="E77" s="87">
        <f t="shared" ca="1" si="5"/>
        <v>100</v>
      </c>
      <c r="F77" s="87">
        <f t="shared" ca="1" si="6"/>
        <v>99</v>
      </c>
      <c r="G77" s="88">
        <f t="shared" ca="1" si="26"/>
        <v>0</v>
      </c>
      <c r="H77" s="88">
        <f t="shared" ca="1" si="27"/>
        <v>0</v>
      </c>
      <c r="I77" s="88">
        <f t="shared" ca="1" si="9"/>
        <v>0</v>
      </c>
      <c r="J77" s="88">
        <f t="shared" ca="1" si="10"/>
        <v>0</v>
      </c>
      <c r="K77" s="88">
        <f t="shared" ca="1" si="22"/>
        <v>631437.57733635895</v>
      </c>
      <c r="L77" s="88">
        <f t="shared" ca="1" si="11"/>
        <v>245559.05785302853</v>
      </c>
      <c r="M77" s="141">
        <f t="shared" ca="1" si="16"/>
        <v>49971117.317927808</v>
      </c>
      <c r="N77" s="141">
        <f t="shared" ca="1" si="17"/>
        <v>3897747.1507983692</v>
      </c>
      <c r="O77" s="141">
        <f t="shared" ca="1" si="18"/>
        <v>52991867.833536789</v>
      </c>
      <c r="Q77" s="88"/>
      <c r="S77" s="87">
        <v>62</v>
      </c>
      <c r="T77" s="87">
        <v>2075</v>
      </c>
      <c r="U77" s="87">
        <v>97</v>
      </c>
      <c r="V77" s="87">
        <v>96</v>
      </c>
      <c r="W77" s="88">
        <f t="shared" si="23"/>
        <v>0</v>
      </c>
      <c r="X77" s="88">
        <f t="shared" si="24"/>
        <v>0</v>
      </c>
      <c r="Y77" s="88">
        <f t="shared" si="25"/>
        <v>631437.57733635895</v>
      </c>
      <c r="Z77" s="88">
        <f t="shared" ca="1" si="19"/>
        <v>216917099.22356322</v>
      </c>
      <c r="AA77" s="88">
        <f t="shared" ca="1" si="13"/>
        <v>17353371.777885057</v>
      </c>
      <c r="AB77" s="88">
        <f t="shared" ca="1" si="20"/>
        <v>233639033.4241119</v>
      </c>
    </row>
    <row r="78" spans="2:28">
      <c r="B78" s="87">
        <v>63</v>
      </c>
      <c r="C78" s="88">
        <f t="shared" ca="1" si="21"/>
        <v>0</v>
      </c>
      <c r="D78" s="87">
        <f t="shared" ca="1" si="15"/>
        <v>2088</v>
      </c>
      <c r="E78" s="87">
        <f t="shared" ca="1" si="5"/>
        <v>101</v>
      </c>
      <c r="F78" s="87">
        <f t="shared" ca="1" si="6"/>
        <v>100</v>
      </c>
      <c r="G78" s="88">
        <f t="shared" ca="1" si="26"/>
        <v>0</v>
      </c>
      <c r="H78" s="88">
        <f t="shared" ca="1" si="27"/>
        <v>0</v>
      </c>
      <c r="I78" s="88">
        <f t="shared" ca="1" si="9"/>
        <v>0</v>
      </c>
      <c r="J78" s="88">
        <f t="shared" ca="1" si="10"/>
        <v>0</v>
      </c>
      <c r="K78" s="88">
        <f t="shared" ca="1" si="22"/>
        <v>644066.32888308598</v>
      </c>
      <c r="L78" s="88">
        <f t="shared" ca="1" si="11"/>
        <v>250470.23901008908</v>
      </c>
      <c r="M78" s="141">
        <f t="shared" ca="1" si="16"/>
        <v>52991867.833536789</v>
      </c>
      <c r="N78" s="141">
        <f t="shared" ca="1" si="17"/>
        <v>4133365.6910158694</v>
      </c>
      <c r="O78" s="141">
        <f t="shared" ca="1" si="18"/>
        <v>56230696.956659481</v>
      </c>
      <c r="Q78" s="88"/>
      <c r="S78" s="87">
        <v>63</v>
      </c>
      <c r="T78" s="87">
        <v>2075</v>
      </c>
      <c r="U78" s="87">
        <v>98</v>
      </c>
      <c r="V78" s="87">
        <v>97</v>
      </c>
      <c r="W78" s="88">
        <f t="shared" si="23"/>
        <v>0</v>
      </c>
      <c r="X78" s="88">
        <f t="shared" si="24"/>
        <v>0</v>
      </c>
      <c r="Y78" s="88">
        <f t="shared" si="25"/>
        <v>644066.32888308598</v>
      </c>
      <c r="Z78" s="88">
        <f t="shared" ca="1" si="19"/>
        <v>233639033.4241119</v>
      </c>
      <c r="AA78" s="88">
        <f t="shared" ca="1" si="13"/>
        <v>18691126.553928953</v>
      </c>
      <c r="AB78" s="88">
        <f t="shared" ca="1" si="20"/>
        <v>251686093.64915776</v>
      </c>
    </row>
    <row r="79" spans="2:28">
      <c r="B79" s="87">
        <v>64</v>
      </c>
      <c r="C79" s="88">
        <f t="shared" ca="1" si="21"/>
        <v>0</v>
      </c>
      <c r="D79" s="87">
        <f t="shared" ca="1" si="15"/>
        <v>2089</v>
      </c>
      <c r="E79" s="87">
        <f t="shared" ca="1" si="5"/>
        <v>102</v>
      </c>
      <c r="F79" s="87">
        <f t="shared" ca="1" si="6"/>
        <v>101</v>
      </c>
      <c r="G79" s="88">
        <f t="shared" ca="1" si="26"/>
        <v>0</v>
      </c>
      <c r="H79" s="88">
        <f t="shared" ca="1" si="27"/>
        <v>0</v>
      </c>
      <c r="I79" s="88">
        <f t="shared" ca="1" si="9"/>
        <v>0</v>
      </c>
      <c r="J79" s="88">
        <f t="shared" ca="1" si="10"/>
        <v>0</v>
      </c>
      <c r="K79" s="88">
        <f t="shared" ca="1" si="22"/>
        <v>656947.65546074789</v>
      </c>
      <c r="L79" s="88">
        <f t="shared" ca="1" si="11"/>
        <v>255479.64379029092</v>
      </c>
      <c r="M79" s="141">
        <f t="shared" ca="1" si="16"/>
        <v>56230696.956659481</v>
      </c>
      <c r="N79" s="141">
        <f t="shared" ca="1" si="17"/>
        <v>4385994.3626194391</v>
      </c>
      <c r="O79" s="141">
        <f t="shared" ca="1" si="18"/>
        <v>59704264.020027883</v>
      </c>
      <c r="Q79" s="88"/>
      <c r="S79" s="87">
        <v>64</v>
      </c>
      <c r="T79" s="87">
        <v>2075</v>
      </c>
      <c r="U79" s="87">
        <v>99</v>
      </c>
      <c r="V79" s="87">
        <v>98</v>
      </c>
      <c r="W79" s="88">
        <f t="shared" si="23"/>
        <v>0</v>
      </c>
      <c r="X79" s="88">
        <f t="shared" si="24"/>
        <v>0</v>
      </c>
      <c r="Y79" s="88">
        <f t="shared" si="25"/>
        <v>656947.65546074789</v>
      </c>
      <c r="Z79" s="88">
        <f t="shared" ca="1" si="19"/>
        <v>251686093.64915776</v>
      </c>
      <c r="AA79" s="88">
        <f t="shared" ca="1" si="13"/>
        <v>20134891.411932625</v>
      </c>
      <c r="AB79" s="88">
        <f t="shared" ca="1" si="20"/>
        <v>271164037.40562963</v>
      </c>
    </row>
    <row r="80" spans="2:28">
      <c r="B80" s="87">
        <v>65</v>
      </c>
      <c r="C80" s="88">
        <f t="shared" ref="C80:C101" ca="1" si="28">IF(O79&lt;0,0,IF(O80&lt;0,1,0))</f>
        <v>0</v>
      </c>
      <c r="D80" s="87">
        <f t="shared" ca="1" si="15"/>
        <v>2090</v>
      </c>
      <c r="E80" s="87">
        <f t="shared" ca="1" si="5"/>
        <v>103</v>
      </c>
      <c r="F80" s="87">
        <f t="shared" ca="1" si="6"/>
        <v>102</v>
      </c>
      <c r="G80" s="88">
        <f t="shared" ca="1" si="26"/>
        <v>0</v>
      </c>
      <c r="H80" s="88">
        <f t="shared" ca="1" si="27"/>
        <v>0</v>
      </c>
      <c r="I80" s="88">
        <f t="shared" ca="1" si="9"/>
        <v>0</v>
      </c>
      <c r="J80" s="88">
        <f t="shared" ca="1" si="10"/>
        <v>0</v>
      </c>
      <c r="K80" s="88">
        <f t="shared" ref="K80:K101" ca="1" si="29">IF(E80&gt;=$D$9,$D$11,0)*(1.02^B80)</f>
        <v>670086.6085699629</v>
      </c>
      <c r="L80" s="88">
        <f t="shared" ca="1" si="11"/>
        <v>260589.23666609672</v>
      </c>
      <c r="M80" s="141">
        <f t="shared" ca="1" si="16"/>
        <v>59704264.020027883</v>
      </c>
      <c r="N80" s="141">
        <f t="shared" ca="1" si="17"/>
        <v>4656932.5935621746</v>
      </c>
      <c r="O80" s="141">
        <f t="shared" ca="1" si="18"/>
        <v>63430520.768353999</v>
      </c>
      <c r="Q80" s="88"/>
      <c r="S80" s="87">
        <v>65</v>
      </c>
      <c r="T80" s="87">
        <v>2075</v>
      </c>
      <c r="U80" s="87">
        <v>100</v>
      </c>
      <c r="V80" s="87">
        <v>99</v>
      </c>
      <c r="W80" s="88">
        <f t="shared" ref="W80:W88" si="30">IF(U80&lt;$U$9,$U$3,0)</f>
        <v>0</v>
      </c>
      <c r="X80" s="88">
        <f t="shared" ref="X80:X88" si="31">IF(V80&lt;$U$10,$U$4,0)</f>
        <v>0</v>
      </c>
      <c r="Y80" s="88">
        <f t="shared" ref="Y80:Y88" si="32">IF(U80&gt;=$U$9,$U$11,0)*(1.02^S80)</f>
        <v>670086.6085699629</v>
      </c>
      <c r="Z80" s="88">
        <f t="shared" ca="1" si="19"/>
        <v>271164037.40562963</v>
      </c>
      <c r="AA80" s="88">
        <f t="shared" ca="1" si="13"/>
        <v>21693126.952450372</v>
      </c>
      <c r="AB80" s="88">
        <f t="shared" ca="1" si="20"/>
        <v>292187077.74951005</v>
      </c>
    </row>
    <row r="81" spans="2:28">
      <c r="B81" s="87">
        <v>66</v>
      </c>
      <c r="C81" s="88">
        <f t="shared" ca="1" si="28"/>
        <v>0</v>
      </c>
      <c r="D81" s="87">
        <f t="shared" ca="1" si="15"/>
        <v>2091</v>
      </c>
      <c r="E81" s="87">
        <f t="shared" ref="E81:E101" ca="1" si="33">D81-1987</f>
        <v>104</v>
      </c>
      <c r="F81" s="87">
        <f t="shared" ref="F81:F101" ca="1" si="34">D81-1988</f>
        <v>103</v>
      </c>
      <c r="G81" s="88">
        <f t="shared" ref="G81:G101" ca="1" si="35">IF(E81&lt;$D$9,$D$3,0)</f>
        <v>0</v>
      </c>
      <c r="H81" s="88">
        <f t="shared" ref="H81:H101" ca="1" si="36">IF(F81&lt;$D$10,$D$4,0)</f>
        <v>0</v>
      </c>
      <c r="I81" s="88">
        <f t="shared" ref="I81:I101" ca="1" si="37">IF(AND(E81&gt;72,E81&lt;85.5),$D$7,0)</f>
        <v>0</v>
      </c>
      <c r="J81" s="88">
        <f t="shared" ref="J81:J101" ca="1" si="38">IF(AND(F81&gt;72,F81&lt;88.8),$D$8,0)</f>
        <v>0</v>
      </c>
      <c r="K81" s="88">
        <f t="shared" ca="1" si="29"/>
        <v>683488.34074136207</v>
      </c>
      <c r="L81" s="88">
        <f t="shared" ref="L81:L101" ca="1" si="39">(K81/(1-$D$12))-K81</f>
        <v>265801.02139941859</v>
      </c>
      <c r="M81" s="141">
        <f t="shared" ca="1" si="16"/>
        <v>63430520.768353999</v>
      </c>
      <c r="N81" s="141">
        <f t="shared" ca="1" si="17"/>
        <v>4947580.6199316122</v>
      </c>
      <c r="O81" s="141">
        <f t="shared" ca="1" si="18"/>
        <v>67428812.026144817</v>
      </c>
      <c r="Q81" s="88"/>
      <c r="S81" s="87">
        <v>66</v>
      </c>
      <c r="T81" s="87">
        <v>2075</v>
      </c>
      <c r="U81" s="87">
        <v>101</v>
      </c>
      <c r="V81" s="87">
        <v>100</v>
      </c>
      <c r="W81" s="88">
        <f t="shared" si="30"/>
        <v>0</v>
      </c>
      <c r="X81" s="88">
        <f t="shared" si="31"/>
        <v>0</v>
      </c>
      <c r="Y81" s="88">
        <f t="shared" si="32"/>
        <v>683488.34074136207</v>
      </c>
      <c r="Z81" s="88">
        <f t="shared" ca="1" si="19"/>
        <v>292187077.74951005</v>
      </c>
      <c r="AA81" s="88">
        <f t="shared" ref="AA81:AA88" ca="1" si="40">(SUM(V81:W81)/2)*$U$5+(Z81*$U$5)</f>
        <v>23374970.219960805</v>
      </c>
      <c r="AB81" s="88">
        <f t="shared" ca="1" si="20"/>
        <v>314878559.62872952</v>
      </c>
    </row>
    <row r="82" spans="2:28">
      <c r="B82" s="87">
        <v>67</v>
      </c>
      <c r="C82" s="88">
        <f t="shared" ca="1" si="28"/>
        <v>0</v>
      </c>
      <c r="D82" s="87">
        <f t="shared" ref="D82:D101" ca="1" si="41">D81+1</f>
        <v>2092</v>
      </c>
      <c r="E82" s="87">
        <f t="shared" ca="1" si="33"/>
        <v>105</v>
      </c>
      <c r="F82" s="87">
        <f t="shared" ca="1" si="34"/>
        <v>104</v>
      </c>
      <c r="G82" s="88">
        <f t="shared" ca="1" si="35"/>
        <v>0</v>
      </c>
      <c r="H82" s="88">
        <f t="shared" ca="1" si="36"/>
        <v>0</v>
      </c>
      <c r="I82" s="88">
        <f t="shared" ca="1" si="37"/>
        <v>0</v>
      </c>
      <c r="J82" s="88">
        <f t="shared" ca="1" si="38"/>
        <v>0</v>
      </c>
      <c r="K82" s="88">
        <f t="shared" ca="1" si="29"/>
        <v>697158.10755618929</v>
      </c>
      <c r="L82" s="88">
        <f t="shared" ca="1" si="39"/>
        <v>271117.04182740697</v>
      </c>
      <c r="M82" s="141">
        <f t="shared" ref="M82:M101" ca="1" si="42">O81</f>
        <v>67428812.026144817</v>
      </c>
      <c r="N82" s="141">
        <f t="shared" ref="N82:N101" ca="1" si="43">(O81+IF((G82+H82+I82+J82-K82-L82)&lt;0,0,(G82+H82+I82+J82-K82-L82)/2))*$D$5</f>
        <v>5259447.3380392957</v>
      </c>
      <c r="O82" s="141">
        <f t="shared" ref="O82:O101" ca="1" si="44">N82+M82+H82+G82+I82+J82-K82-L82</f>
        <v>71719984.214800507</v>
      </c>
      <c r="Q82" s="88"/>
      <c r="S82" s="87">
        <v>67</v>
      </c>
      <c r="T82" s="87">
        <v>2075</v>
      </c>
      <c r="U82" s="87">
        <v>102</v>
      </c>
      <c r="V82" s="87">
        <v>101</v>
      </c>
      <c r="W82" s="88">
        <f t="shared" si="30"/>
        <v>0</v>
      </c>
      <c r="X82" s="88">
        <f t="shared" si="31"/>
        <v>0</v>
      </c>
      <c r="Y82" s="88">
        <f t="shared" si="32"/>
        <v>697158.10755618929</v>
      </c>
      <c r="Z82" s="88">
        <f t="shared" ref="Z82:Z88" ca="1" si="45">AB81</f>
        <v>314878559.62872952</v>
      </c>
      <c r="AA82" s="88">
        <f t="shared" ca="1" si="40"/>
        <v>25190288.810298361</v>
      </c>
      <c r="AB82" s="88">
        <f t="shared" ca="1" si="20"/>
        <v>339371690.33147174</v>
      </c>
    </row>
    <row r="83" spans="2:28">
      <c r="B83" s="87">
        <v>68</v>
      </c>
      <c r="C83" s="88">
        <f t="shared" ca="1" si="28"/>
        <v>0</v>
      </c>
      <c r="D83" s="87">
        <f t="shared" ca="1" si="41"/>
        <v>2093</v>
      </c>
      <c r="E83" s="87">
        <f t="shared" ca="1" si="33"/>
        <v>106</v>
      </c>
      <c r="F83" s="87">
        <f t="shared" ca="1" si="34"/>
        <v>105</v>
      </c>
      <c r="G83" s="88">
        <f t="shared" ca="1" si="35"/>
        <v>0</v>
      </c>
      <c r="H83" s="88">
        <f t="shared" ca="1" si="36"/>
        <v>0</v>
      </c>
      <c r="I83" s="88">
        <f t="shared" ca="1" si="37"/>
        <v>0</v>
      </c>
      <c r="J83" s="88">
        <f t="shared" ca="1" si="38"/>
        <v>0</v>
      </c>
      <c r="K83" s="88">
        <f t="shared" ca="1" si="29"/>
        <v>711101.26970731304</v>
      </c>
      <c r="L83" s="88">
        <f t="shared" ca="1" si="39"/>
        <v>276539.3826639551</v>
      </c>
      <c r="M83" s="141">
        <f t="shared" ca="1" si="42"/>
        <v>71719984.214800507</v>
      </c>
      <c r="N83" s="141">
        <f t="shared" ca="1" si="43"/>
        <v>5594158.7687544394</v>
      </c>
      <c r="O83" s="141">
        <f t="shared" ca="1" si="44"/>
        <v>76326502.331183687</v>
      </c>
      <c r="Q83" s="88"/>
      <c r="S83" s="87">
        <v>68</v>
      </c>
      <c r="T83" s="87">
        <v>2075</v>
      </c>
      <c r="U83" s="87">
        <v>103</v>
      </c>
      <c r="V83" s="87">
        <v>102</v>
      </c>
      <c r="W83" s="88">
        <f t="shared" si="30"/>
        <v>0</v>
      </c>
      <c r="X83" s="88">
        <f t="shared" si="31"/>
        <v>0</v>
      </c>
      <c r="Y83" s="88">
        <f t="shared" si="32"/>
        <v>711101.26970731304</v>
      </c>
      <c r="Z83" s="88">
        <f t="shared" ca="1" si="45"/>
        <v>339371690.33147174</v>
      </c>
      <c r="AA83" s="88">
        <f t="shared" ca="1" si="40"/>
        <v>27149739.306517739</v>
      </c>
      <c r="AB83" s="88">
        <f t="shared" ca="1" si="20"/>
        <v>365810328.36828214</v>
      </c>
    </row>
    <row r="84" spans="2:28">
      <c r="B84" s="87">
        <v>69</v>
      </c>
      <c r="C84" s="88">
        <f t="shared" ca="1" si="28"/>
        <v>0</v>
      </c>
      <c r="D84" s="87">
        <f t="shared" ca="1" si="41"/>
        <v>2094</v>
      </c>
      <c r="E84" s="87">
        <f t="shared" ca="1" si="33"/>
        <v>107</v>
      </c>
      <c r="F84" s="87">
        <f t="shared" ca="1" si="34"/>
        <v>106</v>
      </c>
      <c r="G84" s="88">
        <f t="shared" ca="1" si="35"/>
        <v>0</v>
      </c>
      <c r="H84" s="88">
        <f t="shared" ca="1" si="36"/>
        <v>0</v>
      </c>
      <c r="I84" s="88">
        <f t="shared" ca="1" si="37"/>
        <v>0</v>
      </c>
      <c r="J84" s="88">
        <f t="shared" ca="1" si="38"/>
        <v>0</v>
      </c>
      <c r="K84" s="88">
        <f t="shared" ca="1" si="29"/>
        <v>725323.29510145937</v>
      </c>
      <c r="L84" s="88">
        <f t="shared" ca="1" si="39"/>
        <v>282070.17031723424</v>
      </c>
      <c r="M84" s="141">
        <f t="shared" ca="1" si="42"/>
        <v>76326502.331183687</v>
      </c>
      <c r="N84" s="141">
        <f t="shared" ca="1" si="43"/>
        <v>5953467.1818323275</v>
      </c>
      <c r="O84" s="141">
        <f t="shared" ca="1" si="44"/>
        <v>81272576.047597319</v>
      </c>
      <c r="Q84" s="88"/>
      <c r="S84" s="87">
        <v>69</v>
      </c>
      <c r="T84" s="87">
        <v>2075</v>
      </c>
      <c r="U84" s="87">
        <v>104</v>
      </c>
      <c r="V84" s="87">
        <v>103</v>
      </c>
      <c r="W84" s="88">
        <f t="shared" si="30"/>
        <v>0</v>
      </c>
      <c r="X84" s="88">
        <f t="shared" si="31"/>
        <v>0</v>
      </c>
      <c r="Y84" s="88">
        <f t="shared" si="32"/>
        <v>725323.29510145937</v>
      </c>
      <c r="Z84" s="88">
        <f t="shared" ca="1" si="45"/>
        <v>365810328.36828214</v>
      </c>
      <c r="AA84" s="88">
        <f t="shared" ca="1" si="40"/>
        <v>29264830.389462572</v>
      </c>
      <c r="AB84" s="88">
        <f t="shared" ca="1" si="20"/>
        <v>394349835.46264327</v>
      </c>
    </row>
    <row r="85" spans="2:28">
      <c r="B85" s="87">
        <v>70</v>
      </c>
      <c r="C85" s="88">
        <f t="shared" ca="1" si="28"/>
        <v>0</v>
      </c>
      <c r="D85" s="87">
        <f t="shared" ca="1" si="41"/>
        <v>2095</v>
      </c>
      <c r="E85" s="87">
        <f t="shared" ca="1" si="33"/>
        <v>108</v>
      </c>
      <c r="F85" s="87">
        <f t="shared" ca="1" si="34"/>
        <v>107</v>
      </c>
      <c r="G85" s="88">
        <f t="shared" ca="1" si="35"/>
        <v>0</v>
      </c>
      <c r="H85" s="88">
        <f t="shared" ca="1" si="36"/>
        <v>0</v>
      </c>
      <c r="I85" s="88">
        <f t="shared" ca="1" si="37"/>
        <v>0</v>
      </c>
      <c r="J85" s="88">
        <f t="shared" ca="1" si="38"/>
        <v>0</v>
      </c>
      <c r="K85" s="88">
        <f t="shared" ca="1" si="29"/>
        <v>739829.76100348856</v>
      </c>
      <c r="L85" s="88">
        <f t="shared" ca="1" si="39"/>
        <v>287711.57372357894</v>
      </c>
      <c r="M85" s="141">
        <f t="shared" ca="1" si="42"/>
        <v>81272576.047597319</v>
      </c>
      <c r="N85" s="141">
        <f t="shared" ca="1" si="43"/>
        <v>6339260.9317125911</v>
      </c>
      <c r="O85" s="141">
        <f t="shared" ca="1" si="44"/>
        <v>86584295.644582838</v>
      </c>
      <c r="Q85" s="88"/>
      <c r="S85" s="87">
        <v>70</v>
      </c>
      <c r="T85" s="87">
        <v>2075</v>
      </c>
      <c r="U85" s="87">
        <v>105</v>
      </c>
      <c r="V85" s="87">
        <v>104</v>
      </c>
      <c r="W85" s="88">
        <f t="shared" si="30"/>
        <v>0</v>
      </c>
      <c r="X85" s="88">
        <f t="shared" si="31"/>
        <v>0</v>
      </c>
      <c r="Y85" s="88">
        <f t="shared" si="32"/>
        <v>739829.76100348856</v>
      </c>
      <c r="Z85" s="88">
        <f t="shared" ca="1" si="45"/>
        <v>394349835.46264327</v>
      </c>
      <c r="AA85" s="88">
        <f t="shared" ca="1" si="40"/>
        <v>31547990.99701146</v>
      </c>
      <c r="AB85" s="88">
        <f t="shared" ca="1" si="20"/>
        <v>425157996.69865125</v>
      </c>
    </row>
    <row r="86" spans="2:28">
      <c r="B86" s="87">
        <v>71</v>
      </c>
      <c r="C86" s="88">
        <f t="shared" ca="1" si="28"/>
        <v>0</v>
      </c>
      <c r="D86" s="87">
        <f t="shared" ca="1" si="41"/>
        <v>2096</v>
      </c>
      <c r="E86" s="87">
        <f t="shared" ca="1" si="33"/>
        <v>109</v>
      </c>
      <c r="F86" s="87">
        <f t="shared" ca="1" si="34"/>
        <v>108</v>
      </c>
      <c r="G86" s="88">
        <f t="shared" ca="1" si="35"/>
        <v>0</v>
      </c>
      <c r="H86" s="88">
        <f t="shared" ca="1" si="36"/>
        <v>0</v>
      </c>
      <c r="I86" s="88">
        <f t="shared" ca="1" si="37"/>
        <v>0</v>
      </c>
      <c r="J86" s="88">
        <f t="shared" ca="1" si="38"/>
        <v>0</v>
      </c>
      <c r="K86" s="88">
        <f t="shared" ca="1" si="29"/>
        <v>754626.35622355831</v>
      </c>
      <c r="L86" s="88">
        <f t="shared" ca="1" si="39"/>
        <v>293465.80519805045</v>
      </c>
      <c r="M86" s="141">
        <f t="shared" ca="1" si="42"/>
        <v>86584295.644582838</v>
      </c>
      <c r="N86" s="141">
        <f t="shared" ca="1" si="43"/>
        <v>6753575.0602774611</v>
      </c>
      <c r="O86" s="141">
        <f t="shared" ca="1" si="44"/>
        <v>92289778.543438703</v>
      </c>
      <c r="Q86" s="88"/>
      <c r="S86" s="87">
        <v>71</v>
      </c>
      <c r="T86" s="87">
        <v>2075</v>
      </c>
      <c r="U86" s="87">
        <v>106</v>
      </c>
      <c r="V86" s="87">
        <v>105</v>
      </c>
      <c r="W86" s="88">
        <f t="shared" si="30"/>
        <v>0</v>
      </c>
      <c r="X86" s="88">
        <f t="shared" si="31"/>
        <v>0</v>
      </c>
      <c r="Y86" s="88">
        <f t="shared" si="32"/>
        <v>754626.35622355831</v>
      </c>
      <c r="Z86" s="88">
        <f t="shared" ca="1" si="45"/>
        <v>425157996.69865125</v>
      </c>
      <c r="AA86" s="88">
        <f t="shared" ca="1" si="40"/>
        <v>34012643.935892105</v>
      </c>
      <c r="AB86" s="88">
        <f t="shared" ca="1" si="20"/>
        <v>458416014.27831978</v>
      </c>
    </row>
    <row r="87" spans="2:28">
      <c r="B87" s="87">
        <v>72</v>
      </c>
      <c r="C87" s="88">
        <f t="shared" ca="1" si="28"/>
        <v>0</v>
      </c>
      <c r="D87" s="87">
        <f t="shared" ca="1" si="41"/>
        <v>2097</v>
      </c>
      <c r="E87" s="87">
        <f t="shared" ca="1" si="33"/>
        <v>110</v>
      </c>
      <c r="F87" s="87">
        <f t="shared" ca="1" si="34"/>
        <v>109</v>
      </c>
      <c r="G87" s="88">
        <f t="shared" ca="1" si="35"/>
        <v>0</v>
      </c>
      <c r="H87" s="88">
        <f t="shared" ca="1" si="36"/>
        <v>0</v>
      </c>
      <c r="I87" s="88">
        <f t="shared" ca="1" si="37"/>
        <v>0</v>
      </c>
      <c r="J87" s="88">
        <f t="shared" ca="1" si="38"/>
        <v>0</v>
      </c>
      <c r="K87" s="88">
        <f t="shared" ca="1" si="29"/>
        <v>769718.88334802946</v>
      </c>
      <c r="L87" s="88">
        <f t="shared" ca="1" si="39"/>
        <v>299335.12130201154</v>
      </c>
      <c r="M87" s="141">
        <f t="shared" ca="1" si="42"/>
        <v>92289778.543438703</v>
      </c>
      <c r="N87" s="141">
        <f t="shared" ca="1" si="43"/>
        <v>7198602.7263882188</v>
      </c>
      <c r="O87" s="141">
        <f t="shared" ca="1" si="44"/>
        <v>98419327.265176877</v>
      </c>
      <c r="Q87" s="88"/>
      <c r="S87" s="87">
        <v>72</v>
      </c>
      <c r="T87" s="87">
        <v>2075</v>
      </c>
      <c r="U87" s="87">
        <v>107</v>
      </c>
      <c r="V87" s="87">
        <v>106</v>
      </c>
      <c r="W87" s="88">
        <f t="shared" si="30"/>
        <v>0</v>
      </c>
      <c r="X87" s="88">
        <f t="shared" si="31"/>
        <v>0</v>
      </c>
      <c r="Y87" s="88">
        <f t="shared" si="32"/>
        <v>769718.88334802946</v>
      </c>
      <c r="Z87" s="88">
        <f t="shared" ca="1" si="45"/>
        <v>458416014.27831978</v>
      </c>
      <c r="AA87" s="88">
        <f t="shared" ca="1" si="40"/>
        <v>36673285.382265583</v>
      </c>
      <c r="AB87" s="88">
        <f t="shared" ca="1" si="20"/>
        <v>494319580.7772373</v>
      </c>
    </row>
    <row r="88" spans="2:28">
      <c r="B88" s="87">
        <v>73</v>
      </c>
      <c r="C88" s="88">
        <f t="shared" ca="1" si="28"/>
        <v>0</v>
      </c>
      <c r="D88" s="87">
        <f t="shared" ca="1" si="41"/>
        <v>2098</v>
      </c>
      <c r="E88" s="87">
        <f t="shared" ca="1" si="33"/>
        <v>111</v>
      </c>
      <c r="F88" s="87">
        <f t="shared" ca="1" si="34"/>
        <v>110</v>
      </c>
      <c r="G88" s="88">
        <f t="shared" ca="1" si="35"/>
        <v>0</v>
      </c>
      <c r="H88" s="88">
        <f t="shared" ca="1" si="36"/>
        <v>0</v>
      </c>
      <c r="I88" s="88">
        <f t="shared" ca="1" si="37"/>
        <v>0</v>
      </c>
      <c r="J88" s="88">
        <f t="shared" ca="1" si="38"/>
        <v>0</v>
      </c>
      <c r="K88" s="88">
        <f t="shared" ca="1" si="29"/>
        <v>785113.26101499004</v>
      </c>
      <c r="L88" s="88">
        <f t="shared" ca="1" si="39"/>
        <v>305321.82372805174</v>
      </c>
      <c r="M88" s="141">
        <f t="shared" ca="1" si="42"/>
        <v>98419327.265176877</v>
      </c>
      <c r="N88" s="141">
        <f t="shared" ca="1" si="43"/>
        <v>7676707.5266837962</v>
      </c>
      <c r="O88" s="141">
        <f t="shared" ca="1" si="44"/>
        <v>105005599.70711763</v>
      </c>
      <c r="Q88" s="88"/>
      <c r="S88" s="87">
        <v>73</v>
      </c>
      <c r="T88" s="87">
        <v>2075</v>
      </c>
      <c r="U88" s="87">
        <v>108</v>
      </c>
      <c r="V88" s="87">
        <v>107</v>
      </c>
      <c r="W88" s="88">
        <f t="shared" si="30"/>
        <v>0</v>
      </c>
      <c r="X88" s="88">
        <f t="shared" si="31"/>
        <v>0</v>
      </c>
      <c r="Y88" s="88">
        <f t="shared" si="32"/>
        <v>785113.26101499004</v>
      </c>
      <c r="Z88" s="88">
        <f t="shared" ca="1" si="45"/>
        <v>494319580.7772373</v>
      </c>
      <c r="AA88" s="88">
        <f t="shared" ca="1" si="40"/>
        <v>39545570.742178984</v>
      </c>
      <c r="AB88" s="88">
        <f t="shared" ca="1" si="20"/>
        <v>533080038.25840127</v>
      </c>
    </row>
    <row r="89" spans="2:28">
      <c r="B89" s="87">
        <v>74</v>
      </c>
      <c r="C89" s="88">
        <f t="shared" ca="1" si="28"/>
        <v>0</v>
      </c>
      <c r="D89" s="87">
        <f t="shared" ca="1" si="41"/>
        <v>2099</v>
      </c>
      <c r="E89" s="87">
        <f t="shared" ca="1" si="33"/>
        <v>112</v>
      </c>
      <c r="F89" s="87">
        <f t="shared" ca="1" si="34"/>
        <v>111</v>
      </c>
      <c r="G89" s="88">
        <f t="shared" ca="1" si="35"/>
        <v>0</v>
      </c>
      <c r="H89" s="88">
        <f t="shared" ca="1" si="36"/>
        <v>0</v>
      </c>
      <c r="I89" s="88">
        <f t="shared" ca="1" si="37"/>
        <v>0</v>
      </c>
      <c r="J89" s="88">
        <f t="shared" ca="1" si="38"/>
        <v>0</v>
      </c>
      <c r="K89" s="88">
        <f t="shared" ca="1" si="29"/>
        <v>800815.52623528987</v>
      </c>
      <c r="L89" s="88">
        <f t="shared" ca="1" si="39"/>
        <v>311428.26020261273</v>
      </c>
      <c r="M89" s="141">
        <f t="shared" ca="1" si="42"/>
        <v>105005599.70711763</v>
      </c>
      <c r="N89" s="141">
        <f t="shared" ca="1" si="43"/>
        <v>8190436.7771551749</v>
      </c>
      <c r="O89" s="141">
        <f t="shared" ca="1" si="44"/>
        <v>112083792.69783491</v>
      </c>
      <c r="Q89" s="88"/>
      <c r="S89" s="87"/>
    </row>
    <row r="90" spans="2:28">
      <c r="B90" s="87">
        <v>75</v>
      </c>
      <c r="C90" s="88">
        <f t="shared" ca="1" si="28"/>
        <v>0</v>
      </c>
      <c r="D90" s="87">
        <f t="shared" ca="1" si="41"/>
        <v>2100</v>
      </c>
      <c r="E90" s="87">
        <f t="shared" ca="1" si="33"/>
        <v>113</v>
      </c>
      <c r="F90" s="87">
        <f t="shared" ca="1" si="34"/>
        <v>112</v>
      </c>
      <c r="G90" s="88">
        <f t="shared" ca="1" si="35"/>
        <v>0</v>
      </c>
      <c r="H90" s="88">
        <f t="shared" ca="1" si="36"/>
        <v>0</v>
      </c>
      <c r="I90" s="88">
        <f t="shared" ca="1" si="37"/>
        <v>0</v>
      </c>
      <c r="J90" s="88">
        <f t="shared" ca="1" si="38"/>
        <v>0</v>
      </c>
      <c r="K90" s="88">
        <f t="shared" ca="1" si="29"/>
        <v>816831.83675999555</v>
      </c>
      <c r="L90" s="88">
        <f t="shared" ca="1" si="39"/>
        <v>317656.82540666487</v>
      </c>
      <c r="M90" s="141">
        <f t="shared" ca="1" si="42"/>
        <v>112083792.69783491</v>
      </c>
      <c r="N90" s="141">
        <f t="shared" ca="1" si="43"/>
        <v>8742535.8304311223</v>
      </c>
      <c r="O90" s="141">
        <f t="shared" ca="1" si="44"/>
        <v>119691839.86609936</v>
      </c>
      <c r="Q90" s="88"/>
    </row>
    <row r="91" spans="2:28">
      <c r="B91" s="87">
        <v>76</v>
      </c>
      <c r="C91" s="88">
        <f t="shared" ca="1" si="28"/>
        <v>0</v>
      </c>
      <c r="D91" s="87">
        <f t="shared" ca="1" si="41"/>
        <v>2101</v>
      </c>
      <c r="E91" s="87">
        <f t="shared" ca="1" si="33"/>
        <v>114</v>
      </c>
      <c r="F91" s="87">
        <f t="shared" ca="1" si="34"/>
        <v>113</v>
      </c>
      <c r="G91" s="88">
        <f t="shared" ca="1" si="35"/>
        <v>0</v>
      </c>
      <c r="H91" s="88">
        <f t="shared" ca="1" si="36"/>
        <v>0</v>
      </c>
      <c r="I91" s="88">
        <f t="shared" ca="1" si="37"/>
        <v>0</v>
      </c>
      <c r="J91" s="88">
        <f t="shared" ca="1" si="38"/>
        <v>0</v>
      </c>
      <c r="K91" s="88">
        <f t="shared" ca="1" si="29"/>
        <v>833168.47349519562</v>
      </c>
      <c r="L91" s="88">
        <f t="shared" ca="1" si="39"/>
        <v>324009.96191479824</v>
      </c>
      <c r="M91" s="141">
        <f t="shared" ca="1" si="42"/>
        <v>119691839.86609936</v>
      </c>
      <c r="N91" s="141">
        <f t="shared" ca="1" si="43"/>
        <v>9335963.5095557496</v>
      </c>
      <c r="O91" s="141">
        <f t="shared" ca="1" si="44"/>
        <v>127870624.94024512</v>
      </c>
      <c r="Q91" s="88"/>
    </row>
    <row r="92" spans="2:28">
      <c r="B92" s="87">
        <v>77</v>
      </c>
      <c r="C92" s="88">
        <f t="shared" ca="1" si="28"/>
        <v>0</v>
      </c>
      <c r="D92" s="87">
        <f t="shared" ca="1" si="41"/>
        <v>2102</v>
      </c>
      <c r="E92" s="87">
        <f t="shared" ca="1" si="33"/>
        <v>115</v>
      </c>
      <c r="F92" s="87">
        <f t="shared" ca="1" si="34"/>
        <v>114</v>
      </c>
      <c r="G92" s="88">
        <f t="shared" ca="1" si="35"/>
        <v>0</v>
      </c>
      <c r="H92" s="88">
        <f t="shared" ca="1" si="36"/>
        <v>0</v>
      </c>
      <c r="I92" s="88">
        <f t="shared" ca="1" si="37"/>
        <v>0</v>
      </c>
      <c r="J92" s="88">
        <f t="shared" ca="1" si="38"/>
        <v>0</v>
      </c>
      <c r="K92" s="88">
        <f t="shared" ca="1" si="29"/>
        <v>849831.84296509949</v>
      </c>
      <c r="L92" s="88">
        <f t="shared" ca="1" si="39"/>
        <v>330490.16115309438</v>
      </c>
      <c r="M92" s="141">
        <f t="shared" ca="1" si="42"/>
        <v>127870624.94024512</v>
      </c>
      <c r="N92" s="141">
        <f t="shared" ca="1" si="43"/>
        <v>9973908.7453391198</v>
      </c>
      <c r="O92" s="141">
        <f t="shared" ca="1" si="44"/>
        <v>136664211.68146604</v>
      </c>
      <c r="Q92" s="88"/>
    </row>
    <row r="93" spans="2:28">
      <c r="B93" s="87">
        <v>78</v>
      </c>
      <c r="C93" s="88">
        <f t="shared" ca="1" si="28"/>
        <v>0</v>
      </c>
      <c r="D93" s="87">
        <f t="shared" ca="1" si="41"/>
        <v>2103</v>
      </c>
      <c r="E93" s="87">
        <f t="shared" ca="1" si="33"/>
        <v>116</v>
      </c>
      <c r="F93" s="87">
        <f t="shared" ca="1" si="34"/>
        <v>115</v>
      </c>
      <c r="G93" s="88">
        <f t="shared" ca="1" si="35"/>
        <v>0</v>
      </c>
      <c r="H93" s="88">
        <f t="shared" ca="1" si="36"/>
        <v>0</v>
      </c>
      <c r="I93" s="88">
        <f t="shared" ca="1" si="37"/>
        <v>0</v>
      </c>
      <c r="J93" s="88">
        <f t="shared" ca="1" si="38"/>
        <v>0</v>
      </c>
      <c r="K93" s="88">
        <f t="shared" ca="1" si="29"/>
        <v>866828.47982440155</v>
      </c>
      <c r="L93" s="88">
        <f t="shared" ca="1" si="39"/>
        <v>337099.9643761561</v>
      </c>
      <c r="M93" s="141">
        <f t="shared" ca="1" si="42"/>
        <v>136664211.68146604</v>
      </c>
      <c r="N93" s="141">
        <f t="shared" ca="1" si="43"/>
        <v>10659808.511154352</v>
      </c>
      <c r="O93" s="141">
        <f t="shared" ca="1" si="44"/>
        <v>146120091.74841985</v>
      </c>
      <c r="Q93" s="88"/>
    </row>
    <row r="94" spans="2:28">
      <c r="B94" s="87">
        <v>79</v>
      </c>
      <c r="C94" s="88">
        <f t="shared" ca="1" si="28"/>
        <v>0</v>
      </c>
      <c r="D94" s="87">
        <f t="shared" ca="1" si="41"/>
        <v>2104</v>
      </c>
      <c r="E94" s="87">
        <f t="shared" ca="1" si="33"/>
        <v>117</v>
      </c>
      <c r="F94" s="87">
        <f t="shared" ca="1" si="34"/>
        <v>116</v>
      </c>
      <c r="G94" s="88">
        <f t="shared" ca="1" si="35"/>
        <v>0</v>
      </c>
      <c r="H94" s="88">
        <f t="shared" ca="1" si="36"/>
        <v>0</v>
      </c>
      <c r="I94" s="88">
        <f t="shared" ca="1" si="37"/>
        <v>0</v>
      </c>
      <c r="J94" s="88">
        <f t="shared" ca="1" si="38"/>
        <v>0</v>
      </c>
      <c r="K94" s="88">
        <f t="shared" ca="1" si="29"/>
        <v>884165.04942088935</v>
      </c>
      <c r="L94" s="88">
        <f t="shared" ca="1" si="39"/>
        <v>343841.9636636792</v>
      </c>
      <c r="M94" s="141">
        <f t="shared" ca="1" si="42"/>
        <v>146120091.74841985</v>
      </c>
      <c r="N94" s="141">
        <f t="shared" ca="1" si="43"/>
        <v>11397367.156376749</v>
      </c>
      <c r="O94" s="141">
        <f t="shared" ca="1" si="44"/>
        <v>156289451.89171204</v>
      </c>
      <c r="Q94" s="88"/>
    </row>
    <row r="95" spans="2:28">
      <c r="B95" s="87">
        <v>80</v>
      </c>
      <c r="C95" s="88">
        <f t="shared" ca="1" si="28"/>
        <v>0</v>
      </c>
      <c r="D95" s="87">
        <f t="shared" ca="1" si="41"/>
        <v>2105</v>
      </c>
      <c r="E95" s="87">
        <f t="shared" ca="1" si="33"/>
        <v>118</v>
      </c>
      <c r="F95" s="87">
        <f t="shared" ca="1" si="34"/>
        <v>117</v>
      </c>
      <c r="G95" s="88">
        <f t="shared" ca="1" si="35"/>
        <v>0</v>
      </c>
      <c r="H95" s="88">
        <f t="shared" ca="1" si="36"/>
        <v>0</v>
      </c>
      <c r="I95" s="88">
        <f t="shared" ca="1" si="37"/>
        <v>0</v>
      </c>
      <c r="J95" s="88">
        <f t="shared" ca="1" si="38"/>
        <v>0</v>
      </c>
      <c r="K95" s="88">
        <f t="shared" ca="1" si="29"/>
        <v>901848.35040930728</v>
      </c>
      <c r="L95" s="88">
        <f t="shared" ca="1" si="39"/>
        <v>350718.80293695279</v>
      </c>
      <c r="M95" s="141">
        <f t="shared" ca="1" si="42"/>
        <v>156289451.89171204</v>
      </c>
      <c r="N95" s="141">
        <f t="shared" ca="1" si="43"/>
        <v>12190577.247553539</v>
      </c>
      <c r="O95" s="141">
        <f t="shared" ca="1" si="44"/>
        <v>167227461.98591933</v>
      </c>
      <c r="Q95" s="88"/>
    </row>
    <row r="96" spans="2:28">
      <c r="B96" s="87">
        <v>81</v>
      </c>
      <c r="C96" s="88">
        <f t="shared" ca="1" si="28"/>
        <v>0</v>
      </c>
      <c r="D96" s="87">
        <f t="shared" ca="1" si="41"/>
        <v>2106</v>
      </c>
      <c r="E96" s="87">
        <f t="shared" ca="1" si="33"/>
        <v>119</v>
      </c>
      <c r="F96" s="87">
        <f t="shared" ca="1" si="34"/>
        <v>118</v>
      </c>
      <c r="G96" s="88">
        <f t="shared" ca="1" si="35"/>
        <v>0</v>
      </c>
      <c r="H96" s="88">
        <f t="shared" ca="1" si="36"/>
        <v>0</v>
      </c>
      <c r="I96" s="88">
        <f t="shared" ca="1" si="37"/>
        <v>0</v>
      </c>
      <c r="J96" s="88">
        <f t="shared" ca="1" si="38"/>
        <v>0</v>
      </c>
      <c r="K96" s="88">
        <f t="shared" ca="1" si="29"/>
        <v>919885.31741749332</v>
      </c>
      <c r="L96" s="88">
        <f t="shared" ca="1" si="39"/>
        <v>357733.17899569194</v>
      </c>
      <c r="M96" s="141">
        <f t="shared" ca="1" si="42"/>
        <v>167227461.98591933</v>
      </c>
      <c r="N96" s="141">
        <f t="shared" ca="1" si="43"/>
        <v>13043742.034901708</v>
      </c>
      <c r="O96" s="141">
        <f t="shared" ca="1" si="44"/>
        <v>178993585.52440783</v>
      </c>
      <c r="Q96" s="88"/>
    </row>
    <row r="97" spans="2:17">
      <c r="B97" s="87">
        <v>82</v>
      </c>
      <c r="C97" s="88">
        <f t="shared" ca="1" si="28"/>
        <v>0</v>
      </c>
      <c r="D97" s="87">
        <f t="shared" ca="1" si="41"/>
        <v>2107</v>
      </c>
      <c r="E97" s="87">
        <f t="shared" ca="1" si="33"/>
        <v>120</v>
      </c>
      <c r="F97" s="87">
        <f t="shared" ca="1" si="34"/>
        <v>119</v>
      </c>
      <c r="G97" s="88">
        <f t="shared" ca="1" si="35"/>
        <v>0</v>
      </c>
      <c r="H97" s="88">
        <f t="shared" ca="1" si="36"/>
        <v>0</v>
      </c>
      <c r="I97" s="88">
        <f t="shared" ca="1" si="37"/>
        <v>0</v>
      </c>
      <c r="J97" s="88">
        <f t="shared" ca="1" si="38"/>
        <v>0</v>
      </c>
      <c r="K97" s="88">
        <f t="shared" ca="1" si="29"/>
        <v>938283.02376584313</v>
      </c>
      <c r="L97" s="88">
        <f t="shared" ca="1" si="39"/>
        <v>364887.84257560573</v>
      </c>
      <c r="M97" s="141">
        <f t="shared" ca="1" si="42"/>
        <v>178993585.52440783</v>
      </c>
      <c r="N97" s="141">
        <f t="shared" ca="1" si="43"/>
        <v>13961499.670903811</v>
      </c>
      <c r="O97" s="141">
        <f t="shared" ca="1" si="44"/>
        <v>191651914.32897019</v>
      </c>
      <c r="Q97" s="88"/>
    </row>
    <row r="98" spans="2:17">
      <c r="B98" s="87">
        <v>83</v>
      </c>
      <c r="C98" s="88">
        <f t="shared" ca="1" si="28"/>
        <v>0</v>
      </c>
      <c r="D98" s="87">
        <f t="shared" ca="1" si="41"/>
        <v>2108</v>
      </c>
      <c r="E98" s="87">
        <f t="shared" ca="1" si="33"/>
        <v>121</v>
      </c>
      <c r="F98" s="87">
        <f t="shared" ca="1" si="34"/>
        <v>120</v>
      </c>
      <c r="G98" s="88">
        <f t="shared" ca="1" si="35"/>
        <v>0</v>
      </c>
      <c r="H98" s="88">
        <f t="shared" ca="1" si="36"/>
        <v>0</v>
      </c>
      <c r="I98" s="88">
        <f t="shared" ca="1" si="37"/>
        <v>0</v>
      </c>
      <c r="J98" s="88">
        <f t="shared" ca="1" si="38"/>
        <v>0</v>
      </c>
      <c r="K98" s="88">
        <f t="shared" ca="1" si="29"/>
        <v>957048.68424116005</v>
      </c>
      <c r="L98" s="88">
        <f t="shared" ca="1" si="39"/>
        <v>372185.59942711773</v>
      </c>
      <c r="M98" s="141">
        <f t="shared" ca="1" si="42"/>
        <v>191651914.32897019</v>
      </c>
      <c r="N98" s="141">
        <f t="shared" ca="1" si="43"/>
        <v>14948849.317659674</v>
      </c>
      <c r="O98" s="141">
        <f t="shared" ca="1" si="44"/>
        <v>205271529.36296162</v>
      </c>
      <c r="Q98" s="88"/>
    </row>
    <row r="99" spans="2:17">
      <c r="B99" s="87">
        <v>84</v>
      </c>
      <c r="C99" s="88">
        <f t="shared" ca="1" si="28"/>
        <v>0</v>
      </c>
      <c r="D99" s="87">
        <f t="shared" ca="1" si="41"/>
        <v>2109</v>
      </c>
      <c r="E99" s="87">
        <f t="shared" ca="1" si="33"/>
        <v>122</v>
      </c>
      <c r="F99" s="87">
        <f t="shared" ca="1" si="34"/>
        <v>121</v>
      </c>
      <c r="G99" s="88">
        <f t="shared" ca="1" si="35"/>
        <v>0</v>
      </c>
      <c r="H99" s="88">
        <f t="shared" ca="1" si="36"/>
        <v>0</v>
      </c>
      <c r="I99" s="88">
        <f t="shared" ca="1" si="37"/>
        <v>0</v>
      </c>
      <c r="J99" s="88">
        <f t="shared" ca="1" si="38"/>
        <v>0</v>
      </c>
      <c r="K99" s="88">
        <f t="shared" ca="1" si="29"/>
        <v>976189.65792598331</v>
      </c>
      <c r="L99" s="88">
        <f t="shared" ca="1" si="39"/>
        <v>379629.31141566031</v>
      </c>
      <c r="M99" s="141">
        <f t="shared" ca="1" si="42"/>
        <v>205271529.36296162</v>
      </c>
      <c r="N99" s="141">
        <f t="shared" ca="1" si="43"/>
        <v>16011179.290311007</v>
      </c>
      <c r="O99" s="141">
        <f t="shared" ca="1" si="44"/>
        <v>219926889.68393096</v>
      </c>
      <c r="Q99" s="88"/>
    </row>
    <row r="100" spans="2:17">
      <c r="B100" s="87">
        <v>85</v>
      </c>
      <c r="C100" s="88">
        <f t="shared" ca="1" si="28"/>
        <v>0</v>
      </c>
      <c r="D100" s="87">
        <f t="shared" ca="1" si="41"/>
        <v>2110</v>
      </c>
      <c r="E100" s="87">
        <f t="shared" ca="1" si="33"/>
        <v>123</v>
      </c>
      <c r="F100" s="87">
        <f t="shared" ca="1" si="34"/>
        <v>122</v>
      </c>
      <c r="G100" s="88">
        <f t="shared" ca="1" si="35"/>
        <v>0</v>
      </c>
      <c r="H100" s="88">
        <f t="shared" ca="1" si="36"/>
        <v>0</v>
      </c>
      <c r="I100" s="88">
        <f t="shared" ca="1" si="37"/>
        <v>0</v>
      </c>
      <c r="J100" s="88">
        <f t="shared" ca="1" si="38"/>
        <v>0</v>
      </c>
      <c r="K100" s="88">
        <f t="shared" ca="1" si="29"/>
        <v>995713.45108450297</v>
      </c>
      <c r="L100" s="88">
        <f t="shared" ca="1" si="39"/>
        <v>387221.89764397335</v>
      </c>
      <c r="M100" s="141">
        <f t="shared" ca="1" si="42"/>
        <v>219926889.68393096</v>
      </c>
      <c r="N100" s="141">
        <f t="shared" ca="1" si="43"/>
        <v>17154297.395346615</v>
      </c>
      <c r="O100" s="141">
        <f t="shared" ca="1" si="44"/>
        <v>235698251.7305491</v>
      </c>
      <c r="Q100" s="88"/>
    </row>
    <row r="101" spans="2:17">
      <c r="B101" s="87">
        <v>86</v>
      </c>
      <c r="C101" s="88">
        <f t="shared" ca="1" si="28"/>
        <v>0</v>
      </c>
      <c r="D101" s="87">
        <f t="shared" ca="1" si="41"/>
        <v>2111</v>
      </c>
      <c r="E101" s="87">
        <f t="shared" ca="1" si="33"/>
        <v>124</v>
      </c>
      <c r="F101" s="87">
        <f t="shared" ca="1" si="34"/>
        <v>123</v>
      </c>
      <c r="G101" s="88">
        <f t="shared" ca="1" si="35"/>
        <v>0</v>
      </c>
      <c r="H101" s="88">
        <f t="shared" ca="1" si="36"/>
        <v>0</v>
      </c>
      <c r="I101" s="88">
        <f t="shared" ca="1" si="37"/>
        <v>0</v>
      </c>
      <c r="J101" s="88">
        <f t="shared" ca="1" si="38"/>
        <v>0</v>
      </c>
      <c r="K101" s="88">
        <f t="shared" ca="1" si="29"/>
        <v>1015627.7201061931</v>
      </c>
      <c r="L101" s="88">
        <f t="shared" ca="1" si="39"/>
        <v>394966.33559685294</v>
      </c>
      <c r="M101" s="141">
        <f t="shared" ca="1" si="42"/>
        <v>235698251.7305491</v>
      </c>
      <c r="N101" s="141">
        <f t="shared" ca="1" si="43"/>
        <v>18384463.634982828</v>
      </c>
      <c r="O101" s="141">
        <f t="shared" ca="1" si="44"/>
        <v>252672121.30982888</v>
      </c>
      <c r="Q101" s="88"/>
    </row>
    <row r="102" spans="2:17">
      <c r="K102" s="88"/>
    </row>
  </sheetData>
  <hyperlinks>
    <hyperlink ref="J4" r:id="rId1" xr:uid="{BBF6B45A-5B8E-46CB-909E-3F1117FEBF02}"/>
    <hyperlink ref="J5" r:id="rId2" xr:uid="{3426A947-F1F9-4D19-BDE1-132D72539DFE}"/>
    <hyperlink ref="F7" r:id="rId3" xr:uid="{9447FF67-F3AF-497C-A30C-54507DAE005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9D40-A34D-4ECB-B65D-DD30CF5215D2}">
  <dimension ref="A1:AI183"/>
  <sheetViews>
    <sheetView topLeftCell="H79" workbookViewId="0">
      <selection activeCell="M90" sqref="M90"/>
    </sheetView>
  </sheetViews>
  <sheetFormatPr defaultRowHeight="15"/>
  <cols>
    <col min="1" max="1" width="86.28515625" customWidth="1"/>
    <col min="2" max="2" width="14" customWidth="1"/>
    <col min="4" max="4" width="11.5703125" customWidth="1"/>
    <col min="5" max="5" width="10.28515625" customWidth="1"/>
    <col min="6" max="6" width="12.7109375" customWidth="1"/>
    <col min="10" max="10" width="25.140625" customWidth="1"/>
    <col min="13" max="13" width="14.28515625" customWidth="1"/>
    <col min="14" max="14" width="19.85546875" customWidth="1"/>
    <col min="15" max="15" width="13.5703125" customWidth="1"/>
    <col min="16" max="17" width="14.28515625" customWidth="1"/>
    <col min="18" max="18" width="13" customWidth="1"/>
    <col min="19" max="19" width="12.85546875" customWidth="1"/>
    <col min="20" max="20" width="15.5703125" customWidth="1"/>
    <col min="21" max="24" width="13.42578125" customWidth="1"/>
    <col min="27" max="27" width="25.140625" customWidth="1"/>
    <col min="30" max="30" width="14.28515625" customWidth="1"/>
    <col min="31" max="31" width="14.85546875" customWidth="1"/>
    <col min="32" max="32" width="13" customWidth="1"/>
    <col min="33" max="33" width="12.85546875" customWidth="1"/>
    <col min="34" max="34" width="12.140625" customWidth="1"/>
    <col min="35" max="35" width="13.42578125" customWidth="1"/>
  </cols>
  <sheetData>
    <row r="1" spans="1:7">
      <c r="A1" s="79" t="s">
        <v>7375</v>
      </c>
    </row>
    <row r="2" spans="1:7">
      <c r="G2" t="s">
        <v>7376</v>
      </c>
    </row>
    <row r="3" spans="1:7">
      <c r="A3" t="s">
        <v>7377</v>
      </c>
      <c r="G3" t="s">
        <v>7378</v>
      </c>
    </row>
    <row r="4" spans="1:7">
      <c r="A4" t="s">
        <v>7379</v>
      </c>
      <c r="G4" t="s">
        <v>7380</v>
      </c>
    </row>
    <row r="5" spans="1:7">
      <c r="A5" t="s">
        <v>7381</v>
      </c>
      <c r="G5" t="s">
        <v>7382</v>
      </c>
    </row>
    <row r="6" spans="1:7">
      <c r="A6" t="s">
        <v>7383</v>
      </c>
      <c r="G6" t="s">
        <v>7384</v>
      </c>
    </row>
    <row r="7" spans="1:7">
      <c r="A7" t="s">
        <v>7385</v>
      </c>
      <c r="G7" t="s">
        <v>7386</v>
      </c>
    </row>
    <row r="8" spans="1:7">
      <c r="G8" t="s">
        <v>7387</v>
      </c>
    </row>
    <row r="9" spans="1:7">
      <c r="A9" s="79" t="s">
        <v>7388</v>
      </c>
      <c r="G9" t="s">
        <v>7389</v>
      </c>
    </row>
    <row r="10" spans="1:7">
      <c r="A10" t="s">
        <v>7390</v>
      </c>
      <c r="G10" t="s">
        <v>7391</v>
      </c>
    </row>
    <row r="11" spans="1:7">
      <c r="A11" t="s">
        <v>7392</v>
      </c>
      <c r="G11" t="s">
        <v>7393</v>
      </c>
    </row>
    <row r="12" spans="1:7">
      <c r="A12" t="s">
        <v>7394</v>
      </c>
      <c r="G12" t="s">
        <v>7395</v>
      </c>
    </row>
    <row r="13" spans="1:7">
      <c r="A13" t="s">
        <v>7396</v>
      </c>
      <c r="B13" s="45">
        <v>150000</v>
      </c>
    </row>
    <row r="14" spans="1:7">
      <c r="A14" t="s">
        <v>7397</v>
      </c>
      <c r="B14" s="45">
        <v>750000</v>
      </c>
    </row>
    <row r="15" spans="1:7">
      <c r="A15" t="s">
        <v>7398</v>
      </c>
      <c r="B15" s="45">
        <v>2014</v>
      </c>
    </row>
    <row r="18" spans="1:2">
      <c r="A18" t="s">
        <v>7399</v>
      </c>
      <c r="B18" s="45">
        <f>SUM(Main!D66,Main!D67)</f>
        <v>462960.53</v>
      </c>
    </row>
    <row r="19" spans="1:2">
      <c r="A19" t="s">
        <v>7400</v>
      </c>
      <c r="B19">
        <f>(20500*2)+(6000*2)</f>
        <v>53000</v>
      </c>
    </row>
    <row r="20" spans="1:2">
      <c r="A20" t="s">
        <v>7339</v>
      </c>
      <c r="B20" s="80">
        <v>0.06</v>
      </c>
    </row>
    <row r="21" spans="1:2">
      <c r="A21" t="s">
        <v>7401</v>
      </c>
      <c r="B21" s="45" t="e">
        <f>VLOOKUP(60,A83:F114,6,0)</f>
        <v>#N/A</v>
      </c>
    </row>
    <row r="22" spans="1:2">
      <c r="A22" t="s">
        <v>7402</v>
      </c>
      <c r="B22" s="45" t="e">
        <f>(B15*B21)/B14</f>
        <v>#N/A</v>
      </c>
    </row>
    <row r="23" spans="1:2">
      <c r="A23" t="s">
        <v>7403</v>
      </c>
      <c r="B23" s="45" t="e">
        <f>B22*12</f>
        <v>#N/A</v>
      </c>
    </row>
    <row r="24" spans="1:2">
      <c r="A24" t="s">
        <v>7404</v>
      </c>
      <c r="B24" s="45"/>
    </row>
    <row r="25" spans="1:2">
      <c r="A25" t="s">
        <v>7405</v>
      </c>
      <c r="B25" s="45"/>
    </row>
    <row r="26" spans="1:2">
      <c r="B26" s="45"/>
    </row>
    <row r="27" spans="1:2">
      <c r="B27" s="45"/>
    </row>
    <row r="28" spans="1:2" ht="15.75">
      <c r="A28" s="100" t="s">
        <v>7406</v>
      </c>
      <c r="B28" s="45"/>
    </row>
    <row r="29" spans="1:2" ht="75.75">
      <c r="A29" s="102" t="s">
        <v>7407</v>
      </c>
      <c r="B29" s="45"/>
    </row>
    <row r="30" spans="1:2" ht="17.25">
      <c r="A30" s="101" t="s">
        <v>7408</v>
      </c>
      <c r="B30" s="45"/>
    </row>
    <row r="31" spans="1:2" ht="17.25">
      <c r="A31" s="101" t="s">
        <v>7409</v>
      </c>
      <c r="B31" s="45"/>
    </row>
    <row r="32" spans="1:2" ht="17.25">
      <c r="A32" s="101" t="s">
        <v>7410</v>
      </c>
      <c r="B32" s="45"/>
    </row>
    <row r="33" spans="1:2" ht="17.25">
      <c r="A33" s="101" t="s">
        <v>7411</v>
      </c>
      <c r="B33" s="45"/>
    </row>
    <row r="34" spans="1:2" ht="17.25">
      <c r="A34" s="101" t="s">
        <v>7412</v>
      </c>
      <c r="B34" s="45"/>
    </row>
    <row r="35" spans="1:2" ht="17.25">
      <c r="A35" s="101" t="s">
        <v>7413</v>
      </c>
      <c r="B35" s="45"/>
    </row>
    <row r="36" spans="1:2">
      <c r="B36" s="45"/>
    </row>
    <row r="37" spans="1:2" ht="15.75">
      <c r="A37" s="100" t="s">
        <v>7414</v>
      </c>
      <c r="B37" s="45"/>
    </row>
    <row r="38" spans="1:2" ht="75.75">
      <c r="A38" s="102" t="s">
        <v>7415</v>
      </c>
      <c r="B38" s="45"/>
    </row>
    <row r="39" spans="1:2" ht="15.75">
      <c r="A39" s="102"/>
      <c r="B39" s="45"/>
    </row>
    <row r="40" spans="1:2" ht="15.75">
      <c r="A40" s="100" t="s">
        <v>7416</v>
      </c>
      <c r="B40" s="45"/>
    </row>
    <row r="41" spans="1:2" ht="45.75">
      <c r="A41" s="102" t="s">
        <v>7417</v>
      </c>
      <c r="B41" s="45"/>
    </row>
    <row r="42" spans="1:2" ht="30.75">
      <c r="A42" s="102" t="s">
        <v>7418</v>
      </c>
      <c r="B42" s="45"/>
    </row>
    <row r="43" spans="1:2">
      <c r="A43" s="79" t="s">
        <v>7419</v>
      </c>
      <c r="B43" s="45"/>
    </row>
    <row r="44" spans="1:2">
      <c r="A44" s="79" t="s">
        <v>7420</v>
      </c>
      <c r="B44" s="45"/>
    </row>
    <row r="45" spans="1:2">
      <c r="A45" s="79" t="s">
        <v>7421</v>
      </c>
      <c r="B45" s="45"/>
    </row>
    <row r="46" spans="1:2" ht="34.5">
      <c r="A46" s="103" t="s">
        <v>7422</v>
      </c>
      <c r="B46" s="45"/>
    </row>
    <row r="47" spans="1:2" ht="150.75">
      <c r="A47" s="102" t="s">
        <v>7423</v>
      </c>
      <c r="B47" s="45"/>
    </row>
    <row r="48" spans="1:2" ht="15.75">
      <c r="A48" s="102"/>
      <c r="B48" s="45"/>
    </row>
    <row r="49" spans="1:2" ht="15.75">
      <c r="A49" s="104" t="s">
        <v>7424</v>
      </c>
      <c r="B49" s="45"/>
    </row>
    <row r="50" spans="1:2" ht="43.5">
      <c r="A50" s="105" t="s">
        <v>7425</v>
      </c>
      <c r="B50" s="45"/>
    </row>
    <row r="51" spans="1:2" ht="157.5">
      <c r="A51" s="106" t="s">
        <v>7426</v>
      </c>
      <c r="B51" s="45"/>
    </row>
    <row r="52" spans="1:2" ht="57.75">
      <c r="A52" s="106" t="s">
        <v>7427</v>
      </c>
      <c r="B52" s="45"/>
    </row>
    <row r="53" spans="1:2">
      <c r="A53" s="106" t="s">
        <v>7428</v>
      </c>
      <c r="B53" s="45"/>
    </row>
    <row r="54" spans="1:2">
      <c r="A54" s="107" t="s">
        <v>7429</v>
      </c>
      <c r="B54" s="45"/>
    </row>
    <row r="55" spans="1:2">
      <c r="A55" s="107" t="s">
        <v>7430</v>
      </c>
      <c r="B55" s="45"/>
    </row>
    <row r="56" spans="1:2">
      <c r="A56" s="107" t="s">
        <v>7431</v>
      </c>
      <c r="B56" s="45"/>
    </row>
    <row r="57" spans="1:2">
      <c r="A57" s="107" t="s">
        <v>7432</v>
      </c>
      <c r="B57" s="45"/>
    </row>
    <row r="58" spans="1:2">
      <c r="A58" s="107" t="s">
        <v>7433</v>
      </c>
      <c r="B58" s="45"/>
    </row>
    <row r="59" spans="1:2">
      <c r="A59" s="107" t="s">
        <v>7434</v>
      </c>
      <c r="B59" s="45"/>
    </row>
    <row r="60" spans="1:2">
      <c r="A60" s="107" t="s">
        <v>7435</v>
      </c>
      <c r="B60" s="45"/>
    </row>
    <row r="61" spans="1:2" ht="15.75">
      <c r="A61" s="102"/>
      <c r="B61" s="45"/>
    </row>
    <row r="62" spans="1:2" ht="15.75">
      <c r="A62" s="102"/>
      <c r="B62" s="45"/>
    </row>
    <row r="63" spans="1:2" ht="15.75">
      <c r="A63" s="102"/>
      <c r="B63" s="45"/>
    </row>
    <row r="64" spans="1:2">
      <c r="B64" s="45"/>
    </row>
    <row r="65" spans="1:2" ht="15.75">
      <c r="A65" s="100" t="s">
        <v>7436</v>
      </c>
      <c r="B65" s="45"/>
    </row>
    <row r="66" spans="1:2" ht="30.75">
      <c r="A66" s="102" t="s">
        <v>7437</v>
      </c>
      <c r="B66" s="45"/>
    </row>
    <row r="67" spans="1:2" ht="90.75">
      <c r="A67" s="102" t="s">
        <v>7438</v>
      </c>
      <c r="B67" s="45"/>
    </row>
    <row r="68" spans="1:2">
      <c r="B68" s="45"/>
    </row>
    <row r="69" spans="1:2">
      <c r="B69" s="45"/>
    </row>
    <row r="70" spans="1:2">
      <c r="B70" s="45"/>
    </row>
    <row r="71" spans="1:2">
      <c r="B71" s="45"/>
    </row>
    <row r="72" spans="1:2">
      <c r="B72" s="45"/>
    </row>
    <row r="73" spans="1:2">
      <c r="B73" s="45"/>
    </row>
    <row r="74" spans="1:2">
      <c r="B74" s="45"/>
    </row>
    <row r="75" spans="1:2">
      <c r="B75" s="45"/>
    </row>
    <row r="76" spans="1:2">
      <c r="B76" s="45"/>
    </row>
    <row r="77" spans="1:2">
      <c r="B77" s="45"/>
    </row>
    <row r="78" spans="1:2">
      <c r="B78" s="45"/>
    </row>
    <row r="79" spans="1:2">
      <c r="B79" s="45"/>
    </row>
    <row r="80" spans="1:2">
      <c r="B80" s="45"/>
    </row>
    <row r="81" spans="2:35">
      <c r="B81" s="80"/>
    </row>
    <row r="82" spans="2:35">
      <c r="J82" s="138" t="s">
        <v>7325</v>
      </c>
    </row>
    <row r="83" spans="2:35">
      <c r="I83" s="87"/>
      <c r="J83" s="16" t="s">
        <v>7326</v>
      </c>
      <c r="K83" s="87"/>
      <c r="L83" s="87"/>
      <c r="M83" s="87"/>
      <c r="N83" s="16" t="s">
        <v>7327</v>
      </c>
      <c r="O83" s="87"/>
      <c r="P83" s="87"/>
      <c r="Q83" s="87"/>
      <c r="R83" s="87" t="s">
        <v>7332</v>
      </c>
      <c r="S83" s="87"/>
      <c r="T83" s="87"/>
      <c r="U83" s="87"/>
      <c r="V83" s="87"/>
      <c r="W83" s="87"/>
      <c r="X83" s="87"/>
      <c r="Y83" s="87"/>
      <c r="Z83" s="87"/>
      <c r="AA83" s="90" t="s">
        <v>7329</v>
      </c>
      <c r="AB83" s="87"/>
      <c r="AC83" s="87"/>
      <c r="AD83" s="87"/>
      <c r="AE83" s="87"/>
      <c r="AF83" s="87"/>
      <c r="AG83" s="87"/>
      <c r="AH83" s="87"/>
      <c r="AI83" s="87"/>
    </row>
    <row r="84" spans="2:35">
      <c r="B84" s="45"/>
      <c r="C84" s="45"/>
      <c r="D84" s="45"/>
      <c r="E84" s="45"/>
      <c r="F84" s="45"/>
      <c r="I84" s="87"/>
      <c r="J84" s="87" t="s">
        <v>7330</v>
      </c>
      <c r="K84" s="88">
        <f>SUM('Main Detail'!D58:D59)</f>
        <v>30500</v>
      </c>
      <c r="L84" s="88"/>
      <c r="M84" s="87"/>
      <c r="N84" t="s">
        <v>7331</v>
      </c>
      <c r="O84" s="59" t="str">
        <f ca="1">IF(O87="Never","Forever",O87-K90&amp;" Years")</f>
        <v>Forever</v>
      </c>
      <c r="P84" s="59"/>
      <c r="Q84" s="59"/>
      <c r="R84" s="79" t="s">
        <v>7337</v>
      </c>
      <c r="T84" s="87"/>
      <c r="U84" s="87"/>
      <c r="V84" s="87"/>
      <c r="W84" s="87"/>
      <c r="X84" s="87"/>
      <c r="Y84" s="87"/>
      <c r="Z84" s="87"/>
      <c r="AA84" s="87" t="s">
        <v>7330</v>
      </c>
      <c r="AB84" s="88">
        <f>SUM('Main Detail'!D58:D60)</f>
        <v>44900</v>
      </c>
      <c r="AC84" s="88"/>
      <c r="AD84" s="87"/>
      <c r="AE84" s="87"/>
      <c r="AF84" s="87"/>
      <c r="AG84" s="87"/>
      <c r="AH84" s="87"/>
      <c r="AI84" s="87"/>
    </row>
    <row r="85" spans="2:35">
      <c r="B85" s="45"/>
      <c r="C85" s="45"/>
      <c r="D85" s="45"/>
      <c r="E85" s="45"/>
      <c r="F85" s="45"/>
      <c r="I85" s="87"/>
      <c r="J85" t="s">
        <v>7334</v>
      </c>
      <c r="K85" s="88">
        <f>SUM('Main Detail'!D58:D59)+9042</f>
        <v>39542</v>
      </c>
      <c r="L85" s="122" t="s">
        <v>7335</v>
      </c>
      <c r="M85" s="87"/>
      <c r="N85" t="s">
        <v>7336</v>
      </c>
      <c r="O85" s="26">
        <f ca="1">VLOOKUP(K90-1,L:V,11,0)</f>
        <v>7408525.039214042</v>
      </c>
      <c r="P85" s="26"/>
      <c r="Q85" s="26"/>
      <c r="R85" s="79" t="s">
        <v>7341</v>
      </c>
      <c r="S85" s="120"/>
      <c r="T85" s="87"/>
      <c r="U85" s="87"/>
      <c r="V85" s="87"/>
      <c r="W85" s="87"/>
      <c r="X85" s="87"/>
      <c r="Y85" s="87"/>
      <c r="Z85" s="87"/>
      <c r="AA85" t="s">
        <v>7334</v>
      </c>
      <c r="AB85" s="88">
        <f>SUM('Main Detail'!D55:D57)</f>
        <v>35700</v>
      </c>
      <c r="AD85" s="87"/>
      <c r="AE85" s="87"/>
      <c r="AF85" s="87"/>
      <c r="AG85" s="87"/>
      <c r="AH85" s="87"/>
      <c r="AI85" s="87"/>
    </row>
    <row r="86" spans="2:35">
      <c r="B86" s="45"/>
      <c r="C86" s="45"/>
      <c r="D86" s="45"/>
      <c r="E86" s="45"/>
      <c r="F86" s="45"/>
      <c r="I86" s="87"/>
      <c r="J86" s="87" t="s">
        <v>7339</v>
      </c>
      <c r="K86" s="139">
        <v>0.08</v>
      </c>
      <c r="L86" s="89"/>
      <c r="M86" s="87"/>
      <c r="N86" s="87" t="s">
        <v>7340</v>
      </c>
      <c r="O86" s="87"/>
      <c r="P86" s="87"/>
      <c r="Q86" s="87"/>
      <c r="R86" s="87">
        <f>4820*12</f>
        <v>57840</v>
      </c>
      <c r="S86" s="87"/>
      <c r="T86" s="87"/>
      <c r="U86" s="87"/>
      <c r="V86" s="87"/>
      <c r="W86" s="87"/>
      <c r="X86" s="87"/>
      <c r="Y86" s="87"/>
      <c r="Z86" s="87"/>
      <c r="AA86" s="87" t="s">
        <v>7339</v>
      </c>
      <c r="AB86" s="89">
        <v>0.08</v>
      </c>
      <c r="AC86" s="89"/>
      <c r="AD86" s="87"/>
      <c r="AE86" s="87"/>
      <c r="AF86" s="87"/>
      <c r="AG86" s="87"/>
      <c r="AH86" s="87"/>
      <c r="AI86" s="87"/>
    </row>
    <row r="87" spans="2:35">
      <c r="B87" s="45"/>
      <c r="C87" s="45"/>
      <c r="D87" s="45"/>
      <c r="E87" s="45"/>
      <c r="F87" s="45"/>
      <c r="I87" s="87"/>
      <c r="J87" s="87" t="s">
        <v>7343</v>
      </c>
      <c r="K87" s="88">
        <f>SUM('Main 2'!D86:D87)</f>
        <v>1066474.93</v>
      </c>
      <c r="L87" s="88"/>
      <c r="M87" s="87"/>
      <c r="N87" s="87" t="s">
        <v>64</v>
      </c>
      <c r="O87" s="87" t="str">
        <f ca="1">IF(ISNA(VLOOKUP(1,J:L,3,0)),"Never",VLOOKUP(1,J:L,3,0))</f>
        <v>Never</v>
      </c>
      <c r="P87" s="87"/>
      <c r="Q87" s="87"/>
      <c r="R87" s="89"/>
      <c r="S87" s="137"/>
      <c r="T87" s="87"/>
      <c r="U87" s="87"/>
      <c r="V87" s="87"/>
      <c r="W87" s="87"/>
      <c r="X87" s="87"/>
      <c r="Y87" s="87"/>
      <c r="Z87" s="87"/>
      <c r="AA87" s="87" t="s">
        <v>7343</v>
      </c>
      <c r="AB87" s="88">
        <f>SUM('Main 2'!D85:D87)</f>
        <v>1599917.68</v>
      </c>
      <c r="AC87" s="88"/>
      <c r="AD87" s="87"/>
      <c r="AE87" s="87"/>
      <c r="AF87" s="87"/>
      <c r="AG87" s="87"/>
      <c r="AH87" s="87"/>
      <c r="AI87" s="87"/>
    </row>
    <row r="88" spans="2:35">
      <c r="B88" s="45"/>
      <c r="C88" s="45"/>
      <c r="D88" s="45"/>
      <c r="E88" s="45"/>
      <c r="F88" s="45"/>
      <c r="I88" s="87"/>
      <c r="J88" s="87" t="s">
        <v>7345</v>
      </c>
      <c r="K88" s="88">
        <f>17000*12</f>
        <v>204000</v>
      </c>
      <c r="L88" s="140" t="s">
        <v>7346</v>
      </c>
      <c r="M88" s="87"/>
      <c r="N88" s="87" t="s">
        <v>7348</v>
      </c>
      <c r="O88" s="87" t="str">
        <f ca="1">IF(ISNA(VLOOKUP(1,J:M,4,0)),"Never",VLOOKUP(1,J:M,4,0))</f>
        <v>Never</v>
      </c>
      <c r="P88" s="87"/>
      <c r="Q88" s="87"/>
      <c r="R88" s="89"/>
      <c r="S88" s="137"/>
      <c r="T88" s="87"/>
      <c r="U88" s="87"/>
      <c r="V88" s="87"/>
      <c r="W88" s="87"/>
      <c r="X88" s="87"/>
      <c r="Y88" s="87"/>
      <c r="Z88" s="87"/>
      <c r="AA88" s="87"/>
      <c r="AB88" s="88"/>
      <c r="AC88" s="88"/>
      <c r="AD88" s="87"/>
      <c r="AE88" s="87"/>
      <c r="AF88" s="87"/>
      <c r="AG88" s="87"/>
      <c r="AH88" s="87"/>
      <c r="AI88" s="87"/>
    </row>
    <row r="89" spans="2:35">
      <c r="B89" s="45"/>
      <c r="C89" s="45"/>
      <c r="D89" s="45"/>
      <c r="E89" s="45"/>
      <c r="F89" s="45"/>
      <c r="I89" s="87"/>
      <c r="J89" s="87" t="s">
        <v>7350</v>
      </c>
      <c r="K89" s="88">
        <f>K88*0.5</f>
        <v>102000</v>
      </c>
      <c r="L89" s="88"/>
      <c r="M89" s="87"/>
      <c r="N89" s="87"/>
      <c r="O89" s="87"/>
      <c r="P89" s="87"/>
      <c r="Q89" s="87"/>
      <c r="R89" s="89"/>
      <c r="S89" s="137"/>
      <c r="T89" s="87"/>
      <c r="U89" s="87"/>
      <c r="V89" s="87"/>
      <c r="W89" s="87"/>
      <c r="X89" s="87"/>
      <c r="Y89" s="87"/>
      <c r="Z89" s="87"/>
      <c r="AA89" s="87"/>
      <c r="AB89" s="88"/>
      <c r="AC89" s="88"/>
      <c r="AD89" s="87"/>
      <c r="AE89" s="87"/>
      <c r="AF89" s="87"/>
      <c r="AG89" s="87"/>
      <c r="AH89" s="87"/>
      <c r="AI89" s="87"/>
    </row>
    <row r="90" spans="2:35">
      <c r="B90" s="45"/>
      <c r="C90" s="45"/>
      <c r="D90" s="45"/>
      <c r="E90" s="45"/>
      <c r="F90" s="45"/>
      <c r="I90" s="87"/>
      <c r="J90" s="87" t="s">
        <v>7352</v>
      </c>
      <c r="K90" s="88">
        <v>55</v>
      </c>
      <c r="L90" s="88"/>
      <c r="M90" s="87"/>
      <c r="P90" s="87"/>
      <c r="Q90" s="87"/>
      <c r="R90" s="87"/>
      <c r="S90" s="87"/>
      <c r="T90" s="87"/>
      <c r="U90" s="87"/>
      <c r="V90" s="87"/>
      <c r="W90" s="87"/>
      <c r="X90" s="87"/>
      <c r="Y90" s="87"/>
      <c r="Z90" s="87"/>
      <c r="AA90" s="87" t="s">
        <v>7352</v>
      </c>
      <c r="AB90" s="88">
        <v>65</v>
      </c>
      <c r="AC90" s="88"/>
      <c r="AD90" s="87"/>
      <c r="AE90" s="87"/>
      <c r="AF90" s="87"/>
      <c r="AG90" s="87"/>
      <c r="AH90" s="87"/>
      <c r="AI90" s="87"/>
    </row>
    <row r="91" spans="2:35">
      <c r="B91" s="45"/>
      <c r="C91" s="45"/>
      <c r="D91" s="45"/>
      <c r="E91" s="45"/>
      <c r="F91" s="45"/>
      <c r="I91" s="87"/>
      <c r="J91" t="s">
        <v>7354</v>
      </c>
      <c r="K91">
        <v>55</v>
      </c>
      <c r="M91" s="87"/>
      <c r="R91" s="87"/>
      <c r="S91" s="87"/>
      <c r="T91" s="87"/>
      <c r="U91" s="87"/>
      <c r="V91" s="87"/>
      <c r="W91" s="87"/>
      <c r="X91" s="87"/>
      <c r="Y91" s="87"/>
      <c r="Z91" s="87"/>
      <c r="AA91" t="s">
        <v>7354</v>
      </c>
      <c r="AB91">
        <v>65</v>
      </c>
      <c r="AD91" s="87"/>
      <c r="AE91" s="87"/>
      <c r="AF91" s="87"/>
      <c r="AG91" s="87"/>
      <c r="AH91" s="87"/>
      <c r="AI91" s="87"/>
    </row>
    <row r="92" spans="2:35">
      <c r="B92" s="45"/>
      <c r="C92" s="45"/>
      <c r="D92" s="45"/>
      <c r="E92" s="45"/>
      <c r="F92" s="45"/>
      <c r="I92" s="87"/>
      <c r="J92" s="87" t="s">
        <v>7356</v>
      </c>
      <c r="K92" s="88">
        <v>177054.24</v>
      </c>
      <c r="L92" s="88"/>
      <c r="M92" s="87"/>
      <c r="N92" s="87"/>
      <c r="O92" s="87"/>
      <c r="P92" s="87"/>
      <c r="Q92" s="87"/>
      <c r="R92" s="87"/>
      <c r="S92" s="87"/>
      <c r="T92" s="87"/>
      <c r="U92" s="87"/>
      <c r="V92" s="87"/>
      <c r="W92" s="87"/>
      <c r="X92" s="87"/>
      <c r="Y92" s="87"/>
      <c r="Z92" s="87"/>
      <c r="AA92" s="87" t="s">
        <v>7358</v>
      </c>
      <c r="AB92" s="88">
        <f>K92</f>
        <v>177054.24</v>
      </c>
      <c r="AC92" s="88"/>
      <c r="AD92" s="87"/>
      <c r="AE92" s="87"/>
      <c r="AF92" s="87"/>
      <c r="AG92" s="87"/>
      <c r="AH92" s="87"/>
      <c r="AI92" s="87"/>
    </row>
    <row r="93" spans="2:35">
      <c r="B93" s="45"/>
      <c r="C93" s="45"/>
      <c r="D93" s="45"/>
      <c r="E93" s="45"/>
      <c r="F93" s="45"/>
      <c r="I93" s="87"/>
      <c r="J93" s="87" t="s">
        <v>7359</v>
      </c>
      <c r="K93" s="89">
        <v>0.28000000000000003</v>
      </c>
      <c r="L93" s="88"/>
      <c r="M93" s="87"/>
      <c r="N93" s="87"/>
      <c r="O93" s="87"/>
      <c r="P93" s="87"/>
      <c r="Q93" s="87"/>
      <c r="R93" s="87"/>
      <c r="S93" s="87"/>
      <c r="T93" s="87"/>
      <c r="U93" s="87"/>
      <c r="V93" s="87"/>
      <c r="W93" s="87"/>
      <c r="X93" s="87"/>
      <c r="Y93" s="87"/>
      <c r="Z93" s="87"/>
      <c r="AA93" s="87"/>
      <c r="AB93" s="88"/>
      <c r="AC93" s="88"/>
      <c r="AD93" s="87"/>
      <c r="AE93" s="87"/>
      <c r="AF93" s="87"/>
      <c r="AG93" s="87"/>
      <c r="AH93" s="87"/>
      <c r="AI93" s="87"/>
    </row>
    <row r="94" spans="2:35">
      <c r="B94" s="45"/>
      <c r="C94" s="45"/>
      <c r="D94" s="45"/>
      <c r="E94" s="45"/>
      <c r="F94" s="45"/>
      <c r="I94" s="87"/>
      <c r="J94" s="87" t="s">
        <v>7361</v>
      </c>
      <c r="K94" s="120">
        <f ca="1">13-MONTH(TODAY())</f>
        <v>8</v>
      </c>
      <c r="L94" s="88"/>
      <c r="M94" s="87"/>
      <c r="N94" s="87"/>
      <c r="O94" s="87"/>
      <c r="P94" s="87"/>
      <c r="Q94" s="87"/>
      <c r="R94" s="87"/>
      <c r="S94" s="87"/>
      <c r="T94" s="87"/>
      <c r="U94" s="87"/>
      <c r="V94" s="87"/>
      <c r="W94" s="87"/>
      <c r="X94" s="87"/>
      <c r="Y94" s="87"/>
      <c r="Z94" s="87"/>
      <c r="AA94" s="87"/>
      <c r="AB94" s="88"/>
      <c r="AC94" s="88"/>
      <c r="AD94" s="87"/>
      <c r="AE94" s="87"/>
      <c r="AF94" s="87"/>
      <c r="AG94" s="87"/>
      <c r="AH94" s="87"/>
      <c r="AI94" s="87"/>
    </row>
    <row r="95" spans="2:35">
      <c r="B95" s="45"/>
      <c r="C95" s="45"/>
      <c r="D95" s="45"/>
      <c r="E95" s="45"/>
      <c r="F95" s="45"/>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row>
    <row r="96" spans="2:35">
      <c r="B96" s="45"/>
      <c r="C96" s="45"/>
      <c r="D96" s="45"/>
      <c r="E96" s="45"/>
      <c r="F96" s="45"/>
      <c r="I96" s="91" t="s">
        <v>7362</v>
      </c>
      <c r="J96" s="91" t="s">
        <v>7363</v>
      </c>
      <c r="K96" s="91" t="s">
        <v>7257</v>
      </c>
      <c r="L96" s="91" t="s">
        <v>7364</v>
      </c>
      <c r="M96" s="91" t="s">
        <v>7365</v>
      </c>
      <c r="N96" s="91" t="s">
        <v>7366</v>
      </c>
      <c r="O96" s="91" t="s">
        <v>7367</v>
      </c>
      <c r="P96" s="91" t="s">
        <v>7368</v>
      </c>
      <c r="Q96" s="91" t="s">
        <v>7369</v>
      </c>
      <c r="R96" s="91" t="s">
        <v>7370</v>
      </c>
      <c r="S96" s="91" t="s">
        <v>7371</v>
      </c>
      <c r="T96" s="91" t="s">
        <v>7372</v>
      </c>
      <c r="U96" s="91" t="s">
        <v>7373</v>
      </c>
      <c r="V96" s="91" t="s">
        <v>2238</v>
      </c>
      <c r="X96" s="91"/>
      <c r="Y96" s="87"/>
      <c r="Z96" s="91" t="s">
        <v>7362</v>
      </c>
      <c r="AA96" s="91" t="s">
        <v>7257</v>
      </c>
      <c r="AB96" s="91" t="s">
        <v>7364</v>
      </c>
      <c r="AC96" s="91" t="s">
        <v>7365</v>
      </c>
      <c r="AD96" s="91" t="s">
        <v>7366</v>
      </c>
      <c r="AE96" s="91" t="s">
        <v>7367</v>
      </c>
      <c r="AF96" s="91" t="s">
        <v>7370</v>
      </c>
      <c r="AG96" s="91" t="s">
        <v>7372</v>
      </c>
      <c r="AH96" s="91" t="s">
        <v>7374</v>
      </c>
      <c r="AI96" s="91" t="s">
        <v>2238</v>
      </c>
    </row>
    <row r="97" spans="2:35">
      <c r="B97" s="45"/>
      <c r="C97" s="45"/>
      <c r="D97" s="45"/>
      <c r="E97" s="45"/>
      <c r="F97" s="45"/>
      <c r="I97" s="87">
        <v>1</v>
      </c>
      <c r="J97" s="88">
        <f t="shared" ref="J97:J128" ca="1" si="0">IF(V96&lt;0,0,IF(V97&lt;0,1,0))</f>
        <v>0</v>
      </c>
      <c r="K97" s="87">
        <v>2023</v>
      </c>
      <c r="L97" s="87">
        <v>36</v>
      </c>
      <c r="M97" s="87">
        <v>35</v>
      </c>
      <c r="N97" s="88">
        <f ca="1">IF(L97&lt;$K$90,$K$84,0)*(K94/12)</f>
        <v>20333.333333333332</v>
      </c>
      <c r="O97" s="88">
        <f ca="1">IF(M97&lt;$K$91,$K$85,0)*(K94/12)</f>
        <v>26361.333333333332</v>
      </c>
      <c r="P97" s="88">
        <f>IF(AND(L97&gt;72,L97&lt;85.5),$K$88,0)</f>
        <v>0</v>
      </c>
      <c r="Q97" s="88">
        <f>IF(AND(M97&gt;72,M97&lt;88.8),$K$89,0)</f>
        <v>0</v>
      </c>
      <c r="R97" s="88">
        <f t="shared" ref="R97:R128" si="1">IF(L97&gt;=$K$90,$K$92,0)*(1.02^I97)</f>
        <v>0</v>
      </c>
      <c r="S97" s="88">
        <f>(R97/(1-$K$93))-R97</f>
        <v>0</v>
      </c>
      <c r="T97" s="88">
        <f>K87</f>
        <v>1066474.93</v>
      </c>
      <c r="U97" s="88">
        <f ca="1">(SUM(N97:O97)/2)*($K$86*(K94)/12)+(T97*($K$86*(K94)/12))</f>
        <v>58123.854044444444</v>
      </c>
      <c r="V97" s="88">
        <f ca="1">SUM(N97,O97,T97,U97)-R97-S97</f>
        <v>1171293.4507111111</v>
      </c>
      <c r="X97" s="88"/>
      <c r="Y97" s="87"/>
      <c r="Z97" s="87">
        <v>1</v>
      </c>
      <c r="AA97" s="87">
        <v>2023</v>
      </c>
      <c r="AB97" s="87">
        <v>36</v>
      </c>
      <c r="AC97" s="87">
        <v>35</v>
      </c>
      <c r="AD97" s="88">
        <f t="shared" ref="AD97:AD128" si="2">IF(AB97&lt;$AB$90,$AB$84,0)</f>
        <v>44900</v>
      </c>
      <c r="AE97" s="88">
        <f t="shared" ref="AE97:AE128" si="3">IF(AC97&lt;$AB$91,$AB$85,0)</f>
        <v>35700</v>
      </c>
      <c r="AF97" s="88">
        <f t="shared" ref="AF97:AF128" si="4">IF(AB97&gt;=$AB$90,$AB$92,0)*(1.02^Z97)</f>
        <v>0</v>
      </c>
      <c r="AG97" s="88">
        <f>AB87</f>
        <v>1599917.68</v>
      </c>
      <c r="AH97" s="88">
        <f ca="1">(SUM(AD97:AE97)/2)*($AB$86*(12-MONTH(TODAY())/12))+(AG97*($AB$86*(MONTH(TODAY())/12)))</f>
        <v>90675.255999999994</v>
      </c>
      <c r="AI97" s="88">
        <f ca="1">SUM(AD97,AE97,AG97,AH97)-AF97</f>
        <v>1771192.936</v>
      </c>
    </row>
    <row r="98" spans="2:35">
      <c r="B98" s="45"/>
      <c r="C98" s="45"/>
      <c r="D98" s="45"/>
      <c r="E98" s="45"/>
      <c r="F98" s="45"/>
      <c r="I98" s="87">
        <v>2</v>
      </c>
      <c r="J98" s="88">
        <f t="shared" ca="1" si="0"/>
        <v>0</v>
      </c>
      <c r="K98" s="87">
        <v>2024</v>
      </c>
      <c r="L98" s="87">
        <v>37</v>
      </c>
      <c r="M98" s="87">
        <v>36</v>
      </c>
      <c r="N98" s="88">
        <f t="shared" ref="N98:N129" si="5">IF(L98&lt;$K$90,$K$84,0)</f>
        <v>30500</v>
      </c>
      <c r="O98" s="88">
        <f t="shared" ref="O98:O129" si="6">IF(M98&lt;$K$91,$K$85,0)</f>
        <v>39542</v>
      </c>
      <c r="P98" s="88">
        <f t="shared" ref="P98:P161" si="7">IF(AND(L98&gt;72,L98&lt;85.5),$K$88,0)</f>
        <v>0</v>
      </c>
      <c r="Q98" s="88">
        <f t="shared" ref="Q98:Q161" si="8">IF(AND(M98&gt;72,M98&lt;88.8),$K$89,0)</f>
        <v>0</v>
      </c>
      <c r="R98" s="88">
        <f t="shared" si="1"/>
        <v>0</v>
      </c>
      <c r="S98" s="88">
        <f t="shared" ref="S98:S161" si="9">(R98/(1-$K$93))-R98</f>
        <v>0</v>
      </c>
      <c r="T98" s="88">
        <f ca="1">V97</f>
        <v>1171293.4507111111</v>
      </c>
      <c r="U98" s="88">
        <f ca="1">(SUM(N98:O98)/2)*$K$86+(T98*$K$86)</f>
        <v>96505.156056888882</v>
      </c>
      <c r="V98" s="88">
        <f t="shared" ref="V98:V161" ca="1" si="10">SUM(N98,O98,T98,U98)-(R98+S98-P98-Q98)</f>
        <v>1337840.6067679999</v>
      </c>
      <c r="X98" s="88"/>
      <c r="Y98" s="87"/>
      <c r="Z98" s="87">
        <v>2</v>
      </c>
      <c r="AA98" s="87">
        <v>2024</v>
      </c>
      <c r="AB98" s="87">
        <v>37</v>
      </c>
      <c r="AC98" s="87">
        <v>36</v>
      </c>
      <c r="AD98" s="88">
        <f t="shared" si="2"/>
        <v>44900</v>
      </c>
      <c r="AE98" s="88">
        <f t="shared" si="3"/>
        <v>35700</v>
      </c>
      <c r="AF98" s="88">
        <f t="shared" si="4"/>
        <v>0</v>
      </c>
      <c r="AG98" s="88">
        <f ca="1">AI97</f>
        <v>1771192.936</v>
      </c>
      <c r="AH98" s="88">
        <f t="shared" ref="AH98:AH161" ca="1" si="11">(SUM(AC98:AD98)/2)*$AB$86+(AG98*$AB$86)</f>
        <v>143492.87488000002</v>
      </c>
      <c r="AI98" s="88">
        <f t="shared" ref="AI98:AI121" ca="1" si="12">SUM(AD98,AE98,AG98,AH98)-AF98</f>
        <v>1995285.81088</v>
      </c>
    </row>
    <row r="99" spans="2:35">
      <c r="B99" s="45"/>
      <c r="C99" s="45"/>
      <c r="D99" s="45"/>
      <c r="E99" s="45"/>
      <c r="F99" s="45"/>
      <c r="I99" s="87">
        <v>3</v>
      </c>
      <c r="J99" s="88">
        <f t="shared" ca="1" si="0"/>
        <v>0</v>
      </c>
      <c r="K99" s="87">
        <v>2025</v>
      </c>
      <c r="L99" s="87">
        <v>38</v>
      </c>
      <c r="M99" s="87">
        <v>37</v>
      </c>
      <c r="N99" s="88">
        <f t="shared" si="5"/>
        <v>30500</v>
      </c>
      <c r="O99" s="88">
        <f t="shared" si="6"/>
        <v>39542</v>
      </c>
      <c r="P99" s="88">
        <f t="shared" si="7"/>
        <v>0</v>
      </c>
      <c r="Q99" s="88">
        <f t="shared" si="8"/>
        <v>0</v>
      </c>
      <c r="R99" s="88">
        <f t="shared" si="1"/>
        <v>0</v>
      </c>
      <c r="S99" s="88">
        <f t="shared" si="9"/>
        <v>0</v>
      </c>
      <c r="T99" s="88">
        <f t="shared" ref="T99:T131" ca="1" si="13">V98</f>
        <v>1337840.6067679999</v>
      </c>
      <c r="U99" s="88">
        <f t="shared" ref="U99:U161" ca="1" si="14">(SUM(N99:O99)/2)*$K$86+(T99*$K$86)</f>
        <v>109828.92854143999</v>
      </c>
      <c r="V99" s="88">
        <f t="shared" ca="1" si="10"/>
        <v>1517711.53530944</v>
      </c>
      <c r="X99" s="88"/>
      <c r="Y99" s="87"/>
      <c r="Z99" s="87">
        <v>3</v>
      </c>
      <c r="AA99" s="87">
        <v>2025</v>
      </c>
      <c r="AB99" s="87">
        <v>38</v>
      </c>
      <c r="AC99" s="87">
        <v>37</v>
      </c>
      <c r="AD99" s="88">
        <f t="shared" si="2"/>
        <v>44900</v>
      </c>
      <c r="AE99" s="88">
        <f t="shared" si="3"/>
        <v>35700</v>
      </c>
      <c r="AF99" s="88">
        <f t="shared" si="4"/>
        <v>0</v>
      </c>
      <c r="AG99" s="88">
        <f t="shared" ref="AG99:AG162" ca="1" si="15">AI98</f>
        <v>1995285.81088</v>
      </c>
      <c r="AH99" s="88">
        <f t="shared" ca="1" si="11"/>
        <v>161420.3448704</v>
      </c>
      <c r="AI99" s="88">
        <f t="shared" ca="1" si="12"/>
        <v>2237306.1557503999</v>
      </c>
    </row>
    <row r="100" spans="2:35">
      <c r="B100" s="45"/>
      <c r="C100" s="45"/>
      <c r="D100" s="45"/>
      <c r="E100" s="45"/>
      <c r="F100" s="45"/>
      <c r="I100" s="87">
        <v>4</v>
      </c>
      <c r="J100" s="88">
        <f t="shared" ca="1" si="0"/>
        <v>0</v>
      </c>
      <c r="K100" s="87">
        <v>2026</v>
      </c>
      <c r="L100" s="87">
        <v>39</v>
      </c>
      <c r="M100" s="87">
        <v>38</v>
      </c>
      <c r="N100" s="88">
        <f t="shared" si="5"/>
        <v>30500</v>
      </c>
      <c r="O100" s="88">
        <f t="shared" si="6"/>
        <v>39542</v>
      </c>
      <c r="P100" s="88">
        <f t="shared" si="7"/>
        <v>0</v>
      </c>
      <c r="Q100" s="88">
        <f t="shared" si="8"/>
        <v>0</v>
      </c>
      <c r="R100" s="88">
        <f t="shared" si="1"/>
        <v>0</v>
      </c>
      <c r="S100" s="88">
        <f t="shared" si="9"/>
        <v>0</v>
      </c>
      <c r="T100" s="88">
        <f t="shared" ca="1" si="13"/>
        <v>1517711.53530944</v>
      </c>
      <c r="U100" s="88">
        <f t="shared" ca="1" si="14"/>
        <v>124218.60282475519</v>
      </c>
      <c r="V100" s="88">
        <f t="shared" ca="1" si="10"/>
        <v>1711972.1381341952</v>
      </c>
      <c r="X100" s="88"/>
      <c r="Y100" s="87"/>
      <c r="Z100" s="87">
        <v>4</v>
      </c>
      <c r="AA100" s="87">
        <v>2026</v>
      </c>
      <c r="AB100" s="87">
        <v>39</v>
      </c>
      <c r="AC100" s="87">
        <v>38</v>
      </c>
      <c r="AD100" s="88">
        <f t="shared" si="2"/>
        <v>44900</v>
      </c>
      <c r="AE100" s="88">
        <f t="shared" si="3"/>
        <v>35700</v>
      </c>
      <c r="AF100" s="88">
        <f t="shared" si="4"/>
        <v>0</v>
      </c>
      <c r="AG100" s="88">
        <f t="shared" ca="1" si="15"/>
        <v>2237306.1557503999</v>
      </c>
      <c r="AH100" s="88">
        <f t="shared" ca="1" si="11"/>
        <v>180782.01246003198</v>
      </c>
      <c r="AI100" s="88">
        <f t="shared" ca="1" si="12"/>
        <v>2498688.1682104319</v>
      </c>
    </row>
    <row r="101" spans="2:35">
      <c r="B101" s="45"/>
      <c r="C101" s="45"/>
      <c r="D101" s="45"/>
      <c r="E101" s="45"/>
      <c r="F101" s="45"/>
      <c r="I101" s="87">
        <v>5</v>
      </c>
      <c r="J101" s="88">
        <f t="shared" ca="1" si="0"/>
        <v>0</v>
      </c>
      <c r="K101" s="87">
        <v>2027</v>
      </c>
      <c r="L101" s="87">
        <v>40</v>
      </c>
      <c r="M101" s="87">
        <v>39</v>
      </c>
      <c r="N101" s="88">
        <f t="shared" si="5"/>
        <v>30500</v>
      </c>
      <c r="O101" s="88">
        <f t="shared" si="6"/>
        <v>39542</v>
      </c>
      <c r="P101" s="88">
        <f t="shared" si="7"/>
        <v>0</v>
      </c>
      <c r="Q101" s="88">
        <f t="shared" si="8"/>
        <v>0</v>
      </c>
      <c r="R101" s="88">
        <f t="shared" si="1"/>
        <v>0</v>
      </c>
      <c r="S101" s="88">
        <f t="shared" si="9"/>
        <v>0</v>
      </c>
      <c r="T101" s="88">
        <f t="shared" ca="1" si="13"/>
        <v>1711972.1381341952</v>
      </c>
      <c r="U101" s="88">
        <f t="shared" ca="1" si="14"/>
        <v>139759.4510507356</v>
      </c>
      <c r="V101" s="88">
        <f t="shared" ca="1" si="10"/>
        <v>1921773.5891849308</v>
      </c>
      <c r="X101" s="88"/>
      <c r="Y101" s="87"/>
      <c r="Z101" s="87">
        <v>5</v>
      </c>
      <c r="AA101" s="87">
        <v>2027</v>
      </c>
      <c r="AB101" s="87">
        <v>40</v>
      </c>
      <c r="AC101" s="87">
        <v>39</v>
      </c>
      <c r="AD101" s="88">
        <f t="shared" si="2"/>
        <v>44900</v>
      </c>
      <c r="AE101" s="88">
        <f t="shared" si="3"/>
        <v>35700</v>
      </c>
      <c r="AF101" s="88">
        <f t="shared" si="4"/>
        <v>0</v>
      </c>
      <c r="AG101" s="88">
        <f t="shared" ca="1" si="15"/>
        <v>2498688.1682104319</v>
      </c>
      <c r="AH101" s="88">
        <f t="shared" ca="1" si="11"/>
        <v>201692.61345683454</v>
      </c>
      <c r="AI101" s="88">
        <f t="shared" ca="1" si="12"/>
        <v>2780980.7816672665</v>
      </c>
    </row>
    <row r="102" spans="2:35">
      <c r="B102" s="45"/>
      <c r="C102" s="45"/>
      <c r="D102" s="45"/>
      <c r="E102" s="45"/>
      <c r="F102" s="45"/>
      <c r="I102" s="87">
        <v>6</v>
      </c>
      <c r="J102" s="88">
        <f t="shared" ca="1" si="0"/>
        <v>0</v>
      </c>
      <c r="K102" s="87">
        <v>2028</v>
      </c>
      <c r="L102" s="87">
        <v>41</v>
      </c>
      <c r="M102" s="87">
        <v>40</v>
      </c>
      <c r="N102" s="88">
        <f t="shared" si="5"/>
        <v>30500</v>
      </c>
      <c r="O102" s="88">
        <f t="shared" si="6"/>
        <v>39542</v>
      </c>
      <c r="P102" s="88">
        <f t="shared" si="7"/>
        <v>0</v>
      </c>
      <c r="Q102" s="88">
        <f t="shared" si="8"/>
        <v>0</v>
      </c>
      <c r="R102" s="88">
        <f t="shared" si="1"/>
        <v>0</v>
      </c>
      <c r="S102" s="88">
        <f t="shared" si="9"/>
        <v>0</v>
      </c>
      <c r="T102" s="88">
        <f t="shared" ca="1" si="13"/>
        <v>1921773.5891849308</v>
      </c>
      <c r="U102" s="88">
        <f t="shared" ca="1" si="14"/>
        <v>156543.56713479446</v>
      </c>
      <c r="V102" s="88">
        <f t="shared" ca="1" si="10"/>
        <v>2148359.1563197253</v>
      </c>
      <c r="X102" s="88"/>
      <c r="Y102" s="87"/>
      <c r="Z102" s="87">
        <v>6</v>
      </c>
      <c r="AA102" s="87">
        <v>2028</v>
      </c>
      <c r="AB102" s="87">
        <v>41</v>
      </c>
      <c r="AC102" s="87">
        <v>40</v>
      </c>
      <c r="AD102" s="88">
        <f t="shared" si="2"/>
        <v>44900</v>
      </c>
      <c r="AE102" s="88">
        <f t="shared" si="3"/>
        <v>35700</v>
      </c>
      <c r="AF102" s="88">
        <f t="shared" si="4"/>
        <v>0</v>
      </c>
      <c r="AG102" s="88">
        <f t="shared" ca="1" si="15"/>
        <v>2780980.7816672665</v>
      </c>
      <c r="AH102" s="88">
        <f t="shared" ca="1" si="11"/>
        <v>224276.06253338134</v>
      </c>
      <c r="AI102" s="88">
        <f t="shared" ca="1" si="12"/>
        <v>3085856.8442006479</v>
      </c>
    </row>
    <row r="103" spans="2:35">
      <c r="B103" s="45"/>
      <c r="C103" s="45"/>
      <c r="D103" s="45"/>
      <c r="E103" s="45"/>
      <c r="F103" s="45"/>
      <c r="I103" s="87">
        <v>7</v>
      </c>
      <c r="J103" s="88">
        <f t="shared" ca="1" si="0"/>
        <v>0</v>
      </c>
      <c r="K103" s="87">
        <v>2029</v>
      </c>
      <c r="L103" s="87">
        <v>42</v>
      </c>
      <c r="M103" s="87">
        <v>41</v>
      </c>
      <c r="N103" s="88">
        <f t="shared" si="5"/>
        <v>30500</v>
      </c>
      <c r="O103" s="88">
        <f t="shared" si="6"/>
        <v>39542</v>
      </c>
      <c r="P103" s="88">
        <f t="shared" si="7"/>
        <v>0</v>
      </c>
      <c r="Q103" s="88">
        <f t="shared" si="8"/>
        <v>0</v>
      </c>
      <c r="R103" s="88">
        <f t="shared" si="1"/>
        <v>0</v>
      </c>
      <c r="S103" s="88">
        <f t="shared" si="9"/>
        <v>0</v>
      </c>
      <c r="T103" s="88">
        <f t="shared" ca="1" si="13"/>
        <v>2148359.1563197253</v>
      </c>
      <c r="U103" s="88">
        <f t="shared" ca="1" si="14"/>
        <v>174670.41250557802</v>
      </c>
      <c r="V103" s="88">
        <f t="shared" ca="1" si="10"/>
        <v>2393071.5688253036</v>
      </c>
      <c r="X103" s="88"/>
      <c r="Y103" s="87"/>
      <c r="Z103" s="87">
        <v>7</v>
      </c>
      <c r="AA103" s="87">
        <v>2029</v>
      </c>
      <c r="AB103" s="87">
        <v>42</v>
      </c>
      <c r="AC103" s="87">
        <v>41</v>
      </c>
      <c r="AD103" s="88">
        <f t="shared" si="2"/>
        <v>44900</v>
      </c>
      <c r="AE103" s="88">
        <f t="shared" si="3"/>
        <v>35700</v>
      </c>
      <c r="AF103" s="88">
        <f t="shared" si="4"/>
        <v>0</v>
      </c>
      <c r="AG103" s="88">
        <f t="shared" ca="1" si="15"/>
        <v>3085856.8442006479</v>
      </c>
      <c r="AH103" s="88">
        <f t="shared" ca="1" si="11"/>
        <v>248666.18753605185</v>
      </c>
      <c r="AI103" s="88">
        <f t="shared" ca="1" si="12"/>
        <v>3415123.0317366999</v>
      </c>
    </row>
    <row r="104" spans="2:35">
      <c r="B104" s="45"/>
      <c r="C104" s="45"/>
      <c r="D104" s="45"/>
      <c r="E104" s="45"/>
      <c r="F104" s="45"/>
      <c r="I104" s="87">
        <v>8</v>
      </c>
      <c r="J104" s="88">
        <f t="shared" ca="1" si="0"/>
        <v>0</v>
      </c>
      <c r="K104" s="87">
        <v>2030</v>
      </c>
      <c r="L104" s="87">
        <v>43</v>
      </c>
      <c r="M104" s="87">
        <v>42</v>
      </c>
      <c r="N104" s="88">
        <f t="shared" si="5"/>
        <v>30500</v>
      </c>
      <c r="O104" s="88">
        <f t="shared" si="6"/>
        <v>39542</v>
      </c>
      <c r="P104" s="88">
        <f t="shared" si="7"/>
        <v>0</v>
      </c>
      <c r="Q104" s="88">
        <f t="shared" si="8"/>
        <v>0</v>
      </c>
      <c r="R104" s="88">
        <f t="shared" si="1"/>
        <v>0</v>
      </c>
      <c r="S104" s="88">
        <f t="shared" si="9"/>
        <v>0</v>
      </c>
      <c r="T104" s="88">
        <f t="shared" ca="1" si="13"/>
        <v>2393071.5688253036</v>
      </c>
      <c r="U104" s="88">
        <f t="shared" ca="1" si="14"/>
        <v>194247.40550602428</v>
      </c>
      <c r="V104" s="88">
        <f t="shared" ca="1" si="10"/>
        <v>2657360.9743313277</v>
      </c>
      <c r="X104" s="88"/>
      <c r="Y104" s="87"/>
      <c r="Z104" s="87">
        <v>8</v>
      </c>
      <c r="AA104" s="87">
        <v>2030</v>
      </c>
      <c r="AB104" s="87">
        <v>43</v>
      </c>
      <c r="AC104" s="87">
        <v>42</v>
      </c>
      <c r="AD104" s="88">
        <f t="shared" si="2"/>
        <v>44900</v>
      </c>
      <c r="AE104" s="88">
        <f t="shared" si="3"/>
        <v>35700</v>
      </c>
      <c r="AF104" s="88">
        <f t="shared" si="4"/>
        <v>0</v>
      </c>
      <c r="AG104" s="88">
        <f t="shared" ca="1" si="15"/>
        <v>3415123.0317366999</v>
      </c>
      <c r="AH104" s="88">
        <f t="shared" ca="1" si="11"/>
        <v>275007.522538936</v>
      </c>
      <c r="AI104" s="88">
        <f t="shared" ca="1" si="12"/>
        <v>3770730.5542756356</v>
      </c>
    </row>
    <row r="105" spans="2:35">
      <c r="B105" s="45"/>
      <c r="C105" s="45"/>
      <c r="D105" s="45"/>
      <c r="E105" s="45"/>
      <c r="F105" s="45"/>
      <c r="I105" s="87">
        <v>9</v>
      </c>
      <c r="J105" s="88">
        <f t="shared" ca="1" si="0"/>
        <v>0</v>
      </c>
      <c r="K105" s="87">
        <v>2031</v>
      </c>
      <c r="L105" s="87">
        <v>44</v>
      </c>
      <c r="M105" s="87">
        <v>43</v>
      </c>
      <c r="N105" s="88">
        <f t="shared" si="5"/>
        <v>30500</v>
      </c>
      <c r="O105" s="88">
        <f t="shared" si="6"/>
        <v>39542</v>
      </c>
      <c r="P105" s="88">
        <f t="shared" si="7"/>
        <v>0</v>
      </c>
      <c r="Q105" s="88">
        <f t="shared" si="8"/>
        <v>0</v>
      </c>
      <c r="R105" s="88">
        <f t="shared" si="1"/>
        <v>0</v>
      </c>
      <c r="S105" s="88">
        <f t="shared" si="9"/>
        <v>0</v>
      </c>
      <c r="T105" s="88">
        <f t="shared" ca="1" si="13"/>
        <v>2657360.9743313277</v>
      </c>
      <c r="U105" s="88">
        <f t="shared" ca="1" si="14"/>
        <v>215390.55794650622</v>
      </c>
      <c r="V105" s="88">
        <f t="shared" ca="1" si="10"/>
        <v>2942793.5322778341</v>
      </c>
      <c r="X105" s="88"/>
      <c r="Y105" s="87"/>
      <c r="Z105" s="87">
        <v>9</v>
      </c>
      <c r="AA105" s="87">
        <v>2031</v>
      </c>
      <c r="AB105" s="87">
        <v>44</v>
      </c>
      <c r="AC105" s="87">
        <v>43</v>
      </c>
      <c r="AD105" s="88">
        <f t="shared" si="2"/>
        <v>44900</v>
      </c>
      <c r="AE105" s="88">
        <f t="shared" si="3"/>
        <v>35700</v>
      </c>
      <c r="AF105" s="88">
        <f t="shared" si="4"/>
        <v>0</v>
      </c>
      <c r="AG105" s="88">
        <f t="shared" ca="1" si="15"/>
        <v>3770730.5542756356</v>
      </c>
      <c r="AH105" s="88">
        <f t="shared" ca="1" si="11"/>
        <v>303456.16434205085</v>
      </c>
      <c r="AI105" s="88">
        <f t="shared" ca="1" si="12"/>
        <v>4154786.7186176865</v>
      </c>
    </row>
    <row r="106" spans="2:35">
      <c r="B106" s="45"/>
      <c r="C106" s="45"/>
      <c r="D106" s="45"/>
      <c r="E106" s="45"/>
      <c r="F106" s="45"/>
      <c r="I106" s="87">
        <v>10</v>
      </c>
      <c r="J106" s="88">
        <f t="shared" ca="1" si="0"/>
        <v>0</v>
      </c>
      <c r="K106" s="87">
        <v>2032</v>
      </c>
      <c r="L106" s="87">
        <v>45</v>
      </c>
      <c r="M106" s="87">
        <v>44</v>
      </c>
      <c r="N106" s="88">
        <f t="shared" si="5"/>
        <v>30500</v>
      </c>
      <c r="O106" s="88">
        <f t="shared" si="6"/>
        <v>39542</v>
      </c>
      <c r="P106" s="88">
        <f t="shared" si="7"/>
        <v>0</v>
      </c>
      <c r="Q106" s="88">
        <f t="shared" si="8"/>
        <v>0</v>
      </c>
      <c r="R106" s="88">
        <f t="shared" si="1"/>
        <v>0</v>
      </c>
      <c r="S106" s="88">
        <f t="shared" si="9"/>
        <v>0</v>
      </c>
      <c r="T106" s="88">
        <f t="shared" ca="1" si="13"/>
        <v>2942793.5322778341</v>
      </c>
      <c r="U106" s="88">
        <f t="shared" ca="1" si="14"/>
        <v>238225.16258222674</v>
      </c>
      <c r="V106" s="88">
        <f t="shared" ca="1" si="10"/>
        <v>3251060.6948600607</v>
      </c>
      <c r="X106" s="88"/>
      <c r="Y106" s="87"/>
      <c r="Z106" s="87">
        <v>10</v>
      </c>
      <c r="AA106" s="87">
        <v>2032</v>
      </c>
      <c r="AB106" s="87">
        <v>45</v>
      </c>
      <c r="AC106" s="87">
        <v>44</v>
      </c>
      <c r="AD106" s="88">
        <f t="shared" si="2"/>
        <v>44900</v>
      </c>
      <c r="AE106" s="88">
        <f t="shared" si="3"/>
        <v>35700</v>
      </c>
      <c r="AF106" s="88">
        <f t="shared" si="4"/>
        <v>0</v>
      </c>
      <c r="AG106" s="88">
        <f t="shared" ca="1" si="15"/>
        <v>4154786.7186176865</v>
      </c>
      <c r="AH106" s="88">
        <f t="shared" ca="1" si="11"/>
        <v>334180.69748941495</v>
      </c>
      <c r="AI106" s="88">
        <f t="shared" ca="1" si="12"/>
        <v>4569567.4161071023</v>
      </c>
    </row>
    <row r="107" spans="2:35">
      <c r="B107" s="45"/>
      <c r="C107" s="45"/>
      <c r="D107" s="45"/>
      <c r="E107" s="45"/>
      <c r="F107" s="45"/>
      <c r="I107" s="87">
        <v>11</v>
      </c>
      <c r="J107" s="88">
        <f t="shared" ca="1" si="0"/>
        <v>0</v>
      </c>
      <c r="K107" s="87">
        <v>2033</v>
      </c>
      <c r="L107" s="87">
        <v>46</v>
      </c>
      <c r="M107" s="87">
        <v>45</v>
      </c>
      <c r="N107" s="88">
        <f t="shared" si="5"/>
        <v>30500</v>
      </c>
      <c r="O107" s="88">
        <f t="shared" si="6"/>
        <v>39542</v>
      </c>
      <c r="P107" s="88">
        <f t="shared" si="7"/>
        <v>0</v>
      </c>
      <c r="Q107" s="88">
        <f t="shared" si="8"/>
        <v>0</v>
      </c>
      <c r="R107" s="88">
        <f t="shared" si="1"/>
        <v>0</v>
      </c>
      <c r="S107" s="88">
        <f t="shared" si="9"/>
        <v>0</v>
      </c>
      <c r="T107" s="88">
        <f t="shared" ca="1" si="13"/>
        <v>3251060.6948600607</v>
      </c>
      <c r="U107" s="88">
        <f t="shared" ca="1" si="14"/>
        <v>262886.53558880487</v>
      </c>
      <c r="V107" s="88">
        <f t="shared" ca="1" si="10"/>
        <v>3583989.2304488653</v>
      </c>
      <c r="X107" s="88"/>
      <c r="Y107" s="87"/>
      <c r="Z107" s="87">
        <v>11</v>
      </c>
      <c r="AA107" s="87">
        <v>2033</v>
      </c>
      <c r="AB107" s="87">
        <v>46</v>
      </c>
      <c r="AC107" s="87">
        <v>45</v>
      </c>
      <c r="AD107" s="88">
        <f t="shared" si="2"/>
        <v>44900</v>
      </c>
      <c r="AE107" s="88">
        <f t="shared" si="3"/>
        <v>35700</v>
      </c>
      <c r="AF107" s="88">
        <f t="shared" si="4"/>
        <v>0</v>
      </c>
      <c r="AG107" s="88">
        <f t="shared" ca="1" si="15"/>
        <v>4569567.4161071023</v>
      </c>
      <c r="AH107" s="88">
        <f t="shared" ca="1" si="11"/>
        <v>367363.19328856817</v>
      </c>
      <c r="AI107" s="88">
        <f t="shared" ca="1" si="12"/>
        <v>5017530.6093956707</v>
      </c>
    </row>
    <row r="108" spans="2:35">
      <c r="B108" s="45"/>
      <c r="C108" s="45"/>
      <c r="D108" s="45"/>
      <c r="E108" s="45"/>
      <c r="F108" s="45"/>
      <c r="I108" s="87">
        <v>12</v>
      </c>
      <c r="J108" s="88">
        <f t="shared" ca="1" si="0"/>
        <v>0</v>
      </c>
      <c r="K108" s="87">
        <v>2034</v>
      </c>
      <c r="L108" s="87">
        <v>47</v>
      </c>
      <c r="M108" s="87">
        <v>46</v>
      </c>
      <c r="N108" s="88">
        <f t="shared" si="5"/>
        <v>30500</v>
      </c>
      <c r="O108" s="88">
        <f t="shared" si="6"/>
        <v>39542</v>
      </c>
      <c r="P108" s="88">
        <f t="shared" si="7"/>
        <v>0</v>
      </c>
      <c r="Q108" s="88">
        <f t="shared" si="8"/>
        <v>0</v>
      </c>
      <c r="R108" s="88">
        <f t="shared" si="1"/>
        <v>0</v>
      </c>
      <c r="S108" s="88">
        <f t="shared" si="9"/>
        <v>0</v>
      </c>
      <c r="T108" s="88">
        <f t="shared" ca="1" si="13"/>
        <v>3583989.2304488653</v>
      </c>
      <c r="U108" s="88">
        <f t="shared" ca="1" si="14"/>
        <v>289520.81843590923</v>
      </c>
      <c r="V108" s="88">
        <f t="shared" ca="1" si="10"/>
        <v>3943552.0488847746</v>
      </c>
      <c r="X108" s="88"/>
      <c r="Y108" s="87"/>
      <c r="Z108" s="87">
        <v>12</v>
      </c>
      <c r="AA108" s="87">
        <v>2034</v>
      </c>
      <c r="AB108" s="87">
        <v>47</v>
      </c>
      <c r="AC108" s="87">
        <v>46</v>
      </c>
      <c r="AD108" s="88">
        <f t="shared" si="2"/>
        <v>44900</v>
      </c>
      <c r="AE108" s="88">
        <f t="shared" si="3"/>
        <v>35700</v>
      </c>
      <c r="AF108" s="88">
        <f t="shared" si="4"/>
        <v>0</v>
      </c>
      <c r="AG108" s="88">
        <f t="shared" ca="1" si="15"/>
        <v>5017530.6093956707</v>
      </c>
      <c r="AH108" s="88">
        <f t="shared" ca="1" si="11"/>
        <v>403200.28875165369</v>
      </c>
      <c r="AI108" s="88">
        <f t="shared" ca="1" si="12"/>
        <v>5501330.8981473241</v>
      </c>
    </row>
    <row r="109" spans="2:35">
      <c r="B109" s="45"/>
      <c r="C109" s="45"/>
      <c r="D109" s="45"/>
      <c r="E109" s="45"/>
      <c r="F109" s="45"/>
      <c r="I109" s="87">
        <v>13</v>
      </c>
      <c r="J109" s="88">
        <f t="shared" ca="1" si="0"/>
        <v>0</v>
      </c>
      <c r="K109" s="87">
        <v>2035</v>
      </c>
      <c r="L109" s="87">
        <v>48</v>
      </c>
      <c r="M109" s="87">
        <v>47</v>
      </c>
      <c r="N109" s="88">
        <f t="shared" si="5"/>
        <v>30500</v>
      </c>
      <c r="O109" s="88">
        <f t="shared" si="6"/>
        <v>39542</v>
      </c>
      <c r="P109" s="88">
        <f t="shared" si="7"/>
        <v>0</v>
      </c>
      <c r="Q109" s="88">
        <f t="shared" si="8"/>
        <v>0</v>
      </c>
      <c r="R109" s="88">
        <f t="shared" si="1"/>
        <v>0</v>
      </c>
      <c r="S109" s="88">
        <f t="shared" si="9"/>
        <v>0</v>
      </c>
      <c r="T109" s="88">
        <f t="shared" ca="1" si="13"/>
        <v>3943552.0488847746</v>
      </c>
      <c r="U109" s="88">
        <f t="shared" ca="1" si="14"/>
        <v>318285.84391078196</v>
      </c>
      <c r="V109" s="88">
        <f t="shared" ca="1" si="10"/>
        <v>4331879.8927955562</v>
      </c>
      <c r="X109" s="88"/>
      <c r="Y109" s="87"/>
      <c r="Z109" s="87">
        <v>13</v>
      </c>
      <c r="AA109" s="87">
        <v>2035</v>
      </c>
      <c r="AB109" s="87">
        <v>48</v>
      </c>
      <c r="AC109" s="87">
        <v>47</v>
      </c>
      <c r="AD109" s="88">
        <f t="shared" si="2"/>
        <v>44900</v>
      </c>
      <c r="AE109" s="88">
        <f t="shared" si="3"/>
        <v>35700</v>
      </c>
      <c r="AF109" s="88">
        <f t="shared" si="4"/>
        <v>0</v>
      </c>
      <c r="AG109" s="88">
        <f t="shared" ca="1" si="15"/>
        <v>5501330.8981473241</v>
      </c>
      <c r="AH109" s="88">
        <f t="shared" ca="1" si="11"/>
        <v>441904.35185178596</v>
      </c>
      <c r="AI109" s="88">
        <f t="shared" ca="1" si="12"/>
        <v>6023835.2499991097</v>
      </c>
    </row>
    <row r="110" spans="2:35">
      <c r="B110" s="45"/>
      <c r="C110" s="45"/>
      <c r="D110" s="45"/>
      <c r="E110" s="45"/>
      <c r="F110" s="45"/>
      <c r="I110" s="87">
        <v>14</v>
      </c>
      <c r="J110" s="88">
        <f t="shared" ca="1" si="0"/>
        <v>0</v>
      </c>
      <c r="K110" s="87">
        <v>2036</v>
      </c>
      <c r="L110" s="87">
        <v>49</v>
      </c>
      <c r="M110" s="87">
        <v>48</v>
      </c>
      <c r="N110" s="88">
        <f t="shared" si="5"/>
        <v>30500</v>
      </c>
      <c r="O110" s="88">
        <f t="shared" si="6"/>
        <v>39542</v>
      </c>
      <c r="P110" s="88">
        <f t="shared" si="7"/>
        <v>0</v>
      </c>
      <c r="Q110" s="88">
        <f t="shared" si="8"/>
        <v>0</v>
      </c>
      <c r="R110" s="88">
        <f t="shared" si="1"/>
        <v>0</v>
      </c>
      <c r="S110" s="88">
        <f t="shared" si="9"/>
        <v>0</v>
      </c>
      <c r="T110" s="88">
        <f t="shared" ca="1" si="13"/>
        <v>4331879.8927955562</v>
      </c>
      <c r="U110" s="88">
        <f t="shared" ca="1" si="14"/>
        <v>349352.07142364449</v>
      </c>
      <c r="V110" s="88">
        <f t="shared" ca="1" si="10"/>
        <v>4751273.9642192004</v>
      </c>
      <c r="X110" s="88"/>
      <c r="Y110" s="87"/>
      <c r="Z110" s="87">
        <v>14</v>
      </c>
      <c r="AA110" s="87">
        <v>2036</v>
      </c>
      <c r="AB110" s="87">
        <v>49</v>
      </c>
      <c r="AC110" s="87">
        <v>48</v>
      </c>
      <c r="AD110" s="88">
        <f t="shared" si="2"/>
        <v>44900</v>
      </c>
      <c r="AE110" s="88">
        <f t="shared" si="3"/>
        <v>35700</v>
      </c>
      <c r="AF110" s="88">
        <f t="shared" si="4"/>
        <v>0</v>
      </c>
      <c r="AG110" s="88">
        <f t="shared" ca="1" si="15"/>
        <v>6023835.2499991097</v>
      </c>
      <c r="AH110" s="88">
        <f t="shared" ca="1" si="11"/>
        <v>483704.73999992874</v>
      </c>
      <c r="AI110" s="88">
        <f t="shared" ca="1" si="12"/>
        <v>6588139.9899990382</v>
      </c>
    </row>
    <row r="111" spans="2:35">
      <c r="B111" s="45"/>
      <c r="C111" s="45"/>
      <c r="D111" s="45"/>
      <c r="E111" s="45"/>
      <c r="F111" s="45"/>
      <c r="I111" s="87">
        <v>15</v>
      </c>
      <c r="J111" s="88">
        <f t="shared" ca="1" si="0"/>
        <v>0</v>
      </c>
      <c r="K111" s="87">
        <v>2037</v>
      </c>
      <c r="L111" s="87">
        <v>50</v>
      </c>
      <c r="M111" s="87">
        <v>49</v>
      </c>
      <c r="N111" s="88">
        <f t="shared" si="5"/>
        <v>30500</v>
      </c>
      <c r="O111" s="88">
        <f t="shared" si="6"/>
        <v>39542</v>
      </c>
      <c r="P111" s="88">
        <f t="shared" si="7"/>
        <v>0</v>
      </c>
      <c r="Q111" s="88">
        <f t="shared" si="8"/>
        <v>0</v>
      </c>
      <c r="R111" s="88">
        <f t="shared" si="1"/>
        <v>0</v>
      </c>
      <c r="S111" s="88">
        <f t="shared" si="9"/>
        <v>0</v>
      </c>
      <c r="T111" s="88">
        <f t="shared" ca="1" si="13"/>
        <v>4751273.9642192004</v>
      </c>
      <c r="U111" s="88">
        <f t="shared" ca="1" si="14"/>
        <v>382903.59713753604</v>
      </c>
      <c r="V111" s="88">
        <f t="shared" ca="1" si="10"/>
        <v>5204219.5613567363</v>
      </c>
      <c r="X111" s="88"/>
      <c r="Y111" s="87"/>
      <c r="Z111" s="87">
        <v>15</v>
      </c>
      <c r="AA111" s="87">
        <v>2037</v>
      </c>
      <c r="AB111" s="87">
        <v>50</v>
      </c>
      <c r="AC111" s="87">
        <v>49</v>
      </c>
      <c r="AD111" s="88">
        <f t="shared" si="2"/>
        <v>44900</v>
      </c>
      <c r="AE111" s="88">
        <f t="shared" si="3"/>
        <v>35700</v>
      </c>
      <c r="AF111" s="88">
        <f t="shared" si="4"/>
        <v>0</v>
      </c>
      <c r="AG111" s="88">
        <f t="shared" ca="1" si="15"/>
        <v>6588139.9899990382</v>
      </c>
      <c r="AH111" s="88">
        <f t="shared" ca="1" si="11"/>
        <v>528849.15919992304</v>
      </c>
      <c r="AI111" s="88">
        <f t="shared" ca="1" si="12"/>
        <v>7197589.1491989614</v>
      </c>
    </row>
    <row r="112" spans="2:35">
      <c r="B112" s="45"/>
      <c r="C112" s="45"/>
      <c r="D112" s="45"/>
      <c r="E112" s="45"/>
      <c r="F112" s="45"/>
      <c r="I112" s="87">
        <v>16</v>
      </c>
      <c r="J112" s="88">
        <f t="shared" ca="1" si="0"/>
        <v>0</v>
      </c>
      <c r="K112" s="87">
        <v>2038</v>
      </c>
      <c r="L112" s="87">
        <v>51</v>
      </c>
      <c r="M112" s="87">
        <v>50</v>
      </c>
      <c r="N112" s="88">
        <f t="shared" si="5"/>
        <v>30500</v>
      </c>
      <c r="O112" s="88">
        <f t="shared" si="6"/>
        <v>39542</v>
      </c>
      <c r="P112" s="88">
        <f t="shared" si="7"/>
        <v>0</v>
      </c>
      <c r="Q112" s="88">
        <f t="shared" si="8"/>
        <v>0</v>
      </c>
      <c r="R112" s="88">
        <f t="shared" si="1"/>
        <v>0</v>
      </c>
      <c r="S112" s="88">
        <f t="shared" si="9"/>
        <v>0</v>
      </c>
      <c r="T112" s="88">
        <f t="shared" ca="1" si="13"/>
        <v>5204219.5613567363</v>
      </c>
      <c r="U112" s="88">
        <f t="shared" ca="1" si="14"/>
        <v>419139.24490853894</v>
      </c>
      <c r="V112" s="88">
        <f t="shared" ca="1" si="10"/>
        <v>5693400.806265275</v>
      </c>
      <c r="X112" s="88"/>
      <c r="Y112" s="87"/>
      <c r="Z112" s="87">
        <v>16</v>
      </c>
      <c r="AA112" s="87">
        <v>2038</v>
      </c>
      <c r="AB112" s="87">
        <v>51</v>
      </c>
      <c r="AC112" s="87">
        <v>50</v>
      </c>
      <c r="AD112" s="88">
        <f t="shared" si="2"/>
        <v>44900</v>
      </c>
      <c r="AE112" s="88">
        <f t="shared" si="3"/>
        <v>35700</v>
      </c>
      <c r="AF112" s="88">
        <f t="shared" si="4"/>
        <v>0</v>
      </c>
      <c r="AG112" s="88">
        <f t="shared" ca="1" si="15"/>
        <v>7197589.1491989614</v>
      </c>
      <c r="AH112" s="88">
        <f t="shared" ca="1" si="11"/>
        <v>577605.13193591696</v>
      </c>
      <c r="AI112" s="88">
        <f t="shared" ca="1" si="12"/>
        <v>7855794.2811348783</v>
      </c>
    </row>
    <row r="113" spans="2:35">
      <c r="B113" s="45"/>
      <c r="C113" s="45"/>
      <c r="D113" s="45"/>
      <c r="E113" s="45"/>
      <c r="F113" s="45"/>
      <c r="I113" s="87">
        <v>17</v>
      </c>
      <c r="J113" s="88">
        <f t="shared" ca="1" si="0"/>
        <v>0</v>
      </c>
      <c r="K113" s="87">
        <v>2039</v>
      </c>
      <c r="L113" s="87">
        <v>52</v>
      </c>
      <c r="M113" s="87">
        <v>51</v>
      </c>
      <c r="N113" s="88">
        <f t="shared" si="5"/>
        <v>30500</v>
      </c>
      <c r="O113" s="88">
        <f t="shared" si="6"/>
        <v>39542</v>
      </c>
      <c r="P113" s="88">
        <f t="shared" si="7"/>
        <v>0</v>
      </c>
      <c r="Q113" s="88">
        <f t="shared" si="8"/>
        <v>0</v>
      </c>
      <c r="R113" s="88">
        <f t="shared" si="1"/>
        <v>0</v>
      </c>
      <c r="S113" s="88">
        <f t="shared" si="9"/>
        <v>0</v>
      </c>
      <c r="T113" s="88">
        <f t="shared" ca="1" si="13"/>
        <v>5693400.806265275</v>
      </c>
      <c r="U113" s="88">
        <f t="shared" ca="1" si="14"/>
        <v>458273.74450122198</v>
      </c>
      <c r="V113" s="88">
        <f t="shared" ca="1" si="10"/>
        <v>6221716.5507664969</v>
      </c>
      <c r="X113" s="88"/>
      <c r="Y113" s="87"/>
      <c r="Z113" s="87">
        <v>17</v>
      </c>
      <c r="AA113" s="87">
        <v>2039</v>
      </c>
      <c r="AB113" s="87">
        <v>52</v>
      </c>
      <c r="AC113" s="87">
        <v>51</v>
      </c>
      <c r="AD113" s="88">
        <f t="shared" si="2"/>
        <v>44900</v>
      </c>
      <c r="AE113" s="88">
        <f t="shared" si="3"/>
        <v>35700</v>
      </c>
      <c r="AF113" s="88">
        <f t="shared" si="4"/>
        <v>0</v>
      </c>
      <c r="AG113" s="88">
        <f t="shared" ca="1" si="15"/>
        <v>7855794.2811348783</v>
      </c>
      <c r="AH113" s="88">
        <f t="shared" ca="1" si="11"/>
        <v>630261.58249079029</v>
      </c>
      <c r="AI113" s="88">
        <f t="shared" ca="1" si="12"/>
        <v>8566655.863625668</v>
      </c>
    </row>
    <row r="114" spans="2:35">
      <c r="B114" s="45"/>
      <c r="C114" s="45"/>
      <c r="D114" s="45"/>
      <c r="E114" s="45"/>
      <c r="F114" s="45"/>
      <c r="I114" s="87">
        <v>18</v>
      </c>
      <c r="J114" s="88">
        <f t="shared" ca="1" si="0"/>
        <v>0</v>
      </c>
      <c r="K114" s="87">
        <v>2040</v>
      </c>
      <c r="L114" s="87">
        <v>53</v>
      </c>
      <c r="M114" s="87">
        <v>52</v>
      </c>
      <c r="N114" s="88">
        <f t="shared" si="5"/>
        <v>30500</v>
      </c>
      <c r="O114" s="88">
        <f t="shared" si="6"/>
        <v>39542</v>
      </c>
      <c r="P114" s="88">
        <f t="shared" si="7"/>
        <v>0</v>
      </c>
      <c r="Q114" s="88">
        <f t="shared" si="8"/>
        <v>0</v>
      </c>
      <c r="R114" s="88">
        <f t="shared" si="1"/>
        <v>0</v>
      </c>
      <c r="S114" s="88">
        <f t="shared" si="9"/>
        <v>0</v>
      </c>
      <c r="T114" s="88">
        <f t="shared" ca="1" si="13"/>
        <v>6221716.5507664969</v>
      </c>
      <c r="U114" s="88">
        <f t="shared" ca="1" si="14"/>
        <v>500539.00406131975</v>
      </c>
      <c r="V114" s="88">
        <f t="shared" ca="1" si="10"/>
        <v>6792297.5548278168</v>
      </c>
      <c r="X114" s="88"/>
      <c r="Y114" s="87"/>
      <c r="Z114" s="87">
        <v>18</v>
      </c>
      <c r="AA114" s="87">
        <v>2040</v>
      </c>
      <c r="AB114" s="87">
        <v>53</v>
      </c>
      <c r="AC114" s="87">
        <v>52</v>
      </c>
      <c r="AD114" s="88">
        <f t="shared" si="2"/>
        <v>44900</v>
      </c>
      <c r="AE114" s="88">
        <f t="shared" si="3"/>
        <v>35700</v>
      </c>
      <c r="AF114" s="88">
        <f t="shared" si="4"/>
        <v>0</v>
      </c>
      <c r="AG114" s="88">
        <f t="shared" ca="1" si="15"/>
        <v>8566655.863625668</v>
      </c>
      <c r="AH114" s="88">
        <f t="shared" ca="1" si="11"/>
        <v>687130.54909005342</v>
      </c>
      <c r="AI114" s="88">
        <f t="shared" ca="1" si="12"/>
        <v>9334386.4127157219</v>
      </c>
    </row>
    <row r="115" spans="2:35">
      <c r="I115" s="87">
        <v>19</v>
      </c>
      <c r="J115" s="88">
        <f t="shared" ca="1" si="0"/>
        <v>0</v>
      </c>
      <c r="K115" s="87">
        <v>2041</v>
      </c>
      <c r="L115" s="87">
        <v>54</v>
      </c>
      <c r="M115" s="87">
        <v>53</v>
      </c>
      <c r="N115" s="88">
        <f t="shared" si="5"/>
        <v>30500</v>
      </c>
      <c r="O115" s="88">
        <f t="shared" si="6"/>
        <v>39542</v>
      </c>
      <c r="P115" s="88">
        <f t="shared" si="7"/>
        <v>0</v>
      </c>
      <c r="Q115" s="88">
        <f t="shared" si="8"/>
        <v>0</v>
      </c>
      <c r="R115" s="88">
        <f t="shared" si="1"/>
        <v>0</v>
      </c>
      <c r="S115" s="88">
        <f t="shared" si="9"/>
        <v>0</v>
      </c>
      <c r="T115" s="88">
        <f t="shared" ca="1" si="13"/>
        <v>6792297.5548278168</v>
      </c>
      <c r="U115" s="88">
        <f t="shared" ca="1" si="14"/>
        <v>546185.48438622535</v>
      </c>
      <c r="V115" s="88">
        <f t="shared" ca="1" si="10"/>
        <v>7408525.039214042</v>
      </c>
      <c r="X115" s="88"/>
      <c r="Y115" s="87"/>
      <c r="Z115" s="87">
        <v>19</v>
      </c>
      <c r="AA115" s="87">
        <v>2041</v>
      </c>
      <c r="AB115" s="87">
        <v>54</v>
      </c>
      <c r="AC115" s="87">
        <v>53</v>
      </c>
      <c r="AD115" s="88">
        <f t="shared" si="2"/>
        <v>44900</v>
      </c>
      <c r="AE115" s="88">
        <f t="shared" si="3"/>
        <v>35700</v>
      </c>
      <c r="AF115" s="88">
        <f t="shared" si="4"/>
        <v>0</v>
      </c>
      <c r="AG115" s="88">
        <f t="shared" ca="1" si="15"/>
        <v>9334386.4127157219</v>
      </c>
      <c r="AH115" s="88">
        <f t="shared" ca="1" si="11"/>
        <v>748549.03301725781</v>
      </c>
      <c r="AI115" s="88">
        <f t="shared" ca="1" si="12"/>
        <v>10163535.445732979</v>
      </c>
    </row>
    <row r="116" spans="2:35">
      <c r="I116" s="87">
        <v>20</v>
      </c>
      <c r="J116" s="88">
        <f t="shared" ca="1" si="0"/>
        <v>0</v>
      </c>
      <c r="K116" s="87">
        <v>2042</v>
      </c>
      <c r="L116" s="87">
        <v>55</v>
      </c>
      <c r="M116" s="87">
        <v>54</v>
      </c>
      <c r="N116" s="88">
        <f t="shared" si="5"/>
        <v>0</v>
      </c>
      <c r="O116" s="88">
        <f t="shared" si="6"/>
        <v>39542</v>
      </c>
      <c r="P116" s="88">
        <f t="shared" si="7"/>
        <v>0</v>
      </c>
      <c r="Q116" s="88">
        <f t="shared" si="8"/>
        <v>0</v>
      </c>
      <c r="R116" s="88">
        <f t="shared" si="1"/>
        <v>263093.28687492653</v>
      </c>
      <c r="S116" s="88">
        <f t="shared" si="9"/>
        <v>102314.05600691587</v>
      </c>
      <c r="T116" s="88">
        <f t="shared" ca="1" si="13"/>
        <v>7408525.039214042</v>
      </c>
      <c r="U116" s="88">
        <f ca="1">(SUM(N116:O116)/2)*$K$86+(T116*$K$86)</f>
        <v>594263.68313712347</v>
      </c>
      <c r="V116" s="88">
        <f t="shared" ca="1" si="10"/>
        <v>7676923.379469323</v>
      </c>
      <c r="X116" s="88"/>
      <c r="Y116" s="87"/>
      <c r="Z116" s="87">
        <v>20</v>
      </c>
      <c r="AA116" s="87">
        <v>2042</v>
      </c>
      <c r="AB116" s="87">
        <v>55</v>
      </c>
      <c r="AC116" s="87">
        <v>54</v>
      </c>
      <c r="AD116" s="88">
        <f t="shared" si="2"/>
        <v>44900</v>
      </c>
      <c r="AE116" s="88">
        <f t="shared" si="3"/>
        <v>35700</v>
      </c>
      <c r="AF116" s="88">
        <f t="shared" si="4"/>
        <v>0</v>
      </c>
      <c r="AG116" s="88">
        <f t="shared" ca="1" si="15"/>
        <v>10163535.445732979</v>
      </c>
      <c r="AH116" s="88">
        <f t="shared" ca="1" si="11"/>
        <v>814880.99565863842</v>
      </c>
      <c r="AI116" s="88">
        <f t="shared" ca="1" si="12"/>
        <v>11059016.441391617</v>
      </c>
    </row>
    <row r="117" spans="2:35">
      <c r="I117" s="87">
        <v>21</v>
      </c>
      <c r="J117" s="88">
        <f t="shared" ca="1" si="0"/>
        <v>0</v>
      </c>
      <c r="K117" s="87">
        <v>2043</v>
      </c>
      <c r="L117" s="87">
        <v>56</v>
      </c>
      <c r="M117" s="87">
        <v>55</v>
      </c>
      <c r="N117" s="88">
        <f t="shared" si="5"/>
        <v>0</v>
      </c>
      <c r="O117" s="88">
        <f t="shared" si="6"/>
        <v>0</v>
      </c>
      <c r="P117" s="88">
        <f t="shared" si="7"/>
        <v>0</v>
      </c>
      <c r="Q117" s="88">
        <f t="shared" si="8"/>
        <v>0</v>
      </c>
      <c r="R117" s="88">
        <f t="shared" si="1"/>
        <v>268355.15261242504</v>
      </c>
      <c r="S117" s="88">
        <f t="shared" si="9"/>
        <v>104360.33712705417</v>
      </c>
      <c r="T117" s="88">
        <f t="shared" ca="1" si="13"/>
        <v>7676923.379469323</v>
      </c>
      <c r="U117" s="88">
        <f t="shared" ca="1" si="14"/>
        <v>614153.87035754591</v>
      </c>
      <c r="V117" s="88">
        <f t="shared" ca="1" si="10"/>
        <v>7918361.7600873895</v>
      </c>
      <c r="X117" s="88"/>
      <c r="Y117" s="87"/>
      <c r="Z117" s="87">
        <v>21</v>
      </c>
      <c r="AA117" s="87">
        <v>2043</v>
      </c>
      <c r="AB117" s="87">
        <v>56</v>
      </c>
      <c r="AC117" s="87">
        <v>55</v>
      </c>
      <c r="AD117" s="88">
        <f t="shared" si="2"/>
        <v>44900</v>
      </c>
      <c r="AE117" s="88">
        <f t="shared" si="3"/>
        <v>35700</v>
      </c>
      <c r="AF117" s="88">
        <f t="shared" si="4"/>
        <v>0</v>
      </c>
      <c r="AG117" s="88">
        <f t="shared" ca="1" si="15"/>
        <v>11059016.441391617</v>
      </c>
      <c r="AH117" s="88">
        <f t="shared" ca="1" si="11"/>
        <v>886519.51531132939</v>
      </c>
      <c r="AI117" s="88">
        <f t="shared" ca="1" si="12"/>
        <v>12026135.956702946</v>
      </c>
    </row>
    <row r="118" spans="2:35">
      <c r="I118" s="87">
        <v>22</v>
      </c>
      <c r="J118" s="88">
        <f t="shared" ca="1" si="0"/>
        <v>0</v>
      </c>
      <c r="K118" s="87">
        <v>2044</v>
      </c>
      <c r="L118" s="87">
        <v>57</v>
      </c>
      <c r="M118" s="87">
        <v>56</v>
      </c>
      <c r="N118" s="88">
        <f t="shared" si="5"/>
        <v>0</v>
      </c>
      <c r="O118" s="88">
        <f t="shared" si="6"/>
        <v>0</v>
      </c>
      <c r="P118" s="88">
        <f t="shared" si="7"/>
        <v>0</v>
      </c>
      <c r="Q118" s="88">
        <f t="shared" si="8"/>
        <v>0</v>
      </c>
      <c r="R118" s="88">
        <f t="shared" si="1"/>
        <v>273722.25566467358</v>
      </c>
      <c r="S118" s="88">
        <f t="shared" si="9"/>
        <v>106447.54386959528</v>
      </c>
      <c r="T118" s="88">
        <f t="shared" ca="1" si="13"/>
        <v>7918361.7600873895</v>
      </c>
      <c r="U118" s="88">
        <f t="shared" ca="1" si="14"/>
        <v>633468.94080699119</v>
      </c>
      <c r="V118" s="88">
        <f t="shared" ca="1" si="10"/>
        <v>8171660.9013601113</v>
      </c>
      <c r="X118" s="88"/>
      <c r="Y118" s="87"/>
      <c r="Z118" s="87">
        <v>22</v>
      </c>
      <c r="AA118" s="87">
        <v>2044</v>
      </c>
      <c r="AB118" s="87">
        <v>57</v>
      </c>
      <c r="AC118" s="87">
        <v>56</v>
      </c>
      <c r="AD118" s="88">
        <f t="shared" si="2"/>
        <v>44900</v>
      </c>
      <c r="AE118" s="88">
        <f t="shared" si="3"/>
        <v>35700</v>
      </c>
      <c r="AF118" s="88">
        <f t="shared" si="4"/>
        <v>0</v>
      </c>
      <c r="AG118" s="88">
        <f t="shared" ca="1" si="15"/>
        <v>12026135.956702946</v>
      </c>
      <c r="AH118" s="88">
        <f t="shared" ca="1" si="11"/>
        <v>963889.11653623567</v>
      </c>
      <c r="AI118" s="88">
        <f t="shared" ca="1" si="12"/>
        <v>13070625.073239181</v>
      </c>
    </row>
    <row r="119" spans="2:35">
      <c r="I119" s="87">
        <v>23</v>
      </c>
      <c r="J119" s="88">
        <f t="shared" ca="1" si="0"/>
        <v>0</v>
      </c>
      <c r="K119" s="87">
        <v>2045</v>
      </c>
      <c r="L119" s="87">
        <v>58</v>
      </c>
      <c r="M119" s="87">
        <v>57</v>
      </c>
      <c r="N119" s="88">
        <f t="shared" si="5"/>
        <v>0</v>
      </c>
      <c r="O119" s="88">
        <f t="shared" si="6"/>
        <v>0</v>
      </c>
      <c r="P119" s="88">
        <f t="shared" si="7"/>
        <v>0</v>
      </c>
      <c r="Q119" s="88">
        <f t="shared" si="8"/>
        <v>0</v>
      </c>
      <c r="R119" s="88">
        <f t="shared" si="1"/>
        <v>279196.70077796699</v>
      </c>
      <c r="S119" s="88">
        <f t="shared" si="9"/>
        <v>108576.49474698718</v>
      </c>
      <c r="T119" s="88">
        <f t="shared" ca="1" si="13"/>
        <v>8171660.9013601113</v>
      </c>
      <c r="U119" s="88">
        <f t="shared" ca="1" si="14"/>
        <v>653732.87210880895</v>
      </c>
      <c r="V119" s="88">
        <f t="shared" ca="1" si="10"/>
        <v>8437620.5779439677</v>
      </c>
      <c r="X119" s="88"/>
      <c r="Y119" s="87"/>
      <c r="Z119" s="87">
        <v>23</v>
      </c>
      <c r="AA119" s="87">
        <v>2045</v>
      </c>
      <c r="AB119" s="87">
        <v>58</v>
      </c>
      <c r="AC119" s="87">
        <v>57</v>
      </c>
      <c r="AD119" s="88">
        <f t="shared" si="2"/>
        <v>44900</v>
      </c>
      <c r="AE119" s="88">
        <f t="shared" si="3"/>
        <v>35700</v>
      </c>
      <c r="AF119" s="88">
        <f t="shared" si="4"/>
        <v>0</v>
      </c>
      <c r="AG119" s="88">
        <f t="shared" ca="1" si="15"/>
        <v>13070625.073239181</v>
      </c>
      <c r="AH119" s="88">
        <f t="shared" ca="1" si="11"/>
        <v>1047448.2858591345</v>
      </c>
      <c r="AI119" s="88">
        <f t="shared" ca="1" si="12"/>
        <v>14198673.359098315</v>
      </c>
    </row>
    <row r="120" spans="2:35">
      <c r="I120" s="87">
        <v>24</v>
      </c>
      <c r="J120" s="88">
        <f t="shared" ca="1" si="0"/>
        <v>0</v>
      </c>
      <c r="K120" s="87">
        <v>2046</v>
      </c>
      <c r="L120" s="87">
        <v>59</v>
      </c>
      <c r="M120" s="87">
        <v>58</v>
      </c>
      <c r="N120" s="88">
        <f t="shared" si="5"/>
        <v>0</v>
      </c>
      <c r="O120" s="88">
        <f t="shared" si="6"/>
        <v>0</v>
      </c>
      <c r="P120" s="88">
        <f t="shared" si="7"/>
        <v>0</v>
      </c>
      <c r="Q120" s="88">
        <f t="shared" si="8"/>
        <v>0</v>
      </c>
      <c r="R120" s="88">
        <f t="shared" si="1"/>
        <v>284780.63479352638</v>
      </c>
      <c r="S120" s="88">
        <f t="shared" si="9"/>
        <v>110748.02464192692</v>
      </c>
      <c r="T120" s="88">
        <f t="shared" ca="1" si="13"/>
        <v>8437620.5779439677</v>
      </c>
      <c r="U120" s="88">
        <f t="shared" ca="1" si="14"/>
        <v>675009.64623551746</v>
      </c>
      <c r="V120" s="88">
        <f t="shared" ca="1" si="10"/>
        <v>8717101.5647440329</v>
      </c>
      <c r="X120" s="88"/>
      <c r="Y120" s="87"/>
      <c r="Z120" s="87">
        <v>24</v>
      </c>
      <c r="AA120" s="87">
        <v>2046</v>
      </c>
      <c r="AB120" s="87">
        <v>59</v>
      </c>
      <c r="AC120" s="87">
        <v>58</v>
      </c>
      <c r="AD120" s="88">
        <f t="shared" si="2"/>
        <v>44900</v>
      </c>
      <c r="AE120" s="88">
        <f t="shared" si="3"/>
        <v>35700</v>
      </c>
      <c r="AF120" s="88">
        <f t="shared" si="4"/>
        <v>0</v>
      </c>
      <c r="AG120" s="88">
        <f t="shared" ca="1" si="15"/>
        <v>14198673.359098315</v>
      </c>
      <c r="AH120" s="88">
        <f t="shared" ca="1" si="11"/>
        <v>1137692.1887278652</v>
      </c>
      <c r="AI120" s="88">
        <f t="shared" ca="1" si="12"/>
        <v>15416965.54782618</v>
      </c>
    </row>
    <row r="121" spans="2:35">
      <c r="I121" s="87">
        <v>25</v>
      </c>
      <c r="J121" s="88">
        <f t="shared" ca="1" si="0"/>
        <v>0</v>
      </c>
      <c r="K121" s="87">
        <v>2047</v>
      </c>
      <c r="L121" s="87">
        <v>60</v>
      </c>
      <c r="M121" s="87">
        <v>59</v>
      </c>
      <c r="N121" s="88">
        <f t="shared" si="5"/>
        <v>0</v>
      </c>
      <c r="O121" s="88">
        <f t="shared" si="6"/>
        <v>0</v>
      </c>
      <c r="P121" s="88">
        <f t="shared" si="7"/>
        <v>0</v>
      </c>
      <c r="Q121" s="88">
        <f t="shared" si="8"/>
        <v>0</v>
      </c>
      <c r="R121" s="88">
        <f t="shared" si="1"/>
        <v>290476.24748939689</v>
      </c>
      <c r="S121" s="88">
        <f t="shared" si="9"/>
        <v>112962.98513476545</v>
      </c>
      <c r="T121" s="88">
        <f t="shared" ca="1" si="13"/>
        <v>8717101.5647440329</v>
      </c>
      <c r="U121" s="88">
        <f t="shared" ca="1" si="14"/>
        <v>697368.12517952267</v>
      </c>
      <c r="V121" s="88">
        <f t="shared" ca="1" si="10"/>
        <v>9011030.4572993927</v>
      </c>
      <c r="X121" s="88"/>
      <c r="Y121" s="87"/>
      <c r="Z121" s="87">
        <v>25</v>
      </c>
      <c r="AA121" s="87">
        <v>2047</v>
      </c>
      <c r="AB121" s="87">
        <v>60</v>
      </c>
      <c r="AC121" s="87">
        <v>59</v>
      </c>
      <c r="AD121" s="88">
        <f t="shared" si="2"/>
        <v>44900</v>
      </c>
      <c r="AE121" s="88">
        <f t="shared" si="3"/>
        <v>35700</v>
      </c>
      <c r="AF121" s="88">
        <f t="shared" si="4"/>
        <v>0</v>
      </c>
      <c r="AG121" s="88">
        <f t="shared" ca="1" si="15"/>
        <v>15416965.54782618</v>
      </c>
      <c r="AH121" s="88">
        <f t="shared" ca="1" si="11"/>
        <v>1235155.6038260947</v>
      </c>
      <c r="AI121" s="88">
        <f t="shared" ca="1" si="12"/>
        <v>16732721.151652275</v>
      </c>
    </row>
    <row r="122" spans="2:35">
      <c r="I122" s="87">
        <v>26</v>
      </c>
      <c r="J122" s="88">
        <f t="shared" ca="1" si="0"/>
        <v>0</v>
      </c>
      <c r="K122" s="87">
        <v>2048</v>
      </c>
      <c r="L122" s="87">
        <v>61</v>
      </c>
      <c r="M122" s="87">
        <v>60</v>
      </c>
      <c r="N122" s="88">
        <f t="shared" si="5"/>
        <v>0</v>
      </c>
      <c r="O122" s="88">
        <f t="shared" si="6"/>
        <v>0</v>
      </c>
      <c r="P122" s="88">
        <f t="shared" si="7"/>
        <v>0</v>
      </c>
      <c r="Q122" s="88">
        <f t="shared" si="8"/>
        <v>0</v>
      </c>
      <c r="R122" s="88">
        <f t="shared" si="1"/>
        <v>296285.77243918483</v>
      </c>
      <c r="S122" s="88">
        <f t="shared" si="9"/>
        <v>115222.24483746081</v>
      </c>
      <c r="T122" s="88">
        <f t="shared" ca="1" si="13"/>
        <v>9011030.4572993927</v>
      </c>
      <c r="U122" s="88">
        <f t="shared" ca="1" si="14"/>
        <v>720882.43658395146</v>
      </c>
      <c r="V122" s="88">
        <f t="shared" ca="1" si="10"/>
        <v>9320404.8766066991</v>
      </c>
      <c r="X122" s="88"/>
      <c r="Y122" s="87"/>
      <c r="Z122" s="87">
        <v>26</v>
      </c>
      <c r="AA122" s="87">
        <v>2048</v>
      </c>
      <c r="AB122" s="87">
        <v>61</v>
      </c>
      <c r="AC122" s="87">
        <v>60</v>
      </c>
      <c r="AD122" s="88">
        <f t="shared" si="2"/>
        <v>44900</v>
      </c>
      <c r="AE122" s="88">
        <f t="shared" si="3"/>
        <v>35700</v>
      </c>
      <c r="AF122" s="88">
        <f t="shared" si="4"/>
        <v>0</v>
      </c>
      <c r="AG122" s="88">
        <f t="shared" ca="1" si="15"/>
        <v>16732721.151652275</v>
      </c>
      <c r="AH122" s="88">
        <f t="shared" ca="1" si="11"/>
        <v>1340416.0921321819</v>
      </c>
      <c r="AI122" s="88">
        <f ca="1">SUM(AD122,AE122,AG122,AH122)-AF122</f>
        <v>18153737.243784457</v>
      </c>
    </row>
    <row r="123" spans="2:35">
      <c r="I123" s="87">
        <v>27</v>
      </c>
      <c r="J123" s="88">
        <f t="shared" ca="1" si="0"/>
        <v>0</v>
      </c>
      <c r="K123" s="87">
        <v>2049</v>
      </c>
      <c r="L123" s="87">
        <v>62</v>
      </c>
      <c r="M123" s="87">
        <v>61</v>
      </c>
      <c r="N123" s="88">
        <f t="shared" si="5"/>
        <v>0</v>
      </c>
      <c r="O123" s="88">
        <f t="shared" si="6"/>
        <v>0</v>
      </c>
      <c r="P123" s="88">
        <f t="shared" si="7"/>
        <v>0</v>
      </c>
      <c r="Q123" s="88">
        <f t="shared" si="8"/>
        <v>0</v>
      </c>
      <c r="R123" s="88">
        <f t="shared" si="1"/>
        <v>302211.48788796848</v>
      </c>
      <c r="S123" s="88">
        <f t="shared" si="9"/>
        <v>117526.68973420997</v>
      </c>
      <c r="T123" s="88">
        <f t="shared" ca="1" si="13"/>
        <v>9320404.8766066991</v>
      </c>
      <c r="U123" s="88">
        <f t="shared" ca="1" si="14"/>
        <v>745632.39012853592</v>
      </c>
      <c r="V123" s="88">
        <f t="shared" ca="1" si="10"/>
        <v>9646299.0891130567</v>
      </c>
      <c r="X123" s="88"/>
      <c r="Y123" s="87"/>
      <c r="Z123" s="87">
        <v>27</v>
      </c>
      <c r="AA123" s="87">
        <v>2049</v>
      </c>
      <c r="AB123" s="87">
        <v>62</v>
      </c>
      <c r="AC123" s="87">
        <v>61</v>
      </c>
      <c r="AD123" s="88">
        <f t="shared" si="2"/>
        <v>44900</v>
      </c>
      <c r="AE123" s="88">
        <f t="shared" si="3"/>
        <v>35700</v>
      </c>
      <c r="AF123" s="88">
        <f t="shared" si="4"/>
        <v>0</v>
      </c>
      <c r="AG123" s="88">
        <f t="shared" ca="1" si="15"/>
        <v>18153737.243784457</v>
      </c>
      <c r="AH123" s="88">
        <f t="shared" ca="1" si="11"/>
        <v>1454097.4195027566</v>
      </c>
      <c r="AI123" s="88">
        <f t="shared" ref="AI123:AI169" ca="1" si="16">SUM(AD123,AE123,AG123,AH123)-AF123</f>
        <v>19688434.663287215</v>
      </c>
    </row>
    <row r="124" spans="2:35">
      <c r="I124" s="87">
        <v>28</v>
      </c>
      <c r="J124" s="88">
        <f t="shared" ca="1" si="0"/>
        <v>0</v>
      </c>
      <c r="K124" s="87">
        <v>2050</v>
      </c>
      <c r="L124" s="87">
        <v>63</v>
      </c>
      <c r="M124" s="87">
        <v>62</v>
      </c>
      <c r="N124" s="88">
        <f t="shared" si="5"/>
        <v>0</v>
      </c>
      <c r="O124" s="88">
        <f t="shared" si="6"/>
        <v>0</v>
      </c>
      <c r="P124" s="88">
        <f t="shared" si="7"/>
        <v>0</v>
      </c>
      <c r="Q124" s="88">
        <f t="shared" si="8"/>
        <v>0</v>
      </c>
      <c r="R124" s="88">
        <f t="shared" si="1"/>
        <v>308255.71764572791</v>
      </c>
      <c r="S124" s="88">
        <f t="shared" si="9"/>
        <v>119877.22352889419</v>
      </c>
      <c r="T124" s="88">
        <f t="shared" ca="1" si="13"/>
        <v>9646299.0891130567</v>
      </c>
      <c r="U124" s="88">
        <f t="shared" ca="1" si="14"/>
        <v>771703.92712904455</v>
      </c>
      <c r="V124" s="88">
        <f t="shared" ca="1" si="10"/>
        <v>9989870.0750674792</v>
      </c>
      <c r="X124" s="88"/>
      <c r="Y124" s="87"/>
      <c r="Z124" s="87">
        <v>28</v>
      </c>
      <c r="AA124" s="87">
        <v>2050</v>
      </c>
      <c r="AB124" s="87">
        <v>63</v>
      </c>
      <c r="AC124" s="87">
        <v>62</v>
      </c>
      <c r="AD124" s="88">
        <f t="shared" si="2"/>
        <v>44900</v>
      </c>
      <c r="AE124" s="88">
        <f t="shared" si="3"/>
        <v>35700</v>
      </c>
      <c r="AF124" s="88">
        <f t="shared" si="4"/>
        <v>0</v>
      </c>
      <c r="AG124" s="88">
        <f t="shared" ca="1" si="15"/>
        <v>19688434.663287215</v>
      </c>
      <c r="AH124" s="88">
        <f t="shared" ca="1" si="11"/>
        <v>1576873.2530629772</v>
      </c>
      <c r="AI124" s="88">
        <f t="shared" ca="1" si="16"/>
        <v>21345907.916350193</v>
      </c>
    </row>
    <row r="125" spans="2:35">
      <c r="I125" s="87">
        <v>29</v>
      </c>
      <c r="J125" s="88">
        <f t="shared" ca="1" si="0"/>
        <v>0</v>
      </c>
      <c r="K125" s="87">
        <v>2051</v>
      </c>
      <c r="L125" s="87">
        <v>64</v>
      </c>
      <c r="M125" s="87">
        <v>63</v>
      </c>
      <c r="N125" s="88">
        <f t="shared" si="5"/>
        <v>0</v>
      </c>
      <c r="O125" s="88">
        <f t="shared" si="6"/>
        <v>0</v>
      </c>
      <c r="P125" s="88">
        <f t="shared" si="7"/>
        <v>0</v>
      </c>
      <c r="Q125" s="88">
        <f t="shared" si="8"/>
        <v>0</v>
      </c>
      <c r="R125" s="88">
        <f t="shared" si="1"/>
        <v>314420.83199864242</v>
      </c>
      <c r="S125" s="88">
        <f t="shared" si="9"/>
        <v>122274.7679994721</v>
      </c>
      <c r="T125" s="88">
        <f t="shared" ca="1" si="13"/>
        <v>9989870.0750674792</v>
      </c>
      <c r="U125" s="88">
        <f t="shared" ca="1" si="14"/>
        <v>799189.60600539832</v>
      </c>
      <c r="V125" s="88">
        <f t="shared" ca="1" si="10"/>
        <v>10352364.081074763</v>
      </c>
      <c r="X125" s="88"/>
      <c r="Y125" s="87"/>
      <c r="Z125" s="87">
        <v>29</v>
      </c>
      <c r="AA125" s="87">
        <v>2051</v>
      </c>
      <c r="AB125" s="87">
        <v>64</v>
      </c>
      <c r="AC125" s="87">
        <v>63</v>
      </c>
      <c r="AD125" s="88">
        <f t="shared" si="2"/>
        <v>44900</v>
      </c>
      <c r="AE125" s="88">
        <f t="shared" si="3"/>
        <v>35700</v>
      </c>
      <c r="AF125" s="88">
        <f t="shared" si="4"/>
        <v>0</v>
      </c>
      <c r="AG125" s="88">
        <f t="shared" ca="1" si="15"/>
        <v>21345907.916350193</v>
      </c>
      <c r="AH125" s="88">
        <f t="shared" ca="1" si="11"/>
        <v>1709471.1533080155</v>
      </c>
      <c r="AI125" s="88">
        <f t="shared" ca="1" si="16"/>
        <v>23135979.069658209</v>
      </c>
    </row>
    <row r="126" spans="2:35">
      <c r="I126" s="87">
        <v>30</v>
      </c>
      <c r="J126" s="88">
        <f t="shared" ca="1" si="0"/>
        <v>0</v>
      </c>
      <c r="K126" s="87">
        <v>2052</v>
      </c>
      <c r="L126" s="87">
        <v>65</v>
      </c>
      <c r="M126" s="87">
        <v>64</v>
      </c>
      <c r="N126" s="88">
        <f t="shared" si="5"/>
        <v>0</v>
      </c>
      <c r="O126" s="88">
        <f t="shared" si="6"/>
        <v>0</v>
      </c>
      <c r="P126" s="88">
        <f t="shared" si="7"/>
        <v>0</v>
      </c>
      <c r="Q126" s="88">
        <f t="shared" si="8"/>
        <v>0</v>
      </c>
      <c r="R126" s="88">
        <f t="shared" si="1"/>
        <v>320709.2486386153</v>
      </c>
      <c r="S126" s="88">
        <f t="shared" si="9"/>
        <v>124720.2633594615</v>
      </c>
      <c r="T126" s="88">
        <f t="shared" ca="1" si="13"/>
        <v>10352364.081074763</v>
      </c>
      <c r="U126" s="88">
        <f t="shared" ca="1" si="14"/>
        <v>828189.12648598105</v>
      </c>
      <c r="V126" s="88">
        <f t="shared" ca="1" si="10"/>
        <v>10735123.695562668</v>
      </c>
      <c r="X126" s="88"/>
      <c r="Y126" s="87"/>
      <c r="Z126" s="87">
        <v>30</v>
      </c>
      <c r="AA126" s="87">
        <v>2052</v>
      </c>
      <c r="AB126" s="87">
        <v>65</v>
      </c>
      <c r="AC126" s="87">
        <v>64</v>
      </c>
      <c r="AD126" s="88">
        <f t="shared" si="2"/>
        <v>0</v>
      </c>
      <c r="AE126" s="88">
        <f t="shared" si="3"/>
        <v>35700</v>
      </c>
      <c r="AF126" s="88">
        <f t="shared" si="4"/>
        <v>320709.2486386153</v>
      </c>
      <c r="AG126" s="88">
        <f t="shared" ca="1" si="15"/>
        <v>23135979.069658209</v>
      </c>
      <c r="AH126" s="88">
        <f t="shared" ca="1" si="11"/>
        <v>1850880.8855726568</v>
      </c>
      <c r="AI126" s="88">
        <f t="shared" ca="1" si="16"/>
        <v>24701850.706592251</v>
      </c>
    </row>
    <row r="127" spans="2:35">
      <c r="I127" s="87">
        <v>31</v>
      </c>
      <c r="J127" s="88">
        <f t="shared" ca="1" si="0"/>
        <v>0</v>
      </c>
      <c r="K127" s="87">
        <v>2053</v>
      </c>
      <c r="L127" s="87">
        <v>66</v>
      </c>
      <c r="M127" s="87">
        <v>65</v>
      </c>
      <c r="N127" s="88">
        <f t="shared" si="5"/>
        <v>0</v>
      </c>
      <c r="O127" s="88">
        <f t="shared" si="6"/>
        <v>0</v>
      </c>
      <c r="P127" s="88">
        <f t="shared" si="7"/>
        <v>0</v>
      </c>
      <c r="Q127" s="88">
        <f t="shared" si="8"/>
        <v>0</v>
      </c>
      <c r="R127" s="88">
        <f t="shared" si="1"/>
        <v>327123.43361138756</v>
      </c>
      <c r="S127" s="88">
        <f t="shared" si="9"/>
        <v>127214.66862665076</v>
      </c>
      <c r="T127" s="88">
        <f t="shared" ca="1" si="13"/>
        <v>10735123.695562668</v>
      </c>
      <c r="U127" s="88">
        <f t="shared" ca="1" si="14"/>
        <v>858809.89564501343</v>
      </c>
      <c r="V127" s="88">
        <f t="shared" ca="1" si="10"/>
        <v>11139595.488969643</v>
      </c>
      <c r="X127" s="88"/>
      <c r="Y127" s="87"/>
      <c r="Z127" s="87">
        <v>31</v>
      </c>
      <c r="AA127" s="87">
        <v>2053</v>
      </c>
      <c r="AB127" s="87">
        <v>66</v>
      </c>
      <c r="AC127" s="87">
        <v>65</v>
      </c>
      <c r="AD127" s="88">
        <f t="shared" si="2"/>
        <v>0</v>
      </c>
      <c r="AE127" s="88">
        <f t="shared" si="3"/>
        <v>0</v>
      </c>
      <c r="AF127" s="88">
        <f t="shared" si="4"/>
        <v>327123.43361138756</v>
      </c>
      <c r="AG127" s="88">
        <f t="shared" ca="1" si="15"/>
        <v>24701850.706592251</v>
      </c>
      <c r="AH127" s="88">
        <f t="shared" ca="1" si="11"/>
        <v>1976150.6565273802</v>
      </c>
      <c r="AI127" s="88">
        <f t="shared" ca="1" si="16"/>
        <v>26350877.929508243</v>
      </c>
    </row>
    <row r="128" spans="2:35">
      <c r="I128" s="87">
        <v>32</v>
      </c>
      <c r="J128" s="88">
        <f t="shared" ca="1" si="0"/>
        <v>0</v>
      </c>
      <c r="K128" s="87">
        <v>2054</v>
      </c>
      <c r="L128" s="87">
        <v>67</v>
      </c>
      <c r="M128" s="87">
        <v>66</v>
      </c>
      <c r="N128" s="88">
        <f t="shared" si="5"/>
        <v>0</v>
      </c>
      <c r="O128" s="88">
        <f t="shared" si="6"/>
        <v>0</v>
      </c>
      <c r="P128" s="88">
        <f t="shared" si="7"/>
        <v>0</v>
      </c>
      <c r="Q128" s="88">
        <f t="shared" si="8"/>
        <v>0</v>
      </c>
      <c r="R128" s="88">
        <f t="shared" si="1"/>
        <v>333665.90228361537</v>
      </c>
      <c r="S128" s="88">
        <f t="shared" si="9"/>
        <v>129758.96199918375</v>
      </c>
      <c r="T128" s="88">
        <f t="shared" ca="1" si="13"/>
        <v>11139595.488969643</v>
      </c>
      <c r="U128" s="88">
        <f t="shared" ca="1" si="14"/>
        <v>891167.63911757141</v>
      </c>
      <c r="V128" s="88">
        <f t="shared" ca="1" si="10"/>
        <v>11567338.263804413</v>
      </c>
      <c r="X128" s="88"/>
      <c r="Y128" s="87"/>
      <c r="Z128" s="87">
        <v>32</v>
      </c>
      <c r="AA128" s="87">
        <v>2054</v>
      </c>
      <c r="AB128" s="87">
        <v>67</v>
      </c>
      <c r="AC128" s="87">
        <v>66</v>
      </c>
      <c r="AD128" s="88">
        <f t="shared" si="2"/>
        <v>0</v>
      </c>
      <c r="AE128" s="88">
        <f t="shared" si="3"/>
        <v>0</v>
      </c>
      <c r="AF128" s="88">
        <f t="shared" si="4"/>
        <v>333665.90228361537</v>
      </c>
      <c r="AG128" s="88">
        <f t="shared" ca="1" si="15"/>
        <v>26350877.929508243</v>
      </c>
      <c r="AH128" s="88">
        <f t="shared" ca="1" si="11"/>
        <v>2108072.8743606596</v>
      </c>
      <c r="AI128" s="88">
        <f t="shared" ca="1" si="16"/>
        <v>28125284.901585285</v>
      </c>
    </row>
    <row r="129" spans="9:35">
      <c r="I129" s="87">
        <v>33</v>
      </c>
      <c r="J129" s="88">
        <f t="shared" ref="J129:J160" ca="1" si="17">IF(V128&lt;0,0,IF(V129&lt;0,1,0))</f>
        <v>0</v>
      </c>
      <c r="K129" s="87">
        <v>2055</v>
      </c>
      <c r="L129" s="87">
        <v>68</v>
      </c>
      <c r="M129" s="87">
        <v>67</v>
      </c>
      <c r="N129" s="88">
        <f t="shared" si="5"/>
        <v>0</v>
      </c>
      <c r="O129" s="88">
        <f t="shared" si="6"/>
        <v>0</v>
      </c>
      <c r="P129" s="88">
        <f t="shared" si="7"/>
        <v>0</v>
      </c>
      <c r="Q129" s="88">
        <f t="shared" si="8"/>
        <v>0</v>
      </c>
      <c r="R129" s="88">
        <f t="shared" ref="R129:R160" si="18">IF(L129&gt;=$K$90,$K$92,0)*(1.02^I129)</f>
        <v>340339.22032928769</v>
      </c>
      <c r="S129" s="88">
        <f t="shared" si="9"/>
        <v>132354.14123916748</v>
      </c>
      <c r="T129" s="88">
        <f t="shared" ca="1" si="13"/>
        <v>11567338.263804413</v>
      </c>
      <c r="U129" s="88">
        <f t="shared" ca="1" si="14"/>
        <v>925387.06110435305</v>
      </c>
      <c r="V129" s="88">
        <f ca="1">SUM(N129,O129,T129,U129)-(R129+S129-P129-Q129)</f>
        <v>12020031.963340312</v>
      </c>
      <c r="X129" s="88"/>
      <c r="Y129" s="87"/>
      <c r="Z129" s="87">
        <v>33</v>
      </c>
      <c r="AA129" s="87">
        <v>2055</v>
      </c>
      <c r="AB129" s="87">
        <v>68</v>
      </c>
      <c r="AC129" s="87">
        <v>67</v>
      </c>
      <c r="AD129" s="88">
        <f t="shared" ref="AD129:AD160" si="19">IF(AB129&lt;$AB$90,$AB$84,0)</f>
        <v>0</v>
      </c>
      <c r="AE129" s="88">
        <f t="shared" ref="AE129:AE160" si="20">IF(AC129&lt;$AB$91,$AB$85,0)</f>
        <v>0</v>
      </c>
      <c r="AF129" s="88">
        <f t="shared" ref="AF129:AF160" si="21">IF(AB129&gt;=$AB$90,$AB$92,0)*(1.02^Z129)</f>
        <v>340339.22032928769</v>
      </c>
      <c r="AG129" s="88">
        <f t="shared" ca="1" si="15"/>
        <v>28125284.901585285</v>
      </c>
      <c r="AH129" s="88">
        <f t="shared" ca="1" si="11"/>
        <v>2250025.4721268229</v>
      </c>
      <c r="AI129" s="88">
        <f t="shared" ca="1" si="16"/>
        <v>30034971.153382819</v>
      </c>
    </row>
    <row r="130" spans="9:35">
      <c r="I130" s="87">
        <v>34</v>
      </c>
      <c r="J130" s="88">
        <f t="shared" ca="1" si="17"/>
        <v>0</v>
      </c>
      <c r="K130" s="87">
        <v>2056</v>
      </c>
      <c r="L130" s="87">
        <v>69</v>
      </c>
      <c r="M130" s="87">
        <v>68</v>
      </c>
      <c r="N130" s="88">
        <f t="shared" ref="N130:N161" si="22">IF(L130&lt;$K$90,$K$84,0)</f>
        <v>0</v>
      </c>
      <c r="O130" s="88">
        <f t="shared" ref="O130:O161" si="23">IF(M130&lt;$K$91,$K$85,0)</f>
        <v>0</v>
      </c>
      <c r="P130" s="88">
        <f t="shared" si="7"/>
        <v>0</v>
      </c>
      <c r="Q130" s="88">
        <f t="shared" si="8"/>
        <v>0</v>
      </c>
      <c r="R130" s="88">
        <f t="shared" si="18"/>
        <v>347146.00473587343</v>
      </c>
      <c r="S130" s="88">
        <f t="shared" si="9"/>
        <v>135001.22406395082</v>
      </c>
      <c r="T130" s="88">
        <f t="shared" ca="1" si="13"/>
        <v>12020031.963340312</v>
      </c>
      <c r="U130" s="88">
        <f t="shared" ca="1" si="14"/>
        <v>961602.55706722499</v>
      </c>
      <c r="V130" s="88">
        <f t="shared" ca="1" si="10"/>
        <v>12499487.291607713</v>
      </c>
      <c r="X130" s="88"/>
      <c r="Y130" s="87"/>
      <c r="Z130" s="87">
        <v>34</v>
      </c>
      <c r="AA130" s="87">
        <v>2056</v>
      </c>
      <c r="AB130" s="87">
        <v>69</v>
      </c>
      <c r="AC130" s="87">
        <v>68</v>
      </c>
      <c r="AD130" s="88">
        <f t="shared" si="19"/>
        <v>0</v>
      </c>
      <c r="AE130" s="88">
        <f t="shared" si="20"/>
        <v>0</v>
      </c>
      <c r="AF130" s="88">
        <f t="shared" si="21"/>
        <v>347146.00473587343</v>
      </c>
      <c r="AG130" s="88">
        <f t="shared" ca="1" si="15"/>
        <v>30034971.153382819</v>
      </c>
      <c r="AH130" s="88">
        <f t="shared" ca="1" si="11"/>
        <v>2402800.4122706256</v>
      </c>
      <c r="AI130" s="88">
        <f t="shared" ca="1" si="16"/>
        <v>32090625.560917571</v>
      </c>
    </row>
    <row r="131" spans="9:35">
      <c r="I131" s="87">
        <v>35</v>
      </c>
      <c r="J131" s="88">
        <f t="shared" ca="1" si="17"/>
        <v>0</v>
      </c>
      <c r="K131" s="87">
        <v>2057</v>
      </c>
      <c r="L131" s="87">
        <v>70</v>
      </c>
      <c r="M131" s="87">
        <v>69</v>
      </c>
      <c r="N131" s="88">
        <f t="shared" si="22"/>
        <v>0</v>
      </c>
      <c r="O131" s="88">
        <f t="shared" si="23"/>
        <v>0</v>
      </c>
      <c r="P131" s="88">
        <f t="shared" si="7"/>
        <v>0</v>
      </c>
      <c r="Q131" s="88">
        <f t="shared" si="8"/>
        <v>0</v>
      </c>
      <c r="R131" s="88">
        <f t="shared" si="18"/>
        <v>354088.9248305909</v>
      </c>
      <c r="S131" s="88">
        <f t="shared" si="9"/>
        <v>137701.24854522978</v>
      </c>
      <c r="T131" s="88">
        <f t="shared" ca="1" si="13"/>
        <v>12499487.291607713</v>
      </c>
      <c r="U131" s="88">
        <f t="shared" ca="1" si="14"/>
        <v>999958.98332861706</v>
      </c>
      <c r="V131" s="88">
        <f t="shared" ca="1" si="10"/>
        <v>13007656.101560509</v>
      </c>
      <c r="X131" s="88"/>
      <c r="Y131" s="87"/>
      <c r="Z131" s="87">
        <v>35</v>
      </c>
      <c r="AA131" s="87">
        <v>2057</v>
      </c>
      <c r="AB131" s="87">
        <v>70</v>
      </c>
      <c r="AC131" s="87">
        <v>69</v>
      </c>
      <c r="AD131" s="88">
        <f t="shared" si="19"/>
        <v>0</v>
      </c>
      <c r="AE131" s="88">
        <f t="shared" si="20"/>
        <v>0</v>
      </c>
      <c r="AF131" s="88">
        <f t="shared" si="21"/>
        <v>354088.9248305909</v>
      </c>
      <c r="AG131" s="88">
        <f t="shared" ca="1" si="15"/>
        <v>32090625.560917571</v>
      </c>
      <c r="AH131" s="88">
        <f t="shared" ca="1" si="11"/>
        <v>2567252.8048734055</v>
      </c>
      <c r="AI131" s="88">
        <f t="shared" ca="1" si="16"/>
        <v>34303789.440960385</v>
      </c>
    </row>
    <row r="132" spans="9:35">
      <c r="I132" s="87">
        <v>36</v>
      </c>
      <c r="J132" s="88">
        <f t="shared" ca="1" si="17"/>
        <v>0</v>
      </c>
      <c r="K132" s="87">
        <v>2058</v>
      </c>
      <c r="L132" s="87">
        <v>71</v>
      </c>
      <c r="M132" s="87">
        <v>70</v>
      </c>
      <c r="N132" s="88">
        <f t="shared" si="22"/>
        <v>0</v>
      </c>
      <c r="O132" s="88">
        <f t="shared" si="23"/>
        <v>0</v>
      </c>
      <c r="P132" s="88">
        <f t="shared" si="7"/>
        <v>0</v>
      </c>
      <c r="Q132" s="88">
        <f t="shared" si="8"/>
        <v>0</v>
      </c>
      <c r="R132" s="88">
        <f t="shared" si="18"/>
        <v>361170.70332720265</v>
      </c>
      <c r="S132" s="88">
        <f t="shared" si="9"/>
        <v>140455.27351613436</v>
      </c>
      <c r="T132" s="88">
        <f t="shared" ref="T132:T169" ca="1" si="24">V131</f>
        <v>13007656.101560509</v>
      </c>
      <c r="U132" s="88">
        <f t="shared" ca="1" si="14"/>
        <v>1040612.4881248408</v>
      </c>
      <c r="V132" s="88">
        <f t="shared" ca="1" si="10"/>
        <v>13546642.612842012</v>
      </c>
      <c r="X132" s="88"/>
      <c r="Z132" s="87">
        <v>36</v>
      </c>
      <c r="AA132" s="87">
        <v>2058</v>
      </c>
      <c r="AB132" s="87">
        <v>71</v>
      </c>
      <c r="AC132" s="87">
        <v>70</v>
      </c>
      <c r="AD132" s="88">
        <f t="shared" si="19"/>
        <v>0</v>
      </c>
      <c r="AE132" s="88">
        <f t="shared" si="20"/>
        <v>0</v>
      </c>
      <c r="AF132" s="88">
        <f t="shared" si="21"/>
        <v>361170.70332720265</v>
      </c>
      <c r="AG132" s="88">
        <f t="shared" ca="1" si="15"/>
        <v>34303789.440960385</v>
      </c>
      <c r="AH132" s="88">
        <f t="shared" ca="1" si="11"/>
        <v>2744305.9552768306</v>
      </c>
      <c r="AI132" s="88">
        <f t="shared" ca="1" si="16"/>
        <v>36686924.692910016</v>
      </c>
    </row>
    <row r="133" spans="9:35">
      <c r="I133" s="87">
        <v>37</v>
      </c>
      <c r="J133" s="88">
        <f t="shared" ca="1" si="17"/>
        <v>0</v>
      </c>
      <c r="K133" s="87">
        <v>2059</v>
      </c>
      <c r="L133" s="87">
        <v>72</v>
      </c>
      <c r="M133" s="87">
        <v>71</v>
      </c>
      <c r="N133" s="88">
        <f t="shared" si="22"/>
        <v>0</v>
      </c>
      <c r="O133" s="88">
        <f t="shared" si="23"/>
        <v>0</v>
      </c>
      <c r="P133" s="88">
        <f t="shared" si="7"/>
        <v>0</v>
      </c>
      <c r="Q133" s="88">
        <f t="shared" si="8"/>
        <v>0</v>
      </c>
      <c r="R133" s="88">
        <f t="shared" si="18"/>
        <v>368394.1173937468</v>
      </c>
      <c r="S133" s="88">
        <f t="shared" si="9"/>
        <v>143264.37898645713</v>
      </c>
      <c r="T133" s="88">
        <f t="shared" ca="1" si="24"/>
        <v>13546642.612842012</v>
      </c>
      <c r="U133" s="88">
        <f t="shared" ca="1" si="14"/>
        <v>1083731.4090273611</v>
      </c>
      <c r="V133" s="88">
        <f t="shared" ca="1" si="10"/>
        <v>14118715.525489168</v>
      </c>
      <c r="X133" s="88"/>
      <c r="Z133" s="87">
        <v>37</v>
      </c>
      <c r="AA133" s="87">
        <v>2059</v>
      </c>
      <c r="AB133" s="87">
        <v>72</v>
      </c>
      <c r="AC133" s="87">
        <v>71</v>
      </c>
      <c r="AD133" s="88">
        <f t="shared" si="19"/>
        <v>0</v>
      </c>
      <c r="AE133" s="88">
        <f t="shared" si="20"/>
        <v>0</v>
      </c>
      <c r="AF133" s="88">
        <f t="shared" si="21"/>
        <v>368394.1173937468</v>
      </c>
      <c r="AG133" s="88">
        <f t="shared" ca="1" si="15"/>
        <v>36686924.692910016</v>
      </c>
      <c r="AH133" s="88">
        <f t="shared" ca="1" si="11"/>
        <v>2934956.8154328014</v>
      </c>
      <c r="AI133" s="88">
        <f t="shared" ca="1" si="16"/>
        <v>39253487.39094907</v>
      </c>
    </row>
    <row r="134" spans="9:35">
      <c r="I134" s="87">
        <v>38</v>
      </c>
      <c r="J134" s="88">
        <f t="shared" ca="1" si="17"/>
        <v>0</v>
      </c>
      <c r="K134" s="87">
        <v>2060</v>
      </c>
      <c r="L134" s="87">
        <v>73</v>
      </c>
      <c r="M134" s="87">
        <v>72</v>
      </c>
      <c r="N134" s="88">
        <f t="shared" si="22"/>
        <v>0</v>
      </c>
      <c r="O134" s="88">
        <f t="shared" si="23"/>
        <v>0</v>
      </c>
      <c r="P134" s="88">
        <f>IF(AND(L134&gt;72,L134&lt;85.5),$K$88,0)</f>
        <v>204000</v>
      </c>
      <c r="Q134" s="88">
        <f t="shared" si="8"/>
        <v>0</v>
      </c>
      <c r="R134" s="88">
        <f t="shared" si="18"/>
        <v>375761.99974162172</v>
      </c>
      <c r="S134" s="88">
        <f t="shared" si="9"/>
        <v>146129.66656618624</v>
      </c>
      <c r="T134" s="88">
        <f t="shared" ca="1" si="24"/>
        <v>14118715.525489168</v>
      </c>
      <c r="U134" s="88">
        <f t="shared" ca="1" si="14"/>
        <v>1129497.2420391336</v>
      </c>
      <c r="V134" s="88">
        <f t="shared" ca="1" si="10"/>
        <v>14930321.101220492</v>
      </c>
      <c r="X134" s="88"/>
      <c r="Z134" s="87">
        <v>38</v>
      </c>
      <c r="AA134" s="87">
        <v>2060</v>
      </c>
      <c r="AB134" s="87">
        <v>73</v>
      </c>
      <c r="AC134" s="87">
        <v>72</v>
      </c>
      <c r="AD134" s="88">
        <f t="shared" si="19"/>
        <v>0</v>
      </c>
      <c r="AE134" s="88">
        <f t="shared" si="20"/>
        <v>0</v>
      </c>
      <c r="AF134" s="88">
        <f t="shared" si="21"/>
        <v>375761.99974162172</v>
      </c>
      <c r="AG134" s="88">
        <f t="shared" ca="1" si="15"/>
        <v>39253487.39094907</v>
      </c>
      <c r="AH134" s="88">
        <f t="shared" ca="1" si="11"/>
        <v>3140281.8712759255</v>
      </c>
      <c r="AI134" s="88">
        <f t="shared" ca="1" si="16"/>
        <v>42018007.262483373</v>
      </c>
    </row>
    <row r="135" spans="9:35">
      <c r="I135" s="87">
        <v>39</v>
      </c>
      <c r="J135" s="88">
        <f t="shared" ca="1" si="17"/>
        <v>0</v>
      </c>
      <c r="K135" s="87">
        <v>2061</v>
      </c>
      <c r="L135" s="87">
        <v>74</v>
      </c>
      <c r="M135" s="87">
        <v>73</v>
      </c>
      <c r="N135" s="88">
        <f t="shared" si="22"/>
        <v>0</v>
      </c>
      <c r="O135" s="88">
        <f t="shared" si="23"/>
        <v>0</v>
      </c>
      <c r="P135" s="88">
        <f t="shared" si="7"/>
        <v>204000</v>
      </c>
      <c r="Q135" s="88">
        <f t="shared" si="8"/>
        <v>102000</v>
      </c>
      <c r="R135" s="88">
        <f t="shared" si="18"/>
        <v>383277.23973645404</v>
      </c>
      <c r="S135" s="88">
        <f t="shared" si="9"/>
        <v>149052.25989750988</v>
      </c>
      <c r="T135" s="88">
        <f t="shared" ca="1" si="24"/>
        <v>14930321.101220492</v>
      </c>
      <c r="U135" s="88">
        <f t="shared" ca="1" si="14"/>
        <v>1194425.6880976395</v>
      </c>
      <c r="V135" s="88">
        <f t="shared" ca="1" si="10"/>
        <v>15898417.289684167</v>
      </c>
      <c r="X135" s="88"/>
      <c r="Z135" s="87">
        <v>39</v>
      </c>
      <c r="AA135" s="87">
        <v>2061</v>
      </c>
      <c r="AB135" s="87">
        <v>74</v>
      </c>
      <c r="AC135" s="87">
        <v>73</v>
      </c>
      <c r="AD135" s="88">
        <f t="shared" si="19"/>
        <v>0</v>
      </c>
      <c r="AE135" s="88">
        <f t="shared" si="20"/>
        <v>0</v>
      </c>
      <c r="AF135" s="88">
        <f t="shared" si="21"/>
        <v>383277.23973645404</v>
      </c>
      <c r="AG135" s="88">
        <f t="shared" ca="1" si="15"/>
        <v>42018007.262483373</v>
      </c>
      <c r="AH135" s="88">
        <f t="shared" ca="1" si="11"/>
        <v>3361443.5009986698</v>
      </c>
      <c r="AI135" s="88">
        <f t="shared" ca="1" si="16"/>
        <v>44996173.523745589</v>
      </c>
    </row>
    <row r="136" spans="9:35">
      <c r="I136" s="87">
        <v>40</v>
      </c>
      <c r="J136" s="88">
        <f t="shared" ca="1" si="17"/>
        <v>0</v>
      </c>
      <c r="K136" s="87">
        <v>2062</v>
      </c>
      <c r="L136" s="87">
        <v>75</v>
      </c>
      <c r="M136" s="87">
        <v>74</v>
      </c>
      <c r="N136" s="88">
        <f t="shared" si="22"/>
        <v>0</v>
      </c>
      <c r="O136" s="88">
        <f t="shared" si="23"/>
        <v>0</v>
      </c>
      <c r="P136" s="88">
        <f t="shared" si="7"/>
        <v>204000</v>
      </c>
      <c r="Q136" s="88">
        <f t="shared" si="8"/>
        <v>102000</v>
      </c>
      <c r="R136" s="88">
        <f t="shared" si="18"/>
        <v>390942.78453118325</v>
      </c>
      <c r="S136" s="88">
        <f t="shared" si="9"/>
        <v>152033.30509546021</v>
      </c>
      <c r="T136" s="88">
        <f t="shared" ca="1" si="24"/>
        <v>15898417.289684167</v>
      </c>
      <c r="U136" s="88">
        <f t="shared" ca="1" si="14"/>
        <v>1271873.3831747335</v>
      </c>
      <c r="V136" s="88">
        <f t="shared" ca="1" si="10"/>
        <v>16933314.583232258</v>
      </c>
      <c r="X136" s="88"/>
      <c r="Z136" s="87">
        <v>40</v>
      </c>
      <c r="AA136" s="87">
        <v>2062</v>
      </c>
      <c r="AB136" s="87">
        <v>75</v>
      </c>
      <c r="AC136" s="87">
        <v>74</v>
      </c>
      <c r="AD136" s="88">
        <f t="shared" si="19"/>
        <v>0</v>
      </c>
      <c r="AE136" s="88">
        <f t="shared" si="20"/>
        <v>0</v>
      </c>
      <c r="AF136" s="88">
        <f t="shared" si="21"/>
        <v>390942.78453118325</v>
      </c>
      <c r="AG136" s="88">
        <f t="shared" ca="1" si="15"/>
        <v>44996173.523745589</v>
      </c>
      <c r="AH136" s="88">
        <f t="shared" ca="1" si="11"/>
        <v>3599696.8418996474</v>
      </c>
      <c r="AI136" s="88">
        <f t="shared" ca="1" si="16"/>
        <v>48204927.581114054</v>
      </c>
    </row>
    <row r="137" spans="9:35">
      <c r="I137" s="87">
        <v>41</v>
      </c>
      <c r="J137" s="88">
        <f t="shared" ca="1" si="17"/>
        <v>0</v>
      </c>
      <c r="K137" s="87">
        <v>2063</v>
      </c>
      <c r="L137" s="87">
        <v>76</v>
      </c>
      <c r="M137" s="87">
        <v>75</v>
      </c>
      <c r="N137" s="88">
        <f t="shared" si="22"/>
        <v>0</v>
      </c>
      <c r="O137" s="88">
        <f t="shared" si="23"/>
        <v>0</v>
      </c>
      <c r="P137" s="88">
        <f t="shared" si="7"/>
        <v>204000</v>
      </c>
      <c r="Q137" s="88">
        <f t="shared" si="8"/>
        <v>102000</v>
      </c>
      <c r="R137" s="88">
        <f t="shared" si="18"/>
        <v>398761.64022180688</v>
      </c>
      <c r="S137" s="88">
        <f t="shared" si="9"/>
        <v>155073.97119736933</v>
      </c>
      <c r="T137" s="88">
        <f t="shared" ca="1" si="24"/>
        <v>16933314.583232258</v>
      </c>
      <c r="U137" s="88">
        <f t="shared" ca="1" si="14"/>
        <v>1354665.1666585805</v>
      </c>
      <c r="V137" s="88">
        <f t="shared" ca="1" si="10"/>
        <v>18040144.138471663</v>
      </c>
      <c r="X137" s="88"/>
      <c r="Z137" s="87">
        <v>41</v>
      </c>
      <c r="AA137" s="87">
        <v>2063</v>
      </c>
      <c r="AB137" s="87">
        <v>76</v>
      </c>
      <c r="AC137" s="87">
        <v>75</v>
      </c>
      <c r="AD137" s="88">
        <f t="shared" si="19"/>
        <v>0</v>
      </c>
      <c r="AE137" s="88">
        <f t="shared" si="20"/>
        <v>0</v>
      </c>
      <c r="AF137" s="88">
        <f t="shared" si="21"/>
        <v>398761.64022180688</v>
      </c>
      <c r="AG137" s="88">
        <f t="shared" ca="1" si="15"/>
        <v>48204927.581114054</v>
      </c>
      <c r="AH137" s="88">
        <f t="shared" ca="1" si="11"/>
        <v>3856397.2064891243</v>
      </c>
      <c r="AI137" s="88">
        <f t="shared" ca="1" si="16"/>
        <v>51662563.147381373</v>
      </c>
    </row>
    <row r="138" spans="9:35">
      <c r="I138" s="87">
        <v>42</v>
      </c>
      <c r="J138" s="88">
        <f t="shared" ca="1" si="17"/>
        <v>0</v>
      </c>
      <c r="K138" s="87">
        <v>2064</v>
      </c>
      <c r="L138" s="87">
        <v>77</v>
      </c>
      <c r="M138" s="87">
        <v>76</v>
      </c>
      <c r="N138" s="88">
        <f t="shared" si="22"/>
        <v>0</v>
      </c>
      <c r="O138" s="88">
        <f t="shared" si="23"/>
        <v>0</v>
      </c>
      <c r="P138" s="88">
        <f t="shared" si="7"/>
        <v>204000</v>
      </c>
      <c r="Q138" s="88">
        <f t="shared" si="8"/>
        <v>102000</v>
      </c>
      <c r="R138" s="88">
        <f t="shared" si="18"/>
        <v>406736.873026243</v>
      </c>
      <c r="S138" s="88">
        <f t="shared" si="9"/>
        <v>158175.45062131673</v>
      </c>
      <c r="T138" s="88">
        <f t="shared" ca="1" si="24"/>
        <v>18040144.138471663</v>
      </c>
      <c r="U138" s="88">
        <f t="shared" ca="1" si="14"/>
        <v>1443211.531077733</v>
      </c>
      <c r="V138" s="88">
        <f t="shared" ca="1" si="10"/>
        <v>19224443.345901836</v>
      </c>
      <c r="X138" s="88"/>
      <c r="Z138" s="87">
        <v>42</v>
      </c>
      <c r="AA138" s="87">
        <v>2064</v>
      </c>
      <c r="AB138" s="87">
        <v>77</v>
      </c>
      <c r="AC138" s="87">
        <v>76</v>
      </c>
      <c r="AD138" s="88">
        <f t="shared" si="19"/>
        <v>0</v>
      </c>
      <c r="AE138" s="88">
        <f t="shared" si="20"/>
        <v>0</v>
      </c>
      <c r="AF138" s="88">
        <f t="shared" si="21"/>
        <v>406736.873026243</v>
      </c>
      <c r="AG138" s="88">
        <f t="shared" ca="1" si="15"/>
        <v>51662563.147381373</v>
      </c>
      <c r="AH138" s="88">
        <f t="shared" ca="1" si="11"/>
        <v>4133008.0917905099</v>
      </c>
      <c r="AI138" s="88">
        <f t="shared" ca="1" si="16"/>
        <v>55388834.366145641</v>
      </c>
    </row>
    <row r="139" spans="9:35">
      <c r="I139" s="87">
        <v>43</v>
      </c>
      <c r="J139" s="88">
        <f t="shared" ca="1" si="17"/>
        <v>0</v>
      </c>
      <c r="K139" s="87">
        <v>2065</v>
      </c>
      <c r="L139" s="87">
        <v>78</v>
      </c>
      <c r="M139" s="87">
        <v>77</v>
      </c>
      <c r="N139" s="88">
        <f t="shared" si="22"/>
        <v>0</v>
      </c>
      <c r="O139" s="88">
        <f t="shared" si="23"/>
        <v>0</v>
      </c>
      <c r="P139" s="88">
        <f t="shared" si="7"/>
        <v>204000</v>
      </c>
      <c r="Q139" s="88">
        <f t="shared" si="8"/>
        <v>102000</v>
      </c>
      <c r="R139" s="88">
        <f t="shared" si="18"/>
        <v>414871.61048676784</v>
      </c>
      <c r="S139" s="88">
        <f t="shared" si="9"/>
        <v>161338.95963374304</v>
      </c>
      <c r="T139" s="88">
        <f t="shared" ca="1" si="24"/>
        <v>19224443.345901836</v>
      </c>
      <c r="U139" s="88">
        <f t="shared" ca="1" si="14"/>
        <v>1537955.4676721469</v>
      </c>
      <c r="V139" s="88">
        <f t="shared" ca="1" si="10"/>
        <v>20492188.243453473</v>
      </c>
      <c r="X139" s="88"/>
      <c r="Z139" s="87">
        <v>43</v>
      </c>
      <c r="AA139" s="87">
        <v>2065</v>
      </c>
      <c r="AB139" s="87">
        <v>78</v>
      </c>
      <c r="AC139" s="87">
        <v>77</v>
      </c>
      <c r="AD139" s="88">
        <f t="shared" si="19"/>
        <v>0</v>
      </c>
      <c r="AE139" s="88">
        <f t="shared" si="20"/>
        <v>0</v>
      </c>
      <c r="AF139" s="88">
        <f t="shared" si="21"/>
        <v>414871.61048676784</v>
      </c>
      <c r="AG139" s="88">
        <f t="shared" ca="1" si="15"/>
        <v>55388834.366145641</v>
      </c>
      <c r="AH139" s="88">
        <f t="shared" ca="1" si="11"/>
        <v>4431109.829291651</v>
      </c>
      <c r="AI139" s="88">
        <f t="shared" ca="1" si="16"/>
        <v>59405072.584950522</v>
      </c>
    </row>
    <row r="140" spans="9:35">
      <c r="I140" s="87">
        <v>44</v>
      </c>
      <c r="J140" s="88">
        <f t="shared" ca="1" si="17"/>
        <v>0</v>
      </c>
      <c r="K140" s="87">
        <v>2066</v>
      </c>
      <c r="L140" s="87">
        <v>79</v>
      </c>
      <c r="M140" s="87">
        <v>78</v>
      </c>
      <c r="N140" s="88">
        <f t="shared" si="22"/>
        <v>0</v>
      </c>
      <c r="O140" s="88">
        <f t="shared" si="23"/>
        <v>0</v>
      </c>
      <c r="P140" s="88">
        <f t="shared" si="7"/>
        <v>204000</v>
      </c>
      <c r="Q140" s="88">
        <f t="shared" si="8"/>
        <v>102000</v>
      </c>
      <c r="R140" s="88">
        <f t="shared" si="18"/>
        <v>423169.04269650322</v>
      </c>
      <c r="S140" s="88">
        <f t="shared" si="9"/>
        <v>164565.73882641795</v>
      </c>
      <c r="T140" s="88">
        <f t="shared" ca="1" si="24"/>
        <v>20492188.243453473</v>
      </c>
      <c r="U140" s="88">
        <f t="shared" ca="1" si="14"/>
        <v>1639375.0594762778</v>
      </c>
      <c r="V140" s="88">
        <f t="shared" ca="1" si="10"/>
        <v>21849828.521406829</v>
      </c>
      <c r="X140" s="88"/>
      <c r="Z140" s="87">
        <v>44</v>
      </c>
      <c r="AA140" s="87">
        <v>2066</v>
      </c>
      <c r="AB140" s="87">
        <v>79</v>
      </c>
      <c r="AC140" s="87">
        <v>78</v>
      </c>
      <c r="AD140" s="88">
        <f t="shared" si="19"/>
        <v>0</v>
      </c>
      <c r="AE140" s="88">
        <f t="shared" si="20"/>
        <v>0</v>
      </c>
      <c r="AF140" s="88">
        <f t="shared" si="21"/>
        <v>423169.04269650322</v>
      </c>
      <c r="AG140" s="88">
        <f t="shared" ca="1" si="15"/>
        <v>59405072.584950522</v>
      </c>
      <c r="AH140" s="88">
        <f t="shared" ca="1" si="11"/>
        <v>4752408.9267960424</v>
      </c>
      <c r="AI140" s="88">
        <f t="shared" ca="1" si="16"/>
        <v>63734312.469050057</v>
      </c>
    </row>
    <row r="141" spans="9:35">
      <c r="I141" s="87">
        <v>45</v>
      </c>
      <c r="J141" s="88">
        <f t="shared" ca="1" si="17"/>
        <v>0</v>
      </c>
      <c r="K141" s="87">
        <v>2067</v>
      </c>
      <c r="L141" s="87">
        <v>80</v>
      </c>
      <c r="M141" s="87">
        <v>79</v>
      </c>
      <c r="N141" s="88">
        <f t="shared" si="22"/>
        <v>0</v>
      </c>
      <c r="O141" s="88">
        <f t="shared" si="23"/>
        <v>0</v>
      </c>
      <c r="P141" s="88">
        <f t="shared" si="7"/>
        <v>204000</v>
      </c>
      <c r="Q141" s="88">
        <f t="shared" si="8"/>
        <v>102000</v>
      </c>
      <c r="R141" s="88">
        <f t="shared" si="18"/>
        <v>431632.42355043325</v>
      </c>
      <c r="S141" s="88">
        <f t="shared" si="9"/>
        <v>167857.05360294634</v>
      </c>
      <c r="T141" s="88">
        <f t="shared" ca="1" si="24"/>
        <v>21849828.521406829</v>
      </c>
      <c r="U141" s="88">
        <f t="shared" ca="1" si="14"/>
        <v>1747986.2817125465</v>
      </c>
      <c r="V141" s="88">
        <f t="shared" ca="1" si="10"/>
        <v>23304325.325965997</v>
      </c>
      <c r="X141" s="88"/>
      <c r="Z141" s="87">
        <v>45</v>
      </c>
      <c r="AA141" s="87">
        <v>2067</v>
      </c>
      <c r="AB141" s="87">
        <v>80</v>
      </c>
      <c r="AC141" s="87">
        <v>79</v>
      </c>
      <c r="AD141" s="88">
        <f t="shared" si="19"/>
        <v>0</v>
      </c>
      <c r="AE141" s="88">
        <f t="shared" si="20"/>
        <v>0</v>
      </c>
      <c r="AF141" s="88">
        <f t="shared" si="21"/>
        <v>431632.42355043325</v>
      </c>
      <c r="AG141" s="88">
        <f t="shared" ca="1" si="15"/>
        <v>63734312.469050057</v>
      </c>
      <c r="AH141" s="88">
        <f t="shared" ca="1" si="11"/>
        <v>5098748.1575240046</v>
      </c>
      <c r="AI141" s="88">
        <f t="shared" ca="1" si="16"/>
        <v>68401428.203023642</v>
      </c>
    </row>
    <row r="142" spans="9:35">
      <c r="I142" s="87">
        <v>46</v>
      </c>
      <c r="J142" s="88">
        <f t="shared" ca="1" si="17"/>
        <v>0</v>
      </c>
      <c r="K142" s="87">
        <v>2068</v>
      </c>
      <c r="L142" s="87">
        <v>81</v>
      </c>
      <c r="M142" s="87">
        <v>80</v>
      </c>
      <c r="N142" s="88">
        <f t="shared" si="22"/>
        <v>0</v>
      </c>
      <c r="O142" s="88">
        <f t="shared" si="23"/>
        <v>0</v>
      </c>
      <c r="P142" s="88">
        <f t="shared" si="7"/>
        <v>204000</v>
      </c>
      <c r="Q142" s="88">
        <f t="shared" si="8"/>
        <v>102000</v>
      </c>
      <c r="R142" s="88">
        <f t="shared" si="18"/>
        <v>440265.072021442</v>
      </c>
      <c r="S142" s="88">
        <f t="shared" si="9"/>
        <v>171214.19467500527</v>
      </c>
      <c r="T142" s="88">
        <f t="shared" ca="1" si="24"/>
        <v>23304325.325965997</v>
      </c>
      <c r="U142" s="88">
        <f t="shared" ca="1" si="14"/>
        <v>1864346.0260772798</v>
      </c>
      <c r="V142" s="88">
        <f t="shared" ca="1" si="10"/>
        <v>24863192.085346833</v>
      </c>
      <c r="X142" s="88"/>
      <c r="Z142" s="87">
        <v>46</v>
      </c>
      <c r="AA142" s="87">
        <v>2068</v>
      </c>
      <c r="AB142" s="87">
        <v>81</v>
      </c>
      <c r="AC142" s="87">
        <v>80</v>
      </c>
      <c r="AD142" s="88">
        <f t="shared" si="19"/>
        <v>0</v>
      </c>
      <c r="AE142" s="88">
        <f t="shared" si="20"/>
        <v>0</v>
      </c>
      <c r="AF142" s="88">
        <f t="shared" si="21"/>
        <v>440265.072021442</v>
      </c>
      <c r="AG142" s="88">
        <f t="shared" ca="1" si="15"/>
        <v>68401428.203023642</v>
      </c>
      <c r="AH142" s="88">
        <f t="shared" ca="1" si="11"/>
        <v>5472117.4562418917</v>
      </c>
      <c r="AI142" s="88">
        <f t="shared" ca="1" si="16"/>
        <v>73433280.587244093</v>
      </c>
    </row>
    <row r="143" spans="9:35">
      <c r="I143" s="87">
        <v>47</v>
      </c>
      <c r="J143" s="88">
        <f t="shared" ca="1" si="17"/>
        <v>0</v>
      </c>
      <c r="K143" s="87">
        <v>2069</v>
      </c>
      <c r="L143" s="87">
        <v>82</v>
      </c>
      <c r="M143" s="87">
        <v>81</v>
      </c>
      <c r="N143" s="88">
        <f t="shared" si="22"/>
        <v>0</v>
      </c>
      <c r="O143" s="88">
        <f t="shared" si="23"/>
        <v>0</v>
      </c>
      <c r="P143" s="88">
        <f t="shared" si="7"/>
        <v>204000</v>
      </c>
      <c r="Q143" s="88">
        <f t="shared" si="8"/>
        <v>102000</v>
      </c>
      <c r="R143" s="88">
        <f t="shared" si="18"/>
        <v>449070.37346187065</v>
      </c>
      <c r="S143" s="88">
        <f t="shared" si="9"/>
        <v>174638.47856850532</v>
      </c>
      <c r="T143" s="88">
        <f t="shared" ca="1" si="24"/>
        <v>24863192.085346833</v>
      </c>
      <c r="U143" s="88">
        <f t="shared" ca="1" si="14"/>
        <v>1989055.3668277466</v>
      </c>
      <c r="V143" s="88">
        <f t="shared" ca="1" si="10"/>
        <v>26534538.6001442</v>
      </c>
      <c r="X143" s="88"/>
      <c r="Z143" s="87">
        <v>47</v>
      </c>
      <c r="AA143" s="87">
        <v>2069</v>
      </c>
      <c r="AB143" s="87">
        <v>82</v>
      </c>
      <c r="AC143" s="87">
        <v>81</v>
      </c>
      <c r="AD143" s="88">
        <f t="shared" si="19"/>
        <v>0</v>
      </c>
      <c r="AE143" s="88">
        <f t="shared" si="20"/>
        <v>0</v>
      </c>
      <c r="AF143" s="88">
        <f t="shared" si="21"/>
        <v>449070.37346187065</v>
      </c>
      <c r="AG143" s="88">
        <f t="shared" ca="1" si="15"/>
        <v>73433280.587244093</v>
      </c>
      <c r="AH143" s="88">
        <f t="shared" ca="1" si="11"/>
        <v>5874665.6869795276</v>
      </c>
      <c r="AI143" s="88">
        <f t="shared" ca="1" si="16"/>
        <v>78858875.900761753</v>
      </c>
    </row>
    <row r="144" spans="9:35">
      <c r="I144" s="87">
        <v>48</v>
      </c>
      <c r="J144" s="88">
        <f t="shared" ca="1" si="17"/>
        <v>0</v>
      </c>
      <c r="K144" s="87">
        <v>2070</v>
      </c>
      <c r="L144" s="87">
        <v>83</v>
      </c>
      <c r="M144" s="87">
        <v>82</v>
      </c>
      <c r="N144" s="88">
        <f t="shared" si="22"/>
        <v>0</v>
      </c>
      <c r="O144" s="88">
        <f t="shared" si="23"/>
        <v>0</v>
      </c>
      <c r="P144" s="88">
        <f t="shared" si="7"/>
        <v>204000</v>
      </c>
      <c r="Q144" s="88">
        <f t="shared" si="8"/>
        <v>102000</v>
      </c>
      <c r="R144" s="88">
        <f t="shared" si="18"/>
        <v>458051.78093110817</v>
      </c>
      <c r="S144" s="88">
        <f t="shared" si="9"/>
        <v>178131.24813987548</v>
      </c>
      <c r="T144" s="88">
        <f t="shared" ca="1" si="24"/>
        <v>26534538.6001442</v>
      </c>
      <c r="U144" s="88">
        <f t="shared" ca="1" si="14"/>
        <v>2122763.0880115358</v>
      </c>
      <c r="V144" s="88">
        <f t="shared" ca="1" si="10"/>
        <v>28327118.659084752</v>
      </c>
      <c r="X144" s="88"/>
      <c r="Z144" s="87">
        <v>48</v>
      </c>
      <c r="AA144" s="87">
        <v>2070</v>
      </c>
      <c r="AB144" s="87">
        <v>83</v>
      </c>
      <c r="AC144" s="87">
        <v>82</v>
      </c>
      <c r="AD144" s="88">
        <f t="shared" si="19"/>
        <v>0</v>
      </c>
      <c r="AE144" s="88">
        <f t="shared" si="20"/>
        <v>0</v>
      </c>
      <c r="AF144" s="88">
        <f t="shared" si="21"/>
        <v>458051.78093110817</v>
      </c>
      <c r="AG144" s="88">
        <f t="shared" ca="1" si="15"/>
        <v>78858875.900761753</v>
      </c>
      <c r="AH144" s="88">
        <f t="shared" ca="1" si="11"/>
        <v>6308713.352060941</v>
      </c>
      <c r="AI144" s="88">
        <f t="shared" ca="1" si="16"/>
        <v>84709537.471891582</v>
      </c>
    </row>
    <row r="145" spans="9:35">
      <c r="I145" s="87">
        <v>49</v>
      </c>
      <c r="J145" s="88">
        <f t="shared" ca="1" si="17"/>
        <v>0</v>
      </c>
      <c r="K145" s="87">
        <v>2071</v>
      </c>
      <c r="L145" s="87">
        <v>84</v>
      </c>
      <c r="M145" s="87">
        <v>83</v>
      </c>
      <c r="N145" s="88">
        <f t="shared" si="22"/>
        <v>0</v>
      </c>
      <c r="O145" s="88">
        <f t="shared" si="23"/>
        <v>0</v>
      </c>
      <c r="P145" s="88">
        <f t="shared" si="7"/>
        <v>204000</v>
      </c>
      <c r="Q145" s="88">
        <f t="shared" si="8"/>
        <v>102000</v>
      </c>
      <c r="R145" s="88">
        <f t="shared" si="18"/>
        <v>467212.81654973037</v>
      </c>
      <c r="S145" s="88">
        <f t="shared" si="9"/>
        <v>181693.87310267298</v>
      </c>
      <c r="T145" s="88">
        <f t="shared" ca="1" si="24"/>
        <v>28327118.659084752</v>
      </c>
      <c r="U145" s="88">
        <f t="shared" ca="1" si="14"/>
        <v>2266169.49272678</v>
      </c>
      <c r="V145" s="88">
        <f t="shared" ca="1" si="10"/>
        <v>30250381.462159131</v>
      </c>
      <c r="X145" s="88"/>
      <c r="Z145" s="87">
        <v>49</v>
      </c>
      <c r="AA145" s="87">
        <v>2071</v>
      </c>
      <c r="AB145" s="87">
        <v>84</v>
      </c>
      <c r="AC145" s="87">
        <v>83</v>
      </c>
      <c r="AD145" s="88">
        <f t="shared" si="19"/>
        <v>0</v>
      </c>
      <c r="AE145" s="88">
        <f t="shared" si="20"/>
        <v>0</v>
      </c>
      <c r="AF145" s="88">
        <f t="shared" si="21"/>
        <v>467212.81654973037</v>
      </c>
      <c r="AG145" s="88">
        <f t="shared" ca="1" si="15"/>
        <v>84709537.471891582</v>
      </c>
      <c r="AH145" s="88">
        <f t="shared" ca="1" si="11"/>
        <v>6776766.3177513266</v>
      </c>
      <c r="AI145" s="88">
        <f t="shared" ca="1" si="16"/>
        <v>91019090.973093182</v>
      </c>
    </row>
    <row r="146" spans="9:35">
      <c r="I146" s="87">
        <v>50</v>
      </c>
      <c r="J146" s="88">
        <f t="shared" ca="1" si="17"/>
        <v>0</v>
      </c>
      <c r="K146" s="87">
        <v>2072</v>
      </c>
      <c r="L146" s="87">
        <v>85</v>
      </c>
      <c r="M146" s="87">
        <v>84</v>
      </c>
      <c r="N146" s="88">
        <f t="shared" si="22"/>
        <v>0</v>
      </c>
      <c r="O146" s="88">
        <f t="shared" si="23"/>
        <v>0</v>
      </c>
      <c r="P146" s="88">
        <f t="shared" si="7"/>
        <v>204000</v>
      </c>
      <c r="Q146" s="88">
        <f t="shared" si="8"/>
        <v>102000</v>
      </c>
      <c r="R146" s="88">
        <f t="shared" si="18"/>
        <v>476557.07288072497</v>
      </c>
      <c r="S146" s="88">
        <f t="shared" si="9"/>
        <v>185327.75056472636</v>
      </c>
      <c r="T146" s="88">
        <f t="shared" ca="1" si="24"/>
        <v>30250381.462159131</v>
      </c>
      <c r="U146" s="88">
        <f t="shared" ca="1" si="14"/>
        <v>2420030.5169727304</v>
      </c>
      <c r="V146" s="88">
        <f t="shared" ca="1" si="10"/>
        <v>32314527.155686412</v>
      </c>
      <c r="X146" s="88"/>
      <c r="Z146" s="87">
        <v>50</v>
      </c>
      <c r="AA146" s="87">
        <v>2072</v>
      </c>
      <c r="AB146" s="87">
        <v>85</v>
      </c>
      <c r="AC146" s="87">
        <v>84</v>
      </c>
      <c r="AD146" s="88">
        <f t="shared" si="19"/>
        <v>0</v>
      </c>
      <c r="AE146" s="88">
        <f t="shared" si="20"/>
        <v>0</v>
      </c>
      <c r="AF146" s="88">
        <f t="shared" si="21"/>
        <v>476557.07288072497</v>
      </c>
      <c r="AG146" s="88">
        <f t="shared" ca="1" si="15"/>
        <v>91019090.973093182</v>
      </c>
      <c r="AH146" s="88">
        <f t="shared" ca="1" si="11"/>
        <v>7281530.6378474552</v>
      </c>
      <c r="AI146" s="88">
        <f t="shared" ca="1" si="16"/>
        <v>97824064.538059905</v>
      </c>
    </row>
    <row r="147" spans="9:35">
      <c r="I147" s="87">
        <v>51</v>
      </c>
      <c r="J147" s="88">
        <f t="shared" ca="1" si="17"/>
        <v>0</v>
      </c>
      <c r="K147" s="87">
        <v>2073</v>
      </c>
      <c r="L147" s="87">
        <v>86</v>
      </c>
      <c r="M147" s="87">
        <v>85</v>
      </c>
      <c r="N147" s="88">
        <f t="shared" si="22"/>
        <v>0</v>
      </c>
      <c r="O147" s="88">
        <f t="shared" si="23"/>
        <v>0</v>
      </c>
      <c r="P147" s="88">
        <f t="shared" si="7"/>
        <v>0</v>
      </c>
      <c r="Q147" s="88">
        <f t="shared" si="8"/>
        <v>102000</v>
      </c>
      <c r="R147" s="88">
        <f t="shared" si="18"/>
        <v>486088.2143383394</v>
      </c>
      <c r="S147" s="88">
        <f t="shared" si="9"/>
        <v>189034.30557602085</v>
      </c>
      <c r="T147" s="88">
        <f t="shared" ca="1" si="24"/>
        <v>32314527.155686412</v>
      </c>
      <c r="U147" s="88">
        <f t="shared" ca="1" si="14"/>
        <v>2585162.1724549131</v>
      </c>
      <c r="V147" s="88">
        <f t="shared" ca="1" si="10"/>
        <v>34326566.808226965</v>
      </c>
      <c r="X147" s="88"/>
      <c r="Z147" s="87">
        <v>51</v>
      </c>
      <c r="AA147" s="87">
        <v>2073</v>
      </c>
      <c r="AB147" s="87">
        <v>86</v>
      </c>
      <c r="AC147" s="87">
        <v>85</v>
      </c>
      <c r="AD147" s="88">
        <f t="shared" si="19"/>
        <v>0</v>
      </c>
      <c r="AE147" s="88">
        <f t="shared" si="20"/>
        <v>0</v>
      </c>
      <c r="AF147" s="88">
        <f t="shared" si="21"/>
        <v>486088.2143383394</v>
      </c>
      <c r="AG147" s="88">
        <f t="shared" ca="1" si="15"/>
        <v>97824064.538059905</v>
      </c>
      <c r="AH147" s="88">
        <f t="shared" ca="1" si="11"/>
        <v>7825928.563044793</v>
      </c>
      <c r="AI147" s="88">
        <f t="shared" ca="1" si="16"/>
        <v>105163904.88676636</v>
      </c>
    </row>
    <row r="148" spans="9:35">
      <c r="I148" s="87">
        <v>52</v>
      </c>
      <c r="J148" s="88">
        <f t="shared" ca="1" si="17"/>
        <v>0</v>
      </c>
      <c r="K148" s="87">
        <v>2074</v>
      </c>
      <c r="L148" s="87">
        <v>87</v>
      </c>
      <c r="M148" s="87">
        <v>86</v>
      </c>
      <c r="N148" s="88">
        <f t="shared" si="22"/>
        <v>0</v>
      </c>
      <c r="O148" s="88">
        <f t="shared" si="23"/>
        <v>0</v>
      </c>
      <c r="P148" s="88">
        <f t="shared" si="7"/>
        <v>0</v>
      </c>
      <c r="Q148" s="88">
        <f t="shared" si="8"/>
        <v>102000</v>
      </c>
      <c r="R148" s="88">
        <f t="shared" si="18"/>
        <v>495809.97862510628</v>
      </c>
      <c r="S148" s="88">
        <f t="shared" si="9"/>
        <v>192814.99168754136</v>
      </c>
      <c r="T148" s="88">
        <f t="shared" ca="1" si="24"/>
        <v>34326566.808226965</v>
      </c>
      <c r="U148" s="88">
        <f t="shared" ca="1" si="14"/>
        <v>2746125.3446581573</v>
      </c>
      <c r="V148" s="88">
        <f t="shared" ca="1" si="10"/>
        <v>36486067.182572477</v>
      </c>
      <c r="X148" s="88"/>
      <c r="Z148" s="87">
        <v>52</v>
      </c>
      <c r="AA148" s="87">
        <v>2074</v>
      </c>
      <c r="AB148" s="87">
        <v>87</v>
      </c>
      <c r="AC148" s="87">
        <v>86</v>
      </c>
      <c r="AD148" s="88">
        <f t="shared" si="19"/>
        <v>0</v>
      </c>
      <c r="AE148" s="88">
        <f t="shared" si="20"/>
        <v>0</v>
      </c>
      <c r="AF148" s="88">
        <f t="shared" si="21"/>
        <v>495809.97862510628</v>
      </c>
      <c r="AG148" s="88">
        <f t="shared" ca="1" si="15"/>
        <v>105163904.88676636</v>
      </c>
      <c r="AH148" s="88">
        <f t="shared" ca="1" si="11"/>
        <v>8413115.8309413083</v>
      </c>
      <c r="AI148" s="88">
        <f t="shared" ca="1" si="16"/>
        <v>113081210.73908256</v>
      </c>
    </row>
    <row r="149" spans="9:35">
      <c r="I149" s="87">
        <v>53</v>
      </c>
      <c r="J149" s="88">
        <f t="shared" ca="1" si="17"/>
        <v>0</v>
      </c>
      <c r="K149" s="87">
        <v>2075</v>
      </c>
      <c r="L149" s="87">
        <v>88</v>
      </c>
      <c r="M149" s="87">
        <v>87</v>
      </c>
      <c r="N149" s="88">
        <f t="shared" si="22"/>
        <v>0</v>
      </c>
      <c r="O149" s="88">
        <f t="shared" si="23"/>
        <v>0</v>
      </c>
      <c r="P149" s="88">
        <f t="shared" si="7"/>
        <v>0</v>
      </c>
      <c r="Q149" s="88">
        <f t="shared" si="8"/>
        <v>102000</v>
      </c>
      <c r="R149" s="88">
        <f t="shared" si="18"/>
        <v>505726.17819760833</v>
      </c>
      <c r="S149" s="88">
        <f t="shared" si="9"/>
        <v>196671.29152129218</v>
      </c>
      <c r="T149" s="88">
        <f t="shared" ca="1" si="24"/>
        <v>36486067.182572477</v>
      </c>
      <c r="U149" s="88">
        <f t="shared" ca="1" si="14"/>
        <v>2918885.3746057982</v>
      </c>
      <c r="V149" s="88">
        <f t="shared" ca="1" si="10"/>
        <v>38804555.08745937</v>
      </c>
      <c r="X149" s="88"/>
      <c r="Z149" s="87">
        <v>53</v>
      </c>
      <c r="AA149" s="87">
        <v>2075</v>
      </c>
      <c r="AB149" s="87">
        <v>88</v>
      </c>
      <c r="AC149" s="87">
        <v>87</v>
      </c>
      <c r="AD149" s="88">
        <f t="shared" si="19"/>
        <v>0</v>
      </c>
      <c r="AE149" s="88">
        <f t="shared" si="20"/>
        <v>0</v>
      </c>
      <c r="AF149" s="88">
        <f t="shared" si="21"/>
        <v>505726.17819760833</v>
      </c>
      <c r="AG149" s="88">
        <f t="shared" ca="1" si="15"/>
        <v>113081210.73908256</v>
      </c>
      <c r="AH149" s="88">
        <f t="shared" ca="1" si="11"/>
        <v>9046500.3391266055</v>
      </c>
      <c r="AI149" s="88">
        <f t="shared" ca="1" si="16"/>
        <v>121621984.90001155</v>
      </c>
    </row>
    <row r="150" spans="9:35">
      <c r="I150" s="87">
        <v>54</v>
      </c>
      <c r="J150" s="88">
        <f t="shared" ca="1" si="17"/>
        <v>0</v>
      </c>
      <c r="K150" s="87">
        <v>2075</v>
      </c>
      <c r="L150" s="87">
        <v>89</v>
      </c>
      <c r="M150" s="87">
        <v>88</v>
      </c>
      <c r="N150" s="88">
        <f t="shared" si="22"/>
        <v>0</v>
      </c>
      <c r="O150" s="88">
        <f t="shared" si="23"/>
        <v>0</v>
      </c>
      <c r="P150" s="88">
        <f t="shared" si="7"/>
        <v>0</v>
      </c>
      <c r="Q150" s="88">
        <f t="shared" si="8"/>
        <v>102000</v>
      </c>
      <c r="R150" s="88">
        <f t="shared" si="18"/>
        <v>515840.70176156057</v>
      </c>
      <c r="S150" s="88">
        <f t="shared" si="9"/>
        <v>200604.71735171805</v>
      </c>
      <c r="T150" s="88">
        <f t="shared" ca="1" si="24"/>
        <v>38804555.08745937</v>
      </c>
      <c r="U150" s="88">
        <f t="shared" ca="1" si="14"/>
        <v>3104364.4069967498</v>
      </c>
      <c r="V150" s="88">
        <f t="shared" ca="1" si="10"/>
        <v>41294474.075342841</v>
      </c>
      <c r="X150" s="88"/>
      <c r="Z150" s="87">
        <v>54</v>
      </c>
      <c r="AA150" s="87">
        <v>2075</v>
      </c>
      <c r="AB150" s="87">
        <v>89</v>
      </c>
      <c r="AC150" s="87">
        <v>88</v>
      </c>
      <c r="AD150" s="88">
        <f t="shared" si="19"/>
        <v>0</v>
      </c>
      <c r="AE150" s="88">
        <f t="shared" si="20"/>
        <v>0</v>
      </c>
      <c r="AF150" s="88">
        <f t="shared" si="21"/>
        <v>515840.70176156057</v>
      </c>
      <c r="AG150" s="88">
        <f t="shared" ca="1" si="15"/>
        <v>121621984.90001155</v>
      </c>
      <c r="AH150" s="88">
        <f t="shared" ca="1" si="11"/>
        <v>9729762.3120009247</v>
      </c>
      <c r="AI150" s="88">
        <f t="shared" ca="1" si="16"/>
        <v>130835906.51025093</v>
      </c>
    </row>
    <row r="151" spans="9:35">
      <c r="I151" s="87">
        <v>55</v>
      </c>
      <c r="J151" s="88">
        <f t="shared" ca="1" si="17"/>
        <v>0</v>
      </c>
      <c r="K151" s="87">
        <v>2075</v>
      </c>
      <c r="L151" s="87">
        <v>90</v>
      </c>
      <c r="M151" s="87">
        <v>89</v>
      </c>
      <c r="N151" s="88">
        <f t="shared" si="22"/>
        <v>0</v>
      </c>
      <c r="O151" s="88">
        <f t="shared" si="23"/>
        <v>0</v>
      </c>
      <c r="P151" s="88">
        <f t="shared" si="7"/>
        <v>0</v>
      </c>
      <c r="Q151" s="88">
        <f t="shared" si="8"/>
        <v>0</v>
      </c>
      <c r="R151" s="88">
        <f t="shared" si="18"/>
        <v>526157.51579679165</v>
      </c>
      <c r="S151" s="88">
        <f t="shared" si="9"/>
        <v>204616.81169875234</v>
      </c>
      <c r="T151" s="88">
        <f t="shared" ca="1" si="24"/>
        <v>41294474.075342841</v>
      </c>
      <c r="U151" s="88">
        <f t="shared" ca="1" si="14"/>
        <v>3303557.9260274274</v>
      </c>
      <c r="V151" s="88">
        <f t="shared" ca="1" si="10"/>
        <v>43867257.673874721</v>
      </c>
      <c r="X151" s="88"/>
      <c r="Z151" s="87">
        <v>55</v>
      </c>
      <c r="AA151" s="87">
        <v>2075</v>
      </c>
      <c r="AB151" s="87">
        <v>90</v>
      </c>
      <c r="AC151" s="87">
        <v>89</v>
      </c>
      <c r="AD151" s="88">
        <f t="shared" si="19"/>
        <v>0</v>
      </c>
      <c r="AE151" s="88">
        <f t="shared" si="20"/>
        <v>0</v>
      </c>
      <c r="AF151" s="88">
        <f t="shared" si="21"/>
        <v>526157.51579679165</v>
      </c>
      <c r="AG151" s="88">
        <f t="shared" ca="1" si="15"/>
        <v>130835906.51025093</v>
      </c>
      <c r="AH151" s="88">
        <f t="shared" ca="1" si="11"/>
        <v>10466876.080820074</v>
      </c>
      <c r="AI151" s="88">
        <f t="shared" ca="1" si="16"/>
        <v>140776625.07527423</v>
      </c>
    </row>
    <row r="152" spans="9:35">
      <c r="I152" s="87">
        <v>56</v>
      </c>
      <c r="J152" s="88">
        <f t="shared" ca="1" si="17"/>
        <v>0</v>
      </c>
      <c r="K152" s="87">
        <v>2075</v>
      </c>
      <c r="L152" s="87">
        <v>91</v>
      </c>
      <c r="M152" s="87">
        <v>90</v>
      </c>
      <c r="N152" s="88">
        <f t="shared" si="22"/>
        <v>0</v>
      </c>
      <c r="O152" s="88">
        <f t="shared" si="23"/>
        <v>0</v>
      </c>
      <c r="P152" s="88">
        <f t="shared" si="7"/>
        <v>0</v>
      </c>
      <c r="Q152" s="88">
        <f t="shared" si="8"/>
        <v>0</v>
      </c>
      <c r="R152" s="88">
        <f t="shared" si="18"/>
        <v>536680.66611272749</v>
      </c>
      <c r="S152" s="88">
        <f t="shared" si="9"/>
        <v>208709.14793272736</v>
      </c>
      <c r="T152" s="88">
        <f t="shared" ca="1" si="24"/>
        <v>43867257.673874721</v>
      </c>
      <c r="U152" s="88">
        <f t="shared" ca="1" si="14"/>
        <v>3509380.613909978</v>
      </c>
      <c r="V152" s="88">
        <f t="shared" ca="1" si="10"/>
        <v>46631248.473739244</v>
      </c>
      <c r="X152" s="88"/>
      <c r="Z152" s="87">
        <v>56</v>
      </c>
      <c r="AA152" s="87">
        <v>2075</v>
      </c>
      <c r="AB152" s="87">
        <v>91</v>
      </c>
      <c r="AC152" s="87">
        <v>90</v>
      </c>
      <c r="AD152" s="88">
        <f t="shared" si="19"/>
        <v>0</v>
      </c>
      <c r="AE152" s="88">
        <f t="shared" si="20"/>
        <v>0</v>
      </c>
      <c r="AF152" s="88">
        <f t="shared" si="21"/>
        <v>536680.66611272749</v>
      </c>
      <c r="AG152" s="88">
        <f t="shared" ca="1" si="15"/>
        <v>140776625.07527423</v>
      </c>
      <c r="AH152" s="88">
        <f t="shared" ca="1" si="11"/>
        <v>11262133.606021939</v>
      </c>
      <c r="AI152" s="88">
        <f t="shared" ca="1" si="16"/>
        <v>151502078.01518345</v>
      </c>
    </row>
    <row r="153" spans="9:35">
      <c r="I153" s="87">
        <v>57</v>
      </c>
      <c r="J153" s="88">
        <f t="shared" ca="1" si="17"/>
        <v>0</v>
      </c>
      <c r="K153" s="87">
        <v>2075</v>
      </c>
      <c r="L153" s="87">
        <v>92</v>
      </c>
      <c r="M153" s="87">
        <v>91</v>
      </c>
      <c r="N153" s="88">
        <f t="shared" si="22"/>
        <v>0</v>
      </c>
      <c r="O153" s="88">
        <f t="shared" si="23"/>
        <v>0</v>
      </c>
      <c r="P153" s="88">
        <f t="shared" si="7"/>
        <v>0</v>
      </c>
      <c r="Q153" s="88">
        <f t="shared" si="8"/>
        <v>0</v>
      </c>
      <c r="R153" s="88">
        <f t="shared" si="18"/>
        <v>547414.27943498199</v>
      </c>
      <c r="S153" s="88">
        <f t="shared" si="9"/>
        <v>212883.33089138195</v>
      </c>
      <c r="T153" s="88">
        <f t="shared" ca="1" si="24"/>
        <v>46631248.473739244</v>
      </c>
      <c r="U153" s="88">
        <f t="shared" ca="1" si="14"/>
        <v>3730499.8778991397</v>
      </c>
      <c r="V153" s="88">
        <f t="shared" ca="1" si="10"/>
        <v>49601450.74131202</v>
      </c>
      <c r="X153" s="88"/>
      <c r="Z153" s="87">
        <v>57</v>
      </c>
      <c r="AA153" s="87">
        <v>2075</v>
      </c>
      <c r="AB153" s="87">
        <v>92</v>
      </c>
      <c r="AC153" s="87">
        <v>91</v>
      </c>
      <c r="AD153" s="88">
        <f t="shared" si="19"/>
        <v>0</v>
      </c>
      <c r="AE153" s="88">
        <f t="shared" si="20"/>
        <v>0</v>
      </c>
      <c r="AF153" s="88">
        <f t="shared" si="21"/>
        <v>547414.27943498199</v>
      </c>
      <c r="AG153" s="88">
        <f t="shared" ca="1" si="15"/>
        <v>151502078.01518345</v>
      </c>
      <c r="AH153" s="88">
        <f t="shared" ca="1" si="11"/>
        <v>12120169.881214676</v>
      </c>
      <c r="AI153" s="88">
        <f t="shared" ca="1" si="16"/>
        <v>163074833.61696315</v>
      </c>
    </row>
    <row r="154" spans="9:35">
      <c r="I154" s="87">
        <v>58</v>
      </c>
      <c r="J154" s="88">
        <f t="shared" ca="1" si="17"/>
        <v>0</v>
      </c>
      <c r="K154" s="87">
        <v>2075</v>
      </c>
      <c r="L154" s="87">
        <v>93</v>
      </c>
      <c r="M154" s="87">
        <v>92</v>
      </c>
      <c r="N154" s="88">
        <f t="shared" si="22"/>
        <v>0</v>
      </c>
      <c r="O154" s="88">
        <f t="shared" si="23"/>
        <v>0</v>
      </c>
      <c r="P154" s="88">
        <f t="shared" si="7"/>
        <v>0</v>
      </c>
      <c r="Q154" s="88">
        <f t="shared" si="8"/>
        <v>0</v>
      </c>
      <c r="R154" s="88">
        <f t="shared" si="18"/>
        <v>558362.56502368173</v>
      </c>
      <c r="S154" s="88">
        <f t="shared" si="9"/>
        <v>217140.99750920956</v>
      </c>
      <c r="T154" s="88">
        <f t="shared" ca="1" si="24"/>
        <v>49601450.74131202</v>
      </c>
      <c r="U154" s="88">
        <f t="shared" ca="1" si="14"/>
        <v>3968116.0593049615</v>
      </c>
      <c r="V154" s="88">
        <f t="shared" ca="1" si="10"/>
        <v>52794063.238084085</v>
      </c>
      <c r="X154" s="88"/>
      <c r="Z154" s="87">
        <v>58</v>
      </c>
      <c r="AA154" s="87">
        <v>2075</v>
      </c>
      <c r="AB154" s="87">
        <v>93</v>
      </c>
      <c r="AC154" s="87">
        <v>92</v>
      </c>
      <c r="AD154" s="88">
        <f t="shared" si="19"/>
        <v>0</v>
      </c>
      <c r="AE154" s="88">
        <f t="shared" si="20"/>
        <v>0</v>
      </c>
      <c r="AF154" s="88">
        <f t="shared" si="21"/>
        <v>558362.56502368173</v>
      </c>
      <c r="AG154" s="88">
        <f t="shared" ca="1" si="15"/>
        <v>163074833.61696315</v>
      </c>
      <c r="AH154" s="88">
        <f t="shared" ca="1" si="11"/>
        <v>13045990.369357051</v>
      </c>
      <c r="AI154" s="88">
        <f t="shared" ca="1" si="16"/>
        <v>175562461.42129651</v>
      </c>
    </row>
    <row r="155" spans="9:35">
      <c r="I155" s="87">
        <v>59</v>
      </c>
      <c r="J155" s="88">
        <f t="shared" ca="1" si="17"/>
        <v>0</v>
      </c>
      <c r="K155" s="87">
        <v>2075</v>
      </c>
      <c r="L155" s="87">
        <v>94</v>
      </c>
      <c r="M155" s="87">
        <v>93</v>
      </c>
      <c r="N155" s="88">
        <f t="shared" si="22"/>
        <v>0</v>
      </c>
      <c r="O155" s="88">
        <f t="shared" si="23"/>
        <v>0</v>
      </c>
      <c r="P155" s="88">
        <f t="shared" si="7"/>
        <v>0</v>
      </c>
      <c r="Q155" s="88">
        <f t="shared" si="8"/>
        <v>0</v>
      </c>
      <c r="R155" s="88">
        <f t="shared" si="18"/>
        <v>569529.81632415531</v>
      </c>
      <c r="S155" s="88">
        <f t="shared" si="9"/>
        <v>221483.81745939376</v>
      </c>
      <c r="T155" s="88">
        <f t="shared" ca="1" si="24"/>
        <v>52794063.238084085</v>
      </c>
      <c r="U155" s="88">
        <f t="shared" ca="1" si="14"/>
        <v>4223525.0590467267</v>
      </c>
      <c r="V155" s="88">
        <f t="shared" ca="1" si="10"/>
        <v>56226574.663347259</v>
      </c>
      <c r="X155" s="88"/>
      <c r="Z155" s="87">
        <v>59</v>
      </c>
      <c r="AA155" s="87">
        <v>2075</v>
      </c>
      <c r="AB155" s="87">
        <v>94</v>
      </c>
      <c r="AC155" s="87">
        <v>93</v>
      </c>
      <c r="AD155" s="88">
        <f t="shared" si="19"/>
        <v>0</v>
      </c>
      <c r="AE155" s="88">
        <f t="shared" si="20"/>
        <v>0</v>
      </c>
      <c r="AF155" s="88">
        <f t="shared" si="21"/>
        <v>569529.81632415531</v>
      </c>
      <c r="AG155" s="88">
        <f t="shared" ca="1" si="15"/>
        <v>175562461.42129651</v>
      </c>
      <c r="AH155" s="88">
        <f t="shared" ca="1" si="11"/>
        <v>14045000.633703722</v>
      </c>
      <c r="AI155" s="88">
        <f t="shared" ca="1" si="16"/>
        <v>189037932.23867607</v>
      </c>
    </row>
    <row r="156" spans="9:35">
      <c r="I156" s="87">
        <v>60</v>
      </c>
      <c r="J156" s="88">
        <f t="shared" ca="1" si="17"/>
        <v>0</v>
      </c>
      <c r="K156" s="87">
        <v>2075</v>
      </c>
      <c r="L156" s="87">
        <v>95</v>
      </c>
      <c r="M156" s="87">
        <v>94</v>
      </c>
      <c r="N156" s="88">
        <f t="shared" si="22"/>
        <v>0</v>
      </c>
      <c r="O156" s="88">
        <f t="shared" si="23"/>
        <v>0</v>
      </c>
      <c r="P156" s="88">
        <f t="shared" si="7"/>
        <v>0</v>
      </c>
      <c r="Q156" s="88">
        <f t="shared" si="8"/>
        <v>0</v>
      </c>
      <c r="R156" s="88">
        <f t="shared" si="18"/>
        <v>580920.41265063849</v>
      </c>
      <c r="S156" s="88">
        <f t="shared" si="9"/>
        <v>225913.49380858161</v>
      </c>
      <c r="T156" s="88">
        <f t="shared" ca="1" si="24"/>
        <v>56226574.663347259</v>
      </c>
      <c r="U156" s="88">
        <f t="shared" ca="1" si="14"/>
        <v>4498125.973067781</v>
      </c>
      <c r="V156" s="88">
        <f t="shared" ca="1" si="10"/>
        <v>59917866.729955822</v>
      </c>
      <c r="X156" s="88"/>
      <c r="Z156" s="87">
        <v>60</v>
      </c>
      <c r="AA156" s="87">
        <v>2075</v>
      </c>
      <c r="AB156" s="87">
        <v>95</v>
      </c>
      <c r="AC156" s="87">
        <v>94</v>
      </c>
      <c r="AD156" s="88">
        <f t="shared" si="19"/>
        <v>0</v>
      </c>
      <c r="AE156" s="88">
        <f t="shared" si="20"/>
        <v>0</v>
      </c>
      <c r="AF156" s="88">
        <f t="shared" si="21"/>
        <v>580920.41265063849</v>
      </c>
      <c r="AG156" s="88">
        <f t="shared" ca="1" si="15"/>
        <v>189037932.23867607</v>
      </c>
      <c r="AH156" s="88">
        <f t="shared" ca="1" si="11"/>
        <v>15123038.339094086</v>
      </c>
      <c r="AI156" s="88">
        <f t="shared" ca="1" si="16"/>
        <v>203580050.1651195</v>
      </c>
    </row>
    <row r="157" spans="9:35">
      <c r="I157" s="87">
        <v>61</v>
      </c>
      <c r="J157" s="88">
        <f t="shared" ca="1" si="17"/>
        <v>0</v>
      </c>
      <c r="K157" s="87">
        <v>2075</v>
      </c>
      <c r="L157" s="87">
        <v>96</v>
      </c>
      <c r="M157" s="87">
        <v>95</v>
      </c>
      <c r="N157" s="88">
        <f t="shared" si="22"/>
        <v>0</v>
      </c>
      <c r="O157" s="88">
        <f t="shared" si="23"/>
        <v>0</v>
      </c>
      <c r="P157" s="88">
        <f t="shared" si="7"/>
        <v>0</v>
      </c>
      <c r="Q157" s="88">
        <f t="shared" si="8"/>
        <v>0</v>
      </c>
      <c r="R157" s="88">
        <f t="shared" si="18"/>
        <v>592538.82090365118</v>
      </c>
      <c r="S157" s="88">
        <f t="shared" si="9"/>
        <v>230431.76368475321</v>
      </c>
      <c r="T157" s="88">
        <f t="shared" ca="1" si="24"/>
        <v>59917866.729955822</v>
      </c>
      <c r="U157" s="88">
        <f t="shared" ca="1" si="14"/>
        <v>4793429.3383964663</v>
      </c>
      <c r="V157" s="88">
        <f t="shared" ca="1" si="10"/>
        <v>63888325.483763888</v>
      </c>
      <c r="X157" s="88"/>
      <c r="Z157" s="87">
        <v>61</v>
      </c>
      <c r="AA157" s="87">
        <v>2075</v>
      </c>
      <c r="AB157" s="87">
        <v>96</v>
      </c>
      <c r="AC157" s="87">
        <v>95</v>
      </c>
      <c r="AD157" s="88">
        <f t="shared" si="19"/>
        <v>0</v>
      </c>
      <c r="AE157" s="88">
        <f t="shared" si="20"/>
        <v>0</v>
      </c>
      <c r="AF157" s="88">
        <f t="shared" si="21"/>
        <v>592538.82090365118</v>
      </c>
      <c r="AG157" s="88">
        <f t="shared" ca="1" si="15"/>
        <v>203580050.1651195</v>
      </c>
      <c r="AH157" s="88">
        <f t="shared" ca="1" si="11"/>
        <v>16286407.813209562</v>
      </c>
      <c r="AI157" s="88">
        <f t="shared" ca="1" si="16"/>
        <v>219273919.1574254</v>
      </c>
    </row>
    <row r="158" spans="9:35">
      <c r="I158" s="87">
        <v>62</v>
      </c>
      <c r="J158" s="88">
        <f t="shared" ca="1" si="17"/>
        <v>0</v>
      </c>
      <c r="K158" s="87">
        <v>2075</v>
      </c>
      <c r="L158" s="87">
        <v>97</v>
      </c>
      <c r="M158" s="87">
        <v>96</v>
      </c>
      <c r="N158" s="88">
        <f t="shared" si="22"/>
        <v>0</v>
      </c>
      <c r="O158" s="88">
        <f t="shared" si="23"/>
        <v>0</v>
      </c>
      <c r="P158" s="88">
        <f t="shared" si="7"/>
        <v>0</v>
      </c>
      <c r="Q158" s="88">
        <f t="shared" si="8"/>
        <v>0</v>
      </c>
      <c r="R158" s="88">
        <f t="shared" si="18"/>
        <v>604389.59732172429</v>
      </c>
      <c r="S158" s="88">
        <f t="shared" si="9"/>
        <v>235040.39895844832</v>
      </c>
      <c r="T158" s="88">
        <f t="shared" ca="1" si="24"/>
        <v>63888325.483763888</v>
      </c>
      <c r="U158" s="88">
        <f t="shared" ca="1" si="14"/>
        <v>5111066.0387011115</v>
      </c>
      <c r="V158" s="88">
        <f t="shared" ca="1" si="10"/>
        <v>68159961.526184827</v>
      </c>
      <c r="X158" s="88"/>
      <c r="Z158" s="87">
        <v>62</v>
      </c>
      <c r="AA158" s="87">
        <v>2075</v>
      </c>
      <c r="AB158" s="87">
        <v>97</v>
      </c>
      <c r="AC158" s="87">
        <v>96</v>
      </c>
      <c r="AD158" s="88">
        <f t="shared" si="19"/>
        <v>0</v>
      </c>
      <c r="AE158" s="88">
        <f t="shared" si="20"/>
        <v>0</v>
      </c>
      <c r="AF158" s="88">
        <f t="shared" si="21"/>
        <v>604389.59732172429</v>
      </c>
      <c r="AG158" s="88">
        <f t="shared" ca="1" si="15"/>
        <v>219273919.1574254</v>
      </c>
      <c r="AH158" s="88">
        <f t="shared" ca="1" si="11"/>
        <v>17541917.372594032</v>
      </c>
      <c r="AI158" s="88">
        <f t="shared" ca="1" si="16"/>
        <v>236211446.93269771</v>
      </c>
    </row>
    <row r="159" spans="9:35">
      <c r="I159" s="87">
        <v>63</v>
      </c>
      <c r="J159" s="88">
        <f t="shared" ca="1" si="17"/>
        <v>0</v>
      </c>
      <c r="K159" s="87">
        <v>2075</v>
      </c>
      <c r="L159" s="87">
        <v>98</v>
      </c>
      <c r="M159" s="87">
        <v>97</v>
      </c>
      <c r="N159" s="88">
        <f t="shared" si="22"/>
        <v>0</v>
      </c>
      <c r="O159" s="88">
        <f t="shared" si="23"/>
        <v>0</v>
      </c>
      <c r="P159" s="88">
        <f t="shared" si="7"/>
        <v>0</v>
      </c>
      <c r="Q159" s="88">
        <f t="shared" si="8"/>
        <v>0</v>
      </c>
      <c r="R159" s="88">
        <f t="shared" si="18"/>
        <v>616477.38926815859</v>
      </c>
      <c r="S159" s="88">
        <f t="shared" si="9"/>
        <v>239741.20693761727</v>
      </c>
      <c r="T159" s="88">
        <f t="shared" ca="1" si="24"/>
        <v>68159961.526184827</v>
      </c>
      <c r="U159" s="88">
        <f t="shared" ca="1" si="14"/>
        <v>5452796.9220947865</v>
      </c>
      <c r="V159" s="88">
        <f t="shared" ca="1" si="10"/>
        <v>72756539.852073848</v>
      </c>
      <c r="X159" s="88"/>
      <c r="Z159" s="87">
        <v>63</v>
      </c>
      <c r="AA159" s="87">
        <v>2075</v>
      </c>
      <c r="AB159" s="87">
        <v>98</v>
      </c>
      <c r="AC159" s="87">
        <v>97</v>
      </c>
      <c r="AD159" s="88">
        <f t="shared" si="19"/>
        <v>0</v>
      </c>
      <c r="AE159" s="88">
        <f t="shared" si="20"/>
        <v>0</v>
      </c>
      <c r="AF159" s="88">
        <f t="shared" si="21"/>
        <v>616477.38926815859</v>
      </c>
      <c r="AG159" s="88">
        <f t="shared" ca="1" si="15"/>
        <v>236211446.93269771</v>
      </c>
      <c r="AH159" s="88">
        <f t="shared" ca="1" si="11"/>
        <v>18896919.634615816</v>
      </c>
      <c r="AI159" s="88">
        <f t="shared" ca="1" si="16"/>
        <v>254491889.17804536</v>
      </c>
    </row>
    <row r="160" spans="9:35">
      <c r="I160" s="87">
        <v>64</v>
      </c>
      <c r="J160" s="88">
        <f t="shared" ca="1" si="17"/>
        <v>0</v>
      </c>
      <c r="K160" s="87">
        <v>2075</v>
      </c>
      <c r="L160" s="87">
        <v>99</v>
      </c>
      <c r="M160" s="87">
        <v>98</v>
      </c>
      <c r="N160" s="88">
        <f t="shared" si="22"/>
        <v>0</v>
      </c>
      <c r="O160" s="88">
        <f t="shared" si="23"/>
        <v>0</v>
      </c>
      <c r="P160" s="88">
        <f t="shared" si="7"/>
        <v>0</v>
      </c>
      <c r="Q160" s="88">
        <f t="shared" si="8"/>
        <v>0</v>
      </c>
      <c r="R160" s="88">
        <f t="shared" si="18"/>
        <v>628806.93705352198</v>
      </c>
      <c r="S160" s="88">
        <f t="shared" si="9"/>
        <v>244536.03107636969</v>
      </c>
      <c r="T160" s="88">
        <f t="shared" ca="1" si="24"/>
        <v>72756539.852073848</v>
      </c>
      <c r="U160" s="88">
        <f t="shared" ca="1" si="14"/>
        <v>5820523.1881659077</v>
      </c>
      <c r="V160" s="88">
        <f t="shared" ca="1" si="10"/>
        <v>77703720.072109863</v>
      </c>
      <c r="X160" s="88"/>
      <c r="Z160" s="87">
        <v>64</v>
      </c>
      <c r="AA160" s="87">
        <v>2075</v>
      </c>
      <c r="AB160" s="87">
        <v>99</v>
      </c>
      <c r="AC160" s="87">
        <v>98</v>
      </c>
      <c r="AD160" s="88">
        <f t="shared" si="19"/>
        <v>0</v>
      </c>
      <c r="AE160" s="88">
        <f t="shared" si="20"/>
        <v>0</v>
      </c>
      <c r="AF160" s="88">
        <f t="shared" si="21"/>
        <v>628806.93705352198</v>
      </c>
      <c r="AG160" s="88">
        <f t="shared" ca="1" si="15"/>
        <v>254491889.17804536</v>
      </c>
      <c r="AH160" s="88">
        <f t="shared" ca="1" si="11"/>
        <v>20359355.054243632</v>
      </c>
      <c r="AI160" s="88">
        <f t="shared" ca="1" si="16"/>
        <v>274222437.29523551</v>
      </c>
    </row>
    <row r="161" spans="9:35">
      <c r="I161" s="87">
        <v>65</v>
      </c>
      <c r="J161" s="88">
        <f t="shared" ref="J161:J182" ca="1" si="25">IF(V160&lt;0,0,IF(V161&lt;0,1,0))</f>
        <v>0</v>
      </c>
      <c r="K161" s="87">
        <v>2075</v>
      </c>
      <c r="L161" s="87">
        <v>100</v>
      </c>
      <c r="M161" s="87">
        <v>99</v>
      </c>
      <c r="N161" s="88">
        <f t="shared" si="22"/>
        <v>0</v>
      </c>
      <c r="O161" s="88">
        <f t="shared" si="23"/>
        <v>0</v>
      </c>
      <c r="P161" s="88">
        <f t="shared" si="7"/>
        <v>0</v>
      </c>
      <c r="Q161" s="88">
        <f t="shared" si="8"/>
        <v>0</v>
      </c>
      <c r="R161" s="88">
        <f t="shared" ref="R161:R182" si="26">IF(L161&gt;=$K$90,$K$92,0)*(1.02^I161)</f>
        <v>641383.07579459238</v>
      </c>
      <c r="S161" s="88">
        <f t="shared" si="9"/>
        <v>249426.7516978971</v>
      </c>
      <c r="T161" s="88">
        <f t="shared" ca="1" si="24"/>
        <v>77703720.072109863</v>
      </c>
      <c r="U161" s="88">
        <f t="shared" ca="1" si="14"/>
        <v>6216297.6057687895</v>
      </c>
      <c r="V161" s="88">
        <f t="shared" ca="1" si="10"/>
        <v>83029207.850386158</v>
      </c>
      <c r="X161" s="88"/>
      <c r="Z161" s="87">
        <v>65</v>
      </c>
      <c r="AA161" s="87">
        <v>2075</v>
      </c>
      <c r="AB161" s="87">
        <v>100</v>
      </c>
      <c r="AC161" s="87">
        <v>99</v>
      </c>
      <c r="AD161" s="88">
        <f t="shared" ref="AD161:AD169" si="27">IF(AB161&lt;$AB$90,$AB$84,0)</f>
        <v>0</v>
      </c>
      <c r="AE161" s="88">
        <f t="shared" ref="AE161:AE169" si="28">IF(AC161&lt;$AB$91,$AB$85,0)</f>
        <v>0</v>
      </c>
      <c r="AF161" s="88">
        <f t="shared" ref="AF161:AF169" si="29">IF(AB161&gt;=$AB$90,$AB$92,0)*(1.02^Z161)</f>
        <v>641383.07579459238</v>
      </c>
      <c r="AG161" s="88">
        <f t="shared" ca="1" si="15"/>
        <v>274222437.29523551</v>
      </c>
      <c r="AH161" s="88">
        <f t="shared" ca="1" si="11"/>
        <v>21937798.943618841</v>
      </c>
      <c r="AI161" s="88">
        <f t="shared" ca="1" si="16"/>
        <v>295518853.16305977</v>
      </c>
    </row>
    <row r="162" spans="9:35">
      <c r="I162" s="87">
        <v>66</v>
      </c>
      <c r="J162" s="88">
        <f t="shared" ca="1" si="25"/>
        <v>0</v>
      </c>
      <c r="K162" s="87">
        <v>2075</v>
      </c>
      <c r="L162" s="87">
        <v>101</v>
      </c>
      <c r="M162" s="87">
        <v>100</v>
      </c>
      <c r="N162" s="88">
        <f t="shared" ref="N162:N182" si="30">IF(L162&lt;$K$90,$K$84,0)</f>
        <v>0</v>
      </c>
      <c r="O162" s="88">
        <f t="shared" ref="O162:O182" si="31">IF(M162&lt;$K$91,$K$85,0)</f>
        <v>0</v>
      </c>
      <c r="P162" s="88">
        <f t="shared" ref="P162:P182" si="32">IF(AND(L162&gt;72,L162&lt;85.5),$K$88,0)</f>
        <v>0</v>
      </c>
      <c r="Q162" s="88">
        <f t="shared" ref="Q162:Q182" si="33">IF(AND(M162&gt;72,M162&lt;88.8),$K$89,0)</f>
        <v>0</v>
      </c>
      <c r="R162" s="88">
        <f t="shared" si="26"/>
        <v>654210.73731048417</v>
      </c>
      <c r="S162" s="88">
        <f t="shared" ref="S162:S182" si="34">(R162/(1-$K$93))-R162</f>
        <v>254415.28673185501</v>
      </c>
      <c r="T162" s="88">
        <f t="shared" ca="1" si="24"/>
        <v>83029207.850386158</v>
      </c>
      <c r="U162" s="88">
        <f t="shared" ref="U162:U169" ca="1" si="35">(SUM(N162:O162)/2)*$K$86+(T162*$K$86)</f>
        <v>6642336.6280308925</v>
      </c>
      <c r="V162" s="88">
        <f t="shared" ref="V162:V182" ca="1" si="36">SUM(N162,O162,T162,U162)-(R162+S162-P162-Q162)</f>
        <v>88762918.454374716</v>
      </c>
      <c r="X162" s="88"/>
      <c r="Z162" s="87">
        <v>66</v>
      </c>
      <c r="AA162" s="87">
        <v>2075</v>
      </c>
      <c r="AB162" s="87">
        <v>101</v>
      </c>
      <c r="AC162" s="87">
        <v>100</v>
      </c>
      <c r="AD162" s="88">
        <f t="shared" si="27"/>
        <v>0</v>
      </c>
      <c r="AE162" s="88">
        <f t="shared" si="28"/>
        <v>0</v>
      </c>
      <c r="AF162" s="88">
        <f t="shared" si="29"/>
        <v>654210.73731048417</v>
      </c>
      <c r="AG162" s="88">
        <f t="shared" ca="1" si="15"/>
        <v>295518853.16305977</v>
      </c>
      <c r="AH162" s="88">
        <f t="shared" ref="AH162:AH169" ca="1" si="37">(SUM(AC162:AD162)/2)*$AB$86+(AG162*$AB$86)</f>
        <v>23641512.25304478</v>
      </c>
      <c r="AI162" s="88">
        <f t="shared" ca="1" si="16"/>
        <v>318506154.67879409</v>
      </c>
    </row>
    <row r="163" spans="9:35">
      <c r="I163" s="87">
        <v>67</v>
      </c>
      <c r="J163" s="88">
        <f t="shared" ca="1" si="25"/>
        <v>0</v>
      </c>
      <c r="K163" s="87">
        <v>2075</v>
      </c>
      <c r="L163" s="87">
        <v>102</v>
      </c>
      <c r="M163" s="87">
        <v>101</v>
      </c>
      <c r="N163" s="88">
        <f t="shared" si="30"/>
        <v>0</v>
      </c>
      <c r="O163" s="88">
        <f t="shared" si="31"/>
        <v>0</v>
      </c>
      <c r="P163" s="88">
        <f t="shared" si="32"/>
        <v>0</v>
      </c>
      <c r="Q163" s="88">
        <f t="shared" si="33"/>
        <v>0</v>
      </c>
      <c r="R163" s="88">
        <f t="shared" si="26"/>
        <v>667294.95205669384</v>
      </c>
      <c r="S163" s="88">
        <f t="shared" si="34"/>
        <v>259503.59246649209</v>
      </c>
      <c r="T163" s="88">
        <f t="shared" ca="1" si="24"/>
        <v>88762918.454374716</v>
      </c>
      <c r="U163" s="88">
        <f t="shared" ca="1" si="35"/>
        <v>7101033.4763499778</v>
      </c>
      <c r="V163" s="88">
        <f t="shared" ca="1" si="36"/>
        <v>94937153.386201516</v>
      </c>
      <c r="X163" s="88"/>
      <c r="Z163" s="87">
        <v>67</v>
      </c>
      <c r="AA163" s="87">
        <v>2075</v>
      </c>
      <c r="AB163" s="87">
        <v>102</v>
      </c>
      <c r="AC163" s="87">
        <v>101</v>
      </c>
      <c r="AD163" s="88">
        <f t="shared" si="27"/>
        <v>0</v>
      </c>
      <c r="AE163" s="88">
        <f t="shared" si="28"/>
        <v>0</v>
      </c>
      <c r="AF163" s="88">
        <f t="shared" si="29"/>
        <v>667294.95205669384</v>
      </c>
      <c r="AG163" s="88">
        <f t="shared" ref="AG163:AG169" ca="1" si="38">AI162</f>
        <v>318506154.67879409</v>
      </c>
      <c r="AH163" s="88">
        <f t="shared" ca="1" si="37"/>
        <v>25480496.414303526</v>
      </c>
      <c r="AI163" s="88">
        <f t="shared" ca="1" si="16"/>
        <v>343319356.14104092</v>
      </c>
    </row>
    <row r="164" spans="9:35">
      <c r="I164" s="87">
        <v>68</v>
      </c>
      <c r="J164" s="88">
        <f t="shared" ca="1" si="25"/>
        <v>0</v>
      </c>
      <c r="K164" s="87">
        <v>2075</v>
      </c>
      <c r="L164" s="87">
        <v>103</v>
      </c>
      <c r="M164" s="87">
        <v>102</v>
      </c>
      <c r="N164" s="88">
        <f t="shared" si="30"/>
        <v>0</v>
      </c>
      <c r="O164" s="88">
        <f t="shared" si="31"/>
        <v>0</v>
      </c>
      <c r="P164" s="88">
        <f t="shared" si="32"/>
        <v>0</v>
      </c>
      <c r="Q164" s="88">
        <f t="shared" si="33"/>
        <v>0</v>
      </c>
      <c r="R164" s="88">
        <f t="shared" si="26"/>
        <v>680640.85109782778</v>
      </c>
      <c r="S164" s="88">
        <f t="shared" si="34"/>
        <v>264693.66431582195</v>
      </c>
      <c r="T164" s="88">
        <f t="shared" ca="1" si="24"/>
        <v>94937153.386201516</v>
      </c>
      <c r="U164" s="88">
        <f t="shared" ca="1" si="35"/>
        <v>7594972.2708961219</v>
      </c>
      <c r="V164" s="88">
        <f t="shared" ca="1" si="36"/>
        <v>101586791.14168398</v>
      </c>
      <c r="X164" s="88"/>
      <c r="Z164" s="87">
        <v>68</v>
      </c>
      <c r="AA164" s="87">
        <v>2075</v>
      </c>
      <c r="AB164" s="87">
        <v>103</v>
      </c>
      <c r="AC164" s="87">
        <v>102</v>
      </c>
      <c r="AD164" s="88">
        <f t="shared" si="27"/>
        <v>0</v>
      </c>
      <c r="AE164" s="88">
        <f t="shared" si="28"/>
        <v>0</v>
      </c>
      <c r="AF164" s="88">
        <f t="shared" si="29"/>
        <v>680640.85109782778</v>
      </c>
      <c r="AG164" s="88">
        <f t="shared" ca="1" si="38"/>
        <v>343319356.14104092</v>
      </c>
      <c r="AH164" s="88">
        <f t="shared" ca="1" si="37"/>
        <v>27465552.571283273</v>
      </c>
      <c r="AI164" s="88">
        <f t="shared" ca="1" si="16"/>
        <v>370104267.86122638</v>
      </c>
    </row>
    <row r="165" spans="9:35">
      <c r="I165" s="87">
        <v>69</v>
      </c>
      <c r="J165" s="88">
        <f t="shared" ca="1" si="25"/>
        <v>0</v>
      </c>
      <c r="K165" s="87">
        <v>2075</v>
      </c>
      <c r="L165" s="87">
        <v>104</v>
      </c>
      <c r="M165" s="87">
        <v>103</v>
      </c>
      <c r="N165" s="88">
        <f t="shared" si="30"/>
        <v>0</v>
      </c>
      <c r="O165" s="88">
        <f t="shared" si="31"/>
        <v>0</v>
      </c>
      <c r="P165" s="88">
        <f t="shared" si="32"/>
        <v>0</v>
      </c>
      <c r="Q165" s="88">
        <f t="shared" si="33"/>
        <v>0</v>
      </c>
      <c r="R165" s="88">
        <f t="shared" si="26"/>
        <v>694253.66811978433</v>
      </c>
      <c r="S165" s="88">
        <f t="shared" si="34"/>
        <v>269987.53760213836</v>
      </c>
      <c r="T165" s="88">
        <f t="shared" ca="1" si="24"/>
        <v>101586791.14168398</v>
      </c>
      <c r="U165" s="88">
        <f t="shared" ca="1" si="35"/>
        <v>8126943.2913347185</v>
      </c>
      <c r="V165" s="88">
        <f t="shared" ca="1" si="36"/>
        <v>108749493.22729677</v>
      </c>
      <c r="X165" s="88"/>
      <c r="Z165" s="87">
        <v>69</v>
      </c>
      <c r="AA165" s="87">
        <v>2075</v>
      </c>
      <c r="AB165" s="87">
        <v>104</v>
      </c>
      <c r="AC165" s="87">
        <v>103</v>
      </c>
      <c r="AD165" s="88">
        <f t="shared" si="27"/>
        <v>0</v>
      </c>
      <c r="AE165" s="88">
        <f t="shared" si="28"/>
        <v>0</v>
      </c>
      <c r="AF165" s="88">
        <f t="shared" si="29"/>
        <v>694253.66811978433</v>
      </c>
      <c r="AG165" s="88">
        <f t="shared" ca="1" si="38"/>
        <v>370104267.86122638</v>
      </c>
      <c r="AH165" s="88">
        <f t="shared" ca="1" si="37"/>
        <v>29608345.548898112</v>
      </c>
      <c r="AI165" s="88">
        <f t="shared" ca="1" si="16"/>
        <v>399018359.74200469</v>
      </c>
    </row>
    <row r="166" spans="9:35">
      <c r="I166" s="87">
        <v>70</v>
      </c>
      <c r="J166" s="88">
        <f t="shared" ca="1" si="25"/>
        <v>0</v>
      </c>
      <c r="K166" s="87">
        <v>2075</v>
      </c>
      <c r="L166" s="87">
        <v>105</v>
      </c>
      <c r="M166" s="87">
        <v>104</v>
      </c>
      <c r="N166" s="88">
        <f t="shared" si="30"/>
        <v>0</v>
      </c>
      <c r="O166" s="88">
        <f t="shared" si="31"/>
        <v>0</v>
      </c>
      <c r="P166" s="88">
        <f t="shared" si="32"/>
        <v>0</v>
      </c>
      <c r="Q166" s="88">
        <f t="shared" si="33"/>
        <v>0</v>
      </c>
      <c r="R166" s="88">
        <f t="shared" si="26"/>
        <v>708138.74148218008</v>
      </c>
      <c r="S166" s="88">
        <f t="shared" si="34"/>
        <v>275387.28835418122</v>
      </c>
      <c r="T166" s="88">
        <f t="shared" ca="1" si="24"/>
        <v>108749493.22729677</v>
      </c>
      <c r="U166" s="88">
        <f t="shared" ca="1" si="35"/>
        <v>8699959.4581837412</v>
      </c>
      <c r="V166" s="88">
        <f t="shared" ca="1" si="36"/>
        <v>116465926.65564415</v>
      </c>
      <c r="X166" s="88"/>
      <c r="Z166" s="87">
        <v>70</v>
      </c>
      <c r="AA166" s="87">
        <v>2075</v>
      </c>
      <c r="AB166" s="87">
        <v>105</v>
      </c>
      <c r="AC166" s="87">
        <v>104</v>
      </c>
      <c r="AD166" s="88">
        <f t="shared" si="27"/>
        <v>0</v>
      </c>
      <c r="AE166" s="88">
        <f t="shared" si="28"/>
        <v>0</v>
      </c>
      <c r="AF166" s="88">
        <f t="shared" si="29"/>
        <v>708138.74148218008</v>
      </c>
      <c r="AG166" s="88">
        <f t="shared" ca="1" si="38"/>
        <v>399018359.74200469</v>
      </c>
      <c r="AH166" s="88">
        <f t="shared" ca="1" si="37"/>
        <v>31921472.939360376</v>
      </c>
      <c r="AI166" s="88">
        <f t="shared" ca="1" si="16"/>
        <v>430231693.93988287</v>
      </c>
    </row>
    <row r="167" spans="9:35">
      <c r="I167" s="87">
        <v>71</v>
      </c>
      <c r="J167" s="88">
        <f t="shared" ca="1" si="25"/>
        <v>0</v>
      </c>
      <c r="K167" s="87">
        <v>2075</v>
      </c>
      <c r="L167" s="87">
        <v>106</v>
      </c>
      <c r="M167" s="87">
        <v>105</v>
      </c>
      <c r="N167" s="88">
        <f t="shared" si="30"/>
        <v>0</v>
      </c>
      <c r="O167" s="88">
        <f t="shared" si="31"/>
        <v>0</v>
      </c>
      <c r="P167" s="88">
        <f t="shared" si="32"/>
        <v>0</v>
      </c>
      <c r="Q167" s="88">
        <f t="shared" si="33"/>
        <v>0</v>
      </c>
      <c r="R167" s="88">
        <f t="shared" si="26"/>
        <v>722301.51631182362</v>
      </c>
      <c r="S167" s="88">
        <f t="shared" si="34"/>
        <v>280895.03412126482</v>
      </c>
      <c r="T167" s="88">
        <f t="shared" ca="1" si="24"/>
        <v>116465926.65564415</v>
      </c>
      <c r="U167" s="88">
        <f t="shared" ca="1" si="35"/>
        <v>9317274.1324515324</v>
      </c>
      <c r="V167" s="88">
        <f t="shared" ca="1" si="36"/>
        <v>124780004.2376626</v>
      </c>
      <c r="X167" s="88"/>
      <c r="Z167" s="87">
        <v>71</v>
      </c>
      <c r="AA167" s="87">
        <v>2075</v>
      </c>
      <c r="AB167" s="87">
        <v>106</v>
      </c>
      <c r="AC167" s="87">
        <v>105</v>
      </c>
      <c r="AD167" s="88">
        <f t="shared" si="27"/>
        <v>0</v>
      </c>
      <c r="AE167" s="88">
        <f t="shared" si="28"/>
        <v>0</v>
      </c>
      <c r="AF167" s="88">
        <f t="shared" si="29"/>
        <v>722301.51631182362</v>
      </c>
      <c r="AG167" s="88">
        <f t="shared" ca="1" si="38"/>
        <v>430231693.93988287</v>
      </c>
      <c r="AH167" s="88">
        <f t="shared" ca="1" si="37"/>
        <v>34418539.715190634</v>
      </c>
      <c r="AI167" s="88">
        <f t="shared" ca="1" si="16"/>
        <v>463927932.1387617</v>
      </c>
    </row>
    <row r="168" spans="9:35">
      <c r="I168" s="87">
        <v>72</v>
      </c>
      <c r="J168" s="88">
        <f t="shared" ca="1" si="25"/>
        <v>0</v>
      </c>
      <c r="K168" s="87">
        <v>2075</v>
      </c>
      <c r="L168" s="87">
        <v>107</v>
      </c>
      <c r="M168" s="87">
        <v>106</v>
      </c>
      <c r="N168" s="88">
        <f t="shared" si="30"/>
        <v>0</v>
      </c>
      <c r="O168" s="88">
        <f t="shared" si="31"/>
        <v>0</v>
      </c>
      <c r="P168" s="88">
        <f t="shared" si="32"/>
        <v>0</v>
      </c>
      <c r="Q168" s="88">
        <f t="shared" si="33"/>
        <v>0</v>
      </c>
      <c r="R168" s="88">
        <f t="shared" si="26"/>
        <v>736747.54663806013</v>
      </c>
      <c r="S168" s="88">
        <f t="shared" si="34"/>
        <v>286512.93480369006</v>
      </c>
      <c r="T168" s="88">
        <f t="shared" ca="1" si="24"/>
        <v>124780004.2376626</v>
      </c>
      <c r="U168" s="88">
        <f t="shared" ca="1" si="35"/>
        <v>9982400.3390130084</v>
      </c>
      <c r="V168" s="88">
        <f t="shared" ca="1" si="36"/>
        <v>133739144.09523384</v>
      </c>
      <c r="X168" s="88"/>
      <c r="Z168" s="87">
        <v>72</v>
      </c>
      <c r="AA168" s="87">
        <v>2075</v>
      </c>
      <c r="AB168" s="87">
        <v>107</v>
      </c>
      <c r="AC168" s="87">
        <v>106</v>
      </c>
      <c r="AD168" s="88">
        <f t="shared" si="27"/>
        <v>0</v>
      </c>
      <c r="AE168" s="88">
        <f t="shared" si="28"/>
        <v>0</v>
      </c>
      <c r="AF168" s="88">
        <f t="shared" si="29"/>
        <v>736747.54663806013</v>
      </c>
      <c r="AG168" s="88">
        <f t="shared" ca="1" si="38"/>
        <v>463927932.1387617</v>
      </c>
      <c r="AH168" s="88">
        <f t="shared" ca="1" si="37"/>
        <v>37114238.811100937</v>
      </c>
      <c r="AI168" s="88">
        <f t="shared" ca="1" si="16"/>
        <v>500305423.40322459</v>
      </c>
    </row>
    <row r="169" spans="9:35">
      <c r="I169" s="87">
        <v>73</v>
      </c>
      <c r="J169" s="88">
        <f t="shared" ca="1" si="25"/>
        <v>0</v>
      </c>
      <c r="K169" s="87">
        <v>2075</v>
      </c>
      <c r="L169" s="87">
        <v>108</v>
      </c>
      <c r="M169" s="87">
        <v>107</v>
      </c>
      <c r="N169" s="88">
        <f t="shared" si="30"/>
        <v>0</v>
      </c>
      <c r="O169" s="88">
        <f t="shared" si="31"/>
        <v>0</v>
      </c>
      <c r="P169" s="88">
        <f t="shared" si="32"/>
        <v>0</v>
      </c>
      <c r="Q169" s="88">
        <f t="shared" si="33"/>
        <v>0</v>
      </c>
      <c r="R169" s="88">
        <f t="shared" si="26"/>
        <v>751482.4975708212</v>
      </c>
      <c r="S169" s="88">
        <f t="shared" si="34"/>
        <v>292243.19349976385</v>
      </c>
      <c r="T169" s="88">
        <f t="shared" ca="1" si="24"/>
        <v>133739144.09523384</v>
      </c>
      <c r="U169" s="88">
        <f t="shared" ca="1" si="35"/>
        <v>10699131.527618708</v>
      </c>
      <c r="V169" s="88">
        <f t="shared" ca="1" si="36"/>
        <v>143394549.93178198</v>
      </c>
      <c r="X169" s="88"/>
      <c r="Z169" s="87">
        <v>73</v>
      </c>
      <c r="AA169" s="87">
        <v>2075</v>
      </c>
      <c r="AB169" s="87">
        <v>108</v>
      </c>
      <c r="AC169" s="87">
        <v>107</v>
      </c>
      <c r="AD169" s="88">
        <f t="shared" si="27"/>
        <v>0</v>
      </c>
      <c r="AE169" s="88">
        <f t="shared" si="28"/>
        <v>0</v>
      </c>
      <c r="AF169" s="88">
        <f t="shared" si="29"/>
        <v>751482.4975708212</v>
      </c>
      <c r="AG169" s="88">
        <f t="shared" ca="1" si="38"/>
        <v>500305423.40322459</v>
      </c>
      <c r="AH169" s="88">
        <f t="shared" ca="1" si="37"/>
        <v>40024438.152257971</v>
      </c>
      <c r="AI169" s="88">
        <f t="shared" ca="1" si="16"/>
        <v>539578379.05791163</v>
      </c>
    </row>
    <row r="170" spans="9:35">
      <c r="I170" s="87">
        <v>74</v>
      </c>
      <c r="J170" s="88">
        <f t="shared" ca="1" si="25"/>
        <v>0</v>
      </c>
      <c r="K170" s="87">
        <v>2075</v>
      </c>
      <c r="L170" s="87">
        <v>109</v>
      </c>
      <c r="M170" s="87">
        <v>108</v>
      </c>
      <c r="N170" s="88">
        <f t="shared" si="30"/>
        <v>0</v>
      </c>
      <c r="O170" s="88">
        <f t="shared" si="31"/>
        <v>0</v>
      </c>
      <c r="P170" s="88">
        <f t="shared" si="32"/>
        <v>0</v>
      </c>
      <c r="Q170" s="88">
        <f t="shared" si="33"/>
        <v>0</v>
      </c>
      <c r="R170" s="88">
        <f t="shared" si="26"/>
        <v>766512.14752223773</v>
      </c>
      <c r="S170" s="88">
        <f t="shared" si="34"/>
        <v>298088.05736975919</v>
      </c>
      <c r="T170" s="88">
        <f t="shared" ref="T170:T175" ca="1" si="39">V169</f>
        <v>143394549.93178198</v>
      </c>
      <c r="U170" s="88">
        <f t="shared" ref="U170:U175" ca="1" si="40">(SUM(N170:O170)/2)*$K$86+(T170*$K$86)</f>
        <v>11471563.994542558</v>
      </c>
      <c r="V170" s="88">
        <f t="shared" ca="1" si="36"/>
        <v>153801513.72143254</v>
      </c>
      <c r="X170" s="88"/>
      <c r="Z170" s="87"/>
    </row>
    <row r="171" spans="9:35">
      <c r="I171" s="87">
        <v>75</v>
      </c>
      <c r="J171" s="88">
        <f t="shared" ca="1" si="25"/>
        <v>0</v>
      </c>
      <c r="K171" s="87">
        <v>2075</v>
      </c>
      <c r="L171" s="87">
        <v>110</v>
      </c>
      <c r="M171" s="87">
        <v>109</v>
      </c>
      <c r="N171" s="88">
        <f t="shared" si="30"/>
        <v>0</v>
      </c>
      <c r="O171" s="88">
        <f t="shared" si="31"/>
        <v>0</v>
      </c>
      <c r="P171" s="88">
        <f t="shared" si="32"/>
        <v>0</v>
      </c>
      <c r="Q171" s="88">
        <f t="shared" si="33"/>
        <v>0</v>
      </c>
      <c r="R171" s="88">
        <f t="shared" si="26"/>
        <v>781842.39047268231</v>
      </c>
      <c r="S171" s="88">
        <f t="shared" si="34"/>
        <v>304049.8185171542</v>
      </c>
      <c r="T171" s="88">
        <f t="shared" ca="1" si="39"/>
        <v>153801513.72143254</v>
      </c>
      <c r="U171" s="88">
        <f t="shared" ca="1" si="40"/>
        <v>12304121.097714603</v>
      </c>
      <c r="V171" s="88">
        <f t="shared" ca="1" si="36"/>
        <v>165019742.61015731</v>
      </c>
      <c r="X171" s="88"/>
    </row>
    <row r="172" spans="9:35">
      <c r="I172" s="87">
        <v>76</v>
      </c>
      <c r="J172" s="88">
        <f t="shared" ca="1" si="25"/>
        <v>0</v>
      </c>
      <c r="K172" s="87">
        <v>2075</v>
      </c>
      <c r="L172" s="87">
        <v>111</v>
      </c>
      <c r="M172" s="87">
        <v>110</v>
      </c>
      <c r="N172" s="88">
        <f t="shared" si="30"/>
        <v>0</v>
      </c>
      <c r="O172" s="88">
        <f t="shared" si="31"/>
        <v>0</v>
      </c>
      <c r="P172" s="88">
        <f t="shared" si="32"/>
        <v>0</v>
      </c>
      <c r="Q172" s="88">
        <f t="shared" si="33"/>
        <v>0</v>
      </c>
      <c r="R172" s="88">
        <f t="shared" si="26"/>
        <v>797479.23828213615</v>
      </c>
      <c r="S172" s="88">
        <f t="shared" si="34"/>
        <v>310130.81488749734</v>
      </c>
      <c r="T172" s="88">
        <f t="shared" ca="1" si="39"/>
        <v>165019742.61015731</v>
      </c>
      <c r="U172" s="88">
        <f t="shared" ca="1" si="40"/>
        <v>13201579.408812584</v>
      </c>
      <c r="V172" s="88">
        <f t="shared" ca="1" si="36"/>
        <v>177113711.96580026</v>
      </c>
      <c r="X172" s="88"/>
    </row>
    <row r="173" spans="9:35">
      <c r="I173" s="87">
        <v>77</v>
      </c>
      <c r="J173" s="88">
        <f t="shared" ca="1" si="25"/>
        <v>0</v>
      </c>
      <c r="K173" s="87">
        <v>2075</v>
      </c>
      <c r="L173" s="87">
        <v>112</v>
      </c>
      <c r="M173" s="87">
        <v>111</v>
      </c>
      <c r="N173" s="88">
        <f t="shared" si="30"/>
        <v>0</v>
      </c>
      <c r="O173" s="88">
        <f t="shared" si="31"/>
        <v>0</v>
      </c>
      <c r="P173" s="88">
        <f t="shared" si="32"/>
        <v>0</v>
      </c>
      <c r="Q173" s="88">
        <f t="shared" si="33"/>
        <v>0</v>
      </c>
      <c r="R173" s="88">
        <f t="shared" si="26"/>
        <v>813428.8230477788</v>
      </c>
      <c r="S173" s="88">
        <f t="shared" si="34"/>
        <v>316333.43118524738</v>
      </c>
      <c r="T173" s="88">
        <f t="shared" ca="1" si="39"/>
        <v>177113711.96580026</v>
      </c>
      <c r="U173" s="88">
        <f t="shared" ca="1" si="40"/>
        <v>14169096.957264021</v>
      </c>
      <c r="V173" s="88">
        <f t="shared" ca="1" si="36"/>
        <v>190153046.66883126</v>
      </c>
      <c r="X173" s="88"/>
    </row>
    <row r="174" spans="9:35">
      <c r="I174" s="87">
        <v>78</v>
      </c>
      <c r="J174" s="88">
        <f t="shared" ca="1" si="25"/>
        <v>0</v>
      </c>
      <c r="K174" s="87">
        <v>2075</v>
      </c>
      <c r="L174" s="87">
        <v>113</v>
      </c>
      <c r="M174" s="87">
        <v>112</v>
      </c>
      <c r="N174" s="88">
        <f t="shared" si="30"/>
        <v>0</v>
      </c>
      <c r="O174" s="88">
        <f t="shared" si="31"/>
        <v>0</v>
      </c>
      <c r="P174" s="88">
        <f t="shared" si="32"/>
        <v>0</v>
      </c>
      <c r="Q174" s="88">
        <f t="shared" si="33"/>
        <v>0</v>
      </c>
      <c r="R174" s="88">
        <f t="shared" si="26"/>
        <v>829697.39950873447</v>
      </c>
      <c r="S174" s="88">
        <f t="shared" si="34"/>
        <v>322660.09980895231</v>
      </c>
      <c r="T174" s="88">
        <f t="shared" ca="1" si="39"/>
        <v>190153046.66883126</v>
      </c>
      <c r="U174" s="88">
        <f t="shared" ca="1" si="40"/>
        <v>15212243.733506501</v>
      </c>
      <c r="V174" s="88">
        <f t="shared" ca="1" si="36"/>
        <v>204212932.90302008</v>
      </c>
      <c r="X174" s="88"/>
    </row>
    <row r="175" spans="9:35">
      <c r="I175" s="87">
        <v>79</v>
      </c>
      <c r="J175" s="88">
        <f t="shared" ca="1" si="25"/>
        <v>0</v>
      </c>
      <c r="K175" s="87">
        <v>2075</v>
      </c>
      <c r="L175" s="87">
        <v>114</v>
      </c>
      <c r="M175" s="87">
        <v>113</v>
      </c>
      <c r="N175" s="88">
        <f t="shared" si="30"/>
        <v>0</v>
      </c>
      <c r="O175" s="88">
        <f t="shared" si="31"/>
        <v>0</v>
      </c>
      <c r="P175" s="88">
        <f t="shared" si="32"/>
        <v>0</v>
      </c>
      <c r="Q175" s="88">
        <f t="shared" si="33"/>
        <v>0</v>
      </c>
      <c r="R175" s="88">
        <f t="shared" si="26"/>
        <v>846291.34749890887</v>
      </c>
      <c r="S175" s="88">
        <f t="shared" si="34"/>
        <v>329113.30180513137</v>
      </c>
      <c r="T175" s="88">
        <f t="shared" ca="1" si="39"/>
        <v>204212932.90302008</v>
      </c>
      <c r="U175" s="88">
        <f t="shared" ca="1" si="40"/>
        <v>16337034.632241607</v>
      </c>
      <c r="V175" s="88">
        <f t="shared" ca="1" si="36"/>
        <v>219374562.88595766</v>
      </c>
      <c r="X175" s="88"/>
    </row>
    <row r="176" spans="9:35">
      <c r="I176" s="87">
        <v>80</v>
      </c>
      <c r="J176" s="88">
        <f t="shared" ca="1" si="25"/>
        <v>0</v>
      </c>
      <c r="K176" s="87">
        <v>2075</v>
      </c>
      <c r="L176" s="87">
        <v>115</v>
      </c>
      <c r="M176" s="87">
        <v>114</v>
      </c>
      <c r="N176" s="88">
        <f t="shared" si="30"/>
        <v>0</v>
      </c>
      <c r="O176" s="88">
        <f t="shared" si="31"/>
        <v>0</v>
      </c>
      <c r="P176" s="88">
        <f t="shared" si="32"/>
        <v>0</v>
      </c>
      <c r="Q176" s="88">
        <f t="shared" si="33"/>
        <v>0</v>
      </c>
      <c r="R176" s="88">
        <f t="shared" si="26"/>
        <v>863217.17444888724</v>
      </c>
      <c r="S176" s="88">
        <f t="shared" si="34"/>
        <v>335695.56784123403</v>
      </c>
      <c r="T176" s="88">
        <f t="shared" ref="T176:T182" ca="1" si="41">V175</f>
        <v>219374562.88595766</v>
      </c>
      <c r="U176" s="88">
        <f t="shared" ref="U176:U182" ca="1" si="42">(SUM(N176:O176)/2)*$K$86+(T176*$K$86)</f>
        <v>17549965.030876614</v>
      </c>
      <c r="V176" s="88">
        <f t="shared" ca="1" si="36"/>
        <v>235725615.17454416</v>
      </c>
      <c r="X176" s="88"/>
    </row>
    <row r="177" spans="9:24">
      <c r="I177" s="87">
        <v>81</v>
      </c>
      <c r="J177" s="88">
        <f t="shared" ca="1" si="25"/>
        <v>0</v>
      </c>
      <c r="K177" s="87">
        <v>2075</v>
      </c>
      <c r="L177" s="87">
        <v>116</v>
      </c>
      <c r="M177" s="87">
        <v>115</v>
      </c>
      <c r="N177" s="88">
        <f t="shared" si="30"/>
        <v>0</v>
      </c>
      <c r="O177" s="88">
        <f t="shared" si="31"/>
        <v>0</v>
      </c>
      <c r="P177" s="88">
        <f t="shared" si="32"/>
        <v>0</v>
      </c>
      <c r="Q177" s="88">
        <f t="shared" si="33"/>
        <v>0</v>
      </c>
      <c r="R177" s="88">
        <f t="shared" si="26"/>
        <v>880481.51793786488</v>
      </c>
      <c r="S177" s="88">
        <f t="shared" si="34"/>
        <v>342409.4791980586</v>
      </c>
      <c r="T177" s="88">
        <f t="shared" ca="1" si="41"/>
        <v>235725615.17454416</v>
      </c>
      <c r="U177" s="88">
        <f t="shared" ca="1" si="42"/>
        <v>18858049.213963535</v>
      </c>
      <c r="V177" s="88">
        <f t="shared" ca="1" si="36"/>
        <v>253360773.39137176</v>
      </c>
      <c r="X177" s="88"/>
    </row>
    <row r="178" spans="9:24">
      <c r="I178" s="87">
        <v>82</v>
      </c>
      <c r="J178" s="88">
        <f t="shared" ca="1" si="25"/>
        <v>0</v>
      </c>
      <c r="K178" s="87">
        <v>2075</v>
      </c>
      <c r="L178" s="87">
        <v>117</v>
      </c>
      <c r="M178" s="87">
        <v>116</v>
      </c>
      <c r="N178" s="88">
        <f t="shared" si="30"/>
        <v>0</v>
      </c>
      <c r="O178" s="88">
        <f t="shared" si="31"/>
        <v>0</v>
      </c>
      <c r="P178" s="88">
        <f t="shared" si="32"/>
        <v>0</v>
      </c>
      <c r="Q178" s="88">
        <f t="shared" si="33"/>
        <v>0</v>
      </c>
      <c r="R178" s="88">
        <f t="shared" si="26"/>
        <v>898091.14829662221</v>
      </c>
      <c r="S178" s="88">
        <f t="shared" si="34"/>
        <v>349257.66878201987</v>
      </c>
      <c r="T178" s="88">
        <f t="shared" ca="1" si="41"/>
        <v>253360773.39137176</v>
      </c>
      <c r="U178" s="88">
        <f t="shared" ca="1" si="42"/>
        <v>20268861.871309742</v>
      </c>
      <c r="V178" s="88">
        <f t="shared" ca="1" si="36"/>
        <v>272382286.44560283</v>
      </c>
      <c r="X178" s="88"/>
    </row>
    <row r="179" spans="9:24">
      <c r="I179" s="87">
        <v>83</v>
      </c>
      <c r="J179" s="88">
        <f t="shared" ca="1" si="25"/>
        <v>0</v>
      </c>
      <c r="K179" s="87">
        <v>2075</v>
      </c>
      <c r="L179" s="87">
        <v>118</v>
      </c>
      <c r="M179" s="87">
        <v>117</v>
      </c>
      <c r="N179" s="88">
        <f t="shared" si="30"/>
        <v>0</v>
      </c>
      <c r="O179" s="88">
        <f t="shared" si="31"/>
        <v>0</v>
      </c>
      <c r="P179" s="88">
        <f t="shared" si="32"/>
        <v>0</v>
      </c>
      <c r="Q179" s="88">
        <f t="shared" si="33"/>
        <v>0</v>
      </c>
      <c r="R179" s="88">
        <f t="shared" si="26"/>
        <v>916052.97126255464</v>
      </c>
      <c r="S179" s="88">
        <f t="shared" si="34"/>
        <v>356242.82215766027</v>
      </c>
      <c r="T179" s="88">
        <f t="shared" ca="1" si="41"/>
        <v>272382286.44560283</v>
      </c>
      <c r="U179" s="88">
        <f t="shared" ca="1" si="42"/>
        <v>21790582.915648226</v>
      </c>
      <c r="V179" s="88">
        <f t="shared" ca="1" si="36"/>
        <v>292900573.56783086</v>
      </c>
      <c r="X179" s="88"/>
    </row>
    <row r="180" spans="9:24">
      <c r="I180" s="87">
        <v>84</v>
      </c>
      <c r="J180" s="88">
        <f t="shared" ca="1" si="25"/>
        <v>0</v>
      </c>
      <c r="K180" s="87">
        <v>2075</v>
      </c>
      <c r="L180" s="87">
        <v>119</v>
      </c>
      <c r="M180" s="87">
        <v>118</v>
      </c>
      <c r="N180" s="88">
        <f t="shared" si="30"/>
        <v>0</v>
      </c>
      <c r="O180" s="88">
        <f t="shared" si="31"/>
        <v>0</v>
      </c>
      <c r="P180" s="88">
        <f t="shared" si="32"/>
        <v>0</v>
      </c>
      <c r="Q180" s="88">
        <f t="shared" si="33"/>
        <v>0</v>
      </c>
      <c r="R180" s="88">
        <f t="shared" si="26"/>
        <v>934374.03068780573</v>
      </c>
      <c r="S180" s="88">
        <f t="shared" si="34"/>
        <v>363367.67860081349</v>
      </c>
      <c r="T180" s="88">
        <f t="shared" ca="1" si="41"/>
        <v>292900573.56783086</v>
      </c>
      <c r="U180" s="88">
        <f t="shared" ca="1" si="42"/>
        <v>23432045.885426469</v>
      </c>
      <c r="V180" s="88">
        <f t="shared" ca="1" si="36"/>
        <v>315034877.74396873</v>
      </c>
      <c r="X180" s="88"/>
    </row>
    <row r="181" spans="9:24">
      <c r="I181" s="87">
        <v>85</v>
      </c>
      <c r="J181" s="88">
        <f t="shared" ca="1" si="25"/>
        <v>0</v>
      </c>
      <c r="K181" s="87">
        <v>2075</v>
      </c>
      <c r="L181" s="87">
        <v>120</v>
      </c>
      <c r="M181" s="87">
        <v>119</v>
      </c>
      <c r="N181" s="88">
        <f t="shared" si="30"/>
        <v>0</v>
      </c>
      <c r="O181" s="88">
        <f t="shared" si="31"/>
        <v>0</v>
      </c>
      <c r="P181" s="88">
        <f t="shared" si="32"/>
        <v>0</v>
      </c>
      <c r="Q181" s="88">
        <f t="shared" si="33"/>
        <v>0</v>
      </c>
      <c r="R181" s="88">
        <f t="shared" si="26"/>
        <v>953061.51130156196</v>
      </c>
      <c r="S181" s="88">
        <f t="shared" si="34"/>
        <v>370635.03217282961</v>
      </c>
      <c r="T181" s="88">
        <f t="shared" ca="1" si="41"/>
        <v>315034877.74396873</v>
      </c>
      <c r="U181" s="88">
        <f t="shared" ca="1" si="42"/>
        <v>25202790.219517499</v>
      </c>
      <c r="V181" s="88">
        <f t="shared" ca="1" si="36"/>
        <v>338913971.42001182</v>
      </c>
      <c r="X181" s="88"/>
    </row>
    <row r="182" spans="9:24">
      <c r="I182" s="87">
        <v>86</v>
      </c>
      <c r="J182" s="88">
        <f t="shared" ca="1" si="25"/>
        <v>0</v>
      </c>
      <c r="K182" s="87">
        <v>2075</v>
      </c>
      <c r="L182" s="87">
        <v>121</v>
      </c>
      <c r="M182" s="87">
        <v>120</v>
      </c>
      <c r="N182" s="88">
        <f t="shared" si="30"/>
        <v>0</v>
      </c>
      <c r="O182" s="88">
        <f t="shared" si="31"/>
        <v>0</v>
      </c>
      <c r="P182" s="88">
        <f t="shared" si="32"/>
        <v>0</v>
      </c>
      <c r="Q182" s="88">
        <f t="shared" si="33"/>
        <v>0</v>
      </c>
      <c r="R182" s="88">
        <f t="shared" si="26"/>
        <v>972122.74152759311</v>
      </c>
      <c r="S182" s="88">
        <f t="shared" si="34"/>
        <v>378047.73281628627</v>
      </c>
      <c r="T182" s="88">
        <f t="shared" ca="1" si="41"/>
        <v>338913971.42001182</v>
      </c>
      <c r="U182" s="88">
        <f t="shared" ca="1" si="42"/>
        <v>27113117.713600945</v>
      </c>
      <c r="V182" s="88">
        <f t="shared" ca="1" si="36"/>
        <v>364676918.65926886</v>
      </c>
      <c r="X182" s="88"/>
    </row>
    <row r="183" spans="9:24">
      <c r="R183" s="88"/>
    </row>
  </sheetData>
  <hyperlinks>
    <hyperlink ref="A1" r:id="rId1" xr:uid="{098FF6E2-0ADA-4881-8F5B-69574C3AEF1E}"/>
    <hyperlink ref="A9" r:id="rId2" xr:uid="{1F3EB1C7-B23A-4A87-872F-BF2F6C4E144C}"/>
    <hyperlink ref="A43" r:id="rId3" xr:uid="{FEBFFC98-6BD2-4AFE-9F0C-3DA573D3F4D4}"/>
    <hyperlink ref="A44" r:id="rId4" xr:uid="{6F0AB366-89D8-47F3-88CB-79C9A103F6DF}"/>
    <hyperlink ref="A45" r:id="rId5" xr:uid="{834F4F3B-9D4C-45FB-8BD9-98E637325A61}"/>
    <hyperlink ref="A54" r:id="rId6" xr:uid="{62E35940-FCD0-4861-8FB9-8D67DA0FFAF8}"/>
    <hyperlink ref="A55" r:id="rId7" xr:uid="{005AE781-9F1F-46DE-99C5-753375CEB674}"/>
    <hyperlink ref="A56" r:id="rId8" xr:uid="{137FD115-2DA5-4C1E-82F4-F602A9609B50}"/>
    <hyperlink ref="A57" r:id="rId9" xr:uid="{2EDBF900-CCE1-4308-8027-64471E7EBA69}"/>
    <hyperlink ref="A58" r:id="rId10" xr:uid="{D8663D35-AAB2-4CCC-8214-2C987F00BFFA}"/>
    <hyperlink ref="A59" r:id="rId11" xr:uid="{9B2F131C-437E-4F1A-8AD6-11D73359A8E9}"/>
    <hyperlink ref="A60" r:id="rId12" xr:uid="{FE3F6ED9-6D3E-4FC3-B2BD-C318C240EB5B}"/>
    <hyperlink ref="R84" r:id="rId13" xr:uid="{4477469A-1DC0-455B-8D92-CB967D3030F5}"/>
    <hyperlink ref="R85" r:id="rId14" xr:uid="{D6EAF8A6-FC53-46C7-849F-F2750DF6EAEF}"/>
  </hyperlinks>
  <pageMargins left="0.7" right="0.7" top="0.75" bottom="0.75" header="0.3" footer="0.3"/>
  <drawing r:id="rId1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883EB-3A4B-4BB7-BE9B-88F2C0DF22C0}">
  <dimension ref="A3:T45"/>
  <sheetViews>
    <sheetView workbookViewId="0">
      <pane xSplit="2" ySplit="11" topLeftCell="C17" activePane="bottomRight" state="frozen"/>
      <selection pane="topRight"/>
      <selection pane="bottomLeft"/>
      <selection pane="bottomRight" activeCell="A17" sqref="A17"/>
    </sheetView>
  </sheetViews>
  <sheetFormatPr defaultRowHeight="15"/>
  <cols>
    <col min="2" max="2" width="26.5703125" customWidth="1"/>
    <col min="3" max="8" width="12.42578125" customWidth="1"/>
    <col min="10" max="15" width="12.28515625" customWidth="1"/>
    <col min="18" max="18" width="12.28515625" customWidth="1"/>
    <col min="19" max="19" width="15.28515625" customWidth="1"/>
    <col min="20" max="20" width="15" customWidth="1"/>
  </cols>
  <sheetData>
    <row r="3" spans="1:20">
      <c r="B3" t="s">
        <v>7439</v>
      </c>
      <c r="C3">
        <f>1987+65</f>
        <v>2052</v>
      </c>
    </row>
    <row r="4" spans="1:20">
      <c r="B4" t="s">
        <v>7440</v>
      </c>
      <c r="C4" s="45">
        <f>'Main 2'!D104</f>
        <v>1066474.93</v>
      </c>
      <c r="D4" s="45"/>
      <c r="E4" s="45"/>
      <c r="F4" s="45"/>
      <c r="G4" s="45"/>
      <c r="H4" s="45"/>
    </row>
    <row r="5" spans="1:20">
      <c r="B5" t="s">
        <v>7441</v>
      </c>
      <c r="C5" s="117">
        <v>90000</v>
      </c>
    </row>
    <row r="6" spans="1:20">
      <c r="B6" t="s">
        <v>7442</v>
      </c>
      <c r="C6" s="45">
        <f>SUM(C4:C5)</f>
        <v>1156474.93</v>
      </c>
      <c r="D6" s="45"/>
      <c r="E6" s="45"/>
      <c r="F6" s="45"/>
      <c r="G6" s="45"/>
      <c r="H6" s="45"/>
    </row>
    <row r="7" spans="1:20">
      <c r="B7" t="s">
        <v>7443</v>
      </c>
      <c r="C7" s="45">
        <f>SUM('Main Detail'!D72:D73,'Main Detail'!D76:D77)</f>
        <v>61999.999999999993</v>
      </c>
      <c r="D7" s="45"/>
      <c r="E7" s="45"/>
      <c r="F7" s="45"/>
      <c r="G7" s="45"/>
      <c r="H7" s="45"/>
    </row>
    <row r="8" spans="1:20">
      <c r="B8" t="s">
        <v>7444</v>
      </c>
      <c r="C8">
        <v>2</v>
      </c>
      <c r="D8" s="45"/>
      <c r="E8" s="45"/>
      <c r="F8" s="45"/>
      <c r="G8" s="45"/>
      <c r="H8" s="45"/>
    </row>
    <row r="10" spans="1:20">
      <c r="C10" t="s">
        <v>7445</v>
      </c>
      <c r="J10" s="176" t="s">
        <v>7446</v>
      </c>
      <c r="K10" s="176"/>
      <c r="L10" s="176"/>
      <c r="M10" s="176"/>
      <c r="N10" s="176"/>
      <c r="O10" s="176"/>
      <c r="R10">
        <v>55</v>
      </c>
      <c r="S10">
        <v>60</v>
      </c>
      <c r="T10">
        <v>65</v>
      </c>
    </row>
    <row r="11" spans="1:20">
      <c r="A11" t="s">
        <v>7447</v>
      </c>
      <c r="B11" t="s">
        <v>7257</v>
      </c>
      <c r="C11" s="80">
        <v>0.02</v>
      </c>
      <c r="D11" s="80">
        <v>0.04</v>
      </c>
      <c r="E11" s="80">
        <v>0.06</v>
      </c>
      <c r="F11" s="80">
        <v>0.08</v>
      </c>
      <c r="G11" s="80">
        <v>0.1</v>
      </c>
      <c r="H11" s="80">
        <v>0.12</v>
      </c>
      <c r="I11" t="s">
        <v>7448</v>
      </c>
      <c r="J11" s="80">
        <v>0.02</v>
      </c>
      <c r="K11" s="80">
        <v>0.04</v>
      </c>
      <c r="L11" s="80">
        <v>0.06</v>
      </c>
      <c r="M11" s="80">
        <v>0.08</v>
      </c>
      <c r="N11" s="80">
        <v>0.1</v>
      </c>
      <c r="O11" s="80">
        <v>0.12</v>
      </c>
      <c r="P11" s="80"/>
      <c r="Q11" s="80">
        <v>0.02</v>
      </c>
      <c r="R11" s="26">
        <f>C22</f>
        <v>2872499.9807351413</v>
      </c>
      <c r="S11" s="26">
        <f>C17</f>
        <v>3497349.0807412402</v>
      </c>
      <c r="T11" s="26">
        <f>J12</f>
        <v>4333597.6364938663</v>
      </c>
    </row>
    <row r="12" spans="1:20">
      <c r="A12">
        <f>B12-1987</f>
        <v>65</v>
      </c>
      <c r="B12">
        <f>C3</f>
        <v>2052</v>
      </c>
      <c r="C12" s="26">
        <f>IF(B12=YEAR('Main 2'!$C$2),$C$6,J13)</f>
        <v>4187232.9769547707</v>
      </c>
      <c r="D12" s="26">
        <f>IF(B12=YEAR('Main 2'!$C$2),$C$6,K13)</f>
        <v>6312149.1911242744</v>
      </c>
      <c r="E12" s="26">
        <f>IF(B12=YEAR('Main 2'!$C$2),$C$6,L13)</f>
        <v>9645172.3804335874</v>
      </c>
      <c r="F12" s="26">
        <f>IF(B12=YEAR('Main 2'!$C$2),$C$6,M13)</f>
        <v>14870370.371956788</v>
      </c>
      <c r="G12" s="26">
        <f>IF(B12=YEAR('Main 2'!$C$2),$C$6,N13)</f>
        <v>23044985.833581783</v>
      </c>
      <c r="H12" s="26">
        <f>IF(B12=YEAR('Main 2'!$C$2),$C$6,O13)</f>
        <v>35792949.734414734</v>
      </c>
      <c r="I12" s="26">
        <f>IF(B12&gt;=YEAR('Main 2'!$C$2),$C$7,0)</f>
        <v>61999.999999999993</v>
      </c>
      <c r="J12" s="26">
        <f t="shared" ref="J12:J39" si="0">(C12*(1+J$11))+(($I12/2)*(J$11))+$I12</f>
        <v>4333597.6364938663</v>
      </c>
      <c r="K12" s="26">
        <f t="shared" ref="K12:K40" si="1">(D12*(1+K$11))+(($I12/2)*(K$11))+$I12</f>
        <v>6627875.1587692453</v>
      </c>
      <c r="L12" s="26">
        <f t="shared" ref="L12:L40" si="2">(E12*(1+L$11))+(($I12/2)*(L$11))+$I12</f>
        <v>10287742.723259604</v>
      </c>
      <c r="M12" s="26">
        <f t="shared" ref="M12:M40" si="3">(F12*(1+M$11))+(($I12/2)*(M$11))+$I12</f>
        <v>16124480.001713332</v>
      </c>
      <c r="N12" s="26">
        <f t="shared" ref="N12:N40" si="4">(G12*(1+N$11))+(($I12/2)*(N$11))+$I12</f>
        <v>25414584.416939963</v>
      </c>
      <c r="O12" s="26">
        <f t="shared" ref="O12:O40" si="5">(H12*(1+O$11))+(($I12/2)*(O$11))+$I12</f>
        <v>40153823.702544503</v>
      </c>
      <c r="Q12" s="80">
        <v>0.04</v>
      </c>
      <c r="R12" s="26">
        <f>D22</f>
        <v>3751328.772719895</v>
      </c>
      <c r="S12" s="26">
        <f>D17</f>
        <v>4906593.2778806919</v>
      </c>
      <c r="T12" s="26">
        <f>K12</f>
        <v>6627875.1587692453</v>
      </c>
    </row>
    <row r="13" spans="1:20">
      <c r="A13">
        <f t="shared" ref="A13:A41" si="6">B13-1987</f>
        <v>64</v>
      </c>
      <c r="B13">
        <f>IF(B12-1&lt;YEAR('Main 2'!$C$2),1,B12-1)</f>
        <v>2051</v>
      </c>
      <c r="C13" s="26">
        <f>IF(B13=YEAR('Main 2'!$C$2),$C$6,J14)</f>
        <v>4043738.2127007553</v>
      </c>
      <c r="D13" s="26">
        <f>IF(B13=YEAR('Main 2'!$C$2),$C$6,K14)</f>
        <v>6008566.5299271867</v>
      </c>
      <c r="E13" s="26">
        <f>IF(B13=YEAR('Main 2'!$C$2),$C$6,L14)</f>
        <v>9038973.9438052699</v>
      </c>
      <c r="F13" s="26">
        <f>IF(B13=YEAR('Main 2'!$C$2),$C$6,M14)</f>
        <v>13709157.75181184</v>
      </c>
      <c r="G13" s="26">
        <f>IF(B13=YEAR('Main 2'!$C$2),$C$6,N14)</f>
        <v>20890805.303256165</v>
      </c>
      <c r="H13" s="26">
        <f>IF(B13=YEAR('Main 2'!$C$2),$C$6,O14)</f>
        <v>31899312.262870297</v>
      </c>
      <c r="I13" s="26">
        <f>IF(B13&gt;=YEAR('Main 2'!$C$2),$C$7,0)</f>
        <v>61999.999999999993</v>
      </c>
      <c r="J13" s="26">
        <f t="shared" si="0"/>
        <v>4187232.9769547707</v>
      </c>
      <c r="K13" s="26">
        <f t="shared" si="1"/>
        <v>6312149.1911242744</v>
      </c>
      <c r="L13" s="26">
        <f t="shared" si="2"/>
        <v>9645172.3804335874</v>
      </c>
      <c r="M13" s="26">
        <f t="shared" si="3"/>
        <v>14870370.371956788</v>
      </c>
      <c r="N13" s="26">
        <f t="shared" si="4"/>
        <v>23044985.833581783</v>
      </c>
      <c r="O13" s="26">
        <f t="shared" si="5"/>
        <v>35792949.734414734</v>
      </c>
      <c r="Q13" s="80">
        <v>0.06</v>
      </c>
      <c r="R13" s="26">
        <f>E22</f>
        <v>4915798.7205767259</v>
      </c>
      <c r="S13" s="26">
        <f>E17</f>
        <v>6938432.3386347312</v>
      </c>
      <c r="T13" s="26">
        <f>L12</f>
        <v>10287742.723259604</v>
      </c>
    </row>
    <row r="14" spans="1:20">
      <c r="A14">
        <f t="shared" si="6"/>
        <v>63</v>
      </c>
      <c r="B14">
        <f>IF(B13-1&lt;YEAR('Main 2'!$C$2),1,B13-1)</f>
        <v>2050</v>
      </c>
      <c r="C14" s="26">
        <f>IF(B14=YEAR('Main 2'!$C$2),$C$6,J15)</f>
        <v>3903057.0712752501</v>
      </c>
      <c r="D14" s="26">
        <f>IF(B14=YEAR('Main 2'!$C$2),$C$6,K15)</f>
        <v>5716660.1249299869</v>
      </c>
      <c r="E14" s="26">
        <f>IF(B14=YEAR('Main 2'!$C$2),$C$6,L15)</f>
        <v>8467088.6262313854</v>
      </c>
      <c r="F14" s="26">
        <f>IF(B14=YEAR('Main 2'!$C$2),$C$6,M15)</f>
        <v>12633960.881307257</v>
      </c>
      <c r="G14" s="26">
        <f>IF(B14=YEAR('Main 2'!$C$2),$C$6,N15)</f>
        <v>18932459.366596512</v>
      </c>
      <c r="H14" s="26">
        <f>IF(B14=YEAR('Main 2'!$C$2),$C$6,O15)</f>
        <v>28422850.23470562</v>
      </c>
      <c r="I14" s="26">
        <f>IF(B14&gt;=YEAR('Main 2'!$C$2),$C$7,0)</f>
        <v>61999.999999999993</v>
      </c>
      <c r="J14" s="26">
        <f t="shared" si="0"/>
        <v>4043738.2127007553</v>
      </c>
      <c r="K14" s="26">
        <f t="shared" si="1"/>
        <v>6008566.5299271867</v>
      </c>
      <c r="L14" s="26">
        <f t="shared" si="2"/>
        <v>9038973.9438052699</v>
      </c>
      <c r="M14" s="26">
        <f t="shared" si="3"/>
        <v>13709157.75181184</v>
      </c>
      <c r="N14" s="26">
        <f t="shared" si="4"/>
        <v>20890805.303256165</v>
      </c>
      <c r="O14" s="26">
        <f t="shared" si="5"/>
        <v>31899312.262870297</v>
      </c>
      <c r="Q14" s="80">
        <v>0.08</v>
      </c>
      <c r="R14" s="26">
        <f>F22</f>
        <v>6455192.6730940612</v>
      </c>
      <c r="S14" s="26">
        <f>F17</f>
        <v>9863074.2656315528</v>
      </c>
      <c r="T14" s="26">
        <f>M12</f>
        <v>16124480.001713332</v>
      </c>
    </row>
    <row r="15" spans="1:20">
      <c r="A15">
        <f t="shared" si="6"/>
        <v>62</v>
      </c>
      <c r="B15">
        <f>IF(B14-1&lt;YEAR('Main 2'!$C$2),1,B14-1)</f>
        <v>2049</v>
      </c>
      <c r="C15" s="26">
        <f>IF(B15=YEAR('Main 2'!$C$2),$C$6,J16)</f>
        <v>3765134.3836031863</v>
      </c>
      <c r="D15" s="26">
        <f>IF(B15=YEAR('Main 2'!$C$2),$C$6,K16)</f>
        <v>5435980.8893557563</v>
      </c>
      <c r="E15" s="26">
        <f>IF(B15=YEAR('Main 2'!$C$2),$C$6,L16)</f>
        <v>7927574.175689985</v>
      </c>
      <c r="F15" s="26">
        <f>IF(B15=YEAR('Main 2'!$C$2),$C$6,M16)</f>
        <v>11638408.223432645</v>
      </c>
      <c r="G15" s="26">
        <f>IF(B15=YEAR('Main 2'!$C$2),$C$6,N16)</f>
        <v>17152144.878724102</v>
      </c>
      <c r="H15" s="26">
        <f>IF(B15=YEAR('Main 2'!$C$2),$C$6,O16)</f>
        <v>25318866.280987158</v>
      </c>
      <c r="I15" s="26">
        <f>IF(B15&gt;=YEAR('Main 2'!$C$2),$C$7,0)</f>
        <v>61999.999999999993</v>
      </c>
      <c r="J15" s="26">
        <f t="shared" si="0"/>
        <v>3903057.0712752501</v>
      </c>
      <c r="K15" s="26">
        <f t="shared" si="1"/>
        <v>5716660.1249299869</v>
      </c>
      <c r="L15" s="26">
        <f t="shared" si="2"/>
        <v>8467088.6262313854</v>
      </c>
      <c r="M15" s="26">
        <f t="shared" si="3"/>
        <v>12633960.881307257</v>
      </c>
      <c r="N15" s="26">
        <f t="shared" si="4"/>
        <v>18932459.366596512</v>
      </c>
      <c r="O15" s="26">
        <f t="shared" si="5"/>
        <v>28422850.23470562</v>
      </c>
      <c r="Q15" s="80">
        <v>0.1</v>
      </c>
      <c r="R15" s="26">
        <f>G22</f>
        <v>8484828.3245546985</v>
      </c>
      <c r="S15" s="26">
        <f>G17</f>
        <v>14062342.874978594</v>
      </c>
      <c r="T15" s="26">
        <f>N12</f>
        <v>25414584.416939963</v>
      </c>
    </row>
    <row r="16" spans="1:20">
      <c r="A16">
        <f t="shared" si="6"/>
        <v>61</v>
      </c>
      <c r="B16">
        <f>IF(B15-1&lt;YEAR('Main 2'!$C$2),1,B15-1)</f>
        <v>2048</v>
      </c>
      <c r="C16" s="26">
        <f>IF(B16=YEAR('Main 2'!$C$2),$C$6,J17)</f>
        <v>3629916.062356065</v>
      </c>
      <c r="D16" s="26">
        <f>IF(B16=YEAR('Main 2'!$C$2),$C$6,K17)</f>
        <v>5166097.0089959195</v>
      </c>
      <c r="E16" s="26">
        <f>IF(B16=YEAR('Main 2'!$C$2),$C$6,L17)</f>
        <v>7418598.2789528156</v>
      </c>
      <c r="F16" s="26">
        <f>IF(B16=YEAR('Main 2'!$C$2),$C$6,M17)</f>
        <v>10716600.206882078</v>
      </c>
      <c r="G16" s="26">
        <f>IF(B16=YEAR('Main 2'!$C$2),$C$6,N17)</f>
        <v>15533677.162476456</v>
      </c>
      <c r="H16" s="26">
        <f>IF(B16=YEAR('Main 2'!$C$2),$C$6,O17)</f>
        <v>22547452.036595676</v>
      </c>
      <c r="I16" s="26">
        <f>IF(B16&gt;=YEAR('Main 2'!$C$2),$C$7,0)</f>
        <v>61999.999999999993</v>
      </c>
      <c r="J16" s="26">
        <f t="shared" si="0"/>
        <v>3765134.3836031863</v>
      </c>
      <c r="K16" s="26">
        <f t="shared" si="1"/>
        <v>5435980.8893557563</v>
      </c>
      <c r="L16" s="26">
        <f t="shared" si="2"/>
        <v>7927574.175689985</v>
      </c>
      <c r="M16" s="26">
        <f t="shared" si="3"/>
        <v>11638408.223432645</v>
      </c>
      <c r="N16" s="26">
        <f t="shared" si="4"/>
        <v>17152144.878724102</v>
      </c>
      <c r="O16" s="26">
        <f t="shared" si="5"/>
        <v>25318866.280987158</v>
      </c>
      <c r="Q16" s="80">
        <v>0.12</v>
      </c>
      <c r="R16" s="26">
        <f>H22</f>
        <v>11153039.215690441</v>
      </c>
      <c r="S16" s="26">
        <f>H17</f>
        <v>20072975.032674707</v>
      </c>
      <c r="T16" s="26">
        <f>O12</f>
        <v>40153823.702544503</v>
      </c>
    </row>
    <row r="17" spans="1:15">
      <c r="A17">
        <f t="shared" si="6"/>
        <v>60</v>
      </c>
      <c r="B17">
        <f>IF(B16-1&lt;YEAR('Main 2'!$C$2),1,B16-1)</f>
        <v>2047</v>
      </c>
      <c r="C17" s="26">
        <f>IF(B17=YEAR('Main 2'!$C$2),$C$6,J18)</f>
        <v>3497349.0807412402</v>
      </c>
      <c r="D17" s="26">
        <f>IF(B17=YEAR('Main 2'!$C$2),$C$6,K18)</f>
        <v>4906593.2778806919</v>
      </c>
      <c r="E17" s="26">
        <f>IF(B17=YEAR('Main 2'!$C$2),$C$6,L18)</f>
        <v>6938432.3386347312</v>
      </c>
      <c r="F17" s="26">
        <f>IF(B17=YEAR('Main 2'!$C$2),$C$6,M18)</f>
        <v>9863074.2656315528</v>
      </c>
      <c r="G17" s="26">
        <f>IF(B17=YEAR('Main 2'!$C$2),$C$6,N18)</f>
        <v>14062342.874978594</v>
      </c>
      <c r="H17" s="26">
        <f>IF(B17=YEAR('Main 2'!$C$2),$C$6,O18)</f>
        <v>20072975.032674707</v>
      </c>
      <c r="I17" s="26">
        <f>IF(B17&gt;=YEAR('Main 2'!$C$2),$C$7,0)</f>
        <v>61999.999999999993</v>
      </c>
      <c r="J17" s="26">
        <f t="shared" si="0"/>
        <v>3629916.062356065</v>
      </c>
      <c r="K17" s="26">
        <f t="shared" si="1"/>
        <v>5166097.0089959195</v>
      </c>
      <c r="L17" s="26">
        <f t="shared" si="2"/>
        <v>7418598.2789528156</v>
      </c>
      <c r="M17" s="26">
        <f t="shared" si="3"/>
        <v>10716600.206882078</v>
      </c>
      <c r="N17" s="26">
        <f t="shared" si="4"/>
        <v>15533677.162476456</v>
      </c>
      <c r="O17" s="26">
        <f t="shared" si="5"/>
        <v>22547452.036595676</v>
      </c>
    </row>
    <row r="18" spans="1:15">
      <c r="A18">
        <f t="shared" si="6"/>
        <v>59</v>
      </c>
      <c r="B18">
        <f>IF(B17-1&lt;YEAR('Main 2'!$C$2),1,B17-1)</f>
        <v>2046</v>
      </c>
      <c r="C18" s="26">
        <f>IF(B18=YEAR('Main 2'!$C$2),$C$6,J19)</f>
        <v>3367381.4517070982</v>
      </c>
      <c r="D18" s="26">
        <f>IF(B18=YEAR('Main 2'!$C$2),$C$6,K19)</f>
        <v>4657070.4595006648</v>
      </c>
      <c r="E18" s="26">
        <f>IF(B18=YEAR('Main 2'!$C$2),$C$6,L19)</f>
        <v>6485445.6024855953</v>
      </c>
      <c r="F18" s="26">
        <f>IF(B18=YEAR('Main 2'!$C$2),$C$6,M19)</f>
        <v>9072772.4681773633</v>
      </c>
      <c r="G18" s="26">
        <f>IF(B18=YEAR('Main 2'!$C$2),$C$6,N19)</f>
        <v>12724766.249980539</v>
      </c>
      <c r="H18" s="26">
        <f>IF(B18=YEAR('Main 2'!$C$2),$C$6,O19)</f>
        <v>17863620.564888131</v>
      </c>
      <c r="I18" s="26">
        <f>IF(B18&gt;=YEAR('Main 2'!$C$2),$C$7,0)</f>
        <v>61999.999999999993</v>
      </c>
      <c r="J18" s="26">
        <f t="shared" si="0"/>
        <v>3497349.0807412402</v>
      </c>
      <c r="K18" s="26">
        <f t="shared" si="1"/>
        <v>4906593.2778806919</v>
      </c>
      <c r="L18" s="26">
        <f t="shared" si="2"/>
        <v>6938432.3386347312</v>
      </c>
      <c r="M18" s="26">
        <f t="shared" si="3"/>
        <v>9863074.2656315528</v>
      </c>
      <c r="N18" s="26">
        <f t="shared" si="4"/>
        <v>14062342.874978594</v>
      </c>
      <c r="O18" s="26">
        <f t="shared" si="5"/>
        <v>20072975.032674707</v>
      </c>
    </row>
    <row r="19" spans="1:15">
      <c r="A19">
        <f t="shared" si="6"/>
        <v>58</v>
      </c>
      <c r="B19">
        <f>IF(B18-1&lt;YEAR('Main 2'!$C$2),1,B18-1)</f>
        <v>2045</v>
      </c>
      <c r="C19" s="26">
        <f>IF(B19=YEAR('Main 2'!$C$2),$C$6,J20)</f>
        <v>3239962.2075559786</v>
      </c>
      <c r="D19" s="26">
        <f>IF(B19=YEAR('Main 2'!$C$2),$C$6,K20)</f>
        <v>4417144.6725967927</v>
      </c>
      <c r="E19" s="26">
        <f>IF(B19=YEAR('Main 2'!$C$2),$C$6,L20)</f>
        <v>6058099.6249864101</v>
      </c>
      <c r="F19" s="26">
        <f>IF(B19=YEAR('Main 2'!$C$2),$C$6,M20)</f>
        <v>8341011.5446086684</v>
      </c>
      <c r="G19" s="26">
        <f>IF(B19=YEAR('Main 2'!$C$2),$C$6,N20)</f>
        <v>11508787.499982307</v>
      </c>
      <c r="H19" s="26">
        <f>IF(B19=YEAR('Main 2'!$C$2),$C$6,O20)</f>
        <v>15890982.647221545</v>
      </c>
      <c r="I19" s="26">
        <f>IF(B19&gt;=YEAR('Main 2'!$C$2),$C$7,0)</f>
        <v>61999.999999999993</v>
      </c>
      <c r="J19" s="26">
        <f t="shared" si="0"/>
        <v>3367381.4517070982</v>
      </c>
      <c r="K19" s="26">
        <f t="shared" si="1"/>
        <v>4657070.4595006648</v>
      </c>
      <c r="L19" s="26">
        <f t="shared" si="2"/>
        <v>6485445.6024855953</v>
      </c>
      <c r="M19" s="26">
        <f t="shared" si="3"/>
        <v>9072772.4681773633</v>
      </c>
      <c r="N19" s="26">
        <f t="shared" si="4"/>
        <v>12724766.249980539</v>
      </c>
      <c r="O19" s="26">
        <f t="shared" si="5"/>
        <v>17863620.564888131</v>
      </c>
    </row>
    <row r="20" spans="1:15">
      <c r="A20">
        <f t="shared" si="6"/>
        <v>57</v>
      </c>
      <c r="B20">
        <f>IF(B19-1&lt;YEAR('Main 2'!$C$2),1,B19-1)</f>
        <v>2044</v>
      </c>
      <c r="C20" s="26">
        <f>IF(B20=YEAR('Main 2'!$C$2),$C$6,J21)</f>
        <v>3115041.3799568415</v>
      </c>
      <c r="D20" s="26">
        <f>IF(B20=YEAR('Main 2'!$C$2),$C$6,K21)</f>
        <v>4186446.8005738389</v>
      </c>
      <c r="E20" s="26">
        <f>IF(B20=YEAR('Main 2'!$C$2),$C$6,L21)</f>
        <v>5654943.0424400093</v>
      </c>
      <c r="F20" s="26">
        <f>IF(B20=YEAR('Main 2'!$C$2),$C$6,M21)</f>
        <v>7663455.1338969143</v>
      </c>
      <c r="G20" s="26">
        <f>IF(B20=YEAR('Main 2'!$C$2),$C$6,N21)</f>
        <v>10403352.272711188</v>
      </c>
      <c r="H20" s="26">
        <f>IF(B20=YEAR('Main 2'!$C$2),$C$6,O21)</f>
        <v>14129698.792162092</v>
      </c>
      <c r="I20" s="26">
        <f>IF(B20&gt;=YEAR('Main 2'!$C$2),$C$7,0)</f>
        <v>61999.999999999993</v>
      </c>
      <c r="J20" s="26">
        <f t="shared" si="0"/>
        <v>3239962.2075559786</v>
      </c>
      <c r="K20" s="26">
        <f t="shared" si="1"/>
        <v>4417144.6725967927</v>
      </c>
      <c r="L20" s="26">
        <f t="shared" si="2"/>
        <v>6058099.6249864101</v>
      </c>
      <c r="M20" s="26">
        <f t="shared" si="3"/>
        <v>8341011.5446086684</v>
      </c>
      <c r="N20" s="26">
        <f t="shared" si="4"/>
        <v>11508787.499982307</v>
      </c>
      <c r="O20" s="26">
        <f t="shared" si="5"/>
        <v>15890982.647221545</v>
      </c>
    </row>
    <row r="21" spans="1:15">
      <c r="A21">
        <f t="shared" si="6"/>
        <v>56</v>
      </c>
      <c r="B21">
        <f>IF(B20-1&lt;YEAR('Main 2'!$C$2),1,B20-1)</f>
        <v>2043</v>
      </c>
      <c r="C21" s="26">
        <f>IF(B21=YEAR('Main 2'!$C$2),$C$6,J22)</f>
        <v>2992569.9803498443</v>
      </c>
      <c r="D21" s="26">
        <f>IF(B21=YEAR('Main 2'!$C$2),$C$6,K22)</f>
        <v>3964621.9236286911</v>
      </c>
      <c r="E21" s="26">
        <f>IF(B21=YEAR('Main 2'!$C$2),$C$6,L22)</f>
        <v>5274606.6438113293</v>
      </c>
      <c r="F21" s="26">
        <f>IF(B21=YEAR('Main 2'!$C$2),$C$6,M22)</f>
        <v>7036088.0869415868</v>
      </c>
      <c r="G21" s="26">
        <f>IF(B21=YEAR('Main 2'!$C$2),$C$6,N22)</f>
        <v>9398411.1570101697</v>
      </c>
      <c r="H21" s="26">
        <f>IF(B21=YEAR('Main 2'!$C$2),$C$6,O22)</f>
        <v>12557123.921573296</v>
      </c>
      <c r="I21" s="26">
        <f>IF(B21&gt;=YEAR('Main 2'!$C$2),$C$7,0)</f>
        <v>61999.999999999993</v>
      </c>
      <c r="J21" s="26">
        <f t="shared" si="0"/>
        <v>3115041.3799568415</v>
      </c>
      <c r="K21" s="26">
        <f t="shared" si="1"/>
        <v>4186446.8005738389</v>
      </c>
      <c r="L21" s="26">
        <f t="shared" si="2"/>
        <v>5654943.0424400093</v>
      </c>
      <c r="M21" s="26">
        <f t="shared" si="3"/>
        <v>7663455.1338969143</v>
      </c>
      <c r="N21" s="26">
        <f t="shared" si="4"/>
        <v>10403352.272711188</v>
      </c>
      <c r="O21" s="26">
        <f t="shared" si="5"/>
        <v>14129698.792162092</v>
      </c>
    </row>
    <row r="22" spans="1:15">
      <c r="A22">
        <f t="shared" si="6"/>
        <v>55</v>
      </c>
      <c r="B22">
        <f>IF(B21-1&lt;YEAR('Main 2'!$C$2),1,B21-1)</f>
        <v>2042</v>
      </c>
      <c r="C22" s="26">
        <f>IF(B22=YEAR('Main 2'!$C$2),$C$6,J23)</f>
        <v>2872499.9807351413</v>
      </c>
      <c r="D22" s="26">
        <f>IF(B22=YEAR('Main 2'!$C$2),$C$6,K23)</f>
        <v>3751328.772719895</v>
      </c>
      <c r="E22" s="26">
        <f>IF(B22=YEAR('Main 2'!$C$2),$C$6,L23)</f>
        <v>4915798.7205767259</v>
      </c>
      <c r="F22" s="26">
        <f>IF(B22=YEAR('Main 2'!$C$2),$C$6,M23)</f>
        <v>6455192.6730940612</v>
      </c>
      <c r="G22" s="26">
        <f>IF(B22=YEAR('Main 2'!$C$2),$C$6,N23)</f>
        <v>8484828.3245546985</v>
      </c>
      <c r="H22" s="26">
        <f>IF(B22=YEAR('Main 2'!$C$2),$C$6,O23)</f>
        <v>11153039.215690441</v>
      </c>
      <c r="I22" s="26">
        <f>IF(B22&gt;=YEAR('Main 2'!$C$2),$C$7,0)</f>
        <v>61999.999999999993</v>
      </c>
      <c r="J22" s="26">
        <f t="shared" si="0"/>
        <v>2992569.9803498443</v>
      </c>
      <c r="K22" s="26">
        <f t="shared" si="1"/>
        <v>3964621.9236286911</v>
      </c>
      <c r="L22" s="26">
        <f t="shared" si="2"/>
        <v>5274606.6438113293</v>
      </c>
      <c r="M22" s="26">
        <f t="shared" si="3"/>
        <v>7036088.0869415868</v>
      </c>
      <c r="N22" s="26">
        <f t="shared" si="4"/>
        <v>9398411.1570101697</v>
      </c>
      <c r="O22" s="26">
        <f t="shared" si="5"/>
        <v>12557123.921573296</v>
      </c>
    </row>
    <row r="23" spans="1:15">
      <c r="A23">
        <f t="shared" si="6"/>
        <v>54</v>
      </c>
      <c r="B23">
        <f>IF(B22-1&lt;YEAR('Main 2'!$C$2),1,B22-1)</f>
        <v>2041</v>
      </c>
      <c r="C23" s="26">
        <f>IF(B23=YEAR('Main 2'!$C$2),$C$6,J24)</f>
        <v>2754784.294838374</v>
      </c>
      <c r="D23" s="26">
        <f>IF(B23=YEAR('Main 2'!$C$2),$C$6,K24)</f>
        <v>3546239.2045383602</v>
      </c>
      <c r="E23" s="26">
        <f>IF(B23=YEAR('Main 2'!$C$2),$C$6,L24)</f>
        <v>4577300.6797893634</v>
      </c>
      <c r="F23" s="26">
        <f>IF(B23=YEAR('Main 2'!$C$2),$C$6,M24)</f>
        <v>5917326.5491611678</v>
      </c>
      <c r="G23" s="26">
        <f>IF(B23=YEAR('Main 2'!$C$2),$C$6,N24)</f>
        <v>7654298.4768679077</v>
      </c>
      <c r="H23" s="26">
        <f>IF(B23=YEAR('Main 2'!$C$2),$C$6,O24)</f>
        <v>9899392.1568664648</v>
      </c>
      <c r="I23" s="26">
        <f>IF(B23&gt;=YEAR('Main 2'!$C$2),$C$7,0)</f>
        <v>61999.999999999993</v>
      </c>
      <c r="J23" s="26">
        <f t="shared" si="0"/>
        <v>2872499.9807351413</v>
      </c>
      <c r="K23" s="26">
        <f t="shared" si="1"/>
        <v>3751328.772719895</v>
      </c>
      <c r="L23" s="26">
        <f t="shared" si="2"/>
        <v>4915798.7205767259</v>
      </c>
      <c r="M23" s="26">
        <f t="shared" si="3"/>
        <v>6455192.6730940612</v>
      </c>
      <c r="N23" s="26">
        <f t="shared" si="4"/>
        <v>8484828.3245546985</v>
      </c>
      <c r="O23" s="26">
        <f t="shared" si="5"/>
        <v>11153039.215690441</v>
      </c>
    </row>
    <row r="24" spans="1:15">
      <c r="A24">
        <f t="shared" si="6"/>
        <v>53</v>
      </c>
      <c r="B24">
        <f>IF(B23-1&lt;YEAR('Main 2'!$C$2),1,B23-1)</f>
        <v>2040</v>
      </c>
      <c r="C24" s="26">
        <f>IF(B24=YEAR('Main 2'!$C$2),$C$6,J25)</f>
        <v>2639376.7596454648</v>
      </c>
      <c r="D24" s="26">
        <f>IF(B24=YEAR('Main 2'!$C$2),$C$6,K25)</f>
        <v>3349037.6966715003</v>
      </c>
      <c r="E24" s="26">
        <f>IF(B24=YEAR('Main 2'!$C$2),$C$6,L25)</f>
        <v>4257962.9054616634</v>
      </c>
      <c r="F24" s="26">
        <f>IF(B24=YEAR('Main 2'!$C$2),$C$6,M25)</f>
        <v>5419302.3603344141</v>
      </c>
      <c r="G24" s="26">
        <f>IF(B24=YEAR('Main 2'!$C$2),$C$6,N25)</f>
        <v>6899271.342607188</v>
      </c>
      <c r="H24" s="26">
        <f>IF(B24=YEAR('Main 2'!$C$2),$C$6,O25)</f>
        <v>8780064.4257736281</v>
      </c>
      <c r="I24" s="26">
        <f>IF(B24&gt;=YEAR('Main 2'!$C$2),$C$7,0)</f>
        <v>61999.999999999993</v>
      </c>
      <c r="J24" s="26">
        <f t="shared" si="0"/>
        <v>2754784.294838374</v>
      </c>
      <c r="K24" s="26">
        <f t="shared" si="1"/>
        <v>3546239.2045383602</v>
      </c>
      <c r="L24" s="26">
        <f t="shared" si="2"/>
        <v>4577300.6797893634</v>
      </c>
      <c r="M24" s="26">
        <f t="shared" si="3"/>
        <v>5917326.5491611678</v>
      </c>
      <c r="N24" s="26">
        <f t="shared" si="4"/>
        <v>7654298.4768679077</v>
      </c>
      <c r="O24" s="26">
        <f t="shared" si="5"/>
        <v>9899392.1568664648</v>
      </c>
    </row>
    <row r="25" spans="1:15">
      <c r="A25">
        <f t="shared" si="6"/>
        <v>52</v>
      </c>
      <c r="B25">
        <f>IF(B24-1&lt;YEAR('Main 2'!$C$2),1,B24-1)</f>
        <v>2039</v>
      </c>
      <c r="C25" s="26">
        <f>IF(B25=YEAR('Main 2'!$C$2),$C$6,J26)</f>
        <v>2526232.1172994752</v>
      </c>
      <c r="D25" s="26">
        <f>IF(B25=YEAR('Main 2'!$C$2),$C$6,K26)</f>
        <v>3159420.8621841348</v>
      </c>
      <c r="E25" s="26">
        <f>IF(B25=YEAR('Main 2'!$C$2),$C$6,L26)</f>
        <v>3956700.8542091157</v>
      </c>
      <c r="F25" s="26">
        <f>IF(B25=YEAR('Main 2'!$C$2),$C$6,M26)</f>
        <v>4958168.8521614941</v>
      </c>
      <c r="G25" s="26">
        <f>IF(B25=YEAR('Main 2'!$C$2),$C$6,N26)</f>
        <v>6212883.0387338065</v>
      </c>
      <c r="H25" s="26">
        <f>IF(B25=YEAR('Main 2'!$C$2),$C$6,O26)</f>
        <v>7780664.6658693105</v>
      </c>
      <c r="I25" s="26">
        <f>IF(B25&gt;=YEAR('Main 2'!$C$2),$C$7,0)</f>
        <v>61999.999999999993</v>
      </c>
      <c r="J25" s="26">
        <f t="shared" si="0"/>
        <v>2639376.7596454648</v>
      </c>
      <c r="K25" s="26">
        <f t="shared" si="1"/>
        <v>3349037.6966715003</v>
      </c>
      <c r="L25" s="26">
        <f t="shared" si="2"/>
        <v>4257962.9054616634</v>
      </c>
      <c r="M25" s="26">
        <f t="shared" si="3"/>
        <v>5419302.3603344141</v>
      </c>
      <c r="N25" s="26">
        <f t="shared" si="4"/>
        <v>6899271.342607188</v>
      </c>
      <c r="O25" s="26">
        <f t="shared" si="5"/>
        <v>8780064.4257736281</v>
      </c>
    </row>
    <row r="26" spans="1:15">
      <c r="A26">
        <f t="shared" si="6"/>
        <v>51</v>
      </c>
      <c r="B26">
        <f>IF(B25-1&lt;YEAR('Main 2'!$C$2),1,B25-1)</f>
        <v>2038</v>
      </c>
      <c r="C26" s="26">
        <f>IF(B26=YEAR('Main 2'!$C$2),$C$6,J27)</f>
        <v>2415305.9973524269</v>
      </c>
      <c r="D26" s="26">
        <f>IF(B26=YEAR('Main 2'!$C$2),$C$6,K27)</f>
        <v>2977096.9828693601</v>
      </c>
      <c r="E26" s="26">
        <f>IF(B26=YEAR('Main 2'!$C$2),$C$6,L27)</f>
        <v>3672491.371895392</v>
      </c>
      <c r="F26" s="26">
        <f>IF(B26=YEAR('Main 2'!$C$2),$C$6,M27)</f>
        <v>4531193.381631013</v>
      </c>
      <c r="G26" s="26">
        <f>IF(B26=YEAR('Main 2'!$C$2),$C$6,N27)</f>
        <v>5588893.671576187</v>
      </c>
      <c r="H26" s="26">
        <f>IF(B26=YEAR('Main 2'!$C$2),$C$6,O27)</f>
        <v>6888343.4516690262</v>
      </c>
      <c r="I26" s="26">
        <f>IF(B26&gt;=YEAR('Main 2'!$C$2),$C$7,0)</f>
        <v>61999.999999999993</v>
      </c>
      <c r="J26" s="26">
        <f t="shared" si="0"/>
        <v>2526232.1172994752</v>
      </c>
      <c r="K26" s="26">
        <f t="shared" si="1"/>
        <v>3159420.8621841348</v>
      </c>
      <c r="L26" s="26">
        <f t="shared" si="2"/>
        <v>3956700.8542091157</v>
      </c>
      <c r="M26" s="26">
        <f t="shared" si="3"/>
        <v>4958168.8521614941</v>
      </c>
      <c r="N26" s="26">
        <f t="shared" si="4"/>
        <v>6212883.0387338065</v>
      </c>
      <c r="O26" s="26">
        <f t="shared" si="5"/>
        <v>7780664.6658693105</v>
      </c>
    </row>
    <row r="27" spans="1:15">
      <c r="A27">
        <f t="shared" si="6"/>
        <v>50</v>
      </c>
      <c r="B27">
        <f>IF(B26-1&lt;YEAR('Main 2'!$C$2),1,B26-1)</f>
        <v>2037</v>
      </c>
      <c r="C27" s="26">
        <f>IF(B27=YEAR('Main 2'!$C$2),$C$6,J28)</f>
        <v>2306554.8993651243</v>
      </c>
      <c r="D27" s="26">
        <f>IF(B27=YEAR('Main 2'!$C$2),$C$6,K28)</f>
        <v>2801785.5604513078</v>
      </c>
      <c r="E27" s="26">
        <f>IF(B27=YEAR('Main 2'!$C$2),$C$6,L28)</f>
        <v>3404369.2187692374</v>
      </c>
      <c r="F27" s="26">
        <f>IF(B27=YEAR('Main 2'!$C$2),$C$6,M28)</f>
        <v>4135845.7237324193</v>
      </c>
      <c r="G27" s="26">
        <f>IF(B27=YEAR('Main 2'!$C$2),$C$6,N28)</f>
        <v>5021630.610523806</v>
      </c>
      <c r="H27" s="26">
        <f>IF(B27=YEAR('Main 2'!$C$2),$C$6,O28)</f>
        <v>6091628.0818473445</v>
      </c>
      <c r="I27" s="26">
        <f>IF(B27&gt;=YEAR('Main 2'!$C$2),$C$7,0)</f>
        <v>61999.999999999993</v>
      </c>
      <c r="J27" s="26">
        <f t="shared" si="0"/>
        <v>2415305.9973524269</v>
      </c>
      <c r="K27" s="26">
        <f t="shared" si="1"/>
        <v>2977096.9828693601</v>
      </c>
      <c r="L27" s="26">
        <f t="shared" si="2"/>
        <v>3672491.371895392</v>
      </c>
      <c r="M27" s="26">
        <f t="shared" si="3"/>
        <v>4531193.381631013</v>
      </c>
      <c r="N27" s="26">
        <f t="shared" si="4"/>
        <v>5588893.671576187</v>
      </c>
      <c r="O27" s="26">
        <f t="shared" si="5"/>
        <v>6888343.4516690262</v>
      </c>
    </row>
    <row r="28" spans="1:15">
      <c r="A28">
        <f t="shared" si="6"/>
        <v>49</v>
      </c>
      <c r="B28">
        <f>IF(B27-1&lt;YEAR('Main 2'!$C$2),1,B27-1)</f>
        <v>2036</v>
      </c>
      <c r="C28" s="26">
        <f>IF(B28=YEAR('Main 2'!$C$2),$C$6,J29)</f>
        <v>2199936.1758481609</v>
      </c>
      <c r="D28" s="26">
        <f>IF(B28=YEAR('Main 2'!$C$2),$C$6,K29)</f>
        <v>2633216.8850493343</v>
      </c>
      <c r="E28" s="26">
        <f>IF(B28=YEAR('Main 2'!$C$2),$C$6,L29)</f>
        <v>3151423.7912917333</v>
      </c>
      <c r="F28" s="26">
        <f>IF(B28=YEAR('Main 2'!$C$2),$C$6,M29)</f>
        <v>3769783.0775300176</v>
      </c>
      <c r="G28" s="26">
        <f>IF(B28=YEAR('Main 2'!$C$2),$C$6,N29)</f>
        <v>4505936.9186580051</v>
      </c>
      <c r="H28" s="26">
        <f>IF(B28=YEAR('Main 2'!$C$2),$C$6,O29)</f>
        <v>5380275.073077986</v>
      </c>
      <c r="I28" s="26">
        <f>IF(B28&gt;=YEAR('Main 2'!$C$2),$C$7,0)</f>
        <v>61999.999999999993</v>
      </c>
      <c r="J28" s="26">
        <f t="shared" si="0"/>
        <v>2306554.8993651243</v>
      </c>
      <c r="K28" s="26">
        <f t="shared" si="1"/>
        <v>2801785.5604513078</v>
      </c>
      <c r="L28" s="26">
        <f t="shared" si="2"/>
        <v>3404369.2187692374</v>
      </c>
      <c r="M28" s="26">
        <f t="shared" si="3"/>
        <v>4135845.7237324193</v>
      </c>
      <c r="N28" s="26">
        <f t="shared" si="4"/>
        <v>5021630.610523806</v>
      </c>
      <c r="O28" s="26">
        <f t="shared" si="5"/>
        <v>6091628.0818473445</v>
      </c>
    </row>
    <row r="29" spans="1:15">
      <c r="A29">
        <f t="shared" si="6"/>
        <v>48</v>
      </c>
      <c r="B29">
        <f>IF(B28-1&lt;YEAR('Main 2'!$C$2),1,B28-1)</f>
        <v>2035</v>
      </c>
      <c r="C29" s="26">
        <f>IF(B29=YEAR('Main 2'!$C$2),$C$6,J30)</f>
        <v>2095408.0155374124</v>
      </c>
      <c r="D29" s="26">
        <f>IF(B29=YEAR('Main 2'!$C$2),$C$6,K30)</f>
        <v>2471131.6202397444</v>
      </c>
      <c r="E29" s="26">
        <f>IF(B29=YEAR('Main 2'!$C$2),$C$6,L30)</f>
        <v>2912796.0295205028</v>
      </c>
      <c r="F29" s="26">
        <f>IF(B29=YEAR('Main 2'!$C$2),$C$6,M30)</f>
        <v>3430836.1828981643</v>
      </c>
      <c r="G29" s="26">
        <f>IF(B29=YEAR('Main 2'!$C$2),$C$6,N30)</f>
        <v>4037124.4715072773</v>
      </c>
      <c r="H29" s="26">
        <f>IF(B29=YEAR('Main 2'!$C$2),$C$6,O30)</f>
        <v>4745138.4581053443</v>
      </c>
      <c r="I29" s="26">
        <f>IF(B29&gt;=YEAR('Main 2'!$C$2),$C$7,0)</f>
        <v>61999.999999999993</v>
      </c>
      <c r="J29" s="26">
        <f t="shared" si="0"/>
        <v>2199936.1758481609</v>
      </c>
      <c r="K29" s="26">
        <f t="shared" si="1"/>
        <v>2633216.8850493343</v>
      </c>
      <c r="L29" s="26">
        <f t="shared" si="2"/>
        <v>3151423.7912917333</v>
      </c>
      <c r="M29" s="26">
        <f t="shared" si="3"/>
        <v>3769783.0775300176</v>
      </c>
      <c r="N29" s="26">
        <f t="shared" si="4"/>
        <v>4505936.9186580051</v>
      </c>
      <c r="O29" s="26">
        <f t="shared" si="5"/>
        <v>5380275.073077986</v>
      </c>
    </row>
    <row r="30" spans="1:15">
      <c r="A30">
        <f t="shared" si="6"/>
        <v>47</v>
      </c>
      <c r="B30">
        <f>IF(B29-1&lt;YEAR('Main 2'!$C$2),1,B29-1)</f>
        <v>2034</v>
      </c>
      <c r="C30" s="26">
        <f>IF(B30=YEAR('Main 2'!$C$2),$C$6,J31)</f>
        <v>1992929.426997463</v>
      </c>
      <c r="D30" s="26">
        <f>IF(B30=YEAR('Main 2'!$C$2),$C$6,K31)</f>
        <v>2315280.4040766773</v>
      </c>
      <c r="E30" s="26">
        <f>IF(B30=YEAR('Main 2'!$C$2),$C$6,L31)</f>
        <v>2687675.4995476441</v>
      </c>
      <c r="F30" s="26">
        <f>IF(B30=YEAR('Main 2'!$C$2),$C$6,M31)</f>
        <v>3116996.4656464481</v>
      </c>
      <c r="G30" s="26">
        <f>IF(B30=YEAR('Main 2'!$C$2),$C$6,N31)</f>
        <v>3610931.3377338881</v>
      </c>
      <c r="H30" s="26">
        <f>IF(B30=YEAR('Main 2'!$C$2),$C$6,O31)</f>
        <v>4178052.1947369138</v>
      </c>
      <c r="I30" s="26">
        <f>IF(B30&gt;=YEAR('Main 2'!$C$2),$C$7,0)</f>
        <v>61999.999999999993</v>
      </c>
      <c r="J30" s="26">
        <f t="shared" si="0"/>
        <v>2095408.0155374124</v>
      </c>
      <c r="K30" s="26">
        <f t="shared" si="1"/>
        <v>2471131.6202397444</v>
      </c>
      <c r="L30" s="26">
        <f t="shared" si="2"/>
        <v>2912796.0295205028</v>
      </c>
      <c r="M30" s="26">
        <f t="shared" si="3"/>
        <v>3430836.1828981643</v>
      </c>
      <c r="N30" s="26">
        <f t="shared" si="4"/>
        <v>4037124.4715072773</v>
      </c>
      <c r="O30" s="26">
        <f t="shared" si="5"/>
        <v>4745138.4581053443</v>
      </c>
    </row>
    <row r="31" spans="1:15">
      <c r="A31">
        <f t="shared" si="6"/>
        <v>46</v>
      </c>
      <c r="B31">
        <f>IF(B30-1&lt;YEAR('Main 2'!$C$2),1,B30-1)</f>
        <v>2033</v>
      </c>
      <c r="C31" s="26">
        <f>IF(B31=YEAR('Main 2'!$C$2),$C$6,J32)</f>
        <v>1892460.2225465323</v>
      </c>
      <c r="D31" s="26">
        <f>IF(B31=YEAR('Main 2'!$C$2),$C$6,K32)</f>
        <v>2165423.4654583433</v>
      </c>
      <c r="E31" s="26">
        <f>IF(B31=YEAR('Main 2'!$C$2),$C$6,L32)</f>
        <v>2475297.6410826831</v>
      </c>
      <c r="F31" s="26">
        <f>IF(B31=YEAR('Main 2'!$C$2),$C$6,M32)</f>
        <v>2826404.1348578222</v>
      </c>
      <c r="G31" s="26">
        <f>IF(B31=YEAR('Main 2'!$C$2),$C$6,N32)</f>
        <v>3223483.0343035343</v>
      </c>
      <c r="H31" s="26">
        <f>IF(B31=YEAR('Main 2'!$C$2),$C$6,O32)</f>
        <v>3671725.1738722441</v>
      </c>
      <c r="I31" s="26">
        <f>IF(B31&gt;=YEAR('Main 2'!$C$2),$C$7,0)</f>
        <v>61999.999999999993</v>
      </c>
      <c r="J31" s="26">
        <f t="shared" si="0"/>
        <v>1992929.426997463</v>
      </c>
      <c r="K31" s="26">
        <f t="shared" si="1"/>
        <v>2315280.4040766773</v>
      </c>
      <c r="L31" s="26">
        <f t="shared" si="2"/>
        <v>2687675.4995476441</v>
      </c>
      <c r="M31" s="26">
        <f t="shared" si="3"/>
        <v>3116996.4656464481</v>
      </c>
      <c r="N31" s="26">
        <f t="shared" si="4"/>
        <v>3610931.3377338881</v>
      </c>
      <c r="O31" s="26">
        <f t="shared" si="5"/>
        <v>4178052.1947369138</v>
      </c>
    </row>
    <row r="32" spans="1:15">
      <c r="A32">
        <f t="shared" si="6"/>
        <v>45</v>
      </c>
      <c r="B32">
        <f>IF(B31-1&lt;YEAR('Main 2'!$C$2),1,B31-1)</f>
        <v>2032</v>
      </c>
      <c r="C32" s="26">
        <f>IF(B32=YEAR('Main 2'!$C$2),$C$6,J33)</f>
        <v>1793961.0024966002</v>
      </c>
      <c r="D32" s="26">
        <f>IF(B32=YEAR('Main 2'!$C$2),$C$6,K33)</f>
        <v>2021330.2552484071</v>
      </c>
      <c r="E32" s="26">
        <f>IF(B32=YEAR('Main 2'!$C$2),$C$6,L33)</f>
        <v>2274941.1708327197</v>
      </c>
      <c r="F32" s="26">
        <f>IF(B32=YEAR('Main 2'!$C$2),$C$6,M33)</f>
        <v>2557337.1619053907</v>
      </c>
      <c r="G32" s="26">
        <f>IF(B32=YEAR('Main 2'!$C$2),$C$6,N33)</f>
        <v>2871257.3039123039</v>
      </c>
      <c r="H32" s="26">
        <f>IF(B32=YEAR('Main 2'!$C$2),$C$6,O33)</f>
        <v>3219647.4766716463</v>
      </c>
      <c r="I32" s="26">
        <f>IF(B32&gt;=YEAR('Main 2'!$C$2),$C$7,0)</f>
        <v>61999.999999999993</v>
      </c>
      <c r="J32" s="26">
        <f t="shared" si="0"/>
        <v>1892460.2225465323</v>
      </c>
      <c r="K32" s="26">
        <f t="shared" si="1"/>
        <v>2165423.4654583433</v>
      </c>
      <c r="L32" s="26">
        <f t="shared" si="2"/>
        <v>2475297.6410826831</v>
      </c>
      <c r="M32" s="26">
        <f t="shared" si="3"/>
        <v>2826404.1348578222</v>
      </c>
      <c r="N32" s="26">
        <f t="shared" si="4"/>
        <v>3223483.0343035343</v>
      </c>
      <c r="O32" s="26">
        <f t="shared" si="5"/>
        <v>3671725.1738722441</v>
      </c>
    </row>
    <row r="33" spans="1:18">
      <c r="A33">
        <f t="shared" si="6"/>
        <v>44</v>
      </c>
      <c r="B33">
        <f>IF(B32-1&lt;YEAR('Main 2'!$C$2),1,B32-1)</f>
        <v>2031</v>
      </c>
      <c r="C33" s="26">
        <f>IF(B33=YEAR('Main 2'!$C$2),$C$6,J34)</f>
        <v>1697393.1397025492</v>
      </c>
      <c r="D33" s="26">
        <f>IF(B33=YEAR('Main 2'!$C$2),$C$6,K34)</f>
        <v>1882779.0915850068</v>
      </c>
      <c r="E33" s="26">
        <f>IF(B33=YEAR('Main 2'!$C$2),$C$6,L34)</f>
        <v>2085925.6328610564</v>
      </c>
      <c r="F33" s="26">
        <f>IF(B33=YEAR('Main 2'!$C$2),$C$6,M34)</f>
        <v>2308201.0758383246</v>
      </c>
      <c r="G33" s="26">
        <f>IF(B33=YEAR('Main 2'!$C$2),$C$6,N34)</f>
        <v>2551052.0944657307</v>
      </c>
      <c r="H33" s="26">
        <f>IF(B33=YEAR('Main 2'!$C$2),$C$6,O34)</f>
        <v>2816006.675599684</v>
      </c>
      <c r="I33" s="26">
        <f>IF(B33&gt;=YEAR('Main 2'!$C$2),$C$7,0)</f>
        <v>61999.999999999993</v>
      </c>
      <c r="J33" s="26">
        <f t="shared" si="0"/>
        <v>1793961.0024966002</v>
      </c>
      <c r="K33" s="26">
        <f t="shared" si="1"/>
        <v>2021330.2552484071</v>
      </c>
      <c r="L33" s="26">
        <f t="shared" si="2"/>
        <v>2274941.1708327197</v>
      </c>
      <c r="M33" s="26">
        <f t="shared" si="3"/>
        <v>2557337.1619053907</v>
      </c>
      <c r="N33" s="26">
        <f t="shared" si="4"/>
        <v>2871257.3039123039</v>
      </c>
      <c r="O33" s="26">
        <f t="shared" si="5"/>
        <v>3219647.4766716463</v>
      </c>
    </row>
    <row r="34" spans="1:18">
      <c r="A34">
        <f t="shared" si="6"/>
        <v>43</v>
      </c>
      <c r="B34">
        <f>IF(B33-1&lt;YEAR('Main 2'!$C$2),1,B33-1)</f>
        <v>2030</v>
      </c>
      <c r="C34" s="26">
        <f>IF(B34=YEAR('Main 2'!$C$2),$C$6,J35)</f>
        <v>1602718.7644142639</v>
      </c>
      <c r="D34" s="26">
        <f>IF(B34=YEAR('Main 2'!$C$2),$C$6,K35)</f>
        <v>1749556.8188317372</v>
      </c>
      <c r="E34" s="26">
        <f>IF(B34=YEAR('Main 2'!$C$2),$C$6,L35)</f>
        <v>1907609.08760477</v>
      </c>
      <c r="F34" s="26">
        <f>IF(B34=YEAR('Main 2'!$C$2),$C$6,M35)</f>
        <v>2077519.5146651152</v>
      </c>
      <c r="G34" s="26">
        <f>IF(B34=YEAR('Main 2'!$C$2),$C$6,N35)</f>
        <v>2259956.4495143006</v>
      </c>
      <c r="H34" s="26">
        <f>IF(B34=YEAR('Main 2'!$C$2),$C$6,O35)</f>
        <v>2455613.1032140031</v>
      </c>
      <c r="I34" s="26">
        <f>IF(B34&gt;=YEAR('Main 2'!$C$2),$C$7,0)</f>
        <v>61999.999999999993</v>
      </c>
      <c r="J34" s="26">
        <f t="shared" si="0"/>
        <v>1697393.1397025492</v>
      </c>
      <c r="K34" s="26">
        <f t="shared" si="1"/>
        <v>1882779.0915850068</v>
      </c>
      <c r="L34" s="26">
        <f t="shared" si="2"/>
        <v>2085925.6328610564</v>
      </c>
      <c r="M34" s="26">
        <f t="shared" si="3"/>
        <v>2308201.0758383246</v>
      </c>
      <c r="N34" s="26">
        <f t="shared" si="4"/>
        <v>2551052.0944657307</v>
      </c>
      <c r="O34" s="26">
        <f t="shared" si="5"/>
        <v>2816006.675599684</v>
      </c>
    </row>
    <row r="35" spans="1:18">
      <c r="A35">
        <f t="shared" si="6"/>
        <v>42</v>
      </c>
      <c r="B35">
        <f>IF(B34-1&lt;YEAR('Main 2'!$C$2),1,B34-1)</f>
        <v>2029</v>
      </c>
      <c r="C35" s="26">
        <f>IF(B35=YEAR('Main 2'!$C$2),$C$6,J36)</f>
        <v>1509900.7494257488</v>
      </c>
      <c r="D35" s="26">
        <f>IF(B35=YEAR('Main 2'!$C$2),$C$6,K36)</f>
        <v>1621458.4796459011</v>
      </c>
      <c r="E35" s="26">
        <f>IF(B35=YEAR('Main 2'!$C$2),$C$6,L36)</f>
        <v>1739385.9317026131</v>
      </c>
      <c r="F35" s="26">
        <f>IF(B35=YEAR('Main 2'!$C$2),$C$6,M36)</f>
        <v>1863925.4765417732</v>
      </c>
      <c r="G35" s="26">
        <f>IF(B35=YEAR('Main 2'!$C$2),$C$6,N36)</f>
        <v>1995324.0450130003</v>
      </c>
      <c r="H35" s="26">
        <f>IF(B35=YEAR('Main 2'!$C$2),$C$6,O36)</f>
        <v>2133833.1278696456</v>
      </c>
      <c r="I35" s="26">
        <f>IF(B35&gt;=YEAR('Main 2'!$C$2),$C$7,0)</f>
        <v>61999.999999999993</v>
      </c>
      <c r="J35" s="26">
        <f t="shared" si="0"/>
        <v>1602718.7644142639</v>
      </c>
      <c r="K35" s="26">
        <f t="shared" si="1"/>
        <v>1749556.8188317372</v>
      </c>
      <c r="L35" s="26">
        <f t="shared" si="2"/>
        <v>1907609.08760477</v>
      </c>
      <c r="M35" s="26">
        <f t="shared" si="3"/>
        <v>2077519.5146651152</v>
      </c>
      <c r="N35" s="26">
        <f t="shared" si="4"/>
        <v>2259956.4495143006</v>
      </c>
      <c r="O35" s="26">
        <f t="shared" si="5"/>
        <v>2455613.1032140031</v>
      </c>
    </row>
    <row r="36" spans="1:18">
      <c r="A36">
        <f t="shared" si="6"/>
        <v>41</v>
      </c>
      <c r="B36">
        <f>IF(B35-1&lt;YEAR('Main 2'!$C$2),1,B35-1)</f>
        <v>2028</v>
      </c>
      <c r="C36" s="26">
        <f>IF(B36=YEAR('Main 2'!$C$2),$C$6,J37)</f>
        <v>1418902.6955154401</v>
      </c>
      <c r="D36" s="26">
        <f>IF(B36=YEAR('Main 2'!$C$2),$C$6,K37)</f>
        <v>1498286.9996595203</v>
      </c>
      <c r="E36" s="26">
        <f>IF(B36=YEAR('Main 2'!$C$2),$C$6,L37)</f>
        <v>1580684.8412288802</v>
      </c>
      <c r="F36" s="26">
        <f>IF(B36=YEAR('Main 2'!$C$2),$C$6,M37)</f>
        <v>1666153.2190201601</v>
      </c>
      <c r="G36" s="26">
        <f>IF(B36=YEAR('Main 2'!$C$2),$C$6,N37)</f>
        <v>1754749.1318300001</v>
      </c>
      <c r="H36" s="26">
        <f>IF(B36=YEAR('Main 2'!$C$2),$C$6,O37)</f>
        <v>1846529.5784550405</v>
      </c>
      <c r="I36" s="26">
        <f>IF(B36&gt;=YEAR('Main 2'!$C$2),$C$7,0)</f>
        <v>61999.999999999993</v>
      </c>
      <c r="J36" s="26">
        <f t="shared" si="0"/>
        <v>1509900.7494257488</v>
      </c>
      <c r="K36" s="26">
        <f t="shared" si="1"/>
        <v>1621458.4796459011</v>
      </c>
      <c r="L36" s="26">
        <f t="shared" si="2"/>
        <v>1739385.9317026131</v>
      </c>
      <c r="M36" s="26">
        <f t="shared" si="3"/>
        <v>1863925.4765417732</v>
      </c>
      <c r="N36" s="26">
        <f t="shared" si="4"/>
        <v>1995324.0450130003</v>
      </c>
      <c r="O36" s="26">
        <f t="shared" si="5"/>
        <v>2133833.1278696456</v>
      </c>
    </row>
    <row r="37" spans="1:18">
      <c r="A37">
        <f t="shared" si="6"/>
        <v>40</v>
      </c>
      <c r="B37">
        <f>IF(B36-1&lt;YEAR('Main 2'!$C$2),1,B36-1)</f>
        <v>2027</v>
      </c>
      <c r="C37" s="26">
        <f>IF(B37=YEAR('Main 2'!$C$2),$C$6,J38)</f>
        <v>1329688.917172</v>
      </c>
      <c r="D37" s="26">
        <f>IF(B37=YEAR('Main 2'!$C$2),$C$6,K38)</f>
        <v>1379852.8842880002</v>
      </c>
      <c r="E37" s="26">
        <f>IF(B37=YEAR('Main 2'!$C$2),$C$6,L38)</f>
        <v>1430966.8313480001</v>
      </c>
      <c r="F37" s="26">
        <f>IF(B37=YEAR('Main 2'!$C$2),$C$6,M38)</f>
        <v>1483030.758352</v>
      </c>
      <c r="G37" s="26">
        <f>IF(B37=YEAR('Main 2'!$C$2),$C$6,N38)</f>
        <v>1536044.6653</v>
      </c>
      <c r="H37" s="26">
        <f>IF(B37=YEAR('Main 2'!$C$2),$C$6,O38)</f>
        <v>1590008.5521920002</v>
      </c>
      <c r="I37" s="26">
        <f>IF(B37&gt;=YEAR('Main 2'!$C$2),$C$7,0)</f>
        <v>61999.999999999993</v>
      </c>
      <c r="J37" s="26">
        <f t="shared" si="0"/>
        <v>1418902.6955154401</v>
      </c>
      <c r="K37" s="26">
        <f t="shared" si="1"/>
        <v>1498286.9996595203</v>
      </c>
      <c r="L37" s="26">
        <f t="shared" si="2"/>
        <v>1580684.8412288802</v>
      </c>
      <c r="M37" s="26">
        <f t="shared" si="3"/>
        <v>1666153.2190201601</v>
      </c>
      <c r="N37" s="26">
        <f t="shared" si="4"/>
        <v>1754749.1318300001</v>
      </c>
      <c r="O37" s="26">
        <f t="shared" si="5"/>
        <v>1846529.5784550405</v>
      </c>
    </row>
    <row r="38" spans="1:18">
      <c r="A38">
        <f t="shared" si="6"/>
        <v>39</v>
      </c>
      <c r="B38">
        <f>IF(B37-1&lt;YEAR('Main 2'!$C$2),1,B37-1)</f>
        <v>2026</v>
      </c>
      <c r="C38" s="26">
        <f>IF(B38=YEAR('Main 2'!$C$2),$C$6,J39)</f>
        <v>1242224.4286</v>
      </c>
      <c r="D38" s="26">
        <f>IF(B38=YEAR('Main 2'!$C$2),$C$6,K39)</f>
        <v>1265973.9272</v>
      </c>
      <c r="E38" s="26">
        <f>IF(B38=YEAR('Main 2'!$C$2),$C$6,L39)</f>
        <v>1289723.4258000001</v>
      </c>
      <c r="F38" s="26">
        <f>IF(B38=YEAR('Main 2'!$C$2),$C$6,M39)</f>
        <v>1313472.9243999999</v>
      </c>
      <c r="G38" s="26">
        <f>IF(B38=YEAR('Main 2'!$C$2),$C$6,N39)</f>
        <v>1337222.423</v>
      </c>
      <c r="H38" s="26">
        <f>IF(B38=YEAR('Main 2'!$C$2),$C$6,O39)</f>
        <v>1360971.9216</v>
      </c>
      <c r="I38" s="26">
        <f>IF(B38&gt;=YEAR('Main 2'!$C$2),$C$7,0)</f>
        <v>61999.999999999993</v>
      </c>
      <c r="J38" s="26">
        <f t="shared" si="0"/>
        <v>1329688.917172</v>
      </c>
      <c r="K38" s="26">
        <f t="shared" si="1"/>
        <v>1379852.8842880002</v>
      </c>
      <c r="L38" s="26">
        <f t="shared" si="2"/>
        <v>1430966.8313480001</v>
      </c>
      <c r="M38" s="26">
        <f t="shared" si="3"/>
        <v>1483030.758352</v>
      </c>
      <c r="N38" s="26">
        <f t="shared" si="4"/>
        <v>1536044.6653</v>
      </c>
      <c r="O38" s="26">
        <f t="shared" si="5"/>
        <v>1590008.5521920002</v>
      </c>
    </row>
    <row r="39" spans="1:18">
      <c r="A39">
        <f t="shared" si="6"/>
        <v>38</v>
      </c>
      <c r="B39">
        <f>IF(B38-1&lt;YEAR('Main 2'!$C$2),1,B38-1)</f>
        <v>2025</v>
      </c>
      <c r="C39" s="26">
        <f>IF(B39=YEAR('Main 2'!$C$2),$C$6,J40)</f>
        <v>1156474.93</v>
      </c>
      <c r="D39" s="26">
        <f>IF(B39=YEAR('Main 2'!$C$2),$C$6,K40)</f>
        <v>1156474.93</v>
      </c>
      <c r="E39" s="26">
        <f>IF(B39=YEAR('Main 2'!$C$2),$C$6,L40)</f>
        <v>1156474.93</v>
      </c>
      <c r="F39" s="26">
        <f>IF(B39=YEAR('Main 2'!$C$2),$C$6,M40)</f>
        <v>1156474.93</v>
      </c>
      <c r="G39" s="26">
        <f>IF(B39=YEAR('Main 2'!$C$2),$C$6,N40)</f>
        <v>1156474.93</v>
      </c>
      <c r="H39" s="26">
        <f>IF(B39=YEAR('Main 2'!$C$2),$C$6,O40)</f>
        <v>1156474.93</v>
      </c>
      <c r="I39" s="26">
        <f>IF(B39&gt;=YEAR('Main 2'!$C$2),$C$7,0)</f>
        <v>61999.999999999993</v>
      </c>
      <c r="J39" s="26">
        <f t="shared" si="0"/>
        <v>1242224.4286</v>
      </c>
      <c r="K39" s="26">
        <f t="shared" si="1"/>
        <v>1265973.9272</v>
      </c>
      <c r="L39" s="26">
        <f t="shared" si="2"/>
        <v>1289723.4258000001</v>
      </c>
      <c r="M39" s="26">
        <f t="shared" si="3"/>
        <v>1313472.9243999999</v>
      </c>
      <c r="N39" s="26">
        <f t="shared" si="4"/>
        <v>1337222.423</v>
      </c>
      <c r="O39" s="26">
        <f t="shared" si="5"/>
        <v>1360971.9216</v>
      </c>
    </row>
    <row r="40" spans="1:18">
      <c r="A40">
        <f t="shared" si="6"/>
        <v>-1986</v>
      </c>
      <c r="B40">
        <f>IF(B39-1&lt;YEAR('Main 2'!$C$2),1,B39-1)</f>
        <v>1</v>
      </c>
      <c r="C40" s="26">
        <f>IF(B40=YEAR('Main 2'!$C$2),$C$6,J41)</f>
        <v>34.444444444444443</v>
      </c>
      <c r="D40" s="26">
        <f>IF(B40=YEAR('Main 2'!$C$2),$C$6,K41)</f>
        <v>68.888888888888886</v>
      </c>
      <c r="E40" s="26">
        <f>IF(B40=YEAR('Main 2'!$C$2),$C$6,L41)</f>
        <v>103.33333333333333</v>
      </c>
      <c r="F40" s="26">
        <f>IF(B40=YEAR('Main 2'!$C$2),$C$6,M41)</f>
        <v>137.77777777777777</v>
      </c>
      <c r="G40" s="26">
        <f>IF(B40=YEAR('Main 2'!$C$2),$C$6,N41)</f>
        <v>172.2222222222222</v>
      </c>
      <c r="H40" s="26">
        <f>IF(B40=YEAR('Main 2'!$C$2),$C$6,O41)</f>
        <v>206.66666666666666</v>
      </c>
      <c r="I40" s="26">
        <f>IF(B40&gt;=YEAR('Main 2'!$C$2),$C$7,0)</f>
        <v>0</v>
      </c>
      <c r="J40" s="26">
        <f>(C40*(1+J$11))+(($I40/2)*(J$11))+$I40</f>
        <v>35.133333333333333</v>
      </c>
      <c r="K40" s="26">
        <f t="shared" si="1"/>
        <v>71.644444444444446</v>
      </c>
      <c r="L40" s="26">
        <f t="shared" si="2"/>
        <v>109.53333333333333</v>
      </c>
      <c r="M40" s="26">
        <f t="shared" si="3"/>
        <v>148.80000000000001</v>
      </c>
      <c r="N40" s="26">
        <f t="shared" si="4"/>
        <v>189.44444444444443</v>
      </c>
      <c r="O40" s="26">
        <f t="shared" si="5"/>
        <v>231.46666666666667</v>
      </c>
      <c r="P40" s="26"/>
      <c r="Q40" s="26"/>
      <c r="R40" s="26"/>
    </row>
    <row r="41" spans="1:18">
      <c r="A41">
        <f t="shared" si="6"/>
        <v>-1986</v>
      </c>
      <c r="B41">
        <f>IF(B40-1&lt;YEAR('Main 2'!$C$2),1,B40-1)</f>
        <v>1</v>
      </c>
      <c r="C41" s="26">
        <f>IF(B41=YEAR('Main 2'!$C$2),$C$6,0)</f>
        <v>0</v>
      </c>
      <c r="D41" s="26">
        <f>IF(B41=YEAR('Main 2'!$C$2),$C$6,0)</f>
        <v>0</v>
      </c>
      <c r="E41" s="26">
        <f>IF(B41=YEAR('Main 2'!$C$2),$C$6,L42)</f>
        <v>0</v>
      </c>
      <c r="F41" s="26">
        <f>IF(B41=YEAR('Main 2'!$C$2),$C$6,M42)</f>
        <v>0</v>
      </c>
      <c r="G41" s="26">
        <f>IF(B41=YEAR('Main 2'!$C$2),$C$6,N42)</f>
        <v>0</v>
      </c>
      <c r="H41" s="26">
        <f>IF(B41=YEAR('Main 2'!$C$2),$C$6,O42)</f>
        <v>0</v>
      </c>
      <c r="I41" s="26">
        <f>(C7/12)*2</f>
        <v>10333.333333333332</v>
      </c>
      <c r="J41" s="26">
        <f>(($I41+C$41)*(J$11/12*$C$8))+C$41</f>
        <v>34.444444444444443</v>
      </c>
      <c r="K41" s="26">
        <f t="shared" ref="K41:N41" si="7">(($I41+D$41)*(K$11/12*$C$8))+D$41</f>
        <v>68.888888888888886</v>
      </c>
      <c r="L41" s="26">
        <f t="shared" si="7"/>
        <v>103.33333333333333</v>
      </c>
      <c r="M41" s="26">
        <f t="shared" si="7"/>
        <v>137.77777777777777</v>
      </c>
      <c r="N41" s="26">
        <f t="shared" si="7"/>
        <v>172.2222222222222</v>
      </c>
      <c r="O41" s="26">
        <f>(($I41+H$41)*(O$11/12*$C$8))+H$41</f>
        <v>206.66666666666666</v>
      </c>
    </row>
    <row r="42" spans="1:18">
      <c r="J42" s="26"/>
    </row>
    <row r="43" spans="1:18">
      <c r="J43" s="26"/>
    </row>
    <row r="44" spans="1:18">
      <c r="J44" s="26"/>
    </row>
    <row r="45" spans="1:18">
      <c r="J45" s="26"/>
      <c r="O45" s="136"/>
    </row>
  </sheetData>
  <mergeCells count="1">
    <mergeCell ref="J10:O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29F7-68EB-4B2D-AE51-841C6CA78BDE}">
  <dimension ref="A3:B13"/>
  <sheetViews>
    <sheetView workbookViewId="0">
      <selection activeCell="H6" sqref="H6"/>
    </sheetView>
  </sheetViews>
  <sheetFormatPr defaultRowHeight="15"/>
  <cols>
    <col min="2" max="2" width="11.42578125" customWidth="1"/>
  </cols>
  <sheetData>
    <row r="3" spans="1:2">
      <c r="A3" t="s">
        <v>7257</v>
      </c>
      <c r="B3" t="s">
        <v>7449</v>
      </c>
    </row>
    <row r="4" spans="1:2">
      <c r="A4">
        <v>2023</v>
      </c>
      <c r="B4" s="46">
        <v>377540</v>
      </c>
    </row>
    <row r="5" spans="1:2">
      <c r="A5">
        <v>2022</v>
      </c>
      <c r="B5" s="46">
        <v>371119</v>
      </c>
    </row>
    <row r="6" spans="1:2">
      <c r="A6">
        <v>2021</v>
      </c>
      <c r="B6" s="59">
        <v>327571</v>
      </c>
    </row>
    <row r="7" spans="1:2">
      <c r="A7">
        <v>2020</v>
      </c>
      <c r="B7" s="59">
        <v>253416</v>
      </c>
    </row>
    <row r="8" spans="1:2">
      <c r="A8">
        <v>2019</v>
      </c>
      <c r="B8" s="59">
        <v>229415</v>
      </c>
    </row>
    <row r="9" spans="1:2">
      <c r="A9">
        <v>2018</v>
      </c>
      <c r="B9" s="59">
        <v>188488</v>
      </c>
    </row>
    <row r="10" spans="1:2">
      <c r="A10">
        <v>2017</v>
      </c>
      <c r="B10" s="46">
        <v>149370</v>
      </c>
    </row>
    <row r="11" spans="1:2">
      <c r="A11">
        <v>2016</v>
      </c>
    </row>
    <row r="12" spans="1:2">
      <c r="A12">
        <v>2015</v>
      </c>
    </row>
    <row r="13" spans="1:2">
      <c r="A13">
        <v>2014</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7FDE-5B38-4698-85C7-61EC0888EC22}">
  <dimension ref="B2:AI61"/>
  <sheetViews>
    <sheetView topLeftCell="A14" workbookViewId="0">
      <selection activeCell="C2" sqref="C2"/>
    </sheetView>
  </sheetViews>
  <sheetFormatPr defaultRowHeight="15"/>
  <cols>
    <col min="2" max="2" width="24.5703125" customWidth="1"/>
    <col min="3" max="3" width="12.28515625" customWidth="1"/>
    <col min="4" max="4" width="14.140625" customWidth="1"/>
    <col min="7" max="7" width="11.7109375" customWidth="1"/>
    <col min="8" max="8" width="17.85546875" customWidth="1"/>
    <col min="9" max="9" width="9.7109375" customWidth="1"/>
    <col min="12" max="12" width="18.5703125" customWidth="1"/>
    <col min="13" max="13" width="13.7109375" customWidth="1"/>
    <col min="14" max="14" width="12" customWidth="1"/>
    <col min="15" max="15" width="12.28515625" customWidth="1"/>
    <col min="18" max="18" width="10.85546875" bestFit="1" customWidth="1"/>
    <col min="19" max="19" width="14" customWidth="1"/>
    <col min="28" max="28" width="12.7109375" bestFit="1" customWidth="1"/>
    <col min="29" max="31" width="14.42578125" customWidth="1"/>
    <col min="32" max="32" width="13.7109375" bestFit="1" customWidth="1"/>
    <col min="34" max="34" width="16.5703125" customWidth="1"/>
    <col min="35" max="35" width="11.5703125" customWidth="1"/>
  </cols>
  <sheetData>
    <row r="2" spans="2:3">
      <c r="B2" t="s">
        <v>7450</v>
      </c>
      <c r="C2" s="79" t="s">
        <v>7451</v>
      </c>
    </row>
    <row r="4" spans="2:3">
      <c r="B4" t="s">
        <v>7452</v>
      </c>
    </row>
    <row r="5" spans="2:3">
      <c r="B5" s="16" t="s">
        <v>7453</v>
      </c>
    </row>
    <row r="6" spans="2:3">
      <c r="B6" s="79" t="s">
        <v>7454</v>
      </c>
    </row>
    <row r="16" spans="2:3">
      <c r="B16" t="s">
        <v>7455</v>
      </c>
    </row>
    <row r="17" spans="2:35">
      <c r="B17" s="79" t="s">
        <v>7456</v>
      </c>
    </row>
    <row r="18" spans="2:35">
      <c r="B18" t="s">
        <v>7457</v>
      </c>
      <c r="C18" s="155">
        <v>50000</v>
      </c>
    </row>
    <row r="19" spans="2:35">
      <c r="B19" t="s">
        <v>7458</v>
      </c>
    </row>
    <row r="20" spans="2:35">
      <c r="B20" t="s">
        <v>7459</v>
      </c>
    </row>
    <row r="22" spans="2:35">
      <c r="B22" s="151" t="s">
        <v>7460</v>
      </c>
      <c r="C22" s="149"/>
      <c r="L22" s="151" t="s">
        <v>7460</v>
      </c>
      <c r="M22" s="149"/>
      <c r="X22" t="s">
        <v>7461</v>
      </c>
    </row>
    <row r="23" spans="2:35">
      <c r="B23" t="s">
        <v>2488</v>
      </c>
      <c r="C23" s="59">
        <v>64360.95</v>
      </c>
      <c r="D23" s="59"/>
      <c r="L23" t="s">
        <v>2528</v>
      </c>
      <c r="M23" s="59">
        <v>54462.12</v>
      </c>
      <c r="N23" s="59"/>
      <c r="X23">
        <v>-1</v>
      </c>
      <c r="Y23" t="s">
        <v>7462</v>
      </c>
      <c r="AA23" t="s">
        <v>7463</v>
      </c>
      <c r="AB23" t="s">
        <v>7257</v>
      </c>
      <c r="AC23" t="s">
        <v>7464</v>
      </c>
      <c r="AD23" t="s">
        <v>7257</v>
      </c>
      <c r="AE23" t="s">
        <v>7465</v>
      </c>
      <c r="AF23" t="s">
        <v>7466</v>
      </c>
      <c r="AH23" t="s">
        <v>7467</v>
      </c>
    </row>
    <row r="24" spans="2:35">
      <c r="B24" t="s">
        <v>7468</v>
      </c>
      <c r="C24" s="80">
        <v>0.06</v>
      </c>
      <c r="D24" s="80"/>
      <c r="L24" t="s">
        <v>7468</v>
      </c>
      <c r="M24" s="80">
        <v>0.06</v>
      </c>
      <c r="N24" s="80"/>
      <c r="X24">
        <v>0</v>
      </c>
      <c r="Y24" s="152" t="s">
        <v>7469</v>
      </c>
      <c r="AA24">
        <v>12</v>
      </c>
      <c r="AB24" t="s">
        <v>7470</v>
      </c>
      <c r="AC24" s="161">
        <v>62862.21</v>
      </c>
      <c r="AD24" s="46" t="str">
        <f>LEFT(AB24,4)</f>
        <v>2036</v>
      </c>
      <c r="AE24" s="46">
        <f>AD24-2024</f>
        <v>12</v>
      </c>
      <c r="AF24" s="156">
        <f>$C$18*(1.02^AE24)</f>
        <v>63412.089728127263</v>
      </c>
      <c r="AH24" t="s">
        <v>7471</v>
      </c>
      <c r="AI24">
        <f ca="1">MONTH(TODAY())</f>
        <v>5</v>
      </c>
    </row>
    <row r="25" spans="2:35">
      <c r="B25" t="s">
        <v>7472</v>
      </c>
      <c r="C25">
        <v>650</v>
      </c>
      <c r="L25" t="s">
        <v>7472</v>
      </c>
      <c r="M25">
        <f>650</f>
        <v>650</v>
      </c>
      <c r="X25">
        <v>1</v>
      </c>
      <c r="Y25" s="152">
        <v>1</v>
      </c>
      <c r="AA25">
        <v>13</v>
      </c>
      <c r="AB25" t="s">
        <v>7473</v>
      </c>
      <c r="AC25" s="161">
        <v>64748.08</v>
      </c>
      <c r="AD25" s="46" t="str">
        <f t="shared" ref="AD25:AD29" si="0">LEFT(AB25,4)</f>
        <v>2037</v>
      </c>
      <c r="AE25" s="46">
        <f t="shared" ref="AE25:AE37" si="1">AD25-2024</f>
        <v>13</v>
      </c>
      <c r="AF25" s="156">
        <f t="shared" ref="AF25:AF37" si="2">$C$18*(1.02^AE25)</f>
        <v>64680.331522689805</v>
      </c>
      <c r="AH25" t="s">
        <v>7474</v>
      </c>
      <c r="AI25">
        <f ca="1">IF(AI24&gt;7,YEAR(TODAY())+1,YEAR(TODAY()))</f>
        <v>2026</v>
      </c>
    </row>
    <row r="26" spans="2:35">
      <c r="X26">
        <v>2</v>
      </c>
      <c r="Y26" s="152">
        <v>2</v>
      </c>
      <c r="AA26">
        <v>14</v>
      </c>
      <c r="AB26" t="s">
        <v>7475</v>
      </c>
      <c r="AC26" s="161">
        <v>66690.52</v>
      </c>
      <c r="AD26" s="46" t="str">
        <f t="shared" si="0"/>
        <v>2038</v>
      </c>
      <c r="AE26" s="46">
        <f t="shared" si="1"/>
        <v>14</v>
      </c>
      <c r="AF26" s="156">
        <f t="shared" si="2"/>
        <v>65973.938153143608</v>
      </c>
      <c r="AH26" t="s">
        <v>7476</v>
      </c>
      <c r="AI26" s="6">
        <f ca="1">DATE(AI25,7,31)</f>
        <v>46234</v>
      </c>
    </row>
    <row r="27" spans="2:35">
      <c r="C27" s="59"/>
      <c r="D27" s="79" t="s">
        <v>7454</v>
      </c>
      <c r="E27" t="s">
        <v>7477</v>
      </c>
      <c r="M27" s="59"/>
      <c r="N27" s="79" t="s">
        <v>7454</v>
      </c>
      <c r="O27" t="s">
        <v>7477</v>
      </c>
      <c r="X27">
        <v>3</v>
      </c>
      <c r="Y27" s="152">
        <v>3</v>
      </c>
      <c r="AA27">
        <v>15</v>
      </c>
      <c r="AB27" t="s">
        <v>7478</v>
      </c>
      <c r="AC27" s="161">
        <v>68691.240000000005</v>
      </c>
      <c r="AD27" s="46" t="str">
        <f t="shared" si="0"/>
        <v>2039</v>
      </c>
      <c r="AE27" s="46">
        <f t="shared" si="1"/>
        <v>15</v>
      </c>
      <c r="AF27" s="156">
        <f t="shared" si="2"/>
        <v>67293.416916206465</v>
      </c>
    </row>
    <row r="28" spans="2:35">
      <c r="B28" t="s">
        <v>7479</v>
      </c>
      <c r="C28" s="59">
        <f ca="1">SUM(H46:H52)+I52</f>
        <v>285377.56617973972</v>
      </c>
      <c r="D28" s="59"/>
      <c r="E28" s="79"/>
      <c r="H28" s="148"/>
      <c r="L28" t="s">
        <v>7479</v>
      </c>
      <c r="M28" s="59">
        <f ca="1">SUM(R49:R53)+S53</f>
        <v>237258.2905602516</v>
      </c>
      <c r="N28" s="59"/>
      <c r="O28" s="79"/>
      <c r="R28" s="148"/>
      <c r="X28">
        <v>4</v>
      </c>
      <c r="Y28" s="152">
        <v>4</v>
      </c>
      <c r="AB28" t="s">
        <v>7480</v>
      </c>
      <c r="AC28" s="161">
        <v>70751.97</v>
      </c>
      <c r="AD28" s="46" t="str">
        <f t="shared" si="0"/>
        <v>2040</v>
      </c>
      <c r="AE28" s="46">
        <f t="shared" si="1"/>
        <v>16</v>
      </c>
      <c r="AF28" s="156">
        <f t="shared" si="2"/>
        <v>68639.285254530609</v>
      </c>
    </row>
    <row r="29" spans="2:35">
      <c r="B29" t="s">
        <v>7481</v>
      </c>
      <c r="C29" s="59">
        <f ca="1">(AI26-TODAY())/30</f>
        <v>3.0333333333333332</v>
      </c>
      <c r="D29" s="59"/>
      <c r="E29" s="79"/>
      <c r="L29" t="s">
        <v>7481</v>
      </c>
      <c r="M29" s="59">
        <f ca="1">(AI26-TODAY())/30</f>
        <v>3.0333333333333332</v>
      </c>
      <c r="N29" s="59"/>
      <c r="O29" s="79"/>
      <c r="X29">
        <v>5</v>
      </c>
      <c r="Y29" s="152">
        <v>5</v>
      </c>
      <c r="AB29" t="s">
        <v>7482</v>
      </c>
      <c r="AC29" s="161">
        <v>72874.53</v>
      </c>
      <c r="AD29" s="46" t="str">
        <f t="shared" si="0"/>
        <v>2041</v>
      </c>
      <c r="AE29" s="46">
        <f t="shared" si="1"/>
        <v>17</v>
      </c>
      <c r="AF29" s="156">
        <f t="shared" si="2"/>
        <v>70012.070959621225</v>
      </c>
    </row>
    <row r="30" spans="2:35">
      <c r="C30" s="59"/>
      <c r="D30" s="59"/>
      <c r="E30" s="79"/>
      <c r="M30" s="59"/>
      <c r="N30" s="59"/>
      <c r="O30" s="79"/>
      <c r="X30">
        <v>6</v>
      </c>
      <c r="Y30" s="152">
        <v>6</v>
      </c>
      <c r="AB30" t="s">
        <v>7483</v>
      </c>
      <c r="AD30" s="46" t="str">
        <f t="shared" ref="AD30:AD37" si="3">LEFT(AB30,4)</f>
        <v>2039</v>
      </c>
      <c r="AE30" s="46">
        <f t="shared" si="1"/>
        <v>15</v>
      </c>
      <c r="AF30" s="156">
        <f t="shared" si="2"/>
        <v>67293.416916206465</v>
      </c>
    </row>
    <row r="31" spans="2:35">
      <c r="B31" t="s">
        <v>7484</v>
      </c>
      <c r="L31" t="s">
        <v>7484</v>
      </c>
      <c r="X31">
        <v>7</v>
      </c>
      <c r="Y31" s="152">
        <v>7</v>
      </c>
      <c r="AB31" t="s">
        <v>7485</v>
      </c>
      <c r="AD31" s="46" t="str">
        <f t="shared" si="3"/>
        <v>2040</v>
      </c>
      <c r="AE31" s="46">
        <f t="shared" si="1"/>
        <v>16</v>
      </c>
      <c r="AF31" s="156">
        <f t="shared" si="2"/>
        <v>68639.285254530609</v>
      </c>
    </row>
    <row r="32" spans="2:35">
      <c r="B32" s="150" t="s">
        <v>7486</v>
      </c>
      <c r="L32" s="150" t="s">
        <v>7487</v>
      </c>
      <c r="X32">
        <v>8</v>
      </c>
      <c r="Y32" s="152">
        <v>8</v>
      </c>
      <c r="AB32" t="s">
        <v>7488</v>
      </c>
      <c r="AD32" s="46" t="str">
        <f t="shared" si="3"/>
        <v>2041</v>
      </c>
      <c r="AE32" s="46">
        <f t="shared" si="1"/>
        <v>17</v>
      </c>
      <c r="AF32" s="156">
        <f t="shared" si="2"/>
        <v>70012.070959621225</v>
      </c>
    </row>
    <row r="33" spans="2:32">
      <c r="B33" s="150" t="s">
        <v>7487</v>
      </c>
      <c r="X33">
        <v>9</v>
      </c>
      <c r="Y33" s="152">
        <v>9</v>
      </c>
      <c r="AB33" t="s">
        <v>7483</v>
      </c>
      <c r="AD33" s="46" t="str">
        <f t="shared" si="3"/>
        <v>2039</v>
      </c>
      <c r="AE33" s="46">
        <f t="shared" si="1"/>
        <v>15</v>
      </c>
      <c r="AF33" s="156">
        <f t="shared" si="2"/>
        <v>67293.416916206465</v>
      </c>
    </row>
    <row r="34" spans="2:32">
      <c r="X34">
        <v>10</v>
      </c>
      <c r="Y34" s="152">
        <v>10</v>
      </c>
      <c r="AB34" t="s">
        <v>7485</v>
      </c>
      <c r="AD34" s="46" t="str">
        <f t="shared" si="3"/>
        <v>2040</v>
      </c>
      <c r="AE34" s="46">
        <f t="shared" si="1"/>
        <v>16</v>
      </c>
      <c r="AF34" s="156">
        <f t="shared" si="2"/>
        <v>68639.285254530609</v>
      </c>
    </row>
    <row r="35" spans="2:32">
      <c r="B35" s="149" t="s">
        <v>7447</v>
      </c>
      <c r="C35" s="149" t="s">
        <v>7489</v>
      </c>
      <c r="D35" s="149" t="s">
        <v>7490</v>
      </c>
      <c r="E35" s="149" t="s">
        <v>2237</v>
      </c>
      <c r="F35" s="149" t="s">
        <v>7448</v>
      </c>
      <c r="G35" s="149" t="s">
        <v>7374</v>
      </c>
      <c r="H35" s="149" t="s">
        <v>7491</v>
      </c>
      <c r="I35" s="149" t="s">
        <v>7492</v>
      </c>
      <c r="L35" s="149" t="s">
        <v>7447</v>
      </c>
      <c r="M35" s="149" t="s">
        <v>7489</v>
      </c>
      <c r="N35" s="149" t="s">
        <v>7490</v>
      </c>
      <c r="O35" s="149" t="s">
        <v>2237</v>
      </c>
      <c r="P35" s="149" t="s">
        <v>7448</v>
      </c>
      <c r="Q35" s="149" t="s">
        <v>7374</v>
      </c>
      <c r="R35" s="149" t="s">
        <v>7491</v>
      </c>
      <c r="S35" s="149" t="s">
        <v>7492</v>
      </c>
      <c r="X35">
        <v>11</v>
      </c>
      <c r="Y35" s="152">
        <v>11</v>
      </c>
      <c r="AB35" t="s">
        <v>7488</v>
      </c>
      <c r="AD35" s="46" t="str">
        <f t="shared" si="3"/>
        <v>2041</v>
      </c>
      <c r="AE35" s="46">
        <f t="shared" si="1"/>
        <v>17</v>
      </c>
      <c r="AF35" s="156">
        <f t="shared" si="2"/>
        <v>70012.070959621225</v>
      </c>
    </row>
    <row r="36" spans="2:32">
      <c r="B36" s="25">
        <f ca="1">YEAR(TODAY())-2017</f>
        <v>9</v>
      </c>
      <c r="C36" s="153" t="str">
        <f ca="1">2017+B36&amp;"-"&amp;2017+B36+1</f>
        <v>2026-2027</v>
      </c>
      <c r="D36" s="152">
        <f t="shared" ref="D36:D58" ca="1" si="4">VLOOKUP(B36-6,$X$24:$Y$47,2,0)</f>
        <v>3</v>
      </c>
      <c r="E36" s="59">
        <f>C23</f>
        <v>64360.95</v>
      </c>
      <c r="F36" s="59">
        <f ca="1">C25*C29</f>
        <v>1971.6666666666665</v>
      </c>
      <c r="G36" s="59">
        <f t="shared" ref="G36:G47" ca="1" si="5">((E36-H36)*$C$24)+((F36/2)*$C$24)</f>
        <v>3920.8069999999998</v>
      </c>
      <c r="H36" s="46">
        <f ca="1">IF(D36="MBA",VLOOKUP(C36,AB:AF,5,TRUE),IF(D36="College",VLOOKUP(C36,$AB$24:$AC$29,2,0),0))</f>
        <v>0</v>
      </c>
      <c r="I36" s="59">
        <f t="shared" ref="I36:I51" ca="1" si="6">SUM(E36:G36)-H36</f>
        <v>70253.423666666669</v>
      </c>
      <c r="L36" s="25">
        <f ca="1">YEAR(TODAY())-2020</f>
        <v>6</v>
      </c>
      <c r="M36" s="153" t="str">
        <f ca="1">2020+L36&amp;"-"&amp;2020+L36+1</f>
        <v>2026-2027</v>
      </c>
      <c r="N36" s="152">
        <f ca="1">VLOOKUP(L36-5,$X$23:$Y$47,2,0)</f>
        <v>1</v>
      </c>
      <c r="O36" s="59">
        <f>M23</f>
        <v>54462.12</v>
      </c>
      <c r="P36" s="59">
        <f ca="1">M25*M29</f>
        <v>1971.6666666666665</v>
      </c>
      <c r="Q36" s="59">
        <f ca="1">((O36-R36)*$M$24)+((P36/2)*$M$24)</f>
        <v>3326.8771999999999</v>
      </c>
      <c r="R36" s="46">
        <f ca="1">IF(N36="MBA",VLOOKUP(M36,AB:AF,5,TRUE),IF(N36="College",VLOOKUP(M36,$AB$24:$AC$29,2,0),0))</f>
        <v>0</v>
      </c>
      <c r="S36" s="59">
        <f t="shared" ref="S36:S51" ca="1" si="7">SUM(O36:Q36)-R36</f>
        <v>59760.663866666669</v>
      </c>
      <c r="X36">
        <v>12</v>
      </c>
      <c r="Y36" s="152">
        <v>12</v>
      </c>
      <c r="AB36" t="s">
        <v>7493</v>
      </c>
      <c r="AD36" s="46" t="str">
        <f t="shared" si="3"/>
        <v>2039</v>
      </c>
      <c r="AE36" s="46">
        <f t="shared" si="1"/>
        <v>15</v>
      </c>
      <c r="AF36" s="156">
        <f t="shared" si="2"/>
        <v>67293.416916206465</v>
      </c>
    </row>
    <row r="37" spans="2:32">
      <c r="B37" s="25">
        <f ca="1">B36+1</f>
        <v>10</v>
      </c>
      <c r="C37" s="153" t="str">
        <f t="shared" ref="C37:C52" ca="1" si="8">2017+B37&amp;"-"&amp;2017+B37+1</f>
        <v>2027-2028</v>
      </c>
      <c r="D37" s="152">
        <f t="shared" ca="1" si="4"/>
        <v>4</v>
      </c>
      <c r="E37" s="59">
        <f t="shared" ref="E37:E51" ca="1" si="9">I36</f>
        <v>70253.423666666669</v>
      </c>
      <c r="F37" s="59">
        <f>$C$25*12</f>
        <v>7800</v>
      </c>
      <c r="G37" s="59">
        <f t="shared" ca="1" si="5"/>
        <v>4449.2054200000002</v>
      </c>
      <c r="H37" s="46">
        <f t="shared" ref="H37:H48" ca="1" si="10">IF(D37="MBA",VLOOKUP(C37,AB:AF,5,TRUE),IF(D37="College",VLOOKUP(C37,$AB$24:$AC$29,2,0),0))</f>
        <v>0</v>
      </c>
      <c r="I37" s="59">
        <f t="shared" ca="1" si="6"/>
        <v>82502.629086666668</v>
      </c>
      <c r="L37" s="25">
        <f ca="1">L36+1</f>
        <v>7</v>
      </c>
      <c r="M37" s="153" t="str">
        <f t="shared" ref="M37:M53" ca="1" si="11">2020+L37&amp;"-"&amp;2020+L37+1</f>
        <v>2027-2028</v>
      </c>
      <c r="N37" s="152">
        <f t="shared" ref="N37:N58" ca="1" si="12">VLOOKUP(L37-5,$X$23:$Y$47,2,0)</f>
        <v>2</v>
      </c>
      <c r="O37" s="59">
        <f t="shared" ref="O37:O51" ca="1" si="13">S36</f>
        <v>59760.663866666669</v>
      </c>
      <c r="P37" s="59">
        <f>$M$25*12</f>
        <v>7800</v>
      </c>
      <c r="Q37" s="59">
        <f t="shared" ref="Q37:Q52" ca="1" si="14">((O37-R37)*$M$24)+((P37/2)*$M$24)</f>
        <v>3819.6398319999998</v>
      </c>
      <c r="R37" s="46">
        <f t="shared" ref="R37:R53" ca="1" si="15">IF(N37="MBA",VLOOKUP(M37,AB:AF,5,TRUE),IF(N37="College",VLOOKUP(M37,$AB$24:$AC$29,2,0),0))</f>
        <v>0</v>
      </c>
      <c r="S37" s="59">
        <f t="shared" ca="1" si="7"/>
        <v>71380.30369866667</v>
      </c>
      <c r="X37">
        <v>13</v>
      </c>
      <c r="Y37" s="152" t="s">
        <v>7494</v>
      </c>
      <c r="AB37" t="s">
        <v>7495</v>
      </c>
      <c r="AD37" s="46" t="str">
        <f t="shared" si="3"/>
        <v>2040</v>
      </c>
      <c r="AE37" s="46">
        <f t="shared" si="1"/>
        <v>16</v>
      </c>
      <c r="AF37" s="156">
        <f t="shared" si="2"/>
        <v>68639.285254530609</v>
      </c>
    </row>
    <row r="38" spans="2:32">
      <c r="B38" s="25">
        <f t="shared" ref="B38:B49" ca="1" si="16">B37+1</f>
        <v>11</v>
      </c>
      <c r="C38" s="153" t="str">
        <f t="shared" ca="1" si="8"/>
        <v>2028-2029</v>
      </c>
      <c r="D38" s="152">
        <f t="shared" ca="1" si="4"/>
        <v>5</v>
      </c>
      <c r="E38" s="59">
        <f t="shared" ca="1" si="9"/>
        <v>82502.629086666668</v>
      </c>
      <c r="F38" s="59">
        <f t="shared" ref="F38:F58" si="17">$C$25*12</f>
        <v>7800</v>
      </c>
      <c r="G38" s="59">
        <f t="shared" ca="1" si="5"/>
        <v>5184.1577452000001</v>
      </c>
      <c r="H38" s="46">
        <f t="shared" ca="1" si="10"/>
        <v>0</v>
      </c>
      <c r="I38" s="59">
        <f t="shared" ca="1" si="6"/>
        <v>95486.786831866673</v>
      </c>
      <c r="L38" s="25">
        <f t="shared" ref="L38:L49" ca="1" si="18">L37+1</f>
        <v>8</v>
      </c>
      <c r="M38" s="153" t="str">
        <f t="shared" ca="1" si="11"/>
        <v>2028-2029</v>
      </c>
      <c r="N38" s="152">
        <f t="shared" ca="1" si="12"/>
        <v>3</v>
      </c>
      <c r="O38" s="59">
        <f t="shared" ca="1" si="13"/>
        <v>71380.30369866667</v>
      </c>
      <c r="P38" s="59">
        <f t="shared" ref="P38:P60" si="19">$M$25*12</f>
        <v>7800</v>
      </c>
      <c r="Q38" s="59">
        <f t="shared" ca="1" si="14"/>
        <v>4516.8182219199998</v>
      </c>
      <c r="R38" s="46">
        <f t="shared" ca="1" si="15"/>
        <v>0</v>
      </c>
      <c r="S38" s="59">
        <f t="shared" ca="1" si="7"/>
        <v>83697.121920586666</v>
      </c>
      <c r="X38">
        <v>14</v>
      </c>
      <c r="Y38" s="152" t="s">
        <v>7494</v>
      </c>
      <c r="AB38" t="s">
        <v>7496</v>
      </c>
      <c r="AD38" s="46" t="str">
        <f t="shared" ref="AD38:AD45" si="20">LEFT(AB38,4)</f>
        <v>2041</v>
      </c>
      <c r="AE38" s="46">
        <f t="shared" ref="AE38:AE45" si="21">AD38-2024</f>
        <v>17</v>
      </c>
      <c r="AF38" s="156">
        <f t="shared" ref="AF38:AF45" si="22">$C$18*(1.02^AE38)</f>
        <v>70012.070959621225</v>
      </c>
    </row>
    <row r="39" spans="2:32">
      <c r="B39" s="25">
        <f t="shared" ca="1" si="16"/>
        <v>12</v>
      </c>
      <c r="C39" s="153" t="str">
        <f t="shared" ca="1" si="8"/>
        <v>2029-2030</v>
      </c>
      <c r="D39" s="152">
        <f t="shared" ca="1" si="4"/>
        <v>6</v>
      </c>
      <c r="E39" s="59">
        <f t="shared" ca="1" si="9"/>
        <v>95486.786831866673</v>
      </c>
      <c r="F39" s="59">
        <f t="shared" si="17"/>
        <v>7800</v>
      </c>
      <c r="G39" s="59">
        <f t="shared" ca="1" si="5"/>
        <v>5963.2072099120005</v>
      </c>
      <c r="H39" s="46">
        <f t="shared" ca="1" si="10"/>
        <v>0</v>
      </c>
      <c r="I39" s="59">
        <f t="shared" ca="1" si="6"/>
        <v>109249.99404177867</v>
      </c>
      <c r="L39" s="25">
        <f t="shared" ca="1" si="18"/>
        <v>9</v>
      </c>
      <c r="M39" s="153" t="str">
        <f t="shared" ca="1" si="11"/>
        <v>2029-2030</v>
      </c>
      <c r="N39" s="152">
        <f t="shared" ca="1" si="12"/>
        <v>4</v>
      </c>
      <c r="O39" s="59">
        <f t="shared" ca="1" si="13"/>
        <v>83697.121920586666</v>
      </c>
      <c r="P39" s="59">
        <f t="shared" si="19"/>
        <v>7800</v>
      </c>
      <c r="Q39" s="59">
        <f t="shared" ca="1" si="14"/>
        <v>5255.8273152351994</v>
      </c>
      <c r="R39" s="46">
        <f t="shared" ca="1" si="15"/>
        <v>0</v>
      </c>
      <c r="S39" s="59">
        <f t="shared" ca="1" si="7"/>
        <v>96752.94923582187</v>
      </c>
      <c r="X39">
        <v>15</v>
      </c>
      <c r="Y39" s="152" t="s">
        <v>7494</v>
      </c>
      <c r="AB39" t="s">
        <v>7497</v>
      </c>
      <c r="AD39" s="46" t="str">
        <f t="shared" si="20"/>
        <v>2039</v>
      </c>
      <c r="AE39" s="46">
        <f t="shared" si="21"/>
        <v>15</v>
      </c>
      <c r="AF39" s="156">
        <f t="shared" si="22"/>
        <v>67293.416916206465</v>
      </c>
    </row>
    <row r="40" spans="2:32">
      <c r="B40" s="25">
        <f t="shared" ca="1" si="16"/>
        <v>13</v>
      </c>
      <c r="C40" s="153" t="str">
        <f t="shared" ca="1" si="8"/>
        <v>2030-2031</v>
      </c>
      <c r="D40" s="152">
        <f t="shared" ca="1" si="4"/>
        <v>7</v>
      </c>
      <c r="E40" s="59">
        <f t="shared" ca="1" si="9"/>
        <v>109249.99404177867</v>
      </c>
      <c r="F40" s="59">
        <f t="shared" si="17"/>
        <v>7800</v>
      </c>
      <c r="G40" s="59">
        <f t="shared" ca="1" si="5"/>
        <v>6788.9996425067202</v>
      </c>
      <c r="H40" s="46">
        <f t="shared" ca="1" si="10"/>
        <v>0</v>
      </c>
      <c r="I40" s="59">
        <f t="shared" ca="1" si="6"/>
        <v>123838.99368428539</v>
      </c>
      <c r="L40" s="25">
        <f t="shared" ca="1" si="18"/>
        <v>10</v>
      </c>
      <c r="M40" s="153" t="str">
        <f t="shared" ca="1" si="11"/>
        <v>2030-2031</v>
      </c>
      <c r="N40" s="152">
        <f t="shared" ca="1" si="12"/>
        <v>5</v>
      </c>
      <c r="O40" s="59">
        <f t="shared" ca="1" si="13"/>
        <v>96752.94923582187</v>
      </c>
      <c r="P40" s="59">
        <f t="shared" si="19"/>
        <v>7800</v>
      </c>
      <c r="Q40" s="59">
        <f t="shared" ca="1" si="14"/>
        <v>6039.1769541493122</v>
      </c>
      <c r="R40" s="46">
        <f t="shared" ca="1" si="15"/>
        <v>0</v>
      </c>
      <c r="S40" s="59">
        <f t="shared" ca="1" si="7"/>
        <v>110592.12618997118</v>
      </c>
      <c r="X40">
        <v>16</v>
      </c>
      <c r="Y40" s="152" t="s">
        <v>7494</v>
      </c>
      <c r="AB40" t="s">
        <v>7498</v>
      </c>
      <c r="AD40" s="46" t="str">
        <f t="shared" si="20"/>
        <v>2040</v>
      </c>
      <c r="AE40" s="46">
        <f t="shared" si="21"/>
        <v>16</v>
      </c>
      <c r="AF40" s="156">
        <f t="shared" si="22"/>
        <v>68639.285254530609</v>
      </c>
    </row>
    <row r="41" spans="2:32">
      <c r="B41" s="25">
        <f t="shared" ca="1" si="16"/>
        <v>14</v>
      </c>
      <c r="C41" s="153" t="str">
        <f t="shared" ca="1" si="8"/>
        <v>2031-2032</v>
      </c>
      <c r="D41" s="152">
        <f t="shared" ca="1" si="4"/>
        <v>8</v>
      </c>
      <c r="E41" s="59">
        <f t="shared" ca="1" si="9"/>
        <v>123838.99368428539</v>
      </c>
      <c r="F41" s="59">
        <f t="shared" si="17"/>
        <v>7800</v>
      </c>
      <c r="G41" s="59">
        <f t="shared" ca="1" si="5"/>
        <v>7664.3396210571236</v>
      </c>
      <c r="H41" s="46">
        <f t="shared" ca="1" si="10"/>
        <v>0</v>
      </c>
      <c r="I41" s="59">
        <f t="shared" ca="1" si="6"/>
        <v>139303.3333053425</v>
      </c>
      <c r="L41" s="25">
        <f t="shared" ca="1" si="18"/>
        <v>11</v>
      </c>
      <c r="M41" s="153" t="str">
        <f t="shared" ca="1" si="11"/>
        <v>2031-2032</v>
      </c>
      <c r="N41" s="152">
        <f t="shared" ca="1" si="12"/>
        <v>6</v>
      </c>
      <c r="O41" s="59">
        <f t="shared" ca="1" si="13"/>
        <v>110592.12618997118</v>
      </c>
      <c r="P41" s="59">
        <f t="shared" si="19"/>
        <v>7800</v>
      </c>
      <c r="Q41" s="59">
        <f t="shared" ca="1" si="14"/>
        <v>6869.527571398271</v>
      </c>
      <c r="R41" s="46">
        <f t="shared" ca="1" si="15"/>
        <v>0</v>
      </c>
      <c r="S41" s="59">
        <f t="shared" ca="1" si="7"/>
        <v>125261.65376136945</v>
      </c>
      <c r="X41">
        <v>17</v>
      </c>
      <c r="Y41" t="s">
        <v>7499</v>
      </c>
      <c r="AB41" t="s">
        <v>7500</v>
      </c>
      <c r="AD41" s="46" t="str">
        <f t="shared" si="20"/>
        <v>2041</v>
      </c>
      <c r="AE41" s="46">
        <f t="shared" si="21"/>
        <v>17</v>
      </c>
      <c r="AF41" s="156">
        <f t="shared" si="22"/>
        <v>70012.070959621225</v>
      </c>
    </row>
    <row r="42" spans="2:32">
      <c r="B42" s="25">
        <f t="shared" ca="1" si="16"/>
        <v>15</v>
      </c>
      <c r="C42" s="153" t="str">
        <f t="shared" ca="1" si="8"/>
        <v>2032-2033</v>
      </c>
      <c r="D42" s="152">
        <f t="shared" ca="1" si="4"/>
        <v>9</v>
      </c>
      <c r="E42" s="59">
        <f t="shared" ca="1" si="9"/>
        <v>139303.3333053425</v>
      </c>
      <c r="F42" s="59">
        <f t="shared" si="17"/>
        <v>7800</v>
      </c>
      <c r="G42" s="59">
        <f t="shared" ca="1" si="5"/>
        <v>8592.1999983205496</v>
      </c>
      <c r="H42" s="46">
        <f t="shared" ca="1" si="10"/>
        <v>0</v>
      </c>
      <c r="I42" s="59">
        <f t="shared" ca="1" si="6"/>
        <v>155695.53330366305</v>
      </c>
      <c r="L42" s="25">
        <f t="shared" ca="1" si="18"/>
        <v>12</v>
      </c>
      <c r="M42" s="153" t="str">
        <f t="shared" ca="1" si="11"/>
        <v>2032-2033</v>
      </c>
      <c r="N42" s="152">
        <f t="shared" ca="1" si="12"/>
        <v>7</v>
      </c>
      <c r="O42" s="59">
        <f t="shared" ca="1" si="13"/>
        <v>125261.65376136945</v>
      </c>
      <c r="P42" s="59">
        <f t="shared" si="19"/>
        <v>7800</v>
      </c>
      <c r="Q42" s="59">
        <f t="shared" ca="1" si="14"/>
        <v>7749.6992256821668</v>
      </c>
      <c r="R42" s="46">
        <f t="shared" ca="1" si="15"/>
        <v>0</v>
      </c>
      <c r="S42" s="59">
        <f t="shared" ca="1" si="7"/>
        <v>140811.35298705162</v>
      </c>
      <c r="X42">
        <v>18</v>
      </c>
      <c r="Y42" t="s">
        <v>7501</v>
      </c>
      <c r="AB42" t="s">
        <v>7502</v>
      </c>
      <c r="AD42" s="46" t="str">
        <f t="shared" si="20"/>
        <v>2039</v>
      </c>
      <c r="AE42" s="46">
        <f t="shared" si="21"/>
        <v>15</v>
      </c>
      <c r="AF42" s="156">
        <f t="shared" si="22"/>
        <v>67293.416916206465</v>
      </c>
    </row>
    <row r="43" spans="2:32">
      <c r="B43" s="25">
        <f t="shared" ca="1" si="16"/>
        <v>16</v>
      </c>
      <c r="C43" s="153" t="str">
        <f t="shared" ca="1" si="8"/>
        <v>2033-2034</v>
      </c>
      <c r="D43" s="152">
        <f t="shared" ca="1" si="4"/>
        <v>10</v>
      </c>
      <c r="E43" s="59">
        <f t="shared" ca="1" si="9"/>
        <v>155695.53330366305</v>
      </c>
      <c r="F43" s="59">
        <f t="shared" si="17"/>
        <v>7800</v>
      </c>
      <c r="G43" s="59">
        <f t="shared" ca="1" si="5"/>
        <v>9575.7319982197823</v>
      </c>
      <c r="H43" s="46">
        <f t="shared" ca="1" si="10"/>
        <v>0</v>
      </c>
      <c r="I43" s="59">
        <f t="shared" ca="1" si="6"/>
        <v>173071.26530188284</v>
      </c>
      <c r="L43" s="25">
        <f t="shared" ca="1" si="18"/>
        <v>13</v>
      </c>
      <c r="M43" s="153" t="str">
        <f t="shared" ca="1" si="11"/>
        <v>2033-2034</v>
      </c>
      <c r="N43" s="152">
        <f t="shared" ca="1" si="12"/>
        <v>8</v>
      </c>
      <c r="O43" s="59">
        <f t="shared" ca="1" si="13"/>
        <v>140811.35298705162</v>
      </c>
      <c r="P43" s="59">
        <f t="shared" si="19"/>
        <v>7800</v>
      </c>
      <c r="Q43" s="59">
        <f t="shared" ca="1" si="14"/>
        <v>8682.6811792230965</v>
      </c>
      <c r="R43" s="46">
        <f t="shared" ca="1" si="15"/>
        <v>0</v>
      </c>
      <c r="S43" s="59">
        <f t="shared" ca="1" si="7"/>
        <v>157294.03416627471</v>
      </c>
      <c r="X43">
        <v>19</v>
      </c>
      <c r="Y43" t="s">
        <v>7503</v>
      </c>
      <c r="AB43" t="s">
        <v>7504</v>
      </c>
      <c r="AD43" s="46" t="str">
        <f t="shared" si="20"/>
        <v>2040</v>
      </c>
      <c r="AE43" s="46">
        <f t="shared" si="21"/>
        <v>16</v>
      </c>
      <c r="AF43" s="156">
        <f t="shared" si="22"/>
        <v>68639.285254530609</v>
      </c>
    </row>
    <row r="44" spans="2:32">
      <c r="B44" s="25">
        <f t="shared" ca="1" si="16"/>
        <v>17</v>
      </c>
      <c r="C44" s="153" t="str">
        <f t="shared" ca="1" si="8"/>
        <v>2034-2035</v>
      </c>
      <c r="D44" s="152">
        <f t="shared" ca="1" si="4"/>
        <v>11</v>
      </c>
      <c r="E44" s="59">
        <f t="shared" ca="1" si="9"/>
        <v>173071.26530188284</v>
      </c>
      <c r="F44" s="59">
        <f t="shared" si="17"/>
        <v>7800</v>
      </c>
      <c r="G44" s="59">
        <f t="shared" ca="1" si="5"/>
        <v>10618.27591811297</v>
      </c>
      <c r="H44" s="46">
        <f t="shared" ca="1" si="10"/>
        <v>0</v>
      </c>
      <c r="I44" s="59">
        <f t="shared" ca="1" si="6"/>
        <v>191489.54121999582</v>
      </c>
      <c r="L44" s="25">
        <f t="shared" ca="1" si="18"/>
        <v>14</v>
      </c>
      <c r="M44" s="153" t="str">
        <f t="shared" ca="1" si="11"/>
        <v>2034-2035</v>
      </c>
      <c r="N44" s="152">
        <f t="shared" ca="1" si="12"/>
        <v>9</v>
      </c>
      <c r="O44" s="59">
        <f t="shared" ca="1" si="13"/>
        <v>157294.03416627471</v>
      </c>
      <c r="P44" s="59">
        <f t="shared" si="19"/>
        <v>7800</v>
      </c>
      <c r="Q44" s="59">
        <f t="shared" ca="1" si="14"/>
        <v>9671.6420499764827</v>
      </c>
      <c r="R44" s="46">
        <f t="shared" ca="1" si="15"/>
        <v>0</v>
      </c>
      <c r="S44" s="59">
        <f t="shared" ca="1" si="7"/>
        <v>174765.67621625119</v>
      </c>
      <c r="X44">
        <v>20</v>
      </c>
      <c r="Y44" t="s">
        <v>7505</v>
      </c>
      <c r="AB44" t="s">
        <v>7506</v>
      </c>
      <c r="AD44" s="46" t="str">
        <f t="shared" si="20"/>
        <v>2041</v>
      </c>
      <c r="AE44" s="46">
        <f t="shared" si="21"/>
        <v>17</v>
      </c>
      <c r="AF44" s="156">
        <f t="shared" si="22"/>
        <v>70012.070959621225</v>
      </c>
    </row>
    <row r="45" spans="2:32">
      <c r="B45" s="25">
        <f t="shared" ca="1" si="16"/>
        <v>18</v>
      </c>
      <c r="C45" s="153" t="str">
        <f t="shared" ca="1" si="8"/>
        <v>2035-2036</v>
      </c>
      <c r="D45" s="152">
        <f t="shared" ca="1" si="4"/>
        <v>12</v>
      </c>
      <c r="E45" s="59">
        <f t="shared" ca="1" si="9"/>
        <v>191489.54121999582</v>
      </c>
      <c r="F45" s="59">
        <f t="shared" si="17"/>
        <v>7800</v>
      </c>
      <c r="G45" s="59">
        <f t="shared" ca="1" si="5"/>
        <v>11723.372473199748</v>
      </c>
      <c r="H45" s="46">
        <f t="shared" ca="1" si="10"/>
        <v>0</v>
      </c>
      <c r="I45" s="59">
        <f t="shared" ca="1" si="6"/>
        <v>211012.91369319556</v>
      </c>
      <c r="L45" s="25">
        <f t="shared" ca="1" si="18"/>
        <v>15</v>
      </c>
      <c r="M45" s="153" t="str">
        <f t="shared" ca="1" si="11"/>
        <v>2035-2036</v>
      </c>
      <c r="N45" s="152">
        <f t="shared" ca="1" si="12"/>
        <v>10</v>
      </c>
      <c r="O45" s="59">
        <f t="shared" ca="1" si="13"/>
        <v>174765.67621625119</v>
      </c>
      <c r="P45" s="59">
        <f t="shared" si="19"/>
        <v>7800</v>
      </c>
      <c r="Q45" s="59">
        <f t="shared" ca="1" si="14"/>
        <v>10719.940572975071</v>
      </c>
      <c r="R45" s="46">
        <f t="shared" ca="1" si="15"/>
        <v>0</v>
      </c>
      <c r="S45" s="59">
        <f t="shared" ca="1" si="7"/>
        <v>193285.61678922625</v>
      </c>
      <c r="X45">
        <v>21</v>
      </c>
      <c r="Y45" t="s">
        <v>7507</v>
      </c>
      <c r="AB45" t="s">
        <v>7508</v>
      </c>
      <c r="AD45" s="46" t="str">
        <f t="shared" si="20"/>
        <v>2039</v>
      </c>
      <c r="AE45" s="46">
        <f t="shared" si="21"/>
        <v>15</v>
      </c>
      <c r="AF45" s="156">
        <f t="shared" si="22"/>
        <v>67293.416916206465</v>
      </c>
    </row>
    <row r="46" spans="2:32">
      <c r="B46" s="25">
        <f t="shared" ca="1" si="16"/>
        <v>19</v>
      </c>
      <c r="C46" s="153" t="str">
        <f t="shared" ca="1" si="8"/>
        <v>2036-2037</v>
      </c>
      <c r="D46" s="152" t="str">
        <f t="shared" ca="1" si="4"/>
        <v>College</v>
      </c>
      <c r="E46" s="59">
        <f t="shared" ca="1" si="9"/>
        <v>211012.91369319556</v>
      </c>
      <c r="F46" s="59">
        <f t="shared" si="17"/>
        <v>7800</v>
      </c>
      <c r="G46" s="59">
        <f t="shared" ca="1" si="5"/>
        <v>9123.0422215917333</v>
      </c>
      <c r="H46" s="46">
        <f t="shared" ca="1" si="10"/>
        <v>62862.21</v>
      </c>
      <c r="I46" s="59">
        <f t="shared" ca="1" si="6"/>
        <v>165073.74591478729</v>
      </c>
      <c r="L46" s="25">
        <f t="shared" ca="1" si="18"/>
        <v>16</v>
      </c>
      <c r="M46" s="153" t="str">
        <f t="shared" ca="1" si="11"/>
        <v>2036-2037</v>
      </c>
      <c r="N46" s="152">
        <f t="shared" ca="1" si="12"/>
        <v>11</v>
      </c>
      <c r="O46" s="59">
        <f t="shared" ca="1" si="13"/>
        <v>193285.61678922625</v>
      </c>
      <c r="P46" s="59">
        <f t="shared" si="19"/>
        <v>7800</v>
      </c>
      <c r="Q46" s="59">
        <f t="shared" ca="1" si="14"/>
        <v>11831.137007353575</v>
      </c>
      <c r="R46" s="46">
        <f t="shared" ca="1" si="15"/>
        <v>0</v>
      </c>
      <c r="S46" s="59">
        <f t="shared" ca="1" si="7"/>
        <v>212916.75379657981</v>
      </c>
      <c r="X46">
        <v>22</v>
      </c>
      <c r="Y46" t="s">
        <v>7455</v>
      </c>
    </row>
    <row r="47" spans="2:32">
      <c r="B47" s="25">
        <f t="shared" ca="1" si="16"/>
        <v>20</v>
      </c>
      <c r="C47" s="153" t="str">
        <f t="shared" ca="1" si="8"/>
        <v>2037-2038</v>
      </c>
      <c r="D47" s="152" t="str">
        <f t="shared" ca="1" si="4"/>
        <v>College</v>
      </c>
      <c r="E47" s="59">
        <f t="shared" ca="1" si="9"/>
        <v>165073.74591478729</v>
      </c>
      <c r="F47" s="59">
        <f t="shared" si="17"/>
        <v>7800</v>
      </c>
      <c r="G47" s="59">
        <f t="shared" ca="1" si="5"/>
        <v>6253.5399548872365</v>
      </c>
      <c r="H47" s="46">
        <f t="shared" ca="1" si="10"/>
        <v>64748.08</v>
      </c>
      <c r="I47" s="59">
        <f t="shared" ca="1" si="6"/>
        <v>114379.20586967452</v>
      </c>
      <c r="L47" s="25">
        <f t="shared" ca="1" si="18"/>
        <v>17</v>
      </c>
      <c r="M47" s="153" t="str">
        <f t="shared" ca="1" si="11"/>
        <v>2037-2038</v>
      </c>
      <c r="N47" s="152">
        <f t="shared" ca="1" si="12"/>
        <v>12</v>
      </c>
      <c r="O47" s="59">
        <f t="shared" ca="1" si="13"/>
        <v>212916.75379657981</v>
      </c>
      <c r="P47" s="59">
        <f t="shared" si="19"/>
        <v>7800</v>
      </c>
      <c r="Q47" s="59">
        <f t="shared" ca="1" si="14"/>
        <v>13009.005227794789</v>
      </c>
      <c r="R47" s="46">
        <f t="shared" ca="1" si="15"/>
        <v>0</v>
      </c>
      <c r="S47" s="59">
        <f t="shared" ca="1" si="7"/>
        <v>233725.75902437459</v>
      </c>
      <c r="X47">
        <v>23</v>
      </c>
      <c r="Y47" t="s">
        <v>7455</v>
      </c>
    </row>
    <row r="48" spans="2:32">
      <c r="B48" s="25">
        <f t="shared" ca="1" si="16"/>
        <v>21</v>
      </c>
      <c r="C48" s="153" t="str">
        <f t="shared" ca="1" si="8"/>
        <v>2038-2039</v>
      </c>
      <c r="D48" s="152" t="str">
        <f t="shared" ca="1" si="4"/>
        <v>College</v>
      </c>
      <c r="E48" s="59">
        <f t="shared" ca="1" si="9"/>
        <v>114379.20586967452</v>
      </c>
      <c r="F48" s="59">
        <f t="shared" si="17"/>
        <v>7800</v>
      </c>
      <c r="G48" s="59">
        <f ca="1">((E48-H48)*$C$24)+((F48/2)*$C$24)</f>
        <v>3095.321152180471</v>
      </c>
      <c r="H48" s="46">
        <f t="shared" ca="1" si="10"/>
        <v>66690.52</v>
      </c>
      <c r="I48" s="59">
        <f t="shared" ca="1" si="6"/>
        <v>58584.007021854995</v>
      </c>
      <c r="L48" s="25">
        <f t="shared" ca="1" si="18"/>
        <v>18</v>
      </c>
      <c r="M48" s="153" t="str">
        <f t="shared" ca="1" si="11"/>
        <v>2038-2039</v>
      </c>
      <c r="N48" s="152" t="str">
        <f t="shared" ca="1" si="12"/>
        <v>College</v>
      </c>
      <c r="O48" s="59">
        <f t="shared" ca="1" si="13"/>
        <v>233725.75902437459</v>
      </c>
      <c r="P48" s="59">
        <f t="shared" si="19"/>
        <v>7800</v>
      </c>
      <c r="Q48" s="59">
        <f t="shared" ca="1" si="14"/>
        <v>10256.114341462475</v>
      </c>
      <c r="R48" s="46">
        <f t="shared" ca="1" si="15"/>
        <v>66690.52</v>
      </c>
      <c r="S48" s="59">
        <f t="shared" ca="1" si="7"/>
        <v>185091.35336583707</v>
      </c>
    </row>
    <row r="49" spans="2:19">
      <c r="B49" s="25">
        <f t="shared" ca="1" si="16"/>
        <v>22</v>
      </c>
      <c r="C49" s="153" t="str">
        <f t="shared" ca="1" si="8"/>
        <v>2039-2040</v>
      </c>
      <c r="D49" s="152" t="str">
        <f t="shared" ca="1" si="4"/>
        <v>College</v>
      </c>
      <c r="E49" s="59">
        <f t="shared" ca="1" si="9"/>
        <v>58584.007021854995</v>
      </c>
      <c r="F49" s="59">
        <f t="shared" si="17"/>
        <v>7800</v>
      </c>
      <c r="G49" s="59">
        <f t="shared" ref="G49:G52" ca="1" si="23">((E49-H49)*$C$24)+((F49/2)*$C$24)</f>
        <v>-372.43397868870056</v>
      </c>
      <c r="H49" s="46">
        <f ca="1">IF(D49="MBA",VLOOKUP(C49,AB:AF,5,TRUE),IF(D49="College",VLOOKUP(C49,$AB$24:$AC$29,2,0),0))</f>
        <v>68691.240000000005</v>
      </c>
      <c r="I49" s="59">
        <f t="shared" ca="1" si="6"/>
        <v>-2679.6669568337093</v>
      </c>
      <c r="L49" s="25">
        <f t="shared" ca="1" si="18"/>
        <v>19</v>
      </c>
      <c r="M49" s="153" t="str">
        <f t="shared" ca="1" si="11"/>
        <v>2039-2040</v>
      </c>
      <c r="N49" s="152" t="str">
        <f t="shared" ca="1" si="12"/>
        <v>College</v>
      </c>
      <c r="O49" s="59">
        <f t="shared" ca="1" si="13"/>
        <v>185091.35336583707</v>
      </c>
      <c r="P49" s="59">
        <f t="shared" si="19"/>
        <v>7800</v>
      </c>
      <c r="Q49" s="59">
        <f t="shared" ca="1" si="14"/>
        <v>7218.0068019502241</v>
      </c>
      <c r="R49" s="46">
        <f ca="1">IF(N49="MBA",VLOOKUP(M49,AB:AF,5,TRUE),IF(N49="College",VLOOKUP(M49,$AB$24:$AC$29,2,0),0))</f>
        <v>68691.240000000005</v>
      </c>
      <c r="S49" s="59">
        <f t="shared" ca="1" si="7"/>
        <v>131418.1201677873</v>
      </c>
    </row>
    <row r="50" spans="2:19">
      <c r="B50" s="25">
        <f ca="1">B49+1</f>
        <v>23</v>
      </c>
      <c r="C50" s="153" t="str">
        <f t="shared" ca="1" si="8"/>
        <v>2040-2041</v>
      </c>
      <c r="D50" s="152" t="str">
        <f t="shared" ca="1" si="4"/>
        <v>Work 1</v>
      </c>
      <c r="E50" s="59">
        <f t="shared" ca="1" si="9"/>
        <v>-2679.6669568337093</v>
      </c>
      <c r="F50" s="59">
        <f t="shared" si="17"/>
        <v>7800</v>
      </c>
      <c r="G50" s="59">
        <f t="shared" ca="1" si="23"/>
        <v>73.219982589977462</v>
      </c>
      <c r="H50" s="46">
        <f t="shared" ref="H50:H58" ca="1" si="24">IF(D50="MBA",VLOOKUP(C50,AB:AF,5,TRUE),IF(D50="College",VLOOKUP(C50,$AB$24:$AC$29,2,0),0))</f>
        <v>0</v>
      </c>
      <c r="I50" s="59">
        <f t="shared" ca="1" si="6"/>
        <v>5193.5530257562677</v>
      </c>
      <c r="L50" s="25">
        <f ca="1">L49+1</f>
        <v>20</v>
      </c>
      <c r="M50" s="153" t="str">
        <f t="shared" ca="1" si="11"/>
        <v>2040-2041</v>
      </c>
      <c r="N50" s="152" t="str">
        <f t="shared" ca="1" si="12"/>
        <v>College</v>
      </c>
      <c r="O50" s="59">
        <f t="shared" ca="1" si="13"/>
        <v>131418.1201677873</v>
      </c>
      <c r="P50" s="59">
        <f t="shared" si="19"/>
        <v>7800</v>
      </c>
      <c r="Q50" s="59">
        <f ca="1">((O50-R50)*$M$24)+((P50/2)*$M$24)</f>
        <v>3873.9690100672378</v>
      </c>
      <c r="R50" s="46">
        <f t="shared" ca="1" si="15"/>
        <v>70751.97</v>
      </c>
      <c r="S50" s="59">
        <f t="shared" ca="1" si="7"/>
        <v>72340.119177854533</v>
      </c>
    </row>
    <row r="51" spans="2:19">
      <c r="B51" s="25">
        <f ca="1">B50+1</f>
        <v>24</v>
      </c>
      <c r="C51" s="153" t="str">
        <f t="shared" ca="1" si="8"/>
        <v>2041-2042</v>
      </c>
      <c r="D51" s="152" t="str">
        <f t="shared" ca="1" si="4"/>
        <v>Work 2</v>
      </c>
      <c r="E51" s="59">
        <f t="shared" ca="1" si="9"/>
        <v>5193.5530257562677</v>
      </c>
      <c r="F51" s="59">
        <f t="shared" si="17"/>
        <v>7800</v>
      </c>
      <c r="G51" s="59">
        <f t="shared" ca="1" si="23"/>
        <v>545.61318154537605</v>
      </c>
      <c r="H51" s="46">
        <f t="shared" ca="1" si="24"/>
        <v>0</v>
      </c>
      <c r="I51" s="59">
        <f t="shared" ca="1" si="6"/>
        <v>13539.166207301643</v>
      </c>
      <c r="L51" s="25">
        <f ca="1">L50+1</f>
        <v>21</v>
      </c>
      <c r="M51" s="153" t="str">
        <f t="shared" ca="1" si="11"/>
        <v>2041-2042</v>
      </c>
      <c r="N51" s="152" t="str">
        <f t="shared" ca="1" si="12"/>
        <v>College</v>
      </c>
      <c r="O51" s="59">
        <f t="shared" ca="1" si="13"/>
        <v>72340.119177854533</v>
      </c>
      <c r="P51" s="59">
        <f t="shared" si="19"/>
        <v>7800</v>
      </c>
      <c r="Q51" s="59">
        <f t="shared" ca="1" si="14"/>
        <v>201.93535067127203</v>
      </c>
      <c r="R51" s="46">
        <f t="shared" ca="1" si="15"/>
        <v>72874.53</v>
      </c>
      <c r="S51" s="59">
        <f t="shared" ca="1" si="7"/>
        <v>7467.5245285257988</v>
      </c>
    </row>
    <row r="52" spans="2:19">
      <c r="B52" s="25">
        <f ca="1">B51+1</f>
        <v>25</v>
      </c>
      <c r="C52" s="153" t="str">
        <f t="shared" ca="1" si="8"/>
        <v>2042-2043</v>
      </c>
      <c r="D52" s="152" t="str">
        <f t="shared" ca="1" si="4"/>
        <v>Work 3</v>
      </c>
      <c r="E52" s="59">
        <f t="shared" ref="E52" ca="1" si="25">I51</f>
        <v>13539.166207301643</v>
      </c>
      <c r="F52" s="59">
        <f t="shared" si="17"/>
        <v>7800</v>
      </c>
      <c r="G52" s="59">
        <f t="shared" ca="1" si="23"/>
        <v>1046.3499724380986</v>
      </c>
      <c r="H52" s="46">
        <f t="shared" ca="1" si="24"/>
        <v>0</v>
      </c>
      <c r="I52" s="59">
        <f t="shared" ref="I52" ca="1" si="26">SUM(E52:G52)-H52</f>
        <v>22385.516179739741</v>
      </c>
      <c r="L52" s="25">
        <f ca="1">L51+1</f>
        <v>22</v>
      </c>
      <c r="M52" s="153" t="str">
        <f t="shared" ca="1" si="11"/>
        <v>2042-2043</v>
      </c>
      <c r="N52" s="152" t="str">
        <f t="shared" ca="1" si="12"/>
        <v>Work 1</v>
      </c>
      <c r="O52" s="59">
        <f t="shared" ref="O52" ca="1" si="27">S51</f>
        <v>7467.5245285257988</v>
      </c>
      <c r="P52" s="59">
        <f t="shared" si="19"/>
        <v>7800</v>
      </c>
      <c r="Q52" s="59">
        <f t="shared" ca="1" si="14"/>
        <v>682.05147171154795</v>
      </c>
      <c r="R52" s="46">
        <f t="shared" ca="1" si="15"/>
        <v>0</v>
      </c>
      <c r="S52" s="59">
        <f t="shared" ref="S52" ca="1" si="28">SUM(O52:Q52)-R52</f>
        <v>15949.576000237346</v>
      </c>
    </row>
    <row r="53" spans="2:19">
      <c r="B53" s="25">
        <f t="shared" ref="B53:B58" ca="1" si="29">B52+1</f>
        <v>26</v>
      </c>
      <c r="C53" s="153" t="str">
        <f t="shared" ref="C53:C58" ca="1" si="30">2017+B53&amp;"-"&amp;2017+B53+1</f>
        <v>2043-2044</v>
      </c>
      <c r="D53" s="152" t="str">
        <f t="shared" ca="1" si="4"/>
        <v>Work 4</v>
      </c>
      <c r="E53" s="59">
        <f t="shared" ref="E53:E58" ca="1" si="31">I52</f>
        <v>22385.516179739741</v>
      </c>
      <c r="F53" s="59">
        <f t="shared" si="17"/>
        <v>7800</v>
      </c>
      <c r="G53" s="59">
        <f t="shared" ref="G53:G58" ca="1" si="32">((E53-H53)*$C$24)+((F53/2)*$C$24)</f>
        <v>1577.1309707843845</v>
      </c>
      <c r="H53" s="46">
        <f t="shared" ca="1" si="24"/>
        <v>0</v>
      </c>
      <c r="I53" s="59">
        <f t="shared" ref="I53:I58" ca="1" si="33">SUM(E53:G53)-H53</f>
        <v>31762.647150524124</v>
      </c>
      <c r="L53" s="25">
        <f ca="1">L52+1</f>
        <v>23</v>
      </c>
      <c r="M53" s="153" t="str">
        <f t="shared" ca="1" si="11"/>
        <v>2043-2044</v>
      </c>
      <c r="N53" s="152" t="str">
        <f t="shared" ca="1" si="12"/>
        <v>Work 2</v>
      </c>
      <c r="O53" s="59">
        <f t="shared" ref="O53:O54" ca="1" si="34">S52</f>
        <v>15949.576000237346</v>
      </c>
      <c r="P53" s="59">
        <f t="shared" si="19"/>
        <v>7800</v>
      </c>
      <c r="Q53" s="59">
        <f t="shared" ref="Q53:Q54" ca="1" si="35">((O53-R53)*$M$24)+((P53/2)*$M$24)</f>
        <v>1190.9745600142408</v>
      </c>
      <c r="R53" s="46">
        <f t="shared" ca="1" si="15"/>
        <v>0</v>
      </c>
      <c r="S53" s="59">
        <f t="shared" ref="S53" ca="1" si="36">SUM(O53:Q53)-R53</f>
        <v>24940.550560251588</v>
      </c>
    </row>
    <row r="54" spans="2:19">
      <c r="B54" s="25">
        <f t="shared" ca="1" si="29"/>
        <v>27</v>
      </c>
      <c r="C54" s="153" t="str">
        <f t="shared" ca="1" si="30"/>
        <v>2044-2045</v>
      </c>
      <c r="D54" s="152" t="str">
        <f t="shared" ca="1" si="4"/>
        <v>Work 5</v>
      </c>
      <c r="E54" s="59">
        <f t="shared" ca="1" si="31"/>
        <v>31762.647150524124</v>
      </c>
      <c r="F54" s="59">
        <f t="shared" si="17"/>
        <v>7800</v>
      </c>
      <c r="G54" s="59">
        <f t="shared" ca="1" si="32"/>
        <v>2139.7588290314475</v>
      </c>
      <c r="H54" s="46">
        <f t="shared" ca="1" si="24"/>
        <v>0</v>
      </c>
      <c r="I54" s="59">
        <f t="shared" ca="1" si="33"/>
        <v>41702.405979555566</v>
      </c>
      <c r="L54" s="25">
        <f t="shared" ref="L54:L58" ca="1" si="37">L53+1</f>
        <v>24</v>
      </c>
      <c r="M54" s="153" t="str">
        <f t="shared" ref="M54" ca="1" si="38">2020+L54&amp;"-"&amp;2020+L54+1</f>
        <v>2044-2045</v>
      </c>
      <c r="N54" s="152" t="str">
        <f t="shared" ca="1" si="12"/>
        <v>Work 3</v>
      </c>
      <c r="O54" s="59">
        <f t="shared" ca="1" si="34"/>
        <v>24940.550560251588</v>
      </c>
      <c r="P54" s="59">
        <f t="shared" si="19"/>
        <v>7800</v>
      </c>
      <c r="Q54" s="59">
        <f t="shared" ca="1" si="35"/>
        <v>1730.4330336150952</v>
      </c>
      <c r="R54" s="46">
        <f t="shared" ref="R54" ca="1" si="39">IF(N54="MBA",VLOOKUP(M54,AB:AF,5,TRUE),IF(N54="College",VLOOKUP(M54,$AB$24:$AC$29,2,0),0))</f>
        <v>0</v>
      </c>
      <c r="S54" s="59">
        <f t="shared" ref="S54" ca="1" si="40">SUM(O54:Q54)-R54</f>
        <v>34470.98359386668</v>
      </c>
    </row>
    <row r="55" spans="2:19">
      <c r="B55" s="25">
        <f t="shared" ca="1" si="29"/>
        <v>28</v>
      </c>
      <c r="C55" s="153" t="str">
        <f t="shared" ca="1" si="30"/>
        <v>2045-2046</v>
      </c>
      <c r="D55" s="152" t="str">
        <f t="shared" ca="1" si="4"/>
        <v>MBA</v>
      </c>
      <c r="E55" s="59">
        <f t="shared" ca="1" si="31"/>
        <v>41702.405979555566</v>
      </c>
      <c r="F55" s="59">
        <f t="shared" si="17"/>
        <v>7800</v>
      </c>
      <c r="G55" s="59">
        <f t="shared" ca="1" si="32"/>
        <v>-1301.4606561990538</v>
      </c>
      <c r="H55" s="46">
        <f t="shared" ca="1" si="24"/>
        <v>67293.416916206465</v>
      </c>
      <c r="I55" s="59">
        <f t="shared" ca="1" si="33"/>
        <v>-19092.47159284995</v>
      </c>
      <c r="L55" s="25">
        <f t="shared" ca="1" si="37"/>
        <v>25</v>
      </c>
      <c r="M55" s="153" t="str">
        <f t="shared" ref="M55:M58" ca="1" si="41">2020+L55&amp;"-"&amp;2020+L55+1</f>
        <v>2045-2046</v>
      </c>
      <c r="N55" s="152" t="str">
        <f t="shared" ca="1" si="12"/>
        <v>Work 4</v>
      </c>
      <c r="O55" s="59">
        <f t="shared" ref="O55:O58" ca="1" si="42">S54</f>
        <v>34470.98359386668</v>
      </c>
      <c r="P55" s="59">
        <f t="shared" si="19"/>
        <v>7800</v>
      </c>
      <c r="Q55" s="59">
        <f t="shared" ref="Q55:Q58" ca="1" si="43">((O55-R55)*$M$24)+((P55/2)*$M$24)</f>
        <v>2302.2590156320007</v>
      </c>
      <c r="R55" s="46">
        <f ca="1">IF(N55="MBA",VLOOKUP(M55,AB:AF,5,TRUE),IF(N55="College",VLOOKUP(M55,$AB$24:$AC$29,2,0),0))</f>
        <v>0</v>
      </c>
      <c r="S55" s="59">
        <f t="shared" ref="S55:S58" ca="1" si="44">SUM(O55:Q55)-R55</f>
        <v>44573.24260949868</v>
      </c>
    </row>
    <row r="56" spans="2:19">
      <c r="B56" s="25">
        <f t="shared" ca="1" si="29"/>
        <v>29</v>
      </c>
      <c r="C56" s="153" t="str">
        <f t="shared" ca="1" si="30"/>
        <v>2046-2047</v>
      </c>
      <c r="D56" s="152" t="str">
        <f t="shared" ca="1" si="4"/>
        <v>MBA</v>
      </c>
      <c r="E56" s="59">
        <f t="shared" ca="1" si="31"/>
        <v>-19092.47159284995</v>
      </c>
      <c r="F56" s="59">
        <f t="shared" si="17"/>
        <v>7800</v>
      </c>
      <c r="G56" s="59">
        <f t="shared" ca="1" si="32"/>
        <v>-4949.1533105433846</v>
      </c>
      <c r="H56" s="46">
        <f t="shared" ca="1" si="24"/>
        <v>67293.416916206465</v>
      </c>
      <c r="I56" s="59">
        <f t="shared" ca="1" si="33"/>
        <v>-83535.041819599806</v>
      </c>
      <c r="L56" s="25">
        <f t="shared" ca="1" si="37"/>
        <v>26</v>
      </c>
      <c r="M56" s="153" t="str">
        <f t="shared" ca="1" si="41"/>
        <v>2046-2047</v>
      </c>
      <c r="N56" s="152" t="str">
        <f t="shared" ca="1" si="12"/>
        <v>Work 5</v>
      </c>
      <c r="O56" s="59">
        <f t="shared" ca="1" si="42"/>
        <v>44573.24260949868</v>
      </c>
      <c r="P56" s="59">
        <f t="shared" si="19"/>
        <v>7800</v>
      </c>
      <c r="Q56" s="59">
        <f t="shared" ca="1" si="43"/>
        <v>2908.394556569921</v>
      </c>
      <c r="R56" s="46">
        <f t="shared" ref="R56:R58" ca="1" si="45">IF(N56="MBA",VLOOKUP(M56,AB:AF,5,TRUE),IF(N56="College",VLOOKUP(M56,$AB$24:$AC$29,2,0),0))</f>
        <v>0</v>
      </c>
      <c r="S56" s="59">
        <f t="shared" ca="1" si="44"/>
        <v>55281.637166068598</v>
      </c>
    </row>
    <row r="57" spans="2:19">
      <c r="B57" s="25">
        <f t="shared" ca="1" si="29"/>
        <v>30</v>
      </c>
      <c r="C57" s="153" t="str">
        <f t="shared" ca="1" si="30"/>
        <v>2047-2048</v>
      </c>
      <c r="D57" s="152" t="e">
        <f t="shared" ca="1" si="4"/>
        <v>#N/A</v>
      </c>
      <c r="E57" s="59">
        <f t="shared" ca="1" si="31"/>
        <v>-83535.041819599806</v>
      </c>
      <c r="F57" s="59">
        <f t="shared" si="17"/>
        <v>7800</v>
      </c>
      <c r="G57" s="59" t="e">
        <f t="shared" ca="1" si="32"/>
        <v>#N/A</v>
      </c>
      <c r="H57" s="46" t="e">
        <f t="shared" ca="1" si="24"/>
        <v>#N/A</v>
      </c>
      <c r="I57" s="59" t="e">
        <f t="shared" ca="1" si="33"/>
        <v>#N/A</v>
      </c>
      <c r="L57" s="25">
        <f t="shared" ca="1" si="37"/>
        <v>27</v>
      </c>
      <c r="M57" s="153" t="str">
        <f t="shared" ca="1" si="41"/>
        <v>2047-2048</v>
      </c>
      <c r="N57" s="152" t="str">
        <f t="shared" ca="1" si="12"/>
        <v>MBA</v>
      </c>
      <c r="O57" s="59">
        <f t="shared" ca="1" si="42"/>
        <v>55281.637166068598</v>
      </c>
      <c r="P57" s="59">
        <f t="shared" si="19"/>
        <v>7800</v>
      </c>
      <c r="Q57" s="59">
        <f t="shared" ca="1" si="43"/>
        <v>-486.70678500827194</v>
      </c>
      <c r="R57" s="46">
        <f t="shared" ca="1" si="45"/>
        <v>67293.416916206465</v>
      </c>
      <c r="S57" s="59">
        <f t="shared" ca="1" si="44"/>
        <v>-4698.4865351461413</v>
      </c>
    </row>
    <row r="58" spans="2:19">
      <c r="B58" s="25">
        <f t="shared" ca="1" si="29"/>
        <v>31</v>
      </c>
      <c r="C58" s="153" t="str">
        <f t="shared" ca="1" si="30"/>
        <v>2048-2049</v>
      </c>
      <c r="D58" s="152" t="e">
        <f t="shared" ca="1" si="4"/>
        <v>#N/A</v>
      </c>
      <c r="E58" s="59" t="e">
        <f t="shared" ca="1" si="31"/>
        <v>#N/A</v>
      </c>
      <c r="F58" s="59">
        <f t="shared" si="17"/>
        <v>7800</v>
      </c>
      <c r="G58" s="59" t="e">
        <f t="shared" ca="1" si="32"/>
        <v>#N/A</v>
      </c>
      <c r="H58" s="46" t="e">
        <f t="shared" ca="1" si="24"/>
        <v>#N/A</v>
      </c>
      <c r="I58" s="59" t="e">
        <f t="shared" ca="1" si="33"/>
        <v>#N/A</v>
      </c>
      <c r="L58" s="25">
        <f t="shared" ca="1" si="37"/>
        <v>28</v>
      </c>
      <c r="M58" s="153" t="str">
        <f t="shared" ca="1" si="41"/>
        <v>2048-2049</v>
      </c>
      <c r="N58" s="152" t="str">
        <f t="shared" ca="1" si="12"/>
        <v>MBA</v>
      </c>
      <c r="O58" s="59">
        <f t="shared" ca="1" si="42"/>
        <v>-4698.4865351461413</v>
      </c>
      <c r="P58" s="59">
        <f t="shared" si="19"/>
        <v>7800</v>
      </c>
      <c r="Q58" s="59">
        <f t="shared" ca="1" si="43"/>
        <v>-4085.5142070811562</v>
      </c>
      <c r="R58" s="46">
        <f t="shared" ca="1" si="45"/>
        <v>67293.416916206465</v>
      </c>
      <c r="S58" s="59">
        <f t="shared" ca="1" si="44"/>
        <v>-68277.417658433755</v>
      </c>
    </row>
    <row r="59" spans="2:19">
      <c r="B59" s="25"/>
      <c r="C59" s="153"/>
      <c r="D59" s="152"/>
      <c r="E59" s="59"/>
      <c r="F59" s="59"/>
      <c r="G59" s="59"/>
      <c r="H59" s="46"/>
      <c r="I59" s="59"/>
      <c r="L59" s="25">
        <f t="shared" ref="L59:L60" ca="1" si="46">L58+1</f>
        <v>29</v>
      </c>
      <c r="M59" s="153" t="str">
        <f t="shared" ref="M59:M60" ca="1" si="47">2020+L59&amp;"-"&amp;2020+L59+1</f>
        <v>2049-2050</v>
      </c>
      <c r="N59" s="152" t="e">
        <f t="shared" ref="N59:N60" ca="1" si="48">VLOOKUP(L59-5,$X$23:$Y$47,2,0)</f>
        <v>#N/A</v>
      </c>
      <c r="O59" s="59">
        <f t="shared" ref="O59:O60" ca="1" si="49">S58</f>
        <v>-68277.417658433755</v>
      </c>
      <c r="P59" s="59">
        <f t="shared" si="19"/>
        <v>7800</v>
      </c>
      <c r="Q59" s="59" t="e">
        <f t="shared" ref="Q59:Q60" ca="1" si="50">((O59-R59)*$M$24)+((P59/2)*$M$24)</f>
        <v>#N/A</v>
      </c>
      <c r="R59" s="46" t="e">
        <f t="shared" ref="R59:R60" ca="1" si="51">IF(N59="MBA",VLOOKUP(M59,AB:AF,5,TRUE),IF(N59="College",VLOOKUP(M59,$AB$24:$AC$29,2,0),0))</f>
        <v>#N/A</v>
      </c>
      <c r="S59" s="59" t="e">
        <f t="shared" ref="S59:S60" ca="1" si="52">SUM(O59:Q59)-R59</f>
        <v>#N/A</v>
      </c>
    </row>
    <row r="60" spans="2:19">
      <c r="B60" s="25"/>
      <c r="C60" s="153"/>
      <c r="D60" s="152"/>
      <c r="E60" s="59"/>
      <c r="F60" s="59"/>
      <c r="G60" s="59"/>
      <c r="H60" s="46"/>
      <c r="I60" s="59"/>
      <c r="L60" s="25">
        <f t="shared" ca="1" si="46"/>
        <v>30</v>
      </c>
      <c r="M60" s="153" t="str">
        <f t="shared" ca="1" si="47"/>
        <v>2050-2051</v>
      </c>
      <c r="N60" s="152" t="e">
        <f t="shared" ca="1" si="48"/>
        <v>#N/A</v>
      </c>
      <c r="O60" s="59" t="e">
        <f t="shared" ca="1" si="49"/>
        <v>#N/A</v>
      </c>
      <c r="P60" s="59">
        <f t="shared" si="19"/>
        <v>7800</v>
      </c>
      <c r="Q60" s="59" t="e">
        <f t="shared" ca="1" si="50"/>
        <v>#N/A</v>
      </c>
      <c r="R60" s="46" t="e">
        <f t="shared" ca="1" si="51"/>
        <v>#N/A</v>
      </c>
      <c r="S60" s="59" t="e">
        <f t="shared" ca="1" si="52"/>
        <v>#N/A</v>
      </c>
    </row>
    <row r="61" spans="2:19">
      <c r="L61" s="25"/>
      <c r="M61" s="153"/>
      <c r="N61" s="152"/>
      <c r="O61" s="59"/>
      <c r="P61" s="59"/>
      <c r="Q61" s="59"/>
      <c r="R61" s="46"/>
      <c r="S61" s="59"/>
    </row>
  </sheetData>
  <hyperlinks>
    <hyperlink ref="D27" r:id="rId1" location="future-college-costs" xr:uid="{A02C60CF-834D-45DE-9E7D-70CF8E4D260F}"/>
    <hyperlink ref="N27" r:id="rId2" location="future-college-costs" xr:uid="{29A69337-D5D5-4E46-89A0-A35DC0693827}"/>
    <hyperlink ref="B6" r:id="rId3" location="future-college-costs" xr:uid="{D2F1831F-635C-47B5-A7B6-0BB611CAE3E0}"/>
    <hyperlink ref="B17" r:id="rId4" location=":~:text=Average%20MBA%20Tuition%20Costs%20Across%20the%20Country&amp;text=On%20average%2C%20aspiring%20MBA%20candidates,to%20%24100%2C000%20per%20academic%20year" xr:uid="{50A24A57-3E8E-4159-A31D-1D5351399799}"/>
    <hyperlink ref="C2" r:id="rId5" xr:uid="{B7A7C62E-B063-4918-8322-381E113CC5BF}"/>
  </hyperlinks>
  <pageMargins left="0.7" right="0.7" top="0.75" bottom="0.75" header="0.3" footer="0.3"/>
  <drawing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EB3D-1524-42A2-B614-BE44D9B87078}">
  <dimension ref="B4:L10"/>
  <sheetViews>
    <sheetView workbookViewId="0">
      <selection activeCell="I11" sqref="I11"/>
    </sheetView>
  </sheetViews>
  <sheetFormatPr defaultRowHeight="15"/>
  <cols>
    <col min="3" max="3" width="10.85546875" bestFit="1" customWidth="1"/>
    <col min="5" max="5" width="14.42578125" customWidth="1"/>
    <col min="6" max="6" width="12.140625" customWidth="1"/>
    <col min="10" max="10" width="12.7109375" customWidth="1"/>
    <col min="11" max="11" width="23.140625" customWidth="1"/>
  </cols>
  <sheetData>
    <row r="4" spans="2:12">
      <c r="C4" s="92" t="s">
        <v>7509</v>
      </c>
      <c r="D4" s="92" t="s">
        <v>2435</v>
      </c>
      <c r="E4" s="92" t="s">
        <v>7510</v>
      </c>
      <c r="F4" s="92" t="s">
        <v>7511</v>
      </c>
      <c r="J4" s="170" t="s">
        <v>7512</v>
      </c>
      <c r="K4" s="170" t="s">
        <v>7513</v>
      </c>
      <c r="L4" t="s">
        <v>7153</v>
      </c>
    </row>
    <row r="5" spans="2:12">
      <c r="B5">
        <v>2022</v>
      </c>
      <c r="C5" s="46">
        <v>19500</v>
      </c>
      <c r="D5" s="46">
        <v>6000</v>
      </c>
      <c r="E5" s="46">
        <v>19500</v>
      </c>
      <c r="F5" s="46">
        <v>6000</v>
      </c>
      <c r="G5" s="46">
        <f>SUM(C5:F5)</f>
        <v>51000</v>
      </c>
      <c r="J5" s="46">
        <v>154708.20000000001</v>
      </c>
      <c r="K5" s="46">
        <v>224000</v>
      </c>
      <c r="L5" s="46">
        <f>SUM(J5:K5)</f>
        <v>378708.2</v>
      </c>
    </row>
    <row r="6" spans="2:12">
      <c r="B6">
        <v>2021</v>
      </c>
      <c r="C6" s="46">
        <v>19500</v>
      </c>
      <c r="D6" s="46">
        <v>6000</v>
      </c>
      <c r="E6" s="46">
        <v>19500</v>
      </c>
      <c r="F6" s="46">
        <v>6000</v>
      </c>
      <c r="G6" s="46">
        <f t="shared" ref="G6:G10" si="0">SUM(C6:F6)</f>
        <v>51000</v>
      </c>
      <c r="J6" s="46">
        <v>186652</v>
      </c>
      <c r="K6" s="46">
        <f>32027+139464</f>
        <v>171491</v>
      </c>
      <c r="L6" s="46">
        <f t="shared" ref="L6:L8" si="1">SUM(J6:K6)</f>
        <v>358143</v>
      </c>
    </row>
    <row r="7" spans="2:12">
      <c r="B7">
        <v>2020</v>
      </c>
      <c r="C7" s="46">
        <f>13738.82+5761.2</f>
        <v>19500.02</v>
      </c>
      <c r="D7" s="46">
        <v>6000</v>
      </c>
      <c r="E7" s="46">
        <v>19500</v>
      </c>
      <c r="F7" s="46">
        <v>6000</v>
      </c>
      <c r="G7" s="46">
        <f>SUM(C7:E7)</f>
        <v>45000.020000000004</v>
      </c>
      <c r="J7" s="46">
        <f>54589.2+98134.2</f>
        <v>152723.4</v>
      </c>
      <c r="K7" s="46">
        <v>140183</v>
      </c>
      <c r="L7" s="46">
        <f t="shared" si="1"/>
        <v>292906.40000000002</v>
      </c>
    </row>
    <row r="8" spans="2:12">
      <c r="B8">
        <v>2019</v>
      </c>
      <c r="C8" s="46">
        <v>18948.88</v>
      </c>
      <c r="D8" s="46"/>
      <c r="E8" s="46">
        <v>10077</v>
      </c>
      <c r="F8" s="46"/>
      <c r="G8" s="46">
        <f t="shared" si="0"/>
        <v>29025.88</v>
      </c>
      <c r="J8" s="46">
        <v>135044.6</v>
      </c>
      <c r="K8" s="46">
        <v>110208</v>
      </c>
      <c r="L8" s="46">
        <f t="shared" si="1"/>
        <v>245252.6</v>
      </c>
    </row>
    <row r="9" spans="2:12">
      <c r="B9">
        <v>2018</v>
      </c>
      <c r="C9" s="46"/>
      <c r="D9" s="46"/>
      <c r="E9" s="46">
        <v>9347</v>
      </c>
      <c r="F9" s="46"/>
      <c r="G9" s="46">
        <f t="shared" si="0"/>
        <v>9347</v>
      </c>
      <c r="K9">
        <v>21888</v>
      </c>
      <c r="L9" s="46"/>
    </row>
    <row r="10" spans="2:12">
      <c r="B10">
        <v>2017</v>
      </c>
      <c r="C10" s="46"/>
      <c r="D10" s="46"/>
      <c r="E10" s="46"/>
      <c r="F10" s="46"/>
      <c r="G10" s="46">
        <f t="shared" si="0"/>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FBE15-F748-481B-BD34-28A6A903E4F5}">
  <dimension ref="C1:I8"/>
  <sheetViews>
    <sheetView workbookViewId="0">
      <selection activeCell="I15" sqref="G14:I15"/>
    </sheetView>
  </sheetViews>
  <sheetFormatPr defaultRowHeight="15"/>
  <sheetData>
    <row r="1" spans="3:9">
      <c r="C1" t="s">
        <v>7514</v>
      </c>
      <c r="G1" t="s">
        <v>7515</v>
      </c>
    </row>
    <row r="2" spans="3:9">
      <c r="C2" t="s">
        <v>7139</v>
      </c>
      <c r="D2">
        <v>401988</v>
      </c>
      <c r="G2" t="s">
        <v>7139</v>
      </c>
      <c r="H2" s="46">
        <f>200000+135000+100000</f>
        <v>435000</v>
      </c>
    </row>
    <row r="3" spans="3:9">
      <c r="C3" t="s">
        <v>7516</v>
      </c>
      <c r="D3" s="46">
        <v>336818</v>
      </c>
      <c r="E3" s="58">
        <f>D3/D2</f>
        <v>0.83788073275819175</v>
      </c>
      <c r="G3" t="s">
        <v>7517</v>
      </c>
      <c r="H3">
        <f>H2*E3</f>
        <v>364478.11874981341</v>
      </c>
    </row>
    <row r="4" spans="3:9">
      <c r="C4" t="s">
        <v>7518</v>
      </c>
      <c r="D4" s="46">
        <v>66722</v>
      </c>
      <c r="E4" s="72">
        <v>0.19809511368157284</v>
      </c>
      <c r="G4" t="s">
        <v>7518</v>
      </c>
      <c r="H4" s="46">
        <f>$H$3*I4</f>
        <v>72201.334368190088</v>
      </c>
      <c r="I4" s="72">
        <v>0.19809511368157284</v>
      </c>
    </row>
    <row r="5" spans="3:9">
      <c r="C5" t="s">
        <v>7519</v>
      </c>
      <c r="D5" s="46">
        <v>24983.22</v>
      </c>
      <c r="E5" s="72">
        <v>7.4174242469226714E-2</v>
      </c>
      <c r="G5" t="s">
        <v>7519</v>
      </c>
      <c r="H5" s="46">
        <f t="shared" ref="H5:H7" si="0">$H$3*I5</f>
        <v>27034.888354876268</v>
      </c>
      <c r="I5" s="72">
        <v>7.4174242469226714E-2</v>
      </c>
    </row>
    <row r="6" spans="3:9">
      <c r="C6" t="s">
        <v>7520</v>
      </c>
      <c r="D6" s="46">
        <v>18594.989999999998</v>
      </c>
      <c r="E6" s="72">
        <v>5.5207827372646352E-2</v>
      </c>
      <c r="G6" t="s">
        <v>7520</v>
      </c>
      <c r="H6" s="46">
        <f t="shared" si="0"/>
        <v>20122.045061046596</v>
      </c>
      <c r="I6" s="72">
        <v>5.5207827372646352E-2</v>
      </c>
    </row>
    <row r="7" spans="3:9">
      <c r="C7" t="s">
        <v>7521</v>
      </c>
      <c r="D7" s="46">
        <v>5363.66</v>
      </c>
      <c r="E7" s="72">
        <v>1.5924505222404978E-2</v>
      </c>
      <c r="G7" t="s">
        <v>7521</v>
      </c>
      <c r="H7" s="46">
        <f t="shared" si="0"/>
        <v>5804.1337054837459</v>
      </c>
      <c r="I7" s="72">
        <v>1.5924505222404978E-2</v>
      </c>
    </row>
    <row r="8" spans="3:9">
      <c r="D8" s="46">
        <v>115663.87</v>
      </c>
      <c r="E8" s="72">
        <v>0.34340168874585086</v>
      </c>
      <c r="H8" s="46">
        <f>SUM(H4:H7)</f>
        <v>125162.4014895967</v>
      </c>
      <c r="I8" s="72">
        <v>0.34340168874585086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DF7C9-3659-43B5-AEC3-29EB53313579}">
  <dimension ref="B2:R160"/>
  <sheetViews>
    <sheetView topLeftCell="A136" workbookViewId="0">
      <selection activeCell="C160" sqref="C160"/>
    </sheetView>
  </sheetViews>
  <sheetFormatPr defaultRowHeight="15"/>
  <cols>
    <col min="2" max="2" width="17.7109375" customWidth="1"/>
    <col min="3" max="5" width="11.85546875" bestFit="1" customWidth="1"/>
    <col min="9" max="9" width="10.85546875" bestFit="1" customWidth="1"/>
    <col min="16" max="16" width="22.140625" bestFit="1" customWidth="1"/>
    <col min="17" max="17" width="11.85546875" bestFit="1" customWidth="1"/>
    <col min="18" max="18" width="10.85546875" bestFit="1" customWidth="1"/>
    <col min="19" max="19" width="9.85546875" bestFit="1" customWidth="1"/>
  </cols>
  <sheetData>
    <row r="2" spans="2:17" ht="21">
      <c r="B2" s="64" t="s">
        <v>7518</v>
      </c>
    </row>
    <row r="3" spans="2:17">
      <c r="C3">
        <v>2021</v>
      </c>
      <c r="O3">
        <v>2022</v>
      </c>
    </row>
    <row r="4" spans="2:17">
      <c r="B4" t="s">
        <v>7522</v>
      </c>
      <c r="O4" t="s">
        <v>7139</v>
      </c>
      <c r="P4" t="s">
        <v>54</v>
      </c>
      <c r="Q4" t="s">
        <v>7523</v>
      </c>
    </row>
    <row r="5" spans="2:17">
      <c r="B5" t="s">
        <v>7512</v>
      </c>
      <c r="C5" s="45">
        <v>167172.81</v>
      </c>
      <c r="D5" t="s">
        <v>7524</v>
      </c>
      <c r="O5">
        <v>160000</v>
      </c>
      <c r="P5">
        <f>20500/2</f>
        <v>10250</v>
      </c>
      <c r="Q5">
        <f>O5-P5</f>
        <v>149750</v>
      </c>
    </row>
    <row r="6" spans="2:17">
      <c r="B6" t="s">
        <v>7525</v>
      </c>
      <c r="C6" s="45">
        <f>32027.1+119964.38</f>
        <v>151991.48000000001</v>
      </c>
      <c r="D6" t="s">
        <v>7526</v>
      </c>
      <c r="Q6" s="45">
        <f>C6</f>
        <v>151991.48000000001</v>
      </c>
    </row>
    <row r="7" spans="2:17">
      <c r="B7" t="s">
        <v>7153</v>
      </c>
      <c r="C7" s="45">
        <f>SUM(C5:C6)</f>
        <v>319164.29000000004</v>
      </c>
      <c r="Q7">
        <f>SUM(Q5:Q6)</f>
        <v>301741.48</v>
      </c>
    </row>
    <row r="8" spans="2:17">
      <c r="L8" s="16"/>
    </row>
    <row r="27" spans="2:18">
      <c r="B27" t="s">
        <v>7527</v>
      </c>
      <c r="C27" s="53">
        <v>327571</v>
      </c>
      <c r="D27" t="s">
        <v>7528</v>
      </c>
      <c r="P27" t="s">
        <v>7527</v>
      </c>
      <c r="Q27" s="53">
        <f>Q7+(C27-C7)</f>
        <v>310148.18999999994</v>
      </c>
    </row>
    <row r="28" spans="2:18">
      <c r="B28" t="s">
        <v>7529</v>
      </c>
      <c r="C28" s="53">
        <v>302463</v>
      </c>
      <c r="P28" t="s">
        <v>7529</v>
      </c>
      <c r="Q28" s="53">
        <f>Q27-25100</f>
        <v>285048.18999999994</v>
      </c>
    </row>
    <row r="29" spans="2:18">
      <c r="B29" t="s">
        <v>7530</v>
      </c>
      <c r="C29" s="53">
        <v>61205</v>
      </c>
      <c r="P29" t="s">
        <v>7530</v>
      </c>
      <c r="Q29" s="65">
        <f>C33*Q28</f>
        <v>57681.020385799238</v>
      </c>
      <c r="R29" t="s">
        <v>7531</v>
      </c>
    </row>
    <row r="30" spans="2:18">
      <c r="B30" t="s">
        <v>7532</v>
      </c>
      <c r="C30" s="53">
        <v>74288</v>
      </c>
      <c r="P30" t="s">
        <v>7192</v>
      </c>
      <c r="Q30">
        <f>Q29/Q28</f>
        <v>0.20235532941219256</v>
      </c>
    </row>
    <row r="31" spans="2:18">
      <c r="B31" t="s">
        <v>7533</v>
      </c>
      <c r="C31" s="53">
        <v>13083</v>
      </c>
    </row>
    <row r="32" spans="2:18">
      <c r="B32" t="s">
        <v>7534</v>
      </c>
      <c r="C32" s="66">
        <v>0.17680000000000001</v>
      </c>
      <c r="D32" s="53"/>
      <c r="P32" t="s">
        <v>7535</v>
      </c>
      <c r="Q32">
        <v>8058.7</v>
      </c>
    </row>
    <row r="33" spans="2:18">
      <c r="B33" t="s">
        <v>7536</v>
      </c>
      <c r="C33">
        <f>C29/C28</f>
        <v>0.20235532941219256</v>
      </c>
      <c r="P33" t="s">
        <v>7537</v>
      </c>
      <c r="Q33">
        <v>1360.2</v>
      </c>
      <c r="R33" s="53"/>
    </row>
    <row r="34" spans="2:18">
      <c r="P34" t="s">
        <v>7538</v>
      </c>
      <c r="Q34">
        <v>18</v>
      </c>
    </row>
    <row r="35" spans="2:18">
      <c r="P35" t="s">
        <v>7539</v>
      </c>
      <c r="Q35">
        <f>(Q34*Q33)+Q32</f>
        <v>32542.300000000003</v>
      </c>
      <c r="R35">
        <f>(Q35/Q46)</f>
        <v>0.54409417815233396</v>
      </c>
    </row>
    <row r="36" spans="2:18">
      <c r="P36" t="s">
        <v>7540</v>
      </c>
      <c r="Q36" s="53">
        <f>R35*Q47</f>
        <v>-1158.3926182005457</v>
      </c>
    </row>
    <row r="37" spans="2:18">
      <c r="P37" t="s">
        <v>7541</v>
      </c>
      <c r="Q37">
        <f>Q36/Q34</f>
        <v>-64.35514545558587</v>
      </c>
    </row>
    <row r="39" spans="2:18">
      <c r="P39" t="s">
        <v>7542</v>
      </c>
      <c r="Q39" s="67">
        <v>7112.61</v>
      </c>
    </row>
    <row r="40" spans="2:18">
      <c r="P40" t="s">
        <v>7543</v>
      </c>
      <c r="Q40" s="67">
        <v>1119.73</v>
      </c>
    </row>
    <row r="41" spans="2:18">
      <c r="P41" t="s">
        <v>7538</v>
      </c>
      <c r="Q41">
        <v>18</v>
      </c>
      <c r="R41" s="53"/>
    </row>
    <row r="42" spans="2:18">
      <c r="P42" t="s">
        <v>7539</v>
      </c>
      <c r="Q42">
        <f>(Q41*Q40)+Q39</f>
        <v>27267.75</v>
      </c>
      <c r="R42">
        <f>(Q42/Q46)</f>
        <v>0.45590582184766604</v>
      </c>
    </row>
    <row r="43" spans="2:18">
      <c r="P43" t="s">
        <v>7540</v>
      </c>
      <c r="Q43" s="53">
        <f>R42*Q47</f>
        <v>-970.63699600021891</v>
      </c>
      <c r="R43" s="53"/>
    </row>
    <row r="44" spans="2:18">
      <c r="P44" t="s">
        <v>7541</v>
      </c>
      <c r="Q44" s="53">
        <f>Q43/Q41</f>
        <v>-53.92427755556772</v>
      </c>
      <c r="R44" s="53"/>
    </row>
    <row r="46" spans="2:18">
      <c r="P46" t="s">
        <v>7153</v>
      </c>
      <c r="Q46" s="68">
        <f>SUM(Q42,Q35)</f>
        <v>59810.05</v>
      </c>
      <c r="R46" t="s">
        <v>7544</v>
      </c>
    </row>
    <row r="47" spans="2:18">
      <c r="P47" t="s">
        <v>7540</v>
      </c>
      <c r="Q47" s="53">
        <f>Q29-Q46</f>
        <v>-2129.0296142007646</v>
      </c>
    </row>
    <row r="56" spans="2:18" ht="21">
      <c r="B56" s="64" t="s">
        <v>1265</v>
      </c>
    </row>
    <row r="57" spans="2:18">
      <c r="C57">
        <v>2021</v>
      </c>
      <c r="P57" t="s">
        <v>1265</v>
      </c>
      <c r="Q57">
        <v>2022</v>
      </c>
    </row>
    <row r="58" spans="2:18">
      <c r="B58" t="s">
        <v>7545</v>
      </c>
      <c r="C58" s="53">
        <f>C27</f>
        <v>327571</v>
      </c>
      <c r="P58" t="s">
        <v>7545</v>
      </c>
      <c r="Q58" s="53">
        <f>Q27</f>
        <v>310148.18999999994</v>
      </c>
    </row>
    <row r="59" spans="2:18">
      <c r="B59" t="s">
        <v>7246</v>
      </c>
      <c r="C59" s="53">
        <v>296741</v>
      </c>
      <c r="D59">
        <f>C59/C58</f>
        <v>0.90588299941081474</v>
      </c>
      <c r="P59" t="s">
        <v>7246</v>
      </c>
      <c r="Q59" s="53">
        <f>D59*Q58</f>
        <v>280957.97261903522</v>
      </c>
    </row>
    <row r="60" spans="2:18">
      <c r="B60" t="s">
        <v>7546</v>
      </c>
      <c r="C60" s="53">
        <v>21467</v>
      </c>
      <c r="D60">
        <f>C60/C59</f>
        <v>7.2342547878452929E-2</v>
      </c>
      <c r="P60" t="s">
        <v>7547</v>
      </c>
      <c r="Q60" s="53">
        <f>D60*Q59</f>
        <v>20325.215586025624</v>
      </c>
      <c r="R60">
        <f>Q60/Q58</f>
        <v>6.5533884257153424E-2</v>
      </c>
    </row>
    <row r="61" spans="2:18">
      <c r="B61" t="s">
        <v>7532</v>
      </c>
      <c r="C61" s="53">
        <v>19149</v>
      </c>
    </row>
    <row r="62" spans="2:18">
      <c r="B62" t="s">
        <v>7548</v>
      </c>
      <c r="C62" s="53">
        <v>1477</v>
      </c>
    </row>
    <row r="63" spans="2:18">
      <c r="P63" t="s">
        <v>7535</v>
      </c>
      <c r="Q63">
        <v>2333.39</v>
      </c>
    </row>
    <row r="64" spans="2:18">
      <c r="P64" t="s">
        <v>7537</v>
      </c>
      <c r="Q64">
        <v>393.74</v>
      </c>
      <c r="R64" s="53"/>
    </row>
    <row r="65" spans="16:18">
      <c r="P65" t="s">
        <v>7538</v>
      </c>
      <c r="Q65">
        <v>18</v>
      </c>
    </row>
    <row r="66" spans="16:18">
      <c r="P66" t="s">
        <v>7539</v>
      </c>
      <c r="Q66">
        <f>(Q65*Q64)+Q63</f>
        <v>9420.7099999999991</v>
      </c>
      <c r="R66">
        <f>(Q66/Q77)</f>
        <v>0.55171628225130132</v>
      </c>
    </row>
    <row r="67" spans="16:18">
      <c r="P67" t="s">
        <v>7540</v>
      </c>
      <c r="Q67" s="53">
        <f>R66*Q78</f>
        <v>1793.0423790782625</v>
      </c>
    </row>
    <row r="68" spans="16:18">
      <c r="P68" t="s">
        <v>7541</v>
      </c>
      <c r="Q68">
        <f>Q67/Q65</f>
        <v>99.613465504347914</v>
      </c>
    </row>
    <row r="70" spans="16:18">
      <c r="P70" t="s">
        <v>7542</v>
      </c>
      <c r="Q70" s="69">
        <v>1994.11</v>
      </c>
    </row>
    <row r="71" spans="16:18">
      <c r="P71" t="s">
        <v>7543</v>
      </c>
      <c r="Q71">
        <v>314.47000000000003</v>
      </c>
    </row>
    <row r="72" spans="16:18">
      <c r="P72" t="s">
        <v>7538</v>
      </c>
      <c r="Q72">
        <v>18</v>
      </c>
      <c r="R72" s="53"/>
    </row>
    <row r="73" spans="16:18">
      <c r="P73" t="s">
        <v>7539</v>
      </c>
      <c r="Q73">
        <f>(Q72*Q71)+Q70</f>
        <v>7654.5700000000006</v>
      </c>
      <c r="R73">
        <f>(Q73/Q77)</f>
        <v>0.4482837177486988</v>
      </c>
    </row>
    <row r="74" spans="16:18">
      <c r="P74" t="s">
        <v>7540</v>
      </c>
      <c r="Q74" s="53">
        <f>R73*Q78</f>
        <v>1456.8932069473635</v>
      </c>
      <c r="R74" s="53"/>
    </row>
    <row r="75" spans="16:18">
      <c r="P75" t="s">
        <v>7541</v>
      </c>
      <c r="Q75" s="53">
        <f>Q74/Q72</f>
        <v>80.938511497075751</v>
      </c>
      <c r="R75" s="53"/>
    </row>
    <row r="77" spans="16:18">
      <c r="P77" t="s">
        <v>7153</v>
      </c>
      <c r="Q77" s="70">
        <f>SUM(Q73,Q66)</f>
        <v>17075.28</v>
      </c>
      <c r="R77" t="s">
        <v>7544</v>
      </c>
    </row>
    <row r="78" spans="16:18">
      <c r="P78" t="s">
        <v>7540</v>
      </c>
      <c r="Q78" s="53">
        <f>Q60-Q77</f>
        <v>3249.9355860256255</v>
      </c>
    </row>
    <row r="84" spans="2:4">
      <c r="D84" s="53">
        <f>Tax!C61</f>
        <v>19149</v>
      </c>
    </row>
    <row r="85" spans="2:4">
      <c r="B85" t="s">
        <v>7549</v>
      </c>
    </row>
    <row r="86" spans="2:4">
      <c r="B86" t="s">
        <v>7550</v>
      </c>
    </row>
    <row r="87" spans="2:4">
      <c r="B87" t="s">
        <v>64</v>
      </c>
      <c r="C87">
        <v>36131</v>
      </c>
    </row>
    <row r="88" spans="2:4">
      <c r="B88" t="s">
        <v>66</v>
      </c>
      <c r="C88" s="69">
        <v>31177.7</v>
      </c>
    </row>
    <row r="89" spans="2:4">
      <c r="C89">
        <f>SUM(C87:C88)</f>
        <v>67308.7</v>
      </c>
    </row>
    <row r="106" spans="2:3">
      <c r="B106">
        <v>2022</v>
      </c>
    </row>
    <row r="107" spans="2:3">
      <c r="B107" t="s">
        <v>64</v>
      </c>
    </row>
    <row r="108" spans="2:3">
      <c r="B108" t="s">
        <v>7551</v>
      </c>
      <c r="C108" s="69">
        <v>2583.2800000000002</v>
      </c>
    </row>
    <row r="109" spans="2:3">
      <c r="B109" t="s">
        <v>7552</v>
      </c>
      <c r="C109" s="69">
        <v>15047</v>
      </c>
    </row>
    <row r="110" spans="2:3">
      <c r="B110" t="s">
        <v>7553</v>
      </c>
      <c r="C110" s="69">
        <v>1291.6400000000001</v>
      </c>
    </row>
    <row r="111" spans="2:3">
      <c r="B111" t="s">
        <v>7538</v>
      </c>
      <c r="C111">
        <f>4*2</f>
        <v>8</v>
      </c>
    </row>
    <row r="112" spans="2:3">
      <c r="B112" t="s">
        <v>7271</v>
      </c>
      <c r="C112">
        <f>C111*C110</f>
        <v>10333.120000000001</v>
      </c>
    </row>
    <row r="113" spans="2:4">
      <c r="B113" t="s">
        <v>7153</v>
      </c>
      <c r="C113" s="69">
        <f>C112+C108+C109</f>
        <v>27963.4</v>
      </c>
    </row>
    <row r="114" spans="2:4">
      <c r="C114" s="69"/>
    </row>
    <row r="116" spans="2:4">
      <c r="B116" t="s">
        <v>66</v>
      </c>
    </row>
    <row r="117" spans="2:4">
      <c r="B117" t="s">
        <v>7554</v>
      </c>
      <c r="C117" s="69">
        <v>32170.1</v>
      </c>
      <c r="D117">
        <f>(_xlfn.DAYS("12/31/2022","8/28/2022")/7)/2</f>
        <v>8.9285714285714288</v>
      </c>
    </row>
    <row r="118" spans="2:4">
      <c r="B118" t="s">
        <v>7553</v>
      </c>
      <c r="C118" s="69">
        <v>1195.5999999999999</v>
      </c>
    </row>
    <row r="119" spans="2:4">
      <c r="B119" t="s">
        <v>7555</v>
      </c>
      <c r="C119">
        <f>C118*D117</f>
        <v>10675</v>
      </c>
    </row>
    <row r="120" spans="2:4">
      <c r="B120" t="s">
        <v>7153</v>
      </c>
      <c r="C120" s="69">
        <f>SUM(C119,C117)</f>
        <v>42845.1</v>
      </c>
    </row>
    <row r="122" spans="2:4">
      <c r="B122" t="s">
        <v>7287</v>
      </c>
      <c r="C122" s="69">
        <f>SUM(C113,C120)</f>
        <v>70808.5</v>
      </c>
    </row>
    <row r="127" spans="2:4">
      <c r="B127" t="s">
        <v>7556</v>
      </c>
    </row>
    <row r="129" spans="2:2">
      <c r="B129" t="s">
        <v>7557</v>
      </c>
    </row>
    <row r="152" spans="2:12">
      <c r="C152" t="s">
        <v>66</v>
      </c>
      <c r="D152" t="s">
        <v>64</v>
      </c>
      <c r="E152" t="s">
        <v>7153</v>
      </c>
      <c r="H152" s="16" t="s">
        <v>7558</v>
      </c>
      <c r="K152" s="16" t="s">
        <v>7559</v>
      </c>
    </row>
    <row r="153" spans="2:12">
      <c r="B153" t="s">
        <v>7560</v>
      </c>
      <c r="C153" s="69">
        <v>183226.86</v>
      </c>
      <c r="D153" s="69">
        <v>186652.52</v>
      </c>
      <c r="E153" s="46">
        <f>SUM(C153:D153)</f>
        <v>369879.38</v>
      </c>
      <c r="H153" t="s">
        <v>7547</v>
      </c>
      <c r="I153" s="46">
        <v>61205</v>
      </c>
      <c r="K153" t="s">
        <v>7561</v>
      </c>
      <c r="L153" s="46">
        <f>E157</f>
        <v>19148.080000000002</v>
      </c>
    </row>
    <row r="154" spans="2:12">
      <c r="B154" t="s">
        <v>7562</v>
      </c>
      <c r="C154" s="46">
        <v>31177.72</v>
      </c>
      <c r="D154" s="69">
        <v>36131.300000000003</v>
      </c>
      <c r="E154" s="46">
        <f t="shared" ref="E154:E157" si="0">SUM(C154:D154)</f>
        <v>67309.02</v>
      </c>
      <c r="H154" t="s">
        <v>7561</v>
      </c>
      <c r="I154" s="46">
        <f>E154</f>
        <v>67309.02</v>
      </c>
      <c r="K154" t="s">
        <v>7192</v>
      </c>
      <c r="L154">
        <v>20626</v>
      </c>
    </row>
    <row r="155" spans="2:12">
      <c r="B155" t="s">
        <v>7520</v>
      </c>
      <c r="C155" s="46">
        <v>10632.47</v>
      </c>
      <c r="D155" s="69">
        <v>8853.6</v>
      </c>
      <c r="E155" s="46">
        <f t="shared" si="0"/>
        <v>19486.07</v>
      </c>
      <c r="H155" t="s">
        <v>7563</v>
      </c>
      <c r="I155" s="46">
        <v>4979</v>
      </c>
      <c r="K155" t="s">
        <v>7564</v>
      </c>
      <c r="L155" s="46">
        <f>L153-L154</f>
        <v>-1477.9199999999983</v>
      </c>
    </row>
    <row r="156" spans="2:12">
      <c r="B156" t="s">
        <v>7254</v>
      </c>
      <c r="C156" s="46">
        <v>2486</v>
      </c>
      <c r="D156" s="69">
        <v>2633.96</v>
      </c>
      <c r="E156" s="46">
        <f t="shared" si="0"/>
        <v>5119.96</v>
      </c>
      <c r="H156" t="s">
        <v>7565</v>
      </c>
      <c r="I156" s="46">
        <v>2000</v>
      </c>
    </row>
    <row r="157" spans="2:12">
      <c r="B157" t="s">
        <v>7566</v>
      </c>
      <c r="C157" s="46">
        <v>8736</v>
      </c>
      <c r="D157" s="69">
        <v>10412.08</v>
      </c>
      <c r="E157" s="46">
        <f t="shared" si="0"/>
        <v>19148.080000000002</v>
      </c>
      <c r="H157" t="s">
        <v>7567</v>
      </c>
      <c r="I157" s="46">
        <f>SUM(I154:I156)</f>
        <v>74288.02</v>
      </c>
    </row>
    <row r="158" spans="2:12">
      <c r="E158" s="46"/>
      <c r="H158" t="s">
        <v>7564</v>
      </c>
      <c r="I158" s="46">
        <f>I157-I153</f>
        <v>13083.020000000004</v>
      </c>
    </row>
    <row r="159" spans="2:12">
      <c r="B159" t="s">
        <v>7568</v>
      </c>
      <c r="C159" s="46">
        <f>SUM(I153,E155,E156,L154)</f>
        <v>106437.03000000001</v>
      </c>
    </row>
    <row r="160" spans="2:12">
      <c r="B160" t="s">
        <v>7569</v>
      </c>
      <c r="C160" s="80">
        <f>C159/E153</f>
        <v>0.28776145888424493</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5DD0-1088-4A9A-968D-87774A49CE57}">
  <dimension ref="B2:B7"/>
  <sheetViews>
    <sheetView topLeftCell="A10" workbookViewId="0">
      <selection activeCell="G30" sqref="G30"/>
    </sheetView>
  </sheetViews>
  <sheetFormatPr defaultRowHeight="15"/>
  <sheetData>
    <row r="2" spans="2:2">
      <c r="B2" s="79" t="s">
        <v>7570</v>
      </c>
    </row>
    <row r="3" spans="2:2">
      <c r="B3" s="79" t="s">
        <v>7571</v>
      </c>
    </row>
    <row r="4" spans="2:2">
      <c r="B4" s="79" t="s">
        <v>7572</v>
      </c>
    </row>
    <row r="5" spans="2:2">
      <c r="B5" s="79" t="s">
        <v>7573</v>
      </c>
    </row>
    <row r="6" spans="2:2">
      <c r="B6" s="79" t="s">
        <v>7574</v>
      </c>
    </row>
    <row r="7" spans="2:2">
      <c r="B7" s="79" t="s">
        <v>7575</v>
      </c>
    </row>
  </sheetData>
  <hyperlinks>
    <hyperlink ref="B2" r:id="rId1" xr:uid="{BC9E95A3-865F-4F84-A8B1-28B862BCE669}"/>
    <hyperlink ref="B3" r:id="rId2" xr:uid="{49798D41-C774-4D46-8841-C07E4261049D}"/>
    <hyperlink ref="B4" r:id="rId3" xr:uid="{E10F822A-493C-4D5E-992C-0E3A27EAB3AE}"/>
    <hyperlink ref="B5" r:id="rId4" xr:uid="{53DFB9B6-2AB4-406A-9F3E-5251890A4559}"/>
    <hyperlink ref="B6" r:id="rId5" xr:uid="{F8A61DA8-F33C-443E-BE14-DBB422335B8E}"/>
    <hyperlink ref="B7" r:id="rId6" xr:uid="{D4CD81A6-6128-486F-81F1-FAB8B268483D}"/>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AB0D8-E510-4B49-9D20-35017DACFAE2}">
  <sheetPr>
    <tabColor rgb="FF264478"/>
    <pageSetUpPr fitToPage="1"/>
  </sheetPr>
  <dimension ref="C3:K99"/>
  <sheetViews>
    <sheetView topLeftCell="A6" workbookViewId="0">
      <selection activeCell="A61" sqref="A61"/>
    </sheetView>
  </sheetViews>
  <sheetFormatPr defaultRowHeight="15"/>
  <cols>
    <col min="2" max="2" width="2.7109375" customWidth="1"/>
    <col min="3" max="3" width="34.7109375" customWidth="1"/>
    <col min="4" max="4" width="11.85546875" bestFit="1" customWidth="1"/>
    <col min="5" max="5" width="10.85546875" bestFit="1" customWidth="1"/>
    <col min="6" max="6" width="34.7109375" customWidth="1"/>
    <col min="7" max="7" width="12" bestFit="1" customWidth="1"/>
    <col min="9" max="9" width="34.7109375" customWidth="1"/>
    <col min="10" max="10" width="10.85546875" bestFit="1" customWidth="1"/>
    <col min="12" max="12" width="1.85546875" customWidth="1"/>
    <col min="14" max="14" width="51.140625" customWidth="1"/>
    <col min="15" max="26" width="11.28515625" customWidth="1"/>
    <col min="27" max="27" width="11.85546875" bestFit="1" customWidth="1"/>
  </cols>
  <sheetData>
    <row r="3" spans="3:11" ht="23.25">
      <c r="C3" s="29" t="s">
        <v>7576</v>
      </c>
      <c r="F3" s="29"/>
      <c r="I3" s="29"/>
    </row>
    <row r="4" spans="3:11" ht="15" customHeight="1">
      <c r="C4" s="31"/>
      <c r="D4" s="31"/>
      <c r="E4" s="31"/>
      <c r="F4" s="31"/>
      <c r="G4" s="31"/>
      <c r="H4" s="31"/>
      <c r="I4" s="31"/>
      <c r="J4" s="31"/>
      <c r="K4" s="31"/>
    </row>
    <row r="5" spans="3:11" ht="3" customHeight="1">
      <c r="C5" s="22"/>
      <c r="D5" s="22"/>
      <c r="E5" s="22"/>
      <c r="F5" s="22"/>
      <c r="G5" s="22"/>
      <c r="H5" s="22"/>
      <c r="I5" s="22"/>
      <c r="J5" s="22"/>
      <c r="K5" s="22"/>
    </row>
    <row r="7" spans="3:11">
      <c r="F7" s="16"/>
      <c r="I7" s="16"/>
    </row>
    <row r="8" spans="3:11">
      <c r="C8" t="s">
        <v>7577</v>
      </c>
      <c r="D8" s="45">
        <f>SUM('Main Assumptions'!E25,'Main Assumptions'!E38)</f>
        <v>395804</v>
      </c>
      <c r="F8" s="16" t="s">
        <v>7578</v>
      </c>
    </row>
    <row r="9" spans="3:11" ht="15.75" customHeight="1">
      <c r="C9" s="42"/>
      <c r="D9" s="42"/>
      <c r="F9" t="s">
        <v>7512</v>
      </c>
      <c r="G9" s="26">
        <f>'Main Assumptions'!E36</f>
        <v>154304</v>
      </c>
    </row>
    <row r="10" spans="3:11">
      <c r="C10" t="s">
        <v>7579</v>
      </c>
      <c r="D10" s="44">
        <f>D19/D8</f>
        <v>0.2777228123010379</v>
      </c>
      <c r="F10" t="s">
        <v>7580</v>
      </c>
      <c r="G10" s="26">
        <f>'Main Assumptions'!E37</f>
        <v>22500</v>
      </c>
      <c r="I10" s="16"/>
    </row>
    <row r="11" spans="3:11">
      <c r="C11" t="s">
        <v>7581</v>
      </c>
      <c r="D11" s="44">
        <v>0.28000000000000003</v>
      </c>
      <c r="F11" t="s">
        <v>7582</v>
      </c>
      <c r="G11" s="26">
        <f>'Main Assumptions'!E22</f>
        <v>150000</v>
      </c>
    </row>
    <row r="12" spans="3:11">
      <c r="F12" t="s">
        <v>7583</v>
      </c>
      <c r="G12" s="26">
        <f>SUM('Main Assumptions'!E23:E24)</f>
        <v>69000</v>
      </c>
    </row>
    <row r="13" spans="3:11">
      <c r="C13" t="s">
        <v>7584</v>
      </c>
      <c r="D13" s="45">
        <f>D8*(1-SUM(D10:D11))</f>
        <v>175055.08</v>
      </c>
    </row>
    <row r="14" spans="3:11">
      <c r="C14" t="s">
        <v>7585</v>
      </c>
      <c r="D14" s="45">
        <f>'Proj 9.22'!P46</f>
        <v>429058.41000000003</v>
      </c>
      <c r="F14" s="16" t="s">
        <v>7586</v>
      </c>
    </row>
    <row r="15" spans="3:11">
      <c r="C15" s="47" t="s">
        <v>7587</v>
      </c>
      <c r="D15" s="48">
        <f>D13-D14</f>
        <v>-254003.33000000005</v>
      </c>
      <c r="F15" t="s">
        <v>7588</v>
      </c>
      <c r="G15" s="45">
        <v>186652</v>
      </c>
    </row>
    <row r="16" spans="3:11">
      <c r="C16" s="49" t="str">
        <f>IF(D15&lt;0,"Issue: Need to adjust budget downward","Good: Can add more to budget")</f>
        <v>Issue: Need to adjust budget downward</v>
      </c>
      <c r="D16" s="45"/>
      <c r="F16" t="s">
        <v>7589</v>
      </c>
      <c r="G16" s="45">
        <v>171491</v>
      </c>
    </row>
    <row r="17" spans="3:9" ht="15.75">
      <c r="D17" s="43"/>
      <c r="F17" t="s">
        <v>7590</v>
      </c>
      <c r="G17" s="45">
        <f>SUM(G15:G16)</f>
        <v>358143</v>
      </c>
    </row>
    <row r="18" spans="3:9">
      <c r="C18" t="s">
        <v>7591</v>
      </c>
      <c r="D18" s="45">
        <f>D10*D8</f>
        <v>109923.8</v>
      </c>
      <c r="F18" t="s">
        <v>7592</v>
      </c>
      <c r="G18" s="45">
        <f>Tax!C29</f>
        <v>61205</v>
      </c>
    </row>
    <row r="19" spans="3:9">
      <c r="C19" s="14" t="s">
        <v>7593</v>
      </c>
      <c r="D19" s="50">
        <f>SUM(D34:D37,G34:G42)</f>
        <v>109923.8</v>
      </c>
      <c r="F19" t="s">
        <v>7594</v>
      </c>
      <c r="G19" s="72">
        <f>G18/G17</f>
        <v>0.17089542445336081</v>
      </c>
    </row>
    <row r="20" spans="3:9">
      <c r="C20" t="s">
        <v>7587</v>
      </c>
      <c r="D20" s="45">
        <f>D18-D19</f>
        <v>0</v>
      </c>
      <c r="F20" t="s">
        <v>7595</v>
      </c>
      <c r="G20" s="45">
        <f>Tax!C60</f>
        <v>21467</v>
      </c>
    </row>
    <row r="21" spans="3:9">
      <c r="C21" s="49" t="str">
        <f>IF(D20&lt;0,"Issue: Saving too much","Need to increase savings amounts")</f>
        <v>Need to increase savings amounts</v>
      </c>
      <c r="D21" s="45"/>
      <c r="F21" t="s">
        <v>7596</v>
      </c>
      <c r="G21" s="72">
        <f>G20/G17</f>
        <v>5.9939744738833373E-2</v>
      </c>
    </row>
    <row r="22" spans="3:9" ht="15.75">
      <c r="D22" s="42"/>
      <c r="F22" t="s">
        <v>7597</v>
      </c>
      <c r="G22" s="72">
        <v>0.04</v>
      </c>
    </row>
    <row r="23" spans="3:9">
      <c r="C23" t="s">
        <v>7598</v>
      </c>
      <c r="D23" s="45">
        <f>D11*D8</f>
        <v>110825.12000000001</v>
      </c>
      <c r="F23" t="s">
        <v>7599</v>
      </c>
      <c r="G23" s="72">
        <v>8.9999999999999993E-3</v>
      </c>
    </row>
    <row r="24" spans="3:9">
      <c r="C24" s="14" t="s">
        <v>7600</v>
      </c>
      <c r="D24" s="50">
        <f>SUM(J34:J38)</f>
        <v>93235.199999999997</v>
      </c>
      <c r="F24" t="s">
        <v>7601</v>
      </c>
      <c r="G24" s="72">
        <f>G23+G22+G21+G19</f>
        <v>0.2798351691921942</v>
      </c>
    </row>
    <row r="25" spans="3:9">
      <c r="C25" t="s">
        <v>7587</v>
      </c>
      <c r="D25" s="45">
        <f>D23-D24</f>
        <v>17589.920000000013</v>
      </c>
    </row>
    <row r="26" spans="3:9" ht="15.75">
      <c r="C26" s="49" t="str">
        <f>IF(D25&lt;0,"Good: May have too much withholding","Issue: Not enough withholding")</f>
        <v>Issue: Not enough withholding</v>
      </c>
      <c r="D26" s="51"/>
    </row>
    <row r="27" spans="3:9" ht="15.75">
      <c r="D27" s="51"/>
    </row>
    <row r="30" spans="3:9" ht="21">
      <c r="C30" s="177" t="s">
        <v>7602</v>
      </c>
      <c r="D30" s="177"/>
      <c r="F30" s="171" t="s">
        <v>2538</v>
      </c>
      <c r="I30" s="171" t="s">
        <v>7603</v>
      </c>
    </row>
    <row r="31" spans="3:9" ht="18.75">
      <c r="C31" s="178">
        <f>SUM(D34:D37)</f>
        <v>53006</v>
      </c>
      <c r="D31" s="178"/>
      <c r="F31" s="172">
        <f>SUM(G34:G42)</f>
        <v>56917.8</v>
      </c>
      <c r="I31" s="172">
        <f>SUM(J34:J38)</f>
        <v>93235.199999999997</v>
      </c>
    </row>
    <row r="33" spans="3:10">
      <c r="C33" s="52" t="s">
        <v>7604</v>
      </c>
      <c r="D33" s="52" t="s">
        <v>7323</v>
      </c>
      <c r="F33" s="52" t="s">
        <v>7604</v>
      </c>
      <c r="G33" s="52" t="s">
        <v>7323</v>
      </c>
      <c r="I33" s="52" t="s">
        <v>7604</v>
      </c>
      <c r="J33" s="52" t="s">
        <v>7323</v>
      </c>
    </row>
    <row r="34" spans="3:10">
      <c r="C34" t="s">
        <v>7223</v>
      </c>
      <c r="D34" s="45">
        <f>'Main Assumptions'!D68</f>
        <v>20500</v>
      </c>
      <c r="F34" t="s">
        <v>7225</v>
      </c>
      <c r="G34" s="45">
        <f>'Main Assumptions'!D75</f>
        <v>5200</v>
      </c>
      <c r="I34" t="s">
        <v>7605</v>
      </c>
      <c r="J34" s="45">
        <f>SUM('Main Assumptions'!E26,'Main Assumptions'!E39)</f>
        <v>51173.279999999999</v>
      </c>
    </row>
    <row r="35" spans="3:10">
      <c r="C35" t="s">
        <v>7224</v>
      </c>
      <c r="D35" s="45">
        <f>'Main Assumptions'!D69</f>
        <v>6005.9999999999991</v>
      </c>
      <c r="F35" t="s">
        <v>7228</v>
      </c>
      <c r="G35" s="45">
        <f>'Main Assumptions'!D76</f>
        <v>6000</v>
      </c>
      <c r="I35" t="s">
        <v>7253</v>
      </c>
      <c r="J35" s="45">
        <f>SUM('Main Assumptions'!E27,'Main Assumptions'!E40)</f>
        <v>17423.620000000003</v>
      </c>
    </row>
    <row r="36" spans="3:10">
      <c r="C36" t="s">
        <v>7226</v>
      </c>
      <c r="D36" s="45">
        <f>'Main Assumptions'!D70</f>
        <v>20500</v>
      </c>
      <c r="F36" t="s">
        <v>7231</v>
      </c>
      <c r="G36" s="45">
        <f>'Main Assumptions'!D77</f>
        <v>1200</v>
      </c>
      <c r="I36" t="s">
        <v>7254</v>
      </c>
      <c r="J36" s="45">
        <f>SUM('Main Assumptions'!E28,'Main Assumptions'!E41)</f>
        <v>4074.8599999999997</v>
      </c>
    </row>
    <row r="37" spans="3:10">
      <c r="C37" t="s">
        <v>7227</v>
      </c>
      <c r="D37" s="45">
        <f>'Main Assumptions'!D71</f>
        <v>6000</v>
      </c>
      <c r="F37" t="s">
        <v>7229</v>
      </c>
      <c r="G37" s="45">
        <f>'Main Assumptions'!D78</f>
        <v>2400</v>
      </c>
      <c r="I37" t="s">
        <v>7606</v>
      </c>
      <c r="J37" s="45">
        <f>SUM('Main Assumptions'!E29,'Main Assumptions'!E42)</f>
        <v>14563.439999999999</v>
      </c>
    </row>
    <row r="38" spans="3:10">
      <c r="F38" t="s">
        <v>7230</v>
      </c>
      <c r="G38" s="45">
        <f>'Main Assumptions'!D79</f>
        <v>3000</v>
      </c>
      <c r="I38" t="s">
        <v>7607</v>
      </c>
      <c r="J38" s="45">
        <v>6000</v>
      </c>
    </row>
    <row r="39" spans="3:10">
      <c r="F39" t="s">
        <v>7232</v>
      </c>
      <c r="G39" s="45">
        <f>'Main Assumptions'!D80</f>
        <v>13945.800000000001</v>
      </c>
    </row>
    <row r="40" spans="3:10">
      <c r="F40" t="s">
        <v>7233</v>
      </c>
      <c r="G40" s="45">
        <f>'Main Assumptions'!D81</f>
        <v>5172</v>
      </c>
    </row>
    <row r="41" spans="3:10">
      <c r="F41" t="s">
        <v>7234</v>
      </c>
      <c r="G41" s="45">
        <f>'Main Assumptions'!D82</f>
        <v>10000</v>
      </c>
    </row>
    <row r="42" spans="3:10" ht="15.75" customHeight="1">
      <c r="F42" t="s">
        <v>2258</v>
      </c>
      <c r="G42" s="45">
        <v>10000</v>
      </c>
    </row>
    <row r="43" spans="3:10" ht="15.75" customHeight="1"/>
    <row r="44" spans="3:10" ht="15.75" customHeight="1"/>
    <row r="45" spans="3:10" ht="15.75" customHeight="1">
      <c r="C45" s="177" t="s">
        <v>7125</v>
      </c>
      <c r="D45" s="177"/>
      <c r="F45" s="177" t="s">
        <v>7608</v>
      </c>
      <c r="G45" s="177"/>
    </row>
    <row r="46" spans="3:10" ht="15.75" customHeight="1">
      <c r="C46" s="178"/>
      <c r="D46" s="178"/>
    </row>
    <row r="47" spans="3:10" ht="15.75" customHeight="1">
      <c r="C47" s="52" t="s">
        <v>7604</v>
      </c>
      <c r="D47" s="52" t="s">
        <v>7323</v>
      </c>
      <c r="F47" s="52" t="s">
        <v>7604</v>
      </c>
      <c r="G47" s="52"/>
    </row>
    <row r="48" spans="3:10" ht="15.75" customHeight="1">
      <c r="C48" t="s">
        <v>7609</v>
      </c>
      <c r="D48" s="45">
        <f>'Proj 6.22'!P46</f>
        <v>427047.3833333333</v>
      </c>
      <c r="F48" t="s">
        <v>7610</v>
      </c>
      <c r="G48" s="45">
        <f>D8*(1-D11)</f>
        <v>284978.88</v>
      </c>
    </row>
    <row r="49" spans="3:11" ht="15.75" customHeight="1">
      <c r="C49" t="s">
        <v>7611</v>
      </c>
      <c r="D49" s="45"/>
      <c r="F49" t="s">
        <v>7612</v>
      </c>
      <c r="G49" s="45">
        <f>G48*0.5</f>
        <v>142489.44</v>
      </c>
    </row>
    <row r="50" spans="3:11" ht="15.75" customHeight="1">
      <c r="C50" t="s">
        <v>7613</v>
      </c>
      <c r="D50" s="45"/>
      <c r="F50" t="s">
        <v>7614</v>
      </c>
      <c r="G50" s="45">
        <f>G48*0.3</f>
        <v>85493.664000000004</v>
      </c>
    </row>
    <row r="51" spans="3:11" ht="15.75" customHeight="1">
      <c r="C51" t="s">
        <v>7615</v>
      </c>
      <c r="D51" s="45">
        <f>D48</f>
        <v>427047.3833333333</v>
      </c>
      <c r="F51" t="s">
        <v>7616</v>
      </c>
      <c r="G51" s="45">
        <f>G48*0.2</f>
        <v>56995.776000000005</v>
      </c>
    </row>
    <row r="52" spans="3:11" ht="15.75" customHeight="1">
      <c r="C52" s="47" t="s">
        <v>7153</v>
      </c>
      <c r="D52" s="48">
        <f>SUM(D50:D51)</f>
        <v>427047.3833333333</v>
      </c>
    </row>
    <row r="53" spans="3:11" ht="15.75" customHeight="1">
      <c r="F53" t="s">
        <v>7617</v>
      </c>
      <c r="G53" s="45">
        <f>D14</f>
        <v>429058.41000000003</v>
      </c>
    </row>
    <row r="54" spans="3:11" ht="15.75" customHeight="1">
      <c r="F54" t="s">
        <v>7587</v>
      </c>
      <c r="G54" s="45">
        <f>SUM(G49:G50)-G53</f>
        <v>-201075.30600000004</v>
      </c>
    </row>
    <row r="55" spans="3:11" ht="15.75" customHeight="1"/>
    <row r="56" spans="3:11" ht="15.75" customHeight="1">
      <c r="F56" t="s">
        <v>7593</v>
      </c>
      <c r="G56" s="45">
        <f>D19</f>
        <v>109923.8</v>
      </c>
    </row>
    <row r="57" spans="3:11" ht="15.75" customHeight="1">
      <c r="F57" t="s">
        <v>7587</v>
      </c>
      <c r="G57" s="45">
        <f>G56-G51</f>
        <v>52928.023999999998</v>
      </c>
    </row>
    <row r="58" spans="3:11">
      <c r="F58" s="53"/>
    </row>
    <row r="61" spans="3:11" ht="21">
      <c r="C61" s="173" t="s">
        <v>7142</v>
      </c>
      <c r="D61" s="173"/>
      <c r="F61" s="174"/>
      <c r="G61" s="174"/>
    </row>
    <row r="62" spans="3:11" ht="2.1" customHeight="1">
      <c r="C62" s="22"/>
      <c r="D62" s="22"/>
      <c r="E62" s="22"/>
      <c r="F62" s="22"/>
      <c r="G62" s="22"/>
      <c r="H62" s="22"/>
      <c r="I62" s="22"/>
      <c r="J62" s="22"/>
      <c r="K62" s="22"/>
    </row>
    <row r="64" spans="3:11">
      <c r="C64" s="16" t="s">
        <v>7143</v>
      </c>
    </row>
    <row r="65" spans="3:4">
      <c r="C65" t="s">
        <v>7146</v>
      </c>
      <c r="D65" s="45">
        <v>316285</v>
      </c>
    </row>
    <row r="66" spans="3:4">
      <c r="C66" t="s">
        <v>7618</v>
      </c>
      <c r="D66" s="45">
        <v>247215.8</v>
      </c>
    </row>
    <row r="67" spans="3:4">
      <c r="C67" t="s">
        <v>7148</v>
      </c>
      <c r="D67" s="45">
        <v>215744.73</v>
      </c>
    </row>
    <row r="68" spans="3:4">
      <c r="C68" t="s">
        <v>7150</v>
      </c>
      <c r="D68" s="45">
        <v>54774.16</v>
      </c>
    </row>
    <row r="69" spans="3:4">
      <c r="C69" t="s">
        <v>7619</v>
      </c>
      <c r="D69" s="45">
        <v>16584.8</v>
      </c>
    </row>
    <row r="70" spans="3:4">
      <c r="C70" t="s">
        <v>2258</v>
      </c>
      <c r="D70" s="45">
        <v>27239.87</v>
      </c>
    </row>
    <row r="71" spans="3:4">
      <c r="C71" t="s">
        <v>3996</v>
      </c>
      <c r="D71" s="45">
        <f>221*90.12</f>
        <v>19916.52</v>
      </c>
    </row>
    <row r="72" spans="3:4">
      <c r="C72" t="s">
        <v>50</v>
      </c>
      <c r="D72" s="45">
        <f>677700*0.94</f>
        <v>637038</v>
      </c>
    </row>
    <row r="73" spans="3:4">
      <c r="C73" t="s">
        <v>7152</v>
      </c>
      <c r="D73" s="45">
        <v>20996</v>
      </c>
    </row>
    <row r="74" spans="3:4">
      <c r="C74" t="s">
        <v>301</v>
      </c>
      <c r="D74" s="45">
        <v>5800</v>
      </c>
    </row>
    <row r="75" spans="3:4">
      <c r="C75" s="54" t="s">
        <v>7153</v>
      </c>
      <c r="D75" s="55">
        <f>SUM(D65:D74)</f>
        <v>1561594.8800000001</v>
      </c>
    </row>
    <row r="77" spans="3:4">
      <c r="C77" s="16" t="s">
        <v>7154</v>
      </c>
    </row>
    <row r="78" spans="3:4">
      <c r="C78" t="s">
        <v>50</v>
      </c>
      <c r="D78" s="45">
        <v>389884.29</v>
      </c>
    </row>
    <row r="79" spans="3:4">
      <c r="C79" t="s">
        <v>7152</v>
      </c>
      <c r="D79" s="45">
        <v>7937.85</v>
      </c>
    </row>
    <row r="80" spans="3:4">
      <c r="C80" s="54" t="s">
        <v>7153</v>
      </c>
      <c r="D80" s="55">
        <f>SUM(D78:D79)</f>
        <v>397822.13999999996</v>
      </c>
    </row>
    <row r="82" spans="3:7">
      <c r="C82" s="16" t="s">
        <v>7156</v>
      </c>
      <c r="D82" s="45"/>
    </row>
    <row r="83" spans="3:7">
      <c r="C83" t="s">
        <v>50</v>
      </c>
      <c r="D83" s="45">
        <f>D72-D78</f>
        <v>247153.71000000002</v>
      </c>
    </row>
    <row r="84" spans="3:7">
      <c r="C84" t="s">
        <v>7159</v>
      </c>
      <c r="D84" s="45">
        <f>SUM(D73:D74)-SUM(D79)</f>
        <v>18858.150000000001</v>
      </c>
    </row>
    <row r="85" spans="3:7">
      <c r="C85" t="s">
        <v>7160</v>
      </c>
      <c r="D85" s="45">
        <f>SUM(D66:D67)</f>
        <v>462960.53</v>
      </c>
    </row>
    <row r="86" spans="3:7">
      <c r="C86" t="s">
        <v>7161</v>
      </c>
      <c r="D86" s="45">
        <f>SUM(D65,D71)</f>
        <v>336201.52</v>
      </c>
    </row>
    <row r="87" spans="3:7">
      <c r="C87" t="s">
        <v>59</v>
      </c>
      <c r="D87" s="45">
        <f>SUM(D70,D69)</f>
        <v>43824.67</v>
      </c>
    </row>
    <row r="88" spans="3:7">
      <c r="C88" t="s">
        <v>7162</v>
      </c>
      <c r="D88" s="45">
        <f>D68</f>
        <v>54774.16</v>
      </c>
    </row>
    <row r="90" spans="3:7">
      <c r="C90" s="54" t="s">
        <v>7163</v>
      </c>
      <c r="D90" s="55">
        <f>SUM(D83:D88)</f>
        <v>1163772.74</v>
      </c>
    </row>
    <row r="91" spans="3:7" ht="18.75">
      <c r="F91" s="174"/>
      <c r="G91" s="174"/>
    </row>
    <row r="92" spans="3:7" ht="21">
      <c r="C92" s="173" t="s">
        <v>7163</v>
      </c>
      <c r="D92" s="173"/>
      <c r="E92" s="6"/>
    </row>
    <row r="93" spans="3:7">
      <c r="C93" t="s">
        <v>7620</v>
      </c>
    </row>
    <row r="94" spans="3:7">
      <c r="C94" t="s">
        <v>7364</v>
      </c>
      <c r="D94">
        <f ca="1">(YEAR(NOW())-YEAR("2/25/1987"))</f>
        <v>39</v>
      </c>
    </row>
    <row r="95" spans="3:7">
      <c r="C95" t="s">
        <v>66</v>
      </c>
      <c r="D95">
        <f ca="1">(YEAR(NOW())-YEAR("10/24/1988"))</f>
        <v>38</v>
      </c>
    </row>
    <row r="96" spans="3:7">
      <c r="C96" t="s">
        <v>7621</v>
      </c>
      <c r="D96">
        <f ca="1">SUM(D94:D95)/2</f>
        <v>38.5</v>
      </c>
    </row>
    <row r="97" spans="3:4">
      <c r="C97" t="s">
        <v>7622</v>
      </c>
      <c r="D97" s="45">
        <f>D8</f>
        <v>395804</v>
      </c>
    </row>
    <row r="98" spans="3:4">
      <c r="C98" t="s">
        <v>7623</v>
      </c>
      <c r="D98" s="45">
        <f ca="1">D96*(D97/10)</f>
        <v>1523845.4000000001</v>
      </c>
    </row>
    <row r="99" spans="3:4">
      <c r="C99" t="s">
        <v>7624</v>
      </c>
      <c r="D99" s="45">
        <f>D90</f>
        <v>1163772.74</v>
      </c>
    </row>
  </sheetData>
  <mergeCells count="9">
    <mergeCell ref="C92:D92"/>
    <mergeCell ref="F91:G91"/>
    <mergeCell ref="C30:D30"/>
    <mergeCell ref="C31:D31"/>
    <mergeCell ref="C61:D61"/>
    <mergeCell ref="F61:G61"/>
    <mergeCell ref="C45:D45"/>
    <mergeCell ref="F45:G45"/>
    <mergeCell ref="C46:D46"/>
  </mergeCells>
  <pageMargins left="0.25" right="0.25" top="0.75" bottom="0.75" header="0.3" footer="0.3"/>
  <pageSetup fitToHeight="0" orientation="portrait"/>
  <rowBreaks count="1" manualBreakCount="1">
    <brk id="59" max="16383" man="1"/>
  </rowBreak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1965-9F8F-48DB-8896-8B3B40FC9278}">
  <dimension ref="B2:K133"/>
  <sheetViews>
    <sheetView topLeftCell="A66" workbookViewId="0">
      <selection activeCell="B78" sqref="B78"/>
    </sheetView>
  </sheetViews>
  <sheetFormatPr defaultRowHeight="15"/>
  <cols>
    <col min="2" max="2" width="22.85546875" customWidth="1"/>
    <col min="3" max="4" width="10.5703125" bestFit="1" customWidth="1"/>
    <col min="5" max="5" width="10.85546875" customWidth="1"/>
    <col min="6" max="6" width="11.140625" bestFit="1" customWidth="1"/>
    <col min="10" max="10" width="11.5703125" bestFit="1" customWidth="1"/>
    <col min="11" max="11" width="9.5703125" bestFit="1" customWidth="1"/>
  </cols>
  <sheetData>
    <row r="2" spans="2:6">
      <c r="B2" t="s">
        <v>7625</v>
      </c>
      <c r="C2" s="56">
        <f>757*12</f>
        <v>9084</v>
      </c>
    </row>
    <row r="3" spans="2:6">
      <c r="B3" t="s">
        <v>7626</v>
      </c>
      <c r="C3" s="56">
        <f>431*12</f>
        <v>5172</v>
      </c>
    </row>
    <row r="6" spans="2:6">
      <c r="C6" t="s">
        <v>7627</v>
      </c>
      <c r="D6" t="s">
        <v>7628</v>
      </c>
      <c r="E6" t="s">
        <v>7629</v>
      </c>
    </row>
    <row r="8" spans="2:6">
      <c r="B8" t="s">
        <v>7223</v>
      </c>
      <c r="C8" s="56">
        <f>20500/26</f>
        <v>788.46153846153845</v>
      </c>
      <c r="D8" s="46">
        <f>C8*(26/12)</f>
        <v>1708.3333333333333</v>
      </c>
      <c r="E8" s="46">
        <f>MIN(D8*12,20500)</f>
        <v>20500</v>
      </c>
      <c r="F8" s="57"/>
    </row>
    <row r="9" spans="2:6">
      <c r="B9" t="s">
        <v>7224</v>
      </c>
      <c r="C9" s="56">
        <v>231</v>
      </c>
      <c r="D9" s="46">
        <f>C9*(26/12)</f>
        <v>500.49999999999994</v>
      </c>
      <c r="E9" s="46">
        <f t="shared" ref="E9:E18" si="0">D9*12</f>
        <v>6005.9999999999991</v>
      </c>
      <c r="F9" s="57"/>
    </row>
    <row r="10" spans="2:6">
      <c r="B10" t="s">
        <v>7225</v>
      </c>
      <c r="C10" s="56">
        <v>200</v>
      </c>
      <c r="D10" s="46">
        <f>C10*(26/12)</f>
        <v>433.33333333333331</v>
      </c>
      <c r="E10" s="46">
        <f t="shared" si="0"/>
        <v>5200</v>
      </c>
      <c r="F10" s="57"/>
    </row>
    <row r="11" spans="2:6">
      <c r="B11" t="s">
        <v>7226</v>
      </c>
      <c r="C11" s="56">
        <f>20500/24</f>
        <v>854.16666666666663</v>
      </c>
      <c r="D11" s="46">
        <f>C11*2</f>
        <v>1708.3333333333333</v>
      </c>
      <c r="E11" s="46">
        <f t="shared" si="0"/>
        <v>20500</v>
      </c>
      <c r="F11" s="57">
        <f>E11/$E$36</f>
        <v>0.13285462463708006</v>
      </c>
    </row>
    <row r="12" spans="2:6">
      <c r="B12" t="s">
        <v>7227</v>
      </c>
      <c r="C12" s="56">
        <v>250</v>
      </c>
      <c r="D12" s="46">
        <f>C12*2</f>
        <v>500</v>
      </c>
      <c r="E12" s="46">
        <f t="shared" si="0"/>
        <v>6000</v>
      </c>
      <c r="F12" s="57">
        <f>E12/$E$36</f>
        <v>3.8884280381584403E-2</v>
      </c>
    </row>
    <row r="13" spans="2:6">
      <c r="B13" t="s">
        <v>7228</v>
      </c>
      <c r="C13" s="56">
        <v>250</v>
      </c>
      <c r="D13" s="46">
        <f>C13*2</f>
        <v>500</v>
      </c>
      <c r="E13" s="46">
        <f t="shared" si="0"/>
        <v>6000</v>
      </c>
      <c r="F13" s="57">
        <f>E13/$E$36</f>
        <v>3.8884280381584403E-2</v>
      </c>
    </row>
    <row r="14" spans="2:6">
      <c r="B14" t="s">
        <v>7630</v>
      </c>
      <c r="D14" s="56">
        <v>431</v>
      </c>
      <c r="E14" s="46">
        <f t="shared" si="0"/>
        <v>5172</v>
      </c>
      <c r="F14" s="57"/>
    </row>
    <row r="15" spans="2:6">
      <c r="B15" t="s">
        <v>7237</v>
      </c>
      <c r="C15" s="56">
        <v>208.33</v>
      </c>
      <c r="D15" s="46">
        <f>C15*2</f>
        <v>416.66</v>
      </c>
      <c r="E15" s="46">
        <f t="shared" si="0"/>
        <v>4999.92</v>
      </c>
      <c r="F15" s="57"/>
    </row>
    <row r="16" spans="2:6">
      <c r="B16" t="s">
        <v>7229</v>
      </c>
      <c r="D16" s="56">
        <v>200</v>
      </c>
      <c r="E16" s="46">
        <f t="shared" si="0"/>
        <v>2400</v>
      </c>
      <c r="F16" s="57"/>
    </row>
    <row r="17" spans="2:6">
      <c r="B17" t="s">
        <v>7230</v>
      </c>
      <c r="D17" s="56">
        <v>200</v>
      </c>
      <c r="E17" s="46">
        <f>(D17*6)+(300*6)</f>
        <v>3000</v>
      </c>
      <c r="F17" s="57"/>
    </row>
    <row r="18" spans="2:6">
      <c r="B18" t="s">
        <v>7231</v>
      </c>
      <c r="D18" s="56">
        <v>100</v>
      </c>
      <c r="E18" s="46">
        <f t="shared" si="0"/>
        <v>1200</v>
      </c>
      <c r="F18" s="57"/>
    </row>
    <row r="19" spans="2:6">
      <c r="E19" s="46"/>
      <c r="F19" s="57"/>
    </row>
    <row r="21" spans="2:6">
      <c r="B21" s="16" t="s">
        <v>7348</v>
      </c>
    </row>
    <row r="22" spans="2:6">
      <c r="B22" t="s">
        <v>7631</v>
      </c>
      <c r="C22" s="56">
        <v>5229.3500000000004</v>
      </c>
      <c r="D22" s="46">
        <f>C22*(26/12)</f>
        <v>11330.258333333333</v>
      </c>
      <c r="E22" s="46">
        <v>150000</v>
      </c>
    </row>
    <row r="23" spans="2:6">
      <c r="B23" t="s">
        <v>7632</v>
      </c>
      <c r="C23" s="33"/>
      <c r="D23" s="46"/>
      <c r="E23" s="56">
        <v>64000</v>
      </c>
    </row>
    <row r="24" spans="2:6">
      <c r="B24" t="s">
        <v>7221</v>
      </c>
      <c r="C24" s="33"/>
      <c r="D24" s="46"/>
      <c r="E24" s="77">
        <v>5000</v>
      </c>
    </row>
    <row r="25" spans="2:6">
      <c r="B25" t="s">
        <v>7633</v>
      </c>
      <c r="C25" s="33">
        <f>SUM(C22:C23)</f>
        <v>5229.3500000000004</v>
      </c>
      <c r="D25" s="46">
        <f>SUM(D22:D23)</f>
        <v>11330.258333333333</v>
      </c>
      <c r="E25" s="46">
        <f>SUM(E22:E24)</f>
        <v>219000</v>
      </c>
    </row>
    <row r="26" spans="2:6">
      <c r="B26" t="s">
        <v>7605</v>
      </c>
      <c r="C26" s="33">
        <v>787.2</v>
      </c>
      <c r="D26" s="46">
        <f>C26*(26/12)</f>
        <v>1705.6</v>
      </c>
      <c r="E26" s="46">
        <f>D26*12</f>
        <v>20467.199999999997</v>
      </c>
      <c r="F26" s="57">
        <f>E26/$E$25</f>
        <v>9.3457534246575324E-2</v>
      </c>
    </row>
    <row r="27" spans="2:6">
      <c r="B27" t="s">
        <v>7520</v>
      </c>
      <c r="C27" s="33">
        <v>297.41000000000003</v>
      </c>
      <c r="D27" s="46">
        <f>C27*(26/12)</f>
        <v>644.38833333333332</v>
      </c>
      <c r="E27" s="46">
        <f>D27*12</f>
        <v>7732.66</v>
      </c>
      <c r="F27" s="57">
        <f>E27/$E$25</f>
        <v>3.5308949771689496E-2</v>
      </c>
    </row>
    <row r="28" spans="2:6">
      <c r="B28" t="s">
        <v>7254</v>
      </c>
      <c r="C28" s="33">
        <v>69.55</v>
      </c>
      <c r="D28" s="46">
        <f>C28*(26/12)</f>
        <v>150.69166666666666</v>
      </c>
      <c r="E28" s="46">
        <f>D28*12</f>
        <v>1808.3</v>
      </c>
      <c r="F28" s="73">
        <f t="shared" ref="F28:F32" si="1">E28/$E$25</f>
        <v>8.2570776255707756E-3</v>
      </c>
    </row>
    <row r="29" spans="2:6">
      <c r="B29" t="s">
        <v>7606</v>
      </c>
      <c r="C29" s="33">
        <v>219</v>
      </c>
      <c r="D29" s="46">
        <f>C29*(26/12)</f>
        <v>474.49999999999994</v>
      </c>
      <c r="E29" s="46">
        <f>D29*12</f>
        <v>5693.9999999999991</v>
      </c>
      <c r="F29" s="57">
        <f t="shared" si="1"/>
        <v>2.5999999999999995E-2</v>
      </c>
    </row>
    <row r="30" spans="2:6">
      <c r="B30" t="s">
        <v>54</v>
      </c>
      <c r="C30" s="46">
        <f t="shared" ref="C30:E32" si="2">C8</f>
        <v>788.46153846153845</v>
      </c>
      <c r="D30" s="46">
        <f t="shared" si="2"/>
        <v>1708.3333333333333</v>
      </c>
      <c r="E30" s="46">
        <f t="shared" si="2"/>
        <v>20500</v>
      </c>
      <c r="F30" s="57">
        <f t="shared" si="1"/>
        <v>9.3607305936073054E-2</v>
      </c>
    </row>
    <row r="31" spans="2:6">
      <c r="B31" t="s">
        <v>7634</v>
      </c>
      <c r="C31" s="46">
        <f t="shared" si="2"/>
        <v>231</v>
      </c>
      <c r="D31" s="46">
        <f t="shared" si="2"/>
        <v>500.49999999999994</v>
      </c>
      <c r="E31" s="46">
        <f t="shared" si="2"/>
        <v>6005.9999999999991</v>
      </c>
      <c r="F31" s="57">
        <f t="shared" si="1"/>
        <v>2.7424657534246572E-2</v>
      </c>
    </row>
    <row r="32" spans="2:6">
      <c r="B32" t="s">
        <v>2460</v>
      </c>
      <c r="C32" s="46">
        <f t="shared" si="2"/>
        <v>200</v>
      </c>
      <c r="D32" s="46">
        <f t="shared" si="2"/>
        <v>433.33333333333331</v>
      </c>
      <c r="E32" s="46">
        <f t="shared" si="2"/>
        <v>5200</v>
      </c>
      <c r="F32" s="57">
        <f t="shared" si="1"/>
        <v>2.3744292237442923E-2</v>
      </c>
    </row>
    <row r="35" spans="2:6">
      <c r="B35" s="16" t="s">
        <v>7635</v>
      </c>
    </row>
    <row r="36" spans="2:6">
      <c r="B36" t="s">
        <v>7633</v>
      </c>
      <c r="C36" s="56">
        <v>6721</v>
      </c>
      <c r="D36" s="46">
        <f>C36*2</f>
        <v>13442</v>
      </c>
      <c r="E36" s="46">
        <f>(D36*12)-7000</f>
        <v>154304</v>
      </c>
    </row>
    <row r="37" spans="2:6">
      <c r="B37" t="s">
        <v>7636</v>
      </c>
      <c r="D37" s="46"/>
      <c r="E37" s="46">
        <f>47500-25000</f>
        <v>22500</v>
      </c>
    </row>
    <row r="38" spans="2:6">
      <c r="B38" t="s">
        <v>7633</v>
      </c>
      <c r="D38" s="46"/>
      <c r="E38" s="46">
        <f>SUM(E36:E37)</f>
        <v>176804</v>
      </c>
    </row>
    <row r="39" spans="2:6">
      <c r="B39" t="s">
        <v>7605</v>
      </c>
      <c r="C39" s="33">
        <v>1279.42</v>
      </c>
      <c r="D39" s="46">
        <f>C39*2</f>
        <v>2558.84</v>
      </c>
      <c r="E39" s="46">
        <f>D39*12</f>
        <v>30706.080000000002</v>
      </c>
      <c r="F39" s="57">
        <f>E39/$E$36</f>
        <v>0.19899730402322688</v>
      </c>
    </row>
    <row r="40" spans="2:6">
      <c r="B40" t="s">
        <v>7520</v>
      </c>
      <c r="C40" s="33">
        <v>403.79</v>
      </c>
      <c r="D40" s="46">
        <f>C40*2</f>
        <v>807.58</v>
      </c>
      <c r="E40" s="46">
        <f>D40*12</f>
        <v>9690.9600000000009</v>
      </c>
      <c r="F40" s="57">
        <f t="shared" ref="F40:F45" si="3">E40/$E$36</f>
        <v>6.2804334301119868E-2</v>
      </c>
    </row>
    <row r="41" spans="2:6">
      <c r="B41" t="s">
        <v>7254</v>
      </c>
      <c r="C41" s="33">
        <v>94.44</v>
      </c>
      <c r="D41" s="46">
        <f>C41*2</f>
        <v>188.88</v>
      </c>
      <c r="E41" s="46">
        <f>D41*12</f>
        <v>2266.56</v>
      </c>
      <c r="F41" s="57">
        <f t="shared" si="3"/>
        <v>1.4688925756947325E-2</v>
      </c>
    </row>
    <row r="42" spans="2:6">
      <c r="B42" t="s">
        <v>7606</v>
      </c>
      <c r="C42" s="33">
        <v>369.56</v>
      </c>
      <c r="D42" s="46">
        <f>C42*2</f>
        <v>739.12</v>
      </c>
      <c r="E42" s="46">
        <f>D42*12</f>
        <v>8869.44</v>
      </c>
      <c r="F42" s="57">
        <f t="shared" si="3"/>
        <v>5.7480298631273331E-2</v>
      </c>
    </row>
    <row r="43" spans="2:6">
      <c r="B43" t="s">
        <v>54</v>
      </c>
      <c r="C43" s="46">
        <f t="shared" ref="C43:E45" si="4">C11</f>
        <v>854.16666666666663</v>
      </c>
      <c r="D43" s="46">
        <f t="shared" si="4"/>
        <v>1708.3333333333333</v>
      </c>
      <c r="E43" s="46">
        <f t="shared" si="4"/>
        <v>20500</v>
      </c>
      <c r="F43" s="57">
        <f t="shared" si="3"/>
        <v>0.13285462463708006</v>
      </c>
    </row>
    <row r="44" spans="2:6">
      <c r="B44" t="s">
        <v>7634</v>
      </c>
      <c r="C44" s="46">
        <f t="shared" si="4"/>
        <v>250</v>
      </c>
      <c r="D44" s="46">
        <f t="shared" si="4"/>
        <v>500</v>
      </c>
      <c r="E44" s="46">
        <f t="shared" si="4"/>
        <v>6000</v>
      </c>
      <c r="F44" s="57">
        <f t="shared" si="3"/>
        <v>3.8884280381584403E-2</v>
      </c>
    </row>
    <row r="45" spans="2:6">
      <c r="B45" t="s">
        <v>2460</v>
      </c>
      <c r="C45" s="46">
        <f t="shared" si="4"/>
        <v>250</v>
      </c>
      <c r="D45" s="46">
        <f t="shared" si="4"/>
        <v>500</v>
      </c>
      <c r="E45" s="46">
        <f t="shared" si="4"/>
        <v>6000</v>
      </c>
      <c r="F45" s="57">
        <f t="shared" si="3"/>
        <v>3.8884280381584403E-2</v>
      </c>
    </row>
    <row r="49" spans="2:11">
      <c r="B49" s="16" t="s">
        <v>7637</v>
      </c>
      <c r="D49" s="46"/>
      <c r="E49" s="46"/>
    </row>
    <row r="50" spans="2:11">
      <c r="B50" t="s">
        <v>7237</v>
      </c>
      <c r="C50" s="46">
        <f>C15</f>
        <v>208.33</v>
      </c>
      <c r="D50" s="46">
        <f>D15</f>
        <v>416.66</v>
      </c>
      <c r="E50" s="46">
        <f>E15</f>
        <v>4999.92</v>
      </c>
    </row>
    <row r="51" spans="2:11">
      <c r="B51" t="s">
        <v>7229</v>
      </c>
      <c r="D51" s="46">
        <f>D16</f>
        <v>200</v>
      </c>
      <c r="E51" s="46">
        <f>E16</f>
        <v>2400</v>
      </c>
    </row>
    <row r="52" spans="2:11">
      <c r="B52" t="s">
        <v>7230</v>
      </c>
      <c r="D52" s="46">
        <f>D17</f>
        <v>200</v>
      </c>
      <c r="E52" s="46">
        <f>E17</f>
        <v>3000</v>
      </c>
    </row>
    <row r="54" spans="2:11">
      <c r="B54" t="s">
        <v>7193</v>
      </c>
      <c r="D54" s="33"/>
      <c r="E54" s="46"/>
      <c r="F54" t="s">
        <v>7638</v>
      </c>
      <c r="J54" s="33"/>
      <c r="K54" s="58"/>
    </row>
    <row r="55" spans="2:11">
      <c r="B55" t="s">
        <v>7639</v>
      </c>
      <c r="D55" s="59">
        <v>2401.5500000000002</v>
      </c>
      <c r="E55" s="46">
        <f>D55*12</f>
        <v>28818.600000000002</v>
      </c>
    </row>
    <row r="56" spans="2:11">
      <c r="B56" t="s">
        <v>7640</v>
      </c>
      <c r="D56" s="59">
        <f>D55-D59</f>
        <v>1239.4000000000001</v>
      </c>
      <c r="E56" s="46">
        <f>D56*12</f>
        <v>14872.800000000001</v>
      </c>
    </row>
    <row r="57" spans="2:11">
      <c r="B57" t="s">
        <v>7641</v>
      </c>
      <c r="D57" s="46">
        <f>D14</f>
        <v>431</v>
      </c>
      <c r="E57" s="46">
        <f>E14</f>
        <v>5172</v>
      </c>
    </row>
    <row r="59" spans="2:11">
      <c r="B59" t="s">
        <v>7642</v>
      </c>
      <c r="D59" s="46">
        <f>731.15+D14</f>
        <v>1162.1500000000001</v>
      </c>
      <c r="E59" s="46">
        <f>D59*12</f>
        <v>13945.800000000001</v>
      </c>
    </row>
    <row r="66" spans="2:5">
      <c r="B66" s="16"/>
      <c r="C66" s="170" t="s">
        <v>7643</v>
      </c>
      <c r="D66" s="170" t="s">
        <v>7644</v>
      </c>
      <c r="E66" s="170" t="s">
        <v>7645</v>
      </c>
    </row>
    <row r="67" spans="2:5">
      <c r="B67" s="16" t="s">
        <v>7160</v>
      </c>
      <c r="C67" s="170"/>
      <c r="D67" s="170"/>
      <c r="E67" s="170"/>
    </row>
    <row r="68" spans="2:5">
      <c r="B68" t="s">
        <v>7223</v>
      </c>
      <c r="C68" s="46">
        <f>D68/12</f>
        <v>1708.3333333333333</v>
      </c>
      <c r="D68" s="46">
        <v>20500</v>
      </c>
      <c r="E68" s="57">
        <f>D68/$D$72</f>
        <v>0.38674866996189111</v>
      </c>
    </row>
    <row r="69" spans="2:5">
      <c r="B69" t="s">
        <v>7224</v>
      </c>
      <c r="C69" s="46">
        <f t="shared" ref="C69:C83" si="5">D69/12</f>
        <v>500.49999999999994</v>
      </c>
      <c r="D69" s="46">
        <f>E9</f>
        <v>6005.9999999999991</v>
      </c>
      <c r="E69" s="57">
        <f>D69/$D$72</f>
        <v>0.11330792740444476</v>
      </c>
    </row>
    <row r="70" spans="2:5">
      <c r="B70" t="s">
        <v>7226</v>
      </c>
      <c r="C70" s="46">
        <f t="shared" si="5"/>
        <v>1708.3333333333333</v>
      </c>
      <c r="D70" s="46">
        <v>20500</v>
      </c>
      <c r="E70" s="57">
        <f>D70/$D$72</f>
        <v>0.38674866996189111</v>
      </c>
    </row>
    <row r="71" spans="2:5">
      <c r="B71" t="s">
        <v>7227</v>
      </c>
      <c r="C71" s="46">
        <f t="shared" si="5"/>
        <v>500</v>
      </c>
      <c r="D71" s="46">
        <f>E12</f>
        <v>6000</v>
      </c>
      <c r="E71" s="57">
        <f>D71/$D$72</f>
        <v>0.113194732671773</v>
      </c>
    </row>
    <row r="72" spans="2:5">
      <c r="B72" s="16" t="s">
        <v>7646</v>
      </c>
      <c r="C72" s="46">
        <f t="shared" si="5"/>
        <v>4417.166666666667</v>
      </c>
      <c r="D72" s="39">
        <f>SUM(E8,E11,E9,E12)</f>
        <v>53006</v>
      </c>
    </row>
    <row r="74" spans="2:5">
      <c r="B74" s="16" t="s">
        <v>59</v>
      </c>
    </row>
    <row r="75" spans="2:5">
      <c r="B75" t="s">
        <v>7225</v>
      </c>
      <c r="C75" s="46">
        <f>D75/12</f>
        <v>433.33333333333331</v>
      </c>
      <c r="D75" s="46">
        <f>E10</f>
        <v>5200</v>
      </c>
      <c r="E75" s="57">
        <f>D75/$D$83</f>
        <v>0.14085346364084533</v>
      </c>
    </row>
    <row r="76" spans="2:5">
      <c r="B76" t="s">
        <v>7228</v>
      </c>
      <c r="C76" s="46">
        <f t="shared" si="5"/>
        <v>500</v>
      </c>
      <c r="D76" s="46">
        <f>E13</f>
        <v>6000</v>
      </c>
      <c r="E76" s="57">
        <f>D76/$D$83</f>
        <v>0.16252322727789845</v>
      </c>
    </row>
    <row r="77" spans="2:5">
      <c r="B77" t="s">
        <v>7231</v>
      </c>
      <c r="C77" s="46">
        <f>D77/12</f>
        <v>100</v>
      </c>
      <c r="D77" s="46">
        <f>E18</f>
        <v>1200</v>
      </c>
      <c r="E77" s="57"/>
    </row>
    <row r="78" spans="2:5">
      <c r="B78" t="s">
        <v>7229</v>
      </c>
      <c r="C78" s="46">
        <f t="shared" si="5"/>
        <v>200</v>
      </c>
      <c r="D78" s="46">
        <f>E16</f>
        <v>2400</v>
      </c>
      <c r="E78" s="57">
        <f>D78/$D$83</f>
        <v>6.5009290911159381E-2</v>
      </c>
    </row>
    <row r="79" spans="2:5">
      <c r="B79" t="s">
        <v>7230</v>
      </c>
      <c r="C79" s="46">
        <f t="shared" si="5"/>
        <v>250</v>
      </c>
      <c r="D79" s="46">
        <f>E17</f>
        <v>3000</v>
      </c>
      <c r="E79" s="57">
        <f>D79/$D$83</f>
        <v>8.1261613638949223E-2</v>
      </c>
    </row>
    <row r="80" spans="2:5">
      <c r="B80" t="s">
        <v>7232</v>
      </c>
      <c r="C80" s="46">
        <f t="shared" si="5"/>
        <v>1162.1500000000001</v>
      </c>
      <c r="D80" s="46">
        <f>E59</f>
        <v>13945.800000000001</v>
      </c>
      <c r="E80" s="57">
        <f>D80/$D$83</f>
        <v>0.3777527371620194</v>
      </c>
    </row>
    <row r="81" spans="2:6">
      <c r="B81" t="s">
        <v>7641</v>
      </c>
      <c r="C81" s="46">
        <f t="shared" si="5"/>
        <v>431</v>
      </c>
      <c r="D81" s="46">
        <f>E57</f>
        <v>5172</v>
      </c>
      <c r="E81" s="57">
        <f>D81/$D$83</f>
        <v>0.14009502191354847</v>
      </c>
    </row>
    <row r="82" spans="2:6">
      <c r="B82" t="s">
        <v>7234</v>
      </c>
      <c r="C82" s="46">
        <f>D82/12</f>
        <v>833.33333333333337</v>
      </c>
      <c r="D82" s="56">
        <v>10000</v>
      </c>
      <c r="E82" s="57"/>
    </row>
    <row r="83" spans="2:6">
      <c r="B83" s="16" t="s">
        <v>59</v>
      </c>
      <c r="C83" s="46">
        <f t="shared" si="5"/>
        <v>3076.4833333333336</v>
      </c>
      <c r="D83" s="39">
        <f>SUM(E10,E13,E16:E17,E57,E59,E18)</f>
        <v>36917.800000000003</v>
      </c>
    </row>
    <row r="85" spans="2:6">
      <c r="B85" s="16" t="s">
        <v>7192</v>
      </c>
    </row>
    <row r="86" spans="2:6">
      <c r="B86" t="s">
        <v>7605</v>
      </c>
      <c r="C86" s="46">
        <f>D86/12</f>
        <v>4264.4399999999996</v>
      </c>
      <c r="D86" s="46">
        <f>E26+E39</f>
        <v>51173.279999999999</v>
      </c>
      <c r="E86" s="57">
        <f>D86/SUM($E$36,$E$25)</f>
        <v>0.13708205644729229</v>
      </c>
    </row>
    <row r="87" spans="2:6">
      <c r="B87" t="s">
        <v>7253</v>
      </c>
      <c r="C87" s="46">
        <f>D87/12</f>
        <v>1451.9683333333335</v>
      </c>
      <c r="D87" s="46">
        <f>E27+E40</f>
        <v>17423.620000000003</v>
      </c>
      <c r="E87" s="57">
        <f>D87/SUM($E$36,$E$25)</f>
        <v>4.667407796326855E-2</v>
      </c>
    </row>
    <row r="88" spans="2:6">
      <c r="B88" t="s">
        <v>7254</v>
      </c>
      <c r="C88" s="46">
        <f>D88/12</f>
        <v>339.57166666666666</v>
      </c>
      <c r="D88" s="46">
        <f>E28+E41</f>
        <v>4074.8599999999997</v>
      </c>
      <c r="E88" s="57">
        <f>D88/SUM($E$36,$E$25)</f>
        <v>1.0915661230525255E-2</v>
      </c>
    </row>
    <row r="89" spans="2:6">
      <c r="B89" t="s">
        <v>7606</v>
      </c>
      <c r="C89" s="46">
        <f>D89/12</f>
        <v>1213.6199999999999</v>
      </c>
      <c r="D89" s="46">
        <f>E29+E42</f>
        <v>14563.439999999999</v>
      </c>
      <c r="E89" s="57">
        <f>D89/SUM($E$36,$E$25)</f>
        <v>3.9012279536249271E-2</v>
      </c>
    </row>
    <row r="90" spans="2:6">
      <c r="B90" s="16" t="s">
        <v>7192</v>
      </c>
      <c r="C90" s="46">
        <f>D90/12</f>
        <v>7269.5999999999995</v>
      </c>
      <c r="D90" s="39">
        <f>SUM(E26:E29,E39:E42)</f>
        <v>87235.199999999997</v>
      </c>
      <c r="E90" s="57">
        <f>D90/SUM($E$36,$E$25)</f>
        <v>0.23368407517733536</v>
      </c>
    </row>
    <row r="93" spans="2:6">
      <c r="B93" s="16" t="s">
        <v>7128</v>
      </c>
      <c r="C93" s="32" t="s">
        <v>7647</v>
      </c>
      <c r="D93" s="32" t="s">
        <v>7323</v>
      </c>
      <c r="E93" s="170" t="s">
        <v>7648</v>
      </c>
      <c r="F93" t="s">
        <v>7649</v>
      </c>
    </row>
    <row r="94" spans="2:6">
      <c r="B94" t="s">
        <v>7650</v>
      </c>
      <c r="C94" s="33">
        <v>1239</v>
      </c>
      <c r="D94" s="46">
        <f>C94*12</f>
        <v>14868</v>
      </c>
      <c r="E94" s="60"/>
      <c r="F94" s="33">
        <f>IF(E94&lt;&gt;"",E94,D94)</f>
        <v>14868</v>
      </c>
    </row>
    <row r="95" spans="2:6">
      <c r="B95" t="s">
        <v>2</v>
      </c>
      <c r="C95" s="33">
        <v>360</v>
      </c>
      <c r="D95" s="46">
        <f t="shared" ref="D95:D125" si="6">C95*12</f>
        <v>4320</v>
      </c>
      <c r="E95" s="60"/>
      <c r="F95" s="33">
        <f t="shared" ref="F95:F100" si="7">IF(E95&lt;&gt;"",E95,D95)</f>
        <v>4320</v>
      </c>
    </row>
    <row r="96" spans="2:6">
      <c r="B96" t="s">
        <v>7</v>
      </c>
      <c r="C96" s="33">
        <v>445</v>
      </c>
      <c r="D96" s="46">
        <f t="shared" si="6"/>
        <v>5340</v>
      </c>
      <c r="E96" s="60"/>
      <c r="F96" s="33">
        <f t="shared" si="7"/>
        <v>5340</v>
      </c>
    </row>
    <row r="97" spans="2:6">
      <c r="B97" t="s">
        <v>11</v>
      </c>
      <c r="C97" s="33" t="e" vm="1">
        <v>#VALUE!</v>
      </c>
      <c r="D97" s="46" t="e" vm="2">
        <f t="shared" si="6"/>
        <v>#VALUE!</v>
      </c>
      <c r="E97" s="60"/>
      <c r="F97" s="33" t="e" vm="2">
        <f t="shared" si="7"/>
        <v>#VALUE!</v>
      </c>
    </row>
    <row r="98" spans="2:6">
      <c r="B98" t="s">
        <v>7651</v>
      </c>
      <c r="C98" s="33" t="e" vm="1">
        <v>#VALUE!</v>
      </c>
      <c r="D98" s="46" t="e" vm="2">
        <f t="shared" si="6"/>
        <v>#VALUE!</v>
      </c>
      <c r="E98" s="60"/>
      <c r="F98" s="33" t="e" vm="2">
        <f t="shared" si="7"/>
        <v>#VALUE!</v>
      </c>
    </row>
    <row r="99" spans="2:6">
      <c r="B99" t="s">
        <v>18</v>
      </c>
      <c r="C99" s="33">
        <v>104</v>
      </c>
      <c r="D99" s="46">
        <f t="shared" si="6"/>
        <v>1248</v>
      </c>
      <c r="E99" s="60"/>
      <c r="F99" s="33">
        <f t="shared" si="7"/>
        <v>1248</v>
      </c>
    </row>
    <row r="100" spans="2:6">
      <c r="B100" t="s">
        <v>20</v>
      </c>
      <c r="C100" s="33">
        <v>2223</v>
      </c>
      <c r="D100" s="46">
        <f t="shared" si="6"/>
        <v>26676</v>
      </c>
      <c r="E100" s="60"/>
      <c r="F100" s="33">
        <f t="shared" si="7"/>
        <v>26676</v>
      </c>
    </row>
    <row r="101" spans="2:6">
      <c r="B101" t="s">
        <v>7259</v>
      </c>
      <c r="C101" s="33" t="e" vm="2">
        <f>SUM(C94:C100)</f>
        <v>#VALUE!</v>
      </c>
      <c r="D101" s="46" t="e" vm="2">
        <f t="shared" si="6"/>
        <v>#VALUE!</v>
      </c>
      <c r="F101" s="46" t="e" vm="2">
        <f>SUM(F94:F100)</f>
        <v>#VALUE!</v>
      </c>
    </row>
    <row r="102" spans="2:6">
      <c r="D102" s="46"/>
    </row>
    <row r="103" spans="2:6">
      <c r="B103" t="s">
        <v>23</v>
      </c>
      <c r="C103" s="33">
        <v>550</v>
      </c>
      <c r="D103" s="46">
        <f t="shared" si="6"/>
        <v>6600</v>
      </c>
      <c r="E103" s="60"/>
      <c r="F103" s="33">
        <f>IF(E103&lt;&gt;"",E103,D103)</f>
        <v>6600</v>
      </c>
    </row>
    <row r="104" spans="2:6">
      <c r="B104" t="s">
        <v>26</v>
      </c>
      <c r="C104" s="33">
        <v>1070</v>
      </c>
      <c r="D104" s="46">
        <f t="shared" si="6"/>
        <v>12840</v>
      </c>
      <c r="E104" s="60"/>
      <c r="F104" s="33">
        <f>IF(E104&lt;&gt;"",E104,D104)</f>
        <v>12840</v>
      </c>
    </row>
    <row r="105" spans="2:6">
      <c r="B105" t="s">
        <v>28</v>
      </c>
      <c r="C105" s="33">
        <v>877</v>
      </c>
      <c r="D105" s="46">
        <f t="shared" si="6"/>
        <v>10524</v>
      </c>
      <c r="E105" s="60"/>
      <c r="F105" s="33">
        <f>IF(E105&lt;&gt;"",E105,D105)</f>
        <v>10524</v>
      </c>
    </row>
    <row r="106" spans="2:6">
      <c r="B106" t="s">
        <v>31</v>
      </c>
      <c r="C106" s="33">
        <v>575</v>
      </c>
      <c r="D106" s="46">
        <f t="shared" si="6"/>
        <v>6900</v>
      </c>
      <c r="E106" s="60"/>
      <c r="F106" s="33">
        <f>IF(E106&lt;&gt;"",E106,D106)</f>
        <v>6900</v>
      </c>
    </row>
    <row r="107" spans="2:6">
      <c r="B107" t="s">
        <v>7260</v>
      </c>
      <c r="C107" s="33" t="e" vm="1">
        <v>#VALUE!</v>
      </c>
      <c r="D107" s="46" t="e" vm="2">
        <f t="shared" si="6"/>
        <v>#VALUE!</v>
      </c>
      <c r="F107" s="46">
        <f>SUM(F103:F106)</f>
        <v>36864</v>
      </c>
    </row>
    <row r="109" spans="2:6">
      <c r="B109" t="s">
        <v>34</v>
      </c>
      <c r="C109" s="33">
        <v>40</v>
      </c>
      <c r="D109" s="46">
        <f t="shared" si="6"/>
        <v>480</v>
      </c>
      <c r="E109" s="60"/>
      <c r="F109" s="33">
        <f t="shared" ref="F109:F115" si="8">IF(E109&lt;&gt;"",E109,D109)</f>
        <v>480</v>
      </c>
    </row>
    <row r="110" spans="2:6">
      <c r="B110" t="s">
        <v>21</v>
      </c>
      <c r="C110" s="33">
        <v>2042</v>
      </c>
      <c r="D110" s="46">
        <f t="shared" si="6"/>
        <v>24504</v>
      </c>
      <c r="E110" s="60"/>
      <c r="F110" s="33">
        <f t="shared" si="8"/>
        <v>24504</v>
      </c>
    </row>
    <row r="111" spans="2:6">
      <c r="B111" t="s">
        <v>38</v>
      </c>
      <c r="C111" s="33">
        <v>393</v>
      </c>
      <c r="D111" s="46">
        <f t="shared" si="6"/>
        <v>4716</v>
      </c>
      <c r="E111" s="60"/>
      <c r="F111" s="33">
        <f t="shared" si="8"/>
        <v>4716</v>
      </c>
    </row>
    <row r="112" spans="2:6">
      <c r="B112" t="s">
        <v>40</v>
      </c>
      <c r="C112" s="33">
        <v>305</v>
      </c>
      <c r="D112" s="46">
        <f t="shared" si="6"/>
        <v>3660</v>
      </c>
      <c r="E112" s="60"/>
      <c r="F112" s="33">
        <f t="shared" si="8"/>
        <v>3660</v>
      </c>
    </row>
    <row r="113" spans="2:6">
      <c r="B113" t="s">
        <v>41</v>
      </c>
      <c r="C113" s="33">
        <v>30</v>
      </c>
      <c r="D113" s="46">
        <f t="shared" si="6"/>
        <v>360</v>
      </c>
      <c r="E113" s="60"/>
      <c r="F113" s="33">
        <f t="shared" si="8"/>
        <v>360</v>
      </c>
    </row>
    <row r="114" spans="2:6">
      <c r="B114" t="s">
        <v>45</v>
      </c>
      <c r="C114" s="33">
        <v>130</v>
      </c>
      <c r="D114" s="46">
        <f t="shared" si="6"/>
        <v>1560</v>
      </c>
      <c r="E114" s="60"/>
      <c r="F114" s="33">
        <f t="shared" si="8"/>
        <v>1560</v>
      </c>
    </row>
    <row r="115" spans="2:6">
      <c r="B115" t="s">
        <v>29</v>
      </c>
      <c r="C115" s="33">
        <v>0</v>
      </c>
      <c r="D115" s="46">
        <f t="shared" si="6"/>
        <v>0</v>
      </c>
      <c r="E115" s="60"/>
      <c r="F115" s="33">
        <f t="shared" si="8"/>
        <v>0</v>
      </c>
    </row>
    <row r="116" spans="2:6">
      <c r="B116" t="s">
        <v>7261</v>
      </c>
      <c r="C116" s="33" t="e" vm="1">
        <v>#VALUE!</v>
      </c>
      <c r="D116" s="46" t="e" vm="2">
        <f t="shared" si="6"/>
        <v>#VALUE!</v>
      </c>
      <c r="F116" s="33">
        <f>SUM(F109:F115)</f>
        <v>35280</v>
      </c>
    </row>
    <row r="118" spans="2:6">
      <c r="B118" t="s">
        <v>7153</v>
      </c>
      <c r="C118" s="33" t="e" vm="2">
        <f>SUM(C116,C107,C101)</f>
        <v>#VALUE!</v>
      </c>
      <c r="D118" s="46" t="e" vm="2">
        <f>C118*12</f>
        <v>#VALUE!</v>
      </c>
      <c r="F118" s="46" t="e" vm="2">
        <f>SUM(F116,F107,F101)</f>
        <v>#VALUE!</v>
      </c>
    </row>
    <row r="120" spans="2:6">
      <c r="B120" t="s">
        <v>48</v>
      </c>
      <c r="C120" s="33"/>
      <c r="D120" s="46">
        <f t="shared" si="6"/>
        <v>0</v>
      </c>
      <c r="E120" s="60"/>
      <c r="F120" s="33">
        <f>IF(E120&lt;&gt;"",E120,D120)</f>
        <v>0</v>
      </c>
    </row>
    <row r="121" spans="2:6">
      <c r="B121" t="s">
        <v>50</v>
      </c>
      <c r="C121" s="33"/>
      <c r="D121" s="46">
        <f t="shared" si="6"/>
        <v>0</v>
      </c>
      <c r="E121" s="60"/>
      <c r="F121" s="33">
        <f>IF(E121&lt;&gt;"",E121,D121)</f>
        <v>0</v>
      </c>
    </row>
    <row r="122" spans="2:6">
      <c r="B122" t="s">
        <v>43</v>
      </c>
      <c r="C122" s="33"/>
      <c r="D122" s="46">
        <f t="shared" si="6"/>
        <v>0</v>
      </c>
      <c r="E122" s="60"/>
      <c r="F122" s="33">
        <f>IF(E122&lt;&gt;"",E122,D122)</f>
        <v>0</v>
      </c>
    </row>
    <row r="123" spans="2:6">
      <c r="B123" t="s">
        <v>7265</v>
      </c>
      <c r="C123" s="33" t="e" vm="1">
        <v>#VALUE!</v>
      </c>
      <c r="D123" s="46" t="e" vm="2">
        <f t="shared" si="6"/>
        <v>#VALUE!</v>
      </c>
      <c r="F123" s="46">
        <f>SUM(F120:F122)</f>
        <v>0</v>
      </c>
    </row>
    <row r="125" spans="2:6">
      <c r="B125" t="s">
        <v>7125</v>
      </c>
      <c r="C125" s="33" t="e" vm="2">
        <f>SUM(C123,C118)</f>
        <v>#VALUE!</v>
      </c>
      <c r="D125" s="46" t="e" vm="2">
        <f t="shared" si="6"/>
        <v>#VALUE!</v>
      </c>
      <c r="F125" s="46" t="e" vm="2">
        <f>SUM(F123,F118)</f>
        <v>#VALUE!</v>
      </c>
    </row>
    <row r="126" spans="2:6">
      <c r="C126" s="33"/>
      <c r="D126" s="46"/>
    </row>
    <row r="127" spans="2:6">
      <c r="C127" s="33"/>
      <c r="D127" s="46"/>
    </row>
    <row r="130" spans="2:5">
      <c r="B130" s="16" t="s">
        <v>7652</v>
      </c>
    </row>
    <row r="131" spans="2:5">
      <c r="B131" t="s">
        <v>7153</v>
      </c>
      <c r="D131" s="46" t="e" vm="2">
        <f>SUM(D90,D72,D83,D125)</f>
        <v>#VALUE!</v>
      </c>
    </row>
    <row r="132" spans="2:5">
      <c r="B132" t="s">
        <v>7139</v>
      </c>
      <c r="D132" s="46">
        <f>SUM(E36,E25)</f>
        <v>373304</v>
      </c>
    </row>
    <row r="133" spans="2:5">
      <c r="B133" s="61" t="s">
        <v>7653</v>
      </c>
      <c r="C133" s="61"/>
      <c r="D133" s="62" t="e" vm="2">
        <f>D131-D132</f>
        <v>#VALUE!</v>
      </c>
      <c r="E133" s="63" t="e" vm="2">
        <f>D133/D132</f>
        <v>#VALUE!</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1715A-E80A-4352-A988-EA2A227C3CD9}">
  <sheetPr>
    <pageSetUpPr fitToPage="1"/>
  </sheetPr>
  <dimension ref="C1:AY10"/>
  <sheetViews>
    <sheetView workbookViewId="0">
      <selection activeCell="J9" sqref="J9"/>
    </sheetView>
  </sheetViews>
  <sheetFormatPr defaultRowHeight="15"/>
  <cols>
    <col min="3" max="3" width="25" customWidth="1"/>
    <col min="4" max="5" width="11.7109375" customWidth="1"/>
    <col min="6" max="6" width="14.7109375" customWidth="1"/>
    <col min="7" max="7" width="5.28515625" customWidth="1"/>
    <col min="8" max="18" width="10.28515625" customWidth="1"/>
  </cols>
  <sheetData>
    <row r="1" spans="3:51">
      <c r="H1">
        <f>'1 MO'!C1</f>
        <v>202512</v>
      </c>
      <c r="I1">
        <f>IF(RIGHT(H1,2)="01",VALUE(LEFT(H1,4)-1&amp;"12"),VALUE(LEFT(H1,4)&amp;TEXT(RIGHT(H1,2)-1,"00")))</f>
        <v>202511</v>
      </c>
      <c r="J1">
        <f t="shared" ref="J1:S1" si="0">IF(RIGHT(I1,2)="01",VALUE(LEFT(I1,4)-1&amp;"12"),VALUE(LEFT(I1,4)&amp;TEXT(RIGHT(I1,2)-1,"00")))</f>
        <v>202510</v>
      </c>
      <c r="K1">
        <f t="shared" si="0"/>
        <v>202509</v>
      </c>
      <c r="L1">
        <f t="shared" si="0"/>
        <v>202508</v>
      </c>
      <c r="M1">
        <f t="shared" si="0"/>
        <v>202507</v>
      </c>
      <c r="N1">
        <f t="shared" si="0"/>
        <v>202506</v>
      </c>
      <c r="O1">
        <f t="shared" si="0"/>
        <v>202505</v>
      </c>
      <c r="P1">
        <f t="shared" si="0"/>
        <v>202504</v>
      </c>
      <c r="Q1">
        <f t="shared" si="0"/>
        <v>202503</v>
      </c>
      <c r="R1">
        <f t="shared" si="0"/>
        <v>202502</v>
      </c>
      <c r="S1">
        <f t="shared" si="0"/>
        <v>202501</v>
      </c>
      <c r="T1">
        <f t="shared" ref="T1" si="1">IF(RIGHT(S1,2)="01",VALUE(LEFT(S1,4)-1&amp;"12"),VALUE(LEFT(S1,4)&amp;TEXT(RIGHT(S1,2)-1,"00")))</f>
        <v>202412</v>
      </c>
      <c r="U1">
        <f t="shared" ref="U1" si="2">IF(RIGHT(T1,2)="01",VALUE(LEFT(T1,4)-1&amp;"12"),VALUE(LEFT(T1,4)&amp;TEXT(RIGHT(T1,2)-1,"00")))</f>
        <v>202411</v>
      </c>
      <c r="V1">
        <f t="shared" ref="V1" si="3">IF(RIGHT(U1,2)="01",VALUE(LEFT(U1,4)-1&amp;"12"),VALUE(LEFT(U1,4)&amp;TEXT(RIGHT(U1,2)-1,"00")))</f>
        <v>202410</v>
      </c>
      <c r="W1">
        <f t="shared" ref="W1" si="4">IF(RIGHT(V1,2)="01",VALUE(LEFT(V1,4)-1&amp;"12"),VALUE(LEFT(V1,4)&amp;TEXT(RIGHT(V1,2)-1,"00")))</f>
        <v>202409</v>
      </c>
      <c r="X1">
        <f t="shared" ref="X1" si="5">IF(RIGHT(W1,2)="01",VALUE(LEFT(W1,4)-1&amp;"12"),VALUE(LEFT(W1,4)&amp;TEXT(RIGHT(W1,2)-1,"00")))</f>
        <v>202408</v>
      </c>
      <c r="Y1">
        <f t="shared" ref="Y1" si="6">IF(RIGHT(X1,2)="01",VALUE(LEFT(X1,4)-1&amp;"12"),VALUE(LEFT(X1,4)&amp;TEXT(RIGHT(X1,2)-1,"00")))</f>
        <v>202407</v>
      </c>
      <c r="Z1">
        <f t="shared" ref="Z1" si="7">IF(RIGHT(Y1,2)="01",VALUE(LEFT(Y1,4)-1&amp;"12"),VALUE(LEFT(Y1,4)&amp;TEXT(RIGHT(Y1,2)-1,"00")))</f>
        <v>202406</v>
      </c>
      <c r="AA1">
        <f t="shared" ref="AA1" si="8">IF(RIGHT(Z1,2)="01",VALUE(LEFT(Z1,4)-1&amp;"12"),VALUE(LEFT(Z1,4)&amp;TEXT(RIGHT(Z1,2)-1,"00")))</f>
        <v>202405</v>
      </c>
      <c r="AB1">
        <f t="shared" ref="AB1" si="9">IF(RIGHT(AA1,2)="01",VALUE(LEFT(AA1,4)-1&amp;"12"),VALUE(LEFT(AA1,4)&amp;TEXT(RIGHT(AA1,2)-1,"00")))</f>
        <v>202404</v>
      </c>
      <c r="AC1">
        <f t="shared" ref="AC1" si="10">IF(RIGHT(AB1,2)="01",VALUE(LEFT(AB1,4)-1&amp;"12"),VALUE(LEFT(AB1,4)&amp;TEXT(RIGHT(AB1,2)-1,"00")))</f>
        <v>202403</v>
      </c>
      <c r="AD1">
        <f t="shared" ref="AD1" si="11">IF(RIGHT(AC1,2)="01",VALUE(LEFT(AC1,4)-1&amp;"12"),VALUE(LEFT(AC1,4)&amp;TEXT(RIGHT(AC1,2)-1,"00")))</f>
        <v>202402</v>
      </c>
      <c r="AE1">
        <f t="shared" ref="AE1" si="12">IF(RIGHT(AD1,2)="01",VALUE(LEFT(AD1,4)-1&amp;"12"),VALUE(LEFT(AD1,4)&amp;TEXT(RIGHT(AD1,2)-1,"00")))</f>
        <v>202401</v>
      </c>
      <c r="AF1">
        <f t="shared" ref="AF1" si="13">IF(RIGHT(AE1,2)="01",VALUE(LEFT(AE1,4)-1&amp;"12"),VALUE(LEFT(AE1,4)&amp;TEXT(RIGHT(AE1,2)-1,"00")))</f>
        <v>202312</v>
      </c>
      <c r="AG1">
        <f t="shared" ref="AG1" si="14">IF(RIGHT(AF1,2)="01",VALUE(LEFT(AF1,4)-1&amp;"12"),VALUE(LEFT(AF1,4)&amp;TEXT(RIGHT(AF1,2)-1,"00")))</f>
        <v>202311</v>
      </c>
      <c r="AH1">
        <f t="shared" ref="AH1" si="15">IF(RIGHT(AG1,2)="01",VALUE(LEFT(AG1,4)-1&amp;"12"),VALUE(LEFT(AG1,4)&amp;TEXT(RIGHT(AG1,2)-1,"00")))</f>
        <v>202310</v>
      </c>
      <c r="AI1">
        <f t="shared" ref="AI1" si="16">IF(RIGHT(AH1,2)="01",VALUE(LEFT(AH1,4)-1&amp;"12"),VALUE(LEFT(AH1,4)&amp;TEXT(RIGHT(AH1,2)-1,"00")))</f>
        <v>202309</v>
      </c>
      <c r="AJ1">
        <f t="shared" ref="AJ1" si="17">IF(RIGHT(AI1,2)="01",VALUE(LEFT(AI1,4)-1&amp;"12"),VALUE(LEFT(AI1,4)&amp;TEXT(RIGHT(AI1,2)-1,"00")))</f>
        <v>202308</v>
      </c>
      <c r="AK1">
        <f t="shared" ref="AK1" si="18">IF(RIGHT(AJ1,2)="01",VALUE(LEFT(AJ1,4)-1&amp;"12"),VALUE(LEFT(AJ1,4)&amp;TEXT(RIGHT(AJ1,2)-1,"00")))</f>
        <v>202307</v>
      </c>
      <c r="AL1">
        <f t="shared" ref="AL1" si="19">IF(RIGHT(AK1,2)="01",VALUE(LEFT(AK1,4)-1&amp;"12"),VALUE(LEFT(AK1,4)&amp;TEXT(RIGHT(AK1,2)-1,"00")))</f>
        <v>202306</v>
      </c>
      <c r="AM1">
        <f t="shared" ref="AM1" si="20">IF(RIGHT(AL1,2)="01",VALUE(LEFT(AL1,4)-1&amp;"12"),VALUE(LEFT(AL1,4)&amp;TEXT(RIGHT(AL1,2)-1,"00")))</f>
        <v>202305</v>
      </c>
      <c r="AN1">
        <f t="shared" ref="AN1" si="21">IF(RIGHT(AM1,2)="01",VALUE(LEFT(AM1,4)-1&amp;"12"),VALUE(LEFT(AM1,4)&amp;TEXT(RIGHT(AM1,2)-1,"00")))</f>
        <v>202304</v>
      </c>
      <c r="AO1">
        <f t="shared" ref="AO1" si="22">IF(RIGHT(AN1,2)="01",VALUE(LEFT(AN1,4)-1&amp;"12"),VALUE(LEFT(AN1,4)&amp;TEXT(RIGHT(AN1,2)-1,"00")))</f>
        <v>202303</v>
      </c>
      <c r="AP1">
        <f t="shared" ref="AP1" si="23">IF(RIGHT(AO1,2)="01",VALUE(LEFT(AO1,4)-1&amp;"12"),VALUE(LEFT(AO1,4)&amp;TEXT(RIGHT(AO1,2)-1,"00")))</f>
        <v>202302</v>
      </c>
      <c r="AQ1">
        <f t="shared" ref="AQ1" si="24">IF(RIGHT(AP1,2)="01",VALUE(LEFT(AP1,4)-1&amp;"12"),VALUE(LEFT(AP1,4)&amp;TEXT(RIGHT(AP1,2)-1,"00")))</f>
        <v>202301</v>
      </c>
      <c r="AR1">
        <f t="shared" ref="AR1" si="25">IF(RIGHT(AQ1,2)="01",VALUE(LEFT(AQ1,4)-1&amp;"12"),VALUE(LEFT(AQ1,4)&amp;TEXT(RIGHT(AQ1,2)-1,"00")))</f>
        <v>202212</v>
      </c>
      <c r="AS1">
        <f t="shared" ref="AS1" si="26">IF(RIGHT(AR1,2)="01",VALUE(LEFT(AR1,4)-1&amp;"12"),VALUE(LEFT(AR1,4)&amp;TEXT(RIGHT(AR1,2)-1,"00")))</f>
        <v>202211</v>
      </c>
      <c r="AT1">
        <f t="shared" ref="AT1" si="27">IF(RIGHT(AS1,2)="01",VALUE(LEFT(AS1,4)-1&amp;"12"),VALUE(LEFT(AS1,4)&amp;TEXT(RIGHT(AS1,2)-1,"00")))</f>
        <v>202210</v>
      </c>
      <c r="AU1">
        <f t="shared" ref="AU1" si="28">IF(RIGHT(AT1,2)="01",VALUE(LEFT(AT1,4)-1&amp;"12"),VALUE(LEFT(AT1,4)&amp;TEXT(RIGHT(AT1,2)-1,"00")))</f>
        <v>202209</v>
      </c>
      <c r="AV1">
        <f t="shared" ref="AV1" si="29">IF(RIGHT(AU1,2)="01",VALUE(LEFT(AU1,4)-1&amp;"12"),VALUE(LEFT(AU1,4)&amp;TEXT(RIGHT(AU1,2)-1,"00")))</f>
        <v>202208</v>
      </c>
      <c r="AW1">
        <f t="shared" ref="AW1" si="30">IF(RIGHT(AV1,2)="01",VALUE(LEFT(AV1,4)-1&amp;"12"),VALUE(LEFT(AV1,4)&amp;TEXT(RIGHT(AV1,2)-1,"00")))</f>
        <v>202207</v>
      </c>
      <c r="AX1">
        <f t="shared" ref="AX1" si="31">IF(RIGHT(AW1,2)="01",VALUE(LEFT(AW1,4)-1&amp;"12"),VALUE(LEFT(AW1,4)&amp;TEXT(RIGHT(AW1,2)-1,"00")))</f>
        <v>202206</v>
      </c>
      <c r="AY1">
        <f t="shared" ref="AY1" si="32">IF(RIGHT(AX1,2)="01",VALUE(LEFT(AX1,4)-1&amp;"12"),VALUE(LEFT(AX1,4)&amp;TEXT(RIGHT(AX1,2)-1,"00")))</f>
        <v>202205</v>
      </c>
    </row>
    <row r="2" spans="3:51">
      <c r="D2" s="6"/>
      <c r="E2" s="6"/>
      <c r="F2" s="6"/>
      <c r="G2" s="6"/>
    </row>
    <row r="6" spans="3:51" ht="23.25">
      <c r="C6" s="29" t="s">
        <v>7654</v>
      </c>
    </row>
    <row r="7" spans="3:51">
      <c r="C7" s="9"/>
      <c r="D7" s="10" t="s">
        <v>7655</v>
      </c>
      <c r="E7" s="10" t="s">
        <v>7292</v>
      </c>
      <c r="F7" s="10" t="s">
        <v>7656</v>
      </c>
      <c r="G7" s="10"/>
      <c r="H7" s="10" t="str">
        <f t="shared" ref="H7:Q7" si="33">TEXT(DATE(LEFT(H1,4),RIGHT(H1,2),1),"MMM YYYY")</f>
        <v>Dec 2025</v>
      </c>
      <c r="I7" s="10" t="str">
        <f t="shared" si="33"/>
        <v>Nov 2025</v>
      </c>
      <c r="J7" s="10" t="str">
        <f t="shared" si="33"/>
        <v>Oct 2025</v>
      </c>
      <c r="K7" s="10" t="str">
        <f t="shared" si="33"/>
        <v>Sep 2025</v>
      </c>
      <c r="L7" s="10" t="str">
        <f t="shared" si="33"/>
        <v>Aug 2025</v>
      </c>
      <c r="M7" s="10" t="str">
        <f t="shared" si="33"/>
        <v>Jul 2025</v>
      </c>
      <c r="N7" s="10" t="str">
        <f t="shared" si="33"/>
        <v>Jun 2025</v>
      </c>
      <c r="O7" s="10" t="str">
        <f t="shared" si="33"/>
        <v>May 2025</v>
      </c>
      <c r="P7" s="10" t="str">
        <f t="shared" si="33"/>
        <v>Apr 2025</v>
      </c>
      <c r="Q7" s="10" t="str">
        <f t="shared" si="33"/>
        <v>Mar 2025</v>
      </c>
      <c r="R7" s="10" t="str">
        <f>TEXT(DATE(LEFT(R1,4),RIGHT(R1,2),1),"MMM YYYY")</f>
        <v>Feb 2025</v>
      </c>
      <c r="S7" s="10" t="str">
        <f>TEXT(DATE(LEFT(S1,4),RIGHT(S1,2),1),"MMM YYYY")</f>
        <v>Jan 2025</v>
      </c>
      <c r="T7" s="10" t="str">
        <f>TEXT(DATE(LEFT(T1,4),RIGHT(T1,2),1),"MMM YYYY")</f>
        <v>Dec 2024</v>
      </c>
      <c r="U7" s="10" t="str">
        <f t="shared" ref="U7:V7" si="34">TEXT(DATE(LEFT(U1,4),RIGHT(U1,2),1),"MMM YYYY")</f>
        <v>Nov 2024</v>
      </c>
      <c r="V7" s="10" t="str">
        <f t="shared" si="34"/>
        <v>Oct 2024</v>
      </c>
      <c r="W7" s="10" t="str">
        <f t="shared" ref="W7:AM7" si="35">TEXT(DATE(LEFT(W1,4),RIGHT(W1,2),1),"MMM YYYY")</f>
        <v>Sep 2024</v>
      </c>
      <c r="X7" s="10" t="str">
        <f t="shared" si="35"/>
        <v>Aug 2024</v>
      </c>
      <c r="Y7" s="10" t="str">
        <f t="shared" si="35"/>
        <v>Jul 2024</v>
      </c>
      <c r="Z7" s="10" t="str">
        <f t="shared" si="35"/>
        <v>Jun 2024</v>
      </c>
      <c r="AA7" s="10" t="str">
        <f t="shared" si="35"/>
        <v>May 2024</v>
      </c>
      <c r="AB7" s="10" t="str">
        <f t="shared" si="35"/>
        <v>Apr 2024</v>
      </c>
      <c r="AC7" s="10" t="str">
        <f t="shared" si="35"/>
        <v>Mar 2024</v>
      </c>
      <c r="AD7" s="10" t="str">
        <f t="shared" si="35"/>
        <v>Feb 2024</v>
      </c>
      <c r="AE7" s="10" t="str">
        <f t="shared" si="35"/>
        <v>Jan 2024</v>
      </c>
      <c r="AF7" s="10" t="str">
        <f t="shared" si="35"/>
        <v>Dec 2023</v>
      </c>
      <c r="AG7" s="10" t="str">
        <f t="shared" si="35"/>
        <v>Nov 2023</v>
      </c>
      <c r="AH7" s="10" t="str">
        <f t="shared" si="35"/>
        <v>Oct 2023</v>
      </c>
      <c r="AI7" s="10" t="str">
        <f t="shared" si="35"/>
        <v>Sep 2023</v>
      </c>
      <c r="AJ7" s="10" t="str">
        <f t="shared" si="35"/>
        <v>Aug 2023</v>
      </c>
      <c r="AK7" s="10" t="str">
        <f t="shared" si="35"/>
        <v>Jul 2023</v>
      </c>
      <c r="AL7" s="10" t="str">
        <f t="shared" si="35"/>
        <v>Jun 2023</v>
      </c>
      <c r="AM7" s="10" t="str">
        <f t="shared" si="35"/>
        <v>May 2023</v>
      </c>
      <c r="AN7" s="10" t="str">
        <f>TEXT(DATE(LEFT(AN1,4),RIGHT(AN1,2),1),"MMM YYYY")</f>
        <v>Apr 2023</v>
      </c>
      <c r="AO7" s="10" t="str">
        <f t="shared" ref="AO7:AY7" si="36">TEXT(DATE(LEFT(AO1,4),RIGHT(AO1,2),1),"MMM YYYY")</f>
        <v>Mar 2023</v>
      </c>
      <c r="AP7" s="10" t="str">
        <f t="shared" si="36"/>
        <v>Feb 2023</v>
      </c>
      <c r="AQ7" s="10" t="str">
        <f t="shared" si="36"/>
        <v>Jan 2023</v>
      </c>
      <c r="AR7" s="10" t="str">
        <f t="shared" si="36"/>
        <v>Dec 2022</v>
      </c>
      <c r="AS7" s="10" t="str">
        <f t="shared" si="36"/>
        <v>Nov 2022</v>
      </c>
      <c r="AT7" s="10" t="str">
        <f t="shared" si="36"/>
        <v>Oct 2022</v>
      </c>
      <c r="AU7" s="10" t="str">
        <f t="shared" si="36"/>
        <v>Sep 2022</v>
      </c>
      <c r="AV7" s="10" t="str">
        <f t="shared" si="36"/>
        <v>Aug 2022</v>
      </c>
      <c r="AW7" s="10" t="str">
        <f t="shared" si="36"/>
        <v>Jul 2022</v>
      </c>
      <c r="AX7" s="10" t="str">
        <f t="shared" si="36"/>
        <v>Jun 2022</v>
      </c>
      <c r="AY7" s="10" t="str">
        <f t="shared" si="36"/>
        <v>May 2022</v>
      </c>
    </row>
    <row r="8" spans="3:51" ht="3" customHeight="1">
      <c r="C8" s="2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row>
    <row r="9" spans="3:51">
      <c r="C9" t="s">
        <v>28</v>
      </c>
      <c r="D9" s="13">
        <f>AVERAGE(H9:S9)</f>
        <v>946.32999999999981</v>
      </c>
      <c r="E9" s="13">
        <f>AVERAGE(T9:AE9)</f>
        <v>958.83499999999992</v>
      </c>
      <c r="F9" s="13">
        <f>AVERAGE(AG9:AY9)</f>
        <v>199.33421052631581</v>
      </c>
      <c r="G9" s="13"/>
      <c r="H9" s="13">
        <f>SUMIFS(Actuals!$E:$E,Actuals!$F:$F,Grocery!$C9,Actuals!$A:$A,Grocery!H$1)</f>
        <v>1139.06</v>
      </c>
      <c r="I9" s="13">
        <f>SUMIFS(Actuals!$E:$E,Actuals!$F:$F,Grocery!$C9,Actuals!$A:$A,Grocery!I$1)</f>
        <v>982.85</v>
      </c>
      <c r="J9" s="13">
        <f>SUMIFS(Actuals!$E:$E,Actuals!$F:$F,Grocery!$C9,Actuals!$A:$A,Grocery!J$1)</f>
        <v>1031.3100000000002</v>
      </c>
      <c r="K9" s="13">
        <f>SUMIFS(Actuals!$E:$E,Actuals!$F:$F,Grocery!$C9,Actuals!$A:$A,Grocery!K$1)</f>
        <v>865.15</v>
      </c>
      <c r="L9" s="13">
        <f>SUMIFS(Actuals!$E:$E,Actuals!$F:$F,Grocery!$C9,Actuals!$A:$A,Grocery!L$1)</f>
        <v>1051.6399999999999</v>
      </c>
      <c r="M9" s="13">
        <f>SUMIFS(Actuals!$E:$E,Actuals!$F:$F,Grocery!$C9,Actuals!$A:$A,Grocery!M$1)</f>
        <v>341.28000000000003</v>
      </c>
      <c r="N9" s="13">
        <f>SUMIFS(Actuals!$E:$E,Actuals!$F:$F,Grocery!$C9,Actuals!$A:$A,Grocery!N$1)</f>
        <v>1176.2800000000002</v>
      </c>
      <c r="O9" s="13">
        <f>SUMIFS(Actuals!$E:$E,Actuals!$F:$F,Grocery!$C9,Actuals!$A:$A,Grocery!O$1)</f>
        <v>1047.99</v>
      </c>
      <c r="P9" s="13">
        <f>SUMIFS(Actuals!$E:$E,Actuals!$F:$F,Grocery!$C9,Actuals!$A:$A,Grocery!P$1)</f>
        <v>1295</v>
      </c>
      <c r="Q9" s="13">
        <f>SUMIFS(Actuals!$E:$E,Actuals!$F:$F,Grocery!$C9,Actuals!$A:$A,Grocery!Q$1)</f>
        <v>579.15000000000009</v>
      </c>
      <c r="R9" s="13">
        <f>SUMIFS(Actuals!$E:$E,Actuals!$F:$F,Grocery!$C9,Actuals!$A:$A,Grocery!R$1)</f>
        <v>813.71</v>
      </c>
      <c r="S9" s="13">
        <f>SUMIFS(Actuals!$E:$E,Actuals!$F:$F,Grocery!$C9,Actuals!$A:$A,Grocery!S$1)</f>
        <v>1032.5399999999997</v>
      </c>
      <c r="T9" s="13">
        <f>SUMIFS(Actuals!$E:$E,Actuals!$F:$F,Grocery!$C9,Actuals!$A:$A,Grocery!T$1)</f>
        <v>1134.5999999999999</v>
      </c>
      <c r="U9" s="13">
        <f>SUMIFS(Actuals!$E:$E,Actuals!$F:$F,Grocery!$C9,Actuals!$A:$A,Grocery!U$1)</f>
        <v>1344.48</v>
      </c>
      <c r="V9" s="13">
        <f>SUMIFS(Actuals!$E:$E,Actuals!$F:$F,Grocery!$C9,Actuals!$A:$A,Grocery!V$1)</f>
        <v>1053.0700000000002</v>
      </c>
      <c r="W9" s="13">
        <f>SUMIFS(Actuals!$E:$E,Actuals!$F:$F,Grocery!$C9,Actuals!$A:$A,Grocery!W$1)</f>
        <v>1201.08</v>
      </c>
      <c r="X9" s="13">
        <f>SUMIFS(Actuals!$E:$E,Actuals!$F:$F,Grocery!$C9,Actuals!$A:$A,Grocery!X$1)</f>
        <v>1043.3200000000002</v>
      </c>
      <c r="Y9" s="13">
        <f>SUMIFS(Actuals!$E:$E,Actuals!$F:$F,Grocery!$C9,Actuals!$A:$A,Grocery!Y$1)</f>
        <v>921.78</v>
      </c>
      <c r="Z9" s="13">
        <f>SUMIFS(Actuals!$E:$E,Actuals!$F:$F,Grocery!$C9,Actuals!$A:$A,Grocery!Z$1)</f>
        <v>1004.0299999999999</v>
      </c>
      <c r="AA9" s="13">
        <f>SUMIFS(Actuals!$E:$E,Actuals!$F:$F,Grocery!$C9,Actuals!$A:$A,Grocery!AA$1)</f>
        <v>714.52</v>
      </c>
      <c r="AB9" s="13">
        <f>SUMIFS(Actuals!$E:$E,Actuals!$F:$F,Grocery!$C9,Actuals!$A:$A,Grocery!AB$1)</f>
        <v>865.75999999999988</v>
      </c>
      <c r="AC9" s="13">
        <f>SUMIFS(Actuals!$E:$E,Actuals!$F:$F,Grocery!$C9,Actuals!$A:$A,Grocery!AC$1)</f>
        <v>242.39000000000001</v>
      </c>
      <c r="AD9" s="13">
        <f>SUMIFS(Actuals!$E:$E,Actuals!$F:$F,Grocery!$C9,Actuals!$A:$A,Grocery!AD$1)</f>
        <v>1183.82</v>
      </c>
      <c r="AE9" s="13">
        <f>SUMIFS(Actuals!$E:$E,Actuals!$F:$F,Grocery!$C9,Actuals!$A:$A,Grocery!AE$1)</f>
        <v>797.17000000000007</v>
      </c>
      <c r="AF9" s="13">
        <f>SUMIFS(Actuals!$E:$E,Actuals!$F:$F,Grocery!$C9,Actuals!$A:$A,Grocery!AF$1)</f>
        <v>1323.61</v>
      </c>
      <c r="AG9" s="13">
        <f>SUMIFS(Actuals!$E:$E,Actuals!$F:$F,Grocery!$C9,Actuals!$A:$A,Grocery!AG$1)</f>
        <v>508.64</v>
      </c>
      <c r="AH9" s="13">
        <f>SUMIFS(Actuals!$E:$E,Actuals!$F:$F,Grocery!$C9,Actuals!$A:$A,Grocery!AH$1)</f>
        <v>339.98</v>
      </c>
      <c r="AI9" s="13">
        <f>SUMIFS(Actuals!$E:$E,Actuals!$F:$F,Grocery!$C9,Actuals!$A:$A,Grocery!AI$1)</f>
        <v>457.94999999999993</v>
      </c>
      <c r="AJ9" s="13">
        <f>SUMIFS(Actuals!$E:$E,Actuals!$F:$F,Grocery!$C9,Actuals!$A:$A,Grocery!AJ$1)</f>
        <v>566.28</v>
      </c>
      <c r="AK9" s="13">
        <f>SUMIFS(Actuals!$E:$E,Actuals!$F:$F,Grocery!$C9,Actuals!$A:$A,Grocery!AK$1)</f>
        <v>480.19</v>
      </c>
      <c r="AL9" s="13">
        <f>SUMIFS(Actuals!$E:$E,Actuals!$F:$F,Grocery!$C9,Actuals!$A:$A,Grocery!AL$1)</f>
        <v>440.26</v>
      </c>
      <c r="AM9" s="13">
        <f>SUMIFS(Actuals!$E:$E,Actuals!$F:$F,Grocery!$C9,Actuals!$A:$A,Grocery!AM$1)</f>
        <v>0</v>
      </c>
      <c r="AN9" s="13">
        <f>SUMIFS(Actuals!$E:$E,Actuals!$F:$F,Grocery!$C9,Actuals!$A:$A,Grocery!AN$1)</f>
        <v>0</v>
      </c>
      <c r="AO9" s="13">
        <f>SUMIFS(Actuals!$E:$E,Actuals!$F:$F,Grocery!$C9,Actuals!$A:$A,Grocery!AO$1)</f>
        <v>185.68</v>
      </c>
      <c r="AP9" s="13">
        <f>SUMIFS(Actuals!$E:$E,Actuals!$F:$F,Grocery!$C9,Actuals!$A:$A,Grocery!AP$1)</f>
        <v>0</v>
      </c>
      <c r="AQ9" s="13">
        <f>SUMIFS(Actuals!$E:$E,Actuals!$F:$F,Grocery!$C9,Actuals!$A:$A,Grocery!AQ$1)</f>
        <v>0</v>
      </c>
      <c r="AR9" s="13">
        <f>SUMIFS(Actuals!$E:$E,Actuals!$F:$F,Grocery!$C9,Actuals!$A:$A,Grocery!AR$1)</f>
        <v>0</v>
      </c>
      <c r="AS9" s="13">
        <f>SUMIFS(Actuals!$E:$E,Actuals!$F:$F,Grocery!$C9,Actuals!$A:$A,Grocery!AS$1)</f>
        <v>0</v>
      </c>
      <c r="AT9" s="13">
        <f>SUMIFS(Actuals!$E:$E,Actuals!$F:$F,Grocery!$C9,Actuals!$A:$A,Grocery!AT$1)</f>
        <v>0</v>
      </c>
      <c r="AU9" s="13">
        <f>SUMIFS(Actuals!$E:$E,Actuals!$F:$F,Grocery!$C9,Actuals!$A:$A,Grocery!AU$1)</f>
        <v>0</v>
      </c>
      <c r="AV9" s="13">
        <f>SUMIFS(Actuals!$E:$E,Actuals!$F:$F,Grocery!$C9,Actuals!$A:$A,Grocery!AV$1)</f>
        <v>0</v>
      </c>
      <c r="AW9" s="13">
        <f>SUMIFS(Actuals!$E:$E,Actuals!$F:$F,Grocery!$C9,Actuals!$A:$A,Grocery!AW$1)</f>
        <v>77.77</v>
      </c>
      <c r="AX9" s="13">
        <f>SUMIFS(Actuals!$E:$E,Actuals!$F:$F,Grocery!$C9,Actuals!$A:$A,Grocery!AX$1)</f>
        <v>282.76</v>
      </c>
      <c r="AY9" s="13">
        <f>SUMIFS(Actuals!$E:$E,Actuals!$F:$F,Grocery!$C9,Actuals!$A:$A,Grocery!AY$1)</f>
        <v>447.84</v>
      </c>
    </row>
    <row r="10" spans="3:51">
      <c r="C10" t="s">
        <v>7657</v>
      </c>
      <c r="D10" s="80">
        <f>(D9-E9)/E9</f>
        <v>-1.3041868517523985E-2</v>
      </c>
      <c r="I10" s="46"/>
    </row>
  </sheetData>
  <pageMargins left="0.25" right="0.25" top="0.75" bottom="0.75" header="0.3" footer="0.3"/>
  <pageSetup fitToHeight="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709C7-0724-4107-A859-E65BE9127A39}">
  <dimension ref="B2:H86"/>
  <sheetViews>
    <sheetView workbookViewId="0">
      <selection activeCell="J8" sqref="J8"/>
    </sheetView>
  </sheetViews>
  <sheetFormatPr defaultRowHeight="15"/>
  <cols>
    <col min="4" max="4" width="10.85546875" bestFit="1" customWidth="1"/>
    <col min="5" max="5" width="11.85546875" bestFit="1" customWidth="1"/>
    <col min="6" max="6" width="13.85546875" customWidth="1"/>
    <col min="8" max="8" width="9.7109375" bestFit="1" customWidth="1"/>
  </cols>
  <sheetData>
    <row r="2" spans="2:4">
      <c r="B2" t="s">
        <v>7658</v>
      </c>
    </row>
    <row r="3" spans="2:4">
      <c r="B3" s="79" t="s">
        <v>7659</v>
      </c>
    </row>
    <row r="6" spans="2:4">
      <c r="B6" t="s">
        <v>7660</v>
      </c>
    </row>
    <row r="9" spans="2:4">
      <c r="B9" s="16" t="s">
        <v>7661</v>
      </c>
    </row>
    <row r="10" spans="2:4">
      <c r="C10" t="s">
        <v>7662</v>
      </c>
    </row>
    <row r="11" spans="2:4">
      <c r="D11" s="129" t="s">
        <v>7663</v>
      </c>
    </row>
    <row r="12" spans="2:4">
      <c r="C12" t="s">
        <v>7664</v>
      </c>
    </row>
    <row r="13" spans="2:4">
      <c r="C13" t="s">
        <v>7665</v>
      </c>
    </row>
    <row r="14" spans="2:4">
      <c r="D14" s="129" t="s">
        <v>7666</v>
      </c>
    </row>
    <row r="15" spans="2:4">
      <c r="C15" t="s">
        <v>7667</v>
      </c>
    </row>
    <row r="16" spans="2:4">
      <c r="D16" t="s">
        <v>7668</v>
      </c>
    </row>
    <row r="17" spans="2:6">
      <c r="C17" t="s">
        <v>7669</v>
      </c>
    </row>
    <row r="18" spans="2:6">
      <c r="D18" t="s">
        <v>7670</v>
      </c>
    </row>
    <row r="19" spans="2:6">
      <c r="C19" s="129" t="s">
        <v>7671</v>
      </c>
    </row>
    <row r="21" spans="2:6">
      <c r="B21" s="16" t="s">
        <v>7672</v>
      </c>
    </row>
    <row r="22" spans="2:6">
      <c r="C22" t="s">
        <v>7673</v>
      </c>
    </row>
    <row r="23" spans="2:6">
      <c r="D23" t="s">
        <v>7289</v>
      </c>
      <c r="F23" s="46">
        <f>Avg!W17</f>
        <v>-14317.5</v>
      </c>
    </row>
    <row r="24" spans="2:6">
      <c r="D24" t="s">
        <v>7674</v>
      </c>
      <c r="F24" s="46">
        <f>(Avg!W9/3)</f>
        <v>9397.3933333333334</v>
      </c>
    </row>
    <row r="25" spans="2:6">
      <c r="D25" s="124" t="s">
        <v>7675</v>
      </c>
      <c r="E25" s="124"/>
      <c r="F25" s="125">
        <f>F23/F24</f>
        <v>-1.5235607888428635</v>
      </c>
    </row>
    <row r="27" spans="2:6">
      <c r="C27" t="s">
        <v>7676</v>
      </c>
    </row>
    <row r="28" spans="2:6">
      <c r="D28" t="s">
        <v>7639</v>
      </c>
      <c r="E28" s="46">
        <f>'2025 Budget'!C5*12</f>
        <v>32940</v>
      </c>
    </row>
    <row r="29" spans="2:6">
      <c r="D29" t="s">
        <v>7139</v>
      </c>
      <c r="E29" s="46">
        <f>'Main Detail'!D51</f>
        <v>496800.83</v>
      </c>
    </row>
    <row r="30" spans="2:6">
      <c r="D30" s="126" t="s">
        <v>7645</v>
      </c>
      <c r="E30" s="127">
        <f>E28/E29</f>
        <v>6.6304237052099937E-2</v>
      </c>
    </row>
    <row r="32" spans="2:6">
      <c r="C32" t="s">
        <v>7677</v>
      </c>
    </row>
    <row r="33" spans="2:8">
      <c r="D33" t="s">
        <v>7639</v>
      </c>
      <c r="E33" s="46">
        <f>'2025 Budget'!C5*12</f>
        <v>32940</v>
      </c>
    </row>
    <row r="34" spans="2:8">
      <c r="D34" t="s">
        <v>7159</v>
      </c>
      <c r="E34" s="46">
        <f>Revised!D13*12</f>
        <v>0</v>
      </c>
    </row>
    <row r="35" spans="2:8">
      <c r="D35" t="s">
        <v>7139</v>
      </c>
      <c r="E35" s="46">
        <f>'Main Detail'!D51</f>
        <v>496800.83</v>
      </c>
    </row>
    <row r="36" spans="2:8">
      <c r="D36" s="126" t="s">
        <v>7645</v>
      </c>
      <c r="E36" s="128">
        <f>SUM(E33:E34)/E35</f>
        <v>6.6304237052099937E-2</v>
      </c>
    </row>
    <row r="38" spans="2:8">
      <c r="C38" t="s">
        <v>7678</v>
      </c>
    </row>
    <row r="39" spans="2:8">
      <c r="D39" t="s">
        <v>7679</v>
      </c>
    </row>
    <row r="40" spans="2:8">
      <c r="D40" t="s">
        <v>7680</v>
      </c>
    </row>
    <row r="41" spans="2:8">
      <c r="D41" t="s">
        <v>7681</v>
      </c>
    </row>
    <row r="43" spans="2:8">
      <c r="B43" s="16" t="s">
        <v>7682</v>
      </c>
    </row>
    <row r="44" spans="2:8">
      <c r="C44" t="s">
        <v>7683</v>
      </c>
      <c r="F44" s="58"/>
    </row>
    <row r="45" spans="2:8">
      <c r="D45" t="s">
        <v>7684</v>
      </c>
      <c r="F45" s="46">
        <f>'Main Detail'!D82</f>
        <v>7800</v>
      </c>
    </row>
    <row r="46" spans="2:8">
      <c r="D46" t="s">
        <v>7685</v>
      </c>
      <c r="F46" s="59">
        <v>27219.85</v>
      </c>
    </row>
    <row r="47" spans="2:8">
      <c r="D47" t="s">
        <v>7686</v>
      </c>
      <c r="F47" s="123">
        <f ca="1">(TODAY()-DATE(2017,6,5))/365</f>
        <v>8.9095890410958898</v>
      </c>
      <c r="G47" s="123"/>
      <c r="H47" s="46"/>
    </row>
    <row r="48" spans="2:8">
      <c r="D48" s="129" t="s">
        <v>7687</v>
      </c>
      <c r="E48" s="129"/>
      <c r="F48" s="130">
        <f ca="1">F46/F47</f>
        <v>3055.1184655596558</v>
      </c>
      <c r="G48" s="123" t="s">
        <v>7688</v>
      </c>
      <c r="H48" s="46"/>
    </row>
    <row r="49" spans="3:8">
      <c r="F49" s="59"/>
      <c r="G49" s="123"/>
      <c r="H49" s="46"/>
    </row>
    <row r="50" spans="3:8">
      <c r="F50" s="46"/>
    </row>
    <row r="51" spans="3:8">
      <c r="D51" t="s">
        <v>7689</v>
      </c>
      <c r="F51" s="46">
        <f>'Main Detail'!D81</f>
        <v>7800</v>
      </c>
    </row>
    <row r="52" spans="3:8">
      <c r="D52" t="s">
        <v>7690</v>
      </c>
      <c r="F52" s="59">
        <v>21340.86</v>
      </c>
    </row>
    <row r="53" spans="3:8">
      <c r="D53" t="s">
        <v>7691</v>
      </c>
      <c r="F53" s="123">
        <f ca="1">(TODAY()-DATE(2020,2,12))/365</f>
        <v>6.2191780821917808</v>
      </c>
      <c r="G53" s="123"/>
      <c r="H53" s="46"/>
    </row>
    <row r="54" spans="3:8">
      <c r="D54" s="124" t="s">
        <v>7687</v>
      </c>
      <c r="E54" s="124"/>
      <c r="F54" s="131">
        <f ca="1">F52/F53</f>
        <v>3431.45986784141</v>
      </c>
      <c r="G54" s="123" t="s">
        <v>7688</v>
      </c>
      <c r="H54" s="46"/>
    </row>
    <row r="56" spans="3:8">
      <c r="C56" t="s">
        <v>7692</v>
      </c>
    </row>
    <row r="57" spans="3:8">
      <c r="D57" t="s">
        <v>7693</v>
      </c>
      <c r="F57" s="45">
        <f>'Main 2'!D104</f>
        <v>1066474.93</v>
      </c>
    </row>
    <row r="58" spans="3:8">
      <c r="D58" t="s">
        <v>7694</v>
      </c>
      <c r="F58" s="46">
        <f>Revised!P47</f>
        <v>450777.2</v>
      </c>
    </row>
    <row r="59" spans="3:8">
      <c r="D59" t="s">
        <v>7695</v>
      </c>
      <c r="F59" s="25">
        <f>F57/F58</f>
        <v>2.3658581889234855</v>
      </c>
    </row>
    <row r="60" spans="3:8">
      <c r="D60" t="s">
        <v>7696</v>
      </c>
      <c r="F60" s="46">
        <f>'Retire Articles'!R126</f>
        <v>320709.2486386153</v>
      </c>
    </row>
    <row r="61" spans="3:8">
      <c r="D61" t="s">
        <v>7697</v>
      </c>
      <c r="F61" s="46">
        <f>'Retire Graph'!T14</f>
        <v>16124480.001713332</v>
      </c>
    </row>
    <row r="62" spans="3:8">
      <c r="D62" s="126" t="s">
        <v>7698</v>
      </c>
      <c r="E62" s="126"/>
      <c r="F62" s="132">
        <f>F61/F60</f>
        <v>50.277564710592038</v>
      </c>
    </row>
    <row r="63" spans="3:8">
      <c r="D63" t="s">
        <v>7699</v>
      </c>
      <c r="F63" s="46">
        <f>'Retire Graph'!T15</f>
        <v>25414584.416939963</v>
      </c>
    </row>
    <row r="64" spans="3:8">
      <c r="D64" s="126" t="s">
        <v>7700</v>
      </c>
      <c r="E64" s="126"/>
      <c r="F64" s="132">
        <f>F63/F60</f>
        <v>79.244937664949816</v>
      </c>
    </row>
    <row r="66" spans="2:4">
      <c r="C66" t="s">
        <v>7701</v>
      </c>
    </row>
    <row r="67" spans="2:4">
      <c r="D67" s="128">
        <f>('Main Detail'!D89-'Main Detail'!D81-'Main Detail'!D82)/'Main Detail'!D51</f>
        <v>0.20505601812299709</v>
      </c>
    </row>
    <row r="68" spans="2:4">
      <c r="D68" s="80"/>
    </row>
    <row r="69" spans="2:4">
      <c r="C69" t="s">
        <v>7702</v>
      </c>
    </row>
    <row r="71" spans="2:4">
      <c r="C71" t="s">
        <v>7703</v>
      </c>
    </row>
    <row r="73" spans="2:4">
      <c r="B73" s="16" t="s">
        <v>7704</v>
      </c>
    </row>
    <row r="74" spans="2:4">
      <c r="C74" t="s">
        <v>7705</v>
      </c>
    </row>
    <row r="75" spans="2:4">
      <c r="D75" t="s">
        <v>7706</v>
      </c>
    </row>
    <row r="76" spans="2:4">
      <c r="D76" t="s">
        <v>7707</v>
      </c>
    </row>
    <row r="77" spans="2:4">
      <c r="D77" t="s">
        <v>7708</v>
      </c>
    </row>
    <row r="78" spans="2:4">
      <c r="B78" s="16" t="s">
        <v>7709</v>
      </c>
    </row>
    <row r="79" spans="2:4">
      <c r="C79" t="s">
        <v>7710</v>
      </c>
    </row>
    <row r="80" spans="2:4">
      <c r="D80" s="123">
        <f>Avg!W17/(Avg!W9/3)</f>
        <v>-1.5235607888428635</v>
      </c>
    </row>
    <row r="81" spans="3:6">
      <c r="C81" t="s">
        <v>7711</v>
      </c>
    </row>
    <row r="82" spans="3:6">
      <c r="D82" s="45" t="e">
        <f>SUM('Main 2'!D88,'Main 2'!#REF!,'Main 2'!D90)</f>
        <v>#REF!</v>
      </c>
      <c r="E82">
        <f>('2025 Budget'!C5*12)+('2025 Budget'!C8*12)</f>
        <v>32940</v>
      </c>
      <c r="F82" s="58" t="e">
        <f>D82/E82</f>
        <v>#REF!</v>
      </c>
    </row>
    <row r="83" spans="3:6">
      <c r="C83" t="s">
        <v>7712</v>
      </c>
    </row>
    <row r="84" spans="3:6">
      <c r="D84" s="46">
        <f>('2025 Budget'!C5*12)</f>
        <v>32940</v>
      </c>
      <c r="E84" s="46">
        <f>SUM('Main Detail'!D51)</f>
        <v>496800.83</v>
      </c>
      <c r="F84" s="72">
        <f>D84/E84</f>
        <v>6.6304237052099937E-2</v>
      </c>
    </row>
    <row r="85" spans="3:6">
      <c r="C85" t="s">
        <v>7713</v>
      </c>
    </row>
    <row r="86" spans="3:6">
      <c r="D86" s="46">
        <f>('2025 Budget'!C5*12)+('2025 Budget'!C8*12)</f>
        <v>32940</v>
      </c>
      <c r="E86" s="46">
        <f>SUM('Main Detail'!D51)</f>
        <v>496800.83</v>
      </c>
      <c r="F86" s="72">
        <f>D86/E86</f>
        <v>6.6304237052099937E-2</v>
      </c>
    </row>
  </sheetData>
  <hyperlinks>
    <hyperlink ref="B3" r:id="rId1" xr:uid="{B24B04BD-F13A-4E31-905A-C7BBF49728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16</vt:i4>
      </vt:variant>
    </vt:vector>
  </HeadingPairs>
  <TitlesOfParts>
    <vt:vector size="50" baseType="lpstr">
      <vt:lpstr>Lookup</vt:lpstr>
      <vt:lpstr>Trips</vt:lpstr>
      <vt:lpstr>Actuals</vt:lpstr>
      <vt:lpstr>Actuals Lookup</vt:lpstr>
      <vt:lpstr>Main 2</vt:lpstr>
      <vt:lpstr>Cash</vt:lpstr>
      <vt:lpstr>Main Detail</vt:lpstr>
      <vt:lpstr>1 MO</vt:lpstr>
      <vt:lpstr>YTD</vt:lpstr>
      <vt:lpstr>2025 Budget</vt:lpstr>
      <vt:lpstr>Year</vt:lpstr>
      <vt:lpstr>Revised</vt:lpstr>
      <vt:lpstr>Detail</vt:lpstr>
      <vt:lpstr>Single Detail</vt:lpstr>
      <vt:lpstr>Avg</vt:lpstr>
      <vt:lpstr>Proj 9.22</vt:lpstr>
      <vt:lpstr>Proj 8.22</vt:lpstr>
      <vt:lpstr>Proj 7.22</vt:lpstr>
      <vt:lpstr>Proj 6.22</vt:lpstr>
      <vt:lpstr>Proj 1.2022</vt:lpstr>
      <vt:lpstr>Year Filter</vt:lpstr>
      <vt:lpstr>Retire</vt:lpstr>
      <vt:lpstr>Retire Articles</vt:lpstr>
      <vt:lpstr>Retire Graph</vt:lpstr>
      <vt:lpstr>Income</vt:lpstr>
      <vt:lpstr>College</vt:lpstr>
      <vt:lpstr>Past Savings</vt:lpstr>
      <vt:lpstr>Tax WH</vt:lpstr>
      <vt:lpstr>Tax</vt:lpstr>
      <vt:lpstr>Bills</vt:lpstr>
      <vt:lpstr>Main</vt:lpstr>
      <vt:lpstr>Main Assumptions</vt:lpstr>
      <vt:lpstr>Grocery</vt:lpstr>
      <vt:lpstr>CFP</vt:lpstr>
      <vt:lpstr>'1 MO'!Print_Area</vt:lpstr>
      <vt:lpstr>'2025 Budget'!Print_Area</vt:lpstr>
      <vt:lpstr>Avg!Print_Area</vt:lpstr>
      <vt:lpstr>Grocery!Print_Area</vt:lpstr>
      <vt:lpstr>Main!Print_Area</vt:lpstr>
      <vt:lpstr>'Main 2'!Print_Area</vt:lpstr>
      <vt:lpstr>'Main Detail'!Print_Area</vt:lpstr>
      <vt:lpstr>'Proj 1.2022'!Print_Area</vt:lpstr>
      <vt:lpstr>'Proj 6.22'!Print_Area</vt:lpstr>
      <vt:lpstr>'Proj 7.22'!Print_Area</vt:lpstr>
      <vt:lpstr>'Proj 8.22'!Print_Area</vt:lpstr>
      <vt:lpstr>'Proj 9.22'!Print_Area</vt:lpstr>
      <vt:lpstr>Revised!Print_Area</vt:lpstr>
      <vt:lpstr>Year!Print_Area</vt:lpstr>
      <vt:lpstr>'Year Filter'!Print_Area</vt:lpstr>
      <vt:lpstr>YTD!Print_Area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Truitt</dc:creator>
  <cp:keywords/>
  <dc:description/>
  <cp:lastModifiedBy>Jeff Truitt</cp:lastModifiedBy>
  <cp:revision/>
  <dcterms:created xsi:type="dcterms:W3CDTF">2023-12-29T17:42:52Z</dcterms:created>
  <dcterms:modified xsi:type="dcterms:W3CDTF">2026-05-02T21:14:51Z</dcterms:modified>
  <cp:category/>
  <cp:contentStatus/>
</cp:coreProperties>
</file>